
<file path=[Content_Types].xml><?xml version="1.0" encoding="utf-8"?>
<Types xmlns="http://schemas.openxmlformats.org/package/2006/content-types">
  <Default Extension="xml" ContentType="application/xml"/>
  <Default Extension="bin" ContentType="application/vnd.ms-office.vbaProject"/>
  <Default Extension="png" ContentType="image/png"/>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4.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25.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comments1.xml" ContentType="application/vnd.openxmlformats-officedocument.spreadsheetml.comments+xml"/>
  <Override PartName="/xl/drawings/drawing34.xml" ContentType="application/vnd.openxmlformats-officedocument.drawing+xml"/>
  <Override PartName="/xl/comments2.xml" ContentType="application/vnd.openxmlformats-officedocument.spreadsheetml.comments+xml"/>
  <Override PartName="/xl/tables/table1.xml" ContentType="application/vnd.openxmlformats-officedocument.spreadsheetml.table+xml"/>
  <Override PartName="/xl/drawings/drawing35.xml" ContentType="application/vnd.openxmlformats-officedocument.drawing+xml"/>
  <Override PartName="/xl/drawings/drawing36.xml" ContentType="application/vnd.openxmlformats-officedocument.drawing+xml"/>
  <Override PartName="/xl/charts/chart17.xml" ContentType="application/vnd.openxmlformats-officedocument.drawingml.chart+xml"/>
  <Override PartName="/xl/drawings/drawing37.xml" ContentType="application/vnd.openxmlformats-officedocument.drawing+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38.xml" ContentType="application/vnd.openxmlformats-officedocument.drawing+xml"/>
  <Override PartName="/xl/drawings/drawing39.xml" ContentType="application/vnd.openxmlformats-officedocument.drawing+xml"/>
  <Override PartName="/xl/charts/chart22.xml" ContentType="application/vnd.openxmlformats-officedocument.drawingml.chart+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819" codeName="{00000000-0000-0000-0000-000000000000}"/>
  <workbookPr showInkAnnotation="0" codeName="ThisWorkbook" checkCompatibility="1" autoCompressPictures="0"/>
  <bookViews>
    <workbookView showSheetTabs="0" xWindow="6280" yWindow="620" windowWidth="34840" windowHeight="26300" tabRatio="971" firstSheet="23" activeTab="2"/>
  </bookViews>
  <sheets>
    <sheet name="Revision history" sheetId="31" r:id="rId1"/>
    <sheet name="x Revision history" sheetId="24" state="hidden" r:id="rId2"/>
    <sheet name="CIRIS" sheetId="64" r:id="rId3"/>
    <sheet name="Home" sheetId="34" r:id="rId4"/>
    <sheet name="GPC" sheetId="1" r:id="rId5"/>
    <sheet name="Notation keys" sheetId="39" r:id="rId6"/>
    <sheet name="GWP" sheetId="37" r:id="rId7"/>
    <sheet name="Conversion factors" sheetId="38" r:id="rId8"/>
    <sheet name="Conversion factors_2" sheetId="69" r:id="rId9"/>
    <sheet name="Compact of Mayors" sheetId="58" r:id="rId10"/>
    <sheet name="City information" sheetId="17" r:id="rId11"/>
    <sheet name="Data sources" sheetId="20" r:id="rId12"/>
    <sheet name="Emission factors" sheetId="19" r:id="rId13"/>
    <sheet name="F-Gases" sheetId="36" r:id="rId14"/>
    <sheet name="Database" sheetId="67" r:id="rId15"/>
    <sheet name="Blank" sheetId="68" r:id="rId16"/>
    <sheet name="Inventory" sheetId="40" r:id="rId17"/>
    <sheet name="I - Stationary" sheetId="7" r:id="rId18"/>
    <sheet name="II - Transport" sheetId="11" r:id="rId19"/>
    <sheet name="III - Waste" sheetId="8" r:id="rId20"/>
    <sheet name="IV - IPPU" sheetId="6" r:id="rId21"/>
    <sheet name="V - AFOLU" sheetId="10" r:id="rId22"/>
    <sheet name="VI - Other scope 3" sheetId="13" r:id="rId23"/>
    <sheet name="Results" sheetId="51" r:id="rId24"/>
    <sheet name="Summary" sheetId="41" r:id="rId25"/>
    <sheet name="Graphs" sheetId="35" r:id="rId26"/>
    <sheet name="Overview" sheetId="23" r:id="rId27"/>
    <sheet name="Report" sheetId="2" r:id="rId28"/>
    <sheet name="Audit" sheetId="57" r:id="rId29"/>
    <sheet name="Net emissions" sheetId="43" r:id="rId30"/>
    <sheet name="Solid waste disposal" sheetId="55" r:id="rId31"/>
    <sheet name="Calculators" sheetId="42" r:id="rId32"/>
    <sheet name="Fugitive gas" sheetId="28" r:id="rId33"/>
    <sheet name="Biological treatment" sheetId="53" r:id="rId34"/>
    <sheet name="Incineration" sheetId="56" r:id="rId35"/>
    <sheet name="Wastewater" sheetId="52" r:id="rId36"/>
    <sheet name="WW_Protein" sheetId="26" r:id="rId37"/>
    <sheet name="Analysis" sheetId="45" r:id="rId38"/>
    <sheet name="Progress" sheetId="47" r:id="rId39"/>
    <sheet name="Benchmark" sheetId="48" r:id="rId40"/>
    <sheet name="Heat map" sheetId="59" r:id="rId41"/>
    <sheet name="Overview_2" sheetId="44" r:id="rId42"/>
    <sheet name="Output" sheetId="60" r:id="rId43"/>
    <sheet name="Data" sheetId="61" r:id="rId44"/>
    <sheet name="Data_2" sheetId="66" r:id="rId45"/>
    <sheet name="x Data_2" sheetId="46" r:id="rId46"/>
    <sheet name="Data_3" sheetId="63" r:id="rId47"/>
    <sheet name="Data_4a" sheetId="62" r:id="rId48"/>
    <sheet name="Data_4b" sheetId="70" r:id="rId49"/>
    <sheet name="Data_5" sheetId="65" r:id="rId50"/>
    <sheet name="Lists" sheetId="5" r:id="rId51"/>
  </sheets>
  <externalReferences>
    <externalReference r:id="rId52"/>
    <externalReference r:id="rId53"/>
    <externalReference r:id="rId54"/>
    <externalReference r:id="rId55"/>
    <externalReference r:id="rId56"/>
    <externalReference r:id="rId57"/>
  </externalReferences>
  <definedNames>
    <definedName name="_CH4" localSheetId="37">[1]Lists!#REF!</definedName>
    <definedName name="_CH4" localSheetId="28">[1]Lists!#REF!</definedName>
    <definedName name="_CH4" localSheetId="39">[1]Lists!#REF!</definedName>
    <definedName name="_CH4" localSheetId="33">[1]Lists!#REF!</definedName>
    <definedName name="_CH4" localSheetId="15">[1]Lists!#REF!</definedName>
    <definedName name="_CH4" localSheetId="31">[1]Lists!#REF!</definedName>
    <definedName name="_CH4" localSheetId="9">[1]Lists!#REF!</definedName>
    <definedName name="_CH4" localSheetId="7">[1]Lists!#REF!</definedName>
    <definedName name="_CH4" localSheetId="8">[1]Lists!#REF!</definedName>
    <definedName name="_CH4" localSheetId="43">[1]Lists!#REF!</definedName>
    <definedName name="_CH4" localSheetId="44">[1]Lists!#REF!</definedName>
    <definedName name="_CH4" localSheetId="46">[1]Lists!#REF!</definedName>
    <definedName name="_CH4" localSheetId="47">[1]Lists!#REF!</definedName>
    <definedName name="_CH4" localSheetId="49">[1]Lists!#REF!</definedName>
    <definedName name="_CH4" localSheetId="14">[1]Lists!#REF!</definedName>
    <definedName name="_CH4" localSheetId="13">[1]Lists!#REF!</definedName>
    <definedName name="_CH4" localSheetId="25">[1]Lists!#REF!</definedName>
    <definedName name="_CH4" localSheetId="6">[1]Lists!#REF!</definedName>
    <definedName name="_CH4" localSheetId="40">[1]Lists!#REF!</definedName>
    <definedName name="_CH4" localSheetId="3">[1]Lists!#REF!</definedName>
    <definedName name="_CH4" localSheetId="16">[1]Lists!#REF!</definedName>
    <definedName name="_CH4" localSheetId="29">[1]Lists!#REF!</definedName>
    <definedName name="_CH4" localSheetId="5">[1]Lists!#REF!</definedName>
    <definedName name="_CH4" localSheetId="41">[1]Lists!#REF!</definedName>
    <definedName name="_CH4" localSheetId="38">[1]Lists!#REF!</definedName>
    <definedName name="_CH4" localSheetId="23">[1]Lists!#REF!</definedName>
    <definedName name="_CH4" localSheetId="0">[1]Lists!#REF!</definedName>
    <definedName name="_CH4" localSheetId="24">[1]Lists!#REF!</definedName>
    <definedName name="_CH4" localSheetId="35">[2]Lists!#REF!</definedName>
    <definedName name="_CH4" localSheetId="36">[2]Lists!#REF!</definedName>
    <definedName name="_CH4" localSheetId="45">[1]Lists!#REF!</definedName>
    <definedName name="_CH4">[1]Lists!#REF!</definedName>
    <definedName name="_xlnm._FilterDatabase" localSheetId="46" hidden="1">Data_3!$B$10:$C$92</definedName>
    <definedName name="_xlnm._FilterDatabase" localSheetId="14" hidden="1">Database!$B$13:$J$14</definedName>
    <definedName name="AB" localSheetId="17">Lists!#REF!</definedName>
    <definedName name="AB" localSheetId="18">Lists!#REF!</definedName>
    <definedName name="AB" localSheetId="19">Lists!#REF!</definedName>
    <definedName name="AB" localSheetId="20">Lists!#REF!</definedName>
    <definedName name="AB" localSheetId="21">Lists!#REF!</definedName>
    <definedName name="AFOLU" localSheetId="37">Lists!#REF!</definedName>
    <definedName name="AFOLU" localSheetId="28">Lists!#REF!</definedName>
    <definedName name="AFOLU" localSheetId="39">Lists!#REF!</definedName>
    <definedName name="AFOLU" localSheetId="33">[1]Lists!#REF!</definedName>
    <definedName name="AFOLU" localSheetId="15">Lists!#REF!</definedName>
    <definedName name="AFOLU" localSheetId="31">Lists!#REF!</definedName>
    <definedName name="AFOLU" localSheetId="9">Lists!#REF!</definedName>
    <definedName name="AFOLU" localSheetId="7">Lists!#REF!</definedName>
    <definedName name="AFOLU" localSheetId="8">Lists!#REF!</definedName>
    <definedName name="AFOLU" localSheetId="43">Lists!#REF!</definedName>
    <definedName name="AFOLU" localSheetId="44">Lists!#REF!</definedName>
    <definedName name="AFOLU" localSheetId="46">Lists!#REF!</definedName>
    <definedName name="AFOLU" localSheetId="47">Lists!#REF!</definedName>
    <definedName name="AFOLU" localSheetId="49">Lists!#REF!</definedName>
    <definedName name="AFOLU" localSheetId="14">Lists!#REF!</definedName>
    <definedName name="AFOLU" localSheetId="13">Lists!#REF!</definedName>
    <definedName name="AFOLU" localSheetId="32">[1]Lists!#REF!</definedName>
    <definedName name="AFOLU" localSheetId="25">Lists!#REF!</definedName>
    <definedName name="AFOLU" localSheetId="6">Lists!#REF!</definedName>
    <definedName name="AFOLU" localSheetId="40">Lists!#REF!</definedName>
    <definedName name="AFOLU" localSheetId="3">Lists!#REF!</definedName>
    <definedName name="AFOLU" localSheetId="16">Lists!#REF!</definedName>
    <definedName name="AFOLU" localSheetId="29">Lists!#REF!</definedName>
    <definedName name="AFOLU" localSheetId="5">Lists!#REF!</definedName>
    <definedName name="AFOLU" localSheetId="41">Lists!#REF!</definedName>
    <definedName name="AFOLU" localSheetId="38">Lists!#REF!</definedName>
    <definedName name="AFOLU" localSheetId="23">Lists!#REF!</definedName>
    <definedName name="AFOLU" localSheetId="0">[3]Lists!#REF!</definedName>
    <definedName name="AFOLU" localSheetId="24">Lists!#REF!</definedName>
    <definedName name="AFOLU" localSheetId="35">[2]Lists!#REF!</definedName>
    <definedName name="AFOLU" localSheetId="36">[2]Lists!#REF!</definedName>
    <definedName name="AFOLU" localSheetId="45">Lists!#REF!</definedName>
    <definedName name="AFOLU">Lists!#REF!</definedName>
    <definedName name="AFOLU_Aggregate">Lists!$AX$3:$AX$23</definedName>
    <definedName name="AFOLU_Land" localSheetId="33">[4]Lists!$AV$3:$AV$47</definedName>
    <definedName name="AFOLU_Land" localSheetId="0">[3]Lists!$AV$3:$AV$47</definedName>
    <definedName name="AFOLU_Land" localSheetId="35">[4]Lists!$AV$3:$AV$47</definedName>
    <definedName name="AFOLU_Land">Lists!$AV$3:$AV$47</definedName>
    <definedName name="AFOLU_Livestock" localSheetId="33">[1]Lists!$AX$3:$AX$15</definedName>
    <definedName name="AFOLU_Livestock" localSheetId="32">[1]Lists!$AX$3:$AX$15</definedName>
    <definedName name="AFOLU_Livestock" localSheetId="0">[3]Lists!$AT$3:$AT$15</definedName>
    <definedName name="AFOLU_Livestock" localSheetId="35">[2]Lists!$AX$3:$AX$15</definedName>
    <definedName name="AFOLU_Livestock" localSheetId="36">[2]Lists!$AX$3:$AX$15</definedName>
    <definedName name="AFOLU_Livestock">Lists!$AT$3:$AT$15</definedName>
    <definedName name="Aggregate" localSheetId="33">[1]Lists!$BB$3:$BB$23</definedName>
    <definedName name="Aggregate" localSheetId="32">[1]Lists!$BB$3:$BB$23</definedName>
    <definedName name="Aggregate" localSheetId="25">[5]Lists!$AP$3:$AP$23</definedName>
    <definedName name="Aggregate" localSheetId="29">[5]Lists!$AP$3:$AP$23</definedName>
    <definedName name="Aggregate" localSheetId="26">[5]Lists!$AP$3:$AP$23</definedName>
    <definedName name="Aggregate" localSheetId="41">[5]Lists!$AP$3:$AP$23</definedName>
    <definedName name="Aggregate" localSheetId="0">[3]Lists!$AX$3:$AX$23</definedName>
    <definedName name="Aggregate" localSheetId="24">[5]Lists!$AP$3:$AP$23</definedName>
    <definedName name="Aggregate" localSheetId="35">[2]Lists!$BB$3:$BB$23</definedName>
    <definedName name="Aggregate" localSheetId="36">[2]Lists!$BB$3:$BB$23</definedName>
    <definedName name="Aggregate">Lists!$AX$3:$AX$23</definedName>
    <definedName name="Aggregate_sources" localSheetId="37">Lists!#REF!</definedName>
    <definedName name="Aggregate_sources" localSheetId="28">Lists!#REF!</definedName>
    <definedName name="Aggregate_sources" localSheetId="39">Lists!#REF!</definedName>
    <definedName name="Aggregate_sources" localSheetId="33">[1]Lists!#REF!</definedName>
    <definedName name="Aggregate_sources" localSheetId="15">Lists!#REF!</definedName>
    <definedName name="Aggregate_sources" localSheetId="31">Lists!#REF!</definedName>
    <definedName name="Aggregate_sources" localSheetId="9">Lists!#REF!</definedName>
    <definedName name="Aggregate_sources" localSheetId="7">Lists!#REF!</definedName>
    <definedName name="Aggregate_sources" localSheetId="8">Lists!#REF!</definedName>
    <definedName name="Aggregate_sources" localSheetId="43">Lists!#REF!</definedName>
    <definedName name="Aggregate_sources" localSheetId="44">Lists!#REF!</definedName>
    <definedName name="Aggregate_sources" localSheetId="46">Lists!#REF!</definedName>
    <definedName name="Aggregate_sources" localSheetId="47">Lists!#REF!</definedName>
    <definedName name="Aggregate_sources" localSheetId="49">Lists!#REF!</definedName>
    <definedName name="Aggregate_sources" localSheetId="14">Lists!#REF!</definedName>
    <definedName name="Aggregate_sources" localSheetId="13">Lists!#REF!</definedName>
    <definedName name="Aggregate_sources" localSheetId="32">[1]Lists!#REF!</definedName>
    <definedName name="Aggregate_sources" localSheetId="25">Lists!#REF!</definedName>
    <definedName name="Aggregate_sources" localSheetId="6">Lists!#REF!</definedName>
    <definedName name="Aggregate_sources" localSheetId="40">Lists!#REF!</definedName>
    <definedName name="Aggregate_sources" localSheetId="3">Lists!#REF!</definedName>
    <definedName name="Aggregate_sources" localSheetId="16">Lists!#REF!</definedName>
    <definedName name="Aggregate_sources" localSheetId="29">Lists!#REF!</definedName>
    <definedName name="Aggregate_sources" localSheetId="5">Lists!#REF!</definedName>
    <definedName name="Aggregate_sources" localSheetId="41">Lists!#REF!</definedName>
    <definedName name="Aggregate_sources" localSheetId="38">Lists!#REF!</definedName>
    <definedName name="Aggregate_sources" localSheetId="23">Lists!#REF!</definedName>
    <definedName name="Aggregate_sources" localSheetId="0">[3]Lists!#REF!</definedName>
    <definedName name="Aggregate_sources" localSheetId="24">Lists!#REF!</definedName>
    <definedName name="Aggregate_sources" localSheetId="35">[2]Lists!#REF!</definedName>
    <definedName name="Aggregate_sources" localSheetId="36">[2]Lists!#REF!</definedName>
    <definedName name="Aggregate_sources" localSheetId="45">Lists!#REF!</definedName>
    <definedName name="Aggregate_sources">Lists!#REF!</definedName>
    <definedName name="Air" localSheetId="33">[1]Lists!$AH$3:$AH$15</definedName>
    <definedName name="Air" localSheetId="32">[1]Lists!$AH$3:$AH$15</definedName>
    <definedName name="Air" localSheetId="25">[5]Lists!$V$3:$V$15</definedName>
    <definedName name="Air" localSheetId="29">[5]Lists!$V$3:$V$15</definedName>
    <definedName name="Air" localSheetId="26">[5]Lists!$V$3:$V$15</definedName>
    <definedName name="Air" localSheetId="41">[5]Lists!$V$3:$V$15</definedName>
    <definedName name="Air" localSheetId="0">[3]Lists!$AD$3:$AD$15</definedName>
    <definedName name="Air" localSheetId="24">[5]Lists!$V$3:$V$15</definedName>
    <definedName name="Air" localSheetId="35">[2]Lists!$AH$3:$AH$15</definedName>
    <definedName name="Air" localSheetId="36">[2]Lists!$AH$3:$AH$15</definedName>
    <definedName name="Air">Lists!$AD$3:$AD$15</definedName>
    <definedName name="Audit" localSheetId="33">[1]Lists!$J$3:$J$7</definedName>
    <definedName name="Audit" localSheetId="32">[1]Lists!$J$3:$J$7</definedName>
    <definedName name="Audit" localSheetId="0">[3]Lists!$G$3:$G$7</definedName>
    <definedName name="Audit" localSheetId="35">[2]Lists!$J$3:$J$7</definedName>
    <definedName name="Audit" localSheetId="36">[2]Lists!$J$3:$J$7</definedName>
    <definedName name="Audit">Lists!$G$3:$G$7</definedName>
    <definedName name="Base_year">Lists!$BZ$3:$BZ$45</definedName>
    <definedName name="Bench_Type">Lists!$CA$3:$CA$8</definedName>
    <definedName name="Benchmark_inventory_year">Lists!$CO$3:$CO$26</definedName>
    <definedName name="Biological_Treatment" localSheetId="33">[1]Lists!$AL$3:$AL$8</definedName>
    <definedName name="Biological_Treatment" localSheetId="32">[1]Lists!$AL$3:$AL$8</definedName>
    <definedName name="Biological_Treatment" localSheetId="25">[5]Lists!$Z$3:$Z$8</definedName>
    <definedName name="Biological_Treatment" localSheetId="29">[5]Lists!$Z$3:$Z$8</definedName>
    <definedName name="Biological_Treatment" localSheetId="26">[5]Lists!$Z$3:$Z$8</definedName>
    <definedName name="Biological_Treatment" localSheetId="41">[5]Lists!$Z$3:$Z$8</definedName>
    <definedName name="Biological_Treatment" localSheetId="0">[3]Lists!$AH$3:$AH$8</definedName>
    <definedName name="Biological_Treatment" localSheetId="24">[5]Lists!$Z$3:$Z$8</definedName>
    <definedName name="Biological_Treatment" localSheetId="35">[2]Lists!$AL$3:$AL$8</definedName>
    <definedName name="Biological_Treatment" localSheetId="36">[2]Lists!$AL$3:$AL$8</definedName>
    <definedName name="Biological_Treatment">Lists!$AH$3:$AH$8</definedName>
    <definedName name="BIOTOOL_Treatment" localSheetId="33">[4]Lists!$BU$3:$BU$6</definedName>
    <definedName name="BIOTOOL_Treatment" localSheetId="35">[4]Lists!$BU$3:$BU$6</definedName>
    <definedName name="BIOTOOL_Treatment">Lists!$BU$3:$BU$6</definedName>
    <definedName name="BIOTOOL_Waste" localSheetId="33">[4]Lists!$BT$4:$BT$6</definedName>
    <definedName name="BIOTOOL_Waste" localSheetId="35">[4]Lists!$BT$4:$BT$6</definedName>
    <definedName name="BIOTOOL_Waste">Lists!$BT$4:$BT$6</definedName>
    <definedName name="Boundary" localSheetId="33">[1]Lists!$A$3:$A$8</definedName>
    <definedName name="Boundary" localSheetId="32">[1]Lists!$A$3:$A$8</definedName>
    <definedName name="Boundary" localSheetId="25">[5]Lists!$A$3:$A$8</definedName>
    <definedName name="Boundary" localSheetId="29">[5]Lists!$A$3:$A$8</definedName>
    <definedName name="Boundary" localSheetId="26">[5]Lists!$A$3:$A$8</definedName>
    <definedName name="Boundary" localSheetId="41">[5]Lists!$A$3:$A$8</definedName>
    <definedName name="Boundary" localSheetId="0">[3]Lists!$A$3:$A$8</definedName>
    <definedName name="Boundary" localSheetId="24">[5]Lists!$A$3:$A$8</definedName>
    <definedName name="Boundary" localSheetId="35">[2]Lists!$A$3:$A$8</definedName>
    <definedName name="Boundary" localSheetId="36">[2]Lists!$A$3:$A$8</definedName>
    <definedName name="Boundary">Lists!$A$3:$A$8</definedName>
    <definedName name="CH4_2AR" localSheetId="37">Analysis!$J$12</definedName>
    <definedName name="CH4_2AR" localSheetId="28">Audit!$J$15</definedName>
    <definedName name="CH4_2AR" localSheetId="39">Benchmark!#REF!</definedName>
    <definedName name="CH4_2AR" localSheetId="31">Calculators!#REF!</definedName>
    <definedName name="CH4_2AR" localSheetId="9">'Compact of Mayors'!#REF!</definedName>
    <definedName name="CH4_2AR" localSheetId="7">'Conversion factors'!#REF!</definedName>
    <definedName name="CH4_2AR" localSheetId="8">'Conversion factors_2'!#REF!</definedName>
    <definedName name="CH4_2AR" localSheetId="43">Data!#REF!</definedName>
    <definedName name="CH4_2AR" localSheetId="44">Data_2!#REF!</definedName>
    <definedName name="CH4_2AR" localSheetId="46">Data_3!#REF!</definedName>
    <definedName name="CH4_2AR" localSheetId="47">Data_4a!#REF!</definedName>
    <definedName name="CH4_2AR" localSheetId="49">Data_5!#REF!</definedName>
    <definedName name="CH4_2AR" localSheetId="6">GWP!$I$14</definedName>
    <definedName name="CH4_2AR" localSheetId="40">'Heat map'!$L$18</definedName>
    <definedName name="CH4_2AR" localSheetId="3">Home!#REF!</definedName>
    <definedName name="CH4_2AR" localSheetId="16">Inventory!#REF!</definedName>
    <definedName name="CH4_2AR" localSheetId="5">'Notation keys'!#REF!</definedName>
    <definedName name="CH4_2AR" localSheetId="38">Progress!#REF!</definedName>
    <definedName name="CH4_2AR" localSheetId="23">Results!$J$12</definedName>
    <definedName name="CH4_2AR" localSheetId="45">'x Data_2'!#REF!</definedName>
    <definedName name="CH4_2AR">GPC!$I$134</definedName>
    <definedName name="CH4_3AR" localSheetId="37">Analysis!$I$12</definedName>
    <definedName name="CH4_3AR" localSheetId="28">Audit!$I$15</definedName>
    <definedName name="CH4_3AR" localSheetId="39">Benchmark!#REF!</definedName>
    <definedName name="CH4_3AR" localSheetId="31">Calculators!#REF!</definedName>
    <definedName name="CH4_3AR" localSheetId="9">'Compact of Mayors'!#REF!</definedName>
    <definedName name="CH4_3AR" localSheetId="7">'Conversion factors'!#REF!</definedName>
    <definedName name="CH4_3AR" localSheetId="8">'Conversion factors_2'!#REF!</definedName>
    <definedName name="CH4_3AR" localSheetId="43">Data!#REF!</definedName>
    <definedName name="CH4_3AR" localSheetId="44">Data_2!#REF!</definedName>
    <definedName name="CH4_3AR" localSheetId="46">Data_3!#REF!</definedName>
    <definedName name="CH4_3AR" localSheetId="47">Data_4a!#REF!</definedName>
    <definedName name="CH4_3AR" localSheetId="49">Data_5!#REF!</definedName>
    <definedName name="CH4_3AR" localSheetId="6">GWP!$H$14</definedName>
    <definedName name="CH4_3AR" localSheetId="40">'Heat map'!$K$18</definedName>
    <definedName name="CH4_3AR" localSheetId="3">Home!#REF!</definedName>
    <definedName name="CH4_3AR" localSheetId="16">Inventory!#REF!</definedName>
    <definedName name="CH4_3AR" localSheetId="5">'Notation keys'!#REF!</definedName>
    <definedName name="CH4_3AR" localSheetId="38">Progress!#REF!</definedName>
    <definedName name="CH4_3AR" localSheetId="23">Results!$I$12</definedName>
    <definedName name="CH4_3AR" localSheetId="45">'x Data_2'!#REF!</definedName>
    <definedName name="CH4_3AR">GPC!$H$134</definedName>
    <definedName name="CH4_4AR" localSheetId="37">Analysis!#REF!</definedName>
    <definedName name="CH4_4AR" localSheetId="28">Audit!#REF!</definedName>
    <definedName name="CH4_4AR" localSheetId="39">Benchmark!#REF!</definedName>
    <definedName name="CH4_4AR" localSheetId="31">Calculators!#REF!</definedName>
    <definedName name="CH4_4AR" localSheetId="9">'Compact of Mayors'!#REF!</definedName>
    <definedName name="CH4_4AR" localSheetId="7">'Conversion factors'!#REF!</definedName>
    <definedName name="CH4_4AR" localSheetId="8">'Conversion factors_2'!#REF!</definedName>
    <definedName name="CH4_4AR" localSheetId="43">Data!#REF!</definedName>
    <definedName name="CH4_4AR" localSheetId="44">Data_2!#REF!</definedName>
    <definedName name="CH4_4AR" localSheetId="46">Data_3!#REF!</definedName>
    <definedName name="CH4_4AR" localSheetId="47">Data_4a!#REF!</definedName>
    <definedName name="CH4_4AR" localSheetId="49">Data_5!#REF!</definedName>
    <definedName name="CH4_4AR" localSheetId="6">GWP!$G$14</definedName>
    <definedName name="CH4_4AR" localSheetId="40">'Heat map'!#REF!</definedName>
    <definedName name="CH4_4AR" localSheetId="3">Home!#REF!</definedName>
    <definedName name="CH4_4AR" localSheetId="16">Inventory!#REF!</definedName>
    <definedName name="CH4_4AR" localSheetId="5">'Notation keys'!#REF!</definedName>
    <definedName name="CH4_4AR" localSheetId="38">Progress!#REF!</definedName>
    <definedName name="CH4_4AR" localSheetId="23">Results!#REF!</definedName>
    <definedName name="CH4_4AR" localSheetId="45">'x Data_2'!#REF!</definedName>
    <definedName name="CH4_4AR">GPC!$G$134</definedName>
    <definedName name="CH4_5AR" localSheetId="37">Analysis!$F$12</definedName>
    <definedName name="CH4_5AR" localSheetId="28">Audit!$F$15</definedName>
    <definedName name="CH4_5AR" localSheetId="39">Benchmark!#REF!</definedName>
    <definedName name="CH4_5AR" localSheetId="31">Calculators!#REF!</definedName>
    <definedName name="CH4_5AR" localSheetId="9">'Compact of Mayors'!#REF!</definedName>
    <definedName name="CH4_5AR" localSheetId="7">'Conversion factors'!#REF!</definedName>
    <definedName name="CH4_5AR" localSheetId="8">'Conversion factors_2'!#REF!</definedName>
    <definedName name="CH4_5AR" localSheetId="43">Data!#REF!</definedName>
    <definedName name="CH4_5AR" localSheetId="44">Data_2!#REF!</definedName>
    <definedName name="CH4_5AR" localSheetId="46">Data_3!#REF!</definedName>
    <definedName name="CH4_5AR" localSheetId="47">Data_4a!#REF!</definedName>
    <definedName name="CH4_5AR" localSheetId="49">Data_5!#REF!</definedName>
    <definedName name="CH4_5AR" localSheetId="6">GWP!$F$14</definedName>
    <definedName name="CH4_5AR" localSheetId="40">'Heat map'!#REF!</definedName>
    <definedName name="CH4_5AR" localSheetId="3">Home!#REF!</definedName>
    <definedName name="CH4_5AR" localSheetId="16">Inventory!#REF!</definedName>
    <definedName name="CH4_5AR" localSheetId="5">'Notation keys'!#REF!</definedName>
    <definedName name="CH4_5AR" localSheetId="38">Progress!#REF!</definedName>
    <definedName name="CH4_5AR" localSheetId="23">Results!$F$12</definedName>
    <definedName name="CH4_5AR" localSheetId="45">'x Data_2'!#REF!</definedName>
    <definedName name="CH4_5AR">GPC!$F$134</definedName>
    <definedName name="Cities_unique">Data_3!$B$12:$C$92</definedName>
    <definedName name="City_information" localSheetId="15">Blank!#REF!</definedName>
    <definedName name="City_information" localSheetId="14">Database!#REF!</definedName>
    <definedName name="City_information">'City information'!$E$10</definedName>
    <definedName name="Climate" localSheetId="33">[1]Lists!$F$3:$F$24</definedName>
    <definedName name="Climate" localSheetId="32">[1]Lists!$F$3:$F$24</definedName>
    <definedName name="Climate" localSheetId="25">[5]Lists!$C$4:$C$24</definedName>
    <definedName name="Climate" localSheetId="29">[5]Lists!$C$4:$C$24</definedName>
    <definedName name="Climate" localSheetId="26">[5]Lists!$C$4:$C$24</definedName>
    <definedName name="Climate" localSheetId="41">[5]Lists!$C$4:$C$24</definedName>
    <definedName name="Climate" localSheetId="0">[3]Lists!$C$3:$C$24</definedName>
    <definedName name="Climate" localSheetId="24">[5]Lists!$C$4:$C$24</definedName>
    <definedName name="Climate" localSheetId="35">[2]Lists!$F$3:$F$24</definedName>
    <definedName name="Climate" localSheetId="36">[2]Lists!$F$3:$F$24</definedName>
    <definedName name="Climate">Lists!$C$3:$C$24</definedName>
    <definedName name="Conversion" localSheetId="37">[1]Lists!#REF!</definedName>
    <definedName name="Conversion" localSheetId="28">[1]Lists!#REF!</definedName>
    <definedName name="Conversion" localSheetId="39">[1]Lists!#REF!</definedName>
    <definedName name="Conversion" localSheetId="33">[1]Lists!#REF!</definedName>
    <definedName name="Conversion" localSheetId="15">[1]Lists!#REF!</definedName>
    <definedName name="Conversion" localSheetId="31">[1]Lists!#REF!</definedName>
    <definedName name="Conversion" localSheetId="9">[1]Lists!#REF!</definedName>
    <definedName name="Conversion" localSheetId="7">[1]Lists!#REF!</definedName>
    <definedName name="Conversion" localSheetId="8">[1]Lists!#REF!</definedName>
    <definedName name="Conversion" localSheetId="43">[1]Lists!#REF!</definedName>
    <definedName name="Conversion" localSheetId="44">[1]Lists!#REF!</definedName>
    <definedName name="Conversion" localSheetId="46">[1]Lists!#REF!</definedName>
    <definedName name="Conversion" localSheetId="47">[1]Lists!#REF!</definedName>
    <definedName name="Conversion" localSheetId="49">[1]Lists!#REF!</definedName>
    <definedName name="Conversion" localSheetId="14">[1]Lists!#REF!</definedName>
    <definedName name="Conversion" localSheetId="13">[1]Lists!#REF!</definedName>
    <definedName name="Conversion" localSheetId="25">[5]Lists!#REF!</definedName>
    <definedName name="Conversion" localSheetId="6">[1]Lists!#REF!</definedName>
    <definedName name="Conversion" localSheetId="40">[1]Lists!#REF!</definedName>
    <definedName name="Conversion" localSheetId="3">[1]Lists!#REF!</definedName>
    <definedName name="Conversion" localSheetId="16">[1]Lists!#REF!</definedName>
    <definedName name="Conversion" localSheetId="29">[5]Lists!#REF!</definedName>
    <definedName name="Conversion" localSheetId="5">[1]Lists!#REF!</definedName>
    <definedName name="Conversion" localSheetId="26">[5]Lists!#REF!</definedName>
    <definedName name="Conversion" localSheetId="41">[5]Lists!#REF!</definedName>
    <definedName name="Conversion" localSheetId="38">[1]Lists!#REF!</definedName>
    <definedName name="Conversion" localSheetId="23">[1]Lists!#REF!</definedName>
    <definedName name="Conversion" localSheetId="0">[1]Lists!#REF!</definedName>
    <definedName name="Conversion" localSheetId="24">[5]Lists!#REF!</definedName>
    <definedName name="Conversion" localSheetId="35">[2]Lists!#REF!</definedName>
    <definedName name="Conversion" localSheetId="36">[2]Lists!#REF!</definedName>
    <definedName name="Conversion" localSheetId="45">[1]Lists!#REF!</definedName>
    <definedName name="Conversion">[1]Lists!#REF!</definedName>
    <definedName name="Conversion_factor_from">'Conversion factors_2'!$B$10:$B$111</definedName>
    <definedName name="Conversion_factor_to">'Conversion factors_2'!$B$10:$CY$10</definedName>
    <definedName name="Conversion_factors">'Conversion factors'!$A$1</definedName>
    <definedName name="Country">Wastewater!$B$267:$B$494</definedName>
    <definedName name="Data_sources">'Data sources'!$B$13</definedName>
    <definedName name="DataSource" localSheetId="33">'[1]Data sources'!$C$9:$C$18</definedName>
    <definedName name="DataSource" localSheetId="32">'[1]Data sources'!$C$9:$C$18</definedName>
    <definedName name="DataSource" localSheetId="0">'[3]Data sources'!$C$9:$C$33</definedName>
    <definedName name="DataSource" localSheetId="35">'[2]Data sources'!$C$9:$C$18</definedName>
    <definedName name="DataSource" localSheetId="36">'[2]Data sources'!$C$9:$C$18</definedName>
    <definedName name="DataSource">'Data sources'!$E$13:$E$51</definedName>
    <definedName name="DQ" localSheetId="33">[1]Lists!$P$3:$P$6</definedName>
    <definedName name="DQ" localSheetId="32">[1]Lists!$P$3:$P$6</definedName>
    <definedName name="DQ" localSheetId="25">[5]Lists!$E$3:$E$6</definedName>
    <definedName name="DQ" localSheetId="29">[5]Lists!$E$3:$E$6</definedName>
    <definedName name="DQ" localSheetId="26">[5]Lists!$E$3:$E$6</definedName>
    <definedName name="DQ" localSheetId="41">[5]Lists!$E$3:$E$6</definedName>
    <definedName name="DQ" localSheetId="0">[3]Lists!$L$3:$L$6</definedName>
    <definedName name="DQ" localSheetId="24">[5]Lists!$E$3:$E$6</definedName>
    <definedName name="DQ" localSheetId="35">[2]Lists!$P$3:$P$6</definedName>
    <definedName name="DQ" localSheetId="36">[2]Lists!$P$3:$P$6</definedName>
    <definedName name="DQ">Lists!$L$3:$L$6</definedName>
    <definedName name="Economy" localSheetId="33">[1]Lists!$E$3:$E$8</definedName>
    <definedName name="Economy" localSheetId="32">[1]Lists!$E$3:$E$8</definedName>
    <definedName name="Economy" localSheetId="25">[5]Lists!$B$4:$B$8</definedName>
    <definedName name="Economy" localSheetId="29">[5]Lists!$B$4:$B$8</definedName>
    <definedName name="Economy" localSheetId="26">[5]Lists!$B$4:$B$8</definedName>
    <definedName name="Economy" localSheetId="41">[5]Lists!$B$4:$B$8</definedName>
    <definedName name="Economy" localSheetId="0">[3]Lists!$B$3:$B$8</definedName>
    <definedName name="Economy" localSheetId="24">[5]Lists!$B$4:$B$8</definedName>
    <definedName name="Economy" localSheetId="35">[2]Lists!$E$3:$E$8</definedName>
    <definedName name="Economy" localSheetId="36">[2]Lists!$E$3:$E$8</definedName>
    <definedName name="Economy">Lists!$B$3:$B$8</definedName>
    <definedName name="EF_Mass_units" localSheetId="33">[1]Lists!$N$3:$N$11</definedName>
    <definedName name="EF_Mass_units" localSheetId="32">[1]Lists!$N$3:$N$11</definedName>
    <definedName name="EF_Mass_units" localSheetId="0">[3]Lists!$J$3:$J$11</definedName>
    <definedName name="EF_Mass_units" localSheetId="35">[2]Lists!$N$3:$N$11</definedName>
    <definedName name="EF_Mass_units" localSheetId="36">[2]Lists!$N$3:$N$11</definedName>
    <definedName name="EF_Mass_units">Lists!$J$3:$J$11</definedName>
    <definedName name="EF_Type" localSheetId="33">[1]Lists!$M$3:$M$6</definedName>
    <definedName name="EF_Type" localSheetId="32">[1]Lists!$M$3:$M$6</definedName>
    <definedName name="EF_Type" localSheetId="0">[3]Lists!$I$3:$I$6</definedName>
    <definedName name="EF_Type" localSheetId="35">[2]Lists!$M$3:$M$6</definedName>
    <definedName name="EF_Type" localSheetId="36">[2]Lists!$M$3:$M$6</definedName>
    <definedName name="EF_Type">Lists!$I$3:$I$6</definedName>
    <definedName name="EmissionFactor" localSheetId="33">'[1]Emission factors'!$C$10:$C$20</definedName>
    <definedName name="EmissionFactor" localSheetId="13">'F-Gases'!$D$16:$D$41</definedName>
    <definedName name="EmissionFactor" localSheetId="32">'[1]Emission factors'!$C$10:$C$20</definedName>
    <definedName name="EmissionFactor" localSheetId="0">'[3]Emission factors'!$C$10:$C$35</definedName>
    <definedName name="EmissionFactor" localSheetId="35">'[2]Emission factors'!$C$10:$C$20</definedName>
    <definedName name="EmissionFactor" localSheetId="36">'[2]Emission factors'!$C$10:$C$20</definedName>
    <definedName name="EmissionFactor">'Emission factors'!$D$16:$D$56</definedName>
    <definedName name="EmissionFactors_F">'F-Gases'!$D$16:$D$41</definedName>
    <definedName name="Energy_Industries" localSheetId="33">[1]Lists!$U$3:$U$8</definedName>
    <definedName name="Energy_Industries" localSheetId="32">[1]Lists!$U$3:$U$8</definedName>
    <definedName name="Energy_Industries" localSheetId="25">[5]Lists!$I$3:$I$8</definedName>
    <definedName name="Energy_Industries" localSheetId="29">[5]Lists!$I$3:$I$8</definedName>
    <definedName name="Energy_Industries" localSheetId="26">[5]Lists!$I$3:$I$8</definedName>
    <definedName name="Energy_Industries" localSheetId="41">[5]Lists!$I$3:$I$8</definedName>
    <definedName name="Energy_Industries" localSheetId="0">[3]Lists!$Q$3:$Q$8</definedName>
    <definedName name="Energy_Industries" localSheetId="24">[5]Lists!$I$3:$I$8</definedName>
    <definedName name="Energy_Industries" localSheetId="35">[2]Lists!$U$3:$U$8</definedName>
    <definedName name="Energy_Industries" localSheetId="36">[2]Lists!$U$3:$U$8</definedName>
    <definedName name="Energy_Industries">Lists!$Q$3:$Q$8</definedName>
    <definedName name="Factor_for_non_consumed_protein_added_to_wastewater" localSheetId="37">#REF!</definedName>
    <definedName name="Factor_for_non_consumed_protein_added_to_wastewater" localSheetId="28">#REF!</definedName>
    <definedName name="Factor_for_non_consumed_protein_added_to_wastewater" localSheetId="39">#REF!</definedName>
    <definedName name="Factor_for_non_consumed_protein_added_to_wastewater" localSheetId="33">#REF!</definedName>
    <definedName name="Factor_for_non_consumed_protein_added_to_wastewater" localSheetId="15">#REF!</definedName>
    <definedName name="Factor_for_non_consumed_protein_added_to_wastewater" localSheetId="31">#REF!</definedName>
    <definedName name="Factor_for_non_consumed_protein_added_to_wastewater" localSheetId="9">#REF!</definedName>
    <definedName name="Factor_for_non_consumed_protein_added_to_wastewater" localSheetId="7">#REF!</definedName>
    <definedName name="Factor_for_non_consumed_protein_added_to_wastewater" localSheetId="8">#REF!</definedName>
    <definedName name="Factor_for_non_consumed_protein_added_to_wastewater" localSheetId="43">#REF!</definedName>
    <definedName name="Factor_for_non_consumed_protein_added_to_wastewater" localSheetId="44">#REF!</definedName>
    <definedName name="Factor_for_non_consumed_protein_added_to_wastewater" localSheetId="46">#REF!</definedName>
    <definedName name="Factor_for_non_consumed_protein_added_to_wastewater" localSheetId="47">#REF!</definedName>
    <definedName name="Factor_for_non_consumed_protein_added_to_wastewater" localSheetId="49">#REF!</definedName>
    <definedName name="Factor_for_non_consumed_protein_added_to_wastewater" localSheetId="14">#REF!</definedName>
    <definedName name="Factor_for_non_consumed_protein_added_to_wastewater" localSheetId="13">#REF!</definedName>
    <definedName name="Factor_for_non_consumed_protein_added_to_wastewater" localSheetId="32">#REF!</definedName>
    <definedName name="Factor_for_non_consumed_protein_added_to_wastewater" localSheetId="25">#REF!</definedName>
    <definedName name="Factor_for_non_consumed_protein_added_to_wastewater" localSheetId="6">#REF!</definedName>
    <definedName name="Factor_for_non_consumed_protein_added_to_wastewater" localSheetId="40">#REF!</definedName>
    <definedName name="Factor_for_non_consumed_protein_added_to_wastewater" localSheetId="3">#REF!</definedName>
    <definedName name="Factor_for_non_consumed_protein_added_to_wastewater" localSheetId="16">#REF!</definedName>
    <definedName name="Factor_for_non_consumed_protein_added_to_wastewater" localSheetId="29">#REF!</definedName>
    <definedName name="Factor_for_non_consumed_protein_added_to_wastewater" localSheetId="5">#REF!</definedName>
    <definedName name="Factor_for_non_consumed_protein_added_to_wastewater" localSheetId="41">#REF!</definedName>
    <definedName name="Factor_for_non_consumed_protein_added_to_wastewater" localSheetId="38">#REF!</definedName>
    <definedName name="Factor_for_non_consumed_protein_added_to_wastewater" localSheetId="23">#REF!</definedName>
    <definedName name="Factor_for_non_consumed_protein_added_to_wastewater" localSheetId="0">#REF!</definedName>
    <definedName name="Factor_for_non_consumed_protein_added_to_wastewater" localSheetId="24">#REF!</definedName>
    <definedName name="Factor_for_non_consumed_protein_added_to_wastewater" localSheetId="35">#REF!</definedName>
    <definedName name="Factor_for_non_consumed_protein_added_to_wastewater" localSheetId="45">#REF!</definedName>
    <definedName name="Factor_for_non_consumed_protein_added_to_wastewater">#REF!</definedName>
    <definedName name="FG_units">[1]Sheet1!$B$4:$B$7</definedName>
    <definedName name="FG_units1">[1]Sheet1!$B$3:$B$11</definedName>
    <definedName name="FGTOOL_Development" localSheetId="33">[4]Lists!$BS$4:$BS$6</definedName>
    <definedName name="FGTOOL_Development" localSheetId="35">[4]Lists!$BS$4:$BS$6</definedName>
    <definedName name="FGTOOL_Development">Lists!$BS$4:$BS$6</definedName>
    <definedName name="FGTOOL_Units" localSheetId="33">[4]Lists!$BR$3:$BR$13</definedName>
    <definedName name="FGTOOL_Units" localSheetId="35">[4]Lists!$BR$3:$BR$13</definedName>
    <definedName name="FGTOOL_Units">Lists!$BR$3:$BR$13</definedName>
    <definedName name="Frequency" localSheetId="33">[1]Lists!$BF$3:$BF$12</definedName>
    <definedName name="Frequency" localSheetId="32">[1]Lists!$BF$3:$BF$12</definedName>
    <definedName name="Frequency" localSheetId="25">[5]Lists!$AT$3:$AT$11</definedName>
    <definedName name="Frequency" localSheetId="29">[5]Lists!$AT$3:$AT$11</definedName>
    <definedName name="Frequency" localSheetId="26">[5]Lists!$AT$3:$AT$11</definedName>
    <definedName name="Frequency" localSheetId="41">[5]Lists!$AT$3:$AT$11</definedName>
    <definedName name="Frequency" localSheetId="0">[3]Lists!$BB$3:$BB$12</definedName>
    <definedName name="Frequency" localSheetId="24">[5]Lists!$AT$3:$AT$11</definedName>
    <definedName name="Frequency" localSheetId="35">[2]Lists!$BF$3:$BF$12</definedName>
    <definedName name="Frequency" localSheetId="36">[2]Lists!$BF$3:$BF$12</definedName>
    <definedName name="Frequency">Lists!$BB$3:$BB$12</definedName>
    <definedName name="Fugitive_Coal" localSheetId="33">[1]Lists!$W$3:$W$17</definedName>
    <definedName name="Fugitive_Coal" localSheetId="32">[1]Lists!$W$3:$W$17</definedName>
    <definedName name="Fugitive_Coal" localSheetId="25">[5]Lists!$K$3:$K$17</definedName>
    <definedName name="Fugitive_Coal" localSheetId="29">[5]Lists!$K$3:$K$17</definedName>
    <definedName name="Fugitive_Coal" localSheetId="26">[5]Lists!$K$3:$K$17</definedName>
    <definedName name="Fugitive_Coal" localSheetId="41">[5]Lists!$K$3:$K$17</definedName>
    <definedName name="Fugitive_Coal" localSheetId="0">[3]Lists!$S$3:$S$17</definedName>
    <definedName name="Fugitive_Coal" localSheetId="24">[5]Lists!$K$3:$K$17</definedName>
    <definedName name="Fugitive_Coal" localSheetId="35">[2]Lists!$W$3:$W$17</definedName>
    <definedName name="Fugitive_Coal" localSheetId="36">[2]Lists!$W$3:$W$17</definedName>
    <definedName name="Fugitive_Coal">Lists!$S$3:$S$17</definedName>
    <definedName name="fugitive_factors" localSheetId="37">'Fugitive gas'!#REF!</definedName>
    <definedName name="fugitive_factors" localSheetId="28">'Fugitive gas'!#REF!</definedName>
    <definedName name="fugitive_factors" localSheetId="39">'Fugitive gas'!#REF!</definedName>
    <definedName name="fugitive_factors" localSheetId="33">'Biological treatment'!#REF!</definedName>
    <definedName name="fugitive_factors" localSheetId="15">'Fugitive gas'!#REF!</definedName>
    <definedName name="fugitive_factors" localSheetId="31">'Fugitive gas'!#REF!</definedName>
    <definedName name="fugitive_factors" localSheetId="9">'Fugitive gas'!#REF!</definedName>
    <definedName name="fugitive_factors" localSheetId="7">'Fugitive gas'!#REF!</definedName>
    <definedName name="fugitive_factors" localSheetId="8">'Fugitive gas'!#REF!</definedName>
    <definedName name="fugitive_factors" localSheetId="43">'Fugitive gas'!#REF!</definedName>
    <definedName name="fugitive_factors" localSheetId="44">'Fugitive gas'!#REF!</definedName>
    <definedName name="fugitive_factors" localSheetId="46">'Fugitive gas'!#REF!</definedName>
    <definedName name="fugitive_factors" localSheetId="47">'Fugitive gas'!#REF!</definedName>
    <definedName name="fugitive_factors" localSheetId="49">'Fugitive gas'!#REF!</definedName>
    <definedName name="fugitive_factors" localSheetId="14">'Fugitive gas'!#REF!</definedName>
    <definedName name="fugitive_factors" localSheetId="13">'Fugitive gas'!#REF!</definedName>
    <definedName name="fugitive_factors" localSheetId="25">'Fugitive gas'!#REF!</definedName>
    <definedName name="fugitive_factors" localSheetId="6">'Fugitive gas'!#REF!</definedName>
    <definedName name="fugitive_factors" localSheetId="40">'Fugitive gas'!#REF!</definedName>
    <definedName name="fugitive_factors" localSheetId="3">'Fugitive gas'!#REF!</definedName>
    <definedName name="fugitive_factors" localSheetId="16">'Fugitive gas'!#REF!</definedName>
    <definedName name="fugitive_factors" localSheetId="29">'Fugitive gas'!#REF!</definedName>
    <definedName name="fugitive_factors" localSheetId="5">'Fugitive gas'!#REF!</definedName>
    <definedName name="fugitive_factors" localSheetId="41">'Fugitive gas'!#REF!</definedName>
    <definedName name="fugitive_factors" localSheetId="38">'Fugitive gas'!#REF!</definedName>
    <definedName name="fugitive_factors" localSheetId="23">'Fugitive gas'!#REF!</definedName>
    <definedName name="fugitive_factors" localSheetId="0">#REF!</definedName>
    <definedName name="fugitive_factors" localSheetId="24">'Fugitive gas'!#REF!</definedName>
    <definedName name="fugitive_factors" localSheetId="35">'[4]I.8 Fugitive gas'!#REF!</definedName>
    <definedName name="fugitive_factors" localSheetId="45">'Fugitive gas'!#REF!</definedName>
    <definedName name="fugitive_factors">'Fugitive gas'!#REF!</definedName>
    <definedName name="Fugitive_Oil_Gas" localSheetId="33">[1]Lists!$Y$3:$Y$23</definedName>
    <definedName name="Fugitive_Oil_Gas" localSheetId="32">[1]Lists!$Y$3:$Y$23</definedName>
    <definedName name="Fugitive_Oil_Gas" localSheetId="25">[5]Lists!$M$3:$M$23</definedName>
    <definedName name="Fugitive_Oil_Gas" localSheetId="29">[5]Lists!$M$3:$M$23</definedName>
    <definedName name="Fugitive_Oil_Gas" localSheetId="26">[5]Lists!$M$3:$M$23</definedName>
    <definedName name="Fugitive_Oil_Gas" localSheetId="41">[5]Lists!$M$3:$M$23</definedName>
    <definedName name="Fugitive_Oil_Gas" localSheetId="0">[3]Lists!$U$3:$U$23</definedName>
    <definedName name="Fugitive_Oil_Gas" localSheetId="24">[5]Lists!$M$3:$M$23</definedName>
    <definedName name="Fugitive_Oil_Gas" localSheetId="35">[2]Lists!$Y$3:$Y$23</definedName>
    <definedName name="Fugitive_Oil_Gas" localSheetId="36">[2]Lists!$Y$3:$Y$23</definedName>
    <definedName name="Fugitive_Oil_Gas">Lists!$U$3:$U$23</definedName>
    <definedName name="Gases" localSheetId="33">[1]Lists!$R$3:$R$20</definedName>
    <definedName name="Gases" localSheetId="32">[1]Lists!$R$3:$R$20</definedName>
    <definedName name="Gases" localSheetId="25">[5]Lists!$F$3:$F$20</definedName>
    <definedName name="Gases" localSheetId="29">[5]Lists!$F$3:$F$20</definedName>
    <definedName name="Gases" localSheetId="26">[5]Lists!$F$3:$F$20</definedName>
    <definedName name="Gases" localSheetId="41">[5]Lists!$F$3:$F$20</definedName>
    <definedName name="Gases" localSheetId="0">[3]Lists!$N$3:$N$20</definedName>
    <definedName name="Gases" localSheetId="24">[5]Lists!$F$3:$F$20</definedName>
    <definedName name="Gases" localSheetId="35">[2]Lists!$R$3:$R$20</definedName>
    <definedName name="Gases" localSheetId="36">[2]Lists!$R$3:$R$20</definedName>
    <definedName name="Gases">Lists!$N$3:$N$20</definedName>
    <definedName name="Gases_2" localSheetId="33">[1]Lists!$H$3:$H$7</definedName>
    <definedName name="Gases_2" localSheetId="32">[1]Lists!$H$3:$H$7</definedName>
    <definedName name="Gases_2" localSheetId="0">[3]Lists!$E$3:$E$7</definedName>
    <definedName name="Gases_2" localSheetId="35">[2]Lists!$H$3:$H$7</definedName>
    <definedName name="Gases_2" localSheetId="36">[2]Lists!$H$3:$H$7</definedName>
    <definedName name="Gases_2">Lists!$E$3:$E$7</definedName>
    <definedName name="GPC" localSheetId="37">[1]Lists!#REF!</definedName>
    <definedName name="GPC" localSheetId="28">[1]Lists!#REF!</definedName>
    <definedName name="GPC" localSheetId="39">[1]Lists!#REF!</definedName>
    <definedName name="GPC" localSheetId="33">[1]Lists!#REF!</definedName>
    <definedName name="GPC" localSheetId="15">[1]Lists!#REF!</definedName>
    <definedName name="GPC" localSheetId="31">[1]Lists!#REF!</definedName>
    <definedName name="GPC" localSheetId="9">[1]Lists!#REF!</definedName>
    <definedName name="GPC" localSheetId="7">[1]Lists!#REF!</definedName>
    <definedName name="GPC" localSheetId="8">[1]Lists!#REF!</definedName>
    <definedName name="GPC" localSheetId="43">[1]Lists!#REF!</definedName>
    <definedName name="GPC" localSheetId="44">[1]Lists!#REF!</definedName>
    <definedName name="GPC" localSheetId="46">[1]Lists!#REF!</definedName>
    <definedName name="GPC" localSheetId="47">[1]Lists!#REF!</definedName>
    <definedName name="GPC" localSheetId="49">[1]Lists!#REF!</definedName>
    <definedName name="GPC" localSheetId="14">[1]Lists!#REF!</definedName>
    <definedName name="GPC" localSheetId="13">[1]Lists!#REF!</definedName>
    <definedName name="GPC" localSheetId="25">[1]Lists!#REF!</definedName>
    <definedName name="GPC" localSheetId="6">[1]Lists!#REF!</definedName>
    <definedName name="GPC" localSheetId="40">[1]Lists!#REF!</definedName>
    <definedName name="GPC" localSheetId="16">[1]Lists!#REF!</definedName>
    <definedName name="GPC" localSheetId="29">[1]Lists!#REF!</definedName>
    <definedName name="GPC" localSheetId="5">[1]Lists!#REF!</definedName>
    <definedName name="GPC" localSheetId="41">[1]Lists!#REF!</definedName>
    <definedName name="GPC" localSheetId="38">[1]Lists!#REF!</definedName>
    <definedName name="GPC" localSheetId="23">[1]Lists!#REF!</definedName>
    <definedName name="GPC" localSheetId="0">[1]Lists!#REF!</definedName>
    <definedName name="GPC" localSheetId="24">[1]Lists!#REF!</definedName>
    <definedName name="GPC" localSheetId="35">[2]Lists!#REF!</definedName>
    <definedName name="GPC" localSheetId="36">[2]Lists!#REF!</definedName>
    <definedName name="GPC" localSheetId="45">[1]Lists!#REF!</definedName>
    <definedName name="GPC">[1]Lists!#REF!</definedName>
    <definedName name="GPC_REF">Report!$B$14:$B$91</definedName>
    <definedName name="GPC_Sector" localSheetId="37">[1]Lists!#REF!</definedName>
    <definedName name="GPC_Sector" localSheetId="28">[1]Lists!#REF!</definedName>
    <definedName name="GPC_Sector" localSheetId="39">[1]Lists!#REF!</definedName>
    <definedName name="GPC_Sector" localSheetId="33">[1]Lists!#REF!</definedName>
    <definedName name="GPC_Sector" localSheetId="15">[1]Lists!#REF!</definedName>
    <definedName name="GPC_Sector" localSheetId="31">[1]Lists!#REF!</definedName>
    <definedName name="GPC_Sector" localSheetId="9">[1]Lists!#REF!</definedName>
    <definedName name="GPC_Sector" localSheetId="7">[1]Lists!#REF!</definedName>
    <definedName name="GPC_Sector" localSheetId="8">[1]Lists!#REF!</definedName>
    <definedName name="GPC_Sector" localSheetId="43">[1]Lists!#REF!</definedName>
    <definedName name="GPC_Sector" localSheetId="44">[1]Lists!#REF!</definedName>
    <definedName name="GPC_Sector" localSheetId="46">[1]Lists!#REF!</definedName>
    <definedName name="GPC_Sector" localSheetId="47">[1]Lists!#REF!</definedName>
    <definedName name="GPC_Sector" localSheetId="49">[1]Lists!#REF!</definedName>
    <definedName name="GPC_Sector" localSheetId="14">[1]Lists!#REF!</definedName>
    <definedName name="GPC_Sector" localSheetId="13">[1]Lists!#REF!</definedName>
    <definedName name="GPC_Sector" localSheetId="25">[1]Lists!#REF!</definedName>
    <definedName name="GPC_Sector" localSheetId="6">[1]Lists!#REF!</definedName>
    <definedName name="GPC_Sector" localSheetId="40">[1]Lists!#REF!</definedName>
    <definedName name="GPC_Sector" localSheetId="3">[1]Lists!#REF!</definedName>
    <definedName name="GPC_Sector" localSheetId="16">[1]Lists!#REF!</definedName>
    <definedName name="GPC_Sector" localSheetId="29">[1]Lists!#REF!</definedName>
    <definedName name="GPC_Sector" localSheetId="5">[1]Lists!#REF!</definedName>
    <definedName name="GPC_Sector" localSheetId="41">[1]Lists!#REF!</definedName>
    <definedName name="GPC_Sector" localSheetId="38">[1]Lists!#REF!</definedName>
    <definedName name="GPC_Sector" localSheetId="23">[1]Lists!#REF!</definedName>
    <definedName name="GPC_Sector" localSheetId="0">[1]Lists!#REF!</definedName>
    <definedName name="GPC_Sector" localSheetId="24">[1]Lists!#REF!</definedName>
    <definedName name="GPC_Sector" localSheetId="35">[2]Lists!#REF!</definedName>
    <definedName name="GPC_Sector" localSheetId="36">[2]Lists!#REF!</definedName>
    <definedName name="GPC_Sector" localSheetId="45">[1]Lists!#REF!</definedName>
    <definedName name="GPC_Sector">[1]Lists!#REF!</definedName>
    <definedName name="GPC_Stationary" localSheetId="33">[1]Lists!$S$3:$S$37</definedName>
    <definedName name="GPC_Stationary" localSheetId="32">[1]Lists!$S$3:$S$37</definedName>
    <definedName name="GPC_Stationary" localSheetId="0">[3]Lists!$O$3:$O$37</definedName>
    <definedName name="GPC_Stationary" localSheetId="35">[2]Lists!$S$3:$S$37</definedName>
    <definedName name="GPC_Stationary" localSheetId="36">[2]Lists!$S$3:$S$37</definedName>
    <definedName name="GPC_Stationary">Lists!$O$3:$O$37</definedName>
    <definedName name="GPC_Stationary_2" localSheetId="37">[1]Lists!#REF!</definedName>
    <definedName name="GPC_Stationary_2" localSheetId="28">[1]Lists!#REF!</definedName>
    <definedName name="GPC_Stationary_2" localSheetId="39">[1]Lists!#REF!</definedName>
    <definedName name="GPC_Stationary_2" localSheetId="33">[1]Lists!#REF!</definedName>
    <definedName name="GPC_Stationary_2" localSheetId="15">[1]Lists!#REF!</definedName>
    <definedName name="GPC_Stationary_2" localSheetId="31">[1]Lists!#REF!</definedName>
    <definedName name="GPC_Stationary_2" localSheetId="9">[1]Lists!#REF!</definedName>
    <definedName name="GPC_Stationary_2" localSheetId="7">[1]Lists!#REF!</definedName>
    <definedName name="GPC_Stationary_2" localSheetId="8">[1]Lists!#REF!</definedName>
    <definedName name="GPC_Stationary_2" localSheetId="43">[1]Lists!#REF!</definedName>
    <definedName name="GPC_Stationary_2" localSheetId="44">[1]Lists!#REF!</definedName>
    <definedName name="GPC_Stationary_2" localSheetId="46">[1]Lists!#REF!</definedName>
    <definedName name="GPC_Stationary_2" localSheetId="47">[1]Lists!#REF!</definedName>
    <definedName name="GPC_Stationary_2" localSheetId="49">[1]Lists!#REF!</definedName>
    <definedName name="GPC_Stationary_2" localSheetId="14">[1]Lists!#REF!</definedName>
    <definedName name="GPC_Stationary_2" localSheetId="13">[1]Lists!#REF!</definedName>
    <definedName name="GPC_Stationary_2" localSheetId="25">[1]Lists!#REF!</definedName>
    <definedName name="GPC_Stationary_2" localSheetId="6">[1]Lists!#REF!</definedName>
    <definedName name="GPC_Stationary_2" localSheetId="40">[1]Lists!#REF!</definedName>
    <definedName name="GPC_Stationary_2" localSheetId="3">[1]Lists!#REF!</definedName>
    <definedName name="GPC_Stationary_2" localSheetId="16">[1]Lists!#REF!</definedName>
    <definedName name="GPC_Stationary_2" localSheetId="29">[1]Lists!#REF!</definedName>
    <definedName name="GPC_Stationary_2" localSheetId="5">[1]Lists!#REF!</definedName>
    <definedName name="GPC_Stationary_2" localSheetId="41">[1]Lists!#REF!</definedName>
    <definedName name="GPC_Stationary_2" localSheetId="38">[1]Lists!#REF!</definedName>
    <definedName name="GPC_Stationary_2" localSheetId="23">[1]Lists!#REF!</definedName>
    <definedName name="GPC_Stationary_2" localSheetId="0">[1]Lists!#REF!</definedName>
    <definedName name="GPC_Stationary_2" localSheetId="24">[1]Lists!#REF!</definedName>
    <definedName name="GPC_Stationary_2" localSheetId="35">[2]Lists!#REF!</definedName>
    <definedName name="GPC_Stationary_2" localSheetId="36">[2]Lists!#REF!</definedName>
    <definedName name="GPC_Stationary_2" localSheetId="45">[1]Lists!#REF!</definedName>
    <definedName name="GPC_Stationary_2">[1]Lists!#REF!</definedName>
    <definedName name="Graphs">Graphs!$A$1</definedName>
    <definedName name="Grid" localSheetId="33">[1]Lists!$T$3:$T$13</definedName>
    <definedName name="Grid" localSheetId="32">[1]Lists!$T$3:$T$13</definedName>
    <definedName name="Grid" localSheetId="25">[5]Lists!$H$3:$H$13</definedName>
    <definedName name="Grid" localSheetId="29">[5]Lists!$H$3:$H$13</definedName>
    <definedName name="Grid" localSheetId="26">[5]Lists!$H$3:$H$13</definedName>
    <definedName name="Grid" localSheetId="41">[5]Lists!$H$3:$H$13</definedName>
    <definedName name="Grid" localSheetId="0">[3]Lists!$P$3:$P$13</definedName>
    <definedName name="Grid" localSheetId="24">[5]Lists!$H$3:$H$13</definedName>
    <definedName name="Grid" localSheetId="35">[2]Lists!$T$3:$T$13</definedName>
    <definedName name="Grid" localSheetId="36">[2]Lists!$T$3:$T$13</definedName>
    <definedName name="Grid">Lists!$P$3:$P$13</definedName>
    <definedName name="GWP" localSheetId="33">[1]Lists!$I$3:$I$8</definedName>
    <definedName name="GWP" localSheetId="32">[1]Lists!$I$3:$I$8</definedName>
    <definedName name="GWP" localSheetId="0">[3]Lists!$F$3:$F$8</definedName>
    <definedName name="GWP" localSheetId="35">[2]Lists!$I$3:$I$8</definedName>
    <definedName name="GWP" localSheetId="36">[2]Lists!$I$3:$I$8</definedName>
    <definedName name="GWP">Lists!$F$3:$F$8</definedName>
    <definedName name="GWP_2" localSheetId="33">[1]Lists!$K$3:$K$8</definedName>
    <definedName name="GWP_2" localSheetId="32">[1]Lists!$K$3:$K$8</definedName>
    <definedName name="GWP_2" localSheetId="0">[3]Lists!$H$3:$H$8</definedName>
    <definedName name="GWP_2" localSheetId="35">[2]Lists!$K$3:$K$8</definedName>
    <definedName name="GWP_2" localSheetId="36">[2]Lists!$K$3:$K$8</definedName>
    <definedName name="GWP_2">Lists!$H$3:$H$8</definedName>
    <definedName name="Incineration" localSheetId="33">[1]Lists!$AN$3:$AN$6</definedName>
    <definedName name="Incineration" localSheetId="32">[1]Lists!$AN$3:$AN$6</definedName>
    <definedName name="Incineration" localSheetId="25">[5]Lists!$AB$3:$AB$6</definedName>
    <definedName name="Incineration" localSheetId="29">[5]Lists!$AB$3:$AB$6</definedName>
    <definedName name="Incineration" localSheetId="26">[5]Lists!$AB$3:$AB$6</definedName>
    <definedName name="Incineration" localSheetId="41">[5]Lists!$AB$3:$AB$6</definedName>
    <definedName name="Incineration" localSheetId="0">[3]Lists!$AJ$3:$AJ$6</definedName>
    <definedName name="Incineration" localSheetId="24">[5]Lists!$AB$3:$AB$6</definedName>
    <definedName name="Incineration" localSheetId="35">[2]Lists!$AN$3:$AN$6</definedName>
    <definedName name="Incineration" localSheetId="36">[2]Lists!$AN$3:$AN$6</definedName>
    <definedName name="Incineration">Lists!$AJ$3:$AJ$6</definedName>
    <definedName name="Industrial_processes" localSheetId="37">Lists!#REF!</definedName>
    <definedName name="Industrial_processes" localSheetId="28">Lists!#REF!</definedName>
    <definedName name="Industrial_processes" localSheetId="39">Lists!#REF!</definedName>
    <definedName name="Industrial_processes" localSheetId="33">[1]Lists!#REF!</definedName>
    <definedName name="Industrial_processes" localSheetId="15">Lists!#REF!</definedName>
    <definedName name="Industrial_processes" localSheetId="31">Lists!#REF!</definedName>
    <definedName name="Industrial_processes" localSheetId="9">Lists!#REF!</definedName>
    <definedName name="Industrial_processes" localSheetId="7">Lists!#REF!</definedName>
    <definedName name="Industrial_processes" localSheetId="8">Lists!#REF!</definedName>
    <definedName name="Industrial_processes" localSheetId="43">Lists!#REF!</definedName>
    <definedName name="Industrial_processes" localSheetId="44">Lists!#REF!</definedName>
    <definedName name="Industrial_processes" localSheetId="46">Lists!#REF!</definedName>
    <definedName name="Industrial_processes" localSheetId="47">Lists!#REF!</definedName>
    <definedName name="Industrial_processes" localSheetId="49">Lists!#REF!</definedName>
    <definedName name="Industrial_processes" localSheetId="14">Lists!#REF!</definedName>
    <definedName name="Industrial_processes" localSheetId="13">Lists!#REF!</definedName>
    <definedName name="Industrial_processes" localSheetId="32">[1]Lists!#REF!</definedName>
    <definedName name="Industrial_processes" localSheetId="25">Lists!#REF!</definedName>
    <definedName name="Industrial_processes" localSheetId="6">Lists!#REF!</definedName>
    <definedName name="Industrial_processes" localSheetId="40">Lists!#REF!</definedName>
    <definedName name="Industrial_processes" localSheetId="3">Lists!#REF!</definedName>
    <definedName name="Industrial_processes" localSheetId="16">Lists!#REF!</definedName>
    <definedName name="Industrial_processes" localSheetId="29">Lists!#REF!</definedName>
    <definedName name="Industrial_processes" localSheetId="5">Lists!#REF!</definedName>
    <definedName name="Industrial_processes" localSheetId="41">Lists!#REF!</definedName>
    <definedName name="Industrial_processes" localSheetId="38">Lists!#REF!</definedName>
    <definedName name="Industrial_processes" localSheetId="23">Lists!#REF!</definedName>
    <definedName name="Industrial_processes" localSheetId="0">[3]Lists!#REF!</definedName>
    <definedName name="Industrial_processes" localSheetId="24">Lists!#REF!</definedName>
    <definedName name="Industrial_processes" localSheetId="35">[2]Lists!#REF!</definedName>
    <definedName name="Industrial_processes" localSheetId="36">[2]Lists!#REF!</definedName>
    <definedName name="Industrial_processes" localSheetId="45">Lists!#REF!</definedName>
    <definedName name="Industrial_processes">Lists!#REF!</definedName>
    <definedName name="Industrial_WW" localSheetId="28">#REF!</definedName>
    <definedName name="Industrial_WW" localSheetId="33">[1]Wastewater!$B$103:$D$120</definedName>
    <definedName name="Industrial_WW" localSheetId="15">#REF!</definedName>
    <definedName name="Industrial_WW" localSheetId="9">#REF!</definedName>
    <definedName name="Industrial_WW" localSheetId="8">#REF!</definedName>
    <definedName name="Industrial_WW" localSheetId="43">#REF!</definedName>
    <definedName name="Industrial_WW" localSheetId="44">#REF!</definedName>
    <definedName name="Industrial_WW" localSheetId="46">#REF!</definedName>
    <definedName name="Industrial_WW" localSheetId="47">#REF!</definedName>
    <definedName name="Industrial_WW" localSheetId="49">#REF!</definedName>
    <definedName name="Industrial_WW" localSheetId="14">#REF!</definedName>
    <definedName name="Industrial_WW" localSheetId="32">[1]Wastewater!$B$103:$D$120</definedName>
    <definedName name="Industrial_WW" localSheetId="40">#REF!</definedName>
    <definedName name="Industrial_WW" localSheetId="0">#REF!</definedName>
    <definedName name="Industrial_WW" localSheetId="35">Wastewater!$B$229:$E$246</definedName>
    <definedName name="Industrial_WW" localSheetId="36">[2]Wastewater!$B$209:$E$226</definedName>
    <definedName name="Industrial_WW">#REF!</definedName>
    <definedName name="Industry_Type" localSheetId="28">#REF!</definedName>
    <definedName name="Industry_Type" localSheetId="33">[1]Wastewater!$B$105:$B$120</definedName>
    <definedName name="Industry_Type" localSheetId="15">#REF!</definedName>
    <definedName name="Industry_Type" localSheetId="9">#REF!</definedName>
    <definedName name="Industry_Type" localSheetId="8">#REF!</definedName>
    <definedName name="Industry_Type" localSheetId="43">#REF!</definedName>
    <definedName name="Industry_Type" localSheetId="44">#REF!</definedName>
    <definedName name="Industry_Type" localSheetId="46">#REF!</definedName>
    <definedName name="Industry_Type" localSheetId="47">#REF!</definedName>
    <definedName name="Industry_Type" localSheetId="49">#REF!</definedName>
    <definedName name="Industry_Type" localSheetId="14">#REF!</definedName>
    <definedName name="Industry_Type" localSheetId="32">[1]Wastewater!$B$105:$B$120</definedName>
    <definedName name="Industry_Type" localSheetId="40">#REF!</definedName>
    <definedName name="Industry_Type" localSheetId="0">#REF!</definedName>
    <definedName name="Industry_Type" localSheetId="35">Wastewater!$B$231:$B$246</definedName>
    <definedName name="Industry_Type" localSheetId="36">[2]Wastewater!$B$211:$B$226</definedName>
    <definedName name="Industry_Type">#REF!</definedName>
    <definedName name="IndustryType" localSheetId="37">#REF!</definedName>
    <definedName name="IndustryType" localSheetId="28">#REF!</definedName>
    <definedName name="IndustryType" localSheetId="39">#REF!</definedName>
    <definedName name="IndustryType" localSheetId="33">#REF!</definedName>
    <definedName name="IndustryType" localSheetId="15">#REF!</definedName>
    <definedName name="IndustryType" localSheetId="31">#REF!</definedName>
    <definedName name="IndustryType" localSheetId="9">#REF!</definedName>
    <definedName name="IndustryType" localSheetId="7">#REF!</definedName>
    <definedName name="IndustryType" localSheetId="8">#REF!</definedName>
    <definedName name="IndustryType" localSheetId="43">#REF!</definedName>
    <definedName name="IndustryType" localSheetId="44">#REF!</definedName>
    <definedName name="IndustryType" localSheetId="46">#REF!</definedName>
    <definedName name="IndustryType" localSheetId="47">#REF!</definedName>
    <definedName name="IndustryType" localSheetId="49">#REF!</definedName>
    <definedName name="IndustryType" localSheetId="14">#REF!</definedName>
    <definedName name="IndustryType" localSheetId="13">#REF!</definedName>
    <definedName name="IndustryType" localSheetId="32">#REF!</definedName>
    <definedName name="IndustryType" localSheetId="25">#REF!</definedName>
    <definedName name="IndustryType" localSheetId="6">#REF!</definedName>
    <definedName name="IndustryType" localSheetId="40">#REF!</definedName>
    <definedName name="IndustryType" localSheetId="3">#REF!</definedName>
    <definedName name="IndustryType" localSheetId="16">#REF!</definedName>
    <definedName name="IndustryType" localSheetId="29">#REF!</definedName>
    <definedName name="IndustryType" localSheetId="5">#REF!</definedName>
    <definedName name="IndustryType" localSheetId="41">#REF!</definedName>
    <definedName name="IndustryType" localSheetId="38">#REF!</definedName>
    <definedName name="IndustryType" localSheetId="23">#REF!</definedName>
    <definedName name="IndustryType" localSheetId="0">#REF!</definedName>
    <definedName name="IndustryType" localSheetId="24">#REF!</definedName>
    <definedName name="IndustryType" localSheetId="35">#REF!</definedName>
    <definedName name="IndustryType" localSheetId="45">#REF!</definedName>
    <definedName name="IndustryType">#REF!</definedName>
    <definedName name="Inventory" localSheetId="33">[1]Lists!$G$3:$G$7</definedName>
    <definedName name="Inventory" localSheetId="32">[1]Lists!$G$3:$G$7</definedName>
    <definedName name="Inventory" localSheetId="0">[3]Lists!$D$3:$D$7</definedName>
    <definedName name="Inventory" localSheetId="35">[2]Lists!$G$3:$G$7</definedName>
    <definedName name="Inventory" localSheetId="36">[2]Lists!$G$3:$G$7</definedName>
    <definedName name="Inventory">Lists!$D$3:$D$6</definedName>
    <definedName name="Inventory_2">Lists!$CE$3:$CE$7</definedName>
    <definedName name="Inventory_level_2">Lists!$CE$3:$CE$6</definedName>
    <definedName name="IPPU" localSheetId="37">Lists!#REF!</definedName>
    <definedName name="IPPU" localSheetId="28">Lists!#REF!</definedName>
    <definedName name="IPPU" localSheetId="39">Lists!#REF!</definedName>
    <definedName name="IPPU" localSheetId="33">[1]Lists!#REF!</definedName>
    <definedName name="IPPU" localSheetId="15">Lists!#REF!</definedName>
    <definedName name="IPPU" localSheetId="31">Lists!#REF!</definedName>
    <definedName name="IPPU" localSheetId="9">Lists!#REF!</definedName>
    <definedName name="IPPU" localSheetId="7">Lists!#REF!</definedName>
    <definedName name="IPPU" localSheetId="8">Lists!#REF!</definedName>
    <definedName name="IPPU" localSheetId="43">Lists!#REF!</definedName>
    <definedName name="IPPU" localSheetId="44">Lists!#REF!</definedName>
    <definedName name="IPPU" localSheetId="46">Lists!#REF!</definedName>
    <definedName name="IPPU" localSheetId="47">Lists!#REF!</definedName>
    <definedName name="IPPU" localSheetId="49">Lists!#REF!</definedName>
    <definedName name="IPPU" localSheetId="14">Lists!#REF!</definedName>
    <definedName name="IPPU" localSheetId="13">Lists!#REF!</definedName>
    <definedName name="IPPU" localSheetId="32">[1]Lists!#REF!</definedName>
    <definedName name="IPPU" localSheetId="25">Lists!#REF!</definedName>
    <definedName name="IPPU" localSheetId="6">Lists!#REF!</definedName>
    <definedName name="IPPU" localSheetId="40">Lists!#REF!</definedName>
    <definedName name="IPPU" localSheetId="3">Lists!#REF!</definedName>
    <definedName name="IPPU" localSheetId="16">Lists!#REF!</definedName>
    <definedName name="IPPU" localSheetId="29">Lists!#REF!</definedName>
    <definedName name="IPPU" localSheetId="5">Lists!#REF!</definedName>
    <definedName name="IPPU" localSheetId="41">Lists!#REF!</definedName>
    <definedName name="IPPU" localSheetId="38">Lists!#REF!</definedName>
    <definedName name="IPPU" localSheetId="23">Lists!#REF!</definedName>
    <definedName name="IPPU" localSheetId="0">[3]Lists!#REF!</definedName>
    <definedName name="IPPU" localSheetId="24">Lists!#REF!</definedName>
    <definedName name="IPPU" localSheetId="35">[2]Lists!#REF!</definedName>
    <definedName name="IPPU" localSheetId="36">[2]Lists!#REF!</definedName>
    <definedName name="IPPU" localSheetId="45">Lists!#REF!</definedName>
    <definedName name="IPPU">Lists!#REF!</definedName>
    <definedName name="IPPU_IP" localSheetId="33">[1]Lists!$AT$3:$AT$28</definedName>
    <definedName name="IPPU_IP" localSheetId="32">[1]Lists!$AT$3:$AT$28</definedName>
    <definedName name="IPPU_IP" localSheetId="25">[5]Lists!$AH$3:$AH$28</definedName>
    <definedName name="IPPU_IP" localSheetId="29">[5]Lists!$AH$3:$AH$28</definedName>
    <definedName name="IPPU_IP" localSheetId="26">[5]Lists!$AH$3:$AH$28</definedName>
    <definedName name="IPPU_IP" localSheetId="41">[5]Lists!$AH$3:$AH$28</definedName>
    <definedName name="IPPU_IP" localSheetId="0">[3]Lists!$AP$3:$AP$28</definedName>
    <definedName name="IPPU_IP" localSheetId="24">[5]Lists!$AH$3:$AH$28</definedName>
    <definedName name="IPPU_IP" localSheetId="35">[2]Lists!$AT$3:$AT$28</definedName>
    <definedName name="IPPU_IP" localSheetId="36">[2]Lists!$AT$3:$AT$28</definedName>
    <definedName name="IPPU_IP">Lists!$AP$3:$AP$28</definedName>
    <definedName name="IPPU_PU" localSheetId="33">[1]Lists!$AV$3:$AV$30</definedName>
    <definedName name="IPPU_PU" localSheetId="32">[1]Lists!$AV$3:$AV$30</definedName>
    <definedName name="IPPU_PU" localSheetId="25">[5]Lists!$AJ$3:$AJ$30</definedName>
    <definedName name="IPPU_PU" localSheetId="29">[5]Lists!$AJ$3:$AJ$30</definedName>
    <definedName name="IPPU_PU" localSheetId="26">[5]Lists!$AJ$3:$AJ$30</definedName>
    <definedName name="IPPU_PU" localSheetId="41">[5]Lists!$AJ$3:$AJ$30</definedName>
    <definedName name="IPPU_PU" localSheetId="0">[3]Lists!$AR$3:$AR$30</definedName>
    <definedName name="IPPU_PU" localSheetId="24">[5]Lists!$AJ$3:$AJ$30</definedName>
    <definedName name="IPPU_PU" localSheetId="35">[2]Lists!$AV$3:$AV$30</definedName>
    <definedName name="IPPU_PU" localSheetId="36">[2]Lists!$AV$3:$AV$30</definedName>
    <definedName name="IPPU_PU">Lists!$AR$3:$AR$30</definedName>
    <definedName name="l_Boundary" localSheetId="33">#REF!</definedName>
    <definedName name="l_CityTypology" localSheetId="33">#REF!</definedName>
    <definedName name="l_Climate" localSheetId="33">#REF!</definedName>
    <definedName name="l_Economy" localSheetId="33">#REF!</definedName>
    <definedName name="l_NonConsumedProtein" localSheetId="33">#REF!</definedName>
    <definedName name="Land" localSheetId="37">Lists!#REF!</definedName>
    <definedName name="Land" localSheetId="28">Lists!#REF!</definedName>
    <definedName name="Land" localSheetId="39">Lists!#REF!</definedName>
    <definedName name="Land" localSheetId="33">[1]Lists!#REF!</definedName>
    <definedName name="Land" localSheetId="15">Lists!#REF!</definedName>
    <definedName name="Land" localSheetId="31">Lists!#REF!</definedName>
    <definedName name="Land" localSheetId="9">Lists!#REF!</definedName>
    <definedName name="Land" localSheetId="7">Lists!#REF!</definedName>
    <definedName name="Land" localSheetId="8">Lists!#REF!</definedName>
    <definedName name="Land" localSheetId="43">Lists!#REF!</definedName>
    <definedName name="Land" localSheetId="44">Lists!#REF!</definedName>
    <definedName name="Land" localSheetId="46">Lists!#REF!</definedName>
    <definedName name="Land" localSheetId="47">Lists!#REF!</definedName>
    <definedName name="Land" localSheetId="49">Lists!#REF!</definedName>
    <definedName name="Land" localSheetId="14">Lists!#REF!</definedName>
    <definedName name="Land" localSheetId="13">Lists!#REF!</definedName>
    <definedName name="Land" localSheetId="32">[1]Lists!#REF!</definedName>
    <definedName name="Land" localSheetId="25">[5]Lists!$AN$3:$AN$47</definedName>
    <definedName name="Land" localSheetId="6">Lists!#REF!</definedName>
    <definedName name="Land" localSheetId="40">Lists!#REF!</definedName>
    <definedName name="Land" localSheetId="3">Lists!#REF!</definedName>
    <definedName name="Land" localSheetId="16">Lists!#REF!</definedName>
    <definedName name="Land" localSheetId="29">[5]Lists!$AN$3:$AN$47</definedName>
    <definedName name="Land" localSheetId="5">Lists!#REF!</definedName>
    <definedName name="Land" localSheetId="26">[5]Lists!$AN$3:$AN$47</definedName>
    <definedName name="Land" localSheetId="41">[5]Lists!$AN$3:$AN$47</definedName>
    <definedName name="Land" localSheetId="38">Lists!#REF!</definedName>
    <definedName name="Land" localSheetId="23">Lists!#REF!</definedName>
    <definedName name="Land" localSheetId="0">[3]Lists!#REF!</definedName>
    <definedName name="Land" localSheetId="24">[5]Lists!$AN$3:$AN$47</definedName>
    <definedName name="Land" localSheetId="35">[2]Lists!#REF!</definedName>
    <definedName name="Land" localSheetId="36">[2]Lists!#REF!</definedName>
    <definedName name="Land" localSheetId="45">Lists!#REF!</definedName>
    <definedName name="Land">Lists!#REF!</definedName>
    <definedName name="Livestock" localSheetId="37">Lists!#REF!</definedName>
    <definedName name="Livestock" localSheetId="28">Lists!#REF!</definedName>
    <definedName name="Livestock" localSheetId="39">Lists!#REF!</definedName>
    <definedName name="Livestock" localSheetId="33">[1]Lists!#REF!</definedName>
    <definedName name="Livestock" localSheetId="15">Lists!#REF!</definedName>
    <definedName name="Livestock" localSheetId="31">Lists!#REF!</definedName>
    <definedName name="Livestock" localSheetId="9">Lists!#REF!</definedName>
    <definedName name="Livestock" localSheetId="7">Lists!#REF!</definedName>
    <definedName name="Livestock" localSheetId="8">Lists!#REF!</definedName>
    <definedName name="Livestock" localSheetId="43">Lists!#REF!</definedName>
    <definedName name="Livestock" localSheetId="44">Lists!#REF!</definedName>
    <definedName name="Livestock" localSheetId="46">Lists!#REF!</definedName>
    <definedName name="Livestock" localSheetId="47">Lists!#REF!</definedName>
    <definedName name="Livestock" localSheetId="49">Lists!#REF!</definedName>
    <definedName name="Livestock" localSheetId="14">Lists!#REF!</definedName>
    <definedName name="Livestock" localSheetId="13">Lists!#REF!</definedName>
    <definedName name="Livestock" localSheetId="32">[1]Lists!#REF!</definedName>
    <definedName name="Livestock" localSheetId="25">[5]Lists!$AL$3:$AL$15</definedName>
    <definedName name="Livestock" localSheetId="6">Lists!#REF!</definedName>
    <definedName name="Livestock" localSheetId="40">Lists!#REF!</definedName>
    <definedName name="Livestock" localSheetId="3">Lists!#REF!</definedName>
    <definedName name="Livestock" localSheetId="16">Lists!#REF!</definedName>
    <definedName name="Livestock" localSheetId="29">[5]Lists!$AL$3:$AL$15</definedName>
    <definedName name="Livestock" localSheetId="5">Lists!#REF!</definedName>
    <definedName name="Livestock" localSheetId="26">[5]Lists!$AL$3:$AL$15</definedName>
    <definedName name="Livestock" localSheetId="41">[5]Lists!$AL$3:$AL$15</definedName>
    <definedName name="Livestock" localSheetId="38">Lists!#REF!</definedName>
    <definedName name="Livestock" localSheetId="23">Lists!#REF!</definedName>
    <definedName name="Livestock" localSheetId="0">[3]Lists!#REF!</definedName>
    <definedName name="Livestock" localSheetId="24">[5]Lists!$AL$3:$AL$15</definedName>
    <definedName name="Livestock" localSheetId="35">[2]Lists!#REF!</definedName>
    <definedName name="Livestock" localSheetId="36">[2]Lists!#REF!</definedName>
    <definedName name="Livestock" localSheetId="45">Lists!#REF!</definedName>
    <definedName name="Livestock">Lists!#REF!</definedName>
    <definedName name="Method" localSheetId="33">[1]Lists!$AA$3:$AA$8</definedName>
    <definedName name="Method" localSheetId="32">[1]Lists!$AA$3:$AA$8</definedName>
    <definedName name="Method" localSheetId="25">[5]Lists!$O$3:$O$8</definedName>
    <definedName name="Method" localSheetId="29">[5]Lists!$O$3:$O$8</definedName>
    <definedName name="Method" localSheetId="26">[5]Lists!$O$3:$O$8</definedName>
    <definedName name="Method" localSheetId="41">[5]Lists!$O$3:$O$8</definedName>
    <definedName name="Method" localSheetId="0">[3]Lists!$W$3:$W$8</definedName>
    <definedName name="Method" localSheetId="24">[5]Lists!$O$3:$O$8</definedName>
    <definedName name="Method" localSheetId="35">[2]Lists!$AA$3:$AA$8</definedName>
    <definedName name="Method" localSheetId="36">[2]Lists!$AA$3:$AA$8</definedName>
    <definedName name="Method">Lists!$W$3:$W$8</definedName>
    <definedName name="Multiplier" localSheetId="33">[1]Lists!$Q$3:$Q$18</definedName>
    <definedName name="Multiplier" localSheetId="32">[1]Lists!$Q$3:$Q$18</definedName>
    <definedName name="Multiplier" localSheetId="0">[3]Lists!$M$3:$M$18</definedName>
    <definedName name="Multiplier" localSheetId="35">[2]Lists!$Q$3:$Q$18</definedName>
    <definedName name="Multiplier" localSheetId="36">[2]Lists!$Q$3:$Q$18</definedName>
    <definedName name="Multiplier">Lists!$M$3:$M$18</definedName>
    <definedName name="N2O_2AR" localSheetId="37">Analysis!$I$13</definedName>
    <definedName name="N2O_2AR" localSheetId="28">Audit!$I$16</definedName>
    <definedName name="N2O_2AR" localSheetId="39">Benchmark!#REF!</definedName>
    <definedName name="N2O_2AR" localSheetId="31">Calculators!#REF!</definedName>
    <definedName name="N2O_2AR" localSheetId="9">'Compact of Mayors'!#REF!</definedName>
    <definedName name="N2O_2AR" localSheetId="7">'Conversion factors'!#REF!</definedName>
    <definedName name="N2O_2AR" localSheetId="8">'Conversion factors_2'!#REF!</definedName>
    <definedName name="N2O_2AR" localSheetId="43">Data!#REF!</definedName>
    <definedName name="N2O_2AR" localSheetId="44">Data_2!#REF!</definedName>
    <definedName name="N2O_2AR" localSheetId="46">Data_3!#REF!</definedName>
    <definedName name="N2O_2AR" localSheetId="47">Data_4a!#REF!</definedName>
    <definedName name="N2O_2AR" localSheetId="49">Data_5!#REF!</definedName>
    <definedName name="N2O_2AR" localSheetId="6">GWP!$I$15</definedName>
    <definedName name="N2O_2AR" localSheetId="40">'Heat map'!$K$19</definedName>
    <definedName name="N2O_2AR" localSheetId="3">Home!#REF!</definedName>
    <definedName name="N2O_2AR" localSheetId="16">Inventory!#REF!</definedName>
    <definedName name="N2O_2AR" localSheetId="5">'Notation keys'!#REF!</definedName>
    <definedName name="N2O_2AR" localSheetId="38">Progress!$H$11</definedName>
    <definedName name="N2O_2AR" localSheetId="23">Results!$I$13</definedName>
    <definedName name="N2O_2AR" localSheetId="45">'x Data_2'!#REF!</definedName>
    <definedName name="N2O_2AR">GPC!$I$135</definedName>
    <definedName name="N2O_3AR" localSheetId="37">Analysis!$H$13</definedName>
    <definedName name="N2O_3AR" localSheetId="28">Audit!$H$16</definedName>
    <definedName name="N2O_3AR" localSheetId="39">Benchmark!#REF!</definedName>
    <definedName name="N2O_3AR" localSheetId="31">Calculators!#REF!</definedName>
    <definedName name="N2O_3AR" localSheetId="9">'Compact of Mayors'!#REF!</definedName>
    <definedName name="N2O_3AR" localSheetId="7">'Conversion factors'!#REF!</definedName>
    <definedName name="N2O_3AR" localSheetId="8">'Conversion factors_2'!#REF!</definedName>
    <definedName name="N2O_3AR" localSheetId="43">Data!#REF!</definedName>
    <definedName name="N2O_3AR" localSheetId="44">Data_2!#REF!</definedName>
    <definedName name="N2O_3AR" localSheetId="46">Data_3!#REF!</definedName>
    <definedName name="N2O_3AR" localSheetId="47">Data_4a!#REF!</definedName>
    <definedName name="N2O_3AR" localSheetId="49">Data_5!#REF!</definedName>
    <definedName name="N2O_3AR" localSheetId="6">GWP!$H$15</definedName>
    <definedName name="N2O_3AR" localSheetId="40">'Heat map'!$J$19</definedName>
    <definedName name="N2O_3AR" localSheetId="3">Home!#REF!</definedName>
    <definedName name="N2O_3AR" localSheetId="16">Inventory!#REF!</definedName>
    <definedName name="N2O_3AR" localSheetId="5">'Notation keys'!#REF!</definedName>
    <definedName name="N2O_3AR" localSheetId="38">Progress!$F$11</definedName>
    <definedName name="N2O_3AR" localSheetId="23">Results!$H$13</definedName>
    <definedName name="N2O_3AR" localSheetId="45">'x Data_2'!#REF!</definedName>
    <definedName name="N2O_3AR">GPC!$H$135</definedName>
    <definedName name="N2O_4AR" localSheetId="37">Analysis!$G$13</definedName>
    <definedName name="N2O_4AR" localSheetId="28">Audit!$G$16</definedName>
    <definedName name="N2O_4AR" localSheetId="39">Benchmark!#REF!</definedName>
    <definedName name="N2O_4AR" localSheetId="31">Calculators!#REF!</definedName>
    <definedName name="N2O_4AR" localSheetId="9">'Compact of Mayors'!#REF!</definedName>
    <definedName name="N2O_4AR" localSheetId="7">'Conversion factors'!#REF!</definedName>
    <definedName name="N2O_4AR" localSheetId="8">'Conversion factors_2'!#REF!</definedName>
    <definedName name="N2O_4AR" localSheetId="43">Data!#REF!</definedName>
    <definedName name="N2O_4AR" localSheetId="44">Data_2!#REF!</definedName>
    <definedName name="N2O_4AR" localSheetId="46">Data_3!#REF!</definedName>
    <definedName name="N2O_4AR" localSheetId="47">Data_4a!#REF!</definedName>
    <definedName name="N2O_4AR" localSheetId="49">Data_5!#REF!</definedName>
    <definedName name="N2O_4AR" localSheetId="6">GWP!$G$15</definedName>
    <definedName name="N2O_4AR" localSheetId="40">'Heat map'!$I$19</definedName>
    <definedName name="N2O_4AR" localSheetId="3">Home!#REF!</definedName>
    <definedName name="N2O_4AR" localSheetId="16">Inventory!#REF!</definedName>
    <definedName name="N2O_4AR" localSheetId="5">'Notation keys'!#REF!</definedName>
    <definedName name="N2O_4AR" localSheetId="38">Progress!#REF!</definedName>
    <definedName name="N2O_4AR" localSheetId="23">Results!$G$13</definedName>
    <definedName name="N2O_4AR" localSheetId="45">'x Data_2'!#REF!</definedName>
    <definedName name="N2O_4AR">GPC!$G$135</definedName>
    <definedName name="N2O_5AR" localSheetId="37">Analysis!$F$13</definedName>
    <definedName name="N2O_5AR" localSheetId="28">Audit!$F$16</definedName>
    <definedName name="N2O_5AR" localSheetId="39">Benchmark!#REF!</definedName>
    <definedName name="N2O_5AR" localSheetId="31">Calculators!#REF!</definedName>
    <definedName name="N2O_5AR" localSheetId="9">'Compact of Mayors'!#REF!</definedName>
    <definedName name="N2O_5AR" localSheetId="7">'Conversion factors'!#REF!</definedName>
    <definedName name="N2O_5AR" localSheetId="8">'Conversion factors_2'!#REF!</definedName>
    <definedName name="N2O_5AR" localSheetId="43">Data!#REF!</definedName>
    <definedName name="N2O_5AR" localSheetId="44">Data_2!#REF!</definedName>
    <definedName name="N2O_5AR" localSheetId="46">Data_3!#REF!</definedName>
    <definedName name="N2O_5AR" localSheetId="47">Data_4a!#REF!</definedName>
    <definedName name="N2O_5AR" localSheetId="49">Data_5!#REF!</definedName>
    <definedName name="N2O_5AR" localSheetId="6">GWP!$F$15</definedName>
    <definedName name="N2O_5AR" localSheetId="40">'Heat map'!#REF!</definedName>
    <definedName name="N2O_5AR" localSheetId="3">Home!#REF!</definedName>
    <definedName name="N2O_5AR" localSheetId="16">Inventory!#REF!</definedName>
    <definedName name="N2O_5AR" localSheetId="5">'Notation keys'!#REF!</definedName>
    <definedName name="N2O_5AR" localSheetId="38">Progress!$E$11</definedName>
    <definedName name="N2O_5AR" localSheetId="23">Results!$F$13</definedName>
    <definedName name="N2O_5AR" localSheetId="45">'x Data_2'!#REF!</definedName>
    <definedName name="N2O_5AR">GPC!$F$135</definedName>
    <definedName name="NK" localSheetId="33">[1]Lists!$O$3:$O$7</definedName>
    <definedName name="NK" localSheetId="32">[1]Lists!$O$3:$O$7</definedName>
    <definedName name="NK" localSheetId="25">[5]Lists!$D$3:$D$7</definedName>
    <definedName name="NK" localSheetId="29">[5]Lists!$D$3:$D$7</definedName>
    <definedName name="NK" localSheetId="26">[5]Lists!$D$3:$D$7</definedName>
    <definedName name="NK" localSheetId="41">[5]Lists!$D$3:$D$7</definedName>
    <definedName name="NK" localSheetId="0">[3]Lists!$K$3:$K$7</definedName>
    <definedName name="NK" localSheetId="24">[5]Lists!$D$3:$D$7</definedName>
    <definedName name="NK" localSheetId="35">[2]Lists!$O$3:$O$7</definedName>
    <definedName name="NK" localSheetId="36">[2]Lists!$O$3:$O$7</definedName>
    <definedName name="NK">Lists!$K$3:$K$7</definedName>
    <definedName name="NK_Explanation" localSheetId="37">Lists!#REF!</definedName>
    <definedName name="NK_Explanation" localSheetId="28">Lists!#REF!</definedName>
    <definedName name="NK_Explanation" localSheetId="39">Lists!#REF!</definedName>
    <definedName name="NK_Explanation" localSheetId="33">[1]Lists!#REF!</definedName>
    <definedName name="NK_Explanation" localSheetId="15">Lists!#REF!</definedName>
    <definedName name="NK_Explanation" localSheetId="31">Lists!#REF!</definedName>
    <definedName name="NK_Explanation" localSheetId="9">Lists!#REF!</definedName>
    <definedName name="NK_Explanation" localSheetId="7">Lists!#REF!</definedName>
    <definedName name="NK_Explanation" localSheetId="8">Lists!#REF!</definedName>
    <definedName name="NK_Explanation" localSheetId="43">Lists!#REF!</definedName>
    <definedName name="NK_Explanation" localSheetId="44">Lists!#REF!</definedName>
    <definedName name="NK_Explanation" localSheetId="46">Lists!#REF!</definedName>
    <definedName name="NK_Explanation" localSheetId="47">Lists!#REF!</definedName>
    <definedName name="NK_Explanation" localSheetId="49">Lists!#REF!</definedName>
    <definedName name="NK_Explanation" localSheetId="14">Lists!#REF!</definedName>
    <definedName name="NK_Explanation" localSheetId="13">Lists!#REF!</definedName>
    <definedName name="NK_Explanation" localSheetId="32">[1]Lists!#REF!</definedName>
    <definedName name="NK_Explanation" localSheetId="25">Lists!#REF!</definedName>
    <definedName name="NK_Explanation" localSheetId="6">Lists!#REF!</definedName>
    <definedName name="NK_Explanation" localSheetId="40">Lists!#REF!</definedName>
    <definedName name="NK_Explanation" localSheetId="3">Lists!#REF!</definedName>
    <definedName name="NK_Explanation" localSheetId="16">Lists!#REF!</definedName>
    <definedName name="NK_Explanation" localSheetId="29">Lists!#REF!</definedName>
    <definedName name="NK_Explanation" localSheetId="5">Lists!#REF!</definedName>
    <definedName name="NK_Explanation" localSheetId="41">Lists!#REF!</definedName>
    <definedName name="NK_Explanation" localSheetId="38">Lists!#REF!</definedName>
    <definedName name="NK_Explanation" localSheetId="23">Lists!#REF!</definedName>
    <definedName name="NK_Explanation" localSheetId="0">[3]Lists!#REF!</definedName>
    <definedName name="NK_Explanation" localSheetId="24">Lists!#REF!</definedName>
    <definedName name="NK_Explanation" localSheetId="35">[2]Lists!#REF!</definedName>
    <definedName name="NK_Explanation" localSheetId="36">[2]Lists!#REF!</definedName>
    <definedName name="NK_Explanation" localSheetId="45">Lists!#REF!</definedName>
    <definedName name="NK_Explanation">Lists!#REF!</definedName>
    <definedName name="NK_Justification" localSheetId="37">Lists!#REF!</definedName>
    <definedName name="NK_Justification" localSheetId="28">Lists!#REF!</definedName>
    <definedName name="NK_Justification" localSheetId="39">Lists!#REF!</definedName>
    <definedName name="NK_Justification" localSheetId="33">[1]Lists!#REF!</definedName>
    <definedName name="NK_Justification" localSheetId="15">Lists!#REF!</definedName>
    <definedName name="NK_Justification" localSheetId="31">Lists!#REF!</definedName>
    <definedName name="NK_Justification" localSheetId="9">Lists!#REF!</definedName>
    <definedName name="NK_Justification" localSheetId="7">Lists!#REF!</definedName>
    <definedName name="NK_Justification" localSheetId="8">Lists!#REF!</definedName>
    <definedName name="NK_Justification" localSheetId="43">Lists!#REF!</definedName>
    <definedName name="NK_Justification" localSheetId="44">Lists!#REF!</definedName>
    <definedName name="NK_Justification" localSheetId="46">Lists!#REF!</definedName>
    <definedName name="NK_Justification" localSheetId="47">Lists!#REF!</definedName>
    <definedName name="NK_Justification" localSheetId="49">Lists!#REF!</definedName>
    <definedName name="NK_Justification" localSheetId="14">Lists!#REF!</definedName>
    <definedName name="NK_Justification" localSheetId="13">Lists!#REF!</definedName>
    <definedName name="NK_Justification" localSheetId="32">[1]Lists!#REF!</definedName>
    <definedName name="NK_Justification" localSheetId="25">Lists!#REF!</definedName>
    <definedName name="NK_Justification" localSheetId="6">Lists!#REF!</definedName>
    <definedName name="NK_Justification" localSheetId="40">Lists!#REF!</definedName>
    <definedName name="NK_Justification" localSheetId="3">Lists!#REF!</definedName>
    <definedName name="NK_Justification" localSheetId="16">Lists!#REF!</definedName>
    <definedName name="NK_Justification" localSheetId="29">Lists!#REF!</definedName>
    <definedName name="NK_Justification" localSheetId="5">Lists!#REF!</definedName>
    <definedName name="NK_Justification" localSheetId="41">Lists!#REF!</definedName>
    <definedName name="NK_Justification" localSheetId="38">Lists!#REF!</definedName>
    <definedName name="NK_Justification" localSheetId="23">Lists!#REF!</definedName>
    <definedName name="NK_Justification" localSheetId="0">[3]Lists!#REF!</definedName>
    <definedName name="NK_Justification" localSheetId="24">Lists!#REF!</definedName>
    <definedName name="NK_Justification" localSheetId="35">[2]Lists!#REF!</definedName>
    <definedName name="NK_Justification" localSheetId="36">[2]Lists!#REF!</definedName>
    <definedName name="NK_Justification" localSheetId="45">Lists!#REF!</definedName>
    <definedName name="NK_Justification">Lists!#REF!</definedName>
    <definedName name="Notation_keys">'Notation keys'!$F$2</definedName>
    <definedName name="Organic_Waste" localSheetId="33">[1]Lists!$AS$3:$AS$9</definedName>
    <definedName name="Organic_Waste" localSheetId="32">[1]Lists!$AS$3:$AS$9</definedName>
    <definedName name="Organic_Waste" localSheetId="25">[5]Lists!$AG$3:$AG$9</definedName>
    <definedName name="Organic_Waste" localSheetId="29">[5]Lists!$AG$3:$AG$9</definedName>
    <definedName name="Organic_Waste" localSheetId="26">[5]Lists!$AG$3:$AG$9</definedName>
    <definedName name="Organic_Waste" localSheetId="41">[5]Lists!$AG$3:$AG$9</definedName>
    <definedName name="Organic_Waste" localSheetId="0">[3]Lists!$AO$3:$AO$9</definedName>
    <definedName name="Organic_Waste" localSheetId="24">[5]Lists!$AG$3:$AG$9</definedName>
    <definedName name="Organic_Waste" localSheetId="35">[2]Lists!$AS$3:$AS$9</definedName>
    <definedName name="Organic_Waste" localSheetId="36">[2]Lists!$AS$3:$AS$9</definedName>
    <definedName name="Organic_Waste">Lists!$AO$3:$AO$9</definedName>
    <definedName name="Other" localSheetId="37">[1]Lists!#REF!</definedName>
    <definedName name="Other" localSheetId="28">[1]Lists!#REF!</definedName>
    <definedName name="Other" localSheetId="39">[1]Lists!#REF!</definedName>
    <definedName name="Other" localSheetId="33">[1]Lists!#REF!</definedName>
    <definedName name="Other" localSheetId="15">[1]Lists!#REF!</definedName>
    <definedName name="Other" localSheetId="31">[1]Lists!#REF!</definedName>
    <definedName name="Other" localSheetId="9">[1]Lists!#REF!</definedName>
    <definedName name="Other" localSheetId="7">[1]Lists!#REF!</definedName>
    <definedName name="Other" localSheetId="8">[1]Lists!#REF!</definedName>
    <definedName name="Other" localSheetId="43">[1]Lists!#REF!</definedName>
    <definedName name="Other" localSheetId="44">[1]Lists!#REF!</definedName>
    <definedName name="Other" localSheetId="46">[1]Lists!#REF!</definedName>
    <definedName name="Other" localSheetId="47">[1]Lists!#REF!</definedName>
    <definedName name="Other" localSheetId="49">[1]Lists!#REF!</definedName>
    <definedName name="Other" localSheetId="14">[1]Lists!#REF!</definedName>
    <definedName name="Other" localSheetId="13">[1]Lists!#REF!</definedName>
    <definedName name="Other" localSheetId="25">[1]Lists!#REF!</definedName>
    <definedName name="Other" localSheetId="6">[1]Lists!#REF!</definedName>
    <definedName name="Other" localSheetId="40">[1]Lists!#REF!</definedName>
    <definedName name="Other" localSheetId="3">[1]Lists!#REF!</definedName>
    <definedName name="Other" localSheetId="16">[1]Lists!#REF!</definedName>
    <definedName name="Other" localSheetId="29">[1]Lists!#REF!</definedName>
    <definedName name="Other" localSheetId="5">[1]Lists!#REF!</definedName>
    <definedName name="Other" localSheetId="41">[1]Lists!#REF!</definedName>
    <definedName name="Other" localSheetId="38">[1]Lists!#REF!</definedName>
    <definedName name="Other" localSheetId="23">[1]Lists!#REF!</definedName>
    <definedName name="Other" localSheetId="0">[1]Lists!#REF!</definedName>
    <definedName name="Other" localSheetId="24">[1]Lists!#REF!</definedName>
    <definedName name="Other" localSheetId="35">[2]Lists!#REF!</definedName>
    <definedName name="Other" localSheetId="36">[2]Lists!#REF!</definedName>
    <definedName name="Other" localSheetId="45">[1]Lists!#REF!</definedName>
    <definedName name="Other">[1]Lists!#REF!</definedName>
    <definedName name="Other_scope_3" localSheetId="37">Lists!#REF!</definedName>
    <definedName name="Other_scope_3" localSheetId="28">Lists!#REF!</definedName>
    <definedName name="Other_scope_3" localSheetId="39">Lists!#REF!</definedName>
    <definedName name="Other_scope_3" localSheetId="33">[1]Lists!#REF!</definedName>
    <definedName name="Other_scope_3" localSheetId="15">Lists!#REF!</definedName>
    <definedName name="Other_scope_3" localSheetId="31">Lists!#REF!</definedName>
    <definedName name="Other_scope_3" localSheetId="9">Lists!#REF!</definedName>
    <definedName name="Other_scope_3" localSheetId="7">Lists!#REF!</definedName>
    <definedName name="Other_scope_3" localSheetId="8">Lists!#REF!</definedName>
    <definedName name="Other_scope_3" localSheetId="43">Lists!#REF!</definedName>
    <definedName name="Other_scope_3" localSheetId="44">Lists!#REF!</definedName>
    <definedName name="Other_scope_3" localSheetId="46">Lists!#REF!</definedName>
    <definedName name="Other_scope_3" localSheetId="47">Lists!#REF!</definedName>
    <definedName name="Other_scope_3" localSheetId="49">Lists!#REF!</definedName>
    <definedName name="Other_scope_3" localSheetId="14">Lists!#REF!</definedName>
    <definedName name="Other_scope_3" localSheetId="13">Lists!#REF!</definedName>
    <definedName name="Other_scope_3" localSheetId="32">[1]Lists!#REF!</definedName>
    <definedName name="Other_scope_3" localSheetId="25">Lists!#REF!</definedName>
    <definedName name="Other_scope_3" localSheetId="6">Lists!#REF!</definedName>
    <definedName name="Other_scope_3" localSheetId="40">Lists!#REF!</definedName>
    <definedName name="Other_scope_3" localSheetId="3">Lists!#REF!</definedName>
    <definedName name="Other_scope_3" localSheetId="16">Lists!#REF!</definedName>
    <definedName name="Other_scope_3" localSheetId="29">Lists!#REF!</definedName>
    <definedName name="Other_scope_3" localSheetId="5">Lists!#REF!</definedName>
    <definedName name="Other_scope_3" localSheetId="41">Lists!#REF!</definedName>
    <definedName name="Other_scope_3" localSheetId="38">Lists!#REF!</definedName>
    <definedName name="Other_scope_3" localSheetId="23">Lists!#REF!</definedName>
    <definedName name="Other_scope_3" localSheetId="0">[3]Lists!#REF!</definedName>
    <definedName name="Other_scope_3" localSheetId="24">Lists!#REF!</definedName>
    <definedName name="Other_scope_3" localSheetId="35">[2]Lists!#REF!</definedName>
    <definedName name="Other_scope_3" localSheetId="36">[2]Lists!#REF!</definedName>
    <definedName name="Other_scope_3" localSheetId="45">Lists!#REF!</definedName>
    <definedName name="Other_scope_3">Lists!#REF!</definedName>
    <definedName name="Overview_City" localSheetId="8">'Conversion factors_2'!$B$11:$B$41</definedName>
    <definedName name="Overview_City" localSheetId="43">Data!$B$16:$B$46</definedName>
    <definedName name="Overview_City" localSheetId="44">Data_2!$B$12:$B$41</definedName>
    <definedName name="Overview_City" localSheetId="46">Data_3!$B$12:$B$42</definedName>
    <definedName name="Overview_City" localSheetId="47">Data_4a!$B$13:$B$60</definedName>
    <definedName name="Overview_City" localSheetId="49">Data_5!$B$12:$B$42</definedName>
    <definedName name="Overview_City">'x Data_2'!$B$11:$B$44</definedName>
    <definedName name="Overview_inventory_year">Lists!$CM$3:$CM$25</definedName>
    <definedName name="_xlnm.Print_Area" localSheetId="15">Blank!$B$1:$F$7</definedName>
    <definedName name="_xlnm.Print_Area" localSheetId="10">'City information'!$B$1:$F$23</definedName>
    <definedName name="_xlnm.Print_Area" localSheetId="14">Database!$B$1:$F$7</definedName>
    <definedName name="_xlnm.Print_Area" localSheetId="25">Graphs!$B$2:$J$90</definedName>
    <definedName name="_xlnm.Print_Area" localSheetId="17">'I - Stationary'!$B$6:$AL$112</definedName>
    <definedName name="_xlnm.Print_Area" localSheetId="18">'II - Transport'!$B$6:$AN$79</definedName>
    <definedName name="_xlnm.Print_Area" localSheetId="19">'III - Waste'!$B$6:$AL$66</definedName>
    <definedName name="_xlnm.Print_Area" localSheetId="20">'IV - IPPU'!$B$6:$BH$25</definedName>
    <definedName name="_xlnm.Print_Area" localSheetId="29">'Net emissions'!$B$2:$J$109</definedName>
    <definedName name="_xlnm.Print_Area" localSheetId="26">Overview!$B$2:$J$123</definedName>
    <definedName name="_xlnm.Print_Area" localSheetId="41">Overview_2!$B$2:$J$123</definedName>
    <definedName name="_xlnm.Print_Area" localSheetId="27">Report!$B$6:$U$91</definedName>
    <definedName name="_xlnm.Print_Area" localSheetId="24">Summary!$B$2:$J$136</definedName>
    <definedName name="_xlnm.Print_Area" localSheetId="21">'V - AFOLU'!$B$6:$AJ$33</definedName>
    <definedName name="_xlnm.Print_Area" localSheetId="22">'VI - Other scope 3'!$B$1:$AJ$17</definedName>
    <definedName name="Product_use" localSheetId="37">[1]Lists!#REF!</definedName>
    <definedName name="Product_use" localSheetId="28">[1]Lists!#REF!</definedName>
    <definedName name="Product_use" localSheetId="39">[1]Lists!#REF!</definedName>
    <definedName name="Product_use" localSheetId="33">[1]Lists!#REF!</definedName>
    <definedName name="Product_use" localSheetId="15">[1]Lists!#REF!</definedName>
    <definedName name="Product_use" localSheetId="31">[1]Lists!#REF!</definedName>
    <definedName name="Product_use" localSheetId="9">[1]Lists!#REF!</definedName>
    <definedName name="Product_use" localSheetId="7">[1]Lists!#REF!</definedName>
    <definedName name="Product_use" localSheetId="8">[1]Lists!#REF!</definedName>
    <definedName name="Product_use" localSheetId="43">[1]Lists!#REF!</definedName>
    <definedName name="Product_use" localSheetId="44">[1]Lists!#REF!</definedName>
    <definedName name="Product_use" localSheetId="46">[1]Lists!#REF!</definedName>
    <definedName name="Product_use" localSheetId="47">[1]Lists!#REF!</definedName>
    <definedName name="Product_use" localSheetId="49">[1]Lists!#REF!</definedName>
    <definedName name="Product_use" localSheetId="14">[1]Lists!#REF!</definedName>
    <definedName name="Product_use" localSheetId="13">[1]Lists!#REF!</definedName>
    <definedName name="Product_use" localSheetId="25">[1]Lists!#REF!</definedName>
    <definedName name="Product_use" localSheetId="6">[1]Lists!#REF!</definedName>
    <definedName name="Product_use" localSheetId="40">[1]Lists!#REF!</definedName>
    <definedName name="Product_use" localSheetId="3">[1]Lists!#REF!</definedName>
    <definedName name="Product_use" localSheetId="16">[1]Lists!#REF!</definedName>
    <definedName name="Product_use" localSheetId="29">[1]Lists!#REF!</definedName>
    <definedName name="Product_use" localSheetId="5">[1]Lists!#REF!</definedName>
    <definedName name="Product_use" localSheetId="41">[1]Lists!#REF!</definedName>
    <definedName name="Product_use" localSheetId="38">[1]Lists!#REF!</definedName>
    <definedName name="Product_use" localSheetId="23">[1]Lists!#REF!</definedName>
    <definedName name="Product_use" localSheetId="0">[1]Lists!#REF!</definedName>
    <definedName name="Product_use" localSheetId="24">[1]Lists!#REF!</definedName>
    <definedName name="Product_use" localSheetId="35">[2]Lists!#REF!</definedName>
    <definedName name="Product_use" localSheetId="36">[2]Lists!#REF!</definedName>
    <definedName name="Product_use" localSheetId="45">[1]Lists!#REF!</definedName>
    <definedName name="Product_use">[1]Lists!#REF!</definedName>
    <definedName name="Rail" localSheetId="33">[1]Lists!$AD$3:$AD$13</definedName>
    <definedName name="Rail" localSheetId="32">[1]Lists!$AD$3:$AD$13</definedName>
    <definedName name="Rail" localSheetId="25">[5]Lists!$R$3:$R$13</definedName>
    <definedName name="Rail" localSheetId="29">[5]Lists!$R$3:$R$13</definedName>
    <definedName name="Rail" localSheetId="26">[5]Lists!$R$3:$R$13</definedName>
    <definedName name="Rail" localSheetId="41">[5]Lists!$R$3:$R$13</definedName>
    <definedName name="Rail" localSheetId="0">[3]Lists!$Z$3:$Z$13</definedName>
    <definedName name="Rail" localSheetId="24">[5]Lists!$R$3:$R$13</definedName>
    <definedName name="Rail" localSheetId="35">[2]Lists!$AD$3:$AD$13</definedName>
    <definedName name="Rail" localSheetId="36">[2]Lists!$AD$3:$AD$13</definedName>
    <definedName name="Rail">Lists!$Z$3:$Z$13</definedName>
    <definedName name="Region_2">Lists!$CL$3:$CL$11</definedName>
    <definedName name="Regions" localSheetId="37">#REF!</definedName>
    <definedName name="Regions" localSheetId="28">#REF!</definedName>
    <definedName name="Regions" localSheetId="39">#REF!</definedName>
    <definedName name="Regions" localSheetId="33">#REF!</definedName>
    <definedName name="Regions" localSheetId="15">#REF!</definedName>
    <definedName name="Regions" localSheetId="31">#REF!</definedName>
    <definedName name="Regions" localSheetId="9">#REF!</definedName>
    <definedName name="Regions" localSheetId="7">#REF!</definedName>
    <definedName name="Regions" localSheetId="8">#REF!</definedName>
    <definedName name="Regions" localSheetId="43">#REF!</definedName>
    <definedName name="Regions" localSheetId="44">#REF!</definedName>
    <definedName name="Regions" localSheetId="46">#REF!</definedName>
    <definedName name="Regions" localSheetId="47">#REF!</definedName>
    <definedName name="Regions" localSheetId="49">#REF!</definedName>
    <definedName name="Regions" localSheetId="14">#REF!</definedName>
    <definedName name="Regions" localSheetId="13">#REF!</definedName>
    <definedName name="Regions" localSheetId="25">#REF!</definedName>
    <definedName name="Regions" localSheetId="6">#REF!</definedName>
    <definedName name="Regions" localSheetId="40">#REF!</definedName>
    <definedName name="Regions" localSheetId="3">#REF!</definedName>
    <definedName name="Regions" localSheetId="16">#REF!</definedName>
    <definedName name="Regions" localSheetId="29">#REF!</definedName>
    <definedName name="Regions" localSheetId="5">#REF!</definedName>
    <definedName name="Regions" localSheetId="41">#REF!</definedName>
    <definedName name="Regions" localSheetId="38">#REF!</definedName>
    <definedName name="Regions" localSheetId="23">#REF!</definedName>
    <definedName name="Regions" localSheetId="0">#REF!</definedName>
    <definedName name="Regions" localSheetId="24">#REF!</definedName>
    <definedName name="Regions" localSheetId="35">#REF!</definedName>
    <definedName name="Regions" localSheetId="45">#REF!</definedName>
    <definedName name="Regions">#REF!</definedName>
    <definedName name="ReportingPeriod" localSheetId="33">[1]Lists!$BE$3:$BE$7</definedName>
    <definedName name="ReportingPeriod" localSheetId="32">[1]Lists!$BE$3:$BE$7</definedName>
    <definedName name="ReportingPeriod" localSheetId="25">[5]Lists!$AS$3:$AS$6</definedName>
    <definedName name="ReportingPeriod" localSheetId="29">[5]Lists!$AS$3:$AS$6</definedName>
    <definedName name="ReportingPeriod" localSheetId="26">[5]Lists!$AS$3:$AS$6</definedName>
    <definedName name="ReportingPeriod" localSheetId="41">[5]Lists!$AS$3:$AS$6</definedName>
    <definedName name="ReportingPeriod" localSheetId="0">[3]Lists!$BA$3:$BA$7</definedName>
    <definedName name="ReportingPeriod" localSheetId="24">[5]Lists!$AS$3:$AS$6</definedName>
    <definedName name="ReportingPeriod" localSheetId="35">[2]Lists!$BE$3:$BE$7</definedName>
    <definedName name="ReportingPeriod" localSheetId="36">[2]Lists!$BE$3:$BE$7</definedName>
    <definedName name="ReportingPeriod">Lists!$BA$3:$BA$7</definedName>
    <definedName name="Road" localSheetId="33">[1]Lists!$AB$3:$AB$27</definedName>
    <definedName name="Road" localSheetId="32">[1]Lists!$AB$3:$AB$27</definedName>
    <definedName name="Road" localSheetId="25">[5]Lists!$P$3:$P$27</definedName>
    <definedName name="Road" localSheetId="29">[5]Lists!$P$3:$P$27</definedName>
    <definedName name="Road" localSheetId="26">[5]Lists!$P$3:$P$27</definedName>
    <definedName name="Road" localSheetId="41">[5]Lists!$P$3:$P$27</definedName>
    <definedName name="Road" localSheetId="0">[3]Lists!$X$3:$X$27</definedName>
    <definedName name="Road" localSheetId="24">[5]Lists!$P$3:$P$27</definedName>
    <definedName name="Road" localSheetId="35">[2]Lists!$AB$3:$AB$27</definedName>
    <definedName name="Road" localSheetId="36">[2]Lists!$AB$3:$AB$27</definedName>
    <definedName name="Road">Lists!$X$3:$X$27</definedName>
    <definedName name="Scale" localSheetId="33">[1]Lists!$BG$3:$BG$10</definedName>
    <definedName name="Scale" localSheetId="32">[1]Lists!$BG$3:$BG$10</definedName>
    <definedName name="Scale" localSheetId="25">[5]Lists!$AU$3:$AU$9</definedName>
    <definedName name="Scale" localSheetId="29">[5]Lists!$AU$3:$AU$9</definedName>
    <definedName name="Scale" localSheetId="26">[5]Lists!$AU$3:$AU$9</definedName>
    <definedName name="Scale" localSheetId="41">[5]Lists!$AU$3:$AU$9</definedName>
    <definedName name="Scale" localSheetId="0">[3]Lists!$BC$3:$BC$10</definedName>
    <definedName name="Scale" localSheetId="24">[5]Lists!$AU$3:$AU$9</definedName>
    <definedName name="Scale" localSheetId="35">[2]Lists!$BG$3:$BG$10</definedName>
    <definedName name="Scale" localSheetId="36">[2]Lists!$BG$3:$BG$10</definedName>
    <definedName name="Scale">Lists!$BC$3:$BC$10</definedName>
    <definedName name="SCOPE_2">Lists!$CF$3:$CF$7</definedName>
    <definedName name="SCOPE3" localSheetId="33">[1]Lists!$BD$3:$BD$9</definedName>
    <definedName name="SCOPE3" localSheetId="32">[1]Lists!$BD$3:$BD$9</definedName>
    <definedName name="SCOPE3" localSheetId="25">[5]Lists!$AR$3:$AR$9</definedName>
    <definedName name="SCOPE3" localSheetId="29">[5]Lists!$AR$3:$AR$9</definedName>
    <definedName name="SCOPE3" localSheetId="26">[5]Lists!$AR$3:$AR$9</definedName>
    <definedName name="SCOPE3" localSheetId="41">[5]Lists!$AR$3:$AR$9</definedName>
    <definedName name="SCOPE3" localSheetId="0">[3]Lists!$AZ$3:$AZ$9</definedName>
    <definedName name="SCOPE3" localSheetId="24">[5]Lists!$AR$3:$AR$9</definedName>
    <definedName name="SCOPE3" localSheetId="35">[2]Lists!$BD$3:$BD$9</definedName>
    <definedName name="SCOPE3" localSheetId="36">[2]Lists!$BD$3:$BD$9</definedName>
    <definedName name="SCOPE3">Lists!$AZ$3:$AZ$9</definedName>
    <definedName name="Sector">Lists!$CB$3:$CB$10</definedName>
    <definedName name="Sector_2">Lists!$CD$3:$CD$10</definedName>
    <definedName name="Solid_Waste" localSheetId="33">[1]Lists!$AJ$3:$AJ$9</definedName>
    <definedName name="Solid_Waste" localSheetId="32">[1]Lists!$AJ$3:$AJ$9</definedName>
    <definedName name="Solid_Waste" localSheetId="25">[5]Lists!$X$3:$X$9</definedName>
    <definedName name="Solid_Waste" localSheetId="29">[5]Lists!$X$3:$X$9</definedName>
    <definedName name="Solid_Waste" localSheetId="26">[5]Lists!$X$3:$X$9</definedName>
    <definedName name="Solid_Waste" localSheetId="41">[5]Lists!$X$3:$X$9</definedName>
    <definedName name="Solid_Waste" localSheetId="0">[3]Lists!$AF$3:$AF$9</definedName>
    <definedName name="Solid_Waste" localSheetId="24">[5]Lists!$X$3:$X$9</definedName>
    <definedName name="Solid_Waste" localSheetId="35">[2]Lists!$AJ$3:$AJ$9</definedName>
    <definedName name="Solid_Waste" localSheetId="36">[2]Lists!$AJ$3:$AJ$9</definedName>
    <definedName name="Solid_Waste">Lists!$AF$3:$AF$9</definedName>
    <definedName name="Stationary" localSheetId="37">[1]Lists!#REF!</definedName>
    <definedName name="Stationary" localSheetId="28">[1]Lists!#REF!</definedName>
    <definedName name="Stationary" localSheetId="39">[1]Lists!#REF!</definedName>
    <definedName name="Stationary" localSheetId="33">[1]Lists!#REF!</definedName>
    <definedName name="Stationary" localSheetId="15">[1]Lists!#REF!</definedName>
    <definedName name="Stationary" localSheetId="31">[1]Lists!#REF!</definedName>
    <definedName name="Stationary" localSheetId="9">[1]Lists!#REF!</definedName>
    <definedName name="Stationary" localSheetId="7">[1]Lists!#REF!</definedName>
    <definedName name="Stationary" localSheetId="8">[1]Lists!#REF!</definedName>
    <definedName name="Stationary" localSheetId="43">[1]Lists!#REF!</definedName>
    <definedName name="Stationary" localSheetId="44">[1]Lists!#REF!</definedName>
    <definedName name="Stationary" localSheetId="46">[1]Lists!#REF!</definedName>
    <definedName name="Stationary" localSheetId="47">[1]Lists!#REF!</definedName>
    <definedName name="Stationary" localSheetId="49">[1]Lists!#REF!</definedName>
    <definedName name="Stationary" localSheetId="14">[1]Lists!#REF!</definedName>
    <definedName name="Stationary" localSheetId="13">[1]Lists!#REF!</definedName>
    <definedName name="Stationary" localSheetId="25">[5]Lists!$G$3:$G$37</definedName>
    <definedName name="Stationary" localSheetId="6">[1]Lists!#REF!</definedName>
    <definedName name="Stationary" localSheetId="40">[1]Lists!#REF!</definedName>
    <definedName name="Stationary" localSheetId="3">[1]Lists!#REF!</definedName>
    <definedName name="Stationary" localSheetId="16">[1]Lists!#REF!</definedName>
    <definedName name="Stationary" localSheetId="29">[5]Lists!$G$3:$G$37</definedName>
    <definedName name="Stationary" localSheetId="5">[1]Lists!#REF!</definedName>
    <definedName name="Stationary" localSheetId="26">[5]Lists!$G$3:$G$37</definedName>
    <definedName name="Stationary" localSheetId="41">[5]Lists!$G$3:$G$37</definedName>
    <definedName name="Stationary" localSheetId="38">[1]Lists!#REF!</definedName>
    <definedName name="Stationary" localSheetId="23">[1]Lists!#REF!</definedName>
    <definedName name="Stationary" localSheetId="24">[5]Lists!$G$3:$G$37</definedName>
    <definedName name="Stationary" localSheetId="35">[2]Lists!#REF!</definedName>
    <definedName name="Stationary" localSheetId="36">[2]Lists!#REF!</definedName>
    <definedName name="Stationary" localSheetId="45">[1]Lists!#REF!</definedName>
    <definedName name="Stationary">[1]Lists!#REF!</definedName>
    <definedName name="Subsector_stationary">Lists!$CG$3:$CG$12</definedName>
    <definedName name="Subsector_transport">Lists!$CH$3:$CH$9</definedName>
    <definedName name="Subsector_waste">Lists!$CI$3:$CI$8</definedName>
    <definedName name="Tick" localSheetId="33">[1]Lists!$BH$3:$BH$4</definedName>
    <definedName name="Tick" localSheetId="32">[1]Lists!$BH$3:$BH$4</definedName>
    <definedName name="Tick" localSheetId="0">[3]Lists!$BD$3:$BD$4</definedName>
    <definedName name="Tick" localSheetId="35">[2]Lists!$BH$3:$BH$4</definedName>
    <definedName name="Tick" localSheetId="36">[2]Lists!$BH$3:$BH$4</definedName>
    <definedName name="Tick">Lists!$BD$3:$BD$4</definedName>
    <definedName name="Transportation" localSheetId="37">Lists!#REF!</definedName>
    <definedName name="Transportation" localSheetId="28">Lists!#REF!</definedName>
    <definedName name="Transportation" localSheetId="39">Lists!#REF!</definedName>
    <definedName name="Transportation" localSheetId="33">[1]Lists!#REF!</definedName>
    <definedName name="Transportation" localSheetId="15">Lists!#REF!</definedName>
    <definedName name="Transportation" localSheetId="31">Lists!#REF!</definedName>
    <definedName name="Transportation" localSheetId="9">Lists!#REF!</definedName>
    <definedName name="Transportation" localSheetId="7">Lists!#REF!</definedName>
    <definedName name="Transportation" localSheetId="8">Lists!#REF!</definedName>
    <definedName name="Transportation" localSheetId="43">Lists!#REF!</definedName>
    <definedName name="Transportation" localSheetId="44">Lists!#REF!</definedName>
    <definedName name="Transportation" localSheetId="46">Lists!#REF!</definedName>
    <definedName name="Transportation" localSheetId="47">Lists!#REF!</definedName>
    <definedName name="Transportation" localSheetId="49">Lists!#REF!</definedName>
    <definedName name="Transportation" localSheetId="14">Lists!#REF!</definedName>
    <definedName name="Transportation" localSheetId="13">Lists!#REF!</definedName>
    <definedName name="Transportation" localSheetId="32">[1]Lists!#REF!</definedName>
    <definedName name="Transportation" localSheetId="25">Lists!#REF!</definedName>
    <definedName name="Transportation" localSheetId="6">Lists!#REF!</definedName>
    <definedName name="Transportation" localSheetId="40">Lists!#REF!</definedName>
    <definedName name="Transportation" localSheetId="3">Lists!#REF!</definedName>
    <definedName name="Transportation" localSheetId="16">Lists!#REF!</definedName>
    <definedName name="Transportation" localSheetId="29">Lists!#REF!</definedName>
    <definedName name="Transportation" localSheetId="5">Lists!#REF!</definedName>
    <definedName name="Transportation" localSheetId="41">Lists!#REF!</definedName>
    <definedName name="Transportation" localSheetId="38">Lists!#REF!</definedName>
    <definedName name="Transportation" localSheetId="23">Lists!#REF!</definedName>
    <definedName name="Transportation" localSheetId="0">[3]Lists!#REF!</definedName>
    <definedName name="Transportation" localSheetId="24">Lists!#REF!</definedName>
    <definedName name="Transportation" localSheetId="35">[2]Lists!#REF!</definedName>
    <definedName name="Transportation" localSheetId="36">[2]Lists!#REF!</definedName>
    <definedName name="Transportation" localSheetId="45">Lists!#REF!</definedName>
    <definedName name="Transportation">Lists!#REF!</definedName>
    <definedName name="UCL_1">Data_3!$D$13:$Y$13</definedName>
    <definedName name="UCL_10">Data_3!$D$22:$Y$22</definedName>
    <definedName name="UCL_11">Data_3!$D$23:$Y$23</definedName>
    <definedName name="UCL_12">Data_3!$D$24:$Y$24</definedName>
    <definedName name="UCL_13">Data_3!$D$25:$Y$25</definedName>
    <definedName name="UCL_14">Data_3!$D$26:$Y$26</definedName>
    <definedName name="UCL_15">Data_3!$D$27:$Y$27</definedName>
    <definedName name="UCL_16">Data_3!$D$28:$Y$28</definedName>
    <definedName name="UCL_17">Data_3!$D$29:$Y$29</definedName>
    <definedName name="UCL_18">Data_3!$D$30:$Y$30</definedName>
    <definedName name="UCL_19">Data_3!$D$31:$Y$31</definedName>
    <definedName name="UCL_2">Data_3!$D$14:$Y$14</definedName>
    <definedName name="UCL_20">Data_3!$D$32:$Y$32</definedName>
    <definedName name="UCL_21">Data_3!$D$33:$Y$33</definedName>
    <definedName name="UCL_22">Data_3!$D$34:$Y$34</definedName>
    <definedName name="UCL_23">Data_3!$D$35:$Y$35</definedName>
    <definedName name="UCL_24">Data_3!$D$36:$Y$36</definedName>
    <definedName name="UCL_25">Data_3!$D$37:$Y$37</definedName>
    <definedName name="UCL_26">Data_3!$D$38:$Y$38</definedName>
    <definedName name="UCL_27">Data_3!$D$39:$Y$39</definedName>
    <definedName name="UCL_28">Data_3!$D$40:$Y$40</definedName>
    <definedName name="UCL_29">Data_3!$D$41:$Y$41</definedName>
    <definedName name="UCL_3">Data_3!$D$15:$Y$15</definedName>
    <definedName name="UCL_30">Data_3!$D$42:$Y$42</definedName>
    <definedName name="UCL_4">Data_3!$D$16:$Y$16</definedName>
    <definedName name="UCL_5">Data_3!$D$17:$Y$17</definedName>
    <definedName name="UCL_6">Data_3!$D$18:$Y$18</definedName>
    <definedName name="UCL_7">Data_3!$D$19:$Y$19</definedName>
    <definedName name="UCL_8">Data_3!$D$20:$Y$20</definedName>
    <definedName name="UCL_9">Data_3!$D$21:$Y$21</definedName>
    <definedName name="User_guide" localSheetId="31">Calculators!$A$1</definedName>
    <definedName name="User_guide" localSheetId="16">Inventory!$A$1</definedName>
    <definedName name="User_guide">Home!$A$1</definedName>
    <definedName name="Waste" localSheetId="33">[1]Lists!$AR$3:$AR$9</definedName>
    <definedName name="Waste" localSheetId="32">[1]Lists!$AR$3:$AR$9</definedName>
    <definedName name="Waste" localSheetId="25">[5]Lists!$AF$3:$AF$9</definedName>
    <definedName name="Waste" localSheetId="29">[5]Lists!$AF$3:$AF$9</definedName>
    <definedName name="Waste" localSheetId="26">[5]Lists!$AF$3:$AF$9</definedName>
    <definedName name="Waste" localSheetId="41">[5]Lists!$AF$3:$AF$9</definedName>
    <definedName name="Waste" localSheetId="0">[3]Lists!$AN$3:$AN$9</definedName>
    <definedName name="Waste" localSheetId="24">[5]Lists!$AF$3:$AF$9</definedName>
    <definedName name="Waste" localSheetId="35">[2]Lists!$AR$3:$AR$9</definedName>
    <definedName name="Waste" localSheetId="36">[2]Lists!$AR$3:$AR$9</definedName>
    <definedName name="Waste">Lists!$AN$3:$AN$9</definedName>
    <definedName name="Waste_accountingmethod">[6]Lists!$BV$4:$BV$6</definedName>
    <definedName name="Wastewater" localSheetId="33">[1]Lists!$AP$3:$AP$7</definedName>
    <definedName name="Wastewater" localSheetId="32">[1]Lists!$AP$3:$AP$7</definedName>
    <definedName name="Wastewater" localSheetId="25">[5]Lists!$AD$3:$AD$7</definedName>
    <definedName name="Wastewater" localSheetId="29">[5]Lists!$AD$3:$AD$7</definedName>
    <definedName name="Wastewater" localSheetId="26">[5]Lists!$AD$3:$AD$7</definedName>
    <definedName name="Wastewater" localSheetId="41">[5]Lists!$AD$3:$AD$7</definedName>
    <definedName name="Wastewater" localSheetId="0">[3]Lists!$AL$3:$AL$7</definedName>
    <definedName name="Wastewater" localSheetId="24">[5]Lists!$AD$3:$AD$7</definedName>
    <definedName name="Wastewater" localSheetId="35">[2]Lists!$AP$3:$AP$7</definedName>
    <definedName name="Wastewater" localSheetId="36">[2]Lists!$AP$3:$AP$7</definedName>
    <definedName name="Wastewater">Lists!$AL$3:$AL$7</definedName>
    <definedName name="Water" localSheetId="33">[1]Lists!$AF$3:$AF$27</definedName>
    <definedName name="Water" localSheetId="32">[1]Lists!$AF$3:$AF$27</definedName>
    <definedName name="Water" localSheetId="25">[5]Lists!$T$3:$T$27</definedName>
    <definedName name="Water" localSheetId="29">[5]Lists!$T$3:$T$27</definedName>
    <definedName name="Water" localSheetId="26">[5]Lists!$T$3:$T$27</definedName>
    <definedName name="Water" localSheetId="41">[5]Lists!$T$3:$T$27</definedName>
    <definedName name="Water" localSheetId="0">[3]Lists!$AB$3:$AB$27</definedName>
    <definedName name="Water" localSheetId="24">[5]Lists!$T$3:$T$27</definedName>
    <definedName name="Water" localSheetId="35">[2]Lists!$AF$3:$AF$27</definedName>
    <definedName name="Water" localSheetId="36">[2]Lists!$AF$3:$AF$27</definedName>
    <definedName name="Water">Lists!$AB$3:$AB$27</definedName>
    <definedName name="WINCINTOOL_category">[6]Lists!$CC$4:$CC$11</definedName>
    <definedName name="WINCINTOOL_technology">[6]Lists!$CF$4:$CF$6</definedName>
    <definedName name="WINCINTOOL_type_of_incineration">[6]Lists!$CE$4:$CE$7</definedName>
    <definedName name="WINCINTOOL_Wastetype">[6]Lists!$CB$4:$CB$9</definedName>
    <definedName name="WTOOL_Climate_zone">[6]Lists!$CA$4:$CA$8</definedName>
    <definedName name="WTOOL_Landfill_type">[6]Lists!$BZ$4:$BZ$8</definedName>
    <definedName name="WTOOL_MSW_composition">'Solid waste disposal'!$C$163:$L$182</definedName>
    <definedName name="WTOOL_oxidation_factor">[6]Lists!$BY$4:$BY$6</definedName>
    <definedName name="WTOOL_region">[6]Lists!$BW$4:$BW$9</definedName>
    <definedName name="WTOOL_subregion">[6]Lists!$BX$4:$BX$23</definedName>
    <definedName name="WWTOOL_Africa">Lists!$BF$5:$BJ$5</definedName>
    <definedName name="WWTOOL_Asia_MiddleEast_LatinAmerica">Lists!$BF$7:$BN$7</definedName>
    <definedName name="WWTOOL_Brazil">Lists!$BF$10:$BG$10</definedName>
    <definedName name="WWTOOL_Canada_Europe_Russia_Oceania">Lists!$BF$11:$BN$11</definedName>
    <definedName name="WWTOOL_Climate" localSheetId="33">[4]Lists!$BO$4:$BO$6</definedName>
    <definedName name="WWTOOL_Climate" localSheetId="35">[4]Lists!$BO$4:$BO$6</definedName>
    <definedName name="WWTOOL_Climate">Lists!$BO$4:$BO$6</definedName>
    <definedName name="WWTOOL_Denmark">Lists!$BF$12:$BK$12</definedName>
    <definedName name="WWTOOL_Egypt">Lists!$BF$6:$BG$6</definedName>
    <definedName name="WWTOOL_Garbage" localSheetId="33">[4]Lists!$BP$4:$BP$6</definedName>
    <definedName name="WWTOOL_Garbage" localSheetId="35">[4]Lists!$BP$4:$BP$6</definedName>
    <definedName name="WWTOOL_Garbage">Lists!$BP$4:$BP$6</definedName>
    <definedName name="WWTOOL_Germany">Lists!$BF$13:$BG$13</definedName>
    <definedName name="WWTOOL_Greece">Lists!$BF$14:$BK$14</definedName>
    <definedName name="WWTOOL_India">Lists!$BF$8:$BG$8</definedName>
    <definedName name="WWTOOL_Industry" localSheetId="33">[4]Lists!$BQ$3:$BQ$20</definedName>
    <definedName name="WWTOOL_Industry" localSheetId="35">[4]Lists!$BQ$3:$BQ$20</definedName>
    <definedName name="WWTOOL_Industry">Lists!$BQ$3:$BQ$20</definedName>
    <definedName name="WWTOOL_Italy">Lists!$BF$15:$BG$15</definedName>
    <definedName name="WWTOOL_Japan">Lists!$BF$9:$BG$9</definedName>
    <definedName name="WWTOOL_Protein" localSheetId="33">[4]!Table1[Country]</definedName>
    <definedName name="WWTOOL_Protein" localSheetId="35">[4]WW_Protein!$D$3:$D$230</definedName>
    <definedName name="WWTOOL_Protein">WW_Protein!$A$3:$A$230</definedName>
    <definedName name="WWTOOL_Region" localSheetId="33">[4]Lists!$BE$4:$BE$18</definedName>
    <definedName name="WWTOOL_Region" localSheetId="35">[4]Lists!$BE$4:$BE$18</definedName>
    <definedName name="WWTOOL_Region">Lists!$BE$4:$BE$18</definedName>
    <definedName name="WWTOOL_Sweden">Lists!$BF$16:$BK$16</definedName>
    <definedName name="WWTOOL_Turkey">Lists!$BF$17:$BK$17</definedName>
    <definedName name="WWTOOL_UnitedStates">Lists!$BF$18:$BG$18</definedName>
    <definedName name="Yesno">Lists!$CC$3:$CC$6</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I40" i="70" l="1"/>
  <c r="I41" i="70"/>
  <c r="I42" i="70"/>
  <c r="I43" i="70"/>
  <c r="I44" i="70"/>
  <c r="I45" i="70"/>
  <c r="I46" i="70"/>
  <c r="I47" i="70"/>
  <c r="I48" i="70"/>
  <c r="I49" i="70"/>
  <c r="I50" i="70"/>
  <c r="I51" i="70"/>
  <c r="I52" i="70"/>
  <c r="I53" i="70"/>
  <c r="I54" i="70"/>
  <c r="I55" i="70"/>
  <c r="I56" i="70"/>
  <c r="I57" i="70"/>
  <c r="I58" i="70"/>
  <c r="BF13" i="62"/>
  <c r="D16" i="47"/>
  <c r="C9" i="70"/>
  <c r="I59" i="70"/>
  <c r="I60" i="70"/>
  <c r="I61" i="70"/>
  <c r="I62" i="70"/>
  <c r="I63" i="70"/>
  <c r="I64" i="70"/>
  <c r="I65" i="70"/>
  <c r="I66" i="70"/>
  <c r="I67" i="70"/>
  <c r="I68" i="70"/>
  <c r="I9" i="70"/>
  <c r="I10" i="70"/>
  <c r="I11" i="70"/>
  <c r="I12" i="70"/>
  <c r="I13" i="70"/>
  <c r="I14" i="70"/>
  <c r="I15" i="70"/>
  <c r="I16" i="70"/>
  <c r="I17" i="70"/>
  <c r="I18" i="70"/>
  <c r="I19" i="70"/>
  <c r="I20" i="70"/>
  <c r="I21" i="70"/>
  <c r="I22" i="70"/>
  <c r="I23" i="70"/>
  <c r="I24" i="70"/>
  <c r="I25" i="70"/>
  <c r="I26" i="70"/>
  <c r="I27" i="70"/>
  <c r="I28" i="70"/>
  <c r="I29" i="70"/>
  <c r="I30" i="70"/>
  <c r="I31" i="70"/>
  <c r="I32" i="70"/>
  <c r="I33" i="70"/>
  <c r="I34" i="70"/>
  <c r="I35" i="70"/>
  <c r="I36" i="70"/>
  <c r="I37" i="70"/>
  <c r="I38" i="70"/>
  <c r="I39" i="70"/>
  <c r="D17" i="65"/>
  <c r="R105" i="52"/>
  <c r="E41" i="52"/>
  <c r="AC60" i="8"/>
  <c r="AN130" i="52"/>
  <c r="AN131" i="52"/>
  <c r="AN132" i="52"/>
  <c r="AN133" i="52"/>
  <c r="AN134" i="52"/>
  <c r="AN135" i="52"/>
  <c r="AN136" i="52"/>
  <c r="AN137" i="52"/>
  <c r="AN138" i="52"/>
  <c r="AN139" i="52"/>
  <c r="AN140" i="52"/>
  <c r="AN141" i="52"/>
  <c r="AN142" i="52"/>
  <c r="AN143" i="52"/>
  <c r="AN144" i="52"/>
  <c r="D42" i="52"/>
  <c r="AB61" i="8"/>
  <c r="AE63" i="52"/>
  <c r="AE64" i="52"/>
  <c r="AE65" i="52"/>
  <c r="AE66" i="52"/>
  <c r="AE67" i="52"/>
  <c r="AE68" i="52"/>
  <c r="AE69" i="52"/>
  <c r="AE70" i="52"/>
  <c r="AE71" i="52"/>
  <c r="AE72" i="52"/>
  <c r="AE73" i="52"/>
  <c r="AE74" i="52"/>
  <c r="AE75" i="52"/>
  <c r="AE76" i="52"/>
  <c r="D41" i="52"/>
  <c r="AB60" i="8"/>
  <c r="F29" i="52"/>
  <c r="B105" i="52"/>
  <c r="K105" i="52"/>
  <c r="O105" i="52"/>
  <c r="P105" i="52"/>
  <c r="Q105" i="52"/>
  <c r="K63" i="52"/>
  <c r="Q63" i="52"/>
  <c r="AD63" i="52"/>
  <c r="K64" i="52"/>
  <c r="Q64" i="52"/>
  <c r="AD64" i="52"/>
  <c r="K65" i="52"/>
  <c r="Q65" i="52"/>
  <c r="AD65" i="52"/>
  <c r="K66" i="52"/>
  <c r="Q66" i="52"/>
  <c r="AD66" i="52"/>
  <c r="K67" i="52"/>
  <c r="Q67" i="52"/>
  <c r="AD67" i="52"/>
  <c r="K68" i="52"/>
  <c r="Q68" i="52"/>
  <c r="AD68" i="52"/>
  <c r="K69" i="52"/>
  <c r="Q69" i="52"/>
  <c r="AD69" i="52"/>
  <c r="K70" i="52"/>
  <c r="Q70" i="52"/>
  <c r="AD70" i="52"/>
  <c r="K71" i="52"/>
  <c r="Q71" i="52"/>
  <c r="AD71" i="52"/>
  <c r="K72" i="52"/>
  <c r="Q72" i="52"/>
  <c r="AD72" i="52"/>
  <c r="K73" i="52"/>
  <c r="Q73" i="52"/>
  <c r="AD73" i="52"/>
  <c r="K74" i="52"/>
  <c r="Q74" i="52"/>
  <c r="AD74" i="52"/>
  <c r="K75" i="52"/>
  <c r="Q75" i="52"/>
  <c r="AD75" i="52"/>
  <c r="K76" i="52"/>
  <c r="Q76" i="52"/>
  <c r="AD76" i="52"/>
  <c r="D25" i="19"/>
  <c r="D24" i="19"/>
  <c r="D23" i="19"/>
  <c r="K110" i="7"/>
  <c r="B41" i="28"/>
  <c r="C188" i="46"/>
  <c r="C189" i="46"/>
  <c r="C190" i="46"/>
  <c r="C191" i="46"/>
  <c r="C192" i="46"/>
  <c r="C193" i="46"/>
  <c r="C194" i="46"/>
  <c r="C195" i="46"/>
  <c r="C196" i="46"/>
  <c r="C197" i="46"/>
  <c r="C198" i="46"/>
  <c r="C199" i="46"/>
  <c r="C200" i="46"/>
  <c r="C201" i="46"/>
  <c r="C202" i="46"/>
  <c r="C203" i="46"/>
  <c r="C204" i="46"/>
  <c r="C205" i="46"/>
  <c r="C206" i="46"/>
  <c r="C207" i="46"/>
  <c r="C208" i="46"/>
  <c r="C209" i="46"/>
  <c r="C210" i="46"/>
  <c r="C211" i="46"/>
  <c r="C212" i="46"/>
  <c r="C213" i="46"/>
  <c r="C214" i="46"/>
  <c r="C215" i="46"/>
  <c r="AK215" i="46"/>
  <c r="AL215" i="46"/>
  <c r="AM215" i="46"/>
  <c r="B215" i="46"/>
  <c r="AN79" i="46"/>
  <c r="H79" i="46"/>
  <c r="AN113" i="46"/>
  <c r="AN215" i="46"/>
  <c r="AO215" i="46"/>
  <c r="AJ215" i="46"/>
  <c r="AD79" i="46"/>
  <c r="AD113" i="46"/>
  <c r="AD215" i="46"/>
  <c r="AE79" i="46"/>
  <c r="AE113" i="46"/>
  <c r="AE215" i="46"/>
  <c r="AF79" i="46"/>
  <c r="AF113" i="46"/>
  <c r="AF215" i="46"/>
  <c r="AG79" i="46"/>
  <c r="AG113" i="46"/>
  <c r="AG215" i="46"/>
  <c r="AH79" i="46"/>
  <c r="AH113" i="46"/>
  <c r="AH215" i="46"/>
  <c r="AI215" i="46"/>
  <c r="AC215" i="46"/>
  <c r="AA79" i="46"/>
  <c r="AA113" i="46"/>
  <c r="S184" i="46"/>
  <c r="AA215" i="46"/>
  <c r="Z79" i="46"/>
  <c r="Z113" i="46"/>
  <c r="Z215" i="46"/>
  <c r="Y79" i="46"/>
  <c r="Y113" i="46"/>
  <c r="Y215" i="46"/>
  <c r="X79" i="46"/>
  <c r="X113" i="46"/>
  <c r="X215" i="46"/>
  <c r="W79" i="46"/>
  <c r="W113" i="46"/>
  <c r="W215" i="46"/>
  <c r="V79" i="46"/>
  <c r="V113" i="46"/>
  <c r="V215" i="46"/>
  <c r="U79" i="46"/>
  <c r="U113" i="46"/>
  <c r="U215" i="46"/>
  <c r="T79" i="46"/>
  <c r="T113" i="46"/>
  <c r="T215" i="46"/>
  <c r="S215" i="46"/>
  <c r="O79" i="46"/>
  <c r="O113" i="46"/>
  <c r="N184" i="46"/>
  <c r="O215" i="46"/>
  <c r="O77" i="46"/>
  <c r="H77" i="46"/>
  <c r="O111" i="46"/>
  <c r="B213" i="46"/>
  <c r="O213" i="46"/>
  <c r="O75" i="46"/>
  <c r="H75" i="46"/>
  <c r="O109" i="46"/>
  <c r="B211" i="46"/>
  <c r="O211" i="46"/>
  <c r="O73" i="46"/>
  <c r="H73" i="46"/>
  <c r="O107" i="46"/>
  <c r="B209" i="46"/>
  <c r="O209" i="46"/>
  <c r="O71" i="46"/>
  <c r="H71" i="46"/>
  <c r="O105" i="46"/>
  <c r="B207" i="46"/>
  <c r="O207" i="46"/>
  <c r="O69" i="46"/>
  <c r="H69" i="46"/>
  <c r="O103" i="46"/>
  <c r="B205" i="46"/>
  <c r="O205" i="46"/>
  <c r="O67" i="46"/>
  <c r="H67" i="46"/>
  <c r="O101" i="46"/>
  <c r="B203" i="46"/>
  <c r="O203" i="46"/>
  <c r="O65" i="46"/>
  <c r="H65" i="46"/>
  <c r="O99" i="46"/>
  <c r="B201" i="46"/>
  <c r="O201" i="46"/>
  <c r="O63" i="46"/>
  <c r="H63" i="46"/>
  <c r="O97" i="46"/>
  <c r="B199" i="46"/>
  <c r="O199" i="46"/>
  <c r="O61" i="46"/>
  <c r="H61" i="46"/>
  <c r="O95" i="46"/>
  <c r="B197" i="46"/>
  <c r="O197" i="46"/>
  <c r="O59" i="46"/>
  <c r="H59" i="46"/>
  <c r="O93" i="46"/>
  <c r="B195" i="46"/>
  <c r="O195" i="46"/>
  <c r="O57" i="46"/>
  <c r="H57" i="46"/>
  <c r="O91" i="46"/>
  <c r="B193" i="46"/>
  <c r="O193" i="46"/>
  <c r="O55" i="46"/>
  <c r="H55" i="46"/>
  <c r="O89" i="46"/>
  <c r="B191" i="46"/>
  <c r="O191" i="46"/>
  <c r="O53" i="46"/>
  <c r="H53" i="46"/>
  <c r="O87" i="46"/>
  <c r="B189" i="46"/>
  <c r="O189" i="46"/>
  <c r="O51" i="46"/>
  <c r="H51" i="46"/>
  <c r="O85" i="46"/>
  <c r="B187" i="46"/>
  <c r="O187" i="46"/>
  <c r="P51" i="46"/>
  <c r="P85" i="46"/>
  <c r="P187" i="46"/>
  <c r="Q51" i="46"/>
  <c r="Q85" i="46"/>
  <c r="Q187" i="46"/>
  <c r="R187" i="46"/>
  <c r="P53" i="46"/>
  <c r="P87" i="46"/>
  <c r="P189" i="46"/>
  <c r="Q53" i="46"/>
  <c r="Q87" i="46"/>
  <c r="Q189" i="46"/>
  <c r="R189" i="46"/>
  <c r="P55" i="46"/>
  <c r="P89" i="46"/>
  <c r="P191" i="46"/>
  <c r="Q55" i="46"/>
  <c r="Q89" i="46"/>
  <c r="Q191" i="46"/>
  <c r="R191" i="46"/>
  <c r="P57" i="46"/>
  <c r="P91" i="46"/>
  <c r="P193" i="46"/>
  <c r="Q57" i="46"/>
  <c r="Q91" i="46"/>
  <c r="Q193" i="46"/>
  <c r="R193" i="46"/>
  <c r="P59" i="46"/>
  <c r="P93" i="46"/>
  <c r="P195" i="46"/>
  <c r="Q59" i="46"/>
  <c r="Q93" i="46"/>
  <c r="Q195" i="46"/>
  <c r="R195" i="46"/>
  <c r="P61" i="46"/>
  <c r="P95" i="46"/>
  <c r="P197" i="46"/>
  <c r="Q61" i="46"/>
  <c r="Q95" i="46"/>
  <c r="Q197" i="46"/>
  <c r="R197" i="46"/>
  <c r="P63" i="46"/>
  <c r="P97" i="46"/>
  <c r="P199" i="46"/>
  <c r="Q63" i="46"/>
  <c r="Q97" i="46"/>
  <c r="Q199" i="46"/>
  <c r="R199" i="46"/>
  <c r="P65" i="46"/>
  <c r="P99" i="46"/>
  <c r="P201" i="46"/>
  <c r="Q65" i="46"/>
  <c r="Q99" i="46"/>
  <c r="Q201" i="46"/>
  <c r="R201" i="46"/>
  <c r="P67" i="46"/>
  <c r="P101" i="46"/>
  <c r="P203" i="46"/>
  <c r="Q67" i="46"/>
  <c r="Q101" i="46"/>
  <c r="Q203" i="46"/>
  <c r="R203" i="46"/>
  <c r="P69" i="46"/>
  <c r="P103" i="46"/>
  <c r="P205" i="46"/>
  <c r="Q69" i="46"/>
  <c r="Q103" i="46"/>
  <c r="Q205" i="46"/>
  <c r="R205" i="46"/>
  <c r="P71" i="46"/>
  <c r="P105" i="46"/>
  <c r="P207" i="46"/>
  <c r="Q71" i="46"/>
  <c r="Q105" i="46"/>
  <c r="Q207" i="46"/>
  <c r="R207" i="46"/>
  <c r="P73" i="46"/>
  <c r="P107" i="46"/>
  <c r="P209" i="46"/>
  <c r="Q73" i="46"/>
  <c r="Q107" i="46"/>
  <c r="Q209" i="46"/>
  <c r="R209" i="46"/>
  <c r="P75" i="46"/>
  <c r="P109" i="46"/>
  <c r="P211" i="46"/>
  <c r="Q75" i="46"/>
  <c r="Q109" i="46"/>
  <c r="Q211" i="46"/>
  <c r="R211" i="46"/>
  <c r="P77" i="46"/>
  <c r="P111" i="46"/>
  <c r="P213" i="46"/>
  <c r="Q77" i="46"/>
  <c r="Q111" i="46"/>
  <c r="Q213" i="46"/>
  <c r="R213" i="46"/>
  <c r="P79" i="46"/>
  <c r="P113" i="46"/>
  <c r="P215" i="46"/>
  <c r="Q79" i="46"/>
  <c r="Q113" i="46"/>
  <c r="Q215" i="46"/>
  <c r="R215" i="46"/>
  <c r="N113" i="46"/>
  <c r="N79" i="46"/>
  <c r="N215" i="46"/>
  <c r="K215" i="46"/>
  <c r="J215" i="46"/>
  <c r="I215" i="46"/>
  <c r="G215" i="46"/>
  <c r="H215" i="46"/>
  <c r="F215" i="46"/>
  <c r="E215" i="46"/>
  <c r="D215" i="46"/>
  <c r="B154" i="46"/>
  <c r="B155" i="46"/>
  <c r="B156" i="46"/>
  <c r="B157" i="46"/>
  <c r="B158" i="46"/>
  <c r="B159" i="46"/>
  <c r="B160" i="46"/>
  <c r="B161" i="46"/>
  <c r="B162" i="46"/>
  <c r="B163" i="46"/>
  <c r="B164" i="46"/>
  <c r="B165" i="46"/>
  <c r="B166" i="46"/>
  <c r="B167" i="46"/>
  <c r="B168" i="46"/>
  <c r="B169" i="46"/>
  <c r="B170" i="46"/>
  <c r="B171" i="46"/>
  <c r="B172" i="46"/>
  <c r="B173" i="46"/>
  <c r="B174" i="46"/>
  <c r="B175" i="46"/>
  <c r="B176" i="46"/>
  <c r="B177" i="46"/>
  <c r="B178" i="46"/>
  <c r="B179" i="46"/>
  <c r="B180" i="46"/>
  <c r="B181" i="46"/>
  <c r="J79" i="46"/>
  <c r="AN181" i="46"/>
  <c r="AM79" i="46"/>
  <c r="AM181" i="46"/>
  <c r="AL79" i="46"/>
  <c r="AL181" i="46"/>
  <c r="AK79" i="46"/>
  <c r="AK181" i="46"/>
  <c r="AJ181" i="46"/>
  <c r="AH181" i="46"/>
  <c r="AG181" i="46"/>
  <c r="AF181" i="46"/>
  <c r="AE181" i="46"/>
  <c r="AD181" i="46"/>
  <c r="AC181" i="46"/>
  <c r="AA181" i="46"/>
  <c r="Z181" i="46"/>
  <c r="Y181" i="46"/>
  <c r="X181" i="46"/>
  <c r="W181" i="46"/>
  <c r="V181" i="46"/>
  <c r="U181" i="46"/>
  <c r="T181" i="46"/>
  <c r="S181" i="46"/>
  <c r="Q181" i="46"/>
  <c r="P181" i="46"/>
  <c r="O181" i="46"/>
  <c r="N181" i="46"/>
  <c r="J181" i="46"/>
  <c r="I181" i="46"/>
  <c r="H181" i="46"/>
  <c r="F181" i="46"/>
  <c r="G181" i="46"/>
  <c r="E181" i="46"/>
  <c r="D181" i="46"/>
  <c r="C181" i="46"/>
  <c r="B120" i="46"/>
  <c r="B121" i="46"/>
  <c r="B122" i="46"/>
  <c r="B123" i="46"/>
  <c r="B124" i="46"/>
  <c r="B125" i="46"/>
  <c r="B126" i="46"/>
  <c r="B127" i="46"/>
  <c r="B128" i="46"/>
  <c r="B129" i="46"/>
  <c r="B130" i="46"/>
  <c r="B131" i="46"/>
  <c r="B132" i="46"/>
  <c r="B133" i="46"/>
  <c r="B134" i="46"/>
  <c r="B135" i="46"/>
  <c r="B136" i="46"/>
  <c r="B137" i="46"/>
  <c r="B138" i="46"/>
  <c r="B139" i="46"/>
  <c r="B140" i="46"/>
  <c r="B141" i="46"/>
  <c r="B142" i="46"/>
  <c r="B143" i="46"/>
  <c r="B144" i="46"/>
  <c r="B145" i="46"/>
  <c r="B146" i="46"/>
  <c r="B147" i="46"/>
  <c r="I79" i="46"/>
  <c r="AN147" i="46"/>
  <c r="AM147" i="46"/>
  <c r="AL147" i="46"/>
  <c r="AK147" i="46"/>
  <c r="AJ147" i="46"/>
  <c r="AH147" i="46"/>
  <c r="AG147" i="46"/>
  <c r="AF147" i="46"/>
  <c r="AE147" i="46"/>
  <c r="AD147" i="46"/>
  <c r="AC147" i="46"/>
  <c r="AA147" i="46"/>
  <c r="Z147" i="46"/>
  <c r="Y147" i="46"/>
  <c r="X147" i="46"/>
  <c r="W147" i="46"/>
  <c r="V147" i="46"/>
  <c r="U147" i="46"/>
  <c r="T147" i="46"/>
  <c r="S147" i="46"/>
  <c r="Q147" i="46"/>
  <c r="P147" i="46"/>
  <c r="O147" i="46"/>
  <c r="N147" i="46"/>
  <c r="J147" i="46"/>
  <c r="I147" i="46"/>
  <c r="H147" i="46"/>
  <c r="F147" i="46"/>
  <c r="G147" i="46"/>
  <c r="E147" i="46"/>
  <c r="D147" i="46"/>
  <c r="C147" i="46"/>
  <c r="B86" i="46"/>
  <c r="B87" i="46"/>
  <c r="B88" i="46"/>
  <c r="B89" i="46"/>
  <c r="B90" i="46"/>
  <c r="B91" i="46"/>
  <c r="B92" i="46"/>
  <c r="B93" i="46"/>
  <c r="B94" i="46"/>
  <c r="B95" i="46"/>
  <c r="B96" i="46"/>
  <c r="B97" i="46"/>
  <c r="B98" i="46"/>
  <c r="B99" i="46"/>
  <c r="B100" i="46"/>
  <c r="B101" i="46"/>
  <c r="B102" i="46"/>
  <c r="B103" i="46"/>
  <c r="B104" i="46"/>
  <c r="B105" i="46"/>
  <c r="B106" i="46"/>
  <c r="B107" i="46"/>
  <c r="B108" i="46"/>
  <c r="B109" i="46"/>
  <c r="B110" i="46"/>
  <c r="B111" i="46"/>
  <c r="B112" i="46"/>
  <c r="B113" i="46"/>
  <c r="AM113" i="46"/>
  <c r="AL113" i="46"/>
  <c r="AK113" i="46"/>
  <c r="AJ113" i="46"/>
  <c r="AC113" i="46"/>
  <c r="S113" i="46"/>
  <c r="J113" i="46"/>
  <c r="I113" i="46"/>
  <c r="H113" i="46"/>
  <c r="F113" i="46"/>
  <c r="G113" i="46"/>
  <c r="E113" i="46"/>
  <c r="D113" i="46"/>
  <c r="C113" i="46"/>
  <c r="B52" i="46"/>
  <c r="B53" i="46"/>
  <c r="B54" i="46"/>
  <c r="B55" i="46"/>
  <c r="B56" i="46"/>
  <c r="B57" i="46"/>
  <c r="B58" i="46"/>
  <c r="B59" i="46"/>
  <c r="B60" i="46"/>
  <c r="B61" i="46"/>
  <c r="B62" i="46"/>
  <c r="B63" i="46"/>
  <c r="B64" i="46"/>
  <c r="B65" i="46"/>
  <c r="B66" i="46"/>
  <c r="B67" i="46"/>
  <c r="B68" i="46"/>
  <c r="B69" i="46"/>
  <c r="B70" i="46"/>
  <c r="B71" i="46"/>
  <c r="B72" i="46"/>
  <c r="B73" i="46"/>
  <c r="B74" i="46"/>
  <c r="B75" i="46"/>
  <c r="B76" i="46"/>
  <c r="B77" i="46"/>
  <c r="B78" i="46"/>
  <c r="B79" i="46"/>
  <c r="AJ79" i="46"/>
  <c r="AC79" i="46"/>
  <c r="S79" i="46"/>
  <c r="F79" i="46"/>
  <c r="G79" i="46"/>
  <c r="E79" i="46"/>
  <c r="D79" i="46"/>
  <c r="C79" i="46"/>
  <c r="N111" i="46"/>
  <c r="C85" i="46"/>
  <c r="D85" i="46"/>
  <c r="E85" i="46"/>
  <c r="F85" i="46"/>
  <c r="G85" i="46"/>
  <c r="H85" i="46"/>
  <c r="I85" i="46"/>
  <c r="J85" i="46"/>
  <c r="N85" i="46"/>
  <c r="C86" i="46"/>
  <c r="D86" i="46"/>
  <c r="E86" i="46"/>
  <c r="F86" i="46"/>
  <c r="G86" i="46"/>
  <c r="H86" i="46"/>
  <c r="I86" i="46"/>
  <c r="J86" i="46"/>
  <c r="O52" i="46"/>
  <c r="H52" i="46"/>
  <c r="O86" i="46"/>
  <c r="P52" i="46"/>
  <c r="P86" i="46"/>
  <c r="Q52" i="46"/>
  <c r="Q86" i="46"/>
  <c r="N86" i="46"/>
  <c r="C87" i="46"/>
  <c r="D87" i="46"/>
  <c r="E87" i="46"/>
  <c r="F87" i="46"/>
  <c r="G87" i="46"/>
  <c r="H87" i="46"/>
  <c r="I87" i="46"/>
  <c r="J87" i="46"/>
  <c r="N87" i="46"/>
  <c r="C88" i="46"/>
  <c r="D88" i="46"/>
  <c r="E88" i="46"/>
  <c r="F88" i="46"/>
  <c r="G88" i="46"/>
  <c r="H88" i="46"/>
  <c r="I88" i="46"/>
  <c r="J88" i="46"/>
  <c r="O54" i="46"/>
  <c r="H54" i="46"/>
  <c r="O88" i="46"/>
  <c r="P54" i="46"/>
  <c r="P88" i="46"/>
  <c r="Q54" i="46"/>
  <c r="Q88" i="46"/>
  <c r="N88" i="46"/>
  <c r="C89" i="46"/>
  <c r="D89" i="46"/>
  <c r="E89" i="46"/>
  <c r="F89" i="46"/>
  <c r="G89" i="46"/>
  <c r="H89" i="46"/>
  <c r="I89" i="46"/>
  <c r="J89" i="46"/>
  <c r="N89" i="46"/>
  <c r="C90" i="46"/>
  <c r="D90" i="46"/>
  <c r="E90" i="46"/>
  <c r="F90" i="46"/>
  <c r="G90" i="46"/>
  <c r="H90" i="46"/>
  <c r="I90" i="46"/>
  <c r="J90" i="46"/>
  <c r="O56" i="46"/>
  <c r="H56" i="46"/>
  <c r="O90" i="46"/>
  <c r="P56" i="46"/>
  <c r="P90" i="46"/>
  <c r="Q56" i="46"/>
  <c r="Q90" i="46"/>
  <c r="N90" i="46"/>
  <c r="C91" i="46"/>
  <c r="D91" i="46"/>
  <c r="E91" i="46"/>
  <c r="F91" i="46"/>
  <c r="G91" i="46"/>
  <c r="H91" i="46"/>
  <c r="I91" i="46"/>
  <c r="J91" i="46"/>
  <c r="N91" i="46"/>
  <c r="C92" i="46"/>
  <c r="D92" i="46"/>
  <c r="E92" i="46"/>
  <c r="F92" i="46"/>
  <c r="G92" i="46"/>
  <c r="H92" i="46"/>
  <c r="I92" i="46"/>
  <c r="J92" i="46"/>
  <c r="O58" i="46"/>
  <c r="H58" i="46"/>
  <c r="O92" i="46"/>
  <c r="P58" i="46"/>
  <c r="P92" i="46"/>
  <c r="Q58" i="46"/>
  <c r="Q92" i="46"/>
  <c r="N92" i="46"/>
  <c r="C93" i="46"/>
  <c r="D93" i="46"/>
  <c r="E93" i="46"/>
  <c r="F93" i="46"/>
  <c r="G93" i="46"/>
  <c r="H93" i="46"/>
  <c r="I93" i="46"/>
  <c r="J93" i="46"/>
  <c r="N93" i="46"/>
  <c r="C94" i="46"/>
  <c r="D94" i="46"/>
  <c r="E94" i="46"/>
  <c r="F94" i="46"/>
  <c r="G94" i="46"/>
  <c r="H94" i="46"/>
  <c r="I94" i="46"/>
  <c r="J94" i="46"/>
  <c r="O60" i="46"/>
  <c r="H60" i="46"/>
  <c r="O94" i="46"/>
  <c r="P60" i="46"/>
  <c r="P94" i="46"/>
  <c r="Q60" i="46"/>
  <c r="Q94" i="46"/>
  <c r="N94" i="46"/>
  <c r="C95" i="46"/>
  <c r="D95" i="46"/>
  <c r="E95" i="46"/>
  <c r="F95" i="46"/>
  <c r="G95" i="46"/>
  <c r="H95" i="46"/>
  <c r="I95" i="46"/>
  <c r="J95" i="46"/>
  <c r="N95" i="46"/>
  <c r="C96" i="46"/>
  <c r="D96" i="46"/>
  <c r="E96" i="46"/>
  <c r="F96" i="46"/>
  <c r="G96" i="46"/>
  <c r="H96" i="46"/>
  <c r="I96" i="46"/>
  <c r="J96" i="46"/>
  <c r="O62" i="46"/>
  <c r="H62" i="46"/>
  <c r="O96" i="46"/>
  <c r="P62" i="46"/>
  <c r="P96" i="46"/>
  <c r="Q62" i="46"/>
  <c r="Q96" i="46"/>
  <c r="N96" i="46"/>
  <c r="C97" i="46"/>
  <c r="D97" i="46"/>
  <c r="E97" i="46"/>
  <c r="F97" i="46"/>
  <c r="G97" i="46"/>
  <c r="H97" i="46"/>
  <c r="I97" i="46"/>
  <c r="J97" i="46"/>
  <c r="N97" i="46"/>
  <c r="C98" i="46"/>
  <c r="D98" i="46"/>
  <c r="E98" i="46"/>
  <c r="F98" i="46"/>
  <c r="G98" i="46"/>
  <c r="H98" i="46"/>
  <c r="I98" i="46"/>
  <c r="J98" i="46"/>
  <c r="O64" i="46"/>
  <c r="H64" i="46"/>
  <c r="O98" i="46"/>
  <c r="P64" i="46"/>
  <c r="P98" i="46"/>
  <c r="Q64" i="46"/>
  <c r="Q98" i="46"/>
  <c r="N98" i="46"/>
  <c r="C99" i="46"/>
  <c r="D99" i="46"/>
  <c r="E99" i="46"/>
  <c r="F99" i="46"/>
  <c r="G99" i="46"/>
  <c r="H99" i="46"/>
  <c r="I99" i="46"/>
  <c r="J99" i="46"/>
  <c r="N99" i="46"/>
  <c r="C100" i="46"/>
  <c r="D100" i="46"/>
  <c r="E100" i="46"/>
  <c r="F100" i="46"/>
  <c r="G100" i="46"/>
  <c r="H100" i="46"/>
  <c r="I100" i="46"/>
  <c r="J100" i="46"/>
  <c r="O66" i="46"/>
  <c r="H66" i="46"/>
  <c r="O100" i="46"/>
  <c r="P66" i="46"/>
  <c r="P100" i="46"/>
  <c r="Q66" i="46"/>
  <c r="Q100" i="46"/>
  <c r="N100" i="46"/>
  <c r="C101" i="46"/>
  <c r="D101" i="46"/>
  <c r="E101" i="46"/>
  <c r="F101" i="46"/>
  <c r="G101" i="46"/>
  <c r="H101" i="46"/>
  <c r="I101" i="46"/>
  <c r="J101" i="46"/>
  <c r="N101" i="46"/>
  <c r="C102" i="46"/>
  <c r="D102" i="46"/>
  <c r="E102" i="46"/>
  <c r="F102" i="46"/>
  <c r="G102" i="46"/>
  <c r="H102" i="46"/>
  <c r="I102" i="46"/>
  <c r="J102" i="46"/>
  <c r="O68" i="46"/>
  <c r="H68" i="46"/>
  <c r="O102" i="46"/>
  <c r="P68" i="46"/>
  <c r="P102" i="46"/>
  <c r="Q68" i="46"/>
  <c r="Q102" i="46"/>
  <c r="N102" i="46"/>
  <c r="C103" i="46"/>
  <c r="D103" i="46"/>
  <c r="E103" i="46"/>
  <c r="F103" i="46"/>
  <c r="G103" i="46"/>
  <c r="H103" i="46"/>
  <c r="I103" i="46"/>
  <c r="J103" i="46"/>
  <c r="N103" i="46"/>
  <c r="C104" i="46"/>
  <c r="D104" i="46"/>
  <c r="E104" i="46"/>
  <c r="F104" i="46"/>
  <c r="G104" i="46"/>
  <c r="H104" i="46"/>
  <c r="I104" i="46"/>
  <c r="J104" i="46"/>
  <c r="O70" i="46"/>
  <c r="H70" i="46"/>
  <c r="O104" i="46"/>
  <c r="P70" i="46"/>
  <c r="P104" i="46"/>
  <c r="Q70" i="46"/>
  <c r="Q104" i="46"/>
  <c r="N104" i="46"/>
  <c r="C105" i="46"/>
  <c r="D105" i="46"/>
  <c r="E105" i="46"/>
  <c r="F105" i="46"/>
  <c r="G105" i="46"/>
  <c r="H105" i="46"/>
  <c r="I105" i="46"/>
  <c r="J105" i="46"/>
  <c r="N105" i="46"/>
  <c r="C106" i="46"/>
  <c r="D106" i="46"/>
  <c r="E106" i="46"/>
  <c r="F106" i="46"/>
  <c r="G106" i="46"/>
  <c r="H106" i="46"/>
  <c r="I106" i="46"/>
  <c r="J106" i="46"/>
  <c r="O72" i="46"/>
  <c r="H72" i="46"/>
  <c r="O106" i="46"/>
  <c r="P72" i="46"/>
  <c r="P106" i="46"/>
  <c r="Q72" i="46"/>
  <c r="Q106" i="46"/>
  <c r="N106" i="46"/>
  <c r="C107" i="46"/>
  <c r="D107" i="46"/>
  <c r="E107" i="46"/>
  <c r="F107" i="46"/>
  <c r="G107" i="46"/>
  <c r="H107" i="46"/>
  <c r="I107" i="46"/>
  <c r="J107" i="46"/>
  <c r="N107" i="46"/>
  <c r="C108" i="46"/>
  <c r="D108" i="46"/>
  <c r="E108" i="46"/>
  <c r="F108" i="46"/>
  <c r="G108" i="46"/>
  <c r="H108" i="46"/>
  <c r="I108" i="46"/>
  <c r="J108" i="46"/>
  <c r="O74" i="46"/>
  <c r="H74" i="46"/>
  <c r="O108" i="46"/>
  <c r="P74" i="46"/>
  <c r="P108" i="46"/>
  <c r="Q74" i="46"/>
  <c r="Q108" i="46"/>
  <c r="N108" i="46"/>
  <c r="C109" i="46"/>
  <c r="D109" i="46"/>
  <c r="E109" i="46"/>
  <c r="F109" i="46"/>
  <c r="G109" i="46"/>
  <c r="H109" i="46"/>
  <c r="I109" i="46"/>
  <c r="J109" i="46"/>
  <c r="N109" i="46"/>
  <c r="C110" i="46"/>
  <c r="D110" i="46"/>
  <c r="E110" i="46"/>
  <c r="F110" i="46"/>
  <c r="G110" i="46"/>
  <c r="H110" i="46"/>
  <c r="I110" i="46"/>
  <c r="J110" i="46"/>
  <c r="O76" i="46"/>
  <c r="H76" i="46"/>
  <c r="O110" i="46"/>
  <c r="P76" i="46"/>
  <c r="P110" i="46"/>
  <c r="Q76" i="46"/>
  <c r="Q110" i="46"/>
  <c r="N110" i="46"/>
  <c r="C111" i="46"/>
  <c r="D111" i="46"/>
  <c r="E111" i="46"/>
  <c r="F111" i="46"/>
  <c r="G111" i="46"/>
  <c r="H111" i="46"/>
  <c r="I111" i="46"/>
  <c r="J111" i="46"/>
  <c r="C112" i="46"/>
  <c r="D112" i="46"/>
  <c r="E112" i="46"/>
  <c r="F112" i="46"/>
  <c r="G112" i="46"/>
  <c r="H112" i="46"/>
  <c r="I112" i="46"/>
  <c r="J112" i="46"/>
  <c r="O78" i="46"/>
  <c r="H78" i="46"/>
  <c r="O112" i="46"/>
  <c r="P78" i="46"/>
  <c r="P112" i="46"/>
  <c r="Q78" i="46"/>
  <c r="Q112" i="46"/>
  <c r="N112" i="46"/>
  <c r="T77" i="46"/>
  <c r="T111" i="46"/>
  <c r="S110" i="46"/>
  <c r="S111" i="46"/>
  <c r="S112" i="46"/>
  <c r="S108" i="46"/>
  <c r="S109" i="46"/>
  <c r="U77" i="46"/>
  <c r="U111" i="46"/>
  <c r="V77" i="46"/>
  <c r="V111" i="46"/>
  <c r="W77" i="46"/>
  <c r="W111" i="46"/>
  <c r="X77" i="46"/>
  <c r="X111" i="46"/>
  <c r="Y77" i="46"/>
  <c r="Y111" i="46"/>
  <c r="Z77" i="46"/>
  <c r="Z111" i="46"/>
  <c r="AA77" i="46"/>
  <c r="AA111" i="46"/>
  <c r="AD77" i="46"/>
  <c r="AD111" i="46"/>
  <c r="AC110" i="46"/>
  <c r="AC111" i="46"/>
  <c r="AC112" i="46"/>
  <c r="AC108" i="46"/>
  <c r="AC109" i="46"/>
  <c r="AE77" i="46"/>
  <c r="AE111" i="46"/>
  <c r="AF77" i="46"/>
  <c r="AF111" i="46"/>
  <c r="AG77" i="46"/>
  <c r="AG111" i="46"/>
  <c r="AH77" i="46"/>
  <c r="AH111" i="46"/>
  <c r="AN77" i="46"/>
  <c r="AN111" i="46"/>
  <c r="AJ110" i="46"/>
  <c r="AJ111" i="46"/>
  <c r="AJ112" i="46"/>
  <c r="AJ108" i="46"/>
  <c r="AJ109" i="46"/>
  <c r="B214" i="46"/>
  <c r="O214" i="46"/>
  <c r="B212" i="46"/>
  <c r="O212" i="46"/>
  <c r="B210" i="46"/>
  <c r="O210" i="46"/>
  <c r="B208" i="46"/>
  <c r="O208" i="46"/>
  <c r="B206" i="46"/>
  <c r="O206" i="46"/>
  <c r="B204" i="46"/>
  <c r="O204" i="46"/>
  <c r="B202" i="46"/>
  <c r="O202" i="46"/>
  <c r="B200" i="46"/>
  <c r="O200" i="46"/>
  <c r="B198" i="46"/>
  <c r="O198" i="46"/>
  <c r="B196" i="46"/>
  <c r="O196" i="46"/>
  <c r="B194" i="46"/>
  <c r="O194" i="46"/>
  <c r="B192" i="46"/>
  <c r="O192" i="46"/>
  <c r="B190" i="46"/>
  <c r="O190" i="46"/>
  <c r="B188" i="46"/>
  <c r="O188" i="46"/>
  <c r="P188" i="46"/>
  <c r="Q188" i="46"/>
  <c r="R188" i="46"/>
  <c r="P190" i="46"/>
  <c r="Q190" i="46"/>
  <c r="R190" i="46"/>
  <c r="P192" i="46"/>
  <c r="Q192" i="46"/>
  <c r="R192" i="46"/>
  <c r="P194" i="46"/>
  <c r="Q194" i="46"/>
  <c r="R194" i="46"/>
  <c r="P196" i="46"/>
  <c r="Q196" i="46"/>
  <c r="R196" i="46"/>
  <c r="P198" i="46"/>
  <c r="Q198" i="46"/>
  <c r="R198" i="46"/>
  <c r="P200" i="46"/>
  <c r="Q200" i="46"/>
  <c r="R200" i="46"/>
  <c r="P202" i="46"/>
  <c r="Q202" i="46"/>
  <c r="R202" i="46"/>
  <c r="P204" i="46"/>
  <c r="Q204" i="46"/>
  <c r="R204" i="46"/>
  <c r="P206" i="46"/>
  <c r="Q206" i="46"/>
  <c r="R206" i="46"/>
  <c r="P208" i="46"/>
  <c r="Q208" i="46"/>
  <c r="R208" i="46"/>
  <c r="P210" i="46"/>
  <c r="Q210" i="46"/>
  <c r="R210" i="46"/>
  <c r="P212" i="46"/>
  <c r="Q212" i="46"/>
  <c r="R212" i="46"/>
  <c r="P214" i="46"/>
  <c r="Q214" i="46"/>
  <c r="R214" i="46"/>
  <c r="T78" i="46"/>
  <c r="T112" i="46"/>
  <c r="U78" i="46"/>
  <c r="U112" i="46"/>
  <c r="V78" i="46"/>
  <c r="V112" i="46"/>
  <c r="W78" i="46"/>
  <c r="W112" i="46"/>
  <c r="X78" i="46"/>
  <c r="X112" i="46"/>
  <c r="Y78" i="46"/>
  <c r="Y112" i="46"/>
  <c r="Z78" i="46"/>
  <c r="Z112" i="46"/>
  <c r="AA78" i="46"/>
  <c r="AA112" i="46"/>
  <c r="AD78" i="46"/>
  <c r="AD112" i="46"/>
  <c r="AE78" i="46"/>
  <c r="AE112" i="46"/>
  <c r="AF78" i="46"/>
  <c r="AF112" i="46"/>
  <c r="AG78" i="46"/>
  <c r="AG112" i="46"/>
  <c r="AH78" i="46"/>
  <c r="AH112" i="46"/>
  <c r="AN78" i="46"/>
  <c r="AN112" i="46"/>
  <c r="AM78" i="46"/>
  <c r="AL78" i="46"/>
  <c r="AK78" i="46"/>
  <c r="AJ78" i="46"/>
  <c r="AC78" i="46"/>
  <c r="S78" i="46"/>
  <c r="N78" i="46"/>
  <c r="J78" i="46"/>
  <c r="I78" i="46"/>
  <c r="F78" i="46"/>
  <c r="G78" i="46"/>
  <c r="E78" i="46"/>
  <c r="D78" i="46"/>
  <c r="C78" i="46"/>
  <c r="AM77" i="46"/>
  <c r="AL77" i="46"/>
  <c r="AK77" i="46"/>
  <c r="AJ77" i="46"/>
  <c r="AC77" i="46"/>
  <c r="S77" i="46"/>
  <c r="N77" i="46"/>
  <c r="J77" i="46"/>
  <c r="I77" i="46"/>
  <c r="F77" i="46"/>
  <c r="G77" i="46"/>
  <c r="E77" i="46"/>
  <c r="D77" i="46"/>
  <c r="C77" i="46"/>
  <c r="AN76" i="46"/>
  <c r="AM76" i="46"/>
  <c r="AL76" i="46"/>
  <c r="AK76" i="46"/>
  <c r="AJ76" i="46"/>
  <c r="AH76" i="46"/>
  <c r="AG76" i="46"/>
  <c r="AF76" i="46"/>
  <c r="AE76" i="46"/>
  <c r="AD76" i="46"/>
  <c r="AC76" i="46"/>
  <c r="AA76" i="46"/>
  <c r="Z76" i="46"/>
  <c r="Y76" i="46"/>
  <c r="X76" i="46"/>
  <c r="W76" i="46"/>
  <c r="V76" i="46"/>
  <c r="U76" i="46"/>
  <c r="T76" i="46"/>
  <c r="S76" i="46"/>
  <c r="N76" i="46"/>
  <c r="J76" i="46"/>
  <c r="I76" i="46"/>
  <c r="F76" i="46"/>
  <c r="G76" i="46"/>
  <c r="E76" i="46"/>
  <c r="D76" i="46"/>
  <c r="C76" i="46"/>
  <c r="I41" i="28"/>
  <c r="J41" i="28"/>
  <c r="K41" i="28"/>
  <c r="O41" i="28"/>
  <c r="D32" i="28"/>
  <c r="AA110" i="7"/>
  <c r="M41" i="28"/>
  <c r="P41" i="28"/>
  <c r="Q41" i="28"/>
  <c r="E32" i="28"/>
  <c r="AB110" i="7"/>
  <c r="D22" i="19"/>
  <c r="D21" i="19"/>
  <c r="D20" i="19"/>
  <c r="D19" i="19"/>
  <c r="D18" i="19"/>
  <c r="D17" i="19"/>
  <c r="D20" i="67"/>
  <c r="D19" i="67"/>
  <c r="D18" i="67"/>
  <c r="D17" i="67"/>
  <c r="D16" i="67"/>
  <c r="D15" i="67"/>
  <c r="U56" i="67"/>
  <c r="S56" i="67"/>
  <c r="Q56" i="67"/>
  <c r="O56" i="67"/>
  <c r="M56" i="67"/>
  <c r="K56" i="67"/>
  <c r="U55" i="67"/>
  <c r="S55" i="67"/>
  <c r="Q55" i="67"/>
  <c r="O55" i="67"/>
  <c r="M55" i="67"/>
  <c r="K55" i="67"/>
  <c r="U54" i="67"/>
  <c r="S54" i="67"/>
  <c r="Q54" i="67"/>
  <c r="O54" i="67"/>
  <c r="M54" i="67"/>
  <c r="K54" i="67"/>
  <c r="U53" i="67"/>
  <c r="S53" i="67"/>
  <c r="Q53" i="67"/>
  <c r="O53" i="67"/>
  <c r="M53" i="67"/>
  <c r="K53" i="67"/>
  <c r="U52" i="67"/>
  <c r="S52" i="67"/>
  <c r="Q52" i="67"/>
  <c r="O52" i="67"/>
  <c r="M52" i="67"/>
  <c r="K52" i="67"/>
  <c r="U51" i="67"/>
  <c r="S51" i="67"/>
  <c r="Q51" i="67"/>
  <c r="O51" i="67"/>
  <c r="M51" i="67"/>
  <c r="K51" i="67"/>
  <c r="U50" i="67"/>
  <c r="S50" i="67"/>
  <c r="Q50" i="67"/>
  <c r="O50" i="67"/>
  <c r="M50" i="67"/>
  <c r="K50" i="67"/>
  <c r="U49" i="67"/>
  <c r="S49" i="67"/>
  <c r="Q49" i="67"/>
  <c r="O49" i="67"/>
  <c r="M49" i="67"/>
  <c r="K49" i="67"/>
  <c r="U48" i="67"/>
  <c r="S48" i="67"/>
  <c r="Q48" i="67"/>
  <c r="O48" i="67"/>
  <c r="M48" i="67"/>
  <c r="K48" i="67"/>
  <c r="U47" i="67"/>
  <c r="S47" i="67"/>
  <c r="Q47" i="67"/>
  <c r="O47" i="67"/>
  <c r="M47" i="67"/>
  <c r="K47" i="67"/>
  <c r="U46" i="67"/>
  <c r="S46" i="67"/>
  <c r="Q46" i="67"/>
  <c r="O46" i="67"/>
  <c r="M46" i="67"/>
  <c r="K46" i="67"/>
  <c r="U45" i="67"/>
  <c r="S45" i="67"/>
  <c r="Q45" i="67"/>
  <c r="O45" i="67"/>
  <c r="M45" i="67"/>
  <c r="K45" i="67"/>
  <c r="U44" i="67"/>
  <c r="S44" i="67"/>
  <c r="Q44" i="67"/>
  <c r="O44" i="67"/>
  <c r="M44" i="67"/>
  <c r="K44" i="67"/>
  <c r="U43" i="67"/>
  <c r="S43" i="67"/>
  <c r="Q43" i="67"/>
  <c r="O43" i="67"/>
  <c r="M43" i="67"/>
  <c r="K43" i="67"/>
  <c r="U42" i="67"/>
  <c r="S42" i="67"/>
  <c r="Q42" i="67"/>
  <c r="O42" i="67"/>
  <c r="M42" i="67"/>
  <c r="K42" i="67"/>
  <c r="U41" i="67"/>
  <c r="S41" i="67"/>
  <c r="Q41" i="67"/>
  <c r="O41" i="67"/>
  <c r="M41" i="67"/>
  <c r="K41" i="67"/>
  <c r="U40" i="67"/>
  <c r="S40" i="67"/>
  <c r="Q40" i="67"/>
  <c r="O40" i="67"/>
  <c r="M40" i="67"/>
  <c r="K40" i="67"/>
  <c r="U39" i="67"/>
  <c r="S39" i="67"/>
  <c r="Q39" i="67"/>
  <c r="O39" i="67"/>
  <c r="M39" i="67"/>
  <c r="K39" i="67"/>
  <c r="U38" i="67"/>
  <c r="S38" i="67"/>
  <c r="Q38" i="67"/>
  <c r="O38" i="67"/>
  <c r="M38" i="67"/>
  <c r="K38" i="67"/>
  <c r="U37" i="67"/>
  <c r="S37" i="67"/>
  <c r="Q37" i="67"/>
  <c r="O37" i="67"/>
  <c r="M37" i="67"/>
  <c r="K37" i="67"/>
  <c r="U36" i="67"/>
  <c r="S36" i="67"/>
  <c r="Q36" i="67"/>
  <c r="O36" i="67"/>
  <c r="M36" i="67"/>
  <c r="K36" i="67"/>
  <c r="U35" i="67"/>
  <c r="S35" i="67"/>
  <c r="Q35" i="67"/>
  <c r="O35" i="67"/>
  <c r="M35" i="67"/>
  <c r="K35" i="67"/>
  <c r="U34" i="67"/>
  <c r="S34" i="67"/>
  <c r="Q34" i="67"/>
  <c r="O34" i="67"/>
  <c r="M34" i="67"/>
  <c r="K34" i="67"/>
  <c r="U33" i="67"/>
  <c r="S33" i="67"/>
  <c r="Q33" i="67"/>
  <c r="O33" i="67"/>
  <c r="M33" i="67"/>
  <c r="K33" i="67"/>
  <c r="U32" i="67"/>
  <c r="S32" i="67"/>
  <c r="Q32" i="67"/>
  <c r="O32" i="67"/>
  <c r="M32" i="67"/>
  <c r="K32" i="67"/>
  <c r="U31" i="67"/>
  <c r="S31" i="67"/>
  <c r="Q31" i="67"/>
  <c r="O31" i="67"/>
  <c r="M31" i="67"/>
  <c r="K31" i="67"/>
  <c r="U30" i="67"/>
  <c r="S30" i="67"/>
  <c r="Q30" i="67"/>
  <c r="O30" i="67"/>
  <c r="M30" i="67"/>
  <c r="K30" i="67"/>
  <c r="U29" i="67"/>
  <c r="S29" i="67"/>
  <c r="Q29" i="67"/>
  <c r="O29" i="67"/>
  <c r="M29" i="67"/>
  <c r="K29" i="67"/>
  <c r="U28" i="67"/>
  <c r="S28" i="67"/>
  <c r="Q28" i="67"/>
  <c r="O28" i="67"/>
  <c r="M28" i="67"/>
  <c r="K28" i="67"/>
  <c r="U27" i="67"/>
  <c r="S27" i="67"/>
  <c r="Q27" i="67"/>
  <c r="O27" i="67"/>
  <c r="M27" i="67"/>
  <c r="K27" i="67"/>
  <c r="U26" i="67"/>
  <c r="S26" i="67"/>
  <c r="Q26" i="67"/>
  <c r="O26" i="67"/>
  <c r="M26" i="67"/>
  <c r="K26" i="67"/>
  <c r="U25" i="67"/>
  <c r="S25" i="67"/>
  <c r="Q25" i="67"/>
  <c r="O25" i="67"/>
  <c r="M25" i="67"/>
  <c r="K25" i="67"/>
  <c r="U24" i="67"/>
  <c r="S24" i="67"/>
  <c r="Q24" i="67"/>
  <c r="O24" i="67"/>
  <c r="M24" i="67"/>
  <c r="K24" i="67"/>
  <c r="U23" i="67"/>
  <c r="S23" i="67"/>
  <c r="Q23" i="67"/>
  <c r="O23" i="67"/>
  <c r="M23" i="67"/>
  <c r="K23" i="67"/>
  <c r="Q21" i="67"/>
  <c r="U22" i="67"/>
  <c r="S22" i="67"/>
  <c r="K22" i="67"/>
  <c r="Q22" i="67"/>
  <c r="O22" i="67"/>
  <c r="M22" i="67"/>
  <c r="U21" i="67"/>
  <c r="S21" i="67"/>
  <c r="K21" i="67"/>
  <c r="O21" i="67"/>
  <c r="M21" i="67"/>
  <c r="U20" i="67"/>
  <c r="S20" i="67"/>
  <c r="K20" i="67"/>
  <c r="Q20" i="67"/>
  <c r="O20" i="67"/>
  <c r="M20" i="67"/>
  <c r="U19" i="67"/>
  <c r="S19" i="67"/>
  <c r="K19" i="67"/>
  <c r="Q19" i="67"/>
  <c r="O19" i="67"/>
  <c r="M19" i="67"/>
  <c r="U18" i="67"/>
  <c r="S18" i="67"/>
  <c r="K18" i="67"/>
  <c r="Q18" i="67"/>
  <c r="O18" i="67"/>
  <c r="M18" i="67"/>
  <c r="U17" i="67"/>
  <c r="S17" i="67"/>
  <c r="K17" i="67"/>
  <c r="Q17" i="67"/>
  <c r="O17" i="67"/>
  <c r="M17" i="67"/>
  <c r="F27" i="53"/>
  <c r="N53" i="53"/>
  <c r="P53" i="53"/>
  <c r="Q53" i="53"/>
  <c r="N54" i="53"/>
  <c r="P54" i="53"/>
  <c r="Q54" i="53"/>
  <c r="N55" i="53"/>
  <c r="P55" i="53"/>
  <c r="Q55" i="53"/>
  <c r="N56" i="53"/>
  <c r="P56" i="53"/>
  <c r="Q56" i="53"/>
  <c r="N57" i="53"/>
  <c r="P57" i="53"/>
  <c r="Q57" i="53"/>
  <c r="Q58" i="53"/>
  <c r="I53" i="53"/>
  <c r="O53" i="53"/>
  <c r="E34" i="53"/>
  <c r="G53" i="53"/>
  <c r="K53" i="53"/>
  <c r="M53" i="53"/>
  <c r="D34" i="53"/>
  <c r="I54" i="53"/>
  <c r="O54" i="53"/>
  <c r="E33" i="53"/>
  <c r="G54" i="53"/>
  <c r="M54" i="53"/>
  <c r="D33" i="53"/>
  <c r="I45" i="28"/>
  <c r="J45" i="28"/>
  <c r="M45" i="28"/>
  <c r="P45" i="28"/>
  <c r="Q45" i="28"/>
  <c r="Q44" i="28"/>
  <c r="Q43" i="28"/>
  <c r="Q42" i="28"/>
  <c r="F45" i="28"/>
  <c r="F42" i="28"/>
  <c r="F44" i="28"/>
  <c r="F43" i="28"/>
  <c r="F41" i="28"/>
  <c r="K45" i="28"/>
  <c r="M44" i="28"/>
  <c r="K44" i="28"/>
  <c r="M43" i="28"/>
  <c r="K43" i="28"/>
  <c r="M42" i="28"/>
  <c r="K42" i="28"/>
  <c r="B8" i="62"/>
  <c r="B13" i="62"/>
  <c r="BL13" i="62"/>
  <c r="J13" i="47"/>
  <c r="J16" i="47"/>
  <c r="B9" i="70"/>
  <c r="BE13" i="62"/>
  <c r="F9" i="70"/>
  <c r="BK13" i="62"/>
  <c r="H13" i="47"/>
  <c r="H16" i="47"/>
  <c r="E9" i="70"/>
  <c r="BJ13" i="62"/>
  <c r="F13" i="47"/>
  <c r="F16" i="47"/>
  <c r="D9" i="70"/>
  <c r="B14" i="62"/>
  <c r="BJ14" i="62"/>
  <c r="B10" i="70"/>
  <c r="BE14" i="62"/>
  <c r="D10" i="70"/>
  <c r="BK14" i="62"/>
  <c r="BL14" i="62"/>
  <c r="B16" i="63" a="1"/>
  <c r="B16" i="63"/>
  <c r="H47" i="61"/>
  <c r="BO47" i="61"/>
  <c r="H48" i="61"/>
  <c r="BO48" i="61"/>
  <c r="H49" i="61"/>
  <c r="BO49" i="61"/>
  <c r="H50" i="61"/>
  <c r="BO50" i="61"/>
  <c r="H51" i="61"/>
  <c r="BO51" i="61"/>
  <c r="H52" i="61"/>
  <c r="BO52" i="61"/>
  <c r="H53" i="61"/>
  <c r="BO53" i="61"/>
  <c r="H54" i="61"/>
  <c r="BO54" i="61"/>
  <c r="H55" i="61"/>
  <c r="BO55" i="61"/>
  <c r="H56" i="61"/>
  <c r="BO56" i="61"/>
  <c r="H57" i="61"/>
  <c r="BO57" i="61"/>
  <c r="H58" i="61"/>
  <c r="BO58" i="61"/>
  <c r="H59" i="61"/>
  <c r="BO59" i="61"/>
  <c r="H46" i="61"/>
  <c r="BO46" i="61"/>
  <c r="H21" i="61"/>
  <c r="BO21" i="61"/>
  <c r="H19" i="61"/>
  <c r="BO19" i="61"/>
  <c r="BF14" i="62"/>
  <c r="BG14" i="62"/>
  <c r="BH14" i="62"/>
  <c r="BI14" i="62"/>
  <c r="BM14" i="62"/>
  <c r="BN14" i="62"/>
  <c r="BO14" i="62"/>
  <c r="BP14" i="62"/>
  <c r="BQ14" i="62"/>
  <c r="BR14" i="62"/>
  <c r="BS14" i="62"/>
  <c r="BT14" i="62"/>
  <c r="BU14" i="62"/>
  <c r="BV14" i="62"/>
  <c r="BW14" i="62"/>
  <c r="BX14" i="62"/>
  <c r="BY14" i="62"/>
  <c r="BZ14" i="62"/>
  <c r="CA14" i="62"/>
  <c r="CB14" i="62"/>
  <c r="CC14" i="62"/>
  <c r="CD14" i="62"/>
  <c r="CE14" i="62"/>
  <c r="CF14" i="62"/>
  <c r="CG14" i="62"/>
  <c r="CH14" i="62"/>
  <c r="CI14" i="62"/>
  <c r="CJ14" i="62"/>
  <c r="CK14" i="62"/>
  <c r="CL14" i="62"/>
  <c r="CM14" i="62"/>
  <c r="CN14" i="62"/>
  <c r="CO14" i="62"/>
  <c r="CP14" i="62"/>
  <c r="CQ14" i="62"/>
  <c r="CR14" i="62"/>
  <c r="CS14" i="62"/>
  <c r="CT14" i="62"/>
  <c r="CU14" i="62"/>
  <c r="CV14" i="62"/>
  <c r="CW14" i="62"/>
  <c r="CX14" i="62"/>
  <c r="CY14" i="62"/>
  <c r="CZ14" i="62"/>
  <c r="DA14" i="62"/>
  <c r="DB14" i="62"/>
  <c r="DC14" i="62"/>
  <c r="DD14" i="62"/>
  <c r="DE14" i="62"/>
  <c r="DF14" i="62"/>
  <c r="DG14" i="62"/>
  <c r="DH14" i="62"/>
  <c r="DI14" i="62"/>
  <c r="DJ14" i="62"/>
  <c r="DK14" i="62"/>
  <c r="DL14" i="62"/>
  <c r="DM14" i="62"/>
  <c r="DN14" i="62"/>
  <c r="DO14" i="62"/>
  <c r="DP14" i="62"/>
  <c r="DQ14" i="62"/>
  <c r="DR14" i="62"/>
  <c r="DS14" i="62"/>
  <c r="DT14" i="62"/>
  <c r="DU14" i="62"/>
  <c r="DV14" i="62"/>
  <c r="DW14" i="62"/>
  <c r="DX14" i="62"/>
  <c r="DY14" i="62"/>
  <c r="DZ14" i="62"/>
  <c r="EA14" i="62"/>
  <c r="EB14" i="62"/>
  <c r="EC14" i="62"/>
  <c r="ED14" i="62"/>
  <c r="EE14" i="62"/>
  <c r="EF14" i="62"/>
  <c r="EG14" i="62"/>
  <c r="EH14" i="62"/>
  <c r="EI14" i="62"/>
  <c r="B15" i="62"/>
  <c r="BF15" i="62"/>
  <c r="BG15" i="62"/>
  <c r="BH15" i="62"/>
  <c r="BI15" i="62"/>
  <c r="BJ15" i="62"/>
  <c r="BK15" i="62"/>
  <c r="BL15" i="62"/>
  <c r="BM15" i="62"/>
  <c r="BN15" i="62"/>
  <c r="BO15" i="62"/>
  <c r="BP15" i="62"/>
  <c r="BQ15" i="62"/>
  <c r="BR15" i="62"/>
  <c r="BS15" i="62"/>
  <c r="BT15" i="62"/>
  <c r="BU15" i="62"/>
  <c r="BV15" i="62"/>
  <c r="BW15" i="62"/>
  <c r="BX15" i="62"/>
  <c r="BY15" i="62"/>
  <c r="BZ15" i="62"/>
  <c r="CA15" i="62"/>
  <c r="CB15" i="62"/>
  <c r="CC15" i="62"/>
  <c r="CD15" i="62"/>
  <c r="CE15" i="62"/>
  <c r="CF15" i="62"/>
  <c r="CG15" i="62"/>
  <c r="CH15" i="62"/>
  <c r="CI15" i="62"/>
  <c r="CJ15" i="62"/>
  <c r="CK15" i="62"/>
  <c r="CL15" i="62"/>
  <c r="CM15" i="62"/>
  <c r="CN15" i="62"/>
  <c r="CO15" i="62"/>
  <c r="CP15" i="62"/>
  <c r="CQ15" i="62"/>
  <c r="CR15" i="62"/>
  <c r="CS15" i="62"/>
  <c r="CT15" i="62"/>
  <c r="CU15" i="62"/>
  <c r="CV15" i="62"/>
  <c r="CW15" i="62"/>
  <c r="CX15" i="62"/>
  <c r="CY15" i="62"/>
  <c r="CZ15" i="62"/>
  <c r="DA15" i="62"/>
  <c r="DB15" i="62"/>
  <c r="DC15" i="62"/>
  <c r="DD15" i="62"/>
  <c r="DE15" i="62"/>
  <c r="DF15" i="62"/>
  <c r="DG15" i="62"/>
  <c r="DH15" i="62"/>
  <c r="DI15" i="62"/>
  <c r="DJ15" i="62"/>
  <c r="DK15" i="62"/>
  <c r="DL15" i="62"/>
  <c r="DM15" i="62"/>
  <c r="DN15" i="62"/>
  <c r="DO15" i="62"/>
  <c r="DP15" i="62"/>
  <c r="DQ15" i="62"/>
  <c r="DR15" i="62"/>
  <c r="DS15" i="62"/>
  <c r="DT15" i="62"/>
  <c r="DU15" i="62"/>
  <c r="DV15" i="62"/>
  <c r="DW15" i="62"/>
  <c r="DX15" i="62"/>
  <c r="DY15" i="62"/>
  <c r="DZ15" i="62"/>
  <c r="EA15" i="62"/>
  <c r="EB15" i="62"/>
  <c r="EC15" i="62"/>
  <c r="ED15" i="62"/>
  <c r="EE15" i="62"/>
  <c r="EF15" i="62"/>
  <c r="EG15" i="62"/>
  <c r="EH15" i="62"/>
  <c r="EI15" i="62"/>
  <c r="B16" i="62"/>
  <c r="BF16" i="62"/>
  <c r="BG16" i="62"/>
  <c r="BH16" i="62"/>
  <c r="BI16" i="62"/>
  <c r="BJ16" i="62"/>
  <c r="BK16" i="62"/>
  <c r="BL16" i="62"/>
  <c r="BM16" i="62"/>
  <c r="BN16" i="62"/>
  <c r="BO16" i="62"/>
  <c r="BP16" i="62"/>
  <c r="BQ16" i="62"/>
  <c r="BR16" i="62"/>
  <c r="BS16" i="62"/>
  <c r="BT16" i="62"/>
  <c r="BU16" i="62"/>
  <c r="BV16" i="62"/>
  <c r="BW16" i="62"/>
  <c r="BX16" i="62"/>
  <c r="BY16" i="62"/>
  <c r="BZ16" i="62"/>
  <c r="CA16" i="62"/>
  <c r="CB16" i="62"/>
  <c r="CC16" i="62"/>
  <c r="CD16" i="62"/>
  <c r="CE16" i="62"/>
  <c r="CF16" i="62"/>
  <c r="CG16" i="62"/>
  <c r="CH16" i="62"/>
  <c r="CI16" i="62"/>
  <c r="CJ16" i="62"/>
  <c r="CK16" i="62"/>
  <c r="CL16" i="62"/>
  <c r="CM16" i="62"/>
  <c r="CN16" i="62"/>
  <c r="CO16" i="62"/>
  <c r="CP16" i="62"/>
  <c r="CQ16" i="62"/>
  <c r="CR16" i="62"/>
  <c r="CS16" i="62"/>
  <c r="CT16" i="62"/>
  <c r="CU16" i="62"/>
  <c r="CV16" i="62"/>
  <c r="CW16" i="62"/>
  <c r="CX16" i="62"/>
  <c r="CY16" i="62"/>
  <c r="CZ16" i="62"/>
  <c r="DA16" i="62"/>
  <c r="DB16" i="62"/>
  <c r="DC16" i="62"/>
  <c r="DD16" i="62"/>
  <c r="DE16" i="62"/>
  <c r="DF16" i="62"/>
  <c r="DG16" i="62"/>
  <c r="DH16" i="62"/>
  <c r="DI16" i="62"/>
  <c r="DJ16" i="62"/>
  <c r="DK16" i="62"/>
  <c r="DL16" i="62"/>
  <c r="DM16" i="62"/>
  <c r="DN16" i="62"/>
  <c r="DO16" i="62"/>
  <c r="DP16" i="62"/>
  <c r="DQ16" i="62"/>
  <c r="DR16" i="62"/>
  <c r="DS16" i="62"/>
  <c r="DT16" i="62"/>
  <c r="DU16" i="62"/>
  <c r="DV16" i="62"/>
  <c r="DW16" i="62"/>
  <c r="DX16" i="62"/>
  <c r="DY16" i="62"/>
  <c r="DZ16" i="62"/>
  <c r="EA16" i="62"/>
  <c r="EB16" i="62"/>
  <c r="EC16" i="62"/>
  <c r="ED16" i="62"/>
  <c r="EE16" i="62"/>
  <c r="EF16" i="62"/>
  <c r="EG16" i="62"/>
  <c r="EH16" i="62"/>
  <c r="EI16" i="62"/>
  <c r="B17" i="62"/>
  <c r="BF17" i="62"/>
  <c r="BG17" i="62"/>
  <c r="BH17" i="62"/>
  <c r="BI17" i="62"/>
  <c r="BJ17" i="62"/>
  <c r="BK17" i="62"/>
  <c r="BL17" i="62"/>
  <c r="BM17" i="62"/>
  <c r="BN17" i="62"/>
  <c r="BO17" i="62"/>
  <c r="BP17" i="62"/>
  <c r="BQ17" i="62"/>
  <c r="BR17" i="62"/>
  <c r="BS17" i="62"/>
  <c r="BT17" i="62"/>
  <c r="BU17" i="62"/>
  <c r="BV17" i="62"/>
  <c r="BW17" i="62"/>
  <c r="BX17" i="62"/>
  <c r="BY17" i="62"/>
  <c r="BZ17" i="62"/>
  <c r="CA17" i="62"/>
  <c r="CB17" i="62"/>
  <c r="CC17" i="62"/>
  <c r="CD17" i="62"/>
  <c r="CE17" i="62"/>
  <c r="CF17" i="62"/>
  <c r="CG17" i="62"/>
  <c r="CH17" i="62"/>
  <c r="CI17" i="62"/>
  <c r="CJ17" i="62"/>
  <c r="CK17" i="62"/>
  <c r="CL17" i="62"/>
  <c r="CM17" i="62"/>
  <c r="CN17" i="62"/>
  <c r="CO17" i="62"/>
  <c r="CP17" i="62"/>
  <c r="CQ17" i="62"/>
  <c r="CR17" i="62"/>
  <c r="CS17" i="62"/>
  <c r="CT17" i="62"/>
  <c r="CU17" i="62"/>
  <c r="CV17" i="62"/>
  <c r="CW17" i="62"/>
  <c r="CX17" i="62"/>
  <c r="CY17" i="62"/>
  <c r="CZ17" i="62"/>
  <c r="DA17" i="62"/>
  <c r="DB17" i="62"/>
  <c r="DC17" i="62"/>
  <c r="DD17" i="62"/>
  <c r="DE17" i="62"/>
  <c r="DF17" i="62"/>
  <c r="DG17" i="62"/>
  <c r="DH17" i="62"/>
  <c r="DI17" i="62"/>
  <c r="DJ17" i="62"/>
  <c r="DK17" i="62"/>
  <c r="DL17" i="62"/>
  <c r="DM17" i="62"/>
  <c r="DN17" i="62"/>
  <c r="DO17" i="62"/>
  <c r="DP17" i="62"/>
  <c r="DQ17" i="62"/>
  <c r="DR17" i="62"/>
  <c r="DS17" i="62"/>
  <c r="DT17" i="62"/>
  <c r="DU17" i="62"/>
  <c r="DV17" i="62"/>
  <c r="DW17" i="62"/>
  <c r="DX17" i="62"/>
  <c r="DY17" i="62"/>
  <c r="DZ17" i="62"/>
  <c r="EA17" i="62"/>
  <c r="EB17" i="62"/>
  <c r="EC17" i="62"/>
  <c r="ED17" i="62"/>
  <c r="EE17" i="62"/>
  <c r="EF17" i="62"/>
  <c r="EG17" i="62"/>
  <c r="EH17" i="62"/>
  <c r="EI17" i="62"/>
  <c r="B18" i="62"/>
  <c r="BF18" i="62"/>
  <c r="BG18" i="62"/>
  <c r="BH18" i="62"/>
  <c r="BI18" i="62"/>
  <c r="BJ18" i="62"/>
  <c r="BK18" i="62"/>
  <c r="BL18" i="62"/>
  <c r="BM18" i="62"/>
  <c r="BN18" i="62"/>
  <c r="BO18" i="62"/>
  <c r="BP18" i="62"/>
  <c r="BQ18" i="62"/>
  <c r="BR18" i="62"/>
  <c r="BS18" i="62"/>
  <c r="BT18" i="62"/>
  <c r="BU18" i="62"/>
  <c r="BV18" i="62"/>
  <c r="BW18" i="62"/>
  <c r="BX18" i="62"/>
  <c r="BY18" i="62"/>
  <c r="BZ18" i="62"/>
  <c r="CA18" i="62"/>
  <c r="CB18" i="62"/>
  <c r="CC18" i="62"/>
  <c r="CD18" i="62"/>
  <c r="CE18" i="62"/>
  <c r="CF18" i="62"/>
  <c r="CG18" i="62"/>
  <c r="CH18" i="62"/>
  <c r="CI18" i="62"/>
  <c r="CJ18" i="62"/>
  <c r="CK18" i="62"/>
  <c r="CL18" i="62"/>
  <c r="CM18" i="62"/>
  <c r="CN18" i="62"/>
  <c r="CO18" i="62"/>
  <c r="CP18" i="62"/>
  <c r="CQ18" i="62"/>
  <c r="CR18" i="62"/>
  <c r="CS18" i="62"/>
  <c r="CT18" i="62"/>
  <c r="CU18" i="62"/>
  <c r="CV18" i="62"/>
  <c r="CW18" i="62"/>
  <c r="CX18" i="62"/>
  <c r="CY18" i="62"/>
  <c r="CZ18" i="62"/>
  <c r="DA18" i="62"/>
  <c r="DB18" i="62"/>
  <c r="DC18" i="62"/>
  <c r="DD18" i="62"/>
  <c r="DE18" i="62"/>
  <c r="DF18" i="62"/>
  <c r="DG18" i="62"/>
  <c r="DH18" i="62"/>
  <c r="DI18" i="62"/>
  <c r="DJ18" i="62"/>
  <c r="DK18" i="62"/>
  <c r="DL18" i="62"/>
  <c r="DM18" i="62"/>
  <c r="DN18" i="62"/>
  <c r="DO18" i="62"/>
  <c r="DP18" i="62"/>
  <c r="DQ18" i="62"/>
  <c r="DR18" i="62"/>
  <c r="DS18" i="62"/>
  <c r="DT18" i="62"/>
  <c r="DU18" i="62"/>
  <c r="DV18" i="62"/>
  <c r="DW18" i="62"/>
  <c r="DX18" i="62"/>
  <c r="DY18" i="62"/>
  <c r="DZ18" i="62"/>
  <c r="EA18" i="62"/>
  <c r="EB18" i="62"/>
  <c r="EC18" i="62"/>
  <c r="ED18" i="62"/>
  <c r="EE18" i="62"/>
  <c r="EF18" i="62"/>
  <c r="EG18" i="62"/>
  <c r="EH18" i="62"/>
  <c r="EI18" i="62"/>
  <c r="B19" i="62"/>
  <c r="BF19" i="62"/>
  <c r="BG19" i="62"/>
  <c r="BH19" i="62"/>
  <c r="BI19" i="62"/>
  <c r="BJ19" i="62"/>
  <c r="BK19" i="62"/>
  <c r="BL19" i="62"/>
  <c r="BM19" i="62"/>
  <c r="BN19" i="62"/>
  <c r="BO19" i="62"/>
  <c r="BP19" i="62"/>
  <c r="BQ19" i="62"/>
  <c r="BR19" i="62"/>
  <c r="BS19" i="62"/>
  <c r="BT19" i="62"/>
  <c r="BU19" i="62"/>
  <c r="BV19" i="62"/>
  <c r="BW19" i="62"/>
  <c r="BX19" i="62"/>
  <c r="BY19" i="62"/>
  <c r="BZ19" i="62"/>
  <c r="CA19" i="62"/>
  <c r="CB19" i="62"/>
  <c r="CC19" i="62"/>
  <c r="CD19" i="62"/>
  <c r="CE19" i="62"/>
  <c r="CF19" i="62"/>
  <c r="CG19" i="62"/>
  <c r="CH19" i="62"/>
  <c r="CI19" i="62"/>
  <c r="CJ19" i="62"/>
  <c r="CK19" i="62"/>
  <c r="CL19" i="62"/>
  <c r="CM19" i="62"/>
  <c r="CN19" i="62"/>
  <c r="CO19" i="62"/>
  <c r="CP19" i="62"/>
  <c r="CQ19" i="62"/>
  <c r="CR19" i="62"/>
  <c r="CS19" i="62"/>
  <c r="CT19" i="62"/>
  <c r="CU19" i="62"/>
  <c r="CV19" i="62"/>
  <c r="CW19" i="62"/>
  <c r="CX19" i="62"/>
  <c r="CY19" i="62"/>
  <c r="CZ19" i="62"/>
  <c r="DA19" i="62"/>
  <c r="DB19" i="62"/>
  <c r="DC19" i="62"/>
  <c r="DD19" i="62"/>
  <c r="DE19" i="62"/>
  <c r="DF19" i="62"/>
  <c r="DG19" i="62"/>
  <c r="DH19" i="62"/>
  <c r="DI19" i="62"/>
  <c r="DJ19" i="62"/>
  <c r="DK19" i="62"/>
  <c r="DL19" i="62"/>
  <c r="DM19" i="62"/>
  <c r="DN19" i="62"/>
  <c r="DO19" i="62"/>
  <c r="DP19" i="62"/>
  <c r="DQ19" i="62"/>
  <c r="DR19" i="62"/>
  <c r="DS19" i="62"/>
  <c r="DT19" i="62"/>
  <c r="DU19" i="62"/>
  <c r="DV19" i="62"/>
  <c r="DW19" i="62"/>
  <c r="DX19" i="62"/>
  <c r="DY19" i="62"/>
  <c r="DZ19" i="62"/>
  <c r="EA19" i="62"/>
  <c r="EB19" i="62"/>
  <c r="EC19" i="62"/>
  <c r="ED19" i="62"/>
  <c r="EE19" i="62"/>
  <c r="EF19" i="62"/>
  <c r="EG19" i="62"/>
  <c r="EH19" i="62"/>
  <c r="EI19" i="62"/>
  <c r="B20" i="62"/>
  <c r="BF20" i="62"/>
  <c r="BG20" i="62"/>
  <c r="BH20" i="62"/>
  <c r="BI20" i="62"/>
  <c r="BJ20" i="62"/>
  <c r="BK20" i="62"/>
  <c r="BL20" i="62"/>
  <c r="BM20" i="62"/>
  <c r="BN20" i="62"/>
  <c r="BO20" i="62"/>
  <c r="BP20" i="62"/>
  <c r="BQ20" i="62"/>
  <c r="BR20" i="62"/>
  <c r="BS20" i="62"/>
  <c r="BT20" i="62"/>
  <c r="BU20" i="62"/>
  <c r="BV20" i="62"/>
  <c r="BW20" i="62"/>
  <c r="BX20" i="62"/>
  <c r="BY20" i="62"/>
  <c r="BZ20" i="62"/>
  <c r="CA20" i="62"/>
  <c r="CB20" i="62"/>
  <c r="CC20" i="62"/>
  <c r="CD20" i="62"/>
  <c r="CE20" i="62"/>
  <c r="CF20" i="62"/>
  <c r="CG20" i="62"/>
  <c r="CH20" i="62"/>
  <c r="CI20" i="62"/>
  <c r="CJ20" i="62"/>
  <c r="CK20" i="62"/>
  <c r="CL20" i="62"/>
  <c r="CM20" i="62"/>
  <c r="CN20" i="62"/>
  <c r="CO20" i="62"/>
  <c r="CP20" i="62"/>
  <c r="CQ20" i="62"/>
  <c r="CR20" i="62"/>
  <c r="CS20" i="62"/>
  <c r="CT20" i="62"/>
  <c r="CU20" i="62"/>
  <c r="CV20" i="62"/>
  <c r="CW20" i="62"/>
  <c r="CX20" i="62"/>
  <c r="CY20" i="62"/>
  <c r="CZ20" i="62"/>
  <c r="DA20" i="62"/>
  <c r="DB20" i="62"/>
  <c r="DC20" i="62"/>
  <c r="DD20" i="62"/>
  <c r="DE20" i="62"/>
  <c r="DF20" i="62"/>
  <c r="DG20" i="62"/>
  <c r="DH20" i="62"/>
  <c r="DI20" i="62"/>
  <c r="DJ20" i="62"/>
  <c r="DK20" i="62"/>
  <c r="DL20" i="62"/>
  <c r="DM20" i="62"/>
  <c r="DN20" i="62"/>
  <c r="DO20" i="62"/>
  <c r="DP20" i="62"/>
  <c r="DQ20" i="62"/>
  <c r="DR20" i="62"/>
  <c r="DS20" i="62"/>
  <c r="DT20" i="62"/>
  <c r="DU20" i="62"/>
  <c r="DV20" i="62"/>
  <c r="DW20" i="62"/>
  <c r="DX20" i="62"/>
  <c r="DY20" i="62"/>
  <c r="DZ20" i="62"/>
  <c r="EA20" i="62"/>
  <c r="EB20" i="62"/>
  <c r="EC20" i="62"/>
  <c r="ED20" i="62"/>
  <c r="EE20" i="62"/>
  <c r="EF20" i="62"/>
  <c r="EG20" i="62"/>
  <c r="EH20" i="62"/>
  <c r="EI20" i="62"/>
  <c r="B21" i="62"/>
  <c r="BF21" i="62"/>
  <c r="BG21" i="62"/>
  <c r="BH21" i="62"/>
  <c r="BI21" i="62"/>
  <c r="BJ21" i="62"/>
  <c r="BK21" i="62"/>
  <c r="BL21" i="62"/>
  <c r="BM21" i="62"/>
  <c r="BN21" i="62"/>
  <c r="BO21" i="62"/>
  <c r="BP21" i="62"/>
  <c r="BQ21" i="62"/>
  <c r="BR21" i="62"/>
  <c r="BS21" i="62"/>
  <c r="BT21" i="62"/>
  <c r="BU21" i="62"/>
  <c r="BV21" i="62"/>
  <c r="BW21" i="62"/>
  <c r="BX21" i="62"/>
  <c r="BY21" i="62"/>
  <c r="BZ21" i="62"/>
  <c r="CA21" i="62"/>
  <c r="CB21" i="62"/>
  <c r="CC21" i="62"/>
  <c r="CD21" i="62"/>
  <c r="CE21" i="62"/>
  <c r="CF21" i="62"/>
  <c r="CG21" i="62"/>
  <c r="CH21" i="62"/>
  <c r="CI21" i="62"/>
  <c r="CJ21" i="62"/>
  <c r="CK21" i="62"/>
  <c r="CL21" i="62"/>
  <c r="CM21" i="62"/>
  <c r="CN21" i="62"/>
  <c r="CO21" i="62"/>
  <c r="CP21" i="62"/>
  <c r="CQ21" i="62"/>
  <c r="CR21" i="62"/>
  <c r="CS21" i="62"/>
  <c r="CT21" i="62"/>
  <c r="CU21" i="62"/>
  <c r="CV21" i="62"/>
  <c r="CW21" i="62"/>
  <c r="CX21" i="62"/>
  <c r="CY21" i="62"/>
  <c r="CZ21" i="62"/>
  <c r="DA21" i="62"/>
  <c r="DB21" i="62"/>
  <c r="DC21" i="62"/>
  <c r="DD21" i="62"/>
  <c r="DE21" i="62"/>
  <c r="DF21" i="62"/>
  <c r="DG21" i="62"/>
  <c r="DH21" i="62"/>
  <c r="DI21" i="62"/>
  <c r="DJ21" i="62"/>
  <c r="DK21" i="62"/>
  <c r="DL21" i="62"/>
  <c r="DM21" i="62"/>
  <c r="DN21" i="62"/>
  <c r="DO21" i="62"/>
  <c r="DP21" i="62"/>
  <c r="DQ21" i="62"/>
  <c r="DR21" i="62"/>
  <c r="DS21" i="62"/>
  <c r="DT21" i="62"/>
  <c r="DU21" i="62"/>
  <c r="DV21" i="62"/>
  <c r="DW21" i="62"/>
  <c r="DX21" i="62"/>
  <c r="DY21" i="62"/>
  <c r="DZ21" i="62"/>
  <c r="EA21" i="62"/>
  <c r="EB21" i="62"/>
  <c r="EC21" i="62"/>
  <c r="ED21" i="62"/>
  <c r="EE21" i="62"/>
  <c r="EF21" i="62"/>
  <c r="EG21" i="62"/>
  <c r="EH21" i="62"/>
  <c r="EI21" i="62"/>
  <c r="B22" i="62"/>
  <c r="BF22" i="62"/>
  <c r="BG22" i="62"/>
  <c r="BH22" i="62"/>
  <c r="BI22" i="62"/>
  <c r="BJ22" i="62"/>
  <c r="BK22" i="62"/>
  <c r="BL22" i="62"/>
  <c r="BM22" i="62"/>
  <c r="BN22" i="62"/>
  <c r="BO22" i="62"/>
  <c r="BP22" i="62"/>
  <c r="BQ22" i="62"/>
  <c r="BR22" i="62"/>
  <c r="BS22" i="62"/>
  <c r="BT22" i="62"/>
  <c r="BU22" i="62"/>
  <c r="BV22" i="62"/>
  <c r="BW22" i="62"/>
  <c r="BX22" i="62"/>
  <c r="BY22" i="62"/>
  <c r="BZ22" i="62"/>
  <c r="CA22" i="62"/>
  <c r="CB22" i="62"/>
  <c r="CC22" i="62"/>
  <c r="CD22" i="62"/>
  <c r="CE22" i="62"/>
  <c r="CF22" i="62"/>
  <c r="CG22" i="62"/>
  <c r="CH22" i="62"/>
  <c r="CI22" i="62"/>
  <c r="CJ22" i="62"/>
  <c r="CK22" i="62"/>
  <c r="CL22" i="62"/>
  <c r="CM22" i="62"/>
  <c r="CN22" i="62"/>
  <c r="CO22" i="62"/>
  <c r="CP22" i="62"/>
  <c r="CQ22" i="62"/>
  <c r="CR22" i="62"/>
  <c r="CS22" i="62"/>
  <c r="CT22" i="62"/>
  <c r="CU22" i="62"/>
  <c r="CV22" i="62"/>
  <c r="CW22" i="62"/>
  <c r="CX22" i="62"/>
  <c r="CY22" i="62"/>
  <c r="CZ22" i="62"/>
  <c r="DA22" i="62"/>
  <c r="DB22" i="62"/>
  <c r="DC22" i="62"/>
  <c r="DD22" i="62"/>
  <c r="DE22" i="62"/>
  <c r="DF22" i="62"/>
  <c r="DG22" i="62"/>
  <c r="DH22" i="62"/>
  <c r="DI22" i="62"/>
  <c r="DJ22" i="62"/>
  <c r="DK22" i="62"/>
  <c r="DL22" i="62"/>
  <c r="DM22" i="62"/>
  <c r="DN22" i="62"/>
  <c r="DO22" i="62"/>
  <c r="DP22" i="62"/>
  <c r="DQ22" i="62"/>
  <c r="DR22" i="62"/>
  <c r="DS22" i="62"/>
  <c r="DT22" i="62"/>
  <c r="DU22" i="62"/>
  <c r="DV22" i="62"/>
  <c r="DW22" i="62"/>
  <c r="DX22" i="62"/>
  <c r="DY22" i="62"/>
  <c r="DZ22" i="62"/>
  <c r="EA22" i="62"/>
  <c r="EB22" i="62"/>
  <c r="EC22" i="62"/>
  <c r="ED22" i="62"/>
  <c r="EE22" i="62"/>
  <c r="EF22" i="62"/>
  <c r="EG22" i="62"/>
  <c r="EH22" i="62"/>
  <c r="EI22" i="62"/>
  <c r="B23" i="62"/>
  <c r="BF23" i="62"/>
  <c r="BG23" i="62"/>
  <c r="BH23" i="62"/>
  <c r="BI23" i="62"/>
  <c r="BJ23" i="62"/>
  <c r="BK23" i="62"/>
  <c r="BL23" i="62"/>
  <c r="BM23" i="62"/>
  <c r="BN23" i="62"/>
  <c r="BO23" i="62"/>
  <c r="BP23" i="62"/>
  <c r="BQ23" i="62"/>
  <c r="BR23" i="62"/>
  <c r="BS23" i="62"/>
  <c r="BT23" i="62"/>
  <c r="BU23" i="62"/>
  <c r="BV23" i="62"/>
  <c r="BW23" i="62"/>
  <c r="BX23" i="62"/>
  <c r="BY23" i="62"/>
  <c r="BZ23" i="62"/>
  <c r="CA23" i="62"/>
  <c r="CB23" i="62"/>
  <c r="CC23" i="62"/>
  <c r="CD23" i="62"/>
  <c r="CE23" i="62"/>
  <c r="CF23" i="62"/>
  <c r="CG23" i="62"/>
  <c r="CH23" i="62"/>
  <c r="CI23" i="62"/>
  <c r="CJ23" i="62"/>
  <c r="CK23" i="62"/>
  <c r="CL23" i="62"/>
  <c r="CM23" i="62"/>
  <c r="CN23" i="62"/>
  <c r="CO23" i="62"/>
  <c r="CP23" i="62"/>
  <c r="CQ23" i="62"/>
  <c r="CR23" i="62"/>
  <c r="CS23" i="62"/>
  <c r="CT23" i="62"/>
  <c r="CU23" i="62"/>
  <c r="CV23" i="62"/>
  <c r="CW23" i="62"/>
  <c r="CX23" i="62"/>
  <c r="CY23" i="62"/>
  <c r="CZ23" i="62"/>
  <c r="DA23" i="62"/>
  <c r="DB23" i="62"/>
  <c r="DC23" i="62"/>
  <c r="DD23" i="62"/>
  <c r="DE23" i="62"/>
  <c r="DF23" i="62"/>
  <c r="DG23" i="62"/>
  <c r="DH23" i="62"/>
  <c r="DI23" i="62"/>
  <c r="DJ23" i="62"/>
  <c r="DK23" i="62"/>
  <c r="DL23" i="62"/>
  <c r="DM23" i="62"/>
  <c r="DN23" i="62"/>
  <c r="DO23" i="62"/>
  <c r="DP23" i="62"/>
  <c r="DQ23" i="62"/>
  <c r="DR23" i="62"/>
  <c r="DS23" i="62"/>
  <c r="DT23" i="62"/>
  <c r="DU23" i="62"/>
  <c r="DV23" i="62"/>
  <c r="DW23" i="62"/>
  <c r="DX23" i="62"/>
  <c r="DY23" i="62"/>
  <c r="DZ23" i="62"/>
  <c r="EA23" i="62"/>
  <c r="EB23" i="62"/>
  <c r="EC23" i="62"/>
  <c r="ED23" i="62"/>
  <c r="EE23" i="62"/>
  <c r="EF23" i="62"/>
  <c r="EG23" i="62"/>
  <c r="EH23" i="62"/>
  <c r="EI23" i="62"/>
  <c r="B24" i="62"/>
  <c r="BF24" i="62"/>
  <c r="BG24" i="62"/>
  <c r="BH24" i="62"/>
  <c r="BI24" i="62"/>
  <c r="BJ24" i="62"/>
  <c r="BK24" i="62"/>
  <c r="BL24" i="62"/>
  <c r="BM24" i="62"/>
  <c r="BN24" i="62"/>
  <c r="BO24" i="62"/>
  <c r="BP24" i="62"/>
  <c r="BQ24" i="62"/>
  <c r="BR24" i="62"/>
  <c r="BS24" i="62"/>
  <c r="BT24" i="62"/>
  <c r="BU24" i="62"/>
  <c r="BV24" i="62"/>
  <c r="BW24" i="62"/>
  <c r="BX24" i="62"/>
  <c r="BY24" i="62"/>
  <c r="BZ24" i="62"/>
  <c r="CA24" i="62"/>
  <c r="CB24" i="62"/>
  <c r="CC24" i="62"/>
  <c r="CD24" i="62"/>
  <c r="CE24" i="62"/>
  <c r="CF24" i="62"/>
  <c r="CG24" i="62"/>
  <c r="CH24" i="62"/>
  <c r="CI24" i="62"/>
  <c r="CJ24" i="62"/>
  <c r="CK24" i="62"/>
  <c r="CL24" i="62"/>
  <c r="CM24" i="62"/>
  <c r="CN24" i="62"/>
  <c r="CO24" i="62"/>
  <c r="CP24" i="62"/>
  <c r="CQ24" i="62"/>
  <c r="CR24" i="62"/>
  <c r="CS24" i="62"/>
  <c r="CT24" i="62"/>
  <c r="CU24" i="62"/>
  <c r="CV24" i="62"/>
  <c r="CW24" i="62"/>
  <c r="CX24" i="62"/>
  <c r="CY24" i="62"/>
  <c r="CZ24" i="62"/>
  <c r="DA24" i="62"/>
  <c r="DB24" i="62"/>
  <c r="DC24" i="62"/>
  <c r="DD24" i="62"/>
  <c r="DE24" i="62"/>
  <c r="DF24" i="62"/>
  <c r="DG24" i="62"/>
  <c r="DH24" i="62"/>
  <c r="DI24" i="62"/>
  <c r="DJ24" i="62"/>
  <c r="DK24" i="62"/>
  <c r="DL24" i="62"/>
  <c r="DM24" i="62"/>
  <c r="DN24" i="62"/>
  <c r="DO24" i="62"/>
  <c r="DP24" i="62"/>
  <c r="DQ24" i="62"/>
  <c r="DR24" i="62"/>
  <c r="DS24" i="62"/>
  <c r="DT24" i="62"/>
  <c r="DU24" i="62"/>
  <c r="DV24" i="62"/>
  <c r="DW24" i="62"/>
  <c r="DX24" i="62"/>
  <c r="DY24" i="62"/>
  <c r="DZ24" i="62"/>
  <c r="EA24" i="62"/>
  <c r="EB24" i="62"/>
  <c r="EC24" i="62"/>
  <c r="ED24" i="62"/>
  <c r="EE24" i="62"/>
  <c r="EF24" i="62"/>
  <c r="EG24" i="62"/>
  <c r="EH24" i="62"/>
  <c r="EI24" i="62"/>
  <c r="B25" i="62"/>
  <c r="BF25" i="62"/>
  <c r="BG25" i="62"/>
  <c r="BH25" i="62"/>
  <c r="BI25" i="62"/>
  <c r="BJ25" i="62"/>
  <c r="BK25" i="62"/>
  <c r="BL25" i="62"/>
  <c r="BM25" i="62"/>
  <c r="BN25" i="62"/>
  <c r="BO25" i="62"/>
  <c r="BP25" i="62"/>
  <c r="BQ25" i="62"/>
  <c r="BR25" i="62"/>
  <c r="BS25" i="62"/>
  <c r="BT25" i="62"/>
  <c r="BU25" i="62"/>
  <c r="BV25" i="62"/>
  <c r="BW25" i="62"/>
  <c r="BX25" i="62"/>
  <c r="BY25" i="62"/>
  <c r="BZ25" i="62"/>
  <c r="CA25" i="62"/>
  <c r="CB25" i="62"/>
  <c r="CC25" i="62"/>
  <c r="CD25" i="62"/>
  <c r="CE25" i="62"/>
  <c r="CF25" i="62"/>
  <c r="CG25" i="62"/>
  <c r="CH25" i="62"/>
  <c r="CI25" i="62"/>
  <c r="CJ25" i="62"/>
  <c r="CK25" i="62"/>
  <c r="CL25" i="62"/>
  <c r="CM25" i="62"/>
  <c r="CN25" i="62"/>
  <c r="CO25" i="62"/>
  <c r="CP25" i="62"/>
  <c r="CQ25" i="62"/>
  <c r="CR25" i="62"/>
  <c r="CS25" i="62"/>
  <c r="CT25" i="62"/>
  <c r="CU25" i="62"/>
  <c r="CV25" i="62"/>
  <c r="CW25" i="62"/>
  <c r="CX25" i="62"/>
  <c r="CY25" i="62"/>
  <c r="CZ25" i="62"/>
  <c r="DA25" i="62"/>
  <c r="DB25" i="62"/>
  <c r="DC25" i="62"/>
  <c r="DD25" i="62"/>
  <c r="DE25" i="62"/>
  <c r="DF25" i="62"/>
  <c r="DG25" i="62"/>
  <c r="DH25" i="62"/>
  <c r="DI25" i="62"/>
  <c r="DJ25" i="62"/>
  <c r="DK25" i="62"/>
  <c r="DL25" i="62"/>
  <c r="DM25" i="62"/>
  <c r="DN25" i="62"/>
  <c r="DO25" i="62"/>
  <c r="DP25" i="62"/>
  <c r="DQ25" i="62"/>
  <c r="DR25" i="62"/>
  <c r="DS25" i="62"/>
  <c r="DT25" i="62"/>
  <c r="DU25" i="62"/>
  <c r="DV25" i="62"/>
  <c r="DW25" i="62"/>
  <c r="DX25" i="62"/>
  <c r="DY25" i="62"/>
  <c r="DZ25" i="62"/>
  <c r="EA25" i="62"/>
  <c r="EB25" i="62"/>
  <c r="EC25" i="62"/>
  <c r="ED25" i="62"/>
  <c r="EE25" i="62"/>
  <c r="EF25" i="62"/>
  <c r="EG25" i="62"/>
  <c r="EH25" i="62"/>
  <c r="EI25" i="62"/>
  <c r="G46" i="61"/>
  <c r="G47" i="61"/>
  <c r="G48" i="61"/>
  <c r="G49" i="61"/>
  <c r="G50" i="61"/>
  <c r="G51" i="61"/>
  <c r="G52" i="61"/>
  <c r="G53" i="61"/>
  <c r="G54" i="61"/>
  <c r="G55" i="61"/>
  <c r="G56" i="61"/>
  <c r="G57" i="61"/>
  <c r="G58" i="61"/>
  <c r="G59" i="61"/>
  <c r="BG13" i="62"/>
  <c r="BH13" i="62"/>
  <c r="BI13" i="62"/>
  <c r="I66" i="38"/>
  <c r="H66" i="38"/>
  <c r="G66" i="38"/>
  <c r="F66" i="38"/>
  <c r="E66" i="38"/>
  <c r="H65" i="38"/>
  <c r="G65" i="38"/>
  <c r="F65" i="38"/>
  <c r="E65" i="38"/>
  <c r="G64" i="38"/>
  <c r="F64" i="38"/>
  <c r="E64" i="38"/>
  <c r="F63" i="38"/>
  <c r="E63" i="38"/>
  <c r="J65" i="38"/>
  <c r="J64" i="38"/>
  <c r="J63" i="38"/>
  <c r="J62" i="38"/>
  <c r="E62" i="38"/>
  <c r="J61" i="38"/>
  <c r="G61" i="38"/>
  <c r="Q78" i="11" a="1"/>
  <c r="Q78" i="11"/>
  <c r="Q77" i="11" a="1"/>
  <c r="Q77" i="11"/>
  <c r="Q75" i="11" a="1"/>
  <c r="Q75" i="11"/>
  <c r="Q74" i="11" a="1"/>
  <c r="Q74" i="11"/>
  <c r="Q72" i="11" a="1"/>
  <c r="Q72" i="11"/>
  <c r="Q71" i="11" a="1"/>
  <c r="Q71" i="11"/>
  <c r="Q64" i="11" a="1"/>
  <c r="Q64" i="11"/>
  <c r="Q63" i="11" a="1"/>
  <c r="Q63" i="11"/>
  <c r="Q61" i="11" a="1"/>
  <c r="Q61" i="11"/>
  <c r="Q60" i="11" a="1"/>
  <c r="Q60" i="11"/>
  <c r="Q58" i="11" a="1"/>
  <c r="Q58" i="11"/>
  <c r="Q57" i="11" a="1"/>
  <c r="Q57" i="11"/>
  <c r="Q50" i="11" a="1"/>
  <c r="Q50" i="11"/>
  <c r="Q49" i="11" a="1"/>
  <c r="Q49" i="11"/>
  <c r="Q47" i="11" a="1"/>
  <c r="Q47" i="11"/>
  <c r="Q46" i="11" a="1"/>
  <c r="Q46" i="11"/>
  <c r="Q44" i="11" a="1"/>
  <c r="Q44" i="11"/>
  <c r="Q43" i="11" a="1"/>
  <c r="Q43" i="11"/>
  <c r="Q36" i="11" a="1"/>
  <c r="Q36" i="11"/>
  <c r="Q35" i="11" a="1"/>
  <c r="Q35" i="11"/>
  <c r="Q33" i="11" a="1"/>
  <c r="Q33" i="11"/>
  <c r="Q32" i="11" a="1"/>
  <c r="Q32" i="11"/>
  <c r="Q30" i="11" a="1"/>
  <c r="Q30" i="11"/>
  <c r="Q29" i="11" a="1"/>
  <c r="Q29" i="11"/>
  <c r="Q22" i="11" a="1"/>
  <c r="Q22" i="11"/>
  <c r="Q21" i="11" a="1"/>
  <c r="Q21" i="11"/>
  <c r="Q19" i="11" a="1"/>
  <c r="Q19" i="11"/>
  <c r="Q18" i="11" a="1"/>
  <c r="Q18" i="11"/>
  <c r="Q16" i="11" a="1"/>
  <c r="Q16" i="11"/>
  <c r="Q15" i="11" a="1"/>
  <c r="Q15" i="11"/>
  <c r="O24" i="6" a="1"/>
  <c r="O24" i="6"/>
  <c r="O23" i="6" a="1"/>
  <c r="O23" i="6"/>
  <c r="O16" i="6" a="1"/>
  <c r="O16" i="6"/>
  <c r="O15" i="6" a="1"/>
  <c r="O15" i="6"/>
  <c r="O32" i="10" a="1"/>
  <c r="O32" i="10"/>
  <c r="O31" i="10" a="1"/>
  <c r="O31" i="10"/>
  <c r="O24" i="10" a="1"/>
  <c r="O24" i="10"/>
  <c r="O23" i="10" a="1"/>
  <c r="O23" i="10"/>
  <c r="O16" i="10" a="1"/>
  <c r="O16" i="10"/>
  <c r="O15" i="10" a="1"/>
  <c r="O15" i="10"/>
  <c r="O16" i="13" a="1"/>
  <c r="O16" i="13"/>
  <c r="O15" i="13" a="1"/>
  <c r="O15" i="13"/>
  <c r="Q22" i="8" a="1"/>
  <c r="Q22" i="8"/>
  <c r="Q21" i="8" a="1"/>
  <c r="Q21" i="8"/>
  <c r="Q19" i="8" a="1"/>
  <c r="Q19" i="8"/>
  <c r="Q18" i="8" a="1"/>
  <c r="Q18" i="8"/>
  <c r="Q16" i="8" a="1"/>
  <c r="Q16" i="8"/>
  <c r="Q15" i="8" a="1"/>
  <c r="Q15" i="8"/>
  <c r="Q36" i="8" a="1"/>
  <c r="Q36" i="8"/>
  <c r="Q35" i="8" a="1"/>
  <c r="Q35" i="8"/>
  <c r="Q33" i="8" a="1"/>
  <c r="Q33" i="8"/>
  <c r="Q30" i="8" a="1"/>
  <c r="Q30" i="8"/>
  <c r="Q50" i="8" a="1"/>
  <c r="Q50" i="8"/>
  <c r="Q49" i="8" a="1"/>
  <c r="Q49" i="8"/>
  <c r="Q47" i="8" a="1"/>
  <c r="Q47" i="8"/>
  <c r="Q46" i="8" a="1"/>
  <c r="Q46" i="8"/>
  <c r="Q44" i="8" a="1"/>
  <c r="Q44" i="8"/>
  <c r="Q43" i="8" a="1"/>
  <c r="Q43" i="8"/>
  <c r="Q58" i="8" a="1"/>
  <c r="Q58" i="8"/>
  <c r="Q57" i="8" a="1"/>
  <c r="Q57" i="8"/>
  <c r="Q60" i="8" a="1"/>
  <c r="Q60" i="8"/>
  <c r="Q61" i="8" a="1"/>
  <c r="Q61" i="8"/>
  <c r="Q63" i="8" a="1"/>
  <c r="Q63" i="8"/>
  <c r="Q64" i="8" a="1"/>
  <c r="Q64" i="8"/>
  <c r="AD15" i="13"/>
  <c r="AE15" i="13"/>
  <c r="AF15" i="13"/>
  <c r="AG15" i="13"/>
  <c r="W16" i="13"/>
  <c r="V16" i="13"/>
  <c r="U16" i="13"/>
  <c r="T16" i="13"/>
  <c r="S16" i="13"/>
  <c r="R16" i="13"/>
  <c r="W15" i="13"/>
  <c r="V15" i="13"/>
  <c r="U15" i="13"/>
  <c r="T15" i="13"/>
  <c r="S15" i="13"/>
  <c r="R15" i="13"/>
  <c r="W32" i="10"/>
  <c r="V32" i="10"/>
  <c r="U32" i="10"/>
  <c r="T32" i="10"/>
  <c r="S32" i="10"/>
  <c r="R32" i="10"/>
  <c r="W31" i="10"/>
  <c r="V31" i="10"/>
  <c r="U31" i="10"/>
  <c r="T31" i="10"/>
  <c r="S31" i="10"/>
  <c r="R31" i="10"/>
  <c r="W24" i="10"/>
  <c r="V24" i="10"/>
  <c r="U24" i="10"/>
  <c r="T24" i="10"/>
  <c r="S24" i="10"/>
  <c r="R24" i="10"/>
  <c r="W23" i="10"/>
  <c r="V23" i="10"/>
  <c r="U23" i="10"/>
  <c r="T23" i="10"/>
  <c r="S23" i="10"/>
  <c r="R23" i="10"/>
  <c r="W16" i="10"/>
  <c r="V16" i="10"/>
  <c r="U16" i="10"/>
  <c r="T16" i="10"/>
  <c r="S16" i="10"/>
  <c r="R16" i="10"/>
  <c r="W15" i="10"/>
  <c r="V15" i="10"/>
  <c r="U15" i="10"/>
  <c r="T15" i="10"/>
  <c r="S15" i="10"/>
  <c r="R15" i="10"/>
  <c r="O111" i="7" a="1"/>
  <c r="O111" i="7"/>
  <c r="O110" i="7" a="1"/>
  <c r="O110" i="7"/>
  <c r="O103" i="7" a="1"/>
  <c r="O103" i="7"/>
  <c r="O102" i="7" a="1"/>
  <c r="O102" i="7"/>
  <c r="O67" i="7" a="1"/>
  <c r="O67" i="7"/>
  <c r="O66" i="7" a="1"/>
  <c r="O66" i="7"/>
  <c r="O95" i="7" a="1"/>
  <c r="O95" i="7"/>
  <c r="O94" i="7" a="1"/>
  <c r="O94" i="7"/>
  <c r="O92" i="7" a="1"/>
  <c r="O92" i="7"/>
  <c r="O91" i="7" a="1"/>
  <c r="O91" i="7"/>
  <c r="O89" i="7" a="1"/>
  <c r="O89" i="7"/>
  <c r="O88" i="7" a="1"/>
  <c r="O88" i="7"/>
  <c r="O81" i="7" a="1"/>
  <c r="O81" i="7"/>
  <c r="O80" i="7" a="1"/>
  <c r="O80" i="7"/>
  <c r="O78" i="7" a="1"/>
  <c r="O78" i="7"/>
  <c r="O77" i="7" a="1"/>
  <c r="O77" i="7"/>
  <c r="O75" i="7" a="1"/>
  <c r="O75" i="7"/>
  <c r="O74" i="7" a="1"/>
  <c r="O74" i="7"/>
  <c r="O64" i="7" a="1"/>
  <c r="O64" i="7"/>
  <c r="O63" i="7" a="1"/>
  <c r="O63" i="7"/>
  <c r="O61" i="7" a="1"/>
  <c r="O61" i="7"/>
  <c r="O60" i="7" a="1"/>
  <c r="O60" i="7"/>
  <c r="O58" i="7" a="1"/>
  <c r="O58" i="7"/>
  <c r="O57" i="7" a="1"/>
  <c r="O57" i="7"/>
  <c r="O50" i="7" a="1"/>
  <c r="O50" i="7"/>
  <c r="O49" i="7" a="1"/>
  <c r="O49" i="7"/>
  <c r="O47" i="7" a="1"/>
  <c r="O47" i="7"/>
  <c r="O46" i="7" a="1"/>
  <c r="O46" i="7"/>
  <c r="O44" i="7" a="1"/>
  <c r="O44" i="7"/>
  <c r="O43" i="7" a="1"/>
  <c r="O43" i="7"/>
  <c r="O36" i="7" a="1"/>
  <c r="O36" i="7"/>
  <c r="O35" i="7" a="1"/>
  <c r="O35" i="7"/>
  <c r="O33" i="7" a="1"/>
  <c r="O33" i="7"/>
  <c r="O32" i="7" a="1"/>
  <c r="O32" i="7"/>
  <c r="O30" i="7" a="1"/>
  <c r="O30" i="7"/>
  <c r="O29" i="7" a="1"/>
  <c r="O29" i="7"/>
  <c r="O22" i="7" a="1"/>
  <c r="O22" i="7"/>
  <c r="O21" i="7" a="1"/>
  <c r="O21" i="7"/>
  <c r="O19" i="7" a="1"/>
  <c r="O19" i="7"/>
  <c r="O18" i="7" a="1"/>
  <c r="O18" i="7"/>
  <c r="O16" i="7" a="1"/>
  <c r="O16" i="7"/>
  <c r="Y64" i="8"/>
  <c r="X64" i="8"/>
  <c r="W64" i="8"/>
  <c r="V64" i="8"/>
  <c r="U64" i="8"/>
  <c r="T64" i="8"/>
  <c r="Y63" i="8"/>
  <c r="X63" i="8"/>
  <c r="W63" i="8"/>
  <c r="V63" i="8"/>
  <c r="U63" i="8"/>
  <c r="T63" i="8"/>
  <c r="Y61" i="8"/>
  <c r="X61" i="8"/>
  <c r="W61" i="8"/>
  <c r="V61" i="8"/>
  <c r="U61" i="8"/>
  <c r="T61" i="8"/>
  <c r="Y60" i="8"/>
  <c r="X60" i="8"/>
  <c r="W60" i="8"/>
  <c r="V60" i="8"/>
  <c r="U60" i="8"/>
  <c r="T60" i="8"/>
  <c r="Y58" i="8"/>
  <c r="X58" i="8"/>
  <c r="W58" i="8"/>
  <c r="V58" i="8"/>
  <c r="U58" i="8"/>
  <c r="T58" i="8"/>
  <c r="Y57" i="8"/>
  <c r="X57" i="8"/>
  <c r="W57" i="8"/>
  <c r="V57" i="8"/>
  <c r="U57" i="8"/>
  <c r="T57" i="8"/>
  <c r="Y50" i="8"/>
  <c r="X50" i="8"/>
  <c r="W50" i="8"/>
  <c r="V50" i="8"/>
  <c r="U50" i="8"/>
  <c r="T50" i="8"/>
  <c r="Y49" i="8"/>
  <c r="X49" i="8"/>
  <c r="W49" i="8"/>
  <c r="V49" i="8"/>
  <c r="U49" i="8"/>
  <c r="T49" i="8"/>
  <c r="Y47" i="8"/>
  <c r="X47" i="8"/>
  <c r="W47" i="8"/>
  <c r="V47" i="8"/>
  <c r="U47" i="8"/>
  <c r="T47" i="8"/>
  <c r="Y46" i="8"/>
  <c r="X46" i="8"/>
  <c r="W46" i="8"/>
  <c r="V46" i="8"/>
  <c r="U46" i="8"/>
  <c r="T46" i="8"/>
  <c r="U24" i="19"/>
  <c r="Y44" i="8"/>
  <c r="X44" i="8"/>
  <c r="W44" i="8"/>
  <c r="V44" i="8"/>
  <c r="U44" i="8"/>
  <c r="T44" i="8"/>
  <c r="Y43" i="8"/>
  <c r="X43" i="8"/>
  <c r="W43" i="8"/>
  <c r="V43" i="8"/>
  <c r="U43" i="8"/>
  <c r="T43" i="8"/>
  <c r="Y36" i="8"/>
  <c r="X36" i="8"/>
  <c r="W36" i="8"/>
  <c r="V36" i="8"/>
  <c r="U36" i="8"/>
  <c r="T36" i="8"/>
  <c r="Y35" i="8"/>
  <c r="X35" i="8"/>
  <c r="W35" i="8"/>
  <c r="V35" i="8"/>
  <c r="U35" i="8"/>
  <c r="T35" i="8"/>
  <c r="Y33" i="8"/>
  <c r="X33" i="8"/>
  <c r="W33" i="8"/>
  <c r="V33" i="8"/>
  <c r="U33" i="8"/>
  <c r="T33" i="8"/>
  <c r="Y32" i="8"/>
  <c r="X32" i="8"/>
  <c r="W32" i="8"/>
  <c r="V32" i="8"/>
  <c r="U32" i="8"/>
  <c r="T32" i="8"/>
  <c r="Y30" i="8"/>
  <c r="X30" i="8"/>
  <c r="W30" i="8"/>
  <c r="V30" i="8"/>
  <c r="U30" i="8"/>
  <c r="T30" i="8"/>
  <c r="Y29" i="8"/>
  <c r="X29" i="8"/>
  <c r="W29" i="8"/>
  <c r="V29" i="8"/>
  <c r="U29" i="8"/>
  <c r="T29" i="8"/>
  <c r="Y22" i="8"/>
  <c r="X22" i="8"/>
  <c r="W22" i="8"/>
  <c r="V22" i="8"/>
  <c r="U22" i="8"/>
  <c r="T22" i="8"/>
  <c r="Y21" i="8"/>
  <c r="X21" i="8"/>
  <c r="W21" i="8"/>
  <c r="V21" i="8"/>
  <c r="U21" i="8"/>
  <c r="T21" i="8"/>
  <c r="Y19" i="8"/>
  <c r="X19" i="8"/>
  <c r="W19" i="8"/>
  <c r="V19" i="8"/>
  <c r="U19" i="8"/>
  <c r="T19" i="8"/>
  <c r="Y18" i="8"/>
  <c r="X18" i="8"/>
  <c r="W18" i="8"/>
  <c r="V18" i="8"/>
  <c r="U18" i="8"/>
  <c r="T18" i="8"/>
  <c r="Y16" i="8"/>
  <c r="X16" i="8"/>
  <c r="W16" i="8"/>
  <c r="V16" i="8"/>
  <c r="U16" i="8"/>
  <c r="T16" i="8"/>
  <c r="Y15" i="8"/>
  <c r="X15" i="8"/>
  <c r="W15" i="8"/>
  <c r="V15" i="8"/>
  <c r="U15" i="8"/>
  <c r="T15" i="8"/>
  <c r="Y78" i="11"/>
  <c r="X78" i="11"/>
  <c r="W78" i="11"/>
  <c r="V78" i="11"/>
  <c r="U78" i="11"/>
  <c r="T78" i="11"/>
  <c r="Y77" i="11"/>
  <c r="X77" i="11"/>
  <c r="W77" i="11"/>
  <c r="V77" i="11"/>
  <c r="U77" i="11"/>
  <c r="T77" i="11"/>
  <c r="Y75" i="11"/>
  <c r="X75" i="11"/>
  <c r="W75" i="11"/>
  <c r="V75" i="11"/>
  <c r="U75" i="11"/>
  <c r="T75" i="11"/>
  <c r="Y74" i="11"/>
  <c r="X74" i="11"/>
  <c r="W74" i="11"/>
  <c r="V74" i="11"/>
  <c r="U74" i="11"/>
  <c r="T74" i="11"/>
  <c r="Y72" i="11"/>
  <c r="X72" i="11"/>
  <c r="W72" i="11"/>
  <c r="V72" i="11"/>
  <c r="U72" i="11"/>
  <c r="T72" i="11"/>
  <c r="Y71" i="11"/>
  <c r="X71" i="11"/>
  <c r="W71" i="11"/>
  <c r="V71" i="11"/>
  <c r="U71" i="11"/>
  <c r="T71" i="11"/>
  <c r="Y64" i="11"/>
  <c r="X64" i="11"/>
  <c r="W64" i="11"/>
  <c r="V64" i="11"/>
  <c r="U64" i="11"/>
  <c r="T64" i="11"/>
  <c r="Y63" i="11"/>
  <c r="X63" i="11"/>
  <c r="W63" i="11"/>
  <c r="V63" i="11"/>
  <c r="U63" i="11"/>
  <c r="T63" i="11"/>
  <c r="Y61" i="11"/>
  <c r="X61" i="11"/>
  <c r="W61" i="11"/>
  <c r="V61" i="11"/>
  <c r="U61" i="11"/>
  <c r="T61" i="11"/>
  <c r="Y60" i="11"/>
  <c r="X60" i="11"/>
  <c r="W60" i="11"/>
  <c r="V60" i="11"/>
  <c r="U60" i="11"/>
  <c r="T60" i="11"/>
  <c r="Y58" i="11"/>
  <c r="X58" i="11"/>
  <c r="W58" i="11"/>
  <c r="V58" i="11"/>
  <c r="U58" i="11"/>
  <c r="T58" i="11"/>
  <c r="Y57" i="11"/>
  <c r="X57" i="11"/>
  <c r="W57" i="11"/>
  <c r="V57" i="11"/>
  <c r="U57" i="11"/>
  <c r="T57" i="11"/>
  <c r="Y50" i="11"/>
  <c r="X50" i="11"/>
  <c r="W50" i="11"/>
  <c r="V50" i="11"/>
  <c r="U50" i="11"/>
  <c r="T50" i="11"/>
  <c r="Y49" i="11"/>
  <c r="X49" i="11"/>
  <c r="W49" i="11"/>
  <c r="V49" i="11"/>
  <c r="U49" i="11"/>
  <c r="T49" i="11"/>
  <c r="Y47" i="11"/>
  <c r="X47" i="11"/>
  <c r="W47" i="11"/>
  <c r="V47" i="11"/>
  <c r="U47" i="11"/>
  <c r="T47" i="11"/>
  <c r="Y46" i="11"/>
  <c r="X46" i="11"/>
  <c r="W46" i="11"/>
  <c r="V46" i="11"/>
  <c r="U46" i="11"/>
  <c r="T46" i="11"/>
  <c r="Y44" i="11"/>
  <c r="X44" i="11"/>
  <c r="W44" i="11"/>
  <c r="V44" i="11"/>
  <c r="U44" i="11"/>
  <c r="T44" i="11"/>
  <c r="Y43" i="11"/>
  <c r="X43" i="11"/>
  <c r="W43" i="11"/>
  <c r="V43" i="11"/>
  <c r="U43" i="11"/>
  <c r="T43" i="11"/>
  <c r="Y36" i="11"/>
  <c r="X36" i="11"/>
  <c r="W36" i="11"/>
  <c r="V36" i="11"/>
  <c r="U36" i="11"/>
  <c r="T36" i="11"/>
  <c r="Y35" i="11"/>
  <c r="X35" i="11"/>
  <c r="W35" i="11"/>
  <c r="V35" i="11"/>
  <c r="U35" i="11"/>
  <c r="T35" i="11"/>
  <c r="Y33" i="11"/>
  <c r="X33" i="11"/>
  <c r="W33" i="11"/>
  <c r="V33" i="11"/>
  <c r="U33" i="11"/>
  <c r="T33" i="11"/>
  <c r="Y32" i="11"/>
  <c r="X32" i="11"/>
  <c r="W32" i="11"/>
  <c r="V32" i="11"/>
  <c r="U32" i="11"/>
  <c r="T32" i="11"/>
  <c r="Y30" i="11"/>
  <c r="X30" i="11"/>
  <c r="W30" i="11"/>
  <c r="V30" i="11"/>
  <c r="U30" i="11"/>
  <c r="T30" i="11"/>
  <c r="Y29" i="11"/>
  <c r="X29" i="11"/>
  <c r="W29" i="11"/>
  <c r="V29" i="11"/>
  <c r="U29" i="11"/>
  <c r="T29" i="11"/>
  <c r="Y22" i="11"/>
  <c r="X22" i="11"/>
  <c r="W22" i="11"/>
  <c r="V22" i="11"/>
  <c r="U22" i="11"/>
  <c r="T22" i="11"/>
  <c r="Y21" i="11"/>
  <c r="X21" i="11"/>
  <c r="W21" i="11"/>
  <c r="V21" i="11"/>
  <c r="U21" i="11"/>
  <c r="T21" i="11"/>
  <c r="Y19" i="11"/>
  <c r="X19" i="11"/>
  <c r="W19" i="11"/>
  <c r="V19" i="11"/>
  <c r="U19" i="11"/>
  <c r="T19" i="11"/>
  <c r="Y18" i="11"/>
  <c r="X18" i="11"/>
  <c r="W18" i="11"/>
  <c r="V18" i="11"/>
  <c r="U18" i="11"/>
  <c r="T18" i="11"/>
  <c r="Y16" i="11"/>
  <c r="X16" i="11"/>
  <c r="W16" i="11"/>
  <c r="V16" i="11"/>
  <c r="U16" i="11"/>
  <c r="T16" i="11"/>
  <c r="Y15" i="11"/>
  <c r="X15" i="11"/>
  <c r="W15" i="11"/>
  <c r="V15" i="11"/>
  <c r="U15" i="11"/>
  <c r="T15" i="11"/>
  <c r="W111" i="7"/>
  <c r="V111" i="7"/>
  <c r="U111" i="7"/>
  <c r="T111" i="7"/>
  <c r="S111" i="7"/>
  <c r="R111" i="7"/>
  <c r="W110" i="7"/>
  <c r="V110" i="7"/>
  <c r="U110" i="7"/>
  <c r="T110" i="7"/>
  <c r="S110" i="7"/>
  <c r="R110" i="7"/>
  <c r="W103" i="7"/>
  <c r="V103" i="7"/>
  <c r="U103" i="7"/>
  <c r="T103" i="7"/>
  <c r="S103" i="7"/>
  <c r="R103" i="7"/>
  <c r="W102" i="7"/>
  <c r="V102" i="7"/>
  <c r="U102" i="7"/>
  <c r="T102" i="7"/>
  <c r="S102" i="7"/>
  <c r="R102" i="7"/>
  <c r="W95" i="7"/>
  <c r="V95" i="7"/>
  <c r="U95" i="7"/>
  <c r="T95" i="7"/>
  <c r="S95" i="7"/>
  <c r="R95" i="7"/>
  <c r="W94" i="7"/>
  <c r="V94" i="7"/>
  <c r="U94" i="7"/>
  <c r="T94" i="7"/>
  <c r="S94" i="7"/>
  <c r="R94" i="7"/>
  <c r="W92" i="7"/>
  <c r="V92" i="7"/>
  <c r="U92" i="7"/>
  <c r="T92" i="7"/>
  <c r="S92" i="7"/>
  <c r="R92" i="7"/>
  <c r="W91" i="7"/>
  <c r="V91" i="7"/>
  <c r="U91" i="7"/>
  <c r="T91" i="7"/>
  <c r="S91" i="7"/>
  <c r="R91" i="7"/>
  <c r="W89" i="7"/>
  <c r="V89" i="7"/>
  <c r="U89" i="7"/>
  <c r="T89" i="7"/>
  <c r="S89" i="7"/>
  <c r="R89" i="7"/>
  <c r="W88" i="7"/>
  <c r="V88" i="7"/>
  <c r="U88" i="7"/>
  <c r="T88" i="7"/>
  <c r="S88" i="7"/>
  <c r="R88" i="7"/>
  <c r="W81" i="7"/>
  <c r="V81" i="7"/>
  <c r="U81" i="7"/>
  <c r="T81" i="7"/>
  <c r="S81" i="7"/>
  <c r="R81" i="7"/>
  <c r="W80" i="7"/>
  <c r="V80" i="7"/>
  <c r="U80" i="7"/>
  <c r="T80" i="7"/>
  <c r="S80" i="7"/>
  <c r="R80" i="7"/>
  <c r="W78" i="7"/>
  <c r="V78" i="7"/>
  <c r="U78" i="7"/>
  <c r="T78" i="7"/>
  <c r="S78" i="7"/>
  <c r="R78" i="7"/>
  <c r="W77" i="7"/>
  <c r="V77" i="7"/>
  <c r="U77" i="7"/>
  <c r="T77" i="7"/>
  <c r="S77" i="7"/>
  <c r="R77" i="7"/>
  <c r="W75" i="7"/>
  <c r="V75" i="7"/>
  <c r="U75" i="7"/>
  <c r="T75" i="7"/>
  <c r="S75" i="7"/>
  <c r="R75" i="7"/>
  <c r="W74" i="7"/>
  <c r="V74" i="7"/>
  <c r="U74" i="7"/>
  <c r="T74" i="7"/>
  <c r="S74" i="7"/>
  <c r="R74" i="7"/>
  <c r="W67" i="7"/>
  <c r="V67" i="7"/>
  <c r="U67" i="7"/>
  <c r="T67" i="7"/>
  <c r="S67" i="7"/>
  <c r="R67" i="7"/>
  <c r="W66" i="7"/>
  <c r="V66" i="7"/>
  <c r="U66" i="7"/>
  <c r="T66" i="7"/>
  <c r="S66" i="7"/>
  <c r="R66" i="7"/>
  <c r="W64" i="7"/>
  <c r="V64" i="7"/>
  <c r="U64" i="7"/>
  <c r="T64" i="7"/>
  <c r="S64" i="7"/>
  <c r="R64" i="7"/>
  <c r="W50" i="7"/>
  <c r="V50" i="7"/>
  <c r="U50" i="7"/>
  <c r="T50" i="7"/>
  <c r="S50" i="7"/>
  <c r="R50" i="7"/>
  <c r="W63" i="7"/>
  <c r="V63" i="7"/>
  <c r="U63" i="7"/>
  <c r="T63" i="7"/>
  <c r="S63" i="7"/>
  <c r="R63" i="7"/>
  <c r="W61" i="7"/>
  <c r="V61" i="7"/>
  <c r="U61" i="7"/>
  <c r="T61" i="7"/>
  <c r="S61" i="7"/>
  <c r="R61" i="7"/>
  <c r="W60" i="7"/>
  <c r="V60" i="7"/>
  <c r="U60" i="7"/>
  <c r="T60" i="7"/>
  <c r="S60" i="7"/>
  <c r="R60" i="7"/>
  <c r="W58" i="7"/>
  <c r="V58" i="7"/>
  <c r="U58" i="7"/>
  <c r="T58" i="7"/>
  <c r="S58" i="7"/>
  <c r="R58" i="7"/>
  <c r="W57" i="7"/>
  <c r="V57" i="7"/>
  <c r="U57" i="7"/>
  <c r="T57" i="7"/>
  <c r="S57" i="7"/>
  <c r="R57" i="7"/>
  <c r="W49" i="7"/>
  <c r="V49" i="7"/>
  <c r="U49" i="7"/>
  <c r="T49" i="7"/>
  <c r="S49" i="7"/>
  <c r="R49" i="7"/>
  <c r="W47" i="7"/>
  <c r="V47" i="7"/>
  <c r="U47" i="7"/>
  <c r="T47" i="7"/>
  <c r="S47" i="7"/>
  <c r="R47" i="7"/>
  <c r="W46" i="7"/>
  <c r="V46" i="7"/>
  <c r="U46" i="7"/>
  <c r="T46" i="7"/>
  <c r="S46" i="7"/>
  <c r="R46" i="7"/>
  <c r="W44" i="7"/>
  <c r="V44" i="7"/>
  <c r="U44" i="7"/>
  <c r="T44" i="7"/>
  <c r="S44" i="7"/>
  <c r="R44" i="7"/>
  <c r="W43" i="7"/>
  <c r="V43" i="7"/>
  <c r="U43" i="7"/>
  <c r="T43" i="7"/>
  <c r="S43" i="7"/>
  <c r="R43" i="7"/>
  <c r="W36" i="7"/>
  <c r="V36" i="7"/>
  <c r="U36" i="7"/>
  <c r="T36" i="7"/>
  <c r="S36" i="7"/>
  <c r="R36" i="7"/>
  <c r="W35" i="7"/>
  <c r="V35" i="7"/>
  <c r="U35" i="7"/>
  <c r="T35" i="7"/>
  <c r="S35" i="7"/>
  <c r="R35" i="7"/>
  <c r="W33" i="7"/>
  <c r="V33" i="7"/>
  <c r="U33" i="7"/>
  <c r="T33" i="7"/>
  <c r="S33" i="7"/>
  <c r="R33" i="7"/>
  <c r="W32" i="7"/>
  <c r="V32" i="7"/>
  <c r="U32" i="7"/>
  <c r="T32" i="7"/>
  <c r="S32" i="7"/>
  <c r="R32" i="7"/>
  <c r="W30" i="7"/>
  <c r="V30" i="7"/>
  <c r="U30" i="7"/>
  <c r="T30" i="7"/>
  <c r="S30" i="7"/>
  <c r="R30" i="7"/>
  <c r="W29" i="7"/>
  <c r="V29" i="7"/>
  <c r="U29" i="7"/>
  <c r="T29" i="7"/>
  <c r="S29" i="7"/>
  <c r="R29" i="7"/>
  <c r="W22" i="7"/>
  <c r="V22" i="7"/>
  <c r="U22" i="7"/>
  <c r="T22" i="7"/>
  <c r="S22" i="7"/>
  <c r="R22" i="7"/>
  <c r="W21" i="7"/>
  <c r="V21" i="7"/>
  <c r="U21" i="7"/>
  <c r="T21" i="7"/>
  <c r="S21" i="7"/>
  <c r="R21" i="7"/>
  <c r="W19" i="7"/>
  <c r="V19" i="7"/>
  <c r="U19" i="7"/>
  <c r="T19" i="7"/>
  <c r="S19" i="7"/>
  <c r="R19" i="7"/>
  <c r="W18" i="7"/>
  <c r="V18" i="7"/>
  <c r="U18" i="7"/>
  <c r="T18" i="7"/>
  <c r="S18" i="7"/>
  <c r="R18" i="7"/>
  <c r="W16" i="7"/>
  <c r="V16" i="7"/>
  <c r="U16" i="7"/>
  <c r="T16" i="7"/>
  <c r="S16" i="7"/>
  <c r="R16" i="7"/>
  <c r="K17" i="19"/>
  <c r="U17" i="19"/>
  <c r="W15" i="7"/>
  <c r="S17" i="19"/>
  <c r="V15" i="7"/>
  <c r="Q17" i="19"/>
  <c r="U15" i="7"/>
  <c r="M17" i="19"/>
  <c r="S15" i="7"/>
  <c r="AM24" i="6"/>
  <c r="AL24" i="6"/>
  <c r="AK24" i="6"/>
  <c r="AJ24" i="6"/>
  <c r="AI24" i="6"/>
  <c r="AH24" i="6"/>
  <c r="AG24" i="6"/>
  <c r="AF24" i="6"/>
  <c r="AE24" i="6"/>
  <c r="AD24" i="6"/>
  <c r="AC24" i="6"/>
  <c r="AB24" i="6"/>
  <c r="AA24" i="6"/>
  <c r="Z24" i="6"/>
  <c r="Y24" i="6"/>
  <c r="X24" i="6"/>
  <c r="W24" i="6"/>
  <c r="V24" i="6"/>
  <c r="U24" i="6"/>
  <c r="T24" i="6"/>
  <c r="S24" i="6"/>
  <c r="R24" i="6"/>
  <c r="AM23" i="6"/>
  <c r="AL23" i="6"/>
  <c r="AK23" i="6"/>
  <c r="AJ23" i="6"/>
  <c r="AI23" i="6"/>
  <c r="AH23" i="6"/>
  <c r="AG23" i="6"/>
  <c r="AF23" i="6"/>
  <c r="AE23" i="6"/>
  <c r="AD23" i="6"/>
  <c r="AC23" i="6"/>
  <c r="AB23" i="6"/>
  <c r="AA23" i="6"/>
  <c r="Z23" i="6"/>
  <c r="Y23" i="6"/>
  <c r="X23" i="6"/>
  <c r="W23" i="6"/>
  <c r="V23" i="6"/>
  <c r="U23" i="6"/>
  <c r="T23" i="6"/>
  <c r="S23" i="6"/>
  <c r="R23" i="6"/>
  <c r="AM16" i="6"/>
  <c r="AL16" i="6"/>
  <c r="AK16" i="6"/>
  <c r="AJ16" i="6"/>
  <c r="AI16" i="6"/>
  <c r="AH16" i="6"/>
  <c r="AG16" i="6"/>
  <c r="AF16" i="6"/>
  <c r="AE16" i="6"/>
  <c r="AD16" i="6"/>
  <c r="AC16" i="6"/>
  <c r="AB16" i="6"/>
  <c r="AA16" i="6"/>
  <c r="Z16" i="6"/>
  <c r="Y16" i="6"/>
  <c r="X16" i="6"/>
  <c r="W16" i="6"/>
  <c r="V16" i="6"/>
  <c r="U16" i="6"/>
  <c r="T16" i="6"/>
  <c r="S16" i="6"/>
  <c r="R16" i="6"/>
  <c r="AM15" i="6"/>
  <c r="AL15" i="6"/>
  <c r="AW17" i="36"/>
  <c r="AK15" i="6"/>
  <c r="AU17" i="36"/>
  <c r="AJ15" i="6"/>
  <c r="AS17" i="36"/>
  <c r="AI15" i="6"/>
  <c r="AQ17" i="36"/>
  <c r="AH15" i="6"/>
  <c r="AO17" i="36"/>
  <c r="AG15" i="6"/>
  <c r="AM17" i="36"/>
  <c r="AF15" i="6"/>
  <c r="AK17" i="36"/>
  <c r="AE15" i="6"/>
  <c r="AI17" i="36"/>
  <c r="AD15" i="6"/>
  <c r="AG17" i="36"/>
  <c r="AC15" i="6"/>
  <c r="AE17" i="36"/>
  <c r="AB15" i="6"/>
  <c r="AC17" i="36"/>
  <c r="AA15" i="6"/>
  <c r="AA17" i="36"/>
  <c r="Z15" i="6"/>
  <c r="Y17" i="36"/>
  <c r="Y15" i="6"/>
  <c r="W17" i="36"/>
  <c r="X15" i="6"/>
  <c r="U17" i="36"/>
  <c r="W15" i="6"/>
  <c r="S17" i="36"/>
  <c r="V15" i="6"/>
  <c r="Q17" i="36"/>
  <c r="U15" i="6"/>
  <c r="O17" i="36"/>
  <c r="T15" i="6"/>
  <c r="S15" i="6"/>
  <c r="R15" i="6"/>
  <c r="U50" i="19"/>
  <c r="S50" i="19"/>
  <c r="Q50" i="19"/>
  <c r="O50" i="19"/>
  <c r="M50" i="19"/>
  <c r="K50" i="19"/>
  <c r="U49" i="19"/>
  <c r="S49" i="19"/>
  <c r="Q49" i="19"/>
  <c r="O49" i="19"/>
  <c r="M49" i="19"/>
  <c r="K49" i="19"/>
  <c r="U48" i="19"/>
  <c r="S48" i="19"/>
  <c r="Q48" i="19"/>
  <c r="O48" i="19"/>
  <c r="M48" i="19"/>
  <c r="K48" i="19"/>
  <c r="U47" i="19"/>
  <c r="S47" i="19"/>
  <c r="Q47" i="19"/>
  <c r="O47" i="19"/>
  <c r="M47" i="19"/>
  <c r="K47" i="19"/>
  <c r="AW41" i="36"/>
  <c r="AW40" i="36"/>
  <c r="AW39" i="36"/>
  <c r="AW38" i="36"/>
  <c r="AW37" i="36"/>
  <c r="AW36" i="36"/>
  <c r="AW35" i="36"/>
  <c r="AW34" i="36"/>
  <c r="AW33" i="36"/>
  <c r="AW32" i="36"/>
  <c r="AW31" i="36"/>
  <c r="AW30" i="36"/>
  <c r="AW29" i="36"/>
  <c r="AW28" i="36"/>
  <c r="AW27" i="36"/>
  <c r="AW26" i="36"/>
  <c r="AW25" i="36"/>
  <c r="AW24" i="36"/>
  <c r="AW23" i="36"/>
  <c r="AW22" i="36"/>
  <c r="AW21" i="36"/>
  <c r="AW20" i="36"/>
  <c r="AW19" i="36"/>
  <c r="AW18" i="36"/>
  <c r="K17" i="36"/>
  <c r="AU41" i="36"/>
  <c r="AU40" i="36"/>
  <c r="AU39" i="36"/>
  <c r="AU38" i="36"/>
  <c r="AU37" i="36"/>
  <c r="AU36" i="36"/>
  <c r="AU35" i="36"/>
  <c r="AU34" i="36"/>
  <c r="AU33" i="36"/>
  <c r="AU32" i="36"/>
  <c r="AU31" i="36"/>
  <c r="AU30" i="36"/>
  <c r="AU29" i="36"/>
  <c r="AU28" i="36"/>
  <c r="AU27" i="36"/>
  <c r="AU26" i="36"/>
  <c r="AU25" i="36"/>
  <c r="AU24" i="36"/>
  <c r="AU23" i="36"/>
  <c r="AU22" i="36"/>
  <c r="AU21" i="36"/>
  <c r="AU20" i="36"/>
  <c r="AU19" i="36"/>
  <c r="AU18" i="36"/>
  <c r="AS41" i="36"/>
  <c r="AS40" i="36"/>
  <c r="AS39" i="36"/>
  <c r="AS38" i="36"/>
  <c r="AS37" i="36"/>
  <c r="AS36" i="36"/>
  <c r="AS35" i="36"/>
  <c r="AS34" i="36"/>
  <c r="AS33" i="36"/>
  <c r="AS32" i="36"/>
  <c r="AS31" i="36"/>
  <c r="AS30" i="36"/>
  <c r="AS29" i="36"/>
  <c r="AS28" i="36"/>
  <c r="AS27" i="36"/>
  <c r="AS26" i="36"/>
  <c r="AS25" i="36"/>
  <c r="AS24" i="36"/>
  <c r="AS23" i="36"/>
  <c r="AS22" i="36"/>
  <c r="AS21" i="36"/>
  <c r="AS20" i="36"/>
  <c r="AS19" i="36"/>
  <c r="AS18" i="36"/>
  <c r="AQ41" i="36"/>
  <c r="AQ40" i="36"/>
  <c r="AQ39" i="36"/>
  <c r="AQ38" i="36"/>
  <c r="AQ37" i="36"/>
  <c r="AQ36" i="36"/>
  <c r="AQ35" i="36"/>
  <c r="AQ34" i="36"/>
  <c r="AQ33" i="36"/>
  <c r="AQ32" i="36"/>
  <c r="AQ31" i="36"/>
  <c r="AQ30" i="36"/>
  <c r="AQ29" i="36"/>
  <c r="AQ28" i="36"/>
  <c r="AQ27" i="36"/>
  <c r="AQ26" i="36"/>
  <c r="AQ25" i="36"/>
  <c r="AQ24" i="36"/>
  <c r="AQ23" i="36"/>
  <c r="AQ22" i="36"/>
  <c r="AQ21" i="36"/>
  <c r="AQ20" i="36"/>
  <c r="AQ19" i="36"/>
  <c r="AQ18" i="36"/>
  <c r="AO41" i="36"/>
  <c r="AO40" i="36"/>
  <c r="AO39" i="36"/>
  <c r="AO38" i="36"/>
  <c r="AO37" i="36"/>
  <c r="AO36" i="36"/>
  <c r="AO35" i="36"/>
  <c r="AO34" i="36"/>
  <c r="AO33" i="36"/>
  <c r="AO32" i="36"/>
  <c r="AO31" i="36"/>
  <c r="AO30" i="36"/>
  <c r="AO29" i="36"/>
  <c r="AO28" i="36"/>
  <c r="AO27" i="36"/>
  <c r="AO26" i="36"/>
  <c r="AO25" i="36"/>
  <c r="AO24" i="36"/>
  <c r="AO23" i="36"/>
  <c r="AO22" i="36"/>
  <c r="AO21" i="36"/>
  <c r="AO20" i="36"/>
  <c r="AO19" i="36"/>
  <c r="AO18" i="36"/>
  <c r="AM41" i="36"/>
  <c r="AM40" i="36"/>
  <c r="AM39" i="36"/>
  <c r="AM38" i="36"/>
  <c r="AM37" i="36"/>
  <c r="AM36" i="36"/>
  <c r="AM35" i="36"/>
  <c r="AM34" i="36"/>
  <c r="AM33" i="36"/>
  <c r="AM32" i="36"/>
  <c r="AM31" i="36"/>
  <c r="AM30" i="36"/>
  <c r="AM29" i="36"/>
  <c r="AM28" i="36"/>
  <c r="AM27" i="36"/>
  <c r="AM26" i="36"/>
  <c r="AM25" i="36"/>
  <c r="AM24" i="36"/>
  <c r="AM23" i="36"/>
  <c r="AM22" i="36"/>
  <c r="AM21" i="36"/>
  <c r="AM20" i="36"/>
  <c r="AM19" i="36"/>
  <c r="AM18" i="36"/>
  <c r="AK41" i="36"/>
  <c r="AK40" i="36"/>
  <c r="AK39" i="36"/>
  <c r="AK38" i="36"/>
  <c r="AK37" i="36"/>
  <c r="AK36" i="36"/>
  <c r="AK35" i="36"/>
  <c r="AK34" i="36"/>
  <c r="AK33" i="36"/>
  <c r="AK32" i="36"/>
  <c r="AK31" i="36"/>
  <c r="AK30" i="36"/>
  <c r="AK29" i="36"/>
  <c r="AK28" i="36"/>
  <c r="AK27" i="36"/>
  <c r="AK26" i="36"/>
  <c r="AK25" i="36"/>
  <c r="AK24" i="36"/>
  <c r="AK23" i="36"/>
  <c r="AK22" i="36"/>
  <c r="AK21" i="36"/>
  <c r="AK20" i="36"/>
  <c r="AK19" i="36"/>
  <c r="AK18" i="36"/>
  <c r="AI41" i="36"/>
  <c r="AI40" i="36"/>
  <c r="AI39" i="36"/>
  <c r="AI38" i="36"/>
  <c r="AI37" i="36"/>
  <c r="AI36" i="36"/>
  <c r="AI35" i="36"/>
  <c r="AI34" i="36"/>
  <c r="AI33" i="36"/>
  <c r="AI32" i="36"/>
  <c r="AI31" i="36"/>
  <c r="AI30" i="36"/>
  <c r="AI29" i="36"/>
  <c r="AI28" i="36"/>
  <c r="AI27" i="36"/>
  <c r="AI26" i="36"/>
  <c r="AI25" i="36"/>
  <c r="AI24" i="36"/>
  <c r="AI23" i="36"/>
  <c r="AI22" i="36"/>
  <c r="AI21" i="36"/>
  <c r="AI20" i="36"/>
  <c r="AI19" i="36"/>
  <c r="AI18" i="36"/>
  <c r="AG41" i="36"/>
  <c r="AG40" i="36"/>
  <c r="AG39" i="36"/>
  <c r="AG38" i="36"/>
  <c r="AG37" i="36"/>
  <c r="AG36" i="36"/>
  <c r="AG35" i="36"/>
  <c r="AG34" i="36"/>
  <c r="AG33" i="36"/>
  <c r="AG32" i="36"/>
  <c r="AG31" i="36"/>
  <c r="AG30" i="36"/>
  <c r="AG29" i="36"/>
  <c r="AG28" i="36"/>
  <c r="AG27" i="36"/>
  <c r="AG26" i="36"/>
  <c r="AG25" i="36"/>
  <c r="AG24" i="36"/>
  <c r="AG23" i="36"/>
  <c r="AG22" i="36"/>
  <c r="AG21" i="36"/>
  <c r="AG20" i="36"/>
  <c r="AG19" i="36"/>
  <c r="AG18" i="36"/>
  <c r="AE41" i="36"/>
  <c r="AE40" i="36"/>
  <c r="AE39" i="36"/>
  <c r="AE38" i="36"/>
  <c r="AE37" i="36"/>
  <c r="AE36" i="36"/>
  <c r="AE35" i="36"/>
  <c r="AE34" i="36"/>
  <c r="AE33" i="36"/>
  <c r="AE32" i="36"/>
  <c r="AE31" i="36"/>
  <c r="AE30" i="36"/>
  <c r="AE29" i="36"/>
  <c r="AE28" i="36"/>
  <c r="AE27" i="36"/>
  <c r="AE26" i="36"/>
  <c r="AE25" i="36"/>
  <c r="AE24" i="36"/>
  <c r="AE23" i="36"/>
  <c r="AE22" i="36"/>
  <c r="AE21" i="36"/>
  <c r="AE20" i="36"/>
  <c r="AE19" i="36"/>
  <c r="AE18" i="36"/>
  <c r="AC41" i="36"/>
  <c r="AC40" i="36"/>
  <c r="AC39" i="36"/>
  <c r="AC38" i="36"/>
  <c r="AC37" i="36"/>
  <c r="AC36" i="36"/>
  <c r="AC35" i="36"/>
  <c r="AC34" i="36"/>
  <c r="AC33" i="36"/>
  <c r="AC32" i="36"/>
  <c r="AC31" i="36"/>
  <c r="AC30" i="36"/>
  <c r="AC29" i="36"/>
  <c r="AC28" i="36"/>
  <c r="AC27" i="36"/>
  <c r="AC26" i="36"/>
  <c r="AC25" i="36"/>
  <c r="AC24" i="36"/>
  <c r="AC23" i="36"/>
  <c r="AC22" i="36"/>
  <c r="AC21" i="36"/>
  <c r="AC20" i="36"/>
  <c r="AC19" i="36"/>
  <c r="AC18" i="36"/>
  <c r="AA41" i="36"/>
  <c r="AA40" i="36"/>
  <c r="AA39" i="36"/>
  <c r="AA38" i="36"/>
  <c r="AA37" i="36"/>
  <c r="AA36" i="36"/>
  <c r="AA35" i="36"/>
  <c r="AA34" i="36"/>
  <c r="AA33" i="36"/>
  <c r="AA32" i="36"/>
  <c r="AA31" i="36"/>
  <c r="AA30" i="36"/>
  <c r="AA29" i="36"/>
  <c r="AA28" i="36"/>
  <c r="AA27" i="36"/>
  <c r="AA26" i="36"/>
  <c r="AA25" i="36"/>
  <c r="AA24" i="36"/>
  <c r="AA23" i="36"/>
  <c r="AA22" i="36"/>
  <c r="AA21" i="36"/>
  <c r="AA20" i="36"/>
  <c r="AA19" i="36"/>
  <c r="AA18" i="36"/>
  <c r="Y41" i="36"/>
  <c r="Y40" i="36"/>
  <c r="Y39" i="36"/>
  <c r="Y38" i="36"/>
  <c r="Y37" i="36"/>
  <c r="Y36" i="36"/>
  <c r="Y35" i="36"/>
  <c r="Y34" i="36"/>
  <c r="Y33" i="36"/>
  <c r="Y32" i="36"/>
  <c r="Y31" i="36"/>
  <c r="Y30" i="36"/>
  <c r="Y29" i="36"/>
  <c r="Y28" i="36"/>
  <c r="Y27" i="36"/>
  <c r="Y26" i="36"/>
  <c r="Y25" i="36"/>
  <c r="Y24" i="36"/>
  <c r="Y23" i="36"/>
  <c r="Y22" i="36"/>
  <c r="Y21" i="36"/>
  <c r="Y20" i="36"/>
  <c r="Y19" i="36"/>
  <c r="Y18" i="36"/>
  <c r="W41" i="36"/>
  <c r="W40" i="36"/>
  <c r="W39" i="36"/>
  <c r="W38" i="36"/>
  <c r="W37" i="36"/>
  <c r="W36" i="36"/>
  <c r="W35" i="36"/>
  <c r="W34" i="36"/>
  <c r="W33" i="36"/>
  <c r="W32" i="36"/>
  <c r="W31" i="36"/>
  <c r="W30" i="36"/>
  <c r="W29" i="36"/>
  <c r="W28" i="36"/>
  <c r="W27" i="36"/>
  <c r="W26" i="36"/>
  <c r="W25" i="36"/>
  <c r="W24" i="36"/>
  <c r="W23" i="36"/>
  <c r="W22" i="36"/>
  <c r="W21" i="36"/>
  <c r="W20" i="36"/>
  <c r="W19" i="36"/>
  <c r="W18" i="36"/>
  <c r="U41" i="36"/>
  <c r="U40" i="36"/>
  <c r="U39" i="36"/>
  <c r="U38" i="36"/>
  <c r="U37" i="36"/>
  <c r="U36" i="36"/>
  <c r="U35" i="36"/>
  <c r="U34" i="36"/>
  <c r="U33" i="36"/>
  <c r="U32" i="36"/>
  <c r="U31" i="36"/>
  <c r="U30" i="36"/>
  <c r="U29" i="36"/>
  <c r="U28" i="36"/>
  <c r="U27" i="36"/>
  <c r="U26" i="36"/>
  <c r="U25" i="36"/>
  <c r="U24" i="36"/>
  <c r="U23" i="36"/>
  <c r="U22" i="36"/>
  <c r="U21" i="36"/>
  <c r="U20" i="36"/>
  <c r="U19" i="36"/>
  <c r="U18" i="36"/>
  <c r="S41" i="36"/>
  <c r="S40" i="36"/>
  <c r="S39" i="36"/>
  <c r="S38" i="36"/>
  <c r="S37" i="36"/>
  <c r="S36" i="36"/>
  <c r="S35" i="36"/>
  <c r="S34" i="36"/>
  <c r="S33" i="36"/>
  <c r="S32" i="36"/>
  <c r="S31" i="36"/>
  <c r="S30" i="36"/>
  <c r="S29" i="36"/>
  <c r="S28" i="36"/>
  <c r="S27" i="36"/>
  <c r="S26" i="36"/>
  <c r="S25" i="36"/>
  <c r="S24" i="36"/>
  <c r="S23" i="36"/>
  <c r="S22" i="36"/>
  <c r="S21" i="36"/>
  <c r="S20" i="36"/>
  <c r="S19" i="36"/>
  <c r="S18" i="36"/>
  <c r="Q18" i="36"/>
  <c r="Q19" i="36"/>
  <c r="Q20" i="36"/>
  <c r="Q21" i="36"/>
  <c r="Q22" i="36"/>
  <c r="Q23" i="36"/>
  <c r="Q24" i="36"/>
  <c r="Q25" i="36"/>
  <c r="Q26" i="36"/>
  <c r="Q27" i="36"/>
  <c r="Q28" i="36"/>
  <c r="Q29" i="36"/>
  <c r="Q30" i="36"/>
  <c r="Q31" i="36"/>
  <c r="Q32" i="36"/>
  <c r="Q33" i="36"/>
  <c r="Q34" i="36"/>
  <c r="Q35" i="36"/>
  <c r="Q36" i="36"/>
  <c r="Q37" i="36"/>
  <c r="Q38" i="36"/>
  <c r="Q39" i="36"/>
  <c r="Q40" i="36"/>
  <c r="Q41" i="36"/>
  <c r="O18" i="36"/>
  <c r="O19" i="36"/>
  <c r="O20" i="36"/>
  <c r="O21" i="36"/>
  <c r="O22" i="36"/>
  <c r="O23" i="36"/>
  <c r="O24" i="36"/>
  <c r="O25" i="36"/>
  <c r="O26" i="36"/>
  <c r="O27" i="36"/>
  <c r="O28" i="36"/>
  <c r="O29" i="36"/>
  <c r="O30" i="36"/>
  <c r="O31" i="36"/>
  <c r="O32" i="36"/>
  <c r="O33" i="36"/>
  <c r="O34" i="36"/>
  <c r="O35" i="36"/>
  <c r="O36" i="36"/>
  <c r="O37" i="36"/>
  <c r="O38" i="36"/>
  <c r="O39" i="36"/>
  <c r="O40" i="36"/>
  <c r="O41" i="36"/>
  <c r="O17" i="19"/>
  <c r="C13" i="62"/>
  <c r="D13" i="62"/>
  <c r="E13" i="62"/>
  <c r="F13" i="62"/>
  <c r="G13" i="62"/>
  <c r="H13" i="62"/>
  <c r="I13" i="62"/>
  <c r="J13" i="62"/>
  <c r="K13" i="62"/>
  <c r="L13" i="62"/>
  <c r="M13" i="62"/>
  <c r="N13" i="62"/>
  <c r="O13" i="62"/>
  <c r="P13" i="62"/>
  <c r="Q13" i="62"/>
  <c r="R13" i="62"/>
  <c r="S13" i="62"/>
  <c r="T13" i="62"/>
  <c r="U13" i="62"/>
  <c r="V13" i="62"/>
  <c r="W13" i="62"/>
  <c r="X13" i="62"/>
  <c r="Y13" i="62"/>
  <c r="Z13" i="62"/>
  <c r="AA13" i="62"/>
  <c r="AB13" i="62"/>
  <c r="AC13" i="62"/>
  <c r="AD13" i="62"/>
  <c r="AE13" i="62"/>
  <c r="AF13" i="62"/>
  <c r="AG13" i="62"/>
  <c r="AH13" i="62"/>
  <c r="AI13" i="62"/>
  <c r="AJ13" i="62"/>
  <c r="AK13" i="62"/>
  <c r="AL13" i="62"/>
  <c r="AM13" i="62"/>
  <c r="AN13" i="62"/>
  <c r="AO13" i="62"/>
  <c r="AP13" i="62"/>
  <c r="AQ13" i="62"/>
  <c r="AR13" i="62"/>
  <c r="AS13" i="62"/>
  <c r="AT13" i="62"/>
  <c r="AU13" i="62"/>
  <c r="AV13" i="62"/>
  <c r="AW13" i="62"/>
  <c r="AX13" i="62"/>
  <c r="AY13" i="62"/>
  <c r="AZ13" i="62"/>
  <c r="BA13" i="62"/>
  <c r="BB13" i="62"/>
  <c r="BC13" i="62"/>
  <c r="BD13" i="62"/>
  <c r="BM13" i="62"/>
  <c r="BN13" i="62"/>
  <c r="BO13" i="62"/>
  <c r="BP13" i="62"/>
  <c r="BQ13" i="62"/>
  <c r="C14" i="62"/>
  <c r="D14" i="62"/>
  <c r="E14" i="62"/>
  <c r="F14" i="62"/>
  <c r="G14" i="62"/>
  <c r="H14" i="62"/>
  <c r="I14" i="62"/>
  <c r="J14" i="62"/>
  <c r="K14" i="62"/>
  <c r="L14" i="62"/>
  <c r="M14" i="62"/>
  <c r="N14" i="62"/>
  <c r="O14" i="62"/>
  <c r="P14" i="62"/>
  <c r="Q14" i="62"/>
  <c r="R14" i="62"/>
  <c r="S14" i="62"/>
  <c r="T14" i="62"/>
  <c r="U14" i="62"/>
  <c r="V14" i="62"/>
  <c r="W14" i="62"/>
  <c r="X14" i="62"/>
  <c r="Y14" i="62"/>
  <c r="Z14" i="62"/>
  <c r="AA14" i="62"/>
  <c r="AB14" i="62"/>
  <c r="AC14" i="62"/>
  <c r="AD14" i="62"/>
  <c r="AE14" i="62"/>
  <c r="AF14" i="62"/>
  <c r="AG14" i="62"/>
  <c r="AH14" i="62"/>
  <c r="AI14" i="62"/>
  <c r="AJ14" i="62"/>
  <c r="AK14" i="62"/>
  <c r="AL14" i="62"/>
  <c r="AM14" i="62"/>
  <c r="AN14" i="62"/>
  <c r="AO14" i="62"/>
  <c r="AP14" i="62"/>
  <c r="AQ14" i="62"/>
  <c r="AR14" i="62"/>
  <c r="AS14" i="62"/>
  <c r="AT14" i="62"/>
  <c r="AU14" i="62"/>
  <c r="AV14" i="62"/>
  <c r="AW14" i="62"/>
  <c r="AX14" i="62"/>
  <c r="AY14" i="62"/>
  <c r="AZ14" i="62"/>
  <c r="BA14" i="62"/>
  <c r="BB14" i="62"/>
  <c r="BC14" i="62"/>
  <c r="BD14" i="62"/>
  <c r="C15" i="62"/>
  <c r="D15" i="62"/>
  <c r="E15" i="62"/>
  <c r="F15" i="62"/>
  <c r="G15" i="62"/>
  <c r="H15" i="62"/>
  <c r="I15" i="62"/>
  <c r="J15" i="62"/>
  <c r="K15" i="62"/>
  <c r="L15" i="62"/>
  <c r="M15" i="62"/>
  <c r="N15" i="62"/>
  <c r="O15" i="62"/>
  <c r="P15" i="62"/>
  <c r="Q15" i="62"/>
  <c r="R15" i="62"/>
  <c r="S15" i="62"/>
  <c r="T15" i="62"/>
  <c r="U15" i="62"/>
  <c r="V15" i="62"/>
  <c r="W15" i="62"/>
  <c r="X15" i="62"/>
  <c r="Y15" i="62"/>
  <c r="Z15" i="62"/>
  <c r="AA15" i="62"/>
  <c r="AB15" i="62"/>
  <c r="AC15" i="62"/>
  <c r="AD15" i="62"/>
  <c r="AE15" i="62"/>
  <c r="AF15" i="62"/>
  <c r="AG15" i="62"/>
  <c r="AH15" i="62"/>
  <c r="AI15" i="62"/>
  <c r="AJ15" i="62"/>
  <c r="AK15" i="62"/>
  <c r="AL15" i="62"/>
  <c r="AM15" i="62"/>
  <c r="AN15" i="62"/>
  <c r="AO15" i="62"/>
  <c r="AP15" i="62"/>
  <c r="AQ15" i="62"/>
  <c r="AR15" i="62"/>
  <c r="AS15" i="62"/>
  <c r="AT15" i="62"/>
  <c r="AU15" i="62"/>
  <c r="AV15" i="62"/>
  <c r="AW15" i="62"/>
  <c r="AX15" i="62"/>
  <c r="AY15" i="62"/>
  <c r="AZ15" i="62"/>
  <c r="BA15" i="62"/>
  <c r="BB15" i="62"/>
  <c r="BC15" i="62"/>
  <c r="BD15" i="62"/>
  <c r="BE15" i="62"/>
  <c r="C16" i="62"/>
  <c r="D16" i="62"/>
  <c r="E16" i="62"/>
  <c r="F16" i="62"/>
  <c r="G16" i="62"/>
  <c r="H16" i="62"/>
  <c r="I16" i="62"/>
  <c r="J16" i="62"/>
  <c r="K16" i="62"/>
  <c r="L16" i="62"/>
  <c r="M16" i="62"/>
  <c r="N16" i="62"/>
  <c r="O16" i="62"/>
  <c r="P16" i="62"/>
  <c r="Q16" i="62"/>
  <c r="R16" i="62"/>
  <c r="S16" i="62"/>
  <c r="T16" i="62"/>
  <c r="U16" i="62"/>
  <c r="V16" i="62"/>
  <c r="W16" i="62"/>
  <c r="X16" i="62"/>
  <c r="Y16" i="62"/>
  <c r="Z16" i="62"/>
  <c r="AA16" i="62"/>
  <c r="AB16" i="62"/>
  <c r="AC16" i="62"/>
  <c r="AD16" i="62"/>
  <c r="AE16" i="62"/>
  <c r="AF16" i="62"/>
  <c r="AG16" i="62"/>
  <c r="AH16" i="62"/>
  <c r="AI16" i="62"/>
  <c r="AJ16" i="62"/>
  <c r="AK16" i="62"/>
  <c r="AL16" i="62"/>
  <c r="AM16" i="62"/>
  <c r="AN16" i="62"/>
  <c r="AO16" i="62"/>
  <c r="AP16" i="62"/>
  <c r="AQ16" i="62"/>
  <c r="AR16" i="62"/>
  <c r="AS16" i="62"/>
  <c r="AT16" i="62"/>
  <c r="AU16" i="62"/>
  <c r="AV16" i="62"/>
  <c r="AW16" i="62"/>
  <c r="AX16" i="62"/>
  <c r="AY16" i="62"/>
  <c r="AZ16" i="62"/>
  <c r="BA16" i="62"/>
  <c r="BB16" i="62"/>
  <c r="BC16" i="62"/>
  <c r="BD16" i="62"/>
  <c r="BE16" i="62"/>
  <c r="C17" i="62"/>
  <c r="D17" i="62"/>
  <c r="E17" i="62"/>
  <c r="F17" i="62"/>
  <c r="G17" i="62"/>
  <c r="H17" i="62"/>
  <c r="I17" i="62"/>
  <c r="J17" i="62"/>
  <c r="K17" i="62"/>
  <c r="L17" i="62"/>
  <c r="M17" i="62"/>
  <c r="N17" i="62"/>
  <c r="O17" i="62"/>
  <c r="P17" i="62"/>
  <c r="Q17" i="62"/>
  <c r="R17" i="62"/>
  <c r="S17" i="62"/>
  <c r="T17" i="62"/>
  <c r="U17" i="62"/>
  <c r="V17" i="62"/>
  <c r="W17" i="62"/>
  <c r="X17" i="62"/>
  <c r="Y17" i="62"/>
  <c r="Z17" i="62"/>
  <c r="AA17" i="62"/>
  <c r="AB17" i="62"/>
  <c r="AC17" i="62"/>
  <c r="AD17" i="62"/>
  <c r="AE17" i="62"/>
  <c r="AF17" i="62"/>
  <c r="AG17" i="62"/>
  <c r="AH17" i="62"/>
  <c r="AI17" i="62"/>
  <c r="AJ17" i="62"/>
  <c r="AK17" i="62"/>
  <c r="AL17" i="62"/>
  <c r="AM17" i="62"/>
  <c r="AN17" i="62"/>
  <c r="AO17" i="62"/>
  <c r="AP17" i="62"/>
  <c r="AQ17" i="62"/>
  <c r="AR17" i="62"/>
  <c r="AS17" i="62"/>
  <c r="AT17" i="62"/>
  <c r="AU17" i="62"/>
  <c r="AV17" i="62"/>
  <c r="AW17" i="62"/>
  <c r="AX17" i="62"/>
  <c r="AY17" i="62"/>
  <c r="AZ17" i="62"/>
  <c r="BA17" i="62"/>
  <c r="BB17" i="62"/>
  <c r="BC17" i="62"/>
  <c r="BD17" i="62"/>
  <c r="BE17" i="62"/>
  <c r="C18" i="62"/>
  <c r="D18" i="62"/>
  <c r="E18" i="62"/>
  <c r="F18" i="62"/>
  <c r="G18" i="62"/>
  <c r="H18" i="62"/>
  <c r="I18" i="62"/>
  <c r="J18" i="62"/>
  <c r="K18" i="62"/>
  <c r="L18" i="62"/>
  <c r="M18" i="62"/>
  <c r="N18" i="62"/>
  <c r="O18" i="62"/>
  <c r="P18" i="62"/>
  <c r="Q18" i="62"/>
  <c r="R18" i="62"/>
  <c r="S18" i="62"/>
  <c r="T18" i="62"/>
  <c r="U18" i="62"/>
  <c r="V18" i="62"/>
  <c r="W18" i="62"/>
  <c r="X18" i="62"/>
  <c r="Y18" i="62"/>
  <c r="Z18" i="62"/>
  <c r="AA18" i="62"/>
  <c r="AB18" i="62"/>
  <c r="AC18" i="62"/>
  <c r="AD18" i="62"/>
  <c r="AE18" i="62"/>
  <c r="AF18" i="62"/>
  <c r="AG18" i="62"/>
  <c r="AH18" i="62"/>
  <c r="AI18" i="62"/>
  <c r="AJ18" i="62"/>
  <c r="AK18" i="62"/>
  <c r="AL18" i="62"/>
  <c r="AM18" i="62"/>
  <c r="AN18" i="62"/>
  <c r="AO18" i="62"/>
  <c r="AP18" i="62"/>
  <c r="AQ18" i="62"/>
  <c r="AR18" i="62"/>
  <c r="AS18" i="62"/>
  <c r="AT18" i="62"/>
  <c r="AU18" i="62"/>
  <c r="AV18" i="62"/>
  <c r="AW18" i="62"/>
  <c r="AX18" i="62"/>
  <c r="AY18" i="62"/>
  <c r="AZ18" i="62"/>
  <c r="BA18" i="62"/>
  <c r="BB18" i="62"/>
  <c r="BC18" i="62"/>
  <c r="BD18" i="62"/>
  <c r="BE18" i="62"/>
  <c r="C19" i="62"/>
  <c r="D19" i="62"/>
  <c r="E19" i="62"/>
  <c r="F19" i="62"/>
  <c r="G19" i="62"/>
  <c r="H19" i="62"/>
  <c r="I19" i="62"/>
  <c r="J19" i="62"/>
  <c r="K19" i="62"/>
  <c r="L19" i="62"/>
  <c r="M19" i="62"/>
  <c r="N19" i="62"/>
  <c r="O19" i="62"/>
  <c r="P19" i="62"/>
  <c r="Q19" i="62"/>
  <c r="R19" i="62"/>
  <c r="S19" i="62"/>
  <c r="T19" i="62"/>
  <c r="U19" i="62"/>
  <c r="V19" i="62"/>
  <c r="W19" i="62"/>
  <c r="X19" i="62"/>
  <c r="Y19" i="62"/>
  <c r="Z19" i="62"/>
  <c r="AA19" i="62"/>
  <c r="AB19" i="62"/>
  <c r="AC19" i="62"/>
  <c r="AD19" i="62"/>
  <c r="AE19" i="62"/>
  <c r="AF19" i="62"/>
  <c r="AG19" i="62"/>
  <c r="AH19" i="62"/>
  <c r="AI19" i="62"/>
  <c r="AJ19" i="62"/>
  <c r="AK19" i="62"/>
  <c r="AL19" i="62"/>
  <c r="AM19" i="62"/>
  <c r="AN19" i="62"/>
  <c r="AO19" i="62"/>
  <c r="AP19" i="62"/>
  <c r="AQ19" i="62"/>
  <c r="AR19" i="62"/>
  <c r="AS19" i="62"/>
  <c r="AT19" i="62"/>
  <c r="AU19" i="62"/>
  <c r="AV19" i="62"/>
  <c r="AW19" i="62"/>
  <c r="AX19" i="62"/>
  <c r="AY19" i="62"/>
  <c r="AZ19" i="62"/>
  <c r="BA19" i="62"/>
  <c r="BB19" i="62"/>
  <c r="BC19" i="62"/>
  <c r="BD19" i="62"/>
  <c r="BE19" i="62"/>
  <c r="C20" i="62"/>
  <c r="D20" i="62"/>
  <c r="E20" i="62"/>
  <c r="F20" i="62"/>
  <c r="G20" i="62"/>
  <c r="H20" i="62"/>
  <c r="I20" i="62"/>
  <c r="J20" i="62"/>
  <c r="K20" i="62"/>
  <c r="L20" i="62"/>
  <c r="M20" i="62"/>
  <c r="N20" i="62"/>
  <c r="O20" i="62"/>
  <c r="P20" i="62"/>
  <c r="Q20" i="62"/>
  <c r="R20" i="62"/>
  <c r="S20" i="62"/>
  <c r="T20" i="62"/>
  <c r="U20" i="62"/>
  <c r="V20" i="62"/>
  <c r="W20" i="62"/>
  <c r="X20" i="62"/>
  <c r="Y20" i="62"/>
  <c r="Z20" i="62"/>
  <c r="AA20" i="62"/>
  <c r="AB20" i="62"/>
  <c r="AC20" i="62"/>
  <c r="AD20" i="62"/>
  <c r="AE20" i="62"/>
  <c r="AF20" i="62"/>
  <c r="AG20" i="62"/>
  <c r="AH20" i="62"/>
  <c r="AI20" i="62"/>
  <c r="AJ20" i="62"/>
  <c r="AK20" i="62"/>
  <c r="AL20" i="62"/>
  <c r="AM20" i="62"/>
  <c r="AN20" i="62"/>
  <c r="AO20" i="62"/>
  <c r="AP20" i="62"/>
  <c r="AQ20" i="62"/>
  <c r="AR20" i="62"/>
  <c r="AS20" i="62"/>
  <c r="AT20" i="62"/>
  <c r="AU20" i="62"/>
  <c r="AV20" i="62"/>
  <c r="AW20" i="62"/>
  <c r="AX20" i="62"/>
  <c r="AY20" i="62"/>
  <c r="AZ20" i="62"/>
  <c r="BA20" i="62"/>
  <c r="BB20" i="62"/>
  <c r="BC20" i="62"/>
  <c r="BD20" i="62"/>
  <c r="BE20" i="62"/>
  <c r="C21" i="62"/>
  <c r="D21" i="62"/>
  <c r="E21" i="62"/>
  <c r="F21" i="62"/>
  <c r="G21" i="62"/>
  <c r="H21" i="62"/>
  <c r="I21" i="62"/>
  <c r="J21" i="62"/>
  <c r="K21" i="62"/>
  <c r="L21" i="62"/>
  <c r="M21" i="62"/>
  <c r="N21" i="62"/>
  <c r="O21" i="62"/>
  <c r="P21" i="62"/>
  <c r="Q21" i="62"/>
  <c r="R21" i="62"/>
  <c r="S21" i="62"/>
  <c r="T21" i="62"/>
  <c r="U21" i="62"/>
  <c r="V21" i="62"/>
  <c r="W21" i="62"/>
  <c r="X21" i="62"/>
  <c r="Y21" i="62"/>
  <c r="Z21" i="62"/>
  <c r="AA21" i="62"/>
  <c r="AB21" i="62"/>
  <c r="AC21" i="62"/>
  <c r="AD21" i="62"/>
  <c r="AE21" i="62"/>
  <c r="AF21" i="62"/>
  <c r="AG21" i="62"/>
  <c r="AH21" i="62"/>
  <c r="AI21" i="62"/>
  <c r="AJ21" i="62"/>
  <c r="AK21" i="62"/>
  <c r="AL21" i="62"/>
  <c r="AM21" i="62"/>
  <c r="AN21" i="62"/>
  <c r="AO21" i="62"/>
  <c r="AP21" i="62"/>
  <c r="AQ21" i="62"/>
  <c r="AR21" i="62"/>
  <c r="AS21" i="62"/>
  <c r="AT21" i="62"/>
  <c r="AU21" i="62"/>
  <c r="AV21" i="62"/>
  <c r="AW21" i="62"/>
  <c r="AX21" i="62"/>
  <c r="AY21" i="62"/>
  <c r="AZ21" i="62"/>
  <c r="BA21" i="62"/>
  <c r="BB21" i="62"/>
  <c r="BC21" i="62"/>
  <c r="BD21" i="62"/>
  <c r="BE21" i="62"/>
  <c r="C22" i="62"/>
  <c r="D22" i="62"/>
  <c r="E22" i="62"/>
  <c r="F22" i="62"/>
  <c r="G22" i="62"/>
  <c r="H22" i="62"/>
  <c r="I22" i="62"/>
  <c r="J22" i="62"/>
  <c r="K22" i="62"/>
  <c r="L22" i="62"/>
  <c r="M22" i="62"/>
  <c r="N22" i="62"/>
  <c r="O22" i="62"/>
  <c r="P22" i="62"/>
  <c r="Q22" i="62"/>
  <c r="R22" i="62"/>
  <c r="S22" i="62"/>
  <c r="T22" i="62"/>
  <c r="U22" i="62"/>
  <c r="V22" i="62"/>
  <c r="W22" i="62"/>
  <c r="X22" i="62"/>
  <c r="Y22" i="62"/>
  <c r="Z22" i="62"/>
  <c r="AA22" i="62"/>
  <c r="AB22" i="62"/>
  <c r="AC22" i="62"/>
  <c r="AD22" i="62"/>
  <c r="AE22" i="62"/>
  <c r="AF22" i="62"/>
  <c r="AG22" i="62"/>
  <c r="AH22" i="62"/>
  <c r="AI22" i="62"/>
  <c r="AJ22" i="62"/>
  <c r="AK22" i="62"/>
  <c r="AL22" i="62"/>
  <c r="AM22" i="62"/>
  <c r="AN22" i="62"/>
  <c r="AO22" i="62"/>
  <c r="AP22" i="62"/>
  <c r="AQ22" i="62"/>
  <c r="AR22" i="62"/>
  <c r="AS22" i="62"/>
  <c r="AT22" i="62"/>
  <c r="AU22" i="62"/>
  <c r="AV22" i="62"/>
  <c r="AW22" i="62"/>
  <c r="AX22" i="62"/>
  <c r="AY22" i="62"/>
  <c r="AZ22" i="62"/>
  <c r="BA22" i="62"/>
  <c r="BB22" i="62"/>
  <c r="BC22" i="62"/>
  <c r="BD22" i="62"/>
  <c r="BE22" i="62"/>
  <c r="C23" i="62"/>
  <c r="D23" i="62"/>
  <c r="E23" i="62"/>
  <c r="F23" i="62"/>
  <c r="G23" i="62"/>
  <c r="H23" i="62"/>
  <c r="I23" i="62"/>
  <c r="J23" i="62"/>
  <c r="K23" i="62"/>
  <c r="L23" i="62"/>
  <c r="M23" i="62"/>
  <c r="N23" i="62"/>
  <c r="O23" i="62"/>
  <c r="P23" i="62"/>
  <c r="Q23" i="62"/>
  <c r="R23" i="62"/>
  <c r="S23" i="62"/>
  <c r="T23" i="62"/>
  <c r="U23" i="62"/>
  <c r="V23" i="62"/>
  <c r="W23" i="62"/>
  <c r="X23" i="62"/>
  <c r="Y23" i="62"/>
  <c r="Z23" i="62"/>
  <c r="AA23" i="62"/>
  <c r="AB23" i="62"/>
  <c r="AC23" i="62"/>
  <c r="AD23" i="62"/>
  <c r="AE23" i="62"/>
  <c r="AF23" i="62"/>
  <c r="AG23" i="62"/>
  <c r="AH23" i="62"/>
  <c r="AI23" i="62"/>
  <c r="AJ23" i="62"/>
  <c r="AK23" i="62"/>
  <c r="AL23" i="62"/>
  <c r="AM23" i="62"/>
  <c r="AN23" i="62"/>
  <c r="AO23" i="62"/>
  <c r="AP23" i="62"/>
  <c r="AQ23" i="62"/>
  <c r="AR23" i="62"/>
  <c r="AS23" i="62"/>
  <c r="AT23" i="62"/>
  <c r="AU23" i="62"/>
  <c r="AV23" i="62"/>
  <c r="AW23" i="62"/>
  <c r="AX23" i="62"/>
  <c r="AY23" i="62"/>
  <c r="AZ23" i="62"/>
  <c r="BA23" i="62"/>
  <c r="BB23" i="62"/>
  <c r="BC23" i="62"/>
  <c r="BD23" i="62"/>
  <c r="BE23" i="62"/>
  <c r="C24" i="62"/>
  <c r="D24" i="62"/>
  <c r="E24" i="62"/>
  <c r="F24" i="62"/>
  <c r="G24" i="62"/>
  <c r="H24" i="62"/>
  <c r="I24" i="62"/>
  <c r="J24" i="62"/>
  <c r="K24" i="62"/>
  <c r="L24" i="62"/>
  <c r="M24" i="62"/>
  <c r="N24" i="62"/>
  <c r="O24" i="62"/>
  <c r="P24" i="62"/>
  <c r="Q24" i="62"/>
  <c r="R24" i="62"/>
  <c r="S24" i="62"/>
  <c r="T24" i="62"/>
  <c r="U24" i="62"/>
  <c r="V24" i="62"/>
  <c r="W24" i="62"/>
  <c r="X24" i="62"/>
  <c r="Y24" i="62"/>
  <c r="Z24" i="62"/>
  <c r="AA24" i="62"/>
  <c r="AB24" i="62"/>
  <c r="AC24" i="62"/>
  <c r="AD24" i="62"/>
  <c r="AE24" i="62"/>
  <c r="AF24" i="62"/>
  <c r="AG24" i="62"/>
  <c r="AH24" i="62"/>
  <c r="AI24" i="62"/>
  <c r="AJ24" i="62"/>
  <c r="AK24" i="62"/>
  <c r="AL24" i="62"/>
  <c r="AM24" i="62"/>
  <c r="AN24" i="62"/>
  <c r="AO24" i="62"/>
  <c r="AP24" i="62"/>
  <c r="AQ24" i="62"/>
  <c r="AR24" i="62"/>
  <c r="AS24" i="62"/>
  <c r="AT24" i="62"/>
  <c r="AU24" i="62"/>
  <c r="AV24" i="62"/>
  <c r="AW24" i="62"/>
  <c r="AX24" i="62"/>
  <c r="AY24" i="62"/>
  <c r="AZ24" i="62"/>
  <c r="BA24" i="62"/>
  <c r="BB24" i="62"/>
  <c r="BC24" i="62"/>
  <c r="BD24" i="62"/>
  <c r="BE24" i="62"/>
  <c r="C25" i="62"/>
  <c r="D25" i="62"/>
  <c r="E25" i="62"/>
  <c r="F25" i="62"/>
  <c r="G25" i="62"/>
  <c r="H25" i="62"/>
  <c r="I25" i="62"/>
  <c r="J25" i="62"/>
  <c r="K25" i="62"/>
  <c r="L25" i="62"/>
  <c r="M25" i="62"/>
  <c r="N25" i="62"/>
  <c r="O25" i="62"/>
  <c r="P25" i="62"/>
  <c r="Q25" i="62"/>
  <c r="R25" i="62"/>
  <c r="S25" i="62"/>
  <c r="T25" i="62"/>
  <c r="U25" i="62"/>
  <c r="V25" i="62"/>
  <c r="W25" i="62"/>
  <c r="X25" i="62"/>
  <c r="Y25" i="62"/>
  <c r="Z25" i="62"/>
  <c r="AA25" i="62"/>
  <c r="AB25" i="62"/>
  <c r="AC25" i="62"/>
  <c r="AD25" i="62"/>
  <c r="AE25" i="62"/>
  <c r="AF25" i="62"/>
  <c r="AG25" i="62"/>
  <c r="AH25" i="62"/>
  <c r="AI25" i="62"/>
  <c r="AJ25" i="62"/>
  <c r="AK25" i="62"/>
  <c r="AL25" i="62"/>
  <c r="AM25" i="62"/>
  <c r="AN25" i="62"/>
  <c r="AO25" i="62"/>
  <c r="AP25" i="62"/>
  <c r="AQ25" i="62"/>
  <c r="AR25" i="62"/>
  <c r="AS25" i="62"/>
  <c r="AT25" i="62"/>
  <c r="AU25" i="62"/>
  <c r="AV25" i="62"/>
  <c r="AW25" i="62"/>
  <c r="AX25" i="62"/>
  <c r="AY25" i="62"/>
  <c r="AZ25" i="62"/>
  <c r="BA25" i="62"/>
  <c r="BB25" i="62"/>
  <c r="BC25" i="62"/>
  <c r="BD25" i="62"/>
  <c r="BE25" i="62"/>
  <c r="B26" i="62"/>
  <c r="C26" i="62"/>
  <c r="D26" i="62"/>
  <c r="E26" i="62"/>
  <c r="F26" i="62"/>
  <c r="G26" i="62"/>
  <c r="H26" i="62"/>
  <c r="I26" i="62"/>
  <c r="J26" i="62"/>
  <c r="K26" i="62"/>
  <c r="L26" i="62"/>
  <c r="M26" i="62"/>
  <c r="N26" i="62"/>
  <c r="O26" i="62"/>
  <c r="P26" i="62"/>
  <c r="Q26" i="62"/>
  <c r="R26" i="62"/>
  <c r="S26" i="62"/>
  <c r="T26" i="62"/>
  <c r="U26" i="62"/>
  <c r="V26" i="62"/>
  <c r="W26" i="62"/>
  <c r="X26" i="62"/>
  <c r="Y26" i="62"/>
  <c r="Z26" i="62"/>
  <c r="AA26" i="62"/>
  <c r="AB26" i="62"/>
  <c r="AC26" i="62"/>
  <c r="AD26" i="62"/>
  <c r="AE26" i="62"/>
  <c r="AF26" i="62"/>
  <c r="AG26" i="62"/>
  <c r="AH26" i="62"/>
  <c r="AI26" i="62"/>
  <c r="AJ26" i="62"/>
  <c r="AK26" i="62"/>
  <c r="AL26" i="62"/>
  <c r="AM26" i="62"/>
  <c r="AN26" i="62"/>
  <c r="AO26" i="62"/>
  <c r="AP26" i="62"/>
  <c r="AQ26" i="62"/>
  <c r="AR26" i="62"/>
  <c r="AS26" i="62"/>
  <c r="AT26" i="62"/>
  <c r="AU26" i="62"/>
  <c r="AV26" i="62"/>
  <c r="AW26" i="62"/>
  <c r="AX26" i="62"/>
  <c r="AY26" i="62"/>
  <c r="AZ26" i="62"/>
  <c r="BA26" i="62"/>
  <c r="BB26" i="62"/>
  <c r="BC26" i="62"/>
  <c r="BD26" i="62"/>
  <c r="BE26" i="62"/>
  <c r="BF26" i="62"/>
  <c r="BG26" i="62"/>
  <c r="BH26" i="62"/>
  <c r="BI26" i="62"/>
  <c r="BJ26" i="62"/>
  <c r="BK26" i="62"/>
  <c r="BL26" i="62"/>
  <c r="BM26" i="62"/>
  <c r="BN26" i="62"/>
  <c r="BO26" i="62"/>
  <c r="BP26" i="62"/>
  <c r="BQ26" i="62"/>
  <c r="B27" i="62"/>
  <c r="C27" i="62"/>
  <c r="D27" i="62"/>
  <c r="E27" i="62"/>
  <c r="F27" i="62"/>
  <c r="G27" i="62"/>
  <c r="H27" i="62"/>
  <c r="I27" i="62"/>
  <c r="J27" i="62"/>
  <c r="K27" i="62"/>
  <c r="L27" i="62"/>
  <c r="M27" i="62"/>
  <c r="N27" i="62"/>
  <c r="O27" i="62"/>
  <c r="P27" i="62"/>
  <c r="Q27" i="62"/>
  <c r="R27" i="62"/>
  <c r="S27" i="62"/>
  <c r="T27" i="62"/>
  <c r="U27" i="62"/>
  <c r="V27" i="62"/>
  <c r="W27" i="62"/>
  <c r="X27" i="62"/>
  <c r="Y27" i="62"/>
  <c r="Z27" i="62"/>
  <c r="AA27" i="62"/>
  <c r="AB27" i="62"/>
  <c r="AC27" i="62"/>
  <c r="AD27" i="62"/>
  <c r="AE27" i="62"/>
  <c r="AF27" i="62"/>
  <c r="AG27" i="62"/>
  <c r="AH27" i="62"/>
  <c r="AI27" i="62"/>
  <c r="AJ27" i="62"/>
  <c r="AK27" i="62"/>
  <c r="AL27" i="62"/>
  <c r="AM27" i="62"/>
  <c r="AN27" i="62"/>
  <c r="AO27" i="62"/>
  <c r="AP27" i="62"/>
  <c r="AQ27" i="62"/>
  <c r="AR27" i="62"/>
  <c r="AS27" i="62"/>
  <c r="AT27" i="62"/>
  <c r="AU27" i="62"/>
  <c r="AV27" i="62"/>
  <c r="AW27" i="62"/>
  <c r="AX27" i="62"/>
  <c r="AY27" i="62"/>
  <c r="AZ27" i="62"/>
  <c r="BA27" i="62"/>
  <c r="BB27" i="62"/>
  <c r="BC27" i="62"/>
  <c r="BD27" i="62"/>
  <c r="BE27" i="62"/>
  <c r="BF27" i="62"/>
  <c r="BG27" i="62"/>
  <c r="BH27" i="62"/>
  <c r="BI27" i="62"/>
  <c r="BJ27" i="62"/>
  <c r="BK27" i="62"/>
  <c r="BL27" i="62"/>
  <c r="BM27" i="62"/>
  <c r="BN27" i="62"/>
  <c r="BO27" i="62"/>
  <c r="BP27" i="62"/>
  <c r="BQ27" i="62"/>
  <c r="B28" i="62"/>
  <c r="C28" i="62"/>
  <c r="D28" i="62"/>
  <c r="E28" i="62"/>
  <c r="F28" i="62"/>
  <c r="G28" i="62"/>
  <c r="H28" i="62"/>
  <c r="I28" i="62"/>
  <c r="J28" i="62"/>
  <c r="K28" i="62"/>
  <c r="L28" i="62"/>
  <c r="M28" i="62"/>
  <c r="N28" i="62"/>
  <c r="O28" i="62"/>
  <c r="P28" i="62"/>
  <c r="Q28" i="62"/>
  <c r="R28" i="62"/>
  <c r="S28" i="62"/>
  <c r="T28" i="62"/>
  <c r="U28" i="62"/>
  <c r="V28" i="62"/>
  <c r="W28" i="62"/>
  <c r="X28" i="62"/>
  <c r="Y28" i="62"/>
  <c r="Z28" i="62"/>
  <c r="AA28" i="62"/>
  <c r="AB28" i="62"/>
  <c r="AC28" i="62"/>
  <c r="AD28" i="62"/>
  <c r="AE28" i="62"/>
  <c r="AF28" i="62"/>
  <c r="AG28" i="62"/>
  <c r="AH28" i="62"/>
  <c r="AI28" i="62"/>
  <c r="AJ28" i="62"/>
  <c r="AK28" i="62"/>
  <c r="AL28" i="62"/>
  <c r="AM28" i="62"/>
  <c r="AN28" i="62"/>
  <c r="AO28" i="62"/>
  <c r="AP28" i="62"/>
  <c r="AQ28" i="62"/>
  <c r="AR28" i="62"/>
  <c r="AS28" i="62"/>
  <c r="AT28" i="62"/>
  <c r="AU28" i="62"/>
  <c r="AV28" i="62"/>
  <c r="AW28" i="62"/>
  <c r="AX28" i="62"/>
  <c r="AY28" i="62"/>
  <c r="AZ28" i="62"/>
  <c r="BA28" i="62"/>
  <c r="BB28" i="62"/>
  <c r="BC28" i="62"/>
  <c r="BD28" i="62"/>
  <c r="BE28" i="62"/>
  <c r="BF28" i="62"/>
  <c r="BG28" i="62"/>
  <c r="BH28" i="62"/>
  <c r="BI28" i="62"/>
  <c r="BJ28" i="62"/>
  <c r="BK28" i="62"/>
  <c r="BL28" i="62"/>
  <c r="BM28" i="62"/>
  <c r="BN28" i="62"/>
  <c r="BO28" i="62"/>
  <c r="BP28" i="62"/>
  <c r="BQ28" i="62"/>
  <c r="B29" i="62"/>
  <c r="C29" i="62"/>
  <c r="D29" i="62"/>
  <c r="E29" i="62"/>
  <c r="F29" i="62"/>
  <c r="G29" i="62"/>
  <c r="H29" i="62"/>
  <c r="I29" i="62"/>
  <c r="J29" i="62"/>
  <c r="K29" i="62"/>
  <c r="L29" i="62"/>
  <c r="M29" i="62"/>
  <c r="N29" i="62"/>
  <c r="O29" i="62"/>
  <c r="P29" i="62"/>
  <c r="Q29" i="62"/>
  <c r="R29" i="62"/>
  <c r="S29" i="62"/>
  <c r="T29" i="62"/>
  <c r="U29" i="62"/>
  <c r="V29" i="62"/>
  <c r="W29" i="62"/>
  <c r="X29" i="62"/>
  <c r="Y29" i="62"/>
  <c r="Z29" i="62"/>
  <c r="AA29" i="62"/>
  <c r="AB29" i="62"/>
  <c r="AC29" i="62"/>
  <c r="AD29" i="62"/>
  <c r="AE29" i="62"/>
  <c r="AF29" i="62"/>
  <c r="AG29" i="62"/>
  <c r="AH29" i="62"/>
  <c r="AI29" i="62"/>
  <c r="AJ29" i="62"/>
  <c r="AK29" i="62"/>
  <c r="AL29" i="62"/>
  <c r="AM29" i="62"/>
  <c r="AN29" i="62"/>
  <c r="AO29" i="62"/>
  <c r="AP29" i="62"/>
  <c r="AQ29" i="62"/>
  <c r="AR29" i="62"/>
  <c r="AS29" i="62"/>
  <c r="AT29" i="62"/>
  <c r="AU29" i="62"/>
  <c r="AV29" i="62"/>
  <c r="AW29" i="62"/>
  <c r="AX29" i="62"/>
  <c r="AY29" i="62"/>
  <c r="AZ29" i="62"/>
  <c r="BA29" i="62"/>
  <c r="BB29" i="62"/>
  <c r="BC29" i="62"/>
  <c r="BD29" i="62"/>
  <c r="BE29" i="62"/>
  <c r="BF29" i="62"/>
  <c r="BG29" i="62"/>
  <c r="BH29" i="62"/>
  <c r="BI29" i="62"/>
  <c r="BJ29" i="62"/>
  <c r="BK29" i="62"/>
  <c r="BL29" i="62"/>
  <c r="BM29" i="62"/>
  <c r="BN29" i="62"/>
  <c r="BO29" i="62"/>
  <c r="BP29" i="62"/>
  <c r="BQ29" i="62"/>
  <c r="B30" i="62"/>
  <c r="C30" i="62"/>
  <c r="D30" i="62"/>
  <c r="E30" i="62"/>
  <c r="F30" i="62"/>
  <c r="G30" i="62"/>
  <c r="H30" i="62"/>
  <c r="I30" i="62"/>
  <c r="J30" i="62"/>
  <c r="K30" i="62"/>
  <c r="L30" i="62"/>
  <c r="M30" i="62"/>
  <c r="N30" i="62"/>
  <c r="O30" i="62"/>
  <c r="P30" i="62"/>
  <c r="Q30" i="62"/>
  <c r="R30" i="62"/>
  <c r="S30" i="62"/>
  <c r="T30" i="62"/>
  <c r="U30" i="62"/>
  <c r="V30" i="62"/>
  <c r="W30" i="62"/>
  <c r="X30" i="62"/>
  <c r="Y30" i="62"/>
  <c r="Z30" i="62"/>
  <c r="AA30" i="62"/>
  <c r="AB30" i="62"/>
  <c r="AC30" i="62"/>
  <c r="AD30" i="62"/>
  <c r="AE30" i="62"/>
  <c r="AF30" i="62"/>
  <c r="AG30" i="62"/>
  <c r="AH30" i="62"/>
  <c r="AI30" i="62"/>
  <c r="AJ30" i="62"/>
  <c r="AK30" i="62"/>
  <c r="AL30" i="62"/>
  <c r="AM30" i="62"/>
  <c r="AN30" i="62"/>
  <c r="AO30" i="62"/>
  <c r="AP30" i="62"/>
  <c r="AQ30" i="62"/>
  <c r="AR30" i="62"/>
  <c r="AS30" i="62"/>
  <c r="AT30" i="62"/>
  <c r="AU30" i="62"/>
  <c r="AV30" i="62"/>
  <c r="AW30" i="62"/>
  <c r="AX30" i="62"/>
  <c r="AY30" i="62"/>
  <c r="AZ30" i="62"/>
  <c r="BA30" i="62"/>
  <c r="BB30" i="62"/>
  <c r="BC30" i="62"/>
  <c r="BD30" i="62"/>
  <c r="BE30" i="62"/>
  <c r="BF30" i="62"/>
  <c r="BG30" i="62"/>
  <c r="BH30" i="62"/>
  <c r="BI30" i="62"/>
  <c r="BJ30" i="62"/>
  <c r="BK30" i="62"/>
  <c r="BL30" i="62"/>
  <c r="BM30" i="62"/>
  <c r="BN30" i="62"/>
  <c r="BO30" i="62"/>
  <c r="BP30" i="62"/>
  <c r="BQ30" i="62"/>
  <c r="B31" i="62"/>
  <c r="C31" i="62"/>
  <c r="D31" i="62"/>
  <c r="E31" i="62"/>
  <c r="F31" i="62"/>
  <c r="G31" i="62"/>
  <c r="H31" i="62"/>
  <c r="I31" i="62"/>
  <c r="J31" i="62"/>
  <c r="K31" i="62"/>
  <c r="L31" i="62"/>
  <c r="M31" i="62"/>
  <c r="N31" i="62"/>
  <c r="O31" i="62"/>
  <c r="P31" i="62"/>
  <c r="Q31" i="62"/>
  <c r="R31" i="62"/>
  <c r="S31" i="62"/>
  <c r="T31" i="62"/>
  <c r="U31" i="62"/>
  <c r="V31" i="62"/>
  <c r="W31" i="62"/>
  <c r="X31" i="62"/>
  <c r="Y31" i="62"/>
  <c r="Z31" i="62"/>
  <c r="AA31" i="62"/>
  <c r="AB31" i="62"/>
  <c r="AC31" i="62"/>
  <c r="AD31" i="62"/>
  <c r="AE31" i="62"/>
  <c r="AF31" i="62"/>
  <c r="AG31" i="62"/>
  <c r="AH31" i="62"/>
  <c r="AI31" i="62"/>
  <c r="AJ31" i="62"/>
  <c r="AK31" i="62"/>
  <c r="AL31" i="62"/>
  <c r="AM31" i="62"/>
  <c r="AN31" i="62"/>
  <c r="AO31" i="62"/>
  <c r="AP31" i="62"/>
  <c r="AQ31" i="62"/>
  <c r="AR31" i="62"/>
  <c r="AS31" i="62"/>
  <c r="AT31" i="62"/>
  <c r="AU31" i="62"/>
  <c r="AV31" i="62"/>
  <c r="AW31" i="62"/>
  <c r="AX31" i="62"/>
  <c r="AY31" i="62"/>
  <c r="AZ31" i="62"/>
  <c r="BA31" i="62"/>
  <c r="BB31" i="62"/>
  <c r="BC31" i="62"/>
  <c r="BD31" i="62"/>
  <c r="BE31" i="62"/>
  <c r="BF31" i="62"/>
  <c r="BG31" i="62"/>
  <c r="BH31" i="62"/>
  <c r="BI31" i="62"/>
  <c r="BJ31" i="62"/>
  <c r="BK31" i="62"/>
  <c r="BL31" i="62"/>
  <c r="BM31" i="62"/>
  <c r="BN31" i="62"/>
  <c r="BO31" i="62"/>
  <c r="BP31" i="62"/>
  <c r="BQ31" i="62"/>
  <c r="B32" i="62"/>
  <c r="C32" i="62"/>
  <c r="D32" i="62"/>
  <c r="E32" i="62"/>
  <c r="F32" i="62"/>
  <c r="G32" i="62"/>
  <c r="H32" i="62"/>
  <c r="I32" i="62"/>
  <c r="J32" i="62"/>
  <c r="K32" i="62"/>
  <c r="L32" i="62"/>
  <c r="M32" i="62"/>
  <c r="N32" i="62"/>
  <c r="O32" i="62"/>
  <c r="P32" i="62"/>
  <c r="Q32" i="62"/>
  <c r="R32" i="62"/>
  <c r="S32" i="62"/>
  <c r="T32" i="62"/>
  <c r="U32" i="62"/>
  <c r="V32" i="62"/>
  <c r="W32" i="62"/>
  <c r="X32" i="62"/>
  <c r="Y32" i="62"/>
  <c r="Z32" i="62"/>
  <c r="AA32" i="62"/>
  <c r="AB32" i="62"/>
  <c r="AC32" i="62"/>
  <c r="AD32" i="62"/>
  <c r="AE32" i="62"/>
  <c r="AF32" i="62"/>
  <c r="AG32" i="62"/>
  <c r="AH32" i="62"/>
  <c r="AI32" i="62"/>
  <c r="AJ32" i="62"/>
  <c r="AK32" i="62"/>
  <c r="AL32" i="62"/>
  <c r="AM32" i="62"/>
  <c r="AN32" i="62"/>
  <c r="AO32" i="62"/>
  <c r="AP32" i="62"/>
  <c r="AQ32" i="62"/>
  <c r="AR32" i="62"/>
  <c r="AS32" i="62"/>
  <c r="AT32" i="62"/>
  <c r="AU32" i="62"/>
  <c r="AV32" i="62"/>
  <c r="AW32" i="62"/>
  <c r="AX32" i="62"/>
  <c r="AY32" i="62"/>
  <c r="AZ32" i="62"/>
  <c r="BA32" i="62"/>
  <c r="BB32" i="62"/>
  <c r="BC32" i="62"/>
  <c r="BD32" i="62"/>
  <c r="BE32" i="62"/>
  <c r="BF32" i="62"/>
  <c r="BG32" i="62"/>
  <c r="BH32" i="62"/>
  <c r="BI32" i="62"/>
  <c r="BJ32" i="62"/>
  <c r="BK32" i="62"/>
  <c r="BL32" i="62"/>
  <c r="BM32" i="62"/>
  <c r="BN32" i="62"/>
  <c r="BO32" i="62"/>
  <c r="BP32" i="62"/>
  <c r="BQ32" i="62"/>
  <c r="B33" i="62"/>
  <c r="C33" i="62"/>
  <c r="D33" i="62"/>
  <c r="E33" i="62"/>
  <c r="F33" i="62"/>
  <c r="G33" i="62"/>
  <c r="H33" i="62"/>
  <c r="I33" i="62"/>
  <c r="J33" i="62"/>
  <c r="K33" i="62"/>
  <c r="L33" i="62"/>
  <c r="M33" i="62"/>
  <c r="N33" i="62"/>
  <c r="O33" i="62"/>
  <c r="P33" i="62"/>
  <c r="Q33" i="62"/>
  <c r="R33" i="62"/>
  <c r="S33" i="62"/>
  <c r="T33" i="62"/>
  <c r="U33" i="62"/>
  <c r="V33" i="62"/>
  <c r="W33" i="62"/>
  <c r="X33" i="62"/>
  <c r="Y33" i="62"/>
  <c r="Z33" i="62"/>
  <c r="AA33" i="62"/>
  <c r="AB33" i="62"/>
  <c r="AC33" i="62"/>
  <c r="AD33" i="62"/>
  <c r="AE33" i="62"/>
  <c r="AF33" i="62"/>
  <c r="AG33" i="62"/>
  <c r="AH33" i="62"/>
  <c r="AI33" i="62"/>
  <c r="AJ33" i="62"/>
  <c r="AK33" i="62"/>
  <c r="AL33" i="62"/>
  <c r="AM33" i="62"/>
  <c r="AN33" i="62"/>
  <c r="AO33" i="62"/>
  <c r="AP33" i="62"/>
  <c r="AQ33" i="62"/>
  <c r="AR33" i="62"/>
  <c r="AS33" i="62"/>
  <c r="AT33" i="62"/>
  <c r="AU33" i="62"/>
  <c r="AV33" i="62"/>
  <c r="AW33" i="62"/>
  <c r="AX33" i="62"/>
  <c r="AY33" i="62"/>
  <c r="AZ33" i="62"/>
  <c r="BA33" i="62"/>
  <c r="BB33" i="62"/>
  <c r="BC33" i="62"/>
  <c r="BD33" i="62"/>
  <c r="BE33" i="62"/>
  <c r="BF33" i="62"/>
  <c r="BG33" i="62"/>
  <c r="BH33" i="62"/>
  <c r="BI33" i="62"/>
  <c r="BJ33" i="62"/>
  <c r="BK33" i="62"/>
  <c r="BL33" i="62"/>
  <c r="BM33" i="62"/>
  <c r="BN33" i="62"/>
  <c r="BO33" i="62"/>
  <c r="BP33" i="62"/>
  <c r="BQ33" i="62"/>
  <c r="B34" i="62"/>
  <c r="C34" i="62"/>
  <c r="D34" i="62"/>
  <c r="E34" i="62"/>
  <c r="F34" i="62"/>
  <c r="G34" i="62"/>
  <c r="H34" i="62"/>
  <c r="I34" i="62"/>
  <c r="J34" i="62"/>
  <c r="K34" i="62"/>
  <c r="L34" i="62"/>
  <c r="M34" i="62"/>
  <c r="N34" i="62"/>
  <c r="O34" i="62"/>
  <c r="P34" i="62"/>
  <c r="Q34" i="62"/>
  <c r="R34" i="62"/>
  <c r="S34" i="62"/>
  <c r="T34" i="62"/>
  <c r="U34" i="62"/>
  <c r="V34" i="62"/>
  <c r="W34" i="62"/>
  <c r="X34" i="62"/>
  <c r="Y34" i="62"/>
  <c r="Z34" i="62"/>
  <c r="AA34" i="62"/>
  <c r="AB34" i="62"/>
  <c r="AC34" i="62"/>
  <c r="AD34" i="62"/>
  <c r="AE34" i="62"/>
  <c r="AF34" i="62"/>
  <c r="AG34" i="62"/>
  <c r="AH34" i="62"/>
  <c r="AI34" i="62"/>
  <c r="AJ34" i="62"/>
  <c r="AK34" i="62"/>
  <c r="AL34" i="62"/>
  <c r="AM34" i="62"/>
  <c r="AN34" i="62"/>
  <c r="AO34" i="62"/>
  <c r="AP34" i="62"/>
  <c r="AQ34" i="62"/>
  <c r="AR34" i="62"/>
  <c r="AS34" i="62"/>
  <c r="AT34" i="62"/>
  <c r="AU34" i="62"/>
  <c r="AV34" i="62"/>
  <c r="AW34" i="62"/>
  <c r="AX34" i="62"/>
  <c r="AY34" i="62"/>
  <c r="AZ34" i="62"/>
  <c r="BA34" i="62"/>
  <c r="BB34" i="62"/>
  <c r="BC34" i="62"/>
  <c r="BD34" i="62"/>
  <c r="BE34" i="62"/>
  <c r="BF34" i="62"/>
  <c r="BG34" i="62"/>
  <c r="BH34" i="62"/>
  <c r="BI34" i="62"/>
  <c r="BJ34" i="62"/>
  <c r="BK34" i="62"/>
  <c r="BL34" i="62"/>
  <c r="BM34" i="62"/>
  <c r="BN34" i="62"/>
  <c r="BO34" i="62"/>
  <c r="BP34" i="62"/>
  <c r="BQ34" i="62"/>
  <c r="B35" i="62"/>
  <c r="C35" i="62"/>
  <c r="D35" i="62"/>
  <c r="E35" i="62"/>
  <c r="F35" i="62"/>
  <c r="G35" i="62"/>
  <c r="H35" i="62"/>
  <c r="I35" i="62"/>
  <c r="J35" i="62"/>
  <c r="K35" i="62"/>
  <c r="L35" i="62"/>
  <c r="M35" i="62"/>
  <c r="N35" i="62"/>
  <c r="O35" i="62"/>
  <c r="P35" i="62"/>
  <c r="Q35" i="62"/>
  <c r="R35" i="62"/>
  <c r="S35" i="62"/>
  <c r="T35" i="62"/>
  <c r="U35" i="62"/>
  <c r="V35" i="62"/>
  <c r="W35" i="62"/>
  <c r="X35" i="62"/>
  <c r="Y35" i="62"/>
  <c r="Z35" i="62"/>
  <c r="AA35" i="62"/>
  <c r="AB35" i="62"/>
  <c r="AC35" i="62"/>
  <c r="AD35" i="62"/>
  <c r="AE35" i="62"/>
  <c r="AF35" i="62"/>
  <c r="AG35" i="62"/>
  <c r="AH35" i="62"/>
  <c r="AI35" i="62"/>
  <c r="AJ35" i="62"/>
  <c r="AK35" i="62"/>
  <c r="AL35" i="62"/>
  <c r="AM35" i="62"/>
  <c r="AN35" i="62"/>
  <c r="AO35" i="62"/>
  <c r="AP35" i="62"/>
  <c r="AQ35" i="62"/>
  <c r="AR35" i="62"/>
  <c r="AS35" i="62"/>
  <c r="AT35" i="62"/>
  <c r="AU35" i="62"/>
  <c r="AV35" i="62"/>
  <c r="AW35" i="62"/>
  <c r="AX35" i="62"/>
  <c r="AY35" i="62"/>
  <c r="AZ35" i="62"/>
  <c r="BA35" i="62"/>
  <c r="BB35" i="62"/>
  <c r="BC35" i="62"/>
  <c r="BD35" i="62"/>
  <c r="BE35" i="62"/>
  <c r="BF35" i="62"/>
  <c r="BG35" i="62"/>
  <c r="BH35" i="62"/>
  <c r="BI35" i="62"/>
  <c r="BJ35" i="62"/>
  <c r="BK35" i="62"/>
  <c r="BL35" i="62"/>
  <c r="BM35" i="62"/>
  <c r="BN35" i="62"/>
  <c r="BO35" i="62"/>
  <c r="BP35" i="62"/>
  <c r="BQ35" i="62"/>
  <c r="B36" i="62"/>
  <c r="C36" i="62"/>
  <c r="D36" i="62"/>
  <c r="E36" i="62"/>
  <c r="F36" i="62"/>
  <c r="G36" i="62"/>
  <c r="H36" i="62"/>
  <c r="I36" i="62"/>
  <c r="J36" i="62"/>
  <c r="K36" i="62"/>
  <c r="L36" i="62"/>
  <c r="M36" i="62"/>
  <c r="N36" i="62"/>
  <c r="O36" i="62"/>
  <c r="P36" i="62"/>
  <c r="Q36" i="62"/>
  <c r="R36" i="62"/>
  <c r="S36" i="62"/>
  <c r="T36" i="62"/>
  <c r="U36" i="62"/>
  <c r="V36" i="62"/>
  <c r="W36" i="62"/>
  <c r="X36" i="62"/>
  <c r="Y36" i="62"/>
  <c r="Z36" i="62"/>
  <c r="AA36" i="62"/>
  <c r="AB36" i="62"/>
  <c r="AC36" i="62"/>
  <c r="AD36" i="62"/>
  <c r="AE36" i="62"/>
  <c r="AF36" i="62"/>
  <c r="AG36" i="62"/>
  <c r="AH36" i="62"/>
  <c r="AI36" i="62"/>
  <c r="AJ36" i="62"/>
  <c r="AK36" i="62"/>
  <c r="AL36" i="62"/>
  <c r="AM36" i="62"/>
  <c r="AN36" i="62"/>
  <c r="AO36" i="62"/>
  <c r="AP36" i="62"/>
  <c r="AQ36" i="62"/>
  <c r="AR36" i="62"/>
  <c r="AS36" i="62"/>
  <c r="AT36" i="62"/>
  <c r="AU36" i="62"/>
  <c r="AV36" i="62"/>
  <c r="AW36" i="62"/>
  <c r="AX36" i="62"/>
  <c r="AY36" i="62"/>
  <c r="AZ36" i="62"/>
  <c r="BA36" i="62"/>
  <c r="BB36" i="62"/>
  <c r="BC36" i="62"/>
  <c r="BD36" i="62"/>
  <c r="BE36" i="62"/>
  <c r="BF36" i="62"/>
  <c r="BG36" i="62"/>
  <c r="BH36" i="62"/>
  <c r="BI36" i="62"/>
  <c r="BJ36" i="62"/>
  <c r="BK36" i="62"/>
  <c r="BL36" i="62"/>
  <c r="BM36" i="62"/>
  <c r="BN36" i="62"/>
  <c r="BO36" i="62"/>
  <c r="BP36" i="62"/>
  <c r="BQ36" i="62"/>
  <c r="B37" i="62"/>
  <c r="C37" i="62"/>
  <c r="D37" i="62"/>
  <c r="E37" i="62"/>
  <c r="F37" i="62"/>
  <c r="G37" i="62"/>
  <c r="H37" i="62"/>
  <c r="I37" i="62"/>
  <c r="J37" i="62"/>
  <c r="K37" i="62"/>
  <c r="L37" i="62"/>
  <c r="M37" i="62"/>
  <c r="N37" i="62"/>
  <c r="O37" i="62"/>
  <c r="P37" i="62"/>
  <c r="Q37" i="62"/>
  <c r="R37" i="62"/>
  <c r="S37" i="62"/>
  <c r="T37" i="62"/>
  <c r="U37" i="62"/>
  <c r="V37" i="62"/>
  <c r="W37" i="62"/>
  <c r="X37" i="62"/>
  <c r="Y37" i="62"/>
  <c r="Z37" i="62"/>
  <c r="AA37" i="62"/>
  <c r="AB37" i="62"/>
  <c r="AC37" i="62"/>
  <c r="AD37" i="62"/>
  <c r="AE37" i="62"/>
  <c r="AF37" i="62"/>
  <c r="AG37" i="62"/>
  <c r="AH37" i="62"/>
  <c r="AI37" i="62"/>
  <c r="AJ37" i="62"/>
  <c r="AK37" i="62"/>
  <c r="AL37" i="62"/>
  <c r="AM37" i="62"/>
  <c r="AN37" i="62"/>
  <c r="AO37" i="62"/>
  <c r="AP37" i="62"/>
  <c r="AQ37" i="62"/>
  <c r="AR37" i="62"/>
  <c r="AS37" i="62"/>
  <c r="AT37" i="62"/>
  <c r="AU37" i="62"/>
  <c r="AV37" i="62"/>
  <c r="AW37" i="62"/>
  <c r="AX37" i="62"/>
  <c r="AY37" i="62"/>
  <c r="AZ37" i="62"/>
  <c r="BA37" i="62"/>
  <c r="BB37" i="62"/>
  <c r="BC37" i="62"/>
  <c r="BD37" i="62"/>
  <c r="BE37" i="62"/>
  <c r="BF37" i="62"/>
  <c r="BG37" i="62"/>
  <c r="BH37" i="62"/>
  <c r="BI37" i="62"/>
  <c r="BJ37" i="62"/>
  <c r="BK37" i="62"/>
  <c r="BL37" i="62"/>
  <c r="BM37" i="62"/>
  <c r="BN37" i="62"/>
  <c r="BO37" i="62"/>
  <c r="BP37" i="62"/>
  <c r="BQ37" i="62"/>
  <c r="B38" i="62"/>
  <c r="C38" i="62"/>
  <c r="D38" i="62"/>
  <c r="E38" i="62"/>
  <c r="F38" i="62"/>
  <c r="G38" i="62"/>
  <c r="H38" i="62"/>
  <c r="I38" i="62"/>
  <c r="J38" i="62"/>
  <c r="K38" i="62"/>
  <c r="L38" i="62"/>
  <c r="M38" i="62"/>
  <c r="N38" i="62"/>
  <c r="O38" i="62"/>
  <c r="P38" i="62"/>
  <c r="Q38" i="62"/>
  <c r="R38" i="62"/>
  <c r="S38" i="62"/>
  <c r="T38" i="62"/>
  <c r="U38" i="62"/>
  <c r="V38" i="62"/>
  <c r="W38" i="62"/>
  <c r="X38" i="62"/>
  <c r="Y38" i="62"/>
  <c r="Z38" i="62"/>
  <c r="AA38" i="62"/>
  <c r="AB38" i="62"/>
  <c r="AC38" i="62"/>
  <c r="AD38" i="62"/>
  <c r="AE38" i="62"/>
  <c r="AF38" i="62"/>
  <c r="AG38" i="62"/>
  <c r="AH38" i="62"/>
  <c r="AI38" i="62"/>
  <c r="AJ38" i="62"/>
  <c r="AK38" i="62"/>
  <c r="AL38" i="62"/>
  <c r="AM38" i="62"/>
  <c r="AN38" i="62"/>
  <c r="AO38" i="62"/>
  <c r="AP38" i="62"/>
  <c r="AQ38" i="62"/>
  <c r="AR38" i="62"/>
  <c r="AS38" i="62"/>
  <c r="AT38" i="62"/>
  <c r="AU38" i="62"/>
  <c r="AV38" i="62"/>
  <c r="AW38" i="62"/>
  <c r="AX38" i="62"/>
  <c r="AY38" i="62"/>
  <c r="AZ38" i="62"/>
  <c r="BA38" i="62"/>
  <c r="BB38" i="62"/>
  <c r="BC38" i="62"/>
  <c r="BD38" i="62"/>
  <c r="BE38" i="62"/>
  <c r="BF38" i="62"/>
  <c r="BG38" i="62"/>
  <c r="BH38" i="62"/>
  <c r="BI38" i="62"/>
  <c r="BJ38" i="62"/>
  <c r="BK38" i="62"/>
  <c r="BL38" i="62"/>
  <c r="BM38" i="62"/>
  <c r="BN38" i="62"/>
  <c r="BO38" i="62"/>
  <c r="BP38" i="62"/>
  <c r="BQ38" i="62"/>
  <c r="B39" i="62"/>
  <c r="C39" i="62"/>
  <c r="D39" i="62"/>
  <c r="E39" i="62"/>
  <c r="F39" i="62"/>
  <c r="G39" i="62"/>
  <c r="H39" i="62"/>
  <c r="I39" i="62"/>
  <c r="J39" i="62"/>
  <c r="K39" i="62"/>
  <c r="L39" i="62"/>
  <c r="M39" i="62"/>
  <c r="N39" i="62"/>
  <c r="O39" i="62"/>
  <c r="P39" i="62"/>
  <c r="Q39" i="62"/>
  <c r="R39" i="62"/>
  <c r="S39" i="62"/>
  <c r="T39" i="62"/>
  <c r="U39" i="62"/>
  <c r="V39" i="62"/>
  <c r="W39" i="62"/>
  <c r="X39" i="62"/>
  <c r="Y39" i="62"/>
  <c r="Z39" i="62"/>
  <c r="AA39" i="62"/>
  <c r="AB39" i="62"/>
  <c r="AC39" i="62"/>
  <c r="AD39" i="62"/>
  <c r="AE39" i="62"/>
  <c r="AF39" i="62"/>
  <c r="AG39" i="62"/>
  <c r="AH39" i="62"/>
  <c r="AI39" i="62"/>
  <c r="AJ39" i="62"/>
  <c r="AK39" i="62"/>
  <c r="AL39" i="62"/>
  <c r="AM39" i="62"/>
  <c r="AN39" i="62"/>
  <c r="AO39" i="62"/>
  <c r="AP39" i="62"/>
  <c r="AQ39" i="62"/>
  <c r="AR39" i="62"/>
  <c r="AS39" i="62"/>
  <c r="AT39" i="62"/>
  <c r="AU39" i="62"/>
  <c r="AV39" i="62"/>
  <c r="AW39" i="62"/>
  <c r="AX39" i="62"/>
  <c r="AY39" i="62"/>
  <c r="AZ39" i="62"/>
  <c r="BA39" i="62"/>
  <c r="BB39" i="62"/>
  <c r="BC39" i="62"/>
  <c r="BD39" i="62"/>
  <c r="BE39" i="62"/>
  <c r="BF39" i="62"/>
  <c r="BG39" i="62"/>
  <c r="BH39" i="62"/>
  <c r="BI39" i="62"/>
  <c r="BJ39" i="62"/>
  <c r="BK39" i="62"/>
  <c r="BL39" i="62"/>
  <c r="BM39" i="62"/>
  <c r="BN39" i="62"/>
  <c r="BO39" i="62"/>
  <c r="BP39" i="62"/>
  <c r="BQ39" i="62"/>
  <c r="B40" i="62"/>
  <c r="C40" i="62"/>
  <c r="D40" i="62"/>
  <c r="E40" i="62"/>
  <c r="F40" i="62"/>
  <c r="G40" i="62"/>
  <c r="H40" i="62"/>
  <c r="I40" i="62"/>
  <c r="J40" i="62"/>
  <c r="K40" i="62"/>
  <c r="L40" i="62"/>
  <c r="M40" i="62"/>
  <c r="N40" i="62"/>
  <c r="O40" i="62"/>
  <c r="P40" i="62"/>
  <c r="Q40" i="62"/>
  <c r="R40" i="62"/>
  <c r="S40" i="62"/>
  <c r="T40" i="62"/>
  <c r="U40" i="62"/>
  <c r="V40" i="62"/>
  <c r="W40" i="62"/>
  <c r="X40" i="62"/>
  <c r="Y40" i="62"/>
  <c r="Z40" i="62"/>
  <c r="AA40" i="62"/>
  <c r="AB40" i="62"/>
  <c r="AC40" i="62"/>
  <c r="AD40" i="62"/>
  <c r="AE40" i="62"/>
  <c r="AF40" i="62"/>
  <c r="AG40" i="62"/>
  <c r="AH40" i="62"/>
  <c r="AI40" i="62"/>
  <c r="AJ40" i="62"/>
  <c r="AK40" i="62"/>
  <c r="AL40" i="62"/>
  <c r="AM40" i="62"/>
  <c r="AN40" i="62"/>
  <c r="AO40" i="62"/>
  <c r="AP40" i="62"/>
  <c r="AQ40" i="62"/>
  <c r="AR40" i="62"/>
  <c r="AS40" i="62"/>
  <c r="AT40" i="62"/>
  <c r="AU40" i="62"/>
  <c r="AV40" i="62"/>
  <c r="AW40" i="62"/>
  <c r="AX40" i="62"/>
  <c r="AY40" i="62"/>
  <c r="AZ40" i="62"/>
  <c r="BA40" i="62"/>
  <c r="BB40" i="62"/>
  <c r="BC40" i="62"/>
  <c r="BD40" i="62"/>
  <c r="BE40" i="62"/>
  <c r="BF40" i="62"/>
  <c r="BG40" i="62"/>
  <c r="BH40" i="62"/>
  <c r="BI40" i="62"/>
  <c r="BJ40" i="62"/>
  <c r="BK40" i="62"/>
  <c r="BL40" i="62"/>
  <c r="BM40" i="62"/>
  <c r="BN40" i="62"/>
  <c r="BO40" i="62"/>
  <c r="BP40" i="62"/>
  <c r="BQ40" i="62"/>
  <c r="B41" i="62"/>
  <c r="C41" i="62"/>
  <c r="D41" i="62"/>
  <c r="E41" i="62"/>
  <c r="F41" i="62"/>
  <c r="G41" i="62"/>
  <c r="H41" i="62"/>
  <c r="I41" i="62"/>
  <c r="J41" i="62"/>
  <c r="K41" i="62"/>
  <c r="L41" i="62"/>
  <c r="M41" i="62"/>
  <c r="N41" i="62"/>
  <c r="O41" i="62"/>
  <c r="P41" i="62"/>
  <c r="Q41" i="62"/>
  <c r="R41" i="62"/>
  <c r="S41" i="62"/>
  <c r="T41" i="62"/>
  <c r="U41" i="62"/>
  <c r="V41" i="62"/>
  <c r="W41" i="62"/>
  <c r="X41" i="62"/>
  <c r="Y41" i="62"/>
  <c r="Z41" i="62"/>
  <c r="AA41" i="62"/>
  <c r="AB41" i="62"/>
  <c r="AC41" i="62"/>
  <c r="AD41" i="62"/>
  <c r="AE41" i="62"/>
  <c r="AF41" i="62"/>
  <c r="AG41" i="62"/>
  <c r="AH41" i="62"/>
  <c r="AI41" i="62"/>
  <c r="AJ41" i="62"/>
  <c r="AK41" i="62"/>
  <c r="AL41" i="62"/>
  <c r="AM41" i="62"/>
  <c r="AN41" i="62"/>
  <c r="AO41" i="62"/>
  <c r="AP41" i="62"/>
  <c r="AQ41" i="62"/>
  <c r="AR41" i="62"/>
  <c r="AS41" i="62"/>
  <c r="AT41" i="62"/>
  <c r="AU41" i="62"/>
  <c r="AV41" i="62"/>
  <c r="AW41" i="62"/>
  <c r="AX41" i="62"/>
  <c r="AY41" i="62"/>
  <c r="AZ41" i="62"/>
  <c r="BA41" i="62"/>
  <c r="BB41" i="62"/>
  <c r="BC41" i="62"/>
  <c r="BD41" i="62"/>
  <c r="BE41" i="62"/>
  <c r="BF41" i="62"/>
  <c r="BG41" i="62"/>
  <c r="BH41" i="62"/>
  <c r="BI41" i="62"/>
  <c r="BJ41" i="62"/>
  <c r="BK41" i="62"/>
  <c r="BL41" i="62"/>
  <c r="BM41" i="62"/>
  <c r="BN41" i="62"/>
  <c r="BO41" i="62"/>
  <c r="BP41" i="62"/>
  <c r="BQ41" i="62"/>
  <c r="B42" i="62"/>
  <c r="C42" i="62"/>
  <c r="D42" i="62"/>
  <c r="E42" i="62"/>
  <c r="F42" i="62"/>
  <c r="G42" i="62"/>
  <c r="H42" i="62"/>
  <c r="I42" i="62"/>
  <c r="J42" i="62"/>
  <c r="K42" i="62"/>
  <c r="L42" i="62"/>
  <c r="M42" i="62"/>
  <c r="N42" i="62"/>
  <c r="O42" i="62"/>
  <c r="P42" i="62"/>
  <c r="Q42" i="62"/>
  <c r="R42" i="62"/>
  <c r="S42" i="62"/>
  <c r="T42" i="62"/>
  <c r="U42" i="62"/>
  <c r="V42" i="62"/>
  <c r="W42" i="62"/>
  <c r="X42" i="62"/>
  <c r="Y42" i="62"/>
  <c r="Z42" i="62"/>
  <c r="AA42" i="62"/>
  <c r="AB42" i="62"/>
  <c r="AC42" i="62"/>
  <c r="AD42" i="62"/>
  <c r="AE42" i="62"/>
  <c r="AF42" i="62"/>
  <c r="AG42" i="62"/>
  <c r="AH42" i="62"/>
  <c r="AI42" i="62"/>
  <c r="AJ42" i="62"/>
  <c r="AK42" i="62"/>
  <c r="AL42" i="62"/>
  <c r="AM42" i="62"/>
  <c r="AN42" i="62"/>
  <c r="AO42" i="62"/>
  <c r="AP42" i="62"/>
  <c r="AQ42" i="62"/>
  <c r="AR42" i="62"/>
  <c r="AS42" i="62"/>
  <c r="AT42" i="62"/>
  <c r="AU42" i="62"/>
  <c r="AV42" i="62"/>
  <c r="AW42" i="62"/>
  <c r="AX42" i="62"/>
  <c r="AY42" i="62"/>
  <c r="AZ42" i="62"/>
  <c r="BA42" i="62"/>
  <c r="BB42" i="62"/>
  <c r="BC42" i="62"/>
  <c r="BD42" i="62"/>
  <c r="BE42" i="62"/>
  <c r="BF42" i="62"/>
  <c r="BG42" i="62"/>
  <c r="BH42" i="62"/>
  <c r="BI42" i="62"/>
  <c r="BJ42" i="62"/>
  <c r="BK42" i="62"/>
  <c r="BL42" i="62"/>
  <c r="BM42" i="62"/>
  <c r="BN42" i="62"/>
  <c r="BO42" i="62"/>
  <c r="BP42" i="62"/>
  <c r="BQ42" i="62"/>
  <c r="B43" i="62"/>
  <c r="C43" i="62"/>
  <c r="D43" i="62"/>
  <c r="E43" i="62"/>
  <c r="F43" i="62"/>
  <c r="G43" i="62"/>
  <c r="H43" i="62"/>
  <c r="I43" i="62"/>
  <c r="J43" i="62"/>
  <c r="K43" i="62"/>
  <c r="L43" i="62"/>
  <c r="M43" i="62"/>
  <c r="N43" i="62"/>
  <c r="O43" i="62"/>
  <c r="P43" i="62"/>
  <c r="Q43" i="62"/>
  <c r="R43" i="62"/>
  <c r="S43" i="62"/>
  <c r="T43" i="62"/>
  <c r="U43" i="62"/>
  <c r="V43" i="62"/>
  <c r="W43" i="62"/>
  <c r="X43" i="62"/>
  <c r="Y43" i="62"/>
  <c r="Z43" i="62"/>
  <c r="AA43" i="62"/>
  <c r="AB43" i="62"/>
  <c r="AC43" i="62"/>
  <c r="AD43" i="62"/>
  <c r="AE43" i="62"/>
  <c r="AF43" i="62"/>
  <c r="AG43" i="62"/>
  <c r="AH43" i="62"/>
  <c r="AI43" i="62"/>
  <c r="AJ43" i="62"/>
  <c r="AK43" i="62"/>
  <c r="AL43" i="62"/>
  <c r="AM43" i="62"/>
  <c r="AN43" i="62"/>
  <c r="AO43" i="62"/>
  <c r="AP43" i="62"/>
  <c r="AQ43" i="62"/>
  <c r="AR43" i="62"/>
  <c r="AS43" i="62"/>
  <c r="AT43" i="62"/>
  <c r="AU43" i="62"/>
  <c r="AV43" i="62"/>
  <c r="AW43" i="62"/>
  <c r="AX43" i="62"/>
  <c r="AY43" i="62"/>
  <c r="AZ43" i="62"/>
  <c r="BA43" i="62"/>
  <c r="BB43" i="62"/>
  <c r="BC43" i="62"/>
  <c r="BD43" i="62"/>
  <c r="BE43" i="62"/>
  <c r="BF43" i="62"/>
  <c r="BG43" i="62"/>
  <c r="BH43" i="62"/>
  <c r="BI43" i="62"/>
  <c r="BJ43" i="62"/>
  <c r="BK43" i="62"/>
  <c r="BL43" i="62"/>
  <c r="BM43" i="62"/>
  <c r="BN43" i="62"/>
  <c r="BO43" i="62"/>
  <c r="BP43" i="62"/>
  <c r="BQ43" i="62"/>
  <c r="B44" i="62"/>
  <c r="C44" i="62"/>
  <c r="D44" i="62"/>
  <c r="E44" i="62"/>
  <c r="F44" i="62"/>
  <c r="G44" i="62"/>
  <c r="H44" i="62"/>
  <c r="I44" i="62"/>
  <c r="J44" i="62"/>
  <c r="K44" i="62"/>
  <c r="L44" i="62"/>
  <c r="M44" i="62"/>
  <c r="N44" i="62"/>
  <c r="O44" i="62"/>
  <c r="P44" i="62"/>
  <c r="Q44" i="62"/>
  <c r="R44" i="62"/>
  <c r="S44" i="62"/>
  <c r="T44" i="62"/>
  <c r="U44" i="62"/>
  <c r="V44" i="62"/>
  <c r="W44" i="62"/>
  <c r="X44" i="62"/>
  <c r="Y44" i="62"/>
  <c r="Z44" i="62"/>
  <c r="AA44" i="62"/>
  <c r="AB44" i="62"/>
  <c r="AC44" i="62"/>
  <c r="AD44" i="62"/>
  <c r="AE44" i="62"/>
  <c r="AF44" i="62"/>
  <c r="AG44" i="62"/>
  <c r="AH44" i="62"/>
  <c r="AI44" i="62"/>
  <c r="AJ44" i="62"/>
  <c r="AK44" i="62"/>
  <c r="AL44" i="62"/>
  <c r="AM44" i="62"/>
  <c r="AN44" i="62"/>
  <c r="AO44" i="62"/>
  <c r="AP44" i="62"/>
  <c r="AQ44" i="62"/>
  <c r="AR44" i="62"/>
  <c r="AS44" i="62"/>
  <c r="AT44" i="62"/>
  <c r="AU44" i="62"/>
  <c r="AV44" i="62"/>
  <c r="AW44" i="62"/>
  <c r="AX44" i="62"/>
  <c r="AY44" i="62"/>
  <c r="AZ44" i="62"/>
  <c r="BA44" i="62"/>
  <c r="BB44" i="62"/>
  <c r="BC44" i="62"/>
  <c r="BD44" i="62"/>
  <c r="BE44" i="62"/>
  <c r="BF44" i="62"/>
  <c r="BG44" i="62"/>
  <c r="BH44" i="62"/>
  <c r="BI44" i="62"/>
  <c r="BJ44" i="62"/>
  <c r="BK44" i="62"/>
  <c r="BL44" i="62"/>
  <c r="BM44" i="62"/>
  <c r="BN44" i="62"/>
  <c r="BO44" i="62"/>
  <c r="BP44" i="62"/>
  <c r="BQ44" i="62"/>
  <c r="B45" i="62"/>
  <c r="C45" i="62"/>
  <c r="D45" i="62"/>
  <c r="E45" i="62"/>
  <c r="F45" i="62"/>
  <c r="G45" i="62"/>
  <c r="H45" i="62"/>
  <c r="I45" i="62"/>
  <c r="J45" i="62"/>
  <c r="K45" i="62"/>
  <c r="L45" i="62"/>
  <c r="M45" i="62"/>
  <c r="N45" i="62"/>
  <c r="O45" i="62"/>
  <c r="P45" i="62"/>
  <c r="Q45" i="62"/>
  <c r="R45" i="62"/>
  <c r="S45" i="62"/>
  <c r="T45" i="62"/>
  <c r="U45" i="62"/>
  <c r="V45" i="62"/>
  <c r="W45" i="62"/>
  <c r="X45" i="62"/>
  <c r="Y45" i="62"/>
  <c r="Z45" i="62"/>
  <c r="AA45" i="62"/>
  <c r="AB45" i="62"/>
  <c r="AC45" i="62"/>
  <c r="AD45" i="62"/>
  <c r="AE45" i="62"/>
  <c r="AF45" i="62"/>
  <c r="AG45" i="62"/>
  <c r="AH45" i="62"/>
  <c r="AI45" i="62"/>
  <c r="AJ45" i="62"/>
  <c r="AK45" i="62"/>
  <c r="AL45" i="62"/>
  <c r="AM45" i="62"/>
  <c r="AN45" i="62"/>
  <c r="AO45" i="62"/>
  <c r="AP45" i="62"/>
  <c r="AQ45" i="62"/>
  <c r="AR45" i="62"/>
  <c r="AS45" i="62"/>
  <c r="AT45" i="62"/>
  <c r="AU45" i="62"/>
  <c r="AV45" i="62"/>
  <c r="AW45" i="62"/>
  <c r="AX45" i="62"/>
  <c r="AY45" i="62"/>
  <c r="AZ45" i="62"/>
  <c r="BA45" i="62"/>
  <c r="BB45" i="62"/>
  <c r="BC45" i="62"/>
  <c r="BD45" i="62"/>
  <c r="BE45" i="62"/>
  <c r="BF45" i="62"/>
  <c r="BG45" i="62"/>
  <c r="BH45" i="62"/>
  <c r="BI45" i="62"/>
  <c r="BJ45" i="62"/>
  <c r="BK45" i="62"/>
  <c r="BL45" i="62"/>
  <c r="BM45" i="62"/>
  <c r="BN45" i="62"/>
  <c r="BO45" i="62"/>
  <c r="BP45" i="62"/>
  <c r="BQ45" i="62"/>
  <c r="B46" i="62"/>
  <c r="C46" i="62"/>
  <c r="D46" i="62"/>
  <c r="E46" i="62"/>
  <c r="F46" i="62"/>
  <c r="G46" i="62"/>
  <c r="H46" i="62"/>
  <c r="I46" i="62"/>
  <c r="J46" i="62"/>
  <c r="K46" i="62"/>
  <c r="L46" i="62"/>
  <c r="M46" i="62"/>
  <c r="N46" i="62"/>
  <c r="O46" i="62"/>
  <c r="P46" i="62"/>
  <c r="Q46" i="62"/>
  <c r="R46" i="62"/>
  <c r="S46" i="62"/>
  <c r="T46" i="62"/>
  <c r="U46" i="62"/>
  <c r="V46" i="62"/>
  <c r="W46" i="62"/>
  <c r="X46" i="62"/>
  <c r="Y46" i="62"/>
  <c r="Z46" i="62"/>
  <c r="AA46" i="62"/>
  <c r="AB46" i="62"/>
  <c r="AC46" i="62"/>
  <c r="AD46" i="62"/>
  <c r="AE46" i="62"/>
  <c r="AF46" i="62"/>
  <c r="AG46" i="62"/>
  <c r="AH46" i="62"/>
  <c r="AI46" i="62"/>
  <c r="AJ46" i="62"/>
  <c r="AK46" i="62"/>
  <c r="AL46" i="62"/>
  <c r="AM46" i="62"/>
  <c r="AN46" i="62"/>
  <c r="AO46" i="62"/>
  <c r="AP46" i="62"/>
  <c r="AQ46" i="62"/>
  <c r="AR46" i="62"/>
  <c r="AS46" i="62"/>
  <c r="AT46" i="62"/>
  <c r="AU46" i="62"/>
  <c r="AV46" i="62"/>
  <c r="AW46" i="62"/>
  <c r="AX46" i="62"/>
  <c r="AY46" i="62"/>
  <c r="AZ46" i="62"/>
  <c r="BA46" i="62"/>
  <c r="BB46" i="62"/>
  <c r="BC46" i="62"/>
  <c r="BD46" i="62"/>
  <c r="BE46" i="62"/>
  <c r="BF46" i="62"/>
  <c r="BG46" i="62"/>
  <c r="BH46" i="62"/>
  <c r="BI46" i="62"/>
  <c r="BJ46" i="62"/>
  <c r="BK46" i="62"/>
  <c r="BL46" i="62"/>
  <c r="BM46" i="62"/>
  <c r="BN46" i="62"/>
  <c r="BO46" i="62"/>
  <c r="BP46" i="62"/>
  <c r="BQ46" i="62"/>
  <c r="B47" i="62"/>
  <c r="C47" i="62"/>
  <c r="D47" i="62"/>
  <c r="E47" i="62"/>
  <c r="F47" i="62"/>
  <c r="G47" i="62"/>
  <c r="H47" i="62"/>
  <c r="I47" i="62"/>
  <c r="J47" i="62"/>
  <c r="K47" i="62"/>
  <c r="L47" i="62"/>
  <c r="M47" i="62"/>
  <c r="N47" i="62"/>
  <c r="O47" i="62"/>
  <c r="P47" i="62"/>
  <c r="Q47" i="62"/>
  <c r="R47" i="62"/>
  <c r="S47" i="62"/>
  <c r="T47" i="62"/>
  <c r="U47" i="62"/>
  <c r="V47" i="62"/>
  <c r="W47" i="62"/>
  <c r="X47" i="62"/>
  <c r="Y47" i="62"/>
  <c r="Z47" i="62"/>
  <c r="AA47" i="62"/>
  <c r="AB47" i="62"/>
  <c r="AC47" i="62"/>
  <c r="AD47" i="62"/>
  <c r="AE47" i="62"/>
  <c r="AF47" i="62"/>
  <c r="AG47" i="62"/>
  <c r="AH47" i="62"/>
  <c r="AI47" i="62"/>
  <c r="AJ47" i="62"/>
  <c r="AK47" i="62"/>
  <c r="AL47" i="62"/>
  <c r="AM47" i="62"/>
  <c r="AN47" i="62"/>
  <c r="AO47" i="62"/>
  <c r="AP47" i="62"/>
  <c r="AQ47" i="62"/>
  <c r="AR47" i="62"/>
  <c r="AS47" i="62"/>
  <c r="AT47" i="62"/>
  <c r="AU47" i="62"/>
  <c r="AV47" i="62"/>
  <c r="AW47" i="62"/>
  <c r="AX47" i="62"/>
  <c r="AY47" i="62"/>
  <c r="AZ47" i="62"/>
  <c r="BA47" i="62"/>
  <c r="BB47" i="62"/>
  <c r="BC47" i="62"/>
  <c r="BD47" i="62"/>
  <c r="BE47" i="62"/>
  <c r="BF47" i="62"/>
  <c r="BG47" i="62"/>
  <c r="BH47" i="62"/>
  <c r="BI47" i="62"/>
  <c r="BJ47" i="62"/>
  <c r="BK47" i="62"/>
  <c r="BL47" i="62"/>
  <c r="BM47" i="62"/>
  <c r="BN47" i="62"/>
  <c r="BO47" i="62"/>
  <c r="BP47" i="62"/>
  <c r="BQ47" i="62"/>
  <c r="B48" i="62"/>
  <c r="C48" i="62"/>
  <c r="D48" i="62"/>
  <c r="E48" i="62"/>
  <c r="F48" i="62"/>
  <c r="G48" i="62"/>
  <c r="H48" i="62"/>
  <c r="I48" i="62"/>
  <c r="J48" i="62"/>
  <c r="K48" i="62"/>
  <c r="L48" i="62"/>
  <c r="M48" i="62"/>
  <c r="N48" i="62"/>
  <c r="O48" i="62"/>
  <c r="P48" i="62"/>
  <c r="Q48" i="62"/>
  <c r="R48" i="62"/>
  <c r="S48" i="62"/>
  <c r="T48" i="62"/>
  <c r="U48" i="62"/>
  <c r="V48" i="62"/>
  <c r="W48" i="62"/>
  <c r="X48" i="62"/>
  <c r="Y48" i="62"/>
  <c r="Z48" i="62"/>
  <c r="AA48" i="62"/>
  <c r="AB48" i="62"/>
  <c r="AC48" i="62"/>
  <c r="AD48" i="62"/>
  <c r="AE48" i="62"/>
  <c r="AF48" i="62"/>
  <c r="AG48" i="62"/>
  <c r="AH48" i="62"/>
  <c r="AI48" i="62"/>
  <c r="AJ48" i="62"/>
  <c r="AK48" i="62"/>
  <c r="AL48" i="62"/>
  <c r="AM48" i="62"/>
  <c r="AN48" i="62"/>
  <c r="AO48" i="62"/>
  <c r="AP48" i="62"/>
  <c r="AQ48" i="62"/>
  <c r="AR48" i="62"/>
  <c r="AS48" i="62"/>
  <c r="AT48" i="62"/>
  <c r="AU48" i="62"/>
  <c r="AV48" i="62"/>
  <c r="AW48" i="62"/>
  <c r="AX48" i="62"/>
  <c r="AY48" i="62"/>
  <c r="AZ48" i="62"/>
  <c r="BA48" i="62"/>
  <c r="BB48" i="62"/>
  <c r="BC48" i="62"/>
  <c r="BD48" i="62"/>
  <c r="BE48" i="62"/>
  <c r="BF48" i="62"/>
  <c r="BG48" i="62"/>
  <c r="BH48" i="62"/>
  <c r="BI48" i="62"/>
  <c r="BJ48" i="62"/>
  <c r="BK48" i="62"/>
  <c r="BL48" i="62"/>
  <c r="BM48" i="62"/>
  <c r="BN48" i="62"/>
  <c r="BO48" i="62"/>
  <c r="BP48" i="62"/>
  <c r="BQ48" i="62"/>
  <c r="B49" i="62"/>
  <c r="C49" i="62"/>
  <c r="D49" i="62"/>
  <c r="E49" i="62"/>
  <c r="F49" i="62"/>
  <c r="G49" i="62"/>
  <c r="H49" i="62"/>
  <c r="I49" i="62"/>
  <c r="J49" i="62"/>
  <c r="K49" i="62"/>
  <c r="L49" i="62"/>
  <c r="M49" i="62"/>
  <c r="N49" i="62"/>
  <c r="O49" i="62"/>
  <c r="P49" i="62"/>
  <c r="Q49" i="62"/>
  <c r="R49" i="62"/>
  <c r="S49" i="62"/>
  <c r="T49" i="62"/>
  <c r="U49" i="62"/>
  <c r="V49" i="62"/>
  <c r="W49" i="62"/>
  <c r="X49" i="62"/>
  <c r="Y49" i="62"/>
  <c r="Z49" i="62"/>
  <c r="AA49" i="62"/>
  <c r="AB49" i="62"/>
  <c r="AC49" i="62"/>
  <c r="AD49" i="62"/>
  <c r="AE49" i="62"/>
  <c r="AF49" i="62"/>
  <c r="AG49" i="62"/>
  <c r="AH49" i="62"/>
  <c r="AI49" i="62"/>
  <c r="AJ49" i="62"/>
  <c r="AK49" i="62"/>
  <c r="AL49" i="62"/>
  <c r="AM49" i="62"/>
  <c r="AN49" i="62"/>
  <c r="AO49" i="62"/>
  <c r="AP49" i="62"/>
  <c r="AQ49" i="62"/>
  <c r="AR49" i="62"/>
  <c r="AS49" i="62"/>
  <c r="AT49" i="62"/>
  <c r="AU49" i="62"/>
  <c r="AV49" i="62"/>
  <c r="AW49" i="62"/>
  <c r="AX49" i="62"/>
  <c r="AY49" i="62"/>
  <c r="AZ49" i="62"/>
  <c r="BA49" i="62"/>
  <c r="BB49" i="62"/>
  <c r="BC49" i="62"/>
  <c r="BD49" i="62"/>
  <c r="BE49" i="62"/>
  <c r="BF49" i="62"/>
  <c r="BG49" i="62"/>
  <c r="BH49" i="62"/>
  <c r="BI49" i="62"/>
  <c r="BJ49" i="62"/>
  <c r="BK49" i="62"/>
  <c r="BL49" i="62"/>
  <c r="BM49" i="62"/>
  <c r="BN49" i="62"/>
  <c r="BO49" i="62"/>
  <c r="BP49" i="62"/>
  <c r="BQ49" i="62"/>
  <c r="B50" i="62"/>
  <c r="C50" i="62"/>
  <c r="D50" i="62"/>
  <c r="E50" i="62"/>
  <c r="F50" i="62"/>
  <c r="G50" i="62"/>
  <c r="H50" i="62"/>
  <c r="I50" i="62"/>
  <c r="J50" i="62"/>
  <c r="K50" i="62"/>
  <c r="L50" i="62"/>
  <c r="M50" i="62"/>
  <c r="N50" i="62"/>
  <c r="O50" i="62"/>
  <c r="P50" i="62"/>
  <c r="Q50" i="62"/>
  <c r="R50" i="62"/>
  <c r="S50" i="62"/>
  <c r="T50" i="62"/>
  <c r="U50" i="62"/>
  <c r="V50" i="62"/>
  <c r="W50" i="62"/>
  <c r="X50" i="62"/>
  <c r="Y50" i="62"/>
  <c r="Z50" i="62"/>
  <c r="AA50" i="62"/>
  <c r="AB50" i="62"/>
  <c r="AC50" i="62"/>
  <c r="AD50" i="62"/>
  <c r="AE50" i="62"/>
  <c r="AF50" i="62"/>
  <c r="AG50" i="62"/>
  <c r="AH50" i="62"/>
  <c r="AI50" i="62"/>
  <c r="AJ50" i="62"/>
  <c r="AK50" i="62"/>
  <c r="AL50" i="62"/>
  <c r="AM50" i="62"/>
  <c r="AN50" i="62"/>
  <c r="AO50" i="62"/>
  <c r="AP50" i="62"/>
  <c r="AQ50" i="62"/>
  <c r="AR50" i="62"/>
  <c r="AS50" i="62"/>
  <c r="AT50" i="62"/>
  <c r="AU50" i="62"/>
  <c r="AV50" i="62"/>
  <c r="AW50" i="62"/>
  <c r="AX50" i="62"/>
  <c r="AY50" i="62"/>
  <c r="AZ50" i="62"/>
  <c r="BA50" i="62"/>
  <c r="BB50" i="62"/>
  <c r="BC50" i="62"/>
  <c r="BD50" i="62"/>
  <c r="BE50" i="62"/>
  <c r="BF50" i="62"/>
  <c r="BG50" i="62"/>
  <c r="BH50" i="62"/>
  <c r="BI50" i="62"/>
  <c r="BJ50" i="62"/>
  <c r="BK50" i="62"/>
  <c r="BL50" i="62"/>
  <c r="BM50" i="62"/>
  <c r="BN50" i="62"/>
  <c r="BO50" i="62"/>
  <c r="BP50" i="62"/>
  <c r="BQ50" i="62"/>
  <c r="B51" i="62"/>
  <c r="C51" i="62"/>
  <c r="D51" i="62"/>
  <c r="E51" i="62"/>
  <c r="F51" i="62"/>
  <c r="G51" i="62"/>
  <c r="H51" i="62"/>
  <c r="I51" i="62"/>
  <c r="J51" i="62"/>
  <c r="K51" i="62"/>
  <c r="L51" i="62"/>
  <c r="M51" i="62"/>
  <c r="N51" i="62"/>
  <c r="O51" i="62"/>
  <c r="P51" i="62"/>
  <c r="Q51" i="62"/>
  <c r="R51" i="62"/>
  <c r="S51" i="62"/>
  <c r="T51" i="62"/>
  <c r="U51" i="62"/>
  <c r="V51" i="62"/>
  <c r="W51" i="62"/>
  <c r="X51" i="62"/>
  <c r="Y51" i="62"/>
  <c r="Z51" i="62"/>
  <c r="AA51" i="62"/>
  <c r="AB51" i="62"/>
  <c r="AC51" i="62"/>
  <c r="AD51" i="62"/>
  <c r="AE51" i="62"/>
  <c r="AF51" i="62"/>
  <c r="AG51" i="62"/>
  <c r="AH51" i="62"/>
  <c r="AI51" i="62"/>
  <c r="AJ51" i="62"/>
  <c r="AK51" i="62"/>
  <c r="AL51" i="62"/>
  <c r="AM51" i="62"/>
  <c r="AN51" i="62"/>
  <c r="AO51" i="62"/>
  <c r="AP51" i="62"/>
  <c r="AQ51" i="62"/>
  <c r="AR51" i="62"/>
  <c r="AS51" i="62"/>
  <c r="AT51" i="62"/>
  <c r="AU51" i="62"/>
  <c r="AV51" i="62"/>
  <c r="AW51" i="62"/>
  <c r="AX51" i="62"/>
  <c r="AY51" i="62"/>
  <c r="AZ51" i="62"/>
  <c r="BA51" i="62"/>
  <c r="BB51" i="62"/>
  <c r="BC51" i="62"/>
  <c r="BD51" i="62"/>
  <c r="BE51" i="62"/>
  <c r="BF51" i="62"/>
  <c r="BG51" i="62"/>
  <c r="BH51" i="62"/>
  <c r="BI51" i="62"/>
  <c r="BJ51" i="62"/>
  <c r="BK51" i="62"/>
  <c r="BL51" i="62"/>
  <c r="BM51" i="62"/>
  <c r="BN51" i="62"/>
  <c r="BO51" i="62"/>
  <c r="BP51" i="62"/>
  <c r="BQ51" i="62"/>
  <c r="B52" i="62"/>
  <c r="C52" i="62"/>
  <c r="D52" i="62"/>
  <c r="E52" i="62"/>
  <c r="F52" i="62"/>
  <c r="G52" i="62"/>
  <c r="H52" i="62"/>
  <c r="I52" i="62"/>
  <c r="J52" i="62"/>
  <c r="K52" i="62"/>
  <c r="L52" i="62"/>
  <c r="M52" i="62"/>
  <c r="N52" i="62"/>
  <c r="O52" i="62"/>
  <c r="P52" i="62"/>
  <c r="Q52" i="62"/>
  <c r="R52" i="62"/>
  <c r="S52" i="62"/>
  <c r="T52" i="62"/>
  <c r="U52" i="62"/>
  <c r="V52" i="62"/>
  <c r="W52" i="62"/>
  <c r="X52" i="62"/>
  <c r="Y52" i="62"/>
  <c r="Z52" i="62"/>
  <c r="AA52" i="62"/>
  <c r="AB52" i="62"/>
  <c r="AC52" i="62"/>
  <c r="AD52" i="62"/>
  <c r="AE52" i="62"/>
  <c r="AF52" i="62"/>
  <c r="AG52" i="62"/>
  <c r="AH52" i="62"/>
  <c r="AI52" i="62"/>
  <c r="AJ52" i="62"/>
  <c r="AK52" i="62"/>
  <c r="AL52" i="62"/>
  <c r="AM52" i="62"/>
  <c r="AN52" i="62"/>
  <c r="AO52" i="62"/>
  <c r="AP52" i="62"/>
  <c r="AQ52" i="62"/>
  <c r="AR52" i="62"/>
  <c r="AS52" i="62"/>
  <c r="AT52" i="62"/>
  <c r="AU52" i="62"/>
  <c r="AV52" i="62"/>
  <c r="AW52" i="62"/>
  <c r="AX52" i="62"/>
  <c r="AY52" i="62"/>
  <c r="AZ52" i="62"/>
  <c r="BA52" i="62"/>
  <c r="BB52" i="62"/>
  <c r="BC52" i="62"/>
  <c r="BD52" i="62"/>
  <c r="BE52" i="62"/>
  <c r="BF52" i="62"/>
  <c r="BG52" i="62"/>
  <c r="BH52" i="62"/>
  <c r="BI52" i="62"/>
  <c r="BJ52" i="62"/>
  <c r="BK52" i="62"/>
  <c r="BL52" i="62"/>
  <c r="BM52" i="62"/>
  <c r="BN52" i="62"/>
  <c r="BO52" i="62"/>
  <c r="BP52" i="62"/>
  <c r="BQ52" i="62"/>
  <c r="B53" i="62"/>
  <c r="C53" i="62"/>
  <c r="D53" i="62"/>
  <c r="E53" i="62"/>
  <c r="F53" i="62"/>
  <c r="G53" i="62"/>
  <c r="H53" i="62"/>
  <c r="I53" i="62"/>
  <c r="J53" i="62"/>
  <c r="K53" i="62"/>
  <c r="L53" i="62"/>
  <c r="M53" i="62"/>
  <c r="N53" i="62"/>
  <c r="O53" i="62"/>
  <c r="P53" i="62"/>
  <c r="Q53" i="62"/>
  <c r="R53" i="62"/>
  <c r="S53" i="62"/>
  <c r="T53" i="62"/>
  <c r="U53" i="62"/>
  <c r="V53" i="62"/>
  <c r="W53" i="62"/>
  <c r="X53" i="62"/>
  <c r="Y53" i="62"/>
  <c r="Z53" i="62"/>
  <c r="AA53" i="62"/>
  <c r="AB53" i="62"/>
  <c r="AC53" i="62"/>
  <c r="AD53" i="62"/>
  <c r="AE53" i="62"/>
  <c r="AF53" i="62"/>
  <c r="AG53" i="62"/>
  <c r="AH53" i="62"/>
  <c r="AI53" i="62"/>
  <c r="AJ53" i="62"/>
  <c r="AK53" i="62"/>
  <c r="AL53" i="62"/>
  <c r="AM53" i="62"/>
  <c r="AN53" i="62"/>
  <c r="AO53" i="62"/>
  <c r="AP53" i="62"/>
  <c r="AQ53" i="62"/>
  <c r="AR53" i="62"/>
  <c r="AS53" i="62"/>
  <c r="AT53" i="62"/>
  <c r="AU53" i="62"/>
  <c r="AV53" i="62"/>
  <c r="AW53" i="62"/>
  <c r="AX53" i="62"/>
  <c r="AY53" i="62"/>
  <c r="AZ53" i="62"/>
  <c r="BA53" i="62"/>
  <c r="BB53" i="62"/>
  <c r="BC53" i="62"/>
  <c r="BD53" i="62"/>
  <c r="BE53" i="62"/>
  <c r="BF53" i="62"/>
  <c r="BG53" i="62"/>
  <c r="BH53" i="62"/>
  <c r="BI53" i="62"/>
  <c r="BJ53" i="62"/>
  <c r="BK53" i="62"/>
  <c r="BL53" i="62"/>
  <c r="BM53" i="62"/>
  <c r="BN53" i="62"/>
  <c r="BO53" i="62"/>
  <c r="BP53" i="62"/>
  <c r="BQ53" i="62"/>
  <c r="B54" i="62"/>
  <c r="C54" i="62"/>
  <c r="D54" i="62"/>
  <c r="E54" i="62"/>
  <c r="F54" i="62"/>
  <c r="G54" i="62"/>
  <c r="H54" i="62"/>
  <c r="I54" i="62"/>
  <c r="J54" i="62"/>
  <c r="K54" i="62"/>
  <c r="L54" i="62"/>
  <c r="M54" i="62"/>
  <c r="N54" i="62"/>
  <c r="O54" i="62"/>
  <c r="P54" i="62"/>
  <c r="Q54" i="62"/>
  <c r="R54" i="62"/>
  <c r="S54" i="62"/>
  <c r="T54" i="62"/>
  <c r="U54" i="62"/>
  <c r="V54" i="62"/>
  <c r="W54" i="62"/>
  <c r="X54" i="62"/>
  <c r="Y54" i="62"/>
  <c r="Z54" i="62"/>
  <c r="AA54" i="62"/>
  <c r="AB54" i="62"/>
  <c r="AC54" i="62"/>
  <c r="AD54" i="62"/>
  <c r="AE54" i="62"/>
  <c r="AF54" i="62"/>
  <c r="AG54" i="62"/>
  <c r="AH54" i="62"/>
  <c r="AI54" i="62"/>
  <c r="AJ54" i="62"/>
  <c r="AK54" i="62"/>
  <c r="AL54" i="62"/>
  <c r="AM54" i="62"/>
  <c r="AN54" i="62"/>
  <c r="AO54" i="62"/>
  <c r="AP54" i="62"/>
  <c r="AQ54" i="62"/>
  <c r="AR54" i="62"/>
  <c r="AS54" i="62"/>
  <c r="AT54" i="62"/>
  <c r="AU54" i="62"/>
  <c r="AV54" i="62"/>
  <c r="AW54" i="62"/>
  <c r="AX54" i="62"/>
  <c r="AY54" i="62"/>
  <c r="AZ54" i="62"/>
  <c r="BA54" i="62"/>
  <c r="BB54" i="62"/>
  <c r="BC54" i="62"/>
  <c r="BD54" i="62"/>
  <c r="BE54" i="62"/>
  <c r="BF54" i="62"/>
  <c r="BG54" i="62"/>
  <c r="BH54" i="62"/>
  <c r="BI54" i="62"/>
  <c r="BJ54" i="62"/>
  <c r="BK54" i="62"/>
  <c r="BL54" i="62"/>
  <c r="BM54" i="62"/>
  <c r="BN54" i="62"/>
  <c r="BO54" i="62"/>
  <c r="BP54" i="62"/>
  <c r="BQ54" i="62"/>
  <c r="B55" i="62"/>
  <c r="C55" i="62"/>
  <c r="D55" i="62"/>
  <c r="E55" i="62"/>
  <c r="F55" i="62"/>
  <c r="G55" i="62"/>
  <c r="H55" i="62"/>
  <c r="I55" i="62"/>
  <c r="J55" i="62"/>
  <c r="K55" i="62"/>
  <c r="L55" i="62"/>
  <c r="M55" i="62"/>
  <c r="N55" i="62"/>
  <c r="O55" i="62"/>
  <c r="P55" i="62"/>
  <c r="Q55" i="62"/>
  <c r="R55" i="62"/>
  <c r="S55" i="62"/>
  <c r="T55" i="62"/>
  <c r="U55" i="62"/>
  <c r="V55" i="62"/>
  <c r="W55" i="62"/>
  <c r="X55" i="62"/>
  <c r="Y55" i="62"/>
  <c r="Z55" i="62"/>
  <c r="AA55" i="62"/>
  <c r="AB55" i="62"/>
  <c r="AC55" i="62"/>
  <c r="AD55" i="62"/>
  <c r="AE55" i="62"/>
  <c r="AF55" i="62"/>
  <c r="AG55" i="62"/>
  <c r="AH55" i="62"/>
  <c r="AI55" i="62"/>
  <c r="AJ55" i="62"/>
  <c r="AK55" i="62"/>
  <c r="AL55" i="62"/>
  <c r="AM55" i="62"/>
  <c r="AN55" i="62"/>
  <c r="AO55" i="62"/>
  <c r="AP55" i="62"/>
  <c r="AQ55" i="62"/>
  <c r="AR55" i="62"/>
  <c r="AS55" i="62"/>
  <c r="AT55" i="62"/>
  <c r="AU55" i="62"/>
  <c r="AV55" i="62"/>
  <c r="AW55" i="62"/>
  <c r="AX55" i="62"/>
  <c r="AY55" i="62"/>
  <c r="AZ55" i="62"/>
  <c r="BA55" i="62"/>
  <c r="BB55" i="62"/>
  <c r="BC55" i="62"/>
  <c r="BD55" i="62"/>
  <c r="BE55" i="62"/>
  <c r="BF55" i="62"/>
  <c r="BG55" i="62"/>
  <c r="BH55" i="62"/>
  <c r="BI55" i="62"/>
  <c r="BJ55" i="62"/>
  <c r="BK55" i="62"/>
  <c r="BL55" i="62"/>
  <c r="BM55" i="62"/>
  <c r="BN55" i="62"/>
  <c r="BO55" i="62"/>
  <c r="BP55" i="62"/>
  <c r="BQ55" i="62"/>
  <c r="B56" i="62"/>
  <c r="C56" i="62"/>
  <c r="D56" i="62"/>
  <c r="E56" i="62"/>
  <c r="F56" i="62"/>
  <c r="G56" i="62"/>
  <c r="H56" i="62"/>
  <c r="I56" i="62"/>
  <c r="J56" i="62"/>
  <c r="K56" i="62"/>
  <c r="L56" i="62"/>
  <c r="M56" i="62"/>
  <c r="N56" i="62"/>
  <c r="O56" i="62"/>
  <c r="P56" i="62"/>
  <c r="Q56" i="62"/>
  <c r="R56" i="62"/>
  <c r="S56" i="62"/>
  <c r="T56" i="62"/>
  <c r="U56" i="62"/>
  <c r="V56" i="62"/>
  <c r="W56" i="62"/>
  <c r="X56" i="62"/>
  <c r="Y56" i="62"/>
  <c r="Z56" i="62"/>
  <c r="AA56" i="62"/>
  <c r="AB56" i="62"/>
  <c r="AC56" i="62"/>
  <c r="AD56" i="62"/>
  <c r="AE56" i="62"/>
  <c r="AF56" i="62"/>
  <c r="AG56" i="62"/>
  <c r="AH56" i="62"/>
  <c r="AI56" i="62"/>
  <c r="AJ56" i="62"/>
  <c r="AK56" i="62"/>
  <c r="AL56" i="62"/>
  <c r="AM56" i="62"/>
  <c r="AN56" i="62"/>
  <c r="AO56" i="62"/>
  <c r="AP56" i="62"/>
  <c r="AQ56" i="62"/>
  <c r="AR56" i="62"/>
  <c r="AS56" i="62"/>
  <c r="AT56" i="62"/>
  <c r="AU56" i="62"/>
  <c r="AV56" i="62"/>
  <c r="AW56" i="62"/>
  <c r="AX56" i="62"/>
  <c r="AY56" i="62"/>
  <c r="AZ56" i="62"/>
  <c r="BA56" i="62"/>
  <c r="BB56" i="62"/>
  <c r="BC56" i="62"/>
  <c r="BD56" i="62"/>
  <c r="BE56" i="62"/>
  <c r="BF56" i="62"/>
  <c r="BG56" i="62"/>
  <c r="BH56" i="62"/>
  <c r="BI56" i="62"/>
  <c r="BJ56" i="62"/>
  <c r="BK56" i="62"/>
  <c r="BL56" i="62"/>
  <c r="BM56" i="62"/>
  <c r="BN56" i="62"/>
  <c r="BO56" i="62"/>
  <c r="BP56" i="62"/>
  <c r="BQ56" i="62"/>
  <c r="B57" i="62"/>
  <c r="C57" i="62"/>
  <c r="D57" i="62"/>
  <c r="E57" i="62"/>
  <c r="F57" i="62"/>
  <c r="G57" i="62"/>
  <c r="H57" i="62"/>
  <c r="I57" i="62"/>
  <c r="J57" i="62"/>
  <c r="K57" i="62"/>
  <c r="L57" i="62"/>
  <c r="M57" i="62"/>
  <c r="N57" i="62"/>
  <c r="O57" i="62"/>
  <c r="P57" i="62"/>
  <c r="Q57" i="62"/>
  <c r="R57" i="62"/>
  <c r="S57" i="62"/>
  <c r="T57" i="62"/>
  <c r="U57" i="62"/>
  <c r="V57" i="62"/>
  <c r="W57" i="62"/>
  <c r="X57" i="62"/>
  <c r="Y57" i="62"/>
  <c r="Z57" i="62"/>
  <c r="AA57" i="62"/>
  <c r="AB57" i="62"/>
  <c r="AC57" i="62"/>
  <c r="AD57" i="62"/>
  <c r="AE57" i="62"/>
  <c r="AF57" i="62"/>
  <c r="AG57" i="62"/>
  <c r="AH57" i="62"/>
  <c r="AI57" i="62"/>
  <c r="AJ57" i="62"/>
  <c r="AK57" i="62"/>
  <c r="AL57" i="62"/>
  <c r="AM57" i="62"/>
  <c r="AN57" i="62"/>
  <c r="AO57" i="62"/>
  <c r="AP57" i="62"/>
  <c r="AQ57" i="62"/>
  <c r="AR57" i="62"/>
  <c r="AS57" i="62"/>
  <c r="AT57" i="62"/>
  <c r="AU57" i="62"/>
  <c r="AV57" i="62"/>
  <c r="AW57" i="62"/>
  <c r="AX57" i="62"/>
  <c r="AY57" i="62"/>
  <c r="AZ57" i="62"/>
  <c r="BA57" i="62"/>
  <c r="BB57" i="62"/>
  <c r="BC57" i="62"/>
  <c r="BD57" i="62"/>
  <c r="BE57" i="62"/>
  <c r="BF57" i="62"/>
  <c r="BG57" i="62"/>
  <c r="BH57" i="62"/>
  <c r="BI57" i="62"/>
  <c r="BJ57" i="62"/>
  <c r="BK57" i="62"/>
  <c r="BL57" i="62"/>
  <c r="BM57" i="62"/>
  <c r="BN57" i="62"/>
  <c r="BO57" i="62"/>
  <c r="BP57" i="62"/>
  <c r="BQ57" i="62"/>
  <c r="B58" i="62"/>
  <c r="C58" i="62"/>
  <c r="D58" i="62"/>
  <c r="E58" i="62"/>
  <c r="F58" i="62"/>
  <c r="G58" i="62"/>
  <c r="H58" i="62"/>
  <c r="I58" i="62"/>
  <c r="J58" i="62"/>
  <c r="K58" i="62"/>
  <c r="L58" i="62"/>
  <c r="M58" i="62"/>
  <c r="N58" i="62"/>
  <c r="O58" i="62"/>
  <c r="P58" i="62"/>
  <c r="Q58" i="62"/>
  <c r="R58" i="62"/>
  <c r="S58" i="62"/>
  <c r="T58" i="62"/>
  <c r="U58" i="62"/>
  <c r="V58" i="62"/>
  <c r="W58" i="62"/>
  <c r="X58" i="62"/>
  <c r="Y58" i="62"/>
  <c r="Z58" i="62"/>
  <c r="AA58" i="62"/>
  <c r="AB58" i="62"/>
  <c r="AC58" i="62"/>
  <c r="AD58" i="62"/>
  <c r="AE58" i="62"/>
  <c r="AF58" i="62"/>
  <c r="AG58" i="62"/>
  <c r="AH58" i="62"/>
  <c r="AI58" i="62"/>
  <c r="AJ58" i="62"/>
  <c r="AK58" i="62"/>
  <c r="AL58" i="62"/>
  <c r="AM58" i="62"/>
  <c r="AN58" i="62"/>
  <c r="AO58" i="62"/>
  <c r="AP58" i="62"/>
  <c r="AQ58" i="62"/>
  <c r="AR58" i="62"/>
  <c r="AS58" i="62"/>
  <c r="AT58" i="62"/>
  <c r="AU58" i="62"/>
  <c r="AV58" i="62"/>
  <c r="AW58" i="62"/>
  <c r="AX58" i="62"/>
  <c r="AY58" i="62"/>
  <c r="AZ58" i="62"/>
  <c r="BA58" i="62"/>
  <c r="BB58" i="62"/>
  <c r="BC58" i="62"/>
  <c r="BD58" i="62"/>
  <c r="BE58" i="62"/>
  <c r="BF58" i="62"/>
  <c r="BG58" i="62"/>
  <c r="BH58" i="62"/>
  <c r="BI58" i="62"/>
  <c r="BJ58" i="62"/>
  <c r="BK58" i="62"/>
  <c r="BL58" i="62"/>
  <c r="BM58" i="62"/>
  <c r="BN58" i="62"/>
  <c r="BO58" i="62"/>
  <c r="BP58" i="62"/>
  <c r="BQ58" i="62"/>
  <c r="B59" i="62"/>
  <c r="C59" i="62"/>
  <c r="D59" i="62"/>
  <c r="E59" i="62"/>
  <c r="F59" i="62"/>
  <c r="G59" i="62"/>
  <c r="H59" i="62"/>
  <c r="I59" i="62"/>
  <c r="J59" i="62"/>
  <c r="K59" i="62"/>
  <c r="L59" i="62"/>
  <c r="M59" i="62"/>
  <c r="N59" i="62"/>
  <c r="O59" i="62"/>
  <c r="P59" i="62"/>
  <c r="Q59" i="62"/>
  <c r="R59" i="62"/>
  <c r="S59" i="62"/>
  <c r="T59" i="62"/>
  <c r="U59" i="62"/>
  <c r="V59" i="62"/>
  <c r="W59" i="62"/>
  <c r="X59" i="62"/>
  <c r="Y59" i="62"/>
  <c r="Z59" i="62"/>
  <c r="AA59" i="62"/>
  <c r="AB59" i="62"/>
  <c r="AC59" i="62"/>
  <c r="AD59" i="62"/>
  <c r="AE59" i="62"/>
  <c r="AF59" i="62"/>
  <c r="AG59" i="62"/>
  <c r="AH59" i="62"/>
  <c r="AI59" i="62"/>
  <c r="AJ59" i="62"/>
  <c r="AK59" i="62"/>
  <c r="AL59" i="62"/>
  <c r="AM59" i="62"/>
  <c r="AN59" i="62"/>
  <c r="AO59" i="62"/>
  <c r="AP59" i="62"/>
  <c r="AQ59" i="62"/>
  <c r="AR59" i="62"/>
  <c r="AS59" i="62"/>
  <c r="AT59" i="62"/>
  <c r="AU59" i="62"/>
  <c r="AV59" i="62"/>
  <c r="AW59" i="62"/>
  <c r="AX59" i="62"/>
  <c r="AY59" i="62"/>
  <c r="AZ59" i="62"/>
  <c r="BA59" i="62"/>
  <c r="BB59" i="62"/>
  <c r="BC59" i="62"/>
  <c r="BD59" i="62"/>
  <c r="BE59" i="62"/>
  <c r="BF59" i="62"/>
  <c r="BG59" i="62"/>
  <c r="BH59" i="62"/>
  <c r="BI59" i="62"/>
  <c r="BJ59" i="62"/>
  <c r="BK59" i="62"/>
  <c r="BL59" i="62"/>
  <c r="BM59" i="62"/>
  <c r="BN59" i="62"/>
  <c r="BO59" i="62"/>
  <c r="BP59" i="62"/>
  <c r="BQ59" i="62"/>
  <c r="B60" i="62"/>
  <c r="C60" i="62"/>
  <c r="D60" i="62"/>
  <c r="E60" i="62"/>
  <c r="F60" i="62"/>
  <c r="G60" i="62"/>
  <c r="H60" i="62"/>
  <c r="I60" i="62"/>
  <c r="J60" i="62"/>
  <c r="K60" i="62"/>
  <c r="L60" i="62"/>
  <c r="M60" i="62"/>
  <c r="N60" i="62"/>
  <c r="O60" i="62"/>
  <c r="P60" i="62"/>
  <c r="Q60" i="62"/>
  <c r="R60" i="62"/>
  <c r="S60" i="62"/>
  <c r="T60" i="62"/>
  <c r="U60" i="62"/>
  <c r="V60" i="62"/>
  <c r="W60" i="62"/>
  <c r="X60" i="62"/>
  <c r="Y60" i="62"/>
  <c r="Z60" i="62"/>
  <c r="AA60" i="62"/>
  <c r="AB60" i="62"/>
  <c r="AC60" i="62"/>
  <c r="AD60" i="62"/>
  <c r="AE60" i="62"/>
  <c r="AF60" i="62"/>
  <c r="AG60" i="62"/>
  <c r="AH60" i="62"/>
  <c r="AI60" i="62"/>
  <c r="AJ60" i="62"/>
  <c r="AK60" i="62"/>
  <c r="AL60" i="62"/>
  <c r="AM60" i="62"/>
  <c r="AN60" i="62"/>
  <c r="AO60" i="62"/>
  <c r="AP60" i="62"/>
  <c r="AQ60" i="62"/>
  <c r="AR60" i="62"/>
  <c r="AS60" i="62"/>
  <c r="AT60" i="62"/>
  <c r="AU60" i="62"/>
  <c r="AV60" i="62"/>
  <c r="AW60" i="62"/>
  <c r="AX60" i="62"/>
  <c r="AY60" i="62"/>
  <c r="AZ60" i="62"/>
  <c r="BA60" i="62"/>
  <c r="BB60" i="62"/>
  <c r="BC60" i="62"/>
  <c r="BD60" i="62"/>
  <c r="BE60" i="62"/>
  <c r="BF60" i="62"/>
  <c r="BG60" i="62"/>
  <c r="BH60" i="62"/>
  <c r="BI60" i="62"/>
  <c r="BJ60" i="62"/>
  <c r="BK60" i="62"/>
  <c r="BL60" i="62"/>
  <c r="BM60" i="62"/>
  <c r="BN60" i="62"/>
  <c r="BO60" i="62"/>
  <c r="BP60" i="62"/>
  <c r="BQ60" i="62"/>
  <c r="B61" i="62"/>
  <c r="C61" i="62"/>
  <c r="D61" i="62"/>
  <c r="E61" i="62"/>
  <c r="F61" i="62"/>
  <c r="G61" i="62"/>
  <c r="H61" i="62"/>
  <c r="I61" i="62"/>
  <c r="J61" i="62"/>
  <c r="K61" i="62"/>
  <c r="L61" i="62"/>
  <c r="M61" i="62"/>
  <c r="N61" i="62"/>
  <c r="O61" i="62"/>
  <c r="P61" i="62"/>
  <c r="Q61" i="62"/>
  <c r="R61" i="62"/>
  <c r="S61" i="62"/>
  <c r="T61" i="62"/>
  <c r="U61" i="62"/>
  <c r="V61" i="62"/>
  <c r="W61" i="62"/>
  <c r="X61" i="62"/>
  <c r="Y61" i="62"/>
  <c r="Z61" i="62"/>
  <c r="AA61" i="62"/>
  <c r="AB61" i="62"/>
  <c r="AC61" i="62"/>
  <c r="AD61" i="62"/>
  <c r="AE61" i="62"/>
  <c r="AF61" i="62"/>
  <c r="AG61" i="62"/>
  <c r="AH61" i="62"/>
  <c r="AI61" i="62"/>
  <c r="AJ61" i="62"/>
  <c r="AK61" i="62"/>
  <c r="AL61" i="62"/>
  <c r="AM61" i="62"/>
  <c r="AN61" i="62"/>
  <c r="AO61" i="62"/>
  <c r="AP61" i="62"/>
  <c r="AQ61" i="62"/>
  <c r="AR61" i="62"/>
  <c r="AS61" i="62"/>
  <c r="AT61" i="62"/>
  <c r="AU61" i="62"/>
  <c r="AV61" i="62"/>
  <c r="AW61" i="62"/>
  <c r="AX61" i="62"/>
  <c r="AY61" i="62"/>
  <c r="AZ61" i="62"/>
  <c r="BA61" i="62"/>
  <c r="BB61" i="62"/>
  <c r="BC61" i="62"/>
  <c r="BD61" i="62"/>
  <c r="BE61" i="62"/>
  <c r="BF61" i="62"/>
  <c r="BG61" i="62"/>
  <c r="BH61" i="62"/>
  <c r="BI61" i="62"/>
  <c r="BJ61" i="62"/>
  <c r="BK61" i="62"/>
  <c r="BL61" i="62"/>
  <c r="BM61" i="62"/>
  <c r="BN61" i="62"/>
  <c r="BO61" i="62"/>
  <c r="BP61" i="62"/>
  <c r="BQ61" i="62"/>
  <c r="B62" i="62"/>
  <c r="C62" i="62"/>
  <c r="D62" i="62"/>
  <c r="E62" i="62"/>
  <c r="F62" i="62"/>
  <c r="G62" i="62"/>
  <c r="H62" i="62"/>
  <c r="I62" i="62"/>
  <c r="J62" i="62"/>
  <c r="K62" i="62"/>
  <c r="L62" i="62"/>
  <c r="M62" i="62"/>
  <c r="N62" i="62"/>
  <c r="O62" i="62"/>
  <c r="P62" i="62"/>
  <c r="Q62" i="62"/>
  <c r="R62" i="62"/>
  <c r="S62" i="62"/>
  <c r="T62" i="62"/>
  <c r="U62" i="62"/>
  <c r="V62" i="62"/>
  <c r="W62" i="62"/>
  <c r="X62" i="62"/>
  <c r="Y62" i="62"/>
  <c r="Z62" i="62"/>
  <c r="AA62" i="62"/>
  <c r="AB62" i="62"/>
  <c r="AC62" i="62"/>
  <c r="AD62" i="62"/>
  <c r="AE62" i="62"/>
  <c r="AF62" i="62"/>
  <c r="AG62" i="62"/>
  <c r="AH62" i="62"/>
  <c r="AI62" i="62"/>
  <c r="AJ62" i="62"/>
  <c r="AK62" i="62"/>
  <c r="AL62" i="62"/>
  <c r="AM62" i="62"/>
  <c r="AN62" i="62"/>
  <c r="AO62" i="62"/>
  <c r="AP62" i="62"/>
  <c r="AQ62" i="62"/>
  <c r="AR62" i="62"/>
  <c r="AS62" i="62"/>
  <c r="AT62" i="62"/>
  <c r="AU62" i="62"/>
  <c r="AV62" i="62"/>
  <c r="AW62" i="62"/>
  <c r="AX62" i="62"/>
  <c r="AY62" i="62"/>
  <c r="AZ62" i="62"/>
  <c r="BA62" i="62"/>
  <c r="BB62" i="62"/>
  <c r="BC62" i="62"/>
  <c r="BD62" i="62"/>
  <c r="BE62" i="62"/>
  <c r="BF62" i="62"/>
  <c r="BG62" i="62"/>
  <c r="BH62" i="62"/>
  <c r="BI62" i="62"/>
  <c r="BJ62" i="62"/>
  <c r="BK62" i="62"/>
  <c r="BL62" i="62"/>
  <c r="BM62" i="62"/>
  <c r="BN62" i="62"/>
  <c r="BO62" i="62"/>
  <c r="BP62" i="62"/>
  <c r="BQ62" i="62"/>
  <c r="B63" i="62"/>
  <c r="C63" i="62"/>
  <c r="D63" i="62"/>
  <c r="E63" i="62"/>
  <c r="F63" i="62"/>
  <c r="G63" i="62"/>
  <c r="H63" i="62"/>
  <c r="I63" i="62"/>
  <c r="J63" i="62"/>
  <c r="K63" i="62"/>
  <c r="L63" i="62"/>
  <c r="M63" i="62"/>
  <c r="N63" i="62"/>
  <c r="O63" i="62"/>
  <c r="P63" i="62"/>
  <c r="Q63" i="62"/>
  <c r="R63" i="62"/>
  <c r="S63" i="62"/>
  <c r="T63" i="62"/>
  <c r="U63" i="62"/>
  <c r="V63" i="62"/>
  <c r="W63" i="62"/>
  <c r="X63" i="62"/>
  <c r="Y63" i="62"/>
  <c r="Z63" i="62"/>
  <c r="AA63" i="62"/>
  <c r="AB63" i="62"/>
  <c r="AC63" i="62"/>
  <c r="AD63" i="62"/>
  <c r="AE63" i="62"/>
  <c r="AF63" i="62"/>
  <c r="AG63" i="62"/>
  <c r="AH63" i="62"/>
  <c r="AI63" i="62"/>
  <c r="AJ63" i="62"/>
  <c r="AK63" i="62"/>
  <c r="AL63" i="62"/>
  <c r="AM63" i="62"/>
  <c r="AN63" i="62"/>
  <c r="AO63" i="62"/>
  <c r="AP63" i="62"/>
  <c r="AQ63" i="62"/>
  <c r="AR63" i="62"/>
  <c r="AS63" i="62"/>
  <c r="AT63" i="62"/>
  <c r="AU63" i="62"/>
  <c r="AV63" i="62"/>
  <c r="AW63" i="62"/>
  <c r="AX63" i="62"/>
  <c r="AY63" i="62"/>
  <c r="AZ63" i="62"/>
  <c r="BA63" i="62"/>
  <c r="BB63" i="62"/>
  <c r="BC63" i="62"/>
  <c r="BD63" i="62"/>
  <c r="BE63" i="62"/>
  <c r="BF63" i="62"/>
  <c r="BG63" i="62"/>
  <c r="BH63" i="62"/>
  <c r="BI63" i="62"/>
  <c r="BJ63" i="62"/>
  <c r="BK63" i="62"/>
  <c r="BL63" i="62"/>
  <c r="BM63" i="62"/>
  <c r="BN63" i="62"/>
  <c r="BO63" i="62"/>
  <c r="BP63" i="62"/>
  <c r="BQ63" i="62"/>
  <c r="B64" i="62"/>
  <c r="C64" i="62"/>
  <c r="D64" i="62"/>
  <c r="E64" i="62"/>
  <c r="F64" i="62"/>
  <c r="G64" i="62"/>
  <c r="H64" i="62"/>
  <c r="I64" i="62"/>
  <c r="J64" i="62"/>
  <c r="K64" i="62"/>
  <c r="L64" i="62"/>
  <c r="M64" i="62"/>
  <c r="N64" i="62"/>
  <c r="O64" i="62"/>
  <c r="P64" i="62"/>
  <c r="Q64" i="62"/>
  <c r="R64" i="62"/>
  <c r="S64" i="62"/>
  <c r="T64" i="62"/>
  <c r="U64" i="62"/>
  <c r="V64" i="62"/>
  <c r="W64" i="62"/>
  <c r="X64" i="62"/>
  <c r="Y64" i="62"/>
  <c r="Z64" i="62"/>
  <c r="AA64" i="62"/>
  <c r="AB64" i="62"/>
  <c r="AC64" i="62"/>
  <c r="AD64" i="62"/>
  <c r="AE64" i="62"/>
  <c r="AF64" i="62"/>
  <c r="AG64" i="62"/>
  <c r="AH64" i="62"/>
  <c r="AI64" i="62"/>
  <c r="AJ64" i="62"/>
  <c r="AK64" i="62"/>
  <c r="AL64" i="62"/>
  <c r="AM64" i="62"/>
  <c r="AN64" i="62"/>
  <c r="AO64" i="62"/>
  <c r="AP64" i="62"/>
  <c r="AQ64" i="62"/>
  <c r="AR64" i="62"/>
  <c r="AS64" i="62"/>
  <c r="AT64" i="62"/>
  <c r="AU64" i="62"/>
  <c r="AV64" i="62"/>
  <c r="AW64" i="62"/>
  <c r="AX64" i="62"/>
  <c r="AY64" i="62"/>
  <c r="AZ64" i="62"/>
  <c r="BA64" i="62"/>
  <c r="BB64" i="62"/>
  <c r="BC64" i="62"/>
  <c r="BD64" i="62"/>
  <c r="BE64" i="62"/>
  <c r="BF64" i="62"/>
  <c r="BG64" i="62"/>
  <c r="BH64" i="62"/>
  <c r="BI64" i="62"/>
  <c r="BJ64" i="62"/>
  <c r="BK64" i="62"/>
  <c r="BL64" i="62"/>
  <c r="BM64" i="62"/>
  <c r="BN64" i="62"/>
  <c r="BO64" i="62"/>
  <c r="BP64" i="62"/>
  <c r="BQ64" i="62"/>
  <c r="B65" i="62"/>
  <c r="C65" i="62"/>
  <c r="D65" i="62"/>
  <c r="E65" i="62"/>
  <c r="F65" i="62"/>
  <c r="G65" i="62"/>
  <c r="H65" i="62"/>
  <c r="I65" i="62"/>
  <c r="J65" i="62"/>
  <c r="K65" i="62"/>
  <c r="L65" i="62"/>
  <c r="M65" i="62"/>
  <c r="N65" i="62"/>
  <c r="O65" i="62"/>
  <c r="P65" i="62"/>
  <c r="Q65" i="62"/>
  <c r="R65" i="62"/>
  <c r="S65" i="62"/>
  <c r="T65" i="62"/>
  <c r="U65" i="62"/>
  <c r="V65" i="62"/>
  <c r="W65" i="62"/>
  <c r="X65" i="62"/>
  <c r="Y65" i="62"/>
  <c r="Z65" i="62"/>
  <c r="AA65" i="62"/>
  <c r="AB65" i="62"/>
  <c r="AC65" i="62"/>
  <c r="AD65" i="62"/>
  <c r="AE65" i="62"/>
  <c r="AF65" i="62"/>
  <c r="AG65" i="62"/>
  <c r="AH65" i="62"/>
  <c r="AI65" i="62"/>
  <c r="AJ65" i="62"/>
  <c r="AK65" i="62"/>
  <c r="AL65" i="62"/>
  <c r="AM65" i="62"/>
  <c r="AN65" i="62"/>
  <c r="AO65" i="62"/>
  <c r="AP65" i="62"/>
  <c r="AQ65" i="62"/>
  <c r="AR65" i="62"/>
  <c r="AS65" i="62"/>
  <c r="AT65" i="62"/>
  <c r="AU65" i="62"/>
  <c r="AV65" i="62"/>
  <c r="AW65" i="62"/>
  <c r="AX65" i="62"/>
  <c r="AY65" i="62"/>
  <c r="AZ65" i="62"/>
  <c r="BA65" i="62"/>
  <c r="BB65" i="62"/>
  <c r="BC65" i="62"/>
  <c r="BD65" i="62"/>
  <c r="BE65" i="62"/>
  <c r="BF65" i="62"/>
  <c r="BG65" i="62"/>
  <c r="BH65" i="62"/>
  <c r="BI65" i="62"/>
  <c r="BJ65" i="62"/>
  <c r="BK65" i="62"/>
  <c r="BL65" i="62"/>
  <c r="BM65" i="62"/>
  <c r="BN65" i="62"/>
  <c r="BO65" i="62"/>
  <c r="BP65" i="62"/>
  <c r="BQ65" i="62"/>
  <c r="B66" i="62"/>
  <c r="C66" i="62"/>
  <c r="D66" i="62"/>
  <c r="E66" i="62"/>
  <c r="F66" i="62"/>
  <c r="G66" i="62"/>
  <c r="H66" i="62"/>
  <c r="I66" i="62"/>
  <c r="J66" i="62"/>
  <c r="K66" i="62"/>
  <c r="L66" i="62"/>
  <c r="M66" i="62"/>
  <c r="N66" i="62"/>
  <c r="O66" i="62"/>
  <c r="P66" i="62"/>
  <c r="Q66" i="62"/>
  <c r="R66" i="62"/>
  <c r="S66" i="62"/>
  <c r="T66" i="62"/>
  <c r="U66" i="62"/>
  <c r="V66" i="62"/>
  <c r="W66" i="62"/>
  <c r="X66" i="62"/>
  <c r="Y66" i="62"/>
  <c r="Z66" i="62"/>
  <c r="AA66" i="62"/>
  <c r="AB66" i="62"/>
  <c r="AC66" i="62"/>
  <c r="AD66" i="62"/>
  <c r="AE66" i="62"/>
  <c r="AF66" i="62"/>
  <c r="AG66" i="62"/>
  <c r="AH66" i="62"/>
  <c r="AI66" i="62"/>
  <c r="AJ66" i="62"/>
  <c r="AK66" i="62"/>
  <c r="AL66" i="62"/>
  <c r="AM66" i="62"/>
  <c r="AN66" i="62"/>
  <c r="AO66" i="62"/>
  <c r="AP66" i="62"/>
  <c r="AQ66" i="62"/>
  <c r="AR66" i="62"/>
  <c r="AS66" i="62"/>
  <c r="AT66" i="62"/>
  <c r="AU66" i="62"/>
  <c r="AV66" i="62"/>
  <c r="AW66" i="62"/>
  <c r="AX66" i="62"/>
  <c r="AY66" i="62"/>
  <c r="AZ66" i="62"/>
  <c r="BA66" i="62"/>
  <c r="BB66" i="62"/>
  <c r="BC66" i="62"/>
  <c r="BD66" i="62"/>
  <c r="BE66" i="62"/>
  <c r="BF66" i="62"/>
  <c r="BG66" i="62"/>
  <c r="BH66" i="62"/>
  <c r="BI66" i="62"/>
  <c r="BJ66" i="62"/>
  <c r="BK66" i="62"/>
  <c r="BL66" i="62"/>
  <c r="BM66" i="62"/>
  <c r="BN66" i="62"/>
  <c r="BO66" i="62"/>
  <c r="BP66" i="62"/>
  <c r="BQ66" i="62"/>
  <c r="B67" i="62"/>
  <c r="C67" i="62"/>
  <c r="D67" i="62"/>
  <c r="E67" i="62"/>
  <c r="F67" i="62"/>
  <c r="G67" i="62"/>
  <c r="H67" i="62"/>
  <c r="I67" i="62"/>
  <c r="J67" i="62"/>
  <c r="K67" i="62"/>
  <c r="L67" i="62"/>
  <c r="M67" i="62"/>
  <c r="N67" i="62"/>
  <c r="O67" i="62"/>
  <c r="P67" i="62"/>
  <c r="Q67" i="62"/>
  <c r="R67" i="62"/>
  <c r="S67" i="62"/>
  <c r="T67" i="62"/>
  <c r="U67" i="62"/>
  <c r="V67" i="62"/>
  <c r="W67" i="62"/>
  <c r="X67" i="62"/>
  <c r="Y67" i="62"/>
  <c r="Z67" i="62"/>
  <c r="AA67" i="62"/>
  <c r="AB67" i="62"/>
  <c r="AC67" i="62"/>
  <c r="AD67" i="62"/>
  <c r="AE67" i="62"/>
  <c r="AF67" i="62"/>
  <c r="AG67" i="62"/>
  <c r="AH67" i="62"/>
  <c r="AI67" i="62"/>
  <c r="AJ67" i="62"/>
  <c r="AK67" i="62"/>
  <c r="AL67" i="62"/>
  <c r="AM67" i="62"/>
  <c r="AN67" i="62"/>
  <c r="AO67" i="62"/>
  <c r="AP67" i="62"/>
  <c r="AQ67" i="62"/>
  <c r="AR67" i="62"/>
  <c r="AS67" i="62"/>
  <c r="AT67" i="62"/>
  <c r="AU67" i="62"/>
  <c r="AV67" i="62"/>
  <c r="AW67" i="62"/>
  <c r="AX67" i="62"/>
  <c r="AY67" i="62"/>
  <c r="AZ67" i="62"/>
  <c r="BA67" i="62"/>
  <c r="BB67" i="62"/>
  <c r="BC67" i="62"/>
  <c r="BD67" i="62"/>
  <c r="BE67" i="62"/>
  <c r="BF67" i="62"/>
  <c r="BG67" i="62"/>
  <c r="BH67" i="62"/>
  <c r="BI67" i="62"/>
  <c r="BJ67" i="62"/>
  <c r="BK67" i="62"/>
  <c r="BL67" i="62"/>
  <c r="BM67" i="62"/>
  <c r="BN67" i="62"/>
  <c r="BO67" i="62"/>
  <c r="BP67" i="62"/>
  <c r="BQ67" i="62"/>
  <c r="B68" i="62"/>
  <c r="C68" i="62"/>
  <c r="D68" i="62"/>
  <c r="E68" i="62"/>
  <c r="F68" i="62"/>
  <c r="G68" i="62"/>
  <c r="H68" i="62"/>
  <c r="I68" i="62"/>
  <c r="J68" i="62"/>
  <c r="K68" i="62"/>
  <c r="L68" i="62"/>
  <c r="M68" i="62"/>
  <c r="N68" i="62"/>
  <c r="O68" i="62"/>
  <c r="P68" i="62"/>
  <c r="Q68" i="62"/>
  <c r="R68" i="62"/>
  <c r="S68" i="62"/>
  <c r="T68" i="62"/>
  <c r="U68" i="62"/>
  <c r="V68" i="62"/>
  <c r="W68" i="62"/>
  <c r="X68" i="62"/>
  <c r="Y68" i="62"/>
  <c r="Z68" i="62"/>
  <c r="AA68" i="62"/>
  <c r="AB68" i="62"/>
  <c r="AC68" i="62"/>
  <c r="AD68" i="62"/>
  <c r="AE68" i="62"/>
  <c r="AF68" i="62"/>
  <c r="AG68" i="62"/>
  <c r="AH68" i="62"/>
  <c r="AI68" i="62"/>
  <c r="AJ68" i="62"/>
  <c r="AK68" i="62"/>
  <c r="AL68" i="62"/>
  <c r="AM68" i="62"/>
  <c r="AN68" i="62"/>
  <c r="AO68" i="62"/>
  <c r="AP68" i="62"/>
  <c r="AQ68" i="62"/>
  <c r="AR68" i="62"/>
  <c r="AS68" i="62"/>
  <c r="AT68" i="62"/>
  <c r="AU68" i="62"/>
  <c r="AV68" i="62"/>
  <c r="AW68" i="62"/>
  <c r="AX68" i="62"/>
  <c r="AY68" i="62"/>
  <c r="AZ68" i="62"/>
  <c r="BA68" i="62"/>
  <c r="BB68" i="62"/>
  <c r="BC68" i="62"/>
  <c r="BD68" i="62"/>
  <c r="BE68" i="62"/>
  <c r="BF68" i="62"/>
  <c r="BG68" i="62"/>
  <c r="BH68" i="62"/>
  <c r="BI68" i="62"/>
  <c r="BJ68" i="62"/>
  <c r="BK68" i="62"/>
  <c r="BL68" i="62"/>
  <c r="BM68" i="62"/>
  <c r="BN68" i="62"/>
  <c r="BO68" i="62"/>
  <c r="BP68" i="62"/>
  <c r="BQ68" i="62"/>
  <c r="B69" i="62"/>
  <c r="C69" i="62"/>
  <c r="D69" i="62"/>
  <c r="E69" i="62"/>
  <c r="F69" i="62"/>
  <c r="G69" i="62"/>
  <c r="H69" i="62"/>
  <c r="I69" i="62"/>
  <c r="J69" i="62"/>
  <c r="K69" i="62"/>
  <c r="L69" i="62"/>
  <c r="M69" i="62"/>
  <c r="N69" i="62"/>
  <c r="O69" i="62"/>
  <c r="P69" i="62"/>
  <c r="Q69" i="62"/>
  <c r="R69" i="62"/>
  <c r="S69" i="62"/>
  <c r="T69" i="62"/>
  <c r="U69" i="62"/>
  <c r="V69" i="62"/>
  <c r="W69" i="62"/>
  <c r="X69" i="62"/>
  <c r="Y69" i="62"/>
  <c r="Z69" i="62"/>
  <c r="AA69" i="62"/>
  <c r="AB69" i="62"/>
  <c r="AC69" i="62"/>
  <c r="AD69" i="62"/>
  <c r="AE69" i="62"/>
  <c r="AF69" i="62"/>
  <c r="AG69" i="62"/>
  <c r="AH69" i="62"/>
  <c r="AI69" i="62"/>
  <c r="AJ69" i="62"/>
  <c r="AK69" i="62"/>
  <c r="AL69" i="62"/>
  <c r="AM69" i="62"/>
  <c r="AN69" i="62"/>
  <c r="AO69" i="62"/>
  <c r="AP69" i="62"/>
  <c r="AQ69" i="62"/>
  <c r="AR69" i="62"/>
  <c r="AS69" i="62"/>
  <c r="AT69" i="62"/>
  <c r="AU69" i="62"/>
  <c r="AV69" i="62"/>
  <c r="AW69" i="62"/>
  <c r="AX69" i="62"/>
  <c r="AY69" i="62"/>
  <c r="AZ69" i="62"/>
  <c r="BA69" i="62"/>
  <c r="BB69" i="62"/>
  <c r="BC69" i="62"/>
  <c r="BD69" i="62"/>
  <c r="BE69" i="62"/>
  <c r="BF69" i="62"/>
  <c r="BG69" i="62"/>
  <c r="BH69" i="62"/>
  <c r="BI69" i="62"/>
  <c r="BJ69" i="62"/>
  <c r="BK69" i="62"/>
  <c r="BL69" i="62"/>
  <c r="BM69" i="62"/>
  <c r="BN69" i="62"/>
  <c r="BO69" i="62"/>
  <c r="BP69" i="62"/>
  <c r="BQ69" i="62"/>
  <c r="B70" i="62"/>
  <c r="C70" i="62"/>
  <c r="D70" i="62"/>
  <c r="E70" i="62"/>
  <c r="F70" i="62"/>
  <c r="G70" i="62"/>
  <c r="H70" i="62"/>
  <c r="I70" i="62"/>
  <c r="J70" i="62"/>
  <c r="K70" i="62"/>
  <c r="L70" i="62"/>
  <c r="M70" i="62"/>
  <c r="N70" i="62"/>
  <c r="O70" i="62"/>
  <c r="P70" i="62"/>
  <c r="Q70" i="62"/>
  <c r="R70" i="62"/>
  <c r="S70" i="62"/>
  <c r="T70" i="62"/>
  <c r="U70" i="62"/>
  <c r="V70" i="62"/>
  <c r="W70" i="62"/>
  <c r="X70" i="62"/>
  <c r="Y70" i="62"/>
  <c r="Z70" i="62"/>
  <c r="AA70" i="62"/>
  <c r="AB70" i="62"/>
  <c r="AC70" i="62"/>
  <c r="AD70" i="62"/>
  <c r="AE70" i="62"/>
  <c r="AF70" i="62"/>
  <c r="AG70" i="62"/>
  <c r="AH70" i="62"/>
  <c r="AI70" i="62"/>
  <c r="AJ70" i="62"/>
  <c r="AK70" i="62"/>
  <c r="AL70" i="62"/>
  <c r="AM70" i="62"/>
  <c r="AN70" i="62"/>
  <c r="AO70" i="62"/>
  <c r="AP70" i="62"/>
  <c r="AQ70" i="62"/>
  <c r="AR70" i="62"/>
  <c r="AS70" i="62"/>
  <c r="AT70" i="62"/>
  <c r="AU70" i="62"/>
  <c r="AV70" i="62"/>
  <c r="AW70" i="62"/>
  <c r="AX70" i="62"/>
  <c r="AY70" i="62"/>
  <c r="AZ70" i="62"/>
  <c r="BA70" i="62"/>
  <c r="BB70" i="62"/>
  <c r="BC70" i="62"/>
  <c r="BD70" i="62"/>
  <c r="BE70" i="62"/>
  <c r="BF70" i="62"/>
  <c r="BG70" i="62"/>
  <c r="BH70" i="62"/>
  <c r="BI70" i="62"/>
  <c r="BJ70" i="62"/>
  <c r="BK70" i="62"/>
  <c r="BL70" i="62"/>
  <c r="BM70" i="62"/>
  <c r="BN70" i="62"/>
  <c r="BO70" i="62"/>
  <c r="BP70" i="62"/>
  <c r="BQ70" i="62"/>
  <c r="B71" i="62"/>
  <c r="C71" i="62"/>
  <c r="D71" i="62"/>
  <c r="E71" i="62"/>
  <c r="F71" i="62"/>
  <c r="G71" i="62"/>
  <c r="H71" i="62"/>
  <c r="I71" i="62"/>
  <c r="J71" i="62"/>
  <c r="K71" i="62"/>
  <c r="L71" i="62"/>
  <c r="M71" i="62"/>
  <c r="N71" i="62"/>
  <c r="O71" i="62"/>
  <c r="P71" i="62"/>
  <c r="Q71" i="62"/>
  <c r="R71" i="62"/>
  <c r="S71" i="62"/>
  <c r="T71" i="62"/>
  <c r="U71" i="62"/>
  <c r="V71" i="62"/>
  <c r="W71" i="62"/>
  <c r="X71" i="62"/>
  <c r="Y71" i="62"/>
  <c r="Z71" i="62"/>
  <c r="AA71" i="62"/>
  <c r="AB71" i="62"/>
  <c r="AC71" i="62"/>
  <c r="AD71" i="62"/>
  <c r="AE71" i="62"/>
  <c r="AF71" i="62"/>
  <c r="AG71" i="62"/>
  <c r="AH71" i="62"/>
  <c r="AI71" i="62"/>
  <c r="AJ71" i="62"/>
  <c r="AK71" i="62"/>
  <c r="AL71" i="62"/>
  <c r="AM71" i="62"/>
  <c r="AN71" i="62"/>
  <c r="AO71" i="62"/>
  <c r="AP71" i="62"/>
  <c r="AQ71" i="62"/>
  <c r="AR71" i="62"/>
  <c r="AS71" i="62"/>
  <c r="AT71" i="62"/>
  <c r="AU71" i="62"/>
  <c r="AV71" i="62"/>
  <c r="AW71" i="62"/>
  <c r="AX71" i="62"/>
  <c r="AY71" i="62"/>
  <c r="AZ71" i="62"/>
  <c r="BA71" i="62"/>
  <c r="BB71" i="62"/>
  <c r="BC71" i="62"/>
  <c r="BD71" i="62"/>
  <c r="BE71" i="62"/>
  <c r="BF71" i="62"/>
  <c r="BG71" i="62"/>
  <c r="BH71" i="62"/>
  <c r="BI71" i="62"/>
  <c r="BJ71" i="62"/>
  <c r="BK71" i="62"/>
  <c r="BL71" i="62"/>
  <c r="BM71" i="62"/>
  <c r="BN71" i="62"/>
  <c r="BO71" i="62"/>
  <c r="BP71" i="62"/>
  <c r="BQ71" i="62"/>
  <c r="B72" i="62"/>
  <c r="C72" i="62"/>
  <c r="D72" i="62"/>
  <c r="E72" i="62"/>
  <c r="F72" i="62"/>
  <c r="G72" i="62"/>
  <c r="H72" i="62"/>
  <c r="I72" i="62"/>
  <c r="J72" i="62"/>
  <c r="K72" i="62"/>
  <c r="L72" i="62"/>
  <c r="M72" i="62"/>
  <c r="N72" i="62"/>
  <c r="O72" i="62"/>
  <c r="P72" i="62"/>
  <c r="Q72" i="62"/>
  <c r="R72" i="62"/>
  <c r="S72" i="62"/>
  <c r="T72" i="62"/>
  <c r="U72" i="62"/>
  <c r="V72" i="62"/>
  <c r="W72" i="62"/>
  <c r="X72" i="62"/>
  <c r="Y72" i="62"/>
  <c r="Z72" i="62"/>
  <c r="AA72" i="62"/>
  <c r="AB72" i="62"/>
  <c r="AC72" i="62"/>
  <c r="AD72" i="62"/>
  <c r="AE72" i="62"/>
  <c r="AF72" i="62"/>
  <c r="AG72" i="62"/>
  <c r="AH72" i="62"/>
  <c r="AI72" i="62"/>
  <c r="AJ72" i="62"/>
  <c r="AK72" i="62"/>
  <c r="AL72" i="62"/>
  <c r="AM72" i="62"/>
  <c r="AN72" i="62"/>
  <c r="AO72" i="62"/>
  <c r="AP72" i="62"/>
  <c r="AQ72" i="62"/>
  <c r="AR72" i="62"/>
  <c r="AS72" i="62"/>
  <c r="AT72" i="62"/>
  <c r="AU72" i="62"/>
  <c r="AV72" i="62"/>
  <c r="AW72" i="62"/>
  <c r="AX72" i="62"/>
  <c r="AY72" i="62"/>
  <c r="AZ72" i="62"/>
  <c r="BA72" i="62"/>
  <c r="BB72" i="62"/>
  <c r="BC72" i="62"/>
  <c r="BD72" i="62"/>
  <c r="BE72" i="62"/>
  <c r="BF72" i="62"/>
  <c r="BG72" i="62"/>
  <c r="BH72" i="62"/>
  <c r="BI72" i="62"/>
  <c r="BJ72" i="62"/>
  <c r="BK72" i="62"/>
  <c r="BL72" i="62"/>
  <c r="BM72" i="62"/>
  <c r="BN72" i="62"/>
  <c r="BO72" i="62"/>
  <c r="BP72" i="62"/>
  <c r="BQ72" i="62"/>
  <c r="B73" i="62"/>
  <c r="C73" i="62"/>
  <c r="D73" i="62"/>
  <c r="E73" i="62"/>
  <c r="F73" i="62"/>
  <c r="G73" i="62"/>
  <c r="H73" i="62"/>
  <c r="I73" i="62"/>
  <c r="J73" i="62"/>
  <c r="K73" i="62"/>
  <c r="L73" i="62"/>
  <c r="M73" i="62"/>
  <c r="N73" i="62"/>
  <c r="O73" i="62"/>
  <c r="P73" i="62"/>
  <c r="Q73" i="62"/>
  <c r="R73" i="62"/>
  <c r="S73" i="62"/>
  <c r="T73" i="62"/>
  <c r="U73" i="62"/>
  <c r="V73" i="62"/>
  <c r="W73" i="62"/>
  <c r="X73" i="62"/>
  <c r="Y73" i="62"/>
  <c r="Z73" i="62"/>
  <c r="AA73" i="62"/>
  <c r="AB73" i="62"/>
  <c r="AC73" i="62"/>
  <c r="AD73" i="62"/>
  <c r="AE73" i="62"/>
  <c r="AF73" i="62"/>
  <c r="AG73" i="62"/>
  <c r="AH73" i="62"/>
  <c r="AI73" i="62"/>
  <c r="AJ73" i="62"/>
  <c r="AK73" i="62"/>
  <c r="AL73" i="62"/>
  <c r="AM73" i="62"/>
  <c r="AN73" i="62"/>
  <c r="AO73" i="62"/>
  <c r="AP73" i="62"/>
  <c r="AQ73" i="62"/>
  <c r="AR73" i="62"/>
  <c r="AS73" i="62"/>
  <c r="AT73" i="62"/>
  <c r="AU73" i="62"/>
  <c r="AV73" i="62"/>
  <c r="AW73" i="62"/>
  <c r="AX73" i="62"/>
  <c r="AY73" i="62"/>
  <c r="AZ73" i="62"/>
  <c r="BA73" i="62"/>
  <c r="BB73" i="62"/>
  <c r="BC73" i="62"/>
  <c r="BD73" i="62"/>
  <c r="BF73" i="62"/>
  <c r="BG73" i="62"/>
  <c r="BH73" i="62"/>
  <c r="BI73" i="62"/>
  <c r="BJ73" i="62"/>
  <c r="BK73" i="62"/>
  <c r="BL73" i="62"/>
  <c r="BM73" i="62"/>
  <c r="BN73" i="62"/>
  <c r="BO73" i="62"/>
  <c r="BP73" i="62"/>
  <c r="BQ73" i="62"/>
  <c r="G11" i="70"/>
  <c r="H11" i="70"/>
  <c r="G12" i="70"/>
  <c r="H12" i="70"/>
  <c r="G13" i="70"/>
  <c r="H13" i="70"/>
  <c r="N13" i="47"/>
  <c r="G14" i="70"/>
  <c r="H14" i="70"/>
  <c r="N14" i="47"/>
  <c r="G15" i="70"/>
  <c r="H15" i="70"/>
  <c r="N15" i="47"/>
  <c r="G16" i="70"/>
  <c r="H16" i="70"/>
  <c r="N16" i="47"/>
  <c r="G17" i="70"/>
  <c r="H17" i="70"/>
  <c r="G18" i="70"/>
  <c r="H18" i="70"/>
  <c r="N18" i="47"/>
  <c r="G19" i="70"/>
  <c r="H19" i="70"/>
  <c r="N19" i="47"/>
  <c r="G20" i="70"/>
  <c r="H20" i="70"/>
  <c r="G21" i="70"/>
  <c r="H21" i="70"/>
  <c r="G22" i="70"/>
  <c r="H22" i="70"/>
  <c r="G23" i="70"/>
  <c r="H23" i="70"/>
  <c r="G24" i="70"/>
  <c r="H24" i="70"/>
  <c r="G25" i="70"/>
  <c r="H25" i="70"/>
  <c r="G26" i="70"/>
  <c r="H26" i="70"/>
  <c r="G27" i="70"/>
  <c r="H27" i="70"/>
  <c r="G28" i="70"/>
  <c r="H28" i="70"/>
  <c r="G29" i="70"/>
  <c r="H29" i="70"/>
  <c r="G30" i="70"/>
  <c r="H30" i="70"/>
  <c r="G31" i="70"/>
  <c r="H31" i="70"/>
  <c r="G32" i="70"/>
  <c r="H32" i="70"/>
  <c r="G33" i="70"/>
  <c r="H33" i="70"/>
  <c r="G34" i="70"/>
  <c r="H34" i="70"/>
  <c r="G35" i="70"/>
  <c r="H35" i="70"/>
  <c r="G36" i="70"/>
  <c r="H36" i="70"/>
  <c r="G37" i="70"/>
  <c r="H37" i="70"/>
  <c r="G38" i="70"/>
  <c r="H38" i="70"/>
  <c r="G39" i="70"/>
  <c r="H39" i="70"/>
  <c r="G40" i="70"/>
  <c r="H40" i="70"/>
  <c r="G41" i="70"/>
  <c r="H41" i="70"/>
  <c r="G42" i="70"/>
  <c r="H42" i="70"/>
  <c r="G43" i="70"/>
  <c r="H43" i="70"/>
  <c r="G44" i="70"/>
  <c r="H44" i="70"/>
  <c r="G45" i="70"/>
  <c r="H45" i="70"/>
  <c r="G46" i="70"/>
  <c r="H46" i="70"/>
  <c r="G47" i="70"/>
  <c r="H47" i="70"/>
  <c r="G48" i="70"/>
  <c r="H48" i="70"/>
  <c r="G49" i="70"/>
  <c r="H49" i="70"/>
  <c r="G50" i="70"/>
  <c r="H50" i="70"/>
  <c r="G51" i="70"/>
  <c r="H51" i="70"/>
  <c r="G52" i="70"/>
  <c r="H52" i="70"/>
  <c r="G53" i="70"/>
  <c r="H53" i="70"/>
  <c r="G54" i="70"/>
  <c r="H54" i="70"/>
  <c r="G55" i="70"/>
  <c r="H55" i="70"/>
  <c r="G56" i="70"/>
  <c r="H56" i="70"/>
  <c r="G57" i="70"/>
  <c r="H57" i="70"/>
  <c r="G58" i="70"/>
  <c r="H58" i="70"/>
  <c r="G59" i="70"/>
  <c r="H59" i="70"/>
  <c r="G60" i="70"/>
  <c r="H60" i="70"/>
  <c r="G61" i="70"/>
  <c r="H61" i="70"/>
  <c r="G62" i="70"/>
  <c r="H62" i="70"/>
  <c r="G63" i="70"/>
  <c r="H63" i="70"/>
  <c r="G64" i="70"/>
  <c r="H64" i="70"/>
  <c r="G65" i="70"/>
  <c r="H65" i="70"/>
  <c r="G66" i="70"/>
  <c r="H66" i="70"/>
  <c r="G67" i="70"/>
  <c r="H67" i="70"/>
  <c r="G68" i="70"/>
  <c r="H68" i="70"/>
  <c r="H10" i="70"/>
  <c r="G10" i="70"/>
  <c r="H9" i="70"/>
  <c r="L16" i="47"/>
  <c r="G9" i="70"/>
  <c r="L13" i="47"/>
  <c r="AY15" i="6"/>
  <c r="AX15" i="6"/>
  <c r="AZ15" i="6"/>
  <c r="BA15" i="6"/>
  <c r="BB15" i="6"/>
  <c r="BC15" i="6"/>
  <c r="BD15" i="6"/>
  <c r="BE15" i="6"/>
  <c r="BE16" i="6"/>
  <c r="T84" i="2"/>
  <c r="L84" i="2"/>
  <c r="J55" i="23"/>
  <c r="L85" i="2"/>
  <c r="J56" i="23"/>
  <c r="J57" i="23"/>
  <c r="H19" i="23"/>
  <c r="L19" i="23"/>
  <c r="BZ11" i="61"/>
  <c r="BZ16" i="61"/>
  <c r="BI11" i="61"/>
  <c r="BI16" i="61"/>
  <c r="BJ11" i="61"/>
  <c r="BJ16" i="61"/>
  <c r="O15" i="7" a="1"/>
  <c r="O15" i="7"/>
  <c r="X15" i="7"/>
  <c r="AF15" i="7"/>
  <c r="T15" i="7"/>
  <c r="AG15" i="7"/>
  <c r="AH15" i="7"/>
  <c r="AI15" i="7"/>
  <c r="AF16" i="7"/>
  <c r="AG16" i="7"/>
  <c r="AH16" i="7"/>
  <c r="AI16" i="7"/>
  <c r="T17" i="2"/>
  <c r="L17" i="2"/>
  <c r="J27" i="23"/>
  <c r="AI29" i="7"/>
  <c r="AI30" i="7"/>
  <c r="T21" i="2"/>
  <c r="L21" i="2"/>
  <c r="J28" i="23"/>
  <c r="AI43" i="7"/>
  <c r="AI44" i="7"/>
  <c r="T25" i="2"/>
  <c r="L25" i="2"/>
  <c r="J29" i="23"/>
  <c r="AI57" i="7"/>
  <c r="AI58" i="7"/>
  <c r="T29" i="2"/>
  <c r="L29" i="2"/>
  <c r="J30" i="23"/>
  <c r="L34" i="2"/>
  <c r="J32" i="23"/>
  <c r="L38" i="2"/>
  <c r="J33" i="23"/>
  <c r="L42" i="2"/>
  <c r="J34" i="23"/>
  <c r="L44" i="2"/>
  <c r="AI110" i="7"/>
  <c r="AI111" i="7"/>
  <c r="T44" i="2"/>
  <c r="J35" i="23"/>
  <c r="J36" i="23"/>
  <c r="H14" i="23"/>
  <c r="X18" i="7"/>
  <c r="AF18" i="7"/>
  <c r="AG18" i="7"/>
  <c r="AH18" i="7"/>
  <c r="AI18" i="7"/>
  <c r="AI19" i="7"/>
  <c r="T18" i="2"/>
  <c r="L18" i="2"/>
  <c r="K27" i="23"/>
  <c r="X32" i="7"/>
  <c r="AF32" i="7"/>
  <c r="AG32" i="7"/>
  <c r="AH32" i="7"/>
  <c r="AI32" i="7"/>
  <c r="AI33" i="7"/>
  <c r="T22" i="2"/>
  <c r="L22" i="2"/>
  <c r="K28" i="23"/>
  <c r="AI46" i="7"/>
  <c r="AI47" i="7"/>
  <c r="T26" i="2"/>
  <c r="L26" i="2"/>
  <c r="K29" i="23"/>
  <c r="AI60" i="7"/>
  <c r="AI61" i="7"/>
  <c r="T30" i="2"/>
  <c r="L30" i="2"/>
  <c r="K30" i="23"/>
  <c r="L35" i="2"/>
  <c r="K32" i="23"/>
  <c r="L39" i="2"/>
  <c r="K33" i="23"/>
  <c r="K36" i="23"/>
  <c r="I14" i="23"/>
  <c r="AI21" i="7"/>
  <c r="AI22" i="7"/>
  <c r="T19" i="2"/>
  <c r="L19" i="2"/>
  <c r="L27" i="23"/>
  <c r="AI35" i="7"/>
  <c r="AI36" i="7"/>
  <c r="T23" i="2"/>
  <c r="L23" i="2"/>
  <c r="L28" i="23"/>
  <c r="AI49" i="7"/>
  <c r="AI50" i="7"/>
  <c r="T27" i="2"/>
  <c r="L27" i="2"/>
  <c r="L29" i="23"/>
  <c r="AI63" i="7"/>
  <c r="AI64" i="7"/>
  <c r="T31" i="2"/>
  <c r="L31" i="2"/>
  <c r="L30" i="23"/>
  <c r="L36" i="2"/>
  <c r="L32" i="23"/>
  <c r="L40" i="2"/>
  <c r="L33" i="23"/>
  <c r="L36" i="23"/>
  <c r="J14" i="23"/>
  <c r="L14" i="23"/>
  <c r="AH15" i="11"/>
  <c r="AI15" i="11"/>
  <c r="AJ15" i="11"/>
  <c r="AK15" i="11"/>
  <c r="AH16" i="11"/>
  <c r="AI16" i="11"/>
  <c r="AJ16" i="11"/>
  <c r="AK16" i="11"/>
  <c r="T47" i="2"/>
  <c r="L47" i="2"/>
  <c r="J38" i="23"/>
  <c r="AH29" i="11"/>
  <c r="AI29" i="11"/>
  <c r="AJ29" i="11"/>
  <c r="AK29" i="11"/>
  <c r="AH30" i="11"/>
  <c r="AI30" i="11"/>
  <c r="AJ30" i="11"/>
  <c r="AK30" i="11"/>
  <c r="T51" i="2"/>
  <c r="L51" i="2"/>
  <c r="J39" i="23"/>
  <c r="AH43" i="11"/>
  <c r="AI43" i="11"/>
  <c r="AJ43" i="11"/>
  <c r="AK43" i="11"/>
  <c r="AH44" i="11"/>
  <c r="AI44" i="11"/>
  <c r="AJ44" i="11"/>
  <c r="AK44" i="11"/>
  <c r="T55" i="2"/>
  <c r="L55" i="2"/>
  <c r="J40" i="23"/>
  <c r="AK57" i="11"/>
  <c r="AK58" i="11"/>
  <c r="T59" i="2"/>
  <c r="L59" i="2"/>
  <c r="J41" i="23"/>
  <c r="L63" i="2"/>
  <c r="J42" i="23"/>
  <c r="J43" i="23"/>
  <c r="H16" i="23"/>
  <c r="AK18" i="11"/>
  <c r="AK19" i="11"/>
  <c r="T48" i="2"/>
  <c r="L48" i="2"/>
  <c r="K38" i="23"/>
  <c r="AH32" i="11"/>
  <c r="AI32" i="11"/>
  <c r="AJ32" i="11"/>
  <c r="AK32" i="11"/>
  <c r="AK33" i="11"/>
  <c r="T52" i="2"/>
  <c r="L52" i="2"/>
  <c r="K39" i="23"/>
  <c r="AK46" i="11"/>
  <c r="AK47" i="11"/>
  <c r="T56" i="2"/>
  <c r="L56" i="2"/>
  <c r="K40" i="23"/>
  <c r="L60" i="2"/>
  <c r="K41" i="23"/>
  <c r="L64" i="2"/>
  <c r="K42" i="23"/>
  <c r="K43" i="23"/>
  <c r="I16" i="23"/>
  <c r="L49" i="2"/>
  <c r="L38" i="23"/>
  <c r="AK35" i="11"/>
  <c r="AK36" i="11"/>
  <c r="T53" i="2"/>
  <c r="L53" i="2"/>
  <c r="L39" i="23"/>
  <c r="AK49" i="11"/>
  <c r="AK50" i="11"/>
  <c r="T57" i="2"/>
  <c r="L57" i="2"/>
  <c r="L40" i="23"/>
  <c r="L61" i="2"/>
  <c r="L41" i="23"/>
  <c r="L65" i="2"/>
  <c r="L42" i="23"/>
  <c r="L43" i="23"/>
  <c r="J16" i="23"/>
  <c r="L16" i="23"/>
  <c r="AF15" i="8"/>
  <c r="AG15" i="8"/>
  <c r="AH15" i="8"/>
  <c r="AI15" i="8"/>
  <c r="AF16" i="8"/>
  <c r="AG16" i="8"/>
  <c r="AH16" i="8"/>
  <c r="AI16" i="8"/>
  <c r="T68" i="2"/>
  <c r="L68" i="2"/>
  <c r="J45" i="23"/>
  <c r="AF29" i="8"/>
  <c r="AG29" i="8"/>
  <c r="AH29" i="8"/>
  <c r="AI29" i="8"/>
  <c r="AI30" i="8"/>
  <c r="T72" i="2"/>
  <c r="L72" i="2"/>
  <c r="J46" i="23"/>
  <c r="AF43" i="8"/>
  <c r="AG43" i="8"/>
  <c r="AH43" i="8"/>
  <c r="AI43" i="8"/>
  <c r="AF44" i="8"/>
  <c r="AG44" i="8"/>
  <c r="AH44" i="8"/>
  <c r="AI44" i="8"/>
  <c r="T76" i="2"/>
  <c r="L76" i="2"/>
  <c r="J47" i="23"/>
  <c r="AF57" i="8"/>
  <c r="AG57" i="8"/>
  <c r="AH57" i="8"/>
  <c r="AI57" i="8"/>
  <c r="AI58" i="8"/>
  <c r="T80" i="2"/>
  <c r="L80" i="2"/>
  <c r="J48" i="23"/>
  <c r="J53" i="23"/>
  <c r="H17" i="23"/>
  <c r="AI18" i="8"/>
  <c r="AI19" i="8"/>
  <c r="T69" i="2"/>
  <c r="L69" i="2"/>
  <c r="L45" i="23"/>
  <c r="AF32" i="8"/>
  <c r="AG32" i="8"/>
  <c r="AH32" i="8"/>
  <c r="AI32" i="8"/>
  <c r="AI33" i="8"/>
  <c r="T73" i="2"/>
  <c r="L73" i="2"/>
  <c r="L46" i="23"/>
  <c r="AI46" i="8"/>
  <c r="AI47" i="8"/>
  <c r="T77" i="2"/>
  <c r="L77" i="2"/>
  <c r="L47" i="23"/>
  <c r="AF60" i="8"/>
  <c r="AG60" i="8"/>
  <c r="AH60" i="8"/>
  <c r="AI60" i="8"/>
  <c r="AF61" i="8"/>
  <c r="AG61" i="8"/>
  <c r="AH61" i="8"/>
  <c r="AI61" i="8"/>
  <c r="T81" i="2"/>
  <c r="L81" i="2"/>
  <c r="L48" i="23"/>
  <c r="L53" i="23"/>
  <c r="J17" i="23"/>
  <c r="L17" i="23"/>
  <c r="AG15" i="10"/>
  <c r="AG16" i="10"/>
  <c r="T87" i="2"/>
  <c r="L87" i="2"/>
  <c r="J59" i="23"/>
  <c r="AG23" i="10"/>
  <c r="T88" i="2"/>
  <c r="L88" i="2"/>
  <c r="J60" i="23"/>
  <c r="AG31" i="10"/>
  <c r="AG32" i="10"/>
  <c r="T89" i="2"/>
  <c r="L89" i="2"/>
  <c r="J61" i="23"/>
  <c r="J62" i="23"/>
  <c r="H20" i="23"/>
  <c r="L20" i="23"/>
  <c r="L22" i="23"/>
  <c r="BQ11" i="61"/>
  <c r="BQ16" i="61"/>
  <c r="M19" i="23"/>
  <c r="M14" i="23"/>
  <c r="M16" i="23"/>
  <c r="M17" i="23"/>
  <c r="M20" i="23"/>
  <c r="AG16" i="13"/>
  <c r="T91" i="2"/>
  <c r="L91" i="2"/>
  <c r="L64" i="23"/>
  <c r="J21" i="23"/>
  <c r="M21" i="23"/>
  <c r="M22" i="23"/>
  <c r="BR11" i="61"/>
  <c r="BR16" i="61"/>
  <c r="AI66" i="7"/>
  <c r="AI67" i="7"/>
  <c r="T32" i="2"/>
  <c r="L32" i="2"/>
  <c r="H15" i="23"/>
  <c r="AI21" i="8"/>
  <c r="AI22" i="8"/>
  <c r="T70" i="2"/>
  <c r="L70" i="2"/>
  <c r="J49" i="23"/>
  <c r="AI35" i="8"/>
  <c r="AI36" i="8"/>
  <c r="T74" i="2"/>
  <c r="L74" i="2"/>
  <c r="J50" i="23"/>
  <c r="AI49" i="8"/>
  <c r="AI50" i="8"/>
  <c r="T78" i="2"/>
  <c r="L78" i="2"/>
  <c r="J51" i="23"/>
  <c r="AF63" i="8"/>
  <c r="AG63" i="8"/>
  <c r="AH63" i="8"/>
  <c r="AI63" i="8"/>
  <c r="AF64" i="8"/>
  <c r="AG64" i="8"/>
  <c r="AH64" i="8"/>
  <c r="AI64" i="8"/>
  <c r="T82" i="2"/>
  <c r="L82" i="2"/>
  <c r="J52" i="23"/>
  <c r="H18" i="23"/>
  <c r="H22" i="23"/>
  <c r="BS11" i="61"/>
  <c r="BS16" i="61"/>
  <c r="B19" i="47"/>
  <c r="B16" i="47"/>
  <c r="B14" i="47"/>
  <c r="B11" i="70"/>
  <c r="B12" i="70"/>
  <c r="B13" i="70"/>
  <c r="B14" i="70"/>
  <c r="B15" i="70"/>
  <c r="B16" i="70"/>
  <c r="B17" i="70"/>
  <c r="B18" i="70"/>
  <c r="B19" i="70"/>
  <c r="B20" i="70"/>
  <c r="B21" i="70"/>
  <c r="B22" i="70"/>
  <c r="B23" i="70"/>
  <c r="B24" i="70"/>
  <c r="B25" i="70"/>
  <c r="B26" i="70"/>
  <c r="B27" i="70"/>
  <c r="B28" i="70"/>
  <c r="B29" i="70"/>
  <c r="B30" i="70"/>
  <c r="B31" i="70"/>
  <c r="B32" i="70"/>
  <c r="B33" i="70"/>
  <c r="B34" i="70"/>
  <c r="B35" i="70"/>
  <c r="B36" i="70"/>
  <c r="B37" i="70"/>
  <c r="B38" i="70"/>
  <c r="B39" i="70"/>
  <c r="B40" i="70"/>
  <c r="B41" i="70"/>
  <c r="B42" i="70"/>
  <c r="B43" i="70"/>
  <c r="B44" i="70"/>
  <c r="B45" i="70"/>
  <c r="B46" i="70"/>
  <c r="B47" i="70"/>
  <c r="B48" i="70"/>
  <c r="B49" i="70"/>
  <c r="B50" i="70"/>
  <c r="B51" i="70"/>
  <c r="B52" i="70"/>
  <c r="B53" i="70"/>
  <c r="B54" i="70"/>
  <c r="B55" i="70"/>
  <c r="B56" i="70"/>
  <c r="B57" i="70"/>
  <c r="B58" i="70"/>
  <c r="B59" i="70"/>
  <c r="B60" i="70"/>
  <c r="B61" i="70"/>
  <c r="B62" i="70"/>
  <c r="B63" i="70"/>
  <c r="B64" i="70"/>
  <c r="B65" i="70"/>
  <c r="B66" i="70"/>
  <c r="B67" i="70"/>
  <c r="B68" i="70"/>
  <c r="L15" i="47"/>
  <c r="C35" i="70"/>
  <c r="D35" i="70"/>
  <c r="E35" i="70"/>
  <c r="F35" i="70"/>
  <c r="C36" i="70"/>
  <c r="D36" i="70"/>
  <c r="E36" i="70"/>
  <c r="F36" i="70"/>
  <c r="C37" i="70"/>
  <c r="D37" i="70"/>
  <c r="E37" i="70"/>
  <c r="F37" i="70"/>
  <c r="C38" i="70"/>
  <c r="D38" i="70"/>
  <c r="E38" i="70"/>
  <c r="F38" i="70"/>
  <c r="C39" i="70"/>
  <c r="D39" i="70"/>
  <c r="E39" i="70"/>
  <c r="F39" i="70"/>
  <c r="C40" i="70"/>
  <c r="D40" i="70"/>
  <c r="E40" i="70"/>
  <c r="F40" i="70"/>
  <c r="C41" i="70"/>
  <c r="D41" i="70"/>
  <c r="E41" i="70"/>
  <c r="F41" i="70"/>
  <c r="C42" i="70"/>
  <c r="D42" i="70"/>
  <c r="E42" i="70"/>
  <c r="F42" i="70"/>
  <c r="C43" i="70"/>
  <c r="D43" i="70"/>
  <c r="E43" i="70"/>
  <c r="F43" i="70"/>
  <c r="C44" i="70"/>
  <c r="D44" i="70"/>
  <c r="E44" i="70"/>
  <c r="F44" i="70"/>
  <c r="C45" i="70"/>
  <c r="D45" i="70"/>
  <c r="E45" i="70"/>
  <c r="F45" i="70"/>
  <c r="C46" i="70"/>
  <c r="D46" i="70"/>
  <c r="E46" i="70"/>
  <c r="F46" i="70"/>
  <c r="C47" i="70"/>
  <c r="D47" i="70"/>
  <c r="E47" i="70"/>
  <c r="F47" i="70"/>
  <c r="C48" i="70"/>
  <c r="D48" i="70"/>
  <c r="E48" i="70"/>
  <c r="F48" i="70"/>
  <c r="C49" i="70"/>
  <c r="D49" i="70"/>
  <c r="E49" i="70"/>
  <c r="F49" i="70"/>
  <c r="C50" i="70"/>
  <c r="D50" i="70"/>
  <c r="E50" i="70"/>
  <c r="F50" i="70"/>
  <c r="C51" i="70"/>
  <c r="D51" i="70"/>
  <c r="E51" i="70"/>
  <c r="F51" i="70"/>
  <c r="C52" i="70"/>
  <c r="D52" i="70"/>
  <c r="E52" i="70"/>
  <c r="F52" i="70"/>
  <c r="C53" i="70"/>
  <c r="D53" i="70"/>
  <c r="E53" i="70"/>
  <c r="F53" i="70"/>
  <c r="C54" i="70"/>
  <c r="D54" i="70"/>
  <c r="E54" i="70"/>
  <c r="F54" i="70"/>
  <c r="C55" i="70"/>
  <c r="D55" i="70"/>
  <c r="E55" i="70"/>
  <c r="F55" i="70"/>
  <c r="C56" i="70"/>
  <c r="D56" i="70"/>
  <c r="E56" i="70"/>
  <c r="F56" i="70"/>
  <c r="C57" i="70"/>
  <c r="D57" i="70"/>
  <c r="E57" i="70"/>
  <c r="F57" i="70"/>
  <c r="C58" i="70"/>
  <c r="D58" i="70"/>
  <c r="E58" i="70"/>
  <c r="F58" i="70"/>
  <c r="C59" i="70"/>
  <c r="D59" i="70"/>
  <c r="E59" i="70"/>
  <c r="F59" i="70"/>
  <c r="C60" i="70"/>
  <c r="D60" i="70"/>
  <c r="E60" i="70"/>
  <c r="F60" i="70"/>
  <c r="C61" i="70"/>
  <c r="D61" i="70"/>
  <c r="E61" i="70"/>
  <c r="F61" i="70"/>
  <c r="C62" i="70"/>
  <c r="D62" i="70"/>
  <c r="E62" i="70"/>
  <c r="F62" i="70"/>
  <c r="C63" i="70"/>
  <c r="D63" i="70"/>
  <c r="E63" i="70"/>
  <c r="F63" i="70"/>
  <c r="C64" i="70"/>
  <c r="D64" i="70"/>
  <c r="E64" i="70"/>
  <c r="F64" i="70"/>
  <c r="C65" i="70"/>
  <c r="D65" i="70"/>
  <c r="E65" i="70"/>
  <c r="F65" i="70"/>
  <c r="C66" i="70"/>
  <c r="D66" i="70"/>
  <c r="E66" i="70"/>
  <c r="F66" i="70"/>
  <c r="C67" i="70"/>
  <c r="D67" i="70"/>
  <c r="E67" i="70"/>
  <c r="F67" i="70"/>
  <c r="C68" i="70"/>
  <c r="D68" i="70"/>
  <c r="E68" i="70"/>
  <c r="F68" i="70"/>
  <c r="CO30" i="5"/>
  <c r="CO24" i="5"/>
  <c r="CO25" i="5"/>
  <c r="CO26" i="5"/>
  <c r="CO23" i="5"/>
  <c r="CO21" i="5"/>
  <c r="CO22" i="5"/>
  <c r="AJ184" i="46"/>
  <c r="AK188" i="46"/>
  <c r="AL188" i="46"/>
  <c r="AM188" i="46"/>
  <c r="AN52" i="46"/>
  <c r="AN86" i="46"/>
  <c r="AJ86" i="46"/>
  <c r="AN188" i="46"/>
  <c r="AK189" i="46"/>
  <c r="AL189" i="46"/>
  <c r="AM189" i="46"/>
  <c r="AN53" i="46"/>
  <c r="AN87" i="46"/>
  <c r="AJ87" i="46"/>
  <c r="AN189" i="46"/>
  <c r="AK190" i="46"/>
  <c r="AL190" i="46"/>
  <c r="AM190" i="46"/>
  <c r="AN54" i="46"/>
  <c r="AN88" i="46"/>
  <c r="AJ88" i="46"/>
  <c r="AN190" i="46"/>
  <c r="AK191" i="46"/>
  <c r="AL191" i="46"/>
  <c r="AM191" i="46"/>
  <c r="AN55" i="46"/>
  <c r="AN89" i="46"/>
  <c r="AJ89" i="46"/>
  <c r="AN191" i="46"/>
  <c r="AK192" i="46"/>
  <c r="AL192" i="46"/>
  <c r="AM192" i="46"/>
  <c r="AN56" i="46"/>
  <c r="AN90" i="46"/>
  <c r="AJ90" i="46"/>
  <c r="AN192" i="46"/>
  <c r="AK193" i="46"/>
  <c r="AL193" i="46"/>
  <c r="AM193" i="46"/>
  <c r="AN57" i="46"/>
  <c r="AN91" i="46"/>
  <c r="AJ91" i="46"/>
  <c r="AN193" i="46"/>
  <c r="AK194" i="46"/>
  <c r="AL194" i="46"/>
  <c r="AM194" i="46"/>
  <c r="AN58" i="46"/>
  <c r="AN92" i="46"/>
  <c r="AJ92" i="46"/>
  <c r="AN194" i="46"/>
  <c r="AK195" i="46"/>
  <c r="AL195" i="46"/>
  <c r="AM195" i="46"/>
  <c r="AN59" i="46"/>
  <c r="AN93" i="46"/>
  <c r="AJ93" i="46"/>
  <c r="AN195" i="46"/>
  <c r="AK196" i="46"/>
  <c r="AL196" i="46"/>
  <c r="AM196" i="46"/>
  <c r="AN60" i="46"/>
  <c r="AN94" i="46"/>
  <c r="AJ94" i="46"/>
  <c r="AN196" i="46"/>
  <c r="AK197" i="46"/>
  <c r="AL197" i="46"/>
  <c r="AM197" i="46"/>
  <c r="AN61" i="46"/>
  <c r="AN95" i="46"/>
  <c r="AJ95" i="46"/>
  <c r="AN197" i="46"/>
  <c r="AK198" i="46"/>
  <c r="AL198" i="46"/>
  <c r="AM198" i="46"/>
  <c r="AN62" i="46"/>
  <c r="AN96" i="46"/>
  <c r="AJ96" i="46"/>
  <c r="AN198" i="46"/>
  <c r="AK199" i="46"/>
  <c r="AL199" i="46"/>
  <c r="AM199" i="46"/>
  <c r="AN63" i="46"/>
  <c r="AN97" i="46"/>
  <c r="AJ97" i="46"/>
  <c r="AN199" i="46"/>
  <c r="AK200" i="46"/>
  <c r="AL200" i="46"/>
  <c r="AM200" i="46"/>
  <c r="AN64" i="46"/>
  <c r="AN98" i="46"/>
  <c r="AJ98" i="46"/>
  <c r="AJ99" i="46"/>
  <c r="AN200" i="46"/>
  <c r="AK201" i="46"/>
  <c r="AL201" i="46"/>
  <c r="AM201" i="46"/>
  <c r="AN65" i="46"/>
  <c r="AN99" i="46"/>
  <c r="AJ100" i="46"/>
  <c r="AN201" i="46"/>
  <c r="AK202" i="46"/>
  <c r="AL202" i="46"/>
  <c r="AM202" i="46"/>
  <c r="AN66" i="46"/>
  <c r="AN100" i="46"/>
  <c r="AJ101" i="46"/>
  <c r="AN202" i="46"/>
  <c r="AK203" i="46"/>
  <c r="AL203" i="46"/>
  <c r="AM203" i="46"/>
  <c r="AN67" i="46"/>
  <c r="AN101" i="46"/>
  <c r="AJ102" i="46"/>
  <c r="AN203" i="46"/>
  <c r="AK204" i="46"/>
  <c r="AL204" i="46"/>
  <c r="AM204" i="46"/>
  <c r="AN68" i="46"/>
  <c r="AN102" i="46"/>
  <c r="AJ103" i="46"/>
  <c r="AN204" i="46"/>
  <c r="AK205" i="46"/>
  <c r="AL205" i="46"/>
  <c r="AM205" i="46"/>
  <c r="AN69" i="46"/>
  <c r="AN103" i="46"/>
  <c r="AJ104" i="46"/>
  <c r="AN205" i="46"/>
  <c r="AK206" i="46"/>
  <c r="AL206" i="46"/>
  <c r="AM206" i="46"/>
  <c r="AN70" i="46"/>
  <c r="AN104" i="46"/>
  <c r="AJ105" i="46"/>
  <c r="AN206" i="46"/>
  <c r="AK207" i="46"/>
  <c r="AL207" i="46"/>
  <c r="AM207" i="46"/>
  <c r="AN71" i="46"/>
  <c r="AN105" i="46"/>
  <c r="AJ106" i="46"/>
  <c r="AN207" i="46"/>
  <c r="AK208" i="46"/>
  <c r="AL208" i="46"/>
  <c r="AM208" i="46"/>
  <c r="AN72" i="46"/>
  <c r="AN106" i="46"/>
  <c r="AJ107" i="46"/>
  <c r="AN208" i="46"/>
  <c r="AK209" i="46"/>
  <c r="AL209" i="46"/>
  <c r="AM209" i="46"/>
  <c r="AN73" i="46"/>
  <c r="AN107" i="46"/>
  <c r="AN209" i="46"/>
  <c r="AK210" i="46"/>
  <c r="AL210" i="46"/>
  <c r="AM210" i="46"/>
  <c r="AN74" i="46"/>
  <c r="AN108" i="46"/>
  <c r="AN210" i="46"/>
  <c r="AK211" i="46"/>
  <c r="AL211" i="46"/>
  <c r="AM211" i="46"/>
  <c r="AN75" i="46"/>
  <c r="AN109" i="46"/>
  <c r="AN211" i="46"/>
  <c r="AK212" i="46"/>
  <c r="AL212" i="46"/>
  <c r="AM212" i="46"/>
  <c r="AN110" i="46"/>
  <c r="AN212" i="46"/>
  <c r="AK213" i="46"/>
  <c r="AL213" i="46"/>
  <c r="AM213" i="46"/>
  <c r="AN213" i="46"/>
  <c r="AK214" i="46"/>
  <c r="AL214" i="46"/>
  <c r="AM214" i="46"/>
  <c r="AN214" i="46"/>
  <c r="AN51" i="46"/>
  <c r="AN85" i="46"/>
  <c r="AN187" i="46"/>
  <c r="AM187" i="46"/>
  <c r="AL187" i="46"/>
  <c r="AK187" i="46"/>
  <c r="AC184" i="46"/>
  <c r="AD51" i="46"/>
  <c r="AD85" i="46"/>
  <c r="AC85" i="46"/>
  <c r="AD187" i="46"/>
  <c r="AD52" i="46"/>
  <c r="AD86" i="46"/>
  <c r="AC86" i="46"/>
  <c r="AD188" i="46"/>
  <c r="AE52" i="46"/>
  <c r="AE86" i="46"/>
  <c r="AE188" i="46"/>
  <c r="AF52" i="46"/>
  <c r="AF86" i="46"/>
  <c r="AF188" i="46"/>
  <c r="AG52" i="46"/>
  <c r="AG86" i="46"/>
  <c r="AG188" i="46"/>
  <c r="AH52" i="46"/>
  <c r="AH86" i="46"/>
  <c r="AH188" i="46"/>
  <c r="AD53" i="46"/>
  <c r="AD87" i="46"/>
  <c r="AC87" i="46"/>
  <c r="AD189" i="46"/>
  <c r="AE53" i="46"/>
  <c r="AE87" i="46"/>
  <c r="AE189" i="46"/>
  <c r="AF53" i="46"/>
  <c r="AF87" i="46"/>
  <c r="AF189" i="46"/>
  <c r="AG53" i="46"/>
  <c r="AG87" i="46"/>
  <c r="AG189" i="46"/>
  <c r="AH53" i="46"/>
  <c r="AH87" i="46"/>
  <c r="AH189" i="46"/>
  <c r="AD54" i="46"/>
  <c r="AD88" i="46"/>
  <c r="AC88" i="46"/>
  <c r="AD190" i="46"/>
  <c r="AE54" i="46"/>
  <c r="AE88" i="46"/>
  <c r="AE190" i="46"/>
  <c r="AF54" i="46"/>
  <c r="AF88" i="46"/>
  <c r="AF190" i="46"/>
  <c r="AG54" i="46"/>
  <c r="AG88" i="46"/>
  <c r="AG190" i="46"/>
  <c r="AH54" i="46"/>
  <c r="AH88" i="46"/>
  <c r="AH190" i="46"/>
  <c r="AD55" i="46"/>
  <c r="AD89" i="46"/>
  <c r="AC89" i="46"/>
  <c r="AD191" i="46"/>
  <c r="AE55" i="46"/>
  <c r="AE89" i="46"/>
  <c r="AE191" i="46"/>
  <c r="AF55" i="46"/>
  <c r="AF89" i="46"/>
  <c r="AF191" i="46"/>
  <c r="AG55" i="46"/>
  <c r="AG89" i="46"/>
  <c r="AG191" i="46"/>
  <c r="AH55" i="46"/>
  <c r="AH89" i="46"/>
  <c r="AH191" i="46"/>
  <c r="AD56" i="46"/>
  <c r="AD90" i="46"/>
  <c r="AC90" i="46"/>
  <c r="AD192" i="46"/>
  <c r="AE56" i="46"/>
  <c r="AE90" i="46"/>
  <c r="AE192" i="46"/>
  <c r="AF56" i="46"/>
  <c r="AF90" i="46"/>
  <c r="AF192" i="46"/>
  <c r="AG56" i="46"/>
  <c r="AG90" i="46"/>
  <c r="AG192" i="46"/>
  <c r="AH56" i="46"/>
  <c r="AH90" i="46"/>
  <c r="AH192" i="46"/>
  <c r="AD57" i="46"/>
  <c r="AD91" i="46"/>
  <c r="AC91" i="46"/>
  <c r="AD193" i="46"/>
  <c r="AE57" i="46"/>
  <c r="AE91" i="46"/>
  <c r="AE193" i="46"/>
  <c r="AF57" i="46"/>
  <c r="AF91" i="46"/>
  <c r="AF193" i="46"/>
  <c r="AG57" i="46"/>
  <c r="AG91" i="46"/>
  <c r="AG193" i="46"/>
  <c r="AH57" i="46"/>
  <c r="AH91" i="46"/>
  <c r="AH193" i="46"/>
  <c r="AD58" i="46"/>
  <c r="AD92" i="46"/>
  <c r="AC92" i="46"/>
  <c r="AD194" i="46"/>
  <c r="AE58" i="46"/>
  <c r="AE92" i="46"/>
  <c r="AE194" i="46"/>
  <c r="AF58" i="46"/>
  <c r="AF92" i="46"/>
  <c r="AF194" i="46"/>
  <c r="AG58" i="46"/>
  <c r="AG92" i="46"/>
  <c r="AG194" i="46"/>
  <c r="AH58" i="46"/>
  <c r="AH92" i="46"/>
  <c r="AH194" i="46"/>
  <c r="AD59" i="46"/>
  <c r="AD93" i="46"/>
  <c r="AC93" i="46"/>
  <c r="AD195" i="46"/>
  <c r="AE59" i="46"/>
  <c r="AE93" i="46"/>
  <c r="AE195" i="46"/>
  <c r="AF59" i="46"/>
  <c r="AF93" i="46"/>
  <c r="AF195" i="46"/>
  <c r="AG59" i="46"/>
  <c r="AG93" i="46"/>
  <c r="AG195" i="46"/>
  <c r="AH59" i="46"/>
  <c r="AH93" i="46"/>
  <c r="AH195" i="46"/>
  <c r="AD60" i="46"/>
  <c r="AD94" i="46"/>
  <c r="AC94" i="46"/>
  <c r="AD196" i="46"/>
  <c r="AE60" i="46"/>
  <c r="AE94" i="46"/>
  <c r="AE196" i="46"/>
  <c r="AF60" i="46"/>
  <c r="AF94" i="46"/>
  <c r="AF196" i="46"/>
  <c r="AG60" i="46"/>
  <c r="AG94" i="46"/>
  <c r="AG196" i="46"/>
  <c r="AH60" i="46"/>
  <c r="AH94" i="46"/>
  <c r="AH196" i="46"/>
  <c r="AD61" i="46"/>
  <c r="AD95" i="46"/>
  <c r="AC95" i="46"/>
  <c r="AD197" i="46"/>
  <c r="AE61" i="46"/>
  <c r="AE95" i="46"/>
  <c r="AE197" i="46"/>
  <c r="AF61" i="46"/>
  <c r="AF95" i="46"/>
  <c r="AF197" i="46"/>
  <c r="AG61" i="46"/>
  <c r="AG95" i="46"/>
  <c r="AG197" i="46"/>
  <c r="AH61" i="46"/>
  <c r="AH95" i="46"/>
  <c r="AH197" i="46"/>
  <c r="AD62" i="46"/>
  <c r="AD96" i="46"/>
  <c r="AC96" i="46"/>
  <c r="AD198" i="46"/>
  <c r="AE62" i="46"/>
  <c r="AE96" i="46"/>
  <c r="AE198" i="46"/>
  <c r="AF62" i="46"/>
  <c r="AF96" i="46"/>
  <c r="AF198" i="46"/>
  <c r="AG62" i="46"/>
  <c r="AG96" i="46"/>
  <c r="AG198" i="46"/>
  <c r="AH62" i="46"/>
  <c r="AH96" i="46"/>
  <c r="AH198" i="46"/>
  <c r="AD63" i="46"/>
  <c r="AD97" i="46"/>
  <c r="AC97" i="46"/>
  <c r="AD199" i="46"/>
  <c r="AE63" i="46"/>
  <c r="AE97" i="46"/>
  <c r="AE199" i="46"/>
  <c r="AF63" i="46"/>
  <c r="AF97" i="46"/>
  <c r="AF199" i="46"/>
  <c r="AG63" i="46"/>
  <c r="AG97" i="46"/>
  <c r="AG199" i="46"/>
  <c r="AH63" i="46"/>
  <c r="AH97" i="46"/>
  <c r="AH199" i="46"/>
  <c r="AD64" i="46"/>
  <c r="AD98" i="46"/>
  <c r="AC98" i="46"/>
  <c r="AC99" i="46"/>
  <c r="AD200" i="46"/>
  <c r="AE64" i="46"/>
  <c r="AE98" i="46"/>
  <c r="AE200" i="46"/>
  <c r="AF64" i="46"/>
  <c r="AF98" i="46"/>
  <c r="AF200" i="46"/>
  <c r="AG64" i="46"/>
  <c r="AG98" i="46"/>
  <c r="AG200" i="46"/>
  <c r="AH64" i="46"/>
  <c r="AH98" i="46"/>
  <c r="AH200" i="46"/>
  <c r="AD65" i="46"/>
  <c r="AD99" i="46"/>
  <c r="AC100" i="46"/>
  <c r="AD201" i="46"/>
  <c r="AE65" i="46"/>
  <c r="AE99" i="46"/>
  <c r="AE201" i="46"/>
  <c r="AF65" i="46"/>
  <c r="AF99" i="46"/>
  <c r="AF201" i="46"/>
  <c r="AG65" i="46"/>
  <c r="AG99" i="46"/>
  <c r="AG201" i="46"/>
  <c r="AH65" i="46"/>
  <c r="AH99" i="46"/>
  <c r="AH201" i="46"/>
  <c r="AD66" i="46"/>
  <c r="AD100" i="46"/>
  <c r="AC101" i="46"/>
  <c r="AD202" i="46"/>
  <c r="AE66" i="46"/>
  <c r="AE100" i="46"/>
  <c r="AE202" i="46"/>
  <c r="AF66" i="46"/>
  <c r="AF100" i="46"/>
  <c r="AF202" i="46"/>
  <c r="AG66" i="46"/>
  <c r="AG100" i="46"/>
  <c r="AG202" i="46"/>
  <c r="AH66" i="46"/>
  <c r="AH100" i="46"/>
  <c r="AH202" i="46"/>
  <c r="AD67" i="46"/>
  <c r="AD101" i="46"/>
  <c r="AC102" i="46"/>
  <c r="AD203" i="46"/>
  <c r="AE67" i="46"/>
  <c r="AE101" i="46"/>
  <c r="AE203" i="46"/>
  <c r="AF67" i="46"/>
  <c r="AF101" i="46"/>
  <c r="AF203" i="46"/>
  <c r="AG67" i="46"/>
  <c r="AG101" i="46"/>
  <c r="AG203" i="46"/>
  <c r="AH67" i="46"/>
  <c r="AH101" i="46"/>
  <c r="AH203" i="46"/>
  <c r="AD68" i="46"/>
  <c r="AD102" i="46"/>
  <c r="AC103" i="46"/>
  <c r="AD204" i="46"/>
  <c r="AE68" i="46"/>
  <c r="AE102" i="46"/>
  <c r="AE204" i="46"/>
  <c r="AF68" i="46"/>
  <c r="AF102" i="46"/>
  <c r="AF204" i="46"/>
  <c r="AG68" i="46"/>
  <c r="AG102" i="46"/>
  <c r="AG204" i="46"/>
  <c r="AH68" i="46"/>
  <c r="AH102" i="46"/>
  <c r="AH204" i="46"/>
  <c r="AD69" i="46"/>
  <c r="AD103" i="46"/>
  <c r="AC104" i="46"/>
  <c r="AD205" i="46"/>
  <c r="AE69" i="46"/>
  <c r="AE103" i="46"/>
  <c r="AE205" i="46"/>
  <c r="AF69" i="46"/>
  <c r="AF103" i="46"/>
  <c r="AF205" i="46"/>
  <c r="AG69" i="46"/>
  <c r="AG103" i="46"/>
  <c r="AG205" i="46"/>
  <c r="AH69" i="46"/>
  <c r="AH103" i="46"/>
  <c r="AH205" i="46"/>
  <c r="AD70" i="46"/>
  <c r="AD104" i="46"/>
  <c r="AC105" i="46"/>
  <c r="AD206" i="46"/>
  <c r="AE70" i="46"/>
  <c r="AE104" i="46"/>
  <c r="AE206" i="46"/>
  <c r="AF70" i="46"/>
  <c r="AF104" i="46"/>
  <c r="AF206" i="46"/>
  <c r="AG70" i="46"/>
  <c r="AG104" i="46"/>
  <c r="AG206" i="46"/>
  <c r="AH70" i="46"/>
  <c r="AH104" i="46"/>
  <c r="AH206" i="46"/>
  <c r="AD71" i="46"/>
  <c r="AD105" i="46"/>
  <c r="AC106" i="46"/>
  <c r="AD207" i="46"/>
  <c r="AE71" i="46"/>
  <c r="AE105" i="46"/>
  <c r="AE207" i="46"/>
  <c r="AF71" i="46"/>
  <c r="AF105" i="46"/>
  <c r="AF207" i="46"/>
  <c r="AG71" i="46"/>
  <c r="AG105" i="46"/>
  <c r="AG207" i="46"/>
  <c r="AH71" i="46"/>
  <c r="AH105" i="46"/>
  <c r="AH207" i="46"/>
  <c r="AD72" i="46"/>
  <c r="AD106" i="46"/>
  <c r="AC107" i="46"/>
  <c r="AD208" i="46"/>
  <c r="AE72" i="46"/>
  <c r="AE106" i="46"/>
  <c r="AE208" i="46"/>
  <c r="AF72" i="46"/>
  <c r="AF106" i="46"/>
  <c r="AF208" i="46"/>
  <c r="AG72" i="46"/>
  <c r="AG106" i="46"/>
  <c r="AG208" i="46"/>
  <c r="AH72" i="46"/>
  <c r="AH106" i="46"/>
  <c r="AH208" i="46"/>
  <c r="AD73" i="46"/>
  <c r="AD107" i="46"/>
  <c r="AD209" i="46"/>
  <c r="AE73" i="46"/>
  <c r="AE107" i="46"/>
  <c r="AE209" i="46"/>
  <c r="AF73" i="46"/>
  <c r="AF107" i="46"/>
  <c r="AF209" i="46"/>
  <c r="AG73" i="46"/>
  <c r="AG107" i="46"/>
  <c r="AG209" i="46"/>
  <c r="AH73" i="46"/>
  <c r="AH107" i="46"/>
  <c r="AH209" i="46"/>
  <c r="AD74" i="46"/>
  <c r="AD108" i="46"/>
  <c r="AD210" i="46"/>
  <c r="AE74" i="46"/>
  <c r="AE108" i="46"/>
  <c r="AE210" i="46"/>
  <c r="AF74" i="46"/>
  <c r="AF108" i="46"/>
  <c r="AF210" i="46"/>
  <c r="AG74" i="46"/>
  <c r="AG108" i="46"/>
  <c r="AG210" i="46"/>
  <c r="AH74" i="46"/>
  <c r="AH108" i="46"/>
  <c r="AH210" i="46"/>
  <c r="AD75" i="46"/>
  <c r="AD109" i="46"/>
  <c r="AD211" i="46"/>
  <c r="AE75" i="46"/>
  <c r="AE109" i="46"/>
  <c r="AE211" i="46"/>
  <c r="AF75" i="46"/>
  <c r="AF109" i="46"/>
  <c r="AF211" i="46"/>
  <c r="AG75" i="46"/>
  <c r="AG109" i="46"/>
  <c r="AG211" i="46"/>
  <c r="AH75" i="46"/>
  <c r="AH109" i="46"/>
  <c r="AH211" i="46"/>
  <c r="AD110" i="46"/>
  <c r="AD212" i="46"/>
  <c r="AE110" i="46"/>
  <c r="AE212" i="46"/>
  <c r="AF110" i="46"/>
  <c r="AF212" i="46"/>
  <c r="AG110" i="46"/>
  <c r="AG212" i="46"/>
  <c r="AH110" i="46"/>
  <c r="AH212" i="46"/>
  <c r="AD213" i="46"/>
  <c r="AE213" i="46"/>
  <c r="AF213" i="46"/>
  <c r="AG213" i="46"/>
  <c r="AH213" i="46"/>
  <c r="AD214" i="46"/>
  <c r="AE214" i="46"/>
  <c r="AF214" i="46"/>
  <c r="AG214" i="46"/>
  <c r="AH214" i="46"/>
  <c r="AH51" i="46"/>
  <c r="AH85" i="46"/>
  <c r="AH187" i="46"/>
  <c r="AG51" i="46"/>
  <c r="AG85" i="46"/>
  <c r="AG187" i="46"/>
  <c r="AF51" i="46"/>
  <c r="AF85" i="46"/>
  <c r="AF187" i="46"/>
  <c r="AE51" i="46"/>
  <c r="AE85" i="46"/>
  <c r="AE187" i="46"/>
  <c r="T51" i="46"/>
  <c r="T85" i="46"/>
  <c r="S85" i="46"/>
  <c r="T187" i="46"/>
  <c r="D9" i="23"/>
  <c r="K10" i="44"/>
  <c r="K9" i="44"/>
  <c r="K8" i="44"/>
  <c r="D9" i="44"/>
  <c r="L64" i="44"/>
  <c r="J61" i="44"/>
  <c r="J60" i="44"/>
  <c r="J59" i="44"/>
  <c r="J56" i="44"/>
  <c r="J55" i="44"/>
  <c r="J52" i="44"/>
  <c r="J51" i="44"/>
  <c r="J50" i="44"/>
  <c r="J49" i="44"/>
  <c r="L48" i="44"/>
  <c r="J48" i="44"/>
  <c r="L47" i="44"/>
  <c r="J47" i="44"/>
  <c r="L46" i="44"/>
  <c r="J46" i="44"/>
  <c r="L45" i="44"/>
  <c r="J45" i="44"/>
  <c r="L42" i="44"/>
  <c r="K42" i="44"/>
  <c r="J42" i="44"/>
  <c r="L41" i="44"/>
  <c r="K41" i="44"/>
  <c r="J41" i="44"/>
  <c r="L40" i="44"/>
  <c r="K40" i="44"/>
  <c r="J40" i="44"/>
  <c r="L39" i="44"/>
  <c r="K39" i="44"/>
  <c r="J39" i="44"/>
  <c r="L38" i="44"/>
  <c r="K38" i="44"/>
  <c r="J38" i="44"/>
  <c r="J35" i="44"/>
  <c r="J34" i="44"/>
  <c r="L33" i="44"/>
  <c r="K33" i="44"/>
  <c r="J33" i="44"/>
  <c r="L32" i="44"/>
  <c r="K32" i="44"/>
  <c r="J32" i="44"/>
  <c r="J31" i="44"/>
  <c r="L30" i="44"/>
  <c r="K30" i="44"/>
  <c r="J30" i="44"/>
  <c r="L29" i="44"/>
  <c r="K29" i="44"/>
  <c r="J29" i="44"/>
  <c r="L28" i="44"/>
  <c r="K28" i="44"/>
  <c r="J28" i="44"/>
  <c r="L27" i="44"/>
  <c r="K27" i="44"/>
  <c r="J27" i="44"/>
  <c r="D13" i="70"/>
  <c r="E13" i="70"/>
  <c r="F13" i="70"/>
  <c r="D14" i="70"/>
  <c r="E14" i="70"/>
  <c r="F14" i="70"/>
  <c r="D15" i="70"/>
  <c r="E15" i="70"/>
  <c r="F15" i="70"/>
  <c r="D16" i="70"/>
  <c r="E16" i="70"/>
  <c r="F16" i="70"/>
  <c r="D17" i="70"/>
  <c r="E17" i="70"/>
  <c r="F17" i="70"/>
  <c r="D18" i="70"/>
  <c r="E18" i="70"/>
  <c r="F18" i="70"/>
  <c r="D19" i="70"/>
  <c r="E19" i="70"/>
  <c r="F19" i="70"/>
  <c r="D20" i="70"/>
  <c r="E20" i="70"/>
  <c r="F20" i="70"/>
  <c r="D21" i="70"/>
  <c r="E21" i="70"/>
  <c r="F21" i="70"/>
  <c r="D22" i="70"/>
  <c r="E22" i="70"/>
  <c r="F22" i="70"/>
  <c r="D23" i="70"/>
  <c r="E23" i="70"/>
  <c r="F23" i="70"/>
  <c r="D24" i="70"/>
  <c r="E24" i="70"/>
  <c r="F24" i="70"/>
  <c r="D25" i="70"/>
  <c r="E25" i="70"/>
  <c r="F25" i="70"/>
  <c r="D26" i="70"/>
  <c r="E26" i="70"/>
  <c r="F26" i="70"/>
  <c r="D27" i="70"/>
  <c r="E27" i="70"/>
  <c r="F27" i="70"/>
  <c r="D28" i="70"/>
  <c r="E28" i="70"/>
  <c r="F28" i="70"/>
  <c r="D29" i="70"/>
  <c r="E29" i="70"/>
  <c r="F29" i="70"/>
  <c r="D30" i="70"/>
  <c r="E30" i="70"/>
  <c r="F30" i="70"/>
  <c r="D31" i="70"/>
  <c r="E31" i="70"/>
  <c r="F31" i="70"/>
  <c r="D32" i="70"/>
  <c r="E32" i="70"/>
  <c r="F32" i="70"/>
  <c r="D33" i="70"/>
  <c r="E33" i="70"/>
  <c r="F33" i="70"/>
  <c r="D34" i="70"/>
  <c r="E34" i="70"/>
  <c r="F34" i="70"/>
  <c r="F12" i="70"/>
  <c r="E12" i="70"/>
  <c r="D12" i="70"/>
  <c r="F11" i="70"/>
  <c r="E11" i="70"/>
  <c r="D11" i="70"/>
  <c r="F10" i="70"/>
  <c r="E10" i="70"/>
  <c r="C11" i="70"/>
  <c r="C12" i="70"/>
  <c r="C13" i="70"/>
  <c r="C14" i="70"/>
  <c r="C15" i="70"/>
  <c r="C16" i="70"/>
  <c r="C17" i="70"/>
  <c r="C18" i="70"/>
  <c r="C19" i="70"/>
  <c r="C20" i="70"/>
  <c r="C21" i="70"/>
  <c r="C22" i="70"/>
  <c r="C23" i="70"/>
  <c r="C24" i="70"/>
  <c r="C25" i="70"/>
  <c r="C26" i="70"/>
  <c r="C27" i="70"/>
  <c r="C28" i="70"/>
  <c r="C29" i="70"/>
  <c r="C30" i="70"/>
  <c r="C31" i="70"/>
  <c r="C32" i="70"/>
  <c r="C33" i="70"/>
  <c r="C34" i="70"/>
  <c r="C10" i="70"/>
  <c r="J15" i="47"/>
  <c r="H15" i="47"/>
  <c r="F15" i="47"/>
  <c r="J14" i="47"/>
  <c r="H14" i="47"/>
  <c r="F14" i="47"/>
  <c r="L63" i="52"/>
  <c r="D63" i="52"/>
  <c r="E63" i="52"/>
  <c r="F63" i="52"/>
  <c r="X63" i="52"/>
  <c r="AA63" i="52"/>
  <c r="L64" i="52"/>
  <c r="D64" i="52"/>
  <c r="E64" i="52"/>
  <c r="F64" i="52"/>
  <c r="X64" i="52"/>
  <c r="AA64" i="52"/>
  <c r="L65" i="52"/>
  <c r="L66" i="52"/>
  <c r="D66" i="52"/>
  <c r="E66" i="52"/>
  <c r="F66" i="52"/>
  <c r="X66" i="52"/>
  <c r="AA66" i="52"/>
  <c r="L67" i="52"/>
  <c r="D67" i="52"/>
  <c r="E67" i="52"/>
  <c r="F67" i="52"/>
  <c r="X67" i="52"/>
  <c r="AA67" i="52"/>
  <c r="L68" i="52"/>
  <c r="L69" i="52"/>
  <c r="L70" i="52"/>
  <c r="L71" i="52"/>
  <c r="D71" i="52"/>
  <c r="E71" i="52"/>
  <c r="F71" i="52"/>
  <c r="X71" i="52"/>
  <c r="AA71" i="52"/>
  <c r="L72" i="52"/>
  <c r="L73" i="52"/>
  <c r="L74" i="52"/>
  <c r="L75" i="52"/>
  <c r="L76" i="52"/>
  <c r="AE77" i="52"/>
  <c r="AD77" i="52"/>
  <c r="P71" i="56"/>
  <c r="K90" i="56"/>
  <c r="J110" i="56"/>
  <c r="I157" i="55"/>
  <c r="C98" i="56"/>
  <c r="B90" i="56"/>
  <c r="G90" i="56"/>
  <c r="I90" i="56"/>
  <c r="J90" i="56"/>
  <c r="B106" i="55"/>
  <c r="C76" i="55"/>
  <c r="D84" i="55"/>
  <c r="F84" i="55"/>
  <c r="U52" i="55"/>
  <c r="H84" i="55"/>
  <c r="U54" i="55"/>
  <c r="J84" i="55"/>
  <c r="U55" i="55"/>
  <c r="L84" i="55"/>
  <c r="U56" i="55"/>
  <c r="U57" i="55"/>
  <c r="T59" i="55"/>
  <c r="D76" i="55"/>
  <c r="J76" i="55"/>
  <c r="K76" i="55"/>
  <c r="D106" i="55"/>
  <c r="H106" i="55"/>
  <c r="I106" i="55"/>
  <c r="F34" i="55"/>
  <c r="J106" i="55"/>
  <c r="D40" i="55"/>
  <c r="B157" i="55"/>
  <c r="D157" i="55"/>
  <c r="E157" i="55"/>
  <c r="F157" i="55"/>
  <c r="G157" i="55"/>
  <c r="H157" i="55"/>
  <c r="B149" i="55"/>
  <c r="D149" i="55"/>
  <c r="E149" i="55"/>
  <c r="F149" i="55"/>
  <c r="G218" i="55"/>
  <c r="G149" i="55"/>
  <c r="H149" i="55"/>
  <c r="I149" i="55"/>
  <c r="B133" i="55"/>
  <c r="D133" i="55"/>
  <c r="E133" i="55"/>
  <c r="F133" i="55"/>
  <c r="G210" i="55"/>
  <c r="G133" i="55"/>
  <c r="H133" i="55"/>
  <c r="I133" i="55"/>
  <c r="H68" i="55"/>
  <c r="F31" i="55"/>
  <c r="C68" i="55"/>
  <c r="J68" i="55"/>
  <c r="D68" i="55"/>
  <c r="F68" i="55"/>
  <c r="N68" i="55"/>
  <c r="O68" i="55"/>
  <c r="P68" i="55"/>
  <c r="C92" i="55"/>
  <c r="Q58" i="55"/>
  <c r="F34" i="53"/>
  <c r="F33" i="53"/>
  <c r="E35" i="53"/>
  <c r="B13" i="63" a="1"/>
  <c r="B13" i="63"/>
  <c r="B12" i="65"/>
  <c r="B14" i="63" a="1"/>
  <c r="B14" i="63"/>
  <c r="B13" i="65"/>
  <c r="B15" i="63" a="1"/>
  <c r="B15" i="63"/>
  <c r="B14" i="65"/>
  <c r="B15" i="65"/>
  <c r="Y13" i="63"/>
  <c r="X13" i="63"/>
  <c r="W13" i="63"/>
  <c r="V13" i="63"/>
  <c r="E13" i="63"/>
  <c r="F13" i="63"/>
  <c r="G13" i="63"/>
  <c r="H13" i="63"/>
  <c r="I13" i="63"/>
  <c r="J13" i="63"/>
  <c r="K13" i="63"/>
  <c r="L13" i="63"/>
  <c r="M13" i="63"/>
  <c r="N13" i="63"/>
  <c r="O13" i="63"/>
  <c r="P13" i="63"/>
  <c r="Q13" i="63"/>
  <c r="R13" i="63"/>
  <c r="S13" i="63"/>
  <c r="T13" i="63"/>
  <c r="U13" i="63"/>
  <c r="E14" i="63"/>
  <c r="F14" i="63"/>
  <c r="G14" i="63"/>
  <c r="H14" i="63"/>
  <c r="I14" i="63"/>
  <c r="J14" i="63"/>
  <c r="K14" i="63"/>
  <c r="L14" i="63"/>
  <c r="M14" i="63"/>
  <c r="N14" i="63"/>
  <c r="O14" i="63"/>
  <c r="P14" i="63"/>
  <c r="Q14" i="63"/>
  <c r="R14" i="63"/>
  <c r="S14" i="63"/>
  <c r="T14" i="63"/>
  <c r="U14" i="63"/>
  <c r="V14" i="63"/>
  <c r="W14" i="63"/>
  <c r="X14" i="63"/>
  <c r="Y14" i="63"/>
  <c r="E15" i="63"/>
  <c r="F15" i="63"/>
  <c r="G15" i="63"/>
  <c r="H15" i="63"/>
  <c r="I15" i="63"/>
  <c r="J15" i="63"/>
  <c r="K15" i="63"/>
  <c r="L15" i="63"/>
  <c r="M15" i="63"/>
  <c r="N15" i="63"/>
  <c r="O15" i="63"/>
  <c r="P15" i="63"/>
  <c r="Q15" i="63"/>
  <c r="R15" i="63"/>
  <c r="S15" i="63"/>
  <c r="T15" i="63"/>
  <c r="U15" i="63"/>
  <c r="V15" i="63"/>
  <c r="W15" i="63"/>
  <c r="X15" i="63"/>
  <c r="Y15" i="63"/>
  <c r="E16" i="63"/>
  <c r="F16" i="63"/>
  <c r="G16" i="63"/>
  <c r="H16" i="63"/>
  <c r="I16" i="63"/>
  <c r="J16" i="63"/>
  <c r="K16" i="63"/>
  <c r="L16" i="63"/>
  <c r="M16" i="63"/>
  <c r="N16" i="63"/>
  <c r="O16" i="63"/>
  <c r="P16" i="63"/>
  <c r="Q16" i="63"/>
  <c r="R16" i="63"/>
  <c r="S16" i="63"/>
  <c r="T16" i="63"/>
  <c r="U16" i="63"/>
  <c r="V16" i="63"/>
  <c r="W16" i="63"/>
  <c r="X16" i="63"/>
  <c r="Y16" i="63"/>
  <c r="B17" i="63" a="1"/>
  <c r="B17" i="63"/>
  <c r="E17" i="63"/>
  <c r="F17" i="63"/>
  <c r="G17" i="63"/>
  <c r="H17" i="63"/>
  <c r="I17" i="63"/>
  <c r="J17" i="63"/>
  <c r="K17" i="63"/>
  <c r="L17" i="63"/>
  <c r="M17" i="63"/>
  <c r="N17" i="63"/>
  <c r="O17" i="63"/>
  <c r="P17" i="63"/>
  <c r="Q17" i="63"/>
  <c r="R17" i="63"/>
  <c r="S17" i="63"/>
  <c r="T17" i="63"/>
  <c r="U17" i="63"/>
  <c r="V17" i="63"/>
  <c r="W17" i="63"/>
  <c r="X17" i="63"/>
  <c r="Y17" i="63"/>
  <c r="C13" i="65"/>
  <c r="D13" i="65"/>
  <c r="E13" i="65"/>
  <c r="C14" i="65"/>
  <c r="D14" i="65"/>
  <c r="E14" i="65"/>
  <c r="C15" i="65"/>
  <c r="D15" i="65"/>
  <c r="E15" i="65"/>
  <c r="B16" i="65"/>
  <c r="C16" i="65"/>
  <c r="D16" i="65"/>
  <c r="E16" i="65"/>
  <c r="C40" i="65"/>
  <c r="D40" i="65"/>
  <c r="B18" i="59"/>
  <c r="AL18" i="59"/>
  <c r="AO18" i="59"/>
  <c r="AP18" i="59"/>
  <c r="AQ18" i="59"/>
  <c r="AR18" i="59"/>
  <c r="AS18" i="59"/>
  <c r="AT18" i="59"/>
  <c r="AU18" i="59"/>
  <c r="AV18" i="59"/>
  <c r="AW18" i="59"/>
  <c r="AX18" i="59"/>
  <c r="AY18" i="59"/>
  <c r="AZ18" i="59"/>
  <c r="BA18" i="59"/>
  <c r="BB18" i="59"/>
  <c r="BC18" i="59"/>
  <c r="BD18" i="59"/>
  <c r="BE18" i="59"/>
  <c r="BF18" i="59"/>
  <c r="BG18" i="59"/>
  <c r="BH18" i="59"/>
  <c r="BI18" i="59"/>
  <c r="BJ18" i="59"/>
  <c r="BK18" i="59"/>
  <c r="BL18" i="59"/>
  <c r="BM18" i="59"/>
  <c r="BN18" i="59"/>
  <c r="BO18" i="59"/>
  <c r="BP18" i="59"/>
  <c r="BQ18" i="59"/>
  <c r="BR18" i="59"/>
  <c r="BS18" i="59"/>
  <c r="BT18" i="59"/>
  <c r="BU18" i="59"/>
  <c r="BV18" i="59"/>
  <c r="BW18" i="59"/>
  <c r="BX18" i="59"/>
  <c r="BY18" i="59"/>
  <c r="BZ18" i="59"/>
  <c r="CA18" i="59"/>
  <c r="CB18" i="59"/>
  <c r="CC18" i="59"/>
  <c r="CD18" i="59"/>
  <c r="CE18" i="59"/>
  <c r="CF18" i="59"/>
  <c r="CG18" i="59"/>
  <c r="CH18" i="59"/>
  <c r="CI18" i="59"/>
  <c r="CJ18" i="59"/>
  <c r="B19" i="59"/>
  <c r="AL19" i="59"/>
  <c r="AO19" i="59"/>
  <c r="AP19" i="59"/>
  <c r="AQ19" i="59"/>
  <c r="AR19" i="59"/>
  <c r="AS19" i="59"/>
  <c r="AT19" i="59"/>
  <c r="AU19" i="59"/>
  <c r="AV19" i="59"/>
  <c r="AW19" i="59"/>
  <c r="AX19" i="59"/>
  <c r="AY19" i="59"/>
  <c r="AZ19" i="59"/>
  <c r="BA19" i="59"/>
  <c r="BB19" i="59"/>
  <c r="BC19" i="59"/>
  <c r="BD19" i="59"/>
  <c r="BE19" i="59"/>
  <c r="BF19" i="59"/>
  <c r="BG19" i="59"/>
  <c r="BH19" i="59"/>
  <c r="BI19" i="59"/>
  <c r="BJ19" i="59"/>
  <c r="BK19" i="59"/>
  <c r="BL19" i="59"/>
  <c r="BM19" i="59"/>
  <c r="BN19" i="59"/>
  <c r="BO19" i="59"/>
  <c r="BP19" i="59"/>
  <c r="BQ19" i="59"/>
  <c r="BR19" i="59"/>
  <c r="BS19" i="59"/>
  <c r="BT19" i="59"/>
  <c r="BU19" i="59"/>
  <c r="BV19" i="59"/>
  <c r="BW19" i="59"/>
  <c r="BX19" i="59"/>
  <c r="BY19" i="59"/>
  <c r="BZ19" i="59"/>
  <c r="CA19" i="59"/>
  <c r="CB19" i="59"/>
  <c r="CC19" i="59"/>
  <c r="CD19" i="59"/>
  <c r="CE19" i="59"/>
  <c r="CF19" i="59"/>
  <c r="CG19" i="59"/>
  <c r="CH19" i="59"/>
  <c r="CI19" i="59"/>
  <c r="CJ19" i="59"/>
  <c r="B20" i="59"/>
  <c r="AL20" i="59"/>
  <c r="AO20" i="59"/>
  <c r="AP20" i="59"/>
  <c r="AQ20" i="59"/>
  <c r="AR20" i="59"/>
  <c r="AS20" i="59"/>
  <c r="AT20" i="59"/>
  <c r="AU20" i="59"/>
  <c r="AV20" i="59"/>
  <c r="AW20" i="59"/>
  <c r="AX20" i="59"/>
  <c r="AY20" i="59"/>
  <c r="AZ20" i="59"/>
  <c r="BA20" i="59"/>
  <c r="BB20" i="59"/>
  <c r="BC20" i="59"/>
  <c r="BD20" i="59"/>
  <c r="BE20" i="59"/>
  <c r="BF20" i="59"/>
  <c r="BG20" i="59"/>
  <c r="BH20" i="59"/>
  <c r="BI20" i="59"/>
  <c r="BJ20" i="59"/>
  <c r="BK20" i="59"/>
  <c r="BL20" i="59"/>
  <c r="BM20" i="59"/>
  <c r="BN20" i="59"/>
  <c r="BO20" i="59"/>
  <c r="BP20" i="59"/>
  <c r="BQ20" i="59"/>
  <c r="BR20" i="59"/>
  <c r="BS20" i="59"/>
  <c r="BT20" i="59"/>
  <c r="BU20" i="59"/>
  <c r="BV20" i="59"/>
  <c r="BW20" i="59"/>
  <c r="BX20" i="59"/>
  <c r="BY20" i="59"/>
  <c r="BZ20" i="59"/>
  <c r="CA20" i="59"/>
  <c r="CB20" i="59"/>
  <c r="CC20" i="59"/>
  <c r="CD20" i="59"/>
  <c r="CE20" i="59"/>
  <c r="CF20" i="59"/>
  <c r="CG20" i="59"/>
  <c r="CH20" i="59"/>
  <c r="CI20" i="59"/>
  <c r="CJ20" i="59"/>
  <c r="B21" i="59"/>
  <c r="AL21" i="59"/>
  <c r="AO21" i="59"/>
  <c r="AP21" i="59"/>
  <c r="AQ21" i="59"/>
  <c r="AR21" i="59"/>
  <c r="AS21" i="59"/>
  <c r="AT21" i="59"/>
  <c r="AU21" i="59"/>
  <c r="AV21" i="59"/>
  <c r="AW21" i="59"/>
  <c r="AX21" i="59"/>
  <c r="AY21" i="59"/>
  <c r="AZ21" i="59"/>
  <c r="BA21" i="59"/>
  <c r="BB21" i="59"/>
  <c r="BC21" i="59"/>
  <c r="BD21" i="59"/>
  <c r="BE21" i="59"/>
  <c r="BF21" i="59"/>
  <c r="BG21" i="59"/>
  <c r="BH21" i="59"/>
  <c r="BI21" i="59"/>
  <c r="BJ21" i="59"/>
  <c r="BK21" i="59"/>
  <c r="BL21" i="59"/>
  <c r="BM21" i="59"/>
  <c r="BN21" i="59"/>
  <c r="BO21" i="59"/>
  <c r="BP21" i="59"/>
  <c r="BQ21" i="59"/>
  <c r="BR21" i="59"/>
  <c r="BS21" i="59"/>
  <c r="BT21" i="59"/>
  <c r="BU21" i="59"/>
  <c r="BV21" i="59"/>
  <c r="BW21" i="59"/>
  <c r="BX21" i="59"/>
  <c r="BY21" i="59"/>
  <c r="BZ21" i="59"/>
  <c r="CA21" i="59"/>
  <c r="CB21" i="59"/>
  <c r="CC21" i="59"/>
  <c r="CD21" i="59"/>
  <c r="CE21" i="59"/>
  <c r="CF21" i="59"/>
  <c r="CG21" i="59"/>
  <c r="CH21" i="59"/>
  <c r="CI21" i="59"/>
  <c r="CJ21" i="59"/>
  <c r="B17" i="59"/>
  <c r="AL17" i="59"/>
  <c r="M11" i="61"/>
  <c r="M16" i="61"/>
  <c r="F40" i="65"/>
  <c r="I11" i="66"/>
  <c r="I16" i="61"/>
  <c r="I11" i="61"/>
  <c r="H11" i="61"/>
  <c r="CY11" i="61"/>
  <c r="CX11" i="61"/>
  <c r="CW11" i="61"/>
  <c r="CV11" i="61"/>
  <c r="CU11" i="61"/>
  <c r="CT11" i="61"/>
  <c r="CS11" i="61"/>
  <c r="CR11" i="61"/>
  <c r="CQ11" i="61"/>
  <c r="CP11" i="61"/>
  <c r="CO11" i="61"/>
  <c r="CN11" i="61"/>
  <c r="CM11" i="61"/>
  <c r="CL11" i="61"/>
  <c r="CK11" i="61"/>
  <c r="CJ11" i="61"/>
  <c r="CI11" i="61"/>
  <c r="BO930" i="61"/>
  <c r="BO830" i="61"/>
  <c r="BO730" i="61"/>
  <c r="BO630" i="61"/>
  <c r="BO530" i="61"/>
  <c r="BO430" i="61"/>
  <c r="BO330" i="61"/>
  <c r="BO309" i="61"/>
  <c r="BO308" i="61"/>
  <c r="BO307" i="61"/>
  <c r="BO306" i="61"/>
  <c r="BO305" i="61"/>
  <c r="BO304" i="61"/>
  <c r="BO303" i="61"/>
  <c r="BO302" i="61"/>
  <c r="BO301" i="61"/>
  <c r="BO300" i="61"/>
  <c r="BO230" i="61"/>
  <c r="BO130" i="61"/>
  <c r="G30" i="61"/>
  <c r="H30" i="61"/>
  <c r="BO30" i="61"/>
  <c r="DW11" i="61"/>
  <c r="CZ11" i="61"/>
  <c r="X11" i="61"/>
  <c r="W11" i="61"/>
  <c r="V11" i="61"/>
  <c r="EN11" i="61"/>
  <c r="EM11" i="61"/>
  <c r="EL11" i="61"/>
  <c r="EK11" i="61"/>
  <c r="EJ11" i="61"/>
  <c r="EI11" i="61"/>
  <c r="EH11" i="61"/>
  <c r="EG11" i="61"/>
  <c r="EF11" i="61"/>
  <c r="EC11" i="61"/>
  <c r="EB11" i="61"/>
  <c r="EA11" i="61"/>
  <c r="DZ11" i="61"/>
  <c r="DY11" i="61"/>
  <c r="J31" i="23"/>
  <c r="DX11" i="61"/>
  <c r="DL11" i="61"/>
  <c r="DK11" i="61"/>
  <c r="DJ11" i="61"/>
  <c r="DI11" i="61"/>
  <c r="DH11" i="61"/>
  <c r="DE11" i="61"/>
  <c r="DD11" i="61"/>
  <c r="DC11" i="61"/>
  <c r="DB11" i="61"/>
  <c r="DA11" i="61"/>
  <c r="DV11" i="61"/>
  <c r="M64" i="23"/>
  <c r="DU11" i="61"/>
  <c r="DT11" i="61"/>
  <c r="M59" i="23"/>
  <c r="M60" i="23"/>
  <c r="M61" i="23"/>
  <c r="M62" i="23"/>
  <c r="DS11" i="61"/>
  <c r="DR11" i="61"/>
  <c r="DQ11" i="61"/>
  <c r="ES11" i="61"/>
  <c r="ER11" i="61"/>
  <c r="EQ11" i="61"/>
  <c r="EP11" i="61"/>
  <c r="EO11" i="61"/>
  <c r="EE11" i="61"/>
  <c r="DF11" i="61"/>
  <c r="ED11" i="61"/>
  <c r="DP11" i="61"/>
  <c r="DO11" i="61"/>
  <c r="DN11" i="61"/>
  <c r="DM11" i="61"/>
  <c r="DG11" i="61"/>
  <c r="CH11" i="61"/>
  <c r="CG11" i="61"/>
  <c r="CF11" i="61"/>
  <c r="AI187" i="46"/>
  <c r="E13" i="41"/>
  <c r="G13" i="41"/>
  <c r="E14" i="41"/>
  <c r="G14" i="41"/>
  <c r="E15" i="41"/>
  <c r="I15" i="41"/>
  <c r="I13" i="41"/>
  <c r="I14" i="41"/>
  <c r="E16" i="41"/>
  <c r="E17" i="41"/>
  <c r="E19" i="41"/>
  <c r="I22" i="41"/>
  <c r="G22" i="41"/>
  <c r="K8" i="23"/>
  <c r="K8" i="41"/>
  <c r="E22" i="41"/>
  <c r="I18" i="41"/>
  <c r="K10" i="41"/>
  <c r="K9" i="41"/>
  <c r="D9" i="41"/>
  <c r="U16" i="67"/>
  <c r="S16" i="67"/>
  <c r="K16" i="67"/>
  <c r="Q16" i="67"/>
  <c r="O16" i="67"/>
  <c r="M16" i="67"/>
  <c r="U15" i="67"/>
  <c r="S15" i="67"/>
  <c r="K15" i="67"/>
  <c r="Q15" i="67"/>
  <c r="O15" i="67"/>
  <c r="M15" i="67"/>
  <c r="R15" i="7"/>
  <c r="G8" i="69"/>
  <c r="H8" i="69"/>
  <c r="I8" i="69"/>
  <c r="J8" i="69"/>
  <c r="K8" i="69"/>
  <c r="L8" i="69"/>
  <c r="M8" i="69"/>
  <c r="N8" i="69"/>
  <c r="O8" i="69"/>
  <c r="P8" i="69"/>
  <c r="Q8" i="69"/>
  <c r="R8" i="69"/>
  <c r="S8" i="69"/>
  <c r="T8" i="69"/>
  <c r="U8" i="69"/>
  <c r="V8" i="69"/>
  <c r="W8" i="69"/>
  <c r="X8" i="69"/>
  <c r="Y8" i="69"/>
  <c r="Z8" i="69"/>
  <c r="AA8" i="69"/>
  <c r="AB8" i="69"/>
  <c r="AC8" i="69"/>
  <c r="AD8" i="69"/>
  <c r="AE8" i="69"/>
  <c r="AF8" i="69"/>
  <c r="AG8" i="69"/>
  <c r="AH8" i="69"/>
  <c r="AI8" i="69"/>
  <c r="AJ8" i="69"/>
  <c r="AK8" i="69"/>
  <c r="AL8" i="69"/>
  <c r="AM8" i="69"/>
  <c r="AN8" i="69"/>
  <c r="AO8" i="69"/>
  <c r="AP8" i="69"/>
  <c r="AQ8" i="69"/>
  <c r="AR8" i="69"/>
  <c r="AS8" i="69"/>
  <c r="AT8" i="69"/>
  <c r="AU8" i="69"/>
  <c r="AV8" i="69"/>
  <c r="AW8" i="69"/>
  <c r="AX8" i="69"/>
  <c r="AY8" i="69"/>
  <c r="AZ8" i="69"/>
  <c r="BA8" i="69"/>
  <c r="BB8" i="69"/>
  <c r="BC8" i="69"/>
  <c r="BD8" i="69"/>
  <c r="BE8" i="69"/>
  <c r="BF8" i="69"/>
  <c r="BG8" i="69"/>
  <c r="BH8" i="69"/>
  <c r="BI8" i="69"/>
  <c r="BJ8" i="69"/>
  <c r="BK8" i="69"/>
  <c r="BL8" i="69"/>
  <c r="BM8" i="69"/>
  <c r="BN8" i="69"/>
  <c r="BO8" i="69"/>
  <c r="BP8" i="69"/>
  <c r="BQ8" i="69"/>
  <c r="BR8" i="69"/>
  <c r="BS8" i="69"/>
  <c r="BT8" i="69"/>
  <c r="BU8" i="69"/>
  <c r="BV8" i="69"/>
  <c r="BW8" i="69"/>
  <c r="BX8" i="69"/>
  <c r="BY8" i="69"/>
  <c r="BZ8" i="69"/>
  <c r="CA8" i="69"/>
  <c r="CB8" i="69"/>
  <c r="CC8" i="69"/>
  <c r="CD8" i="69"/>
  <c r="CE8" i="69"/>
  <c r="CF8" i="69"/>
  <c r="CG8" i="69"/>
  <c r="CH8" i="69"/>
  <c r="CI8" i="69"/>
  <c r="CJ8" i="69"/>
  <c r="CK8" i="69"/>
  <c r="CL8" i="69"/>
  <c r="CM8" i="69"/>
  <c r="CN8" i="69"/>
  <c r="CO8" i="69"/>
  <c r="CP8" i="69"/>
  <c r="CQ8" i="69"/>
  <c r="CR8" i="69"/>
  <c r="CS8" i="69"/>
  <c r="CT8" i="69"/>
  <c r="CU8" i="69"/>
  <c r="CV8" i="69"/>
  <c r="CW8" i="69"/>
  <c r="CX8" i="69"/>
  <c r="CY8" i="69"/>
  <c r="F8" i="69"/>
  <c r="E8" i="69"/>
  <c r="D8" i="69"/>
  <c r="AJ48" i="46"/>
  <c r="AC48" i="46"/>
  <c r="S48" i="46"/>
  <c r="N48" i="46"/>
  <c r="BL23" i="46"/>
  <c r="I15" i="46"/>
  <c r="P159" i="48"/>
  <c r="P131" i="48"/>
  <c r="C187" i="46"/>
  <c r="P161" i="48"/>
  <c r="P133" i="48"/>
  <c r="P105" i="48"/>
  <c r="P77" i="48"/>
  <c r="P49" i="48"/>
  <c r="B85" i="46"/>
  <c r="AJ85" i="46"/>
  <c r="B51" i="46"/>
  <c r="AK51" i="46"/>
  <c r="AK85" i="46"/>
  <c r="AL51" i="46"/>
  <c r="AL85" i="46"/>
  <c r="AM51" i="46"/>
  <c r="AM85" i="46"/>
  <c r="AK52" i="46"/>
  <c r="AK86" i="46"/>
  <c r="AL52" i="46"/>
  <c r="AL86" i="46"/>
  <c r="AM52" i="46"/>
  <c r="AM86" i="46"/>
  <c r="AK53" i="46"/>
  <c r="AK87" i="46"/>
  <c r="AL53" i="46"/>
  <c r="AL87" i="46"/>
  <c r="AM53" i="46"/>
  <c r="AM87" i="46"/>
  <c r="AK54" i="46"/>
  <c r="AK88" i="46"/>
  <c r="AL54" i="46"/>
  <c r="AL88" i="46"/>
  <c r="AM54" i="46"/>
  <c r="AM88" i="46"/>
  <c r="AK55" i="46"/>
  <c r="AK89" i="46"/>
  <c r="AL55" i="46"/>
  <c r="AL89" i="46"/>
  <c r="AM55" i="46"/>
  <c r="AM89" i="46"/>
  <c r="AK56" i="46"/>
  <c r="AK90" i="46"/>
  <c r="AL56" i="46"/>
  <c r="AL90" i="46"/>
  <c r="AM56" i="46"/>
  <c r="AM90" i="46"/>
  <c r="AK57" i="46"/>
  <c r="AK91" i="46"/>
  <c r="AL57" i="46"/>
  <c r="AL91" i="46"/>
  <c r="AM57" i="46"/>
  <c r="AM91" i="46"/>
  <c r="AK58" i="46"/>
  <c r="AK92" i="46"/>
  <c r="AL58" i="46"/>
  <c r="AL92" i="46"/>
  <c r="AM58" i="46"/>
  <c r="AM92" i="46"/>
  <c r="AK59" i="46"/>
  <c r="AK93" i="46"/>
  <c r="AL59" i="46"/>
  <c r="AL93" i="46"/>
  <c r="AM59" i="46"/>
  <c r="AM93" i="46"/>
  <c r="AK60" i="46"/>
  <c r="AK94" i="46"/>
  <c r="AL60" i="46"/>
  <c r="AL94" i="46"/>
  <c r="AM60" i="46"/>
  <c r="AM94" i="46"/>
  <c r="AK61" i="46"/>
  <c r="AK95" i="46"/>
  <c r="AL61" i="46"/>
  <c r="AL95" i="46"/>
  <c r="AM61" i="46"/>
  <c r="AM95" i="46"/>
  <c r="AK62" i="46"/>
  <c r="AK96" i="46"/>
  <c r="AL62" i="46"/>
  <c r="AL96" i="46"/>
  <c r="AM62" i="46"/>
  <c r="AM96" i="46"/>
  <c r="AK63" i="46"/>
  <c r="AK97" i="46"/>
  <c r="AL63" i="46"/>
  <c r="AL97" i="46"/>
  <c r="AM63" i="46"/>
  <c r="AM97" i="46"/>
  <c r="AK64" i="46"/>
  <c r="AK98" i="46"/>
  <c r="AL64" i="46"/>
  <c r="AL98" i="46"/>
  <c r="AM64" i="46"/>
  <c r="AM98" i="46"/>
  <c r="AK65" i="46"/>
  <c r="AK99" i="46"/>
  <c r="AL65" i="46"/>
  <c r="AL99" i="46"/>
  <c r="AM65" i="46"/>
  <c r="AM99" i="46"/>
  <c r="AK66" i="46"/>
  <c r="AK100" i="46"/>
  <c r="AL66" i="46"/>
  <c r="AL100" i="46"/>
  <c r="AM66" i="46"/>
  <c r="AM100" i="46"/>
  <c r="AK67" i="46"/>
  <c r="AK101" i="46"/>
  <c r="AL67" i="46"/>
  <c r="AL101" i="46"/>
  <c r="AM67" i="46"/>
  <c r="AM101" i="46"/>
  <c r="AK68" i="46"/>
  <c r="AK102" i="46"/>
  <c r="AL68" i="46"/>
  <c r="AL102" i="46"/>
  <c r="AM68" i="46"/>
  <c r="AM102" i="46"/>
  <c r="AK69" i="46"/>
  <c r="AK103" i="46"/>
  <c r="AL69" i="46"/>
  <c r="AL103" i="46"/>
  <c r="AM69" i="46"/>
  <c r="AM103" i="46"/>
  <c r="AK70" i="46"/>
  <c r="AK104" i="46"/>
  <c r="AL70" i="46"/>
  <c r="AL104" i="46"/>
  <c r="AM70" i="46"/>
  <c r="AM104" i="46"/>
  <c r="AK71" i="46"/>
  <c r="AK105" i="46"/>
  <c r="AL71" i="46"/>
  <c r="AL105" i="46"/>
  <c r="AM71" i="46"/>
  <c r="AM105" i="46"/>
  <c r="AK72" i="46"/>
  <c r="AK106" i="46"/>
  <c r="AL72" i="46"/>
  <c r="AL106" i="46"/>
  <c r="AM72" i="46"/>
  <c r="AM106" i="46"/>
  <c r="AK73" i="46"/>
  <c r="AK107" i="46"/>
  <c r="AL73" i="46"/>
  <c r="AL107" i="46"/>
  <c r="AM73" i="46"/>
  <c r="AM107" i="46"/>
  <c r="AK74" i="46"/>
  <c r="AK108" i="46"/>
  <c r="AL74" i="46"/>
  <c r="AL108" i="46"/>
  <c r="AM74" i="46"/>
  <c r="AM108" i="46"/>
  <c r="AK75" i="46"/>
  <c r="AK109" i="46"/>
  <c r="AL75" i="46"/>
  <c r="AL109" i="46"/>
  <c r="AM75" i="46"/>
  <c r="AM109" i="46"/>
  <c r="AK110" i="46"/>
  <c r="AL110" i="46"/>
  <c r="AM110" i="46"/>
  <c r="AK111" i="46"/>
  <c r="AL111" i="46"/>
  <c r="AM111" i="46"/>
  <c r="AK112" i="46"/>
  <c r="AL112" i="46"/>
  <c r="AM112" i="46"/>
  <c r="P21" i="48"/>
  <c r="P19" i="48"/>
  <c r="S51" i="46"/>
  <c r="S52" i="46"/>
  <c r="S53" i="46"/>
  <c r="U51" i="46"/>
  <c r="V51" i="46"/>
  <c r="W51" i="46"/>
  <c r="X51" i="46"/>
  <c r="Y51" i="46"/>
  <c r="Z51" i="46"/>
  <c r="AA51" i="46"/>
  <c r="T52" i="46"/>
  <c r="U52" i="46"/>
  <c r="V52" i="46"/>
  <c r="W52" i="46"/>
  <c r="X52" i="46"/>
  <c r="Y52" i="46"/>
  <c r="Z52" i="46"/>
  <c r="AA52" i="46"/>
  <c r="T53" i="46"/>
  <c r="U53" i="46"/>
  <c r="V53" i="46"/>
  <c r="W53" i="46"/>
  <c r="X53" i="46"/>
  <c r="Y53" i="46"/>
  <c r="Z53" i="46"/>
  <c r="AA53" i="46"/>
  <c r="S54" i="46"/>
  <c r="T54" i="46"/>
  <c r="U54" i="46"/>
  <c r="V54" i="46"/>
  <c r="W54" i="46"/>
  <c r="X54" i="46"/>
  <c r="Y54" i="46"/>
  <c r="Z54" i="46"/>
  <c r="AA54" i="46"/>
  <c r="S55" i="46"/>
  <c r="T55" i="46"/>
  <c r="U55" i="46"/>
  <c r="V55" i="46"/>
  <c r="W55" i="46"/>
  <c r="X55" i="46"/>
  <c r="Y55" i="46"/>
  <c r="Z55" i="46"/>
  <c r="AA55" i="46"/>
  <c r="S56" i="46"/>
  <c r="T56" i="46"/>
  <c r="U56" i="46"/>
  <c r="V56" i="46"/>
  <c r="W56" i="46"/>
  <c r="X56" i="46"/>
  <c r="Y56" i="46"/>
  <c r="Z56" i="46"/>
  <c r="AA56" i="46"/>
  <c r="S57" i="46"/>
  <c r="T57" i="46"/>
  <c r="U57" i="46"/>
  <c r="V57" i="46"/>
  <c r="W57" i="46"/>
  <c r="X57" i="46"/>
  <c r="Y57" i="46"/>
  <c r="Z57" i="46"/>
  <c r="AA57" i="46"/>
  <c r="S58" i="46"/>
  <c r="T58" i="46"/>
  <c r="U58" i="46"/>
  <c r="V58" i="46"/>
  <c r="W58" i="46"/>
  <c r="X58" i="46"/>
  <c r="Y58" i="46"/>
  <c r="Z58" i="46"/>
  <c r="AA58" i="46"/>
  <c r="S59" i="46"/>
  <c r="T59" i="46"/>
  <c r="U59" i="46"/>
  <c r="V59" i="46"/>
  <c r="W59" i="46"/>
  <c r="X59" i="46"/>
  <c r="Y59" i="46"/>
  <c r="Z59" i="46"/>
  <c r="AA59" i="46"/>
  <c r="S60" i="46"/>
  <c r="T60" i="46"/>
  <c r="U60" i="46"/>
  <c r="V60" i="46"/>
  <c r="W60" i="46"/>
  <c r="X60" i="46"/>
  <c r="Y60" i="46"/>
  <c r="Z60" i="46"/>
  <c r="AA60" i="46"/>
  <c r="S61" i="46"/>
  <c r="T61" i="46"/>
  <c r="U61" i="46"/>
  <c r="V61" i="46"/>
  <c r="W61" i="46"/>
  <c r="X61" i="46"/>
  <c r="Y61" i="46"/>
  <c r="Z61" i="46"/>
  <c r="AA61" i="46"/>
  <c r="S62" i="46"/>
  <c r="T62" i="46"/>
  <c r="U62" i="46"/>
  <c r="V62" i="46"/>
  <c r="W62" i="46"/>
  <c r="X62" i="46"/>
  <c r="Y62" i="46"/>
  <c r="Z62" i="46"/>
  <c r="AA62" i="46"/>
  <c r="S63" i="46"/>
  <c r="T63" i="46"/>
  <c r="U63" i="46"/>
  <c r="V63" i="46"/>
  <c r="W63" i="46"/>
  <c r="X63" i="46"/>
  <c r="Y63" i="46"/>
  <c r="Z63" i="46"/>
  <c r="AA63" i="46"/>
  <c r="S64" i="46"/>
  <c r="T64" i="46"/>
  <c r="U64" i="46"/>
  <c r="V64" i="46"/>
  <c r="W64" i="46"/>
  <c r="X64" i="46"/>
  <c r="Y64" i="46"/>
  <c r="Z64" i="46"/>
  <c r="AA64" i="46"/>
  <c r="S65" i="46"/>
  <c r="T65" i="46"/>
  <c r="U65" i="46"/>
  <c r="V65" i="46"/>
  <c r="W65" i="46"/>
  <c r="X65" i="46"/>
  <c r="Y65" i="46"/>
  <c r="Z65" i="46"/>
  <c r="AA65" i="46"/>
  <c r="S66" i="46"/>
  <c r="T66" i="46"/>
  <c r="U66" i="46"/>
  <c r="V66" i="46"/>
  <c r="W66" i="46"/>
  <c r="X66" i="46"/>
  <c r="Y66" i="46"/>
  <c r="Z66" i="46"/>
  <c r="AA66" i="46"/>
  <c r="S67" i="46"/>
  <c r="T67" i="46"/>
  <c r="U67" i="46"/>
  <c r="V67" i="46"/>
  <c r="W67" i="46"/>
  <c r="X67" i="46"/>
  <c r="Y67" i="46"/>
  <c r="Z67" i="46"/>
  <c r="AA67" i="46"/>
  <c r="S68" i="46"/>
  <c r="T68" i="46"/>
  <c r="U68" i="46"/>
  <c r="V68" i="46"/>
  <c r="W68" i="46"/>
  <c r="X68" i="46"/>
  <c r="Y68" i="46"/>
  <c r="Z68" i="46"/>
  <c r="AA68" i="46"/>
  <c r="S69" i="46"/>
  <c r="T69" i="46"/>
  <c r="U69" i="46"/>
  <c r="V69" i="46"/>
  <c r="W69" i="46"/>
  <c r="X69" i="46"/>
  <c r="Y69" i="46"/>
  <c r="Z69" i="46"/>
  <c r="AA69" i="46"/>
  <c r="S70" i="46"/>
  <c r="T70" i="46"/>
  <c r="U70" i="46"/>
  <c r="V70" i="46"/>
  <c r="W70" i="46"/>
  <c r="X70" i="46"/>
  <c r="Y70" i="46"/>
  <c r="Z70" i="46"/>
  <c r="AA70" i="46"/>
  <c r="S71" i="46"/>
  <c r="T71" i="46"/>
  <c r="U71" i="46"/>
  <c r="V71" i="46"/>
  <c r="W71" i="46"/>
  <c r="X71" i="46"/>
  <c r="Y71" i="46"/>
  <c r="Z71" i="46"/>
  <c r="AA71" i="46"/>
  <c r="S72" i="46"/>
  <c r="T72" i="46"/>
  <c r="U72" i="46"/>
  <c r="V72" i="46"/>
  <c r="W72" i="46"/>
  <c r="X72" i="46"/>
  <c r="Y72" i="46"/>
  <c r="Z72" i="46"/>
  <c r="AA72" i="46"/>
  <c r="S73" i="46"/>
  <c r="T73" i="46"/>
  <c r="U73" i="46"/>
  <c r="V73" i="46"/>
  <c r="W73" i="46"/>
  <c r="X73" i="46"/>
  <c r="Y73" i="46"/>
  <c r="Z73" i="46"/>
  <c r="AA73" i="46"/>
  <c r="S74" i="46"/>
  <c r="T74" i="46"/>
  <c r="U74" i="46"/>
  <c r="V74" i="46"/>
  <c r="W74" i="46"/>
  <c r="X74" i="46"/>
  <c r="Y74" i="46"/>
  <c r="Z74" i="46"/>
  <c r="AA74" i="46"/>
  <c r="S75" i="46"/>
  <c r="T75" i="46"/>
  <c r="U75" i="46"/>
  <c r="V75" i="46"/>
  <c r="W75" i="46"/>
  <c r="X75" i="46"/>
  <c r="Y75" i="46"/>
  <c r="Z75" i="46"/>
  <c r="AA75" i="46"/>
  <c r="S86" i="46"/>
  <c r="S87" i="46"/>
  <c r="S88" i="46"/>
  <c r="U85" i="46"/>
  <c r="V85" i="46"/>
  <c r="W85" i="46"/>
  <c r="X85" i="46"/>
  <c r="Y85" i="46"/>
  <c r="Z85" i="46"/>
  <c r="AA85" i="46"/>
  <c r="T86" i="46"/>
  <c r="U86" i="46"/>
  <c r="V86" i="46"/>
  <c r="W86" i="46"/>
  <c r="X86" i="46"/>
  <c r="Y86" i="46"/>
  <c r="Z86" i="46"/>
  <c r="AA86" i="46"/>
  <c r="T87" i="46"/>
  <c r="U87" i="46"/>
  <c r="V87" i="46"/>
  <c r="W87" i="46"/>
  <c r="X87" i="46"/>
  <c r="Y87" i="46"/>
  <c r="Z87" i="46"/>
  <c r="AA87" i="46"/>
  <c r="T88" i="46"/>
  <c r="U88" i="46"/>
  <c r="V88" i="46"/>
  <c r="W88" i="46"/>
  <c r="X88" i="46"/>
  <c r="Y88" i="46"/>
  <c r="Z88" i="46"/>
  <c r="AA88" i="46"/>
  <c r="S89" i="46"/>
  <c r="T89" i="46"/>
  <c r="U89" i="46"/>
  <c r="V89" i="46"/>
  <c r="W89" i="46"/>
  <c r="X89" i="46"/>
  <c r="Y89" i="46"/>
  <c r="Z89" i="46"/>
  <c r="AA89" i="46"/>
  <c r="S90" i="46"/>
  <c r="T90" i="46"/>
  <c r="U90" i="46"/>
  <c r="V90" i="46"/>
  <c r="W90" i="46"/>
  <c r="X90" i="46"/>
  <c r="Y90" i="46"/>
  <c r="Z90" i="46"/>
  <c r="AA90" i="46"/>
  <c r="S91" i="46"/>
  <c r="T91" i="46"/>
  <c r="U91" i="46"/>
  <c r="V91" i="46"/>
  <c r="W91" i="46"/>
  <c r="X91" i="46"/>
  <c r="Y91" i="46"/>
  <c r="Z91" i="46"/>
  <c r="AA91" i="46"/>
  <c r="S92" i="46"/>
  <c r="T92" i="46"/>
  <c r="U92" i="46"/>
  <c r="V92" i="46"/>
  <c r="W92" i="46"/>
  <c r="X92" i="46"/>
  <c r="Y92" i="46"/>
  <c r="Z92" i="46"/>
  <c r="AA92" i="46"/>
  <c r="S93" i="46"/>
  <c r="T93" i="46"/>
  <c r="U93" i="46"/>
  <c r="V93" i="46"/>
  <c r="W93" i="46"/>
  <c r="X93" i="46"/>
  <c r="Y93" i="46"/>
  <c r="Z93" i="46"/>
  <c r="AA93" i="46"/>
  <c r="S94" i="46"/>
  <c r="T94" i="46"/>
  <c r="U94" i="46"/>
  <c r="V94" i="46"/>
  <c r="W94" i="46"/>
  <c r="X94" i="46"/>
  <c r="Y94" i="46"/>
  <c r="Z94" i="46"/>
  <c r="AA94" i="46"/>
  <c r="S95" i="46"/>
  <c r="T95" i="46"/>
  <c r="U95" i="46"/>
  <c r="V95" i="46"/>
  <c r="W95" i="46"/>
  <c r="X95" i="46"/>
  <c r="Y95" i="46"/>
  <c r="Z95" i="46"/>
  <c r="AA95" i="46"/>
  <c r="S96" i="46"/>
  <c r="T96" i="46"/>
  <c r="U96" i="46"/>
  <c r="V96" i="46"/>
  <c r="W96" i="46"/>
  <c r="X96" i="46"/>
  <c r="Y96" i="46"/>
  <c r="Z96" i="46"/>
  <c r="AA96" i="46"/>
  <c r="S97" i="46"/>
  <c r="T97" i="46"/>
  <c r="U97" i="46"/>
  <c r="V97" i="46"/>
  <c r="W97" i="46"/>
  <c r="X97" i="46"/>
  <c r="Y97" i="46"/>
  <c r="Z97" i="46"/>
  <c r="AA97" i="46"/>
  <c r="S98" i="46"/>
  <c r="T98" i="46"/>
  <c r="U98" i="46"/>
  <c r="V98" i="46"/>
  <c r="W98" i="46"/>
  <c r="X98" i="46"/>
  <c r="Y98" i="46"/>
  <c r="Z98" i="46"/>
  <c r="AA98" i="46"/>
  <c r="S99" i="46"/>
  <c r="T99" i="46"/>
  <c r="U99" i="46"/>
  <c r="V99" i="46"/>
  <c r="W99" i="46"/>
  <c r="X99" i="46"/>
  <c r="Y99" i="46"/>
  <c r="Z99" i="46"/>
  <c r="AA99" i="46"/>
  <c r="S100" i="46"/>
  <c r="T100" i="46"/>
  <c r="U100" i="46"/>
  <c r="V100" i="46"/>
  <c r="W100" i="46"/>
  <c r="X100" i="46"/>
  <c r="Y100" i="46"/>
  <c r="Z100" i="46"/>
  <c r="AA100" i="46"/>
  <c r="S101" i="46"/>
  <c r="T101" i="46"/>
  <c r="U101" i="46"/>
  <c r="V101" i="46"/>
  <c r="W101" i="46"/>
  <c r="X101" i="46"/>
  <c r="Y101" i="46"/>
  <c r="Z101" i="46"/>
  <c r="AA101" i="46"/>
  <c r="S102" i="46"/>
  <c r="T102" i="46"/>
  <c r="U102" i="46"/>
  <c r="V102" i="46"/>
  <c r="W102" i="46"/>
  <c r="X102" i="46"/>
  <c r="Y102" i="46"/>
  <c r="Z102" i="46"/>
  <c r="AA102" i="46"/>
  <c r="S103" i="46"/>
  <c r="T103" i="46"/>
  <c r="U103" i="46"/>
  <c r="V103" i="46"/>
  <c r="W103" i="46"/>
  <c r="X103" i="46"/>
  <c r="Y103" i="46"/>
  <c r="Z103" i="46"/>
  <c r="AA103" i="46"/>
  <c r="S104" i="46"/>
  <c r="T104" i="46"/>
  <c r="U104" i="46"/>
  <c r="V104" i="46"/>
  <c r="W104" i="46"/>
  <c r="X104" i="46"/>
  <c r="Y104" i="46"/>
  <c r="Z104" i="46"/>
  <c r="AA104" i="46"/>
  <c r="S105" i="46"/>
  <c r="T105" i="46"/>
  <c r="U105" i="46"/>
  <c r="V105" i="46"/>
  <c r="W105" i="46"/>
  <c r="X105" i="46"/>
  <c r="Y105" i="46"/>
  <c r="Z105" i="46"/>
  <c r="AA105" i="46"/>
  <c r="S106" i="46"/>
  <c r="T106" i="46"/>
  <c r="U106" i="46"/>
  <c r="V106" i="46"/>
  <c r="W106" i="46"/>
  <c r="X106" i="46"/>
  <c r="Y106" i="46"/>
  <c r="Z106" i="46"/>
  <c r="AA106" i="46"/>
  <c r="S107" i="46"/>
  <c r="T107" i="46"/>
  <c r="U107" i="46"/>
  <c r="V107" i="46"/>
  <c r="W107" i="46"/>
  <c r="X107" i="46"/>
  <c r="Y107" i="46"/>
  <c r="Z107" i="46"/>
  <c r="AA107" i="46"/>
  <c r="T108" i="46"/>
  <c r="U108" i="46"/>
  <c r="V108" i="46"/>
  <c r="W108" i="46"/>
  <c r="X108" i="46"/>
  <c r="Y108" i="46"/>
  <c r="Z108" i="46"/>
  <c r="AA108" i="46"/>
  <c r="T109" i="46"/>
  <c r="U109" i="46"/>
  <c r="V109" i="46"/>
  <c r="W109" i="46"/>
  <c r="X109" i="46"/>
  <c r="Y109" i="46"/>
  <c r="Z109" i="46"/>
  <c r="AA109" i="46"/>
  <c r="T110" i="46"/>
  <c r="U110" i="46"/>
  <c r="V110" i="46"/>
  <c r="W110" i="46"/>
  <c r="X110" i="46"/>
  <c r="Y110" i="46"/>
  <c r="Z110" i="46"/>
  <c r="AA110" i="46"/>
  <c r="AA214" i="46"/>
  <c r="Z214" i="46"/>
  <c r="Y214" i="46"/>
  <c r="X214" i="46"/>
  <c r="W214" i="46"/>
  <c r="V214" i="46"/>
  <c r="U214" i="46"/>
  <c r="T214" i="46"/>
  <c r="AA213" i="46"/>
  <c r="Z213" i="46"/>
  <c r="Y213" i="46"/>
  <c r="X213" i="46"/>
  <c r="W213" i="46"/>
  <c r="V213" i="46"/>
  <c r="U213" i="46"/>
  <c r="T213" i="46"/>
  <c r="AA212" i="46"/>
  <c r="Z212" i="46"/>
  <c r="Y212" i="46"/>
  <c r="X212" i="46"/>
  <c r="W212" i="46"/>
  <c r="V212" i="46"/>
  <c r="U212" i="46"/>
  <c r="T212" i="46"/>
  <c r="AA211" i="46"/>
  <c r="Z211" i="46"/>
  <c r="Y211" i="46"/>
  <c r="X211" i="46"/>
  <c r="W211" i="46"/>
  <c r="V211" i="46"/>
  <c r="U211" i="46"/>
  <c r="T211" i="46"/>
  <c r="AA210" i="46"/>
  <c r="Z210" i="46"/>
  <c r="Y210" i="46"/>
  <c r="X210" i="46"/>
  <c r="W210" i="46"/>
  <c r="V210" i="46"/>
  <c r="U210" i="46"/>
  <c r="T210" i="46"/>
  <c r="AA209" i="46"/>
  <c r="Z209" i="46"/>
  <c r="Y209" i="46"/>
  <c r="X209" i="46"/>
  <c r="W209" i="46"/>
  <c r="V209" i="46"/>
  <c r="U209" i="46"/>
  <c r="T209" i="46"/>
  <c r="AA208" i="46"/>
  <c r="Z208" i="46"/>
  <c r="Y208" i="46"/>
  <c r="X208" i="46"/>
  <c r="W208" i="46"/>
  <c r="V208" i="46"/>
  <c r="U208" i="46"/>
  <c r="T208" i="46"/>
  <c r="AA207" i="46"/>
  <c r="Z207" i="46"/>
  <c r="Y207" i="46"/>
  <c r="X207" i="46"/>
  <c r="W207" i="46"/>
  <c r="V207" i="46"/>
  <c r="U207" i="46"/>
  <c r="T207" i="46"/>
  <c r="AA206" i="46"/>
  <c r="Z206" i="46"/>
  <c r="Y206" i="46"/>
  <c r="X206" i="46"/>
  <c r="W206" i="46"/>
  <c r="V206" i="46"/>
  <c r="U206" i="46"/>
  <c r="T206" i="46"/>
  <c r="AA205" i="46"/>
  <c r="Z205" i="46"/>
  <c r="Y205" i="46"/>
  <c r="X205" i="46"/>
  <c r="W205" i="46"/>
  <c r="V205" i="46"/>
  <c r="U205" i="46"/>
  <c r="T205" i="46"/>
  <c r="AA204" i="46"/>
  <c r="Z204" i="46"/>
  <c r="Y204" i="46"/>
  <c r="X204" i="46"/>
  <c r="W204" i="46"/>
  <c r="V204" i="46"/>
  <c r="U204" i="46"/>
  <c r="T204" i="46"/>
  <c r="AA203" i="46"/>
  <c r="Z203" i="46"/>
  <c r="Y203" i="46"/>
  <c r="X203" i="46"/>
  <c r="W203" i="46"/>
  <c r="V203" i="46"/>
  <c r="U203" i="46"/>
  <c r="T203" i="46"/>
  <c r="AA202" i="46"/>
  <c r="Z202" i="46"/>
  <c r="Y202" i="46"/>
  <c r="X202" i="46"/>
  <c r="W202" i="46"/>
  <c r="V202" i="46"/>
  <c r="U202" i="46"/>
  <c r="T202" i="46"/>
  <c r="AA201" i="46"/>
  <c r="Z201" i="46"/>
  <c r="Y201" i="46"/>
  <c r="X201" i="46"/>
  <c r="W201" i="46"/>
  <c r="V201" i="46"/>
  <c r="U201" i="46"/>
  <c r="T201" i="46"/>
  <c r="AA200" i="46"/>
  <c r="Z200" i="46"/>
  <c r="Y200" i="46"/>
  <c r="X200" i="46"/>
  <c r="W200" i="46"/>
  <c r="V200" i="46"/>
  <c r="U200" i="46"/>
  <c r="T200" i="46"/>
  <c r="AA199" i="46"/>
  <c r="Z199" i="46"/>
  <c r="Y199" i="46"/>
  <c r="X199" i="46"/>
  <c r="W199" i="46"/>
  <c r="V199" i="46"/>
  <c r="U199" i="46"/>
  <c r="T199" i="46"/>
  <c r="AA198" i="46"/>
  <c r="Z198" i="46"/>
  <c r="Y198" i="46"/>
  <c r="X198" i="46"/>
  <c r="W198" i="46"/>
  <c r="V198" i="46"/>
  <c r="U198" i="46"/>
  <c r="T198" i="46"/>
  <c r="AA197" i="46"/>
  <c r="Z197" i="46"/>
  <c r="Y197" i="46"/>
  <c r="X197" i="46"/>
  <c r="W197" i="46"/>
  <c r="V197" i="46"/>
  <c r="U197" i="46"/>
  <c r="T197" i="46"/>
  <c r="AA196" i="46"/>
  <c r="Z196" i="46"/>
  <c r="Y196" i="46"/>
  <c r="X196" i="46"/>
  <c r="W196" i="46"/>
  <c r="V196" i="46"/>
  <c r="U196" i="46"/>
  <c r="T196" i="46"/>
  <c r="AA195" i="46"/>
  <c r="Z195" i="46"/>
  <c r="Y195" i="46"/>
  <c r="X195" i="46"/>
  <c r="W195" i="46"/>
  <c r="V195" i="46"/>
  <c r="U195" i="46"/>
  <c r="T195" i="46"/>
  <c r="AA194" i="46"/>
  <c r="Z194" i="46"/>
  <c r="Y194" i="46"/>
  <c r="X194" i="46"/>
  <c r="W194" i="46"/>
  <c r="V194" i="46"/>
  <c r="U194" i="46"/>
  <c r="T194" i="46"/>
  <c r="AA193" i="46"/>
  <c r="Z193" i="46"/>
  <c r="Y193" i="46"/>
  <c r="X193" i="46"/>
  <c r="W193" i="46"/>
  <c r="V193" i="46"/>
  <c r="U193" i="46"/>
  <c r="T193" i="46"/>
  <c r="AA192" i="46"/>
  <c r="Z192" i="46"/>
  <c r="Y192" i="46"/>
  <c r="X192" i="46"/>
  <c r="W192" i="46"/>
  <c r="V192" i="46"/>
  <c r="U192" i="46"/>
  <c r="T192" i="46"/>
  <c r="AA191" i="46"/>
  <c r="Z191" i="46"/>
  <c r="Y191" i="46"/>
  <c r="X191" i="46"/>
  <c r="W191" i="46"/>
  <c r="V191" i="46"/>
  <c r="U191" i="46"/>
  <c r="T191" i="46"/>
  <c r="AA190" i="46"/>
  <c r="Z190" i="46"/>
  <c r="Y190" i="46"/>
  <c r="X190" i="46"/>
  <c r="W190" i="46"/>
  <c r="V190" i="46"/>
  <c r="U190" i="46"/>
  <c r="T190" i="46"/>
  <c r="AA189" i="46"/>
  <c r="Z189" i="46"/>
  <c r="Y189" i="46"/>
  <c r="X189" i="46"/>
  <c r="W189" i="46"/>
  <c r="V189" i="46"/>
  <c r="U189" i="46"/>
  <c r="T189" i="46"/>
  <c r="AA188" i="46"/>
  <c r="Z188" i="46"/>
  <c r="Y188" i="46"/>
  <c r="X188" i="46"/>
  <c r="W188" i="46"/>
  <c r="V188" i="46"/>
  <c r="U188" i="46"/>
  <c r="T188" i="46"/>
  <c r="AA187" i="46"/>
  <c r="Z187" i="46"/>
  <c r="Y187" i="46"/>
  <c r="X187" i="46"/>
  <c r="W187" i="46"/>
  <c r="V187" i="46"/>
  <c r="U187" i="46"/>
  <c r="B11" i="61"/>
  <c r="B16" i="61"/>
  <c r="F11" i="61"/>
  <c r="H16" i="61"/>
  <c r="N51" i="46"/>
  <c r="J51" i="46"/>
  <c r="O153" i="46"/>
  <c r="T153" i="46"/>
  <c r="J72" i="46"/>
  <c r="U174" i="46"/>
  <c r="V174" i="46"/>
  <c r="W174" i="46"/>
  <c r="J73" i="46"/>
  <c r="U175" i="46"/>
  <c r="V175" i="46"/>
  <c r="W175" i="46"/>
  <c r="J74" i="46"/>
  <c r="U176" i="46"/>
  <c r="V176" i="46"/>
  <c r="J75" i="46"/>
  <c r="U177" i="46"/>
  <c r="V177" i="46"/>
  <c r="W177" i="46"/>
  <c r="U178" i="46"/>
  <c r="V178" i="46"/>
  <c r="W178" i="46"/>
  <c r="X178" i="46"/>
  <c r="Y178" i="46"/>
  <c r="Z178" i="46"/>
  <c r="AA178" i="46"/>
  <c r="U153" i="46"/>
  <c r="V153" i="46"/>
  <c r="W153" i="46"/>
  <c r="X153" i="46"/>
  <c r="Y153" i="46"/>
  <c r="Z153" i="46"/>
  <c r="AA153" i="46"/>
  <c r="J52" i="46"/>
  <c r="T154" i="46"/>
  <c r="U154" i="46"/>
  <c r="V154" i="46"/>
  <c r="W154" i="46"/>
  <c r="X154" i="46"/>
  <c r="Y154" i="46"/>
  <c r="Z154" i="46"/>
  <c r="AA154" i="46"/>
  <c r="J53" i="46"/>
  <c r="T155" i="46"/>
  <c r="U155" i="46"/>
  <c r="V155" i="46"/>
  <c r="W155" i="46"/>
  <c r="X155" i="46"/>
  <c r="Y155" i="46"/>
  <c r="Z155" i="46"/>
  <c r="AA155" i="46"/>
  <c r="J54" i="46"/>
  <c r="T156" i="46"/>
  <c r="U156" i="46"/>
  <c r="V156" i="46"/>
  <c r="W156" i="46"/>
  <c r="X156" i="46"/>
  <c r="Y156" i="46"/>
  <c r="Z156" i="46"/>
  <c r="AA156" i="46"/>
  <c r="J55" i="46"/>
  <c r="T157" i="46"/>
  <c r="U157" i="46"/>
  <c r="V157" i="46"/>
  <c r="W157" i="46"/>
  <c r="X157" i="46"/>
  <c r="Y157" i="46"/>
  <c r="Z157" i="46"/>
  <c r="AA157" i="46"/>
  <c r="J56" i="46"/>
  <c r="T158" i="46"/>
  <c r="U158" i="46"/>
  <c r="V158" i="46"/>
  <c r="W158" i="46"/>
  <c r="X158" i="46"/>
  <c r="Y158" i="46"/>
  <c r="Z158" i="46"/>
  <c r="AA158" i="46"/>
  <c r="J57" i="46"/>
  <c r="T159" i="46"/>
  <c r="U159" i="46"/>
  <c r="V159" i="46"/>
  <c r="W159" i="46"/>
  <c r="X159" i="46"/>
  <c r="Y159" i="46"/>
  <c r="Z159" i="46"/>
  <c r="AA159" i="46"/>
  <c r="J58" i="46"/>
  <c r="T160" i="46"/>
  <c r="U160" i="46"/>
  <c r="V160" i="46"/>
  <c r="W160" i="46"/>
  <c r="X160" i="46"/>
  <c r="Y160" i="46"/>
  <c r="Z160" i="46"/>
  <c r="AA160" i="46"/>
  <c r="J59" i="46"/>
  <c r="T161" i="46"/>
  <c r="U161" i="46"/>
  <c r="V161" i="46"/>
  <c r="W161" i="46"/>
  <c r="X161" i="46"/>
  <c r="Y161" i="46"/>
  <c r="Z161" i="46"/>
  <c r="AA161" i="46"/>
  <c r="J60" i="46"/>
  <c r="T162" i="46"/>
  <c r="U162" i="46"/>
  <c r="V162" i="46"/>
  <c r="W162" i="46"/>
  <c r="X162" i="46"/>
  <c r="Y162" i="46"/>
  <c r="Z162" i="46"/>
  <c r="AA162" i="46"/>
  <c r="J61" i="46"/>
  <c r="T163" i="46"/>
  <c r="U163" i="46"/>
  <c r="V163" i="46"/>
  <c r="W163" i="46"/>
  <c r="X163" i="46"/>
  <c r="Y163" i="46"/>
  <c r="Z163" i="46"/>
  <c r="AA163" i="46"/>
  <c r="J62" i="46"/>
  <c r="T164" i="46"/>
  <c r="U164" i="46"/>
  <c r="V164" i="46"/>
  <c r="W164" i="46"/>
  <c r="X164" i="46"/>
  <c r="Y164" i="46"/>
  <c r="Z164" i="46"/>
  <c r="AA164" i="46"/>
  <c r="J63" i="46"/>
  <c r="T165" i="46"/>
  <c r="U165" i="46"/>
  <c r="V165" i="46"/>
  <c r="W165" i="46"/>
  <c r="X165" i="46"/>
  <c r="Y165" i="46"/>
  <c r="Z165" i="46"/>
  <c r="AA165" i="46"/>
  <c r="J64" i="46"/>
  <c r="T166" i="46"/>
  <c r="U166" i="46"/>
  <c r="V166" i="46"/>
  <c r="W166" i="46"/>
  <c r="X166" i="46"/>
  <c r="Y166" i="46"/>
  <c r="Z166" i="46"/>
  <c r="AA166" i="46"/>
  <c r="J65" i="46"/>
  <c r="T167" i="46"/>
  <c r="U167" i="46"/>
  <c r="V167" i="46"/>
  <c r="W167" i="46"/>
  <c r="X167" i="46"/>
  <c r="Y167" i="46"/>
  <c r="Z167" i="46"/>
  <c r="AA167" i="46"/>
  <c r="J66" i="46"/>
  <c r="T168" i="46"/>
  <c r="U168" i="46"/>
  <c r="V168" i="46"/>
  <c r="W168" i="46"/>
  <c r="X168" i="46"/>
  <c r="Y168" i="46"/>
  <c r="Z168" i="46"/>
  <c r="AA168" i="46"/>
  <c r="J67" i="46"/>
  <c r="T169" i="46"/>
  <c r="U169" i="46"/>
  <c r="V169" i="46"/>
  <c r="W169" i="46"/>
  <c r="X169" i="46"/>
  <c r="Y169" i="46"/>
  <c r="Z169" i="46"/>
  <c r="AA169" i="46"/>
  <c r="J68" i="46"/>
  <c r="T170" i="46"/>
  <c r="U170" i="46"/>
  <c r="V170" i="46"/>
  <c r="W170" i="46"/>
  <c r="X170" i="46"/>
  <c r="Y170" i="46"/>
  <c r="Z170" i="46"/>
  <c r="AA170" i="46"/>
  <c r="J69" i="46"/>
  <c r="T171" i="46"/>
  <c r="U171" i="46"/>
  <c r="V171" i="46"/>
  <c r="W171" i="46"/>
  <c r="X171" i="46"/>
  <c r="Y171" i="46"/>
  <c r="Z171" i="46"/>
  <c r="AA171" i="46"/>
  <c r="J70" i="46"/>
  <c r="T172" i="46"/>
  <c r="U172" i="46"/>
  <c r="V172" i="46"/>
  <c r="W172" i="46"/>
  <c r="X172" i="46"/>
  <c r="Y172" i="46"/>
  <c r="Z172" i="46"/>
  <c r="AA172" i="46"/>
  <c r="J71" i="46"/>
  <c r="T173" i="46"/>
  <c r="U173" i="46"/>
  <c r="V173" i="46"/>
  <c r="W173" i="46"/>
  <c r="X173" i="46"/>
  <c r="Y173" i="46"/>
  <c r="Z173" i="46"/>
  <c r="AA173" i="46"/>
  <c r="T174" i="46"/>
  <c r="X174" i="46"/>
  <c r="Y174" i="46"/>
  <c r="Z174" i="46"/>
  <c r="AA174" i="46"/>
  <c r="T175" i="46"/>
  <c r="X175" i="46"/>
  <c r="Y175" i="46"/>
  <c r="Z175" i="46"/>
  <c r="AA175" i="46"/>
  <c r="T176" i="46"/>
  <c r="W176" i="46"/>
  <c r="X176" i="46"/>
  <c r="Y176" i="46"/>
  <c r="Z176" i="46"/>
  <c r="AA176" i="46"/>
  <c r="T177" i="46"/>
  <c r="X177" i="46"/>
  <c r="Y177" i="46"/>
  <c r="Z177" i="46"/>
  <c r="AA177" i="46"/>
  <c r="T178" i="46"/>
  <c r="T179" i="46"/>
  <c r="U179" i="46"/>
  <c r="V179" i="46"/>
  <c r="W179" i="46"/>
  <c r="X179" i="46"/>
  <c r="Y179" i="46"/>
  <c r="Z179" i="46"/>
  <c r="AA179" i="46"/>
  <c r="T180" i="46"/>
  <c r="U180" i="46"/>
  <c r="V180" i="46"/>
  <c r="W180" i="46"/>
  <c r="X180" i="46"/>
  <c r="Y180" i="46"/>
  <c r="Z180" i="46"/>
  <c r="AA180" i="46"/>
  <c r="P47" i="48"/>
  <c r="K11" i="61"/>
  <c r="K16" i="61"/>
  <c r="K10" i="23"/>
  <c r="J11" i="61"/>
  <c r="J16" i="61"/>
  <c r="BN11" i="61"/>
  <c r="BN16" i="61"/>
  <c r="BM11" i="61"/>
  <c r="BM16" i="61"/>
  <c r="BL11" i="61"/>
  <c r="BL16" i="61"/>
  <c r="BK11" i="61"/>
  <c r="BK16" i="61"/>
  <c r="BH11" i="61"/>
  <c r="BH16" i="61"/>
  <c r="BG11" i="61"/>
  <c r="BG16" i="61"/>
  <c r="BF11" i="61"/>
  <c r="BF16" i="61"/>
  <c r="BE11" i="61"/>
  <c r="BE16" i="61"/>
  <c r="BD11" i="61"/>
  <c r="BD16" i="61"/>
  <c r="BC11" i="61"/>
  <c r="BC16" i="61"/>
  <c r="BB11" i="61"/>
  <c r="BB16" i="61"/>
  <c r="BA11" i="61"/>
  <c r="BA16" i="61"/>
  <c r="AZ11" i="61"/>
  <c r="AZ16" i="61"/>
  <c r="AY11" i="61"/>
  <c r="AY16" i="61"/>
  <c r="AX11" i="61"/>
  <c r="AX16" i="61"/>
  <c r="AW11" i="61"/>
  <c r="AW16" i="61"/>
  <c r="AV11" i="61"/>
  <c r="AV16" i="61"/>
  <c r="AU11" i="61"/>
  <c r="AU16" i="61"/>
  <c r="AT11" i="61"/>
  <c r="AT16" i="61"/>
  <c r="AS11" i="61"/>
  <c r="AS16" i="61"/>
  <c r="AR11" i="61"/>
  <c r="AR16" i="61"/>
  <c r="AQ11" i="61"/>
  <c r="AQ16" i="61"/>
  <c r="AP11" i="61"/>
  <c r="AP16" i="61"/>
  <c r="AO11" i="61"/>
  <c r="AO16" i="61"/>
  <c r="AN11" i="61"/>
  <c r="AN16" i="61"/>
  <c r="AM11" i="61"/>
  <c r="AM16" i="61"/>
  <c r="AL11" i="61"/>
  <c r="AL16" i="61"/>
  <c r="AK11" i="61"/>
  <c r="AK16" i="61"/>
  <c r="AJ11" i="61"/>
  <c r="AJ16" i="61"/>
  <c r="AI11" i="61"/>
  <c r="AI16" i="61"/>
  <c r="AH11" i="61"/>
  <c r="AH16" i="61"/>
  <c r="AG11" i="61"/>
  <c r="AG16" i="61"/>
  <c r="AF11" i="61"/>
  <c r="AF16" i="61"/>
  <c r="G31" i="61"/>
  <c r="G32" i="61"/>
  <c r="G33" i="61"/>
  <c r="G34" i="61"/>
  <c r="G35" i="61"/>
  <c r="G36" i="61"/>
  <c r="G37" i="61"/>
  <c r="G38" i="61"/>
  <c r="G39" i="61"/>
  <c r="G40" i="61"/>
  <c r="G41" i="61"/>
  <c r="G42" i="61"/>
  <c r="G43" i="61"/>
  <c r="G44" i="61"/>
  <c r="G45" i="61"/>
  <c r="G29" i="61"/>
  <c r="G17" i="61"/>
  <c r="G18" i="61"/>
  <c r="G19" i="61"/>
  <c r="G20" i="61"/>
  <c r="G21" i="61"/>
  <c r="G22" i="61"/>
  <c r="G23" i="61"/>
  <c r="G24" i="61"/>
  <c r="G25" i="61"/>
  <c r="G26" i="61"/>
  <c r="G27" i="61"/>
  <c r="G28" i="61"/>
  <c r="F16" i="61"/>
  <c r="G16" i="61"/>
  <c r="H17" i="61"/>
  <c r="H18" i="61"/>
  <c r="BO17" i="61"/>
  <c r="BO18" i="61"/>
  <c r="H20" i="61"/>
  <c r="BO20" i="61"/>
  <c r="H22" i="61"/>
  <c r="BO22" i="61"/>
  <c r="H23" i="61"/>
  <c r="BO23" i="61"/>
  <c r="H24" i="61"/>
  <c r="BO24" i="61"/>
  <c r="H25" i="61"/>
  <c r="BO25" i="61"/>
  <c r="H26" i="61"/>
  <c r="BO26" i="61"/>
  <c r="H27" i="61"/>
  <c r="BO27" i="61"/>
  <c r="H28" i="61"/>
  <c r="BO28" i="61"/>
  <c r="H29" i="61"/>
  <c r="H31" i="61"/>
  <c r="H32" i="61"/>
  <c r="H33" i="61"/>
  <c r="BO31" i="61"/>
  <c r="BO32" i="61"/>
  <c r="BO33" i="61"/>
  <c r="H34" i="61"/>
  <c r="BO34" i="61"/>
  <c r="H35" i="61"/>
  <c r="BO35" i="61"/>
  <c r="H36" i="61"/>
  <c r="BO36" i="61"/>
  <c r="H37" i="61"/>
  <c r="BO37" i="61"/>
  <c r="H38" i="61"/>
  <c r="BO38" i="61"/>
  <c r="H39" i="61"/>
  <c r="BO39" i="61"/>
  <c r="H40" i="61"/>
  <c r="BO40" i="61"/>
  <c r="H41" i="61"/>
  <c r="BO41" i="61"/>
  <c r="H42" i="61"/>
  <c r="BO42" i="61"/>
  <c r="H43" i="61"/>
  <c r="BO43" i="61"/>
  <c r="H44" i="61"/>
  <c r="BO44" i="61"/>
  <c r="H45" i="61"/>
  <c r="BO45" i="61"/>
  <c r="BK40" i="65"/>
  <c r="BJ40" i="65"/>
  <c r="BI40" i="65"/>
  <c r="BH40" i="65"/>
  <c r="BG40" i="65"/>
  <c r="BF40" i="65"/>
  <c r="BE40" i="65"/>
  <c r="BD40" i="65"/>
  <c r="BC40" i="65"/>
  <c r="BB40" i="65"/>
  <c r="BA40" i="65"/>
  <c r="AZ40" i="65"/>
  <c r="AY40" i="65"/>
  <c r="AX40" i="65"/>
  <c r="AW40" i="65"/>
  <c r="AV40" i="65"/>
  <c r="AU40" i="65"/>
  <c r="AT40" i="65"/>
  <c r="AS40" i="65"/>
  <c r="AR40" i="65"/>
  <c r="AQ40" i="65"/>
  <c r="AP40" i="65"/>
  <c r="AO40" i="65"/>
  <c r="AN40" i="65"/>
  <c r="AM40" i="65"/>
  <c r="AL40" i="65"/>
  <c r="AK40" i="65"/>
  <c r="AJ40" i="65"/>
  <c r="AI40" i="65"/>
  <c r="AH40" i="65"/>
  <c r="AG40" i="65"/>
  <c r="AF40" i="65"/>
  <c r="AE40" i="65"/>
  <c r="AD40" i="65"/>
  <c r="AC40" i="65"/>
  <c r="AB40" i="65"/>
  <c r="AA40" i="65"/>
  <c r="Z40" i="65"/>
  <c r="Y40" i="65"/>
  <c r="X40" i="65"/>
  <c r="W40" i="65"/>
  <c r="V40" i="65"/>
  <c r="U40" i="65"/>
  <c r="T40" i="65"/>
  <c r="S40" i="65"/>
  <c r="R40" i="65"/>
  <c r="Q40" i="65"/>
  <c r="P40" i="65"/>
  <c r="O40" i="65"/>
  <c r="N40" i="65"/>
  <c r="M40" i="65"/>
  <c r="L40" i="65"/>
  <c r="K40" i="65"/>
  <c r="J40" i="65"/>
  <c r="I40" i="65"/>
  <c r="H40" i="65"/>
  <c r="G40" i="65"/>
  <c r="K14" i="23"/>
  <c r="K16" i="23"/>
  <c r="K17" i="23"/>
  <c r="K22" i="23"/>
  <c r="BP11" i="61"/>
  <c r="BP16" i="61"/>
  <c r="Z11" i="61"/>
  <c r="Z16" i="61"/>
  <c r="AA11" i="61"/>
  <c r="AA16" i="61"/>
  <c r="AB11" i="61"/>
  <c r="AB16" i="61"/>
  <c r="AC11" i="61"/>
  <c r="AC16" i="61"/>
  <c r="AD11" i="61"/>
  <c r="AD16" i="61"/>
  <c r="AE11" i="61"/>
  <c r="AE16" i="61"/>
  <c r="T11" i="61"/>
  <c r="T16" i="61"/>
  <c r="U11" i="61"/>
  <c r="U16" i="61"/>
  <c r="V16" i="61"/>
  <c r="W16" i="61"/>
  <c r="X16" i="61"/>
  <c r="Y11" i="61"/>
  <c r="Y16" i="61"/>
  <c r="S11" i="61"/>
  <c r="S16" i="61"/>
  <c r="R11" i="61"/>
  <c r="R16" i="61"/>
  <c r="Q11" i="61"/>
  <c r="Q16" i="61"/>
  <c r="P11" i="61"/>
  <c r="P16" i="61"/>
  <c r="O11" i="61"/>
  <c r="O16" i="61"/>
  <c r="N11" i="61"/>
  <c r="N16" i="61"/>
  <c r="BO29" i="61"/>
  <c r="BO60" i="61"/>
  <c r="BO61" i="61"/>
  <c r="BO62" i="61"/>
  <c r="BO63" i="61"/>
  <c r="BO64" i="61"/>
  <c r="BO65" i="61"/>
  <c r="BO66" i="61"/>
  <c r="BO67" i="61"/>
  <c r="BO68" i="61"/>
  <c r="BO69" i="61"/>
  <c r="BO70" i="61"/>
  <c r="BO71" i="61"/>
  <c r="BO72" i="61"/>
  <c r="BO73" i="61"/>
  <c r="BO74" i="61"/>
  <c r="BO75" i="61"/>
  <c r="BO76" i="61"/>
  <c r="BO77" i="61"/>
  <c r="BO78" i="61"/>
  <c r="BO79" i="61"/>
  <c r="BO80" i="61"/>
  <c r="BO81" i="61"/>
  <c r="BO82" i="61"/>
  <c r="BO83" i="61"/>
  <c r="BO84" i="61"/>
  <c r="BO85" i="61"/>
  <c r="BO86" i="61"/>
  <c r="BO87" i="61"/>
  <c r="BO88" i="61"/>
  <c r="BO89" i="61"/>
  <c r="BO90" i="61"/>
  <c r="BO91" i="61"/>
  <c r="BO92" i="61"/>
  <c r="BO93" i="61"/>
  <c r="BO94" i="61"/>
  <c r="BO95" i="61"/>
  <c r="BO96" i="61"/>
  <c r="BO97" i="61"/>
  <c r="BO98" i="61"/>
  <c r="BO99" i="61"/>
  <c r="BO100" i="61"/>
  <c r="BO101" i="61"/>
  <c r="BO102" i="61"/>
  <c r="BO103" i="61"/>
  <c r="BO104" i="61"/>
  <c r="BO105" i="61"/>
  <c r="BO106" i="61"/>
  <c r="BO107" i="61"/>
  <c r="BO108" i="61"/>
  <c r="BO109" i="61"/>
  <c r="BO110" i="61"/>
  <c r="BO111" i="61"/>
  <c r="BO112" i="61"/>
  <c r="BO113" i="61"/>
  <c r="BO114" i="61"/>
  <c r="BO115" i="61"/>
  <c r="BO116" i="61"/>
  <c r="BO117" i="61"/>
  <c r="BO118" i="61"/>
  <c r="BO119" i="61"/>
  <c r="BO120" i="61"/>
  <c r="BO121" i="61"/>
  <c r="BO122" i="61"/>
  <c r="BO123" i="61"/>
  <c r="BO124" i="61"/>
  <c r="BO125" i="61"/>
  <c r="BO126" i="61"/>
  <c r="BO127" i="61"/>
  <c r="BO128" i="61"/>
  <c r="BO129" i="61"/>
  <c r="BO131" i="61"/>
  <c r="BO132" i="61"/>
  <c r="BO133" i="61"/>
  <c r="BO134" i="61"/>
  <c r="BO135" i="61"/>
  <c r="BO136" i="61"/>
  <c r="BO137" i="61"/>
  <c r="BO138" i="61"/>
  <c r="BO139" i="61"/>
  <c r="BO140" i="61"/>
  <c r="BO141" i="61"/>
  <c r="BO142" i="61"/>
  <c r="BO143" i="61"/>
  <c r="BO144" i="61"/>
  <c r="BO145" i="61"/>
  <c r="BO146" i="61"/>
  <c r="BO147" i="61"/>
  <c r="BO148" i="61"/>
  <c r="BO149" i="61"/>
  <c r="BO150" i="61"/>
  <c r="BO151" i="61"/>
  <c r="BO152" i="61"/>
  <c r="BO153" i="61"/>
  <c r="BO154" i="61"/>
  <c r="BO155" i="61"/>
  <c r="BO156" i="61"/>
  <c r="BO157" i="61"/>
  <c r="BO158" i="61"/>
  <c r="BO159" i="61"/>
  <c r="BO160" i="61"/>
  <c r="BO161" i="61"/>
  <c r="BO162" i="61"/>
  <c r="BO163" i="61"/>
  <c r="BO164" i="61"/>
  <c r="BO165" i="61"/>
  <c r="BO166" i="61"/>
  <c r="BO167" i="61"/>
  <c r="BO168" i="61"/>
  <c r="BO169" i="61"/>
  <c r="BO170" i="61"/>
  <c r="BO171" i="61"/>
  <c r="BO172" i="61"/>
  <c r="BO173" i="61"/>
  <c r="BO174" i="61"/>
  <c r="BO175" i="61"/>
  <c r="BO176" i="61"/>
  <c r="BO177" i="61"/>
  <c r="BO178" i="61"/>
  <c r="BO179" i="61"/>
  <c r="BO180" i="61"/>
  <c r="BO181" i="61"/>
  <c r="BO182" i="61"/>
  <c r="BO183" i="61"/>
  <c r="BO184" i="61"/>
  <c r="BO185" i="61"/>
  <c r="BO186" i="61"/>
  <c r="BO187" i="61"/>
  <c r="BO188" i="61"/>
  <c r="BO189" i="61"/>
  <c r="BO190" i="61"/>
  <c r="BO191" i="61"/>
  <c r="BO192" i="61"/>
  <c r="BO193" i="61"/>
  <c r="BO194" i="61"/>
  <c r="BO195" i="61"/>
  <c r="BO196" i="61"/>
  <c r="BO197" i="61"/>
  <c r="BO198" i="61"/>
  <c r="BO199" i="61"/>
  <c r="BO200" i="61"/>
  <c r="BO201" i="61"/>
  <c r="BO202" i="61"/>
  <c r="BO203" i="61"/>
  <c r="BO204" i="61"/>
  <c r="BO205" i="61"/>
  <c r="BO206" i="61"/>
  <c r="BO207" i="61"/>
  <c r="BO208" i="61"/>
  <c r="BO209" i="61"/>
  <c r="BO210" i="61"/>
  <c r="BO211" i="61"/>
  <c r="BO212" i="61"/>
  <c r="BO213" i="61"/>
  <c r="BO214" i="61"/>
  <c r="BO215" i="61"/>
  <c r="BO216" i="61"/>
  <c r="BO217" i="61"/>
  <c r="BO218" i="61"/>
  <c r="BO219" i="61"/>
  <c r="BO220" i="61"/>
  <c r="BO221" i="61"/>
  <c r="BO222" i="61"/>
  <c r="BO223" i="61"/>
  <c r="BO224" i="61"/>
  <c r="BO225" i="61"/>
  <c r="BO226" i="61"/>
  <c r="BO227" i="61"/>
  <c r="BO228" i="61"/>
  <c r="BO229" i="61"/>
  <c r="BO231" i="61"/>
  <c r="BO232" i="61"/>
  <c r="BO233" i="61"/>
  <c r="BO234" i="61"/>
  <c r="BO235" i="61"/>
  <c r="BO236" i="61"/>
  <c r="BO237" i="61"/>
  <c r="BO238" i="61"/>
  <c r="BO239" i="61"/>
  <c r="BO240" i="61"/>
  <c r="BO241" i="61"/>
  <c r="BO242" i="61"/>
  <c r="BO243" i="61"/>
  <c r="BO244" i="61"/>
  <c r="BO245" i="61"/>
  <c r="BO246" i="61"/>
  <c r="BO247" i="61"/>
  <c r="BO248" i="61"/>
  <c r="BO249" i="61"/>
  <c r="BO250" i="61"/>
  <c r="BO251" i="61"/>
  <c r="BO252" i="61"/>
  <c r="BO253" i="61"/>
  <c r="BO254" i="61"/>
  <c r="BO255" i="61"/>
  <c r="BO256" i="61"/>
  <c r="BO257" i="61"/>
  <c r="BO258" i="61"/>
  <c r="BO259" i="61"/>
  <c r="BO260" i="61"/>
  <c r="BO261" i="61"/>
  <c r="BO262" i="61"/>
  <c r="BO263" i="61"/>
  <c r="BO264" i="61"/>
  <c r="BO265" i="61"/>
  <c r="BO266" i="61"/>
  <c r="BO267" i="61"/>
  <c r="BO268" i="61"/>
  <c r="BO269" i="61"/>
  <c r="BO270" i="61"/>
  <c r="BO271" i="61"/>
  <c r="BO272" i="61"/>
  <c r="BO273" i="61"/>
  <c r="BO274" i="61"/>
  <c r="BO275" i="61"/>
  <c r="BO276" i="61"/>
  <c r="BO277" i="61"/>
  <c r="BO278" i="61"/>
  <c r="BO279" i="61"/>
  <c r="BO280" i="61"/>
  <c r="BO281" i="61"/>
  <c r="BO282" i="61"/>
  <c r="BO283" i="61"/>
  <c r="BO284" i="61"/>
  <c r="BO285" i="61"/>
  <c r="BO286" i="61"/>
  <c r="BO287" i="61"/>
  <c r="BO288" i="61"/>
  <c r="BO289" i="61"/>
  <c r="BO290" i="61"/>
  <c r="BO291" i="61"/>
  <c r="BO292" i="61"/>
  <c r="BO293" i="61"/>
  <c r="BO294" i="61"/>
  <c r="BO295" i="61"/>
  <c r="BO296" i="61"/>
  <c r="BO297" i="61"/>
  <c r="BO298" i="61"/>
  <c r="BO299" i="61"/>
  <c r="BO310" i="61"/>
  <c r="BO311" i="61"/>
  <c r="BO312" i="61"/>
  <c r="BO313" i="61"/>
  <c r="BO314" i="61"/>
  <c r="BO315" i="61"/>
  <c r="BO316" i="61"/>
  <c r="BO317" i="61"/>
  <c r="BO318" i="61"/>
  <c r="BO319" i="61"/>
  <c r="BO320" i="61"/>
  <c r="BO321" i="61"/>
  <c r="BO322" i="61"/>
  <c r="BO323" i="61"/>
  <c r="BO324" i="61"/>
  <c r="BO325" i="61"/>
  <c r="BO326" i="61"/>
  <c r="BO327" i="61"/>
  <c r="BO328" i="61"/>
  <c r="BO329" i="61"/>
  <c r="BO331" i="61"/>
  <c r="BO332" i="61"/>
  <c r="BO333" i="61"/>
  <c r="BO334" i="61"/>
  <c r="BO335" i="61"/>
  <c r="BO336" i="61"/>
  <c r="BO337" i="61"/>
  <c r="BO338" i="61"/>
  <c r="BO339" i="61"/>
  <c r="BO340" i="61"/>
  <c r="BO341" i="61"/>
  <c r="BO342" i="61"/>
  <c r="BO343" i="61"/>
  <c r="BO344" i="61"/>
  <c r="BO345" i="61"/>
  <c r="BO346" i="61"/>
  <c r="BO347" i="61"/>
  <c r="BO348" i="61"/>
  <c r="BO349" i="61"/>
  <c r="BO350" i="61"/>
  <c r="BO351" i="61"/>
  <c r="BO352" i="61"/>
  <c r="BO353" i="61"/>
  <c r="BO354" i="61"/>
  <c r="BO355" i="61"/>
  <c r="BO356" i="61"/>
  <c r="BO357" i="61"/>
  <c r="BO358" i="61"/>
  <c r="BO359" i="61"/>
  <c r="BO360" i="61"/>
  <c r="BO361" i="61"/>
  <c r="BO362" i="61"/>
  <c r="BO363" i="61"/>
  <c r="BO364" i="61"/>
  <c r="BO365" i="61"/>
  <c r="BO366" i="61"/>
  <c r="BO367" i="61"/>
  <c r="BO368" i="61"/>
  <c r="BO369" i="61"/>
  <c r="BO370" i="61"/>
  <c r="BO371" i="61"/>
  <c r="BO372" i="61"/>
  <c r="BO373" i="61"/>
  <c r="BO374" i="61"/>
  <c r="BO375" i="61"/>
  <c r="BO376" i="61"/>
  <c r="BO377" i="61"/>
  <c r="BO378" i="61"/>
  <c r="BO379" i="61"/>
  <c r="BO380" i="61"/>
  <c r="BO381" i="61"/>
  <c r="BO382" i="61"/>
  <c r="BO383" i="61"/>
  <c r="BO384" i="61"/>
  <c r="BO385" i="61"/>
  <c r="BO386" i="61"/>
  <c r="BO387" i="61"/>
  <c r="BO388" i="61"/>
  <c r="BO389" i="61"/>
  <c r="BO390" i="61"/>
  <c r="BO391" i="61"/>
  <c r="BO392" i="61"/>
  <c r="BO393" i="61"/>
  <c r="BO394" i="61"/>
  <c r="BO395" i="61"/>
  <c r="BO396" i="61"/>
  <c r="BO397" i="61"/>
  <c r="BO398" i="61"/>
  <c r="BO399" i="61"/>
  <c r="BO400" i="61"/>
  <c r="BO401" i="61"/>
  <c r="BO402" i="61"/>
  <c r="BO403" i="61"/>
  <c r="BO404" i="61"/>
  <c r="BO405" i="61"/>
  <c r="BO406" i="61"/>
  <c r="BO407" i="61"/>
  <c r="BO408" i="61"/>
  <c r="BO409" i="61"/>
  <c r="BO410" i="61"/>
  <c r="BO411" i="61"/>
  <c r="BO412" i="61"/>
  <c r="BO413" i="61"/>
  <c r="BO414" i="61"/>
  <c r="BO415" i="61"/>
  <c r="BO416" i="61"/>
  <c r="BO417" i="61"/>
  <c r="BO418" i="61"/>
  <c r="BO419" i="61"/>
  <c r="BO420" i="61"/>
  <c r="BO421" i="61"/>
  <c r="BO422" i="61"/>
  <c r="BO423" i="61"/>
  <c r="BO424" i="61"/>
  <c r="BO425" i="61"/>
  <c r="BO426" i="61"/>
  <c r="BO427" i="61"/>
  <c r="BO428" i="61"/>
  <c r="BO429" i="61"/>
  <c r="BO431" i="61"/>
  <c r="BO432" i="61"/>
  <c r="BO433" i="61"/>
  <c r="BO434" i="61"/>
  <c r="BO435" i="61"/>
  <c r="BO436" i="61"/>
  <c r="BO437" i="61"/>
  <c r="BO438" i="61"/>
  <c r="BO439" i="61"/>
  <c r="BO440" i="61"/>
  <c r="BO441" i="61"/>
  <c r="BO442" i="61"/>
  <c r="BO443" i="61"/>
  <c r="BO444" i="61"/>
  <c r="BO445" i="61"/>
  <c r="BO446" i="61"/>
  <c r="BO447" i="61"/>
  <c r="BO448" i="61"/>
  <c r="BO449" i="61"/>
  <c r="BO450" i="61"/>
  <c r="BO451" i="61"/>
  <c r="BO452" i="61"/>
  <c r="BO453" i="61"/>
  <c r="BO454" i="61"/>
  <c r="BO455" i="61"/>
  <c r="BO456" i="61"/>
  <c r="BO457" i="61"/>
  <c r="BO458" i="61"/>
  <c r="BO459" i="61"/>
  <c r="BO460" i="61"/>
  <c r="BO461" i="61"/>
  <c r="BO462" i="61"/>
  <c r="BO463" i="61"/>
  <c r="BO464" i="61"/>
  <c r="BO465" i="61"/>
  <c r="BO466" i="61"/>
  <c r="BO467" i="61"/>
  <c r="BO468" i="61"/>
  <c r="BO469" i="61"/>
  <c r="BO470" i="61"/>
  <c r="BO471" i="61"/>
  <c r="BO472" i="61"/>
  <c r="BO473" i="61"/>
  <c r="BO474" i="61"/>
  <c r="BO475" i="61"/>
  <c r="BO476" i="61"/>
  <c r="BO477" i="61"/>
  <c r="BO478" i="61"/>
  <c r="BO479" i="61"/>
  <c r="BO480" i="61"/>
  <c r="BO481" i="61"/>
  <c r="BO482" i="61"/>
  <c r="BO483" i="61"/>
  <c r="BO484" i="61"/>
  <c r="BO485" i="61"/>
  <c r="BO486" i="61"/>
  <c r="BO487" i="61"/>
  <c r="BO488" i="61"/>
  <c r="BO489" i="61"/>
  <c r="BO490" i="61"/>
  <c r="BO491" i="61"/>
  <c r="BO492" i="61"/>
  <c r="BO493" i="61"/>
  <c r="BO494" i="61"/>
  <c r="BO495" i="61"/>
  <c r="BO496" i="61"/>
  <c r="BO497" i="61"/>
  <c r="BO498" i="61"/>
  <c r="BO499" i="61"/>
  <c r="BO500" i="61"/>
  <c r="BO501" i="61"/>
  <c r="BO502" i="61"/>
  <c r="BO503" i="61"/>
  <c r="BO504" i="61"/>
  <c r="BO505" i="61"/>
  <c r="BO506" i="61"/>
  <c r="BO507" i="61"/>
  <c r="BO508" i="61"/>
  <c r="BO509" i="61"/>
  <c r="BO510" i="61"/>
  <c r="BO511" i="61"/>
  <c r="BO512" i="61"/>
  <c r="BO513" i="61"/>
  <c r="BO514" i="61"/>
  <c r="BO515" i="61"/>
  <c r="BO516" i="61"/>
  <c r="BO517" i="61"/>
  <c r="BO518" i="61"/>
  <c r="BO519" i="61"/>
  <c r="BO520" i="61"/>
  <c r="BO521" i="61"/>
  <c r="BO522" i="61"/>
  <c r="BO523" i="61"/>
  <c r="BO524" i="61"/>
  <c r="BO525" i="61"/>
  <c r="BO526" i="61"/>
  <c r="BO527" i="61"/>
  <c r="BO528" i="61"/>
  <c r="BO529" i="61"/>
  <c r="BO531" i="61"/>
  <c r="BO532" i="61"/>
  <c r="BO533" i="61"/>
  <c r="BO534" i="61"/>
  <c r="BO535" i="61"/>
  <c r="BO536" i="61"/>
  <c r="BO537" i="61"/>
  <c r="BO538" i="61"/>
  <c r="BO539" i="61"/>
  <c r="BO540" i="61"/>
  <c r="BO541" i="61"/>
  <c r="BO542" i="61"/>
  <c r="BO543" i="61"/>
  <c r="BO544" i="61"/>
  <c r="BO545" i="61"/>
  <c r="BO546" i="61"/>
  <c r="BO547" i="61"/>
  <c r="BO548" i="61"/>
  <c r="BO549" i="61"/>
  <c r="BO550" i="61"/>
  <c r="BO551" i="61"/>
  <c r="BO552" i="61"/>
  <c r="BO553" i="61"/>
  <c r="BO554" i="61"/>
  <c r="BO555" i="61"/>
  <c r="BO556" i="61"/>
  <c r="BO557" i="61"/>
  <c r="BO558" i="61"/>
  <c r="BO559" i="61"/>
  <c r="BO560" i="61"/>
  <c r="BO561" i="61"/>
  <c r="BO562" i="61"/>
  <c r="BO563" i="61"/>
  <c r="BO564" i="61"/>
  <c r="BO565" i="61"/>
  <c r="BO566" i="61"/>
  <c r="BO567" i="61"/>
  <c r="BO568" i="61"/>
  <c r="BO569" i="61"/>
  <c r="BO570" i="61"/>
  <c r="BO571" i="61"/>
  <c r="BO572" i="61"/>
  <c r="BO573" i="61"/>
  <c r="BO574" i="61"/>
  <c r="BO575" i="61"/>
  <c r="BO576" i="61"/>
  <c r="BO577" i="61"/>
  <c r="BO578" i="61"/>
  <c r="BO579" i="61"/>
  <c r="BO580" i="61"/>
  <c r="BO581" i="61"/>
  <c r="BO582" i="61"/>
  <c r="BO583" i="61"/>
  <c r="BO584" i="61"/>
  <c r="BO585" i="61"/>
  <c r="BO586" i="61"/>
  <c r="BO587" i="61"/>
  <c r="BO588" i="61"/>
  <c r="BO589" i="61"/>
  <c r="BO590" i="61"/>
  <c r="BO591" i="61"/>
  <c r="BO592" i="61"/>
  <c r="BO593" i="61"/>
  <c r="BO594" i="61"/>
  <c r="BO595" i="61"/>
  <c r="BO596" i="61"/>
  <c r="BO597" i="61"/>
  <c r="BO598" i="61"/>
  <c r="BO599" i="61"/>
  <c r="BO600" i="61"/>
  <c r="BO601" i="61"/>
  <c r="BO602" i="61"/>
  <c r="BO603" i="61"/>
  <c r="BO604" i="61"/>
  <c r="BO605" i="61"/>
  <c r="BO606" i="61"/>
  <c r="BO607" i="61"/>
  <c r="BO608" i="61"/>
  <c r="BO609" i="61"/>
  <c r="BO610" i="61"/>
  <c r="BO611" i="61"/>
  <c r="BO612" i="61"/>
  <c r="BO613" i="61"/>
  <c r="BO614" i="61"/>
  <c r="BO615" i="61"/>
  <c r="BO616" i="61"/>
  <c r="BO617" i="61"/>
  <c r="BO618" i="61"/>
  <c r="BO619" i="61"/>
  <c r="BO620" i="61"/>
  <c r="BO621" i="61"/>
  <c r="BO622" i="61"/>
  <c r="BO623" i="61"/>
  <c r="BO624" i="61"/>
  <c r="BO625" i="61"/>
  <c r="BO626" i="61"/>
  <c r="BO627" i="61"/>
  <c r="BO628" i="61"/>
  <c r="BO629" i="61"/>
  <c r="BO631" i="61"/>
  <c r="BO632" i="61"/>
  <c r="BO633" i="61"/>
  <c r="BO634" i="61"/>
  <c r="BO635" i="61"/>
  <c r="BO636" i="61"/>
  <c r="BO637" i="61"/>
  <c r="BO638" i="61"/>
  <c r="BO639" i="61"/>
  <c r="BO640" i="61"/>
  <c r="BO641" i="61"/>
  <c r="BO642" i="61"/>
  <c r="BO643" i="61"/>
  <c r="BO644" i="61"/>
  <c r="BO645" i="61"/>
  <c r="BO646" i="61"/>
  <c r="BO647" i="61"/>
  <c r="BO648" i="61"/>
  <c r="BO649" i="61"/>
  <c r="BO650" i="61"/>
  <c r="BO651" i="61"/>
  <c r="BO652" i="61"/>
  <c r="BO653" i="61"/>
  <c r="BO654" i="61"/>
  <c r="BO655" i="61"/>
  <c r="BO656" i="61"/>
  <c r="BO657" i="61"/>
  <c r="BO658" i="61"/>
  <c r="BO659" i="61"/>
  <c r="BO660" i="61"/>
  <c r="BO661" i="61"/>
  <c r="BO662" i="61"/>
  <c r="BO663" i="61"/>
  <c r="BO664" i="61"/>
  <c r="BO665" i="61"/>
  <c r="BO666" i="61"/>
  <c r="BO667" i="61"/>
  <c r="BO668" i="61"/>
  <c r="BO669" i="61"/>
  <c r="BO670" i="61"/>
  <c r="BO671" i="61"/>
  <c r="BO672" i="61"/>
  <c r="BO673" i="61"/>
  <c r="BO674" i="61"/>
  <c r="BO675" i="61"/>
  <c r="BO676" i="61"/>
  <c r="BO677" i="61"/>
  <c r="BO678" i="61"/>
  <c r="BO679" i="61"/>
  <c r="BO680" i="61"/>
  <c r="BO681" i="61"/>
  <c r="BO682" i="61"/>
  <c r="BO683" i="61"/>
  <c r="BO684" i="61"/>
  <c r="BO685" i="61"/>
  <c r="BO686" i="61"/>
  <c r="BO687" i="61"/>
  <c r="BO688" i="61"/>
  <c r="BO689" i="61"/>
  <c r="BO690" i="61"/>
  <c r="BO691" i="61"/>
  <c r="BO692" i="61"/>
  <c r="BO693" i="61"/>
  <c r="BO694" i="61"/>
  <c r="BO695" i="61"/>
  <c r="BO696" i="61"/>
  <c r="BO697" i="61"/>
  <c r="BO698" i="61"/>
  <c r="BO699" i="61"/>
  <c r="BO700" i="61"/>
  <c r="BO701" i="61"/>
  <c r="BO702" i="61"/>
  <c r="BO703" i="61"/>
  <c r="BO704" i="61"/>
  <c r="BO705" i="61"/>
  <c r="BO706" i="61"/>
  <c r="BO707" i="61"/>
  <c r="BO708" i="61"/>
  <c r="BO709" i="61"/>
  <c r="BO710" i="61"/>
  <c r="BO711" i="61"/>
  <c r="BO712" i="61"/>
  <c r="BO713" i="61"/>
  <c r="BO714" i="61"/>
  <c r="BO715" i="61"/>
  <c r="BO716" i="61"/>
  <c r="BO717" i="61"/>
  <c r="BO718" i="61"/>
  <c r="BO719" i="61"/>
  <c r="BO720" i="61"/>
  <c r="BO721" i="61"/>
  <c r="BO722" i="61"/>
  <c r="BO723" i="61"/>
  <c r="BO724" i="61"/>
  <c r="BO725" i="61"/>
  <c r="BO726" i="61"/>
  <c r="BO727" i="61"/>
  <c r="BO728" i="61"/>
  <c r="BO729" i="61"/>
  <c r="BO731" i="61"/>
  <c r="BO732" i="61"/>
  <c r="BO733" i="61"/>
  <c r="BO734" i="61"/>
  <c r="BO735" i="61"/>
  <c r="BO736" i="61"/>
  <c r="BO737" i="61"/>
  <c r="BO738" i="61"/>
  <c r="BO739" i="61"/>
  <c r="BO740" i="61"/>
  <c r="BO741" i="61"/>
  <c r="BO742" i="61"/>
  <c r="BO743" i="61"/>
  <c r="BO744" i="61"/>
  <c r="BO745" i="61"/>
  <c r="BO746" i="61"/>
  <c r="BO747" i="61"/>
  <c r="BO748" i="61"/>
  <c r="BO749" i="61"/>
  <c r="BO750" i="61"/>
  <c r="BO751" i="61"/>
  <c r="BO752" i="61"/>
  <c r="BO753" i="61"/>
  <c r="BO754" i="61"/>
  <c r="BO755" i="61"/>
  <c r="BO756" i="61"/>
  <c r="BO757" i="61"/>
  <c r="BO758" i="61"/>
  <c r="BO759" i="61"/>
  <c r="BO760" i="61"/>
  <c r="BO761" i="61"/>
  <c r="BO762" i="61"/>
  <c r="BO763" i="61"/>
  <c r="BO764" i="61"/>
  <c r="BO765" i="61"/>
  <c r="BO766" i="61"/>
  <c r="BO767" i="61"/>
  <c r="BO768" i="61"/>
  <c r="BO769" i="61"/>
  <c r="BO770" i="61"/>
  <c r="BO771" i="61"/>
  <c r="BO772" i="61"/>
  <c r="BO773" i="61"/>
  <c r="BO774" i="61"/>
  <c r="BO775" i="61"/>
  <c r="BO776" i="61"/>
  <c r="BO777" i="61"/>
  <c r="BO778" i="61"/>
  <c r="BO779" i="61"/>
  <c r="BO780" i="61"/>
  <c r="BO781" i="61"/>
  <c r="BO782" i="61"/>
  <c r="BO783" i="61"/>
  <c r="BO784" i="61"/>
  <c r="BO785" i="61"/>
  <c r="BO786" i="61"/>
  <c r="BO787" i="61"/>
  <c r="BO788" i="61"/>
  <c r="BO789" i="61"/>
  <c r="BO790" i="61"/>
  <c r="BO791" i="61"/>
  <c r="BO792" i="61"/>
  <c r="BO793" i="61"/>
  <c r="BO794" i="61"/>
  <c r="BO795" i="61"/>
  <c r="BO796" i="61"/>
  <c r="BO797" i="61"/>
  <c r="BO798" i="61"/>
  <c r="BO799" i="61"/>
  <c r="BO800" i="61"/>
  <c r="BO801" i="61"/>
  <c r="BO802" i="61"/>
  <c r="BO803" i="61"/>
  <c r="BO804" i="61"/>
  <c r="BO805" i="61"/>
  <c r="BO806" i="61"/>
  <c r="BO807" i="61"/>
  <c r="BO808" i="61"/>
  <c r="BO809" i="61"/>
  <c r="BO810" i="61"/>
  <c r="BO811" i="61"/>
  <c r="BO812" i="61"/>
  <c r="BO813" i="61"/>
  <c r="BO814" i="61"/>
  <c r="BO815" i="61"/>
  <c r="BO816" i="61"/>
  <c r="BO817" i="61"/>
  <c r="BO818" i="61"/>
  <c r="BO819" i="61"/>
  <c r="BO820" i="61"/>
  <c r="BO821" i="61"/>
  <c r="BO822" i="61"/>
  <c r="BO823" i="61"/>
  <c r="BO824" i="61"/>
  <c r="BO825" i="61"/>
  <c r="BO826" i="61"/>
  <c r="BO827" i="61"/>
  <c r="BO828" i="61"/>
  <c r="BO829" i="61"/>
  <c r="BO831" i="61"/>
  <c r="BO832" i="61"/>
  <c r="BO833" i="61"/>
  <c r="BO834" i="61"/>
  <c r="BO835" i="61"/>
  <c r="BO836" i="61"/>
  <c r="BO837" i="61"/>
  <c r="BO838" i="61"/>
  <c r="BO839" i="61"/>
  <c r="BO840" i="61"/>
  <c r="BO841" i="61"/>
  <c r="BO842" i="61"/>
  <c r="BO843" i="61"/>
  <c r="BO844" i="61"/>
  <c r="BO845" i="61"/>
  <c r="BO846" i="61"/>
  <c r="BO847" i="61"/>
  <c r="BO848" i="61"/>
  <c r="BO849" i="61"/>
  <c r="BO850" i="61"/>
  <c r="BO851" i="61"/>
  <c r="BO852" i="61"/>
  <c r="BO853" i="61"/>
  <c r="BO854" i="61"/>
  <c r="BO855" i="61"/>
  <c r="BO856" i="61"/>
  <c r="BO857" i="61"/>
  <c r="BO858" i="61"/>
  <c r="BO859" i="61"/>
  <c r="BO860" i="61"/>
  <c r="BO861" i="61"/>
  <c r="BO862" i="61"/>
  <c r="BO863" i="61"/>
  <c r="BO864" i="61"/>
  <c r="BO865" i="61"/>
  <c r="BO866" i="61"/>
  <c r="BO867" i="61"/>
  <c r="BO868" i="61"/>
  <c r="BO869" i="61"/>
  <c r="BO870" i="61"/>
  <c r="BO871" i="61"/>
  <c r="BO872" i="61"/>
  <c r="BO873" i="61"/>
  <c r="BO874" i="61"/>
  <c r="BO875" i="61"/>
  <c r="BO876" i="61"/>
  <c r="BO877" i="61"/>
  <c r="BO878" i="61"/>
  <c r="BO879" i="61"/>
  <c r="BO880" i="61"/>
  <c r="BO881" i="61"/>
  <c r="BO882" i="61"/>
  <c r="BO883" i="61"/>
  <c r="BO884" i="61"/>
  <c r="BO885" i="61"/>
  <c r="BO886" i="61"/>
  <c r="BO887" i="61"/>
  <c r="BO888" i="61"/>
  <c r="BO889" i="61"/>
  <c r="BO890" i="61"/>
  <c r="BO891" i="61"/>
  <c r="BO892" i="61"/>
  <c r="BO893" i="61"/>
  <c r="BO894" i="61"/>
  <c r="BO895" i="61"/>
  <c r="BO896" i="61"/>
  <c r="BO897" i="61"/>
  <c r="BO898" i="61"/>
  <c r="BO899" i="61"/>
  <c r="BO900" i="61"/>
  <c r="BO901" i="61"/>
  <c r="BO902" i="61"/>
  <c r="BO903" i="61"/>
  <c r="BO904" i="61"/>
  <c r="BO905" i="61"/>
  <c r="BO906" i="61"/>
  <c r="BO907" i="61"/>
  <c r="BO908" i="61"/>
  <c r="BO909" i="61"/>
  <c r="BO910" i="61"/>
  <c r="BO911" i="61"/>
  <c r="BO912" i="61"/>
  <c r="BO913" i="61"/>
  <c r="BO914" i="61"/>
  <c r="BO915" i="61"/>
  <c r="BO916" i="61"/>
  <c r="BO917" i="61"/>
  <c r="BO918" i="61"/>
  <c r="BO919" i="61"/>
  <c r="BO920" i="61"/>
  <c r="BO921" i="61"/>
  <c r="BO922" i="61"/>
  <c r="BO923" i="61"/>
  <c r="BO924" i="61"/>
  <c r="BO925" i="61"/>
  <c r="BO926" i="61"/>
  <c r="BO927" i="61"/>
  <c r="BO928" i="61"/>
  <c r="BO929" i="61"/>
  <c r="BO931" i="61"/>
  <c r="BO932" i="61"/>
  <c r="BO933" i="61"/>
  <c r="BO934" i="61"/>
  <c r="BO935" i="61"/>
  <c r="BO936" i="61"/>
  <c r="BO937" i="61"/>
  <c r="BO938" i="61"/>
  <c r="BO939" i="61"/>
  <c r="BO940" i="61"/>
  <c r="BO941" i="61"/>
  <c r="BO942" i="61"/>
  <c r="BO943" i="61"/>
  <c r="BO944" i="61"/>
  <c r="BO945" i="61"/>
  <c r="BO946" i="61"/>
  <c r="BO947" i="61"/>
  <c r="BO948" i="61"/>
  <c r="BO949" i="61"/>
  <c r="BO950" i="61"/>
  <c r="BO951" i="61"/>
  <c r="BO952" i="61"/>
  <c r="BO953" i="61"/>
  <c r="BO954" i="61"/>
  <c r="BO955" i="61"/>
  <c r="BO956" i="61"/>
  <c r="BO957" i="61"/>
  <c r="BO958" i="61"/>
  <c r="BO959" i="61"/>
  <c r="BO960" i="61"/>
  <c r="BO961" i="61"/>
  <c r="BO962" i="61"/>
  <c r="BO963" i="61"/>
  <c r="BO964" i="61"/>
  <c r="BO965" i="61"/>
  <c r="BO966" i="61"/>
  <c r="BO967" i="61"/>
  <c r="BO968" i="61"/>
  <c r="BO969" i="61"/>
  <c r="BO970" i="61"/>
  <c r="BO971" i="61"/>
  <c r="BO972" i="61"/>
  <c r="BO973" i="61"/>
  <c r="BO974" i="61"/>
  <c r="BO975" i="61"/>
  <c r="BO976" i="61"/>
  <c r="BO977" i="61"/>
  <c r="BO978" i="61"/>
  <c r="BO979" i="61"/>
  <c r="BO980" i="61"/>
  <c r="BO981" i="61"/>
  <c r="BO982" i="61"/>
  <c r="BO983" i="61"/>
  <c r="BO984" i="61"/>
  <c r="BO985" i="61"/>
  <c r="BO986" i="61"/>
  <c r="BO987" i="61"/>
  <c r="BO988" i="61"/>
  <c r="BO989" i="61"/>
  <c r="BO990" i="61"/>
  <c r="BO991" i="61"/>
  <c r="BO992" i="61"/>
  <c r="BO993" i="61"/>
  <c r="BO994" i="61"/>
  <c r="BO995" i="61"/>
  <c r="BO996" i="61"/>
  <c r="BO997" i="61"/>
  <c r="BO998" i="61"/>
  <c r="BO999" i="61"/>
  <c r="BO1000" i="61"/>
  <c r="BO1001" i="61"/>
  <c r="BO1002" i="61"/>
  <c r="BO1003" i="61"/>
  <c r="BO1004" i="61"/>
  <c r="BO1005" i="61"/>
  <c r="BO1006" i="61"/>
  <c r="BO1007" i="61"/>
  <c r="BO1008" i="61"/>
  <c r="BO1009" i="61"/>
  <c r="BO1010" i="61"/>
  <c r="BO1011" i="61"/>
  <c r="BO1012" i="61"/>
  <c r="BO1013" i="61"/>
  <c r="BO1014" i="61"/>
  <c r="BO1015" i="61"/>
  <c r="BO16" i="61"/>
  <c r="BR27" i="62"/>
  <c r="BS27" i="62"/>
  <c r="BT27" i="62"/>
  <c r="BU27" i="62"/>
  <c r="BV27" i="62"/>
  <c r="BW27" i="62"/>
  <c r="BX27" i="62"/>
  <c r="BY27" i="62"/>
  <c r="BZ27" i="62"/>
  <c r="CA27" i="62"/>
  <c r="CB27" i="62"/>
  <c r="CC27" i="62"/>
  <c r="CD27" i="62"/>
  <c r="CE27" i="62"/>
  <c r="CF27" i="62"/>
  <c r="CG27" i="62"/>
  <c r="CH27" i="62"/>
  <c r="CI27" i="62"/>
  <c r="CJ27" i="62"/>
  <c r="CK27" i="62"/>
  <c r="CL27" i="62"/>
  <c r="CM27" i="62"/>
  <c r="CN27" i="62"/>
  <c r="CO27" i="62"/>
  <c r="CP27" i="62"/>
  <c r="CQ27" i="62"/>
  <c r="CR27" i="62"/>
  <c r="CS27" i="62"/>
  <c r="CT27" i="62"/>
  <c r="CU27" i="62"/>
  <c r="CV27" i="62"/>
  <c r="CW27" i="62"/>
  <c r="CX27" i="62"/>
  <c r="CY27" i="62"/>
  <c r="CZ27" i="62"/>
  <c r="DA27" i="62"/>
  <c r="DB27" i="62"/>
  <c r="DC27" i="62"/>
  <c r="DD27" i="62"/>
  <c r="DE27" i="62"/>
  <c r="DF27" i="62"/>
  <c r="DG27" i="62"/>
  <c r="DH27" i="62"/>
  <c r="DI27" i="62"/>
  <c r="DJ27" i="62"/>
  <c r="DK27" i="62"/>
  <c r="DL27" i="62"/>
  <c r="DM27" i="62"/>
  <c r="DN27" i="62"/>
  <c r="DO27" i="62"/>
  <c r="DP27" i="62"/>
  <c r="DQ27" i="62"/>
  <c r="DR27" i="62"/>
  <c r="DS27" i="62"/>
  <c r="DT27" i="62"/>
  <c r="DU27" i="62"/>
  <c r="DV27" i="62"/>
  <c r="DW27" i="62"/>
  <c r="DX27" i="62"/>
  <c r="DY27" i="62"/>
  <c r="DZ27" i="62"/>
  <c r="EA27" i="62"/>
  <c r="EB27" i="62"/>
  <c r="EC27" i="62"/>
  <c r="ED27" i="62"/>
  <c r="EE27" i="62"/>
  <c r="EF27" i="62"/>
  <c r="EG27" i="62"/>
  <c r="EH27" i="62"/>
  <c r="EI27" i="62"/>
  <c r="BR28" i="62"/>
  <c r="BS28" i="62"/>
  <c r="BT28" i="62"/>
  <c r="BU28" i="62"/>
  <c r="BV28" i="62"/>
  <c r="BW28" i="62"/>
  <c r="BX28" i="62"/>
  <c r="BY28" i="62"/>
  <c r="BZ28" i="62"/>
  <c r="CA28" i="62"/>
  <c r="CB28" i="62"/>
  <c r="CC28" i="62"/>
  <c r="CD28" i="62"/>
  <c r="CE28" i="62"/>
  <c r="CF28" i="62"/>
  <c r="CG28" i="62"/>
  <c r="CH28" i="62"/>
  <c r="CI28" i="62"/>
  <c r="CJ28" i="62"/>
  <c r="CK28" i="62"/>
  <c r="CL28" i="62"/>
  <c r="CM28" i="62"/>
  <c r="CN28" i="62"/>
  <c r="CO28" i="62"/>
  <c r="CP28" i="62"/>
  <c r="CQ28" i="62"/>
  <c r="CR28" i="62"/>
  <c r="CS28" i="62"/>
  <c r="CT28" i="62"/>
  <c r="CU28" i="62"/>
  <c r="CV28" i="62"/>
  <c r="CW28" i="62"/>
  <c r="CX28" i="62"/>
  <c r="CY28" i="62"/>
  <c r="CZ28" i="62"/>
  <c r="DA28" i="62"/>
  <c r="DB28" i="62"/>
  <c r="DC28" i="62"/>
  <c r="DD28" i="62"/>
  <c r="DE28" i="62"/>
  <c r="DF28" i="62"/>
  <c r="DG28" i="62"/>
  <c r="DH28" i="62"/>
  <c r="DI28" i="62"/>
  <c r="DJ28" i="62"/>
  <c r="DK28" i="62"/>
  <c r="DL28" i="62"/>
  <c r="DM28" i="62"/>
  <c r="DN28" i="62"/>
  <c r="DO28" i="62"/>
  <c r="DP28" i="62"/>
  <c r="DQ28" i="62"/>
  <c r="DR28" i="62"/>
  <c r="DS28" i="62"/>
  <c r="DT28" i="62"/>
  <c r="DU28" i="62"/>
  <c r="DV28" i="62"/>
  <c r="DW28" i="62"/>
  <c r="DX28" i="62"/>
  <c r="DY28" i="62"/>
  <c r="DZ28" i="62"/>
  <c r="EA28" i="62"/>
  <c r="EB28" i="62"/>
  <c r="EC28" i="62"/>
  <c r="ED28" i="62"/>
  <c r="EE28" i="62"/>
  <c r="EF28" i="62"/>
  <c r="EG28" i="62"/>
  <c r="EH28" i="62"/>
  <c r="EI28" i="62"/>
  <c r="BR29" i="62"/>
  <c r="BS29" i="62"/>
  <c r="BT29" i="62"/>
  <c r="BU29" i="62"/>
  <c r="BV29" i="62"/>
  <c r="BW29" i="62"/>
  <c r="BX29" i="62"/>
  <c r="BY29" i="62"/>
  <c r="BZ29" i="62"/>
  <c r="CA29" i="62"/>
  <c r="CB29" i="62"/>
  <c r="CC29" i="62"/>
  <c r="CD29" i="62"/>
  <c r="CE29" i="62"/>
  <c r="CF29" i="62"/>
  <c r="CG29" i="62"/>
  <c r="CH29" i="62"/>
  <c r="CI29" i="62"/>
  <c r="CJ29" i="62"/>
  <c r="CK29" i="62"/>
  <c r="CL29" i="62"/>
  <c r="CM29" i="62"/>
  <c r="CN29" i="62"/>
  <c r="CO29" i="62"/>
  <c r="CP29" i="62"/>
  <c r="CQ29" i="62"/>
  <c r="CR29" i="62"/>
  <c r="CS29" i="62"/>
  <c r="CT29" i="62"/>
  <c r="CU29" i="62"/>
  <c r="CV29" i="62"/>
  <c r="CW29" i="62"/>
  <c r="CX29" i="62"/>
  <c r="CY29" i="62"/>
  <c r="CZ29" i="62"/>
  <c r="DA29" i="62"/>
  <c r="DB29" i="62"/>
  <c r="DC29" i="62"/>
  <c r="DD29" i="62"/>
  <c r="DE29" i="62"/>
  <c r="DF29" i="62"/>
  <c r="DG29" i="62"/>
  <c r="DH29" i="62"/>
  <c r="DI29" i="62"/>
  <c r="DJ29" i="62"/>
  <c r="DK29" i="62"/>
  <c r="DL29" i="62"/>
  <c r="DM29" i="62"/>
  <c r="DN29" i="62"/>
  <c r="DO29" i="62"/>
  <c r="DP29" i="62"/>
  <c r="DQ29" i="62"/>
  <c r="DR29" i="62"/>
  <c r="DS29" i="62"/>
  <c r="DT29" i="62"/>
  <c r="DU29" i="62"/>
  <c r="DV29" i="62"/>
  <c r="DW29" i="62"/>
  <c r="DX29" i="62"/>
  <c r="DY29" i="62"/>
  <c r="DZ29" i="62"/>
  <c r="EA29" i="62"/>
  <c r="EB29" i="62"/>
  <c r="EC29" i="62"/>
  <c r="ED29" i="62"/>
  <c r="EE29" i="62"/>
  <c r="EF29" i="62"/>
  <c r="EG29" i="62"/>
  <c r="EH29" i="62"/>
  <c r="EI29" i="62"/>
  <c r="BR30" i="62"/>
  <c r="BS30" i="62"/>
  <c r="BT30" i="62"/>
  <c r="BU30" i="62"/>
  <c r="BV30" i="62"/>
  <c r="BW30" i="62"/>
  <c r="BX30" i="62"/>
  <c r="BY30" i="62"/>
  <c r="BZ30" i="62"/>
  <c r="CA30" i="62"/>
  <c r="CB30" i="62"/>
  <c r="CC30" i="62"/>
  <c r="CD30" i="62"/>
  <c r="CE30" i="62"/>
  <c r="CF30" i="62"/>
  <c r="CG30" i="62"/>
  <c r="CH30" i="62"/>
  <c r="CI30" i="62"/>
  <c r="CJ30" i="62"/>
  <c r="CK30" i="62"/>
  <c r="CL30" i="62"/>
  <c r="CM30" i="62"/>
  <c r="CN30" i="62"/>
  <c r="CO30" i="62"/>
  <c r="CP30" i="62"/>
  <c r="CQ30" i="62"/>
  <c r="CR30" i="62"/>
  <c r="CS30" i="62"/>
  <c r="CT30" i="62"/>
  <c r="CU30" i="62"/>
  <c r="CV30" i="62"/>
  <c r="CW30" i="62"/>
  <c r="CX30" i="62"/>
  <c r="CY30" i="62"/>
  <c r="CZ30" i="62"/>
  <c r="DA30" i="62"/>
  <c r="DB30" i="62"/>
  <c r="DC30" i="62"/>
  <c r="DD30" i="62"/>
  <c r="DE30" i="62"/>
  <c r="DF30" i="62"/>
  <c r="DG30" i="62"/>
  <c r="DH30" i="62"/>
  <c r="DI30" i="62"/>
  <c r="DJ30" i="62"/>
  <c r="DK30" i="62"/>
  <c r="DL30" i="62"/>
  <c r="DM30" i="62"/>
  <c r="DN30" i="62"/>
  <c r="DO30" i="62"/>
  <c r="DP30" i="62"/>
  <c r="DQ30" i="62"/>
  <c r="DR30" i="62"/>
  <c r="DS30" i="62"/>
  <c r="DT30" i="62"/>
  <c r="DU30" i="62"/>
  <c r="DV30" i="62"/>
  <c r="DW30" i="62"/>
  <c r="DX30" i="62"/>
  <c r="DY30" i="62"/>
  <c r="DZ30" i="62"/>
  <c r="EA30" i="62"/>
  <c r="EB30" i="62"/>
  <c r="EC30" i="62"/>
  <c r="ED30" i="62"/>
  <c r="EE30" i="62"/>
  <c r="EF30" i="62"/>
  <c r="EG30" i="62"/>
  <c r="EH30" i="62"/>
  <c r="EI30" i="62"/>
  <c r="BR31" i="62"/>
  <c r="BS31" i="62"/>
  <c r="BT31" i="62"/>
  <c r="BU31" i="62"/>
  <c r="BV31" i="62"/>
  <c r="BW31" i="62"/>
  <c r="BX31" i="62"/>
  <c r="BY31" i="62"/>
  <c r="BZ31" i="62"/>
  <c r="CA31" i="62"/>
  <c r="CB31" i="62"/>
  <c r="CC31" i="62"/>
  <c r="CD31" i="62"/>
  <c r="CE31" i="62"/>
  <c r="CF31" i="62"/>
  <c r="CG31" i="62"/>
  <c r="CH31" i="62"/>
  <c r="CI31" i="62"/>
  <c r="CJ31" i="62"/>
  <c r="CK31" i="62"/>
  <c r="CL31" i="62"/>
  <c r="CM31" i="62"/>
  <c r="CN31" i="62"/>
  <c r="CO31" i="62"/>
  <c r="CP31" i="62"/>
  <c r="CQ31" i="62"/>
  <c r="CR31" i="62"/>
  <c r="CS31" i="62"/>
  <c r="CT31" i="62"/>
  <c r="CU31" i="62"/>
  <c r="CV31" i="62"/>
  <c r="CW31" i="62"/>
  <c r="CX31" i="62"/>
  <c r="CY31" i="62"/>
  <c r="CZ31" i="62"/>
  <c r="DA31" i="62"/>
  <c r="DB31" i="62"/>
  <c r="DC31" i="62"/>
  <c r="DD31" i="62"/>
  <c r="DE31" i="62"/>
  <c r="DF31" i="62"/>
  <c r="DG31" i="62"/>
  <c r="DH31" i="62"/>
  <c r="DI31" i="62"/>
  <c r="DJ31" i="62"/>
  <c r="DK31" i="62"/>
  <c r="DL31" i="62"/>
  <c r="DM31" i="62"/>
  <c r="DN31" i="62"/>
  <c r="DO31" i="62"/>
  <c r="DP31" i="62"/>
  <c r="DQ31" i="62"/>
  <c r="DR31" i="62"/>
  <c r="DS31" i="62"/>
  <c r="DT31" i="62"/>
  <c r="DU31" i="62"/>
  <c r="DV31" i="62"/>
  <c r="DW31" i="62"/>
  <c r="DX31" i="62"/>
  <c r="DY31" i="62"/>
  <c r="DZ31" i="62"/>
  <c r="EA31" i="62"/>
  <c r="EB31" i="62"/>
  <c r="EC31" i="62"/>
  <c r="ED31" i="62"/>
  <c r="EE31" i="62"/>
  <c r="EF31" i="62"/>
  <c r="EG31" i="62"/>
  <c r="EH31" i="62"/>
  <c r="EI31" i="62"/>
  <c r="BR32" i="62"/>
  <c r="BS32" i="62"/>
  <c r="BT32" i="62"/>
  <c r="BU32" i="62"/>
  <c r="BV32" i="62"/>
  <c r="BW32" i="62"/>
  <c r="BX32" i="62"/>
  <c r="BY32" i="62"/>
  <c r="BZ32" i="62"/>
  <c r="CA32" i="62"/>
  <c r="CB32" i="62"/>
  <c r="CC32" i="62"/>
  <c r="CD32" i="62"/>
  <c r="CE32" i="62"/>
  <c r="CF32" i="62"/>
  <c r="CG32" i="62"/>
  <c r="CH32" i="62"/>
  <c r="CI32" i="62"/>
  <c r="CJ32" i="62"/>
  <c r="CK32" i="62"/>
  <c r="CL32" i="62"/>
  <c r="CM32" i="62"/>
  <c r="CN32" i="62"/>
  <c r="CO32" i="62"/>
  <c r="CP32" i="62"/>
  <c r="CQ32" i="62"/>
  <c r="CR32" i="62"/>
  <c r="CS32" i="62"/>
  <c r="CT32" i="62"/>
  <c r="CU32" i="62"/>
  <c r="CV32" i="62"/>
  <c r="CW32" i="62"/>
  <c r="CX32" i="62"/>
  <c r="CY32" i="62"/>
  <c r="CZ32" i="62"/>
  <c r="DA32" i="62"/>
  <c r="DB32" i="62"/>
  <c r="DC32" i="62"/>
  <c r="DD32" i="62"/>
  <c r="DE32" i="62"/>
  <c r="DF32" i="62"/>
  <c r="DG32" i="62"/>
  <c r="DH32" i="62"/>
  <c r="DI32" i="62"/>
  <c r="DJ32" i="62"/>
  <c r="DK32" i="62"/>
  <c r="DL32" i="62"/>
  <c r="DM32" i="62"/>
  <c r="DN32" i="62"/>
  <c r="DO32" i="62"/>
  <c r="DP32" i="62"/>
  <c r="DQ32" i="62"/>
  <c r="DR32" i="62"/>
  <c r="DS32" i="62"/>
  <c r="DT32" i="62"/>
  <c r="DU32" i="62"/>
  <c r="DV32" i="62"/>
  <c r="DW32" i="62"/>
  <c r="DX32" i="62"/>
  <c r="DY32" i="62"/>
  <c r="DZ32" i="62"/>
  <c r="EA32" i="62"/>
  <c r="EB32" i="62"/>
  <c r="EC32" i="62"/>
  <c r="ED32" i="62"/>
  <c r="EE32" i="62"/>
  <c r="EF32" i="62"/>
  <c r="EG32" i="62"/>
  <c r="EH32" i="62"/>
  <c r="EI32" i="62"/>
  <c r="BR33" i="62"/>
  <c r="BS33" i="62"/>
  <c r="BT33" i="62"/>
  <c r="BU33" i="62"/>
  <c r="BV33" i="62"/>
  <c r="BW33" i="62"/>
  <c r="BX33" i="62"/>
  <c r="BY33" i="62"/>
  <c r="BZ33" i="62"/>
  <c r="CA33" i="62"/>
  <c r="CB33" i="62"/>
  <c r="CC33" i="62"/>
  <c r="CD33" i="62"/>
  <c r="CE33" i="62"/>
  <c r="CF33" i="62"/>
  <c r="CG33" i="62"/>
  <c r="CH33" i="62"/>
  <c r="CI33" i="62"/>
  <c r="CJ33" i="62"/>
  <c r="CK33" i="62"/>
  <c r="CL33" i="62"/>
  <c r="CM33" i="62"/>
  <c r="CN33" i="62"/>
  <c r="CO33" i="62"/>
  <c r="CP33" i="62"/>
  <c r="CQ33" i="62"/>
  <c r="CR33" i="62"/>
  <c r="CS33" i="62"/>
  <c r="CT33" i="62"/>
  <c r="CU33" i="62"/>
  <c r="CV33" i="62"/>
  <c r="CW33" i="62"/>
  <c r="CX33" i="62"/>
  <c r="CY33" i="62"/>
  <c r="CZ33" i="62"/>
  <c r="DA33" i="62"/>
  <c r="DB33" i="62"/>
  <c r="DC33" i="62"/>
  <c r="DD33" i="62"/>
  <c r="DE33" i="62"/>
  <c r="DF33" i="62"/>
  <c r="DG33" i="62"/>
  <c r="DH33" i="62"/>
  <c r="DI33" i="62"/>
  <c r="DJ33" i="62"/>
  <c r="DK33" i="62"/>
  <c r="DL33" i="62"/>
  <c r="DM33" i="62"/>
  <c r="DN33" i="62"/>
  <c r="DO33" i="62"/>
  <c r="DP33" i="62"/>
  <c r="DQ33" i="62"/>
  <c r="DR33" i="62"/>
  <c r="DS33" i="62"/>
  <c r="DT33" i="62"/>
  <c r="DU33" i="62"/>
  <c r="DV33" i="62"/>
  <c r="DW33" i="62"/>
  <c r="DX33" i="62"/>
  <c r="DY33" i="62"/>
  <c r="DZ33" i="62"/>
  <c r="EA33" i="62"/>
  <c r="EB33" i="62"/>
  <c r="EC33" i="62"/>
  <c r="ED33" i="62"/>
  <c r="EE33" i="62"/>
  <c r="EF33" i="62"/>
  <c r="EG33" i="62"/>
  <c r="EH33" i="62"/>
  <c r="EI33" i="62"/>
  <c r="BR34" i="62"/>
  <c r="BS34" i="62"/>
  <c r="BT34" i="62"/>
  <c r="BU34" i="62"/>
  <c r="BV34" i="62"/>
  <c r="BW34" i="62"/>
  <c r="BX34" i="62"/>
  <c r="BY34" i="62"/>
  <c r="BZ34" i="62"/>
  <c r="CA34" i="62"/>
  <c r="CB34" i="62"/>
  <c r="CC34" i="62"/>
  <c r="CD34" i="62"/>
  <c r="CE34" i="62"/>
  <c r="CF34" i="62"/>
  <c r="CG34" i="62"/>
  <c r="CH34" i="62"/>
  <c r="CI34" i="62"/>
  <c r="CJ34" i="62"/>
  <c r="CK34" i="62"/>
  <c r="CL34" i="62"/>
  <c r="CM34" i="62"/>
  <c r="CN34" i="62"/>
  <c r="CO34" i="62"/>
  <c r="CP34" i="62"/>
  <c r="CQ34" i="62"/>
  <c r="CR34" i="62"/>
  <c r="CS34" i="62"/>
  <c r="CT34" i="62"/>
  <c r="CU34" i="62"/>
  <c r="CV34" i="62"/>
  <c r="CW34" i="62"/>
  <c r="CX34" i="62"/>
  <c r="CY34" i="62"/>
  <c r="CZ34" i="62"/>
  <c r="DA34" i="62"/>
  <c r="DB34" i="62"/>
  <c r="DC34" i="62"/>
  <c r="DD34" i="62"/>
  <c r="DE34" i="62"/>
  <c r="DF34" i="62"/>
  <c r="DG34" i="62"/>
  <c r="DH34" i="62"/>
  <c r="DI34" i="62"/>
  <c r="DJ34" i="62"/>
  <c r="DK34" i="62"/>
  <c r="DL34" i="62"/>
  <c r="DM34" i="62"/>
  <c r="DN34" i="62"/>
  <c r="DO34" i="62"/>
  <c r="DP34" i="62"/>
  <c r="DQ34" i="62"/>
  <c r="DR34" i="62"/>
  <c r="DS34" i="62"/>
  <c r="DT34" i="62"/>
  <c r="DU34" i="62"/>
  <c r="DV34" i="62"/>
  <c r="DW34" i="62"/>
  <c r="DX34" i="62"/>
  <c r="DY34" i="62"/>
  <c r="DZ34" i="62"/>
  <c r="EA34" i="62"/>
  <c r="EB34" i="62"/>
  <c r="EC34" i="62"/>
  <c r="ED34" i="62"/>
  <c r="EE34" i="62"/>
  <c r="EF34" i="62"/>
  <c r="EG34" i="62"/>
  <c r="EH34" i="62"/>
  <c r="EI34" i="62"/>
  <c r="BR35" i="62"/>
  <c r="BS35" i="62"/>
  <c r="BT35" i="62"/>
  <c r="BU35" i="62"/>
  <c r="BV35" i="62"/>
  <c r="BW35" i="62"/>
  <c r="BX35" i="62"/>
  <c r="BY35" i="62"/>
  <c r="BZ35" i="62"/>
  <c r="CA35" i="62"/>
  <c r="CB35" i="62"/>
  <c r="CC35" i="62"/>
  <c r="CD35" i="62"/>
  <c r="CE35" i="62"/>
  <c r="CF35" i="62"/>
  <c r="CG35" i="62"/>
  <c r="CH35" i="62"/>
  <c r="CI35" i="62"/>
  <c r="CJ35" i="62"/>
  <c r="CK35" i="62"/>
  <c r="CL35" i="62"/>
  <c r="CM35" i="62"/>
  <c r="CN35" i="62"/>
  <c r="CO35" i="62"/>
  <c r="CP35" i="62"/>
  <c r="CQ35" i="62"/>
  <c r="CR35" i="62"/>
  <c r="CS35" i="62"/>
  <c r="CT35" i="62"/>
  <c r="CU35" i="62"/>
  <c r="CV35" i="62"/>
  <c r="CW35" i="62"/>
  <c r="CX35" i="62"/>
  <c r="CY35" i="62"/>
  <c r="CZ35" i="62"/>
  <c r="DA35" i="62"/>
  <c r="DB35" i="62"/>
  <c r="DC35" i="62"/>
  <c r="DD35" i="62"/>
  <c r="DE35" i="62"/>
  <c r="DF35" i="62"/>
  <c r="DG35" i="62"/>
  <c r="DH35" i="62"/>
  <c r="DI35" i="62"/>
  <c r="DJ35" i="62"/>
  <c r="DK35" i="62"/>
  <c r="DL35" i="62"/>
  <c r="DM35" i="62"/>
  <c r="DN35" i="62"/>
  <c r="DO35" i="62"/>
  <c r="DP35" i="62"/>
  <c r="DQ35" i="62"/>
  <c r="DR35" i="62"/>
  <c r="DS35" i="62"/>
  <c r="DT35" i="62"/>
  <c r="DU35" i="62"/>
  <c r="DV35" i="62"/>
  <c r="DW35" i="62"/>
  <c r="DX35" i="62"/>
  <c r="DY35" i="62"/>
  <c r="DZ35" i="62"/>
  <c r="EA35" i="62"/>
  <c r="EB35" i="62"/>
  <c r="EC35" i="62"/>
  <c r="ED35" i="62"/>
  <c r="EE35" i="62"/>
  <c r="EF35" i="62"/>
  <c r="EG35" i="62"/>
  <c r="EH35" i="62"/>
  <c r="EI35" i="62"/>
  <c r="BR36" i="62"/>
  <c r="BS36" i="62"/>
  <c r="BT36" i="62"/>
  <c r="BU36" i="62"/>
  <c r="BV36" i="62"/>
  <c r="BW36" i="62"/>
  <c r="BX36" i="62"/>
  <c r="BY36" i="62"/>
  <c r="BZ36" i="62"/>
  <c r="CA36" i="62"/>
  <c r="CB36" i="62"/>
  <c r="CC36" i="62"/>
  <c r="CD36" i="62"/>
  <c r="CE36" i="62"/>
  <c r="CF36" i="62"/>
  <c r="CG36" i="62"/>
  <c r="CH36" i="62"/>
  <c r="CI36" i="62"/>
  <c r="CJ36" i="62"/>
  <c r="CK36" i="62"/>
  <c r="CL36" i="62"/>
  <c r="CM36" i="62"/>
  <c r="CN36" i="62"/>
  <c r="CO36" i="62"/>
  <c r="CP36" i="62"/>
  <c r="CQ36" i="62"/>
  <c r="CR36" i="62"/>
  <c r="CS36" i="62"/>
  <c r="CT36" i="62"/>
  <c r="CU36" i="62"/>
  <c r="CV36" i="62"/>
  <c r="CW36" i="62"/>
  <c r="CX36" i="62"/>
  <c r="CY36" i="62"/>
  <c r="CZ36" i="62"/>
  <c r="DA36" i="62"/>
  <c r="DB36" i="62"/>
  <c r="DC36" i="62"/>
  <c r="DD36" i="62"/>
  <c r="DE36" i="62"/>
  <c r="DF36" i="62"/>
  <c r="DG36" i="62"/>
  <c r="DH36" i="62"/>
  <c r="DI36" i="62"/>
  <c r="DJ36" i="62"/>
  <c r="DK36" i="62"/>
  <c r="DL36" i="62"/>
  <c r="DM36" i="62"/>
  <c r="DN36" i="62"/>
  <c r="DO36" i="62"/>
  <c r="DP36" i="62"/>
  <c r="DQ36" i="62"/>
  <c r="DR36" i="62"/>
  <c r="DS36" i="62"/>
  <c r="DT36" i="62"/>
  <c r="DU36" i="62"/>
  <c r="DV36" i="62"/>
  <c r="DW36" i="62"/>
  <c r="DX36" i="62"/>
  <c r="DY36" i="62"/>
  <c r="DZ36" i="62"/>
  <c r="EA36" i="62"/>
  <c r="EB36" i="62"/>
  <c r="EC36" i="62"/>
  <c r="ED36" i="62"/>
  <c r="EE36" i="62"/>
  <c r="EF36" i="62"/>
  <c r="EG36" i="62"/>
  <c r="EH36" i="62"/>
  <c r="EI36" i="62"/>
  <c r="BR37" i="62"/>
  <c r="BS37" i="62"/>
  <c r="BT37" i="62"/>
  <c r="BU37" i="62"/>
  <c r="BV37" i="62"/>
  <c r="BW37" i="62"/>
  <c r="BX37" i="62"/>
  <c r="BY37" i="62"/>
  <c r="BZ37" i="62"/>
  <c r="CA37" i="62"/>
  <c r="CB37" i="62"/>
  <c r="CC37" i="62"/>
  <c r="CD37" i="62"/>
  <c r="CE37" i="62"/>
  <c r="CF37" i="62"/>
  <c r="CG37" i="62"/>
  <c r="CH37" i="62"/>
  <c r="CI37" i="62"/>
  <c r="CJ37" i="62"/>
  <c r="CK37" i="62"/>
  <c r="CL37" i="62"/>
  <c r="CM37" i="62"/>
  <c r="CN37" i="62"/>
  <c r="CO37" i="62"/>
  <c r="CP37" i="62"/>
  <c r="CQ37" i="62"/>
  <c r="CR37" i="62"/>
  <c r="CS37" i="62"/>
  <c r="CT37" i="62"/>
  <c r="CU37" i="62"/>
  <c r="CV37" i="62"/>
  <c r="CW37" i="62"/>
  <c r="CX37" i="62"/>
  <c r="CY37" i="62"/>
  <c r="CZ37" i="62"/>
  <c r="DA37" i="62"/>
  <c r="DB37" i="62"/>
  <c r="DC37" i="62"/>
  <c r="DD37" i="62"/>
  <c r="DE37" i="62"/>
  <c r="DF37" i="62"/>
  <c r="DG37" i="62"/>
  <c r="DH37" i="62"/>
  <c r="DI37" i="62"/>
  <c r="DJ37" i="62"/>
  <c r="DK37" i="62"/>
  <c r="DL37" i="62"/>
  <c r="DM37" i="62"/>
  <c r="DN37" i="62"/>
  <c r="DO37" i="62"/>
  <c r="DP37" i="62"/>
  <c r="DQ37" i="62"/>
  <c r="DR37" i="62"/>
  <c r="DS37" i="62"/>
  <c r="DT37" i="62"/>
  <c r="DU37" i="62"/>
  <c r="DV37" i="62"/>
  <c r="DW37" i="62"/>
  <c r="DX37" i="62"/>
  <c r="DY37" i="62"/>
  <c r="DZ37" i="62"/>
  <c r="EA37" i="62"/>
  <c r="EB37" i="62"/>
  <c r="EC37" i="62"/>
  <c r="ED37" i="62"/>
  <c r="EE37" i="62"/>
  <c r="EF37" i="62"/>
  <c r="EG37" i="62"/>
  <c r="EH37" i="62"/>
  <c r="EI37" i="62"/>
  <c r="BR38" i="62"/>
  <c r="BS38" i="62"/>
  <c r="BT38" i="62"/>
  <c r="BU38" i="62"/>
  <c r="BV38" i="62"/>
  <c r="BW38" i="62"/>
  <c r="BX38" i="62"/>
  <c r="BY38" i="62"/>
  <c r="BZ38" i="62"/>
  <c r="CA38" i="62"/>
  <c r="CB38" i="62"/>
  <c r="CC38" i="62"/>
  <c r="CD38" i="62"/>
  <c r="CE38" i="62"/>
  <c r="CF38" i="62"/>
  <c r="CG38" i="62"/>
  <c r="CH38" i="62"/>
  <c r="CI38" i="62"/>
  <c r="CJ38" i="62"/>
  <c r="CK38" i="62"/>
  <c r="CL38" i="62"/>
  <c r="CM38" i="62"/>
  <c r="CN38" i="62"/>
  <c r="CO38" i="62"/>
  <c r="CP38" i="62"/>
  <c r="CQ38" i="62"/>
  <c r="CR38" i="62"/>
  <c r="CS38" i="62"/>
  <c r="CT38" i="62"/>
  <c r="CU38" i="62"/>
  <c r="CV38" i="62"/>
  <c r="CW38" i="62"/>
  <c r="CX38" i="62"/>
  <c r="CY38" i="62"/>
  <c r="CZ38" i="62"/>
  <c r="DA38" i="62"/>
  <c r="DB38" i="62"/>
  <c r="DC38" i="62"/>
  <c r="DD38" i="62"/>
  <c r="DE38" i="62"/>
  <c r="DF38" i="62"/>
  <c r="DG38" i="62"/>
  <c r="DH38" i="62"/>
  <c r="DI38" i="62"/>
  <c r="DJ38" i="62"/>
  <c r="DK38" i="62"/>
  <c r="DL38" i="62"/>
  <c r="DM38" i="62"/>
  <c r="DN38" i="62"/>
  <c r="DO38" i="62"/>
  <c r="DP38" i="62"/>
  <c r="DQ38" i="62"/>
  <c r="DR38" i="62"/>
  <c r="DS38" i="62"/>
  <c r="DT38" i="62"/>
  <c r="DU38" i="62"/>
  <c r="DV38" i="62"/>
  <c r="DW38" i="62"/>
  <c r="DX38" i="62"/>
  <c r="DY38" i="62"/>
  <c r="DZ38" i="62"/>
  <c r="EA38" i="62"/>
  <c r="EB38" i="62"/>
  <c r="EC38" i="62"/>
  <c r="ED38" i="62"/>
  <c r="EE38" i="62"/>
  <c r="EF38" i="62"/>
  <c r="EG38" i="62"/>
  <c r="EH38" i="62"/>
  <c r="EI38" i="62"/>
  <c r="BR39" i="62"/>
  <c r="BS39" i="62"/>
  <c r="BT39" i="62"/>
  <c r="BU39" i="62"/>
  <c r="BV39" i="62"/>
  <c r="BW39" i="62"/>
  <c r="BX39" i="62"/>
  <c r="BY39" i="62"/>
  <c r="BZ39" i="62"/>
  <c r="CA39" i="62"/>
  <c r="CB39" i="62"/>
  <c r="CC39" i="62"/>
  <c r="CD39" i="62"/>
  <c r="CE39" i="62"/>
  <c r="CF39" i="62"/>
  <c r="CG39" i="62"/>
  <c r="CH39" i="62"/>
  <c r="CI39" i="62"/>
  <c r="CJ39" i="62"/>
  <c r="CK39" i="62"/>
  <c r="CL39" i="62"/>
  <c r="CM39" i="62"/>
  <c r="CN39" i="62"/>
  <c r="CO39" i="62"/>
  <c r="CP39" i="62"/>
  <c r="CQ39" i="62"/>
  <c r="CR39" i="62"/>
  <c r="CS39" i="62"/>
  <c r="CT39" i="62"/>
  <c r="CU39" i="62"/>
  <c r="CV39" i="62"/>
  <c r="CW39" i="62"/>
  <c r="CX39" i="62"/>
  <c r="CY39" i="62"/>
  <c r="CZ39" i="62"/>
  <c r="DA39" i="62"/>
  <c r="DB39" i="62"/>
  <c r="DC39" i="62"/>
  <c r="DD39" i="62"/>
  <c r="DE39" i="62"/>
  <c r="DF39" i="62"/>
  <c r="DG39" i="62"/>
  <c r="DH39" i="62"/>
  <c r="DI39" i="62"/>
  <c r="DJ39" i="62"/>
  <c r="DK39" i="62"/>
  <c r="DL39" i="62"/>
  <c r="DM39" i="62"/>
  <c r="DN39" i="62"/>
  <c r="DO39" i="62"/>
  <c r="DP39" i="62"/>
  <c r="DQ39" i="62"/>
  <c r="DR39" i="62"/>
  <c r="DS39" i="62"/>
  <c r="DT39" i="62"/>
  <c r="DU39" i="62"/>
  <c r="DV39" i="62"/>
  <c r="DW39" i="62"/>
  <c r="DX39" i="62"/>
  <c r="DY39" i="62"/>
  <c r="DZ39" i="62"/>
  <c r="EA39" i="62"/>
  <c r="EB39" i="62"/>
  <c r="EC39" i="62"/>
  <c r="ED39" i="62"/>
  <c r="EE39" i="62"/>
  <c r="EF39" i="62"/>
  <c r="EG39" i="62"/>
  <c r="EH39" i="62"/>
  <c r="EI39" i="62"/>
  <c r="BR40" i="62"/>
  <c r="BS40" i="62"/>
  <c r="BT40" i="62"/>
  <c r="BU40" i="62"/>
  <c r="BV40" i="62"/>
  <c r="BW40" i="62"/>
  <c r="BX40" i="62"/>
  <c r="BY40" i="62"/>
  <c r="BZ40" i="62"/>
  <c r="CA40" i="62"/>
  <c r="CB40" i="62"/>
  <c r="CC40" i="62"/>
  <c r="CD40" i="62"/>
  <c r="CE40" i="62"/>
  <c r="CF40" i="62"/>
  <c r="CG40" i="62"/>
  <c r="CH40" i="62"/>
  <c r="CI40" i="62"/>
  <c r="CJ40" i="62"/>
  <c r="CK40" i="62"/>
  <c r="CL40" i="62"/>
  <c r="CM40" i="62"/>
  <c r="CN40" i="62"/>
  <c r="CO40" i="62"/>
  <c r="CP40" i="62"/>
  <c r="CQ40" i="62"/>
  <c r="CR40" i="62"/>
  <c r="CS40" i="62"/>
  <c r="CT40" i="62"/>
  <c r="CU40" i="62"/>
  <c r="CV40" i="62"/>
  <c r="CW40" i="62"/>
  <c r="CX40" i="62"/>
  <c r="CY40" i="62"/>
  <c r="CZ40" i="62"/>
  <c r="DA40" i="62"/>
  <c r="DB40" i="62"/>
  <c r="DC40" i="62"/>
  <c r="DD40" i="62"/>
  <c r="DE40" i="62"/>
  <c r="DF40" i="62"/>
  <c r="DG40" i="62"/>
  <c r="DH40" i="62"/>
  <c r="DI40" i="62"/>
  <c r="DJ40" i="62"/>
  <c r="DK40" i="62"/>
  <c r="DL40" i="62"/>
  <c r="DM40" i="62"/>
  <c r="DN40" i="62"/>
  <c r="DO40" i="62"/>
  <c r="DP40" i="62"/>
  <c r="DQ40" i="62"/>
  <c r="DR40" i="62"/>
  <c r="DS40" i="62"/>
  <c r="DT40" i="62"/>
  <c r="DU40" i="62"/>
  <c r="DV40" i="62"/>
  <c r="DW40" i="62"/>
  <c r="DX40" i="62"/>
  <c r="DY40" i="62"/>
  <c r="DZ40" i="62"/>
  <c r="EA40" i="62"/>
  <c r="EB40" i="62"/>
  <c r="EC40" i="62"/>
  <c r="ED40" i="62"/>
  <c r="EE40" i="62"/>
  <c r="EF40" i="62"/>
  <c r="EG40" i="62"/>
  <c r="EH40" i="62"/>
  <c r="EI40" i="62"/>
  <c r="BR41" i="62"/>
  <c r="BS41" i="62"/>
  <c r="BT41" i="62"/>
  <c r="BU41" i="62"/>
  <c r="BV41" i="62"/>
  <c r="BW41" i="62"/>
  <c r="BX41" i="62"/>
  <c r="BY41" i="62"/>
  <c r="BZ41" i="62"/>
  <c r="CA41" i="62"/>
  <c r="CB41" i="62"/>
  <c r="CC41" i="62"/>
  <c r="CD41" i="62"/>
  <c r="CE41" i="62"/>
  <c r="CF41" i="62"/>
  <c r="CG41" i="62"/>
  <c r="CH41" i="62"/>
  <c r="CI41" i="62"/>
  <c r="CJ41" i="62"/>
  <c r="CK41" i="62"/>
  <c r="CL41" i="62"/>
  <c r="CM41" i="62"/>
  <c r="CN41" i="62"/>
  <c r="CO41" i="62"/>
  <c r="CP41" i="62"/>
  <c r="CQ41" i="62"/>
  <c r="CR41" i="62"/>
  <c r="CS41" i="62"/>
  <c r="CT41" i="62"/>
  <c r="CU41" i="62"/>
  <c r="CV41" i="62"/>
  <c r="CW41" i="62"/>
  <c r="CX41" i="62"/>
  <c r="CY41" i="62"/>
  <c r="CZ41" i="62"/>
  <c r="DA41" i="62"/>
  <c r="DB41" i="62"/>
  <c r="DC41" i="62"/>
  <c r="DD41" i="62"/>
  <c r="DE41" i="62"/>
  <c r="DF41" i="62"/>
  <c r="DG41" i="62"/>
  <c r="DH41" i="62"/>
  <c r="DI41" i="62"/>
  <c r="DJ41" i="62"/>
  <c r="DK41" i="62"/>
  <c r="DL41" i="62"/>
  <c r="DM41" i="62"/>
  <c r="DN41" i="62"/>
  <c r="DO41" i="62"/>
  <c r="DP41" i="62"/>
  <c r="DQ41" i="62"/>
  <c r="DR41" i="62"/>
  <c r="DS41" i="62"/>
  <c r="DT41" i="62"/>
  <c r="DU41" i="62"/>
  <c r="DV41" i="62"/>
  <c r="DW41" i="62"/>
  <c r="DX41" i="62"/>
  <c r="DY41" i="62"/>
  <c r="DZ41" i="62"/>
  <c r="EA41" i="62"/>
  <c r="EB41" i="62"/>
  <c r="EC41" i="62"/>
  <c r="ED41" i="62"/>
  <c r="EE41" i="62"/>
  <c r="EF41" i="62"/>
  <c r="EG41" i="62"/>
  <c r="EH41" i="62"/>
  <c r="EI41" i="62"/>
  <c r="BR42" i="62"/>
  <c r="BS42" i="62"/>
  <c r="BT42" i="62"/>
  <c r="BU42" i="62"/>
  <c r="BV42" i="62"/>
  <c r="BW42" i="62"/>
  <c r="BX42" i="62"/>
  <c r="BY42" i="62"/>
  <c r="BZ42" i="62"/>
  <c r="CA42" i="62"/>
  <c r="CB42" i="62"/>
  <c r="CC42" i="62"/>
  <c r="CD42" i="62"/>
  <c r="CE42" i="62"/>
  <c r="CF42" i="62"/>
  <c r="CG42" i="62"/>
  <c r="CH42" i="62"/>
  <c r="CI42" i="62"/>
  <c r="CJ42" i="62"/>
  <c r="CK42" i="62"/>
  <c r="CL42" i="62"/>
  <c r="CM42" i="62"/>
  <c r="CN42" i="62"/>
  <c r="CO42" i="62"/>
  <c r="CP42" i="62"/>
  <c r="CQ42" i="62"/>
  <c r="CR42" i="62"/>
  <c r="CS42" i="62"/>
  <c r="CT42" i="62"/>
  <c r="CU42" i="62"/>
  <c r="CV42" i="62"/>
  <c r="CW42" i="62"/>
  <c r="CX42" i="62"/>
  <c r="CY42" i="62"/>
  <c r="CZ42" i="62"/>
  <c r="DA42" i="62"/>
  <c r="DB42" i="62"/>
  <c r="DC42" i="62"/>
  <c r="DD42" i="62"/>
  <c r="DE42" i="62"/>
  <c r="DF42" i="62"/>
  <c r="DG42" i="62"/>
  <c r="DH42" i="62"/>
  <c r="DI42" i="62"/>
  <c r="DJ42" i="62"/>
  <c r="DK42" i="62"/>
  <c r="DL42" i="62"/>
  <c r="DM42" i="62"/>
  <c r="DN42" i="62"/>
  <c r="DO42" i="62"/>
  <c r="DP42" i="62"/>
  <c r="DQ42" i="62"/>
  <c r="DR42" i="62"/>
  <c r="DS42" i="62"/>
  <c r="DT42" i="62"/>
  <c r="DU42" i="62"/>
  <c r="DV42" i="62"/>
  <c r="DW42" i="62"/>
  <c r="DX42" i="62"/>
  <c r="DY42" i="62"/>
  <c r="DZ42" i="62"/>
  <c r="EA42" i="62"/>
  <c r="EB42" i="62"/>
  <c r="EC42" i="62"/>
  <c r="ED42" i="62"/>
  <c r="EE42" i="62"/>
  <c r="EF42" i="62"/>
  <c r="EG42" i="62"/>
  <c r="EH42" i="62"/>
  <c r="EI42" i="62"/>
  <c r="BR43" i="62"/>
  <c r="BS43" i="62"/>
  <c r="BT43" i="62"/>
  <c r="BU43" i="62"/>
  <c r="BV43" i="62"/>
  <c r="BW43" i="62"/>
  <c r="BX43" i="62"/>
  <c r="BY43" i="62"/>
  <c r="BZ43" i="62"/>
  <c r="CA43" i="62"/>
  <c r="CB43" i="62"/>
  <c r="CC43" i="62"/>
  <c r="CD43" i="62"/>
  <c r="CE43" i="62"/>
  <c r="CF43" i="62"/>
  <c r="CG43" i="62"/>
  <c r="CH43" i="62"/>
  <c r="CI43" i="62"/>
  <c r="CJ43" i="62"/>
  <c r="CK43" i="62"/>
  <c r="CL43" i="62"/>
  <c r="CM43" i="62"/>
  <c r="CN43" i="62"/>
  <c r="CO43" i="62"/>
  <c r="CP43" i="62"/>
  <c r="CQ43" i="62"/>
  <c r="CR43" i="62"/>
  <c r="CS43" i="62"/>
  <c r="CT43" i="62"/>
  <c r="CU43" i="62"/>
  <c r="CV43" i="62"/>
  <c r="CW43" i="62"/>
  <c r="CX43" i="62"/>
  <c r="CY43" i="62"/>
  <c r="CZ43" i="62"/>
  <c r="DA43" i="62"/>
  <c r="DB43" i="62"/>
  <c r="DC43" i="62"/>
  <c r="DD43" i="62"/>
  <c r="DE43" i="62"/>
  <c r="DF43" i="62"/>
  <c r="DG43" i="62"/>
  <c r="DH43" i="62"/>
  <c r="DI43" i="62"/>
  <c r="DJ43" i="62"/>
  <c r="DK43" i="62"/>
  <c r="DL43" i="62"/>
  <c r="DM43" i="62"/>
  <c r="DN43" i="62"/>
  <c r="DO43" i="62"/>
  <c r="DP43" i="62"/>
  <c r="DQ43" i="62"/>
  <c r="DR43" i="62"/>
  <c r="DS43" i="62"/>
  <c r="DT43" i="62"/>
  <c r="DU43" i="62"/>
  <c r="DV43" i="62"/>
  <c r="DW43" i="62"/>
  <c r="DX43" i="62"/>
  <c r="DY43" i="62"/>
  <c r="DZ43" i="62"/>
  <c r="EA43" i="62"/>
  <c r="EB43" i="62"/>
  <c r="EC43" i="62"/>
  <c r="ED43" i="62"/>
  <c r="EE43" i="62"/>
  <c r="EF43" i="62"/>
  <c r="EG43" i="62"/>
  <c r="EH43" i="62"/>
  <c r="EI43" i="62"/>
  <c r="BR44" i="62"/>
  <c r="BS44" i="62"/>
  <c r="BT44" i="62"/>
  <c r="BU44" i="62"/>
  <c r="BV44" i="62"/>
  <c r="BW44" i="62"/>
  <c r="BX44" i="62"/>
  <c r="BY44" i="62"/>
  <c r="BZ44" i="62"/>
  <c r="CA44" i="62"/>
  <c r="CB44" i="62"/>
  <c r="CC44" i="62"/>
  <c r="CD44" i="62"/>
  <c r="CE44" i="62"/>
  <c r="CF44" i="62"/>
  <c r="CG44" i="62"/>
  <c r="CH44" i="62"/>
  <c r="CI44" i="62"/>
  <c r="CJ44" i="62"/>
  <c r="CK44" i="62"/>
  <c r="CL44" i="62"/>
  <c r="CM44" i="62"/>
  <c r="CN44" i="62"/>
  <c r="CO44" i="62"/>
  <c r="CP44" i="62"/>
  <c r="CQ44" i="62"/>
  <c r="CR44" i="62"/>
  <c r="CS44" i="62"/>
  <c r="CT44" i="62"/>
  <c r="CU44" i="62"/>
  <c r="CV44" i="62"/>
  <c r="CW44" i="62"/>
  <c r="CX44" i="62"/>
  <c r="CY44" i="62"/>
  <c r="CZ44" i="62"/>
  <c r="DA44" i="62"/>
  <c r="DB44" i="62"/>
  <c r="DC44" i="62"/>
  <c r="DD44" i="62"/>
  <c r="DE44" i="62"/>
  <c r="DF44" i="62"/>
  <c r="DG44" i="62"/>
  <c r="DH44" i="62"/>
  <c r="DI44" i="62"/>
  <c r="DJ44" i="62"/>
  <c r="DK44" i="62"/>
  <c r="DL44" i="62"/>
  <c r="DM44" i="62"/>
  <c r="DN44" i="62"/>
  <c r="DO44" i="62"/>
  <c r="DP44" i="62"/>
  <c r="DQ44" i="62"/>
  <c r="DR44" i="62"/>
  <c r="DS44" i="62"/>
  <c r="DT44" i="62"/>
  <c r="DU44" i="62"/>
  <c r="DV44" i="62"/>
  <c r="DW44" i="62"/>
  <c r="DX44" i="62"/>
  <c r="DY44" i="62"/>
  <c r="DZ44" i="62"/>
  <c r="EA44" i="62"/>
  <c r="EB44" i="62"/>
  <c r="EC44" i="62"/>
  <c r="ED44" i="62"/>
  <c r="EE44" i="62"/>
  <c r="EF44" i="62"/>
  <c r="EG44" i="62"/>
  <c r="EH44" i="62"/>
  <c r="EI44" i="62"/>
  <c r="BR45" i="62"/>
  <c r="BS45" i="62"/>
  <c r="BT45" i="62"/>
  <c r="BU45" i="62"/>
  <c r="BV45" i="62"/>
  <c r="BW45" i="62"/>
  <c r="BX45" i="62"/>
  <c r="BY45" i="62"/>
  <c r="BZ45" i="62"/>
  <c r="CA45" i="62"/>
  <c r="CB45" i="62"/>
  <c r="CC45" i="62"/>
  <c r="CD45" i="62"/>
  <c r="CE45" i="62"/>
  <c r="CF45" i="62"/>
  <c r="CG45" i="62"/>
  <c r="CH45" i="62"/>
  <c r="CI45" i="62"/>
  <c r="CJ45" i="62"/>
  <c r="CK45" i="62"/>
  <c r="CL45" i="62"/>
  <c r="CM45" i="62"/>
  <c r="CN45" i="62"/>
  <c r="CO45" i="62"/>
  <c r="CP45" i="62"/>
  <c r="CQ45" i="62"/>
  <c r="CR45" i="62"/>
  <c r="CS45" i="62"/>
  <c r="CT45" i="62"/>
  <c r="CU45" i="62"/>
  <c r="CV45" i="62"/>
  <c r="CW45" i="62"/>
  <c r="CX45" i="62"/>
  <c r="CY45" i="62"/>
  <c r="CZ45" i="62"/>
  <c r="DA45" i="62"/>
  <c r="DB45" i="62"/>
  <c r="DC45" i="62"/>
  <c r="DD45" i="62"/>
  <c r="DE45" i="62"/>
  <c r="DF45" i="62"/>
  <c r="DG45" i="62"/>
  <c r="DH45" i="62"/>
  <c r="DI45" i="62"/>
  <c r="DJ45" i="62"/>
  <c r="DK45" i="62"/>
  <c r="DL45" i="62"/>
  <c r="DM45" i="62"/>
  <c r="DN45" i="62"/>
  <c r="DO45" i="62"/>
  <c r="DP45" i="62"/>
  <c r="DQ45" i="62"/>
  <c r="DR45" i="62"/>
  <c r="DS45" i="62"/>
  <c r="DT45" i="62"/>
  <c r="DU45" i="62"/>
  <c r="DV45" i="62"/>
  <c r="DW45" i="62"/>
  <c r="DX45" i="62"/>
  <c r="DY45" i="62"/>
  <c r="DZ45" i="62"/>
  <c r="EA45" i="62"/>
  <c r="EB45" i="62"/>
  <c r="EC45" i="62"/>
  <c r="ED45" i="62"/>
  <c r="EE45" i="62"/>
  <c r="EF45" i="62"/>
  <c r="EG45" i="62"/>
  <c r="EH45" i="62"/>
  <c r="EI45" i="62"/>
  <c r="BR46" i="62"/>
  <c r="BS46" i="62"/>
  <c r="BT46" i="62"/>
  <c r="BU46" i="62"/>
  <c r="BV46" i="62"/>
  <c r="BW46" i="62"/>
  <c r="BX46" i="62"/>
  <c r="BY46" i="62"/>
  <c r="BZ46" i="62"/>
  <c r="CA46" i="62"/>
  <c r="CB46" i="62"/>
  <c r="CC46" i="62"/>
  <c r="CD46" i="62"/>
  <c r="CE46" i="62"/>
  <c r="CF46" i="62"/>
  <c r="CG46" i="62"/>
  <c r="CH46" i="62"/>
  <c r="CI46" i="62"/>
  <c r="CJ46" i="62"/>
  <c r="CK46" i="62"/>
  <c r="CL46" i="62"/>
  <c r="CM46" i="62"/>
  <c r="CN46" i="62"/>
  <c r="CO46" i="62"/>
  <c r="CP46" i="62"/>
  <c r="CQ46" i="62"/>
  <c r="CR46" i="62"/>
  <c r="CS46" i="62"/>
  <c r="CT46" i="62"/>
  <c r="CU46" i="62"/>
  <c r="CV46" i="62"/>
  <c r="CW46" i="62"/>
  <c r="CX46" i="62"/>
  <c r="CY46" i="62"/>
  <c r="CZ46" i="62"/>
  <c r="DA46" i="62"/>
  <c r="DB46" i="62"/>
  <c r="DC46" i="62"/>
  <c r="DD46" i="62"/>
  <c r="DE46" i="62"/>
  <c r="DF46" i="62"/>
  <c r="DG46" i="62"/>
  <c r="DH46" i="62"/>
  <c r="DI46" i="62"/>
  <c r="DJ46" i="62"/>
  <c r="DK46" i="62"/>
  <c r="DL46" i="62"/>
  <c r="DM46" i="62"/>
  <c r="DN46" i="62"/>
  <c r="DO46" i="62"/>
  <c r="DP46" i="62"/>
  <c r="DQ46" i="62"/>
  <c r="DR46" i="62"/>
  <c r="DS46" i="62"/>
  <c r="DT46" i="62"/>
  <c r="DU46" i="62"/>
  <c r="DV46" i="62"/>
  <c r="DW46" i="62"/>
  <c r="DX46" i="62"/>
  <c r="DY46" i="62"/>
  <c r="DZ46" i="62"/>
  <c r="EA46" i="62"/>
  <c r="EB46" i="62"/>
  <c r="EC46" i="62"/>
  <c r="ED46" i="62"/>
  <c r="EE46" i="62"/>
  <c r="EF46" i="62"/>
  <c r="EG46" i="62"/>
  <c r="EH46" i="62"/>
  <c r="EI46" i="62"/>
  <c r="BR47" i="62"/>
  <c r="BS47" i="62"/>
  <c r="BT47" i="62"/>
  <c r="BU47" i="62"/>
  <c r="BV47" i="62"/>
  <c r="BW47" i="62"/>
  <c r="BX47" i="62"/>
  <c r="BY47" i="62"/>
  <c r="BZ47" i="62"/>
  <c r="CA47" i="62"/>
  <c r="CB47" i="62"/>
  <c r="CC47" i="62"/>
  <c r="CD47" i="62"/>
  <c r="CE47" i="62"/>
  <c r="CF47" i="62"/>
  <c r="CG47" i="62"/>
  <c r="CH47" i="62"/>
  <c r="CI47" i="62"/>
  <c r="CJ47" i="62"/>
  <c r="CK47" i="62"/>
  <c r="CL47" i="62"/>
  <c r="CM47" i="62"/>
  <c r="CN47" i="62"/>
  <c r="CO47" i="62"/>
  <c r="CP47" i="62"/>
  <c r="CQ47" i="62"/>
  <c r="CR47" i="62"/>
  <c r="CS47" i="62"/>
  <c r="CT47" i="62"/>
  <c r="CU47" i="62"/>
  <c r="CV47" i="62"/>
  <c r="CW47" i="62"/>
  <c r="CX47" i="62"/>
  <c r="CY47" i="62"/>
  <c r="CZ47" i="62"/>
  <c r="DA47" i="62"/>
  <c r="DB47" i="62"/>
  <c r="DC47" i="62"/>
  <c r="DD47" i="62"/>
  <c r="DE47" i="62"/>
  <c r="DF47" i="62"/>
  <c r="DG47" i="62"/>
  <c r="DH47" i="62"/>
  <c r="DI47" i="62"/>
  <c r="DJ47" i="62"/>
  <c r="DK47" i="62"/>
  <c r="DL47" i="62"/>
  <c r="DM47" i="62"/>
  <c r="DN47" i="62"/>
  <c r="DO47" i="62"/>
  <c r="DP47" i="62"/>
  <c r="DQ47" i="62"/>
  <c r="DR47" i="62"/>
  <c r="DS47" i="62"/>
  <c r="DT47" i="62"/>
  <c r="DU47" i="62"/>
  <c r="DV47" i="62"/>
  <c r="DW47" i="62"/>
  <c r="DX47" i="62"/>
  <c r="DY47" i="62"/>
  <c r="DZ47" i="62"/>
  <c r="EA47" i="62"/>
  <c r="EB47" i="62"/>
  <c r="EC47" i="62"/>
  <c r="ED47" i="62"/>
  <c r="EE47" i="62"/>
  <c r="EF47" i="62"/>
  <c r="EG47" i="62"/>
  <c r="EH47" i="62"/>
  <c r="EI47" i="62"/>
  <c r="BR48" i="62"/>
  <c r="BS48" i="62"/>
  <c r="BT48" i="62"/>
  <c r="BU48" i="62"/>
  <c r="BV48" i="62"/>
  <c r="BW48" i="62"/>
  <c r="BX48" i="62"/>
  <c r="BY48" i="62"/>
  <c r="BZ48" i="62"/>
  <c r="CA48" i="62"/>
  <c r="CB48" i="62"/>
  <c r="CC48" i="62"/>
  <c r="CD48" i="62"/>
  <c r="CE48" i="62"/>
  <c r="CF48" i="62"/>
  <c r="CG48" i="62"/>
  <c r="CH48" i="62"/>
  <c r="CI48" i="62"/>
  <c r="CJ48" i="62"/>
  <c r="CK48" i="62"/>
  <c r="CL48" i="62"/>
  <c r="CM48" i="62"/>
  <c r="CN48" i="62"/>
  <c r="CO48" i="62"/>
  <c r="CP48" i="62"/>
  <c r="CQ48" i="62"/>
  <c r="CR48" i="62"/>
  <c r="CS48" i="62"/>
  <c r="CT48" i="62"/>
  <c r="CU48" i="62"/>
  <c r="CV48" i="62"/>
  <c r="CW48" i="62"/>
  <c r="CX48" i="62"/>
  <c r="CY48" i="62"/>
  <c r="CZ48" i="62"/>
  <c r="DA48" i="62"/>
  <c r="DB48" i="62"/>
  <c r="DC48" i="62"/>
  <c r="DD48" i="62"/>
  <c r="DE48" i="62"/>
  <c r="DF48" i="62"/>
  <c r="DG48" i="62"/>
  <c r="DH48" i="62"/>
  <c r="DI48" i="62"/>
  <c r="DJ48" i="62"/>
  <c r="DK48" i="62"/>
  <c r="DL48" i="62"/>
  <c r="DM48" i="62"/>
  <c r="DN48" i="62"/>
  <c r="DO48" i="62"/>
  <c r="DP48" i="62"/>
  <c r="DQ48" i="62"/>
  <c r="DR48" i="62"/>
  <c r="DS48" i="62"/>
  <c r="DT48" i="62"/>
  <c r="DU48" i="62"/>
  <c r="DV48" i="62"/>
  <c r="DW48" i="62"/>
  <c r="DX48" i="62"/>
  <c r="DY48" i="62"/>
  <c r="DZ48" i="62"/>
  <c r="EA48" i="62"/>
  <c r="EB48" i="62"/>
  <c r="EC48" i="62"/>
  <c r="ED48" i="62"/>
  <c r="EE48" i="62"/>
  <c r="EF48" i="62"/>
  <c r="EG48" i="62"/>
  <c r="EH48" i="62"/>
  <c r="EI48" i="62"/>
  <c r="BR49" i="62"/>
  <c r="BS49" i="62"/>
  <c r="BT49" i="62"/>
  <c r="BU49" i="62"/>
  <c r="BV49" i="62"/>
  <c r="BW49" i="62"/>
  <c r="BX49" i="62"/>
  <c r="BY49" i="62"/>
  <c r="BZ49" i="62"/>
  <c r="CA49" i="62"/>
  <c r="CB49" i="62"/>
  <c r="CC49" i="62"/>
  <c r="CD49" i="62"/>
  <c r="CE49" i="62"/>
  <c r="CF49" i="62"/>
  <c r="CG49" i="62"/>
  <c r="CH49" i="62"/>
  <c r="CI49" i="62"/>
  <c r="CJ49" i="62"/>
  <c r="CK49" i="62"/>
  <c r="CL49" i="62"/>
  <c r="CM49" i="62"/>
  <c r="CN49" i="62"/>
  <c r="CO49" i="62"/>
  <c r="CP49" i="62"/>
  <c r="CQ49" i="62"/>
  <c r="CR49" i="62"/>
  <c r="CS49" i="62"/>
  <c r="CT49" i="62"/>
  <c r="CU49" i="62"/>
  <c r="CV49" i="62"/>
  <c r="CW49" i="62"/>
  <c r="CX49" i="62"/>
  <c r="CY49" i="62"/>
  <c r="CZ49" i="62"/>
  <c r="DA49" i="62"/>
  <c r="DB49" i="62"/>
  <c r="DC49" i="62"/>
  <c r="DD49" i="62"/>
  <c r="DE49" i="62"/>
  <c r="DF49" i="62"/>
  <c r="DG49" i="62"/>
  <c r="DH49" i="62"/>
  <c r="DI49" i="62"/>
  <c r="DJ49" i="62"/>
  <c r="DK49" i="62"/>
  <c r="DL49" i="62"/>
  <c r="DM49" i="62"/>
  <c r="DN49" i="62"/>
  <c r="DO49" i="62"/>
  <c r="DP49" i="62"/>
  <c r="DQ49" i="62"/>
  <c r="DR49" i="62"/>
  <c r="DS49" i="62"/>
  <c r="DT49" i="62"/>
  <c r="DU49" i="62"/>
  <c r="DV49" i="62"/>
  <c r="DW49" i="62"/>
  <c r="DX49" i="62"/>
  <c r="DY49" i="62"/>
  <c r="DZ49" i="62"/>
  <c r="EA49" i="62"/>
  <c r="EB49" i="62"/>
  <c r="EC49" i="62"/>
  <c r="ED49" i="62"/>
  <c r="EE49" i="62"/>
  <c r="EF49" i="62"/>
  <c r="EG49" i="62"/>
  <c r="EH49" i="62"/>
  <c r="EI49" i="62"/>
  <c r="BR50" i="62"/>
  <c r="BS50" i="62"/>
  <c r="BT50" i="62"/>
  <c r="BU50" i="62"/>
  <c r="BV50" i="62"/>
  <c r="BW50" i="62"/>
  <c r="BX50" i="62"/>
  <c r="BY50" i="62"/>
  <c r="BZ50" i="62"/>
  <c r="CA50" i="62"/>
  <c r="CB50" i="62"/>
  <c r="CC50" i="62"/>
  <c r="CD50" i="62"/>
  <c r="CE50" i="62"/>
  <c r="CF50" i="62"/>
  <c r="CG50" i="62"/>
  <c r="CH50" i="62"/>
  <c r="CI50" i="62"/>
  <c r="CJ50" i="62"/>
  <c r="CK50" i="62"/>
  <c r="CL50" i="62"/>
  <c r="CM50" i="62"/>
  <c r="CN50" i="62"/>
  <c r="CO50" i="62"/>
  <c r="CP50" i="62"/>
  <c r="CQ50" i="62"/>
  <c r="CR50" i="62"/>
  <c r="CS50" i="62"/>
  <c r="CT50" i="62"/>
  <c r="CU50" i="62"/>
  <c r="CV50" i="62"/>
  <c r="CW50" i="62"/>
  <c r="CX50" i="62"/>
  <c r="CY50" i="62"/>
  <c r="CZ50" i="62"/>
  <c r="DA50" i="62"/>
  <c r="DB50" i="62"/>
  <c r="DC50" i="62"/>
  <c r="DD50" i="62"/>
  <c r="DE50" i="62"/>
  <c r="DF50" i="62"/>
  <c r="DG50" i="62"/>
  <c r="DH50" i="62"/>
  <c r="DI50" i="62"/>
  <c r="DJ50" i="62"/>
  <c r="DK50" i="62"/>
  <c r="DL50" i="62"/>
  <c r="DM50" i="62"/>
  <c r="DN50" i="62"/>
  <c r="DO50" i="62"/>
  <c r="DP50" i="62"/>
  <c r="DQ50" i="62"/>
  <c r="DR50" i="62"/>
  <c r="DS50" i="62"/>
  <c r="DT50" i="62"/>
  <c r="DU50" i="62"/>
  <c r="DV50" i="62"/>
  <c r="DW50" i="62"/>
  <c r="DX50" i="62"/>
  <c r="DY50" i="62"/>
  <c r="DZ50" i="62"/>
  <c r="EA50" i="62"/>
  <c r="EB50" i="62"/>
  <c r="EC50" i="62"/>
  <c r="ED50" i="62"/>
  <c r="EE50" i="62"/>
  <c r="EF50" i="62"/>
  <c r="EG50" i="62"/>
  <c r="EH50" i="62"/>
  <c r="EI50" i="62"/>
  <c r="BR51" i="62"/>
  <c r="BS51" i="62"/>
  <c r="BT51" i="62"/>
  <c r="BU51" i="62"/>
  <c r="BV51" i="62"/>
  <c r="BW51" i="62"/>
  <c r="BX51" i="62"/>
  <c r="BY51" i="62"/>
  <c r="BZ51" i="62"/>
  <c r="CA51" i="62"/>
  <c r="CB51" i="62"/>
  <c r="CC51" i="62"/>
  <c r="CD51" i="62"/>
  <c r="CE51" i="62"/>
  <c r="CF51" i="62"/>
  <c r="CG51" i="62"/>
  <c r="CH51" i="62"/>
  <c r="CI51" i="62"/>
  <c r="CJ51" i="62"/>
  <c r="CK51" i="62"/>
  <c r="CL51" i="62"/>
  <c r="CM51" i="62"/>
  <c r="CN51" i="62"/>
  <c r="CO51" i="62"/>
  <c r="CP51" i="62"/>
  <c r="CQ51" i="62"/>
  <c r="CR51" i="62"/>
  <c r="CS51" i="62"/>
  <c r="CT51" i="62"/>
  <c r="CU51" i="62"/>
  <c r="CV51" i="62"/>
  <c r="CW51" i="62"/>
  <c r="CX51" i="62"/>
  <c r="CY51" i="62"/>
  <c r="CZ51" i="62"/>
  <c r="DA51" i="62"/>
  <c r="DB51" i="62"/>
  <c r="DC51" i="62"/>
  <c r="DD51" i="62"/>
  <c r="DE51" i="62"/>
  <c r="DF51" i="62"/>
  <c r="DG51" i="62"/>
  <c r="DH51" i="62"/>
  <c r="DI51" i="62"/>
  <c r="DJ51" i="62"/>
  <c r="DK51" i="62"/>
  <c r="DL51" i="62"/>
  <c r="DM51" i="62"/>
  <c r="DN51" i="62"/>
  <c r="DO51" i="62"/>
  <c r="DP51" i="62"/>
  <c r="DQ51" i="62"/>
  <c r="DR51" i="62"/>
  <c r="DS51" i="62"/>
  <c r="DT51" i="62"/>
  <c r="DU51" i="62"/>
  <c r="DV51" i="62"/>
  <c r="DW51" i="62"/>
  <c r="DX51" i="62"/>
  <c r="DY51" i="62"/>
  <c r="DZ51" i="62"/>
  <c r="EA51" i="62"/>
  <c r="EB51" i="62"/>
  <c r="EC51" i="62"/>
  <c r="ED51" i="62"/>
  <c r="EE51" i="62"/>
  <c r="EF51" i="62"/>
  <c r="EG51" i="62"/>
  <c r="EH51" i="62"/>
  <c r="EI51" i="62"/>
  <c r="BR52" i="62"/>
  <c r="BS52" i="62"/>
  <c r="BT52" i="62"/>
  <c r="BU52" i="62"/>
  <c r="BV52" i="62"/>
  <c r="BW52" i="62"/>
  <c r="BX52" i="62"/>
  <c r="BY52" i="62"/>
  <c r="BZ52" i="62"/>
  <c r="CA52" i="62"/>
  <c r="CB52" i="62"/>
  <c r="CC52" i="62"/>
  <c r="CD52" i="62"/>
  <c r="CE52" i="62"/>
  <c r="CF52" i="62"/>
  <c r="CG52" i="62"/>
  <c r="CH52" i="62"/>
  <c r="CI52" i="62"/>
  <c r="CJ52" i="62"/>
  <c r="CK52" i="62"/>
  <c r="CL52" i="62"/>
  <c r="CM52" i="62"/>
  <c r="CN52" i="62"/>
  <c r="CO52" i="62"/>
  <c r="CP52" i="62"/>
  <c r="CQ52" i="62"/>
  <c r="CR52" i="62"/>
  <c r="CS52" i="62"/>
  <c r="CT52" i="62"/>
  <c r="CU52" i="62"/>
  <c r="CV52" i="62"/>
  <c r="CW52" i="62"/>
  <c r="CX52" i="62"/>
  <c r="CY52" i="62"/>
  <c r="CZ52" i="62"/>
  <c r="DA52" i="62"/>
  <c r="DB52" i="62"/>
  <c r="DC52" i="62"/>
  <c r="DD52" i="62"/>
  <c r="DE52" i="62"/>
  <c r="DF52" i="62"/>
  <c r="DG52" i="62"/>
  <c r="DH52" i="62"/>
  <c r="DI52" i="62"/>
  <c r="DJ52" i="62"/>
  <c r="DK52" i="62"/>
  <c r="DL52" i="62"/>
  <c r="DM52" i="62"/>
  <c r="DN52" i="62"/>
  <c r="DO52" i="62"/>
  <c r="DP52" i="62"/>
  <c r="DQ52" i="62"/>
  <c r="DR52" i="62"/>
  <c r="DS52" i="62"/>
  <c r="DT52" i="62"/>
  <c r="DU52" i="62"/>
  <c r="DV52" i="62"/>
  <c r="DW52" i="62"/>
  <c r="DX52" i="62"/>
  <c r="DY52" i="62"/>
  <c r="DZ52" i="62"/>
  <c r="EA52" i="62"/>
  <c r="EB52" i="62"/>
  <c r="EC52" i="62"/>
  <c r="ED52" i="62"/>
  <c r="EE52" i="62"/>
  <c r="EF52" i="62"/>
  <c r="EG52" i="62"/>
  <c r="EH52" i="62"/>
  <c r="EI52" i="62"/>
  <c r="BR53" i="62"/>
  <c r="BS53" i="62"/>
  <c r="BT53" i="62"/>
  <c r="BU53" i="62"/>
  <c r="BV53" i="62"/>
  <c r="BW53" i="62"/>
  <c r="BX53" i="62"/>
  <c r="BY53" i="62"/>
  <c r="BZ53" i="62"/>
  <c r="CA53" i="62"/>
  <c r="CB53" i="62"/>
  <c r="CC53" i="62"/>
  <c r="CD53" i="62"/>
  <c r="CE53" i="62"/>
  <c r="CF53" i="62"/>
  <c r="CG53" i="62"/>
  <c r="CH53" i="62"/>
  <c r="CI53" i="62"/>
  <c r="CJ53" i="62"/>
  <c r="CK53" i="62"/>
  <c r="CL53" i="62"/>
  <c r="CM53" i="62"/>
  <c r="CN53" i="62"/>
  <c r="CO53" i="62"/>
  <c r="CP53" i="62"/>
  <c r="CQ53" i="62"/>
  <c r="CR53" i="62"/>
  <c r="CS53" i="62"/>
  <c r="CT53" i="62"/>
  <c r="CU53" i="62"/>
  <c r="CV53" i="62"/>
  <c r="CW53" i="62"/>
  <c r="CX53" i="62"/>
  <c r="CY53" i="62"/>
  <c r="CZ53" i="62"/>
  <c r="DA53" i="62"/>
  <c r="DB53" i="62"/>
  <c r="DC53" i="62"/>
  <c r="DD53" i="62"/>
  <c r="DE53" i="62"/>
  <c r="DF53" i="62"/>
  <c r="DG53" i="62"/>
  <c r="DH53" i="62"/>
  <c r="DI53" i="62"/>
  <c r="DJ53" i="62"/>
  <c r="DK53" i="62"/>
  <c r="DL53" i="62"/>
  <c r="DM53" i="62"/>
  <c r="DN53" i="62"/>
  <c r="DO53" i="62"/>
  <c r="DP53" i="62"/>
  <c r="DQ53" i="62"/>
  <c r="DR53" i="62"/>
  <c r="DS53" i="62"/>
  <c r="DT53" i="62"/>
  <c r="DU53" i="62"/>
  <c r="DV53" i="62"/>
  <c r="DW53" i="62"/>
  <c r="DX53" i="62"/>
  <c r="DY53" i="62"/>
  <c r="DZ53" i="62"/>
  <c r="EA53" i="62"/>
  <c r="EB53" i="62"/>
  <c r="EC53" i="62"/>
  <c r="ED53" i="62"/>
  <c r="EE53" i="62"/>
  <c r="EF53" i="62"/>
  <c r="EG53" i="62"/>
  <c r="EH53" i="62"/>
  <c r="EI53" i="62"/>
  <c r="BR54" i="62"/>
  <c r="BS54" i="62"/>
  <c r="BT54" i="62"/>
  <c r="BU54" i="62"/>
  <c r="BV54" i="62"/>
  <c r="BW54" i="62"/>
  <c r="BX54" i="62"/>
  <c r="BY54" i="62"/>
  <c r="BZ54" i="62"/>
  <c r="CA54" i="62"/>
  <c r="CB54" i="62"/>
  <c r="CC54" i="62"/>
  <c r="CD54" i="62"/>
  <c r="CE54" i="62"/>
  <c r="CF54" i="62"/>
  <c r="CG54" i="62"/>
  <c r="CH54" i="62"/>
  <c r="CI54" i="62"/>
  <c r="CJ54" i="62"/>
  <c r="CK54" i="62"/>
  <c r="CL54" i="62"/>
  <c r="CM54" i="62"/>
  <c r="CN54" i="62"/>
  <c r="CO54" i="62"/>
  <c r="CP54" i="62"/>
  <c r="CQ54" i="62"/>
  <c r="CR54" i="62"/>
  <c r="CS54" i="62"/>
  <c r="CT54" i="62"/>
  <c r="CU54" i="62"/>
  <c r="CV54" i="62"/>
  <c r="CW54" i="62"/>
  <c r="CX54" i="62"/>
  <c r="CY54" i="62"/>
  <c r="CZ54" i="62"/>
  <c r="DA54" i="62"/>
  <c r="DB54" i="62"/>
  <c r="DC54" i="62"/>
  <c r="DD54" i="62"/>
  <c r="DE54" i="62"/>
  <c r="DF54" i="62"/>
  <c r="DG54" i="62"/>
  <c r="DH54" i="62"/>
  <c r="DI54" i="62"/>
  <c r="DJ54" i="62"/>
  <c r="DK54" i="62"/>
  <c r="DL54" i="62"/>
  <c r="DM54" i="62"/>
  <c r="DN54" i="62"/>
  <c r="DO54" i="62"/>
  <c r="DP54" i="62"/>
  <c r="DQ54" i="62"/>
  <c r="DR54" i="62"/>
  <c r="DS54" i="62"/>
  <c r="DT54" i="62"/>
  <c r="DU54" i="62"/>
  <c r="DV54" i="62"/>
  <c r="DW54" i="62"/>
  <c r="DX54" i="62"/>
  <c r="DY54" i="62"/>
  <c r="DZ54" i="62"/>
  <c r="EA54" i="62"/>
  <c r="EB54" i="62"/>
  <c r="EC54" i="62"/>
  <c r="ED54" i="62"/>
  <c r="EE54" i="62"/>
  <c r="EF54" i="62"/>
  <c r="EG54" i="62"/>
  <c r="EH54" i="62"/>
  <c r="EI54" i="62"/>
  <c r="BR55" i="62"/>
  <c r="BS55" i="62"/>
  <c r="BT55" i="62"/>
  <c r="BU55" i="62"/>
  <c r="BV55" i="62"/>
  <c r="BW55" i="62"/>
  <c r="BX55" i="62"/>
  <c r="BY55" i="62"/>
  <c r="BZ55" i="62"/>
  <c r="CA55" i="62"/>
  <c r="CB55" i="62"/>
  <c r="CC55" i="62"/>
  <c r="CD55" i="62"/>
  <c r="CE55" i="62"/>
  <c r="CF55" i="62"/>
  <c r="CG55" i="62"/>
  <c r="CH55" i="62"/>
  <c r="CI55" i="62"/>
  <c r="CJ55" i="62"/>
  <c r="CK55" i="62"/>
  <c r="CL55" i="62"/>
  <c r="CM55" i="62"/>
  <c r="CN55" i="62"/>
  <c r="CO55" i="62"/>
  <c r="CP55" i="62"/>
  <c r="CQ55" i="62"/>
  <c r="CR55" i="62"/>
  <c r="CS55" i="62"/>
  <c r="CT55" i="62"/>
  <c r="CU55" i="62"/>
  <c r="CV55" i="62"/>
  <c r="CW55" i="62"/>
  <c r="CX55" i="62"/>
  <c r="CY55" i="62"/>
  <c r="CZ55" i="62"/>
  <c r="DA55" i="62"/>
  <c r="DB55" i="62"/>
  <c r="DC55" i="62"/>
  <c r="DD55" i="62"/>
  <c r="DE55" i="62"/>
  <c r="DF55" i="62"/>
  <c r="DG55" i="62"/>
  <c r="DH55" i="62"/>
  <c r="DI55" i="62"/>
  <c r="DJ55" i="62"/>
  <c r="DK55" i="62"/>
  <c r="DL55" i="62"/>
  <c r="DM55" i="62"/>
  <c r="DN55" i="62"/>
  <c r="DO55" i="62"/>
  <c r="DP55" i="62"/>
  <c r="DQ55" i="62"/>
  <c r="DR55" i="62"/>
  <c r="DS55" i="62"/>
  <c r="DT55" i="62"/>
  <c r="DU55" i="62"/>
  <c r="DV55" i="62"/>
  <c r="DW55" i="62"/>
  <c r="DX55" i="62"/>
  <c r="DY55" i="62"/>
  <c r="DZ55" i="62"/>
  <c r="EA55" i="62"/>
  <c r="EB55" i="62"/>
  <c r="EC55" i="62"/>
  <c r="ED55" i="62"/>
  <c r="EE55" i="62"/>
  <c r="EF55" i="62"/>
  <c r="EG55" i="62"/>
  <c r="EH55" i="62"/>
  <c r="EI55" i="62"/>
  <c r="BR56" i="62"/>
  <c r="BS56" i="62"/>
  <c r="BT56" i="62"/>
  <c r="BU56" i="62"/>
  <c r="BV56" i="62"/>
  <c r="BW56" i="62"/>
  <c r="BX56" i="62"/>
  <c r="BY56" i="62"/>
  <c r="BZ56" i="62"/>
  <c r="CA56" i="62"/>
  <c r="CB56" i="62"/>
  <c r="CC56" i="62"/>
  <c r="CD56" i="62"/>
  <c r="CE56" i="62"/>
  <c r="CF56" i="62"/>
  <c r="CG56" i="62"/>
  <c r="CH56" i="62"/>
  <c r="CI56" i="62"/>
  <c r="CJ56" i="62"/>
  <c r="CK56" i="62"/>
  <c r="CL56" i="62"/>
  <c r="CM56" i="62"/>
  <c r="CN56" i="62"/>
  <c r="CO56" i="62"/>
  <c r="CP56" i="62"/>
  <c r="CQ56" i="62"/>
  <c r="CR56" i="62"/>
  <c r="CS56" i="62"/>
  <c r="CT56" i="62"/>
  <c r="CU56" i="62"/>
  <c r="CV56" i="62"/>
  <c r="CW56" i="62"/>
  <c r="CX56" i="62"/>
  <c r="CY56" i="62"/>
  <c r="CZ56" i="62"/>
  <c r="DA56" i="62"/>
  <c r="DB56" i="62"/>
  <c r="DC56" i="62"/>
  <c r="DD56" i="62"/>
  <c r="DE56" i="62"/>
  <c r="DF56" i="62"/>
  <c r="DG56" i="62"/>
  <c r="DH56" i="62"/>
  <c r="DI56" i="62"/>
  <c r="DJ56" i="62"/>
  <c r="DK56" i="62"/>
  <c r="DL56" i="62"/>
  <c r="DM56" i="62"/>
  <c r="DN56" i="62"/>
  <c r="DO56" i="62"/>
  <c r="DP56" i="62"/>
  <c r="DQ56" i="62"/>
  <c r="DR56" i="62"/>
  <c r="DS56" i="62"/>
  <c r="DT56" i="62"/>
  <c r="DU56" i="62"/>
  <c r="DV56" i="62"/>
  <c r="DW56" i="62"/>
  <c r="DX56" i="62"/>
  <c r="DY56" i="62"/>
  <c r="DZ56" i="62"/>
  <c r="EA56" i="62"/>
  <c r="EB56" i="62"/>
  <c r="EC56" i="62"/>
  <c r="ED56" i="62"/>
  <c r="EE56" i="62"/>
  <c r="EF56" i="62"/>
  <c r="EG56" i="62"/>
  <c r="EH56" i="62"/>
  <c r="EI56" i="62"/>
  <c r="BR57" i="62"/>
  <c r="BS57" i="62"/>
  <c r="BT57" i="62"/>
  <c r="BU57" i="62"/>
  <c r="BV57" i="62"/>
  <c r="BW57" i="62"/>
  <c r="BX57" i="62"/>
  <c r="BY57" i="62"/>
  <c r="BZ57" i="62"/>
  <c r="CA57" i="62"/>
  <c r="CB57" i="62"/>
  <c r="CC57" i="62"/>
  <c r="CD57" i="62"/>
  <c r="CE57" i="62"/>
  <c r="CF57" i="62"/>
  <c r="CG57" i="62"/>
  <c r="CH57" i="62"/>
  <c r="CI57" i="62"/>
  <c r="CJ57" i="62"/>
  <c r="CK57" i="62"/>
  <c r="CL57" i="62"/>
  <c r="CM57" i="62"/>
  <c r="CN57" i="62"/>
  <c r="CO57" i="62"/>
  <c r="CP57" i="62"/>
  <c r="CQ57" i="62"/>
  <c r="CR57" i="62"/>
  <c r="CS57" i="62"/>
  <c r="CT57" i="62"/>
  <c r="CU57" i="62"/>
  <c r="CV57" i="62"/>
  <c r="CW57" i="62"/>
  <c r="CX57" i="62"/>
  <c r="CY57" i="62"/>
  <c r="CZ57" i="62"/>
  <c r="DA57" i="62"/>
  <c r="DB57" i="62"/>
  <c r="DC57" i="62"/>
  <c r="DD57" i="62"/>
  <c r="DE57" i="62"/>
  <c r="DF57" i="62"/>
  <c r="DG57" i="62"/>
  <c r="DH57" i="62"/>
  <c r="DI57" i="62"/>
  <c r="DJ57" i="62"/>
  <c r="DK57" i="62"/>
  <c r="DL57" i="62"/>
  <c r="DM57" i="62"/>
  <c r="DN57" i="62"/>
  <c r="DO57" i="62"/>
  <c r="DP57" i="62"/>
  <c r="DQ57" i="62"/>
  <c r="DR57" i="62"/>
  <c r="DS57" i="62"/>
  <c r="DT57" i="62"/>
  <c r="DU57" i="62"/>
  <c r="DV57" i="62"/>
  <c r="DW57" i="62"/>
  <c r="DX57" i="62"/>
  <c r="DY57" i="62"/>
  <c r="DZ57" i="62"/>
  <c r="EA57" i="62"/>
  <c r="EB57" i="62"/>
  <c r="EC57" i="62"/>
  <c r="ED57" i="62"/>
  <c r="EE57" i="62"/>
  <c r="EF57" i="62"/>
  <c r="EG57" i="62"/>
  <c r="EH57" i="62"/>
  <c r="EI57" i="62"/>
  <c r="BR58" i="62"/>
  <c r="BS58" i="62"/>
  <c r="BT58" i="62"/>
  <c r="BU58" i="62"/>
  <c r="BV58" i="62"/>
  <c r="BW58" i="62"/>
  <c r="BX58" i="62"/>
  <c r="BY58" i="62"/>
  <c r="BZ58" i="62"/>
  <c r="CA58" i="62"/>
  <c r="CB58" i="62"/>
  <c r="CC58" i="62"/>
  <c r="CD58" i="62"/>
  <c r="CE58" i="62"/>
  <c r="CF58" i="62"/>
  <c r="CG58" i="62"/>
  <c r="CH58" i="62"/>
  <c r="CI58" i="62"/>
  <c r="CJ58" i="62"/>
  <c r="CK58" i="62"/>
  <c r="CL58" i="62"/>
  <c r="CM58" i="62"/>
  <c r="CN58" i="62"/>
  <c r="CO58" i="62"/>
  <c r="CP58" i="62"/>
  <c r="CQ58" i="62"/>
  <c r="CR58" i="62"/>
  <c r="CS58" i="62"/>
  <c r="CT58" i="62"/>
  <c r="CU58" i="62"/>
  <c r="CV58" i="62"/>
  <c r="CW58" i="62"/>
  <c r="CX58" i="62"/>
  <c r="CY58" i="62"/>
  <c r="CZ58" i="62"/>
  <c r="DA58" i="62"/>
  <c r="DB58" i="62"/>
  <c r="DC58" i="62"/>
  <c r="DD58" i="62"/>
  <c r="DE58" i="62"/>
  <c r="DF58" i="62"/>
  <c r="DG58" i="62"/>
  <c r="DH58" i="62"/>
  <c r="DI58" i="62"/>
  <c r="DJ58" i="62"/>
  <c r="DK58" i="62"/>
  <c r="DL58" i="62"/>
  <c r="DM58" i="62"/>
  <c r="DN58" i="62"/>
  <c r="DO58" i="62"/>
  <c r="DP58" i="62"/>
  <c r="DQ58" i="62"/>
  <c r="DR58" i="62"/>
  <c r="DS58" i="62"/>
  <c r="DT58" i="62"/>
  <c r="DU58" i="62"/>
  <c r="DV58" i="62"/>
  <c r="DW58" i="62"/>
  <c r="DX58" i="62"/>
  <c r="DY58" i="62"/>
  <c r="DZ58" i="62"/>
  <c r="EA58" i="62"/>
  <c r="EB58" i="62"/>
  <c r="EC58" i="62"/>
  <c r="ED58" i="62"/>
  <c r="EE58" i="62"/>
  <c r="EF58" i="62"/>
  <c r="EG58" i="62"/>
  <c r="EH58" i="62"/>
  <c r="EI58" i="62"/>
  <c r="BR59" i="62"/>
  <c r="BS59" i="62"/>
  <c r="BT59" i="62"/>
  <c r="BU59" i="62"/>
  <c r="BV59" i="62"/>
  <c r="BW59" i="62"/>
  <c r="BX59" i="62"/>
  <c r="BY59" i="62"/>
  <c r="BZ59" i="62"/>
  <c r="CA59" i="62"/>
  <c r="CB59" i="62"/>
  <c r="CC59" i="62"/>
  <c r="CD59" i="62"/>
  <c r="CE59" i="62"/>
  <c r="CF59" i="62"/>
  <c r="CG59" i="62"/>
  <c r="CH59" i="62"/>
  <c r="CI59" i="62"/>
  <c r="CJ59" i="62"/>
  <c r="CK59" i="62"/>
  <c r="CL59" i="62"/>
  <c r="CM59" i="62"/>
  <c r="CN59" i="62"/>
  <c r="CO59" i="62"/>
  <c r="CP59" i="62"/>
  <c r="CQ59" i="62"/>
  <c r="CR59" i="62"/>
  <c r="CS59" i="62"/>
  <c r="CT59" i="62"/>
  <c r="CU59" i="62"/>
  <c r="CV59" i="62"/>
  <c r="CW59" i="62"/>
  <c r="CX59" i="62"/>
  <c r="CY59" i="62"/>
  <c r="CZ59" i="62"/>
  <c r="DA59" i="62"/>
  <c r="DB59" i="62"/>
  <c r="DC59" i="62"/>
  <c r="DD59" i="62"/>
  <c r="DE59" i="62"/>
  <c r="DF59" i="62"/>
  <c r="DG59" i="62"/>
  <c r="DH59" i="62"/>
  <c r="DI59" i="62"/>
  <c r="DJ59" i="62"/>
  <c r="DK59" i="62"/>
  <c r="DL59" i="62"/>
  <c r="DM59" i="62"/>
  <c r="DN59" i="62"/>
  <c r="DO59" i="62"/>
  <c r="DP59" i="62"/>
  <c r="DQ59" i="62"/>
  <c r="DR59" i="62"/>
  <c r="DS59" i="62"/>
  <c r="DT59" i="62"/>
  <c r="DU59" i="62"/>
  <c r="DV59" i="62"/>
  <c r="DW59" i="62"/>
  <c r="DX59" i="62"/>
  <c r="DY59" i="62"/>
  <c r="DZ59" i="62"/>
  <c r="EA59" i="62"/>
  <c r="EB59" i="62"/>
  <c r="EC59" i="62"/>
  <c r="ED59" i="62"/>
  <c r="EE59" i="62"/>
  <c r="EF59" i="62"/>
  <c r="EG59" i="62"/>
  <c r="EH59" i="62"/>
  <c r="EI59" i="62"/>
  <c r="BR60" i="62"/>
  <c r="BS60" i="62"/>
  <c r="BT60" i="62"/>
  <c r="BU60" i="62"/>
  <c r="BV60" i="62"/>
  <c r="BW60" i="62"/>
  <c r="BX60" i="62"/>
  <c r="BY60" i="62"/>
  <c r="BZ60" i="62"/>
  <c r="CA60" i="62"/>
  <c r="CB60" i="62"/>
  <c r="CC60" i="62"/>
  <c r="CD60" i="62"/>
  <c r="CE60" i="62"/>
  <c r="CF60" i="62"/>
  <c r="CG60" i="62"/>
  <c r="CH60" i="62"/>
  <c r="CI60" i="62"/>
  <c r="CJ60" i="62"/>
  <c r="CK60" i="62"/>
  <c r="CL60" i="62"/>
  <c r="CM60" i="62"/>
  <c r="CN60" i="62"/>
  <c r="CO60" i="62"/>
  <c r="CP60" i="62"/>
  <c r="CQ60" i="62"/>
  <c r="CR60" i="62"/>
  <c r="CS60" i="62"/>
  <c r="CT60" i="62"/>
  <c r="CU60" i="62"/>
  <c r="CV60" i="62"/>
  <c r="CW60" i="62"/>
  <c r="CX60" i="62"/>
  <c r="CY60" i="62"/>
  <c r="CZ60" i="62"/>
  <c r="DA60" i="62"/>
  <c r="DB60" i="62"/>
  <c r="DC60" i="62"/>
  <c r="DD60" i="62"/>
  <c r="DE60" i="62"/>
  <c r="DF60" i="62"/>
  <c r="DG60" i="62"/>
  <c r="DH60" i="62"/>
  <c r="DI60" i="62"/>
  <c r="DJ60" i="62"/>
  <c r="DK60" i="62"/>
  <c r="DL60" i="62"/>
  <c r="DM60" i="62"/>
  <c r="DN60" i="62"/>
  <c r="DO60" i="62"/>
  <c r="DP60" i="62"/>
  <c r="DQ60" i="62"/>
  <c r="DR60" i="62"/>
  <c r="DS60" i="62"/>
  <c r="DT60" i="62"/>
  <c r="DU60" i="62"/>
  <c r="DV60" i="62"/>
  <c r="DW60" i="62"/>
  <c r="DX60" i="62"/>
  <c r="DY60" i="62"/>
  <c r="DZ60" i="62"/>
  <c r="EA60" i="62"/>
  <c r="EB60" i="62"/>
  <c r="EC60" i="62"/>
  <c r="ED60" i="62"/>
  <c r="EE60" i="62"/>
  <c r="EF60" i="62"/>
  <c r="EG60" i="62"/>
  <c r="EH60" i="62"/>
  <c r="EI60" i="62"/>
  <c r="BR61" i="62"/>
  <c r="BS61" i="62"/>
  <c r="BT61" i="62"/>
  <c r="BU61" i="62"/>
  <c r="BV61" i="62"/>
  <c r="BW61" i="62"/>
  <c r="BX61" i="62"/>
  <c r="BY61" i="62"/>
  <c r="BZ61" i="62"/>
  <c r="CA61" i="62"/>
  <c r="CB61" i="62"/>
  <c r="CC61" i="62"/>
  <c r="CD61" i="62"/>
  <c r="CE61" i="62"/>
  <c r="CF61" i="62"/>
  <c r="CG61" i="62"/>
  <c r="CH61" i="62"/>
  <c r="CI61" i="62"/>
  <c r="CJ61" i="62"/>
  <c r="CK61" i="62"/>
  <c r="CL61" i="62"/>
  <c r="CM61" i="62"/>
  <c r="CN61" i="62"/>
  <c r="CO61" i="62"/>
  <c r="CP61" i="62"/>
  <c r="CQ61" i="62"/>
  <c r="CR61" i="62"/>
  <c r="CS61" i="62"/>
  <c r="CT61" i="62"/>
  <c r="CU61" i="62"/>
  <c r="CV61" i="62"/>
  <c r="CW61" i="62"/>
  <c r="CX61" i="62"/>
  <c r="CY61" i="62"/>
  <c r="CZ61" i="62"/>
  <c r="DA61" i="62"/>
  <c r="DB61" i="62"/>
  <c r="DC61" i="62"/>
  <c r="DD61" i="62"/>
  <c r="DE61" i="62"/>
  <c r="DF61" i="62"/>
  <c r="DG61" i="62"/>
  <c r="DH61" i="62"/>
  <c r="DI61" i="62"/>
  <c r="DJ61" i="62"/>
  <c r="DK61" i="62"/>
  <c r="DL61" i="62"/>
  <c r="DM61" i="62"/>
  <c r="DN61" i="62"/>
  <c r="DO61" i="62"/>
  <c r="DP61" i="62"/>
  <c r="DQ61" i="62"/>
  <c r="DR61" i="62"/>
  <c r="DS61" i="62"/>
  <c r="DT61" i="62"/>
  <c r="DU61" i="62"/>
  <c r="DV61" i="62"/>
  <c r="DW61" i="62"/>
  <c r="DX61" i="62"/>
  <c r="DY61" i="62"/>
  <c r="DZ61" i="62"/>
  <c r="EA61" i="62"/>
  <c r="EB61" i="62"/>
  <c r="EC61" i="62"/>
  <c r="ED61" i="62"/>
  <c r="EE61" i="62"/>
  <c r="EF61" i="62"/>
  <c r="EG61" i="62"/>
  <c r="EH61" i="62"/>
  <c r="EI61" i="62"/>
  <c r="BR62" i="62"/>
  <c r="BS62" i="62"/>
  <c r="BT62" i="62"/>
  <c r="BU62" i="62"/>
  <c r="BV62" i="62"/>
  <c r="BW62" i="62"/>
  <c r="BX62" i="62"/>
  <c r="BY62" i="62"/>
  <c r="BZ62" i="62"/>
  <c r="CA62" i="62"/>
  <c r="CB62" i="62"/>
  <c r="CC62" i="62"/>
  <c r="CD62" i="62"/>
  <c r="CE62" i="62"/>
  <c r="CF62" i="62"/>
  <c r="CG62" i="62"/>
  <c r="CH62" i="62"/>
  <c r="CI62" i="62"/>
  <c r="CJ62" i="62"/>
  <c r="CK62" i="62"/>
  <c r="CL62" i="62"/>
  <c r="CM62" i="62"/>
  <c r="CN62" i="62"/>
  <c r="CO62" i="62"/>
  <c r="CP62" i="62"/>
  <c r="CQ62" i="62"/>
  <c r="CR62" i="62"/>
  <c r="CS62" i="62"/>
  <c r="CT62" i="62"/>
  <c r="CU62" i="62"/>
  <c r="CV62" i="62"/>
  <c r="CW62" i="62"/>
  <c r="CX62" i="62"/>
  <c r="CY62" i="62"/>
  <c r="CZ62" i="62"/>
  <c r="DA62" i="62"/>
  <c r="DB62" i="62"/>
  <c r="DC62" i="62"/>
  <c r="DD62" i="62"/>
  <c r="DE62" i="62"/>
  <c r="DF62" i="62"/>
  <c r="DG62" i="62"/>
  <c r="DH62" i="62"/>
  <c r="DI62" i="62"/>
  <c r="DJ62" i="62"/>
  <c r="DK62" i="62"/>
  <c r="DL62" i="62"/>
  <c r="DM62" i="62"/>
  <c r="DN62" i="62"/>
  <c r="DO62" i="62"/>
  <c r="DP62" i="62"/>
  <c r="DQ62" i="62"/>
  <c r="DR62" i="62"/>
  <c r="DS62" i="62"/>
  <c r="DT62" i="62"/>
  <c r="DU62" i="62"/>
  <c r="DV62" i="62"/>
  <c r="DW62" i="62"/>
  <c r="DX62" i="62"/>
  <c r="DY62" i="62"/>
  <c r="DZ62" i="62"/>
  <c r="EA62" i="62"/>
  <c r="EB62" i="62"/>
  <c r="EC62" i="62"/>
  <c r="ED62" i="62"/>
  <c r="EE62" i="62"/>
  <c r="EF62" i="62"/>
  <c r="EG62" i="62"/>
  <c r="EH62" i="62"/>
  <c r="EI62" i="62"/>
  <c r="BR63" i="62"/>
  <c r="BS63" i="62"/>
  <c r="BT63" i="62"/>
  <c r="BU63" i="62"/>
  <c r="BV63" i="62"/>
  <c r="BW63" i="62"/>
  <c r="BX63" i="62"/>
  <c r="BY63" i="62"/>
  <c r="BZ63" i="62"/>
  <c r="CA63" i="62"/>
  <c r="CB63" i="62"/>
  <c r="CC63" i="62"/>
  <c r="CD63" i="62"/>
  <c r="CE63" i="62"/>
  <c r="CF63" i="62"/>
  <c r="CG63" i="62"/>
  <c r="CH63" i="62"/>
  <c r="CI63" i="62"/>
  <c r="CJ63" i="62"/>
  <c r="CK63" i="62"/>
  <c r="CL63" i="62"/>
  <c r="CM63" i="62"/>
  <c r="CN63" i="62"/>
  <c r="CO63" i="62"/>
  <c r="CP63" i="62"/>
  <c r="CQ63" i="62"/>
  <c r="CR63" i="62"/>
  <c r="CS63" i="62"/>
  <c r="CT63" i="62"/>
  <c r="CU63" i="62"/>
  <c r="CV63" i="62"/>
  <c r="CW63" i="62"/>
  <c r="CX63" i="62"/>
  <c r="CY63" i="62"/>
  <c r="CZ63" i="62"/>
  <c r="DA63" i="62"/>
  <c r="DB63" i="62"/>
  <c r="DC63" i="62"/>
  <c r="DD63" i="62"/>
  <c r="DE63" i="62"/>
  <c r="DF63" i="62"/>
  <c r="DG63" i="62"/>
  <c r="DH63" i="62"/>
  <c r="DI63" i="62"/>
  <c r="DJ63" i="62"/>
  <c r="DK63" i="62"/>
  <c r="DL63" i="62"/>
  <c r="DM63" i="62"/>
  <c r="DN63" i="62"/>
  <c r="DO63" i="62"/>
  <c r="DP63" i="62"/>
  <c r="DQ63" i="62"/>
  <c r="DR63" i="62"/>
  <c r="DS63" i="62"/>
  <c r="DT63" i="62"/>
  <c r="DU63" i="62"/>
  <c r="DV63" i="62"/>
  <c r="DW63" i="62"/>
  <c r="DX63" i="62"/>
  <c r="DY63" i="62"/>
  <c r="DZ63" i="62"/>
  <c r="EA63" i="62"/>
  <c r="EB63" i="62"/>
  <c r="EC63" i="62"/>
  <c r="ED63" i="62"/>
  <c r="EE63" i="62"/>
  <c r="EF63" i="62"/>
  <c r="EG63" i="62"/>
  <c r="EH63" i="62"/>
  <c r="EI63" i="62"/>
  <c r="BR64" i="62"/>
  <c r="BS64" i="62"/>
  <c r="BT64" i="62"/>
  <c r="BU64" i="62"/>
  <c r="BV64" i="62"/>
  <c r="BW64" i="62"/>
  <c r="BX64" i="62"/>
  <c r="BY64" i="62"/>
  <c r="BZ64" i="62"/>
  <c r="CA64" i="62"/>
  <c r="CB64" i="62"/>
  <c r="CC64" i="62"/>
  <c r="CD64" i="62"/>
  <c r="CE64" i="62"/>
  <c r="CF64" i="62"/>
  <c r="CG64" i="62"/>
  <c r="CH64" i="62"/>
  <c r="CI64" i="62"/>
  <c r="CJ64" i="62"/>
  <c r="CK64" i="62"/>
  <c r="CL64" i="62"/>
  <c r="CM64" i="62"/>
  <c r="CN64" i="62"/>
  <c r="CO64" i="62"/>
  <c r="CP64" i="62"/>
  <c r="CQ64" i="62"/>
  <c r="CR64" i="62"/>
  <c r="CS64" i="62"/>
  <c r="CT64" i="62"/>
  <c r="CU64" i="62"/>
  <c r="CV64" i="62"/>
  <c r="CW64" i="62"/>
  <c r="CX64" i="62"/>
  <c r="CY64" i="62"/>
  <c r="CZ64" i="62"/>
  <c r="DA64" i="62"/>
  <c r="DB64" i="62"/>
  <c r="DC64" i="62"/>
  <c r="DD64" i="62"/>
  <c r="DE64" i="62"/>
  <c r="DF64" i="62"/>
  <c r="DG64" i="62"/>
  <c r="DH64" i="62"/>
  <c r="DI64" i="62"/>
  <c r="DJ64" i="62"/>
  <c r="DK64" i="62"/>
  <c r="DL64" i="62"/>
  <c r="DM64" i="62"/>
  <c r="DN64" i="62"/>
  <c r="DO64" i="62"/>
  <c r="DP64" i="62"/>
  <c r="DQ64" i="62"/>
  <c r="DR64" i="62"/>
  <c r="DS64" i="62"/>
  <c r="DT64" i="62"/>
  <c r="DU64" i="62"/>
  <c r="DV64" i="62"/>
  <c r="DW64" i="62"/>
  <c r="DX64" i="62"/>
  <c r="DY64" i="62"/>
  <c r="DZ64" i="62"/>
  <c r="EA64" i="62"/>
  <c r="EB64" i="62"/>
  <c r="EC64" i="62"/>
  <c r="ED64" i="62"/>
  <c r="EE64" i="62"/>
  <c r="EF64" i="62"/>
  <c r="EG64" i="62"/>
  <c r="EH64" i="62"/>
  <c r="EI64" i="62"/>
  <c r="BR65" i="62"/>
  <c r="BS65" i="62"/>
  <c r="BT65" i="62"/>
  <c r="BU65" i="62"/>
  <c r="BV65" i="62"/>
  <c r="BW65" i="62"/>
  <c r="BX65" i="62"/>
  <c r="BY65" i="62"/>
  <c r="BZ65" i="62"/>
  <c r="CA65" i="62"/>
  <c r="CB65" i="62"/>
  <c r="CC65" i="62"/>
  <c r="CD65" i="62"/>
  <c r="CE65" i="62"/>
  <c r="CF65" i="62"/>
  <c r="CG65" i="62"/>
  <c r="CH65" i="62"/>
  <c r="CI65" i="62"/>
  <c r="CJ65" i="62"/>
  <c r="CK65" i="62"/>
  <c r="CL65" i="62"/>
  <c r="CM65" i="62"/>
  <c r="CN65" i="62"/>
  <c r="CO65" i="62"/>
  <c r="CP65" i="62"/>
  <c r="CQ65" i="62"/>
  <c r="CR65" i="62"/>
  <c r="CS65" i="62"/>
  <c r="CT65" i="62"/>
  <c r="CU65" i="62"/>
  <c r="CV65" i="62"/>
  <c r="CW65" i="62"/>
  <c r="CX65" i="62"/>
  <c r="CY65" i="62"/>
  <c r="CZ65" i="62"/>
  <c r="DA65" i="62"/>
  <c r="DB65" i="62"/>
  <c r="DC65" i="62"/>
  <c r="DD65" i="62"/>
  <c r="DE65" i="62"/>
  <c r="DF65" i="62"/>
  <c r="DG65" i="62"/>
  <c r="DH65" i="62"/>
  <c r="DI65" i="62"/>
  <c r="DJ65" i="62"/>
  <c r="DK65" i="62"/>
  <c r="DL65" i="62"/>
  <c r="DM65" i="62"/>
  <c r="DN65" i="62"/>
  <c r="DO65" i="62"/>
  <c r="DP65" i="62"/>
  <c r="DQ65" i="62"/>
  <c r="DR65" i="62"/>
  <c r="DS65" i="62"/>
  <c r="DT65" i="62"/>
  <c r="DU65" i="62"/>
  <c r="DV65" i="62"/>
  <c r="DW65" i="62"/>
  <c r="DX65" i="62"/>
  <c r="DY65" i="62"/>
  <c r="DZ65" i="62"/>
  <c r="EA65" i="62"/>
  <c r="EB65" i="62"/>
  <c r="EC65" i="62"/>
  <c r="ED65" i="62"/>
  <c r="EE65" i="62"/>
  <c r="EF65" i="62"/>
  <c r="EG65" i="62"/>
  <c r="EH65" i="62"/>
  <c r="EI65" i="62"/>
  <c r="BR66" i="62"/>
  <c r="BS66" i="62"/>
  <c r="BT66" i="62"/>
  <c r="BU66" i="62"/>
  <c r="BV66" i="62"/>
  <c r="BW66" i="62"/>
  <c r="BX66" i="62"/>
  <c r="BY66" i="62"/>
  <c r="BZ66" i="62"/>
  <c r="CA66" i="62"/>
  <c r="CB66" i="62"/>
  <c r="CC66" i="62"/>
  <c r="CD66" i="62"/>
  <c r="CE66" i="62"/>
  <c r="CF66" i="62"/>
  <c r="CG66" i="62"/>
  <c r="CH66" i="62"/>
  <c r="CI66" i="62"/>
  <c r="CJ66" i="62"/>
  <c r="CK66" i="62"/>
  <c r="CL66" i="62"/>
  <c r="CM66" i="62"/>
  <c r="CN66" i="62"/>
  <c r="CO66" i="62"/>
  <c r="CP66" i="62"/>
  <c r="CQ66" i="62"/>
  <c r="CR66" i="62"/>
  <c r="CS66" i="62"/>
  <c r="CT66" i="62"/>
  <c r="CU66" i="62"/>
  <c r="CV66" i="62"/>
  <c r="CW66" i="62"/>
  <c r="CX66" i="62"/>
  <c r="CY66" i="62"/>
  <c r="CZ66" i="62"/>
  <c r="DA66" i="62"/>
  <c r="DB66" i="62"/>
  <c r="DC66" i="62"/>
  <c r="DD66" i="62"/>
  <c r="DE66" i="62"/>
  <c r="DF66" i="62"/>
  <c r="DG66" i="62"/>
  <c r="DH66" i="62"/>
  <c r="DI66" i="62"/>
  <c r="DJ66" i="62"/>
  <c r="DK66" i="62"/>
  <c r="DL66" i="62"/>
  <c r="DM66" i="62"/>
  <c r="DN66" i="62"/>
  <c r="DO66" i="62"/>
  <c r="DP66" i="62"/>
  <c r="DQ66" i="62"/>
  <c r="DR66" i="62"/>
  <c r="DS66" i="62"/>
  <c r="DT66" i="62"/>
  <c r="DU66" i="62"/>
  <c r="DV66" i="62"/>
  <c r="DW66" i="62"/>
  <c r="DX66" i="62"/>
  <c r="DY66" i="62"/>
  <c r="DZ66" i="62"/>
  <c r="EA66" i="62"/>
  <c r="EB66" i="62"/>
  <c r="EC66" i="62"/>
  <c r="ED66" i="62"/>
  <c r="EE66" i="62"/>
  <c r="EF66" i="62"/>
  <c r="EG66" i="62"/>
  <c r="EH66" i="62"/>
  <c r="EI66" i="62"/>
  <c r="BR67" i="62"/>
  <c r="BS67" i="62"/>
  <c r="BT67" i="62"/>
  <c r="BU67" i="62"/>
  <c r="BV67" i="62"/>
  <c r="BW67" i="62"/>
  <c r="BX67" i="62"/>
  <c r="BY67" i="62"/>
  <c r="BZ67" i="62"/>
  <c r="CA67" i="62"/>
  <c r="CB67" i="62"/>
  <c r="CC67" i="62"/>
  <c r="CD67" i="62"/>
  <c r="CE67" i="62"/>
  <c r="CF67" i="62"/>
  <c r="CG67" i="62"/>
  <c r="CH67" i="62"/>
  <c r="CI67" i="62"/>
  <c r="CJ67" i="62"/>
  <c r="CK67" i="62"/>
  <c r="CL67" i="62"/>
  <c r="CM67" i="62"/>
  <c r="CN67" i="62"/>
  <c r="CO67" i="62"/>
  <c r="CP67" i="62"/>
  <c r="CQ67" i="62"/>
  <c r="CR67" i="62"/>
  <c r="CS67" i="62"/>
  <c r="CT67" i="62"/>
  <c r="CU67" i="62"/>
  <c r="CV67" i="62"/>
  <c r="CW67" i="62"/>
  <c r="CX67" i="62"/>
  <c r="CY67" i="62"/>
  <c r="CZ67" i="62"/>
  <c r="DA67" i="62"/>
  <c r="DB67" i="62"/>
  <c r="DC67" i="62"/>
  <c r="DD67" i="62"/>
  <c r="DE67" i="62"/>
  <c r="DF67" i="62"/>
  <c r="DG67" i="62"/>
  <c r="DH67" i="62"/>
  <c r="DI67" i="62"/>
  <c r="DJ67" i="62"/>
  <c r="DK67" i="62"/>
  <c r="DL67" i="62"/>
  <c r="DM67" i="62"/>
  <c r="DN67" i="62"/>
  <c r="DO67" i="62"/>
  <c r="DP67" i="62"/>
  <c r="DQ67" i="62"/>
  <c r="DR67" i="62"/>
  <c r="DS67" i="62"/>
  <c r="DT67" i="62"/>
  <c r="DU67" i="62"/>
  <c r="DV67" i="62"/>
  <c r="DW67" i="62"/>
  <c r="DX67" i="62"/>
  <c r="DY67" i="62"/>
  <c r="DZ67" i="62"/>
  <c r="EA67" i="62"/>
  <c r="EB67" i="62"/>
  <c r="EC67" i="62"/>
  <c r="ED67" i="62"/>
  <c r="EE67" i="62"/>
  <c r="EF67" i="62"/>
  <c r="EG67" i="62"/>
  <c r="EH67" i="62"/>
  <c r="EI67" i="62"/>
  <c r="BR68" i="62"/>
  <c r="BS68" i="62"/>
  <c r="BT68" i="62"/>
  <c r="BU68" i="62"/>
  <c r="BV68" i="62"/>
  <c r="BW68" i="62"/>
  <c r="BX68" i="62"/>
  <c r="BY68" i="62"/>
  <c r="BZ68" i="62"/>
  <c r="CA68" i="62"/>
  <c r="CB68" i="62"/>
  <c r="CC68" i="62"/>
  <c r="CD68" i="62"/>
  <c r="CE68" i="62"/>
  <c r="CF68" i="62"/>
  <c r="CG68" i="62"/>
  <c r="CH68" i="62"/>
  <c r="CI68" i="62"/>
  <c r="CJ68" i="62"/>
  <c r="CK68" i="62"/>
  <c r="CL68" i="62"/>
  <c r="CM68" i="62"/>
  <c r="CN68" i="62"/>
  <c r="CO68" i="62"/>
  <c r="CP68" i="62"/>
  <c r="CQ68" i="62"/>
  <c r="CR68" i="62"/>
  <c r="CS68" i="62"/>
  <c r="CT68" i="62"/>
  <c r="CU68" i="62"/>
  <c r="CV68" i="62"/>
  <c r="CW68" i="62"/>
  <c r="CX68" i="62"/>
  <c r="CY68" i="62"/>
  <c r="CZ68" i="62"/>
  <c r="DA68" i="62"/>
  <c r="DB68" i="62"/>
  <c r="DC68" i="62"/>
  <c r="DD68" i="62"/>
  <c r="DE68" i="62"/>
  <c r="DF68" i="62"/>
  <c r="DG68" i="62"/>
  <c r="DH68" i="62"/>
  <c r="DI68" i="62"/>
  <c r="DJ68" i="62"/>
  <c r="DK68" i="62"/>
  <c r="DL68" i="62"/>
  <c r="DM68" i="62"/>
  <c r="DN68" i="62"/>
  <c r="DO68" i="62"/>
  <c r="DP68" i="62"/>
  <c r="DQ68" i="62"/>
  <c r="DR68" i="62"/>
  <c r="DS68" i="62"/>
  <c r="DT68" i="62"/>
  <c r="DU68" i="62"/>
  <c r="DV68" i="62"/>
  <c r="DW68" i="62"/>
  <c r="DX68" i="62"/>
  <c r="DY68" i="62"/>
  <c r="DZ68" i="62"/>
  <c r="EA68" i="62"/>
  <c r="EB68" i="62"/>
  <c r="EC68" i="62"/>
  <c r="ED68" i="62"/>
  <c r="EE68" i="62"/>
  <c r="EF68" i="62"/>
  <c r="EG68" i="62"/>
  <c r="EH68" i="62"/>
  <c r="EI68" i="62"/>
  <c r="BR69" i="62"/>
  <c r="BS69" i="62"/>
  <c r="BT69" i="62"/>
  <c r="BU69" i="62"/>
  <c r="BV69" i="62"/>
  <c r="BW69" i="62"/>
  <c r="BX69" i="62"/>
  <c r="BY69" i="62"/>
  <c r="BZ69" i="62"/>
  <c r="CA69" i="62"/>
  <c r="CB69" i="62"/>
  <c r="CC69" i="62"/>
  <c r="CD69" i="62"/>
  <c r="CE69" i="62"/>
  <c r="CF69" i="62"/>
  <c r="CG69" i="62"/>
  <c r="CH69" i="62"/>
  <c r="CI69" i="62"/>
  <c r="CJ69" i="62"/>
  <c r="CK69" i="62"/>
  <c r="CL69" i="62"/>
  <c r="CM69" i="62"/>
  <c r="CN69" i="62"/>
  <c r="CO69" i="62"/>
  <c r="CP69" i="62"/>
  <c r="CQ69" i="62"/>
  <c r="CR69" i="62"/>
  <c r="CS69" i="62"/>
  <c r="CT69" i="62"/>
  <c r="CU69" i="62"/>
  <c r="CV69" i="62"/>
  <c r="CW69" i="62"/>
  <c r="CX69" i="62"/>
  <c r="CY69" i="62"/>
  <c r="CZ69" i="62"/>
  <c r="DA69" i="62"/>
  <c r="DB69" i="62"/>
  <c r="DC69" i="62"/>
  <c r="DD69" i="62"/>
  <c r="DE69" i="62"/>
  <c r="DF69" i="62"/>
  <c r="DG69" i="62"/>
  <c r="DH69" i="62"/>
  <c r="DI69" i="62"/>
  <c r="DJ69" i="62"/>
  <c r="DK69" i="62"/>
  <c r="DL69" i="62"/>
  <c r="DM69" i="62"/>
  <c r="DN69" i="62"/>
  <c r="DO69" i="62"/>
  <c r="DP69" i="62"/>
  <c r="DQ69" i="62"/>
  <c r="DR69" i="62"/>
  <c r="DS69" i="62"/>
  <c r="DT69" i="62"/>
  <c r="DU69" i="62"/>
  <c r="DV69" i="62"/>
  <c r="DW69" i="62"/>
  <c r="DX69" i="62"/>
  <c r="DY69" i="62"/>
  <c r="DZ69" i="62"/>
  <c r="EA69" i="62"/>
  <c r="EB69" i="62"/>
  <c r="EC69" i="62"/>
  <c r="ED69" i="62"/>
  <c r="EE69" i="62"/>
  <c r="EF69" i="62"/>
  <c r="EG69" i="62"/>
  <c r="EH69" i="62"/>
  <c r="EI69" i="62"/>
  <c r="BR70" i="62"/>
  <c r="BS70" i="62"/>
  <c r="BT70" i="62"/>
  <c r="BU70" i="62"/>
  <c r="BV70" i="62"/>
  <c r="BW70" i="62"/>
  <c r="BX70" i="62"/>
  <c r="BY70" i="62"/>
  <c r="BZ70" i="62"/>
  <c r="CA70" i="62"/>
  <c r="CB70" i="62"/>
  <c r="CC70" i="62"/>
  <c r="CD70" i="62"/>
  <c r="CE70" i="62"/>
  <c r="CF70" i="62"/>
  <c r="CG70" i="62"/>
  <c r="CH70" i="62"/>
  <c r="CI70" i="62"/>
  <c r="CJ70" i="62"/>
  <c r="CK70" i="62"/>
  <c r="CL70" i="62"/>
  <c r="CM70" i="62"/>
  <c r="CN70" i="62"/>
  <c r="CO70" i="62"/>
  <c r="CP70" i="62"/>
  <c r="CQ70" i="62"/>
  <c r="CR70" i="62"/>
  <c r="CS70" i="62"/>
  <c r="CT70" i="62"/>
  <c r="CU70" i="62"/>
  <c r="CV70" i="62"/>
  <c r="CW70" i="62"/>
  <c r="CX70" i="62"/>
  <c r="CY70" i="62"/>
  <c r="CZ70" i="62"/>
  <c r="DA70" i="62"/>
  <c r="DB70" i="62"/>
  <c r="DC70" i="62"/>
  <c r="DD70" i="62"/>
  <c r="DE70" i="62"/>
  <c r="DF70" i="62"/>
  <c r="DG70" i="62"/>
  <c r="DH70" i="62"/>
  <c r="DI70" i="62"/>
  <c r="DJ70" i="62"/>
  <c r="DK70" i="62"/>
  <c r="DL70" i="62"/>
  <c r="DM70" i="62"/>
  <c r="DN70" i="62"/>
  <c r="DO70" i="62"/>
  <c r="DP70" i="62"/>
  <c r="DQ70" i="62"/>
  <c r="DR70" i="62"/>
  <c r="DS70" i="62"/>
  <c r="DT70" i="62"/>
  <c r="DU70" i="62"/>
  <c r="DV70" i="62"/>
  <c r="DW70" i="62"/>
  <c r="DX70" i="62"/>
  <c r="DY70" i="62"/>
  <c r="DZ70" i="62"/>
  <c r="EA70" i="62"/>
  <c r="EB70" i="62"/>
  <c r="EC70" i="62"/>
  <c r="ED70" i="62"/>
  <c r="EE70" i="62"/>
  <c r="EF70" i="62"/>
  <c r="EG70" i="62"/>
  <c r="EH70" i="62"/>
  <c r="EI70" i="62"/>
  <c r="BR71" i="62"/>
  <c r="BS71" i="62"/>
  <c r="BT71" i="62"/>
  <c r="BU71" i="62"/>
  <c r="BV71" i="62"/>
  <c r="BW71" i="62"/>
  <c r="BX71" i="62"/>
  <c r="BY71" i="62"/>
  <c r="BZ71" i="62"/>
  <c r="CA71" i="62"/>
  <c r="CB71" i="62"/>
  <c r="CC71" i="62"/>
  <c r="CD71" i="62"/>
  <c r="CE71" i="62"/>
  <c r="CF71" i="62"/>
  <c r="CG71" i="62"/>
  <c r="CH71" i="62"/>
  <c r="CI71" i="62"/>
  <c r="CJ71" i="62"/>
  <c r="CK71" i="62"/>
  <c r="CL71" i="62"/>
  <c r="CM71" i="62"/>
  <c r="CN71" i="62"/>
  <c r="CO71" i="62"/>
  <c r="CP71" i="62"/>
  <c r="CQ71" i="62"/>
  <c r="CR71" i="62"/>
  <c r="CS71" i="62"/>
  <c r="CT71" i="62"/>
  <c r="CU71" i="62"/>
  <c r="CV71" i="62"/>
  <c r="CW71" i="62"/>
  <c r="CX71" i="62"/>
  <c r="CY71" i="62"/>
  <c r="CZ71" i="62"/>
  <c r="DA71" i="62"/>
  <c r="DB71" i="62"/>
  <c r="DC71" i="62"/>
  <c r="DD71" i="62"/>
  <c r="DE71" i="62"/>
  <c r="DF71" i="62"/>
  <c r="DG71" i="62"/>
  <c r="DH71" i="62"/>
  <c r="DI71" i="62"/>
  <c r="DJ71" i="62"/>
  <c r="DK71" i="62"/>
  <c r="DL71" i="62"/>
  <c r="DM71" i="62"/>
  <c r="DN71" i="62"/>
  <c r="DO71" i="62"/>
  <c r="DP71" i="62"/>
  <c r="DQ71" i="62"/>
  <c r="DR71" i="62"/>
  <c r="DS71" i="62"/>
  <c r="DT71" i="62"/>
  <c r="DU71" i="62"/>
  <c r="DV71" i="62"/>
  <c r="DW71" i="62"/>
  <c r="DX71" i="62"/>
  <c r="DY71" i="62"/>
  <c r="DZ71" i="62"/>
  <c r="EA71" i="62"/>
  <c r="EB71" i="62"/>
  <c r="EC71" i="62"/>
  <c r="ED71" i="62"/>
  <c r="EE71" i="62"/>
  <c r="EF71" i="62"/>
  <c r="EG71" i="62"/>
  <c r="EH71" i="62"/>
  <c r="EI71" i="62"/>
  <c r="BR72" i="62"/>
  <c r="BS72" i="62"/>
  <c r="BT72" i="62"/>
  <c r="BU72" i="62"/>
  <c r="BV72" i="62"/>
  <c r="BW72" i="62"/>
  <c r="BX72" i="62"/>
  <c r="BY72" i="62"/>
  <c r="BZ72" i="62"/>
  <c r="CA72" i="62"/>
  <c r="CB72" i="62"/>
  <c r="CC72" i="62"/>
  <c r="CD72" i="62"/>
  <c r="CE72" i="62"/>
  <c r="CF72" i="62"/>
  <c r="CG72" i="62"/>
  <c r="CH72" i="62"/>
  <c r="CI72" i="62"/>
  <c r="CJ72" i="62"/>
  <c r="CK72" i="62"/>
  <c r="CL72" i="62"/>
  <c r="CM72" i="62"/>
  <c r="CN72" i="62"/>
  <c r="CO72" i="62"/>
  <c r="CP72" i="62"/>
  <c r="CQ72" i="62"/>
  <c r="CR72" i="62"/>
  <c r="CS72" i="62"/>
  <c r="CT72" i="62"/>
  <c r="CU72" i="62"/>
  <c r="CV72" i="62"/>
  <c r="CW72" i="62"/>
  <c r="CX72" i="62"/>
  <c r="CY72" i="62"/>
  <c r="CZ72" i="62"/>
  <c r="DA72" i="62"/>
  <c r="DB72" i="62"/>
  <c r="DC72" i="62"/>
  <c r="DD72" i="62"/>
  <c r="DE72" i="62"/>
  <c r="DF72" i="62"/>
  <c r="DG72" i="62"/>
  <c r="DH72" i="62"/>
  <c r="DI72" i="62"/>
  <c r="DJ72" i="62"/>
  <c r="DK72" i="62"/>
  <c r="DL72" i="62"/>
  <c r="DM72" i="62"/>
  <c r="DN72" i="62"/>
  <c r="DO72" i="62"/>
  <c r="DP72" i="62"/>
  <c r="DQ72" i="62"/>
  <c r="DR72" i="62"/>
  <c r="DS72" i="62"/>
  <c r="DT72" i="62"/>
  <c r="DU72" i="62"/>
  <c r="DV72" i="62"/>
  <c r="DW72" i="62"/>
  <c r="DX72" i="62"/>
  <c r="DY72" i="62"/>
  <c r="DZ72" i="62"/>
  <c r="EA72" i="62"/>
  <c r="EB72" i="62"/>
  <c r="EC72" i="62"/>
  <c r="ED72" i="62"/>
  <c r="EE72" i="62"/>
  <c r="EF72" i="62"/>
  <c r="EG72" i="62"/>
  <c r="EH72" i="62"/>
  <c r="EI72" i="62"/>
  <c r="BR73" i="62"/>
  <c r="BS73" i="62"/>
  <c r="BT73" i="62"/>
  <c r="BU73" i="62"/>
  <c r="BV73" i="62"/>
  <c r="BW73" i="62"/>
  <c r="BX73" i="62"/>
  <c r="BY73" i="62"/>
  <c r="BZ73" i="62"/>
  <c r="CA73" i="62"/>
  <c r="CB73" i="62"/>
  <c r="CC73" i="62"/>
  <c r="CD73" i="62"/>
  <c r="CE73" i="62"/>
  <c r="CF73" i="62"/>
  <c r="CG73" i="62"/>
  <c r="CH73" i="62"/>
  <c r="CI73" i="62"/>
  <c r="CJ73" i="62"/>
  <c r="CK73" i="62"/>
  <c r="CL73" i="62"/>
  <c r="CM73" i="62"/>
  <c r="CN73" i="62"/>
  <c r="CO73" i="62"/>
  <c r="CP73" i="62"/>
  <c r="CQ73" i="62"/>
  <c r="CR73" i="62"/>
  <c r="CS73" i="62"/>
  <c r="CT73" i="62"/>
  <c r="CU73" i="62"/>
  <c r="CV73" i="62"/>
  <c r="CW73" i="62"/>
  <c r="CX73" i="62"/>
  <c r="CY73" i="62"/>
  <c r="CZ73" i="62"/>
  <c r="DA73" i="62"/>
  <c r="DB73" i="62"/>
  <c r="DC73" i="62"/>
  <c r="DD73" i="62"/>
  <c r="DE73" i="62"/>
  <c r="DF73" i="62"/>
  <c r="DG73" i="62"/>
  <c r="DH73" i="62"/>
  <c r="DI73" i="62"/>
  <c r="DJ73" i="62"/>
  <c r="DK73" i="62"/>
  <c r="DL73" i="62"/>
  <c r="DM73" i="62"/>
  <c r="DN73" i="62"/>
  <c r="DO73" i="62"/>
  <c r="DP73" i="62"/>
  <c r="DQ73" i="62"/>
  <c r="DR73" i="62"/>
  <c r="DS73" i="62"/>
  <c r="DT73" i="62"/>
  <c r="DU73" i="62"/>
  <c r="DV73" i="62"/>
  <c r="DW73" i="62"/>
  <c r="DX73" i="62"/>
  <c r="DY73" i="62"/>
  <c r="DZ73" i="62"/>
  <c r="EA73" i="62"/>
  <c r="EB73" i="62"/>
  <c r="EC73" i="62"/>
  <c r="ED73" i="62"/>
  <c r="EE73" i="62"/>
  <c r="EF73" i="62"/>
  <c r="EG73" i="62"/>
  <c r="EH73" i="62"/>
  <c r="EI73" i="62"/>
  <c r="EI26" i="62"/>
  <c r="EH26" i="62"/>
  <c r="EG26" i="62"/>
  <c r="EF26" i="62"/>
  <c r="EE26" i="62"/>
  <c r="ED26" i="62"/>
  <c r="EC26" i="62"/>
  <c r="EB26" i="62"/>
  <c r="EA26" i="62"/>
  <c r="DZ26" i="62"/>
  <c r="DY26" i="62"/>
  <c r="DX26" i="62"/>
  <c r="DW26" i="62"/>
  <c r="DV26" i="62"/>
  <c r="DU26" i="62"/>
  <c r="DT26" i="62"/>
  <c r="DS26" i="62"/>
  <c r="DR26" i="62"/>
  <c r="DQ26" i="62"/>
  <c r="DP26" i="62"/>
  <c r="DO26" i="62"/>
  <c r="DN26" i="62"/>
  <c r="DM26" i="62"/>
  <c r="DL26" i="62"/>
  <c r="DK26" i="62"/>
  <c r="DJ26" i="62"/>
  <c r="DI26" i="62"/>
  <c r="DH26" i="62"/>
  <c r="DG26" i="62"/>
  <c r="DF26" i="62"/>
  <c r="DE26" i="62"/>
  <c r="DD26" i="62"/>
  <c r="DC26" i="62"/>
  <c r="DB26" i="62"/>
  <c r="DA26" i="62"/>
  <c r="CZ26" i="62"/>
  <c r="CY26" i="62"/>
  <c r="CX26" i="62"/>
  <c r="CW26" i="62"/>
  <c r="CV26" i="62"/>
  <c r="CU26" i="62"/>
  <c r="CT26" i="62"/>
  <c r="CS26" i="62"/>
  <c r="CR26" i="62"/>
  <c r="CQ26" i="62"/>
  <c r="CP26" i="62"/>
  <c r="CO26" i="62"/>
  <c r="CN26" i="62"/>
  <c r="CM26" i="62"/>
  <c r="CL26" i="62"/>
  <c r="CK26" i="62"/>
  <c r="CJ26" i="62"/>
  <c r="CI26" i="62"/>
  <c r="CH26" i="62"/>
  <c r="CG26" i="62"/>
  <c r="CF26" i="62"/>
  <c r="CE26" i="62"/>
  <c r="CD26" i="62"/>
  <c r="CC26" i="62"/>
  <c r="CB26" i="62"/>
  <c r="CA26" i="62"/>
  <c r="BZ26" i="62"/>
  <c r="BY26" i="62"/>
  <c r="BX26" i="62"/>
  <c r="BW26" i="62"/>
  <c r="BV26" i="62"/>
  <c r="BU26" i="62"/>
  <c r="BT26" i="62"/>
  <c r="BS26" i="62"/>
  <c r="BR26" i="62"/>
  <c r="DO13" i="62"/>
  <c r="DP13" i="62"/>
  <c r="DQ13" i="62"/>
  <c r="DR13" i="62"/>
  <c r="DS13" i="62"/>
  <c r="DT13" i="62"/>
  <c r="DU13" i="62"/>
  <c r="DV13" i="62"/>
  <c r="DW13" i="62"/>
  <c r="DX13" i="62"/>
  <c r="DY13" i="62"/>
  <c r="DZ13" i="62"/>
  <c r="EA13" i="62"/>
  <c r="EB13" i="62"/>
  <c r="EC13" i="62"/>
  <c r="ED13" i="62"/>
  <c r="EE13" i="62"/>
  <c r="EF13" i="62"/>
  <c r="EG13" i="62"/>
  <c r="EH13" i="62"/>
  <c r="EI13" i="62"/>
  <c r="DM13" i="62"/>
  <c r="DN13" i="62"/>
  <c r="DE13" i="62"/>
  <c r="DF13" i="62"/>
  <c r="DG13" i="62"/>
  <c r="DH13" i="62"/>
  <c r="DI13" i="62"/>
  <c r="DJ13" i="62"/>
  <c r="DK13" i="62"/>
  <c r="DL13" i="62"/>
  <c r="CP13" i="62"/>
  <c r="CQ13" i="62"/>
  <c r="CR13" i="62"/>
  <c r="CS13" i="62"/>
  <c r="CT13" i="62"/>
  <c r="CU13" i="62"/>
  <c r="CV13" i="62"/>
  <c r="CW13" i="62"/>
  <c r="CX13" i="62"/>
  <c r="CY13" i="62"/>
  <c r="CZ13" i="62"/>
  <c r="DA13" i="62"/>
  <c r="DB13" i="62"/>
  <c r="DC13" i="62"/>
  <c r="DD13" i="62"/>
  <c r="CJ13" i="62"/>
  <c r="CK13" i="62"/>
  <c r="CL13" i="62"/>
  <c r="CM13" i="62"/>
  <c r="CN13" i="62"/>
  <c r="CO13" i="62"/>
  <c r="CB13" i="62"/>
  <c r="CC13" i="62"/>
  <c r="CD13" i="62"/>
  <c r="CE13" i="62"/>
  <c r="CF13" i="62"/>
  <c r="CG13" i="62"/>
  <c r="CH13" i="62"/>
  <c r="CI13" i="62"/>
  <c r="CA13" i="62"/>
  <c r="BZ13" i="62"/>
  <c r="BY13" i="62"/>
  <c r="BX13" i="62"/>
  <c r="BW13" i="62"/>
  <c r="BV13" i="62"/>
  <c r="BU13" i="62"/>
  <c r="BT13" i="62"/>
  <c r="BS13" i="62"/>
  <c r="BR13" i="62"/>
  <c r="L11" i="61"/>
  <c r="L16" i="61"/>
  <c r="L19" i="61"/>
  <c r="CO45" i="59"/>
  <c r="CP45" i="59"/>
  <c r="CQ45" i="59"/>
  <c r="CR45" i="59"/>
  <c r="CS45" i="59"/>
  <c r="CT45" i="59"/>
  <c r="CU45" i="59"/>
  <c r="CV45" i="59"/>
  <c r="CW45" i="59"/>
  <c r="CX45" i="59"/>
  <c r="CY45" i="59"/>
  <c r="CZ45" i="59"/>
  <c r="DA45" i="59"/>
  <c r="DB45" i="59"/>
  <c r="DC45" i="59"/>
  <c r="DD45" i="59"/>
  <c r="DE45" i="59"/>
  <c r="DF45" i="59"/>
  <c r="DG45" i="59"/>
  <c r="DH45" i="59"/>
  <c r="DI45" i="59"/>
  <c r="DJ45" i="59"/>
  <c r="DK45" i="59"/>
  <c r="DL45" i="59"/>
  <c r="DM45" i="59"/>
  <c r="DN45" i="59"/>
  <c r="DO45" i="59"/>
  <c r="CO48" i="59"/>
  <c r="CP48" i="59"/>
  <c r="CQ48" i="59"/>
  <c r="CR48" i="59"/>
  <c r="CS48" i="59"/>
  <c r="CT48" i="59"/>
  <c r="CU48" i="59"/>
  <c r="CV48" i="59"/>
  <c r="CW48" i="59"/>
  <c r="CX48" i="59"/>
  <c r="CY48" i="59"/>
  <c r="CZ48" i="59"/>
  <c r="DA48" i="59"/>
  <c r="DB48" i="59"/>
  <c r="DC48" i="59"/>
  <c r="DD48" i="59"/>
  <c r="DE48" i="59"/>
  <c r="DF48" i="59"/>
  <c r="DG48" i="59"/>
  <c r="DH48" i="59"/>
  <c r="DI48" i="59"/>
  <c r="DJ48" i="59"/>
  <c r="DK48" i="59"/>
  <c r="DL48" i="59"/>
  <c r="DM48" i="59"/>
  <c r="DN48" i="59"/>
  <c r="DO48" i="59"/>
  <c r="CO49" i="59"/>
  <c r="CP49" i="59"/>
  <c r="CQ49" i="59"/>
  <c r="CR49" i="59"/>
  <c r="CS49" i="59"/>
  <c r="CT49" i="59"/>
  <c r="CU49" i="59"/>
  <c r="CV49" i="59"/>
  <c r="CW49" i="59"/>
  <c r="CX49" i="59"/>
  <c r="CY49" i="59"/>
  <c r="CZ49" i="59"/>
  <c r="DA49" i="59"/>
  <c r="DB49" i="59"/>
  <c r="DC49" i="59"/>
  <c r="DD49" i="59"/>
  <c r="DE49" i="59"/>
  <c r="DF49" i="59"/>
  <c r="DG49" i="59"/>
  <c r="DH49" i="59"/>
  <c r="DI49" i="59"/>
  <c r="DJ49" i="59"/>
  <c r="DK49" i="59"/>
  <c r="DL49" i="59"/>
  <c r="DM49" i="59"/>
  <c r="DN49" i="59"/>
  <c r="DO49" i="59"/>
  <c r="CO50" i="59"/>
  <c r="CP50" i="59"/>
  <c r="CQ50" i="59"/>
  <c r="CR50" i="59"/>
  <c r="CS50" i="59"/>
  <c r="CT50" i="59"/>
  <c r="CU50" i="59"/>
  <c r="CV50" i="59"/>
  <c r="CW50" i="59"/>
  <c r="CX50" i="59"/>
  <c r="CY50" i="59"/>
  <c r="CZ50" i="59"/>
  <c r="DA50" i="59"/>
  <c r="DB50" i="59"/>
  <c r="DC50" i="59"/>
  <c r="DD50" i="59"/>
  <c r="DE50" i="59"/>
  <c r="DF50" i="59"/>
  <c r="DG50" i="59"/>
  <c r="DH50" i="59"/>
  <c r="DI50" i="59"/>
  <c r="DJ50" i="59"/>
  <c r="DK50" i="59"/>
  <c r="DL50" i="59"/>
  <c r="DM50" i="59"/>
  <c r="DN50" i="59"/>
  <c r="DO50" i="59"/>
  <c r="CO51" i="59"/>
  <c r="CP51" i="59"/>
  <c r="CQ51" i="59"/>
  <c r="CR51" i="59"/>
  <c r="CS51" i="59"/>
  <c r="CT51" i="59"/>
  <c r="CU51" i="59"/>
  <c r="CV51" i="59"/>
  <c r="CW51" i="59"/>
  <c r="CX51" i="59"/>
  <c r="CY51" i="59"/>
  <c r="CZ51" i="59"/>
  <c r="DA51" i="59"/>
  <c r="DB51" i="59"/>
  <c r="DC51" i="59"/>
  <c r="DD51" i="59"/>
  <c r="DE51" i="59"/>
  <c r="DF51" i="59"/>
  <c r="DG51" i="59"/>
  <c r="DH51" i="59"/>
  <c r="DI51" i="59"/>
  <c r="DJ51" i="59"/>
  <c r="DK51" i="59"/>
  <c r="DL51" i="59"/>
  <c r="DM51" i="59"/>
  <c r="DN51" i="59"/>
  <c r="DO51" i="59"/>
  <c r="CO52" i="59"/>
  <c r="CP52" i="59"/>
  <c r="CQ52" i="59"/>
  <c r="CR52" i="59"/>
  <c r="CS52" i="59"/>
  <c r="CT52" i="59"/>
  <c r="CU52" i="59"/>
  <c r="CV52" i="59"/>
  <c r="CW52" i="59"/>
  <c r="CX52" i="59"/>
  <c r="CY52" i="59"/>
  <c r="CZ52" i="59"/>
  <c r="DA52" i="59"/>
  <c r="DB52" i="59"/>
  <c r="DC52" i="59"/>
  <c r="DD52" i="59"/>
  <c r="DE52" i="59"/>
  <c r="DF52" i="59"/>
  <c r="DG52" i="59"/>
  <c r="DH52" i="59"/>
  <c r="DI52" i="59"/>
  <c r="DJ52" i="59"/>
  <c r="DK52" i="59"/>
  <c r="DL52" i="59"/>
  <c r="DM52" i="59"/>
  <c r="DN52" i="59"/>
  <c r="DO52" i="59"/>
  <c r="CO53" i="59"/>
  <c r="CP53" i="59"/>
  <c r="CQ53" i="59"/>
  <c r="CR53" i="59"/>
  <c r="CS53" i="59"/>
  <c r="CT53" i="59"/>
  <c r="CU53" i="59"/>
  <c r="CV53" i="59"/>
  <c r="CW53" i="59"/>
  <c r="CX53" i="59"/>
  <c r="CY53" i="59"/>
  <c r="CZ53" i="59"/>
  <c r="DA53" i="59"/>
  <c r="DB53" i="59"/>
  <c r="DC53" i="59"/>
  <c r="DD53" i="59"/>
  <c r="DE53" i="59"/>
  <c r="DF53" i="59"/>
  <c r="DG53" i="59"/>
  <c r="DH53" i="59"/>
  <c r="DI53" i="59"/>
  <c r="DJ53" i="59"/>
  <c r="DK53" i="59"/>
  <c r="DL53" i="59"/>
  <c r="DM53" i="59"/>
  <c r="DN53" i="59"/>
  <c r="DO53" i="59"/>
  <c r="CO54" i="59"/>
  <c r="CP54" i="59"/>
  <c r="CQ54" i="59"/>
  <c r="CR54" i="59"/>
  <c r="CS54" i="59"/>
  <c r="CT54" i="59"/>
  <c r="CU54" i="59"/>
  <c r="CV54" i="59"/>
  <c r="CW54" i="59"/>
  <c r="CX54" i="59"/>
  <c r="CY54" i="59"/>
  <c r="CZ54" i="59"/>
  <c r="DA54" i="59"/>
  <c r="DB54" i="59"/>
  <c r="DC54" i="59"/>
  <c r="DD54" i="59"/>
  <c r="DE54" i="59"/>
  <c r="DF54" i="59"/>
  <c r="DG54" i="59"/>
  <c r="DH54" i="59"/>
  <c r="DI54" i="59"/>
  <c r="DJ54" i="59"/>
  <c r="DK54" i="59"/>
  <c r="DL54" i="59"/>
  <c r="DM54" i="59"/>
  <c r="DN54" i="59"/>
  <c r="DO54" i="59"/>
  <c r="CO55" i="59"/>
  <c r="CP55" i="59"/>
  <c r="CQ55" i="59"/>
  <c r="CR55" i="59"/>
  <c r="CS55" i="59"/>
  <c r="CT55" i="59"/>
  <c r="CU55" i="59"/>
  <c r="CV55" i="59"/>
  <c r="CW55" i="59"/>
  <c r="CX55" i="59"/>
  <c r="CY55" i="59"/>
  <c r="CZ55" i="59"/>
  <c r="DA55" i="59"/>
  <c r="DB55" i="59"/>
  <c r="DC55" i="59"/>
  <c r="DD55" i="59"/>
  <c r="DE55" i="59"/>
  <c r="DF55" i="59"/>
  <c r="DG55" i="59"/>
  <c r="DH55" i="59"/>
  <c r="DI55" i="59"/>
  <c r="DJ55" i="59"/>
  <c r="DK55" i="59"/>
  <c r="DL55" i="59"/>
  <c r="DM55" i="59"/>
  <c r="DN55" i="59"/>
  <c r="DO55" i="59"/>
  <c r="CO56" i="59"/>
  <c r="CP56" i="59"/>
  <c r="CQ56" i="59"/>
  <c r="CR56" i="59"/>
  <c r="CS56" i="59"/>
  <c r="CT56" i="59"/>
  <c r="CU56" i="59"/>
  <c r="CV56" i="59"/>
  <c r="CW56" i="59"/>
  <c r="CX56" i="59"/>
  <c r="CY56" i="59"/>
  <c r="CZ56" i="59"/>
  <c r="DA56" i="59"/>
  <c r="DB56" i="59"/>
  <c r="DC56" i="59"/>
  <c r="DD56" i="59"/>
  <c r="DE56" i="59"/>
  <c r="DF56" i="59"/>
  <c r="DG56" i="59"/>
  <c r="DH56" i="59"/>
  <c r="DI56" i="59"/>
  <c r="DJ56" i="59"/>
  <c r="DK56" i="59"/>
  <c r="DL56" i="59"/>
  <c r="DM56" i="59"/>
  <c r="DN56" i="59"/>
  <c r="DO56" i="59"/>
  <c r="CO57" i="59"/>
  <c r="CP57" i="59"/>
  <c r="CQ57" i="59"/>
  <c r="CR57" i="59"/>
  <c r="CS57" i="59"/>
  <c r="CT57" i="59"/>
  <c r="CU57" i="59"/>
  <c r="CV57" i="59"/>
  <c r="CW57" i="59"/>
  <c r="CX57" i="59"/>
  <c r="CY57" i="59"/>
  <c r="CZ57" i="59"/>
  <c r="DA57" i="59"/>
  <c r="DB57" i="59"/>
  <c r="DC57" i="59"/>
  <c r="DD57" i="59"/>
  <c r="DE57" i="59"/>
  <c r="DF57" i="59"/>
  <c r="DG57" i="59"/>
  <c r="DH57" i="59"/>
  <c r="DI57" i="59"/>
  <c r="DJ57" i="59"/>
  <c r="DK57" i="59"/>
  <c r="DL57" i="59"/>
  <c r="DM57" i="59"/>
  <c r="DN57" i="59"/>
  <c r="DO57" i="59"/>
  <c r="CO58" i="59"/>
  <c r="CP58" i="59"/>
  <c r="CQ58" i="59"/>
  <c r="CR58" i="59"/>
  <c r="CS58" i="59"/>
  <c r="CT58" i="59"/>
  <c r="CU58" i="59"/>
  <c r="CV58" i="59"/>
  <c r="CW58" i="59"/>
  <c r="CX58" i="59"/>
  <c r="CY58" i="59"/>
  <c r="CZ58" i="59"/>
  <c r="DA58" i="59"/>
  <c r="DB58" i="59"/>
  <c r="DC58" i="59"/>
  <c r="DD58" i="59"/>
  <c r="DE58" i="59"/>
  <c r="DF58" i="59"/>
  <c r="DG58" i="59"/>
  <c r="DH58" i="59"/>
  <c r="DI58" i="59"/>
  <c r="DJ58" i="59"/>
  <c r="DK58" i="59"/>
  <c r="DL58" i="59"/>
  <c r="DM58" i="59"/>
  <c r="DN58" i="59"/>
  <c r="DO58" i="59"/>
  <c r="CO59" i="59"/>
  <c r="CP59" i="59"/>
  <c r="CQ59" i="59"/>
  <c r="CR59" i="59"/>
  <c r="CS59" i="59"/>
  <c r="CT59" i="59"/>
  <c r="CU59" i="59"/>
  <c r="CV59" i="59"/>
  <c r="CW59" i="59"/>
  <c r="CX59" i="59"/>
  <c r="CY59" i="59"/>
  <c r="CZ59" i="59"/>
  <c r="DA59" i="59"/>
  <c r="DB59" i="59"/>
  <c r="DC59" i="59"/>
  <c r="DD59" i="59"/>
  <c r="DE59" i="59"/>
  <c r="DF59" i="59"/>
  <c r="DG59" i="59"/>
  <c r="DH59" i="59"/>
  <c r="DI59" i="59"/>
  <c r="DJ59" i="59"/>
  <c r="DK59" i="59"/>
  <c r="DL59" i="59"/>
  <c r="DM59" i="59"/>
  <c r="DN59" i="59"/>
  <c r="DO59" i="59"/>
  <c r="CO60" i="59"/>
  <c r="CP60" i="59"/>
  <c r="CQ60" i="59"/>
  <c r="CR60" i="59"/>
  <c r="CS60" i="59"/>
  <c r="CT60" i="59"/>
  <c r="CU60" i="59"/>
  <c r="CV60" i="59"/>
  <c r="CW60" i="59"/>
  <c r="CX60" i="59"/>
  <c r="CY60" i="59"/>
  <c r="CZ60" i="59"/>
  <c r="DA60" i="59"/>
  <c r="DB60" i="59"/>
  <c r="DC60" i="59"/>
  <c r="DD60" i="59"/>
  <c r="DE60" i="59"/>
  <c r="DF60" i="59"/>
  <c r="DG60" i="59"/>
  <c r="DH60" i="59"/>
  <c r="DI60" i="59"/>
  <c r="DJ60" i="59"/>
  <c r="DK60" i="59"/>
  <c r="DL60" i="59"/>
  <c r="DM60" i="59"/>
  <c r="DN60" i="59"/>
  <c r="DO60" i="59"/>
  <c r="CO61" i="59"/>
  <c r="CP61" i="59"/>
  <c r="CQ61" i="59"/>
  <c r="CR61" i="59"/>
  <c r="CS61" i="59"/>
  <c r="CT61" i="59"/>
  <c r="CU61" i="59"/>
  <c r="CV61" i="59"/>
  <c r="CW61" i="59"/>
  <c r="CX61" i="59"/>
  <c r="CY61" i="59"/>
  <c r="CZ61" i="59"/>
  <c r="DA61" i="59"/>
  <c r="DB61" i="59"/>
  <c r="DC61" i="59"/>
  <c r="DD61" i="59"/>
  <c r="DE61" i="59"/>
  <c r="DF61" i="59"/>
  <c r="DG61" i="59"/>
  <c r="DH61" i="59"/>
  <c r="DI61" i="59"/>
  <c r="DJ61" i="59"/>
  <c r="DK61" i="59"/>
  <c r="DL61" i="59"/>
  <c r="DM61" i="59"/>
  <c r="DN61" i="59"/>
  <c r="DO61" i="59"/>
  <c r="CO62" i="59"/>
  <c r="CP62" i="59"/>
  <c r="CQ62" i="59"/>
  <c r="CR62" i="59"/>
  <c r="CS62" i="59"/>
  <c r="CT62" i="59"/>
  <c r="CU62" i="59"/>
  <c r="CV62" i="59"/>
  <c r="CW62" i="59"/>
  <c r="CX62" i="59"/>
  <c r="CY62" i="59"/>
  <c r="CZ62" i="59"/>
  <c r="DA62" i="59"/>
  <c r="DB62" i="59"/>
  <c r="DC62" i="59"/>
  <c r="DD62" i="59"/>
  <c r="DE62" i="59"/>
  <c r="DF62" i="59"/>
  <c r="DG62" i="59"/>
  <c r="DH62" i="59"/>
  <c r="DI62" i="59"/>
  <c r="DJ62" i="59"/>
  <c r="DK62" i="59"/>
  <c r="DL62" i="59"/>
  <c r="DM62" i="59"/>
  <c r="DN62" i="59"/>
  <c r="DO62" i="59"/>
  <c r="CO63" i="59"/>
  <c r="CP63" i="59"/>
  <c r="CQ63" i="59"/>
  <c r="CR63" i="59"/>
  <c r="CS63" i="59"/>
  <c r="CT63" i="59"/>
  <c r="CU63" i="59"/>
  <c r="CV63" i="59"/>
  <c r="CW63" i="59"/>
  <c r="CX63" i="59"/>
  <c r="CY63" i="59"/>
  <c r="CZ63" i="59"/>
  <c r="DA63" i="59"/>
  <c r="DB63" i="59"/>
  <c r="DC63" i="59"/>
  <c r="DD63" i="59"/>
  <c r="DE63" i="59"/>
  <c r="DF63" i="59"/>
  <c r="DG63" i="59"/>
  <c r="DH63" i="59"/>
  <c r="DI63" i="59"/>
  <c r="DJ63" i="59"/>
  <c r="DK63" i="59"/>
  <c r="DL63" i="59"/>
  <c r="DM63" i="59"/>
  <c r="DN63" i="59"/>
  <c r="DO63" i="59"/>
  <c r="CO64" i="59"/>
  <c r="CP64" i="59"/>
  <c r="CQ64" i="59"/>
  <c r="CR64" i="59"/>
  <c r="CS64" i="59"/>
  <c r="CT64" i="59"/>
  <c r="CU64" i="59"/>
  <c r="CV64" i="59"/>
  <c r="CW64" i="59"/>
  <c r="CX64" i="59"/>
  <c r="CY64" i="59"/>
  <c r="CZ64" i="59"/>
  <c r="DA64" i="59"/>
  <c r="DB64" i="59"/>
  <c r="DC64" i="59"/>
  <c r="DD64" i="59"/>
  <c r="DE64" i="59"/>
  <c r="DF64" i="59"/>
  <c r="DG64" i="59"/>
  <c r="DH64" i="59"/>
  <c r="DI64" i="59"/>
  <c r="DJ64" i="59"/>
  <c r="DK64" i="59"/>
  <c r="DL64" i="59"/>
  <c r="DM64" i="59"/>
  <c r="DN64" i="59"/>
  <c r="DO64" i="59"/>
  <c r="CO65" i="59"/>
  <c r="CP65" i="59"/>
  <c r="CQ65" i="59"/>
  <c r="CR65" i="59"/>
  <c r="CS65" i="59"/>
  <c r="CT65" i="59"/>
  <c r="CU65" i="59"/>
  <c r="CV65" i="59"/>
  <c r="CW65" i="59"/>
  <c r="CX65" i="59"/>
  <c r="CY65" i="59"/>
  <c r="CZ65" i="59"/>
  <c r="DA65" i="59"/>
  <c r="DB65" i="59"/>
  <c r="DC65" i="59"/>
  <c r="DD65" i="59"/>
  <c r="DE65" i="59"/>
  <c r="DF65" i="59"/>
  <c r="DG65" i="59"/>
  <c r="DH65" i="59"/>
  <c r="DI65" i="59"/>
  <c r="DJ65" i="59"/>
  <c r="DK65" i="59"/>
  <c r="DL65" i="59"/>
  <c r="DM65" i="59"/>
  <c r="DN65" i="59"/>
  <c r="DO65" i="59"/>
  <c r="CO66" i="59"/>
  <c r="CP66" i="59"/>
  <c r="CQ66" i="59"/>
  <c r="CR66" i="59"/>
  <c r="CS66" i="59"/>
  <c r="CT66" i="59"/>
  <c r="CU66" i="59"/>
  <c r="CV66" i="59"/>
  <c r="CW66" i="59"/>
  <c r="CX66" i="59"/>
  <c r="CY66" i="59"/>
  <c r="CZ66" i="59"/>
  <c r="DA66" i="59"/>
  <c r="DB66" i="59"/>
  <c r="DC66" i="59"/>
  <c r="DD66" i="59"/>
  <c r="DE66" i="59"/>
  <c r="DF66" i="59"/>
  <c r="DG66" i="59"/>
  <c r="DH66" i="59"/>
  <c r="DI66" i="59"/>
  <c r="DJ66" i="59"/>
  <c r="DK66" i="59"/>
  <c r="DL66" i="59"/>
  <c r="DM66" i="59"/>
  <c r="DN66" i="59"/>
  <c r="DO66" i="59"/>
  <c r="AO45" i="59"/>
  <c r="AP45" i="59"/>
  <c r="AQ45" i="59"/>
  <c r="AR45" i="59"/>
  <c r="AS45" i="59"/>
  <c r="AT45" i="59"/>
  <c r="AU45" i="59"/>
  <c r="AV45" i="59"/>
  <c r="AW45" i="59"/>
  <c r="AX45" i="59"/>
  <c r="AY45" i="59"/>
  <c r="AZ45" i="59"/>
  <c r="BA45" i="59"/>
  <c r="BB45" i="59"/>
  <c r="BC45" i="59"/>
  <c r="BD45" i="59"/>
  <c r="BE45" i="59"/>
  <c r="BF45" i="59"/>
  <c r="BG45" i="59"/>
  <c r="BH45" i="59"/>
  <c r="BI45" i="59"/>
  <c r="BJ45" i="59"/>
  <c r="BK45" i="59"/>
  <c r="BL45" i="59"/>
  <c r="BM45" i="59"/>
  <c r="BN45" i="59"/>
  <c r="BO45" i="59"/>
  <c r="BP45" i="59"/>
  <c r="BQ45" i="59"/>
  <c r="BR45" i="59"/>
  <c r="BS45" i="59"/>
  <c r="BT45" i="59"/>
  <c r="BU45" i="59"/>
  <c r="BV45" i="59"/>
  <c r="BW45" i="59"/>
  <c r="BX45" i="59"/>
  <c r="BY45" i="59"/>
  <c r="BZ45" i="59"/>
  <c r="CA45" i="59"/>
  <c r="CB45" i="59"/>
  <c r="CC45" i="59"/>
  <c r="CD45" i="59"/>
  <c r="CE45" i="59"/>
  <c r="CF45" i="59"/>
  <c r="CG45" i="59"/>
  <c r="CH45" i="59"/>
  <c r="CI45" i="59"/>
  <c r="CJ45" i="59"/>
  <c r="AO48" i="59"/>
  <c r="AP48" i="59"/>
  <c r="AQ48" i="59"/>
  <c r="AR48" i="59"/>
  <c r="AS48" i="59"/>
  <c r="AT48" i="59"/>
  <c r="AU48" i="59"/>
  <c r="AV48" i="59"/>
  <c r="AW48" i="59"/>
  <c r="AX48" i="59"/>
  <c r="AY48" i="59"/>
  <c r="AZ48" i="59"/>
  <c r="BA48" i="59"/>
  <c r="BB48" i="59"/>
  <c r="BC48" i="59"/>
  <c r="BD48" i="59"/>
  <c r="BE48" i="59"/>
  <c r="BF48" i="59"/>
  <c r="BG48" i="59"/>
  <c r="BH48" i="59"/>
  <c r="BI48" i="59"/>
  <c r="BJ48" i="59"/>
  <c r="BK48" i="59"/>
  <c r="BL48" i="59"/>
  <c r="BM48" i="59"/>
  <c r="BN48" i="59"/>
  <c r="BO48" i="59"/>
  <c r="BP48" i="59"/>
  <c r="BQ48" i="59"/>
  <c r="BR48" i="59"/>
  <c r="BS48" i="59"/>
  <c r="BT48" i="59"/>
  <c r="BU48" i="59"/>
  <c r="BV48" i="59"/>
  <c r="BW48" i="59"/>
  <c r="BX48" i="59"/>
  <c r="BY48" i="59"/>
  <c r="BZ48" i="59"/>
  <c r="CA48" i="59"/>
  <c r="CB48" i="59"/>
  <c r="CC48" i="59"/>
  <c r="CD48" i="59"/>
  <c r="CE48" i="59"/>
  <c r="CF48" i="59"/>
  <c r="CG48" i="59"/>
  <c r="CH48" i="59"/>
  <c r="CI48" i="59"/>
  <c r="CJ48" i="59"/>
  <c r="AO49" i="59"/>
  <c r="AP49" i="59"/>
  <c r="AQ49" i="59"/>
  <c r="AR49" i="59"/>
  <c r="AS49" i="59"/>
  <c r="AT49" i="59"/>
  <c r="AU49" i="59"/>
  <c r="AV49" i="59"/>
  <c r="AW49" i="59"/>
  <c r="AX49" i="59"/>
  <c r="AY49" i="59"/>
  <c r="AZ49" i="59"/>
  <c r="BA49" i="59"/>
  <c r="BB49" i="59"/>
  <c r="BC49" i="59"/>
  <c r="BD49" i="59"/>
  <c r="BE49" i="59"/>
  <c r="BF49" i="59"/>
  <c r="BG49" i="59"/>
  <c r="BH49" i="59"/>
  <c r="BI49" i="59"/>
  <c r="BJ49" i="59"/>
  <c r="BK49" i="59"/>
  <c r="BL49" i="59"/>
  <c r="BM49" i="59"/>
  <c r="BN49" i="59"/>
  <c r="BO49" i="59"/>
  <c r="BP49" i="59"/>
  <c r="BQ49" i="59"/>
  <c r="BR49" i="59"/>
  <c r="BS49" i="59"/>
  <c r="BT49" i="59"/>
  <c r="BU49" i="59"/>
  <c r="BV49" i="59"/>
  <c r="BW49" i="59"/>
  <c r="BX49" i="59"/>
  <c r="BY49" i="59"/>
  <c r="BZ49" i="59"/>
  <c r="CA49" i="59"/>
  <c r="CB49" i="59"/>
  <c r="CC49" i="59"/>
  <c r="CD49" i="59"/>
  <c r="CE49" i="59"/>
  <c r="CF49" i="59"/>
  <c r="CG49" i="59"/>
  <c r="CH49" i="59"/>
  <c r="CI49" i="59"/>
  <c r="CJ49" i="59"/>
  <c r="AO50" i="59"/>
  <c r="AP50" i="59"/>
  <c r="AQ50" i="59"/>
  <c r="AR50" i="59"/>
  <c r="AS50" i="59"/>
  <c r="AT50" i="59"/>
  <c r="AU50" i="59"/>
  <c r="AV50" i="59"/>
  <c r="AW50" i="59"/>
  <c r="AX50" i="59"/>
  <c r="AY50" i="59"/>
  <c r="AZ50" i="59"/>
  <c r="BA50" i="59"/>
  <c r="BB50" i="59"/>
  <c r="BC50" i="59"/>
  <c r="BD50" i="59"/>
  <c r="BE50" i="59"/>
  <c r="BF50" i="59"/>
  <c r="BG50" i="59"/>
  <c r="BH50" i="59"/>
  <c r="BI50" i="59"/>
  <c r="BJ50" i="59"/>
  <c r="BK50" i="59"/>
  <c r="BL50" i="59"/>
  <c r="BM50" i="59"/>
  <c r="BN50" i="59"/>
  <c r="BO50" i="59"/>
  <c r="BP50" i="59"/>
  <c r="BQ50" i="59"/>
  <c r="BR50" i="59"/>
  <c r="BS50" i="59"/>
  <c r="BT50" i="59"/>
  <c r="BU50" i="59"/>
  <c r="BV50" i="59"/>
  <c r="BW50" i="59"/>
  <c r="BX50" i="59"/>
  <c r="BY50" i="59"/>
  <c r="BZ50" i="59"/>
  <c r="CA50" i="59"/>
  <c r="CB50" i="59"/>
  <c r="CC50" i="59"/>
  <c r="CD50" i="59"/>
  <c r="CE50" i="59"/>
  <c r="CF50" i="59"/>
  <c r="CG50" i="59"/>
  <c r="CH50" i="59"/>
  <c r="CI50" i="59"/>
  <c r="CJ50" i="59"/>
  <c r="AO51" i="59"/>
  <c r="AP51" i="59"/>
  <c r="AQ51" i="59"/>
  <c r="AR51" i="59"/>
  <c r="AS51" i="59"/>
  <c r="AT51" i="59"/>
  <c r="AU51" i="59"/>
  <c r="AV51" i="59"/>
  <c r="AW51" i="59"/>
  <c r="AX51" i="59"/>
  <c r="AY51" i="59"/>
  <c r="AZ51" i="59"/>
  <c r="BA51" i="59"/>
  <c r="BB51" i="59"/>
  <c r="BC51" i="59"/>
  <c r="BD51" i="59"/>
  <c r="BE51" i="59"/>
  <c r="BF51" i="59"/>
  <c r="BG51" i="59"/>
  <c r="BH51" i="59"/>
  <c r="BI51" i="59"/>
  <c r="BJ51" i="59"/>
  <c r="BK51" i="59"/>
  <c r="BL51" i="59"/>
  <c r="BM51" i="59"/>
  <c r="BN51" i="59"/>
  <c r="BO51" i="59"/>
  <c r="BP51" i="59"/>
  <c r="BQ51" i="59"/>
  <c r="BR51" i="59"/>
  <c r="BS51" i="59"/>
  <c r="BT51" i="59"/>
  <c r="BU51" i="59"/>
  <c r="BV51" i="59"/>
  <c r="BW51" i="59"/>
  <c r="BX51" i="59"/>
  <c r="BY51" i="59"/>
  <c r="BZ51" i="59"/>
  <c r="CA51" i="59"/>
  <c r="CB51" i="59"/>
  <c r="CC51" i="59"/>
  <c r="CD51" i="59"/>
  <c r="CE51" i="59"/>
  <c r="CF51" i="59"/>
  <c r="CG51" i="59"/>
  <c r="CH51" i="59"/>
  <c r="CI51" i="59"/>
  <c r="CJ51" i="59"/>
  <c r="AO52" i="59"/>
  <c r="AP52" i="59"/>
  <c r="AQ52" i="59"/>
  <c r="AR52" i="59"/>
  <c r="AS52" i="59"/>
  <c r="AT52" i="59"/>
  <c r="AU52" i="59"/>
  <c r="AV52" i="59"/>
  <c r="AW52" i="59"/>
  <c r="AX52" i="59"/>
  <c r="AY52" i="59"/>
  <c r="AZ52" i="59"/>
  <c r="BA52" i="59"/>
  <c r="BB52" i="59"/>
  <c r="BC52" i="59"/>
  <c r="BD52" i="59"/>
  <c r="BE52" i="59"/>
  <c r="BF52" i="59"/>
  <c r="BG52" i="59"/>
  <c r="BH52" i="59"/>
  <c r="BI52" i="59"/>
  <c r="BJ52" i="59"/>
  <c r="BK52" i="59"/>
  <c r="BL52" i="59"/>
  <c r="BM52" i="59"/>
  <c r="BN52" i="59"/>
  <c r="BO52" i="59"/>
  <c r="BP52" i="59"/>
  <c r="BQ52" i="59"/>
  <c r="BR52" i="59"/>
  <c r="BS52" i="59"/>
  <c r="BT52" i="59"/>
  <c r="BU52" i="59"/>
  <c r="BV52" i="59"/>
  <c r="BW52" i="59"/>
  <c r="BX52" i="59"/>
  <c r="BY52" i="59"/>
  <c r="BZ52" i="59"/>
  <c r="CA52" i="59"/>
  <c r="CB52" i="59"/>
  <c r="CC52" i="59"/>
  <c r="CD52" i="59"/>
  <c r="CE52" i="59"/>
  <c r="CF52" i="59"/>
  <c r="CG52" i="59"/>
  <c r="CH52" i="59"/>
  <c r="CI52" i="59"/>
  <c r="CJ52" i="59"/>
  <c r="AO53" i="59"/>
  <c r="AP53" i="59"/>
  <c r="AQ53" i="59"/>
  <c r="AR53" i="59"/>
  <c r="AS53" i="59"/>
  <c r="AT53" i="59"/>
  <c r="AU53" i="59"/>
  <c r="AV53" i="59"/>
  <c r="AW53" i="59"/>
  <c r="AX53" i="59"/>
  <c r="AY53" i="59"/>
  <c r="AZ53" i="59"/>
  <c r="BA53" i="59"/>
  <c r="BB53" i="59"/>
  <c r="BC53" i="59"/>
  <c r="BD53" i="59"/>
  <c r="BE53" i="59"/>
  <c r="BF53" i="59"/>
  <c r="BG53" i="59"/>
  <c r="BH53" i="59"/>
  <c r="BI53" i="59"/>
  <c r="BJ53" i="59"/>
  <c r="BK53" i="59"/>
  <c r="BL53" i="59"/>
  <c r="BM53" i="59"/>
  <c r="BN53" i="59"/>
  <c r="BO53" i="59"/>
  <c r="BP53" i="59"/>
  <c r="BQ53" i="59"/>
  <c r="BR53" i="59"/>
  <c r="BS53" i="59"/>
  <c r="BT53" i="59"/>
  <c r="BU53" i="59"/>
  <c r="BV53" i="59"/>
  <c r="BW53" i="59"/>
  <c r="BX53" i="59"/>
  <c r="BY53" i="59"/>
  <c r="BZ53" i="59"/>
  <c r="CA53" i="59"/>
  <c r="CB53" i="59"/>
  <c r="CC53" i="59"/>
  <c r="CD53" i="59"/>
  <c r="CE53" i="59"/>
  <c r="CF53" i="59"/>
  <c r="CG53" i="59"/>
  <c r="CH53" i="59"/>
  <c r="CI53" i="59"/>
  <c r="CJ53" i="59"/>
  <c r="AO54" i="59"/>
  <c r="AP54" i="59"/>
  <c r="AQ54" i="59"/>
  <c r="AR54" i="59"/>
  <c r="AS54" i="59"/>
  <c r="AT54" i="59"/>
  <c r="AU54" i="59"/>
  <c r="AV54" i="59"/>
  <c r="AW54" i="59"/>
  <c r="AX54" i="59"/>
  <c r="AY54" i="59"/>
  <c r="AZ54" i="59"/>
  <c r="BA54" i="59"/>
  <c r="BB54" i="59"/>
  <c r="BC54" i="59"/>
  <c r="BD54" i="59"/>
  <c r="BE54" i="59"/>
  <c r="BF54" i="59"/>
  <c r="BG54" i="59"/>
  <c r="BH54" i="59"/>
  <c r="BI54" i="59"/>
  <c r="BJ54" i="59"/>
  <c r="BK54" i="59"/>
  <c r="BL54" i="59"/>
  <c r="BM54" i="59"/>
  <c r="BN54" i="59"/>
  <c r="BO54" i="59"/>
  <c r="BP54" i="59"/>
  <c r="BQ54" i="59"/>
  <c r="BR54" i="59"/>
  <c r="BS54" i="59"/>
  <c r="BT54" i="59"/>
  <c r="BU54" i="59"/>
  <c r="BV54" i="59"/>
  <c r="BW54" i="59"/>
  <c r="BX54" i="59"/>
  <c r="BY54" i="59"/>
  <c r="BZ54" i="59"/>
  <c r="CA54" i="59"/>
  <c r="CB54" i="59"/>
  <c r="CC54" i="59"/>
  <c r="CD54" i="59"/>
  <c r="CE54" i="59"/>
  <c r="CF54" i="59"/>
  <c r="CG54" i="59"/>
  <c r="CH54" i="59"/>
  <c r="CI54" i="59"/>
  <c r="CJ54" i="59"/>
  <c r="AO55" i="59"/>
  <c r="AP55" i="59"/>
  <c r="AQ55" i="59"/>
  <c r="AR55" i="59"/>
  <c r="AS55" i="59"/>
  <c r="AT55" i="59"/>
  <c r="AU55" i="59"/>
  <c r="AV55" i="59"/>
  <c r="AW55" i="59"/>
  <c r="AX55" i="59"/>
  <c r="AY55" i="59"/>
  <c r="AZ55" i="59"/>
  <c r="BA55" i="59"/>
  <c r="BB55" i="59"/>
  <c r="BC55" i="59"/>
  <c r="BD55" i="59"/>
  <c r="BE55" i="59"/>
  <c r="BF55" i="59"/>
  <c r="BG55" i="59"/>
  <c r="BH55" i="59"/>
  <c r="BI55" i="59"/>
  <c r="BJ55" i="59"/>
  <c r="BK55" i="59"/>
  <c r="BL55" i="59"/>
  <c r="BM55" i="59"/>
  <c r="BN55" i="59"/>
  <c r="BO55" i="59"/>
  <c r="BP55" i="59"/>
  <c r="BQ55" i="59"/>
  <c r="BR55" i="59"/>
  <c r="BS55" i="59"/>
  <c r="BT55" i="59"/>
  <c r="BU55" i="59"/>
  <c r="BV55" i="59"/>
  <c r="BW55" i="59"/>
  <c r="BX55" i="59"/>
  <c r="BY55" i="59"/>
  <c r="BZ55" i="59"/>
  <c r="CA55" i="59"/>
  <c r="CB55" i="59"/>
  <c r="CC55" i="59"/>
  <c r="CD55" i="59"/>
  <c r="CE55" i="59"/>
  <c r="CF55" i="59"/>
  <c r="CG55" i="59"/>
  <c r="CH55" i="59"/>
  <c r="CI55" i="59"/>
  <c r="CJ55" i="59"/>
  <c r="AO56" i="59"/>
  <c r="AP56" i="59"/>
  <c r="AQ56" i="59"/>
  <c r="AR56" i="59"/>
  <c r="AS56" i="59"/>
  <c r="AT56" i="59"/>
  <c r="AU56" i="59"/>
  <c r="AV56" i="59"/>
  <c r="AW56" i="59"/>
  <c r="AX56" i="59"/>
  <c r="AY56" i="59"/>
  <c r="AZ56" i="59"/>
  <c r="BA56" i="59"/>
  <c r="BB56" i="59"/>
  <c r="BC56" i="59"/>
  <c r="BD56" i="59"/>
  <c r="BE56" i="59"/>
  <c r="BF56" i="59"/>
  <c r="BG56" i="59"/>
  <c r="BH56" i="59"/>
  <c r="BI56" i="59"/>
  <c r="BJ56" i="59"/>
  <c r="BK56" i="59"/>
  <c r="BL56" i="59"/>
  <c r="BM56" i="59"/>
  <c r="BN56" i="59"/>
  <c r="BO56" i="59"/>
  <c r="BP56" i="59"/>
  <c r="BQ56" i="59"/>
  <c r="BR56" i="59"/>
  <c r="BS56" i="59"/>
  <c r="BT56" i="59"/>
  <c r="BU56" i="59"/>
  <c r="BV56" i="59"/>
  <c r="BW56" i="59"/>
  <c r="BX56" i="59"/>
  <c r="BY56" i="59"/>
  <c r="BZ56" i="59"/>
  <c r="CA56" i="59"/>
  <c r="CB56" i="59"/>
  <c r="CC56" i="59"/>
  <c r="CD56" i="59"/>
  <c r="CE56" i="59"/>
  <c r="CF56" i="59"/>
  <c r="CG56" i="59"/>
  <c r="CH56" i="59"/>
  <c r="CI56" i="59"/>
  <c r="CJ56" i="59"/>
  <c r="AO57" i="59"/>
  <c r="AP57" i="59"/>
  <c r="AQ57" i="59"/>
  <c r="AR57" i="59"/>
  <c r="AS57" i="59"/>
  <c r="AT57" i="59"/>
  <c r="AU57" i="59"/>
  <c r="AV57" i="59"/>
  <c r="AW57" i="59"/>
  <c r="AX57" i="59"/>
  <c r="AY57" i="59"/>
  <c r="AZ57" i="59"/>
  <c r="BA57" i="59"/>
  <c r="BB57" i="59"/>
  <c r="BC57" i="59"/>
  <c r="BD57" i="59"/>
  <c r="BE57" i="59"/>
  <c r="BF57" i="59"/>
  <c r="BG57" i="59"/>
  <c r="BH57" i="59"/>
  <c r="BI57" i="59"/>
  <c r="BJ57" i="59"/>
  <c r="BK57" i="59"/>
  <c r="BL57" i="59"/>
  <c r="BM57" i="59"/>
  <c r="BN57" i="59"/>
  <c r="BO57" i="59"/>
  <c r="BP57" i="59"/>
  <c r="BQ57" i="59"/>
  <c r="BR57" i="59"/>
  <c r="BS57" i="59"/>
  <c r="BT57" i="59"/>
  <c r="BU57" i="59"/>
  <c r="BV57" i="59"/>
  <c r="BW57" i="59"/>
  <c r="BX57" i="59"/>
  <c r="BY57" i="59"/>
  <c r="BZ57" i="59"/>
  <c r="CA57" i="59"/>
  <c r="CB57" i="59"/>
  <c r="CC57" i="59"/>
  <c r="CD57" i="59"/>
  <c r="CE57" i="59"/>
  <c r="CF57" i="59"/>
  <c r="CG57" i="59"/>
  <c r="CH57" i="59"/>
  <c r="CI57" i="59"/>
  <c r="CJ57" i="59"/>
  <c r="AO58" i="59"/>
  <c r="AP58" i="59"/>
  <c r="AQ58" i="59"/>
  <c r="AR58" i="59"/>
  <c r="AS58" i="59"/>
  <c r="AT58" i="59"/>
  <c r="AU58" i="59"/>
  <c r="AV58" i="59"/>
  <c r="AW58" i="59"/>
  <c r="AX58" i="59"/>
  <c r="AY58" i="59"/>
  <c r="AZ58" i="59"/>
  <c r="BA58" i="59"/>
  <c r="BB58" i="59"/>
  <c r="BC58" i="59"/>
  <c r="BD58" i="59"/>
  <c r="BE58" i="59"/>
  <c r="BF58" i="59"/>
  <c r="BG58" i="59"/>
  <c r="BH58" i="59"/>
  <c r="BI58" i="59"/>
  <c r="BJ58" i="59"/>
  <c r="BK58" i="59"/>
  <c r="BL58" i="59"/>
  <c r="BM58" i="59"/>
  <c r="BN58" i="59"/>
  <c r="BO58" i="59"/>
  <c r="BP58" i="59"/>
  <c r="BQ58" i="59"/>
  <c r="BR58" i="59"/>
  <c r="BS58" i="59"/>
  <c r="BT58" i="59"/>
  <c r="BU58" i="59"/>
  <c r="BV58" i="59"/>
  <c r="BW58" i="59"/>
  <c r="BX58" i="59"/>
  <c r="BY58" i="59"/>
  <c r="BZ58" i="59"/>
  <c r="CA58" i="59"/>
  <c r="CB58" i="59"/>
  <c r="CC58" i="59"/>
  <c r="CD58" i="59"/>
  <c r="CE58" i="59"/>
  <c r="CF58" i="59"/>
  <c r="CG58" i="59"/>
  <c r="CH58" i="59"/>
  <c r="CI58" i="59"/>
  <c r="CJ58" i="59"/>
  <c r="AO59" i="59"/>
  <c r="AP59" i="59"/>
  <c r="AQ59" i="59"/>
  <c r="AR59" i="59"/>
  <c r="AS59" i="59"/>
  <c r="AT59" i="59"/>
  <c r="AU59" i="59"/>
  <c r="AV59" i="59"/>
  <c r="AW59" i="59"/>
  <c r="AX59" i="59"/>
  <c r="AY59" i="59"/>
  <c r="AZ59" i="59"/>
  <c r="BA59" i="59"/>
  <c r="BB59" i="59"/>
  <c r="BC59" i="59"/>
  <c r="BD59" i="59"/>
  <c r="BE59" i="59"/>
  <c r="BF59" i="59"/>
  <c r="BG59" i="59"/>
  <c r="BH59" i="59"/>
  <c r="BI59" i="59"/>
  <c r="BJ59" i="59"/>
  <c r="BK59" i="59"/>
  <c r="BL59" i="59"/>
  <c r="BM59" i="59"/>
  <c r="BN59" i="59"/>
  <c r="BO59" i="59"/>
  <c r="BP59" i="59"/>
  <c r="BQ59" i="59"/>
  <c r="BR59" i="59"/>
  <c r="BS59" i="59"/>
  <c r="BT59" i="59"/>
  <c r="BU59" i="59"/>
  <c r="BV59" i="59"/>
  <c r="BW59" i="59"/>
  <c r="BX59" i="59"/>
  <c r="BY59" i="59"/>
  <c r="BZ59" i="59"/>
  <c r="CA59" i="59"/>
  <c r="CB59" i="59"/>
  <c r="CC59" i="59"/>
  <c r="CD59" i="59"/>
  <c r="CE59" i="59"/>
  <c r="CF59" i="59"/>
  <c r="CG59" i="59"/>
  <c r="CH59" i="59"/>
  <c r="CI59" i="59"/>
  <c r="CJ59" i="59"/>
  <c r="AO60" i="59"/>
  <c r="AP60" i="59"/>
  <c r="AQ60" i="59"/>
  <c r="AR60" i="59"/>
  <c r="AS60" i="59"/>
  <c r="AT60" i="59"/>
  <c r="AU60" i="59"/>
  <c r="AV60" i="59"/>
  <c r="AW60" i="59"/>
  <c r="AX60" i="59"/>
  <c r="AY60" i="59"/>
  <c r="AZ60" i="59"/>
  <c r="BA60" i="59"/>
  <c r="BB60" i="59"/>
  <c r="BC60" i="59"/>
  <c r="BD60" i="59"/>
  <c r="BE60" i="59"/>
  <c r="BF60" i="59"/>
  <c r="BG60" i="59"/>
  <c r="BH60" i="59"/>
  <c r="BI60" i="59"/>
  <c r="BJ60" i="59"/>
  <c r="BK60" i="59"/>
  <c r="BL60" i="59"/>
  <c r="BM60" i="59"/>
  <c r="BN60" i="59"/>
  <c r="BO60" i="59"/>
  <c r="BP60" i="59"/>
  <c r="BQ60" i="59"/>
  <c r="BR60" i="59"/>
  <c r="BS60" i="59"/>
  <c r="BT60" i="59"/>
  <c r="BU60" i="59"/>
  <c r="BV60" i="59"/>
  <c r="BW60" i="59"/>
  <c r="BX60" i="59"/>
  <c r="BY60" i="59"/>
  <c r="BZ60" i="59"/>
  <c r="CA60" i="59"/>
  <c r="CB60" i="59"/>
  <c r="CC60" i="59"/>
  <c r="CD60" i="59"/>
  <c r="CE60" i="59"/>
  <c r="CF60" i="59"/>
  <c r="CG60" i="59"/>
  <c r="CH60" i="59"/>
  <c r="CI60" i="59"/>
  <c r="CJ60" i="59"/>
  <c r="AO61" i="59"/>
  <c r="AP61" i="59"/>
  <c r="AQ61" i="59"/>
  <c r="AR61" i="59"/>
  <c r="AS61" i="59"/>
  <c r="AT61" i="59"/>
  <c r="AU61" i="59"/>
  <c r="AV61" i="59"/>
  <c r="AW61" i="59"/>
  <c r="AX61" i="59"/>
  <c r="AY61" i="59"/>
  <c r="AZ61" i="59"/>
  <c r="BA61" i="59"/>
  <c r="BB61" i="59"/>
  <c r="BC61" i="59"/>
  <c r="BD61" i="59"/>
  <c r="BE61" i="59"/>
  <c r="BF61" i="59"/>
  <c r="BG61" i="59"/>
  <c r="BH61" i="59"/>
  <c r="BI61" i="59"/>
  <c r="BJ61" i="59"/>
  <c r="BK61" i="59"/>
  <c r="BL61" i="59"/>
  <c r="BM61" i="59"/>
  <c r="BN61" i="59"/>
  <c r="BO61" i="59"/>
  <c r="BP61" i="59"/>
  <c r="BQ61" i="59"/>
  <c r="BR61" i="59"/>
  <c r="BS61" i="59"/>
  <c r="BT61" i="59"/>
  <c r="BU61" i="59"/>
  <c r="BV61" i="59"/>
  <c r="BW61" i="59"/>
  <c r="BX61" i="59"/>
  <c r="BY61" i="59"/>
  <c r="BZ61" i="59"/>
  <c r="CA61" i="59"/>
  <c r="CB61" i="59"/>
  <c r="CC61" i="59"/>
  <c r="CD61" i="59"/>
  <c r="CE61" i="59"/>
  <c r="CF61" i="59"/>
  <c r="CG61" i="59"/>
  <c r="CH61" i="59"/>
  <c r="CI61" i="59"/>
  <c r="CJ61" i="59"/>
  <c r="AO62" i="59"/>
  <c r="AP62" i="59"/>
  <c r="AQ62" i="59"/>
  <c r="AR62" i="59"/>
  <c r="AS62" i="59"/>
  <c r="AT62" i="59"/>
  <c r="AU62" i="59"/>
  <c r="AV62" i="59"/>
  <c r="AW62" i="59"/>
  <c r="AX62" i="59"/>
  <c r="AY62" i="59"/>
  <c r="AZ62" i="59"/>
  <c r="BA62" i="59"/>
  <c r="BB62" i="59"/>
  <c r="BC62" i="59"/>
  <c r="BD62" i="59"/>
  <c r="BE62" i="59"/>
  <c r="BF62" i="59"/>
  <c r="BG62" i="59"/>
  <c r="BH62" i="59"/>
  <c r="BI62" i="59"/>
  <c r="BJ62" i="59"/>
  <c r="BK62" i="59"/>
  <c r="BL62" i="59"/>
  <c r="BM62" i="59"/>
  <c r="BN62" i="59"/>
  <c r="BO62" i="59"/>
  <c r="BP62" i="59"/>
  <c r="BQ62" i="59"/>
  <c r="BR62" i="59"/>
  <c r="BS62" i="59"/>
  <c r="BT62" i="59"/>
  <c r="BU62" i="59"/>
  <c r="BV62" i="59"/>
  <c r="BW62" i="59"/>
  <c r="BX62" i="59"/>
  <c r="BY62" i="59"/>
  <c r="BZ62" i="59"/>
  <c r="CA62" i="59"/>
  <c r="CB62" i="59"/>
  <c r="CC62" i="59"/>
  <c r="CD62" i="59"/>
  <c r="CE62" i="59"/>
  <c r="CF62" i="59"/>
  <c r="CG62" i="59"/>
  <c r="CH62" i="59"/>
  <c r="CI62" i="59"/>
  <c r="CJ62" i="59"/>
  <c r="AO63" i="59"/>
  <c r="AP63" i="59"/>
  <c r="AQ63" i="59"/>
  <c r="AR63" i="59"/>
  <c r="AS63" i="59"/>
  <c r="AT63" i="59"/>
  <c r="AU63" i="59"/>
  <c r="AV63" i="59"/>
  <c r="AW63" i="59"/>
  <c r="AX63" i="59"/>
  <c r="AY63" i="59"/>
  <c r="AZ63" i="59"/>
  <c r="BA63" i="59"/>
  <c r="BB63" i="59"/>
  <c r="BC63" i="59"/>
  <c r="BD63" i="59"/>
  <c r="BE63" i="59"/>
  <c r="BF63" i="59"/>
  <c r="BG63" i="59"/>
  <c r="BH63" i="59"/>
  <c r="BI63" i="59"/>
  <c r="BJ63" i="59"/>
  <c r="BK63" i="59"/>
  <c r="BL63" i="59"/>
  <c r="BM63" i="59"/>
  <c r="BN63" i="59"/>
  <c r="BO63" i="59"/>
  <c r="BP63" i="59"/>
  <c r="BQ63" i="59"/>
  <c r="BR63" i="59"/>
  <c r="BS63" i="59"/>
  <c r="BT63" i="59"/>
  <c r="BU63" i="59"/>
  <c r="BV63" i="59"/>
  <c r="BW63" i="59"/>
  <c r="BX63" i="59"/>
  <c r="BY63" i="59"/>
  <c r="BZ63" i="59"/>
  <c r="CA63" i="59"/>
  <c r="CB63" i="59"/>
  <c r="CC63" i="59"/>
  <c r="CD63" i="59"/>
  <c r="CE63" i="59"/>
  <c r="CF63" i="59"/>
  <c r="CG63" i="59"/>
  <c r="CH63" i="59"/>
  <c r="CI63" i="59"/>
  <c r="CJ63" i="59"/>
  <c r="AO64" i="59"/>
  <c r="AP64" i="59"/>
  <c r="AQ64" i="59"/>
  <c r="AR64" i="59"/>
  <c r="AS64" i="59"/>
  <c r="AT64" i="59"/>
  <c r="AU64" i="59"/>
  <c r="AV64" i="59"/>
  <c r="AW64" i="59"/>
  <c r="AX64" i="59"/>
  <c r="AY64" i="59"/>
  <c r="AZ64" i="59"/>
  <c r="BA64" i="59"/>
  <c r="BB64" i="59"/>
  <c r="BC64" i="59"/>
  <c r="BD64" i="59"/>
  <c r="BE64" i="59"/>
  <c r="BF64" i="59"/>
  <c r="BG64" i="59"/>
  <c r="BH64" i="59"/>
  <c r="BI64" i="59"/>
  <c r="BJ64" i="59"/>
  <c r="BK64" i="59"/>
  <c r="BL64" i="59"/>
  <c r="BM64" i="59"/>
  <c r="BN64" i="59"/>
  <c r="BO64" i="59"/>
  <c r="BP64" i="59"/>
  <c r="BQ64" i="59"/>
  <c r="BR64" i="59"/>
  <c r="BS64" i="59"/>
  <c r="BT64" i="59"/>
  <c r="BU64" i="59"/>
  <c r="BV64" i="59"/>
  <c r="BW64" i="59"/>
  <c r="BX64" i="59"/>
  <c r="BY64" i="59"/>
  <c r="BZ64" i="59"/>
  <c r="CA64" i="59"/>
  <c r="CB64" i="59"/>
  <c r="CC64" i="59"/>
  <c r="CD64" i="59"/>
  <c r="CE64" i="59"/>
  <c r="CF64" i="59"/>
  <c r="CG64" i="59"/>
  <c r="CH64" i="59"/>
  <c r="CI64" i="59"/>
  <c r="CJ64" i="59"/>
  <c r="AO65" i="59"/>
  <c r="AP65" i="59"/>
  <c r="AQ65" i="59"/>
  <c r="AR65" i="59"/>
  <c r="AS65" i="59"/>
  <c r="AT65" i="59"/>
  <c r="AU65" i="59"/>
  <c r="AV65" i="59"/>
  <c r="AW65" i="59"/>
  <c r="AX65" i="59"/>
  <c r="AY65" i="59"/>
  <c r="AZ65" i="59"/>
  <c r="BA65" i="59"/>
  <c r="BB65" i="59"/>
  <c r="BC65" i="59"/>
  <c r="BD65" i="59"/>
  <c r="BE65" i="59"/>
  <c r="BF65" i="59"/>
  <c r="BG65" i="59"/>
  <c r="BH65" i="59"/>
  <c r="BI65" i="59"/>
  <c r="BJ65" i="59"/>
  <c r="BK65" i="59"/>
  <c r="BL65" i="59"/>
  <c r="BM65" i="59"/>
  <c r="BN65" i="59"/>
  <c r="BO65" i="59"/>
  <c r="BP65" i="59"/>
  <c r="BQ65" i="59"/>
  <c r="BR65" i="59"/>
  <c r="BS65" i="59"/>
  <c r="BT65" i="59"/>
  <c r="BU65" i="59"/>
  <c r="BV65" i="59"/>
  <c r="BW65" i="59"/>
  <c r="BX65" i="59"/>
  <c r="BY65" i="59"/>
  <c r="BZ65" i="59"/>
  <c r="CA65" i="59"/>
  <c r="CB65" i="59"/>
  <c r="CC65" i="59"/>
  <c r="CD65" i="59"/>
  <c r="CE65" i="59"/>
  <c r="CF65" i="59"/>
  <c r="CG65" i="59"/>
  <c r="CH65" i="59"/>
  <c r="CI65" i="59"/>
  <c r="CJ65" i="59"/>
  <c r="AO66" i="59"/>
  <c r="AP66" i="59"/>
  <c r="AQ66" i="59"/>
  <c r="AR66" i="59"/>
  <c r="AS66" i="59"/>
  <c r="AT66" i="59"/>
  <c r="AU66" i="59"/>
  <c r="AV66" i="59"/>
  <c r="AW66" i="59"/>
  <c r="AX66" i="59"/>
  <c r="AY66" i="59"/>
  <c r="AZ66" i="59"/>
  <c r="BA66" i="59"/>
  <c r="BB66" i="59"/>
  <c r="BC66" i="59"/>
  <c r="BD66" i="59"/>
  <c r="BE66" i="59"/>
  <c r="BF66" i="59"/>
  <c r="BG66" i="59"/>
  <c r="BH66" i="59"/>
  <c r="BI66" i="59"/>
  <c r="BJ66" i="59"/>
  <c r="BK66" i="59"/>
  <c r="BL66" i="59"/>
  <c r="BM66" i="59"/>
  <c r="BN66" i="59"/>
  <c r="BO66" i="59"/>
  <c r="BP66" i="59"/>
  <c r="BQ66" i="59"/>
  <c r="BR66" i="59"/>
  <c r="BS66" i="59"/>
  <c r="BT66" i="59"/>
  <c r="BU66" i="59"/>
  <c r="BV66" i="59"/>
  <c r="BW66" i="59"/>
  <c r="BX66" i="59"/>
  <c r="BY66" i="59"/>
  <c r="BZ66" i="59"/>
  <c r="CA66" i="59"/>
  <c r="CB66" i="59"/>
  <c r="CC66" i="59"/>
  <c r="CD66" i="59"/>
  <c r="CE66" i="59"/>
  <c r="CF66" i="59"/>
  <c r="CG66" i="59"/>
  <c r="CH66" i="59"/>
  <c r="CI66" i="59"/>
  <c r="CJ66" i="59"/>
  <c r="E45" i="59"/>
  <c r="F45" i="59"/>
  <c r="G45" i="59"/>
  <c r="H45" i="59"/>
  <c r="I45" i="59"/>
  <c r="J45" i="59"/>
  <c r="K45" i="59"/>
  <c r="L45" i="59"/>
  <c r="M45" i="59"/>
  <c r="N45" i="59"/>
  <c r="O45" i="59"/>
  <c r="P45" i="59"/>
  <c r="Q45" i="59"/>
  <c r="R45" i="59"/>
  <c r="S45" i="59"/>
  <c r="T45" i="59"/>
  <c r="U45" i="59"/>
  <c r="V45" i="59"/>
  <c r="W45" i="59"/>
  <c r="X45" i="59"/>
  <c r="Y45" i="59"/>
  <c r="Z45" i="59"/>
  <c r="AA45" i="59"/>
  <c r="AB45" i="59"/>
  <c r="AC45" i="59"/>
  <c r="AD45" i="59"/>
  <c r="AE45" i="59"/>
  <c r="AF45" i="59"/>
  <c r="AG45" i="59"/>
  <c r="AH45" i="59"/>
  <c r="AI45" i="59"/>
  <c r="AJ45" i="59"/>
  <c r="E48" i="59"/>
  <c r="F48" i="59"/>
  <c r="G48" i="59"/>
  <c r="H48" i="59"/>
  <c r="I48" i="59"/>
  <c r="J48" i="59"/>
  <c r="K48" i="59"/>
  <c r="L48" i="59"/>
  <c r="M48" i="59"/>
  <c r="N48" i="59"/>
  <c r="O48" i="59"/>
  <c r="P48" i="59"/>
  <c r="Q48" i="59"/>
  <c r="R48" i="59"/>
  <c r="S48" i="59"/>
  <c r="T48" i="59"/>
  <c r="U48" i="59"/>
  <c r="V48" i="59"/>
  <c r="W48" i="59"/>
  <c r="X48" i="59"/>
  <c r="Y48" i="59"/>
  <c r="Z48" i="59"/>
  <c r="AA48" i="59"/>
  <c r="AB48" i="59"/>
  <c r="AC48" i="59"/>
  <c r="AD48" i="59"/>
  <c r="AE48" i="59"/>
  <c r="AF48" i="59"/>
  <c r="AG48" i="59"/>
  <c r="AH48" i="59"/>
  <c r="AI48" i="59"/>
  <c r="AJ48" i="59"/>
  <c r="E49" i="59"/>
  <c r="F49" i="59"/>
  <c r="G49" i="59"/>
  <c r="H49" i="59"/>
  <c r="I49" i="59"/>
  <c r="J49" i="59"/>
  <c r="K49" i="59"/>
  <c r="L49" i="59"/>
  <c r="M49" i="59"/>
  <c r="N49" i="59"/>
  <c r="O49" i="59"/>
  <c r="P49" i="59"/>
  <c r="Q49" i="59"/>
  <c r="R49" i="59"/>
  <c r="S49" i="59"/>
  <c r="T49" i="59"/>
  <c r="U49" i="59"/>
  <c r="V49" i="59"/>
  <c r="W49" i="59"/>
  <c r="X49" i="59"/>
  <c r="Y49" i="59"/>
  <c r="Z49" i="59"/>
  <c r="AA49" i="59"/>
  <c r="AB49" i="59"/>
  <c r="AC49" i="59"/>
  <c r="AD49" i="59"/>
  <c r="AE49" i="59"/>
  <c r="AF49" i="59"/>
  <c r="AG49" i="59"/>
  <c r="AH49" i="59"/>
  <c r="AI49" i="59"/>
  <c r="AJ49" i="59"/>
  <c r="E50" i="59"/>
  <c r="F50" i="59"/>
  <c r="G50" i="59"/>
  <c r="H50" i="59"/>
  <c r="I50" i="59"/>
  <c r="J50" i="59"/>
  <c r="K50" i="59"/>
  <c r="L50" i="59"/>
  <c r="M50" i="59"/>
  <c r="N50" i="59"/>
  <c r="O50" i="59"/>
  <c r="P50" i="59"/>
  <c r="Q50" i="59"/>
  <c r="R50" i="59"/>
  <c r="S50" i="59"/>
  <c r="T50" i="59"/>
  <c r="U50" i="59"/>
  <c r="V50" i="59"/>
  <c r="W50" i="59"/>
  <c r="X50" i="59"/>
  <c r="Y50" i="59"/>
  <c r="Z50" i="59"/>
  <c r="AA50" i="59"/>
  <c r="AB50" i="59"/>
  <c r="AC50" i="59"/>
  <c r="AD50" i="59"/>
  <c r="AE50" i="59"/>
  <c r="AF50" i="59"/>
  <c r="AG50" i="59"/>
  <c r="AH50" i="59"/>
  <c r="AI50" i="59"/>
  <c r="AJ50" i="59"/>
  <c r="E51" i="59"/>
  <c r="F51" i="59"/>
  <c r="G51" i="59"/>
  <c r="H51" i="59"/>
  <c r="I51" i="59"/>
  <c r="J51" i="59"/>
  <c r="K51" i="59"/>
  <c r="L51" i="59"/>
  <c r="M51" i="59"/>
  <c r="N51" i="59"/>
  <c r="O51" i="59"/>
  <c r="P51" i="59"/>
  <c r="Q51" i="59"/>
  <c r="R51" i="59"/>
  <c r="S51" i="59"/>
  <c r="T51" i="59"/>
  <c r="U51" i="59"/>
  <c r="V51" i="59"/>
  <c r="W51" i="59"/>
  <c r="X51" i="59"/>
  <c r="Y51" i="59"/>
  <c r="Z51" i="59"/>
  <c r="AA51" i="59"/>
  <c r="AB51" i="59"/>
  <c r="AC51" i="59"/>
  <c r="AD51" i="59"/>
  <c r="AE51" i="59"/>
  <c r="AF51" i="59"/>
  <c r="AG51" i="59"/>
  <c r="AH51" i="59"/>
  <c r="AI51" i="59"/>
  <c r="AJ51" i="59"/>
  <c r="E52" i="59"/>
  <c r="F52" i="59"/>
  <c r="G52" i="59"/>
  <c r="H52" i="59"/>
  <c r="I52" i="59"/>
  <c r="J52" i="59"/>
  <c r="K52" i="59"/>
  <c r="L52" i="59"/>
  <c r="M52" i="59"/>
  <c r="N52" i="59"/>
  <c r="O52" i="59"/>
  <c r="P52" i="59"/>
  <c r="Q52" i="59"/>
  <c r="R52" i="59"/>
  <c r="S52" i="59"/>
  <c r="T52" i="59"/>
  <c r="U52" i="59"/>
  <c r="V52" i="59"/>
  <c r="W52" i="59"/>
  <c r="X52" i="59"/>
  <c r="Y52" i="59"/>
  <c r="Z52" i="59"/>
  <c r="AA52" i="59"/>
  <c r="AB52" i="59"/>
  <c r="AC52" i="59"/>
  <c r="AD52" i="59"/>
  <c r="AE52" i="59"/>
  <c r="AF52" i="59"/>
  <c r="AG52" i="59"/>
  <c r="AH52" i="59"/>
  <c r="AI52" i="59"/>
  <c r="AJ52" i="59"/>
  <c r="E53" i="59"/>
  <c r="F53" i="59"/>
  <c r="G53" i="59"/>
  <c r="H53" i="59"/>
  <c r="I53" i="59"/>
  <c r="J53" i="59"/>
  <c r="K53" i="59"/>
  <c r="L53" i="59"/>
  <c r="M53" i="59"/>
  <c r="N53" i="59"/>
  <c r="O53" i="59"/>
  <c r="P53" i="59"/>
  <c r="Q53" i="59"/>
  <c r="R53" i="59"/>
  <c r="S53" i="59"/>
  <c r="T53" i="59"/>
  <c r="U53" i="59"/>
  <c r="V53" i="59"/>
  <c r="W53" i="59"/>
  <c r="X53" i="59"/>
  <c r="Y53" i="59"/>
  <c r="Z53" i="59"/>
  <c r="AA53" i="59"/>
  <c r="AB53" i="59"/>
  <c r="AC53" i="59"/>
  <c r="AD53" i="59"/>
  <c r="AE53" i="59"/>
  <c r="AF53" i="59"/>
  <c r="AG53" i="59"/>
  <c r="AH53" i="59"/>
  <c r="AI53" i="59"/>
  <c r="AJ53" i="59"/>
  <c r="E54" i="59"/>
  <c r="F54" i="59"/>
  <c r="G54" i="59"/>
  <c r="H54" i="59"/>
  <c r="I54" i="59"/>
  <c r="J54" i="59"/>
  <c r="K54" i="59"/>
  <c r="L54" i="59"/>
  <c r="M54" i="59"/>
  <c r="N54" i="59"/>
  <c r="O54" i="59"/>
  <c r="P54" i="59"/>
  <c r="Q54" i="59"/>
  <c r="R54" i="59"/>
  <c r="S54" i="59"/>
  <c r="T54" i="59"/>
  <c r="U54" i="59"/>
  <c r="V54" i="59"/>
  <c r="W54" i="59"/>
  <c r="X54" i="59"/>
  <c r="Y54" i="59"/>
  <c r="Z54" i="59"/>
  <c r="AA54" i="59"/>
  <c r="AB54" i="59"/>
  <c r="AC54" i="59"/>
  <c r="AD54" i="59"/>
  <c r="AE54" i="59"/>
  <c r="AF54" i="59"/>
  <c r="AG54" i="59"/>
  <c r="AH54" i="59"/>
  <c r="AI54" i="59"/>
  <c r="AJ54" i="59"/>
  <c r="E55" i="59"/>
  <c r="F55" i="59"/>
  <c r="G55" i="59"/>
  <c r="H55" i="59"/>
  <c r="I55" i="59"/>
  <c r="J55" i="59"/>
  <c r="K55" i="59"/>
  <c r="L55" i="59"/>
  <c r="M55" i="59"/>
  <c r="N55" i="59"/>
  <c r="O55" i="59"/>
  <c r="P55" i="59"/>
  <c r="Q55" i="59"/>
  <c r="R55" i="59"/>
  <c r="S55" i="59"/>
  <c r="T55" i="59"/>
  <c r="U55" i="59"/>
  <c r="V55" i="59"/>
  <c r="W55" i="59"/>
  <c r="X55" i="59"/>
  <c r="Y55" i="59"/>
  <c r="Z55" i="59"/>
  <c r="AA55" i="59"/>
  <c r="AB55" i="59"/>
  <c r="AC55" i="59"/>
  <c r="AD55" i="59"/>
  <c r="AE55" i="59"/>
  <c r="AF55" i="59"/>
  <c r="AG55" i="59"/>
  <c r="AH55" i="59"/>
  <c r="AI55" i="59"/>
  <c r="AJ55" i="59"/>
  <c r="E56" i="59"/>
  <c r="F56" i="59"/>
  <c r="G56" i="59"/>
  <c r="H56" i="59"/>
  <c r="I56" i="59"/>
  <c r="J56" i="59"/>
  <c r="K56" i="59"/>
  <c r="L56" i="59"/>
  <c r="M56" i="59"/>
  <c r="N56" i="59"/>
  <c r="O56" i="59"/>
  <c r="P56" i="59"/>
  <c r="Q56" i="59"/>
  <c r="R56" i="59"/>
  <c r="S56" i="59"/>
  <c r="T56" i="59"/>
  <c r="U56" i="59"/>
  <c r="V56" i="59"/>
  <c r="W56" i="59"/>
  <c r="X56" i="59"/>
  <c r="Y56" i="59"/>
  <c r="Z56" i="59"/>
  <c r="AA56" i="59"/>
  <c r="AB56" i="59"/>
  <c r="AC56" i="59"/>
  <c r="AD56" i="59"/>
  <c r="AE56" i="59"/>
  <c r="AF56" i="59"/>
  <c r="AG56" i="59"/>
  <c r="AH56" i="59"/>
  <c r="AI56" i="59"/>
  <c r="AJ56" i="59"/>
  <c r="E57" i="59"/>
  <c r="F57" i="59"/>
  <c r="G57" i="59"/>
  <c r="H57" i="59"/>
  <c r="I57" i="59"/>
  <c r="J57" i="59"/>
  <c r="K57" i="59"/>
  <c r="L57" i="59"/>
  <c r="M57" i="59"/>
  <c r="N57" i="59"/>
  <c r="O57" i="59"/>
  <c r="P57" i="59"/>
  <c r="Q57" i="59"/>
  <c r="R57" i="59"/>
  <c r="S57" i="59"/>
  <c r="T57" i="59"/>
  <c r="U57" i="59"/>
  <c r="V57" i="59"/>
  <c r="W57" i="59"/>
  <c r="X57" i="59"/>
  <c r="Y57" i="59"/>
  <c r="Z57" i="59"/>
  <c r="AA57" i="59"/>
  <c r="AB57" i="59"/>
  <c r="AC57" i="59"/>
  <c r="AD57" i="59"/>
  <c r="AE57" i="59"/>
  <c r="AF57" i="59"/>
  <c r="AG57" i="59"/>
  <c r="AH57" i="59"/>
  <c r="AI57" i="59"/>
  <c r="AJ57" i="59"/>
  <c r="E58" i="59"/>
  <c r="F58" i="59"/>
  <c r="G58" i="59"/>
  <c r="H58" i="59"/>
  <c r="I58" i="59"/>
  <c r="J58" i="59"/>
  <c r="K58" i="59"/>
  <c r="L58" i="59"/>
  <c r="M58" i="59"/>
  <c r="N58" i="59"/>
  <c r="O58" i="59"/>
  <c r="P58" i="59"/>
  <c r="Q58" i="59"/>
  <c r="R58" i="59"/>
  <c r="S58" i="59"/>
  <c r="T58" i="59"/>
  <c r="U58" i="59"/>
  <c r="V58" i="59"/>
  <c r="W58" i="59"/>
  <c r="X58" i="59"/>
  <c r="Y58" i="59"/>
  <c r="Z58" i="59"/>
  <c r="AA58" i="59"/>
  <c r="AB58" i="59"/>
  <c r="AC58" i="59"/>
  <c r="AD58" i="59"/>
  <c r="AE58" i="59"/>
  <c r="AF58" i="59"/>
  <c r="AG58" i="59"/>
  <c r="AH58" i="59"/>
  <c r="AI58" i="59"/>
  <c r="AJ58" i="59"/>
  <c r="E59" i="59"/>
  <c r="F59" i="59"/>
  <c r="G59" i="59"/>
  <c r="H59" i="59"/>
  <c r="I59" i="59"/>
  <c r="J59" i="59"/>
  <c r="K59" i="59"/>
  <c r="L59" i="59"/>
  <c r="M59" i="59"/>
  <c r="N59" i="59"/>
  <c r="O59" i="59"/>
  <c r="P59" i="59"/>
  <c r="Q59" i="59"/>
  <c r="R59" i="59"/>
  <c r="S59" i="59"/>
  <c r="T59" i="59"/>
  <c r="U59" i="59"/>
  <c r="V59" i="59"/>
  <c r="W59" i="59"/>
  <c r="X59" i="59"/>
  <c r="Y59" i="59"/>
  <c r="Z59" i="59"/>
  <c r="AA59" i="59"/>
  <c r="AB59" i="59"/>
  <c r="AC59" i="59"/>
  <c r="AD59" i="59"/>
  <c r="AE59" i="59"/>
  <c r="AF59" i="59"/>
  <c r="AG59" i="59"/>
  <c r="AH59" i="59"/>
  <c r="AI59" i="59"/>
  <c r="AJ59" i="59"/>
  <c r="E60" i="59"/>
  <c r="F60" i="59"/>
  <c r="G60" i="59"/>
  <c r="H60" i="59"/>
  <c r="I60" i="59"/>
  <c r="J60" i="59"/>
  <c r="K60" i="59"/>
  <c r="L60" i="59"/>
  <c r="M60" i="59"/>
  <c r="N60" i="59"/>
  <c r="O60" i="59"/>
  <c r="P60" i="59"/>
  <c r="Q60" i="59"/>
  <c r="R60" i="59"/>
  <c r="S60" i="59"/>
  <c r="T60" i="59"/>
  <c r="U60" i="59"/>
  <c r="V60" i="59"/>
  <c r="W60" i="59"/>
  <c r="X60" i="59"/>
  <c r="Y60" i="59"/>
  <c r="Z60" i="59"/>
  <c r="AA60" i="59"/>
  <c r="AB60" i="59"/>
  <c r="AC60" i="59"/>
  <c r="AD60" i="59"/>
  <c r="AE60" i="59"/>
  <c r="AF60" i="59"/>
  <c r="AG60" i="59"/>
  <c r="AH60" i="59"/>
  <c r="AI60" i="59"/>
  <c r="AJ60" i="59"/>
  <c r="E61" i="59"/>
  <c r="F61" i="59"/>
  <c r="G61" i="59"/>
  <c r="H61" i="59"/>
  <c r="I61" i="59"/>
  <c r="J61" i="59"/>
  <c r="K61" i="59"/>
  <c r="L61" i="59"/>
  <c r="M61" i="59"/>
  <c r="N61" i="59"/>
  <c r="O61" i="59"/>
  <c r="P61" i="59"/>
  <c r="Q61" i="59"/>
  <c r="R61" i="59"/>
  <c r="S61" i="59"/>
  <c r="T61" i="59"/>
  <c r="U61" i="59"/>
  <c r="V61" i="59"/>
  <c r="W61" i="59"/>
  <c r="X61" i="59"/>
  <c r="Y61" i="59"/>
  <c r="Z61" i="59"/>
  <c r="AA61" i="59"/>
  <c r="AB61" i="59"/>
  <c r="AC61" i="59"/>
  <c r="AD61" i="59"/>
  <c r="AE61" i="59"/>
  <c r="AF61" i="59"/>
  <c r="AG61" i="59"/>
  <c r="AH61" i="59"/>
  <c r="AI61" i="59"/>
  <c r="AJ61" i="59"/>
  <c r="E62" i="59"/>
  <c r="F62" i="59"/>
  <c r="G62" i="59"/>
  <c r="H62" i="59"/>
  <c r="I62" i="59"/>
  <c r="J62" i="59"/>
  <c r="K62" i="59"/>
  <c r="L62" i="59"/>
  <c r="M62" i="59"/>
  <c r="N62" i="59"/>
  <c r="O62" i="59"/>
  <c r="P62" i="59"/>
  <c r="Q62" i="59"/>
  <c r="R62" i="59"/>
  <c r="S62" i="59"/>
  <c r="T62" i="59"/>
  <c r="U62" i="59"/>
  <c r="V62" i="59"/>
  <c r="W62" i="59"/>
  <c r="X62" i="59"/>
  <c r="Y62" i="59"/>
  <c r="Z62" i="59"/>
  <c r="AA62" i="59"/>
  <c r="AB62" i="59"/>
  <c r="AC62" i="59"/>
  <c r="AD62" i="59"/>
  <c r="AE62" i="59"/>
  <c r="AF62" i="59"/>
  <c r="AG62" i="59"/>
  <c r="AH62" i="59"/>
  <c r="AI62" i="59"/>
  <c r="AJ62" i="59"/>
  <c r="E63" i="59"/>
  <c r="F63" i="59"/>
  <c r="G63" i="59"/>
  <c r="H63" i="59"/>
  <c r="I63" i="59"/>
  <c r="J63" i="59"/>
  <c r="K63" i="59"/>
  <c r="L63" i="59"/>
  <c r="M63" i="59"/>
  <c r="N63" i="59"/>
  <c r="O63" i="59"/>
  <c r="P63" i="59"/>
  <c r="Q63" i="59"/>
  <c r="R63" i="59"/>
  <c r="S63" i="59"/>
  <c r="T63" i="59"/>
  <c r="U63" i="59"/>
  <c r="V63" i="59"/>
  <c r="W63" i="59"/>
  <c r="X63" i="59"/>
  <c r="Y63" i="59"/>
  <c r="Z63" i="59"/>
  <c r="AA63" i="59"/>
  <c r="AB63" i="59"/>
  <c r="AC63" i="59"/>
  <c r="AD63" i="59"/>
  <c r="AE63" i="59"/>
  <c r="AF63" i="59"/>
  <c r="AG63" i="59"/>
  <c r="AH63" i="59"/>
  <c r="AI63" i="59"/>
  <c r="AJ63" i="59"/>
  <c r="E64" i="59"/>
  <c r="F64" i="59"/>
  <c r="G64" i="59"/>
  <c r="H64" i="59"/>
  <c r="I64" i="59"/>
  <c r="J64" i="59"/>
  <c r="K64" i="59"/>
  <c r="L64" i="59"/>
  <c r="M64" i="59"/>
  <c r="N64" i="59"/>
  <c r="O64" i="59"/>
  <c r="P64" i="59"/>
  <c r="Q64" i="59"/>
  <c r="R64" i="59"/>
  <c r="S64" i="59"/>
  <c r="T64" i="59"/>
  <c r="U64" i="59"/>
  <c r="V64" i="59"/>
  <c r="W64" i="59"/>
  <c r="X64" i="59"/>
  <c r="Y64" i="59"/>
  <c r="Z64" i="59"/>
  <c r="AA64" i="59"/>
  <c r="AB64" i="59"/>
  <c r="AC64" i="59"/>
  <c r="AD64" i="59"/>
  <c r="AE64" i="59"/>
  <c r="AF64" i="59"/>
  <c r="AG64" i="59"/>
  <c r="AH64" i="59"/>
  <c r="AI64" i="59"/>
  <c r="AJ64" i="59"/>
  <c r="E65" i="59"/>
  <c r="F65" i="59"/>
  <c r="G65" i="59"/>
  <c r="H65" i="59"/>
  <c r="I65" i="59"/>
  <c r="J65" i="59"/>
  <c r="K65" i="59"/>
  <c r="L65" i="59"/>
  <c r="M65" i="59"/>
  <c r="N65" i="59"/>
  <c r="O65" i="59"/>
  <c r="P65" i="59"/>
  <c r="Q65" i="59"/>
  <c r="R65" i="59"/>
  <c r="S65" i="59"/>
  <c r="T65" i="59"/>
  <c r="U65" i="59"/>
  <c r="V65" i="59"/>
  <c r="W65" i="59"/>
  <c r="X65" i="59"/>
  <c r="Y65" i="59"/>
  <c r="Z65" i="59"/>
  <c r="AA65" i="59"/>
  <c r="AB65" i="59"/>
  <c r="AC65" i="59"/>
  <c r="AD65" i="59"/>
  <c r="AE65" i="59"/>
  <c r="AF65" i="59"/>
  <c r="AG65" i="59"/>
  <c r="AH65" i="59"/>
  <c r="AI65" i="59"/>
  <c r="AJ65" i="59"/>
  <c r="E66" i="59"/>
  <c r="F66" i="59"/>
  <c r="G66" i="59"/>
  <c r="H66" i="59"/>
  <c r="I66" i="59"/>
  <c r="J66" i="59"/>
  <c r="K66" i="59"/>
  <c r="L66" i="59"/>
  <c r="M66" i="59"/>
  <c r="N66" i="59"/>
  <c r="O66" i="59"/>
  <c r="P66" i="59"/>
  <c r="Q66" i="59"/>
  <c r="R66" i="59"/>
  <c r="S66" i="59"/>
  <c r="T66" i="59"/>
  <c r="U66" i="59"/>
  <c r="V66" i="59"/>
  <c r="W66" i="59"/>
  <c r="X66" i="59"/>
  <c r="Y66" i="59"/>
  <c r="Z66" i="59"/>
  <c r="AA66" i="59"/>
  <c r="AB66" i="59"/>
  <c r="AC66" i="59"/>
  <c r="AD66" i="59"/>
  <c r="AE66" i="59"/>
  <c r="AF66" i="59"/>
  <c r="AG66" i="59"/>
  <c r="AH66" i="59"/>
  <c r="AI66" i="59"/>
  <c r="AJ66" i="59"/>
  <c r="B11" i="66"/>
  <c r="C11" i="66"/>
  <c r="D11" i="66"/>
  <c r="E11" i="66"/>
  <c r="F11" i="66"/>
  <c r="H11" i="66"/>
  <c r="J11" i="66"/>
  <c r="K11" i="66"/>
  <c r="L11" i="66"/>
  <c r="M11" i="66"/>
  <c r="N11" i="66"/>
  <c r="O11" i="66"/>
  <c r="P11" i="66"/>
  <c r="Q11" i="66"/>
  <c r="R11" i="66"/>
  <c r="S11" i="66"/>
  <c r="T11" i="66"/>
  <c r="U11" i="66"/>
  <c r="V11" i="66"/>
  <c r="W11" i="66"/>
  <c r="X11" i="66"/>
  <c r="Y11" i="66"/>
  <c r="Z11" i="66"/>
  <c r="AA11" i="66"/>
  <c r="AB11" i="66"/>
  <c r="AC11" i="66"/>
  <c r="AD11" i="66"/>
  <c r="AE11" i="66"/>
  <c r="AF11" i="66"/>
  <c r="AG11" i="66"/>
  <c r="AH11" i="66"/>
  <c r="AI11" i="66"/>
  <c r="AJ11" i="66"/>
  <c r="AK11" i="66"/>
  <c r="AL11" i="66"/>
  <c r="AM11" i="66"/>
  <c r="AN11" i="66"/>
  <c r="AO11" i="66"/>
  <c r="AP11" i="66"/>
  <c r="AQ11" i="66"/>
  <c r="AR11" i="66"/>
  <c r="AS11" i="66"/>
  <c r="AT11" i="66"/>
  <c r="AU11" i="66"/>
  <c r="AV11" i="66"/>
  <c r="AW11" i="66"/>
  <c r="AX11" i="66"/>
  <c r="AY11" i="66"/>
  <c r="AZ11" i="66"/>
  <c r="BA11" i="66"/>
  <c r="BB11" i="66"/>
  <c r="BC11" i="66"/>
  <c r="BD11" i="66"/>
  <c r="BE11" i="66"/>
  <c r="BF11" i="66"/>
  <c r="BG11" i="66"/>
  <c r="BH11" i="66"/>
  <c r="BI11" i="66"/>
  <c r="BJ11" i="66"/>
  <c r="BK11" i="66"/>
  <c r="BL11" i="66"/>
  <c r="BM11" i="66"/>
  <c r="BN11" i="66"/>
  <c r="BO11" i="66"/>
  <c r="BP11" i="66"/>
  <c r="BQ11" i="66"/>
  <c r="BR11" i="66"/>
  <c r="BS11" i="66"/>
  <c r="BT11" i="66"/>
  <c r="BU11" i="66"/>
  <c r="BV11" i="66"/>
  <c r="BW11" i="66"/>
  <c r="BX11" i="66"/>
  <c r="BY11" i="66"/>
  <c r="BZ11" i="66"/>
  <c r="CA11" i="66"/>
  <c r="CB11" i="66"/>
  <c r="CC11" i="66"/>
  <c r="CD11" i="66"/>
  <c r="CE11" i="66"/>
  <c r="CF11" i="66"/>
  <c r="BO1010" i="66"/>
  <c r="BO1009" i="66"/>
  <c r="BO1008" i="66"/>
  <c r="BO1007" i="66"/>
  <c r="BO1006" i="66"/>
  <c r="BO1005" i="66"/>
  <c r="BO1004" i="66"/>
  <c r="BO1003" i="66"/>
  <c r="BO1002" i="66"/>
  <c r="BO1001" i="66"/>
  <c r="BO1000" i="66"/>
  <c r="BO999" i="66"/>
  <c r="BO998" i="66"/>
  <c r="BO997" i="66"/>
  <c r="BO996" i="66"/>
  <c r="BO995" i="66"/>
  <c r="BO994" i="66"/>
  <c r="BO993" i="66"/>
  <c r="BO992" i="66"/>
  <c r="BO991" i="66"/>
  <c r="BO990" i="66"/>
  <c r="BO989" i="66"/>
  <c r="BO988" i="66"/>
  <c r="BO987" i="66"/>
  <c r="BO986" i="66"/>
  <c r="BO985" i="66"/>
  <c r="BO984" i="66"/>
  <c r="BO983" i="66"/>
  <c r="BO982" i="66"/>
  <c r="BO981" i="66"/>
  <c r="BO980" i="66"/>
  <c r="BO979" i="66"/>
  <c r="BO978" i="66"/>
  <c r="BO977" i="66"/>
  <c r="BO976" i="66"/>
  <c r="BO975" i="66"/>
  <c r="BO974" i="66"/>
  <c r="BO973" i="66"/>
  <c r="BO972" i="66"/>
  <c r="BO971" i="66"/>
  <c r="BO970" i="66"/>
  <c r="BO969" i="66"/>
  <c r="BO968" i="66"/>
  <c r="BO967" i="66"/>
  <c r="BO966" i="66"/>
  <c r="BO965" i="66"/>
  <c r="BO964" i="66"/>
  <c r="BO963" i="66"/>
  <c r="BO962" i="66"/>
  <c r="BO961" i="66"/>
  <c r="BO960" i="66"/>
  <c r="BO959" i="66"/>
  <c r="BO958" i="66"/>
  <c r="BO957" i="66"/>
  <c r="BO956" i="66"/>
  <c r="BO955" i="66"/>
  <c r="BO954" i="66"/>
  <c r="BO953" i="66"/>
  <c r="BO952" i="66"/>
  <c r="BO951" i="66"/>
  <c r="BO950" i="66"/>
  <c r="BO949" i="66"/>
  <c r="BO948" i="66"/>
  <c r="BO947" i="66"/>
  <c r="BO946" i="66"/>
  <c r="BO945" i="66"/>
  <c r="BO944" i="66"/>
  <c r="BO943" i="66"/>
  <c r="BO942" i="66"/>
  <c r="BO941" i="66"/>
  <c r="BO940" i="66"/>
  <c r="BO939" i="66"/>
  <c r="BO938" i="66"/>
  <c r="BO937" i="66"/>
  <c r="BO936" i="66"/>
  <c r="BO935" i="66"/>
  <c r="BO934" i="66"/>
  <c r="BO933" i="66"/>
  <c r="BO932" i="66"/>
  <c r="BO931" i="66"/>
  <c r="BO930" i="66"/>
  <c r="BO929" i="66"/>
  <c r="BO928" i="66"/>
  <c r="BO927" i="66"/>
  <c r="BO926" i="66"/>
  <c r="BO925" i="66"/>
  <c r="BO924" i="66"/>
  <c r="BO923" i="66"/>
  <c r="BO922" i="66"/>
  <c r="BO921" i="66"/>
  <c r="BO920" i="66"/>
  <c r="BO919" i="66"/>
  <c r="BO918" i="66"/>
  <c r="BO917" i="66"/>
  <c r="BO916" i="66"/>
  <c r="BO915" i="66"/>
  <c r="BO914" i="66"/>
  <c r="BO913" i="66"/>
  <c r="BO912" i="66"/>
  <c r="BO911" i="66"/>
  <c r="BO910" i="66"/>
  <c r="BO909" i="66"/>
  <c r="BO908" i="66"/>
  <c r="BO907" i="66"/>
  <c r="BO906" i="66"/>
  <c r="BO905" i="66"/>
  <c r="BO904" i="66"/>
  <c r="BO903" i="66"/>
  <c r="BO902" i="66"/>
  <c r="BO901" i="66"/>
  <c r="BO900" i="66"/>
  <c r="BO899" i="66"/>
  <c r="BO898" i="66"/>
  <c r="BO897" i="66"/>
  <c r="BO896" i="66"/>
  <c r="BO895" i="66"/>
  <c r="BO894" i="66"/>
  <c r="BO893" i="66"/>
  <c r="BO892" i="66"/>
  <c r="BO891" i="66"/>
  <c r="BO890" i="66"/>
  <c r="BO889" i="66"/>
  <c r="BO888" i="66"/>
  <c r="BO887" i="66"/>
  <c r="BO886" i="66"/>
  <c r="BO885" i="66"/>
  <c r="BO884" i="66"/>
  <c r="BO883" i="66"/>
  <c r="BO882" i="66"/>
  <c r="BO881" i="66"/>
  <c r="BO880" i="66"/>
  <c r="BO879" i="66"/>
  <c r="BO878" i="66"/>
  <c r="BO877" i="66"/>
  <c r="BO876" i="66"/>
  <c r="BO875" i="66"/>
  <c r="BO874" i="66"/>
  <c r="BO873" i="66"/>
  <c r="BO872" i="66"/>
  <c r="BO871" i="66"/>
  <c r="BO870" i="66"/>
  <c r="BO869" i="66"/>
  <c r="BO868" i="66"/>
  <c r="BO867" i="66"/>
  <c r="BO866" i="66"/>
  <c r="BO865" i="66"/>
  <c r="BO864" i="66"/>
  <c r="BO863" i="66"/>
  <c r="BO862" i="66"/>
  <c r="BO861" i="66"/>
  <c r="BO860" i="66"/>
  <c r="BO859" i="66"/>
  <c r="BO858" i="66"/>
  <c r="BO857" i="66"/>
  <c r="BO856" i="66"/>
  <c r="BO855" i="66"/>
  <c r="BO854" i="66"/>
  <c r="BO853" i="66"/>
  <c r="BO852" i="66"/>
  <c r="BO851" i="66"/>
  <c r="BO850" i="66"/>
  <c r="BO849" i="66"/>
  <c r="BO848" i="66"/>
  <c r="BO847" i="66"/>
  <c r="BO846" i="66"/>
  <c r="BO845" i="66"/>
  <c r="BO844" i="66"/>
  <c r="BO843" i="66"/>
  <c r="BO842" i="66"/>
  <c r="BO841" i="66"/>
  <c r="BO840" i="66"/>
  <c r="BO839" i="66"/>
  <c r="BO838" i="66"/>
  <c r="BO837" i="66"/>
  <c r="BO836" i="66"/>
  <c r="BO835" i="66"/>
  <c r="BO834" i="66"/>
  <c r="BO833" i="66"/>
  <c r="BO832" i="66"/>
  <c r="BO831" i="66"/>
  <c r="BO830" i="66"/>
  <c r="BO829" i="66"/>
  <c r="BO828" i="66"/>
  <c r="BO827" i="66"/>
  <c r="BO826" i="66"/>
  <c r="BO825" i="66"/>
  <c r="BO824" i="66"/>
  <c r="BO823" i="66"/>
  <c r="BO822" i="66"/>
  <c r="BO821" i="66"/>
  <c r="BO820" i="66"/>
  <c r="BO819" i="66"/>
  <c r="BO818" i="66"/>
  <c r="BO817" i="66"/>
  <c r="BO816" i="66"/>
  <c r="BO815" i="66"/>
  <c r="BO814" i="66"/>
  <c r="BO813" i="66"/>
  <c r="BO812" i="66"/>
  <c r="BO811" i="66"/>
  <c r="BO810" i="66"/>
  <c r="BO809" i="66"/>
  <c r="BO808" i="66"/>
  <c r="BO807" i="66"/>
  <c r="BO806" i="66"/>
  <c r="BO805" i="66"/>
  <c r="BO804" i="66"/>
  <c r="BO803" i="66"/>
  <c r="BO802" i="66"/>
  <c r="BO801" i="66"/>
  <c r="BO800" i="66"/>
  <c r="BO799" i="66"/>
  <c r="BO798" i="66"/>
  <c r="BO797" i="66"/>
  <c r="BO796" i="66"/>
  <c r="BO795" i="66"/>
  <c r="BO794" i="66"/>
  <c r="BO793" i="66"/>
  <c r="BO792" i="66"/>
  <c r="BO791" i="66"/>
  <c r="BO790" i="66"/>
  <c r="BO789" i="66"/>
  <c r="BO788" i="66"/>
  <c r="BO787" i="66"/>
  <c r="BO786" i="66"/>
  <c r="BO785" i="66"/>
  <c r="BO784" i="66"/>
  <c r="BO783" i="66"/>
  <c r="BO782" i="66"/>
  <c r="BO781" i="66"/>
  <c r="BO780" i="66"/>
  <c r="BO779" i="66"/>
  <c r="BO778" i="66"/>
  <c r="BO777" i="66"/>
  <c r="BO776" i="66"/>
  <c r="BO775" i="66"/>
  <c r="BO774" i="66"/>
  <c r="BO773" i="66"/>
  <c r="BO772" i="66"/>
  <c r="BO771" i="66"/>
  <c r="BO770" i="66"/>
  <c r="BO769" i="66"/>
  <c r="BO768" i="66"/>
  <c r="BO767" i="66"/>
  <c r="BO766" i="66"/>
  <c r="BO765" i="66"/>
  <c r="BO764" i="66"/>
  <c r="BO763" i="66"/>
  <c r="BO762" i="66"/>
  <c r="BO761" i="66"/>
  <c r="BO760" i="66"/>
  <c r="BO759" i="66"/>
  <c r="BO758" i="66"/>
  <c r="BO757" i="66"/>
  <c r="BO756" i="66"/>
  <c r="BO755" i="66"/>
  <c r="BO754" i="66"/>
  <c r="BO753" i="66"/>
  <c r="BO752" i="66"/>
  <c r="BO751" i="66"/>
  <c r="BO750" i="66"/>
  <c r="BO749" i="66"/>
  <c r="BO748" i="66"/>
  <c r="BO747" i="66"/>
  <c r="BO746" i="66"/>
  <c r="BO745" i="66"/>
  <c r="BO744" i="66"/>
  <c r="BO743" i="66"/>
  <c r="BO742" i="66"/>
  <c r="BO741" i="66"/>
  <c r="BO740" i="66"/>
  <c r="BO739" i="66"/>
  <c r="BO738" i="66"/>
  <c r="BO737" i="66"/>
  <c r="BO736" i="66"/>
  <c r="BO735" i="66"/>
  <c r="BO734" i="66"/>
  <c r="BO733" i="66"/>
  <c r="BO732" i="66"/>
  <c r="BO731" i="66"/>
  <c r="BO730" i="66"/>
  <c r="BO729" i="66"/>
  <c r="BO728" i="66"/>
  <c r="BO727" i="66"/>
  <c r="BO726" i="66"/>
  <c r="BO725" i="66"/>
  <c r="BO724" i="66"/>
  <c r="BO723" i="66"/>
  <c r="BO722" i="66"/>
  <c r="BO721" i="66"/>
  <c r="BO720" i="66"/>
  <c r="BO719" i="66"/>
  <c r="BO718" i="66"/>
  <c r="BO717" i="66"/>
  <c r="BO716" i="66"/>
  <c r="BO715" i="66"/>
  <c r="BO714" i="66"/>
  <c r="BO713" i="66"/>
  <c r="BO712" i="66"/>
  <c r="BO711" i="66"/>
  <c r="BO710" i="66"/>
  <c r="BO709" i="66"/>
  <c r="BO708" i="66"/>
  <c r="BO707" i="66"/>
  <c r="BO706" i="66"/>
  <c r="BO705" i="66"/>
  <c r="BO704" i="66"/>
  <c r="BO703" i="66"/>
  <c r="BO702" i="66"/>
  <c r="BO701" i="66"/>
  <c r="BO700" i="66"/>
  <c r="BO699" i="66"/>
  <c r="BO698" i="66"/>
  <c r="BO697" i="66"/>
  <c r="BO696" i="66"/>
  <c r="BO695" i="66"/>
  <c r="BO694" i="66"/>
  <c r="BO693" i="66"/>
  <c r="BO692" i="66"/>
  <c r="BO691" i="66"/>
  <c r="BO690" i="66"/>
  <c r="BO689" i="66"/>
  <c r="BO688" i="66"/>
  <c r="BO687" i="66"/>
  <c r="BO686" i="66"/>
  <c r="BO685" i="66"/>
  <c r="BO684" i="66"/>
  <c r="BO683" i="66"/>
  <c r="BO682" i="66"/>
  <c r="BO681" i="66"/>
  <c r="BO680" i="66"/>
  <c r="BO679" i="66"/>
  <c r="BO678" i="66"/>
  <c r="BO677" i="66"/>
  <c r="BO676" i="66"/>
  <c r="BO675" i="66"/>
  <c r="BO674" i="66"/>
  <c r="BO673" i="66"/>
  <c r="BO672" i="66"/>
  <c r="BO671" i="66"/>
  <c r="BO670" i="66"/>
  <c r="BO669" i="66"/>
  <c r="BO668" i="66"/>
  <c r="BO667" i="66"/>
  <c r="BO666" i="66"/>
  <c r="BO665" i="66"/>
  <c r="BO664" i="66"/>
  <c r="BO663" i="66"/>
  <c r="BO662" i="66"/>
  <c r="BO661" i="66"/>
  <c r="BO660" i="66"/>
  <c r="BO659" i="66"/>
  <c r="BO658" i="66"/>
  <c r="BO657" i="66"/>
  <c r="BO656" i="66"/>
  <c r="BO655" i="66"/>
  <c r="BO654" i="66"/>
  <c r="BO653" i="66"/>
  <c r="BO652" i="66"/>
  <c r="BO651" i="66"/>
  <c r="BO650" i="66"/>
  <c r="BO649" i="66"/>
  <c r="BO648" i="66"/>
  <c r="BO647" i="66"/>
  <c r="BO646" i="66"/>
  <c r="BO645" i="66"/>
  <c r="BO644" i="66"/>
  <c r="BO643" i="66"/>
  <c r="BO642" i="66"/>
  <c r="BO641" i="66"/>
  <c r="BO640" i="66"/>
  <c r="BO639" i="66"/>
  <c r="BO638" i="66"/>
  <c r="BO637" i="66"/>
  <c r="BO636" i="66"/>
  <c r="BO635" i="66"/>
  <c r="BO634" i="66"/>
  <c r="BO633" i="66"/>
  <c r="BO632" i="66"/>
  <c r="BO631" i="66"/>
  <c r="BO630" i="66"/>
  <c r="BO629" i="66"/>
  <c r="BO628" i="66"/>
  <c r="BO627" i="66"/>
  <c r="BO626" i="66"/>
  <c r="BO625" i="66"/>
  <c r="BO624" i="66"/>
  <c r="BO623" i="66"/>
  <c r="BO622" i="66"/>
  <c r="BO621" i="66"/>
  <c r="BO620" i="66"/>
  <c r="BO619" i="66"/>
  <c r="BO618" i="66"/>
  <c r="BO617" i="66"/>
  <c r="BO616" i="66"/>
  <c r="BO615" i="66"/>
  <c r="BO614" i="66"/>
  <c r="BO613" i="66"/>
  <c r="BO612" i="66"/>
  <c r="BO611" i="66"/>
  <c r="BO610" i="66"/>
  <c r="BO609" i="66"/>
  <c r="BO608" i="66"/>
  <c r="BO607" i="66"/>
  <c r="BO606" i="66"/>
  <c r="BO605" i="66"/>
  <c r="BO604" i="66"/>
  <c r="BO603" i="66"/>
  <c r="BO602" i="66"/>
  <c r="BO601" i="66"/>
  <c r="BO600" i="66"/>
  <c r="BO599" i="66"/>
  <c r="BO598" i="66"/>
  <c r="BO597" i="66"/>
  <c r="BO596" i="66"/>
  <c r="BO595" i="66"/>
  <c r="BO594" i="66"/>
  <c r="BO593" i="66"/>
  <c r="BO592" i="66"/>
  <c r="BO591" i="66"/>
  <c r="BO590" i="66"/>
  <c r="BO589" i="66"/>
  <c r="BO588" i="66"/>
  <c r="BO587" i="66"/>
  <c r="BO586" i="66"/>
  <c r="BO585" i="66"/>
  <c r="BO584" i="66"/>
  <c r="BO583" i="66"/>
  <c r="BO582" i="66"/>
  <c r="BO581" i="66"/>
  <c r="BO580" i="66"/>
  <c r="BO579" i="66"/>
  <c r="BO578" i="66"/>
  <c r="BO577" i="66"/>
  <c r="BO576" i="66"/>
  <c r="BO575" i="66"/>
  <c r="BO574" i="66"/>
  <c r="BO573" i="66"/>
  <c r="BO572" i="66"/>
  <c r="BO571" i="66"/>
  <c r="BO570" i="66"/>
  <c r="BO569" i="66"/>
  <c r="BO568" i="66"/>
  <c r="BO567" i="66"/>
  <c r="BO566" i="66"/>
  <c r="BO565" i="66"/>
  <c r="BO564" i="66"/>
  <c r="BO563" i="66"/>
  <c r="BO562" i="66"/>
  <c r="BO561" i="66"/>
  <c r="BO560" i="66"/>
  <c r="BO559" i="66"/>
  <c r="BO558" i="66"/>
  <c r="BO557" i="66"/>
  <c r="BO556" i="66"/>
  <c r="BO555" i="66"/>
  <c r="BO554" i="66"/>
  <c r="BO553" i="66"/>
  <c r="BO552" i="66"/>
  <c r="BO551" i="66"/>
  <c r="BO550" i="66"/>
  <c r="BO549" i="66"/>
  <c r="BO548" i="66"/>
  <c r="BO547" i="66"/>
  <c r="BO546" i="66"/>
  <c r="BO545" i="66"/>
  <c r="BO544" i="66"/>
  <c r="BO543" i="66"/>
  <c r="BO542" i="66"/>
  <c r="BO541" i="66"/>
  <c r="BO540" i="66"/>
  <c r="BO539" i="66"/>
  <c r="BO538" i="66"/>
  <c r="BO537" i="66"/>
  <c r="BO536" i="66"/>
  <c r="BO535" i="66"/>
  <c r="BO534" i="66"/>
  <c r="BO533" i="66"/>
  <c r="BO532" i="66"/>
  <c r="BO531" i="66"/>
  <c r="BO530" i="66"/>
  <c r="BO529" i="66"/>
  <c r="BO528" i="66"/>
  <c r="BO527" i="66"/>
  <c r="BO526" i="66"/>
  <c r="BO525" i="66"/>
  <c r="BO524" i="66"/>
  <c r="BO523" i="66"/>
  <c r="BO522" i="66"/>
  <c r="BO521" i="66"/>
  <c r="BO520" i="66"/>
  <c r="BO519" i="66"/>
  <c r="BO518" i="66"/>
  <c r="BO517" i="66"/>
  <c r="BO516" i="66"/>
  <c r="BO515" i="66"/>
  <c r="BO514" i="66"/>
  <c r="BO513" i="66"/>
  <c r="BO512" i="66"/>
  <c r="BO511" i="66"/>
  <c r="BO510" i="66"/>
  <c r="BO509" i="66"/>
  <c r="BO508" i="66"/>
  <c r="BO507" i="66"/>
  <c r="BO506" i="66"/>
  <c r="BO505" i="66"/>
  <c r="BO504" i="66"/>
  <c r="BO503" i="66"/>
  <c r="BO502" i="66"/>
  <c r="BO501" i="66"/>
  <c r="BO500" i="66"/>
  <c r="BO499" i="66"/>
  <c r="BO498" i="66"/>
  <c r="BO497" i="66"/>
  <c r="BO496" i="66"/>
  <c r="BO495" i="66"/>
  <c r="BO494" i="66"/>
  <c r="BO493" i="66"/>
  <c r="BO492" i="66"/>
  <c r="BO491" i="66"/>
  <c r="BO490" i="66"/>
  <c r="BO489" i="66"/>
  <c r="BO488" i="66"/>
  <c r="BO487" i="66"/>
  <c r="BO486" i="66"/>
  <c r="BO485" i="66"/>
  <c r="BO484" i="66"/>
  <c r="BO483" i="66"/>
  <c r="BO482" i="66"/>
  <c r="BO481" i="66"/>
  <c r="BO480" i="66"/>
  <c r="BO479" i="66"/>
  <c r="BO478" i="66"/>
  <c r="BO477" i="66"/>
  <c r="BO476" i="66"/>
  <c r="BO475" i="66"/>
  <c r="BO474" i="66"/>
  <c r="BO473" i="66"/>
  <c r="BO472" i="66"/>
  <c r="BO471" i="66"/>
  <c r="BO470" i="66"/>
  <c r="BO469" i="66"/>
  <c r="BO468" i="66"/>
  <c r="BO467" i="66"/>
  <c r="BO466" i="66"/>
  <c r="BO465" i="66"/>
  <c r="BO464" i="66"/>
  <c r="BO463" i="66"/>
  <c r="BO462" i="66"/>
  <c r="BO461" i="66"/>
  <c r="BO460" i="66"/>
  <c r="BO459" i="66"/>
  <c r="BO458" i="66"/>
  <c r="BO457" i="66"/>
  <c r="BO456" i="66"/>
  <c r="BO455" i="66"/>
  <c r="BO454" i="66"/>
  <c r="BO453" i="66"/>
  <c r="BO452" i="66"/>
  <c r="BO451" i="66"/>
  <c r="BO450" i="66"/>
  <c r="BO449" i="66"/>
  <c r="BO448" i="66"/>
  <c r="BO447" i="66"/>
  <c r="BO446" i="66"/>
  <c r="BO445" i="66"/>
  <c r="BO444" i="66"/>
  <c r="BO443" i="66"/>
  <c r="BO442" i="66"/>
  <c r="BO441" i="66"/>
  <c r="BO440" i="66"/>
  <c r="BO439" i="66"/>
  <c r="BO438" i="66"/>
  <c r="BO437" i="66"/>
  <c r="BO436" i="66"/>
  <c r="BO435" i="66"/>
  <c r="BO434" i="66"/>
  <c r="BO433" i="66"/>
  <c r="BO432" i="66"/>
  <c r="BO431" i="66"/>
  <c r="BO430" i="66"/>
  <c r="BO429" i="66"/>
  <c r="BO428" i="66"/>
  <c r="BO427" i="66"/>
  <c r="BO426" i="66"/>
  <c r="BO425" i="66"/>
  <c r="BO424" i="66"/>
  <c r="BO423" i="66"/>
  <c r="BO422" i="66"/>
  <c r="BO421" i="66"/>
  <c r="BO420" i="66"/>
  <c r="BO419" i="66"/>
  <c r="BO418" i="66"/>
  <c r="BO417" i="66"/>
  <c r="BO416" i="66"/>
  <c r="BO415" i="66"/>
  <c r="BO414" i="66"/>
  <c r="BO413" i="66"/>
  <c r="BO412" i="66"/>
  <c r="BO411" i="66"/>
  <c r="BO410" i="66"/>
  <c r="BO409" i="66"/>
  <c r="BO408" i="66"/>
  <c r="BO407" i="66"/>
  <c r="BO406" i="66"/>
  <c r="BO405" i="66"/>
  <c r="BO404" i="66"/>
  <c r="BO403" i="66"/>
  <c r="BO402" i="66"/>
  <c r="BO401" i="66"/>
  <c r="BO400" i="66"/>
  <c r="BO399" i="66"/>
  <c r="BO398" i="66"/>
  <c r="BO397" i="66"/>
  <c r="BO396" i="66"/>
  <c r="BO395" i="66"/>
  <c r="BO394" i="66"/>
  <c r="BO393" i="66"/>
  <c r="BO392" i="66"/>
  <c r="BO391" i="66"/>
  <c r="BO390" i="66"/>
  <c r="BO389" i="66"/>
  <c r="BO388" i="66"/>
  <c r="BO387" i="66"/>
  <c r="BO386" i="66"/>
  <c r="BO385" i="66"/>
  <c r="BO384" i="66"/>
  <c r="BO383" i="66"/>
  <c r="BO382" i="66"/>
  <c r="BO381" i="66"/>
  <c r="BO380" i="66"/>
  <c r="BO379" i="66"/>
  <c r="BO378" i="66"/>
  <c r="BO377" i="66"/>
  <c r="BO376" i="66"/>
  <c r="BO375" i="66"/>
  <c r="BO374" i="66"/>
  <c r="BO373" i="66"/>
  <c r="BO372" i="66"/>
  <c r="BO371" i="66"/>
  <c r="BO370" i="66"/>
  <c r="BO369" i="66"/>
  <c r="BO368" i="66"/>
  <c r="BO367" i="66"/>
  <c r="BO366" i="66"/>
  <c r="BO365" i="66"/>
  <c r="BO364" i="66"/>
  <c r="BO363" i="66"/>
  <c r="BO362" i="66"/>
  <c r="BO361" i="66"/>
  <c r="BO360" i="66"/>
  <c r="BO359" i="66"/>
  <c r="BO358" i="66"/>
  <c r="BO357" i="66"/>
  <c r="BO356" i="66"/>
  <c r="BO355" i="66"/>
  <c r="BO354" i="66"/>
  <c r="BO353" i="66"/>
  <c r="BO352" i="66"/>
  <c r="BO351" i="66"/>
  <c r="BO350" i="66"/>
  <c r="BO349" i="66"/>
  <c r="BO348" i="66"/>
  <c r="BO347" i="66"/>
  <c r="BO346" i="66"/>
  <c r="BO345" i="66"/>
  <c r="BO344" i="66"/>
  <c r="BO343" i="66"/>
  <c r="BO342" i="66"/>
  <c r="BO341" i="66"/>
  <c r="BO340" i="66"/>
  <c r="BO339" i="66"/>
  <c r="BO338" i="66"/>
  <c r="BO337" i="66"/>
  <c r="BO336" i="66"/>
  <c r="BO335" i="66"/>
  <c r="BO334" i="66"/>
  <c r="BO333" i="66"/>
  <c r="BO332" i="66"/>
  <c r="BO331" i="66"/>
  <c r="BO330" i="66"/>
  <c r="BO329" i="66"/>
  <c r="BO328" i="66"/>
  <c r="BO327" i="66"/>
  <c r="BO326" i="66"/>
  <c r="BO325" i="66"/>
  <c r="BO324" i="66"/>
  <c r="BO323" i="66"/>
  <c r="BO322" i="66"/>
  <c r="BO321" i="66"/>
  <c r="BO320" i="66"/>
  <c r="BO319" i="66"/>
  <c r="BO318" i="66"/>
  <c r="BO317" i="66"/>
  <c r="BO316" i="66"/>
  <c r="BO315" i="66"/>
  <c r="BO314" i="66"/>
  <c r="BO313" i="66"/>
  <c r="BO312" i="66"/>
  <c r="BO311" i="66"/>
  <c r="BO310" i="66"/>
  <c r="BO309" i="66"/>
  <c r="BO308" i="66"/>
  <c r="BO307" i="66"/>
  <c r="BO306" i="66"/>
  <c r="BO305" i="66"/>
  <c r="BO304" i="66"/>
  <c r="BO303" i="66"/>
  <c r="BO302" i="66"/>
  <c r="BO301" i="66"/>
  <c r="BO300" i="66"/>
  <c r="BO299" i="66"/>
  <c r="BO298" i="66"/>
  <c r="BO297" i="66"/>
  <c r="BO296" i="66"/>
  <c r="BO295" i="66"/>
  <c r="BO294" i="66"/>
  <c r="BO293" i="66"/>
  <c r="BO292" i="66"/>
  <c r="BO291" i="66"/>
  <c r="BO290" i="66"/>
  <c r="BO289" i="66"/>
  <c r="BO288" i="66"/>
  <c r="BO287" i="66"/>
  <c r="BO286" i="66"/>
  <c r="BO285" i="66"/>
  <c r="BO284" i="66"/>
  <c r="BO283" i="66"/>
  <c r="BO282" i="66"/>
  <c r="BO281" i="66"/>
  <c r="BO280" i="66"/>
  <c r="BO279" i="66"/>
  <c r="BO278" i="66"/>
  <c r="BO277" i="66"/>
  <c r="BO276" i="66"/>
  <c r="BO275" i="66"/>
  <c r="BO274" i="66"/>
  <c r="BO273" i="66"/>
  <c r="BO272" i="66"/>
  <c r="BO271" i="66"/>
  <c r="BO270" i="66"/>
  <c r="BO269" i="66"/>
  <c r="BO268" i="66"/>
  <c r="BO267" i="66"/>
  <c r="BO266" i="66"/>
  <c r="BO265" i="66"/>
  <c r="BO264" i="66"/>
  <c r="BO263" i="66"/>
  <c r="BO262" i="66"/>
  <c r="BO261" i="66"/>
  <c r="BO260" i="66"/>
  <c r="BO259" i="66"/>
  <c r="BO258" i="66"/>
  <c r="BO257" i="66"/>
  <c r="BO256" i="66"/>
  <c r="BO255" i="66"/>
  <c r="BO254" i="66"/>
  <c r="BO253" i="66"/>
  <c r="BO252" i="66"/>
  <c r="BO251" i="66"/>
  <c r="BO250" i="66"/>
  <c r="BO249" i="66"/>
  <c r="BO248" i="66"/>
  <c r="BO247" i="66"/>
  <c r="BO246" i="66"/>
  <c r="BO245" i="66"/>
  <c r="BO244" i="66"/>
  <c r="BO243" i="66"/>
  <c r="BO242" i="66"/>
  <c r="BO241" i="66"/>
  <c r="BO240" i="66"/>
  <c r="BO239" i="66"/>
  <c r="BO238" i="66"/>
  <c r="BO237" i="66"/>
  <c r="BO236" i="66"/>
  <c r="BO235" i="66"/>
  <c r="BO234" i="66"/>
  <c r="BO233" i="66"/>
  <c r="BO232" i="66"/>
  <c r="BO231" i="66"/>
  <c r="BO230" i="66"/>
  <c r="BO229" i="66"/>
  <c r="BO228" i="66"/>
  <c r="BO227" i="66"/>
  <c r="BO226" i="66"/>
  <c r="BO225" i="66"/>
  <c r="BO224" i="66"/>
  <c r="BO223" i="66"/>
  <c r="BO222" i="66"/>
  <c r="BO221" i="66"/>
  <c r="BO220" i="66"/>
  <c r="BO219" i="66"/>
  <c r="BO218" i="66"/>
  <c r="BO217" i="66"/>
  <c r="BO216" i="66"/>
  <c r="BO215" i="66"/>
  <c r="BO214" i="66"/>
  <c r="BO213" i="66"/>
  <c r="BO212" i="66"/>
  <c r="BO211" i="66"/>
  <c r="BO210" i="66"/>
  <c r="BO209" i="66"/>
  <c r="BO208" i="66"/>
  <c r="BO207" i="66"/>
  <c r="BO206" i="66"/>
  <c r="BO205" i="66"/>
  <c r="BO204" i="66"/>
  <c r="BO203" i="66"/>
  <c r="BO202" i="66"/>
  <c r="BO201" i="66"/>
  <c r="BO200" i="66"/>
  <c r="BO199" i="66"/>
  <c r="BO198" i="66"/>
  <c r="BO197" i="66"/>
  <c r="BO196" i="66"/>
  <c r="BO195" i="66"/>
  <c r="BO194" i="66"/>
  <c r="BO193" i="66"/>
  <c r="BO192" i="66"/>
  <c r="BO191" i="66"/>
  <c r="BO190" i="66"/>
  <c r="BO189" i="66"/>
  <c r="BO188" i="66"/>
  <c r="BO187" i="66"/>
  <c r="BO186" i="66"/>
  <c r="BO185" i="66"/>
  <c r="BO184" i="66"/>
  <c r="BO183" i="66"/>
  <c r="BO182" i="66"/>
  <c r="BO181" i="66"/>
  <c r="BO180" i="66"/>
  <c r="BO179" i="66"/>
  <c r="BO178" i="66"/>
  <c r="BO177" i="66"/>
  <c r="BO176" i="66"/>
  <c r="BO175" i="66"/>
  <c r="BO174" i="66"/>
  <c r="BO173" i="66"/>
  <c r="BO172" i="66"/>
  <c r="BO171" i="66"/>
  <c r="BO170" i="66"/>
  <c r="BO169" i="66"/>
  <c r="BO168" i="66"/>
  <c r="BO167" i="66"/>
  <c r="BO166" i="66"/>
  <c r="BO165" i="66"/>
  <c r="BO164" i="66"/>
  <c r="BO163" i="66"/>
  <c r="BO162" i="66"/>
  <c r="BO161" i="66"/>
  <c r="BO160" i="66"/>
  <c r="BO159" i="66"/>
  <c r="BO158" i="66"/>
  <c r="BO157" i="66"/>
  <c r="BO156" i="66"/>
  <c r="BO155" i="66"/>
  <c r="BO154" i="66"/>
  <c r="BO153" i="66"/>
  <c r="BO152" i="66"/>
  <c r="BO151" i="66"/>
  <c r="BO150" i="66"/>
  <c r="BO149" i="66"/>
  <c r="BO148" i="66"/>
  <c r="BO147" i="66"/>
  <c r="BO146" i="66"/>
  <c r="BO145" i="66"/>
  <c r="BO144" i="66"/>
  <c r="BO143" i="66"/>
  <c r="BO142" i="66"/>
  <c r="BO141" i="66"/>
  <c r="BO140" i="66"/>
  <c r="BO139" i="66"/>
  <c r="BO138" i="66"/>
  <c r="BO137" i="66"/>
  <c r="BO136" i="66"/>
  <c r="BO135" i="66"/>
  <c r="BO134" i="66"/>
  <c r="BO133" i="66"/>
  <c r="BO132" i="66"/>
  <c r="BO131" i="66"/>
  <c r="BO130" i="66"/>
  <c r="BO129" i="66"/>
  <c r="BO128" i="66"/>
  <c r="BO127" i="66"/>
  <c r="BO126" i="66"/>
  <c r="BO125" i="66"/>
  <c r="BO124" i="66"/>
  <c r="BO123" i="66"/>
  <c r="BO122" i="66"/>
  <c r="BO121" i="66"/>
  <c r="BO120" i="66"/>
  <c r="BO119" i="66"/>
  <c r="BO118" i="66"/>
  <c r="BO117" i="66"/>
  <c r="BO116" i="66"/>
  <c r="BO115" i="66"/>
  <c r="BO114" i="66"/>
  <c r="BO113" i="66"/>
  <c r="BO112" i="66"/>
  <c r="BO111" i="66"/>
  <c r="BO110" i="66"/>
  <c r="BO109" i="66"/>
  <c r="BO108" i="66"/>
  <c r="BO107" i="66"/>
  <c r="BO106" i="66"/>
  <c r="BO105" i="66"/>
  <c r="BO104" i="66"/>
  <c r="BO103" i="66"/>
  <c r="BO102" i="66"/>
  <c r="BO101" i="66"/>
  <c r="BO100" i="66"/>
  <c r="BO99" i="66"/>
  <c r="BO98" i="66"/>
  <c r="BO97" i="66"/>
  <c r="BO96" i="66"/>
  <c r="BO95" i="66"/>
  <c r="BO94" i="66"/>
  <c r="BO93" i="66"/>
  <c r="BO92" i="66"/>
  <c r="BO91" i="66"/>
  <c r="BO90" i="66"/>
  <c r="BO89" i="66"/>
  <c r="BO88" i="66"/>
  <c r="BO87" i="66"/>
  <c r="BO86" i="66"/>
  <c r="BO85" i="66"/>
  <c r="BO84" i="66"/>
  <c r="BO83" i="66"/>
  <c r="BO82" i="66"/>
  <c r="BO81" i="66"/>
  <c r="BO80" i="66"/>
  <c r="BO79" i="66"/>
  <c r="BO78" i="66"/>
  <c r="BO77" i="66"/>
  <c r="BO76" i="66"/>
  <c r="BO75" i="66"/>
  <c r="BO74" i="66"/>
  <c r="BO73" i="66"/>
  <c r="BO72" i="66"/>
  <c r="BO71" i="66"/>
  <c r="BO70" i="66"/>
  <c r="BO69" i="66"/>
  <c r="BO68" i="66"/>
  <c r="BO67" i="66"/>
  <c r="BO66" i="66"/>
  <c r="BO65" i="66"/>
  <c r="BO64" i="66"/>
  <c r="BO63" i="66"/>
  <c r="BO62" i="66"/>
  <c r="BO61" i="66"/>
  <c r="BO60" i="66"/>
  <c r="BO59" i="66"/>
  <c r="BO58" i="66"/>
  <c r="BO57" i="66"/>
  <c r="BO56" i="66"/>
  <c r="BO55" i="66"/>
  <c r="BO54" i="66"/>
  <c r="BO53" i="66"/>
  <c r="BO52" i="66"/>
  <c r="BO51" i="66"/>
  <c r="BO50" i="66"/>
  <c r="BO49" i="66"/>
  <c r="BO48" i="66"/>
  <c r="BO47" i="66"/>
  <c r="BO46" i="66"/>
  <c r="BO45" i="66"/>
  <c r="BO44" i="66"/>
  <c r="BO43" i="66"/>
  <c r="BO42" i="66"/>
  <c r="BO41" i="66"/>
  <c r="H40" i="66"/>
  <c r="BO40" i="66"/>
  <c r="H39" i="66"/>
  <c r="BO39" i="66"/>
  <c r="H38" i="66"/>
  <c r="BO38" i="66"/>
  <c r="H37" i="66"/>
  <c r="BO37" i="66"/>
  <c r="H36" i="66"/>
  <c r="BO36" i="66"/>
  <c r="H35" i="66"/>
  <c r="BO35" i="66"/>
  <c r="H34" i="66"/>
  <c r="BO34" i="66"/>
  <c r="H33" i="66"/>
  <c r="BO33" i="66"/>
  <c r="H32" i="66"/>
  <c r="BO32" i="66"/>
  <c r="H31" i="66"/>
  <c r="BO31" i="66"/>
  <c r="H30" i="66"/>
  <c r="BO30" i="66"/>
  <c r="H29" i="66"/>
  <c r="BO29" i="66"/>
  <c r="H28" i="66"/>
  <c r="BO28" i="66"/>
  <c r="H27" i="66"/>
  <c r="BO27" i="66"/>
  <c r="H26" i="66"/>
  <c r="BO26" i="66"/>
  <c r="H25" i="66"/>
  <c r="BO25" i="66"/>
  <c r="H24" i="66"/>
  <c r="BO24" i="66"/>
  <c r="H23" i="66"/>
  <c r="BO23" i="66"/>
  <c r="H22" i="66"/>
  <c r="BO22" i="66"/>
  <c r="H21" i="66"/>
  <c r="BO21" i="66"/>
  <c r="L21" i="66"/>
  <c r="H20" i="66"/>
  <c r="BO20" i="66"/>
  <c r="H19" i="66"/>
  <c r="BO19" i="66"/>
  <c r="H18" i="66"/>
  <c r="BO18" i="66"/>
  <c r="H17" i="66"/>
  <c r="BO17" i="66"/>
  <c r="H16" i="66"/>
  <c r="BO16" i="66"/>
  <c r="H15" i="66"/>
  <c r="BO15" i="66"/>
  <c r="H14" i="66"/>
  <c r="BO14" i="66"/>
  <c r="H13" i="66"/>
  <c r="BO13" i="66"/>
  <c r="H12" i="66"/>
  <c r="BO12" i="66"/>
  <c r="B8" i="45"/>
  <c r="R30" i="35"/>
  <c r="Q30" i="35"/>
  <c r="R29" i="35"/>
  <c r="Q29" i="35"/>
  <c r="R28" i="35"/>
  <c r="Q28" i="35"/>
  <c r="R27" i="35"/>
  <c r="Q27" i="35"/>
  <c r="P30" i="35"/>
  <c r="P29" i="35"/>
  <c r="P28" i="35"/>
  <c r="P27" i="35"/>
  <c r="P40" i="35"/>
  <c r="R40" i="35"/>
  <c r="R41" i="35"/>
  <c r="P41" i="35"/>
  <c r="R42" i="35"/>
  <c r="P42" i="35"/>
  <c r="R43" i="35"/>
  <c r="P43" i="35"/>
  <c r="P44" i="35"/>
  <c r="P48" i="35"/>
  <c r="P47" i="35"/>
  <c r="P46" i="35"/>
  <c r="P45" i="35"/>
  <c r="R39" i="35"/>
  <c r="Q39" i="35"/>
  <c r="P39" i="35"/>
  <c r="R38" i="35"/>
  <c r="Q38" i="35"/>
  <c r="P38" i="35"/>
  <c r="R37" i="35"/>
  <c r="Q37" i="35"/>
  <c r="P37" i="35"/>
  <c r="R36" i="35"/>
  <c r="Q36" i="35"/>
  <c r="P36" i="35"/>
  <c r="R35" i="35"/>
  <c r="Q35" i="35"/>
  <c r="P35" i="35"/>
  <c r="P34" i="35"/>
  <c r="R31" i="35"/>
  <c r="Q31" i="35"/>
  <c r="P31" i="35"/>
  <c r="R32" i="35"/>
  <c r="Q32" i="35"/>
  <c r="P32" i="35"/>
  <c r="P33" i="35"/>
  <c r="Q13" i="35"/>
  <c r="Q17" i="35"/>
  <c r="Q14" i="35"/>
  <c r="Q15" i="35"/>
  <c r="Q16" i="35"/>
  <c r="Q19" i="35"/>
  <c r="Q20" i="35"/>
  <c r="P51" i="35"/>
  <c r="R73" i="35"/>
  <c r="R52" i="35"/>
  <c r="Q52" i="35"/>
  <c r="R53" i="35"/>
  <c r="Q53" i="35"/>
  <c r="R54" i="35"/>
  <c r="Q54" i="35"/>
  <c r="R55" i="35"/>
  <c r="Q55" i="35"/>
  <c r="R56" i="35"/>
  <c r="Q56" i="35"/>
  <c r="R57" i="35"/>
  <c r="Q57" i="35"/>
  <c r="R58" i="35"/>
  <c r="Q58" i="35"/>
  <c r="R59" i="35"/>
  <c r="Q59" i="35"/>
  <c r="R60" i="35"/>
  <c r="Q60" i="35"/>
  <c r="R61" i="35"/>
  <c r="Q61" i="35"/>
  <c r="R62" i="35"/>
  <c r="Q62" i="35"/>
  <c r="R63" i="35"/>
  <c r="Q63" i="35"/>
  <c r="R64" i="35"/>
  <c r="Q64" i="35"/>
  <c r="R65" i="35"/>
  <c r="Q65" i="35"/>
  <c r="R66" i="35"/>
  <c r="Q66" i="35"/>
  <c r="R67" i="35"/>
  <c r="Q67" i="35"/>
  <c r="R68" i="35"/>
  <c r="Q68" i="35"/>
  <c r="R69" i="35"/>
  <c r="Q69" i="35"/>
  <c r="R70" i="35"/>
  <c r="Q70" i="35"/>
  <c r="R71" i="35"/>
  <c r="Q71" i="35"/>
  <c r="R72" i="35"/>
  <c r="Q72" i="35"/>
  <c r="Q73" i="35"/>
  <c r="F24" i="28"/>
  <c r="F23" i="28"/>
  <c r="F24" i="55"/>
  <c r="F25" i="55"/>
  <c r="F24" i="56"/>
  <c r="F25" i="56"/>
  <c r="F23" i="52"/>
  <c r="F27" i="56"/>
  <c r="G214" i="55"/>
  <c r="G213" i="55"/>
  <c r="M182" i="55"/>
  <c r="M181" i="55"/>
  <c r="M180" i="55"/>
  <c r="M179" i="55"/>
  <c r="M178" i="55"/>
  <c r="M177" i="55"/>
  <c r="M176" i="55"/>
  <c r="M175" i="55"/>
  <c r="M174" i="55"/>
  <c r="M173" i="55"/>
  <c r="M172" i="55"/>
  <c r="M171" i="55"/>
  <c r="M170" i="55"/>
  <c r="M169" i="55"/>
  <c r="M168" i="55"/>
  <c r="M167" i="55"/>
  <c r="M166" i="55"/>
  <c r="M165" i="55"/>
  <c r="M164" i="55"/>
  <c r="B141" i="55"/>
  <c r="C141" i="55"/>
  <c r="D141" i="55"/>
  <c r="E141" i="55"/>
  <c r="F141" i="55"/>
  <c r="G141" i="55"/>
  <c r="AB119" i="55"/>
  <c r="AB120" i="55"/>
  <c r="U118" i="55"/>
  <c r="U119" i="55"/>
  <c r="U116" i="55"/>
  <c r="U117" i="55"/>
  <c r="N121" i="55"/>
  <c r="N116" i="55"/>
  <c r="N118" i="55"/>
  <c r="C96" i="55"/>
  <c r="C95" i="55"/>
  <c r="C94" i="55"/>
  <c r="C93" i="55"/>
  <c r="V84" i="55"/>
  <c r="T84" i="55"/>
  <c r="R84" i="55"/>
  <c r="P84" i="55"/>
  <c r="N84" i="55"/>
  <c r="B84" i="55"/>
  <c r="U58" i="55"/>
  <c r="U59" i="55"/>
  <c r="Q57" i="55"/>
  <c r="Q56" i="55"/>
  <c r="Q55" i="55"/>
  <c r="Q54" i="55"/>
  <c r="Q53" i="55"/>
  <c r="Q52" i="55"/>
  <c r="Q50" i="55"/>
  <c r="J55" i="55"/>
  <c r="J54" i="55"/>
  <c r="J53" i="55"/>
  <c r="J52" i="55"/>
  <c r="J51" i="55"/>
  <c r="J50" i="55"/>
  <c r="C57" i="55"/>
  <c r="C56" i="55"/>
  <c r="C55" i="55"/>
  <c r="C54" i="55"/>
  <c r="C53" i="55"/>
  <c r="C52" i="55"/>
  <c r="C51" i="55"/>
  <c r="C50" i="55"/>
  <c r="G41" i="55"/>
  <c r="F40" i="55"/>
  <c r="E41" i="55"/>
  <c r="G42" i="55"/>
  <c r="E42" i="55"/>
  <c r="F26" i="28"/>
  <c r="B110" i="56"/>
  <c r="F110" i="56"/>
  <c r="H110" i="56"/>
  <c r="I110" i="56"/>
  <c r="C102" i="56"/>
  <c r="C101" i="56"/>
  <c r="C100" i="56"/>
  <c r="C99" i="56"/>
  <c r="C82" i="56"/>
  <c r="C81" i="56"/>
  <c r="C80" i="56"/>
  <c r="C79" i="56"/>
  <c r="E71" i="56"/>
  <c r="I70" i="56"/>
  <c r="K70" i="56"/>
  <c r="M70" i="56"/>
  <c r="O70" i="56"/>
  <c r="P70" i="56"/>
  <c r="G70" i="56"/>
  <c r="I69" i="56"/>
  <c r="K69" i="56"/>
  <c r="M69" i="56"/>
  <c r="O69" i="56"/>
  <c r="P69" i="56"/>
  <c r="G69" i="56"/>
  <c r="I68" i="56"/>
  <c r="K68" i="56"/>
  <c r="M68" i="56"/>
  <c r="O68" i="56"/>
  <c r="P68" i="56"/>
  <c r="G68" i="56"/>
  <c r="I67" i="56"/>
  <c r="K67" i="56"/>
  <c r="M67" i="56"/>
  <c r="O67" i="56"/>
  <c r="P67" i="56"/>
  <c r="G67" i="56"/>
  <c r="G66" i="56"/>
  <c r="I66" i="56"/>
  <c r="K66" i="56"/>
  <c r="M66" i="56"/>
  <c r="O66" i="56"/>
  <c r="P66" i="56"/>
  <c r="G65" i="56"/>
  <c r="I65" i="56"/>
  <c r="K65" i="56"/>
  <c r="M65" i="56"/>
  <c r="O65" i="56"/>
  <c r="P65" i="56"/>
  <c r="G64" i="56"/>
  <c r="I64" i="56"/>
  <c r="K64" i="56"/>
  <c r="M64" i="56"/>
  <c r="O64" i="56"/>
  <c r="P64" i="56"/>
  <c r="G63" i="56"/>
  <c r="I63" i="56"/>
  <c r="K63" i="56"/>
  <c r="M63" i="56"/>
  <c r="O63" i="56"/>
  <c r="P63" i="56"/>
  <c r="G62" i="56"/>
  <c r="I62" i="56"/>
  <c r="K62" i="56"/>
  <c r="M62" i="56"/>
  <c r="O62" i="56"/>
  <c r="P62" i="56"/>
  <c r="G61" i="56"/>
  <c r="I61" i="56"/>
  <c r="K61" i="56"/>
  <c r="M61" i="56"/>
  <c r="O61" i="56"/>
  <c r="P61" i="56"/>
  <c r="G60" i="56"/>
  <c r="I60" i="56"/>
  <c r="K60" i="56"/>
  <c r="M60" i="56"/>
  <c r="O60" i="56"/>
  <c r="P60" i="56"/>
  <c r="G59" i="56"/>
  <c r="I59" i="56"/>
  <c r="K59" i="56"/>
  <c r="M59" i="56"/>
  <c r="O59" i="56"/>
  <c r="P59" i="56"/>
  <c r="G58" i="56"/>
  <c r="I58" i="56"/>
  <c r="K58" i="56"/>
  <c r="M58" i="56"/>
  <c r="O58" i="56"/>
  <c r="P58" i="56"/>
  <c r="G57" i="56"/>
  <c r="I57" i="56"/>
  <c r="K57" i="56"/>
  <c r="M57" i="56"/>
  <c r="O57" i="56"/>
  <c r="P57" i="56"/>
  <c r="G56" i="56"/>
  <c r="I56" i="56"/>
  <c r="K56" i="56"/>
  <c r="M56" i="56"/>
  <c r="O56" i="56"/>
  <c r="P56" i="56"/>
  <c r="B56" i="56"/>
  <c r="C48" i="56"/>
  <c r="C47" i="56"/>
  <c r="C46" i="56"/>
  <c r="C45" i="56"/>
  <c r="C44" i="56"/>
  <c r="C43" i="56"/>
  <c r="C42" i="56"/>
  <c r="C41" i="56"/>
  <c r="D33" i="56"/>
  <c r="E33" i="56"/>
  <c r="F33" i="56"/>
  <c r="G33" i="56"/>
  <c r="O42" i="28"/>
  <c r="O43" i="28"/>
  <c r="O44" i="28"/>
  <c r="O45" i="28"/>
  <c r="F32" i="28"/>
  <c r="R41" i="28"/>
  <c r="R42" i="28"/>
  <c r="R43" i="28"/>
  <c r="R44" i="28"/>
  <c r="R45" i="28"/>
  <c r="R46" i="28"/>
  <c r="I57" i="53"/>
  <c r="I56" i="53"/>
  <c r="I55" i="53"/>
  <c r="G57" i="53"/>
  <c r="G56" i="53"/>
  <c r="G55" i="53"/>
  <c r="D35" i="53"/>
  <c r="F35" i="53"/>
  <c r="F19" i="47"/>
  <c r="C51" i="46"/>
  <c r="D51" i="46"/>
  <c r="E51" i="46"/>
  <c r="F51" i="46"/>
  <c r="G51" i="46"/>
  <c r="I51" i="46"/>
  <c r="C52" i="46"/>
  <c r="D52" i="46"/>
  <c r="E52" i="46"/>
  <c r="F52" i="46"/>
  <c r="G52" i="46"/>
  <c r="I52" i="46"/>
  <c r="N52" i="46"/>
  <c r="C53" i="46"/>
  <c r="D53" i="46"/>
  <c r="E53" i="46"/>
  <c r="F53" i="46"/>
  <c r="G53" i="46"/>
  <c r="I53" i="46"/>
  <c r="N53" i="46"/>
  <c r="C54" i="46"/>
  <c r="D54" i="46"/>
  <c r="E54" i="46"/>
  <c r="F54" i="46"/>
  <c r="G54" i="46"/>
  <c r="I54" i="46"/>
  <c r="N54" i="46"/>
  <c r="C55" i="46"/>
  <c r="D55" i="46"/>
  <c r="E55" i="46"/>
  <c r="F55" i="46"/>
  <c r="G55" i="46"/>
  <c r="I55" i="46"/>
  <c r="N55" i="46"/>
  <c r="C56" i="46"/>
  <c r="D56" i="46"/>
  <c r="E56" i="46"/>
  <c r="F56" i="46"/>
  <c r="G56" i="46"/>
  <c r="I56" i="46"/>
  <c r="N56" i="46"/>
  <c r="C57" i="46"/>
  <c r="D57" i="46"/>
  <c r="E57" i="46"/>
  <c r="F57" i="46"/>
  <c r="G57" i="46"/>
  <c r="I57" i="46"/>
  <c r="N57" i="46"/>
  <c r="C58" i="46"/>
  <c r="D58" i="46"/>
  <c r="E58" i="46"/>
  <c r="F58" i="46"/>
  <c r="G58" i="46"/>
  <c r="I58" i="46"/>
  <c r="N58" i="46"/>
  <c r="C59" i="46"/>
  <c r="D59" i="46"/>
  <c r="E59" i="46"/>
  <c r="F59" i="46"/>
  <c r="G59" i="46"/>
  <c r="I59" i="46"/>
  <c r="N59" i="46"/>
  <c r="C60" i="46"/>
  <c r="D60" i="46"/>
  <c r="E60" i="46"/>
  <c r="F60" i="46"/>
  <c r="G60" i="46"/>
  <c r="I60" i="46"/>
  <c r="N60" i="46"/>
  <c r="C61" i="46"/>
  <c r="D61" i="46"/>
  <c r="E61" i="46"/>
  <c r="F61" i="46"/>
  <c r="G61" i="46"/>
  <c r="I61" i="46"/>
  <c r="N61" i="46"/>
  <c r="C62" i="46"/>
  <c r="D62" i="46"/>
  <c r="E62" i="46"/>
  <c r="F62" i="46"/>
  <c r="G62" i="46"/>
  <c r="I62" i="46"/>
  <c r="N62" i="46"/>
  <c r="C63" i="46"/>
  <c r="D63" i="46"/>
  <c r="E63" i="46"/>
  <c r="F63" i="46"/>
  <c r="G63" i="46"/>
  <c r="I63" i="46"/>
  <c r="N63" i="46"/>
  <c r="C64" i="46"/>
  <c r="D64" i="46"/>
  <c r="E64" i="46"/>
  <c r="F64" i="46"/>
  <c r="G64" i="46"/>
  <c r="I64" i="46"/>
  <c r="N64" i="46"/>
  <c r="C65" i="46"/>
  <c r="D65" i="46"/>
  <c r="E65" i="46"/>
  <c r="F65" i="46"/>
  <c r="G65" i="46"/>
  <c r="I65" i="46"/>
  <c r="N65" i="46"/>
  <c r="C66" i="46"/>
  <c r="D66" i="46"/>
  <c r="E66" i="46"/>
  <c r="F66" i="46"/>
  <c r="G66" i="46"/>
  <c r="I66" i="46"/>
  <c r="N66" i="46"/>
  <c r="C67" i="46"/>
  <c r="D67" i="46"/>
  <c r="E67" i="46"/>
  <c r="F67" i="46"/>
  <c r="G67" i="46"/>
  <c r="I67" i="46"/>
  <c r="N67" i="46"/>
  <c r="C68" i="46"/>
  <c r="D68" i="46"/>
  <c r="E68" i="46"/>
  <c r="F68" i="46"/>
  <c r="G68" i="46"/>
  <c r="I68" i="46"/>
  <c r="N68" i="46"/>
  <c r="C69" i="46"/>
  <c r="D69" i="46"/>
  <c r="E69" i="46"/>
  <c r="F69" i="46"/>
  <c r="G69" i="46"/>
  <c r="I69" i="46"/>
  <c r="N69" i="46"/>
  <c r="C70" i="46"/>
  <c r="D70" i="46"/>
  <c r="E70" i="46"/>
  <c r="G70" i="46"/>
  <c r="I70" i="46"/>
  <c r="N70" i="46"/>
  <c r="C71" i="46"/>
  <c r="D71" i="46"/>
  <c r="E71" i="46"/>
  <c r="F71" i="46"/>
  <c r="G71" i="46"/>
  <c r="I71" i="46"/>
  <c r="N71" i="46"/>
  <c r="C72" i="46"/>
  <c r="D72" i="46"/>
  <c r="E72" i="46"/>
  <c r="F72" i="46"/>
  <c r="G72" i="46"/>
  <c r="I72" i="46"/>
  <c r="N72" i="46"/>
  <c r="C73" i="46"/>
  <c r="D73" i="46"/>
  <c r="E73" i="46"/>
  <c r="F73" i="46"/>
  <c r="G73" i="46"/>
  <c r="I73" i="46"/>
  <c r="N73" i="46"/>
  <c r="C74" i="46"/>
  <c r="D74" i="46"/>
  <c r="E74" i="46"/>
  <c r="F74" i="46"/>
  <c r="G74" i="46"/>
  <c r="I74" i="46"/>
  <c r="N74" i="46"/>
  <c r="C75" i="46"/>
  <c r="D75" i="46"/>
  <c r="E75" i="46"/>
  <c r="F75" i="46"/>
  <c r="G75" i="46"/>
  <c r="I75" i="46"/>
  <c r="N75" i="46"/>
  <c r="P153" i="46"/>
  <c r="Q153" i="46"/>
  <c r="N153" i="46"/>
  <c r="N187" i="46"/>
  <c r="B16" i="48"/>
  <c r="O169" i="46"/>
  <c r="P169" i="46"/>
  <c r="Q169" i="46"/>
  <c r="N169" i="46"/>
  <c r="N203" i="46"/>
  <c r="BT11" i="61"/>
  <c r="BT16" i="61"/>
  <c r="BU11" i="61"/>
  <c r="BU16" i="61"/>
  <c r="BV11" i="61"/>
  <c r="BV16" i="61"/>
  <c r="E11" i="61"/>
  <c r="E16" i="61"/>
  <c r="D11" i="61"/>
  <c r="D16" i="61"/>
  <c r="C11" i="61"/>
  <c r="C16" i="61"/>
  <c r="CF16" i="61"/>
  <c r="CE11" i="61"/>
  <c r="CE16" i="61"/>
  <c r="CD11" i="61"/>
  <c r="CD16" i="61"/>
  <c r="CC11" i="61"/>
  <c r="CC16" i="61"/>
  <c r="CB11" i="61"/>
  <c r="CB16" i="61"/>
  <c r="CA11" i="61"/>
  <c r="CA16" i="61"/>
  <c r="BY11" i="61"/>
  <c r="BY16" i="61"/>
  <c r="BX11" i="61"/>
  <c r="BX16" i="61"/>
  <c r="BW11" i="61"/>
  <c r="BW16" i="61"/>
  <c r="BO11" i="61"/>
  <c r="L18" i="47"/>
  <c r="L19" i="47"/>
  <c r="J19" i="47"/>
  <c r="H19" i="47"/>
  <c r="J18" i="47"/>
  <c r="H18" i="47"/>
  <c r="F18" i="47"/>
  <c r="L14" i="47"/>
  <c r="B153" i="46"/>
  <c r="B2" i="39"/>
  <c r="H34" i="52"/>
  <c r="J94" i="52"/>
  <c r="AA65" i="52"/>
  <c r="V67" i="52"/>
  <c r="W67" i="52"/>
  <c r="F31" i="52"/>
  <c r="F32" i="52"/>
  <c r="AA68" i="52"/>
  <c r="AA69" i="52"/>
  <c r="AA70" i="52"/>
  <c r="AA72" i="52"/>
  <c r="AA73" i="52"/>
  <c r="AA74" i="52"/>
  <c r="AA76" i="52"/>
  <c r="AA75" i="52"/>
  <c r="J53" i="52"/>
  <c r="CL17" i="59"/>
  <c r="Q146" i="46"/>
  <c r="Q180" i="46"/>
  <c r="P146" i="46"/>
  <c r="P180" i="46"/>
  <c r="O146" i="46"/>
  <c r="O180" i="46"/>
  <c r="N146" i="46"/>
  <c r="N180" i="46"/>
  <c r="N214" i="46"/>
  <c r="K214" i="46"/>
  <c r="J214" i="46"/>
  <c r="I214" i="46"/>
  <c r="G214" i="46"/>
  <c r="H214" i="46"/>
  <c r="F214" i="46"/>
  <c r="E214" i="46"/>
  <c r="D214" i="46"/>
  <c r="K70" i="43"/>
  <c r="K69" i="43"/>
  <c r="K68" i="43"/>
  <c r="K66" i="43"/>
  <c r="K65" i="43"/>
  <c r="K47" i="43"/>
  <c r="K63" i="43"/>
  <c r="T119" i="46"/>
  <c r="S153" i="46"/>
  <c r="U119" i="46"/>
  <c r="V119" i="46"/>
  <c r="W119" i="46"/>
  <c r="X119" i="46"/>
  <c r="Y119" i="46"/>
  <c r="Z119" i="46"/>
  <c r="AA119" i="46"/>
  <c r="AB187" i="46"/>
  <c r="T120" i="46"/>
  <c r="U120" i="46"/>
  <c r="V120" i="46"/>
  <c r="W120" i="46"/>
  <c r="X120" i="46"/>
  <c r="Y120" i="46"/>
  <c r="Z120" i="46"/>
  <c r="AA120" i="46"/>
  <c r="AB188" i="46"/>
  <c r="T121" i="46"/>
  <c r="U121" i="46"/>
  <c r="V121" i="46"/>
  <c r="W121" i="46"/>
  <c r="X121" i="46"/>
  <c r="Y121" i="46"/>
  <c r="Z121" i="46"/>
  <c r="AA121" i="46"/>
  <c r="AB189" i="46"/>
  <c r="T122" i="46"/>
  <c r="U122" i="46"/>
  <c r="V122" i="46"/>
  <c r="W122" i="46"/>
  <c r="X122" i="46"/>
  <c r="Y122" i="46"/>
  <c r="Z122" i="46"/>
  <c r="AA122" i="46"/>
  <c r="AB190" i="46"/>
  <c r="T123" i="46"/>
  <c r="U123" i="46"/>
  <c r="V123" i="46"/>
  <c r="W123" i="46"/>
  <c r="X123" i="46"/>
  <c r="Y123" i="46"/>
  <c r="Z123" i="46"/>
  <c r="AA123" i="46"/>
  <c r="AB191" i="46"/>
  <c r="T124" i="46"/>
  <c r="U124" i="46"/>
  <c r="V124" i="46"/>
  <c r="W124" i="46"/>
  <c r="X124" i="46"/>
  <c r="Y124" i="46"/>
  <c r="Z124" i="46"/>
  <c r="AA124" i="46"/>
  <c r="AB192" i="46"/>
  <c r="T125" i="46"/>
  <c r="U125" i="46"/>
  <c r="V125" i="46"/>
  <c r="W125" i="46"/>
  <c r="X125" i="46"/>
  <c r="Y125" i="46"/>
  <c r="Z125" i="46"/>
  <c r="AA125" i="46"/>
  <c r="AB193" i="46"/>
  <c r="T126" i="46"/>
  <c r="U126" i="46"/>
  <c r="V126" i="46"/>
  <c r="W126" i="46"/>
  <c r="X126" i="46"/>
  <c r="Y126" i="46"/>
  <c r="Z126" i="46"/>
  <c r="AA126" i="46"/>
  <c r="AB194" i="46"/>
  <c r="T127" i="46"/>
  <c r="U127" i="46"/>
  <c r="V127" i="46"/>
  <c r="W127" i="46"/>
  <c r="X127" i="46"/>
  <c r="Y127" i="46"/>
  <c r="Z127" i="46"/>
  <c r="AA127" i="46"/>
  <c r="AB195" i="46"/>
  <c r="T128" i="46"/>
  <c r="U128" i="46"/>
  <c r="V128" i="46"/>
  <c r="W128" i="46"/>
  <c r="X128" i="46"/>
  <c r="Y128" i="46"/>
  <c r="Z128" i="46"/>
  <c r="AA128" i="46"/>
  <c r="AB196" i="46"/>
  <c r="T129" i="46"/>
  <c r="U129" i="46"/>
  <c r="V129" i="46"/>
  <c r="W129" i="46"/>
  <c r="X129" i="46"/>
  <c r="Y129" i="46"/>
  <c r="Z129" i="46"/>
  <c r="AA129" i="46"/>
  <c r="AB197" i="46"/>
  <c r="T130" i="46"/>
  <c r="U130" i="46"/>
  <c r="V130" i="46"/>
  <c r="W130" i="46"/>
  <c r="X130" i="46"/>
  <c r="Y130" i="46"/>
  <c r="Z130" i="46"/>
  <c r="AA130" i="46"/>
  <c r="AB198" i="46"/>
  <c r="T131" i="46"/>
  <c r="U131" i="46"/>
  <c r="V131" i="46"/>
  <c r="W131" i="46"/>
  <c r="X131" i="46"/>
  <c r="Y131" i="46"/>
  <c r="Z131" i="46"/>
  <c r="AA131" i="46"/>
  <c r="AB199" i="46"/>
  <c r="T132" i="46"/>
  <c r="U132" i="46"/>
  <c r="V132" i="46"/>
  <c r="W132" i="46"/>
  <c r="X132" i="46"/>
  <c r="Y132" i="46"/>
  <c r="Z132" i="46"/>
  <c r="AA132" i="46"/>
  <c r="AB200" i="46"/>
  <c r="T133" i="46"/>
  <c r="U133" i="46"/>
  <c r="V133" i="46"/>
  <c r="W133" i="46"/>
  <c r="X133" i="46"/>
  <c r="Y133" i="46"/>
  <c r="Z133" i="46"/>
  <c r="AA133" i="46"/>
  <c r="AB201" i="46"/>
  <c r="T134" i="46"/>
  <c r="U134" i="46"/>
  <c r="V134" i="46"/>
  <c r="W134" i="46"/>
  <c r="X134" i="46"/>
  <c r="Y134" i="46"/>
  <c r="Z134" i="46"/>
  <c r="AA134" i="46"/>
  <c r="AB202" i="46"/>
  <c r="AB203" i="46"/>
  <c r="T136" i="46"/>
  <c r="U136" i="46"/>
  <c r="V136" i="46"/>
  <c r="W136" i="46"/>
  <c r="X136" i="46"/>
  <c r="Y136" i="46"/>
  <c r="Z136" i="46"/>
  <c r="AA136" i="46"/>
  <c r="AB204" i="46"/>
  <c r="T137" i="46"/>
  <c r="U137" i="46"/>
  <c r="V137" i="46"/>
  <c r="W137" i="46"/>
  <c r="X137" i="46"/>
  <c r="Y137" i="46"/>
  <c r="Z137" i="46"/>
  <c r="AA137" i="46"/>
  <c r="AB205" i="46"/>
  <c r="T138" i="46"/>
  <c r="U138" i="46"/>
  <c r="V138" i="46"/>
  <c r="W138" i="46"/>
  <c r="X138" i="46"/>
  <c r="Y138" i="46"/>
  <c r="Z138" i="46"/>
  <c r="AA138" i="46"/>
  <c r="AB206" i="46"/>
  <c r="T139" i="46"/>
  <c r="U139" i="46"/>
  <c r="V139" i="46"/>
  <c r="W139" i="46"/>
  <c r="X139" i="46"/>
  <c r="Y139" i="46"/>
  <c r="Z139" i="46"/>
  <c r="AA139" i="46"/>
  <c r="AB207" i="46"/>
  <c r="T140" i="46"/>
  <c r="U140" i="46"/>
  <c r="V140" i="46"/>
  <c r="W140" i="46"/>
  <c r="X140" i="46"/>
  <c r="Y140" i="46"/>
  <c r="Z140" i="46"/>
  <c r="AA140" i="46"/>
  <c r="AB208" i="46"/>
  <c r="T141" i="46"/>
  <c r="U141" i="46"/>
  <c r="V141" i="46"/>
  <c r="W141" i="46"/>
  <c r="X141" i="46"/>
  <c r="Y141" i="46"/>
  <c r="Z141" i="46"/>
  <c r="AA141" i="46"/>
  <c r="AB209" i="46"/>
  <c r="T142" i="46"/>
  <c r="U142" i="46"/>
  <c r="V142" i="46"/>
  <c r="W142" i="46"/>
  <c r="X142" i="46"/>
  <c r="Y142" i="46"/>
  <c r="Z142" i="46"/>
  <c r="AA142" i="46"/>
  <c r="AB210" i="46"/>
  <c r="T143" i="46"/>
  <c r="U143" i="46"/>
  <c r="V143" i="46"/>
  <c r="W143" i="46"/>
  <c r="X143" i="46"/>
  <c r="Y143" i="46"/>
  <c r="Z143" i="46"/>
  <c r="AA143" i="46"/>
  <c r="AB211" i="46"/>
  <c r="T144" i="46"/>
  <c r="U144" i="46"/>
  <c r="V144" i="46"/>
  <c r="W144" i="46"/>
  <c r="X144" i="46"/>
  <c r="Y144" i="46"/>
  <c r="Z144" i="46"/>
  <c r="AA144" i="46"/>
  <c r="AB212" i="46"/>
  <c r="T145" i="46"/>
  <c r="U145" i="46"/>
  <c r="V145" i="46"/>
  <c r="W145" i="46"/>
  <c r="X145" i="46"/>
  <c r="Y145" i="46"/>
  <c r="Z145" i="46"/>
  <c r="AA145" i="46"/>
  <c r="AB213" i="46"/>
  <c r="Q55" i="48"/>
  <c r="S146" i="46"/>
  <c r="T146" i="46"/>
  <c r="U146" i="46"/>
  <c r="V146" i="46"/>
  <c r="W146" i="46"/>
  <c r="X146" i="46"/>
  <c r="Y146" i="46"/>
  <c r="Z146" i="46"/>
  <c r="AA146" i="46"/>
  <c r="Q53" i="48"/>
  <c r="Q51" i="48"/>
  <c r="AD153" i="46"/>
  <c r="AD119" i="46"/>
  <c r="AC153" i="46"/>
  <c r="AC51" i="46"/>
  <c r="AE153" i="46"/>
  <c r="AE119" i="46"/>
  <c r="AF153" i="46"/>
  <c r="AF119" i="46"/>
  <c r="AG153" i="46"/>
  <c r="AG119" i="46"/>
  <c r="AH153" i="46"/>
  <c r="AH119" i="46"/>
  <c r="AD154" i="46"/>
  <c r="AD120" i="46"/>
  <c r="AC52" i="46"/>
  <c r="AE154" i="46"/>
  <c r="AE120" i="46"/>
  <c r="AF154" i="46"/>
  <c r="AF120" i="46"/>
  <c r="AG154" i="46"/>
  <c r="AG120" i="46"/>
  <c r="AH154" i="46"/>
  <c r="AH120" i="46"/>
  <c r="AI188" i="46"/>
  <c r="AC53" i="46"/>
  <c r="AD155" i="46"/>
  <c r="AD121" i="46"/>
  <c r="AE155" i="46"/>
  <c r="AE121" i="46"/>
  <c r="AF155" i="46"/>
  <c r="AF121" i="46"/>
  <c r="AG155" i="46"/>
  <c r="AG121" i="46"/>
  <c r="AH155" i="46"/>
  <c r="AH121" i="46"/>
  <c r="AI189" i="46"/>
  <c r="AC54" i="46"/>
  <c r="AD156" i="46"/>
  <c r="AD122" i="46"/>
  <c r="AE156" i="46"/>
  <c r="AE122" i="46"/>
  <c r="AF156" i="46"/>
  <c r="AF122" i="46"/>
  <c r="AG156" i="46"/>
  <c r="AG122" i="46"/>
  <c r="AH156" i="46"/>
  <c r="AH122" i="46"/>
  <c r="AI190" i="46"/>
  <c r="AC55" i="46"/>
  <c r="AD157" i="46"/>
  <c r="AD123" i="46"/>
  <c r="AE157" i="46"/>
  <c r="AE123" i="46"/>
  <c r="AF157" i="46"/>
  <c r="AF123" i="46"/>
  <c r="AG157" i="46"/>
  <c r="AG123" i="46"/>
  <c r="AH157" i="46"/>
  <c r="AH123" i="46"/>
  <c r="AI191" i="46"/>
  <c r="AC56" i="46"/>
  <c r="AD158" i="46"/>
  <c r="AD124" i="46"/>
  <c r="AE158" i="46"/>
  <c r="AE124" i="46"/>
  <c r="AF158" i="46"/>
  <c r="AF124" i="46"/>
  <c r="AG158" i="46"/>
  <c r="AG124" i="46"/>
  <c r="AH158" i="46"/>
  <c r="AH124" i="46"/>
  <c r="AI192" i="46"/>
  <c r="AD159" i="46"/>
  <c r="AD125" i="46"/>
  <c r="AC57" i="46"/>
  <c r="AE159" i="46"/>
  <c r="AE125" i="46"/>
  <c r="AF159" i="46"/>
  <c r="AF125" i="46"/>
  <c r="AG159" i="46"/>
  <c r="AG125" i="46"/>
  <c r="AH159" i="46"/>
  <c r="AH125" i="46"/>
  <c r="AI193" i="46"/>
  <c r="AC58" i="46"/>
  <c r="AD160" i="46"/>
  <c r="AD126" i="46"/>
  <c r="AE160" i="46"/>
  <c r="AE126" i="46"/>
  <c r="AF160" i="46"/>
  <c r="AF126" i="46"/>
  <c r="AG160" i="46"/>
  <c r="AG126" i="46"/>
  <c r="AH160" i="46"/>
  <c r="AH126" i="46"/>
  <c r="AI194" i="46"/>
  <c r="AD161" i="46"/>
  <c r="AD127" i="46"/>
  <c r="AC59" i="46"/>
  <c r="AE161" i="46"/>
  <c r="AE127" i="46"/>
  <c r="AF161" i="46"/>
  <c r="AF127" i="46"/>
  <c r="AG161" i="46"/>
  <c r="AG127" i="46"/>
  <c r="AH161" i="46"/>
  <c r="AH127" i="46"/>
  <c r="AI195" i="46"/>
  <c r="AC60" i="46"/>
  <c r="AD162" i="46"/>
  <c r="AD128" i="46"/>
  <c r="AE162" i="46"/>
  <c r="AE128" i="46"/>
  <c r="AF162" i="46"/>
  <c r="AF128" i="46"/>
  <c r="AG162" i="46"/>
  <c r="AG128" i="46"/>
  <c r="AH162" i="46"/>
  <c r="AH128" i="46"/>
  <c r="AI196" i="46"/>
  <c r="AC61" i="46"/>
  <c r="AD163" i="46"/>
  <c r="AD129" i="46"/>
  <c r="AE163" i="46"/>
  <c r="AE129" i="46"/>
  <c r="AF163" i="46"/>
  <c r="AF129" i="46"/>
  <c r="AG163" i="46"/>
  <c r="AG129" i="46"/>
  <c r="AH163" i="46"/>
  <c r="AH129" i="46"/>
  <c r="AI197" i="46"/>
  <c r="AC62" i="46"/>
  <c r="AD164" i="46"/>
  <c r="AD130" i="46"/>
  <c r="AE164" i="46"/>
  <c r="AE130" i="46"/>
  <c r="AF164" i="46"/>
  <c r="AF130" i="46"/>
  <c r="AG164" i="46"/>
  <c r="AG130" i="46"/>
  <c r="AH164" i="46"/>
  <c r="AH130" i="46"/>
  <c r="AI198" i="46"/>
  <c r="AD165" i="46"/>
  <c r="AD131" i="46"/>
  <c r="AC63" i="46"/>
  <c r="AE165" i="46"/>
  <c r="AE131" i="46"/>
  <c r="AF165" i="46"/>
  <c r="AF131" i="46"/>
  <c r="AG165" i="46"/>
  <c r="AG131" i="46"/>
  <c r="AH165" i="46"/>
  <c r="AH131" i="46"/>
  <c r="AI199" i="46"/>
  <c r="AD166" i="46"/>
  <c r="AD132" i="46"/>
  <c r="AC64" i="46"/>
  <c r="AE166" i="46"/>
  <c r="AE132" i="46"/>
  <c r="AF166" i="46"/>
  <c r="AF132" i="46"/>
  <c r="AG166" i="46"/>
  <c r="AG132" i="46"/>
  <c r="AH166" i="46"/>
  <c r="AH132" i="46"/>
  <c r="AI200" i="46"/>
  <c r="AD167" i="46"/>
  <c r="AD133" i="46"/>
  <c r="AC65" i="46"/>
  <c r="AE167" i="46"/>
  <c r="AE133" i="46"/>
  <c r="AF167" i="46"/>
  <c r="AF133" i="46"/>
  <c r="AG167" i="46"/>
  <c r="AG133" i="46"/>
  <c r="AH167" i="46"/>
  <c r="AH133" i="46"/>
  <c r="AI201" i="46"/>
  <c r="AD168" i="46"/>
  <c r="AD134" i="46"/>
  <c r="AC66" i="46"/>
  <c r="AE168" i="46"/>
  <c r="AE134" i="46"/>
  <c r="AF168" i="46"/>
  <c r="AF134" i="46"/>
  <c r="AG168" i="46"/>
  <c r="AG134" i="46"/>
  <c r="AH168" i="46"/>
  <c r="AH134" i="46"/>
  <c r="AI202" i="46"/>
  <c r="AD169" i="46"/>
  <c r="AC67" i="46"/>
  <c r="AE169" i="46"/>
  <c r="AF169" i="46"/>
  <c r="AG169" i="46"/>
  <c r="AH169" i="46"/>
  <c r="AI203" i="46"/>
  <c r="AD170" i="46"/>
  <c r="AD136" i="46"/>
  <c r="AC68" i="46"/>
  <c r="AE170" i="46"/>
  <c r="AE136" i="46"/>
  <c r="AF170" i="46"/>
  <c r="AF136" i="46"/>
  <c r="AG170" i="46"/>
  <c r="AG136" i="46"/>
  <c r="AH170" i="46"/>
  <c r="AH136" i="46"/>
  <c r="AI204" i="46"/>
  <c r="AD171" i="46"/>
  <c r="AD137" i="46"/>
  <c r="AC69" i="46"/>
  <c r="AE171" i="46"/>
  <c r="AE137" i="46"/>
  <c r="AF171" i="46"/>
  <c r="AF137" i="46"/>
  <c r="AG171" i="46"/>
  <c r="AG137" i="46"/>
  <c r="AH171" i="46"/>
  <c r="AH137" i="46"/>
  <c r="AI205" i="46"/>
  <c r="AD172" i="46"/>
  <c r="AD138" i="46"/>
  <c r="AC70" i="46"/>
  <c r="AE172" i="46"/>
  <c r="AE138" i="46"/>
  <c r="AF172" i="46"/>
  <c r="AF138" i="46"/>
  <c r="AG172" i="46"/>
  <c r="AG138" i="46"/>
  <c r="AH172" i="46"/>
  <c r="AH138" i="46"/>
  <c r="AI206" i="46"/>
  <c r="AD173" i="46"/>
  <c r="AD139" i="46"/>
  <c r="AC71" i="46"/>
  <c r="AE173" i="46"/>
  <c r="AE139" i="46"/>
  <c r="AF173" i="46"/>
  <c r="AF139" i="46"/>
  <c r="AG173" i="46"/>
  <c r="AG139" i="46"/>
  <c r="AH173" i="46"/>
  <c r="AH139" i="46"/>
  <c r="AI207" i="46"/>
  <c r="AD174" i="46"/>
  <c r="AD140" i="46"/>
  <c r="AC72" i="46"/>
  <c r="AE174" i="46"/>
  <c r="AE140" i="46"/>
  <c r="AF174" i="46"/>
  <c r="AF140" i="46"/>
  <c r="AG174" i="46"/>
  <c r="AG140" i="46"/>
  <c r="AH174" i="46"/>
  <c r="AH140" i="46"/>
  <c r="AI208" i="46"/>
  <c r="AD175" i="46"/>
  <c r="AC73" i="46"/>
  <c r="AD141" i="46"/>
  <c r="AE175" i="46"/>
  <c r="AE141" i="46"/>
  <c r="AF175" i="46"/>
  <c r="AF141" i="46"/>
  <c r="AG175" i="46"/>
  <c r="AG141" i="46"/>
  <c r="AH175" i="46"/>
  <c r="AH141" i="46"/>
  <c r="AI209" i="46"/>
  <c r="AD176" i="46"/>
  <c r="AC74" i="46"/>
  <c r="AD142" i="46"/>
  <c r="AE176" i="46"/>
  <c r="AE142" i="46"/>
  <c r="AF176" i="46"/>
  <c r="AF142" i="46"/>
  <c r="AG176" i="46"/>
  <c r="AG142" i="46"/>
  <c r="AH176" i="46"/>
  <c r="AH142" i="46"/>
  <c r="AI210" i="46"/>
  <c r="AD177" i="46"/>
  <c r="AC75" i="46"/>
  <c r="AD143" i="46"/>
  <c r="AE177" i="46"/>
  <c r="AE143" i="46"/>
  <c r="AF177" i="46"/>
  <c r="AF143" i="46"/>
  <c r="AG177" i="46"/>
  <c r="AG143" i="46"/>
  <c r="AH177" i="46"/>
  <c r="AH143" i="46"/>
  <c r="AI211" i="46"/>
  <c r="AD178" i="46"/>
  <c r="AD144" i="46"/>
  <c r="AE178" i="46"/>
  <c r="AE144" i="46"/>
  <c r="AF178" i="46"/>
  <c r="AF144" i="46"/>
  <c r="AG178" i="46"/>
  <c r="AG144" i="46"/>
  <c r="AH178" i="46"/>
  <c r="AH144" i="46"/>
  <c r="AI212" i="46"/>
  <c r="AD179" i="46"/>
  <c r="AD145" i="46"/>
  <c r="AE179" i="46"/>
  <c r="AE145" i="46"/>
  <c r="AF179" i="46"/>
  <c r="AF145" i="46"/>
  <c r="AG179" i="46"/>
  <c r="AG145" i="46"/>
  <c r="AH179" i="46"/>
  <c r="AH145" i="46"/>
  <c r="AI213" i="46"/>
  <c r="AC146" i="46"/>
  <c r="AD146" i="46"/>
  <c r="AD180" i="46"/>
  <c r="AE146" i="46"/>
  <c r="AE180" i="46"/>
  <c r="AF146" i="46"/>
  <c r="AF180" i="46"/>
  <c r="AG146" i="46"/>
  <c r="AG180" i="46"/>
  <c r="AH146" i="46"/>
  <c r="AH180" i="46"/>
  <c r="AI214" i="46"/>
  <c r="Q83" i="48"/>
  <c r="Q81" i="48"/>
  <c r="Q79" i="48"/>
  <c r="AK153" i="46"/>
  <c r="AK119" i="46"/>
  <c r="AJ153" i="46"/>
  <c r="AJ51" i="46"/>
  <c r="AL153" i="46"/>
  <c r="AL119" i="46"/>
  <c r="AM153" i="46"/>
  <c r="AM119" i="46"/>
  <c r="AN153" i="46"/>
  <c r="AN119" i="46"/>
  <c r="AO187" i="46"/>
  <c r="AK154" i="46"/>
  <c r="AK120" i="46"/>
  <c r="AJ52" i="46"/>
  <c r="AL154" i="46"/>
  <c r="AL120" i="46"/>
  <c r="AM154" i="46"/>
  <c r="AM120" i="46"/>
  <c r="AN154" i="46"/>
  <c r="AN120" i="46"/>
  <c r="AO188" i="46"/>
  <c r="AJ53" i="46"/>
  <c r="AK155" i="46"/>
  <c r="AK121" i="46"/>
  <c r="AL155" i="46"/>
  <c r="AL121" i="46"/>
  <c r="AM155" i="46"/>
  <c r="AM121" i="46"/>
  <c r="AN155" i="46"/>
  <c r="AN121" i="46"/>
  <c r="AO189" i="46"/>
  <c r="AJ54" i="46"/>
  <c r="AK156" i="46"/>
  <c r="AK122" i="46"/>
  <c r="AL156" i="46"/>
  <c r="AL122" i="46"/>
  <c r="AM156" i="46"/>
  <c r="AM122" i="46"/>
  <c r="AN156" i="46"/>
  <c r="AN122" i="46"/>
  <c r="AO190" i="46"/>
  <c r="AJ55" i="46"/>
  <c r="AK157" i="46"/>
  <c r="AK123" i="46"/>
  <c r="AL157" i="46"/>
  <c r="AL123" i="46"/>
  <c r="AM157" i="46"/>
  <c r="AM123" i="46"/>
  <c r="AN157" i="46"/>
  <c r="AN123" i="46"/>
  <c r="AO191" i="46"/>
  <c r="AJ56" i="46"/>
  <c r="AK158" i="46"/>
  <c r="AK124" i="46"/>
  <c r="AL158" i="46"/>
  <c r="AL124" i="46"/>
  <c r="AM158" i="46"/>
  <c r="AM124" i="46"/>
  <c r="AN158" i="46"/>
  <c r="AN124" i="46"/>
  <c r="AO192" i="46"/>
  <c r="AK159" i="46"/>
  <c r="AK125" i="46"/>
  <c r="AJ57" i="46"/>
  <c r="AL159" i="46"/>
  <c r="AL125" i="46"/>
  <c r="AM159" i="46"/>
  <c r="AM125" i="46"/>
  <c r="AN159" i="46"/>
  <c r="AN125" i="46"/>
  <c r="AO193" i="46"/>
  <c r="AJ58" i="46"/>
  <c r="AK160" i="46"/>
  <c r="AK126" i="46"/>
  <c r="AL160" i="46"/>
  <c r="AL126" i="46"/>
  <c r="AM160" i="46"/>
  <c r="AM126" i="46"/>
  <c r="AN160" i="46"/>
  <c r="AN126" i="46"/>
  <c r="AO194" i="46"/>
  <c r="AK161" i="46"/>
  <c r="AK127" i="46"/>
  <c r="AJ59" i="46"/>
  <c r="AL161" i="46"/>
  <c r="AL127" i="46"/>
  <c r="AM161" i="46"/>
  <c r="AM127" i="46"/>
  <c r="AN161" i="46"/>
  <c r="AN127" i="46"/>
  <c r="AO195" i="46"/>
  <c r="AJ60" i="46"/>
  <c r="AK162" i="46"/>
  <c r="AK128" i="46"/>
  <c r="AL162" i="46"/>
  <c r="AL128" i="46"/>
  <c r="AM162" i="46"/>
  <c r="AM128" i="46"/>
  <c r="AN162" i="46"/>
  <c r="AN128" i="46"/>
  <c r="AO196" i="46"/>
  <c r="AJ61" i="46"/>
  <c r="AK163" i="46"/>
  <c r="AK129" i="46"/>
  <c r="AL163" i="46"/>
  <c r="AL129" i="46"/>
  <c r="AM163" i="46"/>
  <c r="AM129" i="46"/>
  <c r="AN163" i="46"/>
  <c r="AN129" i="46"/>
  <c r="AO197" i="46"/>
  <c r="AJ62" i="46"/>
  <c r="AK164" i="46"/>
  <c r="AK130" i="46"/>
  <c r="AL164" i="46"/>
  <c r="AL130" i="46"/>
  <c r="AM164" i="46"/>
  <c r="AM130" i="46"/>
  <c r="AN164" i="46"/>
  <c r="AN130" i="46"/>
  <c r="AO198" i="46"/>
  <c r="AK165" i="46"/>
  <c r="AK131" i="46"/>
  <c r="AJ63" i="46"/>
  <c r="AL165" i="46"/>
  <c r="AL131" i="46"/>
  <c r="AM165" i="46"/>
  <c r="AM131" i="46"/>
  <c r="AN165" i="46"/>
  <c r="AN131" i="46"/>
  <c r="AO199" i="46"/>
  <c r="AK166" i="46"/>
  <c r="AK132" i="46"/>
  <c r="AJ64" i="46"/>
  <c r="AL166" i="46"/>
  <c r="AL132" i="46"/>
  <c r="AM166" i="46"/>
  <c r="AM132" i="46"/>
  <c r="AN166" i="46"/>
  <c r="AN132" i="46"/>
  <c r="AO200" i="46"/>
  <c r="AK167" i="46"/>
  <c r="AK133" i="46"/>
  <c r="AJ65" i="46"/>
  <c r="AL167" i="46"/>
  <c r="AL133" i="46"/>
  <c r="AM167" i="46"/>
  <c r="AM133" i="46"/>
  <c r="AN167" i="46"/>
  <c r="AN133" i="46"/>
  <c r="AO201" i="46"/>
  <c r="AK168" i="46"/>
  <c r="AK134" i="46"/>
  <c r="AJ66" i="46"/>
  <c r="AL168" i="46"/>
  <c r="AL134" i="46"/>
  <c r="AM168" i="46"/>
  <c r="AM134" i="46"/>
  <c r="AN168" i="46"/>
  <c r="AN134" i="46"/>
  <c r="AO202" i="46"/>
  <c r="AK169" i="46"/>
  <c r="AJ67" i="46"/>
  <c r="AL169" i="46"/>
  <c r="AM169" i="46"/>
  <c r="AN169" i="46"/>
  <c r="AO203" i="46"/>
  <c r="AK170" i="46"/>
  <c r="AK136" i="46"/>
  <c r="AJ68" i="46"/>
  <c r="AL170" i="46"/>
  <c r="AL136" i="46"/>
  <c r="AM170" i="46"/>
  <c r="AM136" i="46"/>
  <c r="AN170" i="46"/>
  <c r="AN136" i="46"/>
  <c r="AO204" i="46"/>
  <c r="AK171" i="46"/>
  <c r="AK137" i="46"/>
  <c r="AJ69" i="46"/>
  <c r="AL171" i="46"/>
  <c r="AL137" i="46"/>
  <c r="AM171" i="46"/>
  <c r="AM137" i="46"/>
  <c r="AN171" i="46"/>
  <c r="AN137" i="46"/>
  <c r="AO205" i="46"/>
  <c r="AK172" i="46"/>
  <c r="AK138" i="46"/>
  <c r="AJ70" i="46"/>
  <c r="AL172" i="46"/>
  <c r="AL138" i="46"/>
  <c r="AM172" i="46"/>
  <c r="AM138" i="46"/>
  <c r="AN172" i="46"/>
  <c r="AN138" i="46"/>
  <c r="AO206" i="46"/>
  <c r="AK173" i="46"/>
  <c r="AK139" i="46"/>
  <c r="AJ71" i="46"/>
  <c r="AL173" i="46"/>
  <c r="AL139" i="46"/>
  <c r="AM173" i="46"/>
  <c r="AM139" i="46"/>
  <c r="AN173" i="46"/>
  <c r="AN139" i="46"/>
  <c r="AO207" i="46"/>
  <c r="AK174" i="46"/>
  <c r="AK140" i="46"/>
  <c r="AJ72" i="46"/>
  <c r="AL174" i="46"/>
  <c r="AL140" i="46"/>
  <c r="AM174" i="46"/>
  <c r="AM140" i="46"/>
  <c r="AN174" i="46"/>
  <c r="AN140" i="46"/>
  <c r="AO208" i="46"/>
  <c r="AK175" i="46"/>
  <c r="AJ73" i="46"/>
  <c r="AK141" i="46"/>
  <c r="AL175" i="46"/>
  <c r="AL141" i="46"/>
  <c r="AM175" i="46"/>
  <c r="AM141" i="46"/>
  <c r="AN175" i="46"/>
  <c r="AN141" i="46"/>
  <c r="AO209" i="46"/>
  <c r="AK176" i="46"/>
  <c r="AJ74" i="46"/>
  <c r="AK142" i="46"/>
  <c r="AL176" i="46"/>
  <c r="AL142" i="46"/>
  <c r="AM176" i="46"/>
  <c r="AM142" i="46"/>
  <c r="AN176" i="46"/>
  <c r="AN142" i="46"/>
  <c r="AO210" i="46"/>
  <c r="AK177" i="46"/>
  <c r="AJ75" i="46"/>
  <c r="AK143" i="46"/>
  <c r="AL177" i="46"/>
  <c r="AL143" i="46"/>
  <c r="AM177" i="46"/>
  <c r="AM143" i="46"/>
  <c r="AN177" i="46"/>
  <c r="AN143" i="46"/>
  <c r="AO211" i="46"/>
  <c r="AK178" i="46"/>
  <c r="AK144" i="46"/>
  <c r="AL178" i="46"/>
  <c r="AL144" i="46"/>
  <c r="AM178" i="46"/>
  <c r="AM144" i="46"/>
  <c r="AN178" i="46"/>
  <c r="AN144" i="46"/>
  <c r="AO212" i="46"/>
  <c r="AK179" i="46"/>
  <c r="AK145" i="46"/>
  <c r="AL179" i="46"/>
  <c r="AL145" i="46"/>
  <c r="AM179" i="46"/>
  <c r="AM145" i="46"/>
  <c r="AN179" i="46"/>
  <c r="AN145" i="46"/>
  <c r="AO213" i="46"/>
  <c r="AJ146" i="46"/>
  <c r="AK146" i="46"/>
  <c r="AK180" i="46"/>
  <c r="AL146" i="46"/>
  <c r="AL180" i="46"/>
  <c r="AM146" i="46"/>
  <c r="AM180" i="46"/>
  <c r="AN146" i="46"/>
  <c r="AN180" i="46"/>
  <c r="AO214" i="46"/>
  <c r="Q111" i="48"/>
  <c r="Q109" i="48"/>
  <c r="Q107" i="48"/>
  <c r="Q105" i="48"/>
  <c r="Q77" i="48"/>
  <c r="Q49" i="48"/>
  <c r="P103" i="48"/>
  <c r="P75" i="48"/>
  <c r="O154" i="46"/>
  <c r="O120" i="46"/>
  <c r="P154" i="46"/>
  <c r="P120" i="46"/>
  <c r="Q154" i="46"/>
  <c r="Q120" i="46"/>
  <c r="O155" i="46"/>
  <c r="O121" i="46"/>
  <c r="P155" i="46"/>
  <c r="P121" i="46"/>
  <c r="Q155" i="46"/>
  <c r="Q121" i="46"/>
  <c r="O156" i="46"/>
  <c r="O122" i="46"/>
  <c r="P156" i="46"/>
  <c r="P122" i="46"/>
  <c r="Q156" i="46"/>
  <c r="Q122" i="46"/>
  <c r="O157" i="46"/>
  <c r="O123" i="46"/>
  <c r="P157" i="46"/>
  <c r="P123" i="46"/>
  <c r="Q157" i="46"/>
  <c r="Q123" i="46"/>
  <c r="O158" i="46"/>
  <c r="O124" i="46"/>
  <c r="P158" i="46"/>
  <c r="P124" i="46"/>
  <c r="Q158" i="46"/>
  <c r="Q124" i="46"/>
  <c r="O159" i="46"/>
  <c r="O125" i="46"/>
  <c r="P159" i="46"/>
  <c r="P125" i="46"/>
  <c r="Q159" i="46"/>
  <c r="Q125" i="46"/>
  <c r="O160" i="46"/>
  <c r="O126" i="46"/>
  <c r="P160" i="46"/>
  <c r="P126" i="46"/>
  <c r="Q160" i="46"/>
  <c r="Q126" i="46"/>
  <c r="O161" i="46"/>
  <c r="O127" i="46"/>
  <c r="P161" i="46"/>
  <c r="P127" i="46"/>
  <c r="Q161" i="46"/>
  <c r="Q127" i="46"/>
  <c r="O162" i="46"/>
  <c r="O128" i="46"/>
  <c r="P162" i="46"/>
  <c r="P128" i="46"/>
  <c r="Q162" i="46"/>
  <c r="Q128" i="46"/>
  <c r="O163" i="46"/>
  <c r="O129" i="46"/>
  <c r="P163" i="46"/>
  <c r="P129" i="46"/>
  <c r="Q163" i="46"/>
  <c r="Q129" i="46"/>
  <c r="O164" i="46"/>
  <c r="O130" i="46"/>
  <c r="P164" i="46"/>
  <c r="P130" i="46"/>
  <c r="Q164" i="46"/>
  <c r="Q130" i="46"/>
  <c r="O165" i="46"/>
  <c r="O131" i="46"/>
  <c r="P165" i="46"/>
  <c r="P131" i="46"/>
  <c r="Q165" i="46"/>
  <c r="Q131" i="46"/>
  <c r="O166" i="46"/>
  <c r="O132" i="46"/>
  <c r="P166" i="46"/>
  <c r="P132" i="46"/>
  <c r="Q166" i="46"/>
  <c r="Q132" i="46"/>
  <c r="O167" i="46"/>
  <c r="O133" i="46"/>
  <c r="P167" i="46"/>
  <c r="P133" i="46"/>
  <c r="Q167" i="46"/>
  <c r="Q133" i="46"/>
  <c r="O168" i="46"/>
  <c r="O134" i="46"/>
  <c r="P168" i="46"/>
  <c r="P134" i="46"/>
  <c r="Q168" i="46"/>
  <c r="Q134" i="46"/>
  <c r="O170" i="46"/>
  <c r="O136" i="46"/>
  <c r="P170" i="46"/>
  <c r="P136" i="46"/>
  <c r="Q170" i="46"/>
  <c r="Q136" i="46"/>
  <c r="O171" i="46"/>
  <c r="O137" i="46"/>
  <c r="P171" i="46"/>
  <c r="P137" i="46"/>
  <c r="Q171" i="46"/>
  <c r="Q137" i="46"/>
  <c r="O172" i="46"/>
  <c r="O138" i="46"/>
  <c r="P172" i="46"/>
  <c r="P138" i="46"/>
  <c r="Q172" i="46"/>
  <c r="Q138" i="46"/>
  <c r="O173" i="46"/>
  <c r="O139" i="46"/>
  <c r="P173" i="46"/>
  <c r="P139" i="46"/>
  <c r="Q173" i="46"/>
  <c r="Q139" i="46"/>
  <c r="O174" i="46"/>
  <c r="O140" i="46"/>
  <c r="P174" i="46"/>
  <c r="P140" i="46"/>
  <c r="Q174" i="46"/>
  <c r="Q140" i="46"/>
  <c r="O175" i="46"/>
  <c r="O141" i="46"/>
  <c r="P175" i="46"/>
  <c r="P141" i="46"/>
  <c r="Q175" i="46"/>
  <c r="Q141" i="46"/>
  <c r="O176" i="46"/>
  <c r="O142" i="46"/>
  <c r="P176" i="46"/>
  <c r="P142" i="46"/>
  <c r="Q176" i="46"/>
  <c r="Q142" i="46"/>
  <c r="O177" i="46"/>
  <c r="O143" i="46"/>
  <c r="P177" i="46"/>
  <c r="P143" i="46"/>
  <c r="Q177" i="46"/>
  <c r="Q143" i="46"/>
  <c r="O178" i="46"/>
  <c r="O144" i="46"/>
  <c r="P178" i="46"/>
  <c r="P144" i="46"/>
  <c r="Q178" i="46"/>
  <c r="Q144" i="46"/>
  <c r="O179" i="46"/>
  <c r="O145" i="46"/>
  <c r="P179" i="46"/>
  <c r="P145" i="46"/>
  <c r="Q179" i="46"/>
  <c r="Q145" i="46"/>
  <c r="O119" i="46"/>
  <c r="P119" i="46"/>
  <c r="Q119" i="46"/>
  <c r="B100" i="48"/>
  <c r="C96" i="52"/>
  <c r="B74" i="48"/>
  <c r="S214" i="46"/>
  <c r="S213" i="46"/>
  <c r="AN135" i="46"/>
  <c r="AM135" i="46"/>
  <c r="AL135" i="46"/>
  <c r="AK135" i="46"/>
  <c r="AJ214" i="46"/>
  <c r="AJ213" i="46"/>
  <c r="AJ212" i="46"/>
  <c r="AJ211" i="46"/>
  <c r="AJ210" i="46"/>
  <c r="AJ209" i="46"/>
  <c r="AJ208" i="46"/>
  <c r="AJ207" i="46"/>
  <c r="AJ206" i="46"/>
  <c r="AJ205" i="46"/>
  <c r="AJ204" i="46"/>
  <c r="AJ203" i="46"/>
  <c r="AJ202" i="46"/>
  <c r="AJ201" i="46"/>
  <c r="AJ200" i="46"/>
  <c r="AJ199" i="46"/>
  <c r="AJ198" i="46"/>
  <c r="AJ197" i="46"/>
  <c r="AJ196" i="46"/>
  <c r="AJ195" i="46"/>
  <c r="AJ194" i="46"/>
  <c r="AJ193" i="46"/>
  <c r="AJ192" i="46"/>
  <c r="AJ191" i="46"/>
  <c r="AJ190" i="46"/>
  <c r="AJ189" i="46"/>
  <c r="AJ188" i="46"/>
  <c r="AJ187" i="46"/>
  <c r="AJ180" i="46"/>
  <c r="AJ179" i="46"/>
  <c r="AJ178" i="46"/>
  <c r="AJ177" i="46"/>
  <c r="AJ176" i="46"/>
  <c r="AJ175" i="46"/>
  <c r="AJ174" i="46"/>
  <c r="AJ173" i="46"/>
  <c r="AJ172" i="46"/>
  <c r="AJ171" i="46"/>
  <c r="AJ170" i="46"/>
  <c r="AJ169" i="46"/>
  <c r="AJ168" i="46"/>
  <c r="AJ167" i="46"/>
  <c r="AJ166" i="46"/>
  <c r="AJ165" i="46"/>
  <c r="AJ164" i="46"/>
  <c r="AJ163" i="46"/>
  <c r="AJ162" i="46"/>
  <c r="AJ161" i="46"/>
  <c r="AJ160" i="46"/>
  <c r="AJ159" i="46"/>
  <c r="AJ158" i="46"/>
  <c r="AJ157" i="46"/>
  <c r="AJ156" i="46"/>
  <c r="AJ155" i="46"/>
  <c r="AJ154" i="46"/>
  <c r="AJ145" i="46"/>
  <c r="AJ144" i="46"/>
  <c r="AJ143" i="46"/>
  <c r="AJ142" i="46"/>
  <c r="AJ141" i="46"/>
  <c r="AJ140" i="46"/>
  <c r="AJ139" i="46"/>
  <c r="AJ138" i="46"/>
  <c r="AJ137" i="46"/>
  <c r="AJ136" i="46"/>
  <c r="AJ135" i="46"/>
  <c r="AJ134" i="46"/>
  <c r="AJ133" i="46"/>
  <c r="AJ132" i="46"/>
  <c r="AJ131" i="46"/>
  <c r="AJ130" i="46"/>
  <c r="AJ129" i="46"/>
  <c r="AJ128" i="46"/>
  <c r="AJ127" i="46"/>
  <c r="AJ126" i="46"/>
  <c r="AJ125" i="46"/>
  <c r="AJ124" i="46"/>
  <c r="AJ123" i="46"/>
  <c r="AJ122" i="46"/>
  <c r="AJ121" i="46"/>
  <c r="AJ120" i="46"/>
  <c r="B119" i="46"/>
  <c r="AJ119" i="46"/>
  <c r="AH135" i="46"/>
  <c r="AG135" i="46"/>
  <c r="AF135" i="46"/>
  <c r="AE135" i="46"/>
  <c r="AD135" i="46"/>
  <c r="AC214" i="46"/>
  <c r="AC213" i="46"/>
  <c r="AC212" i="46"/>
  <c r="AC211" i="46"/>
  <c r="AC210" i="46"/>
  <c r="AC209" i="46"/>
  <c r="AC208" i="46"/>
  <c r="AC207" i="46"/>
  <c r="AC206" i="46"/>
  <c r="AC205" i="46"/>
  <c r="AC204" i="46"/>
  <c r="AC203" i="46"/>
  <c r="AC202" i="46"/>
  <c r="AC201" i="46"/>
  <c r="AC200" i="46"/>
  <c r="AC199" i="46"/>
  <c r="AC198" i="46"/>
  <c r="AC197" i="46"/>
  <c r="AC196" i="46"/>
  <c r="AC195" i="46"/>
  <c r="AC194" i="46"/>
  <c r="AC193" i="46"/>
  <c r="AC192" i="46"/>
  <c r="AC191" i="46"/>
  <c r="AC190" i="46"/>
  <c r="AC189" i="46"/>
  <c r="AC188" i="46"/>
  <c r="AC187" i="46"/>
  <c r="AC180" i="46"/>
  <c r="AC179" i="46"/>
  <c r="AC178" i="46"/>
  <c r="AC177" i="46"/>
  <c r="AC176" i="46"/>
  <c r="AC175" i="46"/>
  <c r="AC174" i="46"/>
  <c r="AC173" i="46"/>
  <c r="AC172" i="46"/>
  <c r="AC171" i="46"/>
  <c r="AC170" i="46"/>
  <c r="AC169" i="46"/>
  <c r="AC168" i="46"/>
  <c r="AC167" i="46"/>
  <c r="AC166" i="46"/>
  <c r="AC165" i="46"/>
  <c r="AC164" i="46"/>
  <c r="AC163" i="46"/>
  <c r="AC162" i="46"/>
  <c r="AC161" i="46"/>
  <c r="AC160" i="46"/>
  <c r="AC159" i="46"/>
  <c r="AC158" i="46"/>
  <c r="AC157" i="46"/>
  <c r="AC156" i="46"/>
  <c r="AC155" i="46"/>
  <c r="AC154" i="46"/>
  <c r="AC145" i="46"/>
  <c r="AC144" i="46"/>
  <c r="AC143" i="46"/>
  <c r="AC142" i="46"/>
  <c r="AC141" i="46"/>
  <c r="AC140" i="46"/>
  <c r="AC139" i="46"/>
  <c r="AC138" i="46"/>
  <c r="AC137" i="46"/>
  <c r="AC136" i="46"/>
  <c r="AC135" i="46"/>
  <c r="AC134" i="46"/>
  <c r="AC133" i="46"/>
  <c r="AC132" i="46"/>
  <c r="AC131" i="46"/>
  <c r="AC130" i="46"/>
  <c r="AC129" i="46"/>
  <c r="AC128" i="46"/>
  <c r="AC127" i="46"/>
  <c r="AC126" i="46"/>
  <c r="AC125" i="46"/>
  <c r="AC124" i="46"/>
  <c r="AC123" i="46"/>
  <c r="AC122" i="46"/>
  <c r="AC121" i="46"/>
  <c r="AC120" i="46"/>
  <c r="AC119" i="46"/>
  <c r="S180" i="46"/>
  <c r="BL44" i="46"/>
  <c r="J180" i="46"/>
  <c r="I180" i="46"/>
  <c r="H180" i="46"/>
  <c r="F180" i="46"/>
  <c r="G180" i="46"/>
  <c r="E180" i="46"/>
  <c r="D180" i="46"/>
  <c r="C180" i="46"/>
  <c r="J146" i="46"/>
  <c r="I146" i="46"/>
  <c r="H146" i="46"/>
  <c r="F146" i="46"/>
  <c r="G146" i="46"/>
  <c r="E146" i="46"/>
  <c r="D146" i="46"/>
  <c r="C146" i="46"/>
  <c r="AA135" i="46"/>
  <c r="Z135" i="46"/>
  <c r="Y135" i="46"/>
  <c r="X135" i="46"/>
  <c r="W135" i="46"/>
  <c r="V135" i="46"/>
  <c r="U135" i="46"/>
  <c r="T135" i="46"/>
  <c r="N179" i="46"/>
  <c r="N178" i="46"/>
  <c r="N177" i="46"/>
  <c r="N176" i="46"/>
  <c r="N175" i="46"/>
  <c r="N174" i="46"/>
  <c r="N173" i="46"/>
  <c r="N172" i="46"/>
  <c r="N171" i="46"/>
  <c r="N170" i="46"/>
  <c r="N168" i="46"/>
  <c r="N167" i="46"/>
  <c r="N166" i="46"/>
  <c r="N165" i="46"/>
  <c r="N164" i="46"/>
  <c r="N163" i="46"/>
  <c r="N162" i="46"/>
  <c r="N161" i="46"/>
  <c r="N160" i="46"/>
  <c r="N159" i="46"/>
  <c r="N158" i="46"/>
  <c r="N157" i="46"/>
  <c r="N156" i="46"/>
  <c r="N155" i="46"/>
  <c r="N154" i="46"/>
  <c r="N145" i="46"/>
  <c r="N144" i="46"/>
  <c r="N143" i="46"/>
  <c r="N142" i="46"/>
  <c r="N141" i="46"/>
  <c r="N140" i="46"/>
  <c r="N139" i="46"/>
  <c r="N138" i="46"/>
  <c r="N137" i="46"/>
  <c r="N136" i="46"/>
  <c r="Q135" i="46"/>
  <c r="P135" i="46"/>
  <c r="O135" i="46"/>
  <c r="N135" i="46"/>
  <c r="N134" i="46"/>
  <c r="N133" i="46"/>
  <c r="N132" i="46"/>
  <c r="N131" i="46"/>
  <c r="N130" i="46"/>
  <c r="N129" i="46"/>
  <c r="N128" i="46"/>
  <c r="N127" i="46"/>
  <c r="N126" i="46"/>
  <c r="N125" i="46"/>
  <c r="N124" i="46"/>
  <c r="N123" i="46"/>
  <c r="N122" i="46"/>
  <c r="N121" i="46"/>
  <c r="N120" i="46"/>
  <c r="N119" i="46"/>
  <c r="D105" i="52"/>
  <c r="B44" i="48"/>
  <c r="S212" i="46"/>
  <c r="S211" i="46"/>
  <c r="S210" i="46"/>
  <c r="S209" i="46"/>
  <c r="S208" i="46"/>
  <c r="S207" i="46"/>
  <c r="S206" i="46"/>
  <c r="S205" i="46"/>
  <c r="S204" i="46"/>
  <c r="S203" i="46"/>
  <c r="S202" i="46"/>
  <c r="S201" i="46"/>
  <c r="S200" i="46"/>
  <c r="S199" i="46"/>
  <c r="S198" i="46"/>
  <c r="S197" i="46"/>
  <c r="S196" i="46"/>
  <c r="S195" i="46"/>
  <c r="S194" i="46"/>
  <c r="S193" i="46"/>
  <c r="S192" i="46"/>
  <c r="S191" i="46"/>
  <c r="S190" i="46"/>
  <c r="S189" i="46"/>
  <c r="S188" i="46"/>
  <c r="S187" i="46"/>
  <c r="S179" i="46"/>
  <c r="S178" i="46"/>
  <c r="S177" i="46"/>
  <c r="S176" i="46"/>
  <c r="S175" i="46"/>
  <c r="S174" i="46"/>
  <c r="S173" i="46"/>
  <c r="S172" i="46"/>
  <c r="S171" i="46"/>
  <c r="S170" i="46"/>
  <c r="S169" i="46"/>
  <c r="S168" i="46"/>
  <c r="S167" i="46"/>
  <c r="S166" i="46"/>
  <c r="S165" i="46"/>
  <c r="S164" i="46"/>
  <c r="S163" i="46"/>
  <c r="S162" i="46"/>
  <c r="S161" i="46"/>
  <c r="S160" i="46"/>
  <c r="S159" i="46"/>
  <c r="S158" i="46"/>
  <c r="S157" i="46"/>
  <c r="S156" i="46"/>
  <c r="S155" i="46"/>
  <c r="S154" i="46"/>
  <c r="S145" i="46"/>
  <c r="S144" i="46"/>
  <c r="S143" i="46"/>
  <c r="S142" i="46"/>
  <c r="S141" i="46"/>
  <c r="S140" i="46"/>
  <c r="S139" i="46"/>
  <c r="S138" i="46"/>
  <c r="S137" i="46"/>
  <c r="S136" i="46"/>
  <c r="S135" i="46"/>
  <c r="S134" i="46"/>
  <c r="S133" i="46"/>
  <c r="S132" i="46"/>
  <c r="S131" i="46"/>
  <c r="S130" i="46"/>
  <c r="S129" i="46"/>
  <c r="S128" i="46"/>
  <c r="S127" i="46"/>
  <c r="S126" i="46"/>
  <c r="S125" i="46"/>
  <c r="S124" i="46"/>
  <c r="S123" i="46"/>
  <c r="S122" i="46"/>
  <c r="S121" i="46"/>
  <c r="S120" i="46"/>
  <c r="S119" i="46"/>
  <c r="AK71" i="11"/>
  <c r="AK72" i="11"/>
  <c r="T63" i="2"/>
  <c r="AI74" i="7"/>
  <c r="AI75" i="7"/>
  <c r="T34" i="2"/>
  <c r="AI88" i="7"/>
  <c r="AI89" i="7"/>
  <c r="T38" i="2"/>
  <c r="AI102" i="7"/>
  <c r="AI103" i="7"/>
  <c r="T42" i="2"/>
  <c r="AK60" i="11"/>
  <c r="AK61" i="11"/>
  <c r="T60" i="2"/>
  <c r="AK74" i="11"/>
  <c r="AK75" i="11"/>
  <c r="T64" i="2"/>
  <c r="AK21" i="11"/>
  <c r="AK22" i="11"/>
  <c r="T49" i="2"/>
  <c r="AK63" i="11"/>
  <c r="AK64" i="11"/>
  <c r="T61" i="2"/>
  <c r="AK77" i="11"/>
  <c r="AK78" i="11"/>
  <c r="T65" i="2"/>
  <c r="AI77" i="7"/>
  <c r="AI78" i="7"/>
  <c r="T35" i="2"/>
  <c r="AI91" i="7"/>
  <c r="AI92" i="7"/>
  <c r="T39" i="2"/>
  <c r="AI80" i="7"/>
  <c r="AI81" i="7"/>
  <c r="T36" i="2"/>
  <c r="AI94" i="7"/>
  <c r="AI95" i="7"/>
  <c r="T40" i="2"/>
  <c r="C153" i="46"/>
  <c r="D153" i="46"/>
  <c r="E153" i="46"/>
  <c r="F153" i="46"/>
  <c r="G153" i="46"/>
  <c r="H153" i="46"/>
  <c r="I153" i="46"/>
  <c r="J153" i="46"/>
  <c r="C154" i="46"/>
  <c r="D154" i="46"/>
  <c r="E154" i="46"/>
  <c r="F154" i="46"/>
  <c r="G154" i="46"/>
  <c r="H154" i="46"/>
  <c r="I154" i="46"/>
  <c r="J154" i="46"/>
  <c r="C155" i="46"/>
  <c r="D155" i="46"/>
  <c r="E155" i="46"/>
  <c r="F155" i="46"/>
  <c r="G155" i="46"/>
  <c r="H155" i="46"/>
  <c r="I155" i="46"/>
  <c r="J155" i="46"/>
  <c r="C156" i="46"/>
  <c r="D156" i="46"/>
  <c r="E156" i="46"/>
  <c r="F156" i="46"/>
  <c r="G156" i="46"/>
  <c r="H156" i="46"/>
  <c r="I156" i="46"/>
  <c r="J156" i="46"/>
  <c r="C157" i="46"/>
  <c r="D157" i="46"/>
  <c r="E157" i="46"/>
  <c r="F157" i="46"/>
  <c r="G157" i="46"/>
  <c r="H157" i="46"/>
  <c r="I157" i="46"/>
  <c r="J157" i="46"/>
  <c r="C158" i="46"/>
  <c r="D158" i="46"/>
  <c r="E158" i="46"/>
  <c r="F158" i="46"/>
  <c r="G158" i="46"/>
  <c r="H158" i="46"/>
  <c r="I158" i="46"/>
  <c r="J158" i="46"/>
  <c r="C159" i="46"/>
  <c r="D159" i="46"/>
  <c r="E159" i="46"/>
  <c r="F159" i="46"/>
  <c r="G159" i="46"/>
  <c r="H159" i="46"/>
  <c r="I159" i="46"/>
  <c r="J159" i="46"/>
  <c r="C160" i="46"/>
  <c r="D160" i="46"/>
  <c r="E160" i="46"/>
  <c r="F160" i="46"/>
  <c r="G160" i="46"/>
  <c r="H160" i="46"/>
  <c r="I160" i="46"/>
  <c r="J160" i="46"/>
  <c r="C161" i="46"/>
  <c r="D161" i="46"/>
  <c r="E161" i="46"/>
  <c r="F161" i="46"/>
  <c r="G161" i="46"/>
  <c r="H161" i="46"/>
  <c r="I161" i="46"/>
  <c r="J161" i="46"/>
  <c r="C162" i="46"/>
  <c r="D162" i="46"/>
  <c r="E162" i="46"/>
  <c r="F162" i="46"/>
  <c r="G162" i="46"/>
  <c r="H162" i="46"/>
  <c r="I162" i="46"/>
  <c r="J162" i="46"/>
  <c r="C163" i="46"/>
  <c r="D163" i="46"/>
  <c r="E163" i="46"/>
  <c r="F163" i="46"/>
  <c r="G163" i="46"/>
  <c r="H163" i="46"/>
  <c r="I163" i="46"/>
  <c r="J163" i="46"/>
  <c r="C164" i="46"/>
  <c r="D164" i="46"/>
  <c r="E164" i="46"/>
  <c r="F164" i="46"/>
  <c r="G164" i="46"/>
  <c r="H164" i="46"/>
  <c r="I164" i="46"/>
  <c r="J164" i="46"/>
  <c r="C165" i="46"/>
  <c r="D165" i="46"/>
  <c r="E165" i="46"/>
  <c r="F165" i="46"/>
  <c r="G165" i="46"/>
  <c r="H165" i="46"/>
  <c r="I165" i="46"/>
  <c r="J165" i="46"/>
  <c r="C166" i="46"/>
  <c r="D166" i="46"/>
  <c r="E166" i="46"/>
  <c r="F166" i="46"/>
  <c r="G166" i="46"/>
  <c r="H166" i="46"/>
  <c r="I166" i="46"/>
  <c r="J166" i="46"/>
  <c r="C167" i="46"/>
  <c r="D167" i="46"/>
  <c r="E167" i="46"/>
  <c r="F167" i="46"/>
  <c r="G167" i="46"/>
  <c r="H167" i="46"/>
  <c r="I167" i="46"/>
  <c r="J167" i="46"/>
  <c r="C168" i="46"/>
  <c r="D168" i="46"/>
  <c r="E168" i="46"/>
  <c r="F168" i="46"/>
  <c r="G168" i="46"/>
  <c r="H168" i="46"/>
  <c r="I168" i="46"/>
  <c r="J168" i="46"/>
  <c r="C169" i="46"/>
  <c r="D169" i="46"/>
  <c r="E169" i="46"/>
  <c r="F169" i="46"/>
  <c r="G169" i="46"/>
  <c r="H169" i="46"/>
  <c r="I169" i="46"/>
  <c r="J169" i="46"/>
  <c r="C170" i="46"/>
  <c r="D170" i="46"/>
  <c r="E170" i="46"/>
  <c r="F170" i="46"/>
  <c r="G170" i="46"/>
  <c r="H170" i="46"/>
  <c r="I170" i="46"/>
  <c r="J170" i="46"/>
  <c r="C171" i="46"/>
  <c r="D171" i="46"/>
  <c r="E171" i="46"/>
  <c r="F171" i="46"/>
  <c r="G171" i="46"/>
  <c r="H171" i="46"/>
  <c r="I171" i="46"/>
  <c r="J171" i="46"/>
  <c r="C172" i="46"/>
  <c r="D172" i="46"/>
  <c r="E172" i="46"/>
  <c r="F172" i="46"/>
  <c r="G172" i="46"/>
  <c r="H172" i="46"/>
  <c r="I172" i="46"/>
  <c r="J172" i="46"/>
  <c r="C173" i="46"/>
  <c r="D173" i="46"/>
  <c r="E173" i="46"/>
  <c r="F173" i="46"/>
  <c r="G173" i="46"/>
  <c r="H173" i="46"/>
  <c r="I173" i="46"/>
  <c r="J173" i="46"/>
  <c r="C174" i="46"/>
  <c r="D174" i="46"/>
  <c r="E174" i="46"/>
  <c r="F174" i="46"/>
  <c r="G174" i="46"/>
  <c r="H174" i="46"/>
  <c r="I174" i="46"/>
  <c r="J174" i="46"/>
  <c r="C175" i="46"/>
  <c r="D175" i="46"/>
  <c r="E175" i="46"/>
  <c r="F175" i="46"/>
  <c r="G175" i="46"/>
  <c r="H175" i="46"/>
  <c r="I175" i="46"/>
  <c r="J175" i="46"/>
  <c r="C176" i="46"/>
  <c r="D176" i="46"/>
  <c r="E176" i="46"/>
  <c r="F176" i="46"/>
  <c r="G176" i="46"/>
  <c r="H176" i="46"/>
  <c r="I176" i="46"/>
  <c r="J176" i="46"/>
  <c r="C177" i="46"/>
  <c r="D177" i="46"/>
  <c r="E177" i="46"/>
  <c r="F177" i="46"/>
  <c r="G177" i="46"/>
  <c r="H177" i="46"/>
  <c r="I177" i="46"/>
  <c r="J177" i="46"/>
  <c r="C178" i="46"/>
  <c r="D178" i="46"/>
  <c r="E178" i="46"/>
  <c r="F178" i="46"/>
  <c r="G178" i="46"/>
  <c r="H178" i="46"/>
  <c r="I178" i="46"/>
  <c r="J178" i="46"/>
  <c r="C179" i="46"/>
  <c r="D179" i="46"/>
  <c r="E179" i="46"/>
  <c r="F179" i="46"/>
  <c r="G179" i="46"/>
  <c r="H179" i="46"/>
  <c r="I179" i="46"/>
  <c r="J179" i="46"/>
  <c r="N213" i="46"/>
  <c r="K213" i="46"/>
  <c r="J213" i="46"/>
  <c r="I213" i="46"/>
  <c r="G213" i="46"/>
  <c r="H213" i="46"/>
  <c r="F213" i="46"/>
  <c r="E213" i="46"/>
  <c r="D213" i="46"/>
  <c r="N212" i="46"/>
  <c r="K212" i="46"/>
  <c r="J212" i="46"/>
  <c r="I212" i="46"/>
  <c r="G212" i="46"/>
  <c r="H212" i="46"/>
  <c r="F212" i="46"/>
  <c r="E212" i="46"/>
  <c r="D212" i="46"/>
  <c r="N211" i="46"/>
  <c r="K211" i="46"/>
  <c r="J211" i="46"/>
  <c r="I211" i="46"/>
  <c r="G211" i="46"/>
  <c r="H211" i="46"/>
  <c r="F211" i="46"/>
  <c r="E211" i="46"/>
  <c r="D211" i="46"/>
  <c r="N210" i="46"/>
  <c r="K210" i="46"/>
  <c r="J210" i="46"/>
  <c r="I210" i="46"/>
  <c r="G210" i="46"/>
  <c r="H210" i="46"/>
  <c r="F210" i="46"/>
  <c r="E210" i="46"/>
  <c r="D210" i="46"/>
  <c r="N209" i="46"/>
  <c r="K209" i="46"/>
  <c r="J209" i="46"/>
  <c r="I209" i="46"/>
  <c r="G209" i="46"/>
  <c r="H209" i="46"/>
  <c r="F209" i="46"/>
  <c r="E209" i="46"/>
  <c r="D209" i="46"/>
  <c r="N208" i="46"/>
  <c r="K208" i="46"/>
  <c r="J208" i="46"/>
  <c r="I208" i="46"/>
  <c r="G208" i="46"/>
  <c r="H208" i="46"/>
  <c r="F208" i="46"/>
  <c r="E208" i="46"/>
  <c r="D208" i="46"/>
  <c r="N207" i="46"/>
  <c r="K207" i="46"/>
  <c r="J207" i="46"/>
  <c r="I207" i="46"/>
  <c r="G207" i="46"/>
  <c r="H207" i="46"/>
  <c r="F207" i="46"/>
  <c r="E207" i="46"/>
  <c r="D207" i="46"/>
  <c r="N206" i="46"/>
  <c r="K206" i="46"/>
  <c r="J206" i="46"/>
  <c r="I206" i="46"/>
  <c r="G206" i="46"/>
  <c r="H206" i="46"/>
  <c r="F206" i="46"/>
  <c r="E206" i="46"/>
  <c r="D206" i="46"/>
  <c r="N205" i="46"/>
  <c r="K205" i="46"/>
  <c r="J205" i="46"/>
  <c r="I205" i="46"/>
  <c r="G205" i="46"/>
  <c r="H205" i="46"/>
  <c r="F205" i="46"/>
  <c r="E205" i="46"/>
  <c r="D205" i="46"/>
  <c r="N204" i="46"/>
  <c r="K204" i="46"/>
  <c r="J204" i="46"/>
  <c r="I204" i="46"/>
  <c r="G204" i="46"/>
  <c r="H204" i="46"/>
  <c r="F204" i="46"/>
  <c r="E204" i="46"/>
  <c r="D204" i="46"/>
  <c r="K203" i="46"/>
  <c r="J203" i="46"/>
  <c r="I203" i="46"/>
  <c r="G203" i="46"/>
  <c r="H203" i="46"/>
  <c r="F203" i="46"/>
  <c r="E203" i="46"/>
  <c r="D203" i="46"/>
  <c r="N202" i="46"/>
  <c r="K202" i="46"/>
  <c r="J202" i="46"/>
  <c r="I202" i="46"/>
  <c r="G202" i="46"/>
  <c r="H202" i="46"/>
  <c r="F202" i="46"/>
  <c r="E202" i="46"/>
  <c r="D202" i="46"/>
  <c r="N201" i="46"/>
  <c r="K201" i="46"/>
  <c r="J201" i="46"/>
  <c r="I201" i="46"/>
  <c r="G201" i="46"/>
  <c r="H201" i="46"/>
  <c r="F201" i="46"/>
  <c r="E201" i="46"/>
  <c r="D201" i="46"/>
  <c r="N200" i="46"/>
  <c r="K200" i="46"/>
  <c r="J200" i="46"/>
  <c r="I200" i="46"/>
  <c r="G200" i="46"/>
  <c r="H200" i="46"/>
  <c r="F200" i="46"/>
  <c r="E200" i="46"/>
  <c r="D200" i="46"/>
  <c r="N199" i="46"/>
  <c r="K199" i="46"/>
  <c r="J199" i="46"/>
  <c r="I199" i="46"/>
  <c r="G199" i="46"/>
  <c r="H199" i="46"/>
  <c r="F199" i="46"/>
  <c r="E199" i="46"/>
  <c r="D199" i="46"/>
  <c r="N198" i="46"/>
  <c r="K198" i="46"/>
  <c r="J198" i="46"/>
  <c r="I198" i="46"/>
  <c r="G198" i="46"/>
  <c r="H198" i="46"/>
  <c r="F198" i="46"/>
  <c r="E198" i="46"/>
  <c r="D198" i="46"/>
  <c r="N197" i="46"/>
  <c r="K197" i="46"/>
  <c r="J197" i="46"/>
  <c r="I197" i="46"/>
  <c r="G197" i="46"/>
  <c r="H197" i="46"/>
  <c r="F197" i="46"/>
  <c r="E197" i="46"/>
  <c r="D197" i="46"/>
  <c r="K196" i="46"/>
  <c r="J196" i="46"/>
  <c r="I196" i="46"/>
  <c r="G196" i="46"/>
  <c r="H196" i="46"/>
  <c r="F196" i="46"/>
  <c r="E196" i="46"/>
  <c r="D196" i="46"/>
  <c r="K195" i="46"/>
  <c r="J195" i="46"/>
  <c r="I195" i="46"/>
  <c r="G195" i="46"/>
  <c r="H195" i="46"/>
  <c r="F195" i="46"/>
  <c r="E195" i="46"/>
  <c r="D195" i="46"/>
  <c r="K194" i="46"/>
  <c r="J194" i="46"/>
  <c r="I194" i="46"/>
  <c r="G194" i="46"/>
  <c r="H194" i="46"/>
  <c r="F194" i="46"/>
  <c r="E194" i="46"/>
  <c r="D194" i="46"/>
  <c r="K193" i="46"/>
  <c r="J193" i="46"/>
  <c r="I193" i="46"/>
  <c r="G193" i="46"/>
  <c r="H193" i="46"/>
  <c r="F193" i="46"/>
  <c r="E193" i="46"/>
  <c r="D193" i="46"/>
  <c r="K192" i="46"/>
  <c r="J192" i="46"/>
  <c r="I192" i="46"/>
  <c r="G192" i="46"/>
  <c r="H192" i="46"/>
  <c r="F192" i="46"/>
  <c r="E192" i="46"/>
  <c r="D192" i="46"/>
  <c r="K191" i="46"/>
  <c r="J191" i="46"/>
  <c r="I191" i="46"/>
  <c r="G191" i="46"/>
  <c r="H191" i="46"/>
  <c r="F191" i="46"/>
  <c r="E191" i="46"/>
  <c r="D191" i="46"/>
  <c r="K190" i="46"/>
  <c r="J190" i="46"/>
  <c r="I190" i="46"/>
  <c r="G190" i="46"/>
  <c r="H190" i="46"/>
  <c r="F190" i="46"/>
  <c r="E190" i="46"/>
  <c r="D190" i="46"/>
  <c r="K189" i="46"/>
  <c r="J189" i="46"/>
  <c r="I189" i="46"/>
  <c r="G189" i="46"/>
  <c r="H189" i="46"/>
  <c r="F189" i="46"/>
  <c r="E189" i="46"/>
  <c r="D189" i="46"/>
  <c r="K187" i="46"/>
  <c r="J187" i="46"/>
  <c r="I187" i="46"/>
  <c r="G187" i="46"/>
  <c r="H187" i="46"/>
  <c r="F187" i="46"/>
  <c r="E187" i="46"/>
  <c r="D187" i="46"/>
  <c r="K188" i="46"/>
  <c r="J188" i="46"/>
  <c r="I188" i="46"/>
  <c r="G188" i="46"/>
  <c r="F188" i="46"/>
  <c r="E188" i="46"/>
  <c r="D188" i="46"/>
  <c r="H188" i="46"/>
  <c r="J145" i="46"/>
  <c r="I145" i="46"/>
  <c r="H145" i="46"/>
  <c r="F145" i="46"/>
  <c r="G145" i="46"/>
  <c r="E145" i="46"/>
  <c r="D145" i="46"/>
  <c r="C145" i="46"/>
  <c r="N188" i="46"/>
  <c r="N189" i="46"/>
  <c r="N190" i="46"/>
  <c r="N191" i="46"/>
  <c r="N192" i="46"/>
  <c r="N193" i="46"/>
  <c r="N194" i="46"/>
  <c r="N195" i="46"/>
  <c r="N196" i="46"/>
  <c r="H68" i="43"/>
  <c r="N68" i="43"/>
  <c r="H69" i="43"/>
  <c r="N69" i="43"/>
  <c r="M69" i="43"/>
  <c r="J70" i="43"/>
  <c r="N70" i="43"/>
  <c r="M68" i="43"/>
  <c r="H66" i="43"/>
  <c r="J66" i="43"/>
  <c r="N66" i="43"/>
  <c r="M66" i="43"/>
  <c r="L66" i="43"/>
  <c r="H65" i="43"/>
  <c r="I65" i="43"/>
  <c r="J65" i="43"/>
  <c r="N65" i="43"/>
  <c r="M65" i="43"/>
  <c r="L65" i="43"/>
  <c r="H63" i="43"/>
  <c r="I63" i="43"/>
  <c r="J63" i="43"/>
  <c r="N63" i="43"/>
  <c r="M63" i="43"/>
  <c r="L63" i="43"/>
  <c r="H67" i="43"/>
  <c r="H64" i="43"/>
  <c r="F24" i="53"/>
  <c r="F23" i="53"/>
  <c r="V91" i="2"/>
  <c r="K26" i="19"/>
  <c r="K27" i="19"/>
  <c r="K28" i="19"/>
  <c r="K29" i="19"/>
  <c r="K30" i="19"/>
  <c r="K31" i="19"/>
  <c r="K32" i="19"/>
  <c r="K33" i="19"/>
  <c r="K34" i="19"/>
  <c r="K35" i="19"/>
  <c r="K36" i="19"/>
  <c r="K37" i="19"/>
  <c r="K38" i="19"/>
  <c r="K39" i="19"/>
  <c r="K40" i="19"/>
  <c r="K41" i="19"/>
  <c r="K42" i="19"/>
  <c r="K43" i="19"/>
  <c r="K44" i="19"/>
  <c r="K45" i="19"/>
  <c r="K46" i="19"/>
  <c r="K51" i="19"/>
  <c r="K52" i="19"/>
  <c r="K53" i="19"/>
  <c r="K54" i="19"/>
  <c r="K55" i="19"/>
  <c r="K56" i="19"/>
  <c r="K25" i="19"/>
  <c r="K24" i="19"/>
  <c r="K23" i="19"/>
  <c r="K22" i="19"/>
  <c r="K21" i="19"/>
  <c r="K20" i="19"/>
  <c r="K19" i="19"/>
  <c r="K18" i="19"/>
  <c r="O56" i="19"/>
  <c r="Q56" i="19"/>
  <c r="O18" i="19"/>
  <c r="Q18" i="19"/>
  <c r="O19" i="19"/>
  <c r="Q19" i="19"/>
  <c r="O20" i="19"/>
  <c r="Q20" i="19"/>
  <c r="O21" i="19"/>
  <c r="Q21" i="19"/>
  <c r="O22" i="19"/>
  <c r="Q22" i="19"/>
  <c r="O23" i="19"/>
  <c r="Q23" i="19"/>
  <c r="O24" i="19"/>
  <c r="Q24" i="19"/>
  <c r="O25" i="19"/>
  <c r="Q25" i="19"/>
  <c r="O26" i="19"/>
  <c r="Q26" i="19"/>
  <c r="O27" i="19"/>
  <c r="Q27" i="19"/>
  <c r="O28" i="19"/>
  <c r="Q28" i="19"/>
  <c r="O29" i="19"/>
  <c r="Q29" i="19"/>
  <c r="O30" i="19"/>
  <c r="Q30" i="19"/>
  <c r="O31" i="19"/>
  <c r="Q31" i="19"/>
  <c r="O32" i="19"/>
  <c r="Q32" i="19"/>
  <c r="O33" i="19"/>
  <c r="Q33" i="19"/>
  <c r="O34" i="19"/>
  <c r="Q34" i="19"/>
  <c r="O35" i="19"/>
  <c r="Q35" i="19"/>
  <c r="O36" i="19"/>
  <c r="Q36" i="19"/>
  <c r="O37" i="19"/>
  <c r="Q37" i="19"/>
  <c r="O38" i="19"/>
  <c r="Q38" i="19"/>
  <c r="O39" i="19"/>
  <c r="Q39" i="19"/>
  <c r="O40" i="19"/>
  <c r="Q40" i="19"/>
  <c r="O41" i="19"/>
  <c r="Q41" i="19"/>
  <c r="O42" i="19"/>
  <c r="Q42" i="19"/>
  <c r="O43" i="19"/>
  <c r="Q43" i="19"/>
  <c r="O44" i="19"/>
  <c r="Q44" i="19"/>
  <c r="O45" i="19"/>
  <c r="Q45" i="19"/>
  <c r="O46" i="19"/>
  <c r="Q46" i="19"/>
  <c r="O51" i="19"/>
  <c r="Q51" i="19"/>
  <c r="O52" i="19"/>
  <c r="Q52" i="19"/>
  <c r="O53" i="19"/>
  <c r="Q53" i="19"/>
  <c r="O54" i="19"/>
  <c r="Q54" i="19"/>
  <c r="O55" i="19"/>
  <c r="Q55" i="19"/>
  <c r="O15" i="19"/>
  <c r="Q15" i="19"/>
  <c r="M15" i="19"/>
  <c r="S15" i="19"/>
  <c r="G37" i="38"/>
  <c r="J144" i="46"/>
  <c r="I144" i="46"/>
  <c r="H144" i="46"/>
  <c r="F144" i="46"/>
  <c r="G144" i="46"/>
  <c r="E144" i="46"/>
  <c r="D144" i="46"/>
  <c r="C144" i="46"/>
  <c r="J143" i="46"/>
  <c r="I143" i="46"/>
  <c r="H143" i="46"/>
  <c r="F143" i="46"/>
  <c r="G143" i="46"/>
  <c r="E143" i="46"/>
  <c r="D143" i="46"/>
  <c r="C143" i="46"/>
  <c r="J142" i="46"/>
  <c r="I142" i="46"/>
  <c r="H142" i="46"/>
  <c r="F142" i="46"/>
  <c r="G142" i="46"/>
  <c r="E142" i="46"/>
  <c r="D142" i="46"/>
  <c r="C142" i="46"/>
  <c r="J141" i="46"/>
  <c r="I141" i="46"/>
  <c r="H141" i="46"/>
  <c r="F141" i="46"/>
  <c r="G141" i="46"/>
  <c r="E141" i="46"/>
  <c r="D141" i="46"/>
  <c r="C141" i="46"/>
  <c r="J140" i="46"/>
  <c r="I140" i="46"/>
  <c r="H140" i="46"/>
  <c r="F140" i="46"/>
  <c r="G140" i="46"/>
  <c r="E140" i="46"/>
  <c r="D140" i="46"/>
  <c r="C140" i="46"/>
  <c r="J139" i="46"/>
  <c r="I139" i="46"/>
  <c r="H139" i="46"/>
  <c r="F139" i="46"/>
  <c r="G139" i="46"/>
  <c r="E139" i="46"/>
  <c r="D139" i="46"/>
  <c r="C139" i="46"/>
  <c r="J138" i="46"/>
  <c r="I138" i="46"/>
  <c r="H138" i="46"/>
  <c r="F138" i="46"/>
  <c r="G138" i="46"/>
  <c r="E138" i="46"/>
  <c r="D138" i="46"/>
  <c r="C138" i="46"/>
  <c r="J137" i="46"/>
  <c r="I137" i="46"/>
  <c r="H137" i="46"/>
  <c r="F137" i="46"/>
  <c r="G137" i="46"/>
  <c r="E137" i="46"/>
  <c r="D137" i="46"/>
  <c r="C137" i="46"/>
  <c r="J136" i="46"/>
  <c r="I136" i="46"/>
  <c r="H136" i="46"/>
  <c r="F136" i="46"/>
  <c r="G136" i="46"/>
  <c r="E136" i="46"/>
  <c r="D136" i="46"/>
  <c r="C136" i="46"/>
  <c r="J135" i="46"/>
  <c r="I135" i="46"/>
  <c r="H135" i="46"/>
  <c r="F135" i="46"/>
  <c r="G135" i="46"/>
  <c r="E135" i="46"/>
  <c r="D135" i="46"/>
  <c r="C135" i="46"/>
  <c r="J134" i="46"/>
  <c r="I134" i="46"/>
  <c r="H134" i="46"/>
  <c r="F134" i="46"/>
  <c r="G134" i="46"/>
  <c r="E134" i="46"/>
  <c r="D134" i="46"/>
  <c r="C134" i="46"/>
  <c r="J133" i="46"/>
  <c r="I133" i="46"/>
  <c r="H133" i="46"/>
  <c r="F133" i="46"/>
  <c r="G133" i="46"/>
  <c r="E133" i="46"/>
  <c r="D133" i="46"/>
  <c r="C133" i="46"/>
  <c r="J132" i="46"/>
  <c r="I132" i="46"/>
  <c r="H132" i="46"/>
  <c r="F132" i="46"/>
  <c r="G132" i="46"/>
  <c r="E132" i="46"/>
  <c r="D132" i="46"/>
  <c r="C132" i="46"/>
  <c r="J131" i="46"/>
  <c r="I131" i="46"/>
  <c r="H131" i="46"/>
  <c r="F131" i="46"/>
  <c r="G131" i="46"/>
  <c r="E131" i="46"/>
  <c r="D131" i="46"/>
  <c r="C131" i="46"/>
  <c r="J130" i="46"/>
  <c r="I130" i="46"/>
  <c r="H130" i="46"/>
  <c r="F130" i="46"/>
  <c r="G130" i="46"/>
  <c r="E130" i="46"/>
  <c r="D130" i="46"/>
  <c r="C130" i="46"/>
  <c r="J129" i="46"/>
  <c r="I129" i="46"/>
  <c r="H129" i="46"/>
  <c r="F129" i="46"/>
  <c r="G129" i="46"/>
  <c r="E129" i="46"/>
  <c r="D129" i="46"/>
  <c r="C129" i="46"/>
  <c r="J128" i="46"/>
  <c r="I128" i="46"/>
  <c r="H128" i="46"/>
  <c r="F128" i="46"/>
  <c r="G128" i="46"/>
  <c r="E128" i="46"/>
  <c r="D128" i="46"/>
  <c r="C128" i="46"/>
  <c r="J127" i="46"/>
  <c r="I127" i="46"/>
  <c r="H127" i="46"/>
  <c r="F127" i="46"/>
  <c r="G127" i="46"/>
  <c r="E127" i="46"/>
  <c r="D127" i="46"/>
  <c r="C127" i="46"/>
  <c r="J126" i="46"/>
  <c r="I126" i="46"/>
  <c r="H126" i="46"/>
  <c r="F126" i="46"/>
  <c r="G126" i="46"/>
  <c r="E126" i="46"/>
  <c r="D126" i="46"/>
  <c r="C126" i="46"/>
  <c r="J125" i="46"/>
  <c r="I125" i="46"/>
  <c r="H125" i="46"/>
  <c r="F125" i="46"/>
  <c r="G125" i="46"/>
  <c r="E125" i="46"/>
  <c r="D125" i="46"/>
  <c r="C125" i="46"/>
  <c r="J124" i="46"/>
  <c r="I124" i="46"/>
  <c r="H124" i="46"/>
  <c r="F124" i="46"/>
  <c r="G124" i="46"/>
  <c r="E124" i="46"/>
  <c r="D124" i="46"/>
  <c r="C124" i="46"/>
  <c r="J123" i="46"/>
  <c r="I123" i="46"/>
  <c r="H123" i="46"/>
  <c r="F123" i="46"/>
  <c r="G123" i="46"/>
  <c r="E123" i="46"/>
  <c r="D123" i="46"/>
  <c r="C123" i="46"/>
  <c r="J122" i="46"/>
  <c r="I122" i="46"/>
  <c r="H122" i="46"/>
  <c r="F122" i="46"/>
  <c r="G122" i="46"/>
  <c r="E122" i="46"/>
  <c r="D122" i="46"/>
  <c r="C122" i="46"/>
  <c r="J121" i="46"/>
  <c r="I121" i="46"/>
  <c r="H121" i="46"/>
  <c r="F121" i="46"/>
  <c r="G121" i="46"/>
  <c r="E121" i="46"/>
  <c r="D121" i="46"/>
  <c r="C121" i="46"/>
  <c r="J120" i="46"/>
  <c r="I120" i="46"/>
  <c r="H120" i="46"/>
  <c r="F120" i="46"/>
  <c r="G120" i="46"/>
  <c r="E120" i="46"/>
  <c r="D120" i="46"/>
  <c r="C120" i="46"/>
  <c r="J119" i="46"/>
  <c r="I119" i="46"/>
  <c r="H119" i="46"/>
  <c r="F119" i="46"/>
  <c r="G119" i="46"/>
  <c r="E119" i="46"/>
  <c r="D119" i="46"/>
  <c r="C119" i="46"/>
  <c r="H15" i="44"/>
  <c r="U44" i="19"/>
  <c r="S44" i="19"/>
  <c r="M44" i="19"/>
  <c r="U43" i="19"/>
  <c r="S43" i="19"/>
  <c r="M43" i="19"/>
  <c r="U42" i="19"/>
  <c r="S42" i="19"/>
  <c r="M42" i="19"/>
  <c r="U41" i="19"/>
  <c r="S41" i="19"/>
  <c r="M41" i="19"/>
  <c r="U40" i="19"/>
  <c r="S40" i="19"/>
  <c r="M40" i="19"/>
  <c r="U56" i="19"/>
  <c r="S56" i="19"/>
  <c r="M56" i="19"/>
  <c r="U55" i="19"/>
  <c r="S55" i="19"/>
  <c r="M55" i="19"/>
  <c r="U54" i="19"/>
  <c r="S54" i="19"/>
  <c r="M54" i="19"/>
  <c r="U53" i="19"/>
  <c r="S53" i="19"/>
  <c r="M53" i="19"/>
  <c r="U52" i="19"/>
  <c r="S52" i="19"/>
  <c r="M52" i="19"/>
  <c r="U51" i="19"/>
  <c r="S51" i="19"/>
  <c r="M51" i="19"/>
  <c r="U46" i="19"/>
  <c r="S46" i="19"/>
  <c r="M46" i="19"/>
  <c r="U45" i="19"/>
  <c r="S45" i="19"/>
  <c r="M45" i="19"/>
  <c r="F58" i="53"/>
  <c r="K57" i="53"/>
  <c r="M57" i="53"/>
  <c r="O57" i="53"/>
  <c r="K56" i="53"/>
  <c r="M56" i="53"/>
  <c r="O56" i="53"/>
  <c r="K55" i="53"/>
  <c r="M55" i="53"/>
  <c r="O55" i="53"/>
  <c r="K54" i="53"/>
  <c r="J44" i="53"/>
  <c r="J43" i="53"/>
  <c r="J42" i="53"/>
  <c r="J41" i="53"/>
  <c r="C45" i="53"/>
  <c r="C44" i="53"/>
  <c r="C43" i="53"/>
  <c r="C42" i="53"/>
  <c r="C41" i="53"/>
  <c r="F24" i="52"/>
  <c r="C243" i="52"/>
  <c r="C241" i="52"/>
  <c r="C235" i="52"/>
  <c r="C233" i="52"/>
  <c r="AL144" i="52"/>
  <c r="AM144" i="52"/>
  <c r="AJ144" i="52"/>
  <c r="AH144" i="52"/>
  <c r="AF144" i="52"/>
  <c r="AD144" i="52"/>
  <c r="AB144" i="52"/>
  <c r="Z144" i="52"/>
  <c r="X144" i="52"/>
  <c r="V144" i="52"/>
  <c r="U144" i="52"/>
  <c r="L144" i="52"/>
  <c r="J144" i="52"/>
  <c r="H144" i="52"/>
  <c r="F144" i="52"/>
  <c r="D144" i="52"/>
  <c r="AL143" i="52"/>
  <c r="AM143" i="52"/>
  <c r="AJ143" i="52"/>
  <c r="AH143" i="52"/>
  <c r="AF143" i="52"/>
  <c r="AD143" i="52"/>
  <c r="AB143" i="52"/>
  <c r="Z143" i="52"/>
  <c r="X143" i="52"/>
  <c r="V143" i="52"/>
  <c r="U143" i="52"/>
  <c r="L143" i="52"/>
  <c r="J143" i="52"/>
  <c r="H143" i="52"/>
  <c r="F143" i="52"/>
  <c r="D143" i="52"/>
  <c r="AL142" i="52"/>
  <c r="AM142" i="52"/>
  <c r="AJ142" i="52"/>
  <c r="AH142" i="52"/>
  <c r="AF142" i="52"/>
  <c r="AD142" i="52"/>
  <c r="AB142" i="52"/>
  <c r="Z142" i="52"/>
  <c r="X142" i="52"/>
  <c r="V142" i="52"/>
  <c r="U142" i="52"/>
  <c r="L142" i="52"/>
  <c r="J142" i="52"/>
  <c r="H142" i="52"/>
  <c r="F142" i="52"/>
  <c r="D142" i="52"/>
  <c r="AL141" i="52"/>
  <c r="AM141" i="52"/>
  <c r="AJ141" i="52"/>
  <c r="AH141" i="52"/>
  <c r="AF141" i="52"/>
  <c r="AD141" i="52"/>
  <c r="AB141" i="52"/>
  <c r="Z141" i="52"/>
  <c r="X141" i="52"/>
  <c r="V141" i="52"/>
  <c r="U141" i="52"/>
  <c r="L141" i="52"/>
  <c r="J141" i="52"/>
  <c r="H141" i="52"/>
  <c r="F141" i="52"/>
  <c r="D141" i="52"/>
  <c r="AL140" i="52"/>
  <c r="AM140" i="52"/>
  <c r="AJ140" i="52"/>
  <c r="AH140" i="52"/>
  <c r="AF140" i="52"/>
  <c r="AD140" i="52"/>
  <c r="AB140" i="52"/>
  <c r="Z140" i="52"/>
  <c r="X140" i="52"/>
  <c r="V140" i="52"/>
  <c r="U140" i="52"/>
  <c r="L140" i="52"/>
  <c r="J140" i="52"/>
  <c r="H140" i="52"/>
  <c r="F140" i="52"/>
  <c r="D140" i="52"/>
  <c r="AL139" i="52"/>
  <c r="AM139" i="52"/>
  <c r="AJ139" i="52"/>
  <c r="AH139" i="52"/>
  <c r="AF139" i="52"/>
  <c r="AD139" i="52"/>
  <c r="AB139" i="52"/>
  <c r="Z139" i="52"/>
  <c r="X139" i="52"/>
  <c r="V139" i="52"/>
  <c r="U139" i="52"/>
  <c r="L139" i="52"/>
  <c r="J139" i="52"/>
  <c r="H139" i="52"/>
  <c r="F139" i="52"/>
  <c r="D139" i="52"/>
  <c r="AL138" i="52"/>
  <c r="AM138" i="52"/>
  <c r="AJ138" i="52"/>
  <c r="AH138" i="52"/>
  <c r="AF138" i="52"/>
  <c r="AD138" i="52"/>
  <c r="AB138" i="52"/>
  <c r="Z138" i="52"/>
  <c r="X138" i="52"/>
  <c r="V138" i="52"/>
  <c r="U138" i="52"/>
  <c r="L138" i="52"/>
  <c r="J138" i="52"/>
  <c r="H138" i="52"/>
  <c r="F138" i="52"/>
  <c r="D138" i="52"/>
  <c r="AL137" i="52"/>
  <c r="AM137" i="52"/>
  <c r="AJ137" i="52"/>
  <c r="AH137" i="52"/>
  <c r="AF137" i="52"/>
  <c r="AD137" i="52"/>
  <c r="AB137" i="52"/>
  <c r="Z137" i="52"/>
  <c r="X137" i="52"/>
  <c r="V137" i="52"/>
  <c r="U137" i="52"/>
  <c r="L137" i="52"/>
  <c r="J137" i="52"/>
  <c r="H137" i="52"/>
  <c r="F137" i="52"/>
  <c r="D137" i="52"/>
  <c r="AL136" i="52"/>
  <c r="AM136" i="52"/>
  <c r="AJ136" i="52"/>
  <c r="AH136" i="52"/>
  <c r="AF136" i="52"/>
  <c r="AD136" i="52"/>
  <c r="AB136" i="52"/>
  <c r="Z136" i="52"/>
  <c r="X136" i="52"/>
  <c r="V136" i="52"/>
  <c r="U136" i="52"/>
  <c r="L136" i="52"/>
  <c r="J136" i="52"/>
  <c r="H136" i="52"/>
  <c r="F136" i="52"/>
  <c r="D136" i="52"/>
  <c r="AL135" i="52"/>
  <c r="AM135" i="52"/>
  <c r="AJ135" i="52"/>
  <c r="AH135" i="52"/>
  <c r="AF135" i="52"/>
  <c r="AD135" i="52"/>
  <c r="AB135" i="52"/>
  <c r="Z135" i="52"/>
  <c r="X135" i="52"/>
  <c r="V135" i="52"/>
  <c r="U135" i="52"/>
  <c r="L135" i="52"/>
  <c r="J135" i="52"/>
  <c r="H135" i="52"/>
  <c r="F135" i="52"/>
  <c r="D135" i="52"/>
  <c r="AL134" i="52"/>
  <c r="AM134" i="52"/>
  <c r="AJ134" i="52"/>
  <c r="AH134" i="52"/>
  <c r="AF134" i="52"/>
  <c r="AD134" i="52"/>
  <c r="AB134" i="52"/>
  <c r="Z134" i="52"/>
  <c r="X134" i="52"/>
  <c r="V134" i="52"/>
  <c r="U134" i="52"/>
  <c r="L134" i="52"/>
  <c r="J134" i="52"/>
  <c r="H134" i="52"/>
  <c r="F134" i="52"/>
  <c r="D134" i="52"/>
  <c r="AL133" i="52"/>
  <c r="AM133" i="52"/>
  <c r="AJ133" i="52"/>
  <c r="AH133" i="52"/>
  <c r="AF133" i="52"/>
  <c r="AD133" i="52"/>
  <c r="AB133" i="52"/>
  <c r="Z133" i="52"/>
  <c r="X133" i="52"/>
  <c r="V133" i="52"/>
  <c r="U133" i="52"/>
  <c r="L133" i="52"/>
  <c r="J133" i="52"/>
  <c r="H133" i="52"/>
  <c r="F133" i="52"/>
  <c r="D133" i="52"/>
  <c r="V132" i="52"/>
  <c r="AL132" i="52"/>
  <c r="D132" i="52"/>
  <c r="F132" i="52"/>
  <c r="H132" i="52"/>
  <c r="J132" i="52"/>
  <c r="L132" i="52"/>
  <c r="AM132" i="52"/>
  <c r="AJ132" i="52"/>
  <c r="AH132" i="52"/>
  <c r="AF132" i="52"/>
  <c r="AD132" i="52"/>
  <c r="AB132" i="52"/>
  <c r="Z132" i="52"/>
  <c r="X132" i="52"/>
  <c r="U132" i="52"/>
  <c r="V131" i="52"/>
  <c r="AL131" i="52"/>
  <c r="D131" i="52"/>
  <c r="F131" i="52"/>
  <c r="H131" i="52"/>
  <c r="J131" i="52"/>
  <c r="L131" i="52"/>
  <c r="AM131" i="52"/>
  <c r="AJ131" i="52"/>
  <c r="AH131" i="52"/>
  <c r="AF131" i="52"/>
  <c r="AD131" i="52"/>
  <c r="AB131" i="52"/>
  <c r="Z131" i="52"/>
  <c r="X131" i="52"/>
  <c r="U131" i="52"/>
  <c r="V130" i="52"/>
  <c r="AL130" i="52"/>
  <c r="D130" i="52"/>
  <c r="F130" i="52"/>
  <c r="H130" i="52"/>
  <c r="J130" i="52"/>
  <c r="L130" i="52"/>
  <c r="AM130" i="52"/>
  <c r="AJ130" i="52"/>
  <c r="AH130" i="52"/>
  <c r="AF130" i="52"/>
  <c r="AD130" i="52"/>
  <c r="AB130" i="52"/>
  <c r="Z130" i="52"/>
  <c r="X130" i="52"/>
  <c r="U130" i="52"/>
  <c r="Q121" i="52"/>
  <c r="Q120" i="52"/>
  <c r="Q119" i="52"/>
  <c r="Q118" i="52"/>
  <c r="J120" i="52"/>
  <c r="J119" i="52"/>
  <c r="J118" i="52"/>
  <c r="C122" i="52"/>
  <c r="C121" i="52"/>
  <c r="C120" i="52"/>
  <c r="C119" i="52"/>
  <c r="C118" i="52"/>
  <c r="G105" i="52"/>
  <c r="C97" i="52"/>
  <c r="C95" i="52"/>
  <c r="C94" i="52"/>
  <c r="J97" i="52"/>
  <c r="J96" i="52"/>
  <c r="J95" i="52"/>
  <c r="J93" i="52"/>
  <c r="J92" i="52"/>
  <c r="J91" i="52"/>
  <c r="J90" i="52"/>
  <c r="C91" i="52"/>
  <c r="C90" i="52"/>
  <c r="J77" i="52"/>
  <c r="Y76" i="52"/>
  <c r="Y75" i="52"/>
  <c r="Y74" i="52"/>
  <c r="Y73" i="52"/>
  <c r="Y72" i="52"/>
  <c r="V71" i="52"/>
  <c r="W71" i="52"/>
  <c r="Y71" i="52"/>
  <c r="Y70" i="52"/>
  <c r="Y69" i="52"/>
  <c r="Y68" i="52"/>
  <c r="Y67" i="52"/>
  <c r="V66" i="52"/>
  <c r="W66" i="52"/>
  <c r="Y66" i="52"/>
  <c r="Y65" i="52"/>
  <c r="V64" i="52"/>
  <c r="W64" i="52"/>
  <c r="Y64" i="52"/>
  <c r="V63" i="52"/>
  <c r="W63" i="52"/>
  <c r="Y63" i="52"/>
  <c r="Q55" i="52"/>
  <c r="Q54" i="52"/>
  <c r="Q53" i="52"/>
  <c r="Q52" i="52"/>
  <c r="Q51" i="52"/>
  <c r="J55" i="52"/>
  <c r="J54" i="52"/>
  <c r="J52" i="52"/>
  <c r="J51" i="52"/>
  <c r="C55" i="52"/>
  <c r="C54" i="52"/>
  <c r="C53" i="52"/>
  <c r="C52" i="52"/>
  <c r="C51" i="52"/>
  <c r="D43" i="52"/>
  <c r="E43" i="52"/>
  <c r="F43" i="52"/>
  <c r="F42" i="52"/>
  <c r="F41" i="52"/>
  <c r="F33" i="52"/>
  <c r="F34" i="52"/>
  <c r="D9" i="35"/>
  <c r="D8" i="35"/>
  <c r="K71" i="43"/>
  <c r="N71" i="43"/>
  <c r="K48" i="43"/>
  <c r="K51" i="43"/>
  <c r="K52" i="43"/>
  <c r="K53" i="43"/>
  <c r="M38" i="43"/>
  <c r="F38" i="43"/>
  <c r="J23" i="43"/>
  <c r="D8" i="23"/>
  <c r="J21" i="44"/>
  <c r="L36" i="44"/>
  <c r="J14" i="44"/>
  <c r="L43" i="44"/>
  <c r="J16" i="44"/>
  <c r="L53" i="44"/>
  <c r="J17" i="44"/>
  <c r="K36" i="44"/>
  <c r="I14" i="44"/>
  <c r="K43" i="44"/>
  <c r="I16" i="44"/>
  <c r="H18" i="44"/>
  <c r="AX23" i="6"/>
  <c r="AY23" i="6"/>
  <c r="AZ23" i="6"/>
  <c r="BA23" i="6"/>
  <c r="BB23" i="6"/>
  <c r="BC23" i="6"/>
  <c r="BD23" i="6"/>
  <c r="BE23" i="6"/>
  <c r="BE24" i="6"/>
  <c r="T85" i="2"/>
  <c r="J57" i="44"/>
  <c r="H19" i="44"/>
  <c r="J62" i="44"/>
  <c r="H20" i="44"/>
  <c r="J36" i="44"/>
  <c r="H14" i="44"/>
  <c r="J43" i="44"/>
  <c r="H16" i="44"/>
  <c r="J53" i="44"/>
  <c r="H17" i="44"/>
  <c r="L14" i="44"/>
  <c r="L16" i="44"/>
  <c r="L17" i="44"/>
  <c r="L19" i="44"/>
  <c r="L20" i="44"/>
  <c r="K14" i="44"/>
  <c r="K16" i="44"/>
  <c r="K17" i="44"/>
  <c r="M27" i="44"/>
  <c r="M28" i="44"/>
  <c r="M29" i="44"/>
  <c r="M30" i="44"/>
  <c r="M32" i="44"/>
  <c r="M33" i="44"/>
  <c r="M34" i="44"/>
  <c r="M35" i="44"/>
  <c r="M36" i="44"/>
  <c r="M38" i="44"/>
  <c r="M39" i="44"/>
  <c r="M40" i="44"/>
  <c r="M41" i="44"/>
  <c r="M42" i="44"/>
  <c r="M43" i="44"/>
  <c r="M45" i="44"/>
  <c r="M46" i="44"/>
  <c r="M47" i="44"/>
  <c r="M48" i="44"/>
  <c r="M53" i="44"/>
  <c r="M55" i="44"/>
  <c r="M56" i="44"/>
  <c r="M57" i="44"/>
  <c r="M59" i="44"/>
  <c r="M60" i="44"/>
  <c r="M61" i="44"/>
  <c r="M62" i="44"/>
  <c r="M64" i="44"/>
  <c r="M65" i="44"/>
  <c r="L65" i="44"/>
  <c r="K65" i="44"/>
  <c r="J65" i="44"/>
  <c r="M14" i="44"/>
  <c r="M16" i="44"/>
  <c r="M17" i="44"/>
  <c r="M19" i="44"/>
  <c r="M20" i="44"/>
  <c r="M21" i="44"/>
  <c r="M22" i="44"/>
  <c r="L22" i="44"/>
  <c r="K22" i="44"/>
  <c r="J22" i="44"/>
  <c r="I22" i="44"/>
  <c r="H22" i="44"/>
  <c r="M71" i="43"/>
  <c r="L71" i="43"/>
  <c r="J71" i="43"/>
  <c r="I71" i="43"/>
  <c r="H71" i="43"/>
  <c r="J59" i="43"/>
  <c r="D59" i="43"/>
  <c r="J58" i="43"/>
  <c r="D58" i="43"/>
  <c r="J57" i="43"/>
  <c r="D57" i="43"/>
  <c r="P13" i="41"/>
  <c r="P14" i="41"/>
  <c r="P15" i="41"/>
  <c r="P16" i="41"/>
  <c r="P17" i="41"/>
  <c r="P18" i="41"/>
  <c r="D10" i="41"/>
  <c r="D8" i="41"/>
  <c r="U15" i="19"/>
  <c r="T15" i="19"/>
  <c r="R15" i="19"/>
  <c r="J49" i="38"/>
  <c r="J50" i="38"/>
  <c r="I50" i="38"/>
  <c r="H50" i="38"/>
  <c r="G50" i="38"/>
  <c r="E50" i="38"/>
  <c r="I42" i="38"/>
  <c r="H42" i="38"/>
  <c r="G42" i="38"/>
  <c r="F42" i="38"/>
  <c r="E42" i="38"/>
  <c r="E41" i="38"/>
  <c r="E40" i="38"/>
  <c r="E39" i="38"/>
  <c r="E38" i="38"/>
  <c r="J37" i="38"/>
  <c r="I37" i="38"/>
  <c r="H37" i="38"/>
  <c r="F37" i="38"/>
  <c r="E37" i="38"/>
  <c r="BA41" i="36"/>
  <c r="AY41" i="36"/>
  <c r="M41" i="36"/>
  <c r="K41" i="36"/>
  <c r="I41" i="36"/>
  <c r="BA40" i="36"/>
  <c r="AY40" i="36"/>
  <c r="M40" i="36"/>
  <c r="K40" i="36"/>
  <c r="I40" i="36"/>
  <c r="BA39" i="36"/>
  <c r="AY39" i="36"/>
  <c r="M39" i="36"/>
  <c r="K39" i="36"/>
  <c r="I39" i="36"/>
  <c r="BA38" i="36"/>
  <c r="AY38" i="36"/>
  <c r="M38" i="36"/>
  <c r="K38" i="36"/>
  <c r="I38" i="36"/>
  <c r="BA37" i="36"/>
  <c r="AY37" i="36"/>
  <c r="M37" i="36"/>
  <c r="K37" i="36"/>
  <c r="I37" i="36"/>
  <c r="BA36" i="36"/>
  <c r="AY36" i="36"/>
  <c r="M36" i="36"/>
  <c r="K36" i="36"/>
  <c r="I36" i="36"/>
  <c r="BA35" i="36"/>
  <c r="AY35" i="36"/>
  <c r="M35" i="36"/>
  <c r="K35" i="36"/>
  <c r="I35" i="36"/>
  <c r="BA34" i="36"/>
  <c r="AY34" i="36"/>
  <c r="M34" i="36"/>
  <c r="K34" i="36"/>
  <c r="I34" i="36"/>
  <c r="BA33" i="36"/>
  <c r="AY33" i="36"/>
  <c r="M33" i="36"/>
  <c r="K33" i="36"/>
  <c r="I33" i="36"/>
  <c r="BA32" i="36"/>
  <c r="AY32" i="36"/>
  <c r="M32" i="36"/>
  <c r="K32" i="36"/>
  <c r="I32" i="36"/>
  <c r="BA31" i="36"/>
  <c r="AY31" i="36"/>
  <c r="M31" i="36"/>
  <c r="K31" i="36"/>
  <c r="I31" i="36"/>
  <c r="BA30" i="36"/>
  <c r="AY30" i="36"/>
  <c r="M30" i="36"/>
  <c r="K30" i="36"/>
  <c r="I30" i="36"/>
  <c r="BA29" i="36"/>
  <c r="AY29" i="36"/>
  <c r="M29" i="36"/>
  <c r="K29" i="36"/>
  <c r="I29" i="36"/>
  <c r="BA28" i="36"/>
  <c r="AY28" i="36"/>
  <c r="M28" i="36"/>
  <c r="K28" i="36"/>
  <c r="I28" i="36"/>
  <c r="BA27" i="36"/>
  <c r="AY27" i="36"/>
  <c r="M27" i="36"/>
  <c r="K27" i="36"/>
  <c r="I27" i="36"/>
  <c r="BA26" i="36"/>
  <c r="AY26" i="36"/>
  <c r="M26" i="36"/>
  <c r="K26" i="36"/>
  <c r="I26" i="36"/>
  <c r="BA25" i="36"/>
  <c r="AY25" i="36"/>
  <c r="M25" i="36"/>
  <c r="K25" i="36"/>
  <c r="I25" i="36"/>
  <c r="BA24" i="36"/>
  <c r="AY24" i="36"/>
  <c r="M24" i="36"/>
  <c r="K24" i="36"/>
  <c r="I24" i="36"/>
  <c r="BA23" i="36"/>
  <c r="AY23" i="36"/>
  <c r="M23" i="36"/>
  <c r="K23" i="36"/>
  <c r="I23" i="36"/>
  <c r="BA22" i="36"/>
  <c r="AY22" i="36"/>
  <c r="M22" i="36"/>
  <c r="K22" i="36"/>
  <c r="I22" i="36"/>
  <c r="BA21" i="36"/>
  <c r="AY21" i="36"/>
  <c r="M21" i="36"/>
  <c r="K21" i="36"/>
  <c r="I21" i="36"/>
  <c r="BA20" i="36"/>
  <c r="AY20" i="36"/>
  <c r="M20" i="36"/>
  <c r="K20" i="36"/>
  <c r="I20" i="36"/>
  <c r="BA19" i="36"/>
  <c r="AY19" i="36"/>
  <c r="M19" i="36"/>
  <c r="K19" i="36"/>
  <c r="I19" i="36"/>
  <c r="BA18" i="36"/>
  <c r="AY18" i="36"/>
  <c r="M18" i="36"/>
  <c r="K18" i="36"/>
  <c r="I18" i="36"/>
  <c r="BA17" i="36"/>
  <c r="AY17" i="36"/>
  <c r="M17" i="36"/>
  <c r="I17" i="36"/>
  <c r="S79" i="35"/>
  <c r="Q79" i="35"/>
  <c r="P79" i="35"/>
  <c r="P78" i="35"/>
  <c r="R77" i="35"/>
  <c r="Q77" i="35"/>
  <c r="P77" i="35"/>
  <c r="R18" i="35"/>
  <c r="R17" i="35"/>
  <c r="R16" i="35"/>
  <c r="R15" i="35"/>
  <c r="P15" i="35"/>
  <c r="R14" i="35"/>
  <c r="P14" i="35"/>
  <c r="R13" i="35"/>
  <c r="P13" i="35"/>
  <c r="R19" i="35"/>
  <c r="R20" i="35"/>
  <c r="P19" i="35"/>
  <c r="P20" i="35"/>
  <c r="R12" i="35"/>
  <c r="Q12" i="35"/>
  <c r="P12" i="35"/>
  <c r="AL78" i="11"/>
  <c r="Z78" i="11"/>
  <c r="AJ22" i="7"/>
  <c r="AF22" i="7"/>
  <c r="AG22" i="7"/>
  <c r="AH22" i="7"/>
  <c r="X22" i="7"/>
  <c r="AJ78" i="11"/>
  <c r="AI78" i="11"/>
  <c r="AH78" i="11"/>
  <c r="Z77" i="11"/>
  <c r="AL77" i="11"/>
  <c r="AH77" i="11"/>
  <c r="AI77" i="11"/>
  <c r="AJ77" i="11"/>
  <c r="AL75" i="11"/>
  <c r="AJ75" i="11"/>
  <c r="AI75" i="11"/>
  <c r="AH75" i="11"/>
  <c r="AL74" i="11"/>
  <c r="AJ74" i="11"/>
  <c r="AI74" i="11"/>
  <c r="AH74" i="11"/>
  <c r="AL72" i="11"/>
  <c r="AJ72" i="11"/>
  <c r="AI72" i="11"/>
  <c r="AH72" i="11"/>
  <c r="AL71" i="11"/>
  <c r="AJ71" i="11"/>
  <c r="AI71" i="11"/>
  <c r="AH71" i="11"/>
  <c r="AL64" i="11"/>
  <c r="AJ64" i="11"/>
  <c r="AI64" i="11"/>
  <c r="AH64" i="11"/>
  <c r="AL63" i="11"/>
  <c r="AJ63" i="11"/>
  <c r="AI63" i="11"/>
  <c r="AH63" i="11"/>
  <c r="AL61" i="11"/>
  <c r="AJ61" i="11"/>
  <c r="AI61" i="11"/>
  <c r="AH61" i="11"/>
  <c r="AL60" i="11"/>
  <c r="AJ60" i="11"/>
  <c r="AI60" i="11"/>
  <c r="AH60" i="11"/>
  <c r="AL58" i="11"/>
  <c r="AJ58" i="11"/>
  <c r="AI58" i="11"/>
  <c r="AH58" i="11"/>
  <c r="AL57" i="11"/>
  <c r="AJ57" i="11"/>
  <c r="AI57" i="11"/>
  <c r="AH57" i="11"/>
  <c r="AL50" i="11"/>
  <c r="AJ50" i="11"/>
  <c r="AI50" i="11"/>
  <c r="AH50" i="11"/>
  <c r="AL49" i="11"/>
  <c r="AJ49" i="11"/>
  <c r="AI49" i="11"/>
  <c r="AH49" i="11"/>
  <c r="AL47" i="11"/>
  <c r="AJ47" i="11"/>
  <c r="AI47" i="11"/>
  <c r="AH47" i="11"/>
  <c r="AL46" i="11"/>
  <c r="AJ46" i="11"/>
  <c r="AI46" i="11"/>
  <c r="AH46" i="11"/>
  <c r="AL44" i="11"/>
  <c r="AL43" i="11"/>
  <c r="AL36" i="11"/>
  <c r="AJ36" i="11"/>
  <c r="AI36" i="11"/>
  <c r="AH36" i="11"/>
  <c r="AL35" i="11"/>
  <c r="AJ35" i="11"/>
  <c r="AI35" i="11"/>
  <c r="AH35" i="11"/>
  <c r="AL33" i="11"/>
  <c r="AJ33" i="11"/>
  <c r="AI33" i="11"/>
  <c r="AH33" i="11"/>
  <c r="AL32" i="11"/>
  <c r="AL30" i="11"/>
  <c r="AL29" i="11"/>
  <c r="AL22" i="11"/>
  <c r="AL21" i="11"/>
  <c r="AL19" i="11"/>
  <c r="AL18" i="11"/>
  <c r="AL16" i="11"/>
  <c r="AL15" i="11"/>
  <c r="AH22" i="11"/>
  <c r="AH21" i="11"/>
  <c r="AH19" i="11"/>
  <c r="AH18" i="11"/>
  <c r="Z75" i="11"/>
  <c r="Z74" i="11"/>
  <c r="Z72" i="11"/>
  <c r="Z71" i="11"/>
  <c r="Z64" i="11"/>
  <c r="Z63" i="11"/>
  <c r="Z61" i="11"/>
  <c r="Z60" i="11"/>
  <c r="Z58" i="11"/>
  <c r="Z57" i="11"/>
  <c r="Z50" i="11"/>
  <c r="Z49" i="11"/>
  <c r="Z47" i="11"/>
  <c r="Z46" i="11"/>
  <c r="Z44" i="11"/>
  <c r="Z43" i="11"/>
  <c r="Z36" i="11"/>
  <c r="Z35" i="11"/>
  <c r="Z33" i="11"/>
  <c r="Z32" i="11"/>
  <c r="Z30" i="11"/>
  <c r="Z29" i="11"/>
  <c r="Z22" i="11"/>
  <c r="Z21" i="11"/>
  <c r="Z19" i="11"/>
  <c r="Z18" i="11"/>
  <c r="Z16" i="11"/>
  <c r="Z15" i="11"/>
  <c r="AJ64" i="7"/>
  <c r="AJ63" i="7"/>
  <c r="AJ61" i="7"/>
  <c r="AJ60" i="7"/>
  <c r="AJ58" i="7"/>
  <c r="AJ57" i="7"/>
  <c r="AJ67" i="7"/>
  <c r="AJ66" i="7"/>
  <c r="AJ111" i="7"/>
  <c r="AJ110" i="7"/>
  <c r="AJ103" i="7"/>
  <c r="AJ102" i="7"/>
  <c r="AJ95" i="7"/>
  <c r="AJ94" i="7"/>
  <c r="AJ92" i="7"/>
  <c r="AJ91" i="7"/>
  <c r="AJ89" i="7"/>
  <c r="AJ88" i="7"/>
  <c r="AJ81" i="7"/>
  <c r="AJ80" i="7"/>
  <c r="AJ78" i="7"/>
  <c r="AJ77" i="7"/>
  <c r="AJ75" i="7"/>
  <c r="AJ74" i="7"/>
  <c r="AJ50" i="7"/>
  <c r="AJ49" i="7"/>
  <c r="AJ47" i="7"/>
  <c r="AJ46" i="7"/>
  <c r="AJ44" i="7"/>
  <c r="AJ43" i="7"/>
  <c r="AJ36" i="7"/>
  <c r="AJ35" i="7"/>
  <c r="AJ33" i="7"/>
  <c r="AJ32" i="7"/>
  <c r="AJ30" i="7"/>
  <c r="X29" i="7"/>
  <c r="AJ29" i="7"/>
  <c r="AF58" i="7"/>
  <c r="AF57" i="7"/>
  <c r="AF61" i="7"/>
  <c r="AF60" i="7"/>
  <c r="AF64" i="7"/>
  <c r="AF63" i="7"/>
  <c r="AF67" i="7"/>
  <c r="AF66" i="7"/>
  <c r="AF111" i="7"/>
  <c r="AF110" i="7"/>
  <c r="AF103" i="7"/>
  <c r="AF102" i="7"/>
  <c r="AF95" i="7"/>
  <c r="AF94" i="7"/>
  <c r="AF92" i="7"/>
  <c r="AF91" i="7"/>
  <c r="AF89" i="7"/>
  <c r="AF88" i="7"/>
  <c r="AF81" i="7"/>
  <c r="AF80" i="7"/>
  <c r="AF78" i="7"/>
  <c r="AF77" i="7"/>
  <c r="AF75" i="7"/>
  <c r="AF74" i="7"/>
  <c r="AF50" i="7"/>
  <c r="AF49" i="7"/>
  <c r="AF47" i="7"/>
  <c r="AF46" i="7"/>
  <c r="AF44" i="7"/>
  <c r="AF43" i="7"/>
  <c r="AF36" i="7"/>
  <c r="AF35" i="7"/>
  <c r="AF33" i="7"/>
  <c r="AF30" i="7"/>
  <c r="AF29" i="7"/>
  <c r="U31" i="19"/>
  <c r="S31" i="19"/>
  <c r="M31" i="19"/>
  <c r="U30" i="19"/>
  <c r="S30" i="19"/>
  <c r="M30" i="19"/>
  <c r="U29" i="19"/>
  <c r="S29" i="19"/>
  <c r="M29" i="19"/>
  <c r="U28" i="19"/>
  <c r="S28" i="19"/>
  <c r="M28" i="19"/>
  <c r="U27" i="19"/>
  <c r="S27" i="19"/>
  <c r="M27" i="19"/>
  <c r="AJ21" i="7"/>
  <c r="AJ19" i="7"/>
  <c r="AJ18" i="7"/>
  <c r="AJ16" i="7"/>
  <c r="AJ15" i="7"/>
  <c r="AF21" i="7"/>
  <c r="AF19" i="7"/>
  <c r="X111" i="7"/>
  <c r="X110" i="7"/>
  <c r="X103" i="7"/>
  <c r="X102" i="7"/>
  <c r="X95" i="7"/>
  <c r="X94" i="7"/>
  <c r="X81" i="7"/>
  <c r="X80" i="7"/>
  <c r="X67" i="7"/>
  <c r="X66" i="7"/>
  <c r="X50" i="7"/>
  <c r="X49" i="7"/>
  <c r="X36" i="7"/>
  <c r="X35" i="7"/>
  <c r="X92" i="7"/>
  <c r="X91" i="7"/>
  <c r="X89" i="7"/>
  <c r="X88" i="7"/>
  <c r="X78" i="7"/>
  <c r="X77" i="7"/>
  <c r="X75" i="7"/>
  <c r="X74" i="7"/>
  <c r="X64" i="7"/>
  <c r="X63" i="7"/>
  <c r="X61" i="7"/>
  <c r="X60" i="7"/>
  <c r="X58" i="7"/>
  <c r="X57" i="7"/>
  <c r="X47" i="7"/>
  <c r="X46" i="7"/>
  <c r="X44" i="7"/>
  <c r="X43" i="7"/>
  <c r="X33" i="7"/>
  <c r="X30" i="7"/>
  <c r="X21" i="7"/>
  <c r="X19" i="7"/>
  <c r="X16" i="7"/>
  <c r="I44" i="28"/>
  <c r="J44" i="28"/>
  <c r="P44" i="28"/>
  <c r="I43" i="28"/>
  <c r="J43" i="28"/>
  <c r="P43" i="28"/>
  <c r="I42" i="28"/>
  <c r="J42" i="28"/>
  <c r="P42" i="28"/>
  <c r="L62" i="28"/>
  <c r="F62" i="28"/>
  <c r="L60" i="28"/>
  <c r="L63" i="28"/>
  <c r="F60" i="28"/>
  <c r="F63" i="28"/>
  <c r="I22" i="23"/>
  <c r="U39" i="19"/>
  <c r="S39" i="19"/>
  <c r="M39" i="19"/>
  <c r="U38" i="19"/>
  <c r="S38" i="19"/>
  <c r="M38" i="19"/>
  <c r="U37" i="19"/>
  <c r="S37" i="19"/>
  <c r="M37" i="19"/>
  <c r="U36" i="19"/>
  <c r="S36" i="19"/>
  <c r="M36" i="19"/>
  <c r="U35" i="19"/>
  <c r="S35" i="19"/>
  <c r="M35" i="19"/>
  <c r="U34" i="19"/>
  <c r="S34" i="19"/>
  <c r="M34" i="19"/>
  <c r="U33" i="19"/>
  <c r="S33" i="19"/>
  <c r="M33" i="19"/>
  <c r="U32" i="19"/>
  <c r="S32" i="19"/>
  <c r="M32" i="19"/>
  <c r="U26" i="19"/>
  <c r="S26" i="19"/>
  <c r="M26" i="19"/>
  <c r="U25" i="19"/>
  <c r="S25" i="19"/>
  <c r="M25" i="19"/>
  <c r="S24" i="19"/>
  <c r="M24" i="19"/>
  <c r="AG110" i="7"/>
  <c r="AH110" i="7"/>
  <c r="AH16" i="13"/>
  <c r="AF16" i="13"/>
  <c r="AE16" i="13"/>
  <c r="AD16" i="13"/>
  <c r="AH15" i="13"/>
  <c r="AH32" i="10"/>
  <c r="AF32" i="10"/>
  <c r="AE32" i="10"/>
  <c r="AD32" i="10"/>
  <c r="AH31" i="10"/>
  <c r="AF31" i="10"/>
  <c r="AE31" i="10"/>
  <c r="AD31" i="10"/>
  <c r="AF24" i="10"/>
  <c r="AE24" i="10"/>
  <c r="AD24" i="10"/>
  <c r="AH23" i="10"/>
  <c r="AF23" i="10"/>
  <c r="AE23" i="10"/>
  <c r="AD23" i="10"/>
  <c r="AH16" i="10"/>
  <c r="AF16" i="10"/>
  <c r="AE16" i="10"/>
  <c r="AD16" i="10"/>
  <c r="AH15" i="10"/>
  <c r="AF15" i="10"/>
  <c r="AE15" i="10"/>
  <c r="AD15" i="10"/>
  <c r="BF24" i="6"/>
  <c r="BD24" i="6"/>
  <c r="BC24" i="6"/>
  <c r="BB24" i="6"/>
  <c r="BA24" i="6"/>
  <c r="AZ24" i="6"/>
  <c r="AY24" i="6"/>
  <c r="AX24" i="6"/>
  <c r="BF23" i="6"/>
  <c r="BF16" i="6"/>
  <c r="BD16" i="6"/>
  <c r="BC16" i="6"/>
  <c r="BB16" i="6"/>
  <c r="BA16" i="6"/>
  <c r="AZ16" i="6"/>
  <c r="AY16" i="6"/>
  <c r="AX16" i="6"/>
  <c r="BF15" i="6"/>
  <c r="AJ64" i="8"/>
  <c r="AJ63" i="8"/>
  <c r="AJ61" i="8"/>
  <c r="AJ60" i="8"/>
  <c r="AJ58" i="8"/>
  <c r="AH58" i="8"/>
  <c r="AG58" i="8"/>
  <c r="AF58" i="8"/>
  <c r="AJ57" i="8"/>
  <c r="AJ50" i="8"/>
  <c r="AH50" i="8"/>
  <c r="AG50" i="8"/>
  <c r="AF50" i="8"/>
  <c r="AJ49" i="8"/>
  <c r="AH49" i="8"/>
  <c r="AG49" i="8"/>
  <c r="AF49" i="8"/>
  <c r="AJ47" i="8"/>
  <c r="AH47" i="8"/>
  <c r="AG47" i="8"/>
  <c r="AF47" i="8"/>
  <c r="AJ46" i="8"/>
  <c r="AH46" i="8"/>
  <c r="AG46" i="8"/>
  <c r="AF46" i="8"/>
  <c r="AJ44" i="8"/>
  <c r="AJ43" i="8"/>
  <c r="AJ36" i="8"/>
  <c r="AH36" i="8"/>
  <c r="AG36" i="8"/>
  <c r="AF36" i="8"/>
  <c r="AJ35" i="8"/>
  <c r="AH35" i="8"/>
  <c r="AG35" i="8"/>
  <c r="AF35" i="8"/>
  <c r="AJ33" i="8"/>
  <c r="AH33" i="8"/>
  <c r="AG33" i="8"/>
  <c r="AF33" i="8"/>
  <c r="AJ32" i="8"/>
  <c r="AJ30" i="8"/>
  <c r="AH30" i="8"/>
  <c r="AG30" i="8"/>
  <c r="AF30" i="8"/>
  <c r="AJ29" i="8"/>
  <c r="AJ22" i="8"/>
  <c r="AH22" i="8"/>
  <c r="AG22" i="8"/>
  <c r="AF22" i="8"/>
  <c r="AJ21" i="8"/>
  <c r="AH21" i="8"/>
  <c r="AG21" i="8"/>
  <c r="AF21" i="8"/>
  <c r="AJ19" i="8"/>
  <c r="AH19" i="8"/>
  <c r="AG19" i="8"/>
  <c r="AF19" i="8"/>
  <c r="AJ18" i="8"/>
  <c r="AH18" i="8"/>
  <c r="AG18" i="8"/>
  <c r="AF18" i="8"/>
  <c r="AJ16" i="8"/>
  <c r="AJ15" i="8"/>
  <c r="AJ22" i="11"/>
  <c r="AI22" i="11"/>
  <c r="AJ21" i="11"/>
  <c r="AI21" i="11"/>
  <c r="AJ19" i="11"/>
  <c r="AI19" i="11"/>
  <c r="AJ18" i="11"/>
  <c r="AI18" i="11"/>
  <c r="AH64" i="7"/>
  <c r="AG64" i="7"/>
  <c r="AH63" i="7"/>
  <c r="AG63" i="7"/>
  <c r="AH61" i="7"/>
  <c r="AG61" i="7"/>
  <c r="AH60" i="7"/>
  <c r="AG60" i="7"/>
  <c r="AH58" i="7"/>
  <c r="AG58" i="7"/>
  <c r="AH57" i="7"/>
  <c r="AG57" i="7"/>
  <c r="AH67" i="7"/>
  <c r="AG67" i="7"/>
  <c r="AH66" i="7"/>
  <c r="AG66" i="7"/>
  <c r="AH111" i="7"/>
  <c r="AG111" i="7"/>
  <c r="AH103" i="7"/>
  <c r="AG103" i="7"/>
  <c r="AH102" i="7"/>
  <c r="AG102" i="7"/>
  <c r="AH95" i="7"/>
  <c r="AG95" i="7"/>
  <c r="AH94" i="7"/>
  <c r="AG94" i="7"/>
  <c r="AH92" i="7"/>
  <c r="AG92" i="7"/>
  <c r="AH91" i="7"/>
  <c r="AG91" i="7"/>
  <c r="AH89" i="7"/>
  <c r="AG89" i="7"/>
  <c r="AH88" i="7"/>
  <c r="AG88" i="7"/>
  <c r="AH81" i="7"/>
  <c r="AG81" i="7"/>
  <c r="AH80" i="7"/>
  <c r="AG80" i="7"/>
  <c r="AH78" i="7"/>
  <c r="AG78" i="7"/>
  <c r="AH77" i="7"/>
  <c r="AG77" i="7"/>
  <c r="AH75" i="7"/>
  <c r="AG75" i="7"/>
  <c r="AH74" i="7"/>
  <c r="AG74" i="7"/>
  <c r="AH50" i="7"/>
  <c r="AG50" i="7"/>
  <c r="AH49" i="7"/>
  <c r="AG49" i="7"/>
  <c r="AH47" i="7"/>
  <c r="AG47" i="7"/>
  <c r="AH46" i="7"/>
  <c r="AG46" i="7"/>
  <c r="AH44" i="7"/>
  <c r="AG44" i="7"/>
  <c r="AH43" i="7"/>
  <c r="AG43" i="7"/>
  <c r="AH36" i="7"/>
  <c r="AG36" i="7"/>
  <c r="AH35" i="7"/>
  <c r="AG35" i="7"/>
  <c r="AH33" i="7"/>
  <c r="AG33" i="7"/>
  <c r="AH30" i="7"/>
  <c r="AG30" i="7"/>
  <c r="AH29" i="7"/>
  <c r="AG29" i="7"/>
  <c r="AH21" i="7"/>
  <c r="AG21" i="7"/>
  <c r="AH19" i="7"/>
  <c r="AG19" i="7"/>
  <c r="V89" i="2"/>
  <c r="V88" i="2"/>
  <c r="V87" i="2"/>
  <c r="V85" i="2"/>
  <c r="V84" i="2"/>
  <c r="V82" i="2"/>
  <c r="V81" i="2"/>
  <c r="V80" i="2"/>
  <c r="V78" i="2"/>
  <c r="V77" i="2"/>
  <c r="V76" i="2"/>
  <c r="V74" i="2"/>
  <c r="V73" i="2"/>
  <c r="V72" i="2"/>
  <c r="V70" i="2"/>
  <c r="V69" i="2"/>
  <c r="V68" i="2"/>
  <c r="V65" i="2"/>
  <c r="V64" i="2"/>
  <c r="V63" i="2"/>
  <c r="V61" i="2"/>
  <c r="V60" i="2"/>
  <c r="V59" i="2"/>
  <c r="V57" i="2"/>
  <c r="V56" i="2"/>
  <c r="V55" i="2"/>
  <c r="V53" i="2"/>
  <c r="V52" i="2"/>
  <c r="V51" i="2"/>
  <c r="V49" i="2"/>
  <c r="V48" i="2"/>
  <c r="V47" i="2"/>
  <c r="V32" i="2"/>
  <c r="V44" i="2"/>
  <c r="V42" i="2"/>
  <c r="V40" i="2"/>
  <c r="V39" i="2"/>
  <c r="V38" i="2"/>
  <c r="V36" i="2"/>
  <c r="V35" i="2"/>
  <c r="V34" i="2"/>
  <c r="V31" i="2"/>
  <c r="V30" i="2"/>
  <c r="V29" i="2"/>
  <c r="V27" i="2"/>
  <c r="V26" i="2"/>
  <c r="V25" i="2"/>
  <c r="V23" i="2"/>
  <c r="V22" i="2"/>
  <c r="V21" i="2"/>
  <c r="V19" i="2"/>
  <c r="V18" i="2"/>
  <c r="V17" i="2"/>
  <c r="D10" i="2"/>
  <c r="D9" i="2"/>
  <c r="O91" i="2"/>
  <c r="N91" i="2"/>
  <c r="M91" i="2"/>
  <c r="U91" i="2"/>
  <c r="S91" i="2"/>
  <c r="R91" i="2"/>
  <c r="Q91" i="2"/>
  <c r="P91" i="2"/>
  <c r="U18" i="19"/>
  <c r="S18" i="19"/>
  <c r="M18" i="19"/>
  <c r="U19" i="19"/>
  <c r="U20" i="19"/>
  <c r="U21" i="19"/>
  <c r="U22" i="19"/>
  <c r="U23" i="19"/>
  <c r="S23" i="19"/>
  <c r="S22" i="19"/>
  <c r="S21" i="19"/>
  <c r="S20" i="19"/>
  <c r="S19" i="19"/>
  <c r="M23" i="19"/>
  <c r="M22" i="19"/>
  <c r="M21" i="19"/>
  <c r="M20" i="19"/>
  <c r="M19" i="19"/>
  <c r="B37" i="17"/>
  <c r="B38" i="17"/>
  <c r="R76" i="23"/>
  <c r="R75" i="23"/>
  <c r="R71" i="23"/>
  <c r="R72" i="23"/>
  <c r="R73" i="23"/>
  <c r="R74" i="23"/>
  <c r="R77" i="23"/>
  <c r="R78" i="23"/>
  <c r="R70" i="23"/>
  <c r="Q75" i="23"/>
  <c r="Q71" i="23"/>
  <c r="Q72" i="23"/>
  <c r="Q73" i="23"/>
  <c r="Q74" i="23"/>
  <c r="Q77" i="23"/>
  <c r="Q78" i="23"/>
  <c r="Q70" i="23"/>
  <c r="P71" i="23"/>
  <c r="P72" i="23"/>
  <c r="P73" i="23"/>
  <c r="P77" i="23"/>
  <c r="P78" i="23"/>
  <c r="P70" i="23"/>
  <c r="M27" i="23"/>
  <c r="M28" i="23"/>
  <c r="M29" i="23"/>
  <c r="M30" i="23"/>
  <c r="M32" i="23"/>
  <c r="M33" i="23"/>
  <c r="M34" i="23"/>
  <c r="M35" i="23"/>
  <c r="M36" i="23"/>
  <c r="M38" i="23"/>
  <c r="M39" i="23"/>
  <c r="M40" i="23"/>
  <c r="M41" i="23"/>
  <c r="M42" i="23"/>
  <c r="M43" i="23"/>
  <c r="M45" i="23"/>
  <c r="M46" i="23"/>
  <c r="M47" i="23"/>
  <c r="M48" i="23"/>
  <c r="M53" i="23"/>
  <c r="M55" i="23"/>
  <c r="M56" i="23"/>
  <c r="M57" i="23"/>
  <c r="M65" i="23"/>
  <c r="L65" i="23"/>
  <c r="K65" i="23"/>
  <c r="J65" i="23"/>
  <c r="J22" i="23"/>
  <c r="D10" i="23"/>
  <c r="K9" i="23"/>
  <c r="S112" i="23"/>
  <c r="Q112" i="23"/>
  <c r="P112" i="23"/>
  <c r="P111" i="23"/>
  <c r="R110" i="23"/>
  <c r="Q110" i="23"/>
  <c r="P110" i="23"/>
  <c r="R106" i="23"/>
  <c r="Q106" i="23"/>
  <c r="P106" i="23"/>
  <c r="R105" i="23"/>
  <c r="Q105" i="23"/>
  <c r="P105" i="23"/>
  <c r="R104" i="23"/>
  <c r="Q104" i="23"/>
  <c r="P104" i="23"/>
  <c r="R103" i="23"/>
  <c r="Q103" i="23"/>
  <c r="P103" i="23"/>
  <c r="R102" i="23"/>
  <c r="Q102" i="23"/>
  <c r="P102" i="23"/>
  <c r="R101" i="23"/>
  <c r="Q101" i="23"/>
  <c r="P101" i="23"/>
  <c r="R100" i="23"/>
  <c r="Q100" i="23"/>
  <c r="P100" i="23"/>
  <c r="R99" i="23"/>
  <c r="Q99" i="23"/>
  <c r="P99" i="23"/>
  <c r="R98" i="23"/>
  <c r="Q98" i="23"/>
  <c r="P98" i="23"/>
  <c r="R97" i="23"/>
  <c r="Q97" i="23"/>
  <c r="P97" i="23"/>
  <c r="R96" i="23"/>
  <c r="Q96" i="23"/>
  <c r="P96" i="23"/>
  <c r="R95" i="23"/>
  <c r="Q95" i="23"/>
  <c r="P95" i="23"/>
  <c r="R94" i="23"/>
  <c r="Q94" i="23"/>
  <c r="P94" i="23"/>
  <c r="R93" i="23"/>
  <c r="Q93" i="23"/>
  <c r="P93" i="23"/>
  <c r="R92" i="23"/>
  <c r="Q92" i="23"/>
  <c r="P92" i="23"/>
  <c r="R91" i="23"/>
  <c r="Q91" i="23"/>
  <c r="P91" i="23"/>
  <c r="R90" i="23"/>
  <c r="Q90" i="23"/>
  <c r="P90" i="23"/>
  <c r="R89" i="23"/>
  <c r="Q89" i="23"/>
  <c r="P89" i="23"/>
  <c r="R88" i="23"/>
  <c r="Q88" i="23"/>
  <c r="P88" i="23"/>
  <c r="R87" i="23"/>
  <c r="Q87" i="23"/>
  <c r="P87" i="23"/>
  <c r="R86" i="23"/>
  <c r="Q86" i="23"/>
  <c r="P86" i="23"/>
  <c r="R85" i="23"/>
  <c r="Q85" i="23"/>
  <c r="P85" i="23"/>
  <c r="M88" i="2"/>
  <c r="N88" i="2"/>
  <c r="O88" i="2"/>
  <c r="M89" i="2"/>
  <c r="N89" i="2"/>
  <c r="O89" i="2"/>
  <c r="D8" i="2"/>
  <c r="U65" i="2"/>
  <c r="O65" i="2"/>
  <c r="N65" i="2"/>
  <c r="M65" i="2"/>
  <c r="U64" i="2"/>
  <c r="O64" i="2"/>
  <c r="N64" i="2"/>
  <c r="M64" i="2"/>
  <c r="U63" i="2"/>
  <c r="O63" i="2"/>
  <c r="N63" i="2"/>
  <c r="M63" i="2"/>
  <c r="U61" i="2"/>
  <c r="O61" i="2"/>
  <c r="N61" i="2"/>
  <c r="M61" i="2"/>
  <c r="U60" i="2"/>
  <c r="O60" i="2"/>
  <c r="N60" i="2"/>
  <c r="M60" i="2"/>
  <c r="U59" i="2"/>
  <c r="O59" i="2"/>
  <c r="N59" i="2"/>
  <c r="M59" i="2"/>
  <c r="U57" i="2"/>
  <c r="O57" i="2"/>
  <c r="N57" i="2"/>
  <c r="M57" i="2"/>
  <c r="U56" i="2"/>
  <c r="O56" i="2"/>
  <c r="N56" i="2"/>
  <c r="M56" i="2"/>
  <c r="U55" i="2"/>
  <c r="O55" i="2"/>
  <c r="N55" i="2"/>
  <c r="M55" i="2"/>
  <c r="U53" i="2"/>
  <c r="O53" i="2"/>
  <c r="N53" i="2"/>
  <c r="M53" i="2"/>
  <c r="U52" i="2"/>
  <c r="O52" i="2"/>
  <c r="N52" i="2"/>
  <c r="M52" i="2"/>
  <c r="U51" i="2"/>
  <c r="O51" i="2"/>
  <c r="N51" i="2"/>
  <c r="M51" i="2"/>
  <c r="U49" i="2"/>
  <c r="O49" i="2"/>
  <c r="N49" i="2"/>
  <c r="M49" i="2"/>
  <c r="U48" i="2"/>
  <c r="O48" i="2"/>
  <c r="N48" i="2"/>
  <c r="M48" i="2"/>
  <c r="U47" i="2"/>
  <c r="O47" i="2"/>
  <c r="N47" i="2"/>
  <c r="M47" i="2"/>
  <c r="U89" i="2"/>
  <c r="U88" i="2"/>
  <c r="U87" i="2"/>
  <c r="O87" i="2"/>
  <c r="N87" i="2"/>
  <c r="M87" i="2"/>
  <c r="U85" i="2"/>
  <c r="S85" i="2"/>
  <c r="R85" i="2"/>
  <c r="Q85" i="2"/>
  <c r="P85" i="2"/>
  <c r="O85" i="2"/>
  <c r="N85" i="2"/>
  <c r="M85" i="2"/>
  <c r="U84" i="2"/>
  <c r="S84" i="2"/>
  <c r="R84" i="2"/>
  <c r="Q84" i="2"/>
  <c r="P84" i="2"/>
  <c r="O84" i="2"/>
  <c r="N84" i="2"/>
  <c r="M84" i="2"/>
  <c r="U82" i="2"/>
  <c r="O82" i="2"/>
  <c r="N82" i="2"/>
  <c r="M82" i="2"/>
  <c r="U81" i="2"/>
  <c r="O81" i="2"/>
  <c r="N81" i="2"/>
  <c r="M81" i="2"/>
  <c r="U80" i="2"/>
  <c r="O80" i="2"/>
  <c r="N80" i="2"/>
  <c r="M80" i="2"/>
  <c r="U78" i="2"/>
  <c r="O78" i="2"/>
  <c r="N78" i="2"/>
  <c r="M78" i="2"/>
  <c r="U77" i="2"/>
  <c r="O77" i="2"/>
  <c r="N77" i="2"/>
  <c r="M77" i="2"/>
  <c r="U76" i="2"/>
  <c r="O76" i="2"/>
  <c r="N76" i="2"/>
  <c r="M76" i="2"/>
  <c r="U74" i="2"/>
  <c r="O74" i="2"/>
  <c r="N74" i="2"/>
  <c r="M74" i="2"/>
  <c r="U73" i="2"/>
  <c r="O73" i="2"/>
  <c r="N73" i="2"/>
  <c r="M73" i="2"/>
  <c r="U72" i="2"/>
  <c r="O72" i="2"/>
  <c r="N72" i="2"/>
  <c r="M72" i="2"/>
  <c r="U70" i="2"/>
  <c r="O70" i="2"/>
  <c r="N70" i="2"/>
  <c r="M70" i="2"/>
  <c r="U69" i="2"/>
  <c r="O69" i="2"/>
  <c r="N69" i="2"/>
  <c r="M69" i="2"/>
  <c r="U68" i="2"/>
  <c r="O68" i="2"/>
  <c r="N68" i="2"/>
  <c r="M68" i="2"/>
  <c r="U44" i="2"/>
  <c r="O44" i="2"/>
  <c r="N44" i="2"/>
  <c r="M44" i="2"/>
  <c r="U42" i="2"/>
  <c r="O42" i="2"/>
  <c r="N42" i="2"/>
  <c r="M42" i="2"/>
  <c r="U40" i="2"/>
  <c r="O40" i="2"/>
  <c r="N40" i="2"/>
  <c r="M40" i="2"/>
  <c r="U39" i="2"/>
  <c r="O39" i="2"/>
  <c r="N39" i="2"/>
  <c r="M39" i="2"/>
  <c r="U38" i="2"/>
  <c r="O38" i="2"/>
  <c r="N38" i="2"/>
  <c r="M38" i="2"/>
  <c r="U36" i="2"/>
  <c r="O36" i="2"/>
  <c r="N36" i="2"/>
  <c r="M36" i="2"/>
  <c r="U35" i="2"/>
  <c r="O35" i="2"/>
  <c r="N35" i="2"/>
  <c r="M35" i="2"/>
  <c r="U34" i="2"/>
  <c r="O34" i="2"/>
  <c r="N34" i="2"/>
  <c r="M34" i="2"/>
  <c r="U32" i="2"/>
  <c r="O32" i="2"/>
  <c r="N32" i="2"/>
  <c r="M32" i="2"/>
  <c r="U31" i="2"/>
  <c r="O31" i="2"/>
  <c r="N31" i="2"/>
  <c r="M31" i="2"/>
  <c r="U30" i="2"/>
  <c r="O30" i="2"/>
  <c r="N30" i="2"/>
  <c r="M30" i="2"/>
  <c r="U29" i="2"/>
  <c r="O29" i="2"/>
  <c r="N29" i="2"/>
  <c r="M29" i="2"/>
  <c r="U27" i="2"/>
  <c r="O27" i="2"/>
  <c r="N27" i="2"/>
  <c r="M27" i="2"/>
  <c r="U26" i="2"/>
  <c r="O26" i="2"/>
  <c r="N26" i="2"/>
  <c r="M26" i="2"/>
  <c r="U25" i="2"/>
  <c r="O25" i="2"/>
  <c r="N25" i="2"/>
  <c r="M25" i="2"/>
  <c r="U23" i="2"/>
  <c r="O23" i="2"/>
  <c r="N23" i="2"/>
  <c r="M23" i="2"/>
  <c r="U22" i="2"/>
  <c r="O22" i="2"/>
  <c r="N22" i="2"/>
  <c r="M22" i="2"/>
  <c r="U21" i="2"/>
  <c r="O21" i="2"/>
  <c r="N21" i="2"/>
  <c r="M21" i="2"/>
  <c r="U19" i="2"/>
  <c r="O19" i="2"/>
  <c r="N19" i="2"/>
  <c r="M19" i="2"/>
  <c r="U18" i="2"/>
  <c r="O18" i="2"/>
  <c r="N18" i="2"/>
  <c r="M18" i="2"/>
  <c r="U17" i="2"/>
  <c r="O17" i="2"/>
  <c r="N17" i="2"/>
  <c r="M17" i="2"/>
  <c r="J62" i="1"/>
  <c r="L62" i="1"/>
  <c r="J61" i="1"/>
  <c r="J63" i="1"/>
  <c r="J64" i="1"/>
  <c r="J65" i="1"/>
  <c r="J60" i="1"/>
  <c r="B45" i="59"/>
  <c r="AL45" i="59"/>
  <c r="CL45" i="59"/>
  <c r="CL18" i="59"/>
  <c r="D21" i="59"/>
  <c r="CN21" i="59"/>
  <c r="CL21" i="59"/>
  <c r="D20" i="59"/>
  <c r="CN20" i="59"/>
  <c r="CL20" i="59"/>
  <c r="D19" i="59"/>
  <c r="CN19" i="59"/>
  <c r="CL19" i="59"/>
  <c r="AN21" i="59"/>
  <c r="AN20" i="59"/>
  <c r="AN19" i="59"/>
  <c r="AZ16" i="65"/>
  <c r="BH16" i="65"/>
  <c r="AJ21" i="59"/>
  <c r="AY16" i="65"/>
  <c r="AI21" i="59"/>
  <c r="AW16" i="65"/>
  <c r="AH21" i="59"/>
  <c r="AV16" i="65"/>
  <c r="AG21" i="59"/>
  <c r="AT16" i="65"/>
  <c r="AF21" i="59"/>
  <c r="AS16" i="65"/>
  <c r="AE21" i="59"/>
  <c r="AQ16" i="65"/>
  <c r="AD21" i="59"/>
  <c r="AP16" i="65"/>
  <c r="AC21" i="59"/>
  <c r="AN16" i="65"/>
  <c r="AB21" i="59"/>
  <c r="AM16" i="65"/>
  <c r="AA21" i="59"/>
  <c r="AK16" i="65"/>
  <c r="Z21" i="59"/>
  <c r="AJ16" i="65"/>
  <c r="Y21" i="59"/>
  <c r="AH16" i="65"/>
  <c r="X21" i="59"/>
  <c r="AG16" i="65"/>
  <c r="W21" i="59"/>
  <c r="AE16" i="65"/>
  <c r="V21" i="59"/>
  <c r="AD16" i="65"/>
  <c r="U21" i="59"/>
  <c r="AB16" i="65"/>
  <c r="T21" i="59"/>
  <c r="AA16" i="65"/>
  <c r="S21" i="59"/>
  <c r="Z16" i="65"/>
  <c r="R21" i="59"/>
  <c r="Y16" i="65"/>
  <c r="Q21" i="59"/>
  <c r="W16" i="65"/>
  <c r="P21" i="59"/>
  <c r="V16" i="65"/>
  <c r="O21" i="59"/>
  <c r="T16" i="65"/>
  <c r="N21" i="59"/>
  <c r="S16" i="65"/>
  <c r="M21" i="59"/>
  <c r="P16" i="65"/>
  <c r="L21" i="59"/>
  <c r="O16" i="65"/>
  <c r="K21" i="59"/>
  <c r="M16" i="65"/>
  <c r="J21" i="59"/>
  <c r="L16" i="65"/>
  <c r="I21" i="59"/>
  <c r="J16" i="65"/>
  <c r="H21" i="59"/>
  <c r="I16" i="65"/>
  <c r="G21" i="59"/>
  <c r="G16" i="65"/>
  <c r="F21" i="59"/>
  <c r="F16" i="65"/>
  <c r="E21" i="59"/>
  <c r="AZ15" i="65"/>
  <c r="BH15" i="65"/>
  <c r="AJ20" i="59"/>
  <c r="AY15" i="65"/>
  <c r="AI20" i="59"/>
  <c r="AW15" i="65"/>
  <c r="AH20" i="59"/>
  <c r="AV15" i="65"/>
  <c r="AG20" i="59"/>
  <c r="AT15" i="65"/>
  <c r="AF20" i="59"/>
  <c r="AS15" i="65"/>
  <c r="AE20" i="59"/>
  <c r="AQ15" i="65"/>
  <c r="AD20" i="59"/>
  <c r="AP15" i="65"/>
  <c r="AC20" i="59"/>
  <c r="AN15" i="65"/>
  <c r="AB20" i="59"/>
  <c r="AM15" i="65"/>
  <c r="AA20" i="59"/>
  <c r="AK15" i="65"/>
  <c r="Z20" i="59"/>
  <c r="AJ15" i="65"/>
  <c r="Y20" i="59"/>
  <c r="AH15" i="65"/>
  <c r="X20" i="59"/>
  <c r="AG15" i="65"/>
  <c r="W20" i="59"/>
  <c r="AE15" i="65"/>
  <c r="V20" i="59"/>
  <c r="AD15" i="65"/>
  <c r="U20" i="59"/>
  <c r="AB15" i="65"/>
  <c r="T20" i="59"/>
  <c r="AA15" i="65"/>
  <c r="S20" i="59"/>
  <c r="Z15" i="65"/>
  <c r="R20" i="59"/>
  <c r="Y15" i="65"/>
  <c r="Q20" i="59"/>
  <c r="W15" i="65"/>
  <c r="P20" i="59"/>
  <c r="V15" i="65"/>
  <c r="O20" i="59"/>
  <c r="T15" i="65"/>
  <c r="N20" i="59"/>
  <c r="S15" i="65"/>
  <c r="M20" i="59"/>
  <c r="P15" i="65"/>
  <c r="L20" i="59"/>
  <c r="O15" i="65"/>
  <c r="K20" i="59"/>
  <c r="M15" i="65"/>
  <c r="J20" i="59"/>
  <c r="L15" i="65"/>
  <c r="I20" i="59"/>
  <c r="J15" i="65"/>
  <c r="H20" i="59"/>
  <c r="I15" i="65"/>
  <c r="G20" i="59"/>
  <c r="G15" i="65"/>
  <c r="F20" i="59"/>
  <c r="F15" i="65"/>
  <c r="E20" i="59"/>
  <c r="AZ14" i="65"/>
  <c r="BH14" i="65"/>
  <c r="AJ19" i="59"/>
  <c r="AY14" i="65"/>
  <c r="AI19" i="59"/>
  <c r="AW14" i="65"/>
  <c r="AH19" i="59"/>
  <c r="AV14" i="65"/>
  <c r="AG19" i="59"/>
  <c r="AT14" i="65"/>
  <c r="AF19" i="59"/>
  <c r="AS14" i="65"/>
  <c r="AE19" i="59"/>
  <c r="AQ14" i="65"/>
  <c r="AD19" i="59"/>
  <c r="AP14" i="65"/>
  <c r="AC19" i="59"/>
  <c r="AN14" i="65"/>
  <c r="AB19" i="59"/>
  <c r="AM14" i="65"/>
  <c r="AA19" i="59"/>
  <c r="AK14" i="65"/>
  <c r="Z19" i="59"/>
  <c r="AJ14" i="65"/>
  <c r="Y19" i="59"/>
  <c r="AH14" i="65"/>
  <c r="X19" i="59"/>
  <c r="AG14" i="65"/>
  <c r="W19" i="59"/>
  <c r="AE14" i="65"/>
  <c r="V19" i="59"/>
  <c r="AD14" i="65"/>
  <c r="U19" i="59"/>
  <c r="AB14" i="65"/>
  <c r="T19" i="59"/>
  <c r="AA14" i="65"/>
  <c r="S19" i="59"/>
  <c r="Z14" i="65"/>
  <c r="R19" i="59"/>
  <c r="Y14" i="65"/>
  <c r="Q19" i="59"/>
  <c r="W14" i="65"/>
  <c r="P19" i="59"/>
  <c r="V14" i="65"/>
  <c r="O19" i="59"/>
  <c r="T14" i="65"/>
  <c r="N19" i="59"/>
  <c r="S14" i="65"/>
  <c r="M19" i="59"/>
  <c r="P14" i="65"/>
  <c r="L19" i="59"/>
  <c r="O14" i="65"/>
  <c r="K19" i="59"/>
  <c r="M14" i="65"/>
  <c r="J19" i="59"/>
  <c r="L14" i="65"/>
  <c r="I19" i="59"/>
  <c r="J14" i="65"/>
  <c r="H19" i="59"/>
  <c r="I14" i="65"/>
  <c r="G19" i="59"/>
  <c r="G14" i="65"/>
  <c r="F19" i="59"/>
  <c r="F14" i="65"/>
  <c r="E19" i="59"/>
  <c r="BF16" i="65"/>
  <c r="BE16" i="65"/>
  <c r="BD16" i="65"/>
  <c r="BC16" i="65"/>
  <c r="BB16" i="65"/>
  <c r="BI16" i="65"/>
  <c r="AO16" i="65"/>
  <c r="AL16" i="65"/>
  <c r="AI16" i="65"/>
  <c r="AF16" i="65"/>
  <c r="AC16" i="65"/>
  <c r="X16" i="65"/>
  <c r="U16" i="65"/>
  <c r="Q16" i="65"/>
  <c r="N16" i="65"/>
  <c r="K16" i="65"/>
  <c r="H16" i="65"/>
  <c r="BF15" i="65"/>
  <c r="BI15" i="65"/>
  <c r="BE15" i="65"/>
  <c r="BD15" i="65"/>
  <c r="BC15" i="65"/>
  <c r="BB15" i="65"/>
  <c r="AO15" i="65"/>
  <c r="AL15" i="65"/>
  <c r="AI15" i="65"/>
  <c r="AF15" i="65"/>
  <c r="AC15" i="65"/>
  <c r="X15" i="65"/>
  <c r="U15" i="65"/>
  <c r="Q15" i="65"/>
  <c r="N15" i="65"/>
  <c r="K15" i="65"/>
  <c r="H15" i="65"/>
  <c r="BF14" i="65"/>
  <c r="BE14" i="65"/>
  <c r="BD14" i="65"/>
  <c r="BC14" i="65"/>
  <c r="BB14" i="65"/>
  <c r="BI14" i="65"/>
  <c r="AO14" i="65"/>
  <c r="AL14" i="65"/>
  <c r="AI14" i="65"/>
  <c r="AF14" i="65"/>
  <c r="AC14" i="65"/>
  <c r="X14" i="65"/>
  <c r="U14" i="65"/>
  <c r="Q14" i="65"/>
  <c r="N14" i="65"/>
  <c r="K14" i="65"/>
  <c r="H14" i="65"/>
  <c r="BG16" i="65"/>
  <c r="BJ16" i="65"/>
  <c r="BA16" i="65"/>
  <c r="AX16" i="65"/>
  <c r="AU16" i="65"/>
  <c r="AR16" i="65"/>
  <c r="R16" i="65"/>
  <c r="BG15" i="65"/>
  <c r="BJ15" i="65"/>
  <c r="BA15" i="65"/>
  <c r="AX15" i="65"/>
  <c r="AU15" i="65"/>
  <c r="AR15" i="65"/>
  <c r="R15" i="65"/>
  <c r="BG14" i="65"/>
  <c r="BA14" i="65"/>
  <c r="BJ14" i="65"/>
  <c r="AX14" i="65"/>
  <c r="AU14" i="65"/>
  <c r="AR14" i="65"/>
  <c r="R14" i="65"/>
  <c r="DO21" i="59"/>
  <c r="DN21" i="59"/>
  <c r="DM21" i="59"/>
  <c r="DL21" i="59"/>
  <c r="BK16" i="65"/>
  <c r="DK21" i="59"/>
  <c r="DJ21" i="59"/>
  <c r="DI21" i="59"/>
  <c r="DH21" i="59"/>
  <c r="DG21" i="59"/>
  <c r="DF21" i="59"/>
  <c r="DE21" i="59"/>
  <c r="DD21" i="59"/>
  <c r="DC21" i="59"/>
  <c r="DB21" i="59"/>
  <c r="DA21" i="59"/>
  <c r="CZ21" i="59"/>
  <c r="CY21" i="59"/>
  <c r="CX21" i="59"/>
  <c r="CW21" i="59"/>
  <c r="CV21" i="59"/>
  <c r="CU21" i="59"/>
  <c r="CT21" i="59"/>
  <c r="CS21" i="59"/>
  <c r="CR21" i="59"/>
  <c r="CQ21" i="59"/>
  <c r="CP21" i="59"/>
  <c r="CO21" i="59"/>
  <c r="BK15" i="65"/>
  <c r="DO20" i="59"/>
  <c r="DN20" i="59"/>
  <c r="DM20" i="59"/>
  <c r="DL20" i="59"/>
  <c r="DK20" i="59"/>
  <c r="DJ20" i="59"/>
  <c r="DI20" i="59"/>
  <c r="DH20" i="59"/>
  <c r="DG20" i="59"/>
  <c r="DF20" i="59"/>
  <c r="DE20" i="59"/>
  <c r="DD20" i="59"/>
  <c r="DC20" i="59"/>
  <c r="DB20" i="59"/>
  <c r="DA20" i="59"/>
  <c r="CZ20" i="59"/>
  <c r="CY20" i="59"/>
  <c r="CX20" i="59"/>
  <c r="CW20" i="59"/>
  <c r="CV20" i="59"/>
  <c r="CU20" i="59"/>
  <c r="CT20" i="59"/>
  <c r="CS20" i="59"/>
  <c r="CR20" i="59"/>
  <c r="CQ20" i="59"/>
  <c r="CP20" i="59"/>
  <c r="CO20" i="59"/>
  <c r="DO19" i="59"/>
  <c r="DN19" i="59"/>
  <c r="DM19" i="59"/>
  <c r="DL19" i="59"/>
  <c r="DK19" i="59"/>
  <c r="BK14" i="65"/>
  <c r="DJ19" i="59"/>
  <c r="DI19" i="59"/>
  <c r="DH19" i="59"/>
  <c r="DG19" i="59"/>
  <c r="DF19" i="59"/>
  <c r="DE19" i="59"/>
  <c r="DD19" i="59"/>
  <c r="DC19" i="59"/>
  <c r="DB19" i="59"/>
  <c r="DA19" i="59"/>
  <c r="CZ19" i="59"/>
  <c r="CY19" i="59"/>
  <c r="CX19" i="59"/>
  <c r="CW19" i="59"/>
  <c r="CV19" i="59"/>
  <c r="CU19" i="59"/>
  <c r="CT19" i="59"/>
  <c r="CS19" i="59"/>
  <c r="CR19" i="59"/>
  <c r="CQ19" i="59"/>
  <c r="CP19" i="59"/>
  <c r="CO19" i="59"/>
  <c r="BK13" i="65"/>
  <c r="BJ13" i="65"/>
  <c r="BI13" i="65"/>
  <c r="BH13" i="65"/>
  <c r="F13" i="65"/>
  <c r="CO18" i="59"/>
  <c r="I13" i="65"/>
  <c r="CP18" i="59"/>
  <c r="L13" i="65"/>
  <c r="CQ18" i="59"/>
  <c r="O13" i="65"/>
  <c r="CR18" i="59"/>
  <c r="R13" i="65"/>
  <c r="CS18" i="59"/>
  <c r="S13" i="65"/>
  <c r="CT18" i="59"/>
  <c r="V13" i="65"/>
  <c r="CU18" i="59"/>
  <c r="Y13" i="65"/>
  <c r="CV18" i="59"/>
  <c r="Z13" i="65"/>
  <c r="CW18" i="59"/>
  <c r="AA13" i="65"/>
  <c r="CX18" i="59"/>
  <c r="AD13" i="65"/>
  <c r="CY18" i="59"/>
  <c r="AG13" i="65"/>
  <c r="CZ18" i="59"/>
  <c r="AJ13" i="65"/>
  <c r="DA18" i="59"/>
  <c r="AM13" i="65"/>
  <c r="DB18" i="59"/>
  <c r="AP13" i="65"/>
  <c r="DC18" i="59"/>
  <c r="AR13" i="65"/>
  <c r="DD18" i="59"/>
  <c r="AS13" i="65"/>
  <c r="DE18" i="59"/>
  <c r="AU13" i="65"/>
  <c r="DF18" i="59"/>
  <c r="AV13" i="65"/>
  <c r="DG18" i="59"/>
  <c r="AX13" i="65"/>
  <c r="DH18" i="59"/>
  <c r="AY13" i="65"/>
  <c r="DI18" i="59"/>
  <c r="BA13" i="65"/>
  <c r="DJ18" i="59"/>
  <c r="BB13" i="65"/>
  <c r="DK18" i="59"/>
  <c r="BC13" i="65"/>
  <c r="DL18" i="59"/>
  <c r="BD13" i="65"/>
  <c r="DM18" i="59"/>
  <c r="BE13" i="65"/>
  <c r="DN18" i="59"/>
  <c r="BF13" i="65"/>
  <c r="DO18" i="59"/>
  <c r="G13" i="65"/>
  <c r="H13" i="65"/>
  <c r="J13" i="65"/>
  <c r="K13" i="65"/>
  <c r="M13" i="65"/>
  <c r="N13" i="65"/>
  <c r="P13" i="65"/>
  <c r="Q13" i="65"/>
  <c r="T13" i="65"/>
  <c r="U13" i="65"/>
  <c r="W13" i="65"/>
  <c r="X13" i="65"/>
  <c r="AB13" i="65"/>
  <c r="AC13" i="65"/>
  <c r="AE13" i="65"/>
  <c r="AF13" i="65"/>
  <c r="AH13" i="65"/>
  <c r="AI13" i="65"/>
  <c r="AK13" i="65"/>
  <c r="AL13" i="65"/>
  <c r="AN13" i="65"/>
  <c r="AO13" i="65"/>
  <c r="AQ13" i="65"/>
  <c r="AT13" i="65"/>
  <c r="AW13" i="65"/>
  <c r="AZ13" i="65"/>
  <c r="BG13" i="65"/>
  <c r="E18" i="59"/>
  <c r="F18" i="59"/>
  <c r="G18" i="59"/>
  <c r="H18" i="59"/>
  <c r="I18" i="59"/>
  <c r="J18" i="59"/>
  <c r="K18" i="59"/>
  <c r="L18" i="59"/>
  <c r="M18" i="59"/>
  <c r="N18" i="59"/>
  <c r="O18" i="59"/>
  <c r="P18" i="59"/>
  <c r="Q18" i="59"/>
  <c r="R18" i="59"/>
  <c r="S18" i="59"/>
  <c r="T18" i="59"/>
  <c r="U18" i="59"/>
  <c r="V18" i="59"/>
  <c r="W18" i="59"/>
  <c r="X18" i="59"/>
  <c r="Y18" i="59"/>
  <c r="Z18" i="59"/>
  <c r="AA18" i="59"/>
  <c r="AB18" i="59"/>
  <c r="AC18" i="59"/>
  <c r="AD18" i="59"/>
  <c r="AE18" i="59"/>
  <c r="AF18" i="59"/>
  <c r="AG18" i="59"/>
  <c r="AH18" i="59"/>
  <c r="AI18" i="59"/>
  <c r="AJ18" i="59"/>
  <c r="D18" i="59"/>
  <c r="AN18" i="59"/>
  <c r="CN18" i="59"/>
  <c r="D41" i="55"/>
  <c r="F41" i="55"/>
  <c r="F42" i="55"/>
  <c r="D42" i="55"/>
  <c r="Q21" i="48"/>
  <c r="Q23" i="48"/>
  <c r="Q25" i="48"/>
  <c r="Q27" i="48"/>
  <c r="C12" i="65"/>
  <c r="D12" i="65"/>
  <c r="I12" i="65"/>
  <c r="BK12" i="65"/>
  <c r="CP17" i="59"/>
  <c r="L12" i="65"/>
  <c r="CQ17" i="59"/>
  <c r="O12" i="65"/>
  <c r="CR17" i="59"/>
  <c r="R12" i="65"/>
  <c r="CS17" i="59"/>
  <c r="S12" i="65"/>
  <c r="CT17" i="59"/>
  <c r="V12" i="65"/>
  <c r="CU17" i="59"/>
  <c r="Y12" i="65"/>
  <c r="CV17" i="59"/>
  <c r="Z12" i="65"/>
  <c r="CW17" i="59"/>
  <c r="AA12" i="65"/>
  <c r="CX17" i="59"/>
  <c r="AD12" i="65"/>
  <c r="CY17" i="59"/>
  <c r="AG12" i="65"/>
  <c r="CZ17" i="59"/>
  <c r="AJ12" i="65"/>
  <c r="DA17" i="59"/>
  <c r="AM12" i="65"/>
  <c r="DB17" i="59"/>
  <c r="AP12" i="65"/>
  <c r="DC17" i="59"/>
  <c r="AR12" i="65"/>
  <c r="DD17" i="59"/>
  <c r="AS12" i="65"/>
  <c r="DE17" i="59"/>
  <c r="AU12" i="65"/>
  <c r="DF17" i="59"/>
  <c r="AV12" i="65"/>
  <c r="DG17" i="59"/>
  <c r="AX12" i="65"/>
  <c r="DH17" i="59"/>
  <c r="AY12" i="65"/>
  <c r="DI17" i="59"/>
  <c r="BA12" i="65"/>
  <c r="DJ17" i="59"/>
  <c r="BB12" i="65"/>
  <c r="DK17" i="59"/>
  <c r="BC12" i="65"/>
  <c r="DL17" i="59"/>
  <c r="BD12" i="65"/>
  <c r="DM17" i="59"/>
  <c r="BE12" i="65"/>
  <c r="DN17" i="59"/>
  <c r="BF12" i="65"/>
  <c r="DO17" i="59"/>
  <c r="F12" i="65"/>
  <c r="CO17" i="59"/>
  <c r="BG12" i="65"/>
  <c r="BJ12" i="65"/>
  <c r="H12" i="65"/>
  <c r="K12" i="65"/>
  <c r="N12" i="65"/>
  <c r="Q12" i="65"/>
  <c r="U12" i="65"/>
  <c r="X12" i="65"/>
  <c r="AC12" i="65"/>
  <c r="AF12" i="65"/>
  <c r="AI12" i="65"/>
  <c r="AL12" i="65"/>
  <c r="AO12" i="65"/>
  <c r="BI12" i="65"/>
  <c r="BH12" i="65"/>
  <c r="E17" i="59"/>
  <c r="G12" i="65"/>
  <c r="F17" i="59"/>
  <c r="G17" i="59"/>
  <c r="J12" i="65"/>
  <c r="H17" i="59"/>
  <c r="I17" i="59"/>
  <c r="M12" i="65"/>
  <c r="J17" i="59"/>
  <c r="K17" i="59"/>
  <c r="P12" i="65"/>
  <c r="L17" i="59"/>
  <c r="M17" i="59"/>
  <c r="T12" i="65"/>
  <c r="N17" i="59"/>
  <c r="O17" i="59"/>
  <c r="W12" i="65"/>
  <c r="P17" i="59"/>
  <c r="Q17" i="59"/>
  <c r="R17" i="59"/>
  <c r="S17" i="59"/>
  <c r="AB12" i="65"/>
  <c r="T17" i="59"/>
  <c r="U17" i="59"/>
  <c r="AE12" i="65"/>
  <c r="V17" i="59"/>
  <c r="W17" i="59"/>
  <c r="AH12" i="65"/>
  <c r="X17" i="59"/>
  <c r="Y17" i="59"/>
  <c r="AK12" i="65"/>
  <c r="Z17" i="59"/>
  <c r="AA17" i="59"/>
  <c r="AN12" i="65"/>
  <c r="AB17" i="59"/>
  <c r="AC17" i="59"/>
  <c r="AQ12" i="65"/>
  <c r="AD17" i="59"/>
  <c r="AE17" i="59"/>
  <c r="AT12" i="65"/>
  <c r="AF17" i="59"/>
  <c r="AG17" i="59"/>
  <c r="AW12" i="65"/>
  <c r="AH17" i="59"/>
  <c r="AI17" i="59"/>
  <c r="AZ12" i="65"/>
  <c r="AJ17" i="59"/>
  <c r="D17" i="59"/>
  <c r="AN17" i="59"/>
  <c r="CN17" i="59"/>
  <c r="E12" i="65"/>
  <c r="AO17" i="59"/>
  <c r="CJ17" i="59"/>
  <c r="CI17" i="59"/>
  <c r="CH17" i="59"/>
  <c r="CG17" i="59"/>
  <c r="CF17" i="59"/>
  <c r="CE17" i="59"/>
  <c r="CD17" i="59"/>
  <c r="CC17" i="59"/>
  <c r="CB17" i="59"/>
  <c r="CA17" i="59"/>
  <c r="BZ17" i="59"/>
  <c r="BY17" i="59"/>
  <c r="BX17" i="59"/>
  <c r="BW17" i="59"/>
  <c r="BV17" i="59"/>
  <c r="BU17" i="59"/>
  <c r="BT17" i="59"/>
  <c r="BS17" i="59"/>
  <c r="BR17" i="59"/>
  <c r="BQ17" i="59"/>
  <c r="BP17" i="59"/>
  <c r="BO17" i="59"/>
  <c r="BN17" i="59"/>
  <c r="BM17" i="59"/>
  <c r="BL17" i="59"/>
  <c r="BK17" i="59"/>
  <c r="BJ17" i="59"/>
  <c r="BI17" i="59"/>
  <c r="BH17" i="59"/>
  <c r="BG17" i="59"/>
  <c r="BF17" i="59"/>
  <c r="BE17" i="59"/>
  <c r="BD17" i="59"/>
  <c r="BC17" i="59"/>
  <c r="BB17" i="59"/>
  <c r="BA17" i="59"/>
  <c r="AZ17" i="59"/>
  <c r="AY17" i="59"/>
  <c r="AX17" i="59"/>
  <c r="AW17" i="59"/>
  <c r="AV17" i="59"/>
  <c r="AU17" i="59"/>
  <c r="AT17" i="59"/>
  <c r="AS17" i="59"/>
  <c r="AR17" i="59"/>
  <c r="AQ17" i="59"/>
  <c r="AP17" i="59"/>
  <c r="B18" i="63" a="1"/>
  <c r="B18" i="63"/>
  <c r="B19" i="63" a="1"/>
  <c r="B19" i="63"/>
  <c r="B20" i="63" a="1"/>
  <c r="B17" i="65"/>
  <c r="B18" i="65"/>
  <c r="B20" i="63"/>
  <c r="B19" i="65"/>
  <c r="B22" i="59"/>
  <c r="AL22" i="59"/>
  <c r="Y18" i="63"/>
  <c r="X18" i="63"/>
  <c r="W18" i="63"/>
  <c r="V18" i="63"/>
  <c r="E18" i="63"/>
  <c r="F18" i="63"/>
  <c r="G18" i="63"/>
  <c r="H18" i="63"/>
  <c r="I18" i="63"/>
  <c r="J18" i="63"/>
  <c r="K18" i="63"/>
  <c r="L18" i="63"/>
  <c r="M18" i="63"/>
  <c r="N18" i="63"/>
  <c r="O18" i="63"/>
  <c r="P18" i="63"/>
  <c r="Q18" i="63"/>
  <c r="R18" i="63"/>
  <c r="S18" i="63"/>
  <c r="T18" i="63"/>
  <c r="U18" i="63"/>
  <c r="E19" i="63"/>
  <c r="F19" i="63"/>
  <c r="G19" i="63"/>
  <c r="H19" i="63"/>
  <c r="I19" i="63"/>
  <c r="J19" i="63"/>
  <c r="K19" i="63"/>
  <c r="L19" i="63"/>
  <c r="M19" i="63"/>
  <c r="N19" i="63"/>
  <c r="O19" i="63"/>
  <c r="P19" i="63"/>
  <c r="Q19" i="63"/>
  <c r="R19" i="63"/>
  <c r="S19" i="63"/>
  <c r="T19" i="63"/>
  <c r="U19" i="63"/>
  <c r="V19" i="63"/>
  <c r="W19" i="63"/>
  <c r="X19" i="63"/>
  <c r="Y19" i="63"/>
  <c r="E20" i="63"/>
  <c r="F20" i="63"/>
  <c r="G20" i="63"/>
  <c r="H20" i="63"/>
  <c r="I20" i="63"/>
  <c r="J20" i="63"/>
  <c r="K20" i="63"/>
  <c r="L20" i="63"/>
  <c r="M20" i="63"/>
  <c r="N20" i="63"/>
  <c r="O20" i="63"/>
  <c r="P20" i="63"/>
  <c r="Q20" i="63"/>
  <c r="R20" i="63"/>
  <c r="S20" i="63"/>
  <c r="T20" i="63"/>
  <c r="U20" i="63"/>
  <c r="V20" i="63"/>
  <c r="W20" i="63"/>
  <c r="X20" i="63"/>
  <c r="Y20" i="63"/>
  <c r="C18" i="65"/>
  <c r="D18" i="65"/>
  <c r="F18" i="65"/>
  <c r="BK18" i="65"/>
  <c r="CO23" i="59"/>
  <c r="I18" i="65"/>
  <c r="CP23" i="59"/>
  <c r="L18" i="65"/>
  <c r="CQ23" i="59"/>
  <c r="O18" i="65"/>
  <c r="CR23" i="59"/>
  <c r="R18" i="65"/>
  <c r="CS23" i="59"/>
  <c r="S18" i="65"/>
  <c r="CT23" i="59"/>
  <c r="V18" i="65"/>
  <c r="CU23" i="59"/>
  <c r="Y18" i="65"/>
  <c r="CV23" i="59"/>
  <c r="Z18" i="65"/>
  <c r="CW23" i="59"/>
  <c r="AA18" i="65"/>
  <c r="CX23" i="59"/>
  <c r="AD18" i="65"/>
  <c r="CY23" i="59"/>
  <c r="AG18" i="65"/>
  <c r="CZ23" i="59"/>
  <c r="AJ18" i="65"/>
  <c r="DA23" i="59"/>
  <c r="AM18" i="65"/>
  <c r="DB23" i="59"/>
  <c r="AP18" i="65"/>
  <c r="DC23" i="59"/>
  <c r="AR18" i="65"/>
  <c r="DD23" i="59"/>
  <c r="AS18" i="65"/>
  <c r="DE23" i="59"/>
  <c r="AU18" i="65"/>
  <c r="DF23" i="59"/>
  <c r="AV18" i="65"/>
  <c r="DG23" i="59"/>
  <c r="AX18" i="65"/>
  <c r="DH23" i="59"/>
  <c r="AY18" i="65"/>
  <c r="DI23" i="59"/>
  <c r="BA18" i="65"/>
  <c r="DJ23" i="59"/>
  <c r="BB18" i="65"/>
  <c r="DK23" i="59"/>
  <c r="BC18" i="65"/>
  <c r="DL23" i="59"/>
  <c r="BD18" i="65"/>
  <c r="DM23" i="59"/>
  <c r="BE18" i="65"/>
  <c r="DN23" i="59"/>
  <c r="BF18" i="65"/>
  <c r="DO23" i="59"/>
  <c r="C19" i="65"/>
  <c r="D19" i="65"/>
  <c r="F19" i="65"/>
  <c r="BK19" i="65"/>
  <c r="CO24" i="59"/>
  <c r="I19" i="65"/>
  <c r="CP24" i="59"/>
  <c r="L19" i="65"/>
  <c r="CQ24" i="59"/>
  <c r="O19" i="65"/>
  <c r="CR24" i="59"/>
  <c r="R19" i="65"/>
  <c r="CS24" i="59"/>
  <c r="S19" i="65"/>
  <c r="CT24" i="59"/>
  <c r="V19" i="65"/>
  <c r="CU24" i="59"/>
  <c r="Y19" i="65"/>
  <c r="CV24" i="59"/>
  <c r="Z19" i="65"/>
  <c r="CW24" i="59"/>
  <c r="AA19" i="65"/>
  <c r="CX24" i="59"/>
  <c r="AD19" i="65"/>
  <c r="CY24" i="59"/>
  <c r="AG19" i="65"/>
  <c r="CZ24" i="59"/>
  <c r="AJ19" i="65"/>
  <c r="DA24" i="59"/>
  <c r="AM19" i="65"/>
  <c r="DB24" i="59"/>
  <c r="AP19" i="65"/>
  <c r="DC24" i="59"/>
  <c r="AR19" i="65"/>
  <c r="DD24" i="59"/>
  <c r="AS19" i="65"/>
  <c r="DE24" i="59"/>
  <c r="AU19" i="65"/>
  <c r="DF24" i="59"/>
  <c r="AV19" i="65"/>
  <c r="DG24" i="59"/>
  <c r="AX19" i="65"/>
  <c r="DH24" i="59"/>
  <c r="AY19" i="65"/>
  <c r="DI24" i="59"/>
  <c r="BA19" i="65"/>
  <c r="DJ24" i="59"/>
  <c r="BB19" i="65"/>
  <c r="DK24" i="59"/>
  <c r="BC19" i="65"/>
  <c r="DL24" i="59"/>
  <c r="BD19" i="65"/>
  <c r="DM24" i="59"/>
  <c r="BE19" i="65"/>
  <c r="DN24" i="59"/>
  <c r="BF19" i="65"/>
  <c r="DO24" i="59"/>
  <c r="BJ18" i="65"/>
  <c r="BG18" i="65"/>
  <c r="BJ19" i="65"/>
  <c r="BG19" i="65"/>
  <c r="H18" i="65"/>
  <c r="K18" i="65"/>
  <c r="N18" i="65"/>
  <c r="Q18" i="65"/>
  <c r="U18" i="65"/>
  <c r="X18" i="65"/>
  <c r="AC18" i="65"/>
  <c r="AF18" i="65"/>
  <c r="AI18" i="65"/>
  <c r="AL18" i="65"/>
  <c r="AO18" i="65"/>
  <c r="BI18" i="65"/>
  <c r="H19" i="65"/>
  <c r="K19" i="65"/>
  <c r="N19" i="65"/>
  <c r="Q19" i="65"/>
  <c r="U19" i="65"/>
  <c r="X19" i="65"/>
  <c r="AC19" i="65"/>
  <c r="AF19" i="65"/>
  <c r="AI19" i="65"/>
  <c r="AL19" i="65"/>
  <c r="AO19" i="65"/>
  <c r="BI19" i="65"/>
  <c r="BH18" i="65"/>
  <c r="E23" i="59"/>
  <c r="G18" i="65"/>
  <c r="F23" i="59"/>
  <c r="G23" i="59"/>
  <c r="J18" i="65"/>
  <c r="H23" i="59"/>
  <c r="I23" i="59"/>
  <c r="M18" i="65"/>
  <c r="J23" i="59"/>
  <c r="K23" i="59"/>
  <c r="P18" i="65"/>
  <c r="L23" i="59"/>
  <c r="M23" i="59"/>
  <c r="T18" i="65"/>
  <c r="N23" i="59"/>
  <c r="O23" i="59"/>
  <c r="W18" i="65"/>
  <c r="P23" i="59"/>
  <c r="Q23" i="59"/>
  <c r="R23" i="59"/>
  <c r="S23" i="59"/>
  <c r="AB18" i="65"/>
  <c r="T23" i="59"/>
  <c r="U23" i="59"/>
  <c r="AE18" i="65"/>
  <c r="V23" i="59"/>
  <c r="W23" i="59"/>
  <c r="AH18" i="65"/>
  <c r="X23" i="59"/>
  <c r="Y23" i="59"/>
  <c r="AK18" i="65"/>
  <c r="Z23" i="59"/>
  <c r="AA23" i="59"/>
  <c r="AN18" i="65"/>
  <c r="AB23" i="59"/>
  <c r="AC23" i="59"/>
  <c r="AQ18" i="65"/>
  <c r="AD23" i="59"/>
  <c r="AE23" i="59"/>
  <c r="AT18" i="65"/>
  <c r="AF23" i="59"/>
  <c r="AG23" i="59"/>
  <c r="AW18" i="65"/>
  <c r="AH23" i="59"/>
  <c r="AI23" i="59"/>
  <c r="AZ18" i="65"/>
  <c r="AJ23" i="59"/>
  <c r="BH19" i="65"/>
  <c r="E24" i="59"/>
  <c r="G19" i="65"/>
  <c r="F24" i="59"/>
  <c r="G24" i="59"/>
  <c r="J19" i="65"/>
  <c r="H24" i="59"/>
  <c r="I24" i="59"/>
  <c r="M19" i="65"/>
  <c r="J24" i="59"/>
  <c r="K24" i="59"/>
  <c r="P19" i="65"/>
  <c r="L24" i="59"/>
  <c r="M24" i="59"/>
  <c r="T19" i="65"/>
  <c r="N24" i="59"/>
  <c r="O24" i="59"/>
  <c r="W19" i="65"/>
  <c r="P24" i="59"/>
  <c r="Q24" i="59"/>
  <c r="R24" i="59"/>
  <c r="S24" i="59"/>
  <c r="AB19" i="65"/>
  <c r="T24" i="59"/>
  <c r="U24" i="59"/>
  <c r="AE19" i="65"/>
  <c r="V24" i="59"/>
  <c r="W24" i="59"/>
  <c r="AH19" i="65"/>
  <c r="X24" i="59"/>
  <c r="Y24" i="59"/>
  <c r="AK19" i="65"/>
  <c r="Z24" i="59"/>
  <c r="AA24" i="59"/>
  <c r="AN19" i="65"/>
  <c r="AB24" i="59"/>
  <c r="AC24" i="59"/>
  <c r="AQ19" i="65"/>
  <c r="AD24" i="59"/>
  <c r="AE24" i="59"/>
  <c r="AT19" i="65"/>
  <c r="AF24" i="59"/>
  <c r="AG24" i="59"/>
  <c r="AW19" i="65"/>
  <c r="AH24" i="59"/>
  <c r="AI24" i="59"/>
  <c r="AZ19" i="65"/>
  <c r="AJ24" i="59"/>
  <c r="B23" i="59"/>
  <c r="D23" i="59"/>
  <c r="AN23" i="59"/>
  <c r="B24" i="59"/>
  <c r="D24" i="59"/>
  <c r="AN24" i="59"/>
  <c r="CL22" i="59"/>
  <c r="CL23" i="59"/>
  <c r="CN23" i="59"/>
  <c r="CL24" i="59"/>
  <c r="CN24" i="59"/>
  <c r="AL23" i="59"/>
  <c r="E18" i="65"/>
  <c r="CJ23" i="59"/>
  <c r="CI23" i="59"/>
  <c r="CH23" i="59"/>
  <c r="CG23" i="59"/>
  <c r="CF23" i="59"/>
  <c r="CE23" i="59"/>
  <c r="CD23" i="59"/>
  <c r="CC23" i="59"/>
  <c r="CB23" i="59"/>
  <c r="CA23" i="59"/>
  <c r="BZ23" i="59"/>
  <c r="BY23" i="59"/>
  <c r="BX23" i="59"/>
  <c r="BW23" i="59"/>
  <c r="BV23" i="59"/>
  <c r="BU23" i="59"/>
  <c r="BT23" i="59"/>
  <c r="BS23" i="59"/>
  <c r="BR23" i="59"/>
  <c r="BQ23" i="59"/>
  <c r="BP23" i="59"/>
  <c r="BO23" i="59"/>
  <c r="BN23" i="59"/>
  <c r="BM23" i="59"/>
  <c r="BL23" i="59"/>
  <c r="BK23" i="59"/>
  <c r="BJ23" i="59"/>
  <c r="BI23" i="59"/>
  <c r="BH23" i="59"/>
  <c r="BG23" i="59"/>
  <c r="BF23" i="59"/>
  <c r="BE23" i="59"/>
  <c r="BD23" i="59"/>
  <c r="BC23" i="59"/>
  <c r="BB23" i="59"/>
  <c r="BA23" i="59"/>
  <c r="AZ23" i="59"/>
  <c r="AY23" i="59"/>
  <c r="AX23" i="59"/>
  <c r="AW23" i="59"/>
  <c r="AV23" i="59"/>
  <c r="AU23" i="59"/>
  <c r="AT23" i="59"/>
  <c r="AS23" i="59"/>
  <c r="AR23" i="59"/>
  <c r="AQ23" i="59"/>
  <c r="AP23" i="59"/>
  <c r="AO23" i="59"/>
  <c r="AL24" i="59"/>
  <c r="E19" i="65"/>
  <c r="CJ24" i="59"/>
  <c r="CI24" i="59"/>
  <c r="CH24" i="59"/>
  <c r="CG24" i="59"/>
  <c r="CF24" i="59"/>
  <c r="CE24" i="59"/>
  <c r="CD24" i="59"/>
  <c r="CC24" i="59"/>
  <c r="CB24" i="59"/>
  <c r="CA24" i="59"/>
  <c r="BZ24" i="59"/>
  <c r="BY24" i="59"/>
  <c r="BX24" i="59"/>
  <c r="BW24" i="59"/>
  <c r="BV24" i="59"/>
  <c r="BU24" i="59"/>
  <c r="BT24" i="59"/>
  <c r="BS24" i="59"/>
  <c r="BR24" i="59"/>
  <c r="BQ24" i="59"/>
  <c r="BP24" i="59"/>
  <c r="BO24" i="59"/>
  <c r="BN24" i="59"/>
  <c r="BM24" i="59"/>
  <c r="BL24" i="59"/>
  <c r="BK24" i="59"/>
  <c r="BJ24" i="59"/>
  <c r="BI24" i="59"/>
  <c r="BH24" i="59"/>
  <c r="BG24" i="59"/>
  <c r="BF24" i="59"/>
  <c r="BE24" i="59"/>
  <c r="BD24" i="59"/>
  <c r="BC24" i="59"/>
  <c r="BB24" i="59"/>
  <c r="BA24" i="59"/>
  <c r="AZ24" i="59"/>
  <c r="AY24" i="59"/>
  <c r="AX24" i="59"/>
  <c r="AW24" i="59"/>
  <c r="AV24" i="59"/>
  <c r="AU24" i="59"/>
  <c r="AT24" i="59"/>
  <c r="AS24" i="59"/>
  <c r="AR24" i="59"/>
  <c r="AQ24" i="59"/>
  <c r="AP24" i="59"/>
  <c r="AO24" i="59"/>
  <c r="B21" i="63" a="1"/>
  <c r="B21" i="63"/>
  <c r="B20" i="65"/>
  <c r="Y21" i="63"/>
  <c r="X21" i="63"/>
  <c r="W21" i="63"/>
  <c r="E21" i="63"/>
  <c r="F21" i="63"/>
  <c r="G21" i="63"/>
  <c r="H21" i="63"/>
  <c r="I21" i="63"/>
  <c r="J21" i="63"/>
  <c r="K21" i="63"/>
  <c r="L21" i="63"/>
  <c r="M21" i="63"/>
  <c r="N21" i="63"/>
  <c r="O21" i="63"/>
  <c r="P21" i="63"/>
  <c r="Q21" i="63"/>
  <c r="R21" i="63"/>
  <c r="S21" i="63"/>
  <c r="T21" i="63"/>
  <c r="U21" i="63"/>
  <c r="V21" i="63"/>
  <c r="B22" i="63" a="1"/>
  <c r="B22" i="63"/>
  <c r="E22" i="63"/>
  <c r="F22" i="63"/>
  <c r="G22" i="63"/>
  <c r="H22" i="63"/>
  <c r="I22" i="63"/>
  <c r="J22" i="63"/>
  <c r="K22" i="63"/>
  <c r="L22" i="63"/>
  <c r="M22" i="63"/>
  <c r="N22" i="63"/>
  <c r="O22" i="63"/>
  <c r="P22" i="63"/>
  <c r="Q22" i="63"/>
  <c r="R22" i="63"/>
  <c r="S22" i="63"/>
  <c r="T22" i="63"/>
  <c r="U22" i="63"/>
  <c r="V22" i="63"/>
  <c r="W22" i="63"/>
  <c r="X22" i="63"/>
  <c r="Y22" i="63"/>
  <c r="B23" i="63" a="1"/>
  <c r="B23" i="63"/>
  <c r="E23" i="63"/>
  <c r="F23" i="63"/>
  <c r="G23" i="63"/>
  <c r="H23" i="63"/>
  <c r="I23" i="63"/>
  <c r="J23" i="63"/>
  <c r="K23" i="63"/>
  <c r="L23" i="63"/>
  <c r="M23" i="63"/>
  <c r="N23" i="63"/>
  <c r="O23" i="63"/>
  <c r="P23" i="63"/>
  <c r="Q23" i="63"/>
  <c r="R23" i="63"/>
  <c r="S23" i="63"/>
  <c r="T23" i="63"/>
  <c r="U23" i="63"/>
  <c r="V23" i="63"/>
  <c r="W23" i="63"/>
  <c r="X23" i="63"/>
  <c r="Y23" i="63"/>
  <c r="B24" i="63" a="1"/>
  <c r="B24" i="63"/>
  <c r="E24" i="63"/>
  <c r="F24" i="63"/>
  <c r="G24" i="63"/>
  <c r="H24" i="63"/>
  <c r="I24" i="63"/>
  <c r="J24" i="63"/>
  <c r="K24" i="63"/>
  <c r="L24" i="63"/>
  <c r="M24" i="63"/>
  <c r="N24" i="63"/>
  <c r="O24" i="63"/>
  <c r="P24" i="63"/>
  <c r="Q24" i="63"/>
  <c r="R24" i="63"/>
  <c r="S24" i="63"/>
  <c r="T24" i="63"/>
  <c r="U24" i="63"/>
  <c r="V24" i="63"/>
  <c r="W24" i="63"/>
  <c r="X24" i="63"/>
  <c r="Y24" i="63"/>
  <c r="B25" i="63" a="1"/>
  <c r="B25" i="63"/>
  <c r="E25" i="63"/>
  <c r="F25" i="63"/>
  <c r="G25" i="63"/>
  <c r="H25" i="63"/>
  <c r="I25" i="63"/>
  <c r="J25" i="63"/>
  <c r="K25" i="63"/>
  <c r="L25" i="63"/>
  <c r="M25" i="63"/>
  <c r="N25" i="63"/>
  <c r="O25" i="63"/>
  <c r="P25" i="63"/>
  <c r="Q25" i="63"/>
  <c r="R25" i="63"/>
  <c r="S25" i="63"/>
  <c r="T25" i="63"/>
  <c r="U25" i="63"/>
  <c r="V25" i="63"/>
  <c r="W25" i="63"/>
  <c r="X25" i="63"/>
  <c r="Y25" i="63"/>
  <c r="B26" i="63" a="1"/>
  <c r="B26" i="63"/>
  <c r="E26" i="63"/>
  <c r="F26" i="63"/>
  <c r="G26" i="63"/>
  <c r="H26" i="63"/>
  <c r="I26" i="63"/>
  <c r="J26" i="63"/>
  <c r="K26" i="63"/>
  <c r="L26" i="63"/>
  <c r="M26" i="63"/>
  <c r="N26" i="63"/>
  <c r="O26" i="63"/>
  <c r="P26" i="63"/>
  <c r="Q26" i="63"/>
  <c r="R26" i="63"/>
  <c r="S26" i="63"/>
  <c r="T26" i="63"/>
  <c r="U26" i="63"/>
  <c r="V26" i="63"/>
  <c r="W26" i="63"/>
  <c r="X26" i="63"/>
  <c r="Y26" i="63"/>
  <c r="B27" i="63" a="1"/>
  <c r="B27" i="63"/>
  <c r="E27" i="63"/>
  <c r="F27" i="63"/>
  <c r="G27" i="63"/>
  <c r="H27" i="63"/>
  <c r="I27" i="63"/>
  <c r="J27" i="63"/>
  <c r="K27" i="63"/>
  <c r="L27" i="63"/>
  <c r="M27" i="63"/>
  <c r="N27" i="63"/>
  <c r="O27" i="63"/>
  <c r="P27" i="63"/>
  <c r="Q27" i="63"/>
  <c r="R27" i="63"/>
  <c r="S27" i="63"/>
  <c r="T27" i="63"/>
  <c r="U27" i="63"/>
  <c r="V27" i="63"/>
  <c r="W27" i="63"/>
  <c r="X27" i="63"/>
  <c r="Y27" i="63"/>
  <c r="B28" i="63" a="1"/>
  <c r="B28" i="63"/>
  <c r="E28" i="63"/>
  <c r="F28" i="63"/>
  <c r="G28" i="63"/>
  <c r="H28" i="63"/>
  <c r="I28" i="63"/>
  <c r="J28" i="63"/>
  <c r="K28" i="63"/>
  <c r="L28" i="63"/>
  <c r="M28" i="63"/>
  <c r="N28" i="63"/>
  <c r="O28" i="63"/>
  <c r="P28" i="63"/>
  <c r="Q28" i="63"/>
  <c r="R28" i="63"/>
  <c r="S28" i="63"/>
  <c r="T28" i="63"/>
  <c r="U28" i="63"/>
  <c r="V28" i="63"/>
  <c r="W28" i="63"/>
  <c r="X28" i="63"/>
  <c r="Y28" i="63"/>
  <c r="B29" i="63" a="1"/>
  <c r="B29" i="63"/>
  <c r="E29" i="63"/>
  <c r="F29" i="63"/>
  <c r="G29" i="63"/>
  <c r="H29" i="63"/>
  <c r="I29" i="63"/>
  <c r="J29" i="63"/>
  <c r="K29" i="63"/>
  <c r="L29" i="63"/>
  <c r="M29" i="63"/>
  <c r="N29" i="63"/>
  <c r="O29" i="63"/>
  <c r="P29" i="63"/>
  <c r="Q29" i="63"/>
  <c r="R29" i="63"/>
  <c r="S29" i="63"/>
  <c r="T29" i="63"/>
  <c r="U29" i="63"/>
  <c r="V29" i="63"/>
  <c r="W29" i="63"/>
  <c r="X29" i="63"/>
  <c r="Y29" i="63"/>
  <c r="B30" i="63" a="1"/>
  <c r="B30" i="63"/>
  <c r="E30" i="63"/>
  <c r="F30" i="63"/>
  <c r="G30" i="63"/>
  <c r="H30" i="63"/>
  <c r="I30" i="63"/>
  <c r="J30" i="63"/>
  <c r="K30" i="63"/>
  <c r="L30" i="63"/>
  <c r="M30" i="63"/>
  <c r="N30" i="63"/>
  <c r="O30" i="63"/>
  <c r="P30" i="63"/>
  <c r="Q30" i="63"/>
  <c r="R30" i="63"/>
  <c r="S30" i="63"/>
  <c r="T30" i="63"/>
  <c r="U30" i="63"/>
  <c r="V30" i="63"/>
  <c r="W30" i="63"/>
  <c r="X30" i="63"/>
  <c r="Y30" i="63"/>
  <c r="B31" i="63" a="1"/>
  <c r="B31" i="63"/>
  <c r="E31" i="63"/>
  <c r="F31" i="63"/>
  <c r="G31" i="63"/>
  <c r="H31" i="63"/>
  <c r="I31" i="63"/>
  <c r="J31" i="63"/>
  <c r="K31" i="63"/>
  <c r="L31" i="63"/>
  <c r="M31" i="63"/>
  <c r="N31" i="63"/>
  <c r="O31" i="63"/>
  <c r="P31" i="63"/>
  <c r="Q31" i="63"/>
  <c r="R31" i="63"/>
  <c r="S31" i="63"/>
  <c r="T31" i="63"/>
  <c r="U31" i="63"/>
  <c r="V31" i="63"/>
  <c r="W31" i="63"/>
  <c r="X31" i="63"/>
  <c r="Y31" i="63"/>
  <c r="B32" i="63" a="1"/>
  <c r="B32" i="63"/>
  <c r="E32" i="63"/>
  <c r="F32" i="63"/>
  <c r="G32" i="63"/>
  <c r="H32" i="63"/>
  <c r="I32" i="63"/>
  <c r="J32" i="63"/>
  <c r="K32" i="63"/>
  <c r="L32" i="63"/>
  <c r="M32" i="63"/>
  <c r="N32" i="63"/>
  <c r="O32" i="63"/>
  <c r="P32" i="63"/>
  <c r="Q32" i="63"/>
  <c r="R32" i="63"/>
  <c r="S32" i="63"/>
  <c r="T32" i="63"/>
  <c r="U32" i="63"/>
  <c r="V32" i="63"/>
  <c r="W32" i="63"/>
  <c r="X32" i="63"/>
  <c r="Y32" i="63"/>
  <c r="B33" i="63" a="1"/>
  <c r="B33" i="63"/>
  <c r="E33" i="63"/>
  <c r="F33" i="63"/>
  <c r="G33" i="63"/>
  <c r="H33" i="63"/>
  <c r="I33" i="63"/>
  <c r="J33" i="63"/>
  <c r="K33" i="63"/>
  <c r="L33" i="63"/>
  <c r="M33" i="63"/>
  <c r="N33" i="63"/>
  <c r="O33" i="63"/>
  <c r="P33" i="63"/>
  <c r="Q33" i="63"/>
  <c r="R33" i="63"/>
  <c r="S33" i="63"/>
  <c r="T33" i="63"/>
  <c r="U33" i="63"/>
  <c r="V33" i="63"/>
  <c r="W33" i="63"/>
  <c r="X33" i="63"/>
  <c r="Y33" i="63"/>
  <c r="B34" i="63" a="1"/>
  <c r="B34" i="63"/>
  <c r="E34" i="63"/>
  <c r="F34" i="63"/>
  <c r="G34" i="63"/>
  <c r="H34" i="63"/>
  <c r="I34" i="63"/>
  <c r="J34" i="63"/>
  <c r="K34" i="63"/>
  <c r="L34" i="63"/>
  <c r="M34" i="63"/>
  <c r="N34" i="63"/>
  <c r="O34" i="63"/>
  <c r="P34" i="63"/>
  <c r="Q34" i="63"/>
  <c r="R34" i="63"/>
  <c r="S34" i="63"/>
  <c r="T34" i="63"/>
  <c r="U34" i="63"/>
  <c r="V34" i="63"/>
  <c r="W34" i="63"/>
  <c r="X34" i="63"/>
  <c r="Y34" i="63"/>
  <c r="B35" i="63" a="1"/>
  <c r="B35" i="63"/>
  <c r="E35" i="63"/>
  <c r="F35" i="63"/>
  <c r="G35" i="63"/>
  <c r="H35" i="63"/>
  <c r="I35" i="63"/>
  <c r="J35" i="63"/>
  <c r="K35" i="63"/>
  <c r="L35" i="63"/>
  <c r="M35" i="63"/>
  <c r="N35" i="63"/>
  <c r="O35" i="63"/>
  <c r="P35" i="63"/>
  <c r="Q35" i="63"/>
  <c r="R35" i="63"/>
  <c r="S35" i="63"/>
  <c r="T35" i="63"/>
  <c r="U35" i="63"/>
  <c r="V35" i="63"/>
  <c r="W35" i="63"/>
  <c r="X35" i="63"/>
  <c r="Y35" i="63"/>
  <c r="B36" i="63" a="1"/>
  <c r="B36" i="63"/>
  <c r="E36" i="63"/>
  <c r="F36" i="63"/>
  <c r="G36" i="63"/>
  <c r="H36" i="63"/>
  <c r="I36" i="63"/>
  <c r="J36" i="63"/>
  <c r="K36" i="63"/>
  <c r="L36" i="63"/>
  <c r="M36" i="63"/>
  <c r="N36" i="63"/>
  <c r="O36" i="63"/>
  <c r="P36" i="63"/>
  <c r="Q36" i="63"/>
  <c r="R36" i="63"/>
  <c r="S36" i="63"/>
  <c r="T36" i="63"/>
  <c r="U36" i="63"/>
  <c r="V36" i="63"/>
  <c r="W36" i="63"/>
  <c r="X36" i="63"/>
  <c r="Y36" i="63"/>
  <c r="B37" i="63" a="1"/>
  <c r="B37" i="63"/>
  <c r="E37" i="63"/>
  <c r="F37" i="63"/>
  <c r="G37" i="63"/>
  <c r="H37" i="63"/>
  <c r="I37" i="63"/>
  <c r="J37" i="63"/>
  <c r="K37" i="63"/>
  <c r="L37" i="63"/>
  <c r="M37" i="63"/>
  <c r="N37" i="63"/>
  <c r="O37" i="63"/>
  <c r="P37" i="63"/>
  <c r="Q37" i="63"/>
  <c r="R37" i="63"/>
  <c r="S37" i="63"/>
  <c r="T37" i="63"/>
  <c r="U37" i="63"/>
  <c r="V37" i="63"/>
  <c r="W37" i="63"/>
  <c r="X37" i="63"/>
  <c r="Y37" i="63"/>
  <c r="B38" i="63" a="1"/>
  <c r="B38" i="63"/>
  <c r="E38" i="63"/>
  <c r="F38" i="63"/>
  <c r="G38" i="63"/>
  <c r="H38" i="63"/>
  <c r="I38" i="63"/>
  <c r="J38" i="63"/>
  <c r="K38" i="63"/>
  <c r="L38" i="63"/>
  <c r="M38" i="63"/>
  <c r="N38" i="63"/>
  <c r="O38" i="63"/>
  <c r="P38" i="63"/>
  <c r="Q38" i="63"/>
  <c r="R38" i="63"/>
  <c r="S38" i="63"/>
  <c r="T38" i="63"/>
  <c r="U38" i="63"/>
  <c r="V38" i="63"/>
  <c r="W38" i="63"/>
  <c r="X38" i="63"/>
  <c r="Y38" i="63"/>
  <c r="B39" i="63" a="1"/>
  <c r="B39" i="63"/>
  <c r="E39" i="63"/>
  <c r="F39" i="63"/>
  <c r="G39" i="63"/>
  <c r="H39" i="63"/>
  <c r="I39" i="63"/>
  <c r="J39" i="63"/>
  <c r="K39" i="63"/>
  <c r="L39" i="63"/>
  <c r="M39" i="63"/>
  <c r="N39" i="63"/>
  <c r="O39" i="63"/>
  <c r="P39" i="63"/>
  <c r="Q39" i="63"/>
  <c r="R39" i="63"/>
  <c r="S39" i="63"/>
  <c r="T39" i="63"/>
  <c r="U39" i="63"/>
  <c r="V39" i="63"/>
  <c r="W39" i="63"/>
  <c r="X39" i="63"/>
  <c r="Y39" i="63"/>
  <c r="B40" i="63" a="1"/>
  <c r="B40" i="63"/>
  <c r="E40" i="63"/>
  <c r="F40" i="63"/>
  <c r="G40" i="63"/>
  <c r="H40" i="63"/>
  <c r="I40" i="63"/>
  <c r="J40" i="63"/>
  <c r="K40" i="63"/>
  <c r="L40" i="63"/>
  <c r="M40" i="63"/>
  <c r="N40" i="63"/>
  <c r="O40" i="63"/>
  <c r="P40" i="63"/>
  <c r="Q40" i="63"/>
  <c r="R40" i="63"/>
  <c r="S40" i="63"/>
  <c r="T40" i="63"/>
  <c r="U40" i="63"/>
  <c r="V40" i="63"/>
  <c r="W40" i="63"/>
  <c r="X40" i="63"/>
  <c r="Y40" i="63"/>
  <c r="B21" i="65"/>
  <c r="C21" i="65"/>
  <c r="D21" i="65"/>
  <c r="E21" i="65"/>
  <c r="B22" i="65"/>
  <c r="C22" i="65"/>
  <c r="D22" i="65"/>
  <c r="E22" i="65"/>
  <c r="B23" i="65"/>
  <c r="C23" i="65"/>
  <c r="D23" i="65"/>
  <c r="E23" i="65"/>
  <c r="B24" i="65"/>
  <c r="C24" i="65"/>
  <c r="D24" i="65"/>
  <c r="E24" i="65"/>
  <c r="B25" i="65"/>
  <c r="C25" i="65"/>
  <c r="D25" i="65"/>
  <c r="E25" i="65"/>
  <c r="B26" i="65"/>
  <c r="C26" i="65"/>
  <c r="D26" i="65"/>
  <c r="E26" i="65"/>
  <c r="B25" i="59"/>
  <c r="AL25" i="59"/>
  <c r="B26" i="59"/>
  <c r="AL26" i="59"/>
  <c r="AO26" i="59"/>
  <c r="AP26" i="59"/>
  <c r="AQ26" i="59"/>
  <c r="AR26" i="59"/>
  <c r="AS26" i="59"/>
  <c r="AT26" i="59"/>
  <c r="AU26" i="59"/>
  <c r="AV26" i="59"/>
  <c r="AW26" i="59"/>
  <c r="AX26" i="59"/>
  <c r="AY26" i="59"/>
  <c r="AZ26" i="59"/>
  <c r="BA26" i="59"/>
  <c r="BB26" i="59"/>
  <c r="BC26" i="59"/>
  <c r="BD26" i="59"/>
  <c r="BE26" i="59"/>
  <c r="BF26" i="59"/>
  <c r="BG26" i="59"/>
  <c r="BH26" i="59"/>
  <c r="BI26" i="59"/>
  <c r="BJ26" i="59"/>
  <c r="BK26" i="59"/>
  <c r="BL26" i="59"/>
  <c r="BM26" i="59"/>
  <c r="BN26" i="59"/>
  <c r="BO26" i="59"/>
  <c r="BP26" i="59"/>
  <c r="BQ26" i="59"/>
  <c r="BR26" i="59"/>
  <c r="BS26" i="59"/>
  <c r="BT26" i="59"/>
  <c r="BU26" i="59"/>
  <c r="BV26" i="59"/>
  <c r="BW26" i="59"/>
  <c r="BX26" i="59"/>
  <c r="BY26" i="59"/>
  <c r="BZ26" i="59"/>
  <c r="CA26" i="59"/>
  <c r="CB26" i="59"/>
  <c r="CC26" i="59"/>
  <c r="CD26" i="59"/>
  <c r="CE26" i="59"/>
  <c r="CF26" i="59"/>
  <c r="CG26" i="59"/>
  <c r="CH26" i="59"/>
  <c r="CI26" i="59"/>
  <c r="CJ26" i="59"/>
  <c r="B27" i="59"/>
  <c r="AL27" i="59"/>
  <c r="AO27" i="59"/>
  <c r="AP27" i="59"/>
  <c r="AQ27" i="59"/>
  <c r="AR27" i="59"/>
  <c r="AS27" i="59"/>
  <c r="AT27" i="59"/>
  <c r="AU27" i="59"/>
  <c r="AV27" i="59"/>
  <c r="AW27" i="59"/>
  <c r="AX27" i="59"/>
  <c r="AY27" i="59"/>
  <c r="AZ27" i="59"/>
  <c r="BA27" i="59"/>
  <c r="BB27" i="59"/>
  <c r="BC27" i="59"/>
  <c r="BD27" i="59"/>
  <c r="BE27" i="59"/>
  <c r="BF27" i="59"/>
  <c r="BG27" i="59"/>
  <c r="BH27" i="59"/>
  <c r="BI27" i="59"/>
  <c r="BJ27" i="59"/>
  <c r="BK27" i="59"/>
  <c r="BL27" i="59"/>
  <c r="BM27" i="59"/>
  <c r="BN27" i="59"/>
  <c r="BO27" i="59"/>
  <c r="BP27" i="59"/>
  <c r="BQ27" i="59"/>
  <c r="BR27" i="59"/>
  <c r="BS27" i="59"/>
  <c r="BT27" i="59"/>
  <c r="BU27" i="59"/>
  <c r="BV27" i="59"/>
  <c r="BW27" i="59"/>
  <c r="BX27" i="59"/>
  <c r="BY27" i="59"/>
  <c r="BZ27" i="59"/>
  <c r="CA27" i="59"/>
  <c r="CB27" i="59"/>
  <c r="CC27" i="59"/>
  <c r="CD27" i="59"/>
  <c r="CE27" i="59"/>
  <c r="CF27" i="59"/>
  <c r="CG27" i="59"/>
  <c r="CH27" i="59"/>
  <c r="CI27" i="59"/>
  <c r="CJ27" i="59"/>
  <c r="B28" i="59"/>
  <c r="AL28" i="59"/>
  <c r="AO28" i="59"/>
  <c r="AP28" i="59"/>
  <c r="AQ28" i="59"/>
  <c r="AR28" i="59"/>
  <c r="AS28" i="59"/>
  <c r="AT28" i="59"/>
  <c r="AU28" i="59"/>
  <c r="AV28" i="59"/>
  <c r="AW28" i="59"/>
  <c r="AX28" i="59"/>
  <c r="AY28" i="59"/>
  <c r="AZ28" i="59"/>
  <c r="BA28" i="59"/>
  <c r="BB28" i="59"/>
  <c r="BC28" i="59"/>
  <c r="BD28" i="59"/>
  <c r="BE28" i="59"/>
  <c r="BF28" i="59"/>
  <c r="BG28" i="59"/>
  <c r="BH28" i="59"/>
  <c r="BI28" i="59"/>
  <c r="BJ28" i="59"/>
  <c r="BK28" i="59"/>
  <c r="BL28" i="59"/>
  <c r="BM28" i="59"/>
  <c r="BN28" i="59"/>
  <c r="BO28" i="59"/>
  <c r="BP28" i="59"/>
  <c r="BQ28" i="59"/>
  <c r="BR28" i="59"/>
  <c r="BS28" i="59"/>
  <c r="BT28" i="59"/>
  <c r="BU28" i="59"/>
  <c r="BV28" i="59"/>
  <c r="BW28" i="59"/>
  <c r="BX28" i="59"/>
  <c r="BY28" i="59"/>
  <c r="BZ28" i="59"/>
  <c r="CA28" i="59"/>
  <c r="CB28" i="59"/>
  <c r="CC28" i="59"/>
  <c r="CD28" i="59"/>
  <c r="CE28" i="59"/>
  <c r="CF28" i="59"/>
  <c r="CG28" i="59"/>
  <c r="CH28" i="59"/>
  <c r="CI28" i="59"/>
  <c r="CJ28" i="59"/>
  <c r="B29" i="59"/>
  <c r="AL29" i="59"/>
  <c r="AO29" i="59"/>
  <c r="AP29" i="59"/>
  <c r="AQ29" i="59"/>
  <c r="AR29" i="59"/>
  <c r="AS29" i="59"/>
  <c r="AT29" i="59"/>
  <c r="AU29" i="59"/>
  <c r="AV29" i="59"/>
  <c r="AW29" i="59"/>
  <c r="AX29" i="59"/>
  <c r="AY29" i="59"/>
  <c r="AZ29" i="59"/>
  <c r="BA29" i="59"/>
  <c r="BB29" i="59"/>
  <c r="BC29" i="59"/>
  <c r="BD29" i="59"/>
  <c r="BE29" i="59"/>
  <c r="BF29" i="59"/>
  <c r="BG29" i="59"/>
  <c r="BH29" i="59"/>
  <c r="BI29" i="59"/>
  <c r="BJ29" i="59"/>
  <c r="BK29" i="59"/>
  <c r="BL29" i="59"/>
  <c r="BM29" i="59"/>
  <c r="BN29" i="59"/>
  <c r="BO29" i="59"/>
  <c r="BP29" i="59"/>
  <c r="BQ29" i="59"/>
  <c r="BR29" i="59"/>
  <c r="BS29" i="59"/>
  <c r="BT29" i="59"/>
  <c r="BU29" i="59"/>
  <c r="BV29" i="59"/>
  <c r="BW29" i="59"/>
  <c r="BX29" i="59"/>
  <c r="BY29" i="59"/>
  <c r="BZ29" i="59"/>
  <c r="CA29" i="59"/>
  <c r="CB29" i="59"/>
  <c r="CC29" i="59"/>
  <c r="CD29" i="59"/>
  <c r="CE29" i="59"/>
  <c r="CF29" i="59"/>
  <c r="CG29" i="59"/>
  <c r="CH29" i="59"/>
  <c r="CI29" i="59"/>
  <c r="CJ29" i="59"/>
  <c r="B30" i="59"/>
  <c r="AL30" i="59"/>
  <c r="AO30" i="59"/>
  <c r="AP30" i="59"/>
  <c r="AQ30" i="59"/>
  <c r="AR30" i="59"/>
  <c r="AS30" i="59"/>
  <c r="AT30" i="59"/>
  <c r="AU30" i="59"/>
  <c r="AV30" i="59"/>
  <c r="AW30" i="59"/>
  <c r="AX30" i="59"/>
  <c r="AY30" i="59"/>
  <c r="AZ30" i="59"/>
  <c r="BA30" i="59"/>
  <c r="BB30" i="59"/>
  <c r="BC30" i="59"/>
  <c r="BD30" i="59"/>
  <c r="BE30" i="59"/>
  <c r="BF30" i="59"/>
  <c r="BG30" i="59"/>
  <c r="BH30" i="59"/>
  <c r="BI30" i="59"/>
  <c r="BJ30" i="59"/>
  <c r="BK30" i="59"/>
  <c r="BL30" i="59"/>
  <c r="BM30" i="59"/>
  <c r="BN30" i="59"/>
  <c r="BO30" i="59"/>
  <c r="BP30" i="59"/>
  <c r="BQ30" i="59"/>
  <c r="BR30" i="59"/>
  <c r="BS30" i="59"/>
  <c r="BT30" i="59"/>
  <c r="BU30" i="59"/>
  <c r="BV30" i="59"/>
  <c r="BW30" i="59"/>
  <c r="BX30" i="59"/>
  <c r="BY30" i="59"/>
  <c r="BZ30" i="59"/>
  <c r="CA30" i="59"/>
  <c r="CB30" i="59"/>
  <c r="CC30" i="59"/>
  <c r="CD30" i="59"/>
  <c r="CE30" i="59"/>
  <c r="CF30" i="59"/>
  <c r="CG30" i="59"/>
  <c r="CH30" i="59"/>
  <c r="CI30" i="59"/>
  <c r="CJ30" i="59"/>
  <c r="BI26" i="65"/>
  <c r="B31" i="59"/>
  <c r="AL31" i="59"/>
  <c r="F26" i="65"/>
  <c r="AO31" i="59"/>
  <c r="G26" i="65"/>
  <c r="AP31" i="59"/>
  <c r="H26" i="65"/>
  <c r="AQ31" i="59"/>
  <c r="I26" i="65"/>
  <c r="AR31" i="59"/>
  <c r="J26" i="65"/>
  <c r="AS31" i="59"/>
  <c r="K26" i="65"/>
  <c r="AT31" i="59"/>
  <c r="L26" i="65"/>
  <c r="AU31" i="59"/>
  <c r="M26" i="65"/>
  <c r="AV31" i="59"/>
  <c r="N26" i="65"/>
  <c r="AW31" i="59"/>
  <c r="O26" i="65"/>
  <c r="AX31" i="59"/>
  <c r="P26" i="65"/>
  <c r="AY31" i="59"/>
  <c r="Q26" i="65"/>
  <c r="AZ31" i="59"/>
  <c r="S26" i="65"/>
  <c r="BA31" i="59"/>
  <c r="T26" i="65"/>
  <c r="BB31" i="59"/>
  <c r="U26" i="65"/>
  <c r="BC31" i="59"/>
  <c r="V26" i="65"/>
  <c r="BD31" i="59"/>
  <c r="W26" i="65"/>
  <c r="BE31" i="59"/>
  <c r="X26" i="65"/>
  <c r="BF31" i="59"/>
  <c r="Y26" i="65"/>
  <c r="BG31" i="59"/>
  <c r="Z26" i="65"/>
  <c r="BH31" i="59"/>
  <c r="AA26" i="65"/>
  <c r="BI31" i="59"/>
  <c r="AB26" i="65"/>
  <c r="BJ31" i="59"/>
  <c r="AC26" i="65"/>
  <c r="BK31" i="59"/>
  <c r="AD26" i="65"/>
  <c r="BL31" i="59"/>
  <c r="AE26" i="65"/>
  <c r="BM31" i="59"/>
  <c r="AF26" i="65"/>
  <c r="BN31" i="59"/>
  <c r="AG26" i="65"/>
  <c r="BO31" i="59"/>
  <c r="AH26" i="65"/>
  <c r="BP31" i="59"/>
  <c r="AI26" i="65"/>
  <c r="BQ31" i="59"/>
  <c r="AJ26" i="65"/>
  <c r="BR31" i="59"/>
  <c r="AK26" i="65"/>
  <c r="BS31" i="59"/>
  <c r="AL26" i="65"/>
  <c r="BT31" i="59"/>
  <c r="AM26" i="65"/>
  <c r="BU31" i="59"/>
  <c r="AN26" i="65"/>
  <c r="BV31" i="59"/>
  <c r="AO26" i="65"/>
  <c r="BW31" i="59"/>
  <c r="AP26" i="65"/>
  <c r="BX31" i="59"/>
  <c r="AQ26" i="65"/>
  <c r="BY31" i="59"/>
  <c r="AS26" i="65"/>
  <c r="BZ31" i="59"/>
  <c r="AT26" i="65"/>
  <c r="CA31" i="59"/>
  <c r="AV26" i="65"/>
  <c r="CB31" i="59"/>
  <c r="AW26" i="65"/>
  <c r="CC31" i="59"/>
  <c r="AY26" i="65"/>
  <c r="CD31" i="59"/>
  <c r="AZ26" i="65"/>
  <c r="CE31" i="59"/>
  <c r="BB26" i="65"/>
  <c r="CF31" i="59"/>
  <c r="BC26" i="65"/>
  <c r="CG31" i="59"/>
  <c r="BD26" i="65"/>
  <c r="CH31" i="59"/>
  <c r="BE26" i="65"/>
  <c r="CI31" i="59"/>
  <c r="BF26" i="65"/>
  <c r="CJ31" i="59"/>
  <c r="CL31" i="59"/>
  <c r="D30" i="59"/>
  <c r="CN30" i="59"/>
  <c r="CL30" i="59"/>
  <c r="D29" i="59"/>
  <c r="CN29" i="59"/>
  <c r="CL29" i="59"/>
  <c r="D28" i="59"/>
  <c r="CN28" i="59"/>
  <c r="CL28" i="59"/>
  <c r="CL27" i="59"/>
  <c r="D26" i="59"/>
  <c r="CN26" i="59"/>
  <c r="CL26" i="59"/>
  <c r="CL25" i="59"/>
  <c r="AN30" i="59"/>
  <c r="AN29" i="59"/>
  <c r="AN28" i="59"/>
  <c r="AN26" i="59"/>
  <c r="BH25" i="65"/>
  <c r="AZ25" i="65"/>
  <c r="AJ30" i="59"/>
  <c r="AY25" i="65"/>
  <c r="AI30" i="59"/>
  <c r="AW25" i="65"/>
  <c r="AH30" i="59"/>
  <c r="AV25" i="65"/>
  <c r="AG30" i="59"/>
  <c r="AT25" i="65"/>
  <c r="AF30" i="59"/>
  <c r="AS25" i="65"/>
  <c r="AE30" i="59"/>
  <c r="AQ25" i="65"/>
  <c r="AD30" i="59"/>
  <c r="AP25" i="65"/>
  <c r="AC30" i="59"/>
  <c r="AN25" i="65"/>
  <c r="AB30" i="59"/>
  <c r="AM25" i="65"/>
  <c r="AA30" i="59"/>
  <c r="AK25" i="65"/>
  <c r="Z30" i="59"/>
  <c r="AJ25" i="65"/>
  <c r="Y30" i="59"/>
  <c r="AH25" i="65"/>
  <c r="X30" i="59"/>
  <c r="AG25" i="65"/>
  <c r="W30" i="59"/>
  <c r="AE25" i="65"/>
  <c r="V30" i="59"/>
  <c r="AD25" i="65"/>
  <c r="U30" i="59"/>
  <c r="AB25" i="65"/>
  <c r="T30" i="59"/>
  <c r="AA25" i="65"/>
  <c r="S30" i="59"/>
  <c r="Z25" i="65"/>
  <c r="R30" i="59"/>
  <c r="Y25" i="65"/>
  <c r="Q30" i="59"/>
  <c r="W25" i="65"/>
  <c r="P30" i="59"/>
  <c r="V25" i="65"/>
  <c r="O30" i="59"/>
  <c r="T25" i="65"/>
  <c r="N30" i="59"/>
  <c r="S25" i="65"/>
  <c r="M30" i="59"/>
  <c r="P25" i="65"/>
  <c r="L30" i="59"/>
  <c r="O25" i="65"/>
  <c r="K30" i="59"/>
  <c r="M25" i="65"/>
  <c r="J30" i="59"/>
  <c r="L25" i="65"/>
  <c r="I30" i="59"/>
  <c r="J25" i="65"/>
  <c r="H30" i="59"/>
  <c r="I25" i="65"/>
  <c r="G30" i="59"/>
  <c r="G25" i="65"/>
  <c r="F30" i="59"/>
  <c r="F25" i="65"/>
  <c r="E30" i="59"/>
  <c r="BH24" i="65"/>
  <c r="AZ24" i="65"/>
  <c r="AJ29" i="59"/>
  <c r="AY24" i="65"/>
  <c r="AI29" i="59"/>
  <c r="AW24" i="65"/>
  <c r="AH29" i="59"/>
  <c r="AV24" i="65"/>
  <c r="AG29" i="59"/>
  <c r="AT24" i="65"/>
  <c r="AF29" i="59"/>
  <c r="AS24" i="65"/>
  <c r="AE29" i="59"/>
  <c r="AQ24" i="65"/>
  <c r="AD29" i="59"/>
  <c r="AP24" i="65"/>
  <c r="AC29" i="59"/>
  <c r="AN24" i="65"/>
  <c r="AB29" i="59"/>
  <c r="AM24" i="65"/>
  <c r="AA29" i="59"/>
  <c r="AK24" i="65"/>
  <c r="Z29" i="59"/>
  <c r="AJ24" i="65"/>
  <c r="Y29" i="59"/>
  <c r="AH24" i="65"/>
  <c r="X29" i="59"/>
  <c r="AG24" i="65"/>
  <c r="W29" i="59"/>
  <c r="AE24" i="65"/>
  <c r="V29" i="59"/>
  <c r="AD24" i="65"/>
  <c r="U29" i="59"/>
  <c r="AB24" i="65"/>
  <c r="T29" i="59"/>
  <c r="AA24" i="65"/>
  <c r="S29" i="59"/>
  <c r="Z24" i="65"/>
  <c r="R29" i="59"/>
  <c r="Y24" i="65"/>
  <c r="Q29" i="59"/>
  <c r="W24" i="65"/>
  <c r="P29" i="59"/>
  <c r="V24" i="65"/>
  <c r="O29" i="59"/>
  <c r="T24" i="65"/>
  <c r="N29" i="59"/>
  <c r="S24" i="65"/>
  <c r="M29" i="59"/>
  <c r="P24" i="65"/>
  <c r="L29" i="59"/>
  <c r="O24" i="65"/>
  <c r="K29" i="59"/>
  <c r="M24" i="65"/>
  <c r="J29" i="59"/>
  <c r="L24" i="65"/>
  <c r="I29" i="59"/>
  <c r="J24" i="65"/>
  <c r="H29" i="59"/>
  <c r="I24" i="65"/>
  <c r="G29" i="59"/>
  <c r="G24" i="65"/>
  <c r="F29" i="59"/>
  <c r="F24" i="65"/>
  <c r="E29" i="59"/>
  <c r="BH23" i="65"/>
  <c r="AZ23" i="65"/>
  <c r="AJ28" i="59"/>
  <c r="AY23" i="65"/>
  <c r="AI28" i="59"/>
  <c r="AW23" i="65"/>
  <c r="AH28" i="59"/>
  <c r="AV23" i="65"/>
  <c r="AG28" i="59"/>
  <c r="AT23" i="65"/>
  <c r="AF28" i="59"/>
  <c r="AS23" i="65"/>
  <c r="AE28" i="59"/>
  <c r="AQ23" i="65"/>
  <c r="AD28" i="59"/>
  <c r="AP23" i="65"/>
  <c r="AC28" i="59"/>
  <c r="AN23" i="65"/>
  <c r="AB28" i="59"/>
  <c r="AM23" i="65"/>
  <c r="AA28" i="59"/>
  <c r="AK23" i="65"/>
  <c r="Z28" i="59"/>
  <c r="AJ23" i="65"/>
  <c r="Y28" i="59"/>
  <c r="AH23" i="65"/>
  <c r="X28" i="59"/>
  <c r="AG23" i="65"/>
  <c r="W28" i="59"/>
  <c r="AE23" i="65"/>
  <c r="V28" i="59"/>
  <c r="AD23" i="65"/>
  <c r="U28" i="59"/>
  <c r="AB23" i="65"/>
  <c r="T28" i="59"/>
  <c r="AA23" i="65"/>
  <c r="S28" i="59"/>
  <c r="Z23" i="65"/>
  <c r="R28" i="59"/>
  <c r="Y23" i="65"/>
  <c r="Q28" i="59"/>
  <c r="W23" i="65"/>
  <c r="P28" i="59"/>
  <c r="V23" i="65"/>
  <c r="O28" i="59"/>
  <c r="T23" i="65"/>
  <c r="N28" i="59"/>
  <c r="S23" i="65"/>
  <c r="M28" i="59"/>
  <c r="P23" i="65"/>
  <c r="L28" i="59"/>
  <c r="O23" i="65"/>
  <c r="K28" i="59"/>
  <c r="M23" i="65"/>
  <c r="J28" i="59"/>
  <c r="L23" i="65"/>
  <c r="I28" i="59"/>
  <c r="J23" i="65"/>
  <c r="H28" i="59"/>
  <c r="I23" i="65"/>
  <c r="G28" i="59"/>
  <c r="G23" i="65"/>
  <c r="F28" i="59"/>
  <c r="F23" i="65"/>
  <c r="E28" i="59"/>
  <c r="BH21" i="65"/>
  <c r="AZ21" i="65"/>
  <c r="AJ26" i="59"/>
  <c r="AY21" i="65"/>
  <c r="AI26" i="59"/>
  <c r="AW21" i="65"/>
  <c r="AH26" i="59"/>
  <c r="AV21" i="65"/>
  <c r="AG26" i="59"/>
  <c r="AT21" i="65"/>
  <c r="AF26" i="59"/>
  <c r="AS21" i="65"/>
  <c r="AE26" i="59"/>
  <c r="AQ21" i="65"/>
  <c r="AD26" i="59"/>
  <c r="AP21" i="65"/>
  <c r="AC26" i="59"/>
  <c r="AN21" i="65"/>
  <c r="AB26" i="59"/>
  <c r="AM21" i="65"/>
  <c r="AA26" i="59"/>
  <c r="AK21" i="65"/>
  <c r="Z26" i="59"/>
  <c r="AJ21" i="65"/>
  <c r="Y26" i="59"/>
  <c r="AH21" i="65"/>
  <c r="X26" i="59"/>
  <c r="AG21" i="65"/>
  <c r="W26" i="59"/>
  <c r="AE21" i="65"/>
  <c r="V26" i="59"/>
  <c r="AD21" i="65"/>
  <c r="U26" i="59"/>
  <c r="AB21" i="65"/>
  <c r="T26" i="59"/>
  <c r="AA21" i="65"/>
  <c r="S26" i="59"/>
  <c r="Z21" i="65"/>
  <c r="R26" i="59"/>
  <c r="Y21" i="65"/>
  <c r="Q26" i="59"/>
  <c r="W21" i="65"/>
  <c r="P26" i="59"/>
  <c r="V21" i="65"/>
  <c r="O26" i="59"/>
  <c r="T21" i="65"/>
  <c r="N26" i="59"/>
  <c r="S21" i="65"/>
  <c r="M26" i="59"/>
  <c r="P21" i="65"/>
  <c r="L26" i="59"/>
  <c r="O21" i="65"/>
  <c r="K26" i="59"/>
  <c r="M21" i="65"/>
  <c r="J26" i="59"/>
  <c r="L21" i="65"/>
  <c r="I26" i="59"/>
  <c r="J21" i="65"/>
  <c r="H26" i="59"/>
  <c r="I21" i="65"/>
  <c r="G26" i="59"/>
  <c r="G21" i="65"/>
  <c r="F26" i="59"/>
  <c r="F21" i="65"/>
  <c r="E26" i="59"/>
  <c r="BI25" i="65"/>
  <c r="AO25" i="65"/>
  <c r="AL25" i="65"/>
  <c r="AI25" i="65"/>
  <c r="AF25" i="65"/>
  <c r="AC25" i="65"/>
  <c r="X25" i="65"/>
  <c r="U25" i="65"/>
  <c r="Q25" i="65"/>
  <c r="N25" i="65"/>
  <c r="K25" i="65"/>
  <c r="H25" i="65"/>
  <c r="BI24" i="65"/>
  <c r="AO24" i="65"/>
  <c r="AL24" i="65"/>
  <c r="AI24" i="65"/>
  <c r="AF24" i="65"/>
  <c r="AC24" i="65"/>
  <c r="X24" i="65"/>
  <c r="U24" i="65"/>
  <c r="Q24" i="65"/>
  <c r="N24" i="65"/>
  <c r="K24" i="65"/>
  <c r="H24" i="65"/>
  <c r="BI23" i="65"/>
  <c r="AO23" i="65"/>
  <c r="AL23" i="65"/>
  <c r="AI23" i="65"/>
  <c r="AF23" i="65"/>
  <c r="AC23" i="65"/>
  <c r="X23" i="65"/>
  <c r="U23" i="65"/>
  <c r="Q23" i="65"/>
  <c r="N23" i="65"/>
  <c r="K23" i="65"/>
  <c r="H23" i="65"/>
  <c r="BI21" i="65"/>
  <c r="AO21" i="65"/>
  <c r="AL21" i="65"/>
  <c r="AI21" i="65"/>
  <c r="AF21" i="65"/>
  <c r="AC21" i="65"/>
  <c r="X21" i="65"/>
  <c r="U21" i="65"/>
  <c r="Q21" i="65"/>
  <c r="N21" i="65"/>
  <c r="K21" i="65"/>
  <c r="H21" i="65"/>
  <c r="BG25" i="65"/>
  <c r="BJ25" i="65"/>
  <c r="BG24" i="65"/>
  <c r="BJ24" i="65"/>
  <c r="BG23" i="65"/>
  <c r="BJ23" i="65"/>
  <c r="BG21" i="65"/>
  <c r="BJ21" i="65"/>
  <c r="BF25" i="65"/>
  <c r="DO30" i="59"/>
  <c r="BE25" i="65"/>
  <c r="DN30" i="59"/>
  <c r="BD25" i="65"/>
  <c r="DM30" i="59"/>
  <c r="BC25" i="65"/>
  <c r="DL30" i="59"/>
  <c r="BB25" i="65"/>
  <c r="DK30" i="59"/>
  <c r="BK25" i="65"/>
  <c r="BA25" i="65"/>
  <c r="DJ30" i="59"/>
  <c r="DI30" i="59"/>
  <c r="AX25" i="65"/>
  <c r="DH30" i="59"/>
  <c r="DG30" i="59"/>
  <c r="AU25" i="65"/>
  <c r="DF30" i="59"/>
  <c r="DE30" i="59"/>
  <c r="AR25" i="65"/>
  <c r="DD30" i="59"/>
  <c r="DC30" i="59"/>
  <c r="DB30" i="59"/>
  <c r="DA30" i="59"/>
  <c r="CZ30" i="59"/>
  <c r="CY30" i="59"/>
  <c r="CX30" i="59"/>
  <c r="CW30" i="59"/>
  <c r="CV30" i="59"/>
  <c r="CU30" i="59"/>
  <c r="CT30" i="59"/>
  <c r="R25" i="65"/>
  <c r="CS30" i="59"/>
  <c r="CR30" i="59"/>
  <c r="CQ30" i="59"/>
  <c r="CP30" i="59"/>
  <c r="CO30" i="59"/>
  <c r="BK24" i="65"/>
  <c r="BF24" i="65"/>
  <c r="DO29" i="59"/>
  <c r="BE24" i="65"/>
  <c r="DN29" i="59"/>
  <c r="BD24" i="65"/>
  <c r="DM29" i="59"/>
  <c r="BC24" i="65"/>
  <c r="DL29" i="59"/>
  <c r="BB24" i="65"/>
  <c r="DK29" i="59"/>
  <c r="BA24" i="65"/>
  <c r="DJ29" i="59"/>
  <c r="DI29" i="59"/>
  <c r="AX24" i="65"/>
  <c r="DH29" i="59"/>
  <c r="DG29" i="59"/>
  <c r="AU24" i="65"/>
  <c r="DF29" i="59"/>
  <c r="DE29" i="59"/>
  <c r="AR24" i="65"/>
  <c r="DD29" i="59"/>
  <c r="DC29" i="59"/>
  <c r="DB29" i="59"/>
  <c r="DA29" i="59"/>
  <c r="CZ29" i="59"/>
  <c r="CY29" i="59"/>
  <c r="CX29" i="59"/>
  <c r="CW29" i="59"/>
  <c r="CV29" i="59"/>
  <c r="CU29" i="59"/>
  <c r="CT29" i="59"/>
  <c r="R24" i="65"/>
  <c r="CS29" i="59"/>
  <c r="CR29" i="59"/>
  <c r="CQ29" i="59"/>
  <c r="CP29" i="59"/>
  <c r="CO29" i="59"/>
  <c r="BF23" i="65"/>
  <c r="DO28" i="59"/>
  <c r="BE23" i="65"/>
  <c r="DN28" i="59"/>
  <c r="BD23" i="65"/>
  <c r="DM28" i="59"/>
  <c r="BC23" i="65"/>
  <c r="DL28" i="59"/>
  <c r="BB23" i="65"/>
  <c r="DK28" i="59"/>
  <c r="BK23" i="65"/>
  <c r="BA23" i="65"/>
  <c r="DJ28" i="59"/>
  <c r="DI28" i="59"/>
  <c r="AX23" i="65"/>
  <c r="DH28" i="59"/>
  <c r="DG28" i="59"/>
  <c r="AU23" i="65"/>
  <c r="DF28" i="59"/>
  <c r="DE28" i="59"/>
  <c r="AR23" i="65"/>
  <c r="DD28" i="59"/>
  <c r="DC28" i="59"/>
  <c r="DB28" i="59"/>
  <c r="DA28" i="59"/>
  <c r="CZ28" i="59"/>
  <c r="CY28" i="59"/>
  <c r="CX28" i="59"/>
  <c r="CW28" i="59"/>
  <c r="CV28" i="59"/>
  <c r="CU28" i="59"/>
  <c r="CT28" i="59"/>
  <c r="R23" i="65"/>
  <c r="CS28" i="59"/>
  <c r="CR28" i="59"/>
  <c r="CQ28" i="59"/>
  <c r="CP28" i="59"/>
  <c r="CO28" i="59"/>
  <c r="BF21" i="65"/>
  <c r="DO26" i="59"/>
  <c r="BE21" i="65"/>
  <c r="DN26" i="59"/>
  <c r="BD21" i="65"/>
  <c r="DM26" i="59"/>
  <c r="BC21" i="65"/>
  <c r="DL26" i="59"/>
  <c r="BK21" i="65"/>
  <c r="BB21" i="65"/>
  <c r="DK26" i="59"/>
  <c r="BA21" i="65"/>
  <c r="DJ26" i="59"/>
  <c r="DI26" i="59"/>
  <c r="AX21" i="65"/>
  <c r="DH26" i="59"/>
  <c r="DG26" i="59"/>
  <c r="AU21" i="65"/>
  <c r="DF26" i="59"/>
  <c r="DE26" i="59"/>
  <c r="AR21" i="65"/>
  <c r="DD26" i="59"/>
  <c r="DC26" i="59"/>
  <c r="DB26" i="59"/>
  <c r="DA26" i="59"/>
  <c r="CZ26" i="59"/>
  <c r="CY26" i="59"/>
  <c r="CX26" i="59"/>
  <c r="CW26" i="59"/>
  <c r="CV26" i="59"/>
  <c r="CU26" i="59"/>
  <c r="CT26" i="59"/>
  <c r="R21" i="65"/>
  <c r="CS26" i="59"/>
  <c r="CR26" i="59"/>
  <c r="CQ26" i="59"/>
  <c r="CP26" i="59"/>
  <c r="CO26" i="59"/>
  <c r="BK22" i="65"/>
  <c r="F22" i="65"/>
  <c r="CO27" i="59"/>
  <c r="I22" i="65"/>
  <c r="CP27" i="59"/>
  <c r="L22" i="65"/>
  <c r="CQ27" i="59"/>
  <c r="O22" i="65"/>
  <c r="CR27" i="59"/>
  <c r="R22" i="65"/>
  <c r="CS27" i="59"/>
  <c r="S22" i="65"/>
  <c r="CT27" i="59"/>
  <c r="V22" i="65"/>
  <c r="CU27" i="59"/>
  <c r="Y22" i="65"/>
  <c r="CV27" i="59"/>
  <c r="Z22" i="65"/>
  <c r="CW27" i="59"/>
  <c r="AA22" i="65"/>
  <c r="CX27" i="59"/>
  <c r="AD22" i="65"/>
  <c r="CY27" i="59"/>
  <c r="AG22" i="65"/>
  <c r="CZ27" i="59"/>
  <c r="AJ22" i="65"/>
  <c r="DA27" i="59"/>
  <c r="AM22" i="65"/>
  <c r="DB27" i="59"/>
  <c r="AP22" i="65"/>
  <c r="DC27" i="59"/>
  <c r="AR22" i="65"/>
  <c r="DD27" i="59"/>
  <c r="AS22" i="65"/>
  <c r="DE27" i="59"/>
  <c r="AU22" i="65"/>
  <c r="DF27" i="59"/>
  <c r="AV22" i="65"/>
  <c r="DG27" i="59"/>
  <c r="AX22" i="65"/>
  <c r="DH27" i="59"/>
  <c r="AY22" i="65"/>
  <c r="DI27" i="59"/>
  <c r="BA22" i="65"/>
  <c r="DJ27" i="59"/>
  <c r="BB22" i="65"/>
  <c r="DK27" i="59"/>
  <c r="BC22" i="65"/>
  <c r="DL27" i="59"/>
  <c r="BD22" i="65"/>
  <c r="DM27" i="59"/>
  <c r="BE22" i="65"/>
  <c r="DN27" i="59"/>
  <c r="BF22" i="65"/>
  <c r="DO27" i="59"/>
  <c r="BK26" i="65"/>
  <c r="CO31" i="59"/>
  <c r="CP31" i="59"/>
  <c r="CQ31" i="59"/>
  <c r="CR31" i="59"/>
  <c r="R26" i="65"/>
  <c r="CS31" i="59"/>
  <c r="CT31" i="59"/>
  <c r="CU31" i="59"/>
  <c r="CV31" i="59"/>
  <c r="CW31" i="59"/>
  <c r="CX31" i="59"/>
  <c r="CY31" i="59"/>
  <c r="CZ31" i="59"/>
  <c r="DA31" i="59"/>
  <c r="DB31" i="59"/>
  <c r="DC31" i="59"/>
  <c r="AR26" i="65"/>
  <c r="DD31" i="59"/>
  <c r="DE31" i="59"/>
  <c r="AU26" i="65"/>
  <c r="DF31" i="59"/>
  <c r="DG31" i="59"/>
  <c r="AX26" i="65"/>
  <c r="DH31" i="59"/>
  <c r="DI31" i="59"/>
  <c r="BA26" i="65"/>
  <c r="DJ31" i="59"/>
  <c r="DK31" i="59"/>
  <c r="DL31" i="59"/>
  <c r="DM31" i="59"/>
  <c r="DN31" i="59"/>
  <c r="DO31" i="59"/>
  <c r="BJ22" i="65"/>
  <c r="H22" i="65"/>
  <c r="K22" i="65"/>
  <c r="N22" i="65"/>
  <c r="Q22" i="65"/>
  <c r="U22" i="65"/>
  <c r="X22" i="65"/>
  <c r="AC22" i="65"/>
  <c r="AF22" i="65"/>
  <c r="AI22" i="65"/>
  <c r="AL22" i="65"/>
  <c r="AO22" i="65"/>
  <c r="BG22" i="65"/>
  <c r="BJ26" i="65"/>
  <c r="BG26" i="65"/>
  <c r="BI22" i="65"/>
  <c r="BH22" i="65"/>
  <c r="E27" i="59"/>
  <c r="G22" i="65"/>
  <c r="F27" i="59"/>
  <c r="G27" i="59"/>
  <c r="J22" i="65"/>
  <c r="H27" i="59"/>
  <c r="I27" i="59"/>
  <c r="M22" i="65"/>
  <c r="J27" i="59"/>
  <c r="K27" i="59"/>
  <c r="P22" i="65"/>
  <c r="L27" i="59"/>
  <c r="M27" i="59"/>
  <c r="T22" i="65"/>
  <c r="N27" i="59"/>
  <c r="O27" i="59"/>
  <c r="W22" i="65"/>
  <c r="P27" i="59"/>
  <c r="Q27" i="59"/>
  <c r="R27" i="59"/>
  <c r="S27" i="59"/>
  <c r="AB22" i="65"/>
  <c r="T27" i="59"/>
  <c r="U27" i="59"/>
  <c r="AE22" i="65"/>
  <c r="V27" i="59"/>
  <c r="W27" i="59"/>
  <c r="AH22" i="65"/>
  <c r="X27" i="59"/>
  <c r="Y27" i="59"/>
  <c r="AK22" i="65"/>
  <c r="Z27" i="59"/>
  <c r="AA27" i="59"/>
  <c r="AN22" i="65"/>
  <c r="AB27" i="59"/>
  <c r="AC27" i="59"/>
  <c r="AQ22" i="65"/>
  <c r="AD27" i="59"/>
  <c r="AE27" i="59"/>
  <c r="AT22" i="65"/>
  <c r="AF27" i="59"/>
  <c r="AG27" i="59"/>
  <c r="AW22" i="65"/>
  <c r="AH27" i="59"/>
  <c r="AI27" i="59"/>
  <c r="AZ22" i="65"/>
  <c r="AJ27" i="59"/>
  <c r="BH26" i="65"/>
  <c r="E31" i="59"/>
  <c r="F31" i="59"/>
  <c r="G31" i="59"/>
  <c r="H31" i="59"/>
  <c r="I31" i="59"/>
  <c r="J31" i="59"/>
  <c r="K31" i="59"/>
  <c r="L31" i="59"/>
  <c r="M31" i="59"/>
  <c r="N31" i="59"/>
  <c r="O31" i="59"/>
  <c r="P31" i="59"/>
  <c r="Q31" i="59"/>
  <c r="R31" i="59"/>
  <c r="S31" i="59"/>
  <c r="T31" i="59"/>
  <c r="U31" i="59"/>
  <c r="V31" i="59"/>
  <c r="W31" i="59"/>
  <c r="X31" i="59"/>
  <c r="Y31" i="59"/>
  <c r="Z31" i="59"/>
  <c r="AA31" i="59"/>
  <c r="AB31" i="59"/>
  <c r="AC31" i="59"/>
  <c r="AD31" i="59"/>
  <c r="AE31" i="59"/>
  <c r="AF31" i="59"/>
  <c r="AG31" i="59"/>
  <c r="AH31" i="59"/>
  <c r="AI31" i="59"/>
  <c r="AJ31" i="59"/>
  <c r="D27" i="59"/>
  <c r="AN27" i="59"/>
  <c r="D31" i="59"/>
  <c r="AN31" i="59"/>
  <c r="CN27" i="59"/>
  <c r="CN31" i="59"/>
  <c r="B28" i="65"/>
  <c r="C28" i="65"/>
  <c r="B29" i="65"/>
  <c r="C29" i="65"/>
  <c r="D28" i="65"/>
  <c r="BK28" i="65"/>
  <c r="F28" i="65"/>
  <c r="CO33" i="59"/>
  <c r="I28" i="65"/>
  <c r="CP33" i="59"/>
  <c r="L28" i="65"/>
  <c r="CQ33" i="59"/>
  <c r="O28" i="65"/>
  <c r="CR33" i="59"/>
  <c r="R28" i="65"/>
  <c r="CS33" i="59"/>
  <c r="S28" i="65"/>
  <c r="CT33" i="59"/>
  <c r="V28" i="65"/>
  <c r="CU33" i="59"/>
  <c r="Y28" i="65"/>
  <c r="CV33" i="59"/>
  <c r="Z28" i="65"/>
  <c r="CW33" i="59"/>
  <c r="AA28" i="65"/>
  <c r="CX33" i="59"/>
  <c r="AD28" i="65"/>
  <c r="CY33" i="59"/>
  <c r="AG28" i="65"/>
  <c r="CZ33" i="59"/>
  <c r="AJ28" i="65"/>
  <c r="DA33" i="59"/>
  <c r="AM28" i="65"/>
  <c r="DB33" i="59"/>
  <c r="AP28" i="65"/>
  <c r="DC33" i="59"/>
  <c r="AR28" i="65"/>
  <c r="DD33" i="59"/>
  <c r="AS28" i="65"/>
  <c r="DE33" i="59"/>
  <c r="AU28" i="65"/>
  <c r="DF33" i="59"/>
  <c r="AV28" i="65"/>
  <c r="DG33" i="59"/>
  <c r="AX28" i="65"/>
  <c r="DH33" i="59"/>
  <c r="AY28" i="65"/>
  <c r="DI33" i="59"/>
  <c r="BA28" i="65"/>
  <c r="DJ33" i="59"/>
  <c r="BB28" i="65"/>
  <c r="DK33" i="59"/>
  <c r="BC28" i="65"/>
  <c r="DL33" i="59"/>
  <c r="BD28" i="65"/>
  <c r="DM33" i="59"/>
  <c r="BE28" i="65"/>
  <c r="DN33" i="59"/>
  <c r="BF28" i="65"/>
  <c r="DO33" i="59"/>
  <c r="D29" i="65"/>
  <c r="BK29" i="65"/>
  <c r="F29" i="65"/>
  <c r="CO34" i="59"/>
  <c r="I29" i="65"/>
  <c r="CP34" i="59"/>
  <c r="L29" i="65"/>
  <c r="CQ34" i="59"/>
  <c r="O29" i="65"/>
  <c r="CR34" i="59"/>
  <c r="R29" i="65"/>
  <c r="CS34" i="59"/>
  <c r="S29" i="65"/>
  <c r="CT34" i="59"/>
  <c r="V29" i="65"/>
  <c r="CU34" i="59"/>
  <c r="Y29" i="65"/>
  <c r="CV34" i="59"/>
  <c r="Z29" i="65"/>
  <c r="CW34" i="59"/>
  <c r="AA29" i="65"/>
  <c r="CX34" i="59"/>
  <c r="AD29" i="65"/>
  <c r="CY34" i="59"/>
  <c r="AG29" i="65"/>
  <c r="CZ34" i="59"/>
  <c r="AJ29" i="65"/>
  <c r="DA34" i="59"/>
  <c r="AM29" i="65"/>
  <c r="DB34" i="59"/>
  <c r="AP29" i="65"/>
  <c r="DC34" i="59"/>
  <c r="AR29" i="65"/>
  <c r="DD34" i="59"/>
  <c r="AS29" i="65"/>
  <c r="DE34" i="59"/>
  <c r="AU29" i="65"/>
  <c r="DF34" i="59"/>
  <c r="AV29" i="65"/>
  <c r="DG34" i="59"/>
  <c r="AX29" i="65"/>
  <c r="DH34" i="59"/>
  <c r="AY29" i="65"/>
  <c r="DI34" i="59"/>
  <c r="BA29" i="65"/>
  <c r="DJ34" i="59"/>
  <c r="BB29" i="65"/>
  <c r="DK34" i="59"/>
  <c r="BC29" i="65"/>
  <c r="DL34" i="59"/>
  <c r="BD29" i="65"/>
  <c r="DM34" i="59"/>
  <c r="BE29" i="65"/>
  <c r="DN34" i="59"/>
  <c r="BF29" i="65"/>
  <c r="DO34" i="59"/>
  <c r="BJ28" i="65"/>
  <c r="BG28" i="65"/>
  <c r="BJ29" i="65"/>
  <c r="BG29" i="65"/>
  <c r="H28" i="65"/>
  <c r="K28" i="65"/>
  <c r="N28" i="65"/>
  <c r="Q28" i="65"/>
  <c r="U28" i="65"/>
  <c r="X28" i="65"/>
  <c r="AC28" i="65"/>
  <c r="AF28" i="65"/>
  <c r="AI28" i="65"/>
  <c r="AL28" i="65"/>
  <c r="AO28" i="65"/>
  <c r="BI28" i="65"/>
  <c r="H29" i="65"/>
  <c r="K29" i="65"/>
  <c r="N29" i="65"/>
  <c r="Q29" i="65"/>
  <c r="U29" i="65"/>
  <c r="X29" i="65"/>
  <c r="AC29" i="65"/>
  <c r="AF29" i="65"/>
  <c r="AI29" i="65"/>
  <c r="AL29" i="65"/>
  <c r="AO29" i="65"/>
  <c r="BI29" i="65"/>
  <c r="BH28" i="65"/>
  <c r="E33" i="59"/>
  <c r="G28" i="65"/>
  <c r="F33" i="59"/>
  <c r="G33" i="59"/>
  <c r="J28" i="65"/>
  <c r="H33" i="59"/>
  <c r="I33" i="59"/>
  <c r="M28" i="65"/>
  <c r="J33" i="59"/>
  <c r="K33" i="59"/>
  <c r="P28" i="65"/>
  <c r="L33" i="59"/>
  <c r="M33" i="59"/>
  <c r="T28" i="65"/>
  <c r="N33" i="59"/>
  <c r="O33" i="59"/>
  <c r="W28" i="65"/>
  <c r="P33" i="59"/>
  <c r="Q33" i="59"/>
  <c r="R33" i="59"/>
  <c r="S33" i="59"/>
  <c r="AB28" i="65"/>
  <c r="T33" i="59"/>
  <c r="U33" i="59"/>
  <c r="AE28" i="65"/>
  <c r="V33" i="59"/>
  <c r="W33" i="59"/>
  <c r="AH28" i="65"/>
  <c r="X33" i="59"/>
  <c r="Y33" i="59"/>
  <c r="AK28" i="65"/>
  <c r="Z33" i="59"/>
  <c r="AA33" i="59"/>
  <c r="AN28" i="65"/>
  <c r="AB33" i="59"/>
  <c r="AC33" i="59"/>
  <c r="AQ28" i="65"/>
  <c r="AD33" i="59"/>
  <c r="AE33" i="59"/>
  <c r="AT28" i="65"/>
  <c r="AF33" i="59"/>
  <c r="AG33" i="59"/>
  <c r="AW28" i="65"/>
  <c r="AH33" i="59"/>
  <c r="AI33" i="59"/>
  <c r="AZ28" i="65"/>
  <c r="AJ33" i="59"/>
  <c r="BH29" i="65"/>
  <c r="E34" i="59"/>
  <c r="G29" i="65"/>
  <c r="F34" i="59"/>
  <c r="G34" i="59"/>
  <c r="J29" i="65"/>
  <c r="H34" i="59"/>
  <c r="I34" i="59"/>
  <c r="M29" i="65"/>
  <c r="J34" i="59"/>
  <c r="K34" i="59"/>
  <c r="P29" i="65"/>
  <c r="L34" i="59"/>
  <c r="M34" i="59"/>
  <c r="T29" i="65"/>
  <c r="N34" i="59"/>
  <c r="O34" i="59"/>
  <c r="W29" i="65"/>
  <c r="P34" i="59"/>
  <c r="Q34" i="59"/>
  <c r="R34" i="59"/>
  <c r="S34" i="59"/>
  <c r="AB29" i="65"/>
  <c r="T34" i="59"/>
  <c r="U34" i="59"/>
  <c r="AE29" i="65"/>
  <c r="V34" i="59"/>
  <c r="W34" i="59"/>
  <c r="AH29" i="65"/>
  <c r="X34" i="59"/>
  <c r="Y34" i="59"/>
  <c r="AK29" i="65"/>
  <c r="Z34" i="59"/>
  <c r="AA34" i="59"/>
  <c r="AN29" i="65"/>
  <c r="AB34" i="59"/>
  <c r="AC34" i="59"/>
  <c r="AQ29" i="65"/>
  <c r="AD34" i="59"/>
  <c r="AE34" i="59"/>
  <c r="AT29" i="65"/>
  <c r="AF34" i="59"/>
  <c r="AG34" i="59"/>
  <c r="AW29" i="65"/>
  <c r="AH34" i="59"/>
  <c r="AI34" i="59"/>
  <c r="AZ29" i="65"/>
  <c r="AJ34" i="59"/>
  <c r="B33" i="59"/>
  <c r="B27" i="65"/>
  <c r="D33" i="59"/>
  <c r="AN33" i="59"/>
  <c r="B34" i="59"/>
  <c r="D34" i="59"/>
  <c r="AN34" i="59"/>
  <c r="B32" i="59"/>
  <c r="CL32" i="59"/>
  <c r="CL33" i="59"/>
  <c r="CN33" i="59"/>
  <c r="CL34" i="59"/>
  <c r="CN34" i="59"/>
  <c r="E29" i="65"/>
  <c r="AL34" i="59"/>
  <c r="CJ34" i="59"/>
  <c r="CI34" i="59"/>
  <c r="CH34" i="59"/>
  <c r="CG34" i="59"/>
  <c r="CF34" i="59"/>
  <c r="CE34" i="59"/>
  <c r="CD34" i="59"/>
  <c r="CC34" i="59"/>
  <c r="CB34" i="59"/>
  <c r="CA34" i="59"/>
  <c r="BZ34" i="59"/>
  <c r="BY34" i="59"/>
  <c r="BX34" i="59"/>
  <c r="BW34" i="59"/>
  <c r="BV34" i="59"/>
  <c r="BU34" i="59"/>
  <c r="BT34" i="59"/>
  <c r="BS34" i="59"/>
  <c r="BR34" i="59"/>
  <c r="BQ34" i="59"/>
  <c r="BP34" i="59"/>
  <c r="BO34" i="59"/>
  <c r="BN34" i="59"/>
  <c r="BM34" i="59"/>
  <c r="BL34" i="59"/>
  <c r="BK34" i="59"/>
  <c r="BJ34" i="59"/>
  <c r="BI34" i="59"/>
  <c r="BH34" i="59"/>
  <c r="BG34" i="59"/>
  <c r="BF34" i="59"/>
  <c r="BE34" i="59"/>
  <c r="BD34" i="59"/>
  <c r="BC34" i="59"/>
  <c r="BB34" i="59"/>
  <c r="BA34" i="59"/>
  <c r="AZ34" i="59"/>
  <c r="AY34" i="59"/>
  <c r="AX34" i="59"/>
  <c r="AW34" i="59"/>
  <c r="AV34" i="59"/>
  <c r="AU34" i="59"/>
  <c r="AT34" i="59"/>
  <c r="AS34" i="59"/>
  <c r="AR34" i="59"/>
  <c r="AQ34" i="59"/>
  <c r="AP34" i="59"/>
  <c r="AO34" i="59"/>
  <c r="E28" i="65"/>
  <c r="AL33" i="59"/>
  <c r="CJ33" i="59"/>
  <c r="CI33" i="59"/>
  <c r="CH33" i="59"/>
  <c r="CG33" i="59"/>
  <c r="CF33" i="59"/>
  <c r="CE33" i="59"/>
  <c r="CD33" i="59"/>
  <c r="CC33" i="59"/>
  <c r="CB33" i="59"/>
  <c r="CA33" i="59"/>
  <c r="BZ33" i="59"/>
  <c r="BY33" i="59"/>
  <c r="BX33" i="59"/>
  <c r="BW33" i="59"/>
  <c r="BV33" i="59"/>
  <c r="BU33" i="59"/>
  <c r="BT33" i="59"/>
  <c r="BS33" i="59"/>
  <c r="BR33" i="59"/>
  <c r="BQ33" i="59"/>
  <c r="BP33" i="59"/>
  <c r="BO33" i="59"/>
  <c r="BN33" i="59"/>
  <c r="BM33" i="59"/>
  <c r="BL33" i="59"/>
  <c r="BK33" i="59"/>
  <c r="BJ33" i="59"/>
  <c r="BI33" i="59"/>
  <c r="BH33" i="59"/>
  <c r="BG33" i="59"/>
  <c r="BF33" i="59"/>
  <c r="BE33" i="59"/>
  <c r="BD33" i="59"/>
  <c r="BC33" i="59"/>
  <c r="BB33" i="59"/>
  <c r="BA33" i="59"/>
  <c r="AZ33" i="59"/>
  <c r="AY33" i="59"/>
  <c r="AX33" i="59"/>
  <c r="AW33" i="59"/>
  <c r="AV33" i="59"/>
  <c r="AU33" i="59"/>
  <c r="AT33" i="59"/>
  <c r="AS33" i="59"/>
  <c r="AR33" i="59"/>
  <c r="AQ33" i="59"/>
  <c r="AP33" i="59"/>
  <c r="AO33" i="59"/>
  <c r="C27" i="65"/>
  <c r="D27" i="65"/>
  <c r="E27" i="65"/>
  <c r="AL32" i="59"/>
  <c r="AP32" i="59"/>
  <c r="AQ32" i="59"/>
  <c r="AR32" i="59"/>
  <c r="AS32" i="59"/>
  <c r="AT32" i="59"/>
  <c r="AU32" i="59"/>
  <c r="AV32" i="59"/>
  <c r="AW32" i="59"/>
  <c r="AX32" i="59"/>
  <c r="AY32" i="59"/>
  <c r="AZ32" i="59"/>
  <c r="BA32" i="59"/>
  <c r="BB32" i="59"/>
  <c r="BC32" i="59"/>
  <c r="BD32" i="59"/>
  <c r="BE32" i="59"/>
  <c r="BF32" i="59"/>
  <c r="BG32" i="59"/>
  <c r="BH32" i="59"/>
  <c r="BI32" i="59"/>
  <c r="BJ32" i="59"/>
  <c r="BK32" i="59"/>
  <c r="BL32" i="59"/>
  <c r="BM32" i="59"/>
  <c r="BN32" i="59"/>
  <c r="BO32" i="59"/>
  <c r="BP32" i="59"/>
  <c r="BQ32" i="59"/>
  <c r="BR32" i="59"/>
  <c r="BS32" i="59"/>
  <c r="BT32" i="59"/>
  <c r="BU32" i="59"/>
  <c r="BV32" i="59"/>
  <c r="BW32" i="59"/>
  <c r="BX32" i="59"/>
  <c r="BY32" i="59"/>
  <c r="BZ32" i="59"/>
  <c r="CA32" i="59"/>
  <c r="CB32" i="59"/>
  <c r="CC32" i="59"/>
  <c r="CD32" i="59"/>
  <c r="CE32" i="59"/>
  <c r="CF32" i="59"/>
  <c r="CG32" i="59"/>
  <c r="CH32" i="59"/>
  <c r="CI32" i="59"/>
  <c r="CJ32" i="59"/>
  <c r="D32" i="59"/>
  <c r="CN32" i="59"/>
  <c r="AN32" i="59"/>
  <c r="BH27" i="65"/>
  <c r="AZ27" i="65"/>
  <c r="AJ32" i="59"/>
  <c r="AY27" i="65"/>
  <c r="AI32" i="59"/>
  <c r="AW27" i="65"/>
  <c r="AH32" i="59"/>
  <c r="AV27" i="65"/>
  <c r="AG32" i="59"/>
  <c r="AT27" i="65"/>
  <c r="AF32" i="59"/>
  <c r="AS27" i="65"/>
  <c r="AE32" i="59"/>
  <c r="AQ27" i="65"/>
  <c r="AD32" i="59"/>
  <c r="AP27" i="65"/>
  <c r="AC32" i="59"/>
  <c r="AN27" i="65"/>
  <c r="AB32" i="59"/>
  <c r="AM27" i="65"/>
  <c r="AA32" i="59"/>
  <c r="AK27" i="65"/>
  <c r="Z32" i="59"/>
  <c r="AJ27" i="65"/>
  <c r="Y32" i="59"/>
  <c r="AH27" i="65"/>
  <c r="X32" i="59"/>
  <c r="AG27" i="65"/>
  <c r="W32" i="59"/>
  <c r="AE27" i="65"/>
  <c r="V32" i="59"/>
  <c r="AD27" i="65"/>
  <c r="U32" i="59"/>
  <c r="AB27" i="65"/>
  <c r="T32" i="59"/>
  <c r="AA27" i="65"/>
  <c r="S32" i="59"/>
  <c r="Z27" i="65"/>
  <c r="R32" i="59"/>
  <c r="Y27" i="65"/>
  <c r="Q32" i="59"/>
  <c r="W27" i="65"/>
  <c r="P32" i="59"/>
  <c r="V27" i="65"/>
  <c r="O32" i="59"/>
  <c r="T27" i="65"/>
  <c r="N32" i="59"/>
  <c r="S27" i="65"/>
  <c r="M32" i="59"/>
  <c r="P27" i="65"/>
  <c r="L32" i="59"/>
  <c r="O27" i="65"/>
  <c r="K32" i="59"/>
  <c r="M27" i="65"/>
  <c r="J32" i="59"/>
  <c r="L27" i="65"/>
  <c r="I32" i="59"/>
  <c r="J27" i="65"/>
  <c r="H32" i="59"/>
  <c r="I27" i="65"/>
  <c r="G32" i="59"/>
  <c r="G27" i="65"/>
  <c r="F32" i="59"/>
  <c r="F27" i="65"/>
  <c r="E32" i="59"/>
  <c r="BI27" i="65"/>
  <c r="AO27" i="65"/>
  <c r="AL27" i="65"/>
  <c r="AI27" i="65"/>
  <c r="AF27" i="65"/>
  <c r="AC27" i="65"/>
  <c r="X27" i="65"/>
  <c r="U27" i="65"/>
  <c r="Q27" i="65"/>
  <c r="N27" i="65"/>
  <c r="K27" i="65"/>
  <c r="H27" i="65"/>
  <c r="BG27" i="65"/>
  <c r="BJ27" i="65"/>
  <c r="BF27" i="65"/>
  <c r="DO32" i="59"/>
  <c r="BE27" i="65"/>
  <c r="DN32" i="59"/>
  <c r="BK27" i="65"/>
  <c r="BD27" i="65"/>
  <c r="DM32" i="59"/>
  <c r="BC27" i="65"/>
  <c r="DL32" i="59"/>
  <c r="BB27" i="65"/>
  <c r="DK32" i="59"/>
  <c r="BA27" i="65"/>
  <c r="DJ32" i="59"/>
  <c r="DI32" i="59"/>
  <c r="AX27" i="65"/>
  <c r="DH32" i="59"/>
  <c r="DG32" i="59"/>
  <c r="AU27" i="65"/>
  <c r="DF32" i="59"/>
  <c r="DE32" i="59"/>
  <c r="AR27" i="65"/>
  <c r="DD32" i="59"/>
  <c r="DC32" i="59"/>
  <c r="DB32" i="59"/>
  <c r="DA32" i="59"/>
  <c r="CZ32" i="59"/>
  <c r="CY32" i="59"/>
  <c r="CX32" i="59"/>
  <c r="CW32" i="59"/>
  <c r="CV32" i="59"/>
  <c r="CU32" i="59"/>
  <c r="CT32" i="59"/>
  <c r="R27" i="65"/>
  <c r="CS32" i="59"/>
  <c r="CR32" i="59"/>
  <c r="CQ32" i="59"/>
  <c r="CP32" i="59"/>
  <c r="CO32" i="59"/>
  <c r="AO32" i="59"/>
  <c r="B30" i="65"/>
  <c r="C30" i="65"/>
  <c r="B31" i="65"/>
  <c r="C31" i="65"/>
  <c r="B32" i="65"/>
  <c r="C32" i="65"/>
  <c r="B33" i="65"/>
  <c r="C33" i="65"/>
  <c r="B34" i="65"/>
  <c r="C34" i="65"/>
  <c r="B35" i="65"/>
  <c r="C35" i="65"/>
  <c r="B36" i="65"/>
  <c r="C36" i="65"/>
  <c r="B37" i="65"/>
  <c r="C37" i="65"/>
  <c r="B38" i="65"/>
  <c r="C38" i="65"/>
  <c r="B39" i="65"/>
  <c r="C39" i="65"/>
  <c r="D30" i="65"/>
  <c r="E30" i="65"/>
  <c r="B35" i="59"/>
  <c r="AL35" i="59"/>
  <c r="AO35" i="59"/>
  <c r="AP35" i="59"/>
  <c r="AQ35" i="59"/>
  <c r="AR35" i="59"/>
  <c r="AS35" i="59"/>
  <c r="AT35" i="59"/>
  <c r="AU35" i="59"/>
  <c r="AV35" i="59"/>
  <c r="AW35" i="59"/>
  <c r="AX35" i="59"/>
  <c r="AY35" i="59"/>
  <c r="AZ35" i="59"/>
  <c r="BA35" i="59"/>
  <c r="BB35" i="59"/>
  <c r="BC35" i="59"/>
  <c r="BD35" i="59"/>
  <c r="BE35" i="59"/>
  <c r="BF35" i="59"/>
  <c r="BG35" i="59"/>
  <c r="BH35" i="59"/>
  <c r="BI35" i="59"/>
  <c r="BJ35" i="59"/>
  <c r="BK35" i="59"/>
  <c r="BL35" i="59"/>
  <c r="BM35" i="59"/>
  <c r="BN35" i="59"/>
  <c r="BO35" i="59"/>
  <c r="BP35" i="59"/>
  <c r="BQ35" i="59"/>
  <c r="BR35" i="59"/>
  <c r="BS35" i="59"/>
  <c r="BT35" i="59"/>
  <c r="BU35" i="59"/>
  <c r="BV35" i="59"/>
  <c r="BW35" i="59"/>
  <c r="BX35" i="59"/>
  <c r="BY35" i="59"/>
  <c r="BZ35" i="59"/>
  <c r="CA35" i="59"/>
  <c r="CB35" i="59"/>
  <c r="CC35" i="59"/>
  <c r="CD35" i="59"/>
  <c r="CE35" i="59"/>
  <c r="CF35" i="59"/>
  <c r="CG35" i="59"/>
  <c r="CH35" i="59"/>
  <c r="CI35" i="59"/>
  <c r="CJ35" i="59"/>
  <c r="D31" i="65"/>
  <c r="E31" i="65"/>
  <c r="B36" i="59"/>
  <c r="AL36" i="59"/>
  <c r="AO36" i="59"/>
  <c r="AP36" i="59"/>
  <c r="AQ36" i="59"/>
  <c r="AR36" i="59"/>
  <c r="AS36" i="59"/>
  <c r="AT36" i="59"/>
  <c r="AU36" i="59"/>
  <c r="AV36" i="59"/>
  <c r="AW36" i="59"/>
  <c r="AX36" i="59"/>
  <c r="AY36" i="59"/>
  <c r="AZ36" i="59"/>
  <c r="BA36" i="59"/>
  <c r="BB36" i="59"/>
  <c r="BC36" i="59"/>
  <c r="BD36" i="59"/>
  <c r="BE36" i="59"/>
  <c r="BF36" i="59"/>
  <c r="BG36" i="59"/>
  <c r="BH36" i="59"/>
  <c r="BI36" i="59"/>
  <c r="BJ36" i="59"/>
  <c r="BK36" i="59"/>
  <c r="BL36" i="59"/>
  <c r="BM36" i="59"/>
  <c r="BN36" i="59"/>
  <c r="BO36" i="59"/>
  <c r="BP36" i="59"/>
  <c r="BQ36" i="59"/>
  <c r="BR36" i="59"/>
  <c r="BS36" i="59"/>
  <c r="BT36" i="59"/>
  <c r="BU36" i="59"/>
  <c r="BV36" i="59"/>
  <c r="BW36" i="59"/>
  <c r="BX36" i="59"/>
  <c r="BY36" i="59"/>
  <c r="BZ36" i="59"/>
  <c r="CA36" i="59"/>
  <c r="CB36" i="59"/>
  <c r="CC36" i="59"/>
  <c r="CD36" i="59"/>
  <c r="CE36" i="59"/>
  <c r="CF36" i="59"/>
  <c r="CG36" i="59"/>
  <c r="CH36" i="59"/>
  <c r="CI36" i="59"/>
  <c r="CJ36" i="59"/>
  <c r="D32" i="65"/>
  <c r="E32" i="65"/>
  <c r="B37" i="59"/>
  <c r="AL37" i="59"/>
  <c r="AO37" i="59"/>
  <c r="AP37" i="59"/>
  <c r="AQ37" i="59"/>
  <c r="AR37" i="59"/>
  <c r="AS37" i="59"/>
  <c r="AT37" i="59"/>
  <c r="AU37" i="59"/>
  <c r="AV37" i="59"/>
  <c r="AW37" i="59"/>
  <c r="AX37" i="59"/>
  <c r="AY37" i="59"/>
  <c r="AZ37" i="59"/>
  <c r="BA37" i="59"/>
  <c r="BB37" i="59"/>
  <c r="BC37" i="59"/>
  <c r="BD37" i="59"/>
  <c r="BE37" i="59"/>
  <c r="BF37" i="59"/>
  <c r="BG37" i="59"/>
  <c r="BH37" i="59"/>
  <c r="BI37" i="59"/>
  <c r="BJ37" i="59"/>
  <c r="BK37" i="59"/>
  <c r="BL37" i="59"/>
  <c r="BM37" i="59"/>
  <c r="BN37" i="59"/>
  <c r="BO37" i="59"/>
  <c r="BP37" i="59"/>
  <c r="BQ37" i="59"/>
  <c r="BR37" i="59"/>
  <c r="BS37" i="59"/>
  <c r="BT37" i="59"/>
  <c r="BU37" i="59"/>
  <c r="BV37" i="59"/>
  <c r="BW37" i="59"/>
  <c r="BX37" i="59"/>
  <c r="BY37" i="59"/>
  <c r="BZ37" i="59"/>
  <c r="CA37" i="59"/>
  <c r="CB37" i="59"/>
  <c r="CC37" i="59"/>
  <c r="CD37" i="59"/>
  <c r="CE37" i="59"/>
  <c r="CF37" i="59"/>
  <c r="CG37" i="59"/>
  <c r="CH37" i="59"/>
  <c r="CI37" i="59"/>
  <c r="CJ37" i="59"/>
  <c r="D33" i="65"/>
  <c r="E33" i="65"/>
  <c r="B38" i="59"/>
  <c r="AL38" i="59"/>
  <c r="AO38" i="59"/>
  <c r="AP38" i="59"/>
  <c r="AQ38" i="59"/>
  <c r="AR38" i="59"/>
  <c r="AS38" i="59"/>
  <c r="AT38" i="59"/>
  <c r="AU38" i="59"/>
  <c r="AV38" i="59"/>
  <c r="AW38" i="59"/>
  <c r="AX38" i="59"/>
  <c r="AY38" i="59"/>
  <c r="AZ38" i="59"/>
  <c r="BA38" i="59"/>
  <c r="BB38" i="59"/>
  <c r="BC38" i="59"/>
  <c r="BD38" i="59"/>
  <c r="BE38" i="59"/>
  <c r="BF38" i="59"/>
  <c r="BG38" i="59"/>
  <c r="BH38" i="59"/>
  <c r="BI38" i="59"/>
  <c r="BJ38" i="59"/>
  <c r="BK38" i="59"/>
  <c r="BL38" i="59"/>
  <c r="BM38" i="59"/>
  <c r="BN38" i="59"/>
  <c r="BO38" i="59"/>
  <c r="BP38" i="59"/>
  <c r="BQ38" i="59"/>
  <c r="BR38" i="59"/>
  <c r="BS38" i="59"/>
  <c r="BT38" i="59"/>
  <c r="BU38" i="59"/>
  <c r="BV38" i="59"/>
  <c r="BW38" i="59"/>
  <c r="BX38" i="59"/>
  <c r="BY38" i="59"/>
  <c r="BZ38" i="59"/>
  <c r="CA38" i="59"/>
  <c r="CB38" i="59"/>
  <c r="CC38" i="59"/>
  <c r="CD38" i="59"/>
  <c r="CE38" i="59"/>
  <c r="CF38" i="59"/>
  <c r="CG38" i="59"/>
  <c r="CH38" i="59"/>
  <c r="CI38" i="59"/>
  <c r="CJ38" i="59"/>
  <c r="D34" i="65"/>
  <c r="E34" i="65"/>
  <c r="B39" i="59"/>
  <c r="AL39" i="59"/>
  <c r="AO39" i="59"/>
  <c r="AP39" i="59"/>
  <c r="AQ39" i="59"/>
  <c r="AR39" i="59"/>
  <c r="AS39" i="59"/>
  <c r="AT39" i="59"/>
  <c r="AU39" i="59"/>
  <c r="AV39" i="59"/>
  <c r="AW39" i="59"/>
  <c r="AX39" i="59"/>
  <c r="AY39" i="59"/>
  <c r="AZ39" i="59"/>
  <c r="BA39" i="59"/>
  <c r="BB39" i="59"/>
  <c r="BC39" i="59"/>
  <c r="BD39" i="59"/>
  <c r="BE39" i="59"/>
  <c r="BF39" i="59"/>
  <c r="BG39" i="59"/>
  <c r="BH39" i="59"/>
  <c r="BI39" i="59"/>
  <c r="BJ39" i="59"/>
  <c r="BK39" i="59"/>
  <c r="BL39" i="59"/>
  <c r="BM39" i="59"/>
  <c r="BN39" i="59"/>
  <c r="BO39" i="59"/>
  <c r="BP39" i="59"/>
  <c r="BQ39" i="59"/>
  <c r="BR39" i="59"/>
  <c r="BS39" i="59"/>
  <c r="BT39" i="59"/>
  <c r="BU39" i="59"/>
  <c r="BV39" i="59"/>
  <c r="BW39" i="59"/>
  <c r="BX39" i="59"/>
  <c r="BY39" i="59"/>
  <c r="BZ39" i="59"/>
  <c r="CA39" i="59"/>
  <c r="CB39" i="59"/>
  <c r="CC39" i="59"/>
  <c r="CD39" i="59"/>
  <c r="CE39" i="59"/>
  <c r="CF39" i="59"/>
  <c r="CG39" i="59"/>
  <c r="CH39" i="59"/>
  <c r="CI39" i="59"/>
  <c r="CJ39" i="59"/>
  <c r="D35" i="65"/>
  <c r="E35" i="65"/>
  <c r="B40" i="59"/>
  <c r="AL40" i="59"/>
  <c r="AO40" i="59"/>
  <c r="AP40" i="59"/>
  <c r="AQ40" i="59"/>
  <c r="AR40" i="59"/>
  <c r="AS40" i="59"/>
  <c r="AT40" i="59"/>
  <c r="AU40" i="59"/>
  <c r="AV40" i="59"/>
  <c r="AW40" i="59"/>
  <c r="AX40" i="59"/>
  <c r="AY40" i="59"/>
  <c r="AZ40" i="59"/>
  <c r="BA40" i="59"/>
  <c r="BB40" i="59"/>
  <c r="BC40" i="59"/>
  <c r="BD40" i="59"/>
  <c r="BE40" i="59"/>
  <c r="BF40" i="59"/>
  <c r="BG40" i="59"/>
  <c r="BH40" i="59"/>
  <c r="BI40" i="59"/>
  <c r="BJ40" i="59"/>
  <c r="BK40" i="59"/>
  <c r="BL40" i="59"/>
  <c r="BM40" i="59"/>
  <c r="BN40" i="59"/>
  <c r="BO40" i="59"/>
  <c r="BP40" i="59"/>
  <c r="BQ40" i="59"/>
  <c r="BR40" i="59"/>
  <c r="BS40" i="59"/>
  <c r="BT40" i="59"/>
  <c r="BU40" i="59"/>
  <c r="BV40" i="59"/>
  <c r="BW40" i="59"/>
  <c r="BX40" i="59"/>
  <c r="BY40" i="59"/>
  <c r="BZ40" i="59"/>
  <c r="CA40" i="59"/>
  <c r="CB40" i="59"/>
  <c r="CC40" i="59"/>
  <c r="CD40" i="59"/>
  <c r="CE40" i="59"/>
  <c r="CF40" i="59"/>
  <c r="CG40" i="59"/>
  <c r="CH40" i="59"/>
  <c r="CI40" i="59"/>
  <c r="CJ40" i="59"/>
  <c r="D36" i="65"/>
  <c r="E36" i="65"/>
  <c r="B41" i="59"/>
  <c r="AL41" i="59"/>
  <c r="AO41" i="59"/>
  <c r="AP41" i="59"/>
  <c r="AQ41" i="59"/>
  <c r="AR41" i="59"/>
  <c r="AS41" i="59"/>
  <c r="AT41" i="59"/>
  <c r="AU41" i="59"/>
  <c r="AV41" i="59"/>
  <c r="AW41" i="59"/>
  <c r="AX41" i="59"/>
  <c r="AY41" i="59"/>
  <c r="AZ41" i="59"/>
  <c r="BA41" i="59"/>
  <c r="BB41" i="59"/>
  <c r="BC41" i="59"/>
  <c r="BD41" i="59"/>
  <c r="BE41" i="59"/>
  <c r="BF41" i="59"/>
  <c r="BG41" i="59"/>
  <c r="BH41" i="59"/>
  <c r="BI41" i="59"/>
  <c r="BJ41" i="59"/>
  <c r="BK41" i="59"/>
  <c r="BL41" i="59"/>
  <c r="BM41" i="59"/>
  <c r="BN41" i="59"/>
  <c r="BO41" i="59"/>
  <c r="BP41" i="59"/>
  <c r="BQ41" i="59"/>
  <c r="BR41" i="59"/>
  <c r="BS41" i="59"/>
  <c r="BT41" i="59"/>
  <c r="BU41" i="59"/>
  <c r="BV41" i="59"/>
  <c r="BW41" i="59"/>
  <c r="BX41" i="59"/>
  <c r="BY41" i="59"/>
  <c r="BZ41" i="59"/>
  <c r="CA41" i="59"/>
  <c r="CB41" i="59"/>
  <c r="CC41" i="59"/>
  <c r="CD41" i="59"/>
  <c r="CE41" i="59"/>
  <c r="CF41" i="59"/>
  <c r="CG41" i="59"/>
  <c r="CH41" i="59"/>
  <c r="CI41" i="59"/>
  <c r="CJ41" i="59"/>
  <c r="D37" i="65"/>
  <c r="E37" i="65"/>
  <c r="B42" i="59"/>
  <c r="AL42" i="59"/>
  <c r="AO42" i="59"/>
  <c r="AP42" i="59"/>
  <c r="AQ42" i="59"/>
  <c r="AR42" i="59"/>
  <c r="AS42" i="59"/>
  <c r="AT42" i="59"/>
  <c r="AU42" i="59"/>
  <c r="AV42" i="59"/>
  <c r="AW42" i="59"/>
  <c r="AX42" i="59"/>
  <c r="AY42" i="59"/>
  <c r="AZ42" i="59"/>
  <c r="BA42" i="59"/>
  <c r="BB42" i="59"/>
  <c r="BC42" i="59"/>
  <c r="BD42" i="59"/>
  <c r="BE42" i="59"/>
  <c r="BF42" i="59"/>
  <c r="BG42" i="59"/>
  <c r="BH42" i="59"/>
  <c r="BI42" i="59"/>
  <c r="BJ42" i="59"/>
  <c r="BK42" i="59"/>
  <c r="BL42" i="59"/>
  <c r="BM42" i="59"/>
  <c r="BN42" i="59"/>
  <c r="BO42" i="59"/>
  <c r="BP42" i="59"/>
  <c r="BQ42" i="59"/>
  <c r="BR42" i="59"/>
  <c r="BS42" i="59"/>
  <c r="BT42" i="59"/>
  <c r="BU42" i="59"/>
  <c r="BV42" i="59"/>
  <c r="BW42" i="59"/>
  <c r="BX42" i="59"/>
  <c r="BY42" i="59"/>
  <c r="BZ42" i="59"/>
  <c r="CA42" i="59"/>
  <c r="CB42" i="59"/>
  <c r="CC42" i="59"/>
  <c r="CD42" i="59"/>
  <c r="CE42" i="59"/>
  <c r="CF42" i="59"/>
  <c r="CG42" i="59"/>
  <c r="CH42" i="59"/>
  <c r="CI42" i="59"/>
  <c r="CJ42" i="59"/>
  <c r="D38" i="65"/>
  <c r="E38" i="65"/>
  <c r="B43" i="59"/>
  <c r="AL43" i="59"/>
  <c r="AO43" i="59"/>
  <c r="AP43" i="59"/>
  <c r="AQ43" i="59"/>
  <c r="AR43" i="59"/>
  <c r="AS43" i="59"/>
  <c r="AT43" i="59"/>
  <c r="AU43" i="59"/>
  <c r="AV43" i="59"/>
  <c r="AW43" i="59"/>
  <c r="AX43" i="59"/>
  <c r="AY43" i="59"/>
  <c r="AZ43" i="59"/>
  <c r="BA43" i="59"/>
  <c r="BB43" i="59"/>
  <c r="BC43" i="59"/>
  <c r="BD43" i="59"/>
  <c r="BE43" i="59"/>
  <c r="BF43" i="59"/>
  <c r="BG43" i="59"/>
  <c r="BH43" i="59"/>
  <c r="BI43" i="59"/>
  <c r="BJ43" i="59"/>
  <c r="BK43" i="59"/>
  <c r="BL43" i="59"/>
  <c r="BM43" i="59"/>
  <c r="BN43" i="59"/>
  <c r="BO43" i="59"/>
  <c r="BP43" i="59"/>
  <c r="BQ43" i="59"/>
  <c r="BR43" i="59"/>
  <c r="BS43" i="59"/>
  <c r="BT43" i="59"/>
  <c r="BU43" i="59"/>
  <c r="BV43" i="59"/>
  <c r="BW43" i="59"/>
  <c r="BX43" i="59"/>
  <c r="BY43" i="59"/>
  <c r="BZ43" i="59"/>
  <c r="CA43" i="59"/>
  <c r="CB43" i="59"/>
  <c r="CC43" i="59"/>
  <c r="CD43" i="59"/>
  <c r="CE43" i="59"/>
  <c r="CF43" i="59"/>
  <c r="CG43" i="59"/>
  <c r="CH43" i="59"/>
  <c r="CI43" i="59"/>
  <c r="CJ43" i="59"/>
  <c r="D39" i="65"/>
  <c r="E39" i="65"/>
  <c r="B44" i="59"/>
  <c r="AL44" i="59"/>
  <c r="AO44" i="59"/>
  <c r="AP44" i="59"/>
  <c r="AQ44" i="59"/>
  <c r="AR44" i="59"/>
  <c r="AS44" i="59"/>
  <c r="AT44" i="59"/>
  <c r="AU44" i="59"/>
  <c r="AV44" i="59"/>
  <c r="AW44" i="59"/>
  <c r="AX44" i="59"/>
  <c r="AY44" i="59"/>
  <c r="AZ44" i="59"/>
  <c r="BA44" i="59"/>
  <c r="BB44" i="59"/>
  <c r="BC44" i="59"/>
  <c r="BD44" i="59"/>
  <c r="BE44" i="59"/>
  <c r="BF44" i="59"/>
  <c r="BG44" i="59"/>
  <c r="BH44" i="59"/>
  <c r="BI44" i="59"/>
  <c r="BJ44" i="59"/>
  <c r="BK44" i="59"/>
  <c r="BL44" i="59"/>
  <c r="BM44" i="59"/>
  <c r="BN44" i="59"/>
  <c r="BO44" i="59"/>
  <c r="BP44" i="59"/>
  <c r="BQ44" i="59"/>
  <c r="BR44" i="59"/>
  <c r="BS44" i="59"/>
  <c r="BT44" i="59"/>
  <c r="BU44" i="59"/>
  <c r="BV44" i="59"/>
  <c r="BW44" i="59"/>
  <c r="BX44" i="59"/>
  <c r="BY44" i="59"/>
  <c r="BZ44" i="59"/>
  <c r="CA44" i="59"/>
  <c r="CB44" i="59"/>
  <c r="CC44" i="59"/>
  <c r="CD44" i="59"/>
  <c r="CE44" i="59"/>
  <c r="CF44" i="59"/>
  <c r="CG44" i="59"/>
  <c r="CH44" i="59"/>
  <c r="CI44" i="59"/>
  <c r="CJ44" i="59"/>
  <c r="BK39" i="65"/>
  <c r="F39" i="65"/>
  <c r="CO44" i="59"/>
  <c r="I39" i="65"/>
  <c r="CP44" i="59"/>
  <c r="L39" i="65"/>
  <c r="CQ44" i="59"/>
  <c r="O39" i="65"/>
  <c r="CR44" i="59"/>
  <c r="R39" i="65"/>
  <c r="CS44" i="59"/>
  <c r="S39" i="65"/>
  <c r="CT44" i="59"/>
  <c r="V39" i="65"/>
  <c r="CU44" i="59"/>
  <c r="Y39" i="65"/>
  <c r="CV44" i="59"/>
  <c r="Z39" i="65"/>
  <c r="CW44" i="59"/>
  <c r="AA39" i="65"/>
  <c r="CX44" i="59"/>
  <c r="AD39" i="65"/>
  <c r="CY44" i="59"/>
  <c r="AG39" i="65"/>
  <c r="CZ44" i="59"/>
  <c r="AJ39" i="65"/>
  <c r="DA44" i="59"/>
  <c r="AM39" i="65"/>
  <c r="DB44" i="59"/>
  <c r="AP39" i="65"/>
  <c r="DC44" i="59"/>
  <c r="AR39" i="65"/>
  <c r="DD44" i="59"/>
  <c r="AS39" i="65"/>
  <c r="DE44" i="59"/>
  <c r="AU39" i="65"/>
  <c r="DF44" i="59"/>
  <c r="AV39" i="65"/>
  <c r="DG44" i="59"/>
  <c r="AX39" i="65"/>
  <c r="DH44" i="59"/>
  <c r="AY39" i="65"/>
  <c r="DI44" i="59"/>
  <c r="BA39" i="65"/>
  <c r="DJ44" i="59"/>
  <c r="BB39" i="65"/>
  <c r="DK44" i="59"/>
  <c r="BC39" i="65"/>
  <c r="DL44" i="59"/>
  <c r="BD39" i="65"/>
  <c r="DM44" i="59"/>
  <c r="BE39" i="65"/>
  <c r="DN44" i="59"/>
  <c r="BF39" i="65"/>
  <c r="DO44" i="59"/>
  <c r="BJ39" i="65"/>
  <c r="H39" i="65"/>
  <c r="K39" i="65"/>
  <c r="N39" i="65"/>
  <c r="Q39" i="65"/>
  <c r="U39" i="65"/>
  <c r="X39" i="65"/>
  <c r="AC39" i="65"/>
  <c r="AF39" i="65"/>
  <c r="AI39" i="65"/>
  <c r="AL39" i="65"/>
  <c r="AO39" i="65"/>
  <c r="BG39" i="65"/>
  <c r="BI39" i="65"/>
  <c r="BH39" i="65"/>
  <c r="E44" i="59"/>
  <c r="G39" i="65"/>
  <c r="F44" i="59"/>
  <c r="G44" i="59"/>
  <c r="J39" i="65"/>
  <c r="H44" i="59"/>
  <c r="I44" i="59"/>
  <c r="M39" i="65"/>
  <c r="J44" i="59"/>
  <c r="K44" i="59"/>
  <c r="P39" i="65"/>
  <c r="L44" i="59"/>
  <c r="M44" i="59"/>
  <c r="T39" i="65"/>
  <c r="N44" i="59"/>
  <c r="O44" i="59"/>
  <c r="W39" i="65"/>
  <c r="P44" i="59"/>
  <c r="Q44" i="59"/>
  <c r="R44" i="59"/>
  <c r="S44" i="59"/>
  <c r="AB39" i="65"/>
  <c r="T44" i="59"/>
  <c r="U44" i="59"/>
  <c r="AE39" i="65"/>
  <c r="V44" i="59"/>
  <c r="W44" i="59"/>
  <c r="AH39" i="65"/>
  <c r="X44" i="59"/>
  <c r="Y44" i="59"/>
  <c r="AK39" i="65"/>
  <c r="Z44" i="59"/>
  <c r="AA44" i="59"/>
  <c r="AN39" i="65"/>
  <c r="AB44" i="59"/>
  <c r="AC44" i="59"/>
  <c r="AQ39" i="65"/>
  <c r="AD44" i="59"/>
  <c r="AE44" i="59"/>
  <c r="AT39" i="65"/>
  <c r="AF44" i="59"/>
  <c r="AG44" i="59"/>
  <c r="AW39" i="65"/>
  <c r="AH44" i="59"/>
  <c r="AI44" i="59"/>
  <c r="AZ39" i="65"/>
  <c r="AJ44" i="59"/>
  <c r="D44" i="59"/>
  <c r="CN44" i="59"/>
  <c r="CL44" i="59"/>
  <c r="D43" i="59"/>
  <c r="CN43" i="59"/>
  <c r="CL43" i="59"/>
  <c r="D42" i="59"/>
  <c r="CN42" i="59"/>
  <c r="CL42" i="59"/>
  <c r="D41" i="59"/>
  <c r="CN41" i="59"/>
  <c r="CL41" i="59"/>
  <c r="D40" i="59"/>
  <c r="CN40" i="59"/>
  <c r="CL40" i="59"/>
  <c r="D39" i="59"/>
  <c r="CN39" i="59"/>
  <c r="CL39" i="59"/>
  <c r="D38" i="59"/>
  <c r="CN38" i="59"/>
  <c r="CL38" i="59"/>
  <c r="D37" i="59"/>
  <c r="CN37" i="59"/>
  <c r="CL37" i="59"/>
  <c r="D36" i="59"/>
  <c r="CN36" i="59"/>
  <c r="CL36" i="59"/>
  <c r="D35" i="59"/>
  <c r="CN35" i="59"/>
  <c r="CL35" i="59"/>
  <c r="AN44" i="59"/>
  <c r="AN43" i="59"/>
  <c r="AN42" i="59"/>
  <c r="AN41" i="59"/>
  <c r="AN40" i="59"/>
  <c r="AN39" i="59"/>
  <c r="AN38" i="59"/>
  <c r="AN37" i="59"/>
  <c r="AN36" i="59"/>
  <c r="AN35" i="59"/>
  <c r="AZ38" i="65"/>
  <c r="AJ43" i="59"/>
  <c r="BH38" i="65"/>
  <c r="AY38" i="65"/>
  <c r="AI43" i="59"/>
  <c r="AW38" i="65"/>
  <c r="AH43" i="59"/>
  <c r="AV38" i="65"/>
  <c r="AG43" i="59"/>
  <c r="AT38" i="65"/>
  <c r="AF43" i="59"/>
  <c r="AS38" i="65"/>
  <c r="AE43" i="59"/>
  <c r="AQ38" i="65"/>
  <c r="AD43" i="59"/>
  <c r="AP38" i="65"/>
  <c r="AC43" i="59"/>
  <c r="AN38" i="65"/>
  <c r="AB43" i="59"/>
  <c r="AM38" i="65"/>
  <c r="AA43" i="59"/>
  <c r="AK38" i="65"/>
  <c r="Z43" i="59"/>
  <c r="AJ38" i="65"/>
  <c r="Y43" i="59"/>
  <c r="AH38" i="65"/>
  <c r="X43" i="59"/>
  <c r="AG38" i="65"/>
  <c r="W43" i="59"/>
  <c r="AE38" i="65"/>
  <c r="V43" i="59"/>
  <c r="AD38" i="65"/>
  <c r="U43" i="59"/>
  <c r="AB38" i="65"/>
  <c r="T43" i="59"/>
  <c r="AA38" i="65"/>
  <c r="S43" i="59"/>
  <c r="Z38" i="65"/>
  <c r="R43" i="59"/>
  <c r="Y38" i="65"/>
  <c r="Q43" i="59"/>
  <c r="W38" i="65"/>
  <c r="P43" i="59"/>
  <c r="V38" i="65"/>
  <c r="O43" i="59"/>
  <c r="T38" i="65"/>
  <c r="N43" i="59"/>
  <c r="S38" i="65"/>
  <c r="M43" i="59"/>
  <c r="P38" i="65"/>
  <c r="L43" i="59"/>
  <c r="O38" i="65"/>
  <c r="K43" i="59"/>
  <c r="M38" i="65"/>
  <c r="J43" i="59"/>
  <c r="L38" i="65"/>
  <c r="I43" i="59"/>
  <c r="J38" i="65"/>
  <c r="H43" i="59"/>
  <c r="I38" i="65"/>
  <c r="G43" i="59"/>
  <c r="G38" i="65"/>
  <c r="F43" i="59"/>
  <c r="F38" i="65"/>
  <c r="E43" i="59"/>
  <c r="BH37" i="65"/>
  <c r="AZ37" i="65"/>
  <c r="AJ42" i="59"/>
  <c r="AY37" i="65"/>
  <c r="AI42" i="59"/>
  <c r="AW37" i="65"/>
  <c r="AH42" i="59"/>
  <c r="AV37" i="65"/>
  <c r="AG42" i="59"/>
  <c r="AT37" i="65"/>
  <c r="AF42" i="59"/>
  <c r="AS37" i="65"/>
  <c r="AE42" i="59"/>
  <c r="AQ37" i="65"/>
  <c r="AD42" i="59"/>
  <c r="AP37" i="65"/>
  <c r="AC42" i="59"/>
  <c r="AN37" i="65"/>
  <c r="AB42" i="59"/>
  <c r="AM37" i="65"/>
  <c r="AA42" i="59"/>
  <c r="AK37" i="65"/>
  <c r="Z42" i="59"/>
  <c r="AJ37" i="65"/>
  <c r="Y42" i="59"/>
  <c r="AH37" i="65"/>
  <c r="X42" i="59"/>
  <c r="AG37" i="65"/>
  <c r="W42" i="59"/>
  <c r="AE37" i="65"/>
  <c r="V42" i="59"/>
  <c r="AD37" i="65"/>
  <c r="U42" i="59"/>
  <c r="AB37" i="65"/>
  <c r="T42" i="59"/>
  <c r="AA37" i="65"/>
  <c r="S42" i="59"/>
  <c r="Z37" i="65"/>
  <c r="R42" i="59"/>
  <c r="Y37" i="65"/>
  <c r="Q42" i="59"/>
  <c r="W37" i="65"/>
  <c r="P42" i="59"/>
  <c r="V37" i="65"/>
  <c r="O42" i="59"/>
  <c r="T37" i="65"/>
  <c r="N42" i="59"/>
  <c r="S37" i="65"/>
  <c r="M42" i="59"/>
  <c r="P37" i="65"/>
  <c r="L42" i="59"/>
  <c r="O37" i="65"/>
  <c r="K42" i="59"/>
  <c r="M37" i="65"/>
  <c r="J42" i="59"/>
  <c r="L37" i="65"/>
  <c r="I42" i="59"/>
  <c r="J37" i="65"/>
  <c r="H42" i="59"/>
  <c r="I37" i="65"/>
  <c r="G42" i="59"/>
  <c r="G37" i="65"/>
  <c r="F42" i="59"/>
  <c r="F37" i="65"/>
  <c r="E42" i="59"/>
  <c r="AZ36" i="65"/>
  <c r="AJ41" i="59"/>
  <c r="BH36" i="65"/>
  <c r="AY36" i="65"/>
  <c r="AI41" i="59"/>
  <c r="AW36" i="65"/>
  <c r="AH41" i="59"/>
  <c r="AV36" i="65"/>
  <c r="AG41" i="59"/>
  <c r="AT36" i="65"/>
  <c r="AF41" i="59"/>
  <c r="AS36" i="65"/>
  <c r="AE41" i="59"/>
  <c r="AQ36" i="65"/>
  <c r="AD41" i="59"/>
  <c r="AP36" i="65"/>
  <c r="AC41" i="59"/>
  <c r="AN36" i="65"/>
  <c r="AB41" i="59"/>
  <c r="AM36" i="65"/>
  <c r="AA41" i="59"/>
  <c r="AK36" i="65"/>
  <c r="Z41" i="59"/>
  <c r="AJ36" i="65"/>
  <c r="Y41" i="59"/>
  <c r="AH36" i="65"/>
  <c r="X41" i="59"/>
  <c r="AG36" i="65"/>
  <c r="W41" i="59"/>
  <c r="AE36" i="65"/>
  <c r="V41" i="59"/>
  <c r="AD36" i="65"/>
  <c r="U41" i="59"/>
  <c r="AB36" i="65"/>
  <c r="T41" i="59"/>
  <c r="AA36" i="65"/>
  <c r="S41" i="59"/>
  <c r="Z36" i="65"/>
  <c r="R41" i="59"/>
  <c r="Y36" i="65"/>
  <c r="Q41" i="59"/>
  <c r="W36" i="65"/>
  <c r="P41" i="59"/>
  <c r="V36" i="65"/>
  <c r="O41" i="59"/>
  <c r="T36" i="65"/>
  <c r="N41" i="59"/>
  <c r="S36" i="65"/>
  <c r="M41" i="59"/>
  <c r="P36" i="65"/>
  <c r="L41" i="59"/>
  <c r="O36" i="65"/>
  <c r="K41" i="59"/>
  <c r="M36" i="65"/>
  <c r="J41" i="59"/>
  <c r="L36" i="65"/>
  <c r="I41" i="59"/>
  <c r="J36" i="65"/>
  <c r="H41" i="59"/>
  <c r="I36" i="65"/>
  <c r="G41" i="59"/>
  <c r="G36" i="65"/>
  <c r="F41" i="59"/>
  <c r="F36" i="65"/>
  <c r="E41" i="59"/>
  <c r="AZ35" i="65"/>
  <c r="AJ40" i="59"/>
  <c r="BH35" i="65"/>
  <c r="AY35" i="65"/>
  <c r="AI40" i="59"/>
  <c r="AW35" i="65"/>
  <c r="AH40" i="59"/>
  <c r="AV35" i="65"/>
  <c r="AG40" i="59"/>
  <c r="AT35" i="65"/>
  <c r="AF40" i="59"/>
  <c r="AS35" i="65"/>
  <c r="AE40" i="59"/>
  <c r="AQ35" i="65"/>
  <c r="AD40" i="59"/>
  <c r="AP35" i="65"/>
  <c r="AC40" i="59"/>
  <c r="AN35" i="65"/>
  <c r="AB40" i="59"/>
  <c r="AM35" i="65"/>
  <c r="AA40" i="59"/>
  <c r="AK35" i="65"/>
  <c r="Z40" i="59"/>
  <c r="AJ35" i="65"/>
  <c r="Y40" i="59"/>
  <c r="AH35" i="65"/>
  <c r="X40" i="59"/>
  <c r="AG35" i="65"/>
  <c r="W40" i="59"/>
  <c r="AE35" i="65"/>
  <c r="V40" i="59"/>
  <c r="AD35" i="65"/>
  <c r="U40" i="59"/>
  <c r="AB35" i="65"/>
  <c r="T40" i="59"/>
  <c r="AA35" i="65"/>
  <c r="S40" i="59"/>
  <c r="Z35" i="65"/>
  <c r="R40" i="59"/>
  <c r="Y35" i="65"/>
  <c r="Q40" i="59"/>
  <c r="W35" i="65"/>
  <c r="P40" i="59"/>
  <c r="V35" i="65"/>
  <c r="O40" i="59"/>
  <c r="T35" i="65"/>
  <c r="N40" i="59"/>
  <c r="S35" i="65"/>
  <c r="M40" i="59"/>
  <c r="P35" i="65"/>
  <c r="L40" i="59"/>
  <c r="O35" i="65"/>
  <c r="K40" i="59"/>
  <c r="M35" i="65"/>
  <c r="J40" i="59"/>
  <c r="L35" i="65"/>
  <c r="I40" i="59"/>
  <c r="J35" i="65"/>
  <c r="H40" i="59"/>
  <c r="I35" i="65"/>
  <c r="G40" i="59"/>
  <c r="G35" i="65"/>
  <c r="F40" i="59"/>
  <c r="F35" i="65"/>
  <c r="E40" i="59"/>
  <c r="AZ34" i="65"/>
  <c r="AJ39" i="59"/>
  <c r="BH34" i="65"/>
  <c r="AY34" i="65"/>
  <c r="AI39" i="59"/>
  <c r="AW34" i="65"/>
  <c r="AH39" i="59"/>
  <c r="AV34" i="65"/>
  <c r="AG39" i="59"/>
  <c r="AT34" i="65"/>
  <c r="AF39" i="59"/>
  <c r="AS34" i="65"/>
  <c r="AE39" i="59"/>
  <c r="AQ34" i="65"/>
  <c r="AD39" i="59"/>
  <c r="AP34" i="65"/>
  <c r="AC39" i="59"/>
  <c r="AN34" i="65"/>
  <c r="AB39" i="59"/>
  <c r="AM34" i="65"/>
  <c r="AA39" i="59"/>
  <c r="AK34" i="65"/>
  <c r="Z39" i="59"/>
  <c r="AJ34" i="65"/>
  <c r="Y39" i="59"/>
  <c r="AH34" i="65"/>
  <c r="X39" i="59"/>
  <c r="AG34" i="65"/>
  <c r="W39" i="59"/>
  <c r="AE34" i="65"/>
  <c r="V39" i="59"/>
  <c r="AD34" i="65"/>
  <c r="U39" i="59"/>
  <c r="AB34" i="65"/>
  <c r="T39" i="59"/>
  <c r="AA34" i="65"/>
  <c r="S39" i="59"/>
  <c r="Z34" i="65"/>
  <c r="R39" i="59"/>
  <c r="Y34" i="65"/>
  <c r="Q39" i="59"/>
  <c r="W34" i="65"/>
  <c r="P39" i="59"/>
  <c r="V34" i="65"/>
  <c r="O39" i="59"/>
  <c r="T34" i="65"/>
  <c r="N39" i="59"/>
  <c r="S34" i="65"/>
  <c r="M39" i="59"/>
  <c r="P34" i="65"/>
  <c r="L39" i="59"/>
  <c r="O34" i="65"/>
  <c r="K39" i="59"/>
  <c r="M34" i="65"/>
  <c r="J39" i="59"/>
  <c r="L34" i="65"/>
  <c r="I39" i="59"/>
  <c r="J34" i="65"/>
  <c r="H39" i="59"/>
  <c r="I34" i="65"/>
  <c r="G39" i="59"/>
  <c r="G34" i="65"/>
  <c r="F39" i="59"/>
  <c r="F34" i="65"/>
  <c r="E39" i="59"/>
  <c r="AZ33" i="65"/>
  <c r="AJ38" i="59"/>
  <c r="BH33" i="65"/>
  <c r="AY33" i="65"/>
  <c r="AI38" i="59"/>
  <c r="AW33" i="65"/>
  <c r="AH38" i="59"/>
  <c r="AV33" i="65"/>
  <c r="AG38" i="59"/>
  <c r="AT33" i="65"/>
  <c r="AF38" i="59"/>
  <c r="AS33" i="65"/>
  <c r="AE38" i="59"/>
  <c r="AQ33" i="65"/>
  <c r="AD38" i="59"/>
  <c r="AP33" i="65"/>
  <c r="AC38" i="59"/>
  <c r="AN33" i="65"/>
  <c r="AB38" i="59"/>
  <c r="AM33" i="65"/>
  <c r="AA38" i="59"/>
  <c r="AK33" i="65"/>
  <c r="Z38" i="59"/>
  <c r="AJ33" i="65"/>
  <c r="Y38" i="59"/>
  <c r="AH33" i="65"/>
  <c r="X38" i="59"/>
  <c r="AG33" i="65"/>
  <c r="W38" i="59"/>
  <c r="AE33" i="65"/>
  <c r="V38" i="59"/>
  <c r="AD33" i="65"/>
  <c r="U38" i="59"/>
  <c r="AB33" i="65"/>
  <c r="T38" i="59"/>
  <c r="AA33" i="65"/>
  <c r="S38" i="59"/>
  <c r="Z33" i="65"/>
  <c r="R38" i="59"/>
  <c r="Y33" i="65"/>
  <c r="Q38" i="59"/>
  <c r="W33" i="65"/>
  <c r="P38" i="59"/>
  <c r="V33" i="65"/>
  <c r="O38" i="59"/>
  <c r="T33" i="65"/>
  <c r="N38" i="59"/>
  <c r="S33" i="65"/>
  <c r="M38" i="59"/>
  <c r="P33" i="65"/>
  <c r="L38" i="59"/>
  <c r="O33" i="65"/>
  <c r="K38" i="59"/>
  <c r="M33" i="65"/>
  <c r="J38" i="59"/>
  <c r="L33" i="65"/>
  <c r="I38" i="59"/>
  <c r="J33" i="65"/>
  <c r="H38" i="59"/>
  <c r="I33" i="65"/>
  <c r="G38" i="59"/>
  <c r="G33" i="65"/>
  <c r="F38" i="59"/>
  <c r="F33" i="65"/>
  <c r="E38" i="59"/>
  <c r="AZ32" i="65"/>
  <c r="AJ37" i="59"/>
  <c r="BH32" i="65"/>
  <c r="AY32" i="65"/>
  <c r="AI37" i="59"/>
  <c r="AW32" i="65"/>
  <c r="AH37" i="59"/>
  <c r="AV32" i="65"/>
  <c r="AG37" i="59"/>
  <c r="AT32" i="65"/>
  <c r="AF37" i="59"/>
  <c r="AS32" i="65"/>
  <c r="AE37" i="59"/>
  <c r="AQ32" i="65"/>
  <c r="AD37" i="59"/>
  <c r="AP32" i="65"/>
  <c r="AC37" i="59"/>
  <c r="AN32" i="65"/>
  <c r="AB37" i="59"/>
  <c r="AM32" i="65"/>
  <c r="AA37" i="59"/>
  <c r="AK32" i="65"/>
  <c r="Z37" i="59"/>
  <c r="AJ32" i="65"/>
  <c r="Y37" i="59"/>
  <c r="AH32" i="65"/>
  <c r="X37" i="59"/>
  <c r="AG32" i="65"/>
  <c r="W37" i="59"/>
  <c r="AE32" i="65"/>
  <c r="V37" i="59"/>
  <c r="AD32" i="65"/>
  <c r="U37" i="59"/>
  <c r="AB32" i="65"/>
  <c r="T37" i="59"/>
  <c r="AA32" i="65"/>
  <c r="S37" i="59"/>
  <c r="Z32" i="65"/>
  <c r="R37" i="59"/>
  <c r="Y32" i="65"/>
  <c r="Q37" i="59"/>
  <c r="W32" i="65"/>
  <c r="P37" i="59"/>
  <c r="V32" i="65"/>
  <c r="O37" i="59"/>
  <c r="T32" i="65"/>
  <c r="N37" i="59"/>
  <c r="S32" i="65"/>
  <c r="M37" i="59"/>
  <c r="P32" i="65"/>
  <c r="L37" i="59"/>
  <c r="O32" i="65"/>
  <c r="K37" i="59"/>
  <c r="M32" i="65"/>
  <c r="J37" i="59"/>
  <c r="L32" i="65"/>
  <c r="I37" i="59"/>
  <c r="J32" i="65"/>
  <c r="H37" i="59"/>
  <c r="I32" i="65"/>
  <c r="G37" i="59"/>
  <c r="G32" i="65"/>
  <c r="F37" i="59"/>
  <c r="F32" i="65"/>
  <c r="E37" i="59"/>
  <c r="AZ31" i="65"/>
  <c r="AJ36" i="59"/>
  <c r="BH31" i="65"/>
  <c r="AY31" i="65"/>
  <c r="AI36" i="59"/>
  <c r="AW31" i="65"/>
  <c r="AH36" i="59"/>
  <c r="AV31" i="65"/>
  <c r="AG36" i="59"/>
  <c r="AT31" i="65"/>
  <c r="AF36" i="59"/>
  <c r="AS31" i="65"/>
  <c r="AE36" i="59"/>
  <c r="AQ31" i="65"/>
  <c r="AD36" i="59"/>
  <c r="AP31" i="65"/>
  <c r="AC36" i="59"/>
  <c r="AN31" i="65"/>
  <c r="AB36" i="59"/>
  <c r="AM31" i="65"/>
  <c r="AA36" i="59"/>
  <c r="AK31" i="65"/>
  <c r="Z36" i="59"/>
  <c r="AJ31" i="65"/>
  <c r="Y36" i="59"/>
  <c r="AH31" i="65"/>
  <c r="X36" i="59"/>
  <c r="AG31" i="65"/>
  <c r="W36" i="59"/>
  <c r="AE31" i="65"/>
  <c r="V36" i="59"/>
  <c r="AD31" i="65"/>
  <c r="U36" i="59"/>
  <c r="AB31" i="65"/>
  <c r="T36" i="59"/>
  <c r="AA31" i="65"/>
  <c r="S36" i="59"/>
  <c r="Z31" i="65"/>
  <c r="R36" i="59"/>
  <c r="Y31" i="65"/>
  <c r="Q36" i="59"/>
  <c r="W31" i="65"/>
  <c r="P36" i="59"/>
  <c r="V31" i="65"/>
  <c r="O36" i="59"/>
  <c r="T31" i="65"/>
  <c r="N36" i="59"/>
  <c r="S31" i="65"/>
  <c r="M36" i="59"/>
  <c r="P31" i="65"/>
  <c r="L36" i="59"/>
  <c r="O31" i="65"/>
  <c r="K36" i="59"/>
  <c r="M31" i="65"/>
  <c r="J36" i="59"/>
  <c r="L31" i="65"/>
  <c r="I36" i="59"/>
  <c r="J31" i="65"/>
  <c r="H36" i="59"/>
  <c r="I31" i="65"/>
  <c r="G36" i="59"/>
  <c r="G31" i="65"/>
  <c r="F36" i="59"/>
  <c r="F31" i="65"/>
  <c r="E36" i="59"/>
  <c r="AZ30" i="65"/>
  <c r="AJ35" i="59"/>
  <c r="BH30" i="65"/>
  <c r="AY30" i="65"/>
  <c r="AI35" i="59"/>
  <c r="AW30" i="65"/>
  <c r="AH35" i="59"/>
  <c r="AV30" i="65"/>
  <c r="AG35" i="59"/>
  <c r="AT30" i="65"/>
  <c r="AF35" i="59"/>
  <c r="AS30" i="65"/>
  <c r="AE35" i="59"/>
  <c r="AQ30" i="65"/>
  <c r="AD35" i="59"/>
  <c r="AP30" i="65"/>
  <c r="AC35" i="59"/>
  <c r="AN30" i="65"/>
  <c r="AB35" i="59"/>
  <c r="AM30" i="65"/>
  <c r="AA35" i="59"/>
  <c r="AK30" i="65"/>
  <c r="Z35" i="59"/>
  <c r="AJ30" i="65"/>
  <c r="Y35" i="59"/>
  <c r="AH30" i="65"/>
  <c r="X35" i="59"/>
  <c r="AG30" i="65"/>
  <c r="W35" i="59"/>
  <c r="AE30" i="65"/>
  <c r="V35" i="59"/>
  <c r="AD30" i="65"/>
  <c r="U35" i="59"/>
  <c r="AB30" i="65"/>
  <c r="T35" i="59"/>
  <c r="AA30" i="65"/>
  <c r="S35" i="59"/>
  <c r="Z30" i="65"/>
  <c r="R35" i="59"/>
  <c r="Y30" i="65"/>
  <c r="Q35" i="59"/>
  <c r="W30" i="65"/>
  <c r="P35" i="59"/>
  <c r="V30" i="65"/>
  <c r="O35" i="59"/>
  <c r="T30" i="65"/>
  <c r="N35" i="59"/>
  <c r="S30" i="65"/>
  <c r="M35" i="59"/>
  <c r="P30" i="65"/>
  <c r="L35" i="59"/>
  <c r="O30" i="65"/>
  <c r="K35" i="59"/>
  <c r="M30" i="65"/>
  <c r="J35" i="59"/>
  <c r="L30" i="65"/>
  <c r="I35" i="59"/>
  <c r="J30" i="65"/>
  <c r="H35" i="59"/>
  <c r="I30" i="65"/>
  <c r="G35" i="59"/>
  <c r="G30" i="65"/>
  <c r="F35" i="59"/>
  <c r="F30" i="65"/>
  <c r="E35" i="59"/>
  <c r="BI38" i="65"/>
  <c r="AO38" i="65"/>
  <c r="AL38" i="65"/>
  <c r="AI38" i="65"/>
  <c r="AF38" i="65"/>
  <c r="AC38" i="65"/>
  <c r="X38" i="65"/>
  <c r="U38" i="65"/>
  <c r="Q38" i="65"/>
  <c r="N38" i="65"/>
  <c r="K38" i="65"/>
  <c r="H38" i="65"/>
  <c r="BI37" i="65"/>
  <c r="AO37" i="65"/>
  <c r="AL37" i="65"/>
  <c r="AI37" i="65"/>
  <c r="AF37" i="65"/>
  <c r="AC37" i="65"/>
  <c r="X37" i="65"/>
  <c r="U37" i="65"/>
  <c r="Q37" i="65"/>
  <c r="N37" i="65"/>
  <c r="K37" i="65"/>
  <c r="H37" i="65"/>
  <c r="BI36" i="65"/>
  <c r="AO36" i="65"/>
  <c r="AL36" i="65"/>
  <c r="AI36" i="65"/>
  <c r="AF36" i="65"/>
  <c r="AC36" i="65"/>
  <c r="X36" i="65"/>
  <c r="U36" i="65"/>
  <c r="Q36" i="65"/>
  <c r="N36" i="65"/>
  <c r="K36" i="65"/>
  <c r="H36" i="65"/>
  <c r="BI35" i="65"/>
  <c r="AO35" i="65"/>
  <c r="AL35" i="65"/>
  <c r="AI35" i="65"/>
  <c r="AF35" i="65"/>
  <c r="AC35" i="65"/>
  <c r="X35" i="65"/>
  <c r="U35" i="65"/>
  <c r="Q35" i="65"/>
  <c r="N35" i="65"/>
  <c r="K35" i="65"/>
  <c r="H35" i="65"/>
  <c r="BI34" i="65"/>
  <c r="AO34" i="65"/>
  <c r="AL34" i="65"/>
  <c r="AI34" i="65"/>
  <c r="AF34" i="65"/>
  <c r="AC34" i="65"/>
  <c r="X34" i="65"/>
  <c r="U34" i="65"/>
  <c r="Q34" i="65"/>
  <c r="N34" i="65"/>
  <c r="K34" i="65"/>
  <c r="H34" i="65"/>
  <c r="BI33" i="65"/>
  <c r="AO33" i="65"/>
  <c r="AL33" i="65"/>
  <c r="AI33" i="65"/>
  <c r="AF33" i="65"/>
  <c r="AC33" i="65"/>
  <c r="X33" i="65"/>
  <c r="U33" i="65"/>
  <c r="Q33" i="65"/>
  <c r="N33" i="65"/>
  <c r="K33" i="65"/>
  <c r="H33" i="65"/>
  <c r="BI32" i="65"/>
  <c r="AO32" i="65"/>
  <c r="AL32" i="65"/>
  <c r="AI32" i="65"/>
  <c r="AF32" i="65"/>
  <c r="AC32" i="65"/>
  <c r="X32" i="65"/>
  <c r="U32" i="65"/>
  <c r="Q32" i="65"/>
  <c r="N32" i="65"/>
  <c r="K32" i="65"/>
  <c r="H32" i="65"/>
  <c r="BI31" i="65"/>
  <c r="AO31" i="65"/>
  <c r="AL31" i="65"/>
  <c r="AI31" i="65"/>
  <c r="AF31" i="65"/>
  <c r="AC31" i="65"/>
  <c r="X31" i="65"/>
  <c r="U31" i="65"/>
  <c r="Q31" i="65"/>
  <c r="N31" i="65"/>
  <c r="K31" i="65"/>
  <c r="H31" i="65"/>
  <c r="BI30" i="65"/>
  <c r="AO30" i="65"/>
  <c r="AL30" i="65"/>
  <c r="AI30" i="65"/>
  <c r="AF30" i="65"/>
  <c r="AC30" i="65"/>
  <c r="X30" i="65"/>
  <c r="U30" i="65"/>
  <c r="Q30" i="65"/>
  <c r="N30" i="65"/>
  <c r="K30" i="65"/>
  <c r="H30" i="65"/>
  <c r="BG38" i="65"/>
  <c r="BJ38" i="65"/>
  <c r="BG37" i="65"/>
  <c r="BJ37" i="65"/>
  <c r="BG36" i="65"/>
  <c r="BJ36" i="65"/>
  <c r="BG35" i="65"/>
  <c r="BJ35" i="65"/>
  <c r="BG34" i="65"/>
  <c r="BJ34" i="65"/>
  <c r="BG33" i="65"/>
  <c r="BJ33" i="65"/>
  <c r="BG32" i="65"/>
  <c r="BJ32" i="65"/>
  <c r="BG31" i="65"/>
  <c r="BJ31" i="65"/>
  <c r="BG30" i="65"/>
  <c r="BJ30" i="65"/>
  <c r="BF38" i="65"/>
  <c r="DO43" i="59"/>
  <c r="BE38" i="65"/>
  <c r="DN43" i="59"/>
  <c r="BD38" i="65"/>
  <c r="DM43" i="59"/>
  <c r="BC38" i="65"/>
  <c r="DL43" i="59"/>
  <c r="BB38" i="65"/>
  <c r="DK43" i="59"/>
  <c r="BA38" i="65"/>
  <c r="DJ43" i="59"/>
  <c r="BK38" i="65"/>
  <c r="DI43" i="59"/>
  <c r="AX38" i="65"/>
  <c r="DH43" i="59"/>
  <c r="DG43" i="59"/>
  <c r="AU38" i="65"/>
  <c r="DF43" i="59"/>
  <c r="DE43" i="59"/>
  <c r="AR38" i="65"/>
  <c r="DD43" i="59"/>
  <c r="DC43" i="59"/>
  <c r="DB43" i="59"/>
  <c r="DA43" i="59"/>
  <c r="CZ43" i="59"/>
  <c r="CY43" i="59"/>
  <c r="CX43" i="59"/>
  <c r="CW43" i="59"/>
  <c r="CV43" i="59"/>
  <c r="CU43" i="59"/>
  <c r="CT43" i="59"/>
  <c r="R38" i="65"/>
  <c r="CS43" i="59"/>
  <c r="CR43" i="59"/>
  <c r="CQ43" i="59"/>
  <c r="CP43" i="59"/>
  <c r="CO43" i="59"/>
  <c r="BF37" i="65"/>
  <c r="DO42" i="59"/>
  <c r="BE37" i="65"/>
  <c r="DN42" i="59"/>
  <c r="BD37" i="65"/>
  <c r="DM42" i="59"/>
  <c r="BC37" i="65"/>
  <c r="DL42" i="59"/>
  <c r="BB37" i="65"/>
  <c r="DK42" i="59"/>
  <c r="BA37" i="65"/>
  <c r="DJ42" i="59"/>
  <c r="DI42" i="59"/>
  <c r="AX37" i="65"/>
  <c r="DH42" i="59"/>
  <c r="DG42" i="59"/>
  <c r="AU37" i="65"/>
  <c r="DF42" i="59"/>
  <c r="DE42" i="59"/>
  <c r="AR37" i="65"/>
  <c r="DD42" i="59"/>
  <c r="DC42" i="59"/>
  <c r="DB42" i="59"/>
  <c r="DA42" i="59"/>
  <c r="BK37" i="65"/>
  <c r="CZ42" i="59"/>
  <c r="CY42" i="59"/>
  <c r="CX42" i="59"/>
  <c r="CW42" i="59"/>
  <c r="CV42" i="59"/>
  <c r="CU42" i="59"/>
  <c r="CT42" i="59"/>
  <c r="R37" i="65"/>
  <c r="CS42" i="59"/>
  <c r="CR42" i="59"/>
  <c r="CQ42" i="59"/>
  <c r="CP42" i="59"/>
  <c r="CO42" i="59"/>
  <c r="BF36" i="65"/>
  <c r="DO41" i="59"/>
  <c r="BE36" i="65"/>
  <c r="DN41" i="59"/>
  <c r="BD36" i="65"/>
  <c r="DM41" i="59"/>
  <c r="BC36" i="65"/>
  <c r="DL41" i="59"/>
  <c r="BB36" i="65"/>
  <c r="DK41" i="59"/>
  <c r="BK36" i="65"/>
  <c r="BA36" i="65"/>
  <c r="DJ41" i="59"/>
  <c r="DI41" i="59"/>
  <c r="AX36" i="65"/>
  <c r="DH41" i="59"/>
  <c r="DG41" i="59"/>
  <c r="AU36" i="65"/>
  <c r="DF41" i="59"/>
  <c r="DE41" i="59"/>
  <c r="AR36" i="65"/>
  <c r="DD41" i="59"/>
  <c r="DC41" i="59"/>
  <c r="DB41" i="59"/>
  <c r="DA41" i="59"/>
  <c r="CZ41" i="59"/>
  <c r="CY41" i="59"/>
  <c r="CX41" i="59"/>
  <c r="CW41" i="59"/>
  <c r="CV41" i="59"/>
  <c r="CU41" i="59"/>
  <c r="CT41" i="59"/>
  <c r="R36" i="65"/>
  <c r="CS41" i="59"/>
  <c r="CR41" i="59"/>
  <c r="CQ41" i="59"/>
  <c r="CP41" i="59"/>
  <c r="CO41" i="59"/>
  <c r="BF35" i="65"/>
  <c r="DO40" i="59"/>
  <c r="BE35" i="65"/>
  <c r="DN40" i="59"/>
  <c r="BD35" i="65"/>
  <c r="DM40" i="59"/>
  <c r="BK35" i="65"/>
  <c r="BC35" i="65"/>
  <c r="DL40" i="59"/>
  <c r="BB35" i="65"/>
  <c r="DK40" i="59"/>
  <c r="BA35" i="65"/>
  <c r="DJ40" i="59"/>
  <c r="DI40" i="59"/>
  <c r="AX35" i="65"/>
  <c r="DH40" i="59"/>
  <c r="DG40" i="59"/>
  <c r="AU35" i="65"/>
  <c r="DF40" i="59"/>
  <c r="DE40" i="59"/>
  <c r="AR35" i="65"/>
  <c r="DD40" i="59"/>
  <c r="DC40" i="59"/>
  <c r="DB40" i="59"/>
  <c r="DA40" i="59"/>
  <c r="CZ40" i="59"/>
  <c r="CY40" i="59"/>
  <c r="CX40" i="59"/>
  <c r="CW40" i="59"/>
  <c r="CV40" i="59"/>
  <c r="CU40" i="59"/>
  <c r="CT40" i="59"/>
  <c r="R35" i="65"/>
  <c r="CS40" i="59"/>
  <c r="CR40" i="59"/>
  <c r="CQ40" i="59"/>
  <c r="CP40" i="59"/>
  <c r="CO40" i="59"/>
  <c r="BF34" i="65"/>
  <c r="DO39" i="59"/>
  <c r="BK34" i="65"/>
  <c r="BE34" i="65"/>
  <c r="DN39" i="59"/>
  <c r="BD34" i="65"/>
  <c r="DM39" i="59"/>
  <c r="BC34" i="65"/>
  <c r="DL39" i="59"/>
  <c r="BB34" i="65"/>
  <c r="DK39" i="59"/>
  <c r="BA34" i="65"/>
  <c r="DJ39" i="59"/>
  <c r="DI39" i="59"/>
  <c r="AX34" i="65"/>
  <c r="DH39" i="59"/>
  <c r="DG39" i="59"/>
  <c r="AU34" i="65"/>
  <c r="DF39" i="59"/>
  <c r="DE39" i="59"/>
  <c r="AR34" i="65"/>
  <c r="DD39" i="59"/>
  <c r="DC39" i="59"/>
  <c r="DB39" i="59"/>
  <c r="DA39" i="59"/>
  <c r="CZ39" i="59"/>
  <c r="CY39" i="59"/>
  <c r="CX39" i="59"/>
  <c r="CW39" i="59"/>
  <c r="CV39" i="59"/>
  <c r="CU39" i="59"/>
  <c r="CT39" i="59"/>
  <c r="R34" i="65"/>
  <c r="CS39" i="59"/>
  <c r="CR39" i="59"/>
  <c r="CQ39" i="59"/>
  <c r="CP39" i="59"/>
  <c r="CO39" i="59"/>
  <c r="BK33" i="65"/>
  <c r="BF33" i="65"/>
  <c r="DO38" i="59"/>
  <c r="BE33" i="65"/>
  <c r="DN38" i="59"/>
  <c r="BD33" i="65"/>
  <c r="DM38" i="59"/>
  <c r="BC33" i="65"/>
  <c r="DL38" i="59"/>
  <c r="BB33" i="65"/>
  <c r="DK38" i="59"/>
  <c r="BA33" i="65"/>
  <c r="DJ38" i="59"/>
  <c r="DI38" i="59"/>
  <c r="AX33" i="65"/>
  <c r="DH38" i="59"/>
  <c r="DG38" i="59"/>
  <c r="AU33" i="65"/>
  <c r="DF38" i="59"/>
  <c r="DE38" i="59"/>
  <c r="AR33" i="65"/>
  <c r="DD38" i="59"/>
  <c r="DC38" i="59"/>
  <c r="DB38" i="59"/>
  <c r="DA38" i="59"/>
  <c r="CZ38" i="59"/>
  <c r="CY38" i="59"/>
  <c r="CX38" i="59"/>
  <c r="CW38" i="59"/>
  <c r="CV38" i="59"/>
  <c r="CU38" i="59"/>
  <c r="CT38" i="59"/>
  <c r="R33" i="65"/>
  <c r="CS38" i="59"/>
  <c r="CR38" i="59"/>
  <c r="CQ38" i="59"/>
  <c r="CP38" i="59"/>
  <c r="CO38" i="59"/>
  <c r="BF32" i="65"/>
  <c r="DO37" i="59"/>
  <c r="BE32" i="65"/>
  <c r="DN37" i="59"/>
  <c r="BD32" i="65"/>
  <c r="DM37" i="59"/>
  <c r="BC32" i="65"/>
  <c r="DL37" i="59"/>
  <c r="BB32" i="65"/>
  <c r="DK37" i="59"/>
  <c r="BA32" i="65"/>
  <c r="DJ37" i="59"/>
  <c r="BK32" i="65"/>
  <c r="DI37" i="59"/>
  <c r="AX32" i="65"/>
  <c r="DH37" i="59"/>
  <c r="DG37" i="59"/>
  <c r="AU32" i="65"/>
  <c r="DF37" i="59"/>
  <c r="DE37" i="59"/>
  <c r="AR32" i="65"/>
  <c r="DD37" i="59"/>
  <c r="DC37" i="59"/>
  <c r="DB37" i="59"/>
  <c r="DA37" i="59"/>
  <c r="CZ37" i="59"/>
  <c r="CY37" i="59"/>
  <c r="CX37" i="59"/>
  <c r="CW37" i="59"/>
  <c r="CV37" i="59"/>
  <c r="CU37" i="59"/>
  <c r="CT37" i="59"/>
  <c r="R32" i="65"/>
  <c r="CS37" i="59"/>
  <c r="CR37" i="59"/>
  <c r="CQ37" i="59"/>
  <c r="CP37" i="59"/>
  <c r="CO37" i="59"/>
  <c r="BF31" i="65"/>
  <c r="DO36" i="59"/>
  <c r="BE31" i="65"/>
  <c r="DN36" i="59"/>
  <c r="BD31" i="65"/>
  <c r="DM36" i="59"/>
  <c r="BC31" i="65"/>
  <c r="DL36" i="59"/>
  <c r="BB31" i="65"/>
  <c r="DK36" i="59"/>
  <c r="BA31" i="65"/>
  <c r="DJ36" i="59"/>
  <c r="BK31" i="65"/>
  <c r="DI36" i="59"/>
  <c r="AX31" i="65"/>
  <c r="DH36" i="59"/>
  <c r="DG36" i="59"/>
  <c r="AU31" i="65"/>
  <c r="DF36" i="59"/>
  <c r="DE36" i="59"/>
  <c r="AR31" i="65"/>
  <c r="DD36" i="59"/>
  <c r="DC36" i="59"/>
  <c r="DB36" i="59"/>
  <c r="DA36" i="59"/>
  <c r="CZ36" i="59"/>
  <c r="CY36" i="59"/>
  <c r="CX36" i="59"/>
  <c r="CW36" i="59"/>
  <c r="CV36" i="59"/>
  <c r="CU36" i="59"/>
  <c r="CT36" i="59"/>
  <c r="R31" i="65"/>
  <c r="CS36" i="59"/>
  <c r="CR36" i="59"/>
  <c r="CQ36" i="59"/>
  <c r="CP36" i="59"/>
  <c r="CO36" i="59"/>
  <c r="BF30" i="65"/>
  <c r="DO35" i="59"/>
  <c r="BE30" i="65"/>
  <c r="DN35" i="59"/>
  <c r="BD30" i="65"/>
  <c r="DM35" i="59"/>
  <c r="BK30" i="65"/>
  <c r="BC30" i="65"/>
  <c r="DL35" i="59"/>
  <c r="BB30" i="65"/>
  <c r="DK35" i="59"/>
  <c r="BA30" i="65"/>
  <c r="DJ35" i="59"/>
  <c r="DI35" i="59"/>
  <c r="AX30" i="65"/>
  <c r="DH35" i="59"/>
  <c r="DG35" i="59"/>
  <c r="AU30" i="65"/>
  <c r="DF35" i="59"/>
  <c r="DE35" i="59"/>
  <c r="AR30" i="65"/>
  <c r="DD35" i="59"/>
  <c r="DC35" i="59"/>
  <c r="DB35" i="59"/>
  <c r="DA35" i="59"/>
  <c r="CZ35" i="59"/>
  <c r="CY35" i="59"/>
  <c r="CX35" i="59"/>
  <c r="CW35" i="59"/>
  <c r="CV35" i="59"/>
  <c r="CU35" i="59"/>
  <c r="CT35" i="59"/>
  <c r="R30" i="65"/>
  <c r="CS35" i="59"/>
  <c r="CR35" i="59"/>
  <c r="CQ35" i="59"/>
  <c r="CP35" i="59"/>
  <c r="CO35" i="59"/>
  <c r="C17" i="65"/>
  <c r="BK17" i="65"/>
  <c r="F17" i="65"/>
  <c r="CO22" i="59"/>
  <c r="I17" i="65"/>
  <c r="CP22" i="59"/>
  <c r="L17" i="65"/>
  <c r="CQ22" i="59"/>
  <c r="O17" i="65"/>
  <c r="CR22" i="59"/>
  <c r="R17" i="65"/>
  <c r="CS22" i="59"/>
  <c r="S17" i="65"/>
  <c r="CT22" i="59"/>
  <c r="V17" i="65"/>
  <c r="CU22" i="59"/>
  <c r="Y17" i="65"/>
  <c r="CV22" i="59"/>
  <c r="Z17" i="65"/>
  <c r="CW22" i="59"/>
  <c r="AA17" i="65"/>
  <c r="CX22" i="59"/>
  <c r="AD17" i="65"/>
  <c r="CY22" i="59"/>
  <c r="AG17" i="65"/>
  <c r="CZ22" i="59"/>
  <c r="AJ17" i="65"/>
  <c r="DA22" i="59"/>
  <c r="AM17" i="65"/>
  <c r="DB22" i="59"/>
  <c r="AP17" i="65"/>
  <c r="DC22" i="59"/>
  <c r="AR17" i="65"/>
  <c r="DD22" i="59"/>
  <c r="AS17" i="65"/>
  <c r="DE22" i="59"/>
  <c r="AU17" i="65"/>
  <c r="DF22" i="59"/>
  <c r="AV17" i="65"/>
  <c r="DG22" i="59"/>
  <c r="AX17" i="65"/>
  <c r="DH22" i="59"/>
  <c r="AY17" i="65"/>
  <c r="DI22" i="59"/>
  <c r="BA17" i="65"/>
  <c r="DJ22" i="59"/>
  <c r="BB17" i="65"/>
  <c r="DK22" i="59"/>
  <c r="BC17" i="65"/>
  <c r="DL22" i="59"/>
  <c r="BD17" i="65"/>
  <c r="DM22" i="59"/>
  <c r="BE17" i="65"/>
  <c r="DN22" i="59"/>
  <c r="BF17" i="65"/>
  <c r="DO22" i="59"/>
  <c r="BJ17" i="65"/>
  <c r="BG17" i="65"/>
  <c r="BH17" i="65"/>
  <c r="E22" i="59"/>
  <c r="G17" i="65"/>
  <c r="F22" i="59"/>
  <c r="G22" i="59"/>
  <c r="J17" i="65"/>
  <c r="H22" i="59"/>
  <c r="I22" i="59"/>
  <c r="M17" i="65"/>
  <c r="J22" i="59"/>
  <c r="K22" i="59"/>
  <c r="P17" i="65"/>
  <c r="L22" i="59"/>
  <c r="M22" i="59"/>
  <c r="T17" i="65"/>
  <c r="N22" i="59"/>
  <c r="O22" i="59"/>
  <c r="W17" i="65"/>
  <c r="P22" i="59"/>
  <c r="Q22" i="59"/>
  <c r="R22" i="59"/>
  <c r="S22" i="59"/>
  <c r="AB17" i="65"/>
  <c r="T22" i="59"/>
  <c r="U22" i="59"/>
  <c r="AE17" i="65"/>
  <c r="V22" i="59"/>
  <c r="W22" i="59"/>
  <c r="AH17" i="65"/>
  <c r="X22" i="59"/>
  <c r="Y22" i="59"/>
  <c r="AK17" i="65"/>
  <c r="Z22" i="59"/>
  <c r="AA22" i="59"/>
  <c r="AN17" i="65"/>
  <c r="AB22" i="59"/>
  <c r="AC22" i="59"/>
  <c r="AQ17" i="65"/>
  <c r="AD22" i="59"/>
  <c r="AE22" i="59"/>
  <c r="AT17" i="65"/>
  <c r="AF22" i="59"/>
  <c r="AG22" i="59"/>
  <c r="AW17" i="65"/>
  <c r="AH22" i="59"/>
  <c r="AI22" i="59"/>
  <c r="AZ17" i="65"/>
  <c r="AJ22" i="59"/>
  <c r="D22" i="59"/>
  <c r="AN22" i="59"/>
  <c r="CN22" i="59"/>
  <c r="E17" i="65"/>
  <c r="CJ22" i="59"/>
  <c r="CI22" i="59"/>
  <c r="CH22" i="59"/>
  <c r="CG22" i="59"/>
  <c r="CF22" i="59"/>
  <c r="BI17" i="65"/>
  <c r="CE22" i="59"/>
  <c r="CD22" i="59"/>
  <c r="CC22" i="59"/>
  <c r="CB22" i="59"/>
  <c r="CA22" i="59"/>
  <c r="BZ22" i="59"/>
  <c r="BY22" i="59"/>
  <c r="BX22" i="59"/>
  <c r="AO17" i="65"/>
  <c r="BW22" i="59"/>
  <c r="BV22" i="59"/>
  <c r="BU22" i="59"/>
  <c r="AL17" i="65"/>
  <c r="BT22" i="59"/>
  <c r="BS22" i="59"/>
  <c r="BR22" i="59"/>
  <c r="AI17" i="65"/>
  <c r="BQ22" i="59"/>
  <c r="BP22" i="59"/>
  <c r="BO22" i="59"/>
  <c r="AF17" i="65"/>
  <c r="BN22" i="59"/>
  <c r="BM22" i="59"/>
  <c r="BL22" i="59"/>
  <c r="AC17" i="65"/>
  <c r="BK22" i="59"/>
  <c r="BJ22" i="59"/>
  <c r="BI22" i="59"/>
  <c r="BH22" i="59"/>
  <c r="BG22" i="59"/>
  <c r="X17" i="65"/>
  <c r="BF22" i="59"/>
  <c r="BE22" i="59"/>
  <c r="BD22" i="59"/>
  <c r="U17" i="65"/>
  <c r="BC22" i="59"/>
  <c r="BB22" i="59"/>
  <c r="BA22" i="59"/>
  <c r="Q17" i="65"/>
  <c r="AZ22" i="59"/>
  <c r="AY22" i="59"/>
  <c r="AX22" i="59"/>
  <c r="N17" i="65"/>
  <c r="AW22" i="59"/>
  <c r="AV22" i="59"/>
  <c r="AU22" i="59"/>
  <c r="K17" i="65"/>
  <c r="AT22" i="59"/>
  <c r="AS22" i="59"/>
  <c r="AR22" i="59"/>
  <c r="H17" i="65"/>
  <c r="AQ22" i="59"/>
  <c r="AP22" i="59"/>
  <c r="AO22" i="59"/>
  <c r="C20" i="65"/>
  <c r="D20" i="65"/>
  <c r="F20" i="65"/>
  <c r="BK20" i="65"/>
  <c r="CO25" i="59"/>
  <c r="I20" i="65"/>
  <c r="CP25" i="59"/>
  <c r="L20" i="65"/>
  <c r="CQ25" i="59"/>
  <c r="O20" i="65"/>
  <c r="CR25" i="59"/>
  <c r="R20" i="65"/>
  <c r="CS25" i="59"/>
  <c r="S20" i="65"/>
  <c r="CT25" i="59"/>
  <c r="V20" i="65"/>
  <c r="CU25" i="59"/>
  <c r="Y20" i="65"/>
  <c r="CV25" i="59"/>
  <c r="Z20" i="65"/>
  <c r="CW25" i="59"/>
  <c r="AA20" i="65"/>
  <c r="CX25" i="59"/>
  <c r="AD20" i="65"/>
  <c r="CY25" i="59"/>
  <c r="AG20" i="65"/>
  <c r="CZ25" i="59"/>
  <c r="AJ20" i="65"/>
  <c r="DA25" i="59"/>
  <c r="AM20" i="65"/>
  <c r="DB25" i="59"/>
  <c r="AP20" i="65"/>
  <c r="DC25" i="59"/>
  <c r="AR20" i="65"/>
  <c r="DD25" i="59"/>
  <c r="AS20" i="65"/>
  <c r="DE25" i="59"/>
  <c r="AU20" i="65"/>
  <c r="DF25" i="59"/>
  <c r="AV20" i="65"/>
  <c r="DG25" i="59"/>
  <c r="AX20" i="65"/>
  <c r="DH25" i="59"/>
  <c r="AY20" i="65"/>
  <c r="DI25" i="59"/>
  <c r="BA20" i="65"/>
  <c r="DJ25" i="59"/>
  <c r="BB20" i="65"/>
  <c r="DK25" i="59"/>
  <c r="BC20" i="65"/>
  <c r="DL25" i="59"/>
  <c r="BD20" i="65"/>
  <c r="DM25" i="59"/>
  <c r="BE20" i="65"/>
  <c r="DN25" i="59"/>
  <c r="BF20" i="65"/>
  <c r="DO25" i="59"/>
  <c r="BJ20" i="65"/>
  <c r="BG20" i="65"/>
  <c r="H20" i="65"/>
  <c r="K20" i="65"/>
  <c r="N20" i="65"/>
  <c r="Q20" i="65"/>
  <c r="U20" i="65"/>
  <c r="X20" i="65"/>
  <c r="AC20" i="65"/>
  <c r="AF20" i="65"/>
  <c r="AI20" i="65"/>
  <c r="AL20" i="65"/>
  <c r="AO20" i="65"/>
  <c r="BI20" i="65"/>
  <c r="BH20" i="65"/>
  <c r="E25" i="59"/>
  <c r="G20" i="65"/>
  <c r="F25" i="59"/>
  <c r="G25" i="59"/>
  <c r="J20" i="65"/>
  <c r="H25" i="59"/>
  <c r="I25" i="59"/>
  <c r="M20" i="65"/>
  <c r="J25" i="59"/>
  <c r="K25" i="59"/>
  <c r="P20" i="65"/>
  <c r="L25" i="59"/>
  <c r="M25" i="59"/>
  <c r="T20" i="65"/>
  <c r="N25" i="59"/>
  <c r="O25" i="59"/>
  <c r="W20" i="65"/>
  <c r="P25" i="59"/>
  <c r="Q25" i="59"/>
  <c r="R25" i="59"/>
  <c r="S25" i="59"/>
  <c r="AB20" i="65"/>
  <c r="T25" i="59"/>
  <c r="U25" i="59"/>
  <c r="AE20" i="65"/>
  <c r="V25" i="59"/>
  <c r="W25" i="59"/>
  <c r="AH20" i="65"/>
  <c r="X25" i="59"/>
  <c r="Y25" i="59"/>
  <c r="AK20" i="65"/>
  <c r="Z25" i="59"/>
  <c r="AA25" i="59"/>
  <c r="AN20" i="65"/>
  <c r="AB25" i="59"/>
  <c r="AC25" i="59"/>
  <c r="AQ20" i="65"/>
  <c r="AD25" i="59"/>
  <c r="AE25" i="59"/>
  <c r="AT20" i="65"/>
  <c r="AF25" i="59"/>
  <c r="AG25" i="59"/>
  <c r="AW20" i="65"/>
  <c r="AH25" i="59"/>
  <c r="AI25" i="59"/>
  <c r="AZ20" i="65"/>
  <c r="AJ25" i="59"/>
  <c r="D25" i="59"/>
  <c r="AN25" i="59"/>
  <c r="CN25" i="59"/>
  <c r="E20" i="65"/>
  <c r="CJ25" i="59"/>
  <c r="CI25" i="59"/>
  <c r="CH25" i="59"/>
  <c r="CG25" i="59"/>
  <c r="CF25" i="59"/>
  <c r="CE25" i="59"/>
  <c r="CD25" i="59"/>
  <c r="CC25" i="59"/>
  <c r="CB25" i="59"/>
  <c r="CA25" i="59"/>
  <c r="BZ25" i="59"/>
  <c r="BY25" i="59"/>
  <c r="BX25" i="59"/>
  <c r="BW25" i="59"/>
  <c r="BV25" i="59"/>
  <c r="BU25" i="59"/>
  <c r="BT25" i="59"/>
  <c r="BS25" i="59"/>
  <c r="BR25" i="59"/>
  <c r="BQ25" i="59"/>
  <c r="BP25" i="59"/>
  <c r="BO25" i="59"/>
  <c r="BN25" i="59"/>
  <c r="BM25" i="59"/>
  <c r="BL25" i="59"/>
  <c r="BK25" i="59"/>
  <c r="BJ25" i="59"/>
  <c r="BI25" i="59"/>
  <c r="BH25" i="59"/>
  <c r="BG25" i="59"/>
  <c r="BF25" i="59"/>
  <c r="BE25" i="59"/>
  <c r="BD25" i="59"/>
  <c r="BC25" i="59"/>
  <c r="BB25" i="59"/>
  <c r="BA25" i="59"/>
  <c r="AZ25" i="59"/>
  <c r="AY25" i="59"/>
  <c r="AX25" i="59"/>
  <c r="AW25" i="59"/>
  <c r="AV25" i="59"/>
  <c r="AU25" i="59"/>
  <c r="AT25" i="59"/>
  <c r="AS25" i="59"/>
  <c r="AR25" i="59"/>
  <c r="AQ25" i="59"/>
  <c r="AP25" i="59"/>
  <c r="AO25" i="59"/>
  <c r="P9" i="47"/>
  <c r="Y92" i="63"/>
  <c r="E93" i="63"/>
  <c r="F93" i="63"/>
  <c r="G93" i="63"/>
  <c r="H93" i="63"/>
  <c r="I93" i="63"/>
  <c r="J93" i="63"/>
  <c r="K93" i="63"/>
  <c r="L93" i="63"/>
  <c r="M93" i="63"/>
  <c r="N93" i="63"/>
  <c r="O93" i="63"/>
  <c r="P93" i="63"/>
  <c r="Q93" i="63"/>
  <c r="R93" i="63"/>
  <c r="S93" i="63"/>
  <c r="T93" i="63"/>
  <c r="U93" i="63"/>
  <c r="V93" i="63"/>
  <c r="W93" i="63"/>
  <c r="X93" i="63"/>
  <c r="B93" i="63"/>
  <c r="B93" i="63" a="1"/>
  <c r="Y93" i="63"/>
  <c r="E94" i="63"/>
  <c r="F94" i="63"/>
  <c r="G94" i="63"/>
  <c r="H94" i="63"/>
  <c r="I94" i="63"/>
  <c r="J94" i="63"/>
  <c r="K94" i="63"/>
  <c r="L94" i="63"/>
  <c r="M94" i="63"/>
  <c r="N94" i="63"/>
  <c r="O94" i="63"/>
  <c r="P94" i="63"/>
  <c r="Q94" i="63"/>
  <c r="R94" i="63"/>
  <c r="S94" i="63"/>
  <c r="T94" i="63"/>
  <c r="U94" i="63"/>
  <c r="V94" i="63"/>
  <c r="W94" i="63"/>
  <c r="X94" i="63"/>
  <c r="B94" i="63"/>
  <c r="B94" i="63" a="1"/>
  <c r="Y94" i="63"/>
  <c r="E95" i="63"/>
  <c r="F95" i="63"/>
  <c r="G95" i="63"/>
  <c r="H95" i="63"/>
  <c r="I95" i="63"/>
  <c r="J95" i="63"/>
  <c r="K95" i="63"/>
  <c r="L95" i="63"/>
  <c r="M95" i="63"/>
  <c r="N95" i="63"/>
  <c r="O95" i="63"/>
  <c r="P95" i="63"/>
  <c r="Q95" i="63"/>
  <c r="R95" i="63"/>
  <c r="S95" i="63"/>
  <c r="T95" i="63"/>
  <c r="U95" i="63"/>
  <c r="V95" i="63"/>
  <c r="W95" i="63"/>
  <c r="X95" i="63"/>
  <c r="B95" i="63"/>
  <c r="B95" i="63" a="1"/>
  <c r="Y95" i="63"/>
  <c r="E96" i="63"/>
  <c r="F96" i="63"/>
  <c r="G96" i="63"/>
  <c r="H96" i="63"/>
  <c r="I96" i="63"/>
  <c r="J96" i="63"/>
  <c r="K96" i="63"/>
  <c r="L96" i="63"/>
  <c r="M96" i="63"/>
  <c r="N96" i="63"/>
  <c r="O96" i="63"/>
  <c r="P96" i="63"/>
  <c r="Q96" i="63"/>
  <c r="R96" i="63"/>
  <c r="S96" i="63"/>
  <c r="T96" i="63"/>
  <c r="U96" i="63"/>
  <c r="V96" i="63"/>
  <c r="W96" i="63"/>
  <c r="X96" i="63"/>
  <c r="B96" i="63"/>
  <c r="B96" i="63" a="1"/>
  <c r="Y96" i="63"/>
  <c r="E97" i="63"/>
  <c r="F97" i="63"/>
  <c r="G97" i="63"/>
  <c r="H97" i="63"/>
  <c r="I97" i="63"/>
  <c r="J97" i="63"/>
  <c r="K97" i="63"/>
  <c r="L97" i="63"/>
  <c r="M97" i="63"/>
  <c r="N97" i="63"/>
  <c r="O97" i="63"/>
  <c r="P97" i="63"/>
  <c r="Q97" i="63"/>
  <c r="R97" i="63"/>
  <c r="S97" i="63"/>
  <c r="T97" i="63"/>
  <c r="U97" i="63"/>
  <c r="V97" i="63"/>
  <c r="W97" i="63"/>
  <c r="X97" i="63"/>
  <c r="B97" i="63"/>
  <c r="B97" i="63" a="1"/>
  <c r="Y97" i="63"/>
  <c r="E98" i="63"/>
  <c r="F98" i="63"/>
  <c r="G98" i="63"/>
  <c r="H98" i="63"/>
  <c r="I98" i="63"/>
  <c r="J98" i="63"/>
  <c r="K98" i="63"/>
  <c r="L98" i="63"/>
  <c r="M98" i="63"/>
  <c r="N98" i="63"/>
  <c r="O98" i="63"/>
  <c r="P98" i="63"/>
  <c r="Q98" i="63"/>
  <c r="R98" i="63"/>
  <c r="S98" i="63"/>
  <c r="T98" i="63"/>
  <c r="U98" i="63"/>
  <c r="V98" i="63"/>
  <c r="W98" i="63"/>
  <c r="X98" i="63"/>
  <c r="B98" i="63"/>
  <c r="B98" i="63" a="1"/>
  <c r="Y98" i="63"/>
  <c r="E99" i="63"/>
  <c r="F99" i="63"/>
  <c r="G99" i="63"/>
  <c r="H99" i="63"/>
  <c r="I99" i="63"/>
  <c r="J99" i="63"/>
  <c r="K99" i="63"/>
  <c r="L99" i="63"/>
  <c r="M99" i="63"/>
  <c r="N99" i="63"/>
  <c r="O99" i="63"/>
  <c r="P99" i="63"/>
  <c r="Q99" i="63"/>
  <c r="R99" i="63"/>
  <c r="S99" i="63"/>
  <c r="T99" i="63"/>
  <c r="U99" i="63"/>
  <c r="V99" i="63"/>
  <c r="W99" i="63"/>
  <c r="X99" i="63"/>
  <c r="B99" i="63"/>
  <c r="B99" i="63" a="1"/>
  <c r="Y99" i="63"/>
  <c r="E100" i="63"/>
  <c r="F100" i="63"/>
  <c r="G100" i="63"/>
  <c r="H100" i="63"/>
  <c r="I100" i="63"/>
  <c r="J100" i="63"/>
  <c r="K100" i="63"/>
  <c r="L100" i="63"/>
  <c r="M100" i="63"/>
  <c r="N100" i="63"/>
  <c r="O100" i="63"/>
  <c r="P100" i="63"/>
  <c r="Q100" i="63"/>
  <c r="R100" i="63"/>
  <c r="S100" i="63"/>
  <c r="T100" i="63"/>
  <c r="U100" i="63"/>
  <c r="V100" i="63"/>
  <c r="W100" i="63"/>
  <c r="X100" i="63"/>
  <c r="B100" i="63"/>
  <c r="B100" i="63" a="1"/>
  <c r="Y100" i="63"/>
  <c r="E101" i="63"/>
  <c r="F101" i="63"/>
  <c r="G101" i="63"/>
  <c r="H101" i="63"/>
  <c r="I101" i="63"/>
  <c r="J101" i="63"/>
  <c r="K101" i="63"/>
  <c r="L101" i="63"/>
  <c r="M101" i="63"/>
  <c r="N101" i="63"/>
  <c r="O101" i="63"/>
  <c r="P101" i="63"/>
  <c r="Q101" i="63"/>
  <c r="R101" i="63"/>
  <c r="S101" i="63"/>
  <c r="T101" i="63"/>
  <c r="U101" i="63"/>
  <c r="V101" i="63"/>
  <c r="W101" i="63"/>
  <c r="X101" i="63"/>
  <c r="B101" i="63"/>
  <c r="B101" i="63" a="1"/>
  <c r="Y101" i="63"/>
  <c r="E102" i="63"/>
  <c r="F102" i="63"/>
  <c r="G102" i="63"/>
  <c r="H102" i="63"/>
  <c r="I102" i="63"/>
  <c r="J102" i="63"/>
  <c r="K102" i="63"/>
  <c r="L102" i="63"/>
  <c r="M102" i="63"/>
  <c r="N102" i="63"/>
  <c r="O102" i="63"/>
  <c r="P102" i="63"/>
  <c r="Q102" i="63"/>
  <c r="R102" i="63"/>
  <c r="S102" i="63"/>
  <c r="T102" i="63"/>
  <c r="U102" i="63"/>
  <c r="V102" i="63"/>
  <c r="W102" i="63"/>
  <c r="X102" i="63"/>
  <c r="B102" i="63"/>
  <c r="B102" i="63" a="1"/>
  <c r="Y102" i="63"/>
  <c r="E103" i="63"/>
  <c r="F103" i="63"/>
  <c r="G103" i="63"/>
  <c r="H103" i="63"/>
  <c r="I103" i="63"/>
  <c r="J103" i="63"/>
  <c r="K103" i="63"/>
  <c r="L103" i="63"/>
  <c r="M103" i="63"/>
  <c r="N103" i="63"/>
  <c r="O103" i="63"/>
  <c r="P103" i="63"/>
  <c r="Q103" i="63"/>
  <c r="R103" i="63"/>
  <c r="S103" i="63"/>
  <c r="T103" i="63"/>
  <c r="U103" i="63"/>
  <c r="V103" i="63"/>
  <c r="W103" i="63"/>
  <c r="X103" i="63"/>
  <c r="B103" i="63"/>
  <c r="B103" i="63" a="1"/>
  <c r="Y103" i="63"/>
  <c r="E104" i="63"/>
  <c r="F104" i="63"/>
  <c r="G104" i="63"/>
  <c r="H104" i="63"/>
  <c r="I104" i="63"/>
  <c r="J104" i="63"/>
  <c r="K104" i="63"/>
  <c r="L104" i="63"/>
  <c r="M104" i="63"/>
  <c r="N104" i="63"/>
  <c r="O104" i="63"/>
  <c r="P104" i="63"/>
  <c r="Q104" i="63"/>
  <c r="R104" i="63"/>
  <c r="S104" i="63"/>
  <c r="T104" i="63"/>
  <c r="U104" i="63"/>
  <c r="V104" i="63"/>
  <c r="W104" i="63"/>
  <c r="X104" i="63"/>
  <c r="B104" i="63"/>
  <c r="B104" i="63" a="1"/>
  <c r="Y104" i="63"/>
  <c r="E105" i="63"/>
  <c r="F105" i="63"/>
  <c r="G105" i="63"/>
  <c r="H105" i="63"/>
  <c r="I105" i="63"/>
  <c r="J105" i="63"/>
  <c r="K105" i="63"/>
  <c r="L105" i="63"/>
  <c r="M105" i="63"/>
  <c r="N105" i="63"/>
  <c r="O105" i="63"/>
  <c r="P105" i="63"/>
  <c r="Q105" i="63"/>
  <c r="R105" i="63"/>
  <c r="S105" i="63"/>
  <c r="T105" i="63"/>
  <c r="U105" i="63"/>
  <c r="V105" i="63"/>
  <c r="W105" i="63"/>
  <c r="X105" i="63"/>
  <c r="B105" i="63"/>
  <c r="B105" i="63" a="1"/>
  <c r="Y105" i="63"/>
  <c r="E106" i="63"/>
  <c r="F106" i="63"/>
  <c r="G106" i="63"/>
  <c r="H106" i="63"/>
  <c r="I106" i="63"/>
  <c r="J106" i="63"/>
  <c r="K106" i="63"/>
  <c r="L106" i="63"/>
  <c r="M106" i="63"/>
  <c r="N106" i="63"/>
  <c r="O106" i="63"/>
  <c r="P106" i="63"/>
  <c r="Q106" i="63"/>
  <c r="R106" i="63"/>
  <c r="S106" i="63"/>
  <c r="T106" i="63"/>
  <c r="U106" i="63"/>
  <c r="V106" i="63"/>
  <c r="W106" i="63"/>
  <c r="X106" i="63"/>
  <c r="B106" i="63"/>
  <c r="B106" i="63" a="1"/>
  <c r="Y106" i="63"/>
  <c r="E107" i="63"/>
  <c r="F107" i="63"/>
  <c r="G107" i="63"/>
  <c r="H107" i="63"/>
  <c r="I107" i="63"/>
  <c r="J107" i="63"/>
  <c r="K107" i="63"/>
  <c r="L107" i="63"/>
  <c r="M107" i="63"/>
  <c r="N107" i="63"/>
  <c r="O107" i="63"/>
  <c r="P107" i="63"/>
  <c r="Q107" i="63"/>
  <c r="R107" i="63"/>
  <c r="S107" i="63"/>
  <c r="T107" i="63"/>
  <c r="U107" i="63"/>
  <c r="V107" i="63"/>
  <c r="W107" i="63"/>
  <c r="X107" i="63"/>
  <c r="B107" i="63"/>
  <c r="B107" i="63" a="1"/>
  <c r="Y107" i="63"/>
  <c r="E108" i="63"/>
  <c r="F108" i="63"/>
  <c r="G108" i="63"/>
  <c r="H108" i="63"/>
  <c r="I108" i="63"/>
  <c r="J108" i="63"/>
  <c r="K108" i="63"/>
  <c r="L108" i="63"/>
  <c r="M108" i="63"/>
  <c r="N108" i="63"/>
  <c r="O108" i="63"/>
  <c r="P108" i="63"/>
  <c r="Q108" i="63"/>
  <c r="R108" i="63"/>
  <c r="S108" i="63"/>
  <c r="T108" i="63"/>
  <c r="U108" i="63"/>
  <c r="V108" i="63"/>
  <c r="W108" i="63"/>
  <c r="X108" i="63"/>
  <c r="B108" i="63"/>
  <c r="B108" i="63" a="1"/>
  <c r="Y108" i="63"/>
  <c r="E109" i="63"/>
  <c r="F109" i="63"/>
  <c r="G109" i="63"/>
  <c r="H109" i="63"/>
  <c r="I109" i="63"/>
  <c r="J109" i="63"/>
  <c r="K109" i="63"/>
  <c r="L109" i="63"/>
  <c r="M109" i="63"/>
  <c r="N109" i="63"/>
  <c r="O109" i="63"/>
  <c r="P109" i="63"/>
  <c r="Q109" i="63"/>
  <c r="R109" i="63"/>
  <c r="S109" i="63"/>
  <c r="T109" i="63"/>
  <c r="U109" i="63"/>
  <c r="V109" i="63"/>
  <c r="W109" i="63"/>
  <c r="X109" i="63"/>
  <c r="B109" i="63"/>
  <c r="B109" i="63" a="1"/>
  <c r="Y109" i="63"/>
  <c r="E110" i="63"/>
  <c r="F110" i="63"/>
  <c r="G110" i="63"/>
  <c r="H110" i="63"/>
  <c r="I110" i="63"/>
  <c r="J110" i="63"/>
  <c r="K110" i="63"/>
  <c r="L110" i="63"/>
  <c r="M110" i="63"/>
  <c r="N110" i="63"/>
  <c r="O110" i="63"/>
  <c r="P110" i="63"/>
  <c r="Q110" i="63"/>
  <c r="R110" i="63"/>
  <c r="S110" i="63"/>
  <c r="T110" i="63"/>
  <c r="U110" i="63"/>
  <c r="V110" i="63"/>
  <c r="W110" i="63"/>
  <c r="X110" i="63"/>
  <c r="B110" i="63"/>
  <c r="B110" i="63" a="1"/>
  <c r="Y110" i="63"/>
  <c r="E111" i="63"/>
  <c r="F111" i="63"/>
  <c r="G111" i="63"/>
  <c r="H111" i="63"/>
  <c r="I111" i="63"/>
  <c r="J111" i="63"/>
  <c r="K111" i="63"/>
  <c r="L111" i="63"/>
  <c r="M111" i="63"/>
  <c r="N111" i="63"/>
  <c r="O111" i="63"/>
  <c r="P111" i="63"/>
  <c r="Q111" i="63"/>
  <c r="R111" i="63"/>
  <c r="S111" i="63"/>
  <c r="T111" i="63"/>
  <c r="U111" i="63"/>
  <c r="V111" i="63"/>
  <c r="W111" i="63"/>
  <c r="X111" i="63"/>
  <c r="B111" i="63"/>
  <c r="B111" i="63" a="1"/>
  <c r="Y111" i="63"/>
  <c r="E112" i="63"/>
  <c r="F112" i="63"/>
  <c r="G112" i="63"/>
  <c r="H112" i="63"/>
  <c r="I112" i="63"/>
  <c r="J112" i="63"/>
  <c r="K112" i="63"/>
  <c r="L112" i="63"/>
  <c r="M112" i="63"/>
  <c r="N112" i="63"/>
  <c r="O112" i="63"/>
  <c r="P112" i="63"/>
  <c r="Q112" i="63"/>
  <c r="R112" i="63"/>
  <c r="S112" i="63"/>
  <c r="T112" i="63"/>
  <c r="U112" i="63"/>
  <c r="V112" i="63"/>
  <c r="W112" i="63"/>
  <c r="X112" i="63"/>
  <c r="B112" i="63"/>
  <c r="B112" i="63" a="1"/>
  <c r="Y112" i="63"/>
  <c r="AM59" i="65"/>
  <c r="AN59" i="65"/>
  <c r="AO59" i="65"/>
  <c r="AP59" i="65"/>
  <c r="AQ59" i="65"/>
  <c r="AR59" i="65"/>
  <c r="AS59" i="65"/>
  <c r="AT59" i="65"/>
  <c r="AU59" i="65"/>
  <c r="AV59" i="65"/>
  <c r="AW59" i="65"/>
  <c r="AX59" i="65"/>
  <c r="AY59" i="65"/>
  <c r="AZ59" i="65"/>
  <c r="BA59" i="65"/>
  <c r="BB59" i="65"/>
  <c r="BC59" i="65"/>
  <c r="BD59" i="65"/>
  <c r="BE59" i="65"/>
  <c r="BF59" i="65"/>
  <c r="BG59" i="65"/>
  <c r="BH59" i="65"/>
  <c r="BI59" i="65"/>
  <c r="BJ59" i="65"/>
  <c r="BK59" i="65"/>
  <c r="F60" i="65"/>
  <c r="G60" i="65"/>
  <c r="H60" i="65"/>
  <c r="I60" i="65"/>
  <c r="J60" i="65"/>
  <c r="K60" i="65"/>
  <c r="L60" i="65"/>
  <c r="M60" i="65"/>
  <c r="N60" i="65"/>
  <c r="O60" i="65"/>
  <c r="X92" i="63"/>
  <c r="W92" i="63"/>
  <c r="V92" i="63"/>
  <c r="U92" i="63"/>
  <c r="T92" i="63"/>
  <c r="S92" i="63"/>
  <c r="R92" i="63"/>
  <c r="Q92" i="63"/>
  <c r="P92" i="63"/>
  <c r="O92" i="63"/>
  <c r="N92" i="63"/>
  <c r="M92" i="63"/>
  <c r="L92" i="63"/>
  <c r="K92" i="63"/>
  <c r="J92" i="63"/>
  <c r="I92" i="63"/>
  <c r="H92" i="63"/>
  <c r="G92" i="63"/>
  <c r="F92" i="63"/>
  <c r="B92" i="63"/>
  <c r="B92" i="63" a="1"/>
  <c r="E92" i="63"/>
  <c r="Y91" i="63"/>
  <c r="B91" i="63"/>
  <c r="X91" i="63"/>
  <c r="W91" i="63"/>
  <c r="V91" i="63"/>
  <c r="U91" i="63"/>
  <c r="T91" i="63"/>
  <c r="M87" i="63"/>
  <c r="S91" i="63"/>
  <c r="R91" i="63"/>
  <c r="Q91" i="63"/>
  <c r="P91" i="63"/>
  <c r="O91" i="63"/>
  <c r="N91" i="63"/>
  <c r="M91" i="63"/>
  <c r="L91" i="63"/>
  <c r="K91" i="63"/>
  <c r="J91" i="63"/>
  <c r="I91" i="63"/>
  <c r="H91" i="63"/>
  <c r="G91" i="63"/>
  <c r="F91" i="63"/>
  <c r="B91" i="63" a="1"/>
  <c r="E91" i="63"/>
  <c r="Y90" i="63"/>
  <c r="B90" i="63"/>
  <c r="X90" i="63"/>
  <c r="W90" i="63"/>
  <c r="V90" i="63"/>
  <c r="U90" i="63"/>
  <c r="T90" i="63"/>
  <c r="S90" i="63"/>
  <c r="R90" i="63"/>
  <c r="Q90" i="63"/>
  <c r="P90" i="63"/>
  <c r="O90" i="63"/>
  <c r="N90" i="63"/>
  <c r="M90" i="63"/>
  <c r="L90" i="63"/>
  <c r="K90" i="63"/>
  <c r="J90" i="63"/>
  <c r="I90" i="63"/>
  <c r="H90" i="63"/>
  <c r="G90" i="63"/>
  <c r="F90" i="63"/>
  <c r="B90" i="63" a="1"/>
  <c r="E90" i="63"/>
  <c r="Y89" i="63"/>
  <c r="B89" i="63"/>
  <c r="X89" i="63"/>
  <c r="W89" i="63"/>
  <c r="V89" i="63"/>
  <c r="U89" i="63"/>
  <c r="T89" i="63"/>
  <c r="S89" i="63"/>
  <c r="R89" i="63"/>
  <c r="Q89" i="63"/>
  <c r="P89" i="63"/>
  <c r="O89" i="63"/>
  <c r="N89" i="63"/>
  <c r="M89" i="63"/>
  <c r="L89" i="63"/>
  <c r="K89" i="63"/>
  <c r="J89" i="63"/>
  <c r="I89" i="63"/>
  <c r="H89" i="63"/>
  <c r="G89" i="63"/>
  <c r="F89" i="63"/>
  <c r="B89" i="63" a="1"/>
  <c r="E89" i="63"/>
  <c r="Y88" i="63"/>
  <c r="B88" i="63"/>
  <c r="X88" i="63"/>
  <c r="W88" i="63"/>
  <c r="V88" i="63"/>
  <c r="U88" i="63"/>
  <c r="T88" i="63"/>
  <c r="S88" i="63"/>
  <c r="R88" i="63"/>
  <c r="Q88" i="63"/>
  <c r="P88" i="63"/>
  <c r="O88" i="63"/>
  <c r="N88" i="63"/>
  <c r="M88" i="63"/>
  <c r="L88" i="63"/>
  <c r="K88" i="63"/>
  <c r="J88" i="63"/>
  <c r="I88" i="63"/>
  <c r="H88" i="63"/>
  <c r="G88" i="63"/>
  <c r="F88" i="63"/>
  <c r="B88" i="63" a="1"/>
  <c r="E88" i="63"/>
  <c r="Y87" i="63"/>
  <c r="B87" i="63"/>
  <c r="X87" i="63"/>
  <c r="W87" i="63"/>
  <c r="V87" i="63"/>
  <c r="U87" i="63"/>
  <c r="T87" i="63"/>
  <c r="S87" i="63"/>
  <c r="R87" i="63"/>
  <c r="Q87" i="63"/>
  <c r="P87" i="63"/>
  <c r="O87" i="63"/>
  <c r="N87" i="63"/>
  <c r="E41" i="63"/>
  <c r="B41" i="63"/>
  <c r="F41" i="63"/>
  <c r="G41" i="63"/>
  <c r="H41" i="63"/>
  <c r="I41" i="63"/>
  <c r="J41" i="63"/>
  <c r="K41" i="63"/>
  <c r="L41" i="63"/>
  <c r="M41" i="63"/>
  <c r="N41" i="63"/>
  <c r="O41" i="63"/>
  <c r="P41" i="63"/>
  <c r="Q41" i="63"/>
  <c r="R41" i="63"/>
  <c r="S41" i="63"/>
  <c r="T41" i="63"/>
  <c r="U41" i="63"/>
  <c r="V41" i="63"/>
  <c r="W41" i="63"/>
  <c r="X41" i="63"/>
  <c r="Y41" i="63"/>
  <c r="E42" i="63"/>
  <c r="F42" i="63"/>
  <c r="G42" i="63"/>
  <c r="H42" i="63"/>
  <c r="I42" i="63"/>
  <c r="J42" i="63"/>
  <c r="K42" i="63"/>
  <c r="L42" i="63"/>
  <c r="M42" i="63"/>
  <c r="N42" i="63"/>
  <c r="O42" i="63"/>
  <c r="P42" i="63"/>
  <c r="Q42" i="63"/>
  <c r="R42" i="63"/>
  <c r="S42" i="63"/>
  <c r="T42" i="63"/>
  <c r="U42" i="63"/>
  <c r="V42" i="63"/>
  <c r="W42" i="63"/>
  <c r="X42" i="63"/>
  <c r="Y42" i="63"/>
  <c r="E43" i="63"/>
  <c r="F43" i="63"/>
  <c r="G43" i="63"/>
  <c r="H43" i="63"/>
  <c r="I43" i="63"/>
  <c r="J43" i="63"/>
  <c r="K43" i="63"/>
  <c r="L43" i="63"/>
  <c r="M43" i="63"/>
  <c r="N43" i="63"/>
  <c r="O43" i="63"/>
  <c r="P43" i="63"/>
  <c r="Q43" i="63"/>
  <c r="R43" i="63"/>
  <c r="S43" i="63"/>
  <c r="T43" i="63"/>
  <c r="U43" i="63"/>
  <c r="V43" i="63"/>
  <c r="R70" i="63"/>
  <c r="S70" i="63"/>
  <c r="T70" i="63"/>
  <c r="U70" i="63"/>
  <c r="V70" i="63"/>
  <c r="W70" i="63"/>
  <c r="X70" i="63"/>
  <c r="B70" i="63"/>
  <c r="Y70" i="63"/>
  <c r="E71" i="63"/>
  <c r="F71" i="63"/>
  <c r="G71" i="63"/>
  <c r="H71" i="63"/>
  <c r="I71" i="63"/>
  <c r="J71" i="63"/>
  <c r="K71" i="63"/>
  <c r="L71" i="63"/>
  <c r="M71" i="63"/>
  <c r="N71" i="63"/>
  <c r="O71" i="63"/>
  <c r="P71" i="63"/>
  <c r="Q71" i="63"/>
  <c r="R71" i="63"/>
  <c r="S71" i="63"/>
  <c r="T71" i="63"/>
  <c r="U71" i="63"/>
  <c r="V71" i="63"/>
  <c r="W71" i="63"/>
  <c r="X71" i="63"/>
  <c r="B71" i="63"/>
  <c r="B71" i="63" a="1"/>
  <c r="Y71" i="63"/>
  <c r="E72" i="63"/>
  <c r="F72" i="63"/>
  <c r="G72" i="63"/>
  <c r="H72" i="63"/>
  <c r="I72" i="63"/>
  <c r="J72" i="63"/>
  <c r="K72" i="63"/>
  <c r="L72" i="63"/>
  <c r="M72" i="63"/>
  <c r="N72" i="63"/>
  <c r="O72" i="63"/>
  <c r="P72" i="63"/>
  <c r="Q72" i="63"/>
  <c r="R72" i="63"/>
  <c r="S72" i="63"/>
  <c r="T72" i="63"/>
  <c r="U72" i="63"/>
  <c r="V72" i="63"/>
  <c r="W72" i="63"/>
  <c r="X72" i="63"/>
  <c r="B72" i="63"/>
  <c r="B72" i="63" a="1"/>
  <c r="Y72" i="63"/>
  <c r="E73" i="63"/>
  <c r="F73" i="63"/>
  <c r="G73" i="63"/>
  <c r="H73" i="63"/>
  <c r="I73" i="63"/>
  <c r="J73" i="63"/>
  <c r="K73" i="63"/>
  <c r="L73" i="63"/>
  <c r="M73" i="63"/>
  <c r="N73" i="63"/>
  <c r="O73" i="63"/>
  <c r="P73" i="63"/>
  <c r="Q73" i="63"/>
  <c r="R73" i="63"/>
  <c r="S73" i="63"/>
  <c r="T73" i="63"/>
  <c r="U73" i="63"/>
  <c r="V73" i="63"/>
  <c r="W73" i="63"/>
  <c r="X73" i="63"/>
  <c r="B73" i="63"/>
  <c r="B73" i="63" a="1"/>
  <c r="Y73" i="63"/>
  <c r="E74" i="63"/>
  <c r="F74" i="63"/>
  <c r="G74" i="63"/>
  <c r="H74" i="63"/>
  <c r="I74" i="63"/>
  <c r="J74" i="63"/>
  <c r="K74" i="63"/>
  <c r="L74" i="63"/>
  <c r="M74" i="63"/>
  <c r="N74" i="63"/>
  <c r="O74" i="63"/>
  <c r="P74" i="63"/>
  <c r="Q74" i="63"/>
  <c r="R74" i="63"/>
  <c r="S74" i="63"/>
  <c r="T74" i="63"/>
  <c r="U74" i="63"/>
  <c r="V74" i="63"/>
  <c r="W74" i="63"/>
  <c r="X74" i="63"/>
  <c r="B74" i="63"/>
  <c r="B74" i="63" a="1"/>
  <c r="Y74" i="63"/>
  <c r="E75" i="63"/>
  <c r="F75" i="63"/>
  <c r="G75" i="63"/>
  <c r="H75" i="63"/>
  <c r="I75" i="63"/>
  <c r="J75" i="63"/>
  <c r="K75" i="63"/>
  <c r="L75" i="63"/>
  <c r="M75" i="63"/>
  <c r="N75" i="63"/>
  <c r="O75" i="63"/>
  <c r="P75" i="63"/>
  <c r="Q75" i="63"/>
  <c r="R75" i="63"/>
  <c r="S75" i="63"/>
  <c r="T75" i="63"/>
  <c r="U75" i="63"/>
  <c r="V75" i="63"/>
  <c r="W75" i="63"/>
  <c r="X75" i="63"/>
  <c r="B75" i="63"/>
  <c r="B75" i="63" a="1"/>
  <c r="Y75" i="63"/>
  <c r="E76" i="63"/>
  <c r="F76" i="63"/>
  <c r="G76" i="63"/>
  <c r="H76" i="63"/>
  <c r="I76" i="63"/>
  <c r="J76" i="63"/>
  <c r="K76" i="63"/>
  <c r="L76" i="63"/>
  <c r="M76" i="63"/>
  <c r="N76" i="63"/>
  <c r="O76" i="63"/>
  <c r="P76" i="63"/>
  <c r="Q76" i="63"/>
  <c r="R76" i="63"/>
  <c r="S76" i="63"/>
  <c r="T76" i="63"/>
  <c r="U76" i="63"/>
  <c r="V76" i="63"/>
  <c r="W76" i="63"/>
  <c r="X76" i="63"/>
  <c r="B76" i="63"/>
  <c r="B76" i="63" a="1"/>
  <c r="Y76" i="63"/>
  <c r="E77" i="63"/>
  <c r="F77" i="63"/>
  <c r="G77" i="63"/>
  <c r="H77" i="63"/>
  <c r="I77" i="63"/>
  <c r="J77" i="63"/>
  <c r="K77" i="63"/>
  <c r="L77" i="63"/>
  <c r="M77" i="63"/>
  <c r="N77" i="63"/>
  <c r="O77" i="63"/>
  <c r="P77" i="63"/>
  <c r="Q77" i="63"/>
  <c r="R77" i="63"/>
  <c r="S77" i="63"/>
  <c r="T77" i="63"/>
  <c r="U77" i="63"/>
  <c r="V77" i="63"/>
  <c r="W77" i="63"/>
  <c r="X77" i="63"/>
  <c r="B77" i="63"/>
  <c r="B77" i="63" a="1"/>
  <c r="Y77" i="63"/>
  <c r="E78" i="63"/>
  <c r="F78" i="63"/>
  <c r="G78" i="63"/>
  <c r="H78" i="63"/>
  <c r="I78" i="63"/>
  <c r="J78" i="63"/>
  <c r="K78" i="63"/>
  <c r="L78" i="63"/>
  <c r="M78" i="63"/>
  <c r="N78" i="63"/>
  <c r="O78" i="63"/>
  <c r="P78" i="63"/>
  <c r="Q78" i="63"/>
  <c r="R78" i="63"/>
  <c r="S78" i="63"/>
  <c r="T78" i="63"/>
  <c r="U78" i="63"/>
  <c r="V78" i="63"/>
  <c r="W78" i="63"/>
  <c r="X78" i="63"/>
  <c r="B78" i="63"/>
  <c r="B78" i="63" a="1"/>
  <c r="Y78" i="63"/>
  <c r="E79" i="63"/>
  <c r="F79" i="63"/>
  <c r="G79" i="63"/>
  <c r="H79" i="63"/>
  <c r="I79" i="63"/>
  <c r="J79" i="63"/>
  <c r="K79" i="63"/>
  <c r="L79" i="63"/>
  <c r="M79" i="63"/>
  <c r="N79" i="63"/>
  <c r="O79" i="63"/>
  <c r="P79" i="63"/>
  <c r="Q79" i="63"/>
  <c r="R79" i="63"/>
  <c r="S79" i="63"/>
  <c r="T79" i="63"/>
  <c r="U79" i="63"/>
  <c r="V79" i="63"/>
  <c r="W79" i="63"/>
  <c r="X79" i="63"/>
  <c r="B79" i="63"/>
  <c r="B79" i="63" a="1"/>
  <c r="Y79" i="63"/>
  <c r="E80" i="63"/>
  <c r="F80" i="63"/>
  <c r="G80" i="63"/>
  <c r="H80" i="63"/>
  <c r="I80" i="63"/>
  <c r="J80" i="63"/>
  <c r="K80" i="63"/>
  <c r="L80" i="63"/>
  <c r="M80" i="63"/>
  <c r="N80" i="63"/>
  <c r="O80" i="63"/>
  <c r="P80" i="63"/>
  <c r="Q80" i="63"/>
  <c r="R80" i="63"/>
  <c r="S80" i="63"/>
  <c r="T80" i="63"/>
  <c r="U80" i="63"/>
  <c r="V80" i="63"/>
  <c r="W80" i="63"/>
  <c r="X80" i="63"/>
  <c r="B80" i="63"/>
  <c r="B80" i="63" a="1"/>
  <c r="Y80" i="63"/>
  <c r="E81" i="63"/>
  <c r="F81" i="63"/>
  <c r="G81" i="63"/>
  <c r="H81" i="63"/>
  <c r="I81" i="63"/>
  <c r="J81" i="63"/>
  <c r="K81" i="63"/>
  <c r="L81" i="63"/>
  <c r="M81" i="63"/>
  <c r="N81" i="63"/>
  <c r="O81" i="63"/>
  <c r="P81" i="63"/>
  <c r="Q81" i="63"/>
  <c r="R81" i="63"/>
  <c r="S81" i="63"/>
  <c r="T81" i="63"/>
  <c r="U81" i="63"/>
  <c r="V81" i="63"/>
  <c r="W81" i="63"/>
  <c r="X81" i="63"/>
  <c r="B81" i="63"/>
  <c r="B81" i="63" a="1"/>
  <c r="Y81" i="63"/>
  <c r="E82" i="63"/>
  <c r="F82" i="63"/>
  <c r="G82" i="63"/>
  <c r="H82" i="63"/>
  <c r="I82" i="63"/>
  <c r="J82" i="63"/>
  <c r="K82" i="63"/>
  <c r="L82" i="63"/>
  <c r="M82" i="63"/>
  <c r="N82" i="63"/>
  <c r="O82" i="63"/>
  <c r="P82" i="63"/>
  <c r="Q82" i="63"/>
  <c r="R82" i="63"/>
  <c r="S82" i="63"/>
  <c r="T82" i="63"/>
  <c r="U82" i="63"/>
  <c r="V82" i="63"/>
  <c r="W82" i="63"/>
  <c r="X82" i="63"/>
  <c r="B82" i="63"/>
  <c r="B82" i="63" a="1"/>
  <c r="Y82" i="63"/>
  <c r="E83" i="63"/>
  <c r="F83" i="63"/>
  <c r="G83" i="63"/>
  <c r="H83" i="63"/>
  <c r="I83" i="63"/>
  <c r="J83" i="63"/>
  <c r="K83" i="63"/>
  <c r="L83" i="63"/>
  <c r="M83" i="63"/>
  <c r="N83" i="63"/>
  <c r="O83" i="63"/>
  <c r="P83" i="63"/>
  <c r="Q83" i="63"/>
  <c r="R83" i="63"/>
  <c r="S83" i="63"/>
  <c r="T83" i="63"/>
  <c r="U83" i="63"/>
  <c r="V83" i="63"/>
  <c r="W83" i="63"/>
  <c r="X83" i="63"/>
  <c r="B83" i="63"/>
  <c r="B83" i="63" a="1"/>
  <c r="Y83" i="63"/>
  <c r="E84" i="63"/>
  <c r="F84" i="63"/>
  <c r="G84" i="63"/>
  <c r="H84" i="63"/>
  <c r="I84" i="63"/>
  <c r="J84" i="63"/>
  <c r="K84" i="63"/>
  <c r="L84" i="63"/>
  <c r="M84" i="63"/>
  <c r="N84" i="63"/>
  <c r="O84" i="63"/>
  <c r="P84" i="63"/>
  <c r="Q84" i="63"/>
  <c r="R84" i="63"/>
  <c r="S84" i="63"/>
  <c r="T84" i="63"/>
  <c r="U84" i="63"/>
  <c r="V84" i="63"/>
  <c r="W84" i="63"/>
  <c r="X84" i="63"/>
  <c r="B84" i="63"/>
  <c r="B84" i="63" a="1"/>
  <c r="Y84" i="63"/>
  <c r="E85" i="63"/>
  <c r="F85" i="63"/>
  <c r="G85" i="63"/>
  <c r="H85" i="63"/>
  <c r="I85" i="63"/>
  <c r="J85" i="63"/>
  <c r="K85" i="63"/>
  <c r="L85" i="63"/>
  <c r="M85" i="63"/>
  <c r="N85" i="63"/>
  <c r="O85" i="63"/>
  <c r="P85" i="63"/>
  <c r="Q85" i="63"/>
  <c r="R85" i="63"/>
  <c r="S85" i="63"/>
  <c r="T85" i="63"/>
  <c r="U85" i="63"/>
  <c r="V85" i="63"/>
  <c r="W85" i="63"/>
  <c r="W43" i="63"/>
  <c r="X43" i="63"/>
  <c r="Y43" i="63"/>
  <c r="E44" i="63"/>
  <c r="F44" i="63"/>
  <c r="G44" i="63"/>
  <c r="H44" i="63"/>
  <c r="I44" i="63"/>
  <c r="J44" i="63"/>
  <c r="K44" i="63"/>
  <c r="L44" i="63"/>
  <c r="M44" i="63"/>
  <c r="N44" i="63"/>
  <c r="O44" i="63"/>
  <c r="P44" i="63"/>
  <c r="Q44" i="63"/>
  <c r="R44" i="63"/>
  <c r="S44" i="63"/>
  <c r="T44" i="63"/>
  <c r="U44" i="63"/>
  <c r="V44" i="63"/>
  <c r="W44" i="63"/>
  <c r="X44" i="63"/>
  <c r="Y44" i="63"/>
  <c r="E45" i="63"/>
  <c r="F45" i="63"/>
  <c r="G45" i="63"/>
  <c r="H45" i="63"/>
  <c r="I45" i="63"/>
  <c r="J45" i="63"/>
  <c r="K45" i="63"/>
  <c r="L45" i="63"/>
  <c r="M45" i="63"/>
  <c r="N45" i="63"/>
  <c r="O45" i="63"/>
  <c r="P45" i="63"/>
  <c r="Q45" i="63"/>
  <c r="R45" i="63"/>
  <c r="S45" i="63"/>
  <c r="T45" i="63"/>
  <c r="U45" i="63"/>
  <c r="V45" i="63"/>
  <c r="W45" i="63"/>
  <c r="X45" i="63"/>
  <c r="Y45" i="63"/>
  <c r="E46" i="63"/>
  <c r="F46" i="63"/>
  <c r="G46" i="63"/>
  <c r="H46" i="63"/>
  <c r="I46" i="63"/>
  <c r="J46" i="63"/>
  <c r="K46" i="63"/>
  <c r="L46" i="63"/>
  <c r="M46" i="63"/>
  <c r="N46" i="63"/>
  <c r="O46" i="63"/>
  <c r="P46" i="63"/>
  <c r="Q46" i="63"/>
  <c r="R46" i="63"/>
  <c r="S46" i="63"/>
  <c r="T46" i="63"/>
  <c r="U46" i="63"/>
  <c r="V46" i="63"/>
  <c r="W46" i="63"/>
  <c r="X46" i="63"/>
  <c r="Y46" i="63"/>
  <c r="E47" i="63"/>
  <c r="F47" i="63"/>
  <c r="G47" i="63"/>
  <c r="H47" i="63"/>
  <c r="I47" i="63"/>
  <c r="J47" i="63"/>
  <c r="K47" i="63"/>
  <c r="L47" i="63"/>
  <c r="M47" i="63"/>
  <c r="N47" i="63"/>
  <c r="O47" i="63"/>
  <c r="P47" i="63"/>
  <c r="Q47" i="63"/>
  <c r="R47" i="63"/>
  <c r="S47" i="63"/>
  <c r="T47" i="63"/>
  <c r="U47" i="63"/>
  <c r="V47" i="63"/>
  <c r="W47" i="63"/>
  <c r="X47" i="63"/>
  <c r="Y47" i="63"/>
  <c r="E48" i="63"/>
  <c r="F48" i="63"/>
  <c r="G48" i="63"/>
  <c r="H48" i="63"/>
  <c r="I48" i="63"/>
  <c r="J48" i="63"/>
  <c r="K48" i="63"/>
  <c r="L48" i="63"/>
  <c r="M48" i="63"/>
  <c r="N48" i="63"/>
  <c r="O48" i="63"/>
  <c r="P48" i="63"/>
  <c r="Q48" i="63"/>
  <c r="R48" i="63"/>
  <c r="S48" i="63"/>
  <c r="T48" i="63"/>
  <c r="U48" i="63"/>
  <c r="V48" i="63"/>
  <c r="W48" i="63"/>
  <c r="X48" i="63"/>
  <c r="Y48" i="63"/>
  <c r="E49" i="63"/>
  <c r="F49" i="63"/>
  <c r="G49" i="63"/>
  <c r="H49" i="63"/>
  <c r="I49" i="63"/>
  <c r="J49" i="63"/>
  <c r="K49" i="63"/>
  <c r="L49" i="63"/>
  <c r="M49" i="63"/>
  <c r="N49" i="63"/>
  <c r="O49" i="63"/>
  <c r="P49" i="63"/>
  <c r="Q49" i="63"/>
  <c r="R49" i="63"/>
  <c r="S49" i="63"/>
  <c r="E46" i="59"/>
  <c r="BH41" i="65"/>
  <c r="BH42" i="65"/>
  <c r="AW60" i="65"/>
  <c r="AX60" i="65"/>
  <c r="AY60" i="65"/>
  <c r="AZ60" i="65"/>
  <c r="BA60" i="65"/>
  <c r="BB60" i="65"/>
  <c r="BC60" i="65"/>
  <c r="BD60" i="65"/>
  <c r="BE60" i="65"/>
  <c r="BF60" i="65"/>
  <c r="BG60" i="65"/>
  <c r="BH60" i="65"/>
  <c r="BI60" i="65"/>
  <c r="BJ60" i="65"/>
  <c r="BK60" i="65"/>
  <c r="F61" i="65"/>
  <c r="G61" i="65"/>
  <c r="H61" i="65"/>
  <c r="I61" i="65"/>
  <c r="J61" i="65"/>
  <c r="K61" i="65"/>
  <c r="L61" i="65"/>
  <c r="M61" i="65"/>
  <c r="N61" i="65"/>
  <c r="O61" i="65"/>
  <c r="P61" i="65"/>
  <c r="Q61" i="65"/>
  <c r="R61" i="65"/>
  <c r="S61" i="65"/>
  <c r="T61" i="65"/>
  <c r="U61" i="65"/>
  <c r="V61" i="65"/>
  <c r="W61" i="65"/>
  <c r="X61" i="65"/>
  <c r="Y61" i="65"/>
  <c r="Z61" i="65"/>
  <c r="AA61" i="65"/>
  <c r="AB61" i="65"/>
  <c r="AC61" i="65"/>
  <c r="AD61" i="65"/>
  <c r="AE61" i="65"/>
  <c r="AF61" i="65"/>
  <c r="AG61" i="65"/>
  <c r="AH61" i="65"/>
  <c r="AI61" i="65"/>
  <c r="AJ61" i="65"/>
  <c r="AK61" i="65"/>
  <c r="AL61" i="65"/>
  <c r="AM61" i="65"/>
  <c r="AN61" i="65"/>
  <c r="AO61" i="65"/>
  <c r="AP61" i="65"/>
  <c r="AQ61" i="65"/>
  <c r="AR61" i="65"/>
  <c r="AS61" i="65"/>
  <c r="AT61" i="65"/>
  <c r="AU61" i="65"/>
  <c r="AV61" i="65"/>
  <c r="AW61" i="65"/>
  <c r="AX61" i="65"/>
  <c r="AY61" i="65"/>
  <c r="AZ61" i="65"/>
  <c r="BA61" i="65"/>
  <c r="BB61" i="65"/>
  <c r="BC61" i="65"/>
  <c r="BD61" i="65"/>
  <c r="BE61" i="65"/>
  <c r="BF61" i="65"/>
  <c r="BG61" i="65"/>
  <c r="BH61" i="65"/>
  <c r="BI61" i="65"/>
  <c r="BJ61" i="65"/>
  <c r="D61" i="65"/>
  <c r="BK61" i="65"/>
  <c r="BK42" i="65"/>
  <c r="B43" i="63"/>
  <c r="BJ42" i="65"/>
  <c r="BI42" i="65"/>
  <c r="CO47" i="59"/>
  <c r="CP47" i="59"/>
  <c r="CQ47" i="59"/>
  <c r="CR47" i="59"/>
  <c r="CS47" i="59"/>
  <c r="R42" i="65"/>
  <c r="CT47" i="59"/>
  <c r="CU47" i="59"/>
  <c r="CV47" i="59"/>
  <c r="CW47" i="59"/>
  <c r="CX47" i="59"/>
  <c r="CY47" i="59"/>
  <c r="CZ47" i="59"/>
  <c r="DA47" i="59"/>
  <c r="DB47" i="59"/>
  <c r="DC47" i="59"/>
  <c r="CN45" i="59"/>
  <c r="C42" i="65"/>
  <c r="D45" i="59"/>
  <c r="AN45" i="59"/>
  <c r="C41" i="65"/>
  <c r="CL48" i="59"/>
  <c r="AL48" i="59"/>
  <c r="AL46" i="59"/>
  <c r="AN46" i="59"/>
  <c r="AL47" i="59"/>
  <c r="AN47" i="59"/>
  <c r="AN48" i="59"/>
  <c r="AL49" i="59"/>
  <c r="AN49" i="59"/>
  <c r="AL50" i="59"/>
  <c r="AN50" i="59"/>
  <c r="AL51" i="59"/>
  <c r="AN51" i="59"/>
  <c r="AL52" i="59"/>
  <c r="AN52" i="59"/>
  <c r="AL53" i="59"/>
  <c r="AN53" i="59"/>
  <c r="AL54" i="59"/>
  <c r="AN54" i="59"/>
  <c r="AL55" i="59"/>
  <c r="AN55" i="59"/>
  <c r="AL56" i="59"/>
  <c r="AN56" i="59"/>
  <c r="AL57" i="59"/>
  <c r="AN57" i="59"/>
  <c r="AL58" i="59"/>
  <c r="AN58" i="59"/>
  <c r="AL59" i="59"/>
  <c r="AN59" i="59"/>
  <c r="AL60" i="59"/>
  <c r="AN60" i="59"/>
  <c r="AL61" i="59"/>
  <c r="AN61" i="59"/>
  <c r="AL62" i="59"/>
  <c r="AN62" i="59"/>
  <c r="AL63" i="59"/>
  <c r="AN63" i="59"/>
  <c r="AL64" i="59"/>
  <c r="AN64" i="59"/>
  <c r="AL65" i="59"/>
  <c r="AN65" i="59"/>
  <c r="AL66" i="59"/>
  <c r="AN66" i="59"/>
  <c r="BJ41" i="65"/>
  <c r="BG41" i="65"/>
  <c r="AO46" i="59"/>
  <c r="BI41" i="65"/>
  <c r="AP46" i="59"/>
  <c r="H41" i="65"/>
  <c r="AQ46" i="59"/>
  <c r="AR46" i="59"/>
  <c r="AS46" i="59"/>
  <c r="K41" i="65"/>
  <c r="AT46" i="59"/>
  <c r="AU46" i="59"/>
  <c r="AV46" i="59"/>
  <c r="N41" i="65"/>
  <c r="AW46" i="59"/>
  <c r="AX46" i="59"/>
  <c r="AY46" i="59"/>
  <c r="Q41" i="65"/>
  <c r="AZ46" i="59"/>
  <c r="BA46" i="59"/>
  <c r="BB46" i="59"/>
  <c r="U41" i="65"/>
  <c r="BC46" i="59"/>
  <c r="BD46" i="59"/>
  <c r="BE46" i="59"/>
  <c r="X41" i="65"/>
  <c r="BF46" i="59"/>
  <c r="BG46" i="59"/>
  <c r="BH46" i="59"/>
  <c r="BI46" i="59"/>
  <c r="BJ46" i="59"/>
  <c r="AC41" i="65"/>
  <c r="BK46" i="59"/>
  <c r="BL46" i="59"/>
  <c r="BM46" i="59"/>
  <c r="AF41" i="65"/>
  <c r="BN46" i="59"/>
  <c r="BO46" i="59"/>
  <c r="BP46" i="59"/>
  <c r="AI41" i="65"/>
  <c r="BQ46" i="59"/>
  <c r="BR46" i="59"/>
  <c r="BS46" i="59"/>
  <c r="AL41" i="65"/>
  <c r="BT46" i="59"/>
  <c r="BU46" i="59"/>
  <c r="BV46" i="59"/>
  <c r="AO41" i="65"/>
  <c r="BW46" i="59"/>
  <c r="BX46" i="59"/>
  <c r="BY46" i="59"/>
  <c r="BZ46" i="59"/>
  <c r="CA46" i="59"/>
  <c r="CB46" i="59"/>
  <c r="CC46" i="59"/>
  <c r="CD46" i="59"/>
  <c r="CE46" i="59"/>
  <c r="CF46" i="59"/>
  <c r="CG46" i="59"/>
  <c r="CH46" i="59"/>
  <c r="CI46" i="59"/>
  <c r="CJ46" i="59"/>
  <c r="G41" i="65"/>
  <c r="F46" i="59"/>
  <c r="G46" i="59"/>
  <c r="J41" i="65"/>
  <c r="H46" i="59"/>
  <c r="I46" i="59"/>
  <c r="M41" i="65"/>
  <c r="J46" i="59"/>
  <c r="K46" i="59"/>
  <c r="P41" i="65"/>
  <c r="L46" i="59"/>
  <c r="M46" i="59"/>
  <c r="T41" i="65"/>
  <c r="N46" i="59"/>
  <c r="O46" i="59"/>
  <c r="Y55" i="65"/>
  <c r="Z55" i="65"/>
  <c r="AA55" i="65"/>
  <c r="AB55" i="65"/>
  <c r="AC55" i="65"/>
  <c r="AD55" i="65"/>
  <c r="AE55" i="65"/>
  <c r="AF55" i="65"/>
  <c r="AG55" i="65"/>
  <c r="AH55" i="65"/>
  <c r="AI55" i="65"/>
  <c r="AJ55" i="65"/>
  <c r="AK55" i="65"/>
  <c r="AL55" i="65"/>
  <c r="AM55" i="65"/>
  <c r="AN55" i="65"/>
  <c r="AO55" i="65"/>
  <c r="AP55" i="65"/>
  <c r="AQ55" i="65"/>
  <c r="AR55" i="65"/>
  <c r="AS55" i="65"/>
  <c r="AT55" i="65"/>
  <c r="AU55" i="65"/>
  <c r="AV55" i="65"/>
  <c r="AW55" i="65"/>
  <c r="AX55" i="65"/>
  <c r="AY55" i="65"/>
  <c r="AZ55" i="65"/>
  <c r="BA55" i="65"/>
  <c r="BB55" i="65"/>
  <c r="BC55" i="65"/>
  <c r="BD55" i="65"/>
  <c r="BE55" i="65"/>
  <c r="BF55" i="65"/>
  <c r="BG55" i="65"/>
  <c r="BH55" i="65"/>
  <c r="BI55" i="65"/>
  <c r="BJ55" i="65"/>
  <c r="BK55" i="65"/>
  <c r="F56" i="65"/>
  <c r="G56" i="65"/>
  <c r="H56" i="65"/>
  <c r="I56" i="65"/>
  <c r="J56" i="65"/>
  <c r="K56" i="65"/>
  <c r="L56" i="65"/>
  <c r="M56" i="65"/>
  <c r="N56" i="65"/>
  <c r="O56" i="65"/>
  <c r="P56" i="65"/>
  <c r="Q56" i="65"/>
  <c r="R56" i="65"/>
  <c r="S56" i="65"/>
  <c r="T56" i="65"/>
  <c r="U56" i="65"/>
  <c r="V56" i="65"/>
  <c r="W56" i="65"/>
  <c r="X56" i="65"/>
  <c r="Y56" i="65"/>
  <c r="Z56" i="65"/>
  <c r="AA56" i="65"/>
  <c r="AB56" i="65"/>
  <c r="AC56" i="65"/>
  <c r="AD56" i="65"/>
  <c r="AE56" i="65"/>
  <c r="AF56" i="65"/>
  <c r="AG56" i="65"/>
  <c r="AH56" i="65"/>
  <c r="AI56" i="65"/>
  <c r="AJ56" i="65"/>
  <c r="AK56" i="65"/>
  <c r="AL56" i="65"/>
  <c r="AM56" i="65"/>
  <c r="AN56" i="65"/>
  <c r="AO56" i="65"/>
  <c r="AP56" i="65"/>
  <c r="AQ56" i="65"/>
  <c r="AR56" i="65"/>
  <c r="AS56" i="65"/>
  <c r="AT56" i="65"/>
  <c r="AU56" i="65"/>
  <c r="AV56" i="65"/>
  <c r="AW56" i="65"/>
  <c r="AX56" i="65"/>
  <c r="AY56" i="65"/>
  <c r="AZ56" i="65"/>
  <c r="BA56" i="65"/>
  <c r="BB56" i="65"/>
  <c r="BC56" i="65"/>
  <c r="BD56" i="65"/>
  <c r="BE56" i="65"/>
  <c r="BF56" i="65"/>
  <c r="BG56" i="65"/>
  <c r="BH56" i="65"/>
  <c r="BI56" i="65"/>
  <c r="BJ56" i="65"/>
  <c r="D56" i="65"/>
  <c r="BK56" i="65"/>
  <c r="F57" i="65"/>
  <c r="G57" i="65"/>
  <c r="H57" i="65"/>
  <c r="I57" i="65"/>
  <c r="J57" i="65"/>
  <c r="K57" i="65"/>
  <c r="L57" i="65"/>
  <c r="M57" i="65"/>
  <c r="N57" i="65"/>
  <c r="O57" i="65"/>
  <c r="P57" i="65"/>
  <c r="Q57" i="65"/>
  <c r="R57" i="65"/>
  <c r="S57" i="65"/>
  <c r="T57" i="65"/>
  <c r="U57" i="65"/>
  <c r="V57" i="65"/>
  <c r="W57" i="65"/>
  <c r="X57" i="65"/>
  <c r="Y57" i="65"/>
  <c r="Z57" i="65"/>
  <c r="AA57" i="65"/>
  <c r="AB57" i="65"/>
  <c r="AC57" i="65"/>
  <c r="AD57" i="65"/>
  <c r="AE57" i="65"/>
  <c r="AF57" i="65"/>
  <c r="AG57" i="65"/>
  <c r="AH57" i="65"/>
  <c r="AT45" i="65"/>
  <c r="AS45" i="65"/>
  <c r="AR45" i="65"/>
  <c r="AQ45" i="65"/>
  <c r="AP45" i="65"/>
  <c r="AO45" i="65"/>
  <c r="AN45" i="65"/>
  <c r="AM45" i="65"/>
  <c r="AL45" i="65"/>
  <c r="AK45" i="65"/>
  <c r="AJ45" i="65"/>
  <c r="AI45" i="65"/>
  <c r="AH45" i="65"/>
  <c r="AG45" i="65"/>
  <c r="AF45" i="65"/>
  <c r="AE45" i="65"/>
  <c r="AD45" i="65"/>
  <c r="AC45" i="65"/>
  <c r="AB45" i="65"/>
  <c r="AA45" i="65"/>
  <c r="Z45" i="65"/>
  <c r="Y45" i="65"/>
  <c r="X45" i="65"/>
  <c r="W45" i="65"/>
  <c r="V45" i="65"/>
  <c r="U45" i="65"/>
  <c r="T45" i="65"/>
  <c r="S45" i="65"/>
  <c r="R45" i="65"/>
  <c r="Q45" i="65"/>
  <c r="P45" i="65"/>
  <c r="O45" i="65"/>
  <c r="N45" i="65"/>
  <c r="M45" i="65"/>
  <c r="L45" i="65"/>
  <c r="K45" i="65"/>
  <c r="J45" i="65"/>
  <c r="I45" i="65"/>
  <c r="H45" i="65"/>
  <c r="G45" i="65"/>
  <c r="F45" i="65"/>
  <c r="BK44" i="65"/>
  <c r="BJ44" i="65"/>
  <c r="BI44" i="65"/>
  <c r="BH44" i="65"/>
  <c r="BG44" i="65"/>
  <c r="BF44" i="65"/>
  <c r="BE44" i="65"/>
  <c r="BD44" i="65"/>
  <c r="BC44" i="65"/>
  <c r="BB44" i="65"/>
  <c r="BA44" i="65"/>
  <c r="AZ44" i="65"/>
  <c r="AY44" i="65"/>
  <c r="AX44" i="65"/>
  <c r="AW44" i="65"/>
  <c r="AV44" i="65"/>
  <c r="AU44" i="65"/>
  <c r="AT44" i="65"/>
  <c r="AS44" i="65"/>
  <c r="AR44" i="65"/>
  <c r="AQ44" i="65"/>
  <c r="AP44" i="65"/>
  <c r="AO44" i="65"/>
  <c r="AN44" i="65"/>
  <c r="AM44" i="65"/>
  <c r="AL44" i="65"/>
  <c r="AK44" i="65"/>
  <c r="AJ44" i="65"/>
  <c r="AI44" i="65"/>
  <c r="AH44" i="65"/>
  <c r="AG44" i="65"/>
  <c r="AF44" i="65"/>
  <c r="AE44" i="65"/>
  <c r="AD44" i="65"/>
  <c r="AC44" i="65"/>
  <c r="AB44" i="65"/>
  <c r="AA44" i="65"/>
  <c r="Z44" i="65"/>
  <c r="Y44" i="65"/>
  <c r="X44" i="65"/>
  <c r="W44" i="65"/>
  <c r="V44" i="65"/>
  <c r="U44" i="65"/>
  <c r="T44" i="65"/>
  <c r="S44" i="65"/>
  <c r="R44" i="65"/>
  <c r="Q44" i="65"/>
  <c r="P44" i="65"/>
  <c r="O44" i="65"/>
  <c r="N44" i="65"/>
  <c r="M44" i="65"/>
  <c r="L44" i="65"/>
  <c r="K44" i="65"/>
  <c r="J44" i="65"/>
  <c r="AI57" i="65"/>
  <c r="AJ57" i="65"/>
  <c r="AK57" i="65"/>
  <c r="AL57" i="65"/>
  <c r="AM57" i="65"/>
  <c r="AN57" i="65"/>
  <c r="AO57" i="65"/>
  <c r="AP57" i="65"/>
  <c r="AQ57" i="65"/>
  <c r="AR57" i="65"/>
  <c r="AS57" i="65"/>
  <c r="AT57" i="65"/>
  <c r="AU57" i="65"/>
  <c r="AV57" i="65"/>
  <c r="AW57" i="65"/>
  <c r="AX57" i="65"/>
  <c r="AY57" i="65"/>
  <c r="AZ57" i="65"/>
  <c r="BA57" i="65"/>
  <c r="BB57" i="65"/>
  <c r="BC57" i="65"/>
  <c r="BD57" i="65"/>
  <c r="BE57" i="65"/>
  <c r="BF57" i="65"/>
  <c r="BG57" i="65"/>
  <c r="BH57" i="65"/>
  <c r="BI57" i="65"/>
  <c r="BJ57" i="65"/>
  <c r="D57" i="65"/>
  <c r="BK57" i="65"/>
  <c r="F58" i="65"/>
  <c r="G58" i="65"/>
  <c r="H58" i="65"/>
  <c r="I58" i="65"/>
  <c r="J58" i="65"/>
  <c r="K58" i="65"/>
  <c r="L58" i="65"/>
  <c r="AV60" i="65"/>
  <c r="AU60" i="65"/>
  <c r="AT60" i="65"/>
  <c r="AS60" i="65"/>
  <c r="AR60" i="65"/>
  <c r="AQ60" i="65"/>
  <c r="AP60" i="65"/>
  <c r="AO60" i="65"/>
  <c r="AN60" i="65"/>
  <c r="AM60" i="65"/>
  <c r="AL60" i="65"/>
  <c r="AK60" i="65"/>
  <c r="AJ60" i="65"/>
  <c r="AI60" i="65"/>
  <c r="AH60" i="65"/>
  <c r="AG60" i="65"/>
  <c r="AF60" i="65"/>
  <c r="AE60" i="65"/>
  <c r="AD60" i="65"/>
  <c r="AC60" i="65"/>
  <c r="AB60" i="65"/>
  <c r="AA60" i="65"/>
  <c r="Z60" i="65"/>
  <c r="Y60" i="65"/>
  <c r="X60" i="65"/>
  <c r="W60" i="65"/>
  <c r="V60" i="65"/>
  <c r="U60" i="65"/>
  <c r="T60" i="65"/>
  <c r="S60" i="65"/>
  <c r="F43" i="65"/>
  <c r="G43" i="65"/>
  <c r="H43" i="65"/>
  <c r="I43" i="65"/>
  <c r="J43" i="65"/>
  <c r="K43" i="65"/>
  <c r="L43" i="65"/>
  <c r="M43" i="65"/>
  <c r="N43" i="65"/>
  <c r="O43" i="65"/>
  <c r="P43" i="65"/>
  <c r="Q43" i="65"/>
  <c r="R43" i="65"/>
  <c r="S43" i="65"/>
  <c r="T43" i="65"/>
  <c r="U43" i="65"/>
  <c r="V43" i="65"/>
  <c r="W43" i="65"/>
  <c r="X43" i="65"/>
  <c r="Y43" i="65"/>
  <c r="Z43" i="65"/>
  <c r="AA43" i="65"/>
  <c r="AB43" i="65"/>
  <c r="AC43" i="65"/>
  <c r="AD43" i="65"/>
  <c r="AE43" i="65"/>
  <c r="AF43" i="65"/>
  <c r="AG43" i="65"/>
  <c r="AH43" i="65"/>
  <c r="AI43" i="65"/>
  <c r="AJ43" i="65"/>
  <c r="AK43" i="65"/>
  <c r="AL43" i="65"/>
  <c r="AM43" i="65"/>
  <c r="AN43" i="65"/>
  <c r="AO43" i="65"/>
  <c r="AP43" i="65"/>
  <c r="AQ43" i="65"/>
  <c r="AR43" i="65"/>
  <c r="AS43" i="65"/>
  <c r="AT43" i="65"/>
  <c r="AU43" i="65"/>
  <c r="AV43" i="65"/>
  <c r="AW43" i="65"/>
  <c r="AX43" i="65"/>
  <c r="AY43" i="65"/>
  <c r="AZ43" i="65"/>
  <c r="BA43" i="65"/>
  <c r="BB43" i="65"/>
  <c r="BC43" i="65"/>
  <c r="BD43" i="65"/>
  <c r="BE43" i="65"/>
  <c r="BF43" i="65"/>
  <c r="BG43" i="65"/>
  <c r="BH43" i="65"/>
  <c r="BI43" i="65"/>
  <c r="BJ43" i="65"/>
  <c r="D43" i="65"/>
  <c r="BK43" i="65"/>
  <c r="F44" i="65"/>
  <c r="G44" i="65"/>
  <c r="H44" i="65"/>
  <c r="D44" i="65"/>
  <c r="I44" i="65"/>
  <c r="X55" i="65"/>
  <c r="W55" i="65"/>
  <c r="V55" i="65"/>
  <c r="U55" i="65"/>
  <c r="T55" i="65"/>
  <c r="S55" i="65"/>
  <c r="R55" i="65"/>
  <c r="Q55" i="65"/>
  <c r="P55" i="65"/>
  <c r="O55" i="65"/>
  <c r="N55" i="65"/>
  <c r="M55" i="65"/>
  <c r="L55" i="65"/>
  <c r="K55" i="65"/>
  <c r="J55" i="65"/>
  <c r="I55" i="65"/>
  <c r="H55" i="65"/>
  <c r="G55" i="65"/>
  <c r="D55" i="65"/>
  <c r="F55" i="65"/>
  <c r="BK54" i="65"/>
  <c r="BJ54" i="65"/>
  <c r="BI54" i="65"/>
  <c r="BH54" i="65"/>
  <c r="BG54" i="65"/>
  <c r="BF54" i="65"/>
  <c r="BE54" i="65"/>
  <c r="BD54" i="65"/>
  <c r="BC54" i="65"/>
  <c r="BB54" i="65"/>
  <c r="BA54" i="65"/>
  <c r="AZ54" i="65"/>
  <c r="AY54" i="65"/>
  <c r="AX54" i="65"/>
  <c r="AW54" i="65"/>
  <c r="AV54" i="65"/>
  <c r="AU54" i="65"/>
  <c r="AT54" i="65"/>
  <c r="AS54" i="65"/>
  <c r="AR54" i="65"/>
  <c r="AQ54" i="65"/>
  <c r="AP54" i="65"/>
  <c r="AO54" i="65"/>
  <c r="CL66" i="59"/>
  <c r="B66" i="59"/>
  <c r="D66" i="59"/>
  <c r="CN66" i="59"/>
  <c r="CL46" i="59"/>
  <c r="B46" i="59"/>
  <c r="D46" i="59"/>
  <c r="CN46" i="59"/>
  <c r="CL47" i="59"/>
  <c r="B47" i="59"/>
  <c r="D47" i="59"/>
  <c r="CN47" i="59"/>
  <c r="B48" i="59"/>
  <c r="D48" i="59"/>
  <c r="CN48" i="59"/>
  <c r="CL49" i="59"/>
  <c r="B49" i="59"/>
  <c r="D49" i="59"/>
  <c r="CN49" i="59"/>
  <c r="CL50" i="59"/>
  <c r="B50" i="59"/>
  <c r="D50" i="59"/>
  <c r="CN50" i="59"/>
  <c r="CL51" i="59"/>
  <c r="B51" i="59"/>
  <c r="D51" i="59"/>
  <c r="CN51" i="59"/>
  <c r="CL52" i="59"/>
  <c r="B52" i="59"/>
  <c r="D52" i="59"/>
  <c r="CN52" i="59"/>
  <c r="CL53" i="59"/>
  <c r="B53" i="59"/>
  <c r="D53" i="59"/>
  <c r="CN53" i="59"/>
  <c r="CL54" i="59"/>
  <c r="B54" i="59"/>
  <c r="D54" i="59"/>
  <c r="CN54" i="59"/>
  <c r="CL55" i="59"/>
  <c r="B55" i="59"/>
  <c r="D55" i="59"/>
  <c r="CN55" i="59"/>
  <c r="CL56" i="59"/>
  <c r="B56" i="59"/>
  <c r="D56" i="59"/>
  <c r="CN56" i="59"/>
  <c r="CL57" i="59"/>
  <c r="B57" i="59"/>
  <c r="D57" i="59"/>
  <c r="CN57" i="59"/>
  <c r="CL58" i="59"/>
  <c r="B58" i="59"/>
  <c r="D58" i="59"/>
  <c r="CN58" i="59"/>
  <c r="CL59" i="59"/>
  <c r="B59" i="59"/>
  <c r="D59" i="59"/>
  <c r="CN59" i="59"/>
  <c r="CL60" i="59"/>
  <c r="B60" i="59"/>
  <c r="D60" i="59"/>
  <c r="CN60" i="59"/>
  <c r="CL61" i="59"/>
  <c r="B61" i="59"/>
  <c r="D61" i="59"/>
  <c r="CN61" i="59"/>
  <c r="CL62" i="59"/>
  <c r="B62" i="59"/>
  <c r="D62" i="59"/>
  <c r="CN62" i="59"/>
  <c r="CL63" i="59"/>
  <c r="B63" i="59"/>
  <c r="D63" i="59"/>
  <c r="CN63" i="59"/>
  <c r="CL64" i="59"/>
  <c r="B64" i="59"/>
  <c r="D64" i="59"/>
  <c r="CN64" i="59"/>
  <c r="CL65" i="59"/>
  <c r="B65" i="59"/>
  <c r="D65" i="59"/>
  <c r="CN65" i="59"/>
  <c r="B49" i="63"/>
  <c r="B50" i="63"/>
  <c r="B51" i="63"/>
  <c r="B52" i="63"/>
  <c r="B53" i="63"/>
  <c r="B54" i="63"/>
  <c r="B55" i="63"/>
  <c r="B56" i="63"/>
  <c r="B57" i="63"/>
  <c r="B58" i="63"/>
  <c r="B59" i="63"/>
  <c r="B60" i="63"/>
  <c r="B61" i="63"/>
  <c r="B62" i="63"/>
  <c r="B47" i="63"/>
  <c r="B45" i="63"/>
  <c r="B42" i="63"/>
  <c r="B44" i="63"/>
  <c r="B46" i="63"/>
  <c r="B48" i="63"/>
  <c r="B61" i="65"/>
  <c r="C61" i="65"/>
  <c r="C60" i="65"/>
  <c r="C59" i="65"/>
  <c r="C58" i="65"/>
  <c r="B57" i="65"/>
  <c r="C57" i="65"/>
  <c r="B56" i="65"/>
  <c r="C56" i="65"/>
  <c r="B55" i="65"/>
  <c r="C55" i="65"/>
  <c r="C54" i="65"/>
  <c r="C53" i="65"/>
  <c r="C52" i="65"/>
  <c r="C51" i="65"/>
  <c r="C50" i="65"/>
  <c r="C49" i="65"/>
  <c r="C48" i="65"/>
  <c r="C47" i="65"/>
  <c r="C46" i="65"/>
  <c r="C45" i="65"/>
  <c r="B45" i="63" a="1"/>
  <c r="B44" i="65"/>
  <c r="C44" i="65"/>
  <c r="B44" i="63" a="1"/>
  <c r="B43" i="65"/>
  <c r="C43" i="65"/>
  <c r="AZ41" i="65"/>
  <c r="AJ46" i="59"/>
  <c r="AI46" i="59"/>
  <c r="AW41" i="65"/>
  <c r="AH46" i="59"/>
  <c r="AG46" i="59"/>
  <c r="AT41" i="65"/>
  <c r="AF46" i="59"/>
  <c r="AE46" i="59"/>
  <c r="AQ41" i="65"/>
  <c r="AD46" i="59"/>
  <c r="AC46" i="59"/>
  <c r="AN41" i="65"/>
  <c r="AB46" i="59"/>
  <c r="AA46" i="59"/>
  <c r="AK41" i="65"/>
  <c r="Z46" i="59"/>
  <c r="Y46" i="59"/>
  <c r="AH41" i="65"/>
  <c r="X46" i="59"/>
  <c r="W46" i="59"/>
  <c r="AE41" i="65"/>
  <c r="V46" i="59"/>
  <c r="U46" i="59"/>
  <c r="AB41" i="65"/>
  <c r="T46" i="59"/>
  <c r="S46" i="59"/>
  <c r="R46" i="59"/>
  <c r="Q46" i="59"/>
  <c r="W41" i="65"/>
  <c r="P46" i="59"/>
  <c r="T49" i="63"/>
  <c r="U49" i="63"/>
  <c r="V49" i="63"/>
  <c r="W49" i="63"/>
  <c r="X49" i="63"/>
  <c r="Y49" i="63"/>
  <c r="E50" i="63"/>
  <c r="F50" i="63"/>
  <c r="G50" i="63"/>
  <c r="H50" i="63"/>
  <c r="I50" i="63"/>
  <c r="J50" i="63"/>
  <c r="K50" i="63"/>
  <c r="L50" i="63"/>
  <c r="M50" i="63"/>
  <c r="N50" i="63"/>
  <c r="O50" i="63"/>
  <c r="P50" i="63"/>
  <c r="Q50" i="63"/>
  <c r="R50" i="63"/>
  <c r="S50" i="63"/>
  <c r="T50" i="63"/>
  <c r="U50" i="63"/>
  <c r="V50" i="63"/>
  <c r="W50" i="63"/>
  <c r="X50" i="63"/>
  <c r="Y50" i="63"/>
  <c r="E51" i="63"/>
  <c r="F51" i="63"/>
  <c r="G51" i="63"/>
  <c r="H51" i="63"/>
  <c r="I51" i="63"/>
  <c r="J51" i="63"/>
  <c r="K51" i="63"/>
  <c r="L51" i="63"/>
  <c r="M51" i="63"/>
  <c r="N51" i="63"/>
  <c r="O51" i="63"/>
  <c r="P51" i="63"/>
  <c r="Q51" i="63"/>
  <c r="R51" i="63"/>
  <c r="S51" i="63"/>
  <c r="T51" i="63"/>
  <c r="U51" i="63"/>
  <c r="V51" i="63"/>
  <c r="W51" i="63"/>
  <c r="X51" i="63"/>
  <c r="Y51" i="63"/>
  <c r="E52" i="63"/>
  <c r="F52" i="63"/>
  <c r="G52" i="63"/>
  <c r="H52" i="63"/>
  <c r="I52" i="63"/>
  <c r="J52" i="63"/>
  <c r="K52" i="63"/>
  <c r="L52" i="63"/>
  <c r="M52" i="63"/>
  <c r="N52" i="63"/>
  <c r="O52" i="63"/>
  <c r="P52" i="63"/>
  <c r="Q52" i="63"/>
  <c r="R52" i="63"/>
  <c r="S52" i="63"/>
  <c r="T52" i="63"/>
  <c r="U52" i="63"/>
  <c r="V52" i="63"/>
  <c r="W52" i="63"/>
  <c r="X52" i="63"/>
  <c r="Y52" i="63"/>
  <c r="E53" i="63"/>
  <c r="F53" i="63"/>
  <c r="G53" i="63"/>
  <c r="H53" i="63"/>
  <c r="I53" i="63"/>
  <c r="J53" i="63"/>
  <c r="K53" i="63"/>
  <c r="L53" i="63"/>
  <c r="M53" i="63"/>
  <c r="N53" i="63"/>
  <c r="O53" i="63"/>
  <c r="P53" i="63"/>
  <c r="Q53" i="63"/>
  <c r="R53" i="63"/>
  <c r="S53" i="63"/>
  <c r="T53" i="63"/>
  <c r="U53" i="63"/>
  <c r="V53" i="63"/>
  <c r="W53" i="63"/>
  <c r="X53" i="63"/>
  <c r="Y53" i="63"/>
  <c r="E54" i="63"/>
  <c r="F54" i="63"/>
  <c r="G54" i="63"/>
  <c r="H54" i="63"/>
  <c r="I54" i="63"/>
  <c r="J54" i="63"/>
  <c r="K54" i="63"/>
  <c r="L54" i="63"/>
  <c r="M54" i="63"/>
  <c r="N54" i="63"/>
  <c r="O54" i="63"/>
  <c r="P54" i="63"/>
  <c r="Q54" i="63"/>
  <c r="R54" i="63"/>
  <c r="S54" i="63"/>
  <c r="T54" i="63"/>
  <c r="U54" i="63"/>
  <c r="V54" i="63"/>
  <c r="W54" i="63"/>
  <c r="X54" i="63"/>
  <c r="Y54" i="63"/>
  <c r="E55" i="63"/>
  <c r="F55" i="63"/>
  <c r="G55" i="63"/>
  <c r="H55" i="63"/>
  <c r="I55" i="63"/>
  <c r="J55" i="63"/>
  <c r="K55" i="63"/>
  <c r="L55" i="63"/>
  <c r="M55" i="63"/>
  <c r="N55" i="63"/>
  <c r="O55" i="63"/>
  <c r="P55" i="63"/>
  <c r="Q55" i="63"/>
  <c r="R55" i="63"/>
  <c r="S55" i="63"/>
  <c r="T55" i="63"/>
  <c r="U55" i="63"/>
  <c r="V55" i="63"/>
  <c r="W55" i="63"/>
  <c r="X55" i="63"/>
  <c r="Y55" i="63"/>
  <c r="E56" i="63"/>
  <c r="F56" i="63"/>
  <c r="G56" i="63"/>
  <c r="H56" i="63"/>
  <c r="I56" i="63"/>
  <c r="J56" i="63"/>
  <c r="K56" i="63"/>
  <c r="L56" i="63"/>
  <c r="M56" i="63"/>
  <c r="N56" i="63"/>
  <c r="O56" i="63"/>
  <c r="P56" i="63"/>
  <c r="Q56" i="63"/>
  <c r="R56" i="63"/>
  <c r="S56" i="63"/>
  <c r="T56" i="63"/>
  <c r="U56" i="63"/>
  <c r="V56" i="63"/>
  <c r="W56" i="63"/>
  <c r="X56" i="63"/>
  <c r="B56" i="63" a="1"/>
  <c r="Y56" i="63"/>
  <c r="E57" i="63"/>
  <c r="F57" i="63"/>
  <c r="G57" i="63"/>
  <c r="H57" i="63"/>
  <c r="I57" i="63"/>
  <c r="J57" i="63"/>
  <c r="K57" i="63"/>
  <c r="L57" i="63"/>
  <c r="M57" i="63"/>
  <c r="N57" i="63"/>
  <c r="O57" i="63"/>
  <c r="P57" i="63"/>
  <c r="Q57" i="63"/>
  <c r="R57" i="63"/>
  <c r="S57" i="63"/>
  <c r="T57" i="63"/>
  <c r="U57" i="63"/>
  <c r="V57" i="63"/>
  <c r="W57" i="63"/>
  <c r="X57" i="63"/>
  <c r="B57" i="63" a="1"/>
  <c r="Y57" i="63"/>
  <c r="E58" i="63"/>
  <c r="F58" i="63"/>
  <c r="G58" i="63"/>
  <c r="H58" i="63"/>
  <c r="I58" i="63"/>
  <c r="J58" i="63"/>
  <c r="K58" i="63"/>
  <c r="L58" i="63"/>
  <c r="M58" i="63"/>
  <c r="N58" i="63"/>
  <c r="O58" i="63"/>
  <c r="P58" i="63"/>
  <c r="Q58" i="63"/>
  <c r="R58" i="63"/>
  <c r="S58" i="63"/>
  <c r="T58" i="63"/>
  <c r="U58" i="63"/>
  <c r="V58" i="63"/>
  <c r="W58" i="63"/>
  <c r="X58" i="63"/>
  <c r="B58" i="63" a="1"/>
  <c r="Y58" i="63"/>
  <c r="E59" i="63"/>
  <c r="F59" i="63"/>
  <c r="G59" i="63"/>
  <c r="H59" i="63"/>
  <c r="I59" i="63"/>
  <c r="J59" i="63"/>
  <c r="K59" i="63"/>
  <c r="L59" i="63"/>
  <c r="M59" i="63"/>
  <c r="N59" i="63"/>
  <c r="O59" i="63"/>
  <c r="P59" i="63"/>
  <c r="Q59" i="63"/>
  <c r="R59" i="63"/>
  <c r="S59" i="63"/>
  <c r="T59" i="63"/>
  <c r="U59" i="63"/>
  <c r="V59" i="63"/>
  <c r="W59" i="63"/>
  <c r="X59" i="63"/>
  <c r="Y59" i="63"/>
  <c r="E60" i="63"/>
  <c r="F60" i="63"/>
  <c r="G60" i="63"/>
  <c r="H60" i="63"/>
  <c r="I60" i="63"/>
  <c r="J60" i="63"/>
  <c r="K60" i="63"/>
  <c r="L60" i="63"/>
  <c r="M60" i="63"/>
  <c r="N60" i="63"/>
  <c r="O60" i="63"/>
  <c r="P60" i="63"/>
  <c r="Q60" i="63"/>
  <c r="R60" i="63"/>
  <c r="S60" i="63"/>
  <c r="T60" i="63"/>
  <c r="U60" i="63"/>
  <c r="V60" i="63"/>
  <c r="W60" i="63"/>
  <c r="X60" i="63"/>
  <c r="Y60" i="63"/>
  <c r="E61" i="63"/>
  <c r="F61" i="63"/>
  <c r="G61" i="63"/>
  <c r="H61" i="63"/>
  <c r="I61" i="63"/>
  <c r="J61" i="63"/>
  <c r="K61" i="63"/>
  <c r="L61" i="63"/>
  <c r="M61" i="63"/>
  <c r="N61" i="63"/>
  <c r="O61" i="63"/>
  <c r="P61" i="63"/>
  <c r="Q61" i="63"/>
  <c r="R61" i="63"/>
  <c r="S61" i="63"/>
  <c r="T61" i="63"/>
  <c r="U61" i="63"/>
  <c r="V61" i="63"/>
  <c r="W61" i="63"/>
  <c r="X61" i="63"/>
  <c r="Y61" i="63"/>
  <c r="E62" i="63"/>
  <c r="F62" i="63"/>
  <c r="G62" i="63"/>
  <c r="H62" i="63"/>
  <c r="I62" i="63"/>
  <c r="J62" i="63"/>
  <c r="K62" i="63"/>
  <c r="L62" i="63"/>
  <c r="M62" i="63"/>
  <c r="N62" i="63"/>
  <c r="O62" i="63"/>
  <c r="P62" i="63"/>
  <c r="Q62" i="63"/>
  <c r="R62" i="63"/>
  <c r="S62" i="63"/>
  <c r="T62" i="63"/>
  <c r="U62" i="63"/>
  <c r="V62" i="63"/>
  <c r="W62" i="63"/>
  <c r="X62" i="63"/>
  <c r="B62" i="63" a="1"/>
  <c r="Y62" i="63"/>
  <c r="E63" i="63"/>
  <c r="F63" i="63"/>
  <c r="G63" i="63"/>
  <c r="H63" i="63"/>
  <c r="I63" i="63"/>
  <c r="J63" i="63"/>
  <c r="K63" i="63"/>
  <c r="L63" i="63"/>
  <c r="M63" i="63"/>
  <c r="N63" i="63"/>
  <c r="O63" i="63"/>
  <c r="P63" i="63"/>
  <c r="Q63" i="63"/>
  <c r="R63" i="63"/>
  <c r="S63" i="63"/>
  <c r="T63" i="63"/>
  <c r="U63" i="63"/>
  <c r="V63" i="63"/>
  <c r="W63" i="63"/>
  <c r="X63" i="63"/>
  <c r="B63" i="63"/>
  <c r="B63" i="63" a="1"/>
  <c r="Y63" i="63"/>
  <c r="E64" i="63"/>
  <c r="F64" i="63"/>
  <c r="G64" i="63"/>
  <c r="H64" i="63"/>
  <c r="I64" i="63"/>
  <c r="J64" i="63"/>
  <c r="K64" i="63"/>
  <c r="L64" i="63"/>
  <c r="M64" i="63"/>
  <c r="N64" i="63"/>
  <c r="O64" i="63"/>
  <c r="P64" i="63"/>
  <c r="Q64" i="63"/>
  <c r="R64" i="63"/>
  <c r="S64" i="63"/>
  <c r="T64" i="63"/>
  <c r="U64" i="63"/>
  <c r="V64" i="63"/>
  <c r="W64" i="63"/>
  <c r="X64" i="63"/>
  <c r="B64" i="63"/>
  <c r="B64" i="63" a="1"/>
  <c r="Y64" i="63"/>
  <c r="E65" i="63"/>
  <c r="F65" i="63"/>
  <c r="G65" i="63"/>
  <c r="H65" i="63"/>
  <c r="I65" i="63"/>
  <c r="J65" i="63"/>
  <c r="K65" i="63"/>
  <c r="L65" i="63"/>
  <c r="M65" i="63"/>
  <c r="N65" i="63"/>
  <c r="O65" i="63"/>
  <c r="P65" i="63"/>
  <c r="Q65" i="63"/>
  <c r="R65" i="63"/>
  <c r="S65" i="63"/>
  <c r="T65" i="63"/>
  <c r="U65" i="63"/>
  <c r="V65" i="63"/>
  <c r="W65" i="63"/>
  <c r="X65" i="63"/>
  <c r="B65" i="63"/>
  <c r="B65" i="63" a="1"/>
  <c r="Y65" i="63"/>
  <c r="E66" i="63"/>
  <c r="F66" i="63"/>
  <c r="G66" i="63"/>
  <c r="H66" i="63"/>
  <c r="I66" i="63"/>
  <c r="J66" i="63"/>
  <c r="K66" i="63"/>
  <c r="L66" i="63"/>
  <c r="M66" i="63"/>
  <c r="N66" i="63"/>
  <c r="O66" i="63"/>
  <c r="P66" i="63"/>
  <c r="Q66" i="63"/>
  <c r="R66" i="63"/>
  <c r="S66" i="63"/>
  <c r="T66" i="63"/>
  <c r="U66" i="63"/>
  <c r="V66" i="63"/>
  <c r="W66" i="63"/>
  <c r="X66" i="63"/>
  <c r="B66" i="63"/>
  <c r="B66" i="63" a="1"/>
  <c r="Y66" i="63"/>
  <c r="E67" i="63"/>
  <c r="F67" i="63"/>
  <c r="G67" i="63"/>
  <c r="H67" i="63"/>
  <c r="I67" i="63"/>
  <c r="J67" i="63"/>
  <c r="K67" i="63"/>
  <c r="L67" i="63"/>
  <c r="M67" i="63"/>
  <c r="N67" i="63"/>
  <c r="O67" i="63"/>
  <c r="P67" i="63"/>
  <c r="Q67" i="63"/>
  <c r="R67" i="63"/>
  <c r="S67" i="63"/>
  <c r="T67" i="63"/>
  <c r="U67" i="63"/>
  <c r="V67" i="63"/>
  <c r="W67" i="63"/>
  <c r="X67" i="63"/>
  <c r="B67" i="63"/>
  <c r="B67" i="63" a="1"/>
  <c r="Y67" i="63"/>
  <c r="E68" i="63"/>
  <c r="F68" i="63"/>
  <c r="G68" i="63"/>
  <c r="H68" i="63"/>
  <c r="I68" i="63"/>
  <c r="J68" i="63"/>
  <c r="K68" i="63"/>
  <c r="L68" i="63"/>
  <c r="M68" i="63"/>
  <c r="N68" i="63"/>
  <c r="O68" i="63"/>
  <c r="P68" i="63"/>
  <c r="Q68" i="63"/>
  <c r="R68" i="63"/>
  <c r="S68" i="63"/>
  <c r="T68" i="63"/>
  <c r="U68" i="63"/>
  <c r="V68" i="63"/>
  <c r="W68" i="63"/>
  <c r="X68" i="63"/>
  <c r="B68" i="63"/>
  <c r="B68" i="63" a="1"/>
  <c r="Y68" i="63"/>
  <c r="E69" i="63"/>
  <c r="F69" i="63"/>
  <c r="G69" i="63"/>
  <c r="H69" i="63"/>
  <c r="I69" i="63"/>
  <c r="J69" i="63"/>
  <c r="K69" i="63"/>
  <c r="L69" i="63"/>
  <c r="M69" i="63"/>
  <c r="N69" i="63"/>
  <c r="O69" i="63"/>
  <c r="P69" i="63"/>
  <c r="Q69" i="63"/>
  <c r="R69" i="63"/>
  <c r="S69" i="63"/>
  <c r="T69" i="63"/>
  <c r="U69" i="63"/>
  <c r="V69" i="63"/>
  <c r="W69" i="63"/>
  <c r="X69" i="63"/>
  <c r="B69" i="63"/>
  <c r="B69" i="63" a="1"/>
  <c r="Y69" i="63"/>
  <c r="E70" i="63"/>
  <c r="F70" i="63"/>
  <c r="G70" i="63"/>
  <c r="H70" i="63"/>
  <c r="I70" i="63"/>
  <c r="J70" i="63"/>
  <c r="K70" i="63"/>
  <c r="L70" i="63"/>
  <c r="M70" i="63"/>
  <c r="N70" i="63"/>
  <c r="O70" i="63"/>
  <c r="P70" i="63"/>
  <c r="B70" i="63" a="1"/>
  <c r="Q70" i="63"/>
  <c r="L87" i="63"/>
  <c r="K87" i="63"/>
  <c r="J87" i="63"/>
  <c r="I87" i="63"/>
  <c r="H87" i="63"/>
  <c r="G87" i="63"/>
  <c r="F87" i="63"/>
  <c r="B87" i="63" a="1"/>
  <c r="E87" i="63"/>
  <c r="Y86" i="63"/>
  <c r="B86" i="63"/>
  <c r="X86" i="63"/>
  <c r="W86" i="63"/>
  <c r="V86" i="63"/>
  <c r="U86" i="63"/>
  <c r="T86" i="63"/>
  <c r="S86" i="63"/>
  <c r="R86" i="63"/>
  <c r="Q86" i="63"/>
  <c r="P86" i="63"/>
  <c r="O86" i="63"/>
  <c r="N86" i="63"/>
  <c r="M86" i="63"/>
  <c r="L86" i="63"/>
  <c r="K86" i="63"/>
  <c r="J86" i="63"/>
  <c r="I86" i="63"/>
  <c r="H86" i="63"/>
  <c r="G86" i="63"/>
  <c r="F86" i="63"/>
  <c r="B86" i="63" a="1"/>
  <c r="E86" i="63"/>
  <c r="Y85" i="63"/>
  <c r="B85" i="63"/>
  <c r="B85" i="63" a="1"/>
  <c r="X85" i="63"/>
  <c r="P60" i="65"/>
  <c r="Q60" i="65"/>
  <c r="B61" i="63" a="1"/>
  <c r="B60" i="65"/>
  <c r="D60" i="65"/>
  <c r="R60" i="65"/>
  <c r="BC50" i="65"/>
  <c r="BB50" i="65"/>
  <c r="BA50" i="65"/>
  <c r="AZ50" i="65"/>
  <c r="AY50" i="65"/>
  <c r="AX50" i="65"/>
  <c r="AW50" i="65"/>
  <c r="AV50" i="65"/>
  <c r="AU50" i="65"/>
  <c r="AT50" i="65"/>
  <c r="AS50" i="65"/>
  <c r="AR50" i="65"/>
  <c r="AQ50" i="65"/>
  <c r="AP50" i="65"/>
  <c r="AO50" i="65"/>
  <c r="AN50" i="65"/>
  <c r="AM50" i="65"/>
  <c r="AL50" i="65"/>
  <c r="AK50" i="65"/>
  <c r="AJ50" i="65"/>
  <c r="AI50" i="65"/>
  <c r="AH50" i="65"/>
  <c r="AG50" i="65"/>
  <c r="AF50" i="65"/>
  <c r="AE50" i="65"/>
  <c r="AD50" i="65"/>
  <c r="AC50" i="65"/>
  <c r="AB50" i="65"/>
  <c r="AA50" i="65"/>
  <c r="Z50" i="65"/>
  <c r="Y50" i="65"/>
  <c r="X50" i="65"/>
  <c r="W50" i="65"/>
  <c r="V50" i="65"/>
  <c r="U50" i="65"/>
  <c r="T50" i="65"/>
  <c r="S50" i="65"/>
  <c r="R50" i="65"/>
  <c r="Q50" i="65"/>
  <c r="P50" i="65"/>
  <c r="O50" i="65"/>
  <c r="N50" i="65"/>
  <c r="M50" i="65"/>
  <c r="L50" i="65"/>
  <c r="K50" i="65"/>
  <c r="J50" i="65"/>
  <c r="I50" i="65"/>
  <c r="H50" i="65"/>
  <c r="G50" i="65"/>
  <c r="F50" i="65"/>
  <c r="BK49" i="65"/>
  <c r="BJ49" i="65"/>
  <c r="BI49" i="65"/>
  <c r="BH49" i="65"/>
  <c r="BG49" i="65"/>
  <c r="BF49" i="65"/>
  <c r="BE49" i="65"/>
  <c r="BD49" i="65"/>
  <c r="BC49" i="65"/>
  <c r="BB49" i="65"/>
  <c r="BA49" i="65"/>
  <c r="AZ49" i="65"/>
  <c r="AY49" i="65"/>
  <c r="AX49" i="65"/>
  <c r="AW49" i="65"/>
  <c r="AV49" i="65"/>
  <c r="AU49" i="65"/>
  <c r="AT49" i="65"/>
  <c r="AS49" i="65"/>
  <c r="AR49" i="65"/>
  <c r="AQ49" i="65"/>
  <c r="AP49" i="65"/>
  <c r="AO49" i="65"/>
  <c r="AN49" i="65"/>
  <c r="AM49" i="65"/>
  <c r="AL49" i="65"/>
  <c r="AK49" i="65"/>
  <c r="AJ49" i="65"/>
  <c r="AI49" i="65"/>
  <c r="AH49" i="65"/>
  <c r="AG49" i="65"/>
  <c r="AF49" i="65"/>
  <c r="AE49" i="65"/>
  <c r="AD49" i="65"/>
  <c r="AC49" i="65"/>
  <c r="AB49" i="65"/>
  <c r="AA49" i="65"/>
  <c r="Z49" i="65"/>
  <c r="Y49" i="65"/>
  <c r="X49" i="65"/>
  <c r="W49" i="65"/>
  <c r="V49" i="65"/>
  <c r="U49" i="65"/>
  <c r="T49" i="65"/>
  <c r="S49" i="65"/>
  <c r="R49" i="65"/>
  <c r="Q49" i="65"/>
  <c r="P49" i="65"/>
  <c r="O49" i="65"/>
  <c r="N49" i="65"/>
  <c r="M49" i="65"/>
  <c r="L49" i="65"/>
  <c r="K49" i="65"/>
  <c r="J49" i="65"/>
  <c r="I49" i="65"/>
  <c r="H49" i="65"/>
  <c r="G49" i="65"/>
  <c r="B50" i="63" a="1"/>
  <c r="B49" i="65"/>
  <c r="D49" i="65"/>
  <c r="F49" i="65"/>
  <c r="BK48" i="65"/>
  <c r="BJ48" i="65"/>
  <c r="BI48" i="65"/>
  <c r="BH48" i="65"/>
  <c r="BG48" i="65"/>
  <c r="BF48" i="65"/>
  <c r="BE48" i="65"/>
  <c r="BD48" i="65"/>
  <c r="BC48" i="65"/>
  <c r="BB48" i="65"/>
  <c r="BA48" i="65"/>
  <c r="AZ48" i="65"/>
  <c r="AY48" i="65"/>
  <c r="AX48" i="65"/>
  <c r="AW48" i="65"/>
  <c r="AV48" i="65"/>
  <c r="AU48" i="65"/>
  <c r="AT48" i="65"/>
  <c r="AS48" i="65"/>
  <c r="AR48" i="65"/>
  <c r="AQ48" i="65"/>
  <c r="AP48" i="65"/>
  <c r="AO48" i="65"/>
  <c r="AN48" i="65"/>
  <c r="AM48" i="65"/>
  <c r="AL48" i="65"/>
  <c r="AK48" i="65"/>
  <c r="AJ48" i="65"/>
  <c r="AI48" i="65"/>
  <c r="AH48" i="65"/>
  <c r="AG48" i="65"/>
  <c r="AF48" i="65"/>
  <c r="AE48" i="65"/>
  <c r="AD48" i="65"/>
  <c r="AC48" i="65"/>
  <c r="AB48" i="65"/>
  <c r="AA48" i="65"/>
  <c r="Z48" i="65"/>
  <c r="Y48" i="65"/>
  <c r="X48" i="65"/>
  <c r="W48" i="65"/>
  <c r="V48" i="65"/>
  <c r="U48" i="65"/>
  <c r="T48" i="65"/>
  <c r="S48" i="65"/>
  <c r="R48" i="65"/>
  <c r="Q48" i="65"/>
  <c r="P48" i="65"/>
  <c r="O48" i="65"/>
  <c r="N48" i="65"/>
  <c r="M48" i="65"/>
  <c r="L48" i="65"/>
  <c r="K48" i="65"/>
  <c r="J48" i="65"/>
  <c r="I48" i="65"/>
  <c r="H48" i="65"/>
  <c r="G48" i="65"/>
  <c r="B49" i="63" a="1"/>
  <c r="B48" i="65"/>
  <c r="D48" i="65"/>
  <c r="F48" i="65"/>
  <c r="BK47" i="65"/>
  <c r="BJ47" i="65"/>
  <c r="BI47" i="65"/>
  <c r="BH47" i="65"/>
  <c r="BG47" i="65"/>
  <c r="BF47" i="65"/>
  <c r="BE47" i="65"/>
  <c r="BD47" i="65"/>
  <c r="BC47" i="65"/>
  <c r="BB47" i="65"/>
  <c r="BA47" i="65"/>
  <c r="AZ47" i="65"/>
  <c r="AY47" i="65"/>
  <c r="AX47" i="65"/>
  <c r="AU45" i="65"/>
  <c r="AV45" i="65"/>
  <c r="AW45" i="65"/>
  <c r="AX45" i="65"/>
  <c r="AY45" i="65"/>
  <c r="AZ45" i="65"/>
  <c r="BA45" i="65"/>
  <c r="BB45" i="65"/>
  <c r="BC45" i="65"/>
  <c r="BD45" i="65"/>
  <c r="BE45" i="65"/>
  <c r="BF45" i="65"/>
  <c r="BG45" i="65"/>
  <c r="BH45" i="65"/>
  <c r="BI45" i="65"/>
  <c r="BJ45" i="65"/>
  <c r="B46" i="63" a="1"/>
  <c r="B45" i="65"/>
  <c r="D45" i="65"/>
  <c r="BK45" i="65"/>
  <c r="F46" i="65"/>
  <c r="G46" i="65"/>
  <c r="H46" i="65"/>
  <c r="I46" i="65"/>
  <c r="J46" i="65"/>
  <c r="K46" i="65"/>
  <c r="L46" i="65"/>
  <c r="M46" i="65"/>
  <c r="N46" i="65"/>
  <c r="O46" i="65"/>
  <c r="P46" i="65"/>
  <c r="Q46" i="65"/>
  <c r="R46" i="65"/>
  <c r="S46" i="65"/>
  <c r="T46" i="65"/>
  <c r="U46" i="65"/>
  <c r="V46" i="65"/>
  <c r="W46" i="65"/>
  <c r="X46" i="65"/>
  <c r="Y46" i="65"/>
  <c r="Z46" i="65"/>
  <c r="AA46" i="65"/>
  <c r="AB46" i="65"/>
  <c r="AC46" i="65"/>
  <c r="AD46" i="65"/>
  <c r="AE46" i="65"/>
  <c r="AF46" i="65"/>
  <c r="AG46" i="65"/>
  <c r="AH46" i="65"/>
  <c r="AI46" i="65"/>
  <c r="AJ46" i="65"/>
  <c r="AK46" i="65"/>
  <c r="AL46" i="65"/>
  <c r="AM46" i="65"/>
  <c r="AN46" i="65"/>
  <c r="AO46" i="65"/>
  <c r="AP46" i="65"/>
  <c r="AQ46" i="65"/>
  <c r="AR46" i="65"/>
  <c r="AS46" i="65"/>
  <c r="AT46" i="65"/>
  <c r="AU46" i="65"/>
  <c r="AV46" i="65"/>
  <c r="AW46" i="65"/>
  <c r="AX46" i="65"/>
  <c r="AY46" i="65"/>
  <c r="AZ46" i="65"/>
  <c r="BA46" i="65"/>
  <c r="BB46" i="65"/>
  <c r="BC46" i="65"/>
  <c r="BD46" i="65"/>
  <c r="BE46" i="65"/>
  <c r="AL59" i="65"/>
  <c r="AK59" i="65"/>
  <c r="AJ59" i="65"/>
  <c r="AI59" i="65"/>
  <c r="AH59" i="65"/>
  <c r="AG59" i="65"/>
  <c r="AF59" i="65"/>
  <c r="AE59" i="65"/>
  <c r="AD59" i="65"/>
  <c r="AC59" i="65"/>
  <c r="AB59" i="65"/>
  <c r="AA59" i="65"/>
  <c r="Z59" i="65"/>
  <c r="Y59" i="65"/>
  <c r="X59" i="65"/>
  <c r="W59" i="65"/>
  <c r="V59" i="65"/>
  <c r="U59" i="65"/>
  <c r="T59" i="65"/>
  <c r="S59" i="65"/>
  <c r="R59" i="65"/>
  <c r="Q59" i="65"/>
  <c r="P59" i="65"/>
  <c r="O59" i="65"/>
  <c r="N59" i="65"/>
  <c r="M59" i="65"/>
  <c r="L59" i="65"/>
  <c r="K59" i="65"/>
  <c r="J59" i="65"/>
  <c r="I59" i="65"/>
  <c r="H59" i="65"/>
  <c r="G59" i="65"/>
  <c r="B60" i="63" a="1"/>
  <c r="B59" i="65"/>
  <c r="D59" i="65"/>
  <c r="F59" i="65"/>
  <c r="BK58" i="65"/>
  <c r="BJ58" i="65"/>
  <c r="BI58" i="65"/>
  <c r="BH58" i="65"/>
  <c r="BG58" i="65"/>
  <c r="BF58" i="65"/>
  <c r="BE58" i="65"/>
  <c r="BD58" i="65"/>
  <c r="BC58" i="65"/>
  <c r="BB58" i="65"/>
  <c r="BA58" i="65"/>
  <c r="AZ58" i="65"/>
  <c r="AY58" i="65"/>
  <c r="AX58" i="65"/>
  <c r="AW58" i="65"/>
  <c r="AV58" i="65"/>
  <c r="AU58" i="65"/>
  <c r="AT58" i="65"/>
  <c r="AS58" i="65"/>
  <c r="AR58" i="65"/>
  <c r="AQ58" i="65"/>
  <c r="AP58" i="65"/>
  <c r="AO58" i="65"/>
  <c r="AN58" i="65"/>
  <c r="AM58" i="65"/>
  <c r="AL58" i="65"/>
  <c r="AK58" i="65"/>
  <c r="AJ58" i="65"/>
  <c r="AI58" i="65"/>
  <c r="AH58" i="65"/>
  <c r="AG58" i="65"/>
  <c r="AF58" i="65"/>
  <c r="AE58" i="65"/>
  <c r="AD58" i="65"/>
  <c r="AC58" i="65"/>
  <c r="AB58" i="65"/>
  <c r="AA58" i="65"/>
  <c r="Z58" i="65"/>
  <c r="Y58" i="65"/>
  <c r="X58" i="65"/>
  <c r="W58" i="65"/>
  <c r="V58" i="65"/>
  <c r="U58" i="65"/>
  <c r="T58" i="65"/>
  <c r="S58" i="65"/>
  <c r="R58" i="65"/>
  <c r="Q58" i="65"/>
  <c r="P58" i="65"/>
  <c r="O58" i="65"/>
  <c r="N58" i="65"/>
  <c r="B59" i="63" a="1"/>
  <c r="B58" i="65"/>
  <c r="D58" i="65"/>
  <c r="M58" i="65"/>
  <c r="AN54" i="65"/>
  <c r="AD52" i="65"/>
  <c r="AC52" i="65"/>
  <c r="AB52" i="65"/>
  <c r="AA52" i="65"/>
  <c r="Z52" i="65"/>
  <c r="Y52" i="65"/>
  <c r="X52" i="65"/>
  <c r="W52" i="65"/>
  <c r="V52" i="65"/>
  <c r="U52" i="65"/>
  <c r="T52" i="65"/>
  <c r="S52" i="65"/>
  <c r="R52" i="65"/>
  <c r="Q52" i="65"/>
  <c r="P52" i="65"/>
  <c r="O52" i="65"/>
  <c r="BF41" i="65"/>
  <c r="DO46" i="59"/>
  <c r="BE41" i="65"/>
  <c r="DN46" i="59"/>
  <c r="BD41" i="65"/>
  <c r="DM46" i="59"/>
  <c r="BC41" i="65"/>
  <c r="DL46" i="59"/>
  <c r="BB41" i="65"/>
  <c r="DK46" i="59"/>
  <c r="DJ46" i="59"/>
  <c r="BA41" i="65"/>
  <c r="AY41" i="65"/>
  <c r="DI46" i="59"/>
  <c r="DH46" i="59"/>
  <c r="AX41" i="65"/>
  <c r="AV41" i="65"/>
  <c r="DG46" i="59"/>
  <c r="DF46" i="59"/>
  <c r="AU41" i="65"/>
  <c r="AS41" i="65"/>
  <c r="DE46" i="59"/>
  <c r="DD46" i="59"/>
  <c r="AR41" i="65"/>
  <c r="AP41" i="65"/>
  <c r="DC46" i="59"/>
  <c r="AM41" i="65"/>
  <c r="DB46" i="59"/>
  <c r="AJ41" i="65"/>
  <c r="DA46" i="59"/>
  <c r="AG41" i="65"/>
  <c r="CZ46" i="59"/>
  <c r="AD41" i="65"/>
  <c r="CY46" i="59"/>
  <c r="AA41" i="65"/>
  <c r="CX46" i="59"/>
  <c r="Z41" i="65"/>
  <c r="CW46" i="59"/>
  <c r="Y41" i="65"/>
  <c r="CV46" i="59"/>
  <c r="V41" i="65"/>
  <c r="CU46" i="59"/>
  <c r="S41" i="65"/>
  <c r="CT46" i="59"/>
  <c r="CS46" i="59"/>
  <c r="R41" i="65"/>
  <c r="O41" i="65"/>
  <c r="CR46" i="59"/>
  <c r="L41" i="65"/>
  <c r="CQ46" i="59"/>
  <c r="I41" i="65"/>
  <c r="CP46" i="59"/>
  <c r="BK41" i="65"/>
  <c r="B42" i="63" a="1"/>
  <c r="B41" i="65"/>
  <c r="D41" i="65"/>
  <c r="F41" i="65"/>
  <c r="CO46" i="59"/>
  <c r="AJ47" i="59"/>
  <c r="AI47" i="59"/>
  <c r="AH47" i="59"/>
  <c r="AG47" i="59"/>
  <c r="AF47" i="59"/>
  <c r="AE47" i="59"/>
  <c r="AD47" i="59"/>
  <c r="AC47" i="59"/>
  <c r="AB47" i="59"/>
  <c r="AA47" i="59"/>
  <c r="Z47" i="59"/>
  <c r="Y47" i="59"/>
  <c r="X47" i="59"/>
  <c r="W47" i="59"/>
  <c r="F47" i="59"/>
  <c r="G47" i="59"/>
  <c r="H47" i="59"/>
  <c r="I47" i="59"/>
  <c r="J47" i="59"/>
  <c r="K47" i="59"/>
  <c r="L47" i="59"/>
  <c r="M47" i="59"/>
  <c r="N47" i="59"/>
  <c r="O47" i="59"/>
  <c r="P47" i="59"/>
  <c r="Q47" i="59"/>
  <c r="R47" i="59"/>
  <c r="S47" i="59"/>
  <c r="T47" i="59"/>
  <c r="U47" i="59"/>
  <c r="V47" i="59"/>
  <c r="E47" i="59"/>
  <c r="CJ47" i="59"/>
  <c r="CI47" i="59"/>
  <c r="CH47" i="59"/>
  <c r="CG47" i="59"/>
  <c r="CF47" i="59"/>
  <c r="AZ42" i="65"/>
  <c r="CE47" i="59"/>
  <c r="CD47" i="59"/>
  <c r="AW42" i="65"/>
  <c r="CC47" i="59"/>
  <c r="CB47" i="59"/>
  <c r="AT42" i="65"/>
  <c r="CA47" i="59"/>
  <c r="BZ47" i="59"/>
  <c r="AQ42" i="65"/>
  <c r="BY47" i="59"/>
  <c r="AP42" i="65"/>
  <c r="BX47" i="59"/>
  <c r="AO42" i="65"/>
  <c r="BW47" i="59"/>
  <c r="AN42" i="65"/>
  <c r="BV47" i="59"/>
  <c r="AM42" i="65"/>
  <c r="BU47" i="59"/>
  <c r="AL42" i="65"/>
  <c r="BT47" i="59"/>
  <c r="AK42" i="65"/>
  <c r="BS47" i="59"/>
  <c r="AJ42" i="65"/>
  <c r="BR47" i="59"/>
  <c r="AI42" i="65"/>
  <c r="BQ47" i="59"/>
  <c r="AH42" i="65"/>
  <c r="BP47" i="59"/>
  <c r="AG42" i="65"/>
  <c r="BO47" i="59"/>
  <c r="AF42" i="65"/>
  <c r="BN47" i="59"/>
  <c r="AE42" i="65"/>
  <c r="BM47" i="59"/>
  <c r="AD42" i="65"/>
  <c r="BL47" i="59"/>
  <c r="AC42" i="65"/>
  <c r="BK47" i="59"/>
  <c r="AB42" i="65"/>
  <c r="BJ47" i="59"/>
  <c r="AA42" i="65"/>
  <c r="BI47" i="59"/>
  <c r="Z42" i="65"/>
  <c r="BH47" i="59"/>
  <c r="Y42" i="65"/>
  <c r="BG47" i="59"/>
  <c r="X42" i="65"/>
  <c r="BF47" i="59"/>
  <c r="W42" i="65"/>
  <c r="BE47" i="59"/>
  <c r="V42" i="65"/>
  <c r="BD47" i="59"/>
  <c r="U42" i="65"/>
  <c r="BC47" i="59"/>
  <c r="T42" i="65"/>
  <c r="BB47" i="59"/>
  <c r="S42" i="65"/>
  <c r="BA47" i="59"/>
  <c r="Q42" i="65"/>
  <c r="AZ47" i="59"/>
  <c r="P42" i="65"/>
  <c r="AY47" i="59"/>
  <c r="O42" i="65"/>
  <c r="AX47" i="59"/>
  <c r="BD50" i="65"/>
  <c r="BE50" i="65"/>
  <c r="BF50" i="65"/>
  <c r="BG50" i="65"/>
  <c r="BH50" i="65"/>
  <c r="BI50" i="65"/>
  <c r="BJ50" i="65"/>
  <c r="B51" i="63" a="1"/>
  <c r="B50" i="65"/>
  <c r="D50" i="65"/>
  <c r="BK50" i="65"/>
  <c r="F51" i="65"/>
  <c r="G51" i="65"/>
  <c r="H51" i="65"/>
  <c r="I51" i="65"/>
  <c r="J51" i="65"/>
  <c r="K51" i="65"/>
  <c r="L51" i="65"/>
  <c r="M51" i="65"/>
  <c r="N51" i="65"/>
  <c r="O51" i="65"/>
  <c r="P51" i="65"/>
  <c r="Q51" i="65"/>
  <c r="R51" i="65"/>
  <c r="S51" i="65"/>
  <c r="T51" i="65"/>
  <c r="U51" i="65"/>
  <c r="V51" i="65"/>
  <c r="W51" i="65"/>
  <c r="X51" i="65"/>
  <c r="Y51" i="65"/>
  <c r="Z51" i="65"/>
  <c r="AA51" i="65"/>
  <c r="AB51" i="65"/>
  <c r="AC51" i="65"/>
  <c r="AD51" i="65"/>
  <c r="AE51" i="65"/>
  <c r="AF51" i="65"/>
  <c r="AG51" i="65"/>
  <c r="AH51" i="65"/>
  <c r="AI51" i="65"/>
  <c r="AJ51" i="65"/>
  <c r="AK51" i="65"/>
  <c r="AL51" i="65"/>
  <c r="AM51" i="65"/>
  <c r="AN51" i="65"/>
  <c r="AO51" i="65"/>
  <c r="AP51" i="65"/>
  <c r="AQ51" i="65"/>
  <c r="AR51" i="65"/>
  <c r="AS51" i="65"/>
  <c r="DD47" i="59"/>
  <c r="AR42" i="65"/>
  <c r="AS42" i="65"/>
  <c r="DE47" i="59"/>
  <c r="DF47" i="59"/>
  <c r="AU42" i="65"/>
  <c r="AV42" i="65"/>
  <c r="DG47" i="59"/>
  <c r="DH47" i="59"/>
  <c r="AX42" i="65"/>
  <c r="AY42" i="65"/>
  <c r="DI47" i="59"/>
  <c r="DJ47" i="59"/>
  <c r="BA42" i="65"/>
  <c r="BB42" i="65"/>
  <c r="DK47" i="59"/>
  <c r="BC42" i="65"/>
  <c r="DL47" i="59"/>
  <c r="BD42" i="65"/>
  <c r="DM47" i="59"/>
  <c r="BE42" i="65"/>
  <c r="DN47" i="59"/>
  <c r="BF42" i="65"/>
  <c r="DO47" i="59"/>
  <c r="BG42" i="65"/>
  <c r="F42" i="65"/>
  <c r="AO47" i="59"/>
  <c r="G42" i="65"/>
  <c r="AP47" i="59"/>
  <c r="H42" i="65"/>
  <c r="AQ47" i="59"/>
  <c r="I42" i="65"/>
  <c r="AR47" i="59"/>
  <c r="J42" i="65"/>
  <c r="AS47" i="59"/>
  <c r="K42" i="65"/>
  <c r="AT47" i="59"/>
  <c r="L42" i="65"/>
  <c r="AU47" i="59"/>
  <c r="M42" i="65"/>
  <c r="AV47" i="59"/>
  <c r="B43" i="63" a="1"/>
  <c r="B42" i="65"/>
  <c r="D42" i="65"/>
  <c r="N42" i="65"/>
  <c r="AW47" i="59"/>
  <c r="AW47" i="65"/>
  <c r="AV47" i="65"/>
  <c r="AU47" i="65"/>
  <c r="AT47" i="65"/>
  <c r="AS47" i="65"/>
  <c r="AR47" i="65"/>
  <c r="AQ47" i="65"/>
  <c r="AP47" i="65"/>
  <c r="AO47" i="65"/>
  <c r="AN47" i="65"/>
  <c r="AM47" i="65"/>
  <c r="AL47" i="65"/>
  <c r="AK47" i="65"/>
  <c r="AJ47" i="65"/>
  <c r="AI47" i="65"/>
  <c r="AH47" i="65"/>
  <c r="AG47" i="65"/>
  <c r="AF47" i="65"/>
  <c r="AE47" i="65"/>
  <c r="AD47" i="65"/>
  <c r="AC47" i="65"/>
  <c r="AB47" i="65"/>
  <c r="AA47" i="65"/>
  <c r="Z47" i="65"/>
  <c r="Y47" i="65"/>
  <c r="X47" i="65"/>
  <c r="W47" i="65"/>
  <c r="V47" i="65"/>
  <c r="U47" i="65"/>
  <c r="T47" i="65"/>
  <c r="S47" i="65"/>
  <c r="R47" i="65"/>
  <c r="Q47" i="65"/>
  <c r="P47" i="65"/>
  <c r="O47" i="65"/>
  <c r="N47" i="65"/>
  <c r="M47" i="65"/>
  <c r="L47" i="65"/>
  <c r="K47" i="65"/>
  <c r="J47" i="65"/>
  <c r="I47" i="65"/>
  <c r="H47" i="65"/>
  <c r="G47" i="65"/>
  <c r="B48" i="63" a="1"/>
  <c r="B47" i="65"/>
  <c r="D47" i="65"/>
  <c r="F47" i="65"/>
  <c r="BK46" i="65"/>
  <c r="BJ46" i="65"/>
  <c r="BI46" i="65"/>
  <c r="BH46" i="65"/>
  <c r="BG46" i="65"/>
  <c r="B47" i="63" a="1"/>
  <c r="B46" i="65"/>
  <c r="D46" i="65"/>
  <c r="BF46" i="65"/>
  <c r="AU51" i="65"/>
  <c r="AT51" i="65"/>
  <c r="BA52" i="65"/>
  <c r="BB52" i="65"/>
  <c r="BC52" i="65"/>
  <c r="BD52" i="65"/>
  <c r="BE52" i="65"/>
  <c r="BF52" i="65"/>
  <c r="BG52" i="65"/>
  <c r="BH52" i="65"/>
  <c r="BI52" i="65"/>
  <c r="BJ52" i="65"/>
  <c r="BK52" i="65"/>
  <c r="F53" i="65"/>
  <c r="G53" i="65"/>
  <c r="H53" i="65"/>
  <c r="I53" i="65"/>
  <c r="J53" i="65"/>
  <c r="K53" i="65"/>
  <c r="L53" i="65"/>
  <c r="M53" i="65"/>
  <c r="N53" i="65"/>
  <c r="O53" i="65"/>
  <c r="P53" i="65"/>
  <c r="Q53" i="65"/>
  <c r="R53" i="65"/>
  <c r="S53" i="65"/>
  <c r="T53" i="65"/>
  <c r="U53" i="65"/>
  <c r="V53" i="65"/>
  <c r="W53" i="65"/>
  <c r="X53" i="65"/>
  <c r="Y53" i="65"/>
  <c r="AV51" i="65"/>
  <c r="AW51" i="65"/>
  <c r="AX51" i="65"/>
  <c r="AY51" i="65"/>
  <c r="AZ51" i="65"/>
  <c r="BA51" i="65"/>
  <c r="BB51" i="65"/>
  <c r="BC51" i="65"/>
  <c r="BD51" i="65"/>
  <c r="BE51" i="65"/>
  <c r="BF51" i="65"/>
  <c r="BG51" i="65"/>
  <c r="BH51" i="65"/>
  <c r="BI51" i="65"/>
  <c r="BJ51" i="65"/>
  <c r="B52" i="63" a="1"/>
  <c r="B51" i="65"/>
  <c r="D51" i="65"/>
  <c r="BK51" i="65"/>
  <c r="F52" i="65"/>
  <c r="G52" i="65"/>
  <c r="H52" i="65"/>
  <c r="I52" i="65"/>
  <c r="J52" i="65"/>
  <c r="K52" i="65"/>
  <c r="L52" i="65"/>
  <c r="M52" i="65"/>
  <c r="N52" i="65"/>
  <c r="AE52" i="65"/>
  <c r="AF52" i="65"/>
  <c r="AG52" i="65"/>
  <c r="AH52" i="65"/>
  <c r="AI52" i="65"/>
  <c r="AJ52" i="65"/>
  <c r="AK52" i="65"/>
  <c r="AL52" i="65"/>
  <c r="AM52" i="65"/>
  <c r="AN52" i="65"/>
  <c r="AO52" i="65"/>
  <c r="AP52" i="65"/>
  <c r="AQ52" i="65"/>
  <c r="AR52" i="65"/>
  <c r="AS52" i="65"/>
  <c r="AT52" i="65"/>
  <c r="AU52" i="65"/>
  <c r="AV52" i="65"/>
  <c r="AW52" i="65"/>
  <c r="AX52" i="65"/>
  <c r="AY52" i="65"/>
  <c r="B53" i="63" a="1"/>
  <c r="B52" i="65"/>
  <c r="D52" i="65"/>
  <c r="AZ52" i="65"/>
  <c r="Z53" i="65"/>
  <c r="AA53" i="65"/>
  <c r="AB53" i="65"/>
  <c r="AC53" i="65"/>
  <c r="AD53" i="65"/>
  <c r="AE53" i="65"/>
  <c r="AF53" i="65"/>
  <c r="AG53" i="65"/>
  <c r="AH53" i="65"/>
  <c r="AI53" i="65"/>
  <c r="AJ53" i="65"/>
  <c r="AK53" i="65"/>
  <c r="AL53" i="65"/>
  <c r="AM53" i="65"/>
  <c r="AN53" i="65"/>
  <c r="AO53" i="65"/>
  <c r="AP53" i="65"/>
  <c r="AQ53" i="65"/>
  <c r="AR53" i="65"/>
  <c r="AS53" i="65"/>
  <c r="AT53" i="65"/>
  <c r="AU53" i="65"/>
  <c r="AV53" i="65"/>
  <c r="AW53" i="65"/>
  <c r="AX53" i="65"/>
  <c r="AY53" i="65"/>
  <c r="AZ53" i="65"/>
  <c r="BA53" i="65"/>
  <c r="BB53" i="65"/>
  <c r="BC53" i="65"/>
  <c r="BD53" i="65"/>
  <c r="BE53" i="65"/>
  <c r="BF53" i="65"/>
  <c r="BG53" i="65"/>
  <c r="BH53" i="65"/>
  <c r="BI53" i="65"/>
  <c r="BJ53" i="65"/>
  <c r="B54" i="63" a="1"/>
  <c r="B53" i="65"/>
  <c r="D53" i="65"/>
  <c r="BK53" i="65"/>
  <c r="F54" i="65"/>
  <c r="G54" i="65"/>
  <c r="H54" i="65"/>
  <c r="I54" i="65"/>
  <c r="J54" i="65"/>
  <c r="K54" i="65"/>
  <c r="L54" i="65"/>
  <c r="M54" i="65"/>
  <c r="N54" i="65"/>
  <c r="O54" i="65"/>
  <c r="P54" i="65"/>
  <c r="Q54" i="65"/>
  <c r="R54" i="65"/>
  <c r="S54" i="65"/>
  <c r="T54" i="65"/>
  <c r="U54" i="65"/>
  <c r="V54" i="65"/>
  <c r="W54" i="65"/>
  <c r="X54" i="65"/>
  <c r="Y54" i="65"/>
  <c r="Z54" i="65"/>
  <c r="AA54" i="65"/>
  <c r="AB54" i="65"/>
  <c r="AC54" i="65"/>
  <c r="AD54" i="65"/>
  <c r="AE54" i="65"/>
  <c r="AF54" i="65"/>
  <c r="AG54" i="65"/>
  <c r="AH54" i="65"/>
  <c r="AI54" i="65"/>
  <c r="AJ54" i="65"/>
  <c r="AK54" i="65"/>
  <c r="AL54" i="65"/>
  <c r="B55" i="63" a="1"/>
  <c r="B54" i="65"/>
  <c r="D54" i="65"/>
  <c r="AM54" i="65"/>
  <c r="B41" i="63" a="1"/>
  <c r="M8" i="44"/>
</calcChain>
</file>

<file path=xl/comments1.xml><?xml version="1.0" encoding="utf-8"?>
<comments xmlns="http://schemas.openxmlformats.org/spreadsheetml/2006/main">
  <authors>
    <author>Jon Dickinson</author>
  </authors>
  <commentList>
    <comment ref="J116" authorId="0">
      <text>
        <r>
          <rPr>
            <sz val="10"/>
            <color indexed="81"/>
            <rFont val="Calibri"/>
          </rPr>
          <t>Note 4</t>
        </r>
      </text>
    </comment>
    <comment ref="K116" authorId="0">
      <text>
        <r>
          <rPr>
            <b/>
            <sz val="10"/>
            <color indexed="81"/>
            <rFont val="Calibri"/>
          </rPr>
          <t>Note 5</t>
        </r>
      </text>
    </comment>
    <comment ref="J118" authorId="0">
      <text>
        <r>
          <rPr>
            <b/>
            <sz val="10"/>
            <color indexed="81"/>
            <rFont val="Calibri"/>
          </rPr>
          <t>Jon Dickinson:</t>
        </r>
        <r>
          <rPr>
            <sz val="10"/>
            <color indexed="81"/>
            <rFont val="Calibri"/>
          </rPr>
          <t xml:space="preserve">
range is 40%-50%</t>
        </r>
      </text>
    </comment>
    <comment ref="B161" authorId="0">
      <text>
        <r>
          <rPr>
            <b/>
            <sz val="10"/>
            <color indexed="81"/>
            <rFont val="Calibri"/>
          </rPr>
          <t>Jon Dickinson:</t>
        </r>
        <r>
          <rPr>
            <sz val="10"/>
            <color indexed="81"/>
            <rFont val="Calibri"/>
          </rPr>
          <t xml:space="preserve">
Note 3</t>
        </r>
      </text>
    </comment>
    <comment ref="D163" authorId="0">
      <text>
        <r>
          <rPr>
            <b/>
            <sz val="10"/>
            <color indexed="81"/>
            <rFont val="Calibri"/>
          </rPr>
          <t>Jon Dickinson:</t>
        </r>
        <r>
          <rPr>
            <sz val="10"/>
            <color indexed="81"/>
            <rFont val="Calibri"/>
          </rPr>
          <t xml:space="preserve">
Note 4</t>
        </r>
      </text>
    </comment>
    <comment ref="E166" authorId="0">
      <text>
        <r>
          <rPr>
            <b/>
            <sz val="10"/>
            <color indexed="81"/>
            <rFont val="Calibri"/>
          </rPr>
          <t>Jon Dickinson:</t>
        </r>
        <r>
          <rPr>
            <sz val="10"/>
            <color indexed="81"/>
            <rFont val="Calibri"/>
          </rPr>
          <t xml:space="preserve">
Note 5</t>
        </r>
      </text>
    </comment>
    <comment ref="F166" authorId="0">
      <text>
        <r>
          <rPr>
            <b/>
            <sz val="10"/>
            <color indexed="81"/>
            <rFont val="Calibri"/>
          </rPr>
          <t>Jon Dickinson:</t>
        </r>
        <r>
          <rPr>
            <sz val="10"/>
            <color indexed="81"/>
            <rFont val="Calibri"/>
          </rPr>
          <t xml:space="preserve">
Note 5</t>
        </r>
      </text>
    </comment>
    <comment ref="G166" authorId="0">
      <text>
        <r>
          <rPr>
            <b/>
            <sz val="10"/>
            <color indexed="81"/>
            <rFont val="Calibri"/>
          </rPr>
          <t>Jon Dickinson:</t>
        </r>
        <r>
          <rPr>
            <sz val="10"/>
            <color indexed="81"/>
            <rFont val="Calibri"/>
          </rPr>
          <t xml:space="preserve">
Note 5</t>
        </r>
      </text>
    </comment>
    <comment ref="H166" authorId="0">
      <text>
        <r>
          <rPr>
            <b/>
            <sz val="10"/>
            <color indexed="81"/>
            <rFont val="Calibri"/>
          </rPr>
          <t>Jon Dickinson:</t>
        </r>
        <r>
          <rPr>
            <sz val="10"/>
            <color indexed="81"/>
            <rFont val="Calibri"/>
          </rPr>
          <t xml:space="preserve">
Note 5</t>
        </r>
      </text>
    </comment>
    <comment ref="B168" authorId="0">
      <text>
        <r>
          <rPr>
            <b/>
            <sz val="10"/>
            <color indexed="81"/>
            <rFont val="Calibri"/>
          </rPr>
          <t>Jon Dickinson:</t>
        </r>
        <r>
          <rPr>
            <sz val="10"/>
            <color indexed="81"/>
            <rFont val="Calibri"/>
          </rPr>
          <t xml:space="preserve">
Note 6</t>
        </r>
      </text>
    </comment>
    <comment ref="B169" authorId="0">
      <text>
        <r>
          <rPr>
            <b/>
            <sz val="10"/>
            <color indexed="81"/>
            <rFont val="Calibri"/>
          </rPr>
          <t>Jon Dickinson:</t>
        </r>
        <r>
          <rPr>
            <sz val="10"/>
            <color indexed="81"/>
            <rFont val="Calibri"/>
          </rPr>
          <t xml:space="preserve">
Note 6</t>
        </r>
      </text>
    </comment>
  </commentList>
</comments>
</file>

<file path=xl/comments2.xml><?xml version="1.0" encoding="utf-8"?>
<comments xmlns="http://schemas.openxmlformats.org/spreadsheetml/2006/main">
  <authors>
    <author>Jon Dickinson</author>
  </authors>
  <commentList>
    <comment ref="J77" authorId="0">
      <text>
        <r>
          <rPr>
            <b/>
            <sz val="10"/>
            <color indexed="81"/>
            <rFont val="Calibri"/>
          </rPr>
          <t xml:space="preserve">Jon Dickinson:
</t>
        </r>
        <r>
          <rPr>
            <sz val="10"/>
            <color indexed="81"/>
            <rFont val="Calibri"/>
          </rPr>
          <t>Include notice if total is &lt;&gt; 100%</t>
        </r>
      </text>
    </comment>
    <comment ref="U131" authorId="0">
      <text>
        <r>
          <rPr>
            <b/>
            <sz val="10"/>
            <color indexed="81"/>
            <rFont val="Calibri"/>
          </rPr>
          <t>Jon Dickinson:</t>
        </r>
        <r>
          <rPr>
            <sz val="10"/>
            <color indexed="81"/>
            <rFont val="Calibri"/>
          </rPr>
          <t xml:space="preserve">
Include notification if total exceeds or is under 100%</t>
        </r>
      </text>
    </comment>
  </commentList>
</comments>
</file>

<file path=xl/comments3.xml><?xml version="1.0" encoding="utf-8"?>
<comments xmlns="http://schemas.openxmlformats.org/spreadsheetml/2006/main">
  <authors>
    <author>Michael Doust</author>
  </authors>
  <commentList>
    <comment ref="X6" authorId="0">
      <text>
        <r>
          <rPr>
            <b/>
            <sz val="9"/>
            <color indexed="81"/>
            <rFont val="Calibri"/>
            <family val="2"/>
          </rPr>
          <t>Distillate fuel oils No 1, No2 and No 3</t>
        </r>
      </text>
    </comment>
    <comment ref="AB6" authorId="0">
      <text>
        <r>
          <rPr>
            <b/>
            <sz val="9"/>
            <color indexed="81"/>
            <rFont val="Calibri"/>
            <family val="2"/>
          </rPr>
          <t>Distillate fuel oils No 1, No2 and No 3</t>
        </r>
      </text>
    </comment>
    <comment ref="O8" authorId="0">
      <text>
        <r>
          <rPr>
            <b/>
            <sz val="9"/>
            <color indexed="81"/>
            <rFont val="Calibri"/>
            <family val="2"/>
          </rPr>
          <t>Distillate fuel oils No 1, No2 and No 3</t>
        </r>
      </text>
    </comment>
    <comment ref="X10" authorId="0">
      <text>
        <r>
          <rPr>
            <b/>
            <sz val="9"/>
            <color indexed="81"/>
            <rFont val="Calibri"/>
            <family val="2"/>
          </rPr>
          <t>Residual fuel oils No 5 and No 6</t>
        </r>
        <r>
          <rPr>
            <sz val="9"/>
            <color indexed="81"/>
            <rFont val="Calibri"/>
            <family val="2"/>
          </rPr>
          <t xml:space="preserve">
</t>
        </r>
      </text>
    </comment>
    <comment ref="AB10" authorId="0">
      <text>
        <r>
          <rPr>
            <b/>
            <sz val="9"/>
            <color indexed="81"/>
            <rFont val="Calibri"/>
            <family val="2"/>
          </rPr>
          <t>Residual fuel oils No 5 and No 6</t>
        </r>
        <r>
          <rPr>
            <sz val="9"/>
            <color indexed="81"/>
            <rFont val="Calibri"/>
            <family val="2"/>
          </rPr>
          <t xml:space="preserve">
</t>
        </r>
      </text>
    </comment>
    <comment ref="O12" authorId="0">
      <text>
        <r>
          <rPr>
            <b/>
            <sz val="9"/>
            <color indexed="81"/>
            <rFont val="Calibri"/>
            <family val="2"/>
          </rPr>
          <t>Residual fuel oils No 5 and No 6</t>
        </r>
        <r>
          <rPr>
            <sz val="9"/>
            <color indexed="81"/>
            <rFont val="Calibri"/>
            <family val="2"/>
          </rPr>
          <t xml:space="preserve">
</t>
        </r>
      </text>
    </comment>
  </commentList>
</comments>
</file>

<file path=xl/sharedStrings.xml><?xml version="1.0" encoding="utf-8"?>
<sst xmlns="http://schemas.openxmlformats.org/spreadsheetml/2006/main" count="15371" uniqueCount="2733">
  <si>
    <t>Sectors and sub-sectors</t>
  </si>
  <si>
    <t>Scope 1</t>
  </si>
  <si>
    <t>Scope 2</t>
  </si>
  <si>
    <t>Scope 3</t>
  </si>
  <si>
    <t>STATIONARY ENERGY</t>
  </si>
  <si>
    <t>Residential buildings</t>
  </si>
  <si>
    <t>Commercial buildings</t>
  </si>
  <si>
    <t>Institutional buildings</t>
  </si>
  <si>
    <t>Manufacturing industries and construction</t>
  </si>
  <si>
    <t>Energy industries</t>
  </si>
  <si>
    <t>Energy generation supplied to the grid</t>
  </si>
  <si>
    <t xml:space="preserve">Agriculture, forestry, and fishing activities </t>
  </si>
  <si>
    <t>Non-specified sources</t>
  </si>
  <si>
    <t>Fugitive emissions from mining, processing, storage, and transportation of coal</t>
  </si>
  <si>
    <t>Fugitive emissions from oil and natural gas systems</t>
  </si>
  <si>
    <t>TRANSPORTATION</t>
  </si>
  <si>
    <t>On-road</t>
  </si>
  <si>
    <t>Railways</t>
  </si>
  <si>
    <t>Waterborne navigation</t>
  </si>
  <si>
    <t>Aviation</t>
  </si>
  <si>
    <t>Off-road</t>
  </si>
  <si>
    <t>WASTE</t>
  </si>
  <si>
    <t>Solid waste generated in the city</t>
  </si>
  <si>
    <t>Solid waste generated outside the city</t>
  </si>
  <si>
    <t>Biological waste generated in the city</t>
  </si>
  <si>
    <t>Biological waste generated outside the city</t>
  </si>
  <si>
    <t>Incinerated and burned waste generated in the city</t>
  </si>
  <si>
    <t xml:space="preserve">Incinerated and burned waste generated outside city  </t>
  </si>
  <si>
    <t xml:space="preserve">Wastewater generated in the city </t>
  </si>
  <si>
    <t>Wastewater generated outside the city</t>
  </si>
  <si>
    <t>Industrial processes</t>
  </si>
  <si>
    <t>Product use</t>
  </si>
  <si>
    <t>Livestock</t>
  </si>
  <si>
    <t>Land</t>
  </si>
  <si>
    <t>Other agriculture</t>
  </si>
  <si>
    <t>OTHER SCOPE 3</t>
  </si>
  <si>
    <t>a</t>
  </si>
  <si>
    <t>GPC ref No.</t>
  </si>
  <si>
    <t>Scope</t>
  </si>
  <si>
    <t>GHG Emissions Source (By Sector and Sub-sector)</t>
  </si>
  <si>
    <t>Notation keys</t>
  </si>
  <si>
    <t>Data Quality</t>
  </si>
  <si>
    <t>HFC</t>
  </si>
  <si>
    <t>PFC</t>
  </si>
  <si>
    <t>AD</t>
  </si>
  <si>
    <t>EF</t>
  </si>
  <si>
    <t>I</t>
  </si>
  <si>
    <t xml:space="preserve">STATIONARY ENERGY </t>
  </si>
  <si>
    <t>I.1</t>
  </si>
  <si>
    <t>I.1.1</t>
  </si>
  <si>
    <t>Emissions from fuel combustion within the city boundary</t>
  </si>
  <si>
    <t>I.1.2</t>
  </si>
  <si>
    <t>Emissions from grid-supplied energy consumed within the city boundary</t>
  </si>
  <si>
    <t>I.1.3</t>
  </si>
  <si>
    <t>Transmission and distribution losses from grid-supplied energy</t>
  </si>
  <si>
    <t>I.2</t>
  </si>
  <si>
    <t>Commercial and institutional buildings and facilities</t>
  </si>
  <si>
    <t>I.2.1</t>
  </si>
  <si>
    <t>I.2.2</t>
  </si>
  <si>
    <t>I.2.3</t>
  </si>
  <si>
    <t>I.3</t>
  </si>
  <si>
    <t>I.3.1</t>
  </si>
  <si>
    <t>I.3.2</t>
  </si>
  <si>
    <t>I.3.3</t>
  </si>
  <si>
    <t>I.4</t>
  </si>
  <si>
    <t>I.4.1</t>
  </si>
  <si>
    <t>Emissions from energy production used in power plant auxiliary operations within the city</t>
  </si>
  <si>
    <t>I.4.2</t>
  </si>
  <si>
    <t>Emissions from grid-supplied energy consumed by energy industries</t>
  </si>
  <si>
    <t>I.4.3</t>
  </si>
  <si>
    <t>Emissions from transmission and distribution losses from grid-supplied energy used in power plant auxiliary operations</t>
  </si>
  <si>
    <t>I.4.4</t>
  </si>
  <si>
    <t>Emissions from energy generation supplied to the grid</t>
  </si>
  <si>
    <t>I.5</t>
  </si>
  <si>
    <t>Agriculture, forestry and fishing activities</t>
  </si>
  <si>
    <t>I.5.1</t>
  </si>
  <si>
    <t>I.5.2</t>
  </si>
  <si>
    <t>I.5.3</t>
  </si>
  <si>
    <t>I.6</t>
  </si>
  <si>
    <t>I.6.1</t>
  </si>
  <si>
    <t>I.6.2</t>
  </si>
  <si>
    <t>I.6.3</t>
  </si>
  <si>
    <t>I.7</t>
  </si>
  <si>
    <t>I.7.1</t>
  </si>
  <si>
    <t>Emissions from fugitive emissions within the city boundary</t>
  </si>
  <si>
    <t>I.8</t>
  </si>
  <si>
    <t>I.8.1</t>
  </si>
  <si>
    <t>II</t>
  </si>
  <si>
    <t>II.1</t>
  </si>
  <si>
    <t>On-road transportation</t>
  </si>
  <si>
    <t>II.1.1</t>
  </si>
  <si>
    <t>Emissions from fuel combustion on-road transportation occurring in the city</t>
  </si>
  <si>
    <t>II.1.2</t>
  </si>
  <si>
    <t>Emissions from grid-supplied energy consumed in the city for on-road transportation</t>
  </si>
  <si>
    <t>II.1.3</t>
  </si>
  <si>
    <t>II.2</t>
  </si>
  <si>
    <t>II.2.1</t>
  </si>
  <si>
    <t>Emissions from fuel combustion for railway transportation occurring in the city</t>
  </si>
  <si>
    <t>II.2.2</t>
  </si>
  <si>
    <t>Emissions from grid-supplied energy consumed in the city for railways</t>
  </si>
  <si>
    <t>II.2.3</t>
  </si>
  <si>
    <t>II.3</t>
  </si>
  <si>
    <t>II.3.1</t>
  </si>
  <si>
    <t>Emissions from fuel combustion for waterborne navigation occurring in the city</t>
  </si>
  <si>
    <t>II.3.2</t>
  </si>
  <si>
    <t>Emissions from grid-supplied energy consumed in the city for waterborne navigation</t>
  </si>
  <si>
    <t>II.3.3</t>
  </si>
  <si>
    <t>II.4</t>
  </si>
  <si>
    <t>II.4.1</t>
  </si>
  <si>
    <t>Emissions from fuel combustion for aviation occurring in the city</t>
  </si>
  <si>
    <t>II.4.2</t>
  </si>
  <si>
    <t>Emissions from grid-supplied energy consumed in the city for aviation</t>
  </si>
  <si>
    <t>II.4.3</t>
  </si>
  <si>
    <t>II.5</t>
  </si>
  <si>
    <t>Off-road transportation</t>
  </si>
  <si>
    <t>II.5.1</t>
  </si>
  <si>
    <t>Emissions from fuel combustion for off-road transportation occurring in the city</t>
  </si>
  <si>
    <t>II.5.2</t>
  </si>
  <si>
    <t>Emissions from grid-supplied energy consumed in the city for off-road transportation</t>
  </si>
  <si>
    <t>III</t>
  </si>
  <si>
    <t xml:space="preserve">WASTE </t>
  </si>
  <si>
    <t>Solid waste disposal</t>
  </si>
  <si>
    <t>III.1.1</t>
  </si>
  <si>
    <t xml:space="preserve">Emissions from solid waste generated in the city and disposed in landfills or open dumps within the city  </t>
  </si>
  <si>
    <t>III.1.2</t>
  </si>
  <si>
    <t xml:space="preserve">Emissions from solid waste generated in the city but disposed in landfills or open dumps outside the city  </t>
  </si>
  <si>
    <t>III.1.3</t>
  </si>
  <si>
    <t xml:space="preserve">Emissions from waste generated outside the city and disposed in landfills or open dumps within the city  </t>
  </si>
  <si>
    <t>Biological treatment of waste</t>
  </si>
  <si>
    <t>III.2.1</t>
  </si>
  <si>
    <t>III.2.2</t>
  </si>
  <si>
    <t xml:space="preserve">Emissions from solid waste generated in the city but treated biologically outside of the city </t>
  </si>
  <si>
    <t>III.2.3</t>
  </si>
  <si>
    <t>Emissions from waste generated outside the city boundary but treated in the city</t>
  </si>
  <si>
    <t>Incineration and open burning</t>
  </si>
  <si>
    <t>III.3.1</t>
  </si>
  <si>
    <t xml:space="preserve">Emissions from waste generated and treated within the city  </t>
  </si>
  <si>
    <t>III.3.2</t>
  </si>
  <si>
    <t xml:space="preserve">Emissions from waste generated within but treated outside of the city </t>
  </si>
  <si>
    <t>III.3.3</t>
  </si>
  <si>
    <t>Emissions from waste generated outside the city boundary but treated within the city</t>
  </si>
  <si>
    <t>Wastewater treatment and discharge</t>
  </si>
  <si>
    <t>III.4.1</t>
  </si>
  <si>
    <t xml:space="preserve">Emissions from wastewater generated and treated within the city  </t>
  </si>
  <si>
    <t>III.4.2</t>
  </si>
  <si>
    <t xml:space="preserve">Emissions from wastewater generated within but treated outside of the city </t>
  </si>
  <si>
    <t>III.4.3</t>
  </si>
  <si>
    <t>Emissions from wastewater generated outside the city boundary but treated within the city</t>
  </si>
  <si>
    <t>IV</t>
  </si>
  <si>
    <t>INDUSTRIAL PROCESSES and PRODUCT USES (IPPU)</t>
  </si>
  <si>
    <t>IV.1</t>
  </si>
  <si>
    <t>Emissions from industrial processes occurring in the city boundary</t>
  </si>
  <si>
    <t>IV.2</t>
  </si>
  <si>
    <t>Emissions from product use occurring within the city boundary</t>
  </si>
  <si>
    <t>V</t>
  </si>
  <si>
    <t>AGRICULTURE, FORESTRY and OTHER LAND USE (AFOLU)</t>
  </si>
  <si>
    <t>V.1</t>
  </si>
  <si>
    <t>Emissions from livestock</t>
  </si>
  <si>
    <t>Emissions from land</t>
  </si>
  <si>
    <t>Emissions from aggregate sources and non-CO2 emission sources on land</t>
  </si>
  <si>
    <t>VI</t>
  </si>
  <si>
    <t>VI.1</t>
  </si>
  <si>
    <t>Other Scope 3</t>
  </si>
  <si>
    <t>III.1</t>
  </si>
  <si>
    <t>III.2</t>
  </si>
  <si>
    <t>III.3</t>
  </si>
  <si>
    <t>III.4</t>
  </si>
  <si>
    <t>V.2</t>
  </si>
  <si>
    <t>V.3</t>
  </si>
  <si>
    <t>Activity data</t>
  </si>
  <si>
    <t>Amount</t>
  </si>
  <si>
    <t>Units</t>
  </si>
  <si>
    <t>BASIC</t>
  </si>
  <si>
    <t>BASIC+</t>
  </si>
  <si>
    <t>Total</t>
  </si>
  <si>
    <t>NO</t>
  </si>
  <si>
    <t>IE</t>
  </si>
  <si>
    <t>NE</t>
  </si>
  <si>
    <t>Data quality</t>
  </si>
  <si>
    <t>L</t>
  </si>
  <si>
    <t>M</t>
  </si>
  <si>
    <t>H</t>
  </si>
  <si>
    <t>Please select</t>
  </si>
  <si>
    <t>Electricity</t>
  </si>
  <si>
    <t>Heating</t>
  </si>
  <si>
    <t>Steam</t>
  </si>
  <si>
    <t>Cooling</t>
  </si>
  <si>
    <t>Energy use (all emissions except I.4.4)</t>
  </si>
  <si>
    <t>Energy generation supplied to the grid (I.4.4)</t>
  </si>
  <si>
    <t>Motor gasoline (petrol)</t>
  </si>
  <si>
    <t>Aviation gasoline</t>
  </si>
  <si>
    <t>Jet kerosene</t>
  </si>
  <si>
    <t>Kerosene</t>
  </si>
  <si>
    <t>Biogasoline</t>
  </si>
  <si>
    <t>Ethanol</t>
  </si>
  <si>
    <t>E85</t>
  </si>
  <si>
    <t>Other biogas</t>
  </si>
  <si>
    <t>Other</t>
  </si>
  <si>
    <t>Cattle</t>
  </si>
  <si>
    <t>Buffalo</t>
  </si>
  <si>
    <t>Sheep</t>
  </si>
  <si>
    <t>Goats</t>
  </si>
  <si>
    <t>Camels</t>
  </si>
  <si>
    <t>Horses</t>
  </si>
  <si>
    <t>Mules and Asses</t>
  </si>
  <si>
    <t>Swine</t>
  </si>
  <si>
    <t>Poultry</t>
  </si>
  <si>
    <t>TRANSPORT</t>
  </si>
  <si>
    <t>IPPU</t>
  </si>
  <si>
    <t>AFOLU</t>
  </si>
  <si>
    <t>Domestic wastewater</t>
  </si>
  <si>
    <t>Industrial wastewater</t>
  </si>
  <si>
    <t>All wastewater</t>
  </si>
  <si>
    <t>Aggregate sources</t>
  </si>
  <si>
    <t>All organic waste</t>
  </si>
  <si>
    <t>C</t>
  </si>
  <si>
    <t>Harvested wood products</t>
  </si>
  <si>
    <t>Indirect N2O from managed soils</t>
  </si>
  <si>
    <t>Indirect N2O from manure management</t>
  </si>
  <si>
    <t>Coal (manufactured solid fuels)</t>
  </si>
  <si>
    <t>Coal (bituminous or black coal)</t>
  </si>
  <si>
    <t>Coal (coke)</t>
  </si>
  <si>
    <t>II.2 RAILWAYS</t>
  </si>
  <si>
    <t>II.1 ON-ROAD TRANSPORTATION</t>
  </si>
  <si>
    <t>II TRANSPORTATION</t>
  </si>
  <si>
    <t>II.3 WATERBORNE NAVIGATION</t>
  </si>
  <si>
    <t>II.4 AVIATION</t>
  </si>
  <si>
    <t>II.5 OFF-ROAD TRANSPORTATION</t>
  </si>
  <si>
    <t>I.1 RESIDENTIAL BUILDINGS</t>
  </si>
  <si>
    <t>I.2 COMMERCIAL AND INSTITUTIONAL BUILDINGS AND FACILITIES</t>
  </si>
  <si>
    <t>I.4 ENERGY INDUSTRIES</t>
  </si>
  <si>
    <t>I.5 AGRICULTURE, FORESTRY AND FISHING ACTIVITIES</t>
  </si>
  <si>
    <t>I.3 MANUFACTURING INDUSTRIES AND CONSTRUCTION</t>
  </si>
  <si>
    <t>I.6 NON-SPECIFIED SOURCES</t>
  </si>
  <si>
    <t>I.7 FUGITIVE EMISSIONS FROM MINING, PROCESSING, STORAGE AND TRANSPORTATION OF COAL</t>
  </si>
  <si>
    <t>I.8 FUGITIVE EMISSIONS FROM OIL AND NATURAL GAS SYSTEMS</t>
  </si>
  <si>
    <t>III WASTE</t>
  </si>
  <si>
    <t>III.1 SOLID WASTE DISPOSAL</t>
  </si>
  <si>
    <t>III.4 WASTEWATER TREATMENT AND DISCHARGE</t>
  </si>
  <si>
    <t>III.3 INCINERATION AND OPEN BURNING</t>
  </si>
  <si>
    <t>III.2 BIOLOGICAL TREATMENT OF WASTE</t>
  </si>
  <si>
    <t>Description</t>
  </si>
  <si>
    <t>GHG Emissions Source</t>
  </si>
  <si>
    <t>Activity</t>
  </si>
  <si>
    <t>IV INDUSTRIAL PROCESSES AND PRODUCT USE (IPPU)</t>
  </si>
  <si>
    <t>IV.1 INDUSTRIAL PROCESSES</t>
  </si>
  <si>
    <t>IV.2 PRODUCT USE</t>
  </si>
  <si>
    <t>V. AFOLU</t>
  </si>
  <si>
    <t>V.1 LIVESTOCK</t>
  </si>
  <si>
    <t>V.2 LAND</t>
  </si>
  <si>
    <t>V.3 AGGREGATE SOURCES</t>
  </si>
  <si>
    <t>Emissions from fuel combustion for railway transportation occuring in the city</t>
  </si>
  <si>
    <t>VI. OTHER SCOPE 3</t>
  </si>
  <si>
    <t>VI.1 OTHER SCOPE 3</t>
  </si>
  <si>
    <t>Method</t>
  </si>
  <si>
    <t>Fuel sales approach</t>
  </si>
  <si>
    <t>City-induced activity</t>
  </si>
  <si>
    <t>Resident activity</t>
  </si>
  <si>
    <t>(all II emissions)</t>
  </si>
  <si>
    <t>(all IV emissions)</t>
  </si>
  <si>
    <t xml:space="preserve">AFOLU </t>
  </si>
  <si>
    <t>(all V emissions)</t>
  </si>
  <si>
    <t>Distance travelled (vehicle)</t>
  </si>
  <si>
    <t>Distance travelled (passenger)</t>
  </si>
  <si>
    <t>Distance travelled (freight)</t>
  </si>
  <si>
    <t>Methanol</t>
  </si>
  <si>
    <t>Road</t>
  </si>
  <si>
    <t>Rail</t>
  </si>
  <si>
    <t>Water</t>
  </si>
  <si>
    <t>Air</t>
  </si>
  <si>
    <t>Stationary</t>
  </si>
  <si>
    <t>Grid</t>
  </si>
  <si>
    <t>Travel expenditure</t>
  </si>
  <si>
    <t>Travel time</t>
  </si>
  <si>
    <t>All waste</t>
  </si>
  <si>
    <t>Municipal solid waste</t>
  </si>
  <si>
    <t>Sludge</t>
  </si>
  <si>
    <t>Industrial waste</t>
  </si>
  <si>
    <t>Composting</t>
  </si>
  <si>
    <t>Anaerobic digestion</t>
  </si>
  <si>
    <t>Garden and park waste</t>
  </si>
  <si>
    <t>Food waste</t>
  </si>
  <si>
    <t xml:space="preserve"> </t>
  </si>
  <si>
    <t>All activities</t>
  </si>
  <si>
    <t>Uncontrolled combustion and burning coal dumps</t>
  </si>
  <si>
    <t>Fugitive_Coal</t>
  </si>
  <si>
    <t>Fugitive_Oil_Gas</t>
  </si>
  <si>
    <t>Waste type</t>
  </si>
  <si>
    <t>CITY INFORMATION</t>
  </si>
  <si>
    <r>
      <t>GHGs (metric tonnes CO</t>
    </r>
    <r>
      <rPr>
        <b/>
        <vertAlign val="subscript"/>
        <sz val="12"/>
        <color rgb="FFFFFFFF"/>
        <rFont val="Calibri"/>
      </rPr>
      <t>2</t>
    </r>
    <r>
      <rPr>
        <b/>
        <sz val="12"/>
        <color rgb="FFFFFFFF"/>
        <rFont val="Calibri"/>
      </rPr>
      <t>e)</t>
    </r>
  </si>
  <si>
    <r>
      <t>CO</t>
    </r>
    <r>
      <rPr>
        <b/>
        <vertAlign val="subscript"/>
        <sz val="12"/>
        <color rgb="FFFFFFFF"/>
        <rFont val="Calibri"/>
      </rPr>
      <t>2</t>
    </r>
  </si>
  <si>
    <r>
      <t>CH</t>
    </r>
    <r>
      <rPr>
        <b/>
        <vertAlign val="subscript"/>
        <sz val="12"/>
        <color rgb="FFFFFFFF"/>
        <rFont val="Calibri"/>
      </rPr>
      <t>4</t>
    </r>
  </si>
  <si>
    <r>
      <t>N</t>
    </r>
    <r>
      <rPr>
        <b/>
        <vertAlign val="subscript"/>
        <sz val="12"/>
        <color rgb="FFFFFFFF"/>
        <rFont val="Calibri"/>
      </rPr>
      <t>2</t>
    </r>
    <r>
      <rPr>
        <b/>
        <sz val="12"/>
        <color rgb="FFFFFFFF"/>
        <rFont val="Calibri"/>
      </rPr>
      <t>O</t>
    </r>
  </si>
  <si>
    <r>
      <t>Total tCO</t>
    </r>
    <r>
      <rPr>
        <b/>
        <vertAlign val="subscript"/>
        <sz val="12"/>
        <color rgb="FFFFFFFF"/>
        <rFont val="Calibri"/>
      </rPr>
      <t>2</t>
    </r>
    <r>
      <rPr>
        <b/>
        <sz val="12"/>
        <color rgb="FFFFFFFF"/>
        <rFont val="Calibri"/>
      </rPr>
      <t>e</t>
    </r>
  </si>
  <si>
    <r>
      <t>CO</t>
    </r>
    <r>
      <rPr>
        <b/>
        <vertAlign val="subscript"/>
        <sz val="12"/>
        <color rgb="FFFFFFFF"/>
        <rFont val="Calibri"/>
      </rPr>
      <t>2</t>
    </r>
    <r>
      <rPr>
        <b/>
        <sz val="12"/>
        <color rgb="FFFFFFFF"/>
        <rFont val="Calibri"/>
      </rPr>
      <t>(b)</t>
    </r>
  </si>
  <si>
    <r>
      <t xml:space="preserve">Transmission and distribution losses from grid-supplied energy </t>
    </r>
    <r>
      <rPr>
        <b/>
        <sz val="12"/>
        <color rgb="FF000000"/>
        <rFont val="Calibri"/>
      </rPr>
      <t>consumption</t>
    </r>
  </si>
  <si>
    <r>
      <t xml:space="preserve">Emissions from transmission and distribution losses from grid-supplied energy </t>
    </r>
    <r>
      <rPr>
        <b/>
        <sz val="12"/>
        <color rgb="FF000000"/>
        <rFont val="Calibri"/>
      </rPr>
      <t>consumption</t>
    </r>
  </si>
  <si>
    <t>Notation 
keys</t>
  </si>
  <si>
    <t>Emissions from solid waste generated in the city that is treated biologically in the city</t>
  </si>
  <si>
    <r>
      <t>SF</t>
    </r>
    <r>
      <rPr>
        <b/>
        <vertAlign val="subscript"/>
        <sz val="12"/>
        <color rgb="FFFFFFFF"/>
        <rFont val="Calibri"/>
      </rPr>
      <t>6</t>
    </r>
  </si>
  <si>
    <r>
      <t>NF</t>
    </r>
    <r>
      <rPr>
        <b/>
        <vertAlign val="subscript"/>
        <sz val="12"/>
        <color rgb="FFFFFFFF"/>
        <rFont val="Calibri"/>
      </rPr>
      <t>3</t>
    </r>
  </si>
  <si>
    <t>Gases</t>
  </si>
  <si>
    <t>Gas(es)</t>
  </si>
  <si>
    <t>CO2</t>
  </si>
  <si>
    <t>CH4</t>
  </si>
  <si>
    <t>N2O</t>
  </si>
  <si>
    <t>CO2, CH4</t>
  </si>
  <si>
    <t>CO2, N2O</t>
  </si>
  <si>
    <t>CH4, N2O</t>
  </si>
  <si>
    <t>CO2, CH4, N2O</t>
  </si>
  <si>
    <t>HFCs</t>
  </si>
  <si>
    <t>PFCs</t>
  </si>
  <si>
    <t>SF6</t>
  </si>
  <si>
    <t>HFCs, PFCs</t>
  </si>
  <si>
    <t>HFCs, SF6</t>
  </si>
  <si>
    <t>PFCs, SF6</t>
  </si>
  <si>
    <t>HFCs, PFCs, SF6</t>
  </si>
  <si>
    <t>NF3</t>
  </si>
  <si>
    <t>All F-gases</t>
  </si>
  <si>
    <t>All GHGs</t>
  </si>
  <si>
    <t>Other (please specify)</t>
  </si>
  <si>
    <t>Burning</t>
  </si>
  <si>
    <t>Liming</t>
  </si>
  <si>
    <t>Urea fertilization</t>
  </si>
  <si>
    <t>Direct N2O from managed soils</t>
  </si>
  <si>
    <t>Rice cultivations</t>
  </si>
  <si>
    <t>3.C and 3.D</t>
  </si>
  <si>
    <t>3.C.1</t>
  </si>
  <si>
    <t>3.C.1.a</t>
  </si>
  <si>
    <t>3.C.1.b</t>
  </si>
  <si>
    <t>3.C.1.c</t>
  </si>
  <si>
    <t>3.C.1.d</t>
  </si>
  <si>
    <t>3.C.2</t>
  </si>
  <si>
    <t>3.C.3</t>
  </si>
  <si>
    <t>3.C.4</t>
  </si>
  <si>
    <t>3.C.5</t>
  </si>
  <si>
    <t>3.C.6</t>
  </si>
  <si>
    <t>3.C.7</t>
  </si>
  <si>
    <t>3.C.8</t>
  </si>
  <si>
    <t>3.C.9</t>
  </si>
  <si>
    <t>3.C.10</t>
  </si>
  <si>
    <t>3.C.11</t>
  </si>
  <si>
    <t>3.C.12</t>
  </si>
  <si>
    <t>3.C.13</t>
  </si>
  <si>
    <t>3.D.1</t>
  </si>
  <si>
    <t>3.C.14 or 3.D.2</t>
  </si>
  <si>
    <t>2.A.1</t>
  </si>
  <si>
    <t>2.A.3</t>
  </si>
  <si>
    <t>2.B.1</t>
  </si>
  <si>
    <t>2.B.2</t>
  </si>
  <si>
    <t>2.B.3</t>
  </si>
  <si>
    <t>2.B.4</t>
  </si>
  <si>
    <t>2.B.5</t>
  </si>
  <si>
    <t>2.B.6</t>
  </si>
  <si>
    <t>2.B.7</t>
  </si>
  <si>
    <t>2.B.8</t>
  </si>
  <si>
    <t>2.B.9</t>
  </si>
  <si>
    <t>2.A.4</t>
  </si>
  <si>
    <t>2.A.5, 2.B.10 or 2.C.7</t>
  </si>
  <si>
    <t>2.C.1</t>
  </si>
  <si>
    <t>2.C.2</t>
  </si>
  <si>
    <t>2.C.3</t>
  </si>
  <si>
    <t>2.C.4</t>
  </si>
  <si>
    <t>2.C.5</t>
  </si>
  <si>
    <t>2.C.6</t>
  </si>
  <si>
    <t>2.D.1</t>
  </si>
  <si>
    <t>2.D.2</t>
  </si>
  <si>
    <t>2.D.3</t>
  </si>
  <si>
    <t>2.E.1</t>
  </si>
  <si>
    <t>2.E.2</t>
  </si>
  <si>
    <t>2.E.3</t>
  </si>
  <si>
    <t>2.E.4</t>
  </si>
  <si>
    <t>2.F.1.b</t>
  </si>
  <si>
    <t>2.F.1.a</t>
  </si>
  <si>
    <t>2.F.1</t>
  </si>
  <si>
    <t>2.F.2</t>
  </si>
  <si>
    <t>2.F.3</t>
  </si>
  <si>
    <t>2.F.4</t>
  </si>
  <si>
    <t>2.F.5</t>
  </si>
  <si>
    <t>2.D, 2.E, 2.F, 2.G</t>
  </si>
  <si>
    <t>2.G.1</t>
  </si>
  <si>
    <t>2.G.2</t>
  </si>
  <si>
    <t>2.G.3</t>
  </si>
  <si>
    <t>2.H.1</t>
  </si>
  <si>
    <t>2.H.2</t>
  </si>
  <si>
    <t>4.A</t>
  </si>
  <si>
    <t>Unmanaged waste disposal sites</t>
  </si>
  <si>
    <t>4.A.2</t>
  </si>
  <si>
    <t>Uncategorised waste disposal sites</t>
  </si>
  <si>
    <t>4.A.3</t>
  </si>
  <si>
    <t>4.A.1</t>
  </si>
  <si>
    <t>Landfill sites - Methane commitment</t>
  </si>
  <si>
    <t>Landfill sites - First order decay</t>
  </si>
  <si>
    <t>Other managed waste disposal site(s)</t>
  </si>
  <si>
    <t>Biological treatment of solid waste</t>
  </si>
  <si>
    <t>4.B</t>
  </si>
  <si>
    <t>Incineration and open burning of waste</t>
  </si>
  <si>
    <t>4.C</t>
  </si>
  <si>
    <t>4.C.1</t>
  </si>
  <si>
    <t>4.C.2</t>
  </si>
  <si>
    <t>4.D</t>
  </si>
  <si>
    <t>4.D.1</t>
  </si>
  <si>
    <t>4.D.2</t>
  </si>
  <si>
    <t>Waste types</t>
  </si>
  <si>
    <t>Organic waste types</t>
  </si>
  <si>
    <t>Waste incineration</t>
  </si>
  <si>
    <t>Open burning of waste</t>
  </si>
  <si>
    <t>2.A, 2.B, 2.C</t>
  </si>
  <si>
    <t>2.D.4, 2.E.5, 2.F.6, 2.G.4 or 2.H.3</t>
  </si>
  <si>
    <t>3.A</t>
  </si>
  <si>
    <t>3.B</t>
  </si>
  <si>
    <t>Forest land</t>
  </si>
  <si>
    <t>3.B.1</t>
  </si>
  <si>
    <t>3.B.2</t>
  </si>
  <si>
    <t>3.B.3</t>
  </si>
  <si>
    <t>3.B.4</t>
  </si>
  <si>
    <t>3.B.5</t>
  </si>
  <si>
    <t>3.B.6</t>
  </si>
  <si>
    <t>Crop land</t>
  </si>
  <si>
    <t>Grassland</t>
  </si>
  <si>
    <t>Wetlands</t>
  </si>
  <si>
    <t>Settlements</t>
  </si>
  <si>
    <t>Other land</t>
  </si>
  <si>
    <t>3.B.1.a</t>
  </si>
  <si>
    <t>3.B.1.b.i</t>
  </si>
  <si>
    <t>3.B.1.b.ii</t>
  </si>
  <si>
    <t>3.B.1.b.iii</t>
  </si>
  <si>
    <t>3.B.1.b.iv</t>
  </si>
  <si>
    <t>3.B.1.b.v</t>
  </si>
  <si>
    <t>3.B.2.a</t>
  </si>
  <si>
    <t>3.B.2.b.i</t>
  </si>
  <si>
    <t>3.B.2.b.ii</t>
  </si>
  <si>
    <t>3.B.2.b.iii</t>
  </si>
  <si>
    <t>3.B.2.b.iv</t>
  </si>
  <si>
    <t>3.B.2.b.v</t>
  </si>
  <si>
    <t>3.B.3.a</t>
  </si>
  <si>
    <t>3.B.3.b.i</t>
  </si>
  <si>
    <t>3.B.3.b.ii</t>
  </si>
  <si>
    <t>3.B.3.b.iii</t>
  </si>
  <si>
    <t>3.B.3.b.iv</t>
  </si>
  <si>
    <t>3.B.3.b.v</t>
  </si>
  <si>
    <t>3.B.4.a</t>
  </si>
  <si>
    <t>3.B.6.a</t>
  </si>
  <si>
    <t>3.B.6.b.v</t>
  </si>
  <si>
    <t>3.B.5.b.v</t>
  </si>
  <si>
    <t>3.B.5.a</t>
  </si>
  <si>
    <t>3.B.5.b.iv</t>
  </si>
  <si>
    <t>3.B.5.b.iii</t>
  </si>
  <si>
    <t>3.B.5.b.i</t>
  </si>
  <si>
    <t>3.B.6.b.i</t>
  </si>
  <si>
    <t>3.B.5.b.ii</t>
  </si>
  <si>
    <t>3.B.6.b.ii</t>
  </si>
  <si>
    <t>3.B.6.b.iii</t>
  </si>
  <si>
    <t>3.B.6.b.iv</t>
  </si>
  <si>
    <t>3.B.4.b</t>
  </si>
  <si>
    <t>3.A.1.a/3.A.2.a</t>
  </si>
  <si>
    <t>3.A.1.b/3.A.2.b</t>
  </si>
  <si>
    <t>3.A.1.c/3.A.2.c</t>
  </si>
  <si>
    <t>3.A.1.d/3.A.2.d</t>
  </si>
  <si>
    <t>3.A.1.e/3.A.2.e</t>
  </si>
  <si>
    <t>3.A.1.f/3.A.2.f</t>
  </si>
  <si>
    <t>3.A.1.g/3.A.2.g</t>
  </si>
  <si>
    <t>3.A.1.h/3.A.2.h</t>
  </si>
  <si>
    <t>3.A.2.i</t>
  </si>
  <si>
    <t>3.A.1.J/3.A.2.J</t>
  </si>
  <si>
    <t>1.A.3.B</t>
  </si>
  <si>
    <t>1.A.3.C</t>
  </si>
  <si>
    <t>1.A.3.D</t>
  </si>
  <si>
    <t>1.A.3.A</t>
  </si>
  <si>
    <t>1.B.1.a.i.3</t>
  </si>
  <si>
    <t>1.B.1.b</t>
  </si>
  <si>
    <t>1.B.1</t>
  </si>
  <si>
    <t>1.B.2</t>
  </si>
  <si>
    <t>2.A</t>
  </si>
  <si>
    <t>Mineral industry</t>
  </si>
  <si>
    <t xml:space="preserve">  Cement production</t>
  </si>
  <si>
    <t xml:space="preserve">  Lime production</t>
  </si>
  <si>
    <t>Chemical industry</t>
  </si>
  <si>
    <t>2.B</t>
  </si>
  <si>
    <t xml:space="preserve">  Ammonia production</t>
  </si>
  <si>
    <t xml:space="preserve">  Glass production</t>
  </si>
  <si>
    <t xml:space="preserve">  Other Process Uses of Carbonates</t>
  </si>
  <si>
    <t xml:space="preserve">  Nitric acid production</t>
  </si>
  <si>
    <t>Metal industry</t>
  </si>
  <si>
    <t>2.C</t>
  </si>
  <si>
    <t xml:space="preserve">  Iron and steel production</t>
  </si>
  <si>
    <t xml:space="preserve">  Ferroalloy production</t>
  </si>
  <si>
    <t xml:space="preserve">  Aluminium production</t>
  </si>
  <si>
    <t xml:space="preserve">  Magnesium production</t>
  </si>
  <si>
    <t xml:space="preserve">  Adipic acid production</t>
  </si>
  <si>
    <t xml:space="preserve">  Caprolactam production</t>
  </si>
  <si>
    <t xml:space="preserve">  Carbide production</t>
  </si>
  <si>
    <t xml:space="preserve">  Titanium dioxide production</t>
  </si>
  <si>
    <t xml:space="preserve">  Soda ash production</t>
  </si>
  <si>
    <t xml:space="preserve">  Petrochemical and black carbon production</t>
  </si>
  <si>
    <t xml:space="preserve">  Fluorochemical production</t>
  </si>
  <si>
    <t xml:space="preserve">  Lead production</t>
  </si>
  <si>
    <t xml:space="preserve">  Zinc production</t>
  </si>
  <si>
    <t xml:space="preserve">  Lubricant use</t>
  </si>
  <si>
    <t xml:space="preserve">  Parraffin wax use</t>
  </si>
  <si>
    <t xml:space="preserve">  Solvent use</t>
  </si>
  <si>
    <t>2.E</t>
  </si>
  <si>
    <t>2.D</t>
  </si>
  <si>
    <t>2.F</t>
  </si>
  <si>
    <t>2.G</t>
  </si>
  <si>
    <t>2.H</t>
  </si>
  <si>
    <t xml:space="preserve">  Pulp and paper industry</t>
  </si>
  <si>
    <t xml:space="preserve">  Food and beverages industry</t>
  </si>
  <si>
    <t xml:space="preserve">  N2O from product uses</t>
  </si>
  <si>
    <t xml:space="preserve">  SF6 and PFCs from other product uses</t>
  </si>
  <si>
    <t xml:space="preserve">  Electrical equipment</t>
  </si>
  <si>
    <t>Electronics industry</t>
  </si>
  <si>
    <t xml:space="preserve">  Refrigeration and air conditioning</t>
  </si>
  <si>
    <t xml:space="preserve">    Refrigeration and stationary air conditioning</t>
  </si>
  <si>
    <t xml:space="preserve">    Mobile air conditioning</t>
  </si>
  <si>
    <t xml:space="preserve">  Foam blowing agents</t>
  </si>
  <si>
    <t xml:space="preserve">  Fire protection</t>
  </si>
  <si>
    <t xml:space="preserve">  Aerosols</t>
  </si>
  <si>
    <t xml:space="preserve">  Solvents</t>
  </si>
  <si>
    <t xml:space="preserve">  Integrated circuit or semiconductor</t>
  </si>
  <si>
    <t xml:space="preserve">  TFT flat panel display</t>
  </si>
  <si>
    <t xml:space="preserve">  Photovoltaics</t>
  </si>
  <si>
    <t xml:space="preserve">  Heat transfer fluid</t>
  </si>
  <si>
    <t>Other product manufacture and use</t>
  </si>
  <si>
    <t>Non-energy products from fuels and solvent use</t>
  </si>
  <si>
    <t>Product uses as substitutes for ozone depleting substances</t>
  </si>
  <si>
    <t xml:space="preserve">  Burning in Forest land</t>
  </si>
  <si>
    <t xml:space="preserve">  Burning in Cropland</t>
  </si>
  <si>
    <t xml:space="preserve">  Burning in Grassland</t>
  </si>
  <si>
    <t xml:space="preserve">  Burning in All Other land</t>
  </si>
  <si>
    <t xml:space="preserve">  Forest land remaining Forest land</t>
  </si>
  <si>
    <t xml:space="preserve">  Crop land converted to Forest land</t>
  </si>
  <si>
    <t xml:space="preserve">  Grassland converted to Forest land</t>
  </si>
  <si>
    <t xml:space="preserve">  Settlements converted to Forest land</t>
  </si>
  <si>
    <t xml:space="preserve">  Wetlands converted to Forest land</t>
  </si>
  <si>
    <t xml:space="preserve">  Other land converted to Forest land</t>
  </si>
  <si>
    <t xml:space="preserve">  Crop land remaining Crop land</t>
  </si>
  <si>
    <t xml:space="preserve">  Forest land converted to Crop land</t>
  </si>
  <si>
    <t xml:space="preserve">  Grassland converted to Crop land</t>
  </si>
  <si>
    <t xml:space="preserve">  Settlements converted to Crop land</t>
  </si>
  <si>
    <t xml:space="preserve">  Wetlands converted to Crop land</t>
  </si>
  <si>
    <t xml:space="preserve">  Other land converted to Crop land</t>
  </si>
  <si>
    <t xml:space="preserve">  Grassland remaining Grassland</t>
  </si>
  <si>
    <t xml:space="preserve">  Forest land converted to Grassland</t>
  </si>
  <si>
    <t xml:space="preserve">  Crop land converted to Grassland</t>
  </si>
  <si>
    <t xml:space="preserve">  Wetlands converted to Grassland</t>
  </si>
  <si>
    <t xml:space="preserve">  Settlements converted to Grassland</t>
  </si>
  <si>
    <t xml:space="preserve">  Other land converted to Grassland</t>
  </si>
  <si>
    <t xml:space="preserve">  Wetlands remaining Wetlands</t>
  </si>
  <si>
    <t xml:space="preserve">  Forest land converted to Wetlands</t>
  </si>
  <si>
    <t xml:space="preserve">  Crop land converted to Wetlands</t>
  </si>
  <si>
    <t xml:space="preserve">  Grassland converted to Wetlands</t>
  </si>
  <si>
    <t xml:space="preserve">  Settlements converted to Wetlands</t>
  </si>
  <si>
    <t xml:space="preserve">  Other land converted to Wetlands</t>
  </si>
  <si>
    <t xml:space="preserve">  Settlements remaining Settlements</t>
  </si>
  <si>
    <t xml:space="preserve">  Forest land converted to Settlements</t>
  </si>
  <si>
    <t xml:space="preserve">  Crop land converted to Settlements</t>
  </si>
  <si>
    <t xml:space="preserve">  Grassland converted to Settlements</t>
  </si>
  <si>
    <t xml:space="preserve">  Wetlands converted to Settlements</t>
  </si>
  <si>
    <t xml:space="preserve">  Other land converted to Settlements</t>
  </si>
  <si>
    <t xml:space="preserve">  Other land remaining Other land</t>
  </si>
  <si>
    <t xml:space="preserve">  Forest land converted to Other land</t>
  </si>
  <si>
    <t xml:space="preserve">  Crop land converted to Other land</t>
  </si>
  <si>
    <t xml:space="preserve">  Grassland converted to Other land</t>
  </si>
  <si>
    <t xml:space="preserve">  Wetlands converted to Other land</t>
  </si>
  <si>
    <t xml:space="preserve">  Settlements converted to Other land</t>
  </si>
  <si>
    <t>CH4 from drained organic soils</t>
  </si>
  <si>
    <t>CH4 from drainage ditches on organic soils</t>
  </si>
  <si>
    <t>CH4 from rewetting of organic soils</t>
  </si>
  <si>
    <t>CH4 emissions from rewetting of mangroves and tidal marshes</t>
  </si>
  <si>
    <t>N2O emissions from aquaculture</t>
  </si>
  <si>
    <t>CH4 emissions from rewetted and created wetlands on inland wetland mineral soils</t>
  </si>
  <si>
    <t>All livestock</t>
  </si>
  <si>
    <t>All land</t>
  </si>
  <si>
    <t>All product use</t>
  </si>
  <si>
    <t>All industrial processes</t>
  </si>
  <si>
    <t>Jet gasoline</t>
  </si>
  <si>
    <t xml:space="preserve">Kerosene </t>
  </si>
  <si>
    <t xml:space="preserve">Charcoal </t>
  </si>
  <si>
    <t xml:space="preserve">Biogasoline </t>
  </si>
  <si>
    <t xml:space="preserve">Biodiesels </t>
  </si>
  <si>
    <t xml:space="preserve">Sewage sludge </t>
  </si>
  <si>
    <t xml:space="preserve">Other liquid biofuels </t>
  </si>
  <si>
    <t xml:space="preserve">Landfill gas </t>
  </si>
  <si>
    <t xml:space="preserve">Sludge gas </t>
  </si>
  <si>
    <t xml:space="preserve">Other biogas </t>
  </si>
  <si>
    <t xml:space="preserve">Municipal wastes (biomass fraction) </t>
  </si>
  <si>
    <t xml:space="preserve">Wood or wood waste </t>
  </si>
  <si>
    <t xml:space="preserve">Municipal wastes (non-biomass fraction) </t>
  </si>
  <si>
    <t xml:space="preserve">Lubricants </t>
  </si>
  <si>
    <t xml:space="preserve">Bitumen </t>
  </si>
  <si>
    <t xml:space="preserve">Naphtha </t>
  </si>
  <si>
    <t xml:space="preserve">Residual fuel oil </t>
  </si>
  <si>
    <t>Gas (natural gas)</t>
  </si>
  <si>
    <t xml:space="preserve">Petroleum coke </t>
  </si>
  <si>
    <t>Electricity (CHP)</t>
  </si>
  <si>
    <t>Heating (CHP)</t>
  </si>
  <si>
    <t>Steam (CHP)</t>
  </si>
  <si>
    <t>Cooling (CHP)</t>
  </si>
  <si>
    <t xml:space="preserve">Municipal wastes (all) </t>
  </si>
  <si>
    <t>Energy Industries</t>
  </si>
  <si>
    <t>Electricity generation</t>
  </si>
  <si>
    <t>1.A.1.a.i</t>
  </si>
  <si>
    <t>1.A.1.a</t>
  </si>
  <si>
    <t>Heat plants</t>
  </si>
  <si>
    <t>1.A.1.a.ii</t>
  </si>
  <si>
    <t>1.A.1.a.iii</t>
  </si>
  <si>
    <t>Combined heat and power generation (CHP)</t>
  </si>
  <si>
    <t>Diesel oil</t>
  </si>
  <si>
    <t>Other liquid biofuels</t>
  </si>
  <si>
    <t>Biodiesels</t>
  </si>
  <si>
    <t>Liquefied petroleum gases (LPG)</t>
  </si>
  <si>
    <t>Liquefied natural gas (LNG)</t>
  </si>
  <si>
    <t>Compressed natural gas (CNG)</t>
  </si>
  <si>
    <t>Liquefied petroleum gas (LPG)</t>
  </si>
  <si>
    <t xml:space="preserve">Gas oil </t>
  </si>
  <si>
    <t xml:space="preserve">Diesel oil </t>
  </si>
  <si>
    <t xml:space="preserve">Crude oil </t>
  </si>
  <si>
    <t>I. MACRO</t>
  </si>
  <si>
    <t>T&amp;D losses from grid-supplied energy consumption</t>
  </si>
  <si>
    <t>Country</t>
  </si>
  <si>
    <t>Climate</t>
  </si>
  <si>
    <t>Emissions from transboundary journeys occurring outside the city, and T&amp;D losses from grid-supplied energy consumption</t>
  </si>
  <si>
    <t>II.5.3</t>
  </si>
  <si>
    <t>II. MACRO</t>
  </si>
  <si>
    <t>III. MACRO</t>
  </si>
  <si>
    <t>IV. MACRO</t>
  </si>
  <si>
    <t>V. MACRO</t>
  </si>
  <si>
    <t>Goods and services</t>
  </si>
  <si>
    <t>Upstream emissions from energy use</t>
  </si>
  <si>
    <t>Food</t>
  </si>
  <si>
    <t>Construction</t>
  </si>
  <si>
    <t>Oil</t>
  </si>
  <si>
    <t>1.B.2.a</t>
  </si>
  <si>
    <t xml:space="preserve">  Venting</t>
  </si>
  <si>
    <t xml:space="preserve">  Flaring</t>
  </si>
  <si>
    <t>1.B.2.a.i</t>
  </si>
  <si>
    <t>1.B.2.a.ii</t>
  </si>
  <si>
    <t>Natural gas</t>
  </si>
  <si>
    <t>1.B.2.b.i</t>
  </si>
  <si>
    <t>1.B.2.b.ii</t>
  </si>
  <si>
    <t>1.B.2.b</t>
  </si>
  <si>
    <t xml:space="preserve">  Exploration</t>
  </si>
  <si>
    <t xml:space="preserve">  Production and Upgrading</t>
  </si>
  <si>
    <t xml:space="preserve">  Transport</t>
  </si>
  <si>
    <t xml:space="preserve">  Refining</t>
  </si>
  <si>
    <t xml:space="preserve">  Distribution of oil products</t>
  </si>
  <si>
    <t xml:space="preserve">  Other</t>
  </si>
  <si>
    <t>1.B.2.a.iii.6</t>
  </si>
  <si>
    <t>1.B.2.a.iii.1</t>
  </si>
  <si>
    <t>1.B.2.a.iii.2</t>
  </si>
  <si>
    <t>1.B.2.a.iii.3</t>
  </si>
  <si>
    <t>1.B.2.a.iii.4</t>
  </si>
  <si>
    <t>1.B.2.a.iii.5</t>
  </si>
  <si>
    <t>1.B.2.b.iii.1</t>
  </si>
  <si>
    <t>1.B.2.b.iii.2</t>
  </si>
  <si>
    <t>1.B.2.b.iii.3</t>
  </si>
  <si>
    <t>1.B.2.b.iii.4</t>
  </si>
  <si>
    <t>1.B.2.b.iii.5</t>
  </si>
  <si>
    <t>1.B.2.b.iii.6</t>
  </si>
  <si>
    <t xml:space="preserve">  Production</t>
  </si>
  <si>
    <t xml:space="preserve">  Processing</t>
  </si>
  <si>
    <t xml:space="preserve">  Transmission and storage</t>
  </si>
  <si>
    <t xml:space="preserve">  Distribution</t>
  </si>
  <si>
    <t>1.B.1.a.i.1</t>
  </si>
  <si>
    <t>1.B.1.a.ii.1</t>
  </si>
  <si>
    <t>1.B.1.a.ii</t>
  </si>
  <si>
    <t>1.B.1.a.i</t>
  </si>
  <si>
    <t>1.B.1.a</t>
  </si>
  <si>
    <t>Coal mining and handling</t>
  </si>
  <si>
    <t xml:space="preserve">  Underground mines</t>
  </si>
  <si>
    <t xml:space="preserve">    Mining</t>
  </si>
  <si>
    <t xml:space="preserve">    Post-mining seam gas emissions</t>
  </si>
  <si>
    <t>1.B.1.a.i.2</t>
  </si>
  <si>
    <t>1.B.1.a.i.4</t>
  </si>
  <si>
    <t xml:space="preserve">    Flaring of drained CH4 or conversion of CH4 to CO2</t>
  </si>
  <si>
    <t xml:space="preserve">  Surface mines</t>
  </si>
  <si>
    <t>1.B.1.a.ii.2</t>
  </si>
  <si>
    <t>1.B.1.c</t>
  </si>
  <si>
    <t>Solid fuel transformation</t>
  </si>
  <si>
    <t xml:space="preserve">    Abandoned underground mines</t>
  </si>
  <si>
    <t>INDUSTRIAL PROCESSES and PRODUCT USES</t>
  </si>
  <si>
    <t>AGRICULTURE, FORESTRY and OTHER LAND USE</t>
  </si>
  <si>
    <t>SUB-TOTAL</t>
  </si>
  <si>
    <t>TOTAL</t>
  </si>
  <si>
    <t>Boundary</t>
  </si>
  <si>
    <t>Economy</t>
  </si>
  <si>
    <t xml:space="preserve">Administrative boundary of a local government </t>
  </si>
  <si>
    <t>Combination of administrative divisions</t>
  </si>
  <si>
    <t>A metropolitan area</t>
  </si>
  <si>
    <t>Industry &amp; Manufacturing</t>
  </si>
  <si>
    <t>Agriculture &amp; Fishing</t>
  </si>
  <si>
    <t>Services</t>
  </si>
  <si>
    <t>Tropical rainforest</t>
  </si>
  <si>
    <t>Tropical monsoon</t>
  </si>
  <si>
    <t>Tropical savannah</t>
  </si>
  <si>
    <t>Dry desert</t>
  </si>
  <si>
    <t>Temperate, dry summer (Mediterranean)</t>
  </si>
  <si>
    <t>Cold, dry summer</t>
  </si>
  <si>
    <t>Cold, dry winter</t>
  </si>
  <si>
    <t>Cold, hot summer</t>
  </si>
  <si>
    <t>Cold, warm summer</t>
  </si>
  <si>
    <t>Cold, cold summer</t>
  </si>
  <si>
    <t>Cold, very cold winter</t>
  </si>
  <si>
    <t>Polar, tundra</t>
  </si>
  <si>
    <t>Polar, frost</t>
  </si>
  <si>
    <t>Temperate, dry winter</t>
  </si>
  <si>
    <t>Temperate, hot summer</t>
  </si>
  <si>
    <t>Temperate, warm summer</t>
  </si>
  <si>
    <t>Temperate, cold summer</t>
  </si>
  <si>
    <t>Dry steppe (hot)</t>
  </si>
  <si>
    <t>Dry steppe (cold)</t>
  </si>
  <si>
    <t>III.1.1/2</t>
  </si>
  <si>
    <t>III.2.1/2</t>
  </si>
  <si>
    <t>III.3.1/2</t>
  </si>
  <si>
    <t>III.4.1/2</t>
  </si>
  <si>
    <t>I.4.1/2/3</t>
  </si>
  <si>
    <t>(all VI emissions)</t>
  </si>
  <si>
    <t>Waste generated in the city (III.X.1 and III.X.2)</t>
  </si>
  <si>
    <t>(city induced framework only)</t>
  </si>
  <si>
    <r>
      <t>Total GHGs (metric tonnes CO</t>
    </r>
    <r>
      <rPr>
        <b/>
        <vertAlign val="subscript"/>
        <sz val="12"/>
        <color rgb="FFFFFFFF"/>
        <rFont val="Calibri"/>
      </rPr>
      <t>2</t>
    </r>
    <r>
      <rPr>
        <b/>
        <sz val="12"/>
        <color rgb="FFFFFFFF"/>
        <rFont val="Calibri"/>
      </rPr>
      <t>e)</t>
    </r>
  </si>
  <si>
    <t>DATA SOURCES</t>
  </si>
  <si>
    <t>Data</t>
  </si>
  <si>
    <t>Source</t>
  </si>
  <si>
    <t>Frequency</t>
  </si>
  <si>
    <t>Latest year</t>
  </si>
  <si>
    <t>Link</t>
  </si>
  <si>
    <t>EMISSION FACTORS</t>
  </si>
  <si>
    <t>Scale</t>
  </si>
  <si>
    <t>Year</t>
  </si>
  <si>
    <t>Reporting Period</t>
  </si>
  <si>
    <t>Annual</t>
  </si>
  <si>
    <t>Every 2 years</t>
  </si>
  <si>
    <t>Every 3 years</t>
  </si>
  <si>
    <t>Every 4 years</t>
  </si>
  <si>
    <t>Every 5 years</t>
  </si>
  <si>
    <t>As required</t>
  </si>
  <si>
    <t>Once</t>
  </si>
  <si>
    <t>Local</t>
  </si>
  <si>
    <t>Metro</t>
  </si>
  <si>
    <t>Regional</t>
  </si>
  <si>
    <t>National</t>
  </si>
  <si>
    <t>International</t>
  </si>
  <si>
    <t>VII. MACRO</t>
  </si>
  <si>
    <t>VIII. MACRO</t>
  </si>
  <si>
    <t>Financial year</t>
  </si>
  <si>
    <t>Calendar year</t>
  </si>
  <si>
    <t>Emission factors</t>
  </si>
  <si>
    <t>Emissions from energy used in power plant auxiliary operations within the city</t>
  </si>
  <si>
    <t>Emissions from grid-supplied energy consumed  in power plant auxiliary operations within the city</t>
  </si>
  <si>
    <t>INVENTORY YEAR:</t>
  </si>
  <si>
    <t>BOUNDARY:</t>
  </si>
  <si>
    <t>NAME OF CITY:</t>
  </si>
  <si>
    <t>POPULATION:</t>
  </si>
  <si>
    <t>GDP (US$ bn):</t>
  </si>
  <si>
    <t>LAND AREA (km2):</t>
  </si>
  <si>
    <t>GHG Emissions Source (By Sector)</t>
  </si>
  <si>
    <t>Total GHGs (metric tonnes CO2e)</t>
  </si>
  <si>
    <t>GPC GHG Summary Graphs</t>
  </si>
  <si>
    <t>Stationary energy</t>
  </si>
  <si>
    <t>Transportation</t>
  </si>
  <si>
    <t>Waste</t>
  </si>
  <si>
    <t>Other scope 3</t>
  </si>
  <si>
    <t>BASIC+ Other scope 3</t>
  </si>
  <si>
    <t>BASIC/BASIC+ by subsector and scope</t>
  </si>
  <si>
    <t>Residential</t>
  </si>
  <si>
    <t>Commercial / institutional</t>
  </si>
  <si>
    <t>Manufacturing / construction</t>
  </si>
  <si>
    <t>Agriculture</t>
  </si>
  <si>
    <t>Fugitive emissions (coal)</t>
  </si>
  <si>
    <t>Fugitive emissions (oil and gas)</t>
  </si>
  <si>
    <t>Waterborne</t>
  </si>
  <si>
    <t>Solid waste</t>
  </si>
  <si>
    <t>Biological waste</t>
  </si>
  <si>
    <t>Incineraton</t>
  </si>
  <si>
    <t>Wastewater</t>
  </si>
  <si>
    <t>Subsector</t>
  </si>
  <si>
    <t>By scope</t>
  </si>
  <si>
    <t>Other territorial</t>
  </si>
  <si>
    <t>BASIC+ (additional)</t>
  </si>
  <si>
    <t>GWP</t>
  </si>
  <si>
    <t>Reference</t>
  </si>
  <si>
    <t>Emission factor</t>
  </si>
  <si>
    <t>Multiplier</t>
  </si>
  <si>
    <t>kg</t>
  </si>
  <si>
    <t>GPC</t>
  </si>
  <si>
    <t>INVENTORY INFORMATION</t>
  </si>
  <si>
    <t>NOTATION KEYS</t>
  </si>
  <si>
    <t>Comments on change in total emissions since last reported inventory</t>
  </si>
  <si>
    <t>Audit</t>
  </si>
  <si>
    <t>GPC reporting level (select from list)</t>
  </si>
  <si>
    <t>Greenhouse gases included in inventory (select from list)</t>
  </si>
  <si>
    <t>Relevant local, regional and national regulations</t>
  </si>
  <si>
    <t>Has the inventory been audited or verified by a third party?</t>
  </si>
  <si>
    <t>Inventory</t>
  </si>
  <si>
    <t>Information</t>
  </si>
  <si>
    <t>Yes - audited</t>
  </si>
  <si>
    <t>Yes - verified</t>
  </si>
  <si>
    <t>No</t>
  </si>
  <si>
    <t>IPCC Fifth Assessment Report (2013)</t>
  </si>
  <si>
    <t>IPCC Second Assessment Report (1995)</t>
  </si>
  <si>
    <t>IPCC Third Assessment Report (2001)</t>
  </si>
  <si>
    <t>IPCC Fourth Assessment Report (2007)</t>
  </si>
  <si>
    <t>Reference(s)</t>
  </si>
  <si>
    <t>Nitrous Oxide</t>
  </si>
  <si>
    <t>Methane</t>
  </si>
  <si>
    <t>Carbon Dioxide</t>
  </si>
  <si>
    <t>IPCC Assessment Report</t>
  </si>
  <si>
    <t xml:space="preserve">Greenhouse gas </t>
  </si>
  <si>
    <t>Formula</t>
  </si>
  <si>
    <t>Name</t>
  </si>
  <si>
    <t>Fuel type or activity</t>
  </si>
  <si>
    <t>A more complete list of conversions is available at www.onlineconversion.com</t>
  </si>
  <si>
    <t>From</t>
  </si>
  <si>
    <t>To</t>
  </si>
  <si>
    <t>Full references to the IPCC Assessment Reports are provided in the GPC</t>
  </si>
  <si>
    <t>Geographic / Territorial</t>
  </si>
  <si>
    <t>TOTAL market-based scope 2 emissions (in tCO2e)</t>
  </si>
  <si>
    <t>Offset credits generated within the
 geographic boundary and sold</t>
  </si>
  <si>
    <t>Offset credits purchased from outside the geographic 
boundary (e.g. to meet a city reduction goal)</t>
  </si>
  <si>
    <t>Technology type</t>
  </si>
  <si>
    <t>Contractual instrument or program type</t>
  </si>
  <si>
    <t>B. INVENTORY INFORMATION</t>
  </si>
  <si>
    <t>Name of source</t>
  </si>
  <si>
    <t>Provider</t>
  </si>
  <si>
    <t>www.ipcc-nggip.iges.or.jp/EFDB/main.php</t>
  </si>
  <si>
    <t>Data quality explanation (optional)</t>
  </si>
  <si>
    <t>Fugitive emissions from oil and natural gas systems within the city boundary</t>
  </si>
  <si>
    <t>Emissions from transboundary journeys occurring outside the city, and T and D losses from grid-supplied energy use</t>
  </si>
  <si>
    <t>Fugitive emissions from mining, processing, storage, and transportation of coal within the city boundary</t>
  </si>
  <si>
    <t>Ministry of the Environment</t>
  </si>
  <si>
    <t>National emissions factor database</t>
  </si>
  <si>
    <t>Date</t>
  </si>
  <si>
    <t>Version</t>
  </si>
  <si>
    <t>Compiler name</t>
  </si>
  <si>
    <t>Department</t>
  </si>
  <si>
    <t>SECTOR TABS</t>
  </si>
  <si>
    <t>5AR</t>
  </si>
  <si>
    <t>4AR</t>
  </si>
  <si>
    <t>3AR</t>
  </si>
  <si>
    <t>2AR</t>
  </si>
  <si>
    <t>Activity data multiplier</t>
  </si>
  <si>
    <r>
      <t>Total CO</t>
    </r>
    <r>
      <rPr>
        <b/>
        <vertAlign val="subscript"/>
        <sz val="12"/>
        <color rgb="FFFFFFFF"/>
        <rFont val="Calibri"/>
      </rPr>
      <t>2</t>
    </r>
    <r>
      <rPr>
        <b/>
        <sz val="12"/>
        <color rgb="FFFFFFFF"/>
        <rFont val="Calibri"/>
      </rPr>
      <t>e</t>
    </r>
  </si>
  <si>
    <t>CF4</t>
  </si>
  <si>
    <t>C2F6</t>
  </si>
  <si>
    <t>CHF3</t>
  </si>
  <si>
    <t>CH2F2</t>
  </si>
  <si>
    <t>CH3F</t>
  </si>
  <si>
    <t>C2HF5</t>
  </si>
  <si>
    <t>C2H2F4</t>
  </si>
  <si>
    <t>CH2FCF3</t>
  </si>
  <si>
    <t>C2H3F3</t>
  </si>
  <si>
    <t>C2H4F3</t>
  </si>
  <si>
    <t>C2H4F2</t>
  </si>
  <si>
    <t>C3HF7</t>
  </si>
  <si>
    <t>C3H2F6</t>
  </si>
  <si>
    <t>C3H3F5</t>
  </si>
  <si>
    <t>Sulphur hexafluoride</t>
  </si>
  <si>
    <t>Nitrogen trifluoride</t>
  </si>
  <si>
    <t>Planned improvements</t>
  </si>
  <si>
    <t>C. INVENTORY COMPILER</t>
  </si>
  <si>
    <t>Description of overall methodology and tools used</t>
  </si>
  <si>
    <t>http://people.eng.unimelb.edu.au/mpeel/koppen.html</t>
  </si>
  <si>
    <t>Carbon tetrafluoride</t>
  </si>
  <si>
    <t>Hexafluoroethane</t>
  </si>
  <si>
    <t>HFC-23</t>
  </si>
  <si>
    <t>HFC-32</t>
  </si>
  <si>
    <t>HFC-41</t>
  </si>
  <si>
    <t>HFC-125</t>
  </si>
  <si>
    <t>HFC-134</t>
  </si>
  <si>
    <t>HFC-134a</t>
  </si>
  <si>
    <t>HFC-143</t>
  </si>
  <si>
    <t>HFC-143a</t>
  </si>
  <si>
    <t>HFC-152a</t>
  </si>
  <si>
    <t>HFC-227ea</t>
  </si>
  <si>
    <t>HFC-236fa</t>
  </si>
  <si>
    <t>HFC-245ca</t>
  </si>
  <si>
    <t>TJ</t>
  </si>
  <si>
    <t>Gcal</t>
  </si>
  <si>
    <t>Mtoe</t>
  </si>
  <si>
    <t>GWh</t>
  </si>
  <si>
    <t>Multiply by:</t>
  </si>
  <si>
    <t>Mbtu</t>
  </si>
  <si>
    <t>General conversion factors for energy</t>
  </si>
  <si>
    <t>General conversion factors for mass</t>
  </si>
  <si>
    <t>General conversion factors for volume</t>
  </si>
  <si>
    <t>Kilogramme (kg)</t>
  </si>
  <si>
    <t>Long ton (lt)</t>
  </si>
  <si>
    <t>Short ton (st)</t>
  </si>
  <si>
    <t>Pound (lb)</t>
  </si>
  <si>
    <t>t</t>
  </si>
  <si>
    <t>lt</t>
  </si>
  <si>
    <t>st</t>
  </si>
  <si>
    <t>lb</t>
  </si>
  <si>
    <t>Gigawatt hours (GWh)</t>
  </si>
  <si>
    <t>Giga calories (Gcal)</t>
  </si>
  <si>
    <t>Metric tonne (t)</t>
  </si>
  <si>
    <t>Litre (l)</t>
  </si>
  <si>
    <t>Cubic metre (m3)</t>
  </si>
  <si>
    <t>Cubic foot (ft3)</t>
  </si>
  <si>
    <t>Barrel (bbl)</t>
  </si>
  <si>
    <t>UK gallon (gal)</t>
  </si>
  <si>
    <t>US gallon (gal)</t>
  </si>
  <si>
    <t>l</t>
  </si>
  <si>
    <t>m3</t>
  </si>
  <si>
    <t>ft3</t>
  </si>
  <si>
    <t>bbl</t>
  </si>
  <si>
    <t>UK gal</t>
  </si>
  <si>
    <t>US gal</t>
  </si>
  <si>
    <t>28.3</t>
  </si>
  <si>
    <t>7.48</t>
  </si>
  <si>
    <t>T</t>
  </si>
  <si>
    <t>G</t>
  </si>
  <si>
    <t>k</t>
  </si>
  <si>
    <r>
      <t>Kilo (k) - 1000, 10</t>
    </r>
    <r>
      <rPr>
        <vertAlign val="superscript"/>
        <sz val="12"/>
        <color theme="1"/>
        <rFont val="Calibri"/>
        <scheme val="minor"/>
      </rPr>
      <t>3</t>
    </r>
  </si>
  <si>
    <r>
      <t>Mega (M) - 1000000, 10</t>
    </r>
    <r>
      <rPr>
        <vertAlign val="superscript"/>
        <sz val="12"/>
        <color theme="1"/>
        <rFont val="Calibri"/>
        <scheme val="minor"/>
      </rPr>
      <t>6</t>
    </r>
  </si>
  <si>
    <r>
      <t>Giga (G) - 1000000000, 10</t>
    </r>
    <r>
      <rPr>
        <vertAlign val="superscript"/>
        <sz val="12"/>
        <color theme="1"/>
        <rFont val="Calibri"/>
        <scheme val="minor"/>
      </rPr>
      <t>9</t>
    </r>
  </si>
  <si>
    <r>
      <t>Tera (T) - 1000000000000, 10</t>
    </r>
    <r>
      <rPr>
        <vertAlign val="superscript"/>
        <sz val="12"/>
        <color theme="1"/>
        <rFont val="Calibri"/>
        <scheme val="minor"/>
      </rPr>
      <t>12</t>
    </r>
  </si>
  <si>
    <t>Conversion factors for SI prefixes</t>
  </si>
  <si>
    <t>Type</t>
  </si>
  <si>
    <t>/</t>
  </si>
  <si>
    <t>kWh</t>
  </si>
  <si>
    <t>GHG</t>
  </si>
  <si>
    <t>CO2e</t>
  </si>
  <si>
    <t>tCO2e</t>
  </si>
  <si>
    <t>Mass units</t>
  </si>
  <si>
    <r>
      <t>tCO</t>
    </r>
    <r>
      <rPr>
        <b/>
        <vertAlign val="subscript"/>
        <sz val="12"/>
        <color rgb="FFFFFFFF"/>
        <rFont val="Calibri"/>
      </rPr>
      <t>2</t>
    </r>
    <r>
      <rPr>
        <b/>
        <sz val="12"/>
        <color rgb="FFFFFFFF"/>
        <rFont val="Calibri"/>
      </rPr>
      <t>(b)</t>
    </r>
  </si>
  <si>
    <t>Factor</t>
  </si>
  <si>
    <t>Emissions data</t>
  </si>
  <si>
    <r>
      <t>CO</t>
    </r>
    <r>
      <rPr>
        <b/>
        <vertAlign val="subscript"/>
        <sz val="12"/>
        <rFont val="Calibri"/>
      </rPr>
      <t>2</t>
    </r>
  </si>
  <si>
    <r>
      <t>CH</t>
    </r>
    <r>
      <rPr>
        <b/>
        <vertAlign val="subscript"/>
        <sz val="12"/>
        <rFont val="Calibri"/>
      </rPr>
      <t>4</t>
    </r>
  </si>
  <si>
    <r>
      <t>N</t>
    </r>
    <r>
      <rPr>
        <b/>
        <vertAlign val="subscript"/>
        <sz val="12"/>
        <rFont val="Calibri"/>
      </rPr>
      <t>2</t>
    </r>
    <r>
      <rPr>
        <b/>
        <sz val="12"/>
        <rFont val="Calibri"/>
      </rPr>
      <t>O</t>
    </r>
  </si>
  <si>
    <r>
      <t>Total tCO</t>
    </r>
    <r>
      <rPr>
        <b/>
        <vertAlign val="subscript"/>
        <sz val="12"/>
        <rFont val="Calibri"/>
      </rPr>
      <t>2</t>
    </r>
    <r>
      <rPr>
        <b/>
        <sz val="12"/>
        <rFont val="Calibri"/>
      </rPr>
      <t>e</t>
    </r>
  </si>
  <si>
    <r>
      <t>CO</t>
    </r>
    <r>
      <rPr>
        <b/>
        <vertAlign val="subscript"/>
        <sz val="12"/>
        <rFont val="Calibri"/>
      </rPr>
      <t>2</t>
    </r>
    <r>
      <rPr>
        <b/>
        <sz val="12"/>
        <rFont val="Calibri"/>
      </rPr>
      <t>(b)</t>
    </r>
  </si>
  <si>
    <r>
      <t>GHGs (metric tonnes CO</t>
    </r>
    <r>
      <rPr>
        <b/>
        <vertAlign val="subscript"/>
        <sz val="12"/>
        <rFont val="Calibri"/>
      </rPr>
      <t>2</t>
    </r>
    <r>
      <rPr>
        <b/>
        <sz val="12"/>
        <rFont val="Calibri"/>
      </rPr>
      <t>e)</t>
    </r>
  </si>
  <si>
    <t>Enter emissions data</t>
  </si>
  <si>
    <t>Convert to tonnes</t>
  </si>
  <si>
    <t>Description of method(s) used or explanation for using notation key(s)</t>
  </si>
  <si>
    <t>Notation key</t>
  </si>
  <si>
    <t>Not occurring</t>
  </si>
  <si>
    <t>Included elsewhere</t>
  </si>
  <si>
    <t>Description and examples</t>
  </si>
  <si>
    <t>An activity or process does not occur or exist within the city.</t>
  </si>
  <si>
    <t>Emissions occur but have not been estimated or reported; justification for exclusion shall be noted in the explanation</t>
  </si>
  <si>
    <t>Not estimated</t>
  </si>
  <si>
    <t>GHG emissions which could lead to the disclosure of confidential information and can therefore not be reported.</t>
  </si>
  <si>
    <t>Confidential</t>
  </si>
  <si>
    <t>GHG emissions for this activity are estimated and presented in another category of the inventory. That category shall be noted in the explanation.</t>
  </si>
  <si>
    <t>II.5.1 is reported in II.1.1. Fuel sales approach does not allow for disaggregation.</t>
  </si>
  <si>
    <t>Activity data for IV.1 is confidential. Data cannot be aggregated to provide confidentiality.</t>
  </si>
  <si>
    <t>I.7.1 does not occur. No coal-related activities within the city boundary.</t>
  </si>
  <si>
    <t>Example</t>
  </si>
  <si>
    <t>III.1.2 is reported in I Stationary. Landfill gas is captured and burned as an energy source.</t>
  </si>
  <si>
    <t>III.4.3 has not been estimated. Activity not required for BASIC inventory.</t>
  </si>
  <si>
    <t xml:space="preserve">II.5.1 is confidential. Military base within city boundary. </t>
  </si>
  <si>
    <t>CF4_tCO2e</t>
  </si>
  <si>
    <t>C2F6_tCO2e</t>
  </si>
  <si>
    <t>SF6_tCO2e</t>
  </si>
  <si>
    <t>NF3_tCO2e</t>
  </si>
  <si>
    <t>CH4_tCO2e</t>
  </si>
  <si>
    <t>N2O_tCO2e</t>
  </si>
  <si>
    <t>HFC-23_tCO2e</t>
  </si>
  <si>
    <t>HFC-32_tCO2e</t>
  </si>
  <si>
    <t>HFC-41_tCO2e</t>
  </si>
  <si>
    <t>HFC-125_tCO2e</t>
  </si>
  <si>
    <t>HFC-134_tCO2e</t>
  </si>
  <si>
    <t>HFC-134a_tCO2e</t>
  </si>
  <si>
    <t>HFC-143_tCO2e</t>
  </si>
  <si>
    <t>HFC-143a_tCO2e</t>
  </si>
  <si>
    <t>HFC-152a_tCO2e</t>
  </si>
  <si>
    <t>HFC-227ea_tCO2e</t>
  </si>
  <si>
    <t>HFC-236fa_tCO2e</t>
  </si>
  <si>
    <t>HFC-245ca_tCO2e</t>
  </si>
  <si>
    <t>Use this tab to record activity and emissions data for Transportation sources. Emission factors should be recorded in the 'Emission factors' tab.</t>
  </si>
  <si>
    <t>Use this tab to record activity and emissions data for Waste sources. Emission factors should be recorded in the 'Emission factors' tab.</t>
  </si>
  <si>
    <r>
      <t>SF</t>
    </r>
    <r>
      <rPr>
        <b/>
        <vertAlign val="subscript"/>
        <sz val="12"/>
        <rFont val="Calibri"/>
      </rPr>
      <t>6</t>
    </r>
  </si>
  <si>
    <r>
      <t>NF</t>
    </r>
    <r>
      <rPr>
        <b/>
        <vertAlign val="subscript"/>
        <sz val="12"/>
        <rFont val="Calibri"/>
      </rPr>
      <t>3</t>
    </r>
  </si>
  <si>
    <t>II.2.2 does not occur. Number of electric vehicles is negligible compared to total vehicle fleet (0.01% of vehicle sales in 2014 were electric).</t>
  </si>
  <si>
    <t>Use this tab to record activity and emissions data for IPPU sources. This is required for BASIC+ only. Emission factors should be recorded in the 'Emission factors' tab.</t>
  </si>
  <si>
    <t>Use this tab to record activity and emissions data for AFOLU sources. This is required for BASIC+ only. Emission factors should be recorded in the 'Emission factors' tab.</t>
  </si>
  <si>
    <t>Use this tab to record activity and emissions data for Other scope 3 sources. This sector is optional. Emission factors should be recorded in the 'Emission factors' tab.</t>
  </si>
  <si>
    <t>EMISSIONS</t>
  </si>
  <si>
    <t>✓</t>
  </si>
  <si>
    <t>g</t>
  </si>
  <si>
    <t>gramme (g)</t>
  </si>
  <si>
    <t>IV.2 has not been estimated; activity not required for BASIC</t>
  </si>
  <si>
    <t>V.2 has not been estimated; activity not required for BASIC</t>
  </si>
  <si>
    <t>V.3 has not been estimated; activity not required for BASIC</t>
  </si>
  <si>
    <t>VI.1 has not been estimated; activity not required for BASIC</t>
  </si>
  <si>
    <t>REVISION HISTORY</t>
  </si>
  <si>
    <t>Version / Revision</t>
  </si>
  <si>
    <t>Created reporting tool</t>
  </si>
  <si>
    <t>Michael Doust</t>
  </si>
  <si>
    <t>In progress</t>
  </si>
  <si>
    <t>1.8_ENG</t>
  </si>
  <si>
    <t>1.9_ENG</t>
  </si>
  <si>
    <t>1.0_ENG</t>
  </si>
  <si>
    <t>Waste generated outside city (III.X.3)</t>
  </si>
  <si>
    <t>Integrated AD*EF calculation functionality</t>
  </si>
  <si>
    <t>BASIC+ S3</t>
  </si>
  <si>
    <t>I.7.1 does not occur; no coal-related activities within the city boundary</t>
  </si>
  <si>
    <t>I.5.1 does not occur; no agricultural activities within the city boundary</t>
  </si>
  <si>
    <t>I.5.2 does not occur; no agricultural activities within the city boundary</t>
  </si>
  <si>
    <t>I.5.3 does not occur; no agricultural activities within the city boundary</t>
  </si>
  <si>
    <t>I.6.1 does not occur; no non-specified sources identified within the city boundary</t>
  </si>
  <si>
    <t>I.6.2 does not occur; no non-specified sources identified within the city boundary</t>
  </si>
  <si>
    <t>I.6.3 does not occur; no non-specified sources identified within the city boundary</t>
  </si>
  <si>
    <t>City information</t>
  </si>
  <si>
    <t>Table B. Summary</t>
  </si>
  <si>
    <t>Added "BASIC+ S3" and "Net GHGs" columns to summary table</t>
  </si>
  <si>
    <t>Various</t>
  </si>
  <si>
    <t>TOTAL inboundary offset credit transactions (in tCO2e)</t>
  </si>
  <si>
    <t>TOTAL out of boundary offset credit transactions (in tCO2e)</t>
  </si>
  <si>
    <t>Benchmark energy source</t>
  </si>
  <si>
    <t>Correction (tCO2e)</t>
  </si>
  <si>
    <t>TOTAL renewable energy production or investments (in tCO2e)</t>
  </si>
  <si>
    <t>Data sources and Emission factors</t>
  </si>
  <si>
    <t>Sheet</t>
  </si>
  <si>
    <t>Change</t>
  </si>
  <si>
    <t>Net emissions</t>
  </si>
  <si>
    <t>June 2015</t>
  </si>
  <si>
    <t>May 2015</t>
  </si>
  <si>
    <t>Minor spelling corrections and updated dropdown lists</t>
  </si>
  <si>
    <t>Default</t>
  </si>
  <si>
    <t>Manual</t>
  </si>
  <si>
    <t>City</t>
  </si>
  <si>
    <t>Proxy region for wastewater treatment</t>
  </si>
  <si>
    <t>Africa</t>
  </si>
  <si>
    <t>&lt; Select from list</t>
  </si>
  <si>
    <t>Proxy country for wastewater treatment</t>
  </si>
  <si>
    <t>South Africa</t>
  </si>
  <si>
    <t>Proxy country for protein consumption</t>
  </si>
  <si>
    <t>Garbage disposal</t>
  </si>
  <si>
    <t>Garbage disposals</t>
  </si>
  <si>
    <t>Population</t>
  </si>
  <si>
    <t xml:space="preserve">Global Warming Potential </t>
  </si>
  <si>
    <t>% urban high income</t>
  </si>
  <si>
    <t>% urban low income</t>
  </si>
  <si>
    <t>% rural</t>
  </si>
  <si>
    <t>Check</t>
  </si>
  <si>
    <t>Must add up to 100%</t>
  </si>
  <si>
    <t>Climate (wet/dry)</t>
  </si>
  <si>
    <t>Dry</t>
  </si>
  <si>
    <t>Domestic / Commercial</t>
  </si>
  <si>
    <t>Industrial</t>
  </si>
  <si>
    <t>CH4 emissions</t>
  </si>
  <si>
    <t>TOWi</t>
  </si>
  <si>
    <t>Si</t>
  </si>
  <si>
    <t>R</t>
  </si>
  <si>
    <t>TOW</t>
  </si>
  <si>
    <t>P</t>
  </si>
  <si>
    <t>BOD</t>
  </si>
  <si>
    <t>B</t>
  </si>
  <si>
    <t>MCF</t>
  </si>
  <si>
    <t>U</t>
  </si>
  <si>
    <t>General treatment</t>
  </si>
  <si>
    <t>Specific treatment (optional)</t>
  </si>
  <si>
    <t>Organic content of wastewater (TOW)</t>
  </si>
  <si>
    <t>Organic component removed as sludge, 
kgBOD/yr or kgCOD/yr (S)</t>
  </si>
  <si>
    <t>Emission factor (EF)</t>
  </si>
  <si>
    <t>Total GHG emissions</t>
  </si>
  <si>
    <t>Treatment</t>
  </si>
  <si>
    <t>Type of treatment</t>
  </si>
  <si>
    <t>Comment</t>
  </si>
  <si>
    <t>% water treated</t>
  </si>
  <si>
    <t>Population (P)</t>
  </si>
  <si>
    <t>Biochemical Oxygen Demand, g/person/day (BOD)</t>
  </si>
  <si>
    <t>Correction factor for additional industrial discharge, I</t>
  </si>
  <si>
    <t>Methane correction factor (MCF)</t>
  </si>
  <si>
    <t>Specific</t>
  </si>
  <si>
    <t>Urban: high income</t>
  </si>
  <si>
    <t>Rural</t>
  </si>
  <si>
    <t>None</t>
  </si>
  <si>
    <t>Sea, river and lake discharge</t>
  </si>
  <si>
    <t>Rivers with high organics loadings can turn anaerobic</t>
  </si>
  <si>
    <t>Non-treated</t>
  </si>
  <si>
    <t>Sewer</t>
  </si>
  <si>
    <t>Stagnant sewer</t>
  </si>
  <si>
    <t>Open and warm</t>
  </si>
  <si>
    <t>Flowing sewer (open or closed)</t>
  </si>
  <si>
    <t>Septic System</t>
  </si>
  <si>
    <t>Half of BOD settles in anaerobic tank</t>
  </si>
  <si>
    <t>Latrine</t>
  </si>
  <si>
    <t>Treated</t>
  </si>
  <si>
    <t>Regular sediment removal for fertilizer</t>
  </si>
  <si>
    <t>Aerobic treatment plant</t>
  </si>
  <si>
    <t>Must be well managed</t>
  </si>
  <si>
    <t>Not well managed. Overloaded</t>
  </si>
  <si>
    <t>Anaerobic digester for sludge</t>
  </si>
  <si>
    <t>CH₄ recovery is not considered here</t>
  </si>
  <si>
    <t>Anaerobic shallow lagoon</t>
  </si>
  <si>
    <t>Depth less than 2 metres</t>
  </si>
  <si>
    <t>Anaerobic deep lagoon</t>
  </si>
  <si>
    <t>Depth more than 2 metres</t>
  </si>
  <si>
    <t>Check to make sure it adds up to 100%</t>
  </si>
  <si>
    <t>Protein</t>
  </si>
  <si>
    <r>
      <t>F</t>
    </r>
    <r>
      <rPr>
        <vertAlign val="subscript"/>
        <sz val="11"/>
        <color indexed="8"/>
        <rFont val="Calibri"/>
        <family val="2"/>
      </rPr>
      <t>IND-COM</t>
    </r>
  </si>
  <si>
    <t>44/28</t>
  </si>
  <si>
    <t>Annual per capita 
protein consumption, kg/person/yr</t>
  </si>
  <si>
    <r>
      <rPr>
        <vertAlign val="superscript"/>
        <sz val="11"/>
        <color theme="1"/>
        <rFont val="Calibri"/>
        <scheme val="minor"/>
      </rPr>
      <t>1</t>
    </r>
    <r>
      <rPr>
        <sz val="11"/>
        <color theme="1"/>
        <rFont val="Calibri"/>
        <family val="2"/>
        <scheme val="minor"/>
      </rPr>
      <t xml:space="preserve"> Default values taken from FAO Statistics for 2009-11 (latest year) for global protein consumption per person per day. Available at http://faostat3.fao.org/download/D/FS/E</t>
    </r>
  </si>
  <si>
    <r>
      <rPr>
        <vertAlign val="superscript"/>
        <sz val="11"/>
        <color theme="1"/>
        <rFont val="Calibri"/>
        <scheme val="minor"/>
      </rPr>
      <t>2</t>
    </r>
    <r>
      <rPr>
        <sz val="11"/>
        <color theme="1"/>
        <rFont val="Calibri"/>
        <family val="2"/>
        <scheme val="minor"/>
      </rPr>
      <t xml:space="preserve"> Default values of 1.1 for countries with no garbage disposals, and 1.4 for countries with garbage disposals. Range is 1.0-1.5 (IPCC 2006 Volume 5 Chapter 6: Wastewater, Table 6.11: N2O Methodology default data)</t>
    </r>
  </si>
  <si>
    <t>Industry</t>
  </si>
  <si>
    <t>Wastewater generation 
(m3/tonne)</t>
  </si>
  <si>
    <t>Chemical oxygen demand
(COD; kg/m3)</t>
  </si>
  <si>
    <t xml:space="preserve"> Total organically degradable carbon in wastewater 
(TOW; kgCOD/year)</t>
  </si>
  <si>
    <t>Treatment method (%)</t>
  </si>
  <si>
    <r>
      <t>Maximum CH4 producing capacity 
(B</t>
    </r>
    <r>
      <rPr>
        <b/>
        <vertAlign val="subscript"/>
        <sz val="12"/>
        <color rgb="FFFFFFFF"/>
        <rFont val="Calibri"/>
      </rPr>
      <t>o</t>
    </r>
    <r>
      <rPr>
        <b/>
        <sz val="12"/>
        <color rgb="FFFFFFFF"/>
        <rFont val="Calibri"/>
      </rPr>
      <t>, kg CH₄/kg COD)</t>
    </r>
  </si>
  <si>
    <t>Total product</t>
  </si>
  <si>
    <t>Organic component removed as sludge 
(kg COD)</t>
  </si>
  <si>
    <t>Amount of CH₄ recovered
(kg CH₄)</t>
  </si>
  <si>
    <t>Aerobic treatment plant - well managed</t>
  </si>
  <si>
    <t>Aerobic treatment plant - not well managed</t>
  </si>
  <si>
    <t>Anaerobic shallow lagoon &lt; 2 metres</t>
  </si>
  <si>
    <t>Anaerobic deep lagoon &gt; 2 metres</t>
  </si>
  <si>
    <t>(select)</t>
  </si>
  <si>
    <t>(tonnes)</t>
  </si>
  <si>
    <t>IPCC 2006 Volume 5 Chapter 6: Wastewater, Table 6.5: Suggested Values for Degree of Treatment, Discharge Pathway or Method for Each Income Group for Selected Countries</t>
  </si>
  <si>
    <t>Region</t>
  </si>
  <si>
    <t>Fracton of population (U)</t>
  </si>
  <si>
    <r>
      <t>Degree of utilisation of treatment or discharge</t>
    </r>
    <r>
      <rPr>
        <b/>
        <sz val="12"/>
        <color rgb="FFFFFFFF"/>
        <rFont val="Calibri"/>
        <scheme val="minor"/>
      </rPr>
      <t xml:space="preserve"> (T)</t>
    </r>
  </si>
  <si>
    <t>Urban high income</t>
  </si>
  <si>
    <t>Urban low income</t>
  </si>
  <si>
    <r>
      <t xml:space="preserve">Urban: </t>
    </r>
    <r>
      <rPr>
        <b/>
        <sz val="12"/>
        <color rgb="FFFFFFFF"/>
        <rFont val="Calibri"/>
        <scheme val="minor"/>
      </rPr>
      <t>low</t>
    </r>
    <r>
      <rPr>
        <b/>
        <sz val="12"/>
        <color rgb="FFFFFFFF"/>
        <rFont val="Calibri"/>
        <scheme val="minor"/>
      </rPr>
      <t xml:space="preserve"> income</t>
    </r>
  </si>
  <si>
    <t>Septic tank</t>
  </si>
  <si>
    <t>Nigeria</t>
  </si>
  <si>
    <t>Egypt</t>
  </si>
  <si>
    <t>Kenya</t>
  </si>
  <si>
    <t>Asia</t>
  </si>
  <si>
    <t>China</t>
  </si>
  <si>
    <t>India</t>
  </si>
  <si>
    <t>Indonesia</t>
  </si>
  <si>
    <t>Pakistan</t>
  </si>
  <si>
    <t>Bangladesh</t>
  </si>
  <si>
    <t>Japan</t>
  </si>
  <si>
    <t>Europe</t>
  </si>
  <si>
    <t>Russia</t>
  </si>
  <si>
    <t>Low Income field should be set at 0%</t>
  </si>
  <si>
    <t>Germany</t>
  </si>
  <si>
    <t>United Kingdom</t>
  </si>
  <si>
    <t>France</t>
  </si>
  <si>
    <t>Italy</t>
  </si>
  <si>
    <t>North America</t>
  </si>
  <si>
    <t>United States</t>
  </si>
  <si>
    <t>Canada</t>
  </si>
  <si>
    <t xml:space="preserve">Latin America </t>
  </si>
  <si>
    <t>Brazil</t>
  </si>
  <si>
    <t>and Caribbean</t>
  </si>
  <si>
    <t>Mexico</t>
  </si>
  <si>
    <t>Oceania</t>
  </si>
  <si>
    <t>Australia</t>
  </si>
  <si>
    <t>New Zealand</t>
  </si>
  <si>
    <t>Specific treatment</t>
  </si>
  <si>
    <t>MCF range</t>
  </si>
  <si>
    <t>0 - 0.2</t>
  </si>
  <si>
    <t>Untreated</t>
  </si>
  <si>
    <t>0.4 - 0.8</t>
  </si>
  <si>
    <t>Latrine - dry climate</t>
  </si>
  <si>
    <t>0.05 - 0.15</t>
  </si>
  <si>
    <t>0.4 - 0.6</t>
  </si>
  <si>
    <t>Latrine - wet climate</t>
  </si>
  <si>
    <t>0.7 - 1</t>
  </si>
  <si>
    <t>Latrine - sediment removal</t>
  </si>
  <si>
    <t>0 - 0.1</t>
  </si>
  <si>
    <t>0.2 - 0.4</t>
  </si>
  <si>
    <t>0.8 - 1</t>
  </si>
  <si>
    <t>0 - 0.3</t>
  </si>
  <si>
    <t>IPCC 2006 Volume 5 Chapter 6: Wastewater, Table 6.4 Estimated BOD values in domestic wastewater for selected regions and countries</t>
  </si>
  <si>
    <t>BOD (g/person/day)</t>
  </si>
  <si>
    <t>Value</t>
  </si>
  <si>
    <t>Range</t>
  </si>
  <si>
    <t>Asia_MiddleEast_LatinAmerica</t>
  </si>
  <si>
    <t>Canada_Europe_Russia_Oceania</t>
  </si>
  <si>
    <t>Denmark</t>
  </si>
  <si>
    <t>Greece</t>
  </si>
  <si>
    <t>Sweden</t>
  </si>
  <si>
    <t>Turkey</t>
  </si>
  <si>
    <t>UnitedStates</t>
  </si>
  <si>
    <t>Industry type</t>
  </si>
  <si>
    <t>Wastewater generation</t>
  </si>
  <si>
    <t>COD (kg/m³)</t>
  </si>
  <si>
    <t>Alcohol refining</t>
  </si>
  <si>
    <t>16 - 32</t>
  </si>
  <si>
    <t>5 - 22</t>
  </si>
  <si>
    <t>Beer and Malt</t>
  </si>
  <si>
    <t xml:space="preserve"> 5.0 - 9.0</t>
  </si>
  <si>
    <t>2 - 7</t>
  </si>
  <si>
    <t>Coffee</t>
  </si>
  <si>
    <t>NA</t>
  </si>
  <si>
    <t>3 - 15</t>
  </si>
  <si>
    <t>Dairy products</t>
  </si>
  <si>
    <t>3 - 10</t>
  </si>
  <si>
    <t>1.5 - 5.2</t>
  </si>
  <si>
    <t>Fish processing</t>
  </si>
  <si>
    <t>8 - 18</t>
  </si>
  <si>
    <t>Meat and poultry</t>
  </si>
  <si>
    <t>Organic chemicals</t>
  </si>
  <si>
    <t>0 - 400</t>
  </si>
  <si>
    <t>0.8 - 5</t>
  </si>
  <si>
    <t>Petroleum refineries</t>
  </si>
  <si>
    <t>0.3 - 1.2</t>
  </si>
  <si>
    <t>0.4 - 1.6</t>
  </si>
  <si>
    <t>Plastic and resins</t>
  </si>
  <si>
    <t>Pulp and paper</t>
  </si>
  <si>
    <t>85 - 240</t>
  </si>
  <si>
    <t>1 - 15</t>
  </si>
  <si>
    <t>Soap and detergents</t>
  </si>
  <si>
    <t>1.0 - 5.0</t>
  </si>
  <si>
    <t>0.5 - 1.2</t>
  </si>
  <si>
    <t>Starch production</t>
  </si>
  <si>
    <t>4 - 18</t>
  </si>
  <si>
    <t>1.5 - 42</t>
  </si>
  <si>
    <t>Sugar refining</t>
  </si>
  <si>
    <t>1 - 6</t>
  </si>
  <si>
    <t>Vegetable oils</t>
  </si>
  <si>
    <t>Vegetables, fruits and juices</t>
  </si>
  <si>
    <t>7 - 35</t>
  </si>
  <si>
    <t>2 - 10</t>
  </si>
  <si>
    <t>Wine and vinegar</t>
  </si>
  <si>
    <t>11 - 46</t>
  </si>
  <si>
    <t>0.7 - 3.0</t>
  </si>
  <si>
    <t>Treatment type 
(industrial wastewater)</t>
  </si>
  <si>
    <t>Aerobic treatment plant - not well managed or overloaded</t>
  </si>
  <si>
    <t>Anaerobic digester for sludge (CH₄ recovery is not considered here)</t>
  </si>
  <si>
    <t>Anaerobic digester (e.g. UASB, fixed film reactor) (CH₄ recovery is not considered here)</t>
  </si>
  <si>
    <t>Anaerobic shallow lagoon - depth less than 2 metres</t>
  </si>
  <si>
    <t>Anaerobic deep lagoon - depth more than 2 metres</t>
  </si>
  <si>
    <t>Sea, river and lake discharge (rivers with high organics loadings can turn anaerobic)</t>
  </si>
  <si>
    <t>Afghanistan</t>
  </si>
  <si>
    <t>Albania</t>
  </si>
  <si>
    <t>Algeria</t>
  </si>
  <si>
    <t>American Samoa</t>
  </si>
  <si>
    <t>Andorra</t>
  </si>
  <si>
    <t>Angola</t>
  </si>
  <si>
    <t>Anguilla</t>
  </si>
  <si>
    <t>Antigua and Barbuda</t>
  </si>
  <si>
    <t>Argentina</t>
  </si>
  <si>
    <t>Armenia</t>
  </si>
  <si>
    <t>Aruba</t>
  </si>
  <si>
    <t>Austria</t>
  </si>
  <si>
    <t>Azerbaijan</t>
  </si>
  <si>
    <t>Bahamas</t>
  </si>
  <si>
    <t>Bahrain</t>
  </si>
  <si>
    <t>Barbados</t>
  </si>
  <si>
    <t>Belarus</t>
  </si>
  <si>
    <t>Belgium</t>
  </si>
  <si>
    <t>Belize</t>
  </si>
  <si>
    <t>Benin</t>
  </si>
  <si>
    <t>Bermuda</t>
  </si>
  <si>
    <t>Bhutan</t>
  </si>
  <si>
    <t>Bolivia (Plurinational State of)</t>
  </si>
  <si>
    <t>Bosnia and Herzegovina</t>
  </si>
  <si>
    <t>Botswana</t>
  </si>
  <si>
    <t>British Virgin Islands</t>
  </si>
  <si>
    <t>Brunei Darussalam</t>
  </si>
  <si>
    <t>Bulgaria</t>
  </si>
  <si>
    <t>Burkina Faso</t>
  </si>
  <si>
    <t>Burundi</t>
  </si>
  <si>
    <t>Cabo Verde</t>
  </si>
  <si>
    <t>Cambodia</t>
  </si>
  <si>
    <t>Cameroon</t>
  </si>
  <si>
    <t>Cayman Islands</t>
  </si>
  <si>
    <t>Central African Republic</t>
  </si>
  <si>
    <t>Chad</t>
  </si>
  <si>
    <t>Chile</t>
  </si>
  <si>
    <t>Colombia</t>
  </si>
  <si>
    <t>Comoros</t>
  </si>
  <si>
    <t>Congo</t>
  </si>
  <si>
    <t>Cook Islands</t>
  </si>
  <si>
    <t>Costa Rica</t>
  </si>
  <si>
    <t>Côte d'Ivoire</t>
  </si>
  <si>
    <t>Croatia</t>
  </si>
  <si>
    <t>Cuba</t>
  </si>
  <si>
    <t>Cyprus</t>
  </si>
  <si>
    <t>Czech Republic</t>
  </si>
  <si>
    <t>Democratic People's Republic of Korea</t>
  </si>
  <si>
    <t>Democratic Republic of the Congo</t>
  </si>
  <si>
    <t>Djibouti</t>
  </si>
  <si>
    <t>Dominica</t>
  </si>
  <si>
    <t>Dominican Republic</t>
  </si>
  <si>
    <t>Ecuador</t>
  </si>
  <si>
    <t>El Salvador</t>
  </si>
  <si>
    <t>Equatorial Guinea</t>
  </si>
  <si>
    <t>Eritrea</t>
  </si>
  <si>
    <t>Estonia</t>
  </si>
  <si>
    <t>Ethiopia</t>
  </si>
  <si>
    <t>Faroe Islands</t>
  </si>
  <si>
    <t>Fiji</t>
  </si>
  <si>
    <t>Finland</t>
  </si>
  <si>
    <t>French Guiana</t>
  </si>
  <si>
    <t>French Polynesia</t>
  </si>
  <si>
    <t>Gabon</t>
  </si>
  <si>
    <t>Gambia</t>
  </si>
  <si>
    <t>Georgia</t>
  </si>
  <si>
    <t>Ghana</t>
  </si>
  <si>
    <t>Gibraltar</t>
  </si>
  <si>
    <t>Greenland</t>
  </si>
  <si>
    <t>Grenada</t>
  </si>
  <si>
    <t>Guadeloupe</t>
  </si>
  <si>
    <t>Guam</t>
  </si>
  <si>
    <t>Guatemala</t>
  </si>
  <si>
    <t>Guinea</t>
  </si>
  <si>
    <t>Guinea-Bissau</t>
  </si>
  <si>
    <t>Guyana</t>
  </si>
  <si>
    <t>Haiti</t>
  </si>
  <si>
    <t>Holy See</t>
  </si>
  <si>
    <t>Honduras</t>
  </si>
  <si>
    <t>Hungary</t>
  </si>
  <si>
    <t>Iceland</t>
  </si>
  <si>
    <t>Iran (Islamic Republic of)</t>
  </si>
  <si>
    <t>Iraq</t>
  </si>
  <si>
    <t>Ireland</t>
  </si>
  <si>
    <t>Israel</t>
  </si>
  <si>
    <t>Jamaica</t>
  </si>
  <si>
    <t>Jordan</t>
  </si>
  <si>
    <t>Kazakhstan</t>
  </si>
  <si>
    <t>Kiribati</t>
  </si>
  <si>
    <t>Kuwait</t>
  </si>
  <si>
    <t>Kyrgyzstan</t>
  </si>
  <si>
    <t>Lao People's Democratic Republic</t>
  </si>
  <si>
    <t>Latvia</t>
  </si>
  <si>
    <t>Lebanon</t>
  </si>
  <si>
    <t>Lesotho</t>
  </si>
  <si>
    <t>Liberia</t>
  </si>
  <si>
    <t>Libya</t>
  </si>
  <si>
    <t>Liechtenstein</t>
  </si>
  <si>
    <t>Lithuania</t>
  </si>
  <si>
    <t>Luxembourg</t>
  </si>
  <si>
    <t>Madagascar</t>
  </si>
  <si>
    <t>Malawi</t>
  </si>
  <si>
    <t>Malaysia</t>
  </si>
  <si>
    <t>Maldives</t>
  </si>
  <si>
    <t>Mali</t>
  </si>
  <si>
    <t>Malta</t>
  </si>
  <si>
    <t>Marshall Islands</t>
  </si>
  <si>
    <t>Martinique</t>
  </si>
  <si>
    <t>Mauritania</t>
  </si>
  <si>
    <t>Mauritius</t>
  </si>
  <si>
    <t>Mayotte</t>
  </si>
  <si>
    <t>Micronesia (Federated States of)</t>
  </si>
  <si>
    <t>Monaco</t>
  </si>
  <si>
    <t>Mongolia</t>
  </si>
  <si>
    <t>Montenegro</t>
  </si>
  <si>
    <t>Montserrat</t>
  </si>
  <si>
    <t>Morocco</t>
  </si>
  <si>
    <t>Mozambique</t>
  </si>
  <si>
    <t>Myanmar</t>
  </si>
  <si>
    <t>Namibia</t>
  </si>
  <si>
    <t>Nauru</t>
  </si>
  <si>
    <t>Nepal</t>
  </si>
  <si>
    <t>Netherlands</t>
  </si>
  <si>
    <t>Netherlands Antilles</t>
  </si>
  <si>
    <t>New Caledonia</t>
  </si>
  <si>
    <t>Nicaragua</t>
  </si>
  <si>
    <t>Niger</t>
  </si>
  <si>
    <t>Niue</t>
  </si>
  <si>
    <t>Northern Mariana Islands</t>
  </si>
  <si>
    <t>Norway</t>
  </si>
  <si>
    <t>Oman</t>
  </si>
  <si>
    <t>Palau</t>
  </si>
  <si>
    <t>Panama</t>
  </si>
  <si>
    <t>Papua New Guinea</t>
  </si>
  <si>
    <t>Paraguay</t>
  </si>
  <si>
    <t>Peru</t>
  </si>
  <si>
    <t>Philippines</t>
  </si>
  <si>
    <t>Poland</t>
  </si>
  <si>
    <t>Portugal</t>
  </si>
  <si>
    <t>Puerto Rico</t>
  </si>
  <si>
    <t>Qatar</t>
  </si>
  <si>
    <t>Republic of Korea</t>
  </si>
  <si>
    <t>Republic of Moldova</t>
  </si>
  <si>
    <t>Réunion</t>
  </si>
  <si>
    <t>Romania</t>
  </si>
  <si>
    <t>Russian Federation</t>
  </si>
  <si>
    <t>Rwanda</t>
  </si>
  <si>
    <t>Saint Helena, Ascension and Tristan da Cunha</t>
  </si>
  <si>
    <t>Saint Kitts and Nevis</t>
  </si>
  <si>
    <t>Saint Lucia</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</si>
  <si>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</si>
  <si>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</si>
  <si>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</si>
  <si>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</si>
  <si>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</si>
  <si>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</si>
  <si>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</si>
  <si>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</si>
  <si>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</si>
  <si>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</si>
  <si>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</si>
  <si>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</si>
  <si>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Slovakia</t>
  </si>
  <si>
    <t>Slovenia</t>
  </si>
  <si>
    <t>Solomon Islands</t>
  </si>
  <si>
    <t>Somalia</t>
  </si>
  <si>
    <t>South Sudan</t>
  </si>
  <si>
    <t>Spain</t>
  </si>
  <si>
    <t>Sri Lanka</t>
  </si>
  <si>
    <t>Sudan</t>
  </si>
  <si>
    <t>Sudan (former)</t>
  </si>
  <si>
    <t>Suriname</t>
  </si>
  <si>
    <t>Swaziland</t>
  </si>
  <si>
    <t>Switzerland</t>
  </si>
  <si>
    <t>Syrian Arab Republic</t>
  </si>
  <si>
    <t>Tajikistan</t>
  </si>
  <si>
    <t>Thailand</t>
  </si>
  <si>
    <t>The former Yugoslav Republic of Macedonia</t>
  </si>
  <si>
    <t>Timor-Leste</t>
  </si>
  <si>
    <t>Togo</t>
  </si>
  <si>
    <t>Tokelau</t>
  </si>
  <si>
    <t>Tonga</t>
  </si>
  <si>
    <t>Trinidad and Tobago</t>
  </si>
  <si>
    <t>Tunisia</t>
  </si>
  <si>
    <t>Turkmenistan</t>
  </si>
  <si>
    <t>Turks and Caicos Islands</t>
  </si>
  <si>
    <t>Tuvalu</t>
  </si>
  <si>
    <t>Uganda</t>
  </si>
  <si>
    <t>Ukraine</t>
  </si>
  <si>
    <t>United Arab Emirates</t>
  </si>
  <si>
    <t>United Republic of Tanzania</t>
  </si>
  <si>
    <t>United States of America</t>
  </si>
  <si>
    <t>United States Virgin Islands</t>
  </si>
  <si>
    <t>Uruguay</t>
  </si>
  <si>
    <t>Uzbekistan</t>
  </si>
  <si>
    <t>Vanuatu</t>
  </si>
  <si>
    <t>Venezuela (Bolivarian Republic of)</t>
  </si>
  <si>
    <t>Viet Nam</t>
  </si>
  <si>
    <t>Wallis and Futuna Islands</t>
  </si>
  <si>
    <t>West Bank and Gaza Strip</t>
  </si>
  <si>
    <t>Western Sahara</t>
  </si>
  <si>
    <t>Yemen</t>
  </si>
  <si>
    <t>Zambia</t>
  </si>
  <si>
    <t>Zimbabwe</t>
  </si>
  <si>
    <t>Data from http://faostat3.fao.org/download/D/FS/E</t>
  </si>
  <si>
    <t>2009-11 average</t>
  </si>
  <si>
    <t>WASTEWATER CALCULATOR</t>
  </si>
  <si>
    <t>Proxy region</t>
  </si>
  <si>
    <t>Proxy country</t>
  </si>
  <si>
    <t>Developed</t>
  </si>
  <si>
    <t>Wet</t>
  </si>
  <si>
    <t>Developing</t>
  </si>
  <si>
    <t>No garbage disposals</t>
  </si>
  <si>
    <t>Removals</t>
  </si>
  <si>
    <t>WW</t>
  </si>
  <si>
    <t>COD</t>
  </si>
  <si>
    <r>
      <t>MCF</t>
    </r>
    <r>
      <rPr>
        <b/>
        <vertAlign val="superscript"/>
        <sz val="12"/>
        <color rgb="FFFFFFFF"/>
        <rFont val="Calibri"/>
      </rPr>
      <t>1,2</t>
    </r>
  </si>
  <si>
    <r>
      <rPr>
        <vertAlign val="superscript"/>
        <sz val="12"/>
        <color theme="1"/>
        <rFont val="Calibri"/>
        <scheme val="minor"/>
      </rPr>
      <t>2</t>
    </r>
    <r>
      <rPr>
        <sz val="12"/>
        <color theme="1"/>
        <rFont val="Calibri"/>
        <family val="2"/>
        <scheme val="minor"/>
      </rPr>
      <t xml:space="preserve"> Inferred by C40 Cities from MCF values for specific treatment types</t>
    </r>
  </si>
  <si>
    <r>
      <rPr>
        <vertAlign val="superscript"/>
        <sz val="12"/>
        <color theme="1"/>
        <rFont val="Calibri"/>
        <scheme val="minor"/>
      </rPr>
      <t>1</t>
    </r>
    <r>
      <rPr>
        <sz val="12"/>
        <color theme="1"/>
        <rFont val="Calibri"/>
        <family val="2"/>
        <scheme val="minor"/>
      </rPr>
      <t xml:space="preserve"> The MCF indicates the extent to which the CH4 producing capacity (Bo) is realised in each type of treatment and discharge pathway and system. Thus, it is an indication of the degree to which the system is anaerobic.</t>
    </r>
  </si>
  <si>
    <r>
      <t>Other</t>
    </r>
    <r>
      <rPr>
        <vertAlign val="superscript"/>
        <sz val="12"/>
        <color theme="1"/>
        <rFont val="Calibri"/>
        <scheme val="minor"/>
      </rPr>
      <t>3</t>
    </r>
  </si>
  <si>
    <r>
      <rPr>
        <vertAlign val="superscript"/>
        <sz val="12"/>
        <color theme="1"/>
        <rFont val="Calibri"/>
        <scheme val="minor"/>
      </rPr>
      <t>3</t>
    </r>
    <r>
      <rPr>
        <sz val="12"/>
        <color theme="1"/>
        <rFont val="Calibri"/>
        <family val="2"/>
        <scheme val="minor"/>
      </rPr>
      <t xml:space="preserve"> Median of values for Septic Tank, Latrine - dry climate, Latrine - wet climate, Sewer and None. Specific ‘other’ technologies not included as it is assumed if these are present their utilisation will be known</t>
    </r>
  </si>
  <si>
    <t>Net-calorific value</t>
  </si>
  <si>
    <t>Conversions</t>
  </si>
  <si>
    <t>IPCC Code 1.B.2.b.iii.5</t>
  </si>
  <si>
    <t>Uncertainty</t>
  </si>
  <si>
    <t>-20 to +500%</t>
  </si>
  <si>
    <t>1.1E-03 to 2.5E-03</t>
  </si>
  <si>
    <t>5.1E-05 to 1.4E-04</t>
  </si>
  <si>
    <t>Volume units</t>
  </si>
  <si>
    <t>MWh</t>
  </si>
  <si>
    <t>GJ</t>
  </si>
  <si>
    <t>Tonnes</t>
  </si>
  <si>
    <t>Gg per 1,000,000 m3 utility sales</t>
  </si>
  <si>
    <t>Tonnes per m3 utility sales</t>
  </si>
  <si>
    <r>
      <t>Developing</t>
    </r>
    <r>
      <rPr>
        <vertAlign val="superscript"/>
        <sz val="12"/>
        <color theme="1"/>
        <rFont val="Calibri"/>
        <scheme val="minor"/>
      </rPr>
      <t>1</t>
    </r>
  </si>
  <si>
    <r>
      <rPr>
        <vertAlign val="superscript"/>
        <sz val="12"/>
        <color theme="1"/>
        <rFont val="Calibri"/>
        <scheme val="minor"/>
      </rPr>
      <t>1</t>
    </r>
    <r>
      <rPr>
        <sz val="12"/>
        <color theme="1"/>
        <rFont val="Calibri"/>
        <family val="2"/>
        <scheme val="minor"/>
      </rPr>
      <t xml:space="preserve"> Values for Developing countries have been derived from the average of the range. Cities are advised to replace these default values in Table B with country-specific values wherever possible</t>
    </r>
  </si>
  <si>
    <t>TJ/Gg</t>
  </si>
  <si>
    <t>Activity Data</t>
  </si>
  <si>
    <r>
      <t>kWh/tonne</t>
    </r>
    <r>
      <rPr>
        <b/>
        <vertAlign val="superscript"/>
        <sz val="12"/>
        <color rgb="FFFFFFFF"/>
        <rFont val="Calibri"/>
      </rPr>
      <t>2</t>
    </r>
  </si>
  <si>
    <r>
      <t>Density, kg/m</t>
    </r>
    <r>
      <rPr>
        <b/>
        <vertAlign val="superscript"/>
        <sz val="12"/>
        <color rgb="FFFFFFFF"/>
        <rFont val="Calibri"/>
        <scheme val="minor"/>
      </rPr>
      <t>3</t>
    </r>
  </si>
  <si>
    <r>
      <t>m</t>
    </r>
    <r>
      <rPr>
        <b/>
        <vertAlign val="superscript"/>
        <sz val="12"/>
        <color rgb="FFFFFFFF"/>
        <rFont val="Calibri"/>
        <scheme val="minor"/>
      </rPr>
      <t>3</t>
    </r>
  </si>
  <si>
    <r>
      <t>Emission factors, t/m</t>
    </r>
    <r>
      <rPr>
        <b/>
        <vertAlign val="superscript"/>
        <sz val="12"/>
        <color rgb="FFFFFFFF"/>
        <rFont val="Calibri"/>
      </rPr>
      <t>3</t>
    </r>
  </si>
  <si>
    <t>Development</t>
  </si>
  <si>
    <r>
      <rPr>
        <vertAlign val="superscript"/>
        <sz val="12"/>
        <color theme="1"/>
        <rFont val="Calibri"/>
        <scheme val="minor"/>
      </rPr>
      <t>4</t>
    </r>
    <r>
      <rPr>
        <sz val="12"/>
        <color theme="1"/>
        <rFont val="Calibri"/>
        <family val="2"/>
        <scheme val="minor"/>
      </rPr>
      <t xml:space="preserve"> Default emission factors from Table 4.2.4 for developed countries and Table 4.2.5 for developing countries, Chapter 4, IPCC 2006</t>
    </r>
  </si>
  <si>
    <t>IPCC 2006 Volume 2 Chapter 4 Fugitive Emissions Table 4.2.4 and 4.2.5: Tier 1 Emission Factors for Fugitive Emissions From Oil and Gas Operations in Developed Countriesn/ Developing Countries and Countries with Economies in Transition</t>
  </si>
  <si>
    <r>
      <rPr>
        <vertAlign val="superscript"/>
        <sz val="12"/>
        <color theme="1"/>
        <rFont val="Calibri"/>
        <scheme val="minor"/>
      </rPr>
      <t>1</t>
    </r>
    <r>
      <rPr>
        <sz val="12"/>
        <color theme="1"/>
        <rFont val="Calibri"/>
        <family val="2"/>
        <scheme val="minor"/>
      </rPr>
      <t xml:space="preserve"> Net Calorific Values for fuels, Table 1.2, Volume 2 Chapter 1, IPCC 2006 Guidelines http://www.ipcc-nggip.iges.or.jp/public/2006gl/pdf/2_Volume2/V2_1_Ch1_Introduction.pdf</t>
    </r>
  </si>
  <si>
    <t>III.2 BIOLOGICAL TREATMENT OF SOLID WASTE</t>
  </si>
  <si>
    <t>Treatment type</t>
  </si>
  <si>
    <t>Dry waste</t>
  </si>
  <si>
    <t>Wet waste</t>
  </si>
  <si>
    <t>Mi</t>
  </si>
  <si>
    <t>i</t>
  </si>
  <si>
    <t>0-20</t>
  </si>
  <si>
    <t>0-8</t>
  </si>
  <si>
    <t>0.08-20</t>
  </si>
  <si>
    <t>0.03-8</t>
  </si>
  <si>
    <t>0.2-1.6</t>
  </si>
  <si>
    <t>0.06-0.6</t>
  </si>
  <si>
    <t>%</t>
  </si>
  <si>
    <t>Organic waste treated</t>
  </si>
  <si>
    <t>Type of waste</t>
  </si>
  <si>
    <t>Select type of waste</t>
  </si>
  <si>
    <t>FUGITIVE CALCULATOR</t>
  </si>
  <si>
    <t>BIOWASTE CALCULATOR</t>
  </si>
  <si>
    <t>IPCC 2006 Volume 5 Chapter 6: Wastewater, Table 6.3: Default MCF values for domestic water</t>
  </si>
  <si>
    <t>IPCC 2006 Volume 5 Chapter 6: Wastewater, Table 6.9: Examples of industrial wastewater data</t>
  </si>
  <si>
    <t>IPCC 2006 Volume 5 Chapter 6: Wastewater, Table 6.8: Default MCF values for industrial wastewater</t>
  </si>
  <si>
    <t>35 - 45</t>
  </si>
  <si>
    <t>27 - 41</t>
  </si>
  <si>
    <t>32 - 68</t>
  </si>
  <si>
    <t>50 - 70</t>
  </si>
  <si>
    <t>55 - 68</t>
  </si>
  <si>
    <t>55 - 60</t>
  </si>
  <si>
    <t>49 - 60</t>
  </si>
  <si>
    <t>68 - 82</t>
  </si>
  <si>
    <t>27 - 50</t>
  </si>
  <si>
    <t>50 - 120</t>
  </si>
  <si>
    <r>
      <rPr>
        <vertAlign val="superscript"/>
        <sz val="11"/>
        <rFont val="Calibri"/>
      </rPr>
      <t>1</t>
    </r>
    <r>
      <rPr>
        <sz val="11"/>
        <rFont val="Calibri"/>
        <family val="2"/>
      </rPr>
      <t xml:space="preserve"> IPCC 2006 Volume 5 Chapter 6: Wastewater, Table 6.9: Examples of industrial wastewater data</t>
    </r>
  </si>
  <si>
    <r>
      <rPr>
        <vertAlign val="superscript"/>
        <sz val="11"/>
        <rFont val="Calibri"/>
      </rPr>
      <t>2</t>
    </r>
    <r>
      <rPr>
        <sz val="11"/>
        <rFont val="Calibri"/>
        <family val="2"/>
      </rPr>
      <t xml:space="preserve"> IPCC 2006 Volume 5 Chapter 6: Wastewater, Table 6.8: Default MCF values for industrial wastewater</t>
    </r>
  </si>
  <si>
    <r>
      <rPr>
        <vertAlign val="superscript"/>
        <sz val="11"/>
        <rFont val="Calibri"/>
      </rPr>
      <t>3</t>
    </r>
    <r>
      <rPr>
        <sz val="11"/>
        <rFont val="Calibri"/>
        <family val="2"/>
      </rPr>
      <t xml:space="preserve"> CH₄ recovery is not considered</t>
    </r>
  </si>
  <si>
    <t>Anaerobic digester (e.g. UASB, fixed film reactor)</t>
  </si>
  <si>
    <r>
      <t>Methane correction factors (MCF)</t>
    </r>
    <r>
      <rPr>
        <b/>
        <vertAlign val="superscript"/>
        <sz val="12"/>
        <color rgb="FFFFFFFF"/>
        <rFont val="Calibri"/>
      </rPr>
      <t>2</t>
    </r>
  </si>
  <si>
    <r>
      <t>Anaerobic digester for sludge</t>
    </r>
    <r>
      <rPr>
        <b/>
        <vertAlign val="superscript"/>
        <sz val="12"/>
        <color rgb="FFFFFFFF"/>
        <rFont val="Calibri"/>
      </rPr>
      <t>3</t>
    </r>
  </si>
  <si>
    <r>
      <t>Anaerobic digester (e.g. UASB, fixed film reactor)</t>
    </r>
    <r>
      <rPr>
        <b/>
        <vertAlign val="superscript"/>
        <sz val="12"/>
        <color rgb="FFFFFFFF"/>
        <rFont val="Calibri"/>
      </rPr>
      <t>3</t>
    </r>
  </si>
  <si>
    <t>Rural (UHI &gt; ULI)</t>
  </si>
  <si>
    <t>Rural (ULI &gt; UHI)</t>
  </si>
  <si>
    <r>
      <rPr>
        <vertAlign val="superscript"/>
        <sz val="11"/>
        <color theme="1"/>
        <rFont val="Calibri"/>
        <scheme val="minor"/>
      </rPr>
      <t>1</t>
    </r>
    <r>
      <rPr>
        <sz val="11"/>
        <color theme="1"/>
        <rFont val="Calibri"/>
        <family val="2"/>
        <scheme val="minor"/>
      </rPr>
      <t xml:space="preserve"> IPCC 2006 Volume 5 Chapter 6: Wastewater, Table 6.5: Suggested Values for Degree of Treatment, Discharge Pathway or Method for Each Income Group for Selected Countries</t>
    </r>
  </si>
  <si>
    <r>
      <rPr>
        <vertAlign val="superscript"/>
        <sz val="11"/>
        <color theme="1"/>
        <rFont val="Calibri"/>
        <scheme val="minor"/>
      </rPr>
      <t>2</t>
    </r>
    <r>
      <rPr>
        <sz val="11"/>
        <color theme="1"/>
        <rFont val="Calibri"/>
        <family val="2"/>
        <scheme val="minor"/>
      </rPr>
      <t xml:space="preserve"> IPCC 2006 Volume 5 Chapter 6: Wastewater, Table 6.4 Estimated BOD values in domestic wastewater for selected regions and countries</t>
    </r>
  </si>
  <si>
    <r>
      <rPr>
        <vertAlign val="superscript"/>
        <sz val="11"/>
        <color theme="1"/>
        <rFont val="Calibri"/>
        <scheme val="minor"/>
      </rPr>
      <t>3</t>
    </r>
    <r>
      <rPr>
        <sz val="11"/>
        <color theme="1"/>
        <rFont val="Calibri"/>
        <family val="2"/>
        <scheme val="minor"/>
      </rPr>
      <t xml:space="preserve"> IPCC 2006 Volume 5 Chapter 6: Wastewater, Equation 6.3</t>
    </r>
  </si>
  <si>
    <r>
      <rPr>
        <vertAlign val="superscript"/>
        <sz val="11"/>
        <color theme="1"/>
        <rFont val="Calibri"/>
        <scheme val="minor"/>
      </rPr>
      <t>6</t>
    </r>
    <r>
      <rPr>
        <sz val="11"/>
        <color theme="1"/>
        <rFont val="Calibri"/>
        <family val="2"/>
        <scheme val="minor"/>
      </rPr>
      <t xml:space="preserve"> IPCC 2006 Volume 5 Chapter 6: Wastewater, Table 6.3: Default MCF values for domestic water</t>
    </r>
  </si>
  <si>
    <r>
      <rPr>
        <vertAlign val="superscript"/>
        <sz val="11"/>
        <color theme="1"/>
        <rFont val="Calibri"/>
        <scheme val="minor"/>
      </rPr>
      <t>5</t>
    </r>
    <r>
      <rPr>
        <sz val="11"/>
        <color theme="1"/>
        <rFont val="Calibri"/>
        <family val="2"/>
        <scheme val="minor"/>
      </rPr>
      <t xml:space="preserve"> Inferred from IPCC 2006 Volume 5 Chapter 6: Wastewater, Table 6.3: Default MCF values for domestic water</t>
    </r>
  </si>
  <si>
    <r>
      <rPr>
        <vertAlign val="superscript"/>
        <sz val="11"/>
        <color indexed="8"/>
        <rFont val="Calibri"/>
      </rPr>
      <t>4</t>
    </r>
    <r>
      <rPr>
        <sz val="11"/>
        <color indexed="8"/>
        <rFont val="Calibri"/>
        <family val="2"/>
      </rPr>
      <t xml:space="preserve"> Default IPCC emission factor for N₂O emissions from domestic wastewater nitrogen effluent is 0.005 (0.0005 - 0.25) kg N₂O-N/kg N. This emission factor is based on limited field data and on specific assumptions regarding the occurrence of nitrification and denitrification in rivers and in estuaries. IPCC 2006.</t>
    </r>
  </si>
  <si>
    <r>
      <rPr>
        <vertAlign val="superscript"/>
        <sz val="11"/>
        <color theme="1"/>
        <rFont val="Calibri"/>
        <scheme val="minor"/>
      </rPr>
      <t>3</t>
    </r>
    <r>
      <rPr>
        <sz val="11"/>
        <color theme="1"/>
        <rFont val="Calibri"/>
        <family val="2"/>
        <scheme val="minor"/>
      </rPr>
      <t xml:space="preserve"> IPCC 2006 Volume 5 Chapter 6: Wastewater, Equation 6.9: N2O emission from centralised wastewater treatment process</t>
    </r>
  </si>
  <si>
    <r>
      <t>P * T</t>
    </r>
    <r>
      <rPr>
        <b/>
        <vertAlign val="subscript"/>
        <sz val="11"/>
        <color indexed="8"/>
        <rFont val="Calibri"/>
      </rPr>
      <t>PLANT</t>
    </r>
    <r>
      <rPr>
        <b/>
        <sz val="11"/>
        <color indexed="8"/>
        <rFont val="Calibri"/>
        <family val="2"/>
      </rPr>
      <t xml:space="preserve"> * F</t>
    </r>
    <r>
      <rPr>
        <b/>
        <vertAlign val="subscript"/>
        <sz val="11"/>
        <color indexed="8"/>
        <rFont val="Calibri"/>
      </rPr>
      <t xml:space="preserve">IND-COM </t>
    </r>
    <r>
      <rPr>
        <b/>
        <sz val="11"/>
        <color indexed="8"/>
        <rFont val="Calibri"/>
        <family val="2"/>
      </rPr>
      <t>* EF</t>
    </r>
    <r>
      <rPr>
        <b/>
        <vertAlign val="subscript"/>
        <sz val="11"/>
        <color indexed="8"/>
        <rFont val="Calibri"/>
      </rPr>
      <t>PLANT</t>
    </r>
  </si>
  <si>
    <r>
      <t>EF</t>
    </r>
    <r>
      <rPr>
        <vertAlign val="subscript"/>
        <sz val="11"/>
        <color indexed="8"/>
        <rFont val="Calibri"/>
        <family val="2"/>
      </rPr>
      <t>PLANT</t>
    </r>
  </si>
  <si>
    <r>
      <t>T</t>
    </r>
    <r>
      <rPr>
        <vertAlign val="subscript"/>
        <sz val="11"/>
        <color indexed="8"/>
        <rFont val="Calibri"/>
        <family val="2"/>
      </rPr>
      <t>PLANT</t>
    </r>
  </si>
  <si>
    <t>MMBtu</t>
  </si>
  <si>
    <t>MBtu</t>
  </si>
  <si>
    <r>
      <rPr>
        <vertAlign val="superscript"/>
        <sz val="11"/>
        <color theme="1"/>
        <rFont val="Calibri"/>
        <scheme val="minor"/>
      </rPr>
      <t>1</t>
    </r>
    <r>
      <rPr>
        <sz val="11"/>
        <color theme="1"/>
        <rFont val="Calibri"/>
        <family val="2"/>
        <scheme val="minor"/>
      </rPr>
      <t xml:space="preserve"> 2006 IPCC Guidelines for National Greenhouse Gas Inventories Volume 5 Chapter 4 Biological Treatment of Solid Waste Table 4.1: Default emission factors for CH4 and N2O emissions from biological treatment of waste</t>
    </r>
  </si>
  <si>
    <t>Tools</t>
  </si>
  <si>
    <t>Entered default 'NO' for I.5, I.6, I.7, II.4.2 and II.5.3</t>
  </si>
  <si>
    <t>Entered default 'NE' for all IPPU, AFOLU and Other Scope 3 activities</t>
  </si>
  <si>
    <t>Advanced WWT plants</t>
  </si>
  <si>
    <t>Effluent</t>
  </si>
  <si>
    <r>
      <t>N2O</t>
    </r>
    <r>
      <rPr>
        <b/>
        <vertAlign val="subscript"/>
        <sz val="11"/>
        <color indexed="8"/>
        <rFont val="Calibri"/>
      </rPr>
      <t>EFFLUENT</t>
    </r>
    <r>
      <rPr>
        <b/>
        <sz val="11"/>
        <color indexed="8"/>
        <rFont val="Calibri"/>
        <family val="2"/>
      </rPr>
      <t xml:space="preserve"> + N2O</t>
    </r>
    <r>
      <rPr>
        <b/>
        <vertAlign val="subscript"/>
        <sz val="11"/>
        <color indexed="8"/>
        <rFont val="Calibri"/>
      </rPr>
      <t>PLANTS</t>
    </r>
  </si>
  <si>
    <r>
      <t>[ ( P * Protein * F</t>
    </r>
    <r>
      <rPr>
        <b/>
        <vertAlign val="subscript"/>
        <sz val="11"/>
        <color indexed="8"/>
        <rFont val="Calibri"/>
      </rPr>
      <t>NPR</t>
    </r>
    <r>
      <rPr>
        <b/>
        <sz val="11"/>
        <color indexed="8"/>
        <rFont val="Calibri"/>
        <family val="2"/>
      </rPr>
      <t xml:space="preserve"> * F</t>
    </r>
    <r>
      <rPr>
        <b/>
        <vertAlign val="subscript"/>
        <sz val="11"/>
        <color indexed="8"/>
        <rFont val="Calibri"/>
      </rPr>
      <t>NON-CON</t>
    </r>
    <r>
      <rPr>
        <b/>
        <sz val="11"/>
        <color indexed="8"/>
        <rFont val="Calibri"/>
        <family val="2"/>
      </rPr>
      <t xml:space="preserve"> * F</t>
    </r>
    <r>
      <rPr>
        <b/>
        <vertAlign val="subscript"/>
        <sz val="11"/>
        <color indexed="8"/>
        <rFont val="Calibri"/>
      </rPr>
      <t>IND-COM</t>
    </r>
    <r>
      <rPr>
        <b/>
        <sz val="11"/>
        <color indexed="8"/>
        <rFont val="Calibri"/>
        <family val="2"/>
      </rPr>
      <t xml:space="preserve"> ) - N</t>
    </r>
    <r>
      <rPr>
        <b/>
        <vertAlign val="subscript"/>
        <sz val="11"/>
        <color indexed="8"/>
        <rFont val="Calibri"/>
      </rPr>
      <t>sludge</t>
    </r>
    <r>
      <rPr>
        <b/>
        <sz val="11"/>
        <color indexed="8"/>
        <rFont val="Calibri"/>
        <family val="2"/>
      </rPr>
      <t>] * EF</t>
    </r>
    <r>
      <rPr>
        <b/>
        <vertAlign val="subscript"/>
        <sz val="11"/>
        <color indexed="8"/>
        <rFont val="Calibri"/>
      </rPr>
      <t>EFFLUENT</t>
    </r>
    <r>
      <rPr>
        <b/>
        <sz val="11"/>
        <color indexed="8"/>
        <rFont val="Calibri"/>
        <family val="2"/>
      </rPr>
      <t xml:space="preserve"> *44/28</t>
    </r>
  </si>
  <si>
    <t>Select protein consumption</t>
  </si>
  <si>
    <t>Mass, kg</t>
  </si>
  <si>
    <t>I. Stationary &amp; II. Transportation</t>
  </si>
  <si>
    <t>Handbook</t>
  </si>
  <si>
    <t>User guide to using GPC Reporting Tool</t>
  </si>
  <si>
    <t>Oxidation factor</t>
  </si>
  <si>
    <t>Manual 
entry</t>
  </si>
  <si>
    <t>Map of city boundary</t>
  </si>
  <si>
    <t>Added box to include a map of the city; inserted line asking cities to explain choice of GWP; and expanded reporting of renewable energy production or investments</t>
  </si>
  <si>
    <t>* Should correspond to inventory year</t>
  </si>
  <si>
    <t>Increased list from 10 to 25 entries. Option to add row maintained</t>
  </si>
  <si>
    <t>Add row function</t>
  </si>
  <si>
    <t>Add tool to estimate emissions for 1.8</t>
  </si>
  <si>
    <t>Add tool to estimate emissions for III.3</t>
  </si>
  <si>
    <t>Add tool to estimate emissions for III.4</t>
  </si>
  <si>
    <t>Add tool to estimate emissions for III.1</t>
  </si>
  <si>
    <t>Add tool to estimate emissions for III.2</t>
  </si>
  <si>
    <t>Inserted column to specify oxidation factors for emissions are calculated using activity data and emission factor (default =1)</t>
  </si>
  <si>
    <t>Fixed for II.4.3</t>
  </si>
  <si>
    <t>Add row function working for II.5.2; and not clearing row for Data sources and Emission factors</t>
  </si>
  <si>
    <t>Data quality assessment</t>
  </si>
  <si>
    <t>Move data quality assessment for emission factors to Emission factors sheet</t>
  </si>
  <si>
    <t>Introduction</t>
  </si>
  <si>
    <t>All</t>
  </si>
  <si>
    <t>Automate unit conversion</t>
  </si>
  <si>
    <t>Reconsider lay-out</t>
  </si>
  <si>
    <t>Review tools (functionality and formatting)</t>
  </si>
  <si>
    <t>Link tools to sector sheets?</t>
  </si>
  <si>
    <t>Add home page</t>
  </si>
  <si>
    <t>Fixed for II.4.3 and II.5.2</t>
  </si>
  <si>
    <t>Set-up</t>
  </si>
  <si>
    <t>Results</t>
  </si>
  <si>
    <t>User guide</t>
  </si>
  <si>
    <t>Data sources</t>
  </si>
  <si>
    <t>Summary</t>
  </si>
  <si>
    <t>Overview</t>
  </si>
  <si>
    <t>Report</t>
  </si>
  <si>
    <t>Calculators</t>
  </si>
  <si>
    <t>Add two-tier navigator to each page</t>
  </si>
  <si>
    <t>Cheeck coding for add row function. Propose alternative?</t>
  </si>
  <si>
    <t>Include icons for (sub-sectors) - similar to CURB</t>
  </si>
  <si>
    <t>Restructure all pages to accommodate navigator</t>
  </si>
  <si>
    <t>Revisit look and design of xls and update colour palette</t>
  </si>
  <si>
    <t>Global Warming Potential 
(select relevant IPCC AR from list)</t>
  </si>
  <si>
    <t>Please explain your choice of GWP 
(if not AR4 or AR5)</t>
  </si>
  <si>
    <t>Maintain ability to add and link to additional sheets</t>
  </si>
  <si>
    <t>Ensure compatibility with previous version of MS Excel for pcs and Macs</t>
  </si>
  <si>
    <t>Email</t>
  </si>
  <si>
    <t>Webpage</t>
  </si>
  <si>
    <t xml:space="preserve">   </t>
  </si>
  <si>
    <t>BASIC+ Scope 3</t>
  </si>
  <si>
    <t>Graphs</t>
  </si>
  <si>
    <t>Conversion factors</t>
  </si>
  <si>
    <t>USER GUIDE</t>
  </si>
  <si>
    <t>Period</t>
  </si>
  <si>
    <t>SUMMARY</t>
  </si>
  <si>
    <t>GRAPHS</t>
  </si>
  <si>
    <t>EF_Natural gas</t>
  </si>
  <si>
    <t>Emission factor for grid-supplied natural gas</t>
  </si>
  <si>
    <t>INVENTORY</t>
  </si>
  <si>
    <t>Industrial processes and product use</t>
  </si>
  <si>
    <t>Agriculture, forestry and other land use</t>
  </si>
  <si>
    <t>A city’s ability to take effective action on mitigating climate change, and monitor progress, depends on having access to good quality data on greenhouse gas (GHG) emissions. Planning for climate action begins with measuring GHG emissions.
The GPC provides a clear framework for calculating and reporting city-wide GHG emissions, consistent with IPCC Guidelines. It requires cities to report GHG emissions by scope and sector, and total these using two distinct but complementary approaches. One captures emissions from both production and consumption activities taking place within the city boundary, including some emissions released outside the city boundary. The other categorizes all emissions into “scopes,” depending on where they physically occur. To assist cities with reporting, a GPC reporting tool has been developed (see Resources on right).
The GPC the result of a collaboration between C40, the World Resources Institute and ICLEI to develop a single global standard, which started in 2011. 35 cites piloted earlier versions of the GPC, including 9 C40 cities. The GPC was officially launched in December 2014.</t>
  </si>
  <si>
    <t>A city-wide GHG inventory enables cities to measure their overall emissions, as well as understand the contribution of different activities within the city. In 2014, C40, WRI and ICLEI launched the Global Protocol for Community-scale Greenhouse Gas Emission Inventories (GPC) to support cities to develop robust, comprehensive and consistent inventories. It seeks to:</t>
  </si>
  <si>
    <t>&gt; Help cities develop a comprehensive and robust GHG inventory in order to support climate action planning</t>
  </si>
  <si>
    <t>&gt; Help cities establish a base year emissions inventory, set reduction targets, and track their performance</t>
  </si>
  <si>
    <t xml:space="preserve">&gt; Ensure consistent and transparent measurement and reporting of GHG emissions between cities, following internationally recognized GHG accounting and reporting principles
</t>
  </si>
  <si>
    <t xml:space="preserve">&gt; Enable city inventories to be aggregated at subnational and national levels
</t>
  </si>
  <si>
    <t>&gt; Demonstrate the important role that cities play in tackling climate change, and facilitate insight through benchmarking—and aggregation—of comparable data.</t>
  </si>
  <si>
    <t>Analysis</t>
  </si>
  <si>
    <t>Fugitive emissions from gas distribution</t>
  </si>
  <si>
    <t>Biological treatment</t>
  </si>
  <si>
    <t>Incineration</t>
  </si>
  <si>
    <t>CALCULATORS</t>
  </si>
  <si>
    <t>Fugitive emissions</t>
  </si>
  <si>
    <t>Progress</t>
  </si>
  <si>
    <t>Benchmarking</t>
  </si>
  <si>
    <t>ANALYSIS</t>
  </si>
  <si>
    <t>When to use notation keys?</t>
  </si>
  <si>
    <t>Definitions</t>
  </si>
  <si>
    <t>GDP</t>
  </si>
  <si>
    <t>Area</t>
  </si>
  <si>
    <t>London</t>
  </si>
  <si>
    <t>(Year)</t>
  </si>
  <si>
    <t>Total GHG</t>
  </si>
  <si>
    <t>Per capita</t>
  </si>
  <si>
    <t>Target type</t>
  </si>
  <si>
    <t>Base year</t>
  </si>
  <si>
    <t>Scenario</t>
  </si>
  <si>
    <t>Intensity</t>
  </si>
  <si>
    <t>Absolute</t>
  </si>
  <si>
    <t>TARGET</t>
  </si>
  <si>
    <t>Target year</t>
  </si>
  <si>
    <t>City-wide</t>
  </si>
  <si>
    <t>View the full emissions profile of another city</t>
  </si>
  <si>
    <t>BENCHMARKING</t>
  </si>
  <si>
    <t>Scope 2 emissions based on market-based method</t>
  </si>
  <si>
    <t>Offset credit transactions</t>
  </si>
  <si>
    <t>Renewable energy production or investments</t>
  </si>
  <si>
    <t>Total net GHGs (metric tonnes CO2e)</t>
  </si>
  <si>
    <t>Reductions (mtCO2e)</t>
  </si>
  <si>
    <t>Allocate to sector</t>
  </si>
  <si>
    <t>Inventory level</t>
  </si>
  <si>
    <t>Level</t>
  </si>
  <si>
    <t/>
  </si>
  <si>
    <t>Per unit land area (km2)</t>
  </si>
  <si>
    <t>Per unit GDP ($m)</t>
  </si>
  <si>
    <t>Mexico City</t>
  </si>
  <si>
    <t>Latin America</t>
  </si>
  <si>
    <t>Rio de Janeiro</t>
  </si>
  <si>
    <t>Sector</t>
  </si>
  <si>
    <t>East Asia</t>
  </si>
  <si>
    <t>South and West Asia</t>
  </si>
  <si>
    <t>Please tick</t>
  </si>
  <si>
    <t>RESULTS</t>
  </si>
  <si>
    <t>Quantity of energy</t>
  </si>
  <si>
    <t xml:space="preserve">1. </t>
  </si>
  <si>
    <t>2.</t>
  </si>
  <si>
    <t>3.</t>
  </si>
  <si>
    <t>4.</t>
  </si>
  <si>
    <t>5.</t>
  </si>
  <si>
    <t>REGIONS</t>
  </si>
  <si>
    <t>Regions</t>
  </si>
  <si>
    <t>Southeast Asia and Oceania</t>
  </si>
  <si>
    <t>tCO2</t>
  </si>
  <si>
    <t>tCH4</t>
  </si>
  <si>
    <t>Development status</t>
  </si>
  <si>
    <t>When collecting emissions data, the first step is identifying whether or not an activity occurs in a city. If it does not, the notation key "NO" is used for the relevant GHG emission source category. For example, a landlocked city with no transport by water would use the notation key "NO" to indicate that GHG emissions from water transport do not occur. If the activity does occur in the city – and data are available – then the emissions should be reported. However, if the data are also included in another emissions source category or cannot be disaggregated, the notation key "IE" shall be used with appropriate explanation in order to avoid double counting, and the category in which they are included should be identified. For example, emissions from waste incineration would use "IE" if these emissions were also reported under generation of energy for use in buildings. If the data are available but cannot be reported for reasons of data confidentiality and cannot be included in another emissions source category, the notation key “C” would be used. For instance, certain military operations or industrial facilities may not permit public data disclosure where this impacts security. Finally, if the data are not available and, therefore, the emissions are not estimated, the notation key "NE" would be used. The latter should be avoided and can not be used for BASIC sources.</t>
  </si>
  <si>
    <t>To accommodate limitations in data availability and differences in emission sources between cities, the GPC requires the use of notation keys, as recommended in IPCC Guidelines. Where notation keys are used, cities need to provide an accompanying explanation to justify exclusions or partial accounting of GHG emission source categories.</t>
  </si>
  <si>
    <r>
      <t>Total GHGs (metric tonnes CO</t>
    </r>
    <r>
      <rPr>
        <b/>
        <vertAlign val="subscript"/>
        <sz val="12"/>
        <color theme="0"/>
        <rFont val="Calibri"/>
      </rPr>
      <t>2</t>
    </r>
    <r>
      <rPr>
        <b/>
        <sz val="12"/>
        <color theme="0"/>
        <rFont val="Calibri"/>
      </rPr>
      <t>e)</t>
    </r>
  </si>
  <si>
    <r>
      <t>CH</t>
    </r>
    <r>
      <rPr>
        <b/>
        <vertAlign val="subscript"/>
        <sz val="12"/>
        <color theme="0"/>
        <rFont val="Calibri"/>
      </rPr>
      <t>4</t>
    </r>
  </si>
  <si>
    <r>
      <t>N</t>
    </r>
    <r>
      <rPr>
        <b/>
        <vertAlign val="subscript"/>
        <sz val="12"/>
        <color theme="0"/>
        <rFont val="Calibri"/>
      </rPr>
      <t>2</t>
    </r>
    <r>
      <rPr>
        <b/>
        <sz val="12"/>
        <color theme="0"/>
        <rFont val="Calibri"/>
      </rPr>
      <t>O</t>
    </r>
  </si>
  <si>
    <r>
      <t>Amount of CH</t>
    </r>
    <r>
      <rPr>
        <b/>
        <vertAlign val="subscript"/>
        <sz val="12"/>
        <color theme="0"/>
        <rFont val="Calibri"/>
      </rPr>
      <t>4</t>
    </r>
    <r>
      <rPr>
        <b/>
        <sz val="12"/>
        <color theme="0"/>
        <rFont val="Calibri"/>
      </rPr>
      <t xml:space="preserve"> recovered, kgCH</t>
    </r>
    <r>
      <rPr>
        <b/>
        <vertAlign val="subscript"/>
        <sz val="12"/>
        <color theme="0"/>
        <rFont val="Calibri"/>
      </rPr>
      <t>4</t>
    </r>
    <r>
      <rPr>
        <b/>
        <sz val="12"/>
        <color theme="0"/>
        <rFont val="Calibri"/>
      </rPr>
      <t xml:space="preserve">/yr </t>
    </r>
  </si>
  <si>
    <r>
      <t>Total CH</t>
    </r>
    <r>
      <rPr>
        <b/>
        <vertAlign val="subscript"/>
        <sz val="12"/>
        <color theme="0"/>
        <rFont val="Calibri"/>
      </rPr>
      <t>4</t>
    </r>
    <r>
      <rPr>
        <b/>
        <sz val="12"/>
        <color theme="0"/>
        <rFont val="Calibri"/>
      </rPr>
      <t xml:space="preserve"> emissions</t>
    </r>
  </si>
  <si>
    <r>
      <t xml:space="preserve">Anaerobic </t>
    </r>
    <r>
      <rPr>
        <sz val="10"/>
        <rFont val="Calibri (Body)"/>
      </rPr>
      <t>reactor</t>
    </r>
  </si>
  <si>
    <r>
      <t>CH</t>
    </r>
    <r>
      <rPr>
        <b/>
        <vertAlign val="subscript"/>
        <sz val="11"/>
        <rFont val="Calibri"/>
      </rPr>
      <t>4</t>
    </r>
    <r>
      <rPr>
        <b/>
        <sz val="11"/>
        <rFont val="Calibri"/>
        <family val="2"/>
      </rPr>
      <t xml:space="preserve"> emissions</t>
    </r>
  </si>
  <si>
    <r>
      <t>CH</t>
    </r>
    <r>
      <rPr>
        <b/>
        <vertAlign val="subscript"/>
        <sz val="12"/>
        <color theme="0"/>
        <rFont val="Calibri"/>
      </rPr>
      <t>4</t>
    </r>
    <r>
      <rPr>
        <b/>
        <sz val="12"/>
        <color theme="0"/>
        <rFont val="Calibri"/>
      </rPr>
      <t xml:space="preserve"> emission factor 
(kgCH</t>
    </r>
    <r>
      <rPr>
        <b/>
        <vertAlign val="subscript"/>
        <sz val="12"/>
        <color theme="0"/>
        <rFont val="Calibri"/>
      </rPr>
      <t>4</t>
    </r>
    <r>
      <rPr>
        <b/>
        <sz val="12"/>
        <color theme="0"/>
        <rFont val="Calibri"/>
      </rPr>
      <t>/kg COD)</t>
    </r>
  </si>
  <si>
    <t>0.5</t>
  </si>
  <si>
    <t>0.1</t>
  </si>
  <si>
    <r>
      <t xml:space="preserve">Anaerobic </t>
    </r>
    <r>
      <rPr>
        <sz val="12"/>
        <rFont val="Calibri"/>
      </rPr>
      <t>reactor</t>
    </r>
  </si>
  <si>
    <t>Asia_Middle East_Latin America</t>
  </si>
  <si>
    <t>45 - 55</t>
  </si>
  <si>
    <r>
      <t>Value</t>
    </r>
    <r>
      <rPr>
        <b/>
        <vertAlign val="superscript"/>
        <sz val="12"/>
        <color rgb="FFFFFFFF"/>
        <rFont val="Calibri"/>
      </rPr>
      <t>1</t>
    </r>
  </si>
  <si>
    <r>
      <rPr>
        <vertAlign val="superscript"/>
        <sz val="12"/>
        <color theme="1"/>
        <rFont val="Calibri"/>
        <scheme val="minor"/>
      </rPr>
      <t>1</t>
    </r>
    <r>
      <rPr>
        <sz val="12"/>
        <color theme="1"/>
        <rFont val="Calibri"/>
        <family val="2"/>
        <scheme val="minor"/>
      </rPr>
      <t xml:space="preserve"> Value not provided in IPCC 2006 for Fish processesing, Soap and detergents, and Sugar refining. Assumed to be middle of the range provided. Similarly, no value for Coffee provided. Assumed to be similar to Beer and Malt.</t>
    </r>
  </si>
  <si>
    <t>0.8 - 1.0</t>
  </si>
  <si>
    <t>WASTEWATER EMISSIONS CALCULATOR</t>
  </si>
  <si>
    <t xml:space="preserve">CO2 equivalents (CO2e) is a universal unit of measurement that accounts for the global warming potential (GWP) when measuring and comparing GHG emissions from different gases. Individual GHGs should be converted into CO2e by multiplying by the 100-year GWP coefficients in the latest version of the IPCC Guidelines or the version used by the country’s national inventory body. </t>
  </si>
  <si>
    <r>
      <t>CH</t>
    </r>
    <r>
      <rPr>
        <b/>
        <vertAlign val="subscript"/>
        <sz val="12"/>
        <color theme="0"/>
        <rFont val="Calibri"/>
      </rPr>
      <t>4</t>
    </r>
    <r>
      <rPr>
        <b/>
        <sz val="12"/>
        <color theme="0"/>
        <rFont val="Calibri"/>
      </rPr>
      <t xml:space="preserve"> (gCH</t>
    </r>
    <r>
      <rPr>
        <b/>
        <vertAlign val="subscript"/>
        <sz val="12"/>
        <color theme="0"/>
        <rFont val="Calibri"/>
      </rPr>
      <t>4</t>
    </r>
    <r>
      <rPr>
        <b/>
        <sz val="12"/>
        <color theme="0"/>
        <rFont val="Calibri"/>
      </rPr>
      <t>/kgWaste)</t>
    </r>
  </si>
  <si>
    <r>
      <t>N</t>
    </r>
    <r>
      <rPr>
        <b/>
        <vertAlign val="subscript"/>
        <sz val="12"/>
        <color theme="0"/>
        <rFont val="Calibri"/>
      </rPr>
      <t>2</t>
    </r>
    <r>
      <rPr>
        <b/>
        <sz val="12"/>
        <color theme="0"/>
        <rFont val="Calibri"/>
      </rPr>
      <t>O (gN</t>
    </r>
    <r>
      <rPr>
        <b/>
        <vertAlign val="subscript"/>
        <sz val="12"/>
        <color theme="0"/>
        <rFont val="Calibri"/>
      </rPr>
      <t>2</t>
    </r>
    <r>
      <rPr>
        <b/>
        <sz val="12"/>
        <color theme="0"/>
        <rFont val="Calibri"/>
      </rPr>
      <t>O/kgWaste)</t>
    </r>
  </si>
  <si>
    <r>
      <t>Emission factor</t>
    </r>
    <r>
      <rPr>
        <b/>
        <vertAlign val="superscript"/>
        <sz val="12"/>
        <color theme="0"/>
        <rFont val="Calibri"/>
      </rPr>
      <t>1</t>
    </r>
  </si>
  <si>
    <r>
      <t>Amount of CH</t>
    </r>
    <r>
      <rPr>
        <b/>
        <vertAlign val="subscript"/>
        <sz val="12"/>
        <color theme="0"/>
        <rFont val="Calibri (Body)"/>
      </rPr>
      <t>4</t>
    </r>
    <r>
      <rPr>
        <b/>
        <sz val="12"/>
        <color theme="0"/>
        <rFont val="Calibri"/>
        <family val="2"/>
        <scheme val="minor"/>
      </rPr>
      <t xml:space="preserve"> recovered,
kgCH</t>
    </r>
    <r>
      <rPr>
        <b/>
        <vertAlign val="subscript"/>
        <sz val="12"/>
        <color theme="0"/>
        <rFont val="Calibri (Body)"/>
      </rPr>
      <t>4</t>
    </r>
  </si>
  <si>
    <r>
      <t>CH</t>
    </r>
    <r>
      <rPr>
        <b/>
        <vertAlign val="subscript"/>
        <sz val="12"/>
        <color theme="0"/>
        <rFont val="Calibri"/>
      </rPr>
      <t>4</t>
    </r>
    <r>
      <rPr>
        <b/>
        <sz val="12"/>
        <color theme="0"/>
        <rFont val="Calibri"/>
      </rPr>
      <t>, gCH</t>
    </r>
    <r>
      <rPr>
        <b/>
        <vertAlign val="subscript"/>
        <sz val="12"/>
        <color theme="0"/>
        <rFont val="Calibri"/>
      </rPr>
      <t>4</t>
    </r>
    <r>
      <rPr>
        <b/>
        <sz val="12"/>
        <color theme="0"/>
        <rFont val="Calibri"/>
      </rPr>
      <t>/kg waste treated</t>
    </r>
  </si>
  <si>
    <r>
      <t>N</t>
    </r>
    <r>
      <rPr>
        <b/>
        <vertAlign val="subscript"/>
        <sz val="12"/>
        <color theme="0"/>
        <rFont val="Calibri"/>
      </rPr>
      <t>2</t>
    </r>
    <r>
      <rPr>
        <b/>
        <sz val="12"/>
        <color theme="0"/>
        <rFont val="Calibri"/>
      </rPr>
      <t>O, gN</t>
    </r>
    <r>
      <rPr>
        <b/>
        <vertAlign val="subscript"/>
        <sz val="12"/>
        <color theme="0"/>
        <rFont val="Calibri"/>
      </rPr>
      <t>2</t>
    </r>
    <r>
      <rPr>
        <b/>
        <sz val="12"/>
        <color theme="0"/>
        <rFont val="Calibri"/>
      </rPr>
      <t>O/kg waste treated</t>
    </r>
  </si>
  <si>
    <r>
      <t>CH</t>
    </r>
    <r>
      <rPr>
        <b/>
        <vertAlign val="subscript"/>
        <sz val="12"/>
        <color theme="0"/>
        <rFont val="Calibri (Body)"/>
      </rPr>
      <t>4</t>
    </r>
  </si>
  <si>
    <t>SOLID WASTE DISPOSAL</t>
  </si>
  <si>
    <t>INCINERATiON</t>
  </si>
  <si>
    <t>YEAR</t>
  </si>
  <si>
    <t>2011/2012</t>
  </si>
  <si>
    <t>2013/2014</t>
  </si>
  <si>
    <t>2014/2015</t>
  </si>
  <si>
    <t>2015/2016</t>
  </si>
  <si>
    <t>2016/2017</t>
  </si>
  <si>
    <t>2017/2018</t>
  </si>
  <si>
    <t>2018/2019</t>
  </si>
  <si>
    <t>2019/2020</t>
  </si>
  <si>
    <t>2020/2021</t>
  </si>
  <si>
    <t>2010/2011</t>
  </si>
  <si>
    <t>EMISSION FACTORS - F GASES</t>
  </si>
  <si>
    <t>CONTACT</t>
  </si>
  <si>
    <t>© C40 Climate Cities Leadership Group 2016</t>
  </si>
  <si>
    <t>DATA TABLE</t>
  </si>
  <si>
    <r>
      <rPr>
        <b/>
        <sz val="18"/>
        <color theme="4"/>
        <rFont val="Calibri"/>
        <scheme val="minor"/>
      </rPr>
      <t>DATA TABLES</t>
    </r>
  </si>
  <si>
    <t>Sub-sector</t>
  </si>
  <si>
    <t>Biological</t>
  </si>
  <si>
    <t>IP</t>
  </si>
  <si>
    <t>PU</t>
  </si>
  <si>
    <t>Commercial</t>
  </si>
  <si>
    <t>Manufacturing</t>
  </si>
  <si>
    <t>Energy</t>
  </si>
  <si>
    <t>Non-specified</t>
  </si>
  <si>
    <t>Fugitive (coal)</t>
  </si>
  <si>
    <t>Territorial</t>
  </si>
  <si>
    <t>Results &gt; Graphs</t>
  </si>
  <si>
    <t>Inventory &gt; Stationary Energy</t>
  </si>
  <si>
    <t>Results &gt; Overview</t>
  </si>
  <si>
    <t>Results &gt; Output</t>
  </si>
  <si>
    <t>Inventory &gt; sector sheets</t>
  </si>
  <si>
    <t>Set-up &gt; Emission factors</t>
  </si>
  <si>
    <t>Add print PDF function</t>
  </si>
  <si>
    <t>Create output table with all data, and include export function (for e.g. CURB)</t>
  </si>
  <si>
    <t>Analysis &gt; Data
Analysis &gt; Progress
Analysis &gt; Benchmarking</t>
  </si>
  <si>
    <t>C40 to follow</t>
  </si>
  <si>
    <t>Aecom</t>
  </si>
  <si>
    <t>Incorporate ability to upload emission factors databases and include IPCC database</t>
  </si>
  <si>
    <t xml:space="preserve">Build in degree-day function </t>
  </si>
  <si>
    <t>Suggest additional graphics</t>
  </si>
  <si>
    <t>Create database of city emissions data which can be used to compare individual city peformance (progress) and compare emissions in other cities (benchmarking).
Data to come from city adding their 'current' inventory data (copy and paste in data table below); allows cities to build up historical record); as well as pasted from file made available by C40.
Progress sheet to also ask for targets and allow for city-wide and sector-level progress charts.
Benchmark sheet to allow user to select cities (using variour criteria) and compare emissions at city-wide and sector level.</t>
  </si>
  <si>
    <t>Re-arrange optional information items</t>
  </si>
  <si>
    <t>Unit</t>
  </si>
  <si>
    <t>FUGITIVE EMISSIONS FROM GAS DISTRIBUTION CALCULATOR</t>
  </si>
  <si>
    <t>Transport</t>
  </si>
  <si>
    <t>Madrid</t>
  </si>
  <si>
    <t>Paris</t>
  </si>
  <si>
    <t>New York City</t>
  </si>
  <si>
    <t>USA</t>
  </si>
  <si>
    <t>Philadelphia</t>
  </si>
  <si>
    <t>Toronto</t>
  </si>
  <si>
    <t xml:space="preserve">Buenos Aires </t>
  </si>
  <si>
    <t>Cape Town</t>
  </si>
  <si>
    <t>Johannesburg</t>
  </si>
  <si>
    <t>Athens</t>
  </si>
  <si>
    <t>Copenhagen</t>
  </si>
  <si>
    <t>Oslo</t>
  </si>
  <si>
    <t>Stockholm</t>
  </si>
  <si>
    <t xml:space="preserve">Bogota </t>
  </si>
  <si>
    <t xml:space="preserve">Colombia </t>
  </si>
  <si>
    <t>Quito</t>
  </si>
  <si>
    <t>Administrative boundary of a local government .</t>
  </si>
  <si>
    <t>2013-2014</t>
  </si>
  <si>
    <t>Boston</t>
  </si>
  <si>
    <t>Amman</t>
  </si>
  <si>
    <t>Portland</t>
  </si>
  <si>
    <t>Multnomah County</t>
  </si>
  <si>
    <t>Seattle</t>
  </si>
  <si>
    <t>San Francisco</t>
  </si>
  <si>
    <t>City of Vancouver</t>
  </si>
  <si>
    <t>District of Columbia</t>
  </si>
  <si>
    <t>BASIC+S3</t>
  </si>
  <si>
    <t>BASIC+ Transport</t>
  </si>
  <si>
    <t>BASIC+ Stationary</t>
  </si>
  <si>
    <t>BASIC
Waste</t>
  </si>
  <si>
    <t>BASIC Transport</t>
  </si>
  <si>
    <t>BASIC Stationary</t>
  </si>
  <si>
    <t>BASIC+ 
Waste</t>
  </si>
  <si>
    <t>BASIC+ 
IPPU</t>
  </si>
  <si>
    <t>BASIC+ 
AFOLU</t>
  </si>
  <si>
    <t>Territorial Stationary</t>
  </si>
  <si>
    <t>Territorial Transport</t>
  </si>
  <si>
    <t>Territorial  Generation</t>
  </si>
  <si>
    <t>Territorial Waste in</t>
  </si>
  <si>
    <t>Territorial Waste out</t>
  </si>
  <si>
    <t>Explanation for using notation key(s)</t>
  </si>
  <si>
    <t xml:space="preserve"> Select "Treatment type" and enter amount of organic waste treated as either kg or %</t>
  </si>
  <si>
    <t xml:space="preserve"> Select "Type of waste" in the City information box</t>
  </si>
  <si>
    <t xml:space="preserve"> Enter  total amount of organic waste treated biologically in metric tonnes in the City information box</t>
  </si>
  <si>
    <t>&lt; Enter amount</t>
  </si>
  <si>
    <t>Total organic waste treated biologically in metric tonnes</t>
  </si>
  <si>
    <r>
      <t>N</t>
    </r>
    <r>
      <rPr>
        <b/>
        <vertAlign val="subscript"/>
        <sz val="11"/>
        <rFont val="Calibri"/>
      </rPr>
      <t>2</t>
    </r>
    <r>
      <rPr>
        <b/>
        <sz val="11"/>
        <rFont val="Calibri"/>
        <family val="2"/>
      </rPr>
      <t>O emissions</t>
    </r>
  </si>
  <si>
    <t>Ggrid-supplied energy</t>
  </si>
  <si>
    <t>Sectors</t>
  </si>
  <si>
    <t>Located in city boundary?</t>
  </si>
  <si>
    <t>% outside boundary</t>
  </si>
  <si>
    <t>Yes</t>
  </si>
  <si>
    <t>Yesno</t>
  </si>
  <si>
    <t>Atlantis</t>
  </si>
  <si>
    <t>Compact of Mayors</t>
  </si>
  <si>
    <t>COMPACT OF MAYORS</t>
  </si>
  <si>
    <t>C. SECTOR DEFINITIONS</t>
  </si>
  <si>
    <t>Add definition tables</t>
  </si>
  <si>
    <t>Average protein supply (g/capita/day) (2009-2011 3-year average)</t>
  </si>
  <si>
    <t>Daily protein consumption</t>
  </si>
  <si>
    <r>
      <rPr>
        <vertAlign val="superscript"/>
        <sz val="12"/>
        <color theme="1"/>
        <rFont val="Calibri"/>
        <scheme val="minor"/>
      </rPr>
      <t>2</t>
    </r>
    <r>
      <rPr>
        <sz val="12"/>
        <color theme="1"/>
        <rFont val="Calibri"/>
        <family val="2"/>
        <scheme val="minor"/>
      </rPr>
      <t xml:space="preserve"> Data from http://faostat3.fao.org/download/D/FS/E</t>
    </r>
  </si>
  <si>
    <r>
      <rPr>
        <vertAlign val="superscript"/>
        <sz val="12"/>
        <color theme="1"/>
        <rFont val="Calibri"/>
        <scheme val="minor"/>
      </rPr>
      <t>1</t>
    </r>
    <r>
      <rPr>
        <sz val="12"/>
        <color theme="1"/>
        <rFont val="Calibri"/>
        <family val="2"/>
        <scheme val="minor"/>
      </rPr>
      <t xml:space="preserve"> 3-year 2009-2011 average</t>
    </r>
  </si>
  <si>
    <r>
      <t xml:space="preserve">REPORT </t>
    </r>
    <r>
      <rPr>
        <sz val="16"/>
        <color theme="4"/>
        <rFont val="Calibri"/>
        <scheme val="minor"/>
      </rPr>
      <t>(GPC CHAPTER 4.3, TABLE 4.3, PAGE 42)</t>
    </r>
  </si>
  <si>
    <r>
      <t xml:space="preserve">NOTATION KEYS </t>
    </r>
    <r>
      <rPr>
        <sz val="16"/>
        <color theme="4"/>
        <rFont val="Calibri"/>
        <scheme val="minor"/>
      </rPr>
      <t>(GPC CHAPTER 2.2, PAGE 26)</t>
    </r>
  </si>
  <si>
    <r>
      <t xml:space="preserve">GLOBAL WARMING POTENTIAL </t>
    </r>
    <r>
      <rPr>
        <sz val="16"/>
        <color theme="4"/>
        <rFont val="Calibri"/>
        <scheme val="minor"/>
      </rPr>
      <t>(GPC CHAPTER 5.5, TABLE 5.2, PAGE 51)</t>
    </r>
  </si>
  <si>
    <r>
      <t xml:space="preserve">A. INVENTORY BOUNDARY </t>
    </r>
    <r>
      <rPr>
        <sz val="16"/>
        <color theme="4"/>
        <rFont val="Calibri"/>
        <scheme val="minor"/>
      </rPr>
      <t>(GPC CHAPTER 4.4, TABLE 4.1, PAGE 40)</t>
    </r>
  </si>
  <si>
    <r>
      <t xml:space="preserve">NET EMISSIONS </t>
    </r>
    <r>
      <rPr>
        <sz val="16"/>
        <color theme="4"/>
        <rFont val="Calibri"/>
        <scheme val="minor"/>
      </rPr>
      <t>(GPC CHAPTER 4.3, PAGE 40)</t>
    </r>
  </si>
  <si>
    <r>
      <t xml:space="preserve">B. GPC REPORTING FRAMEWORK </t>
    </r>
    <r>
      <rPr>
        <sz val="16"/>
        <color theme="4"/>
        <rFont val="Calibri"/>
        <scheme val="minor"/>
      </rPr>
      <t>(GPC CHAPTER 4.1, FIGURE 4.1, PAGE 37)</t>
    </r>
  </si>
  <si>
    <r>
      <t xml:space="preserve">I STATIONARY ENERGY </t>
    </r>
    <r>
      <rPr>
        <sz val="16"/>
        <color theme="4"/>
        <rFont val="Calibri"/>
        <scheme val="minor"/>
      </rPr>
      <t>(GPC CHAPTER 6, PAGE 54)</t>
    </r>
  </si>
  <si>
    <t>This reflects any electricity products or programs that city consumers participate in, generally provided by the electricity supplier serving the city. See GPC Chapter 6.5.1 (Page 67) for a description on how to report this.</t>
  </si>
  <si>
    <r>
      <t>SUMMARY</t>
    </r>
    <r>
      <rPr>
        <sz val="16"/>
        <color theme="4"/>
        <rFont val="Calibri"/>
        <scheme val="minor"/>
      </rPr>
      <t xml:space="preserve"> (GPC CHAPTER 4.4, TABLE 4.2, PAGE 41)</t>
    </r>
  </si>
  <si>
    <r>
      <t>OVERVIEW</t>
    </r>
    <r>
      <rPr>
        <sz val="16"/>
        <color theme="4"/>
        <rFont val="Calibri"/>
        <scheme val="minor"/>
      </rPr>
      <t xml:space="preserve"> (GPC CHAPTER 4.4, TABLE 4.2, PAGE 41)</t>
    </r>
  </si>
  <si>
    <t>tN2O</t>
  </si>
  <si>
    <r>
      <t>2006 IPCC Guidelines for National Greenhouse Gas Inventories Volume 5 Chapter 4 Biological Treatment of Solid Waste Table 4.1: Default emission factors for CH</t>
    </r>
    <r>
      <rPr>
        <b/>
        <vertAlign val="subscript"/>
        <sz val="14"/>
        <rFont val="Calibri"/>
      </rPr>
      <t>4</t>
    </r>
    <r>
      <rPr>
        <b/>
        <sz val="14"/>
        <rFont val="Calibri"/>
        <family val="2"/>
      </rPr>
      <t xml:space="preserve"> and N</t>
    </r>
    <r>
      <rPr>
        <b/>
        <vertAlign val="subscript"/>
        <sz val="14"/>
        <rFont val="Calibri"/>
      </rPr>
      <t>2</t>
    </r>
    <r>
      <rPr>
        <b/>
        <sz val="14"/>
        <rFont val="Calibri"/>
        <family val="2"/>
      </rPr>
      <t>O emissions from biological treatment of waste</t>
    </r>
  </si>
  <si>
    <r>
      <t>N</t>
    </r>
    <r>
      <rPr>
        <vertAlign val="subscript"/>
        <sz val="11"/>
        <rFont val="Calibri"/>
      </rPr>
      <t>2</t>
    </r>
    <r>
      <rPr>
        <sz val="11"/>
        <rFont val="Calibri"/>
        <family val="2"/>
      </rPr>
      <t>O</t>
    </r>
    <r>
      <rPr>
        <b/>
        <vertAlign val="subscript"/>
        <sz val="11"/>
        <rFont val="Calibri"/>
      </rPr>
      <t>EFFLUENT</t>
    </r>
  </si>
  <si>
    <r>
      <t>N</t>
    </r>
    <r>
      <rPr>
        <vertAlign val="subscript"/>
        <sz val="11"/>
        <rFont val="Calibri"/>
      </rPr>
      <t>2</t>
    </r>
    <r>
      <rPr>
        <sz val="11"/>
        <rFont val="Calibri"/>
        <family val="2"/>
      </rPr>
      <t>O</t>
    </r>
    <r>
      <rPr>
        <vertAlign val="subscript"/>
        <sz val="11"/>
        <rFont val="Calibri"/>
      </rPr>
      <t>PLANTS</t>
    </r>
  </si>
  <si>
    <r>
      <t>N</t>
    </r>
    <r>
      <rPr>
        <b/>
        <vertAlign val="subscript"/>
        <sz val="11"/>
        <rFont val="Calibri"/>
      </rPr>
      <t>2</t>
    </r>
    <r>
      <rPr>
        <b/>
        <sz val="11"/>
        <rFont val="Calibri"/>
        <family val="2"/>
      </rPr>
      <t>O</t>
    </r>
    <r>
      <rPr>
        <b/>
        <vertAlign val="subscript"/>
        <sz val="11"/>
        <rFont val="Calibri"/>
      </rPr>
      <t>EFFLUENT</t>
    </r>
  </si>
  <si>
    <r>
      <t>F</t>
    </r>
    <r>
      <rPr>
        <vertAlign val="subscript"/>
        <sz val="11"/>
        <rFont val="Calibri"/>
      </rPr>
      <t>NPR</t>
    </r>
  </si>
  <si>
    <r>
      <t>F</t>
    </r>
    <r>
      <rPr>
        <vertAlign val="subscript"/>
        <sz val="11"/>
        <rFont val="Calibri"/>
      </rPr>
      <t>NON-CON</t>
    </r>
  </si>
  <si>
    <r>
      <t>F</t>
    </r>
    <r>
      <rPr>
        <vertAlign val="subscript"/>
        <sz val="11"/>
        <rFont val="Calibri"/>
      </rPr>
      <t>IND-COM</t>
    </r>
  </si>
  <si>
    <r>
      <t>N</t>
    </r>
    <r>
      <rPr>
        <vertAlign val="subscript"/>
        <sz val="11"/>
        <rFont val="Calibri"/>
      </rPr>
      <t>SLUDGE</t>
    </r>
  </si>
  <si>
    <r>
      <t>EF</t>
    </r>
    <r>
      <rPr>
        <vertAlign val="subscript"/>
        <sz val="11"/>
        <rFont val="Calibri"/>
      </rPr>
      <t>EFFLUENT</t>
    </r>
  </si>
  <si>
    <r>
      <t>N</t>
    </r>
    <r>
      <rPr>
        <b/>
        <vertAlign val="subscript"/>
        <sz val="11"/>
        <rFont val="Calibri"/>
      </rPr>
      <t>2</t>
    </r>
    <r>
      <rPr>
        <b/>
        <sz val="11"/>
        <rFont val="Calibri"/>
        <family val="2"/>
      </rPr>
      <t>O</t>
    </r>
    <r>
      <rPr>
        <b/>
        <vertAlign val="subscript"/>
        <sz val="11"/>
        <rFont val="Calibri"/>
      </rPr>
      <t>PLANTS</t>
    </r>
  </si>
  <si>
    <t>1. Instructions</t>
  </si>
  <si>
    <t>2. City information</t>
  </si>
  <si>
    <t>3. Emissions summary</t>
  </si>
  <si>
    <t>4. Domestic and commercial wastewater</t>
  </si>
  <si>
    <t>4a. Methane (CH4) emissions from domestic-commercial wastewater</t>
  </si>
  <si>
    <r>
      <t>3. Calculations for methane (CH</t>
    </r>
    <r>
      <rPr>
        <b/>
        <vertAlign val="subscript"/>
        <sz val="14"/>
        <color theme="4"/>
        <rFont val="Calibri (Body)"/>
      </rPr>
      <t>4</t>
    </r>
    <r>
      <rPr>
        <b/>
        <sz val="14"/>
        <color theme="4"/>
        <rFont val="Calibri"/>
        <scheme val="minor"/>
      </rPr>
      <t>) and nitrous oxide (N</t>
    </r>
    <r>
      <rPr>
        <b/>
        <vertAlign val="subscript"/>
        <sz val="14"/>
        <color theme="4"/>
        <rFont val="Calibri (Body)"/>
      </rPr>
      <t>2</t>
    </r>
    <r>
      <rPr>
        <b/>
        <sz val="14"/>
        <color theme="4"/>
        <rFont val="Calibri"/>
        <scheme val="minor"/>
      </rPr>
      <t>O) emissions from biological treatment of waste</t>
    </r>
  </si>
  <si>
    <t>Formulas</t>
  </si>
  <si>
    <t>Calculation table</t>
  </si>
  <si>
    <r>
      <t>4b. Nitrous Oxide (N2O) emissions from domestic-commercial wastewater</t>
    </r>
    <r>
      <rPr>
        <b/>
        <vertAlign val="subscript"/>
        <sz val="18"/>
        <rFont val="Calibri (Body)"/>
      </rPr>
      <t/>
    </r>
  </si>
  <si>
    <r>
      <t>tCH</t>
    </r>
    <r>
      <rPr>
        <b/>
        <vertAlign val="subscript"/>
        <sz val="12"/>
        <color theme="0"/>
        <rFont val="Calibri"/>
      </rPr>
      <t>4</t>
    </r>
  </si>
  <si>
    <r>
      <t>tCO</t>
    </r>
    <r>
      <rPr>
        <b/>
        <vertAlign val="subscript"/>
        <sz val="12"/>
        <color theme="0"/>
        <rFont val="Calibri"/>
      </rPr>
      <t>2</t>
    </r>
    <r>
      <rPr>
        <b/>
        <sz val="12"/>
        <color theme="0"/>
        <rFont val="Calibri"/>
      </rPr>
      <t>e</t>
    </r>
  </si>
  <si>
    <r>
      <t>Protein</t>
    </r>
    <r>
      <rPr>
        <b/>
        <vertAlign val="superscript"/>
        <sz val="12"/>
        <color rgb="FFFFFFFF"/>
        <rFont val="Calibri"/>
      </rPr>
      <t>1,2</t>
    </r>
    <r>
      <rPr>
        <b/>
        <sz val="12"/>
        <color rgb="FFFFFFFF"/>
        <rFont val="Calibri"/>
      </rPr>
      <t>, g/capita/day</t>
    </r>
  </si>
  <si>
    <t>Fraction of population in income group (U)</t>
  </si>
  <si>
    <t>3. Carbon dioxide (CO2) and methane (CH4) emissions from gas distribution</t>
  </si>
  <si>
    <r>
      <rPr>
        <vertAlign val="superscript"/>
        <sz val="12"/>
        <color theme="1"/>
        <rFont val="Calibri"/>
        <scheme val="minor"/>
      </rPr>
      <t>3</t>
    </r>
    <r>
      <rPr>
        <sz val="12"/>
        <color theme="1"/>
        <rFont val="Calibri"/>
        <family val="2"/>
        <scheme val="minor"/>
      </rPr>
      <t xml:space="preserve"> Source: WRI/WBCSD stationary combustion calculation tool version 3.3. Note: Density value is highly sensitive to changes in temperature and pressure. Value indicated is based on room temperature and standard atmospheric pressure.</t>
    </r>
  </si>
  <si>
    <r>
      <rPr>
        <vertAlign val="superscript"/>
        <sz val="12"/>
        <color theme="1"/>
        <rFont val="Calibri"/>
        <scheme val="minor"/>
      </rPr>
      <t>2</t>
    </r>
    <r>
      <rPr>
        <sz val="12"/>
        <color theme="1"/>
        <rFont val="Calibri"/>
        <family val="2"/>
        <scheme val="minor"/>
      </rPr>
      <t xml:space="preserve"> The conversion from GJ to kWh is 277.78 (See Conversion factors tab)</t>
    </r>
  </si>
  <si>
    <t>BASIC 
I.1</t>
  </si>
  <si>
    <t>BASIC 
I.2</t>
  </si>
  <si>
    <t>BASIC 
I.3</t>
  </si>
  <si>
    <t>BASIC 
I.4</t>
  </si>
  <si>
    <t>BASIC 
I.5</t>
  </si>
  <si>
    <t>BASIC 
I.6</t>
  </si>
  <si>
    <t>BASIC 
I.7</t>
  </si>
  <si>
    <t>BASIC 
I.8</t>
  </si>
  <si>
    <t>BASIC 
II.1</t>
  </si>
  <si>
    <t>BASIC 
II.2</t>
  </si>
  <si>
    <t>BASIC 
II.3</t>
  </si>
  <si>
    <t>BASIC 
II.4</t>
  </si>
  <si>
    <t>BASIC 
II.5</t>
  </si>
  <si>
    <t>BASIC 
III.1</t>
  </si>
  <si>
    <t>BASIC 
III.2</t>
  </si>
  <si>
    <t>BASIC 
III.3</t>
  </si>
  <si>
    <t>BASIC 
III.4</t>
  </si>
  <si>
    <t>BASIC+ 
I.1</t>
  </si>
  <si>
    <t>BASIC+ 
I.2</t>
  </si>
  <si>
    <t>BASIC+ 
I.3</t>
  </si>
  <si>
    <t>BASIC+ 
I.4</t>
  </si>
  <si>
    <t>BASIC+ 
I.5</t>
  </si>
  <si>
    <t>BASIC+ 
I.6</t>
  </si>
  <si>
    <t>BASIC+ 
I.7</t>
  </si>
  <si>
    <t>BASIC+ 
I.8</t>
  </si>
  <si>
    <t>BASIC+
II.2</t>
  </si>
  <si>
    <t>BASIC+
II.3</t>
  </si>
  <si>
    <t>BASIC+
II.4</t>
  </si>
  <si>
    <t>BASIC+
II.5</t>
  </si>
  <si>
    <t>BASIC+ 
III.1</t>
  </si>
  <si>
    <t>BASIC+
III.2</t>
  </si>
  <si>
    <t>BASIC+
III.3</t>
  </si>
  <si>
    <t>BASIC+
III.4</t>
  </si>
  <si>
    <t>BASIC+
IV.1</t>
  </si>
  <si>
    <t>BASIC+
IV.2</t>
  </si>
  <si>
    <t>BASIC+
V.1</t>
  </si>
  <si>
    <t>BASIC+
V.2</t>
  </si>
  <si>
    <t>BASIC+
V.3</t>
  </si>
  <si>
    <t>BASIC+S3
VI.1</t>
  </si>
  <si>
    <t>TERRITORIAL
I.1</t>
  </si>
  <si>
    <t>TERRITORIAL
I.2</t>
  </si>
  <si>
    <t>TERRITORIAL
I.3</t>
  </si>
  <si>
    <t>TERRITORIAL
I.4 (use)</t>
  </si>
  <si>
    <t>TERRITORIAL
I.4 (supply)</t>
  </si>
  <si>
    <t>TERRITORIAL
I.5</t>
  </si>
  <si>
    <t>TERRITORIAL
I.6</t>
  </si>
  <si>
    <t>TERRITORIAL
I.7</t>
  </si>
  <si>
    <t>TERRITORIAL
I.8</t>
  </si>
  <si>
    <t>TERRITORIAL
II.1</t>
  </si>
  <si>
    <t>TERRITORIAL
II.2</t>
  </si>
  <si>
    <t>TERRITORIAL
II.3</t>
  </si>
  <si>
    <t>TERRITORIAL
II.4</t>
  </si>
  <si>
    <t>TERRITORIAL
II.5</t>
  </si>
  <si>
    <t>TERRITORIAL
III.1</t>
  </si>
  <si>
    <t>TERRITORIAL
III.2</t>
  </si>
  <si>
    <t>TERRITORIAL
III.3</t>
  </si>
  <si>
    <t>TERRITORIAL
III.4</t>
  </si>
  <si>
    <t>TERRITORIAL
IV.1</t>
  </si>
  <si>
    <t>TERRITORIAL
IV.2</t>
  </si>
  <si>
    <t>TERRITORIAL
V.2</t>
  </si>
  <si>
    <t>Territorial IPPU</t>
  </si>
  <si>
    <t>Territorial AFOLU</t>
  </si>
  <si>
    <t>BASIC+
II.1</t>
  </si>
  <si>
    <t>Fugitive (oil and gas)</t>
  </si>
  <si>
    <t xml:space="preserve">Residential </t>
  </si>
  <si>
    <t>Landfill</t>
  </si>
  <si>
    <t>Per unit land area</t>
  </si>
  <si>
    <t>Per unit GDP</t>
  </si>
  <si>
    <t>BASIC+: TRANSPORTATION</t>
  </si>
  <si>
    <t>BASIC+: WASTE</t>
  </si>
  <si>
    <t>BASIC+: IPPU</t>
  </si>
  <si>
    <t>BASIC+: AFOLU</t>
  </si>
  <si>
    <t>Land use</t>
  </si>
  <si>
    <t>City of Sydney</t>
  </si>
  <si>
    <r>
      <t xml:space="preserve">DATA SOURCES </t>
    </r>
    <r>
      <rPr>
        <sz val="16"/>
        <color theme="4"/>
        <rFont val="Calibri"/>
        <scheme val="minor"/>
      </rPr>
      <t>(GPC CHAPTER 5.4, PAGE 48)</t>
    </r>
  </si>
  <si>
    <t>Instructions</t>
  </si>
  <si>
    <t>Heat map</t>
  </si>
  <si>
    <t>Sectors_2</t>
  </si>
  <si>
    <t xml:space="preserve"> Average</t>
  </si>
  <si>
    <t xml:space="preserve"> Maximum</t>
  </si>
  <si>
    <t xml:space="preserve"> Minimum</t>
  </si>
  <si>
    <t>Subsector_waste</t>
  </si>
  <si>
    <t>Subsector_transport</t>
  </si>
  <si>
    <t>Subsector_stationary</t>
  </si>
  <si>
    <t>AUDIT</t>
  </si>
  <si>
    <t>Manufacture</t>
  </si>
  <si>
    <r>
      <t xml:space="preserve">A. THE GLOBAL PROTOCOL FOR COMMUNITY-SCALE GREENHOUSE GAS EMISSION INVENTORIES </t>
    </r>
    <r>
      <rPr>
        <sz val="16"/>
        <color theme="4"/>
        <rFont val="Calibri"/>
        <scheme val="minor"/>
      </rPr>
      <t>(GPC)</t>
    </r>
  </si>
  <si>
    <t>If offset credits are generated in the geographic boundary and sold, these should be documented in the first table. Any offsets purchased from outside the geographic boundary should be reported in the second table and will be deducted from the reported inventory results.</t>
  </si>
  <si>
    <t>This table records renewable energy generation (in MWh or kWh) produced within the geographic boundary, or reflecting an investment by the city outside the city boundary (e.g. offshore wind) that otherwise only indirectly impacts scope 2 emissions (through a lower grid average emission factor) and that would not be visible in scope 1 emissions for energy generation (due to its zero emissions profile).</t>
  </si>
  <si>
    <t>City of Melbourne</t>
  </si>
  <si>
    <t>0</t>
  </si>
  <si>
    <t>Chicago</t>
  </si>
  <si>
    <t>East Asia and Oceania</t>
  </si>
  <si>
    <t>Fugitive</t>
  </si>
  <si>
    <t>Name of city</t>
  </si>
  <si>
    <t xml:space="preserve"> Grey cells contain formulas and default values based on IPCC 2006 Guidelines. Please do not modify these.</t>
  </si>
  <si>
    <t xml:space="preserve"> Use the "Manual" columns to override default data in the grey cells if local and national data are available.</t>
  </si>
  <si>
    <r>
      <t>Fraction of nitrogen in protein, F</t>
    </r>
    <r>
      <rPr>
        <b/>
        <vertAlign val="subscript"/>
        <sz val="12"/>
        <color theme="0"/>
        <rFont val="Calibri"/>
      </rPr>
      <t>NPR</t>
    </r>
  </si>
  <si>
    <r>
      <t>Fraction to adjust for non-consumed protein, F</t>
    </r>
    <r>
      <rPr>
        <b/>
        <vertAlign val="subscript"/>
        <sz val="12"/>
        <color theme="0"/>
        <rFont val="Calibri"/>
      </rPr>
      <t>NON-CON</t>
    </r>
  </si>
  <si>
    <r>
      <t>Nitrogen removed with sludge, kg N (N</t>
    </r>
    <r>
      <rPr>
        <b/>
        <vertAlign val="subscript"/>
        <sz val="12"/>
        <color theme="0"/>
        <rFont val="Calibri"/>
      </rPr>
      <t>sludge</t>
    </r>
    <r>
      <rPr>
        <b/>
        <sz val="12"/>
        <color theme="0"/>
        <rFont val="Calibri"/>
      </rPr>
      <t>)</t>
    </r>
  </si>
  <si>
    <r>
      <t>Emision factor, kgN</t>
    </r>
    <r>
      <rPr>
        <b/>
        <vertAlign val="subscript"/>
        <sz val="12"/>
        <color theme="0"/>
        <rFont val="Calibri"/>
      </rPr>
      <t>2</t>
    </r>
    <r>
      <rPr>
        <b/>
        <sz val="12"/>
        <color theme="0"/>
        <rFont val="Calibri"/>
      </rPr>
      <t>O-N/kgN</t>
    </r>
    <r>
      <rPr>
        <b/>
        <vertAlign val="subscript"/>
        <sz val="12"/>
        <color theme="0"/>
        <rFont val="Calibri"/>
      </rPr>
      <t>2</t>
    </r>
    <r>
      <rPr>
        <b/>
        <sz val="12"/>
        <color theme="0"/>
        <rFont val="Calibri"/>
      </rPr>
      <t>O (EF</t>
    </r>
    <r>
      <rPr>
        <b/>
        <vertAlign val="subscript"/>
        <sz val="12"/>
        <color theme="0"/>
        <rFont val="Calibri"/>
      </rPr>
      <t>EFFLUENT</t>
    </r>
    <r>
      <rPr>
        <b/>
        <sz val="12"/>
        <color theme="0"/>
        <rFont val="Calibri"/>
      </rPr>
      <t>)</t>
    </r>
    <r>
      <rPr>
        <b/>
        <vertAlign val="superscript"/>
        <sz val="12"/>
        <color theme="0"/>
        <rFont val="Calibri"/>
      </rPr>
      <t>4</t>
    </r>
  </si>
  <si>
    <r>
      <t>Total N</t>
    </r>
    <r>
      <rPr>
        <b/>
        <vertAlign val="subscript"/>
        <sz val="12"/>
        <color theme="0"/>
        <rFont val="Calibri"/>
      </rPr>
      <t>2</t>
    </r>
    <r>
      <rPr>
        <b/>
        <sz val="12"/>
        <color theme="0"/>
        <rFont val="Calibri"/>
      </rPr>
      <t>O emissions</t>
    </r>
  </si>
  <si>
    <r>
      <t>Default</t>
    </r>
    <r>
      <rPr>
        <vertAlign val="superscript"/>
        <sz val="12"/>
        <rFont val="Calibri"/>
      </rPr>
      <t>1</t>
    </r>
  </si>
  <si>
    <r>
      <t>Default</t>
    </r>
    <r>
      <rPr>
        <vertAlign val="superscript"/>
        <sz val="12"/>
        <rFont val="Calibri"/>
      </rPr>
      <t>2</t>
    </r>
  </si>
  <si>
    <r>
      <t>Default</t>
    </r>
    <r>
      <rPr>
        <vertAlign val="superscript"/>
        <sz val="12"/>
        <rFont val="Calibri"/>
      </rPr>
      <t>3</t>
    </r>
  </si>
  <si>
    <r>
      <t>Default</t>
    </r>
    <r>
      <rPr>
        <vertAlign val="superscript"/>
        <sz val="12"/>
        <rFont val="Calibri"/>
      </rPr>
      <t>4</t>
    </r>
  </si>
  <si>
    <r>
      <t>Default</t>
    </r>
    <r>
      <rPr>
        <vertAlign val="superscript"/>
        <sz val="12"/>
        <rFont val="Calibri"/>
      </rPr>
      <t>6</t>
    </r>
  </si>
  <si>
    <r>
      <t>% water treated (U*T)</t>
    </r>
    <r>
      <rPr>
        <b/>
        <vertAlign val="superscript"/>
        <sz val="12"/>
        <color theme="0"/>
        <rFont val="Calibri"/>
      </rPr>
      <t>1</t>
    </r>
  </si>
  <si>
    <r>
      <t>Maximum CH</t>
    </r>
    <r>
      <rPr>
        <b/>
        <vertAlign val="subscript"/>
        <sz val="12"/>
        <color theme="0"/>
        <rFont val="Calibri"/>
      </rPr>
      <t>4</t>
    </r>
    <r>
      <rPr>
        <b/>
        <sz val="12"/>
        <color theme="0"/>
        <rFont val="Calibri"/>
      </rPr>
      <t xml:space="preserve"> producing capacity, 
kgCH</t>
    </r>
    <r>
      <rPr>
        <b/>
        <vertAlign val="subscript"/>
        <sz val="12"/>
        <color theme="0"/>
        <rFont val="Calibri"/>
      </rPr>
      <t>4</t>
    </r>
    <r>
      <rPr>
        <b/>
        <sz val="12"/>
        <color theme="0"/>
        <rFont val="Calibri"/>
      </rPr>
      <t>/kgBOD or kgCH</t>
    </r>
    <r>
      <rPr>
        <b/>
        <vertAlign val="subscript"/>
        <sz val="12"/>
        <color theme="0"/>
        <rFont val="Calibri"/>
      </rPr>
      <t>4</t>
    </r>
    <r>
      <rPr>
        <b/>
        <sz val="12"/>
        <color theme="0"/>
        <rFont val="Calibri"/>
      </rPr>
      <t>/kgCOD (B)</t>
    </r>
  </si>
  <si>
    <r>
      <t>General</t>
    </r>
    <r>
      <rPr>
        <b/>
        <vertAlign val="superscript"/>
        <sz val="12"/>
        <color theme="0"/>
        <rFont val="Calibri"/>
      </rPr>
      <t>5</t>
    </r>
  </si>
  <si>
    <t>Urban: high</t>
  </si>
  <si>
    <t xml:space="preserve">Urban: low </t>
  </si>
  <si>
    <t>Urban: low</t>
  </si>
  <si>
    <t>Fast moving, clean (CH₄ from pump stations insignificant)</t>
  </si>
  <si>
    <t>Flowing sewer (open/closed)</t>
  </si>
  <si>
    <t>Aerobic treat-ment plant</t>
  </si>
  <si>
    <t>Degree of advanced WWT plants</t>
  </si>
  <si>
    <r>
      <t>Fraction of industrial / commercial co-discarged protein, F</t>
    </r>
    <r>
      <rPr>
        <b/>
        <vertAlign val="subscript"/>
        <sz val="12"/>
        <color theme="0"/>
        <rFont val="Calibri"/>
      </rPr>
      <t>IND-COM</t>
    </r>
  </si>
  <si>
    <r>
      <t>tN</t>
    </r>
    <r>
      <rPr>
        <b/>
        <vertAlign val="subscript"/>
        <sz val="12"/>
        <color theme="0"/>
        <rFont val="Calibri"/>
      </rPr>
      <t>2</t>
    </r>
    <r>
      <rPr>
        <b/>
        <sz val="12"/>
        <color theme="0"/>
        <rFont val="Calibri"/>
      </rPr>
      <t>O</t>
    </r>
  </si>
  <si>
    <r>
      <t>Total N</t>
    </r>
    <r>
      <rPr>
        <b/>
        <vertAlign val="subscript"/>
        <sz val="12"/>
        <color theme="0"/>
        <rFont val="Calibri"/>
      </rPr>
      <t>2</t>
    </r>
    <r>
      <rPr>
        <b/>
        <sz val="12"/>
        <color theme="0"/>
        <rFont val="Calibri"/>
      </rPr>
      <t>O, kgN</t>
    </r>
    <r>
      <rPr>
        <b/>
        <vertAlign val="subscript"/>
        <sz val="12"/>
        <color theme="0"/>
        <rFont val="Calibri"/>
      </rPr>
      <t>2</t>
    </r>
    <r>
      <rPr>
        <b/>
        <sz val="12"/>
        <color theme="0"/>
        <rFont val="Calibri"/>
      </rPr>
      <t>O</t>
    </r>
  </si>
  <si>
    <t xml:space="preserve"> The data under the City information section below must be completed for the tool to estimate default emissions from domestic-commercial wastewater.  </t>
  </si>
  <si>
    <t xml:space="preserve"> The wastewater emissions calculator separately calculates emissions from domestic and commercial wastewater, and industrial wastewater. </t>
  </si>
  <si>
    <t>5. INDUSTRIAL WASTEWATER</t>
  </si>
  <si>
    <r>
      <t>5a. Methane (CH4) emissions from industrial wastewater</t>
    </r>
    <r>
      <rPr>
        <b/>
        <vertAlign val="subscript"/>
        <sz val="18"/>
        <rFont val="Calibri (Body)"/>
      </rPr>
      <t/>
    </r>
  </si>
  <si>
    <t xml:space="preserve"> To estimate GHG emissions from treatment of industrial wastewater, the industry type, total industry product, and % wastewater treated by method in Section 5 must be specified.</t>
  </si>
  <si>
    <t>Dry climate, ground water table &lt; latrine, many users</t>
  </si>
  <si>
    <t>Dry climate, ground water table &lt; latrine, 3-5 persons</t>
  </si>
  <si>
    <t>Wet climate/flush water use, ground water table &gt; latrine</t>
  </si>
  <si>
    <t>All default values and their sources can be found in the Data Table section below.</t>
  </si>
  <si>
    <t>Self check</t>
  </si>
  <si>
    <t>Anaerobic digester: sludge</t>
  </si>
  <si>
    <r>
      <rPr>
        <vertAlign val="superscript"/>
        <sz val="11"/>
        <rFont val="Calibri"/>
        <scheme val="minor"/>
      </rPr>
      <t>4</t>
    </r>
    <r>
      <rPr>
        <sz val="11"/>
        <rFont val="Calibri"/>
        <scheme val="minor"/>
      </rPr>
      <t xml:space="preserve"> IPCC 2006 Volume 5 Chapter 6: Wastewater, Table 6.2 Default maximum CH</t>
    </r>
    <r>
      <rPr>
        <vertAlign val="subscript"/>
        <sz val="11"/>
        <rFont val="Calibri (Body)"/>
      </rPr>
      <t>4</t>
    </r>
    <r>
      <rPr>
        <sz val="11"/>
        <rFont val="Calibri"/>
        <scheme val="minor"/>
      </rPr>
      <t xml:space="preserve"> producing capacity (Bo) for domestic wastewater</t>
    </r>
  </si>
  <si>
    <t>CIRIS</t>
  </si>
  <si>
    <t>V.1 has not been estimated. No livestock data available.</t>
  </si>
  <si>
    <t>For any questions regarding CIRIS, please contact:</t>
  </si>
  <si>
    <t>Use this table to record all the data sources used to compile the inventory. References provided in the "Name of source" column may be used to select the relevant data sources in the emission factors and sector tabs. Data can be gathered from a variety of sources, including government departments and statistics agencies, a country’s national GHG inventory report, universities and research institutes, scientific and technical articles in environmental books, journals and reports, and sector experts/stakeholder organizations. In general, it is preferable to use local and national data over international data, and data from publicly-available, peer-reviewed and reputable sources, often available through government publications.</t>
  </si>
  <si>
    <r>
      <t>This tool has been designed to help cities estimate methane (CH</t>
    </r>
    <r>
      <rPr>
        <vertAlign val="subscript"/>
        <sz val="14"/>
        <rFont val="Calibri"/>
        <scheme val="minor"/>
      </rPr>
      <t>4</t>
    </r>
    <r>
      <rPr>
        <sz val="14"/>
        <rFont val="Calibri"/>
        <scheme val="minor"/>
      </rPr>
      <t>) and nitrous oxide (N</t>
    </r>
    <r>
      <rPr>
        <vertAlign val="subscript"/>
        <sz val="14"/>
        <rFont val="Calibri"/>
        <scheme val="minor"/>
      </rPr>
      <t>2</t>
    </r>
    <r>
      <rPr>
        <sz val="14"/>
        <rFont val="Calibri"/>
        <scheme val="minor"/>
      </rPr>
      <t xml:space="preserve">O) emissions from biological treatment of waste (composting or anaerobic digestion)
</t>
    </r>
  </si>
  <si>
    <r>
      <t>This tool has been designed to help cities estimate methane (CH</t>
    </r>
    <r>
      <rPr>
        <vertAlign val="subscript"/>
        <sz val="14"/>
        <color rgb="FF000000"/>
        <rFont val="Calibri"/>
        <scheme val="minor"/>
      </rPr>
      <t>4</t>
    </r>
    <r>
      <rPr>
        <sz val="14"/>
        <color rgb="FF000000"/>
        <rFont val="Calibri"/>
        <scheme val="minor"/>
      </rPr>
      <t>) and nitrous oxide (N</t>
    </r>
    <r>
      <rPr>
        <vertAlign val="subscript"/>
        <sz val="14"/>
        <color rgb="FF000000"/>
        <rFont val="Calibri"/>
        <scheme val="minor"/>
      </rPr>
      <t>2</t>
    </r>
    <r>
      <rPr>
        <sz val="14"/>
        <color rgb="FF000000"/>
        <rFont val="Calibri"/>
        <scheme val="minor"/>
      </rPr>
      <t xml:space="preserve">O) emissions from treatment of domestic, commercial and industrial wastewater. 
</t>
    </r>
  </si>
  <si>
    <t>This tool has been designed to help cities estimate fugitive emissions from the distribution of gas to end users via low pressure a distribution system within cities.</t>
  </si>
  <si>
    <t>Year 
(most recent)</t>
  </si>
  <si>
    <t>For each city, their most recently reported inventory has been used.</t>
  </si>
  <si>
    <t>2005-2006</t>
  </si>
  <si>
    <t>2014-2015</t>
  </si>
  <si>
    <t xml:space="preserve">Emissions from the intentional oxidation of materials within a stationary apparatus that is designed to raise heat and provide it either as heat or as mechanical work to a process, or for use away from the apparatus </t>
  </si>
  <si>
    <t>All emissions from use in households</t>
  </si>
  <si>
    <t>All emissions from energy use in commercial buildings and facilities</t>
  </si>
  <si>
    <t xml:space="preserve">All emissions from energy use in public buildings such as schools, hospitals, government offices, highway street lighting, and other public facilities </t>
  </si>
  <si>
    <t>Definition</t>
  </si>
  <si>
    <t>Fugitive emissions from coal</t>
  </si>
  <si>
    <t>Select an emission factor</t>
  </si>
  <si>
    <t>6.</t>
  </si>
  <si>
    <t>7.</t>
  </si>
  <si>
    <t>8.</t>
  </si>
  <si>
    <t>9.</t>
  </si>
  <si>
    <t>10.</t>
  </si>
  <si>
    <t>11.</t>
  </si>
  <si>
    <t>12.</t>
  </si>
  <si>
    <t>13.</t>
  </si>
  <si>
    <t>14.</t>
  </si>
  <si>
    <t>Enter activity data</t>
  </si>
  <si>
    <t>XYZ</t>
  </si>
  <si>
    <t>SAVE 
AS PDF</t>
  </si>
  <si>
    <t>If your city has a net GHG emissions reduction 
target, use this sheet to record your emission 
credits and estimate your net emissions</t>
  </si>
  <si>
    <t>Use this table to record the emission factors used to calculate GHG emissions for all activities included in the inventory. References provided in the 'Reference' column shall be used to identify the relevant emission factors in the sector tabs. Emission factors convert activity data into a mass of GHG emissions They should be relevant to the inventory boundary, specific to the activity being measured, and sourced from credible government, industry, or academic sources. If no local, regional, or country-specific sources are available, cities should use IPCC default factors or data from the Emission Factor Database, or other standard values from international bodies that reflect national circumstances.</t>
  </si>
  <si>
    <t>Please provide a description of the boundary or reference to an official source</t>
  </si>
  <si>
    <t xml:space="preserve">Include a map of your city boundary in this box </t>
  </si>
  <si>
    <t>GDP (US$) of economic activity within city  boundary*</t>
  </si>
  <si>
    <t>Type of economy (select from list)</t>
  </si>
  <si>
    <t>Resident population within city boundary*</t>
  </si>
  <si>
    <t>Climate (select from list)</t>
  </si>
  <si>
    <t>Other information</t>
  </si>
  <si>
    <t>Output</t>
  </si>
  <si>
    <t>OUTPUT</t>
  </si>
  <si>
    <t>High-level summary of your city's 
emissions, by sector and scope</t>
  </si>
  <si>
    <t>PROGRESS</t>
  </si>
  <si>
    <t>Land area (km2) within city boundary</t>
  </si>
  <si>
    <t>Geographic boundary (select from list)</t>
  </si>
  <si>
    <t>Inventory year (select from list)</t>
  </si>
  <si>
    <t xml:space="preserve">For each sub-sector, select an activity from the drop-down list e.g. natural gas. If your activity does not appear in the drop-down list, please enter this is in yourself. </t>
  </si>
  <si>
    <r>
      <t xml:space="preserve">Choose a sector. </t>
    </r>
    <r>
      <rPr>
        <i/>
        <sz val="14"/>
        <color rgb="FF000000"/>
        <rFont val="Calibri"/>
        <scheme val="minor"/>
      </rPr>
      <t>Stationary energy</t>
    </r>
    <r>
      <rPr>
        <sz val="14"/>
        <color rgb="FF000000"/>
        <rFont val="Calibri"/>
        <scheme val="minor"/>
      </rPr>
      <t xml:space="preserve">, </t>
    </r>
    <r>
      <rPr>
        <i/>
        <sz val="14"/>
        <color rgb="FF000000"/>
        <rFont val="Calibri"/>
        <scheme val="minor"/>
      </rPr>
      <t>Transportation</t>
    </r>
    <r>
      <rPr>
        <sz val="14"/>
        <color rgb="FF000000"/>
        <rFont val="Calibri"/>
        <scheme val="minor"/>
      </rPr>
      <t xml:space="preserve"> and </t>
    </r>
    <r>
      <rPr>
        <i/>
        <sz val="14"/>
        <color rgb="FF000000"/>
        <rFont val="Calibri"/>
        <scheme val="minor"/>
      </rPr>
      <t>Waste</t>
    </r>
    <r>
      <rPr>
        <sz val="14"/>
        <color rgb="FF000000"/>
        <rFont val="Calibri"/>
        <scheme val="minor"/>
      </rPr>
      <t xml:space="preserve"> must be completed for a BASIC inventory. </t>
    </r>
    <r>
      <rPr>
        <i/>
        <sz val="14"/>
        <color rgb="FF000000"/>
        <rFont val="Calibri"/>
        <scheme val="minor"/>
      </rPr>
      <t>IPPU</t>
    </r>
    <r>
      <rPr>
        <sz val="14"/>
        <color rgb="FF000000"/>
        <rFont val="Calibri"/>
        <scheme val="minor"/>
      </rPr>
      <t xml:space="preserve"> and </t>
    </r>
    <r>
      <rPr>
        <i/>
        <sz val="14"/>
        <color rgb="FF000000"/>
        <rFont val="Calibri"/>
        <scheme val="minor"/>
      </rPr>
      <t>AFOLU</t>
    </r>
    <r>
      <rPr>
        <sz val="14"/>
        <color rgb="FF000000"/>
        <rFont val="Calibri"/>
        <scheme val="minor"/>
      </rPr>
      <t xml:space="preserve"> are additional requred for a BASIC+ inventory.</t>
    </r>
  </si>
  <si>
    <t>If data are not available for an emission category (sub-sector/scope), notation keys should be used. Select the appropriate notation key from the drop-down list.</t>
  </si>
  <si>
    <t>Next, you will ask to enter activity data. If the units are different to the denominator of the emission factor used, use the activity data multiplier function to convert.</t>
  </si>
  <si>
    <r>
      <t xml:space="preserve">For the </t>
    </r>
    <r>
      <rPr>
        <i/>
        <sz val="14"/>
        <color rgb="FF000000"/>
        <rFont val="Calibri"/>
        <scheme val="minor"/>
      </rPr>
      <t>Transortation</t>
    </r>
    <r>
      <rPr>
        <sz val="14"/>
        <color rgb="FF000000"/>
        <rFont val="Calibri"/>
        <scheme val="minor"/>
      </rPr>
      <t xml:space="preserve"> and </t>
    </r>
    <r>
      <rPr>
        <i/>
        <sz val="14"/>
        <color rgb="FF000000"/>
        <rFont val="Calibri"/>
        <scheme val="minor"/>
      </rPr>
      <t>Waste</t>
    </r>
    <r>
      <rPr>
        <sz val="14"/>
        <color rgb="FF000000"/>
        <rFont val="Calibri"/>
        <scheme val="minor"/>
      </rPr>
      <t xml:space="preserve"> sectors, you will additionally be asked to select a method.</t>
    </r>
  </si>
  <si>
    <t>Alternatively, if you do not an emission factor for a specific activity, you may enter emissions data directly. Make sure this is reported in metric tonnes of CO2e.</t>
  </si>
  <si>
    <t>CIRIS includes five calculators to help cities estimate emissions for: fugitive losses from gas distribution, solid waste landfill, biological treatment of waste, waste incineration and wastewater. The calculations are based on IPPC Guidance and use IPCC default factors. These should only be used if no other data is available or otherwise to compare results estimated using another methodology.</t>
  </si>
  <si>
    <t>CITY DATABASE</t>
  </si>
  <si>
    <t>Data_2</t>
  </si>
  <si>
    <t>GHG emissions (mtCO2e)</t>
  </si>
  <si>
    <t>UNDER CONSTRUCTION</t>
  </si>
  <si>
    <t>Data_6</t>
  </si>
  <si>
    <t>Fugitive emission</t>
  </si>
  <si>
    <r>
      <t>Total tCO</t>
    </r>
    <r>
      <rPr>
        <b/>
        <vertAlign val="subscript"/>
        <sz val="12"/>
        <color theme="0"/>
        <rFont val="Calibri"/>
      </rPr>
      <t>2</t>
    </r>
    <r>
      <rPr>
        <b/>
        <sz val="12"/>
        <color theme="0"/>
        <rFont val="Calibri"/>
      </rPr>
      <t>e</t>
    </r>
  </si>
  <si>
    <r>
      <t>CO</t>
    </r>
    <r>
      <rPr>
        <b/>
        <vertAlign val="subscript"/>
        <sz val="12"/>
        <color theme="0"/>
        <rFont val="Calibri"/>
      </rPr>
      <t>2</t>
    </r>
  </si>
  <si>
    <t>Select "Development status" in the City information box.</t>
  </si>
  <si>
    <t>Enter "Activity data" and select the relevant "Unit" in the first two columns of the Calculation table.</t>
  </si>
  <si>
    <t>Grey cells contain formulas and default values based on IPCC 2006 Guidelines. Please do not modify these.</t>
  </si>
  <si>
    <t>Use the "Manual" columns to override the default data in the grey cells.</t>
  </si>
  <si>
    <t>Total fugitive emissions in metric tonnes CO2e are shown in the final column of the Calculation table.</t>
  </si>
  <si>
    <t>Grey cells contain formulas and default values based on IPCC 2006 Guidelines. Please do not modify these</t>
  </si>
  <si>
    <t xml:space="preserve">Grey cells contain contain formulas and default values based on IPCC 2006 Guidelines for National Greeenhouse Gas Inventories. Please do not modify these. 
</t>
  </si>
  <si>
    <t xml:space="preserve">White cells are for user-entered data ('manual'). Where applicable, these can be used to override the default data in the grey cells.
</t>
  </si>
  <si>
    <t xml:space="preserve">If no national data are available, use the default values provided. If national data are available, please insert information into the appropriate white cells. </t>
  </si>
  <si>
    <r>
      <t xml:space="preserve">To estimate </t>
    </r>
    <r>
      <rPr>
        <sz val="12"/>
        <color theme="1"/>
        <rFont val="Calibri (Body)"/>
      </rPr>
      <t xml:space="preserve">GHG </t>
    </r>
    <r>
      <rPr>
        <sz val="12"/>
        <color theme="1"/>
        <rFont val="Calibri"/>
        <family val="2"/>
        <scheme val="minor"/>
      </rPr>
      <t xml:space="preserve">emissions from incineration, enter in the mass of waste incinerated in the </t>
    </r>
    <r>
      <rPr>
        <i/>
        <sz val="12"/>
        <color theme="1"/>
        <rFont val="Calibri"/>
        <scheme val="minor"/>
      </rPr>
      <t>City information</t>
    </r>
    <r>
      <rPr>
        <sz val="12"/>
        <color theme="1"/>
        <rFont val="Calibri"/>
        <family val="2"/>
        <scheme val="minor"/>
      </rPr>
      <t>, and enter additional information in the white cells in section A</t>
    </r>
  </si>
  <si>
    <r>
      <t xml:space="preserve">All default values and their sources can be found in section </t>
    </r>
    <r>
      <rPr>
        <i/>
        <sz val="12"/>
        <color rgb="FF000000"/>
        <rFont val="Calibri"/>
        <scheme val="minor"/>
      </rPr>
      <t>B. Data Tables</t>
    </r>
    <r>
      <rPr>
        <sz val="12"/>
        <color rgb="FF000000"/>
        <rFont val="Calibri"/>
        <scheme val="minor"/>
      </rPr>
      <t xml:space="preserve"> below.</t>
    </r>
  </si>
  <si>
    <r>
      <t>CO</t>
    </r>
    <r>
      <rPr>
        <b/>
        <vertAlign val="subscript"/>
        <sz val="11"/>
        <color indexed="8"/>
        <rFont val="Calibri"/>
      </rPr>
      <t>2</t>
    </r>
    <r>
      <rPr>
        <b/>
        <sz val="11"/>
        <color indexed="8"/>
        <rFont val="Calibri"/>
        <family val="2"/>
      </rPr>
      <t xml:space="preserve"> emissions</t>
    </r>
  </si>
  <si>
    <t>m</t>
  </si>
  <si>
    <t xml:space="preserve">WFi </t>
  </si>
  <si>
    <r>
      <t>dm</t>
    </r>
    <r>
      <rPr>
        <vertAlign val="subscript"/>
        <sz val="11"/>
        <color indexed="8"/>
        <rFont val="Calibri"/>
        <family val="2"/>
      </rPr>
      <t>i</t>
    </r>
  </si>
  <si>
    <r>
      <t>CF</t>
    </r>
    <r>
      <rPr>
        <vertAlign val="subscript"/>
        <sz val="11"/>
        <color indexed="8"/>
        <rFont val="Calibri"/>
        <family val="2"/>
      </rPr>
      <t>i</t>
    </r>
  </si>
  <si>
    <r>
      <t>FCF</t>
    </r>
    <r>
      <rPr>
        <vertAlign val="subscript"/>
        <sz val="11"/>
        <color indexed="8"/>
        <rFont val="Calibri"/>
        <family val="2"/>
      </rPr>
      <t>i</t>
    </r>
  </si>
  <si>
    <r>
      <t>OF</t>
    </r>
    <r>
      <rPr>
        <vertAlign val="subscript"/>
        <sz val="11"/>
        <color indexed="8"/>
        <rFont val="Calibri"/>
        <family val="2"/>
      </rPr>
      <t xml:space="preserve">i </t>
    </r>
  </si>
  <si>
    <t>Mass of waste incinerated, tonnes</t>
  </si>
  <si>
    <r>
      <t>Dry matter content in the type i matter (dm</t>
    </r>
    <r>
      <rPr>
        <b/>
        <vertAlign val="subscript"/>
        <sz val="12"/>
        <color rgb="FFFFFFFF"/>
        <rFont val="Calibri"/>
      </rPr>
      <t>i</t>
    </r>
    <r>
      <rPr>
        <b/>
        <sz val="12"/>
        <color rgb="FFFFFFFF"/>
        <rFont val="Calibri"/>
      </rPr>
      <t>)</t>
    </r>
  </si>
  <si>
    <r>
      <t>Fraction of carbon in the dry matter of type i matter (CF</t>
    </r>
    <r>
      <rPr>
        <b/>
        <vertAlign val="subscript"/>
        <sz val="12"/>
        <color rgb="FFFFFFFF"/>
        <rFont val="Calibri"/>
      </rPr>
      <t>i</t>
    </r>
    <r>
      <rPr>
        <b/>
        <sz val="12"/>
        <color rgb="FFFFFFFF"/>
        <rFont val="Calibri"/>
      </rPr>
      <t>)</t>
    </r>
  </si>
  <si>
    <r>
      <t>Fraction of fossil carbon in the total carbon component of type i matter (FCF</t>
    </r>
    <r>
      <rPr>
        <b/>
        <vertAlign val="subscript"/>
        <sz val="12"/>
        <color rgb="FFFFFFFF"/>
        <rFont val="Calibri"/>
      </rPr>
      <t>i</t>
    </r>
    <r>
      <rPr>
        <b/>
        <sz val="12"/>
        <color rgb="FFFFFFFF"/>
        <rFont val="Calibri"/>
      </rPr>
      <t>)</t>
    </r>
  </si>
  <si>
    <r>
      <t>Oxidation fraction or factor (OF</t>
    </r>
    <r>
      <rPr>
        <b/>
        <vertAlign val="subscript"/>
        <sz val="12"/>
        <color rgb="FFFFFFFF"/>
        <rFont val="Calibri"/>
      </rPr>
      <t>i</t>
    </r>
    <r>
      <rPr>
        <b/>
        <sz val="12"/>
        <color rgb="FFFFFFFF"/>
        <rFont val="Calibri"/>
      </rPr>
      <t>)</t>
    </r>
  </si>
  <si>
    <t>Conversion factor</t>
  </si>
  <si>
    <r>
      <t>Total CO</t>
    </r>
    <r>
      <rPr>
        <b/>
        <vertAlign val="subscript"/>
        <sz val="12"/>
        <color theme="0"/>
        <rFont val="Calibri"/>
      </rPr>
      <t>2</t>
    </r>
    <r>
      <rPr>
        <b/>
        <sz val="11"/>
        <color theme="0"/>
        <rFont val="Calibri"/>
      </rPr>
      <t xml:space="preserve"> emissions</t>
    </r>
  </si>
  <si>
    <t>MSW</t>
  </si>
  <si>
    <t>Paper/cardboard</t>
  </si>
  <si>
    <t>Textiles</t>
  </si>
  <si>
    <t>Wood</t>
  </si>
  <si>
    <t>Garden and Park waste</t>
  </si>
  <si>
    <t>Nappies</t>
  </si>
  <si>
    <t>Rubber and Leather</t>
  </si>
  <si>
    <t>Plastics</t>
  </si>
  <si>
    <t>Metal</t>
  </si>
  <si>
    <t>Glass</t>
  </si>
  <si>
    <t>Other, inert waste</t>
  </si>
  <si>
    <t>Clinical waste</t>
  </si>
  <si>
    <t>Sewage sludge</t>
  </si>
  <si>
    <t>Fossil liquid waste</t>
  </si>
  <si>
    <r>
      <t>CH</t>
    </r>
    <r>
      <rPr>
        <b/>
        <vertAlign val="subscript"/>
        <sz val="11"/>
        <color indexed="8"/>
        <rFont val="Calibri"/>
      </rPr>
      <t>4</t>
    </r>
    <r>
      <rPr>
        <b/>
        <sz val="11"/>
        <color indexed="8"/>
        <rFont val="Calibri"/>
        <family val="2"/>
      </rPr>
      <t xml:space="preserve"> emissions</t>
    </r>
  </si>
  <si>
    <r>
      <t>Σ(IW</t>
    </r>
    <r>
      <rPr>
        <b/>
        <vertAlign val="subscript"/>
        <sz val="11"/>
        <color indexed="8"/>
        <rFont val="Calibri"/>
      </rPr>
      <t>i</t>
    </r>
    <r>
      <rPr>
        <b/>
        <sz val="11"/>
        <color indexed="8"/>
        <rFont val="Calibri"/>
        <family val="2"/>
      </rPr>
      <t xml:space="preserve"> * EF</t>
    </r>
    <r>
      <rPr>
        <b/>
        <vertAlign val="subscript"/>
        <sz val="11"/>
        <color indexed="8"/>
        <rFont val="Calibri"/>
      </rPr>
      <t>i</t>
    </r>
    <r>
      <rPr>
        <b/>
        <sz val="11"/>
        <color indexed="8"/>
        <rFont val="Calibri"/>
        <family val="2"/>
      </rPr>
      <t>) * 10</t>
    </r>
    <r>
      <rPr>
        <b/>
        <vertAlign val="superscript"/>
        <sz val="11"/>
        <color indexed="8"/>
        <rFont val="Calibri"/>
      </rPr>
      <t>-6</t>
    </r>
  </si>
  <si>
    <r>
      <t>IW</t>
    </r>
    <r>
      <rPr>
        <vertAlign val="subscript"/>
        <sz val="11"/>
        <color indexed="8"/>
        <rFont val="Calibri"/>
        <family val="2"/>
      </rPr>
      <t>i</t>
    </r>
  </si>
  <si>
    <r>
      <t>EF</t>
    </r>
    <r>
      <rPr>
        <vertAlign val="subscript"/>
        <sz val="11"/>
        <color indexed="8"/>
        <rFont val="Calibri"/>
        <family val="2"/>
      </rPr>
      <t>i</t>
    </r>
  </si>
  <si>
    <r>
      <t>10</t>
    </r>
    <r>
      <rPr>
        <vertAlign val="superscript"/>
        <sz val="11"/>
        <color indexed="8"/>
        <rFont val="Calibri"/>
      </rPr>
      <t>-6</t>
    </r>
  </si>
  <si>
    <t>Type of incineration</t>
  </si>
  <si>
    <t>Technology</t>
  </si>
  <si>
    <r>
      <t>Converting factor from gCH</t>
    </r>
    <r>
      <rPr>
        <b/>
        <vertAlign val="subscript"/>
        <sz val="12"/>
        <color rgb="FFFFFFFF"/>
        <rFont val="Calibri"/>
      </rPr>
      <t>4</t>
    </r>
    <r>
      <rPr>
        <b/>
        <sz val="12"/>
        <color rgb="FFFFFFFF"/>
        <rFont val="Calibri"/>
      </rPr>
      <t xml:space="preserve"> to tCH</t>
    </r>
    <r>
      <rPr>
        <b/>
        <vertAlign val="subscript"/>
        <sz val="12"/>
        <color rgb="FFFFFFFF"/>
        <rFont val="Calibri"/>
      </rPr>
      <t>4</t>
    </r>
  </si>
  <si>
    <r>
      <rPr>
        <b/>
        <sz val="12"/>
        <color theme="0"/>
        <rFont val="Calibri"/>
      </rPr>
      <t>Total CH</t>
    </r>
    <r>
      <rPr>
        <b/>
        <vertAlign val="subscript"/>
        <sz val="11"/>
        <color theme="0"/>
        <rFont val="Calibri"/>
      </rPr>
      <t>4</t>
    </r>
    <r>
      <rPr>
        <b/>
        <sz val="11"/>
        <color theme="0"/>
        <rFont val="Calibri"/>
      </rPr>
      <t xml:space="preserve"> emissions</t>
    </r>
  </si>
  <si>
    <t>Continuous incineration</t>
  </si>
  <si>
    <t>stoker</t>
  </si>
  <si>
    <r>
      <t>N</t>
    </r>
    <r>
      <rPr>
        <b/>
        <vertAlign val="subscript"/>
        <sz val="11"/>
        <color indexed="8"/>
        <rFont val="Calibri"/>
      </rPr>
      <t>2</t>
    </r>
    <r>
      <rPr>
        <b/>
        <sz val="11"/>
        <color indexed="8"/>
        <rFont val="Calibri"/>
        <family val="2"/>
      </rPr>
      <t>O emissions</t>
    </r>
  </si>
  <si>
    <t>Type of waste, technology/management practice, weight basis</t>
  </si>
  <si>
    <r>
      <t>Converting factor from gN</t>
    </r>
    <r>
      <rPr>
        <b/>
        <vertAlign val="subscript"/>
        <sz val="12"/>
        <color rgb="FFFFFFFF"/>
        <rFont val="Calibri"/>
      </rPr>
      <t>2</t>
    </r>
    <r>
      <rPr>
        <b/>
        <sz val="12"/>
        <color rgb="FFFFFFFF"/>
        <rFont val="Calibri"/>
      </rPr>
      <t>O to tN</t>
    </r>
    <r>
      <rPr>
        <b/>
        <vertAlign val="subscript"/>
        <sz val="12"/>
        <color rgb="FFFFFFFF"/>
        <rFont val="Calibri"/>
      </rPr>
      <t>2</t>
    </r>
    <r>
      <rPr>
        <b/>
        <sz val="12"/>
        <color rgb="FFFFFFFF"/>
        <rFont val="Calibri"/>
      </rPr>
      <t>O</t>
    </r>
  </si>
  <si>
    <t>MSW, continuous and semi-continuous incinerators, wet weight</t>
  </si>
  <si>
    <t>Parameter</t>
  </si>
  <si>
    <t>Management practice</t>
  </si>
  <si>
    <t>Dry matter content in % of wet waste</t>
  </si>
  <si>
    <t>(see Note 1)</t>
  </si>
  <si>
    <t>Total carbon content in % of dry weight</t>
  </si>
  <si>
    <t>Fossil carbon fraction in % of total carbon content</t>
  </si>
  <si>
    <t>(see Note 2)</t>
  </si>
  <si>
    <t>Oxidation factor in % of carbon input</t>
  </si>
  <si>
    <t>Open burning (see Note 3)</t>
  </si>
  <si>
    <t>Note 1: Default data available in 2006 IPCC Guidelines, Vol. 5, Ch. 2, Table 2.4 in Section 2.3 Waste composition and equation 5.8 (for dry matter), Equation 5.9 (for carbon content) and Equation 5.10 (for fossil carbon fraction) in 2006 IPCC Guidelines, Vol. 5, Ch. 5</t>
  </si>
  <si>
    <t>Note 2: Default data by industry type is given in 2006 IPCC Guidelines, Vol. 5, Ch. 2 Table 2.5 in Section 2.3 Waste composition. For estimation of emissions, use equations mentioned in Note 1.</t>
  </si>
  <si>
    <t>Note 3: When waste is open-burned, refuse weight is reduced by approximately 49 to 67 percent (US-EPA, 1997, p.79). A default value of 58 percent is suggested.</t>
  </si>
  <si>
    <t>Note 4: See Section 2.3.2 Sludge in Chapter 2.</t>
  </si>
  <si>
    <t>Note 5: Fossil liquid waste is here defined as industrial and municipal residues, based on mineral oil, natural gas or other fossil fuels. It includes waste formerly used as solvents and lubricants. It does not include wastewater, unless it is incinerated (e.g., because of a high solvent content) The total carbon content of fossil liquid waste is provided in percent of wet weight and not in percent of dry weight (GIO, 2005).</t>
  </si>
  <si>
    <t>References: 2006 IPCC Guidelines for National Greenhouse Gas Inventories, Volume 5, chapter 5: Incineration and Open Burning of Waste</t>
  </si>
  <si>
    <t>Type of incineration/technology</t>
  </si>
  <si>
    <r>
      <t>CH</t>
    </r>
    <r>
      <rPr>
        <b/>
        <vertAlign val="subscript"/>
        <sz val="12"/>
        <color rgb="FFFFFFFF"/>
        <rFont val="Calibri"/>
      </rPr>
      <t>4</t>
    </r>
    <r>
      <rPr>
        <b/>
        <sz val="12"/>
        <color rgb="FFFFFFFF"/>
        <rFont val="Calibri"/>
      </rPr>
      <t xml:space="preserve"> emission factors (kg/Gg waste incinerated on a wet weight basis)</t>
    </r>
  </si>
  <si>
    <t>Continuous incineration, stoker</t>
  </si>
  <si>
    <t xml:space="preserve">Continuous incineration, fluidised bed </t>
  </si>
  <si>
    <t>Semi-continuous incineration, stoker</t>
  </si>
  <si>
    <t xml:space="preserve">Semi-continuous incineration, fluidised bed </t>
  </si>
  <si>
    <t>Batch type incineration, stoker</t>
  </si>
  <si>
    <t xml:space="preserve">Batch type incineration, fluidised bed </t>
  </si>
  <si>
    <r>
      <t>Note: In the study cited for this emission factor, the measured CH</t>
    </r>
    <r>
      <rPr>
        <vertAlign val="subscript"/>
        <sz val="12"/>
        <color theme="1"/>
        <rFont val="Calibri (Body)"/>
      </rPr>
      <t>4</t>
    </r>
    <r>
      <rPr>
        <sz val="12"/>
        <color theme="1"/>
        <rFont val="Calibri"/>
        <family val="2"/>
        <scheme val="minor"/>
      </rPr>
      <t xml:space="preserve"> concentration in the exhaust air was lower than the concentration in ambient air.</t>
    </r>
  </si>
  <si>
    <t>Source: 2006 IPCC Guidelines for National Greenhouse Gas Inventories, Volume 5, chapter 5: Incineration and Open Burning of Waste, Table 5.3</t>
  </si>
  <si>
    <r>
      <t>Emission factor (g N</t>
    </r>
    <r>
      <rPr>
        <b/>
        <vertAlign val="subscript"/>
        <sz val="12"/>
        <color rgb="FFFFFFFF"/>
        <rFont val="Calibri"/>
      </rPr>
      <t>2</t>
    </r>
    <r>
      <rPr>
        <b/>
        <sz val="12"/>
        <color rgb="FFFFFFFF"/>
        <rFont val="Calibri"/>
      </rPr>
      <t>O/t waste incinerated)</t>
    </r>
  </si>
  <si>
    <t>MSW, batch-type incinerators, wet weight</t>
  </si>
  <si>
    <t>MSW, open burning, dry weight</t>
  </si>
  <si>
    <t>Industrial waste, all types of incineration, wet weight</t>
  </si>
  <si>
    <t>Sludge (except sewage sludge), all types of incineration, wet weight</t>
  </si>
  <si>
    <t>Sewage sludge, incineration, dry weight</t>
  </si>
  <si>
    <t>Sewage sludge, incineration, wet weight</t>
  </si>
  <si>
    <t>Source: 2006 IPCC Guidelines for National Greenhouse Gas Inventories, Volume 5, chapter 5: Incineration and Open Burning of Waste, Table 5.6</t>
  </si>
  <si>
    <t>IPCC Guidelines Volume 5, Chapter 2, Table 2.4: DEFAULT DRY MATTER CONTENT, DOC CONTENT, TOTAL CARBON CONTENT AND FOSSIL CARBON FRACTION OF DIFFERENT MSW COMPONENTS</t>
  </si>
  <si>
    <t>MSW component</t>
  </si>
  <si>
    <r>
      <t>Dry matter content in % of wet weight</t>
    </r>
    <r>
      <rPr>
        <b/>
        <vertAlign val="superscript"/>
        <sz val="12"/>
        <color theme="0"/>
        <rFont val="Calibri (Body)"/>
      </rPr>
      <t>1</t>
    </r>
  </si>
  <si>
    <t>DOC content in % of wet waste</t>
  </si>
  <si>
    <t>DOC content in % of dry waste</t>
  </si>
  <si>
    <t>Fossil carbon content in % of total carbon</t>
  </si>
  <si>
    <r>
      <t>Range</t>
    </r>
    <r>
      <rPr>
        <b/>
        <vertAlign val="superscript"/>
        <sz val="12"/>
        <color theme="0"/>
        <rFont val="Calibri (Body)"/>
      </rPr>
      <t>2</t>
    </r>
  </si>
  <si>
    <t>36%-45%</t>
  </si>
  <si>
    <t>40%-50%</t>
  </si>
  <si>
    <t>42%-50%</t>
  </si>
  <si>
    <t>0%-5%</t>
  </si>
  <si>
    <t>20%-40%</t>
  </si>
  <si>
    <t>25%-50%</t>
  </si>
  <si>
    <t>0%-50%</t>
  </si>
  <si>
    <t>18%-32%</t>
  </si>
  <si>
    <t>20%-50%</t>
  </si>
  <si>
    <t>39%-46%</t>
  </si>
  <si>
    <t>46%-54%</t>
  </si>
  <si>
    <t>18%-22%</t>
  </si>
  <si>
    <t>45%-55%</t>
  </si>
  <si>
    <t>44%-80%</t>
  </si>
  <si>
    <t>54%-90%</t>
  </si>
  <si>
    <t>67%-85%</t>
  </si>
  <si>
    <t>95%-100%</t>
  </si>
  <si>
    <t>50%-100%</t>
  </si>
  <si>
    <t>1. The moisture content given here applies to the specific waste types before they enter the collection and treatment. In samples taken from collected waste or from e.g., SWDS the moisture content of each waste type will vary by moisture of co-existing waste and weather during handling.</t>
  </si>
  <si>
    <t>2. The range refers to the minimum and maximum data reported by Dehoust et al., 2002; Gangdonggu, 1997; Guendehou, 2004; JESC, 2001; Jager and Blok, 1993; Würdinger et al., 1997; and Zeschmar-Lahl, 2002.</t>
  </si>
  <si>
    <t>3. 40 percent of textile are assumed to be synthetic (default). Expert judgement by the authors.</t>
  </si>
  <si>
    <t>4. This value is for wood products at the end of life. Typical dry matter content of wood at the time of harvest (that is for garden and park waste) is 40 percent. Expert judgement by the authors.</t>
  </si>
  <si>
    <t>5. Natural rubbers would likely not degrade under anaerobic condition at SWDS (Tsuchii et al., 1985; Rose and Steinbüchel, 2005).</t>
  </si>
  <si>
    <t>6. Metal and glass contain some carbon of fossil origin. Combustion of significant amounts of glass or metal is not common.</t>
  </si>
  <si>
    <r>
      <t>IPCC Guidelines Volume 5, Chapter 2, Table 2.5: DEFAULT DOC AND FOSSIL CARBON CONTENT IN INDUSTRIAL WASTE (PERCENTAGE IN WET WASTE PRODUCED)</t>
    </r>
    <r>
      <rPr>
        <b/>
        <vertAlign val="superscript"/>
        <sz val="12"/>
        <color theme="1"/>
        <rFont val="Calibri (Body)"/>
      </rPr>
      <t>1</t>
    </r>
  </si>
  <si>
    <t>DOC</t>
  </si>
  <si>
    <t>Fossil carbon</t>
  </si>
  <si>
    <t>Total carbon</t>
  </si>
  <si>
    <t>Food, beverages and tobacco (other than sludge)</t>
  </si>
  <si>
    <t>Textile</t>
  </si>
  <si>
    <t>Wood and wood products</t>
  </si>
  <si>
    <t>Pulp and paper (other than sludge)</t>
  </si>
  <si>
    <t>Petroleum products, Solvents, Plastics</t>
  </si>
  <si>
    <t>Rubber</t>
  </si>
  <si>
    <r>
      <t>(39)</t>
    </r>
    <r>
      <rPr>
        <vertAlign val="superscript"/>
        <sz val="12"/>
        <color theme="1"/>
        <rFont val="Calibri (Body)"/>
      </rPr>
      <t>3</t>
    </r>
  </si>
  <si>
    <t>Construction and demolition</t>
  </si>
  <si>
    <r>
      <t>Other</t>
    </r>
    <r>
      <rPr>
        <vertAlign val="superscript"/>
        <sz val="12"/>
        <color theme="1"/>
        <rFont val="Calibri (Body)"/>
      </rPr>
      <t>4</t>
    </r>
  </si>
  <si>
    <t>1. The default values apply only for process waste from the industries, office and other similar waste are assumed to be included in MSW.</t>
  </si>
  <si>
    <t>2. Note that water contents of industrial wastes vary enormously, even within a single industry.</t>
  </si>
  <si>
    <t>3. Natural rubbers would likely not degrade under anaerobic condition at SWDS (Tsuchii, et al., 1985; Rose and Steinbüchel, 2005).</t>
  </si>
  <si>
    <t>4. These values can be used also as defaults for total waste from manufacturing industries, when data on waste production by industry type are not available. Waste from mining and quarrying should be excluded from the calculations as the amounts can be large and the DOC and fossil carbon contents are likely to be negligible.</t>
  </si>
  <si>
    <r>
      <t>GPC Table 8.4, Default data for CO</t>
    </r>
    <r>
      <rPr>
        <b/>
        <vertAlign val="subscript"/>
        <sz val="14"/>
        <color theme="4"/>
        <rFont val="Calibri"/>
      </rPr>
      <t>2</t>
    </r>
    <r>
      <rPr>
        <b/>
        <sz val="14"/>
        <color theme="4"/>
        <rFont val="Calibri"/>
      </rPr>
      <t xml:space="preserve"> emission factors for incineration and open burning</t>
    </r>
  </si>
  <si>
    <r>
      <t>H2O content</t>
    </r>
    <r>
      <rPr>
        <vertAlign val="superscript"/>
        <sz val="12"/>
        <color theme="0"/>
        <rFont val="Calibri (Body)"/>
      </rPr>
      <t>2</t>
    </r>
  </si>
  <si>
    <r>
      <t>A3. Nitrous oxide (N</t>
    </r>
    <r>
      <rPr>
        <b/>
        <vertAlign val="subscript"/>
        <sz val="14"/>
        <color theme="4"/>
        <rFont val="Calibri (Body)"/>
      </rPr>
      <t>2</t>
    </r>
    <r>
      <rPr>
        <b/>
        <sz val="14"/>
        <color theme="4"/>
        <rFont val="Calibri"/>
        <scheme val="minor"/>
      </rPr>
      <t>O) emissions from the incineration of solid waste</t>
    </r>
  </si>
  <si>
    <r>
      <t>A2. Methane (CH</t>
    </r>
    <r>
      <rPr>
        <b/>
        <vertAlign val="subscript"/>
        <sz val="14"/>
        <color theme="4"/>
        <rFont val="Calibri (Body)"/>
      </rPr>
      <t>4</t>
    </r>
    <r>
      <rPr>
        <b/>
        <sz val="14"/>
        <color theme="4"/>
        <rFont val="Calibri"/>
        <scheme val="minor"/>
      </rPr>
      <t>) emissions from the incineration of solid waste</t>
    </r>
    <r>
      <rPr>
        <b/>
        <vertAlign val="subscript"/>
        <sz val="18"/>
        <color rgb="FFFF0000"/>
        <rFont val="Calibri (Body)"/>
      </rPr>
      <t/>
    </r>
  </si>
  <si>
    <t>3. EMISSIONS SUMMARY</t>
  </si>
  <si>
    <t>Mass of waste incinerated in metric tonnes</t>
  </si>
  <si>
    <t>America</t>
  </si>
  <si>
    <t>Sub-region</t>
  </si>
  <si>
    <t>Accounting method</t>
  </si>
  <si>
    <t>Methane commitment</t>
  </si>
  <si>
    <t>Cubic meters of landfill gas produced per day</t>
  </si>
  <si>
    <t>Methane collected in inventory year, metric tonnes</t>
  </si>
  <si>
    <t>Inventory year</t>
  </si>
  <si>
    <t>Climate zone</t>
  </si>
  <si>
    <t>Boreal and Temperate (MAT ≤20°C ), Wet (MAP/PET &gt; 1)</t>
  </si>
  <si>
    <t>Total waste generated, metric tonnes</t>
  </si>
  <si>
    <r>
      <t>CO</t>
    </r>
    <r>
      <rPr>
        <b/>
        <vertAlign val="subscript"/>
        <sz val="12"/>
        <color theme="0"/>
        <rFont val="Calibri"/>
      </rPr>
      <t>2</t>
    </r>
    <r>
      <rPr>
        <b/>
        <sz val="12"/>
        <color theme="0"/>
        <rFont val="Calibri"/>
      </rPr>
      <t>(b)</t>
    </r>
  </si>
  <si>
    <t>Solid waste sent to landfill</t>
  </si>
  <si>
    <t>x</t>
  </si>
  <si>
    <r>
      <t>MSW</t>
    </r>
    <r>
      <rPr>
        <vertAlign val="subscript"/>
        <sz val="11"/>
        <color indexed="8"/>
        <rFont val="Calibri"/>
        <family val="2"/>
      </rPr>
      <t>x</t>
    </r>
  </si>
  <si>
    <r>
      <t>L</t>
    </r>
    <r>
      <rPr>
        <vertAlign val="subscript"/>
        <sz val="11"/>
        <color indexed="8"/>
        <rFont val="Calibri"/>
        <family val="2"/>
      </rPr>
      <t>0</t>
    </r>
  </si>
  <si>
    <t>OX</t>
  </si>
  <si>
    <r>
      <t>DOC</t>
    </r>
    <r>
      <rPr>
        <vertAlign val="subscript"/>
        <sz val="11"/>
        <color indexed="8"/>
        <rFont val="Calibri"/>
        <family val="2"/>
      </rPr>
      <t>F</t>
    </r>
  </si>
  <si>
    <t>F</t>
  </si>
  <si>
    <t>16/12</t>
  </si>
  <si>
    <t>GPC equation 8.1. Degradable organic carbon (DOC)</t>
  </si>
  <si>
    <t xml:space="preserve">DOC </t>
  </si>
  <si>
    <t>IPCC default DOC values</t>
  </si>
  <si>
    <t>A</t>
  </si>
  <si>
    <t>D</t>
  </si>
  <si>
    <t>E</t>
  </si>
  <si>
    <t>Inventory year (t)</t>
  </si>
  <si>
    <r>
      <t>Total MSW disposed at SWDS in year x in metric tonnes (MSW</t>
    </r>
    <r>
      <rPr>
        <vertAlign val="subscript"/>
        <sz val="11"/>
        <color theme="0"/>
        <rFont val="Calibri"/>
      </rPr>
      <t>x</t>
    </r>
    <r>
      <rPr>
        <sz val="11"/>
        <color theme="0"/>
        <rFont val="Calibri"/>
        <family val="2"/>
      </rPr>
      <t>)</t>
    </r>
  </si>
  <si>
    <r>
      <t>Methane generation potential (L</t>
    </r>
    <r>
      <rPr>
        <vertAlign val="subscript"/>
        <sz val="11"/>
        <color theme="0"/>
        <rFont val="Calibri"/>
      </rPr>
      <t>0</t>
    </r>
    <r>
      <rPr>
        <sz val="11"/>
        <color theme="0"/>
        <rFont val="Calibri"/>
        <family val="2"/>
      </rPr>
      <t>)</t>
    </r>
  </si>
  <si>
    <t>Methane generation rate constant (k)</t>
  </si>
  <si>
    <t>Oxidation factor (OX)</t>
  </si>
  <si>
    <t>Well-managed landfill</t>
  </si>
  <si>
    <t>Methane Correction Factor (MCF)</t>
  </si>
  <si>
    <t>Degradable organic carbon in year of deposition (DOC)</t>
  </si>
  <si>
    <t>Fraction of methane in landfill gas (%) (F)</t>
  </si>
  <si>
    <r>
      <t>Methane generation potential, L</t>
    </r>
    <r>
      <rPr>
        <vertAlign val="subscript"/>
        <sz val="11"/>
        <color theme="0"/>
        <rFont val="Calibri (Body)"/>
      </rPr>
      <t>0</t>
    </r>
  </si>
  <si>
    <t>Managed</t>
  </si>
  <si>
    <t>MSW composition data by percent</t>
  </si>
  <si>
    <t>Rubber/leather</t>
  </si>
  <si>
    <t>Plastic</t>
  </si>
  <si>
    <r>
      <t>MSW</t>
    </r>
    <r>
      <rPr>
        <vertAlign val="subscript"/>
        <sz val="11"/>
        <color theme="1"/>
        <rFont val="Calibri"/>
        <scheme val="minor"/>
      </rPr>
      <t>X</t>
    </r>
  </si>
  <si>
    <r>
      <t>L</t>
    </r>
    <r>
      <rPr>
        <vertAlign val="subscript"/>
        <sz val="11"/>
        <color theme="1"/>
        <rFont val="Calibri"/>
        <scheme val="minor"/>
      </rPr>
      <t>0</t>
    </r>
  </si>
  <si>
    <r>
      <t>f</t>
    </r>
    <r>
      <rPr>
        <vertAlign val="subscript"/>
        <sz val="11"/>
        <color theme="1"/>
        <rFont val="Calibri"/>
        <scheme val="minor"/>
      </rPr>
      <t>rec</t>
    </r>
  </si>
  <si>
    <r>
      <t>Methane generation potential (L</t>
    </r>
    <r>
      <rPr>
        <b/>
        <vertAlign val="subscript"/>
        <sz val="12"/>
        <color rgb="FFFFFFFF"/>
        <rFont val="Calibri"/>
      </rPr>
      <t>0</t>
    </r>
    <r>
      <rPr>
        <b/>
        <sz val="12"/>
        <color rgb="FFFFFFFF"/>
        <rFont val="Calibri"/>
      </rPr>
      <t>)</t>
    </r>
  </si>
  <si>
    <r>
      <t>Annual CH</t>
    </r>
    <r>
      <rPr>
        <b/>
        <vertAlign val="subscript"/>
        <sz val="12"/>
        <rFont val="Calibri"/>
      </rPr>
      <t>4</t>
    </r>
    <r>
      <rPr>
        <b/>
        <sz val="12"/>
        <rFont val="Calibri"/>
      </rPr>
      <t xml:space="preserve"> Emissions (tCO</t>
    </r>
    <r>
      <rPr>
        <b/>
        <vertAlign val="subscript"/>
        <sz val="12"/>
        <rFont val="Calibri"/>
      </rPr>
      <t>2</t>
    </r>
    <r>
      <rPr>
        <b/>
        <sz val="12"/>
        <rFont val="Calibri"/>
      </rPr>
      <t xml:space="preserve">e) = </t>
    </r>
  </si>
  <si>
    <r>
      <t>digester gas (m</t>
    </r>
    <r>
      <rPr>
        <b/>
        <vertAlign val="superscript"/>
        <sz val="12"/>
        <color indexed="8"/>
        <rFont val="Calibri"/>
      </rPr>
      <t>3</t>
    </r>
    <r>
      <rPr>
        <b/>
        <sz val="12"/>
        <color indexed="8"/>
        <rFont val="Calibri"/>
      </rPr>
      <t xml:space="preserve"> /day) x FCH4  x p(CH4) x (1-DE) x 365.25 x 10-6 x GWP </t>
    </r>
  </si>
  <si>
    <t>Landfill gas</t>
  </si>
  <si>
    <r>
      <t>Measured cubic meters of landfill gas produced per day (m</t>
    </r>
    <r>
      <rPr>
        <vertAlign val="superscript"/>
        <sz val="12"/>
        <rFont val="Calibri"/>
      </rPr>
      <t>3</t>
    </r>
    <r>
      <rPr>
        <sz val="12"/>
        <rFont val="Calibri"/>
      </rPr>
      <t>/day)</t>
    </r>
  </si>
  <si>
    <r>
      <t>FCH</t>
    </r>
    <r>
      <rPr>
        <vertAlign val="subscript"/>
        <sz val="12"/>
        <rFont val="Calibri"/>
      </rPr>
      <t>4</t>
    </r>
  </si>
  <si>
    <r>
      <t>Fraction of CH</t>
    </r>
    <r>
      <rPr>
        <vertAlign val="subscript"/>
        <sz val="12"/>
        <rFont val="Calibri"/>
      </rPr>
      <t>4</t>
    </r>
    <r>
      <rPr>
        <sz val="12"/>
        <rFont val="Calibri"/>
      </rPr>
      <t xml:space="preserve"> in LFG</t>
    </r>
  </si>
  <si>
    <r>
      <t>p(CH</t>
    </r>
    <r>
      <rPr>
        <vertAlign val="subscript"/>
        <sz val="12"/>
        <rFont val="Calibri"/>
      </rPr>
      <t>4</t>
    </r>
    <r>
      <rPr>
        <sz val="12"/>
        <rFont val="Calibri"/>
      </rPr>
      <t>)</t>
    </r>
  </si>
  <si>
    <r>
      <t>Density of CH</t>
    </r>
    <r>
      <rPr>
        <vertAlign val="subscript"/>
        <sz val="12"/>
        <rFont val="Calibri"/>
      </rPr>
      <t>4</t>
    </r>
    <r>
      <rPr>
        <sz val="12"/>
        <rFont val="Calibri"/>
      </rPr>
      <t xml:space="preserve"> at standard conditions (g/m3)</t>
    </r>
  </si>
  <si>
    <t>DE</t>
  </si>
  <si>
    <r>
      <t>CH</t>
    </r>
    <r>
      <rPr>
        <vertAlign val="subscript"/>
        <sz val="12"/>
        <rFont val="Calibri"/>
      </rPr>
      <t>4</t>
    </r>
    <r>
      <rPr>
        <sz val="12"/>
        <rFont val="Calibri"/>
      </rPr>
      <t xml:space="preserve"> destructive efficiency</t>
    </r>
  </si>
  <si>
    <t>Days/year</t>
  </si>
  <si>
    <t>Conversion factor (days/year)</t>
  </si>
  <si>
    <r>
      <t>10</t>
    </r>
    <r>
      <rPr>
        <vertAlign val="superscript"/>
        <sz val="12"/>
        <rFont val="Calibri"/>
      </rPr>
      <t>-6</t>
    </r>
  </si>
  <si>
    <t>Conversion factor (g to t)</t>
  </si>
  <si>
    <r>
      <t>GWP</t>
    </r>
    <r>
      <rPr>
        <vertAlign val="subscript"/>
        <sz val="12"/>
        <rFont val="Calibri"/>
      </rPr>
      <t>CH4</t>
    </r>
  </si>
  <si>
    <r>
      <t>Global warming potential, CH</t>
    </r>
    <r>
      <rPr>
        <vertAlign val="subscript"/>
        <sz val="12"/>
        <rFont val="Calibri"/>
      </rPr>
      <t>4</t>
    </r>
    <r>
      <rPr>
        <sz val="12"/>
        <rFont val="Calibri"/>
      </rPr>
      <t xml:space="preserve"> (IPCC AR4)</t>
    </r>
  </si>
  <si>
    <r>
      <t>Adapted from ICLEI USA Local Government Operations Protocol,</t>
    </r>
    <r>
      <rPr>
        <i/>
        <sz val="12"/>
        <rFont val="Calibri"/>
        <family val="2"/>
      </rPr>
      <t xml:space="preserve"> Equation 10.1</t>
    </r>
    <r>
      <rPr>
        <sz val="12"/>
        <rFont val="Calibri"/>
      </rPr>
      <t xml:space="preserve"> (Wastewater CH</t>
    </r>
    <r>
      <rPr>
        <vertAlign val="subscript"/>
        <sz val="12"/>
        <rFont val="Calibri"/>
      </rPr>
      <t>4</t>
    </r>
    <r>
      <rPr>
        <sz val="12"/>
        <rFont val="Calibri"/>
      </rPr>
      <t>)</t>
    </r>
  </si>
  <si>
    <r>
      <t>Annual biogenic CO</t>
    </r>
    <r>
      <rPr>
        <b/>
        <vertAlign val="subscript"/>
        <sz val="12"/>
        <rFont val="Calibri"/>
      </rPr>
      <t>2</t>
    </r>
    <r>
      <rPr>
        <b/>
        <sz val="12"/>
        <rFont val="Calibri"/>
      </rPr>
      <t xml:space="preserve"> emissions = </t>
    </r>
  </si>
  <si>
    <r>
      <t>landfill gas (m</t>
    </r>
    <r>
      <rPr>
        <b/>
        <vertAlign val="superscript"/>
        <sz val="12"/>
        <color indexed="8"/>
        <rFont val="Calibri"/>
      </rPr>
      <t>3</t>
    </r>
    <r>
      <rPr>
        <b/>
        <sz val="12"/>
        <color indexed="8"/>
        <rFont val="Calibri"/>
      </rPr>
      <t xml:space="preserve"> /day) x GJ</t>
    </r>
    <r>
      <rPr>
        <b/>
        <vertAlign val="subscript"/>
        <sz val="12"/>
        <color indexed="8"/>
        <rFont val="Calibri"/>
      </rPr>
      <t>CO2</t>
    </r>
    <r>
      <rPr>
        <b/>
        <sz val="12"/>
        <color indexed="8"/>
        <rFont val="Calibri"/>
      </rPr>
      <t xml:space="preserve"> x EF</t>
    </r>
    <r>
      <rPr>
        <b/>
        <vertAlign val="subscript"/>
        <sz val="12"/>
        <color indexed="8"/>
        <rFont val="Calibri"/>
      </rPr>
      <t>CO2</t>
    </r>
    <r>
      <rPr>
        <b/>
        <sz val="12"/>
        <color indexed="8"/>
        <rFont val="Calibri"/>
      </rPr>
      <t xml:space="preserve"> X 365.25 x 10</t>
    </r>
    <r>
      <rPr>
        <b/>
        <vertAlign val="superscript"/>
        <sz val="12"/>
        <color indexed="8"/>
        <rFont val="Calibri"/>
      </rPr>
      <t>-3</t>
    </r>
  </si>
  <si>
    <t>ft3/m3</t>
  </si>
  <si>
    <t>MMBtu/ft3</t>
  </si>
  <si>
    <r>
      <t>GJ</t>
    </r>
    <r>
      <rPr>
        <vertAlign val="subscript"/>
        <sz val="12"/>
        <rFont val="Calibri"/>
      </rPr>
      <t>CO2</t>
    </r>
  </si>
  <si>
    <r>
      <t>GJ content of biogas (GJ/m</t>
    </r>
    <r>
      <rPr>
        <vertAlign val="superscript"/>
        <sz val="12"/>
        <rFont val="Calibri"/>
      </rPr>
      <t>3</t>
    </r>
    <r>
      <rPr>
        <sz val="12"/>
        <rFont val="Calibri"/>
      </rPr>
      <t>)</t>
    </r>
  </si>
  <si>
    <t>MMBtu/m3</t>
  </si>
  <si>
    <r>
      <t>EF</t>
    </r>
    <r>
      <rPr>
        <vertAlign val="subscript"/>
        <sz val="12"/>
        <rFont val="Calibri"/>
      </rPr>
      <t>CO2</t>
    </r>
  </si>
  <si>
    <r>
      <t>Emission factor for CO</t>
    </r>
    <r>
      <rPr>
        <vertAlign val="subscript"/>
        <sz val="12"/>
        <rFont val="Calibri"/>
      </rPr>
      <t>2</t>
    </r>
    <r>
      <rPr>
        <sz val="12"/>
        <rFont val="Calibri"/>
      </rPr>
      <t xml:space="preserve"> (kgCO</t>
    </r>
    <r>
      <rPr>
        <vertAlign val="subscript"/>
        <sz val="12"/>
        <rFont val="Calibri"/>
      </rPr>
      <t>2</t>
    </r>
    <r>
      <rPr>
        <sz val="12"/>
        <rFont val="Calibri"/>
      </rPr>
      <t>/GJ)</t>
    </r>
  </si>
  <si>
    <t>GJ/MMBtu</t>
  </si>
  <si>
    <t>GJ/m3</t>
  </si>
  <si>
    <t>t/kg</t>
  </si>
  <si>
    <t>Conversion factor (kg to t)</t>
  </si>
  <si>
    <t>kgCO2/MMBtu</t>
  </si>
  <si>
    <r>
      <t xml:space="preserve">Adapted from ICLEI USA U.S. Community Protocol for Accounting and Reporting of Greenhouse Gas Emissions, </t>
    </r>
    <r>
      <rPr>
        <i/>
        <sz val="12"/>
        <rFont val="Calibri"/>
        <family val="2"/>
      </rPr>
      <t>Equation WW.3</t>
    </r>
    <r>
      <rPr>
        <sz val="12"/>
        <rFont val="Calibri"/>
      </rPr>
      <t xml:space="preserve"> (Biogenic CO</t>
    </r>
    <r>
      <rPr>
        <vertAlign val="subscript"/>
        <sz val="12"/>
        <rFont val="Calibri"/>
      </rPr>
      <t>2</t>
    </r>
    <r>
      <rPr>
        <sz val="12"/>
        <rFont val="Calibri"/>
      </rPr>
      <t xml:space="preserve"> emissions from digester gas combustion)</t>
    </r>
  </si>
  <si>
    <t>kgCO2/GJ</t>
  </si>
  <si>
    <r>
      <t>Annual CH</t>
    </r>
    <r>
      <rPr>
        <b/>
        <vertAlign val="subscript"/>
        <sz val="12"/>
        <rFont val="Calibri"/>
      </rPr>
      <t>4</t>
    </r>
    <r>
      <rPr>
        <b/>
        <sz val="12"/>
        <rFont val="Calibri"/>
      </rPr>
      <t xml:space="preserve"> emissions (tCO</t>
    </r>
    <r>
      <rPr>
        <b/>
        <vertAlign val="subscript"/>
        <sz val="12"/>
        <rFont val="Calibri"/>
      </rPr>
      <t>2</t>
    </r>
    <r>
      <rPr>
        <b/>
        <sz val="12"/>
        <rFont val="Calibri"/>
      </rPr>
      <t xml:space="preserve">e) = </t>
    </r>
  </si>
  <si>
    <r>
      <t>landfill gas (m</t>
    </r>
    <r>
      <rPr>
        <b/>
        <vertAlign val="superscript"/>
        <sz val="12"/>
        <color indexed="8"/>
        <rFont val="Calibri"/>
      </rPr>
      <t>3/</t>
    </r>
    <r>
      <rPr>
        <b/>
        <sz val="12"/>
        <color indexed="8"/>
        <rFont val="Calibri"/>
      </rPr>
      <t>day) x f</t>
    </r>
    <r>
      <rPr>
        <b/>
        <vertAlign val="subscript"/>
        <sz val="12"/>
        <color indexed="8"/>
        <rFont val="Calibri"/>
      </rPr>
      <t>CH4</t>
    </r>
    <r>
      <rPr>
        <b/>
        <sz val="12"/>
        <color indexed="8"/>
        <rFont val="Calibri"/>
      </rPr>
      <t xml:space="preserve"> x GJ</t>
    </r>
    <r>
      <rPr>
        <b/>
        <vertAlign val="subscript"/>
        <sz val="12"/>
        <color indexed="8"/>
        <rFont val="Calibri"/>
      </rPr>
      <t xml:space="preserve">CH4 </t>
    </r>
    <r>
      <rPr>
        <b/>
        <sz val="12"/>
        <color indexed="8"/>
        <rFont val="Calibri"/>
      </rPr>
      <t>x EF</t>
    </r>
    <r>
      <rPr>
        <b/>
        <vertAlign val="subscript"/>
        <sz val="12"/>
        <color indexed="8"/>
        <rFont val="Calibri"/>
      </rPr>
      <t>CH4</t>
    </r>
    <r>
      <rPr>
        <b/>
        <sz val="12"/>
        <color indexed="8"/>
        <rFont val="Calibri"/>
      </rPr>
      <t xml:space="preserve"> x 365.25 x 10</t>
    </r>
    <r>
      <rPr>
        <b/>
        <vertAlign val="superscript"/>
        <sz val="12"/>
        <color indexed="8"/>
        <rFont val="Calibri"/>
      </rPr>
      <t>-3</t>
    </r>
    <r>
      <rPr>
        <b/>
        <sz val="12"/>
        <color indexed="8"/>
        <rFont val="Calibri"/>
      </rPr>
      <t xml:space="preserve"> x GWP</t>
    </r>
  </si>
  <si>
    <r>
      <t>Cubic meters of landfill gas produced per day (m</t>
    </r>
    <r>
      <rPr>
        <vertAlign val="superscript"/>
        <sz val="12"/>
        <rFont val="Calibri"/>
      </rPr>
      <t>3</t>
    </r>
    <r>
      <rPr>
        <sz val="12"/>
        <rFont val="Calibri"/>
      </rPr>
      <t>/day)</t>
    </r>
  </si>
  <si>
    <t>MMBtu/scf natural gas</t>
  </si>
  <si>
    <r>
      <t>f</t>
    </r>
    <r>
      <rPr>
        <vertAlign val="subscript"/>
        <sz val="12"/>
        <rFont val="Calibri"/>
      </rPr>
      <t>CH4</t>
    </r>
  </si>
  <si>
    <r>
      <t>Fraction of CH</t>
    </r>
    <r>
      <rPr>
        <vertAlign val="subscript"/>
        <sz val="12"/>
        <rFont val="Calibri"/>
      </rPr>
      <t>4</t>
    </r>
    <r>
      <rPr>
        <sz val="12"/>
        <rFont val="Calibri"/>
      </rPr>
      <t xml:space="preserve"> in landfill gas</t>
    </r>
  </si>
  <si>
    <t>MMBtu/m3 natural gas</t>
  </si>
  <si>
    <r>
      <t>GJ</t>
    </r>
    <r>
      <rPr>
        <vertAlign val="subscript"/>
        <sz val="12"/>
        <rFont val="Calibri"/>
      </rPr>
      <t>CH4</t>
    </r>
  </si>
  <si>
    <r>
      <t>GJ content of CH</t>
    </r>
    <r>
      <rPr>
        <vertAlign val="subscript"/>
        <sz val="12"/>
        <rFont val="Calibri"/>
      </rPr>
      <t>4</t>
    </r>
    <r>
      <rPr>
        <sz val="12"/>
        <rFont val="Calibri"/>
      </rPr>
      <t xml:space="preserve"> (GJ/m</t>
    </r>
    <r>
      <rPr>
        <vertAlign val="superscript"/>
        <sz val="12"/>
        <rFont val="Calibri"/>
      </rPr>
      <t>3</t>
    </r>
    <r>
      <rPr>
        <sz val="12"/>
        <rFont val="Calibri"/>
      </rPr>
      <t>)</t>
    </r>
  </si>
  <si>
    <r>
      <t>EF</t>
    </r>
    <r>
      <rPr>
        <vertAlign val="subscript"/>
        <sz val="12"/>
        <rFont val="Calibri"/>
      </rPr>
      <t>CH4</t>
    </r>
  </si>
  <si>
    <r>
      <t>CH</t>
    </r>
    <r>
      <rPr>
        <vertAlign val="subscript"/>
        <sz val="12"/>
        <rFont val="Calibri"/>
      </rPr>
      <t>4</t>
    </r>
    <r>
      <rPr>
        <sz val="12"/>
        <rFont val="Calibri"/>
      </rPr>
      <t xml:space="preserve"> emissions factor (kgCH</t>
    </r>
    <r>
      <rPr>
        <vertAlign val="subscript"/>
        <sz val="12"/>
        <rFont val="Calibri"/>
      </rPr>
      <t>4</t>
    </r>
    <r>
      <rPr>
        <sz val="12"/>
        <rFont val="Calibri"/>
      </rPr>
      <t>/GJ)</t>
    </r>
  </si>
  <si>
    <t>kgCH4/MMBtu</t>
  </si>
  <si>
    <t>kgCH4/GJ</t>
  </si>
  <si>
    <r>
      <t>10</t>
    </r>
    <r>
      <rPr>
        <vertAlign val="superscript"/>
        <sz val="12"/>
        <rFont val="Calibri"/>
      </rPr>
      <t>-3</t>
    </r>
  </si>
  <si>
    <r>
      <t xml:space="preserve">Adapted from ICLEI USA U.S. Community Protocol for Accounting and Reporting of Greenhouse Gas Emissions, </t>
    </r>
    <r>
      <rPr>
        <i/>
        <sz val="12"/>
        <rFont val="Calibri"/>
        <family val="2"/>
      </rPr>
      <t xml:space="preserve">Equation WW.1.a </t>
    </r>
    <r>
      <rPr>
        <sz val="12"/>
        <rFont val="Calibri"/>
      </rPr>
      <t>CH</t>
    </r>
    <r>
      <rPr>
        <vertAlign val="subscript"/>
        <sz val="12"/>
        <rFont val="Calibri"/>
      </rPr>
      <t>4</t>
    </r>
    <r>
      <rPr>
        <sz val="12"/>
        <rFont val="Calibri"/>
      </rPr>
      <t xml:space="preserve"> emissions from Devices Designed to Combust Digester Gas, with CH</t>
    </r>
    <r>
      <rPr>
        <vertAlign val="subscript"/>
        <sz val="12"/>
        <rFont val="Calibri"/>
      </rPr>
      <t>4</t>
    </r>
    <r>
      <rPr>
        <sz val="12"/>
        <rFont val="Calibri"/>
      </rPr>
      <t xml:space="preserve"> Content Known </t>
    </r>
  </si>
  <si>
    <t>53.06 kg co2</t>
  </si>
  <si>
    <t>1 mmtbu</t>
  </si>
  <si>
    <t>1 mmbtu</t>
  </si>
  <si>
    <t>1.05 gj</t>
  </si>
  <si>
    <r>
      <t>Annual N</t>
    </r>
    <r>
      <rPr>
        <b/>
        <vertAlign val="subscript"/>
        <sz val="12"/>
        <rFont val="Calibri"/>
      </rPr>
      <t>2</t>
    </r>
    <r>
      <rPr>
        <b/>
        <sz val="12"/>
        <rFont val="Calibri"/>
      </rPr>
      <t>O emissions (tCO</t>
    </r>
    <r>
      <rPr>
        <b/>
        <vertAlign val="subscript"/>
        <sz val="12"/>
        <rFont val="Calibri"/>
      </rPr>
      <t>2</t>
    </r>
    <r>
      <rPr>
        <b/>
        <sz val="12"/>
        <rFont val="Calibri"/>
      </rPr>
      <t>e) = (m3 digester gas x f</t>
    </r>
    <r>
      <rPr>
        <b/>
        <vertAlign val="subscript"/>
        <sz val="12"/>
        <rFont val="Calibri"/>
      </rPr>
      <t>CH4</t>
    </r>
    <r>
      <rPr>
        <b/>
        <sz val="12"/>
        <rFont val="Calibri"/>
      </rPr>
      <t xml:space="preserve"> x GJ</t>
    </r>
    <r>
      <rPr>
        <b/>
        <vertAlign val="subscript"/>
        <sz val="12"/>
        <rFont val="Calibri"/>
      </rPr>
      <t>CH4</t>
    </r>
    <r>
      <rPr>
        <b/>
        <sz val="12"/>
        <rFont val="Calibri"/>
      </rPr>
      <t xml:space="preserve"> x EF</t>
    </r>
    <r>
      <rPr>
        <b/>
        <vertAlign val="subscript"/>
        <sz val="12"/>
        <rFont val="Calibri"/>
      </rPr>
      <t>N2O</t>
    </r>
    <r>
      <rPr>
        <b/>
        <sz val="12"/>
        <rFont val="Calibri"/>
      </rPr>
      <t xml:space="preserve"> x 365.25 x 10</t>
    </r>
    <r>
      <rPr>
        <b/>
        <vertAlign val="superscript"/>
        <sz val="12"/>
        <rFont val="Calibri"/>
      </rPr>
      <t>-3</t>
    </r>
    <r>
      <rPr>
        <b/>
        <sz val="12"/>
        <rFont val="Calibri"/>
      </rPr>
      <t>) x GWP</t>
    </r>
  </si>
  <si>
    <r>
      <t>GJ</t>
    </r>
    <r>
      <rPr>
        <vertAlign val="subscript"/>
        <sz val="12"/>
        <rFont val="Calibri"/>
      </rPr>
      <t>N2O</t>
    </r>
  </si>
  <si>
    <r>
      <t>EF</t>
    </r>
    <r>
      <rPr>
        <vertAlign val="subscript"/>
        <sz val="12"/>
        <rFont val="Calibri"/>
      </rPr>
      <t>N2O</t>
    </r>
  </si>
  <si>
    <r>
      <t>N</t>
    </r>
    <r>
      <rPr>
        <vertAlign val="subscript"/>
        <sz val="12"/>
        <rFont val="Calibri"/>
      </rPr>
      <t>2</t>
    </r>
    <r>
      <rPr>
        <sz val="12"/>
        <rFont val="Calibri"/>
      </rPr>
      <t>O emissions factor (kgN</t>
    </r>
    <r>
      <rPr>
        <vertAlign val="subscript"/>
        <sz val="12"/>
        <rFont val="Calibri"/>
      </rPr>
      <t>2</t>
    </r>
    <r>
      <rPr>
        <sz val="12"/>
        <rFont val="Calibri"/>
      </rPr>
      <t>O/GJ)</t>
    </r>
  </si>
  <si>
    <t>kgN2O/MMBtu</t>
  </si>
  <si>
    <t>kgN2O/GJ</t>
  </si>
  <si>
    <r>
      <t>GWP</t>
    </r>
    <r>
      <rPr>
        <vertAlign val="subscript"/>
        <sz val="12"/>
        <rFont val="Calibri"/>
      </rPr>
      <t>N2O</t>
    </r>
  </si>
  <si>
    <r>
      <t>Global warming potential, N</t>
    </r>
    <r>
      <rPr>
        <vertAlign val="subscript"/>
        <sz val="12"/>
        <rFont val="Calibri"/>
      </rPr>
      <t>2</t>
    </r>
    <r>
      <rPr>
        <sz val="12"/>
        <rFont val="Calibri"/>
      </rPr>
      <t>O (IPCC AR4)</t>
    </r>
  </si>
  <si>
    <r>
      <t xml:space="preserve">Adapted from ICLEI USA U.S. Community Protocol for Accounting and Reporting of Greenhouse Gas Emissions, </t>
    </r>
    <r>
      <rPr>
        <i/>
        <sz val="12"/>
        <rFont val="Calibri"/>
        <family val="2"/>
      </rPr>
      <t xml:space="preserve">Equation WW.2.a </t>
    </r>
    <r>
      <rPr>
        <sz val="12"/>
        <rFont val="Calibri"/>
      </rPr>
      <t>N</t>
    </r>
    <r>
      <rPr>
        <vertAlign val="subscript"/>
        <sz val="12"/>
        <rFont val="Calibri"/>
      </rPr>
      <t>2</t>
    </r>
    <r>
      <rPr>
        <sz val="12"/>
        <rFont val="Calibri"/>
      </rPr>
      <t>O emissions from Devices Designed to Combust Digester Gas, with CH</t>
    </r>
    <r>
      <rPr>
        <vertAlign val="subscript"/>
        <sz val="12"/>
        <rFont val="Calibri"/>
      </rPr>
      <t>4</t>
    </r>
    <r>
      <rPr>
        <sz val="12"/>
        <rFont val="Calibri"/>
      </rPr>
      <t xml:space="preserve"> Content Known </t>
    </r>
  </si>
  <si>
    <t>Incomplete combustion of landfill gas</t>
  </si>
  <si>
    <t>Measured cubic meters of landfill gas produced per day</t>
  </si>
  <si>
    <r>
      <t>Fraction of CH</t>
    </r>
    <r>
      <rPr>
        <b/>
        <vertAlign val="subscript"/>
        <sz val="12"/>
        <color rgb="FFFFFFFF"/>
        <rFont val="Calibri"/>
      </rPr>
      <t>4</t>
    </r>
    <r>
      <rPr>
        <b/>
        <sz val="12"/>
        <color rgb="FFFFFFFF"/>
        <rFont val="Calibri"/>
      </rPr>
      <t xml:space="preserve"> in LFG</t>
    </r>
  </si>
  <si>
    <r>
      <t>Density of CH</t>
    </r>
    <r>
      <rPr>
        <b/>
        <vertAlign val="subscript"/>
        <sz val="12"/>
        <color theme="0"/>
        <rFont val="Calibri"/>
      </rPr>
      <t>4</t>
    </r>
    <r>
      <rPr>
        <b/>
        <sz val="12"/>
        <color theme="0"/>
        <rFont val="Calibri"/>
      </rPr>
      <t xml:space="preserve"> at standard conditions (g/m</t>
    </r>
    <r>
      <rPr>
        <b/>
        <vertAlign val="superscript"/>
        <sz val="12"/>
        <color theme="0"/>
        <rFont val="Calibri"/>
      </rPr>
      <t>3</t>
    </r>
    <r>
      <rPr>
        <b/>
        <sz val="12"/>
        <color theme="0"/>
        <rFont val="Calibri"/>
      </rPr>
      <t>)</t>
    </r>
  </si>
  <si>
    <t>CH4 destructive efficiency</t>
  </si>
  <si>
    <t>t/g</t>
  </si>
  <si>
    <r>
      <t>GJ content of biogas (GJ/m</t>
    </r>
    <r>
      <rPr>
        <vertAlign val="superscript"/>
        <sz val="12"/>
        <color theme="0"/>
        <rFont val="Calibri"/>
      </rPr>
      <t>3</t>
    </r>
    <r>
      <rPr>
        <sz val="12"/>
        <color theme="0"/>
        <rFont val="Calibri"/>
      </rPr>
      <t>)</t>
    </r>
  </si>
  <si>
    <t>Conversion factor (day/year)</t>
  </si>
  <si>
    <r>
      <t>Total CO</t>
    </r>
    <r>
      <rPr>
        <b/>
        <vertAlign val="subscript"/>
        <sz val="12"/>
        <color theme="0"/>
        <rFont val="Calibri"/>
      </rPr>
      <t>2</t>
    </r>
    <r>
      <rPr>
        <b/>
        <sz val="12"/>
        <color theme="0"/>
        <rFont val="Calibri"/>
      </rPr>
      <t>(b)</t>
    </r>
  </si>
  <si>
    <t>IPCC 2006 Volume 5 Chapter 2: Waste Generation, Composition and Management Data, Table 2.3: MSW composition data by percent - regional defaults</t>
  </si>
  <si>
    <t>Eastern Asia</t>
  </si>
  <si>
    <t>South-Central Asia</t>
  </si>
  <si>
    <t>South-Eastern Asia</t>
  </si>
  <si>
    <t>Western Asia &amp; Middle East</t>
  </si>
  <si>
    <t>Eastern Africa</t>
  </si>
  <si>
    <t>Middle Africa</t>
  </si>
  <si>
    <t>Northern Africa</t>
  </si>
  <si>
    <t>Southern Africa</t>
  </si>
  <si>
    <t>Western Africa</t>
  </si>
  <si>
    <t>Eastern Europe</t>
  </si>
  <si>
    <t>Northern Europe</t>
  </si>
  <si>
    <t>Southern Europe</t>
  </si>
  <si>
    <t>Western Europe</t>
  </si>
  <si>
    <t>Australia and New Zealand</t>
  </si>
  <si>
    <t>Rest of Oceania</t>
  </si>
  <si>
    <t>Central America</t>
  </si>
  <si>
    <t>South America</t>
  </si>
  <si>
    <t>Caribbean</t>
  </si>
  <si>
    <t>Note 1: Data are based on weight of wet waste of MSW without industrial waste at generation around year 2000.</t>
  </si>
  <si>
    <t>Note 2: The region-specific values are calculated from national, partly incomplete composition data. The percentages given may therefore not add up to 100%. Some regions may not have data for some waste types - blanks in the table represent missing data.</t>
  </si>
  <si>
    <t>IPCC 2006 Volume 5 Chapter 3: Solid Waste Disposal, Table 3.3: Recommended Default Methane Generation Rate (k) Values Under Tier 1</t>
  </si>
  <si>
    <t>Type of Waste</t>
  </si>
  <si>
    <t>Climate Zone</t>
  </si>
  <si>
    <t>Slowly degrading waste</t>
  </si>
  <si>
    <t>Paper/textiles waste</t>
  </si>
  <si>
    <t>0.03 - 0.05</t>
  </si>
  <si>
    <t>0.05 - 0.07</t>
  </si>
  <si>
    <t>0.04 - 0.06</t>
  </si>
  <si>
    <t>0.06 - 0.085</t>
  </si>
  <si>
    <t>Wood/straw waste</t>
  </si>
  <si>
    <t>0.01 - 0.03</t>
  </si>
  <si>
    <t>0.02 - 0.04</t>
  </si>
  <si>
    <t>Moderately degrading waste</t>
  </si>
  <si>
    <t>0.06 - 0.1</t>
  </si>
  <si>
    <t>0.05 - 0.08</t>
  </si>
  <si>
    <t>0.15 - 0.2</t>
  </si>
  <si>
    <t>Rapidly degrading waste</t>
  </si>
  <si>
    <t>Food waste/Sewage sludge</t>
  </si>
  <si>
    <t>0.1 - 0.2</t>
  </si>
  <si>
    <t>0.07 - 0.1</t>
  </si>
  <si>
    <t>0.17 - 0.7</t>
  </si>
  <si>
    <t>Bulk waste</t>
  </si>
  <si>
    <t>0.08 - 0.1</t>
  </si>
  <si>
    <t xml:space="preserve">MAT – Mean annual temperature; </t>
  </si>
  <si>
    <t xml:space="preserve">MAP – Mean annual precipitation; </t>
  </si>
  <si>
    <t xml:space="preserve">PET  – Potential evapotranspiration. </t>
  </si>
  <si>
    <t>The average annual MAT, MAP and PET during the time series selected to estimate the emission and indicated by the nearest representative meteorological station. The information available is not adequate to subdivide temperate into cold (&lt;10°C) and warm (10-20°C). In this IPCC classification for warm temperate, MAT is referred to the growing season.</t>
  </si>
  <si>
    <t>FLARING AND INCOMPLETE COMBUSTION OF DIGESTER GAS</t>
  </si>
  <si>
    <t>Equation</t>
  </si>
  <si>
    <t>Abbreviation</t>
  </si>
  <si>
    <t>Flaring - incomplete combustion of digester gas</t>
  </si>
  <si>
    <r>
      <t>p(CH</t>
    </r>
    <r>
      <rPr>
        <vertAlign val="subscript"/>
        <sz val="11"/>
        <rFont val="Calibri"/>
      </rPr>
      <t>4</t>
    </r>
    <r>
      <rPr>
        <sz val="11"/>
        <rFont val="Calibri"/>
        <family val="2"/>
      </rPr>
      <t>)</t>
    </r>
  </si>
  <si>
    <r>
      <t>Density of CH</t>
    </r>
    <r>
      <rPr>
        <vertAlign val="subscript"/>
        <sz val="11"/>
        <rFont val="Calibri"/>
      </rPr>
      <t>4</t>
    </r>
    <r>
      <rPr>
        <sz val="11"/>
        <rFont val="Calibri"/>
        <family val="2"/>
      </rPr>
      <t xml:space="preserve"> at standard conditions (g/m3)</t>
    </r>
  </si>
  <si>
    <r>
      <t>CH</t>
    </r>
    <r>
      <rPr>
        <vertAlign val="subscript"/>
        <sz val="11"/>
        <rFont val="Calibri"/>
      </rPr>
      <t>4</t>
    </r>
    <r>
      <rPr>
        <sz val="11"/>
        <rFont val="Calibri"/>
        <family val="2"/>
      </rPr>
      <t xml:space="preserve"> destructive efficiency</t>
    </r>
  </si>
  <si>
    <t>days/year</t>
  </si>
  <si>
    <r>
      <t>10</t>
    </r>
    <r>
      <rPr>
        <vertAlign val="superscript"/>
        <sz val="11"/>
        <rFont val="Calibri"/>
      </rPr>
      <t>-6</t>
    </r>
  </si>
  <si>
    <r>
      <t>Biogenic CO</t>
    </r>
    <r>
      <rPr>
        <vertAlign val="subscript"/>
        <sz val="11"/>
        <color theme="1"/>
        <rFont val="Calibri"/>
        <family val="2"/>
      </rPr>
      <t>2</t>
    </r>
    <r>
      <rPr>
        <sz val="11"/>
        <color theme="1"/>
        <rFont val="Calibri"/>
        <family val="2"/>
      </rPr>
      <t xml:space="preserve"> from combustion of landfill gas</t>
    </r>
  </si>
  <si>
    <r>
      <t>GJ</t>
    </r>
    <r>
      <rPr>
        <vertAlign val="subscript"/>
        <sz val="11"/>
        <rFont val="Calibri"/>
      </rPr>
      <t>CO2</t>
    </r>
  </si>
  <si>
    <r>
      <t>GJ content of biogas (GJ/m</t>
    </r>
    <r>
      <rPr>
        <vertAlign val="superscript"/>
        <sz val="11"/>
        <rFont val="Calibri"/>
      </rPr>
      <t>3</t>
    </r>
    <r>
      <rPr>
        <sz val="11"/>
        <rFont val="Calibri"/>
        <family val="2"/>
      </rPr>
      <t>)</t>
    </r>
  </si>
  <si>
    <r>
      <t>EF</t>
    </r>
    <r>
      <rPr>
        <vertAlign val="subscript"/>
        <sz val="11"/>
        <rFont val="Calibri"/>
      </rPr>
      <t>CO2</t>
    </r>
  </si>
  <si>
    <r>
      <t>Emission factor for CO</t>
    </r>
    <r>
      <rPr>
        <vertAlign val="subscript"/>
        <sz val="11"/>
        <color indexed="8"/>
        <rFont val="Calibri"/>
        <family val="2"/>
      </rPr>
      <t>2</t>
    </r>
    <r>
      <rPr>
        <sz val="11"/>
        <color indexed="8"/>
        <rFont val="Calibri"/>
        <family val="2"/>
      </rPr>
      <t xml:space="preserve"> (kgCO</t>
    </r>
    <r>
      <rPr>
        <vertAlign val="subscript"/>
        <sz val="11"/>
        <color indexed="8"/>
        <rFont val="Calibri"/>
        <family val="2"/>
      </rPr>
      <t>2</t>
    </r>
    <r>
      <rPr>
        <sz val="11"/>
        <color indexed="8"/>
        <rFont val="Calibri"/>
        <family val="2"/>
      </rPr>
      <t>/GJ)</t>
    </r>
  </si>
  <si>
    <r>
      <t>Combustion of landfill gas - CH</t>
    </r>
    <r>
      <rPr>
        <vertAlign val="subscript"/>
        <sz val="11"/>
        <color theme="1"/>
        <rFont val="Calibri"/>
        <scheme val="minor"/>
      </rPr>
      <t>4</t>
    </r>
  </si>
  <si>
    <r>
      <t>GJ</t>
    </r>
    <r>
      <rPr>
        <vertAlign val="subscript"/>
        <sz val="11"/>
        <rFont val="Calibri"/>
      </rPr>
      <t>CH4</t>
    </r>
  </si>
  <si>
    <r>
      <t>GJ content of CH</t>
    </r>
    <r>
      <rPr>
        <vertAlign val="subscript"/>
        <sz val="11"/>
        <rFont val="Calibri"/>
      </rPr>
      <t>4</t>
    </r>
    <r>
      <rPr>
        <sz val="11"/>
        <rFont val="Calibri"/>
        <family val="2"/>
      </rPr>
      <t xml:space="preserve"> (GJ/m</t>
    </r>
    <r>
      <rPr>
        <vertAlign val="superscript"/>
        <sz val="11"/>
        <rFont val="Calibri"/>
      </rPr>
      <t>3</t>
    </r>
    <r>
      <rPr>
        <sz val="11"/>
        <rFont val="Calibri"/>
        <family val="2"/>
      </rPr>
      <t>)</t>
    </r>
  </si>
  <si>
    <r>
      <t>EF</t>
    </r>
    <r>
      <rPr>
        <vertAlign val="subscript"/>
        <sz val="11"/>
        <rFont val="Calibri"/>
      </rPr>
      <t>CH4</t>
    </r>
  </si>
  <si>
    <r>
      <t>CH</t>
    </r>
    <r>
      <rPr>
        <vertAlign val="subscript"/>
        <sz val="11"/>
        <rFont val="Calibri"/>
      </rPr>
      <t>4</t>
    </r>
    <r>
      <rPr>
        <sz val="11"/>
        <rFont val="Calibri"/>
        <family val="2"/>
      </rPr>
      <t xml:space="preserve"> emissions factor (kgCH</t>
    </r>
    <r>
      <rPr>
        <vertAlign val="subscript"/>
        <sz val="11"/>
        <rFont val="Calibri"/>
      </rPr>
      <t>4</t>
    </r>
    <r>
      <rPr>
        <sz val="11"/>
        <rFont val="Calibri"/>
        <family val="2"/>
      </rPr>
      <t>/GJ)</t>
    </r>
  </si>
  <si>
    <r>
      <t>10</t>
    </r>
    <r>
      <rPr>
        <vertAlign val="superscript"/>
        <sz val="11"/>
        <rFont val="Calibri"/>
      </rPr>
      <t>-3</t>
    </r>
  </si>
  <si>
    <r>
      <t>Combustion of landfill gas - N</t>
    </r>
    <r>
      <rPr>
        <vertAlign val="subscript"/>
        <sz val="11"/>
        <color theme="1"/>
        <rFont val="Calibri"/>
        <family val="2"/>
      </rPr>
      <t>2</t>
    </r>
    <r>
      <rPr>
        <sz val="11"/>
        <color theme="1"/>
        <rFont val="Calibri"/>
        <family val="2"/>
      </rPr>
      <t>O</t>
    </r>
  </si>
  <si>
    <r>
      <t>GJ</t>
    </r>
    <r>
      <rPr>
        <vertAlign val="subscript"/>
        <sz val="11"/>
        <rFont val="Calibri"/>
      </rPr>
      <t>N2O</t>
    </r>
  </si>
  <si>
    <r>
      <t>EF</t>
    </r>
    <r>
      <rPr>
        <vertAlign val="subscript"/>
        <sz val="11"/>
        <rFont val="Calibri"/>
      </rPr>
      <t>N2O</t>
    </r>
  </si>
  <si>
    <r>
      <t>N</t>
    </r>
    <r>
      <rPr>
        <vertAlign val="subscript"/>
        <sz val="11"/>
        <rFont val="Calibri"/>
      </rPr>
      <t>2</t>
    </r>
    <r>
      <rPr>
        <sz val="11"/>
        <rFont val="Calibri"/>
        <family val="2"/>
      </rPr>
      <t>O emissions factor (kgN</t>
    </r>
    <r>
      <rPr>
        <vertAlign val="subscript"/>
        <sz val="11"/>
        <rFont val="Calibri"/>
      </rPr>
      <t>2</t>
    </r>
    <r>
      <rPr>
        <sz val="11"/>
        <rFont val="Calibri"/>
        <family val="2"/>
      </rPr>
      <t>O/GJ)</t>
    </r>
  </si>
  <si>
    <t xml:space="preserve">This tool has been designed to help cities estimate biogenic carbon dioxide (CO2b), methane (CH4), nitrous oxide (N2O) emissions from the disposal of solid waste in landfills or open dumps      </t>
  </si>
  <si>
    <t>For solid waste sent to landfills, cities must choose between the First Order Decay (FOD) methodology of the methane commitment method. If using the FOD method, the GPC recommends the use of the IPCC Waste Tool to calculate emissions from landfilled solid waste - this calculator calculates bulk waste only using the FOD method - multi-phase waste must use the IPCC Waste Tool.</t>
  </si>
  <si>
    <r>
      <t xml:space="preserve">The data under </t>
    </r>
    <r>
      <rPr>
        <sz val="12"/>
        <color theme="1"/>
        <rFont val="Calibri (Body)"/>
      </rPr>
      <t xml:space="preserve">the </t>
    </r>
    <r>
      <rPr>
        <i/>
        <sz val="12"/>
        <color theme="1"/>
        <rFont val="Calibri"/>
        <scheme val="minor"/>
      </rPr>
      <t>City information</t>
    </r>
    <r>
      <rPr>
        <sz val="12"/>
        <color theme="1"/>
        <rFont val="Calibri"/>
        <family val="2"/>
        <scheme val="minor"/>
      </rPr>
      <t xml:space="preserve"> </t>
    </r>
    <r>
      <rPr>
        <sz val="12"/>
        <color theme="1"/>
        <rFont val="Calibri (Body)"/>
      </rPr>
      <t xml:space="preserve">section below </t>
    </r>
    <r>
      <rPr>
        <sz val="12"/>
        <color theme="1"/>
        <rFont val="Calibri"/>
        <family val="2"/>
        <scheme val="minor"/>
      </rPr>
      <t>must be completed for the tool to estimate default emissions from landfills and open dumps.  Section A collects additional data for landfills and open dumps.</t>
    </r>
  </si>
  <si>
    <t>All default values and their sources can be found in section C. Data Tables below.</t>
  </si>
  <si>
    <t>Source: IPCC Good Practice Guidance and Uncertainty Management in National Greenhouse Gas Inventories (2000)</t>
  </si>
  <si>
    <r>
      <rPr>
        <b/>
        <sz val="18"/>
        <color theme="4"/>
        <rFont val="Calibri"/>
        <scheme val="minor"/>
      </rPr>
      <t>C. DATA TABLES</t>
    </r>
  </si>
  <si>
    <t>3. Emission summary</t>
  </si>
  <si>
    <t>A. Inventory boundary</t>
  </si>
  <si>
    <t>Name and country</t>
  </si>
  <si>
    <t>Inventory year (12 months, 2013 or later)</t>
  </si>
  <si>
    <t>Geographic boundary</t>
  </si>
  <si>
    <t>Resident population within city boundary</t>
  </si>
  <si>
    <t>GDP (US$) of economic activity within city boundary</t>
  </si>
  <si>
    <t>Predominant type of economy</t>
  </si>
  <si>
    <t>B. Inventory information</t>
  </si>
  <si>
    <t>GPC reporting level</t>
  </si>
  <si>
    <t>Greenhouse gases included in inventory</t>
  </si>
  <si>
    <t>Global Warming Potential</t>
  </si>
  <si>
    <t>Description of overall methodology</t>
  </si>
  <si>
    <t>Relevant local / national regulations</t>
  </si>
  <si>
    <t xml:space="preserve">Comments on change in total emissions </t>
  </si>
  <si>
    <t>Has the inventory been audited / verified?</t>
  </si>
  <si>
    <t>C. Inventory compiler</t>
  </si>
  <si>
    <t>Contact information</t>
  </si>
  <si>
    <t>Links</t>
  </si>
  <si>
    <t>D. Optional information items</t>
  </si>
  <si>
    <t>D1. Scope 2 emissions</t>
  </si>
  <si>
    <t>D2. Offset credit transactions</t>
  </si>
  <si>
    <t>D3. Renewable energy</t>
  </si>
  <si>
    <t>General</t>
  </si>
  <si>
    <t>Source (year, scale, description, source)</t>
  </si>
  <si>
    <t>GENERAL</t>
  </si>
  <si>
    <t>GPC reporting tool</t>
  </si>
  <si>
    <t>Gas - disaggregated where possible</t>
  </si>
  <si>
    <t>Scope and sector</t>
  </si>
  <si>
    <t>Unit (metric tonnes of CO2e)</t>
  </si>
  <si>
    <t>Biogenic CO2 (separate from fossil CO2)</t>
  </si>
  <si>
    <t>Totals (BASIC/BASIC+ and Territorial totals)</t>
  </si>
  <si>
    <t>Notation keys (if no emissions reported)</t>
  </si>
  <si>
    <t>Data quality assessment (default = low)</t>
  </si>
  <si>
    <t>Methodologies</t>
  </si>
  <si>
    <t>I - STATIONARY</t>
  </si>
  <si>
    <t>I.1 Residential</t>
  </si>
  <si>
    <t>I.2 Commercial</t>
  </si>
  <si>
    <t>I.3 Manufacturing</t>
  </si>
  <si>
    <t>I.4 Energy industries</t>
  </si>
  <si>
    <t>I.5 Agriculture</t>
  </si>
  <si>
    <t>I.6 Other</t>
  </si>
  <si>
    <t>1.7 Fugitive coal</t>
  </si>
  <si>
    <t>1.8 Fugitive gas/oil</t>
  </si>
  <si>
    <t>II - TRANSPORTATION</t>
  </si>
  <si>
    <t>II.1 On-road transportation</t>
  </si>
  <si>
    <t>II.2 Railways</t>
  </si>
  <si>
    <t>III.3 Waterborne navigation</t>
  </si>
  <si>
    <t>II.4 Aviation</t>
  </si>
  <si>
    <t>II.5 Off-road transportation</t>
  </si>
  <si>
    <t>III - WASTE</t>
  </si>
  <si>
    <t>III.1 Solid Waste</t>
  </si>
  <si>
    <t>III.2 Biological treatment of waste</t>
  </si>
  <si>
    <t>III.3 Incineration and open burning</t>
  </si>
  <si>
    <t>III.4 Wastewater treatment and discharge</t>
  </si>
  <si>
    <t>IV - IPPU</t>
  </si>
  <si>
    <t>V - AFOLU</t>
  </si>
  <si>
    <t>VI - OTHER SCOPE 3</t>
  </si>
  <si>
    <t>V1.1</t>
  </si>
  <si>
    <t>A self assessment form to compare 
your inventory against the requirements 
of the Compact of Mayors</t>
  </si>
  <si>
    <r>
      <t xml:space="preserve">The data under </t>
    </r>
    <r>
      <rPr>
        <sz val="12"/>
        <color theme="1"/>
        <rFont val="Calibri (Body)"/>
      </rPr>
      <t xml:space="preserve">the </t>
    </r>
    <r>
      <rPr>
        <i/>
        <sz val="12"/>
        <color theme="1"/>
        <rFont val="Calibri"/>
        <scheme val="minor"/>
      </rPr>
      <t>City information</t>
    </r>
    <r>
      <rPr>
        <sz val="12"/>
        <color theme="1"/>
        <rFont val="Calibri"/>
        <family val="2"/>
        <scheme val="minor"/>
      </rPr>
      <t xml:space="preserve"> </t>
    </r>
    <r>
      <rPr>
        <sz val="12"/>
        <color theme="1"/>
        <rFont val="Calibri (Body)"/>
      </rPr>
      <t xml:space="preserve">section below </t>
    </r>
    <r>
      <rPr>
        <sz val="12"/>
        <color theme="1"/>
        <rFont val="Calibri"/>
        <family val="2"/>
        <scheme val="minor"/>
      </rPr>
      <t xml:space="preserve">must be completed for the tool to estimate default emissions from incineration and open burning. </t>
    </r>
    <r>
      <rPr>
        <sz val="12"/>
        <color theme="1"/>
        <rFont val="Calibri (Body)"/>
      </rPr>
      <t>Section A collects additional data for incineration.</t>
    </r>
  </si>
  <si>
    <t>Inventory years</t>
  </si>
  <si>
    <t>15.</t>
  </si>
  <si>
    <t>Select the greenhouse gases included in your calculations from the drop-down list.</t>
  </si>
  <si>
    <r>
      <t xml:space="preserve">Select an emission factor from the drop-down list. These are the ones you will have defined earlier in the </t>
    </r>
    <r>
      <rPr>
        <i/>
        <sz val="14"/>
        <color rgb="FF000000"/>
        <rFont val="Calibri"/>
        <scheme val="minor"/>
      </rPr>
      <t>Emission factors</t>
    </r>
    <r>
      <rPr>
        <sz val="14"/>
        <color rgb="FF000000"/>
        <rFont val="Calibri"/>
        <scheme val="minor"/>
      </rPr>
      <t xml:space="preserve"> sheet. They are shown here in tonnes of CO2e.</t>
    </r>
  </si>
  <si>
    <t>The tool then calculates emissions based on the data submitted, in metric tonnes of CO2e.</t>
  </si>
  <si>
    <t>Assess the quality of your activity data in the Data quality column. Choose from high, medium or low. You can provide an optional explanation in the final column.</t>
  </si>
  <si>
    <t>You must also provide a clear description of the methodologies you have used, and explanation for using notation keys.</t>
  </si>
  <si>
    <t>Your estimated emissions can be found in the Results section.</t>
  </si>
  <si>
    <r>
      <t xml:space="preserve">Finally, select a data source from the drop-down list which lists all the references you defined in the </t>
    </r>
    <r>
      <rPr>
        <i/>
        <sz val="14"/>
        <rFont val="Calibri"/>
        <scheme val="minor"/>
      </rPr>
      <t>Data sources</t>
    </r>
    <r>
      <rPr>
        <sz val="14"/>
        <rFont val="Calibri"/>
        <scheme val="minor"/>
      </rPr>
      <t xml:space="preserve"> sheet. </t>
    </r>
  </si>
  <si>
    <t>The oxidation factor for combustion has been set to 1. This appears in the Oxidation factor column when you enter data. Use the manual column to choose a different value.</t>
  </si>
  <si>
    <t>The instructions below set out how to use the inventory sheets to estimate emissions.</t>
  </si>
  <si>
    <t>Each sector is broken down by sub-sector and scope, using the GPC referencing system.  Grey cells contain formulas. Please do not modify these.</t>
  </si>
  <si>
    <t>This page presents your results according 
to the official GPC GHG Emissions Report 
(GPC Chapter 4.4, Table 4.3,Ppage 42)</t>
  </si>
  <si>
    <t>If your city has a net emissions GHG reduction target, please use the tables below to record your emission credits. Do not forget to allocate these to a sector. The summary table will then take these into account to show your city's net emissions according to the GPC framework. For more information, please refer to Chapter 4.3 in the GPC.</t>
  </si>
  <si>
    <t>Recommendations</t>
  </si>
  <si>
    <t>Requirements</t>
  </si>
  <si>
    <t>Ends</t>
  </si>
  <si>
    <t>Blank</t>
  </si>
  <si>
    <t>Down</t>
  </si>
  <si>
    <t>BASIC/BASIC+ by subsector and scope - stacked bar chart</t>
  </si>
  <si>
    <t>BASIC/BASIC+ by subsector - waterfall chart</t>
  </si>
  <si>
    <t>These calculators have been designed to help cities estimate emissions from: fugitive losses from gas distribution, solid waste landfill, biological treatment of waste, waste incineration and wastewater. The calculations are based on IPPC Guidance and use IPCC default factors, which are fully referenced. The calculators should only be used if no other data is available or otherwise to compare results estimated using another methodology.</t>
  </si>
  <si>
    <r>
      <t>This tool has been designed to help cities estimate carbon dioxide (CO2), methane (CH</t>
    </r>
    <r>
      <rPr>
        <vertAlign val="subscript"/>
        <sz val="14"/>
        <rFont val="Calibri"/>
        <scheme val="minor"/>
      </rPr>
      <t>4</t>
    </r>
    <r>
      <rPr>
        <sz val="14"/>
        <rFont val="Calibri"/>
        <scheme val="minor"/>
      </rPr>
      <t>) and nitrous oxide (N</t>
    </r>
    <r>
      <rPr>
        <vertAlign val="subscript"/>
        <sz val="14"/>
        <rFont val="Calibri"/>
        <scheme val="minor"/>
      </rPr>
      <t>2</t>
    </r>
    <r>
      <rPr>
        <sz val="14"/>
        <rFont val="Calibri"/>
        <scheme val="minor"/>
      </rPr>
      <t xml:space="preserve">O) emissions from the incineration of solid waste.
</t>
    </r>
  </si>
  <si>
    <r>
      <t>This tool has been designed to help cities estimate carbon dioxide (CO2), methane (CH</t>
    </r>
    <r>
      <rPr>
        <vertAlign val="subscript"/>
        <sz val="14"/>
        <rFont val="Calibri"/>
        <scheme val="minor"/>
      </rPr>
      <t>4</t>
    </r>
    <r>
      <rPr>
        <sz val="14"/>
        <rFont val="Calibri"/>
        <scheme val="minor"/>
      </rPr>
      <t>) and nitrous oxide (N</t>
    </r>
    <r>
      <rPr>
        <vertAlign val="subscript"/>
        <sz val="14"/>
        <rFont val="Calibri"/>
        <scheme val="minor"/>
      </rPr>
      <t>2</t>
    </r>
    <r>
      <rPr>
        <sz val="14"/>
        <rFont val="Calibri"/>
        <scheme val="minor"/>
      </rPr>
      <t xml:space="preserve">O) emissions from solid waste disposal using FOD and methane commitment methodologies.
</t>
    </r>
  </si>
  <si>
    <t>Yes/No</t>
  </si>
  <si>
    <t>All emissions from energy use in industrial facilities and construction activities, except those included in energy industries sub-sector. This also includes combustion for the generation of electricity and heat for own use in these industrie</t>
  </si>
  <si>
    <t xml:space="preserve">All emissions from energy production and use in energy industries </t>
  </si>
  <si>
    <t>All emissions from the generation of energy for grid-distributed electricity, steam, heat and cooling</t>
  </si>
  <si>
    <t xml:space="preserve">All emissions from energy use in agriculture, forestry, and fishing activities </t>
  </si>
  <si>
    <t xml:space="preserve">All remaining emissions from facilities producing or consuming energy not specified elsewhere </t>
  </si>
  <si>
    <t>Includes all intentional and unintentional emissions from the extraction, processing, storage and transport of fuel in the city</t>
  </si>
  <si>
    <t>Fugitive emissions from all oil and natural gas activities occurring in the city. The primary sources of these emissions may include fugitive equipment leaks, evaporation losses, venting, flaring and accidental releases.</t>
  </si>
  <si>
    <t xml:space="preserve">On-road vehicles are designed for transporting people, property or material on common or public roads, thoroughfares, or highways. This category includes vehicles such as buses, cars, taxis, trucks, motorcycles, on-road waste collection and transportation vehicles (e.g. compactor trucks), etc. </t>
  </si>
  <si>
    <t>Water transportation includes ships, ferries, and other boats operating within the city boundary, as well as marine-vessels whose journeys originate or end at ports within the city’s boundary but travel to destinations outside of the city.</t>
  </si>
  <si>
    <t>Civil aviation, or air travel, includes emissions from airborne trips occurring within the geographic boundary (e.g., helicopters operating within the city) and emissions from flights departing airports that serve the city</t>
  </si>
  <si>
    <t>Railways typically uses energy through combustion of diesel fuels or electricity. Railways can be divided into four sub-categories: urban railway subway systems inc. trams, regional commuter rail  national rail and international rail. Each can be further classified as passenger or freight.</t>
  </si>
  <si>
    <t>This sheet will provide an introduction to the Compact of Mayors and outline how cities can report their inventory</t>
  </si>
  <si>
    <t>CIRIS (City Inventory Reporting and Information System) has been designed to support cities in reporting city-wide GHG emissions according to the requirements of the Global Protocol for Community-scale Greenhouse Gas Emission Inventories (GPC). The tool also allows cities to compare their inventories against those of other cities. CIRIS should be used in conjuction with the GPC which is available at http://ghgprotocol.org.</t>
  </si>
  <si>
    <r>
      <t xml:space="preserve">The next step is to record activity data. Using the emission factors defined in the Set-up, emissions are calculated according to the GPC reporting framework. </t>
    </r>
    <r>
      <rPr>
        <i/>
        <sz val="14"/>
        <rFont val="Calibri"/>
        <scheme val="minor"/>
      </rPr>
      <t>Stationary energy</t>
    </r>
    <r>
      <rPr>
        <sz val="14"/>
        <rFont val="Calibri"/>
        <scheme val="minor"/>
      </rPr>
      <t xml:space="preserve">, </t>
    </r>
    <r>
      <rPr>
        <i/>
        <sz val="14"/>
        <rFont val="Calibri"/>
        <scheme val="minor"/>
      </rPr>
      <t>Transportation</t>
    </r>
    <r>
      <rPr>
        <sz val="14"/>
        <rFont val="Calibri"/>
        <scheme val="minor"/>
      </rPr>
      <t xml:space="preserve"> and </t>
    </r>
    <r>
      <rPr>
        <i/>
        <sz val="14"/>
        <rFont val="Calibri"/>
        <scheme val="minor"/>
      </rPr>
      <t>Waste</t>
    </r>
    <r>
      <rPr>
        <sz val="14"/>
        <rFont val="Calibri"/>
        <scheme val="minor"/>
      </rPr>
      <t xml:space="preserve"> must be completed for a BASIC inventory. </t>
    </r>
    <r>
      <rPr>
        <i/>
        <sz val="14"/>
        <rFont val="Calibri"/>
        <scheme val="minor"/>
      </rPr>
      <t>IPPU</t>
    </r>
    <r>
      <rPr>
        <sz val="14"/>
        <rFont val="Calibri"/>
        <scheme val="minor"/>
      </rPr>
      <t xml:space="preserve"> and </t>
    </r>
    <r>
      <rPr>
        <i/>
        <sz val="14"/>
        <rFont val="Calibri"/>
        <scheme val="minor"/>
      </rPr>
      <t>AFOLU</t>
    </r>
    <r>
      <rPr>
        <sz val="14"/>
        <rFont val="Calibri"/>
        <scheme val="minor"/>
      </rPr>
      <t xml:space="preserve"> are additional requred for a BASIC+ inventory. To accommodate limitations in data availability and differences in emission sources between cities.</t>
    </r>
  </si>
  <si>
    <t xml:space="preserve">This section shows the inventory results and presents total emissions in a number of different ways, based on the activity data and emission factors submitted. It also includes a self assessment form to compare compliance against  the requirements of the Compact of Mayors, and the option to record emission credits to estimate a city's net emissions. </t>
  </si>
  <si>
    <t xml:space="preserve">To start with, users are asked to define the inventory boundary and provide supporting background information, such as population and land area. This helps to provide context and allows for meaningful benchmarking. This section should also be used to record all data sources and emission factors to be used in the inventory. </t>
  </si>
  <si>
    <t>Data_5: Heat map</t>
  </si>
  <si>
    <t>Data_3: Overview</t>
  </si>
  <si>
    <t>19-04-16</t>
  </si>
  <si>
    <t>OVERVIEW</t>
  </si>
  <si>
    <t>1. Current inventory</t>
  </si>
  <si>
    <t>2. Inventory database</t>
  </si>
  <si>
    <t xml:space="preserve">The GPC does not specify the calculation methodologies to be used to estimate your city's emissions. Rather, it provides a clear framework for calculating and reporting city-wide GHG emissions, consistent with IPCC Guidelines, that emphasises transparency and organisation of emissions data in a way that facilitates consistency and comparability across cities globally. </t>
  </si>
  <si>
    <t>GHG emissions from sources located within the city boundary.</t>
  </si>
  <si>
    <t xml:space="preserve">GHG emissions occurring as a consequence of the use of grid-supplied electricity, heat, steam and/or cooling within the city boundary. </t>
  </si>
  <si>
    <t xml:space="preserve">All other GHG emissions that occur outside the city boundary as a result of activities taking places within the city boundary. </t>
  </si>
  <si>
    <t xml:space="preserve">The GPC requires cities to report GHG emissions by scope and sector. Activities taking place within a city can generate GHG emissions that occur inside the city boundary as well as outside the city boundary.To distinguish between these, the GPC groups emissions into three categories based on where they occur in order to avoid double counting: scope 1, scope 2 or scope 3.
. </t>
  </si>
  <si>
    <t>The GPC distinguishes between emissions that physically occur within the city (scope 1), from those that occur outside the city but are driven by activities taking place within the city’s boundaries (scope 3), from those that occur from the use of electricity, steam, and/or heating/cooling supplied by grids which may or may not cross city boundaries (scope 2)., Scope 1 emissions may also be termed “territorial” emissions, because they are produced solely within the territory defined by the geographic boundary</t>
  </si>
  <si>
    <t xml:space="preserve">&gt; The city-induced framework measures GHG emissions attributable to activities taking place within the geographic boundary of the city. This covers selected scope 1, 2 and 3 emission sources, and provides two reporting levels. The BASIC level covers emission sources that occur in almost all cities (Stationary Energy, in-boundary transportation, and in-boundary generated waste) and the calculation methodologies and data are more readily available. The BASIC+ level has a more comprehensive coverage of emissions sources (BASIC sources plus IPPU, AFOLU, transboundary transportation, and energy transmission and distribution losses) and reflects more challenging data collection and calculation procedures. </t>
  </si>
  <si>
    <t>&gt; The scopes framework allows cities to comprehensively report all GHG emissions attributable to activities taking place within the geographic boundary of the city by categorizing the emission sources into in-boundary sources (scope 1, or “territorial”), grid-supplied energy sources (scope 2), and out-of-boundary sources (scope 3). Scope 1 allows for a territorial approach to aggregating multiple cities’ inventories, consistent with national-level GHG reporting.</t>
  </si>
  <si>
    <t xml:space="preserve">The GPC uses two distinct but complementary approaches to adding up and reporting emissions:
</t>
  </si>
  <si>
    <t>The table on the right shows what activities are included in both approaches.</t>
  </si>
  <si>
    <t>Transportaton</t>
  </si>
  <si>
    <t>Industrial processes and product use (IPPU)</t>
  </si>
  <si>
    <t>Agriculture, forestry, and fishing activities (AFOLU)</t>
  </si>
  <si>
    <t>The sectors and sub-sectors that the GPC requires city to report is shown in the table on the right, and definitions are provided in the section below.</t>
  </si>
  <si>
    <t>Drop-down</t>
  </si>
  <si>
    <t>Auto</t>
  </si>
  <si>
    <t>TERRITORIAL
V.1</t>
  </si>
  <si>
    <t>TERRITORIAL
V.3</t>
  </si>
  <si>
    <t>2000/2001</t>
  </si>
  <si>
    <t>2009/2010</t>
  </si>
  <si>
    <t>2008/2009</t>
  </si>
  <si>
    <t>2007/2008</t>
  </si>
  <si>
    <t>2006/2007</t>
  </si>
  <si>
    <t>2005/2006</t>
  </si>
  <si>
    <t>2001/2002</t>
  </si>
  <si>
    <t>2002/2003</t>
  </si>
  <si>
    <t>2004/2005</t>
  </si>
  <si>
    <t>2012/2013</t>
  </si>
  <si>
    <t>City_year</t>
  </si>
  <si>
    <t>Year_calendar</t>
  </si>
  <si>
    <t>1. Inventory database</t>
  </si>
  <si>
    <t>DATA_2: ALL DATA</t>
  </si>
  <si>
    <r>
      <rPr>
        <b/>
        <sz val="16"/>
        <color theme="4"/>
        <rFont val="Calibri"/>
        <scheme val="minor"/>
      </rPr>
      <t>DATA 1: ALL DATA</t>
    </r>
    <r>
      <rPr>
        <b/>
        <sz val="16"/>
        <color theme="5"/>
        <rFont val="Calibri"/>
        <scheme val="minor"/>
      </rPr>
      <t xml:space="preserve"> </t>
    </r>
  </si>
  <si>
    <t>Update calculations &gt;</t>
  </si>
  <si>
    <r>
      <t xml:space="preserve">Emission factors
</t>
    </r>
    <r>
      <rPr>
        <sz val="12"/>
        <color theme="0"/>
        <rFont val="Calibri"/>
        <family val="2"/>
        <scheme val="minor"/>
      </rPr>
      <t>CO2, CH4 and N2O</t>
    </r>
  </si>
  <si>
    <t>EMISSION FACTORS DATABASE</t>
  </si>
  <si>
    <t>BLANK</t>
  </si>
  <si>
    <t>This sheet is deliberately left blank for users to record any additional notes</t>
  </si>
  <si>
    <r>
      <rPr>
        <b/>
        <sz val="16"/>
        <color theme="4"/>
        <rFont val="Calibri"/>
        <scheme val="minor"/>
      </rPr>
      <t>DATA 4: PROGRESS GRAPH</t>
    </r>
  </si>
  <si>
    <t>Year
(most recent)</t>
  </si>
  <si>
    <t>GDP (US$ million):</t>
  </si>
  <si>
    <t>Cooling degree days (CDD, °C)</t>
  </si>
  <si>
    <t>Heating degree days (HDD, °C)</t>
  </si>
  <si>
    <t>Select calendar or financial year. Specify other 12-month period as mm/yyyy-mm/yyyy</t>
  </si>
  <si>
    <t>Please also specify base temperature</t>
  </si>
  <si>
    <r>
      <t>Emission factors</t>
    </r>
    <r>
      <rPr>
        <sz val="12"/>
        <color theme="0"/>
        <rFont val="Calibri"/>
        <family val="2"/>
        <scheme val="minor"/>
      </rPr>
      <t xml:space="preserve">
HFCs, PFCs, SF6 and NF3</t>
    </r>
  </si>
  <si>
    <r>
      <t>Emission factors</t>
    </r>
    <r>
      <rPr>
        <sz val="12"/>
        <color theme="0"/>
        <rFont val="Calibri"/>
        <family val="2"/>
        <scheme val="minor"/>
      </rPr>
      <t xml:space="preserve">
IPCC database</t>
    </r>
  </si>
  <si>
    <r>
      <t>Emission factors</t>
    </r>
    <r>
      <rPr>
        <sz val="12"/>
        <color theme="4"/>
        <rFont val="Calibri"/>
        <scheme val="minor"/>
      </rPr>
      <t xml:space="preserve">
IPCC database</t>
    </r>
  </si>
  <si>
    <r>
      <t>Emission factors</t>
    </r>
    <r>
      <rPr>
        <sz val="12"/>
        <color theme="3"/>
        <rFont val="Calibri"/>
        <scheme val="minor"/>
      </rPr>
      <t xml:space="preserve">
CO2, CH4 and N2O</t>
    </r>
  </si>
  <si>
    <r>
      <t>Emission factors</t>
    </r>
    <r>
      <rPr>
        <sz val="12"/>
        <color theme="0"/>
        <rFont val="Calibri"/>
        <family val="2"/>
        <scheme val="minor"/>
      </rPr>
      <t xml:space="preserve">
CO2, CH4 and N2O</t>
    </r>
  </si>
  <si>
    <r>
      <t>Emission factors</t>
    </r>
    <r>
      <rPr>
        <sz val="12"/>
        <color theme="3"/>
        <rFont val="Calibri"/>
        <scheme val="minor"/>
      </rPr>
      <t xml:space="preserve">
HFCs, PFCs, SF6 and NF3</t>
    </r>
  </si>
  <si>
    <t>Historical emissions data and emisions data from other cities can be uploaded to enable benchmarking at city-wide and (sub-) sector level. This sections includes a progress monitoring tool, a benchmarking tool, a heat mapping tool, the ability to view the emissions breakdown other inventories, and an export function for activity data (in reported units and converted to SI units).</t>
  </si>
  <si>
    <t>BASIC v BASIC+ v TERRITORIAL</t>
  </si>
  <si>
    <t>Per capita (emissions data rreported in table above, divided by population)</t>
  </si>
  <si>
    <t>Select sub-sector</t>
  </si>
  <si>
    <t>Legend</t>
  </si>
  <si>
    <t>STATIONARY</t>
  </si>
  <si>
    <t>BENCHMARKING DATA</t>
  </si>
  <si>
    <t>Subsector_IPPU</t>
  </si>
  <si>
    <t>Subsector_AFOLU</t>
  </si>
  <si>
    <t>Natural gas consumption</t>
  </si>
  <si>
    <t>Energy Report 2015</t>
  </si>
  <si>
    <t>www.ns.atlantis/energy</t>
  </si>
  <si>
    <t>Conversion factors_2</t>
  </si>
  <si>
    <t>CONVERSION FACTORS</t>
  </si>
  <si>
    <t>TWh</t>
  </si>
  <si>
    <t>General conversion factors for distance</t>
  </si>
  <si>
    <t>User-defined conversion factors</t>
  </si>
  <si>
    <t>mile</t>
  </si>
  <si>
    <t>Terajoules (TJ)</t>
  </si>
  <si>
    <t>OR</t>
  </si>
  <si>
    <t>CITY INVENTORY REPORTING and INFORMATION SYSTEM</t>
  </si>
  <si>
    <t>Welcome</t>
  </si>
  <si>
    <t>ADVANCED USERS</t>
  </si>
  <si>
    <t>Use this table to record the emission factors used to calculate F-gas emissions for IPPU activities only. References provided in the 'Reference' column shall be used to identify the relevant emission factors in the sector tabs. Emission factors convert activity data into a mass of GHG emissions They should be relevant to the inventory boundary, specific to the activity being measured, and sourced from credible government, industry, or academic sources. If no local, regional, or country-specific sources are available, cities should use IPCC default factors or data from the Emission Factor Database, or other standard values from international bodies that reflect national circumstances.</t>
  </si>
  <si>
    <t>Column
removed</t>
  </si>
  <si>
    <t>This section presents your city's GHG emissions in a number of different ways - city-wide and broken down by (sub-) sector - based on the activity data and emission factors submitted. It also includes a self assessment form to compare your inventory against the requirements of the Compact of Mayors, and the option to record emission credits to estimate your city's net emissions. Note, the latter is for information only and can not be used to report a GPC inventory.</t>
  </si>
  <si>
    <t xml:space="preserve">Emissions </t>
  </si>
  <si>
    <t>Per unit GDP 
(US$m)</t>
  </si>
  <si>
    <t>Intensity indicators</t>
  </si>
  <si>
    <t>Update according to selection. 0 if no BASIC+ inventory</t>
  </si>
  <si>
    <t>HEAT MAP</t>
  </si>
  <si>
    <t>Combustion / incomplete combustion of landfill gas</t>
  </si>
  <si>
    <r>
      <t>L</t>
    </r>
    <r>
      <rPr>
        <b/>
        <vertAlign val="subscript"/>
        <sz val="11"/>
        <color indexed="8"/>
        <rFont val="Calibri"/>
      </rPr>
      <t>0</t>
    </r>
  </si>
  <si>
    <t>Composition MSW (%)</t>
  </si>
  <si>
    <t>Calculation tables</t>
  </si>
  <si>
    <t xml:space="preserve">CH4 = </t>
  </si>
  <si>
    <t>Landfill opening year (x)</t>
  </si>
  <si>
    <t>Select</t>
  </si>
  <si>
    <t>Stoichio-metric ratio CH4/C</t>
  </si>
  <si>
    <r>
      <t>Fraction of DOC that is ultimately degraded (DOC</t>
    </r>
    <r>
      <rPr>
        <b/>
        <vertAlign val="subscript"/>
        <sz val="12"/>
        <color rgb="FFFFFFFF"/>
        <rFont val="Calibri"/>
      </rPr>
      <t>F</t>
    </r>
    <r>
      <rPr>
        <b/>
        <sz val="12"/>
        <color rgb="FFFFFFFF"/>
        <rFont val="Calibri"/>
      </rPr>
      <t>)</t>
    </r>
  </si>
  <si>
    <t>Methane collected and removed (metric tonnes) in inventory year (R)</t>
  </si>
  <si>
    <r>
      <t>% CH4 recovered at  landfill (f</t>
    </r>
    <r>
      <rPr>
        <vertAlign val="subscript"/>
        <sz val="11"/>
        <color theme="0"/>
        <rFont val="Calibri"/>
      </rPr>
      <t>rec</t>
    </r>
    <r>
      <rPr>
        <sz val="11"/>
        <color theme="0"/>
        <rFont val="Calibri"/>
        <family val="2"/>
      </rPr>
      <t>)</t>
    </r>
  </si>
  <si>
    <t>Boreal and Temperate (MAT ≤20°C )</t>
  </si>
  <si>
    <t>Tropical (MAT &gt;20°C )</t>
  </si>
  <si>
    <t>Dry (MAP/PET &lt; 1)</t>
  </si>
  <si>
    <t>Wet (MAP/PET &gt; 1)</t>
  </si>
  <si>
    <t>Dry (MAP &lt; 1000 mm)</t>
  </si>
  <si>
    <t>Moist and Wet (MAP≥ 1000 mm)</t>
  </si>
  <si>
    <t>Other (non-food) organic</t>
  </si>
  <si>
    <r>
      <t>Landfill gas produced per day (m</t>
    </r>
    <r>
      <rPr>
        <b/>
        <vertAlign val="superscript"/>
        <sz val="12"/>
        <color theme="0"/>
        <rFont val="Calibri"/>
      </rPr>
      <t>3</t>
    </r>
    <r>
      <rPr>
        <b/>
        <sz val="12"/>
        <color theme="0"/>
        <rFont val="Calibri"/>
      </rPr>
      <t>)</t>
    </r>
  </si>
  <si>
    <r>
      <t>N</t>
    </r>
    <r>
      <rPr>
        <b/>
        <vertAlign val="subscript"/>
        <sz val="12"/>
        <color theme="0"/>
        <rFont val="Calibri"/>
      </rPr>
      <t>2</t>
    </r>
    <r>
      <rPr>
        <b/>
        <sz val="12"/>
        <color theme="0"/>
        <rFont val="Calibri"/>
      </rPr>
      <t>O emissions factor (kgN</t>
    </r>
    <r>
      <rPr>
        <b/>
        <vertAlign val="subscript"/>
        <sz val="12"/>
        <color theme="0"/>
        <rFont val="Calibri"/>
      </rPr>
      <t>2</t>
    </r>
    <r>
      <rPr>
        <b/>
        <sz val="12"/>
        <color theme="0"/>
        <rFont val="Calibri"/>
      </rPr>
      <t>O/GJ)</t>
    </r>
  </si>
  <si>
    <r>
      <t>GJ content of CH</t>
    </r>
    <r>
      <rPr>
        <b/>
        <vertAlign val="subscript"/>
        <sz val="12"/>
        <color theme="0"/>
        <rFont val="Calibri"/>
      </rPr>
      <t>4</t>
    </r>
    <r>
      <rPr>
        <b/>
        <sz val="12"/>
        <color theme="0"/>
        <rFont val="Calibri"/>
      </rPr>
      <t xml:space="preserve"> (GJ/m</t>
    </r>
    <r>
      <rPr>
        <b/>
        <vertAlign val="superscript"/>
        <sz val="12"/>
        <color theme="0"/>
        <rFont val="Calibri"/>
      </rPr>
      <t>3</t>
    </r>
    <r>
      <rPr>
        <b/>
        <sz val="12"/>
        <color theme="0"/>
        <rFont val="Calibri"/>
      </rPr>
      <t>)</t>
    </r>
  </si>
  <si>
    <r>
      <t>CH</t>
    </r>
    <r>
      <rPr>
        <b/>
        <vertAlign val="subscript"/>
        <sz val="12"/>
        <color theme="0"/>
        <rFont val="Calibri"/>
      </rPr>
      <t>4</t>
    </r>
    <r>
      <rPr>
        <b/>
        <sz val="12"/>
        <color theme="0"/>
        <rFont val="Calibri"/>
      </rPr>
      <t xml:space="preserve"> emissions factor (kgCH</t>
    </r>
    <r>
      <rPr>
        <b/>
        <vertAlign val="subscript"/>
        <sz val="12"/>
        <color theme="0"/>
        <rFont val="Calibri"/>
      </rPr>
      <t>4</t>
    </r>
    <r>
      <rPr>
        <b/>
        <sz val="12"/>
        <color theme="0"/>
        <rFont val="Calibri"/>
      </rPr>
      <t>/GJ)</t>
    </r>
  </si>
  <si>
    <r>
      <t>CO</t>
    </r>
    <r>
      <rPr>
        <b/>
        <vertAlign val="subscript"/>
        <sz val="12"/>
        <color theme="0"/>
        <rFont val="Calibri"/>
      </rPr>
      <t>2</t>
    </r>
    <r>
      <rPr>
        <b/>
        <sz val="12"/>
        <color theme="0"/>
        <rFont val="Calibri"/>
      </rPr>
      <t xml:space="preserve"> emission factor (kgCO</t>
    </r>
    <r>
      <rPr>
        <b/>
        <vertAlign val="subscript"/>
        <sz val="12"/>
        <color theme="0"/>
        <rFont val="Calibri"/>
      </rPr>
      <t>2</t>
    </r>
    <r>
      <rPr>
        <b/>
        <sz val="12"/>
        <color theme="0"/>
        <rFont val="Calibri"/>
      </rPr>
      <t>/GJ)</t>
    </r>
  </si>
  <si>
    <r>
      <t>Fraction of NO</t>
    </r>
    <r>
      <rPr>
        <b/>
        <vertAlign val="subscript"/>
        <sz val="12"/>
        <color rgb="FFFFFFFF"/>
        <rFont val="Calibri"/>
      </rPr>
      <t>2</t>
    </r>
    <r>
      <rPr>
        <b/>
        <sz val="12"/>
        <color rgb="FFFFFFFF"/>
        <rFont val="Calibri"/>
      </rPr>
      <t xml:space="preserve"> in LFG</t>
    </r>
  </si>
  <si>
    <r>
      <t>GJ content of NO</t>
    </r>
    <r>
      <rPr>
        <b/>
        <vertAlign val="subscript"/>
        <sz val="12"/>
        <color theme="0"/>
        <rFont val="Calibri"/>
      </rPr>
      <t>2</t>
    </r>
    <r>
      <rPr>
        <b/>
        <sz val="12"/>
        <color theme="0"/>
        <rFont val="Calibri"/>
      </rPr>
      <t xml:space="preserve"> (GJ/m</t>
    </r>
    <r>
      <rPr>
        <b/>
        <vertAlign val="superscript"/>
        <sz val="12"/>
        <color theme="0"/>
        <rFont val="Calibri"/>
      </rPr>
      <t>3</t>
    </r>
    <r>
      <rPr>
        <b/>
        <sz val="12"/>
        <color theme="0"/>
        <rFont val="Calibri"/>
      </rPr>
      <t>)</t>
    </r>
  </si>
  <si>
    <r>
      <t>GJ content of NO</t>
    </r>
    <r>
      <rPr>
        <vertAlign val="subscript"/>
        <sz val="11"/>
        <rFont val="Calibri"/>
      </rPr>
      <t>2</t>
    </r>
    <r>
      <rPr>
        <sz val="11"/>
        <rFont val="Calibri"/>
        <family val="2"/>
      </rPr>
      <t xml:space="preserve"> (GJ/m3)</t>
    </r>
  </si>
  <si>
    <r>
      <t>Solid waste sent to landfill in inventory year, in metric tonnes (MSW</t>
    </r>
    <r>
      <rPr>
        <vertAlign val="subscript"/>
        <sz val="11"/>
        <color theme="0"/>
        <rFont val="Calibri"/>
      </rPr>
      <t>X</t>
    </r>
    <r>
      <rPr>
        <sz val="11"/>
        <color theme="0"/>
        <rFont val="Calibri"/>
        <family val="2"/>
      </rPr>
      <t>)</t>
    </r>
  </si>
  <si>
    <t>GPC equation 8.2 First order decay (FOD) model estimate for solid waste sent to landfill</t>
  </si>
  <si>
    <t>GPC equation 8.4 Methane generation potential</t>
  </si>
  <si>
    <t>GPC equation 8.3 Methane commitment estimate for solid watse sent to landfill</t>
  </si>
  <si>
    <r>
      <t>Biogenic CO</t>
    </r>
    <r>
      <rPr>
        <vertAlign val="subscript"/>
        <sz val="14"/>
        <rFont val="Calibri"/>
      </rPr>
      <t>2</t>
    </r>
    <r>
      <rPr>
        <sz val="14"/>
        <rFont val="Calibri"/>
      </rPr>
      <t xml:space="preserve"> from combustion of landfill gas</t>
    </r>
  </si>
  <si>
    <r>
      <t>Combustion of landfill gas - CH</t>
    </r>
    <r>
      <rPr>
        <vertAlign val="subscript"/>
        <sz val="12"/>
        <rFont val="Calibri"/>
      </rPr>
      <t>4</t>
    </r>
  </si>
  <si>
    <r>
      <t>Combustion of landfill gas - N</t>
    </r>
    <r>
      <rPr>
        <vertAlign val="subscript"/>
        <sz val="12"/>
        <rFont val="Calibri"/>
      </rPr>
      <t>2</t>
    </r>
    <r>
      <rPr>
        <sz val="12"/>
        <rFont val="Calibri"/>
      </rPr>
      <t>O</t>
    </r>
  </si>
  <si>
    <t>Flaring - incomplete combustion of landfill gas</t>
  </si>
  <si>
    <r>
      <t>Combustion - CH</t>
    </r>
    <r>
      <rPr>
        <b/>
        <vertAlign val="subscript"/>
        <sz val="11"/>
        <rFont val="Calibri"/>
        <scheme val="minor"/>
      </rPr>
      <t>4</t>
    </r>
  </si>
  <si>
    <r>
      <t>Combustion - N</t>
    </r>
    <r>
      <rPr>
        <vertAlign val="subscript"/>
        <sz val="14"/>
        <rFont val="Calibri"/>
      </rPr>
      <t>2</t>
    </r>
    <r>
      <rPr>
        <sz val="14"/>
        <rFont val="Calibri"/>
      </rPr>
      <t>O</t>
    </r>
  </si>
  <si>
    <t>6. GHG emissions from combustion and incomplete combustion of landfill gas</t>
  </si>
  <si>
    <t>5.  Methane commitment method (GPC Chapter 8.3.2, Page ##)</t>
  </si>
  <si>
    <t>4. First order decay (FOD) method (GPC Chapter 8.3.1, Page ##)</t>
  </si>
  <si>
    <t>Type of waste, technology/
management practice, weight basis</t>
  </si>
  <si>
    <r>
      <t>4. Non-biogenic CO</t>
    </r>
    <r>
      <rPr>
        <b/>
        <vertAlign val="subscript"/>
        <sz val="14"/>
        <color theme="4"/>
        <rFont val="Calibri (Body)"/>
      </rPr>
      <t>2</t>
    </r>
    <r>
      <rPr>
        <b/>
        <sz val="14"/>
        <color theme="4"/>
        <rFont val="Calibri"/>
        <scheme val="minor"/>
      </rPr>
      <t xml:space="preserve"> emissions from the incineration of waste</t>
    </r>
  </si>
  <si>
    <r>
      <t>GPC equation 8.6, Non-biogenic CO</t>
    </r>
    <r>
      <rPr>
        <vertAlign val="subscript"/>
        <sz val="14"/>
        <rFont val="Calibri (Body)"/>
      </rPr>
      <t>2</t>
    </r>
    <r>
      <rPr>
        <sz val="14"/>
        <rFont val="Calibri"/>
        <scheme val="minor"/>
      </rPr>
      <t xml:space="preserve"> emissions from the incineration of waste</t>
    </r>
  </si>
  <si>
    <t>MSW type of waste incinerated (type i matter)</t>
  </si>
  <si>
    <r>
      <t>% waste containing type i matter (WF</t>
    </r>
    <r>
      <rPr>
        <b/>
        <vertAlign val="subscript"/>
        <sz val="12"/>
        <color rgb="FFFFFFFF"/>
        <rFont val="Calibri"/>
      </rPr>
      <t>i</t>
    </r>
    <r>
      <rPr>
        <b/>
        <sz val="12"/>
        <color rgb="FFFFFFFF"/>
        <rFont val="Calibri"/>
      </rPr>
      <t>)</t>
    </r>
  </si>
  <si>
    <r>
      <t>GPC Equation 8.7, CH</t>
    </r>
    <r>
      <rPr>
        <vertAlign val="subscript"/>
        <sz val="14"/>
        <rFont val="Calibri"/>
      </rPr>
      <t>4</t>
    </r>
    <r>
      <rPr>
        <sz val="14"/>
        <rFont val="Calibri"/>
      </rPr>
      <t xml:space="preserve"> emissions from the incineration of waste</t>
    </r>
  </si>
  <si>
    <r>
      <t>GPC Equation 8.8, N</t>
    </r>
    <r>
      <rPr>
        <vertAlign val="subscript"/>
        <sz val="14"/>
        <rFont val="Calibri"/>
      </rPr>
      <t>2</t>
    </r>
    <r>
      <rPr>
        <sz val="14"/>
        <rFont val="Calibri"/>
      </rPr>
      <t>O emissions from the incineration of waste</t>
    </r>
  </si>
  <si>
    <r>
      <t>tNO</t>
    </r>
    <r>
      <rPr>
        <b/>
        <vertAlign val="subscript"/>
        <sz val="12"/>
        <color theme="0"/>
        <rFont val="Calibri"/>
      </rPr>
      <t>2</t>
    </r>
  </si>
  <si>
    <r>
      <t>Default</t>
    </r>
    <r>
      <rPr>
        <vertAlign val="superscript"/>
        <sz val="12"/>
        <rFont val="Calibri"/>
        <scheme val="minor"/>
      </rPr>
      <t>3</t>
    </r>
  </si>
  <si>
    <r>
      <t>Default</t>
    </r>
    <r>
      <rPr>
        <vertAlign val="superscript"/>
        <sz val="12"/>
        <rFont val="Calibri"/>
        <scheme val="minor"/>
      </rPr>
      <t>4</t>
    </r>
  </si>
  <si>
    <r>
      <t>CH</t>
    </r>
    <r>
      <rPr>
        <b/>
        <vertAlign val="subscript"/>
        <sz val="12"/>
        <color rgb="FFFFFFFF"/>
        <rFont val="Calibri"/>
      </rPr>
      <t>4</t>
    </r>
    <r>
      <rPr>
        <b/>
        <sz val="12"/>
        <color rgb="FFFFFFFF"/>
        <rFont val="Calibri"/>
      </rPr>
      <t xml:space="preserve"> emission factor, gCH</t>
    </r>
    <r>
      <rPr>
        <b/>
        <vertAlign val="subscript"/>
        <sz val="12"/>
        <color rgb="FFFFFFFF"/>
        <rFont val="Calibri"/>
      </rPr>
      <t>4</t>
    </r>
    <r>
      <rPr>
        <b/>
        <sz val="12"/>
        <color rgb="FFFFFFFF"/>
        <rFont val="Calibri"/>
      </rPr>
      <t>/tonne waste type i</t>
    </r>
  </si>
  <si>
    <r>
      <t>N</t>
    </r>
    <r>
      <rPr>
        <b/>
        <vertAlign val="subscript"/>
        <sz val="12"/>
        <color rgb="FFFFFFFF"/>
        <rFont val="Calibri"/>
      </rPr>
      <t>2</t>
    </r>
    <r>
      <rPr>
        <b/>
        <sz val="12"/>
        <color rgb="FFFFFFFF"/>
        <rFont val="Calibri"/>
      </rPr>
      <t>O emission factor, g N</t>
    </r>
    <r>
      <rPr>
        <b/>
        <vertAlign val="subscript"/>
        <sz val="12"/>
        <color rgb="FFFFFFFF"/>
        <rFont val="Calibri"/>
      </rPr>
      <t>2</t>
    </r>
    <r>
      <rPr>
        <b/>
        <sz val="12"/>
        <color rgb="FFFFFFFF"/>
        <rFont val="Calibri"/>
      </rPr>
      <t>O/tonne waste type i</t>
    </r>
  </si>
  <si>
    <r>
      <t>GPC Table 8.6, Default N</t>
    </r>
    <r>
      <rPr>
        <b/>
        <vertAlign val="subscript"/>
        <sz val="14"/>
        <color theme="4"/>
        <rFont val="Calibri"/>
      </rPr>
      <t>2</t>
    </r>
    <r>
      <rPr>
        <b/>
        <sz val="14"/>
        <color theme="4"/>
        <rFont val="Calibri"/>
      </rPr>
      <t>O emission factors for different types of waste and management practices</t>
    </r>
  </si>
  <si>
    <r>
      <t>GPC Table 8.5, CH</t>
    </r>
    <r>
      <rPr>
        <b/>
        <vertAlign val="subscript"/>
        <sz val="14"/>
        <color theme="4"/>
        <rFont val="Calibri"/>
      </rPr>
      <t>4</t>
    </r>
    <r>
      <rPr>
        <b/>
        <sz val="14"/>
        <color theme="4"/>
        <rFont val="Calibri"/>
      </rPr>
      <t xml:space="preserve"> emission factors for incineration of MSW</t>
    </r>
  </si>
  <si>
    <t xml:space="preserve">Update </t>
  </si>
  <si>
    <t>Update industrial calculations with Aecom tool</t>
  </si>
  <si>
    <t>JD: This calculator does not address emissions from combustion of ADG - given GPC's requirement of biogenic CO2 reporting this is an oversight. Additional calculations should be included to calculate GHG from flaring and incomplete combustion.</t>
  </si>
  <si>
    <t>Summary graphs showing your city's 
emissions, by (sub-)sector, scope and 
reporting level</t>
  </si>
  <si>
    <t>Detailed summary tableof your city's 
emissions profile, by (sub-)sector, scope 
and reporting level</t>
  </si>
  <si>
    <t>Target</t>
  </si>
  <si>
    <t>Data_4b: Progress</t>
  </si>
  <si>
    <t>Data_4a: Progress</t>
  </si>
  <si>
    <t>To use the analysis sheets, you need to 
first upload data from other cities. You 
can do this by downloading city data here, 
then copy and paste into the Data sheet.</t>
  </si>
  <si>
    <t>This sheet summaries your city's activity 
data in the reported units and converted 
to SI units. This can be used, for amongst 
others, to import data into CURB tool.</t>
  </si>
  <si>
    <t xml:space="preserve">This heat map shows the percentage of total emissions by sub-sector and scope for each of the three inventory levels: BASIC; BASIC+; and Territorial. </t>
  </si>
  <si>
    <t xml:space="preserve">This heat map shows the percentage of 
total emissions by sub-sector and scope 
for each of the three inventory levels: 
BASIC; BASIC+; and Territorial. </t>
  </si>
  <si>
    <t>Compare your city's progress in reducing 
GHG emissions against your target(s)</t>
  </si>
  <si>
    <t>Per unit GDP (US$m)</t>
  </si>
  <si>
    <t>Compare your city's emissions against 
other cities. Choose from: GHG emissions, 
per capita, per unit land area (km2), or 
per unit GDP (US$m)</t>
  </si>
  <si>
    <t>LEVEL:</t>
  </si>
  <si>
    <t>The graphs below allow you to compare your city's emissions profile against other cities. Choose to view by: GHG emissions, per capita, per unit land area (km2), or per unit GDP (US$m).</t>
  </si>
  <si>
    <t>Inventory year_2</t>
  </si>
  <si>
    <t>Most recent</t>
  </si>
  <si>
    <t>Total electricity used multipied by scope 3 emission factar</t>
  </si>
  <si>
    <t>centimetre (cm)</t>
  </si>
  <si>
    <t>feet</t>
  </si>
  <si>
    <t>inch</t>
  </si>
  <si>
    <t xml:space="preserve">feet </t>
  </si>
  <si>
    <t>meter (m)</t>
  </si>
  <si>
    <t>km</t>
  </si>
  <si>
    <t>cm</t>
  </si>
  <si>
    <t>kilometre (km)</t>
  </si>
  <si>
    <t>Source: International Energy Agency: www.iea.org/newsroomandevents/resources/conversiontables and www.onlineconversion.com</t>
  </si>
  <si>
    <r>
      <t xml:space="preserve">The tables below show the conversion factors for commonly units for energy, mass, volume and distance. These are all embedded in the activity data multiplier function in the </t>
    </r>
    <r>
      <rPr>
        <i/>
        <sz val="14"/>
        <color theme="1"/>
        <rFont val="Calibri"/>
        <scheme val="minor"/>
      </rPr>
      <t>Inventory</t>
    </r>
    <r>
      <rPr>
        <sz val="14"/>
        <color theme="1"/>
        <rFont val="Calibri"/>
        <scheme val="minor"/>
      </rPr>
      <t xml:space="preserve"> sheets. Additional conversion factors can be defined in the bottom table.</t>
    </r>
  </si>
  <si>
    <t>Buenos Aires</t>
  </si>
  <si>
    <t>Bogota</t>
  </si>
  <si>
    <r>
      <t xml:space="preserve">To review your or another city's progress, select </t>
    </r>
    <r>
      <rPr>
        <i/>
        <sz val="14"/>
        <rFont val="Calibri"/>
        <scheme val="minor"/>
      </rPr>
      <t>City</t>
    </r>
    <r>
      <rPr>
        <sz val="14"/>
        <rFont val="Calibri"/>
        <scheme val="minor"/>
      </rPr>
      <t xml:space="preserve"> and </t>
    </r>
    <r>
      <rPr>
        <i/>
        <sz val="14"/>
        <rFont val="Calibri"/>
        <scheme val="minor"/>
      </rPr>
      <t>Inventory level</t>
    </r>
    <r>
      <rPr>
        <sz val="14"/>
        <rFont val="Calibri"/>
        <scheme val="minor"/>
      </rPr>
      <t xml:space="preserve"> from the drop-down lists on the right and define the t</t>
    </r>
    <r>
      <rPr>
        <i/>
        <sz val="14"/>
        <rFont val="Calibri"/>
        <scheme val="minor"/>
      </rPr>
      <t>arget type</t>
    </r>
    <r>
      <rPr>
        <sz val="14"/>
        <rFont val="Calibri"/>
        <scheme val="minor"/>
      </rPr>
      <t xml:space="preserve">, </t>
    </r>
    <r>
      <rPr>
        <i/>
        <sz val="14"/>
        <rFont val="Calibri"/>
        <scheme val="minor"/>
      </rPr>
      <t xml:space="preserve">baseline </t>
    </r>
    <r>
      <rPr>
        <sz val="14"/>
        <rFont val="Calibri"/>
        <scheme val="minor"/>
      </rPr>
      <t>and</t>
    </r>
    <r>
      <rPr>
        <i/>
        <sz val="14"/>
        <rFont val="Calibri"/>
        <scheme val="minor"/>
      </rPr>
      <t xml:space="preserve"> ambition below.</t>
    </r>
  </si>
  <si>
    <r>
      <rPr>
        <sz val="11"/>
        <rFont val="Calibri (Body)"/>
      </rPr>
      <t>Anaerobic</t>
    </r>
    <r>
      <rPr>
        <sz val="12"/>
        <color theme="1"/>
        <rFont val="Calibri"/>
        <family val="2"/>
        <scheme val="minor"/>
      </rPr>
      <t xml:space="preserve"> digestion</t>
    </r>
  </si>
  <si>
    <t>Diesel</t>
  </si>
  <si>
    <t>Petrol</t>
  </si>
  <si>
    <t>Illuminating paraffin</t>
  </si>
  <si>
    <t>Heavy furnace oil</t>
  </si>
  <si>
    <t>litre</t>
  </si>
  <si>
    <t>www.emissionfactors.com (IPCC 2006, EPA 2015)</t>
  </si>
  <si>
    <t>This sheet will host a table of relevant and commonly used IPPC and other emission factors which can be copied and pasted into the city emission factors table</t>
  </si>
  <si>
    <t>N/A</t>
  </si>
  <si>
    <t>EF.com</t>
  </si>
  <si>
    <t>Source_ref</t>
  </si>
  <si>
    <t>Kersone</t>
  </si>
  <si>
    <t>Coal</t>
  </si>
  <si>
    <t>This sheet will include a checklist and guidance to conduct a preliminary self-audit of the inventory</t>
  </si>
  <si>
    <t>C40</t>
  </si>
  <si>
    <t>ICLEI</t>
  </si>
  <si>
    <t>CDP</t>
  </si>
  <si>
    <t>IPPC 2006 Guidelines</t>
  </si>
  <si>
    <t>This is the city's first GPC inventory</t>
  </si>
  <si>
    <t>Atlantis National Statistics Service</t>
  </si>
  <si>
    <t>Electricity consumption</t>
  </si>
  <si>
    <t>Electricity Report 2015</t>
  </si>
  <si>
    <t>www.ns.atlantis/electricity</t>
  </si>
  <si>
    <t>Road transport</t>
  </si>
  <si>
    <t>Department of Transport</t>
  </si>
  <si>
    <t>Atlantis Travel Bulletin 2015</t>
  </si>
  <si>
    <t>www.dot.gov.atlantis</t>
  </si>
  <si>
    <t>Fugitive emissions calculator</t>
  </si>
  <si>
    <t>I.3.1 has been included in I.2.1. Data does not allow for disaggregation</t>
  </si>
  <si>
    <t>I.3.2 has been included in I.2.2. Data does not allow for disaggregation</t>
  </si>
  <si>
    <t>I.3.3 has not been estimated. Activity not required for BASIC inventory</t>
  </si>
  <si>
    <t>I.1.3 has not been estimated. Activity not required for BASIC inventory</t>
  </si>
  <si>
    <t>I.2.3 has not been estimated. Activity not required for BASIC inventory</t>
  </si>
  <si>
    <t>I.4.1 does not occur. No energy generation within the city boundary</t>
  </si>
  <si>
    <t>I.4.2 does not occur. No energy generation within the city boundary</t>
  </si>
  <si>
    <t>I.4.3 does not occur. No energy generation within the city boundary</t>
  </si>
  <si>
    <t>I.4.4 does not occur. No energy generation within the city boundary</t>
  </si>
  <si>
    <t>Atlantis sub-national energy data is multiplied by the national emission factor</t>
  </si>
  <si>
    <t>Inluded in I.1.2 &amp; I.2.2. Unable to disaggregate EV from building electricity use</t>
  </si>
  <si>
    <t>All vehicle types</t>
  </si>
  <si>
    <t>II.5.1 does not occur. No off-road vehicles</t>
  </si>
  <si>
    <t>II.5.2 does not occur. No off-road vehicles</t>
  </si>
  <si>
    <t>II.4.1 does not occur. No air travel</t>
  </si>
  <si>
    <t>II.4.2 does not occur. No air travel</t>
  </si>
  <si>
    <t>II.4.3 does not occur. No air travel</t>
  </si>
  <si>
    <t>Passenger</t>
  </si>
  <si>
    <t>Freight</t>
  </si>
  <si>
    <t>II.1.3 has not been estimated. Activity not required for BASIC inventory</t>
  </si>
  <si>
    <t>II.2.3 has not been estimated. Activity not required for BASIC inventory</t>
  </si>
  <si>
    <t>II.5.3 has not been estimated. Activity not required for BASIC inventory</t>
  </si>
  <si>
    <t>Fuel use from Total Transport Model, based on modelled traffic flows</t>
  </si>
  <si>
    <t>Ticket sales multiplied by distance travelled, converted to kWh</t>
  </si>
  <si>
    <t>National freight travel scaled to city accoridng to % GDP</t>
  </si>
  <si>
    <t>Passenger shipping emissions have been extrapolated from 2010 data for 2014</t>
  </si>
  <si>
    <t>Commercial shipping emissions have been extrapolated from 2010 data for 2014</t>
  </si>
  <si>
    <t>Gas oil</t>
  </si>
  <si>
    <t>EF_Petrol</t>
  </si>
  <si>
    <t>EF_Diesel</t>
  </si>
  <si>
    <t>EF_Electricity</t>
  </si>
  <si>
    <t>EF_Coal</t>
  </si>
  <si>
    <t>tonnes</t>
  </si>
  <si>
    <t>EF_Landfill</t>
  </si>
  <si>
    <t>CH4, CO2(b)</t>
  </si>
  <si>
    <t>III.1.2 does not occur. No waste sent to landfill outside city boundary</t>
  </si>
  <si>
    <t>III.1.3 does not occur. No imported waste sent to landfill</t>
  </si>
  <si>
    <t>III.3.1 does not occur. No incineration of waste</t>
  </si>
  <si>
    <t>III.3.3 does not occur. No incineration of waste</t>
  </si>
  <si>
    <t>III.3.2 does not occur. No incineration of waste</t>
  </si>
  <si>
    <t>Estimated used Wastewater calculator</t>
  </si>
  <si>
    <t>III.4.3 does not occur. No inboundary treatment of wastewater</t>
  </si>
  <si>
    <t>III.4.1 does not occur. No inboundary treatment of wastewater</t>
  </si>
  <si>
    <t>EF_Composting</t>
  </si>
  <si>
    <t>IV.1 does not occur. No industrial processed within city boundary</t>
  </si>
  <si>
    <t>Data scaled from national estimates according to population share</t>
  </si>
  <si>
    <t>Estimate based on 2006 agricultural survey count of livestock and IPCC emission factor</t>
  </si>
  <si>
    <t>Wind</t>
  </si>
  <si>
    <t>kgCO2e/kWh</t>
  </si>
  <si>
    <t xml:space="preserve">Off-road vehicles are those designed or adapted for travel on unpaved terrain. This category typically includes airport ground support equipment, all-terrain vehicles, landscaping and construction equipment, agricultural tractors, bulldozers, forklifts, snowmobiles etc. </t>
  </si>
  <si>
    <t>Industrial processes Industrial processes Industrial processes Industrial processes Industrial processes Industrial processes Industrial processes</t>
  </si>
  <si>
    <t>Product use Product use Product use Product use Product use Product use Product use Product use Product use Product use Product use</t>
  </si>
  <si>
    <t>Livestock Livestock Livestock Livestock Livestock Livestock Livestock Livestock Livestock Livestock Livestock Livestock Livestock Livestock Livestock</t>
  </si>
  <si>
    <t>Land Land Land Land Land Land Land Land Land Land Land Land Land Land Land Land Land Land Land Land Land Land Land Land Land v Land Land</t>
  </si>
  <si>
    <t>Other agriculture Other agriculture Other agriculture Other agriculture Other agriculture Other agriculture Other agriculture Other agriculture</t>
  </si>
  <si>
    <t>Other scope 3 Other scope 3mOther scope 3 Other scope 3 Other scope 3 Other scope 3 Other scope 3 Other scope 3 Other scope 3 Other scope 3</t>
  </si>
  <si>
    <t xml:space="preserve">Biological waste generated in the city Biological waste generated in the city Biological waste generated in the city Biological waste generated in the city </t>
  </si>
  <si>
    <t>Incinerated and burned waste generated in the city Incinerated and burned waste generated in the city Incinerated and burned waste generated in the city</t>
  </si>
  <si>
    <t xml:space="preserve">Wastewater generated in the city  Wastewater generated in the city  Wastewater generated in the city  Wastewater generated in the city </t>
  </si>
  <si>
    <t xml:space="preserve">Solid waste generated in the city Solid waste generated in the city Solid waste generated in the city Solid waste generated in the city Solid waste generated in the city </t>
  </si>
  <si>
    <t>Atlantis 2005 Land Act</t>
  </si>
  <si>
    <t>Lost city of Atlantic population estimate</t>
  </si>
  <si>
    <t xml:space="preserve">McKinsey &amp; Co </t>
  </si>
  <si>
    <t>Gondwana</t>
  </si>
  <si>
    <r>
      <rPr>
        <b/>
        <sz val="16"/>
        <color theme="4"/>
        <rFont val="Calibri"/>
        <scheme val="minor"/>
      </rPr>
      <t>DATA 5: HEAT MAP</t>
    </r>
  </si>
  <si>
    <r>
      <rPr>
        <b/>
        <sz val="16"/>
        <color theme="4"/>
        <rFont val="Calibri"/>
        <scheme val="minor"/>
      </rPr>
      <t>DATA 4b: PROGRESS GRAPH</t>
    </r>
  </si>
  <si>
    <r>
      <rPr>
        <b/>
        <sz val="14"/>
        <color theme="4"/>
        <rFont val="Calibri"/>
        <scheme val="minor"/>
      </rPr>
      <t>CITY DATABASE</t>
    </r>
  </si>
  <si>
    <r>
      <rPr>
        <b/>
        <sz val="16"/>
        <color theme="4"/>
        <rFont val="Calibri"/>
        <scheme val="minor"/>
      </rPr>
      <t>DATA 2: ALL DATA</t>
    </r>
    <r>
      <rPr>
        <b/>
        <sz val="16"/>
        <color theme="5"/>
        <rFont val="Calibri"/>
        <scheme val="minor"/>
      </rPr>
      <t/>
    </r>
  </si>
  <si>
    <t xml:space="preserve">DATA 3: OVERVIEW AND UNIQUE CITY LIST (UCL) </t>
  </si>
  <si>
    <t>Select &gt;</t>
  </si>
  <si>
    <t>This sheet will record all activity data reported (raw) as well all activity data converted into base and derived SI units (scrubbed); and can be used to import into CURB.</t>
  </si>
</sst>
</file>

<file path=xl/styles.xml><?xml version="1.0" encoding="utf-8"?>
<styleSheet xmlns="http://schemas.openxmlformats.org/spreadsheetml/2006/main" xmlns:mc="http://schemas.openxmlformats.org/markup-compatibility/2006" xmlns:x14ac="http://schemas.microsoft.com/office/spreadsheetml/2009/9/ac" mc:Ignorable="x14ac">
  <numFmts count="20">
    <numFmt numFmtId="43" formatCode="_-* #,##0.00_-;_-* #,##0.00\-;_-* &quot;-&quot;??_-;_-@_-"/>
    <numFmt numFmtId="164" formatCode="0;\-0;;@"/>
    <numFmt numFmtId="165" formatCode="0.0000"/>
    <numFmt numFmtId="166" formatCode="0.000"/>
    <numFmt numFmtId="167" formatCode="0.0"/>
    <numFmt numFmtId="168" formatCode="#,##0.0"/>
    <numFmt numFmtId="169" formatCode="_-* #,##0.00_-;\-* #,##0.00_-;_-* &quot;-&quot;??_-;_-@_-"/>
    <numFmt numFmtId="170" formatCode="#,##0_ ;\-#,##0\ "/>
    <numFmt numFmtId="171" formatCode="0_ ;\-0\ "/>
    <numFmt numFmtId="172" formatCode="0.000000"/>
    <numFmt numFmtId="173" formatCode="0.E+00"/>
    <numFmt numFmtId="174" formatCode="0.00000"/>
    <numFmt numFmtId="175" formatCode="_-* #,##0_-;\-* #,##0_-;_-* &quot;-&quot;??_-;_-@_-"/>
    <numFmt numFmtId="176" formatCode="#,##0.000"/>
    <numFmt numFmtId="177" formatCode="_-* #,##0.0_-;\-* #,##0.0_-;_-* &quot;-&quot;??_-;_-@_-"/>
    <numFmt numFmtId="178" formatCode="0.0%"/>
    <numFmt numFmtId="179" formatCode="_-* #,##0.0000_-;\-* #,##0.0000_-;_-* &quot;-&quot;??_-;_-@_-"/>
    <numFmt numFmtId="180" formatCode="#,##0.00_ ;\-#,##0.00\ "/>
    <numFmt numFmtId="181" formatCode="#,##0.000_ ;\-#,##0.000\ "/>
    <numFmt numFmtId="182" formatCode="0.00E+00;\_x0000_"/>
  </numFmts>
  <fonts count="209" x14ac:knownFonts="1">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b/>
      <sz val="12"/>
      <color rgb="FFFFFFFF"/>
      <name val="Calibri"/>
      <scheme val="minor"/>
    </font>
    <font>
      <i/>
      <sz val="12"/>
      <color theme="1"/>
      <name val="Calibri"/>
      <scheme val="minor"/>
    </font>
    <font>
      <i/>
      <sz val="12"/>
      <color rgb="FF000000"/>
      <name val="Calibri"/>
      <scheme val="minor"/>
    </font>
    <font>
      <sz val="12"/>
      <color rgb="FF000000"/>
      <name val="Calibri"/>
      <scheme val="minor"/>
    </font>
    <font>
      <sz val="12"/>
      <color theme="1"/>
      <name val="Marlett"/>
    </font>
    <font>
      <u/>
      <sz val="12"/>
      <color theme="10"/>
      <name val="Calibri"/>
      <family val="2"/>
      <scheme val="minor"/>
    </font>
    <font>
      <u/>
      <sz val="12"/>
      <color theme="11"/>
      <name val="Calibri"/>
      <family val="2"/>
      <scheme val="minor"/>
    </font>
    <font>
      <sz val="8"/>
      <name val="Calibri"/>
      <family val="2"/>
      <scheme val="minor"/>
    </font>
    <font>
      <sz val="10"/>
      <color rgb="FF000000"/>
      <name val="Calibri"/>
    </font>
    <font>
      <b/>
      <sz val="10"/>
      <color rgb="FF000000"/>
      <name val="Calibri"/>
    </font>
    <font>
      <sz val="10"/>
      <color theme="1"/>
      <name val="Calibri"/>
    </font>
    <font>
      <i/>
      <sz val="10"/>
      <color rgb="FF000000"/>
      <name val="Calibri"/>
    </font>
    <font>
      <sz val="10"/>
      <color rgb="FF000000"/>
      <name val="Marlett"/>
    </font>
    <font>
      <b/>
      <sz val="12"/>
      <color theme="1"/>
      <name val="Calibri"/>
      <family val="2"/>
      <scheme val="minor"/>
    </font>
    <font>
      <b/>
      <sz val="10"/>
      <color theme="1"/>
      <name val="Calibri"/>
    </font>
    <font>
      <b/>
      <sz val="12"/>
      <color rgb="FF000000"/>
      <name val="Calibri"/>
    </font>
    <font>
      <sz val="12"/>
      <color rgb="FF000000"/>
      <name val="Calibri"/>
    </font>
    <font>
      <sz val="12"/>
      <color theme="1"/>
      <name val="Calibri"/>
    </font>
    <font>
      <b/>
      <sz val="12"/>
      <color theme="0"/>
      <name val="Calibri"/>
      <family val="2"/>
      <scheme val="minor"/>
    </font>
    <font>
      <sz val="12"/>
      <color theme="0"/>
      <name val="Calibri"/>
      <family val="2"/>
      <scheme val="minor"/>
    </font>
    <font>
      <b/>
      <sz val="18"/>
      <color theme="1"/>
      <name val="Calibri"/>
      <scheme val="minor"/>
    </font>
    <font>
      <b/>
      <sz val="14"/>
      <color theme="1"/>
      <name val="Calibri"/>
      <scheme val="minor"/>
    </font>
    <font>
      <sz val="14"/>
      <color theme="1"/>
      <name val="Calibri"/>
      <scheme val="minor"/>
    </font>
    <font>
      <sz val="10"/>
      <name val="Marlett"/>
    </font>
    <font>
      <sz val="12"/>
      <name val="Calibri"/>
      <scheme val="minor"/>
    </font>
    <font>
      <b/>
      <sz val="12"/>
      <color theme="1"/>
      <name val="Calibri"/>
    </font>
    <font>
      <b/>
      <sz val="12"/>
      <color rgb="FFFFFFFF"/>
      <name val="Calibri"/>
    </font>
    <font>
      <b/>
      <vertAlign val="subscript"/>
      <sz val="12"/>
      <color rgb="FFFFFFFF"/>
      <name val="Calibri"/>
    </font>
    <font>
      <b/>
      <sz val="12"/>
      <color theme="0"/>
      <name val="Calibri"/>
    </font>
    <font>
      <sz val="11"/>
      <color theme="1"/>
      <name val="Arial"/>
      <family val="2"/>
    </font>
    <font>
      <sz val="9"/>
      <color indexed="81"/>
      <name val="Calibri"/>
      <family val="2"/>
    </font>
    <font>
      <b/>
      <sz val="9"/>
      <color indexed="81"/>
      <name val="Calibri"/>
      <family val="2"/>
    </font>
    <font>
      <b/>
      <sz val="14"/>
      <color theme="0"/>
      <name val="Calibri"/>
    </font>
    <font>
      <b/>
      <sz val="14"/>
      <color rgb="FFFFFFFF"/>
      <name val="Calibri"/>
      <scheme val="minor"/>
    </font>
    <font>
      <b/>
      <sz val="18"/>
      <color theme="1"/>
      <name val="Calibri"/>
    </font>
    <font>
      <b/>
      <sz val="14"/>
      <color theme="1"/>
      <name val="Calibri"/>
    </font>
    <font>
      <sz val="14"/>
      <color theme="1"/>
      <name val="Calibri"/>
    </font>
    <font>
      <sz val="16"/>
      <color theme="1"/>
      <name val="Calibri"/>
    </font>
    <font>
      <sz val="16"/>
      <color theme="0" tint="-4.9989318521683403E-2"/>
      <name val="Calibri"/>
    </font>
    <font>
      <sz val="18"/>
      <color theme="1"/>
      <name val="Calibri"/>
    </font>
    <font>
      <sz val="18"/>
      <color theme="0" tint="-4.9989318521683403E-2"/>
      <name val="Calibri"/>
    </font>
    <font>
      <sz val="12"/>
      <color theme="0" tint="-4.9989318521683403E-2"/>
      <name val="Calibri"/>
    </font>
    <font>
      <sz val="12"/>
      <color theme="0" tint="-0.14999847407452621"/>
      <name val="Calibri"/>
    </font>
    <font>
      <sz val="12"/>
      <color theme="3"/>
      <name val="Calibri"/>
      <scheme val="minor"/>
    </font>
    <font>
      <b/>
      <sz val="12"/>
      <color rgb="FF000000"/>
      <name val="Calibri"/>
      <scheme val="minor"/>
    </font>
    <font>
      <b/>
      <sz val="12"/>
      <name val="Calibri"/>
      <scheme val="minor"/>
    </font>
    <font>
      <b/>
      <sz val="18"/>
      <color rgb="FF000000"/>
      <name val="Calibri"/>
      <scheme val="minor"/>
    </font>
    <font>
      <sz val="12"/>
      <name val="Calibri"/>
    </font>
    <font>
      <i/>
      <sz val="12"/>
      <color rgb="FF000000"/>
      <name val="Calibri"/>
    </font>
    <font>
      <vertAlign val="superscript"/>
      <sz val="12"/>
      <color theme="1"/>
      <name val="Calibri"/>
      <scheme val="minor"/>
    </font>
    <font>
      <i/>
      <sz val="12"/>
      <color theme="1"/>
      <name val="Calibri"/>
    </font>
    <font>
      <b/>
      <sz val="12"/>
      <color rgb="FF000000"/>
      <name val="Wingdings"/>
    </font>
    <font>
      <b/>
      <sz val="12"/>
      <name val="Calibri"/>
    </font>
    <font>
      <b/>
      <vertAlign val="subscript"/>
      <sz val="12"/>
      <name val="Calibri"/>
    </font>
    <font>
      <sz val="12"/>
      <color theme="0" tint="-4.9989318521683403E-2"/>
      <name val="Calibri"/>
      <scheme val="minor"/>
    </font>
    <font>
      <sz val="10"/>
      <color theme="1"/>
      <name val="Zapf Dingbats"/>
    </font>
    <font>
      <sz val="11"/>
      <color theme="1"/>
      <name val="Calibri"/>
      <family val="2"/>
      <scheme val="minor"/>
    </font>
    <font>
      <i/>
      <sz val="12"/>
      <name val="Calibri"/>
      <family val="2"/>
    </font>
    <font>
      <sz val="11"/>
      <color indexed="8"/>
      <name val="Calibri"/>
      <family val="2"/>
    </font>
    <font>
      <sz val="11"/>
      <color theme="0"/>
      <name val="Calibri"/>
      <family val="2"/>
    </font>
    <font>
      <b/>
      <sz val="11"/>
      <color indexed="8"/>
      <name val="Calibri"/>
      <family val="2"/>
    </font>
    <font>
      <b/>
      <vertAlign val="superscript"/>
      <sz val="12"/>
      <color rgb="FFFFFFFF"/>
      <name val="Calibri"/>
    </font>
    <font>
      <b/>
      <vertAlign val="superscript"/>
      <sz val="12"/>
      <name val="Calibri"/>
    </font>
    <font>
      <sz val="12"/>
      <color indexed="8"/>
      <name val="Calibri"/>
      <family val="2"/>
    </font>
    <font>
      <vertAlign val="superscript"/>
      <sz val="11"/>
      <color theme="1"/>
      <name val="Calibri"/>
      <scheme val="minor"/>
    </font>
    <font>
      <b/>
      <sz val="14"/>
      <color indexed="12"/>
      <name val="Calibri"/>
      <family val="2"/>
    </font>
    <font>
      <b/>
      <vertAlign val="subscript"/>
      <sz val="11"/>
      <color indexed="8"/>
      <name val="Calibri"/>
    </font>
    <font>
      <vertAlign val="subscript"/>
      <sz val="11"/>
      <color indexed="8"/>
      <name val="Calibri"/>
      <family val="2"/>
    </font>
    <font>
      <vertAlign val="superscript"/>
      <sz val="11"/>
      <color indexed="8"/>
      <name val="Calibri"/>
    </font>
    <font>
      <sz val="12"/>
      <color theme="0" tint="-0.499984740745262"/>
      <name val="Calibri"/>
      <family val="2"/>
      <scheme val="minor"/>
    </font>
    <font>
      <b/>
      <sz val="20"/>
      <color rgb="FF000000"/>
      <name val="Wingdings"/>
      <charset val="2"/>
    </font>
    <font>
      <b/>
      <sz val="20"/>
      <color rgb="FF000000"/>
      <name val="Calibri"/>
      <family val="2"/>
    </font>
    <font>
      <sz val="11"/>
      <name val="Calibri"/>
      <family val="2"/>
    </font>
    <font>
      <vertAlign val="superscript"/>
      <sz val="11"/>
      <name val="Calibri"/>
    </font>
    <font>
      <b/>
      <sz val="14"/>
      <name val="Calibri"/>
      <family val="2"/>
    </font>
    <font>
      <b/>
      <sz val="14"/>
      <color rgb="FFFF0000"/>
      <name val="Calibri"/>
      <family val="2"/>
    </font>
    <font>
      <b/>
      <sz val="11"/>
      <color rgb="FFFF0000"/>
      <name val="Calibri"/>
      <family val="2"/>
    </font>
    <font>
      <b/>
      <vertAlign val="superscript"/>
      <sz val="12"/>
      <color rgb="FFFFFFFF"/>
      <name val="Calibri"/>
      <scheme val="minor"/>
    </font>
    <font>
      <sz val="11"/>
      <color rgb="FF000000"/>
      <name val="Calibri"/>
      <family val="2"/>
      <scheme val="minor"/>
    </font>
    <font>
      <sz val="16"/>
      <color theme="1"/>
      <name val="Calibri"/>
      <scheme val="minor"/>
    </font>
    <font>
      <sz val="16"/>
      <color theme="0"/>
      <name val="Calibri"/>
      <scheme val="minor"/>
    </font>
    <font>
      <sz val="14"/>
      <color theme="0"/>
      <name val="Calibri"/>
      <scheme val="minor"/>
    </font>
    <font>
      <b/>
      <sz val="14"/>
      <color theme="4"/>
      <name val="Calibri"/>
      <scheme val="minor"/>
    </font>
    <font>
      <b/>
      <sz val="16"/>
      <color theme="4"/>
      <name val="Calibri"/>
      <scheme val="minor"/>
    </font>
    <font>
      <sz val="16"/>
      <color theme="3"/>
      <name val="Calibri"/>
      <scheme val="minor"/>
    </font>
    <font>
      <sz val="16"/>
      <color theme="4"/>
      <name val="Calibri"/>
      <scheme val="minor"/>
    </font>
    <font>
      <sz val="12"/>
      <color theme="5"/>
      <name val="Calibri"/>
      <scheme val="minor"/>
    </font>
    <font>
      <b/>
      <sz val="16"/>
      <color theme="0"/>
      <name val="Calibri"/>
    </font>
    <font>
      <b/>
      <sz val="18"/>
      <color theme="0"/>
      <name val="Calibri"/>
    </font>
    <font>
      <b/>
      <sz val="30"/>
      <color theme="0"/>
      <name val="Calibri"/>
      <scheme val="minor"/>
    </font>
    <font>
      <sz val="12"/>
      <color theme="4"/>
      <name val="Calibri"/>
    </font>
    <font>
      <sz val="16"/>
      <color theme="4"/>
      <name val="Calibri"/>
    </font>
    <font>
      <sz val="14"/>
      <color theme="4"/>
      <name val="Calibri"/>
    </font>
    <font>
      <sz val="18"/>
      <color theme="4"/>
      <name val="Calibri"/>
    </font>
    <font>
      <sz val="16"/>
      <color theme="0"/>
      <name val="Calibri"/>
    </font>
    <font>
      <sz val="12"/>
      <color theme="0"/>
      <name val="Calibri"/>
    </font>
    <font>
      <sz val="18"/>
      <color theme="0"/>
      <name val="Calibri"/>
    </font>
    <font>
      <b/>
      <sz val="12"/>
      <color theme="5"/>
      <name val="Calibri"/>
    </font>
    <font>
      <b/>
      <sz val="14"/>
      <color theme="4"/>
      <name val="Calibri"/>
    </font>
    <font>
      <sz val="14"/>
      <color theme="5"/>
      <name val="Calibri"/>
      <scheme val="minor"/>
    </font>
    <font>
      <sz val="12"/>
      <color theme="5"/>
      <name val="Calibri"/>
    </font>
    <font>
      <sz val="12"/>
      <color theme="3"/>
      <name val="Calibri"/>
    </font>
    <font>
      <b/>
      <sz val="14"/>
      <color theme="5"/>
      <name val="Calibri"/>
      <scheme val="minor"/>
    </font>
    <font>
      <b/>
      <sz val="14"/>
      <color rgb="FF4F81BD"/>
      <name val="Calibri"/>
      <scheme val="minor"/>
    </font>
    <font>
      <sz val="12"/>
      <color theme="4"/>
      <name val="Calibri"/>
      <scheme val="minor"/>
    </font>
    <font>
      <sz val="30"/>
      <color theme="0"/>
      <name val="Calibri"/>
      <scheme val="minor"/>
    </font>
    <font>
      <b/>
      <sz val="12"/>
      <color rgb="FFFF0000"/>
      <name val="Calibri"/>
    </font>
    <font>
      <b/>
      <vertAlign val="subscript"/>
      <sz val="12"/>
      <color theme="0"/>
      <name val="Calibri"/>
    </font>
    <font>
      <b/>
      <vertAlign val="subscript"/>
      <sz val="18"/>
      <name val="Calibri (Body)"/>
    </font>
    <font>
      <sz val="10"/>
      <name val="Calibri (Body)"/>
    </font>
    <font>
      <sz val="11"/>
      <name val="Calibri"/>
      <scheme val="minor"/>
    </font>
    <font>
      <b/>
      <sz val="11"/>
      <name val="Calibri"/>
      <family val="2"/>
    </font>
    <font>
      <b/>
      <vertAlign val="subscript"/>
      <sz val="11"/>
      <name val="Calibri"/>
    </font>
    <font>
      <b/>
      <sz val="20"/>
      <name val="Wingdings"/>
      <charset val="2"/>
    </font>
    <font>
      <b/>
      <sz val="20"/>
      <name val="Calibri"/>
      <family val="2"/>
    </font>
    <font>
      <b/>
      <sz val="10"/>
      <color indexed="81"/>
      <name val="Calibri"/>
    </font>
    <font>
      <sz val="10"/>
      <color indexed="81"/>
      <name val="Calibri"/>
    </font>
    <font>
      <b/>
      <sz val="18"/>
      <color theme="4"/>
      <name val="Calibri"/>
      <scheme val="minor"/>
    </font>
    <font>
      <sz val="12"/>
      <color rgb="FFFF0000"/>
      <name val="Calibri"/>
      <family val="2"/>
      <scheme val="minor"/>
    </font>
    <font>
      <sz val="11"/>
      <color rgb="FFFF0000"/>
      <name val="Calibri"/>
      <family val="2"/>
    </font>
    <font>
      <sz val="11"/>
      <name val="Calibri (Body)"/>
    </font>
    <font>
      <b/>
      <vertAlign val="superscript"/>
      <sz val="12"/>
      <color theme="0"/>
      <name val="Calibri"/>
    </font>
    <font>
      <b/>
      <vertAlign val="subscript"/>
      <sz val="12"/>
      <color theme="0"/>
      <name val="Calibri (Body)"/>
    </font>
    <font>
      <sz val="14"/>
      <color theme="4"/>
      <name val="Calibri"/>
      <scheme val="minor"/>
    </font>
    <font>
      <b/>
      <vertAlign val="subscript"/>
      <sz val="14"/>
      <color theme="4"/>
      <name val="Calibri (Body)"/>
    </font>
    <font>
      <sz val="12"/>
      <color rgb="FF006100"/>
      <name val="Calibri"/>
      <family val="2"/>
      <scheme val="minor"/>
    </font>
    <font>
      <sz val="12"/>
      <color rgb="FF9C6500"/>
      <name val="Calibri"/>
      <family val="2"/>
      <scheme val="minor"/>
    </font>
    <font>
      <sz val="10"/>
      <color rgb="FF006100"/>
      <name val="Calibri"/>
      <scheme val="minor"/>
    </font>
    <font>
      <sz val="10"/>
      <color rgb="FF9C6500"/>
      <name val="Calibri"/>
      <scheme val="minor"/>
    </font>
    <font>
      <sz val="14"/>
      <name val="Calibri"/>
    </font>
    <font>
      <sz val="14"/>
      <name val="Calibri"/>
      <scheme val="minor"/>
    </font>
    <font>
      <sz val="8"/>
      <color theme="0" tint="-0.499984740745262"/>
      <name val="Calibri"/>
      <scheme val="minor"/>
    </font>
    <font>
      <b/>
      <vertAlign val="subscript"/>
      <sz val="14"/>
      <name val="Calibri"/>
    </font>
    <font>
      <vertAlign val="subscript"/>
      <sz val="11"/>
      <name val="Calibri"/>
    </font>
    <font>
      <b/>
      <sz val="12"/>
      <color theme="3"/>
      <name val="Calibri"/>
    </font>
    <font>
      <sz val="14"/>
      <color theme="3"/>
      <name val="Calibri"/>
      <scheme val="minor"/>
    </font>
    <font>
      <vertAlign val="superscript"/>
      <sz val="12"/>
      <name val="Calibri"/>
    </font>
    <font>
      <vertAlign val="superscript"/>
      <sz val="11"/>
      <name val="Calibri"/>
      <scheme val="minor"/>
    </font>
    <font>
      <vertAlign val="subscript"/>
      <sz val="11"/>
      <name val="Calibri (Body)"/>
    </font>
    <font>
      <sz val="28"/>
      <color theme="0"/>
      <name val="Calibri"/>
      <scheme val="minor"/>
    </font>
    <font>
      <sz val="14"/>
      <color rgb="FF000000"/>
      <name val="Calibri"/>
      <scheme val="minor"/>
    </font>
    <font>
      <vertAlign val="subscript"/>
      <sz val="14"/>
      <name val="Calibri"/>
      <scheme val="minor"/>
    </font>
    <font>
      <vertAlign val="subscript"/>
      <sz val="14"/>
      <color rgb="FF000000"/>
      <name val="Calibri"/>
      <scheme val="minor"/>
    </font>
    <font>
      <sz val="12"/>
      <color theme="9"/>
      <name val="Calibri"/>
    </font>
    <font>
      <sz val="12"/>
      <color theme="9"/>
      <name val="Calibri"/>
      <scheme val="minor"/>
    </font>
    <font>
      <b/>
      <sz val="16"/>
      <color theme="5"/>
      <name val="Calibri"/>
      <scheme val="minor"/>
    </font>
    <font>
      <i/>
      <sz val="14"/>
      <color rgb="FF000000"/>
      <name val="Calibri"/>
      <scheme val="minor"/>
    </font>
    <font>
      <sz val="8"/>
      <color theme="1"/>
      <name val="Calibri"/>
      <scheme val="minor"/>
    </font>
    <font>
      <b/>
      <sz val="14"/>
      <color rgb="FF000000"/>
      <name val="Calibri"/>
    </font>
    <font>
      <sz val="14"/>
      <color rgb="FF000000"/>
      <name val="Calibri"/>
    </font>
    <font>
      <sz val="12"/>
      <color theme="1"/>
      <name val="Calibri (Body)"/>
    </font>
    <font>
      <b/>
      <sz val="11"/>
      <color theme="0"/>
      <name val="Calibri"/>
    </font>
    <font>
      <b/>
      <vertAlign val="subscript"/>
      <sz val="18"/>
      <color rgb="FFFF0000"/>
      <name val="Calibri (Body)"/>
    </font>
    <font>
      <b/>
      <vertAlign val="superscript"/>
      <sz val="11"/>
      <color indexed="8"/>
      <name val="Calibri"/>
    </font>
    <font>
      <b/>
      <vertAlign val="subscript"/>
      <sz val="11"/>
      <color theme="0"/>
      <name val="Calibri"/>
    </font>
    <font>
      <vertAlign val="subscript"/>
      <sz val="12"/>
      <color theme="1"/>
      <name val="Calibri (Body)"/>
    </font>
    <font>
      <b/>
      <vertAlign val="superscript"/>
      <sz val="12"/>
      <color theme="0"/>
      <name val="Calibri (Body)"/>
    </font>
    <font>
      <b/>
      <vertAlign val="superscript"/>
      <sz val="12"/>
      <color theme="1"/>
      <name val="Calibri (Body)"/>
    </font>
    <font>
      <vertAlign val="superscript"/>
      <sz val="12"/>
      <color theme="0"/>
      <name val="Calibri (Body)"/>
    </font>
    <font>
      <vertAlign val="superscript"/>
      <sz val="12"/>
      <color theme="1"/>
      <name val="Calibri (Body)"/>
    </font>
    <font>
      <b/>
      <vertAlign val="subscript"/>
      <sz val="14"/>
      <color theme="4"/>
      <name val="Calibri"/>
    </font>
    <font>
      <b/>
      <sz val="12"/>
      <color indexed="8"/>
      <name val="Calibri"/>
    </font>
    <font>
      <b/>
      <sz val="11"/>
      <color theme="1"/>
      <name val="Calibri"/>
      <family val="2"/>
      <scheme val="minor"/>
    </font>
    <font>
      <vertAlign val="subscript"/>
      <sz val="11"/>
      <color theme="0"/>
      <name val="Calibri"/>
    </font>
    <font>
      <vertAlign val="subscript"/>
      <sz val="11"/>
      <color theme="0"/>
      <name val="Calibri (Body)"/>
    </font>
    <font>
      <i/>
      <sz val="11"/>
      <color indexed="8"/>
      <name val="Calibri"/>
    </font>
    <font>
      <vertAlign val="subscript"/>
      <sz val="11"/>
      <color theme="1"/>
      <name val="Calibri"/>
      <scheme val="minor"/>
    </font>
    <font>
      <b/>
      <vertAlign val="superscript"/>
      <sz val="12"/>
      <color indexed="8"/>
      <name val="Calibri"/>
    </font>
    <font>
      <vertAlign val="subscript"/>
      <sz val="12"/>
      <name val="Calibri"/>
    </font>
    <font>
      <b/>
      <vertAlign val="subscript"/>
      <sz val="12"/>
      <color indexed="8"/>
      <name val="Calibri"/>
    </font>
    <font>
      <vertAlign val="superscript"/>
      <sz val="12"/>
      <color theme="0"/>
      <name val="Calibri"/>
    </font>
    <font>
      <sz val="10"/>
      <name val="Arial"/>
      <family val="2"/>
    </font>
    <font>
      <sz val="11"/>
      <color theme="1"/>
      <name val="Calibri"/>
      <family val="2"/>
    </font>
    <font>
      <vertAlign val="subscript"/>
      <sz val="11"/>
      <color theme="1"/>
      <name val="Calibri"/>
      <family val="2"/>
    </font>
    <font>
      <i/>
      <sz val="12"/>
      <color rgb="FFFF0000"/>
      <name val="Calibri"/>
      <scheme val="minor"/>
    </font>
    <font>
      <b/>
      <sz val="14"/>
      <color theme="0"/>
      <name val="Calibri"/>
      <scheme val="minor"/>
    </font>
    <font>
      <sz val="12"/>
      <color theme="0" tint="-0.14999847407452621"/>
      <name val="Calibri"/>
      <family val="2"/>
      <scheme val="minor"/>
    </font>
    <font>
      <i/>
      <sz val="14"/>
      <name val="Calibri"/>
      <scheme val="minor"/>
    </font>
    <font>
      <sz val="16"/>
      <name val="Calibri"/>
    </font>
    <font>
      <sz val="14"/>
      <color theme="9"/>
      <name val="Calibri"/>
      <scheme val="minor"/>
    </font>
    <font>
      <i/>
      <sz val="14"/>
      <color theme="1"/>
      <name val="Calibri"/>
      <scheme val="minor"/>
    </font>
    <font>
      <sz val="100"/>
      <color theme="0"/>
      <name val="Calibri"/>
      <scheme val="minor"/>
    </font>
    <font>
      <sz val="16"/>
      <color theme="0" tint="-0.14999847407452621"/>
      <name val="Calibri"/>
      <scheme val="minor"/>
    </font>
    <font>
      <sz val="14"/>
      <color theme="0" tint="-0.14999847407452621"/>
      <name val="Calibri"/>
      <scheme val="minor"/>
    </font>
    <font>
      <sz val="8"/>
      <name val="Calibri"/>
    </font>
    <font>
      <sz val="26"/>
      <color theme="0"/>
      <name val="Calibri"/>
      <scheme val="minor"/>
    </font>
    <font>
      <b/>
      <sz val="16"/>
      <color theme="0"/>
      <name val="Calibri"/>
      <scheme val="minor"/>
    </font>
    <font>
      <b/>
      <sz val="12"/>
      <color theme="5"/>
      <name val="Calibri"/>
      <scheme val="minor"/>
    </font>
    <font>
      <sz val="11"/>
      <color theme="5"/>
      <name val="Calibri"/>
    </font>
    <font>
      <vertAlign val="subscript"/>
      <sz val="14"/>
      <name val="Calibri"/>
    </font>
    <font>
      <b/>
      <vertAlign val="subscript"/>
      <sz val="11"/>
      <name val="Calibri"/>
      <scheme val="minor"/>
    </font>
    <font>
      <vertAlign val="subscript"/>
      <sz val="14"/>
      <name val="Calibri (Body)"/>
    </font>
    <font>
      <vertAlign val="superscript"/>
      <sz val="12"/>
      <name val="Calibri"/>
      <scheme val="minor"/>
    </font>
    <font>
      <sz val="8"/>
      <color theme="0" tint="-0.249977111117893"/>
      <name val="Calibri"/>
      <scheme val="minor"/>
    </font>
    <font>
      <sz val="11"/>
      <color theme="0"/>
      <name val="Calibri"/>
      <scheme val="minor"/>
    </font>
    <font>
      <b/>
      <sz val="11"/>
      <color rgb="FFFFFFFF"/>
      <name val="Calibri"/>
    </font>
    <font>
      <b/>
      <sz val="10"/>
      <color rgb="FFFFFFFF"/>
      <name val="Calibri"/>
    </font>
    <font>
      <b/>
      <sz val="9"/>
      <color rgb="FFFFFFFF"/>
      <name val="Calibri"/>
    </font>
    <font>
      <sz val="9"/>
      <color theme="0" tint="-0.249977111117893"/>
      <name val="Calibri"/>
      <scheme val="minor"/>
    </font>
    <font>
      <sz val="12"/>
      <color rgb="FF1F497D"/>
      <name val="Calibri"/>
      <scheme val="minor"/>
    </font>
    <font>
      <strike/>
      <sz val="12"/>
      <color rgb="FFFF0000"/>
      <name val="Calibri"/>
    </font>
    <font>
      <b/>
      <sz val="14"/>
      <color rgb="FF000000"/>
      <name val="Calibri"/>
      <scheme val="minor"/>
    </font>
    <font>
      <sz val="8"/>
      <color theme="0"/>
      <name val="Calibri"/>
      <scheme val="minor"/>
    </font>
  </fonts>
  <fills count="45">
    <fill>
      <patternFill patternType="none"/>
    </fill>
    <fill>
      <patternFill patternType="gray125"/>
    </fill>
    <fill>
      <patternFill patternType="solid">
        <fgColor rgb="FFD9D9D9"/>
        <bgColor indexed="64"/>
      </patternFill>
    </fill>
    <fill>
      <patternFill patternType="solid">
        <fgColor theme="0" tint="-0.249977111117893"/>
        <bgColor indexed="64"/>
      </patternFill>
    </fill>
    <fill>
      <patternFill patternType="solid">
        <fgColor theme="1" tint="0.499984740745262"/>
        <bgColor indexed="64"/>
      </patternFill>
    </fill>
    <fill>
      <patternFill patternType="solid">
        <fgColor rgb="FF808080"/>
        <bgColor indexed="64"/>
      </patternFill>
    </fill>
    <fill>
      <patternFill patternType="solid">
        <fgColor rgb="FFFFFFFF"/>
        <bgColor indexed="64"/>
      </patternFill>
    </fill>
    <fill>
      <patternFill patternType="solid">
        <fgColor rgb="FFE2F2E0"/>
        <bgColor indexed="64"/>
      </patternFill>
    </fill>
    <fill>
      <patternFill patternType="solid">
        <fgColor rgb="FFB8CDE7"/>
        <bgColor indexed="64"/>
      </patternFill>
    </fill>
    <fill>
      <patternFill patternType="solid">
        <fgColor rgb="FFE6D5ED"/>
        <bgColor indexed="64"/>
      </patternFill>
    </fill>
    <fill>
      <patternFill patternType="solid">
        <fgColor rgb="FFFDE9D9"/>
        <bgColor indexed="64"/>
      </patternFill>
    </fill>
    <fill>
      <patternFill patternType="solid">
        <fgColor rgb="FFEAF1DD"/>
        <bgColor indexed="64"/>
      </patternFill>
    </fill>
    <fill>
      <patternFill patternType="solid">
        <fgColor rgb="FFDBE5F1"/>
        <bgColor indexed="64"/>
      </patternFill>
    </fill>
    <fill>
      <patternFill patternType="solid">
        <fgColor theme="0"/>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FF"/>
        <bgColor rgb="FF000000"/>
      </patternFill>
    </fill>
    <fill>
      <patternFill patternType="solid">
        <fgColor theme="3" tint="0.79998168889431442"/>
        <bgColor indexed="64"/>
      </patternFill>
    </fill>
    <fill>
      <patternFill patternType="solid">
        <fgColor theme="0" tint="-4.9989318521683403E-2"/>
        <bgColor indexed="64"/>
      </patternFill>
    </fill>
    <fill>
      <patternFill patternType="solid">
        <fgColor rgb="FFD9D9D9"/>
        <bgColor rgb="FF000000"/>
      </patternFill>
    </fill>
    <fill>
      <patternFill patternType="solid">
        <fgColor theme="0"/>
        <bgColor rgb="FF000000"/>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bgColor indexed="64"/>
      </patternFill>
    </fill>
    <fill>
      <patternFill patternType="solid">
        <fgColor theme="4" tint="0.79998168889431442"/>
        <bgColor indexed="64"/>
      </patternFill>
    </fill>
    <fill>
      <patternFill patternType="solid">
        <fgColor rgb="FF4F81BD"/>
        <bgColor rgb="FF000000"/>
      </patternFill>
    </fill>
    <fill>
      <patternFill patternType="solid">
        <fgColor theme="5" tint="0.79998168889431442"/>
        <bgColor indexed="64"/>
      </patternFill>
    </fill>
    <fill>
      <patternFill patternType="solid">
        <fgColor theme="5"/>
        <bgColor indexed="64"/>
      </patternFill>
    </fill>
    <fill>
      <patternFill patternType="solid">
        <fgColor theme="4" tint="0.79998168889431442"/>
        <bgColor rgb="FF000000"/>
      </patternFill>
    </fill>
    <fill>
      <patternFill patternType="solid">
        <fgColor theme="4"/>
        <bgColor rgb="FF000000"/>
      </patternFill>
    </fill>
    <fill>
      <patternFill patternType="solid">
        <fgColor theme="9"/>
        <bgColor indexed="64"/>
      </patternFill>
    </fill>
    <fill>
      <patternFill patternType="solid">
        <fgColor rgb="FFC6EFCE"/>
      </patternFill>
    </fill>
    <fill>
      <patternFill patternType="solid">
        <fgColor rgb="FFFFEB9C"/>
      </patternFill>
    </fill>
    <fill>
      <patternFill patternType="solid">
        <fgColor rgb="FF95B3D7"/>
        <bgColor rgb="FF000000"/>
      </patternFill>
    </fill>
    <fill>
      <patternFill patternType="solid">
        <fgColor theme="6"/>
        <bgColor indexed="64"/>
      </patternFill>
    </fill>
    <fill>
      <patternFill patternType="solid">
        <fgColor theme="7"/>
      </patternFill>
    </fill>
    <fill>
      <patternFill patternType="solid">
        <fgColor rgb="FFCCFFCC"/>
        <bgColor indexed="64"/>
      </patternFill>
    </fill>
    <fill>
      <patternFill patternType="solid">
        <fgColor rgb="FFDCE6F1"/>
        <bgColor rgb="FF000000"/>
      </patternFill>
    </fill>
    <fill>
      <patternFill patternType="solid">
        <fgColor theme="0" tint="-0.14999847407452621"/>
        <bgColor rgb="FF000000"/>
      </patternFill>
    </fill>
    <fill>
      <patternFill patternType="solid">
        <fgColor rgb="FFEBF1DE"/>
        <bgColor rgb="FF000000"/>
      </patternFill>
    </fill>
    <fill>
      <patternFill patternType="solid">
        <fgColor rgb="FFF2DCDB"/>
        <bgColor rgb="FF000000"/>
      </patternFill>
    </fill>
    <fill>
      <patternFill patternType="solid">
        <fgColor rgb="FFFDE9D9"/>
        <bgColor rgb="FF000000"/>
      </patternFill>
    </fill>
    <fill>
      <patternFill patternType="solid">
        <fgColor rgb="FFB8CDE7"/>
        <bgColor rgb="FF000000"/>
      </patternFill>
    </fill>
  </fills>
  <borders count="18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right/>
      <top/>
      <bottom style="thin">
        <color auto="1"/>
      </bottom>
      <diagonal/>
    </border>
    <border>
      <left/>
      <right style="medium">
        <color auto="1"/>
      </right>
      <top style="thin">
        <color auto="1"/>
      </top>
      <bottom style="thin">
        <color auto="1"/>
      </bottom>
      <diagonal/>
    </border>
    <border>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right/>
      <top style="thin">
        <color auto="1"/>
      </top>
      <bottom/>
      <diagonal/>
    </border>
    <border>
      <left style="thin">
        <color auto="1"/>
      </left>
      <right style="medium">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right style="thin">
        <color auto="1"/>
      </right>
      <top/>
      <bottom style="thin">
        <color auto="1"/>
      </bottom>
      <diagonal/>
    </border>
    <border>
      <left style="medium">
        <color auto="1"/>
      </left>
      <right/>
      <top style="thin">
        <color auto="1"/>
      </top>
      <bottom style="thin">
        <color auto="1"/>
      </bottom>
      <diagonal/>
    </border>
    <border>
      <left style="thin">
        <color auto="1"/>
      </left>
      <right/>
      <top/>
      <bottom/>
      <diagonal/>
    </border>
    <border>
      <left style="medium">
        <color auto="1"/>
      </left>
      <right/>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style="thin">
        <color theme="0"/>
      </bottom>
      <diagonal/>
    </border>
    <border>
      <left/>
      <right style="thin">
        <color theme="0"/>
      </right>
      <top/>
      <bottom style="thin">
        <color theme="0"/>
      </bottom>
      <diagonal/>
    </border>
    <border>
      <left style="thin">
        <color theme="0" tint="-0.14999847407452621"/>
      </left>
      <right style="thin">
        <color theme="0" tint="-0.14999847407452621"/>
      </right>
      <top/>
      <bottom/>
      <diagonal/>
    </border>
    <border>
      <left style="thin">
        <color theme="0"/>
      </left>
      <right style="thin">
        <color theme="0"/>
      </right>
      <top style="thin">
        <color theme="0"/>
      </top>
      <bottom style="thin">
        <color theme="0"/>
      </bottom>
      <diagonal/>
    </border>
    <border>
      <left/>
      <right style="thin">
        <color auto="1"/>
      </right>
      <top/>
      <bottom/>
      <diagonal/>
    </border>
    <border>
      <left style="thin">
        <color auto="1"/>
      </left>
      <right style="thin">
        <color auto="1"/>
      </right>
      <top/>
      <bottom/>
      <diagonal/>
    </border>
    <border>
      <left style="medium">
        <color auto="1"/>
      </left>
      <right style="thin">
        <color auto="1"/>
      </right>
      <top/>
      <bottom/>
      <diagonal/>
    </border>
    <border>
      <left style="medium">
        <color auto="1"/>
      </left>
      <right/>
      <top style="thin">
        <color auto="1"/>
      </top>
      <bottom style="medium">
        <color auto="1"/>
      </bottom>
      <diagonal/>
    </border>
    <border>
      <left/>
      <right/>
      <top/>
      <bottom style="thin">
        <color theme="0"/>
      </bottom>
      <diagonal/>
    </border>
    <border>
      <left style="thin">
        <color rgb="FFD9D9D9"/>
      </left>
      <right style="thin">
        <color rgb="FFD9D9D9"/>
      </right>
      <top/>
      <bottom/>
      <diagonal/>
    </border>
    <border>
      <left/>
      <right style="thin">
        <color rgb="FFD9D9D9"/>
      </right>
      <top/>
      <bottom/>
      <diagonal/>
    </border>
    <border>
      <left/>
      <right/>
      <top/>
      <bottom style="thick">
        <color theme="4"/>
      </bottom>
      <diagonal/>
    </border>
    <border>
      <left style="thin">
        <color theme="4"/>
      </left>
      <right/>
      <top/>
      <bottom/>
      <diagonal/>
    </border>
    <border>
      <left/>
      <right/>
      <top style="thin">
        <color theme="4"/>
      </top>
      <bottom style="thin">
        <color theme="0"/>
      </bottom>
      <diagonal/>
    </border>
    <border>
      <left/>
      <right style="thin">
        <color theme="0"/>
      </right>
      <top style="thin">
        <color theme="4"/>
      </top>
      <bottom style="thin">
        <color theme="0"/>
      </bottom>
      <diagonal/>
    </border>
    <border>
      <left style="thin">
        <color theme="0"/>
      </left>
      <right style="thin">
        <color theme="0"/>
      </right>
      <top style="thin">
        <color theme="4"/>
      </top>
      <bottom style="thin">
        <color theme="0"/>
      </bottom>
      <diagonal/>
    </border>
    <border>
      <left style="thin">
        <color theme="0"/>
      </left>
      <right style="thin">
        <color theme="4"/>
      </right>
      <top style="thin">
        <color theme="4"/>
      </top>
      <bottom style="thin">
        <color theme="0"/>
      </bottom>
      <diagonal/>
    </border>
    <border>
      <left style="thin">
        <color theme="4"/>
      </left>
      <right style="thin">
        <color theme="4"/>
      </right>
      <top style="thin">
        <color theme="4"/>
      </top>
      <bottom style="thin">
        <color theme="4"/>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right style="thin">
        <color theme="4"/>
      </right>
      <top/>
      <bottom/>
      <diagonal/>
    </border>
    <border>
      <left style="thin">
        <color theme="4"/>
      </left>
      <right/>
      <top/>
      <bottom style="thin">
        <color theme="4"/>
      </bottom>
      <diagonal/>
    </border>
    <border>
      <left/>
      <right/>
      <top/>
      <bottom style="thin">
        <color theme="4"/>
      </bottom>
      <diagonal/>
    </border>
    <border>
      <left/>
      <right style="thin">
        <color theme="4"/>
      </right>
      <top/>
      <bottom style="thin">
        <color theme="4"/>
      </bottom>
      <diagonal/>
    </border>
    <border>
      <left/>
      <right style="thin">
        <color theme="0"/>
      </right>
      <top style="thin">
        <color theme="4"/>
      </top>
      <bottom/>
      <diagonal/>
    </border>
    <border>
      <left style="thin">
        <color theme="4"/>
      </left>
      <right/>
      <top/>
      <bottom style="thin">
        <color theme="0"/>
      </bottom>
      <diagonal/>
    </border>
    <border>
      <left/>
      <right style="thin">
        <color theme="4"/>
      </right>
      <top/>
      <bottom style="thin">
        <color theme="0"/>
      </bottom>
      <diagonal/>
    </border>
    <border>
      <left/>
      <right style="thin">
        <color theme="4"/>
      </right>
      <top style="thin">
        <color theme="4"/>
      </top>
      <bottom style="thin">
        <color theme="4"/>
      </bottom>
      <diagonal/>
    </border>
    <border>
      <left/>
      <right style="thin">
        <color theme="0"/>
      </right>
      <top/>
      <bottom/>
      <diagonal/>
    </border>
    <border>
      <left style="thin">
        <color theme="0"/>
      </left>
      <right/>
      <top style="thin">
        <color theme="4"/>
      </top>
      <bottom/>
      <diagonal/>
    </border>
    <border>
      <left style="thin">
        <color theme="4"/>
      </left>
      <right/>
      <top style="thin">
        <color theme="4"/>
      </top>
      <bottom style="thin">
        <color theme="4"/>
      </bottom>
      <diagonal/>
    </border>
    <border>
      <left/>
      <right/>
      <top style="thin">
        <color theme="4"/>
      </top>
      <bottom style="thin">
        <color theme="4"/>
      </bottom>
      <diagonal/>
    </border>
    <border>
      <left style="thin">
        <color theme="0"/>
      </left>
      <right/>
      <top/>
      <bottom style="thin">
        <color theme="4"/>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theme="3"/>
      </left>
      <right style="thin">
        <color theme="3"/>
      </right>
      <top style="thin">
        <color theme="3"/>
      </top>
      <bottom style="thin">
        <color theme="3"/>
      </bottom>
      <diagonal/>
    </border>
    <border>
      <left style="thin">
        <color theme="3"/>
      </left>
      <right style="thin">
        <color theme="0"/>
      </right>
      <top style="thin">
        <color theme="3"/>
      </top>
      <bottom style="thin">
        <color theme="0"/>
      </bottom>
      <diagonal/>
    </border>
    <border>
      <left style="thin">
        <color theme="0"/>
      </left>
      <right style="thin">
        <color theme="0"/>
      </right>
      <top style="thin">
        <color theme="3"/>
      </top>
      <bottom style="thin">
        <color theme="0"/>
      </bottom>
      <diagonal/>
    </border>
    <border>
      <left style="thin">
        <color theme="0"/>
      </left>
      <right style="thin">
        <color theme="3"/>
      </right>
      <top style="thin">
        <color theme="3"/>
      </top>
      <bottom style="thin">
        <color theme="0"/>
      </bottom>
      <diagonal/>
    </border>
    <border>
      <left style="thin">
        <color theme="0"/>
      </left>
      <right style="thin">
        <color theme="0"/>
      </right>
      <top style="thin">
        <color theme="3"/>
      </top>
      <bottom/>
      <diagonal/>
    </border>
    <border>
      <left/>
      <right style="thin">
        <color theme="3"/>
      </right>
      <top style="thin">
        <color theme="3"/>
      </top>
      <bottom/>
      <diagonal/>
    </border>
    <border>
      <left/>
      <right style="thin">
        <color theme="3"/>
      </right>
      <top/>
      <bottom style="thin">
        <color theme="3"/>
      </bottom>
      <diagonal/>
    </border>
    <border>
      <left style="thin">
        <color theme="0"/>
      </left>
      <right/>
      <top/>
      <bottom/>
      <diagonal/>
    </border>
    <border>
      <left style="thin">
        <color theme="3"/>
      </left>
      <right/>
      <top style="thin">
        <color theme="3"/>
      </top>
      <bottom style="thin">
        <color theme="3"/>
      </bottom>
      <diagonal/>
    </border>
    <border>
      <left/>
      <right/>
      <top style="thin">
        <color theme="3"/>
      </top>
      <bottom style="thin">
        <color theme="3"/>
      </bottom>
      <diagonal/>
    </border>
    <border>
      <left/>
      <right style="thin">
        <color theme="3"/>
      </right>
      <top style="thin">
        <color theme="3"/>
      </top>
      <bottom style="thin">
        <color theme="3"/>
      </bottom>
      <diagonal/>
    </border>
    <border>
      <left style="thin">
        <color theme="3"/>
      </left>
      <right/>
      <top/>
      <bottom/>
      <diagonal/>
    </border>
    <border>
      <left style="thin">
        <color theme="3"/>
      </left>
      <right style="thin">
        <color theme="3"/>
      </right>
      <top/>
      <bottom style="thin">
        <color theme="3"/>
      </bottom>
      <diagonal/>
    </border>
    <border>
      <left style="thin">
        <color theme="3"/>
      </left>
      <right style="thin">
        <color theme="3"/>
      </right>
      <top style="thin">
        <color theme="3"/>
      </top>
      <bottom/>
      <diagonal/>
    </border>
    <border>
      <left style="thin">
        <color theme="0"/>
      </left>
      <right style="thin">
        <color theme="3"/>
      </right>
      <top style="thin">
        <color theme="0"/>
      </top>
      <bottom/>
      <diagonal/>
    </border>
    <border>
      <left style="thin">
        <color theme="3"/>
      </left>
      <right style="thin">
        <color theme="0"/>
      </right>
      <top style="thin">
        <color theme="0"/>
      </top>
      <bottom/>
      <diagonal/>
    </border>
    <border>
      <left style="thin">
        <color theme="0"/>
      </left>
      <right/>
      <top style="thin">
        <color theme="3"/>
      </top>
      <bottom style="thin">
        <color theme="0"/>
      </bottom>
      <diagonal/>
    </border>
    <border>
      <left/>
      <right/>
      <top style="thin">
        <color theme="3"/>
      </top>
      <bottom style="thin">
        <color theme="0"/>
      </bottom>
      <diagonal/>
    </border>
    <border>
      <left style="thin">
        <color theme="0"/>
      </left>
      <right style="thin">
        <color theme="0"/>
      </right>
      <top/>
      <bottom/>
      <diagonal/>
    </border>
    <border>
      <left/>
      <right/>
      <top style="thin">
        <color theme="0"/>
      </top>
      <bottom style="thin">
        <color theme="4"/>
      </bottom>
      <diagonal/>
    </border>
    <border>
      <left/>
      <right style="thin">
        <color theme="4"/>
      </right>
      <top style="thin">
        <color theme="0"/>
      </top>
      <bottom style="thin">
        <color theme="4"/>
      </bottom>
      <diagonal/>
    </border>
    <border>
      <left style="thin">
        <color theme="0"/>
      </left>
      <right/>
      <top style="thin">
        <color theme="4"/>
      </top>
      <bottom style="thin">
        <color theme="4"/>
      </bottom>
      <diagonal/>
    </border>
    <border>
      <left/>
      <right style="thin">
        <color theme="0"/>
      </right>
      <top style="thin">
        <color theme="4"/>
      </top>
      <bottom style="thin">
        <color theme="4"/>
      </bottom>
      <diagonal/>
    </border>
    <border>
      <left/>
      <right style="thin">
        <color theme="4"/>
      </right>
      <top style="thin">
        <color theme="0"/>
      </top>
      <bottom style="thin">
        <color theme="0"/>
      </bottom>
      <diagonal/>
    </border>
    <border>
      <left style="thin">
        <color theme="4"/>
      </left>
      <right style="thin">
        <color theme="4"/>
      </right>
      <top style="thin">
        <color theme="4"/>
      </top>
      <bottom/>
      <diagonal/>
    </border>
    <border>
      <left style="thin">
        <color theme="4"/>
      </left>
      <right style="thin">
        <color theme="4"/>
      </right>
      <top/>
      <bottom style="thin">
        <color theme="4"/>
      </bottom>
      <diagonal/>
    </border>
    <border>
      <left/>
      <right style="thin">
        <color rgb="FFFFFFFF"/>
      </right>
      <top style="thin">
        <color rgb="FFFFFFFF"/>
      </top>
      <bottom style="thin">
        <color rgb="FFFFFFFF"/>
      </bottom>
      <diagonal/>
    </border>
    <border>
      <left style="thin">
        <color theme="0"/>
      </left>
      <right/>
      <top style="thin">
        <color rgb="FFFFFFFF"/>
      </top>
      <bottom style="thin">
        <color rgb="FFFFFFFF"/>
      </bottom>
      <diagonal/>
    </border>
    <border>
      <left style="thin">
        <color theme="3"/>
      </left>
      <right style="thin">
        <color theme="0"/>
      </right>
      <top style="thin">
        <color theme="3"/>
      </top>
      <bottom style="thin">
        <color theme="3"/>
      </bottom>
      <diagonal/>
    </border>
    <border>
      <left style="thin">
        <color theme="0"/>
      </left>
      <right style="thin">
        <color theme="0"/>
      </right>
      <top style="thin">
        <color theme="3"/>
      </top>
      <bottom style="thin">
        <color theme="3"/>
      </bottom>
      <diagonal/>
    </border>
    <border>
      <left style="thin">
        <color theme="0"/>
      </left>
      <right style="thin">
        <color theme="3"/>
      </right>
      <top style="thin">
        <color theme="3"/>
      </top>
      <bottom style="thin">
        <color theme="3"/>
      </bottom>
      <diagonal/>
    </border>
    <border>
      <left/>
      <right style="thin">
        <color theme="0"/>
      </right>
      <top/>
      <bottom style="thin">
        <color theme="4"/>
      </bottom>
      <diagonal/>
    </border>
    <border>
      <left style="thin">
        <color theme="0"/>
      </left>
      <right style="thin">
        <color theme="0"/>
      </right>
      <top style="thin">
        <color theme="4"/>
      </top>
      <bottom style="thin">
        <color theme="4"/>
      </bottom>
      <diagonal/>
    </border>
    <border>
      <left style="thin">
        <color theme="4"/>
      </left>
      <right style="thin">
        <color theme="0"/>
      </right>
      <top style="thin">
        <color theme="4"/>
      </top>
      <bottom style="thin">
        <color theme="4"/>
      </bottom>
      <diagonal/>
    </border>
    <border>
      <left style="thin">
        <color theme="0"/>
      </left>
      <right style="thin">
        <color theme="4"/>
      </right>
      <top style="thin">
        <color theme="0"/>
      </top>
      <bottom style="thin">
        <color theme="4"/>
      </bottom>
      <diagonal/>
    </border>
    <border>
      <left/>
      <right style="thin">
        <color theme="3"/>
      </right>
      <top style="thin">
        <color theme="3"/>
      </top>
      <bottom style="thin">
        <color theme="0"/>
      </bottom>
      <diagonal/>
    </border>
    <border>
      <left style="thin">
        <color theme="0"/>
      </left>
      <right style="thin">
        <color theme="0"/>
      </right>
      <top/>
      <bottom style="thin">
        <color theme="4"/>
      </bottom>
      <diagonal/>
    </border>
    <border>
      <left style="thin">
        <color theme="0"/>
      </left>
      <right style="thin">
        <color theme="0"/>
      </right>
      <top style="thin">
        <color theme="4"/>
      </top>
      <bottom/>
      <diagonal/>
    </border>
    <border>
      <left style="thin">
        <color theme="3"/>
      </left>
      <right style="thin">
        <color auto="1"/>
      </right>
      <top style="thin">
        <color theme="3"/>
      </top>
      <bottom style="thin">
        <color auto="1"/>
      </bottom>
      <diagonal/>
    </border>
    <border>
      <left style="thin">
        <color auto="1"/>
      </left>
      <right style="thin">
        <color auto="1"/>
      </right>
      <top style="thin">
        <color theme="3"/>
      </top>
      <bottom style="thin">
        <color auto="1"/>
      </bottom>
      <diagonal/>
    </border>
    <border>
      <left style="thin">
        <color auto="1"/>
      </left>
      <right style="thin">
        <color theme="0"/>
      </right>
      <top style="thin">
        <color auto="1"/>
      </top>
      <bottom style="thin">
        <color theme="0"/>
      </bottom>
      <diagonal/>
    </border>
    <border>
      <left style="thin">
        <color theme="0"/>
      </left>
      <right style="thin">
        <color theme="0"/>
      </right>
      <top style="thin">
        <color auto="1"/>
      </top>
      <bottom style="thin">
        <color theme="0"/>
      </bottom>
      <diagonal/>
    </border>
    <border>
      <left style="thin">
        <color theme="0"/>
      </left>
      <right style="thin">
        <color auto="1"/>
      </right>
      <top style="thin">
        <color auto="1"/>
      </top>
      <bottom style="thin">
        <color theme="0"/>
      </bottom>
      <diagonal/>
    </border>
    <border>
      <left style="thin">
        <color auto="1"/>
      </left>
      <right style="thin">
        <color theme="0"/>
      </right>
      <top style="thin">
        <color theme="0"/>
      </top>
      <bottom style="thin">
        <color auto="1"/>
      </bottom>
      <diagonal/>
    </border>
    <border>
      <left style="thin">
        <color theme="0"/>
      </left>
      <right style="thin">
        <color theme="0"/>
      </right>
      <top style="thin">
        <color theme="0"/>
      </top>
      <bottom style="thin">
        <color auto="1"/>
      </bottom>
      <diagonal/>
    </border>
    <border>
      <left style="thin">
        <color theme="0"/>
      </left>
      <right style="thin">
        <color auto="1"/>
      </right>
      <top style="thin">
        <color theme="0"/>
      </top>
      <bottom style="thin">
        <color auto="1"/>
      </bottom>
      <diagonal/>
    </border>
    <border>
      <left/>
      <right style="thin">
        <color theme="0"/>
      </right>
      <top style="thin">
        <color auto="1"/>
      </top>
      <bottom/>
      <diagonal/>
    </border>
    <border>
      <left style="thin">
        <color theme="0"/>
      </left>
      <right style="thin">
        <color theme="0"/>
      </right>
      <top style="thin">
        <color auto="1"/>
      </top>
      <bottom/>
      <diagonal/>
    </border>
    <border>
      <left style="thin">
        <color theme="0"/>
      </left>
      <right style="thin">
        <color auto="1"/>
      </right>
      <top style="thin">
        <color auto="1"/>
      </top>
      <bottom/>
      <diagonal/>
    </border>
    <border>
      <left/>
      <right style="thin">
        <color theme="0"/>
      </right>
      <top/>
      <bottom style="thin">
        <color auto="1"/>
      </bottom>
      <diagonal/>
    </border>
    <border>
      <left style="thin">
        <color theme="0"/>
      </left>
      <right style="thin">
        <color theme="0"/>
      </right>
      <top/>
      <bottom style="thin">
        <color auto="1"/>
      </bottom>
      <diagonal/>
    </border>
    <border>
      <left style="thin">
        <color theme="0"/>
      </left>
      <right style="thin">
        <color auto="1"/>
      </right>
      <top/>
      <bottom style="thin">
        <color auto="1"/>
      </bottom>
      <diagonal/>
    </border>
    <border>
      <left style="thin">
        <color theme="0"/>
      </left>
      <right style="thin">
        <color theme="4"/>
      </right>
      <top/>
      <bottom style="thin">
        <color theme="4"/>
      </bottom>
      <diagonal/>
    </border>
    <border>
      <left style="thin">
        <color theme="4"/>
      </left>
      <right style="thin">
        <color theme="0"/>
      </right>
      <top style="thin">
        <color theme="4"/>
      </top>
      <bottom/>
      <diagonal/>
    </border>
    <border>
      <left style="thin">
        <color theme="0"/>
      </left>
      <right style="thin">
        <color theme="4"/>
      </right>
      <top style="thin">
        <color theme="4"/>
      </top>
      <bottom/>
      <diagonal/>
    </border>
    <border>
      <left style="thin">
        <color theme="4"/>
      </left>
      <right style="thin">
        <color theme="0"/>
      </right>
      <top/>
      <bottom style="thin">
        <color theme="4"/>
      </bottom>
      <diagonal/>
    </border>
    <border>
      <left style="thin">
        <color theme="4"/>
      </left>
      <right style="thin">
        <color theme="0"/>
      </right>
      <top style="thin">
        <color theme="4"/>
      </top>
      <bottom style="thin">
        <color theme="0"/>
      </bottom>
      <diagonal/>
    </border>
    <border>
      <left style="thin">
        <color theme="4"/>
      </left>
      <right style="thin">
        <color theme="0"/>
      </right>
      <top style="thin">
        <color theme="0"/>
      </top>
      <bottom style="thin">
        <color theme="4"/>
      </bottom>
      <diagonal/>
    </border>
    <border>
      <left style="thin">
        <color theme="0"/>
      </left>
      <right style="thin">
        <color theme="0"/>
      </right>
      <top style="thin">
        <color theme="0"/>
      </top>
      <bottom style="thin">
        <color theme="4"/>
      </bottom>
      <diagonal/>
    </border>
    <border>
      <left style="thin">
        <color theme="4"/>
      </left>
      <right style="thin">
        <color theme="0"/>
      </right>
      <top style="thin">
        <color theme="0"/>
      </top>
      <bottom style="thin">
        <color auto="1"/>
      </bottom>
      <diagonal/>
    </border>
    <border>
      <left style="thin">
        <color theme="0"/>
      </left>
      <right style="thin">
        <color theme="4"/>
      </right>
      <top style="thin">
        <color theme="0"/>
      </top>
      <bottom style="thin">
        <color auto="1"/>
      </bottom>
      <diagonal/>
    </border>
    <border>
      <left style="thin">
        <color auto="1"/>
      </left>
      <right style="thin">
        <color theme="0"/>
      </right>
      <top/>
      <bottom/>
      <diagonal/>
    </border>
    <border>
      <left style="thin">
        <color theme="0"/>
      </left>
      <right style="thin">
        <color theme="0"/>
      </right>
      <top style="thin">
        <color auto="1"/>
      </top>
      <bottom style="thin">
        <color auto="1"/>
      </bottom>
      <diagonal/>
    </border>
    <border>
      <left style="thin">
        <color theme="0"/>
      </left>
      <right style="thin">
        <color auto="1"/>
      </right>
      <top style="thin">
        <color theme="0"/>
      </top>
      <bottom style="thin">
        <color theme="0"/>
      </bottom>
      <diagonal/>
    </border>
    <border>
      <left style="thin">
        <color auto="1"/>
      </left>
      <right style="thin">
        <color theme="0"/>
      </right>
      <top style="thin">
        <color auto="1"/>
      </top>
      <bottom/>
      <diagonal/>
    </border>
    <border>
      <left style="thin">
        <color auto="1"/>
      </left>
      <right style="thin">
        <color theme="0"/>
      </right>
      <top/>
      <bottom style="thin">
        <color auto="1"/>
      </bottom>
      <diagonal/>
    </border>
    <border>
      <left style="thin">
        <color auto="1"/>
      </left>
      <right style="thin">
        <color theme="0"/>
      </right>
      <top style="thin">
        <color auto="1"/>
      </top>
      <bottom style="thin">
        <color auto="1"/>
      </bottom>
      <diagonal/>
    </border>
    <border>
      <left/>
      <right style="medium">
        <color auto="1"/>
      </right>
      <top/>
      <bottom style="thin">
        <color auto="1"/>
      </bottom>
      <diagonal/>
    </border>
    <border>
      <left style="thin">
        <color auto="1"/>
      </left>
      <right style="medium">
        <color auto="1"/>
      </right>
      <top/>
      <bottom style="thin">
        <color auto="1"/>
      </bottom>
      <diagonal/>
    </border>
    <border>
      <left style="thin">
        <color theme="0"/>
      </left>
      <right/>
      <top style="thin">
        <color theme="0"/>
      </top>
      <bottom style="thin">
        <color rgb="FFFFFFFF"/>
      </bottom>
      <diagonal/>
    </border>
    <border>
      <left/>
      <right style="thin">
        <color theme="0"/>
      </right>
      <top style="thin">
        <color theme="0"/>
      </top>
      <bottom style="thin">
        <color rgb="FFFFFFFF"/>
      </bottom>
      <diagonal/>
    </border>
    <border>
      <left style="thin">
        <color theme="0"/>
      </left>
      <right/>
      <top style="thin">
        <color auto="1"/>
      </top>
      <bottom style="thin">
        <color theme="0"/>
      </bottom>
      <diagonal/>
    </border>
    <border>
      <left style="thin">
        <color theme="4"/>
      </left>
      <right style="thin">
        <color theme="4"/>
      </right>
      <top style="thin">
        <color theme="0"/>
      </top>
      <bottom style="thin">
        <color theme="0"/>
      </bottom>
      <diagonal/>
    </border>
    <border>
      <left style="thin">
        <color theme="4"/>
      </left>
      <right style="thin">
        <color theme="4"/>
      </right>
      <top style="thin">
        <color theme="0"/>
      </top>
      <bottom style="thin">
        <color theme="4"/>
      </bottom>
      <diagonal/>
    </border>
    <border>
      <left style="thin">
        <color theme="3"/>
      </left>
      <right style="thin">
        <color theme="0"/>
      </right>
      <top/>
      <bottom style="thin">
        <color theme="3"/>
      </bottom>
      <diagonal/>
    </border>
    <border>
      <left style="thin">
        <color theme="0"/>
      </left>
      <right style="thin">
        <color theme="0"/>
      </right>
      <top/>
      <bottom style="thin">
        <color theme="3"/>
      </bottom>
      <diagonal/>
    </border>
    <border>
      <left style="thin">
        <color theme="0"/>
      </left>
      <right/>
      <top style="thin">
        <color rgb="FFFFFFFF"/>
      </top>
      <bottom style="thin">
        <color theme="0"/>
      </bottom>
      <diagonal/>
    </border>
    <border>
      <left/>
      <right style="thin">
        <color theme="0"/>
      </right>
      <top style="thin">
        <color rgb="FFFFFFFF"/>
      </top>
      <bottom style="thin">
        <color theme="0"/>
      </bottom>
      <diagonal/>
    </border>
    <border>
      <left style="thin">
        <color theme="0"/>
      </left>
      <right/>
      <top style="thin">
        <color theme="0"/>
      </top>
      <bottom style="thin">
        <color auto="1"/>
      </bottom>
      <diagonal/>
    </border>
    <border>
      <left style="thin">
        <color auto="1"/>
      </left>
      <right style="thin">
        <color theme="0"/>
      </right>
      <top style="thin">
        <color theme="0"/>
      </top>
      <bottom/>
      <diagonal/>
    </border>
    <border>
      <left style="thin">
        <color theme="0"/>
      </left>
      <right/>
      <top style="thin">
        <color theme="0"/>
      </top>
      <bottom/>
      <diagonal/>
    </border>
    <border>
      <left style="thin">
        <color theme="0"/>
      </left>
      <right style="thin">
        <color auto="1"/>
      </right>
      <top style="thin">
        <color theme="0"/>
      </top>
      <bottom/>
      <diagonal/>
    </border>
    <border>
      <left style="thin">
        <color theme="0"/>
      </left>
      <right style="thin">
        <color auto="1"/>
      </right>
      <top style="thin">
        <color theme="3"/>
      </top>
      <bottom style="thin">
        <color theme="3"/>
      </bottom>
      <diagonal/>
    </border>
    <border>
      <left style="thin">
        <color theme="0"/>
      </left>
      <right style="thin">
        <color theme="4"/>
      </right>
      <top style="thin">
        <color theme="0"/>
      </top>
      <bottom style="thin">
        <color theme="0"/>
      </bottom>
      <diagonal/>
    </border>
    <border>
      <left style="thin">
        <color theme="4"/>
      </left>
      <right style="thin">
        <color theme="0"/>
      </right>
      <top/>
      <bottom/>
      <diagonal/>
    </border>
    <border>
      <left style="thin">
        <color theme="0"/>
      </left>
      <right style="thin">
        <color theme="4"/>
      </right>
      <top/>
      <bottom/>
      <diagonal/>
    </border>
    <border>
      <left style="thin">
        <color theme="4"/>
      </left>
      <right style="thin">
        <color theme="0"/>
      </right>
      <top style="thin">
        <color theme="0"/>
      </top>
      <bottom style="thin">
        <color theme="0"/>
      </bottom>
      <diagonal/>
    </border>
    <border>
      <left/>
      <right style="thin">
        <color theme="0"/>
      </right>
      <top style="thin">
        <color theme="0"/>
      </top>
      <bottom/>
      <diagonal/>
    </border>
    <border>
      <left style="thin">
        <color theme="0"/>
      </left>
      <right/>
      <top/>
      <bottom style="thin">
        <color auto="1"/>
      </bottom>
      <diagonal/>
    </border>
    <border>
      <left style="thin">
        <color theme="0"/>
      </left>
      <right/>
      <top style="thin">
        <color auto="1"/>
      </top>
      <bottom/>
      <diagonal/>
    </border>
    <border>
      <left style="thin">
        <color theme="3"/>
      </left>
      <right style="thin">
        <color theme="3"/>
      </right>
      <top/>
      <bottom/>
      <diagonal/>
    </border>
    <border>
      <left style="thin">
        <color theme="0"/>
      </left>
      <right style="thin">
        <color theme="4"/>
      </right>
      <top style="thin">
        <color theme="4"/>
      </top>
      <bottom style="thin">
        <color theme="4"/>
      </bottom>
      <diagonal/>
    </border>
    <border>
      <left style="thin">
        <color theme="3"/>
      </left>
      <right style="thin">
        <color theme="0"/>
      </right>
      <top style="thin">
        <color theme="3"/>
      </top>
      <bottom/>
      <diagonal/>
    </border>
    <border>
      <left style="thin">
        <color theme="0"/>
      </left>
      <right style="thin">
        <color auto="1"/>
      </right>
      <top style="thin">
        <color theme="3"/>
      </top>
      <bottom/>
      <diagonal/>
    </border>
    <border>
      <left style="thin">
        <color theme="4"/>
      </left>
      <right/>
      <top style="thin">
        <color theme="0"/>
      </top>
      <bottom style="thin">
        <color theme="0"/>
      </bottom>
      <diagonal/>
    </border>
    <border>
      <left style="thin">
        <color theme="0"/>
      </left>
      <right/>
      <top style="thin">
        <color theme="4"/>
      </top>
      <bottom style="thin">
        <color theme="0"/>
      </bottom>
      <diagonal/>
    </border>
    <border>
      <left/>
      <right style="thin">
        <color theme="4"/>
      </right>
      <top style="thin">
        <color theme="4"/>
      </top>
      <bottom style="thin">
        <color theme="0"/>
      </bottom>
      <diagonal/>
    </border>
    <border>
      <left/>
      <right/>
      <top style="thin">
        <color theme="0"/>
      </top>
      <bottom/>
      <diagonal/>
    </border>
    <border>
      <left style="thin">
        <color theme="4"/>
      </left>
      <right style="thin">
        <color auto="1"/>
      </right>
      <top style="thin">
        <color theme="4"/>
      </top>
      <bottom style="thin">
        <color theme="4"/>
      </bottom>
      <diagonal/>
    </border>
    <border>
      <left style="thin">
        <color auto="1"/>
      </left>
      <right style="thin">
        <color auto="1"/>
      </right>
      <top style="thin">
        <color theme="4"/>
      </top>
      <bottom style="thin">
        <color theme="4"/>
      </bottom>
      <diagonal/>
    </border>
    <border>
      <left style="thin">
        <color auto="1"/>
      </left>
      <right/>
      <top style="thin">
        <color theme="4"/>
      </top>
      <bottom style="thin">
        <color theme="4"/>
      </bottom>
      <diagonal/>
    </border>
    <border>
      <left style="thin">
        <color auto="1"/>
      </left>
      <right style="thin">
        <color theme="4"/>
      </right>
      <top style="thin">
        <color theme="4"/>
      </top>
      <bottom style="thin">
        <color theme="4"/>
      </bottom>
      <diagonal/>
    </border>
    <border>
      <left/>
      <right style="thin">
        <color auto="1"/>
      </right>
      <top style="thin">
        <color auto="1"/>
      </top>
      <bottom style="thin">
        <color theme="0"/>
      </bottom>
      <diagonal/>
    </border>
    <border>
      <left style="thin">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medium">
        <color auto="1"/>
      </top>
      <bottom/>
      <diagonal/>
    </border>
    <border>
      <left/>
      <right style="thin">
        <color auto="1"/>
      </right>
      <top style="medium">
        <color auto="1"/>
      </top>
      <bottom style="thin">
        <color auto="1"/>
      </bottom>
      <diagonal/>
    </border>
    <border>
      <left/>
      <right style="thin">
        <color rgb="FF4F81BD"/>
      </right>
      <top style="thin">
        <color rgb="FF4F81BD"/>
      </top>
      <bottom style="thin">
        <color rgb="FF4F81BD"/>
      </bottom>
      <diagonal/>
    </border>
    <border>
      <left style="thin">
        <color theme="4"/>
      </left>
      <right/>
      <top style="thin">
        <color rgb="FF4F81BD"/>
      </top>
      <bottom style="thin">
        <color rgb="FF4F81BD"/>
      </bottom>
      <diagonal/>
    </border>
    <border>
      <left style="thin">
        <color theme="4"/>
      </left>
      <right style="thin">
        <color theme="4"/>
      </right>
      <top style="thin">
        <color theme="0"/>
      </top>
      <bottom/>
      <diagonal/>
    </border>
    <border>
      <left style="thin">
        <color theme="4"/>
      </left>
      <right/>
      <top style="thin">
        <color theme="4"/>
      </top>
      <bottom style="thin">
        <color rgb="FF4F81BD"/>
      </bottom>
      <diagonal/>
    </border>
    <border>
      <left/>
      <right style="thin">
        <color theme="4"/>
      </right>
      <top style="thin">
        <color theme="4"/>
      </top>
      <bottom style="thin">
        <color rgb="FF4F81BD"/>
      </bottom>
      <diagonal/>
    </border>
    <border>
      <left style="thin">
        <color theme="4"/>
      </left>
      <right style="thin">
        <color theme="0"/>
      </right>
      <top style="thin">
        <color theme="0"/>
      </top>
      <bottom/>
      <diagonal/>
    </border>
    <border>
      <left style="thin">
        <color theme="0"/>
      </left>
      <right style="thin">
        <color theme="4"/>
      </right>
      <top style="thin">
        <color theme="0"/>
      </top>
      <bottom/>
      <diagonal/>
    </border>
    <border>
      <left style="thin">
        <color theme="4"/>
      </left>
      <right style="thin">
        <color auto="1"/>
      </right>
      <top/>
      <bottom style="thin">
        <color theme="4"/>
      </bottom>
      <diagonal/>
    </border>
    <border>
      <left style="thin">
        <color auto="1"/>
      </left>
      <right style="thin">
        <color auto="1"/>
      </right>
      <top/>
      <bottom style="thin">
        <color theme="4"/>
      </bottom>
      <diagonal/>
    </border>
    <border>
      <left style="thin">
        <color auto="1"/>
      </left>
      <right/>
      <top/>
      <bottom style="thin">
        <color theme="4"/>
      </bottom>
      <diagonal/>
    </border>
    <border>
      <left style="thin">
        <color theme="4"/>
      </left>
      <right/>
      <top style="thin">
        <color theme="0"/>
      </top>
      <bottom style="thin">
        <color theme="4"/>
      </bottom>
      <diagonal/>
    </border>
    <border>
      <left/>
      <right/>
      <top/>
      <bottom style="medium">
        <color theme="4"/>
      </bottom>
      <diagonal/>
    </border>
    <border>
      <left/>
      <right style="thin">
        <color theme="4"/>
      </right>
      <top style="thin">
        <color theme="0"/>
      </top>
      <bottom/>
      <diagonal/>
    </border>
    <border>
      <left style="thin">
        <color theme="4"/>
      </left>
      <right/>
      <top style="thin">
        <color theme="0"/>
      </top>
      <bottom/>
      <diagonal/>
    </border>
    <border>
      <left style="thin">
        <color theme="0"/>
      </left>
      <right style="thin">
        <color auto="1"/>
      </right>
      <top/>
      <bottom/>
      <diagonal/>
    </border>
    <border>
      <left style="thin">
        <color auto="1"/>
      </left>
      <right/>
      <top style="thin">
        <color theme="4"/>
      </top>
      <bottom/>
      <diagonal/>
    </border>
    <border>
      <left/>
      <right/>
      <top/>
      <bottom style="medium">
        <color rgb="FF4F81BD"/>
      </bottom>
      <diagonal/>
    </border>
  </borders>
  <cellStyleXfs count="4123">
    <xf numFmtId="0" fontId="0" fillId="0" borderId="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62" fillId="0" borderId="0"/>
    <xf numFmtId="9" fontId="62" fillId="0" borderId="0" applyFont="0" applyFill="0" applyBorder="0" applyAlignment="0" applyProtection="0"/>
    <xf numFmtId="0" fontId="64" fillId="0" borderId="0"/>
    <xf numFmtId="169" fontId="62" fillId="0" borderId="0" applyFont="0" applyFill="0" applyBorder="0" applyAlignment="0" applyProtection="0"/>
    <xf numFmtId="0" fontId="5" fillId="0" borderId="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4" fillId="0" borderId="0"/>
    <xf numFmtId="169" fontId="4" fillId="0" borderId="0" applyFon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9" fontId="3" fillId="0" borderId="0" applyFont="0" applyFill="0" applyBorder="0" applyAlignment="0" applyProtection="0"/>
    <xf numFmtId="9" fontId="2" fillId="0" borderId="0" applyFont="0" applyFill="0" applyBorder="0" applyAlignment="0" applyProtection="0"/>
    <xf numFmtId="169" fontId="2" fillId="0" borderId="0" applyFont="0" applyFill="0" applyBorder="0" applyAlignment="0" applyProtection="0"/>
    <xf numFmtId="0" fontId="2" fillId="0" borderId="0"/>
    <xf numFmtId="169" fontId="2" fillId="0" borderId="0" applyFont="0" applyFill="0" applyBorder="0" applyAlignment="0" applyProtection="0"/>
    <xf numFmtId="0" fontId="131" fillId="33" borderId="0" applyNumberFormat="0" applyBorder="0" applyAlignment="0" applyProtection="0"/>
    <xf numFmtId="0" fontId="132" fillId="34" borderId="0" applyNumberFormat="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43" fontId="1" fillId="0" borderId="0" applyFont="0" applyFill="0" applyBorder="0" applyAlignment="0" applyProtection="0"/>
    <xf numFmtId="0" fontId="25" fillId="37" borderId="0" applyNumberFormat="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cellStyleXfs>
  <cellXfs count="2686">
    <xf numFmtId="0" fontId="0" fillId="0" borderId="0" xfId="0"/>
    <xf numFmtId="0" fontId="0" fillId="0" borderId="0" xfId="0" applyFont="1"/>
    <xf numFmtId="0" fontId="0" fillId="0" borderId="0" xfId="0" applyFont="1" applyAlignment="1">
      <alignment horizontal="center"/>
    </xf>
    <xf numFmtId="0" fontId="0" fillId="0" borderId="0" xfId="0" applyFont="1" applyAlignment="1">
      <alignment wrapText="1"/>
    </xf>
    <xf numFmtId="0" fontId="0" fillId="0" borderId="0" xfId="0" applyFont="1" applyAlignment="1"/>
    <xf numFmtId="0" fontId="19" fillId="0" borderId="0" xfId="0" applyFont="1"/>
    <xf numFmtId="0" fontId="0" fillId="0" borderId="0" xfId="0" applyAlignment="1">
      <alignment horizontal="center"/>
    </xf>
    <xf numFmtId="0" fontId="14" fillId="13" borderId="0" xfId="0" applyFont="1" applyFill="1" applyBorder="1" applyAlignment="1">
      <alignment horizontal="center" vertical="center"/>
    </xf>
    <xf numFmtId="0" fontId="14" fillId="13" borderId="0" xfId="0" applyFont="1" applyFill="1" applyBorder="1" applyAlignment="1">
      <alignment vertical="center"/>
    </xf>
    <xf numFmtId="0" fontId="16" fillId="13" borderId="0" xfId="0" applyFont="1" applyFill="1" applyBorder="1" applyAlignment="1">
      <alignment horizontal="center" vertical="center"/>
    </xf>
    <xf numFmtId="1" fontId="14" fillId="13" borderId="0" xfId="0" applyNumberFormat="1" applyFont="1" applyFill="1" applyBorder="1" applyAlignment="1">
      <alignment horizontal="center" vertical="center"/>
    </xf>
    <xf numFmtId="0" fontId="15" fillId="13" borderId="0" xfId="0" applyFont="1" applyFill="1" applyBorder="1" applyAlignment="1">
      <alignment horizontal="center" vertical="center"/>
    </xf>
    <xf numFmtId="0" fontId="15" fillId="13" borderId="0" xfId="0" applyFont="1" applyFill="1" applyBorder="1" applyAlignment="1">
      <alignment vertical="center"/>
    </xf>
    <xf numFmtId="0" fontId="17" fillId="13" borderId="0" xfId="0" applyFont="1" applyFill="1" applyBorder="1" applyAlignment="1">
      <alignment vertical="center"/>
    </xf>
    <xf numFmtId="0" fontId="19" fillId="13" borderId="0" xfId="0" applyFont="1" applyFill="1"/>
    <xf numFmtId="0" fontId="0" fillId="13" borderId="0" xfId="0" applyFill="1"/>
    <xf numFmtId="0" fontId="0" fillId="13" borderId="0" xfId="0" applyFill="1" applyAlignment="1">
      <alignment horizontal="center"/>
    </xf>
    <xf numFmtId="0" fontId="21" fillId="13" borderId="0" xfId="0" applyFont="1" applyFill="1" applyBorder="1" applyAlignment="1">
      <alignment horizontal="center" vertical="center"/>
    </xf>
    <xf numFmtId="0" fontId="21" fillId="13" borderId="0" xfId="0" applyFont="1" applyFill="1" applyBorder="1" applyAlignment="1">
      <alignment vertical="center"/>
    </xf>
    <xf numFmtId="0" fontId="22" fillId="13" borderId="0" xfId="0" applyFont="1" applyFill="1" applyBorder="1" applyAlignment="1">
      <alignment horizontal="center" vertical="center"/>
    </xf>
    <xf numFmtId="0" fontId="21" fillId="13" borderId="0" xfId="0" applyFont="1" applyFill="1" applyBorder="1" applyAlignment="1">
      <alignment vertical="center" wrapText="1"/>
    </xf>
    <xf numFmtId="0" fontId="23" fillId="13" borderId="0" xfId="0" applyFont="1" applyFill="1" applyBorder="1"/>
    <xf numFmtId="0" fontId="0" fillId="13" borderId="0" xfId="0" applyFill="1" applyBorder="1"/>
    <xf numFmtId="0" fontId="16" fillId="13" borderId="0" xfId="0" applyFont="1" applyFill="1" applyBorder="1" applyAlignment="1">
      <alignment vertical="center"/>
    </xf>
    <xf numFmtId="0" fontId="20" fillId="13" borderId="0" xfId="0" applyFont="1" applyFill="1" applyBorder="1" applyAlignment="1">
      <alignment vertical="center"/>
    </xf>
    <xf numFmtId="0" fontId="19" fillId="13" borderId="0" xfId="0" applyFont="1" applyFill="1" applyBorder="1"/>
    <xf numFmtId="0" fontId="0" fillId="13" borderId="0" xfId="0" applyFont="1" applyFill="1" applyBorder="1"/>
    <xf numFmtId="0" fontId="0" fillId="13" borderId="0" xfId="0" applyFill="1" applyBorder="1" applyAlignment="1">
      <alignment horizontal="center"/>
    </xf>
    <xf numFmtId="1" fontId="22" fillId="13" borderId="0" xfId="0" applyNumberFormat="1" applyFont="1" applyFill="1" applyBorder="1" applyAlignment="1">
      <alignment horizontal="center" vertical="center"/>
    </xf>
    <xf numFmtId="0" fontId="28" fillId="13" borderId="0" xfId="0" applyFont="1" applyFill="1"/>
    <xf numFmtId="0" fontId="28" fillId="13" borderId="0" xfId="0" applyFont="1" applyFill="1" applyAlignment="1">
      <alignment horizontal="center"/>
    </xf>
    <xf numFmtId="0" fontId="0" fillId="13" borderId="0" xfId="0" applyFont="1" applyFill="1"/>
    <xf numFmtId="0" fontId="0" fillId="13" borderId="0" xfId="0" applyFont="1" applyFill="1" applyAlignment="1">
      <alignment wrapText="1"/>
    </xf>
    <xf numFmtId="0" fontId="0" fillId="13" borderId="0" xfId="0" applyFont="1" applyFill="1" applyAlignment="1"/>
    <xf numFmtId="0" fontId="0" fillId="13" borderId="0" xfId="0" applyFont="1" applyFill="1" applyAlignment="1">
      <alignment horizontal="center"/>
    </xf>
    <xf numFmtId="0" fontId="0" fillId="13" borderId="0" xfId="0" applyFont="1" applyFill="1" applyBorder="1" applyAlignment="1"/>
    <xf numFmtId="0" fontId="26" fillId="13" borderId="0" xfId="0" applyFont="1" applyFill="1" applyAlignment="1"/>
    <xf numFmtId="0" fontId="30" fillId="13" borderId="0" xfId="0" applyFont="1" applyFill="1"/>
    <xf numFmtId="0" fontId="23" fillId="13" borderId="0" xfId="0" applyFont="1" applyFill="1" applyBorder="1" applyAlignment="1">
      <alignment horizontal="center"/>
    </xf>
    <xf numFmtId="0" fontId="19" fillId="13" borderId="0" xfId="0" applyFont="1" applyFill="1" applyAlignment="1">
      <alignment horizontal="center"/>
    </xf>
    <xf numFmtId="0" fontId="0" fillId="13" borderId="0" xfId="0" applyFill="1" applyProtection="1">
      <protection locked="0"/>
    </xf>
    <xf numFmtId="0" fontId="19" fillId="13" borderId="0" xfId="0" applyFont="1" applyFill="1" applyProtection="1">
      <protection locked="0"/>
    </xf>
    <xf numFmtId="0" fontId="0" fillId="0" borderId="0" xfId="0" applyProtection="1">
      <protection locked="0"/>
    </xf>
    <xf numFmtId="0" fontId="23" fillId="13" borderId="0" xfId="0" applyFont="1" applyFill="1" applyProtection="1">
      <protection locked="0"/>
    </xf>
    <xf numFmtId="0" fontId="23" fillId="0" borderId="0" xfId="0" applyFont="1" applyProtection="1">
      <protection locked="0"/>
    </xf>
    <xf numFmtId="0" fontId="19" fillId="0" borderId="0" xfId="0" applyFont="1" applyProtection="1">
      <protection locked="0"/>
    </xf>
    <xf numFmtId="0" fontId="21" fillId="6" borderId="1" xfId="0" applyFont="1" applyFill="1" applyBorder="1" applyAlignment="1" applyProtection="1">
      <alignment horizontal="center" vertical="center"/>
    </xf>
    <xf numFmtId="0" fontId="21" fillId="6" borderId="2" xfId="0" applyFont="1" applyFill="1" applyBorder="1" applyAlignment="1" applyProtection="1">
      <alignment vertical="center"/>
    </xf>
    <xf numFmtId="0" fontId="22" fillId="6" borderId="3" xfId="0" applyFont="1" applyFill="1" applyBorder="1" applyAlignment="1" applyProtection="1">
      <alignment horizontal="center" vertical="center"/>
    </xf>
    <xf numFmtId="0" fontId="31" fillId="13" borderId="0" xfId="0" applyFont="1" applyFill="1"/>
    <xf numFmtId="0" fontId="31" fillId="0" borderId="0" xfId="0" applyFont="1"/>
    <xf numFmtId="0" fontId="23" fillId="13" borderId="0" xfId="0" applyFont="1" applyFill="1"/>
    <xf numFmtId="0" fontId="21" fillId="7" borderId="11" xfId="0" applyFont="1" applyFill="1" applyBorder="1" applyAlignment="1">
      <alignment horizontal="center" vertical="center"/>
    </xf>
    <xf numFmtId="0" fontId="21" fillId="7" borderId="11" xfId="0" applyFont="1" applyFill="1" applyBorder="1" applyAlignment="1">
      <alignment vertical="center"/>
    </xf>
    <xf numFmtId="0" fontId="22" fillId="7" borderId="12" xfId="0" applyFont="1" applyFill="1" applyBorder="1" applyAlignment="1">
      <alignment horizontal="center" vertical="center"/>
    </xf>
    <xf numFmtId="0" fontId="23" fillId="0" borderId="0" xfId="0" applyFont="1"/>
    <xf numFmtId="0" fontId="22" fillId="13" borderId="1" xfId="0" applyFont="1" applyFill="1" applyBorder="1" applyAlignment="1">
      <alignment horizontal="center" vertical="center"/>
    </xf>
    <xf numFmtId="1" fontId="22" fillId="13" borderId="21" xfId="0" applyNumberFormat="1" applyFont="1" applyFill="1" applyBorder="1" applyAlignment="1">
      <alignment horizontal="center" vertical="center"/>
    </xf>
    <xf numFmtId="0" fontId="22" fillId="13" borderId="21" xfId="0" applyFont="1" applyFill="1" applyBorder="1" applyAlignment="1">
      <alignment horizontal="center" vertical="center"/>
    </xf>
    <xf numFmtId="1" fontId="22" fillId="13" borderId="1" xfId="0" applyNumberFormat="1" applyFont="1" applyFill="1" applyBorder="1" applyAlignment="1">
      <alignment horizontal="center" vertical="center"/>
    </xf>
    <xf numFmtId="0" fontId="21" fillId="7" borderId="2" xfId="0" applyFont="1" applyFill="1" applyBorder="1" applyAlignment="1">
      <alignment horizontal="center" vertical="center"/>
    </xf>
    <xf numFmtId="0" fontId="21" fillId="7" borderId="2" xfId="0" applyFont="1" applyFill="1" applyBorder="1" applyAlignment="1">
      <alignment vertical="center"/>
    </xf>
    <xf numFmtId="0" fontId="21" fillId="7" borderId="14" xfId="0" applyFont="1" applyFill="1" applyBorder="1" applyAlignment="1">
      <alignment vertical="center"/>
    </xf>
    <xf numFmtId="0" fontId="22" fillId="7" borderId="14" xfId="0" applyFont="1" applyFill="1" applyBorder="1" applyAlignment="1">
      <alignment horizontal="center" vertical="center"/>
    </xf>
    <xf numFmtId="0" fontId="22" fillId="7" borderId="3" xfId="0" applyFont="1" applyFill="1" applyBorder="1" applyAlignment="1">
      <alignment horizontal="center" vertical="center"/>
    </xf>
    <xf numFmtId="0" fontId="22" fillId="13" borderId="16" xfId="0" applyFont="1" applyFill="1" applyBorder="1" applyAlignment="1">
      <alignment horizontal="center" vertical="center"/>
    </xf>
    <xf numFmtId="0" fontId="31" fillId="8" borderId="2" xfId="0" applyFont="1" applyFill="1" applyBorder="1" applyAlignment="1">
      <alignment horizontal="center" vertical="center"/>
    </xf>
    <xf numFmtId="0" fontId="31" fillId="8" borderId="2" xfId="0" applyFont="1" applyFill="1" applyBorder="1" applyAlignment="1">
      <alignment vertical="center"/>
    </xf>
    <xf numFmtId="0" fontId="31" fillId="8" borderId="14" xfId="0" applyFont="1" applyFill="1" applyBorder="1" applyAlignment="1">
      <alignment vertical="center"/>
    </xf>
    <xf numFmtId="0" fontId="23" fillId="8" borderId="3" xfId="0" applyFont="1" applyFill="1" applyBorder="1" applyAlignment="1">
      <alignment horizontal="center" vertical="center"/>
    </xf>
    <xf numFmtId="0" fontId="23" fillId="8" borderId="2" xfId="0" applyFont="1" applyFill="1" applyBorder="1" applyAlignment="1">
      <alignment horizontal="center" vertical="center"/>
    </xf>
    <xf numFmtId="0" fontId="23" fillId="13" borderId="1" xfId="0" applyFont="1" applyFill="1" applyBorder="1" applyAlignment="1">
      <alignment horizontal="center" vertical="center"/>
    </xf>
    <xf numFmtId="0" fontId="23" fillId="13" borderId="21" xfId="0" applyFont="1" applyFill="1" applyBorder="1" applyAlignment="1">
      <alignment horizontal="center" vertical="center"/>
    </xf>
    <xf numFmtId="0" fontId="21" fillId="7" borderId="1" xfId="0" applyFont="1" applyFill="1" applyBorder="1" applyAlignment="1">
      <alignment horizontal="center" vertical="center"/>
    </xf>
    <xf numFmtId="0" fontId="22" fillId="7" borderId="1" xfId="0" applyFont="1" applyFill="1" applyBorder="1" applyAlignment="1">
      <alignment horizontal="center" vertical="center"/>
    </xf>
    <xf numFmtId="0" fontId="22" fillId="7" borderId="2" xfId="0" applyFont="1" applyFill="1" applyBorder="1" applyAlignment="1">
      <alignment horizontal="center" vertical="center"/>
    </xf>
    <xf numFmtId="0" fontId="21" fillId="8" borderId="1" xfId="0" applyFont="1" applyFill="1" applyBorder="1" applyAlignment="1">
      <alignment horizontal="center" vertical="center"/>
    </xf>
    <xf numFmtId="0" fontId="21" fillId="9" borderId="2" xfId="0" applyFont="1" applyFill="1" applyBorder="1" applyAlignment="1">
      <alignment horizontal="center" vertical="center"/>
    </xf>
    <xf numFmtId="0" fontId="21" fillId="9" borderId="2" xfId="0" applyFont="1" applyFill="1" applyBorder="1" applyAlignment="1">
      <alignment vertical="center"/>
    </xf>
    <xf numFmtId="0" fontId="21" fillId="9" borderId="14" xfId="0" applyFont="1" applyFill="1" applyBorder="1" applyAlignment="1">
      <alignment vertical="center"/>
    </xf>
    <xf numFmtId="0" fontId="22" fillId="9" borderId="3" xfId="0" applyFont="1" applyFill="1" applyBorder="1" applyAlignment="1">
      <alignment horizontal="center" vertical="center"/>
    </xf>
    <xf numFmtId="0" fontId="22" fillId="9" borderId="2" xfId="0" applyFont="1" applyFill="1" applyBorder="1" applyAlignment="1">
      <alignment horizontal="center" vertical="center"/>
    </xf>
    <xf numFmtId="0" fontId="22" fillId="9" borderId="14" xfId="0" applyFont="1" applyFill="1" applyBorder="1" applyAlignment="1">
      <alignment horizontal="center" vertical="center"/>
    </xf>
    <xf numFmtId="0" fontId="21" fillId="8" borderId="2" xfId="0" applyFont="1" applyFill="1" applyBorder="1" applyAlignment="1">
      <alignment horizontal="center" vertical="center"/>
    </xf>
    <xf numFmtId="0" fontId="21" fillId="7" borderId="21" xfId="0" applyFont="1" applyFill="1" applyBorder="1" applyAlignment="1">
      <alignment horizontal="center" vertical="center"/>
    </xf>
    <xf numFmtId="0" fontId="22" fillId="7" borderId="21" xfId="0" applyFont="1" applyFill="1" applyBorder="1" applyAlignment="1">
      <alignment horizontal="center" vertical="center"/>
    </xf>
    <xf numFmtId="0" fontId="31" fillId="13" borderId="0" xfId="0" applyFont="1" applyFill="1" applyBorder="1"/>
    <xf numFmtId="0" fontId="23" fillId="13" borderId="0" xfId="0" applyFont="1" applyFill="1" applyAlignment="1" applyProtection="1">
      <alignment vertical="center"/>
      <protection locked="0"/>
    </xf>
    <xf numFmtId="0" fontId="23" fillId="13" borderId="0" xfId="0" applyFont="1" applyFill="1" applyAlignment="1" applyProtection="1">
      <alignment horizontal="center" vertical="center"/>
      <protection locked="0"/>
    </xf>
    <xf numFmtId="0" fontId="0" fillId="13" borderId="0" xfId="0" applyFont="1" applyFill="1" applyProtection="1">
      <protection locked="0"/>
    </xf>
    <xf numFmtId="0" fontId="21" fillId="7" borderId="1" xfId="0" applyFont="1" applyFill="1" applyBorder="1" applyAlignment="1" applyProtection="1">
      <alignment horizontal="center" vertical="center"/>
    </xf>
    <xf numFmtId="0" fontId="22" fillId="7" borderId="1" xfId="0" applyFont="1" applyFill="1" applyBorder="1" applyAlignment="1" applyProtection="1">
      <alignment horizontal="center" vertical="center"/>
    </xf>
    <xf numFmtId="0" fontId="31" fillId="8" borderId="1" xfId="0" applyFont="1" applyFill="1" applyBorder="1" applyAlignment="1" applyProtection="1">
      <alignment horizontal="center" vertical="center"/>
    </xf>
    <xf numFmtId="0" fontId="21" fillId="8" borderId="1" xfId="0" applyFont="1" applyFill="1" applyBorder="1" applyAlignment="1" applyProtection="1">
      <alignment horizontal="center" vertical="center"/>
    </xf>
    <xf numFmtId="0" fontId="21" fillId="9" borderId="1" xfId="0" applyFont="1" applyFill="1" applyBorder="1" applyAlignment="1" applyProtection="1">
      <alignment horizontal="center" vertical="center"/>
    </xf>
    <xf numFmtId="0" fontId="22" fillId="8" borderId="1" xfId="0" applyFont="1" applyFill="1" applyBorder="1" applyAlignment="1" applyProtection="1">
      <alignment horizontal="center" vertical="center"/>
    </xf>
    <xf numFmtId="0" fontId="31" fillId="7" borderId="1" xfId="0" applyFont="1" applyFill="1" applyBorder="1" applyAlignment="1" applyProtection="1">
      <alignment horizontal="center" vertical="center"/>
    </xf>
    <xf numFmtId="0" fontId="31" fillId="13" borderId="0" xfId="0" applyFont="1" applyFill="1" applyProtection="1">
      <protection locked="0"/>
    </xf>
    <xf numFmtId="0" fontId="31" fillId="0" borderId="0" xfId="0" applyFont="1" applyProtection="1">
      <protection locked="0"/>
    </xf>
    <xf numFmtId="0" fontId="38" fillId="13" borderId="0" xfId="0" applyFont="1" applyFill="1" applyBorder="1" applyAlignment="1">
      <alignment horizontal="left" vertical="center"/>
    </xf>
    <xf numFmtId="0" fontId="16" fillId="13" borderId="0" xfId="0" applyFont="1" applyFill="1"/>
    <xf numFmtId="0" fontId="16" fillId="0" borderId="0" xfId="0" applyFont="1"/>
    <xf numFmtId="0" fontId="21" fillId="7" borderId="12" xfId="0" applyFont="1" applyFill="1" applyBorder="1" applyAlignment="1">
      <alignment vertical="center"/>
    </xf>
    <xf numFmtId="0" fontId="22" fillId="7" borderId="11" xfId="0" applyFont="1" applyFill="1" applyBorder="1" applyAlignment="1">
      <alignment vertical="center"/>
    </xf>
    <xf numFmtId="0" fontId="22" fillId="7" borderId="12" xfId="0" applyFont="1" applyFill="1" applyBorder="1" applyAlignment="1">
      <alignment vertical="center"/>
    </xf>
    <xf numFmtId="0" fontId="21" fillId="7" borderId="3" xfId="0" applyFont="1" applyFill="1" applyBorder="1" applyAlignment="1">
      <alignment vertical="center"/>
    </xf>
    <xf numFmtId="0" fontId="21" fillId="8" borderId="1" xfId="0" applyFont="1" applyFill="1" applyBorder="1" applyAlignment="1">
      <alignment vertical="center"/>
    </xf>
    <xf numFmtId="0" fontId="21" fillId="7" borderId="16" xfId="0" applyFont="1" applyFill="1" applyBorder="1" applyAlignment="1">
      <alignment horizontal="center" vertical="center"/>
    </xf>
    <xf numFmtId="0" fontId="21" fillId="8" borderId="16" xfId="0" applyFont="1" applyFill="1" applyBorder="1" applyAlignment="1">
      <alignment horizontal="center" vertical="center"/>
    </xf>
    <xf numFmtId="0" fontId="21" fillId="8" borderId="14" xfId="0" applyFont="1" applyFill="1" applyBorder="1" applyAlignment="1">
      <alignment vertical="center"/>
    </xf>
    <xf numFmtId="0" fontId="22" fillId="13" borderId="11" xfId="0" applyFont="1" applyFill="1" applyBorder="1" applyAlignment="1">
      <alignment horizontal="center" vertical="center"/>
    </xf>
    <xf numFmtId="0" fontId="21" fillId="7" borderId="24" xfId="0" applyFont="1" applyFill="1" applyBorder="1" applyAlignment="1">
      <alignment horizontal="center" vertical="center"/>
    </xf>
    <xf numFmtId="0" fontId="21" fillId="8" borderId="3" xfId="0" applyFont="1" applyFill="1" applyBorder="1" applyAlignment="1">
      <alignment vertical="center"/>
    </xf>
    <xf numFmtId="0" fontId="21" fillId="8" borderId="21" xfId="0" applyFont="1" applyFill="1" applyBorder="1" applyAlignment="1">
      <alignment horizontal="center" vertical="center"/>
    </xf>
    <xf numFmtId="0" fontId="21" fillId="10" borderId="21" xfId="0" applyFont="1" applyFill="1" applyBorder="1" applyAlignment="1">
      <alignment horizontal="center" vertical="center"/>
    </xf>
    <xf numFmtId="0" fontId="22" fillId="10" borderId="11" xfId="0" applyFont="1" applyFill="1" applyBorder="1" applyAlignment="1">
      <alignment vertical="center"/>
    </xf>
    <xf numFmtId="0" fontId="22" fillId="10" borderId="12" xfId="0" applyFont="1" applyFill="1" applyBorder="1" applyAlignment="1">
      <alignment vertical="center"/>
    </xf>
    <xf numFmtId="0" fontId="22" fillId="10" borderId="12" xfId="0" applyFont="1" applyFill="1" applyBorder="1" applyAlignment="1">
      <alignment horizontal="center" vertical="center"/>
    </xf>
    <xf numFmtId="0" fontId="22" fillId="8" borderId="11" xfId="0" applyFont="1" applyFill="1" applyBorder="1" applyAlignment="1">
      <alignment horizontal="center" vertical="center"/>
    </xf>
    <xf numFmtId="0" fontId="22" fillId="8" borderId="12" xfId="0" applyFont="1" applyFill="1" applyBorder="1" applyAlignment="1">
      <alignment vertical="center"/>
    </xf>
    <xf numFmtId="0" fontId="22" fillId="8" borderId="12" xfId="0" applyFont="1" applyFill="1" applyBorder="1" applyAlignment="1">
      <alignment horizontal="center" vertical="center"/>
    </xf>
    <xf numFmtId="0" fontId="21" fillId="9" borderId="1" xfId="0" applyFont="1" applyFill="1" applyBorder="1" applyAlignment="1">
      <alignment horizontal="center" vertical="center"/>
    </xf>
    <xf numFmtId="0" fontId="31" fillId="7" borderId="1" xfId="0" applyFont="1" applyFill="1" applyBorder="1" applyAlignment="1">
      <alignment horizontal="center" vertical="center"/>
    </xf>
    <xf numFmtId="0" fontId="31" fillId="7" borderId="2" xfId="0" applyFont="1" applyFill="1" applyBorder="1" applyAlignment="1">
      <alignment horizontal="center" vertical="center"/>
    </xf>
    <xf numFmtId="0" fontId="21" fillId="9" borderId="3" xfId="0" applyFont="1" applyFill="1" applyBorder="1" applyAlignment="1">
      <alignment vertical="center"/>
    </xf>
    <xf numFmtId="0" fontId="28" fillId="13" borderId="0" xfId="0" applyFont="1" applyFill="1" applyAlignment="1" applyProtection="1">
      <alignment horizontal="left" vertical="center"/>
    </xf>
    <xf numFmtId="0" fontId="0" fillId="13" borderId="31" xfId="0" applyFill="1" applyBorder="1" applyAlignment="1" applyProtection="1">
      <alignment horizontal="center"/>
    </xf>
    <xf numFmtId="0" fontId="0" fillId="13" borderId="31" xfId="0" applyFill="1" applyBorder="1" applyProtection="1"/>
    <xf numFmtId="0" fontId="0" fillId="17" borderId="0" xfId="0" applyFill="1" applyProtection="1"/>
    <xf numFmtId="0" fontId="0" fillId="13" borderId="0" xfId="0" applyFill="1" applyProtection="1"/>
    <xf numFmtId="0" fontId="7" fillId="17" borderId="0" xfId="0" applyFont="1" applyFill="1" applyAlignment="1" applyProtection="1">
      <alignment horizontal="center"/>
    </xf>
    <xf numFmtId="0" fontId="0" fillId="13" borderId="31" xfId="0" applyFont="1" applyFill="1" applyBorder="1" applyAlignment="1" applyProtection="1">
      <alignment horizontal="center"/>
    </xf>
    <xf numFmtId="0" fontId="7" fillId="13" borderId="31" xfId="0" applyFont="1" applyFill="1" applyBorder="1" applyProtection="1"/>
    <xf numFmtId="0" fontId="7" fillId="17" borderId="0" xfId="0" applyFont="1" applyFill="1" applyProtection="1"/>
    <xf numFmtId="0" fontId="7" fillId="13" borderId="0" xfId="0" applyFont="1" applyFill="1" applyProtection="1"/>
    <xf numFmtId="0" fontId="0" fillId="13" borderId="0" xfId="0" applyFont="1" applyFill="1" applyProtection="1"/>
    <xf numFmtId="0" fontId="35" fillId="13" borderId="0" xfId="0" applyFont="1" applyFill="1" applyAlignment="1" applyProtection="1">
      <alignment vertical="center"/>
    </xf>
    <xf numFmtId="0" fontId="9" fillId="13" borderId="0" xfId="0" applyFont="1" applyFill="1" applyProtection="1"/>
    <xf numFmtId="0" fontId="25" fillId="14" borderId="0" xfId="0" applyFont="1" applyFill="1" applyAlignment="1" applyProtection="1">
      <alignment vertical="center"/>
      <protection locked="0"/>
    </xf>
    <xf numFmtId="0" fontId="19" fillId="16" borderId="26" xfId="0" applyFont="1" applyFill="1" applyBorder="1" applyAlignment="1" applyProtection="1">
      <alignment horizontal="center" vertical="center" wrapText="1"/>
      <protection locked="0"/>
    </xf>
    <xf numFmtId="0" fontId="7" fillId="15" borderId="30" xfId="0" applyFont="1" applyFill="1" applyBorder="1" applyAlignment="1" applyProtection="1">
      <alignment horizontal="center" vertical="center" wrapText="1"/>
      <protection locked="0"/>
    </xf>
    <xf numFmtId="0" fontId="19" fillId="16" borderId="29" xfId="0" applyFont="1" applyFill="1" applyBorder="1" applyAlignment="1" applyProtection="1">
      <alignment horizontal="center" vertical="center" wrapText="1"/>
      <protection locked="0"/>
    </xf>
    <xf numFmtId="0" fontId="7" fillId="15" borderId="28" xfId="0" applyFont="1" applyFill="1" applyBorder="1" applyAlignment="1" applyProtection="1">
      <alignment horizontal="center" vertical="center" wrapText="1"/>
      <protection locked="0"/>
    </xf>
    <xf numFmtId="0" fontId="0" fillId="16" borderId="0" xfId="0" applyFill="1" applyAlignment="1" applyProtection="1">
      <alignment horizontal="center" vertical="center" wrapText="1"/>
      <protection locked="0"/>
    </xf>
    <xf numFmtId="0" fontId="39" fillId="18" borderId="0" xfId="0" applyFont="1" applyFill="1" applyAlignment="1">
      <alignment horizontal="left" vertical="center"/>
    </xf>
    <xf numFmtId="0" fontId="21" fillId="9" borderId="2" xfId="0" applyFont="1" applyFill="1" applyBorder="1" applyAlignment="1">
      <alignment horizontal="left" vertical="center"/>
    </xf>
    <xf numFmtId="0" fontId="21" fillId="9" borderId="3" xfId="0" applyFont="1" applyFill="1" applyBorder="1" applyAlignment="1">
      <alignment horizontal="left" vertical="center"/>
    </xf>
    <xf numFmtId="0" fontId="24" fillId="14" borderId="32" xfId="0" applyFont="1" applyFill="1" applyBorder="1" applyAlignment="1" applyProtection="1">
      <alignment horizontal="center" vertical="center"/>
      <protection locked="0"/>
    </xf>
    <xf numFmtId="0" fontId="19" fillId="16" borderId="32" xfId="0" applyFont="1" applyFill="1" applyBorder="1" applyAlignment="1" applyProtection="1">
      <alignment horizontal="center" vertical="center" wrapText="1"/>
      <protection locked="0"/>
    </xf>
    <xf numFmtId="0" fontId="19" fillId="13" borderId="0" xfId="0" applyFont="1" applyFill="1" applyProtection="1"/>
    <xf numFmtId="0" fontId="27" fillId="13" borderId="0" xfId="0" applyFont="1" applyFill="1" applyProtection="1"/>
    <xf numFmtId="0" fontId="0" fillId="13" borderId="0" xfId="0" applyFill="1" applyBorder="1" applyProtection="1"/>
    <xf numFmtId="0" fontId="35" fillId="13" borderId="0" xfId="0" applyFont="1" applyFill="1" applyBorder="1" applyAlignment="1" applyProtection="1"/>
    <xf numFmtId="0" fontId="21" fillId="8" borderId="11" xfId="0" applyFont="1" applyFill="1" applyBorder="1" applyAlignment="1">
      <alignment vertical="center"/>
    </xf>
    <xf numFmtId="0" fontId="23" fillId="8" borderId="22" xfId="0" applyFont="1" applyFill="1" applyBorder="1" applyAlignment="1">
      <alignment horizontal="center" vertical="center"/>
    </xf>
    <xf numFmtId="0" fontId="23" fillId="8" borderId="12" xfId="0" applyFont="1" applyFill="1" applyBorder="1" applyAlignment="1">
      <alignment horizontal="center" vertical="center"/>
    </xf>
    <xf numFmtId="0" fontId="0" fillId="13" borderId="0" xfId="0" applyFill="1" applyBorder="1" applyProtection="1">
      <protection locked="0"/>
    </xf>
    <xf numFmtId="0" fontId="7" fillId="13" borderId="0" xfId="0" applyFont="1" applyFill="1" applyBorder="1" applyProtection="1"/>
    <xf numFmtId="0" fontId="0" fillId="13" borderId="0" xfId="0" applyFill="1" applyAlignment="1" applyProtection="1">
      <alignment horizontal="center" vertical="center"/>
      <protection locked="0"/>
    </xf>
    <xf numFmtId="0" fontId="0" fillId="13" borderId="0" xfId="0" applyFont="1" applyFill="1" applyAlignment="1" applyProtection="1">
      <alignment horizontal="center" vertical="center"/>
      <protection locked="0"/>
    </xf>
    <xf numFmtId="0" fontId="0" fillId="13" borderId="0" xfId="0" applyFill="1" applyAlignment="1" applyProtection="1">
      <alignment horizontal="center" vertical="center"/>
    </xf>
    <xf numFmtId="0" fontId="0" fillId="0" borderId="0" xfId="0" applyAlignment="1" applyProtection="1">
      <alignment horizontal="center" vertical="center"/>
      <protection locked="0"/>
    </xf>
    <xf numFmtId="3" fontId="22" fillId="7" borderId="1" xfId="0" applyNumberFormat="1" applyFont="1" applyFill="1" applyBorder="1" applyAlignment="1" applyProtection="1">
      <alignment horizontal="center" vertical="center"/>
    </xf>
    <xf numFmtId="3" fontId="22" fillId="4" borderId="1" xfId="0" applyNumberFormat="1" applyFont="1" applyFill="1" applyBorder="1" applyAlignment="1" applyProtection="1">
      <alignment horizontal="center" vertical="center"/>
    </xf>
    <xf numFmtId="3" fontId="22" fillId="15" borderId="1" xfId="0" applyNumberFormat="1" applyFont="1" applyFill="1" applyBorder="1" applyAlignment="1" applyProtection="1">
      <alignment horizontal="center" vertical="center"/>
    </xf>
    <xf numFmtId="3" fontId="22" fillId="6" borderId="3" xfId="0" applyNumberFormat="1" applyFont="1" applyFill="1" applyBorder="1" applyAlignment="1" applyProtection="1">
      <alignment horizontal="center" vertical="center"/>
    </xf>
    <xf numFmtId="3" fontId="22" fillId="9" borderId="1" xfId="0" applyNumberFormat="1" applyFont="1" applyFill="1" applyBorder="1" applyAlignment="1" applyProtection="1">
      <alignment horizontal="center" vertical="center"/>
    </xf>
    <xf numFmtId="0" fontId="41" fillId="13" borderId="0" xfId="0" applyFont="1" applyFill="1" applyProtection="1"/>
    <xf numFmtId="0" fontId="42" fillId="13" borderId="0" xfId="0" applyFont="1" applyFill="1" applyAlignment="1" applyProtection="1">
      <alignment horizontal="left" vertical="center"/>
    </xf>
    <xf numFmtId="0" fontId="23" fillId="13" borderId="0" xfId="0" applyFont="1" applyFill="1" applyProtection="1"/>
    <xf numFmtId="0" fontId="31" fillId="13" borderId="0" xfId="0" applyFont="1" applyFill="1" applyProtection="1"/>
    <xf numFmtId="0" fontId="25" fillId="13" borderId="0" xfId="0" applyFont="1" applyFill="1"/>
    <xf numFmtId="0" fontId="21" fillId="6" borderId="12" xfId="0" applyFont="1" applyFill="1" applyBorder="1" applyAlignment="1" applyProtection="1">
      <alignment horizontal="left" vertical="center"/>
    </xf>
    <xf numFmtId="0" fontId="21" fillId="6" borderId="3" xfId="0" applyFont="1" applyFill="1" applyBorder="1" applyAlignment="1" applyProtection="1">
      <alignment vertical="center"/>
    </xf>
    <xf numFmtId="0" fontId="0" fillId="13" borderId="0" xfId="0" applyFont="1" applyFill="1" applyBorder="1" applyAlignment="1">
      <alignment horizontal="center"/>
    </xf>
    <xf numFmtId="0" fontId="0" fillId="0" borderId="0" xfId="0" applyFont="1" applyFill="1" applyBorder="1"/>
    <xf numFmtId="1" fontId="0" fillId="13" borderId="0" xfId="0" applyNumberFormat="1" applyFont="1" applyFill="1"/>
    <xf numFmtId="0" fontId="31" fillId="13" borderId="0" xfId="0" applyFont="1" applyFill="1" applyAlignment="1" applyProtection="1">
      <alignment vertical="center"/>
      <protection locked="0"/>
    </xf>
    <xf numFmtId="0" fontId="43" fillId="13" borderId="0" xfId="0" applyFont="1" applyFill="1" applyProtection="1">
      <protection locked="0"/>
    </xf>
    <xf numFmtId="0" fontId="45" fillId="13" borderId="0" xfId="0" applyFont="1" applyFill="1" applyProtection="1">
      <protection locked="0"/>
    </xf>
    <xf numFmtId="3" fontId="42" fillId="13" borderId="0" xfId="0" applyNumberFormat="1" applyFont="1" applyFill="1" applyAlignment="1" applyProtection="1">
      <alignment horizontal="left"/>
    </xf>
    <xf numFmtId="4" fontId="42" fillId="13" borderId="0" xfId="0" applyNumberFormat="1" applyFont="1" applyFill="1" applyAlignment="1" applyProtection="1">
      <alignment horizontal="left"/>
    </xf>
    <xf numFmtId="0" fontId="23" fillId="20" borderId="0" xfId="0" applyFont="1" applyFill="1" applyProtection="1"/>
    <xf numFmtId="0" fontId="23" fillId="0" borderId="0" xfId="0" applyFont="1" applyProtection="1"/>
    <xf numFmtId="0" fontId="23" fillId="20" borderId="0" xfId="0" applyFont="1" applyFill="1" applyAlignment="1" applyProtection="1">
      <alignment vertical="center"/>
    </xf>
    <xf numFmtId="0" fontId="23" fillId="0" borderId="0" xfId="0" applyFont="1" applyAlignment="1" applyProtection="1">
      <alignment vertical="center"/>
    </xf>
    <xf numFmtId="0" fontId="31" fillId="20" borderId="0" xfId="0" applyFont="1" applyFill="1" applyProtection="1"/>
    <xf numFmtId="0" fontId="31" fillId="0" borderId="0" xfId="0" applyFont="1" applyProtection="1"/>
    <xf numFmtId="0" fontId="31" fillId="13" borderId="0" xfId="0" applyFont="1" applyFill="1" applyAlignment="1" applyProtection="1">
      <alignment vertical="center"/>
    </xf>
    <xf numFmtId="0" fontId="31" fillId="20" borderId="0" xfId="0" applyFont="1" applyFill="1" applyAlignment="1" applyProtection="1">
      <alignment vertical="center"/>
    </xf>
    <xf numFmtId="0" fontId="43" fillId="13" borderId="0" xfId="0" applyFont="1" applyFill="1" applyProtection="1"/>
    <xf numFmtId="0" fontId="44" fillId="20" borderId="0" xfId="0" applyFont="1" applyFill="1" applyProtection="1"/>
    <xf numFmtId="0" fontId="43" fillId="20" borderId="0" xfId="0" applyFont="1" applyFill="1" applyProtection="1"/>
    <xf numFmtId="0" fontId="45" fillId="13" borderId="0" xfId="0" applyFont="1" applyFill="1" applyProtection="1"/>
    <xf numFmtId="0" fontId="46" fillId="20" borderId="0" xfId="0" applyFont="1" applyFill="1" applyProtection="1"/>
    <xf numFmtId="3" fontId="47" fillId="20" borderId="0" xfId="0" applyNumberFormat="1" applyFont="1" applyFill="1" applyProtection="1"/>
    <xf numFmtId="0" fontId="47" fillId="20" borderId="0" xfId="0" applyFont="1" applyFill="1" applyProtection="1"/>
    <xf numFmtId="0" fontId="45" fillId="20" borderId="0" xfId="0" applyFont="1" applyFill="1" applyProtection="1"/>
    <xf numFmtId="0" fontId="48" fillId="20" borderId="0" xfId="0" applyFont="1" applyFill="1" applyProtection="1"/>
    <xf numFmtId="0" fontId="0" fillId="13" borderId="31" xfId="0" applyFill="1" applyBorder="1" applyAlignment="1" applyProtection="1">
      <alignment horizontal="left"/>
    </xf>
    <xf numFmtId="0" fontId="9" fillId="18" borderId="0" xfId="0" applyFont="1" applyFill="1"/>
    <xf numFmtId="0" fontId="50" fillId="21" borderId="3" xfId="0" applyFont="1" applyFill="1" applyBorder="1" applyAlignment="1">
      <alignment vertical="center"/>
    </xf>
    <xf numFmtId="0" fontId="50" fillId="21" borderId="23" xfId="0" applyFont="1" applyFill="1" applyBorder="1" applyAlignment="1">
      <alignment vertical="center"/>
    </xf>
    <xf numFmtId="0" fontId="50" fillId="21" borderId="13" xfId="0" applyFont="1" applyFill="1" applyBorder="1" applyAlignment="1">
      <alignment vertical="center"/>
    </xf>
    <xf numFmtId="0" fontId="24" fillId="14" borderId="27" xfId="0" applyFont="1" applyFill="1" applyBorder="1" applyAlignment="1" applyProtection="1">
      <alignment horizontal="center" vertical="center"/>
      <protection locked="0"/>
    </xf>
    <xf numFmtId="0" fontId="0" fillId="13" borderId="0" xfId="0" applyFill="1" applyAlignment="1">
      <alignment vertical="center"/>
    </xf>
    <xf numFmtId="0" fontId="0" fillId="13" borderId="0" xfId="0" applyFont="1" applyFill="1" applyAlignment="1">
      <alignment vertical="center"/>
    </xf>
    <xf numFmtId="0" fontId="19" fillId="13" borderId="0" xfId="0" applyFont="1" applyFill="1" applyAlignment="1">
      <alignment vertical="center"/>
    </xf>
    <xf numFmtId="0" fontId="19" fillId="0" borderId="0" xfId="0" applyFont="1" applyAlignment="1">
      <alignment vertical="center"/>
    </xf>
    <xf numFmtId="0" fontId="0" fillId="0" borderId="0" xfId="0" applyAlignment="1">
      <alignment vertical="center"/>
    </xf>
    <xf numFmtId="0" fontId="0" fillId="13" borderId="1" xfId="0" applyFill="1" applyBorder="1" applyAlignment="1">
      <alignment horizontal="center" vertical="center"/>
    </xf>
    <xf numFmtId="0" fontId="32" fillId="13" borderId="24" xfId="0" applyFont="1" applyFill="1" applyBorder="1" applyAlignment="1" applyProtection="1">
      <alignment horizontal="center" vertical="center"/>
    </xf>
    <xf numFmtId="0" fontId="32" fillId="13" borderId="0" xfId="0" applyFont="1" applyFill="1" applyBorder="1" applyAlignment="1" applyProtection="1">
      <alignment horizontal="center" vertical="center"/>
    </xf>
    <xf numFmtId="0" fontId="34" fillId="6" borderId="1" xfId="0" applyFont="1" applyFill="1" applyBorder="1" applyAlignment="1" applyProtection="1">
      <alignment horizontal="center" vertical="center"/>
    </xf>
    <xf numFmtId="0" fontId="22" fillId="9" borderId="13" xfId="0" applyFont="1" applyFill="1" applyBorder="1" applyAlignment="1">
      <alignment horizontal="left" vertical="center"/>
    </xf>
    <xf numFmtId="0" fontId="6" fillId="13" borderId="0" xfId="0" applyFont="1" applyFill="1" applyBorder="1" applyAlignment="1">
      <alignment vertical="center" wrapText="1"/>
    </xf>
    <xf numFmtId="0" fontId="50" fillId="22" borderId="0" xfId="0" applyFont="1" applyFill="1" applyBorder="1" applyAlignment="1">
      <alignment vertical="center"/>
    </xf>
    <xf numFmtId="0" fontId="0" fillId="13" borderId="0" xfId="0" applyFont="1" applyFill="1" applyBorder="1" applyAlignment="1">
      <alignment vertical="center" wrapText="1"/>
    </xf>
    <xf numFmtId="0" fontId="0" fillId="13" borderId="0" xfId="0" applyFont="1" applyFill="1" applyBorder="1" applyAlignment="1">
      <alignment horizontal="center" vertical="center"/>
    </xf>
    <xf numFmtId="0" fontId="0" fillId="13" borderId="0" xfId="0" applyFont="1" applyFill="1" applyBorder="1" applyAlignment="1">
      <alignment vertical="center"/>
    </xf>
    <xf numFmtId="0" fontId="0" fillId="13" borderId="0" xfId="0" applyFont="1" applyFill="1" applyBorder="1" applyAlignment="1">
      <alignment horizontal="left" vertical="center" wrapText="1"/>
    </xf>
    <xf numFmtId="0" fontId="22" fillId="17" borderId="21" xfId="0" applyFont="1" applyFill="1" applyBorder="1" applyAlignment="1">
      <alignment horizontal="center" vertical="center"/>
    </xf>
    <xf numFmtId="0" fontId="19" fillId="16" borderId="26" xfId="0" applyFont="1" applyFill="1" applyBorder="1" applyAlignment="1" applyProtection="1">
      <alignment horizontal="center" vertical="center" wrapText="1"/>
      <protection locked="0"/>
    </xf>
    <xf numFmtId="0" fontId="24" fillId="14" borderId="27" xfId="0" applyFont="1" applyFill="1" applyBorder="1" applyAlignment="1" applyProtection="1">
      <alignment horizontal="center" vertical="center"/>
      <protection locked="0"/>
    </xf>
    <xf numFmtId="0" fontId="24" fillId="14" borderId="26" xfId="0" applyFont="1" applyFill="1" applyBorder="1" applyAlignment="1" applyProtection="1">
      <alignment horizontal="center" vertical="center"/>
      <protection locked="0"/>
    </xf>
    <xf numFmtId="0" fontId="22" fillId="13" borderId="11" xfId="0" applyFont="1" applyFill="1" applyBorder="1" applyAlignment="1">
      <alignment horizontal="left" vertical="center" wrapText="1"/>
    </xf>
    <xf numFmtId="0" fontId="22" fillId="13" borderId="7" xfId="0" applyFont="1" applyFill="1" applyBorder="1" applyAlignment="1">
      <alignment horizontal="left" vertical="center" wrapText="1"/>
    </xf>
    <xf numFmtId="0" fontId="22" fillId="7" borderId="2" xfId="0" applyFont="1" applyFill="1" applyBorder="1" applyAlignment="1">
      <alignment horizontal="left" vertical="center" wrapText="1"/>
    </xf>
    <xf numFmtId="0" fontId="22" fillId="8" borderId="2" xfId="0" applyFont="1" applyFill="1" applyBorder="1" applyAlignment="1">
      <alignment horizontal="left" vertical="center" wrapText="1"/>
    </xf>
    <xf numFmtId="0" fontId="27" fillId="13" borderId="0" xfId="0" applyFont="1" applyFill="1" applyAlignment="1"/>
    <xf numFmtId="0" fontId="28" fillId="13" borderId="0" xfId="0" applyFont="1" applyFill="1" applyAlignment="1"/>
    <xf numFmtId="0" fontId="28" fillId="0" borderId="0" xfId="0" applyFont="1"/>
    <xf numFmtId="0" fontId="27" fillId="13" borderId="0" xfId="0" applyFont="1" applyFill="1" applyAlignment="1">
      <alignment horizontal="center"/>
    </xf>
    <xf numFmtId="0" fontId="0" fillId="13" borderId="0" xfId="0" applyFill="1" applyBorder="1" applyAlignment="1" applyProtection="1">
      <alignment vertical="center" wrapText="1"/>
      <protection locked="0"/>
    </xf>
    <xf numFmtId="0" fontId="28" fillId="13" borderId="0" xfId="0" applyFont="1" applyFill="1" applyBorder="1"/>
    <xf numFmtId="0" fontId="30" fillId="13" borderId="0" xfId="0" applyFont="1" applyFill="1" applyBorder="1"/>
    <xf numFmtId="0" fontId="27" fillId="13" borderId="0" xfId="0" applyFont="1" applyFill="1" applyBorder="1" applyAlignment="1">
      <alignment horizontal="center"/>
    </xf>
    <xf numFmtId="0" fontId="27" fillId="13" borderId="0" xfId="0" applyFont="1" applyFill="1" applyBorder="1" applyAlignment="1"/>
    <xf numFmtId="0" fontId="0" fillId="13" borderId="0" xfId="0" applyFill="1" applyBorder="1" applyAlignment="1" applyProtection="1">
      <alignment vertical="center"/>
      <protection locked="0"/>
    </xf>
    <xf numFmtId="0" fontId="0" fillId="13" borderId="31" xfId="0" applyFont="1" applyFill="1" applyBorder="1" applyAlignment="1" applyProtection="1">
      <alignment horizontal="left"/>
    </xf>
    <xf numFmtId="0" fontId="7" fillId="13" borderId="31" xfId="0" applyFont="1" applyFill="1" applyBorder="1" applyAlignment="1" applyProtection="1">
      <alignment horizontal="left"/>
    </xf>
    <xf numFmtId="0" fontId="21" fillId="13" borderId="0" xfId="0" applyFont="1" applyFill="1" applyBorder="1" applyAlignment="1">
      <alignment horizontal="center" vertical="center"/>
    </xf>
    <xf numFmtId="0" fontId="21" fillId="13" borderId="0" xfId="0" applyFont="1" applyFill="1" applyBorder="1" applyAlignment="1">
      <alignment horizontal="center" vertical="center"/>
    </xf>
    <xf numFmtId="3" fontId="0" fillId="13" borderId="1" xfId="0" applyNumberFormat="1" applyFont="1" applyFill="1" applyBorder="1" applyAlignment="1">
      <alignment horizontal="center" vertical="center"/>
    </xf>
    <xf numFmtId="0" fontId="0" fillId="13" borderId="0" xfId="0" applyFill="1" applyAlignment="1" applyProtection="1">
      <alignment horizontal="center"/>
      <protection locked="0"/>
    </xf>
    <xf numFmtId="0" fontId="25" fillId="13" borderId="0" xfId="0" applyFont="1" applyFill="1" applyProtection="1">
      <protection locked="0"/>
    </xf>
    <xf numFmtId="0" fontId="25" fillId="13" borderId="0" xfId="0" applyFont="1" applyFill="1" applyAlignment="1" applyProtection="1">
      <alignment horizontal="center"/>
      <protection locked="0"/>
    </xf>
    <xf numFmtId="0" fontId="0" fillId="13" borderId="0" xfId="0" applyFont="1" applyFill="1" applyBorder="1" applyProtection="1">
      <protection locked="0"/>
    </xf>
    <xf numFmtId="0" fontId="0" fillId="0" borderId="0" xfId="0" applyAlignment="1" applyProtection="1">
      <alignment horizontal="center"/>
      <protection locked="0"/>
    </xf>
    <xf numFmtId="0" fontId="21" fillId="13" borderId="0" xfId="0" applyFont="1" applyFill="1" applyBorder="1" applyAlignment="1">
      <alignment horizontal="center" vertical="center" wrapText="1"/>
    </xf>
    <xf numFmtId="0" fontId="22" fillId="7" borderId="13" xfId="0" applyFont="1" applyFill="1" applyBorder="1" applyAlignment="1">
      <alignment horizontal="left" vertical="center" wrapText="1"/>
    </xf>
    <xf numFmtId="0" fontId="22" fillId="8" borderId="13" xfId="0" applyFont="1" applyFill="1" applyBorder="1" applyAlignment="1">
      <alignment horizontal="left" vertical="center" wrapText="1"/>
    </xf>
    <xf numFmtId="0" fontId="14" fillId="13" borderId="0" xfId="0" applyFont="1" applyFill="1" applyBorder="1" applyAlignment="1">
      <alignment vertical="center" wrapText="1"/>
    </xf>
    <xf numFmtId="0" fontId="0" fillId="13" borderId="0" xfId="0" applyFont="1" applyFill="1" applyAlignment="1">
      <alignment horizontal="left" vertical="center" wrapText="1"/>
    </xf>
    <xf numFmtId="0" fontId="21" fillId="13" borderId="0" xfId="0" applyFont="1" applyFill="1" applyBorder="1" applyAlignment="1">
      <alignment horizontal="left" vertical="center" wrapText="1"/>
    </xf>
    <xf numFmtId="0" fontId="22" fillId="13" borderId="21" xfId="0" applyFont="1" applyFill="1" applyBorder="1" applyAlignment="1">
      <alignment horizontal="left" vertical="center" wrapText="1"/>
    </xf>
    <xf numFmtId="0" fontId="14" fillId="13" borderId="0" xfId="0" applyFont="1" applyFill="1" applyBorder="1" applyAlignment="1">
      <alignment horizontal="left" vertical="center" wrapText="1"/>
    </xf>
    <xf numFmtId="0" fontId="0" fillId="0" borderId="0" xfId="0" applyFont="1" applyAlignment="1">
      <alignment horizontal="left" vertical="center" wrapText="1"/>
    </xf>
    <xf numFmtId="0" fontId="21" fillId="13" borderId="0" xfId="0" applyFont="1" applyFill="1" applyBorder="1" applyAlignment="1">
      <alignment horizontal="center" vertical="center" wrapText="1"/>
    </xf>
    <xf numFmtId="0" fontId="22" fillId="9" borderId="12" xfId="0" applyFont="1" applyFill="1" applyBorder="1" applyAlignment="1">
      <alignment horizontal="center" vertical="center"/>
    </xf>
    <xf numFmtId="0" fontId="22" fillId="9" borderId="11" xfId="0" applyFont="1" applyFill="1" applyBorder="1" applyAlignment="1">
      <alignment horizontal="center" vertical="center"/>
    </xf>
    <xf numFmtId="0" fontId="22" fillId="9" borderId="1" xfId="0" applyFont="1" applyFill="1" applyBorder="1" applyAlignment="1">
      <alignment horizontal="left" vertical="center"/>
    </xf>
    <xf numFmtId="0" fontId="60" fillId="13" borderId="0" xfId="0" applyFont="1" applyFill="1" applyAlignment="1" applyProtection="1">
      <alignment horizontal="center"/>
      <protection locked="0"/>
    </xf>
    <xf numFmtId="0" fontId="21" fillId="13" borderId="0" xfId="0" applyFont="1" applyFill="1" applyBorder="1" applyAlignment="1">
      <alignment horizontal="center" vertical="center"/>
    </xf>
    <xf numFmtId="0" fontId="0" fillId="13" borderId="0" xfId="0" applyFill="1" applyAlignment="1">
      <alignment horizontal="center" vertical="center"/>
    </xf>
    <xf numFmtId="0" fontId="0" fillId="0" borderId="0" xfId="0" applyAlignment="1">
      <alignment horizontal="center" vertical="center"/>
    </xf>
    <xf numFmtId="0" fontId="22" fillId="13" borderId="1" xfId="0" applyFont="1" applyFill="1" applyBorder="1" applyAlignment="1">
      <alignment horizontal="left" vertical="center"/>
    </xf>
    <xf numFmtId="0" fontId="0" fillId="13" borderId="0" xfId="0" applyFill="1" applyBorder="1" applyAlignment="1">
      <alignment horizontal="left" wrapText="1"/>
    </xf>
    <xf numFmtId="0" fontId="22" fillId="13" borderId="1" xfId="0" applyFont="1" applyFill="1" applyBorder="1" applyAlignment="1">
      <alignment horizontal="left" vertical="center" wrapText="1"/>
    </xf>
    <xf numFmtId="0" fontId="23" fillId="13" borderId="0" xfId="0" applyFont="1" applyFill="1" applyBorder="1" applyAlignment="1">
      <alignment horizontal="left" wrapText="1"/>
    </xf>
    <xf numFmtId="0" fontId="0" fillId="0" borderId="0" xfId="0" applyAlignment="1">
      <alignment horizontal="left" wrapText="1"/>
    </xf>
    <xf numFmtId="0" fontId="22" fillId="9" borderId="2" xfId="0" applyFont="1" applyFill="1" applyBorder="1" applyAlignment="1">
      <alignment horizontal="left" vertical="center"/>
    </xf>
    <xf numFmtId="0" fontId="61" fillId="13" borderId="31" xfId="0" applyFont="1" applyFill="1" applyBorder="1" applyAlignment="1" applyProtection="1">
      <alignment horizontal="center"/>
    </xf>
    <xf numFmtId="1" fontId="0" fillId="13" borderId="0" xfId="0" applyNumberFormat="1" applyFill="1" applyBorder="1"/>
    <xf numFmtId="1" fontId="23" fillId="13" borderId="0" xfId="0" applyNumberFormat="1" applyFont="1" applyFill="1" applyBorder="1"/>
    <xf numFmtId="1" fontId="22" fillId="17" borderId="21" xfId="0" applyNumberFormat="1" applyFont="1" applyFill="1" applyBorder="1" applyAlignment="1">
      <alignment horizontal="center" vertical="center"/>
    </xf>
    <xf numFmtId="1" fontId="22" fillId="7" borderId="3" xfId="0" applyNumberFormat="1" applyFont="1" applyFill="1" applyBorder="1" applyAlignment="1">
      <alignment horizontal="center" vertical="center"/>
    </xf>
    <xf numFmtId="1" fontId="23" fillId="8" borderId="3" xfId="0" applyNumberFormat="1" applyFont="1" applyFill="1" applyBorder="1" applyAlignment="1">
      <alignment horizontal="center" vertical="center"/>
    </xf>
    <xf numFmtId="1" fontId="16" fillId="13" borderId="0" xfId="0" applyNumberFormat="1" applyFont="1" applyFill="1" applyBorder="1" applyAlignment="1">
      <alignment horizontal="center" vertical="center"/>
    </xf>
    <xf numFmtId="1" fontId="22" fillId="9" borderId="12" xfId="0" applyNumberFormat="1" applyFont="1" applyFill="1" applyBorder="1" applyAlignment="1">
      <alignment horizontal="center" vertical="center"/>
    </xf>
    <xf numFmtId="1" fontId="0" fillId="0" borderId="0" xfId="0" applyNumberFormat="1"/>
    <xf numFmtId="1" fontId="22" fillId="7" borderId="12" xfId="0" applyNumberFormat="1" applyFont="1" applyFill="1" applyBorder="1" applyAlignment="1">
      <alignment horizontal="center" vertical="center"/>
    </xf>
    <xf numFmtId="1" fontId="14" fillId="13" borderId="0" xfId="0" applyNumberFormat="1" applyFont="1" applyFill="1" applyBorder="1" applyAlignment="1">
      <alignment vertical="center"/>
    </xf>
    <xf numFmtId="1" fontId="0" fillId="0" borderId="0" xfId="0" applyNumberFormat="1" applyFont="1"/>
    <xf numFmtId="1" fontId="0" fillId="13" borderId="0" xfId="0" applyNumberFormat="1" applyFill="1"/>
    <xf numFmtId="1" fontId="22" fillId="9" borderId="3" xfId="0" applyNumberFormat="1" applyFont="1" applyFill="1" applyBorder="1" applyAlignment="1">
      <alignment horizontal="center" vertical="center"/>
    </xf>
    <xf numFmtId="1" fontId="22" fillId="8" borderId="12" xfId="0" applyNumberFormat="1" applyFont="1" applyFill="1" applyBorder="1" applyAlignment="1">
      <alignment horizontal="center" vertical="center"/>
    </xf>
    <xf numFmtId="1" fontId="0" fillId="13" borderId="0" xfId="0" applyNumberFormat="1" applyFill="1" applyAlignment="1">
      <alignment horizontal="center"/>
    </xf>
    <xf numFmtId="1" fontId="22" fillId="10" borderId="12" xfId="0" applyNumberFormat="1" applyFont="1" applyFill="1" applyBorder="1" applyAlignment="1">
      <alignment horizontal="center" vertical="center"/>
    </xf>
    <xf numFmtId="0" fontId="0" fillId="13" borderId="1" xfId="0" applyFont="1" applyFill="1" applyBorder="1" applyAlignment="1">
      <alignment horizontal="center"/>
    </xf>
    <xf numFmtId="0" fontId="22" fillId="9" borderId="2" xfId="0" applyFont="1" applyFill="1" applyBorder="1" applyAlignment="1">
      <alignment horizontal="left" vertical="center" wrapText="1"/>
    </xf>
    <xf numFmtId="0" fontId="14" fillId="13" borderId="1" xfId="0" applyFont="1" applyFill="1" applyBorder="1" applyAlignment="1">
      <alignment horizontal="center" vertical="center"/>
    </xf>
    <xf numFmtId="0" fontId="14" fillId="13" borderId="7" xfId="0" applyFont="1" applyFill="1" applyBorder="1" applyAlignment="1">
      <alignment horizontal="center" vertical="center"/>
    </xf>
    <xf numFmtId="0" fontId="6" fillId="14" borderId="4" xfId="0" applyFont="1" applyFill="1" applyBorder="1" applyAlignment="1">
      <alignment horizontal="center" vertical="center" wrapText="1"/>
    </xf>
    <xf numFmtId="0" fontId="6" fillId="14" borderId="5" xfId="0" applyFont="1" applyFill="1" applyBorder="1" applyAlignment="1">
      <alignment horizontal="center" vertical="center" wrapText="1"/>
    </xf>
    <xf numFmtId="0" fontId="6" fillId="14" borderId="6" xfId="0" applyFont="1" applyFill="1" applyBorder="1" applyAlignment="1">
      <alignment horizontal="center" vertical="center" wrapText="1"/>
    </xf>
    <xf numFmtId="0" fontId="14" fillId="13" borderId="8" xfId="0" applyFont="1" applyFill="1" applyBorder="1" applyAlignment="1">
      <alignment horizontal="center" vertical="center"/>
    </xf>
    <xf numFmtId="0" fontId="14" fillId="13" borderId="9" xfId="0" applyFont="1" applyFill="1" applyBorder="1" applyAlignment="1">
      <alignment horizontal="center" vertical="center"/>
    </xf>
    <xf numFmtId="0" fontId="9" fillId="13" borderId="23" xfId="0" applyFont="1" applyFill="1" applyBorder="1" applyAlignment="1">
      <alignment horizontal="center" vertical="center" wrapText="1"/>
    </xf>
    <xf numFmtId="0" fontId="9" fillId="13" borderId="36" xfId="0" applyFont="1" applyFill="1" applyBorder="1" applyAlignment="1">
      <alignment horizontal="center" vertical="center" wrapText="1"/>
    </xf>
    <xf numFmtId="0" fontId="14" fillId="13" borderId="1" xfId="0" applyFont="1" applyFill="1" applyBorder="1" applyAlignment="1">
      <alignment horizontal="left" vertical="center"/>
    </xf>
    <xf numFmtId="0" fontId="14" fillId="13" borderId="8" xfId="0" applyFont="1" applyFill="1" applyBorder="1" applyAlignment="1">
      <alignment horizontal="left" vertical="center"/>
    </xf>
    <xf numFmtId="0" fontId="14" fillId="13" borderId="1" xfId="0" applyFont="1" applyFill="1" applyBorder="1" applyAlignment="1">
      <alignment horizontal="left" vertical="center" wrapText="1"/>
    </xf>
    <xf numFmtId="0" fontId="0" fillId="13" borderId="0" xfId="0" applyFill="1" applyBorder="1" applyAlignment="1">
      <alignment horizontal="center" vertical="center"/>
    </xf>
    <xf numFmtId="0" fontId="0" fillId="13" borderId="2" xfId="0" applyFill="1" applyBorder="1" applyAlignment="1">
      <alignment horizontal="center" vertical="center"/>
    </xf>
    <xf numFmtId="3" fontId="0" fillId="13" borderId="3" xfId="0" applyNumberFormat="1" applyFill="1" applyBorder="1" applyAlignment="1">
      <alignment horizontal="center" vertical="center"/>
    </xf>
    <xf numFmtId="166" fontId="0" fillId="13" borderId="2" xfId="0" applyNumberFormat="1" applyFill="1" applyBorder="1" applyAlignment="1">
      <alignment horizontal="center" vertical="center"/>
    </xf>
    <xf numFmtId="1" fontId="0" fillId="0" borderId="2" xfId="0" applyNumberFormat="1" applyFill="1" applyBorder="1" applyAlignment="1">
      <alignment horizontal="center" vertical="center"/>
    </xf>
    <xf numFmtId="3" fontId="0" fillId="13" borderId="1" xfId="0" applyNumberFormat="1" applyFill="1" applyBorder="1" applyAlignment="1">
      <alignment horizontal="center" vertical="center"/>
    </xf>
    <xf numFmtId="166" fontId="0" fillId="13" borderId="1" xfId="0" applyNumberFormat="1" applyFill="1" applyBorder="1" applyAlignment="1">
      <alignment horizontal="center" vertical="center"/>
    </xf>
    <xf numFmtId="0" fontId="14" fillId="13" borderId="16" xfId="0" applyFont="1" applyFill="1" applyBorder="1" applyAlignment="1">
      <alignment horizontal="left" vertical="center"/>
    </xf>
    <xf numFmtId="0" fontId="14" fillId="13" borderId="18" xfId="0" applyFont="1" applyFill="1" applyBorder="1" applyAlignment="1">
      <alignment horizontal="center" vertical="center"/>
    </xf>
    <xf numFmtId="14" fontId="14" fillId="13" borderId="1" xfId="0" applyNumberFormat="1" applyFont="1" applyFill="1" applyBorder="1" applyAlignment="1">
      <alignment horizontal="center" vertical="center"/>
    </xf>
    <xf numFmtId="0" fontId="21" fillId="13" borderId="0" xfId="0" applyFont="1" applyFill="1" applyBorder="1" applyAlignment="1">
      <alignment horizontal="center" vertical="center"/>
    </xf>
    <xf numFmtId="0" fontId="52" fillId="18" borderId="0" xfId="3137" applyFont="1" applyFill="1"/>
    <xf numFmtId="0" fontId="9" fillId="18" borderId="0" xfId="3137" applyFont="1" applyFill="1" applyAlignment="1">
      <alignment horizontal="left" vertical="top"/>
    </xf>
    <xf numFmtId="0" fontId="0" fillId="13" borderId="0" xfId="0" applyFill="1" applyAlignment="1"/>
    <xf numFmtId="0" fontId="52" fillId="18" borderId="0" xfId="3137" applyFont="1" applyFill="1" applyAlignment="1">
      <alignment horizontal="left" vertical="top" wrapText="1"/>
    </xf>
    <xf numFmtId="0" fontId="64" fillId="0" borderId="0" xfId="3139"/>
    <xf numFmtId="0" fontId="0" fillId="0" borderId="20" xfId="0" applyBorder="1"/>
    <xf numFmtId="0" fontId="64" fillId="0" borderId="0" xfId="3139" applyBorder="1"/>
    <xf numFmtId="0" fontId="0" fillId="0" borderId="33" xfId="0" applyBorder="1"/>
    <xf numFmtId="0" fontId="0" fillId="0" borderId="22" xfId="0" applyBorder="1"/>
    <xf numFmtId="0" fontId="53" fillId="0" borderId="0" xfId="0" applyFont="1"/>
    <xf numFmtId="0" fontId="0" fillId="17" borderId="1" xfId="0" applyFill="1" applyBorder="1" applyAlignment="1">
      <alignment horizontal="center" vertical="center"/>
    </xf>
    <xf numFmtId="0" fontId="0" fillId="17" borderId="1" xfId="0" applyFill="1" applyBorder="1" applyAlignment="1">
      <alignment horizontal="center"/>
    </xf>
    <xf numFmtId="0" fontId="0" fillId="0" borderId="1" xfId="0" applyBorder="1" applyAlignment="1">
      <alignment horizontal="center"/>
    </xf>
    <xf numFmtId="0" fontId="69" fillId="13" borderId="1" xfId="3139" applyFont="1" applyFill="1" applyBorder="1" applyAlignment="1">
      <alignment horizontal="left" vertical="center" wrapText="1"/>
    </xf>
    <xf numFmtId="0" fontId="0" fillId="0" borderId="0" xfId="0" applyFont="1" applyAlignment="1">
      <alignment horizontal="right"/>
    </xf>
    <xf numFmtId="0" fontId="62" fillId="13" borderId="0" xfId="3137" applyFont="1" applyFill="1" applyBorder="1" applyAlignment="1">
      <alignment horizontal="left" vertical="top"/>
    </xf>
    <xf numFmtId="0" fontId="62" fillId="13" borderId="0" xfId="3137" applyFont="1" applyFill="1" applyAlignment="1">
      <alignment vertical="top"/>
    </xf>
    <xf numFmtId="0" fontId="71" fillId="0" borderId="0" xfId="3139" applyFont="1"/>
    <xf numFmtId="0" fontId="64" fillId="13" borderId="0" xfId="3139" applyFill="1"/>
    <xf numFmtId="0" fontId="52" fillId="22" borderId="0" xfId="3137" applyFont="1" applyFill="1"/>
    <xf numFmtId="0" fontId="62" fillId="13" borderId="0" xfId="3137" applyFill="1"/>
    <xf numFmtId="0" fontId="21" fillId="13" borderId="0" xfId="3137" applyFont="1" applyFill="1" applyBorder="1" applyAlignment="1">
      <alignment vertical="center"/>
    </xf>
    <xf numFmtId="0" fontId="57" fillId="13" borderId="0" xfId="3137" applyFont="1" applyFill="1" applyBorder="1" applyAlignment="1">
      <alignment vertical="center"/>
    </xf>
    <xf numFmtId="0" fontId="64" fillId="13" borderId="0" xfId="3139" applyFill="1" applyBorder="1"/>
    <xf numFmtId="0" fontId="75" fillId="13" borderId="0" xfId="3137" applyFont="1" applyFill="1" applyAlignment="1">
      <alignment horizontal="left" wrapText="1"/>
    </xf>
    <xf numFmtId="0" fontId="0" fillId="13" borderId="1" xfId="0" applyFill="1" applyBorder="1" applyAlignment="1">
      <alignment horizontal="center"/>
    </xf>
    <xf numFmtId="0" fontId="0" fillId="0" borderId="2" xfId="0" applyBorder="1" applyAlignment="1">
      <alignment horizontal="center"/>
    </xf>
    <xf numFmtId="4" fontId="53" fillId="13" borderId="1" xfId="3137" applyNumberFormat="1" applyFont="1" applyFill="1" applyBorder="1" applyAlignment="1">
      <alignment horizontal="center" vertical="center"/>
    </xf>
    <xf numFmtId="1" fontId="30" fillId="18" borderId="1" xfId="0" applyNumberFormat="1" applyFont="1" applyFill="1" applyBorder="1" applyAlignment="1">
      <alignment horizontal="center" vertical="center"/>
    </xf>
    <xf numFmtId="0" fontId="78" fillId="13" borderId="0" xfId="3139" applyFont="1" applyFill="1"/>
    <xf numFmtId="0" fontId="66" fillId="13" borderId="0" xfId="3139" applyFont="1" applyFill="1" applyBorder="1"/>
    <xf numFmtId="0" fontId="80" fillId="13" borderId="0" xfId="3139" applyFont="1" applyFill="1"/>
    <xf numFmtId="0" fontId="81" fillId="13" borderId="0" xfId="3139" applyFont="1" applyFill="1"/>
    <xf numFmtId="4" fontId="64" fillId="13" borderId="0" xfId="3139" applyNumberFormat="1" applyFill="1" applyBorder="1" applyAlignment="1">
      <alignment horizontal="center" vertical="center"/>
    </xf>
    <xf numFmtId="4" fontId="64" fillId="13" borderId="0" xfId="3139" applyNumberFormat="1" applyFill="1"/>
    <xf numFmtId="3" fontId="82" fillId="13" borderId="0" xfId="3139" applyNumberFormat="1" applyFont="1" applyFill="1" applyBorder="1" applyAlignment="1">
      <alignment horizontal="center" vertical="center"/>
    </xf>
    <xf numFmtId="0" fontId="0" fillId="13" borderId="20" xfId="0" applyFill="1" applyBorder="1" applyAlignment="1">
      <alignment horizontal="center"/>
    </xf>
    <xf numFmtId="9" fontId="0" fillId="13" borderId="16" xfId="3138" applyNumberFormat="1" applyFont="1" applyFill="1" applyBorder="1" applyAlignment="1">
      <alignment horizontal="center" vertical="center"/>
    </xf>
    <xf numFmtId="9" fontId="0" fillId="13" borderId="19" xfId="3138" applyNumberFormat="1" applyFont="1" applyFill="1" applyBorder="1" applyAlignment="1">
      <alignment horizontal="center" vertical="center"/>
    </xf>
    <xf numFmtId="9" fontId="0" fillId="13" borderId="1" xfId="3138" applyNumberFormat="1" applyFont="1" applyFill="1" applyBorder="1" applyAlignment="1">
      <alignment horizontal="center" vertical="center"/>
    </xf>
    <xf numFmtId="9" fontId="0" fillId="13" borderId="2" xfId="3138" applyNumberFormat="1" applyFont="1" applyFill="1" applyBorder="1" applyAlignment="1">
      <alignment horizontal="center" vertical="center"/>
    </xf>
    <xf numFmtId="0" fontId="0" fillId="0" borderId="0" xfId="0" applyAlignment="1">
      <alignment horizontal="left"/>
    </xf>
    <xf numFmtId="9" fontId="0" fillId="13" borderId="0" xfId="3138" applyNumberFormat="1" applyFont="1" applyFill="1" applyBorder="1" applyAlignment="1">
      <alignment horizontal="center" vertical="center"/>
    </xf>
    <xf numFmtId="0" fontId="0" fillId="0" borderId="16" xfId="0" applyFont="1" applyBorder="1" applyAlignment="1">
      <alignment horizontal="left" vertical="center"/>
    </xf>
    <xf numFmtId="0" fontId="0" fillId="17" borderId="1" xfId="0" applyFont="1" applyFill="1" applyBorder="1" applyAlignment="1">
      <alignment horizontal="center" vertical="center"/>
    </xf>
    <xf numFmtId="0" fontId="0" fillId="0" borderId="14" xfId="0" applyFont="1" applyBorder="1" applyAlignment="1">
      <alignment horizontal="center" vertical="center"/>
    </xf>
    <xf numFmtId="168" fontId="69" fillId="13" borderId="1" xfId="3139" applyNumberFormat="1" applyFont="1" applyFill="1" applyBorder="1" applyAlignment="1">
      <alignment horizontal="center" vertical="center"/>
    </xf>
    <xf numFmtId="0" fontId="0" fillId="0" borderId="34" xfId="0" applyFont="1" applyBorder="1" applyAlignment="1">
      <alignment horizontal="center" vertical="center"/>
    </xf>
    <xf numFmtId="0" fontId="0" fillId="0" borderId="33" xfId="0" applyFont="1" applyBorder="1" applyAlignment="1">
      <alignment horizontal="center" vertical="center"/>
    </xf>
    <xf numFmtId="0" fontId="0" fillId="0" borderId="0" xfId="0" applyBorder="1" applyAlignment="1">
      <alignment horizontal="center"/>
    </xf>
    <xf numFmtId="0" fontId="0" fillId="0" borderId="21" xfId="0" applyFont="1" applyBorder="1" applyAlignment="1">
      <alignment horizontal="left" vertical="center"/>
    </xf>
    <xf numFmtId="0" fontId="0" fillId="0" borderId="21" xfId="0" applyFont="1" applyBorder="1" applyAlignment="1">
      <alignment horizontal="center" vertical="center"/>
    </xf>
    <xf numFmtId="0" fontId="0" fillId="0" borderId="1" xfId="0" applyFont="1" applyBorder="1" applyAlignment="1">
      <alignment horizontal="center" vertical="center"/>
    </xf>
    <xf numFmtId="0" fontId="0" fillId="0" borderId="20" xfId="0" applyFont="1" applyBorder="1" applyAlignment="1">
      <alignment horizontal="center" vertical="center"/>
    </xf>
    <xf numFmtId="0" fontId="0" fillId="0" borderId="1" xfId="0" applyFont="1" applyBorder="1" applyAlignment="1">
      <alignment horizontal="left" vertical="center"/>
    </xf>
    <xf numFmtId="0" fontId="0" fillId="0" borderId="34" xfId="0" applyFont="1" applyBorder="1" applyAlignment="1">
      <alignment horizontal="left" vertical="center"/>
    </xf>
    <xf numFmtId="0" fontId="0" fillId="0" borderId="0" xfId="0" applyFont="1" applyBorder="1" applyAlignment="1">
      <alignment horizontal="center" vertical="center"/>
    </xf>
    <xf numFmtId="0" fontId="0" fillId="0" borderId="16" xfId="0" applyBorder="1" applyAlignment="1">
      <alignment horizontal="center"/>
    </xf>
    <xf numFmtId="0" fontId="0" fillId="0" borderId="34" xfId="0" applyBorder="1" applyAlignment="1">
      <alignment horizontal="center"/>
    </xf>
    <xf numFmtId="49" fontId="0" fillId="13" borderId="0" xfId="3138" applyNumberFormat="1" applyFont="1" applyFill="1" applyBorder="1" applyAlignment="1">
      <alignment horizontal="left" vertical="center"/>
    </xf>
    <xf numFmtId="0" fontId="64" fillId="13" borderId="1" xfId="3139" applyFont="1" applyFill="1" applyBorder="1" applyAlignment="1">
      <alignment horizontal="center"/>
    </xf>
    <xf numFmtId="0" fontId="62" fillId="13" borderId="0" xfId="3137" applyFill="1" applyBorder="1"/>
    <xf numFmtId="168" fontId="64" fillId="13" borderId="1" xfId="3139" applyNumberFormat="1" applyFont="1" applyFill="1" applyBorder="1" applyAlignment="1">
      <alignment horizontal="center"/>
    </xf>
    <xf numFmtId="168" fontId="64" fillId="13" borderId="1" xfId="3139" quotePrefix="1" applyNumberFormat="1" applyFill="1" applyBorder="1" applyAlignment="1">
      <alignment horizontal="center"/>
    </xf>
    <xf numFmtId="168" fontId="64" fillId="13" borderId="1" xfId="3139" applyNumberFormat="1" applyFill="1" applyBorder="1" applyAlignment="1">
      <alignment horizontal="center"/>
    </xf>
    <xf numFmtId="3" fontId="64" fillId="13" borderId="0" xfId="3139" applyNumberFormat="1" applyFont="1" applyFill="1" applyBorder="1" applyAlignment="1">
      <alignment horizontal="right"/>
    </xf>
    <xf numFmtId="0" fontId="64" fillId="13" borderId="0" xfId="3139" applyFont="1" applyFill="1" applyBorder="1"/>
    <xf numFmtId="0" fontId="64" fillId="13" borderId="3" xfId="3139" applyFont="1" applyFill="1" applyBorder="1"/>
    <xf numFmtId="0" fontId="62" fillId="13" borderId="14" xfId="3137" applyFill="1" applyBorder="1"/>
    <xf numFmtId="4" fontId="64" fillId="13" borderId="14" xfId="3139" applyNumberFormat="1" applyFill="1" applyBorder="1" applyAlignment="1">
      <alignment horizontal="center" vertical="center"/>
    </xf>
    <xf numFmtId="4" fontId="64" fillId="13" borderId="1" xfId="3139" applyNumberFormat="1" applyFill="1" applyBorder="1" applyAlignment="1">
      <alignment horizontal="center" vertical="center"/>
    </xf>
    <xf numFmtId="0" fontId="19" fillId="14" borderId="26" xfId="3137" applyFont="1" applyFill="1" applyBorder="1" applyAlignment="1" applyProtection="1">
      <alignment horizontal="left" vertical="center" wrapText="1"/>
      <protection locked="0"/>
    </xf>
    <xf numFmtId="0" fontId="19" fillId="14" borderId="26" xfId="3137" applyFont="1" applyFill="1" applyBorder="1" applyAlignment="1" applyProtection="1">
      <alignment horizontal="center" vertical="center" wrapText="1"/>
      <protection locked="0"/>
    </xf>
    <xf numFmtId="0" fontId="5" fillId="0" borderId="0" xfId="0" applyFont="1" applyAlignment="1">
      <alignment vertical="center" wrapText="1"/>
    </xf>
    <xf numFmtId="0" fontId="5" fillId="0" borderId="0" xfId="0" applyFont="1" applyAlignment="1">
      <alignment horizontal="center" vertical="center" wrapText="1"/>
    </xf>
    <xf numFmtId="0" fontId="19" fillId="16" borderId="26" xfId="0" applyFont="1" applyFill="1" applyBorder="1" applyAlignment="1" applyProtection="1">
      <alignment horizontal="center" vertical="center" wrapText="1"/>
      <protection locked="0"/>
    </xf>
    <xf numFmtId="0" fontId="0" fillId="13" borderId="31" xfId="0" applyFont="1" applyFill="1" applyBorder="1" applyAlignment="1" applyProtection="1"/>
    <xf numFmtId="0" fontId="8" fillId="18" borderId="38" xfId="0" applyFont="1" applyFill="1" applyBorder="1" applyAlignment="1">
      <alignment horizontal="left"/>
    </xf>
    <xf numFmtId="0" fontId="0" fillId="13" borderId="31" xfId="0" applyFill="1" applyBorder="1" applyAlignment="1" applyProtection="1"/>
    <xf numFmtId="0" fontId="9" fillId="18" borderId="38" xfId="0" applyFont="1" applyFill="1" applyBorder="1"/>
    <xf numFmtId="0" fontId="9" fillId="18" borderId="39" xfId="0" applyFont="1" applyFill="1" applyBorder="1"/>
    <xf numFmtId="0" fontId="9" fillId="18" borderId="39" xfId="0" applyFont="1" applyFill="1" applyBorder="1" applyAlignment="1">
      <alignment horizontal="left"/>
    </xf>
    <xf numFmtId="0" fontId="0" fillId="0" borderId="0" xfId="0" applyBorder="1"/>
    <xf numFmtId="0" fontId="19" fillId="16" borderId="26" xfId="0" applyFont="1" applyFill="1" applyBorder="1" applyAlignment="1" applyProtection="1">
      <alignment horizontal="center" vertical="center" wrapText="1"/>
      <protection locked="0"/>
    </xf>
    <xf numFmtId="0" fontId="8" fillId="18" borderId="39" xfId="0" applyFont="1" applyFill="1" applyBorder="1" applyAlignment="1">
      <alignment horizontal="left"/>
    </xf>
    <xf numFmtId="0" fontId="32" fillId="13" borderId="0" xfId="3137" applyFont="1" applyFill="1" applyBorder="1" applyAlignment="1">
      <alignment vertical="center"/>
    </xf>
    <xf numFmtId="49" fontId="22" fillId="13" borderId="0" xfId="0" applyNumberFormat="1" applyFont="1" applyFill="1" applyBorder="1" applyAlignment="1" applyProtection="1">
      <alignment horizontal="left" vertical="center"/>
      <protection locked="0"/>
    </xf>
    <xf numFmtId="0" fontId="32" fillId="0" borderId="0" xfId="3137" applyFont="1" applyFill="1" applyBorder="1" applyAlignment="1">
      <alignment vertical="center"/>
    </xf>
    <xf numFmtId="0" fontId="53" fillId="13" borderId="0" xfId="3166" applyFont="1" applyFill="1" applyBorder="1" applyAlignment="1">
      <alignment horizontal="left" vertical="center"/>
    </xf>
    <xf numFmtId="1" fontId="64" fillId="17" borderId="1" xfId="3138" applyNumberFormat="1" applyFont="1" applyFill="1" applyBorder="1" applyAlignment="1">
      <alignment horizontal="center" vertical="center"/>
    </xf>
    <xf numFmtId="10" fontId="64" fillId="13" borderId="0" xfId="3138" applyNumberFormat="1" applyFont="1" applyFill="1" applyBorder="1" applyAlignment="1">
      <alignment horizontal="center" vertical="center"/>
    </xf>
    <xf numFmtId="0" fontId="23" fillId="13" borderId="0" xfId="0" applyFont="1" applyFill="1" applyBorder="1" applyAlignment="1">
      <alignment horizontal="left" vertical="center"/>
    </xf>
    <xf numFmtId="0" fontId="0" fillId="13" borderId="0" xfId="0" applyFill="1" applyAlignment="1">
      <alignment horizontal="left" vertical="top" wrapText="1"/>
    </xf>
    <xf numFmtId="11" fontId="0" fillId="13" borderId="0" xfId="0" applyNumberFormat="1" applyFill="1"/>
    <xf numFmtId="0" fontId="9" fillId="22" borderId="0" xfId="3137" applyFont="1" applyFill="1" applyAlignment="1">
      <alignment horizontal="left" vertical="top" wrapText="1"/>
    </xf>
    <xf numFmtId="0" fontId="0" fillId="0" borderId="0" xfId="0" applyFont="1" applyBorder="1" applyAlignment="1">
      <alignment vertical="center"/>
    </xf>
    <xf numFmtId="0" fontId="64" fillId="13" borderId="0" xfId="3139" applyFont="1" applyFill="1" applyBorder="1" applyAlignment="1">
      <alignment horizontal="center"/>
    </xf>
    <xf numFmtId="0" fontId="62" fillId="13" borderId="0" xfId="3137" applyFill="1" applyBorder="1" applyAlignment="1">
      <alignment horizontal="center"/>
    </xf>
    <xf numFmtId="170" fontId="64" fillId="17" borderId="1" xfId="3167" applyNumberFormat="1" applyFont="1" applyFill="1" applyBorder="1" applyAlignment="1">
      <alignment horizontal="center" vertical="center"/>
    </xf>
    <xf numFmtId="170" fontId="64" fillId="13" borderId="1" xfId="3167" applyNumberFormat="1" applyFont="1" applyFill="1" applyBorder="1" applyAlignment="1">
      <alignment horizontal="center" vertical="center"/>
    </xf>
    <xf numFmtId="2" fontId="84" fillId="21" borderId="21" xfId="0" applyNumberFormat="1" applyFont="1" applyFill="1" applyBorder="1" applyAlignment="1">
      <alignment horizontal="center" vertical="center"/>
    </xf>
    <xf numFmtId="0" fontId="9" fillId="18" borderId="22" xfId="0" applyFont="1" applyFill="1" applyBorder="1" applyAlignment="1">
      <alignment horizontal="center" vertical="center"/>
    </xf>
    <xf numFmtId="1" fontId="9" fillId="21" borderId="12" xfId="0" applyNumberFormat="1" applyFont="1" applyFill="1" applyBorder="1" applyAlignment="1">
      <alignment horizontal="center" vertical="center"/>
    </xf>
    <xf numFmtId="1" fontId="0" fillId="13" borderId="1" xfId="0" applyNumberFormat="1" applyFill="1" applyBorder="1" applyAlignment="1">
      <alignment horizontal="center"/>
    </xf>
    <xf numFmtId="167" fontId="0" fillId="13" borderId="1" xfId="0" applyNumberFormat="1" applyFill="1" applyBorder="1" applyAlignment="1">
      <alignment horizontal="center"/>
    </xf>
    <xf numFmtId="0" fontId="0" fillId="13" borderId="0" xfId="0" applyFont="1" applyFill="1" applyAlignment="1">
      <alignment horizontal="right"/>
    </xf>
    <xf numFmtId="0" fontId="0" fillId="13" borderId="0" xfId="0" applyFont="1" applyFill="1" applyAlignment="1">
      <alignment horizontal="left"/>
    </xf>
    <xf numFmtId="170" fontId="0" fillId="13" borderId="0" xfId="0" applyNumberFormat="1" applyFill="1" applyBorder="1" applyAlignment="1">
      <alignment horizontal="center" vertical="center"/>
    </xf>
    <xf numFmtId="0" fontId="65" fillId="13" borderId="0" xfId="3139" applyFont="1" applyFill="1"/>
    <xf numFmtId="0" fontId="0" fillId="13" borderId="0" xfId="0" applyFill="1" applyAlignment="1">
      <alignment vertical="top"/>
    </xf>
    <xf numFmtId="0" fontId="0" fillId="0" borderId="3" xfId="0" applyBorder="1" applyAlignment="1">
      <alignment horizontal="center"/>
    </xf>
    <xf numFmtId="0" fontId="0" fillId="0" borderId="19" xfId="0" applyBorder="1" applyAlignment="1">
      <alignment horizontal="center"/>
    </xf>
    <xf numFmtId="0" fontId="0" fillId="17" borderId="34" xfId="0" applyFont="1" applyFill="1" applyBorder="1" applyAlignment="1">
      <alignment horizontal="center" vertical="center"/>
    </xf>
    <xf numFmtId="0" fontId="0" fillId="17" borderId="22" xfId="0" applyFont="1" applyFill="1" applyBorder="1" applyAlignment="1">
      <alignment horizontal="center" vertical="center"/>
    </xf>
    <xf numFmtId="0" fontId="0" fillId="17" borderId="0" xfId="0" applyFill="1" applyBorder="1" applyAlignment="1">
      <alignment horizontal="center"/>
    </xf>
    <xf numFmtId="0" fontId="0" fillId="17" borderId="34" xfId="0" applyFill="1" applyBorder="1" applyAlignment="1">
      <alignment horizontal="center"/>
    </xf>
    <xf numFmtId="0" fontId="0" fillId="17" borderId="20" xfId="0" applyFont="1" applyFill="1" applyBorder="1" applyAlignment="1">
      <alignment horizontal="center" vertical="center"/>
    </xf>
    <xf numFmtId="0" fontId="0" fillId="17" borderId="33" xfId="0" applyFont="1" applyFill="1" applyBorder="1" applyAlignment="1">
      <alignment horizontal="center" vertical="center"/>
    </xf>
    <xf numFmtId="0" fontId="0" fillId="17" borderId="21" xfId="0" applyFont="1" applyFill="1" applyBorder="1" applyAlignment="1">
      <alignment horizontal="center" vertical="center"/>
    </xf>
    <xf numFmtId="0" fontId="0" fillId="17" borderId="12" xfId="0" applyFill="1" applyBorder="1" applyAlignment="1">
      <alignment horizontal="center"/>
    </xf>
    <xf numFmtId="0" fontId="0" fillId="17" borderId="21" xfId="0" applyFill="1" applyBorder="1" applyAlignment="1">
      <alignment horizontal="center"/>
    </xf>
    <xf numFmtId="0" fontId="0" fillId="17" borderId="0" xfId="0" applyFont="1" applyFill="1" applyBorder="1" applyAlignment="1">
      <alignment horizontal="center" vertical="center"/>
    </xf>
    <xf numFmtId="0" fontId="0" fillId="17" borderId="24" xfId="0" applyFill="1" applyBorder="1" applyAlignment="1">
      <alignment horizontal="center"/>
    </xf>
    <xf numFmtId="0" fontId="9" fillId="22" borderId="0" xfId="3137" applyFont="1" applyFill="1" applyAlignment="1">
      <alignment horizontal="left" vertical="top"/>
    </xf>
    <xf numFmtId="0" fontId="22" fillId="0" borderId="1" xfId="0" applyFont="1" applyFill="1" applyBorder="1" applyAlignment="1">
      <alignment horizontal="center" vertical="center"/>
    </xf>
    <xf numFmtId="0" fontId="62" fillId="0" borderId="0" xfId="0" applyFont="1" applyAlignment="1">
      <alignment vertical="center"/>
    </xf>
    <xf numFmtId="0" fontId="62" fillId="13" borderId="0" xfId="3137" applyFont="1" applyFill="1" applyBorder="1" applyAlignment="1">
      <alignment horizontal="left" vertical="center"/>
    </xf>
    <xf numFmtId="0" fontId="64" fillId="0" borderId="0" xfId="3139" applyAlignment="1">
      <alignment vertical="center"/>
    </xf>
    <xf numFmtId="0" fontId="0" fillId="14" borderId="0" xfId="3137" applyFont="1" applyFill="1" applyBorder="1" applyAlignment="1" applyProtection="1">
      <alignment vertical="center" wrapText="1"/>
      <protection locked="0"/>
    </xf>
    <xf numFmtId="0" fontId="0" fillId="14" borderId="0" xfId="3137" applyFont="1" applyFill="1" applyBorder="1" applyAlignment="1" applyProtection="1">
      <alignment horizontal="center" vertical="center" wrapText="1"/>
      <protection locked="0"/>
    </xf>
    <xf numFmtId="0" fontId="14" fillId="13" borderId="14" xfId="0" applyFont="1" applyFill="1" applyBorder="1" applyAlignment="1">
      <alignment horizontal="left" vertical="center" wrapText="1"/>
    </xf>
    <xf numFmtId="0" fontId="14" fillId="13" borderId="16" xfId="0" applyFont="1" applyFill="1" applyBorder="1" applyAlignment="1">
      <alignment horizontal="left" vertical="center" wrapText="1"/>
    </xf>
    <xf numFmtId="0" fontId="14" fillId="13" borderId="21" xfId="0" applyFont="1" applyFill="1" applyBorder="1" applyAlignment="1">
      <alignment horizontal="left" vertical="center"/>
    </xf>
    <xf numFmtId="0" fontId="14" fillId="13" borderId="34" xfId="0" applyFont="1" applyFill="1" applyBorder="1" applyAlignment="1">
      <alignment horizontal="left" vertical="center" wrapText="1"/>
    </xf>
    <xf numFmtId="0" fontId="14" fillId="13" borderId="21" xfId="0" applyFont="1" applyFill="1" applyBorder="1" applyAlignment="1">
      <alignment horizontal="left" vertical="center" wrapText="1"/>
    </xf>
    <xf numFmtId="167" fontId="64" fillId="17" borderId="1" xfId="3138" applyNumberFormat="1" applyFont="1" applyFill="1" applyBorder="1" applyAlignment="1">
      <alignment horizontal="center" vertical="center"/>
    </xf>
    <xf numFmtId="2" fontId="64" fillId="17" borderId="1" xfId="3138" applyNumberFormat="1" applyFont="1" applyFill="1" applyBorder="1" applyAlignment="1">
      <alignment horizontal="center" vertical="center"/>
    </xf>
    <xf numFmtId="0" fontId="21" fillId="13" borderId="0" xfId="0" applyFont="1" applyFill="1" applyBorder="1" applyAlignment="1">
      <alignment horizontal="center" vertical="center"/>
    </xf>
    <xf numFmtId="0" fontId="21" fillId="13" borderId="0" xfId="0" applyFont="1" applyFill="1" applyBorder="1" applyAlignment="1">
      <alignment horizontal="center" vertical="center"/>
    </xf>
    <xf numFmtId="0" fontId="14" fillId="13" borderId="34" xfId="0" applyFont="1" applyFill="1" applyBorder="1" applyAlignment="1">
      <alignment horizontal="left" vertical="center"/>
    </xf>
    <xf numFmtId="0" fontId="14" fillId="13" borderId="20" xfId="0" applyFont="1" applyFill="1" applyBorder="1" applyAlignment="1">
      <alignment horizontal="left" vertical="center"/>
    </xf>
    <xf numFmtId="0" fontId="14" fillId="13" borderId="20" xfId="0" applyFont="1" applyFill="1" applyBorder="1" applyAlignment="1">
      <alignment horizontal="left" vertical="center" wrapText="1"/>
    </xf>
    <xf numFmtId="0" fontId="14" fillId="13" borderId="14" xfId="0" applyFont="1" applyFill="1" applyBorder="1" applyAlignment="1">
      <alignment horizontal="left" vertical="center"/>
    </xf>
    <xf numFmtId="0" fontId="14" fillId="18" borderId="22" xfId="0" applyFont="1" applyFill="1" applyBorder="1" applyAlignment="1">
      <alignment horizontal="left" vertical="center" wrapText="1"/>
    </xf>
    <xf numFmtId="0" fontId="14" fillId="18" borderId="14" xfId="0" applyFont="1" applyFill="1" applyBorder="1" applyAlignment="1">
      <alignment horizontal="left" vertical="center" wrapText="1"/>
    </xf>
    <xf numFmtId="0" fontId="14" fillId="13" borderId="20" xfId="0" applyFont="1" applyFill="1" applyBorder="1" applyAlignment="1">
      <alignment vertical="center" wrapText="1"/>
    </xf>
    <xf numFmtId="0" fontId="14" fillId="13" borderId="22" xfId="0" applyFont="1" applyFill="1" applyBorder="1" applyAlignment="1">
      <alignment vertical="center" wrapText="1"/>
    </xf>
    <xf numFmtId="0" fontId="14" fillId="13" borderId="14" xfId="0" applyFont="1" applyFill="1" applyBorder="1" applyAlignment="1">
      <alignment vertical="center" wrapText="1"/>
    </xf>
    <xf numFmtId="14" fontId="14" fillId="13" borderId="16" xfId="0" applyNumberFormat="1" applyFont="1" applyFill="1" applyBorder="1" applyAlignment="1">
      <alignment horizontal="center" vertical="center"/>
    </xf>
    <xf numFmtId="0" fontId="9" fillId="13" borderId="2" xfId="0" applyFont="1" applyFill="1" applyBorder="1" applyAlignment="1">
      <alignment horizontal="center" vertical="center" wrapText="1"/>
    </xf>
    <xf numFmtId="0" fontId="85" fillId="13" borderId="0" xfId="0" applyFont="1" applyFill="1" applyAlignment="1">
      <alignment horizontal="center" vertical="center"/>
    </xf>
    <xf numFmtId="0" fontId="88" fillId="13" borderId="0" xfId="0" applyFont="1" applyFill="1" applyAlignment="1"/>
    <xf numFmtId="0" fontId="28" fillId="13" borderId="40" xfId="0" applyFont="1" applyFill="1" applyBorder="1" applyAlignment="1"/>
    <xf numFmtId="0" fontId="28" fillId="13" borderId="40" xfId="0" applyFont="1" applyFill="1" applyBorder="1" applyAlignment="1">
      <alignment horizontal="center"/>
    </xf>
    <xf numFmtId="0" fontId="28" fillId="13" borderId="40" xfId="0" applyFont="1" applyFill="1" applyBorder="1"/>
    <xf numFmtId="0" fontId="9" fillId="13" borderId="11" xfId="0" applyFont="1" applyFill="1" applyBorder="1" applyAlignment="1">
      <alignment horizontal="center" vertical="center" wrapText="1"/>
    </xf>
    <xf numFmtId="0" fontId="89" fillId="13" borderId="40" xfId="0" applyFont="1" applyFill="1" applyBorder="1" applyAlignment="1"/>
    <xf numFmtId="0" fontId="22" fillId="17" borderId="1" xfId="0" applyFont="1" applyFill="1" applyBorder="1" applyAlignment="1">
      <alignment horizontal="center" vertical="center"/>
    </xf>
    <xf numFmtId="1" fontId="22" fillId="17" borderId="1" xfId="0" applyNumberFormat="1" applyFont="1" applyFill="1" applyBorder="1" applyAlignment="1">
      <alignment horizontal="center" vertical="center"/>
    </xf>
    <xf numFmtId="0" fontId="22" fillId="13" borderId="2" xfId="0" applyFont="1" applyFill="1" applyBorder="1" applyAlignment="1">
      <alignment horizontal="left" vertical="center" wrapText="1"/>
    </xf>
    <xf numFmtId="0" fontId="22" fillId="7" borderId="3" xfId="0" applyFont="1" applyFill="1" applyBorder="1" applyAlignment="1">
      <alignment horizontal="left" vertical="center" wrapText="1"/>
    </xf>
    <xf numFmtId="0" fontId="22" fillId="8" borderId="3" xfId="0" applyFont="1" applyFill="1" applyBorder="1" applyAlignment="1">
      <alignment horizontal="left" vertical="center" wrapText="1"/>
    </xf>
    <xf numFmtId="0" fontId="22" fillId="9" borderId="12" xfId="0" applyFont="1" applyFill="1" applyBorder="1" applyAlignment="1">
      <alignment horizontal="left" vertical="center" wrapText="1"/>
    </xf>
    <xf numFmtId="0" fontId="0" fillId="13" borderId="41" xfId="0" applyFont="1" applyFill="1" applyBorder="1" applyAlignment="1"/>
    <xf numFmtId="0" fontId="0" fillId="13" borderId="41" xfId="0" applyFill="1" applyBorder="1" applyAlignment="1" applyProtection="1">
      <alignment vertical="center"/>
      <protection locked="0"/>
    </xf>
    <xf numFmtId="0" fontId="0" fillId="13" borderId="51" xfId="0" applyFont="1" applyFill="1" applyBorder="1"/>
    <xf numFmtId="0" fontId="0" fillId="13" borderId="50" xfId="0" applyFill="1" applyBorder="1" applyAlignment="1" applyProtection="1">
      <alignment vertical="center"/>
      <protection locked="0"/>
    </xf>
    <xf numFmtId="0" fontId="0" fillId="13" borderId="50" xfId="0" applyFont="1" applyFill="1" applyBorder="1" applyAlignment="1"/>
    <xf numFmtId="0" fontId="0" fillId="13" borderId="53" xfId="0" applyFont="1" applyFill="1" applyBorder="1"/>
    <xf numFmtId="0" fontId="0" fillId="13" borderId="50" xfId="0" applyFill="1" applyBorder="1"/>
    <xf numFmtId="0" fontId="0" fillId="13" borderId="52" xfId="0" applyFill="1" applyBorder="1"/>
    <xf numFmtId="0" fontId="0" fillId="13" borderId="53" xfId="0" applyFill="1" applyBorder="1"/>
    <xf numFmtId="0" fontId="0" fillId="13" borderId="47" xfId="0" applyFill="1" applyBorder="1"/>
    <xf numFmtId="0" fontId="0" fillId="13" borderId="48" xfId="0" applyFill="1" applyBorder="1"/>
    <xf numFmtId="0" fontId="0" fillId="13" borderId="49" xfId="0" applyFill="1" applyBorder="1"/>
    <xf numFmtId="0" fontId="0" fillId="13" borderId="41" xfId="0" applyFill="1" applyBorder="1"/>
    <xf numFmtId="0" fontId="0" fillId="13" borderId="51" xfId="0" applyFill="1" applyBorder="1"/>
    <xf numFmtId="0" fontId="89" fillId="13" borderId="40" xfId="0" applyFont="1" applyFill="1" applyBorder="1" applyAlignment="1">
      <alignment vertical="center"/>
    </xf>
    <xf numFmtId="0" fontId="86" fillId="25" borderId="0" xfId="0" applyFont="1" applyFill="1" applyBorder="1" applyAlignment="1">
      <alignment horizontal="left" vertical="top" wrapText="1"/>
    </xf>
    <xf numFmtId="0" fontId="21" fillId="6" borderId="3" xfId="0" applyFont="1" applyFill="1" applyBorder="1" applyAlignment="1" applyProtection="1">
      <alignment horizontal="left" vertical="center"/>
    </xf>
    <xf numFmtId="0" fontId="85" fillId="25" borderId="0" xfId="0" applyFont="1" applyFill="1" applyAlignment="1">
      <alignment horizontal="center" vertical="center"/>
    </xf>
    <xf numFmtId="0" fontId="85" fillId="25" borderId="0" xfId="0" applyFont="1" applyFill="1" applyBorder="1" applyAlignment="1">
      <alignment horizontal="center" vertical="center"/>
    </xf>
    <xf numFmtId="0" fontId="87" fillId="25" borderId="0" xfId="0" applyFont="1" applyFill="1" applyBorder="1" applyAlignment="1">
      <alignment horizontal="left" vertical="center"/>
    </xf>
    <xf numFmtId="0" fontId="87" fillId="25" borderId="0" xfId="0" applyFont="1" applyFill="1" applyBorder="1" applyAlignment="1">
      <alignment horizontal="center" vertical="center"/>
    </xf>
    <xf numFmtId="0" fontId="0" fillId="25" borderId="0" xfId="0" applyFill="1"/>
    <xf numFmtId="0" fontId="0" fillId="25" borderId="0" xfId="0" applyFont="1" applyFill="1" applyAlignment="1"/>
    <xf numFmtId="0" fontId="0" fillId="25" borderId="0" xfId="0" applyFont="1" applyFill="1"/>
    <xf numFmtId="0" fontId="86" fillId="25" borderId="0" xfId="0" applyFont="1" applyFill="1" applyBorder="1" applyAlignment="1">
      <alignment horizontal="center" vertical="center"/>
    </xf>
    <xf numFmtId="0" fontId="92" fillId="13" borderId="0" xfId="0" applyFont="1" applyFill="1"/>
    <xf numFmtId="0" fontId="34" fillId="25" borderId="63" xfId="0" applyFont="1" applyFill="1" applyBorder="1" applyAlignment="1" applyProtection="1">
      <alignment horizontal="center" vertical="center" wrapText="1"/>
    </xf>
    <xf numFmtId="3" fontId="23" fillId="11" borderId="65" xfId="0" applyNumberFormat="1" applyFont="1" applyFill="1" applyBorder="1" applyAlignment="1" applyProtection="1">
      <alignment horizontal="center" vertical="center" wrapText="1"/>
    </xf>
    <xf numFmtId="3" fontId="23" fillId="12" borderId="65" xfId="0" applyNumberFormat="1" applyFont="1" applyFill="1" applyBorder="1" applyAlignment="1" applyProtection="1">
      <alignment horizontal="center" vertical="center" wrapText="1"/>
    </xf>
    <xf numFmtId="3" fontId="23" fillId="13" borderId="65" xfId="0" applyNumberFormat="1" applyFont="1" applyFill="1" applyBorder="1" applyAlignment="1" applyProtection="1">
      <alignment horizontal="center" vertical="center" wrapText="1"/>
    </xf>
    <xf numFmtId="3" fontId="23" fillId="13" borderId="65" xfId="0" applyNumberFormat="1" applyFont="1" applyFill="1" applyBorder="1" applyAlignment="1" applyProtection="1">
      <alignment horizontal="center" vertical="center"/>
    </xf>
    <xf numFmtId="3" fontId="22" fillId="9" borderId="65" xfId="0" applyNumberFormat="1" applyFont="1" applyFill="1" applyBorder="1" applyAlignment="1" applyProtection="1">
      <alignment horizontal="center" vertical="center"/>
    </xf>
    <xf numFmtId="3" fontId="23" fillId="3" borderId="65" xfId="0" applyNumberFormat="1" applyFont="1" applyFill="1" applyBorder="1" applyAlignment="1" applyProtection="1">
      <alignment horizontal="center" vertical="center" wrapText="1"/>
    </xf>
    <xf numFmtId="0" fontId="23" fillId="3" borderId="65" xfId="0" applyFont="1" applyFill="1" applyBorder="1" applyAlignment="1" applyProtection="1">
      <alignment horizontal="center" vertical="center"/>
    </xf>
    <xf numFmtId="3" fontId="22" fillId="10" borderId="65" xfId="0" applyNumberFormat="1" applyFont="1" applyFill="1" applyBorder="1" applyAlignment="1" applyProtection="1">
      <alignment horizontal="center" vertical="center"/>
    </xf>
    <xf numFmtId="3" fontId="31" fillId="2" borderId="65" xfId="0" applyNumberFormat="1" applyFont="1" applyFill="1" applyBorder="1" applyAlignment="1" applyProtection="1">
      <alignment horizontal="center" vertical="center" wrapText="1"/>
    </xf>
    <xf numFmtId="3" fontId="23" fillId="2" borderId="65" xfId="0" applyNumberFormat="1" applyFont="1" applyFill="1" applyBorder="1" applyAlignment="1" applyProtection="1">
      <alignment horizontal="center" vertical="center" wrapText="1"/>
    </xf>
    <xf numFmtId="0" fontId="34" fillId="25" borderId="79" xfId="0" applyFont="1" applyFill="1" applyBorder="1" applyAlignment="1" applyProtection="1">
      <alignment horizontal="center" vertical="center" wrapText="1"/>
    </xf>
    <xf numFmtId="0" fontId="85" fillId="13" borderId="0" xfId="0" applyFont="1" applyFill="1"/>
    <xf numFmtId="0" fontId="85" fillId="13" borderId="40" xfId="0" applyFont="1" applyFill="1" applyBorder="1" applyAlignment="1"/>
    <xf numFmtId="0" fontId="85" fillId="13" borderId="40" xfId="0" applyFont="1" applyFill="1" applyBorder="1" applyAlignment="1">
      <alignment horizontal="center"/>
    </xf>
    <xf numFmtId="0" fontId="85" fillId="13" borderId="40" xfId="0" applyFont="1" applyFill="1" applyBorder="1"/>
    <xf numFmtId="0" fontId="89" fillId="13" borderId="0" xfId="0" applyFont="1" applyFill="1" applyBorder="1" applyAlignment="1">
      <alignment vertical="center"/>
    </xf>
    <xf numFmtId="0" fontId="85" fillId="13" borderId="0" xfId="0" applyFont="1" applyFill="1" applyBorder="1" applyAlignment="1"/>
    <xf numFmtId="0" fontId="85" fillId="13" borderId="0" xfId="0" applyFont="1" applyFill="1" applyBorder="1" applyAlignment="1">
      <alignment horizontal="center"/>
    </xf>
    <xf numFmtId="0" fontId="85" fillId="13" borderId="0" xfId="0" applyFont="1" applyFill="1" applyBorder="1"/>
    <xf numFmtId="0" fontId="31" fillId="0" borderId="65" xfId="0" applyFont="1" applyBorder="1" applyAlignment="1" applyProtection="1">
      <alignment horizontal="left" vertical="center"/>
    </xf>
    <xf numFmtId="0" fontId="23" fillId="0" borderId="65" xfId="0" applyFont="1" applyBorder="1" applyAlignment="1" applyProtection="1">
      <alignment horizontal="left" vertical="center"/>
    </xf>
    <xf numFmtId="0" fontId="40" fillId="13" borderId="0" xfId="0" applyFont="1" applyFill="1" applyAlignment="1" applyProtection="1"/>
    <xf numFmtId="0" fontId="93" fillId="25" borderId="0" xfId="0" applyFont="1" applyFill="1" applyAlignment="1" applyProtection="1"/>
    <xf numFmtId="0" fontId="32" fillId="25" borderId="63" xfId="0" applyFont="1" applyFill="1" applyBorder="1" applyAlignment="1" applyProtection="1">
      <alignment horizontal="center" vertical="center"/>
    </xf>
    <xf numFmtId="0" fontId="32" fillId="25" borderId="79" xfId="0" applyFont="1" applyFill="1" applyBorder="1" applyAlignment="1" applyProtection="1">
      <alignment horizontal="center" vertical="center"/>
    </xf>
    <xf numFmtId="0" fontId="21" fillId="6" borderId="65" xfId="0" applyFont="1" applyFill="1" applyBorder="1" applyAlignment="1" applyProtection="1">
      <alignment horizontal="center" vertical="center"/>
    </xf>
    <xf numFmtId="3" fontId="22" fillId="7" borderId="65" xfId="0" applyNumberFormat="1" applyFont="1" applyFill="1" applyBorder="1" applyAlignment="1" applyProtection="1">
      <alignment horizontal="center" vertical="center"/>
    </xf>
    <xf numFmtId="3" fontId="22" fillId="19" borderId="65" xfId="0" applyNumberFormat="1" applyFont="1" applyFill="1" applyBorder="1" applyAlignment="1" applyProtection="1">
      <alignment horizontal="center" vertical="center"/>
    </xf>
    <xf numFmtId="3" fontId="22" fillId="6" borderId="65" xfId="0" applyNumberFormat="1" applyFont="1" applyFill="1" applyBorder="1" applyAlignment="1" applyProtection="1">
      <alignment horizontal="center" vertical="center"/>
    </xf>
    <xf numFmtId="3" fontId="22" fillId="3" borderId="65" xfId="0" applyNumberFormat="1" applyFont="1" applyFill="1" applyBorder="1" applyAlignment="1" applyProtection="1">
      <alignment horizontal="center" vertical="center"/>
    </xf>
    <xf numFmtId="0" fontId="21" fillId="17" borderId="65" xfId="0" applyFont="1" applyFill="1" applyBorder="1" applyAlignment="1" applyProtection="1">
      <alignment vertical="center"/>
    </xf>
    <xf numFmtId="3" fontId="22" fillId="15" borderId="65" xfId="0" applyNumberFormat="1" applyFont="1" applyFill="1" applyBorder="1" applyAlignment="1" applyProtection="1">
      <alignment horizontal="center" vertical="center"/>
    </xf>
    <xf numFmtId="0" fontId="21" fillId="13" borderId="65" xfId="0" applyFont="1" applyFill="1" applyBorder="1" applyAlignment="1" applyProtection="1">
      <alignment horizontal="center" vertical="center"/>
    </xf>
    <xf numFmtId="3" fontId="22" fillId="13" borderId="65" xfId="0" applyNumberFormat="1" applyFont="1" applyFill="1" applyBorder="1" applyAlignment="1" applyProtection="1">
      <alignment horizontal="center" vertical="center"/>
    </xf>
    <xf numFmtId="0" fontId="31" fillId="17" borderId="65" xfId="0" applyFont="1" applyFill="1" applyBorder="1" applyAlignment="1" applyProtection="1">
      <alignment horizontal="center" vertical="center"/>
    </xf>
    <xf numFmtId="3" fontId="31" fillId="17" borderId="65" xfId="0" applyNumberFormat="1" applyFont="1" applyFill="1" applyBorder="1" applyAlignment="1" applyProtection="1">
      <alignment horizontal="center" vertical="center"/>
    </xf>
    <xf numFmtId="0" fontId="21" fillId="6" borderId="73" xfId="0" applyFont="1" applyFill="1" applyBorder="1" applyAlignment="1" applyProtection="1">
      <alignment horizontal="center" vertical="center"/>
    </xf>
    <xf numFmtId="3" fontId="21" fillId="17" borderId="78" xfId="0" applyNumberFormat="1" applyFont="1" applyFill="1" applyBorder="1" applyAlignment="1" applyProtection="1">
      <alignment horizontal="center" vertical="center"/>
    </xf>
    <xf numFmtId="0" fontId="21" fillId="6" borderId="11" xfId="0" applyFont="1" applyFill="1" applyBorder="1" applyAlignment="1" applyProtection="1">
      <alignment vertical="center"/>
    </xf>
    <xf numFmtId="0" fontId="21" fillId="6" borderId="12" xfId="0" applyFont="1" applyFill="1" applyBorder="1" applyAlignment="1" applyProtection="1">
      <alignment vertical="center"/>
    </xf>
    <xf numFmtId="3" fontId="22" fillId="15" borderId="77" xfId="0" applyNumberFormat="1" applyFont="1" applyFill="1" applyBorder="1" applyAlignment="1" applyProtection="1">
      <alignment horizontal="center" vertical="center"/>
    </xf>
    <xf numFmtId="3" fontId="23" fillId="3" borderId="77" xfId="0" applyNumberFormat="1" applyFont="1" applyFill="1" applyBorder="1" applyAlignment="1" applyProtection="1">
      <alignment horizontal="center" vertical="center" wrapText="1"/>
    </xf>
    <xf numFmtId="3" fontId="22" fillId="13" borderId="77" xfId="0" applyNumberFormat="1" applyFont="1" applyFill="1" applyBorder="1" applyAlignment="1" applyProtection="1">
      <alignment horizontal="center" vertical="center"/>
    </xf>
    <xf numFmtId="3" fontId="22" fillId="6" borderId="14" xfId="0" applyNumberFormat="1" applyFont="1" applyFill="1" applyBorder="1" applyAlignment="1" applyProtection="1">
      <alignment horizontal="center" vertical="center"/>
    </xf>
    <xf numFmtId="3" fontId="22" fillId="7" borderId="77" xfId="0" applyNumberFormat="1" applyFont="1" applyFill="1" applyBorder="1" applyAlignment="1" applyProtection="1">
      <alignment horizontal="center" vertical="center"/>
    </xf>
    <xf numFmtId="3" fontId="22" fillId="6" borderId="77" xfId="0" applyNumberFormat="1" applyFont="1" applyFill="1" applyBorder="1" applyAlignment="1" applyProtection="1">
      <alignment horizontal="center" vertical="center"/>
    </xf>
    <xf numFmtId="3" fontId="22" fillId="7" borderId="71" xfId="0" applyNumberFormat="1" applyFont="1" applyFill="1" applyBorder="1" applyAlignment="1" applyProtection="1">
      <alignment horizontal="center" vertical="center"/>
    </xf>
    <xf numFmtId="3" fontId="22" fillId="19" borderId="77" xfId="0" applyNumberFormat="1" applyFont="1" applyFill="1" applyBorder="1" applyAlignment="1" applyProtection="1">
      <alignment horizontal="center" vertical="center"/>
    </xf>
    <xf numFmtId="0" fontId="22" fillId="6" borderId="14" xfId="0" applyFont="1" applyFill="1" applyBorder="1" applyAlignment="1" applyProtection="1">
      <alignment horizontal="center" vertical="center"/>
    </xf>
    <xf numFmtId="0" fontId="21" fillId="17" borderId="73" xfId="0" applyFont="1" applyFill="1" applyBorder="1" applyAlignment="1" applyProtection="1">
      <alignment vertical="center"/>
    </xf>
    <xf numFmtId="3" fontId="21" fillId="17" borderId="70" xfId="0" applyNumberFormat="1" applyFont="1" applyFill="1" applyBorder="1" applyAlignment="1" applyProtection="1">
      <alignment horizontal="center" vertical="center"/>
    </xf>
    <xf numFmtId="0" fontId="21" fillId="6" borderId="19" xfId="0" applyFont="1" applyFill="1" applyBorder="1" applyAlignment="1" applyProtection="1">
      <alignment vertical="center"/>
    </xf>
    <xf numFmtId="0" fontId="21" fillId="6" borderId="17" xfId="0" applyFont="1" applyFill="1" applyBorder="1" applyAlignment="1" applyProtection="1">
      <alignment vertical="center"/>
    </xf>
    <xf numFmtId="0" fontId="23" fillId="17" borderId="3" xfId="0" applyFont="1" applyFill="1" applyBorder="1" applyProtection="1"/>
    <xf numFmtId="0" fontId="23" fillId="17" borderId="14" xfId="0" applyFont="1" applyFill="1" applyBorder="1" applyProtection="1"/>
    <xf numFmtId="0" fontId="23" fillId="17" borderId="17" xfId="0" applyFont="1" applyFill="1" applyBorder="1" applyProtection="1"/>
    <xf numFmtId="0" fontId="23" fillId="17" borderId="20" xfId="0" applyFont="1" applyFill="1" applyBorder="1" applyProtection="1"/>
    <xf numFmtId="0" fontId="23" fillId="13" borderId="3" xfId="0" applyFont="1" applyFill="1" applyBorder="1" applyProtection="1"/>
    <xf numFmtId="0" fontId="23" fillId="13" borderId="12" xfId="0" applyFont="1" applyFill="1" applyBorder="1" applyProtection="1"/>
    <xf numFmtId="0" fontId="23" fillId="13" borderId="22" xfId="0" applyFont="1" applyFill="1" applyBorder="1" applyProtection="1"/>
    <xf numFmtId="0" fontId="23" fillId="13" borderId="14" xfId="0" applyFont="1" applyFill="1" applyBorder="1" applyProtection="1"/>
    <xf numFmtId="0" fontId="23" fillId="13" borderId="17" xfId="0" applyFont="1" applyFill="1" applyBorder="1" applyProtection="1"/>
    <xf numFmtId="0" fontId="23" fillId="13" borderId="20" xfId="0" applyFont="1" applyFill="1" applyBorder="1" applyProtection="1"/>
    <xf numFmtId="3" fontId="21" fillId="3" borderId="78" xfId="0" applyNumberFormat="1" applyFont="1" applyFill="1" applyBorder="1" applyAlignment="1" applyProtection="1">
      <alignment horizontal="center" vertical="center"/>
    </xf>
    <xf numFmtId="3" fontId="22" fillId="10" borderId="77" xfId="0" applyNumberFormat="1" applyFont="1" applyFill="1" applyBorder="1" applyAlignment="1" applyProtection="1">
      <alignment horizontal="center" vertical="center"/>
    </xf>
    <xf numFmtId="0" fontId="21" fillId="13" borderId="73" xfId="0" applyFont="1" applyFill="1" applyBorder="1" applyAlignment="1" applyProtection="1">
      <alignment horizontal="center" vertical="center"/>
    </xf>
    <xf numFmtId="0" fontId="96" fillId="25" borderId="0" xfId="0" applyFont="1" applyFill="1"/>
    <xf numFmtId="0" fontId="97" fillId="25" borderId="0" xfId="0" applyFont="1" applyFill="1" applyAlignment="1">
      <alignment horizontal="center" vertical="center"/>
    </xf>
    <xf numFmtId="0" fontId="98" fillId="25" borderId="0" xfId="0" applyFont="1" applyFill="1" applyBorder="1" applyAlignment="1">
      <alignment horizontal="left" vertical="center"/>
    </xf>
    <xf numFmtId="0" fontId="96" fillId="20" borderId="0" xfId="0" applyFont="1" applyFill="1" applyProtection="1"/>
    <xf numFmtId="0" fontId="97" fillId="20" borderId="0" xfId="0" applyFont="1" applyFill="1" applyProtection="1"/>
    <xf numFmtId="0" fontId="99" fillId="20" borderId="0" xfId="0" applyFont="1" applyFill="1" applyProtection="1"/>
    <xf numFmtId="0" fontId="96" fillId="13" borderId="0" xfId="0" applyFont="1" applyFill="1" applyProtection="1"/>
    <xf numFmtId="0" fontId="100" fillId="13" borderId="0" xfId="0" applyFont="1" applyFill="1" applyProtection="1"/>
    <xf numFmtId="0" fontId="101" fillId="13" borderId="0" xfId="0" applyFont="1" applyFill="1" applyProtection="1"/>
    <xf numFmtId="0" fontId="102" fillId="13" borderId="0" xfId="0" applyFont="1" applyFill="1" applyProtection="1"/>
    <xf numFmtId="3" fontId="101" fillId="13" borderId="0" xfId="0" applyNumberFormat="1" applyFont="1" applyFill="1" applyProtection="1"/>
    <xf numFmtId="0" fontId="23" fillId="20" borderId="0" xfId="0" applyFont="1" applyFill="1" applyProtection="1">
      <protection locked="0"/>
    </xf>
    <xf numFmtId="0" fontId="89" fillId="20" borderId="40" xfId="0" applyFont="1" applyFill="1" applyBorder="1" applyAlignment="1">
      <alignment vertical="center"/>
    </xf>
    <xf numFmtId="0" fontId="85" fillId="20" borderId="40" xfId="0" applyFont="1" applyFill="1" applyBorder="1" applyAlignment="1"/>
    <xf numFmtId="0" fontId="85" fillId="20" borderId="40" xfId="0" applyFont="1" applyFill="1" applyBorder="1" applyAlignment="1">
      <alignment horizontal="center"/>
    </xf>
    <xf numFmtId="0" fontId="85" fillId="20" borderId="40" xfId="0" applyFont="1" applyFill="1" applyBorder="1"/>
    <xf numFmtId="0" fontId="40" fillId="20" borderId="0" xfId="0" applyFont="1" applyFill="1" applyProtection="1"/>
    <xf numFmtId="0" fontId="43" fillId="20" borderId="0" xfId="0" applyFont="1" applyFill="1" applyProtection="1">
      <protection locked="0"/>
    </xf>
    <xf numFmtId="0" fontId="93" fillId="20" borderId="0" xfId="0" applyFont="1" applyFill="1" applyAlignment="1" applyProtection="1"/>
    <xf numFmtId="0" fontId="45" fillId="20" borderId="0" xfId="0" applyFont="1" applyFill="1" applyProtection="1">
      <protection locked="0"/>
    </xf>
    <xf numFmtId="0" fontId="40" fillId="20" borderId="0" xfId="0" applyFont="1" applyFill="1" applyAlignment="1" applyProtection="1"/>
    <xf numFmtId="0" fontId="49" fillId="13" borderId="0" xfId="0" applyFont="1" applyFill="1" applyAlignment="1">
      <alignment horizontal="left" wrapText="1"/>
    </xf>
    <xf numFmtId="0" fontId="49" fillId="13" borderId="0" xfId="0" applyFont="1" applyFill="1" applyAlignment="1">
      <alignment horizontal="left"/>
    </xf>
    <xf numFmtId="0" fontId="0" fillId="13" borderId="60" xfId="0" applyFont="1" applyFill="1" applyBorder="1"/>
    <xf numFmtId="0" fontId="0" fillId="13" borderId="57" xfId="0" applyFont="1" applyFill="1" applyBorder="1"/>
    <xf numFmtId="0" fontId="86" fillId="13" borderId="0" xfId="0" applyFont="1" applyFill="1" applyBorder="1" applyAlignment="1">
      <alignment horizontal="center" vertical="center"/>
    </xf>
    <xf numFmtId="0" fontId="92" fillId="13" borderId="0" xfId="0" applyFont="1" applyFill="1" applyProtection="1">
      <protection locked="0"/>
    </xf>
    <xf numFmtId="0" fontId="85" fillId="17" borderId="60" xfId="0" applyFont="1" applyFill="1" applyBorder="1" applyAlignment="1">
      <alignment vertical="center"/>
    </xf>
    <xf numFmtId="0" fontId="85" fillId="17" borderId="57" xfId="0" applyFont="1" applyFill="1" applyBorder="1" applyAlignment="1">
      <alignment vertical="center"/>
    </xf>
    <xf numFmtId="0" fontId="85" fillId="13" borderId="0" xfId="0" applyFont="1" applyFill="1" applyBorder="1" applyAlignment="1">
      <alignment vertical="center"/>
    </xf>
    <xf numFmtId="3" fontId="101" fillId="13" borderId="0" xfId="0" applyNumberFormat="1" applyFont="1" applyFill="1" applyAlignment="1" applyProtection="1">
      <alignment horizontal="left" vertical="center"/>
    </xf>
    <xf numFmtId="0" fontId="32" fillId="25" borderId="63" xfId="0" applyFont="1" applyFill="1" applyBorder="1" applyAlignment="1" applyProtection="1">
      <alignment horizontal="center" vertical="center"/>
    </xf>
    <xf numFmtId="0" fontId="21" fillId="6" borderId="3" xfId="0" applyFont="1" applyFill="1" applyBorder="1" applyAlignment="1" applyProtection="1">
      <alignment horizontal="left" vertical="center"/>
    </xf>
    <xf numFmtId="0" fontId="21" fillId="6" borderId="12" xfId="0" applyFont="1" applyFill="1" applyBorder="1" applyAlignment="1" applyProtection="1">
      <alignment horizontal="left" vertical="center"/>
    </xf>
    <xf numFmtId="0" fontId="104" fillId="13" borderId="0" xfId="0" applyFont="1" applyFill="1" applyAlignment="1" applyProtection="1">
      <alignment horizontal="left" vertical="center"/>
    </xf>
    <xf numFmtId="0" fontId="98" fillId="13" borderId="0" xfId="0" applyFont="1" applyFill="1" applyAlignment="1" applyProtection="1">
      <alignment horizontal="left" vertical="center"/>
    </xf>
    <xf numFmtId="0" fontId="104" fillId="13" borderId="0" xfId="0" applyFont="1" applyFill="1" applyAlignment="1" applyProtection="1">
      <alignment vertical="center"/>
    </xf>
    <xf numFmtId="0" fontId="98" fillId="13" borderId="0" xfId="0" applyFont="1" applyFill="1"/>
    <xf numFmtId="0" fontId="98" fillId="13" borderId="0" xfId="0" applyFont="1" applyFill="1" applyBorder="1" applyAlignment="1"/>
    <xf numFmtId="0" fontId="98" fillId="13" borderId="0" xfId="0" applyFont="1" applyFill="1" applyBorder="1" applyAlignment="1">
      <alignment horizontal="center"/>
    </xf>
    <xf numFmtId="0" fontId="98" fillId="13" borderId="0" xfId="0" applyFont="1" applyFill="1" applyBorder="1"/>
    <xf numFmtId="0" fontId="98" fillId="13" borderId="0" xfId="0" applyFont="1" applyFill="1" applyProtection="1"/>
    <xf numFmtId="0" fontId="98" fillId="20" borderId="0" xfId="0" applyFont="1" applyFill="1" applyProtection="1"/>
    <xf numFmtId="0" fontId="105" fillId="13" borderId="0" xfId="0" applyFont="1" applyFill="1" applyAlignment="1"/>
    <xf numFmtId="0" fontId="0" fillId="20" borderId="0" xfId="0" applyFill="1"/>
    <xf numFmtId="0" fontId="103" fillId="13" borderId="0" xfId="0" applyFont="1" applyFill="1" applyBorder="1" applyAlignment="1" applyProtection="1">
      <alignment vertical="center"/>
    </xf>
    <xf numFmtId="0" fontId="19" fillId="16" borderId="26" xfId="0" applyFont="1" applyFill="1" applyBorder="1" applyAlignment="1" applyProtection="1">
      <alignment horizontal="center" vertical="center" wrapText="1"/>
      <protection locked="0"/>
    </xf>
    <xf numFmtId="0" fontId="34" fillId="25" borderId="93" xfId="0" applyFont="1" applyFill="1" applyBorder="1" applyAlignment="1" applyProtection="1">
      <alignment horizontal="center" vertical="center" wrapText="1"/>
    </xf>
    <xf numFmtId="0" fontId="34" fillId="25" borderId="94" xfId="0" applyFont="1" applyFill="1" applyBorder="1" applyAlignment="1" applyProtection="1">
      <alignment horizontal="center" vertical="center" wrapText="1"/>
    </xf>
    <xf numFmtId="0" fontId="34" fillId="25" borderId="94" xfId="0" applyFont="1" applyFill="1" applyBorder="1" applyAlignment="1" applyProtection="1">
      <alignment horizontal="center" vertical="center"/>
    </xf>
    <xf numFmtId="0" fontId="34" fillId="25" borderId="95" xfId="0" applyFont="1" applyFill="1" applyBorder="1" applyAlignment="1" applyProtection="1">
      <alignment horizontal="center" vertical="center"/>
    </xf>
    <xf numFmtId="0" fontId="108" fillId="13" borderId="0" xfId="0" applyFont="1" applyFill="1" applyAlignment="1"/>
    <xf numFmtId="0" fontId="24" fillId="14" borderId="0" xfId="0" applyFont="1" applyFill="1" applyAlignment="1" applyProtection="1">
      <alignment horizontal="center" vertical="center"/>
      <protection locked="0"/>
    </xf>
    <xf numFmtId="0" fontId="0" fillId="13" borderId="0" xfId="0" applyFill="1" applyAlignment="1" applyProtection="1">
      <alignment horizontal="left"/>
    </xf>
    <xf numFmtId="0" fontId="0" fillId="13" borderId="0" xfId="0" applyFill="1" applyAlignment="1" applyProtection="1">
      <alignment horizontal="left" vertical="top"/>
    </xf>
    <xf numFmtId="3" fontId="23" fillId="3" borderId="73" xfId="0" applyNumberFormat="1" applyFont="1" applyFill="1" applyBorder="1" applyAlignment="1" applyProtection="1">
      <alignment horizontal="center" vertical="center" wrapText="1"/>
    </xf>
    <xf numFmtId="3" fontId="23" fillId="2" borderId="73" xfId="0" applyNumberFormat="1" applyFont="1" applyFill="1" applyBorder="1" applyAlignment="1" applyProtection="1">
      <alignment horizontal="center" vertical="center" wrapText="1"/>
    </xf>
    <xf numFmtId="3" fontId="23" fillId="13" borderId="75" xfId="0" applyNumberFormat="1" applyFont="1" applyFill="1" applyBorder="1" applyAlignment="1" applyProtection="1">
      <alignment horizontal="center" vertical="center" wrapText="1"/>
    </xf>
    <xf numFmtId="3" fontId="23" fillId="3" borderId="75" xfId="0" applyNumberFormat="1" applyFont="1" applyFill="1" applyBorder="1" applyAlignment="1" applyProtection="1">
      <alignment horizontal="center" vertical="center" wrapText="1"/>
    </xf>
    <xf numFmtId="3" fontId="31" fillId="2" borderId="75" xfId="0" applyNumberFormat="1" applyFont="1" applyFill="1" applyBorder="1" applyAlignment="1" applyProtection="1">
      <alignment horizontal="center" vertical="center" wrapText="1"/>
    </xf>
    <xf numFmtId="0" fontId="92" fillId="13" borderId="0" xfId="0" applyFont="1" applyFill="1" applyAlignment="1">
      <alignment vertical="center"/>
    </xf>
    <xf numFmtId="0" fontId="85" fillId="13" borderId="63" xfId="0" applyFont="1" applyFill="1" applyBorder="1" applyAlignment="1">
      <alignment horizontal="center" vertical="center"/>
    </xf>
    <xf numFmtId="0" fontId="85" fillId="13" borderId="64" xfId="0" applyFont="1" applyFill="1" applyBorder="1" applyAlignment="1">
      <alignment horizontal="center" vertical="center"/>
    </xf>
    <xf numFmtId="0" fontId="32" fillId="5" borderId="1" xfId="0" applyFont="1" applyFill="1" applyBorder="1" applyAlignment="1">
      <alignment horizontal="center" vertical="center"/>
    </xf>
    <xf numFmtId="0" fontId="19" fillId="16" borderId="26" xfId="0" applyFont="1" applyFill="1" applyBorder="1" applyAlignment="1" applyProtection="1">
      <alignment horizontal="center" vertical="center" wrapText="1"/>
      <protection locked="0"/>
    </xf>
    <xf numFmtId="0" fontId="21" fillId="13" borderId="0" xfId="0" applyFont="1" applyFill="1" applyBorder="1" applyAlignment="1">
      <alignment horizontal="center" vertical="center"/>
    </xf>
    <xf numFmtId="0" fontId="32" fillId="5" borderId="1" xfId="0" applyFont="1" applyFill="1" applyBorder="1" applyAlignment="1">
      <alignment horizontal="center" vertical="center"/>
    </xf>
    <xf numFmtId="0" fontId="32" fillId="5" borderId="16" xfId="0" applyFont="1" applyFill="1" applyBorder="1" applyAlignment="1">
      <alignment horizontal="center" vertical="center"/>
    </xf>
    <xf numFmtId="0" fontId="9" fillId="18" borderId="0" xfId="3137" applyFont="1" applyFill="1" applyAlignment="1">
      <alignment horizontal="left" vertical="top" wrapText="1"/>
    </xf>
    <xf numFmtId="0" fontId="76" fillId="13" borderId="0" xfId="0" applyFont="1" applyFill="1" applyBorder="1" applyAlignment="1">
      <alignment horizontal="center" vertical="center"/>
    </xf>
    <xf numFmtId="0" fontId="77" fillId="13" borderId="0" xfId="0" applyFont="1" applyFill="1" applyBorder="1" applyAlignment="1">
      <alignment horizontal="center" vertical="center"/>
    </xf>
    <xf numFmtId="0" fontId="101" fillId="0" borderId="0" xfId="0" applyFont="1" applyFill="1"/>
    <xf numFmtId="0" fontId="101" fillId="13" borderId="0" xfId="0" applyFont="1" applyFill="1"/>
    <xf numFmtId="0" fontId="107" fillId="0" borderId="65" xfId="0" applyFont="1" applyBorder="1" applyAlignment="1" applyProtection="1">
      <alignment horizontal="center" vertical="center"/>
    </xf>
    <xf numFmtId="1" fontId="107" fillId="0" borderId="65" xfId="0" applyNumberFormat="1" applyFont="1" applyBorder="1" applyAlignment="1" applyProtection="1">
      <alignment horizontal="center" vertical="center"/>
    </xf>
    <xf numFmtId="0" fontId="0" fillId="0" borderId="0" xfId="0" applyFont="1" applyFill="1" applyAlignment="1"/>
    <xf numFmtId="2" fontId="107" fillId="13" borderId="65" xfId="0" applyNumberFormat="1" applyFont="1" applyFill="1" applyBorder="1" applyAlignment="1" applyProtection="1">
      <alignment horizontal="center" vertical="center"/>
    </xf>
    <xf numFmtId="1" fontId="107" fillId="13" borderId="65" xfId="0" applyNumberFormat="1" applyFont="1" applyFill="1" applyBorder="1" applyAlignment="1" applyProtection="1">
      <alignment horizontal="center" vertical="center"/>
    </xf>
    <xf numFmtId="0" fontId="107" fillId="0" borderId="65" xfId="0" applyNumberFormat="1" applyFont="1" applyBorder="1" applyAlignment="1" applyProtection="1">
      <alignment horizontal="left" vertical="center"/>
    </xf>
    <xf numFmtId="0" fontId="92" fillId="13" borderId="0" xfId="0" applyFont="1" applyFill="1" applyBorder="1"/>
    <xf numFmtId="0" fontId="31" fillId="8" borderId="3" xfId="0" applyFont="1" applyFill="1" applyBorder="1" applyAlignment="1">
      <alignment vertical="center"/>
    </xf>
    <xf numFmtId="0" fontId="21" fillId="7" borderId="22" xfId="0" applyFont="1" applyFill="1" applyBorder="1" applyAlignment="1">
      <alignment vertical="center"/>
    </xf>
    <xf numFmtId="0" fontId="22" fillId="13" borderId="14" xfId="0" applyFont="1" applyFill="1" applyBorder="1" applyAlignment="1">
      <alignment horizontal="left" vertical="center" wrapText="1"/>
    </xf>
    <xf numFmtId="0" fontId="22" fillId="7" borderId="14" xfId="0" applyFont="1" applyFill="1" applyBorder="1" applyAlignment="1">
      <alignment horizontal="left" vertical="center" wrapText="1"/>
    </xf>
    <xf numFmtId="0" fontId="31" fillId="8" borderId="1" xfId="0" applyFont="1" applyFill="1" applyBorder="1" applyAlignment="1">
      <alignment horizontal="center" vertical="center"/>
    </xf>
    <xf numFmtId="0" fontId="22" fillId="8" borderId="14" xfId="0" applyFont="1" applyFill="1" applyBorder="1" applyAlignment="1">
      <alignment horizontal="left" vertical="center" wrapText="1"/>
    </xf>
    <xf numFmtId="0" fontId="22" fillId="7" borderId="22" xfId="0" applyFont="1" applyFill="1" applyBorder="1" applyAlignment="1">
      <alignment horizontal="center" vertical="center"/>
    </xf>
    <xf numFmtId="0" fontId="22" fillId="7" borderId="11" xfId="0" applyFont="1" applyFill="1" applyBorder="1" applyAlignment="1">
      <alignment horizontal="left" vertical="center" wrapText="1"/>
    </xf>
    <xf numFmtId="0" fontId="22" fillId="7" borderId="22" xfId="0" applyFont="1" applyFill="1" applyBorder="1" applyAlignment="1">
      <alignment horizontal="left" vertical="center" wrapText="1"/>
    </xf>
    <xf numFmtId="0" fontId="58" fillId="23" borderId="1" xfId="0" applyFont="1" applyFill="1" applyBorder="1" applyAlignment="1">
      <alignment horizontal="center" vertical="center"/>
    </xf>
    <xf numFmtId="0" fontId="58" fillId="23" borderId="1" xfId="0" applyFont="1" applyFill="1" applyBorder="1" applyAlignment="1">
      <alignment horizontal="center" vertical="center" wrapText="1"/>
    </xf>
    <xf numFmtId="164" fontId="58" fillId="23" borderId="1" xfId="0" applyNumberFormat="1" applyFont="1" applyFill="1" applyBorder="1" applyAlignment="1">
      <alignment horizontal="center" vertical="center"/>
    </xf>
    <xf numFmtId="1" fontId="32" fillId="5" borderId="1" xfId="0" applyNumberFormat="1" applyFont="1" applyFill="1" applyBorder="1" applyAlignment="1">
      <alignment horizontal="center" vertical="center"/>
    </xf>
    <xf numFmtId="0" fontId="28" fillId="13" borderId="40" xfId="0" applyFont="1" applyFill="1" applyBorder="1" applyAlignment="1">
      <alignment horizontal="center" vertical="top"/>
    </xf>
    <xf numFmtId="0" fontId="22" fillId="7" borderId="21" xfId="0" applyFont="1" applyFill="1" applyBorder="1" applyAlignment="1">
      <alignment horizontal="left" vertical="center" wrapText="1"/>
    </xf>
    <xf numFmtId="0" fontId="22" fillId="7" borderId="1" xfId="0" applyFont="1" applyFill="1" applyBorder="1" applyAlignment="1">
      <alignment horizontal="left" vertical="center" wrapText="1"/>
    </xf>
    <xf numFmtId="0" fontId="22" fillId="8" borderId="1" xfId="0" applyFont="1" applyFill="1" applyBorder="1" applyAlignment="1">
      <alignment horizontal="left" vertical="center" wrapText="1"/>
    </xf>
    <xf numFmtId="0" fontId="14" fillId="13" borderId="22" xfId="0" applyFont="1" applyFill="1" applyBorder="1" applyAlignment="1">
      <alignment horizontal="left" vertical="center" wrapText="1"/>
    </xf>
    <xf numFmtId="0" fontId="0" fillId="13" borderId="0" xfId="0" applyFill="1" applyBorder="1" applyAlignment="1">
      <alignment vertical="center"/>
    </xf>
    <xf numFmtId="1" fontId="0" fillId="13" borderId="0" xfId="0" applyNumberFormat="1" applyFill="1" applyBorder="1" applyAlignment="1">
      <alignment vertical="center"/>
    </xf>
    <xf numFmtId="0" fontId="0" fillId="13" borderId="0" xfId="0" applyFill="1" applyBorder="1" applyAlignment="1">
      <alignment horizontal="left" vertical="center" wrapText="1"/>
    </xf>
    <xf numFmtId="1" fontId="22" fillId="7" borderId="1" xfId="0" applyNumberFormat="1" applyFont="1" applyFill="1" applyBorder="1" applyAlignment="1">
      <alignment horizontal="center" vertical="center"/>
    </xf>
    <xf numFmtId="0" fontId="22" fillId="9" borderId="21" xfId="0" applyFont="1" applyFill="1" applyBorder="1" applyAlignment="1">
      <alignment horizontal="left" vertical="center" wrapText="1"/>
    </xf>
    <xf numFmtId="0" fontId="22" fillId="7" borderId="12" xfId="0" applyFont="1" applyFill="1" applyBorder="1" applyAlignment="1">
      <alignment horizontal="left" vertical="center" wrapText="1"/>
    </xf>
    <xf numFmtId="0" fontId="111" fillId="25" borderId="60" xfId="0" applyFont="1" applyFill="1" applyBorder="1" applyAlignment="1">
      <alignment horizontal="center" vertical="center" wrapText="1"/>
    </xf>
    <xf numFmtId="0" fontId="0" fillId="13" borderId="0" xfId="0" applyFont="1" applyFill="1" applyAlignment="1">
      <alignment horizontal="center" wrapText="1"/>
    </xf>
    <xf numFmtId="0" fontId="6" fillId="25" borderId="110" xfId="0" applyFont="1" applyFill="1" applyBorder="1" applyAlignment="1">
      <alignment horizontal="center" vertical="center" wrapText="1"/>
    </xf>
    <xf numFmtId="0" fontId="8" fillId="30" borderId="41" xfId="0" applyFont="1" applyFill="1" applyBorder="1" applyAlignment="1">
      <alignment vertical="center"/>
    </xf>
    <xf numFmtId="0" fontId="50" fillId="30" borderId="0" xfId="0" applyFont="1" applyFill="1" applyBorder="1" applyAlignment="1">
      <alignment vertical="center"/>
    </xf>
    <xf numFmtId="0" fontId="50" fillId="30" borderId="84" xfId="0" applyFont="1" applyFill="1" applyBorder="1" applyAlignment="1">
      <alignment vertical="center"/>
    </xf>
    <xf numFmtId="0" fontId="50" fillId="30" borderId="85" xfId="0" applyFont="1" applyFill="1" applyBorder="1" applyAlignment="1">
      <alignment vertical="center"/>
    </xf>
    <xf numFmtId="0" fontId="50" fillId="30" borderId="11" xfId="0" applyFont="1" applyFill="1" applyBorder="1" applyAlignment="1">
      <alignment vertical="center"/>
    </xf>
    <xf numFmtId="0" fontId="50" fillId="30" borderId="12" xfId="0" applyFont="1" applyFill="1" applyBorder="1" applyAlignment="1">
      <alignment vertical="center"/>
    </xf>
    <xf numFmtId="0" fontId="50" fillId="30" borderId="22" xfId="0" applyFont="1" applyFill="1" applyBorder="1" applyAlignment="1">
      <alignment vertical="center"/>
    </xf>
    <xf numFmtId="0" fontId="53" fillId="13" borderId="0" xfId="3139" applyFont="1" applyFill="1"/>
    <xf numFmtId="0" fontId="112" fillId="13" borderId="0" xfId="3139" applyFont="1" applyFill="1"/>
    <xf numFmtId="0" fontId="69" fillId="13" borderId="0" xfId="3139" applyFont="1" applyFill="1"/>
    <xf numFmtId="0" fontId="69" fillId="13" borderId="0" xfId="3139" applyFont="1" applyFill="1" applyBorder="1"/>
    <xf numFmtId="4" fontId="69" fillId="13" borderId="0" xfId="3139" applyNumberFormat="1" applyFont="1" applyFill="1" applyBorder="1" applyAlignment="1">
      <alignment horizontal="center" vertical="center"/>
    </xf>
    <xf numFmtId="4" fontId="69" fillId="13" borderId="0" xfId="3139" applyNumberFormat="1" applyFont="1" applyFill="1"/>
    <xf numFmtId="0" fontId="23" fillId="13" borderId="0" xfId="3137" applyFont="1" applyFill="1"/>
    <xf numFmtId="3" fontId="112" fillId="13" borderId="0" xfId="3139" applyNumberFormat="1" applyFont="1" applyFill="1" applyBorder="1" applyAlignment="1">
      <alignment horizontal="center" vertical="center"/>
    </xf>
    <xf numFmtId="0" fontId="51" fillId="30" borderId="21" xfId="0" applyFont="1" applyFill="1" applyBorder="1" applyAlignment="1">
      <alignment horizontal="center" vertical="center"/>
    </xf>
    <xf numFmtId="170" fontId="64" fillId="13" borderId="0" xfId="3167" applyNumberFormat="1" applyFont="1" applyFill="1" applyBorder="1" applyAlignment="1">
      <alignment horizontal="center" vertical="center"/>
    </xf>
    <xf numFmtId="1" fontId="64" fillId="13" borderId="0" xfId="3138" applyNumberFormat="1" applyFont="1" applyFill="1" applyBorder="1" applyAlignment="1">
      <alignment horizontal="center" vertical="center"/>
    </xf>
    <xf numFmtId="2" fontId="84" fillId="22" borderId="0" xfId="0" applyNumberFormat="1" applyFont="1" applyFill="1" applyBorder="1" applyAlignment="1">
      <alignment horizontal="center" vertical="center"/>
    </xf>
    <xf numFmtId="0" fontId="9" fillId="22" borderId="0" xfId="0" applyFont="1" applyFill="1" applyBorder="1" applyAlignment="1">
      <alignment horizontal="center" vertical="center"/>
    </xf>
    <xf numFmtId="1" fontId="9" fillId="22" borderId="0" xfId="0" applyNumberFormat="1" applyFont="1" applyFill="1" applyBorder="1" applyAlignment="1">
      <alignment horizontal="center"/>
    </xf>
    <xf numFmtId="1" fontId="9" fillId="22" borderId="0" xfId="0" applyNumberFormat="1" applyFont="1" applyFill="1" applyBorder="1" applyAlignment="1">
      <alignment horizontal="center" vertical="center"/>
    </xf>
    <xf numFmtId="1" fontId="0" fillId="13" borderId="0" xfId="0" applyNumberFormat="1" applyFill="1" applyBorder="1" applyAlignment="1">
      <alignment horizontal="center"/>
    </xf>
    <xf numFmtId="0" fontId="58" fillId="26" borderId="21" xfId="0" applyFont="1" applyFill="1" applyBorder="1" applyAlignment="1">
      <alignment horizontal="center" vertical="center"/>
    </xf>
    <xf numFmtId="0" fontId="32" fillId="25" borderId="44" xfId="0" applyFont="1" applyFill="1" applyBorder="1" applyAlignment="1">
      <alignment vertical="center"/>
    </xf>
    <xf numFmtId="0" fontId="32" fillId="25" borderId="44" xfId="0" applyFont="1" applyFill="1" applyBorder="1" applyAlignment="1">
      <alignment horizontal="center" vertical="center"/>
    </xf>
    <xf numFmtId="0" fontId="6" fillId="31" borderId="44" xfId="0" applyFont="1" applyFill="1" applyBorder="1" applyAlignment="1">
      <alignment horizontal="center" vertical="center" wrapText="1"/>
    </xf>
    <xf numFmtId="0" fontId="32" fillId="25" borderId="45" xfId="0" applyFont="1" applyFill="1" applyBorder="1" applyAlignment="1">
      <alignment horizontal="center" vertical="center"/>
    </xf>
    <xf numFmtId="0" fontId="6" fillId="31" borderId="123" xfId="0" applyFont="1" applyFill="1" applyBorder="1" applyAlignment="1">
      <alignment horizontal="center" vertical="center"/>
    </xf>
    <xf numFmtId="0" fontId="6" fillId="31" borderId="123" xfId="0" applyFont="1" applyFill="1" applyBorder="1" applyAlignment="1">
      <alignment horizontal="center" vertical="center" wrapText="1"/>
    </xf>
    <xf numFmtId="0" fontId="32" fillId="25" borderId="123" xfId="0" applyFont="1" applyFill="1" applyBorder="1" applyAlignment="1">
      <alignment horizontal="center" vertical="center"/>
    </xf>
    <xf numFmtId="0" fontId="32" fillId="25" borderId="99" xfId="0" applyFont="1" applyFill="1" applyBorder="1" applyAlignment="1">
      <alignment horizontal="center" vertical="center"/>
    </xf>
    <xf numFmtId="0" fontId="32" fillId="25" borderId="123" xfId="0" applyFont="1" applyFill="1" applyBorder="1" applyAlignment="1">
      <alignment horizontal="center" vertical="center" wrapText="1"/>
    </xf>
    <xf numFmtId="0" fontId="32" fillId="13" borderId="34" xfId="0" applyFont="1" applyFill="1" applyBorder="1" applyAlignment="1" applyProtection="1">
      <alignment horizontal="center" vertical="center"/>
    </xf>
    <xf numFmtId="0" fontId="32" fillId="13" borderId="33" xfId="0" applyFont="1" applyFill="1" applyBorder="1" applyAlignment="1" applyProtection="1">
      <alignment horizontal="center" vertical="center" wrapText="1"/>
      <protection locked="0"/>
    </xf>
    <xf numFmtId="0" fontId="21" fillId="6" borderId="14" xfId="0" applyFont="1" applyFill="1" applyBorder="1" applyAlignment="1" applyProtection="1">
      <alignment vertical="center" wrapText="1"/>
      <protection locked="0"/>
    </xf>
    <xf numFmtId="0" fontId="21" fillId="6" borderId="14" xfId="0" applyFont="1" applyFill="1" applyBorder="1" applyAlignment="1" applyProtection="1">
      <alignment horizontal="left" vertical="center" wrapText="1"/>
      <protection locked="0"/>
    </xf>
    <xf numFmtId="0" fontId="21" fillId="10" borderId="1" xfId="0" applyFont="1" applyFill="1" applyBorder="1" applyAlignment="1" applyProtection="1">
      <alignment horizontal="center" vertical="center"/>
    </xf>
    <xf numFmtId="0" fontId="21" fillId="10" borderId="1" xfId="0" applyFont="1" applyFill="1" applyBorder="1" applyAlignment="1" applyProtection="1">
      <alignment vertical="center"/>
    </xf>
    <xf numFmtId="0" fontId="22" fillId="10" borderId="1" xfId="0" applyFont="1" applyFill="1" applyBorder="1" applyAlignment="1" applyProtection="1">
      <alignment horizontal="center" vertical="center"/>
    </xf>
    <xf numFmtId="3" fontId="22" fillId="10" borderId="1" xfId="0" applyNumberFormat="1" applyFont="1" applyFill="1" applyBorder="1" applyAlignment="1" applyProtection="1">
      <alignment horizontal="center" vertical="center"/>
    </xf>
    <xf numFmtId="3" fontId="22" fillId="23" borderId="1" xfId="0" applyNumberFormat="1" applyFont="1" applyFill="1" applyBorder="1" applyAlignment="1" applyProtection="1">
      <alignment horizontal="center" vertical="center"/>
    </xf>
    <xf numFmtId="0" fontId="21" fillId="6" borderId="2" xfId="0" applyFont="1" applyFill="1" applyBorder="1" applyAlignment="1" applyProtection="1">
      <alignment horizontal="center" vertical="center"/>
    </xf>
    <xf numFmtId="0" fontId="22" fillId="7" borderId="14" xfId="0" applyFont="1" applyFill="1" applyBorder="1" applyAlignment="1" applyProtection="1">
      <alignment horizontal="left" vertical="center"/>
      <protection locked="0"/>
    </xf>
    <xf numFmtId="0" fontId="22" fillId="15" borderId="14" xfId="0" applyFont="1" applyFill="1" applyBorder="1" applyAlignment="1" applyProtection="1">
      <alignment horizontal="left" vertical="center"/>
      <protection locked="0"/>
    </xf>
    <xf numFmtId="0" fontId="22" fillId="9" borderId="14" xfId="0" applyFont="1" applyFill="1" applyBorder="1" applyAlignment="1" applyProtection="1">
      <alignment horizontal="left" vertical="center"/>
      <protection locked="0"/>
    </xf>
    <xf numFmtId="0" fontId="22" fillId="10" borderId="14" xfId="0" applyFont="1" applyFill="1" applyBorder="1" applyAlignment="1" applyProtection="1">
      <alignment horizontal="left" vertical="center"/>
      <protection locked="0"/>
    </xf>
    <xf numFmtId="0" fontId="32" fillId="13" borderId="33" xfId="0" applyFont="1" applyFill="1" applyBorder="1" applyAlignment="1" applyProtection="1">
      <alignment horizontal="center" vertical="center"/>
    </xf>
    <xf numFmtId="0" fontId="32" fillId="25" borderId="109" xfId="0" applyFont="1" applyFill="1" applyBorder="1" applyAlignment="1" applyProtection="1">
      <alignment horizontal="center" vertical="center"/>
    </xf>
    <xf numFmtId="0" fontId="110" fillId="13" borderId="0" xfId="0" applyFont="1" applyFill="1" applyAlignment="1">
      <alignment horizontal="left" vertical="top" wrapText="1"/>
    </xf>
    <xf numFmtId="0" fontId="51" fillId="13" borderId="0" xfId="0" applyFont="1" applyFill="1" applyBorder="1" applyAlignment="1">
      <alignment vertical="center"/>
    </xf>
    <xf numFmtId="0" fontId="88" fillId="13" borderId="0" xfId="0" applyFont="1" applyFill="1" applyBorder="1" applyAlignment="1"/>
    <xf numFmtId="0" fontId="28" fillId="13" borderId="0" xfId="0" applyFont="1" applyFill="1" applyBorder="1" applyAlignment="1"/>
    <xf numFmtId="0" fontId="28" fillId="13" borderId="0" xfId="0" applyFont="1" applyFill="1" applyBorder="1" applyAlignment="1">
      <alignment horizontal="center"/>
    </xf>
    <xf numFmtId="0" fontId="32" fillId="5" borderId="1" xfId="0" applyFont="1" applyFill="1" applyBorder="1" applyAlignment="1">
      <alignment horizontal="center" vertical="center"/>
    </xf>
    <xf numFmtId="1" fontId="32" fillId="5" borderId="1" xfId="0" applyNumberFormat="1" applyFont="1" applyFill="1" applyBorder="1" applyAlignment="1">
      <alignment horizontal="center" vertical="center"/>
    </xf>
    <xf numFmtId="164" fontId="58" fillId="23" borderId="1" xfId="0" applyNumberFormat="1" applyFont="1" applyFill="1" applyBorder="1" applyAlignment="1">
      <alignment horizontal="center" vertical="center"/>
    </xf>
    <xf numFmtId="0" fontId="58" fillId="23" borderId="1" xfId="0" applyFont="1" applyFill="1" applyBorder="1" applyAlignment="1">
      <alignment horizontal="center" vertical="center" wrapText="1"/>
    </xf>
    <xf numFmtId="0" fontId="58" fillId="23" borderId="1" xfId="0" applyFont="1" applyFill="1" applyBorder="1" applyAlignment="1">
      <alignment horizontal="center" vertical="center"/>
    </xf>
    <xf numFmtId="0" fontId="86" fillId="25" borderId="0" xfId="0" applyFont="1" applyFill="1" applyBorder="1" applyAlignment="1">
      <alignment horizontal="center" vertical="center"/>
    </xf>
    <xf numFmtId="0" fontId="0" fillId="13" borderId="0" xfId="0" applyFill="1" applyAlignment="1">
      <alignment horizontal="left" vertical="top" wrapText="1"/>
    </xf>
    <xf numFmtId="0" fontId="19" fillId="16" borderId="26" xfId="0" applyFont="1" applyFill="1" applyBorder="1" applyAlignment="1" applyProtection="1">
      <alignment horizontal="center" vertical="center" wrapText="1"/>
      <protection locked="0"/>
    </xf>
    <xf numFmtId="0" fontId="30" fillId="22" borderId="0" xfId="3137" applyFont="1" applyFill="1" applyAlignment="1">
      <alignment horizontal="left" vertical="top"/>
    </xf>
    <xf numFmtId="9" fontId="0" fillId="0" borderId="21" xfId="4017" applyFont="1" applyBorder="1" applyAlignment="1">
      <alignment horizontal="center" vertical="center"/>
    </xf>
    <xf numFmtId="0" fontId="119" fillId="13" borderId="0" xfId="0" applyFont="1" applyFill="1" applyBorder="1" applyAlignment="1">
      <alignment horizontal="center" vertical="center"/>
    </xf>
    <xf numFmtId="0" fontId="120" fillId="13" borderId="0" xfId="0" applyFont="1" applyFill="1" applyBorder="1" applyAlignment="1">
      <alignment horizontal="center" vertical="center"/>
    </xf>
    <xf numFmtId="9" fontId="53" fillId="13" borderId="1" xfId="4017" applyFont="1" applyFill="1" applyBorder="1" applyAlignment="1">
      <alignment horizontal="center" vertical="center"/>
    </xf>
    <xf numFmtId="1" fontId="30" fillId="22" borderId="1" xfId="0" applyNumberFormat="1" applyFont="1" applyFill="1" applyBorder="1" applyAlignment="1">
      <alignment horizontal="center" vertical="center"/>
    </xf>
    <xf numFmtId="9" fontId="30" fillId="0" borderId="1" xfId="4017" applyFont="1" applyBorder="1" applyAlignment="1">
      <alignment horizontal="center"/>
    </xf>
    <xf numFmtId="0" fontId="78" fillId="13" borderId="1" xfId="3139" applyFont="1" applyFill="1" applyBorder="1" applyAlignment="1">
      <alignment horizontal="center"/>
    </xf>
    <xf numFmtId="0" fontId="104" fillId="13" borderId="0" xfId="3139" applyFont="1" applyFill="1"/>
    <xf numFmtId="0" fontId="22" fillId="8" borderId="3" xfId="0" applyFont="1" applyFill="1" applyBorder="1" applyAlignment="1">
      <alignment vertical="center"/>
    </xf>
    <xf numFmtId="0" fontId="21" fillId="8" borderId="11" xfId="0" applyFont="1" applyFill="1" applyBorder="1" applyAlignment="1">
      <alignment horizontal="center" vertical="center"/>
    </xf>
    <xf numFmtId="0" fontId="21" fillId="8" borderId="12" xfId="0" applyFont="1" applyFill="1" applyBorder="1" applyAlignment="1">
      <alignment vertical="center"/>
    </xf>
    <xf numFmtId="0" fontId="21" fillId="8" borderId="2" xfId="0" applyFont="1" applyFill="1" applyBorder="1" applyAlignment="1">
      <alignment vertical="center"/>
    </xf>
    <xf numFmtId="0" fontId="23" fillId="8" borderId="14" xfId="0" applyFont="1" applyFill="1" applyBorder="1" applyAlignment="1">
      <alignment horizontal="center" vertical="center"/>
    </xf>
    <xf numFmtId="0" fontId="22" fillId="13" borderId="21" xfId="0" applyFont="1" applyFill="1" applyBorder="1" applyAlignment="1">
      <alignment horizontal="center" vertical="center" wrapText="1"/>
    </xf>
    <xf numFmtId="0" fontId="22" fillId="8" borderId="21" xfId="0" applyFont="1" applyFill="1" applyBorder="1" applyAlignment="1">
      <alignment horizontal="center" vertical="center"/>
    </xf>
    <xf numFmtId="0" fontId="22" fillId="8" borderId="11" xfId="0" applyFont="1" applyFill="1" applyBorder="1" applyAlignment="1">
      <alignment vertical="center"/>
    </xf>
    <xf numFmtId="0" fontId="22" fillId="8" borderId="22" xfId="0" applyFont="1" applyFill="1" applyBorder="1" applyAlignment="1">
      <alignment vertical="center"/>
    </xf>
    <xf numFmtId="0" fontId="22" fillId="8" borderId="2" xfId="0" applyFont="1" applyFill="1" applyBorder="1" applyAlignment="1">
      <alignment horizontal="center" vertical="center"/>
    </xf>
    <xf numFmtId="0" fontId="22" fillId="8" borderId="3" xfId="0" applyFont="1" applyFill="1" applyBorder="1" applyAlignment="1">
      <alignment horizontal="center" vertical="center"/>
    </xf>
    <xf numFmtId="1" fontId="22" fillId="8" borderId="3" xfId="0" applyNumberFormat="1" applyFont="1" applyFill="1" applyBorder="1" applyAlignment="1">
      <alignment horizontal="center" vertical="center"/>
    </xf>
    <xf numFmtId="0" fontId="22" fillId="8" borderId="2" xfId="0" applyFont="1" applyFill="1" applyBorder="1" applyAlignment="1">
      <alignment vertical="center"/>
    </xf>
    <xf numFmtId="0" fontId="58" fillId="23" borderId="16" xfId="0" applyFont="1" applyFill="1" applyBorder="1" applyAlignment="1">
      <alignment horizontal="center" vertical="center"/>
    </xf>
    <xf numFmtId="0" fontId="58" fillId="23" borderId="16" xfId="0" applyFont="1" applyFill="1" applyBorder="1" applyAlignment="1">
      <alignment horizontal="center" vertical="center" wrapText="1"/>
    </xf>
    <xf numFmtId="164" fontId="58" fillId="23" borderId="16" xfId="0" applyNumberFormat="1" applyFont="1" applyFill="1" applyBorder="1" applyAlignment="1">
      <alignment horizontal="center" vertical="center"/>
    </xf>
    <xf numFmtId="1" fontId="32" fillId="5" borderId="16" xfId="0" applyNumberFormat="1" applyFont="1" applyFill="1" applyBorder="1" applyAlignment="1">
      <alignment horizontal="center" vertical="center"/>
    </xf>
    <xf numFmtId="0" fontId="22" fillId="9" borderId="14" xfId="0" applyFont="1" applyFill="1" applyBorder="1" applyAlignment="1">
      <alignment horizontal="left" vertical="center"/>
    </xf>
    <xf numFmtId="0" fontId="22" fillId="7" borderId="1" xfId="0" applyFont="1" applyFill="1" applyBorder="1" applyAlignment="1">
      <alignment horizontal="left" vertical="center"/>
    </xf>
    <xf numFmtId="0" fontId="22" fillId="7" borderId="21" xfId="0" applyFont="1" applyFill="1" applyBorder="1" applyAlignment="1">
      <alignment horizontal="left" vertical="center"/>
    </xf>
    <xf numFmtId="0" fontId="22" fillId="10" borderId="11" xfId="0" applyFont="1" applyFill="1" applyBorder="1" applyAlignment="1">
      <alignment horizontal="left" vertical="center"/>
    </xf>
    <xf numFmtId="0" fontId="21" fillId="10" borderId="11" xfId="0" applyFont="1" applyFill="1" applyBorder="1" applyAlignment="1">
      <alignment horizontal="center" vertical="center"/>
    </xf>
    <xf numFmtId="0" fontId="21" fillId="10" borderId="2" xfId="0" applyFont="1" applyFill="1" applyBorder="1" applyAlignment="1">
      <alignment vertical="center"/>
    </xf>
    <xf numFmtId="0" fontId="21" fillId="10" borderId="3" xfId="0" applyFont="1" applyFill="1" applyBorder="1" applyAlignment="1">
      <alignment vertical="center"/>
    </xf>
    <xf numFmtId="0" fontId="22" fillId="10" borderId="3" xfId="0" applyFont="1" applyFill="1" applyBorder="1" applyAlignment="1">
      <alignment horizontal="center" vertical="center"/>
    </xf>
    <xf numFmtId="0" fontId="22" fillId="10" borderId="14" xfId="0" applyFont="1" applyFill="1" applyBorder="1" applyAlignment="1">
      <alignment horizontal="center" vertical="center"/>
    </xf>
    <xf numFmtId="164" fontId="58" fillId="23" borderId="1" xfId="0" applyNumberFormat="1" applyFont="1" applyFill="1" applyBorder="1" applyAlignment="1">
      <alignment horizontal="center" vertical="center"/>
    </xf>
    <xf numFmtId="0" fontId="32" fillId="5" borderId="1" xfId="0" applyFont="1" applyFill="1" applyBorder="1" applyAlignment="1">
      <alignment horizontal="center" vertical="center"/>
    </xf>
    <xf numFmtId="0" fontId="58" fillId="23" borderId="1" xfId="0" applyFont="1" applyFill="1" applyBorder="1" applyAlignment="1">
      <alignment horizontal="center" vertical="center"/>
    </xf>
    <xf numFmtId="1" fontId="32" fillId="5" borderId="1" xfId="0" applyNumberFormat="1" applyFont="1" applyFill="1" applyBorder="1" applyAlignment="1">
      <alignment horizontal="center" vertical="center"/>
    </xf>
    <xf numFmtId="0" fontId="58" fillId="23" borderId="1" xfId="0" applyFont="1" applyFill="1" applyBorder="1" applyAlignment="1">
      <alignment horizontal="center" vertical="center" wrapText="1"/>
    </xf>
    <xf numFmtId="0" fontId="22" fillId="13" borderId="14" xfId="0" applyFont="1" applyFill="1" applyBorder="1" applyAlignment="1">
      <alignment horizontal="left" vertical="center"/>
    </xf>
    <xf numFmtId="169" fontId="0" fillId="13" borderId="0" xfId="0" applyNumberFormat="1" applyFill="1"/>
    <xf numFmtId="0" fontId="53" fillId="13" borderId="0" xfId="4020" applyFont="1" applyFill="1" applyBorder="1" applyAlignment="1">
      <alignment horizontal="left" vertical="center"/>
    </xf>
    <xf numFmtId="170" fontId="64" fillId="13" borderId="1" xfId="4021" applyNumberFormat="1" applyFont="1" applyFill="1" applyBorder="1" applyAlignment="1">
      <alignment horizontal="center" vertical="center"/>
    </xf>
    <xf numFmtId="9" fontId="64" fillId="13" borderId="1" xfId="4018" applyFont="1" applyFill="1" applyBorder="1" applyAlignment="1">
      <alignment horizontal="center" vertical="center"/>
    </xf>
    <xf numFmtId="170" fontId="64" fillId="17" borderId="1" xfId="4021" applyNumberFormat="1" applyFont="1" applyFill="1" applyBorder="1" applyAlignment="1">
      <alignment horizontal="center" vertical="center"/>
    </xf>
    <xf numFmtId="0" fontId="129" fillId="13" borderId="0" xfId="0" applyFont="1" applyFill="1"/>
    <xf numFmtId="0" fontId="129" fillId="13" borderId="0" xfId="0" applyFont="1" applyFill="1" applyAlignment="1"/>
    <xf numFmtId="0" fontId="88" fillId="13" borderId="0" xfId="0" applyFont="1" applyFill="1" applyAlignment="1">
      <alignment horizontal="center"/>
    </xf>
    <xf numFmtId="0" fontId="129" fillId="13" borderId="0" xfId="0" applyFont="1" applyFill="1" applyAlignment="1">
      <alignment horizontal="center"/>
    </xf>
    <xf numFmtId="0" fontId="7" fillId="13" borderId="31" xfId="0" applyFont="1" applyFill="1" applyBorder="1" applyAlignment="1" applyProtection="1">
      <alignment horizontal="center"/>
    </xf>
    <xf numFmtId="0" fontId="0" fillId="13" borderId="0" xfId="0" applyFill="1" applyAlignment="1" applyProtection="1">
      <alignment horizontal="center"/>
    </xf>
    <xf numFmtId="0" fontId="0" fillId="13" borderId="0" xfId="0" applyFont="1" applyFill="1" applyAlignment="1" applyProtection="1">
      <alignment horizontal="center"/>
    </xf>
    <xf numFmtId="0" fontId="22" fillId="10" borderId="12" xfId="0" applyFont="1" applyFill="1" applyBorder="1" applyAlignment="1">
      <alignment horizontal="left" vertical="center"/>
    </xf>
    <xf numFmtId="0" fontId="22" fillId="10" borderId="21" xfId="0" applyFont="1" applyFill="1" applyBorder="1" applyAlignment="1">
      <alignment horizontal="left" vertical="center"/>
    </xf>
    <xf numFmtId="0" fontId="58" fillId="26" borderId="1" xfId="0" applyFont="1" applyFill="1" applyBorder="1" applyAlignment="1">
      <alignment horizontal="center" vertical="center" wrapText="1"/>
    </xf>
    <xf numFmtId="0" fontId="58" fillId="26" borderId="1" xfId="0" applyFont="1" applyFill="1" applyBorder="1" applyAlignment="1">
      <alignment horizontal="center" vertical="center"/>
    </xf>
    <xf numFmtId="2" fontId="0" fillId="17" borderId="1" xfId="0" applyNumberFormat="1" applyFill="1" applyBorder="1" applyAlignment="1">
      <alignment horizontal="center"/>
    </xf>
    <xf numFmtId="0" fontId="32" fillId="25" borderId="19" xfId="0" applyFont="1" applyFill="1" applyBorder="1" applyAlignment="1">
      <alignment horizontal="center" vertical="center"/>
    </xf>
    <xf numFmtId="0" fontId="32" fillId="25" borderId="19" xfId="0" applyFont="1" applyFill="1" applyBorder="1" applyAlignment="1">
      <alignment horizontal="center" vertical="center" wrapText="1"/>
    </xf>
    <xf numFmtId="0" fontId="32" fillId="25" borderId="11" xfId="0" applyFont="1" applyFill="1" applyBorder="1" applyAlignment="1">
      <alignment horizontal="center" vertical="center" wrapText="1"/>
    </xf>
    <xf numFmtId="0" fontId="32" fillId="25" borderId="21" xfId="0" applyFont="1" applyFill="1" applyBorder="1" applyAlignment="1">
      <alignment horizontal="center" vertical="center" wrapText="1"/>
    </xf>
    <xf numFmtId="0" fontId="6" fillId="25" borderId="2" xfId="3137" applyFont="1" applyFill="1" applyBorder="1" applyAlignment="1">
      <alignment vertical="center" wrapText="1"/>
    </xf>
    <xf numFmtId="0" fontId="6" fillId="25" borderId="3" xfId="3137" applyFont="1" applyFill="1" applyBorder="1" applyAlignment="1">
      <alignment vertical="center" wrapText="1"/>
    </xf>
    <xf numFmtId="0" fontId="6" fillId="25" borderId="3" xfId="3137" applyFont="1" applyFill="1" applyBorder="1" applyAlignment="1">
      <alignment horizontal="center" vertical="center" wrapText="1"/>
    </xf>
    <xf numFmtId="0" fontId="6" fillId="25" borderId="14" xfId="3137" applyFont="1" applyFill="1" applyBorder="1" applyAlignment="1">
      <alignment vertical="center" wrapText="1"/>
    </xf>
    <xf numFmtId="0" fontId="32" fillId="25" borderId="2" xfId="0" applyFont="1" applyFill="1" applyBorder="1" applyAlignment="1">
      <alignment vertical="center" wrapText="1"/>
    </xf>
    <xf numFmtId="0" fontId="32" fillId="25" borderId="3" xfId="0" applyFont="1" applyFill="1" applyBorder="1" applyAlignment="1">
      <alignment horizontal="center" vertical="center" wrapText="1"/>
    </xf>
    <xf numFmtId="0" fontId="32" fillId="25" borderId="3" xfId="0" applyFont="1" applyFill="1" applyBorder="1" applyAlignment="1">
      <alignment vertical="center" wrapText="1"/>
    </xf>
    <xf numFmtId="0" fontId="32" fillId="25" borderId="14" xfId="0" applyFont="1" applyFill="1" applyBorder="1" applyAlignment="1">
      <alignment vertical="center" wrapText="1"/>
    </xf>
    <xf numFmtId="0" fontId="32" fillId="25" borderId="14" xfId="0" applyFont="1" applyFill="1" applyBorder="1" applyAlignment="1">
      <alignment horizontal="center" vertical="center" wrapText="1"/>
    </xf>
    <xf numFmtId="0" fontId="32" fillId="25" borderId="1" xfId="0" applyFont="1" applyFill="1" applyBorder="1" applyAlignment="1">
      <alignment horizontal="center" vertical="center" wrapText="1"/>
    </xf>
    <xf numFmtId="0" fontId="64" fillId="26" borderId="3" xfId="3139" applyFont="1" applyFill="1" applyBorder="1"/>
    <xf numFmtId="0" fontId="62" fillId="26" borderId="14" xfId="3137" applyFill="1" applyBorder="1"/>
    <xf numFmtId="0" fontId="64" fillId="26" borderId="2" xfId="3139" applyFont="1" applyFill="1" applyBorder="1"/>
    <xf numFmtId="0" fontId="64" fillId="13" borderId="2" xfId="3139" applyFont="1" applyFill="1" applyBorder="1"/>
    <xf numFmtId="168" fontId="78" fillId="13" borderId="14" xfId="3139" quotePrefix="1" applyNumberFormat="1" applyFont="1" applyFill="1" applyBorder="1" applyAlignment="1">
      <alignment horizontal="center"/>
    </xf>
    <xf numFmtId="0" fontId="21" fillId="26" borderId="1" xfId="3137" applyFont="1" applyFill="1" applyBorder="1" applyAlignment="1">
      <alignment vertical="center"/>
    </xf>
    <xf numFmtId="0" fontId="64" fillId="13" borderId="1" xfId="3139" applyFont="1" applyFill="1" applyBorder="1"/>
    <xf numFmtId="0" fontId="64" fillId="13" borderId="1" xfId="3139" applyFont="1" applyFill="1" applyBorder="1" applyAlignment="1">
      <alignment wrapText="1"/>
    </xf>
    <xf numFmtId="0" fontId="58" fillId="26" borderId="34" xfId="0" applyFont="1" applyFill="1" applyBorder="1" applyAlignment="1">
      <alignment horizontal="center" vertical="center" wrapText="1"/>
    </xf>
    <xf numFmtId="0" fontId="58" fillId="26" borderId="24" xfId="0" applyFont="1" applyFill="1" applyBorder="1" applyAlignment="1">
      <alignment horizontal="center" vertical="center"/>
    </xf>
    <xf numFmtId="0" fontId="0" fillId="0" borderId="1" xfId="0" applyFont="1" applyBorder="1" applyAlignment="1">
      <alignment vertical="center"/>
    </xf>
    <xf numFmtId="0" fontId="62" fillId="13" borderId="1" xfId="3137" applyFill="1" applyBorder="1" applyAlignment="1">
      <alignment horizontal="center"/>
    </xf>
    <xf numFmtId="0" fontId="53" fillId="0" borderId="1" xfId="0" applyFont="1" applyBorder="1" applyAlignment="1">
      <alignment vertical="center"/>
    </xf>
    <xf numFmtId="0" fontId="78" fillId="13" borderId="1" xfId="3137" applyFont="1" applyFill="1" applyBorder="1" applyAlignment="1">
      <alignment horizontal="center"/>
    </xf>
    <xf numFmtId="0" fontId="58" fillId="26" borderId="21" xfId="0" applyFont="1" applyFill="1" applyBorder="1" applyAlignment="1">
      <alignment horizontal="center" vertical="center" wrapText="1"/>
    </xf>
    <xf numFmtId="0" fontId="58" fillId="26" borderId="11" xfId="0" applyFont="1" applyFill="1" applyBorder="1" applyAlignment="1">
      <alignment horizontal="center" vertical="center" wrapText="1"/>
    </xf>
    <xf numFmtId="0" fontId="32" fillId="25" borderId="17" xfId="0" applyFont="1" applyFill="1" applyBorder="1" applyAlignment="1">
      <alignment vertical="center" wrapText="1"/>
    </xf>
    <xf numFmtId="0" fontId="32" fillId="25" borderId="17" xfId="0" applyFont="1" applyFill="1" applyBorder="1" applyAlignment="1">
      <alignment horizontal="center" vertical="center" wrapText="1"/>
    </xf>
    <xf numFmtId="0" fontId="32" fillId="25" borderId="20" xfId="0" applyFont="1" applyFill="1" applyBorder="1" applyAlignment="1">
      <alignment vertical="center" wrapText="1"/>
    </xf>
    <xf numFmtId="0" fontId="0" fillId="0" borderId="19" xfId="0" applyFont="1" applyBorder="1" applyAlignment="1">
      <alignment vertical="center"/>
    </xf>
    <xf numFmtId="0" fontId="0" fillId="0" borderId="24" xfId="0" applyFont="1" applyBorder="1" applyAlignment="1">
      <alignment vertical="center"/>
    </xf>
    <xf numFmtId="0" fontId="0" fillId="0" borderId="11" xfId="0" applyFont="1" applyBorder="1" applyAlignment="1">
      <alignment vertical="center"/>
    </xf>
    <xf numFmtId="0" fontId="0" fillId="17" borderId="12" xfId="0" applyFont="1" applyFill="1" applyBorder="1" applyAlignment="1">
      <alignment horizontal="center" vertical="center"/>
    </xf>
    <xf numFmtId="0" fontId="0" fillId="17" borderId="11" xfId="0" applyFill="1" applyBorder="1" applyAlignment="1">
      <alignment horizontal="center"/>
    </xf>
    <xf numFmtId="3" fontId="53" fillId="13" borderId="16" xfId="3137" applyNumberFormat="1" applyFont="1" applyFill="1" applyBorder="1" applyAlignment="1">
      <alignment horizontal="center" vertical="center"/>
    </xf>
    <xf numFmtId="3" fontId="53" fillId="13" borderId="34" xfId="3137" applyNumberFormat="1" applyFont="1" applyFill="1" applyBorder="1" applyAlignment="1">
      <alignment horizontal="center" vertical="center"/>
    </xf>
    <xf numFmtId="3" fontId="53" fillId="13" borderId="21" xfId="3137" applyNumberFormat="1" applyFont="1" applyFill="1" applyBorder="1" applyAlignment="1">
      <alignment horizontal="center" vertical="center"/>
    </xf>
    <xf numFmtId="0" fontId="32" fillId="25" borderId="11" xfId="0" applyFont="1" applyFill="1" applyBorder="1" applyAlignment="1">
      <alignment horizontal="center" vertical="center"/>
    </xf>
    <xf numFmtId="1" fontId="53" fillId="17" borderId="1" xfId="3137" applyNumberFormat="1" applyFont="1" applyFill="1" applyBorder="1" applyAlignment="1">
      <alignment horizontal="center" vertical="center"/>
    </xf>
    <xf numFmtId="0" fontId="58" fillId="26" borderId="2" xfId="0" applyFont="1" applyFill="1" applyBorder="1" applyAlignment="1">
      <alignment horizontal="center" vertical="center"/>
    </xf>
    <xf numFmtId="0" fontId="58" fillId="26" borderId="1" xfId="3137" applyFont="1" applyFill="1" applyBorder="1" applyAlignment="1">
      <alignment horizontal="center" vertical="center" wrapText="1"/>
    </xf>
    <xf numFmtId="0" fontId="58" fillId="26" borderId="2" xfId="3137" applyFont="1" applyFill="1" applyBorder="1" applyAlignment="1">
      <alignment horizontal="center" vertical="center" wrapText="1"/>
    </xf>
    <xf numFmtId="0" fontId="21" fillId="7" borderId="2" xfId="0" applyFont="1" applyFill="1" applyBorder="1" applyAlignment="1" applyProtection="1">
      <alignment horizontal="center" vertical="center"/>
    </xf>
    <xf numFmtId="0" fontId="22" fillId="7" borderId="14" xfId="0" applyFont="1" applyFill="1" applyBorder="1" applyAlignment="1" applyProtection="1">
      <alignment horizontal="center" vertical="center"/>
    </xf>
    <xf numFmtId="0" fontId="21" fillId="7" borderId="2" xfId="0" applyFont="1" applyFill="1" applyBorder="1" applyAlignment="1" applyProtection="1">
      <alignment vertical="center"/>
    </xf>
    <xf numFmtId="0" fontId="21" fillId="7" borderId="3" xfId="0" applyFont="1" applyFill="1" applyBorder="1" applyAlignment="1" applyProtection="1">
      <alignment vertical="center"/>
    </xf>
    <xf numFmtId="0" fontId="21" fillId="7" borderId="14" xfId="0" applyFont="1" applyFill="1" applyBorder="1" applyAlignment="1" applyProtection="1">
      <alignment vertical="center"/>
    </xf>
    <xf numFmtId="0" fontId="21" fillId="8" borderId="2" xfId="0" applyFont="1" applyFill="1" applyBorder="1" applyAlignment="1" applyProtection="1">
      <alignment horizontal="center" vertical="center"/>
    </xf>
    <xf numFmtId="0" fontId="21" fillId="8" borderId="2" xfId="0" applyFont="1" applyFill="1" applyBorder="1" applyAlignment="1" applyProtection="1">
      <alignment vertical="center"/>
    </xf>
    <xf numFmtId="0" fontId="21" fillId="8" borderId="3" xfId="0" applyFont="1" applyFill="1" applyBorder="1" applyAlignment="1" applyProtection="1">
      <alignment vertical="center"/>
    </xf>
    <xf numFmtId="0" fontId="21" fillId="8" borderId="14" xfId="0" applyFont="1" applyFill="1" applyBorder="1" applyAlignment="1" applyProtection="1">
      <alignment vertical="center"/>
    </xf>
    <xf numFmtId="0" fontId="21" fillId="9" borderId="2" xfId="0" applyFont="1" applyFill="1" applyBorder="1" applyAlignment="1" applyProtection="1">
      <alignment horizontal="center" vertical="center"/>
    </xf>
    <xf numFmtId="0" fontId="21" fillId="8" borderId="19" xfId="0" applyFont="1" applyFill="1" applyBorder="1" applyAlignment="1" applyProtection="1">
      <alignment vertical="center"/>
    </xf>
    <xf numFmtId="0" fontId="21" fillId="8" borderId="17" xfId="0" applyFont="1" applyFill="1" applyBorder="1" applyAlignment="1" applyProtection="1">
      <alignment vertical="center"/>
    </xf>
    <xf numFmtId="0" fontId="21" fillId="8" borderId="20" xfId="0" applyFont="1" applyFill="1" applyBorder="1" applyAlignment="1" applyProtection="1">
      <alignment vertical="center"/>
    </xf>
    <xf numFmtId="0" fontId="21" fillId="9" borderId="2" xfId="0" applyFont="1" applyFill="1" applyBorder="1" applyAlignment="1" applyProtection="1">
      <alignment vertical="center"/>
    </xf>
    <xf numFmtId="0" fontId="21" fillId="9" borderId="3" xfId="0" applyFont="1" applyFill="1" applyBorder="1" applyAlignment="1" applyProtection="1">
      <alignment vertical="center"/>
    </xf>
    <xf numFmtId="0" fontId="21" fillId="9" borderId="14" xfId="0" applyFont="1" applyFill="1" applyBorder="1" applyAlignment="1" applyProtection="1">
      <alignment vertical="center"/>
    </xf>
    <xf numFmtId="0" fontId="0" fillId="13" borderId="1" xfId="0" applyFill="1" applyBorder="1" applyAlignment="1">
      <alignment vertical="center"/>
    </xf>
    <xf numFmtId="0" fontId="0" fillId="0" borderId="1" xfId="0" applyBorder="1" applyAlignment="1">
      <alignment horizontal="center" vertical="center"/>
    </xf>
    <xf numFmtId="0" fontId="19" fillId="20" borderId="2" xfId="0" applyFont="1" applyFill="1" applyBorder="1" applyAlignment="1">
      <alignment vertical="center"/>
    </xf>
    <xf numFmtId="1" fontId="0" fillId="13" borderId="1" xfId="0" applyNumberFormat="1" applyFill="1" applyBorder="1" applyAlignment="1">
      <alignment horizontal="center" vertical="center"/>
    </xf>
    <xf numFmtId="0" fontId="0" fillId="13" borderId="19" xfId="0" applyFill="1" applyBorder="1" applyAlignment="1">
      <alignment vertical="center"/>
    </xf>
    <xf numFmtId="0" fontId="0" fillId="20" borderId="3" xfId="0" applyFill="1" applyBorder="1" applyAlignment="1">
      <alignment vertical="center"/>
    </xf>
    <xf numFmtId="0" fontId="0" fillId="20" borderId="14" xfId="0" applyFill="1" applyBorder="1" applyAlignment="1">
      <alignment vertical="center"/>
    </xf>
    <xf numFmtId="0" fontId="0" fillId="32" borderId="0" xfId="0" applyFill="1"/>
    <xf numFmtId="0" fontId="14" fillId="13" borderId="16" xfId="0" applyFont="1" applyFill="1" applyBorder="1" applyAlignment="1">
      <alignment horizontal="left" vertical="center" wrapText="1"/>
    </xf>
    <xf numFmtId="0" fontId="21" fillId="7" borderId="19" xfId="0" applyFont="1" applyFill="1" applyBorder="1" applyAlignment="1">
      <alignment horizontal="center" vertical="center"/>
    </xf>
    <xf numFmtId="0" fontId="21" fillId="8" borderId="19" xfId="0" applyFont="1" applyFill="1" applyBorder="1" applyAlignment="1">
      <alignment horizontal="center" vertical="center"/>
    </xf>
    <xf numFmtId="0" fontId="21" fillId="7" borderId="12" xfId="0" applyFont="1" applyFill="1" applyBorder="1" applyAlignment="1">
      <alignment horizontal="center" vertical="center"/>
    </xf>
    <xf numFmtId="0" fontId="22" fillId="7" borderId="132" xfId="0" applyFont="1" applyFill="1" applyBorder="1" applyAlignment="1">
      <alignment horizontal="left" vertical="center" wrapText="1"/>
    </xf>
    <xf numFmtId="0" fontId="22" fillId="7" borderId="14" xfId="0" applyFont="1" applyFill="1" applyBorder="1" applyAlignment="1">
      <alignment horizontal="left" vertical="center"/>
    </xf>
    <xf numFmtId="0" fontId="31" fillId="7" borderId="21" xfId="0" applyFont="1" applyFill="1" applyBorder="1" applyAlignment="1">
      <alignment horizontal="center" vertical="center"/>
    </xf>
    <xf numFmtId="0" fontId="22" fillId="7" borderId="22" xfId="0" applyFont="1" applyFill="1" applyBorder="1" applyAlignment="1">
      <alignment horizontal="left" vertical="center"/>
    </xf>
    <xf numFmtId="0" fontId="14" fillId="18" borderId="20" xfId="0" applyFont="1" applyFill="1" applyBorder="1" applyAlignment="1">
      <alignment horizontal="left" vertical="center" wrapText="1"/>
    </xf>
    <xf numFmtId="0" fontId="14" fillId="13" borderId="33" xfId="0" applyFont="1" applyFill="1" applyBorder="1" applyAlignment="1">
      <alignment horizontal="left" vertical="center" wrapText="1"/>
    </xf>
    <xf numFmtId="0" fontId="14" fillId="13" borderId="22" xfId="0" applyFont="1" applyFill="1" applyBorder="1" applyAlignment="1">
      <alignment horizontal="left" vertical="center"/>
    </xf>
    <xf numFmtId="0" fontId="133" fillId="33" borderId="21" xfId="4022" applyFont="1" applyBorder="1" applyAlignment="1">
      <alignment horizontal="center" vertical="center"/>
    </xf>
    <xf numFmtId="14" fontId="133" fillId="33" borderId="1" xfId="4022" applyNumberFormat="1" applyFont="1" applyBorder="1" applyAlignment="1">
      <alignment horizontal="center" vertical="center"/>
    </xf>
    <xf numFmtId="14" fontId="134" fillId="34" borderId="1" xfId="4023" applyNumberFormat="1" applyFont="1" applyBorder="1" applyAlignment="1">
      <alignment horizontal="center" vertical="center"/>
    </xf>
    <xf numFmtId="0" fontId="24" fillId="25" borderId="121" xfId="0" applyFont="1" applyFill="1" applyBorder="1" applyAlignment="1">
      <alignment horizontal="center" vertical="center" wrapText="1"/>
    </xf>
    <xf numFmtId="0" fontId="24" fillId="25" borderId="44" xfId="0" applyFont="1" applyFill="1" applyBorder="1" applyAlignment="1">
      <alignment horizontal="center" vertical="center" wrapText="1"/>
    </xf>
    <xf numFmtId="0" fontId="24" fillId="25" borderId="45" xfId="0" applyFont="1" applyFill="1" applyBorder="1" applyAlignment="1">
      <alignment horizontal="center" vertical="center" wrapText="1"/>
    </xf>
    <xf numFmtId="0" fontId="19" fillId="16" borderId="26" xfId="0" applyFont="1" applyFill="1" applyBorder="1" applyAlignment="1" applyProtection="1">
      <alignment horizontal="center" vertical="center" wrapText="1"/>
      <protection locked="0"/>
    </xf>
    <xf numFmtId="0" fontId="9" fillId="22" borderId="3" xfId="3137" applyFont="1" applyFill="1" applyBorder="1" applyAlignment="1">
      <alignment horizontal="left" vertical="top" wrapText="1"/>
    </xf>
    <xf numFmtId="0" fontId="0" fillId="13" borderId="3" xfId="0" applyFill="1" applyBorder="1"/>
    <xf numFmtId="0" fontId="0" fillId="13" borderId="14" xfId="0" applyFill="1" applyBorder="1"/>
    <xf numFmtId="0" fontId="32" fillId="25" borderId="89" xfId="0" applyFont="1" applyFill="1" applyBorder="1" applyAlignment="1">
      <alignment horizontal="center" vertical="center"/>
    </xf>
    <xf numFmtId="0" fontId="32" fillId="25" borderId="137" xfId="0" applyFont="1" applyFill="1" applyBorder="1" applyAlignment="1">
      <alignment horizontal="center" vertical="center"/>
    </xf>
    <xf numFmtId="0" fontId="0" fillId="13" borderId="0" xfId="0" applyFill="1" applyAlignment="1">
      <alignment wrapText="1"/>
    </xf>
    <xf numFmtId="0" fontId="32" fillId="25" borderId="138" xfId="0" applyFont="1" applyFill="1" applyBorder="1" applyAlignment="1">
      <alignment horizontal="center" vertical="center"/>
    </xf>
    <xf numFmtId="0" fontId="7" fillId="13" borderId="31" xfId="0" applyFont="1" applyFill="1" applyBorder="1" applyAlignment="1" applyProtection="1"/>
    <xf numFmtId="0" fontId="0" fillId="13" borderId="0" xfId="0" applyFill="1" applyAlignment="1" applyProtection="1"/>
    <xf numFmtId="0" fontId="92" fillId="13" borderId="0" xfId="0" applyFont="1" applyFill="1" applyAlignment="1">
      <alignment horizontal="center" vertical="center"/>
    </xf>
    <xf numFmtId="0" fontId="32" fillId="5" borderId="1" xfId="0" applyFont="1" applyFill="1" applyBorder="1" applyAlignment="1">
      <alignment horizontal="center" vertical="center"/>
    </xf>
    <xf numFmtId="0" fontId="86" fillId="25" borderId="0" xfId="0" applyFont="1" applyFill="1" applyBorder="1" applyAlignment="1">
      <alignment horizontal="center" vertical="center"/>
    </xf>
    <xf numFmtId="0" fontId="30" fillId="22" borderId="0" xfId="3137" applyFont="1" applyFill="1" applyAlignment="1">
      <alignment horizontal="left" vertical="top" wrapText="1"/>
    </xf>
    <xf numFmtId="0" fontId="0" fillId="13" borderId="1" xfId="0" applyFill="1" applyBorder="1" applyAlignment="1">
      <alignment horizontal="left" vertical="center"/>
    </xf>
    <xf numFmtId="0" fontId="32" fillId="25" borderId="109" xfId="0" applyFont="1" applyFill="1" applyBorder="1" applyAlignment="1">
      <alignment horizontal="center" vertical="center"/>
    </xf>
    <xf numFmtId="0" fontId="9" fillId="18" borderId="0" xfId="3137" applyFont="1" applyFill="1" applyAlignment="1">
      <alignment horizontal="left" vertical="top" wrapText="1"/>
    </xf>
    <xf numFmtId="0" fontId="19" fillId="16" borderId="26" xfId="0" applyFont="1" applyFill="1" applyBorder="1" applyAlignment="1" applyProtection="1">
      <alignment horizontal="center" vertical="center" wrapText="1"/>
      <protection locked="0"/>
    </xf>
    <xf numFmtId="0" fontId="107" fillId="0" borderId="65" xfId="0" applyFont="1" applyBorder="1" applyAlignment="1" applyProtection="1">
      <alignment vertical="center"/>
    </xf>
    <xf numFmtId="3" fontId="136" fillId="18" borderId="0" xfId="0" applyNumberFormat="1" applyFont="1" applyFill="1" applyAlignment="1">
      <alignment vertical="center"/>
    </xf>
    <xf numFmtId="0" fontId="137" fillId="13" borderId="0" xfId="0" applyFont="1" applyFill="1" applyAlignment="1">
      <alignment horizontal="center"/>
    </xf>
    <xf numFmtId="3" fontId="0" fillId="13" borderId="0" xfId="0" applyNumberFormat="1" applyFont="1" applyFill="1" applyAlignment="1">
      <alignment horizontal="center"/>
    </xf>
    <xf numFmtId="0" fontId="34" fillId="25" borderId="139" xfId="0" applyFont="1" applyFill="1" applyBorder="1" applyAlignment="1" applyProtection="1">
      <alignment horizontal="center" vertical="center" wrapText="1"/>
    </xf>
    <xf numFmtId="0" fontId="34" fillId="25" borderId="140" xfId="0" applyFont="1" applyFill="1" applyBorder="1" applyAlignment="1" applyProtection="1">
      <alignment horizontal="center" vertical="center" wrapText="1"/>
    </xf>
    <xf numFmtId="0" fontId="34" fillId="25" borderId="140" xfId="0" applyFont="1" applyFill="1" applyBorder="1" applyAlignment="1" applyProtection="1">
      <alignment horizontal="center" vertical="center"/>
    </xf>
    <xf numFmtId="0" fontId="0" fillId="13" borderId="0" xfId="0" applyFill="1" applyBorder="1" applyAlignment="1"/>
    <xf numFmtId="3" fontId="107" fillId="13" borderId="0" xfId="0" applyNumberFormat="1" applyFont="1" applyFill="1" applyBorder="1" applyAlignment="1" applyProtection="1">
      <alignment horizontal="center" vertical="center"/>
    </xf>
    <xf numFmtId="0" fontId="107" fillId="13" borderId="0" xfId="0" applyNumberFormat="1" applyFont="1" applyFill="1" applyBorder="1" applyAlignment="1" applyProtection="1">
      <alignment horizontal="left" vertical="center"/>
    </xf>
    <xf numFmtId="0" fontId="107" fillId="13" borderId="0" xfId="0" applyFont="1" applyFill="1" applyBorder="1" applyAlignment="1" applyProtection="1">
      <alignment horizontal="left" vertical="center"/>
    </xf>
    <xf numFmtId="0" fontId="107" fillId="13" borderId="0" xfId="0" applyFont="1" applyFill="1" applyBorder="1" applyAlignment="1" applyProtection="1">
      <alignment horizontal="center" vertical="center"/>
    </xf>
    <xf numFmtId="1" fontId="107" fillId="13" borderId="0" xfId="0" applyNumberFormat="1" applyFont="1" applyFill="1" applyBorder="1" applyAlignment="1" applyProtection="1">
      <alignment horizontal="center" vertical="center"/>
    </xf>
    <xf numFmtId="2" fontId="107" fillId="13" borderId="0" xfId="0" applyNumberFormat="1" applyFont="1" applyFill="1" applyBorder="1" applyAlignment="1" applyProtection="1">
      <alignment horizontal="center" vertical="center"/>
    </xf>
    <xf numFmtId="0" fontId="25" fillId="36" borderId="0" xfId="0" applyFont="1" applyFill="1" applyBorder="1" applyAlignment="1">
      <alignment horizontal="center" vertical="center" wrapText="1"/>
    </xf>
    <xf numFmtId="0" fontId="117" fillId="26" borderId="3" xfId="3139" applyFont="1" applyFill="1" applyBorder="1" applyAlignment="1">
      <alignment vertical="center"/>
    </xf>
    <xf numFmtId="0" fontId="78" fillId="26" borderId="3" xfId="3139" applyFont="1" applyFill="1" applyBorder="1" applyAlignment="1">
      <alignment vertical="center"/>
    </xf>
    <xf numFmtId="0" fontId="78" fillId="13" borderId="17" xfId="3139" applyFont="1" applyFill="1" applyBorder="1" applyAlignment="1">
      <alignment vertical="center"/>
    </xf>
    <xf numFmtId="0" fontId="125" fillId="13" borderId="17" xfId="3139" applyFont="1" applyFill="1" applyBorder="1" applyAlignment="1">
      <alignment vertical="center"/>
    </xf>
    <xf numFmtId="0" fontId="64" fillId="13" borderId="17" xfId="3139" applyFill="1" applyBorder="1" applyAlignment="1">
      <alignment vertical="center"/>
    </xf>
    <xf numFmtId="0" fontId="0" fillId="13" borderId="20" xfId="0" applyFill="1" applyBorder="1" applyAlignment="1">
      <alignment vertical="center"/>
    </xf>
    <xf numFmtId="0" fontId="64" fillId="13" borderId="0" xfId="3139" applyFill="1" applyBorder="1" applyAlignment="1">
      <alignment vertical="center"/>
    </xf>
    <xf numFmtId="0" fontId="0" fillId="13" borderId="33" xfId="0" applyFill="1" applyBorder="1" applyAlignment="1">
      <alignment vertical="center"/>
    </xf>
    <xf numFmtId="169" fontId="0" fillId="13" borderId="0" xfId="0" applyNumberFormat="1" applyFill="1" applyAlignment="1">
      <alignment vertical="center"/>
    </xf>
    <xf numFmtId="0" fontId="64" fillId="13" borderId="12" xfId="3139" applyFill="1" applyBorder="1" applyAlignment="1">
      <alignment vertical="center"/>
    </xf>
    <xf numFmtId="0" fontId="0" fillId="13" borderId="22" xfId="0" applyFill="1" applyBorder="1" applyAlignment="1">
      <alignment vertical="center"/>
    </xf>
    <xf numFmtId="0" fontId="66" fillId="26" borderId="3" xfId="3139" applyFont="1" applyFill="1" applyBorder="1" applyAlignment="1">
      <alignment vertical="center"/>
    </xf>
    <xf numFmtId="0" fontId="64" fillId="26" borderId="3" xfId="3139" applyFill="1" applyBorder="1" applyAlignment="1">
      <alignment vertical="center"/>
    </xf>
    <xf numFmtId="0" fontId="0" fillId="26" borderId="14" xfId="0" applyFill="1" applyBorder="1" applyAlignment="1">
      <alignment vertical="center"/>
    </xf>
    <xf numFmtId="0" fontId="64" fillId="13" borderId="19" xfId="3139" applyFill="1" applyBorder="1" applyAlignment="1">
      <alignment horizontal="center" vertical="center"/>
    </xf>
    <xf numFmtId="0" fontId="64" fillId="13" borderId="24" xfId="3139" applyFill="1" applyBorder="1" applyAlignment="1">
      <alignment horizontal="center" vertical="center"/>
    </xf>
    <xf numFmtId="0" fontId="64" fillId="13" borderId="11" xfId="3139" applyFill="1" applyBorder="1" applyAlignment="1">
      <alignment horizontal="center" vertical="center"/>
    </xf>
    <xf numFmtId="0" fontId="117" fillId="26" borderId="2" xfId="3139" applyFont="1" applyFill="1" applyBorder="1" applyAlignment="1">
      <alignment horizontal="right" vertical="center"/>
    </xf>
    <xf numFmtId="0" fontId="21" fillId="17" borderId="2" xfId="0" applyFont="1" applyFill="1" applyBorder="1" applyAlignment="1">
      <alignment vertical="center"/>
    </xf>
    <xf numFmtId="0" fontId="21" fillId="17" borderId="3" xfId="0" applyFont="1" applyFill="1" applyBorder="1" applyAlignment="1">
      <alignment vertical="center"/>
    </xf>
    <xf numFmtId="0" fontId="21" fillId="17" borderId="14" xfId="0" applyFont="1" applyFill="1" applyBorder="1" applyAlignment="1">
      <alignment vertical="center"/>
    </xf>
    <xf numFmtId="0" fontId="21" fillId="17" borderId="3" xfId="0" applyFont="1" applyFill="1" applyBorder="1" applyAlignment="1">
      <alignment horizontal="center" vertical="center"/>
    </xf>
    <xf numFmtId="0" fontId="0" fillId="20" borderId="22" xfId="0" applyFill="1" applyBorder="1" applyAlignment="1">
      <alignment vertical="center"/>
    </xf>
    <xf numFmtId="0" fontId="32" fillId="25" borderId="63" xfId="0" applyFont="1" applyFill="1" applyBorder="1" applyAlignment="1">
      <alignment horizontal="center" vertical="center"/>
    </xf>
    <xf numFmtId="0" fontId="0" fillId="13" borderId="21" xfId="0" applyFill="1" applyBorder="1" applyAlignment="1">
      <alignment vertical="center"/>
    </xf>
    <xf numFmtId="3" fontId="0" fillId="13" borderId="12" xfId="0" applyNumberFormat="1" applyFill="1" applyBorder="1" applyAlignment="1">
      <alignment horizontal="center" vertical="center"/>
    </xf>
    <xf numFmtId="0" fontId="0" fillId="13" borderId="21" xfId="0" applyFill="1" applyBorder="1" applyAlignment="1">
      <alignment horizontal="center" vertical="center"/>
    </xf>
    <xf numFmtId="166" fontId="0" fillId="13" borderId="11" xfId="0" applyNumberFormat="1" applyFill="1" applyBorder="1" applyAlignment="1">
      <alignment horizontal="center" vertical="center"/>
    </xf>
    <xf numFmtId="0" fontId="0" fillId="13" borderId="11" xfId="0" applyFill="1" applyBorder="1" applyAlignment="1">
      <alignment horizontal="center" vertical="center"/>
    </xf>
    <xf numFmtId="1" fontId="0" fillId="0" borderId="11" xfId="0" applyNumberFormat="1" applyFill="1" applyBorder="1" applyAlignment="1">
      <alignment horizontal="center" vertical="center"/>
    </xf>
    <xf numFmtId="1" fontId="0" fillId="13" borderId="21" xfId="0" applyNumberFormat="1" applyFill="1" applyBorder="1" applyAlignment="1">
      <alignment horizontal="center" vertical="center"/>
    </xf>
    <xf numFmtId="3" fontId="23" fillId="26" borderId="65" xfId="0" applyNumberFormat="1" applyFont="1" applyFill="1" applyBorder="1" applyAlignment="1" applyProtection="1">
      <alignment horizontal="center" vertical="center" wrapText="1"/>
    </xf>
    <xf numFmtId="3" fontId="23" fillId="28" borderId="65" xfId="0" applyNumberFormat="1" applyFont="1" applyFill="1" applyBorder="1" applyAlignment="1" applyProtection="1">
      <alignment horizontal="center" vertical="center" wrapText="1"/>
    </xf>
    <xf numFmtId="3" fontId="23" fillId="23" borderId="65" xfId="0" applyNumberFormat="1" applyFont="1" applyFill="1" applyBorder="1" applyAlignment="1" applyProtection="1">
      <alignment horizontal="center" vertical="center" wrapText="1"/>
    </xf>
    <xf numFmtId="9" fontId="0" fillId="13" borderId="11" xfId="4018" applyFont="1" applyFill="1" applyBorder="1" applyAlignment="1">
      <alignment horizontal="center" vertical="center"/>
    </xf>
    <xf numFmtId="9" fontId="0" fillId="13" borderId="2" xfId="4018" applyFont="1" applyFill="1" applyBorder="1" applyAlignment="1">
      <alignment horizontal="center" vertical="center"/>
    </xf>
    <xf numFmtId="9" fontId="0" fillId="13" borderId="1" xfId="4018" applyFont="1" applyFill="1" applyBorder="1" applyAlignment="1">
      <alignment horizontal="center" vertical="center"/>
    </xf>
    <xf numFmtId="0" fontId="53" fillId="0" borderId="46" xfId="0" applyFont="1" applyBorder="1" applyAlignment="1" applyProtection="1">
      <alignment horizontal="center" vertical="center"/>
    </xf>
    <xf numFmtId="3" fontId="53" fillId="3" borderId="73" xfId="0" applyNumberFormat="1" applyFont="1" applyFill="1" applyBorder="1" applyAlignment="1" applyProtection="1">
      <alignment horizontal="center" vertical="center" wrapText="1"/>
    </xf>
    <xf numFmtId="3" fontId="58" fillId="2" borderId="65" xfId="0" applyNumberFormat="1" applyFont="1" applyFill="1" applyBorder="1" applyAlignment="1" applyProtection="1">
      <alignment horizontal="center" vertical="center" wrapText="1"/>
    </xf>
    <xf numFmtId="0" fontId="49" fillId="13" borderId="104" xfId="0" applyFont="1" applyFill="1" applyBorder="1" applyAlignment="1">
      <alignment wrapText="1"/>
    </xf>
    <xf numFmtId="0" fontId="34" fillId="25" borderId="147" xfId="0" applyFont="1" applyFill="1" applyBorder="1" applyAlignment="1" applyProtection="1">
      <alignment horizontal="center" vertical="center" wrapText="1"/>
    </xf>
    <xf numFmtId="1" fontId="49" fillId="13" borderId="103" xfId="0" applyNumberFormat="1" applyFont="1" applyFill="1" applyBorder="1" applyAlignment="1">
      <alignment horizontal="center"/>
    </xf>
    <xf numFmtId="1" fontId="49" fillId="13" borderId="104" xfId="0" applyNumberFormat="1" applyFont="1" applyFill="1" applyBorder="1" applyAlignment="1">
      <alignment horizontal="center"/>
    </xf>
    <xf numFmtId="0" fontId="49" fillId="13" borderId="0" xfId="0" applyFont="1" applyFill="1"/>
    <xf numFmtId="0" fontId="34" fillId="25" borderId="102" xfId="0" applyFont="1" applyFill="1" applyBorder="1" applyAlignment="1" applyProtection="1">
      <alignment horizontal="center" vertical="center" wrapText="1"/>
    </xf>
    <xf numFmtId="0" fontId="76" fillId="13" borderId="0" xfId="0" applyFont="1" applyFill="1" applyBorder="1" applyAlignment="1">
      <alignment horizontal="center" vertical="center"/>
    </xf>
    <xf numFmtId="0" fontId="77" fillId="13" borderId="0" xfId="0" applyFont="1" applyFill="1" applyBorder="1" applyAlignment="1">
      <alignment horizontal="center" vertical="center"/>
    </xf>
    <xf numFmtId="0" fontId="0" fillId="0" borderId="19" xfId="0" applyBorder="1"/>
    <xf numFmtId="0" fontId="0" fillId="0" borderId="17" xfId="0" applyBorder="1"/>
    <xf numFmtId="0" fontId="0" fillId="0" borderId="24" xfId="0" applyBorder="1"/>
    <xf numFmtId="0" fontId="0" fillId="0" borderId="11" xfId="0" applyBorder="1"/>
    <xf numFmtId="0" fontId="0" fillId="0" borderId="12" xfId="0" applyBorder="1"/>
    <xf numFmtId="0" fontId="58" fillId="26" borderId="1" xfId="0" applyFont="1" applyFill="1" applyBorder="1" applyAlignment="1">
      <alignment vertical="center" wrapText="1"/>
    </xf>
    <xf numFmtId="0" fontId="0" fillId="0" borderId="21" xfId="0" applyBorder="1" applyAlignment="1">
      <alignment horizontal="center"/>
    </xf>
    <xf numFmtId="0" fontId="85" fillId="13" borderId="40" xfId="0" applyFont="1" applyFill="1" applyBorder="1" applyAlignment="1">
      <alignment vertical="center"/>
    </xf>
    <xf numFmtId="0" fontId="85" fillId="13" borderId="40" xfId="0" applyFont="1" applyFill="1" applyBorder="1" applyAlignment="1">
      <alignment horizontal="center" vertical="center"/>
    </xf>
    <xf numFmtId="0" fontId="23" fillId="13" borderId="0" xfId="0" applyFont="1" applyFill="1" applyAlignment="1" applyProtection="1">
      <alignment vertical="center"/>
    </xf>
    <xf numFmtId="0" fontId="85" fillId="13" borderId="0" xfId="0" applyFont="1" applyFill="1" applyAlignment="1">
      <alignment vertical="center"/>
    </xf>
    <xf numFmtId="0" fontId="28" fillId="13" borderId="40" xfId="0" applyFont="1" applyFill="1" applyBorder="1" applyAlignment="1">
      <alignment vertical="center"/>
    </xf>
    <xf numFmtId="0" fontId="28" fillId="13" borderId="40" xfId="0" applyFont="1" applyFill="1" applyBorder="1" applyAlignment="1">
      <alignment horizontal="center" vertical="center"/>
    </xf>
    <xf numFmtId="0" fontId="28" fillId="13" borderId="0" xfId="0" applyFont="1" applyFill="1" applyAlignment="1">
      <alignment vertical="center"/>
    </xf>
    <xf numFmtId="0" fontId="28" fillId="13" borderId="0" xfId="0" applyFont="1" applyFill="1" applyBorder="1" applyAlignment="1">
      <alignment vertical="center"/>
    </xf>
    <xf numFmtId="0" fontId="34" fillId="25" borderId="148" xfId="0" applyFont="1" applyFill="1" applyBorder="1" applyAlignment="1">
      <alignment horizontal="center" vertical="center"/>
    </xf>
    <xf numFmtId="0" fontId="24" fillId="31" borderId="123" xfId="0" applyFont="1" applyFill="1" applyBorder="1" applyAlignment="1">
      <alignment horizontal="center" vertical="center" wrapText="1"/>
    </xf>
    <xf numFmtId="0" fontId="34" fillId="25" borderId="123" xfId="0" applyFont="1" applyFill="1" applyBorder="1" applyAlignment="1">
      <alignment horizontal="center" vertical="center"/>
    </xf>
    <xf numFmtId="0" fontId="34" fillId="25" borderId="99" xfId="0" applyFont="1" applyFill="1" applyBorder="1" applyAlignment="1">
      <alignment horizontal="center" vertical="center"/>
    </xf>
    <xf numFmtId="0" fontId="53" fillId="13" borderId="0" xfId="0" applyFont="1" applyFill="1"/>
    <xf numFmtId="0" fontId="0" fillId="0" borderId="14" xfId="0" applyBorder="1" applyAlignment="1">
      <alignment vertical="center"/>
    </xf>
    <xf numFmtId="0" fontId="0" fillId="0" borderId="20" xfId="0" applyBorder="1" applyAlignment="1">
      <alignment vertical="center"/>
    </xf>
    <xf numFmtId="0" fontId="0" fillId="0" borderId="33" xfId="0" applyBorder="1" applyAlignment="1">
      <alignment vertical="center"/>
    </xf>
    <xf numFmtId="1" fontId="0" fillId="17" borderId="1" xfId="0" applyNumberFormat="1" applyFill="1" applyBorder="1" applyAlignment="1">
      <alignment horizontal="center" vertical="center"/>
    </xf>
    <xf numFmtId="0" fontId="64" fillId="0" borderId="17" xfId="3139" applyBorder="1" applyAlignment="1">
      <alignment vertical="center"/>
    </xf>
    <xf numFmtId="0" fontId="64" fillId="0" borderId="0" xfId="3139" applyBorder="1" applyAlignment="1">
      <alignment vertical="center"/>
    </xf>
    <xf numFmtId="0" fontId="64" fillId="0" borderId="12" xfId="3139" applyBorder="1" applyAlignment="1">
      <alignment vertical="center"/>
    </xf>
    <xf numFmtId="0" fontId="0" fillId="0" borderId="22" xfId="0" applyBorder="1" applyAlignment="1">
      <alignment vertical="center"/>
    </xf>
    <xf numFmtId="0" fontId="66" fillId="26" borderId="2" xfId="3139" applyFont="1" applyFill="1" applyBorder="1" applyAlignment="1">
      <alignment horizontal="center" vertical="center"/>
    </xf>
    <xf numFmtId="0" fontId="64" fillId="0" borderId="19" xfId="3139" applyBorder="1" applyAlignment="1">
      <alignment horizontal="center" vertical="center"/>
    </xf>
    <xf numFmtId="0" fontId="64" fillId="0" borderId="24" xfId="3139" applyBorder="1" applyAlignment="1">
      <alignment horizontal="center" vertical="center"/>
    </xf>
    <xf numFmtId="0" fontId="64" fillId="0" borderId="11" xfId="3139" applyBorder="1" applyAlignment="1">
      <alignment horizontal="center" vertical="center"/>
    </xf>
    <xf numFmtId="0" fontId="88" fillId="13" borderId="0" xfId="0" applyFont="1" applyFill="1" applyAlignment="1">
      <alignment vertical="center"/>
    </xf>
    <xf numFmtId="0" fontId="88" fillId="13" borderId="0" xfId="0" applyFont="1" applyFill="1" applyAlignment="1">
      <alignment horizontal="left" vertical="center"/>
    </xf>
    <xf numFmtId="0" fontId="27" fillId="13" borderId="0" xfId="0" applyFont="1" applyFill="1" applyAlignment="1">
      <alignment horizontal="left" vertical="center"/>
    </xf>
    <xf numFmtId="0" fontId="28" fillId="13" borderId="0" xfId="0" applyFont="1" applyFill="1" applyAlignment="1">
      <alignment horizontal="left" vertical="center"/>
    </xf>
    <xf numFmtId="0" fontId="28" fillId="13" borderId="0" xfId="0" applyFont="1" applyFill="1" applyBorder="1" applyAlignment="1">
      <alignment horizontal="left" vertical="center"/>
    </xf>
    <xf numFmtId="0" fontId="27" fillId="13" borderId="0" xfId="0" applyFont="1" applyFill="1" applyAlignment="1">
      <alignment vertical="center"/>
    </xf>
    <xf numFmtId="0" fontId="27" fillId="13" borderId="0" xfId="0" applyFont="1" applyFill="1" applyAlignment="1">
      <alignment horizontal="center" vertical="center"/>
    </xf>
    <xf numFmtId="0" fontId="28" fillId="13" borderId="0" xfId="0" applyFont="1" applyFill="1" applyAlignment="1">
      <alignment horizontal="center" vertical="center"/>
    </xf>
    <xf numFmtId="0" fontId="65" fillId="0" borderId="0" xfId="3139" applyFont="1" applyAlignment="1">
      <alignment vertical="center"/>
    </xf>
    <xf numFmtId="0" fontId="66" fillId="26" borderId="17" xfId="3139" applyFont="1" applyFill="1" applyBorder="1" applyAlignment="1">
      <alignment vertical="center"/>
    </xf>
    <xf numFmtId="0" fontId="64" fillId="26" borderId="17" xfId="3139" applyFill="1" applyBorder="1" applyAlignment="1">
      <alignment vertical="center"/>
    </xf>
    <xf numFmtId="0" fontId="0" fillId="26" borderId="20" xfId="0" applyFill="1" applyBorder="1" applyAlignment="1">
      <alignment vertical="center"/>
    </xf>
    <xf numFmtId="0" fontId="64" fillId="0" borderId="3" xfId="3139" applyBorder="1" applyAlignment="1">
      <alignment vertical="center"/>
    </xf>
    <xf numFmtId="0" fontId="117" fillId="26" borderId="19" xfId="3139" applyFont="1" applyFill="1" applyBorder="1" applyAlignment="1">
      <alignment horizontal="center" vertical="center"/>
    </xf>
    <xf numFmtId="0" fontId="78" fillId="0" borderId="2" xfId="3139" applyFont="1" applyBorder="1" applyAlignment="1">
      <alignment horizontal="center" vertical="center"/>
    </xf>
    <xf numFmtId="0" fontId="78" fillId="0" borderId="0" xfId="3139" applyFont="1" applyAlignment="1">
      <alignment horizontal="center" vertical="center"/>
    </xf>
    <xf numFmtId="0" fontId="117" fillId="26" borderId="2" xfId="3139" applyFont="1" applyFill="1" applyBorder="1" applyAlignment="1">
      <alignment horizontal="center" vertical="center"/>
    </xf>
    <xf numFmtId="0" fontId="78" fillId="0" borderId="19" xfId="3139" applyFont="1" applyBorder="1" applyAlignment="1">
      <alignment horizontal="center" vertical="center"/>
    </xf>
    <xf numFmtId="0" fontId="64" fillId="0" borderId="2" xfId="3139" applyBorder="1" applyAlignment="1">
      <alignment horizontal="center" vertical="center"/>
    </xf>
    <xf numFmtId="9" fontId="0" fillId="13" borderId="1" xfId="4017" applyFont="1" applyFill="1" applyBorder="1" applyAlignment="1">
      <alignment horizontal="center" vertical="center"/>
    </xf>
    <xf numFmtId="3" fontId="0" fillId="0" borderId="1" xfId="0" applyNumberFormat="1" applyBorder="1" applyAlignment="1">
      <alignment horizontal="center" vertical="center"/>
    </xf>
    <xf numFmtId="0" fontId="78" fillId="13" borderId="0" xfId="3139" applyFont="1" applyFill="1" applyAlignment="1">
      <alignment vertical="center"/>
    </xf>
    <xf numFmtId="0" fontId="30" fillId="26" borderId="14" xfId="0" applyFont="1" applyFill="1" applyBorder="1" applyAlignment="1">
      <alignment vertical="center"/>
    </xf>
    <xf numFmtId="0" fontId="116" fillId="13" borderId="0" xfId="3137" applyFont="1" applyFill="1" applyAlignment="1">
      <alignment vertical="center"/>
    </xf>
    <xf numFmtId="0" fontId="64" fillId="13" borderId="0" xfId="3139" applyFill="1" applyAlignment="1">
      <alignment vertical="center"/>
    </xf>
    <xf numFmtId="0" fontId="75" fillId="13" borderId="0" xfId="3137" applyFont="1" applyFill="1" applyAlignment="1">
      <alignment horizontal="left" vertical="center" wrapText="1"/>
    </xf>
    <xf numFmtId="0" fontId="62" fillId="13" borderId="0" xfId="3137" applyFill="1" applyAlignment="1">
      <alignment vertical="center"/>
    </xf>
    <xf numFmtId="9" fontId="0" fillId="0" borderId="14" xfId="4017" applyFont="1" applyBorder="1" applyAlignment="1">
      <alignment horizontal="center" vertical="center"/>
    </xf>
    <xf numFmtId="168" fontId="0" fillId="17" borderId="1" xfId="0" applyNumberFormat="1" applyFill="1" applyBorder="1" applyAlignment="1">
      <alignment horizontal="center" vertical="center"/>
    </xf>
    <xf numFmtId="0" fontId="69" fillId="13" borderId="0" xfId="3139" applyFont="1" applyFill="1" applyBorder="1" applyAlignment="1">
      <alignment horizontal="left" vertical="center" wrapText="1"/>
    </xf>
    <xf numFmtId="168" fontId="69" fillId="13" borderId="0" xfId="3139" applyNumberFormat="1" applyFont="1" applyFill="1" applyBorder="1" applyAlignment="1">
      <alignment horizontal="center" vertical="center"/>
    </xf>
    <xf numFmtId="168" fontId="64" fillId="13" borderId="0" xfId="3139" applyNumberFormat="1" applyFont="1" applyFill="1" applyBorder="1" applyAlignment="1">
      <alignment horizontal="center"/>
    </xf>
    <xf numFmtId="168" fontId="64" fillId="13" borderId="0" xfId="3139" quotePrefix="1" applyNumberFormat="1" applyFill="1" applyBorder="1" applyAlignment="1">
      <alignment horizontal="center"/>
    </xf>
    <xf numFmtId="168" fontId="64" fillId="13" borderId="0" xfId="3139" applyNumberFormat="1" applyFill="1" applyBorder="1" applyAlignment="1">
      <alignment horizontal="center"/>
    </xf>
    <xf numFmtId="0" fontId="0" fillId="0" borderId="0" xfId="0" applyFill="1" applyBorder="1"/>
    <xf numFmtId="3" fontId="64" fillId="17" borderId="1" xfId="3139" applyNumberFormat="1" applyFill="1" applyBorder="1" applyAlignment="1">
      <alignment horizontal="center" vertical="center"/>
    </xf>
    <xf numFmtId="0" fontId="64" fillId="17" borderId="1" xfId="3139" applyFill="1" applyBorder="1" applyAlignment="1">
      <alignment horizontal="center" vertical="center"/>
    </xf>
    <xf numFmtId="0" fontId="64" fillId="17" borderId="1" xfId="3139" applyFont="1" applyFill="1" applyBorder="1" applyAlignment="1">
      <alignment horizontal="center" vertical="center"/>
    </xf>
    <xf numFmtId="0" fontId="0" fillId="0" borderId="2" xfId="0" applyBorder="1" applyAlignment="1">
      <alignment horizontal="center" vertical="center"/>
    </xf>
    <xf numFmtId="1" fontId="9" fillId="18" borderId="1" xfId="0" applyNumberFormat="1" applyFont="1" applyFill="1" applyBorder="1" applyAlignment="1">
      <alignment horizontal="center" vertical="center"/>
    </xf>
    <xf numFmtId="1" fontId="9" fillId="22" borderId="1" xfId="0" applyNumberFormat="1" applyFont="1" applyFill="1" applyBorder="1" applyAlignment="1">
      <alignment horizontal="center" vertical="center"/>
    </xf>
    <xf numFmtId="173" fontId="107" fillId="0" borderId="65" xfId="0" applyNumberFormat="1" applyFont="1" applyBorder="1" applyAlignment="1" applyProtection="1">
      <alignment horizontal="center" vertical="center"/>
    </xf>
    <xf numFmtId="1" fontId="0" fillId="13" borderId="0" xfId="0" applyNumberFormat="1" applyFont="1" applyFill="1" applyAlignment="1">
      <alignment horizontal="center"/>
    </xf>
    <xf numFmtId="3" fontId="107" fillId="24" borderId="34" xfId="0" applyNumberFormat="1" applyFont="1" applyFill="1" applyBorder="1" applyAlignment="1" applyProtection="1">
      <alignment horizontal="center" vertical="center"/>
    </xf>
    <xf numFmtId="0" fontId="107" fillId="0" borderId="46" xfId="0" applyNumberFormat="1" applyFont="1" applyBorder="1" applyAlignment="1" applyProtection="1">
      <alignment horizontal="left" vertical="center"/>
    </xf>
    <xf numFmtId="0" fontId="107" fillId="0" borderId="46" xfId="0" applyNumberFormat="1" applyFont="1" applyBorder="1" applyAlignment="1" applyProtection="1">
      <alignment horizontal="center" vertical="center"/>
    </xf>
    <xf numFmtId="173" fontId="107" fillId="0" borderId="46" xfId="0" applyNumberFormat="1" applyFont="1" applyBorder="1" applyAlignment="1" applyProtection="1">
      <alignment horizontal="center" vertical="center"/>
    </xf>
    <xf numFmtId="3" fontId="107" fillId="24" borderId="46" xfId="0" applyNumberFormat="1" applyFont="1" applyFill="1" applyBorder="1" applyAlignment="1" applyProtection="1">
      <alignment horizontal="center" vertical="center"/>
    </xf>
    <xf numFmtId="3" fontId="107" fillId="26" borderId="46" xfId="0" applyNumberFormat="1" applyFont="1" applyFill="1" applyBorder="1" applyAlignment="1" applyProtection="1">
      <alignment horizontal="center" vertical="center"/>
    </xf>
    <xf numFmtId="3" fontId="107" fillId="28" borderId="46" xfId="0" applyNumberFormat="1" applyFont="1" applyFill="1" applyBorder="1" applyAlignment="1" applyProtection="1">
      <alignment horizontal="center" vertical="center"/>
    </xf>
    <xf numFmtId="3" fontId="107" fillId="23" borderId="46" xfId="0" applyNumberFormat="1" applyFont="1" applyFill="1" applyBorder="1" applyAlignment="1" applyProtection="1">
      <alignment horizontal="center" vertical="center"/>
    </xf>
    <xf numFmtId="0" fontId="107" fillId="0" borderId="46" xfId="0" applyFont="1" applyBorder="1" applyAlignment="1" applyProtection="1">
      <alignment horizontal="left" vertical="center"/>
    </xf>
    <xf numFmtId="1" fontId="107" fillId="0" borderId="46" xfId="0" applyNumberFormat="1" applyFont="1" applyBorder="1" applyAlignment="1" applyProtection="1">
      <alignment horizontal="center" vertical="center"/>
    </xf>
    <xf numFmtId="0" fontId="107" fillId="0" borderId="46" xfId="0" applyFont="1" applyBorder="1" applyAlignment="1" applyProtection="1">
      <alignment horizontal="center" vertical="center"/>
    </xf>
    <xf numFmtId="1" fontId="107" fillId="24" borderId="46" xfId="0" applyNumberFormat="1" applyFont="1" applyFill="1" applyBorder="1" applyAlignment="1" applyProtection="1">
      <alignment horizontal="center" vertical="center"/>
    </xf>
    <xf numFmtId="1" fontId="107" fillId="26" borderId="46" xfId="0" applyNumberFormat="1" applyFont="1" applyFill="1" applyBorder="1" applyAlignment="1" applyProtection="1">
      <alignment horizontal="center" vertical="center"/>
    </xf>
    <xf numFmtId="1" fontId="107" fillId="28" borderId="46" xfId="0" applyNumberFormat="1" applyFont="1" applyFill="1" applyBorder="1" applyAlignment="1" applyProtection="1">
      <alignment horizontal="center" vertical="center"/>
    </xf>
    <xf numFmtId="1" fontId="107" fillId="23" borderId="46" xfId="0" applyNumberFormat="1" applyFont="1" applyFill="1" applyBorder="1" applyAlignment="1" applyProtection="1">
      <alignment horizontal="center" vertical="center"/>
    </xf>
    <xf numFmtId="1" fontId="107" fillId="0" borderId="46" xfId="0" applyNumberFormat="1" applyFont="1" applyBorder="1" applyAlignment="1" applyProtection="1">
      <alignment vertical="center"/>
    </xf>
    <xf numFmtId="1" fontId="0" fillId="26" borderId="46" xfId="0" applyNumberFormat="1" applyFont="1" applyFill="1" applyBorder="1" applyAlignment="1">
      <alignment horizontal="center"/>
    </xf>
    <xf numFmtId="1" fontId="0" fillId="23" borderId="46" xfId="0" applyNumberFormat="1" applyFont="1" applyFill="1" applyBorder="1" applyAlignment="1">
      <alignment horizontal="center"/>
    </xf>
    <xf numFmtId="1" fontId="0" fillId="28" borderId="46" xfId="0" applyNumberFormat="1" applyFont="1" applyFill="1" applyBorder="1" applyAlignment="1">
      <alignment horizontal="center"/>
    </xf>
    <xf numFmtId="0" fontId="107" fillId="0" borderId="155" xfId="0" applyNumberFormat="1" applyFont="1" applyBorder="1" applyAlignment="1" applyProtection="1">
      <alignment horizontal="left" vertical="center"/>
    </xf>
    <xf numFmtId="0" fontId="107" fillId="0" borderId="155" xfId="0" applyFont="1" applyBorder="1" applyAlignment="1" applyProtection="1">
      <alignment horizontal="center" vertical="center"/>
    </xf>
    <xf numFmtId="1" fontId="107" fillId="0" borderId="155" xfId="0" applyNumberFormat="1" applyFont="1" applyBorder="1" applyAlignment="1" applyProtection="1">
      <alignment horizontal="center" vertical="center"/>
    </xf>
    <xf numFmtId="0" fontId="107" fillId="26" borderId="155" xfId="0" applyFont="1" applyFill="1" applyBorder="1" applyAlignment="1" applyProtection="1">
      <alignment horizontal="center" vertical="center"/>
    </xf>
    <xf numFmtId="3" fontId="107" fillId="24" borderId="155" xfId="0" applyNumberFormat="1" applyFont="1" applyFill="1" applyBorder="1" applyAlignment="1" applyProtection="1">
      <alignment horizontal="center" vertical="center"/>
    </xf>
    <xf numFmtId="3" fontId="107" fillId="28" borderId="155" xfId="0" applyNumberFormat="1" applyFont="1" applyFill="1" applyBorder="1" applyAlignment="1" applyProtection="1">
      <alignment horizontal="center" vertical="center"/>
    </xf>
    <xf numFmtId="3" fontId="107" fillId="23" borderId="155" xfId="0" applyNumberFormat="1" applyFont="1" applyFill="1" applyBorder="1" applyAlignment="1" applyProtection="1">
      <alignment horizontal="center" vertical="center"/>
    </xf>
    <xf numFmtId="0" fontId="34" fillId="25" borderId="98" xfId="0" applyFont="1" applyFill="1" applyBorder="1" applyAlignment="1" applyProtection="1">
      <alignment horizontal="center" vertical="center" wrapText="1"/>
    </xf>
    <xf numFmtId="0" fontId="34" fillId="25" borderId="97" xfId="0" applyFont="1" applyFill="1" applyBorder="1" applyAlignment="1" applyProtection="1">
      <alignment horizontal="center" vertical="center" wrapText="1"/>
    </xf>
    <xf numFmtId="0" fontId="34" fillId="25" borderId="97" xfId="0" applyFont="1" applyFill="1" applyBorder="1" applyAlignment="1" applyProtection="1">
      <alignment horizontal="center" vertical="center"/>
    </xf>
    <xf numFmtId="0" fontId="34" fillId="25" borderId="156" xfId="0" applyFont="1" applyFill="1" applyBorder="1" applyAlignment="1" applyProtection="1">
      <alignment horizontal="center" vertical="center" wrapText="1"/>
    </xf>
    <xf numFmtId="0" fontId="34" fillId="25" borderId="118" xfId="0" applyFont="1" applyFill="1" applyBorder="1" applyAlignment="1" applyProtection="1">
      <alignment horizontal="center" vertical="center" wrapText="1"/>
    </xf>
    <xf numFmtId="0" fontId="34" fillId="25" borderId="102" xfId="0" applyFont="1" applyFill="1" applyBorder="1" applyAlignment="1" applyProtection="1">
      <alignment horizontal="center" vertical="center"/>
    </xf>
    <xf numFmtId="0" fontId="0" fillId="28" borderId="46" xfId="0" applyFont="1" applyFill="1" applyBorder="1" applyAlignment="1">
      <alignment horizontal="center"/>
    </xf>
    <xf numFmtId="3" fontId="0" fillId="28" borderId="46" xfId="0" applyNumberFormat="1" applyFont="1" applyFill="1" applyBorder="1" applyAlignment="1">
      <alignment horizontal="center"/>
    </xf>
    <xf numFmtId="0" fontId="107" fillId="0" borderId="0" xfId="0" applyFont="1" applyBorder="1" applyAlignment="1" applyProtection="1">
      <alignment horizontal="center" vertical="center"/>
    </xf>
    <xf numFmtId="1" fontId="107" fillId="13" borderId="46" xfId="0" applyNumberFormat="1" applyFont="1" applyFill="1" applyBorder="1" applyAlignment="1" applyProtection="1">
      <alignment horizontal="center" vertical="center"/>
    </xf>
    <xf numFmtId="3" fontId="107" fillId="13" borderId="46" xfId="0" applyNumberFormat="1" applyFont="1" applyFill="1" applyBorder="1" applyAlignment="1" applyProtection="1">
      <alignment horizontal="left" vertical="center"/>
    </xf>
    <xf numFmtId="0" fontId="34" fillId="25" borderId="157" xfId="0" applyFont="1" applyFill="1" applyBorder="1" applyAlignment="1" applyProtection="1">
      <alignment horizontal="center" vertical="center" wrapText="1"/>
    </xf>
    <xf numFmtId="0" fontId="34" fillId="25" borderId="69" xfId="0" applyFont="1" applyFill="1" applyBorder="1" applyAlignment="1" applyProtection="1">
      <alignment horizontal="center" vertical="center" wrapText="1"/>
    </xf>
    <xf numFmtId="0" fontId="34" fillId="25" borderId="158" xfId="0" applyFont="1" applyFill="1" applyBorder="1" applyAlignment="1" applyProtection="1">
      <alignment horizontal="center" vertical="center" wrapText="1"/>
    </xf>
    <xf numFmtId="1" fontId="49" fillId="13" borderId="46" xfId="0" applyNumberFormat="1" applyFont="1" applyFill="1" applyBorder="1" applyAlignment="1">
      <alignment horizontal="center"/>
    </xf>
    <xf numFmtId="2" fontId="0" fillId="13" borderId="0" xfId="0" applyNumberFormat="1" applyFill="1"/>
    <xf numFmtId="0" fontId="105" fillId="13" borderId="0" xfId="0" applyFont="1" applyFill="1" applyAlignment="1">
      <alignment vertical="top" wrapText="1"/>
    </xf>
    <xf numFmtId="0" fontId="19" fillId="16" borderId="26" xfId="0" applyFont="1" applyFill="1" applyBorder="1" applyAlignment="1" applyProtection="1">
      <alignment horizontal="center" vertical="center" wrapText="1"/>
      <protection locked="0"/>
    </xf>
    <xf numFmtId="0" fontId="0" fillId="13" borderId="0" xfId="0" applyFill="1" applyAlignment="1" applyProtection="1">
      <alignment vertical="top" wrapText="1"/>
      <protection locked="0"/>
    </xf>
    <xf numFmtId="0" fontId="9" fillId="22" borderId="61" xfId="3137" applyFont="1" applyFill="1" applyBorder="1" applyAlignment="1">
      <alignment horizontal="left" vertical="top" wrapText="1"/>
    </xf>
    <xf numFmtId="0" fontId="0" fillId="13" borderId="61" xfId="0" applyFill="1" applyBorder="1"/>
    <xf numFmtId="0" fontId="0" fillId="13" borderId="57" xfId="0" applyFill="1" applyBorder="1"/>
    <xf numFmtId="0" fontId="32" fillId="25" borderId="159" xfId="0" applyFont="1" applyFill="1" applyBorder="1" applyAlignment="1">
      <alignment horizontal="center" vertical="center"/>
    </xf>
    <xf numFmtId="0" fontId="0" fillId="3" borderId="0" xfId="0" applyFill="1"/>
    <xf numFmtId="0" fontId="0" fillId="0" borderId="0" xfId="0" applyFont="1" applyAlignment="1">
      <alignment horizontal="left" vertical="center"/>
    </xf>
    <xf numFmtId="0" fontId="53" fillId="26" borderId="3" xfId="0" applyFont="1" applyFill="1" applyBorder="1" applyAlignment="1">
      <alignment vertical="center"/>
    </xf>
    <xf numFmtId="0" fontId="0" fillId="13" borderId="17" xfId="0" applyFill="1" applyBorder="1" applyAlignment="1">
      <alignment vertical="center"/>
    </xf>
    <xf numFmtId="0" fontId="0" fillId="13" borderId="12" xfId="0" applyFill="1" applyBorder="1" applyAlignment="1">
      <alignment vertical="center"/>
    </xf>
    <xf numFmtId="0" fontId="0" fillId="13" borderId="0" xfId="0" applyFont="1" applyFill="1" applyBorder="1" applyAlignment="1">
      <alignment horizontal="left" vertical="center"/>
    </xf>
    <xf numFmtId="0" fontId="34" fillId="25" borderId="123" xfId="0" applyFont="1" applyFill="1" applyBorder="1" applyAlignment="1" applyProtection="1">
      <alignment horizontal="center" vertical="center"/>
    </xf>
    <xf numFmtId="0" fontId="0" fillId="13" borderId="60" xfId="0" applyFill="1" applyBorder="1"/>
    <xf numFmtId="0" fontId="0" fillId="13" borderId="50" xfId="0" applyFont="1" applyFill="1" applyBorder="1"/>
    <xf numFmtId="1" fontId="49" fillId="13" borderId="0" xfId="0" applyNumberFormat="1" applyFont="1" applyFill="1" applyAlignment="1">
      <alignment horizontal="center"/>
    </xf>
    <xf numFmtId="0" fontId="34" fillId="25" borderId="32" xfId="0" applyFont="1" applyFill="1" applyBorder="1" applyAlignment="1" applyProtection="1">
      <alignment horizontal="center" vertical="center"/>
    </xf>
    <xf numFmtId="0" fontId="107" fillId="13" borderId="46" xfId="0" applyFont="1" applyFill="1" applyBorder="1" applyAlignment="1" applyProtection="1">
      <alignment horizontal="center" vertical="center"/>
    </xf>
    <xf numFmtId="0" fontId="34" fillId="25" borderId="148" xfId="0" applyFont="1" applyFill="1" applyBorder="1" applyAlignment="1" applyProtection="1">
      <alignment horizontal="center" vertical="center"/>
    </xf>
    <xf numFmtId="0" fontId="34" fillId="25" borderId="99" xfId="0" applyFont="1" applyFill="1" applyBorder="1" applyAlignment="1" applyProtection="1">
      <alignment horizontal="center" vertical="center"/>
    </xf>
    <xf numFmtId="0" fontId="0" fillId="13" borderId="46" xfId="0" applyFill="1" applyBorder="1"/>
    <xf numFmtId="0" fontId="28" fillId="13" borderId="0" xfId="0" applyFont="1" applyFill="1" applyAlignment="1">
      <alignment wrapText="1"/>
    </xf>
    <xf numFmtId="0" fontId="136" fillId="13" borderId="0" xfId="0" applyFont="1" applyFill="1" applyAlignment="1"/>
    <xf numFmtId="0" fontId="28" fillId="13" borderId="0" xfId="0" applyFont="1" applyFill="1" applyAlignment="1">
      <alignment horizontal="left" wrapText="1"/>
    </xf>
    <xf numFmtId="0" fontId="141" fillId="13" borderId="0" xfId="0" applyFont="1" applyFill="1"/>
    <xf numFmtId="0" fontId="136" fillId="13" borderId="0" xfId="0" applyFont="1" applyFill="1"/>
    <xf numFmtId="0" fontId="136" fillId="13" borderId="0" xfId="0" applyFont="1" applyFill="1" applyBorder="1"/>
    <xf numFmtId="0" fontId="136" fillId="13" borderId="0" xfId="0" applyFont="1" applyFill="1" applyAlignment="1">
      <alignment vertical="center"/>
    </xf>
    <xf numFmtId="0" fontId="136" fillId="13" borderId="0" xfId="0" applyFont="1" applyFill="1" applyBorder="1" applyAlignment="1">
      <alignment vertical="center"/>
    </xf>
    <xf numFmtId="0" fontId="32" fillId="25" borderId="47" xfId="0" applyFont="1" applyFill="1" applyBorder="1" applyAlignment="1">
      <alignment horizontal="center" vertical="center"/>
    </xf>
    <xf numFmtId="0" fontId="34" fillId="25" borderId="26" xfId="0" applyFont="1" applyFill="1" applyBorder="1" applyAlignment="1" applyProtection="1">
      <alignment horizontal="center" vertical="center"/>
    </xf>
    <xf numFmtId="1" fontId="49" fillId="26" borderId="46" xfId="0" applyNumberFormat="1" applyFont="1" applyFill="1" applyBorder="1" applyAlignment="1">
      <alignment horizontal="center"/>
    </xf>
    <xf numFmtId="1" fontId="49" fillId="23" borderId="46" xfId="0" applyNumberFormat="1" applyFont="1" applyFill="1" applyBorder="1" applyAlignment="1">
      <alignment horizontal="center"/>
    </xf>
    <xf numFmtId="1" fontId="49" fillId="28" borderId="46" xfId="0" applyNumberFormat="1" applyFont="1" applyFill="1" applyBorder="1" applyAlignment="1">
      <alignment horizontal="center"/>
    </xf>
    <xf numFmtId="1" fontId="107" fillId="0" borderId="46" xfId="0" applyNumberFormat="1" applyFont="1" applyBorder="1" applyAlignment="1" applyProtection="1">
      <alignment horizontal="left" vertical="center"/>
    </xf>
    <xf numFmtId="1" fontId="107" fillId="26" borderId="46" xfId="0" applyNumberFormat="1" applyFont="1" applyFill="1" applyBorder="1" applyAlignment="1">
      <alignment horizontal="center"/>
    </xf>
    <xf numFmtId="1" fontId="107" fillId="23" borderId="46" xfId="0" applyNumberFormat="1" applyFont="1" applyFill="1" applyBorder="1" applyAlignment="1">
      <alignment horizontal="center"/>
    </xf>
    <xf numFmtId="1" fontId="107" fillId="28" borderId="46" xfId="0" applyNumberFormat="1" applyFont="1" applyFill="1" applyBorder="1" applyAlignment="1">
      <alignment horizontal="center"/>
    </xf>
    <xf numFmtId="1" fontId="0" fillId="13" borderId="0" xfId="0" applyNumberFormat="1" applyFont="1" applyFill="1" applyBorder="1" applyAlignment="1">
      <alignment horizontal="center"/>
    </xf>
    <xf numFmtId="9" fontId="107" fillId="13" borderId="46" xfId="4018" applyFont="1" applyFill="1" applyBorder="1" applyAlignment="1" applyProtection="1">
      <alignment horizontal="center" vertical="center"/>
    </xf>
    <xf numFmtId="0" fontId="0" fillId="24" borderId="46" xfId="0" applyFont="1" applyFill="1" applyBorder="1" applyAlignment="1">
      <alignment horizontal="center"/>
    </xf>
    <xf numFmtId="0" fontId="65" fillId="0" borderId="0" xfId="3139" applyFont="1"/>
    <xf numFmtId="0" fontId="101" fillId="0" borderId="0" xfId="0" applyFont="1"/>
    <xf numFmtId="0" fontId="64" fillId="0" borderId="0" xfId="3139" applyFont="1"/>
    <xf numFmtId="0" fontId="53" fillId="26" borderId="24" xfId="0" applyFont="1" applyFill="1" applyBorder="1" applyAlignment="1">
      <alignment vertical="center"/>
    </xf>
    <xf numFmtId="0" fontId="53" fillId="26" borderId="16" xfId="0" applyFont="1" applyFill="1" applyBorder="1" applyAlignment="1">
      <alignment horizontal="center" vertical="center"/>
    </xf>
    <xf numFmtId="0" fontId="53" fillId="26" borderId="1" xfId="0" applyFont="1" applyFill="1" applyBorder="1" applyAlignment="1">
      <alignment horizontal="center" vertical="center"/>
    </xf>
    <xf numFmtId="0" fontId="53" fillId="26" borderId="20" xfId="0" applyFont="1" applyFill="1" applyBorder="1" applyAlignment="1">
      <alignment horizontal="center" vertical="center"/>
    </xf>
    <xf numFmtId="0" fontId="53" fillId="26" borderId="1" xfId="0" applyFont="1" applyFill="1" applyBorder="1" applyAlignment="1">
      <alignment vertical="center"/>
    </xf>
    <xf numFmtId="0" fontId="53" fillId="26" borderId="2" xfId="0" applyFont="1" applyFill="1" applyBorder="1" applyAlignment="1">
      <alignment horizontal="center" vertical="center"/>
    </xf>
    <xf numFmtId="0" fontId="53" fillId="26" borderId="2" xfId="0" applyFont="1" applyFill="1" applyBorder="1" applyAlignment="1">
      <alignment vertical="center"/>
    </xf>
    <xf numFmtId="0" fontId="53" fillId="26" borderId="19" xfId="0" applyFont="1" applyFill="1" applyBorder="1" applyAlignment="1">
      <alignment horizontal="center" vertical="center"/>
    </xf>
    <xf numFmtId="0" fontId="0" fillId="17" borderId="1" xfId="0" applyFill="1" applyBorder="1" applyAlignment="1">
      <alignment horizontal="center" vertical="center" wrapText="1"/>
    </xf>
    <xf numFmtId="0" fontId="30" fillId="0" borderId="0" xfId="0" applyFont="1"/>
    <xf numFmtId="0" fontId="116" fillId="13" borderId="0" xfId="3137" applyFont="1" applyFill="1" applyBorder="1" applyAlignment="1">
      <alignment horizontal="left" vertical="top"/>
    </xf>
    <xf numFmtId="0" fontId="78" fillId="0" borderId="0" xfId="3139" applyFont="1"/>
    <xf numFmtId="3" fontId="53" fillId="13" borderId="1" xfId="3137" applyNumberFormat="1" applyFont="1" applyFill="1" applyBorder="1" applyAlignment="1">
      <alignment horizontal="center" vertical="center" wrapText="1"/>
    </xf>
    <xf numFmtId="0" fontId="103" fillId="13" borderId="0" xfId="0" applyFont="1" applyFill="1" applyBorder="1" applyAlignment="1">
      <alignment horizontal="center" vertical="center"/>
    </xf>
    <xf numFmtId="0" fontId="32" fillId="25" borderId="84" xfId="0" applyFont="1" applyFill="1" applyBorder="1" applyAlignment="1">
      <alignment horizontal="center" vertical="center"/>
    </xf>
    <xf numFmtId="0" fontId="146" fillId="22" borderId="0" xfId="3137" applyFont="1" applyFill="1" applyAlignment="1">
      <alignment horizontal="left" vertical="top"/>
    </xf>
    <xf numFmtId="0" fontId="146" fillId="22" borderId="0" xfId="3137" applyFont="1" applyFill="1" applyAlignment="1">
      <alignment horizontal="left" vertical="top" wrapText="1"/>
    </xf>
    <xf numFmtId="0" fontId="136" fillId="22" borderId="0" xfId="3137" applyFont="1" applyFill="1" applyAlignment="1">
      <alignment vertical="top"/>
    </xf>
    <xf numFmtId="0" fontId="28" fillId="3" borderId="0" xfId="0" applyFont="1" applyFill="1"/>
    <xf numFmtId="0" fontId="136" fillId="22" borderId="0" xfId="3137" applyFont="1" applyFill="1" applyAlignment="1">
      <alignment horizontal="left" vertical="top" wrapText="1"/>
    </xf>
    <xf numFmtId="0" fontId="146" fillId="18" borderId="0" xfId="3137" applyFont="1" applyFill="1" applyAlignment="1">
      <alignment horizontal="left" vertical="top" wrapText="1"/>
    </xf>
    <xf numFmtId="0" fontId="146" fillId="18" borderId="0" xfId="3137" applyFont="1" applyFill="1" applyAlignment="1">
      <alignment vertical="top"/>
    </xf>
    <xf numFmtId="0" fontId="28" fillId="13" borderId="0" xfId="0" applyFont="1" applyFill="1" applyAlignment="1">
      <alignment vertical="top"/>
    </xf>
    <xf numFmtId="0" fontId="149" fillId="13" borderId="0" xfId="0" applyFont="1" applyFill="1"/>
    <xf numFmtId="0" fontId="150" fillId="13" borderId="0" xfId="0" applyFont="1" applyFill="1"/>
    <xf numFmtId="1" fontId="149" fillId="0" borderId="46" xfId="0" applyNumberFormat="1" applyFont="1" applyBorder="1" applyAlignment="1" applyProtection="1">
      <alignment horizontal="center" vertical="center"/>
    </xf>
    <xf numFmtId="0" fontId="32" fillId="5" borderId="21" xfId="0" applyFont="1" applyFill="1" applyBorder="1" applyAlignment="1">
      <alignment horizontal="center" vertical="center" wrapText="1"/>
    </xf>
    <xf numFmtId="164" fontId="58" fillId="23" borderId="21" xfId="0" applyNumberFormat="1" applyFont="1" applyFill="1" applyBorder="1" applyAlignment="1">
      <alignment horizontal="center" vertical="center" wrapText="1"/>
    </xf>
    <xf numFmtId="0" fontId="18" fillId="7" borderId="46" xfId="0" applyFont="1" applyFill="1" applyBorder="1" applyAlignment="1">
      <alignment horizontal="center" vertical="center"/>
    </xf>
    <xf numFmtId="0" fontId="10" fillId="17" borderId="46" xfId="0" applyFont="1" applyFill="1" applyBorder="1" applyAlignment="1">
      <alignment horizontal="center" vertical="center" wrapText="1"/>
    </xf>
    <xf numFmtId="0" fontId="50" fillId="30" borderId="61" xfId="0" applyFont="1" applyFill="1" applyBorder="1" applyAlignment="1">
      <alignment vertical="center"/>
    </xf>
    <xf numFmtId="0" fontId="50" fillId="30" borderId="57" xfId="0" applyFont="1" applyFill="1" applyBorder="1" applyAlignment="1">
      <alignment vertical="center"/>
    </xf>
    <xf numFmtId="0" fontId="50" fillId="30" borderId="51" xfId="0" applyFont="1" applyFill="1" applyBorder="1" applyAlignment="1">
      <alignment vertical="center"/>
    </xf>
    <xf numFmtId="0" fontId="50" fillId="30" borderId="52" xfId="0" applyFont="1" applyFill="1" applyBorder="1" applyAlignment="1">
      <alignment vertical="center"/>
    </xf>
    <xf numFmtId="0" fontId="32" fillId="25" borderId="162" xfId="0" applyFont="1" applyFill="1" applyBorder="1" applyAlignment="1">
      <alignment horizontal="center" vertical="center"/>
    </xf>
    <xf numFmtId="0" fontId="136" fillId="13" borderId="0" xfId="0" applyFont="1" applyFill="1" applyAlignment="1">
      <alignment horizontal="center" wrapText="1"/>
    </xf>
    <xf numFmtId="0" fontId="28" fillId="13" borderId="0" xfId="0" applyFont="1" applyFill="1" applyAlignment="1">
      <alignment vertical="top" wrapText="1"/>
    </xf>
    <xf numFmtId="0" fontId="32" fillId="25" borderId="47" xfId="0" applyFont="1" applyFill="1" applyBorder="1" applyAlignment="1">
      <alignment horizontal="center" vertical="center"/>
    </xf>
    <xf numFmtId="0" fontId="86" fillId="25" borderId="0" xfId="0" applyFont="1" applyFill="1" applyBorder="1" applyAlignment="1">
      <alignment horizontal="center" vertical="center"/>
    </xf>
    <xf numFmtId="0" fontId="34" fillId="25" borderId="102" xfId="0" applyFont="1" applyFill="1" applyBorder="1" applyAlignment="1" applyProtection="1">
      <alignment horizontal="center" vertical="center" wrapText="1"/>
    </xf>
    <xf numFmtId="0" fontId="0" fillId="13" borderId="46" xfId="0" applyFill="1" applyBorder="1" applyAlignment="1">
      <alignment horizontal="center"/>
    </xf>
    <xf numFmtId="0" fontId="62" fillId="13" borderId="0" xfId="3137" applyFont="1" applyFill="1" applyAlignment="1">
      <alignment horizontal="left" wrapText="1"/>
    </xf>
    <xf numFmtId="0" fontId="62" fillId="13" borderId="0" xfId="3137" applyFill="1" applyAlignment="1">
      <alignment horizontal="left" wrapText="1"/>
    </xf>
    <xf numFmtId="0" fontId="34" fillId="25" borderId="102" xfId="0" applyFont="1" applyFill="1" applyBorder="1" applyAlignment="1" applyProtection="1">
      <alignment horizontal="center" vertical="center"/>
    </xf>
    <xf numFmtId="0" fontId="23" fillId="13" borderId="60" xfId="0" applyFont="1" applyFill="1" applyBorder="1" applyAlignment="1">
      <alignment horizontal="left" vertical="center" wrapText="1" indent="1"/>
    </xf>
    <xf numFmtId="0" fontId="23" fillId="13" borderId="61" xfId="0" applyFont="1" applyFill="1" applyBorder="1" applyAlignment="1">
      <alignment horizontal="left" vertical="center" wrapText="1" indent="1"/>
    </xf>
    <xf numFmtId="0" fontId="23" fillId="13" borderId="57" xfId="0" applyFont="1" applyFill="1" applyBorder="1" applyAlignment="1">
      <alignment horizontal="left" vertical="center" wrapText="1" indent="1"/>
    </xf>
    <xf numFmtId="0" fontId="32" fillId="25" borderId="47" xfId="0" applyFont="1" applyFill="1" applyBorder="1" applyAlignment="1">
      <alignment horizontal="center" vertical="center"/>
    </xf>
    <xf numFmtId="0" fontId="7" fillId="13" borderId="0" xfId="0" applyFont="1" applyFill="1" applyBorder="1" applyAlignment="1">
      <alignment horizontal="center"/>
    </xf>
    <xf numFmtId="0" fontId="103" fillId="13" borderId="0" xfId="0" applyFont="1" applyFill="1" applyBorder="1" applyAlignment="1">
      <alignment horizontal="left" vertical="center"/>
    </xf>
    <xf numFmtId="0" fontId="146" fillId="22" borderId="60" xfId="3137" applyFont="1" applyFill="1" applyBorder="1" applyAlignment="1">
      <alignment horizontal="left" vertical="center" indent="1"/>
    </xf>
    <xf numFmtId="0" fontId="9" fillId="22" borderId="61" xfId="3137" applyFont="1" applyFill="1" applyBorder="1" applyAlignment="1">
      <alignment horizontal="left" vertical="top" wrapText="1" indent="1"/>
    </xf>
    <xf numFmtId="0" fontId="0" fillId="13" borderId="61" xfId="0" applyFill="1" applyBorder="1" applyAlignment="1">
      <alignment horizontal="left" indent="1"/>
    </xf>
    <xf numFmtId="0" fontId="0" fillId="13" borderId="57" xfId="0" applyFill="1" applyBorder="1" applyAlignment="1">
      <alignment horizontal="left" indent="1"/>
    </xf>
    <xf numFmtId="0" fontId="28" fillId="13" borderId="57" xfId="0" applyFont="1" applyFill="1" applyBorder="1" applyAlignment="1">
      <alignment vertical="center" wrapText="1"/>
    </xf>
    <xf numFmtId="0" fontId="0" fillId="25" borderId="0" xfId="0" applyFill="1" applyAlignment="1">
      <alignment horizontal="center"/>
    </xf>
    <xf numFmtId="0" fontId="0" fillId="13" borderId="33" xfId="0" applyFill="1" applyBorder="1"/>
    <xf numFmtId="0" fontId="0" fillId="25" borderId="0" xfId="0" applyFill="1" applyBorder="1"/>
    <xf numFmtId="0" fontId="137" fillId="13" borderId="0" xfId="0" applyFont="1" applyFill="1" applyBorder="1" applyAlignment="1">
      <alignment horizontal="center"/>
    </xf>
    <xf numFmtId="0" fontId="101" fillId="13" borderId="0" xfId="0" applyFont="1" applyFill="1" applyBorder="1"/>
    <xf numFmtId="0" fontId="88" fillId="13" borderId="60" xfId="0" applyFont="1" applyFill="1" applyBorder="1" applyAlignment="1"/>
    <xf numFmtId="0" fontId="28" fillId="13" borderId="61" xfId="0" applyFont="1" applyFill="1" applyBorder="1" applyAlignment="1"/>
    <xf numFmtId="0" fontId="28" fillId="13" borderId="57" xfId="0" applyFont="1" applyFill="1" applyBorder="1" applyAlignment="1"/>
    <xf numFmtId="1" fontId="0" fillId="24" borderId="46" xfId="0" applyNumberFormat="1" applyFont="1" applyFill="1" applyBorder="1" applyAlignment="1">
      <alignment horizontal="center"/>
    </xf>
    <xf numFmtId="0" fontId="153" fillId="13" borderId="0" xfId="0" applyFont="1" applyFill="1"/>
    <xf numFmtId="0" fontId="0" fillId="32" borderId="0" xfId="0" applyFont="1" applyFill="1"/>
    <xf numFmtId="0" fontId="146" fillId="18" borderId="0" xfId="0" applyFont="1" applyFill="1"/>
    <xf numFmtId="0" fontId="42" fillId="13" borderId="0" xfId="0" applyFont="1" applyFill="1" applyAlignment="1">
      <alignment horizontal="center"/>
    </xf>
    <xf numFmtId="0" fontId="42" fillId="13" borderId="0" xfId="0" applyFont="1" applyFill="1"/>
    <xf numFmtId="0" fontId="41" fillId="13" borderId="0" xfId="0" applyFont="1" applyFill="1"/>
    <xf numFmtId="0" fontId="154" fillId="13" borderId="0" xfId="0" applyFont="1" applyFill="1" applyBorder="1" applyAlignment="1">
      <alignment horizontal="center" vertical="center"/>
    </xf>
    <xf numFmtId="1" fontId="155" fillId="13" borderId="0" xfId="0" applyNumberFormat="1" applyFont="1" applyFill="1" applyBorder="1" applyAlignment="1">
      <alignment horizontal="center" vertical="center"/>
    </xf>
    <xf numFmtId="0" fontId="155" fillId="13" borderId="0" xfId="0" applyFont="1" applyFill="1" applyBorder="1" applyAlignment="1">
      <alignment horizontal="center" vertical="center"/>
    </xf>
    <xf numFmtId="0" fontId="154" fillId="13" borderId="0" xfId="0" applyFont="1" applyFill="1" applyBorder="1" applyAlignment="1">
      <alignment horizontal="left" vertical="center" wrapText="1"/>
    </xf>
    <xf numFmtId="0" fontId="154" fillId="13" borderId="0" xfId="0" applyFont="1" applyFill="1" applyBorder="1" applyAlignment="1">
      <alignment horizontal="center" vertical="center" wrapText="1"/>
    </xf>
    <xf numFmtId="0" fontId="42" fillId="13" borderId="0" xfId="0" applyFont="1" applyFill="1" applyBorder="1"/>
    <xf numFmtId="0" fontId="53" fillId="13" borderId="0" xfId="3137" applyFont="1" applyFill="1" applyBorder="1" applyAlignment="1">
      <alignment vertical="center"/>
    </xf>
    <xf numFmtId="1" fontId="30" fillId="13" borderId="0" xfId="0" applyNumberFormat="1" applyFont="1" applyFill="1" applyBorder="1" applyAlignment="1">
      <alignment horizontal="center" vertical="center"/>
    </xf>
    <xf numFmtId="1" fontId="0" fillId="13" borderId="0" xfId="0" applyNumberFormat="1" applyFill="1" applyBorder="1" applyAlignment="1">
      <alignment horizontal="center" vertical="center"/>
    </xf>
    <xf numFmtId="0" fontId="9" fillId="22" borderId="3" xfId="3137" applyFont="1" applyFill="1" applyBorder="1" applyAlignment="1">
      <alignment horizontal="left" vertical="center" indent="1"/>
    </xf>
    <xf numFmtId="0" fontId="9" fillId="22" borderId="60" xfId="3137" applyFont="1" applyFill="1" applyBorder="1" applyAlignment="1">
      <alignment horizontal="left" vertical="center" indent="1"/>
    </xf>
    <xf numFmtId="0" fontId="53" fillId="13" borderId="60" xfId="3137" applyFont="1" applyFill="1" applyBorder="1" applyAlignment="1">
      <alignment horizontal="left" vertical="center" indent="1"/>
    </xf>
    <xf numFmtId="0" fontId="53" fillId="13" borderId="61" xfId="3137" applyFont="1" applyFill="1" applyBorder="1" applyAlignment="1">
      <alignment horizontal="left" vertical="center" indent="1"/>
    </xf>
    <xf numFmtId="0" fontId="0" fillId="0" borderId="61" xfId="0" applyBorder="1" applyAlignment="1">
      <alignment horizontal="left" vertical="center" indent="1"/>
    </xf>
    <xf numFmtId="0" fontId="0" fillId="0" borderId="57" xfId="0" applyBorder="1" applyAlignment="1">
      <alignment horizontal="left" vertical="center" indent="1"/>
    </xf>
    <xf numFmtId="0" fontId="53" fillId="13" borderId="47" xfId="3137" applyFont="1" applyFill="1" applyBorder="1" applyAlignment="1">
      <alignment horizontal="left" vertical="center" indent="1"/>
    </xf>
    <xf numFmtId="0" fontId="53" fillId="13" borderId="48" xfId="3137" applyFont="1" applyFill="1" applyBorder="1" applyAlignment="1">
      <alignment horizontal="left" vertical="center" indent="1"/>
    </xf>
    <xf numFmtId="0" fontId="0" fillId="0" borderId="48" xfId="0" applyBorder="1" applyAlignment="1">
      <alignment horizontal="left" vertical="center" indent="1"/>
    </xf>
    <xf numFmtId="0" fontId="0" fillId="0" borderId="49" xfId="0" applyBorder="1" applyAlignment="1">
      <alignment horizontal="left" vertical="center" indent="1"/>
    </xf>
    <xf numFmtId="0" fontId="53" fillId="13" borderId="51" xfId="3137" applyFont="1" applyFill="1" applyBorder="1" applyAlignment="1">
      <alignment horizontal="left" vertical="center" indent="1"/>
    </xf>
    <xf numFmtId="0" fontId="53" fillId="13" borderId="52" xfId="3137" applyFont="1" applyFill="1" applyBorder="1" applyAlignment="1">
      <alignment horizontal="left" vertical="center" indent="1"/>
    </xf>
    <xf numFmtId="0" fontId="0" fillId="0" borderId="0" xfId="0" applyAlignment="1">
      <alignment wrapText="1"/>
    </xf>
    <xf numFmtId="9" fontId="64" fillId="17" borderId="1" xfId="4018" applyFont="1" applyFill="1" applyBorder="1" applyAlignment="1">
      <alignment horizontal="center" vertical="center"/>
    </xf>
    <xf numFmtId="175" fontId="64" fillId="13" borderId="0" xfId="4078" applyNumberFormat="1" applyFont="1" applyFill="1" applyBorder="1" applyAlignment="1">
      <alignment horizontal="center" vertical="center"/>
    </xf>
    <xf numFmtId="3" fontId="0" fillId="17" borderId="1" xfId="0" applyNumberFormat="1" applyFill="1" applyBorder="1" applyAlignment="1">
      <alignment horizontal="center"/>
    </xf>
    <xf numFmtId="3" fontId="0" fillId="17" borderId="1" xfId="0" applyNumberFormat="1" applyFill="1" applyBorder="1" applyAlignment="1">
      <alignment horizontal="center" vertical="center"/>
    </xf>
    <xf numFmtId="9" fontId="0" fillId="13" borderId="0" xfId="3138" applyNumberFormat="1" applyFont="1" applyFill="1" applyBorder="1" applyAlignment="1">
      <alignment horizontal="left" vertical="center"/>
    </xf>
    <xf numFmtId="175" fontId="0" fillId="13" borderId="1" xfId="4078" applyNumberFormat="1" applyFont="1" applyFill="1" applyBorder="1" applyAlignment="1">
      <alignment horizontal="center"/>
    </xf>
    <xf numFmtId="43" fontId="0" fillId="13" borderId="0" xfId="4078" applyFont="1" applyFill="1"/>
    <xf numFmtId="0" fontId="24" fillId="25" borderId="1" xfId="0" applyFont="1" applyFill="1" applyBorder="1" applyAlignment="1">
      <alignment horizontal="center"/>
    </xf>
    <xf numFmtId="0" fontId="24" fillId="25" borderId="170" xfId="0" applyFont="1" applyFill="1" applyBorder="1"/>
    <xf numFmtId="0" fontId="24" fillId="25" borderId="5" xfId="0" applyFont="1" applyFill="1" applyBorder="1" applyAlignment="1">
      <alignment horizontal="center"/>
    </xf>
    <xf numFmtId="0" fontId="24" fillId="25" borderId="168" xfId="0" applyFont="1" applyFill="1" applyBorder="1" applyAlignment="1">
      <alignment horizontal="center"/>
    </xf>
    <xf numFmtId="0" fontId="24" fillId="25" borderId="171" xfId="0" applyFont="1" applyFill="1" applyBorder="1" applyAlignment="1">
      <alignment horizontal="center"/>
    </xf>
    <xf numFmtId="0" fontId="24" fillId="25" borderId="169" xfId="0" applyFont="1" applyFill="1" applyBorder="1" applyAlignment="1">
      <alignment horizontal="center"/>
    </xf>
    <xf numFmtId="0" fontId="64" fillId="13" borderId="0" xfId="3139" applyFill="1" applyBorder="1" applyAlignment="1"/>
    <xf numFmtId="0" fontId="64" fillId="13" borderId="0" xfId="3139" applyFill="1" applyBorder="1" applyAlignment="1">
      <alignment horizontal="center"/>
    </xf>
    <xf numFmtId="3" fontId="53" fillId="13" borderId="0" xfId="3137" applyNumberFormat="1" applyFont="1" applyFill="1" applyBorder="1" applyAlignment="1">
      <alignment horizontal="left" vertical="center"/>
    </xf>
    <xf numFmtId="9" fontId="0" fillId="13" borderId="0" xfId="4018" applyFont="1" applyFill="1" applyBorder="1" applyAlignment="1">
      <alignment horizontal="center"/>
    </xf>
    <xf numFmtId="175" fontId="0" fillId="13" borderId="0" xfId="4078" applyNumberFormat="1" applyFont="1" applyFill="1" applyBorder="1" applyAlignment="1">
      <alignment horizontal="center"/>
    </xf>
    <xf numFmtId="9" fontId="0" fillId="13" borderId="0" xfId="0" applyNumberFormat="1" applyFill="1" applyBorder="1" applyAlignment="1">
      <alignment horizontal="center"/>
    </xf>
    <xf numFmtId="0" fontId="0" fillId="13" borderId="14" xfId="0" applyFill="1" applyBorder="1" applyAlignment="1">
      <alignment horizontal="center"/>
    </xf>
    <xf numFmtId="0" fontId="129" fillId="13" borderId="0" xfId="0" applyFont="1" applyFill="1" applyAlignment="1">
      <alignment vertical="center"/>
    </xf>
    <xf numFmtId="0" fontId="88" fillId="13" borderId="0" xfId="0" applyFont="1" applyFill="1" applyAlignment="1">
      <alignment horizontal="center" vertical="center"/>
    </xf>
    <xf numFmtId="0" fontId="129" fillId="13" borderId="0" xfId="0" applyFont="1" applyFill="1" applyAlignment="1">
      <alignment horizontal="center" vertical="center"/>
    </xf>
    <xf numFmtId="0" fontId="129" fillId="13" borderId="0" xfId="0" applyFont="1" applyFill="1" applyBorder="1" applyAlignment="1">
      <alignment vertical="center"/>
    </xf>
    <xf numFmtId="0" fontId="52" fillId="13" borderId="0" xfId="3137" applyFont="1" applyFill="1"/>
    <xf numFmtId="0" fontId="71" fillId="13" borderId="0" xfId="3139" applyFont="1" applyFill="1"/>
    <xf numFmtId="177" fontId="64" fillId="13" borderId="0" xfId="4078" applyNumberFormat="1" applyFont="1" applyFill="1" applyBorder="1" applyAlignment="1">
      <alignment horizontal="center"/>
    </xf>
    <xf numFmtId="9" fontId="64" fillId="13" borderId="0" xfId="4018" applyFont="1" applyFill="1" applyBorder="1" applyAlignment="1">
      <alignment horizontal="center"/>
    </xf>
    <xf numFmtId="176" fontId="64" fillId="13" borderId="0" xfId="4078" applyNumberFormat="1" applyFont="1" applyFill="1" applyBorder="1" applyAlignment="1">
      <alignment horizontal="center"/>
    </xf>
    <xf numFmtId="0" fontId="64" fillId="13" borderId="17" xfId="3139" applyFill="1" applyBorder="1"/>
    <xf numFmtId="0" fontId="0" fillId="13" borderId="20" xfId="0" applyFill="1" applyBorder="1"/>
    <xf numFmtId="175" fontId="0" fillId="13" borderId="0" xfId="0" applyNumberFormat="1" applyFill="1"/>
    <xf numFmtId="0" fontId="0" fillId="13" borderId="22" xfId="0" applyFill="1" applyBorder="1"/>
    <xf numFmtId="0" fontId="0" fillId="13" borderId="61" xfId="0" applyFill="1" applyBorder="1" applyAlignment="1">
      <alignment horizontal="left" vertical="center" indent="1"/>
    </xf>
    <xf numFmtId="0" fontId="0" fillId="17" borderId="47" xfId="0" applyFill="1" applyBorder="1" applyAlignment="1">
      <alignment vertical="center"/>
    </xf>
    <xf numFmtId="0" fontId="0" fillId="17" borderId="49" xfId="0" applyFill="1" applyBorder="1" applyAlignment="1">
      <alignment vertical="center"/>
    </xf>
    <xf numFmtId="0" fontId="0" fillId="17" borderId="41" xfId="0" applyFill="1" applyBorder="1" applyAlignment="1">
      <alignment vertical="center"/>
    </xf>
    <xf numFmtId="0" fontId="0" fillId="17" borderId="50" xfId="0" applyFill="1" applyBorder="1" applyAlignment="1">
      <alignment vertical="center"/>
    </xf>
    <xf numFmtId="0" fontId="25" fillId="25" borderId="35" xfId="0" applyFont="1" applyFill="1" applyBorder="1"/>
    <xf numFmtId="0" fontId="24" fillId="25" borderId="16" xfId="0" applyFont="1" applyFill="1" applyBorder="1"/>
    <xf numFmtId="0" fontId="24" fillId="25" borderId="18" xfId="0" applyFont="1" applyFill="1" applyBorder="1"/>
    <xf numFmtId="9" fontId="0" fillId="13" borderId="46" xfId="4018" applyFont="1" applyFill="1" applyBorder="1" applyAlignment="1">
      <alignment horizontal="center"/>
    </xf>
    <xf numFmtId="9" fontId="0" fillId="13" borderId="46" xfId="0" applyNumberFormat="1" applyFill="1" applyBorder="1" applyAlignment="1">
      <alignment horizontal="center"/>
    </xf>
    <xf numFmtId="175" fontId="0" fillId="13" borderId="46" xfId="4078" applyNumberFormat="1" applyFont="1" applyFill="1" applyBorder="1" applyAlignment="1">
      <alignment horizontal="center"/>
    </xf>
    <xf numFmtId="0" fontId="0" fillId="13" borderId="89" xfId="0" applyFill="1" applyBorder="1"/>
    <xf numFmtId="9" fontId="0" fillId="13" borderId="89" xfId="4018" applyFont="1" applyFill="1" applyBorder="1" applyAlignment="1">
      <alignment horizontal="center"/>
    </xf>
    <xf numFmtId="175" fontId="0" fillId="13" borderId="89" xfId="4078" applyNumberFormat="1" applyFont="1" applyFill="1" applyBorder="1" applyAlignment="1">
      <alignment horizontal="center"/>
    </xf>
    <xf numFmtId="9" fontId="0" fillId="13" borderId="89" xfId="0" applyNumberFormat="1" applyFill="1" applyBorder="1" applyAlignment="1">
      <alignment horizontal="center"/>
    </xf>
    <xf numFmtId="0" fontId="0" fillId="13" borderId="89" xfId="0" applyFill="1" applyBorder="1" applyAlignment="1">
      <alignment horizontal="center"/>
    </xf>
    <xf numFmtId="0" fontId="0" fillId="13" borderId="89" xfId="0" applyFont="1" applyFill="1" applyBorder="1" applyAlignment="1">
      <alignment horizontal="center"/>
    </xf>
    <xf numFmtId="0" fontId="64" fillId="13" borderId="46" xfId="3139" applyFill="1" applyBorder="1" applyAlignment="1">
      <alignment horizontal="center"/>
    </xf>
    <xf numFmtId="9" fontId="0" fillId="13" borderId="46" xfId="3138" applyNumberFormat="1" applyFont="1" applyFill="1" applyBorder="1" applyAlignment="1">
      <alignment horizontal="center" vertical="center"/>
    </xf>
    <xf numFmtId="0" fontId="0" fillId="13" borderId="46" xfId="0" applyFill="1" applyBorder="1" applyAlignment="1">
      <alignment horizontal="left"/>
    </xf>
    <xf numFmtId="9" fontId="0" fillId="13" borderId="46" xfId="3138" applyNumberFormat="1" applyFont="1" applyFill="1" applyBorder="1" applyAlignment="1">
      <alignment horizontal="left" vertical="center"/>
    </xf>
    <xf numFmtId="0" fontId="0" fillId="13" borderId="90" xfId="0" applyFill="1" applyBorder="1" applyAlignment="1">
      <alignment horizontal="center"/>
    </xf>
    <xf numFmtId="9" fontId="0" fillId="13" borderId="90" xfId="3138" applyNumberFormat="1" applyFont="1" applyFill="1" applyBorder="1" applyAlignment="1">
      <alignment horizontal="center" vertical="center"/>
    </xf>
    <xf numFmtId="0" fontId="32" fillId="25" borderId="97" xfId="0" applyFont="1" applyFill="1" applyBorder="1" applyAlignment="1">
      <alignment horizontal="center" vertical="center" wrapText="1"/>
    </xf>
    <xf numFmtId="0" fontId="6" fillId="25" borderId="97" xfId="3137" applyFont="1" applyFill="1" applyBorder="1" applyAlignment="1">
      <alignment horizontal="center" vertical="center" wrapText="1"/>
    </xf>
    <xf numFmtId="0" fontId="6" fillId="25" borderId="156" xfId="3137" applyFont="1" applyFill="1" applyBorder="1" applyAlignment="1">
      <alignment horizontal="center" vertical="center" wrapText="1"/>
    </xf>
    <xf numFmtId="0" fontId="62" fillId="13" borderId="0" xfId="3137" applyFont="1" applyFill="1" applyAlignment="1">
      <alignment wrapText="1"/>
    </xf>
    <xf numFmtId="0" fontId="62" fillId="13" borderId="0" xfId="3137" applyFill="1" applyAlignment="1">
      <alignment wrapText="1"/>
    </xf>
    <xf numFmtId="175" fontId="64" fillId="13" borderId="0" xfId="4078" applyNumberFormat="1" applyFont="1" applyFill="1"/>
    <xf numFmtId="0" fontId="0" fillId="13" borderId="0" xfId="3137" applyFont="1" applyFill="1" applyAlignment="1">
      <alignment horizontal="left" wrapText="1"/>
    </xf>
    <xf numFmtId="0" fontId="62" fillId="13" borderId="0" xfId="3137" applyFont="1" applyFill="1" applyBorder="1" applyAlignment="1">
      <alignment horizontal="left" wrapText="1"/>
    </xf>
    <xf numFmtId="0" fontId="62" fillId="13" borderId="0" xfId="3137" applyFill="1" applyBorder="1" applyAlignment="1">
      <alignment horizontal="left" wrapText="1"/>
    </xf>
    <xf numFmtId="9" fontId="64" fillId="0" borderId="1" xfId="4018" applyFont="1" applyBorder="1" applyAlignment="1">
      <alignment horizontal="center"/>
    </xf>
    <xf numFmtId="166" fontId="0" fillId="17" borderId="1" xfId="0" applyNumberFormat="1" applyFill="1" applyBorder="1" applyAlignment="1">
      <alignment horizontal="center"/>
    </xf>
    <xf numFmtId="174" fontId="0" fillId="17" borderId="1" xfId="0" applyNumberFormat="1" applyFill="1" applyBorder="1" applyAlignment="1">
      <alignment horizontal="center"/>
    </xf>
    <xf numFmtId="178" fontId="62" fillId="13" borderId="1" xfId="4018" applyNumberFormat="1" applyFont="1" applyFill="1" applyBorder="1" applyAlignment="1">
      <alignment horizontal="center"/>
    </xf>
    <xf numFmtId="178" fontId="64" fillId="13" borderId="1" xfId="4018" applyNumberFormat="1" applyFont="1" applyFill="1" applyBorder="1" applyAlignment="1">
      <alignment horizontal="center"/>
    </xf>
    <xf numFmtId="178" fontId="64" fillId="13" borderId="0" xfId="3139" applyNumberFormat="1" applyFill="1"/>
    <xf numFmtId="0" fontId="9" fillId="22" borderId="0" xfId="3137" applyFont="1" applyFill="1"/>
    <xf numFmtId="2" fontId="64" fillId="13" borderId="1" xfId="4078" applyNumberFormat="1" applyFont="1" applyFill="1" applyBorder="1" applyAlignment="1">
      <alignment horizontal="center"/>
    </xf>
    <xf numFmtId="166" fontId="64" fillId="13" borderId="1" xfId="4078" applyNumberFormat="1" applyFont="1" applyFill="1" applyBorder="1" applyAlignment="1">
      <alignment horizontal="center"/>
    </xf>
    <xf numFmtId="0" fontId="78" fillId="13" borderId="1" xfId="4079" applyFont="1" applyFill="1" applyBorder="1" applyAlignment="1">
      <alignment horizontal="center" wrapText="1"/>
    </xf>
    <xf numFmtId="0" fontId="78" fillId="0" borderId="1" xfId="3137" applyFont="1" applyFill="1" applyBorder="1" applyAlignment="1">
      <alignment horizontal="center" wrapText="1"/>
    </xf>
    <xf numFmtId="49" fontId="78" fillId="0" borderId="1" xfId="3137" applyNumberFormat="1" applyFont="1" applyFill="1" applyBorder="1" applyAlignment="1">
      <alignment horizontal="center" wrapText="1"/>
    </xf>
    <xf numFmtId="0" fontId="146" fillId="22" borderId="0" xfId="3137" applyFont="1" applyFill="1" applyAlignment="1">
      <alignment vertical="top"/>
    </xf>
    <xf numFmtId="0" fontId="32" fillId="25" borderId="174" xfId="0" applyFont="1" applyFill="1" applyBorder="1" applyAlignment="1">
      <alignment horizontal="center" vertical="center"/>
    </xf>
    <xf numFmtId="0" fontId="104" fillId="13" borderId="0" xfId="0" applyFont="1" applyFill="1" applyAlignment="1"/>
    <xf numFmtId="0" fontId="53" fillId="13" borderId="0" xfId="4079" applyFont="1" applyFill="1" applyBorder="1" applyAlignment="1">
      <alignment wrapText="1"/>
    </xf>
    <xf numFmtId="0" fontId="0" fillId="13" borderId="0" xfId="3137" applyFont="1" applyFill="1" applyBorder="1" applyAlignment="1">
      <alignment horizontal="left" wrapText="1"/>
    </xf>
    <xf numFmtId="0" fontId="53" fillId="0" borderId="0" xfId="3137" applyFont="1" applyFill="1" applyBorder="1" applyAlignment="1">
      <alignment wrapText="1"/>
    </xf>
    <xf numFmtId="0" fontId="0" fillId="13" borderId="0" xfId="0" applyFill="1" applyBorder="1" applyAlignment="1">
      <alignment horizontal="center" vertical="top"/>
    </xf>
    <xf numFmtId="178" fontId="64" fillId="13" borderId="0" xfId="4018" applyNumberFormat="1" applyFont="1" applyFill="1" applyBorder="1" applyAlignment="1">
      <alignment horizontal="center"/>
    </xf>
    <xf numFmtId="0" fontId="7" fillId="13" borderId="0" xfId="0" applyFont="1" applyFill="1"/>
    <xf numFmtId="0" fontId="177" fillId="13" borderId="0" xfId="0" applyFont="1" applyFill="1"/>
    <xf numFmtId="0" fontId="177" fillId="13" borderId="0" xfId="0" applyFont="1" applyFill="1" applyAlignment="1"/>
    <xf numFmtId="0" fontId="177" fillId="13" borderId="0" xfId="0" applyFont="1" applyFill="1" applyAlignment="1">
      <alignment wrapText="1"/>
    </xf>
    <xf numFmtId="0" fontId="62" fillId="13" borderId="0" xfId="0" applyFont="1" applyFill="1" applyBorder="1" applyAlignment="1">
      <alignment wrapText="1"/>
    </xf>
    <xf numFmtId="0" fontId="168" fillId="13" borderId="0" xfId="0" applyFont="1" applyFill="1" applyBorder="1" applyAlignment="1">
      <alignment horizontal="left" wrapText="1"/>
    </xf>
    <xf numFmtId="0" fontId="168" fillId="13" borderId="0" xfId="0" applyFont="1" applyFill="1" applyBorder="1" applyAlignment="1">
      <alignment horizontal="center" wrapText="1"/>
    </xf>
    <xf numFmtId="9" fontId="171" fillId="13" borderId="0" xfId="4018" applyFont="1" applyFill="1" applyBorder="1" applyAlignment="1">
      <alignment horizontal="center"/>
    </xf>
    <xf numFmtId="176" fontId="7" fillId="13" borderId="0" xfId="0" applyNumberFormat="1" applyFont="1" applyFill="1" applyBorder="1" applyAlignment="1">
      <alignment horizontal="center"/>
    </xf>
    <xf numFmtId="168" fontId="7" fillId="13" borderId="0" xfId="0" applyNumberFormat="1" applyFont="1" applyFill="1" applyBorder="1" applyAlignment="1">
      <alignment horizontal="center"/>
    </xf>
    <xf numFmtId="176" fontId="171" fillId="13" borderId="0" xfId="4078" applyNumberFormat="1" applyFont="1" applyFill="1" applyBorder="1" applyAlignment="1">
      <alignment horizontal="center"/>
    </xf>
    <xf numFmtId="175" fontId="180" fillId="13" borderId="0" xfId="4078" applyNumberFormat="1" applyFont="1" applyFill="1"/>
    <xf numFmtId="0" fontId="64" fillId="13" borderId="0" xfId="3139" applyFont="1" applyFill="1"/>
    <xf numFmtId="0" fontId="84" fillId="13" borderId="0" xfId="0" applyFont="1" applyFill="1" applyBorder="1" applyAlignment="1">
      <alignment wrapText="1"/>
    </xf>
    <xf numFmtId="175" fontId="1" fillId="13" borderId="0" xfId="4078" applyNumberFormat="1" applyFont="1" applyFill="1"/>
    <xf numFmtId="9" fontId="84" fillId="13" borderId="0" xfId="0" applyNumberFormat="1" applyFont="1" applyFill="1" applyBorder="1" applyAlignment="1">
      <alignment wrapText="1"/>
    </xf>
    <xf numFmtId="175" fontId="0" fillId="13" borderId="0" xfId="4078" applyNumberFormat="1" applyFont="1" applyFill="1"/>
    <xf numFmtId="0" fontId="26" fillId="13" borderId="0" xfId="3137" applyFont="1" applyFill="1"/>
    <xf numFmtId="0" fontId="62" fillId="13" borderId="0" xfId="0" applyFont="1" applyFill="1" applyBorder="1" applyAlignment="1">
      <alignment vertical="center" wrapText="1"/>
    </xf>
    <xf numFmtId="0" fontId="181" fillId="25" borderId="97" xfId="0" applyFont="1" applyFill="1" applyBorder="1" applyAlignment="1">
      <alignment horizontal="center" vertical="center" wrapText="1"/>
    </xf>
    <xf numFmtId="0" fontId="0" fillId="26" borderId="46" xfId="0" applyFill="1" applyBorder="1" applyAlignment="1">
      <alignment horizontal="center" vertical="center"/>
    </xf>
    <xf numFmtId="0" fontId="0" fillId="26" borderId="90" xfId="0" applyFill="1" applyBorder="1" applyAlignment="1">
      <alignment horizontal="center" vertical="center"/>
    </xf>
    <xf numFmtId="0" fontId="62" fillId="13" borderId="46" xfId="0" applyFont="1" applyFill="1" applyBorder="1" applyAlignment="1">
      <alignment horizontal="center" vertical="center" wrapText="1"/>
    </xf>
    <xf numFmtId="0" fontId="80" fillId="13" borderId="0" xfId="0" applyFont="1" applyFill="1" applyBorder="1" applyAlignment="1">
      <alignment horizontal="left" vertical="center"/>
    </xf>
    <xf numFmtId="0" fontId="58" fillId="13" borderId="0" xfId="0" applyFont="1" applyFill="1" applyBorder="1" applyAlignment="1">
      <alignment horizontal="left" vertical="center"/>
    </xf>
    <xf numFmtId="0" fontId="0" fillId="13" borderId="60" xfId="0" applyFill="1" applyBorder="1" applyAlignment="1">
      <alignment horizontal="left" vertical="center"/>
    </xf>
    <xf numFmtId="0" fontId="0" fillId="13" borderId="61" xfId="0" applyFill="1" applyBorder="1" applyAlignment="1">
      <alignment horizontal="left" vertical="center"/>
    </xf>
    <xf numFmtId="0" fontId="0" fillId="13" borderId="57" xfId="0" applyFill="1" applyBorder="1" applyAlignment="1">
      <alignment horizontal="left" vertical="center"/>
    </xf>
    <xf numFmtId="0" fontId="0" fillId="26" borderId="60" xfId="0" applyFill="1" applyBorder="1" applyAlignment="1">
      <alignment horizontal="left" vertical="center"/>
    </xf>
    <xf numFmtId="0" fontId="0" fillId="26" borderId="61" xfId="0" applyFill="1" applyBorder="1" applyAlignment="1">
      <alignment horizontal="left" vertical="center"/>
    </xf>
    <xf numFmtId="0" fontId="0" fillId="26" borderId="57" xfId="0" applyFill="1" applyBorder="1" applyAlignment="1">
      <alignment horizontal="left" vertical="center"/>
    </xf>
    <xf numFmtId="0" fontId="181" fillId="25" borderId="156" xfId="0" applyFont="1" applyFill="1" applyBorder="1" applyAlignment="1">
      <alignment horizontal="center" vertical="center" wrapText="1"/>
    </xf>
    <xf numFmtId="0" fontId="0" fillId="13" borderId="46" xfId="0" applyFill="1" applyBorder="1" applyAlignment="1">
      <alignment horizontal="center"/>
    </xf>
    <xf numFmtId="0" fontId="34" fillId="25" borderId="63" xfId="0" applyFont="1" applyFill="1" applyBorder="1" applyAlignment="1">
      <alignment horizontal="center" vertical="center"/>
    </xf>
    <xf numFmtId="1" fontId="0" fillId="17" borderId="46" xfId="0" applyNumberFormat="1" applyFill="1" applyBorder="1" applyAlignment="1">
      <alignment horizontal="center" vertical="center"/>
    </xf>
    <xf numFmtId="1" fontId="0" fillId="4" borderId="46" xfId="0" applyNumberFormat="1" applyFill="1" applyBorder="1" applyAlignment="1">
      <alignment horizontal="center" vertical="center"/>
    </xf>
    <xf numFmtId="0" fontId="53" fillId="13" borderId="57" xfId="3137" applyFont="1" applyFill="1" applyBorder="1" applyAlignment="1">
      <alignment vertical="center"/>
    </xf>
    <xf numFmtId="0" fontId="34" fillId="25" borderId="178" xfId="0" applyFont="1" applyFill="1" applyBorder="1" applyAlignment="1">
      <alignment horizontal="center" vertical="center"/>
    </xf>
    <xf numFmtId="1" fontId="0" fillId="17" borderId="90" xfId="0" applyNumberFormat="1" applyFill="1" applyBorder="1" applyAlignment="1">
      <alignment horizontal="center" vertical="center"/>
    </xf>
    <xf numFmtId="0" fontId="53" fillId="13" borderId="60" xfId="3137" applyFont="1" applyFill="1" applyBorder="1" applyAlignment="1">
      <alignment horizontal="center" vertical="center"/>
    </xf>
    <xf numFmtId="0" fontId="53" fillId="13" borderId="57" xfId="3137" applyFont="1" applyFill="1" applyBorder="1" applyAlignment="1">
      <alignment horizontal="center" vertical="center"/>
    </xf>
    <xf numFmtId="0" fontId="182" fillId="13" borderId="57" xfId="0" applyFont="1" applyFill="1" applyBorder="1" applyAlignment="1">
      <alignment horizontal="center"/>
    </xf>
    <xf numFmtId="0" fontId="34" fillId="25" borderId="178" xfId="0" applyFont="1" applyFill="1" applyBorder="1" applyAlignment="1" applyProtection="1">
      <alignment horizontal="center" vertical="center" wrapText="1"/>
    </xf>
    <xf numFmtId="0" fontId="107" fillId="13" borderId="51" xfId="0" applyNumberFormat="1" applyFont="1" applyFill="1" applyBorder="1" applyAlignment="1" applyProtection="1">
      <alignment vertical="center"/>
    </xf>
    <xf numFmtId="0" fontId="107" fillId="13" borderId="53" xfId="0" applyNumberFormat="1" applyFont="1" applyFill="1" applyBorder="1" applyAlignment="1" applyProtection="1">
      <alignment vertical="center"/>
    </xf>
    <xf numFmtId="0" fontId="136" fillId="22" borderId="60" xfId="3137" applyFont="1" applyFill="1" applyBorder="1" applyAlignment="1">
      <alignment horizontal="left" vertical="center" indent="1"/>
    </xf>
    <xf numFmtId="0" fontId="184" fillId="13" borderId="0" xfId="0" applyFont="1" applyFill="1" applyProtection="1"/>
    <xf numFmtId="0" fontId="53" fillId="13" borderId="0" xfId="0" applyFont="1" applyFill="1" applyProtection="1"/>
    <xf numFmtId="0" fontId="184" fillId="20" borderId="0" xfId="0" applyFont="1" applyFill="1" applyProtection="1"/>
    <xf numFmtId="0" fontId="53" fillId="20" borderId="0" xfId="0" applyFont="1" applyFill="1" applyProtection="1"/>
    <xf numFmtId="0" fontId="53" fillId="0" borderId="0" xfId="0" applyFont="1" applyProtection="1"/>
    <xf numFmtId="0" fontId="185" fillId="13" borderId="0" xfId="0" applyFont="1" applyFill="1"/>
    <xf numFmtId="0" fontId="6" fillId="25" borderId="109" xfId="0" applyFont="1" applyFill="1" applyBorder="1" applyAlignment="1">
      <alignment horizontal="center" vertical="center" wrapText="1"/>
    </xf>
    <xf numFmtId="0" fontId="34" fillId="25" borderId="102" xfId="0" applyFont="1" applyFill="1" applyBorder="1" applyAlignment="1" applyProtection="1">
      <alignment horizontal="center" vertical="center" wrapText="1"/>
    </xf>
    <xf numFmtId="0" fontId="34" fillId="25" borderId="102" xfId="0" applyFont="1" applyFill="1" applyBorder="1" applyAlignment="1" applyProtection="1">
      <alignment horizontal="center" vertical="center"/>
    </xf>
    <xf numFmtId="0" fontId="19" fillId="16" borderId="26" xfId="0" applyFont="1" applyFill="1" applyBorder="1" applyAlignment="1" applyProtection="1">
      <alignment horizontal="center" vertical="center" wrapText="1"/>
      <protection locked="0"/>
    </xf>
    <xf numFmtId="0" fontId="30" fillId="26" borderId="60" xfId="0" applyFont="1" applyFill="1" applyBorder="1"/>
    <xf numFmtId="0" fontId="30" fillId="26" borderId="61" xfId="0" applyFont="1" applyFill="1" applyBorder="1"/>
    <xf numFmtId="0" fontId="30" fillId="26" borderId="57" xfId="0" applyFont="1" applyFill="1" applyBorder="1"/>
    <xf numFmtId="0" fontId="50" fillId="30" borderId="60" xfId="0" applyFont="1" applyFill="1" applyBorder="1" applyAlignment="1">
      <alignment horizontal="left" vertical="center" indent="1"/>
    </xf>
    <xf numFmtId="0" fontId="50" fillId="30" borderId="61" xfId="0" applyFont="1" applyFill="1" applyBorder="1" applyAlignment="1">
      <alignment horizontal="left" vertical="center" indent="1"/>
    </xf>
    <xf numFmtId="0" fontId="50" fillId="30" borderId="57" xfId="0" applyFont="1" applyFill="1" applyBorder="1" applyAlignment="1">
      <alignment horizontal="left" vertical="center" indent="1"/>
    </xf>
    <xf numFmtId="0" fontId="30" fillId="26" borderId="60" xfId="0" applyFont="1" applyFill="1" applyBorder="1" applyAlignment="1">
      <alignment horizontal="left" indent="1"/>
    </xf>
    <xf numFmtId="0" fontId="30" fillId="26" borderId="61" xfId="0" applyFont="1" applyFill="1" applyBorder="1" applyAlignment="1">
      <alignment horizontal="left" indent="1"/>
    </xf>
    <xf numFmtId="0" fontId="30" fillId="26" borderId="57" xfId="0" applyFont="1" applyFill="1" applyBorder="1" applyAlignment="1">
      <alignment horizontal="left" indent="1"/>
    </xf>
    <xf numFmtId="0" fontId="28" fillId="13" borderId="0" xfId="0" applyFont="1" applyFill="1" applyAlignment="1">
      <alignment horizontal="left" vertical="top" wrapText="1"/>
    </xf>
    <xf numFmtId="0" fontId="0" fillId="13" borderId="0" xfId="0" applyFont="1" applyFill="1" applyAlignment="1">
      <alignment horizontal="center" vertical="center"/>
    </xf>
    <xf numFmtId="0" fontId="0" fillId="13" borderId="41" xfId="0" applyFont="1" applyFill="1" applyBorder="1" applyAlignment="1">
      <alignment horizontal="left" vertical="center" indent="1"/>
    </xf>
    <xf numFmtId="0" fontId="0" fillId="13" borderId="50" xfId="0" applyFont="1" applyFill="1" applyBorder="1" applyAlignment="1">
      <alignment horizontal="left" vertical="center" indent="1"/>
    </xf>
    <xf numFmtId="0" fontId="0" fillId="13" borderId="51" xfId="0" applyFont="1" applyFill="1" applyBorder="1" applyAlignment="1">
      <alignment horizontal="left" indent="1"/>
    </xf>
    <xf numFmtId="0" fontId="0" fillId="13" borderId="53" xfId="0" applyFont="1" applyFill="1" applyBorder="1" applyAlignment="1">
      <alignment horizontal="left" indent="1"/>
    </xf>
    <xf numFmtId="0" fontId="0" fillId="13" borderId="41" xfId="0" applyFill="1" applyBorder="1" applyAlignment="1" applyProtection="1">
      <alignment horizontal="left" vertical="center" indent="1"/>
      <protection locked="0"/>
    </xf>
    <xf numFmtId="0" fontId="0" fillId="13" borderId="50" xfId="0" applyFill="1" applyBorder="1" applyAlignment="1" applyProtection="1">
      <alignment horizontal="left" vertical="center" indent="1"/>
      <protection locked="0"/>
    </xf>
    <xf numFmtId="0" fontId="0" fillId="13" borderId="41" xfId="0" applyFont="1" applyFill="1" applyBorder="1" applyAlignment="1">
      <alignment horizontal="left" indent="1"/>
    </xf>
    <xf numFmtId="0" fontId="0" fillId="13" borderId="50" xfId="0" applyFont="1" applyFill="1" applyBorder="1" applyAlignment="1">
      <alignment horizontal="left" indent="1"/>
    </xf>
    <xf numFmtId="0" fontId="0" fillId="13" borderId="0" xfId="0" applyFont="1" applyFill="1" applyBorder="1" applyAlignment="1">
      <alignment horizontal="left" indent="1"/>
    </xf>
    <xf numFmtId="0" fontId="0" fillId="13" borderId="0" xfId="0" applyFont="1" applyFill="1" applyBorder="1" applyAlignment="1">
      <alignment horizontal="left" vertical="center" indent="1"/>
    </xf>
    <xf numFmtId="0" fontId="0" fillId="13" borderId="2" xfId="0" applyFont="1" applyFill="1" applyBorder="1" applyAlignment="1">
      <alignment horizontal="left" vertical="center" indent="1"/>
    </xf>
    <xf numFmtId="0" fontId="0" fillId="13" borderId="14" xfId="0" applyFont="1" applyFill="1" applyBorder="1" applyAlignment="1">
      <alignment horizontal="left" vertical="center" indent="1"/>
    </xf>
    <xf numFmtId="0" fontId="9" fillId="27" borderId="0" xfId="0" applyFont="1" applyFill="1"/>
    <xf numFmtId="0" fontId="0" fillId="13" borderId="0" xfId="0" applyFill="1" applyAlignment="1">
      <alignment horizontal="right" indent="1"/>
    </xf>
    <xf numFmtId="0" fontId="151" fillId="13" borderId="40" xfId="0" applyFont="1" applyFill="1" applyBorder="1" applyAlignment="1">
      <alignment vertical="center"/>
    </xf>
    <xf numFmtId="0" fontId="133" fillId="33" borderId="1" xfId="4022" applyFont="1" applyBorder="1" applyAlignment="1">
      <alignment horizontal="center" vertical="center"/>
    </xf>
    <xf numFmtId="0" fontId="34" fillId="25" borderId="102" xfId="0" applyFont="1" applyFill="1" applyBorder="1" applyAlignment="1" applyProtection="1">
      <alignment horizontal="center" vertical="center" wrapText="1"/>
    </xf>
    <xf numFmtId="0" fontId="34" fillId="25" borderId="102" xfId="0" applyFont="1" applyFill="1" applyBorder="1" applyAlignment="1" applyProtection="1">
      <alignment horizontal="center" vertical="center"/>
    </xf>
    <xf numFmtId="0" fontId="34" fillId="25" borderId="83" xfId="0" applyFont="1" applyFill="1" applyBorder="1" applyAlignment="1" applyProtection="1">
      <alignment horizontal="center" vertical="center" wrapText="1"/>
    </xf>
    <xf numFmtId="0" fontId="18" fillId="7" borderId="90" xfId="0" applyFont="1" applyFill="1" applyBorder="1" applyAlignment="1">
      <alignment horizontal="center" vertical="center"/>
    </xf>
    <xf numFmtId="0" fontId="29" fillId="13" borderId="46" xfId="0" applyFont="1" applyFill="1" applyBorder="1" applyAlignment="1">
      <alignment horizontal="center" vertical="top" wrapText="1"/>
    </xf>
    <xf numFmtId="0" fontId="18" fillId="7" borderId="89" xfId="0" applyFont="1" applyFill="1" applyBorder="1" applyAlignment="1">
      <alignment horizontal="center" vertical="center"/>
    </xf>
    <xf numFmtId="0" fontId="10" fillId="17" borderId="90" xfId="0" applyFont="1" applyFill="1" applyBorder="1" applyAlignment="1">
      <alignment horizontal="center" vertical="center" wrapText="1"/>
    </xf>
    <xf numFmtId="0" fontId="18" fillId="9" borderId="46" xfId="0" applyFont="1" applyFill="1" applyBorder="1" applyAlignment="1">
      <alignment horizontal="center" vertical="center"/>
    </xf>
    <xf numFmtId="0" fontId="18" fillId="10" borderId="46" xfId="0" applyFont="1" applyFill="1" applyBorder="1" applyAlignment="1">
      <alignment horizontal="center" vertical="center"/>
    </xf>
    <xf numFmtId="0" fontId="18" fillId="8" borderId="46" xfId="0" applyFont="1" applyFill="1" applyBorder="1" applyAlignment="1">
      <alignment horizontal="center" vertical="center"/>
    </xf>
    <xf numFmtId="0" fontId="18" fillId="8" borderId="90" xfId="0" applyFont="1" applyFill="1" applyBorder="1" applyAlignment="1">
      <alignment horizontal="center" vertical="center"/>
    </xf>
    <xf numFmtId="0" fontId="50" fillId="30" borderId="182" xfId="0" applyFont="1" applyFill="1" applyBorder="1" applyAlignment="1">
      <alignment horizontal="left" vertical="center" indent="1"/>
    </xf>
    <xf numFmtId="0" fontId="50" fillId="30" borderId="84" xfId="0" applyFont="1" applyFill="1" applyBorder="1" applyAlignment="1">
      <alignment horizontal="left" vertical="center" indent="1"/>
    </xf>
    <xf numFmtId="0" fontId="9" fillId="13" borderId="60" xfId="0" applyFont="1" applyFill="1" applyBorder="1" applyAlignment="1">
      <alignment horizontal="left" vertical="center" indent="1"/>
    </xf>
    <xf numFmtId="0" fontId="9" fillId="13" borderId="61" xfId="0" applyFont="1" applyFill="1" applyBorder="1" applyAlignment="1">
      <alignment horizontal="left" vertical="center" indent="1"/>
    </xf>
    <xf numFmtId="0" fontId="50" fillId="30" borderId="51" xfId="0" applyFont="1" applyFill="1" applyBorder="1" applyAlignment="1">
      <alignment horizontal="left" vertical="center" indent="1"/>
    </xf>
    <xf numFmtId="0" fontId="50" fillId="30" borderId="52" xfId="0" applyFont="1" applyFill="1" applyBorder="1" applyAlignment="1">
      <alignment horizontal="left" vertical="center" indent="1"/>
    </xf>
    <xf numFmtId="0" fontId="50" fillId="30" borderId="53" xfId="0" applyFont="1" applyFill="1" applyBorder="1" applyAlignment="1">
      <alignment vertical="center"/>
    </xf>
    <xf numFmtId="0" fontId="6" fillId="25" borderId="97" xfId="0" applyFont="1" applyFill="1" applyBorder="1" applyAlignment="1">
      <alignment horizontal="center" vertical="center" wrapText="1"/>
    </xf>
    <xf numFmtId="0" fontId="6" fillId="25" borderId="156" xfId="0" applyFont="1" applyFill="1" applyBorder="1" applyAlignment="1">
      <alignment horizontal="center" vertical="center" wrapText="1"/>
    </xf>
    <xf numFmtId="0" fontId="50" fillId="30" borderId="53" xfId="0" applyFont="1" applyFill="1" applyBorder="1" applyAlignment="1">
      <alignment horizontal="left" vertical="center" indent="1"/>
    </xf>
    <xf numFmtId="0" fontId="89" fillId="13" borderId="40" xfId="0" applyFont="1" applyFill="1" applyBorder="1" applyAlignment="1">
      <alignment horizontal="left" vertical="center"/>
    </xf>
    <xf numFmtId="0" fontId="182" fillId="25" borderId="0" xfId="0" applyFont="1" applyFill="1" applyAlignment="1">
      <alignment horizontal="center"/>
    </xf>
    <xf numFmtId="0" fontId="188" fillId="25" borderId="0" xfId="0" applyFont="1" applyFill="1" applyAlignment="1">
      <alignment horizontal="center" vertical="center"/>
    </xf>
    <xf numFmtId="0" fontId="182" fillId="13" borderId="0" xfId="0" applyFont="1" applyFill="1" applyAlignment="1">
      <alignment horizontal="center"/>
    </xf>
    <xf numFmtId="0" fontId="189" fillId="13" borderId="0" xfId="0" applyFont="1" applyFill="1" applyAlignment="1">
      <alignment horizontal="center"/>
    </xf>
    <xf numFmtId="1" fontId="107" fillId="13" borderId="46" xfId="0" applyNumberFormat="1" applyFont="1" applyFill="1" applyBorder="1" applyAlignment="1" applyProtection="1">
      <alignment horizontal="left" vertical="center"/>
    </xf>
    <xf numFmtId="0" fontId="34" fillId="13" borderId="60" xfId="0" applyFont="1" applyFill="1" applyBorder="1" applyAlignment="1" applyProtection="1">
      <alignment horizontal="center" vertical="center" wrapText="1"/>
    </xf>
    <xf numFmtId="0" fontId="34" fillId="13" borderId="61" xfId="0" applyFont="1" applyFill="1" applyBorder="1" applyAlignment="1" applyProtection="1">
      <alignment horizontal="center" vertical="center" wrapText="1"/>
    </xf>
    <xf numFmtId="0" fontId="34" fillId="13" borderId="61" xfId="0" applyFont="1" applyFill="1" applyBorder="1" applyAlignment="1" applyProtection="1">
      <alignment horizontal="center" vertical="center"/>
    </xf>
    <xf numFmtId="0" fontId="34" fillId="13" borderId="48" xfId="0" applyFont="1" applyFill="1" applyBorder="1" applyAlignment="1" applyProtection="1">
      <alignment horizontal="center" vertical="center"/>
    </xf>
    <xf numFmtId="0" fontId="34" fillId="13" borderId="48" xfId="0" applyFont="1" applyFill="1" applyBorder="1" applyAlignment="1" applyProtection="1">
      <alignment horizontal="center" vertical="center" wrapText="1"/>
    </xf>
    <xf numFmtId="0" fontId="87" fillId="32" borderId="0" xfId="0" applyFont="1" applyFill="1"/>
    <xf numFmtId="0" fontId="23" fillId="13" borderId="61" xfId="0" applyFont="1" applyFill="1" applyBorder="1" applyAlignment="1">
      <alignment horizontal="left" vertical="center" wrapText="1" indent="1"/>
    </xf>
    <xf numFmtId="0" fontId="23" fillId="13" borderId="57" xfId="0" applyFont="1" applyFill="1" applyBorder="1" applyAlignment="1">
      <alignment horizontal="left" vertical="center" wrapText="1" indent="1"/>
    </xf>
    <xf numFmtId="0" fontId="86" fillId="25" borderId="0" xfId="0" applyFont="1" applyFill="1" applyBorder="1" applyAlignment="1">
      <alignment horizontal="center" vertical="center"/>
    </xf>
    <xf numFmtId="0" fontId="34" fillId="25" borderId="102" xfId="0" applyFont="1" applyFill="1" applyBorder="1" applyAlignment="1" applyProtection="1">
      <alignment horizontal="center" vertical="center" wrapText="1"/>
    </xf>
    <xf numFmtId="0" fontId="0" fillId="13" borderId="46" xfId="0" applyFill="1" applyBorder="1" applyAlignment="1">
      <alignment horizontal="center"/>
    </xf>
    <xf numFmtId="3" fontId="135" fillId="13" borderId="0" xfId="0" applyNumberFormat="1" applyFont="1" applyFill="1" applyAlignment="1" applyProtection="1">
      <alignment horizontal="left" vertical="center"/>
    </xf>
    <xf numFmtId="0" fontId="101" fillId="13" borderId="0" xfId="0" applyFont="1" applyFill="1" applyAlignment="1" applyProtection="1">
      <alignment horizontal="center"/>
      <protection locked="0"/>
    </xf>
    <xf numFmtId="0" fontId="53" fillId="0" borderId="76" xfId="0" applyNumberFormat="1" applyFont="1" applyBorder="1" applyAlignment="1" applyProtection="1">
      <alignment horizontal="center" vertical="center"/>
    </xf>
    <xf numFmtId="1" fontId="53" fillId="24" borderId="46" xfId="0" applyNumberFormat="1" applyFont="1" applyFill="1" applyBorder="1" applyAlignment="1" applyProtection="1">
      <alignment horizontal="center" vertical="center"/>
    </xf>
    <xf numFmtId="3" fontId="53" fillId="26" borderId="46" xfId="0" applyNumberFormat="1" applyFont="1" applyFill="1" applyBorder="1" applyAlignment="1" applyProtection="1">
      <alignment horizontal="center" vertical="center"/>
    </xf>
    <xf numFmtId="3" fontId="53" fillId="28" borderId="46" xfId="0" applyNumberFormat="1" applyFont="1" applyFill="1" applyBorder="1" applyAlignment="1" applyProtection="1">
      <alignment horizontal="center" vertical="center"/>
    </xf>
    <xf numFmtId="3" fontId="53" fillId="23" borderId="46" xfId="0" applyNumberFormat="1" applyFont="1" applyFill="1" applyBorder="1" applyAlignment="1" applyProtection="1">
      <alignment horizontal="center" vertical="center"/>
    </xf>
    <xf numFmtId="1" fontId="53" fillId="13" borderId="57" xfId="0" applyNumberFormat="1" applyFont="1" applyFill="1" applyBorder="1" applyAlignment="1" applyProtection="1">
      <alignment horizontal="center" vertical="center"/>
    </xf>
    <xf numFmtId="1" fontId="53" fillId="26" borderId="46" xfId="0" applyNumberFormat="1" applyFont="1" applyFill="1" applyBorder="1" applyAlignment="1" applyProtection="1">
      <alignment horizontal="center" vertical="center"/>
    </xf>
    <xf numFmtId="1" fontId="53" fillId="28" borderId="46" xfId="0" applyNumberFormat="1" applyFont="1" applyFill="1" applyBorder="1" applyAlignment="1" applyProtection="1">
      <alignment horizontal="center" vertical="center"/>
    </xf>
    <xf numFmtId="1" fontId="53" fillId="23" borderId="46" xfId="0" applyNumberFormat="1" applyFont="1" applyFill="1" applyBorder="1" applyAlignment="1" applyProtection="1">
      <alignment horizontal="center" vertical="center"/>
    </xf>
    <xf numFmtId="0" fontId="53" fillId="13" borderId="0" xfId="0" applyFont="1" applyFill="1" applyAlignment="1">
      <alignment horizontal="center"/>
    </xf>
    <xf numFmtId="0" fontId="53" fillId="13" borderId="0" xfId="0" applyFont="1" applyFill="1" applyBorder="1" applyAlignment="1">
      <alignment horizontal="center"/>
    </xf>
    <xf numFmtId="0" fontId="190" fillId="13" borderId="0" xfId="0" applyFont="1" applyFill="1" applyAlignment="1">
      <alignment horizontal="center"/>
    </xf>
    <xf numFmtId="1" fontId="53" fillId="13" borderId="46" xfId="0" applyNumberFormat="1" applyFont="1" applyFill="1" applyBorder="1" applyAlignment="1" applyProtection="1">
      <alignment horizontal="center" vertical="center"/>
    </xf>
    <xf numFmtId="1" fontId="53" fillId="13" borderId="0" xfId="0" applyNumberFormat="1" applyFont="1" applyFill="1" applyAlignment="1">
      <alignment horizontal="center"/>
    </xf>
    <xf numFmtId="1" fontId="53" fillId="13" borderId="0" xfId="0" applyNumberFormat="1" applyFont="1" applyFill="1" applyBorder="1" applyAlignment="1">
      <alignment horizontal="center"/>
    </xf>
    <xf numFmtId="0" fontId="0" fillId="38" borderId="0" xfId="0" applyFont="1" applyFill="1"/>
    <xf numFmtId="164" fontId="0" fillId="0" borderId="46" xfId="0" applyNumberFormat="1" applyBorder="1" applyAlignment="1">
      <alignment horizontal="left"/>
    </xf>
    <xf numFmtId="1" fontId="53" fillId="0" borderId="46" xfId="0" applyNumberFormat="1" applyFont="1" applyBorder="1" applyAlignment="1" applyProtection="1">
      <alignment horizontal="center" vertical="center"/>
    </xf>
    <xf numFmtId="0" fontId="85" fillId="13" borderId="63" xfId="0" applyFont="1" applyFill="1" applyBorder="1" applyAlignment="1">
      <alignment vertical="center"/>
    </xf>
    <xf numFmtId="0" fontId="86" fillId="25" borderId="26" xfId="0" applyFont="1" applyFill="1" applyBorder="1" applyAlignment="1">
      <alignment vertical="center"/>
    </xf>
    <xf numFmtId="0" fontId="86" fillId="25" borderId="28" xfId="0" applyFont="1" applyFill="1" applyBorder="1" applyAlignment="1">
      <alignment vertical="center"/>
    </xf>
    <xf numFmtId="0" fontId="91" fillId="26" borderId="26" xfId="0" applyFont="1" applyFill="1" applyBorder="1" applyAlignment="1">
      <alignment vertical="center"/>
    </xf>
    <xf numFmtId="0" fontId="91" fillId="26" borderId="28" xfId="0" applyFont="1" applyFill="1" applyBorder="1" applyAlignment="1">
      <alignment vertical="center"/>
    </xf>
    <xf numFmtId="0" fontId="85" fillId="13" borderId="64" xfId="0" applyFont="1" applyFill="1" applyBorder="1" applyAlignment="1">
      <alignment vertical="center"/>
    </xf>
    <xf numFmtId="0" fontId="86" fillId="16" borderId="26" xfId="3996" applyFont="1" applyFill="1" applyBorder="1" applyAlignment="1">
      <alignment vertical="center"/>
    </xf>
    <xf numFmtId="0" fontId="86" fillId="16" borderId="28" xfId="3996" applyFont="1" applyFill="1" applyBorder="1" applyAlignment="1">
      <alignment vertical="center"/>
    </xf>
    <xf numFmtId="0" fontId="86" fillId="16" borderId="26" xfId="0" applyFont="1" applyFill="1" applyBorder="1" applyAlignment="1">
      <alignment vertical="center"/>
    </xf>
    <xf numFmtId="0" fontId="86" fillId="16" borderId="28" xfId="0" applyFont="1" applyFill="1" applyBorder="1" applyAlignment="1">
      <alignment vertical="center"/>
    </xf>
    <xf numFmtId="164" fontId="107" fillId="0" borderId="60" xfId="0" applyNumberFormat="1" applyFont="1" applyBorder="1" applyAlignment="1" applyProtection="1">
      <alignment horizontal="left" vertical="center"/>
    </xf>
    <xf numFmtId="1" fontId="53" fillId="0" borderId="46" xfId="0" applyNumberFormat="1" applyFont="1" applyBorder="1" applyAlignment="1" applyProtection="1">
      <alignment horizontal="left" vertical="center"/>
    </xf>
    <xf numFmtId="0" fontId="107" fillId="13" borderId="46" xfId="0" applyNumberFormat="1" applyFont="1" applyFill="1" applyBorder="1" applyAlignment="1" applyProtection="1">
      <alignment horizontal="center" vertical="center"/>
    </xf>
    <xf numFmtId="3" fontId="22" fillId="23" borderId="77" xfId="0" applyNumberFormat="1" applyFont="1" applyFill="1" applyBorder="1" applyAlignment="1" applyProtection="1">
      <alignment horizontal="center" vertical="center"/>
    </xf>
    <xf numFmtId="0" fontId="23" fillId="13" borderId="60" xfId="0" applyFont="1" applyFill="1" applyBorder="1" applyAlignment="1">
      <alignment horizontal="left" vertical="center" indent="1"/>
    </xf>
    <xf numFmtId="3" fontId="0" fillId="24" borderId="46" xfId="0" applyNumberFormat="1" applyFont="1" applyFill="1" applyBorder="1" applyAlignment="1">
      <alignment horizontal="center"/>
    </xf>
    <xf numFmtId="1" fontId="49" fillId="32" borderId="103" xfId="0" applyNumberFormat="1" applyFont="1" applyFill="1" applyBorder="1" applyAlignment="1">
      <alignment horizontal="center"/>
    </xf>
    <xf numFmtId="164" fontId="107" fillId="13" borderId="46" xfId="0" applyNumberFormat="1" applyFont="1" applyFill="1" applyBorder="1" applyAlignment="1" applyProtection="1">
      <alignment horizontal="center" vertical="center"/>
    </xf>
    <xf numFmtId="0" fontId="0" fillId="13" borderId="60" xfId="0" applyFont="1" applyFill="1" applyBorder="1" applyAlignment="1">
      <alignment horizontal="left"/>
    </xf>
    <xf numFmtId="0" fontId="0" fillId="32" borderId="60" xfId="0" applyFont="1" applyFill="1" applyBorder="1" applyAlignment="1">
      <alignment horizontal="left"/>
    </xf>
    <xf numFmtId="0" fontId="0" fillId="32" borderId="57" xfId="0" applyFont="1" applyFill="1" applyBorder="1" applyAlignment="1">
      <alignment horizontal="center"/>
    </xf>
    <xf numFmtId="0" fontId="145" fillId="25" borderId="63" xfId="0" applyFont="1" applyFill="1" applyBorder="1" applyAlignment="1">
      <alignment horizontal="center" vertical="center" wrapText="1"/>
    </xf>
    <xf numFmtId="0" fontId="145" fillId="25" borderId="64" xfId="0" applyFont="1" applyFill="1" applyBorder="1" applyAlignment="1">
      <alignment horizontal="center" vertical="center" wrapText="1"/>
    </xf>
    <xf numFmtId="0" fontId="0" fillId="13" borderId="46" xfId="0" applyFont="1" applyFill="1" applyBorder="1" applyAlignment="1">
      <alignment horizontal="center" vertical="center"/>
    </xf>
    <xf numFmtId="0" fontId="25" fillId="25" borderId="162" xfId="3996" applyFont="1" applyFill="1" applyBorder="1" applyAlignment="1">
      <alignment horizontal="center" vertical="center"/>
    </xf>
    <xf numFmtId="0" fontId="86" fillId="16" borderId="26" xfId="0" applyFont="1" applyFill="1" applyBorder="1" applyAlignment="1">
      <alignment horizontal="center" vertical="center"/>
    </xf>
    <xf numFmtId="0" fontId="86" fillId="16" borderId="28" xfId="0" applyFont="1" applyFill="1" applyBorder="1" applyAlignment="1">
      <alignment horizontal="center" vertical="center"/>
    </xf>
    <xf numFmtId="0" fontId="86" fillId="25" borderId="0" xfId="0" applyFont="1" applyFill="1" applyBorder="1" applyAlignment="1">
      <alignment horizontal="center" vertical="center"/>
    </xf>
    <xf numFmtId="0" fontId="34" fillId="25" borderId="102" xfId="0" applyFont="1" applyFill="1" applyBorder="1" applyAlignment="1" applyProtection="1">
      <alignment horizontal="center" vertical="center" wrapText="1"/>
    </xf>
    <xf numFmtId="0" fontId="53" fillId="13" borderId="0" xfId="4079" applyFont="1" applyFill="1" applyBorder="1" applyAlignment="1">
      <alignment horizontal="left" wrapText="1"/>
    </xf>
    <xf numFmtId="0" fontId="0" fillId="13" borderId="0" xfId="3137" applyFont="1" applyFill="1" applyAlignment="1">
      <alignment horizontal="left" wrapText="1"/>
    </xf>
    <xf numFmtId="0" fontId="58" fillId="26" borderId="14" xfId="0" applyFont="1" applyFill="1" applyBorder="1" applyAlignment="1">
      <alignment horizontal="center" vertical="center" wrapText="1"/>
    </xf>
    <xf numFmtId="0" fontId="0" fillId="13" borderId="46" xfId="0" applyFill="1" applyBorder="1" applyAlignment="1">
      <alignment horizontal="center"/>
    </xf>
    <xf numFmtId="0" fontId="62" fillId="13" borderId="0" xfId="3137" applyFill="1" applyAlignment="1">
      <alignment horizontal="left" wrapText="1"/>
    </xf>
    <xf numFmtId="0" fontId="32" fillId="25" borderId="16" xfId="0" applyFont="1" applyFill="1" applyBorder="1" applyAlignment="1">
      <alignment horizontal="center" vertical="center"/>
    </xf>
    <xf numFmtId="0" fontId="32" fillId="25" borderId="16" xfId="0" applyFont="1" applyFill="1" applyBorder="1" applyAlignment="1">
      <alignment horizontal="center" vertical="center" wrapText="1"/>
    </xf>
    <xf numFmtId="0" fontId="32" fillId="25" borderId="1" xfId="0" applyFont="1" applyFill="1" applyBorder="1" applyAlignment="1">
      <alignment horizontal="center" vertical="center"/>
    </xf>
    <xf numFmtId="0" fontId="34" fillId="25" borderId="102" xfId="0" applyFont="1" applyFill="1" applyBorder="1" applyAlignment="1" applyProtection="1">
      <alignment horizontal="center" vertical="center"/>
    </xf>
    <xf numFmtId="0" fontId="34" fillId="25" borderId="54" xfId="0" applyFont="1" applyFill="1" applyBorder="1" applyAlignment="1" applyProtection="1">
      <alignment horizontal="center" vertical="center" wrapText="1"/>
    </xf>
    <xf numFmtId="0" fontId="19" fillId="16" borderId="26" xfId="0" applyFont="1" applyFill="1" applyBorder="1" applyAlignment="1" applyProtection="1">
      <alignment horizontal="center" vertical="center" wrapText="1"/>
      <protection locked="0"/>
    </xf>
    <xf numFmtId="0" fontId="0" fillId="13" borderId="0" xfId="0" applyFont="1" applyFill="1" applyBorder="1" applyAlignment="1">
      <alignment wrapText="1"/>
    </xf>
    <xf numFmtId="0" fontId="0" fillId="13" borderId="0" xfId="0" applyFont="1" applyFill="1" applyBorder="1" applyAlignment="1">
      <alignment vertical="center" textRotation="90" wrapText="1"/>
    </xf>
    <xf numFmtId="0" fontId="0" fillId="13" borderId="0" xfId="0" applyFont="1" applyFill="1" applyBorder="1" applyAlignment="1" applyProtection="1">
      <alignment horizontal="left" wrapText="1"/>
      <protection locked="0"/>
    </xf>
    <xf numFmtId="0" fontId="19" fillId="16" borderId="26" xfId="0" applyFont="1" applyFill="1" applyBorder="1" applyAlignment="1" applyProtection="1">
      <alignment horizontal="center" vertical="center" wrapText="1"/>
      <protection locked="0"/>
    </xf>
    <xf numFmtId="0" fontId="88" fillId="13" borderId="183" xfId="0" applyFont="1" applyFill="1" applyBorder="1" applyAlignment="1"/>
    <xf numFmtId="0" fontId="27" fillId="13" borderId="183" xfId="0" applyFont="1" applyFill="1" applyBorder="1" applyAlignment="1"/>
    <xf numFmtId="0" fontId="28" fillId="13" borderId="183" xfId="0" applyFont="1" applyFill="1" applyBorder="1" applyAlignment="1"/>
    <xf numFmtId="0" fontId="27" fillId="13" borderId="183" xfId="0" applyFont="1" applyFill="1" applyBorder="1" applyAlignment="1">
      <alignment horizontal="center"/>
    </xf>
    <xf numFmtId="0" fontId="28" fillId="13" borderId="183" xfId="0" applyFont="1" applyFill="1" applyBorder="1" applyAlignment="1">
      <alignment horizontal="center"/>
    </xf>
    <xf numFmtId="0" fontId="28" fillId="13" borderId="183" xfId="0" applyFont="1" applyFill="1" applyBorder="1"/>
    <xf numFmtId="0" fontId="51" fillId="13" borderId="0" xfId="0" applyFont="1" applyFill="1" applyBorder="1" applyAlignment="1">
      <alignment horizontal="left" indent="1"/>
    </xf>
    <xf numFmtId="0" fontId="88" fillId="13" borderId="183" xfId="0" applyFont="1" applyFill="1" applyBorder="1" applyAlignment="1">
      <alignment vertical="center"/>
    </xf>
    <xf numFmtId="0" fontId="88" fillId="13" borderId="0" xfId="0" applyFont="1" applyFill="1"/>
    <xf numFmtId="0" fontId="0" fillId="13" borderId="57" xfId="0" applyFont="1" applyFill="1" applyBorder="1" applyAlignment="1">
      <alignment horizontal="center"/>
    </xf>
    <xf numFmtId="1" fontId="107" fillId="32" borderId="65" xfId="0" applyNumberFormat="1" applyFont="1" applyFill="1" applyBorder="1" applyAlignment="1" applyProtection="1">
      <alignment horizontal="center" vertical="center"/>
    </xf>
    <xf numFmtId="1" fontId="49" fillId="32" borderId="46" xfId="0" applyNumberFormat="1" applyFont="1" applyFill="1" applyBorder="1" applyAlignment="1">
      <alignment horizontal="center"/>
    </xf>
    <xf numFmtId="0" fontId="54" fillId="26" borderId="46" xfId="0" applyFont="1" applyFill="1" applyBorder="1" applyAlignment="1">
      <alignment horizontal="center" vertical="center"/>
    </xf>
    <xf numFmtId="0" fontId="22" fillId="13" borderId="46" xfId="0" applyFont="1" applyFill="1" applyBorder="1" applyAlignment="1">
      <alignment horizontal="center" vertical="center" wrapText="1"/>
    </xf>
    <xf numFmtId="0" fontId="23" fillId="13" borderId="46" xfId="0" applyFont="1" applyFill="1" applyBorder="1" applyAlignment="1">
      <alignment horizontal="center" vertical="center"/>
    </xf>
    <xf numFmtId="0" fontId="28" fillId="13" borderId="0" xfId="0" applyFont="1" applyFill="1" applyProtection="1">
      <protection locked="0"/>
    </xf>
    <xf numFmtId="0" fontId="34" fillId="25" borderId="59" xfId="0" applyFont="1" applyFill="1" applyBorder="1" applyAlignment="1" applyProtection="1">
      <alignment horizontal="center" vertical="center" wrapText="1"/>
    </xf>
    <xf numFmtId="0" fontId="0" fillId="13" borderId="57" xfId="0" applyFill="1" applyBorder="1" applyAlignment="1">
      <alignment horizontal="center"/>
    </xf>
    <xf numFmtId="166" fontId="0" fillId="13" borderId="46" xfId="0" applyNumberFormat="1" applyFont="1" applyFill="1" applyBorder="1" applyAlignment="1">
      <alignment horizontal="center" vertical="center"/>
    </xf>
    <xf numFmtId="167" fontId="0" fillId="13" borderId="46" xfId="0" applyNumberFormat="1" applyFont="1" applyFill="1" applyBorder="1" applyAlignment="1">
      <alignment horizontal="center" vertical="center"/>
    </xf>
    <xf numFmtId="0" fontId="0" fillId="13" borderId="61" xfId="0" applyFont="1" applyFill="1" applyBorder="1" applyAlignment="1">
      <alignment vertical="center" wrapText="1"/>
    </xf>
    <xf numFmtId="0" fontId="0" fillId="13" borderId="57" xfId="0" applyFont="1" applyFill="1" applyBorder="1" applyAlignment="1">
      <alignment vertical="center" wrapText="1"/>
    </xf>
    <xf numFmtId="0" fontId="6" fillId="25" borderId="48" xfId="0" applyFont="1" applyFill="1" applyBorder="1" applyAlignment="1">
      <alignment vertical="center" wrapText="1"/>
    </xf>
    <xf numFmtId="0" fontId="6" fillId="25" borderId="52" xfId="0" applyFont="1" applyFill="1" applyBorder="1" applyAlignment="1">
      <alignment vertical="center" wrapText="1"/>
    </xf>
    <xf numFmtId="0" fontId="8" fillId="30" borderId="60" xfId="0" applyFont="1" applyFill="1" applyBorder="1" applyAlignment="1">
      <alignment horizontal="left" vertical="center" indent="1"/>
    </xf>
    <xf numFmtId="0" fontId="50" fillId="39" borderId="172" xfId="0" applyFont="1" applyFill="1" applyBorder="1" applyAlignment="1">
      <alignment vertical="center"/>
    </xf>
    <xf numFmtId="0" fontId="6" fillId="18" borderId="0" xfId="0" applyFont="1" applyFill="1" applyAlignment="1">
      <alignment vertical="center" wrapText="1"/>
    </xf>
    <xf numFmtId="0" fontId="9" fillId="0" borderId="0" xfId="0" applyFont="1"/>
    <xf numFmtId="0" fontId="9" fillId="18" borderId="0" xfId="0" applyFont="1" applyFill="1" applyAlignment="1">
      <alignment vertical="center"/>
    </xf>
    <xf numFmtId="0" fontId="50" fillId="30" borderId="61" xfId="0" applyFont="1" applyFill="1" applyBorder="1" applyAlignment="1">
      <alignment horizontal="center" vertical="center"/>
    </xf>
    <xf numFmtId="0" fontId="50" fillId="30" borderId="57" xfId="0" applyFont="1" applyFill="1" applyBorder="1" applyAlignment="1">
      <alignment horizontal="center" vertical="center"/>
    </xf>
    <xf numFmtId="0" fontId="25" fillId="13" borderId="57" xfId="0" applyFont="1" applyFill="1" applyBorder="1" applyAlignment="1">
      <alignment vertical="center" wrapText="1"/>
    </xf>
    <xf numFmtId="0" fontId="0" fillId="13" borderId="60" xfId="0" applyFont="1" applyFill="1" applyBorder="1" applyAlignment="1">
      <alignment horizontal="left" vertical="center" indent="1"/>
    </xf>
    <xf numFmtId="0" fontId="0" fillId="13" borderId="90" xfId="0" applyFill="1" applyBorder="1"/>
    <xf numFmtId="0" fontId="110" fillId="13" borderId="0" xfId="0" applyFont="1" applyFill="1" applyAlignment="1">
      <alignment vertical="center"/>
    </xf>
    <xf numFmtId="0" fontId="28" fillId="13" borderId="0" xfId="0" applyFont="1" applyFill="1" applyBorder="1" applyAlignment="1">
      <alignment horizontal="center" vertical="top"/>
    </xf>
    <xf numFmtId="49" fontId="22" fillId="13" borderId="46" xfId="0" applyNumberFormat="1" applyFont="1" applyFill="1" applyBorder="1" applyAlignment="1" applyProtection="1">
      <alignment horizontal="center" vertical="center"/>
      <protection locked="0"/>
    </xf>
    <xf numFmtId="0" fontId="23" fillId="17" borderId="46" xfId="0" applyFont="1" applyFill="1" applyBorder="1" applyAlignment="1" applyProtection="1">
      <alignment horizontal="center" vertical="center"/>
      <protection locked="0"/>
    </xf>
    <xf numFmtId="165" fontId="22" fillId="13" borderId="46" xfId="0" applyNumberFormat="1" applyFont="1" applyFill="1" applyBorder="1" applyAlignment="1" applyProtection="1">
      <alignment horizontal="center" vertical="center"/>
      <protection locked="0"/>
    </xf>
    <xf numFmtId="2" fontId="23" fillId="17" borderId="46" xfId="0" applyNumberFormat="1" applyFont="1" applyFill="1" applyBorder="1" applyAlignment="1" applyProtection="1">
      <alignment horizontal="center" vertical="center"/>
      <protection locked="0"/>
    </xf>
    <xf numFmtId="0" fontId="22" fillId="13" borderId="46" xfId="0" applyFont="1" applyFill="1" applyBorder="1" applyAlignment="1" applyProtection="1">
      <alignment horizontal="center" vertical="center"/>
      <protection locked="0"/>
    </xf>
    <xf numFmtId="0" fontId="22" fillId="13" borderId="46" xfId="0" applyFont="1" applyFill="1" applyBorder="1" applyAlignment="1" applyProtection="1">
      <alignment horizontal="center" vertical="center" wrapText="1"/>
      <protection locked="0"/>
    </xf>
    <xf numFmtId="0" fontId="22" fillId="13" borderId="46" xfId="0" applyFont="1" applyFill="1" applyBorder="1" applyAlignment="1" applyProtection="1">
      <alignment horizontal="left" vertical="center" wrapText="1"/>
      <protection locked="0"/>
    </xf>
    <xf numFmtId="1" fontId="23" fillId="13" borderId="46" xfId="0" applyNumberFormat="1" applyFont="1" applyFill="1" applyBorder="1" applyAlignment="1" applyProtection="1">
      <alignment horizontal="left" vertical="center" wrapText="1"/>
      <protection locked="0"/>
    </xf>
    <xf numFmtId="49" fontId="22" fillId="13" borderId="60" xfId="0" applyNumberFormat="1" applyFont="1" applyFill="1" applyBorder="1" applyAlignment="1" applyProtection="1">
      <alignment horizontal="center" vertical="center"/>
      <protection locked="0"/>
    </xf>
    <xf numFmtId="0" fontId="22" fillId="13" borderId="61" xfId="0" applyNumberFormat="1" applyFont="1" applyFill="1" applyBorder="1" applyAlignment="1" applyProtection="1">
      <alignment horizontal="center" vertical="center"/>
      <protection locked="0"/>
    </xf>
    <xf numFmtId="49" fontId="22" fillId="13" borderId="57" xfId="0" applyNumberFormat="1" applyFont="1" applyFill="1" applyBorder="1" applyAlignment="1" applyProtection="1">
      <alignment horizontal="center" vertical="center"/>
      <protection locked="0"/>
    </xf>
    <xf numFmtId="0" fontId="32" fillId="25" borderId="123" xfId="0" applyFont="1" applyFill="1" applyBorder="1" applyAlignment="1" applyProtection="1">
      <alignment horizontal="center" vertical="center"/>
      <protection locked="0"/>
    </xf>
    <xf numFmtId="0" fontId="32" fillId="25" borderId="123" xfId="0" applyFont="1" applyFill="1" applyBorder="1" applyAlignment="1" applyProtection="1">
      <alignment horizontal="center" vertical="center" wrapText="1"/>
      <protection locked="0"/>
    </xf>
    <xf numFmtId="0" fontId="54" fillId="17" borderId="46" xfId="0" applyFont="1" applyFill="1" applyBorder="1" applyAlignment="1" applyProtection="1">
      <alignment horizontal="center" vertical="center"/>
      <protection locked="0"/>
    </xf>
    <xf numFmtId="0" fontId="54" fillId="17" borderId="46" xfId="0" applyFont="1" applyFill="1" applyBorder="1" applyAlignment="1" applyProtection="1">
      <alignment vertical="center"/>
      <protection locked="0"/>
    </xf>
    <xf numFmtId="1" fontId="23" fillId="13" borderId="46" xfId="0" applyNumberFormat="1" applyFont="1" applyFill="1" applyBorder="1" applyAlignment="1" applyProtection="1">
      <alignment horizontal="left" vertical="center"/>
      <protection locked="0"/>
    </xf>
    <xf numFmtId="0" fontId="54" fillId="17" borderId="60" xfId="0" applyFont="1" applyFill="1" applyBorder="1" applyAlignment="1" applyProtection="1">
      <alignment horizontal="center" vertical="center"/>
      <protection locked="0"/>
    </xf>
    <xf numFmtId="0" fontId="54" fillId="17" borderId="57" xfId="0" applyFont="1" applyFill="1" applyBorder="1" applyAlignment="1" applyProtection="1">
      <alignment horizontal="center" vertical="center"/>
      <protection locked="0"/>
    </xf>
    <xf numFmtId="0" fontId="54" fillId="17" borderId="61" xfId="0" applyFont="1" applyFill="1" applyBorder="1" applyAlignment="1" applyProtection="1">
      <alignment horizontal="center" vertical="center"/>
      <protection locked="0"/>
    </xf>
    <xf numFmtId="0" fontId="54" fillId="26" borderId="46" xfId="0" applyFont="1" applyFill="1" applyBorder="1" applyAlignment="1" applyProtection="1">
      <alignment horizontal="center" vertical="center"/>
      <protection locked="0"/>
    </xf>
    <xf numFmtId="0" fontId="54" fillId="26" borderId="60" xfId="0" applyFont="1" applyFill="1" applyBorder="1" applyAlignment="1" applyProtection="1">
      <alignment horizontal="center" vertical="center"/>
      <protection locked="0"/>
    </xf>
    <xf numFmtId="0" fontId="22" fillId="26" borderId="61" xfId="0" applyFont="1" applyFill="1" applyBorder="1" applyAlignment="1" applyProtection="1">
      <alignment horizontal="center" vertical="center"/>
      <protection locked="0"/>
    </xf>
    <xf numFmtId="0" fontId="54" fillId="26" borderId="57" xfId="0" applyFont="1" applyFill="1" applyBorder="1" applyAlignment="1" applyProtection="1">
      <alignment horizontal="center" vertical="center"/>
      <protection locked="0"/>
    </xf>
    <xf numFmtId="0" fontId="56" fillId="26" borderId="46" xfId="0" applyFont="1" applyFill="1" applyBorder="1" applyAlignment="1" applyProtection="1">
      <alignment horizontal="center" vertical="center"/>
      <protection locked="0"/>
    </xf>
    <xf numFmtId="172" fontId="23" fillId="26" borderId="46" xfId="0" applyNumberFormat="1" applyFont="1" applyFill="1" applyBorder="1" applyAlignment="1" applyProtection="1">
      <alignment horizontal="center" vertical="center"/>
      <protection locked="0"/>
    </xf>
    <xf numFmtId="172" fontId="54" fillId="26" borderId="46" xfId="0" applyNumberFormat="1" applyFont="1" applyFill="1" applyBorder="1" applyAlignment="1" applyProtection="1">
      <alignment horizontal="center" vertical="center"/>
      <protection locked="0"/>
    </xf>
    <xf numFmtId="0" fontId="32" fillId="25" borderId="43" xfId="0" applyFont="1" applyFill="1" applyBorder="1" applyAlignment="1" applyProtection="1">
      <alignment horizontal="center" vertical="center"/>
      <protection locked="0"/>
    </xf>
    <xf numFmtId="2" fontId="23" fillId="13" borderId="46" xfId="0" applyNumberFormat="1" applyFont="1" applyFill="1" applyBorder="1" applyAlignment="1" applyProtection="1">
      <alignment horizontal="center" vertical="center"/>
      <protection locked="0"/>
    </xf>
    <xf numFmtId="3" fontId="98" fillId="13" borderId="0" xfId="0" applyNumberFormat="1" applyFont="1" applyFill="1" applyBorder="1" applyAlignment="1">
      <alignment horizontal="left"/>
    </xf>
    <xf numFmtId="0" fontId="23" fillId="13" borderId="0" xfId="0" applyFont="1" applyFill="1" applyAlignment="1" applyProtection="1">
      <alignment horizontal="right"/>
    </xf>
    <xf numFmtId="0" fontId="23" fillId="13" borderId="0" xfId="0" applyFont="1" applyFill="1" applyAlignment="1" applyProtection="1">
      <alignment horizontal="left"/>
    </xf>
    <xf numFmtId="0" fontId="92" fillId="13" borderId="0" xfId="0" applyFont="1" applyFill="1" applyAlignment="1">
      <alignment horizontal="left"/>
    </xf>
    <xf numFmtId="0" fontId="0" fillId="13" borderId="46" xfId="0" applyFont="1" applyFill="1" applyBorder="1" applyAlignment="1">
      <alignment wrapText="1"/>
    </xf>
    <xf numFmtId="0" fontId="0" fillId="13" borderId="46" xfId="0" applyFont="1" applyFill="1" applyBorder="1" applyAlignment="1"/>
    <xf numFmtId="0" fontId="0" fillId="13" borderId="46" xfId="0" applyFont="1" applyFill="1" applyBorder="1" applyAlignment="1">
      <alignment horizontal="center"/>
    </xf>
    <xf numFmtId="0" fontId="0" fillId="13" borderId="46" xfId="0" applyFont="1" applyFill="1" applyBorder="1"/>
    <xf numFmtId="0" fontId="0" fillId="13" borderId="57" xfId="0" applyFont="1" applyFill="1" applyBorder="1" applyAlignment="1">
      <alignment wrapText="1"/>
    </xf>
    <xf numFmtId="0" fontId="0" fillId="13" borderId="60" xfId="0" applyFont="1" applyFill="1" applyBorder="1" applyAlignment="1">
      <alignment wrapText="1"/>
    </xf>
    <xf numFmtId="0" fontId="86" fillId="16" borderId="27" xfId="3996" applyFont="1" applyFill="1" applyBorder="1" applyAlignment="1">
      <alignment vertical="center"/>
    </xf>
    <xf numFmtId="0" fontId="86" fillId="25" borderId="27" xfId="0" applyFont="1" applyFill="1" applyBorder="1" applyAlignment="1">
      <alignment vertical="center"/>
    </xf>
    <xf numFmtId="0" fontId="53" fillId="26" borderId="14" xfId="0" applyFont="1" applyFill="1" applyBorder="1" applyAlignment="1">
      <alignment vertical="center"/>
    </xf>
    <xf numFmtId="0" fontId="0" fillId="13" borderId="17" xfId="0" applyFill="1" applyBorder="1"/>
    <xf numFmtId="0" fontId="0" fillId="26" borderId="3" xfId="0" applyFill="1" applyBorder="1" applyAlignment="1">
      <alignment vertical="center"/>
    </xf>
    <xf numFmtId="0" fontId="0" fillId="13" borderId="14" xfId="0" applyFill="1" applyBorder="1" applyAlignment="1">
      <alignment vertical="center"/>
    </xf>
    <xf numFmtId="0" fontId="62" fillId="13" borderId="17" xfId="0" applyFont="1" applyFill="1" applyBorder="1" applyAlignment="1">
      <alignment vertical="center" wrapText="1"/>
    </xf>
    <xf numFmtId="0" fontId="62" fillId="13" borderId="17" xfId="0" applyFont="1" applyFill="1" applyBorder="1" applyAlignment="1">
      <alignment horizontal="center" vertical="center" wrapText="1"/>
    </xf>
    <xf numFmtId="0" fontId="62" fillId="13" borderId="20" xfId="0" applyFont="1" applyFill="1" applyBorder="1" applyAlignment="1">
      <alignment horizontal="center" vertical="center" wrapText="1"/>
    </xf>
    <xf numFmtId="0" fontId="28" fillId="13" borderId="12" xfId="0" applyFont="1" applyFill="1" applyBorder="1" applyAlignment="1">
      <alignment vertical="center"/>
    </xf>
    <xf numFmtId="0" fontId="62" fillId="13" borderId="19" xfId="0" applyFont="1" applyFill="1" applyBorder="1" applyAlignment="1">
      <alignment horizontal="center" vertical="center" wrapText="1"/>
    </xf>
    <xf numFmtId="0" fontId="62" fillId="13" borderId="24" xfId="0" applyFont="1" applyFill="1" applyBorder="1" applyAlignment="1">
      <alignment horizontal="center" vertical="center" wrapText="1"/>
    </xf>
    <xf numFmtId="0" fontId="62" fillId="13" borderId="11" xfId="0" applyFont="1" applyFill="1" applyBorder="1" applyAlignment="1">
      <alignment horizontal="center" vertical="center" wrapText="1"/>
    </xf>
    <xf numFmtId="0" fontId="62" fillId="13" borderId="12" xfId="0" applyFont="1" applyFill="1" applyBorder="1" applyAlignment="1">
      <alignment horizontal="center" vertical="center" wrapText="1"/>
    </xf>
    <xf numFmtId="9" fontId="62" fillId="13" borderId="33" xfId="4018" applyFont="1" applyFill="1" applyBorder="1" applyAlignment="1">
      <alignment horizontal="center" vertical="center" wrapText="1"/>
    </xf>
    <xf numFmtId="9" fontId="62" fillId="13" borderId="22" xfId="4018" applyFont="1" applyFill="1" applyBorder="1" applyAlignment="1">
      <alignment horizontal="center" vertical="center" wrapText="1"/>
    </xf>
    <xf numFmtId="180" fontId="62" fillId="13" borderId="0" xfId="4078" applyNumberFormat="1" applyFont="1" applyFill="1" applyBorder="1" applyAlignment="1">
      <alignment horizontal="center" vertical="center" wrapText="1"/>
    </xf>
    <xf numFmtId="181" fontId="168" fillId="13" borderId="1" xfId="4078" applyNumberFormat="1" applyFont="1" applyFill="1" applyBorder="1" applyAlignment="1">
      <alignment horizontal="center" vertical="center" wrapText="1"/>
    </xf>
    <xf numFmtId="0" fontId="168" fillId="13" borderId="0" xfId="0" applyFont="1" applyFill="1" applyBorder="1" applyAlignment="1">
      <alignment vertical="center" wrapText="1"/>
    </xf>
    <xf numFmtId="169" fontId="168" fillId="13" borderId="0" xfId="0" applyNumberFormat="1" applyFont="1" applyFill="1" applyBorder="1" applyAlignment="1">
      <alignment vertical="center" wrapText="1"/>
    </xf>
    <xf numFmtId="0" fontId="64" fillId="13" borderId="33" xfId="3139" applyFill="1" applyBorder="1" applyAlignment="1">
      <alignment vertical="center"/>
    </xf>
    <xf numFmtId="169" fontId="62" fillId="13" borderId="0" xfId="0" applyNumberFormat="1" applyFont="1" applyFill="1" applyBorder="1" applyAlignment="1">
      <alignment vertical="center" wrapText="1"/>
    </xf>
    <xf numFmtId="9" fontId="62" fillId="13" borderId="0" xfId="0" applyNumberFormat="1" applyFont="1" applyFill="1" applyBorder="1" applyAlignment="1">
      <alignment vertical="center" wrapText="1"/>
    </xf>
    <xf numFmtId="0" fontId="66" fillId="26" borderId="3" xfId="3139" applyFont="1" applyFill="1" applyBorder="1" applyAlignment="1">
      <alignment horizontal="left" vertical="center"/>
    </xf>
    <xf numFmtId="0" fontId="64" fillId="13" borderId="22" xfId="3139" applyFill="1" applyBorder="1" applyAlignment="1">
      <alignment vertical="center"/>
    </xf>
    <xf numFmtId="0" fontId="62" fillId="13" borderId="17" xfId="0" applyFont="1" applyFill="1" applyBorder="1" applyAlignment="1">
      <alignment vertical="center"/>
    </xf>
    <xf numFmtId="0" fontId="62" fillId="13" borderId="0" xfId="0" applyFont="1" applyFill="1" applyBorder="1" applyAlignment="1">
      <alignment horizontal="left" vertical="center"/>
    </xf>
    <xf numFmtId="0" fontId="62" fillId="13" borderId="0" xfId="0" applyFont="1" applyFill="1" applyBorder="1" applyAlignment="1">
      <alignment vertical="center"/>
    </xf>
    <xf numFmtId="0" fontId="64" fillId="13" borderId="0" xfId="3139" applyFill="1" applyBorder="1" applyAlignment="1">
      <alignment horizontal="left" vertical="center"/>
    </xf>
    <xf numFmtId="3" fontId="0" fillId="13" borderId="0" xfId="0" applyNumberFormat="1" applyFill="1"/>
    <xf numFmtId="169" fontId="62" fillId="13" borderId="0" xfId="0" applyNumberFormat="1" applyFont="1" applyFill="1"/>
    <xf numFmtId="9" fontId="23" fillId="17" borderId="1" xfId="4018" applyFont="1" applyFill="1" applyBorder="1" applyAlignment="1">
      <alignment horizontal="center"/>
    </xf>
    <xf numFmtId="9" fontId="23" fillId="0" borderId="1" xfId="0" applyNumberFormat="1" applyFont="1" applyFill="1" applyBorder="1" applyAlignment="1">
      <alignment horizontal="center"/>
    </xf>
    <xf numFmtId="0" fontId="23" fillId="0" borderId="1" xfId="0" applyFont="1" applyFill="1" applyBorder="1" applyAlignment="1">
      <alignment horizontal="center"/>
    </xf>
    <xf numFmtId="178" fontId="23" fillId="17" borderId="1" xfId="4018" applyNumberFormat="1" applyFont="1" applyFill="1" applyBorder="1" applyAlignment="1">
      <alignment horizontal="center"/>
    </xf>
    <xf numFmtId="167" fontId="69" fillId="0" borderId="1" xfId="4018" applyNumberFormat="1" applyFont="1" applyFill="1" applyBorder="1" applyAlignment="1">
      <alignment horizontal="center"/>
    </xf>
    <xf numFmtId="168" fontId="23" fillId="17" borderId="1" xfId="0" applyNumberFormat="1" applyFont="1" applyFill="1" applyBorder="1" applyAlignment="1">
      <alignment horizontal="center"/>
    </xf>
    <xf numFmtId="176" fontId="69" fillId="0" borderId="1" xfId="4078" applyNumberFormat="1" applyFont="1" applyFill="1" applyBorder="1" applyAlignment="1">
      <alignment horizontal="center"/>
    </xf>
    <xf numFmtId="0" fontId="23" fillId="13" borderId="1" xfId="0" applyFont="1" applyFill="1" applyBorder="1" applyAlignment="1">
      <alignment horizontal="center"/>
    </xf>
    <xf numFmtId="180" fontId="23" fillId="17" borderId="1" xfId="4078" applyNumberFormat="1" applyFont="1" applyFill="1" applyBorder="1" applyAlignment="1">
      <alignment horizontal="center"/>
    </xf>
    <xf numFmtId="167" fontId="69" fillId="17" borderId="1" xfId="4018" applyNumberFormat="1" applyFont="1" applyFill="1" applyBorder="1" applyAlignment="1">
      <alignment horizontal="center"/>
    </xf>
    <xf numFmtId="0" fontId="193" fillId="13" borderId="0" xfId="0" applyFont="1" applyFill="1" applyAlignment="1"/>
    <xf numFmtId="0" fontId="106" fillId="13" borderId="0" xfId="0" applyFont="1" applyFill="1"/>
    <xf numFmtId="176" fontId="64" fillId="17" borderId="1" xfId="3139" applyNumberFormat="1" applyFill="1" applyBorder="1" applyAlignment="1">
      <alignment horizontal="center"/>
    </xf>
    <xf numFmtId="171" fontId="53" fillId="17" borderId="1" xfId="4078" applyNumberFormat="1" applyFont="1" applyFill="1" applyBorder="1" applyAlignment="1">
      <alignment horizontal="center"/>
    </xf>
    <xf numFmtId="178" fontId="62" fillId="13" borderId="0" xfId="3137" applyNumberFormat="1" applyFill="1" applyBorder="1"/>
    <xf numFmtId="0" fontId="58" fillId="26" borderId="2" xfId="0" applyFont="1" applyFill="1" applyBorder="1" applyAlignment="1">
      <alignment vertical="center" wrapText="1"/>
    </xf>
    <xf numFmtId="0" fontId="58" fillId="26" borderId="14" xfId="0" applyFont="1" applyFill="1" applyBorder="1" applyAlignment="1">
      <alignment vertical="center" wrapText="1"/>
    </xf>
    <xf numFmtId="2" fontId="64" fillId="13" borderId="1" xfId="4078" applyNumberFormat="1" applyFont="1" applyFill="1" applyBorder="1" applyAlignment="1">
      <alignment horizontal="left"/>
    </xf>
    <xf numFmtId="178" fontId="64" fillId="13" borderId="1" xfId="4018" applyNumberFormat="1" applyFont="1" applyFill="1" applyBorder="1" applyAlignment="1">
      <alignment horizontal="left"/>
    </xf>
    <xf numFmtId="178" fontId="64" fillId="13" borderId="1" xfId="4018" applyNumberFormat="1" applyFont="1" applyFill="1" applyBorder="1" applyAlignment="1">
      <alignment horizontal="left" vertical="center"/>
    </xf>
    <xf numFmtId="0" fontId="62" fillId="13" borderId="3" xfId="3137" applyFill="1" applyBorder="1" applyAlignment="1">
      <alignment horizontal="left"/>
    </xf>
    <xf numFmtId="2" fontId="64" fillId="13" borderId="14" xfId="4078" applyNumberFormat="1" applyFont="1" applyFill="1" applyBorder="1" applyAlignment="1">
      <alignment horizontal="center"/>
    </xf>
    <xf numFmtId="178" fontId="64" fillId="13" borderId="16" xfId="4018" applyNumberFormat="1" applyFont="1" applyFill="1" applyBorder="1" applyAlignment="1">
      <alignment horizontal="left"/>
    </xf>
    <xf numFmtId="0" fontId="62" fillId="13" borderId="17" xfId="3137" applyFill="1" applyBorder="1" applyAlignment="1">
      <alignment horizontal="left"/>
    </xf>
    <xf numFmtId="0" fontId="62" fillId="13" borderId="20" xfId="3137" applyFill="1" applyBorder="1"/>
    <xf numFmtId="0" fontId="62" fillId="13" borderId="3" xfId="3137" applyFill="1" applyBorder="1"/>
    <xf numFmtId="0" fontId="64" fillId="13" borderId="14" xfId="3139" applyFill="1" applyBorder="1"/>
    <xf numFmtId="0" fontId="78" fillId="13" borderId="2" xfId="4079" applyFont="1" applyFill="1" applyBorder="1" applyAlignment="1">
      <alignment horizontal="center" wrapText="1"/>
    </xf>
    <xf numFmtId="0" fontId="78" fillId="13" borderId="2" xfId="4079" applyFont="1" applyFill="1" applyBorder="1" applyAlignment="1"/>
    <xf numFmtId="178" fontId="64" fillId="13" borderId="21" xfId="4018" applyNumberFormat="1" applyFont="1" applyFill="1" applyBorder="1" applyAlignment="1">
      <alignment horizontal="left" vertical="center"/>
    </xf>
    <xf numFmtId="0" fontId="62" fillId="13" borderId="12" xfId="3137" applyFill="1" applyBorder="1" applyAlignment="1">
      <alignment horizontal="left"/>
    </xf>
    <xf numFmtId="2" fontId="64" fillId="13" borderId="21" xfId="4078" applyNumberFormat="1" applyFont="1" applyFill="1" applyBorder="1" applyAlignment="1">
      <alignment horizontal="left"/>
    </xf>
    <xf numFmtId="0" fontId="62" fillId="13" borderId="22" xfId="3137" applyFill="1" applyBorder="1"/>
    <xf numFmtId="0" fontId="58" fillId="26" borderId="3" xfId="0" applyFont="1" applyFill="1" applyBorder="1" applyAlignment="1">
      <alignment vertical="center" wrapText="1"/>
    </xf>
    <xf numFmtId="9" fontId="0" fillId="13" borderId="0" xfId="4018" applyFont="1" applyFill="1"/>
    <xf numFmtId="1" fontId="0" fillId="0" borderId="1" xfId="4078" applyNumberFormat="1" applyFont="1" applyBorder="1" applyAlignment="1">
      <alignment horizontal="center"/>
    </xf>
    <xf numFmtId="0" fontId="194" fillId="13" borderId="0" xfId="3139" applyFont="1" applyFill="1"/>
    <xf numFmtId="0" fontId="78" fillId="13" borderId="14" xfId="4079" applyFont="1" applyFill="1" applyBorder="1" applyAlignment="1">
      <alignment horizontal="center" vertical="center" wrapText="1"/>
    </xf>
    <xf numFmtId="0" fontId="78" fillId="13" borderId="1" xfId="4079" applyFont="1" applyFill="1" applyBorder="1" applyAlignment="1">
      <alignment horizontal="center" vertical="center" wrapText="1"/>
    </xf>
    <xf numFmtId="174" fontId="78" fillId="13" borderId="1" xfId="4079" applyNumberFormat="1" applyFont="1" applyFill="1" applyBorder="1" applyAlignment="1">
      <alignment horizontal="center" vertical="center" wrapText="1"/>
    </xf>
    <xf numFmtId="165" fontId="78" fillId="13" borderId="1" xfId="4079" applyNumberFormat="1" applyFont="1" applyFill="1" applyBorder="1" applyAlignment="1">
      <alignment horizontal="center" vertical="center" wrapText="1"/>
    </xf>
    <xf numFmtId="0" fontId="101" fillId="26" borderId="1" xfId="0" applyFont="1" applyFill="1" applyBorder="1" applyAlignment="1">
      <alignment vertical="center" wrapText="1"/>
    </xf>
    <xf numFmtId="0" fontId="62" fillId="13" borderId="0" xfId="3137" applyFont="1" applyFill="1"/>
    <xf numFmtId="0" fontId="96" fillId="13" borderId="0" xfId="3137" applyFont="1" applyFill="1" applyBorder="1" applyAlignment="1">
      <alignment wrapText="1"/>
    </xf>
    <xf numFmtId="167" fontId="96" fillId="13" borderId="0" xfId="3137" applyNumberFormat="1" applyFont="1" applyFill="1" applyBorder="1" applyAlignment="1">
      <alignment wrapText="1"/>
    </xf>
    <xf numFmtId="0" fontId="64" fillId="13" borderId="0" xfId="3139" applyFill="1" applyAlignment="1">
      <alignment horizontal="left" vertical="center"/>
    </xf>
    <xf numFmtId="0" fontId="62" fillId="13" borderId="0" xfId="3137" applyFill="1" applyAlignment="1">
      <alignment horizontal="left" vertical="center" wrapText="1"/>
    </xf>
    <xf numFmtId="0" fontId="62" fillId="13" borderId="0" xfId="3137" applyFill="1" applyAlignment="1">
      <alignment horizontal="left" vertical="center"/>
    </xf>
    <xf numFmtId="0" fontId="53" fillId="13" borderId="19" xfId="4079" applyFont="1" applyFill="1" applyBorder="1" applyAlignment="1">
      <alignment horizontal="left" vertical="center" wrapText="1"/>
    </xf>
    <xf numFmtId="0" fontId="53" fillId="13" borderId="24" xfId="4079" applyFont="1" applyFill="1" applyBorder="1" applyAlignment="1">
      <alignment horizontal="left" vertical="center" wrapText="1"/>
    </xf>
    <xf numFmtId="0" fontId="53" fillId="13" borderId="0" xfId="4079" applyFont="1" applyFill="1" applyBorder="1" applyAlignment="1">
      <alignment horizontal="left" vertical="center" wrapText="1"/>
    </xf>
    <xf numFmtId="0" fontId="53" fillId="13" borderId="11" xfId="4079" applyFont="1" applyFill="1" applyBorder="1" applyAlignment="1">
      <alignment horizontal="left" vertical="center" wrapText="1"/>
    </xf>
    <xf numFmtId="0" fontId="167" fillId="26" borderId="19" xfId="3139" applyFont="1" applyFill="1" applyBorder="1" applyAlignment="1">
      <alignment horizontal="left" vertical="center"/>
    </xf>
    <xf numFmtId="0" fontId="167" fillId="26" borderId="17" xfId="3139" applyFont="1" applyFill="1" applyBorder="1" applyAlignment="1">
      <alignment horizontal="left" vertical="center"/>
    </xf>
    <xf numFmtId="0" fontId="167" fillId="26" borderId="20" xfId="3139" applyFont="1" applyFill="1" applyBorder="1" applyAlignment="1">
      <alignment horizontal="left" vertical="center"/>
    </xf>
    <xf numFmtId="0" fontId="53" fillId="13" borderId="17" xfId="4079" applyFont="1" applyFill="1" applyBorder="1" applyAlignment="1">
      <alignment vertical="center"/>
    </xf>
    <xf numFmtId="0" fontId="53" fillId="13" borderId="0" xfId="4079" applyFont="1" applyFill="1" applyBorder="1" applyAlignment="1">
      <alignment vertical="center"/>
    </xf>
    <xf numFmtId="0" fontId="53" fillId="13" borderId="0" xfId="4079" applyFont="1" applyFill="1" applyBorder="1" applyAlignment="1">
      <alignment horizontal="left" vertical="center"/>
    </xf>
    <xf numFmtId="0" fontId="53" fillId="13" borderId="12" xfId="4079" applyFont="1" applyFill="1" applyBorder="1" applyAlignment="1">
      <alignment horizontal="left" vertical="center"/>
    </xf>
    <xf numFmtId="0" fontId="62" fillId="13" borderId="0" xfId="3137" applyFill="1" applyBorder="1" applyAlignment="1">
      <alignment horizontal="left" vertical="center" wrapText="1"/>
    </xf>
    <xf numFmtId="9" fontId="62" fillId="13" borderId="0" xfId="3137" applyNumberFormat="1" applyFill="1" applyBorder="1" applyAlignment="1">
      <alignment horizontal="left" vertical="center" wrapText="1"/>
    </xf>
    <xf numFmtId="0" fontId="0" fillId="13" borderId="0" xfId="3137" applyFont="1" applyFill="1" applyBorder="1" applyAlignment="1">
      <alignment horizontal="left" vertical="center"/>
    </xf>
    <xf numFmtId="0" fontId="62" fillId="13" borderId="17" xfId="3137" applyFill="1" applyBorder="1" applyAlignment="1">
      <alignment horizontal="left" vertical="center" wrapText="1"/>
    </xf>
    <xf numFmtId="0" fontId="62" fillId="13" borderId="20" xfId="3137" applyFill="1" applyBorder="1" applyAlignment="1">
      <alignment horizontal="left" vertical="center" wrapText="1"/>
    </xf>
    <xf numFmtId="0" fontId="62" fillId="13" borderId="33" xfId="3137" applyFill="1" applyBorder="1" applyAlignment="1">
      <alignment horizontal="left" vertical="center" wrapText="1"/>
    </xf>
    <xf numFmtId="0" fontId="0" fillId="13" borderId="12" xfId="3137" applyFont="1" applyFill="1" applyBorder="1" applyAlignment="1">
      <alignment horizontal="left" vertical="center"/>
    </xf>
    <xf numFmtId="0" fontId="62" fillId="13" borderId="12" xfId="3137" applyFill="1" applyBorder="1" applyAlignment="1">
      <alignment horizontal="left" vertical="center" wrapText="1"/>
    </xf>
    <xf numFmtId="0" fontId="62" fillId="13" borderId="22" xfId="3137" applyFill="1" applyBorder="1" applyAlignment="1">
      <alignment horizontal="left" vertical="center" wrapText="1"/>
    </xf>
    <xf numFmtId="0" fontId="167" fillId="26" borderId="2" xfId="3139" applyFont="1" applyFill="1" applyBorder="1" applyAlignment="1">
      <alignment horizontal="left" vertical="center"/>
    </xf>
    <xf numFmtId="0" fontId="167" fillId="26" borderId="3" xfId="3139" applyFont="1" applyFill="1" applyBorder="1" applyAlignment="1">
      <alignment horizontal="left" vertical="center"/>
    </xf>
    <xf numFmtId="0" fontId="167" fillId="26" borderId="14" xfId="3139" applyFont="1" applyFill="1" applyBorder="1" applyAlignment="1">
      <alignment horizontal="left" vertical="center"/>
    </xf>
    <xf numFmtId="0" fontId="62" fillId="26" borderId="3" xfId="3137" applyFill="1" applyBorder="1" applyAlignment="1">
      <alignment horizontal="left" vertical="center" wrapText="1"/>
    </xf>
    <xf numFmtId="0" fontId="62" fillId="26" borderId="14" xfId="3137" applyFill="1" applyBorder="1" applyAlignment="1">
      <alignment horizontal="left" vertical="center" wrapText="1"/>
    </xf>
    <xf numFmtId="0" fontId="53" fillId="13" borderId="0" xfId="3137" applyFont="1" applyFill="1" applyBorder="1" applyAlignment="1">
      <alignment wrapText="1"/>
    </xf>
    <xf numFmtId="0" fontId="53" fillId="13" borderId="37" xfId="3137" applyFont="1" applyFill="1" applyBorder="1" applyAlignment="1">
      <alignment wrapText="1"/>
    </xf>
    <xf numFmtId="0" fontId="53" fillId="13" borderId="0" xfId="3137" applyFont="1" applyFill="1" applyBorder="1" applyAlignment="1"/>
    <xf numFmtId="49" fontId="53" fillId="13" borderId="11" xfId="3137" applyNumberFormat="1" applyFont="1" applyFill="1" applyBorder="1" applyAlignment="1">
      <alignment horizontal="left" vertical="center" wrapText="1"/>
    </xf>
    <xf numFmtId="0" fontId="53" fillId="0" borderId="0" xfId="3137" applyFont="1" applyFill="1" applyBorder="1" applyAlignment="1"/>
    <xf numFmtId="0" fontId="62" fillId="13" borderId="0" xfId="3137" applyFill="1" applyBorder="1" applyAlignment="1">
      <alignment horizontal="left" vertical="center"/>
    </xf>
    <xf numFmtId="0" fontId="62" fillId="13" borderId="11" xfId="3137" applyFill="1" applyBorder="1" applyAlignment="1">
      <alignment horizontal="left" vertical="center"/>
    </xf>
    <xf numFmtId="0" fontId="62" fillId="13" borderId="12" xfId="3137" applyFill="1" applyBorder="1" applyAlignment="1">
      <alignment horizontal="left" vertical="center"/>
    </xf>
    <xf numFmtId="0" fontId="53" fillId="13" borderId="19" xfId="3137" applyFont="1" applyFill="1" applyBorder="1" applyAlignment="1">
      <alignment horizontal="left" vertical="center" wrapText="1"/>
    </xf>
    <xf numFmtId="0" fontId="53" fillId="13" borderId="24" xfId="3137" applyFont="1" applyFill="1" applyBorder="1" applyAlignment="1">
      <alignment horizontal="left" vertical="center" wrapText="1"/>
    </xf>
    <xf numFmtId="49" fontId="53" fillId="13" borderId="24" xfId="3137" applyNumberFormat="1" applyFont="1" applyFill="1" applyBorder="1" applyAlignment="1">
      <alignment horizontal="left" vertical="center" wrapText="1"/>
    </xf>
    <xf numFmtId="179" fontId="62" fillId="13" borderId="33" xfId="3137" applyNumberFormat="1" applyFill="1" applyBorder="1" applyAlignment="1">
      <alignment horizontal="left" vertical="center" wrapText="1"/>
    </xf>
    <xf numFmtId="0" fontId="62" fillId="26" borderId="17" xfId="3137" applyFill="1" applyBorder="1" applyAlignment="1">
      <alignment horizontal="left" vertical="center" wrapText="1"/>
    </xf>
    <xf numFmtId="0" fontId="62" fillId="26" borderId="20" xfId="3137" applyFill="1" applyBorder="1" applyAlignment="1">
      <alignment horizontal="left" vertical="center" wrapText="1"/>
    </xf>
    <xf numFmtId="0" fontId="62" fillId="26" borderId="17" xfId="3137" applyFill="1" applyBorder="1" applyAlignment="1">
      <alignment horizontal="left" vertical="center"/>
    </xf>
    <xf numFmtId="0" fontId="62" fillId="26" borderId="20" xfId="3137" applyFill="1" applyBorder="1" applyAlignment="1">
      <alignment horizontal="left" vertical="center"/>
    </xf>
    <xf numFmtId="0" fontId="135" fillId="13" borderId="0" xfId="0" applyFont="1" applyFill="1" applyAlignment="1"/>
    <xf numFmtId="0" fontId="135" fillId="13" borderId="0" xfId="0" applyFont="1" applyFill="1"/>
    <xf numFmtId="0" fontId="135" fillId="13" borderId="0" xfId="0" applyFont="1" applyFill="1" applyBorder="1"/>
    <xf numFmtId="1" fontId="62" fillId="13" borderId="0" xfId="3137" applyNumberFormat="1" applyFill="1" applyAlignment="1">
      <alignment horizontal="left" wrapText="1"/>
    </xf>
    <xf numFmtId="1" fontId="64" fillId="13" borderId="0" xfId="3139" applyNumberFormat="1" applyFill="1"/>
    <xf numFmtId="1" fontId="88" fillId="13" borderId="0" xfId="0" applyNumberFormat="1" applyFont="1" applyFill="1" applyAlignment="1"/>
    <xf numFmtId="1" fontId="27" fillId="13" borderId="0" xfId="0" applyNumberFormat="1" applyFont="1" applyFill="1" applyAlignment="1">
      <alignment horizontal="center"/>
    </xf>
    <xf numFmtId="1" fontId="64" fillId="13" borderId="0" xfId="3139" applyNumberFormat="1" applyFont="1" applyFill="1"/>
    <xf numFmtId="1" fontId="101" fillId="26" borderId="1" xfId="0" applyNumberFormat="1" applyFont="1" applyFill="1" applyBorder="1" applyAlignment="1">
      <alignment vertical="center" wrapText="1"/>
    </xf>
    <xf numFmtId="0" fontId="32" fillId="25" borderId="156" xfId="0" applyFont="1" applyFill="1" applyBorder="1" applyAlignment="1">
      <alignment vertical="center" wrapText="1"/>
    </xf>
    <xf numFmtId="0" fontId="32" fillId="25" borderId="156" xfId="0" applyFont="1" applyFill="1" applyBorder="1" applyAlignment="1">
      <alignment horizontal="center" vertical="center" wrapText="1"/>
    </xf>
    <xf numFmtId="0" fontId="34" fillId="26" borderId="34" xfId="0" applyFont="1" applyFill="1" applyBorder="1" applyAlignment="1">
      <alignment vertical="center" wrapText="1"/>
    </xf>
    <xf numFmtId="0" fontId="53" fillId="26" borderId="34" xfId="0" applyFont="1" applyFill="1" applyBorder="1" applyAlignment="1">
      <alignment horizontal="center" vertical="center"/>
    </xf>
    <xf numFmtId="0" fontId="101" fillId="26" borderId="16" xfId="0" applyFont="1" applyFill="1" applyBorder="1" applyAlignment="1">
      <alignment vertical="center" wrapText="1"/>
    </xf>
    <xf numFmtId="0" fontId="66" fillId="26" borderId="17" xfId="3139" applyFont="1" applyFill="1" applyBorder="1"/>
    <xf numFmtId="0" fontId="64" fillId="26" borderId="17" xfId="3139" applyFill="1" applyBorder="1"/>
    <xf numFmtId="0" fontId="0" fillId="26" borderId="17" xfId="0" applyFill="1" applyBorder="1"/>
    <xf numFmtId="0" fontId="0" fillId="26" borderId="20" xfId="0" applyFill="1" applyBorder="1"/>
    <xf numFmtId="0" fontId="0" fillId="26" borderId="17" xfId="0" applyFill="1" applyBorder="1" applyAlignment="1">
      <alignment vertical="center"/>
    </xf>
    <xf numFmtId="0" fontId="66" fillId="26" borderId="19" xfId="3139" applyFont="1" applyFill="1" applyBorder="1" applyAlignment="1">
      <alignment horizontal="center" vertical="center"/>
    </xf>
    <xf numFmtId="0" fontId="135" fillId="13" borderId="0" xfId="3139" applyFont="1" applyFill="1"/>
    <xf numFmtId="0" fontId="66" fillId="26" borderId="19" xfId="3139" applyFont="1" applyFill="1" applyBorder="1" applyAlignment="1">
      <alignment horizontal="center"/>
    </xf>
    <xf numFmtId="0" fontId="64" fillId="13" borderId="19" xfId="3139" applyFill="1" applyBorder="1" applyAlignment="1">
      <alignment horizontal="center"/>
    </xf>
    <xf numFmtId="0" fontId="64" fillId="13" borderId="24" xfId="3139" applyFill="1" applyBorder="1" applyAlignment="1">
      <alignment horizontal="center"/>
    </xf>
    <xf numFmtId="49" fontId="64" fillId="13" borderId="24" xfId="3139" applyNumberFormat="1" applyFill="1" applyBorder="1" applyAlignment="1">
      <alignment horizontal="center"/>
    </xf>
    <xf numFmtId="0" fontId="64" fillId="13" borderId="11" xfId="3139" applyFont="1" applyFill="1" applyBorder="1" applyAlignment="1">
      <alignment horizontal="center" vertical="center"/>
    </xf>
    <xf numFmtId="0" fontId="64" fillId="26" borderId="20" xfId="3139" applyFill="1" applyBorder="1"/>
    <xf numFmtId="0" fontId="64" fillId="13" borderId="20" xfId="3139" applyFill="1" applyBorder="1" applyAlignment="1">
      <alignment vertical="center"/>
    </xf>
    <xf numFmtId="0" fontId="52" fillId="13" borderId="0" xfId="3137" applyFont="1" applyFill="1" applyAlignment="1">
      <alignment vertical="center"/>
    </xf>
    <xf numFmtId="49" fontId="64" fillId="13" borderId="24" xfId="3139" applyNumberFormat="1" applyFill="1" applyBorder="1" applyAlignment="1">
      <alignment horizontal="center" vertical="center"/>
    </xf>
    <xf numFmtId="176" fontId="64" fillId="0" borderId="1" xfId="4078" applyNumberFormat="1" applyFont="1" applyFill="1" applyBorder="1" applyAlignment="1">
      <alignment horizontal="center" vertical="center"/>
    </xf>
    <xf numFmtId="176" fontId="0" fillId="17" borderId="1" xfId="0" applyNumberFormat="1" applyFill="1" applyBorder="1" applyAlignment="1">
      <alignment horizontal="center" vertical="center"/>
    </xf>
    <xf numFmtId="171" fontId="0" fillId="0" borderId="1" xfId="4078" applyNumberFormat="1" applyFont="1" applyBorder="1" applyAlignment="1">
      <alignment horizontal="center" vertical="center"/>
    </xf>
    <xf numFmtId="0" fontId="9" fillId="0" borderId="2" xfId="0" applyFont="1" applyBorder="1" applyAlignment="1">
      <alignment vertical="center"/>
    </xf>
    <xf numFmtId="9" fontId="0" fillId="0" borderId="1" xfId="4018" applyFont="1" applyFill="1" applyBorder="1" applyAlignment="1">
      <alignment horizontal="center" vertical="center"/>
    </xf>
    <xf numFmtId="176" fontId="64" fillId="13" borderId="1" xfId="4078" applyNumberFormat="1" applyFont="1" applyFill="1" applyBorder="1" applyAlignment="1">
      <alignment horizontal="center" vertical="center"/>
    </xf>
    <xf numFmtId="176" fontId="64" fillId="13" borderId="0" xfId="4078" applyNumberFormat="1" applyFont="1" applyFill="1" applyBorder="1" applyAlignment="1">
      <alignment horizontal="center" vertical="center"/>
    </xf>
    <xf numFmtId="176" fontId="64" fillId="13" borderId="12" xfId="4078" applyNumberFormat="1" applyFont="1" applyFill="1" applyBorder="1" applyAlignment="1">
      <alignment horizontal="center" vertical="center"/>
    </xf>
    <xf numFmtId="0" fontId="53" fillId="17" borderId="16" xfId="3137" applyFont="1" applyFill="1" applyBorder="1" applyAlignment="1">
      <alignment vertical="center"/>
    </xf>
    <xf numFmtId="0" fontId="69" fillId="17" borderId="1" xfId="3139" applyFont="1" applyFill="1" applyBorder="1" applyAlignment="1">
      <alignment vertical="center"/>
    </xf>
    <xf numFmtId="0" fontId="9" fillId="40" borderId="2" xfId="0" applyFont="1" applyFill="1" applyBorder="1" applyAlignment="1">
      <alignment vertical="center" wrapText="1"/>
    </xf>
    <xf numFmtId="0" fontId="53" fillId="17" borderId="34" xfId="3137" applyFont="1" applyFill="1" applyBorder="1" applyAlignment="1">
      <alignment horizontal="left" vertical="center"/>
    </xf>
    <xf numFmtId="0" fontId="53" fillId="17" borderId="16" xfId="3137" applyFont="1" applyFill="1" applyBorder="1" applyAlignment="1">
      <alignment horizontal="left" vertical="center"/>
    </xf>
    <xf numFmtId="0" fontId="69" fillId="17" borderId="1" xfId="3139" applyFont="1" applyFill="1" applyBorder="1" applyAlignment="1">
      <alignment horizontal="left" vertical="center" wrapText="1"/>
    </xf>
    <xf numFmtId="0" fontId="53" fillId="17" borderId="34" xfId="3137" applyFont="1" applyFill="1" applyBorder="1" applyAlignment="1">
      <alignment vertical="center"/>
    </xf>
    <xf numFmtId="0" fontId="84" fillId="40" borderId="2" xfId="0" applyFont="1" applyFill="1" applyBorder="1" applyAlignment="1">
      <alignment vertical="center" wrapText="1"/>
    </xf>
    <xf numFmtId="0" fontId="53" fillId="17" borderId="21" xfId="3137" applyFont="1" applyFill="1" applyBorder="1" applyAlignment="1">
      <alignment vertical="center"/>
    </xf>
    <xf numFmtId="0" fontId="53" fillId="26" borderId="24" xfId="0" applyFont="1" applyFill="1" applyBorder="1" applyAlignment="1">
      <alignment horizontal="center" vertical="center"/>
    </xf>
    <xf numFmtId="0" fontId="53" fillId="26" borderId="21" xfId="0" applyFont="1" applyFill="1" applyBorder="1" applyAlignment="1">
      <alignment horizontal="center" vertical="center"/>
    </xf>
    <xf numFmtId="0" fontId="30" fillId="30" borderId="21" xfId="0" applyFont="1" applyFill="1" applyBorder="1" applyAlignment="1">
      <alignment horizontal="center" vertical="center"/>
    </xf>
    <xf numFmtId="0" fontId="30" fillId="30" borderId="22" xfId="0" applyFont="1" applyFill="1" applyBorder="1" applyAlignment="1">
      <alignment horizontal="center" vertical="center"/>
    </xf>
    <xf numFmtId="0" fontId="199" fillId="13" borderId="0" xfId="0" applyFont="1" applyFill="1" applyAlignment="1">
      <alignment horizontal="center"/>
    </xf>
    <xf numFmtId="0" fontId="28" fillId="13" borderId="1" xfId="0" applyFont="1" applyFill="1" applyBorder="1" applyAlignment="1">
      <alignment horizontal="center"/>
    </xf>
    <xf numFmtId="0" fontId="53" fillId="13" borderId="46" xfId="0" applyFont="1" applyFill="1" applyBorder="1" applyAlignment="1">
      <alignment horizontal="left" vertical="center" wrapText="1" indent="1"/>
    </xf>
    <xf numFmtId="1" fontId="53" fillId="24" borderId="57" xfId="0" applyNumberFormat="1" applyFont="1" applyFill="1" applyBorder="1" applyAlignment="1" applyProtection="1">
      <alignment horizontal="center" vertical="center"/>
    </xf>
    <xf numFmtId="0" fontId="53" fillId="0" borderId="46" xfId="0" applyNumberFormat="1" applyFont="1" applyBorder="1" applyAlignment="1" applyProtection="1">
      <alignment horizontal="center" vertical="center"/>
    </xf>
    <xf numFmtId="1" fontId="30" fillId="17" borderId="46" xfId="0" applyNumberFormat="1" applyFont="1" applyFill="1" applyBorder="1" applyAlignment="1">
      <alignment horizontal="center" vertical="center"/>
    </xf>
    <xf numFmtId="0" fontId="92" fillId="13" borderId="0" xfId="0" applyFont="1" applyFill="1" applyAlignment="1">
      <alignment horizontal="left" wrapText="1"/>
    </xf>
    <xf numFmtId="0" fontId="0" fillId="13" borderId="0" xfId="0" applyFont="1" applyFill="1" applyBorder="1" applyAlignment="1" applyProtection="1">
      <alignment horizontal="left" wrapText="1"/>
      <protection locked="0"/>
    </xf>
    <xf numFmtId="3" fontId="136" fillId="22" borderId="0" xfId="0" applyNumberFormat="1" applyFont="1" applyFill="1" applyAlignment="1">
      <alignment vertical="center"/>
    </xf>
    <xf numFmtId="14" fontId="0" fillId="13" borderId="0" xfId="0" applyNumberFormat="1" applyFill="1" applyAlignment="1" applyProtection="1">
      <alignment horizontal="left"/>
    </xf>
    <xf numFmtId="0" fontId="200" fillId="13" borderId="0" xfId="0" applyFont="1" applyFill="1" applyAlignment="1">
      <alignment horizontal="center" vertical="center"/>
    </xf>
    <xf numFmtId="0" fontId="199" fillId="13" borderId="0" xfId="0" applyFont="1" applyFill="1" applyAlignment="1">
      <alignment horizontal="center" vertical="center"/>
    </xf>
    <xf numFmtId="0" fontId="201" fillId="25" borderId="123" xfId="0" applyFont="1" applyFill="1" applyBorder="1" applyAlignment="1" applyProtection="1">
      <alignment horizontal="center" vertical="center" wrapText="1"/>
      <protection locked="0"/>
    </xf>
    <xf numFmtId="0" fontId="202" fillId="25" borderId="123" xfId="0" applyFont="1" applyFill="1" applyBorder="1" applyAlignment="1" applyProtection="1">
      <alignment horizontal="center" vertical="center" wrapText="1"/>
      <protection locked="0"/>
    </xf>
    <xf numFmtId="0" fontId="203" fillId="25" borderId="123" xfId="0" applyFont="1" applyFill="1" applyBorder="1" applyAlignment="1" applyProtection="1">
      <alignment horizontal="center" vertical="center" wrapText="1"/>
      <protection locked="0"/>
    </xf>
    <xf numFmtId="0" fontId="204" fillId="13" borderId="0" xfId="0" applyFont="1" applyFill="1" applyAlignment="1" applyProtection="1">
      <alignment horizontal="center"/>
      <protection locked="0"/>
    </xf>
    <xf numFmtId="165" fontId="0" fillId="13" borderId="46" xfId="0" applyNumberFormat="1" applyFont="1" applyFill="1" applyBorder="1" applyAlignment="1">
      <alignment horizontal="center" vertical="center"/>
    </xf>
    <xf numFmtId="172" fontId="0" fillId="13" borderId="46" xfId="0" applyNumberFormat="1" applyFont="1" applyFill="1" applyBorder="1" applyAlignment="1">
      <alignment horizontal="center" vertical="center"/>
    </xf>
    <xf numFmtId="182" fontId="0" fillId="13" borderId="46" xfId="0" applyNumberFormat="1" applyFont="1" applyFill="1" applyBorder="1" applyAlignment="1">
      <alignment horizontal="center" vertical="center"/>
    </xf>
    <xf numFmtId="1" fontId="205" fillId="0" borderId="172" xfId="0" applyNumberFormat="1" applyFont="1" applyBorder="1" applyAlignment="1">
      <alignment vertical="center"/>
    </xf>
    <xf numFmtId="0" fontId="205" fillId="0" borderId="172" xfId="0" applyFont="1" applyBorder="1" applyAlignment="1">
      <alignment horizontal="left" vertical="center"/>
    </xf>
    <xf numFmtId="1" fontId="205" fillId="0" borderId="172" xfId="0" applyNumberFormat="1" applyFont="1" applyBorder="1" applyAlignment="1">
      <alignment horizontal="center" vertical="center"/>
    </xf>
    <xf numFmtId="1" fontId="205" fillId="41" borderId="172" xfId="0" applyNumberFormat="1" applyFont="1" applyFill="1" applyBorder="1" applyAlignment="1">
      <alignment horizontal="center" vertical="center"/>
    </xf>
    <xf numFmtId="1" fontId="9" fillId="18" borderId="0" xfId="0" applyNumberFormat="1" applyFont="1" applyFill="1" applyAlignment="1">
      <alignment horizontal="center"/>
    </xf>
    <xf numFmtId="1" fontId="206" fillId="0" borderId="46" xfId="0" applyNumberFormat="1" applyFont="1" applyBorder="1" applyAlignment="1" applyProtection="1">
      <alignment horizontal="center" vertical="center"/>
    </xf>
    <xf numFmtId="173" fontId="206" fillId="0" borderId="46" xfId="0" applyNumberFormat="1" applyFont="1" applyBorder="1" applyAlignment="1" applyProtection="1">
      <alignment horizontal="center" vertical="center"/>
    </xf>
    <xf numFmtId="1" fontId="206" fillId="24" borderId="46" xfId="0" applyNumberFormat="1" applyFont="1" applyFill="1" applyBorder="1" applyAlignment="1" applyProtection="1">
      <alignment horizontal="center" vertical="center"/>
    </xf>
    <xf numFmtId="1" fontId="206" fillId="26" borderId="46" xfId="0" applyNumberFormat="1" applyFont="1" applyFill="1" applyBorder="1" applyAlignment="1" applyProtection="1">
      <alignment horizontal="center" vertical="center"/>
    </xf>
    <xf numFmtId="1" fontId="206" fillId="28" borderId="46" xfId="0" applyNumberFormat="1" applyFont="1" applyFill="1" applyBorder="1" applyAlignment="1" applyProtection="1">
      <alignment horizontal="center" vertical="center"/>
    </xf>
    <xf numFmtId="1" fontId="206" fillId="23" borderId="46" xfId="0" applyNumberFormat="1" applyFont="1" applyFill="1" applyBorder="1" applyAlignment="1" applyProtection="1">
      <alignment horizontal="center" vertical="center"/>
    </xf>
    <xf numFmtId="1" fontId="206" fillId="0" borderId="172" xfId="0" applyNumberFormat="1" applyFont="1" applyBorder="1" applyAlignment="1">
      <alignment horizontal="center" vertical="center"/>
    </xf>
    <xf numFmtId="173" fontId="206" fillId="0" borderId="172" xfId="0" applyNumberFormat="1" applyFont="1" applyBorder="1" applyAlignment="1">
      <alignment horizontal="center" vertical="center"/>
    </xf>
    <xf numFmtId="1" fontId="206" fillId="41" borderId="172" xfId="0" applyNumberFormat="1" applyFont="1" applyFill="1" applyBorder="1" applyAlignment="1">
      <alignment horizontal="center" vertical="center"/>
    </xf>
    <xf numFmtId="1" fontId="206" fillId="39" borderId="172" xfId="0" applyNumberFormat="1" applyFont="1" applyFill="1" applyBorder="1" applyAlignment="1">
      <alignment horizontal="center" vertical="center"/>
    </xf>
    <xf numFmtId="1" fontId="206" fillId="42" borderId="172" xfId="0" applyNumberFormat="1" applyFont="1" applyFill="1" applyBorder="1" applyAlignment="1">
      <alignment horizontal="center" vertical="center"/>
    </xf>
    <xf numFmtId="1" fontId="206" fillId="43" borderId="172" xfId="0" applyNumberFormat="1" applyFont="1" applyFill="1" applyBorder="1" applyAlignment="1">
      <alignment horizontal="center" vertical="center"/>
    </xf>
    <xf numFmtId="1" fontId="206" fillId="26" borderId="46" xfId="0" applyNumberFormat="1" applyFont="1" applyFill="1" applyBorder="1" applyAlignment="1">
      <alignment horizontal="center"/>
    </xf>
    <xf numFmtId="1" fontId="206" fillId="23" borderId="46" xfId="0" applyNumberFormat="1" applyFont="1" applyFill="1" applyBorder="1" applyAlignment="1">
      <alignment horizontal="center"/>
    </xf>
    <xf numFmtId="1" fontId="206" fillId="28" borderId="46" xfId="0" applyNumberFormat="1" applyFont="1" applyFill="1" applyBorder="1" applyAlignment="1">
      <alignment horizontal="center"/>
    </xf>
    <xf numFmtId="1" fontId="206" fillId="39" borderId="172" xfId="0" applyNumberFormat="1" applyFont="1" applyFill="1" applyBorder="1" applyAlignment="1">
      <alignment horizontal="center"/>
    </xf>
    <xf numFmtId="1" fontId="206" fillId="43" borderId="172" xfId="0" applyNumberFormat="1" applyFont="1" applyFill="1" applyBorder="1" applyAlignment="1">
      <alignment horizontal="center"/>
    </xf>
    <xf numFmtId="1" fontId="206" fillId="42" borderId="172" xfId="0" applyNumberFormat="1" applyFont="1" applyFill="1" applyBorder="1" applyAlignment="1">
      <alignment horizontal="center"/>
    </xf>
    <xf numFmtId="1" fontId="9" fillId="21" borderId="22" xfId="0" applyNumberFormat="1" applyFont="1" applyFill="1" applyBorder="1" applyAlignment="1">
      <alignment horizontal="center" vertical="center"/>
    </xf>
    <xf numFmtId="2" fontId="0" fillId="13" borderId="1" xfId="0" applyNumberFormat="1" applyFill="1" applyBorder="1" applyAlignment="1">
      <alignment horizontal="center"/>
    </xf>
    <xf numFmtId="1" fontId="75" fillId="14" borderId="46" xfId="0" applyNumberFormat="1" applyFont="1" applyFill="1" applyBorder="1" applyAlignment="1">
      <alignment horizontal="center" vertical="center"/>
    </xf>
    <xf numFmtId="1" fontId="30" fillId="17" borderId="53" xfId="0" applyNumberFormat="1" applyFont="1" applyFill="1" applyBorder="1" applyAlignment="1">
      <alignment horizontal="center" vertical="center"/>
    </xf>
    <xf numFmtId="1" fontId="30" fillId="17" borderId="90" xfId="0" applyNumberFormat="1" applyFont="1" applyFill="1" applyBorder="1" applyAlignment="1">
      <alignment horizontal="center" vertical="center"/>
    </xf>
    <xf numFmtId="1" fontId="30" fillId="17" borderId="1" xfId="0" applyNumberFormat="1" applyFont="1" applyFill="1" applyBorder="1" applyAlignment="1">
      <alignment horizontal="center" vertical="center"/>
    </xf>
    <xf numFmtId="1" fontId="124" fillId="17" borderId="1" xfId="0" applyNumberFormat="1" applyFont="1" applyFill="1" applyBorder="1" applyAlignment="1">
      <alignment horizontal="center" vertical="center"/>
    </xf>
    <xf numFmtId="49" fontId="22" fillId="13" borderId="60" xfId="0" applyNumberFormat="1" applyFont="1" applyFill="1" applyBorder="1" applyAlignment="1" applyProtection="1">
      <alignment horizontal="right" vertical="center"/>
      <protection locked="0"/>
    </xf>
    <xf numFmtId="49" fontId="22" fillId="13" borderId="57" xfId="0" applyNumberFormat="1" applyFont="1" applyFill="1" applyBorder="1" applyAlignment="1" applyProtection="1">
      <alignment horizontal="left" vertical="center"/>
      <protection locked="0"/>
    </xf>
    <xf numFmtId="1" fontId="23" fillId="13" borderId="46" xfId="0" applyNumberFormat="1" applyFont="1" applyFill="1" applyBorder="1" applyAlignment="1" applyProtection="1">
      <alignment horizontal="center" vertical="center" wrapText="1"/>
      <protection locked="0"/>
    </xf>
    <xf numFmtId="9" fontId="69" fillId="13" borderId="1" xfId="4018" applyFont="1" applyFill="1" applyBorder="1" applyAlignment="1">
      <alignment horizontal="center"/>
    </xf>
    <xf numFmtId="171" fontId="101" fillId="13" borderId="1" xfId="4078" applyNumberFormat="1" applyFont="1" applyFill="1" applyBorder="1" applyAlignment="1">
      <alignment horizontal="center"/>
    </xf>
    <xf numFmtId="175" fontId="0" fillId="13" borderId="14" xfId="4078" applyNumberFormat="1" applyFont="1" applyFill="1" applyBorder="1" applyAlignment="1">
      <alignment vertical="center"/>
    </xf>
    <xf numFmtId="0" fontId="25" fillId="13" borderId="0" xfId="0" applyFont="1" applyFill="1" applyAlignment="1">
      <alignment horizontal="center"/>
    </xf>
    <xf numFmtId="0" fontId="27" fillId="13" borderId="183" xfId="0" applyFont="1" applyFill="1" applyBorder="1" applyAlignment="1">
      <alignment vertical="center"/>
    </xf>
    <xf numFmtId="0" fontId="28" fillId="13" borderId="183" xfId="0" applyFont="1" applyFill="1" applyBorder="1" applyAlignment="1">
      <alignment vertical="center"/>
    </xf>
    <xf numFmtId="0" fontId="27" fillId="13" borderId="183" xfId="0" applyFont="1" applyFill="1" applyBorder="1" applyAlignment="1">
      <alignment horizontal="center" vertical="center"/>
    </xf>
    <xf numFmtId="0" fontId="28" fillId="13" borderId="183" xfId="0" applyFont="1" applyFill="1" applyBorder="1" applyAlignment="1">
      <alignment horizontal="center" vertical="center"/>
    </xf>
    <xf numFmtId="0" fontId="109" fillId="18" borderId="188" xfId="0" applyFont="1" applyFill="1" applyBorder="1" applyAlignment="1">
      <alignment vertical="center"/>
    </xf>
    <xf numFmtId="0" fontId="207" fillId="18" borderId="188" xfId="0" applyFont="1" applyFill="1" applyBorder="1" applyAlignment="1">
      <alignment vertical="center"/>
    </xf>
    <xf numFmtId="0" fontId="146" fillId="18" borderId="188" xfId="0" applyFont="1" applyFill="1" applyBorder="1" applyAlignment="1">
      <alignment vertical="center"/>
    </xf>
    <xf numFmtId="0" fontId="207" fillId="18" borderId="188" xfId="0" applyFont="1" applyFill="1" applyBorder="1" applyAlignment="1">
      <alignment horizontal="center" vertical="center"/>
    </xf>
    <xf numFmtId="0" fontId="146" fillId="18" borderId="188" xfId="0" applyFont="1" applyFill="1" applyBorder="1" applyAlignment="1">
      <alignment horizontal="center" vertical="center"/>
    </xf>
    <xf numFmtId="0" fontId="208" fillId="13" borderId="0" xfId="0" applyFont="1" applyFill="1" applyBorder="1" applyAlignment="1">
      <alignment horizontal="center"/>
    </xf>
    <xf numFmtId="0" fontId="9" fillId="44" borderId="2" xfId="0" applyFont="1" applyFill="1" applyBorder="1" applyAlignment="1">
      <alignment horizontal="left" vertical="center" wrapText="1"/>
    </xf>
    <xf numFmtId="1" fontId="22" fillId="0" borderId="1" xfId="0" applyNumberFormat="1" applyFont="1" applyFill="1" applyBorder="1" applyAlignment="1">
      <alignment horizontal="center" vertical="center"/>
    </xf>
    <xf numFmtId="0" fontId="9" fillId="13" borderId="16" xfId="0" applyFont="1" applyFill="1" applyBorder="1" applyAlignment="1">
      <alignment horizontal="center" vertical="center" wrapText="1"/>
    </xf>
    <xf numFmtId="0" fontId="9" fillId="13" borderId="34" xfId="0" applyFont="1" applyFill="1" applyBorder="1" applyAlignment="1">
      <alignment horizontal="center" vertical="center" wrapText="1"/>
    </xf>
    <xf numFmtId="0" fontId="14" fillId="13" borderId="16" xfId="0" applyFont="1" applyFill="1" applyBorder="1" applyAlignment="1">
      <alignment horizontal="left" vertical="center" wrapText="1"/>
    </xf>
    <xf numFmtId="0" fontId="14" fillId="13" borderId="21" xfId="0" applyFont="1" applyFill="1" applyBorder="1" applyAlignment="1">
      <alignment horizontal="left" vertical="center" wrapText="1"/>
    </xf>
    <xf numFmtId="0" fontId="14" fillId="13" borderId="20" xfId="0" applyFont="1" applyFill="1" applyBorder="1" applyAlignment="1">
      <alignment horizontal="left" vertical="center" wrapText="1"/>
    </xf>
    <xf numFmtId="0" fontId="14" fillId="13" borderId="33" xfId="0" applyFont="1" applyFill="1" applyBorder="1" applyAlignment="1">
      <alignment horizontal="left" vertical="center" wrapText="1"/>
    </xf>
    <xf numFmtId="0" fontId="14" fillId="13" borderId="22" xfId="0" applyFont="1" applyFill="1" applyBorder="1" applyAlignment="1">
      <alignment horizontal="left" vertical="center" wrapText="1"/>
    </xf>
    <xf numFmtId="0" fontId="14" fillId="13" borderId="16" xfId="0" applyFont="1" applyFill="1" applyBorder="1" applyAlignment="1">
      <alignment horizontal="center" vertical="center" wrapText="1"/>
    </xf>
    <xf numFmtId="0" fontId="14" fillId="13" borderId="34" xfId="0" applyFont="1" applyFill="1" applyBorder="1" applyAlignment="1">
      <alignment horizontal="center" vertical="center" wrapText="1"/>
    </xf>
    <xf numFmtId="0" fontId="14" fillId="13" borderId="21" xfId="0" applyFont="1" applyFill="1" applyBorder="1" applyAlignment="1">
      <alignment horizontal="center" vertical="center" wrapText="1"/>
    </xf>
    <xf numFmtId="0" fontId="9" fillId="13" borderId="15" xfId="0" applyFont="1" applyFill="1" applyBorder="1" applyAlignment="1">
      <alignment horizontal="center" vertical="center" wrapText="1"/>
    </xf>
    <xf numFmtId="0" fontId="9" fillId="13" borderId="35" xfId="0" applyFont="1" applyFill="1" applyBorder="1" applyAlignment="1">
      <alignment horizontal="center" vertical="center" wrapText="1"/>
    </xf>
    <xf numFmtId="0" fontId="9" fillId="13" borderId="25" xfId="0" applyFont="1" applyFill="1" applyBorder="1" applyAlignment="1">
      <alignment horizontal="center" vertical="center" wrapText="1"/>
    </xf>
    <xf numFmtId="0" fontId="9" fillId="13" borderId="10" xfId="0" applyFont="1" applyFill="1" applyBorder="1" applyAlignment="1">
      <alignment horizontal="center" vertical="center" wrapText="1"/>
    </xf>
    <xf numFmtId="0" fontId="95" fillId="25" borderId="0" xfId="0" applyFont="1" applyFill="1" applyAlignment="1">
      <alignment horizontal="center" vertical="center"/>
    </xf>
    <xf numFmtId="0" fontId="145" fillId="25" borderId="63" xfId="0" applyFont="1" applyFill="1" applyBorder="1" applyAlignment="1">
      <alignment horizontal="center" vertical="center" wrapText="1"/>
    </xf>
    <xf numFmtId="0" fontId="145" fillId="25" borderId="64" xfId="0" applyFont="1" applyFill="1" applyBorder="1" applyAlignment="1">
      <alignment horizontal="center" vertical="center" wrapText="1"/>
    </xf>
    <xf numFmtId="0" fontId="85" fillId="13" borderId="63" xfId="0" applyFont="1" applyFill="1" applyBorder="1" applyAlignment="1">
      <alignment horizontal="center" vertical="center"/>
    </xf>
    <xf numFmtId="0" fontId="85" fillId="13" borderId="64" xfId="0" applyFont="1" applyFill="1" applyBorder="1" applyAlignment="1">
      <alignment horizontal="center" vertical="center"/>
    </xf>
    <xf numFmtId="0" fontId="187" fillId="25" borderId="47" xfId="0" applyFont="1" applyFill="1" applyBorder="1" applyAlignment="1">
      <alignment horizontal="center" vertical="center"/>
    </xf>
    <xf numFmtId="0" fontId="187" fillId="25" borderId="48" xfId="0" applyFont="1" applyFill="1" applyBorder="1" applyAlignment="1">
      <alignment horizontal="center" vertical="center"/>
    </xf>
    <xf numFmtId="0" fontId="187" fillId="25" borderId="49" xfId="0" applyFont="1" applyFill="1" applyBorder="1" applyAlignment="1">
      <alignment horizontal="center" vertical="center"/>
    </xf>
    <xf numFmtId="0" fontId="187" fillId="25" borderId="41" xfId="0" applyFont="1" applyFill="1" applyBorder="1" applyAlignment="1">
      <alignment horizontal="center" vertical="center"/>
    </xf>
    <xf numFmtId="0" fontId="187" fillId="25" borderId="0" xfId="0" applyFont="1" applyFill="1" applyBorder="1" applyAlignment="1">
      <alignment horizontal="center" vertical="center"/>
    </xf>
    <xf numFmtId="0" fontId="187" fillId="25" borderId="50" xfId="0" applyFont="1" applyFill="1" applyBorder="1" applyAlignment="1">
      <alignment horizontal="center" vertical="center"/>
    </xf>
    <xf numFmtId="0" fontId="187" fillId="25" borderId="55" xfId="0" applyFont="1" applyFill="1" applyBorder="1" applyAlignment="1">
      <alignment horizontal="center" vertical="center"/>
    </xf>
    <xf numFmtId="0" fontId="187" fillId="25" borderId="37" xfId="0" applyFont="1" applyFill="1" applyBorder="1" applyAlignment="1">
      <alignment horizontal="center" vertical="center"/>
    </xf>
    <xf numFmtId="0" fontId="187" fillId="25" borderId="56" xfId="0" applyFont="1" applyFill="1" applyBorder="1" applyAlignment="1">
      <alignment horizontal="center" vertical="center"/>
    </xf>
    <xf numFmtId="0" fontId="191" fillId="25" borderId="185" xfId="0" applyFont="1" applyFill="1" applyBorder="1" applyAlignment="1">
      <alignment horizontal="center" vertical="center"/>
    </xf>
    <xf numFmtId="0" fontId="191" fillId="25" borderId="162" xfId="0" applyFont="1" applyFill="1" applyBorder="1" applyAlignment="1">
      <alignment horizontal="center" vertical="center"/>
    </xf>
    <xf numFmtId="0" fontId="191" fillId="25" borderId="184" xfId="0" applyFont="1" applyFill="1" applyBorder="1" applyAlignment="1">
      <alignment horizontal="center" vertical="center"/>
    </xf>
    <xf numFmtId="0" fontId="191" fillId="25" borderId="51" xfId="0" applyFont="1" applyFill="1" applyBorder="1" applyAlignment="1">
      <alignment horizontal="center" vertical="center"/>
    </xf>
    <xf numFmtId="0" fontId="191" fillId="25" borderId="52" xfId="0" applyFont="1" applyFill="1" applyBorder="1" applyAlignment="1">
      <alignment horizontal="center" vertical="center"/>
    </xf>
    <xf numFmtId="0" fontId="191" fillId="25" borderId="53" xfId="0" applyFont="1" applyFill="1" applyBorder="1" applyAlignment="1">
      <alignment horizontal="center" vertical="center"/>
    </xf>
    <xf numFmtId="0" fontId="111" fillId="25" borderId="61" xfId="0" applyFont="1" applyFill="1" applyBorder="1" applyAlignment="1">
      <alignment horizontal="left" vertical="center" wrapText="1"/>
    </xf>
    <xf numFmtId="0" fontId="136" fillId="13" borderId="60" xfId="0" applyFont="1" applyFill="1" applyBorder="1" applyAlignment="1">
      <alignment horizontal="left" vertical="center" wrapText="1" indent="1"/>
    </xf>
    <xf numFmtId="0" fontId="136" fillId="13" borderId="61" xfId="0" applyFont="1" applyFill="1" applyBorder="1" applyAlignment="1">
      <alignment horizontal="left" vertical="center" wrapText="1" indent="1"/>
    </xf>
    <xf numFmtId="0" fontId="136" fillId="13" borderId="57" xfId="0" applyFont="1" applyFill="1" applyBorder="1" applyAlignment="1">
      <alignment horizontal="left" vertical="center" wrapText="1" indent="1"/>
    </xf>
    <xf numFmtId="0" fontId="28" fillId="13" borderId="60" xfId="0" applyFont="1" applyFill="1" applyBorder="1" applyAlignment="1">
      <alignment horizontal="left" vertical="center" wrapText="1" indent="1"/>
    </xf>
    <xf numFmtId="0" fontId="28" fillId="13" borderId="61" xfId="0" applyFont="1" applyFill="1" applyBorder="1" applyAlignment="1">
      <alignment horizontal="left" vertical="center" wrapText="1" indent="1"/>
    </xf>
    <xf numFmtId="0" fontId="28" fillId="13" borderId="0" xfId="0" applyFont="1" applyFill="1" applyAlignment="1">
      <alignment horizontal="left" wrapText="1"/>
    </xf>
    <xf numFmtId="0" fontId="86" fillId="16" borderId="26" xfId="3996" applyFont="1" applyFill="1" applyBorder="1" applyAlignment="1">
      <alignment horizontal="center" vertical="center"/>
    </xf>
    <xf numFmtId="0" fontId="86" fillId="16" borderId="28" xfId="3996" applyFont="1" applyFill="1" applyBorder="1" applyAlignment="1">
      <alignment horizontal="center" vertical="center"/>
    </xf>
    <xf numFmtId="0" fontId="145" fillId="25" borderId="63" xfId="3996" applyFont="1" applyFill="1" applyBorder="1" applyAlignment="1">
      <alignment horizontal="center" vertical="center" wrapText="1"/>
    </xf>
    <xf numFmtId="0" fontId="145" fillId="25" borderId="64" xfId="3996" applyFont="1" applyFill="1" applyBorder="1" applyAlignment="1">
      <alignment horizontal="center" vertical="center" wrapText="1"/>
    </xf>
    <xf numFmtId="0" fontId="90" fillId="26" borderId="26" xfId="0" applyFont="1" applyFill="1" applyBorder="1" applyAlignment="1">
      <alignment horizontal="center" vertical="center"/>
    </xf>
    <xf numFmtId="0" fontId="90" fillId="26" borderId="28" xfId="0" applyFont="1" applyFill="1" applyBorder="1" applyAlignment="1">
      <alignment horizontal="center" vertical="center"/>
    </xf>
    <xf numFmtId="0" fontId="86" fillId="25" borderId="26" xfId="3996" applyFont="1" applyFill="1" applyBorder="1" applyAlignment="1">
      <alignment horizontal="center" vertical="center"/>
    </xf>
    <xf numFmtId="0" fontId="86" fillId="25" borderId="28" xfId="3996" applyFont="1" applyFill="1" applyBorder="1" applyAlignment="1">
      <alignment horizontal="center" vertical="center"/>
    </xf>
    <xf numFmtId="0" fontId="9" fillId="13" borderId="163" xfId="0" applyFont="1" applyFill="1" applyBorder="1" applyAlignment="1">
      <alignment horizontal="left" vertical="center" wrapText="1" indent="1"/>
    </xf>
    <xf numFmtId="0" fontId="9" fillId="13" borderId="164" xfId="0" applyFont="1" applyFill="1" applyBorder="1" applyAlignment="1">
      <alignment horizontal="left" vertical="center" wrapText="1" indent="1"/>
    </xf>
    <xf numFmtId="0" fontId="9" fillId="13" borderId="166" xfId="0" applyFont="1" applyFill="1" applyBorder="1" applyAlignment="1">
      <alignment horizontal="left" vertical="center" wrapText="1" indent="1"/>
    </xf>
    <xf numFmtId="0" fontId="6" fillId="25" borderId="60" xfId="0" applyFont="1" applyFill="1" applyBorder="1" applyAlignment="1">
      <alignment horizontal="center" vertical="center" wrapText="1"/>
    </xf>
    <xf numFmtId="0" fontId="6" fillId="25" borderId="61" xfId="0" applyFont="1" applyFill="1" applyBorder="1" applyAlignment="1">
      <alignment horizontal="center" vertical="center" wrapText="1"/>
    </xf>
    <xf numFmtId="0" fontId="6" fillId="25" borderId="87" xfId="0" applyFont="1" applyFill="1" applyBorder="1" applyAlignment="1">
      <alignment horizontal="center" vertical="center" wrapText="1"/>
    </xf>
    <xf numFmtId="0" fontId="28" fillId="13" borderId="0" xfId="0" applyFont="1" applyFill="1" applyAlignment="1">
      <alignment horizontal="left" vertical="center" wrapText="1"/>
    </xf>
    <xf numFmtId="0" fontId="9" fillId="13" borderId="179" xfId="0" applyFont="1" applyFill="1" applyBorder="1" applyAlignment="1">
      <alignment horizontal="left" vertical="center" wrapText="1" indent="1"/>
    </xf>
    <xf numFmtId="0" fontId="9" fillId="13" borderId="180" xfId="0" applyFont="1" applyFill="1" applyBorder="1" applyAlignment="1">
      <alignment horizontal="left" vertical="center" wrapText="1" indent="1"/>
    </xf>
    <xf numFmtId="0" fontId="9" fillId="13" borderId="181" xfId="0" applyFont="1" applyFill="1" applyBorder="1" applyAlignment="1">
      <alignment horizontal="left" vertical="center" wrapText="1" indent="1"/>
    </xf>
    <xf numFmtId="0" fontId="136" fillId="13" borderId="0" xfId="0" applyFont="1" applyFill="1" applyAlignment="1">
      <alignment horizontal="left" vertical="top" wrapText="1"/>
    </xf>
    <xf numFmtId="0" fontId="30" fillId="13" borderId="60" xfId="0" applyFont="1" applyFill="1" applyBorder="1" applyAlignment="1">
      <alignment horizontal="left" vertical="center" wrapText="1" indent="1"/>
    </xf>
    <xf numFmtId="0" fontId="30" fillId="13" borderId="61" xfId="0" applyFont="1" applyFill="1" applyBorder="1" applyAlignment="1">
      <alignment horizontal="left" vertical="center" wrapText="1" indent="1"/>
    </xf>
    <xf numFmtId="0" fontId="30" fillId="13" borderId="57" xfId="0" applyFont="1" applyFill="1" applyBorder="1" applyAlignment="1">
      <alignment horizontal="left" vertical="center" wrapText="1" indent="1"/>
    </xf>
    <xf numFmtId="0" fontId="6" fillId="25" borderId="62" xfId="0" applyFont="1" applyFill="1" applyBorder="1" applyAlignment="1">
      <alignment horizontal="center" vertical="center" wrapText="1"/>
    </xf>
    <xf numFmtId="0" fontId="6" fillId="25" borderId="52" xfId="0" applyFont="1" applyFill="1" applyBorder="1" applyAlignment="1">
      <alignment horizontal="center" vertical="center" wrapText="1"/>
    </xf>
    <xf numFmtId="0" fontId="8" fillId="13" borderId="163" xfId="0" applyFont="1" applyFill="1" applyBorder="1" applyAlignment="1">
      <alignment horizontal="left" vertical="center" wrapText="1" indent="1"/>
    </xf>
    <xf numFmtId="0" fontId="8" fillId="13" borderId="164" xfId="0" applyFont="1" applyFill="1" applyBorder="1" applyAlignment="1">
      <alignment horizontal="left" vertical="center" wrapText="1" indent="1"/>
    </xf>
    <xf numFmtId="0" fontId="8" fillId="13" borderId="165" xfId="0" applyFont="1" applyFill="1" applyBorder="1" applyAlignment="1">
      <alignment horizontal="left" vertical="center" wrapText="1" indent="1"/>
    </xf>
    <xf numFmtId="0" fontId="9" fillId="13" borderId="165" xfId="0" applyFont="1" applyFill="1" applyBorder="1" applyAlignment="1">
      <alignment horizontal="left" vertical="center" wrapText="1" indent="1"/>
    </xf>
    <xf numFmtId="0" fontId="9" fillId="13" borderId="46" xfId="0" applyFont="1" applyFill="1" applyBorder="1" applyAlignment="1">
      <alignment horizontal="left" vertical="center" wrapText="1" indent="1"/>
    </xf>
    <xf numFmtId="0" fontId="136" fillId="13" borderId="0" xfId="0" applyFont="1" applyFill="1" applyAlignment="1">
      <alignment horizontal="left" vertical="center" wrapText="1"/>
    </xf>
    <xf numFmtId="0" fontId="28" fillId="13" borderId="0" xfId="0" applyFont="1" applyFill="1" applyAlignment="1">
      <alignment horizontal="left" vertical="top" wrapText="1"/>
    </xf>
    <xf numFmtId="0" fontId="8" fillId="13" borderId="179" xfId="0" applyFont="1" applyFill="1" applyBorder="1" applyAlignment="1">
      <alignment horizontal="left" vertical="center" wrapText="1" indent="1"/>
    </xf>
    <xf numFmtId="0" fontId="8" fillId="13" borderId="180" xfId="0" applyFont="1" applyFill="1" applyBorder="1" applyAlignment="1">
      <alignment horizontal="left" vertical="center" wrapText="1" indent="1"/>
    </xf>
    <xf numFmtId="0" fontId="8" fillId="13" borderId="181" xfId="0" applyFont="1" applyFill="1" applyBorder="1" applyAlignment="1">
      <alignment horizontal="left" vertical="center" wrapText="1" indent="1"/>
    </xf>
    <xf numFmtId="0" fontId="9" fillId="13" borderId="60" xfId="0" applyFont="1" applyFill="1" applyBorder="1" applyAlignment="1">
      <alignment horizontal="left" vertical="center" wrapText="1" indent="1"/>
    </xf>
    <xf numFmtId="0" fontId="9" fillId="13" borderId="61" xfId="0" applyFont="1" applyFill="1" applyBorder="1" applyAlignment="1">
      <alignment horizontal="left" vertical="center" wrapText="1" indent="1"/>
    </xf>
    <xf numFmtId="0" fontId="9" fillId="13" borderId="57" xfId="0" applyFont="1" applyFill="1" applyBorder="1" applyAlignment="1">
      <alignment horizontal="left" vertical="center" wrapText="1" indent="1"/>
    </xf>
    <xf numFmtId="0" fontId="6" fillId="25" borderId="47" xfId="0" applyFont="1" applyFill="1" applyBorder="1" applyAlignment="1">
      <alignment horizontal="center" vertical="center" wrapText="1"/>
    </xf>
    <xf numFmtId="0" fontId="6" fillId="25" borderId="54" xfId="0" applyFont="1" applyFill="1" applyBorder="1" applyAlignment="1">
      <alignment horizontal="center" vertical="center" wrapText="1"/>
    </xf>
    <xf numFmtId="0" fontId="6" fillId="25" borderId="59" xfId="0" applyFont="1" applyFill="1" applyBorder="1" applyAlignment="1">
      <alignment horizontal="center" vertical="center" wrapText="1"/>
    </xf>
    <xf numFmtId="0" fontId="6" fillId="25" borderId="48" xfId="0" applyFont="1" applyFill="1" applyBorder="1" applyAlignment="1">
      <alignment horizontal="center" vertical="center" wrapText="1"/>
    </xf>
    <xf numFmtId="0" fontId="6" fillId="25" borderId="49" xfId="0" applyFont="1" applyFill="1" applyBorder="1" applyAlignment="1">
      <alignment horizontal="center" vertical="center" wrapText="1"/>
    </xf>
    <xf numFmtId="0" fontId="50" fillId="30" borderId="52" xfId="0" applyFont="1" applyFill="1" applyBorder="1" applyAlignment="1">
      <alignment horizontal="center" vertical="center"/>
    </xf>
    <xf numFmtId="0" fontId="50" fillId="30" borderId="53" xfId="0" applyFont="1" applyFill="1" applyBorder="1" applyAlignment="1">
      <alignment horizontal="center" vertical="center"/>
    </xf>
    <xf numFmtId="0" fontId="30" fillId="26" borderId="51" xfId="0" applyFont="1" applyFill="1" applyBorder="1" applyAlignment="1">
      <alignment horizontal="left" wrapText="1" indent="1"/>
    </xf>
    <xf numFmtId="0" fontId="30" fillId="26" borderId="52" xfId="0" applyFont="1" applyFill="1" applyBorder="1" applyAlignment="1">
      <alignment horizontal="left" wrapText="1" indent="1"/>
    </xf>
    <xf numFmtId="0" fontId="0" fillId="13" borderId="57" xfId="0" applyFont="1" applyFill="1" applyBorder="1" applyAlignment="1">
      <alignment horizontal="center" vertical="center"/>
    </xf>
    <xf numFmtId="0" fontId="6" fillId="25" borderId="47" xfId="0" applyFont="1" applyFill="1" applyBorder="1" applyAlignment="1">
      <alignment horizontal="center" vertical="center"/>
    </xf>
    <xf numFmtId="0" fontId="6" fillId="25" borderId="48" xfId="0" applyFont="1" applyFill="1" applyBorder="1" applyAlignment="1">
      <alignment horizontal="center" vertical="center"/>
    </xf>
    <xf numFmtId="0" fontId="6" fillId="25" borderId="54" xfId="0" applyFont="1" applyFill="1" applyBorder="1" applyAlignment="1">
      <alignment horizontal="center" vertical="center"/>
    </xf>
    <xf numFmtId="0" fontId="6" fillId="25" borderId="55" xfId="0" applyFont="1" applyFill="1" applyBorder="1" applyAlignment="1">
      <alignment horizontal="center" vertical="center"/>
    </xf>
    <xf numFmtId="0" fontId="6" fillId="25" borderId="37" xfId="0" applyFont="1" applyFill="1" applyBorder="1" applyAlignment="1">
      <alignment horizontal="center" vertical="center"/>
    </xf>
    <xf numFmtId="0" fontId="6" fillId="25" borderId="30" xfId="0" applyFont="1" applyFill="1" applyBorder="1" applyAlignment="1">
      <alignment horizontal="center" vertical="center"/>
    </xf>
    <xf numFmtId="0" fontId="0" fillId="13" borderId="41" xfId="0" applyFill="1" applyBorder="1" applyAlignment="1" applyProtection="1">
      <alignment horizontal="left" vertical="center" indent="1"/>
      <protection locked="0"/>
    </xf>
    <xf numFmtId="0" fontId="0" fillId="13" borderId="0" xfId="0" applyFill="1" applyBorder="1" applyAlignment="1" applyProtection="1">
      <alignment horizontal="left" vertical="center" indent="1"/>
      <protection locked="0"/>
    </xf>
    <xf numFmtId="0" fontId="0" fillId="13" borderId="46" xfId="0" applyFill="1" applyBorder="1" applyAlignment="1" applyProtection="1">
      <alignment horizontal="center" vertical="center"/>
      <protection locked="0"/>
    </xf>
    <xf numFmtId="0" fontId="0" fillId="13" borderId="47" xfId="0" applyFont="1" applyFill="1" applyBorder="1" applyAlignment="1">
      <alignment horizontal="left" vertical="center" wrapText="1" indent="1"/>
    </xf>
    <xf numFmtId="0" fontId="0" fillId="13" borderId="48" xfId="0" applyFont="1" applyFill="1" applyBorder="1" applyAlignment="1">
      <alignment horizontal="left" vertical="center" wrapText="1" indent="1"/>
    </xf>
    <xf numFmtId="0" fontId="0" fillId="13" borderId="49" xfId="0" applyFont="1" applyFill="1" applyBorder="1" applyAlignment="1">
      <alignment horizontal="left" vertical="center" wrapText="1" indent="1"/>
    </xf>
    <xf numFmtId="0" fontId="0" fillId="13" borderId="51" xfId="0" applyFont="1" applyFill="1" applyBorder="1" applyAlignment="1">
      <alignment horizontal="left" vertical="center" wrapText="1" indent="1"/>
    </xf>
    <xf numFmtId="0" fontId="0" fillId="13" borderId="52" xfId="0" applyFont="1" applyFill="1" applyBorder="1" applyAlignment="1">
      <alignment horizontal="left" vertical="center" wrapText="1" indent="1"/>
    </xf>
    <xf numFmtId="0" fontId="0" fillId="13" borderId="53" xfId="0" applyFont="1" applyFill="1" applyBorder="1" applyAlignment="1">
      <alignment horizontal="left" vertical="center" wrapText="1" indent="1"/>
    </xf>
    <xf numFmtId="0" fontId="0" fillId="13" borderId="46" xfId="0" applyFont="1" applyFill="1" applyBorder="1" applyAlignment="1">
      <alignment horizontal="center" vertical="center"/>
    </xf>
    <xf numFmtId="0" fontId="0" fillId="13" borderId="41" xfId="0" applyFont="1" applyFill="1" applyBorder="1" applyAlignment="1">
      <alignment horizontal="left" vertical="center" indent="1"/>
    </xf>
    <xf numFmtId="0" fontId="0" fillId="13" borderId="50" xfId="0" applyFont="1" applyFill="1" applyBorder="1" applyAlignment="1">
      <alignment horizontal="left" vertical="center" indent="1"/>
    </xf>
    <xf numFmtId="0" fontId="0" fillId="13" borderId="47" xfId="0" applyFill="1" applyBorder="1" applyAlignment="1" applyProtection="1">
      <alignment horizontal="left" vertical="center" indent="1"/>
      <protection locked="0"/>
    </xf>
    <xf numFmtId="0" fontId="0" fillId="13" borderId="49" xfId="0" applyFill="1" applyBorder="1" applyAlignment="1" applyProtection="1">
      <alignment horizontal="left" vertical="center" indent="1"/>
      <protection locked="0"/>
    </xf>
    <xf numFmtId="0" fontId="0" fillId="13" borderId="50" xfId="0" applyFill="1" applyBorder="1" applyAlignment="1" applyProtection="1">
      <alignment horizontal="left" vertical="center" indent="1"/>
      <protection locked="0"/>
    </xf>
    <xf numFmtId="0" fontId="0" fillId="13" borderId="47" xfId="0" applyFont="1" applyFill="1" applyBorder="1" applyAlignment="1">
      <alignment horizontal="left" vertical="center" indent="1"/>
    </xf>
    <xf numFmtId="0" fontId="0" fillId="13" borderId="49" xfId="0" applyFont="1" applyFill="1" applyBorder="1" applyAlignment="1">
      <alignment horizontal="left" vertical="center" indent="1"/>
    </xf>
    <xf numFmtId="0" fontId="6" fillId="25" borderId="59" xfId="0" applyFont="1" applyFill="1" applyBorder="1" applyAlignment="1">
      <alignment horizontal="center" vertical="center"/>
    </xf>
    <xf numFmtId="0" fontId="6" fillId="25" borderId="49" xfId="0" applyFont="1" applyFill="1" applyBorder="1" applyAlignment="1">
      <alignment horizontal="center" vertical="center"/>
    </xf>
    <xf numFmtId="0" fontId="6" fillId="25" borderId="29" xfId="0" applyFont="1" applyFill="1" applyBorder="1" applyAlignment="1">
      <alignment horizontal="center" vertical="center"/>
    </xf>
    <xf numFmtId="0" fontId="6" fillId="25" borderId="56" xfId="0" applyFont="1" applyFill="1" applyBorder="1" applyAlignment="1">
      <alignment horizontal="center" vertical="center"/>
    </xf>
    <xf numFmtId="0" fontId="0" fillId="13" borderId="2" xfId="0" applyFont="1" applyFill="1" applyBorder="1" applyAlignment="1">
      <alignment horizontal="left" vertical="center" wrapText="1" indent="1"/>
    </xf>
    <xf numFmtId="0" fontId="0" fillId="13" borderId="14" xfId="0" applyFont="1" applyFill="1" applyBorder="1" applyAlignment="1">
      <alignment horizontal="left" vertical="center" wrapText="1" indent="1"/>
    </xf>
    <xf numFmtId="0" fontId="0" fillId="13" borderId="1" xfId="0" applyFont="1" applyFill="1" applyBorder="1" applyAlignment="1">
      <alignment horizontal="left" vertical="center" wrapText="1" indent="1"/>
    </xf>
    <xf numFmtId="0" fontId="6" fillId="25" borderId="105" xfId="0" applyFont="1" applyFill="1" applyBorder="1" applyAlignment="1">
      <alignment horizontal="center" vertical="center" wrapText="1"/>
    </xf>
    <xf numFmtId="0" fontId="6" fillId="25" borderId="106" xfId="0" applyFont="1" applyFill="1" applyBorder="1" applyAlignment="1">
      <alignment horizontal="center" vertical="center" wrapText="1"/>
    </xf>
    <xf numFmtId="0" fontId="6" fillId="25" borderId="107" xfId="0" applyFont="1" applyFill="1" applyBorder="1" applyAlignment="1">
      <alignment horizontal="center" vertical="center" wrapText="1"/>
    </xf>
    <xf numFmtId="0" fontId="6" fillId="25" borderId="108" xfId="0" applyFont="1" applyFill="1" applyBorder="1" applyAlignment="1">
      <alignment horizontal="center" vertical="center" wrapText="1"/>
    </xf>
    <xf numFmtId="0" fontId="6" fillId="25" borderId="109" xfId="0" applyFont="1" applyFill="1" applyBorder="1" applyAlignment="1">
      <alignment horizontal="center" vertical="center" wrapText="1"/>
    </xf>
    <xf numFmtId="0" fontId="0" fillId="13" borderId="1" xfId="0" applyFont="1" applyFill="1" applyBorder="1" applyAlignment="1">
      <alignment horizontal="left" vertical="center" indent="1"/>
    </xf>
    <xf numFmtId="0" fontId="6" fillId="25" borderId="102" xfId="0" applyFont="1" applyFill="1" applyBorder="1" applyAlignment="1">
      <alignment horizontal="center" vertical="center" wrapText="1"/>
    </xf>
    <xf numFmtId="0" fontId="6" fillId="25" borderId="101" xfId="0" applyFont="1" applyFill="1" applyBorder="1" applyAlignment="1">
      <alignment horizontal="center" vertical="center" wrapText="1"/>
    </xf>
    <xf numFmtId="0" fontId="6" fillId="25" borderId="119" xfId="0" applyFont="1" applyFill="1" applyBorder="1" applyAlignment="1">
      <alignment horizontal="center" vertical="center" wrapText="1"/>
    </xf>
    <xf numFmtId="0" fontId="6" fillId="25" borderId="117" xfId="0" applyFont="1" applyFill="1" applyBorder="1" applyAlignment="1">
      <alignment horizontal="center" vertical="center" wrapText="1"/>
    </xf>
    <xf numFmtId="0" fontId="6" fillId="25" borderId="47" xfId="0" applyFont="1" applyFill="1" applyBorder="1" applyAlignment="1">
      <alignment horizontal="left" vertical="center" wrapText="1" indent="1"/>
    </xf>
    <xf numFmtId="0" fontId="6" fillId="25" borderId="51" xfId="0" applyFont="1" applyFill="1" applyBorder="1" applyAlignment="1">
      <alignment horizontal="left" vertical="center" wrapText="1" indent="1"/>
    </xf>
    <xf numFmtId="0" fontId="6" fillId="25" borderId="96" xfId="0" applyFont="1" applyFill="1" applyBorder="1" applyAlignment="1">
      <alignment horizontal="center" vertical="center" wrapText="1"/>
    </xf>
    <xf numFmtId="0" fontId="107" fillId="13" borderId="60" xfId="0" applyFont="1" applyFill="1" applyBorder="1" applyAlignment="1">
      <alignment horizontal="left" vertical="center" wrapText="1" indent="1"/>
    </xf>
    <xf numFmtId="0" fontId="107" fillId="13" borderId="61" xfId="0" applyFont="1" applyFill="1" applyBorder="1" applyAlignment="1">
      <alignment horizontal="left" vertical="center" wrapText="1" indent="1"/>
    </xf>
    <xf numFmtId="0" fontId="107" fillId="13" borderId="57" xfId="0" applyFont="1" applyFill="1" applyBorder="1" applyAlignment="1">
      <alignment horizontal="left" vertical="center" wrapText="1" indent="1"/>
    </xf>
    <xf numFmtId="0" fontId="32" fillId="25" borderId="59" xfId="0" applyFont="1" applyFill="1" applyBorder="1" applyAlignment="1">
      <alignment horizontal="center" vertical="center" wrapText="1"/>
    </xf>
    <xf numFmtId="0" fontId="32" fillId="25" borderId="48" xfId="0" applyFont="1" applyFill="1" applyBorder="1" applyAlignment="1">
      <alignment horizontal="center" vertical="center" wrapText="1"/>
    </xf>
    <xf numFmtId="0" fontId="32" fillId="25" borderId="54" xfId="0" applyFont="1" applyFill="1" applyBorder="1" applyAlignment="1">
      <alignment horizontal="center" vertical="center" wrapText="1"/>
    </xf>
    <xf numFmtId="0" fontId="32" fillId="25" borderId="29" xfId="0" applyFont="1" applyFill="1" applyBorder="1" applyAlignment="1">
      <alignment horizontal="center" vertical="center" wrapText="1"/>
    </xf>
    <xf numFmtId="0" fontId="32" fillId="25" borderId="37" xfId="0" applyFont="1" applyFill="1" applyBorder="1" applyAlignment="1">
      <alignment horizontal="center" vertical="center" wrapText="1"/>
    </xf>
    <xf numFmtId="0" fontId="32" fillId="25" borderId="30" xfId="0" applyFont="1" applyFill="1" applyBorder="1" applyAlignment="1">
      <alignment horizontal="center" vertical="center" wrapText="1"/>
    </xf>
    <xf numFmtId="0" fontId="23" fillId="13" borderId="60" xfId="0" applyFont="1" applyFill="1" applyBorder="1" applyAlignment="1">
      <alignment horizontal="left" vertical="center" wrapText="1" indent="1"/>
    </xf>
    <xf numFmtId="0" fontId="23" fillId="13" borderId="61" xfId="0" applyFont="1" applyFill="1" applyBorder="1" applyAlignment="1">
      <alignment horizontal="left" vertical="center" wrapText="1" indent="1"/>
    </xf>
    <xf numFmtId="0" fontId="23" fillId="13" borderId="57" xfId="0" applyFont="1" applyFill="1" applyBorder="1" applyAlignment="1">
      <alignment horizontal="left" vertical="center" wrapText="1" indent="1"/>
    </xf>
    <xf numFmtId="0" fontId="49" fillId="13" borderId="60" xfId="0" applyFont="1" applyFill="1" applyBorder="1" applyAlignment="1">
      <alignment horizontal="left" vertical="center" indent="1"/>
    </xf>
    <xf numFmtId="0" fontId="49" fillId="13" borderId="61" xfId="0" applyFont="1" applyFill="1" applyBorder="1" applyAlignment="1">
      <alignment horizontal="left" vertical="center" indent="1"/>
    </xf>
    <xf numFmtId="0" fontId="49" fillId="13" borderId="57" xfId="0" applyFont="1" applyFill="1" applyBorder="1" applyAlignment="1">
      <alignment horizontal="left" vertical="center" indent="1"/>
    </xf>
    <xf numFmtId="0" fontId="32" fillId="25" borderId="47" xfId="0" applyFont="1" applyFill="1" applyBorder="1" applyAlignment="1">
      <alignment horizontal="center" vertical="center"/>
    </xf>
    <xf numFmtId="0" fontId="32" fillId="25" borderId="48" xfId="0" applyFont="1" applyFill="1" applyBorder="1" applyAlignment="1">
      <alignment horizontal="center" vertical="center"/>
    </xf>
    <xf numFmtId="0" fontId="32" fillId="25" borderId="54" xfId="0" applyFont="1" applyFill="1" applyBorder="1" applyAlignment="1">
      <alignment horizontal="center" vertical="center"/>
    </xf>
    <xf numFmtId="0" fontId="32" fillId="25" borderId="51" xfId="0" applyFont="1" applyFill="1" applyBorder="1" applyAlignment="1">
      <alignment horizontal="center" vertical="center"/>
    </xf>
    <xf numFmtId="0" fontId="32" fillId="25" borderId="52" xfId="0" applyFont="1" applyFill="1" applyBorder="1" applyAlignment="1">
      <alignment horizontal="center" vertical="center"/>
    </xf>
    <xf numFmtId="0" fontId="32" fillId="25" borderId="96" xfId="0" applyFont="1" applyFill="1" applyBorder="1" applyAlignment="1">
      <alignment horizontal="center" vertical="center"/>
    </xf>
    <xf numFmtId="0" fontId="23" fillId="13" borderId="60" xfId="0" applyFont="1" applyFill="1" applyBorder="1" applyAlignment="1">
      <alignment horizontal="left" vertical="center" wrapText="1"/>
    </xf>
    <xf numFmtId="0" fontId="23" fillId="13" borderId="61" xfId="0" applyFont="1" applyFill="1" applyBorder="1" applyAlignment="1">
      <alignment horizontal="left" vertical="center" wrapText="1"/>
    </xf>
    <xf numFmtId="0" fontId="23" fillId="13" borderId="57" xfId="0" applyFont="1" applyFill="1" applyBorder="1" applyAlignment="1">
      <alignment horizontal="left" vertical="center" wrapText="1"/>
    </xf>
    <xf numFmtId="0" fontId="106" fillId="20" borderId="60" xfId="0" applyFont="1" applyFill="1" applyBorder="1" applyAlignment="1">
      <alignment horizontal="left" vertical="center" wrapText="1"/>
    </xf>
    <xf numFmtId="0" fontId="106" fillId="20" borderId="61" xfId="0" applyFont="1" applyFill="1" applyBorder="1" applyAlignment="1">
      <alignment horizontal="left" vertical="center" wrapText="1"/>
    </xf>
    <xf numFmtId="0" fontId="106" fillId="20" borderId="57" xfId="0" applyFont="1" applyFill="1" applyBorder="1" applyAlignment="1">
      <alignment horizontal="left" vertical="center" wrapText="1"/>
    </xf>
    <xf numFmtId="0" fontId="107" fillId="13" borderId="60" xfId="0" applyFont="1" applyFill="1" applyBorder="1" applyAlignment="1">
      <alignment horizontal="left" vertical="center" wrapText="1"/>
    </xf>
    <xf numFmtId="0" fontId="107" fillId="13" borderId="61" xfId="0" applyFont="1" applyFill="1" applyBorder="1" applyAlignment="1">
      <alignment horizontal="left" vertical="center" wrapText="1"/>
    </xf>
    <xf numFmtId="0" fontId="107" fillId="13" borderId="57" xfId="0" applyFont="1" applyFill="1" applyBorder="1" applyAlignment="1">
      <alignment horizontal="left" vertical="center" wrapText="1"/>
    </xf>
    <xf numFmtId="0" fontId="32" fillId="25" borderId="49" xfId="0" applyFont="1" applyFill="1" applyBorder="1" applyAlignment="1">
      <alignment horizontal="center" vertical="center" wrapText="1"/>
    </xf>
    <xf numFmtId="0" fontId="32" fillId="25" borderId="56" xfId="0" applyFont="1" applyFill="1" applyBorder="1" applyAlignment="1">
      <alignment horizontal="center" vertical="center" wrapText="1"/>
    </xf>
    <xf numFmtId="0" fontId="23" fillId="20" borderId="60" xfId="0" applyFont="1" applyFill="1" applyBorder="1" applyAlignment="1">
      <alignment horizontal="left" vertical="center" wrapText="1"/>
    </xf>
    <xf numFmtId="0" fontId="23" fillId="20" borderId="61" xfId="0" applyFont="1" applyFill="1" applyBorder="1" applyAlignment="1">
      <alignment horizontal="left" vertical="center" wrapText="1"/>
    </xf>
    <xf numFmtId="0" fontId="23" fillId="20" borderId="57" xfId="0" applyFont="1" applyFill="1" applyBorder="1" applyAlignment="1">
      <alignment horizontal="left" vertical="center" wrapText="1"/>
    </xf>
    <xf numFmtId="0" fontId="86" fillId="16" borderId="26" xfId="3996" applyFont="1" applyFill="1" applyBorder="1" applyAlignment="1">
      <alignment horizontal="center" vertical="center" wrapText="1"/>
    </xf>
    <xf numFmtId="0" fontId="86" fillId="16" borderId="27" xfId="3996" applyFont="1" applyFill="1" applyBorder="1" applyAlignment="1">
      <alignment horizontal="center" vertical="center" wrapText="1"/>
    </xf>
    <xf numFmtId="0" fontId="32" fillId="25" borderId="55" xfId="0" applyFont="1" applyFill="1" applyBorder="1" applyAlignment="1">
      <alignment horizontal="center" vertical="center"/>
    </xf>
    <xf numFmtId="0" fontId="32" fillId="25" borderId="37" xfId="0" applyFont="1" applyFill="1" applyBorder="1" applyAlignment="1">
      <alignment horizontal="center" vertical="center"/>
    </xf>
    <xf numFmtId="0" fontId="32" fillId="25" borderId="59" xfId="0" applyFont="1" applyFill="1" applyBorder="1" applyAlignment="1">
      <alignment horizontal="center" vertical="center"/>
    </xf>
    <xf numFmtId="0" fontId="32" fillId="25" borderId="29" xfId="0" applyFont="1" applyFill="1" applyBorder="1" applyAlignment="1">
      <alignment horizontal="center" vertical="center"/>
    </xf>
    <xf numFmtId="0" fontId="32" fillId="25" borderId="30" xfId="0" applyFont="1" applyFill="1" applyBorder="1" applyAlignment="1">
      <alignment horizontal="center" vertical="center"/>
    </xf>
    <xf numFmtId="1" fontId="23" fillId="13" borderId="60" xfId="0" applyNumberFormat="1" applyFont="1" applyFill="1" applyBorder="1" applyAlignment="1">
      <alignment horizontal="left" vertical="center" wrapText="1" indent="1"/>
    </xf>
    <xf numFmtId="1" fontId="23" fillId="13" borderId="61" xfId="0" applyNumberFormat="1" applyFont="1" applyFill="1" applyBorder="1" applyAlignment="1">
      <alignment horizontal="left" vertical="center" wrapText="1" indent="1"/>
    </xf>
    <xf numFmtId="1" fontId="23" fillId="13" borderId="57" xfId="0" applyNumberFormat="1" applyFont="1" applyFill="1" applyBorder="1" applyAlignment="1">
      <alignment horizontal="left" vertical="center" wrapText="1" indent="1"/>
    </xf>
    <xf numFmtId="0" fontId="53" fillId="13" borderId="60" xfId="0" applyFont="1" applyFill="1" applyBorder="1" applyAlignment="1">
      <alignment horizontal="left" vertical="center" wrapText="1" indent="1"/>
    </xf>
    <xf numFmtId="0" fontId="53" fillId="13" borderId="61" xfId="0" applyFont="1" applyFill="1" applyBorder="1" applyAlignment="1">
      <alignment horizontal="left" vertical="center" wrapText="1" indent="1"/>
    </xf>
    <xf numFmtId="0" fontId="53" fillId="13" borderId="57" xfId="0" applyFont="1" applyFill="1" applyBorder="1" applyAlignment="1">
      <alignment horizontal="left" vertical="center" wrapText="1" indent="1"/>
    </xf>
    <xf numFmtId="0" fontId="32" fillId="25" borderId="41" xfId="0" applyFont="1" applyFill="1" applyBorder="1" applyAlignment="1">
      <alignment horizontal="center" vertical="center"/>
    </xf>
    <xf numFmtId="0" fontId="32" fillId="25" borderId="0" xfId="0" applyFont="1" applyFill="1" applyBorder="1" applyAlignment="1">
      <alignment horizontal="center" vertical="center"/>
    </xf>
    <xf numFmtId="0" fontId="32" fillId="25" borderId="58" xfId="0" applyFont="1" applyFill="1" applyBorder="1" applyAlignment="1">
      <alignment horizontal="center" vertical="center"/>
    </xf>
    <xf numFmtId="0" fontId="56" fillId="13" borderId="60" xfId="0" applyFont="1" applyFill="1" applyBorder="1" applyAlignment="1">
      <alignment horizontal="left" vertical="center" wrapText="1"/>
    </xf>
    <xf numFmtId="0" fontId="56" fillId="13" borderId="61" xfId="0" applyFont="1" applyFill="1" applyBorder="1" applyAlignment="1">
      <alignment horizontal="left" vertical="center" wrapText="1"/>
    </xf>
    <xf numFmtId="0" fontId="56" fillId="13" borderId="57" xfId="0" applyFont="1" applyFill="1" applyBorder="1" applyAlignment="1">
      <alignment horizontal="left" vertical="center" wrapText="1"/>
    </xf>
    <xf numFmtId="0" fontId="32" fillId="25" borderId="49" xfId="0" applyFont="1" applyFill="1" applyBorder="1" applyAlignment="1">
      <alignment horizontal="center" vertical="center"/>
    </xf>
    <xf numFmtId="0" fontId="32" fillId="25" borderId="62" xfId="0" applyFont="1" applyFill="1" applyBorder="1" applyAlignment="1">
      <alignment horizontal="center" vertical="center"/>
    </xf>
    <xf numFmtId="0" fontId="32" fillId="25" borderId="53" xfId="0" applyFont="1" applyFill="1" applyBorder="1" applyAlignment="1">
      <alignment horizontal="center" vertical="center"/>
    </xf>
    <xf numFmtId="0" fontId="32" fillId="25" borderId="72" xfId="0" applyFont="1" applyFill="1" applyBorder="1" applyAlignment="1">
      <alignment horizontal="center" vertical="center"/>
    </xf>
    <xf numFmtId="0" fontId="32" fillId="25" borderId="50" xfId="0" applyFont="1" applyFill="1" applyBorder="1" applyAlignment="1">
      <alignment horizontal="center" vertical="center"/>
    </xf>
    <xf numFmtId="0" fontId="63" fillId="13" borderId="60" xfId="0" applyFont="1" applyFill="1" applyBorder="1" applyAlignment="1">
      <alignment horizontal="left" vertical="center" wrapText="1"/>
    </xf>
    <xf numFmtId="0" fontId="63" fillId="13" borderId="61" xfId="0" applyFont="1" applyFill="1" applyBorder="1" applyAlignment="1">
      <alignment horizontal="left" vertical="center" wrapText="1"/>
    </xf>
    <xf numFmtId="0" fontId="63" fillId="13" borderId="57" xfId="0" applyFont="1" applyFill="1" applyBorder="1" applyAlignment="1">
      <alignment horizontal="left" vertical="center" wrapText="1"/>
    </xf>
    <xf numFmtId="0" fontId="23" fillId="13" borderId="46" xfId="0" applyFont="1" applyFill="1" applyBorder="1" applyAlignment="1">
      <alignment horizontal="left" vertical="center"/>
    </xf>
    <xf numFmtId="0" fontId="22" fillId="13" borderId="46" xfId="0" applyFont="1" applyFill="1" applyBorder="1" applyAlignment="1">
      <alignment horizontal="left" vertical="center" wrapText="1"/>
    </xf>
    <xf numFmtId="0" fontId="32" fillId="25" borderId="102" xfId="0" applyFont="1" applyFill="1" applyBorder="1" applyAlignment="1">
      <alignment horizontal="center" vertical="center" wrapText="1"/>
    </xf>
    <xf numFmtId="0" fontId="32" fillId="25" borderId="83" xfId="0" applyFont="1" applyFill="1" applyBorder="1" applyAlignment="1">
      <alignment horizontal="center" vertical="center" wrapText="1"/>
    </xf>
    <xf numFmtId="0" fontId="54" fillId="26" borderId="46" xfId="0" applyFont="1" applyFill="1" applyBorder="1" applyAlignment="1">
      <alignment horizontal="center" vertical="center"/>
    </xf>
    <xf numFmtId="0" fontId="54" fillId="13" borderId="46" xfId="0" applyFont="1" applyFill="1" applyBorder="1" applyAlignment="1">
      <alignment horizontal="left" vertical="center" wrapText="1"/>
    </xf>
    <xf numFmtId="0" fontId="0" fillId="0" borderId="46" xfId="0" applyBorder="1"/>
    <xf numFmtId="49" fontId="22" fillId="13" borderId="46" xfId="0" applyNumberFormat="1" applyFont="1" applyFill="1" applyBorder="1" applyAlignment="1" applyProtection="1">
      <alignment horizontal="left" vertical="center" wrapText="1"/>
      <protection locked="0"/>
    </xf>
    <xf numFmtId="49" fontId="22" fillId="13" borderId="46" xfId="0" applyNumberFormat="1" applyFont="1" applyFill="1" applyBorder="1" applyAlignment="1" applyProtection="1">
      <alignment horizontal="left" vertical="center"/>
      <protection locked="0"/>
    </xf>
    <xf numFmtId="0" fontId="54" fillId="17" borderId="60" xfId="0" applyFont="1" applyFill="1" applyBorder="1" applyAlignment="1" applyProtection="1">
      <alignment horizontal="center" vertical="center"/>
      <protection locked="0"/>
    </xf>
    <xf numFmtId="0" fontId="54" fillId="17" borderId="57" xfId="0" applyFont="1" applyFill="1" applyBorder="1" applyAlignment="1" applyProtection="1">
      <alignment horizontal="center" vertical="center"/>
      <protection locked="0"/>
    </xf>
    <xf numFmtId="0" fontId="32" fillId="25" borderId="121" xfId="0" applyFont="1" applyFill="1" applyBorder="1" applyAlignment="1" applyProtection="1">
      <alignment horizontal="center" vertical="center"/>
      <protection locked="0"/>
    </xf>
    <xf numFmtId="0" fontId="32" fillId="25" borderId="44" xfId="0" applyFont="1" applyFill="1" applyBorder="1" applyAlignment="1" applyProtection="1">
      <alignment horizontal="center" vertical="center"/>
      <protection locked="0"/>
    </xf>
    <xf numFmtId="0" fontId="32" fillId="25" borderId="122" xfId="0" applyFont="1" applyFill="1" applyBorder="1" applyAlignment="1" applyProtection="1">
      <alignment horizontal="center" vertical="center"/>
      <protection locked="0"/>
    </xf>
    <xf numFmtId="0" fontId="32" fillId="25" borderId="123" xfId="0" applyFont="1" applyFill="1" applyBorder="1" applyAlignment="1" applyProtection="1">
      <alignment horizontal="center" vertical="center"/>
      <protection locked="0"/>
    </xf>
    <xf numFmtId="0" fontId="28" fillId="13" borderId="0" xfId="0" applyFont="1" applyFill="1" applyAlignment="1" applyProtection="1">
      <alignment horizontal="left" vertical="top" wrapText="1"/>
      <protection locked="0"/>
    </xf>
    <xf numFmtId="0" fontId="86" fillId="25" borderId="27" xfId="3996" applyFont="1" applyFill="1" applyBorder="1" applyAlignment="1">
      <alignment horizontal="center" vertical="center"/>
    </xf>
    <xf numFmtId="0" fontId="90" fillId="26" borderId="26" xfId="0" applyFont="1" applyFill="1" applyBorder="1" applyAlignment="1">
      <alignment horizontal="center" vertical="center" wrapText="1"/>
    </xf>
    <xf numFmtId="0" fontId="90" fillId="26" borderId="27" xfId="0" applyFont="1" applyFill="1" applyBorder="1" applyAlignment="1">
      <alignment horizontal="center" vertical="center" wrapText="1"/>
    </xf>
    <xf numFmtId="0" fontId="90" fillId="26" borderId="28" xfId="0" applyFont="1" applyFill="1" applyBorder="1" applyAlignment="1">
      <alignment horizontal="center" vertical="center" wrapText="1"/>
    </xf>
    <xf numFmtId="0" fontId="32" fillId="25" borderId="45" xfId="0" applyFont="1" applyFill="1" applyBorder="1" applyAlignment="1" applyProtection="1">
      <alignment horizontal="center" vertical="center"/>
      <protection locked="0"/>
    </xf>
    <xf numFmtId="0" fontId="32" fillId="25" borderId="99" xfId="0" applyFont="1" applyFill="1" applyBorder="1" applyAlignment="1" applyProtection="1">
      <alignment horizontal="center" vertical="center"/>
      <protection locked="0"/>
    </xf>
    <xf numFmtId="0" fontId="32" fillId="25" borderId="160" xfId="0" applyFont="1" applyFill="1" applyBorder="1" applyAlignment="1" applyProtection="1">
      <alignment horizontal="center" vertical="center"/>
      <protection locked="0"/>
    </xf>
    <xf numFmtId="0" fontId="32" fillId="25" borderId="42" xfId="0" applyFont="1" applyFill="1" applyBorder="1" applyAlignment="1" applyProtection="1">
      <alignment horizontal="center" vertical="center"/>
      <protection locked="0"/>
    </xf>
    <xf numFmtId="0" fontId="32" fillId="25" borderId="43" xfId="0" applyFont="1" applyFill="1" applyBorder="1" applyAlignment="1" applyProtection="1">
      <alignment horizontal="center" vertical="center"/>
      <protection locked="0"/>
    </xf>
    <xf numFmtId="0" fontId="32" fillId="25" borderId="44" xfId="0" applyFont="1" applyFill="1" applyBorder="1" applyAlignment="1" applyProtection="1">
      <alignment horizontal="center" vertical="center" wrapText="1"/>
      <protection locked="0"/>
    </xf>
    <xf numFmtId="0" fontId="32" fillId="25" borderId="123" xfId="0" applyFont="1" applyFill="1" applyBorder="1" applyAlignment="1" applyProtection="1">
      <alignment horizontal="center" vertical="center" wrapText="1"/>
      <protection locked="0"/>
    </xf>
    <xf numFmtId="0" fontId="32" fillId="25" borderId="102" xfId="0" applyFont="1" applyFill="1" applyBorder="1" applyAlignment="1" applyProtection="1">
      <alignment horizontal="center" vertical="center" wrapText="1"/>
      <protection locked="0"/>
    </xf>
    <xf numFmtId="0" fontId="32" fillId="25" borderId="101" xfId="0" applyFont="1" applyFill="1" applyBorder="1" applyAlignment="1" applyProtection="1">
      <alignment horizontal="center" vertical="center" wrapText="1"/>
      <protection locked="0"/>
    </xf>
    <xf numFmtId="0" fontId="22" fillId="13" borderId="187" xfId="0" applyNumberFormat="1" applyFont="1" applyFill="1" applyBorder="1" applyAlignment="1" applyProtection="1">
      <alignment horizontal="left" vertical="center"/>
      <protection locked="0"/>
    </xf>
    <xf numFmtId="0" fontId="22" fillId="13" borderId="49" xfId="0" applyNumberFormat="1" applyFont="1" applyFill="1" applyBorder="1" applyAlignment="1" applyProtection="1">
      <alignment horizontal="left" vertical="center"/>
      <protection locked="0"/>
    </xf>
    <xf numFmtId="0" fontId="54" fillId="26" borderId="46" xfId="0" applyFont="1" applyFill="1" applyBorder="1" applyAlignment="1" applyProtection="1">
      <alignment horizontal="left" vertical="center"/>
      <protection locked="0"/>
    </xf>
    <xf numFmtId="0" fontId="86" fillId="16" borderId="27" xfId="3996" applyFont="1" applyFill="1" applyBorder="1" applyAlignment="1">
      <alignment horizontal="center" vertical="center"/>
    </xf>
    <xf numFmtId="0" fontId="86" fillId="16" borderId="145" xfId="3996" applyFont="1" applyFill="1" applyBorder="1" applyAlignment="1">
      <alignment horizontal="center" vertical="center" wrapText="1"/>
    </xf>
    <xf numFmtId="0" fontId="86" fillId="16" borderId="152" xfId="3996" applyFont="1" applyFill="1" applyBorder="1" applyAlignment="1">
      <alignment horizontal="center" vertical="center" wrapText="1"/>
    </xf>
    <xf numFmtId="0" fontId="86" fillId="16" borderId="145" xfId="3996" applyFont="1" applyFill="1" applyBorder="1" applyAlignment="1">
      <alignment horizontal="center" vertical="center"/>
    </xf>
    <xf numFmtId="0" fontId="86" fillId="16" borderId="162" xfId="3996" applyFont="1" applyFill="1" applyBorder="1" applyAlignment="1">
      <alignment horizontal="center" vertical="center"/>
    </xf>
    <xf numFmtId="0" fontId="90" fillId="26" borderId="26" xfId="3996" applyFont="1" applyFill="1" applyBorder="1" applyAlignment="1">
      <alignment horizontal="center" vertical="center" wrapText="1"/>
    </xf>
    <xf numFmtId="0" fontId="90" fillId="26" borderId="28" xfId="3996" applyFont="1" applyFill="1" applyBorder="1" applyAlignment="1">
      <alignment horizontal="center" vertical="center"/>
    </xf>
    <xf numFmtId="0" fontId="22" fillId="13" borderId="165" xfId="0" applyNumberFormat="1" applyFont="1" applyFill="1" applyBorder="1" applyAlignment="1" applyProtection="1">
      <alignment horizontal="left" vertical="center"/>
      <protection locked="0"/>
    </xf>
    <xf numFmtId="0" fontId="22" fillId="13" borderId="57" xfId="0" applyNumberFormat="1" applyFont="1" applyFill="1" applyBorder="1" applyAlignment="1" applyProtection="1">
      <alignment horizontal="left" vertical="center"/>
      <protection locked="0"/>
    </xf>
    <xf numFmtId="0" fontId="32" fillId="25" borderId="119" xfId="0" applyFont="1" applyFill="1" applyBorder="1" applyAlignment="1" applyProtection="1">
      <alignment horizontal="center" vertical="center"/>
      <protection locked="0"/>
    </xf>
    <xf numFmtId="0" fontId="32" fillId="25" borderId="117" xfId="0" applyFont="1" applyFill="1" applyBorder="1" applyAlignment="1" applyProtection="1">
      <alignment horizontal="center" vertical="center"/>
      <protection locked="0"/>
    </xf>
    <xf numFmtId="0" fontId="86" fillId="16" borderId="28" xfId="3996" applyFont="1" applyFill="1" applyBorder="1" applyAlignment="1">
      <alignment horizontal="center" vertical="center" wrapText="1"/>
    </xf>
    <xf numFmtId="0" fontId="91" fillId="26" borderId="26" xfId="3996" applyFont="1" applyFill="1" applyBorder="1" applyAlignment="1">
      <alignment horizontal="center" vertical="center" wrapText="1"/>
    </xf>
    <xf numFmtId="0" fontId="91" fillId="26" borderId="28" xfId="3996" applyFont="1" applyFill="1" applyBorder="1" applyAlignment="1">
      <alignment horizontal="center" vertical="center" wrapText="1"/>
    </xf>
    <xf numFmtId="0" fontId="32" fillId="25" borderId="59" xfId="0" applyFont="1" applyFill="1" applyBorder="1" applyAlignment="1" applyProtection="1">
      <alignment horizontal="center" vertical="center"/>
      <protection locked="0"/>
    </xf>
    <xf numFmtId="0" fontId="32" fillId="25" borderId="48" xfId="0" applyFont="1" applyFill="1" applyBorder="1" applyAlignment="1" applyProtection="1">
      <alignment horizontal="center" vertical="center"/>
      <protection locked="0"/>
    </xf>
    <xf numFmtId="0" fontId="32" fillId="25" borderId="54" xfId="0" applyFont="1" applyFill="1" applyBorder="1" applyAlignment="1" applyProtection="1">
      <alignment horizontal="center" vertical="center"/>
      <protection locked="0"/>
    </xf>
    <xf numFmtId="0" fontId="32" fillId="25" borderId="62" xfId="0" applyFont="1" applyFill="1" applyBorder="1" applyAlignment="1" applyProtection="1">
      <alignment horizontal="center" vertical="center"/>
      <protection locked="0"/>
    </xf>
    <xf numFmtId="0" fontId="32" fillId="25" borderId="52" xfId="0" applyFont="1" applyFill="1" applyBorder="1" applyAlignment="1" applyProtection="1">
      <alignment horizontal="center" vertical="center"/>
      <protection locked="0"/>
    </xf>
    <xf numFmtId="0" fontId="32" fillId="25" borderId="96" xfId="0" applyFont="1" applyFill="1" applyBorder="1" applyAlignment="1" applyProtection="1">
      <alignment horizontal="center" vertical="center"/>
      <protection locked="0"/>
    </xf>
    <xf numFmtId="0" fontId="90" fillId="26" borderId="26" xfId="3996" applyFont="1" applyFill="1" applyBorder="1" applyAlignment="1">
      <alignment horizontal="center" vertical="center"/>
    </xf>
    <xf numFmtId="0" fontId="146" fillId="22" borderId="60" xfId="3137" applyFont="1" applyFill="1" applyBorder="1" applyAlignment="1">
      <alignment horizontal="left" vertical="center" wrapText="1" indent="1"/>
    </xf>
    <xf numFmtId="0" fontId="146" fillId="22" borderId="61" xfId="3137" applyFont="1" applyFill="1" applyBorder="1" applyAlignment="1">
      <alignment horizontal="left" vertical="center" wrapText="1" indent="1"/>
    </xf>
    <xf numFmtId="0" fontId="146" fillId="22" borderId="57" xfId="3137" applyFont="1" applyFill="1" applyBorder="1" applyAlignment="1">
      <alignment horizontal="left" vertical="center" wrapText="1" indent="1"/>
    </xf>
    <xf numFmtId="0" fontId="136" fillId="22" borderId="60" xfId="3137" applyFont="1" applyFill="1" applyBorder="1" applyAlignment="1">
      <alignment horizontal="left" vertical="center" wrapText="1" indent="1"/>
    </xf>
    <xf numFmtId="0" fontId="136" fillId="22" borderId="61" xfId="3137" applyFont="1" applyFill="1" applyBorder="1" applyAlignment="1">
      <alignment horizontal="left" vertical="center" wrapText="1" indent="1"/>
    </xf>
    <xf numFmtId="0" fontId="136" fillId="22" borderId="57" xfId="3137" applyFont="1" applyFill="1" applyBorder="1" applyAlignment="1">
      <alignment horizontal="left" vertical="center" wrapText="1" indent="1"/>
    </xf>
    <xf numFmtId="0" fontId="0" fillId="0" borderId="60" xfId="0" quotePrefix="1" applyBorder="1"/>
    <xf numFmtId="0" fontId="0" fillId="0" borderId="57" xfId="0" quotePrefix="1" applyBorder="1"/>
    <xf numFmtId="0" fontId="86" fillId="25" borderId="60" xfId="0" applyFont="1" applyFill="1" applyBorder="1" applyAlignment="1">
      <alignment horizontal="center" vertical="center"/>
    </xf>
    <xf numFmtId="0" fontId="86" fillId="25" borderId="57" xfId="0" applyFont="1" applyFill="1" applyBorder="1" applyAlignment="1">
      <alignment horizontal="center" vertical="center"/>
    </xf>
    <xf numFmtId="0" fontId="86" fillId="25" borderId="60" xfId="0" applyFont="1" applyFill="1" applyBorder="1" applyAlignment="1">
      <alignment horizontal="center" vertical="center" wrapText="1"/>
    </xf>
    <xf numFmtId="0" fontId="86" fillId="25" borderId="57" xfId="0" applyFont="1" applyFill="1" applyBorder="1" applyAlignment="1">
      <alignment horizontal="center" vertical="center" wrapText="1"/>
    </xf>
    <xf numFmtId="0" fontId="22" fillId="13" borderId="2" xfId="0" applyFont="1" applyFill="1" applyBorder="1" applyAlignment="1">
      <alignment horizontal="left" vertical="center"/>
    </xf>
    <xf numFmtId="0" fontId="22" fillId="13" borderId="3" xfId="0" applyFont="1" applyFill="1" applyBorder="1" applyAlignment="1">
      <alignment horizontal="left" vertical="center"/>
    </xf>
    <xf numFmtId="0" fontId="22" fillId="13" borderId="14" xfId="0" applyFont="1" applyFill="1" applyBorder="1" applyAlignment="1">
      <alignment horizontal="left" vertical="center"/>
    </xf>
    <xf numFmtId="0" fontId="58" fillId="23" borderId="3" xfId="0" applyFont="1" applyFill="1" applyBorder="1" applyAlignment="1">
      <alignment horizontal="center" vertical="center" wrapText="1"/>
    </xf>
    <xf numFmtId="0" fontId="58" fillId="23" borderId="14" xfId="0" applyFont="1" applyFill="1" applyBorder="1" applyAlignment="1">
      <alignment horizontal="center" vertical="center" wrapText="1"/>
    </xf>
    <xf numFmtId="0" fontId="32" fillId="5" borderId="1" xfId="0" applyFont="1" applyFill="1" applyBorder="1" applyAlignment="1">
      <alignment horizontal="center" vertical="center"/>
    </xf>
    <xf numFmtId="0" fontId="32" fillId="5" borderId="1" xfId="0" applyFont="1" applyFill="1" applyBorder="1" applyAlignment="1">
      <alignment horizontal="center" vertical="center" wrapText="1"/>
    </xf>
    <xf numFmtId="0" fontId="25" fillId="25" borderId="0" xfId="3996" applyFont="1" applyFill="1" applyBorder="1" applyAlignment="1">
      <alignment horizontal="center" vertical="center"/>
    </xf>
    <xf numFmtId="0" fontId="110" fillId="13" borderId="0" xfId="0" applyFont="1" applyFill="1" applyBorder="1" applyAlignment="1">
      <alignment horizontal="center"/>
    </xf>
    <xf numFmtId="0" fontId="23" fillId="13" borderId="2" xfId="0" applyFont="1" applyFill="1" applyBorder="1" applyAlignment="1">
      <alignment horizontal="left" vertical="center"/>
    </xf>
    <xf numFmtId="0" fontId="23" fillId="13" borderId="3" xfId="0" applyFont="1" applyFill="1" applyBorder="1" applyAlignment="1">
      <alignment horizontal="left" vertical="center"/>
    </xf>
    <xf numFmtId="0" fontId="23" fillId="13" borderId="14" xfId="0" applyFont="1" applyFill="1" applyBorder="1" applyAlignment="1">
      <alignment horizontal="left" vertical="center"/>
    </xf>
    <xf numFmtId="0" fontId="23" fillId="13" borderId="11" xfId="0" applyFont="1" applyFill="1" applyBorder="1" applyAlignment="1">
      <alignment horizontal="left" vertical="center"/>
    </xf>
    <xf numFmtId="0" fontId="23" fillId="13" borderId="12" xfId="0" applyFont="1" applyFill="1" applyBorder="1" applyAlignment="1">
      <alignment horizontal="left" vertical="center"/>
    </xf>
    <xf numFmtId="0" fontId="23" fillId="13" borderId="22" xfId="0" applyFont="1" applyFill="1" applyBorder="1" applyAlignment="1">
      <alignment horizontal="left" vertical="center"/>
    </xf>
    <xf numFmtId="0" fontId="32" fillId="5" borderId="2" xfId="0" applyFont="1" applyFill="1" applyBorder="1" applyAlignment="1">
      <alignment horizontal="center" vertical="center" wrapText="1"/>
    </xf>
    <xf numFmtId="0" fontId="22" fillId="13" borderId="19" xfId="0" applyFont="1" applyFill="1" applyBorder="1" applyAlignment="1">
      <alignment horizontal="left" vertical="center"/>
    </xf>
    <xf numFmtId="0" fontId="22" fillId="13" borderId="17" xfId="0" applyFont="1" applyFill="1" applyBorder="1" applyAlignment="1">
      <alignment horizontal="left" vertical="center"/>
    </xf>
    <xf numFmtId="0" fontId="22" fillId="13" borderId="20" xfId="0" applyFont="1" applyFill="1" applyBorder="1" applyAlignment="1">
      <alignment horizontal="left" vertical="center"/>
    </xf>
    <xf numFmtId="0" fontId="22" fillId="13" borderId="11" xfId="0" applyFont="1" applyFill="1" applyBorder="1" applyAlignment="1">
      <alignment horizontal="left" vertical="center"/>
    </xf>
    <xf numFmtId="0" fontId="22" fillId="13" borderId="12" xfId="0" applyFont="1" applyFill="1" applyBorder="1" applyAlignment="1">
      <alignment horizontal="left" vertical="center"/>
    </xf>
    <xf numFmtId="0" fontId="22" fillId="13" borderId="22" xfId="0" applyFont="1" applyFill="1" applyBorder="1" applyAlignment="1">
      <alignment horizontal="left" vertical="center"/>
    </xf>
    <xf numFmtId="0" fontId="32" fillId="5" borderId="14" xfId="0" applyFont="1" applyFill="1" applyBorder="1" applyAlignment="1">
      <alignment horizontal="center" vertical="center" wrapText="1"/>
    </xf>
    <xf numFmtId="164" fontId="58" fillId="23" borderId="1" xfId="0" applyNumberFormat="1" applyFont="1" applyFill="1" applyBorder="1" applyAlignment="1">
      <alignment horizontal="center" vertical="center"/>
    </xf>
    <xf numFmtId="0" fontId="23" fillId="13" borderId="19" xfId="0" applyFont="1" applyFill="1" applyBorder="1" applyAlignment="1">
      <alignment horizontal="left" vertical="center"/>
    </xf>
    <xf numFmtId="0" fontId="23" fillId="13" borderId="17" xfId="0" applyFont="1" applyFill="1" applyBorder="1" applyAlignment="1">
      <alignment horizontal="left" vertical="center"/>
    </xf>
    <xf numFmtId="0" fontId="23" fillId="13" borderId="20" xfId="0" applyFont="1" applyFill="1" applyBorder="1" applyAlignment="1">
      <alignment horizontal="left" vertical="center"/>
    </xf>
    <xf numFmtId="0" fontId="32" fillId="5" borderId="16" xfId="0" applyFont="1" applyFill="1" applyBorder="1" applyAlignment="1">
      <alignment horizontal="center" vertical="center" wrapText="1"/>
    </xf>
    <xf numFmtId="0" fontId="32" fillId="5" borderId="21" xfId="0" applyFont="1" applyFill="1" applyBorder="1" applyAlignment="1">
      <alignment horizontal="center" vertical="center" wrapText="1"/>
    </xf>
    <xf numFmtId="164" fontId="58" fillId="23" borderId="16" xfId="0" applyNumberFormat="1" applyFont="1" applyFill="1" applyBorder="1" applyAlignment="1">
      <alignment horizontal="center" vertical="center" wrapText="1"/>
    </xf>
    <xf numFmtId="164" fontId="58" fillId="23" borderId="21" xfId="0" applyNumberFormat="1" applyFont="1" applyFill="1" applyBorder="1" applyAlignment="1">
      <alignment horizontal="center" vertical="center" wrapText="1"/>
    </xf>
    <xf numFmtId="0" fontId="32" fillId="5" borderId="20" xfId="0" applyFont="1" applyFill="1" applyBorder="1" applyAlignment="1">
      <alignment horizontal="center" vertical="center" wrapText="1"/>
    </xf>
    <xf numFmtId="0" fontId="32" fillId="5" borderId="22" xfId="0" applyFont="1" applyFill="1" applyBorder="1" applyAlignment="1">
      <alignment horizontal="center" vertical="center" wrapText="1"/>
    </xf>
    <xf numFmtId="0" fontId="32" fillId="5" borderId="19" xfId="0" applyFont="1" applyFill="1" applyBorder="1" applyAlignment="1">
      <alignment horizontal="center" vertical="center" wrapText="1"/>
    </xf>
    <xf numFmtId="0" fontId="32" fillId="5" borderId="11" xfId="0" applyFont="1" applyFill="1" applyBorder="1" applyAlignment="1">
      <alignment horizontal="center" vertical="center" wrapText="1"/>
    </xf>
    <xf numFmtId="0" fontId="32" fillId="5" borderId="2" xfId="0" applyFont="1" applyFill="1" applyBorder="1" applyAlignment="1">
      <alignment horizontal="center" vertical="center"/>
    </xf>
    <xf numFmtId="0" fontId="32" fillId="5" borderId="14" xfId="0" applyFont="1" applyFill="1" applyBorder="1" applyAlignment="1">
      <alignment horizontal="center" vertical="center"/>
    </xf>
    <xf numFmtId="1" fontId="32" fillId="5" borderId="1" xfId="0" applyNumberFormat="1" applyFont="1" applyFill="1" applyBorder="1" applyAlignment="1">
      <alignment horizontal="center" vertical="center"/>
    </xf>
    <xf numFmtId="0" fontId="58" fillId="23" borderId="2" xfId="0" applyFont="1" applyFill="1" applyBorder="1" applyAlignment="1">
      <alignment horizontal="center" vertical="center"/>
    </xf>
    <xf numFmtId="0" fontId="58" fillId="23" borderId="3" xfId="0" applyFont="1" applyFill="1" applyBorder="1" applyAlignment="1">
      <alignment horizontal="center" vertical="center"/>
    </xf>
    <xf numFmtId="0" fontId="58" fillId="23" borderId="14" xfId="0" applyFont="1" applyFill="1" applyBorder="1" applyAlignment="1">
      <alignment horizontal="center" vertical="center"/>
    </xf>
    <xf numFmtId="0" fontId="58" fillId="23" borderId="1" xfId="0" applyFont="1" applyFill="1" applyBorder="1" applyAlignment="1">
      <alignment horizontal="center" vertical="center" wrapText="1"/>
    </xf>
    <xf numFmtId="0" fontId="58" fillId="23" borderId="1" xfId="0" applyFont="1" applyFill="1" applyBorder="1" applyAlignment="1">
      <alignment horizontal="center" vertical="center"/>
    </xf>
    <xf numFmtId="0" fontId="90" fillId="26" borderId="27" xfId="0" applyFont="1" applyFill="1" applyBorder="1" applyAlignment="1">
      <alignment horizontal="center" vertical="center"/>
    </xf>
    <xf numFmtId="0" fontId="86" fillId="16" borderId="26" xfId="0" applyFont="1" applyFill="1" applyBorder="1" applyAlignment="1">
      <alignment horizontal="center" vertical="center"/>
    </xf>
    <xf numFmtId="0" fontId="86" fillId="16" borderId="28" xfId="0" applyFont="1" applyFill="1" applyBorder="1" applyAlignment="1">
      <alignment horizontal="center" vertical="center"/>
    </xf>
    <xf numFmtId="0" fontId="32" fillId="5" borderId="3" xfId="0" applyFont="1" applyFill="1" applyBorder="1" applyAlignment="1">
      <alignment horizontal="center" vertical="center"/>
    </xf>
    <xf numFmtId="0" fontId="32" fillId="5" borderId="15" xfId="0" applyFont="1" applyFill="1" applyBorder="1" applyAlignment="1">
      <alignment horizontal="center" vertical="center" wrapText="1"/>
    </xf>
    <xf numFmtId="0" fontId="32" fillId="5" borderId="10" xfId="0" applyFont="1" applyFill="1" applyBorder="1" applyAlignment="1">
      <alignment horizontal="center" vertical="center" wrapText="1"/>
    </xf>
    <xf numFmtId="1" fontId="32" fillId="5" borderId="2" xfId="0" applyNumberFormat="1" applyFont="1" applyFill="1" applyBorder="1" applyAlignment="1">
      <alignment horizontal="center" vertical="center"/>
    </xf>
    <xf numFmtId="1" fontId="32" fillId="5" borderId="3" xfId="0" applyNumberFormat="1" applyFont="1" applyFill="1" applyBorder="1" applyAlignment="1">
      <alignment horizontal="center" vertical="center"/>
    </xf>
    <xf numFmtId="1" fontId="32" fillId="5" borderId="14" xfId="0" applyNumberFormat="1" applyFont="1" applyFill="1" applyBorder="1" applyAlignment="1">
      <alignment horizontal="center" vertical="center"/>
    </xf>
    <xf numFmtId="0" fontId="32" fillId="5" borderId="18" xfId="0" applyFont="1" applyFill="1" applyBorder="1" applyAlignment="1">
      <alignment horizontal="center" vertical="center" wrapText="1"/>
    </xf>
    <xf numFmtId="0" fontId="32" fillId="5" borderId="133" xfId="0" applyFont="1" applyFill="1" applyBorder="1" applyAlignment="1">
      <alignment horizontal="center" vertical="center" wrapText="1"/>
    </xf>
    <xf numFmtId="0" fontId="32" fillId="5" borderId="19" xfId="0" applyFont="1" applyFill="1" applyBorder="1" applyAlignment="1">
      <alignment horizontal="center" vertical="center"/>
    </xf>
    <xf numFmtId="0" fontId="32" fillId="5" borderId="17" xfId="0" applyFont="1" applyFill="1" applyBorder="1" applyAlignment="1">
      <alignment horizontal="center" vertical="center"/>
    </xf>
    <xf numFmtId="0" fontId="32" fillId="5" borderId="20" xfId="0" applyFont="1" applyFill="1" applyBorder="1" applyAlignment="1">
      <alignment horizontal="center" vertical="center"/>
    </xf>
    <xf numFmtId="0" fontId="32" fillId="5" borderId="24" xfId="0" applyFont="1" applyFill="1" applyBorder="1" applyAlignment="1">
      <alignment horizontal="center" vertical="center" wrapText="1"/>
    </xf>
    <xf numFmtId="164" fontId="58" fillId="23" borderId="2" xfId="0" applyNumberFormat="1" applyFont="1" applyFill="1" applyBorder="1" applyAlignment="1">
      <alignment horizontal="center" vertical="center"/>
    </xf>
    <xf numFmtId="164" fontId="58" fillId="23" borderId="3" xfId="0" applyNumberFormat="1" applyFont="1" applyFill="1" applyBorder="1" applyAlignment="1">
      <alignment horizontal="center" vertical="center"/>
    </xf>
    <xf numFmtId="164" fontId="58" fillId="23" borderId="14" xfId="0" applyNumberFormat="1" applyFont="1" applyFill="1" applyBorder="1" applyAlignment="1">
      <alignment horizontal="center" vertical="center"/>
    </xf>
    <xf numFmtId="0" fontId="32" fillId="5" borderId="16" xfId="0" applyFont="1" applyFill="1" applyBorder="1" applyAlignment="1">
      <alignment horizontal="center" vertical="center"/>
    </xf>
    <xf numFmtId="0" fontId="58" fillId="23" borderId="19" xfId="0" applyFont="1" applyFill="1" applyBorder="1" applyAlignment="1">
      <alignment horizontal="center" vertical="center" wrapText="1"/>
    </xf>
    <xf numFmtId="0" fontId="58" fillId="23" borderId="17" xfId="0" applyFont="1" applyFill="1" applyBorder="1" applyAlignment="1">
      <alignment horizontal="center" vertical="center" wrapText="1"/>
    </xf>
    <xf numFmtId="0" fontId="58" fillId="23" borderId="20" xfId="0" applyFont="1" applyFill="1" applyBorder="1" applyAlignment="1">
      <alignment horizontal="center" vertical="center" wrapText="1"/>
    </xf>
    <xf numFmtId="0" fontId="58" fillId="23" borderId="2" xfId="0" applyFont="1" applyFill="1" applyBorder="1" applyAlignment="1">
      <alignment horizontal="center" vertical="center" wrapText="1"/>
    </xf>
    <xf numFmtId="0" fontId="32" fillId="5" borderId="34" xfId="0" applyFont="1" applyFill="1" applyBorder="1" applyAlignment="1">
      <alignment horizontal="center" vertical="center" wrapText="1"/>
    </xf>
    <xf numFmtId="0" fontId="32" fillId="14" borderId="19" xfId="0" applyFont="1" applyFill="1" applyBorder="1" applyAlignment="1">
      <alignment horizontal="center" vertical="center"/>
    </xf>
    <xf numFmtId="0" fontId="32" fillId="14" borderId="17" xfId="0" applyFont="1" applyFill="1" applyBorder="1" applyAlignment="1">
      <alignment horizontal="center" vertical="center"/>
    </xf>
    <xf numFmtId="0" fontId="32" fillId="14" borderId="20" xfId="0" applyFont="1" applyFill="1" applyBorder="1" applyAlignment="1">
      <alignment horizontal="center" vertical="center"/>
    </xf>
    <xf numFmtId="0" fontId="136" fillId="13" borderId="60" xfId="0" applyFont="1" applyFill="1" applyBorder="1" applyAlignment="1">
      <alignment horizontal="center" vertical="center" wrapText="1"/>
    </xf>
    <xf numFmtId="0" fontId="136" fillId="13" borderId="61" xfId="0" applyFont="1" applyFill="1" applyBorder="1" applyAlignment="1">
      <alignment horizontal="center" vertical="center" wrapText="1"/>
    </xf>
    <xf numFmtId="0" fontId="136" fillId="13" borderId="57" xfId="0" applyFont="1" applyFill="1" applyBorder="1" applyAlignment="1">
      <alignment horizontal="center" vertical="center" wrapText="1"/>
    </xf>
    <xf numFmtId="0" fontId="90" fillId="13" borderId="26" xfId="0" applyFont="1" applyFill="1" applyBorder="1" applyAlignment="1">
      <alignment horizontal="left" vertical="center"/>
    </xf>
    <xf numFmtId="0" fontId="90" fillId="13" borderId="28" xfId="0" applyFont="1" applyFill="1" applyBorder="1" applyAlignment="1">
      <alignment horizontal="left" vertical="center"/>
    </xf>
    <xf numFmtId="0" fontId="86" fillId="35" borderId="134" xfId="3996" applyFont="1" applyFill="1" applyBorder="1" applyAlignment="1">
      <alignment horizontal="center" vertical="center"/>
    </xf>
    <xf numFmtId="0" fontId="86" fillId="35" borderId="135" xfId="3996" applyFont="1" applyFill="1" applyBorder="1" applyAlignment="1">
      <alignment horizontal="center" vertical="center"/>
    </xf>
    <xf numFmtId="0" fontId="136" fillId="13" borderId="61" xfId="0" applyFont="1" applyFill="1" applyBorder="1" applyAlignment="1">
      <alignment horizontal="center" vertical="center"/>
    </xf>
    <xf numFmtId="0" fontId="136" fillId="13" borderId="57" xfId="0" applyFont="1" applyFill="1" applyBorder="1" applyAlignment="1">
      <alignment horizontal="center" vertical="center"/>
    </xf>
    <xf numFmtId="0" fontId="86" fillId="25" borderId="60" xfId="3996" applyFont="1" applyFill="1" applyBorder="1" applyAlignment="1">
      <alignment horizontal="center" vertical="center" wrapText="1"/>
    </xf>
    <xf numFmtId="0" fontId="86" fillId="25" borderId="57" xfId="3996" applyFont="1" applyFill="1" applyBorder="1" applyAlignment="1">
      <alignment horizontal="center" vertical="center" wrapText="1"/>
    </xf>
    <xf numFmtId="0" fontId="86" fillId="25" borderId="27" xfId="0" applyFont="1" applyFill="1" applyBorder="1" applyAlignment="1">
      <alignment horizontal="center" vertical="center"/>
    </xf>
    <xf numFmtId="0" fontId="86" fillId="25" borderId="88" xfId="0" applyFont="1" applyFill="1" applyBorder="1" applyAlignment="1">
      <alignment horizontal="center" vertical="center"/>
    </xf>
    <xf numFmtId="0" fontId="86" fillId="25" borderId="37" xfId="0" applyFont="1" applyFill="1" applyBorder="1" applyAlignment="1">
      <alignment horizontal="center" vertical="center"/>
    </xf>
    <xf numFmtId="0" fontId="86" fillId="25" borderId="56" xfId="0" applyFont="1" applyFill="1" applyBorder="1" applyAlignment="1">
      <alignment horizontal="center" vertical="center"/>
    </xf>
    <xf numFmtId="0" fontId="86" fillId="25" borderId="0" xfId="0" applyFont="1" applyFill="1" applyBorder="1" applyAlignment="1">
      <alignment horizontal="center" vertical="center"/>
    </xf>
    <xf numFmtId="0" fontId="86" fillId="25" borderId="86" xfId="0" applyFont="1" applyFill="1" applyBorder="1" applyAlignment="1">
      <alignment horizontal="center" vertical="center"/>
    </xf>
    <xf numFmtId="3" fontId="90" fillId="13" borderId="60" xfId="0" applyNumberFormat="1" applyFont="1" applyFill="1" applyBorder="1" applyAlignment="1">
      <alignment horizontal="center" vertical="center"/>
    </xf>
    <xf numFmtId="0" fontId="90" fillId="13" borderId="57" xfId="0" applyFont="1" applyFill="1" applyBorder="1" applyAlignment="1">
      <alignment horizontal="center" vertical="center"/>
    </xf>
    <xf numFmtId="0" fontId="85" fillId="17" borderId="60" xfId="0" applyFont="1" applyFill="1" applyBorder="1" applyAlignment="1">
      <alignment horizontal="center" vertical="center"/>
    </xf>
    <xf numFmtId="0" fontId="85" fillId="17" borderId="57" xfId="0" applyFont="1" applyFill="1" applyBorder="1" applyAlignment="1">
      <alignment horizontal="center" vertical="center"/>
    </xf>
    <xf numFmtId="0" fontId="86" fillId="25" borderId="48" xfId="0" applyFont="1" applyFill="1" applyBorder="1" applyAlignment="1">
      <alignment horizontal="center" vertical="center"/>
    </xf>
    <xf numFmtId="0" fontId="86" fillId="25" borderId="61" xfId="0" applyFont="1" applyFill="1" applyBorder="1" applyAlignment="1">
      <alignment horizontal="center" vertical="center"/>
    </xf>
    <xf numFmtId="0" fontId="86" fillId="25" borderId="87" xfId="0" applyFont="1" applyFill="1" applyBorder="1" applyAlignment="1">
      <alignment horizontal="center" vertical="center"/>
    </xf>
    <xf numFmtId="0" fontId="86" fillId="25" borderId="84" xfId="0" applyFont="1" applyFill="1" applyBorder="1" applyAlignment="1">
      <alignment horizontal="center" vertical="center"/>
    </xf>
    <xf numFmtId="0" fontId="86" fillId="25" borderId="85" xfId="0" applyFont="1" applyFill="1" applyBorder="1" applyAlignment="1">
      <alignment horizontal="center" vertical="center"/>
    </xf>
    <xf numFmtId="3" fontId="90" fillId="13" borderId="61" xfId="0" applyNumberFormat="1" applyFont="1" applyFill="1" applyBorder="1" applyAlignment="1">
      <alignment horizontal="center" vertical="center"/>
    </xf>
    <xf numFmtId="3" fontId="90" fillId="13" borderId="57" xfId="0" applyNumberFormat="1" applyFont="1" applyFill="1" applyBorder="1" applyAlignment="1">
      <alignment horizontal="center" vertical="center"/>
    </xf>
    <xf numFmtId="0" fontId="89" fillId="13" borderId="57" xfId="0" applyFont="1" applyFill="1" applyBorder="1" applyAlignment="1">
      <alignment horizontal="center" vertical="center"/>
    </xf>
    <xf numFmtId="0" fontId="89" fillId="13" borderId="60" xfId="0" applyFont="1" applyFill="1" applyBorder="1" applyAlignment="1">
      <alignment horizontal="center" vertical="center"/>
    </xf>
    <xf numFmtId="0" fontId="192" fillId="13" borderId="57" xfId="0" applyFont="1" applyFill="1" applyBorder="1" applyAlignment="1">
      <alignment horizontal="center" vertical="center"/>
    </xf>
    <xf numFmtId="0" fontId="86" fillId="25" borderId="86" xfId="0" applyFont="1" applyFill="1" applyBorder="1" applyAlignment="1">
      <alignment horizontal="center" vertical="center" wrapText="1"/>
    </xf>
    <xf numFmtId="0" fontId="86" fillId="25" borderId="87" xfId="0" applyFont="1" applyFill="1" applyBorder="1" applyAlignment="1">
      <alignment horizontal="center" vertical="center" wrapText="1"/>
    </xf>
    <xf numFmtId="168" fontId="90" fillId="13" borderId="60" xfId="0" applyNumberFormat="1" applyFont="1" applyFill="1" applyBorder="1" applyAlignment="1">
      <alignment horizontal="center" vertical="center"/>
    </xf>
    <xf numFmtId="168" fontId="90" fillId="13" borderId="57" xfId="0" applyNumberFormat="1" applyFont="1" applyFill="1" applyBorder="1" applyAlignment="1">
      <alignment horizontal="center" vertical="center"/>
    </xf>
    <xf numFmtId="0" fontId="93" fillId="25" borderId="0" xfId="0" applyFont="1" applyFill="1" applyAlignment="1" applyProtection="1">
      <alignment horizontal="center"/>
    </xf>
    <xf numFmtId="0" fontId="94" fillId="25" borderId="0" xfId="0" applyFont="1" applyFill="1" applyAlignment="1" applyProtection="1">
      <alignment horizontal="center"/>
    </xf>
    <xf numFmtId="0" fontId="31" fillId="13" borderId="0" xfId="0" applyFont="1" applyFill="1" applyAlignment="1" applyProtection="1">
      <alignment horizontal="center"/>
    </xf>
    <xf numFmtId="0" fontId="140" fillId="26" borderId="47" xfId="0" applyFont="1" applyFill="1" applyBorder="1" applyAlignment="1" applyProtection="1">
      <alignment horizontal="center" vertical="center" wrapText="1"/>
    </xf>
    <xf numFmtId="0" fontId="140" fillId="26" borderId="48" xfId="0" applyFont="1" applyFill="1" applyBorder="1" applyAlignment="1" applyProtection="1">
      <alignment horizontal="center" vertical="center" wrapText="1"/>
    </xf>
    <xf numFmtId="0" fontId="140" fillId="26" borderId="49" xfId="0" applyFont="1" applyFill="1" applyBorder="1" applyAlignment="1" applyProtection="1">
      <alignment horizontal="center" vertical="center" wrapText="1"/>
    </xf>
    <xf numFmtId="0" fontId="140" fillId="26" borderId="51" xfId="0" applyFont="1" applyFill="1" applyBorder="1" applyAlignment="1" applyProtection="1">
      <alignment horizontal="center" vertical="center" wrapText="1"/>
    </xf>
    <xf numFmtId="0" fontId="140" fillId="26" borderId="52" xfId="0" applyFont="1" applyFill="1" applyBorder="1" applyAlignment="1" applyProtection="1">
      <alignment horizontal="center" vertical="center" wrapText="1"/>
    </xf>
    <xf numFmtId="0" fontId="140" fillId="26" borderId="53" xfId="0" applyFont="1" applyFill="1" applyBorder="1" applyAlignment="1" applyProtection="1">
      <alignment horizontal="center" vertical="center" wrapText="1"/>
    </xf>
    <xf numFmtId="0" fontId="140" fillId="26" borderId="89" xfId="0" applyFont="1" applyFill="1" applyBorder="1" applyAlignment="1" applyProtection="1">
      <alignment horizontal="center" vertical="center" wrapText="1"/>
    </xf>
    <xf numFmtId="0" fontId="140" fillId="26" borderId="90" xfId="0" applyFont="1" applyFill="1" applyBorder="1" applyAlignment="1" applyProtection="1">
      <alignment horizontal="center" vertical="center" wrapText="1"/>
    </xf>
    <xf numFmtId="0" fontId="31" fillId="20" borderId="0" xfId="0" applyFont="1" applyFill="1" applyAlignment="1" applyProtection="1">
      <alignment horizontal="center"/>
    </xf>
    <xf numFmtId="0" fontId="94" fillId="20" borderId="0" xfId="0" applyFont="1" applyFill="1" applyAlignment="1" applyProtection="1">
      <alignment horizontal="center"/>
    </xf>
    <xf numFmtId="0" fontId="22" fillId="17" borderId="2" xfId="0" applyFont="1" applyFill="1" applyBorder="1" applyAlignment="1" applyProtection="1">
      <alignment horizontal="left" vertical="center"/>
    </xf>
    <xf numFmtId="0" fontId="22" fillId="17" borderId="3" xfId="0" applyFont="1" applyFill="1" applyBorder="1" applyAlignment="1" applyProtection="1">
      <alignment horizontal="left" vertical="center"/>
    </xf>
    <xf numFmtId="0" fontId="21" fillId="6" borderId="2" xfId="0" applyFont="1" applyFill="1" applyBorder="1" applyAlignment="1" applyProtection="1">
      <alignment horizontal="left" vertical="center"/>
    </xf>
    <xf numFmtId="0" fontId="21" fillId="6" borderId="3" xfId="0" applyFont="1" applyFill="1" applyBorder="1" applyAlignment="1" applyProtection="1">
      <alignment horizontal="left" vertical="center"/>
    </xf>
    <xf numFmtId="0" fontId="93" fillId="20" borderId="0" xfId="0" applyFont="1" applyFill="1" applyAlignment="1" applyProtection="1">
      <alignment horizontal="center"/>
    </xf>
    <xf numFmtId="0" fontId="32" fillId="25" borderId="67" xfId="0" applyFont="1" applyFill="1" applyBorder="1" applyAlignment="1" applyProtection="1">
      <alignment horizontal="center" vertical="center"/>
    </xf>
    <xf numFmtId="0" fontId="32" fillId="25" borderId="68" xfId="0" applyFont="1" applyFill="1" applyBorder="1" applyAlignment="1" applyProtection="1">
      <alignment horizontal="center" vertical="center"/>
    </xf>
    <xf numFmtId="0" fontId="34" fillId="25" borderId="66" xfId="0" applyFont="1" applyFill="1" applyBorder="1" applyAlignment="1" applyProtection="1">
      <alignment horizontal="center" vertical="center"/>
    </xf>
    <xf numFmtId="0" fontId="34" fillId="25" borderId="67" xfId="0" applyFont="1" applyFill="1" applyBorder="1" applyAlignment="1" applyProtection="1">
      <alignment horizontal="center" vertical="center"/>
    </xf>
    <xf numFmtId="0" fontId="34" fillId="25" borderId="80" xfId="0" applyFont="1" applyFill="1" applyBorder="1" applyAlignment="1" applyProtection="1">
      <alignment horizontal="center" vertical="center"/>
    </xf>
    <xf numFmtId="0" fontId="34" fillId="25" borderId="63" xfId="0" applyFont="1" applyFill="1" applyBorder="1" applyAlignment="1" applyProtection="1">
      <alignment horizontal="center" vertical="center"/>
    </xf>
    <xf numFmtId="0" fontId="32" fillId="25" borderId="63" xfId="0" applyFont="1" applyFill="1" applyBorder="1" applyAlignment="1" applyProtection="1">
      <alignment horizontal="center" vertical="center"/>
    </xf>
    <xf numFmtId="0" fontId="31" fillId="17" borderId="65" xfId="0" applyFont="1" applyFill="1" applyBorder="1" applyAlignment="1" applyProtection="1">
      <alignment horizontal="left" vertical="center" wrapText="1"/>
    </xf>
    <xf numFmtId="0" fontId="31" fillId="0" borderId="73" xfId="0" applyFont="1" applyBorder="1" applyAlignment="1" applyProtection="1">
      <alignment horizontal="left" vertical="center"/>
    </xf>
    <xf numFmtId="0" fontId="31" fillId="0" borderId="74" xfId="0" applyFont="1" applyBorder="1" applyAlignment="1" applyProtection="1">
      <alignment horizontal="left" vertical="center"/>
    </xf>
    <xf numFmtId="0" fontId="31" fillId="0" borderId="75" xfId="0" applyFont="1" applyBorder="1" applyAlignment="1" applyProtection="1">
      <alignment horizontal="left" vertical="center"/>
    </xf>
    <xf numFmtId="0" fontId="31" fillId="0" borderId="65" xfId="0" applyFont="1" applyBorder="1" applyAlignment="1" applyProtection="1">
      <alignment horizontal="left" vertical="center" wrapText="1"/>
    </xf>
    <xf numFmtId="0" fontId="32" fillId="25" borderId="66" xfId="0" applyFont="1" applyFill="1" applyBorder="1" applyAlignment="1" applyProtection="1">
      <alignment horizontal="center" vertical="center"/>
    </xf>
    <xf numFmtId="0" fontId="32" fillId="25" borderId="80" xfId="0" applyFont="1" applyFill="1" applyBorder="1" applyAlignment="1" applyProtection="1">
      <alignment horizontal="center" vertical="center"/>
    </xf>
    <xf numFmtId="0" fontId="34" fillId="25" borderId="67" xfId="0" applyFont="1" applyFill="1" applyBorder="1" applyAlignment="1" applyProtection="1">
      <alignment horizontal="center" vertical="center" wrapText="1"/>
    </xf>
    <xf numFmtId="0" fontId="34" fillId="25" borderId="68" xfId="0" applyFont="1" applyFill="1" applyBorder="1" applyAlignment="1" applyProtection="1">
      <alignment horizontal="center" vertical="center" wrapText="1"/>
    </xf>
    <xf numFmtId="0" fontId="86" fillId="27" borderId="92" xfId="3996" applyFont="1" applyFill="1" applyBorder="1" applyAlignment="1">
      <alignment horizontal="center" vertical="center"/>
    </xf>
    <xf numFmtId="0" fontId="86" fillId="27" borderId="91" xfId="3996" applyFont="1" applyFill="1" applyBorder="1" applyAlignment="1">
      <alignment horizontal="center" vertical="center"/>
    </xf>
    <xf numFmtId="0" fontId="22" fillId="17" borderId="19" xfId="0" applyFont="1" applyFill="1" applyBorder="1" applyAlignment="1" applyProtection="1">
      <alignment horizontal="left" vertical="center"/>
    </xf>
    <xf numFmtId="0" fontId="22" fillId="17" borderId="17" xfId="0" applyFont="1" applyFill="1" applyBorder="1" applyAlignment="1" applyProtection="1">
      <alignment horizontal="left" vertical="center"/>
    </xf>
    <xf numFmtId="0" fontId="21" fillId="6" borderId="11" xfId="0" applyFont="1" applyFill="1" applyBorder="1" applyAlignment="1" applyProtection="1">
      <alignment horizontal="left" vertical="center"/>
    </xf>
    <xf numFmtId="0" fontId="21" fillId="6" borderId="12" xfId="0" applyFont="1" applyFill="1" applyBorder="1" applyAlignment="1" applyProtection="1">
      <alignment horizontal="left" vertical="center"/>
    </xf>
    <xf numFmtId="0" fontId="86" fillId="27" borderId="141" xfId="3996" applyFont="1" applyFill="1" applyBorder="1" applyAlignment="1">
      <alignment horizontal="center" vertical="center"/>
    </xf>
    <xf numFmtId="0" fontId="86" fillId="27" borderId="142" xfId="3996" applyFont="1" applyFill="1" applyBorder="1" applyAlignment="1">
      <alignment horizontal="center" vertical="center"/>
    </xf>
    <xf numFmtId="0" fontId="32" fillId="25" borderId="45" xfId="0" applyFont="1" applyFill="1" applyBorder="1" applyAlignment="1">
      <alignment horizontal="center" vertical="center" wrapText="1"/>
    </xf>
    <xf numFmtId="0" fontId="32" fillId="25" borderId="125" xfId="0" applyFont="1" applyFill="1" applyBorder="1" applyAlignment="1">
      <alignment horizontal="center" vertical="center" wrapText="1"/>
    </xf>
    <xf numFmtId="0" fontId="32" fillId="25" borderId="121" xfId="0" applyFont="1" applyFill="1" applyBorder="1" applyAlignment="1" applyProtection="1">
      <alignment horizontal="center" vertical="center"/>
    </xf>
    <xf numFmtId="0" fontId="32" fillId="25" borderId="124" xfId="0" applyFont="1" applyFill="1" applyBorder="1" applyAlignment="1" applyProtection="1">
      <alignment horizontal="center" vertical="center"/>
    </xf>
    <xf numFmtId="0" fontId="32" fillId="25" borderId="44" xfId="0" applyFont="1" applyFill="1" applyBorder="1" applyAlignment="1" applyProtection="1">
      <alignment horizontal="center" vertical="center"/>
    </xf>
    <xf numFmtId="0" fontId="32" fillId="25" borderId="109" xfId="0" applyFont="1" applyFill="1" applyBorder="1" applyAlignment="1" applyProtection="1">
      <alignment horizontal="center" vertical="center"/>
    </xf>
    <xf numFmtId="0" fontId="32" fillId="25" borderId="44" xfId="0" applyFont="1" applyFill="1" applyBorder="1" applyAlignment="1" applyProtection="1">
      <alignment horizontal="center" vertical="center" wrapText="1"/>
    </xf>
    <xf numFmtId="0" fontId="181" fillId="25" borderId="86" xfId="0" applyFont="1" applyFill="1" applyBorder="1" applyAlignment="1">
      <alignment horizontal="center" vertical="center" wrapText="1"/>
    </xf>
    <xf numFmtId="0" fontId="181" fillId="25" borderId="61" xfId="0" applyFont="1" applyFill="1" applyBorder="1" applyAlignment="1">
      <alignment horizontal="center" vertical="center" wrapText="1"/>
    </xf>
    <xf numFmtId="0" fontId="28" fillId="26" borderId="60" xfId="0" applyFont="1" applyFill="1" applyBorder="1" applyAlignment="1">
      <alignment horizontal="left" vertical="center" wrapText="1"/>
    </xf>
    <xf numFmtId="0" fontId="28" fillId="26" borderId="61" xfId="0" applyFont="1" applyFill="1" applyBorder="1" applyAlignment="1">
      <alignment horizontal="left" vertical="center" wrapText="1"/>
    </xf>
    <xf numFmtId="0" fontId="28" fillId="26" borderId="57" xfId="0" applyFont="1" applyFill="1" applyBorder="1" applyAlignment="1">
      <alignment horizontal="left" vertical="center" wrapText="1"/>
    </xf>
    <xf numFmtId="0" fontId="0" fillId="13" borderId="60" xfId="0" applyFill="1" applyBorder="1" applyAlignment="1">
      <alignment horizontal="left" vertical="center"/>
    </xf>
    <xf numFmtId="0" fontId="0" fillId="13" borderId="61" xfId="0" applyFill="1" applyBorder="1" applyAlignment="1">
      <alignment horizontal="left" vertical="center"/>
    </xf>
    <xf numFmtId="0" fontId="0" fillId="13" borderId="57" xfId="0" applyFill="1" applyBorder="1" applyAlignment="1">
      <alignment horizontal="left" vertical="center"/>
    </xf>
    <xf numFmtId="0" fontId="27" fillId="26" borderId="60" xfId="0" applyFont="1" applyFill="1" applyBorder="1" applyAlignment="1">
      <alignment horizontal="left" vertical="center" wrapText="1"/>
    </xf>
    <xf numFmtId="0" fontId="27" fillId="26" borderId="61" xfId="0" applyFont="1" applyFill="1" applyBorder="1" applyAlignment="1">
      <alignment horizontal="left" vertical="center" wrapText="1"/>
    </xf>
    <xf numFmtId="0" fontId="27" fillId="26" borderId="57" xfId="0" applyFont="1" applyFill="1" applyBorder="1" applyAlignment="1">
      <alignment horizontal="left" vertical="center" wrapText="1"/>
    </xf>
    <xf numFmtId="0" fontId="0" fillId="26" borderId="60" xfId="0" applyFill="1" applyBorder="1" applyAlignment="1">
      <alignment horizontal="left" vertical="center"/>
    </xf>
    <xf numFmtId="0" fontId="0" fillId="26" borderId="61" xfId="0" applyFill="1" applyBorder="1" applyAlignment="1">
      <alignment horizontal="left" vertical="center"/>
    </xf>
    <xf numFmtId="0" fontId="0" fillId="26" borderId="57" xfId="0" applyFill="1" applyBorder="1" applyAlignment="1">
      <alignment horizontal="left" vertical="center"/>
    </xf>
    <xf numFmtId="0" fontId="181" fillId="25" borderId="98" xfId="0" applyFont="1" applyFill="1" applyBorder="1" applyAlignment="1">
      <alignment horizontal="center" vertical="center" wrapText="1"/>
    </xf>
    <xf numFmtId="0" fontId="181" fillId="25" borderId="97" xfId="0" applyFont="1" applyFill="1" applyBorder="1" applyAlignment="1">
      <alignment horizontal="center" vertical="center" wrapText="1"/>
    </xf>
    <xf numFmtId="0" fontId="32" fillId="25" borderId="136" xfId="0" applyFont="1" applyFill="1" applyBorder="1" applyAlignment="1">
      <alignment horizontal="center" vertical="center" wrapText="1"/>
    </xf>
    <xf numFmtId="0" fontId="32" fillId="25" borderId="145" xfId="0" applyFont="1" applyFill="1" applyBorder="1" applyAlignment="1">
      <alignment horizontal="center" vertical="center" wrapText="1"/>
    </xf>
    <xf numFmtId="0" fontId="0" fillId="13" borderId="1" xfId="0" applyFill="1" applyBorder="1" applyAlignment="1">
      <alignment horizontal="left" vertical="center"/>
    </xf>
    <xf numFmtId="0" fontId="19" fillId="20" borderId="1" xfId="0" applyFont="1" applyFill="1" applyBorder="1" applyAlignment="1">
      <alignment horizontal="left" vertical="center"/>
    </xf>
    <xf numFmtId="0" fontId="32" fillId="25" borderId="106" xfId="0" applyFont="1" applyFill="1" applyBorder="1" applyAlignment="1">
      <alignment horizontal="center" vertical="center" wrapText="1"/>
    </xf>
    <xf numFmtId="0" fontId="34" fillId="25" borderId="131" xfId="0" applyFont="1" applyFill="1" applyBorder="1" applyAlignment="1">
      <alignment horizontal="center" vertical="center" wrapText="1"/>
    </xf>
    <xf numFmtId="0" fontId="34" fillId="25" borderId="127" xfId="0" applyFont="1" applyFill="1" applyBorder="1" applyAlignment="1">
      <alignment horizontal="center" vertical="center" wrapText="1"/>
    </xf>
    <xf numFmtId="0" fontId="32" fillId="25" borderId="107" xfId="0" applyFont="1" applyFill="1" applyBorder="1" applyAlignment="1">
      <alignment horizontal="center" vertical="center" wrapText="1"/>
    </xf>
    <xf numFmtId="0" fontId="32" fillId="25" borderId="146" xfId="0" applyFont="1" applyFill="1" applyBorder="1" applyAlignment="1">
      <alignment horizontal="center" vertical="center" wrapText="1"/>
    </xf>
    <xf numFmtId="0" fontId="32" fillId="25" borderId="63" xfId="0" applyFont="1" applyFill="1" applyBorder="1" applyAlignment="1">
      <alignment horizontal="center" vertical="center" wrapText="1"/>
    </xf>
    <xf numFmtId="0" fontId="186" fillId="13" borderId="0" xfId="0" applyFont="1" applyFill="1" applyAlignment="1">
      <alignment horizontal="left" vertical="top" wrapText="1"/>
    </xf>
    <xf numFmtId="0" fontId="32" fillId="25" borderId="143" xfId="0" applyFont="1" applyFill="1" applyBorder="1" applyAlignment="1">
      <alignment horizontal="center" vertical="center" wrapText="1"/>
    </xf>
    <xf numFmtId="0" fontId="32" fillId="25" borderId="105" xfId="0" applyFont="1" applyFill="1" applyBorder="1" applyAlignment="1">
      <alignment horizontal="center" vertical="center" wrapText="1"/>
    </xf>
    <xf numFmtId="0" fontId="32" fillId="25" borderId="108" xfId="0" applyFont="1" applyFill="1" applyBorder="1" applyAlignment="1">
      <alignment horizontal="center" vertical="center" wrapText="1"/>
    </xf>
    <xf numFmtId="0" fontId="32" fillId="25" borderId="109" xfId="0" applyFont="1" applyFill="1" applyBorder="1" applyAlignment="1">
      <alignment horizontal="center" vertical="center" wrapText="1"/>
    </xf>
    <xf numFmtId="0" fontId="32" fillId="25" borderId="110" xfId="0" applyFont="1" applyFill="1" applyBorder="1" applyAlignment="1">
      <alignment horizontal="center" vertical="center" wrapText="1"/>
    </xf>
    <xf numFmtId="0" fontId="21" fillId="17" borderId="19" xfId="0" applyFont="1" applyFill="1" applyBorder="1" applyAlignment="1">
      <alignment horizontal="center" vertical="center"/>
    </xf>
    <xf numFmtId="0" fontId="21" fillId="17" borderId="17" xfId="0" applyFont="1" applyFill="1" applyBorder="1" applyAlignment="1">
      <alignment horizontal="center" vertical="center"/>
    </xf>
    <xf numFmtId="0" fontId="21" fillId="17" borderId="20" xfId="0" applyFont="1" applyFill="1" applyBorder="1" applyAlignment="1">
      <alignment horizontal="center" vertical="center"/>
    </xf>
    <xf numFmtId="0" fontId="34" fillId="25" borderId="82" xfId="0" applyFont="1" applyFill="1" applyBorder="1" applyAlignment="1" applyProtection="1">
      <alignment horizontal="center" vertical="center" wrapText="1"/>
    </xf>
    <xf numFmtId="0" fontId="34" fillId="25" borderId="100" xfId="0" applyFont="1" applyFill="1" applyBorder="1" applyAlignment="1" applyProtection="1">
      <alignment horizontal="center" vertical="center" wrapText="1"/>
    </xf>
    <xf numFmtId="0" fontId="34" fillId="25" borderId="102" xfId="0" applyFont="1" applyFill="1" applyBorder="1" applyAlignment="1" applyProtection="1">
      <alignment horizontal="center" vertical="center" wrapText="1"/>
    </xf>
    <xf numFmtId="0" fontId="34" fillId="25" borderId="101" xfId="0" applyFont="1" applyFill="1" applyBorder="1" applyAlignment="1" applyProtection="1">
      <alignment horizontal="center" vertical="center" wrapText="1"/>
    </xf>
    <xf numFmtId="0" fontId="34" fillId="25" borderId="81" xfId="0" applyFont="1" applyFill="1" applyBorder="1" applyAlignment="1" applyProtection="1">
      <alignment horizontal="center" vertical="center" wrapText="1"/>
    </xf>
    <xf numFmtId="0" fontId="32" fillId="25" borderId="144" xfId="0" applyFont="1" applyFill="1" applyBorder="1" applyAlignment="1">
      <alignment horizontal="center" vertical="center"/>
    </xf>
    <xf numFmtId="0" fontId="0" fillId="17" borderId="2" xfId="0" applyFill="1" applyBorder="1" applyAlignment="1">
      <alignment horizontal="center" vertical="center"/>
    </xf>
    <xf numFmtId="0" fontId="0" fillId="17" borderId="3" xfId="0" applyFill="1" applyBorder="1" applyAlignment="1">
      <alignment horizontal="center" vertical="center"/>
    </xf>
    <xf numFmtId="0" fontId="0" fillId="17" borderId="14" xfId="0" applyFill="1" applyBorder="1" applyAlignment="1">
      <alignment horizontal="center" vertical="center"/>
    </xf>
    <xf numFmtId="0" fontId="178" fillId="0" borderId="16" xfId="3137" applyFont="1" applyBorder="1" applyAlignment="1">
      <alignment horizontal="left" vertical="center" wrapText="1"/>
    </xf>
    <xf numFmtId="0" fontId="178" fillId="0" borderId="34" xfId="3137" applyFont="1" applyBorder="1" applyAlignment="1">
      <alignment horizontal="left" vertical="center" wrapText="1"/>
    </xf>
    <xf numFmtId="0" fontId="178" fillId="0" borderId="21" xfId="3137" applyFont="1" applyBorder="1" applyAlignment="1">
      <alignment horizontal="left" vertical="center" wrapText="1"/>
    </xf>
    <xf numFmtId="0" fontId="62" fillId="0" borderId="16" xfId="0" applyFont="1" applyFill="1" applyBorder="1" applyAlignment="1">
      <alignment horizontal="left" vertical="center" wrapText="1"/>
    </xf>
    <xf numFmtId="0" fontId="62" fillId="0" borderId="34" xfId="0" applyFont="1" applyFill="1" applyBorder="1" applyAlignment="1">
      <alignment horizontal="left" vertical="center" wrapText="1"/>
    </xf>
    <xf numFmtId="0" fontId="62" fillId="0" borderId="21" xfId="0" applyFont="1" applyFill="1" applyBorder="1" applyAlignment="1">
      <alignment horizontal="left" vertical="center" wrapText="1"/>
    </xf>
    <xf numFmtId="0" fontId="178" fillId="0" borderId="16" xfId="3137" applyFont="1" applyBorder="1" applyAlignment="1">
      <alignment vertical="center" wrapText="1"/>
    </xf>
    <xf numFmtId="0" fontId="178" fillId="0" borderId="34" xfId="3137" applyFont="1" applyBorder="1" applyAlignment="1">
      <alignment vertical="center" wrapText="1"/>
    </xf>
    <xf numFmtId="0" fontId="178" fillId="0" borderId="21" xfId="3137" applyFont="1" applyBorder="1" applyAlignment="1">
      <alignment vertical="center" wrapText="1"/>
    </xf>
    <xf numFmtId="0" fontId="32" fillId="25" borderId="118" xfId="0" applyFont="1" applyFill="1" applyBorder="1" applyAlignment="1">
      <alignment horizontal="center" vertical="center"/>
    </xf>
    <xf numFmtId="0" fontId="32" fillId="25" borderId="102" xfId="0" applyFont="1" applyFill="1" applyBorder="1" applyAlignment="1">
      <alignment horizontal="center" vertical="center"/>
    </xf>
    <xf numFmtId="0" fontId="32" fillId="25" borderId="120" xfId="0" applyFont="1" applyFill="1" applyBorder="1" applyAlignment="1">
      <alignment horizontal="center" vertical="center"/>
    </xf>
    <xf numFmtId="0" fontId="32" fillId="25" borderId="101" xfId="0" applyFont="1" applyFill="1" applyBorder="1" applyAlignment="1">
      <alignment horizontal="center" vertical="center"/>
    </xf>
    <xf numFmtId="0" fontId="30" fillId="17" borderId="46" xfId="3137" applyFont="1" applyFill="1" applyBorder="1" applyAlignment="1">
      <alignment horizontal="center" vertical="center"/>
    </xf>
    <xf numFmtId="0" fontId="30" fillId="13" borderId="60" xfId="3137" applyFont="1" applyFill="1" applyBorder="1" applyAlignment="1">
      <alignment horizontal="center" vertical="center"/>
    </xf>
    <xf numFmtId="0" fontId="30" fillId="13" borderId="57" xfId="3137" applyFont="1" applyFill="1" applyBorder="1" applyAlignment="1">
      <alignment horizontal="center" vertical="center"/>
    </xf>
    <xf numFmtId="3" fontId="30" fillId="17" borderId="46" xfId="3137" applyNumberFormat="1" applyFont="1" applyFill="1" applyBorder="1" applyAlignment="1">
      <alignment horizontal="center" vertical="center"/>
    </xf>
    <xf numFmtId="178" fontId="64" fillId="13" borderId="2" xfId="4018" applyNumberFormat="1" applyFont="1" applyFill="1" applyBorder="1" applyAlignment="1">
      <alignment horizontal="left"/>
    </xf>
    <xf numFmtId="178" fontId="64" fillId="13" borderId="3" xfId="4018" applyNumberFormat="1" applyFont="1" applyFill="1" applyBorder="1" applyAlignment="1">
      <alignment horizontal="left"/>
    </xf>
    <xf numFmtId="0" fontId="62" fillId="13" borderId="16" xfId="3137" applyFont="1" applyFill="1" applyBorder="1" applyAlignment="1">
      <alignment horizontal="left" vertical="center" wrapText="1"/>
    </xf>
    <xf numFmtId="0" fontId="62" fillId="13" borderId="34" xfId="3137" applyFont="1" applyFill="1" applyBorder="1" applyAlignment="1">
      <alignment horizontal="left" vertical="center" wrapText="1"/>
    </xf>
    <xf numFmtId="0" fontId="62" fillId="13" borderId="21" xfId="3137" applyFont="1" applyFill="1" applyBorder="1" applyAlignment="1">
      <alignment horizontal="left" vertical="center" wrapText="1"/>
    </xf>
    <xf numFmtId="0" fontId="0" fillId="13" borderId="16" xfId="0" applyFill="1" applyBorder="1" applyAlignment="1">
      <alignment horizontal="center" vertical="top"/>
    </xf>
    <xf numFmtId="0" fontId="0" fillId="13" borderId="34" xfId="0" applyFill="1" applyBorder="1" applyAlignment="1">
      <alignment horizontal="center" vertical="top"/>
    </xf>
    <xf numFmtId="0" fontId="0" fillId="13" borderId="21" xfId="0" applyFill="1" applyBorder="1" applyAlignment="1">
      <alignment horizontal="center" vertical="top"/>
    </xf>
    <xf numFmtId="0" fontId="34" fillId="25" borderId="16" xfId="0" applyFont="1" applyFill="1" applyBorder="1" applyAlignment="1">
      <alignment horizontal="center" vertical="center" wrapText="1"/>
    </xf>
    <xf numFmtId="0" fontId="34" fillId="25" borderId="34" xfId="0" applyFont="1" applyFill="1" applyBorder="1" applyAlignment="1">
      <alignment horizontal="center" vertical="center" wrapText="1"/>
    </xf>
    <xf numFmtId="0" fontId="34" fillId="25" borderId="21" xfId="0" applyFont="1" applyFill="1" applyBorder="1" applyAlignment="1">
      <alignment horizontal="center" vertical="center" wrapText="1"/>
    </xf>
    <xf numFmtId="0" fontId="53" fillId="26" borderId="1" xfId="0" applyFont="1" applyFill="1" applyBorder="1" applyAlignment="1">
      <alignment horizontal="center" vertical="center"/>
    </xf>
    <xf numFmtId="9" fontId="69" fillId="13" borderId="1" xfId="4018" applyFont="1" applyFill="1" applyBorder="1" applyAlignment="1">
      <alignment horizontal="center"/>
    </xf>
    <xf numFmtId="0" fontId="64" fillId="17" borderId="1" xfId="3139" applyFill="1" applyBorder="1" applyAlignment="1">
      <alignment horizontal="center"/>
    </xf>
    <xf numFmtId="0" fontId="32" fillId="25" borderId="2" xfId="0" applyFont="1" applyFill="1" applyBorder="1" applyAlignment="1">
      <alignment horizontal="center" vertical="center" wrapText="1"/>
    </xf>
    <xf numFmtId="0" fontId="32" fillId="25" borderId="14" xfId="0" applyFont="1" applyFill="1" applyBorder="1" applyAlignment="1">
      <alignment horizontal="center" vertical="center" wrapText="1"/>
    </xf>
    <xf numFmtId="0" fontId="53" fillId="26" borderId="2" xfId="0" applyFont="1" applyFill="1" applyBorder="1" applyAlignment="1">
      <alignment horizontal="center" vertical="center"/>
    </xf>
    <xf numFmtId="0" fontId="53" fillId="26" borderId="14" xfId="0" applyFont="1" applyFill="1" applyBorder="1" applyAlignment="1">
      <alignment horizontal="center" vertical="center"/>
    </xf>
    <xf numFmtId="1" fontId="34" fillId="25" borderId="1" xfId="0" applyNumberFormat="1" applyFont="1" applyFill="1" applyBorder="1" applyAlignment="1">
      <alignment horizontal="center" vertical="center" wrapText="1"/>
    </xf>
    <xf numFmtId="0" fontId="53" fillId="13" borderId="0" xfId="4079" applyFont="1" applyFill="1" applyBorder="1" applyAlignment="1">
      <alignment horizontal="left" vertical="center" wrapText="1"/>
    </xf>
    <xf numFmtId="0" fontId="53" fillId="13" borderId="12" xfId="4079" applyFont="1" applyFill="1" applyBorder="1" applyAlignment="1">
      <alignment horizontal="left" vertical="center" wrapText="1"/>
    </xf>
    <xf numFmtId="0" fontId="53" fillId="13" borderId="17" xfId="4079" applyFont="1" applyFill="1" applyBorder="1" applyAlignment="1">
      <alignment horizontal="left" vertical="center" wrapText="1"/>
    </xf>
    <xf numFmtId="0" fontId="34" fillId="25" borderId="63" xfId="0" applyFont="1" applyFill="1" applyBorder="1" applyAlignment="1">
      <alignment horizontal="center" vertical="center"/>
    </xf>
    <xf numFmtId="0" fontId="34" fillId="25" borderId="115" xfId="0" applyFont="1" applyFill="1" applyBorder="1" applyAlignment="1">
      <alignment horizontal="center" vertical="center"/>
    </xf>
    <xf numFmtId="0" fontId="34" fillId="25" borderId="146" xfId="0" applyFont="1" applyFill="1" applyBorder="1" applyAlignment="1">
      <alignment horizontal="center" vertical="center"/>
    </xf>
    <xf numFmtId="0" fontId="34" fillId="25" borderId="116" xfId="0" applyFont="1" applyFill="1" applyBorder="1" applyAlignment="1">
      <alignment horizontal="center" vertical="center"/>
    </xf>
    <xf numFmtId="0" fontId="34" fillId="25" borderId="1" xfId="0" applyFont="1" applyFill="1" applyBorder="1" applyAlignment="1">
      <alignment horizontal="center" vertical="center" wrapText="1"/>
    </xf>
    <xf numFmtId="0" fontId="32" fillId="25" borderId="19" xfId="0" applyFont="1" applyFill="1" applyBorder="1" applyAlignment="1">
      <alignment horizontal="center" vertical="center"/>
    </xf>
    <xf numFmtId="0" fontId="32" fillId="25" borderId="17" xfId="0" applyFont="1" applyFill="1" applyBorder="1" applyAlignment="1">
      <alignment horizontal="center" vertical="center"/>
    </xf>
    <xf numFmtId="0" fontId="32" fillId="25" borderId="20" xfId="0" applyFont="1" applyFill="1" applyBorder="1" applyAlignment="1">
      <alignment horizontal="center" vertical="center"/>
    </xf>
    <xf numFmtId="1" fontId="34" fillId="25" borderId="63" xfId="0" applyNumberFormat="1" applyFont="1" applyFill="1" applyBorder="1" applyAlignment="1">
      <alignment horizontal="center" vertical="center"/>
    </xf>
    <xf numFmtId="1" fontId="34" fillId="25" borderId="115" xfId="0" applyNumberFormat="1" applyFont="1" applyFill="1" applyBorder="1" applyAlignment="1">
      <alignment horizontal="center" vertical="center"/>
    </xf>
    <xf numFmtId="1" fontId="34" fillId="25" borderId="146" xfId="0" applyNumberFormat="1" applyFont="1" applyFill="1" applyBorder="1" applyAlignment="1">
      <alignment horizontal="center" vertical="center"/>
    </xf>
    <xf numFmtId="1" fontId="34" fillId="25" borderId="116" xfId="0" applyNumberFormat="1" applyFont="1" applyFill="1" applyBorder="1" applyAlignment="1">
      <alignment horizontal="center" vertical="center"/>
    </xf>
    <xf numFmtId="0" fontId="32" fillId="25" borderId="2" xfId="0" applyFont="1" applyFill="1" applyBorder="1" applyAlignment="1">
      <alignment horizontal="center" vertical="center"/>
    </xf>
    <xf numFmtId="0" fontId="32" fillId="25" borderId="3" xfId="0" applyFont="1" applyFill="1" applyBorder="1" applyAlignment="1">
      <alignment horizontal="center" vertical="center"/>
    </xf>
    <xf numFmtId="0" fontId="32" fillId="25" borderId="14" xfId="0" applyFont="1" applyFill="1" applyBorder="1" applyAlignment="1">
      <alignment horizontal="center" vertical="center"/>
    </xf>
    <xf numFmtId="0" fontId="32" fillId="25" borderId="3" xfId="0" applyFont="1" applyFill="1" applyBorder="1" applyAlignment="1">
      <alignment horizontal="center" vertical="center" wrapText="1"/>
    </xf>
    <xf numFmtId="0" fontId="32" fillId="25" borderId="24" xfId="0" applyFont="1" applyFill="1" applyBorder="1" applyAlignment="1">
      <alignment horizontal="center" vertical="center"/>
    </xf>
    <xf numFmtId="0" fontId="32" fillId="25" borderId="33" xfId="0" applyFont="1" applyFill="1" applyBorder="1" applyAlignment="1">
      <alignment horizontal="center" vertical="center"/>
    </xf>
    <xf numFmtId="0" fontId="32" fillId="25" borderId="16" xfId="0" applyFont="1" applyFill="1" applyBorder="1" applyAlignment="1">
      <alignment horizontal="center" vertical="center" wrapText="1"/>
    </xf>
    <xf numFmtId="0" fontId="32" fillId="25" borderId="34" xfId="0" applyFont="1" applyFill="1" applyBorder="1" applyAlignment="1">
      <alignment horizontal="center" vertical="center" wrapText="1"/>
    </xf>
    <xf numFmtId="0" fontId="32" fillId="25" borderId="21" xfId="0" applyFont="1" applyFill="1" applyBorder="1" applyAlignment="1">
      <alignment horizontal="center" vertical="center" wrapText="1"/>
    </xf>
    <xf numFmtId="1" fontId="23" fillId="17" borderId="2" xfId="0" applyNumberFormat="1" applyFont="1" applyFill="1" applyBorder="1" applyAlignment="1">
      <alignment horizontal="center"/>
    </xf>
    <xf numFmtId="1" fontId="23" fillId="17" borderId="14" xfId="0" applyNumberFormat="1" applyFont="1" applyFill="1" applyBorder="1" applyAlignment="1">
      <alignment horizontal="center"/>
    </xf>
    <xf numFmtId="0" fontId="32" fillId="25" borderId="19" xfId="0" applyFont="1" applyFill="1" applyBorder="1" applyAlignment="1">
      <alignment horizontal="center" vertical="center" wrapText="1"/>
    </xf>
    <xf numFmtId="0" fontId="32" fillId="25" borderId="111" xfId="0" applyFont="1" applyFill="1" applyBorder="1" applyAlignment="1">
      <alignment horizontal="center" vertical="center" wrapText="1"/>
    </xf>
    <xf numFmtId="0" fontId="32" fillId="25" borderId="24" xfId="0" applyFont="1" applyFill="1" applyBorder="1" applyAlignment="1">
      <alignment horizontal="center" vertical="center" wrapText="1"/>
    </xf>
    <xf numFmtId="0" fontId="32" fillId="25" borderId="58" xfId="0" applyFont="1" applyFill="1" applyBorder="1" applyAlignment="1">
      <alignment horizontal="center" vertical="center" wrapText="1"/>
    </xf>
    <xf numFmtId="0" fontId="32" fillId="25" borderId="11" xfId="0" applyFont="1" applyFill="1" applyBorder="1" applyAlignment="1">
      <alignment horizontal="center" vertical="center" wrapText="1"/>
    </xf>
    <xf numFmtId="0" fontId="32" fillId="25" borderId="114" xfId="0" applyFont="1" applyFill="1" applyBorder="1" applyAlignment="1">
      <alignment horizontal="center" vertical="center" wrapText="1"/>
    </xf>
    <xf numFmtId="0" fontId="32" fillId="25" borderId="154" xfId="0" applyFont="1" applyFill="1" applyBorder="1" applyAlignment="1">
      <alignment horizontal="center" vertical="center" wrapText="1"/>
    </xf>
    <xf numFmtId="0" fontId="32" fillId="25" borderId="72" xfId="0" applyFont="1" applyFill="1" applyBorder="1" applyAlignment="1">
      <alignment horizontal="center" vertical="center" wrapText="1"/>
    </xf>
    <xf numFmtId="0" fontId="32" fillId="25" borderId="153" xfId="0" applyFont="1" applyFill="1" applyBorder="1" applyAlignment="1">
      <alignment horizontal="center" vertical="center" wrapText="1"/>
    </xf>
    <xf numFmtId="0" fontId="58" fillId="26" borderId="1" xfId="0" applyFont="1" applyFill="1" applyBorder="1" applyAlignment="1">
      <alignment horizontal="center" vertical="center"/>
    </xf>
    <xf numFmtId="0" fontId="69" fillId="17" borderId="1" xfId="3139" applyFont="1" applyFill="1" applyBorder="1" applyAlignment="1">
      <alignment horizontal="center"/>
    </xf>
    <xf numFmtId="3" fontId="30" fillId="0" borderId="60" xfId="3137" applyNumberFormat="1" applyFont="1" applyFill="1" applyBorder="1" applyAlignment="1">
      <alignment horizontal="center" vertical="center"/>
    </xf>
    <xf numFmtId="3" fontId="30" fillId="0" borderId="57" xfId="3137" applyNumberFormat="1" applyFont="1" applyFill="1" applyBorder="1" applyAlignment="1">
      <alignment horizontal="center" vertical="center"/>
    </xf>
    <xf numFmtId="0" fontId="30" fillId="17" borderId="60" xfId="3137" applyNumberFormat="1" applyFont="1" applyFill="1" applyBorder="1" applyAlignment="1">
      <alignment horizontal="center" vertical="center"/>
    </xf>
    <xf numFmtId="0" fontId="30" fillId="17" borderId="57" xfId="3137" applyNumberFormat="1" applyFont="1" applyFill="1" applyBorder="1" applyAlignment="1">
      <alignment horizontal="center" vertical="center"/>
    </xf>
    <xf numFmtId="0" fontId="0" fillId="0" borderId="60" xfId="0" applyBorder="1" applyAlignment="1">
      <alignment horizontal="center" wrapText="1"/>
    </xf>
    <xf numFmtId="0" fontId="0" fillId="0" borderId="57" xfId="0" applyBorder="1" applyAlignment="1">
      <alignment horizontal="center" wrapText="1"/>
    </xf>
    <xf numFmtId="9" fontId="69" fillId="0" borderId="1" xfId="4018" applyFont="1" applyFill="1" applyBorder="1" applyAlignment="1">
      <alignment horizontal="center"/>
    </xf>
    <xf numFmtId="166" fontId="23" fillId="17" borderId="2" xfId="0" applyNumberFormat="1" applyFont="1" applyFill="1" applyBorder="1" applyAlignment="1">
      <alignment horizontal="center"/>
    </xf>
    <xf numFmtId="166" fontId="23" fillId="17" borderId="14" xfId="0" applyNumberFormat="1" applyFont="1" applyFill="1" applyBorder="1" applyAlignment="1">
      <alignment horizontal="center"/>
    </xf>
    <xf numFmtId="0" fontId="0" fillId="17" borderId="175" xfId="0" applyFill="1" applyBorder="1" applyAlignment="1">
      <alignment horizontal="center" vertical="center"/>
    </xf>
    <xf numFmtId="0" fontId="0" fillId="17" borderId="176" xfId="0" applyFill="1" applyBorder="1" applyAlignment="1">
      <alignment horizontal="center" vertical="center"/>
    </xf>
    <xf numFmtId="0" fontId="34" fillId="25" borderId="29" xfId="0" applyFont="1" applyFill="1" applyBorder="1" applyAlignment="1">
      <alignment horizontal="center" vertical="center"/>
    </xf>
    <xf numFmtId="0" fontId="34" fillId="25" borderId="37" xfId="0" applyFont="1" applyFill="1" applyBorder="1" applyAlignment="1">
      <alignment horizontal="center" vertical="center"/>
    </xf>
    <xf numFmtId="0" fontId="34" fillId="25" borderId="56" xfId="0" applyFont="1" applyFill="1" applyBorder="1" applyAlignment="1">
      <alignment horizontal="center" vertical="center"/>
    </xf>
    <xf numFmtId="0" fontId="53" fillId="13" borderId="60" xfId="3137" applyFont="1" applyFill="1" applyBorder="1" applyAlignment="1">
      <alignment horizontal="left" vertical="center" wrapText="1" indent="1"/>
    </xf>
    <xf numFmtId="0" fontId="53" fillId="13" borderId="57" xfId="3137" applyFont="1" applyFill="1" applyBorder="1" applyAlignment="1">
      <alignment horizontal="left" vertical="center" wrapText="1" indent="1"/>
    </xf>
    <xf numFmtId="0" fontId="32" fillId="25" borderId="121" xfId="0" applyFont="1" applyFill="1" applyBorder="1" applyAlignment="1">
      <alignment horizontal="center" vertical="center"/>
    </xf>
    <xf numFmtId="0" fontId="32" fillId="25" borderId="44" xfId="0" applyFont="1" applyFill="1" applyBorder="1" applyAlignment="1">
      <alignment horizontal="center" vertical="center"/>
    </xf>
    <xf numFmtId="0" fontId="32" fillId="25" borderId="122" xfId="0" applyFont="1" applyFill="1" applyBorder="1" applyAlignment="1">
      <alignment horizontal="center" vertical="center"/>
    </xf>
    <xf numFmtId="0" fontId="32" fillId="25" borderId="123" xfId="0" applyFont="1" applyFill="1" applyBorder="1" applyAlignment="1">
      <alignment horizontal="center" vertical="center"/>
    </xf>
    <xf numFmtId="0" fontId="32" fillId="25" borderId="119" xfId="0" applyFont="1" applyFill="1" applyBorder="1" applyAlignment="1">
      <alignment horizontal="center" vertical="center"/>
    </xf>
    <xf numFmtId="0" fontId="32" fillId="25" borderId="117" xfId="0" applyFont="1" applyFill="1" applyBorder="1" applyAlignment="1">
      <alignment horizontal="center" vertical="center"/>
    </xf>
    <xf numFmtId="0" fontId="0" fillId="17" borderId="46" xfId="0" applyFill="1" applyBorder="1" applyAlignment="1">
      <alignment horizontal="center" vertical="center"/>
    </xf>
    <xf numFmtId="0" fontId="9" fillId="21" borderId="173" xfId="0" applyFont="1" applyFill="1" applyBorder="1" applyAlignment="1">
      <alignment horizontal="center" vertical="center"/>
    </xf>
    <xf numFmtId="0" fontId="9" fillId="21" borderId="172" xfId="0" applyFont="1" applyFill="1" applyBorder="1" applyAlignment="1">
      <alignment horizontal="center" vertical="center"/>
    </xf>
    <xf numFmtId="0" fontId="0" fillId="17" borderId="60" xfId="0" applyFill="1" applyBorder="1" applyAlignment="1">
      <alignment horizontal="center" vertical="center"/>
    </xf>
    <xf numFmtId="0" fontId="0" fillId="17" borderId="57" xfId="0" applyFill="1" applyBorder="1" applyAlignment="1">
      <alignment horizontal="center" vertical="center"/>
    </xf>
    <xf numFmtId="0" fontId="62" fillId="13" borderId="0" xfId="0" applyFont="1" applyFill="1" applyBorder="1" applyAlignment="1">
      <alignment horizontal="left" vertical="center" wrapText="1"/>
    </xf>
    <xf numFmtId="0" fontId="64" fillId="13" borderId="0" xfId="3139" applyFill="1" applyBorder="1" applyAlignment="1">
      <alignment horizontal="left" vertical="center" wrapText="1"/>
    </xf>
    <xf numFmtId="0" fontId="64" fillId="13" borderId="33" xfId="3139" applyFill="1" applyBorder="1" applyAlignment="1">
      <alignment horizontal="left" vertical="center" wrapText="1"/>
    </xf>
    <xf numFmtId="0" fontId="64" fillId="13" borderId="17" xfId="3139" applyFill="1" applyBorder="1" applyAlignment="1">
      <alignment horizontal="left" vertical="center" wrapText="1"/>
    </xf>
    <xf numFmtId="0" fontId="64" fillId="13" borderId="20" xfId="3139" applyFill="1" applyBorder="1" applyAlignment="1">
      <alignment horizontal="left" vertical="center" wrapText="1"/>
    </xf>
    <xf numFmtId="0" fontId="32" fillId="25" borderId="129" xfId="0" applyFont="1" applyFill="1" applyBorder="1" applyAlignment="1">
      <alignment horizontal="center" vertical="center" wrapText="1"/>
    </xf>
    <xf numFmtId="0" fontId="32" fillId="25" borderId="126" xfId="0" applyFont="1" applyFill="1" applyBorder="1" applyAlignment="1">
      <alignment horizontal="center" vertical="center" wrapText="1"/>
    </xf>
    <xf numFmtId="0" fontId="32" fillId="25" borderId="130" xfId="0" applyFont="1" applyFill="1" applyBorder="1" applyAlignment="1">
      <alignment horizontal="center" vertical="center" wrapText="1"/>
    </xf>
    <xf numFmtId="0" fontId="32" fillId="25" borderId="112" xfId="0" applyFont="1" applyFill="1" applyBorder="1" applyAlignment="1">
      <alignment horizontal="center" vertical="center" wrapText="1"/>
    </xf>
    <xf numFmtId="0" fontId="32" fillId="25" borderId="115" xfId="0" applyFont="1" applyFill="1" applyBorder="1" applyAlignment="1">
      <alignment horizontal="center" vertical="center" wrapText="1"/>
    </xf>
    <xf numFmtId="0" fontId="34" fillId="25" borderId="136" xfId="0" applyFont="1" applyFill="1" applyBorder="1" applyAlignment="1">
      <alignment horizontal="center" vertical="center"/>
    </xf>
    <xf numFmtId="0" fontId="34" fillId="25" borderId="167" xfId="0" applyFont="1" applyFill="1" applyBorder="1" applyAlignment="1">
      <alignment horizontal="center" vertical="center"/>
    </xf>
    <xf numFmtId="0" fontId="32" fillId="25" borderId="17" xfId="0" applyFont="1" applyFill="1" applyBorder="1" applyAlignment="1">
      <alignment horizontal="center" vertical="center" wrapText="1"/>
    </xf>
    <xf numFmtId="0" fontId="32" fillId="25" borderId="0" xfId="0" applyFont="1" applyFill="1" applyBorder="1" applyAlignment="1">
      <alignment horizontal="center" vertical="center" wrapText="1"/>
    </xf>
    <xf numFmtId="0" fontId="32" fillId="25" borderId="12" xfId="0" applyFont="1" applyFill="1" applyBorder="1" applyAlignment="1">
      <alignment horizontal="center" vertical="center" wrapText="1"/>
    </xf>
    <xf numFmtId="0" fontId="34" fillId="25" borderId="19" xfId="0" applyFont="1" applyFill="1" applyBorder="1" applyAlignment="1">
      <alignment horizontal="center" vertical="center" wrapText="1"/>
    </xf>
    <xf numFmtId="0" fontId="34" fillId="25" borderId="20" xfId="0" applyFont="1" applyFill="1" applyBorder="1" applyAlignment="1">
      <alignment horizontal="center" vertical="center" wrapText="1"/>
    </xf>
    <xf numFmtId="0" fontId="34" fillId="25" borderId="24" xfId="0" applyFont="1" applyFill="1" applyBorder="1" applyAlignment="1">
      <alignment horizontal="center" vertical="center" wrapText="1"/>
    </xf>
    <xf numFmtId="0" fontId="34" fillId="25" borderId="33" xfId="0" applyFont="1" applyFill="1" applyBorder="1" applyAlignment="1">
      <alignment horizontal="center" vertical="center" wrapText="1"/>
    </xf>
    <xf numFmtId="0" fontId="34" fillId="25" borderId="11" xfId="0" applyFont="1" applyFill="1" applyBorder="1" applyAlignment="1">
      <alignment horizontal="center" vertical="center" wrapText="1"/>
    </xf>
    <xf numFmtId="0" fontId="34" fillId="25" borderId="22" xfId="0" applyFont="1" applyFill="1" applyBorder="1" applyAlignment="1">
      <alignment horizontal="center" vertical="center" wrapText="1"/>
    </xf>
    <xf numFmtId="0" fontId="32" fillId="25" borderId="113" xfId="0" applyFont="1" applyFill="1" applyBorder="1" applyAlignment="1">
      <alignment horizontal="center" vertical="center" wrapText="1"/>
    </xf>
    <xf numFmtId="0" fontId="32" fillId="25" borderId="186" xfId="0" applyFont="1" applyFill="1" applyBorder="1" applyAlignment="1">
      <alignment horizontal="center" vertical="center" wrapText="1"/>
    </xf>
    <xf numFmtId="0" fontId="32" fillId="25" borderId="116" xfId="0" applyFont="1" applyFill="1" applyBorder="1" applyAlignment="1">
      <alignment horizontal="center" vertical="center" wrapText="1"/>
    </xf>
    <xf numFmtId="176" fontId="23" fillId="17" borderId="1" xfId="0" applyNumberFormat="1" applyFont="1" applyFill="1" applyBorder="1" applyAlignment="1">
      <alignment horizontal="center"/>
    </xf>
    <xf numFmtId="168" fontId="23" fillId="17" borderId="1" xfId="0" applyNumberFormat="1" applyFont="1" applyFill="1" applyBorder="1" applyAlignment="1">
      <alignment horizontal="center"/>
    </xf>
    <xf numFmtId="0" fontId="168" fillId="13" borderId="0" xfId="0" applyFont="1" applyFill="1" applyBorder="1" applyAlignment="1">
      <alignment horizontal="center" wrapText="1"/>
    </xf>
    <xf numFmtId="0" fontId="32" fillId="25" borderId="20" xfId="0" applyFont="1" applyFill="1" applyBorder="1" applyAlignment="1">
      <alignment horizontal="center" vertical="center" wrapText="1"/>
    </xf>
    <xf numFmtId="0" fontId="0" fillId="13" borderId="0" xfId="3137" applyFont="1" applyFill="1" applyAlignment="1">
      <alignment horizontal="left" wrapText="1"/>
    </xf>
    <xf numFmtId="0" fontId="136" fillId="13" borderId="0" xfId="0" applyFont="1" applyFill="1" applyAlignment="1">
      <alignment horizontal="left" wrapText="1"/>
    </xf>
    <xf numFmtId="0" fontId="136" fillId="13" borderId="60" xfId="0" applyFont="1" applyFill="1" applyBorder="1" applyAlignment="1">
      <alignment horizontal="left" vertical="center" wrapText="1" indent="7"/>
    </xf>
    <xf numFmtId="0" fontId="136" fillId="13" borderId="57" xfId="0" applyFont="1" applyFill="1" applyBorder="1" applyAlignment="1">
      <alignment horizontal="left" vertical="center" wrapText="1" indent="7"/>
    </xf>
    <xf numFmtId="0" fontId="53" fillId="0" borderId="46" xfId="3166" applyFont="1" applyFill="1" applyBorder="1" applyAlignment="1">
      <alignment horizontal="center" vertical="center"/>
    </xf>
    <xf numFmtId="0" fontId="0" fillId="17" borderId="47" xfId="0" applyFill="1" applyBorder="1" applyAlignment="1">
      <alignment horizontal="center" vertical="center"/>
    </xf>
    <xf numFmtId="0" fontId="0" fillId="17" borderId="49" xfId="0" applyFill="1" applyBorder="1" applyAlignment="1">
      <alignment horizontal="center" vertical="center"/>
    </xf>
    <xf numFmtId="0" fontId="0" fillId="17" borderId="51" xfId="0" applyFill="1" applyBorder="1" applyAlignment="1">
      <alignment horizontal="center" vertical="center"/>
    </xf>
    <xf numFmtId="0" fontId="0" fillId="17" borderId="53" xfId="0" applyFill="1" applyBorder="1" applyAlignment="1">
      <alignment horizontal="center" vertical="center"/>
    </xf>
    <xf numFmtId="0" fontId="53" fillId="13" borderId="90" xfId="3137" applyFont="1" applyFill="1" applyBorder="1" applyAlignment="1">
      <alignment horizontal="left" vertical="center" indent="1"/>
    </xf>
    <xf numFmtId="0" fontId="53" fillId="13" borderId="46" xfId="3137" applyFont="1" applyFill="1" applyBorder="1" applyAlignment="1">
      <alignment horizontal="left" vertical="center" indent="1"/>
    </xf>
    <xf numFmtId="11" fontId="0" fillId="13" borderId="46" xfId="0" applyNumberFormat="1" applyFill="1" applyBorder="1" applyAlignment="1">
      <alignment horizontal="center"/>
    </xf>
    <xf numFmtId="0" fontId="53" fillId="26" borderId="41" xfId="0" applyFont="1" applyFill="1" applyBorder="1" applyAlignment="1">
      <alignment horizontal="left" vertical="center" wrapText="1"/>
    </xf>
    <xf numFmtId="0" fontId="53" fillId="26" borderId="0" xfId="0" applyFont="1" applyFill="1" applyBorder="1" applyAlignment="1">
      <alignment horizontal="left" vertical="center" wrapText="1"/>
    </xf>
    <xf numFmtId="0" fontId="53" fillId="26" borderId="50" xfId="0" applyFont="1" applyFill="1" applyBorder="1" applyAlignment="1">
      <alignment horizontal="left" vertical="center" wrapText="1"/>
    </xf>
    <xf numFmtId="0" fontId="0" fillId="13" borderId="46" xfId="0" applyFont="1" applyFill="1" applyBorder="1" applyAlignment="1">
      <alignment horizontal="left" vertical="center"/>
    </xf>
    <xf numFmtId="10" fontId="0" fillId="13" borderId="46" xfId="0" quotePrefix="1" applyNumberFormat="1" applyFill="1" applyBorder="1" applyAlignment="1">
      <alignment horizontal="center"/>
    </xf>
    <xf numFmtId="0" fontId="0" fillId="17" borderId="46" xfId="0" applyFill="1" applyBorder="1" applyAlignment="1">
      <alignment horizontal="center"/>
    </xf>
    <xf numFmtId="0" fontId="32" fillId="25" borderId="44" xfId="0" applyFont="1" applyFill="1" applyBorder="1" applyAlignment="1">
      <alignment horizontal="center" vertical="center" wrapText="1"/>
    </xf>
    <xf numFmtId="0" fontId="32" fillId="25" borderId="123" xfId="0" applyFont="1" applyFill="1" applyBorder="1" applyAlignment="1">
      <alignment horizontal="center" vertical="center" wrapText="1"/>
    </xf>
    <xf numFmtId="0" fontId="32" fillId="25" borderId="121" xfId="0" applyFont="1" applyFill="1" applyBorder="1" applyAlignment="1">
      <alignment horizontal="center" vertical="center" wrapText="1"/>
    </xf>
    <xf numFmtId="0" fontId="32" fillId="25" borderId="122" xfId="0" applyFont="1" applyFill="1" applyBorder="1" applyAlignment="1">
      <alignment horizontal="center" vertical="center" wrapText="1"/>
    </xf>
    <xf numFmtId="0" fontId="6" fillId="31" borderId="44" xfId="0" applyFont="1" applyFill="1" applyBorder="1" applyAlignment="1">
      <alignment horizontal="center" vertical="center"/>
    </xf>
    <xf numFmtId="0" fontId="6" fillId="31" borderId="123" xfId="0" applyFont="1" applyFill="1" applyBorder="1" applyAlignment="1">
      <alignment horizontal="center" vertical="center"/>
    </xf>
    <xf numFmtId="0" fontId="34" fillId="25" borderId="160" xfId="0" applyFont="1" applyFill="1" applyBorder="1" applyAlignment="1">
      <alignment horizontal="center" vertical="center"/>
    </xf>
    <xf numFmtId="0" fontId="34" fillId="25" borderId="42" xfId="0" applyFont="1" applyFill="1" applyBorder="1" applyAlignment="1">
      <alignment horizontal="center" vertical="center"/>
    </xf>
    <xf numFmtId="0" fontId="34" fillId="25" borderId="161" xfId="0" applyFont="1" applyFill="1" applyBorder="1" applyAlignment="1">
      <alignment horizontal="center" vertical="center"/>
    </xf>
    <xf numFmtId="0" fontId="0" fillId="13" borderId="46" xfId="0" applyFill="1" applyBorder="1" applyAlignment="1">
      <alignment horizontal="center"/>
    </xf>
    <xf numFmtId="0" fontId="53" fillId="26" borderId="47" xfId="0" applyFont="1" applyFill="1" applyBorder="1" applyAlignment="1">
      <alignment horizontal="left" vertical="center" wrapText="1"/>
    </xf>
    <xf numFmtId="0" fontId="53" fillId="26" borderId="48" xfId="0" applyFont="1" applyFill="1" applyBorder="1" applyAlignment="1">
      <alignment horizontal="left" vertical="center" wrapText="1"/>
    </xf>
    <xf numFmtId="0" fontId="53" fillId="26" borderId="49" xfId="0" applyFont="1" applyFill="1" applyBorder="1" applyAlignment="1">
      <alignment horizontal="left" vertical="center" wrapText="1"/>
    </xf>
    <xf numFmtId="1" fontId="0" fillId="17" borderId="16" xfId="0" applyNumberFormat="1" applyFill="1" applyBorder="1" applyAlignment="1">
      <alignment horizontal="center" vertical="center"/>
    </xf>
    <xf numFmtId="1" fontId="0" fillId="17" borderId="21" xfId="0" applyNumberFormat="1" applyFill="1" applyBorder="1" applyAlignment="1">
      <alignment horizontal="center" vertical="center"/>
    </xf>
    <xf numFmtId="1" fontId="0" fillId="13" borderId="20" xfId="0" applyNumberFormat="1" applyFill="1" applyBorder="1" applyAlignment="1">
      <alignment horizontal="center" vertical="center"/>
    </xf>
    <xf numFmtId="1" fontId="0" fillId="13" borderId="33" xfId="0" applyNumberFormat="1" applyFill="1" applyBorder="1" applyAlignment="1">
      <alignment horizontal="center" vertical="center"/>
    </xf>
    <xf numFmtId="0" fontId="32" fillId="25" borderId="99" xfId="0" applyFont="1" applyFill="1" applyBorder="1" applyAlignment="1">
      <alignment horizontal="center" vertical="center" wrapText="1"/>
    </xf>
    <xf numFmtId="1" fontId="32" fillId="25" borderId="44" xfId="0" applyNumberFormat="1" applyFont="1" applyFill="1" applyBorder="1" applyAlignment="1">
      <alignment horizontal="center" vertical="center"/>
    </xf>
    <xf numFmtId="0" fontId="6" fillId="31" borderId="44" xfId="0" applyFont="1" applyFill="1" applyBorder="1" applyAlignment="1">
      <alignment horizontal="center"/>
    </xf>
    <xf numFmtId="0" fontId="0" fillId="17" borderId="21" xfId="0" applyFill="1" applyBorder="1" applyAlignment="1">
      <alignment horizontal="center" vertical="center"/>
    </xf>
    <xf numFmtId="0" fontId="0" fillId="13" borderId="20" xfId="0" applyFill="1" applyBorder="1" applyAlignment="1">
      <alignment horizontal="center" vertical="center"/>
    </xf>
    <xf numFmtId="0" fontId="0" fillId="13" borderId="33" xfId="0" applyFill="1" applyBorder="1" applyAlignment="1">
      <alignment horizontal="center" vertical="center"/>
    </xf>
    <xf numFmtId="9" fontId="0" fillId="13" borderId="16" xfId="4018" applyFont="1" applyFill="1" applyBorder="1" applyAlignment="1">
      <alignment horizontal="center" vertical="center"/>
    </xf>
    <xf numFmtId="9" fontId="0" fillId="13" borderId="21" xfId="4018" applyFont="1" applyFill="1" applyBorder="1" applyAlignment="1">
      <alignment horizontal="center" vertical="center"/>
    </xf>
    <xf numFmtId="0" fontId="0" fillId="13" borderId="19" xfId="0" applyFont="1" applyFill="1" applyBorder="1" applyAlignment="1">
      <alignment horizontal="left" vertical="center" indent="1"/>
    </xf>
    <xf numFmtId="0" fontId="0" fillId="13" borderId="17" xfId="0" applyFont="1" applyFill="1" applyBorder="1" applyAlignment="1">
      <alignment horizontal="left" vertical="center" indent="1"/>
    </xf>
    <xf numFmtId="0" fontId="0" fillId="13" borderId="24" xfId="0" applyFont="1" applyFill="1" applyBorder="1" applyAlignment="1">
      <alignment horizontal="left" vertical="center" indent="1"/>
    </xf>
    <xf numFmtId="0" fontId="0" fillId="13" borderId="0" xfId="0" applyFont="1" applyFill="1" applyBorder="1" applyAlignment="1">
      <alignment horizontal="left" vertical="center" indent="1"/>
    </xf>
    <xf numFmtId="0" fontId="34" fillId="25" borderId="44" xfId="0" applyFont="1" applyFill="1" applyBorder="1" applyAlignment="1">
      <alignment horizontal="center" vertical="center"/>
    </xf>
    <xf numFmtId="0" fontId="34" fillId="25" borderId="45" xfId="0" applyFont="1" applyFill="1" applyBorder="1" applyAlignment="1">
      <alignment horizontal="center" vertical="center"/>
    </xf>
    <xf numFmtId="0" fontId="34" fillId="25" borderId="32" xfId="0" applyFont="1" applyFill="1" applyBorder="1" applyAlignment="1">
      <alignment horizontal="center" vertical="center" wrapText="1"/>
    </xf>
    <xf numFmtId="0" fontId="34" fillId="25" borderId="123" xfId="0" applyFont="1" applyFill="1" applyBorder="1" applyAlignment="1">
      <alignment horizontal="center" vertical="center" wrapText="1"/>
    </xf>
    <xf numFmtId="0" fontId="24" fillId="31" borderId="32" xfId="0" applyFont="1" applyFill="1" applyBorder="1" applyAlignment="1">
      <alignment horizontal="center" vertical="center" wrapText="1"/>
    </xf>
    <xf numFmtId="0" fontId="34" fillId="25" borderId="32" xfId="0" applyFont="1" applyFill="1" applyBorder="1" applyAlignment="1">
      <alignment horizontal="center" vertical="center"/>
    </xf>
    <xf numFmtId="0" fontId="34" fillId="25" borderId="44" xfId="0" applyFont="1" applyFill="1" applyBorder="1" applyAlignment="1">
      <alignment horizontal="center" vertical="center" wrapText="1"/>
    </xf>
    <xf numFmtId="0" fontId="24" fillId="31" borderId="44" xfId="0" applyFont="1" applyFill="1" applyBorder="1" applyAlignment="1">
      <alignment horizontal="center" vertical="center" wrapText="1"/>
    </xf>
    <xf numFmtId="0" fontId="24" fillId="31" borderId="123" xfId="0" applyFont="1" applyFill="1" applyBorder="1" applyAlignment="1">
      <alignment horizontal="center" vertical="center" wrapText="1"/>
    </xf>
    <xf numFmtId="0" fontId="32" fillId="25" borderId="83" xfId="0" applyFont="1" applyFill="1" applyBorder="1" applyAlignment="1">
      <alignment horizontal="center" vertical="center"/>
    </xf>
    <xf numFmtId="0" fontId="32" fillId="25" borderId="150" xfId="0" applyFont="1" applyFill="1" applyBorder="1" applyAlignment="1">
      <alignment horizontal="center" vertical="center"/>
    </xf>
    <xf numFmtId="171" fontId="30" fillId="13" borderId="46" xfId="4019" applyNumberFormat="1" applyFont="1" applyFill="1" applyBorder="1" applyAlignment="1">
      <alignment horizontal="center" vertical="center"/>
    </xf>
    <xf numFmtId="0" fontId="53" fillId="0" borderId="46" xfId="4020" applyFont="1" applyFill="1" applyBorder="1" applyAlignment="1">
      <alignment horizontal="center" vertical="center"/>
    </xf>
    <xf numFmtId="0" fontId="34" fillId="25" borderId="45" xfId="0" applyFont="1" applyFill="1" applyBorder="1" applyAlignment="1">
      <alignment horizontal="center" vertical="center" wrapText="1"/>
    </xf>
    <xf numFmtId="0" fontId="32" fillId="25" borderId="32" xfId="0" applyFont="1" applyFill="1" applyBorder="1" applyAlignment="1">
      <alignment horizontal="center" vertical="center" wrapText="1"/>
    </xf>
    <xf numFmtId="0" fontId="32" fillId="25" borderId="148" xfId="0" applyFont="1" applyFill="1" applyBorder="1" applyAlignment="1">
      <alignment horizontal="center" vertical="center" wrapText="1"/>
    </xf>
    <xf numFmtId="0" fontId="22" fillId="0" borderId="2" xfId="0" applyFont="1" applyFill="1" applyBorder="1" applyAlignment="1">
      <alignment horizontal="left" vertical="center"/>
    </xf>
    <xf numFmtId="0" fontId="22" fillId="0" borderId="3" xfId="0" applyFont="1" applyFill="1" applyBorder="1" applyAlignment="1">
      <alignment horizontal="left" vertical="center"/>
    </xf>
    <xf numFmtId="0" fontId="22" fillId="0" borderId="14" xfId="0" applyFont="1" applyFill="1" applyBorder="1" applyAlignment="1">
      <alignment horizontal="left" vertical="center"/>
    </xf>
    <xf numFmtId="0" fontId="53" fillId="26" borderId="11" xfId="0" applyFont="1" applyFill="1" applyBorder="1" applyAlignment="1">
      <alignment horizontal="center" vertical="center"/>
    </xf>
    <xf numFmtId="0" fontId="53" fillId="26" borderId="12" xfId="0" applyFont="1" applyFill="1" applyBorder="1" applyAlignment="1">
      <alignment horizontal="center" vertical="center"/>
    </xf>
    <xf numFmtId="0" fontId="53" fillId="26" borderId="22" xfId="0" applyFont="1" applyFill="1" applyBorder="1" applyAlignment="1">
      <alignment horizontal="center" vertical="center"/>
    </xf>
    <xf numFmtId="0" fontId="32" fillId="25" borderId="149" xfId="0" applyFont="1" applyFill="1" applyBorder="1" applyAlignment="1">
      <alignment horizontal="center" vertical="center"/>
    </xf>
    <xf numFmtId="0" fontId="32" fillId="25" borderId="151" xfId="0" applyFont="1" applyFill="1" applyBorder="1" applyAlignment="1">
      <alignment horizontal="center" vertical="center"/>
    </xf>
    <xf numFmtId="0" fontId="32" fillId="25" borderId="32" xfId="0" applyFont="1" applyFill="1" applyBorder="1" applyAlignment="1">
      <alignment horizontal="center" vertical="center"/>
    </xf>
    <xf numFmtId="0" fontId="0" fillId="0" borderId="2" xfId="0" applyFont="1" applyBorder="1" applyAlignment="1">
      <alignment horizontal="left" vertical="center"/>
    </xf>
    <xf numFmtId="0" fontId="0" fillId="0" borderId="3" xfId="0" applyFont="1" applyBorder="1" applyAlignment="1">
      <alignment horizontal="left" vertical="center"/>
    </xf>
    <xf numFmtId="0" fontId="0" fillId="0" borderId="14" xfId="0" applyFont="1" applyBorder="1" applyAlignment="1">
      <alignment horizontal="left" vertical="center"/>
    </xf>
    <xf numFmtId="0" fontId="53" fillId="26" borderId="11" xfId="0" applyFont="1" applyFill="1" applyBorder="1" applyAlignment="1">
      <alignment horizontal="left" vertical="center" wrapText="1"/>
    </xf>
    <xf numFmtId="0" fontId="53" fillId="26" borderId="12" xfId="0" applyFont="1" applyFill="1" applyBorder="1" applyAlignment="1">
      <alignment horizontal="left" vertical="center" wrapText="1"/>
    </xf>
    <xf numFmtId="0" fontId="53" fillId="26" borderId="22" xfId="0" applyFont="1" applyFill="1" applyBorder="1" applyAlignment="1">
      <alignment horizontal="left" vertical="center" wrapText="1"/>
    </xf>
    <xf numFmtId="0" fontId="34" fillId="25" borderId="121" xfId="0" applyFont="1" applyFill="1" applyBorder="1" applyAlignment="1">
      <alignment horizontal="center" vertical="center" wrapText="1"/>
    </xf>
    <xf numFmtId="0" fontId="34" fillId="25" borderId="151" xfId="0" applyFont="1" applyFill="1" applyBorder="1" applyAlignment="1">
      <alignment horizontal="center" vertical="center" wrapText="1"/>
    </xf>
    <xf numFmtId="0" fontId="34" fillId="25" borderId="122" xfId="0" applyFont="1" applyFill="1" applyBorder="1" applyAlignment="1">
      <alignment horizontal="center" vertical="center" wrapText="1"/>
    </xf>
    <xf numFmtId="0" fontId="32" fillId="25" borderId="60" xfId="0" applyFont="1" applyFill="1" applyBorder="1" applyAlignment="1">
      <alignment horizontal="center" vertical="center"/>
    </xf>
    <xf numFmtId="0" fontId="32" fillId="25" borderId="61" xfId="0" applyFont="1" applyFill="1" applyBorder="1" applyAlignment="1">
      <alignment horizontal="center" vertical="center"/>
    </xf>
    <xf numFmtId="0" fontId="32" fillId="25" borderId="87" xfId="0" applyFont="1" applyFill="1" applyBorder="1" applyAlignment="1">
      <alignment horizontal="center" vertical="center"/>
    </xf>
    <xf numFmtId="3" fontId="30" fillId="13" borderId="46" xfId="3137" applyNumberFormat="1" applyFont="1" applyFill="1" applyBorder="1" applyAlignment="1">
      <alignment horizontal="center" vertical="center"/>
    </xf>
    <xf numFmtId="0" fontId="0" fillId="13" borderId="47" xfId="0" applyFill="1" applyBorder="1" applyAlignment="1">
      <alignment horizontal="left" vertical="center"/>
    </xf>
    <xf numFmtId="0" fontId="0" fillId="13" borderId="48" xfId="0" applyFill="1" applyBorder="1" applyAlignment="1">
      <alignment horizontal="left" vertical="center"/>
    </xf>
    <xf numFmtId="0" fontId="0" fillId="13" borderId="49" xfId="0" applyFill="1" applyBorder="1" applyAlignment="1">
      <alignment horizontal="left" vertical="center"/>
    </xf>
    <xf numFmtId="0" fontId="0" fillId="13" borderId="51" xfId="0" applyFill="1" applyBorder="1" applyAlignment="1">
      <alignment horizontal="left" vertical="center"/>
    </xf>
    <xf numFmtId="0" fontId="0" fillId="13" borderId="52" xfId="0" applyFill="1" applyBorder="1" applyAlignment="1">
      <alignment horizontal="left" vertical="center"/>
    </xf>
    <xf numFmtId="0" fontId="0" fillId="13" borderId="53" xfId="0" applyFill="1" applyBorder="1" applyAlignment="1">
      <alignment horizontal="left" vertical="center"/>
    </xf>
    <xf numFmtId="0" fontId="32" fillId="25" borderId="60" xfId="0" applyFont="1" applyFill="1" applyBorder="1" applyAlignment="1">
      <alignment horizontal="center" vertical="center" wrapText="1"/>
    </xf>
    <xf numFmtId="0" fontId="32" fillId="25" borderId="61" xfId="0" applyFont="1" applyFill="1" applyBorder="1" applyAlignment="1">
      <alignment horizontal="center" vertical="center" wrapText="1"/>
    </xf>
    <xf numFmtId="0" fontId="32" fillId="25" borderId="87" xfId="0" applyFont="1" applyFill="1" applyBorder="1" applyAlignment="1">
      <alignment horizontal="center" vertical="center" wrapText="1"/>
    </xf>
    <xf numFmtId="9" fontId="0" fillId="13" borderId="0" xfId="3138" applyNumberFormat="1" applyFont="1" applyFill="1" applyBorder="1" applyAlignment="1">
      <alignment horizontal="left" vertical="center"/>
    </xf>
    <xf numFmtId="0" fontId="64" fillId="13" borderId="12" xfId="3139" applyFill="1" applyBorder="1" applyAlignment="1">
      <alignment horizontal="left" wrapText="1"/>
    </xf>
    <xf numFmtId="0" fontId="64" fillId="13" borderId="12" xfId="3139" applyFill="1" applyBorder="1" applyAlignment="1">
      <alignment horizontal="left" vertical="center" wrapText="1"/>
    </xf>
    <xf numFmtId="0" fontId="32" fillId="25" borderId="1" xfId="0" applyFont="1" applyFill="1" applyBorder="1" applyAlignment="1">
      <alignment horizontal="center" vertical="center" wrapText="1"/>
    </xf>
    <xf numFmtId="175" fontId="64" fillId="17" borderId="16" xfId="4078" applyNumberFormat="1" applyFont="1" applyFill="1" applyBorder="1" applyAlignment="1">
      <alignment horizontal="center" vertical="center"/>
    </xf>
    <xf numFmtId="175" fontId="64" fillId="17" borderId="34" xfId="4078" applyNumberFormat="1" applyFont="1" applyFill="1" applyBorder="1" applyAlignment="1">
      <alignment horizontal="center" vertical="center"/>
    </xf>
    <xf numFmtId="175" fontId="64" fillId="17" borderId="21" xfId="4078" applyNumberFormat="1" applyFont="1" applyFill="1" applyBorder="1" applyAlignment="1">
      <alignment horizontal="center" vertical="center"/>
    </xf>
    <xf numFmtId="175" fontId="64" fillId="13" borderId="16" xfId="4078" applyNumberFormat="1" applyFont="1" applyFill="1" applyBorder="1" applyAlignment="1">
      <alignment horizontal="center" vertical="center"/>
    </xf>
    <xf numFmtId="175" fontId="64" fillId="13" borderId="34" xfId="4078" applyNumberFormat="1" applyFont="1" applyFill="1" applyBorder="1" applyAlignment="1">
      <alignment horizontal="center" vertical="center"/>
    </xf>
    <xf numFmtId="175" fontId="64" fillId="13" borderId="21" xfId="4078" applyNumberFormat="1" applyFont="1" applyFill="1" applyBorder="1" applyAlignment="1">
      <alignment horizontal="center" vertical="center"/>
    </xf>
    <xf numFmtId="175" fontId="64" fillId="13" borderId="1" xfId="4078" applyNumberFormat="1" applyFont="1" applyFill="1" applyBorder="1" applyAlignment="1">
      <alignment horizontal="left" vertical="center"/>
    </xf>
    <xf numFmtId="175" fontId="64" fillId="13" borderId="2" xfId="4078" applyNumberFormat="1" applyFont="1" applyFill="1" applyBorder="1" applyAlignment="1">
      <alignment horizontal="left" vertical="center"/>
    </xf>
    <xf numFmtId="0" fontId="64" fillId="13" borderId="22" xfId="3139" applyFill="1" applyBorder="1" applyAlignment="1">
      <alignment horizontal="left" vertical="center" wrapText="1"/>
    </xf>
    <xf numFmtId="0" fontId="32" fillId="25" borderId="33" xfId="0" applyFont="1" applyFill="1" applyBorder="1" applyAlignment="1">
      <alignment horizontal="center" vertical="center" wrapText="1"/>
    </xf>
    <xf numFmtId="0" fontId="34" fillId="25" borderId="16" xfId="0" applyFont="1" applyFill="1" applyBorder="1" applyAlignment="1">
      <alignment horizontal="center" vertical="center"/>
    </xf>
    <xf numFmtId="0" fontId="34" fillId="25" borderId="21" xfId="0" applyFont="1" applyFill="1" applyBorder="1" applyAlignment="1">
      <alignment horizontal="center" vertical="center"/>
    </xf>
    <xf numFmtId="0" fontId="32" fillId="25" borderId="22" xfId="0" applyFont="1" applyFill="1" applyBorder="1" applyAlignment="1">
      <alignment horizontal="center" vertical="center" wrapText="1"/>
    </xf>
    <xf numFmtId="0" fontId="34" fillId="25" borderId="2" xfId="0" applyFont="1" applyFill="1" applyBorder="1" applyAlignment="1">
      <alignment horizontal="center" vertical="center" wrapText="1"/>
    </xf>
    <xf numFmtId="0" fontId="34" fillId="25" borderId="14" xfId="0" applyFont="1" applyFill="1" applyBorder="1" applyAlignment="1">
      <alignment horizontal="center" vertical="center" wrapText="1"/>
    </xf>
    <xf numFmtId="3" fontId="0" fillId="13" borderId="1" xfId="0" applyNumberFormat="1" applyFill="1" applyBorder="1" applyAlignment="1">
      <alignment horizontal="left" vertical="center" wrapText="1"/>
    </xf>
    <xf numFmtId="0" fontId="58" fillId="26" borderId="2" xfId="0" applyFont="1" applyFill="1" applyBorder="1" applyAlignment="1">
      <alignment horizontal="center" vertical="center"/>
    </xf>
    <xf numFmtId="0" fontId="58" fillId="26" borderId="3" xfId="0" applyFont="1" applyFill="1" applyBorder="1" applyAlignment="1">
      <alignment horizontal="center" vertical="center"/>
    </xf>
    <xf numFmtId="0" fontId="58" fillId="26" borderId="14" xfId="0" applyFont="1" applyFill="1" applyBorder="1" applyAlignment="1">
      <alignment horizontal="center" vertical="center"/>
    </xf>
    <xf numFmtId="1" fontId="0" fillId="13" borderId="16" xfId="0" applyNumberFormat="1" applyFill="1" applyBorder="1" applyAlignment="1">
      <alignment horizontal="center" vertical="center"/>
    </xf>
    <xf numFmtId="1" fontId="0" fillId="13" borderId="21" xfId="0" applyNumberFormat="1" applyFill="1" applyBorder="1" applyAlignment="1">
      <alignment horizontal="center" vertical="center"/>
    </xf>
    <xf numFmtId="3" fontId="0" fillId="13" borderId="2" xfId="0" applyNumberFormat="1" applyFill="1" applyBorder="1" applyAlignment="1">
      <alignment horizontal="left" vertical="center"/>
    </xf>
    <xf numFmtId="3" fontId="0" fillId="13" borderId="14" xfId="0" applyNumberFormat="1" applyFill="1" applyBorder="1" applyAlignment="1">
      <alignment horizontal="left" vertical="center"/>
    </xf>
    <xf numFmtId="3" fontId="0" fillId="13" borderId="1" xfId="0" applyNumberFormat="1" applyFill="1" applyBorder="1" applyAlignment="1">
      <alignment horizontal="center" vertical="center"/>
    </xf>
    <xf numFmtId="0" fontId="64" fillId="0" borderId="12" xfId="3139" applyBorder="1" applyAlignment="1">
      <alignment horizontal="left" vertical="center" wrapText="1"/>
    </xf>
    <xf numFmtId="0" fontId="64" fillId="0" borderId="22" xfId="3139" applyBorder="1" applyAlignment="1">
      <alignment horizontal="left" vertical="center" wrapText="1"/>
    </xf>
    <xf numFmtId="0" fontId="64" fillId="0" borderId="3" xfId="3139" applyBorder="1" applyAlignment="1">
      <alignment horizontal="left" vertical="center" wrapText="1"/>
    </xf>
    <xf numFmtId="0" fontId="64" fillId="0" borderId="14" xfId="3139" applyBorder="1" applyAlignment="1">
      <alignment horizontal="left" vertical="center" wrapText="1"/>
    </xf>
    <xf numFmtId="0" fontId="34" fillId="25" borderId="106" xfId="0" applyFont="1" applyFill="1" applyBorder="1" applyAlignment="1">
      <alignment horizontal="center" vertical="center" wrapText="1"/>
    </xf>
    <xf numFmtId="0" fontId="34" fillId="25" borderId="109" xfId="0" applyFont="1" applyFill="1" applyBorder="1" applyAlignment="1">
      <alignment horizontal="center" vertical="center" wrapText="1"/>
    </xf>
    <xf numFmtId="0" fontId="34" fillId="25" borderId="106" xfId="0" applyFont="1" applyFill="1" applyBorder="1" applyAlignment="1">
      <alignment horizontal="center" vertical="center"/>
    </xf>
    <xf numFmtId="0" fontId="34" fillId="25" borderId="107" xfId="0" applyFont="1" applyFill="1" applyBorder="1" applyAlignment="1">
      <alignment horizontal="center" vertical="center"/>
    </xf>
    <xf numFmtId="0" fontId="34" fillId="25" borderId="63" xfId="0" applyFont="1" applyFill="1" applyBorder="1" applyAlignment="1">
      <alignment horizontal="center" vertical="center" wrapText="1"/>
    </xf>
    <xf numFmtId="0" fontId="34" fillId="25" borderId="115" xfId="0" applyFont="1" applyFill="1" applyBorder="1" applyAlignment="1">
      <alignment horizontal="center" vertical="center" wrapText="1"/>
    </xf>
    <xf numFmtId="0" fontId="34" fillId="25" borderId="146" xfId="0" applyFont="1" applyFill="1" applyBorder="1" applyAlignment="1">
      <alignment horizontal="center" vertical="center" wrapText="1"/>
    </xf>
    <xf numFmtId="0" fontId="34" fillId="25" borderId="116" xfId="0" applyFont="1" applyFill="1" applyBorder="1" applyAlignment="1">
      <alignment horizontal="center" vertical="center" wrapText="1"/>
    </xf>
    <xf numFmtId="0" fontId="25" fillId="29" borderId="0" xfId="0" applyFont="1" applyFill="1" applyBorder="1" applyAlignment="1">
      <alignment horizontal="center" vertical="center" wrapText="1"/>
    </xf>
    <xf numFmtId="0" fontId="92" fillId="13" borderId="0" xfId="3137" applyFont="1" applyFill="1" applyAlignment="1">
      <alignment horizontal="left" wrapText="1"/>
    </xf>
    <xf numFmtId="0" fontId="69" fillId="17" borderId="1" xfId="3139" applyFont="1" applyFill="1" applyBorder="1" applyAlignment="1">
      <alignment horizontal="left" vertical="center"/>
    </xf>
    <xf numFmtId="0" fontId="0" fillId="17" borderId="16" xfId="0" applyFill="1" applyBorder="1" applyAlignment="1">
      <alignment horizontal="center" vertical="center"/>
    </xf>
    <xf numFmtId="0" fontId="0" fillId="17" borderId="34" xfId="0" applyFill="1" applyBorder="1" applyAlignment="1">
      <alignment horizontal="center" vertical="center"/>
    </xf>
    <xf numFmtId="0" fontId="58" fillId="26" borderId="2" xfId="0" applyFont="1" applyFill="1" applyBorder="1" applyAlignment="1">
      <alignment horizontal="center" vertical="center" wrapText="1"/>
    </xf>
    <xf numFmtId="0" fontId="58" fillId="26" borderId="14" xfId="0" applyFont="1" applyFill="1" applyBorder="1" applyAlignment="1">
      <alignment horizontal="center" vertical="center" wrapText="1"/>
    </xf>
    <xf numFmtId="9" fontId="0" fillId="17" borderId="46" xfId="4017" applyFont="1" applyFill="1" applyBorder="1" applyAlignment="1">
      <alignment horizontal="center" vertical="center"/>
    </xf>
    <xf numFmtId="9" fontId="0" fillId="0" borderId="46" xfId="4017" applyFont="1" applyBorder="1" applyAlignment="1">
      <alignment horizontal="center" vertical="center"/>
    </xf>
    <xf numFmtId="0" fontId="53" fillId="13" borderId="47" xfId="3137" applyFont="1" applyFill="1" applyBorder="1" applyAlignment="1">
      <alignment horizontal="left" vertical="center" wrapText="1" indent="1"/>
    </xf>
    <xf numFmtId="0" fontId="53" fillId="13" borderId="49" xfId="3137" applyFont="1" applyFill="1" applyBorder="1" applyAlignment="1">
      <alignment horizontal="left" vertical="center" wrapText="1" indent="1"/>
    </xf>
    <xf numFmtId="0" fontId="53" fillId="13" borderId="41" xfId="3137" applyFont="1" applyFill="1" applyBorder="1" applyAlignment="1">
      <alignment horizontal="left" vertical="center" wrapText="1" indent="1"/>
    </xf>
    <xf numFmtId="0" fontId="53" fillId="13" borderId="50" xfId="3137" applyFont="1" applyFill="1" applyBorder="1" applyAlignment="1">
      <alignment horizontal="left" vertical="center" wrapText="1" indent="1"/>
    </xf>
    <xf numFmtId="0" fontId="53" fillId="13" borderId="51" xfId="3137" applyFont="1" applyFill="1" applyBorder="1" applyAlignment="1">
      <alignment horizontal="left" vertical="center" wrapText="1" indent="1"/>
    </xf>
    <xf numFmtId="0" fontId="53" fillId="13" borderId="53" xfId="3137" applyFont="1" applyFill="1" applyBorder="1" applyAlignment="1">
      <alignment horizontal="left" vertical="center" wrapText="1" indent="1"/>
    </xf>
    <xf numFmtId="0" fontId="64" fillId="0" borderId="0" xfId="3139" applyBorder="1" applyAlignment="1">
      <alignment horizontal="left" vertical="center" wrapText="1"/>
    </xf>
    <xf numFmtId="0" fontId="64" fillId="0" borderId="33" xfId="3139" applyBorder="1" applyAlignment="1">
      <alignment horizontal="left" vertical="center" wrapText="1"/>
    </xf>
    <xf numFmtId="0" fontId="64" fillId="0" borderId="17" xfId="3139" applyBorder="1" applyAlignment="1">
      <alignment horizontal="left" vertical="center" wrapText="1"/>
    </xf>
    <xf numFmtId="0" fontId="64" fillId="0" borderId="20" xfId="3139" applyBorder="1" applyAlignment="1">
      <alignment horizontal="left" vertical="center" wrapText="1"/>
    </xf>
    <xf numFmtId="9" fontId="30" fillId="13" borderId="46" xfId="3138" applyFont="1" applyFill="1" applyBorder="1" applyAlignment="1">
      <alignment horizontal="center" vertical="center"/>
    </xf>
    <xf numFmtId="0" fontId="32" fillId="25" borderId="177" xfId="0" applyFont="1" applyFill="1" applyBorder="1" applyAlignment="1">
      <alignment horizontal="center" vertical="center"/>
    </xf>
    <xf numFmtId="0" fontId="32" fillId="25" borderId="63" xfId="0" applyFont="1" applyFill="1" applyBorder="1" applyAlignment="1">
      <alignment horizontal="center" vertical="center"/>
    </xf>
    <xf numFmtId="0" fontId="34" fillId="25" borderId="129" xfId="0" applyFont="1" applyFill="1" applyBorder="1" applyAlignment="1">
      <alignment horizontal="center" vertical="center"/>
    </xf>
    <xf numFmtId="0" fontId="34" fillId="25" borderId="126" xfId="0" applyFont="1" applyFill="1" applyBorder="1" applyAlignment="1">
      <alignment horizontal="center" vertical="center"/>
    </xf>
    <xf numFmtId="0" fontId="34" fillId="25" borderId="130" xfId="0" applyFont="1" applyFill="1" applyBorder="1" applyAlignment="1">
      <alignment horizontal="center" vertical="center"/>
    </xf>
    <xf numFmtId="0" fontId="9" fillId="40" borderId="2" xfId="0" applyFont="1" applyFill="1" applyBorder="1" applyAlignment="1">
      <alignment horizontal="left" vertical="center" wrapText="1"/>
    </xf>
    <xf numFmtId="0" fontId="9" fillId="40" borderId="14" xfId="0" applyFont="1" applyFill="1" applyBorder="1" applyAlignment="1">
      <alignment horizontal="left" vertical="center" wrapText="1"/>
    </xf>
    <xf numFmtId="0" fontId="30" fillId="13" borderId="46" xfId="3137" applyFont="1" applyFill="1" applyBorder="1" applyAlignment="1">
      <alignment horizontal="center" vertical="center"/>
    </xf>
    <xf numFmtId="0" fontId="30" fillId="0" borderId="46" xfId="3137" applyFont="1" applyFill="1" applyBorder="1" applyAlignment="1">
      <alignment horizontal="center" vertical="center"/>
    </xf>
    <xf numFmtId="0" fontId="0" fillId="0" borderId="46" xfId="0" applyBorder="1" applyAlignment="1">
      <alignment horizontal="center" vertical="center"/>
    </xf>
    <xf numFmtId="0" fontId="32" fillId="25" borderId="21" xfId="0" applyFont="1" applyFill="1" applyBorder="1" applyAlignment="1">
      <alignment horizontal="center" vertical="center"/>
    </xf>
    <xf numFmtId="0" fontId="32" fillId="25" borderId="1" xfId="0" applyFont="1" applyFill="1" applyBorder="1" applyAlignment="1">
      <alignment horizontal="center" vertical="center"/>
    </xf>
    <xf numFmtId="0" fontId="32" fillId="25" borderId="1" xfId="3137" applyFont="1" applyFill="1" applyBorder="1" applyAlignment="1">
      <alignment horizontal="center" vertical="center" wrapText="1"/>
    </xf>
    <xf numFmtId="1" fontId="30" fillId="17" borderId="46" xfId="3137" applyNumberFormat="1" applyFont="1" applyFill="1" applyBorder="1" applyAlignment="1">
      <alignment horizontal="center" vertical="center"/>
    </xf>
    <xf numFmtId="9" fontId="30" fillId="17" borderId="46" xfId="3138" applyFont="1" applyFill="1" applyBorder="1" applyAlignment="1">
      <alignment horizontal="center" vertical="center"/>
    </xf>
    <xf numFmtId="9" fontId="30" fillId="17" borderId="46" xfId="3137" applyNumberFormat="1" applyFont="1" applyFill="1" applyBorder="1" applyAlignment="1">
      <alignment horizontal="center" vertical="center"/>
    </xf>
    <xf numFmtId="0" fontId="62" fillId="13" borderId="0" xfId="3137" applyFont="1" applyFill="1" applyAlignment="1">
      <alignment horizontal="left" wrapText="1"/>
    </xf>
    <xf numFmtId="0" fontId="62" fillId="13" borderId="0" xfId="3137" applyFill="1" applyAlignment="1">
      <alignment horizontal="left" wrapText="1"/>
    </xf>
    <xf numFmtId="0" fontId="32" fillId="25" borderId="16" xfId="0" applyFont="1" applyFill="1" applyBorder="1" applyAlignment="1">
      <alignment horizontal="center" vertical="center"/>
    </xf>
    <xf numFmtId="0" fontId="6" fillId="25" borderId="3" xfId="3137" applyFont="1" applyFill="1" applyBorder="1" applyAlignment="1">
      <alignment horizontal="center" vertical="center" wrapText="1"/>
    </xf>
    <xf numFmtId="0" fontId="6" fillId="25" borderId="14" xfId="3137" applyFont="1" applyFill="1" applyBorder="1" applyAlignment="1">
      <alignment horizontal="center" vertical="center" wrapText="1"/>
    </xf>
    <xf numFmtId="0" fontId="32" fillId="25" borderId="19" xfId="3137" applyFont="1" applyFill="1" applyBorder="1" applyAlignment="1">
      <alignment horizontal="center" vertical="center" wrapText="1"/>
    </xf>
    <xf numFmtId="0" fontId="32" fillId="25" borderId="20" xfId="3137" applyFont="1" applyFill="1" applyBorder="1" applyAlignment="1">
      <alignment horizontal="center" vertical="center" wrapText="1"/>
    </xf>
    <xf numFmtId="0" fontId="32" fillId="25" borderId="11" xfId="3137" applyFont="1" applyFill="1" applyBorder="1" applyAlignment="1">
      <alignment horizontal="center" vertical="center" wrapText="1"/>
    </xf>
    <xf numFmtId="0" fontId="32" fillId="25" borderId="22" xfId="3137" applyFont="1" applyFill="1" applyBorder="1" applyAlignment="1">
      <alignment horizontal="center" vertical="center" wrapText="1"/>
    </xf>
    <xf numFmtId="0" fontId="34" fillId="25" borderId="34" xfId="0" applyFont="1" applyFill="1" applyBorder="1" applyAlignment="1">
      <alignment horizontal="center" vertical="center"/>
    </xf>
    <xf numFmtId="0" fontId="34" fillId="25" borderId="2" xfId="0" applyFont="1" applyFill="1" applyBorder="1" applyAlignment="1">
      <alignment horizontal="center" vertical="center"/>
    </xf>
    <xf numFmtId="0" fontId="34" fillId="25" borderId="14" xfId="0" applyFont="1" applyFill="1" applyBorder="1" applyAlignment="1">
      <alignment horizontal="center" vertical="center"/>
    </xf>
    <xf numFmtId="0" fontId="92" fillId="13" borderId="0" xfId="0" applyFont="1" applyFill="1" applyAlignment="1">
      <alignment horizontal="left" wrapText="1"/>
    </xf>
    <xf numFmtId="0" fontId="76" fillId="13" borderId="0" xfId="0" applyFont="1" applyFill="1" applyBorder="1" applyAlignment="1">
      <alignment horizontal="center" vertical="center"/>
    </xf>
    <xf numFmtId="0" fontId="77" fillId="13" borderId="0" xfId="0" applyFont="1" applyFill="1" applyBorder="1" applyAlignment="1">
      <alignment horizontal="center" vertical="center"/>
    </xf>
    <xf numFmtId="0" fontId="32" fillId="25" borderId="17" xfId="3137" applyFont="1" applyFill="1" applyBorder="1" applyAlignment="1">
      <alignment horizontal="center" vertical="center" wrapText="1"/>
    </xf>
    <xf numFmtId="0" fontId="32" fillId="25" borderId="12" xfId="3137" applyFont="1" applyFill="1" applyBorder="1" applyAlignment="1">
      <alignment horizontal="center" vertical="center" wrapText="1"/>
    </xf>
    <xf numFmtId="0" fontId="34" fillId="25" borderId="109" xfId="0" applyFont="1" applyFill="1" applyBorder="1" applyAlignment="1">
      <alignment horizontal="center" vertical="center"/>
    </xf>
    <xf numFmtId="0" fontId="34" fillId="25" borderId="128" xfId="0" applyFont="1" applyFill="1" applyBorder="1" applyAlignment="1">
      <alignment horizontal="center" vertical="center"/>
    </xf>
    <xf numFmtId="0" fontId="34" fillId="25" borderId="110" xfId="0" applyFont="1" applyFill="1" applyBorder="1" applyAlignment="1">
      <alignment horizontal="center" vertical="center"/>
    </xf>
    <xf numFmtId="0" fontId="53" fillId="26" borderId="19" xfId="0" applyFont="1" applyFill="1" applyBorder="1" applyAlignment="1">
      <alignment horizontal="center" vertical="center"/>
    </xf>
    <xf numFmtId="0" fontId="53" fillId="26" borderId="20" xfId="0" applyFont="1" applyFill="1" applyBorder="1" applyAlignment="1">
      <alignment horizontal="center" vertical="center"/>
    </xf>
    <xf numFmtId="0" fontId="34" fillId="25" borderId="145" xfId="0" applyFont="1" applyFill="1" applyBorder="1" applyAlignment="1">
      <alignment horizontal="center" vertical="center" wrapText="1"/>
    </xf>
    <xf numFmtId="0" fontId="34" fillId="25" borderId="152" xfId="0" applyFont="1" applyFill="1" applyBorder="1" applyAlignment="1">
      <alignment horizontal="center" vertical="center" wrapText="1"/>
    </xf>
    <xf numFmtId="0" fontId="34" fillId="25" borderId="153" xfId="0" applyFont="1" applyFill="1" applyBorder="1" applyAlignment="1">
      <alignment horizontal="center" vertical="center" wrapText="1"/>
    </xf>
    <xf numFmtId="0" fontId="34" fillId="25" borderId="114" xfId="0" applyFont="1" applyFill="1" applyBorder="1" applyAlignment="1">
      <alignment horizontal="center" vertical="center" wrapText="1"/>
    </xf>
    <xf numFmtId="0" fontId="34" fillId="25" borderId="154" xfId="0" applyFont="1" applyFill="1" applyBorder="1" applyAlignment="1">
      <alignment horizontal="center" vertical="center" wrapText="1"/>
    </xf>
    <xf numFmtId="0" fontId="34" fillId="25" borderId="111" xfId="0" applyFont="1" applyFill="1" applyBorder="1" applyAlignment="1">
      <alignment horizontal="center" vertical="center" wrapText="1"/>
    </xf>
    <xf numFmtId="0" fontId="34" fillId="25" borderId="72" xfId="0" applyFont="1" applyFill="1" applyBorder="1" applyAlignment="1">
      <alignment horizontal="center" vertical="center" wrapText="1"/>
    </xf>
    <xf numFmtId="0" fontId="34" fillId="25" borderId="58" xfId="0" applyFont="1" applyFill="1" applyBorder="1" applyAlignment="1">
      <alignment horizontal="center" vertical="center" wrapText="1"/>
    </xf>
    <xf numFmtId="0" fontId="136" fillId="13" borderId="60" xfId="0" applyFont="1" applyFill="1" applyBorder="1" applyAlignment="1">
      <alignment horizontal="center" vertical="center"/>
    </xf>
    <xf numFmtId="0" fontId="53" fillId="13" borderId="60" xfId="0" applyFont="1" applyFill="1" applyBorder="1" applyAlignment="1">
      <alignment horizontal="center" vertical="center" wrapText="1"/>
    </xf>
    <xf numFmtId="0" fontId="53" fillId="13" borderId="57" xfId="0" applyFont="1" applyFill="1" applyBorder="1" applyAlignment="1">
      <alignment horizontal="center" vertical="center" wrapText="1"/>
    </xf>
    <xf numFmtId="0" fontId="0" fillId="13" borderId="0" xfId="0" applyFill="1" applyBorder="1" applyAlignment="1">
      <alignment horizontal="left" vertical="center" textRotation="90"/>
    </xf>
    <xf numFmtId="0" fontId="32" fillId="25" borderId="97" xfId="0" applyFont="1" applyFill="1" applyBorder="1" applyAlignment="1">
      <alignment horizontal="center" vertical="center"/>
    </xf>
    <xf numFmtId="0" fontId="32" fillId="25" borderId="156" xfId="0" applyFont="1" applyFill="1" applyBorder="1" applyAlignment="1">
      <alignment horizontal="center" vertical="center"/>
    </xf>
    <xf numFmtId="1" fontId="23" fillId="13" borderId="60" xfId="0" applyNumberFormat="1" applyFont="1" applyFill="1" applyBorder="1" applyAlignment="1">
      <alignment horizontal="center" vertical="center" wrapText="1"/>
    </xf>
    <xf numFmtId="1" fontId="23" fillId="13" borderId="57" xfId="0" applyNumberFormat="1" applyFont="1" applyFill="1" applyBorder="1" applyAlignment="1">
      <alignment horizontal="center" vertical="center" wrapText="1"/>
    </xf>
    <xf numFmtId="0" fontId="23" fillId="20" borderId="60" xfId="0" applyFont="1" applyFill="1" applyBorder="1" applyAlignment="1">
      <alignment horizontal="center" vertical="center" wrapText="1"/>
    </xf>
    <xf numFmtId="0" fontId="23" fillId="20" borderId="57" xfId="0" applyFont="1" applyFill="1" applyBorder="1" applyAlignment="1">
      <alignment horizontal="center" vertical="center" wrapText="1"/>
    </xf>
    <xf numFmtId="1" fontId="53" fillId="20" borderId="60" xfId="0" applyNumberFormat="1" applyFont="1" applyFill="1" applyBorder="1" applyAlignment="1">
      <alignment horizontal="center" vertical="center" wrapText="1"/>
    </xf>
    <xf numFmtId="1" fontId="53" fillId="20" borderId="57" xfId="0" applyNumberFormat="1" applyFont="1" applyFill="1" applyBorder="1" applyAlignment="1">
      <alignment horizontal="center" vertical="center" wrapText="1"/>
    </xf>
    <xf numFmtId="1" fontId="23" fillId="20" borderId="60" xfId="4018" applyNumberFormat="1" applyFont="1" applyFill="1" applyBorder="1" applyAlignment="1">
      <alignment horizontal="center" vertical="center" wrapText="1"/>
    </xf>
    <xf numFmtId="1" fontId="23" fillId="20" borderId="57" xfId="4018" applyNumberFormat="1" applyFont="1" applyFill="1" applyBorder="1" applyAlignment="1">
      <alignment horizontal="center" vertical="center" wrapText="1"/>
    </xf>
    <xf numFmtId="1" fontId="53" fillId="13" borderId="60" xfId="0" applyNumberFormat="1" applyFont="1" applyFill="1" applyBorder="1" applyAlignment="1">
      <alignment horizontal="center" vertical="center" wrapText="1"/>
    </xf>
    <xf numFmtId="1" fontId="53" fillId="13" borderId="57" xfId="0" applyNumberFormat="1" applyFont="1" applyFill="1" applyBorder="1" applyAlignment="1">
      <alignment horizontal="center" vertical="center" wrapText="1"/>
    </xf>
    <xf numFmtId="1" fontId="23" fillId="20" borderId="60" xfId="0" applyNumberFormat="1" applyFont="1" applyFill="1" applyBorder="1" applyAlignment="1">
      <alignment horizontal="center" vertical="center" wrapText="1"/>
    </xf>
    <xf numFmtId="1" fontId="23" fillId="20" borderId="57" xfId="0" applyNumberFormat="1" applyFont="1" applyFill="1" applyBorder="1" applyAlignment="1">
      <alignment horizontal="center" vertical="center" wrapText="1"/>
    </xf>
    <xf numFmtId="0" fontId="23" fillId="13" borderId="47" xfId="0" applyFont="1" applyFill="1" applyBorder="1" applyAlignment="1">
      <alignment horizontal="left" vertical="center" wrapText="1" indent="1"/>
    </xf>
    <xf numFmtId="0" fontId="23" fillId="13" borderId="51" xfId="0" applyFont="1" applyFill="1" applyBorder="1" applyAlignment="1">
      <alignment horizontal="left" vertical="center" wrapText="1" indent="1"/>
    </xf>
    <xf numFmtId="0" fontId="23" fillId="13" borderId="60" xfId="0" applyFont="1" applyFill="1" applyBorder="1" applyAlignment="1">
      <alignment horizontal="center" vertical="center" wrapText="1"/>
    </xf>
    <xf numFmtId="0" fontId="23" fillId="13" borderId="57" xfId="0" applyFont="1" applyFill="1" applyBorder="1" applyAlignment="1">
      <alignment horizontal="center" vertical="center" wrapText="1"/>
    </xf>
    <xf numFmtId="0" fontId="53" fillId="13" borderId="47" xfId="0" applyFont="1" applyFill="1" applyBorder="1" applyAlignment="1">
      <alignment horizontal="left" vertical="center" wrapText="1" indent="1"/>
    </xf>
    <xf numFmtId="0" fontId="53" fillId="13" borderId="51" xfId="0" applyFont="1" applyFill="1" applyBorder="1" applyAlignment="1">
      <alignment horizontal="left" vertical="center" wrapText="1" indent="1"/>
    </xf>
    <xf numFmtId="0" fontId="30" fillId="26" borderId="60" xfId="0" applyFont="1" applyFill="1" applyBorder="1" applyAlignment="1">
      <alignment horizontal="center" vertical="center" wrapText="1"/>
    </xf>
    <xf numFmtId="0" fontId="30" fillId="26" borderId="57" xfId="0" applyFont="1" applyFill="1" applyBorder="1" applyAlignment="1">
      <alignment horizontal="center" vertical="center" wrapText="1"/>
    </xf>
    <xf numFmtId="0" fontId="32" fillId="25" borderId="98" xfId="0" applyFont="1" applyFill="1" applyBorder="1" applyAlignment="1">
      <alignment horizontal="center" vertical="center"/>
    </xf>
    <xf numFmtId="0" fontId="30" fillId="26" borderId="46" xfId="0" applyFont="1" applyFill="1" applyBorder="1" applyAlignment="1">
      <alignment horizontal="center" vertical="center"/>
    </xf>
    <xf numFmtId="0" fontId="32" fillId="25" borderId="86" xfId="0" applyFont="1" applyFill="1" applyBorder="1" applyAlignment="1">
      <alignment horizontal="center" vertical="center"/>
    </xf>
    <xf numFmtId="0" fontId="49" fillId="26" borderId="89" xfId="0" applyFont="1" applyFill="1" applyBorder="1" applyAlignment="1">
      <alignment horizontal="left" vertical="center"/>
    </xf>
    <xf numFmtId="0" fontId="49" fillId="26" borderId="90" xfId="0" applyFont="1" applyFill="1" applyBorder="1" applyAlignment="1">
      <alignment horizontal="left" vertical="center"/>
    </xf>
    <xf numFmtId="168" fontId="0" fillId="13" borderId="89" xfId="0" applyNumberFormat="1" applyFill="1" applyBorder="1" applyAlignment="1">
      <alignment horizontal="center" vertical="center"/>
    </xf>
    <xf numFmtId="168" fontId="0" fillId="13" borderId="90" xfId="0" applyNumberFormat="1" applyFill="1" applyBorder="1" applyAlignment="1">
      <alignment horizontal="center" vertical="center"/>
    </xf>
    <xf numFmtId="0" fontId="30" fillId="26" borderId="60" xfId="0" applyFont="1" applyFill="1" applyBorder="1" applyAlignment="1">
      <alignment horizontal="center" vertical="center"/>
    </xf>
    <xf numFmtId="0" fontId="30" fillId="26" borderId="57" xfId="0" applyFont="1" applyFill="1" applyBorder="1" applyAlignment="1">
      <alignment horizontal="center" vertical="center"/>
    </xf>
    <xf numFmtId="0" fontId="0" fillId="13" borderId="0" xfId="0" applyFont="1" applyFill="1" applyBorder="1" applyAlignment="1">
      <alignment horizontal="left" vertical="center" textRotation="90" wrapText="1"/>
    </xf>
    <xf numFmtId="167" fontId="0" fillId="13" borderId="89" xfId="0" applyNumberFormat="1" applyFill="1" applyBorder="1" applyAlignment="1">
      <alignment horizontal="center" vertical="center"/>
    </xf>
    <xf numFmtId="167" fontId="0" fillId="13" borderId="90" xfId="0" applyNumberFormat="1" applyFill="1" applyBorder="1" applyAlignment="1">
      <alignment horizontal="center" vertical="center"/>
    </xf>
    <xf numFmtId="0" fontId="49" fillId="26" borderId="47" xfId="0" applyFont="1" applyFill="1" applyBorder="1" applyAlignment="1">
      <alignment horizontal="center" vertical="center"/>
    </xf>
    <xf numFmtId="0" fontId="49" fillId="26" borderId="49" xfId="0" applyFont="1" applyFill="1" applyBorder="1" applyAlignment="1">
      <alignment horizontal="center" vertical="center"/>
    </xf>
    <xf numFmtId="0" fontId="49" fillId="26" borderId="51" xfId="0" applyFont="1" applyFill="1" applyBorder="1" applyAlignment="1">
      <alignment horizontal="center" vertical="center"/>
    </xf>
    <xf numFmtId="0" fontId="49" fillId="26" borderId="53" xfId="0" applyFont="1" applyFill="1" applyBorder="1" applyAlignment="1">
      <alignment horizontal="center" vertical="center"/>
    </xf>
    <xf numFmtId="0" fontId="107" fillId="13" borderId="60" xfId="0" applyFont="1" applyFill="1" applyBorder="1" applyAlignment="1" applyProtection="1">
      <alignment horizontal="left" vertical="center"/>
    </xf>
    <xf numFmtId="0" fontId="107" fillId="13" borderId="57" xfId="0" applyFont="1" applyFill="1" applyBorder="1" applyAlignment="1" applyProtection="1">
      <alignment horizontal="left" vertical="center"/>
    </xf>
    <xf numFmtId="0" fontId="107" fillId="13" borderId="47" xfId="0" applyFont="1" applyFill="1" applyBorder="1" applyAlignment="1" applyProtection="1">
      <alignment horizontal="left" vertical="center"/>
    </xf>
    <xf numFmtId="0" fontId="107" fillId="13" borderId="49" xfId="0" applyFont="1" applyFill="1" applyBorder="1" applyAlignment="1" applyProtection="1">
      <alignment horizontal="left" vertical="center"/>
    </xf>
    <xf numFmtId="0" fontId="34" fillId="25" borderId="47" xfId="0" applyFont="1" applyFill="1" applyBorder="1" applyAlignment="1" applyProtection="1">
      <alignment horizontal="center" vertical="center"/>
    </xf>
    <xf numFmtId="0" fontId="34" fillId="25" borderId="48" xfId="0" applyFont="1" applyFill="1" applyBorder="1" applyAlignment="1" applyProtection="1">
      <alignment horizontal="center" vertical="center"/>
    </xf>
    <xf numFmtId="0" fontId="34" fillId="25" borderId="41" xfId="0" applyFont="1" applyFill="1" applyBorder="1" applyAlignment="1" applyProtection="1">
      <alignment horizontal="center" vertical="center"/>
    </xf>
    <xf numFmtId="0" fontId="34" fillId="25" borderId="0" xfId="0" applyFont="1" applyFill="1" applyBorder="1" applyAlignment="1" applyProtection="1">
      <alignment horizontal="center" vertical="center"/>
    </xf>
    <xf numFmtId="0" fontId="34" fillId="25" borderId="51" xfId="0" applyFont="1" applyFill="1" applyBorder="1" applyAlignment="1" applyProtection="1">
      <alignment horizontal="center" vertical="center"/>
    </xf>
    <xf numFmtId="0" fontId="34" fillId="25" borderId="52" xfId="0" applyFont="1" applyFill="1" applyBorder="1" applyAlignment="1" applyProtection="1">
      <alignment horizontal="center" vertical="center"/>
    </xf>
    <xf numFmtId="0" fontId="34" fillId="25" borderId="102" xfId="0" applyFont="1" applyFill="1" applyBorder="1" applyAlignment="1" applyProtection="1">
      <alignment horizontal="center" vertical="center"/>
    </xf>
    <xf numFmtId="0" fontId="34" fillId="25" borderId="83" xfId="0" applyFont="1" applyFill="1" applyBorder="1" applyAlignment="1" applyProtection="1">
      <alignment horizontal="center" vertical="center"/>
    </xf>
    <xf numFmtId="0" fontId="34" fillId="25" borderId="101" xfId="0" applyFont="1" applyFill="1" applyBorder="1" applyAlignment="1" applyProtection="1">
      <alignment horizontal="center" vertical="center"/>
    </xf>
    <xf numFmtId="0" fontId="34" fillId="25" borderId="83" xfId="0" applyFont="1" applyFill="1" applyBorder="1" applyAlignment="1" applyProtection="1">
      <alignment horizontal="center" vertical="center" wrapText="1"/>
    </xf>
    <xf numFmtId="0" fontId="34" fillId="25" borderId="26" xfId="0" applyFont="1" applyFill="1" applyBorder="1" applyAlignment="1" applyProtection="1">
      <alignment horizontal="center" vertical="center"/>
    </xf>
    <xf numFmtId="0" fontId="34" fillId="25" borderId="28" xfId="0" applyFont="1" applyFill="1" applyBorder="1" applyAlignment="1" applyProtection="1">
      <alignment horizontal="center" vertical="center"/>
    </xf>
    <xf numFmtId="0" fontId="34" fillId="25" borderId="160" xfId="0" applyFont="1" applyFill="1" applyBorder="1" applyAlignment="1" applyProtection="1">
      <alignment horizontal="center" vertical="center"/>
    </xf>
    <xf numFmtId="0" fontId="34" fillId="25" borderId="42" xfId="0" applyFont="1" applyFill="1" applyBorder="1" applyAlignment="1" applyProtection="1">
      <alignment horizontal="center" vertical="center"/>
    </xf>
    <xf numFmtId="0" fontId="34" fillId="25" borderId="43" xfId="0" applyFont="1" applyFill="1" applyBorder="1" applyAlignment="1" applyProtection="1">
      <alignment horizontal="center" vertical="center"/>
    </xf>
    <xf numFmtId="0" fontId="34" fillId="25" borderId="161" xfId="0" applyFont="1" applyFill="1" applyBorder="1" applyAlignment="1" applyProtection="1">
      <alignment horizontal="center" vertical="center"/>
    </xf>
    <xf numFmtId="0" fontId="34" fillId="25" borderId="27" xfId="0" applyFont="1" applyFill="1" applyBorder="1" applyAlignment="1" applyProtection="1">
      <alignment horizontal="center" vertical="center"/>
    </xf>
    <xf numFmtId="0" fontId="34" fillId="25" borderId="88" xfId="0" applyFont="1" applyFill="1" applyBorder="1" applyAlignment="1" applyProtection="1">
      <alignment horizontal="center" vertical="center"/>
    </xf>
    <xf numFmtId="0" fontId="135" fillId="13" borderId="0" xfId="0" applyFont="1" applyFill="1" applyAlignment="1" applyProtection="1">
      <alignment horizontal="left" vertical="center"/>
    </xf>
    <xf numFmtId="0" fontId="91" fillId="26" borderId="26" xfId="0" applyFont="1" applyFill="1" applyBorder="1" applyAlignment="1">
      <alignment horizontal="center" vertical="center"/>
    </xf>
    <xf numFmtId="0" fontId="91" fillId="26" borderId="28" xfId="0" applyFont="1" applyFill="1" applyBorder="1" applyAlignment="1">
      <alignment horizontal="center" vertical="center"/>
    </xf>
    <xf numFmtId="0" fontId="86" fillId="25" borderId="63" xfId="0" applyFont="1" applyFill="1" applyBorder="1" applyAlignment="1">
      <alignment horizontal="center" vertical="center"/>
    </xf>
    <xf numFmtId="0" fontId="86" fillId="25" borderId="26" xfId="0" applyFont="1" applyFill="1" applyBorder="1" applyAlignment="1">
      <alignment horizontal="center" vertical="center"/>
    </xf>
    <xf numFmtId="0" fontId="86" fillId="25" borderId="28" xfId="0" applyFont="1" applyFill="1" applyBorder="1" applyAlignment="1">
      <alignment horizontal="center" vertical="center"/>
    </xf>
    <xf numFmtId="0" fontId="34" fillId="25" borderId="47" xfId="0" applyFont="1" applyFill="1" applyBorder="1" applyAlignment="1" applyProtection="1">
      <alignment horizontal="center" vertical="center" wrapText="1"/>
    </xf>
    <xf numFmtId="0" fontId="34" fillId="25" borderId="54" xfId="0" applyFont="1" applyFill="1" applyBorder="1" applyAlignment="1" applyProtection="1">
      <alignment horizontal="center" vertical="center" wrapText="1"/>
    </xf>
    <xf numFmtId="0" fontId="34" fillId="25" borderId="55" xfId="0" applyFont="1" applyFill="1" applyBorder="1" applyAlignment="1" applyProtection="1">
      <alignment horizontal="center" vertical="center" wrapText="1"/>
    </xf>
    <xf numFmtId="0" fontId="34" fillId="25" borderId="30" xfId="0" applyFont="1" applyFill="1" applyBorder="1" applyAlignment="1" applyProtection="1">
      <alignment horizontal="center" vertical="center" wrapText="1"/>
    </xf>
    <xf numFmtId="0" fontId="34" fillId="25" borderId="160" xfId="0" applyFont="1" applyFill="1" applyBorder="1" applyAlignment="1" applyProtection="1">
      <alignment horizontal="center" vertical="center" wrapText="1"/>
    </xf>
    <xf numFmtId="0" fontId="34" fillId="25" borderId="42" xfId="0" applyFont="1" applyFill="1" applyBorder="1" applyAlignment="1" applyProtection="1">
      <alignment horizontal="center" vertical="center" wrapText="1"/>
    </xf>
    <xf numFmtId="0" fontId="34" fillId="25" borderId="161" xfId="0" applyFont="1" applyFill="1" applyBorder="1" applyAlignment="1" applyProtection="1">
      <alignment horizontal="center" vertical="center" wrapText="1"/>
    </xf>
    <xf numFmtId="0" fontId="86" fillId="16" borderId="32" xfId="0" applyFont="1" applyFill="1" applyBorder="1" applyAlignment="1">
      <alignment horizontal="center" vertical="center"/>
    </xf>
    <xf numFmtId="0" fontId="91" fillId="26" borderId="63" xfId="0" applyFont="1" applyFill="1" applyBorder="1" applyAlignment="1">
      <alignment horizontal="center" vertical="center"/>
    </xf>
    <xf numFmtId="0" fontId="24" fillId="14" borderId="26" xfId="0" applyFont="1" applyFill="1" applyBorder="1" applyAlignment="1" applyProtection="1">
      <alignment horizontal="center" vertical="center"/>
      <protection locked="0"/>
    </xf>
    <xf numFmtId="0" fontId="24" fillId="14" borderId="27" xfId="0" applyFont="1" applyFill="1" applyBorder="1" applyAlignment="1" applyProtection="1">
      <alignment horizontal="center" vertical="center"/>
      <protection locked="0"/>
    </xf>
    <xf numFmtId="0" fontId="24" fillId="14" borderId="28" xfId="0" applyFont="1" applyFill="1" applyBorder="1" applyAlignment="1" applyProtection="1">
      <alignment horizontal="center" vertical="center"/>
      <protection locked="0"/>
    </xf>
    <xf numFmtId="0" fontId="24" fillId="14" borderId="37" xfId="0" applyFont="1" applyFill="1" applyBorder="1" applyAlignment="1" applyProtection="1">
      <alignment horizontal="center" vertical="center"/>
      <protection locked="0"/>
    </xf>
    <xf numFmtId="0" fontId="24" fillId="14" borderId="29" xfId="0" applyFont="1" applyFill="1" applyBorder="1" applyAlignment="1" applyProtection="1">
      <alignment horizontal="center" vertical="center"/>
      <protection locked="0"/>
    </xf>
    <xf numFmtId="0" fontId="19" fillId="16" borderId="26" xfId="0" applyFont="1" applyFill="1" applyBorder="1" applyAlignment="1" applyProtection="1">
      <alignment horizontal="center" vertical="center" wrapText="1"/>
      <protection locked="0"/>
    </xf>
    <xf numFmtId="0" fontId="19" fillId="16" borderId="27" xfId="0" applyFont="1" applyFill="1" applyBorder="1" applyAlignment="1" applyProtection="1">
      <alignment horizontal="center" vertical="center" wrapText="1"/>
      <protection locked="0"/>
    </xf>
    <xf numFmtId="0" fontId="19" fillId="16" borderId="28" xfId="0" applyFont="1" applyFill="1" applyBorder="1" applyAlignment="1" applyProtection="1">
      <alignment horizontal="center" vertical="center" wrapText="1"/>
      <protection locked="0"/>
    </xf>
    <xf numFmtId="0" fontId="150" fillId="13" borderId="60" xfId="0" applyFont="1" applyFill="1" applyBorder="1" applyAlignment="1">
      <alignment horizontal="left" vertical="center" wrapText="1" indent="1"/>
    </xf>
    <xf numFmtId="0" fontId="150" fillId="13" borderId="61" xfId="0" applyFont="1" applyFill="1" applyBorder="1" applyAlignment="1">
      <alignment horizontal="left" vertical="center" wrapText="1" indent="1"/>
    </xf>
    <xf numFmtId="0" fontId="150" fillId="13" borderId="57" xfId="0" applyFont="1" applyFill="1" applyBorder="1" applyAlignment="1">
      <alignment horizontal="left" vertical="center" wrapText="1" indent="1"/>
    </xf>
    <xf numFmtId="0" fontId="150" fillId="26" borderId="60" xfId="0" applyFont="1" applyFill="1" applyBorder="1" applyAlignment="1">
      <alignment horizontal="left" indent="1"/>
    </xf>
    <xf numFmtId="0" fontId="150" fillId="26" borderId="61" xfId="0" applyFont="1" applyFill="1" applyBorder="1" applyAlignment="1">
      <alignment horizontal="left" indent="1"/>
    </xf>
    <xf numFmtId="0" fontId="150" fillId="26" borderId="57" xfId="0" applyFont="1" applyFill="1" applyBorder="1" applyAlignment="1">
      <alignment horizontal="left" indent="1"/>
    </xf>
    <xf numFmtId="0" fontId="150" fillId="13" borderId="60" xfId="0" applyFont="1" applyFill="1" applyBorder="1" applyAlignment="1">
      <alignment horizontal="left" vertical="center" indent="1"/>
    </xf>
    <xf numFmtId="0" fontId="150" fillId="13" borderId="61" xfId="0" applyFont="1" applyFill="1" applyBorder="1" applyAlignment="1">
      <alignment horizontal="left" indent="1"/>
    </xf>
    <xf numFmtId="0" fontId="150" fillId="13" borderId="57" xfId="0" applyFont="1" applyFill="1" applyBorder="1" applyAlignment="1">
      <alignment horizontal="left" indent="1"/>
    </xf>
    <xf numFmtId="0" fontId="0" fillId="32" borderId="0" xfId="0" applyFill="1" applyBorder="1" applyAlignment="1">
      <alignment vertical="center"/>
    </xf>
    <xf numFmtId="0" fontId="0" fillId="32" borderId="0" xfId="0" applyFont="1" applyFill="1" applyAlignment="1">
      <alignment horizontal="center"/>
    </xf>
    <xf numFmtId="0" fontId="0" fillId="32" borderId="0" xfId="0" applyFill="1" applyAlignment="1">
      <alignment horizontal="center"/>
    </xf>
    <xf numFmtId="0" fontId="104" fillId="13" borderId="0" xfId="0" applyFont="1" applyFill="1" applyAlignment="1" applyProtection="1">
      <alignment horizontal="center" vertical="center"/>
    </xf>
  </cellXfs>
  <cellStyles count="4123">
    <cellStyle name="Accent4" xfId="4079" builtinId="41"/>
    <cellStyle name="Comma" xfId="4078" builtinId="3"/>
    <cellStyle name="Comma 2" xfId="3140"/>
    <cellStyle name="Comma 3" xfId="3167"/>
    <cellStyle name="Comma 3 2" xfId="4021"/>
    <cellStyle name="Comma 4" xfId="401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2" builtinId="9" hidden="1"/>
    <cellStyle name="Followed Hyperlink" xfId="974" builtinId="9" hidden="1"/>
    <cellStyle name="Followed Hyperlink" xfId="976" builtinId="9" hidden="1"/>
    <cellStyle name="Followed Hyperlink" xfId="978" builtinId="9" hidden="1"/>
    <cellStyle name="Followed Hyperlink" xfId="980" builtinId="9" hidden="1"/>
    <cellStyle name="Followed Hyperlink" xfId="982" builtinId="9" hidden="1"/>
    <cellStyle name="Followed Hyperlink" xfId="984" builtinId="9" hidden="1"/>
    <cellStyle name="Followed Hyperlink" xfId="986" builtinId="9" hidden="1"/>
    <cellStyle name="Followed Hyperlink" xfId="988" builtinId="9" hidden="1"/>
    <cellStyle name="Followed Hyperlink" xfId="990" builtinId="9" hidden="1"/>
    <cellStyle name="Followed Hyperlink" xfId="992" builtinId="9" hidden="1"/>
    <cellStyle name="Followed Hyperlink" xfId="994" builtinId="9" hidden="1"/>
    <cellStyle name="Followed Hyperlink" xfId="996" builtinId="9" hidden="1"/>
    <cellStyle name="Followed Hyperlink" xfId="998" builtinId="9" hidden="1"/>
    <cellStyle name="Followed Hyperlink" xfId="1000" builtinId="9" hidden="1"/>
    <cellStyle name="Followed Hyperlink" xfId="1002" builtinId="9" hidden="1"/>
    <cellStyle name="Followed Hyperlink" xfId="1004" builtinId="9" hidden="1"/>
    <cellStyle name="Followed Hyperlink" xfId="1006" builtinId="9" hidden="1"/>
    <cellStyle name="Followed Hyperlink" xfId="1008" builtinId="9" hidden="1"/>
    <cellStyle name="Followed Hyperlink" xfId="1010" builtinId="9" hidden="1"/>
    <cellStyle name="Followed Hyperlink" xfId="1012" builtinId="9" hidden="1"/>
    <cellStyle name="Followed Hyperlink" xfId="1014" builtinId="9" hidden="1"/>
    <cellStyle name="Followed Hyperlink" xfId="1016" builtinId="9" hidden="1"/>
    <cellStyle name="Followed Hyperlink" xfId="1018" builtinId="9" hidden="1"/>
    <cellStyle name="Followed Hyperlink" xfId="1020" builtinId="9" hidden="1"/>
    <cellStyle name="Followed Hyperlink" xfId="1022" builtinId="9" hidden="1"/>
    <cellStyle name="Followed Hyperlink" xfId="1024" builtinId="9" hidden="1"/>
    <cellStyle name="Followed Hyperlink" xfId="1026" builtinId="9" hidden="1"/>
    <cellStyle name="Followed Hyperlink" xfId="1028" builtinId="9" hidden="1"/>
    <cellStyle name="Followed Hyperlink" xfId="1030" builtinId="9" hidden="1"/>
    <cellStyle name="Followed Hyperlink" xfId="1032" builtinId="9" hidden="1"/>
    <cellStyle name="Followed Hyperlink" xfId="1034" builtinId="9" hidden="1"/>
    <cellStyle name="Followed Hyperlink" xfId="1036" builtinId="9" hidden="1"/>
    <cellStyle name="Followed Hyperlink" xfId="1038" builtinId="9" hidden="1"/>
    <cellStyle name="Followed Hyperlink" xfId="1040" builtinId="9" hidden="1"/>
    <cellStyle name="Followed Hyperlink" xfId="1042" builtinId="9" hidden="1"/>
    <cellStyle name="Followed Hyperlink" xfId="1044" builtinId="9" hidden="1"/>
    <cellStyle name="Followed Hyperlink" xfId="1046" builtinId="9" hidden="1"/>
    <cellStyle name="Followed Hyperlink" xfId="1048" builtinId="9" hidden="1"/>
    <cellStyle name="Followed Hyperlink" xfId="1050" builtinId="9" hidden="1"/>
    <cellStyle name="Followed Hyperlink" xfId="1052" builtinId="9" hidden="1"/>
    <cellStyle name="Followed Hyperlink" xfId="1054" builtinId="9" hidden="1"/>
    <cellStyle name="Followed Hyperlink" xfId="1056" builtinId="9" hidden="1"/>
    <cellStyle name="Followed Hyperlink" xfId="1058" builtinId="9" hidden="1"/>
    <cellStyle name="Followed Hyperlink" xfId="1060" builtinId="9" hidden="1"/>
    <cellStyle name="Followed Hyperlink" xfId="1062" builtinId="9" hidden="1"/>
    <cellStyle name="Followed Hyperlink" xfId="1064" builtinId="9" hidden="1"/>
    <cellStyle name="Followed Hyperlink" xfId="1066" builtinId="9" hidden="1"/>
    <cellStyle name="Followed Hyperlink" xfId="1068" builtinId="9" hidden="1"/>
    <cellStyle name="Followed Hyperlink" xfId="1070" builtinId="9" hidden="1"/>
    <cellStyle name="Followed Hyperlink" xfId="1072" builtinId="9" hidden="1"/>
    <cellStyle name="Followed Hyperlink" xfId="1074" builtinId="9" hidden="1"/>
    <cellStyle name="Followed Hyperlink" xfId="1076" builtinId="9" hidden="1"/>
    <cellStyle name="Followed Hyperlink" xfId="1078" builtinId="9" hidden="1"/>
    <cellStyle name="Followed Hyperlink" xfId="1080" builtinId="9" hidden="1"/>
    <cellStyle name="Followed Hyperlink" xfId="1082" builtinId="9" hidden="1"/>
    <cellStyle name="Followed Hyperlink" xfId="1084" builtinId="9" hidden="1"/>
    <cellStyle name="Followed Hyperlink" xfId="1086" builtinId="9" hidden="1"/>
    <cellStyle name="Followed Hyperlink" xfId="1088" builtinId="9" hidden="1"/>
    <cellStyle name="Followed Hyperlink" xfId="1090" builtinId="9" hidden="1"/>
    <cellStyle name="Followed Hyperlink" xfId="1092" builtinId="9" hidden="1"/>
    <cellStyle name="Followed Hyperlink" xfId="1094" builtinId="9" hidden="1"/>
    <cellStyle name="Followed Hyperlink" xfId="1096" builtinId="9" hidden="1"/>
    <cellStyle name="Followed Hyperlink" xfId="1098" builtinId="9" hidden="1"/>
    <cellStyle name="Followed Hyperlink" xfId="1100" builtinId="9" hidden="1"/>
    <cellStyle name="Followed Hyperlink" xfId="1102" builtinId="9" hidden="1"/>
    <cellStyle name="Followed Hyperlink" xfId="1104" builtinId="9" hidden="1"/>
    <cellStyle name="Followed Hyperlink" xfId="1106" builtinId="9" hidden="1"/>
    <cellStyle name="Followed Hyperlink" xfId="1108" builtinId="9" hidden="1"/>
    <cellStyle name="Followed Hyperlink" xfId="1110" builtinId="9" hidden="1"/>
    <cellStyle name="Followed Hyperlink" xfId="1112" builtinId="9" hidden="1"/>
    <cellStyle name="Followed Hyperlink" xfId="1114" builtinId="9" hidden="1"/>
    <cellStyle name="Followed Hyperlink" xfId="1116" builtinId="9" hidden="1"/>
    <cellStyle name="Followed Hyperlink" xfId="1118" builtinId="9" hidden="1"/>
    <cellStyle name="Followed Hyperlink" xfId="1120" builtinId="9" hidden="1"/>
    <cellStyle name="Followed Hyperlink" xfId="1122" builtinId="9" hidden="1"/>
    <cellStyle name="Followed Hyperlink" xfId="1124" builtinId="9" hidden="1"/>
    <cellStyle name="Followed Hyperlink" xfId="1126" builtinId="9" hidden="1"/>
    <cellStyle name="Followed Hyperlink" xfId="1128" builtinId="9" hidden="1"/>
    <cellStyle name="Followed Hyperlink" xfId="1130" builtinId="9" hidden="1"/>
    <cellStyle name="Followed Hyperlink" xfId="1132" builtinId="9" hidden="1"/>
    <cellStyle name="Followed Hyperlink" xfId="1134" builtinId="9" hidden="1"/>
    <cellStyle name="Followed Hyperlink" xfId="1136" builtinId="9" hidden="1"/>
    <cellStyle name="Followed Hyperlink" xfId="1138" builtinId="9" hidden="1"/>
    <cellStyle name="Followed Hyperlink" xfId="1140" builtinId="9" hidden="1"/>
    <cellStyle name="Followed Hyperlink" xfId="1142" builtinId="9" hidden="1"/>
    <cellStyle name="Followed Hyperlink" xfId="1144" builtinId="9" hidden="1"/>
    <cellStyle name="Followed Hyperlink" xfId="1146" builtinId="9" hidden="1"/>
    <cellStyle name="Followed Hyperlink" xfId="1148" builtinId="9" hidden="1"/>
    <cellStyle name="Followed Hyperlink" xfId="1150" builtinId="9" hidden="1"/>
    <cellStyle name="Followed Hyperlink" xfId="1152" builtinId="9" hidden="1"/>
    <cellStyle name="Followed Hyperlink" xfId="1154" builtinId="9" hidden="1"/>
    <cellStyle name="Followed Hyperlink" xfId="1156" builtinId="9" hidden="1"/>
    <cellStyle name="Followed Hyperlink" xfId="1158" builtinId="9" hidden="1"/>
    <cellStyle name="Followed Hyperlink" xfId="1160" builtinId="9" hidden="1"/>
    <cellStyle name="Followed Hyperlink" xfId="1162" builtinId="9" hidden="1"/>
    <cellStyle name="Followed Hyperlink" xfId="1164" builtinId="9" hidden="1"/>
    <cellStyle name="Followed Hyperlink" xfId="1166" builtinId="9" hidden="1"/>
    <cellStyle name="Followed Hyperlink" xfId="1168" builtinId="9" hidden="1"/>
    <cellStyle name="Followed Hyperlink" xfId="1170" builtinId="9" hidden="1"/>
    <cellStyle name="Followed Hyperlink" xfId="1172" builtinId="9" hidden="1"/>
    <cellStyle name="Followed Hyperlink" xfId="1174" builtinId="9" hidden="1"/>
    <cellStyle name="Followed Hyperlink" xfId="1176" builtinId="9" hidden="1"/>
    <cellStyle name="Followed Hyperlink" xfId="1178" builtinId="9" hidden="1"/>
    <cellStyle name="Followed Hyperlink" xfId="1180" builtinId="9" hidden="1"/>
    <cellStyle name="Followed Hyperlink" xfId="1182" builtinId="9" hidden="1"/>
    <cellStyle name="Followed Hyperlink" xfId="1184" builtinId="9" hidden="1"/>
    <cellStyle name="Followed Hyperlink" xfId="1186" builtinId="9" hidden="1"/>
    <cellStyle name="Followed Hyperlink" xfId="1188" builtinId="9" hidden="1"/>
    <cellStyle name="Followed Hyperlink" xfId="1189" builtinId="9" hidden="1"/>
    <cellStyle name="Followed Hyperlink" xfId="1190" builtinId="9" hidden="1"/>
    <cellStyle name="Followed Hyperlink" xfId="1191" builtinId="9" hidden="1"/>
    <cellStyle name="Followed Hyperlink" xfId="1192" builtinId="9" hidden="1"/>
    <cellStyle name="Followed Hyperlink" xfId="1193" builtinId="9" hidden="1"/>
    <cellStyle name="Followed Hyperlink" xfId="1194" builtinId="9" hidden="1"/>
    <cellStyle name="Followed Hyperlink" xfId="1195" builtinId="9" hidden="1"/>
    <cellStyle name="Followed Hyperlink" xfId="1196" builtinId="9" hidden="1"/>
    <cellStyle name="Followed Hyperlink" xfId="1197" builtinId="9" hidden="1"/>
    <cellStyle name="Followed Hyperlink" xfId="1198" builtinId="9" hidden="1"/>
    <cellStyle name="Followed Hyperlink" xfId="1199" builtinId="9" hidden="1"/>
    <cellStyle name="Followed Hyperlink" xfId="1200" builtinId="9" hidden="1"/>
    <cellStyle name="Followed Hyperlink" xfId="1201" builtinId="9" hidden="1"/>
    <cellStyle name="Followed Hyperlink" xfId="1202" builtinId="9" hidden="1"/>
    <cellStyle name="Followed Hyperlink" xfId="1203" builtinId="9" hidden="1"/>
    <cellStyle name="Followed Hyperlink" xfId="1205" builtinId="9" hidden="1"/>
    <cellStyle name="Followed Hyperlink" xfId="1207" builtinId="9" hidden="1"/>
    <cellStyle name="Followed Hyperlink" xfId="1209" builtinId="9" hidden="1"/>
    <cellStyle name="Followed Hyperlink" xfId="1211" builtinId="9" hidden="1"/>
    <cellStyle name="Followed Hyperlink" xfId="1213" builtinId="9" hidden="1"/>
    <cellStyle name="Followed Hyperlink" xfId="1215" builtinId="9" hidden="1"/>
    <cellStyle name="Followed Hyperlink" xfId="1217" builtinId="9" hidden="1"/>
    <cellStyle name="Followed Hyperlink" xfId="1219" builtinId="9" hidden="1"/>
    <cellStyle name="Followed Hyperlink" xfId="1221" builtinId="9" hidden="1"/>
    <cellStyle name="Followed Hyperlink" xfId="1223" builtinId="9" hidden="1"/>
    <cellStyle name="Followed Hyperlink" xfId="1225" builtinId="9" hidden="1"/>
    <cellStyle name="Followed Hyperlink" xfId="1227" builtinId="9" hidden="1"/>
    <cellStyle name="Followed Hyperlink" xfId="1229" builtinId="9" hidden="1"/>
    <cellStyle name="Followed Hyperlink" xfId="1231" builtinId="9" hidden="1"/>
    <cellStyle name="Followed Hyperlink" xfId="1233" builtinId="9" hidden="1"/>
    <cellStyle name="Followed Hyperlink" xfId="1235" builtinId="9" hidden="1"/>
    <cellStyle name="Followed Hyperlink" xfId="1237" builtinId="9" hidden="1"/>
    <cellStyle name="Followed Hyperlink" xfId="1239" builtinId="9" hidden="1"/>
    <cellStyle name="Followed Hyperlink" xfId="1241" builtinId="9" hidden="1"/>
    <cellStyle name="Followed Hyperlink" xfId="1243" builtinId="9" hidden="1"/>
    <cellStyle name="Followed Hyperlink" xfId="1245" builtinId="9" hidden="1"/>
    <cellStyle name="Followed Hyperlink" xfId="1247" builtinId="9" hidden="1"/>
    <cellStyle name="Followed Hyperlink" xfId="1249" builtinId="9" hidden="1"/>
    <cellStyle name="Followed Hyperlink" xfId="1251" builtinId="9" hidden="1"/>
    <cellStyle name="Followed Hyperlink" xfId="1253" builtinId="9" hidden="1"/>
    <cellStyle name="Followed Hyperlink" xfId="1255" builtinId="9" hidden="1"/>
    <cellStyle name="Followed Hyperlink" xfId="1257" builtinId="9" hidden="1"/>
    <cellStyle name="Followed Hyperlink" xfId="1259" builtinId="9" hidden="1"/>
    <cellStyle name="Followed Hyperlink" xfId="1261" builtinId="9" hidden="1"/>
    <cellStyle name="Followed Hyperlink" xfId="1263" builtinId="9" hidden="1"/>
    <cellStyle name="Followed Hyperlink" xfId="1265" builtinId="9" hidden="1"/>
    <cellStyle name="Followed Hyperlink" xfId="1267" builtinId="9" hidden="1"/>
    <cellStyle name="Followed Hyperlink" xfId="1269" builtinId="9" hidden="1"/>
    <cellStyle name="Followed Hyperlink" xfId="1271" builtinId="9" hidden="1"/>
    <cellStyle name="Followed Hyperlink" xfId="1273" builtinId="9" hidden="1"/>
    <cellStyle name="Followed Hyperlink" xfId="1275" builtinId="9" hidden="1"/>
    <cellStyle name="Followed Hyperlink" xfId="1277" builtinId="9" hidden="1"/>
    <cellStyle name="Followed Hyperlink" xfId="1279" builtinId="9" hidden="1"/>
    <cellStyle name="Followed Hyperlink" xfId="1281" builtinId="9" hidden="1"/>
    <cellStyle name="Followed Hyperlink" xfId="1283" builtinId="9" hidden="1"/>
    <cellStyle name="Followed Hyperlink" xfId="1285" builtinId="9" hidden="1"/>
    <cellStyle name="Followed Hyperlink" xfId="1287" builtinId="9" hidden="1"/>
    <cellStyle name="Followed Hyperlink" xfId="1289" builtinId="9" hidden="1"/>
    <cellStyle name="Followed Hyperlink" xfId="1291" builtinId="9" hidden="1"/>
    <cellStyle name="Followed Hyperlink" xfId="1293" builtinId="9" hidden="1"/>
    <cellStyle name="Followed Hyperlink" xfId="1295" builtinId="9" hidden="1"/>
    <cellStyle name="Followed Hyperlink" xfId="1297" builtinId="9" hidden="1"/>
    <cellStyle name="Followed Hyperlink" xfId="1299" builtinId="9" hidden="1"/>
    <cellStyle name="Followed Hyperlink" xfId="1301" builtinId="9" hidden="1"/>
    <cellStyle name="Followed Hyperlink" xfId="1303" builtinId="9" hidden="1"/>
    <cellStyle name="Followed Hyperlink" xfId="1305" builtinId="9" hidden="1"/>
    <cellStyle name="Followed Hyperlink" xfId="1307" builtinId="9" hidden="1"/>
    <cellStyle name="Followed Hyperlink" xfId="1309" builtinId="9" hidden="1"/>
    <cellStyle name="Followed Hyperlink" xfId="1311" builtinId="9" hidden="1"/>
    <cellStyle name="Followed Hyperlink" xfId="1313" builtinId="9" hidden="1"/>
    <cellStyle name="Followed Hyperlink" xfId="1315" builtinId="9" hidden="1"/>
    <cellStyle name="Followed Hyperlink" xfId="1317" builtinId="9" hidden="1"/>
    <cellStyle name="Followed Hyperlink" xfId="1319" builtinId="9" hidden="1"/>
    <cellStyle name="Followed Hyperlink" xfId="1321" builtinId="9" hidden="1"/>
    <cellStyle name="Followed Hyperlink" xfId="1323" builtinId="9" hidden="1"/>
    <cellStyle name="Followed Hyperlink" xfId="1325" builtinId="9" hidden="1"/>
    <cellStyle name="Followed Hyperlink" xfId="1327" builtinId="9" hidden="1"/>
    <cellStyle name="Followed Hyperlink" xfId="1329" builtinId="9" hidden="1"/>
    <cellStyle name="Followed Hyperlink" xfId="1331" builtinId="9" hidden="1"/>
    <cellStyle name="Followed Hyperlink" xfId="1333" builtinId="9" hidden="1"/>
    <cellStyle name="Followed Hyperlink" xfId="1335" builtinId="9" hidden="1"/>
    <cellStyle name="Followed Hyperlink" xfId="1337" builtinId="9" hidden="1"/>
    <cellStyle name="Followed Hyperlink" xfId="1339" builtinId="9" hidden="1"/>
    <cellStyle name="Followed Hyperlink" xfId="1341" builtinId="9" hidden="1"/>
    <cellStyle name="Followed Hyperlink" xfId="1343" builtinId="9" hidden="1"/>
    <cellStyle name="Followed Hyperlink" xfId="1345" builtinId="9" hidden="1"/>
    <cellStyle name="Followed Hyperlink" xfId="1347" builtinId="9" hidden="1"/>
    <cellStyle name="Followed Hyperlink" xfId="1349" builtinId="9" hidden="1"/>
    <cellStyle name="Followed Hyperlink" xfId="1351" builtinId="9" hidden="1"/>
    <cellStyle name="Followed Hyperlink" xfId="1353" builtinId="9" hidden="1"/>
    <cellStyle name="Followed Hyperlink" xfId="1355" builtinId="9" hidden="1"/>
    <cellStyle name="Followed Hyperlink" xfId="1357" builtinId="9" hidden="1"/>
    <cellStyle name="Followed Hyperlink" xfId="1359" builtinId="9" hidden="1"/>
    <cellStyle name="Followed Hyperlink" xfId="1361" builtinId="9" hidden="1"/>
    <cellStyle name="Followed Hyperlink" xfId="1363" builtinId="9" hidden="1"/>
    <cellStyle name="Followed Hyperlink" xfId="1365" builtinId="9" hidden="1"/>
    <cellStyle name="Followed Hyperlink" xfId="1367" builtinId="9" hidden="1"/>
    <cellStyle name="Followed Hyperlink" xfId="1369" builtinId="9" hidden="1"/>
    <cellStyle name="Followed Hyperlink" xfId="1371" builtinId="9" hidden="1"/>
    <cellStyle name="Followed Hyperlink" xfId="1373" builtinId="9" hidden="1"/>
    <cellStyle name="Followed Hyperlink" xfId="1375" builtinId="9" hidden="1"/>
    <cellStyle name="Followed Hyperlink" xfId="1377" builtinId="9" hidden="1"/>
    <cellStyle name="Followed Hyperlink" xfId="1379" builtinId="9" hidden="1"/>
    <cellStyle name="Followed Hyperlink" xfId="1381" builtinId="9" hidden="1"/>
    <cellStyle name="Followed Hyperlink" xfId="1383" builtinId="9" hidden="1"/>
    <cellStyle name="Followed Hyperlink" xfId="1385" builtinId="9" hidden="1"/>
    <cellStyle name="Followed Hyperlink" xfId="1387" builtinId="9" hidden="1"/>
    <cellStyle name="Followed Hyperlink" xfId="1389" builtinId="9" hidden="1"/>
    <cellStyle name="Followed Hyperlink" xfId="1391" builtinId="9" hidden="1"/>
    <cellStyle name="Followed Hyperlink" xfId="1393" builtinId="9" hidden="1"/>
    <cellStyle name="Followed Hyperlink" xfId="1395" builtinId="9" hidden="1"/>
    <cellStyle name="Followed Hyperlink" xfId="1397" builtinId="9" hidden="1"/>
    <cellStyle name="Followed Hyperlink" xfId="1399" builtinId="9" hidden="1"/>
    <cellStyle name="Followed Hyperlink" xfId="1401" builtinId="9" hidden="1"/>
    <cellStyle name="Followed Hyperlink" xfId="1403" builtinId="9" hidden="1"/>
    <cellStyle name="Followed Hyperlink" xfId="1405" builtinId="9" hidden="1"/>
    <cellStyle name="Followed Hyperlink" xfId="1407" builtinId="9" hidden="1"/>
    <cellStyle name="Followed Hyperlink" xfId="1409" builtinId="9" hidden="1"/>
    <cellStyle name="Followed Hyperlink" xfId="1411" builtinId="9" hidden="1"/>
    <cellStyle name="Followed Hyperlink" xfId="1413" builtinId="9" hidden="1"/>
    <cellStyle name="Followed Hyperlink" xfId="1415" builtinId="9" hidden="1"/>
    <cellStyle name="Followed Hyperlink" xfId="1417" builtinId="9" hidden="1"/>
    <cellStyle name="Followed Hyperlink" xfId="1419" builtinId="9" hidden="1"/>
    <cellStyle name="Followed Hyperlink" xfId="1421" builtinId="9" hidden="1"/>
    <cellStyle name="Followed Hyperlink" xfId="1423" builtinId="9" hidden="1"/>
    <cellStyle name="Followed Hyperlink" xfId="1425" builtinId="9" hidden="1"/>
    <cellStyle name="Followed Hyperlink" xfId="1427" builtinId="9" hidden="1"/>
    <cellStyle name="Followed Hyperlink" xfId="1429" builtinId="9" hidden="1"/>
    <cellStyle name="Followed Hyperlink" xfId="1431" builtinId="9" hidden="1"/>
    <cellStyle name="Followed Hyperlink" xfId="1433" builtinId="9" hidden="1"/>
    <cellStyle name="Followed Hyperlink" xfId="1435" builtinId="9" hidden="1"/>
    <cellStyle name="Followed Hyperlink" xfId="1437" builtinId="9" hidden="1"/>
    <cellStyle name="Followed Hyperlink" xfId="1439" builtinId="9" hidden="1"/>
    <cellStyle name="Followed Hyperlink" xfId="1441" builtinId="9" hidden="1"/>
    <cellStyle name="Followed Hyperlink" xfId="1443" builtinId="9" hidden="1"/>
    <cellStyle name="Followed Hyperlink" xfId="1445" builtinId="9" hidden="1"/>
    <cellStyle name="Followed Hyperlink" xfId="1447" builtinId="9" hidden="1"/>
    <cellStyle name="Followed Hyperlink" xfId="1449" builtinId="9" hidden="1"/>
    <cellStyle name="Followed Hyperlink" xfId="1451" builtinId="9" hidden="1"/>
    <cellStyle name="Followed Hyperlink" xfId="1453" builtinId="9" hidden="1"/>
    <cellStyle name="Followed Hyperlink" xfId="1455" builtinId="9" hidden="1"/>
    <cellStyle name="Followed Hyperlink" xfId="1457" builtinId="9" hidden="1"/>
    <cellStyle name="Followed Hyperlink" xfId="1459" builtinId="9" hidden="1"/>
    <cellStyle name="Followed Hyperlink" xfId="1461" builtinId="9" hidden="1"/>
    <cellStyle name="Followed Hyperlink" xfId="1463" builtinId="9" hidden="1"/>
    <cellStyle name="Followed Hyperlink" xfId="1465" builtinId="9" hidden="1"/>
    <cellStyle name="Followed Hyperlink" xfId="1467" builtinId="9" hidden="1"/>
    <cellStyle name="Followed Hyperlink" xfId="1469" builtinId="9" hidden="1"/>
    <cellStyle name="Followed Hyperlink" xfId="1471" builtinId="9" hidden="1"/>
    <cellStyle name="Followed Hyperlink" xfId="1473" builtinId="9" hidden="1"/>
    <cellStyle name="Followed Hyperlink" xfId="1475" builtinId="9" hidden="1"/>
    <cellStyle name="Followed Hyperlink" xfId="1477" builtinId="9" hidden="1"/>
    <cellStyle name="Followed Hyperlink" xfId="1479" builtinId="9" hidden="1"/>
    <cellStyle name="Followed Hyperlink" xfId="1481" builtinId="9" hidden="1"/>
    <cellStyle name="Followed Hyperlink" xfId="1483" builtinId="9" hidden="1"/>
    <cellStyle name="Followed Hyperlink" xfId="1485" builtinId="9" hidden="1"/>
    <cellStyle name="Followed Hyperlink" xfId="1487" builtinId="9" hidden="1"/>
    <cellStyle name="Followed Hyperlink" xfId="1489" builtinId="9" hidden="1"/>
    <cellStyle name="Followed Hyperlink" xfId="1491" builtinId="9" hidden="1"/>
    <cellStyle name="Followed Hyperlink" xfId="1493" builtinId="9" hidden="1"/>
    <cellStyle name="Followed Hyperlink" xfId="1495" builtinId="9" hidden="1"/>
    <cellStyle name="Followed Hyperlink" xfId="1497" builtinId="9" hidden="1"/>
    <cellStyle name="Followed Hyperlink" xfId="1499" builtinId="9" hidden="1"/>
    <cellStyle name="Followed Hyperlink" xfId="1501" builtinId="9" hidden="1"/>
    <cellStyle name="Followed Hyperlink" xfId="1503" builtinId="9" hidden="1"/>
    <cellStyle name="Followed Hyperlink" xfId="1505" builtinId="9" hidden="1"/>
    <cellStyle name="Followed Hyperlink" xfId="1507" builtinId="9" hidden="1"/>
    <cellStyle name="Followed Hyperlink" xfId="1509" builtinId="9" hidden="1"/>
    <cellStyle name="Followed Hyperlink" xfId="1511" builtinId="9" hidden="1"/>
    <cellStyle name="Followed Hyperlink" xfId="1513" builtinId="9" hidden="1"/>
    <cellStyle name="Followed Hyperlink" xfId="1515" builtinId="9" hidden="1"/>
    <cellStyle name="Followed Hyperlink" xfId="1517" builtinId="9" hidden="1"/>
    <cellStyle name="Followed Hyperlink" xfId="1519" builtinId="9" hidden="1"/>
    <cellStyle name="Followed Hyperlink" xfId="1521" builtinId="9" hidden="1"/>
    <cellStyle name="Followed Hyperlink" xfId="1523" builtinId="9" hidden="1"/>
    <cellStyle name="Followed Hyperlink" xfId="1525" builtinId="9" hidden="1"/>
    <cellStyle name="Followed Hyperlink" xfId="1527" builtinId="9" hidden="1"/>
    <cellStyle name="Followed Hyperlink" xfId="1529" builtinId="9" hidden="1"/>
    <cellStyle name="Followed Hyperlink" xfId="1531" builtinId="9" hidden="1"/>
    <cellStyle name="Followed Hyperlink" xfId="1533" builtinId="9" hidden="1"/>
    <cellStyle name="Followed Hyperlink" xfId="1535" builtinId="9" hidden="1"/>
    <cellStyle name="Followed Hyperlink" xfId="1537" builtinId="9" hidden="1"/>
    <cellStyle name="Followed Hyperlink" xfId="1539" builtinId="9" hidden="1"/>
    <cellStyle name="Followed Hyperlink" xfId="1541" builtinId="9" hidden="1"/>
    <cellStyle name="Followed Hyperlink" xfId="1543" builtinId="9" hidden="1"/>
    <cellStyle name="Followed Hyperlink" xfId="1545" builtinId="9" hidden="1"/>
    <cellStyle name="Followed Hyperlink" xfId="1547" builtinId="9" hidden="1"/>
    <cellStyle name="Followed Hyperlink" xfId="1549" builtinId="9" hidden="1"/>
    <cellStyle name="Followed Hyperlink" xfId="1551" builtinId="9" hidden="1"/>
    <cellStyle name="Followed Hyperlink" xfId="1553" builtinId="9" hidden="1"/>
    <cellStyle name="Followed Hyperlink" xfId="1555" builtinId="9" hidden="1"/>
    <cellStyle name="Followed Hyperlink" xfId="1557" builtinId="9" hidden="1"/>
    <cellStyle name="Followed Hyperlink" xfId="1559" builtinId="9" hidden="1"/>
    <cellStyle name="Followed Hyperlink" xfId="1561" builtinId="9" hidden="1"/>
    <cellStyle name="Followed Hyperlink" xfId="1563" builtinId="9" hidden="1"/>
    <cellStyle name="Followed Hyperlink" xfId="1565" builtinId="9" hidden="1"/>
    <cellStyle name="Followed Hyperlink" xfId="1567" builtinId="9" hidden="1"/>
    <cellStyle name="Followed Hyperlink" xfId="1569" builtinId="9" hidden="1"/>
    <cellStyle name="Followed Hyperlink" xfId="1571" builtinId="9" hidden="1"/>
    <cellStyle name="Followed Hyperlink" xfId="1573" builtinId="9" hidden="1"/>
    <cellStyle name="Followed Hyperlink" xfId="1575" builtinId="9" hidden="1"/>
    <cellStyle name="Followed Hyperlink" xfId="1577" builtinId="9" hidden="1"/>
    <cellStyle name="Followed Hyperlink" xfId="1579" builtinId="9" hidden="1"/>
    <cellStyle name="Followed Hyperlink" xfId="1581" builtinId="9" hidden="1"/>
    <cellStyle name="Followed Hyperlink" xfId="1583" builtinId="9" hidden="1"/>
    <cellStyle name="Followed Hyperlink" xfId="1585" builtinId="9" hidden="1"/>
    <cellStyle name="Followed Hyperlink" xfId="1587" builtinId="9" hidden="1"/>
    <cellStyle name="Followed Hyperlink" xfId="1589" builtinId="9" hidden="1"/>
    <cellStyle name="Followed Hyperlink" xfId="1591" builtinId="9" hidden="1"/>
    <cellStyle name="Followed Hyperlink" xfId="1593" builtinId="9" hidden="1"/>
    <cellStyle name="Followed Hyperlink" xfId="1595" builtinId="9" hidden="1"/>
    <cellStyle name="Followed Hyperlink" xfId="1597" builtinId="9" hidden="1"/>
    <cellStyle name="Followed Hyperlink" xfId="1599" builtinId="9" hidden="1"/>
    <cellStyle name="Followed Hyperlink" xfId="1601" builtinId="9" hidden="1"/>
    <cellStyle name="Followed Hyperlink" xfId="1603" builtinId="9" hidden="1"/>
    <cellStyle name="Followed Hyperlink" xfId="1605" builtinId="9" hidden="1"/>
    <cellStyle name="Followed Hyperlink" xfId="1607" builtinId="9" hidden="1"/>
    <cellStyle name="Followed Hyperlink" xfId="1609" builtinId="9" hidden="1"/>
    <cellStyle name="Followed Hyperlink" xfId="1611" builtinId="9" hidden="1"/>
    <cellStyle name="Followed Hyperlink" xfId="1613" builtinId="9" hidden="1"/>
    <cellStyle name="Followed Hyperlink" xfId="1615" builtinId="9" hidden="1"/>
    <cellStyle name="Followed Hyperlink" xfId="1617" builtinId="9" hidden="1"/>
    <cellStyle name="Followed Hyperlink" xfId="1619" builtinId="9" hidden="1"/>
    <cellStyle name="Followed Hyperlink" xfId="1621" builtinId="9" hidden="1"/>
    <cellStyle name="Followed Hyperlink" xfId="1623" builtinId="9" hidden="1"/>
    <cellStyle name="Followed Hyperlink" xfId="1625" builtinId="9" hidden="1"/>
    <cellStyle name="Followed Hyperlink" xfId="1627" builtinId="9" hidden="1"/>
    <cellStyle name="Followed Hyperlink" xfId="1629" builtinId="9" hidden="1"/>
    <cellStyle name="Followed Hyperlink" xfId="1631" builtinId="9" hidden="1"/>
    <cellStyle name="Followed Hyperlink" xfId="1633" builtinId="9" hidden="1"/>
    <cellStyle name="Followed Hyperlink" xfId="1635" builtinId="9" hidden="1"/>
    <cellStyle name="Followed Hyperlink" xfId="1637" builtinId="9" hidden="1"/>
    <cellStyle name="Followed Hyperlink" xfId="1639" builtinId="9" hidden="1"/>
    <cellStyle name="Followed Hyperlink" xfId="1641" builtinId="9" hidden="1"/>
    <cellStyle name="Followed Hyperlink" xfId="1643" builtinId="9" hidden="1"/>
    <cellStyle name="Followed Hyperlink" xfId="1645" builtinId="9" hidden="1"/>
    <cellStyle name="Followed Hyperlink" xfId="1647" builtinId="9" hidden="1"/>
    <cellStyle name="Followed Hyperlink" xfId="1649" builtinId="9" hidden="1"/>
    <cellStyle name="Followed Hyperlink" xfId="1651" builtinId="9" hidden="1"/>
    <cellStyle name="Followed Hyperlink" xfId="1653" builtinId="9" hidden="1"/>
    <cellStyle name="Followed Hyperlink" xfId="1655" builtinId="9" hidden="1"/>
    <cellStyle name="Followed Hyperlink" xfId="1657" builtinId="9" hidden="1"/>
    <cellStyle name="Followed Hyperlink" xfId="1659" builtinId="9" hidden="1"/>
    <cellStyle name="Followed Hyperlink" xfId="1661" builtinId="9" hidden="1"/>
    <cellStyle name="Followed Hyperlink" xfId="1663" builtinId="9" hidden="1"/>
    <cellStyle name="Followed Hyperlink" xfId="1665" builtinId="9" hidden="1"/>
    <cellStyle name="Followed Hyperlink" xfId="1667" builtinId="9" hidden="1"/>
    <cellStyle name="Followed Hyperlink" xfId="1669" builtinId="9" hidden="1"/>
    <cellStyle name="Followed Hyperlink" xfId="1671" builtinId="9" hidden="1"/>
    <cellStyle name="Followed Hyperlink" xfId="1673" builtinId="9" hidden="1"/>
    <cellStyle name="Followed Hyperlink" xfId="1675" builtinId="9" hidden="1"/>
    <cellStyle name="Followed Hyperlink" xfId="1677" builtinId="9" hidden="1"/>
    <cellStyle name="Followed Hyperlink" xfId="1679" builtinId="9" hidden="1"/>
    <cellStyle name="Followed Hyperlink" xfId="1681" builtinId="9" hidden="1"/>
    <cellStyle name="Followed Hyperlink" xfId="1683" builtinId="9" hidden="1"/>
    <cellStyle name="Followed Hyperlink" xfId="1685" builtinId="9" hidden="1"/>
    <cellStyle name="Followed Hyperlink" xfId="1687" builtinId="9" hidden="1"/>
    <cellStyle name="Followed Hyperlink" xfId="1689" builtinId="9" hidden="1"/>
    <cellStyle name="Followed Hyperlink" xfId="1691" builtinId="9" hidden="1"/>
    <cellStyle name="Followed Hyperlink" xfId="1693" builtinId="9" hidden="1"/>
    <cellStyle name="Followed Hyperlink" xfId="1695" builtinId="9" hidden="1"/>
    <cellStyle name="Followed Hyperlink" xfId="1697" builtinId="9" hidden="1"/>
    <cellStyle name="Followed Hyperlink" xfId="1699" builtinId="9" hidden="1"/>
    <cellStyle name="Followed Hyperlink" xfId="1701" builtinId="9" hidden="1"/>
    <cellStyle name="Followed Hyperlink" xfId="1703" builtinId="9" hidden="1"/>
    <cellStyle name="Followed Hyperlink" xfId="1705" builtinId="9" hidden="1"/>
    <cellStyle name="Followed Hyperlink" xfId="1707" builtinId="9" hidden="1"/>
    <cellStyle name="Followed Hyperlink" xfId="1709" builtinId="9" hidden="1"/>
    <cellStyle name="Followed Hyperlink" xfId="1711" builtinId="9" hidden="1"/>
    <cellStyle name="Followed Hyperlink" xfId="1713" builtinId="9" hidden="1"/>
    <cellStyle name="Followed Hyperlink" xfId="1715" builtinId="9" hidden="1"/>
    <cellStyle name="Followed Hyperlink" xfId="1717" builtinId="9" hidden="1"/>
    <cellStyle name="Followed Hyperlink" xfId="1719" builtinId="9" hidden="1"/>
    <cellStyle name="Followed Hyperlink" xfId="1721" builtinId="9" hidden="1"/>
    <cellStyle name="Followed Hyperlink" xfId="1723" builtinId="9" hidden="1"/>
    <cellStyle name="Followed Hyperlink" xfId="1725" builtinId="9" hidden="1"/>
    <cellStyle name="Followed Hyperlink" xfId="1727" builtinId="9" hidden="1"/>
    <cellStyle name="Followed Hyperlink" xfId="1729" builtinId="9" hidden="1"/>
    <cellStyle name="Followed Hyperlink" xfId="1731" builtinId="9" hidden="1"/>
    <cellStyle name="Followed Hyperlink" xfId="1733" builtinId="9" hidden="1"/>
    <cellStyle name="Followed Hyperlink" xfId="1735" builtinId="9" hidden="1"/>
    <cellStyle name="Followed Hyperlink" xfId="1737" builtinId="9" hidden="1"/>
    <cellStyle name="Followed Hyperlink" xfId="1739" builtinId="9" hidden="1"/>
    <cellStyle name="Followed Hyperlink" xfId="1741" builtinId="9" hidden="1"/>
    <cellStyle name="Followed Hyperlink" xfId="1743" builtinId="9" hidden="1"/>
    <cellStyle name="Followed Hyperlink" xfId="1745" builtinId="9" hidden="1"/>
    <cellStyle name="Followed Hyperlink" xfId="1747" builtinId="9" hidden="1"/>
    <cellStyle name="Followed Hyperlink" xfId="1749" builtinId="9" hidden="1"/>
    <cellStyle name="Followed Hyperlink" xfId="1751" builtinId="9" hidden="1"/>
    <cellStyle name="Followed Hyperlink" xfId="1753" builtinId="9" hidden="1"/>
    <cellStyle name="Followed Hyperlink" xfId="1755" builtinId="9" hidden="1"/>
    <cellStyle name="Followed Hyperlink" xfId="1757" builtinId="9" hidden="1"/>
    <cellStyle name="Followed Hyperlink" xfId="1759" builtinId="9" hidden="1"/>
    <cellStyle name="Followed Hyperlink" xfId="1761" builtinId="9" hidden="1"/>
    <cellStyle name="Followed Hyperlink" xfId="1763" builtinId="9" hidden="1"/>
    <cellStyle name="Followed Hyperlink" xfId="1765" builtinId="9" hidden="1"/>
    <cellStyle name="Followed Hyperlink" xfId="1767" builtinId="9" hidden="1"/>
    <cellStyle name="Followed Hyperlink" xfId="1769" builtinId="9" hidden="1"/>
    <cellStyle name="Followed Hyperlink" xfId="1771" builtinId="9" hidden="1"/>
    <cellStyle name="Followed Hyperlink" xfId="1773" builtinId="9" hidden="1"/>
    <cellStyle name="Followed Hyperlink" xfId="1775" builtinId="9" hidden="1"/>
    <cellStyle name="Followed Hyperlink" xfId="1777" builtinId="9" hidden="1"/>
    <cellStyle name="Followed Hyperlink" xfId="1779" builtinId="9" hidden="1"/>
    <cellStyle name="Followed Hyperlink" xfId="1781" builtinId="9" hidden="1"/>
    <cellStyle name="Followed Hyperlink" xfId="1783" builtinId="9" hidden="1"/>
    <cellStyle name="Followed Hyperlink" xfId="1785" builtinId="9" hidden="1"/>
    <cellStyle name="Followed Hyperlink" xfId="1787" builtinId="9" hidden="1"/>
    <cellStyle name="Followed Hyperlink" xfId="1789" builtinId="9" hidden="1"/>
    <cellStyle name="Followed Hyperlink" xfId="1791" builtinId="9" hidden="1"/>
    <cellStyle name="Followed Hyperlink" xfId="1793" builtinId="9" hidden="1"/>
    <cellStyle name="Followed Hyperlink" xfId="1795" builtinId="9" hidden="1"/>
    <cellStyle name="Followed Hyperlink" xfId="1797" builtinId="9" hidden="1"/>
    <cellStyle name="Followed Hyperlink" xfId="1799" builtinId="9" hidden="1"/>
    <cellStyle name="Followed Hyperlink" xfId="1801" builtinId="9" hidden="1"/>
    <cellStyle name="Followed Hyperlink" xfId="1803" builtinId="9" hidden="1"/>
    <cellStyle name="Followed Hyperlink" xfId="1805" builtinId="9" hidden="1"/>
    <cellStyle name="Followed Hyperlink" xfId="1807" builtinId="9" hidden="1"/>
    <cellStyle name="Followed Hyperlink" xfId="1809" builtinId="9" hidden="1"/>
    <cellStyle name="Followed Hyperlink" xfId="1811" builtinId="9" hidden="1"/>
    <cellStyle name="Followed Hyperlink" xfId="1813" builtinId="9" hidden="1"/>
    <cellStyle name="Followed Hyperlink" xfId="1815" builtinId="9" hidden="1"/>
    <cellStyle name="Followed Hyperlink" xfId="1817" builtinId="9" hidden="1"/>
    <cellStyle name="Followed Hyperlink" xfId="1819" builtinId="9" hidden="1"/>
    <cellStyle name="Followed Hyperlink" xfId="1821" builtinId="9" hidden="1"/>
    <cellStyle name="Followed Hyperlink" xfId="1823" builtinId="9" hidden="1"/>
    <cellStyle name="Followed Hyperlink" xfId="1825" builtinId="9" hidden="1"/>
    <cellStyle name="Followed Hyperlink" xfId="1827" builtinId="9" hidden="1"/>
    <cellStyle name="Followed Hyperlink" xfId="1829" builtinId="9" hidden="1"/>
    <cellStyle name="Followed Hyperlink" xfId="1831" builtinId="9" hidden="1"/>
    <cellStyle name="Followed Hyperlink" xfId="1833" builtinId="9" hidden="1"/>
    <cellStyle name="Followed Hyperlink" xfId="1835" builtinId="9" hidden="1"/>
    <cellStyle name="Followed Hyperlink" xfId="1837" builtinId="9" hidden="1"/>
    <cellStyle name="Followed Hyperlink" xfId="1839" builtinId="9" hidden="1"/>
    <cellStyle name="Followed Hyperlink" xfId="1841" builtinId="9" hidden="1"/>
    <cellStyle name="Followed Hyperlink" xfId="1843" builtinId="9" hidden="1"/>
    <cellStyle name="Followed Hyperlink" xfId="1844" builtinId="9" hidden="1"/>
    <cellStyle name="Followed Hyperlink" xfId="1845" builtinId="9" hidden="1"/>
    <cellStyle name="Followed Hyperlink" xfId="1846" builtinId="9" hidden="1"/>
    <cellStyle name="Followed Hyperlink" xfId="1847" builtinId="9" hidden="1"/>
    <cellStyle name="Followed Hyperlink" xfId="1848" builtinId="9" hidden="1"/>
    <cellStyle name="Followed Hyperlink" xfId="1849" builtinId="9" hidden="1"/>
    <cellStyle name="Followed Hyperlink" xfId="1850" builtinId="9" hidden="1"/>
    <cellStyle name="Followed Hyperlink" xfId="1851" builtinId="9" hidden="1"/>
    <cellStyle name="Followed Hyperlink" xfId="1852" builtinId="9" hidden="1"/>
    <cellStyle name="Followed Hyperlink" xfId="1853" builtinId="9" hidden="1"/>
    <cellStyle name="Followed Hyperlink" xfId="1854" builtinId="9" hidden="1"/>
    <cellStyle name="Followed Hyperlink" xfId="1855" builtinId="9" hidden="1"/>
    <cellStyle name="Followed Hyperlink" xfId="1856" builtinId="9" hidden="1"/>
    <cellStyle name="Followed Hyperlink" xfId="1857" builtinId="9" hidden="1"/>
    <cellStyle name="Followed Hyperlink" xfId="1858" builtinId="9" hidden="1"/>
    <cellStyle name="Followed Hyperlink" xfId="1859" builtinId="9" hidden="1"/>
    <cellStyle name="Followed Hyperlink" xfId="1860" builtinId="9" hidden="1"/>
    <cellStyle name="Followed Hyperlink" xfId="1861" builtinId="9" hidden="1"/>
    <cellStyle name="Followed Hyperlink" xfId="1862" builtinId="9" hidden="1"/>
    <cellStyle name="Followed Hyperlink" xfId="1863" builtinId="9" hidden="1"/>
    <cellStyle name="Followed Hyperlink" xfId="1864" builtinId="9" hidden="1"/>
    <cellStyle name="Followed Hyperlink" xfId="1865" builtinId="9" hidden="1"/>
    <cellStyle name="Followed Hyperlink" xfId="1866" builtinId="9" hidden="1"/>
    <cellStyle name="Followed Hyperlink" xfId="1867" builtinId="9" hidden="1"/>
    <cellStyle name="Followed Hyperlink" xfId="1868" builtinId="9" hidden="1"/>
    <cellStyle name="Followed Hyperlink" xfId="1869" builtinId="9" hidden="1"/>
    <cellStyle name="Followed Hyperlink" xfId="1870" builtinId="9" hidden="1"/>
    <cellStyle name="Followed Hyperlink" xfId="1871" builtinId="9" hidden="1"/>
    <cellStyle name="Followed Hyperlink" xfId="1872" builtinId="9" hidden="1"/>
    <cellStyle name="Followed Hyperlink" xfId="1873" builtinId="9" hidden="1"/>
    <cellStyle name="Followed Hyperlink" xfId="1874" builtinId="9" hidden="1"/>
    <cellStyle name="Followed Hyperlink" xfId="1875" builtinId="9" hidden="1"/>
    <cellStyle name="Followed Hyperlink" xfId="1876" builtinId="9" hidden="1"/>
    <cellStyle name="Followed Hyperlink" xfId="1877" builtinId="9" hidden="1"/>
    <cellStyle name="Followed Hyperlink" xfId="1878" builtinId="9" hidden="1"/>
    <cellStyle name="Followed Hyperlink" xfId="1879" builtinId="9" hidden="1"/>
    <cellStyle name="Followed Hyperlink" xfId="1880" builtinId="9" hidden="1"/>
    <cellStyle name="Followed Hyperlink" xfId="1881" builtinId="9" hidden="1"/>
    <cellStyle name="Followed Hyperlink" xfId="1882" builtinId="9" hidden="1"/>
    <cellStyle name="Followed Hyperlink" xfId="1883" builtinId="9" hidden="1"/>
    <cellStyle name="Followed Hyperlink" xfId="1884" builtinId="9" hidden="1"/>
    <cellStyle name="Followed Hyperlink" xfId="1885" builtinId="9" hidden="1"/>
    <cellStyle name="Followed Hyperlink" xfId="1886" builtinId="9" hidden="1"/>
    <cellStyle name="Followed Hyperlink" xfId="1887" builtinId="9" hidden="1"/>
    <cellStyle name="Followed Hyperlink" xfId="1888" builtinId="9" hidden="1"/>
    <cellStyle name="Followed Hyperlink" xfId="1889" builtinId="9" hidden="1"/>
    <cellStyle name="Followed Hyperlink" xfId="1890" builtinId="9" hidden="1"/>
    <cellStyle name="Followed Hyperlink" xfId="1891" builtinId="9" hidden="1"/>
    <cellStyle name="Followed Hyperlink" xfId="1892" builtinId="9" hidden="1"/>
    <cellStyle name="Followed Hyperlink" xfId="1893" builtinId="9" hidden="1"/>
    <cellStyle name="Followed Hyperlink" xfId="1894" builtinId="9" hidden="1"/>
    <cellStyle name="Followed Hyperlink" xfId="1895" builtinId="9" hidden="1"/>
    <cellStyle name="Followed Hyperlink" xfId="1896" builtinId="9" hidden="1"/>
    <cellStyle name="Followed Hyperlink" xfId="1897" builtinId="9" hidden="1"/>
    <cellStyle name="Followed Hyperlink" xfId="1898" builtinId="9" hidden="1"/>
    <cellStyle name="Followed Hyperlink" xfId="1899" builtinId="9" hidden="1"/>
    <cellStyle name="Followed Hyperlink" xfId="1900" builtinId="9" hidden="1"/>
    <cellStyle name="Followed Hyperlink" xfId="1901" builtinId="9" hidden="1"/>
    <cellStyle name="Followed Hyperlink" xfId="1902" builtinId="9" hidden="1"/>
    <cellStyle name="Followed Hyperlink" xfId="1903" builtinId="9" hidden="1"/>
    <cellStyle name="Followed Hyperlink" xfId="1904" builtinId="9" hidden="1"/>
    <cellStyle name="Followed Hyperlink" xfId="1905" builtinId="9" hidden="1"/>
    <cellStyle name="Followed Hyperlink" xfId="1906" builtinId="9" hidden="1"/>
    <cellStyle name="Followed Hyperlink" xfId="1907" builtinId="9" hidden="1"/>
    <cellStyle name="Followed Hyperlink" xfId="1908" builtinId="9" hidden="1"/>
    <cellStyle name="Followed Hyperlink" xfId="1909" builtinId="9" hidden="1"/>
    <cellStyle name="Followed Hyperlink" xfId="1910" builtinId="9" hidden="1"/>
    <cellStyle name="Followed Hyperlink" xfId="1911" builtinId="9" hidden="1"/>
    <cellStyle name="Followed Hyperlink" xfId="1912" builtinId="9" hidden="1"/>
    <cellStyle name="Followed Hyperlink" xfId="1913" builtinId="9" hidden="1"/>
    <cellStyle name="Followed Hyperlink" xfId="1914" builtinId="9" hidden="1"/>
    <cellStyle name="Followed Hyperlink" xfId="1915" builtinId="9" hidden="1"/>
    <cellStyle name="Followed Hyperlink" xfId="1916" builtinId="9" hidden="1"/>
    <cellStyle name="Followed Hyperlink" xfId="1917" builtinId="9" hidden="1"/>
    <cellStyle name="Followed Hyperlink" xfId="1918" builtinId="9" hidden="1"/>
    <cellStyle name="Followed Hyperlink" xfId="1919" builtinId="9" hidden="1"/>
    <cellStyle name="Followed Hyperlink" xfId="1920" builtinId="9" hidden="1"/>
    <cellStyle name="Followed Hyperlink" xfId="1921" builtinId="9" hidden="1"/>
    <cellStyle name="Followed Hyperlink" xfId="1922" builtinId="9" hidden="1"/>
    <cellStyle name="Followed Hyperlink" xfId="1923" builtinId="9" hidden="1"/>
    <cellStyle name="Followed Hyperlink" xfId="1924" builtinId="9" hidden="1"/>
    <cellStyle name="Followed Hyperlink" xfId="1925" builtinId="9" hidden="1"/>
    <cellStyle name="Followed Hyperlink" xfId="1926" builtinId="9" hidden="1"/>
    <cellStyle name="Followed Hyperlink" xfId="1927" builtinId="9" hidden="1"/>
    <cellStyle name="Followed Hyperlink" xfId="1928" builtinId="9" hidden="1"/>
    <cellStyle name="Followed Hyperlink" xfId="1929" builtinId="9" hidden="1"/>
    <cellStyle name="Followed Hyperlink" xfId="1930" builtinId="9" hidden="1"/>
    <cellStyle name="Followed Hyperlink" xfId="1931" builtinId="9" hidden="1"/>
    <cellStyle name="Followed Hyperlink" xfId="1932" builtinId="9" hidden="1"/>
    <cellStyle name="Followed Hyperlink" xfId="1933" builtinId="9" hidden="1"/>
    <cellStyle name="Followed Hyperlink" xfId="1934" builtinId="9" hidden="1"/>
    <cellStyle name="Followed Hyperlink" xfId="1935" builtinId="9" hidden="1"/>
    <cellStyle name="Followed Hyperlink" xfId="1936" builtinId="9" hidden="1"/>
    <cellStyle name="Followed Hyperlink" xfId="1937" builtinId="9" hidden="1"/>
    <cellStyle name="Followed Hyperlink" xfId="1938" builtinId="9" hidden="1"/>
    <cellStyle name="Followed Hyperlink" xfId="1939" builtinId="9" hidden="1"/>
    <cellStyle name="Followed Hyperlink" xfId="1940" builtinId="9" hidden="1"/>
    <cellStyle name="Followed Hyperlink" xfId="1941" builtinId="9" hidden="1"/>
    <cellStyle name="Followed Hyperlink" xfId="1942" builtinId="9" hidden="1"/>
    <cellStyle name="Followed Hyperlink" xfId="1943" builtinId="9" hidden="1"/>
    <cellStyle name="Followed Hyperlink" xfId="1944" builtinId="9" hidden="1"/>
    <cellStyle name="Followed Hyperlink" xfId="1945" builtinId="9" hidden="1"/>
    <cellStyle name="Followed Hyperlink" xfId="1946" builtinId="9" hidden="1"/>
    <cellStyle name="Followed Hyperlink" xfId="1947" builtinId="9" hidden="1"/>
    <cellStyle name="Followed Hyperlink" xfId="1948" builtinId="9" hidden="1"/>
    <cellStyle name="Followed Hyperlink" xfId="1949" builtinId="9" hidden="1"/>
    <cellStyle name="Followed Hyperlink" xfId="1950" builtinId="9" hidden="1"/>
    <cellStyle name="Followed Hyperlink" xfId="1951" builtinId="9" hidden="1"/>
    <cellStyle name="Followed Hyperlink" xfId="1952" builtinId="9" hidden="1"/>
    <cellStyle name="Followed Hyperlink" xfId="1953" builtinId="9" hidden="1"/>
    <cellStyle name="Followed Hyperlink" xfId="1954" builtinId="9" hidden="1"/>
    <cellStyle name="Followed Hyperlink" xfId="1955" builtinId="9" hidden="1"/>
    <cellStyle name="Followed Hyperlink" xfId="1956" builtinId="9" hidden="1"/>
    <cellStyle name="Followed Hyperlink" xfId="1957" builtinId="9" hidden="1"/>
    <cellStyle name="Followed Hyperlink" xfId="1958" builtinId="9" hidden="1"/>
    <cellStyle name="Followed Hyperlink" xfId="1959" builtinId="9" hidden="1"/>
    <cellStyle name="Followed Hyperlink" xfId="1960" builtinId="9" hidden="1"/>
    <cellStyle name="Followed Hyperlink" xfId="1961" builtinId="9" hidden="1"/>
    <cellStyle name="Followed Hyperlink" xfId="1962" builtinId="9" hidden="1"/>
    <cellStyle name="Followed Hyperlink" xfId="1963" builtinId="9" hidden="1"/>
    <cellStyle name="Followed Hyperlink" xfId="1964" builtinId="9" hidden="1"/>
    <cellStyle name="Followed Hyperlink" xfId="1965" builtinId="9" hidden="1"/>
    <cellStyle name="Followed Hyperlink" xfId="1966" builtinId="9" hidden="1"/>
    <cellStyle name="Followed Hyperlink" xfId="1967" builtinId="9" hidden="1"/>
    <cellStyle name="Followed Hyperlink" xfId="1968" builtinId="9" hidden="1"/>
    <cellStyle name="Followed Hyperlink" xfId="1969" builtinId="9" hidden="1"/>
    <cellStyle name="Followed Hyperlink" xfId="1970" builtinId="9" hidden="1"/>
    <cellStyle name="Followed Hyperlink" xfId="1971" builtinId="9" hidden="1"/>
    <cellStyle name="Followed Hyperlink" xfId="1972" builtinId="9" hidden="1"/>
    <cellStyle name="Followed Hyperlink" xfId="1973" builtinId="9" hidden="1"/>
    <cellStyle name="Followed Hyperlink" xfId="1974" builtinId="9" hidden="1"/>
    <cellStyle name="Followed Hyperlink" xfId="1975" builtinId="9" hidden="1"/>
    <cellStyle name="Followed Hyperlink" xfId="1976" builtinId="9" hidden="1"/>
    <cellStyle name="Followed Hyperlink" xfId="1977" builtinId="9" hidden="1"/>
    <cellStyle name="Followed Hyperlink" xfId="1978" builtinId="9" hidden="1"/>
    <cellStyle name="Followed Hyperlink" xfId="1979" builtinId="9" hidden="1"/>
    <cellStyle name="Followed Hyperlink" xfId="1980" builtinId="9" hidden="1"/>
    <cellStyle name="Followed Hyperlink" xfId="1981" builtinId="9" hidden="1"/>
    <cellStyle name="Followed Hyperlink" xfId="1982" builtinId="9" hidden="1"/>
    <cellStyle name="Followed Hyperlink" xfId="1983" builtinId="9" hidden="1"/>
    <cellStyle name="Followed Hyperlink" xfId="1984" builtinId="9" hidden="1"/>
    <cellStyle name="Followed Hyperlink" xfId="1985" builtinId="9" hidden="1"/>
    <cellStyle name="Followed Hyperlink" xfId="1986" builtinId="9" hidden="1"/>
    <cellStyle name="Followed Hyperlink" xfId="1987" builtinId="9" hidden="1"/>
    <cellStyle name="Followed Hyperlink" xfId="1988" builtinId="9" hidden="1"/>
    <cellStyle name="Followed Hyperlink" xfId="1989" builtinId="9" hidden="1"/>
    <cellStyle name="Followed Hyperlink" xfId="1990" builtinId="9" hidden="1"/>
    <cellStyle name="Followed Hyperlink" xfId="1991" builtinId="9" hidden="1"/>
    <cellStyle name="Followed Hyperlink" xfId="1992" builtinId="9" hidden="1"/>
    <cellStyle name="Followed Hyperlink" xfId="1993" builtinId="9" hidden="1"/>
    <cellStyle name="Followed Hyperlink" xfId="1994" builtinId="9" hidden="1"/>
    <cellStyle name="Followed Hyperlink" xfId="1995" builtinId="9" hidden="1"/>
    <cellStyle name="Followed Hyperlink" xfId="1996" builtinId="9" hidden="1"/>
    <cellStyle name="Followed Hyperlink" xfId="1997" builtinId="9" hidden="1"/>
    <cellStyle name="Followed Hyperlink" xfId="1998" builtinId="9" hidden="1"/>
    <cellStyle name="Followed Hyperlink" xfId="1999" builtinId="9" hidden="1"/>
    <cellStyle name="Followed Hyperlink" xfId="2000" builtinId="9" hidden="1"/>
    <cellStyle name="Followed Hyperlink" xfId="2001" builtinId="9" hidden="1"/>
    <cellStyle name="Followed Hyperlink" xfId="2002" builtinId="9" hidden="1"/>
    <cellStyle name="Followed Hyperlink" xfId="2003" builtinId="9" hidden="1"/>
    <cellStyle name="Followed Hyperlink" xfId="2004" builtinId="9" hidden="1"/>
    <cellStyle name="Followed Hyperlink" xfId="2005" builtinId="9" hidden="1"/>
    <cellStyle name="Followed Hyperlink" xfId="2006" builtinId="9" hidden="1"/>
    <cellStyle name="Followed Hyperlink" xfId="2007" builtinId="9" hidden="1"/>
    <cellStyle name="Followed Hyperlink" xfId="2008" builtinId="9" hidden="1"/>
    <cellStyle name="Followed Hyperlink" xfId="2009" builtinId="9" hidden="1"/>
    <cellStyle name="Followed Hyperlink" xfId="2010" builtinId="9" hidden="1"/>
    <cellStyle name="Followed Hyperlink" xfId="2011" builtinId="9" hidden="1"/>
    <cellStyle name="Followed Hyperlink" xfId="2012" builtinId="9" hidden="1"/>
    <cellStyle name="Followed Hyperlink" xfId="2013" builtinId="9" hidden="1"/>
    <cellStyle name="Followed Hyperlink" xfId="2014" builtinId="9" hidden="1"/>
    <cellStyle name="Followed Hyperlink" xfId="2015" builtinId="9" hidden="1"/>
    <cellStyle name="Followed Hyperlink" xfId="2016" builtinId="9" hidden="1"/>
    <cellStyle name="Followed Hyperlink" xfId="2017" builtinId="9" hidden="1"/>
    <cellStyle name="Followed Hyperlink" xfId="2018" builtinId="9" hidden="1"/>
    <cellStyle name="Followed Hyperlink" xfId="2019" builtinId="9" hidden="1"/>
    <cellStyle name="Followed Hyperlink" xfId="2020" builtinId="9" hidden="1"/>
    <cellStyle name="Followed Hyperlink" xfId="2021" builtinId="9" hidden="1"/>
    <cellStyle name="Followed Hyperlink" xfId="2022" builtinId="9" hidden="1"/>
    <cellStyle name="Followed Hyperlink" xfId="2023" builtinId="9" hidden="1"/>
    <cellStyle name="Followed Hyperlink" xfId="2024" builtinId="9" hidden="1"/>
    <cellStyle name="Followed Hyperlink" xfId="2025" builtinId="9" hidden="1"/>
    <cellStyle name="Followed Hyperlink" xfId="2026" builtinId="9" hidden="1"/>
    <cellStyle name="Followed Hyperlink" xfId="2027" builtinId="9" hidden="1"/>
    <cellStyle name="Followed Hyperlink" xfId="2028" builtinId="9" hidden="1"/>
    <cellStyle name="Followed Hyperlink" xfId="2029" builtinId="9" hidden="1"/>
    <cellStyle name="Followed Hyperlink" xfId="2030" builtinId="9" hidden="1"/>
    <cellStyle name="Followed Hyperlink" xfId="2031" builtinId="9" hidden="1"/>
    <cellStyle name="Followed Hyperlink" xfId="2032" builtinId="9" hidden="1"/>
    <cellStyle name="Followed Hyperlink" xfId="2033" builtinId="9" hidden="1"/>
    <cellStyle name="Followed Hyperlink" xfId="2034" builtinId="9" hidden="1"/>
    <cellStyle name="Followed Hyperlink" xfId="2035" builtinId="9" hidden="1"/>
    <cellStyle name="Followed Hyperlink" xfId="2036" builtinId="9" hidden="1"/>
    <cellStyle name="Followed Hyperlink" xfId="2037" builtinId="9" hidden="1"/>
    <cellStyle name="Followed Hyperlink" xfId="2038" builtinId="9" hidden="1"/>
    <cellStyle name="Followed Hyperlink" xfId="2039" builtinId="9" hidden="1"/>
    <cellStyle name="Followed Hyperlink" xfId="2040" builtinId="9" hidden="1"/>
    <cellStyle name="Followed Hyperlink" xfId="2041" builtinId="9" hidden="1"/>
    <cellStyle name="Followed Hyperlink" xfId="2042" builtinId="9" hidden="1"/>
    <cellStyle name="Followed Hyperlink" xfId="2043" builtinId="9" hidden="1"/>
    <cellStyle name="Followed Hyperlink" xfId="2044" builtinId="9" hidden="1"/>
    <cellStyle name="Followed Hyperlink" xfId="2045" builtinId="9" hidden="1"/>
    <cellStyle name="Followed Hyperlink" xfId="2046" builtinId="9" hidden="1"/>
    <cellStyle name="Followed Hyperlink" xfId="2047" builtinId="9" hidden="1"/>
    <cellStyle name="Followed Hyperlink" xfId="2048" builtinId="9" hidden="1"/>
    <cellStyle name="Followed Hyperlink" xfId="2049" builtinId="9" hidden="1"/>
    <cellStyle name="Followed Hyperlink" xfId="2050" builtinId="9" hidden="1"/>
    <cellStyle name="Followed Hyperlink" xfId="2051" builtinId="9" hidden="1"/>
    <cellStyle name="Followed Hyperlink" xfId="2052" builtinId="9" hidden="1"/>
    <cellStyle name="Followed Hyperlink" xfId="2053" builtinId="9" hidden="1"/>
    <cellStyle name="Followed Hyperlink" xfId="2054" builtinId="9" hidden="1"/>
    <cellStyle name="Followed Hyperlink" xfId="2055" builtinId="9" hidden="1"/>
    <cellStyle name="Followed Hyperlink" xfId="2056" builtinId="9" hidden="1"/>
    <cellStyle name="Followed Hyperlink" xfId="2057" builtinId="9" hidden="1"/>
    <cellStyle name="Followed Hyperlink" xfId="2058" builtinId="9" hidden="1"/>
    <cellStyle name="Followed Hyperlink" xfId="2059" builtinId="9" hidden="1"/>
    <cellStyle name="Followed Hyperlink" xfId="2060" builtinId="9" hidden="1"/>
    <cellStyle name="Followed Hyperlink" xfId="2061" builtinId="9" hidden="1"/>
    <cellStyle name="Followed Hyperlink" xfId="2062" builtinId="9" hidden="1"/>
    <cellStyle name="Followed Hyperlink" xfId="2063" builtinId="9" hidden="1"/>
    <cellStyle name="Followed Hyperlink" xfId="2064" builtinId="9" hidden="1"/>
    <cellStyle name="Followed Hyperlink" xfId="2065" builtinId="9" hidden="1"/>
    <cellStyle name="Followed Hyperlink" xfId="2066" builtinId="9" hidden="1"/>
    <cellStyle name="Followed Hyperlink" xfId="2067" builtinId="9" hidden="1"/>
    <cellStyle name="Followed Hyperlink" xfId="2068" builtinId="9" hidden="1"/>
    <cellStyle name="Followed Hyperlink" xfId="2069" builtinId="9" hidden="1"/>
    <cellStyle name="Followed Hyperlink" xfId="2070" builtinId="9" hidden="1"/>
    <cellStyle name="Followed Hyperlink" xfId="2071" builtinId="9" hidden="1"/>
    <cellStyle name="Followed Hyperlink" xfId="2072" builtinId="9" hidden="1"/>
    <cellStyle name="Followed Hyperlink" xfId="2073" builtinId="9" hidden="1"/>
    <cellStyle name="Followed Hyperlink" xfId="2074" builtinId="9" hidden="1"/>
    <cellStyle name="Followed Hyperlink" xfId="2075" builtinId="9" hidden="1"/>
    <cellStyle name="Followed Hyperlink" xfId="2076" builtinId="9" hidden="1"/>
    <cellStyle name="Followed Hyperlink" xfId="2077" builtinId="9" hidden="1"/>
    <cellStyle name="Followed Hyperlink" xfId="2078" builtinId="9" hidden="1"/>
    <cellStyle name="Followed Hyperlink" xfId="2079" builtinId="9" hidden="1"/>
    <cellStyle name="Followed Hyperlink" xfId="2080" builtinId="9" hidden="1"/>
    <cellStyle name="Followed Hyperlink" xfId="2081" builtinId="9" hidden="1"/>
    <cellStyle name="Followed Hyperlink" xfId="2082" builtinId="9" hidden="1"/>
    <cellStyle name="Followed Hyperlink" xfId="2083" builtinId="9" hidden="1"/>
    <cellStyle name="Followed Hyperlink" xfId="2084" builtinId="9" hidden="1"/>
    <cellStyle name="Followed Hyperlink" xfId="2085" builtinId="9" hidden="1"/>
    <cellStyle name="Followed Hyperlink" xfId="2086" builtinId="9" hidden="1"/>
    <cellStyle name="Followed Hyperlink" xfId="2087" builtinId="9" hidden="1"/>
    <cellStyle name="Followed Hyperlink" xfId="2088" builtinId="9" hidden="1"/>
    <cellStyle name="Followed Hyperlink" xfId="2089" builtinId="9" hidden="1"/>
    <cellStyle name="Followed Hyperlink" xfId="2090" builtinId="9" hidden="1"/>
    <cellStyle name="Followed Hyperlink" xfId="2091" builtinId="9" hidden="1"/>
    <cellStyle name="Followed Hyperlink" xfId="2092" builtinId="9" hidden="1"/>
    <cellStyle name="Followed Hyperlink" xfId="2093" builtinId="9" hidden="1"/>
    <cellStyle name="Followed Hyperlink" xfId="2094" builtinId="9" hidden="1"/>
    <cellStyle name="Followed Hyperlink" xfId="2095" builtinId="9" hidden="1"/>
    <cellStyle name="Followed Hyperlink" xfId="2096" builtinId="9" hidden="1"/>
    <cellStyle name="Followed Hyperlink" xfId="2097" builtinId="9" hidden="1"/>
    <cellStyle name="Followed Hyperlink" xfId="2098" builtinId="9" hidden="1"/>
    <cellStyle name="Followed Hyperlink" xfId="2099" builtinId="9" hidden="1"/>
    <cellStyle name="Followed Hyperlink" xfId="2100" builtinId="9" hidden="1"/>
    <cellStyle name="Followed Hyperlink" xfId="2101" builtinId="9" hidden="1"/>
    <cellStyle name="Followed Hyperlink" xfId="2102" builtinId="9" hidden="1"/>
    <cellStyle name="Followed Hyperlink" xfId="2103" builtinId="9" hidden="1"/>
    <cellStyle name="Followed Hyperlink" xfId="2104" builtinId="9" hidden="1"/>
    <cellStyle name="Followed Hyperlink" xfId="2105" builtinId="9" hidden="1"/>
    <cellStyle name="Followed Hyperlink" xfId="2106" builtinId="9" hidden="1"/>
    <cellStyle name="Followed Hyperlink" xfId="2107" builtinId="9" hidden="1"/>
    <cellStyle name="Followed Hyperlink" xfId="2108" builtinId="9" hidden="1"/>
    <cellStyle name="Followed Hyperlink" xfId="2109" builtinId="9" hidden="1"/>
    <cellStyle name="Followed Hyperlink" xfId="2110" builtinId="9" hidden="1"/>
    <cellStyle name="Followed Hyperlink" xfId="2111" builtinId="9" hidden="1"/>
    <cellStyle name="Followed Hyperlink" xfId="2112" builtinId="9" hidden="1"/>
    <cellStyle name="Followed Hyperlink" xfId="2113" builtinId="9" hidden="1"/>
    <cellStyle name="Followed Hyperlink" xfId="2114" builtinId="9" hidden="1"/>
    <cellStyle name="Followed Hyperlink" xfId="2115" builtinId="9" hidden="1"/>
    <cellStyle name="Followed Hyperlink" xfId="2116" builtinId="9" hidden="1"/>
    <cellStyle name="Followed Hyperlink" xfId="2117" builtinId="9" hidden="1"/>
    <cellStyle name="Followed Hyperlink" xfId="2118" builtinId="9" hidden="1"/>
    <cellStyle name="Followed Hyperlink" xfId="2119" builtinId="9" hidden="1"/>
    <cellStyle name="Followed Hyperlink" xfId="2120" builtinId="9" hidden="1"/>
    <cellStyle name="Followed Hyperlink" xfId="2121" builtinId="9" hidden="1"/>
    <cellStyle name="Followed Hyperlink" xfId="2122" builtinId="9" hidden="1"/>
    <cellStyle name="Followed Hyperlink" xfId="2123" builtinId="9" hidden="1"/>
    <cellStyle name="Followed Hyperlink" xfId="2124" builtinId="9" hidden="1"/>
    <cellStyle name="Followed Hyperlink" xfId="2125" builtinId="9" hidden="1"/>
    <cellStyle name="Followed Hyperlink" xfId="2126" builtinId="9" hidden="1"/>
    <cellStyle name="Followed Hyperlink" xfId="2127" builtinId="9" hidden="1"/>
    <cellStyle name="Followed Hyperlink" xfId="2128" builtinId="9" hidden="1"/>
    <cellStyle name="Followed Hyperlink" xfId="2129" builtinId="9" hidden="1"/>
    <cellStyle name="Followed Hyperlink" xfId="2130" builtinId="9" hidden="1"/>
    <cellStyle name="Followed Hyperlink" xfId="2131" builtinId="9" hidden="1"/>
    <cellStyle name="Followed Hyperlink" xfId="2132" builtinId="9" hidden="1"/>
    <cellStyle name="Followed Hyperlink" xfId="2133" builtinId="9" hidden="1"/>
    <cellStyle name="Followed Hyperlink" xfId="2134" builtinId="9" hidden="1"/>
    <cellStyle name="Followed Hyperlink" xfId="2135" builtinId="9" hidden="1"/>
    <cellStyle name="Followed Hyperlink" xfId="2136" builtinId="9" hidden="1"/>
    <cellStyle name="Followed Hyperlink" xfId="2137" builtinId="9" hidden="1"/>
    <cellStyle name="Followed Hyperlink" xfId="2138" builtinId="9" hidden="1"/>
    <cellStyle name="Followed Hyperlink" xfId="2139" builtinId="9" hidden="1"/>
    <cellStyle name="Followed Hyperlink" xfId="2140" builtinId="9" hidden="1"/>
    <cellStyle name="Followed Hyperlink" xfId="2141" builtinId="9" hidden="1"/>
    <cellStyle name="Followed Hyperlink" xfId="2142" builtinId="9" hidden="1"/>
    <cellStyle name="Followed Hyperlink" xfId="2143" builtinId="9" hidden="1"/>
    <cellStyle name="Followed Hyperlink" xfId="2144" builtinId="9" hidden="1"/>
    <cellStyle name="Followed Hyperlink" xfId="2145" builtinId="9" hidden="1"/>
    <cellStyle name="Followed Hyperlink" xfId="2146" builtinId="9" hidden="1"/>
    <cellStyle name="Followed Hyperlink" xfId="2147" builtinId="9" hidden="1"/>
    <cellStyle name="Followed Hyperlink" xfId="2148" builtinId="9" hidden="1"/>
    <cellStyle name="Followed Hyperlink" xfId="2149" builtinId="9" hidden="1"/>
    <cellStyle name="Followed Hyperlink" xfId="2150" builtinId="9" hidden="1"/>
    <cellStyle name="Followed Hyperlink" xfId="2151" builtinId="9" hidden="1"/>
    <cellStyle name="Followed Hyperlink" xfId="2152" builtinId="9" hidden="1"/>
    <cellStyle name="Followed Hyperlink" xfId="2153" builtinId="9" hidden="1"/>
    <cellStyle name="Followed Hyperlink" xfId="2154" builtinId="9" hidden="1"/>
    <cellStyle name="Followed Hyperlink" xfId="2155" builtinId="9" hidden="1"/>
    <cellStyle name="Followed Hyperlink" xfId="2156" builtinId="9" hidden="1"/>
    <cellStyle name="Followed Hyperlink" xfId="2157" builtinId="9" hidden="1"/>
    <cellStyle name="Followed Hyperlink" xfId="2158" builtinId="9" hidden="1"/>
    <cellStyle name="Followed Hyperlink" xfId="2159" builtinId="9" hidden="1"/>
    <cellStyle name="Followed Hyperlink" xfId="2160" builtinId="9" hidden="1"/>
    <cellStyle name="Followed Hyperlink" xfId="2161" builtinId="9" hidden="1"/>
    <cellStyle name="Followed Hyperlink" xfId="2162" builtinId="9" hidden="1"/>
    <cellStyle name="Followed Hyperlink" xfId="2163" builtinId="9" hidden="1"/>
    <cellStyle name="Followed Hyperlink" xfId="2164" builtinId="9" hidden="1"/>
    <cellStyle name="Followed Hyperlink" xfId="2165" builtinId="9" hidden="1"/>
    <cellStyle name="Followed Hyperlink" xfId="2166" builtinId="9" hidden="1"/>
    <cellStyle name="Followed Hyperlink" xfId="2167" builtinId="9" hidden="1"/>
    <cellStyle name="Followed Hyperlink" xfId="2168" builtinId="9" hidden="1"/>
    <cellStyle name="Followed Hyperlink" xfId="2169" builtinId="9" hidden="1"/>
    <cellStyle name="Followed Hyperlink" xfId="2170" builtinId="9" hidden="1"/>
    <cellStyle name="Followed Hyperlink" xfId="2171" builtinId="9" hidden="1"/>
    <cellStyle name="Followed Hyperlink" xfId="2172" builtinId="9" hidden="1"/>
    <cellStyle name="Followed Hyperlink" xfId="2173" builtinId="9" hidden="1"/>
    <cellStyle name="Followed Hyperlink" xfId="2174" builtinId="9" hidden="1"/>
    <cellStyle name="Followed Hyperlink" xfId="2175" builtinId="9" hidden="1"/>
    <cellStyle name="Followed Hyperlink" xfId="2176" builtinId="9" hidden="1"/>
    <cellStyle name="Followed Hyperlink" xfId="2177" builtinId="9" hidden="1"/>
    <cellStyle name="Followed Hyperlink" xfId="2178" builtinId="9" hidden="1"/>
    <cellStyle name="Followed Hyperlink" xfId="2179" builtinId="9" hidden="1"/>
    <cellStyle name="Followed Hyperlink" xfId="2180" builtinId="9" hidden="1"/>
    <cellStyle name="Followed Hyperlink" xfId="2181" builtinId="9" hidden="1"/>
    <cellStyle name="Followed Hyperlink" xfId="2182" builtinId="9" hidden="1"/>
    <cellStyle name="Followed Hyperlink" xfId="2183" builtinId="9" hidden="1"/>
    <cellStyle name="Followed Hyperlink" xfId="2184" builtinId="9" hidden="1"/>
    <cellStyle name="Followed Hyperlink" xfId="2185" builtinId="9" hidden="1"/>
    <cellStyle name="Followed Hyperlink" xfId="2186" builtinId="9" hidden="1"/>
    <cellStyle name="Followed Hyperlink" xfId="2187" builtinId="9" hidden="1"/>
    <cellStyle name="Followed Hyperlink" xfId="2188" builtinId="9" hidden="1"/>
    <cellStyle name="Followed Hyperlink" xfId="2189" builtinId="9" hidden="1"/>
    <cellStyle name="Followed Hyperlink" xfId="2190" builtinId="9" hidden="1"/>
    <cellStyle name="Followed Hyperlink" xfId="2191" builtinId="9" hidden="1"/>
    <cellStyle name="Followed Hyperlink" xfId="2192" builtinId="9" hidden="1"/>
    <cellStyle name="Followed Hyperlink" xfId="2193" builtinId="9" hidden="1"/>
    <cellStyle name="Followed Hyperlink" xfId="2194" builtinId="9" hidden="1"/>
    <cellStyle name="Followed Hyperlink" xfId="2195" builtinId="9" hidden="1"/>
    <cellStyle name="Followed Hyperlink" xfId="2196" builtinId="9" hidden="1"/>
    <cellStyle name="Followed Hyperlink" xfId="2197" builtinId="9" hidden="1"/>
    <cellStyle name="Followed Hyperlink" xfId="2198" builtinId="9" hidden="1"/>
    <cellStyle name="Followed Hyperlink" xfId="2199" builtinId="9" hidden="1"/>
    <cellStyle name="Followed Hyperlink" xfId="2200" builtinId="9" hidden="1"/>
    <cellStyle name="Followed Hyperlink" xfId="2201" builtinId="9" hidden="1"/>
    <cellStyle name="Followed Hyperlink" xfId="2202" builtinId="9" hidden="1"/>
    <cellStyle name="Followed Hyperlink" xfId="2203" builtinId="9" hidden="1"/>
    <cellStyle name="Followed Hyperlink" xfId="2204" builtinId="9" hidden="1"/>
    <cellStyle name="Followed Hyperlink" xfId="2205" builtinId="9" hidden="1"/>
    <cellStyle name="Followed Hyperlink" xfId="2206" builtinId="9" hidden="1"/>
    <cellStyle name="Followed Hyperlink" xfId="2207" builtinId="9" hidden="1"/>
    <cellStyle name="Followed Hyperlink" xfId="2208" builtinId="9" hidden="1"/>
    <cellStyle name="Followed Hyperlink" xfId="2209" builtinId="9" hidden="1"/>
    <cellStyle name="Followed Hyperlink" xfId="2210" builtinId="9" hidden="1"/>
    <cellStyle name="Followed Hyperlink" xfId="2211" builtinId="9" hidden="1"/>
    <cellStyle name="Followed Hyperlink" xfId="2212" builtinId="9" hidden="1"/>
    <cellStyle name="Followed Hyperlink" xfId="2213" builtinId="9" hidden="1"/>
    <cellStyle name="Followed Hyperlink" xfId="2214" builtinId="9" hidden="1"/>
    <cellStyle name="Followed Hyperlink" xfId="2215" builtinId="9" hidden="1"/>
    <cellStyle name="Followed Hyperlink" xfId="2216" builtinId="9" hidden="1"/>
    <cellStyle name="Followed Hyperlink" xfId="2217" builtinId="9" hidden="1"/>
    <cellStyle name="Followed Hyperlink" xfId="2218" builtinId="9" hidden="1"/>
    <cellStyle name="Followed Hyperlink" xfId="2219" builtinId="9" hidden="1"/>
    <cellStyle name="Followed Hyperlink" xfId="2220" builtinId="9" hidden="1"/>
    <cellStyle name="Followed Hyperlink" xfId="2221" builtinId="9" hidden="1"/>
    <cellStyle name="Followed Hyperlink" xfId="2222" builtinId="9" hidden="1"/>
    <cellStyle name="Followed Hyperlink" xfId="2223" builtinId="9" hidden="1"/>
    <cellStyle name="Followed Hyperlink" xfId="2224" builtinId="9" hidden="1"/>
    <cellStyle name="Followed Hyperlink" xfId="2225" builtinId="9" hidden="1"/>
    <cellStyle name="Followed Hyperlink" xfId="2226" builtinId="9" hidden="1"/>
    <cellStyle name="Followed Hyperlink" xfId="2227" builtinId="9" hidden="1"/>
    <cellStyle name="Followed Hyperlink" xfId="2228" builtinId="9" hidden="1"/>
    <cellStyle name="Followed Hyperlink" xfId="2229" builtinId="9" hidden="1"/>
    <cellStyle name="Followed Hyperlink" xfId="2230" builtinId="9" hidden="1"/>
    <cellStyle name="Followed Hyperlink" xfId="2231" builtinId="9" hidden="1"/>
    <cellStyle name="Followed Hyperlink" xfId="2232" builtinId="9" hidden="1"/>
    <cellStyle name="Followed Hyperlink" xfId="2233" builtinId="9" hidden="1"/>
    <cellStyle name="Followed Hyperlink" xfId="2234" builtinId="9" hidden="1"/>
    <cellStyle name="Followed Hyperlink" xfId="2235" builtinId="9" hidden="1"/>
    <cellStyle name="Followed Hyperlink" xfId="2236" builtinId="9" hidden="1"/>
    <cellStyle name="Followed Hyperlink" xfId="2237" builtinId="9" hidden="1"/>
    <cellStyle name="Followed Hyperlink" xfId="2238" builtinId="9" hidden="1"/>
    <cellStyle name="Followed Hyperlink" xfId="2239" builtinId="9" hidden="1"/>
    <cellStyle name="Followed Hyperlink" xfId="2240" builtinId="9" hidden="1"/>
    <cellStyle name="Followed Hyperlink" xfId="2241" builtinId="9" hidden="1"/>
    <cellStyle name="Followed Hyperlink" xfId="2242" builtinId="9" hidden="1"/>
    <cellStyle name="Followed Hyperlink" xfId="2243" builtinId="9" hidden="1"/>
    <cellStyle name="Followed Hyperlink" xfId="2244" builtinId="9" hidden="1"/>
    <cellStyle name="Followed Hyperlink" xfId="2245" builtinId="9" hidden="1"/>
    <cellStyle name="Followed Hyperlink" xfId="2246" builtinId="9" hidden="1"/>
    <cellStyle name="Followed Hyperlink" xfId="2247" builtinId="9" hidden="1"/>
    <cellStyle name="Followed Hyperlink" xfId="2248" builtinId="9" hidden="1"/>
    <cellStyle name="Followed Hyperlink" xfId="2249" builtinId="9" hidden="1"/>
    <cellStyle name="Followed Hyperlink" xfId="2250" builtinId="9" hidden="1"/>
    <cellStyle name="Followed Hyperlink" xfId="2251" builtinId="9" hidden="1"/>
    <cellStyle name="Followed Hyperlink" xfId="2252" builtinId="9" hidden="1"/>
    <cellStyle name="Followed Hyperlink" xfId="2253" builtinId="9" hidden="1"/>
    <cellStyle name="Followed Hyperlink" xfId="2254" builtinId="9" hidden="1"/>
    <cellStyle name="Followed Hyperlink" xfId="2255" builtinId="9" hidden="1"/>
    <cellStyle name="Followed Hyperlink" xfId="2256" builtinId="9" hidden="1"/>
    <cellStyle name="Followed Hyperlink" xfId="2257" builtinId="9" hidden="1"/>
    <cellStyle name="Followed Hyperlink" xfId="2258" builtinId="9" hidden="1"/>
    <cellStyle name="Followed Hyperlink" xfId="2259" builtinId="9" hidden="1"/>
    <cellStyle name="Followed Hyperlink" xfId="2260" builtinId="9" hidden="1"/>
    <cellStyle name="Followed Hyperlink" xfId="2261" builtinId="9" hidden="1"/>
    <cellStyle name="Followed Hyperlink" xfId="2262" builtinId="9" hidden="1"/>
    <cellStyle name="Followed Hyperlink" xfId="2263" builtinId="9" hidden="1"/>
    <cellStyle name="Followed Hyperlink" xfId="2264" builtinId="9" hidden="1"/>
    <cellStyle name="Followed Hyperlink" xfId="2265" builtinId="9" hidden="1"/>
    <cellStyle name="Followed Hyperlink" xfId="2266" builtinId="9" hidden="1"/>
    <cellStyle name="Followed Hyperlink" xfId="2267" builtinId="9" hidden="1"/>
    <cellStyle name="Followed Hyperlink" xfId="2268" builtinId="9" hidden="1"/>
    <cellStyle name="Followed Hyperlink" xfId="2269" builtinId="9" hidden="1"/>
    <cellStyle name="Followed Hyperlink" xfId="2270" builtinId="9" hidden="1"/>
    <cellStyle name="Followed Hyperlink" xfId="2271" builtinId="9" hidden="1"/>
    <cellStyle name="Followed Hyperlink" xfId="2272" builtinId="9" hidden="1"/>
    <cellStyle name="Followed Hyperlink" xfId="2273" builtinId="9" hidden="1"/>
    <cellStyle name="Followed Hyperlink" xfId="2274" builtinId="9" hidden="1"/>
    <cellStyle name="Followed Hyperlink" xfId="2275" builtinId="9" hidden="1"/>
    <cellStyle name="Followed Hyperlink" xfId="2276" builtinId="9" hidden="1"/>
    <cellStyle name="Followed Hyperlink" xfId="2277" builtinId="9" hidden="1"/>
    <cellStyle name="Followed Hyperlink" xfId="2278" builtinId="9" hidden="1"/>
    <cellStyle name="Followed Hyperlink" xfId="2279" builtinId="9" hidden="1"/>
    <cellStyle name="Followed Hyperlink" xfId="2280" builtinId="9" hidden="1"/>
    <cellStyle name="Followed Hyperlink" xfId="2281" builtinId="9" hidden="1"/>
    <cellStyle name="Followed Hyperlink" xfId="2282" builtinId="9" hidden="1"/>
    <cellStyle name="Followed Hyperlink" xfId="2283" builtinId="9" hidden="1"/>
    <cellStyle name="Followed Hyperlink" xfId="2284" builtinId="9" hidden="1"/>
    <cellStyle name="Followed Hyperlink" xfId="2285" builtinId="9" hidden="1"/>
    <cellStyle name="Followed Hyperlink" xfId="2286" builtinId="9" hidden="1"/>
    <cellStyle name="Followed Hyperlink" xfId="2287" builtinId="9" hidden="1"/>
    <cellStyle name="Followed Hyperlink" xfId="2288" builtinId="9" hidden="1"/>
    <cellStyle name="Followed Hyperlink" xfId="2289" builtinId="9" hidden="1"/>
    <cellStyle name="Followed Hyperlink" xfId="2290" builtinId="9" hidden="1"/>
    <cellStyle name="Followed Hyperlink" xfId="2291" builtinId="9" hidden="1"/>
    <cellStyle name="Followed Hyperlink" xfId="2292" builtinId="9" hidden="1"/>
    <cellStyle name="Followed Hyperlink" xfId="2293" builtinId="9" hidden="1"/>
    <cellStyle name="Followed Hyperlink" xfId="2294" builtinId="9" hidden="1"/>
    <cellStyle name="Followed Hyperlink" xfId="2295" builtinId="9" hidden="1"/>
    <cellStyle name="Followed Hyperlink" xfId="2296" builtinId="9" hidden="1"/>
    <cellStyle name="Followed Hyperlink" xfId="2297" builtinId="9" hidden="1"/>
    <cellStyle name="Followed Hyperlink" xfId="2298" builtinId="9" hidden="1"/>
    <cellStyle name="Followed Hyperlink" xfId="2299" builtinId="9" hidden="1"/>
    <cellStyle name="Followed Hyperlink" xfId="2300" builtinId="9" hidden="1"/>
    <cellStyle name="Followed Hyperlink" xfId="2301" builtinId="9" hidden="1"/>
    <cellStyle name="Followed Hyperlink" xfId="2302" builtinId="9" hidden="1"/>
    <cellStyle name="Followed Hyperlink" xfId="2303" builtinId="9" hidden="1"/>
    <cellStyle name="Followed Hyperlink" xfId="2304" builtinId="9" hidden="1"/>
    <cellStyle name="Followed Hyperlink" xfId="2305" builtinId="9" hidden="1"/>
    <cellStyle name="Followed Hyperlink" xfId="2306" builtinId="9" hidden="1"/>
    <cellStyle name="Followed Hyperlink" xfId="2307" builtinId="9" hidden="1"/>
    <cellStyle name="Followed Hyperlink" xfId="2308" builtinId="9" hidden="1"/>
    <cellStyle name="Followed Hyperlink" xfId="2309" builtinId="9" hidden="1"/>
    <cellStyle name="Followed Hyperlink" xfId="2310" builtinId="9" hidden="1"/>
    <cellStyle name="Followed Hyperlink" xfId="2311" builtinId="9" hidden="1"/>
    <cellStyle name="Followed Hyperlink" xfId="2312" builtinId="9" hidden="1"/>
    <cellStyle name="Followed Hyperlink" xfId="2313" builtinId="9" hidden="1"/>
    <cellStyle name="Followed Hyperlink" xfId="2314" builtinId="9" hidden="1"/>
    <cellStyle name="Followed Hyperlink" xfId="2315" builtinId="9" hidden="1"/>
    <cellStyle name="Followed Hyperlink" xfId="2316" builtinId="9" hidden="1"/>
    <cellStyle name="Followed Hyperlink" xfId="2317" builtinId="9" hidden="1"/>
    <cellStyle name="Followed Hyperlink" xfId="2318" builtinId="9" hidden="1"/>
    <cellStyle name="Followed Hyperlink" xfId="2319" builtinId="9" hidden="1"/>
    <cellStyle name="Followed Hyperlink" xfId="2320" builtinId="9" hidden="1"/>
    <cellStyle name="Followed Hyperlink" xfId="2321" builtinId="9" hidden="1"/>
    <cellStyle name="Followed Hyperlink" xfId="2322" builtinId="9" hidden="1"/>
    <cellStyle name="Followed Hyperlink" xfId="2323" builtinId="9" hidden="1"/>
    <cellStyle name="Followed Hyperlink" xfId="2324" builtinId="9" hidden="1"/>
    <cellStyle name="Followed Hyperlink" xfId="2325" builtinId="9" hidden="1"/>
    <cellStyle name="Followed Hyperlink" xfId="2326" builtinId="9" hidden="1"/>
    <cellStyle name="Followed Hyperlink" xfId="2327" builtinId="9" hidden="1"/>
    <cellStyle name="Followed Hyperlink" xfId="2328" builtinId="9" hidden="1"/>
    <cellStyle name="Followed Hyperlink" xfId="2329" builtinId="9" hidden="1"/>
    <cellStyle name="Followed Hyperlink" xfId="2330" builtinId="9" hidden="1"/>
    <cellStyle name="Followed Hyperlink" xfId="2331" builtinId="9" hidden="1"/>
    <cellStyle name="Followed Hyperlink" xfId="2332" builtinId="9" hidden="1"/>
    <cellStyle name="Followed Hyperlink" xfId="2333" builtinId="9" hidden="1"/>
    <cellStyle name="Followed Hyperlink" xfId="2334" builtinId="9" hidden="1"/>
    <cellStyle name="Followed Hyperlink" xfId="2335" builtinId="9" hidden="1"/>
    <cellStyle name="Followed Hyperlink" xfId="2336" builtinId="9" hidden="1"/>
    <cellStyle name="Followed Hyperlink" xfId="2337" builtinId="9" hidden="1"/>
    <cellStyle name="Followed Hyperlink" xfId="2338" builtinId="9" hidden="1"/>
    <cellStyle name="Followed Hyperlink" xfId="2339" builtinId="9" hidden="1"/>
    <cellStyle name="Followed Hyperlink" xfId="2340" builtinId="9" hidden="1"/>
    <cellStyle name="Followed Hyperlink" xfId="2341" builtinId="9" hidden="1"/>
    <cellStyle name="Followed Hyperlink" xfId="2342" builtinId="9" hidden="1"/>
    <cellStyle name="Followed Hyperlink" xfId="2343" builtinId="9" hidden="1"/>
    <cellStyle name="Followed Hyperlink" xfId="2344" builtinId="9" hidden="1"/>
    <cellStyle name="Followed Hyperlink" xfId="2345" builtinId="9" hidden="1"/>
    <cellStyle name="Followed Hyperlink" xfId="2346" builtinId="9" hidden="1"/>
    <cellStyle name="Followed Hyperlink" xfId="2347" builtinId="9" hidden="1"/>
    <cellStyle name="Followed Hyperlink" xfId="2348" builtinId="9" hidden="1"/>
    <cellStyle name="Followed Hyperlink" xfId="2349" builtinId="9" hidden="1"/>
    <cellStyle name="Followed Hyperlink" xfId="2350" builtinId="9" hidden="1"/>
    <cellStyle name="Followed Hyperlink" xfId="2351" builtinId="9" hidden="1"/>
    <cellStyle name="Followed Hyperlink" xfId="2352" builtinId="9" hidden="1"/>
    <cellStyle name="Followed Hyperlink" xfId="2353" builtinId="9" hidden="1"/>
    <cellStyle name="Followed Hyperlink" xfId="2354" builtinId="9" hidden="1"/>
    <cellStyle name="Followed Hyperlink" xfId="2355" builtinId="9" hidden="1"/>
    <cellStyle name="Followed Hyperlink" xfId="2356" builtinId="9" hidden="1"/>
    <cellStyle name="Followed Hyperlink" xfId="2357" builtinId="9" hidden="1"/>
    <cellStyle name="Followed Hyperlink" xfId="2358" builtinId="9" hidden="1"/>
    <cellStyle name="Followed Hyperlink" xfId="2359" builtinId="9" hidden="1"/>
    <cellStyle name="Followed Hyperlink" xfId="2360" builtinId="9" hidden="1"/>
    <cellStyle name="Followed Hyperlink" xfId="2361" builtinId="9" hidden="1"/>
    <cellStyle name="Followed Hyperlink" xfId="2362" builtinId="9" hidden="1"/>
    <cellStyle name="Followed Hyperlink" xfId="2363" builtinId="9" hidden="1"/>
    <cellStyle name="Followed Hyperlink" xfId="2364" builtinId="9" hidden="1"/>
    <cellStyle name="Followed Hyperlink" xfId="2365" builtinId="9" hidden="1"/>
    <cellStyle name="Followed Hyperlink" xfId="2366" builtinId="9" hidden="1"/>
    <cellStyle name="Followed Hyperlink" xfId="2367" builtinId="9" hidden="1"/>
    <cellStyle name="Followed Hyperlink" xfId="2368" builtinId="9" hidden="1"/>
    <cellStyle name="Followed Hyperlink" xfId="2369" builtinId="9" hidden="1"/>
    <cellStyle name="Followed Hyperlink" xfId="2370" builtinId="9" hidden="1"/>
    <cellStyle name="Followed Hyperlink" xfId="2371" builtinId="9" hidden="1"/>
    <cellStyle name="Followed Hyperlink" xfId="2372" builtinId="9" hidden="1"/>
    <cellStyle name="Followed Hyperlink" xfId="2373" builtinId="9" hidden="1"/>
    <cellStyle name="Followed Hyperlink" xfId="2374" builtinId="9" hidden="1"/>
    <cellStyle name="Followed Hyperlink" xfId="2375" builtinId="9" hidden="1"/>
    <cellStyle name="Followed Hyperlink" xfId="2376" builtinId="9" hidden="1"/>
    <cellStyle name="Followed Hyperlink" xfId="2377" builtinId="9" hidden="1"/>
    <cellStyle name="Followed Hyperlink" xfId="2378" builtinId="9" hidden="1"/>
    <cellStyle name="Followed Hyperlink" xfId="2379" builtinId="9" hidden="1"/>
    <cellStyle name="Followed Hyperlink" xfId="2380" builtinId="9" hidden="1"/>
    <cellStyle name="Followed Hyperlink" xfId="2381" builtinId="9" hidden="1"/>
    <cellStyle name="Followed Hyperlink" xfId="2382" builtinId="9" hidden="1"/>
    <cellStyle name="Followed Hyperlink" xfId="2383" builtinId="9" hidden="1"/>
    <cellStyle name="Followed Hyperlink" xfId="2384" builtinId="9" hidden="1"/>
    <cellStyle name="Followed Hyperlink" xfId="2385" builtinId="9" hidden="1"/>
    <cellStyle name="Followed Hyperlink" xfId="2386" builtinId="9" hidden="1"/>
    <cellStyle name="Followed Hyperlink" xfId="2387" builtinId="9" hidden="1"/>
    <cellStyle name="Followed Hyperlink" xfId="2388" builtinId="9" hidden="1"/>
    <cellStyle name="Followed Hyperlink" xfId="2389" builtinId="9" hidden="1"/>
    <cellStyle name="Followed Hyperlink" xfId="2390" builtinId="9" hidden="1"/>
    <cellStyle name="Followed Hyperlink" xfId="2391" builtinId="9" hidden="1"/>
    <cellStyle name="Followed Hyperlink" xfId="2392" builtinId="9" hidden="1"/>
    <cellStyle name="Followed Hyperlink" xfId="2393" builtinId="9" hidden="1"/>
    <cellStyle name="Followed Hyperlink" xfId="2394" builtinId="9" hidden="1"/>
    <cellStyle name="Followed Hyperlink" xfId="2395" builtinId="9" hidden="1"/>
    <cellStyle name="Followed Hyperlink" xfId="2396" builtinId="9" hidden="1"/>
    <cellStyle name="Followed Hyperlink" xfId="2397" builtinId="9" hidden="1"/>
    <cellStyle name="Followed Hyperlink" xfId="2398" builtinId="9" hidden="1"/>
    <cellStyle name="Followed Hyperlink" xfId="2399" builtinId="9" hidden="1"/>
    <cellStyle name="Followed Hyperlink" xfId="2400" builtinId="9" hidden="1"/>
    <cellStyle name="Followed Hyperlink" xfId="2401" builtinId="9" hidden="1"/>
    <cellStyle name="Followed Hyperlink" xfId="2402" builtinId="9" hidden="1"/>
    <cellStyle name="Followed Hyperlink" xfId="2403" builtinId="9" hidden="1"/>
    <cellStyle name="Followed Hyperlink" xfId="2404" builtinId="9" hidden="1"/>
    <cellStyle name="Followed Hyperlink" xfId="2405" builtinId="9" hidden="1"/>
    <cellStyle name="Followed Hyperlink" xfId="2406" builtinId="9" hidden="1"/>
    <cellStyle name="Followed Hyperlink" xfId="2407" builtinId="9" hidden="1"/>
    <cellStyle name="Followed Hyperlink" xfId="2408" builtinId="9" hidden="1"/>
    <cellStyle name="Followed Hyperlink" xfId="2409" builtinId="9" hidden="1"/>
    <cellStyle name="Followed Hyperlink" xfId="2410" builtinId="9" hidden="1"/>
    <cellStyle name="Followed Hyperlink" xfId="2411" builtinId="9" hidden="1"/>
    <cellStyle name="Followed Hyperlink" xfId="2412" builtinId="9" hidden="1"/>
    <cellStyle name="Followed Hyperlink" xfId="2413" builtinId="9" hidden="1"/>
    <cellStyle name="Followed Hyperlink" xfId="2414" builtinId="9" hidden="1"/>
    <cellStyle name="Followed Hyperlink" xfId="2415" builtinId="9" hidden="1"/>
    <cellStyle name="Followed Hyperlink" xfId="2416" builtinId="9" hidden="1"/>
    <cellStyle name="Followed Hyperlink" xfId="2417" builtinId="9" hidden="1"/>
    <cellStyle name="Followed Hyperlink" xfId="2418" builtinId="9" hidden="1"/>
    <cellStyle name="Followed Hyperlink" xfId="2419" builtinId="9" hidden="1"/>
    <cellStyle name="Followed Hyperlink" xfId="2420" builtinId="9" hidden="1"/>
    <cellStyle name="Followed Hyperlink" xfId="2421" builtinId="9" hidden="1"/>
    <cellStyle name="Followed Hyperlink" xfId="2422" builtinId="9" hidden="1"/>
    <cellStyle name="Followed Hyperlink" xfId="2423" builtinId="9" hidden="1"/>
    <cellStyle name="Followed Hyperlink" xfId="2424" builtinId="9" hidden="1"/>
    <cellStyle name="Followed Hyperlink" xfId="2425" builtinId="9" hidden="1"/>
    <cellStyle name="Followed Hyperlink" xfId="2426" builtinId="9" hidden="1"/>
    <cellStyle name="Followed Hyperlink" xfId="2427" builtinId="9" hidden="1"/>
    <cellStyle name="Followed Hyperlink" xfId="2428" builtinId="9" hidden="1"/>
    <cellStyle name="Followed Hyperlink" xfId="2429" builtinId="9" hidden="1"/>
    <cellStyle name="Followed Hyperlink" xfId="2430" builtinId="9" hidden="1"/>
    <cellStyle name="Followed Hyperlink" xfId="2431" builtinId="9" hidden="1"/>
    <cellStyle name="Followed Hyperlink" xfId="2432" builtinId="9" hidden="1"/>
    <cellStyle name="Followed Hyperlink" xfId="2433" builtinId="9" hidden="1"/>
    <cellStyle name="Followed Hyperlink" xfId="2434" builtinId="9" hidden="1"/>
    <cellStyle name="Followed Hyperlink" xfId="2435" builtinId="9" hidden="1"/>
    <cellStyle name="Followed Hyperlink" xfId="2436" builtinId="9" hidden="1"/>
    <cellStyle name="Followed Hyperlink" xfId="2437" builtinId="9" hidden="1"/>
    <cellStyle name="Followed Hyperlink" xfId="2438" builtinId="9" hidden="1"/>
    <cellStyle name="Followed Hyperlink" xfId="2439" builtinId="9" hidden="1"/>
    <cellStyle name="Followed Hyperlink" xfId="2440" builtinId="9" hidden="1"/>
    <cellStyle name="Followed Hyperlink" xfId="2441" builtinId="9" hidden="1"/>
    <cellStyle name="Followed Hyperlink" xfId="2442" builtinId="9" hidden="1"/>
    <cellStyle name="Followed Hyperlink" xfId="2443" builtinId="9" hidden="1"/>
    <cellStyle name="Followed Hyperlink" xfId="2444" builtinId="9" hidden="1"/>
    <cellStyle name="Followed Hyperlink" xfId="2445" builtinId="9" hidden="1"/>
    <cellStyle name="Followed Hyperlink" xfId="2446" builtinId="9" hidden="1"/>
    <cellStyle name="Followed Hyperlink" xfId="2447" builtinId="9" hidden="1"/>
    <cellStyle name="Followed Hyperlink" xfId="2448" builtinId="9" hidden="1"/>
    <cellStyle name="Followed Hyperlink" xfId="2449" builtinId="9" hidden="1"/>
    <cellStyle name="Followed Hyperlink" xfId="2450" builtinId="9" hidden="1"/>
    <cellStyle name="Followed Hyperlink" xfId="2451" builtinId="9" hidden="1"/>
    <cellStyle name="Followed Hyperlink" xfId="2452" builtinId="9" hidden="1"/>
    <cellStyle name="Followed Hyperlink" xfId="2453" builtinId="9" hidden="1"/>
    <cellStyle name="Followed Hyperlink" xfId="2454" builtinId="9" hidden="1"/>
    <cellStyle name="Followed Hyperlink" xfId="2455" builtinId="9" hidden="1"/>
    <cellStyle name="Followed Hyperlink" xfId="2456" builtinId="9" hidden="1"/>
    <cellStyle name="Followed Hyperlink" xfId="2457" builtinId="9" hidden="1"/>
    <cellStyle name="Followed Hyperlink" xfId="2458" builtinId="9" hidden="1"/>
    <cellStyle name="Followed Hyperlink" xfId="2459" builtinId="9" hidden="1"/>
    <cellStyle name="Followed Hyperlink" xfId="2460" builtinId="9" hidden="1"/>
    <cellStyle name="Followed Hyperlink" xfId="2461" builtinId="9" hidden="1"/>
    <cellStyle name="Followed Hyperlink" xfId="2462" builtinId="9" hidden="1"/>
    <cellStyle name="Followed Hyperlink" xfId="2463" builtinId="9" hidden="1"/>
    <cellStyle name="Followed Hyperlink" xfId="2464" builtinId="9" hidden="1"/>
    <cellStyle name="Followed Hyperlink" xfId="2465" builtinId="9" hidden="1"/>
    <cellStyle name="Followed Hyperlink" xfId="2466" builtinId="9" hidden="1"/>
    <cellStyle name="Followed Hyperlink" xfId="2467" builtinId="9" hidden="1"/>
    <cellStyle name="Followed Hyperlink" xfId="2468" builtinId="9" hidden="1"/>
    <cellStyle name="Followed Hyperlink" xfId="2469" builtinId="9" hidden="1"/>
    <cellStyle name="Followed Hyperlink" xfId="2470" builtinId="9" hidden="1"/>
    <cellStyle name="Followed Hyperlink" xfId="2471" builtinId="9" hidden="1"/>
    <cellStyle name="Followed Hyperlink" xfId="2472" builtinId="9" hidden="1"/>
    <cellStyle name="Followed Hyperlink" xfId="2473" builtinId="9" hidden="1"/>
    <cellStyle name="Followed Hyperlink" xfId="2474" builtinId="9" hidden="1"/>
    <cellStyle name="Followed Hyperlink" xfId="2475" builtinId="9" hidden="1"/>
    <cellStyle name="Followed Hyperlink" xfId="2476" builtinId="9" hidden="1"/>
    <cellStyle name="Followed Hyperlink" xfId="2477" builtinId="9" hidden="1"/>
    <cellStyle name="Followed Hyperlink" xfId="2478" builtinId="9" hidden="1"/>
    <cellStyle name="Followed Hyperlink" xfId="2479" builtinId="9" hidden="1"/>
    <cellStyle name="Followed Hyperlink" xfId="2480" builtinId="9" hidden="1"/>
    <cellStyle name="Followed Hyperlink" xfId="2481" builtinId="9" hidden="1"/>
    <cellStyle name="Followed Hyperlink" xfId="2482" builtinId="9" hidden="1"/>
    <cellStyle name="Followed Hyperlink" xfId="2483" builtinId="9" hidden="1"/>
    <cellStyle name="Followed Hyperlink" xfId="2484" builtinId="9" hidden="1"/>
    <cellStyle name="Followed Hyperlink" xfId="2485" builtinId="9" hidden="1"/>
    <cellStyle name="Followed Hyperlink" xfId="2486" builtinId="9" hidden="1"/>
    <cellStyle name="Followed Hyperlink" xfId="2487" builtinId="9" hidden="1"/>
    <cellStyle name="Followed Hyperlink" xfId="2488" builtinId="9" hidden="1"/>
    <cellStyle name="Followed Hyperlink" xfId="2489" builtinId="9" hidden="1"/>
    <cellStyle name="Followed Hyperlink" xfId="2490" builtinId="9" hidden="1"/>
    <cellStyle name="Followed Hyperlink" xfId="2491" builtinId="9" hidden="1"/>
    <cellStyle name="Followed Hyperlink" xfId="2492" builtinId="9" hidden="1"/>
    <cellStyle name="Followed Hyperlink" xfId="2493" builtinId="9" hidden="1"/>
    <cellStyle name="Followed Hyperlink" xfId="2494" builtinId="9" hidden="1"/>
    <cellStyle name="Followed Hyperlink" xfId="2495" builtinId="9" hidden="1"/>
    <cellStyle name="Followed Hyperlink" xfId="2496" builtinId="9" hidden="1"/>
    <cellStyle name="Followed Hyperlink" xfId="2497" builtinId="9" hidden="1"/>
    <cellStyle name="Followed Hyperlink" xfId="2498" builtinId="9" hidden="1"/>
    <cellStyle name="Followed Hyperlink" xfId="2499" builtinId="9" hidden="1"/>
    <cellStyle name="Followed Hyperlink" xfId="2500" builtinId="9" hidden="1"/>
    <cellStyle name="Followed Hyperlink" xfId="2501" builtinId="9" hidden="1"/>
    <cellStyle name="Followed Hyperlink" xfId="2502" builtinId="9" hidden="1"/>
    <cellStyle name="Followed Hyperlink" xfId="2503" builtinId="9" hidden="1"/>
    <cellStyle name="Followed Hyperlink" xfId="2504" builtinId="9" hidden="1"/>
    <cellStyle name="Followed Hyperlink" xfId="2505" builtinId="9" hidden="1"/>
    <cellStyle name="Followed Hyperlink" xfId="2506" builtinId="9" hidden="1"/>
    <cellStyle name="Followed Hyperlink" xfId="2507" builtinId="9" hidden="1"/>
    <cellStyle name="Followed Hyperlink" xfId="2508" builtinId="9" hidden="1"/>
    <cellStyle name="Followed Hyperlink" xfId="2509" builtinId="9" hidden="1"/>
    <cellStyle name="Followed Hyperlink" xfId="2510" builtinId="9" hidden="1"/>
    <cellStyle name="Followed Hyperlink" xfId="2511" builtinId="9" hidden="1"/>
    <cellStyle name="Followed Hyperlink" xfId="2512" builtinId="9" hidden="1"/>
    <cellStyle name="Followed Hyperlink" xfId="2513" builtinId="9" hidden="1"/>
    <cellStyle name="Followed Hyperlink" xfId="2514" builtinId="9" hidden="1"/>
    <cellStyle name="Followed Hyperlink" xfId="2515" builtinId="9" hidden="1"/>
    <cellStyle name="Followed Hyperlink" xfId="2516" builtinId="9" hidden="1"/>
    <cellStyle name="Followed Hyperlink" xfId="2517" builtinId="9" hidden="1"/>
    <cellStyle name="Followed Hyperlink" xfId="2518" builtinId="9" hidden="1"/>
    <cellStyle name="Followed Hyperlink" xfId="2519" builtinId="9" hidden="1"/>
    <cellStyle name="Followed Hyperlink" xfId="2520" builtinId="9" hidden="1"/>
    <cellStyle name="Followed Hyperlink" xfId="2521" builtinId="9" hidden="1"/>
    <cellStyle name="Followed Hyperlink" xfId="2522" builtinId="9" hidden="1"/>
    <cellStyle name="Followed Hyperlink" xfId="2523" builtinId="9" hidden="1"/>
    <cellStyle name="Followed Hyperlink" xfId="2524" builtinId="9" hidden="1"/>
    <cellStyle name="Followed Hyperlink" xfId="2525" builtinId="9" hidden="1"/>
    <cellStyle name="Followed Hyperlink" xfId="2526" builtinId="9" hidden="1"/>
    <cellStyle name="Followed Hyperlink" xfId="2527" builtinId="9" hidden="1"/>
    <cellStyle name="Followed Hyperlink" xfId="2528" builtinId="9" hidden="1"/>
    <cellStyle name="Followed Hyperlink" xfId="2529" builtinId="9" hidden="1"/>
    <cellStyle name="Followed Hyperlink" xfId="2530" builtinId="9" hidden="1"/>
    <cellStyle name="Followed Hyperlink" xfId="2531" builtinId="9" hidden="1"/>
    <cellStyle name="Followed Hyperlink" xfId="2532" builtinId="9" hidden="1"/>
    <cellStyle name="Followed Hyperlink" xfId="2533" builtinId="9" hidden="1"/>
    <cellStyle name="Followed Hyperlink" xfId="2534" builtinId="9" hidden="1"/>
    <cellStyle name="Followed Hyperlink" xfId="2535" builtinId="9" hidden="1"/>
    <cellStyle name="Followed Hyperlink" xfId="2536" builtinId="9" hidden="1"/>
    <cellStyle name="Followed Hyperlink" xfId="2537" builtinId="9" hidden="1"/>
    <cellStyle name="Followed Hyperlink" xfId="2538" builtinId="9" hidden="1"/>
    <cellStyle name="Followed Hyperlink" xfId="2539" builtinId="9" hidden="1"/>
    <cellStyle name="Followed Hyperlink" xfId="2540" builtinId="9" hidden="1"/>
    <cellStyle name="Followed Hyperlink" xfId="2541" builtinId="9" hidden="1"/>
    <cellStyle name="Followed Hyperlink" xfId="2542" builtinId="9" hidden="1"/>
    <cellStyle name="Followed Hyperlink" xfId="2543" builtinId="9" hidden="1"/>
    <cellStyle name="Followed Hyperlink" xfId="2544" builtinId="9" hidden="1"/>
    <cellStyle name="Followed Hyperlink" xfId="2545" builtinId="9" hidden="1"/>
    <cellStyle name="Followed Hyperlink" xfId="2546" builtinId="9" hidden="1"/>
    <cellStyle name="Followed Hyperlink" xfId="2547" builtinId="9" hidden="1"/>
    <cellStyle name="Followed Hyperlink" xfId="2548" builtinId="9" hidden="1"/>
    <cellStyle name="Followed Hyperlink" xfId="2549" builtinId="9" hidden="1"/>
    <cellStyle name="Followed Hyperlink" xfId="2550" builtinId="9" hidden="1"/>
    <cellStyle name="Followed Hyperlink" xfId="2551" builtinId="9" hidden="1"/>
    <cellStyle name="Followed Hyperlink" xfId="2552" builtinId="9" hidden="1"/>
    <cellStyle name="Followed Hyperlink" xfId="2553" builtinId="9" hidden="1"/>
    <cellStyle name="Followed Hyperlink" xfId="2554" builtinId="9" hidden="1"/>
    <cellStyle name="Followed Hyperlink" xfId="2555" builtinId="9" hidden="1"/>
    <cellStyle name="Followed Hyperlink" xfId="2556" builtinId="9" hidden="1"/>
    <cellStyle name="Followed Hyperlink" xfId="2557" builtinId="9" hidden="1"/>
    <cellStyle name="Followed Hyperlink" xfId="2558" builtinId="9" hidden="1"/>
    <cellStyle name="Followed Hyperlink" xfId="2559" builtinId="9" hidden="1"/>
    <cellStyle name="Followed Hyperlink" xfId="2560" builtinId="9" hidden="1"/>
    <cellStyle name="Followed Hyperlink" xfId="2561" builtinId="9" hidden="1"/>
    <cellStyle name="Followed Hyperlink" xfId="2562" builtinId="9" hidden="1"/>
    <cellStyle name="Followed Hyperlink" xfId="2563" builtinId="9" hidden="1"/>
    <cellStyle name="Followed Hyperlink" xfId="2564" builtinId="9" hidden="1"/>
    <cellStyle name="Followed Hyperlink" xfId="2565" builtinId="9" hidden="1"/>
    <cellStyle name="Followed Hyperlink" xfId="2566" builtinId="9" hidden="1"/>
    <cellStyle name="Followed Hyperlink" xfId="2567" builtinId="9" hidden="1"/>
    <cellStyle name="Followed Hyperlink" xfId="2568" builtinId="9" hidden="1"/>
    <cellStyle name="Followed Hyperlink" xfId="2569" builtinId="9" hidden="1"/>
    <cellStyle name="Followed Hyperlink" xfId="2570" builtinId="9" hidden="1"/>
    <cellStyle name="Followed Hyperlink" xfId="2571" builtinId="9" hidden="1"/>
    <cellStyle name="Followed Hyperlink" xfId="2572" builtinId="9" hidden="1"/>
    <cellStyle name="Followed Hyperlink" xfId="2573" builtinId="9" hidden="1"/>
    <cellStyle name="Followed Hyperlink" xfId="2574" builtinId="9" hidden="1"/>
    <cellStyle name="Followed Hyperlink" xfId="2575" builtinId="9" hidden="1"/>
    <cellStyle name="Followed Hyperlink" xfId="2576" builtinId="9" hidden="1"/>
    <cellStyle name="Followed Hyperlink" xfId="2577" builtinId="9" hidden="1"/>
    <cellStyle name="Followed Hyperlink" xfId="2578" builtinId="9" hidden="1"/>
    <cellStyle name="Followed Hyperlink" xfId="2579" builtinId="9" hidden="1"/>
    <cellStyle name="Followed Hyperlink" xfId="2580" builtinId="9" hidden="1"/>
    <cellStyle name="Followed Hyperlink" xfId="2581" builtinId="9" hidden="1"/>
    <cellStyle name="Followed Hyperlink" xfId="2582" builtinId="9" hidden="1"/>
    <cellStyle name="Followed Hyperlink" xfId="2583" builtinId="9" hidden="1"/>
    <cellStyle name="Followed Hyperlink" xfId="2584" builtinId="9" hidden="1"/>
    <cellStyle name="Followed Hyperlink" xfId="2585" builtinId="9" hidden="1"/>
    <cellStyle name="Followed Hyperlink" xfId="2586" builtinId="9" hidden="1"/>
    <cellStyle name="Followed Hyperlink" xfId="2587" builtinId="9" hidden="1"/>
    <cellStyle name="Followed Hyperlink" xfId="2588" builtinId="9" hidden="1"/>
    <cellStyle name="Followed Hyperlink" xfId="2589" builtinId="9" hidden="1"/>
    <cellStyle name="Followed Hyperlink" xfId="2590" builtinId="9" hidden="1"/>
    <cellStyle name="Followed Hyperlink" xfId="2591" builtinId="9" hidden="1"/>
    <cellStyle name="Followed Hyperlink" xfId="2592" builtinId="9" hidden="1"/>
    <cellStyle name="Followed Hyperlink" xfId="2593" builtinId="9" hidden="1"/>
    <cellStyle name="Followed Hyperlink" xfId="2594" builtinId="9" hidden="1"/>
    <cellStyle name="Followed Hyperlink" xfId="2595" builtinId="9" hidden="1"/>
    <cellStyle name="Followed Hyperlink" xfId="2596" builtinId="9" hidden="1"/>
    <cellStyle name="Followed Hyperlink" xfId="2597" builtinId="9" hidden="1"/>
    <cellStyle name="Followed Hyperlink" xfId="2598" builtinId="9" hidden="1"/>
    <cellStyle name="Followed Hyperlink" xfId="2599" builtinId="9" hidden="1"/>
    <cellStyle name="Followed Hyperlink" xfId="2600" builtinId="9" hidden="1"/>
    <cellStyle name="Followed Hyperlink" xfId="2601" builtinId="9" hidden="1"/>
    <cellStyle name="Followed Hyperlink" xfId="2602" builtinId="9" hidden="1"/>
    <cellStyle name="Followed Hyperlink" xfId="2603" builtinId="9" hidden="1"/>
    <cellStyle name="Followed Hyperlink" xfId="2604" builtinId="9" hidden="1"/>
    <cellStyle name="Followed Hyperlink" xfId="2605" builtinId="9" hidden="1"/>
    <cellStyle name="Followed Hyperlink" xfId="2606" builtinId="9" hidden="1"/>
    <cellStyle name="Followed Hyperlink" xfId="2607" builtinId="9" hidden="1"/>
    <cellStyle name="Followed Hyperlink" xfId="2608" builtinId="9" hidden="1"/>
    <cellStyle name="Followed Hyperlink" xfId="2609" builtinId="9" hidden="1"/>
    <cellStyle name="Followed Hyperlink" xfId="2610" builtinId="9" hidden="1"/>
    <cellStyle name="Followed Hyperlink" xfId="2611" builtinId="9" hidden="1"/>
    <cellStyle name="Followed Hyperlink" xfId="2612" builtinId="9" hidden="1"/>
    <cellStyle name="Followed Hyperlink" xfId="2613" builtinId="9" hidden="1"/>
    <cellStyle name="Followed Hyperlink" xfId="2614" builtinId="9" hidden="1"/>
    <cellStyle name="Followed Hyperlink" xfId="2615" builtinId="9" hidden="1"/>
    <cellStyle name="Followed Hyperlink" xfId="2616" builtinId="9" hidden="1"/>
    <cellStyle name="Followed Hyperlink" xfId="2617" builtinId="9" hidden="1"/>
    <cellStyle name="Followed Hyperlink" xfId="2618" builtinId="9" hidden="1"/>
    <cellStyle name="Followed Hyperlink" xfId="2619" builtinId="9" hidden="1"/>
    <cellStyle name="Followed Hyperlink" xfId="2620" builtinId="9" hidden="1"/>
    <cellStyle name="Followed Hyperlink" xfId="2621" builtinId="9" hidden="1"/>
    <cellStyle name="Followed Hyperlink" xfId="2622" builtinId="9" hidden="1"/>
    <cellStyle name="Followed Hyperlink" xfId="2623" builtinId="9" hidden="1"/>
    <cellStyle name="Followed Hyperlink" xfId="2624" builtinId="9" hidden="1"/>
    <cellStyle name="Followed Hyperlink" xfId="2625" builtinId="9" hidden="1"/>
    <cellStyle name="Followed Hyperlink" xfId="2626" builtinId="9" hidden="1"/>
    <cellStyle name="Followed Hyperlink" xfId="2627" builtinId="9" hidden="1"/>
    <cellStyle name="Followed Hyperlink" xfId="2628" builtinId="9" hidden="1"/>
    <cellStyle name="Followed Hyperlink" xfId="2629" builtinId="9" hidden="1"/>
    <cellStyle name="Followed Hyperlink" xfId="2630" builtinId="9" hidden="1"/>
    <cellStyle name="Followed Hyperlink" xfId="2631" builtinId="9" hidden="1"/>
    <cellStyle name="Followed Hyperlink" xfId="2632" builtinId="9" hidden="1"/>
    <cellStyle name="Followed Hyperlink" xfId="2633" builtinId="9" hidden="1"/>
    <cellStyle name="Followed Hyperlink" xfId="2634" builtinId="9" hidden="1"/>
    <cellStyle name="Followed Hyperlink" xfId="2635" builtinId="9" hidden="1"/>
    <cellStyle name="Followed Hyperlink" xfId="2636" builtinId="9" hidden="1"/>
    <cellStyle name="Followed Hyperlink" xfId="2637" builtinId="9" hidden="1"/>
    <cellStyle name="Followed Hyperlink" xfId="2638" builtinId="9" hidden="1"/>
    <cellStyle name="Followed Hyperlink" xfId="2639" builtinId="9" hidden="1"/>
    <cellStyle name="Followed Hyperlink" xfId="2640" builtinId="9" hidden="1"/>
    <cellStyle name="Followed Hyperlink" xfId="2641" builtinId="9" hidden="1"/>
    <cellStyle name="Followed Hyperlink" xfId="2642" builtinId="9" hidden="1"/>
    <cellStyle name="Followed Hyperlink" xfId="2643" builtinId="9" hidden="1"/>
    <cellStyle name="Followed Hyperlink" xfId="2644" builtinId="9" hidden="1"/>
    <cellStyle name="Followed Hyperlink" xfId="2645" builtinId="9" hidden="1"/>
    <cellStyle name="Followed Hyperlink" xfId="2646" builtinId="9" hidden="1"/>
    <cellStyle name="Followed Hyperlink" xfId="2647" builtinId="9" hidden="1"/>
    <cellStyle name="Followed Hyperlink" xfId="2648" builtinId="9" hidden="1"/>
    <cellStyle name="Followed Hyperlink" xfId="2649" builtinId="9" hidden="1"/>
    <cellStyle name="Followed Hyperlink" xfId="2650" builtinId="9" hidden="1"/>
    <cellStyle name="Followed Hyperlink" xfId="2651" builtinId="9" hidden="1"/>
    <cellStyle name="Followed Hyperlink" xfId="2652" builtinId="9" hidden="1"/>
    <cellStyle name="Followed Hyperlink" xfId="2653" builtinId="9" hidden="1"/>
    <cellStyle name="Followed Hyperlink" xfId="2654" builtinId="9" hidden="1"/>
    <cellStyle name="Followed Hyperlink" xfId="2655" builtinId="9" hidden="1"/>
    <cellStyle name="Followed Hyperlink" xfId="2656" builtinId="9" hidden="1"/>
    <cellStyle name="Followed Hyperlink" xfId="2657" builtinId="9" hidden="1"/>
    <cellStyle name="Followed Hyperlink" xfId="2658" builtinId="9" hidden="1"/>
    <cellStyle name="Followed Hyperlink" xfId="2659" builtinId="9" hidden="1"/>
    <cellStyle name="Followed Hyperlink" xfId="2660" builtinId="9" hidden="1"/>
    <cellStyle name="Followed Hyperlink" xfId="2661" builtinId="9" hidden="1"/>
    <cellStyle name="Followed Hyperlink" xfId="2662" builtinId="9" hidden="1"/>
    <cellStyle name="Followed Hyperlink" xfId="2663" builtinId="9" hidden="1"/>
    <cellStyle name="Followed Hyperlink" xfId="2664" builtinId="9" hidden="1"/>
    <cellStyle name="Followed Hyperlink" xfId="2665" builtinId="9" hidden="1"/>
    <cellStyle name="Followed Hyperlink" xfId="2666" builtinId="9" hidden="1"/>
    <cellStyle name="Followed Hyperlink" xfId="2667" builtinId="9" hidden="1"/>
    <cellStyle name="Followed Hyperlink" xfId="2668" builtinId="9" hidden="1"/>
    <cellStyle name="Followed Hyperlink" xfId="2669" builtinId="9" hidden="1"/>
    <cellStyle name="Followed Hyperlink" xfId="2670" builtinId="9" hidden="1"/>
    <cellStyle name="Followed Hyperlink" xfId="2671" builtinId="9" hidden="1"/>
    <cellStyle name="Followed Hyperlink" xfId="2672" builtinId="9" hidden="1"/>
    <cellStyle name="Followed Hyperlink" xfId="2673" builtinId="9" hidden="1"/>
    <cellStyle name="Followed Hyperlink" xfId="2674" builtinId="9" hidden="1"/>
    <cellStyle name="Followed Hyperlink" xfId="2675" builtinId="9" hidden="1"/>
    <cellStyle name="Followed Hyperlink" xfId="2676" builtinId="9" hidden="1"/>
    <cellStyle name="Followed Hyperlink" xfId="2677" builtinId="9" hidden="1"/>
    <cellStyle name="Followed Hyperlink" xfId="2678" builtinId="9" hidden="1"/>
    <cellStyle name="Followed Hyperlink" xfId="2679" builtinId="9" hidden="1"/>
    <cellStyle name="Followed Hyperlink" xfId="2680" builtinId="9" hidden="1"/>
    <cellStyle name="Followed Hyperlink" xfId="2681" builtinId="9" hidden="1"/>
    <cellStyle name="Followed Hyperlink" xfId="2682" builtinId="9" hidden="1"/>
    <cellStyle name="Followed Hyperlink" xfId="2683" builtinId="9" hidden="1"/>
    <cellStyle name="Followed Hyperlink" xfId="2684" builtinId="9" hidden="1"/>
    <cellStyle name="Followed Hyperlink" xfId="2685" builtinId="9" hidden="1"/>
    <cellStyle name="Followed Hyperlink" xfId="2686" builtinId="9" hidden="1"/>
    <cellStyle name="Followed Hyperlink" xfId="2687" builtinId="9" hidden="1"/>
    <cellStyle name="Followed Hyperlink" xfId="2688" builtinId="9" hidden="1"/>
    <cellStyle name="Followed Hyperlink" xfId="2689" builtinId="9" hidden="1"/>
    <cellStyle name="Followed Hyperlink" xfId="2690" builtinId="9" hidden="1"/>
    <cellStyle name="Followed Hyperlink" xfId="2691" builtinId="9" hidden="1"/>
    <cellStyle name="Followed Hyperlink" xfId="2692" builtinId="9" hidden="1"/>
    <cellStyle name="Followed Hyperlink" xfId="2693" builtinId="9" hidden="1"/>
    <cellStyle name="Followed Hyperlink" xfId="2694" builtinId="9" hidden="1"/>
    <cellStyle name="Followed Hyperlink" xfId="2695" builtinId="9" hidden="1"/>
    <cellStyle name="Followed Hyperlink" xfId="2696" builtinId="9" hidden="1"/>
    <cellStyle name="Followed Hyperlink" xfId="2697" builtinId="9" hidden="1"/>
    <cellStyle name="Followed Hyperlink" xfId="2698" builtinId="9" hidden="1"/>
    <cellStyle name="Followed Hyperlink" xfId="2699" builtinId="9" hidden="1"/>
    <cellStyle name="Followed Hyperlink" xfId="2700" builtinId="9" hidden="1"/>
    <cellStyle name="Followed Hyperlink" xfId="2701" builtinId="9" hidden="1"/>
    <cellStyle name="Followed Hyperlink" xfId="2702" builtinId="9" hidden="1"/>
    <cellStyle name="Followed Hyperlink" xfId="2703" builtinId="9" hidden="1"/>
    <cellStyle name="Followed Hyperlink" xfId="2704" builtinId="9" hidden="1"/>
    <cellStyle name="Followed Hyperlink" xfId="2705" builtinId="9" hidden="1"/>
    <cellStyle name="Followed Hyperlink" xfId="2706" builtinId="9" hidden="1"/>
    <cellStyle name="Followed Hyperlink" xfId="2707" builtinId="9" hidden="1"/>
    <cellStyle name="Followed Hyperlink" xfId="2708" builtinId="9" hidden="1"/>
    <cellStyle name="Followed Hyperlink" xfId="2709" builtinId="9" hidden="1"/>
    <cellStyle name="Followed Hyperlink" xfId="2710" builtinId="9" hidden="1"/>
    <cellStyle name="Followed Hyperlink" xfId="2711" builtinId="9" hidden="1"/>
    <cellStyle name="Followed Hyperlink" xfId="2712" builtinId="9" hidden="1"/>
    <cellStyle name="Followed Hyperlink" xfId="2713" builtinId="9" hidden="1"/>
    <cellStyle name="Followed Hyperlink" xfId="2714" builtinId="9" hidden="1"/>
    <cellStyle name="Followed Hyperlink" xfId="2715" builtinId="9" hidden="1"/>
    <cellStyle name="Followed Hyperlink" xfId="2716" builtinId="9" hidden="1"/>
    <cellStyle name="Followed Hyperlink" xfId="2717" builtinId="9" hidden="1"/>
    <cellStyle name="Followed Hyperlink" xfId="2718" builtinId="9" hidden="1"/>
    <cellStyle name="Followed Hyperlink" xfId="2719" builtinId="9" hidden="1"/>
    <cellStyle name="Followed Hyperlink" xfId="2720" builtinId="9" hidden="1"/>
    <cellStyle name="Followed Hyperlink" xfId="2721" builtinId="9" hidden="1"/>
    <cellStyle name="Followed Hyperlink" xfId="2722" builtinId="9" hidden="1"/>
    <cellStyle name="Followed Hyperlink" xfId="2723" builtinId="9" hidden="1"/>
    <cellStyle name="Followed Hyperlink" xfId="2724" builtinId="9" hidden="1"/>
    <cellStyle name="Followed Hyperlink" xfId="2725" builtinId="9" hidden="1"/>
    <cellStyle name="Followed Hyperlink" xfId="2726" builtinId="9" hidden="1"/>
    <cellStyle name="Followed Hyperlink" xfId="2727" builtinId="9" hidden="1"/>
    <cellStyle name="Followed Hyperlink" xfId="2728" builtinId="9" hidden="1"/>
    <cellStyle name="Followed Hyperlink" xfId="2729" builtinId="9" hidden="1"/>
    <cellStyle name="Followed Hyperlink" xfId="2730" builtinId="9" hidden="1"/>
    <cellStyle name="Followed Hyperlink" xfId="2731" builtinId="9" hidden="1"/>
    <cellStyle name="Followed Hyperlink" xfId="2732" builtinId="9" hidden="1"/>
    <cellStyle name="Followed Hyperlink" xfId="2733" builtinId="9" hidden="1"/>
    <cellStyle name="Followed Hyperlink" xfId="2734" builtinId="9" hidden="1"/>
    <cellStyle name="Followed Hyperlink" xfId="2735" builtinId="9" hidden="1"/>
    <cellStyle name="Followed Hyperlink" xfId="2736" builtinId="9" hidden="1"/>
    <cellStyle name="Followed Hyperlink" xfId="2737" builtinId="9" hidden="1"/>
    <cellStyle name="Followed Hyperlink" xfId="2738" builtinId="9" hidden="1"/>
    <cellStyle name="Followed Hyperlink" xfId="2739" builtinId="9" hidden="1"/>
    <cellStyle name="Followed Hyperlink" xfId="2740" builtinId="9" hidden="1"/>
    <cellStyle name="Followed Hyperlink" xfId="2741" builtinId="9" hidden="1"/>
    <cellStyle name="Followed Hyperlink" xfId="2742" builtinId="9" hidden="1"/>
    <cellStyle name="Followed Hyperlink" xfId="2743" builtinId="9" hidden="1"/>
    <cellStyle name="Followed Hyperlink" xfId="2744" builtinId="9" hidden="1"/>
    <cellStyle name="Followed Hyperlink" xfId="2745" builtinId="9" hidden="1"/>
    <cellStyle name="Followed Hyperlink" xfId="2746" builtinId="9" hidden="1"/>
    <cellStyle name="Followed Hyperlink" xfId="2747" builtinId="9" hidden="1"/>
    <cellStyle name="Followed Hyperlink" xfId="2748" builtinId="9" hidden="1"/>
    <cellStyle name="Followed Hyperlink" xfId="2749" builtinId="9" hidden="1"/>
    <cellStyle name="Followed Hyperlink" xfId="2750" builtinId="9" hidden="1"/>
    <cellStyle name="Followed Hyperlink" xfId="2751" builtinId="9" hidden="1"/>
    <cellStyle name="Followed Hyperlink" xfId="2752" builtinId="9" hidden="1"/>
    <cellStyle name="Followed Hyperlink" xfId="2753" builtinId="9" hidden="1"/>
    <cellStyle name="Followed Hyperlink" xfId="2754" builtinId="9" hidden="1"/>
    <cellStyle name="Followed Hyperlink" xfId="2755" builtinId="9" hidden="1"/>
    <cellStyle name="Followed Hyperlink" xfId="2756" builtinId="9" hidden="1"/>
    <cellStyle name="Followed Hyperlink" xfId="2757" builtinId="9" hidden="1"/>
    <cellStyle name="Followed Hyperlink" xfId="2758" builtinId="9" hidden="1"/>
    <cellStyle name="Followed Hyperlink" xfId="2759" builtinId="9" hidden="1"/>
    <cellStyle name="Followed Hyperlink" xfId="2760" builtinId="9" hidden="1"/>
    <cellStyle name="Followed Hyperlink" xfId="2761" builtinId="9" hidden="1"/>
    <cellStyle name="Followed Hyperlink" xfId="2762" builtinId="9" hidden="1"/>
    <cellStyle name="Followed Hyperlink" xfId="2763" builtinId="9" hidden="1"/>
    <cellStyle name="Followed Hyperlink" xfId="2764" builtinId="9" hidden="1"/>
    <cellStyle name="Followed Hyperlink" xfId="2765" builtinId="9" hidden="1"/>
    <cellStyle name="Followed Hyperlink" xfId="2766" builtinId="9" hidden="1"/>
    <cellStyle name="Followed Hyperlink" xfId="2767" builtinId="9" hidden="1"/>
    <cellStyle name="Followed Hyperlink" xfId="2768" builtinId="9" hidden="1"/>
    <cellStyle name="Followed Hyperlink" xfId="2769" builtinId="9" hidden="1"/>
    <cellStyle name="Followed Hyperlink" xfId="2770" builtinId="9" hidden="1"/>
    <cellStyle name="Followed Hyperlink" xfId="2771" builtinId="9" hidden="1"/>
    <cellStyle name="Followed Hyperlink" xfId="2772" builtinId="9" hidden="1"/>
    <cellStyle name="Followed Hyperlink" xfId="2773" builtinId="9" hidden="1"/>
    <cellStyle name="Followed Hyperlink" xfId="2774" builtinId="9" hidden="1"/>
    <cellStyle name="Followed Hyperlink" xfId="2775" builtinId="9" hidden="1"/>
    <cellStyle name="Followed Hyperlink" xfId="2776" builtinId="9" hidden="1"/>
    <cellStyle name="Followed Hyperlink" xfId="2777" builtinId="9" hidden="1"/>
    <cellStyle name="Followed Hyperlink" xfId="2778" builtinId="9" hidden="1"/>
    <cellStyle name="Followed Hyperlink" xfId="2779" builtinId="9" hidden="1"/>
    <cellStyle name="Followed Hyperlink" xfId="2780" builtinId="9" hidden="1"/>
    <cellStyle name="Followed Hyperlink" xfId="2781" builtinId="9" hidden="1"/>
    <cellStyle name="Followed Hyperlink" xfId="2782" builtinId="9" hidden="1"/>
    <cellStyle name="Followed Hyperlink" xfId="2784" builtinId="9" hidden="1"/>
    <cellStyle name="Followed Hyperlink" xfId="2786" builtinId="9" hidden="1"/>
    <cellStyle name="Followed Hyperlink" xfId="2788" builtinId="9" hidden="1"/>
    <cellStyle name="Followed Hyperlink" xfId="2790" builtinId="9" hidden="1"/>
    <cellStyle name="Followed Hyperlink" xfId="2792" builtinId="9" hidden="1"/>
    <cellStyle name="Followed Hyperlink" xfId="2794" builtinId="9" hidden="1"/>
    <cellStyle name="Followed Hyperlink" xfId="2796" builtinId="9" hidden="1"/>
    <cellStyle name="Followed Hyperlink" xfId="2798" builtinId="9" hidden="1"/>
    <cellStyle name="Followed Hyperlink" xfId="2800" builtinId="9" hidden="1"/>
    <cellStyle name="Followed Hyperlink" xfId="2802" builtinId="9" hidden="1"/>
    <cellStyle name="Followed Hyperlink" xfId="2804" builtinId="9" hidden="1"/>
    <cellStyle name="Followed Hyperlink" xfId="2806" builtinId="9" hidden="1"/>
    <cellStyle name="Followed Hyperlink" xfId="2808" builtinId="9" hidden="1"/>
    <cellStyle name="Followed Hyperlink" xfId="2810" builtinId="9" hidden="1"/>
    <cellStyle name="Followed Hyperlink" xfId="2812" builtinId="9" hidden="1"/>
    <cellStyle name="Followed Hyperlink" xfId="2814" builtinId="9" hidden="1"/>
    <cellStyle name="Followed Hyperlink" xfId="2816" builtinId="9" hidden="1"/>
    <cellStyle name="Followed Hyperlink" xfId="2818" builtinId="9" hidden="1"/>
    <cellStyle name="Followed Hyperlink" xfId="2820" builtinId="9" hidden="1"/>
    <cellStyle name="Followed Hyperlink" xfId="2822" builtinId="9" hidden="1"/>
    <cellStyle name="Followed Hyperlink" xfId="2824" builtinId="9" hidden="1"/>
    <cellStyle name="Followed Hyperlink" xfId="2826" builtinId="9" hidden="1"/>
    <cellStyle name="Followed Hyperlink" xfId="2828" builtinId="9" hidden="1"/>
    <cellStyle name="Followed Hyperlink" xfId="2830" builtinId="9" hidden="1"/>
    <cellStyle name="Followed Hyperlink" xfId="2832" builtinId="9" hidden="1"/>
    <cellStyle name="Followed Hyperlink" xfId="2834" builtinId="9" hidden="1"/>
    <cellStyle name="Followed Hyperlink" xfId="2836" builtinId="9" hidden="1"/>
    <cellStyle name="Followed Hyperlink" xfId="2838" builtinId="9" hidden="1"/>
    <cellStyle name="Followed Hyperlink" xfId="2840" builtinId="9" hidden="1"/>
    <cellStyle name="Followed Hyperlink" xfId="2842" builtinId="9" hidden="1"/>
    <cellStyle name="Followed Hyperlink" xfId="2844" builtinId="9" hidden="1"/>
    <cellStyle name="Followed Hyperlink" xfId="2846" builtinId="9" hidden="1"/>
    <cellStyle name="Followed Hyperlink" xfId="2848" builtinId="9" hidden="1"/>
    <cellStyle name="Followed Hyperlink" xfId="2850" builtinId="9" hidden="1"/>
    <cellStyle name="Followed Hyperlink" xfId="2852" builtinId="9" hidden="1"/>
    <cellStyle name="Followed Hyperlink" xfId="2854" builtinId="9" hidden="1"/>
    <cellStyle name="Followed Hyperlink" xfId="2856" builtinId="9" hidden="1"/>
    <cellStyle name="Followed Hyperlink" xfId="2858" builtinId="9" hidden="1"/>
    <cellStyle name="Followed Hyperlink" xfId="2860" builtinId="9" hidden="1"/>
    <cellStyle name="Followed Hyperlink" xfId="2862" builtinId="9" hidden="1"/>
    <cellStyle name="Followed Hyperlink" xfId="2864" builtinId="9" hidden="1"/>
    <cellStyle name="Followed Hyperlink" xfId="2866" builtinId="9" hidden="1"/>
    <cellStyle name="Followed Hyperlink" xfId="2868" builtinId="9" hidden="1"/>
    <cellStyle name="Followed Hyperlink" xfId="2870" builtinId="9" hidden="1"/>
    <cellStyle name="Followed Hyperlink" xfId="2872" builtinId="9" hidden="1"/>
    <cellStyle name="Followed Hyperlink" xfId="2874" builtinId="9" hidden="1"/>
    <cellStyle name="Followed Hyperlink" xfId="2876" builtinId="9" hidden="1"/>
    <cellStyle name="Followed Hyperlink" xfId="2878" builtinId="9" hidden="1"/>
    <cellStyle name="Followed Hyperlink" xfId="2880" builtinId="9" hidden="1"/>
    <cellStyle name="Followed Hyperlink" xfId="2882" builtinId="9" hidden="1"/>
    <cellStyle name="Followed Hyperlink" xfId="2884" builtinId="9" hidden="1"/>
    <cellStyle name="Followed Hyperlink" xfId="2886" builtinId="9" hidden="1"/>
    <cellStyle name="Followed Hyperlink" xfId="2888" builtinId="9" hidden="1"/>
    <cellStyle name="Followed Hyperlink" xfId="2890" builtinId="9" hidden="1"/>
    <cellStyle name="Followed Hyperlink" xfId="2892" builtinId="9" hidden="1"/>
    <cellStyle name="Followed Hyperlink" xfId="2894" builtinId="9" hidden="1"/>
    <cellStyle name="Followed Hyperlink" xfId="2896" builtinId="9" hidden="1"/>
    <cellStyle name="Followed Hyperlink" xfId="2898" builtinId="9" hidden="1"/>
    <cellStyle name="Followed Hyperlink" xfId="2900" builtinId="9" hidden="1"/>
    <cellStyle name="Followed Hyperlink" xfId="2902" builtinId="9" hidden="1"/>
    <cellStyle name="Followed Hyperlink" xfId="2904" builtinId="9" hidden="1"/>
    <cellStyle name="Followed Hyperlink" xfId="2906" builtinId="9" hidden="1"/>
    <cellStyle name="Followed Hyperlink" xfId="2908" builtinId="9" hidden="1"/>
    <cellStyle name="Followed Hyperlink" xfId="2910" builtinId="9" hidden="1"/>
    <cellStyle name="Followed Hyperlink" xfId="2912" builtinId="9" hidden="1"/>
    <cellStyle name="Followed Hyperlink" xfId="2914" builtinId="9" hidden="1"/>
    <cellStyle name="Followed Hyperlink" xfId="2916" builtinId="9" hidden="1"/>
    <cellStyle name="Followed Hyperlink" xfId="2918" builtinId="9" hidden="1"/>
    <cellStyle name="Followed Hyperlink" xfId="2920" builtinId="9" hidden="1"/>
    <cellStyle name="Followed Hyperlink" xfId="2922" builtinId="9" hidden="1"/>
    <cellStyle name="Followed Hyperlink" xfId="2924" builtinId="9" hidden="1"/>
    <cellStyle name="Followed Hyperlink" xfId="2926" builtinId="9" hidden="1"/>
    <cellStyle name="Followed Hyperlink" xfId="2928" builtinId="9" hidden="1"/>
    <cellStyle name="Followed Hyperlink" xfId="2930" builtinId="9" hidden="1"/>
    <cellStyle name="Followed Hyperlink" xfId="2932" builtinId="9" hidden="1"/>
    <cellStyle name="Followed Hyperlink" xfId="2934" builtinId="9" hidden="1"/>
    <cellStyle name="Followed Hyperlink" xfId="2936" builtinId="9" hidden="1"/>
    <cellStyle name="Followed Hyperlink" xfId="2938" builtinId="9" hidden="1"/>
    <cellStyle name="Followed Hyperlink" xfId="2940" builtinId="9" hidden="1"/>
    <cellStyle name="Followed Hyperlink" xfId="2942" builtinId="9" hidden="1"/>
    <cellStyle name="Followed Hyperlink" xfId="2944" builtinId="9" hidden="1"/>
    <cellStyle name="Followed Hyperlink" xfId="2946" builtinId="9" hidden="1"/>
    <cellStyle name="Followed Hyperlink" xfId="2948" builtinId="9" hidden="1"/>
    <cellStyle name="Followed Hyperlink" xfId="2950" builtinId="9" hidden="1"/>
    <cellStyle name="Followed Hyperlink" xfId="2952" builtinId="9" hidden="1"/>
    <cellStyle name="Followed Hyperlink" xfId="2954" builtinId="9" hidden="1"/>
    <cellStyle name="Followed Hyperlink" xfId="2956" builtinId="9" hidden="1"/>
    <cellStyle name="Followed Hyperlink" xfId="2958" builtinId="9" hidden="1"/>
    <cellStyle name="Followed Hyperlink" xfId="2960" builtinId="9" hidden="1"/>
    <cellStyle name="Followed Hyperlink" xfId="2962" builtinId="9" hidden="1"/>
    <cellStyle name="Followed Hyperlink" xfId="2964" builtinId="9" hidden="1"/>
    <cellStyle name="Followed Hyperlink" xfId="2966" builtinId="9" hidden="1"/>
    <cellStyle name="Followed Hyperlink" xfId="2968" builtinId="9" hidden="1"/>
    <cellStyle name="Followed Hyperlink" xfId="2970" builtinId="9" hidden="1"/>
    <cellStyle name="Followed Hyperlink" xfId="2972" builtinId="9" hidden="1"/>
    <cellStyle name="Followed Hyperlink" xfId="2974" builtinId="9" hidden="1"/>
    <cellStyle name="Followed Hyperlink" xfId="2976" builtinId="9" hidden="1"/>
    <cellStyle name="Followed Hyperlink" xfId="2978" builtinId="9" hidden="1"/>
    <cellStyle name="Followed Hyperlink" xfId="2980" builtinId="9" hidden="1"/>
    <cellStyle name="Followed Hyperlink" xfId="2982" builtinId="9" hidden="1"/>
    <cellStyle name="Followed Hyperlink" xfId="2984" builtinId="9" hidden="1"/>
    <cellStyle name="Followed Hyperlink" xfId="2986" builtinId="9" hidden="1"/>
    <cellStyle name="Followed Hyperlink" xfId="2988" builtinId="9" hidden="1"/>
    <cellStyle name="Followed Hyperlink" xfId="2990" builtinId="9" hidden="1"/>
    <cellStyle name="Followed Hyperlink" xfId="2992" builtinId="9" hidden="1"/>
    <cellStyle name="Followed Hyperlink" xfId="2994" builtinId="9" hidden="1"/>
    <cellStyle name="Followed Hyperlink" xfId="2996" builtinId="9" hidden="1"/>
    <cellStyle name="Followed Hyperlink" xfId="2998" builtinId="9" hidden="1"/>
    <cellStyle name="Followed Hyperlink" xfId="3000" builtinId="9" hidden="1"/>
    <cellStyle name="Followed Hyperlink" xfId="3002" builtinId="9" hidden="1"/>
    <cellStyle name="Followed Hyperlink" xfId="3004" builtinId="9" hidden="1"/>
    <cellStyle name="Followed Hyperlink" xfId="3006" builtinId="9" hidden="1"/>
    <cellStyle name="Followed Hyperlink" xfId="3008" builtinId="9" hidden="1"/>
    <cellStyle name="Followed Hyperlink" xfId="3010" builtinId="9" hidden="1"/>
    <cellStyle name="Followed Hyperlink" xfId="3012" builtinId="9" hidden="1"/>
    <cellStyle name="Followed Hyperlink" xfId="3014" builtinId="9" hidden="1"/>
    <cellStyle name="Followed Hyperlink" xfId="3016" builtinId="9" hidden="1"/>
    <cellStyle name="Followed Hyperlink" xfId="3018" builtinId="9" hidden="1"/>
    <cellStyle name="Followed Hyperlink" xfId="3020" builtinId="9" hidden="1"/>
    <cellStyle name="Followed Hyperlink" xfId="3022" builtinId="9" hidden="1"/>
    <cellStyle name="Followed Hyperlink" xfId="3024" builtinId="9" hidden="1"/>
    <cellStyle name="Followed Hyperlink" xfId="3026" builtinId="9" hidden="1"/>
    <cellStyle name="Followed Hyperlink" xfId="3028" builtinId="9" hidden="1"/>
    <cellStyle name="Followed Hyperlink" xfId="3030" builtinId="9" hidden="1"/>
    <cellStyle name="Followed Hyperlink" xfId="3032" builtinId="9" hidden="1"/>
    <cellStyle name="Followed Hyperlink" xfId="3034" builtinId="9" hidden="1"/>
    <cellStyle name="Followed Hyperlink" xfId="3036" builtinId="9" hidden="1"/>
    <cellStyle name="Followed Hyperlink" xfId="3038" builtinId="9" hidden="1"/>
    <cellStyle name="Followed Hyperlink" xfId="3040" builtinId="9" hidden="1"/>
    <cellStyle name="Followed Hyperlink" xfId="3042" builtinId="9" hidden="1"/>
    <cellStyle name="Followed Hyperlink" xfId="3044" builtinId="9" hidden="1"/>
    <cellStyle name="Followed Hyperlink" xfId="3046" builtinId="9" hidden="1"/>
    <cellStyle name="Followed Hyperlink" xfId="3048" builtinId="9" hidden="1"/>
    <cellStyle name="Followed Hyperlink" xfId="3050" builtinId="9" hidden="1"/>
    <cellStyle name="Followed Hyperlink" xfId="3052" builtinId="9" hidden="1"/>
    <cellStyle name="Followed Hyperlink" xfId="3054" builtinId="9" hidden="1"/>
    <cellStyle name="Followed Hyperlink" xfId="3056" builtinId="9" hidden="1"/>
    <cellStyle name="Followed Hyperlink" xfId="3058" builtinId="9" hidden="1"/>
    <cellStyle name="Followed Hyperlink" xfId="3060" builtinId="9" hidden="1"/>
    <cellStyle name="Followed Hyperlink" xfId="3062" builtinId="9" hidden="1"/>
    <cellStyle name="Followed Hyperlink" xfId="3064" builtinId="9" hidden="1"/>
    <cellStyle name="Followed Hyperlink" xfId="3066" builtinId="9" hidden="1"/>
    <cellStyle name="Followed Hyperlink" xfId="3068" builtinId="9" hidden="1"/>
    <cellStyle name="Followed Hyperlink" xfId="3070" builtinId="9" hidden="1"/>
    <cellStyle name="Followed Hyperlink" xfId="3072" builtinId="9" hidden="1"/>
    <cellStyle name="Followed Hyperlink" xfId="3074" builtinId="9" hidden="1"/>
    <cellStyle name="Followed Hyperlink" xfId="3076" builtinId="9" hidden="1"/>
    <cellStyle name="Followed Hyperlink" xfId="3078" builtinId="9" hidden="1"/>
    <cellStyle name="Followed Hyperlink" xfId="3080" builtinId="9" hidden="1"/>
    <cellStyle name="Followed Hyperlink" xfId="3082" builtinId="9" hidden="1"/>
    <cellStyle name="Followed Hyperlink" xfId="3084" builtinId="9" hidden="1"/>
    <cellStyle name="Followed Hyperlink" xfId="3086" builtinId="9" hidden="1"/>
    <cellStyle name="Followed Hyperlink" xfId="3088" builtinId="9" hidden="1"/>
    <cellStyle name="Followed Hyperlink" xfId="3090" builtinId="9" hidden="1"/>
    <cellStyle name="Followed Hyperlink" xfId="3092" builtinId="9" hidden="1"/>
    <cellStyle name="Followed Hyperlink" xfId="3094" builtinId="9" hidden="1"/>
    <cellStyle name="Followed Hyperlink" xfId="3096" builtinId="9" hidden="1"/>
    <cellStyle name="Followed Hyperlink" xfId="3098" builtinId="9" hidden="1"/>
    <cellStyle name="Followed Hyperlink" xfId="3100" builtinId="9" hidden="1"/>
    <cellStyle name="Followed Hyperlink" xfId="3102" builtinId="9" hidden="1"/>
    <cellStyle name="Followed Hyperlink" xfId="3104" builtinId="9" hidden="1"/>
    <cellStyle name="Followed Hyperlink" xfId="3106" builtinId="9" hidden="1"/>
    <cellStyle name="Followed Hyperlink" xfId="3108" builtinId="9" hidden="1"/>
    <cellStyle name="Followed Hyperlink" xfId="3110" builtinId="9" hidden="1"/>
    <cellStyle name="Followed Hyperlink" xfId="3112" builtinId="9" hidden="1"/>
    <cellStyle name="Followed Hyperlink" xfId="3114" builtinId="9" hidden="1"/>
    <cellStyle name="Followed Hyperlink" xfId="3116" builtinId="9" hidden="1"/>
    <cellStyle name="Followed Hyperlink" xfId="3118" builtinId="9" hidden="1"/>
    <cellStyle name="Followed Hyperlink" xfId="3120" builtinId="9" hidden="1"/>
    <cellStyle name="Followed Hyperlink" xfId="3122" builtinId="9" hidden="1"/>
    <cellStyle name="Followed Hyperlink" xfId="3124" builtinId="9" hidden="1"/>
    <cellStyle name="Followed Hyperlink" xfId="3126" builtinId="9" hidden="1"/>
    <cellStyle name="Followed Hyperlink" xfId="3128" builtinId="9" hidden="1"/>
    <cellStyle name="Followed Hyperlink" xfId="3130" builtinId="9" hidden="1"/>
    <cellStyle name="Followed Hyperlink" xfId="3132" builtinId="9" hidden="1"/>
    <cellStyle name="Followed Hyperlink" xfId="3134" builtinId="9" hidden="1"/>
    <cellStyle name="Followed Hyperlink" xfId="3136" builtinId="9" hidden="1"/>
    <cellStyle name="Followed Hyperlink" xfId="3143" builtinId="9" hidden="1"/>
    <cellStyle name="Followed Hyperlink" xfId="3145" builtinId="9" hidden="1"/>
    <cellStyle name="Followed Hyperlink" xfId="3147" builtinId="9" hidden="1"/>
    <cellStyle name="Followed Hyperlink" xfId="3149" builtinId="9" hidden="1"/>
    <cellStyle name="Followed Hyperlink" xfId="3151" builtinId="9" hidden="1"/>
    <cellStyle name="Followed Hyperlink" xfId="3153" builtinId="9" hidden="1"/>
    <cellStyle name="Followed Hyperlink" xfId="3155" builtinId="9" hidden="1"/>
    <cellStyle name="Followed Hyperlink" xfId="3157" builtinId="9" hidden="1"/>
    <cellStyle name="Followed Hyperlink" xfId="3159" builtinId="9" hidden="1"/>
    <cellStyle name="Followed Hyperlink" xfId="3161" builtinId="9" hidden="1"/>
    <cellStyle name="Followed Hyperlink" xfId="3163" builtinId="9" hidden="1"/>
    <cellStyle name="Followed Hyperlink" xfId="3165" builtinId="9" hidden="1"/>
    <cellStyle name="Followed Hyperlink" xfId="3169" builtinId="9" hidden="1"/>
    <cellStyle name="Followed Hyperlink" xfId="3171" builtinId="9" hidden="1"/>
    <cellStyle name="Followed Hyperlink" xfId="3173" builtinId="9" hidden="1"/>
    <cellStyle name="Followed Hyperlink" xfId="3175" builtinId="9" hidden="1"/>
    <cellStyle name="Followed Hyperlink" xfId="3177" builtinId="9" hidden="1"/>
    <cellStyle name="Followed Hyperlink" xfId="3179" builtinId="9" hidden="1"/>
    <cellStyle name="Followed Hyperlink" xfId="3181" builtinId="9" hidden="1"/>
    <cellStyle name="Followed Hyperlink" xfId="3183" builtinId="9" hidden="1"/>
    <cellStyle name="Followed Hyperlink" xfId="3185" builtinId="9" hidden="1"/>
    <cellStyle name="Followed Hyperlink" xfId="3187" builtinId="9" hidden="1"/>
    <cellStyle name="Followed Hyperlink" xfId="3189" builtinId="9" hidden="1"/>
    <cellStyle name="Followed Hyperlink" xfId="3191" builtinId="9" hidden="1"/>
    <cellStyle name="Followed Hyperlink" xfId="3193" builtinId="9" hidden="1"/>
    <cellStyle name="Followed Hyperlink" xfId="3195" builtinId="9" hidden="1"/>
    <cellStyle name="Followed Hyperlink" xfId="3197" builtinId="9" hidden="1"/>
    <cellStyle name="Followed Hyperlink" xfId="3199" builtinId="9" hidden="1"/>
    <cellStyle name="Followed Hyperlink" xfId="3201" builtinId="9" hidden="1"/>
    <cellStyle name="Followed Hyperlink" xfId="3203" builtinId="9" hidden="1"/>
    <cellStyle name="Followed Hyperlink" xfId="3205" builtinId="9" hidden="1"/>
    <cellStyle name="Followed Hyperlink" xfId="3207" builtinId="9" hidden="1"/>
    <cellStyle name="Followed Hyperlink" xfId="3209" builtinId="9" hidden="1"/>
    <cellStyle name="Followed Hyperlink" xfId="3211" builtinId="9" hidden="1"/>
    <cellStyle name="Followed Hyperlink" xfId="3213" builtinId="9" hidden="1"/>
    <cellStyle name="Followed Hyperlink" xfId="3215" builtinId="9" hidden="1"/>
    <cellStyle name="Followed Hyperlink" xfId="3217" builtinId="9" hidden="1"/>
    <cellStyle name="Followed Hyperlink" xfId="3219" builtinId="9" hidden="1"/>
    <cellStyle name="Followed Hyperlink" xfId="3221" builtinId="9" hidden="1"/>
    <cellStyle name="Followed Hyperlink" xfId="3223" builtinId="9" hidden="1"/>
    <cellStyle name="Followed Hyperlink" xfId="3225" builtinId="9" hidden="1"/>
    <cellStyle name="Followed Hyperlink" xfId="3227" builtinId="9" hidden="1"/>
    <cellStyle name="Followed Hyperlink" xfId="3229" builtinId="9" hidden="1"/>
    <cellStyle name="Followed Hyperlink" xfId="3231" builtinId="9" hidden="1"/>
    <cellStyle name="Followed Hyperlink" xfId="3233" builtinId="9" hidden="1"/>
    <cellStyle name="Followed Hyperlink" xfId="3235" builtinId="9" hidden="1"/>
    <cellStyle name="Followed Hyperlink" xfId="3237" builtinId="9" hidden="1"/>
    <cellStyle name="Followed Hyperlink" xfId="3239" builtinId="9" hidden="1"/>
    <cellStyle name="Followed Hyperlink" xfId="3241" builtinId="9" hidden="1"/>
    <cellStyle name="Followed Hyperlink" xfId="3243" builtinId="9" hidden="1"/>
    <cellStyle name="Followed Hyperlink" xfId="3245" builtinId="9" hidden="1"/>
    <cellStyle name="Followed Hyperlink" xfId="3247" builtinId="9" hidden="1"/>
    <cellStyle name="Followed Hyperlink" xfId="3249" builtinId="9" hidden="1"/>
    <cellStyle name="Followed Hyperlink" xfId="3251" builtinId="9" hidden="1"/>
    <cellStyle name="Followed Hyperlink" xfId="3253" builtinId="9" hidden="1"/>
    <cellStyle name="Followed Hyperlink" xfId="3255" builtinId="9" hidden="1"/>
    <cellStyle name="Followed Hyperlink" xfId="3257" builtinId="9" hidden="1"/>
    <cellStyle name="Followed Hyperlink" xfId="3259" builtinId="9" hidden="1"/>
    <cellStyle name="Followed Hyperlink" xfId="3261" builtinId="9" hidden="1"/>
    <cellStyle name="Followed Hyperlink" xfId="3263" builtinId="9" hidden="1"/>
    <cellStyle name="Followed Hyperlink" xfId="3265" builtinId="9" hidden="1"/>
    <cellStyle name="Followed Hyperlink" xfId="3267" builtinId="9" hidden="1"/>
    <cellStyle name="Followed Hyperlink" xfId="3269" builtinId="9" hidden="1"/>
    <cellStyle name="Followed Hyperlink" xfId="3271" builtinId="9" hidden="1"/>
    <cellStyle name="Followed Hyperlink" xfId="3273" builtinId="9" hidden="1"/>
    <cellStyle name="Followed Hyperlink" xfId="3275" builtinId="9" hidden="1"/>
    <cellStyle name="Followed Hyperlink" xfId="3277" builtinId="9" hidden="1"/>
    <cellStyle name="Followed Hyperlink" xfId="3279" builtinId="9" hidden="1"/>
    <cellStyle name="Followed Hyperlink" xfId="3281" builtinId="9" hidden="1"/>
    <cellStyle name="Followed Hyperlink" xfId="3283" builtinId="9" hidden="1"/>
    <cellStyle name="Followed Hyperlink" xfId="3285" builtinId="9" hidden="1"/>
    <cellStyle name="Followed Hyperlink" xfId="3287" builtinId="9" hidden="1"/>
    <cellStyle name="Followed Hyperlink" xfId="3289" builtinId="9" hidden="1"/>
    <cellStyle name="Followed Hyperlink" xfId="3291" builtinId="9" hidden="1"/>
    <cellStyle name="Followed Hyperlink" xfId="3293" builtinId="9" hidden="1"/>
    <cellStyle name="Followed Hyperlink" xfId="3295" builtinId="9" hidden="1"/>
    <cellStyle name="Followed Hyperlink" xfId="3297" builtinId="9" hidden="1"/>
    <cellStyle name="Followed Hyperlink" xfId="3299" builtinId="9" hidden="1"/>
    <cellStyle name="Followed Hyperlink" xfId="3301" builtinId="9" hidden="1"/>
    <cellStyle name="Followed Hyperlink" xfId="3303" builtinId="9" hidden="1"/>
    <cellStyle name="Followed Hyperlink" xfId="3305" builtinId="9" hidden="1"/>
    <cellStyle name="Followed Hyperlink" xfId="3307" builtinId="9" hidden="1"/>
    <cellStyle name="Followed Hyperlink" xfId="3309" builtinId="9" hidden="1"/>
    <cellStyle name="Followed Hyperlink" xfId="3311" builtinId="9" hidden="1"/>
    <cellStyle name="Followed Hyperlink" xfId="3313" builtinId="9" hidden="1"/>
    <cellStyle name="Followed Hyperlink" xfId="3315" builtinId="9" hidden="1"/>
    <cellStyle name="Followed Hyperlink" xfId="3317" builtinId="9" hidden="1"/>
    <cellStyle name="Followed Hyperlink" xfId="3319" builtinId="9" hidden="1"/>
    <cellStyle name="Followed Hyperlink" xfId="3321" builtinId="9" hidden="1"/>
    <cellStyle name="Followed Hyperlink" xfId="3323" builtinId="9" hidden="1"/>
    <cellStyle name="Followed Hyperlink" xfId="3325" builtinId="9" hidden="1"/>
    <cellStyle name="Followed Hyperlink" xfId="3327" builtinId="9" hidden="1"/>
    <cellStyle name="Followed Hyperlink" xfId="3329" builtinId="9" hidden="1"/>
    <cellStyle name="Followed Hyperlink" xfId="3331" builtinId="9" hidden="1"/>
    <cellStyle name="Followed Hyperlink" xfId="3333" builtinId="9" hidden="1"/>
    <cellStyle name="Followed Hyperlink" xfId="3335" builtinId="9" hidden="1"/>
    <cellStyle name="Followed Hyperlink" xfId="3337" builtinId="9" hidden="1"/>
    <cellStyle name="Followed Hyperlink" xfId="3339" builtinId="9" hidden="1"/>
    <cellStyle name="Followed Hyperlink" xfId="3341" builtinId="9" hidden="1"/>
    <cellStyle name="Followed Hyperlink" xfId="3343" builtinId="9" hidden="1"/>
    <cellStyle name="Followed Hyperlink" xfId="3345" builtinId="9" hidden="1"/>
    <cellStyle name="Followed Hyperlink" xfId="3347" builtinId="9" hidden="1"/>
    <cellStyle name="Followed Hyperlink" xfId="3349" builtinId="9" hidden="1"/>
    <cellStyle name="Followed Hyperlink" xfId="3351" builtinId="9" hidden="1"/>
    <cellStyle name="Followed Hyperlink" xfId="3353" builtinId="9" hidden="1"/>
    <cellStyle name="Followed Hyperlink" xfId="3355" builtinId="9" hidden="1"/>
    <cellStyle name="Followed Hyperlink" xfId="3357" builtinId="9" hidden="1"/>
    <cellStyle name="Followed Hyperlink" xfId="3359" builtinId="9" hidden="1"/>
    <cellStyle name="Followed Hyperlink" xfId="3361" builtinId="9" hidden="1"/>
    <cellStyle name="Followed Hyperlink" xfId="3363" builtinId="9" hidden="1"/>
    <cellStyle name="Followed Hyperlink" xfId="3365" builtinId="9" hidden="1"/>
    <cellStyle name="Followed Hyperlink" xfId="3367" builtinId="9" hidden="1"/>
    <cellStyle name="Followed Hyperlink" xfId="3369" builtinId="9" hidden="1"/>
    <cellStyle name="Followed Hyperlink" xfId="3371" builtinId="9" hidden="1"/>
    <cellStyle name="Followed Hyperlink" xfId="3373" builtinId="9" hidden="1"/>
    <cellStyle name="Followed Hyperlink" xfId="3375" builtinId="9" hidden="1"/>
    <cellStyle name="Followed Hyperlink" xfId="3377" builtinId="9" hidden="1"/>
    <cellStyle name="Followed Hyperlink" xfId="3379" builtinId="9" hidden="1"/>
    <cellStyle name="Followed Hyperlink" xfId="3381" builtinId="9" hidden="1"/>
    <cellStyle name="Followed Hyperlink" xfId="3383" builtinId="9" hidden="1"/>
    <cellStyle name="Followed Hyperlink" xfId="3385" builtinId="9" hidden="1"/>
    <cellStyle name="Followed Hyperlink" xfId="3387" builtinId="9" hidden="1"/>
    <cellStyle name="Followed Hyperlink" xfId="3389" builtinId="9" hidden="1"/>
    <cellStyle name="Followed Hyperlink" xfId="3391" builtinId="9" hidden="1"/>
    <cellStyle name="Followed Hyperlink" xfId="3393" builtinId="9" hidden="1"/>
    <cellStyle name="Followed Hyperlink" xfId="3395" builtinId="9" hidden="1"/>
    <cellStyle name="Followed Hyperlink" xfId="3397" builtinId="9" hidden="1"/>
    <cellStyle name="Followed Hyperlink" xfId="3399" builtinId="9" hidden="1"/>
    <cellStyle name="Followed Hyperlink" xfId="3401" builtinId="9" hidden="1"/>
    <cellStyle name="Followed Hyperlink" xfId="3403" builtinId="9" hidden="1"/>
    <cellStyle name="Followed Hyperlink" xfId="3405" builtinId="9" hidden="1"/>
    <cellStyle name="Followed Hyperlink" xfId="3407" builtinId="9" hidden="1"/>
    <cellStyle name="Followed Hyperlink" xfId="3409" builtinId="9" hidden="1"/>
    <cellStyle name="Followed Hyperlink" xfId="3411" builtinId="9" hidden="1"/>
    <cellStyle name="Followed Hyperlink" xfId="3413" builtinId="9" hidden="1"/>
    <cellStyle name="Followed Hyperlink" xfId="3415" builtinId="9" hidden="1"/>
    <cellStyle name="Followed Hyperlink" xfId="3417" builtinId="9" hidden="1"/>
    <cellStyle name="Followed Hyperlink" xfId="3419" builtinId="9" hidden="1"/>
    <cellStyle name="Followed Hyperlink" xfId="3421" builtinId="9" hidden="1"/>
    <cellStyle name="Followed Hyperlink" xfId="3423" builtinId="9" hidden="1"/>
    <cellStyle name="Followed Hyperlink" xfId="3425" builtinId="9" hidden="1"/>
    <cellStyle name="Followed Hyperlink" xfId="3427" builtinId="9" hidden="1"/>
    <cellStyle name="Followed Hyperlink" xfId="3429" builtinId="9" hidden="1"/>
    <cellStyle name="Followed Hyperlink" xfId="3431" builtinId="9" hidden="1"/>
    <cellStyle name="Followed Hyperlink" xfId="3433" builtinId="9" hidden="1"/>
    <cellStyle name="Followed Hyperlink" xfId="3435" builtinId="9" hidden="1"/>
    <cellStyle name="Followed Hyperlink" xfId="3437" builtinId="9" hidden="1"/>
    <cellStyle name="Followed Hyperlink" xfId="3439" builtinId="9" hidden="1"/>
    <cellStyle name="Followed Hyperlink" xfId="3441" builtinId="9" hidden="1"/>
    <cellStyle name="Followed Hyperlink" xfId="3443" builtinId="9" hidden="1"/>
    <cellStyle name="Followed Hyperlink" xfId="3445" builtinId="9" hidden="1"/>
    <cellStyle name="Followed Hyperlink" xfId="3447" builtinId="9" hidden="1"/>
    <cellStyle name="Followed Hyperlink" xfId="3449" builtinId="9" hidden="1"/>
    <cellStyle name="Followed Hyperlink" xfId="3451" builtinId="9" hidden="1"/>
    <cellStyle name="Followed Hyperlink" xfId="3453" builtinId="9" hidden="1"/>
    <cellStyle name="Followed Hyperlink" xfId="3455" builtinId="9" hidden="1"/>
    <cellStyle name="Followed Hyperlink" xfId="3457" builtinId="9" hidden="1"/>
    <cellStyle name="Followed Hyperlink" xfId="3459" builtinId="9" hidden="1"/>
    <cellStyle name="Followed Hyperlink" xfId="3461" builtinId="9" hidden="1"/>
    <cellStyle name="Followed Hyperlink" xfId="3463" builtinId="9" hidden="1"/>
    <cellStyle name="Followed Hyperlink" xfId="3465" builtinId="9" hidden="1"/>
    <cellStyle name="Followed Hyperlink" xfId="3467" builtinId="9" hidden="1"/>
    <cellStyle name="Followed Hyperlink" xfId="3469" builtinId="9" hidden="1"/>
    <cellStyle name="Followed Hyperlink" xfId="3471" builtinId="9" hidden="1"/>
    <cellStyle name="Followed Hyperlink" xfId="3473" builtinId="9" hidden="1"/>
    <cellStyle name="Followed Hyperlink" xfId="3475" builtinId="9" hidden="1"/>
    <cellStyle name="Followed Hyperlink" xfId="3477" builtinId="9" hidden="1"/>
    <cellStyle name="Followed Hyperlink" xfId="3479" builtinId="9" hidden="1"/>
    <cellStyle name="Followed Hyperlink" xfId="3481" builtinId="9" hidden="1"/>
    <cellStyle name="Followed Hyperlink" xfId="3483" builtinId="9" hidden="1"/>
    <cellStyle name="Followed Hyperlink" xfId="3485" builtinId="9" hidden="1"/>
    <cellStyle name="Followed Hyperlink" xfId="3487" builtinId="9" hidden="1"/>
    <cellStyle name="Followed Hyperlink" xfId="3489" builtinId="9" hidden="1"/>
    <cellStyle name="Followed Hyperlink" xfId="3491" builtinId="9" hidden="1"/>
    <cellStyle name="Followed Hyperlink" xfId="3493" builtinId="9" hidden="1"/>
    <cellStyle name="Followed Hyperlink" xfId="3495" builtinId="9" hidden="1"/>
    <cellStyle name="Followed Hyperlink" xfId="3497" builtinId="9" hidden="1"/>
    <cellStyle name="Followed Hyperlink" xfId="3499" builtinId="9" hidden="1"/>
    <cellStyle name="Followed Hyperlink" xfId="3501" builtinId="9" hidden="1"/>
    <cellStyle name="Followed Hyperlink" xfId="3503" builtinId="9" hidden="1"/>
    <cellStyle name="Followed Hyperlink" xfId="3505" builtinId="9" hidden="1"/>
    <cellStyle name="Followed Hyperlink" xfId="3507" builtinId="9" hidden="1"/>
    <cellStyle name="Followed Hyperlink" xfId="3509" builtinId="9" hidden="1"/>
    <cellStyle name="Followed Hyperlink" xfId="3511" builtinId="9" hidden="1"/>
    <cellStyle name="Followed Hyperlink" xfId="3513" builtinId="9" hidden="1"/>
    <cellStyle name="Followed Hyperlink" xfId="3515" builtinId="9" hidden="1"/>
    <cellStyle name="Followed Hyperlink" xfId="3517" builtinId="9" hidden="1"/>
    <cellStyle name="Followed Hyperlink" xfId="3519" builtinId="9" hidden="1"/>
    <cellStyle name="Followed Hyperlink" xfId="3521" builtinId="9" hidden="1"/>
    <cellStyle name="Followed Hyperlink" xfId="3523" builtinId="9" hidden="1"/>
    <cellStyle name="Followed Hyperlink" xfId="3525" builtinId="9" hidden="1"/>
    <cellStyle name="Followed Hyperlink" xfId="3527" builtinId="9" hidden="1"/>
    <cellStyle name="Followed Hyperlink" xfId="3529" builtinId="9" hidden="1"/>
    <cellStyle name="Followed Hyperlink" xfId="3531" builtinId="9" hidden="1"/>
    <cellStyle name="Followed Hyperlink" xfId="3533" builtinId="9" hidden="1"/>
    <cellStyle name="Followed Hyperlink" xfId="3535" builtinId="9" hidden="1"/>
    <cellStyle name="Followed Hyperlink" xfId="3537" builtinId="9" hidden="1"/>
    <cellStyle name="Followed Hyperlink" xfId="3539" builtinId="9" hidden="1"/>
    <cellStyle name="Followed Hyperlink" xfId="3541" builtinId="9" hidden="1"/>
    <cellStyle name="Followed Hyperlink" xfId="3543" builtinId="9" hidden="1"/>
    <cellStyle name="Followed Hyperlink" xfId="3545" builtinId="9" hidden="1"/>
    <cellStyle name="Followed Hyperlink" xfId="3547" builtinId="9" hidden="1"/>
    <cellStyle name="Followed Hyperlink" xfId="3549" builtinId="9" hidden="1"/>
    <cellStyle name="Followed Hyperlink" xfId="3551" builtinId="9" hidden="1"/>
    <cellStyle name="Followed Hyperlink" xfId="3553" builtinId="9" hidden="1"/>
    <cellStyle name="Followed Hyperlink" xfId="3555" builtinId="9" hidden="1"/>
    <cellStyle name="Followed Hyperlink" xfId="3557" builtinId="9" hidden="1"/>
    <cellStyle name="Followed Hyperlink" xfId="3559" builtinId="9" hidden="1"/>
    <cellStyle name="Followed Hyperlink" xfId="3561" builtinId="9" hidden="1"/>
    <cellStyle name="Followed Hyperlink" xfId="3563" builtinId="9" hidden="1"/>
    <cellStyle name="Followed Hyperlink" xfId="3565" builtinId="9" hidden="1"/>
    <cellStyle name="Followed Hyperlink" xfId="3567" builtinId="9" hidden="1"/>
    <cellStyle name="Followed Hyperlink" xfId="3569" builtinId="9" hidden="1"/>
    <cellStyle name="Followed Hyperlink" xfId="3571" builtinId="9" hidden="1"/>
    <cellStyle name="Followed Hyperlink" xfId="3573" builtinId="9" hidden="1"/>
    <cellStyle name="Followed Hyperlink" xfId="3575" builtinId="9" hidden="1"/>
    <cellStyle name="Followed Hyperlink" xfId="3577" builtinId="9" hidden="1"/>
    <cellStyle name="Followed Hyperlink" xfId="3579" builtinId="9" hidden="1"/>
    <cellStyle name="Followed Hyperlink" xfId="3581" builtinId="9" hidden="1"/>
    <cellStyle name="Followed Hyperlink" xfId="3583" builtinId="9" hidden="1"/>
    <cellStyle name="Followed Hyperlink" xfId="3585" builtinId="9" hidden="1"/>
    <cellStyle name="Followed Hyperlink" xfId="3587" builtinId="9" hidden="1"/>
    <cellStyle name="Followed Hyperlink" xfId="3589" builtinId="9" hidden="1"/>
    <cellStyle name="Followed Hyperlink" xfId="3591" builtinId="9" hidden="1"/>
    <cellStyle name="Followed Hyperlink" xfId="3593" builtinId="9" hidden="1"/>
    <cellStyle name="Followed Hyperlink" xfId="3595" builtinId="9" hidden="1"/>
    <cellStyle name="Followed Hyperlink" xfId="3597" builtinId="9" hidden="1"/>
    <cellStyle name="Followed Hyperlink" xfId="3599" builtinId="9" hidden="1"/>
    <cellStyle name="Followed Hyperlink" xfId="3601" builtinId="9" hidden="1"/>
    <cellStyle name="Followed Hyperlink" xfId="3603" builtinId="9" hidden="1"/>
    <cellStyle name="Followed Hyperlink" xfId="3605" builtinId="9" hidden="1"/>
    <cellStyle name="Followed Hyperlink" xfId="3607" builtinId="9" hidden="1"/>
    <cellStyle name="Followed Hyperlink" xfId="3609" builtinId="9" hidden="1"/>
    <cellStyle name="Followed Hyperlink" xfId="3611" builtinId="9" hidden="1"/>
    <cellStyle name="Followed Hyperlink" xfId="3613" builtinId="9" hidden="1"/>
    <cellStyle name="Followed Hyperlink" xfId="3615" builtinId="9" hidden="1"/>
    <cellStyle name="Followed Hyperlink" xfId="3617" builtinId="9" hidden="1"/>
    <cellStyle name="Followed Hyperlink" xfId="3619" builtinId="9" hidden="1"/>
    <cellStyle name="Followed Hyperlink" xfId="3621" builtinId="9" hidden="1"/>
    <cellStyle name="Followed Hyperlink" xfId="3623" builtinId="9" hidden="1"/>
    <cellStyle name="Followed Hyperlink" xfId="3625" builtinId="9" hidden="1"/>
    <cellStyle name="Followed Hyperlink" xfId="3627" builtinId="9" hidden="1"/>
    <cellStyle name="Followed Hyperlink" xfId="3629" builtinId="9" hidden="1"/>
    <cellStyle name="Followed Hyperlink" xfId="3631" builtinId="9" hidden="1"/>
    <cellStyle name="Followed Hyperlink" xfId="3633" builtinId="9" hidden="1"/>
    <cellStyle name="Followed Hyperlink" xfId="3635" builtinId="9" hidden="1"/>
    <cellStyle name="Followed Hyperlink" xfId="3637" builtinId="9" hidden="1"/>
    <cellStyle name="Followed Hyperlink" xfId="3639" builtinId="9" hidden="1"/>
    <cellStyle name="Followed Hyperlink" xfId="3641" builtinId="9" hidden="1"/>
    <cellStyle name="Followed Hyperlink" xfId="3643" builtinId="9" hidden="1"/>
    <cellStyle name="Followed Hyperlink" xfId="3645" builtinId="9" hidden="1"/>
    <cellStyle name="Followed Hyperlink" xfId="3647" builtinId="9" hidden="1"/>
    <cellStyle name="Followed Hyperlink" xfId="3649" builtinId="9" hidden="1"/>
    <cellStyle name="Followed Hyperlink" xfId="3651" builtinId="9" hidden="1"/>
    <cellStyle name="Followed Hyperlink" xfId="3653" builtinId="9" hidden="1"/>
    <cellStyle name="Followed Hyperlink" xfId="3655" builtinId="9" hidden="1"/>
    <cellStyle name="Followed Hyperlink" xfId="3657" builtinId="9" hidden="1"/>
    <cellStyle name="Followed Hyperlink" xfId="3659" builtinId="9" hidden="1"/>
    <cellStyle name="Followed Hyperlink" xfId="3661" builtinId="9" hidden="1"/>
    <cellStyle name="Followed Hyperlink" xfId="3663" builtinId="9" hidden="1"/>
    <cellStyle name="Followed Hyperlink" xfId="3665" builtinId="9" hidden="1"/>
    <cellStyle name="Followed Hyperlink" xfId="3667" builtinId="9" hidden="1"/>
    <cellStyle name="Followed Hyperlink" xfId="3669" builtinId="9" hidden="1"/>
    <cellStyle name="Followed Hyperlink" xfId="3671" builtinId="9" hidden="1"/>
    <cellStyle name="Followed Hyperlink" xfId="3673" builtinId="9" hidden="1"/>
    <cellStyle name="Followed Hyperlink" xfId="3675" builtinId="9" hidden="1"/>
    <cellStyle name="Followed Hyperlink" xfId="3677" builtinId="9" hidden="1"/>
    <cellStyle name="Followed Hyperlink" xfId="3679" builtinId="9" hidden="1"/>
    <cellStyle name="Followed Hyperlink" xfId="3681" builtinId="9" hidden="1"/>
    <cellStyle name="Followed Hyperlink" xfId="3683" builtinId="9" hidden="1"/>
    <cellStyle name="Followed Hyperlink" xfId="3685" builtinId="9" hidden="1"/>
    <cellStyle name="Followed Hyperlink" xfId="3687" builtinId="9" hidden="1"/>
    <cellStyle name="Followed Hyperlink" xfId="3689" builtinId="9" hidden="1"/>
    <cellStyle name="Followed Hyperlink" xfId="3691" builtinId="9" hidden="1"/>
    <cellStyle name="Followed Hyperlink" xfId="3693" builtinId="9" hidden="1"/>
    <cellStyle name="Followed Hyperlink" xfId="3695" builtinId="9" hidden="1"/>
    <cellStyle name="Followed Hyperlink" xfId="3697" builtinId="9" hidden="1"/>
    <cellStyle name="Followed Hyperlink" xfId="3699" builtinId="9" hidden="1"/>
    <cellStyle name="Followed Hyperlink" xfId="3701" builtinId="9" hidden="1"/>
    <cellStyle name="Followed Hyperlink" xfId="3703" builtinId="9" hidden="1"/>
    <cellStyle name="Followed Hyperlink" xfId="3705" builtinId="9" hidden="1"/>
    <cellStyle name="Followed Hyperlink" xfId="3707" builtinId="9" hidden="1"/>
    <cellStyle name="Followed Hyperlink" xfId="3709" builtinId="9" hidden="1"/>
    <cellStyle name="Followed Hyperlink" xfId="3711" builtinId="9" hidden="1"/>
    <cellStyle name="Followed Hyperlink" xfId="3713" builtinId="9" hidden="1"/>
    <cellStyle name="Followed Hyperlink" xfId="3715" builtinId="9" hidden="1"/>
    <cellStyle name="Followed Hyperlink" xfId="3717" builtinId="9" hidden="1"/>
    <cellStyle name="Followed Hyperlink" xfId="3719" builtinId="9" hidden="1"/>
    <cellStyle name="Followed Hyperlink" xfId="3721" builtinId="9" hidden="1"/>
    <cellStyle name="Followed Hyperlink" xfId="3723" builtinId="9" hidden="1"/>
    <cellStyle name="Followed Hyperlink" xfId="3725" builtinId="9" hidden="1"/>
    <cellStyle name="Followed Hyperlink" xfId="3727" builtinId="9" hidden="1"/>
    <cellStyle name="Followed Hyperlink" xfId="3729" builtinId="9" hidden="1"/>
    <cellStyle name="Followed Hyperlink" xfId="3731" builtinId="9" hidden="1"/>
    <cellStyle name="Followed Hyperlink" xfId="3733" builtinId="9" hidden="1"/>
    <cellStyle name="Followed Hyperlink" xfId="3735" builtinId="9" hidden="1"/>
    <cellStyle name="Followed Hyperlink" xfId="3737" builtinId="9" hidden="1"/>
    <cellStyle name="Followed Hyperlink" xfId="3739" builtinId="9" hidden="1"/>
    <cellStyle name="Followed Hyperlink" xfId="3741" builtinId="9" hidden="1"/>
    <cellStyle name="Followed Hyperlink" xfId="3743" builtinId="9" hidden="1"/>
    <cellStyle name="Followed Hyperlink" xfId="3745" builtinId="9" hidden="1"/>
    <cellStyle name="Followed Hyperlink" xfId="3747" builtinId="9" hidden="1"/>
    <cellStyle name="Followed Hyperlink" xfId="3749" builtinId="9" hidden="1"/>
    <cellStyle name="Followed Hyperlink" xfId="3751" builtinId="9" hidden="1"/>
    <cellStyle name="Followed Hyperlink" xfId="3753" builtinId="9" hidden="1"/>
    <cellStyle name="Followed Hyperlink" xfId="3755" builtinId="9" hidden="1"/>
    <cellStyle name="Followed Hyperlink" xfId="3757" builtinId="9" hidden="1"/>
    <cellStyle name="Followed Hyperlink" xfId="3759" builtinId="9" hidden="1"/>
    <cellStyle name="Followed Hyperlink" xfId="3761" builtinId="9" hidden="1"/>
    <cellStyle name="Followed Hyperlink" xfId="3763" builtinId="9" hidden="1"/>
    <cellStyle name="Followed Hyperlink" xfId="3765" builtinId="9" hidden="1"/>
    <cellStyle name="Followed Hyperlink" xfId="3767" builtinId="9" hidden="1"/>
    <cellStyle name="Followed Hyperlink" xfId="3769" builtinId="9" hidden="1"/>
    <cellStyle name="Followed Hyperlink" xfId="3771" builtinId="9" hidden="1"/>
    <cellStyle name="Followed Hyperlink" xfId="3773" builtinId="9" hidden="1"/>
    <cellStyle name="Followed Hyperlink" xfId="3775" builtinId="9" hidden="1"/>
    <cellStyle name="Followed Hyperlink" xfId="3777" builtinId="9" hidden="1"/>
    <cellStyle name="Followed Hyperlink" xfId="3779" builtinId="9" hidden="1"/>
    <cellStyle name="Followed Hyperlink" xfId="3781" builtinId="9" hidden="1"/>
    <cellStyle name="Followed Hyperlink" xfId="3783" builtinId="9" hidden="1"/>
    <cellStyle name="Followed Hyperlink" xfId="3785" builtinId="9" hidden="1"/>
    <cellStyle name="Followed Hyperlink" xfId="3787" builtinId="9" hidden="1"/>
    <cellStyle name="Followed Hyperlink" xfId="3789" builtinId="9" hidden="1"/>
    <cellStyle name="Followed Hyperlink" xfId="3791" builtinId="9" hidden="1"/>
    <cellStyle name="Followed Hyperlink" xfId="3793" builtinId="9" hidden="1"/>
    <cellStyle name="Followed Hyperlink" xfId="3795" builtinId="9" hidden="1"/>
    <cellStyle name="Followed Hyperlink" xfId="3797" builtinId="9" hidden="1"/>
    <cellStyle name="Followed Hyperlink" xfId="3799" builtinId="9" hidden="1"/>
    <cellStyle name="Followed Hyperlink" xfId="3801" builtinId="9" hidden="1"/>
    <cellStyle name="Followed Hyperlink" xfId="3803" builtinId="9" hidden="1"/>
    <cellStyle name="Followed Hyperlink" xfId="3805" builtinId="9" hidden="1"/>
    <cellStyle name="Followed Hyperlink" xfId="3807" builtinId="9" hidden="1"/>
    <cellStyle name="Followed Hyperlink" xfId="3809" builtinId="9" hidden="1"/>
    <cellStyle name="Followed Hyperlink" xfId="3811" builtinId="9" hidden="1"/>
    <cellStyle name="Followed Hyperlink" xfId="3813" builtinId="9" hidden="1"/>
    <cellStyle name="Followed Hyperlink" xfId="3815" builtinId="9" hidden="1"/>
    <cellStyle name="Followed Hyperlink" xfId="3817" builtinId="9" hidden="1"/>
    <cellStyle name="Followed Hyperlink" xfId="3819" builtinId="9" hidden="1"/>
    <cellStyle name="Followed Hyperlink" xfId="3821" builtinId="9" hidden="1"/>
    <cellStyle name="Followed Hyperlink" xfId="3823" builtinId="9" hidden="1"/>
    <cellStyle name="Followed Hyperlink" xfId="3825" builtinId="9" hidden="1"/>
    <cellStyle name="Followed Hyperlink" xfId="3827" builtinId="9" hidden="1"/>
    <cellStyle name="Followed Hyperlink" xfId="3829" builtinId="9" hidden="1"/>
    <cellStyle name="Followed Hyperlink" xfId="3831" builtinId="9" hidden="1"/>
    <cellStyle name="Followed Hyperlink" xfId="3833" builtinId="9" hidden="1"/>
    <cellStyle name="Followed Hyperlink" xfId="3835" builtinId="9" hidden="1"/>
    <cellStyle name="Followed Hyperlink" xfId="3837" builtinId="9" hidden="1"/>
    <cellStyle name="Followed Hyperlink" xfId="3839" builtinId="9" hidden="1"/>
    <cellStyle name="Followed Hyperlink" xfId="3841" builtinId="9" hidden="1"/>
    <cellStyle name="Followed Hyperlink" xfId="3843" builtinId="9" hidden="1"/>
    <cellStyle name="Followed Hyperlink" xfId="3845" builtinId="9" hidden="1"/>
    <cellStyle name="Followed Hyperlink" xfId="3847" builtinId="9" hidden="1"/>
    <cellStyle name="Followed Hyperlink" xfId="3849" builtinId="9" hidden="1"/>
    <cellStyle name="Followed Hyperlink" xfId="3851" builtinId="9" hidden="1"/>
    <cellStyle name="Followed Hyperlink" xfId="3853" builtinId="9" hidden="1"/>
    <cellStyle name="Followed Hyperlink" xfId="3855" builtinId="9" hidden="1"/>
    <cellStyle name="Followed Hyperlink" xfId="3857" builtinId="9" hidden="1"/>
    <cellStyle name="Followed Hyperlink" xfId="3859" builtinId="9" hidden="1"/>
    <cellStyle name="Followed Hyperlink" xfId="3861" builtinId="9" hidden="1"/>
    <cellStyle name="Followed Hyperlink" xfId="3863" builtinId="9" hidden="1"/>
    <cellStyle name="Followed Hyperlink" xfId="3865" builtinId="9" hidden="1"/>
    <cellStyle name="Followed Hyperlink" xfId="3867" builtinId="9" hidden="1"/>
    <cellStyle name="Followed Hyperlink" xfId="3869" builtinId="9" hidden="1"/>
    <cellStyle name="Followed Hyperlink" xfId="3871" builtinId="9" hidden="1"/>
    <cellStyle name="Followed Hyperlink" xfId="3873" builtinId="9" hidden="1"/>
    <cellStyle name="Followed Hyperlink" xfId="3875" builtinId="9" hidden="1"/>
    <cellStyle name="Followed Hyperlink" xfId="3877" builtinId="9" hidden="1"/>
    <cellStyle name="Followed Hyperlink" xfId="3879" builtinId="9" hidden="1"/>
    <cellStyle name="Followed Hyperlink" xfId="3881" builtinId="9" hidden="1"/>
    <cellStyle name="Followed Hyperlink" xfId="3883" builtinId="9" hidden="1"/>
    <cellStyle name="Followed Hyperlink" xfId="3885" builtinId="9" hidden="1"/>
    <cellStyle name="Followed Hyperlink" xfId="3887" builtinId="9" hidden="1"/>
    <cellStyle name="Followed Hyperlink" xfId="3889" builtinId="9" hidden="1"/>
    <cellStyle name="Followed Hyperlink" xfId="3891" builtinId="9" hidden="1"/>
    <cellStyle name="Followed Hyperlink" xfId="3893" builtinId="9" hidden="1"/>
    <cellStyle name="Followed Hyperlink" xfId="3895" builtinId="9" hidden="1"/>
    <cellStyle name="Followed Hyperlink" xfId="3897" builtinId="9" hidden="1"/>
    <cellStyle name="Followed Hyperlink" xfId="3899" builtinId="9" hidden="1"/>
    <cellStyle name="Followed Hyperlink" xfId="3901" builtinId="9" hidden="1"/>
    <cellStyle name="Followed Hyperlink" xfId="3903" builtinId="9" hidden="1"/>
    <cellStyle name="Followed Hyperlink" xfId="3905" builtinId="9" hidden="1"/>
    <cellStyle name="Followed Hyperlink" xfId="3907" builtinId="9" hidden="1"/>
    <cellStyle name="Followed Hyperlink" xfId="3909" builtinId="9" hidden="1"/>
    <cellStyle name="Followed Hyperlink" xfId="3911" builtinId="9" hidden="1"/>
    <cellStyle name="Followed Hyperlink" xfId="3913" builtinId="9" hidden="1"/>
    <cellStyle name="Followed Hyperlink" xfId="3915" builtinId="9" hidden="1"/>
    <cellStyle name="Followed Hyperlink" xfId="3917" builtinId="9" hidden="1"/>
    <cellStyle name="Followed Hyperlink" xfId="3919" builtinId="9" hidden="1"/>
    <cellStyle name="Followed Hyperlink" xfId="3921" builtinId="9" hidden="1"/>
    <cellStyle name="Followed Hyperlink" xfId="3923" builtinId="9" hidden="1"/>
    <cellStyle name="Followed Hyperlink" xfId="3925" builtinId="9" hidden="1"/>
    <cellStyle name="Followed Hyperlink" xfId="3927" builtinId="9" hidden="1"/>
    <cellStyle name="Followed Hyperlink" xfId="3929" builtinId="9" hidden="1"/>
    <cellStyle name="Followed Hyperlink" xfId="3931" builtinId="9" hidden="1"/>
    <cellStyle name="Followed Hyperlink" xfId="3933" builtinId="9" hidden="1"/>
    <cellStyle name="Followed Hyperlink" xfId="3935" builtinId="9" hidden="1"/>
    <cellStyle name="Followed Hyperlink" xfId="3937" builtinId="9" hidden="1"/>
    <cellStyle name="Followed Hyperlink" xfId="3939" builtinId="9" hidden="1"/>
    <cellStyle name="Followed Hyperlink" xfId="3941" builtinId="9" hidden="1"/>
    <cellStyle name="Followed Hyperlink" xfId="3943" builtinId="9" hidden="1"/>
    <cellStyle name="Followed Hyperlink" xfId="3945" builtinId="9" hidden="1"/>
    <cellStyle name="Followed Hyperlink" xfId="3947" builtinId="9" hidden="1"/>
    <cellStyle name="Followed Hyperlink" xfId="3949" builtinId="9" hidden="1"/>
    <cellStyle name="Followed Hyperlink" xfId="3951" builtinId="9" hidden="1"/>
    <cellStyle name="Followed Hyperlink" xfId="3953" builtinId="9" hidden="1"/>
    <cellStyle name="Followed Hyperlink" xfId="3955" builtinId="9" hidden="1"/>
    <cellStyle name="Followed Hyperlink" xfId="3957" builtinId="9" hidden="1"/>
    <cellStyle name="Followed Hyperlink" xfId="3959" builtinId="9" hidden="1"/>
    <cellStyle name="Followed Hyperlink" xfId="3961" builtinId="9" hidden="1"/>
    <cellStyle name="Followed Hyperlink" xfId="3963" builtinId="9" hidden="1"/>
    <cellStyle name="Followed Hyperlink" xfId="3965" builtinId="9" hidden="1"/>
    <cellStyle name="Followed Hyperlink" xfId="3967" builtinId="9" hidden="1"/>
    <cellStyle name="Followed Hyperlink" xfId="3969" builtinId="9" hidden="1"/>
    <cellStyle name="Followed Hyperlink" xfId="3971" builtinId="9" hidden="1"/>
    <cellStyle name="Followed Hyperlink" xfId="3973" builtinId="9" hidden="1"/>
    <cellStyle name="Followed Hyperlink" xfId="3975" builtinId="9" hidden="1"/>
    <cellStyle name="Followed Hyperlink" xfId="3977" builtinId="9" hidden="1"/>
    <cellStyle name="Followed Hyperlink" xfId="3979" builtinId="9" hidden="1"/>
    <cellStyle name="Followed Hyperlink" xfId="3981" builtinId="9" hidden="1"/>
    <cellStyle name="Followed Hyperlink" xfId="3983" builtinId="9" hidden="1"/>
    <cellStyle name="Followed Hyperlink" xfId="3985" builtinId="9" hidden="1"/>
    <cellStyle name="Followed Hyperlink" xfId="3987" builtinId="9" hidden="1"/>
    <cellStyle name="Followed Hyperlink" xfId="3989" builtinId="9" hidden="1"/>
    <cellStyle name="Followed Hyperlink" xfId="3991" builtinId="9" hidden="1"/>
    <cellStyle name="Followed Hyperlink" xfId="3993" builtinId="9" hidden="1"/>
    <cellStyle name="Followed Hyperlink" xfId="3995" builtinId="9" hidden="1"/>
    <cellStyle name="Followed Hyperlink" xfId="3997" builtinId="9" hidden="1"/>
    <cellStyle name="Followed Hyperlink" xfId="3998" builtinId="9" hidden="1"/>
    <cellStyle name="Followed Hyperlink" xfId="3999" builtinId="9" hidden="1"/>
    <cellStyle name="Followed Hyperlink" xfId="4000" builtinId="9" hidden="1"/>
    <cellStyle name="Followed Hyperlink" xfId="4001" builtinId="9" hidden="1"/>
    <cellStyle name="Followed Hyperlink" xfId="4002" builtinId="9" hidden="1"/>
    <cellStyle name="Followed Hyperlink" xfId="4003" builtinId="9" hidden="1"/>
    <cellStyle name="Followed Hyperlink" xfId="4004" builtinId="9" hidden="1"/>
    <cellStyle name="Followed Hyperlink" xfId="4005" builtinId="9" hidden="1"/>
    <cellStyle name="Followed Hyperlink" xfId="4006" builtinId="9" hidden="1"/>
    <cellStyle name="Followed Hyperlink" xfId="4007" builtinId="9" hidden="1"/>
    <cellStyle name="Followed Hyperlink" xfId="4008" builtinId="9" hidden="1"/>
    <cellStyle name="Followed Hyperlink" xfId="4009" builtinId="9" hidden="1"/>
    <cellStyle name="Followed Hyperlink" xfId="4010" builtinId="9" hidden="1"/>
    <cellStyle name="Followed Hyperlink" xfId="4011" builtinId="9" hidden="1"/>
    <cellStyle name="Followed Hyperlink" xfId="4012" builtinId="9" hidden="1"/>
    <cellStyle name="Followed Hyperlink" xfId="4013" builtinId="9" hidden="1"/>
    <cellStyle name="Followed Hyperlink" xfId="4014" builtinId="9" hidden="1"/>
    <cellStyle name="Followed Hyperlink" xfId="4015" builtinId="9" hidden="1"/>
    <cellStyle name="Followed Hyperlink" xfId="4016" builtinId="9" hidden="1"/>
    <cellStyle name="Followed Hyperlink" xfId="4024" builtinId="9" hidden="1"/>
    <cellStyle name="Followed Hyperlink" xfId="4025" builtinId="9" hidden="1"/>
    <cellStyle name="Followed Hyperlink" xfId="4026" builtinId="9" hidden="1"/>
    <cellStyle name="Followed Hyperlink" xfId="4027" builtinId="9" hidden="1"/>
    <cellStyle name="Followed Hyperlink" xfId="4028" builtinId="9" hidden="1"/>
    <cellStyle name="Followed Hyperlink" xfId="4029" builtinId="9" hidden="1"/>
    <cellStyle name="Followed Hyperlink" xfId="4030" builtinId="9" hidden="1"/>
    <cellStyle name="Followed Hyperlink" xfId="4031" builtinId="9" hidden="1"/>
    <cellStyle name="Followed Hyperlink" xfId="4032" builtinId="9" hidden="1"/>
    <cellStyle name="Followed Hyperlink" xfId="4033" builtinId="9" hidden="1"/>
    <cellStyle name="Followed Hyperlink" xfId="4034" builtinId="9" hidden="1"/>
    <cellStyle name="Followed Hyperlink" xfId="4035" builtinId="9" hidden="1"/>
    <cellStyle name="Followed Hyperlink" xfId="4036" builtinId="9" hidden="1"/>
    <cellStyle name="Followed Hyperlink" xfId="4037" builtinId="9" hidden="1"/>
    <cellStyle name="Followed Hyperlink" xfId="4038" builtinId="9" hidden="1"/>
    <cellStyle name="Followed Hyperlink" xfId="4039" builtinId="9" hidden="1"/>
    <cellStyle name="Followed Hyperlink" xfId="4040" builtinId="9" hidden="1"/>
    <cellStyle name="Followed Hyperlink" xfId="4041" builtinId="9" hidden="1"/>
    <cellStyle name="Followed Hyperlink" xfId="4042" builtinId="9" hidden="1"/>
    <cellStyle name="Followed Hyperlink" xfId="4043" builtinId="9" hidden="1"/>
    <cellStyle name="Followed Hyperlink" xfId="4044" builtinId="9" hidden="1"/>
    <cellStyle name="Followed Hyperlink" xfId="4045" builtinId="9" hidden="1"/>
    <cellStyle name="Followed Hyperlink" xfId="4046" builtinId="9" hidden="1"/>
    <cellStyle name="Followed Hyperlink" xfId="4047" builtinId="9" hidden="1"/>
    <cellStyle name="Followed Hyperlink" xfId="4048" builtinId="9" hidden="1"/>
    <cellStyle name="Followed Hyperlink" xfId="4049" builtinId="9" hidden="1"/>
    <cellStyle name="Followed Hyperlink" xfId="4050" builtinId="9" hidden="1"/>
    <cellStyle name="Followed Hyperlink" xfId="4051" builtinId="9" hidden="1"/>
    <cellStyle name="Followed Hyperlink" xfId="4052" builtinId="9" hidden="1"/>
    <cellStyle name="Followed Hyperlink" xfId="4053" builtinId="9" hidden="1"/>
    <cellStyle name="Followed Hyperlink" xfId="4054" builtinId="9" hidden="1"/>
    <cellStyle name="Followed Hyperlink" xfId="4055" builtinId="9" hidden="1"/>
    <cellStyle name="Followed Hyperlink" xfId="4056" builtinId="9" hidden="1"/>
    <cellStyle name="Followed Hyperlink" xfId="4057" builtinId="9" hidden="1"/>
    <cellStyle name="Followed Hyperlink" xfId="4058" builtinId="9" hidden="1"/>
    <cellStyle name="Followed Hyperlink" xfId="4059" builtinId="9" hidden="1"/>
    <cellStyle name="Followed Hyperlink" xfId="4060" builtinId="9" hidden="1"/>
    <cellStyle name="Followed Hyperlink" xfId="4061" builtinId="9" hidden="1"/>
    <cellStyle name="Followed Hyperlink" xfId="4062" builtinId="9" hidden="1"/>
    <cellStyle name="Followed Hyperlink" xfId="4063" builtinId="9" hidden="1"/>
    <cellStyle name="Followed Hyperlink" xfId="4064" builtinId="9" hidden="1"/>
    <cellStyle name="Followed Hyperlink" xfId="4065" builtinId="9" hidden="1"/>
    <cellStyle name="Followed Hyperlink" xfId="4066" builtinId="9" hidden="1"/>
    <cellStyle name="Followed Hyperlink" xfId="4067" builtinId="9" hidden="1"/>
    <cellStyle name="Followed Hyperlink" xfId="4068" builtinId="9" hidden="1"/>
    <cellStyle name="Followed Hyperlink" xfId="4069" builtinId="9" hidden="1"/>
    <cellStyle name="Followed Hyperlink" xfId="4070" builtinId="9" hidden="1"/>
    <cellStyle name="Followed Hyperlink" xfId="4071" builtinId="9" hidden="1"/>
    <cellStyle name="Followed Hyperlink" xfId="4072" builtinId="9" hidden="1"/>
    <cellStyle name="Followed Hyperlink" xfId="4073" builtinId="9" hidden="1"/>
    <cellStyle name="Followed Hyperlink" xfId="4074" builtinId="9" hidden="1"/>
    <cellStyle name="Followed Hyperlink" xfId="4075" builtinId="9" hidden="1"/>
    <cellStyle name="Followed Hyperlink" xfId="4076" builtinId="9" hidden="1"/>
    <cellStyle name="Followed Hyperlink" xfId="4077" builtinId="9" hidden="1"/>
    <cellStyle name="Followed Hyperlink" xfId="4080" builtinId="9" hidden="1"/>
    <cellStyle name="Followed Hyperlink" xfId="4081" builtinId="9" hidden="1"/>
    <cellStyle name="Followed Hyperlink" xfId="4082" builtinId="9" hidden="1"/>
    <cellStyle name="Followed Hyperlink" xfId="4083" builtinId="9" hidden="1"/>
    <cellStyle name="Followed Hyperlink" xfId="4084" builtinId="9" hidden="1"/>
    <cellStyle name="Followed Hyperlink" xfId="4085" builtinId="9" hidden="1"/>
    <cellStyle name="Followed Hyperlink" xfId="4086" builtinId="9" hidden="1"/>
    <cellStyle name="Followed Hyperlink" xfId="4087" builtinId="9" hidden="1"/>
    <cellStyle name="Followed Hyperlink" xfId="4088" builtinId="9" hidden="1"/>
    <cellStyle name="Followed Hyperlink" xfId="4089" builtinId="9" hidden="1"/>
    <cellStyle name="Followed Hyperlink" xfId="4090" builtinId="9" hidden="1"/>
    <cellStyle name="Followed Hyperlink" xfId="4091" builtinId="9" hidden="1"/>
    <cellStyle name="Followed Hyperlink" xfId="4092" builtinId="9" hidden="1"/>
    <cellStyle name="Followed Hyperlink" xfId="4093" builtinId="9" hidden="1"/>
    <cellStyle name="Followed Hyperlink" xfId="4094" builtinId="9" hidden="1"/>
    <cellStyle name="Followed Hyperlink" xfId="4095" builtinId="9" hidden="1"/>
    <cellStyle name="Followed Hyperlink" xfId="4096" builtinId="9" hidden="1"/>
    <cellStyle name="Followed Hyperlink" xfId="4097" builtinId="9" hidden="1"/>
    <cellStyle name="Followed Hyperlink" xfId="4098" builtinId="9" hidden="1"/>
    <cellStyle name="Followed Hyperlink" xfId="4099" builtinId="9" hidden="1"/>
    <cellStyle name="Followed Hyperlink" xfId="4100" builtinId="9" hidden="1"/>
    <cellStyle name="Followed Hyperlink" xfId="4101" builtinId="9" hidden="1"/>
    <cellStyle name="Followed Hyperlink" xfId="4102" builtinId="9" hidden="1"/>
    <cellStyle name="Followed Hyperlink" xfId="4103" builtinId="9" hidden="1"/>
    <cellStyle name="Followed Hyperlink" xfId="4104" builtinId="9" hidden="1"/>
    <cellStyle name="Followed Hyperlink" xfId="4105" builtinId="9" hidden="1"/>
    <cellStyle name="Followed Hyperlink" xfId="4106" builtinId="9" hidden="1"/>
    <cellStyle name="Followed Hyperlink" xfId="4107" builtinId="9" hidden="1"/>
    <cellStyle name="Followed Hyperlink" xfId="4108" builtinId="9" hidden="1"/>
    <cellStyle name="Followed Hyperlink" xfId="4109" builtinId="9" hidden="1"/>
    <cellStyle name="Followed Hyperlink" xfId="4110" builtinId="9" hidden="1"/>
    <cellStyle name="Followed Hyperlink" xfId="4111" builtinId="9" hidden="1"/>
    <cellStyle name="Followed Hyperlink" xfId="4112" builtinId="9" hidden="1"/>
    <cellStyle name="Followed Hyperlink" xfId="4113" builtinId="9" hidden="1"/>
    <cellStyle name="Followed Hyperlink" xfId="4114" builtinId="9" hidden="1"/>
    <cellStyle name="Followed Hyperlink" xfId="4115" builtinId="9" hidden="1"/>
    <cellStyle name="Followed Hyperlink" xfId="4116" builtinId="9" hidden="1"/>
    <cellStyle name="Followed Hyperlink" xfId="4117" builtinId="9" hidden="1"/>
    <cellStyle name="Followed Hyperlink" xfId="4118" builtinId="9" hidden="1"/>
    <cellStyle name="Followed Hyperlink" xfId="4119" builtinId="9" hidden="1"/>
    <cellStyle name="Followed Hyperlink" xfId="4120" builtinId="9" hidden="1"/>
    <cellStyle name="Followed Hyperlink" xfId="4121" builtinId="9" hidden="1"/>
    <cellStyle name="Followed Hyperlink" xfId="4122" builtinId="9" hidden="1"/>
    <cellStyle name="Good" xfId="4022" builtinId="26"/>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1" builtinId="8" hidden="1"/>
    <cellStyle name="Hyperlink" xfId="973" builtinId="8" hidden="1"/>
    <cellStyle name="Hyperlink" xfId="975" builtinId="8" hidden="1"/>
    <cellStyle name="Hyperlink" xfId="977" builtinId="8" hidden="1"/>
    <cellStyle name="Hyperlink" xfId="979" builtinId="8" hidden="1"/>
    <cellStyle name="Hyperlink" xfId="981" builtinId="8" hidden="1"/>
    <cellStyle name="Hyperlink" xfId="983" builtinId="8" hidden="1"/>
    <cellStyle name="Hyperlink" xfId="985" builtinId="8" hidden="1"/>
    <cellStyle name="Hyperlink" xfId="987" builtinId="8" hidden="1"/>
    <cellStyle name="Hyperlink" xfId="989" builtinId="8" hidden="1"/>
    <cellStyle name="Hyperlink" xfId="991" builtinId="8" hidden="1"/>
    <cellStyle name="Hyperlink" xfId="993" builtinId="8" hidden="1"/>
    <cellStyle name="Hyperlink" xfId="995" builtinId="8" hidden="1"/>
    <cellStyle name="Hyperlink" xfId="997" builtinId="8" hidden="1"/>
    <cellStyle name="Hyperlink" xfId="999" builtinId="8" hidden="1"/>
    <cellStyle name="Hyperlink" xfId="1001" builtinId="8" hidden="1"/>
    <cellStyle name="Hyperlink" xfId="1003" builtinId="8" hidden="1"/>
    <cellStyle name="Hyperlink" xfId="1005" builtinId="8" hidden="1"/>
    <cellStyle name="Hyperlink" xfId="1007" builtinId="8" hidden="1"/>
    <cellStyle name="Hyperlink" xfId="1009" builtinId="8" hidden="1"/>
    <cellStyle name="Hyperlink" xfId="1011" builtinId="8" hidden="1"/>
    <cellStyle name="Hyperlink" xfId="1013" builtinId="8" hidden="1"/>
    <cellStyle name="Hyperlink" xfId="1015" builtinId="8" hidden="1"/>
    <cellStyle name="Hyperlink" xfId="1017" builtinId="8" hidden="1"/>
    <cellStyle name="Hyperlink" xfId="1019" builtinId="8" hidden="1"/>
    <cellStyle name="Hyperlink" xfId="1021" builtinId="8" hidden="1"/>
    <cellStyle name="Hyperlink" xfId="1023" builtinId="8" hidden="1"/>
    <cellStyle name="Hyperlink" xfId="1025" builtinId="8" hidden="1"/>
    <cellStyle name="Hyperlink" xfId="1027" builtinId="8" hidden="1"/>
    <cellStyle name="Hyperlink" xfId="1029" builtinId="8" hidden="1"/>
    <cellStyle name="Hyperlink" xfId="1031" builtinId="8" hidden="1"/>
    <cellStyle name="Hyperlink" xfId="1033" builtinId="8" hidden="1"/>
    <cellStyle name="Hyperlink" xfId="1035" builtinId="8" hidden="1"/>
    <cellStyle name="Hyperlink" xfId="1037" builtinId="8" hidden="1"/>
    <cellStyle name="Hyperlink" xfId="1039" builtinId="8" hidden="1"/>
    <cellStyle name="Hyperlink" xfId="1041" builtinId="8" hidden="1"/>
    <cellStyle name="Hyperlink" xfId="1043" builtinId="8" hidden="1"/>
    <cellStyle name="Hyperlink" xfId="1045" builtinId="8" hidden="1"/>
    <cellStyle name="Hyperlink" xfId="1047" builtinId="8" hidden="1"/>
    <cellStyle name="Hyperlink" xfId="1049" builtinId="8" hidden="1"/>
    <cellStyle name="Hyperlink" xfId="1051" builtinId="8" hidden="1"/>
    <cellStyle name="Hyperlink" xfId="1053" builtinId="8" hidden="1"/>
    <cellStyle name="Hyperlink" xfId="1055" builtinId="8" hidden="1"/>
    <cellStyle name="Hyperlink" xfId="1057" builtinId="8" hidden="1"/>
    <cellStyle name="Hyperlink" xfId="1059" builtinId="8" hidden="1"/>
    <cellStyle name="Hyperlink" xfId="1061" builtinId="8" hidden="1"/>
    <cellStyle name="Hyperlink" xfId="1063" builtinId="8" hidden="1"/>
    <cellStyle name="Hyperlink" xfId="1065" builtinId="8" hidden="1"/>
    <cellStyle name="Hyperlink" xfId="1067" builtinId="8" hidden="1"/>
    <cellStyle name="Hyperlink" xfId="1069" builtinId="8" hidden="1"/>
    <cellStyle name="Hyperlink" xfId="1071" builtinId="8" hidden="1"/>
    <cellStyle name="Hyperlink" xfId="1073" builtinId="8" hidden="1"/>
    <cellStyle name="Hyperlink" xfId="1075" builtinId="8" hidden="1"/>
    <cellStyle name="Hyperlink" xfId="1077" builtinId="8" hidden="1"/>
    <cellStyle name="Hyperlink" xfId="1079" builtinId="8" hidden="1"/>
    <cellStyle name="Hyperlink" xfId="1081" builtinId="8" hidden="1"/>
    <cellStyle name="Hyperlink" xfId="1083" builtinId="8" hidden="1"/>
    <cellStyle name="Hyperlink" xfId="1085" builtinId="8" hidden="1"/>
    <cellStyle name="Hyperlink" xfId="1087" builtinId="8" hidden="1"/>
    <cellStyle name="Hyperlink" xfId="1089" builtinId="8" hidden="1"/>
    <cellStyle name="Hyperlink" xfId="1091" builtinId="8" hidden="1"/>
    <cellStyle name="Hyperlink" xfId="1093" builtinId="8" hidden="1"/>
    <cellStyle name="Hyperlink" xfId="1095" builtinId="8" hidden="1"/>
    <cellStyle name="Hyperlink" xfId="1097" builtinId="8" hidden="1"/>
    <cellStyle name="Hyperlink" xfId="1099" builtinId="8" hidden="1"/>
    <cellStyle name="Hyperlink" xfId="1101" builtinId="8" hidden="1"/>
    <cellStyle name="Hyperlink" xfId="1103" builtinId="8" hidden="1"/>
    <cellStyle name="Hyperlink" xfId="1105" builtinId="8" hidden="1"/>
    <cellStyle name="Hyperlink" xfId="1107" builtinId="8" hidden="1"/>
    <cellStyle name="Hyperlink" xfId="1109" builtinId="8" hidden="1"/>
    <cellStyle name="Hyperlink" xfId="1111" builtinId="8" hidden="1"/>
    <cellStyle name="Hyperlink" xfId="1113" builtinId="8" hidden="1"/>
    <cellStyle name="Hyperlink" xfId="1115" builtinId="8" hidden="1"/>
    <cellStyle name="Hyperlink" xfId="1117" builtinId="8" hidden="1"/>
    <cellStyle name="Hyperlink" xfId="1119" builtinId="8" hidden="1"/>
    <cellStyle name="Hyperlink" xfId="1121" builtinId="8" hidden="1"/>
    <cellStyle name="Hyperlink" xfId="1123" builtinId="8" hidden="1"/>
    <cellStyle name="Hyperlink" xfId="1125" builtinId="8" hidden="1"/>
    <cellStyle name="Hyperlink" xfId="1127" builtinId="8" hidden="1"/>
    <cellStyle name="Hyperlink" xfId="1129" builtinId="8" hidden="1"/>
    <cellStyle name="Hyperlink" xfId="1131" builtinId="8" hidden="1"/>
    <cellStyle name="Hyperlink" xfId="1133" builtinId="8" hidden="1"/>
    <cellStyle name="Hyperlink" xfId="1135" builtinId="8" hidden="1"/>
    <cellStyle name="Hyperlink" xfId="1137" builtinId="8" hidden="1"/>
    <cellStyle name="Hyperlink" xfId="1139" builtinId="8" hidden="1"/>
    <cellStyle name="Hyperlink" xfId="1141" builtinId="8" hidden="1"/>
    <cellStyle name="Hyperlink" xfId="1143" builtinId="8" hidden="1"/>
    <cellStyle name="Hyperlink" xfId="1145" builtinId="8" hidden="1"/>
    <cellStyle name="Hyperlink" xfId="1147" builtinId="8" hidden="1"/>
    <cellStyle name="Hyperlink" xfId="1149" builtinId="8" hidden="1"/>
    <cellStyle name="Hyperlink" xfId="1151" builtinId="8" hidden="1"/>
    <cellStyle name="Hyperlink" xfId="1153" builtinId="8" hidden="1"/>
    <cellStyle name="Hyperlink" xfId="1155" builtinId="8" hidden="1"/>
    <cellStyle name="Hyperlink" xfId="1157" builtinId="8" hidden="1"/>
    <cellStyle name="Hyperlink" xfId="1159" builtinId="8" hidden="1"/>
    <cellStyle name="Hyperlink" xfId="1161" builtinId="8" hidden="1"/>
    <cellStyle name="Hyperlink" xfId="1163" builtinId="8" hidden="1"/>
    <cellStyle name="Hyperlink" xfId="1165" builtinId="8" hidden="1"/>
    <cellStyle name="Hyperlink" xfId="1167" builtinId="8" hidden="1"/>
    <cellStyle name="Hyperlink" xfId="1169" builtinId="8" hidden="1"/>
    <cellStyle name="Hyperlink" xfId="1171" builtinId="8" hidden="1"/>
    <cellStyle name="Hyperlink" xfId="1173" builtinId="8" hidden="1"/>
    <cellStyle name="Hyperlink" xfId="1175" builtinId="8" hidden="1"/>
    <cellStyle name="Hyperlink" xfId="1177" builtinId="8" hidden="1"/>
    <cellStyle name="Hyperlink" xfId="1179" builtinId="8" hidden="1"/>
    <cellStyle name="Hyperlink" xfId="1181" builtinId="8" hidden="1"/>
    <cellStyle name="Hyperlink" xfId="1183" builtinId="8" hidden="1"/>
    <cellStyle name="Hyperlink" xfId="1185" builtinId="8" hidden="1"/>
    <cellStyle name="Hyperlink" xfId="1187" builtinId="8" hidden="1"/>
    <cellStyle name="Hyperlink" xfId="1204" builtinId="8" hidden="1"/>
    <cellStyle name="Hyperlink" xfId="1206" builtinId="8" hidden="1"/>
    <cellStyle name="Hyperlink" xfId="1208" builtinId="8" hidden="1"/>
    <cellStyle name="Hyperlink" xfId="1210" builtinId="8" hidden="1"/>
    <cellStyle name="Hyperlink" xfId="1212" builtinId="8" hidden="1"/>
    <cellStyle name="Hyperlink" xfId="1214" builtinId="8" hidden="1"/>
    <cellStyle name="Hyperlink" xfId="1216" builtinId="8" hidden="1"/>
    <cellStyle name="Hyperlink" xfId="1218" builtinId="8" hidden="1"/>
    <cellStyle name="Hyperlink" xfId="1220" builtinId="8" hidden="1"/>
    <cellStyle name="Hyperlink" xfId="1222" builtinId="8" hidden="1"/>
    <cellStyle name="Hyperlink" xfId="1224" builtinId="8" hidden="1"/>
    <cellStyle name="Hyperlink" xfId="1226" builtinId="8" hidden="1"/>
    <cellStyle name="Hyperlink" xfId="1228" builtinId="8" hidden="1"/>
    <cellStyle name="Hyperlink" xfId="1230" builtinId="8" hidden="1"/>
    <cellStyle name="Hyperlink" xfId="1232" builtinId="8" hidden="1"/>
    <cellStyle name="Hyperlink" xfId="1234" builtinId="8" hidden="1"/>
    <cellStyle name="Hyperlink" xfId="1236" builtinId="8" hidden="1"/>
    <cellStyle name="Hyperlink" xfId="1238" builtinId="8" hidden="1"/>
    <cellStyle name="Hyperlink" xfId="1240" builtinId="8" hidden="1"/>
    <cellStyle name="Hyperlink" xfId="1242" builtinId="8" hidden="1"/>
    <cellStyle name="Hyperlink" xfId="1244" builtinId="8" hidden="1"/>
    <cellStyle name="Hyperlink" xfId="1246" builtinId="8" hidden="1"/>
    <cellStyle name="Hyperlink" xfId="1248" builtinId="8" hidden="1"/>
    <cellStyle name="Hyperlink" xfId="1250" builtinId="8" hidden="1"/>
    <cellStyle name="Hyperlink" xfId="1252" builtinId="8" hidden="1"/>
    <cellStyle name="Hyperlink" xfId="1254" builtinId="8" hidden="1"/>
    <cellStyle name="Hyperlink" xfId="1256" builtinId="8" hidden="1"/>
    <cellStyle name="Hyperlink" xfId="1258" builtinId="8" hidden="1"/>
    <cellStyle name="Hyperlink" xfId="1260" builtinId="8" hidden="1"/>
    <cellStyle name="Hyperlink" xfId="1262" builtinId="8" hidden="1"/>
    <cellStyle name="Hyperlink" xfId="1264" builtinId="8" hidden="1"/>
    <cellStyle name="Hyperlink" xfId="1266" builtinId="8" hidden="1"/>
    <cellStyle name="Hyperlink" xfId="1268" builtinId="8" hidden="1"/>
    <cellStyle name="Hyperlink" xfId="1270" builtinId="8" hidden="1"/>
    <cellStyle name="Hyperlink" xfId="1272" builtinId="8" hidden="1"/>
    <cellStyle name="Hyperlink" xfId="1274" builtinId="8" hidden="1"/>
    <cellStyle name="Hyperlink" xfId="1276" builtinId="8" hidden="1"/>
    <cellStyle name="Hyperlink" xfId="1278" builtinId="8" hidden="1"/>
    <cellStyle name="Hyperlink" xfId="1280" builtinId="8" hidden="1"/>
    <cellStyle name="Hyperlink" xfId="1282" builtinId="8" hidden="1"/>
    <cellStyle name="Hyperlink" xfId="1284" builtinId="8" hidden="1"/>
    <cellStyle name="Hyperlink" xfId="1286" builtinId="8" hidden="1"/>
    <cellStyle name="Hyperlink" xfId="1288" builtinId="8" hidden="1"/>
    <cellStyle name="Hyperlink" xfId="1290" builtinId="8" hidden="1"/>
    <cellStyle name="Hyperlink" xfId="1292" builtinId="8" hidden="1"/>
    <cellStyle name="Hyperlink" xfId="1294" builtinId="8" hidden="1"/>
    <cellStyle name="Hyperlink" xfId="1296" builtinId="8" hidden="1"/>
    <cellStyle name="Hyperlink" xfId="1298" builtinId="8" hidden="1"/>
    <cellStyle name="Hyperlink" xfId="1300" builtinId="8" hidden="1"/>
    <cellStyle name="Hyperlink" xfId="1302" builtinId="8" hidden="1"/>
    <cellStyle name="Hyperlink" xfId="1304" builtinId="8" hidden="1"/>
    <cellStyle name="Hyperlink" xfId="1306" builtinId="8" hidden="1"/>
    <cellStyle name="Hyperlink" xfId="1308" builtinId="8" hidden="1"/>
    <cellStyle name="Hyperlink" xfId="1310" builtinId="8" hidden="1"/>
    <cellStyle name="Hyperlink" xfId="1312" builtinId="8" hidden="1"/>
    <cellStyle name="Hyperlink" xfId="1314" builtinId="8" hidden="1"/>
    <cellStyle name="Hyperlink" xfId="1316" builtinId="8" hidden="1"/>
    <cellStyle name="Hyperlink" xfId="1318" builtinId="8" hidden="1"/>
    <cellStyle name="Hyperlink" xfId="1320" builtinId="8" hidden="1"/>
    <cellStyle name="Hyperlink" xfId="1322" builtinId="8" hidden="1"/>
    <cellStyle name="Hyperlink" xfId="1324" builtinId="8" hidden="1"/>
    <cellStyle name="Hyperlink" xfId="1326" builtinId="8" hidden="1"/>
    <cellStyle name="Hyperlink" xfId="1328" builtinId="8" hidden="1"/>
    <cellStyle name="Hyperlink" xfId="1330" builtinId="8" hidden="1"/>
    <cellStyle name="Hyperlink" xfId="1332" builtinId="8" hidden="1"/>
    <cellStyle name="Hyperlink" xfId="1334" builtinId="8" hidden="1"/>
    <cellStyle name="Hyperlink" xfId="1336" builtinId="8" hidden="1"/>
    <cellStyle name="Hyperlink" xfId="1338" builtinId="8" hidden="1"/>
    <cellStyle name="Hyperlink" xfId="1340" builtinId="8" hidden="1"/>
    <cellStyle name="Hyperlink" xfId="1342" builtinId="8" hidden="1"/>
    <cellStyle name="Hyperlink" xfId="1344" builtinId="8" hidden="1"/>
    <cellStyle name="Hyperlink" xfId="1346" builtinId="8" hidden="1"/>
    <cellStyle name="Hyperlink" xfId="1348" builtinId="8" hidden="1"/>
    <cellStyle name="Hyperlink" xfId="1350" builtinId="8" hidden="1"/>
    <cellStyle name="Hyperlink" xfId="1352" builtinId="8" hidden="1"/>
    <cellStyle name="Hyperlink" xfId="1354" builtinId="8" hidden="1"/>
    <cellStyle name="Hyperlink" xfId="1356" builtinId="8" hidden="1"/>
    <cellStyle name="Hyperlink" xfId="1358" builtinId="8" hidden="1"/>
    <cellStyle name="Hyperlink" xfId="1360" builtinId="8" hidden="1"/>
    <cellStyle name="Hyperlink" xfId="1362" builtinId="8" hidden="1"/>
    <cellStyle name="Hyperlink" xfId="1364" builtinId="8" hidden="1"/>
    <cellStyle name="Hyperlink" xfId="1366" builtinId="8" hidden="1"/>
    <cellStyle name="Hyperlink" xfId="1368" builtinId="8" hidden="1"/>
    <cellStyle name="Hyperlink" xfId="1370" builtinId="8" hidden="1"/>
    <cellStyle name="Hyperlink" xfId="1372" builtinId="8" hidden="1"/>
    <cellStyle name="Hyperlink" xfId="1374" builtinId="8" hidden="1"/>
    <cellStyle name="Hyperlink" xfId="1376" builtinId="8" hidden="1"/>
    <cellStyle name="Hyperlink" xfId="1378" builtinId="8" hidden="1"/>
    <cellStyle name="Hyperlink" xfId="1380" builtinId="8" hidden="1"/>
    <cellStyle name="Hyperlink" xfId="1382" builtinId="8" hidden="1"/>
    <cellStyle name="Hyperlink" xfId="1384" builtinId="8" hidden="1"/>
    <cellStyle name="Hyperlink" xfId="1386" builtinId="8" hidden="1"/>
    <cellStyle name="Hyperlink" xfId="1388" builtinId="8" hidden="1"/>
    <cellStyle name="Hyperlink" xfId="1390" builtinId="8" hidden="1"/>
    <cellStyle name="Hyperlink" xfId="1392" builtinId="8" hidden="1"/>
    <cellStyle name="Hyperlink" xfId="1394" builtinId="8" hidden="1"/>
    <cellStyle name="Hyperlink" xfId="1396" builtinId="8" hidden="1"/>
    <cellStyle name="Hyperlink" xfId="1398" builtinId="8" hidden="1"/>
    <cellStyle name="Hyperlink" xfId="1400" builtinId="8" hidden="1"/>
    <cellStyle name="Hyperlink" xfId="1402" builtinId="8" hidden="1"/>
    <cellStyle name="Hyperlink" xfId="1404" builtinId="8" hidden="1"/>
    <cellStyle name="Hyperlink" xfId="1406" builtinId="8" hidden="1"/>
    <cellStyle name="Hyperlink" xfId="1408" builtinId="8" hidden="1"/>
    <cellStyle name="Hyperlink" xfId="1410" builtinId="8" hidden="1"/>
    <cellStyle name="Hyperlink" xfId="1412" builtinId="8" hidden="1"/>
    <cellStyle name="Hyperlink" xfId="1414" builtinId="8" hidden="1"/>
    <cellStyle name="Hyperlink" xfId="1416" builtinId="8" hidden="1"/>
    <cellStyle name="Hyperlink" xfId="1418" builtinId="8" hidden="1"/>
    <cellStyle name="Hyperlink" xfId="1420" builtinId="8" hidden="1"/>
    <cellStyle name="Hyperlink" xfId="1422" builtinId="8" hidden="1"/>
    <cellStyle name="Hyperlink" xfId="1424" builtinId="8" hidden="1"/>
    <cellStyle name="Hyperlink" xfId="1426" builtinId="8" hidden="1"/>
    <cellStyle name="Hyperlink" xfId="1428" builtinId="8" hidden="1"/>
    <cellStyle name="Hyperlink" xfId="1430" builtinId="8" hidden="1"/>
    <cellStyle name="Hyperlink" xfId="1432" builtinId="8" hidden="1"/>
    <cellStyle name="Hyperlink" xfId="1434" builtinId="8" hidden="1"/>
    <cellStyle name="Hyperlink" xfId="1436" builtinId="8" hidden="1"/>
    <cellStyle name="Hyperlink" xfId="1438" builtinId="8" hidden="1"/>
    <cellStyle name="Hyperlink" xfId="1440" builtinId="8" hidden="1"/>
    <cellStyle name="Hyperlink" xfId="1442" builtinId="8" hidden="1"/>
    <cellStyle name="Hyperlink" xfId="1444" builtinId="8" hidden="1"/>
    <cellStyle name="Hyperlink" xfId="1446" builtinId="8" hidden="1"/>
    <cellStyle name="Hyperlink" xfId="1448" builtinId="8" hidden="1"/>
    <cellStyle name="Hyperlink" xfId="1450" builtinId="8" hidden="1"/>
    <cellStyle name="Hyperlink" xfId="1452" builtinId="8" hidden="1"/>
    <cellStyle name="Hyperlink" xfId="1454" builtinId="8" hidden="1"/>
    <cellStyle name="Hyperlink" xfId="1456" builtinId="8" hidden="1"/>
    <cellStyle name="Hyperlink" xfId="1458" builtinId="8" hidden="1"/>
    <cellStyle name="Hyperlink" xfId="1460" builtinId="8" hidden="1"/>
    <cellStyle name="Hyperlink" xfId="1462" builtinId="8" hidden="1"/>
    <cellStyle name="Hyperlink" xfId="1464" builtinId="8" hidden="1"/>
    <cellStyle name="Hyperlink" xfId="1466" builtinId="8" hidden="1"/>
    <cellStyle name="Hyperlink" xfId="1468" builtinId="8" hidden="1"/>
    <cellStyle name="Hyperlink" xfId="1470" builtinId="8" hidden="1"/>
    <cellStyle name="Hyperlink" xfId="1472" builtinId="8" hidden="1"/>
    <cellStyle name="Hyperlink" xfId="1474" builtinId="8" hidden="1"/>
    <cellStyle name="Hyperlink" xfId="1476" builtinId="8" hidden="1"/>
    <cellStyle name="Hyperlink" xfId="1478" builtinId="8" hidden="1"/>
    <cellStyle name="Hyperlink" xfId="1480" builtinId="8" hidden="1"/>
    <cellStyle name="Hyperlink" xfId="1482" builtinId="8" hidden="1"/>
    <cellStyle name="Hyperlink" xfId="1484" builtinId="8" hidden="1"/>
    <cellStyle name="Hyperlink" xfId="1486" builtinId="8" hidden="1"/>
    <cellStyle name="Hyperlink" xfId="1488" builtinId="8" hidden="1"/>
    <cellStyle name="Hyperlink" xfId="1490" builtinId="8" hidden="1"/>
    <cellStyle name="Hyperlink" xfId="1492" builtinId="8" hidden="1"/>
    <cellStyle name="Hyperlink" xfId="1494" builtinId="8" hidden="1"/>
    <cellStyle name="Hyperlink" xfId="1496" builtinId="8" hidden="1"/>
    <cellStyle name="Hyperlink" xfId="1498" builtinId="8" hidden="1"/>
    <cellStyle name="Hyperlink" xfId="1500" builtinId="8" hidden="1"/>
    <cellStyle name="Hyperlink" xfId="1502" builtinId="8" hidden="1"/>
    <cellStyle name="Hyperlink" xfId="1504" builtinId="8" hidden="1"/>
    <cellStyle name="Hyperlink" xfId="1506" builtinId="8" hidden="1"/>
    <cellStyle name="Hyperlink" xfId="1508" builtinId="8" hidden="1"/>
    <cellStyle name="Hyperlink" xfId="1510" builtinId="8" hidden="1"/>
    <cellStyle name="Hyperlink" xfId="1512" builtinId="8" hidden="1"/>
    <cellStyle name="Hyperlink" xfId="1514" builtinId="8" hidden="1"/>
    <cellStyle name="Hyperlink" xfId="1516" builtinId="8" hidden="1"/>
    <cellStyle name="Hyperlink" xfId="1518" builtinId="8" hidden="1"/>
    <cellStyle name="Hyperlink" xfId="1520" builtinId="8" hidden="1"/>
    <cellStyle name="Hyperlink" xfId="1522" builtinId="8" hidden="1"/>
    <cellStyle name="Hyperlink" xfId="1524" builtinId="8" hidden="1"/>
    <cellStyle name="Hyperlink" xfId="1526" builtinId="8" hidden="1"/>
    <cellStyle name="Hyperlink" xfId="1528" builtinId="8" hidden="1"/>
    <cellStyle name="Hyperlink" xfId="1530" builtinId="8" hidden="1"/>
    <cellStyle name="Hyperlink" xfId="1532" builtinId="8" hidden="1"/>
    <cellStyle name="Hyperlink" xfId="1534" builtinId="8" hidden="1"/>
    <cellStyle name="Hyperlink" xfId="1536" builtinId="8" hidden="1"/>
    <cellStyle name="Hyperlink" xfId="1538" builtinId="8" hidden="1"/>
    <cellStyle name="Hyperlink" xfId="1540" builtinId="8" hidden="1"/>
    <cellStyle name="Hyperlink" xfId="1542" builtinId="8" hidden="1"/>
    <cellStyle name="Hyperlink" xfId="1544" builtinId="8" hidden="1"/>
    <cellStyle name="Hyperlink" xfId="1546" builtinId="8" hidden="1"/>
    <cellStyle name="Hyperlink" xfId="1548" builtinId="8" hidden="1"/>
    <cellStyle name="Hyperlink" xfId="1550" builtinId="8" hidden="1"/>
    <cellStyle name="Hyperlink" xfId="1552" builtinId="8" hidden="1"/>
    <cellStyle name="Hyperlink" xfId="1554" builtinId="8" hidden="1"/>
    <cellStyle name="Hyperlink" xfId="1556" builtinId="8" hidden="1"/>
    <cellStyle name="Hyperlink" xfId="1558" builtinId="8" hidden="1"/>
    <cellStyle name="Hyperlink" xfId="1560" builtinId="8" hidden="1"/>
    <cellStyle name="Hyperlink" xfId="1562" builtinId="8" hidden="1"/>
    <cellStyle name="Hyperlink" xfId="1564" builtinId="8" hidden="1"/>
    <cellStyle name="Hyperlink" xfId="1566" builtinId="8" hidden="1"/>
    <cellStyle name="Hyperlink" xfId="1568" builtinId="8" hidden="1"/>
    <cellStyle name="Hyperlink" xfId="1570" builtinId="8" hidden="1"/>
    <cellStyle name="Hyperlink" xfId="1572" builtinId="8" hidden="1"/>
    <cellStyle name="Hyperlink" xfId="1574" builtinId="8" hidden="1"/>
    <cellStyle name="Hyperlink" xfId="1576" builtinId="8" hidden="1"/>
    <cellStyle name="Hyperlink" xfId="1578" builtinId="8" hidden="1"/>
    <cellStyle name="Hyperlink" xfId="1580" builtinId="8" hidden="1"/>
    <cellStyle name="Hyperlink" xfId="1582" builtinId="8" hidden="1"/>
    <cellStyle name="Hyperlink" xfId="1584" builtinId="8" hidden="1"/>
    <cellStyle name="Hyperlink" xfId="1586" builtinId="8" hidden="1"/>
    <cellStyle name="Hyperlink" xfId="1588" builtinId="8" hidden="1"/>
    <cellStyle name="Hyperlink" xfId="1590" builtinId="8" hidden="1"/>
    <cellStyle name="Hyperlink" xfId="1592" builtinId="8" hidden="1"/>
    <cellStyle name="Hyperlink" xfId="1594" builtinId="8" hidden="1"/>
    <cellStyle name="Hyperlink" xfId="1596" builtinId="8" hidden="1"/>
    <cellStyle name="Hyperlink" xfId="1598" builtinId="8" hidden="1"/>
    <cellStyle name="Hyperlink" xfId="1600" builtinId="8" hidden="1"/>
    <cellStyle name="Hyperlink" xfId="1602" builtinId="8" hidden="1"/>
    <cellStyle name="Hyperlink" xfId="1604" builtinId="8" hidden="1"/>
    <cellStyle name="Hyperlink" xfId="1606" builtinId="8" hidden="1"/>
    <cellStyle name="Hyperlink" xfId="1608" builtinId="8" hidden="1"/>
    <cellStyle name="Hyperlink" xfId="1610" builtinId="8" hidden="1"/>
    <cellStyle name="Hyperlink" xfId="1612" builtinId="8" hidden="1"/>
    <cellStyle name="Hyperlink" xfId="1614" builtinId="8" hidden="1"/>
    <cellStyle name="Hyperlink" xfId="1616" builtinId="8" hidden="1"/>
    <cellStyle name="Hyperlink" xfId="1618" builtinId="8" hidden="1"/>
    <cellStyle name="Hyperlink" xfId="1620" builtinId="8" hidden="1"/>
    <cellStyle name="Hyperlink" xfId="1622" builtinId="8" hidden="1"/>
    <cellStyle name="Hyperlink" xfId="1624" builtinId="8" hidden="1"/>
    <cellStyle name="Hyperlink" xfId="1626" builtinId="8" hidden="1"/>
    <cellStyle name="Hyperlink" xfId="1628" builtinId="8" hidden="1"/>
    <cellStyle name="Hyperlink" xfId="1630" builtinId="8" hidden="1"/>
    <cellStyle name="Hyperlink" xfId="1632" builtinId="8" hidden="1"/>
    <cellStyle name="Hyperlink" xfId="1634" builtinId="8" hidden="1"/>
    <cellStyle name="Hyperlink" xfId="1636" builtinId="8" hidden="1"/>
    <cellStyle name="Hyperlink" xfId="1638" builtinId="8" hidden="1"/>
    <cellStyle name="Hyperlink" xfId="1640" builtinId="8" hidden="1"/>
    <cellStyle name="Hyperlink" xfId="1642" builtinId="8" hidden="1"/>
    <cellStyle name="Hyperlink" xfId="1644" builtinId="8" hidden="1"/>
    <cellStyle name="Hyperlink" xfId="1646" builtinId="8" hidden="1"/>
    <cellStyle name="Hyperlink" xfId="1648" builtinId="8" hidden="1"/>
    <cellStyle name="Hyperlink" xfId="1650" builtinId="8" hidden="1"/>
    <cellStyle name="Hyperlink" xfId="1652" builtinId="8" hidden="1"/>
    <cellStyle name="Hyperlink" xfId="1654" builtinId="8" hidden="1"/>
    <cellStyle name="Hyperlink" xfId="1656" builtinId="8" hidden="1"/>
    <cellStyle name="Hyperlink" xfId="1658" builtinId="8" hidden="1"/>
    <cellStyle name="Hyperlink" xfId="1660" builtinId="8" hidden="1"/>
    <cellStyle name="Hyperlink" xfId="1662" builtinId="8" hidden="1"/>
    <cellStyle name="Hyperlink" xfId="1664" builtinId="8" hidden="1"/>
    <cellStyle name="Hyperlink" xfId="1666" builtinId="8" hidden="1"/>
    <cellStyle name="Hyperlink" xfId="1668" builtinId="8" hidden="1"/>
    <cellStyle name="Hyperlink" xfId="1670" builtinId="8" hidden="1"/>
    <cellStyle name="Hyperlink" xfId="1672" builtinId="8" hidden="1"/>
    <cellStyle name="Hyperlink" xfId="1674" builtinId="8" hidden="1"/>
    <cellStyle name="Hyperlink" xfId="1676" builtinId="8" hidden="1"/>
    <cellStyle name="Hyperlink" xfId="1678" builtinId="8" hidden="1"/>
    <cellStyle name="Hyperlink" xfId="1680" builtinId="8" hidden="1"/>
    <cellStyle name="Hyperlink" xfId="1682" builtinId="8" hidden="1"/>
    <cellStyle name="Hyperlink" xfId="1684" builtinId="8" hidden="1"/>
    <cellStyle name="Hyperlink" xfId="1686" builtinId="8" hidden="1"/>
    <cellStyle name="Hyperlink" xfId="1688" builtinId="8" hidden="1"/>
    <cellStyle name="Hyperlink" xfId="1690" builtinId="8" hidden="1"/>
    <cellStyle name="Hyperlink" xfId="1692" builtinId="8" hidden="1"/>
    <cellStyle name="Hyperlink" xfId="1694" builtinId="8" hidden="1"/>
    <cellStyle name="Hyperlink" xfId="1696" builtinId="8" hidden="1"/>
    <cellStyle name="Hyperlink" xfId="1698" builtinId="8" hidden="1"/>
    <cellStyle name="Hyperlink" xfId="1700" builtinId="8" hidden="1"/>
    <cellStyle name="Hyperlink" xfId="1702" builtinId="8" hidden="1"/>
    <cellStyle name="Hyperlink" xfId="1704" builtinId="8" hidden="1"/>
    <cellStyle name="Hyperlink" xfId="1706" builtinId="8" hidden="1"/>
    <cellStyle name="Hyperlink" xfId="1708" builtinId="8" hidden="1"/>
    <cellStyle name="Hyperlink" xfId="1710" builtinId="8" hidden="1"/>
    <cellStyle name="Hyperlink" xfId="1712" builtinId="8" hidden="1"/>
    <cellStyle name="Hyperlink" xfId="1714" builtinId="8" hidden="1"/>
    <cellStyle name="Hyperlink" xfId="1716" builtinId="8" hidden="1"/>
    <cellStyle name="Hyperlink" xfId="1718" builtinId="8" hidden="1"/>
    <cellStyle name="Hyperlink" xfId="1720" builtinId="8" hidden="1"/>
    <cellStyle name="Hyperlink" xfId="1722" builtinId="8" hidden="1"/>
    <cellStyle name="Hyperlink" xfId="1724" builtinId="8" hidden="1"/>
    <cellStyle name="Hyperlink" xfId="1726" builtinId="8" hidden="1"/>
    <cellStyle name="Hyperlink" xfId="1728" builtinId="8" hidden="1"/>
    <cellStyle name="Hyperlink" xfId="1730" builtinId="8" hidden="1"/>
    <cellStyle name="Hyperlink" xfId="1732" builtinId="8" hidden="1"/>
    <cellStyle name="Hyperlink" xfId="1734" builtinId="8" hidden="1"/>
    <cellStyle name="Hyperlink" xfId="1736" builtinId="8" hidden="1"/>
    <cellStyle name="Hyperlink" xfId="1738" builtinId="8" hidden="1"/>
    <cellStyle name="Hyperlink" xfId="1740" builtinId="8" hidden="1"/>
    <cellStyle name="Hyperlink" xfId="1742" builtinId="8" hidden="1"/>
    <cellStyle name="Hyperlink" xfId="1744" builtinId="8" hidden="1"/>
    <cellStyle name="Hyperlink" xfId="1746" builtinId="8" hidden="1"/>
    <cellStyle name="Hyperlink" xfId="1748" builtinId="8" hidden="1"/>
    <cellStyle name="Hyperlink" xfId="1750" builtinId="8" hidden="1"/>
    <cellStyle name="Hyperlink" xfId="1752" builtinId="8" hidden="1"/>
    <cellStyle name="Hyperlink" xfId="1754" builtinId="8" hidden="1"/>
    <cellStyle name="Hyperlink" xfId="1756" builtinId="8" hidden="1"/>
    <cellStyle name="Hyperlink" xfId="1758" builtinId="8" hidden="1"/>
    <cellStyle name="Hyperlink" xfId="1760" builtinId="8" hidden="1"/>
    <cellStyle name="Hyperlink" xfId="1762" builtinId="8" hidden="1"/>
    <cellStyle name="Hyperlink" xfId="1764" builtinId="8" hidden="1"/>
    <cellStyle name="Hyperlink" xfId="1766" builtinId="8" hidden="1"/>
    <cellStyle name="Hyperlink" xfId="1768" builtinId="8" hidden="1"/>
    <cellStyle name="Hyperlink" xfId="1770" builtinId="8" hidden="1"/>
    <cellStyle name="Hyperlink" xfId="1772" builtinId="8" hidden="1"/>
    <cellStyle name="Hyperlink" xfId="1774" builtinId="8" hidden="1"/>
    <cellStyle name="Hyperlink" xfId="1776" builtinId="8" hidden="1"/>
    <cellStyle name="Hyperlink" xfId="1778" builtinId="8" hidden="1"/>
    <cellStyle name="Hyperlink" xfId="1780" builtinId="8" hidden="1"/>
    <cellStyle name="Hyperlink" xfId="1782" builtinId="8" hidden="1"/>
    <cellStyle name="Hyperlink" xfId="1784" builtinId="8" hidden="1"/>
    <cellStyle name="Hyperlink" xfId="1786" builtinId="8" hidden="1"/>
    <cellStyle name="Hyperlink" xfId="1788" builtinId="8" hidden="1"/>
    <cellStyle name="Hyperlink" xfId="1790" builtinId="8" hidden="1"/>
    <cellStyle name="Hyperlink" xfId="1792" builtinId="8" hidden="1"/>
    <cellStyle name="Hyperlink" xfId="1794" builtinId="8" hidden="1"/>
    <cellStyle name="Hyperlink" xfId="1796" builtinId="8" hidden="1"/>
    <cellStyle name="Hyperlink" xfId="1798" builtinId="8" hidden="1"/>
    <cellStyle name="Hyperlink" xfId="1800" builtinId="8" hidden="1"/>
    <cellStyle name="Hyperlink" xfId="1802" builtinId="8" hidden="1"/>
    <cellStyle name="Hyperlink" xfId="1804" builtinId="8" hidden="1"/>
    <cellStyle name="Hyperlink" xfId="1806" builtinId="8" hidden="1"/>
    <cellStyle name="Hyperlink" xfId="1808" builtinId="8" hidden="1"/>
    <cellStyle name="Hyperlink" xfId="1810" builtinId="8" hidden="1"/>
    <cellStyle name="Hyperlink" xfId="1812" builtinId="8" hidden="1"/>
    <cellStyle name="Hyperlink" xfId="1814" builtinId="8" hidden="1"/>
    <cellStyle name="Hyperlink" xfId="1816" builtinId="8" hidden="1"/>
    <cellStyle name="Hyperlink" xfId="1818" builtinId="8" hidden="1"/>
    <cellStyle name="Hyperlink" xfId="1820" builtinId="8" hidden="1"/>
    <cellStyle name="Hyperlink" xfId="1822" builtinId="8" hidden="1"/>
    <cellStyle name="Hyperlink" xfId="1824" builtinId="8" hidden="1"/>
    <cellStyle name="Hyperlink" xfId="1826" builtinId="8" hidden="1"/>
    <cellStyle name="Hyperlink" xfId="1828" builtinId="8" hidden="1"/>
    <cellStyle name="Hyperlink" xfId="1830" builtinId="8" hidden="1"/>
    <cellStyle name="Hyperlink" xfId="1832" builtinId="8" hidden="1"/>
    <cellStyle name="Hyperlink" xfId="1834" builtinId="8" hidden="1"/>
    <cellStyle name="Hyperlink" xfId="1836" builtinId="8" hidden="1"/>
    <cellStyle name="Hyperlink" xfId="1838" builtinId="8" hidden="1"/>
    <cellStyle name="Hyperlink" xfId="1840" builtinId="8" hidden="1"/>
    <cellStyle name="Hyperlink" xfId="1842" builtinId="8" hidden="1"/>
    <cellStyle name="Hyperlink" xfId="2783" builtinId="8" hidden="1"/>
    <cellStyle name="Hyperlink" xfId="2785" builtinId="8" hidden="1"/>
    <cellStyle name="Hyperlink" xfId="2787" builtinId="8" hidden="1"/>
    <cellStyle name="Hyperlink" xfId="2789" builtinId="8" hidden="1"/>
    <cellStyle name="Hyperlink" xfId="2791" builtinId="8" hidden="1"/>
    <cellStyle name="Hyperlink" xfId="2793" builtinId="8" hidden="1"/>
    <cellStyle name="Hyperlink" xfId="2795" builtinId="8" hidden="1"/>
    <cellStyle name="Hyperlink" xfId="2797" builtinId="8" hidden="1"/>
    <cellStyle name="Hyperlink" xfId="2799" builtinId="8" hidden="1"/>
    <cellStyle name="Hyperlink" xfId="2801" builtinId="8" hidden="1"/>
    <cellStyle name="Hyperlink" xfId="2803" builtinId="8" hidden="1"/>
    <cellStyle name="Hyperlink" xfId="2805" builtinId="8" hidden="1"/>
    <cellStyle name="Hyperlink" xfId="2807" builtinId="8" hidden="1"/>
    <cellStyle name="Hyperlink" xfId="2809" builtinId="8" hidden="1"/>
    <cellStyle name="Hyperlink" xfId="2811" builtinId="8" hidden="1"/>
    <cellStyle name="Hyperlink" xfId="2813" builtinId="8" hidden="1"/>
    <cellStyle name="Hyperlink" xfId="2815" builtinId="8" hidden="1"/>
    <cellStyle name="Hyperlink" xfId="2817" builtinId="8" hidden="1"/>
    <cellStyle name="Hyperlink" xfId="2819" builtinId="8" hidden="1"/>
    <cellStyle name="Hyperlink" xfId="2821" builtinId="8" hidden="1"/>
    <cellStyle name="Hyperlink" xfId="2823" builtinId="8" hidden="1"/>
    <cellStyle name="Hyperlink" xfId="2825" builtinId="8" hidden="1"/>
    <cellStyle name="Hyperlink" xfId="2827" builtinId="8" hidden="1"/>
    <cellStyle name="Hyperlink" xfId="2829" builtinId="8" hidden="1"/>
    <cellStyle name="Hyperlink" xfId="2831" builtinId="8" hidden="1"/>
    <cellStyle name="Hyperlink" xfId="2833" builtinId="8" hidden="1"/>
    <cellStyle name="Hyperlink" xfId="2835" builtinId="8" hidden="1"/>
    <cellStyle name="Hyperlink" xfId="2837" builtinId="8" hidden="1"/>
    <cellStyle name="Hyperlink" xfId="2839" builtinId="8" hidden="1"/>
    <cellStyle name="Hyperlink" xfId="2841" builtinId="8" hidden="1"/>
    <cellStyle name="Hyperlink" xfId="2843" builtinId="8" hidden="1"/>
    <cellStyle name="Hyperlink" xfId="2845" builtinId="8" hidden="1"/>
    <cellStyle name="Hyperlink" xfId="2847" builtinId="8" hidden="1"/>
    <cellStyle name="Hyperlink" xfId="2849" builtinId="8" hidden="1"/>
    <cellStyle name="Hyperlink" xfId="2851" builtinId="8" hidden="1"/>
    <cellStyle name="Hyperlink" xfId="2853" builtinId="8" hidden="1"/>
    <cellStyle name="Hyperlink" xfId="2855" builtinId="8" hidden="1"/>
    <cellStyle name="Hyperlink" xfId="2857" builtinId="8" hidden="1"/>
    <cellStyle name="Hyperlink" xfId="2859" builtinId="8" hidden="1"/>
    <cellStyle name="Hyperlink" xfId="2861" builtinId="8" hidden="1"/>
    <cellStyle name="Hyperlink" xfId="2863" builtinId="8" hidden="1"/>
    <cellStyle name="Hyperlink" xfId="2865" builtinId="8" hidden="1"/>
    <cellStyle name="Hyperlink" xfId="2867" builtinId="8" hidden="1"/>
    <cellStyle name="Hyperlink" xfId="2869" builtinId="8" hidden="1"/>
    <cellStyle name="Hyperlink" xfId="2871" builtinId="8" hidden="1"/>
    <cellStyle name="Hyperlink" xfId="2873" builtinId="8" hidden="1"/>
    <cellStyle name="Hyperlink" xfId="2875" builtinId="8" hidden="1"/>
    <cellStyle name="Hyperlink" xfId="2877" builtinId="8" hidden="1"/>
    <cellStyle name="Hyperlink" xfId="2879" builtinId="8" hidden="1"/>
    <cellStyle name="Hyperlink" xfId="2881" builtinId="8" hidden="1"/>
    <cellStyle name="Hyperlink" xfId="2883" builtinId="8" hidden="1"/>
    <cellStyle name="Hyperlink" xfId="2885" builtinId="8" hidden="1"/>
    <cellStyle name="Hyperlink" xfId="2887" builtinId="8" hidden="1"/>
    <cellStyle name="Hyperlink" xfId="2889" builtinId="8" hidden="1"/>
    <cellStyle name="Hyperlink" xfId="2891" builtinId="8" hidden="1"/>
    <cellStyle name="Hyperlink" xfId="2893" builtinId="8" hidden="1"/>
    <cellStyle name="Hyperlink" xfId="2895" builtinId="8" hidden="1"/>
    <cellStyle name="Hyperlink" xfId="2897" builtinId="8" hidden="1"/>
    <cellStyle name="Hyperlink" xfId="2899" builtinId="8" hidden="1"/>
    <cellStyle name="Hyperlink" xfId="2901" builtinId="8" hidden="1"/>
    <cellStyle name="Hyperlink" xfId="2903" builtinId="8" hidden="1"/>
    <cellStyle name="Hyperlink" xfId="2905" builtinId="8" hidden="1"/>
    <cellStyle name="Hyperlink" xfId="2907" builtinId="8" hidden="1"/>
    <cellStyle name="Hyperlink" xfId="2909" builtinId="8" hidden="1"/>
    <cellStyle name="Hyperlink" xfId="2911" builtinId="8" hidden="1"/>
    <cellStyle name="Hyperlink" xfId="2913" builtinId="8" hidden="1"/>
    <cellStyle name="Hyperlink" xfId="2915" builtinId="8" hidden="1"/>
    <cellStyle name="Hyperlink" xfId="2917" builtinId="8" hidden="1"/>
    <cellStyle name="Hyperlink" xfId="2919" builtinId="8" hidden="1"/>
    <cellStyle name="Hyperlink" xfId="2921" builtinId="8" hidden="1"/>
    <cellStyle name="Hyperlink" xfId="2923" builtinId="8" hidden="1"/>
    <cellStyle name="Hyperlink" xfId="2925" builtinId="8" hidden="1"/>
    <cellStyle name="Hyperlink" xfId="2927" builtinId="8" hidden="1"/>
    <cellStyle name="Hyperlink" xfId="2929" builtinId="8" hidden="1"/>
    <cellStyle name="Hyperlink" xfId="2931" builtinId="8" hidden="1"/>
    <cellStyle name="Hyperlink" xfId="2933" builtinId="8" hidden="1"/>
    <cellStyle name="Hyperlink" xfId="2935" builtinId="8" hidden="1"/>
    <cellStyle name="Hyperlink" xfId="2937" builtinId="8" hidden="1"/>
    <cellStyle name="Hyperlink" xfId="2939" builtinId="8" hidden="1"/>
    <cellStyle name="Hyperlink" xfId="2941" builtinId="8" hidden="1"/>
    <cellStyle name="Hyperlink" xfId="2943" builtinId="8" hidden="1"/>
    <cellStyle name="Hyperlink" xfId="2945" builtinId="8" hidden="1"/>
    <cellStyle name="Hyperlink" xfId="2947" builtinId="8" hidden="1"/>
    <cellStyle name="Hyperlink" xfId="2949" builtinId="8" hidden="1"/>
    <cellStyle name="Hyperlink" xfId="2951" builtinId="8" hidden="1"/>
    <cellStyle name="Hyperlink" xfId="2953" builtinId="8" hidden="1"/>
    <cellStyle name="Hyperlink" xfId="2955" builtinId="8" hidden="1"/>
    <cellStyle name="Hyperlink" xfId="2957" builtinId="8" hidden="1"/>
    <cellStyle name="Hyperlink" xfId="2959" builtinId="8" hidden="1"/>
    <cellStyle name="Hyperlink" xfId="2961" builtinId="8" hidden="1"/>
    <cellStyle name="Hyperlink" xfId="2963" builtinId="8" hidden="1"/>
    <cellStyle name="Hyperlink" xfId="2965" builtinId="8" hidden="1"/>
    <cellStyle name="Hyperlink" xfId="2967" builtinId="8" hidden="1"/>
    <cellStyle name="Hyperlink" xfId="2969" builtinId="8" hidden="1"/>
    <cellStyle name="Hyperlink" xfId="2971" builtinId="8" hidden="1"/>
    <cellStyle name="Hyperlink" xfId="2973" builtinId="8" hidden="1"/>
    <cellStyle name="Hyperlink" xfId="2975" builtinId="8" hidden="1"/>
    <cellStyle name="Hyperlink" xfId="2977" builtinId="8" hidden="1"/>
    <cellStyle name="Hyperlink" xfId="2979" builtinId="8" hidden="1"/>
    <cellStyle name="Hyperlink" xfId="2981" builtinId="8" hidden="1"/>
    <cellStyle name="Hyperlink" xfId="2983" builtinId="8" hidden="1"/>
    <cellStyle name="Hyperlink" xfId="2985" builtinId="8" hidden="1"/>
    <cellStyle name="Hyperlink" xfId="2987" builtinId="8" hidden="1"/>
    <cellStyle name="Hyperlink" xfId="2989" builtinId="8" hidden="1"/>
    <cellStyle name="Hyperlink" xfId="2991" builtinId="8" hidden="1"/>
    <cellStyle name="Hyperlink" xfId="2993" builtinId="8" hidden="1"/>
    <cellStyle name="Hyperlink" xfId="2995" builtinId="8" hidden="1"/>
    <cellStyle name="Hyperlink" xfId="2997" builtinId="8" hidden="1"/>
    <cellStyle name="Hyperlink" xfId="2999" builtinId="8" hidden="1"/>
    <cellStyle name="Hyperlink" xfId="3001" builtinId="8" hidden="1"/>
    <cellStyle name="Hyperlink" xfId="3003" builtinId="8" hidden="1"/>
    <cellStyle name="Hyperlink" xfId="3005" builtinId="8" hidden="1"/>
    <cellStyle name="Hyperlink" xfId="3007" builtinId="8" hidden="1"/>
    <cellStyle name="Hyperlink" xfId="3009" builtinId="8" hidden="1"/>
    <cellStyle name="Hyperlink" xfId="3011" builtinId="8" hidden="1"/>
    <cellStyle name="Hyperlink" xfId="3013" builtinId="8" hidden="1"/>
    <cellStyle name="Hyperlink" xfId="3015" builtinId="8" hidden="1"/>
    <cellStyle name="Hyperlink" xfId="3017" builtinId="8" hidden="1"/>
    <cellStyle name="Hyperlink" xfId="3019" builtinId="8" hidden="1"/>
    <cellStyle name="Hyperlink" xfId="3021" builtinId="8" hidden="1"/>
    <cellStyle name="Hyperlink" xfId="3023" builtinId="8" hidden="1"/>
    <cellStyle name="Hyperlink" xfId="3025" builtinId="8" hidden="1"/>
    <cellStyle name="Hyperlink" xfId="3027" builtinId="8" hidden="1"/>
    <cellStyle name="Hyperlink" xfId="3029" builtinId="8" hidden="1"/>
    <cellStyle name="Hyperlink" xfId="3031" builtinId="8" hidden="1"/>
    <cellStyle name="Hyperlink" xfId="3033" builtinId="8" hidden="1"/>
    <cellStyle name="Hyperlink" xfId="3035" builtinId="8" hidden="1"/>
    <cellStyle name="Hyperlink" xfId="3037" builtinId="8" hidden="1"/>
    <cellStyle name="Hyperlink" xfId="3039" builtinId="8" hidden="1"/>
    <cellStyle name="Hyperlink" xfId="3041" builtinId="8" hidden="1"/>
    <cellStyle name="Hyperlink" xfId="3043" builtinId="8" hidden="1"/>
    <cellStyle name="Hyperlink" xfId="3045" builtinId="8" hidden="1"/>
    <cellStyle name="Hyperlink" xfId="3047" builtinId="8" hidden="1"/>
    <cellStyle name="Hyperlink" xfId="3049" builtinId="8" hidden="1"/>
    <cellStyle name="Hyperlink" xfId="3051" builtinId="8" hidden="1"/>
    <cellStyle name="Hyperlink" xfId="3053" builtinId="8" hidden="1"/>
    <cellStyle name="Hyperlink" xfId="3055" builtinId="8" hidden="1"/>
    <cellStyle name="Hyperlink" xfId="3057" builtinId="8" hidden="1"/>
    <cellStyle name="Hyperlink" xfId="3059" builtinId="8" hidden="1"/>
    <cellStyle name="Hyperlink" xfId="3061" builtinId="8" hidden="1"/>
    <cellStyle name="Hyperlink" xfId="3063" builtinId="8" hidden="1"/>
    <cellStyle name="Hyperlink" xfId="3065" builtinId="8" hidden="1"/>
    <cellStyle name="Hyperlink" xfId="3067" builtinId="8" hidden="1"/>
    <cellStyle name="Hyperlink" xfId="3069" builtinId="8" hidden="1"/>
    <cellStyle name="Hyperlink" xfId="3071" builtinId="8" hidden="1"/>
    <cellStyle name="Hyperlink" xfId="3073" builtinId="8" hidden="1"/>
    <cellStyle name="Hyperlink" xfId="3075" builtinId="8" hidden="1"/>
    <cellStyle name="Hyperlink" xfId="3077" builtinId="8" hidden="1"/>
    <cellStyle name="Hyperlink" xfId="3079" builtinId="8" hidden="1"/>
    <cellStyle name="Hyperlink" xfId="3081" builtinId="8" hidden="1"/>
    <cellStyle name="Hyperlink" xfId="3083" builtinId="8" hidden="1"/>
    <cellStyle name="Hyperlink" xfId="3085" builtinId="8" hidden="1"/>
    <cellStyle name="Hyperlink" xfId="3087" builtinId="8" hidden="1"/>
    <cellStyle name="Hyperlink" xfId="3089" builtinId="8" hidden="1"/>
    <cellStyle name="Hyperlink" xfId="3091" builtinId="8" hidden="1"/>
    <cellStyle name="Hyperlink" xfId="3093" builtinId="8" hidden="1"/>
    <cellStyle name="Hyperlink" xfId="3095" builtinId="8" hidden="1"/>
    <cellStyle name="Hyperlink" xfId="3097" builtinId="8" hidden="1"/>
    <cellStyle name="Hyperlink" xfId="3099" builtinId="8" hidden="1"/>
    <cellStyle name="Hyperlink" xfId="3101" builtinId="8" hidden="1"/>
    <cellStyle name="Hyperlink" xfId="3103" builtinId="8" hidden="1"/>
    <cellStyle name="Hyperlink" xfId="3105" builtinId="8" hidden="1"/>
    <cellStyle name="Hyperlink" xfId="3107" builtinId="8" hidden="1"/>
    <cellStyle name="Hyperlink" xfId="3109" builtinId="8" hidden="1"/>
    <cellStyle name="Hyperlink" xfId="3111" builtinId="8" hidden="1"/>
    <cellStyle name="Hyperlink" xfId="3113" builtinId="8" hidden="1"/>
    <cellStyle name="Hyperlink" xfId="3115" builtinId="8" hidden="1"/>
    <cellStyle name="Hyperlink" xfId="3117" builtinId="8" hidden="1"/>
    <cellStyle name="Hyperlink" xfId="3119" builtinId="8" hidden="1"/>
    <cellStyle name="Hyperlink" xfId="3121" builtinId="8" hidden="1"/>
    <cellStyle name="Hyperlink" xfId="3123" builtinId="8" hidden="1"/>
    <cellStyle name="Hyperlink" xfId="3125" builtinId="8" hidden="1"/>
    <cellStyle name="Hyperlink" xfId="3127" builtinId="8" hidden="1"/>
    <cellStyle name="Hyperlink" xfId="3129" builtinId="8" hidden="1"/>
    <cellStyle name="Hyperlink" xfId="3131" builtinId="8" hidden="1"/>
    <cellStyle name="Hyperlink" xfId="3133" builtinId="8" hidden="1"/>
    <cellStyle name="Hyperlink" xfId="3135" builtinId="8" hidden="1"/>
    <cellStyle name="Hyperlink" xfId="3142" builtinId="8" hidden="1"/>
    <cellStyle name="Hyperlink" xfId="3144" builtinId="8" hidden="1"/>
    <cellStyle name="Hyperlink" xfId="3146" builtinId="8" hidden="1"/>
    <cellStyle name="Hyperlink" xfId="3148" builtinId="8" hidden="1"/>
    <cellStyle name="Hyperlink" xfId="3150" builtinId="8" hidden="1"/>
    <cellStyle name="Hyperlink" xfId="3152" builtinId="8" hidden="1"/>
    <cellStyle name="Hyperlink" xfId="3154" builtinId="8" hidden="1"/>
    <cellStyle name="Hyperlink" xfId="3156" builtinId="8" hidden="1"/>
    <cellStyle name="Hyperlink" xfId="3158" builtinId="8" hidden="1"/>
    <cellStyle name="Hyperlink" xfId="3160" builtinId="8" hidden="1"/>
    <cellStyle name="Hyperlink" xfId="3162" builtinId="8" hidden="1"/>
    <cellStyle name="Hyperlink" xfId="3164" builtinId="8" hidden="1"/>
    <cellStyle name="Hyperlink" xfId="3168" builtinId="8" hidden="1"/>
    <cellStyle name="Hyperlink" xfId="3170" builtinId="8" hidden="1"/>
    <cellStyle name="Hyperlink" xfId="3172" builtinId="8" hidden="1"/>
    <cellStyle name="Hyperlink" xfId="3174" builtinId="8" hidden="1"/>
    <cellStyle name="Hyperlink" xfId="3176" builtinId="8" hidden="1"/>
    <cellStyle name="Hyperlink" xfId="3178" builtinId="8" hidden="1"/>
    <cellStyle name="Hyperlink" xfId="3180" builtinId="8" hidden="1"/>
    <cellStyle name="Hyperlink" xfId="3182" builtinId="8" hidden="1"/>
    <cellStyle name="Hyperlink" xfId="3184" builtinId="8" hidden="1"/>
    <cellStyle name="Hyperlink" xfId="3186" builtinId="8" hidden="1"/>
    <cellStyle name="Hyperlink" xfId="3188" builtinId="8" hidden="1"/>
    <cellStyle name="Hyperlink" xfId="3190" builtinId="8" hidden="1"/>
    <cellStyle name="Hyperlink" xfId="3192" builtinId="8" hidden="1"/>
    <cellStyle name="Hyperlink" xfId="3194" builtinId="8" hidden="1"/>
    <cellStyle name="Hyperlink" xfId="3196" builtinId="8" hidden="1"/>
    <cellStyle name="Hyperlink" xfId="3198" builtinId="8" hidden="1"/>
    <cellStyle name="Hyperlink" xfId="3200" builtinId="8" hidden="1"/>
    <cellStyle name="Hyperlink" xfId="3202" builtinId="8" hidden="1"/>
    <cellStyle name="Hyperlink" xfId="3204" builtinId="8" hidden="1"/>
    <cellStyle name="Hyperlink" xfId="3206" builtinId="8" hidden="1"/>
    <cellStyle name="Hyperlink" xfId="3208" builtinId="8" hidden="1"/>
    <cellStyle name="Hyperlink" xfId="3210" builtinId="8" hidden="1"/>
    <cellStyle name="Hyperlink" xfId="3212" builtinId="8" hidden="1"/>
    <cellStyle name="Hyperlink" xfId="3214" builtinId="8" hidden="1"/>
    <cellStyle name="Hyperlink" xfId="3216" builtinId="8" hidden="1"/>
    <cellStyle name="Hyperlink" xfId="3218" builtinId="8" hidden="1"/>
    <cellStyle name="Hyperlink" xfId="3220" builtinId="8" hidden="1"/>
    <cellStyle name="Hyperlink" xfId="3222" builtinId="8" hidden="1"/>
    <cellStyle name="Hyperlink" xfId="3224" builtinId="8" hidden="1"/>
    <cellStyle name="Hyperlink" xfId="3226" builtinId="8" hidden="1"/>
    <cellStyle name="Hyperlink" xfId="3228" builtinId="8" hidden="1"/>
    <cellStyle name="Hyperlink" xfId="3230" builtinId="8" hidden="1"/>
    <cellStyle name="Hyperlink" xfId="3232" builtinId="8" hidden="1"/>
    <cellStyle name="Hyperlink" xfId="3234" builtinId="8" hidden="1"/>
    <cellStyle name="Hyperlink" xfId="3236" builtinId="8" hidden="1"/>
    <cellStyle name="Hyperlink" xfId="3238" builtinId="8" hidden="1"/>
    <cellStyle name="Hyperlink" xfId="3240" builtinId="8" hidden="1"/>
    <cellStyle name="Hyperlink" xfId="3242" builtinId="8" hidden="1"/>
    <cellStyle name="Hyperlink" xfId="3244" builtinId="8" hidden="1"/>
    <cellStyle name="Hyperlink" xfId="3246" builtinId="8" hidden="1"/>
    <cellStyle name="Hyperlink" xfId="3248" builtinId="8" hidden="1"/>
    <cellStyle name="Hyperlink" xfId="3250" builtinId="8" hidden="1"/>
    <cellStyle name="Hyperlink" xfId="3252" builtinId="8" hidden="1"/>
    <cellStyle name="Hyperlink" xfId="3254" builtinId="8" hidden="1"/>
    <cellStyle name="Hyperlink" xfId="3256" builtinId="8" hidden="1"/>
    <cellStyle name="Hyperlink" xfId="3258" builtinId="8" hidden="1"/>
    <cellStyle name="Hyperlink" xfId="3260" builtinId="8" hidden="1"/>
    <cellStyle name="Hyperlink" xfId="3262" builtinId="8" hidden="1"/>
    <cellStyle name="Hyperlink" xfId="3264" builtinId="8" hidden="1"/>
    <cellStyle name="Hyperlink" xfId="3266" builtinId="8" hidden="1"/>
    <cellStyle name="Hyperlink" xfId="3268" builtinId="8" hidden="1"/>
    <cellStyle name="Hyperlink" xfId="3270" builtinId="8" hidden="1"/>
    <cellStyle name="Hyperlink" xfId="3272" builtinId="8" hidden="1"/>
    <cellStyle name="Hyperlink" xfId="3274" builtinId="8" hidden="1"/>
    <cellStyle name="Hyperlink" xfId="3276" builtinId="8" hidden="1"/>
    <cellStyle name="Hyperlink" xfId="3278" builtinId="8" hidden="1"/>
    <cellStyle name="Hyperlink" xfId="3280" builtinId="8" hidden="1"/>
    <cellStyle name="Hyperlink" xfId="3282" builtinId="8" hidden="1"/>
    <cellStyle name="Hyperlink" xfId="3284" builtinId="8" hidden="1"/>
    <cellStyle name="Hyperlink" xfId="3286" builtinId="8" hidden="1"/>
    <cellStyle name="Hyperlink" xfId="3288" builtinId="8" hidden="1"/>
    <cellStyle name="Hyperlink" xfId="3290" builtinId="8" hidden="1"/>
    <cellStyle name="Hyperlink" xfId="3292" builtinId="8" hidden="1"/>
    <cellStyle name="Hyperlink" xfId="3294" builtinId="8" hidden="1"/>
    <cellStyle name="Hyperlink" xfId="3296" builtinId="8" hidden="1"/>
    <cellStyle name="Hyperlink" xfId="3298" builtinId="8" hidden="1"/>
    <cellStyle name="Hyperlink" xfId="3300" builtinId="8" hidden="1"/>
    <cellStyle name="Hyperlink" xfId="3302" builtinId="8" hidden="1"/>
    <cellStyle name="Hyperlink" xfId="3304" builtinId="8" hidden="1"/>
    <cellStyle name="Hyperlink" xfId="3306" builtinId="8" hidden="1"/>
    <cellStyle name="Hyperlink" xfId="3308" builtinId="8" hidden="1"/>
    <cellStyle name="Hyperlink" xfId="3310" builtinId="8" hidden="1"/>
    <cellStyle name="Hyperlink" xfId="3312" builtinId="8" hidden="1"/>
    <cellStyle name="Hyperlink" xfId="3314" builtinId="8" hidden="1"/>
    <cellStyle name="Hyperlink" xfId="3316" builtinId="8" hidden="1"/>
    <cellStyle name="Hyperlink" xfId="3318" builtinId="8" hidden="1"/>
    <cellStyle name="Hyperlink" xfId="3320" builtinId="8" hidden="1"/>
    <cellStyle name="Hyperlink" xfId="3322" builtinId="8" hidden="1"/>
    <cellStyle name="Hyperlink" xfId="3324" builtinId="8" hidden="1"/>
    <cellStyle name="Hyperlink" xfId="3326" builtinId="8" hidden="1"/>
    <cellStyle name="Hyperlink" xfId="3328" builtinId="8" hidden="1"/>
    <cellStyle name="Hyperlink" xfId="3330" builtinId="8" hidden="1"/>
    <cellStyle name="Hyperlink" xfId="3332" builtinId="8" hidden="1"/>
    <cellStyle name="Hyperlink" xfId="3334" builtinId="8" hidden="1"/>
    <cellStyle name="Hyperlink" xfId="3336" builtinId="8" hidden="1"/>
    <cellStyle name="Hyperlink" xfId="3338" builtinId="8" hidden="1"/>
    <cellStyle name="Hyperlink" xfId="3340" builtinId="8" hidden="1"/>
    <cellStyle name="Hyperlink" xfId="3342" builtinId="8" hidden="1"/>
    <cellStyle name="Hyperlink" xfId="3344" builtinId="8" hidden="1"/>
    <cellStyle name="Hyperlink" xfId="3346" builtinId="8" hidden="1"/>
    <cellStyle name="Hyperlink" xfId="3348" builtinId="8" hidden="1"/>
    <cellStyle name="Hyperlink" xfId="3350" builtinId="8" hidden="1"/>
    <cellStyle name="Hyperlink" xfId="3352" builtinId="8" hidden="1"/>
    <cellStyle name="Hyperlink" xfId="3354" builtinId="8" hidden="1"/>
    <cellStyle name="Hyperlink" xfId="3356" builtinId="8" hidden="1"/>
    <cellStyle name="Hyperlink" xfId="3358" builtinId="8" hidden="1"/>
    <cellStyle name="Hyperlink" xfId="3360" builtinId="8" hidden="1"/>
    <cellStyle name="Hyperlink" xfId="3362" builtinId="8" hidden="1"/>
    <cellStyle name="Hyperlink" xfId="3364" builtinId="8" hidden="1"/>
    <cellStyle name="Hyperlink" xfId="3366" builtinId="8" hidden="1"/>
    <cellStyle name="Hyperlink" xfId="3368" builtinId="8" hidden="1"/>
    <cellStyle name="Hyperlink" xfId="3370" builtinId="8" hidden="1"/>
    <cellStyle name="Hyperlink" xfId="3372" builtinId="8" hidden="1"/>
    <cellStyle name="Hyperlink" xfId="3374" builtinId="8" hidden="1"/>
    <cellStyle name="Hyperlink" xfId="3376" builtinId="8" hidden="1"/>
    <cellStyle name="Hyperlink" xfId="3378" builtinId="8" hidden="1"/>
    <cellStyle name="Hyperlink" xfId="3380" builtinId="8" hidden="1"/>
    <cellStyle name="Hyperlink" xfId="3382" builtinId="8" hidden="1"/>
    <cellStyle name="Hyperlink" xfId="3384" builtinId="8" hidden="1"/>
    <cellStyle name="Hyperlink" xfId="3386" builtinId="8" hidden="1"/>
    <cellStyle name="Hyperlink" xfId="3388" builtinId="8" hidden="1"/>
    <cellStyle name="Hyperlink" xfId="3390" builtinId="8" hidden="1"/>
    <cellStyle name="Hyperlink" xfId="3392" builtinId="8" hidden="1"/>
    <cellStyle name="Hyperlink" xfId="3394" builtinId="8" hidden="1"/>
    <cellStyle name="Hyperlink" xfId="3396" builtinId="8" hidden="1"/>
    <cellStyle name="Hyperlink" xfId="3398" builtinId="8" hidden="1"/>
    <cellStyle name="Hyperlink" xfId="3400" builtinId="8" hidden="1"/>
    <cellStyle name="Hyperlink" xfId="3402" builtinId="8" hidden="1"/>
    <cellStyle name="Hyperlink" xfId="3404" builtinId="8" hidden="1"/>
    <cellStyle name="Hyperlink" xfId="3406" builtinId="8" hidden="1"/>
    <cellStyle name="Hyperlink" xfId="3408" builtinId="8" hidden="1"/>
    <cellStyle name="Hyperlink" xfId="3410" builtinId="8" hidden="1"/>
    <cellStyle name="Hyperlink" xfId="3412" builtinId="8" hidden="1"/>
    <cellStyle name="Hyperlink" xfId="3414" builtinId="8" hidden="1"/>
    <cellStyle name="Hyperlink" xfId="3416" builtinId="8" hidden="1"/>
    <cellStyle name="Hyperlink" xfId="3418" builtinId="8" hidden="1"/>
    <cellStyle name="Hyperlink" xfId="3420" builtinId="8" hidden="1"/>
    <cellStyle name="Hyperlink" xfId="3422" builtinId="8" hidden="1"/>
    <cellStyle name="Hyperlink" xfId="3424" builtinId="8" hidden="1"/>
    <cellStyle name="Hyperlink" xfId="3426" builtinId="8" hidden="1"/>
    <cellStyle name="Hyperlink" xfId="3428" builtinId="8" hidden="1"/>
    <cellStyle name="Hyperlink" xfId="3430" builtinId="8" hidden="1"/>
    <cellStyle name="Hyperlink" xfId="3432" builtinId="8" hidden="1"/>
    <cellStyle name="Hyperlink" xfId="3434" builtinId="8" hidden="1"/>
    <cellStyle name="Hyperlink" xfId="3436" builtinId="8" hidden="1"/>
    <cellStyle name="Hyperlink" xfId="3438" builtinId="8" hidden="1"/>
    <cellStyle name="Hyperlink" xfId="3440" builtinId="8" hidden="1"/>
    <cellStyle name="Hyperlink" xfId="3442" builtinId="8" hidden="1"/>
    <cellStyle name="Hyperlink" xfId="3444" builtinId="8" hidden="1"/>
    <cellStyle name="Hyperlink" xfId="3446" builtinId="8" hidden="1"/>
    <cellStyle name="Hyperlink" xfId="3448" builtinId="8" hidden="1"/>
    <cellStyle name="Hyperlink" xfId="3450" builtinId="8" hidden="1"/>
    <cellStyle name="Hyperlink" xfId="3452" builtinId="8" hidden="1"/>
    <cellStyle name="Hyperlink" xfId="3454" builtinId="8" hidden="1"/>
    <cellStyle name="Hyperlink" xfId="3456" builtinId="8" hidden="1"/>
    <cellStyle name="Hyperlink" xfId="3458" builtinId="8" hidden="1"/>
    <cellStyle name="Hyperlink" xfId="3460" builtinId="8" hidden="1"/>
    <cellStyle name="Hyperlink" xfId="3462" builtinId="8" hidden="1"/>
    <cellStyle name="Hyperlink" xfId="3464" builtinId="8" hidden="1"/>
    <cellStyle name="Hyperlink" xfId="3466" builtinId="8" hidden="1"/>
    <cellStyle name="Hyperlink" xfId="3468" builtinId="8" hidden="1"/>
    <cellStyle name="Hyperlink" xfId="3470" builtinId="8" hidden="1"/>
    <cellStyle name="Hyperlink" xfId="3472" builtinId="8" hidden="1"/>
    <cellStyle name="Hyperlink" xfId="3474" builtinId="8" hidden="1"/>
    <cellStyle name="Hyperlink" xfId="3476" builtinId="8" hidden="1"/>
    <cellStyle name="Hyperlink" xfId="3478" builtinId="8" hidden="1"/>
    <cellStyle name="Hyperlink" xfId="3480" builtinId="8" hidden="1"/>
    <cellStyle name="Hyperlink" xfId="3482" builtinId="8" hidden="1"/>
    <cellStyle name="Hyperlink" xfId="3484" builtinId="8" hidden="1"/>
    <cellStyle name="Hyperlink" xfId="3486" builtinId="8" hidden="1"/>
    <cellStyle name="Hyperlink" xfId="3488" builtinId="8" hidden="1"/>
    <cellStyle name="Hyperlink" xfId="3490" builtinId="8" hidden="1"/>
    <cellStyle name="Hyperlink" xfId="3492" builtinId="8" hidden="1"/>
    <cellStyle name="Hyperlink" xfId="3494" builtinId="8" hidden="1"/>
    <cellStyle name="Hyperlink" xfId="3496" builtinId="8" hidden="1"/>
    <cellStyle name="Hyperlink" xfId="3498" builtinId="8" hidden="1"/>
    <cellStyle name="Hyperlink" xfId="3500" builtinId="8" hidden="1"/>
    <cellStyle name="Hyperlink" xfId="3502" builtinId="8" hidden="1"/>
    <cellStyle name="Hyperlink" xfId="3504" builtinId="8" hidden="1"/>
    <cellStyle name="Hyperlink" xfId="3506" builtinId="8" hidden="1"/>
    <cellStyle name="Hyperlink" xfId="3508" builtinId="8" hidden="1"/>
    <cellStyle name="Hyperlink" xfId="3510" builtinId="8" hidden="1"/>
    <cellStyle name="Hyperlink" xfId="3512" builtinId="8" hidden="1"/>
    <cellStyle name="Hyperlink" xfId="3514" builtinId="8" hidden="1"/>
    <cellStyle name="Hyperlink" xfId="3516" builtinId="8" hidden="1"/>
    <cellStyle name="Hyperlink" xfId="3518" builtinId="8" hidden="1"/>
    <cellStyle name="Hyperlink" xfId="3520" builtinId="8" hidden="1"/>
    <cellStyle name="Hyperlink" xfId="3522" builtinId="8" hidden="1"/>
    <cellStyle name="Hyperlink" xfId="3524" builtinId="8" hidden="1"/>
    <cellStyle name="Hyperlink" xfId="3526" builtinId="8" hidden="1"/>
    <cellStyle name="Hyperlink" xfId="3528" builtinId="8" hidden="1"/>
    <cellStyle name="Hyperlink" xfId="3530" builtinId="8" hidden="1"/>
    <cellStyle name="Hyperlink" xfId="3532" builtinId="8" hidden="1"/>
    <cellStyle name="Hyperlink" xfId="3534" builtinId="8" hidden="1"/>
    <cellStyle name="Hyperlink" xfId="3536" builtinId="8" hidden="1"/>
    <cellStyle name="Hyperlink" xfId="3538" builtinId="8" hidden="1"/>
    <cellStyle name="Hyperlink" xfId="3540" builtinId="8" hidden="1"/>
    <cellStyle name="Hyperlink" xfId="3542" builtinId="8" hidden="1"/>
    <cellStyle name="Hyperlink" xfId="3544" builtinId="8" hidden="1"/>
    <cellStyle name="Hyperlink" xfId="3546" builtinId="8" hidden="1"/>
    <cellStyle name="Hyperlink" xfId="3548" builtinId="8" hidden="1"/>
    <cellStyle name="Hyperlink" xfId="3550" builtinId="8" hidden="1"/>
    <cellStyle name="Hyperlink" xfId="3552" builtinId="8" hidden="1"/>
    <cellStyle name="Hyperlink" xfId="3554" builtinId="8" hidden="1"/>
    <cellStyle name="Hyperlink" xfId="3556" builtinId="8" hidden="1"/>
    <cellStyle name="Hyperlink" xfId="3558" builtinId="8" hidden="1"/>
    <cellStyle name="Hyperlink" xfId="3560" builtinId="8" hidden="1"/>
    <cellStyle name="Hyperlink" xfId="3562" builtinId="8" hidden="1"/>
    <cellStyle name="Hyperlink" xfId="3564" builtinId="8" hidden="1"/>
    <cellStyle name="Hyperlink" xfId="3566" builtinId="8" hidden="1"/>
    <cellStyle name="Hyperlink" xfId="3568" builtinId="8" hidden="1"/>
    <cellStyle name="Hyperlink" xfId="3570" builtinId="8" hidden="1"/>
    <cellStyle name="Hyperlink" xfId="3572" builtinId="8" hidden="1"/>
    <cellStyle name="Hyperlink" xfId="3574" builtinId="8" hidden="1"/>
    <cellStyle name="Hyperlink" xfId="3576" builtinId="8" hidden="1"/>
    <cellStyle name="Hyperlink" xfId="3578" builtinId="8" hidden="1"/>
    <cellStyle name="Hyperlink" xfId="3580" builtinId="8" hidden="1"/>
    <cellStyle name="Hyperlink" xfId="3582" builtinId="8" hidden="1"/>
    <cellStyle name="Hyperlink" xfId="3584" builtinId="8" hidden="1"/>
    <cellStyle name="Hyperlink" xfId="3586" builtinId="8" hidden="1"/>
    <cellStyle name="Hyperlink" xfId="3588" builtinId="8" hidden="1"/>
    <cellStyle name="Hyperlink" xfId="3590" builtinId="8" hidden="1"/>
    <cellStyle name="Hyperlink" xfId="3592" builtinId="8" hidden="1"/>
    <cellStyle name="Hyperlink" xfId="3594" builtinId="8" hidden="1"/>
    <cellStyle name="Hyperlink" xfId="3596" builtinId="8" hidden="1"/>
    <cellStyle name="Hyperlink" xfId="3598" builtinId="8" hidden="1"/>
    <cellStyle name="Hyperlink" xfId="3600" builtinId="8" hidden="1"/>
    <cellStyle name="Hyperlink" xfId="3602" builtinId="8" hidden="1"/>
    <cellStyle name="Hyperlink" xfId="3604" builtinId="8" hidden="1"/>
    <cellStyle name="Hyperlink" xfId="3606" builtinId="8" hidden="1"/>
    <cellStyle name="Hyperlink" xfId="3608" builtinId="8" hidden="1"/>
    <cellStyle name="Hyperlink" xfId="3610" builtinId="8" hidden="1"/>
    <cellStyle name="Hyperlink" xfId="3612" builtinId="8" hidden="1"/>
    <cellStyle name="Hyperlink" xfId="3614" builtinId="8" hidden="1"/>
    <cellStyle name="Hyperlink" xfId="3616" builtinId="8" hidden="1"/>
    <cellStyle name="Hyperlink" xfId="3618" builtinId="8" hidden="1"/>
    <cellStyle name="Hyperlink" xfId="3620" builtinId="8" hidden="1"/>
    <cellStyle name="Hyperlink" xfId="3622" builtinId="8" hidden="1"/>
    <cellStyle name="Hyperlink" xfId="3624" builtinId="8" hidden="1"/>
    <cellStyle name="Hyperlink" xfId="3626" builtinId="8" hidden="1"/>
    <cellStyle name="Hyperlink" xfId="3628" builtinId="8" hidden="1"/>
    <cellStyle name="Hyperlink" xfId="3630" builtinId="8" hidden="1"/>
    <cellStyle name="Hyperlink" xfId="3632" builtinId="8" hidden="1"/>
    <cellStyle name="Hyperlink" xfId="3634" builtinId="8" hidden="1"/>
    <cellStyle name="Hyperlink" xfId="3636" builtinId="8" hidden="1"/>
    <cellStyle name="Hyperlink" xfId="3638" builtinId="8" hidden="1"/>
    <cellStyle name="Hyperlink" xfId="3640" builtinId="8" hidden="1"/>
    <cellStyle name="Hyperlink" xfId="3642" builtinId="8" hidden="1"/>
    <cellStyle name="Hyperlink" xfId="3644" builtinId="8" hidden="1"/>
    <cellStyle name="Hyperlink" xfId="3646" builtinId="8" hidden="1"/>
    <cellStyle name="Hyperlink" xfId="3648" builtinId="8" hidden="1"/>
    <cellStyle name="Hyperlink" xfId="3650" builtinId="8" hidden="1"/>
    <cellStyle name="Hyperlink" xfId="3652" builtinId="8" hidden="1"/>
    <cellStyle name="Hyperlink" xfId="3654" builtinId="8" hidden="1"/>
    <cellStyle name="Hyperlink" xfId="3656" builtinId="8" hidden="1"/>
    <cellStyle name="Hyperlink" xfId="3658" builtinId="8" hidden="1"/>
    <cellStyle name="Hyperlink" xfId="3660" builtinId="8" hidden="1"/>
    <cellStyle name="Hyperlink" xfId="3662" builtinId="8" hidden="1"/>
    <cellStyle name="Hyperlink" xfId="3664" builtinId="8" hidden="1"/>
    <cellStyle name="Hyperlink" xfId="3666" builtinId="8" hidden="1"/>
    <cellStyle name="Hyperlink" xfId="3668" builtinId="8" hidden="1"/>
    <cellStyle name="Hyperlink" xfId="3670" builtinId="8" hidden="1"/>
    <cellStyle name="Hyperlink" xfId="3672" builtinId="8" hidden="1"/>
    <cellStyle name="Hyperlink" xfId="3674" builtinId="8" hidden="1"/>
    <cellStyle name="Hyperlink" xfId="3676" builtinId="8" hidden="1"/>
    <cellStyle name="Hyperlink" xfId="3678" builtinId="8" hidden="1"/>
    <cellStyle name="Hyperlink" xfId="3680" builtinId="8" hidden="1"/>
    <cellStyle name="Hyperlink" xfId="3682" builtinId="8" hidden="1"/>
    <cellStyle name="Hyperlink" xfId="3684" builtinId="8" hidden="1"/>
    <cellStyle name="Hyperlink" xfId="3686" builtinId="8" hidden="1"/>
    <cellStyle name="Hyperlink" xfId="3688" builtinId="8" hidden="1"/>
    <cellStyle name="Hyperlink" xfId="3690" builtinId="8" hidden="1"/>
    <cellStyle name="Hyperlink" xfId="3692" builtinId="8" hidden="1"/>
    <cellStyle name="Hyperlink" xfId="3694" builtinId="8" hidden="1"/>
    <cellStyle name="Hyperlink" xfId="3696" builtinId="8" hidden="1"/>
    <cellStyle name="Hyperlink" xfId="3698" builtinId="8" hidden="1"/>
    <cellStyle name="Hyperlink" xfId="3700" builtinId="8" hidden="1"/>
    <cellStyle name="Hyperlink" xfId="3702" builtinId="8" hidden="1"/>
    <cellStyle name="Hyperlink" xfId="3704" builtinId="8" hidden="1"/>
    <cellStyle name="Hyperlink" xfId="3706" builtinId="8" hidden="1"/>
    <cellStyle name="Hyperlink" xfId="3708" builtinId="8" hidden="1"/>
    <cellStyle name="Hyperlink" xfId="3710" builtinId="8" hidden="1"/>
    <cellStyle name="Hyperlink" xfId="3712" builtinId="8" hidden="1"/>
    <cellStyle name="Hyperlink" xfId="3714" builtinId="8" hidden="1"/>
    <cellStyle name="Hyperlink" xfId="3716" builtinId="8" hidden="1"/>
    <cellStyle name="Hyperlink" xfId="3718" builtinId="8" hidden="1"/>
    <cellStyle name="Hyperlink" xfId="3720" builtinId="8" hidden="1"/>
    <cellStyle name="Hyperlink" xfId="3722" builtinId="8" hidden="1"/>
    <cellStyle name="Hyperlink" xfId="3724" builtinId="8" hidden="1"/>
    <cellStyle name="Hyperlink" xfId="3726" builtinId="8" hidden="1"/>
    <cellStyle name="Hyperlink" xfId="3728" builtinId="8" hidden="1"/>
    <cellStyle name="Hyperlink" xfId="3730" builtinId="8" hidden="1"/>
    <cellStyle name="Hyperlink" xfId="3732" builtinId="8" hidden="1"/>
    <cellStyle name="Hyperlink" xfId="3734" builtinId="8" hidden="1"/>
    <cellStyle name="Hyperlink" xfId="3736" builtinId="8" hidden="1"/>
    <cellStyle name="Hyperlink" xfId="3738" builtinId="8" hidden="1"/>
    <cellStyle name="Hyperlink" xfId="3740" builtinId="8" hidden="1"/>
    <cellStyle name="Hyperlink" xfId="3742" builtinId="8" hidden="1"/>
    <cellStyle name="Hyperlink" xfId="3744" builtinId="8" hidden="1"/>
    <cellStyle name="Hyperlink" xfId="3746" builtinId="8" hidden="1"/>
    <cellStyle name="Hyperlink" xfId="3748" builtinId="8" hidden="1"/>
    <cellStyle name="Hyperlink" xfId="3750" builtinId="8" hidden="1"/>
    <cellStyle name="Hyperlink" xfId="3752" builtinId="8" hidden="1"/>
    <cellStyle name="Hyperlink" xfId="3754" builtinId="8" hidden="1"/>
    <cellStyle name="Hyperlink" xfId="3756" builtinId="8" hidden="1"/>
    <cellStyle name="Hyperlink" xfId="3758" builtinId="8" hidden="1"/>
    <cellStyle name="Hyperlink" xfId="3760" builtinId="8" hidden="1"/>
    <cellStyle name="Hyperlink" xfId="3762" builtinId="8" hidden="1"/>
    <cellStyle name="Hyperlink" xfId="3764" builtinId="8" hidden="1"/>
    <cellStyle name="Hyperlink" xfId="3766" builtinId="8" hidden="1"/>
    <cellStyle name="Hyperlink" xfId="3768" builtinId="8" hidden="1"/>
    <cellStyle name="Hyperlink" xfId="3770" builtinId="8" hidden="1"/>
    <cellStyle name="Hyperlink" xfId="3772" builtinId="8" hidden="1"/>
    <cellStyle name="Hyperlink" xfId="3774" builtinId="8" hidden="1"/>
    <cellStyle name="Hyperlink" xfId="3776" builtinId="8" hidden="1"/>
    <cellStyle name="Hyperlink" xfId="3778" builtinId="8" hidden="1"/>
    <cellStyle name="Hyperlink" xfId="3780" builtinId="8" hidden="1"/>
    <cellStyle name="Hyperlink" xfId="3782" builtinId="8" hidden="1"/>
    <cellStyle name="Hyperlink" xfId="3784" builtinId="8" hidden="1"/>
    <cellStyle name="Hyperlink" xfId="3786" builtinId="8" hidden="1"/>
    <cellStyle name="Hyperlink" xfId="3788" builtinId="8" hidden="1"/>
    <cellStyle name="Hyperlink" xfId="3790" builtinId="8" hidden="1"/>
    <cellStyle name="Hyperlink" xfId="3792" builtinId="8" hidden="1"/>
    <cellStyle name="Hyperlink" xfId="3794" builtinId="8" hidden="1"/>
    <cellStyle name="Hyperlink" xfId="3796" builtinId="8" hidden="1"/>
    <cellStyle name="Hyperlink" xfId="3798" builtinId="8" hidden="1"/>
    <cellStyle name="Hyperlink" xfId="3800" builtinId="8" hidden="1"/>
    <cellStyle name="Hyperlink" xfId="3802" builtinId="8" hidden="1"/>
    <cellStyle name="Hyperlink" xfId="3804" builtinId="8" hidden="1"/>
    <cellStyle name="Hyperlink" xfId="3806" builtinId="8" hidden="1"/>
    <cellStyle name="Hyperlink" xfId="3808" builtinId="8" hidden="1"/>
    <cellStyle name="Hyperlink" xfId="3810" builtinId="8" hidden="1"/>
    <cellStyle name="Hyperlink" xfId="3812" builtinId="8" hidden="1"/>
    <cellStyle name="Hyperlink" xfId="3814" builtinId="8" hidden="1"/>
    <cellStyle name="Hyperlink" xfId="3816" builtinId="8" hidden="1"/>
    <cellStyle name="Hyperlink" xfId="3818" builtinId="8" hidden="1"/>
    <cellStyle name="Hyperlink" xfId="3820" builtinId="8" hidden="1"/>
    <cellStyle name="Hyperlink" xfId="3822" builtinId="8" hidden="1"/>
    <cellStyle name="Hyperlink" xfId="3824" builtinId="8" hidden="1"/>
    <cellStyle name="Hyperlink" xfId="3826" builtinId="8" hidden="1"/>
    <cellStyle name="Hyperlink" xfId="3828" builtinId="8" hidden="1"/>
    <cellStyle name="Hyperlink" xfId="3830" builtinId="8" hidden="1"/>
    <cellStyle name="Hyperlink" xfId="3832" builtinId="8" hidden="1"/>
    <cellStyle name="Hyperlink" xfId="3834" builtinId="8" hidden="1"/>
    <cellStyle name="Hyperlink" xfId="3836" builtinId="8" hidden="1"/>
    <cellStyle name="Hyperlink" xfId="3838" builtinId="8" hidden="1"/>
    <cellStyle name="Hyperlink" xfId="3840" builtinId="8" hidden="1"/>
    <cellStyle name="Hyperlink" xfId="3842" builtinId="8" hidden="1"/>
    <cellStyle name="Hyperlink" xfId="3844" builtinId="8" hidden="1"/>
    <cellStyle name="Hyperlink" xfId="3846" builtinId="8" hidden="1"/>
    <cellStyle name="Hyperlink" xfId="3848" builtinId="8" hidden="1"/>
    <cellStyle name="Hyperlink" xfId="3850" builtinId="8" hidden="1"/>
    <cellStyle name="Hyperlink" xfId="3852" builtinId="8" hidden="1"/>
    <cellStyle name="Hyperlink" xfId="3854" builtinId="8" hidden="1"/>
    <cellStyle name="Hyperlink" xfId="3856" builtinId="8" hidden="1"/>
    <cellStyle name="Hyperlink" xfId="3858" builtinId="8" hidden="1"/>
    <cellStyle name="Hyperlink" xfId="3860" builtinId="8" hidden="1"/>
    <cellStyle name="Hyperlink" xfId="3862" builtinId="8" hidden="1"/>
    <cellStyle name="Hyperlink" xfId="3864" builtinId="8" hidden="1"/>
    <cellStyle name="Hyperlink" xfId="3866" builtinId="8" hidden="1"/>
    <cellStyle name="Hyperlink" xfId="3868" builtinId="8" hidden="1"/>
    <cellStyle name="Hyperlink" xfId="3870" builtinId="8" hidden="1"/>
    <cellStyle name="Hyperlink" xfId="3872" builtinId="8" hidden="1"/>
    <cellStyle name="Hyperlink" xfId="3874" builtinId="8" hidden="1"/>
    <cellStyle name="Hyperlink" xfId="3876" builtinId="8" hidden="1"/>
    <cellStyle name="Hyperlink" xfId="3878" builtinId="8" hidden="1"/>
    <cellStyle name="Hyperlink" xfId="3880" builtinId="8" hidden="1"/>
    <cellStyle name="Hyperlink" xfId="3882" builtinId="8" hidden="1"/>
    <cellStyle name="Hyperlink" xfId="3884" builtinId="8" hidden="1"/>
    <cellStyle name="Hyperlink" xfId="3886" builtinId="8" hidden="1"/>
    <cellStyle name="Hyperlink" xfId="3888" builtinId="8" hidden="1"/>
    <cellStyle name="Hyperlink" xfId="3890" builtinId="8" hidden="1"/>
    <cellStyle name="Hyperlink" xfId="3892" builtinId="8" hidden="1"/>
    <cellStyle name="Hyperlink" xfId="3894" builtinId="8" hidden="1"/>
    <cellStyle name="Hyperlink" xfId="3896" builtinId="8" hidden="1"/>
    <cellStyle name="Hyperlink" xfId="3898" builtinId="8" hidden="1"/>
    <cellStyle name="Hyperlink" xfId="3900" builtinId="8" hidden="1"/>
    <cellStyle name="Hyperlink" xfId="3902" builtinId="8" hidden="1"/>
    <cellStyle name="Hyperlink" xfId="3904" builtinId="8" hidden="1"/>
    <cellStyle name="Hyperlink" xfId="3906" builtinId="8" hidden="1"/>
    <cellStyle name="Hyperlink" xfId="3908" builtinId="8" hidden="1"/>
    <cellStyle name="Hyperlink" xfId="3910" builtinId="8" hidden="1"/>
    <cellStyle name="Hyperlink" xfId="3912" builtinId="8" hidden="1"/>
    <cellStyle name="Hyperlink" xfId="3914" builtinId="8" hidden="1"/>
    <cellStyle name="Hyperlink" xfId="3916" builtinId="8" hidden="1"/>
    <cellStyle name="Hyperlink" xfId="3918" builtinId="8" hidden="1"/>
    <cellStyle name="Hyperlink" xfId="3920" builtinId="8" hidden="1"/>
    <cellStyle name="Hyperlink" xfId="3922" builtinId="8" hidden="1"/>
    <cellStyle name="Hyperlink" xfId="3924" builtinId="8" hidden="1"/>
    <cellStyle name="Hyperlink" xfId="3926" builtinId="8" hidden="1"/>
    <cellStyle name="Hyperlink" xfId="3928" builtinId="8" hidden="1"/>
    <cellStyle name="Hyperlink" xfId="3930" builtinId="8" hidden="1"/>
    <cellStyle name="Hyperlink" xfId="3932" builtinId="8" hidden="1"/>
    <cellStyle name="Hyperlink" xfId="3934" builtinId="8" hidden="1"/>
    <cellStyle name="Hyperlink" xfId="3936" builtinId="8" hidden="1"/>
    <cellStyle name="Hyperlink" xfId="3938" builtinId="8" hidden="1"/>
    <cellStyle name="Hyperlink" xfId="3940" builtinId="8" hidden="1"/>
    <cellStyle name="Hyperlink" xfId="3942" builtinId="8" hidden="1"/>
    <cellStyle name="Hyperlink" xfId="3944" builtinId="8" hidden="1"/>
    <cellStyle name="Hyperlink" xfId="3946" builtinId="8" hidden="1"/>
    <cellStyle name="Hyperlink" xfId="3948" builtinId="8" hidden="1"/>
    <cellStyle name="Hyperlink" xfId="3950" builtinId="8" hidden="1"/>
    <cellStyle name="Hyperlink" xfId="3952" builtinId="8" hidden="1"/>
    <cellStyle name="Hyperlink" xfId="3954" builtinId="8" hidden="1"/>
    <cellStyle name="Hyperlink" xfId="3956" builtinId="8" hidden="1"/>
    <cellStyle name="Hyperlink" xfId="3958" builtinId="8" hidden="1"/>
    <cellStyle name="Hyperlink" xfId="3960" builtinId="8" hidden="1"/>
    <cellStyle name="Hyperlink" xfId="3962" builtinId="8" hidden="1"/>
    <cellStyle name="Hyperlink" xfId="3964" builtinId="8" hidden="1"/>
    <cellStyle name="Hyperlink" xfId="3966" builtinId="8" hidden="1"/>
    <cellStyle name="Hyperlink" xfId="3968" builtinId="8" hidden="1"/>
    <cellStyle name="Hyperlink" xfId="3970" builtinId="8" hidden="1"/>
    <cellStyle name="Hyperlink" xfId="3972" builtinId="8" hidden="1"/>
    <cellStyle name="Hyperlink" xfId="3974" builtinId="8" hidden="1"/>
    <cellStyle name="Hyperlink" xfId="3976" builtinId="8" hidden="1"/>
    <cellStyle name="Hyperlink" xfId="3978" builtinId="8" hidden="1"/>
    <cellStyle name="Hyperlink" xfId="3980" builtinId="8" hidden="1"/>
    <cellStyle name="Hyperlink" xfId="3982" builtinId="8" hidden="1"/>
    <cellStyle name="Hyperlink" xfId="3984" builtinId="8" hidden="1"/>
    <cellStyle name="Hyperlink" xfId="3986" builtinId="8" hidden="1"/>
    <cellStyle name="Hyperlink" xfId="3988" builtinId="8" hidden="1"/>
    <cellStyle name="Hyperlink" xfId="3990" builtinId="8" hidden="1"/>
    <cellStyle name="Hyperlink" xfId="3992" builtinId="8" hidden="1"/>
    <cellStyle name="Hyperlink" xfId="3994" builtinId="8" hidden="1"/>
    <cellStyle name="Hyperlink" xfId="3996" builtinId="8"/>
    <cellStyle name="Neutral" xfId="4023" builtinId="28"/>
    <cellStyle name="Normal" xfId="0" builtinId="0"/>
    <cellStyle name="Normal 2" xfId="3137"/>
    <cellStyle name="Normal 3" xfId="3141"/>
    <cellStyle name="Normal 3 2" xfId="3166"/>
    <cellStyle name="Normal 3 2 2" xfId="4020"/>
    <cellStyle name="Normal_(3) Q&amp;A ES overview questions_13062012" xfId="3139"/>
    <cellStyle name="Percent" xfId="4018" builtinId="5"/>
    <cellStyle name="Percent 2" xfId="3138"/>
    <cellStyle name="Percent 3" xfId="4017"/>
  </cellStyles>
  <dxfs count="643">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theme="0"/>
      </font>
      <fill>
        <patternFill patternType="solid">
          <fgColor indexed="64"/>
          <bgColor theme="6" tint="-0.499984740745262"/>
        </patternFill>
      </fill>
    </dxf>
    <dxf>
      <font>
        <color theme="0"/>
      </font>
      <fill>
        <patternFill patternType="solid">
          <fgColor indexed="64"/>
          <bgColor theme="6" tint="-0.249977111117893"/>
        </patternFill>
      </fill>
    </dxf>
    <dxf>
      <font>
        <color theme="0"/>
      </font>
      <fill>
        <patternFill patternType="solid">
          <fgColor indexed="64"/>
          <bgColor theme="6"/>
        </patternFill>
      </fill>
    </dxf>
    <dxf>
      <font>
        <color theme="6" tint="-0.499984740745262"/>
      </font>
      <fill>
        <patternFill patternType="solid">
          <fgColor indexed="64"/>
          <bgColor theme="6" tint="0.39997558519241921"/>
        </patternFill>
      </fill>
    </dxf>
    <dxf>
      <font>
        <color theme="6" tint="-0.499984740745262"/>
      </font>
      <fill>
        <patternFill patternType="solid">
          <fgColor indexed="64"/>
          <bgColor theme="6" tint="0.59999389629810485"/>
        </patternFill>
      </fill>
    </dxf>
    <dxf>
      <font>
        <color theme="6" tint="-0.499984740745262"/>
      </font>
      <fill>
        <patternFill patternType="solid">
          <fgColor indexed="64"/>
          <bgColor theme="6" tint="0.79998168889431442"/>
        </patternFill>
      </fill>
    </dxf>
    <dxf>
      <font>
        <color rgb="FF9C0006"/>
      </font>
      <fill>
        <patternFill patternType="solid">
          <fgColor indexed="64"/>
          <bgColor theme="0" tint="-4.9989318521683403E-2"/>
        </patternFill>
      </fill>
    </dxf>
    <dxf>
      <font>
        <color rgb="FF9C0006"/>
      </font>
      <fill>
        <patternFill patternType="solid">
          <fgColor indexed="64"/>
          <bgColor theme="0" tint="-4.9989318521683403E-2"/>
        </patternFill>
      </fill>
    </dxf>
    <dxf>
      <font>
        <b val="0"/>
        <i val="0"/>
        <strike val="0"/>
        <condense val="0"/>
        <extend val="0"/>
        <outline val="0"/>
        <shadow val="0"/>
        <u val="none"/>
        <vertAlign val="baseline"/>
        <sz val="12"/>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ibri"/>
        <scheme val="minor"/>
      </font>
      <alignment horizontal="general" vertical="center" textRotation="0" wrapText="1" indent="0" justifyLastLine="0" shrinkToFit="0" readingOrder="0"/>
    </dxf>
    <dxf>
      <border outline="0">
        <top style="thin">
          <color theme="0"/>
        </top>
      </border>
    </dxf>
    <dxf>
      <font>
        <b val="0"/>
        <i val="0"/>
        <strike val="0"/>
        <condense val="0"/>
        <extend val="0"/>
        <outline val="0"/>
        <shadow val="0"/>
        <u val="none"/>
        <vertAlign val="baseline"/>
        <sz val="12"/>
        <color theme="1"/>
        <name val="Calibri"/>
        <scheme val="minor"/>
      </font>
      <alignment horizontal="general" vertical="center" textRotation="0" wrapText="1" indent="0" justifyLastLine="0" shrinkToFit="0" readingOrder="0"/>
    </dxf>
    <dxf>
      <border outline="0">
        <bottom style="thin">
          <color theme="0"/>
        </bottom>
      </border>
    </dxf>
    <dxf>
      <font>
        <b/>
        <i val="0"/>
        <strike val="0"/>
        <condense val="0"/>
        <extend val="0"/>
        <outline val="0"/>
        <shadow val="0"/>
        <u val="none"/>
        <vertAlign val="baseline"/>
        <sz val="12"/>
        <color theme="1"/>
        <name val="Calibri"/>
        <scheme val="minor"/>
      </font>
      <fill>
        <patternFill patternType="solid">
          <fgColor indexed="64"/>
          <bgColor theme="0" tint="-0.499984740745262"/>
        </patternFill>
      </fill>
      <alignment horizontal="left" vertical="center" textRotation="0" wrapText="1" indent="0" justifyLastLine="0" shrinkToFit="0" readingOrder="0"/>
      <protection locked="0" hidden="0"/>
    </dxf>
    <dxf>
      <font>
        <color theme="0"/>
      </font>
      <fill>
        <patternFill patternType="none">
          <fgColor indexed="64"/>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0" tint="-0.14999847407452621"/>
      </font>
      <fill>
        <patternFill patternType="solid">
          <fgColor indexed="64"/>
          <bgColor theme="0" tint="-0.14999847407452621"/>
        </patternFill>
      </fill>
    </dxf>
    <dxf>
      <font>
        <color theme="0" tint="-0.14999847407452621"/>
      </font>
      <fill>
        <patternFill patternType="solid">
          <fgColor indexed="64"/>
          <bgColor theme="0" tint="-0.14999847407452621"/>
        </patternFill>
      </fill>
    </dxf>
    <dxf>
      <font>
        <color theme="0" tint="-0.1499984740745262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
      <font>
        <color auto="1"/>
      </font>
      <fill>
        <patternFill patternType="solid">
          <fgColor indexed="64"/>
          <bgColor theme="0" tint="-0.14999847407452621"/>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50" Type="http://schemas.openxmlformats.org/officeDocument/2006/relationships/worksheet" Target="worksheets/sheet50.xml"/><Relationship Id="rId51" Type="http://schemas.openxmlformats.org/officeDocument/2006/relationships/worksheet" Target="worksheets/sheet51.xml"/><Relationship Id="rId52" Type="http://schemas.openxmlformats.org/officeDocument/2006/relationships/externalLink" Target="externalLinks/externalLink1.xml"/><Relationship Id="rId53" Type="http://schemas.openxmlformats.org/officeDocument/2006/relationships/externalLink" Target="externalLinks/externalLink2.xml"/><Relationship Id="rId54" Type="http://schemas.openxmlformats.org/officeDocument/2006/relationships/externalLink" Target="externalLinks/externalLink3.xml"/><Relationship Id="rId55" Type="http://schemas.openxmlformats.org/officeDocument/2006/relationships/externalLink" Target="externalLinks/externalLink4.xml"/><Relationship Id="rId56" Type="http://schemas.openxmlformats.org/officeDocument/2006/relationships/externalLink" Target="externalLinks/externalLink5.xml"/><Relationship Id="rId57" Type="http://schemas.openxmlformats.org/officeDocument/2006/relationships/externalLink" Target="externalLinks/externalLink6.xml"/><Relationship Id="rId58" Type="http://schemas.openxmlformats.org/officeDocument/2006/relationships/theme" Target="theme/theme1.xml"/><Relationship Id="rId59" Type="http://schemas.openxmlformats.org/officeDocument/2006/relationships/styles" Target="styles.xml"/><Relationship Id="rId40" Type="http://schemas.openxmlformats.org/officeDocument/2006/relationships/worksheet" Target="worksheets/sheet40.xml"/><Relationship Id="rId41" Type="http://schemas.openxmlformats.org/officeDocument/2006/relationships/worksheet" Target="worksheets/sheet41.xml"/><Relationship Id="rId42" Type="http://schemas.openxmlformats.org/officeDocument/2006/relationships/worksheet" Target="worksheets/sheet42.xml"/><Relationship Id="rId43" Type="http://schemas.openxmlformats.org/officeDocument/2006/relationships/worksheet" Target="worksheets/sheet43.xml"/><Relationship Id="rId44" Type="http://schemas.openxmlformats.org/officeDocument/2006/relationships/worksheet" Target="worksheets/sheet44.xml"/><Relationship Id="rId45" Type="http://schemas.openxmlformats.org/officeDocument/2006/relationships/worksheet" Target="worksheets/sheet45.xml"/><Relationship Id="rId46" Type="http://schemas.openxmlformats.org/officeDocument/2006/relationships/worksheet" Target="worksheets/sheet46.xml"/><Relationship Id="rId47" Type="http://schemas.openxmlformats.org/officeDocument/2006/relationships/worksheet" Target="worksheets/sheet47.xml"/><Relationship Id="rId48" Type="http://schemas.openxmlformats.org/officeDocument/2006/relationships/worksheet" Target="worksheets/sheet48.xml"/><Relationship Id="rId49" Type="http://schemas.openxmlformats.org/officeDocument/2006/relationships/worksheet" Target="worksheets/sheet49.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30" Type="http://schemas.openxmlformats.org/officeDocument/2006/relationships/worksheet" Target="worksheets/sheet30.xml"/><Relationship Id="rId31" Type="http://schemas.openxmlformats.org/officeDocument/2006/relationships/worksheet" Target="worksheets/sheet31.xml"/><Relationship Id="rId32" Type="http://schemas.openxmlformats.org/officeDocument/2006/relationships/worksheet" Target="worksheets/sheet32.xml"/><Relationship Id="rId33" Type="http://schemas.openxmlformats.org/officeDocument/2006/relationships/worksheet" Target="worksheets/sheet33.xml"/><Relationship Id="rId34" Type="http://schemas.openxmlformats.org/officeDocument/2006/relationships/worksheet" Target="worksheets/sheet34.xml"/><Relationship Id="rId35" Type="http://schemas.openxmlformats.org/officeDocument/2006/relationships/worksheet" Target="worksheets/sheet35.xml"/><Relationship Id="rId36" Type="http://schemas.openxmlformats.org/officeDocument/2006/relationships/worksheet" Target="worksheets/sheet36.xml"/><Relationship Id="rId37" Type="http://schemas.openxmlformats.org/officeDocument/2006/relationships/worksheet" Target="worksheets/sheet37.xml"/><Relationship Id="rId38" Type="http://schemas.openxmlformats.org/officeDocument/2006/relationships/worksheet" Target="worksheets/sheet38.xml"/><Relationship Id="rId39" Type="http://schemas.openxmlformats.org/officeDocument/2006/relationships/worksheet" Target="worksheets/sheet39.xml"/><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worksheet" Target="worksheets/sheet28.xml"/><Relationship Id="rId29" Type="http://schemas.openxmlformats.org/officeDocument/2006/relationships/worksheet" Target="worksheets/sheet29.xml"/><Relationship Id="rId60" Type="http://schemas.openxmlformats.org/officeDocument/2006/relationships/sharedStrings" Target="sharedStrings.xml"/><Relationship Id="rId61" Type="http://schemas.openxmlformats.org/officeDocument/2006/relationships/calcChain" Target="calcChain.xml"/><Relationship Id="rId62"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pieChart>
        <c:varyColors val="1"/>
        <c:ser>
          <c:idx val="0"/>
          <c:order val="0"/>
          <c:tx>
            <c:strRef>
              <c:f>Summary!$S$83</c:f>
              <c:strCache>
                <c:ptCount val="1"/>
              </c:strCache>
            </c:strRef>
          </c:tx>
          <c:spPr>
            <a:effectLst/>
          </c:spPr>
          <c:cat>
            <c:multiLvlStrRef>
              <c:f>Summary!$O$84:$O$89</c:f>
            </c:multiLvlStrRef>
          </c:cat>
          <c:val>
            <c:numRef>
              <c:f>Summary!$S$84:$S$89</c:f>
            </c:numRef>
          </c:val>
        </c:ser>
        <c:ser>
          <c:idx val="1"/>
          <c:order val="1"/>
          <c:tx>
            <c:strRef>
              <c:f>Summary!$Q$83</c:f>
              <c:strCache>
                <c:ptCount val="1"/>
              </c:strCache>
            </c:strRef>
          </c:tx>
          <c:cat>
            <c:multiLvlStrRef>
              <c:f>Summary!$O$84:$O$89</c:f>
            </c:multiLvlStrRef>
          </c:cat>
          <c:val>
            <c:numRef>
              <c:f>Summary!$Q$84:$Q$89</c:f>
            </c:numRef>
          </c:val>
        </c:ser>
        <c:ser>
          <c:idx val="2"/>
          <c:order val="2"/>
          <c:tx>
            <c:strRef>
              <c:f>Summary!$R$83</c:f>
              <c:strCache>
                <c:ptCount val="1"/>
              </c:strCache>
            </c:strRef>
          </c:tx>
          <c:cat>
            <c:multiLvlStrRef>
              <c:f>Summary!$O$84:$O$89</c:f>
            </c:multiLvlStrRef>
          </c:cat>
          <c:val>
            <c:numRef>
              <c:f>Summary!$R$84:$R$89</c:f>
            </c:numRef>
          </c:val>
        </c:ser>
        <c:ser>
          <c:idx val="3"/>
          <c:order val="3"/>
          <c:tx>
            <c:strRef>
              <c:f>Summary!$S$83</c:f>
              <c:strCache>
                <c:ptCount val="1"/>
              </c:strCache>
            </c:strRef>
          </c:tx>
          <c:cat>
            <c:multiLvlStrRef>
              <c:f>Summary!$O$84:$O$89</c:f>
            </c:multiLvlStrRef>
          </c:cat>
          <c:val>
            <c:numRef>
              <c:f>Summary!$S$84:$S$89</c:f>
            </c:numRef>
          </c:val>
        </c:ser>
        <c:dLbls>
          <c:showLegendKey val="0"/>
          <c:showVal val="0"/>
          <c:showCatName val="0"/>
          <c:showSerName val="0"/>
          <c:showPercent val="0"/>
          <c:showBubbleSize val="0"/>
          <c:showLeaderLines val="1"/>
        </c:dLbls>
        <c:firstSliceAng val="0"/>
      </c:pieChart>
    </c:plotArea>
    <c:legend>
      <c:legendPos val="r"/>
      <c:overlay val="0"/>
      <c:txPr>
        <a:bodyPr/>
        <a:lstStyle/>
        <a:p>
          <a:pPr>
            <a:defRPr sz="1200"/>
          </a:pPr>
          <a:endParaRPr lang="en-US"/>
        </a:p>
      </c:txPr>
    </c:legend>
    <c:plotVisOnly val="1"/>
    <c:dispBlanksAs val="gap"/>
    <c:showDLblsOverMax val="0"/>
  </c:chart>
  <c:spPr>
    <a:noFill/>
    <a:ln>
      <a:noFill/>
    </a:ln>
    <a:effectLst/>
  </c:spPr>
  <c:printSettings>
    <c:headerFooter/>
    <c:pageMargins b="1.0" l="0.75" r="0.75" t="1.0"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pieChart>
        <c:varyColors val="1"/>
        <c:ser>
          <c:idx val="0"/>
          <c:order val="0"/>
          <c:tx>
            <c:strRef>
              <c:f>Summary!$R$83</c:f>
              <c:strCache>
                <c:ptCount val="1"/>
              </c:strCache>
            </c:strRef>
          </c:tx>
          <c:spPr>
            <a:effectLst/>
          </c:spPr>
          <c:dPt>
            <c:idx val="0"/>
            <c:bubble3D val="0"/>
            <c:spPr>
              <a:solidFill>
                <a:schemeClr val="accent1"/>
              </a:solidFill>
              <a:effectLst/>
            </c:spPr>
          </c:dPt>
          <c:cat>
            <c:multiLvlStrRef>
              <c:f>Summary!$O$84:$O$89</c:f>
            </c:multiLvlStrRef>
          </c:cat>
          <c:val>
            <c:numRef>
              <c:f>Summary!$R$84:$R$89</c:f>
            </c:numRef>
          </c:val>
        </c:ser>
        <c:dLbls>
          <c:showLegendKey val="0"/>
          <c:showVal val="0"/>
          <c:showCatName val="0"/>
          <c:showSerName val="0"/>
          <c:showPercent val="0"/>
          <c:showBubbleSize val="0"/>
          <c:showLeaderLines val="1"/>
        </c:dLbls>
        <c:firstSliceAng val="0"/>
      </c:pieChart>
    </c:plotArea>
    <c:plotVisOnly val="1"/>
    <c:dispBlanksAs val="gap"/>
    <c:showDLblsOverMax val="0"/>
  </c:chart>
  <c:spPr>
    <a:noFill/>
    <a:ln>
      <a:noFill/>
    </a:ln>
  </c:spPr>
  <c:printSettings>
    <c:headerFooter/>
    <c:pageMargins b="1.0" l="0.75" r="0.75" t="1.0"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0421874453193351"/>
          <c:y val="0.0363128491620112"/>
          <c:w val="0.887812474098632"/>
          <c:h val="0.825847446443496"/>
        </c:manualLayout>
      </c:layout>
      <c:barChart>
        <c:barDir val="bar"/>
        <c:grouping val="clustered"/>
        <c:varyColors val="0"/>
        <c:ser>
          <c:idx val="0"/>
          <c:order val="0"/>
          <c:spPr>
            <a:solidFill>
              <a:schemeClr val="accent1"/>
            </a:solidFill>
            <a:effectLst/>
          </c:spPr>
          <c:invertIfNegative val="0"/>
          <c:dPt>
            <c:idx val="0"/>
            <c:invertIfNegative val="0"/>
            <c:bubble3D val="0"/>
            <c:spPr>
              <a:solidFill>
                <a:srgbClr val="FFFF00"/>
              </a:solidFill>
              <a:ln>
                <a:solidFill>
                  <a:srgbClr val="FFFF00"/>
                </a:solidFill>
              </a:ln>
              <a:effectLst/>
            </c:spPr>
          </c:dPt>
          <c:dPt>
            <c:idx val="1"/>
            <c:invertIfNegative val="0"/>
            <c:bubble3D val="0"/>
            <c:spPr>
              <a:solidFill>
                <a:schemeClr val="accent6"/>
              </a:solidFill>
              <a:ln>
                <a:solidFill>
                  <a:schemeClr val="accent6"/>
                </a:solidFill>
              </a:ln>
              <a:effectLst/>
            </c:spPr>
          </c:dPt>
          <c:dPt>
            <c:idx val="2"/>
            <c:invertIfNegative val="0"/>
            <c:bubble3D val="0"/>
            <c:spPr>
              <a:solidFill>
                <a:schemeClr val="accent4"/>
              </a:solidFill>
              <a:ln>
                <a:solidFill>
                  <a:schemeClr val="accent4"/>
                </a:solidFill>
              </a:ln>
              <a:effectLst/>
            </c:spPr>
          </c:dPt>
          <c:dPt>
            <c:idx val="3"/>
            <c:invertIfNegative val="0"/>
            <c:bubble3D val="0"/>
            <c:spPr>
              <a:solidFill>
                <a:schemeClr val="accent3"/>
              </a:solidFill>
              <a:ln>
                <a:solidFill>
                  <a:schemeClr val="accent3"/>
                </a:solidFill>
              </a:ln>
              <a:effectLst/>
            </c:spPr>
          </c:dPt>
          <c:dPt>
            <c:idx val="4"/>
            <c:invertIfNegative val="0"/>
            <c:bubble3D val="0"/>
            <c:spPr>
              <a:solidFill>
                <a:schemeClr val="accent2"/>
              </a:solidFill>
              <a:ln>
                <a:solidFill>
                  <a:schemeClr val="accent2"/>
                </a:solidFill>
              </a:ln>
              <a:effectLst/>
            </c:spPr>
          </c:dPt>
          <c:dPt>
            <c:idx val="5"/>
            <c:invertIfNegative val="0"/>
            <c:bubble3D val="0"/>
            <c:spPr>
              <a:solidFill>
                <a:schemeClr val="accent1"/>
              </a:solidFill>
              <a:ln>
                <a:solidFill>
                  <a:schemeClr val="accent1"/>
                </a:solidFill>
              </a:ln>
              <a:effectLst/>
            </c:spPr>
          </c:dPt>
          <c:dLbls>
            <c:txPr>
              <a:bodyPr/>
              <a:lstStyle/>
              <a:p>
                <a:pPr>
                  <a:defRPr>
                    <a:solidFill>
                      <a:srgbClr val="1F497D"/>
                    </a:solidFill>
                  </a:defRPr>
                </a:pPr>
                <a:endParaRPr lang="en-US"/>
              </a:p>
            </c:txPr>
            <c:dLblPos val="outEnd"/>
            <c:showLegendKey val="0"/>
            <c:showVal val="1"/>
            <c:showCatName val="0"/>
            <c:showSerName val="0"/>
            <c:showPercent val="0"/>
            <c:showBubbleSize val="0"/>
            <c:showLeaderLines val="0"/>
          </c:dLbls>
          <c:val>
            <c:numRef>
              <c:f>Summary!$P$13:$P$18</c:f>
              <c:numCache>
                <c:formatCode>#,##0</c:formatCode>
                <c:ptCount val="6"/>
                <c:pt idx="0">
                  <c:v>0.0</c:v>
                </c:pt>
                <c:pt idx="1">
                  <c:v>0.0</c:v>
                </c:pt>
                <c:pt idx="2">
                  <c:v>0.0</c:v>
                </c:pt>
                <c:pt idx="3">
                  <c:v>504576.66</c:v>
                </c:pt>
                <c:pt idx="4">
                  <c:v>3.67273416128939E6</c:v>
                </c:pt>
                <c:pt idx="5">
                  <c:v>4.56454889453824E6</c:v>
                </c:pt>
              </c:numCache>
            </c:numRef>
          </c:val>
        </c:ser>
        <c:dLbls>
          <c:showLegendKey val="0"/>
          <c:showVal val="0"/>
          <c:showCatName val="0"/>
          <c:showSerName val="0"/>
          <c:showPercent val="0"/>
          <c:showBubbleSize val="0"/>
        </c:dLbls>
        <c:gapWidth val="75"/>
        <c:axId val="1286864168"/>
        <c:axId val="1286867224"/>
      </c:barChart>
      <c:catAx>
        <c:axId val="1286864168"/>
        <c:scaling>
          <c:orientation val="minMax"/>
        </c:scaling>
        <c:delete val="1"/>
        <c:axPos val="l"/>
        <c:majorTickMark val="out"/>
        <c:minorTickMark val="none"/>
        <c:tickLblPos val="nextTo"/>
        <c:crossAx val="1286867224"/>
        <c:crosses val="autoZero"/>
        <c:auto val="1"/>
        <c:lblAlgn val="ctr"/>
        <c:lblOffset val="100"/>
        <c:noMultiLvlLbl val="0"/>
      </c:catAx>
      <c:valAx>
        <c:axId val="1286867224"/>
        <c:scaling>
          <c:orientation val="minMax"/>
          <c:min val="0.0"/>
        </c:scaling>
        <c:delete val="0"/>
        <c:axPos val="b"/>
        <c:majorGridlines>
          <c:spPr>
            <a:ln>
              <a:solidFill>
                <a:schemeClr val="accent1"/>
              </a:solidFill>
            </a:ln>
          </c:spPr>
        </c:majorGridlines>
        <c:title>
          <c:tx>
            <c:rich>
              <a:bodyPr/>
              <a:lstStyle/>
              <a:p>
                <a:pPr>
                  <a:defRPr sz="1400"/>
                </a:pPr>
                <a:r>
                  <a:rPr lang="en-US" sz="1400">
                    <a:solidFill>
                      <a:schemeClr val="tx2"/>
                    </a:solidFill>
                  </a:rPr>
                  <a:t>tonnes CO2e</a:t>
                </a:r>
              </a:p>
            </c:rich>
          </c:tx>
          <c:layout>
            <c:manualLayout>
              <c:xMode val="edge"/>
              <c:yMode val="edge"/>
              <c:x val="0.4331052055993"/>
              <c:y val="0.935754189944134"/>
            </c:manualLayout>
          </c:layout>
          <c:overlay val="0"/>
        </c:title>
        <c:numFmt formatCode="#,##0" sourceLinked="1"/>
        <c:majorTickMark val="out"/>
        <c:minorTickMark val="none"/>
        <c:tickLblPos val="nextTo"/>
        <c:spPr>
          <a:ln>
            <a:solidFill>
              <a:srgbClr val="4F81BD"/>
            </a:solidFill>
          </a:ln>
        </c:spPr>
        <c:txPr>
          <a:bodyPr/>
          <a:lstStyle/>
          <a:p>
            <a:pPr>
              <a:defRPr sz="1000" b="1">
                <a:solidFill>
                  <a:srgbClr val="1F497D"/>
                </a:solidFill>
              </a:defRPr>
            </a:pPr>
            <a:endParaRPr lang="en-US"/>
          </a:p>
        </c:txPr>
        <c:crossAx val="1286864168"/>
        <c:crosses val="autoZero"/>
        <c:crossBetween val="between"/>
      </c:valAx>
    </c:plotArea>
    <c:plotVisOnly val="1"/>
    <c:dispBlanksAs val="gap"/>
    <c:showDLblsOverMax val="0"/>
  </c:chart>
  <c:spPr>
    <a:noFill/>
    <a:ln>
      <a:noFill/>
    </a:ln>
  </c:spPr>
  <c:printSettings>
    <c:headerFooter/>
    <c:pageMargins b="1.0" l="0.75" r="0.75" t="1.0"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pieChart>
        <c:varyColors val="1"/>
        <c:ser>
          <c:idx val="0"/>
          <c:order val="0"/>
          <c:tx>
            <c:strRef>
              <c:f>Graphs!$S$12</c:f>
              <c:strCache>
                <c:ptCount val="1"/>
              </c:strCache>
            </c:strRef>
          </c:tx>
          <c:spPr>
            <a:effectLst/>
          </c:spPr>
          <c:dPt>
            <c:idx val="4"/>
            <c:bubble3D val="0"/>
            <c:spPr>
              <a:solidFill>
                <a:schemeClr val="accent6"/>
              </a:solidFill>
              <a:effectLst/>
            </c:spPr>
          </c:dPt>
          <c:dPt>
            <c:idx val="5"/>
            <c:bubble3D val="0"/>
            <c:spPr>
              <a:solidFill>
                <a:srgbClr val="FFFF00"/>
              </a:solidFill>
              <a:effectLst/>
            </c:spPr>
          </c:dPt>
          <c:cat>
            <c:strRef>
              <c:f>Graphs!$O$13:$O$18</c:f>
              <c:strCache>
                <c:ptCount val="6"/>
                <c:pt idx="0">
                  <c:v>Stationary energy</c:v>
                </c:pt>
                <c:pt idx="1">
                  <c:v>Transportation</c:v>
                </c:pt>
                <c:pt idx="2">
                  <c:v>Waste</c:v>
                </c:pt>
                <c:pt idx="3">
                  <c:v>IPPU</c:v>
                </c:pt>
                <c:pt idx="4">
                  <c:v>AFOLU</c:v>
                </c:pt>
                <c:pt idx="5">
                  <c:v>Other scope 3</c:v>
                </c:pt>
              </c:strCache>
            </c:strRef>
          </c:cat>
          <c:val>
            <c:numRef>
              <c:f>Graphs!$S$13:$S$18</c:f>
              <c:numCache>
                <c:formatCode>General</c:formatCode>
                <c:ptCount val="6"/>
                <c:pt idx="0">
                  <c:v>0.0</c:v>
                </c:pt>
                <c:pt idx="1">
                  <c:v>0.0</c:v>
                </c:pt>
                <c:pt idx="2">
                  <c:v>0.0</c:v>
                </c:pt>
                <c:pt idx="3">
                  <c:v>0.0</c:v>
                </c:pt>
                <c:pt idx="4">
                  <c:v>0.0</c:v>
                </c:pt>
                <c:pt idx="5">
                  <c:v>0.0</c:v>
                </c:pt>
              </c:numCache>
            </c:numRef>
          </c:val>
        </c:ser>
        <c:ser>
          <c:idx val="1"/>
          <c:order val="1"/>
          <c:tx>
            <c:strRef>
              <c:f>Graphs!$Q$12</c:f>
              <c:strCache>
                <c:ptCount val="1"/>
                <c:pt idx="0">
                  <c:v>8967000 mtCO2e</c:v>
                </c:pt>
              </c:strCache>
            </c:strRef>
          </c:tx>
          <c:cat>
            <c:strRef>
              <c:f>Graphs!$O$13:$O$18</c:f>
              <c:strCache>
                <c:ptCount val="6"/>
                <c:pt idx="0">
                  <c:v>Stationary energy</c:v>
                </c:pt>
                <c:pt idx="1">
                  <c:v>Transportation</c:v>
                </c:pt>
                <c:pt idx="2">
                  <c:v>Waste</c:v>
                </c:pt>
                <c:pt idx="3">
                  <c:v>IPPU</c:v>
                </c:pt>
                <c:pt idx="4">
                  <c:v>AFOLU</c:v>
                </c:pt>
                <c:pt idx="5">
                  <c:v>Other scope 3</c:v>
                </c:pt>
              </c:strCache>
            </c:strRef>
          </c:cat>
          <c:val>
            <c:numRef>
              <c:f>Graphs!$Q$13:$Q$18</c:f>
              <c:numCache>
                <c:formatCode>#,##0</c:formatCode>
                <c:ptCount val="6"/>
                <c:pt idx="0">
                  <c:v>4.56454889453824E6</c:v>
                </c:pt>
                <c:pt idx="1">
                  <c:v>3.67273416128939E6</c:v>
                </c:pt>
                <c:pt idx="2">
                  <c:v>504576.66</c:v>
                </c:pt>
                <c:pt idx="3">
                  <c:v>75000.0</c:v>
                </c:pt>
                <c:pt idx="4">
                  <c:v>150000.0</c:v>
                </c:pt>
              </c:numCache>
            </c:numRef>
          </c:val>
        </c:ser>
        <c:ser>
          <c:idx val="2"/>
          <c:order val="2"/>
          <c:tx>
            <c:strRef>
              <c:f>Graphs!$R$12</c:f>
              <c:strCache>
                <c:ptCount val="1"/>
                <c:pt idx="0">
                  <c:v>9135000 mtCO2e</c:v>
                </c:pt>
              </c:strCache>
            </c:strRef>
          </c:tx>
          <c:cat>
            <c:strRef>
              <c:f>Graphs!$O$13:$O$18</c:f>
              <c:strCache>
                <c:ptCount val="6"/>
                <c:pt idx="0">
                  <c:v>Stationary energy</c:v>
                </c:pt>
                <c:pt idx="1">
                  <c:v>Transportation</c:v>
                </c:pt>
                <c:pt idx="2">
                  <c:v>Waste</c:v>
                </c:pt>
                <c:pt idx="3">
                  <c:v>IPPU</c:v>
                </c:pt>
                <c:pt idx="4">
                  <c:v>AFOLU</c:v>
                </c:pt>
                <c:pt idx="5">
                  <c:v>Other scope 3</c:v>
                </c:pt>
              </c:strCache>
            </c:strRef>
          </c:cat>
          <c:val>
            <c:numRef>
              <c:f>Graphs!$R$13:$R$18</c:f>
              <c:numCache>
                <c:formatCode>#,##0</c:formatCode>
                <c:ptCount val="6"/>
                <c:pt idx="0">
                  <c:v>4.56454889453824E6</c:v>
                </c:pt>
                <c:pt idx="1">
                  <c:v>3.67273416128939E6</c:v>
                </c:pt>
                <c:pt idx="2">
                  <c:v>504576.66</c:v>
                </c:pt>
                <c:pt idx="3">
                  <c:v>75000.0</c:v>
                </c:pt>
                <c:pt idx="4">
                  <c:v>150000.0</c:v>
                </c:pt>
                <c:pt idx="5">
                  <c:v>168000.0</c:v>
                </c:pt>
              </c:numCache>
            </c:numRef>
          </c:val>
        </c:ser>
        <c:ser>
          <c:idx val="3"/>
          <c:order val="3"/>
          <c:tx>
            <c:strRef>
              <c:f>Graphs!$S$12</c:f>
              <c:strCache>
                <c:ptCount val="1"/>
              </c:strCache>
            </c:strRef>
          </c:tx>
          <c:cat>
            <c:strRef>
              <c:f>Graphs!$O$13:$O$18</c:f>
              <c:strCache>
                <c:ptCount val="6"/>
                <c:pt idx="0">
                  <c:v>Stationary energy</c:v>
                </c:pt>
                <c:pt idx="1">
                  <c:v>Transportation</c:v>
                </c:pt>
                <c:pt idx="2">
                  <c:v>Waste</c:v>
                </c:pt>
                <c:pt idx="3">
                  <c:v>IPPU</c:v>
                </c:pt>
                <c:pt idx="4">
                  <c:v>AFOLU</c:v>
                </c:pt>
                <c:pt idx="5">
                  <c:v>Other scope 3</c:v>
                </c:pt>
              </c:strCache>
            </c:strRef>
          </c:cat>
          <c:val>
            <c:numRef>
              <c:f>Graphs!$S$13:$S$18</c:f>
              <c:numCache>
                <c:formatCode>General</c:formatCode>
                <c:ptCount val="6"/>
                <c:pt idx="0">
                  <c:v>0.0</c:v>
                </c:pt>
                <c:pt idx="1">
                  <c:v>0.0</c:v>
                </c:pt>
                <c:pt idx="2">
                  <c:v>0.0</c:v>
                </c:pt>
                <c:pt idx="3">
                  <c:v>0.0</c:v>
                </c:pt>
                <c:pt idx="4">
                  <c:v>0.0</c:v>
                </c:pt>
                <c:pt idx="5">
                  <c:v>0.0</c:v>
                </c:pt>
              </c:numCache>
            </c:numRef>
          </c:val>
        </c:ser>
        <c:dLbls>
          <c:showLegendKey val="0"/>
          <c:showVal val="0"/>
          <c:showCatName val="0"/>
          <c:showSerName val="0"/>
          <c:showPercent val="0"/>
          <c:showBubbleSize val="0"/>
          <c:showLeaderLines val="1"/>
        </c:dLbls>
        <c:firstSliceAng val="0"/>
      </c:pieChart>
    </c:plotArea>
    <c:legend>
      <c:legendPos val="r"/>
      <c:layout/>
      <c:overlay val="0"/>
      <c:txPr>
        <a:bodyPr/>
        <a:lstStyle/>
        <a:p>
          <a:pPr>
            <a:defRPr sz="1200"/>
          </a:pPr>
          <a:endParaRPr lang="en-US"/>
        </a:p>
      </c:txPr>
    </c:legend>
    <c:plotVisOnly val="1"/>
    <c:dispBlanksAs val="gap"/>
    <c:showDLblsOverMax val="0"/>
  </c:chart>
  <c:spPr>
    <a:noFill/>
    <a:ln>
      <a:noFill/>
    </a:ln>
    <a:effectLst/>
  </c:spPr>
  <c:printSettings>
    <c:headerFooter/>
    <c:pageMargins b="1.0" l="0.75" r="0.75" t="1.0"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layout/>
      <c:overlay val="0"/>
    </c:title>
    <c:autoTitleDeleted val="0"/>
    <c:plotArea>
      <c:layout/>
      <c:pieChart>
        <c:varyColors val="1"/>
        <c:ser>
          <c:idx val="0"/>
          <c:order val="0"/>
          <c:tx>
            <c:strRef>
              <c:f>Graphs!$P$12</c:f>
              <c:strCache>
                <c:ptCount val="1"/>
                <c:pt idx="0">
                  <c:v>8742000 mtCO2e</c:v>
                </c:pt>
              </c:strCache>
            </c:strRef>
          </c:tx>
          <c:spPr>
            <a:effectLst/>
          </c:spPr>
          <c:dPt>
            <c:idx val="0"/>
            <c:bubble3D val="0"/>
            <c:spPr>
              <a:solidFill>
                <a:srgbClr val="4F81BD"/>
              </a:solidFill>
              <a:effectLst/>
            </c:spPr>
          </c:dPt>
          <c:cat>
            <c:strRef>
              <c:f>Graphs!$O$13:$O$15</c:f>
              <c:strCache>
                <c:ptCount val="3"/>
                <c:pt idx="0">
                  <c:v>Stationary energy</c:v>
                </c:pt>
                <c:pt idx="1">
                  <c:v>Transportation</c:v>
                </c:pt>
                <c:pt idx="2">
                  <c:v>Waste</c:v>
                </c:pt>
              </c:strCache>
            </c:strRef>
          </c:cat>
          <c:val>
            <c:numRef>
              <c:f>Graphs!$P$13:$P$15</c:f>
              <c:numCache>
                <c:formatCode>#,##0</c:formatCode>
                <c:ptCount val="3"/>
                <c:pt idx="0">
                  <c:v>4.56454889453824E6</c:v>
                </c:pt>
                <c:pt idx="1">
                  <c:v>3.67273416128939E6</c:v>
                </c:pt>
                <c:pt idx="2">
                  <c:v>504576.66</c:v>
                </c:pt>
              </c:numCache>
            </c:numRef>
          </c:val>
        </c:ser>
        <c:dLbls>
          <c:showLegendKey val="0"/>
          <c:showVal val="0"/>
          <c:showCatName val="0"/>
          <c:showSerName val="0"/>
          <c:showPercent val="0"/>
          <c:showBubbleSize val="0"/>
          <c:showLeaderLines val="1"/>
        </c:dLbls>
        <c:firstSliceAng val="0"/>
      </c:pieChart>
    </c:plotArea>
    <c:plotVisOnly val="1"/>
    <c:dispBlanksAs val="gap"/>
    <c:showDLblsOverMax val="0"/>
  </c:chart>
  <c:spPr>
    <a:ln>
      <a:noFill/>
    </a:ln>
  </c:spPr>
  <c:printSettings>
    <c:headerFooter/>
    <c:pageMargins b="1.0" l="0.75" r="0.75" t="1.0"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layout/>
      <c:overlay val="0"/>
    </c:title>
    <c:autoTitleDeleted val="0"/>
    <c:plotArea>
      <c:layout/>
      <c:pieChart>
        <c:varyColors val="1"/>
        <c:ser>
          <c:idx val="0"/>
          <c:order val="0"/>
          <c:tx>
            <c:strRef>
              <c:f>Graphs!$Q$12</c:f>
              <c:strCache>
                <c:ptCount val="1"/>
                <c:pt idx="0">
                  <c:v>8967000 mtCO2e</c:v>
                </c:pt>
              </c:strCache>
            </c:strRef>
          </c:tx>
          <c:spPr>
            <a:effectLst/>
          </c:spPr>
          <c:dPt>
            <c:idx val="0"/>
            <c:bubble3D val="0"/>
            <c:spPr>
              <a:solidFill>
                <a:srgbClr val="4F81BD"/>
              </a:solidFill>
              <a:effectLst/>
            </c:spPr>
          </c:dPt>
          <c:dPt>
            <c:idx val="4"/>
            <c:bubble3D val="0"/>
            <c:spPr>
              <a:solidFill>
                <a:schemeClr val="accent6"/>
              </a:solidFill>
              <a:effectLst/>
            </c:spPr>
          </c:dPt>
          <c:cat>
            <c:strRef>
              <c:f>Graphs!$O$13:$O$17</c:f>
              <c:strCache>
                <c:ptCount val="5"/>
                <c:pt idx="0">
                  <c:v>Stationary energy</c:v>
                </c:pt>
                <c:pt idx="1">
                  <c:v>Transportation</c:v>
                </c:pt>
                <c:pt idx="2">
                  <c:v>Waste</c:v>
                </c:pt>
                <c:pt idx="3">
                  <c:v>IPPU</c:v>
                </c:pt>
                <c:pt idx="4">
                  <c:v>AFOLU</c:v>
                </c:pt>
              </c:strCache>
            </c:strRef>
          </c:cat>
          <c:val>
            <c:numRef>
              <c:f>Graphs!$Q$13:$Q$17</c:f>
              <c:numCache>
                <c:formatCode>#,##0</c:formatCode>
                <c:ptCount val="5"/>
                <c:pt idx="0">
                  <c:v>4.56454889453824E6</c:v>
                </c:pt>
                <c:pt idx="1">
                  <c:v>3.67273416128939E6</c:v>
                </c:pt>
                <c:pt idx="2">
                  <c:v>504576.66</c:v>
                </c:pt>
                <c:pt idx="3">
                  <c:v>75000.0</c:v>
                </c:pt>
                <c:pt idx="4">
                  <c:v>150000.0</c:v>
                </c:pt>
              </c:numCache>
            </c:numRef>
          </c:val>
        </c:ser>
        <c:dLbls>
          <c:showLegendKey val="0"/>
          <c:showVal val="0"/>
          <c:showCatName val="0"/>
          <c:showSerName val="0"/>
          <c:showPercent val="0"/>
          <c:showBubbleSize val="0"/>
          <c:showLeaderLines val="1"/>
        </c:dLbls>
        <c:firstSliceAng val="0"/>
      </c:pieChart>
    </c:plotArea>
    <c:plotVisOnly val="1"/>
    <c:dispBlanksAs val="gap"/>
    <c:showDLblsOverMax val="0"/>
  </c:chart>
  <c:spPr>
    <a:ln>
      <a:noFill/>
    </a:ln>
  </c:spPr>
  <c:printSettings>
    <c:headerFooter/>
    <c:pageMargins b="1.0" l="0.75" r="0.75" t="1.0"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layout/>
      <c:overlay val="0"/>
    </c:title>
    <c:autoTitleDeleted val="0"/>
    <c:plotArea>
      <c:layout/>
      <c:pieChart>
        <c:varyColors val="1"/>
        <c:ser>
          <c:idx val="0"/>
          <c:order val="0"/>
          <c:tx>
            <c:strRef>
              <c:f>Graphs!$R$12</c:f>
              <c:strCache>
                <c:ptCount val="1"/>
                <c:pt idx="0">
                  <c:v>9135000 mtCO2e</c:v>
                </c:pt>
              </c:strCache>
            </c:strRef>
          </c:tx>
          <c:spPr>
            <a:effectLst/>
          </c:spPr>
          <c:dPt>
            <c:idx val="0"/>
            <c:bubble3D val="0"/>
            <c:spPr>
              <a:solidFill>
                <a:schemeClr val="accent1"/>
              </a:solidFill>
              <a:effectLst/>
            </c:spPr>
          </c:dPt>
          <c:dPt>
            <c:idx val="4"/>
            <c:bubble3D val="0"/>
            <c:spPr>
              <a:solidFill>
                <a:schemeClr val="accent6"/>
              </a:solidFill>
              <a:effectLst/>
            </c:spPr>
          </c:dPt>
          <c:dPt>
            <c:idx val="5"/>
            <c:bubble3D val="0"/>
            <c:spPr>
              <a:solidFill>
                <a:srgbClr val="FFFF00"/>
              </a:solidFill>
              <a:effectLst/>
            </c:spPr>
          </c:dPt>
          <c:cat>
            <c:strRef>
              <c:f>Graphs!$O$13:$O$18</c:f>
              <c:strCache>
                <c:ptCount val="6"/>
                <c:pt idx="0">
                  <c:v>Stationary energy</c:v>
                </c:pt>
                <c:pt idx="1">
                  <c:v>Transportation</c:v>
                </c:pt>
                <c:pt idx="2">
                  <c:v>Waste</c:v>
                </c:pt>
                <c:pt idx="3">
                  <c:v>IPPU</c:v>
                </c:pt>
                <c:pt idx="4">
                  <c:v>AFOLU</c:v>
                </c:pt>
                <c:pt idx="5">
                  <c:v>Other scope 3</c:v>
                </c:pt>
              </c:strCache>
            </c:strRef>
          </c:cat>
          <c:val>
            <c:numRef>
              <c:f>Graphs!$R$13:$R$18</c:f>
              <c:numCache>
                <c:formatCode>#,##0</c:formatCode>
                <c:ptCount val="6"/>
                <c:pt idx="0">
                  <c:v>4.56454889453824E6</c:v>
                </c:pt>
                <c:pt idx="1">
                  <c:v>3.67273416128939E6</c:v>
                </c:pt>
                <c:pt idx="2">
                  <c:v>504576.66</c:v>
                </c:pt>
                <c:pt idx="3">
                  <c:v>75000.0</c:v>
                </c:pt>
                <c:pt idx="4">
                  <c:v>150000.0</c:v>
                </c:pt>
                <c:pt idx="5">
                  <c:v>168000.0</c:v>
                </c:pt>
              </c:numCache>
            </c:numRef>
          </c:val>
        </c:ser>
        <c:dLbls>
          <c:showLegendKey val="0"/>
          <c:showVal val="0"/>
          <c:showCatName val="0"/>
          <c:showSerName val="0"/>
          <c:showPercent val="0"/>
          <c:showBubbleSize val="0"/>
          <c:showLeaderLines val="1"/>
        </c:dLbls>
        <c:firstSliceAng val="0"/>
      </c:pieChart>
    </c:plotArea>
    <c:plotVisOnly val="1"/>
    <c:dispBlanksAs val="gap"/>
    <c:showDLblsOverMax val="0"/>
  </c:chart>
  <c:spPr>
    <a:noFill/>
    <a:ln>
      <a:noFill/>
    </a:ln>
  </c:spPr>
  <c:printSettings>
    <c:headerFooter/>
    <c:pageMargins b="1.0" l="0.75" r="0.75" t="1.0"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089375840215095"/>
          <c:y val="0.0343007915567282"/>
          <c:w val="0.896989437295948"/>
          <c:h val="0.581586931372915"/>
        </c:manualLayout>
      </c:layout>
      <c:barChart>
        <c:barDir val="col"/>
        <c:grouping val="stacked"/>
        <c:varyColors val="0"/>
        <c:ser>
          <c:idx val="0"/>
          <c:order val="0"/>
          <c:tx>
            <c:strRef>
              <c:f>Graphs!$P$26</c:f>
              <c:strCache>
                <c:ptCount val="1"/>
                <c:pt idx="0">
                  <c:v>Scope 1</c:v>
                </c:pt>
              </c:strCache>
            </c:strRef>
          </c:tx>
          <c:spPr>
            <a:solidFill>
              <a:schemeClr val="accent1"/>
            </a:solidFill>
          </c:spPr>
          <c:invertIfNegative val="0"/>
          <c:dPt>
            <c:idx val="0"/>
            <c:invertIfNegative val="0"/>
            <c:bubble3D val="0"/>
          </c:dPt>
          <c:dPt>
            <c:idx val="1"/>
            <c:invertIfNegative val="0"/>
            <c:bubble3D val="0"/>
          </c:dPt>
          <c:dPt>
            <c:idx val="8"/>
            <c:invertIfNegative val="0"/>
            <c:bubble3D val="0"/>
            <c:spPr>
              <a:solidFill>
                <a:schemeClr val="accent2">
                  <a:lumMod val="75000"/>
                </a:schemeClr>
              </a:solidFill>
            </c:spPr>
          </c:dPt>
          <c:dPt>
            <c:idx val="9"/>
            <c:invertIfNegative val="0"/>
            <c:bubble3D val="0"/>
            <c:spPr>
              <a:solidFill>
                <a:schemeClr val="accent2">
                  <a:lumMod val="75000"/>
                </a:schemeClr>
              </a:solidFill>
            </c:spPr>
          </c:dPt>
          <c:dPt>
            <c:idx val="10"/>
            <c:invertIfNegative val="0"/>
            <c:bubble3D val="0"/>
            <c:spPr>
              <a:solidFill>
                <a:srgbClr val="953735"/>
              </a:solidFill>
            </c:spPr>
          </c:dPt>
          <c:dPt>
            <c:idx val="11"/>
            <c:invertIfNegative val="0"/>
            <c:bubble3D val="0"/>
            <c:spPr>
              <a:solidFill>
                <a:srgbClr val="953735"/>
              </a:solidFill>
            </c:spPr>
          </c:dPt>
          <c:dPt>
            <c:idx val="12"/>
            <c:invertIfNegative val="0"/>
            <c:bubble3D val="0"/>
            <c:spPr>
              <a:solidFill>
                <a:srgbClr val="953735"/>
              </a:solidFill>
            </c:spPr>
          </c:dPt>
          <c:dPt>
            <c:idx val="13"/>
            <c:invertIfNegative val="0"/>
            <c:bubble3D val="0"/>
            <c:spPr>
              <a:solidFill>
                <a:schemeClr val="accent3">
                  <a:lumMod val="75000"/>
                </a:schemeClr>
              </a:solidFill>
            </c:spPr>
          </c:dPt>
          <c:dPt>
            <c:idx val="14"/>
            <c:invertIfNegative val="0"/>
            <c:bubble3D val="0"/>
            <c:spPr>
              <a:solidFill>
                <a:schemeClr val="accent3">
                  <a:lumMod val="75000"/>
                </a:schemeClr>
              </a:solidFill>
            </c:spPr>
          </c:dPt>
          <c:dPt>
            <c:idx val="15"/>
            <c:invertIfNegative val="0"/>
            <c:bubble3D val="0"/>
            <c:spPr>
              <a:solidFill>
                <a:srgbClr val="77933C"/>
              </a:solidFill>
            </c:spPr>
          </c:dPt>
          <c:dPt>
            <c:idx val="16"/>
            <c:invertIfNegative val="0"/>
            <c:bubble3D val="0"/>
            <c:spPr>
              <a:solidFill>
                <a:schemeClr val="accent3">
                  <a:lumMod val="75000"/>
                </a:schemeClr>
              </a:solidFill>
            </c:spPr>
          </c:dPt>
          <c:dPt>
            <c:idx val="17"/>
            <c:invertIfNegative val="0"/>
            <c:bubble3D val="0"/>
            <c:spPr>
              <a:solidFill>
                <a:schemeClr val="accent4"/>
              </a:solidFill>
            </c:spPr>
          </c:dPt>
          <c:dPt>
            <c:idx val="18"/>
            <c:invertIfNegative val="0"/>
            <c:bubble3D val="0"/>
            <c:spPr>
              <a:solidFill>
                <a:srgbClr val="8064A2"/>
              </a:solidFill>
            </c:spPr>
          </c:dPt>
          <c:dPt>
            <c:idx val="19"/>
            <c:invertIfNegative val="0"/>
            <c:bubble3D val="0"/>
            <c:spPr>
              <a:solidFill>
                <a:schemeClr val="accent6"/>
              </a:solidFill>
            </c:spPr>
          </c:dPt>
          <c:dPt>
            <c:idx val="20"/>
            <c:invertIfNegative val="0"/>
            <c:bubble3D val="0"/>
            <c:spPr>
              <a:solidFill>
                <a:schemeClr val="accent6"/>
              </a:solidFill>
            </c:spPr>
          </c:dPt>
          <c:dPt>
            <c:idx val="21"/>
            <c:invertIfNegative val="0"/>
            <c:bubble3D val="0"/>
            <c:spPr>
              <a:solidFill>
                <a:schemeClr val="accent6"/>
              </a:solidFill>
            </c:spPr>
          </c:dPt>
          <c:cat>
            <c:strRef>
              <c:f>Graphs!$O$27:$O$48</c:f>
              <c:strCache>
                <c:ptCount val="22"/>
                <c:pt idx="0">
                  <c:v>Residential</c:v>
                </c:pt>
                <c:pt idx="1">
                  <c:v>Commercial / institutional</c:v>
                </c:pt>
                <c:pt idx="2">
                  <c:v>Manufacturing / construction</c:v>
                </c:pt>
                <c:pt idx="3">
                  <c:v>Energy industries</c:v>
                </c:pt>
                <c:pt idx="4">
                  <c:v>Agriculture</c:v>
                </c:pt>
                <c:pt idx="5">
                  <c:v>Non-specified sources</c:v>
                </c:pt>
                <c:pt idx="6">
                  <c:v>Fugitive emissions (coal)</c:v>
                </c:pt>
                <c:pt idx="7">
                  <c:v>Fugitive emissions (oil and gas)</c:v>
                </c:pt>
                <c:pt idx="8">
                  <c:v>On-road</c:v>
                </c:pt>
                <c:pt idx="9">
                  <c:v>Railways</c:v>
                </c:pt>
                <c:pt idx="10">
                  <c:v>Waterborne</c:v>
                </c:pt>
                <c:pt idx="11">
                  <c:v>Aviation</c:v>
                </c:pt>
                <c:pt idx="12">
                  <c:v>Off-road</c:v>
                </c:pt>
                <c:pt idx="13">
                  <c:v>Solid waste</c:v>
                </c:pt>
                <c:pt idx="14">
                  <c:v>Biological waste</c:v>
                </c:pt>
                <c:pt idx="15">
                  <c:v>Incineraton</c:v>
                </c:pt>
                <c:pt idx="16">
                  <c:v>Wastewater</c:v>
                </c:pt>
                <c:pt idx="17">
                  <c:v>Industrial processes</c:v>
                </c:pt>
                <c:pt idx="18">
                  <c:v>Product use</c:v>
                </c:pt>
                <c:pt idx="19">
                  <c:v>Livestock</c:v>
                </c:pt>
                <c:pt idx="20">
                  <c:v>Land</c:v>
                </c:pt>
                <c:pt idx="21">
                  <c:v>Aggregate sources</c:v>
                </c:pt>
              </c:strCache>
            </c:strRef>
          </c:cat>
          <c:val>
            <c:numRef>
              <c:f>Graphs!$P$27:$P$48</c:f>
              <c:numCache>
                <c:formatCode>#,##0</c:formatCode>
                <c:ptCount val="22"/>
                <c:pt idx="0">
                  <c:v>0.790498236435</c:v>
                </c:pt>
                <c:pt idx="1">
                  <c:v>0.9762</c:v>
                </c:pt>
                <c:pt idx="2">
                  <c:v>0.0</c:v>
                </c:pt>
                <c:pt idx="3">
                  <c:v>0.0</c:v>
                </c:pt>
                <c:pt idx="4">
                  <c:v>0.0</c:v>
                </c:pt>
                <c:pt idx="5">
                  <c:v>0.0</c:v>
                </c:pt>
                <c:pt idx="6">
                  <c:v>0.0</c:v>
                </c:pt>
                <c:pt idx="7">
                  <c:v>0.0115691250032394</c:v>
                </c:pt>
                <c:pt idx="8">
                  <c:v>2.7910989412952</c:v>
                </c:pt>
                <c:pt idx="9">
                  <c:v>0.5882721789248</c:v>
                </c:pt>
                <c:pt idx="10">
                  <c:v>0.0202584958517898</c:v>
                </c:pt>
                <c:pt idx="11">
                  <c:v>0.0</c:v>
                </c:pt>
                <c:pt idx="12">
                  <c:v>0.0</c:v>
                </c:pt>
                <c:pt idx="13">
                  <c:v>0.3</c:v>
                </c:pt>
                <c:pt idx="14">
                  <c:v>0.017152</c:v>
                </c:pt>
                <c:pt idx="15">
                  <c:v>0.0</c:v>
                </c:pt>
                <c:pt idx="16">
                  <c:v>0.0</c:v>
                </c:pt>
                <c:pt idx="17">
                  <c:v>0.0</c:v>
                </c:pt>
                <c:pt idx="18">
                  <c:v>0.075</c:v>
                </c:pt>
                <c:pt idx="19">
                  <c:v>0.15</c:v>
                </c:pt>
                <c:pt idx="20">
                  <c:v>0.0</c:v>
                </c:pt>
                <c:pt idx="21">
                  <c:v>0.0</c:v>
                </c:pt>
              </c:numCache>
            </c:numRef>
          </c:val>
        </c:ser>
        <c:ser>
          <c:idx val="2"/>
          <c:order val="1"/>
          <c:tx>
            <c:strRef>
              <c:f>Graphs!$Q$26</c:f>
              <c:strCache>
                <c:ptCount val="1"/>
                <c:pt idx="0">
                  <c:v>Scope 2</c:v>
                </c:pt>
              </c:strCache>
            </c:strRef>
          </c:tx>
          <c:spPr>
            <a:solidFill>
              <a:schemeClr val="accent1">
                <a:lumMod val="60000"/>
                <a:lumOff val="40000"/>
              </a:schemeClr>
            </a:solidFill>
          </c:spPr>
          <c:invertIfNegative val="0"/>
          <c:dPt>
            <c:idx val="0"/>
            <c:invertIfNegative val="0"/>
            <c:bubble3D val="0"/>
          </c:dPt>
          <c:dPt>
            <c:idx val="1"/>
            <c:invertIfNegative val="0"/>
            <c:bubble3D val="0"/>
          </c:dPt>
          <c:dPt>
            <c:idx val="8"/>
            <c:invertIfNegative val="0"/>
            <c:bubble3D val="0"/>
            <c:spPr>
              <a:solidFill>
                <a:schemeClr val="accent2">
                  <a:lumMod val="60000"/>
                  <a:lumOff val="40000"/>
                </a:schemeClr>
              </a:solidFill>
            </c:spPr>
          </c:dPt>
          <c:dPt>
            <c:idx val="9"/>
            <c:invertIfNegative val="0"/>
            <c:bubble3D val="0"/>
            <c:spPr>
              <a:solidFill>
                <a:srgbClr val="D99694"/>
              </a:solidFill>
            </c:spPr>
          </c:dPt>
          <c:dPt>
            <c:idx val="10"/>
            <c:invertIfNegative val="0"/>
            <c:bubble3D val="0"/>
            <c:spPr>
              <a:solidFill>
                <a:srgbClr val="D99694"/>
              </a:solidFill>
            </c:spPr>
          </c:dPt>
          <c:dPt>
            <c:idx val="11"/>
            <c:invertIfNegative val="0"/>
            <c:bubble3D val="0"/>
            <c:spPr>
              <a:solidFill>
                <a:srgbClr val="D99694"/>
              </a:solidFill>
            </c:spPr>
          </c:dPt>
          <c:dPt>
            <c:idx val="12"/>
            <c:invertIfNegative val="0"/>
            <c:bubble3D val="0"/>
            <c:spPr>
              <a:solidFill>
                <a:srgbClr val="D99694"/>
              </a:solidFill>
            </c:spPr>
          </c:dPt>
          <c:cat>
            <c:strRef>
              <c:f>Graphs!$O$27:$O$48</c:f>
              <c:strCache>
                <c:ptCount val="22"/>
                <c:pt idx="0">
                  <c:v>Residential</c:v>
                </c:pt>
                <c:pt idx="1">
                  <c:v>Commercial / institutional</c:v>
                </c:pt>
                <c:pt idx="2">
                  <c:v>Manufacturing / construction</c:v>
                </c:pt>
                <c:pt idx="3">
                  <c:v>Energy industries</c:v>
                </c:pt>
                <c:pt idx="4">
                  <c:v>Agriculture</c:v>
                </c:pt>
                <c:pt idx="5">
                  <c:v>Non-specified sources</c:v>
                </c:pt>
                <c:pt idx="6">
                  <c:v>Fugitive emissions (coal)</c:v>
                </c:pt>
                <c:pt idx="7">
                  <c:v>Fugitive emissions (oil and gas)</c:v>
                </c:pt>
                <c:pt idx="8">
                  <c:v>On-road</c:v>
                </c:pt>
                <c:pt idx="9">
                  <c:v>Railways</c:v>
                </c:pt>
                <c:pt idx="10">
                  <c:v>Waterborne</c:v>
                </c:pt>
                <c:pt idx="11">
                  <c:v>Aviation</c:v>
                </c:pt>
                <c:pt idx="12">
                  <c:v>Off-road</c:v>
                </c:pt>
                <c:pt idx="13">
                  <c:v>Solid waste</c:v>
                </c:pt>
                <c:pt idx="14">
                  <c:v>Biological waste</c:v>
                </c:pt>
                <c:pt idx="15">
                  <c:v>Incineraton</c:v>
                </c:pt>
                <c:pt idx="16">
                  <c:v>Wastewater</c:v>
                </c:pt>
                <c:pt idx="17">
                  <c:v>Industrial processes</c:v>
                </c:pt>
                <c:pt idx="18">
                  <c:v>Product use</c:v>
                </c:pt>
                <c:pt idx="19">
                  <c:v>Livestock</c:v>
                </c:pt>
                <c:pt idx="20">
                  <c:v>Land</c:v>
                </c:pt>
                <c:pt idx="21">
                  <c:v>Aggregate sources</c:v>
                </c:pt>
              </c:strCache>
            </c:strRef>
          </c:cat>
          <c:val>
            <c:numRef>
              <c:f>Graphs!$Q$27:$Q$48</c:f>
              <c:numCache>
                <c:formatCode>#,##0</c:formatCode>
                <c:ptCount val="22"/>
                <c:pt idx="0">
                  <c:v>1.2139834125</c:v>
                </c:pt>
                <c:pt idx="1">
                  <c:v>1.5722981206</c:v>
                </c:pt>
                <c:pt idx="2">
                  <c:v>0.0</c:v>
                </c:pt>
                <c:pt idx="3">
                  <c:v>0.0</c:v>
                </c:pt>
                <c:pt idx="4">
                  <c:v>0.0</c:v>
                </c:pt>
                <c:pt idx="5">
                  <c:v>0.0</c:v>
                </c:pt>
                <c:pt idx="8">
                  <c:v>0.0</c:v>
                </c:pt>
                <c:pt idx="9">
                  <c:v>0.2731045452176</c:v>
                </c:pt>
                <c:pt idx="10">
                  <c:v>0.0</c:v>
                </c:pt>
                <c:pt idx="11">
                  <c:v>0.0</c:v>
                </c:pt>
                <c:pt idx="12">
                  <c:v>0.0</c:v>
                </c:pt>
              </c:numCache>
            </c:numRef>
          </c:val>
        </c:ser>
        <c:ser>
          <c:idx val="3"/>
          <c:order val="2"/>
          <c:tx>
            <c:strRef>
              <c:f>Graphs!$R$26</c:f>
              <c:strCache>
                <c:ptCount val="1"/>
                <c:pt idx="0">
                  <c:v>Scope 3</c:v>
                </c:pt>
              </c:strCache>
            </c:strRef>
          </c:tx>
          <c:spPr>
            <a:solidFill>
              <a:schemeClr val="accent1">
                <a:lumMod val="40000"/>
                <a:lumOff val="60000"/>
              </a:schemeClr>
            </a:solidFill>
          </c:spPr>
          <c:invertIfNegative val="0"/>
          <c:dPt>
            <c:idx val="0"/>
            <c:invertIfNegative val="0"/>
            <c:bubble3D val="0"/>
          </c:dPt>
          <c:dPt>
            <c:idx val="1"/>
            <c:invertIfNegative val="0"/>
            <c:bubble3D val="0"/>
          </c:dPt>
          <c:dPt>
            <c:idx val="8"/>
            <c:invertIfNegative val="0"/>
            <c:bubble3D val="0"/>
            <c:spPr>
              <a:solidFill>
                <a:schemeClr val="accent2">
                  <a:lumMod val="40000"/>
                  <a:lumOff val="60000"/>
                </a:schemeClr>
              </a:solidFill>
            </c:spPr>
          </c:dPt>
          <c:dPt>
            <c:idx val="9"/>
            <c:invertIfNegative val="0"/>
            <c:bubble3D val="0"/>
            <c:spPr>
              <a:solidFill>
                <a:schemeClr val="accent2">
                  <a:lumMod val="40000"/>
                  <a:lumOff val="60000"/>
                </a:schemeClr>
              </a:solidFill>
            </c:spPr>
          </c:dPt>
          <c:dPt>
            <c:idx val="10"/>
            <c:invertIfNegative val="0"/>
            <c:bubble3D val="0"/>
            <c:spPr>
              <a:solidFill>
                <a:srgbClr val="E6B9B8"/>
              </a:solidFill>
            </c:spPr>
          </c:dPt>
          <c:dPt>
            <c:idx val="11"/>
            <c:invertIfNegative val="0"/>
            <c:bubble3D val="0"/>
            <c:spPr>
              <a:solidFill>
                <a:srgbClr val="E6B9B8"/>
              </a:solidFill>
            </c:spPr>
          </c:dPt>
          <c:dPt>
            <c:idx val="12"/>
            <c:invertIfNegative val="0"/>
            <c:bubble3D val="0"/>
            <c:spPr>
              <a:solidFill>
                <a:srgbClr val="E6B9B8"/>
              </a:solidFill>
            </c:spPr>
          </c:dPt>
          <c:dPt>
            <c:idx val="13"/>
            <c:invertIfNegative val="0"/>
            <c:bubble3D val="0"/>
            <c:spPr>
              <a:solidFill>
                <a:schemeClr val="accent3">
                  <a:lumMod val="40000"/>
                  <a:lumOff val="60000"/>
                </a:schemeClr>
              </a:solidFill>
            </c:spPr>
          </c:dPt>
          <c:dPt>
            <c:idx val="14"/>
            <c:invertIfNegative val="0"/>
            <c:bubble3D val="0"/>
            <c:spPr>
              <a:solidFill>
                <a:schemeClr val="accent3">
                  <a:lumMod val="40000"/>
                  <a:lumOff val="60000"/>
                </a:schemeClr>
              </a:solidFill>
            </c:spPr>
          </c:dPt>
          <c:dPt>
            <c:idx val="15"/>
            <c:invertIfNegative val="0"/>
            <c:bubble3D val="0"/>
            <c:spPr>
              <a:solidFill>
                <a:srgbClr val="D7E4BD"/>
              </a:solidFill>
            </c:spPr>
          </c:dPt>
          <c:dPt>
            <c:idx val="16"/>
            <c:invertIfNegative val="0"/>
            <c:bubble3D val="0"/>
            <c:spPr>
              <a:solidFill>
                <a:srgbClr val="D7E4BD"/>
              </a:solidFill>
            </c:spPr>
          </c:dPt>
          <c:cat>
            <c:strRef>
              <c:f>Graphs!$O$27:$O$48</c:f>
              <c:strCache>
                <c:ptCount val="22"/>
                <c:pt idx="0">
                  <c:v>Residential</c:v>
                </c:pt>
                <c:pt idx="1">
                  <c:v>Commercial / institutional</c:v>
                </c:pt>
                <c:pt idx="2">
                  <c:v>Manufacturing / construction</c:v>
                </c:pt>
                <c:pt idx="3">
                  <c:v>Energy industries</c:v>
                </c:pt>
                <c:pt idx="4">
                  <c:v>Agriculture</c:v>
                </c:pt>
                <c:pt idx="5">
                  <c:v>Non-specified sources</c:v>
                </c:pt>
                <c:pt idx="6">
                  <c:v>Fugitive emissions (coal)</c:v>
                </c:pt>
                <c:pt idx="7">
                  <c:v>Fugitive emissions (oil and gas)</c:v>
                </c:pt>
                <c:pt idx="8">
                  <c:v>On-road</c:v>
                </c:pt>
                <c:pt idx="9">
                  <c:v>Railways</c:v>
                </c:pt>
                <c:pt idx="10">
                  <c:v>Waterborne</c:v>
                </c:pt>
                <c:pt idx="11">
                  <c:v>Aviation</c:v>
                </c:pt>
                <c:pt idx="12">
                  <c:v>Off-road</c:v>
                </c:pt>
                <c:pt idx="13">
                  <c:v>Solid waste</c:v>
                </c:pt>
                <c:pt idx="14">
                  <c:v>Biological waste</c:v>
                </c:pt>
                <c:pt idx="15">
                  <c:v>Incineraton</c:v>
                </c:pt>
                <c:pt idx="16">
                  <c:v>Wastewater</c:v>
                </c:pt>
                <c:pt idx="17">
                  <c:v>Industrial processes</c:v>
                </c:pt>
                <c:pt idx="18">
                  <c:v>Product use</c:v>
                </c:pt>
                <c:pt idx="19">
                  <c:v>Livestock</c:v>
                </c:pt>
                <c:pt idx="20">
                  <c:v>Land</c:v>
                </c:pt>
                <c:pt idx="21">
                  <c:v>Aggregate sources</c:v>
                </c:pt>
              </c:strCache>
            </c:strRef>
          </c:cat>
          <c:val>
            <c:numRef>
              <c:f>Graphs!$R$27:$R$48</c:f>
              <c:numCache>
                <c:formatCode>#,##0</c:formatCode>
                <c:ptCount val="22"/>
                <c:pt idx="0">
                  <c:v>0.0</c:v>
                </c:pt>
                <c:pt idx="1">
                  <c:v>0.0</c:v>
                </c:pt>
                <c:pt idx="2">
                  <c:v>0.0</c:v>
                </c:pt>
                <c:pt idx="3">
                  <c:v>0.0</c:v>
                </c:pt>
                <c:pt idx="4">
                  <c:v>0.0</c:v>
                </c:pt>
                <c:pt idx="5">
                  <c:v>0.0</c:v>
                </c:pt>
                <c:pt idx="8">
                  <c:v>0.0</c:v>
                </c:pt>
                <c:pt idx="9">
                  <c:v>0.0</c:v>
                </c:pt>
                <c:pt idx="10">
                  <c:v>0.0</c:v>
                </c:pt>
                <c:pt idx="11">
                  <c:v>0.0</c:v>
                </c:pt>
                <c:pt idx="12">
                  <c:v>0.0</c:v>
                </c:pt>
                <c:pt idx="13">
                  <c:v>0.0</c:v>
                </c:pt>
                <c:pt idx="14">
                  <c:v>0.034304</c:v>
                </c:pt>
                <c:pt idx="15">
                  <c:v>0.0</c:v>
                </c:pt>
                <c:pt idx="16">
                  <c:v>0.15312066</c:v>
                </c:pt>
              </c:numCache>
            </c:numRef>
          </c:val>
        </c:ser>
        <c:dLbls>
          <c:showLegendKey val="0"/>
          <c:showVal val="0"/>
          <c:showCatName val="0"/>
          <c:showSerName val="0"/>
          <c:showPercent val="0"/>
          <c:showBubbleSize val="0"/>
        </c:dLbls>
        <c:gapWidth val="150"/>
        <c:overlap val="100"/>
        <c:axId val="1956530376"/>
        <c:axId val="1956533160"/>
      </c:barChart>
      <c:catAx>
        <c:axId val="1956530376"/>
        <c:scaling>
          <c:orientation val="minMax"/>
        </c:scaling>
        <c:delete val="0"/>
        <c:axPos val="b"/>
        <c:majorTickMark val="out"/>
        <c:minorTickMark val="none"/>
        <c:tickLblPos val="nextTo"/>
        <c:txPr>
          <a:bodyPr rot="-5400000" vert="horz"/>
          <a:lstStyle/>
          <a:p>
            <a:pPr>
              <a:defRPr sz="1200"/>
            </a:pPr>
            <a:endParaRPr lang="en-US"/>
          </a:p>
        </c:txPr>
        <c:crossAx val="1956533160"/>
        <c:crosses val="autoZero"/>
        <c:auto val="1"/>
        <c:lblAlgn val="ctr"/>
        <c:lblOffset val="100"/>
        <c:noMultiLvlLbl val="0"/>
      </c:catAx>
      <c:valAx>
        <c:axId val="1956533160"/>
        <c:scaling>
          <c:orientation val="minMax"/>
          <c:min val="0.0"/>
        </c:scaling>
        <c:delete val="0"/>
        <c:axPos val="l"/>
        <c:majorGridlines/>
        <c:title>
          <c:tx>
            <c:rich>
              <a:bodyPr rot="-5400000" vert="horz"/>
              <a:lstStyle/>
              <a:p>
                <a:pPr>
                  <a:defRPr sz="1200"/>
                </a:pPr>
                <a:r>
                  <a:rPr lang="en-US" sz="1200"/>
                  <a:t>GHG emissions (million metric tonnes CO2e)</a:t>
                </a:r>
              </a:p>
            </c:rich>
          </c:tx>
          <c:layout>
            <c:manualLayout>
              <c:xMode val="edge"/>
              <c:yMode val="edge"/>
              <c:x val="0.0135994405808763"/>
              <c:y val="0.0565145352091652"/>
            </c:manualLayout>
          </c:layout>
          <c:overlay val="0"/>
        </c:title>
        <c:numFmt formatCode="#,##0.00" sourceLinked="0"/>
        <c:majorTickMark val="out"/>
        <c:minorTickMark val="none"/>
        <c:tickLblPos val="nextTo"/>
        <c:txPr>
          <a:bodyPr/>
          <a:lstStyle/>
          <a:p>
            <a:pPr>
              <a:defRPr sz="1200"/>
            </a:pPr>
            <a:endParaRPr lang="en-US"/>
          </a:p>
        </c:txPr>
        <c:crossAx val="1956530376"/>
        <c:crosses val="autoZero"/>
        <c:crossBetween val="between"/>
      </c:valAx>
    </c:plotArea>
    <c:legend>
      <c:legendPos val="r"/>
      <c:layout>
        <c:manualLayout>
          <c:xMode val="edge"/>
          <c:yMode val="edge"/>
          <c:x val="0.85480037166887"/>
          <c:y val="0.0339159234242639"/>
          <c:w val="0.0865411596277738"/>
          <c:h val="0.15994197111617"/>
        </c:manualLayout>
      </c:layout>
      <c:overlay val="0"/>
      <c:spPr>
        <a:solidFill>
          <a:schemeClr val="bg1"/>
        </a:solidFill>
      </c:spPr>
      <c:txPr>
        <a:bodyPr/>
        <a:lstStyle/>
        <a:p>
          <a:pPr algn="l">
            <a:defRPr sz="1200"/>
          </a:pPr>
          <a:endParaRPr lang="en-US"/>
        </a:p>
      </c:txPr>
    </c:legend>
    <c:plotVisOnly val="1"/>
    <c:dispBlanksAs val="gap"/>
    <c:showDLblsOverMax val="0"/>
  </c:chart>
  <c:spPr>
    <a:ln>
      <a:noFill/>
    </a:ln>
  </c:spPr>
  <c:printSettings>
    <c:headerFooter/>
    <c:pageMargins b="1.0" l="0.75" r="0.75" t="1.0"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barChart>
        <c:barDir val="col"/>
        <c:grouping val="stacked"/>
        <c:varyColors val="0"/>
        <c:ser>
          <c:idx val="0"/>
          <c:order val="0"/>
          <c:tx>
            <c:strRef>
              <c:f>Graphs!$P$76</c:f>
              <c:strCache>
                <c:ptCount val="1"/>
                <c:pt idx="0">
                  <c:v>BASIC</c:v>
                </c:pt>
              </c:strCache>
            </c:strRef>
          </c:tx>
          <c:spPr>
            <a:solidFill>
              <a:schemeClr val="tx2"/>
            </a:solidFill>
            <a:ln>
              <a:noFill/>
            </a:ln>
          </c:spPr>
          <c:invertIfNegative val="0"/>
          <c:cat>
            <c:strRef>
              <c:f>Graphs!$O$77:$O$79</c:f>
              <c:strCache>
                <c:ptCount val="3"/>
                <c:pt idx="0">
                  <c:v>Scope 1</c:v>
                </c:pt>
                <c:pt idx="1">
                  <c:v>Scope 2</c:v>
                </c:pt>
                <c:pt idx="2">
                  <c:v>Scope 3</c:v>
                </c:pt>
              </c:strCache>
            </c:strRef>
          </c:cat>
          <c:val>
            <c:numRef>
              <c:f>Graphs!$P$77:$P$79</c:f>
              <c:numCache>
                <c:formatCode>#,##0</c:formatCode>
                <c:ptCount val="3"/>
                <c:pt idx="0">
                  <c:v>5.49504897751003</c:v>
                </c:pt>
                <c:pt idx="1">
                  <c:v>3.0593860783176</c:v>
                </c:pt>
                <c:pt idx="2">
                  <c:v>0.18742466</c:v>
                </c:pt>
              </c:numCache>
            </c:numRef>
          </c:val>
        </c:ser>
        <c:ser>
          <c:idx val="1"/>
          <c:order val="1"/>
          <c:tx>
            <c:strRef>
              <c:f>Graphs!$Q$76</c:f>
              <c:strCache>
                <c:ptCount val="1"/>
                <c:pt idx="0">
                  <c:v>BASIC+ (additional)</c:v>
                </c:pt>
              </c:strCache>
            </c:strRef>
          </c:tx>
          <c:spPr>
            <a:solidFill>
              <a:schemeClr val="accent1"/>
            </a:solidFill>
          </c:spPr>
          <c:invertIfNegative val="0"/>
          <c:cat>
            <c:strRef>
              <c:f>Graphs!$O$77:$O$79</c:f>
              <c:strCache>
                <c:ptCount val="3"/>
                <c:pt idx="0">
                  <c:v>Scope 1</c:v>
                </c:pt>
                <c:pt idx="1">
                  <c:v>Scope 2</c:v>
                </c:pt>
                <c:pt idx="2">
                  <c:v>Scope 3</c:v>
                </c:pt>
              </c:strCache>
            </c:strRef>
          </c:cat>
          <c:val>
            <c:numRef>
              <c:f>Graphs!$Q$77:$Q$79</c:f>
              <c:numCache>
                <c:formatCode>General</c:formatCode>
                <c:ptCount val="3"/>
                <c:pt idx="0" formatCode="#,##0">
                  <c:v>0.225</c:v>
                </c:pt>
                <c:pt idx="2" formatCode="#,##0">
                  <c:v>0.0</c:v>
                </c:pt>
              </c:numCache>
            </c:numRef>
          </c:val>
        </c:ser>
        <c:ser>
          <c:idx val="2"/>
          <c:order val="2"/>
          <c:tx>
            <c:strRef>
              <c:f>Graphs!$R$76</c:f>
              <c:strCache>
                <c:ptCount val="1"/>
                <c:pt idx="0">
                  <c:v>Other territorial</c:v>
                </c:pt>
              </c:strCache>
            </c:strRef>
          </c:tx>
          <c:spPr>
            <a:solidFill>
              <a:schemeClr val="accent2"/>
            </a:solidFill>
          </c:spPr>
          <c:invertIfNegative val="0"/>
          <c:cat>
            <c:strRef>
              <c:f>Graphs!$O$77:$O$79</c:f>
              <c:strCache>
                <c:ptCount val="3"/>
                <c:pt idx="0">
                  <c:v>Scope 1</c:v>
                </c:pt>
                <c:pt idx="1">
                  <c:v>Scope 2</c:v>
                </c:pt>
                <c:pt idx="2">
                  <c:v>Scope 3</c:v>
                </c:pt>
              </c:strCache>
            </c:strRef>
          </c:cat>
          <c:val>
            <c:numRef>
              <c:f>Graphs!$R$77:$R$79</c:f>
              <c:numCache>
                <c:formatCode>General</c:formatCode>
                <c:ptCount val="3"/>
                <c:pt idx="0" formatCode="#,##0">
                  <c:v>0.0</c:v>
                </c:pt>
              </c:numCache>
            </c:numRef>
          </c:val>
        </c:ser>
        <c:ser>
          <c:idx val="3"/>
          <c:order val="3"/>
          <c:tx>
            <c:strRef>
              <c:f>Graphs!$S$76</c:f>
              <c:strCache>
                <c:ptCount val="1"/>
                <c:pt idx="0">
                  <c:v>Other scope 3</c:v>
                </c:pt>
              </c:strCache>
            </c:strRef>
          </c:tx>
          <c:spPr>
            <a:solidFill>
              <a:schemeClr val="accent6"/>
            </a:solidFill>
          </c:spPr>
          <c:invertIfNegative val="0"/>
          <c:cat>
            <c:strRef>
              <c:f>Graphs!$O$77:$O$79</c:f>
              <c:strCache>
                <c:ptCount val="3"/>
                <c:pt idx="0">
                  <c:v>Scope 1</c:v>
                </c:pt>
                <c:pt idx="1">
                  <c:v>Scope 2</c:v>
                </c:pt>
                <c:pt idx="2">
                  <c:v>Scope 3</c:v>
                </c:pt>
              </c:strCache>
            </c:strRef>
          </c:cat>
          <c:val>
            <c:numRef>
              <c:f>Graphs!$S$77:$S$79</c:f>
              <c:numCache>
                <c:formatCode>General</c:formatCode>
                <c:ptCount val="3"/>
                <c:pt idx="2" formatCode="#,##0">
                  <c:v>0.168</c:v>
                </c:pt>
              </c:numCache>
            </c:numRef>
          </c:val>
        </c:ser>
        <c:dLbls>
          <c:showLegendKey val="0"/>
          <c:showVal val="0"/>
          <c:showCatName val="0"/>
          <c:showSerName val="0"/>
          <c:showPercent val="0"/>
          <c:showBubbleSize val="0"/>
        </c:dLbls>
        <c:gapWidth val="150"/>
        <c:overlap val="100"/>
        <c:axId val="1956564664"/>
        <c:axId val="1284522856"/>
      </c:barChart>
      <c:catAx>
        <c:axId val="1956564664"/>
        <c:scaling>
          <c:orientation val="minMax"/>
        </c:scaling>
        <c:delete val="0"/>
        <c:axPos val="b"/>
        <c:majorTickMark val="out"/>
        <c:minorTickMark val="none"/>
        <c:tickLblPos val="nextTo"/>
        <c:txPr>
          <a:bodyPr/>
          <a:lstStyle/>
          <a:p>
            <a:pPr>
              <a:defRPr sz="1200"/>
            </a:pPr>
            <a:endParaRPr lang="en-US"/>
          </a:p>
        </c:txPr>
        <c:crossAx val="1284522856"/>
        <c:crosses val="autoZero"/>
        <c:auto val="1"/>
        <c:lblAlgn val="ctr"/>
        <c:lblOffset val="100"/>
        <c:noMultiLvlLbl val="0"/>
      </c:catAx>
      <c:valAx>
        <c:axId val="1284522856"/>
        <c:scaling>
          <c:orientation val="minMax"/>
        </c:scaling>
        <c:delete val="0"/>
        <c:axPos val="l"/>
        <c:majorGridlines/>
        <c:title>
          <c:tx>
            <c:rich>
              <a:bodyPr rot="-5400000" vert="horz"/>
              <a:lstStyle/>
              <a:p>
                <a:pPr>
                  <a:defRPr/>
                </a:pPr>
                <a:r>
                  <a:rPr lang="en-US" sz="1200" b="1"/>
                  <a:t>GHG emissions (million metric tonnes CO2e)</a:t>
                </a:r>
              </a:p>
            </c:rich>
          </c:tx>
          <c:layout>
            <c:manualLayout>
              <c:xMode val="edge"/>
              <c:yMode val="edge"/>
              <c:x val="0.00382477497061333"/>
              <c:y val="0.0776593452134273"/>
            </c:manualLayout>
          </c:layout>
          <c:overlay val="0"/>
        </c:title>
        <c:numFmt formatCode="#,##0.0" sourceLinked="0"/>
        <c:majorTickMark val="out"/>
        <c:minorTickMark val="none"/>
        <c:tickLblPos val="nextTo"/>
        <c:txPr>
          <a:bodyPr/>
          <a:lstStyle/>
          <a:p>
            <a:pPr>
              <a:defRPr sz="1200"/>
            </a:pPr>
            <a:endParaRPr lang="en-US"/>
          </a:p>
        </c:txPr>
        <c:crossAx val="1956564664"/>
        <c:crosses val="autoZero"/>
        <c:crossBetween val="between"/>
      </c:valAx>
    </c:plotArea>
    <c:legend>
      <c:legendPos val="r"/>
      <c:overlay val="0"/>
      <c:txPr>
        <a:bodyPr/>
        <a:lstStyle/>
        <a:p>
          <a:pPr>
            <a:defRPr sz="1200"/>
          </a:pPr>
          <a:endParaRPr lang="en-US"/>
        </a:p>
      </c:txPr>
    </c:legend>
    <c:plotVisOnly val="1"/>
    <c:dispBlanksAs val="gap"/>
    <c:showDLblsOverMax val="0"/>
  </c:chart>
  <c:spPr>
    <a:ln>
      <a:noFill/>
    </a:ln>
  </c:spPr>
  <c:printSettings>
    <c:headerFooter/>
    <c:pageMargins b="1.0" l="0.75" r="0.75" t="1.0"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barChart>
        <c:barDir val="col"/>
        <c:grouping val="stacked"/>
        <c:varyColors val="0"/>
        <c:ser>
          <c:idx val="0"/>
          <c:order val="0"/>
          <c:spPr>
            <a:solidFill>
              <a:schemeClr val="bg1">
                <a:lumMod val="50000"/>
              </a:schemeClr>
            </a:solidFill>
            <a:ln>
              <a:noFill/>
            </a:ln>
            <a:effectLst/>
          </c:spPr>
          <c:invertIfNegative val="0"/>
          <c:cat>
            <c:strRef>
              <c:f>Graphs!$O$51:$O$73</c:f>
              <c:strCache>
                <c:ptCount val="23"/>
                <c:pt idx="0">
                  <c:v>Total</c:v>
                </c:pt>
                <c:pt idx="1">
                  <c:v>Residential</c:v>
                </c:pt>
                <c:pt idx="2">
                  <c:v>Commercial / institutional</c:v>
                </c:pt>
                <c:pt idx="3">
                  <c:v>Manufacturing / construction</c:v>
                </c:pt>
                <c:pt idx="4">
                  <c:v>Energy industries</c:v>
                </c:pt>
                <c:pt idx="5">
                  <c:v>Agriculture</c:v>
                </c:pt>
                <c:pt idx="6">
                  <c:v>Non-specified sources</c:v>
                </c:pt>
                <c:pt idx="7">
                  <c:v>Fugitive emissions (coal)</c:v>
                </c:pt>
                <c:pt idx="8">
                  <c:v>Fugitive emissions (oil and gas)</c:v>
                </c:pt>
                <c:pt idx="9">
                  <c:v>On-road</c:v>
                </c:pt>
                <c:pt idx="10">
                  <c:v>Railways</c:v>
                </c:pt>
                <c:pt idx="11">
                  <c:v>Waterborne</c:v>
                </c:pt>
                <c:pt idx="12">
                  <c:v>Aviation</c:v>
                </c:pt>
                <c:pt idx="13">
                  <c:v>Off-road</c:v>
                </c:pt>
                <c:pt idx="14">
                  <c:v>Solid waste</c:v>
                </c:pt>
                <c:pt idx="15">
                  <c:v>Biological waste</c:v>
                </c:pt>
                <c:pt idx="16">
                  <c:v>Incineraton</c:v>
                </c:pt>
                <c:pt idx="17">
                  <c:v>Wastewater</c:v>
                </c:pt>
                <c:pt idx="18">
                  <c:v>Industrial processes</c:v>
                </c:pt>
                <c:pt idx="19">
                  <c:v>Product use</c:v>
                </c:pt>
                <c:pt idx="20">
                  <c:v>Livestock</c:v>
                </c:pt>
                <c:pt idx="21">
                  <c:v>Land</c:v>
                </c:pt>
                <c:pt idx="22">
                  <c:v>Aggregate sources</c:v>
                </c:pt>
              </c:strCache>
            </c:strRef>
          </c:cat>
          <c:val>
            <c:numRef>
              <c:f>Graphs!$P$51:$P$73</c:f>
              <c:numCache>
                <c:formatCode>#,##0</c:formatCode>
                <c:ptCount val="23"/>
                <c:pt idx="0">
                  <c:v>8.967</c:v>
                </c:pt>
              </c:numCache>
            </c:numRef>
          </c:val>
        </c:ser>
        <c:ser>
          <c:idx val="1"/>
          <c:order val="1"/>
          <c:spPr>
            <a:noFill/>
            <a:ln>
              <a:noFill/>
            </a:ln>
            <a:effectLst/>
          </c:spPr>
          <c:invertIfNegative val="0"/>
          <c:cat>
            <c:strRef>
              <c:f>Graphs!$O$51:$O$73</c:f>
              <c:strCache>
                <c:ptCount val="23"/>
                <c:pt idx="0">
                  <c:v>Total</c:v>
                </c:pt>
                <c:pt idx="1">
                  <c:v>Residential</c:v>
                </c:pt>
                <c:pt idx="2">
                  <c:v>Commercial / institutional</c:v>
                </c:pt>
                <c:pt idx="3">
                  <c:v>Manufacturing / construction</c:v>
                </c:pt>
                <c:pt idx="4">
                  <c:v>Energy industries</c:v>
                </c:pt>
                <c:pt idx="5">
                  <c:v>Agriculture</c:v>
                </c:pt>
                <c:pt idx="6">
                  <c:v>Non-specified sources</c:v>
                </c:pt>
                <c:pt idx="7">
                  <c:v>Fugitive emissions (coal)</c:v>
                </c:pt>
                <c:pt idx="8">
                  <c:v>Fugitive emissions (oil and gas)</c:v>
                </c:pt>
                <c:pt idx="9">
                  <c:v>On-road</c:v>
                </c:pt>
                <c:pt idx="10">
                  <c:v>Railways</c:v>
                </c:pt>
                <c:pt idx="11">
                  <c:v>Waterborne</c:v>
                </c:pt>
                <c:pt idx="12">
                  <c:v>Aviation</c:v>
                </c:pt>
                <c:pt idx="13">
                  <c:v>Off-road</c:v>
                </c:pt>
                <c:pt idx="14">
                  <c:v>Solid waste</c:v>
                </c:pt>
                <c:pt idx="15">
                  <c:v>Biological waste</c:v>
                </c:pt>
                <c:pt idx="16">
                  <c:v>Incineraton</c:v>
                </c:pt>
                <c:pt idx="17">
                  <c:v>Wastewater</c:v>
                </c:pt>
                <c:pt idx="18">
                  <c:v>Industrial processes</c:v>
                </c:pt>
                <c:pt idx="19">
                  <c:v>Product use</c:v>
                </c:pt>
                <c:pt idx="20">
                  <c:v>Livestock</c:v>
                </c:pt>
                <c:pt idx="21">
                  <c:v>Land</c:v>
                </c:pt>
                <c:pt idx="22">
                  <c:v>Aggregate sources</c:v>
                </c:pt>
              </c:strCache>
            </c:strRef>
          </c:cat>
          <c:val>
            <c:numRef>
              <c:f>Graphs!$Q$51:$Q$73</c:f>
              <c:numCache>
                <c:formatCode>#,##0</c:formatCode>
                <c:ptCount val="23"/>
                <c:pt idx="1">
                  <c:v>6.962518351065</c:v>
                </c:pt>
                <c:pt idx="2">
                  <c:v>4.414020230465001</c:v>
                </c:pt>
                <c:pt idx="3">
                  <c:v>4.414020230465001</c:v>
                </c:pt>
                <c:pt idx="4">
                  <c:v>4.414020230465001</c:v>
                </c:pt>
                <c:pt idx="5">
                  <c:v>4.414020230465001</c:v>
                </c:pt>
                <c:pt idx="6">
                  <c:v>4.414020230465001</c:v>
                </c:pt>
                <c:pt idx="7">
                  <c:v>4.414020230465001</c:v>
                </c:pt>
                <c:pt idx="8">
                  <c:v>4.40245110546176</c:v>
                </c:pt>
                <c:pt idx="9">
                  <c:v>1.611352164166561</c:v>
                </c:pt>
                <c:pt idx="10">
                  <c:v>0.749975440024161</c:v>
                </c:pt>
                <c:pt idx="11">
                  <c:v>0.729716944172371</c:v>
                </c:pt>
                <c:pt idx="12">
                  <c:v>0.729716944172371</c:v>
                </c:pt>
                <c:pt idx="13">
                  <c:v>0.729716944172371</c:v>
                </c:pt>
                <c:pt idx="14">
                  <c:v>0.429716944172372</c:v>
                </c:pt>
                <c:pt idx="15">
                  <c:v>0.378260944172371</c:v>
                </c:pt>
                <c:pt idx="16">
                  <c:v>0.378260944172371</c:v>
                </c:pt>
                <c:pt idx="17">
                  <c:v>0.225140284172372</c:v>
                </c:pt>
                <c:pt idx="18">
                  <c:v>0.225140284172372</c:v>
                </c:pt>
                <c:pt idx="19">
                  <c:v>0.150140284172372</c:v>
                </c:pt>
                <c:pt idx="20">
                  <c:v>0.00014028417237158</c:v>
                </c:pt>
                <c:pt idx="21">
                  <c:v>0.00014028417237158</c:v>
                </c:pt>
                <c:pt idx="22">
                  <c:v>0.00014028417237158</c:v>
                </c:pt>
              </c:numCache>
            </c:numRef>
          </c:val>
        </c:ser>
        <c:ser>
          <c:idx val="2"/>
          <c:order val="2"/>
          <c:spPr>
            <a:effectLst/>
          </c:spPr>
          <c:invertIfNegative val="0"/>
          <c:dPt>
            <c:idx val="1"/>
            <c:invertIfNegative val="0"/>
            <c:bubble3D val="0"/>
            <c:spPr>
              <a:solidFill>
                <a:schemeClr val="accent1"/>
              </a:solidFill>
              <a:ln>
                <a:noFill/>
              </a:ln>
              <a:effectLst/>
            </c:spPr>
          </c:dPt>
          <c:dPt>
            <c:idx val="2"/>
            <c:invertIfNegative val="0"/>
            <c:bubble3D val="0"/>
            <c:spPr>
              <a:solidFill>
                <a:schemeClr val="accent1"/>
              </a:solidFill>
              <a:ln>
                <a:solidFill>
                  <a:schemeClr val="accent1"/>
                </a:solidFill>
              </a:ln>
              <a:effectLst/>
            </c:spPr>
          </c:dPt>
          <c:dPt>
            <c:idx val="9"/>
            <c:invertIfNegative val="0"/>
            <c:bubble3D val="0"/>
            <c:spPr>
              <a:solidFill>
                <a:schemeClr val="accent2"/>
              </a:solidFill>
              <a:ln>
                <a:noFill/>
              </a:ln>
              <a:effectLst/>
            </c:spPr>
          </c:dPt>
          <c:dPt>
            <c:idx val="10"/>
            <c:invertIfNegative val="0"/>
            <c:bubble3D val="0"/>
            <c:spPr>
              <a:solidFill>
                <a:schemeClr val="accent2"/>
              </a:solidFill>
              <a:ln>
                <a:noFill/>
              </a:ln>
              <a:effectLst/>
            </c:spPr>
          </c:dPt>
          <c:dPt>
            <c:idx val="18"/>
            <c:invertIfNegative val="0"/>
            <c:bubble3D val="0"/>
            <c:spPr>
              <a:solidFill>
                <a:schemeClr val="accent4"/>
              </a:solidFill>
              <a:ln>
                <a:noFill/>
              </a:ln>
              <a:effectLst/>
            </c:spPr>
          </c:dPt>
          <c:dPt>
            <c:idx val="20"/>
            <c:invertIfNegative val="0"/>
            <c:bubble3D val="0"/>
            <c:spPr>
              <a:solidFill>
                <a:schemeClr val="accent6"/>
              </a:solidFill>
              <a:ln>
                <a:noFill/>
              </a:ln>
              <a:effectLst/>
            </c:spPr>
          </c:dPt>
          <c:dPt>
            <c:idx val="21"/>
            <c:invertIfNegative val="0"/>
            <c:bubble3D val="0"/>
            <c:spPr>
              <a:solidFill>
                <a:schemeClr val="accent6"/>
              </a:solidFill>
              <a:effectLst/>
            </c:spPr>
          </c:dPt>
          <c:dPt>
            <c:idx val="22"/>
            <c:invertIfNegative val="0"/>
            <c:bubble3D val="0"/>
            <c:spPr>
              <a:solidFill>
                <a:schemeClr val="accent6"/>
              </a:solidFill>
              <a:effectLst/>
            </c:spPr>
          </c:dPt>
          <c:cat>
            <c:strRef>
              <c:f>Graphs!$O$51:$O$73</c:f>
              <c:strCache>
                <c:ptCount val="23"/>
                <c:pt idx="0">
                  <c:v>Total</c:v>
                </c:pt>
                <c:pt idx="1">
                  <c:v>Residential</c:v>
                </c:pt>
                <c:pt idx="2">
                  <c:v>Commercial / institutional</c:v>
                </c:pt>
                <c:pt idx="3">
                  <c:v>Manufacturing / construction</c:v>
                </c:pt>
                <c:pt idx="4">
                  <c:v>Energy industries</c:v>
                </c:pt>
                <c:pt idx="5">
                  <c:v>Agriculture</c:v>
                </c:pt>
                <c:pt idx="6">
                  <c:v>Non-specified sources</c:v>
                </c:pt>
                <c:pt idx="7">
                  <c:v>Fugitive emissions (coal)</c:v>
                </c:pt>
                <c:pt idx="8">
                  <c:v>Fugitive emissions (oil and gas)</c:v>
                </c:pt>
                <c:pt idx="9">
                  <c:v>On-road</c:v>
                </c:pt>
                <c:pt idx="10">
                  <c:v>Railways</c:v>
                </c:pt>
                <c:pt idx="11">
                  <c:v>Waterborne</c:v>
                </c:pt>
                <c:pt idx="12">
                  <c:v>Aviation</c:v>
                </c:pt>
                <c:pt idx="13">
                  <c:v>Off-road</c:v>
                </c:pt>
                <c:pt idx="14">
                  <c:v>Solid waste</c:v>
                </c:pt>
                <c:pt idx="15">
                  <c:v>Biological waste</c:v>
                </c:pt>
                <c:pt idx="16">
                  <c:v>Incineraton</c:v>
                </c:pt>
                <c:pt idx="17">
                  <c:v>Wastewater</c:v>
                </c:pt>
                <c:pt idx="18">
                  <c:v>Industrial processes</c:v>
                </c:pt>
                <c:pt idx="19">
                  <c:v>Product use</c:v>
                </c:pt>
                <c:pt idx="20">
                  <c:v>Livestock</c:v>
                </c:pt>
                <c:pt idx="21">
                  <c:v>Land</c:v>
                </c:pt>
                <c:pt idx="22">
                  <c:v>Aggregate sources</c:v>
                </c:pt>
              </c:strCache>
            </c:strRef>
          </c:cat>
          <c:val>
            <c:numRef>
              <c:f>Graphs!$R$51:$R$73</c:f>
              <c:numCache>
                <c:formatCode>#,##0</c:formatCode>
                <c:ptCount val="23"/>
                <c:pt idx="1">
                  <c:v>2.004481648935</c:v>
                </c:pt>
                <c:pt idx="2">
                  <c:v>2.5484981206</c:v>
                </c:pt>
                <c:pt idx="3">
                  <c:v>0.0</c:v>
                </c:pt>
                <c:pt idx="4">
                  <c:v>0.0</c:v>
                </c:pt>
                <c:pt idx="5">
                  <c:v>0.0</c:v>
                </c:pt>
                <c:pt idx="6">
                  <c:v>0.0</c:v>
                </c:pt>
                <c:pt idx="7">
                  <c:v>0.0</c:v>
                </c:pt>
                <c:pt idx="8">
                  <c:v>0.0115691250032394</c:v>
                </c:pt>
                <c:pt idx="9">
                  <c:v>2.7910989412952</c:v>
                </c:pt>
                <c:pt idx="10">
                  <c:v>0.8613767241424</c:v>
                </c:pt>
                <c:pt idx="11">
                  <c:v>0.0202584958517898</c:v>
                </c:pt>
                <c:pt idx="12">
                  <c:v>0.0</c:v>
                </c:pt>
                <c:pt idx="13">
                  <c:v>0.0</c:v>
                </c:pt>
                <c:pt idx="14">
                  <c:v>0.3</c:v>
                </c:pt>
                <c:pt idx="15">
                  <c:v>0.051456</c:v>
                </c:pt>
                <c:pt idx="16">
                  <c:v>0.0</c:v>
                </c:pt>
                <c:pt idx="17">
                  <c:v>0.15312066</c:v>
                </c:pt>
                <c:pt idx="18">
                  <c:v>0.0</c:v>
                </c:pt>
                <c:pt idx="19">
                  <c:v>0.075</c:v>
                </c:pt>
                <c:pt idx="20">
                  <c:v>0.15</c:v>
                </c:pt>
                <c:pt idx="21">
                  <c:v>0.0</c:v>
                </c:pt>
                <c:pt idx="22">
                  <c:v>0.0</c:v>
                </c:pt>
              </c:numCache>
            </c:numRef>
          </c:val>
        </c:ser>
        <c:dLbls>
          <c:showLegendKey val="0"/>
          <c:showVal val="0"/>
          <c:showCatName val="0"/>
          <c:showSerName val="0"/>
          <c:showPercent val="0"/>
          <c:showBubbleSize val="0"/>
        </c:dLbls>
        <c:gapWidth val="150"/>
        <c:overlap val="100"/>
        <c:axId val="1284574696"/>
        <c:axId val="1284577704"/>
      </c:barChart>
      <c:catAx>
        <c:axId val="1284574696"/>
        <c:scaling>
          <c:orientation val="minMax"/>
        </c:scaling>
        <c:delete val="0"/>
        <c:axPos val="b"/>
        <c:majorTickMark val="out"/>
        <c:minorTickMark val="none"/>
        <c:tickLblPos val="nextTo"/>
        <c:txPr>
          <a:bodyPr rot="-5400000" vert="horz"/>
          <a:lstStyle/>
          <a:p>
            <a:pPr>
              <a:defRPr sz="1200"/>
            </a:pPr>
            <a:endParaRPr lang="en-US"/>
          </a:p>
        </c:txPr>
        <c:crossAx val="1284577704"/>
        <c:crosses val="autoZero"/>
        <c:auto val="1"/>
        <c:lblAlgn val="ctr"/>
        <c:lblOffset val="100"/>
        <c:noMultiLvlLbl val="0"/>
      </c:catAx>
      <c:valAx>
        <c:axId val="1284577704"/>
        <c:scaling>
          <c:orientation val="minMax"/>
          <c:min val="0.0"/>
        </c:scaling>
        <c:delete val="0"/>
        <c:axPos val="l"/>
        <c:majorGridlines/>
        <c:title>
          <c:tx>
            <c:rich>
              <a:bodyPr rot="-5400000" vert="horz"/>
              <a:lstStyle/>
              <a:p>
                <a:pPr>
                  <a:defRPr/>
                </a:pPr>
                <a:r>
                  <a:rPr lang="en-US" sz="1200" b="1" i="0" baseline="0">
                    <a:effectLst/>
                    <a:latin typeface="+mn-lt"/>
                  </a:rPr>
                  <a:t>GHG emissions (million metric tonnes CO2e)</a:t>
                </a:r>
                <a:endParaRPr lang="en-US" sz="1200">
                  <a:effectLst/>
                  <a:latin typeface="+mn-lt"/>
                </a:endParaRPr>
              </a:p>
            </c:rich>
          </c:tx>
          <c:layout/>
          <c:overlay val="0"/>
        </c:title>
        <c:numFmt formatCode="#,##0" sourceLinked="1"/>
        <c:majorTickMark val="out"/>
        <c:minorTickMark val="none"/>
        <c:tickLblPos val="nextTo"/>
        <c:txPr>
          <a:bodyPr/>
          <a:lstStyle/>
          <a:p>
            <a:pPr>
              <a:defRPr sz="1200" baseline="0"/>
            </a:pPr>
            <a:endParaRPr lang="en-US"/>
          </a:p>
        </c:txPr>
        <c:crossAx val="1284574696"/>
        <c:crosses val="autoZero"/>
        <c:crossBetween val="between"/>
      </c:valAx>
      <c:spPr>
        <a:noFill/>
      </c:spPr>
    </c:plotArea>
    <c:plotVisOnly val="1"/>
    <c:dispBlanksAs val="gap"/>
    <c:showDLblsOverMax val="0"/>
  </c:chart>
  <c:spPr>
    <a:noFill/>
    <a:ln>
      <a:noFill/>
    </a:ln>
  </c:spPr>
  <c:printSettings>
    <c:headerFooter/>
    <c:pageMargins b="1.0" l="0.75" r="0.75" t="1.0"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pieChart>
        <c:varyColors val="1"/>
        <c:ser>
          <c:idx val="0"/>
          <c:order val="0"/>
          <c:tx>
            <c:strRef>
              <c:f>Overview!$S$70</c:f>
              <c:strCache>
                <c:ptCount val="1"/>
              </c:strCache>
            </c:strRef>
          </c:tx>
          <c:spPr>
            <a:effectLst/>
          </c:spPr>
          <c:cat>
            <c:multiLvlStrRef>
              <c:f>Overview!$O$71:$O$76</c:f>
            </c:multiLvlStrRef>
          </c:cat>
          <c:val>
            <c:numRef>
              <c:f>Overview!$S$71:$S$76</c:f>
            </c:numRef>
          </c:val>
        </c:ser>
        <c:ser>
          <c:idx val="1"/>
          <c:order val="1"/>
          <c:tx>
            <c:strRef>
              <c:f>Overview!$Q$70</c:f>
              <c:strCache>
                <c:ptCount val="1"/>
                <c:pt idx="0">
                  <c:v>8967000 mtCO2e</c:v>
                </c:pt>
              </c:strCache>
            </c:strRef>
          </c:tx>
          <c:cat>
            <c:multiLvlStrRef>
              <c:f>Overview!$O$71:$O$76</c:f>
            </c:multiLvlStrRef>
          </c:cat>
          <c:val>
            <c:numRef>
              <c:f>Overview!$Q$71:$Q$76</c:f>
            </c:numRef>
          </c:val>
        </c:ser>
        <c:ser>
          <c:idx val="2"/>
          <c:order val="2"/>
          <c:tx>
            <c:strRef>
              <c:f>Overview!$R$70</c:f>
              <c:strCache>
                <c:ptCount val="1"/>
                <c:pt idx="0">
                  <c:v>9135000 mtCO2e</c:v>
                </c:pt>
              </c:strCache>
            </c:strRef>
          </c:tx>
          <c:cat>
            <c:multiLvlStrRef>
              <c:f>Overview!$O$71:$O$76</c:f>
            </c:multiLvlStrRef>
          </c:cat>
          <c:val>
            <c:numRef>
              <c:f>Overview!$R$71:$R$76</c:f>
            </c:numRef>
          </c:val>
        </c:ser>
        <c:ser>
          <c:idx val="3"/>
          <c:order val="3"/>
          <c:tx>
            <c:strRef>
              <c:f>Overview!$S$70</c:f>
              <c:strCache>
                <c:ptCount val="1"/>
              </c:strCache>
            </c:strRef>
          </c:tx>
          <c:cat>
            <c:multiLvlStrRef>
              <c:f>Overview!$O$71:$O$76</c:f>
            </c:multiLvlStrRef>
          </c:cat>
          <c:val>
            <c:numRef>
              <c:f>Overview!$S$71:$S$76</c:f>
            </c:numRef>
          </c:val>
        </c:ser>
        <c:dLbls>
          <c:showLegendKey val="0"/>
          <c:showVal val="0"/>
          <c:showCatName val="0"/>
          <c:showSerName val="0"/>
          <c:showPercent val="0"/>
          <c:showBubbleSize val="0"/>
          <c:showLeaderLines val="1"/>
        </c:dLbls>
        <c:firstSliceAng val="0"/>
      </c:pieChart>
    </c:plotArea>
    <c:legend>
      <c:legendPos val="r"/>
      <c:overlay val="0"/>
      <c:txPr>
        <a:bodyPr/>
        <a:lstStyle/>
        <a:p>
          <a:pPr>
            <a:defRPr sz="1200"/>
          </a:pPr>
          <a:endParaRPr lang="en-US"/>
        </a:p>
      </c:txPr>
    </c:legend>
    <c:plotVisOnly val="1"/>
    <c:dispBlanksAs val="gap"/>
    <c:showDLblsOverMax val="0"/>
  </c:chart>
  <c:spPr>
    <a:noFill/>
    <a:ln>
      <a:noFill/>
    </a:ln>
    <a:effectLst/>
  </c:spPr>
  <c:printSettings>
    <c:headerFooter/>
    <c:pageMargins b="1.0" l="0.75" r="0.75" t="1.0"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overlay val="0"/>
    </c:title>
    <c:autoTitleDeleted val="0"/>
    <c:plotArea>
      <c:layout/>
      <c:pieChart>
        <c:varyColors val="1"/>
        <c:ser>
          <c:idx val="0"/>
          <c:order val="0"/>
          <c:tx>
            <c:strRef>
              <c:f>Overview!$P$70</c:f>
              <c:strCache>
                <c:ptCount val="1"/>
                <c:pt idx="0">
                  <c:v>8742000 mtCO2e</c:v>
                </c:pt>
              </c:strCache>
            </c:strRef>
          </c:tx>
          <c:spPr>
            <a:effectLst/>
          </c:spPr>
          <c:dPt>
            <c:idx val="0"/>
            <c:bubble3D val="0"/>
            <c:spPr>
              <a:solidFill>
                <a:srgbClr val="4F81BD"/>
              </a:solidFill>
              <a:effectLst/>
            </c:spPr>
          </c:dPt>
          <c:cat>
            <c:multiLvlStrRef>
              <c:f>Overview!$O$71:$O$73</c:f>
            </c:multiLvlStrRef>
          </c:cat>
          <c:val>
            <c:numRef>
              <c:f>Overview!$P$71:$P$73</c:f>
            </c:numRef>
          </c:val>
        </c:ser>
        <c:dLbls>
          <c:showLegendKey val="0"/>
          <c:showVal val="0"/>
          <c:showCatName val="0"/>
          <c:showSerName val="0"/>
          <c:showPercent val="0"/>
          <c:showBubbleSize val="0"/>
          <c:showLeaderLines val="1"/>
        </c:dLbls>
        <c:firstSliceAng val="0"/>
      </c:pieChart>
    </c:plotArea>
    <c:plotVisOnly val="1"/>
    <c:dispBlanksAs val="gap"/>
    <c:showDLblsOverMax val="0"/>
  </c:chart>
  <c:spPr>
    <a:ln>
      <a:noFill/>
    </a:ln>
  </c:spPr>
  <c:printSettings>
    <c:headerFooter/>
    <c:pageMargins b="1.0" l="0.75" r="0.75" t="1.0"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overlay val="0"/>
    </c:title>
    <c:autoTitleDeleted val="0"/>
    <c:plotArea>
      <c:layout/>
      <c:pieChart>
        <c:varyColors val="1"/>
        <c:ser>
          <c:idx val="0"/>
          <c:order val="0"/>
          <c:tx>
            <c:strRef>
              <c:f>Overview!$Q$70</c:f>
              <c:strCache>
                <c:ptCount val="1"/>
                <c:pt idx="0">
                  <c:v>8967000 mtCO2e</c:v>
                </c:pt>
              </c:strCache>
            </c:strRef>
          </c:tx>
          <c:spPr>
            <a:effectLst/>
          </c:spPr>
          <c:dPt>
            <c:idx val="0"/>
            <c:bubble3D val="0"/>
            <c:spPr>
              <a:solidFill>
                <a:srgbClr val="4F81BD"/>
              </a:solidFill>
              <a:effectLst/>
            </c:spPr>
          </c:dPt>
          <c:cat>
            <c:multiLvlStrRef>
              <c:f>Overview!$O$71:$O$75</c:f>
            </c:multiLvlStrRef>
          </c:cat>
          <c:val>
            <c:numRef>
              <c:f>Overview!$Q$71:$Q$75</c:f>
            </c:numRef>
          </c:val>
        </c:ser>
        <c:dLbls>
          <c:showLegendKey val="0"/>
          <c:showVal val="0"/>
          <c:showCatName val="0"/>
          <c:showSerName val="0"/>
          <c:showPercent val="0"/>
          <c:showBubbleSize val="0"/>
          <c:showLeaderLines val="1"/>
        </c:dLbls>
        <c:firstSliceAng val="0"/>
      </c:pieChart>
    </c:plotArea>
    <c:plotVisOnly val="1"/>
    <c:dispBlanksAs val="gap"/>
    <c:showDLblsOverMax val="0"/>
  </c:chart>
  <c:spPr>
    <a:ln>
      <a:noFill/>
    </a:ln>
  </c:spPr>
  <c:printSettings>
    <c:headerFooter/>
    <c:pageMargins b="1.0" l="0.75" r="0.75" t="1.0"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overlay val="0"/>
    </c:title>
    <c:autoTitleDeleted val="0"/>
    <c:plotArea>
      <c:layout/>
      <c:pieChart>
        <c:varyColors val="1"/>
        <c:ser>
          <c:idx val="0"/>
          <c:order val="0"/>
          <c:tx>
            <c:strRef>
              <c:f>Overview!$R$70</c:f>
              <c:strCache>
                <c:ptCount val="1"/>
                <c:pt idx="0">
                  <c:v>9135000 mtCO2e</c:v>
                </c:pt>
              </c:strCache>
            </c:strRef>
          </c:tx>
          <c:spPr>
            <a:effectLst/>
          </c:spPr>
          <c:dPt>
            <c:idx val="0"/>
            <c:bubble3D val="0"/>
            <c:spPr>
              <a:solidFill>
                <a:schemeClr val="accent1"/>
              </a:solidFill>
              <a:effectLst/>
            </c:spPr>
          </c:dPt>
          <c:cat>
            <c:multiLvlStrRef>
              <c:f>Overview!$O$71:$O$76</c:f>
            </c:multiLvlStrRef>
          </c:cat>
          <c:val>
            <c:numRef>
              <c:f>Overview!$R$71:$R$76</c:f>
            </c:numRef>
          </c:val>
        </c:ser>
        <c:dLbls>
          <c:showLegendKey val="0"/>
          <c:showVal val="0"/>
          <c:showCatName val="0"/>
          <c:showSerName val="0"/>
          <c:showPercent val="0"/>
          <c:showBubbleSize val="0"/>
          <c:showLeaderLines val="1"/>
        </c:dLbls>
        <c:firstSliceAng val="0"/>
      </c:pieChart>
    </c:plotArea>
    <c:plotVisOnly val="1"/>
    <c:dispBlanksAs val="gap"/>
    <c:showDLblsOverMax val="0"/>
  </c:chart>
  <c:spPr>
    <a:noFill/>
    <a:ln>
      <a:noFill/>
    </a:ln>
  </c:spPr>
  <c:printSettings>
    <c:headerFooter/>
    <c:pageMargins b="1.0" l="0.75" r="0.75" t="1.0"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089375840215095"/>
          <c:y val="0.0343007915567282"/>
          <c:w val="0.896989437295948"/>
          <c:h val="0.581586931372915"/>
        </c:manualLayout>
      </c:layout>
      <c:barChart>
        <c:barDir val="col"/>
        <c:grouping val="stacked"/>
        <c:varyColors val="0"/>
        <c:ser>
          <c:idx val="0"/>
          <c:order val="0"/>
          <c:tx>
            <c:strRef>
              <c:f>Overview!$P$84</c:f>
              <c:strCache>
                <c:ptCount val="1"/>
                <c:pt idx="0">
                  <c:v>Scope 1</c:v>
                </c:pt>
              </c:strCache>
            </c:strRef>
          </c:tx>
          <c:spPr>
            <a:solidFill>
              <a:schemeClr val="accent1"/>
            </a:solidFill>
          </c:spPr>
          <c:invertIfNegative val="0"/>
          <c:dPt>
            <c:idx val="0"/>
            <c:invertIfNegative val="0"/>
            <c:bubble3D val="0"/>
          </c:dPt>
          <c:dPt>
            <c:idx val="1"/>
            <c:invertIfNegative val="0"/>
            <c:bubble3D val="0"/>
          </c:dPt>
          <c:dPt>
            <c:idx val="8"/>
            <c:invertIfNegative val="0"/>
            <c:bubble3D val="0"/>
            <c:spPr>
              <a:solidFill>
                <a:schemeClr val="accent2">
                  <a:lumMod val="75000"/>
                </a:schemeClr>
              </a:solidFill>
            </c:spPr>
          </c:dPt>
          <c:dPt>
            <c:idx val="9"/>
            <c:invertIfNegative val="0"/>
            <c:bubble3D val="0"/>
            <c:spPr>
              <a:solidFill>
                <a:schemeClr val="accent2">
                  <a:lumMod val="75000"/>
                </a:schemeClr>
              </a:solidFill>
            </c:spPr>
          </c:dPt>
          <c:dPt>
            <c:idx val="10"/>
            <c:invertIfNegative val="0"/>
            <c:bubble3D val="0"/>
            <c:spPr>
              <a:solidFill>
                <a:srgbClr val="953735"/>
              </a:solidFill>
            </c:spPr>
          </c:dPt>
          <c:dPt>
            <c:idx val="11"/>
            <c:invertIfNegative val="0"/>
            <c:bubble3D val="0"/>
            <c:spPr>
              <a:solidFill>
                <a:srgbClr val="953735"/>
              </a:solidFill>
            </c:spPr>
          </c:dPt>
          <c:dPt>
            <c:idx val="12"/>
            <c:invertIfNegative val="0"/>
            <c:bubble3D val="0"/>
            <c:spPr>
              <a:solidFill>
                <a:srgbClr val="953735"/>
              </a:solidFill>
            </c:spPr>
          </c:dPt>
          <c:dPt>
            <c:idx val="13"/>
            <c:invertIfNegative val="0"/>
            <c:bubble3D val="0"/>
            <c:spPr>
              <a:solidFill>
                <a:schemeClr val="accent3">
                  <a:lumMod val="75000"/>
                </a:schemeClr>
              </a:solidFill>
            </c:spPr>
          </c:dPt>
          <c:dPt>
            <c:idx val="14"/>
            <c:invertIfNegative val="0"/>
            <c:bubble3D val="0"/>
            <c:spPr>
              <a:solidFill>
                <a:schemeClr val="accent3">
                  <a:lumMod val="75000"/>
                </a:schemeClr>
              </a:solidFill>
            </c:spPr>
          </c:dPt>
          <c:dPt>
            <c:idx val="15"/>
            <c:invertIfNegative val="0"/>
            <c:bubble3D val="0"/>
            <c:spPr>
              <a:solidFill>
                <a:srgbClr val="77933C"/>
              </a:solidFill>
            </c:spPr>
          </c:dPt>
          <c:dPt>
            <c:idx val="16"/>
            <c:invertIfNegative val="0"/>
            <c:bubble3D val="0"/>
            <c:spPr>
              <a:solidFill>
                <a:schemeClr val="accent3">
                  <a:lumMod val="75000"/>
                </a:schemeClr>
              </a:solidFill>
            </c:spPr>
          </c:dPt>
          <c:dPt>
            <c:idx val="17"/>
            <c:invertIfNegative val="0"/>
            <c:bubble3D val="0"/>
            <c:spPr>
              <a:solidFill>
                <a:schemeClr val="accent4"/>
              </a:solidFill>
            </c:spPr>
          </c:dPt>
          <c:dPt>
            <c:idx val="18"/>
            <c:invertIfNegative val="0"/>
            <c:bubble3D val="0"/>
            <c:spPr>
              <a:solidFill>
                <a:srgbClr val="8064A2"/>
              </a:solidFill>
            </c:spPr>
          </c:dPt>
          <c:dPt>
            <c:idx val="19"/>
            <c:invertIfNegative val="0"/>
            <c:bubble3D val="0"/>
            <c:spPr>
              <a:solidFill>
                <a:schemeClr val="accent5"/>
              </a:solidFill>
            </c:spPr>
          </c:dPt>
          <c:dPt>
            <c:idx val="20"/>
            <c:invertIfNegative val="0"/>
            <c:bubble3D val="0"/>
            <c:spPr>
              <a:solidFill>
                <a:srgbClr val="4BACC6"/>
              </a:solidFill>
            </c:spPr>
          </c:dPt>
          <c:dPt>
            <c:idx val="21"/>
            <c:invertIfNegative val="0"/>
            <c:bubble3D val="0"/>
            <c:spPr>
              <a:solidFill>
                <a:srgbClr val="4BACC6"/>
              </a:solidFill>
            </c:spPr>
          </c:dPt>
          <c:cat>
            <c:multiLvlStrRef>
              <c:f>Overview!$O$85:$O$106</c:f>
            </c:multiLvlStrRef>
          </c:cat>
          <c:val>
            <c:numRef>
              <c:f>Overview!$P$85:$P$106</c:f>
            </c:numRef>
          </c:val>
        </c:ser>
        <c:ser>
          <c:idx val="2"/>
          <c:order val="1"/>
          <c:tx>
            <c:strRef>
              <c:f>Overview!$Q$84</c:f>
              <c:strCache>
                <c:ptCount val="1"/>
                <c:pt idx="0">
                  <c:v>Scope 2</c:v>
                </c:pt>
              </c:strCache>
            </c:strRef>
          </c:tx>
          <c:spPr>
            <a:solidFill>
              <a:schemeClr val="accent1">
                <a:lumMod val="60000"/>
                <a:lumOff val="40000"/>
              </a:schemeClr>
            </a:solidFill>
          </c:spPr>
          <c:invertIfNegative val="0"/>
          <c:dPt>
            <c:idx val="0"/>
            <c:invertIfNegative val="0"/>
            <c:bubble3D val="0"/>
          </c:dPt>
          <c:dPt>
            <c:idx val="1"/>
            <c:invertIfNegative val="0"/>
            <c:bubble3D val="0"/>
          </c:dPt>
          <c:dPt>
            <c:idx val="8"/>
            <c:invertIfNegative val="0"/>
            <c:bubble3D val="0"/>
            <c:spPr>
              <a:solidFill>
                <a:schemeClr val="accent2">
                  <a:lumMod val="60000"/>
                  <a:lumOff val="40000"/>
                </a:schemeClr>
              </a:solidFill>
            </c:spPr>
          </c:dPt>
          <c:dPt>
            <c:idx val="9"/>
            <c:invertIfNegative val="0"/>
            <c:bubble3D val="0"/>
            <c:spPr>
              <a:solidFill>
                <a:srgbClr val="D99694"/>
              </a:solidFill>
            </c:spPr>
          </c:dPt>
          <c:dPt>
            <c:idx val="10"/>
            <c:invertIfNegative val="0"/>
            <c:bubble3D val="0"/>
            <c:spPr>
              <a:solidFill>
                <a:srgbClr val="D99694"/>
              </a:solidFill>
            </c:spPr>
          </c:dPt>
          <c:dPt>
            <c:idx val="11"/>
            <c:invertIfNegative val="0"/>
            <c:bubble3D val="0"/>
            <c:spPr>
              <a:solidFill>
                <a:srgbClr val="D99694"/>
              </a:solidFill>
            </c:spPr>
          </c:dPt>
          <c:dPt>
            <c:idx val="12"/>
            <c:invertIfNegative val="0"/>
            <c:bubble3D val="0"/>
            <c:spPr>
              <a:solidFill>
                <a:srgbClr val="D99694"/>
              </a:solidFill>
            </c:spPr>
          </c:dPt>
          <c:cat>
            <c:multiLvlStrRef>
              <c:f>Overview!$O$85:$O$106</c:f>
            </c:multiLvlStrRef>
          </c:cat>
          <c:val>
            <c:numRef>
              <c:f>Overview!$Q$85:$Q$106</c:f>
            </c:numRef>
          </c:val>
        </c:ser>
        <c:ser>
          <c:idx val="3"/>
          <c:order val="2"/>
          <c:tx>
            <c:strRef>
              <c:f>Overview!$R$84</c:f>
              <c:strCache>
                <c:ptCount val="1"/>
                <c:pt idx="0">
                  <c:v>Scope 3</c:v>
                </c:pt>
              </c:strCache>
            </c:strRef>
          </c:tx>
          <c:spPr>
            <a:solidFill>
              <a:schemeClr val="accent1">
                <a:lumMod val="40000"/>
                <a:lumOff val="60000"/>
              </a:schemeClr>
            </a:solidFill>
          </c:spPr>
          <c:invertIfNegative val="0"/>
          <c:dPt>
            <c:idx val="0"/>
            <c:invertIfNegative val="0"/>
            <c:bubble3D val="0"/>
          </c:dPt>
          <c:dPt>
            <c:idx val="1"/>
            <c:invertIfNegative val="0"/>
            <c:bubble3D val="0"/>
          </c:dPt>
          <c:dPt>
            <c:idx val="8"/>
            <c:invertIfNegative val="0"/>
            <c:bubble3D val="0"/>
            <c:spPr>
              <a:solidFill>
                <a:schemeClr val="accent2">
                  <a:lumMod val="40000"/>
                  <a:lumOff val="60000"/>
                </a:schemeClr>
              </a:solidFill>
            </c:spPr>
          </c:dPt>
          <c:dPt>
            <c:idx val="9"/>
            <c:invertIfNegative val="0"/>
            <c:bubble3D val="0"/>
            <c:spPr>
              <a:solidFill>
                <a:schemeClr val="accent2">
                  <a:lumMod val="40000"/>
                  <a:lumOff val="60000"/>
                </a:schemeClr>
              </a:solidFill>
            </c:spPr>
          </c:dPt>
          <c:dPt>
            <c:idx val="10"/>
            <c:invertIfNegative val="0"/>
            <c:bubble3D val="0"/>
            <c:spPr>
              <a:solidFill>
                <a:srgbClr val="E6B9B8"/>
              </a:solidFill>
            </c:spPr>
          </c:dPt>
          <c:dPt>
            <c:idx val="11"/>
            <c:invertIfNegative val="0"/>
            <c:bubble3D val="0"/>
            <c:spPr>
              <a:solidFill>
                <a:srgbClr val="E6B9B8"/>
              </a:solidFill>
            </c:spPr>
          </c:dPt>
          <c:dPt>
            <c:idx val="12"/>
            <c:invertIfNegative val="0"/>
            <c:bubble3D val="0"/>
            <c:spPr>
              <a:solidFill>
                <a:srgbClr val="E6B9B8"/>
              </a:solidFill>
            </c:spPr>
          </c:dPt>
          <c:dPt>
            <c:idx val="13"/>
            <c:invertIfNegative val="0"/>
            <c:bubble3D val="0"/>
            <c:spPr>
              <a:solidFill>
                <a:schemeClr val="accent3">
                  <a:lumMod val="40000"/>
                  <a:lumOff val="60000"/>
                </a:schemeClr>
              </a:solidFill>
            </c:spPr>
          </c:dPt>
          <c:dPt>
            <c:idx val="14"/>
            <c:invertIfNegative val="0"/>
            <c:bubble3D val="0"/>
            <c:spPr>
              <a:solidFill>
                <a:schemeClr val="accent3">
                  <a:lumMod val="40000"/>
                  <a:lumOff val="60000"/>
                </a:schemeClr>
              </a:solidFill>
            </c:spPr>
          </c:dPt>
          <c:dPt>
            <c:idx val="15"/>
            <c:invertIfNegative val="0"/>
            <c:bubble3D val="0"/>
            <c:spPr>
              <a:solidFill>
                <a:srgbClr val="D7E4BD"/>
              </a:solidFill>
            </c:spPr>
          </c:dPt>
          <c:dPt>
            <c:idx val="16"/>
            <c:invertIfNegative val="0"/>
            <c:bubble3D val="0"/>
            <c:spPr>
              <a:solidFill>
                <a:srgbClr val="D7E4BD"/>
              </a:solidFill>
            </c:spPr>
          </c:dPt>
          <c:cat>
            <c:multiLvlStrRef>
              <c:f>Overview!$O$85:$O$106</c:f>
            </c:multiLvlStrRef>
          </c:cat>
          <c:val>
            <c:numRef>
              <c:f>Overview!$R$85:$R$106</c:f>
            </c:numRef>
          </c:val>
        </c:ser>
        <c:dLbls>
          <c:showLegendKey val="0"/>
          <c:showVal val="0"/>
          <c:showCatName val="0"/>
          <c:showSerName val="0"/>
          <c:showPercent val="0"/>
          <c:showBubbleSize val="0"/>
        </c:dLbls>
        <c:gapWidth val="150"/>
        <c:overlap val="100"/>
        <c:axId val="-2076341464"/>
        <c:axId val="1745893304"/>
      </c:barChart>
      <c:catAx>
        <c:axId val="-2076341464"/>
        <c:scaling>
          <c:orientation val="minMax"/>
        </c:scaling>
        <c:delete val="0"/>
        <c:axPos val="b"/>
        <c:majorTickMark val="out"/>
        <c:minorTickMark val="none"/>
        <c:tickLblPos val="nextTo"/>
        <c:txPr>
          <a:bodyPr rot="-5400000" vert="horz"/>
          <a:lstStyle/>
          <a:p>
            <a:pPr>
              <a:defRPr sz="1200"/>
            </a:pPr>
            <a:endParaRPr lang="en-US"/>
          </a:p>
        </c:txPr>
        <c:crossAx val="1745893304"/>
        <c:crosses val="autoZero"/>
        <c:auto val="1"/>
        <c:lblAlgn val="ctr"/>
        <c:lblOffset val="100"/>
        <c:noMultiLvlLbl val="0"/>
      </c:catAx>
      <c:valAx>
        <c:axId val="1745893304"/>
        <c:scaling>
          <c:orientation val="minMax"/>
          <c:min val="0.0"/>
        </c:scaling>
        <c:delete val="0"/>
        <c:axPos val="l"/>
        <c:majorGridlines/>
        <c:title>
          <c:tx>
            <c:rich>
              <a:bodyPr rot="-5400000" vert="horz"/>
              <a:lstStyle/>
              <a:p>
                <a:pPr>
                  <a:defRPr sz="1200"/>
                </a:pPr>
                <a:r>
                  <a:rPr lang="en-US" sz="1200"/>
                  <a:t>GHG emissions (million metric tonnes CO2e)</a:t>
                </a:r>
              </a:p>
            </c:rich>
          </c:tx>
          <c:layout>
            <c:manualLayout>
              <c:xMode val="edge"/>
              <c:yMode val="edge"/>
              <c:x val="0.0135994405808763"/>
              <c:y val="0.0565145352091652"/>
            </c:manualLayout>
          </c:layout>
          <c:overlay val="0"/>
        </c:title>
        <c:numFmt formatCode="#,##0.00" sourceLinked="0"/>
        <c:majorTickMark val="out"/>
        <c:minorTickMark val="none"/>
        <c:tickLblPos val="nextTo"/>
        <c:txPr>
          <a:bodyPr/>
          <a:lstStyle/>
          <a:p>
            <a:pPr>
              <a:defRPr sz="1200"/>
            </a:pPr>
            <a:endParaRPr lang="en-US"/>
          </a:p>
        </c:txPr>
        <c:crossAx val="-2076341464"/>
        <c:crosses val="autoZero"/>
        <c:crossBetween val="between"/>
      </c:valAx>
    </c:plotArea>
    <c:legend>
      <c:legendPos val="r"/>
      <c:layout>
        <c:manualLayout>
          <c:xMode val="edge"/>
          <c:yMode val="edge"/>
          <c:x val="0.85480037166887"/>
          <c:y val="0.0339159234242639"/>
          <c:w val="0.0865411596277738"/>
          <c:h val="0.15994197111617"/>
        </c:manualLayout>
      </c:layout>
      <c:overlay val="0"/>
      <c:spPr>
        <a:solidFill>
          <a:schemeClr val="bg1"/>
        </a:solidFill>
      </c:spPr>
      <c:txPr>
        <a:bodyPr/>
        <a:lstStyle/>
        <a:p>
          <a:pPr algn="l">
            <a:defRPr sz="1200"/>
          </a:pPr>
          <a:endParaRPr lang="en-US"/>
        </a:p>
      </c:txPr>
    </c:legend>
    <c:plotVisOnly val="1"/>
    <c:dispBlanksAs val="gap"/>
    <c:showDLblsOverMax val="0"/>
  </c:chart>
  <c:spPr>
    <a:ln>
      <a:noFill/>
    </a:ln>
  </c:spPr>
  <c:printSettings>
    <c:headerFooter/>
    <c:pageMargins b="1.0" l="0.75" r="0.75" t="1.0"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barChart>
        <c:barDir val="col"/>
        <c:grouping val="stacked"/>
        <c:varyColors val="0"/>
        <c:ser>
          <c:idx val="0"/>
          <c:order val="0"/>
          <c:tx>
            <c:strRef>
              <c:f>Overview!$P$109</c:f>
              <c:strCache>
                <c:ptCount val="1"/>
                <c:pt idx="0">
                  <c:v>BASIC</c:v>
                </c:pt>
              </c:strCache>
            </c:strRef>
          </c:tx>
          <c:spPr>
            <a:solidFill>
              <a:schemeClr val="tx2"/>
            </a:solidFill>
            <a:ln>
              <a:noFill/>
            </a:ln>
          </c:spPr>
          <c:invertIfNegative val="0"/>
          <c:cat>
            <c:multiLvlStrRef>
              <c:f>Overview!$O$110:$O$112</c:f>
            </c:multiLvlStrRef>
          </c:cat>
          <c:val>
            <c:numRef>
              <c:f>Overview!$P$110:$P$112</c:f>
            </c:numRef>
          </c:val>
        </c:ser>
        <c:ser>
          <c:idx val="1"/>
          <c:order val="1"/>
          <c:tx>
            <c:strRef>
              <c:f>Overview!$Q$109</c:f>
              <c:strCache>
                <c:ptCount val="1"/>
                <c:pt idx="0">
                  <c:v>BASIC+ (additional)</c:v>
                </c:pt>
              </c:strCache>
            </c:strRef>
          </c:tx>
          <c:spPr>
            <a:solidFill>
              <a:schemeClr val="accent1"/>
            </a:solidFill>
          </c:spPr>
          <c:invertIfNegative val="0"/>
          <c:cat>
            <c:multiLvlStrRef>
              <c:f>Overview!$O$110:$O$112</c:f>
            </c:multiLvlStrRef>
          </c:cat>
          <c:val>
            <c:numRef>
              <c:f>Overview!$Q$110:$Q$112</c:f>
            </c:numRef>
          </c:val>
        </c:ser>
        <c:ser>
          <c:idx val="2"/>
          <c:order val="2"/>
          <c:tx>
            <c:strRef>
              <c:f>Overview!$R$109</c:f>
              <c:strCache>
                <c:ptCount val="1"/>
                <c:pt idx="0">
                  <c:v>Other territorial</c:v>
                </c:pt>
              </c:strCache>
            </c:strRef>
          </c:tx>
          <c:spPr>
            <a:solidFill>
              <a:schemeClr val="accent2"/>
            </a:solidFill>
          </c:spPr>
          <c:invertIfNegative val="0"/>
          <c:cat>
            <c:multiLvlStrRef>
              <c:f>Overview!$O$110:$O$112</c:f>
            </c:multiLvlStrRef>
          </c:cat>
          <c:val>
            <c:numRef>
              <c:f>Overview!$R$110:$R$112</c:f>
            </c:numRef>
          </c:val>
        </c:ser>
        <c:ser>
          <c:idx val="3"/>
          <c:order val="3"/>
          <c:tx>
            <c:strRef>
              <c:f>Overview!$S$109</c:f>
              <c:strCache>
                <c:ptCount val="1"/>
                <c:pt idx="0">
                  <c:v>Other scope 3</c:v>
                </c:pt>
              </c:strCache>
            </c:strRef>
          </c:tx>
          <c:spPr>
            <a:solidFill>
              <a:schemeClr val="accent6"/>
            </a:solidFill>
          </c:spPr>
          <c:invertIfNegative val="0"/>
          <c:cat>
            <c:multiLvlStrRef>
              <c:f>Overview!$O$110:$O$112</c:f>
            </c:multiLvlStrRef>
          </c:cat>
          <c:val>
            <c:numRef>
              <c:f>Overview!$S$110:$S$112</c:f>
            </c:numRef>
          </c:val>
        </c:ser>
        <c:dLbls>
          <c:showLegendKey val="0"/>
          <c:showVal val="0"/>
          <c:showCatName val="0"/>
          <c:showSerName val="0"/>
          <c:showPercent val="0"/>
          <c:showBubbleSize val="0"/>
        </c:dLbls>
        <c:gapWidth val="150"/>
        <c:overlap val="100"/>
        <c:axId val="1745924248"/>
        <c:axId val="1745927368"/>
      </c:barChart>
      <c:catAx>
        <c:axId val="1745924248"/>
        <c:scaling>
          <c:orientation val="minMax"/>
        </c:scaling>
        <c:delete val="0"/>
        <c:axPos val="b"/>
        <c:majorTickMark val="out"/>
        <c:minorTickMark val="none"/>
        <c:tickLblPos val="nextTo"/>
        <c:txPr>
          <a:bodyPr/>
          <a:lstStyle/>
          <a:p>
            <a:pPr>
              <a:defRPr sz="1200"/>
            </a:pPr>
            <a:endParaRPr lang="en-US"/>
          </a:p>
        </c:txPr>
        <c:crossAx val="1745927368"/>
        <c:crosses val="autoZero"/>
        <c:auto val="1"/>
        <c:lblAlgn val="ctr"/>
        <c:lblOffset val="100"/>
        <c:noMultiLvlLbl val="0"/>
      </c:catAx>
      <c:valAx>
        <c:axId val="1745927368"/>
        <c:scaling>
          <c:orientation val="minMax"/>
        </c:scaling>
        <c:delete val="0"/>
        <c:axPos val="l"/>
        <c:majorGridlines/>
        <c:title>
          <c:tx>
            <c:rich>
              <a:bodyPr rot="-5400000" vert="horz"/>
              <a:lstStyle/>
              <a:p>
                <a:pPr>
                  <a:defRPr/>
                </a:pPr>
                <a:r>
                  <a:rPr lang="en-US" sz="1200" b="1"/>
                  <a:t>GHG emissions (million metric tonnes CO2e)</a:t>
                </a:r>
              </a:p>
            </c:rich>
          </c:tx>
          <c:layout>
            <c:manualLayout>
              <c:xMode val="edge"/>
              <c:yMode val="edge"/>
              <c:x val="0.00382477497061333"/>
              <c:y val="0.0776593452134273"/>
            </c:manualLayout>
          </c:layout>
          <c:overlay val="0"/>
        </c:title>
        <c:numFmt formatCode="#,##0.0" sourceLinked="0"/>
        <c:majorTickMark val="out"/>
        <c:minorTickMark val="none"/>
        <c:tickLblPos val="nextTo"/>
        <c:txPr>
          <a:bodyPr/>
          <a:lstStyle/>
          <a:p>
            <a:pPr>
              <a:defRPr sz="1200"/>
            </a:pPr>
            <a:endParaRPr lang="en-US"/>
          </a:p>
        </c:txPr>
        <c:crossAx val="1745924248"/>
        <c:crosses val="autoZero"/>
        <c:crossBetween val="between"/>
      </c:valAx>
    </c:plotArea>
    <c:legend>
      <c:legendPos val="r"/>
      <c:overlay val="0"/>
      <c:txPr>
        <a:bodyPr/>
        <a:lstStyle/>
        <a:p>
          <a:pPr>
            <a:defRPr sz="1200"/>
          </a:pPr>
          <a:endParaRPr lang="en-US"/>
        </a:p>
      </c:txPr>
    </c:legend>
    <c:plotVisOnly val="1"/>
    <c:dispBlanksAs val="gap"/>
    <c:showDLblsOverMax val="0"/>
  </c:chart>
  <c:spPr>
    <a:ln>
      <a:noFill/>
    </a:ln>
  </c:spPr>
  <c:printSettings>
    <c:headerFooter/>
    <c:pageMargins b="1.0" l="0.75" r="0.75" t="1.0"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barChart>
        <c:barDir val="col"/>
        <c:grouping val="stacked"/>
        <c:varyColors val="0"/>
        <c:ser>
          <c:idx val="6"/>
          <c:order val="0"/>
          <c:tx>
            <c:strRef>
              <c:f>Data_4b!$D$8</c:f>
              <c:strCache>
                <c:ptCount val="1"/>
                <c:pt idx="0">
                  <c:v>Stationary</c:v>
                </c:pt>
              </c:strCache>
            </c:strRef>
          </c:tx>
          <c:spPr>
            <a:solidFill>
              <a:schemeClr val="accent1"/>
            </a:solidFill>
            <a:ln>
              <a:solidFill>
                <a:schemeClr val="accent1"/>
              </a:solidFill>
            </a:ln>
          </c:spPr>
          <c:invertIfNegative val="0"/>
          <c:cat>
            <c:numRef>
              <c:f>Data_4b!$B$9:$B$39</c:f>
              <c:numCache>
                <c:formatCode>General</c:formatCode>
                <c:ptCount val="31"/>
                <c:pt idx="0">
                  <c:v>2000.0</c:v>
                </c:pt>
                <c:pt idx="1">
                  <c:v>2001.0</c:v>
                </c:pt>
                <c:pt idx="2">
                  <c:v>2002.0</c:v>
                </c:pt>
                <c:pt idx="3">
                  <c:v>2003.0</c:v>
                </c:pt>
                <c:pt idx="4">
                  <c:v>2004.0</c:v>
                </c:pt>
                <c:pt idx="5">
                  <c:v>2005.0</c:v>
                </c:pt>
                <c:pt idx="6">
                  <c:v>2006.0</c:v>
                </c:pt>
                <c:pt idx="7">
                  <c:v>2007.0</c:v>
                </c:pt>
                <c:pt idx="8">
                  <c:v>2008.0</c:v>
                </c:pt>
                <c:pt idx="9">
                  <c:v>2009.0</c:v>
                </c:pt>
                <c:pt idx="10">
                  <c:v>2010.0</c:v>
                </c:pt>
                <c:pt idx="11">
                  <c:v>2011.0</c:v>
                </c:pt>
                <c:pt idx="12">
                  <c:v>2012.0</c:v>
                </c:pt>
                <c:pt idx="13">
                  <c:v>2013.0</c:v>
                </c:pt>
                <c:pt idx="14">
                  <c:v>2014.0</c:v>
                </c:pt>
                <c:pt idx="15">
                  <c:v>2015.0</c:v>
                </c:pt>
                <c:pt idx="16">
                  <c:v>2016.0</c:v>
                </c:pt>
                <c:pt idx="17">
                  <c:v>2017.0</c:v>
                </c:pt>
                <c:pt idx="18">
                  <c:v>2018.0</c:v>
                </c:pt>
                <c:pt idx="19">
                  <c:v>2019.0</c:v>
                </c:pt>
                <c:pt idx="20">
                  <c:v>2020.0</c:v>
                </c:pt>
                <c:pt idx="21">
                  <c:v>2021.0</c:v>
                </c:pt>
                <c:pt idx="22">
                  <c:v>2022.0</c:v>
                </c:pt>
                <c:pt idx="23">
                  <c:v>2023.0</c:v>
                </c:pt>
                <c:pt idx="24">
                  <c:v>2024.0</c:v>
                </c:pt>
                <c:pt idx="25">
                  <c:v>2025.0</c:v>
                </c:pt>
                <c:pt idx="26">
                  <c:v>2026.0</c:v>
                </c:pt>
                <c:pt idx="27">
                  <c:v>2027.0</c:v>
                </c:pt>
                <c:pt idx="28">
                  <c:v>2028.0</c:v>
                </c:pt>
                <c:pt idx="29">
                  <c:v>2029.0</c:v>
                </c:pt>
                <c:pt idx="30">
                  <c:v>2030.0</c:v>
                </c:pt>
              </c:numCache>
            </c:numRef>
          </c:cat>
          <c:val>
            <c:numRef>
              <c:f>Data_4b!$D$9:$D$39</c:f>
              <c:numCache>
                <c:formatCode>0</c:formatCode>
                <c:ptCount val="31"/>
                <c:pt idx="0">
                  <c:v>5.93783472680604E6</c:v>
                </c:pt>
                <c:pt idx="1">
                  <c:v>5.35691032142431E6</c:v>
                </c:pt>
                <c:pt idx="2">
                  <c:v>4.92097006776159E6</c:v>
                </c:pt>
                <c:pt idx="3">
                  <c:v>5.47926866764456E6</c:v>
                </c:pt>
                <c:pt idx="4">
                  <c:v>6.31737782878844E6</c:v>
                </c:pt>
                <c:pt idx="5">
                  <c:v>6.37745734210821E6</c:v>
                </c:pt>
                <c:pt idx="6">
                  <c:v>6.39819711018837E6</c:v>
                </c:pt>
                <c:pt idx="7">
                  <c:v>7.35005849638356E6</c:v>
                </c:pt>
                <c:pt idx="8">
                  <c:v>7.50860795552158E6</c:v>
                </c:pt>
                <c:pt idx="9">
                  <c:v>7.13798363830966E6</c:v>
                </c:pt>
                <c:pt idx="10">
                  <c:v>7.23558210495567E6</c:v>
                </c:pt>
                <c:pt idx="11">
                  <c:v>7.53760749921908E6</c:v>
                </c:pt>
                <c:pt idx="12">
                  <c:v>7.92909589667604E6</c:v>
                </c:pt>
                <c:pt idx="13">
                  <c:v>7.65835280221136E6</c:v>
                </c:pt>
                <c:pt idx="14">
                  <c:v>7.48161722583033E6</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numCache>
            </c:numRef>
          </c:val>
        </c:ser>
        <c:ser>
          <c:idx val="7"/>
          <c:order val="1"/>
          <c:tx>
            <c:strRef>
              <c:f>Data_4b!$E$8</c:f>
              <c:strCache>
                <c:ptCount val="1"/>
                <c:pt idx="0">
                  <c:v>Transportation</c:v>
                </c:pt>
              </c:strCache>
            </c:strRef>
          </c:tx>
          <c:spPr>
            <a:solidFill>
              <a:schemeClr val="accent2"/>
            </a:solidFill>
            <a:ln>
              <a:solidFill>
                <a:schemeClr val="accent2"/>
              </a:solidFill>
            </a:ln>
          </c:spPr>
          <c:invertIfNegative val="0"/>
          <c:cat>
            <c:numRef>
              <c:f>Data_4b!$B$9:$B$39</c:f>
              <c:numCache>
                <c:formatCode>General</c:formatCode>
                <c:ptCount val="31"/>
                <c:pt idx="0">
                  <c:v>2000.0</c:v>
                </c:pt>
                <c:pt idx="1">
                  <c:v>2001.0</c:v>
                </c:pt>
                <c:pt idx="2">
                  <c:v>2002.0</c:v>
                </c:pt>
                <c:pt idx="3">
                  <c:v>2003.0</c:v>
                </c:pt>
                <c:pt idx="4">
                  <c:v>2004.0</c:v>
                </c:pt>
                <c:pt idx="5">
                  <c:v>2005.0</c:v>
                </c:pt>
                <c:pt idx="6">
                  <c:v>2006.0</c:v>
                </c:pt>
                <c:pt idx="7">
                  <c:v>2007.0</c:v>
                </c:pt>
                <c:pt idx="8">
                  <c:v>2008.0</c:v>
                </c:pt>
                <c:pt idx="9">
                  <c:v>2009.0</c:v>
                </c:pt>
                <c:pt idx="10">
                  <c:v>2010.0</c:v>
                </c:pt>
                <c:pt idx="11">
                  <c:v>2011.0</c:v>
                </c:pt>
                <c:pt idx="12">
                  <c:v>2012.0</c:v>
                </c:pt>
                <c:pt idx="13">
                  <c:v>2013.0</c:v>
                </c:pt>
                <c:pt idx="14">
                  <c:v>2014.0</c:v>
                </c:pt>
                <c:pt idx="15">
                  <c:v>2015.0</c:v>
                </c:pt>
                <c:pt idx="16">
                  <c:v>2016.0</c:v>
                </c:pt>
                <c:pt idx="17">
                  <c:v>2017.0</c:v>
                </c:pt>
                <c:pt idx="18">
                  <c:v>2018.0</c:v>
                </c:pt>
                <c:pt idx="19">
                  <c:v>2019.0</c:v>
                </c:pt>
                <c:pt idx="20">
                  <c:v>2020.0</c:v>
                </c:pt>
                <c:pt idx="21">
                  <c:v>2021.0</c:v>
                </c:pt>
                <c:pt idx="22">
                  <c:v>2022.0</c:v>
                </c:pt>
                <c:pt idx="23">
                  <c:v>2023.0</c:v>
                </c:pt>
                <c:pt idx="24">
                  <c:v>2024.0</c:v>
                </c:pt>
                <c:pt idx="25">
                  <c:v>2025.0</c:v>
                </c:pt>
                <c:pt idx="26">
                  <c:v>2026.0</c:v>
                </c:pt>
                <c:pt idx="27">
                  <c:v>2027.0</c:v>
                </c:pt>
                <c:pt idx="28">
                  <c:v>2028.0</c:v>
                </c:pt>
                <c:pt idx="29">
                  <c:v>2029.0</c:v>
                </c:pt>
                <c:pt idx="30">
                  <c:v>2030.0</c:v>
                </c:pt>
              </c:numCache>
            </c:numRef>
          </c:cat>
          <c:val>
            <c:numRef>
              <c:f>Data_4b!$E$9:$E$39</c:f>
              <c:numCache>
                <c:formatCode>0</c:formatCode>
                <c:ptCount val="31"/>
                <c:pt idx="0">
                  <c:v>3.45539279642596E6</c:v>
                </c:pt>
                <c:pt idx="1">
                  <c:v>3.59386356851652E6</c:v>
                </c:pt>
                <c:pt idx="2">
                  <c:v>3.48726177262833E6</c:v>
                </c:pt>
                <c:pt idx="3">
                  <c:v>3.57551021534254E6</c:v>
                </c:pt>
                <c:pt idx="4">
                  <c:v>3.54482186769743E6</c:v>
                </c:pt>
                <c:pt idx="5">
                  <c:v>3.43797259975001E6</c:v>
                </c:pt>
                <c:pt idx="6">
                  <c:v>3.28221059285445E6</c:v>
                </c:pt>
                <c:pt idx="7">
                  <c:v>3.57033462897752E6</c:v>
                </c:pt>
                <c:pt idx="8">
                  <c:v>3.65073944653141E6</c:v>
                </c:pt>
                <c:pt idx="9">
                  <c:v>3.61591182878123E6</c:v>
                </c:pt>
                <c:pt idx="10">
                  <c:v>4.19749847259746E6</c:v>
                </c:pt>
                <c:pt idx="11">
                  <c:v>3.71564782325937E6</c:v>
                </c:pt>
                <c:pt idx="12">
                  <c:v>3.8047571748644E6</c:v>
                </c:pt>
                <c:pt idx="13">
                  <c:v>4.09132751294745E6</c:v>
                </c:pt>
                <c:pt idx="14">
                  <c:v>3.65488778947311E6</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numCache>
            </c:numRef>
          </c:val>
        </c:ser>
        <c:ser>
          <c:idx val="0"/>
          <c:order val="2"/>
          <c:tx>
            <c:strRef>
              <c:f>Data_4b!$F$8</c:f>
              <c:strCache>
                <c:ptCount val="1"/>
                <c:pt idx="0">
                  <c:v>Waste</c:v>
                </c:pt>
              </c:strCache>
            </c:strRef>
          </c:tx>
          <c:spPr>
            <a:solidFill>
              <a:schemeClr val="accent3"/>
            </a:solidFill>
            <a:ln>
              <a:solidFill>
                <a:schemeClr val="accent3"/>
              </a:solidFill>
            </a:ln>
          </c:spPr>
          <c:invertIfNegative val="0"/>
          <c:cat>
            <c:numRef>
              <c:f>Data_4b!$B$9:$B$39</c:f>
              <c:numCache>
                <c:formatCode>General</c:formatCode>
                <c:ptCount val="31"/>
                <c:pt idx="0">
                  <c:v>2000.0</c:v>
                </c:pt>
                <c:pt idx="1">
                  <c:v>2001.0</c:v>
                </c:pt>
                <c:pt idx="2">
                  <c:v>2002.0</c:v>
                </c:pt>
                <c:pt idx="3">
                  <c:v>2003.0</c:v>
                </c:pt>
                <c:pt idx="4">
                  <c:v>2004.0</c:v>
                </c:pt>
                <c:pt idx="5">
                  <c:v>2005.0</c:v>
                </c:pt>
                <c:pt idx="6">
                  <c:v>2006.0</c:v>
                </c:pt>
                <c:pt idx="7">
                  <c:v>2007.0</c:v>
                </c:pt>
                <c:pt idx="8">
                  <c:v>2008.0</c:v>
                </c:pt>
                <c:pt idx="9">
                  <c:v>2009.0</c:v>
                </c:pt>
                <c:pt idx="10">
                  <c:v>2010.0</c:v>
                </c:pt>
                <c:pt idx="11">
                  <c:v>2011.0</c:v>
                </c:pt>
                <c:pt idx="12">
                  <c:v>2012.0</c:v>
                </c:pt>
                <c:pt idx="13">
                  <c:v>2013.0</c:v>
                </c:pt>
                <c:pt idx="14">
                  <c:v>2014.0</c:v>
                </c:pt>
                <c:pt idx="15">
                  <c:v>2015.0</c:v>
                </c:pt>
                <c:pt idx="16">
                  <c:v>2016.0</c:v>
                </c:pt>
                <c:pt idx="17">
                  <c:v>2017.0</c:v>
                </c:pt>
                <c:pt idx="18">
                  <c:v>2018.0</c:v>
                </c:pt>
                <c:pt idx="19">
                  <c:v>2019.0</c:v>
                </c:pt>
                <c:pt idx="20">
                  <c:v>2020.0</c:v>
                </c:pt>
                <c:pt idx="21">
                  <c:v>2021.0</c:v>
                </c:pt>
                <c:pt idx="22">
                  <c:v>2022.0</c:v>
                </c:pt>
                <c:pt idx="23">
                  <c:v>2023.0</c:v>
                </c:pt>
                <c:pt idx="24">
                  <c:v>2024.0</c:v>
                </c:pt>
                <c:pt idx="25">
                  <c:v>2025.0</c:v>
                </c:pt>
                <c:pt idx="26">
                  <c:v>2026.0</c:v>
                </c:pt>
                <c:pt idx="27">
                  <c:v>2027.0</c:v>
                </c:pt>
                <c:pt idx="28">
                  <c:v>2028.0</c:v>
                </c:pt>
                <c:pt idx="29">
                  <c:v>2029.0</c:v>
                </c:pt>
                <c:pt idx="30">
                  <c:v>2030.0</c:v>
                </c:pt>
              </c:numCache>
            </c:numRef>
          </c:cat>
          <c:val>
            <c:numRef>
              <c:f>Data_4b!$F$9:$F$39</c:f>
              <c:numCache>
                <c:formatCode>0</c:formatCode>
                <c:ptCount val="31"/>
                <c:pt idx="0">
                  <c:v>1.66379263813209E6</c:v>
                </c:pt>
                <c:pt idx="1">
                  <c:v>1.66839125619684E6</c:v>
                </c:pt>
                <c:pt idx="2">
                  <c:v>1.67541059968443E6</c:v>
                </c:pt>
                <c:pt idx="3">
                  <c:v>1.65036152510388E6</c:v>
                </c:pt>
                <c:pt idx="4">
                  <c:v>1.63065727407629E6</c:v>
                </c:pt>
                <c:pt idx="5">
                  <c:v>1.62544212467446E6</c:v>
                </c:pt>
                <c:pt idx="6">
                  <c:v>1.61816188584471E6</c:v>
                </c:pt>
                <c:pt idx="7">
                  <c:v>1.63133592541175E6</c:v>
                </c:pt>
                <c:pt idx="8">
                  <c:v>1.58313087397961E6</c:v>
                </c:pt>
                <c:pt idx="9">
                  <c:v>1.54238278760993E6</c:v>
                </c:pt>
                <c:pt idx="10">
                  <c:v>1.48593820271127E6</c:v>
                </c:pt>
                <c:pt idx="11">
                  <c:v>1.52880122686076E6</c:v>
                </c:pt>
                <c:pt idx="12">
                  <c:v>1.70028698153474E6</c:v>
                </c:pt>
                <c:pt idx="13">
                  <c:v>1.78161202626345E6</c:v>
                </c:pt>
                <c:pt idx="14">
                  <c:v>1.79214073763168E6</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numCache>
            </c:numRef>
          </c:val>
        </c:ser>
        <c:ser>
          <c:idx val="2"/>
          <c:order val="3"/>
          <c:tx>
            <c:strRef>
              <c:f>Data_4b!$G$8</c:f>
              <c:strCache>
                <c:ptCount val="1"/>
                <c:pt idx="0">
                  <c:v>IPPU</c:v>
                </c:pt>
              </c:strCache>
            </c:strRef>
          </c:tx>
          <c:spPr>
            <a:solidFill>
              <a:schemeClr val="accent4"/>
            </a:solidFill>
            <a:ln>
              <a:solidFill>
                <a:schemeClr val="accent4"/>
              </a:solidFill>
            </a:ln>
          </c:spPr>
          <c:invertIfNegative val="0"/>
          <c:cat>
            <c:numRef>
              <c:f>Data_4b!$B$9:$B$39</c:f>
              <c:numCache>
                <c:formatCode>General</c:formatCode>
                <c:ptCount val="31"/>
                <c:pt idx="0">
                  <c:v>2000.0</c:v>
                </c:pt>
                <c:pt idx="1">
                  <c:v>2001.0</c:v>
                </c:pt>
                <c:pt idx="2">
                  <c:v>2002.0</c:v>
                </c:pt>
                <c:pt idx="3">
                  <c:v>2003.0</c:v>
                </c:pt>
                <c:pt idx="4">
                  <c:v>2004.0</c:v>
                </c:pt>
                <c:pt idx="5">
                  <c:v>2005.0</c:v>
                </c:pt>
                <c:pt idx="6">
                  <c:v>2006.0</c:v>
                </c:pt>
                <c:pt idx="7">
                  <c:v>2007.0</c:v>
                </c:pt>
                <c:pt idx="8">
                  <c:v>2008.0</c:v>
                </c:pt>
                <c:pt idx="9">
                  <c:v>2009.0</c:v>
                </c:pt>
                <c:pt idx="10">
                  <c:v>2010.0</c:v>
                </c:pt>
                <c:pt idx="11">
                  <c:v>2011.0</c:v>
                </c:pt>
                <c:pt idx="12">
                  <c:v>2012.0</c:v>
                </c:pt>
                <c:pt idx="13">
                  <c:v>2013.0</c:v>
                </c:pt>
                <c:pt idx="14">
                  <c:v>2014.0</c:v>
                </c:pt>
                <c:pt idx="15">
                  <c:v>2015.0</c:v>
                </c:pt>
                <c:pt idx="16">
                  <c:v>2016.0</c:v>
                </c:pt>
                <c:pt idx="17">
                  <c:v>2017.0</c:v>
                </c:pt>
                <c:pt idx="18">
                  <c:v>2018.0</c:v>
                </c:pt>
                <c:pt idx="19">
                  <c:v>2019.0</c:v>
                </c:pt>
                <c:pt idx="20">
                  <c:v>2020.0</c:v>
                </c:pt>
                <c:pt idx="21">
                  <c:v>2021.0</c:v>
                </c:pt>
                <c:pt idx="22">
                  <c:v>2022.0</c:v>
                </c:pt>
                <c:pt idx="23">
                  <c:v>2023.0</c:v>
                </c:pt>
                <c:pt idx="24">
                  <c:v>2024.0</c:v>
                </c:pt>
                <c:pt idx="25">
                  <c:v>2025.0</c:v>
                </c:pt>
                <c:pt idx="26">
                  <c:v>2026.0</c:v>
                </c:pt>
                <c:pt idx="27">
                  <c:v>2027.0</c:v>
                </c:pt>
                <c:pt idx="28">
                  <c:v>2028.0</c:v>
                </c:pt>
                <c:pt idx="29">
                  <c:v>2029.0</c:v>
                </c:pt>
                <c:pt idx="30">
                  <c:v>2030.0</c:v>
                </c:pt>
              </c:numCache>
            </c:numRef>
          </c:cat>
          <c:val>
            <c:numRef>
              <c:f>Data_4b!$G$9:$G$39</c:f>
              <c:numCache>
                <c:formatCode>0</c:formatCode>
                <c:ptCount val="31"/>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numCache>
            </c:numRef>
          </c:val>
        </c:ser>
        <c:ser>
          <c:idx val="3"/>
          <c:order val="4"/>
          <c:tx>
            <c:strRef>
              <c:f>Data_4b!$H$8</c:f>
              <c:strCache>
                <c:ptCount val="1"/>
                <c:pt idx="0">
                  <c:v>AFOLU</c:v>
                </c:pt>
              </c:strCache>
            </c:strRef>
          </c:tx>
          <c:spPr>
            <a:solidFill>
              <a:schemeClr val="accent6"/>
            </a:solidFill>
            <a:ln>
              <a:solidFill>
                <a:schemeClr val="accent6"/>
              </a:solidFill>
            </a:ln>
          </c:spPr>
          <c:invertIfNegative val="0"/>
          <c:cat>
            <c:numRef>
              <c:f>Data_4b!$B$9:$B$39</c:f>
              <c:numCache>
                <c:formatCode>General</c:formatCode>
                <c:ptCount val="31"/>
                <c:pt idx="0">
                  <c:v>2000.0</c:v>
                </c:pt>
                <c:pt idx="1">
                  <c:v>2001.0</c:v>
                </c:pt>
                <c:pt idx="2">
                  <c:v>2002.0</c:v>
                </c:pt>
                <c:pt idx="3">
                  <c:v>2003.0</c:v>
                </c:pt>
                <c:pt idx="4">
                  <c:v>2004.0</c:v>
                </c:pt>
                <c:pt idx="5">
                  <c:v>2005.0</c:v>
                </c:pt>
                <c:pt idx="6">
                  <c:v>2006.0</c:v>
                </c:pt>
                <c:pt idx="7">
                  <c:v>2007.0</c:v>
                </c:pt>
                <c:pt idx="8">
                  <c:v>2008.0</c:v>
                </c:pt>
                <c:pt idx="9">
                  <c:v>2009.0</c:v>
                </c:pt>
                <c:pt idx="10">
                  <c:v>2010.0</c:v>
                </c:pt>
                <c:pt idx="11">
                  <c:v>2011.0</c:v>
                </c:pt>
                <c:pt idx="12">
                  <c:v>2012.0</c:v>
                </c:pt>
                <c:pt idx="13">
                  <c:v>2013.0</c:v>
                </c:pt>
                <c:pt idx="14">
                  <c:v>2014.0</c:v>
                </c:pt>
                <c:pt idx="15">
                  <c:v>2015.0</c:v>
                </c:pt>
                <c:pt idx="16">
                  <c:v>2016.0</c:v>
                </c:pt>
                <c:pt idx="17">
                  <c:v>2017.0</c:v>
                </c:pt>
                <c:pt idx="18">
                  <c:v>2018.0</c:v>
                </c:pt>
                <c:pt idx="19">
                  <c:v>2019.0</c:v>
                </c:pt>
                <c:pt idx="20">
                  <c:v>2020.0</c:v>
                </c:pt>
                <c:pt idx="21">
                  <c:v>2021.0</c:v>
                </c:pt>
                <c:pt idx="22">
                  <c:v>2022.0</c:v>
                </c:pt>
                <c:pt idx="23">
                  <c:v>2023.0</c:v>
                </c:pt>
                <c:pt idx="24">
                  <c:v>2024.0</c:v>
                </c:pt>
                <c:pt idx="25">
                  <c:v>2025.0</c:v>
                </c:pt>
                <c:pt idx="26">
                  <c:v>2026.0</c:v>
                </c:pt>
                <c:pt idx="27">
                  <c:v>2027.0</c:v>
                </c:pt>
                <c:pt idx="28">
                  <c:v>2028.0</c:v>
                </c:pt>
                <c:pt idx="29">
                  <c:v>2029.0</c:v>
                </c:pt>
                <c:pt idx="30">
                  <c:v>2030.0</c:v>
                </c:pt>
              </c:numCache>
            </c:numRef>
          </c:cat>
          <c:val>
            <c:numRef>
              <c:f>Data_4b!$H$9:$H$39</c:f>
              <c:numCache>
                <c:formatCode>0</c:formatCode>
                <c:ptCount val="31"/>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numCache>
            </c:numRef>
          </c:val>
        </c:ser>
        <c:ser>
          <c:idx val="1"/>
          <c:order val="5"/>
          <c:tx>
            <c:strRef>
              <c:f>Data_4b!$I$8</c:f>
              <c:strCache>
                <c:ptCount val="1"/>
                <c:pt idx="0">
                  <c:v>Target</c:v>
                </c:pt>
              </c:strCache>
            </c:strRef>
          </c:tx>
          <c:spPr>
            <a:solidFill>
              <a:schemeClr val="bg1">
                <a:lumMod val="50000"/>
              </a:schemeClr>
            </a:solidFill>
            <a:ln>
              <a:solidFill>
                <a:schemeClr val="bg1">
                  <a:lumMod val="50000"/>
                </a:schemeClr>
              </a:solidFill>
            </a:ln>
          </c:spPr>
          <c:invertIfNegative val="0"/>
          <c:cat>
            <c:numRef>
              <c:f>Data_4b!$B$9:$B$39</c:f>
              <c:numCache>
                <c:formatCode>General</c:formatCode>
                <c:ptCount val="31"/>
                <c:pt idx="0">
                  <c:v>2000.0</c:v>
                </c:pt>
                <c:pt idx="1">
                  <c:v>2001.0</c:v>
                </c:pt>
                <c:pt idx="2">
                  <c:v>2002.0</c:v>
                </c:pt>
                <c:pt idx="3">
                  <c:v>2003.0</c:v>
                </c:pt>
                <c:pt idx="4">
                  <c:v>2004.0</c:v>
                </c:pt>
                <c:pt idx="5">
                  <c:v>2005.0</c:v>
                </c:pt>
                <c:pt idx="6">
                  <c:v>2006.0</c:v>
                </c:pt>
                <c:pt idx="7">
                  <c:v>2007.0</c:v>
                </c:pt>
                <c:pt idx="8">
                  <c:v>2008.0</c:v>
                </c:pt>
                <c:pt idx="9">
                  <c:v>2009.0</c:v>
                </c:pt>
                <c:pt idx="10">
                  <c:v>2010.0</c:v>
                </c:pt>
                <c:pt idx="11">
                  <c:v>2011.0</c:v>
                </c:pt>
                <c:pt idx="12">
                  <c:v>2012.0</c:v>
                </c:pt>
                <c:pt idx="13">
                  <c:v>2013.0</c:v>
                </c:pt>
                <c:pt idx="14">
                  <c:v>2014.0</c:v>
                </c:pt>
                <c:pt idx="15">
                  <c:v>2015.0</c:v>
                </c:pt>
                <c:pt idx="16">
                  <c:v>2016.0</c:v>
                </c:pt>
                <c:pt idx="17">
                  <c:v>2017.0</c:v>
                </c:pt>
                <c:pt idx="18">
                  <c:v>2018.0</c:v>
                </c:pt>
                <c:pt idx="19">
                  <c:v>2019.0</c:v>
                </c:pt>
                <c:pt idx="20">
                  <c:v>2020.0</c:v>
                </c:pt>
                <c:pt idx="21">
                  <c:v>2021.0</c:v>
                </c:pt>
                <c:pt idx="22">
                  <c:v>2022.0</c:v>
                </c:pt>
                <c:pt idx="23">
                  <c:v>2023.0</c:v>
                </c:pt>
                <c:pt idx="24">
                  <c:v>2024.0</c:v>
                </c:pt>
                <c:pt idx="25">
                  <c:v>2025.0</c:v>
                </c:pt>
                <c:pt idx="26">
                  <c:v>2026.0</c:v>
                </c:pt>
                <c:pt idx="27">
                  <c:v>2027.0</c:v>
                </c:pt>
                <c:pt idx="28">
                  <c:v>2028.0</c:v>
                </c:pt>
                <c:pt idx="29">
                  <c:v>2029.0</c:v>
                </c:pt>
                <c:pt idx="30">
                  <c:v>2030.0</c:v>
                </c:pt>
              </c:numCache>
            </c:numRef>
          </c:cat>
          <c:val>
            <c:numRef>
              <c:f>Data_4b!$I$9:$I$39</c:f>
              <c:numCache>
                <c:formatCode>0</c:formatCode>
                <c:ptCount val="31"/>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numCache>
            </c:numRef>
          </c:val>
        </c:ser>
        <c:dLbls>
          <c:showLegendKey val="0"/>
          <c:showVal val="0"/>
          <c:showCatName val="0"/>
          <c:showSerName val="0"/>
          <c:showPercent val="0"/>
          <c:showBubbleSize val="0"/>
        </c:dLbls>
        <c:gapWidth val="150"/>
        <c:overlap val="100"/>
        <c:axId val="1257111352"/>
        <c:axId val="1257114552"/>
      </c:barChart>
      <c:catAx>
        <c:axId val="1257111352"/>
        <c:scaling>
          <c:orientation val="minMax"/>
        </c:scaling>
        <c:delete val="0"/>
        <c:axPos val="b"/>
        <c:numFmt formatCode="General" sourceLinked="1"/>
        <c:majorTickMark val="out"/>
        <c:minorTickMark val="none"/>
        <c:tickLblPos val="nextTo"/>
        <c:crossAx val="1257114552"/>
        <c:crosses val="autoZero"/>
        <c:auto val="1"/>
        <c:lblAlgn val="ctr"/>
        <c:lblOffset val="100"/>
        <c:noMultiLvlLbl val="0"/>
      </c:catAx>
      <c:valAx>
        <c:axId val="1257114552"/>
        <c:scaling>
          <c:orientation val="minMax"/>
        </c:scaling>
        <c:delete val="0"/>
        <c:axPos val="l"/>
        <c:majorGridlines/>
        <c:numFmt formatCode="0" sourceLinked="1"/>
        <c:majorTickMark val="out"/>
        <c:minorTickMark val="none"/>
        <c:tickLblPos val="nextTo"/>
        <c:crossAx val="1257111352"/>
        <c:crosses val="autoZero"/>
        <c:crossBetween val="between"/>
      </c:valAx>
    </c:plotArea>
    <c:legend>
      <c:legendPos val="r"/>
      <c:layout/>
      <c:overlay val="0"/>
    </c:legend>
    <c:plotVisOnly val="1"/>
    <c:dispBlanksAs val="gap"/>
    <c:showDLblsOverMax val="0"/>
  </c:chart>
  <c:spPr>
    <a:ln>
      <a:noFill/>
    </a:ln>
  </c:spPr>
  <c:printSettings>
    <c:headerFooter/>
    <c:pageMargins b="1.0" l="0.75" r="0.75" t="1.0"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0465555135026478"/>
          <c:y val="0.0395136778115501"/>
          <c:w val="0.814040334111893"/>
          <c:h val="0.721337146686451"/>
        </c:manualLayout>
      </c:layout>
      <c:barChart>
        <c:barDir val="col"/>
        <c:grouping val="stacked"/>
        <c:varyColors val="0"/>
        <c:ser>
          <c:idx val="1"/>
          <c:order val="0"/>
          <c:tx>
            <c:strRef>
              <c:f>'x Data_2'!$O$186</c:f>
              <c:strCache>
                <c:ptCount val="1"/>
                <c:pt idx="0">
                  <c:v>Stationary energy</c:v>
                </c:pt>
              </c:strCache>
            </c:strRef>
          </c:tx>
          <c:spPr>
            <a:solidFill>
              <a:schemeClr val="accent1"/>
            </a:solidFill>
            <a:ln>
              <a:solidFill>
                <a:schemeClr val="accent1"/>
              </a:solidFill>
            </a:ln>
          </c:spPr>
          <c:invertIfNegative val="0"/>
          <c:cat>
            <c:strRef>
              <c:f>'x Data_2'!$C$187:$C$216</c:f>
              <c:strCache>
                <c:ptCount val="29"/>
                <c:pt idx="0">
                  <c:v>Atlantis</c:v>
                </c:pt>
                <c:pt idx="1">
                  <c:v>Amman</c:v>
                </c:pt>
                <c:pt idx="2">
                  <c:v>Athens</c:v>
                </c:pt>
                <c:pt idx="3">
                  <c:v>Bogota </c:v>
                </c:pt>
                <c:pt idx="4">
                  <c:v>Boston</c:v>
                </c:pt>
                <c:pt idx="5">
                  <c:v>Buenos Aires </c:v>
                </c:pt>
                <c:pt idx="6">
                  <c:v>Cape Town</c:v>
                </c:pt>
                <c:pt idx="7">
                  <c:v>Chicago</c:v>
                </c:pt>
                <c:pt idx="8">
                  <c:v>Copenhagen</c:v>
                </c:pt>
                <c:pt idx="9">
                  <c:v>District of Columbia</c:v>
                </c:pt>
                <c:pt idx="10">
                  <c:v>Johannesburg</c:v>
                </c:pt>
                <c:pt idx="11">
                  <c:v>London</c:v>
                </c:pt>
                <c:pt idx="12">
                  <c:v>Madrid</c:v>
                </c:pt>
                <c:pt idx="13">
                  <c:v>City of Melbourne</c:v>
                </c:pt>
                <c:pt idx="14">
                  <c:v>Mexico City</c:v>
                </c:pt>
                <c:pt idx="15">
                  <c:v>New York City</c:v>
                </c:pt>
                <c:pt idx="16">
                  <c:v>Stockholm</c:v>
                </c:pt>
                <c:pt idx="17">
                  <c:v>Oslo</c:v>
                </c:pt>
                <c:pt idx="18">
                  <c:v>Paris</c:v>
                </c:pt>
                <c:pt idx="19">
                  <c:v>Philadelphia</c:v>
                </c:pt>
                <c:pt idx="20">
                  <c:v>Portland</c:v>
                </c:pt>
                <c:pt idx="21">
                  <c:v>Quito</c:v>
                </c:pt>
                <c:pt idx="22">
                  <c:v>Rio de Janeiro</c:v>
                </c:pt>
                <c:pt idx="23">
                  <c:v>San Francisco</c:v>
                </c:pt>
                <c:pt idx="24">
                  <c:v>Seattle</c:v>
                </c:pt>
                <c:pt idx="25">
                  <c:v>Stockholm</c:v>
                </c:pt>
                <c:pt idx="26">
                  <c:v>City of Sydney</c:v>
                </c:pt>
                <c:pt idx="27">
                  <c:v>Toronto</c:v>
                </c:pt>
                <c:pt idx="28">
                  <c:v>City of Vancouver</c:v>
                </c:pt>
              </c:strCache>
            </c:strRef>
          </c:cat>
          <c:val>
            <c:numRef>
              <c:f>'x Data_2'!$O$187:$O$216</c:f>
              <c:numCache>
                <c:formatCode>0</c:formatCode>
                <c:ptCount val="30"/>
                <c:pt idx="0">
                  <c:v>4.006571002838857</c:v>
                </c:pt>
                <c:pt idx="1">
                  <c:v>1.398434615236901</c:v>
                </c:pt>
                <c:pt idx="2">
                  <c:v>5.017259755364423</c:v>
                </c:pt>
                <c:pt idx="3">
                  <c:v>0.896117007993889</c:v>
                </c:pt>
                <c:pt idx="4">
                  <c:v>6.842501349818344</c:v>
                </c:pt>
                <c:pt idx="5">
                  <c:v>2.487228388761206</c:v>
                </c:pt>
                <c:pt idx="6">
                  <c:v>3.555888429512427</c:v>
                </c:pt>
                <c:pt idx="7">
                  <c:v>0.921229735677719</c:v>
                </c:pt>
                <c:pt idx="8">
                  <c:v>1.947265441817455</c:v>
                </c:pt>
                <c:pt idx="9">
                  <c:v>9.969608604412442</c:v>
                </c:pt>
                <c:pt idx="10">
                  <c:v>3.309944356731016</c:v>
                </c:pt>
                <c:pt idx="11">
                  <c:v>3.645567975984181</c:v>
                </c:pt>
                <c:pt idx="12">
                  <c:v>1.822513260055526</c:v>
                </c:pt>
                <c:pt idx="13">
                  <c:v>43.09963165116639</c:v>
                </c:pt>
                <c:pt idx="14">
                  <c:v>1.325900001650422</c:v>
                </c:pt>
                <c:pt idx="15">
                  <c:v>4.334785323069886</c:v>
                </c:pt>
                <c:pt idx="16">
                  <c:v>1.385339228469137</c:v>
                </c:pt>
                <c:pt idx="17">
                  <c:v>0.814146923835594</c:v>
                </c:pt>
                <c:pt idx="18">
                  <c:v>2.063614610866373</c:v>
                </c:pt>
                <c:pt idx="19">
                  <c:v>8.718304329682679</c:v>
                </c:pt>
                <c:pt idx="20">
                  <c:v>6.2254628041415</c:v>
                </c:pt>
                <c:pt idx="21">
                  <c:v>0.998116562422654</c:v>
                </c:pt>
                <c:pt idx="22">
                  <c:v>1.265051230853418</c:v>
                </c:pt>
                <c:pt idx="23">
                  <c:v>3.273560703137172</c:v>
                </c:pt>
                <c:pt idx="24">
                  <c:v>3.043451265865747</c:v>
                </c:pt>
                <c:pt idx="25">
                  <c:v>1.385339228469137</c:v>
                </c:pt>
                <c:pt idx="26">
                  <c:v>16.0762788469921</c:v>
                </c:pt>
                <c:pt idx="27">
                  <c:v>3.660947222004448</c:v>
                </c:pt>
                <c:pt idx="28">
                  <c:v>2.273447117592483</c:v>
                </c:pt>
              </c:numCache>
            </c:numRef>
          </c:val>
        </c:ser>
        <c:ser>
          <c:idx val="2"/>
          <c:order val="1"/>
          <c:tx>
            <c:strRef>
              <c:f>'x Data_2'!$P$186</c:f>
              <c:strCache>
                <c:ptCount val="1"/>
                <c:pt idx="0">
                  <c:v>Transportation</c:v>
                </c:pt>
              </c:strCache>
            </c:strRef>
          </c:tx>
          <c:spPr>
            <a:solidFill>
              <a:schemeClr val="accent2"/>
            </a:solidFill>
            <a:ln>
              <a:solidFill>
                <a:schemeClr val="accent2"/>
              </a:solidFill>
            </a:ln>
          </c:spPr>
          <c:invertIfNegative val="0"/>
          <c:cat>
            <c:strRef>
              <c:f>'x Data_2'!$C$187:$C$216</c:f>
              <c:strCache>
                <c:ptCount val="29"/>
                <c:pt idx="0">
                  <c:v>Atlantis</c:v>
                </c:pt>
                <c:pt idx="1">
                  <c:v>Amman</c:v>
                </c:pt>
                <c:pt idx="2">
                  <c:v>Athens</c:v>
                </c:pt>
                <c:pt idx="3">
                  <c:v>Bogota </c:v>
                </c:pt>
                <c:pt idx="4">
                  <c:v>Boston</c:v>
                </c:pt>
                <c:pt idx="5">
                  <c:v>Buenos Aires </c:v>
                </c:pt>
                <c:pt idx="6">
                  <c:v>Cape Town</c:v>
                </c:pt>
                <c:pt idx="7">
                  <c:v>Chicago</c:v>
                </c:pt>
                <c:pt idx="8">
                  <c:v>Copenhagen</c:v>
                </c:pt>
                <c:pt idx="9">
                  <c:v>District of Columbia</c:v>
                </c:pt>
                <c:pt idx="10">
                  <c:v>Johannesburg</c:v>
                </c:pt>
                <c:pt idx="11">
                  <c:v>London</c:v>
                </c:pt>
                <c:pt idx="12">
                  <c:v>Madrid</c:v>
                </c:pt>
                <c:pt idx="13">
                  <c:v>City of Melbourne</c:v>
                </c:pt>
                <c:pt idx="14">
                  <c:v>Mexico City</c:v>
                </c:pt>
                <c:pt idx="15">
                  <c:v>New York City</c:v>
                </c:pt>
                <c:pt idx="16">
                  <c:v>Stockholm</c:v>
                </c:pt>
                <c:pt idx="17">
                  <c:v>Oslo</c:v>
                </c:pt>
                <c:pt idx="18">
                  <c:v>Paris</c:v>
                </c:pt>
                <c:pt idx="19">
                  <c:v>Philadelphia</c:v>
                </c:pt>
                <c:pt idx="20">
                  <c:v>Portland</c:v>
                </c:pt>
                <c:pt idx="21">
                  <c:v>Quito</c:v>
                </c:pt>
                <c:pt idx="22">
                  <c:v>Rio de Janeiro</c:v>
                </c:pt>
                <c:pt idx="23">
                  <c:v>San Francisco</c:v>
                </c:pt>
                <c:pt idx="24">
                  <c:v>Seattle</c:v>
                </c:pt>
                <c:pt idx="25">
                  <c:v>Stockholm</c:v>
                </c:pt>
                <c:pt idx="26">
                  <c:v>City of Sydney</c:v>
                </c:pt>
                <c:pt idx="27">
                  <c:v>Toronto</c:v>
                </c:pt>
                <c:pt idx="28">
                  <c:v>City of Vancouver</c:v>
                </c:pt>
              </c:strCache>
            </c:strRef>
          </c:cat>
          <c:val>
            <c:numRef>
              <c:f>'x Data_2'!$P$187:$P$216</c:f>
              <c:numCache>
                <c:formatCode>0</c:formatCode>
                <c:ptCount val="30"/>
                <c:pt idx="0">
                  <c:v>2.448489440859594</c:v>
                </c:pt>
                <c:pt idx="1">
                  <c:v>0.666928016859611</c:v>
                </c:pt>
                <c:pt idx="2">
                  <c:v>1.603095923685871</c:v>
                </c:pt>
                <c:pt idx="3">
                  <c:v>0.619727233899498</c:v>
                </c:pt>
                <c:pt idx="4">
                  <c:v>2.476790821854633</c:v>
                </c:pt>
                <c:pt idx="5">
                  <c:v>1.328753871848831</c:v>
                </c:pt>
                <c:pt idx="6">
                  <c:v>1.523279356223228</c:v>
                </c:pt>
                <c:pt idx="7">
                  <c:v>0.26290490901772</c:v>
                </c:pt>
                <c:pt idx="8">
                  <c:v>0.999984929820908</c:v>
                </c:pt>
                <c:pt idx="9">
                  <c:v>2.471522588012994</c:v>
                </c:pt>
                <c:pt idx="10">
                  <c:v>1.512024263705092</c:v>
                </c:pt>
                <c:pt idx="11">
                  <c:v>0.866137846635486</c:v>
                </c:pt>
                <c:pt idx="12">
                  <c:v>0.912204151317181</c:v>
                </c:pt>
                <c:pt idx="13">
                  <c:v>5.647799278516704</c:v>
                </c:pt>
                <c:pt idx="14">
                  <c:v>1.534639460044467</c:v>
                </c:pt>
                <c:pt idx="15">
                  <c:v>1.391937116108699</c:v>
                </c:pt>
                <c:pt idx="16">
                  <c:v>1.038166465244798</c:v>
                </c:pt>
                <c:pt idx="17">
                  <c:v>1.24685158679319</c:v>
                </c:pt>
                <c:pt idx="18">
                  <c:v>0.457386014379735</c:v>
                </c:pt>
                <c:pt idx="19">
                  <c:v>2.128665415679721</c:v>
                </c:pt>
                <c:pt idx="20">
                  <c:v>3.694028042864376</c:v>
                </c:pt>
                <c:pt idx="21">
                  <c:v>1.805276902177062</c:v>
                </c:pt>
                <c:pt idx="22">
                  <c:v>0.850831642157956</c:v>
                </c:pt>
                <c:pt idx="23">
                  <c:v>3.135265199444972</c:v>
                </c:pt>
                <c:pt idx="24">
                  <c:v>3.761991115114825</c:v>
                </c:pt>
                <c:pt idx="25">
                  <c:v>1.038166465244798</c:v>
                </c:pt>
                <c:pt idx="26">
                  <c:v>1.211177020122675</c:v>
                </c:pt>
                <c:pt idx="27">
                  <c:v>2.571665806304009</c:v>
                </c:pt>
                <c:pt idx="28">
                  <c:v>1.672760421072257</c:v>
                </c:pt>
              </c:numCache>
            </c:numRef>
          </c:val>
        </c:ser>
        <c:ser>
          <c:idx val="3"/>
          <c:order val="2"/>
          <c:tx>
            <c:strRef>
              <c:f>'x Data_2'!$Q$186</c:f>
              <c:strCache>
                <c:ptCount val="1"/>
                <c:pt idx="0">
                  <c:v>Waste</c:v>
                </c:pt>
              </c:strCache>
            </c:strRef>
          </c:tx>
          <c:spPr>
            <a:solidFill>
              <a:schemeClr val="accent3"/>
            </a:solidFill>
            <a:ln>
              <a:solidFill>
                <a:schemeClr val="accent3"/>
              </a:solidFill>
            </a:ln>
          </c:spPr>
          <c:invertIfNegative val="0"/>
          <c:cat>
            <c:strRef>
              <c:f>'x Data_2'!$C$187:$C$216</c:f>
              <c:strCache>
                <c:ptCount val="29"/>
                <c:pt idx="0">
                  <c:v>Atlantis</c:v>
                </c:pt>
                <c:pt idx="1">
                  <c:v>Amman</c:v>
                </c:pt>
                <c:pt idx="2">
                  <c:v>Athens</c:v>
                </c:pt>
                <c:pt idx="3">
                  <c:v>Bogota </c:v>
                </c:pt>
                <c:pt idx="4">
                  <c:v>Boston</c:v>
                </c:pt>
                <c:pt idx="5">
                  <c:v>Buenos Aires </c:v>
                </c:pt>
                <c:pt idx="6">
                  <c:v>Cape Town</c:v>
                </c:pt>
                <c:pt idx="7">
                  <c:v>Chicago</c:v>
                </c:pt>
                <c:pt idx="8">
                  <c:v>Copenhagen</c:v>
                </c:pt>
                <c:pt idx="9">
                  <c:v>District of Columbia</c:v>
                </c:pt>
                <c:pt idx="10">
                  <c:v>Johannesburg</c:v>
                </c:pt>
                <c:pt idx="11">
                  <c:v>London</c:v>
                </c:pt>
                <c:pt idx="12">
                  <c:v>Madrid</c:v>
                </c:pt>
                <c:pt idx="13">
                  <c:v>City of Melbourne</c:v>
                </c:pt>
                <c:pt idx="14">
                  <c:v>Mexico City</c:v>
                </c:pt>
                <c:pt idx="15">
                  <c:v>New York City</c:v>
                </c:pt>
                <c:pt idx="16">
                  <c:v>Stockholm</c:v>
                </c:pt>
                <c:pt idx="17">
                  <c:v>Oslo</c:v>
                </c:pt>
                <c:pt idx="18">
                  <c:v>Paris</c:v>
                </c:pt>
                <c:pt idx="19">
                  <c:v>Philadelphia</c:v>
                </c:pt>
                <c:pt idx="20">
                  <c:v>Portland</c:v>
                </c:pt>
                <c:pt idx="21">
                  <c:v>Quito</c:v>
                </c:pt>
                <c:pt idx="22">
                  <c:v>Rio de Janeiro</c:v>
                </c:pt>
                <c:pt idx="23">
                  <c:v>San Francisco</c:v>
                </c:pt>
                <c:pt idx="24">
                  <c:v>Seattle</c:v>
                </c:pt>
                <c:pt idx="25">
                  <c:v>Stockholm</c:v>
                </c:pt>
                <c:pt idx="26">
                  <c:v>City of Sydney</c:v>
                </c:pt>
                <c:pt idx="27">
                  <c:v>Toronto</c:v>
                </c:pt>
                <c:pt idx="28">
                  <c:v>City of Vancouver</c:v>
                </c:pt>
              </c:strCache>
            </c:strRef>
          </c:cat>
          <c:val>
            <c:numRef>
              <c:f>'x Data_2'!$Q$187:$Q$216</c:f>
              <c:numCache>
                <c:formatCode>0</c:formatCode>
                <c:ptCount val="30"/>
                <c:pt idx="0">
                  <c:v>1.366666666666667</c:v>
                </c:pt>
                <c:pt idx="1">
                  <c:v>0.120349665911765</c:v>
                </c:pt>
                <c:pt idx="2">
                  <c:v>0.538312363613762</c:v>
                </c:pt>
                <c:pt idx="3">
                  <c:v>0.123162162221021</c:v>
                </c:pt>
                <c:pt idx="4">
                  <c:v>0.0265560667749629</c:v>
                </c:pt>
                <c:pt idx="5">
                  <c:v>0.578619988387228</c:v>
                </c:pt>
                <c:pt idx="6">
                  <c:v>0.631647295704868</c:v>
                </c:pt>
                <c:pt idx="7">
                  <c:v>0.049135656683727</c:v>
                </c:pt>
                <c:pt idx="8">
                  <c:v>0.0298836231264564</c:v>
                </c:pt>
                <c:pt idx="9">
                  <c:v>0.288688949495593</c:v>
                </c:pt>
                <c:pt idx="10">
                  <c:v>0.36481131931386</c:v>
                </c:pt>
                <c:pt idx="11">
                  <c:v>0.220090511535467</c:v>
                </c:pt>
                <c:pt idx="12">
                  <c:v>0.134533241870552</c:v>
                </c:pt>
                <c:pt idx="13">
                  <c:v>1.303910470579141</c:v>
                </c:pt>
                <c:pt idx="14">
                  <c:v>0.525302330493173</c:v>
                </c:pt>
                <c:pt idx="15">
                  <c:v>0.316205496177399</c:v>
                </c:pt>
                <c:pt idx="16">
                  <c:v>0.0088096113862931</c:v>
                </c:pt>
                <c:pt idx="17">
                  <c:v>0.087231214521304</c:v>
                </c:pt>
                <c:pt idx="18">
                  <c:v>0.205954787412041</c:v>
                </c:pt>
                <c:pt idx="19">
                  <c:v>1.099158828452049</c:v>
                </c:pt>
                <c:pt idx="20">
                  <c:v>0.144362286020088</c:v>
                </c:pt>
                <c:pt idx="21">
                  <c:v>0.411566188115671</c:v>
                </c:pt>
                <c:pt idx="22">
                  <c:v>0.365523449446254</c:v>
                </c:pt>
                <c:pt idx="23">
                  <c:v>0.229294093816594</c:v>
                </c:pt>
                <c:pt idx="24">
                  <c:v>0.0740363215548442</c:v>
                </c:pt>
                <c:pt idx="25">
                  <c:v>0.0088096113862931</c:v>
                </c:pt>
                <c:pt idx="26">
                  <c:v>0.87656259786353</c:v>
                </c:pt>
                <c:pt idx="27">
                  <c:v>0.831322423651663</c:v>
                </c:pt>
                <c:pt idx="28">
                  <c:v>0.190350265516585</c:v>
                </c:pt>
              </c:numCache>
            </c:numRef>
          </c:val>
        </c:ser>
        <c:dLbls>
          <c:showLegendKey val="0"/>
          <c:showVal val="0"/>
          <c:showCatName val="0"/>
          <c:showSerName val="0"/>
          <c:showPercent val="0"/>
          <c:showBubbleSize val="0"/>
        </c:dLbls>
        <c:gapWidth val="150"/>
        <c:overlap val="100"/>
        <c:axId val="1257191688"/>
        <c:axId val="1257194696"/>
      </c:barChart>
      <c:catAx>
        <c:axId val="1257191688"/>
        <c:scaling>
          <c:orientation val="minMax"/>
        </c:scaling>
        <c:delete val="0"/>
        <c:axPos val="b"/>
        <c:majorTickMark val="out"/>
        <c:minorTickMark val="none"/>
        <c:tickLblPos val="nextTo"/>
        <c:txPr>
          <a:bodyPr rot="-5400000" vert="horz"/>
          <a:lstStyle/>
          <a:p>
            <a:pPr>
              <a:defRPr/>
            </a:pPr>
            <a:endParaRPr lang="en-US"/>
          </a:p>
        </c:txPr>
        <c:crossAx val="1257194696"/>
        <c:crosses val="autoZero"/>
        <c:auto val="1"/>
        <c:lblAlgn val="ctr"/>
        <c:lblOffset val="100"/>
        <c:noMultiLvlLbl val="0"/>
      </c:catAx>
      <c:valAx>
        <c:axId val="1257194696"/>
        <c:scaling>
          <c:orientation val="minMax"/>
        </c:scaling>
        <c:delete val="0"/>
        <c:axPos val="l"/>
        <c:majorGridlines/>
        <c:numFmt formatCode="0" sourceLinked="1"/>
        <c:majorTickMark val="out"/>
        <c:minorTickMark val="none"/>
        <c:tickLblPos val="nextTo"/>
        <c:crossAx val="1257191688"/>
        <c:crosses val="autoZero"/>
        <c:crossBetween val="between"/>
      </c:valAx>
      <c:spPr>
        <a:noFill/>
      </c:spPr>
    </c:plotArea>
    <c:legend>
      <c:legendPos val="r"/>
      <c:layout>
        <c:manualLayout>
          <c:xMode val="edge"/>
          <c:yMode val="edge"/>
          <c:x val="0.897914063825371"/>
          <c:y val="0.719471916010499"/>
          <c:w val="0.0748657044305003"/>
          <c:h val="0.183126869779575"/>
        </c:manualLayout>
      </c:layout>
      <c:overlay val="0"/>
    </c:legend>
    <c:plotVisOnly val="1"/>
    <c:dispBlanksAs val="gap"/>
    <c:showDLblsOverMax val="0"/>
  </c:chart>
  <c:spPr>
    <a:noFill/>
    <a:ln>
      <a:noFill/>
    </a:ln>
  </c:spPr>
  <c:printSettings>
    <c:headerFooter/>
    <c:pageMargins b="1.0" l="0.75" r="0.75" t="1.0"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0472428686899925"/>
          <c:y val="0.0395136683546733"/>
          <c:w val="0.814472648818229"/>
          <c:h val="0.713133400394084"/>
        </c:manualLayout>
      </c:layout>
      <c:barChart>
        <c:barDir val="col"/>
        <c:grouping val="stacked"/>
        <c:varyColors val="0"/>
        <c:ser>
          <c:idx val="1"/>
          <c:order val="0"/>
          <c:tx>
            <c:strRef>
              <c:f>'x Data_2'!$T$186</c:f>
              <c:strCache>
                <c:ptCount val="1"/>
                <c:pt idx="0">
                  <c:v>Residential </c:v>
                </c:pt>
              </c:strCache>
            </c:strRef>
          </c:tx>
          <c:invertIfNegative val="0"/>
          <c:cat>
            <c:strRef>
              <c:f>'x Data_2'!$C$187:$C$216</c:f>
              <c:strCache>
                <c:ptCount val="29"/>
                <c:pt idx="0">
                  <c:v>Atlantis</c:v>
                </c:pt>
                <c:pt idx="1">
                  <c:v>Amman</c:v>
                </c:pt>
                <c:pt idx="2">
                  <c:v>Athens</c:v>
                </c:pt>
                <c:pt idx="3">
                  <c:v>Bogota </c:v>
                </c:pt>
                <c:pt idx="4">
                  <c:v>Boston</c:v>
                </c:pt>
                <c:pt idx="5">
                  <c:v>Buenos Aires </c:v>
                </c:pt>
                <c:pt idx="6">
                  <c:v>Cape Town</c:v>
                </c:pt>
                <c:pt idx="7">
                  <c:v>Chicago</c:v>
                </c:pt>
                <c:pt idx="8">
                  <c:v>Copenhagen</c:v>
                </c:pt>
                <c:pt idx="9">
                  <c:v>District of Columbia</c:v>
                </c:pt>
                <c:pt idx="10">
                  <c:v>Johannesburg</c:v>
                </c:pt>
                <c:pt idx="11">
                  <c:v>London</c:v>
                </c:pt>
                <c:pt idx="12">
                  <c:v>Madrid</c:v>
                </c:pt>
                <c:pt idx="13">
                  <c:v>City of Melbourne</c:v>
                </c:pt>
                <c:pt idx="14">
                  <c:v>Mexico City</c:v>
                </c:pt>
                <c:pt idx="15">
                  <c:v>New York City</c:v>
                </c:pt>
                <c:pt idx="16">
                  <c:v>Stockholm</c:v>
                </c:pt>
                <c:pt idx="17">
                  <c:v>Oslo</c:v>
                </c:pt>
                <c:pt idx="18">
                  <c:v>Paris</c:v>
                </c:pt>
                <c:pt idx="19">
                  <c:v>Philadelphia</c:v>
                </c:pt>
                <c:pt idx="20">
                  <c:v>Portland</c:v>
                </c:pt>
                <c:pt idx="21">
                  <c:v>Quito</c:v>
                </c:pt>
                <c:pt idx="22">
                  <c:v>Rio de Janeiro</c:v>
                </c:pt>
                <c:pt idx="23">
                  <c:v>San Francisco</c:v>
                </c:pt>
                <c:pt idx="24">
                  <c:v>Seattle</c:v>
                </c:pt>
                <c:pt idx="25">
                  <c:v>Stockholm</c:v>
                </c:pt>
                <c:pt idx="26">
                  <c:v>City of Sydney</c:v>
                </c:pt>
                <c:pt idx="27">
                  <c:v>Toronto</c:v>
                </c:pt>
                <c:pt idx="28">
                  <c:v>City of Vancouver</c:v>
                </c:pt>
              </c:strCache>
            </c:strRef>
          </c:cat>
          <c:val>
            <c:numRef>
              <c:f>'x Data_2'!$T$187:$T$216</c:f>
              <c:numCache>
                <c:formatCode>0</c:formatCode>
                <c:ptCount val="30"/>
                <c:pt idx="0">
                  <c:v>1.746152565956667</c:v>
                </c:pt>
                <c:pt idx="1">
                  <c:v>0.72123401371546</c:v>
                </c:pt>
                <c:pt idx="2">
                  <c:v>2.95524093288008</c:v>
                </c:pt>
                <c:pt idx="3">
                  <c:v>0.285289899883136</c:v>
                </c:pt>
                <c:pt idx="4">
                  <c:v>1.999056029587965</c:v>
                </c:pt>
                <c:pt idx="5">
                  <c:v>1.250053786320225</c:v>
                </c:pt>
                <c:pt idx="6">
                  <c:v>1.191921327222187</c:v>
                </c:pt>
                <c:pt idx="7">
                  <c:v>0.36214598565897</c:v>
                </c:pt>
                <c:pt idx="8">
                  <c:v>0.760791216379976</c:v>
                </c:pt>
                <c:pt idx="9">
                  <c:v>2.211226506949327</c:v>
                </c:pt>
                <c:pt idx="10">
                  <c:v>1.505794009924517</c:v>
                </c:pt>
                <c:pt idx="11">
                  <c:v>1.683504659024678</c:v>
                </c:pt>
                <c:pt idx="12">
                  <c:v>0.875191610655876</c:v>
                </c:pt>
                <c:pt idx="13">
                  <c:v>3.232012192677846</c:v>
                </c:pt>
                <c:pt idx="14">
                  <c:v>0.448736371658339</c:v>
                </c:pt>
                <c:pt idx="15">
                  <c:v>2.051758475632639</c:v>
                </c:pt>
                <c:pt idx="16">
                  <c:v>0.787832934404557</c:v>
                </c:pt>
                <c:pt idx="17">
                  <c:v>0.51644251267537</c:v>
                </c:pt>
                <c:pt idx="18">
                  <c:v>1.01014174743025</c:v>
                </c:pt>
                <c:pt idx="19">
                  <c:v>2.383556320886689</c:v>
                </c:pt>
                <c:pt idx="20">
                  <c:v>2.010650026044823</c:v>
                </c:pt>
                <c:pt idx="21">
                  <c:v>0.495081606635063</c:v>
                </c:pt>
                <c:pt idx="22">
                  <c:v>0.310490319469685</c:v>
                </c:pt>
                <c:pt idx="23">
                  <c:v>1.269626316717067</c:v>
                </c:pt>
                <c:pt idx="24">
                  <c:v>0.879445644984994</c:v>
                </c:pt>
                <c:pt idx="25">
                  <c:v>0.787832934404557</c:v>
                </c:pt>
                <c:pt idx="26">
                  <c:v>2.01071556199649</c:v>
                </c:pt>
                <c:pt idx="27">
                  <c:v>1.694944257217446</c:v>
                </c:pt>
                <c:pt idx="28">
                  <c:v>0.78372082108434</c:v>
                </c:pt>
              </c:numCache>
            </c:numRef>
          </c:val>
        </c:ser>
        <c:ser>
          <c:idx val="2"/>
          <c:order val="1"/>
          <c:tx>
            <c:strRef>
              <c:f>'x Data_2'!$U$186</c:f>
              <c:strCache>
                <c:ptCount val="1"/>
                <c:pt idx="0">
                  <c:v>Commercial</c:v>
                </c:pt>
              </c:strCache>
            </c:strRef>
          </c:tx>
          <c:spPr>
            <a:effectLst/>
          </c:spPr>
          <c:invertIfNegative val="0"/>
          <c:cat>
            <c:strRef>
              <c:f>'x Data_2'!$C$187:$C$216</c:f>
              <c:strCache>
                <c:ptCount val="29"/>
                <c:pt idx="0">
                  <c:v>Atlantis</c:v>
                </c:pt>
                <c:pt idx="1">
                  <c:v>Amman</c:v>
                </c:pt>
                <c:pt idx="2">
                  <c:v>Athens</c:v>
                </c:pt>
                <c:pt idx="3">
                  <c:v>Bogota </c:v>
                </c:pt>
                <c:pt idx="4">
                  <c:v>Boston</c:v>
                </c:pt>
                <c:pt idx="5">
                  <c:v>Buenos Aires </c:v>
                </c:pt>
                <c:pt idx="6">
                  <c:v>Cape Town</c:v>
                </c:pt>
                <c:pt idx="7">
                  <c:v>Chicago</c:v>
                </c:pt>
                <c:pt idx="8">
                  <c:v>Copenhagen</c:v>
                </c:pt>
                <c:pt idx="9">
                  <c:v>District of Columbia</c:v>
                </c:pt>
                <c:pt idx="10">
                  <c:v>Johannesburg</c:v>
                </c:pt>
                <c:pt idx="11">
                  <c:v>London</c:v>
                </c:pt>
                <c:pt idx="12">
                  <c:v>Madrid</c:v>
                </c:pt>
                <c:pt idx="13">
                  <c:v>City of Melbourne</c:v>
                </c:pt>
                <c:pt idx="14">
                  <c:v>Mexico City</c:v>
                </c:pt>
                <c:pt idx="15">
                  <c:v>New York City</c:v>
                </c:pt>
                <c:pt idx="16">
                  <c:v>Stockholm</c:v>
                </c:pt>
                <c:pt idx="17">
                  <c:v>Oslo</c:v>
                </c:pt>
                <c:pt idx="18">
                  <c:v>Paris</c:v>
                </c:pt>
                <c:pt idx="19">
                  <c:v>Philadelphia</c:v>
                </c:pt>
                <c:pt idx="20">
                  <c:v>Portland</c:v>
                </c:pt>
                <c:pt idx="21">
                  <c:v>Quito</c:v>
                </c:pt>
                <c:pt idx="22">
                  <c:v>Rio de Janeiro</c:v>
                </c:pt>
                <c:pt idx="23">
                  <c:v>San Francisco</c:v>
                </c:pt>
                <c:pt idx="24">
                  <c:v>Seattle</c:v>
                </c:pt>
                <c:pt idx="25">
                  <c:v>Stockholm</c:v>
                </c:pt>
                <c:pt idx="26">
                  <c:v>City of Sydney</c:v>
                </c:pt>
                <c:pt idx="27">
                  <c:v>Toronto</c:v>
                </c:pt>
                <c:pt idx="28">
                  <c:v>City of Vancouver</c:v>
                </c:pt>
              </c:strCache>
            </c:strRef>
          </c:cat>
          <c:val>
            <c:numRef>
              <c:f>'x Data_2'!$U$187:$U$216</c:f>
              <c:numCache>
                <c:formatCode>0</c:formatCode>
                <c:ptCount val="30"/>
                <c:pt idx="0">
                  <c:v>2.238990213733333</c:v>
                </c:pt>
                <c:pt idx="1">
                  <c:v>0.580684711729123</c:v>
                </c:pt>
                <c:pt idx="2">
                  <c:v>2.005343738018741</c:v>
                </c:pt>
                <c:pt idx="3">
                  <c:v>0.338018144524325</c:v>
                </c:pt>
                <c:pt idx="4">
                  <c:v>4.808412206163594</c:v>
                </c:pt>
                <c:pt idx="5">
                  <c:v>0.949005469358055</c:v>
                </c:pt>
                <c:pt idx="6">
                  <c:v>1.491186482736551</c:v>
                </c:pt>
                <c:pt idx="7">
                  <c:v>0.50904891410322</c:v>
                </c:pt>
                <c:pt idx="8">
                  <c:v>1.010941618869378</c:v>
                </c:pt>
                <c:pt idx="9">
                  <c:v>7.72464819209214</c:v>
                </c:pt>
                <c:pt idx="10">
                  <c:v>1.751904787854136</c:v>
                </c:pt>
                <c:pt idx="11">
                  <c:v>1.960662770414026</c:v>
                </c:pt>
                <c:pt idx="12">
                  <c:v>0.748009351278052</c:v>
                </c:pt>
                <c:pt idx="13">
                  <c:v>37.39910572294685</c:v>
                </c:pt>
                <c:pt idx="14">
                  <c:v>0.271358496051154</c:v>
                </c:pt>
                <c:pt idx="15">
                  <c:v>1.73068619755106</c:v>
                </c:pt>
                <c:pt idx="16">
                  <c:v>0.540159799088779</c:v>
                </c:pt>
                <c:pt idx="17">
                  <c:v>0.2592407785905</c:v>
                </c:pt>
                <c:pt idx="18">
                  <c:v>1.053472863436123</c:v>
                </c:pt>
                <c:pt idx="19">
                  <c:v>4.267942288739153</c:v>
                </c:pt>
                <c:pt idx="20">
                  <c:v>2.458845835281874</c:v>
                </c:pt>
                <c:pt idx="21">
                  <c:v>0.138941082397588</c:v>
                </c:pt>
                <c:pt idx="22">
                  <c:v>0.335635402189207</c:v>
                </c:pt>
                <c:pt idx="23">
                  <c:v>1.783320955545092</c:v>
                </c:pt>
                <c:pt idx="24">
                  <c:v>1.370119158729131</c:v>
                </c:pt>
                <c:pt idx="25">
                  <c:v>0.540159799088779</c:v>
                </c:pt>
                <c:pt idx="26">
                  <c:v>13.99151113267883</c:v>
                </c:pt>
                <c:pt idx="27">
                  <c:v>1.468367531136523</c:v>
                </c:pt>
                <c:pt idx="28">
                  <c:v>0.897029455877285</c:v>
                </c:pt>
              </c:numCache>
            </c:numRef>
          </c:val>
        </c:ser>
        <c:ser>
          <c:idx val="3"/>
          <c:order val="2"/>
          <c:tx>
            <c:strRef>
              <c:f>'x Data_2'!$V$186</c:f>
              <c:strCache>
                <c:ptCount val="1"/>
                <c:pt idx="0">
                  <c:v>Manufacturing</c:v>
                </c:pt>
              </c:strCache>
            </c:strRef>
          </c:tx>
          <c:invertIfNegative val="0"/>
          <c:cat>
            <c:strRef>
              <c:f>'x Data_2'!$C$187:$C$216</c:f>
              <c:strCache>
                <c:ptCount val="29"/>
                <c:pt idx="0">
                  <c:v>Atlantis</c:v>
                </c:pt>
                <c:pt idx="1">
                  <c:v>Amman</c:v>
                </c:pt>
                <c:pt idx="2">
                  <c:v>Athens</c:v>
                </c:pt>
                <c:pt idx="3">
                  <c:v>Bogota </c:v>
                </c:pt>
                <c:pt idx="4">
                  <c:v>Boston</c:v>
                </c:pt>
                <c:pt idx="5">
                  <c:v>Buenos Aires </c:v>
                </c:pt>
                <c:pt idx="6">
                  <c:v>Cape Town</c:v>
                </c:pt>
                <c:pt idx="7">
                  <c:v>Chicago</c:v>
                </c:pt>
                <c:pt idx="8">
                  <c:v>Copenhagen</c:v>
                </c:pt>
                <c:pt idx="9">
                  <c:v>District of Columbia</c:v>
                </c:pt>
                <c:pt idx="10">
                  <c:v>Johannesburg</c:v>
                </c:pt>
                <c:pt idx="11">
                  <c:v>London</c:v>
                </c:pt>
                <c:pt idx="12">
                  <c:v>Madrid</c:v>
                </c:pt>
                <c:pt idx="13">
                  <c:v>City of Melbourne</c:v>
                </c:pt>
                <c:pt idx="14">
                  <c:v>Mexico City</c:v>
                </c:pt>
                <c:pt idx="15">
                  <c:v>New York City</c:v>
                </c:pt>
                <c:pt idx="16">
                  <c:v>Stockholm</c:v>
                </c:pt>
                <c:pt idx="17">
                  <c:v>Oslo</c:v>
                </c:pt>
                <c:pt idx="18">
                  <c:v>Paris</c:v>
                </c:pt>
                <c:pt idx="19">
                  <c:v>Philadelphia</c:v>
                </c:pt>
                <c:pt idx="20">
                  <c:v>Portland</c:v>
                </c:pt>
                <c:pt idx="21">
                  <c:v>Quito</c:v>
                </c:pt>
                <c:pt idx="22">
                  <c:v>Rio de Janeiro</c:v>
                </c:pt>
                <c:pt idx="23">
                  <c:v>San Francisco</c:v>
                </c:pt>
                <c:pt idx="24">
                  <c:v>Seattle</c:v>
                </c:pt>
                <c:pt idx="25">
                  <c:v>Stockholm</c:v>
                </c:pt>
                <c:pt idx="26">
                  <c:v>City of Sydney</c:v>
                </c:pt>
                <c:pt idx="27">
                  <c:v>Toronto</c:v>
                </c:pt>
                <c:pt idx="28">
                  <c:v>City of Vancouver</c:v>
                </c:pt>
              </c:strCache>
            </c:strRef>
          </c:cat>
          <c:val>
            <c:numRef>
              <c:f>'x Data_2'!$V$187:$V$216</c:f>
              <c:numCache>
                <c:formatCode>0</c:formatCode>
                <c:ptCount val="30"/>
                <c:pt idx="0">
                  <c:v>0.0</c:v>
                </c:pt>
                <c:pt idx="1">
                  <c:v>0.0965158897923176</c:v>
                </c:pt>
                <c:pt idx="2">
                  <c:v>0.0561242156022296</c:v>
                </c:pt>
                <c:pt idx="3">
                  <c:v>0.250440209463991</c:v>
                </c:pt>
                <c:pt idx="4">
                  <c:v>0.0</c:v>
                </c:pt>
                <c:pt idx="5">
                  <c:v>0.240363268697832</c:v>
                </c:pt>
                <c:pt idx="6">
                  <c:v>0.546522890204706</c:v>
                </c:pt>
                <c:pt idx="7">
                  <c:v>0.050034835915529</c:v>
                </c:pt>
                <c:pt idx="8">
                  <c:v>0.175422073047717</c:v>
                </c:pt>
                <c:pt idx="9">
                  <c:v>0.0</c:v>
                </c:pt>
                <c:pt idx="10">
                  <c:v>0.0515692997151726</c:v>
                </c:pt>
                <c:pt idx="11">
                  <c:v>0.0</c:v>
                </c:pt>
                <c:pt idx="12">
                  <c:v>0.157393238930397</c:v>
                </c:pt>
                <c:pt idx="13">
                  <c:v>2.468513735541685</c:v>
                </c:pt>
                <c:pt idx="14">
                  <c:v>0.602317110312366</c:v>
                </c:pt>
                <c:pt idx="15">
                  <c:v>0.526329883565316</c:v>
                </c:pt>
                <c:pt idx="16">
                  <c:v>0.057309047529887</c:v>
                </c:pt>
                <c:pt idx="17">
                  <c:v>0.0384636325697233</c:v>
                </c:pt>
                <c:pt idx="18">
                  <c:v>0.0</c:v>
                </c:pt>
                <c:pt idx="19">
                  <c:v>1.752063023752154</c:v>
                </c:pt>
                <c:pt idx="20">
                  <c:v>1.736677914118817</c:v>
                </c:pt>
                <c:pt idx="21">
                  <c:v>0.364093873390003</c:v>
                </c:pt>
                <c:pt idx="22">
                  <c:v>0.23648627213908</c:v>
                </c:pt>
                <c:pt idx="23">
                  <c:v>0.0</c:v>
                </c:pt>
                <c:pt idx="24">
                  <c:v>0.770417070994286</c:v>
                </c:pt>
                <c:pt idx="25">
                  <c:v>0.057309047529887</c:v>
                </c:pt>
                <c:pt idx="26">
                  <c:v>0.0</c:v>
                </c:pt>
                <c:pt idx="27">
                  <c:v>0.451610010470559</c:v>
                </c:pt>
                <c:pt idx="28">
                  <c:v>0.561480857899326</c:v>
                </c:pt>
              </c:numCache>
            </c:numRef>
          </c:val>
        </c:ser>
        <c:ser>
          <c:idx val="0"/>
          <c:order val="3"/>
          <c:tx>
            <c:strRef>
              <c:f>'x Data_2'!$W$186</c:f>
              <c:strCache>
                <c:ptCount val="1"/>
                <c:pt idx="0">
                  <c:v>Energy industries</c:v>
                </c:pt>
              </c:strCache>
            </c:strRef>
          </c:tx>
          <c:invertIfNegative val="0"/>
          <c:cat>
            <c:strRef>
              <c:f>'x Data_2'!$C$187:$C$216</c:f>
              <c:strCache>
                <c:ptCount val="29"/>
                <c:pt idx="0">
                  <c:v>Atlantis</c:v>
                </c:pt>
                <c:pt idx="1">
                  <c:v>Amman</c:v>
                </c:pt>
                <c:pt idx="2">
                  <c:v>Athens</c:v>
                </c:pt>
                <c:pt idx="3">
                  <c:v>Bogota </c:v>
                </c:pt>
                <c:pt idx="4">
                  <c:v>Boston</c:v>
                </c:pt>
                <c:pt idx="5">
                  <c:v>Buenos Aires </c:v>
                </c:pt>
                <c:pt idx="6">
                  <c:v>Cape Town</c:v>
                </c:pt>
                <c:pt idx="7">
                  <c:v>Chicago</c:v>
                </c:pt>
                <c:pt idx="8">
                  <c:v>Copenhagen</c:v>
                </c:pt>
                <c:pt idx="9">
                  <c:v>District of Columbia</c:v>
                </c:pt>
                <c:pt idx="10">
                  <c:v>Johannesburg</c:v>
                </c:pt>
                <c:pt idx="11">
                  <c:v>London</c:v>
                </c:pt>
                <c:pt idx="12">
                  <c:v>Madrid</c:v>
                </c:pt>
                <c:pt idx="13">
                  <c:v>City of Melbourne</c:v>
                </c:pt>
                <c:pt idx="14">
                  <c:v>Mexico City</c:v>
                </c:pt>
                <c:pt idx="15">
                  <c:v>New York City</c:v>
                </c:pt>
                <c:pt idx="16">
                  <c:v>Stockholm</c:v>
                </c:pt>
                <c:pt idx="17">
                  <c:v>Oslo</c:v>
                </c:pt>
                <c:pt idx="18">
                  <c:v>Paris</c:v>
                </c:pt>
                <c:pt idx="19">
                  <c:v>Philadelphia</c:v>
                </c:pt>
                <c:pt idx="20">
                  <c:v>Portland</c:v>
                </c:pt>
                <c:pt idx="21">
                  <c:v>Quito</c:v>
                </c:pt>
                <c:pt idx="22">
                  <c:v>Rio de Janeiro</c:v>
                </c:pt>
                <c:pt idx="23">
                  <c:v>San Francisco</c:v>
                </c:pt>
                <c:pt idx="24">
                  <c:v>Seattle</c:v>
                </c:pt>
                <c:pt idx="25">
                  <c:v>Stockholm</c:v>
                </c:pt>
                <c:pt idx="26">
                  <c:v>City of Sydney</c:v>
                </c:pt>
                <c:pt idx="27">
                  <c:v>Toronto</c:v>
                </c:pt>
                <c:pt idx="28">
                  <c:v>City of Vancouver</c:v>
                </c:pt>
              </c:strCache>
            </c:strRef>
          </c:cat>
          <c:val>
            <c:numRef>
              <c:f>'x Data_2'!$W$187:$W$216</c:f>
              <c:numCache>
                <c:formatCode>0</c:formatCode>
                <c:ptCount val="30"/>
                <c:pt idx="0">
                  <c:v>0.0</c:v>
                </c:pt>
                <c:pt idx="1">
                  <c:v>0.0</c:v>
                </c:pt>
                <c:pt idx="2">
                  <c:v>0.0</c:v>
                </c:pt>
                <c:pt idx="3">
                  <c:v>0.0</c:v>
                </c:pt>
                <c:pt idx="4">
                  <c:v>0.0</c:v>
                </c:pt>
                <c:pt idx="5">
                  <c:v>0.0</c:v>
                </c:pt>
                <c:pt idx="6">
                  <c:v>0.0</c:v>
                </c:pt>
                <c:pt idx="7">
                  <c:v>0.0</c:v>
                </c:pt>
                <c:pt idx="8">
                  <c:v>0.0</c:v>
                </c:pt>
                <c:pt idx="9">
                  <c:v>0.0</c:v>
                </c:pt>
                <c:pt idx="10">
                  <c:v>0.0</c:v>
                </c:pt>
                <c:pt idx="11">
                  <c:v>0.0</c:v>
                </c:pt>
                <c:pt idx="12">
                  <c:v>0.0117914738037525</c:v>
                </c:pt>
                <c:pt idx="13">
                  <c:v>0.0</c:v>
                </c:pt>
                <c:pt idx="14">
                  <c:v>0.00269722054712339</c:v>
                </c:pt>
                <c:pt idx="15">
                  <c:v>0.0</c:v>
                </c:pt>
                <c:pt idx="16">
                  <c:v>0.0</c:v>
                </c:pt>
                <c:pt idx="17">
                  <c:v>0.0</c:v>
                </c:pt>
                <c:pt idx="18">
                  <c:v>0.0</c:v>
                </c:pt>
                <c:pt idx="19">
                  <c:v>0.0</c:v>
                </c:pt>
                <c:pt idx="20">
                  <c:v>0.0</c:v>
                </c:pt>
                <c:pt idx="21">
                  <c:v>0.0</c:v>
                </c:pt>
                <c:pt idx="22">
                  <c:v>0.211813004464306</c:v>
                </c:pt>
                <c:pt idx="23">
                  <c:v>8.52046119262285E-5</c:v>
                </c:pt>
                <c:pt idx="24">
                  <c:v>0.0</c:v>
                </c:pt>
                <c:pt idx="25">
                  <c:v>0.0</c:v>
                </c:pt>
                <c:pt idx="26">
                  <c:v>0.0</c:v>
                </c:pt>
                <c:pt idx="27">
                  <c:v>0.0</c:v>
                </c:pt>
                <c:pt idx="28">
                  <c:v>0.0</c:v>
                </c:pt>
              </c:numCache>
            </c:numRef>
          </c:val>
        </c:ser>
        <c:ser>
          <c:idx val="4"/>
          <c:order val="4"/>
          <c:tx>
            <c:strRef>
              <c:f>'x Data_2'!$X$186</c:f>
              <c:strCache>
                <c:ptCount val="1"/>
                <c:pt idx="0">
                  <c:v>Agriculture</c:v>
                </c:pt>
              </c:strCache>
            </c:strRef>
          </c:tx>
          <c:invertIfNegative val="0"/>
          <c:cat>
            <c:strRef>
              <c:f>'x Data_2'!$C$187:$C$216</c:f>
              <c:strCache>
                <c:ptCount val="29"/>
                <c:pt idx="0">
                  <c:v>Atlantis</c:v>
                </c:pt>
                <c:pt idx="1">
                  <c:v>Amman</c:v>
                </c:pt>
                <c:pt idx="2">
                  <c:v>Athens</c:v>
                </c:pt>
                <c:pt idx="3">
                  <c:v>Bogota </c:v>
                </c:pt>
                <c:pt idx="4">
                  <c:v>Boston</c:v>
                </c:pt>
                <c:pt idx="5">
                  <c:v>Buenos Aires </c:v>
                </c:pt>
                <c:pt idx="6">
                  <c:v>Cape Town</c:v>
                </c:pt>
                <c:pt idx="7">
                  <c:v>Chicago</c:v>
                </c:pt>
                <c:pt idx="8">
                  <c:v>Copenhagen</c:v>
                </c:pt>
                <c:pt idx="9">
                  <c:v>District of Columbia</c:v>
                </c:pt>
                <c:pt idx="10">
                  <c:v>Johannesburg</c:v>
                </c:pt>
                <c:pt idx="11">
                  <c:v>London</c:v>
                </c:pt>
                <c:pt idx="12">
                  <c:v>Madrid</c:v>
                </c:pt>
                <c:pt idx="13">
                  <c:v>City of Melbourne</c:v>
                </c:pt>
                <c:pt idx="14">
                  <c:v>Mexico City</c:v>
                </c:pt>
                <c:pt idx="15">
                  <c:v>New York City</c:v>
                </c:pt>
                <c:pt idx="16">
                  <c:v>Stockholm</c:v>
                </c:pt>
                <c:pt idx="17">
                  <c:v>Oslo</c:v>
                </c:pt>
                <c:pt idx="18">
                  <c:v>Paris</c:v>
                </c:pt>
                <c:pt idx="19">
                  <c:v>Philadelphia</c:v>
                </c:pt>
                <c:pt idx="20">
                  <c:v>Portland</c:v>
                </c:pt>
                <c:pt idx="21">
                  <c:v>Quito</c:v>
                </c:pt>
                <c:pt idx="22">
                  <c:v>Rio de Janeiro</c:v>
                </c:pt>
                <c:pt idx="23">
                  <c:v>San Francisco</c:v>
                </c:pt>
                <c:pt idx="24">
                  <c:v>Seattle</c:v>
                </c:pt>
                <c:pt idx="25">
                  <c:v>Stockholm</c:v>
                </c:pt>
                <c:pt idx="26">
                  <c:v>City of Sydney</c:v>
                </c:pt>
                <c:pt idx="27">
                  <c:v>Toronto</c:v>
                </c:pt>
                <c:pt idx="28">
                  <c:v>City of Vancouver</c:v>
                </c:pt>
              </c:strCache>
            </c:strRef>
          </c:cat>
          <c:val>
            <c:numRef>
              <c:f>'x Data_2'!$X$187:$X$216</c:f>
              <c:numCache>
                <c:formatCode>0</c:formatCode>
                <c:ptCount val="30"/>
                <c:pt idx="0">
                  <c:v>0.0</c:v>
                </c:pt>
                <c:pt idx="1">
                  <c:v>0.0</c:v>
                </c:pt>
                <c:pt idx="2">
                  <c:v>0.0</c:v>
                </c:pt>
                <c:pt idx="3">
                  <c:v>0.0065684611621127</c:v>
                </c:pt>
                <c:pt idx="4">
                  <c:v>0.0</c:v>
                </c:pt>
                <c:pt idx="5">
                  <c:v>0.0</c:v>
                </c:pt>
                <c:pt idx="6">
                  <c:v>0.0545105354965609</c:v>
                </c:pt>
                <c:pt idx="7">
                  <c:v>0.0</c:v>
                </c:pt>
                <c:pt idx="8">
                  <c:v>0.000110533520383864</c:v>
                </c:pt>
                <c:pt idx="9">
                  <c:v>0.0</c:v>
                </c:pt>
                <c:pt idx="10">
                  <c:v>0.0</c:v>
                </c:pt>
                <c:pt idx="11">
                  <c:v>0.0</c:v>
                </c:pt>
                <c:pt idx="12">
                  <c:v>0.00913021145393208</c:v>
                </c:pt>
                <c:pt idx="13">
                  <c:v>0.0</c:v>
                </c:pt>
                <c:pt idx="14">
                  <c:v>0.000723475593436829</c:v>
                </c:pt>
                <c:pt idx="15">
                  <c:v>0.0</c:v>
                </c:pt>
                <c:pt idx="16">
                  <c:v>0.0</c:v>
                </c:pt>
                <c:pt idx="17">
                  <c:v>0.0</c:v>
                </c:pt>
                <c:pt idx="18">
                  <c:v>0.0</c:v>
                </c:pt>
                <c:pt idx="19">
                  <c:v>0.0</c:v>
                </c:pt>
                <c:pt idx="20">
                  <c:v>0.0</c:v>
                </c:pt>
                <c:pt idx="21">
                  <c:v>0.0</c:v>
                </c:pt>
                <c:pt idx="22">
                  <c:v>0.000103809882898564</c:v>
                </c:pt>
                <c:pt idx="23">
                  <c:v>0.000131734790070339</c:v>
                </c:pt>
                <c:pt idx="24">
                  <c:v>0.0</c:v>
                </c:pt>
                <c:pt idx="25">
                  <c:v>0.0</c:v>
                </c:pt>
                <c:pt idx="26">
                  <c:v>0.0</c:v>
                </c:pt>
                <c:pt idx="27">
                  <c:v>0.0</c:v>
                </c:pt>
                <c:pt idx="28">
                  <c:v>0.0</c:v>
                </c:pt>
              </c:numCache>
            </c:numRef>
          </c:val>
        </c:ser>
        <c:ser>
          <c:idx val="5"/>
          <c:order val="5"/>
          <c:tx>
            <c:strRef>
              <c:f>'x Data_2'!$Y$186</c:f>
              <c:strCache>
                <c:ptCount val="1"/>
                <c:pt idx="0">
                  <c:v>Non-specified</c:v>
                </c:pt>
              </c:strCache>
            </c:strRef>
          </c:tx>
          <c:invertIfNegative val="0"/>
          <c:cat>
            <c:strRef>
              <c:f>'x Data_2'!$C$187:$C$216</c:f>
              <c:strCache>
                <c:ptCount val="29"/>
                <c:pt idx="0">
                  <c:v>Atlantis</c:v>
                </c:pt>
                <c:pt idx="1">
                  <c:v>Amman</c:v>
                </c:pt>
                <c:pt idx="2">
                  <c:v>Athens</c:v>
                </c:pt>
                <c:pt idx="3">
                  <c:v>Bogota </c:v>
                </c:pt>
                <c:pt idx="4">
                  <c:v>Boston</c:v>
                </c:pt>
                <c:pt idx="5">
                  <c:v>Buenos Aires </c:v>
                </c:pt>
                <c:pt idx="6">
                  <c:v>Cape Town</c:v>
                </c:pt>
                <c:pt idx="7">
                  <c:v>Chicago</c:v>
                </c:pt>
                <c:pt idx="8">
                  <c:v>Copenhagen</c:v>
                </c:pt>
                <c:pt idx="9">
                  <c:v>District of Columbia</c:v>
                </c:pt>
                <c:pt idx="10">
                  <c:v>Johannesburg</c:v>
                </c:pt>
                <c:pt idx="11">
                  <c:v>London</c:v>
                </c:pt>
                <c:pt idx="12">
                  <c:v>Madrid</c:v>
                </c:pt>
                <c:pt idx="13">
                  <c:v>City of Melbourne</c:v>
                </c:pt>
                <c:pt idx="14">
                  <c:v>Mexico City</c:v>
                </c:pt>
                <c:pt idx="15">
                  <c:v>New York City</c:v>
                </c:pt>
                <c:pt idx="16">
                  <c:v>Stockholm</c:v>
                </c:pt>
                <c:pt idx="17">
                  <c:v>Oslo</c:v>
                </c:pt>
                <c:pt idx="18">
                  <c:v>Paris</c:v>
                </c:pt>
                <c:pt idx="19">
                  <c:v>Philadelphia</c:v>
                </c:pt>
                <c:pt idx="20">
                  <c:v>Portland</c:v>
                </c:pt>
                <c:pt idx="21">
                  <c:v>Quito</c:v>
                </c:pt>
                <c:pt idx="22">
                  <c:v>Rio de Janeiro</c:v>
                </c:pt>
                <c:pt idx="23">
                  <c:v>San Francisco</c:v>
                </c:pt>
                <c:pt idx="24">
                  <c:v>Seattle</c:v>
                </c:pt>
                <c:pt idx="25">
                  <c:v>Stockholm</c:v>
                </c:pt>
                <c:pt idx="26">
                  <c:v>City of Sydney</c:v>
                </c:pt>
                <c:pt idx="27">
                  <c:v>Toronto</c:v>
                </c:pt>
                <c:pt idx="28">
                  <c:v>City of Vancouver</c:v>
                </c:pt>
              </c:strCache>
            </c:strRef>
          </c:cat>
          <c:val>
            <c:numRef>
              <c:f>'x Data_2'!$Y$187:$Y$216</c:f>
              <c:numCache>
                <c:formatCode>0</c:formatCode>
                <c:ptCount val="30"/>
                <c:pt idx="0">
                  <c:v>0.0</c:v>
                </c:pt>
                <c:pt idx="1">
                  <c:v>0.0</c:v>
                </c:pt>
                <c:pt idx="2">
                  <c:v>0.0</c:v>
                </c:pt>
                <c:pt idx="3">
                  <c:v>0.0107514611705756</c:v>
                </c:pt>
                <c:pt idx="4">
                  <c:v>0.0</c:v>
                </c:pt>
                <c:pt idx="5">
                  <c:v>0.0</c:v>
                </c:pt>
                <c:pt idx="6">
                  <c:v>0.271747193852423</c:v>
                </c:pt>
                <c:pt idx="7">
                  <c:v>0.0</c:v>
                </c:pt>
                <c:pt idx="8">
                  <c:v>0.0</c:v>
                </c:pt>
                <c:pt idx="9">
                  <c:v>0.0</c:v>
                </c:pt>
                <c:pt idx="10">
                  <c:v>0.0</c:v>
                </c:pt>
                <c:pt idx="11">
                  <c:v>0.0</c:v>
                </c:pt>
                <c:pt idx="12">
                  <c:v>0.0153961860933805</c:v>
                </c:pt>
                <c:pt idx="13">
                  <c:v>0.0</c:v>
                </c:pt>
                <c:pt idx="14">
                  <c:v>0.0</c:v>
                </c:pt>
                <c:pt idx="15">
                  <c:v>0.0</c:v>
                </c:pt>
                <c:pt idx="16">
                  <c:v>0.0</c:v>
                </c:pt>
                <c:pt idx="17">
                  <c:v>0.0</c:v>
                </c:pt>
                <c:pt idx="18">
                  <c:v>0.0</c:v>
                </c:pt>
                <c:pt idx="19">
                  <c:v>0.0</c:v>
                </c:pt>
                <c:pt idx="20">
                  <c:v>0.0</c:v>
                </c:pt>
                <c:pt idx="21">
                  <c:v>0.0</c:v>
                </c:pt>
                <c:pt idx="22">
                  <c:v>0.00737858366974579</c:v>
                </c:pt>
                <c:pt idx="23">
                  <c:v>0.204347248072321</c:v>
                </c:pt>
                <c:pt idx="24">
                  <c:v>0.0</c:v>
                </c:pt>
                <c:pt idx="25">
                  <c:v>0.0</c:v>
                </c:pt>
                <c:pt idx="26">
                  <c:v>0.0</c:v>
                </c:pt>
                <c:pt idx="27">
                  <c:v>0.0</c:v>
                </c:pt>
                <c:pt idx="28">
                  <c:v>0.0</c:v>
                </c:pt>
              </c:numCache>
            </c:numRef>
          </c:val>
        </c:ser>
        <c:ser>
          <c:idx val="6"/>
          <c:order val="6"/>
          <c:tx>
            <c:strRef>
              <c:f>'x Data_2'!$Z$186</c:f>
              <c:strCache>
                <c:ptCount val="1"/>
                <c:pt idx="0">
                  <c:v>Fugitive (coal)</c:v>
                </c:pt>
              </c:strCache>
            </c:strRef>
          </c:tx>
          <c:invertIfNegative val="0"/>
          <c:cat>
            <c:strRef>
              <c:f>'x Data_2'!$C$187:$C$216</c:f>
              <c:strCache>
                <c:ptCount val="29"/>
                <c:pt idx="0">
                  <c:v>Atlantis</c:v>
                </c:pt>
                <c:pt idx="1">
                  <c:v>Amman</c:v>
                </c:pt>
                <c:pt idx="2">
                  <c:v>Athens</c:v>
                </c:pt>
                <c:pt idx="3">
                  <c:v>Bogota </c:v>
                </c:pt>
                <c:pt idx="4">
                  <c:v>Boston</c:v>
                </c:pt>
                <c:pt idx="5">
                  <c:v>Buenos Aires </c:v>
                </c:pt>
                <c:pt idx="6">
                  <c:v>Cape Town</c:v>
                </c:pt>
                <c:pt idx="7">
                  <c:v>Chicago</c:v>
                </c:pt>
                <c:pt idx="8">
                  <c:v>Copenhagen</c:v>
                </c:pt>
                <c:pt idx="9">
                  <c:v>District of Columbia</c:v>
                </c:pt>
                <c:pt idx="10">
                  <c:v>Johannesburg</c:v>
                </c:pt>
                <c:pt idx="11">
                  <c:v>London</c:v>
                </c:pt>
                <c:pt idx="12">
                  <c:v>Madrid</c:v>
                </c:pt>
                <c:pt idx="13">
                  <c:v>City of Melbourne</c:v>
                </c:pt>
                <c:pt idx="14">
                  <c:v>Mexico City</c:v>
                </c:pt>
                <c:pt idx="15">
                  <c:v>New York City</c:v>
                </c:pt>
                <c:pt idx="16">
                  <c:v>Stockholm</c:v>
                </c:pt>
                <c:pt idx="17">
                  <c:v>Oslo</c:v>
                </c:pt>
                <c:pt idx="18">
                  <c:v>Paris</c:v>
                </c:pt>
                <c:pt idx="19">
                  <c:v>Philadelphia</c:v>
                </c:pt>
                <c:pt idx="20">
                  <c:v>Portland</c:v>
                </c:pt>
                <c:pt idx="21">
                  <c:v>Quito</c:v>
                </c:pt>
                <c:pt idx="22">
                  <c:v>Rio de Janeiro</c:v>
                </c:pt>
                <c:pt idx="23">
                  <c:v>San Francisco</c:v>
                </c:pt>
                <c:pt idx="24">
                  <c:v>Seattle</c:v>
                </c:pt>
                <c:pt idx="25">
                  <c:v>Stockholm</c:v>
                </c:pt>
                <c:pt idx="26">
                  <c:v>City of Sydney</c:v>
                </c:pt>
                <c:pt idx="27">
                  <c:v>Toronto</c:v>
                </c:pt>
                <c:pt idx="28">
                  <c:v>City of Vancouver</c:v>
                </c:pt>
              </c:strCache>
            </c:strRef>
          </c:cat>
          <c:val>
            <c:numRef>
              <c:f>'x Data_2'!$Z$187:$Z$216</c:f>
              <c:numCache>
                <c:formatCode>0</c:formatCode>
                <c:ptCount val="30"/>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0.14418970031094</c:v>
                </c:pt>
                <c:pt idx="23">
                  <c:v>0.0</c:v>
                </c:pt>
                <c:pt idx="24">
                  <c:v>0.0</c:v>
                </c:pt>
                <c:pt idx="25">
                  <c:v>0.0</c:v>
                </c:pt>
                <c:pt idx="26">
                  <c:v>0.0</c:v>
                </c:pt>
                <c:pt idx="27">
                  <c:v>0.0</c:v>
                </c:pt>
                <c:pt idx="28">
                  <c:v>0.0</c:v>
                </c:pt>
              </c:numCache>
            </c:numRef>
          </c:val>
        </c:ser>
        <c:ser>
          <c:idx val="7"/>
          <c:order val="7"/>
          <c:tx>
            <c:strRef>
              <c:f>'x Data_2'!$AA$186</c:f>
              <c:strCache>
                <c:ptCount val="1"/>
                <c:pt idx="0">
                  <c:v>Fugitive (oil and gas)</c:v>
                </c:pt>
              </c:strCache>
            </c:strRef>
          </c:tx>
          <c:invertIfNegative val="0"/>
          <c:cat>
            <c:strRef>
              <c:f>'x Data_2'!$C$187:$C$216</c:f>
              <c:strCache>
                <c:ptCount val="29"/>
                <c:pt idx="0">
                  <c:v>Atlantis</c:v>
                </c:pt>
                <c:pt idx="1">
                  <c:v>Amman</c:v>
                </c:pt>
                <c:pt idx="2">
                  <c:v>Athens</c:v>
                </c:pt>
                <c:pt idx="3">
                  <c:v>Bogota </c:v>
                </c:pt>
                <c:pt idx="4">
                  <c:v>Boston</c:v>
                </c:pt>
                <c:pt idx="5">
                  <c:v>Buenos Aires </c:v>
                </c:pt>
                <c:pt idx="6">
                  <c:v>Cape Town</c:v>
                </c:pt>
                <c:pt idx="7">
                  <c:v>Chicago</c:v>
                </c:pt>
                <c:pt idx="8">
                  <c:v>Copenhagen</c:v>
                </c:pt>
                <c:pt idx="9">
                  <c:v>District of Columbia</c:v>
                </c:pt>
                <c:pt idx="10">
                  <c:v>Johannesburg</c:v>
                </c:pt>
                <c:pt idx="11">
                  <c:v>London</c:v>
                </c:pt>
                <c:pt idx="12">
                  <c:v>Madrid</c:v>
                </c:pt>
                <c:pt idx="13">
                  <c:v>City of Melbourne</c:v>
                </c:pt>
                <c:pt idx="14">
                  <c:v>Mexico City</c:v>
                </c:pt>
                <c:pt idx="15">
                  <c:v>New York City</c:v>
                </c:pt>
                <c:pt idx="16">
                  <c:v>Stockholm</c:v>
                </c:pt>
                <c:pt idx="17">
                  <c:v>Oslo</c:v>
                </c:pt>
                <c:pt idx="18">
                  <c:v>Paris</c:v>
                </c:pt>
                <c:pt idx="19">
                  <c:v>Philadelphia</c:v>
                </c:pt>
                <c:pt idx="20">
                  <c:v>Portland</c:v>
                </c:pt>
                <c:pt idx="21">
                  <c:v>Quito</c:v>
                </c:pt>
                <c:pt idx="22">
                  <c:v>Rio de Janeiro</c:v>
                </c:pt>
                <c:pt idx="23">
                  <c:v>San Francisco</c:v>
                </c:pt>
                <c:pt idx="24">
                  <c:v>Seattle</c:v>
                </c:pt>
                <c:pt idx="25">
                  <c:v>Stockholm</c:v>
                </c:pt>
                <c:pt idx="26">
                  <c:v>City of Sydney</c:v>
                </c:pt>
                <c:pt idx="27">
                  <c:v>Toronto</c:v>
                </c:pt>
                <c:pt idx="28">
                  <c:v>City of Vancouver</c:v>
                </c:pt>
              </c:strCache>
            </c:strRef>
          </c:cat>
          <c:val>
            <c:numRef>
              <c:f>'x Data_2'!$AA$187:$AA$216</c:f>
              <c:numCache>
                <c:formatCode>0</c:formatCode>
                <c:ptCount val="30"/>
                <c:pt idx="0">
                  <c:v>0.021428223148857</c:v>
                </c:pt>
                <c:pt idx="1">
                  <c:v>0.0</c:v>
                </c:pt>
                <c:pt idx="2">
                  <c:v>0.000550868863374166</c:v>
                </c:pt>
                <c:pt idx="3">
                  <c:v>0.00504883178974859</c:v>
                </c:pt>
                <c:pt idx="4">
                  <c:v>0.0350331140667854</c:v>
                </c:pt>
                <c:pt idx="5">
                  <c:v>0.0478058643850935</c:v>
                </c:pt>
                <c:pt idx="6">
                  <c:v>0.0</c:v>
                </c:pt>
                <c:pt idx="7">
                  <c:v>0.0</c:v>
                </c:pt>
                <c:pt idx="8">
                  <c:v>0.0</c:v>
                </c:pt>
                <c:pt idx="9">
                  <c:v>0.033733905370976</c:v>
                </c:pt>
                <c:pt idx="10">
                  <c:v>0.000676259237189208</c:v>
                </c:pt>
                <c:pt idx="11">
                  <c:v>0.00140054654547615</c:v>
                </c:pt>
                <c:pt idx="12">
                  <c:v>0.00560118784013632</c:v>
                </c:pt>
                <c:pt idx="13">
                  <c:v>0.0</c:v>
                </c:pt>
                <c:pt idx="14">
                  <c:v>6.73274880023992E-5</c:v>
                </c:pt>
                <c:pt idx="15">
                  <c:v>0.0260107663208716</c:v>
                </c:pt>
                <c:pt idx="16">
                  <c:v>3.7447445913973E-5</c:v>
                </c:pt>
                <c:pt idx="17">
                  <c:v>0.0</c:v>
                </c:pt>
                <c:pt idx="18">
                  <c:v>0.0</c:v>
                </c:pt>
                <c:pt idx="19">
                  <c:v>0.314742696304682</c:v>
                </c:pt>
                <c:pt idx="20">
                  <c:v>0.019289028695987</c:v>
                </c:pt>
                <c:pt idx="21">
                  <c:v>0.0</c:v>
                </c:pt>
                <c:pt idx="22">
                  <c:v>0.018954138727555</c:v>
                </c:pt>
                <c:pt idx="23">
                  <c:v>0.0160492434006956</c:v>
                </c:pt>
                <c:pt idx="24">
                  <c:v>0.0234693911573375</c:v>
                </c:pt>
                <c:pt idx="25">
                  <c:v>3.7447445913973E-5</c:v>
                </c:pt>
                <c:pt idx="26">
                  <c:v>0.074052152316781</c:v>
                </c:pt>
                <c:pt idx="27">
                  <c:v>0.0460254231799203</c:v>
                </c:pt>
                <c:pt idx="28">
                  <c:v>0.0312159827315318</c:v>
                </c:pt>
              </c:numCache>
            </c:numRef>
          </c:val>
        </c:ser>
        <c:dLbls>
          <c:showLegendKey val="0"/>
          <c:showVal val="0"/>
          <c:showCatName val="0"/>
          <c:showSerName val="0"/>
          <c:showPercent val="0"/>
          <c:showBubbleSize val="0"/>
        </c:dLbls>
        <c:gapWidth val="150"/>
        <c:overlap val="100"/>
        <c:axId val="1872347080"/>
        <c:axId val="1872482024"/>
      </c:barChart>
      <c:catAx>
        <c:axId val="1872347080"/>
        <c:scaling>
          <c:orientation val="minMax"/>
        </c:scaling>
        <c:delete val="0"/>
        <c:axPos val="b"/>
        <c:majorTickMark val="out"/>
        <c:minorTickMark val="none"/>
        <c:tickLblPos val="nextTo"/>
        <c:txPr>
          <a:bodyPr rot="-5400000" vert="horz"/>
          <a:lstStyle/>
          <a:p>
            <a:pPr>
              <a:defRPr/>
            </a:pPr>
            <a:endParaRPr lang="en-US"/>
          </a:p>
        </c:txPr>
        <c:crossAx val="1872482024"/>
        <c:crosses val="autoZero"/>
        <c:auto val="1"/>
        <c:lblAlgn val="ctr"/>
        <c:lblOffset val="100"/>
        <c:noMultiLvlLbl val="0"/>
      </c:catAx>
      <c:valAx>
        <c:axId val="1872482024"/>
        <c:scaling>
          <c:orientation val="minMax"/>
        </c:scaling>
        <c:delete val="0"/>
        <c:axPos val="l"/>
        <c:majorGridlines/>
        <c:numFmt formatCode="0" sourceLinked="1"/>
        <c:majorTickMark val="out"/>
        <c:minorTickMark val="none"/>
        <c:tickLblPos val="nextTo"/>
        <c:crossAx val="1872347080"/>
        <c:crosses val="autoZero"/>
        <c:crossBetween val="between"/>
      </c:valAx>
      <c:spPr>
        <a:noFill/>
      </c:spPr>
    </c:plotArea>
    <c:legend>
      <c:legendPos val="r"/>
      <c:layout>
        <c:manualLayout>
          <c:xMode val="edge"/>
          <c:yMode val="edge"/>
          <c:x val="0.876689977315635"/>
          <c:y val="0.646128608868642"/>
          <c:w val="0.123310022684365"/>
          <c:h val="0.346590301590415"/>
        </c:manualLayout>
      </c:layout>
      <c:overlay val="0"/>
      <c:txPr>
        <a:bodyPr/>
        <a:lstStyle/>
        <a:p>
          <a:pPr algn="l">
            <a:defRPr/>
          </a:pPr>
          <a:endParaRPr lang="en-US"/>
        </a:p>
      </c:txPr>
    </c:legend>
    <c:plotVisOnly val="1"/>
    <c:dispBlanksAs val="gap"/>
    <c:showDLblsOverMax val="0"/>
  </c:chart>
  <c:spPr>
    <a:noFill/>
    <a:ln>
      <a:noFill/>
    </a:ln>
  </c:spPr>
  <c:printSettings>
    <c:headerFooter/>
    <c:pageMargins b="1.0" l="0.75" r="0.75" t="1.0"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046067644018818"/>
          <c:y val="0.0395136683546733"/>
          <c:w val="0.814042384402647"/>
          <c:h val="0.721337213379314"/>
        </c:manualLayout>
      </c:layout>
      <c:barChart>
        <c:barDir val="col"/>
        <c:grouping val="stacked"/>
        <c:varyColors val="0"/>
        <c:ser>
          <c:idx val="1"/>
          <c:order val="0"/>
          <c:tx>
            <c:strRef>
              <c:f>'x Data_2'!$AD$186</c:f>
              <c:strCache>
                <c:ptCount val="1"/>
                <c:pt idx="0">
                  <c:v>On-road</c:v>
                </c:pt>
              </c:strCache>
            </c:strRef>
          </c:tx>
          <c:invertIfNegative val="0"/>
          <c:cat>
            <c:strRef>
              <c:f>'x Data_2'!$C$187:$C$214</c:f>
              <c:strCache>
                <c:ptCount val="28"/>
                <c:pt idx="0">
                  <c:v>Atlantis</c:v>
                </c:pt>
                <c:pt idx="1">
                  <c:v>Amman</c:v>
                </c:pt>
                <c:pt idx="2">
                  <c:v>Athens</c:v>
                </c:pt>
                <c:pt idx="3">
                  <c:v>Bogota </c:v>
                </c:pt>
                <c:pt idx="4">
                  <c:v>Boston</c:v>
                </c:pt>
                <c:pt idx="5">
                  <c:v>Buenos Aires </c:v>
                </c:pt>
                <c:pt idx="6">
                  <c:v>Cape Town</c:v>
                </c:pt>
                <c:pt idx="7">
                  <c:v>Chicago</c:v>
                </c:pt>
                <c:pt idx="8">
                  <c:v>Copenhagen</c:v>
                </c:pt>
                <c:pt idx="9">
                  <c:v>District of Columbia</c:v>
                </c:pt>
                <c:pt idx="10">
                  <c:v>Johannesburg</c:v>
                </c:pt>
                <c:pt idx="11">
                  <c:v>London</c:v>
                </c:pt>
                <c:pt idx="12">
                  <c:v>Madrid</c:v>
                </c:pt>
                <c:pt idx="13">
                  <c:v>City of Melbourne</c:v>
                </c:pt>
                <c:pt idx="14">
                  <c:v>Mexico City</c:v>
                </c:pt>
                <c:pt idx="15">
                  <c:v>New York City</c:v>
                </c:pt>
                <c:pt idx="16">
                  <c:v>Stockholm</c:v>
                </c:pt>
                <c:pt idx="17">
                  <c:v>Oslo</c:v>
                </c:pt>
                <c:pt idx="18">
                  <c:v>Paris</c:v>
                </c:pt>
                <c:pt idx="19">
                  <c:v>Philadelphia</c:v>
                </c:pt>
                <c:pt idx="20">
                  <c:v>Portland</c:v>
                </c:pt>
                <c:pt idx="21">
                  <c:v>Quito</c:v>
                </c:pt>
                <c:pt idx="22">
                  <c:v>Rio de Janeiro</c:v>
                </c:pt>
                <c:pt idx="23">
                  <c:v>San Francisco</c:v>
                </c:pt>
                <c:pt idx="24">
                  <c:v>Seattle</c:v>
                </c:pt>
                <c:pt idx="25">
                  <c:v>Stockholm</c:v>
                </c:pt>
                <c:pt idx="26">
                  <c:v>City of Sydney</c:v>
                </c:pt>
                <c:pt idx="27">
                  <c:v>Toronto</c:v>
                </c:pt>
              </c:strCache>
            </c:strRef>
          </c:cat>
          <c:val>
            <c:numRef>
              <c:f>'x Data_2'!$AD$187:$AD$214</c:f>
              <c:numCache>
                <c:formatCode>0</c:formatCode>
                <c:ptCount val="28"/>
                <c:pt idx="0">
                  <c:v>1.860732627530133</c:v>
                </c:pt>
                <c:pt idx="1">
                  <c:v>0.666928016859611</c:v>
                </c:pt>
                <c:pt idx="2">
                  <c:v>1.529644068615223</c:v>
                </c:pt>
                <c:pt idx="3">
                  <c:v>0.619699066678377</c:v>
                </c:pt>
                <c:pt idx="4">
                  <c:v>2.336123581203708</c:v>
                </c:pt>
                <c:pt idx="5">
                  <c:v>1.297434472541625</c:v>
                </c:pt>
                <c:pt idx="6">
                  <c:v>1.496659287770879</c:v>
                </c:pt>
                <c:pt idx="7">
                  <c:v>0.251223378234811</c:v>
                </c:pt>
                <c:pt idx="8">
                  <c:v>0.601930731271919</c:v>
                </c:pt>
                <c:pt idx="9">
                  <c:v>2.276957050843384</c:v>
                </c:pt>
                <c:pt idx="10">
                  <c:v>1.442737974745993</c:v>
                </c:pt>
                <c:pt idx="11">
                  <c:v>0.717002842194689</c:v>
                </c:pt>
                <c:pt idx="12">
                  <c:v>0.670096464914235</c:v>
                </c:pt>
                <c:pt idx="13">
                  <c:v>3.847527337368914</c:v>
                </c:pt>
                <c:pt idx="14">
                  <c:v>1.289187428892928</c:v>
                </c:pt>
                <c:pt idx="15">
                  <c:v>1.284849150068319</c:v>
                </c:pt>
                <c:pt idx="16">
                  <c:v>0.735760608691212</c:v>
                </c:pt>
                <c:pt idx="17">
                  <c:v>0.798120410406977</c:v>
                </c:pt>
                <c:pt idx="18">
                  <c:v>0.354685462250514</c:v>
                </c:pt>
                <c:pt idx="19">
                  <c:v>1.916544342329803</c:v>
                </c:pt>
                <c:pt idx="20">
                  <c:v>3.694028042864376</c:v>
                </c:pt>
                <c:pt idx="21">
                  <c:v>1.805276902177062</c:v>
                </c:pt>
                <c:pt idx="22">
                  <c:v>0.835068780603902</c:v>
                </c:pt>
                <c:pt idx="23">
                  <c:v>2.381975886507253</c:v>
                </c:pt>
                <c:pt idx="24">
                  <c:v>3.376919437733467</c:v>
                </c:pt>
                <c:pt idx="25">
                  <c:v>0.735760608691212</c:v>
                </c:pt>
                <c:pt idx="26">
                  <c:v>0.771865979937464</c:v>
                </c:pt>
                <c:pt idx="27">
                  <c:v>2.51449103715056</c:v>
                </c:pt>
              </c:numCache>
            </c:numRef>
          </c:val>
        </c:ser>
        <c:ser>
          <c:idx val="2"/>
          <c:order val="1"/>
          <c:tx>
            <c:strRef>
              <c:f>'x Data_2'!$AE$186</c:f>
              <c:strCache>
                <c:ptCount val="1"/>
                <c:pt idx="0">
                  <c:v>Rail</c:v>
                </c:pt>
              </c:strCache>
            </c:strRef>
          </c:tx>
          <c:invertIfNegative val="0"/>
          <c:cat>
            <c:strRef>
              <c:f>'x Data_2'!$C$187:$C$214</c:f>
              <c:strCache>
                <c:ptCount val="28"/>
                <c:pt idx="0">
                  <c:v>Atlantis</c:v>
                </c:pt>
                <c:pt idx="1">
                  <c:v>Amman</c:v>
                </c:pt>
                <c:pt idx="2">
                  <c:v>Athens</c:v>
                </c:pt>
                <c:pt idx="3">
                  <c:v>Bogota </c:v>
                </c:pt>
                <c:pt idx="4">
                  <c:v>Boston</c:v>
                </c:pt>
                <c:pt idx="5">
                  <c:v>Buenos Aires </c:v>
                </c:pt>
                <c:pt idx="6">
                  <c:v>Cape Town</c:v>
                </c:pt>
                <c:pt idx="7">
                  <c:v>Chicago</c:v>
                </c:pt>
                <c:pt idx="8">
                  <c:v>Copenhagen</c:v>
                </c:pt>
                <c:pt idx="9">
                  <c:v>District of Columbia</c:v>
                </c:pt>
                <c:pt idx="10">
                  <c:v>Johannesburg</c:v>
                </c:pt>
                <c:pt idx="11">
                  <c:v>London</c:v>
                </c:pt>
                <c:pt idx="12">
                  <c:v>Madrid</c:v>
                </c:pt>
                <c:pt idx="13">
                  <c:v>City of Melbourne</c:v>
                </c:pt>
                <c:pt idx="14">
                  <c:v>Mexico City</c:v>
                </c:pt>
                <c:pt idx="15">
                  <c:v>New York City</c:v>
                </c:pt>
                <c:pt idx="16">
                  <c:v>Stockholm</c:v>
                </c:pt>
                <c:pt idx="17">
                  <c:v>Oslo</c:v>
                </c:pt>
                <c:pt idx="18">
                  <c:v>Paris</c:v>
                </c:pt>
                <c:pt idx="19">
                  <c:v>Philadelphia</c:v>
                </c:pt>
                <c:pt idx="20">
                  <c:v>Portland</c:v>
                </c:pt>
                <c:pt idx="21">
                  <c:v>Quito</c:v>
                </c:pt>
                <c:pt idx="22">
                  <c:v>Rio de Janeiro</c:v>
                </c:pt>
                <c:pt idx="23">
                  <c:v>San Francisco</c:v>
                </c:pt>
                <c:pt idx="24">
                  <c:v>Seattle</c:v>
                </c:pt>
                <c:pt idx="25">
                  <c:v>Stockholm</c:v>
                </c:pt>
                <c:pt idx="26">
                  <c:v>City of Sydney</c:v>
                </c:pt>
                <c:pt idx="27">
                  <c:v>Toronto</c:v>
                </c:pt>
              </c:strCache>
            </c:strRef>
          </c:cat>
          <c:val>
            <c:numRef>
              <c:f>'x Data_2'!$AE$187:$AE$214</c:f>
              <c:numCache>
                <c:formatCode>0</c:formatCode>
                <c:ptCount val="28"/>
                <c:pt idx="0">
                  <c:v>0.574251149428267</c:v>
                </c:pt>
                <c:pt idx="1">
                  <c:v>0.0</c:v>
                </c:pt>
                <c:pt idx="2">
                  <c:v>0.0734518550706478</c:v>
                </c:pt>
                <c:pt idx="3">
                  <c:v>2.81672211203262E-5</c:v>
                </c:pt>
                <c:pt idx="4">
                  <c:v>0.10942768738786</c:v>
                </c:pt>
                <c:pt idx="5">
                  <c:v>0.0313193993072056</c:v>
                </c:pt>
                <c:pt idx="6">
                  <c:v>0.0266200684523484</c:v>
                </c:pt>
                <c:pt idx="7">
                  <c:v>0.0116349182985416</c:v>
                </c:pt>
                <c:pt idx="8">
                  <c:v>0.0490787011205871</c:v>
                </c:pt>
                <c:pt idx="9">
                  <c:v>0.194565537169609</c:v>
                </c:pt>
                <c:pt idx="10">
                  <c:v>0.0692862889590993</c:v>
                </c:pt>
                <c:pt idx="11">
                  <c:v>0.142432515775463</c:v>
                </c:pt>
                <c:pt idx="12">
                  <c:v>0.0842876846070132</c:v>
                </c:pt>
                <c:pt idx="13">
                  <c:v>1.750024852518473</c:v>
                </c:pt>
                <c:pt idx="14">
                  <c:v>0.0755942943966767</c:v>
                </c:pt>
                <c:pt idx="15">
                  <c:v>0.102359045226678</c:v>
                </c:pt>
                <c:pt idx="16">
                  <c:v>0.0376637616526806</c:v>
                </c:pt>
                <c:pt idx="17">
                  <c:v>0.0</c:v>
                </c:pt>
                <c:pt idx="18">
                  <c:v>0.100520323054332</c:v>
                </c:pt>
                <c:pt idx="19">
                  <c:v>0.212121073349917</c:v>
                </c:pt>
                <c:pt idx="20">
                  <c:v>0.0</c:v>
                </c:pt>
                <c:pt idx="21">
                  <c:v>0.0</c:v>
                </c:pt>
                <c:pt idx="22">
                  <c:v>0.0142080266976193</c:v>
                </c:pt>
                <c:pt idx="23">
                  <c:v>0.0829393093119911</c:v>
                </c:pt>
                <c:pt idx="24">
                  <c:v>0.101777038267253</c:v>
                </c:pt>
                <c:pt idx="25">
                  <c:v>0.0376637616526806</c:v>
                </c:pt>
                <c:pt idx="26">
                  <c:v>0.415699298560163</c:v>
                </c:pt>
                <c:pt idx="27">
                  <c:v>0.0566534776258842</c:v>
                </c:pt>
              </c:numCache>
            </c:numRef>
          </c:val>
        </c:ser>
        <c:ser>
          <c:idx val="3"/>
          <c:order val="2"/>
          <c:tx>
            <c:strRef>
              <c:f>'x Data_2'!$AF$186</c:f>
              <c:strCache>
                <c:ptCount val="1"/>
                <c:pt idx="0">
                  <c:v>Water</c:v>
                </c:pt>
              </c:strCache>
            </c:strRef>
          </c:tx>
          <c:invertIfNegative val="0"/>
          <c:cat>
            <c:strRef>
              <c:f>'x Data_2'!$C$187:$C$214</c:f>
              <c:strCache>
                <c:ptCount val="28"/>
                <c:pt idx="0">
                  <c:v>Atlantis</c:v>
                </c:pt>
                <c:pt idx="1">
                  <c:v>Amman</c:v>
                </c:pt>
                <c:pt idx="2">
                  <c:v>Athens</c:v>
                </c:pt>
                <c:pt idx="3">
                  <c:v>Bogota </c:v>
                </c:pt>
                <c:pt idx="4">
                  <c:v>Boston</c:v>
                </c:pt>
                <c:pt idx="5">
                  <c:v>Buenos Aires </c:v>
                </c:pt>
                <c:pt idx="6">
                  <c:v>Cape Town</c:v>
                </c:pt>
                <c:pt idx="7">
                  <c:v>Chicago</c:v>
                </c:pt>
                <c:pt idx="8">
                  <c:v>Copenhagen</c:v>
                </c:pt>
                <c:pt idx="9">
                  <c:v>District of Columbia</c:v>
                </c:pt>
                <c:pt idx="10">
                  <c:v>Johannesburg</c:v>
                </c:pt>
                <c:pt idx="11">
                  <c:v>London</c:v>
                </c:pt>
                <c:pt idx="12">
                  <c:v>Madrid</c:v>
                </c:pt>
                <c:pt idx="13">
                  <c:v>City of Melbourne</c:v>
                </c:pt>
                <c:pt idx="14">
                  <c:v>Mexico City</c:v>
                </c:pt>
                <c:pt idx="15">
                  <c:v>New York City</c:v>
                </c:pt>
                <c:pt idx="16">
                  <c:v>Stockholm</c:v>
                </c:pt>
                <c:pt idx="17">
                  <c:v>Oslo</c:v>
                </c:pt>
                <c:pt idx="18">
                  <c:v>Paris</c:v>
                </c:pt>
                <c:pt idx="19">
                  <c:v>Philadelphia</c:v>
                </c:pt>
                <c:pt idx="20">
                  <c:v>Portland</c:v>
                </c:pt>
                <c:pt idx="21">
                  <c:v>Quito</c:v>
                </c:pt>
                <c:pt idx="22">
                  <c:v>Rio de Janeiro</c:v>
                </c:pt>
                <c:pt idx="23">
                  <c:v>San Francisco</c:v>
                </c:pt>
                <c:pt idx="24">
                  <c:v>Seattle</c:v>
                </c:pt>
                <c:pt idx="25">
                  <c:v>Stockholm</c:v>
                </c:pt>
                <c:pt idx="26">
                  <c:v>City of Sydney</c:v>
                </c:pt>
                <c:pt idx="27">
                  <c:v>Toronto</c:v>
                </c:pt>
              </c:strCache>
            </c:strRef>
          </c:cat>
          <c:val>
            <c:numRef>
              <c:f>'x Data_2'!$AF$187:$AF$214</c:f>
              <c:numCache>
                <c:formatCode>0</c:formatCode>
                <c:ptCount val="28"/>
                <c:pt idx="0">
                  <c:v>0.0135056639011932</c:v>
                </c:pt>
                <c:pt idx="1">
                  <c:v>0.0</c:v>
                </c:pt>
                <c:pt idx="2">
                  <c:v>0.0</c:v>
                </c:pt>
                <c:pt idx="3">
                  <c:v>0.0</c:v>
                </c:pt>
                <c:pt idx="4">
                  <c:v>0.000598212564408804</c:v>
                </c:pt>
                <c:pt idx="5">
                  <c:v>0.0</c:v>
                </c:pt>
                <c:pt idx="6">
                  <c:v>0.0</c:v>
                </c:pt>
                <c:pt idx="7">
                  <c:v>9.1431265921967E-6</c:v>
                </c:pt>
                <c:pt idx="8">
                  <c:v>0.241302759124691</c:v>
                </c:pt>
                <c:pt idx="9">
                  <c:v>0.0</c:v>
                </c:pt>
                <c:pt idx="10">
                  <c:v>0.0</c:v>
                </c:pt>
                <c:pt idx="11">
                  <c:v>0.00240699766551296</c:v>
                </c:pt>
                <c:pt idx="12">
                  <c:v>0.0</c:v>
                </c:pt>
                <c:pt idx="13">
                  <c:v>0.0</c:v>
                </c:pt>
                <c:pt idx="14">
                  <c:v>0.0</c:v>
                </c:pt>
                <c:pt idx="15">
                  <c:v>0.00445357032319176</c:v>
                </c:pt>
                <c:pt idx="16">
                  <c:v>0.104398940123804</c:v>
                </c:pt>
                <c:pt idx="17">
                  <c:v>0.0560815771676662</c:v>
                </c:pt>
                <c:pt idx="18">
                  <c:v>0.0</c:v>
                </c:pt>
                <c:pt idx="19">
                  <c:v>0.0</c:v>
                </c:pt>
                <c:pt idx="20">
                  <c:v>0.0</c:v>
                </c:pt>
                <c:pt idx="21">
                  <c:v>0.0</c:v>
                </c:pt>
                <c:pt idx="22">
                  <c:v>0.00155483485643456</c:v>
                </c:pt>
                <c:pt idx="23">
                  <c:v>0.670350003625728</c:v>
                </c:pt>
                <c:pt idx="24">
                  <c:v>0.283294639114105</c:v>
                </c:pt>
                <c:pt idx="25">
                  <c:v>0.104398940123804</c:v>
                </c:pt>
                <c:pt idx="26">
                  <c:v>0.0236117416250476</c:v>
                </c:pt>
                <c:pt idx="27">
                  <c:v>0.00052129152756486</c:v>
                </c:pt>
              </c:numCache>
            </c:numRef>
          </c:val>
        </c:ser>
        <c:ser>
          <c:idx val="0"/>
          <c:order val="3"/>
          <c:tx>
            <c:strRef>
              <c:f>'x Data_2'!$AG$186</c:f>
              <c:strCache>
                <c:ptCount val="1"/>
                <c:pt idx="0">
                  <c:v>Air</c:v>
                </c:pt>
              </c:strCache>
            </c:strRef>
          </c:tx>
          <c:invertIfNegative val="0"/>
          <c:cat>
            <c:strRef>
              <c:f>'x Data_2'!$C$187:$C$214</c:f>
              <c:strCache>
                <c:ptCount val="28"/>
                <c:pt idx="0">
                  <c:v>Atlantis</c:v>
                </c:pt>
                <c:pt idx="1">
                  <c:v>Amman</c:v>
                </c:pt>
                <c:pt idx="2">
                  <c:v>Athens</c:v>
                </c:pt>
                <c:pt idx="3">
                  <c:v>Bogota </c:v>
                </c:pt>
                <c:pt idx="4">
                  <c:v>Boston</c:v>
                </c:pt>
                <c:pt idx="5">
                  <c:v>Buenos Aires </c:v>
                </c:pt>
                <c:pt idx="6">
                  <c:v>Cape Town</c:v>
                </c:pt>
                <c:pt idx="7">
                  <c:v>Chicago</c:v>
                </c:pt>
                <c:pt idx="8">
                  <c:v>Copenhagen</c:v>
                </c:pt>
                <c:pt idx="9">
                  <c:v>District of Columbia</c:v>
                </c:pt>
                <c:pt idx="10">
                  <c:v>Johannesburg</c:v>
                </c:pt>
                <c:pt idx="11">
                  <c:v>London</c:v>
                </c:pt>
                <c:pt idx="12">
                  <c:v>Madrid</c:v>
                </c:pt>
                <c:pt idx="13">
                  <c:v>City of Melbourne</c:v>
                </c:pt>
                <c:pt idx="14">
                  <c:v>Mexico City</c:v>
                </c:pt>
                <c:pt idx="15">
                  <c:v>New York City</c:v>
                </c:pt>
                <c:pt idx="16">
                  <c:v>Stockholm</c:v>
                </c:pt>
                <c:pt idx="17">
                  <c:v>Oslo</c:v>
                </c:pt>
                <c:pt idx="18">
                  <c:v>Paris</c:v>
                </c:pt>
                <c:pt idx="19">
                  <c:v>Philadelphia</c:v>
                </c:pt>
                <c:pt idx="20">
                  <c:v>Portland</c:v>
                </c:pt>
                <c:pt idx="21">
                  <c:v>Quito</c:v>
                </c:pt>
                <c:pt idx="22">
                  <c:v>Rio de Janeiro</c:v>
                </c:pt>
                <c:pt idx="23">
                  <c:v>San Francisco</c:v>
                </c:pt>
                <c:pt idx="24">
                  <c:v>Seattle</c:v>
                </c:pt>
                <c:pt idx="25">
                  <c:v>Stockholm</c:v>
                </c:pt>
                <c:pt idx="26">
                  <c:v>City of Sydney</c:v>
                </c:pt>
                <c:pt idx="27">
                  <c:v>Toronto</c:v>
                </c:pt>
              </c:strCache>
            </c:strRef>
          </c:cat>
          <c:val>
            <c:numRef>
              <c:f>'x Data_2'!$AG$187:$AG$214</c:f>
              <c:numCache>
                <c:formatCode>0</c:formatCode>
                <c:ptCount val="28"/>
                <c:pt idx="0">
                  <c:v>0.0</c:v>
                </c:pt>
                <c:pt idx="1">
                  <c:v>0.0</c:v>
                </c:pt>
                <c:pt idx="2">
                  <c:v>0.0</c:v>
                </c:pt>
                <c:pt idx="3">
                  <c:v>0.0</c:v>
                </c:pt>
                <c:pt idx="4">
                  <c:v>0.0</c:v>
                </c:pt>
                <c:pt idx="5">
                  <c:v>0.0</c:v>
                </c:pt>
                <c:pt idx="6">
                  <c:v>0.0</c:v>
                </c:pt>
                <c:pt idx="7">
                  <c:v>0.0</c:v>
                </c:pt>
                <c:pt idx="8">
                  <c:v>0.0</c:v>
                </c:pt>
                <c:pt idx="9">
                  <c:v>0.0</c:v>
                </c:pt>
                <c:pt idx="10">
                  <c:v>0.0</c:v>
                </c:pt>
                <c:pt idx="11">
                  <c:v>0.0</c:v>
                </c:pt>
                <c:pt idx="12">
                  <c:v>0.157820001795933</c:v>
                </c:pt>
                <c:pt idx="13">
                  <c:v>0.0</c:v>
                </c:pt>
                <c:pt idx="14">
                  <c:v>0.156923670457052</c:v>
                </c:pt>
                <c:pt idx="15">
                  <c:v>0.000275350490510951</c:v>
                </c:pt>
                <c:pt idx="16">
                  <c:v>0.022581944657214</c:v>
                </c:pt>
                <c:pt idx="17">
                  <c:v>0.0</c:v>
                </c:pt>
                <c:pt idx="18">
                  <c:v>0.00218022907488987</c:v>
                </c:pt>
                <c:pt idx="19">
                  <c:v>0.0</c:v>
                </c:pt>
                <c:pt idx="20">
                  <c:v>0.0</c:v>
                </c:pt>
                <c:pt idx="21">
                  <c:v>0.0</c:v>
                </c:pt>
                <c:pt idx="22">
                  <c:v>0.0</c:v>
                </c:pt>
                <c:pt idx="23">
                  <c:v>0.0</c:v>
                </c:pt>
                <c:pt idx="24">
                  <c:v>0.0</c:v>
                </c:pt>
                <c:pt idx="25">
                  <c:v>0.022581944657214</c:v>
                </c:pt>
                <c:pt idx="26">
                  <c:v>0.0</c:v>
                </c:pt>
                <c:pt idx="27">
                  <c:v>0.0</c:v>
                </c:pt>
              </c:numCache>
            </c:numRef>
          </c:val>
        </c:ser>
        <c:ser>
          <c:idx val="4"/>
          <c:order val="4"/>
          <c:tx>
            <c:strRef>
              <c:f>'x Data_2'!$AH$186</c:f>
              <c:strCache>
                <c:ptCount val="1"/>
                <c:pt idx="0">
                  <c:v>Off-road</c:v>
                </c:pt>
              </c:strCache>
            </c:strRef>
          </c:tx>
          <c:invertIfNegative val="0"/>
          <c:cat>
            <c:strRef>
              <c:f>'x Data_2'!$C$187:$C$214</c:f>
              <c:strCache>
                <c:ptCount val="28"/>
                <c:pt idx="0">
                  <c:v>Atlantis</c:v>
                </c:pt>
                <c:pt idx="1">
                  <c:v>Amman</c:v>
                </c:pt>
                <c:pt idx="2">
                  <c:v>Athens</c:v>
                </c:pt>
                <c:pt idx="3">
                  <c:v>Bogota </c:v>
                </c:pt>
                <c:pt idx="4">
                  <c:v>Boston</c:v>
                </c:pt>
                <c:pt idx="5">
                  <c:v>Buenos Aires </c:v>
                </c:pt>
                <c:pt idx="6">
                  <c:v>Cape Town</c:v>
                </c:pt>
                <c:pt idx="7">
                  <c:v>Chicago</c:v>
                </c:pt>
                <c:pt idx="8">
                  <c:v>Copenhagen</c:v>
                </c:pt>
                <c:pt idx="9">
                  <c:v>District of Columbia</c:v>
                </c:pt>
                <c:pt idx="10">
                  <c:v>Johannesburg</c:v>
                </c:pt>
                <c:pt idx="11">
                  <c:v>London</c:v>
                </c:pt>
                <c:pt idx="12">
                  <c:v>Madrid</c:v>
                </c:pt>
                <c:pt idx="13">
                  <c:v>City of Melbourne</c:v>
                </c:pt>
                <c:pt idx="14">
                  <c:v>Mexico City</c:v>
                </c:pt>
                <c:pt idx="15">
                  <c:v>New York City</c:v>
                </c:pt>
                <c:pt idx="16">
                  <c:v>Stockholm</c:v>
                </c:pt>
                <c:pt idx="17">
                  <c:v>Oslo</c:v>
                </c:pt>
                <c:pt idx="18">
                  <c:v>Paris</c:v>
                </c:pt>
                <c:pt idx="19">
                  <c:v>Philadelphia</c:v>
                </c:pt>
                <c:pt idx="20">
                  <c:v>Portland</c:v>
                </c:pt>
                <c:pt idx="21">
                  <c:v>Quito</c:v>
                </c:pt>
                <c:pt idx="22">
                  <c:v>Rio de Janeiro</c:v>
                </c:pt>
                <c:pt idx="23">
                  <c:v>San Francisco</c:v>
                </c:pt>
                <c:pt idx="24">
                  <c:v>Seattle</c:v>
                </c:pt>
                <c:pt idx="25">
                  <c:v>Stockholm</c:v>
                </c:pt>
                <c:pt idx="26">
                  <c:v>City of Sydney</c:v>
                </c:pt>
                <c:pt idx="27">
                  <c:v>Toronto</c:v>
                </c:pt>
              </c:strCache>
            </c:strRef>
          </c:cat>
          <c:val>
            <c:numRef>
              <c:f>'x Data_2'!$AH$187:$AH$214</c:f>
              <c:numCache>
                <c:formatCode>0</c:formatCode>
                <c:ptCount val="28"/>
                <c:pt idx="0">
                  <c:v>0.0</c:v>
                </c:pt>
                <c:pt idx="1">
                  <c:v>0.0</c:v>
                </c:pt>
                <c:pt idx="2">
                  <c:v>0.0</c:v>
                </c:pt>
                <c:pt idx="3">
                  <c:v>0.0</c:v>
                </c:pt>
                <c:pt idx="4">
                  <c:v>0.0306413406986564</c:v>
                </c:pt>
                <c:pt idx="5">
                  <c:v>0.0</c:v>
                </c:pt>
                <c:pt idx="6">
                  <c:v>0.0</c:v>
                </c:pt>
                <c:pt idx="7">
                  <c:v>3.7469357775187E-5</c:v>
                </c:pt>
                <c:pt idx="8">
                  <c:v>0.107672738303711</c:v>
                </c:pt>
                <c:pt idx="9">
                  <c:v>0.0</c:v>
                </c:pt>
                <c:pt idx="10">
                  <c:v>0.0</c:v>
                </c:pt>
                <c:pt idx="11">
                  <c:v>0.00429549099982178</c:v>
                </c:pt>
                <c:pt idx="12">
                  <c:v>0.0</c:v>
                </c:pt>
                <c:pt idx="13">
                  <c:v>0.0502470886293169</c:v>
                </c:pt>
                <c:pt idx="14">
                  <c:v>0.0129340662978095</c:v>
                </c:pt>
                <c:pt idx="15">
                  <c:v>0.0</c:v>
                </c:pt>
                <c:pt idx="16">
                  <c:v>0.137761210119889</c:v>
                </c:pt>
                <c:pt idx="17">
                  <c:v>0.392649599218547</c:v>
                </c:pt>
                <c:pt idx="18">
                  <c:v>0.0</c:v>
                </c:pt>
                <c:pt idx="19">
                  <c:v>0.0</c:v>
                </c:pt>
                <c:pt idx="20">
                  <c:v>0.0</c:v>
                </c:pt>
                <c:pt idx="21">
                  <c:v>0.0</c:v>
                </c:pt>
                <c:pt idx="22">
                  <c:v>0.0</c:v>
                </c:pt>
                <c:pt idx="23">
                  <c:v>0.0</c:v>
                </c:pt>
                <c:pt idx="24">
                  <c:v>0.0</c:v>
                </c:pt>
                <c:pt idx="25">
                  <c:v>0.137761210119889</c:v>
                </c:pt>
                <c:pt idx="26">
                  <c:v>0.0</c:v>
                </c:pt>
                <c:pt idx="27">
                  <c:v>0.0</c:v>
                </c:pt>
              </c:numCache>
            </c:numRef>
          </c:val>
        </c:ser>
        <c:dLbls>
          <c:showLegendKey val="0"/>
          <c:showVal val="0"/>
          <c:showCatName val="0"/>
          <c:showSerName val="0"/>
          <c:showPercent val="0"/>
          <c:showBubbleSize val="0"/>
        </c:dLbls>
        <c:gapWidth val="150"/>
        <c:overlap val="100"/>
        <c:axId val="-2107380136"/>
        <c:axId val="1871885704"/>
      </c:barChart>
      <c:catAx>
        <c:axId val="-2107380136"/>
        <c:scaling>
          <c:orientation val="minMax"/>
        </c:scaling>
        <c:delete val="0"/>
        <c:axPos val="b"/>
        <c:majorTickMark val="out"/>
        <c:minorTickMark val="none"/>
        <c:tickLblPos val="nextTo"/>
        <c:txPr>
          <a:bodyPr rot="-5400000" vert="horz"/>
          <a:lstStyle/>
          <a:p>
            <a:pPr>
              <a:defRPr/>
            </a:pPr>
            <a:endParaRPr lang="en-US"/>
          </a:p>
        </c:txPr>
        <c:crossAx val="1871885704"/>
        <c:crosses val="autoZero"/>
        <c:auto val="1"/>
        <c:lblAlgn val="ctr"/>
        <c:lblOffset val="100"/>
        <c:noMultiLvlLbl val="0"/>
      </c:catAx>
      <c:valAx>
        <c:axId val="1871885704"/>
        <c:scaling>
          <c:orientation val="minMax"/>
        </c:scaling>
        <c:delete val="0"/>
        <c:axPos val="l"/>
        <c:majorGridlines/>
        <c:numFmt formatCode="0" sourceLinked="1"/>
        <c:majorTickMark val="out"/>
        <c:minorTickMark val="none"/>
        <c:tickLblPos val="nextTo"/>
        <c:crossAx val="-2107380136"/>
        <c:crosses val="autoZero"/>
        <c:crossBetween val="between"/>
      </c:valAx>
      <c:spPr>
        <a:noFill/>
      </c:spPr>
    </c:plotArea>
    <c:legend>
      <c:legendPos val="r"/>
      <c:layout>
        <c:manualLayout>
          <c:xMode val="edge"/>
          <c:yMode val="edge"/>
          <c:x val="0.894666500435065"/>
          <c:y val="0.684926618210435"/>
          <c:w val="0.0780613213550014"/>
          <c:h val="0.269931574394299"/>
        </c:manualLayout>
      </c:layout>
      <c:overlay val="0"/>
    </c:legend>
    <c:plotVisOnly val="1"/>
    <c:dispBlanksAs val="gap"/>
    <c:showDLblsOverMax val="0"/>
  </c:chart>
  <c:spPr>
    <a:noFill/>
    <a:ln>
      <a:noFill/>
    </a:ln>
  </c:spPr>
  <c:printSettings>
    <c:headerFooter/>
    <c:pageMargins b="1.0" l="0.75" r="0.75" t="1.0"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0476804919483506"/>
          <c:y val="0.0395136683546733"/>
          <c:w val="0.813528644235303"/>
          <c:h val="0.721337213379314"/>
        </c:manualLayout>
      </c:layout>
      <c:barChart>
        <c:barDir val="col"/>
        <c:grouping val="stacked"/>
        <c:varyColors val="0"/>
        <c:ser>
          <c:idx val="1"/>
          <c:order val="0"/>
          <c:tx>
            <c:strRef>
              <c:f>'x Data_2'!$AK$186</c:f>
              <c:strCache>
                <c:ptCount val="1"/>
                <c:pt idx="0">
                  <c:v>Landfill</c:v>
                </c:pt>
              </c:strCache>
            </c:strRef>
          </c:tx>
          <c:invertIfNegative val="0"/>
          <c:cat>
            <c:strRef>
              <c:f>'x Data_2'!$C$187:$C$214</c:f>
              <c:strCache>
                <c:ptCount val="28"/>
                <c:pt idx="0">
                  <c:v>Atlantis</c:v>
                </c:pt>
                <c:pt idx="1">
                  <c:v>Amman</c:v>
                </c:pt>
                <c:pt idx="2">
                  <c:v>Athens</c:v>
                </c:pt>
                <c:pt idx="3">
                  <c:v>Bogota </c:v>
                </c:pt>
                <c:pt idx="4">
                  <c:v>Boston</c:v>
                </c:pt>
                <c:pt idx="5">
                  <c:v>Buenos Aires </c:v>
                </c:pt>
                <c:pt idx="6">
                  <c:v>Cape Town</c:v>
                </c:pt>
                <c:pt idx="7">
                  <c:v>Chicago</c:v>
                </c:pt>
                <c:pt idx="8">
                  <c:v>Copenhagen</c:v>
                </c:pt>
                <c:pt idx="9">
                  <c:v>District of Columbia</c:v>
                </c:pt>
                <c:pt idx="10">
                  <c:v>Johannesburg</c:v>
                </c:pt>
                <c:pt idx="11">
                  <c:v>London</c:v>
                </c:pt>
                <c:pt idx="12">
                  <c:v>Madrid</c:v>
                </c:pt>
                <c:pt idx="13">
                  <c:v>City of Melbourne</c:v>
                </c:pt>
                <c:pt idx="14">
                  <c:v>Mexico City</c:v>
                </c:pt>
                <c:pt idx="15">
                  <c:v>New York City</c:v>
                </c:pt>
                <c:pt idx="16">
                  <c:v>Stockholm</c:v>
                </c:pt>
                <c:pt idx="17">
                  <c:v>Oslo</c:v>
                </c:pt>
                <c:pt idx="18">
                  <c:v>Paris</c:v>
                </c:pt>
                <c:pt idx="19">
                  <c:v>Philadelphia</c:v>
                </c:pt>
                <c:pt idx="20">
                  <c:v>Portland</c:v>
                </c:pt>
                <c:pt idx="21">
                  <c:v>Quito</c:v>
                </c:pt>
                <c:pt idx="22">
                  <c:v>Rio de Janeiro</c:v>
                </c:pt>
                <c:pt idx="23">
                  <c:v>San Francisco</c:v>
                </c:pt>
                <c:pt idx="24">
                  <c:v>Seattle</c:v>
                </c:pt>
                <c:pt idx="25">
                  <c:v>Stockholm</c:v>
                </c:pt>
                <c:pt idx="26">
                  <c:v>City of Sydney</c:v>
                </c:pt>
                <c:pt idx="27">
                  <c:v>Toronto</c:v>
                </c:pt>
              </c:strCache>
            </c:strRef>
          </c:cat>
          <c:val>
            <c:numRef>
              <c:f>'x Data_2'!$AK$187:$AK$214</c:f>
              <c:numCache>
                <c:formatCode>0</c:formatCode>
                <c:ptCount val="28"/>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numCache>
            </c:numRef>
          </c:val>
        </c:ser>
        <c:ser>
          <c:idx val="2"/>
          <c:order val="1"/>
          <c:tx>
            <c:strRef>
              <c:f>'x Data_2'!$AL$186</c:f>
              <c:strCache>
                <c:ptCount val="1"/>
                <c:pt idx="0">
                  <c:v>Biological</c:v>
                </c:pt>
              </c:strCache>
            </c:strRef>
          </c:tx>
          <c:invertIfNegative val="0"/>
          <c:cat>
            <c:strRef>
              <c:f>'x Data_2'!$C$187:$C$214</c:f>
              <c:strCache>
                <c:ptCount val="28"/>
                <c:pt idx="0">
                  <c:v>Atlantis</c:v>
                </c:pt>
                <c:pt idx="1">
                  <c:v>Amman</c:v>
                </c:pt>
                <c:pt idx="2">
                  <c:v>Athens</c:v>
                </c:pt>
                <c:pt idx="3">
                  <c:v>Bogota </c:v>
                </c:pt>
                <c:pt idx="4">
                  <c:v>Boston</c:v>
                </c:pt>
                <c:pt idx="5">
                  <c:v>Buenos Aires </c:v>
                </c:pt>
                <c:pt idx="6">
                  <c:v>Cape Town</c:v>
                </c:pt>
                <c:pt idx="7">
                  <c:v>Chicago</c:v>
                </c:pt>
                <c:pt idx="8">
                  <c:v>Copenhagen</c:v>
                </c:pt>
                <c:pt idx="9">
                  <c:v>District of Columbia</c:v>
                </c:pt>
                <c:pt idx="10">
                  <c:v>Johannesburg</c:v>
                </c:pt>
                <c:pt idx="11">
                  <c:v>London</c:v>
                </c:pt>
                <c:pt idx="12">
                  <c:v>Madrid</c:v>
                </c:pt>
                <c:pt idx="13">
                  <c:v>City of Melbourne</c:v>
                </c:pt>
                <c:pt idx="14">
                  <c:v>Mexico City</c:v>
                </c:pt>
                <c:pt idx="15">
                  <c:v>New York City</c:v>
                </c:pt>
                <c:pt idx="16">
                  <c:v>Stockholm</c:v>
                </c:pt>
                <c:pt idx="17">
                  <c:v>Oslo</c:v>
                </c:pt>
                <c:pt idx="18">
                  <c:v>Paris</c:v>
                </c:pt>
                <c:pt idx="19">
                  <c:v>Philadelphia</c:v>
                </c:pt>
                <c:pt idx="20">
                  <c:v>Portland</c:v>
                </c:pt>
                <c:pt idx="21">
                  <c:v>Quito</c:v>
                </c:pt>
                <c:pt idx="22">
                  <c:v>Rio de Janeiro</c:v>
                </c:pt>
                <c:pt idx="23">
                  <c:v>San Francisco</c:v>
                </c:pt>
                <c:pt idx="24">
                  <c:v>Seattle</c:v>
                </c:pt>
                <c:pt idx="25">
                  <c:v>Stockholm</c:v>
                </c:pt>
                <c:pt idx="26">
                  <c:v>City of Sydney</c:v>
                </c:pt>
                <c:pt idx="27">
                  <c:v>Toronto</c:v>
                </c:pt>
              </c:strCache>
            </c:strRef>
          </c:cat>
          <c:val>
            <c:numRef>
              <c:f>'x Data_2'!$AL$187:$AL$214</c:f>
              <c:numCache>
                <c:formatCode>0</c:formatCode>
                <c:ptCount val="28"/>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numCache>
            </c:numRef>
          </c:val>
        </c:ser>
        <c:ser>
          <c:idx val="3"/>
          <c:order val="2"/>
          <c:tx>
            <c:strRef>
              <c:f>'x Data_2'!$AM$186</c:f>
              <c:strCache>
                <c:ptCount val="1"/>
                <c:pt idx="0">
                  <c:v>Incineration</c:v>
                </c:pt>
              </c:strCache>
            </c:strRef>
          </c:tx>
          <c:invertIfNegative val="0"/>
          <c:cat>
            <c:strRef>
              <c:f>'x Data_2'!$C$187:$C$214</c:f>
              <c:strCache>
                <c:ptCount val="28"/>
                <c:pt idx="0">
                  <c:v>Atlantis</c:v>
                </c:pt>
                <c:pt idx="1">
                  <c:v>Amman</c:v>
                </c:pt>
                <c:pt idx="2">
                  <c:v>Athens</c:v>
                </c:pt>
                <c:pt idx="3">
                  <c:v>Bogota </c:v>
                </c:pt>
                <c:pt idx="4">
                  <c:v>Boston</c:v>
                </c:pt>
                <c:pt idx="5">
                  <c:v>Buenos Aires </c:v>
                </c:pt>
                <c:pt idx="6">
                  <c:v>Cape Town</c:v>
                </c:pt>
                <c:pt idx="7">
                  <c:v>Chicago</c:v>
                </c:pt>
                <c:pt idx="8">
                  <c:v>Copenhagen</c:v>
                </c:pt>
                <c:pt idx="9">
                  <c:v>District of Columbia</c:v>
                </c:pt>
                <c:pt idx="10">
                  <c:v>Johannesburg</c:v>
                </c:pt>
                <c:pt idx="11">
                  <c:v>London</c:v>
                </c:pt>
                <c:pt idx="12">
                  <c:v>Madrid</c:v>
                </c:pt>
                <c:pt idx="13">
                  <c:v>City of Melbourne</c:v>
                </c:pt>
                <c:pt idx="14">
                  <c:v>Mexico City</c:v>
                </c:pt>
                <c:pt idx="15">
                  <c:v>New York City</c:v>
                </c:pt>
                <c:pt idx="16">
                  <c:v>Stockholm</c:v>
                </c:pt>
                <c:pt idx="17">
                  <c:v>Oslo</c:v>
                </c:pt>
                <c:pt idx="18">
                  <c:v>Paris</c:v>
                </c:pt>
                <c:pt idx="19">
                  <c:v>Philadelphia</c:v>
                </c:pt>
                <c:pt idx="20">
                  <c:v>Portland</c:v>
                </c:pt>
                <c:pt idx="21">
                  <c:v>Quito</c:v>
                </c:pt>
                <c:pt idx="22">
                  <c:v>Rio de Janeiro</c:v>
                </c:pt>
                <c:pt idx="23">
                  <c:v>San Francisco</c:v>
                </c:pt>
                <c:pt idx="24">
                  <c:v>Seattle</c:v>
                </c:pt>
                <c:pt idx="25">
                  <c:v>Stockholm</c:v>
                </c:pt>
                <c:pt idx="26">
                  <c:v>City of Sydney</c:v>
                </c:pt>
                <c:pt idx="27">
                  <c:v>Toronto</c:v>
                </c:pt>
              </c:strCache>
            </c:strRef>
          </c:cat>
          <c:val>
            <c:numRef>
              <c:f>'x Data_2'!$AM$187:$AM$214</c:f>
              <c:numCache>
                <c:formatCode>0</c:formatCode>
                <c:ptCount val="28"/>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numCache>
            </c:numRef>
          </c:val>
        </c:ser>
        <c:ser>
          <c:idx val="0"/>
          <c:order val="3"/>
          <c:tx>
            <c:strRef>
              <c:f>'x Data_2'!$AN$186</c:f>
              <c:strCache>
                <c:ptCount val="1"/>
                <c:pt idx="0">
                  <c:v>Wastewater</c:v>
                </c:pt>
              </c:strCache>
            </c:strRef>
          </c:tx>
          <c:invertIfNegative val="0"/>
          <c:cat>
            <c:strRef>
              <c:f>'x Data_2'!$C$187:$C$214</c:f>
              <c:strCache>
                <c:ptCount val="28"/>
                <c:pt idx="0">
                  <c:v>Atlantis</c:v>
                </c:pt>
                <c:pt idx="1">
                  <c:v>Amman</c:v>
                </c:pt>
                <c:pt idx="2">
                  <c:v>Athens</c:v>
                </c:pt>
                <c:pt idx="3">
                  <c:v>Bogota </c:v>
                </c:pt>
                <c:pt idx="4">
                  <c:v>Boston</c:v>
                </c:pt>
                <c:pt idx="5">
                  <c:v>Buenos Aires </c:v>
                </c:pt>
                <c:pt idx="6">
                  <c:v>Cape Town</c:v>
                </c:pt>
                <c:pt idx="7">
                  <c:v>Chicago</c:v>
                </c:pt>
                <c:pt idx="8">
                  <c:v>Copenhagen</c:v>
                </c:pt>
                <c:pt idx="9">
                  <c:v>District of Columbia</c:v>
                </c:pt>
                <c:pt idx="10">
                  <c:v>Johannesburg</c:v>
                </c:pt>
                <c:pt idx="11">
                  <c:v>London</c:v>
                </c:pt>
                <c:pt idx="12">
                  <c:v>Madrid</c:v>
                </c:pt>
                <c:pt idx="13">
                  <c:v>City of Melbourne</c:v>
                </c:pt>
                <c:pt idx="14">
                  <c:v>Mexico City</c:v>
                </c:pt>
                <c:pt idx="15">
                  <c:v>New York City</c:v>
                </c:pt>
                <c:pt idx="16">
                  <c:v>Stockholm</c:v>
                </c:pt>
                <c:pt idx="17">
                  <c:v>Oslo</c:v>
                </c:pt>
                <c:pt idx="18">
                  <c:v>Paris</c:v>
                </c:pt>
                <c:pt idx="19">
                  <c:v>Philadelphia</c:v>
                </c:pt>
                <c:pt idx="20">
                  <c:v>Portland</c:v>
                </c:pt>
                <c:pt idx="21">
                  <c:v>Quito</c:v>
                </c:pt>
                <c:pt idx="22">
                  <c:v>Rio de Janeiro</c:v>
                </c:pt>
                <c:pt idx="23">
                  <c:v>San Francisco</c:v>
                </c:pt>
                <c:pt idx="24">
                  <c:v>Seattle</c:v>
                </c:pt>
                <c:pt idx="25">
                  <c:v>Stockholm</c:v>
                </c:pt>
                <c:pt idx="26">
                  <c:v>City of Sydney</c:v>
                </c:pt>
                <c:pt idx="27">
                  <c:v>Toronto</c:v>
                </c:pt>
              </c:strCache>
            </c:strRef>
          </c:cat>
          <c:val>
            <c:numRef>
              <c:f>'x Data_2'!$AN$187:$AN$214</c:f>
              <c:numCache>
                <c:formatCode>0</c:formatCode>
                <c:ptCount val="28"/>
                <c:pt idx="0">
                  <c:v>0.0333333333333333</c:v>
                </c:pt>
                <c:pt idx="1">
                  <c:v>0.0720561294117647</c:v>
                </c:pt>
                <c:pt idx="2">
                  <c:v>0.0351506088040738</c:v>
                </c:pt>
                <c:pt idx="3">
                  <c:v>0.116806320638583</c:v>
                </c:pt>
                <c:pt idx="4">
                  <c:v>0.0265560667749629</c:v>
                </c:pt>
                <c:pt idx="5">
                  <c:v>0.0450059047886361</c:v>
                </c:pt>
                <c:pt idx="6">
                  <c:v>0.0358827585452078</c:v>
                </c:pt>
                <c:pt idx="7">
                  <c:v>0.00130421083586695</c:v>
                </c:pt>
                <c:pt idx="8">
                  <c:v>0.0285909297740027</c:v>
                </c:pt>
                <c:pt idx="9">
                  <c:v>0.00925292083485523</c:v>
                </c:pt>
                <c:pt idx="10">
                  <c:v>0.0227372988212556</c:v>
                </c:pt>
                <c:pt idx="11">
                  <c:v>0.000787712160051072</c:v>
                </c:pt>
                <c:pt idx="12">
                  <c:v>0.0278806067159069</c:v>
                </c:pt>
                <c:pt idx="13">
                  <c:v>0.0248902783622918</c:v>
                </c:pt>
                <c:pt idx="14">
                  <c:v>0.0751932941006621</c:v>
                </c:pt>
                <c:pt idx="15">
                  <c:v>0.0255983027417006</c:v>
                </c:pt>
                <c:pt idx="16">
                  <c:v>0.0088096113862931</c:v>
                </c:pt>
                <c:pt idx="17">
                  <c:v>0.046476891369081</c:v>
                </c:pt>
                <c:pt idx="18">
                  <c:v>0.000312362334801762</c:v>
                </c:pt>
                <c:pt idx="19">
                  <c:v>0.0193699046334115</c:v>
                </c:pt>
                <c:pt idx="20">
                  <c:v>0.0228693376493699</c:v>
                </c:pt>
                <c:pt idx="21">
                  <c:v>0.0</c:v>
                </c:pt>
                <c:pt idx="22">
                  <c:v>0.0976882582793582</c:v>
                </c:pt>
                <c:pt idx="23">
                  <c:v>0.0112699645117188</c:v>
                </c:pt>
                <c:pt idx="24">
                  <c:v>0.00298429132798518</c:v>
                </c:pt>
                <c:pt idx="25">
                  <c:v>0.0088096113862931</c:v>
                </c:pt>
                <c:pt idx="26">
                  <c:v>0.024886576</c:v>
                </c:pt>
                <c:pt idx="27">
                  <c:v>0.00950278979600617</c:v>
                </c:pt>
              </c:numCache>
            </c:numRef>
          </c:val>
        </c:ser>
        <c:dLbls>
          <c:showLegendKey val="0"/>
          <c:showVal val="0"/>
          <c:showCatName val="0"/>
          <c:showSerName val="0"/>
          <c:showPercent val="0"/>
          <c:showBubbleSize val="0"/>
        </c:dLbls>
        <c:gapWidth val="150"/>
        <c:overlap val="100"/>
        <c:axId val="1735902712"/>
        <c:axId val="1256881528"/>
      </c:barChart>
      <c:catAx>
        <c:axId val="1735902712"/>
        <c:scaling>
          <c:orientation val="minMax"/>
        </c:scaling>
        <c:delete val="0"/>
        <c:axPos val="b"/>
        <c:majorTickMark val="out"/>
        <c:minorTickMark val="none"/>
        <c:tickLblPos val="nextTo"/>
        <c:txPr>
          <a:bodyPr rot="-5400000" vert="horz"/>
          <a:lstStyle/>
          <a:p>
            <a:pPr>
              <a:defRPr/>
            </a:pPr>
            <a:endParaRPr lang="en-US"/>
          </a:p>
        </c:txPr>
        <c:crossAx val="1256881528"/>
        <c:crosses val="autoZero"/>
        <c:auto val="1"/>
        <c:lblAlgn val="ctr"/>
        <c:lblOffset val="100"/>
        <c:noMultiLvlLbl val="0"/>
      </c:catAx>
      <c:valAx>
        <c:axId val="1256881528"/>
        <c:scaling>
          <c:orientation val="minMax"/>
        </c:scaling>
        <c:delete val="0"/>
        <c:axPos val="l"/>
        <c:majorGridlines/>
        <c:numFmt formatCode="0" sourceLinked="1"/>
        <c:majorTickMark val="out"/>
        <c:minorTickMark val="none"/>
        <c:tickLblPos val="nextTo"/>
        <c:crossAx val="1735902712"/>
        <c:crosses val="autoZero"/>
        <c:crossBetween val="between"/>
      </c:valAx>
      <c:spPr>
        <a:noFill/>
      </c:spPr>
    </c:plotArea>
    <c:legend>
      <c:legendPos val="r"/>
      <c:layout>
        <c:manualLayout>
          <c:xMode val="edge"/>
          <c:yMode val="edge"/>
          <c:x val="0.907140227241898"/>
          <c:y val="0.706256811075516"/>
          <c:w val="0.0666087684543899"/>
          <c:h val="0.244169101268674"/>
        </c:manualLayout>
      </c:layout>
      <c:overlay val="0"/>
    </c:legend>
    <c:plotVisOnly val="1"/>
    <c:dispBlanksAs val="gap"/>
    <c:showDLblsOverMax val="0"/>
  </c:chart>
  <c:spPr>
    <a:noFill/>
    <a:ln>
      <a:noFill/>
    </a:ln>
  </c:spPr>
  <c:printSettings>
    <c:headerFooter/>
    <c:pageMargins b="1.0" l="0.75" r="0.75" t="1.0"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pieChart>
        <c:varyColors val="1"/>
        <c:ser>
          <c:idx val="0"/>
          <c:order val="0"/>
          <c:tx>
            <c:strRef>
              <c:f>Overview_2!$R$70</c:f>
              <c:strCache>
                <c:ptCount val="1"/>
              </c:strCache>
            </c:strRef>
          </c:tx>
          <c:spPr>
            <a:effectLst/>
          </c:spPr>
          <c:dPt>
            <c:idx val="0"/>
            <c:bubble3D val="0"/>
            <c:spPr>
              <a:solidFill>
                <a:schemeClr val="accent1"/>
              </a:solidFill>
              <a:effectLst/>
            </c:spPr>
          </c:dPt>
          <c:cat>
            <c:multiLvlStrRef>
              <c:f>Overview_2!$O$71:$O$76</c:f>
            </c:multiLvlStrRef>
          </c:cat>
          <c:val>
            <c:numRef>
              <c:f>Overview_2!$R$71:$R$76</c:f>
            </c:numRef>
          </c:val>
        </c:ser>
        <c:dLbls>
          <c:showLegendKey val="0"/>
          <c:showVal val="0"/>
          <c:showCatName val="0"/>
          <c:showSerName val="0"/>
          <c:showPercent val="0"/>
          <c:showBubbleSize val="0"/>
          <c:showLeaderLines val="1"/>
        </c:dLbls>
        <c:firstSliceAng val="0"/>
      </c:pieChart>
    </c:plotArea>
    <c:plotVisOnly val="1"/>
    <c:dispBlanksAs val="gap"/>
    <c:showDLblsOverMax val="0"/>
  </c:chart>
  <c:spPr>
    <a:noFill/>
    <a:ln>
      <a:noFill/>
    </a:ln>
  </c:spPr>
  <c:printSettings>
    <c:headerFooter/>
    <c:pageMargins b="1.0" l="0.75" r="0.75" t="1.0" header="0.5" footer="0.5"/>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4" Type="http://schemas.openxmlformats.org/officeDocument/2006/relationships/image" Target="../media/image3.png"/><Relationship Id="rId5" Type="http://schemas.openxmlformats.org/officeDocument/2006/relationships/image" Target="../media/image4.png"/><Relationship Id="rId1" Type="http://schemas.openxmlformats.org/officeDocument/2006/relationships/image" Target="../media/image1.png"/><Relationship Id="rId2" Type="http://schemas.openxmlformats.org/officeDocument/2006/relationships/hyperlink" Target="#Home!A1"/></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 Id="rId2"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 Id="rId2"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1" Type="http://schemas.openxmlformats.org/officeDocument/2006/relationships/image" Target="../media/image3.png"/><Relationship Id="rId2"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3.png"/><Relationship Id="rId2" Type="http://schemas.openxmlformats.org/officeDocument/2006/relationships/image" Target="../media/image8.png"/></Relationships>
</file>

<file path=xl/drawings/_rels/drawing10.xml.rels><?xml version="1.0" encoding="UTF-8" standalone="yes"?>
<Relationships xmlns="http://schemas.openxmlformats.org/package/2006/relationships"><Relationship Id="rId1" Type="http://schemas.openxmlformats.org/officeDocument/2006/relationships/image" Target="../media/image3.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3.png"/></Relationships>
</file>

<file path=xl/drawings/_rels/drawing13.xml.rels><?xml version="1.0" encoding="UTF-8" standalone="yes"?>
<Relationships xmlns="http://schemas.openxmlformats.org/package/2006/relationships"><Relationship Id="rId1" Type="http://schemas.openxmlformats.org/officeDocument/2006/relationships/image" Target="../media/image3.png"/><Relationship Id="rId2" Type="http://schemas.openxmlformats.org/officeDocument/2006/relationships/image" Target="../media/image7.png"/></Relationships>
</file>

<file path=xl/drawings/_rels/drawing14.xml.rels><?xml version="1.0" encoding="UTF-8" standalone="yes"?>
<Relationships xmlns="http://schemas.openxmlformats.org/package/2006/relationships"><Relationship Id="rId1" Type="http://schemas.openxmlformats.org/officeDocument/2006/relationships/image" Target="../media/image3.png"/></Relationships>
</file>

<file path=xl/drawings/_rels/drawing15.xml.rels><?xml version="1.0" encoding="UTF-8" standalone="yes"?>
<Relationships xmlns="http://schemas.openxmlformats.org/package/2006/relationships"><Relationship Id="rId11" Type="http://schemas.openxmlformats.org/officeDocument/2006/relationships/hyperlink" Target="#'VI - Other scope 3'!A1"/><Relationship Id="rId12" Type="http://schemas.openxmlformats.org/officeDocument/2006/relationships/image" Target="../media/image14.png"/><Relationship Id="rId13" Type="http://schemas.openxmlformats.org/officeDocument/2006/relationships/image" Target="../media/image3.png"/><Relationship Id="rId1" Type="http://schemas.openxmlformats.org/officeDocument/2006/relationships/hyperlink" Target="#'V - AFOLU'!A1"/><Relationship Id="rId2" Type="http://schemas.openxmlformats.org/officeDocument/2006/relationships/image" Target="../media/image9.png"/><Relationship Id="rId3" Type="http://schemas.openxmlformats.org/officeDocument/2006/relationships/hyperlink" Target="#'IV - IPPU'!A1"/><Relationship Id="rId4" Type="http://schemas.openxmlformats.org/officeDocument/2006/relationships/image" Target="../media/image10.png"/><Relationship Id="rId5" Type="http://schemas.openxmlformats.org/officeDocument/2006/relationships/hyperlink" Target="#'I - Stationary'!A1"/><Relationship Id="rId6" Type="http://schemas.openxmlformats.org/officeDocument/2006/relationships/image" Target="../media/image11.png"/><Relationship Id="rId7" Type="http://schemas.openxmlformats.org/officeDocument/2006/relationships/hyperlink" Target="#'III - Waste'!A1"/><Relationship Id="rId8" Type="http://schemas.openxmlformats.org/officeDocument/2006/relationships/image" Target="../media/image12.png"/><Relationship Id="rId9" Type="http://schemas.openxmlformats.org/officeDocument/2006/relationships/hyperlink" Target="#'II - Transport'!A1"/><Relationship Id="rId10" Type="http://schemas.openxmlformats.org/officeDocument/2006/relationships/image" Target="../media/image13.png"/></Relationships>
</file>

<file path=xl/drawings/_rels/drawing16.xml.rels><?xml version="1.0" encoding="UTF-8" standalone="yes"?>
<Relationships xmlns="http://schemas.openxmlformats.org/package/2006/relationships"><Relationship Id="rId1" Type="http://schemas.openxmlformats.org/officeDocument/2006/relationships/image" Target="../media/image6.png"/><Relationship Id="rId2" Type="http://schemas.openxmlformats.org/officeDocument/2006/relationships/image" Target="../media/image3.png"/></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 Id="rId2" Type="http://schemas.openxmlformats.org/officeDocument/2006/relationships/image" Target="../media/image3.png"/></Relationships>
</file>

<file path=xl/drawings/_rels/drawing18.xml.rels><?xml version="1.0" encoding="UTF-8" standalone="yes"?>
<Relationships xmlns="http://schemas.openxmlformats.org/package/2006/relationships"><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3.png"/></Relationships>
</file>

<file path=xl/drawings/_rels/drawing20.xml.rels><?xml version="1.0" encoding="UTF-8" standalone="yes"?>
<Relationships xmlns="http://schemas.openxmlformats.org/package/2006/relationships"><Relationship Id="rId1" Type="http://schemas.openxmlformats.org/officeDocument/2006/relationships/image" Target="../media/image3.png"/></Relationships>
</file>

<file path=xl/drawings/_rels/drawing21.xml.rels><?xml version="1.0" encoding="UTF-8" standalone="yes"?>
<Relationships xmlns="http://schemas.openxmlformats.org/package/2006/relationships"><Relationship Id="rId1" Type="http://schemas.openxmlformats.org/officeDocument/2006/relationships/image" Target="../media/image6.png"/><Relationship Id="rId2" Type="http://schemas.openxmlformats.org/officeDocument/2006/relationships/image" Target="../media/image3.png"/></Relationships>
</file>

<file path=xl/drawings/_rels/drawing22.xml.rels><?xml version="1.0" encoding="UTF-8" standalone="yes"?>
<Relationships xmlns="http://schemas.openxmlformats.org/package/2006/relationships"><Relationship Id="rId1" Type="http://schemas.openxmlformats.org/officeDocument/2006/relationships/image" Target="../media/image3.png"/></Relationships>
</file>

<file path=xl/drawings/_rels/drawing23.xml.rels><?xml version="1.0" encoding="UTF-8" standalone="yes"?>
<Relationships xmlns="http://schemas.openxmlformats.org/package/2006/relationships"><Relationship Id="rId3" Type="http://schemas.openxmlformats.org/officeDocument/2006/relationships/image" Target="../media/image11.png"/><Relationship Id="rId4" Type="http://schemas.openxmlformats.org/officeDocument/2006/relationships/image" Target="../media/image9.png"/><Relationship Id="rId5" Type="http://schemas.openxmlformats.org/officeDocument/2006/relationships/image" Target="../media/image10.png"/><Relationship Id="rId6" Type="http://schemas.openxmlformats.org/officeDocument/2006/relationships/image" Target="../media/image12.png"/><Relationship Id="rId7" Type="http://schemas.openxmlformats.org/officeDocument/2006/relationships/image" Target="../media/image13.png"/><Relationship Id="rId8" Type="http://schemas.openxmlformats.org/officeDocument/2006/relationships/image" Target="../media/image14.png"/><Relationship Id="rId9" Type="http://schemas.openxmlformats.org/officeDocument/2006/relationships/chart" Target="../charts/chart3.xml"/><Relationship Id="rId10" Type="http://schemas.openxmlformats.org/officeDocument/2006/relationships/image" Target="../media/image15.png"/><Relationship Id="rId11" Type="http://schemas.openxmlformats.org/officeDocument/2006/relationships/image" Target="../media/image3.png"/><Relationship Id="rId1" Type="http://schemas.openxmlformats.org/officeDocument/2006/relationships/chart" Target="../charts/chart1.xml"/><Relationship Id="rId2" Type="http://schemas.openxmlformats.org/officeDocument/2006/relationships/chart" Target="../charts/chart2.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6.xml"/><Relationship Id="rId4" Type="http://schemas.openxmlformats.org/officeDocument/2006/relationships/chart" Target="../charts/chart7.xml"/><Relationship Id="rId5" Type="http://schemas.openxmlformats.org/officeDocument/2006/relationships/chart" Target="../charts/chart8.xml"/><Relationship Id="rId6" Type="http://schemas.openxmlformats.org/officeDocument/2006/relationships/chart" Target="../charts/chart9.xml"/><Relationship Id="rId7" Type="http://schemas.openxmlformats.org/officeDocument/2006/relationships/image" Target="../media/image3.png"/><Relationship Id="rId8" Type="http://schemas.openxmlformats.org/officeDocument/2006/relationships/chart" Target="../charts/chart10.xml"/><Relationship Id="rId1" Type="http://schemas.openxmlformats.org/officeDocument/2006/relationships/chart" Target="../charts/chart4.xml"/><Relationship Id="rId2" Type="http://schemas.openxmlformats.org/officeDocument/2006/relationships/chart" Target="../charts/chart5.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3.xml"/><Relationship Id="rId4" Type="http://schemas.openxmlformats.org/officeDocument/2006/relationships/chart" Target="../charts/chart14.xml"/><Relationship Id="rId5" Type="http://schemas.openxmlformats.org/officeDocument/2006/relationships/chart" Target="../charts/chart15.xml"/><Relationship Id="rId6" Type="http://schemas.openxmlformats.org/officeDocument/2006/relationships/chart" Target="../charts/chart16.xml"/><Relationship Id="rId7" Type="http://schemas.openxmlformats.org/officeDocument/2006/relationships/image" Target="../media/image3.png"/><Relationship Id="rId1" Type="http://schemas.openxmlformats.org/officeDocument/2006/relationships/chart" Target="../charts/chart11.xml"/><Relationship Id="rId2" Type="http://schemas.openxmlformats.org/officeDocument/2006/relationships/chart" Target="../charts/chart12.xml"/></Relationships>
</file>

<file path=xl/drawings/_rels/drawing26.xml.rels><?xml version="1.0" encoding="UTF-8" standalone="yes"?>
<Relationships xmlns="http://schemas.openxmlformats.org/package/2006/relationships"><Relationship Id="rId1" Type="http://schemas.openxmlformats.org/officeDocument/2006/relationships/image" Target="../media/image6.png"/></Relationships>
</file>

<file path=xl/drawings/_rels/drawing27.xml.rels><?xml version="1.0" encoding="UTF-8" standalone="yes"?>
<Relationships xmlns="http://schemas.openxmlformats.org/package/2006/relationships"><Relationship Id="rId1" Type="http://schemas.openxmlformats.org/officeDocument/2006/relationships/image" Target="../media/image3.png"/><Relationship Id="rId2" Type="http://schemas.openxmlformats.org/officeDocument/2006/relationships/image" Target="../media/image7.png"/></Relationships>
</file>

<file path=xl/drawings/_rels/drawing28.xml.rels><?xml version="1.0" encoding="UTF-8" standalone="yes"?>
<Relationships xmlns="http://schemas.openxmlformats.org/package/2006/relationships"><Relationship Id="rId1" Type="http://schemas.openxmlformats.org/officeDocument/2006/relationships/image" Target="../media/image3.png"/></Relationships>
</file>

<file path=xl/drawings/_rels/drawing29.xml.rels><?xml version="1.0" encoding="UTF-8" standalone="yes"?>
<Relationships xmlns="http://schemas.openxmlformats.org/package/2006/relationships"><Relationship Id="rId1" Type="http://schemas.openxmlformats.org/officeDocument/2006/relationships/image" Target="../media/image3.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6.png"/><Relationship Id="rId2" Type="http://schemas.openxmlformats.org/officeDocument/2006/relationships/image" Target="../media/image3.png"/><Relationship Id="rId3" Type="http://schemas.openxmlformats.org/officeDocument/2006/relationships/image" Target="../media/image7.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drawing3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3.xml.rels><?xml version="1.0" encoding="UTF-8" standalone="yes"?>
<Relationships xmlns="http://schemas.openxmlformats.org/package/2006/relationships"><Relationship Id="rId1" Type="http://schemas.openxmlformats.org/officeDocument/2006/relationships/image" Target="../media/image3.png"/></Relationships>
</file>

<file path=xl/drawings/_rels/drawing34.xml.rels><?xml version="1.0" encoding="UTF-8" standalone="yes"?>
<Relationships xmlns="http://schemas.openxmlformats.org/package/2006/relationships"><Relationship Id="rId1" Type="http://schemas.openxmlformats.org/officeDocument/2006/relationships/image" Target="../media/image3.png"/></Relationships>
</file>

<file path=xl/drawings/_rels/drawing35.xml.rels><?xml version="1.0" encoding="UTF-8" standalone="yes"?>
<Relationships xmlns="http://schemas.openxmlformats.org/package/2006/relationships"><Relationship Id="rId1" Type="http://schemas.openxmlformats.org/officeDocument/2006/relationships/image" Target="../media/image3.png"/></Relationships>
</file>

<file path=xl/drawings/_rels/drawing36.xml.rels><?xml version="1.0" encoding="UTF-8" standalone="yes"?>
<Relationships xmlns="http://schemas.openxmlformats.org/package/2006/relationships"><Relationship Id="rId1" Type="http://schemas.openxmlformats.org/officeDocument/2006/relationships/image" Target="../media/image3.png"/><Relationship Id="rId2" Type="http://schemas.openxmlformats.org/officeDocument/2006/relationships/chart" Target="../charts/chart17.xml"/><Relationship Id="rId3" Type="http://schemas.openxmlformats.org/officeDocument/2006/relationships/image" Target="../media/image7.png"/></Relationships>
</file>

<file path=xl/drawings/_rels/drawing37.xml.rels><?xml version="1.0" encoding="UTF-8" standalone="yes"?>
<Relationships xmlns="http://schemas.openxmlformats.org/package/2006/relationships"><Relationship Id="rId3" Type="http://schemas.openxmlformats.org/officeDocument/2006/relationships/chart" Target="../charts/chart20.xml"/><Relationship Id="rId4" Type="http://schemas.openxmlformats.org/officeDocument/2006/relationships/chart" Target="../charts/chart21.xml"/><Relationship Id="rId5" Type="http://schemas.openxmlformats.org/officeDocument/2006/relationships/image" Target="../media/image3.png"/><Relationship Id="rId6" Type="http://schemas.openxmlformats.org/officeDocument/2006/relationships/image" Target="../media/image7.png"/><Relationship Id="rId1" Type="http://schemas.openxmlformats.org/officeDocument/2006/relationships/chart" Target="../charts/chart18.xml"/><Relationship Id="rId2" Type="http://schemas.openxmlformats.org/officeDocument/2006/relationships/chart" Target="../charts/chart1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3.png"/></Relationships>
</file>

<file path=xl/drawings/_rels/drawing39.xml.rels><?xml version="1.0" encoding="UTF-8" standalone="yes"?>
<Relationships xmlns="http://schemas.openxmlformats.org/package/2006/relationships"><Relationship Id="rId1" Type="http://schemas.openxmlformats.org/officeDocument/2006/relationships/chart" Target="../charts/chart22.xml"/><Relationship Id="rId2" Type="http://schemas.openxmlformats.org/officeDocument/2006/relationships/image" Target="../media/image3.png"/></Relationships>
</file>

<file path=xl/drawings/_rels/drawing40.xml.rels><?xml version="1.0" encoding="UTF-8" standalone="yes"?>
<Relationships xmlns="http://schemas.openxmlformats.org/package/2006/relationships"><Relationship Id="rId1" Type="http://schemas.openxmlformats.org/officeDocument/2006/relationships/image" Target="../media/image3.png"/><Relationship Id="rId2" Type="http://schemas.openxmlformats.org/officeDocument/2006/relationships/image" Target="../media/image7.png"/></Relationships>
</file>

<file path=xl/drawings/_rels/drawing41.xml.rels><?xml version="1.0" encoding="UTF-8" standalone="yes"?>
<Relationships xmlns="http://schemas.openxmlformats.org/package/2006/relationships"><Relationship Id="rId1" Type="http://schemas.openxmlformats.org/officeDocument/2006/relationships/image" Target="../media/image3.png"/></Relationships>
</file>

<file path=xl/drawings/_rels/drawing42.xml.rels><?xml version="1.0" encoding="UTF-8" standalone="yes"?>
<Relationships xmlns="http://schemas.openxmlformats.org/package/2006/relationships"><Relationship Id="rId1" Type="http://schemas.openxmlformats.org/officeDocument/2006/relationships/image" Target="../media/image3.png"/></Relationships>
</file>

<file path=xl/drawings/_rels/drawing4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4.xml.rels><?xml version="1.0" encoding="UTF-8" standalone="yes"?>
<Relationships xmlns="http://schemas.openxmlformats.org/package/2006/relationships"><Relationship Id="rId1" Type="http://schemas.openxmlformats.org/officeDocument/2006/relationships/image" Target="../media/image3.png"/></Relationships>
</file>

<file path=xl/drawings/_rels/drawing45.xml.rels><?xml version="1.0" encoding="UTF-8" standalone="yes"?>
<Relationships xmlns="http://schemas.openxmlformats.org/package/2006/relationships"><Relationship Id="rId1" Type="http://schemas.openxmlformats.org/officeDocument/2006/relationships/image" Target="../media/image3.png"/></Relationships>
</file>

<file path=xl/drawings/_rels/drawing46.xml.rels><?xml version="1.0" encoding="UTF-8" standalone="yes"?>
<Relationships xmlns="http://schemas.openxmlformats.org/package/2006/relationships"><Relationship Id="rId1" Type="http://schemas.openxmlformats.org/officeDocument/2006/relationships/image" Target="../media/image3.png"/></Relationships>
</file>

<file path=xl/drawings/_rels/drawing47.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7</xdr:col>
      <xdr:colOff>63500</xdr:colOff>
      <xdr:row>15</xdr:row>
      <xdr:rowOff>43060</xdr:rowOff>
    </xdr:from>
    <xdr:to>
      <xdr:col>11</xdr:col>
      <xdr:colOff>901700</xdr:colOff>
      <xdr:row>22</xdr:row>
      <xdr:rowOff>50799</xdr:rowOff>
    </xdr:to>
    <xdr:pic>
      <xdr:nvPicPr>
        <xdr:cNvPr id="8" name="Picture 7"/>
        <xdr:cNvPicPr>
          <a:picLocks noChangeAspect="1"/>
        </xdr:cNvPicPr>
      </xdr:nvPicPr>
      <xdr:blipFill rotWithShape="1">
        <a:blip xmlns:r="http://schemas.openxmlformats.org/officeDocument/2006/relationships" r:embed="rId1"/>
        <a:srcRect l="18036" t="31139" r="28196" b="35190"/>
        <a:stretch/>
      </xdr:blipFill>
      <xdr:spPr>
        <a:xfrm>
          <a:off x="6299200" y="3383160"/>
          <a:ext cx="4749800" cy="1341239"/>
        </a:xfrm>
        <a:prstGeom prst="rect">
          <a:avLst/>
        </a:prstGeom>
      </xdr:spPr>
    </xdr:pic>
    <xdr:clientData/>
  </xdr:twoCellAnchor>
  <xdr:twoCellAnchor editAs="oneCell">
    <xdr:from>
      <xdr:col>1</xdr:col>
      <xdr:colOff>253305</xdr:colOff>
      <xdr:row>4</xdr:row>
      <xdr:rowOff>63500</xdr:rowOff>
    </xdr:from>
    <xdr:to>
      <xdr:col>14</xdr:col>
      <xdr:colOff>788796</xdr:colOff>
      <xdr:row>34</xdr:row>
      <xdr:rowOff>177800</xdr:rowOff>
    </xdr:to>
    <xdr:pic>
      <xdr:nvPicPr>
        <xdr:cNvPr id="3" name="Picture 2" descr="Schermafbeelding 2016-02-15 om 12.56.03.png">
          <a:hlinkClick xmlns:r="http://schemas.openxmlformats.org/officeDocument/2006/relationships" r:id="rId2"/>
        </xdr:cNvPr>
        <xdr:cNvPicPr>
          <a:picLocks noChangeAspect="1"/>
        </xdr:cNvPicPr>
      </xdr:nvPicPr>
      <xdr:blipFill rotWithShape="1">
        <a:blip xmlns:r="http://schemas.openxmlformats.org/officeDocument/2006/relationships" r:embed="rId3">
          <a:alphaModFix amt="10000"/>
          <a:extLst>
            <a:ext uri="{28A0092B-C50C-407E-A947-70E740481C1C}">
              <a14:useLocalDpi xmlns:a14="http://schemas.microsoft.com/office/drawing/2010/main" val="0"/>
            </a:ext>
          </a:extLst>
        </a:blip>
        <a:srcRect t="54845" b="8366"/>
        <a:stretch/>
      </xdr:blipFill>
      <xdr:spPr>
        <a:xfrm>
          <a:off x="621605" y="1295400"/>
          <a:ext cx="13248191" cy="5842000"/>
        </a:xfrm>
        <a:prstGeom prst="rect">
          <a:avLst/>
        </a:prstGeom>
        <a:ln>
          <a:noFill/>
        </a:ln>
      </xdr:spPr>
    </xdr:pic>
    <xdr:clientData/>
  </xdr:twoCellAnchor>
  <xdr:twoCellAnchor editAs="oneCell">
    <xdr:from>
      <xdr:col>2</xdr:col>
      <xdr:colOff>38100</xdr:colOff>
      <xdr:row>1</xdr:row>
      <xdr:rowOff>38100</xdr:rowOff>
    </xdr:from>
    <xdr:to>
      <xdr:col>2</xdr:col>
      <xdr:colOff>963083</xdr:colOff>
      <xdr:row>2</xdr:row>
      <xdr:rowOff>368300</xdr:rowOff>
    </xdr:to>
    <xdr:pic>
      <xdr:nvPicPr>
        <xdr:cNvPr id="5" name="Picture 4"/>
        <xdr:cNvPicPr>
          <a:picLocks noChangeAspect="1"/>
        </xdr:cNvPicPr>
      </xdr:nvPicPr>
      <xdr:blipFill>
        <a:blip xmlns:r="http://schemas.openxmlformats.org/officeDocument/2006/relationships" r:embed="rId4"/>
        <a:stretch>
          <a:fillRect/>
        </a:stretch>
      </xdr:blipFill>
      <xdr:spPr>
        <a:xfrm>
          <a:off x="1384300" y="228600"/>
          <a:ext cx="924983" cy="723900"/>
        </a:xfrm>
        <a:prstGeom prst="rect">
          <a:avLst/>
        </a:prstGeom>
      </xdr:spPr>
    </xdr:pic>
    <xdr:clientData/>
  </xdr:twoCellAnchor>
  <xdr:twoCellAnchor editAs="oneCell">
    <xdr:from>
      <xdr:col>16384</xdr:col>
      <xdr:colOff>1846790</xdr:colOff>
      <xdr:row>35</xdr:row>
      <xdr:rowOff>108370</xdr:rowOff>
    </xdr:from>
    <xdr:to>
      <xdr:col>16384</xdr:col>
      <xdr:colOff>840315</xdr:colOff>
      <xdr:row>1048576</xdr:row>
      <xdr:rowOff>131230</xdr:rowOff>
    </xdr:to>
    <xdr:pic>
      <xdr:nvPicPr>
        <xdr:cNvPr id="6" name="Picture 5"/>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6273990" y="7245770"/>
          <a:ext cx="1349375" cy="403860"/>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2" name="Picture 1"/>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3" name="Picture 2"/>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152400</xdr:colOff>
      <xdr:row>12</xdr:row>
      <xdr:rowOff>120578</xdr:rowOff>
    </xdr:from>
    <xdr:to>
      <xdr:col>6</xdr:col>
      <xdr:colOff>698500</xdr:colOff>
      <xdr:row>40</xdr:row>
      <xdr:rowOff>95249</xdr:rowOff>
    </xdr:to>
    <xdr:pic>
      <xdr:nvPicPr>
        <xdr:cNvPr id="2" name="Picture 1" descr="Schermafbeelding 2015-06-23 om 11.33.39.p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2400" y="2685978"/>
          <a:ext cx="5803900" cy="5308671"/>
        </a:xfrm>
        <a:prstGeom prst="rect">
          <a:avLst/>
        </a:prstGeom>
      </xdr:spPr>
    </xdr:pic>
    <xdr:clientData/>
  </xdr:twoCellAnchor>
  <xdr:twoCellAnchor editAs="oneCell">
    <xdr:from>
      <xdr:col>2</xdr:col>
      <xdr:colOff>38099</xdr:colOff>
      <xdr:row>1</xdr:row>
      <xdr:rowOff>50800</xdr:rowOff>
    </xdr:from>
    <xdr:to>
      <xdr:col>2</xdr:col>
      <xdr:colOff>963082</xdr:colOff>
      <xdr:row>2</xdr:row>
      <xdr:rowOff>381000</xdr:rowOff>
    </xdr:to>
    <xdr:pic>
      <xdr:nvPicPr>
        <xdr:cNvPr id="5" name="Picture 4"/>
        <xdr:cNvPicPr>
          <a:picLocks noChangeAspect="1"/>
        </xdr:cNvPicPr>
      </xdr:nvPicPr>
      <xdr:blipFill>
        <a:blip xmlns:r="http://schemas.openxmlformats.org/officeDocument/2006/relationships" r:embed="rId2"/>
        <a:stretch>
          <a:fillRect/>
        </a:stretch>
      </xdr:blipFill>
      <xdr:spPr>
        <a:xfrm>
          <a:off x="1384299" y="241300"/>
          <a:ext cx="924983" cy="7239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111124</xdr:colOff>
      <xdr:row>1</xdr:row>
      <xdr:rowOff>10201</xdr:rowOff>
    </xdr:from>
    <xdr:to>
      <xdr:col>2</xdr:col>
      <xdr:colOff>869949</xdr:colOff>
      <xdr:row>2</xdr:row>
      <xdr:rowOff>387307</xdr:rowOff>
    </xdr:to>
    <xdr:pic>
      <xdr:nvPicPr>
        <xdr:cNvPr id="3" name="Picture 2" descr="C40 Logo White (CMYK).p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4" y="200701"/>
          <a:ext cx="758825" cy="770806"/>
        </a:xfrm>
        <a:prstGeom prst="rect">
          <a:avLst/>
        </a:prstGeom>
        <a:ln>
          <a:noFill/>
        </a:ln>
      </xdr:spPr>
    </xdr:pic>
    <xdr:clientData/>
  </xdr:twoCellAnchor>
  <xdr:twoCellAnchor editAs="oneCell">
    <xdr:from>
      <xdr:col>2</xdr:col>
      <xdr:colOff>38099</xdr:colOff>
      <xdr:row>1</xdr:row>
      <xdr:rowOff>50800</xdr:rowOff>
    </xdr:from>
    <xdr:to>
      <xdr:col>2</xdr:col>
      <xdr:colOff>963082</xdr:colOff>
      <xdr:row>2</xdr:row>
      <xdr:rowOff>381000</xdr:rowOff>
    </xdr:to>
    <xdr:pic>
      <xdr:nvPicPr>
        <xdr:cNvPr id="4" name="Picture 3"/>
        <xdr:cNvPicPr>
          <a:picLocks noChangeAspect="1"/>
        </xdr:cNvPicPr>
      </xdr:nvPicPr>
      <xdr:blipFill>
        <a:blip xmlns:r="http://schemas.openxmlformats.org/officeDocument/2006/relationships" r:embed="rId2"/>
        <a:stretch>
          <a:fillRect/>
        </a:stretch>
      </xdr:blipFill>
      <xdr:spPr>
        <a:xfrm>
          <a:off x="1384299" y="241300"/>
          <a:ext cx="924983" cy="7239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4" name="Picture 3"/>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38099</xdr:colOff>
      <xdr:row>1</xdr:row>
      <xdr:rowOff>50800</xdr:rowOff>
    </xdr:from>
    <xdr:to>
      <xdr:col>3</xdr:col>
      <xdr:colOff>963082</xdr:colOff>
      <xdr:row>2</xdr:row>
      <xdr:rowOff>381000</xdr:rowOff>
    </xdr:to>
    <xdr:pic>
      <xdr:nvPicPr>
        <xdr:cNvPr id="2" name="Picture 1"/>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3" name="Picture 2"/>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twoCellAnchor editAs="oneCell">
    <xdr:from>
      <xdr:col>1</xdr:col>
      <xdr:colOff>25400</xdr:colOff>
      <xdr:row>6</xdr:row>
      <xdr:rowOff>114300</xdr:rowOff>
    </xdr:from>
    <xdr:to>
      <xdr:col>1</xdr:col>
      <xdr:colOff>863599</xdr:colOff>
      <xdr:row>11</xdr:row>
      <xdr:rowOff>8640</xdr:rowOff>
    </xdr:to>
    <xdr:pic>
      <xdr:nvPicPr>
        <xdr:cNvPr id="4" name="Picture 3"/>
        <xdr:cNvPicPr>
          <a:picLocks noChangeAspect="1"/>
        </xdr:cNvPicPr>
      </xdr:nvPicPr>
      <xdr:blipFill>
        <a:blip xmlns:r="http://schemas.openxmlformats.org/officeDocument/2006/relationships" r:embed="rId2"/>
        <a:stretch>
          <a:fillRect/>
        </a:stretch>
      </xdr:blipFill>
      <xdr:spPr>
        <a:xfrm>
          <a:off x="393700" y="2070100"/>
          <a:ext cx="838199" cy="84684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3" name="Picture 2"/>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twoCellAnchor editAs="oneCell">
    <xdr:from>
      <xdr:col>10</xdr:col>
      <xdr:colOff>618410</xdr:colOff>
      <xdr:row>11</xdr:row>
      <xdr:rowOff>177800</xdr:rowOff>
    </xdr:from>
    <xdr:to>
      <xdr:col>14</xdr:col>
      <xdr:colOff>533400</xdr:colOff>
      <xdr:row>21</xdr:row>
      <xdr:rowOff>147928</xdr:rowOff>
    </xdr:to>
    <xdr:pic>
      <xdr:nvPicPr>
        <xdr:cNvPr id="2" name="Picture 1"/>
        <xdr:cNvPicPr>
          <a:picLocks noChangeAspect="1"/>
        </xdr:cNvPicPr>
      </xdr:nvPicPr>
      <xdr:blipFill>
        <a:blip xmlns:r="http://schemas.openxmlformats.org/officeDocument/2006/relationships" r:embed="rId2"/>
        <a:stretch>
          <a:fillRect/>
        </a:stretch>
      </xdr:blipFill>
      <xdr:spPr>
        <a:xfrm>
          <a:off x="9787810" y="3683000"/>
          <a:ext cx="3826590" cy="378012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34924</xdr:colOff>
      <xdr:row>11</xdr:row>
      <xdr:rowOff>3175</xdr:rowOff>
    </xdr:from>
    <xdr:to>
      <xdr:col>0</xdr:col>
      <xdr:colOff>342899</xdr:colOff>
      <xdr:row>12</xdr:row>
      <xdr:rowOff>3175</xdr:rowOff>
    </xdr:to>
    <xdr:sp macro="[0]!Sheet10.VIII1" textlink="">
      <xdr:nvSpPr>
        <xdr:cNvPr id="2" name="Rounded Rectangle 1"/>
        <xdr:cNvSpPr/>
      </xdr:nvSpPr>
      <xdr:spPr>
        <a:xfrm>
          <a:off x="34924" y="2924175"/>
          <a:ext cx="307975" cy="190500"/>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editAs="oneCell">
    <xdr:from>
      <xdr:col>2</xdr:col>
      <xdr:colOff>38099</xdr:colOff>
      <xdr:row>1</xdr:row>
      <xdr:rowOff>50800</xdr:rowOff>
    </xdr:from>
    <xdr:to>
      <xdr:col>2</xdr:col>
      <xdr:colOff>963082</xdr:colOff>
      <xdr:row>2</xdr:row>
      <xdr:rowOff>381000</xdr:rowOff>
    </xdr:to>
    <xdr:pic>
      <xdr:nvPicPr>
        <xdr:cNvPr id="5" name="Picture 4"/>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50800</xdr:colOff>
      <xdr:row>14</xdr:row>
      <xdr:rowOff>12700</xdr:rowOff>
    </xdr:from>
    <xdr:to>
      <xdr:col>0</xdr:col>
      <xdr:colOff>342900</xdr:colOff>
      <xdr:row>14</xdr:row>
      <xdr:rowOff>190499</xdr:rowOff>
    </xdr:to>
    <xdr:sp macro="[0]!Sheet3.VII1" textlink="">
      <xdr:nvSpPr>
        <xdr:cNvPr id="2" name="Rounded Rectangle 1"/>
        <xdr:cNvSpPr/>
      </xdr:nvSpPr>
      <xdr:spPr>
        <a:xfrm>
          <a:off x="50800" y="3149600"/>
          <a:ext cx="292100" cy="177799"/>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 </a:t>
          </a:r>
        </a:p>
      </xdr:txBody>
    </xdr:sp>
    <xdr:clientData/>
  </xdr:twoCellAnchor>
  <xdr:twoCellAnchor editAs="oneCell">
    <xdr:from>
      <xdr:col>2</xdr:col>
      <xdr:colOff>38099</xdr:colOff>
      <xdr:row>1</xdr:row>
      <xdr:rowOff>50800</xdr:rowOff>
    </xdr:from>
    <xdr:to>
      <xdr:col>2</xdr:col>
      <xdr:colOff>963082</xdr:colOff>
      <xdr:row>2</xdr:row>
      <xdr:rowOff>381000</xdr:rowOff>
    </xdr:to>
    <xdr:pic>
      <xdr:nvPicPr>
        <xdr:cNvPr id="4" name="Picture 3"/>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25400</xdr:colOff>
      <xdr:row>14</xdr:row>
      <xdr:rowOff>12700</xdr:rowOff>
    </xdr:from>
    <xdr:to>
      <xdr:col>0</xdr:col>
      <xdr:colOff>336550</xdr:colOff>
      <xdr:row>15</xdr:row>
      <xdr:rowOff>0</xdr:rowOff>
    </xdr:to>
    <xdr:sp macro="[0]!Sheet3.VII1" textlink="">
      <xdr:nvSpPr>
        <xdr:cNvPr id="2" name="Rounded Rectangle 1"/>
        <xdr:cNvSpPr/>
      </xdr:nvSpPr>
      <xdr:spPr>
        <a:xfrm>
          <a:off x="25400" y="3187700"/>
          <a:ext cx="311150" cy="177800"/>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editAs="oneCell">
    <xdr:from>
      <xdr:col>2</xdr:col>
      <xdr:colOff>38099</xdr:colOff>
      <xdr:row>1</xdr:row>
      <xdr:rowOff>50800</xdr:rowOff>
    </xdr:from>
    <xdr:to>
      <xdr:col>2</xdr:col>
      <xdr:colOff>963082</xdr:colOff>
      <xdr:row>2</xdr:row>
      <xdr:rowOff>381000</xdr:rowOff>
    </xdr:to>
    <xdr:pic>
      <xdr:nvPicPr>
        <xdr:cNvPr id="5" name="Picture 4"/>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2" name="Picture 1"/>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twoCellAnchor editAs="oneCell">
    <xdr:from>
      <xdr:col>1</xdr:col>
      <xdr:colOff>25400</xdr:colOff>
      <xdr:row>6</xdr:row>
      <xdr:rowOff>76200</xdr:rowOff>
    </xdr:from>
    <xdr:to>
      <xdr:col>1</xdr:col>
      <xdr:colOff>863599</xdr:colOff>
      <xdr:row>10</xdr:row>
      <xdr:rowOff>161040</xdr:rowOff>
    </xdr:to>
    <xdr:pic>
      <xdr:nvPicPr>
        <xdr:cNvPr id="3" name="Picture 2"/>
        <xdr:cNvPicPr>
          <a:picLocks noChangeAspect="1"/>
        </xdr:cNvPicPr>
      </xdr:nvPicPr>
      <xdr:blipFill>
        <a:blip xmlns:r="http://schemas.openxmlformats.org/officeDocument/2006/relationships" r:embed="rId2"/>
        <a:stretch>
          <a:fillRect/>
        </a:stretch>
      </xdr:blipFill>
      <xdr:spPr>
        <a:xfrm>
          <a:off x="393700" y="2032000"/>
          <a:ext cx="838199" cy="84684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2" name="Picture 1"/>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6</xdr:col>
      <xdr:colOff>177800</xdr:colOff>
      <xdr:row>30</xdr:row>
      <xdr:rowOff>266446</xdr:rowOff>
    </xdr:from>
    <xdr:to>
      <xdr:col>7</xdr:col>
      <xdr:colOff>685800</xdr:colOff>
      <xdr:row>32</xdr:row>
      <xdr:rowOff>114299</xdr:rowOff>
    </xdr:to>
    <xdr:pic>
      <xdr:nvPicPr>
        <xdr:cNvPr id="3" name="Picture 2">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5435600" y="3885946"/>
          <a:ext cx="1485900" cy="1498853"/>
        </a:xfrm>
        <a:prstGeom prst="rect">
          <a:avLst/>
        </a:prstGeom>
      </xdr:spPr>
    </xdr:pic>
    <xdr:clientData/>
  </xdr:twoCellAnchor>
  <xdr:twoCellAnchor editAs="oneCell">
    <xdr:from>
      <xdr:col>1</xdr:col>
      <xdr:colOff>358588</xdr:colOff>
      <xdr:row>31</xdr:row>
      <xdr:rowOff>107886</xdr:rowOff>
    </xdr:from>
    <xdr:to>
      <xdr:col>2</xdr:col>
      <xdr:colOff>635000</xdr:colOff>
      <xdr:row>31</xdr:row>
      <xdr:rowOff>1184819</xdr:rowOff>
    </xdr:to>
    <xdr:pic>
      <xdr:nvPicPr>
        <xdr:cNvPr id="4" name="Picture 3">
          <a:hlinkClick xmlns:r="http://schemas.openxmlformats.org/officeDocument/2006/relationships" r:id="rId3"/>
        </xdr:cNvPr>
        <xdr:cNvPicPr>
          <a:picLocks noChangeAspect="1"/>
        </xdr:cNvPicPr>
      </xdr:nvPicPr>
      <xdr:blipFill>
        <a:blip xmlns:r="http://schemas.openxmlformats.org/officeDocument/2006/relationships" r:embed="rId4"/>
        <a:stretch>
          <a:fillRect/>
        </a:stretch>
      </xdr:blipFill>
      <xdr:spPr>
        <a:xfrm>
          <a:off x="1704788" y="3727386"/>
          <a:ext cx="1254312" cy="1076933"/>
        </a:xfrm>
        <a:prstGeom prst="rect">
          <a:avLst/>
        </a:prstGeom>
      </xdr:spPr>
    </xdr:pic>
    <xdr:clientData/>
  </xdr:twoCellAnchor>
  <xdr:twoCellAnchor editAs="oneCell">
    <xdr:from>
      <xdr:col>1</xdr:col>
      <xdr:colOff>237490</xdr:colOff>
      <xdr:row>29</xdr:row>
      <xdr:rowOff>72992</xdr:rowOff>
    </xdr:from>
    <xdr:to>
      <xdr:col>2</xdr:col>
      <xdr:colOff>647700</xdr:colOff>
      <xdr:row>29</xdr:row>
      <xdr:rowOff>1264804</xdr:rowOff>
    </xdr:to>
    <xdr:pic>
      <xdr:nvPicPr>
        <xdr:cNvPr id="5" name="Picture 4">
          <a:hlinkClick xmlns:r="http://schemas.openxmlformats.org/officeDocument/2006/relationships" r:id="rId5"/>
        </xdr:cNvPr>
        <xdr:cNvPicPr>
          <a:picLocks noChangeAspect="1"/>
        </xdr:cNvPicPr>
      </xdr:nvPicPr>
      <xdr:blipFill>
        <a:blip xmlns:r="http://schemas.openxmlformats.org/officeDocument/2006/relationships" r:embed="rId6"/>
        <a:stretch>
          <a:fillRect/>
        </a:stretch>
      </xdr:blipFill>
      <xdr:spPr>
        <a:xfrm>
          <a:off x="1583690" y="2422492"/>
          <a:ext cx="1388110" cy="1191812"/>
        </a:xfrm>
        <a:prstGeom prst="rect">
          <a:avLst/>
        </a:prstGeom>
      </xdr:spPr>
    </xdr:pic>
    <xdr:clientData/>
  </xdr:twoCellAnchor>
  <xdr:twoCellAnchor editAs="oneCell">
    <xdr:from>
      <xdr:col>11</xdr:col>
      <xdr:colOff>266700</xdr:colOff>
      <xdr:row>28</xdr:row>
      <xdr:rowOff>376782</xdr:rowOff>
    </xdr:from>
    <xdr:to>
      <xdr:col>12</xdr:col>
      <xdr:colOff>685800</xdr:colOff>
      <xdr:row>29</xdr:row>
      <xdr:rowOff>1269999</xdr:rowOff>
    </xdr:to>
    <xdr:pic>
      <xdr:nvPicPr>
        <xdr:cNvPr id="6" name="Picture 5">
          <a:hlinkClick xmlns:r="http://schemas.openxmlformats.org/officeDocument/2006/relationships" r:id="rId7"/>
        </xdr:cNvPr>
        <xdr:cNvPicPr>
          <a:picLocks noChangeAspect="1"/>
        </xdr:cNvPicPr>
      </xdr:nvPicPr>
      <xdr:blipFill>
        <a:blip xmlns:r="http://schemas.openxmlformats.org/officeDocument/2006/relationships" r:embed="rId8"/>
        <a:stretch>
          <a:fillRect/>
        </a:stretch>
      </xdr:blipFill>
      <xdr:spPr>
        <a:xfrm>
          <a:off x="9436100" y="2332582"/>
          <a:ext cx="1397000" cy="1286917"/>
        </a:xfrm>
        <a:prstGeom prst="rect">
          <a:avLst/>
        </a:prstGeom>
      </xdr:spPr>
    </xdr:pic>
    <xdr:clientData/>
  </xdr:twoCellAnchor>
  <xdr:twoCellAnchor editAs="oneCell">
    <xdr:from>
      <xdr:col>6</xdr:col>
      <xdr:colOff>190500</xdr:colOff>
      <xdr:row>29</xdr:row>
      <xdr:rowOff>126999</xdr:rowOff>
    </xdr:from>
    <xdr:to>
      <xdr:col>7</xdr:col>
      <xdr:colOff>810632</xdr:colOff>
      <xdr:row>29</xdr:row>
      <xdr:rowOff>1193800</xdr:rowOff>
    </xdr:to>
    <xdr:pic>
      <xdr:nvPicPr>
        <xdr:cNvPr id="7" name="Picture 6">
          <a:hlinkClick xmlns:r="http://schemas.openxmlformats.org/officeDocument/2006/relationships" r:id="rId9"/>
        </xdr:cNvPr>
        <xdr:cNvPicPr>
          <a:picLocks noChangeAspect="1"/>
        </xdr:cNvPicPr>
      </xdr:nvPicPr>
      <xdr:blipFill rotWithShape="1">
        <a:blip xmlns:r="http://schemas.openxmlformats.org/officeDocument/2006/relationships" r:embed="rId10"/>
        <a:srcRect t="15785" b="16667"/>
        <a:stretch/>
      </xdr:blipFill>
      <xdr:spPr>
        <a:xfrm>
          <a:off x="5448300" y="9994899"/>
          <a:ext cx="1598032" cy="1066801"/>
        </a:xfrm>
        <a:prstGeom prst="rect">
          <a:avLst/>
        </a:prstGeom>
      </xdr:spPr>
    </xdr:pic>
    <xdr:clientData/>
  </xdr:twoCellAnchor>
  <xdr:twoCellAnchor editAs="oneCell">
    <xdr:from>
      <xdr:col>11</xdr:col>
      <xdr:colOff>368300</xdr:colOff>
      <xdr:row>31</xdr:row>
      <xdr:rowOff>38745</xdr:rowOff>
    </xdr:from>
    <xdr:to>
      <xdr:col>12</xdr:col>
      <xdr:colOff>629460</xdr:colOff>
      <xdr:row>31</xdr:row>
      <xdr:rowOff>1193800</xdr:rowOff>
    </xdr:to>
    <xdr:pic>
      <xdr:nvPicPr>
        <xdr:cNvPr id="8" name="Picture 7">
          <a:hlinkClick xmlns:r="http://schemas.openxmlformats.org/officeDocument/2006/relationships" r:id="rId11"/>
        </xdr:cNvPr>
        <xdr:cNvPicPr>
          <a:picLocks noChangeAspect="1"/>
        </xdr:cNvPicPr>
      </xdr:nvPicPr>
      <xdr:blipFill>
        <a:blip xmlns:r="http://schemas.openxmlformats.org/officeDocument/2006/relationships" r:embed="rId12"/>
        <a:stretch>
          <a:fillRect/>
        </a:stretch>
      </xdr:blipFill>
      <xdr:spPr>
        <a:xfrm>
          <a:off x="10515600" y="4039245"/>
          <a:ext cx="1239060" cy="1155055"/>
        </a:xfrm>
        <a:prstGeom prst="rect">
          <a:avLst/>
        </a:prstGeom>
      </xdr:spPr>
    </xdr:pic>
    <xdr:clientData/>
  </xdr:twoCellAnchor>
  <xdr:twoCellAnchor editAs="oneCell">
    <xdr:from>
      <xdr:col>2</xdr:col>
      <xdr:colOff>38099</xdr:colOff>
      <xdr:row>1</xdr:row>
      <xdr:rowOff>50800</xdr:rowOff>
    </xdr:from>
    <xdr:to>
      <xdr:col>2</xdr:col>
      <xdr:colOff>963082</xdr:colOff>
      <xdr:row>2</xdr:row>
      <xdr:rowOff>381000</xdr:rowOff>
    </xdr:to>
    <xdr:pic>
      <xdr:nvPicPr>
        <xdr:cNvPr id="9" name="Picture 8"/>
        <xdr:cNvPicPr>
          <a:picLocks noChangeAspect="1"/>
        </xdr:cNvPicPr>
      </xdr:nvPicPr>
      <xdr:blipFill>
        <a:blip xmlns:r="http://schemas.openxmlformats.org/officeDocument/2006/relationships" r:embed="rId13"/>
        <a:stretch>
          <a:fillRect/>
        </a:stretch>
      </xdr:blipFill>
      <xdr:spPr>
        <a:xfrm>
          <a:off x="1384299" y="241300"/>
          <a:ext cx="924983" cy="7239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35560</xdr:colOff>
      <xdr:row>13</xdr:row>
      <xdr:rowOff>6350</xdr:rowOff>
    </xdr:from>
    <xdr:to>
      <xdr:col>0</xdr:col>
      <xdr:colOff>346710</xdr:colOff>
      <xdr:row>13</xdr:row>
      <xdr:rowOff>187325</xdr:rowOff>
    </xdr:to>
    <xdr:sp macro="[0]!Sheet4.I11" textlink="">
      <xdr:nvSpPr>
        <xdr:cNvPr id="8" name="Rounded Rectangle 7"/>
        <xdr:cNvSpPr/>
      </xdr:nvSpPr>
      <xdr:spPr>
        <a:xfrm>
          <a:off x="35560" y="3206750"/>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35560</xdr:colOff>
      <xdr:row>16</xdr:row>
      <xdr:rowOff>6350</xdr:rowOff>
    </xdr:from>
    <xdr:to>
      <xdr:col>0</xdr:col>
      <xdr:colOff>346710</xdr:colOff>
      <xdr:row>16</xdr:row>
      <xdr:rowOff>187325</xdr:rowOff>
    </xdr:to>
    <xdr:sp macro="[0]!Sheet4.I12" textlink="">
      <xdr:nvSpPr>
        <xdr:cNvPr id="9" name="Rounded Rectangle 8"/>
        <xdr:cNvSpPr/>
      </xdr:nvSpPr>
      <xdr:spPr>
        <a:xfrm>
          <a:off x="35560" y="3778250"/>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35560</xdr:colOff>
      <xdr:row>19</xdr:row>
      <xdr:rowOff>6350</xdr:rowOff>
    </xdr:from>
    <xdr:to>
      <xdr:col>0</xdr:col>
      <xdr:colOff>346710</xdr:colOff>
      <xdr:row>19</xdr:row>
      <xdr:rowOff>187325</xdr:rowOff>
    </xdr:to>
    <xdr:sp macro="[0]!Sheet4.I13" textlink="">
      <xdr:nvSpPr>
        <xdr:cNvPr id="10" name="Rounded Rectangle 9"/>
        <xdr:cNvSpPr/>
      </xdr:nvSpPr>
      <xdr:spPr>
        <a:xfrm>
          <a:off x="35560" y="4540250"/>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35560</xdr:colOff>
      <xdr:row>30</xdr:row>
      <xdr:rowOff>5715</xdr:rowOff>
    </xdr:from>
    <xdr:to>
      <xdr:col>0</xdr:col>
      <xdr:colOff>346710</xdr:colOff>
      <xdr:row>30</xdr:row>
      <xdr:rowOff>186690</xdr:rowOff>
    </xdr:to>
    <xdr:sp macro="[0]!Sheet4.I22" textlink="">
      <xdr:nvSpPr>
        <xdr:cNvPr id="12" name="Rounded Rectangle 11"/>
        <xdr:cNvSpPr/>
      </xdr:nvSpPr>
      <xdr:spPr>
        <a:xfrm>
          <a:off x="35560" y="6724015"/>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35560</xdr:colOff>
      <xdr:row>33</xdr:row>
      <xdr:rowOff>8890</xdr:rowOff>
    </xdr:from>
    <xdr:to>
      <xdr:col>0</xdr:col>
      <xdr:colOff>346710</xdr:colOff>
      <xdr:row>33</xdr:row>
      <xdr:rowOff>189865</xdr:rowOff>
    </xdr:to>
    <xdr:sp macro="[0]!Sheet4.I23" textlink="">
      <xdr:nvSpPr>
        <xdr:cNvPr id="13" name="Rounded Rectangle 12"/>
        <xdr:cNvSpPr/>
      </xdr:nvSpPr>
      <xdr:spPr>
        <a:xfrm>
          <a:off x="35560" y="7298690"/>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35560</xdr:colOff>
      <xdr:row>44</xdr:row>
      <xdr:rowOff>5080</xdr:rowOff>
    </xdr:from>
    <xdr:to>
      <xdr:col>0</xdr:col>
      <xdr:colOff>346710</xdr:colOff>
      <xdr:row>44</xdr:row>
      <xdr:rowOff>186055</xdr:rowOff>
    </xdr:to>
    <xdr:sp macro="[0]!Sheet4.I32" textlink="">
      <xdr:nvSpPr>
        <xdr:cNvPr id="15" name="Rounded Rectangle 14"/>
        <xdr:cNvSpPr/>
      </xdr:nvSpPr>
      <xdr:spPr>
        <a:xfrm>
          <a:off x="35560" y="9682480"/>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35560</xdr:colOff>
      <xdr:row>47</xdr:row>
      <xdr:rowOff>5080</xdr:rowOff>
    </xdr:from>
    <xdr:to>
      <xdr:col>0</xdr:col>
      <xdr:colOff>346710</xdr:colOff>
      <xdr:row>47</xdr:row>
      <xdr:rowOff>186055</xdr:rowOff>
    </xdr:to>
    <xdr:sp macro="[0]!Sheet4.I33" textlink="">
      <xdr:nvSpPr>
        <xdr:cNvPr id="16" name="Rounded Rectangle 15"/>
        <xdr:cNvSpPr/>
      </xdr:nvSpPr>
      <xdr:spPr>
        <a:xfrm>
          <a:off x="35560" y="10253980"/>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35560</xdr:colOff>
      <xdr:row>58</xdr:row>
      <xdr:rowOff>7620</xdr:rowOff>
    </xdr:from>
    <xdr:to>
      <xdr:col>0</xdr:col>
      <xdr:colOff>346710</xdr:colOff>
      <xdr:row>58</xdr:row>
      <xdr:rowOff>188595</xdr:rowOff>
    </xdr:to>
    <xdr:sp macro="[0]!Sheet4.I42" textlink="">
      <xdr:nvSpPr>
        <xdr:cNvPr id="18" name="Rounded Rectangle 17"/>
        <xdr:cNvSpPr/>
      </xdr:nvSpPr>
      <xdr:spPr>
        <a:xfrm>
          <a:off x="35560" y="12466320"/>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35560</xdr:colOff>
      <xdr:row>61</xdr:row>
      <xdr:rowOff>8255</xdr:rowOff>
    </xdr:from>
    <xdr:to>
      <xdr:col>0</xdr:col>
      <xdr:colOff>346710</xdr:colOff>
      <xdr:row>61</xdr:row>
      <xdr:rowOff>189230</xdr:rowOff>
    </xdr:to>
    <xdr:sp macro="[0]!Sheet4.I43" textlink="">
      <xdr:nvSpPr>
        <xdr:cNvPr id="19" name="Rounded Rectangle 18"/>
        <xdr:cNvSpPr/>
      </xdr:nvSpPr>
      <xdr:spPr>
        <a:xfrm>
          <a:off x="35560" y="13038455"/>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35560</xdr:colOff>
      <xdr:row>27</xdr:row>
      <xdr:rowOff>5715</xdr:rowOff>
    </xdr:from>
    <xdr:to>
      <xdr:col>0</xdr:col>
      <xdr:colOff>346710</xdr:colOff>
      <xdr:row>27</xdr:row>
      <xdr:rowOff>173990</xdr:rowOff>
    </xdr:to>
    <xdr:sp macro="[0]!Sheet4.I21" textlink="">
      <xdr:nvSpPr>
        <xdr:cNvPr id="20" name="Rounded Rectangle 19"/>
        <xdr:cNvSpPr/>
      </xdr:nvSpPr>
      <xdr:spPr>
        <a:xfrm>
          <a:off x="35560" y="6165215"/>
          <a:ext cx="311150" cy="1682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35560</xdr:colOff>
      <xdr:row>41</xdr:row>
      <xdr:rowOff>5080</xdr:rowOff>
    </xdr:from>
    <xdr:to>
      <xdr:col>0</xdr:col>
      <xdr:colOff>346710</xdr:colOff>
      <xdr:row>41</xdr:row>
      <xdr:rowOff>186055</xdr:rowOff>
    </xdr:to>
    <xdr:sp macro="[0]!Sheet4.I31" textlink="">
      <xdr:nvSpPr>
        <xdr:cNvPr id="21" name="Rounded Rectangle 20"/>
        <xdr:cNvSpPr/>
      </xdr:nvSpPr>
      <xdr:spPr>
        <a:xfrm>
          <a:off x="35560" y="9110980"/>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35560</xdr:colOff>
      <xdr:row>55</xdr:row>
      <xdr:rowOff>7620</xdr:rowOff>
    </xdr:from>
    <xdr:to>
      <xdr:col>0</xdr:col>
      <xdr:colOff>346710</xdr:colOff>
      <xdr:row>55</xdr:row>
      <xdr:rowOff>188595</xdr:rowOff>
    </xdr:to>
    <xdr:sp macro="[0]!Sheet4.I41" textlink="">
      <xdr:nvSpPr>
        <xdr:cNvPr id="22" name="Rounded Rectangle 21"/>
        <xdr:cNvSpPr/>
      </xdr:nvSpPr>
      <xdr:spPr>
        <a:xfrm>
          <a:off x="35560" y="11894820"/>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35560</xdr:colOff>
      <xdr:row>64</xdr:row>
      <xdr:rowOff>8255</xdr:rowOff>
    </xdr:from>
    <xdr:to>
      <xdr:col>0</xdr:col>
      <xdr:colOff>346710</xdr:colOff>
      <xdr:row>64</xdr:row>
      <xdr:rowOff>189230</xdr:rowOff>
    </xdr:to>
    <xdr:sp macro="[0]!Sheet4.I44" textlink="">
      <xdr:nvSpPr>
        <xdr:cNvPr id="23" name="Rounded Rectangle 22"/>
        <xdr:cNvSpPr/>
      </xdr:nvSpPr>
      <xdr:spPr>
        <a:xfrm>
          <a:off x="35560" y="13609955"/>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35560</xdr:colOff>
      <xdr:row>75</xdr:row>
      <xdr:rowOff>4445</xdr:rowOff>
    </xdr:from>
    <xdr:to>
      <xdr:col>0</xdr:col>
      <xdr:colOff>346710</xdr:colOff>
      <xdr:row>75</xdr:row>
      <xdr:rowOff>185420</xdr:rowOff>
    </xdr:to>
    <xdr:sp macro="[0]!Sheet4.I52" textlink="">
      <xdr:nvSpPr>
        <xdr:cNvPr id="24" name="Rounded Rectangle 23"/>
        <xdr:cNvSpPr/>
      </xdr:nvSpPr>
      <xdr:spPr>
        <a:xfrm>
          <a:off x="35560" y="15815945"/>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35560</xdr:colOff>
      <xdr:row>78</xdr:row>
      <xdr:rowOff>4445</xdr:rowOff>
    </xdr:from>
    <xdr:to>
      <xdr:col>0</xdr:col>
      <xdr:colOff>346710</xdr:colOff>
      <xdr:row>78</xdr:row>
      <xdr:rowOff>185420</xdr:rowOff>
    </xdr:to>
    <xdr:sp macro="[0]!Sheet4.I53" textlink="">
      <xdr:nvSpPr>
        <xdr:cNvPr id="25" name="Rounded Rectangle 24"/>
        <xdr:cNvSpPr/>
      </xdr:nvSpPr>
      <xdr:spPr>
        <a:xfrm>
          <a:off x="35560" y="16387445"/>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35560</xdr:colOff>
      <xdr:row>89</xdr:row>
      <xdr:rowOff>6985</xdr:rowOff>
    </xdr:from>
    <xdr:to>
      <xdr:col>0</xdr:col>
      <xdr:colOff>346710</xdr:colOff>
      <xdr:row>89</xdr:row>
      <xdr:rowOff>187960</xdr:rowOff>
    </xdr:to>
    <xdr:sp macro="[0]!Sheet4.I62" textlink="">
      <xdr:nvSpPr>
        <xdr:cNvPr id="26" name="Rounded Rectangle 25"/>
        <xdr:cNvSpPr/>
      </xdr:nvSpPr>
      <xdr:spPr>
        <a:xfrm>
          <a:off x="35560" y="18599785"/>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35560</xdr:colOff>
      <xdr:row>92</xdr:row>
      <xdr:rowOff>7620</xdr:rowOff>
    </xdr:from>
    <xdr:to>
      <xdr:col>0</xdr:col>
      <xdr:colOff>346710</xdr:colOff>
      <xdr:row>92</xdr:row>
      <xdr:rowOff>188595</xdr:rowOff>
    </xdr:to>
    <xdr:sp macro="[0]!Sheet4.I63" textlink="">
      <xdr:nvSpPr>
        <xdr:cNvPr id="27" name="Rounded Rectangle 26"/>
        <xdr:cNvSpPr/>
      </xdr:nvSpPr>
      <xdr:spPr>
        <a:xfrm>
          <a:off x="35560" y="19171920"/>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35560</xdr:colOff>
      <xdr:row>72</xdr:row>
      <xdr:rowOff>4445</xdr:rowOff>
    </xdr:from>
    <xdr:to>
      <xdr:col>0</xdr:col>
      <xdr:colOff>346710</xdr:colOff>
      <xdr:row>72</xdr:row>
      <xdr:rowOff>185420</xdr:rowOff>
    </xdr:to>
    <xdr:sp macro="[0]!Sheet4.I51" textlink="">
      <xdr:nvSpPr>
        <xdr:cNvPr id="28" name="Rounded Rectangle 27"/>
        <xdr:cNvSpPr/>
      </xdr:nvSpPr>
      <xdr:spPr>
        <a:xfrm>
          <a:off x="35560" y="15244445"/>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35560</xdr:colOff>
      <xdr:row>86</xdr:row>
      <xdr:rowOff>6985</xdr:rowOff>
    </xdr:from>
    <xdr:to>
      <xdr:col>0</xdr:col>
      <xdr:colOff>346710</xdr:colOff>
      <xdr:row>86</xdr:row>
      <xdr:rowOff>187960</xdr:rowOff>
    </xdr:to>
    <xdr:sp macro="[0]!Sheet4.I61" textlink="">
      <xdr:nvSpPr>
        <xdr:cNvPr id="29" name="Rounded Rectangle 28"/>
        <xdr:cNvSpPr/>
      </xdr:nvSpPr>
      <xdr:spPr>
        <a:xfrm>
          <a:off x="35560" y="18028285"/>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35560</xdr:colOff>
      <xdr:row>100</xdr:row>
      <xdr:rowOff>6985</xdr:rowOff>
    </xdr:from>
    <xdr:to>
      <xdr:col>0</xdr:col>
      <xdr:colOff>346710</xdr:colOff>
      <xdr:row>100</xdr:row>
      <xdr:rowOff>187960</xdr:rowOff>
    </xdr:to>
    <xdr:sp macro="[0]!Sheet4.I71" textlink="">
      <xdr:nvSpPr>
        <xdr:cNvPr id="30" name="Rounded Rectangle 29"/>
        <xdr:cNvSpPr/>
      </xdr:nvSpPr>
      <xdr:spPr>
        <a:xfrm>
          <a:off x="35560" y="20809585"/>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35560</xdr:colOff>
      <xdr:row>108</xdr:row>
      <xdr:rowOff>6985</xdr:rowOff>
    </xdr:from>
    <xdr:to>
      <xdr:col>0</xdr:col>
      <xdr:colOff>346710</xdr:colOff>
      <xdr:row>108</xdr:row>
      <xdr:rowOff>187960</xdr:rowOff>
    </xdr:to>
    <xdr:sp macro="[0]!Sheet4.I81" textlink="">
      <xdr:nvSpPr>
        <xdr:cNvPr id="31" name="Rounded Rectangle 30"/>
        <xdr:cNvSpPr/>
      </xdr:nvSpPr>
      <xdr:spPr>
        <a:xfrm>
          <a:off x="35560" y="22447885"/>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editAs="oneCell">
    <xdr:from>
      <xdr:col>2</xdr:col>
      <xdr:colOff>111124</xdr:colOff>
      <xdr:row>1</xdr:row>
      <xdr:rowOff>10201</xdr:rowOff>
    </xdr:from>
    <xdr:to>
      <xdr:col>2</xdr:col>
      <xdr:colOff>831849</xdr:colOff>
      <xdr:row>2</xdr:row>
      <xdr:rowOff>387307</xdr:rowOff>
    </xdr:to>
    <xdr:pic>
      <xdr:nvPicPr>
        <xdr:cNvPr id="32" name="Picture 31" descr="C40 Logo White (CMYK).p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4" y="200701"/>
          <a:ext cx="758825" cy="770806"/>
        </a:xfrm>
        <a:prstGeom prst="rect">
          <a:avLst/>
        </a:prstGeom>
        <a:ln>
          <a:noFill/>
        </a:ln>
      </xdr:spPr>
    </xdr:pic>
    <xdr:clientData/>
  </xdr:twoCellAnchor>
  <xdr:twoCellAnchor editAs="oneCell">
    <xdr:from>
      <xdr:col>2</xdr:col>
      <xdr:colOff>38099</xdr:colOff>
      <xdr:row>1</xdr:row>
      <xdr:rowOff>50800</xdr:rowOff>
    </xdr:from>
    <xdr:to>
      <xdr:col>2</xdr:col>
      <xdr:colOff>963082</xdr:colOff>
      <xdr:row>2</xdr:row>
      <xdr:rowOff>381000</xdr:rowOff>
    </xdr:to>
    <xdr:pic>
      <xdr:nvPicPr>
        <xdr:cNvPr id="34" name="Picture 33"/>
        <xdr:cNvPicPr>
          <a:picLocks noChangeAspect="1"/>
        </xdr:cNvPicPr>
      </xdr:nvPicPr>
      <xdr:blipFill>
        <a:blip xmlns:r="http://schemas.openxmlformats.org/officeDocument/2006/relationships" r:embed="rId2"/>
        <a:stretch>
          <a:fillRect/>
        </a:stretch>
      </xdr:blipFill>
      <xdr:spPr>
        <a:xfrm>
          <a:off x="1384299" y="241300"/>
          <a:ext cx="924983" cy="723900"/>
        </a:xfrm>
        <a:prstGeom prst="rect">
          <a:avLst/>
        </a:prstGeom>
      </xdr:spPr>
    </xdr:pic>
    <xdr:clientData/>
  </xdr:twoCellAnchor>
  <xdr:twoCellAnchor>
    <xdr:from>
      <xdr:col>17</xdr:col>
      <xdr:colOff>0</xdr:colOff>
      <xdr:row>9</xdr:row>
      <xdr:rowOff>127000</xdr:rowOff>
    </xdr:from>
    <xdr:to>
      <xdr:col>20</xdr:col>
      <xdr:colOff>800100</xdr:colOff>
      <xdr:row>9</xdr:row>
      <xdr:rowOff>127000</xdr:rowOff>
    </xdr:to>
    <xdr:cxnSp macro="">
      <xdr:nvCxnSpPr>
        <xdr:cNvPr id="4" name="Straight Connector 3"/>
        <xdr:cNvCxnSpPr/>
      </xdr:nvCxnSpPr>
      <xdr:spPr>
        <a:xfrm>
          <a:off x="17195800" y="2705100"/>
          <a:ext cx="3657600" cy="0"/>
        </a:xfrm>
        <a:prstGeom prst="line">
          <a:avLst/>
        </a:prstGeom>
        <a:ln>
          <a:solidFill>
            <a:schemeClr val="accent1"/>
          </a:solidFill>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xdr:col>
      <xdr:colOff>165100</xdr:colOff>
      <xdr:row>9</xdr:row>
      <xdr:rowOff>127000</xdr:rowOff>
    </xdr:from>
    <xdr:to>
      <xdr:col>25</xdr:col>
      <xdr:colOff>12700</xdr:colOff>
      <xdr:row>9</xdr:row>
      <xdr:rowOff>127000</xdr:rowOff>
    </xdr:to>
    <xdr:cxnSp macro="">
      <xdr:nvCxnSpPr>
        <xdr:cNvPr id="37" name="Straight Connector 36"/>
        <xdr:cNvCxnSpPr/>
      </xdr:nvCxnSpPr>
      <xdr:spPr>
        <a:xfrm>
          <a:off x="21158200" y="2705100"/>
          <a:ext cx="3606800" cy="0"/>
        </a:xfrm>
        <a:prstGeom prst="line">
          <a:avLst/>
        </a:prstGeom>
        <a:ln>
          <a:solidFill>
            <a:schemeClr val="accent1"/>
          </a:solidFill>
        </a:ln>
        <a:effectLst/>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36195</xdr:colOff>
      <xdr:row>13</xdr:row>
      <xdr:rowOff>10795</xdr:rowOff>
    </xdr:from>
    <xdr:to>
      <xdr:col>0</xdr:col>
      <xdr:colOff>347345</xdr:colOff>
      <xdr:row>13</xdr:row>
      <xdr:rowOff>189230</xdr:rowOff>
    </xdr:to>
    <xdr:sp macro="[0]!Sheet5.II11" textlink="">
      <xdr:nvSpPr>
        <xdr:cNvPr id="2" name="Rounded Rectangle 1"/>
        <xdr:cNvSpPr/>
      </xdr:nvSpPr>
      <xdr:spPr>
        <a:xfrm>
          <a:off x="36195" y="3439795"/>
          <a:ext cx="3111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36195</xdr:colOff>
      <xdr:row>16</xdr:row>
      <xdr:rowOff>10795</xdr:rowOff>
    </xdr:from>
    <xdr:to>
      <xdr:col>0</xdr:col>
      <xdr:colOff>347345</xdr:colOff>
      <xdr:row>16</xdr:row>
      <xdr:rowOff>189230</xdr:rowOff>
    </xdr:to>
    <xdr:sp macro="[0]!Sheet5.II12" textlink="">
      <xdr:nvSpPr>
        <xdr:cNvPr id="3" name="Rounded Rectangle 2"/>
        <xdr:cNvSpPr/>
      </xdr:nvSpPr>
      <xdr:spPr>
        <a:xfrm>
          <a:off x="36195" y="4011295"/>
          <a:ext cx="3111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36195</xdr:colOff>
      <xdr:row>19</xdr:row>
      <xdr:rowOff>10795</xdr:rowOff>
    </xdr:from>
    <xdr:to>
      <xdr:col>0</xdr:col>
      <xdr:colOff>347345</xdr:colOff>
      <xdr:row>19</xdr:row>
      <xdr:rowOff>189230</xdr:rowOff>
    </xdr:to>
    <xdr:sp macro="[0]!Sheet5.II13" textlink="">
      <xdr:nvSpPr>
        <xdr:cNvPr id="4" name="Rounded Rectangle 3"/>
        <xdr:cNvSpPr/>
      </xdr:nvSpPr>
      <xdr:spPr>
        <a:xfrm>
          <a:off x="36195" y="4582795"/>
          <a:ext cx="3111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36195</xdr:colOff>
      <xdr:row>27</xdr:row>
      <xdr:rowOff>13970</xdr:rowOff>
    </xdr:from>
    <xdr:to>
      <xdr:col>0</xdr:col>
      <xdr:colOff>347345</xdr:colOff>
      <xdr:row>28</xdr:row>
      <xdr:rowOff>1905</xdr:rowOff>
    </xdr:to>
    <xdr:sp macro="[0]!Sheet5.II21" textlink="">
      <xdr:nvSpPr>
        <xdr:cNvPr id="5" name="Rounded Rectangle 4"/>
        <xdr:cNvSpPr/>
      </xdr:nvSpPr>
      <xdr:spPr>
        <a:xfrm>
          <a:off x="36195" y="6160770"/>
          <a:ext cx="3111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36195</xdr:colOff>
      <xdr:row>30</xdr:row>
      <xdr:rowOff>13970</xdr:rowOff>
    </xdr:from>
    <xdr:to>
      <xdr:col>0</xdr:col>
      <xdr:colOff>347345</xdr:colOff>
      <xdr:row>31</xdr:row>
      <xdr:rowOff>1905</xdr:rowOff>
    </xdr:to>
    <xdr:sp macro="[0]!Sheet5.II22" textlink="">
      <xdr:nvSpPr>
        <xdr:cNvPr id="6" name="Rounded Rectangle 5"/>
        <xdr:cNvSpPr/>
      </xdr:nvSpPr>
      <xdr:spPr>
        <a:xfrm>
          <a:off x="36195" y="6732270"/>
          <a:ext cx="3111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36195</xdr:colOff>
      <xdr:row>33</xdr:row>
      <xdr:rowOff>13970</xdr:rowOff>
    </xdr:from>
    <xdr:to>
      <xdr:col>0</xdr:col>
      <xdr:colOff>347345</xdr:colOff>
      <xdr:row>34</xdr:row>
      <xdr:rowOff>1905</xdr:rowOff>
    </xdr:to>
    <xdr:sp macro="[0]!Sheet5.II23" textlink="">
      <xdr:nvSpPr>
        <xdr:cNvPr id="7" name="Rounded Rectangle 6"/>
        <xdr:cNvSpPr/>
      </xdr:nvSpPr>
      <xdr:spPr>
        <a:xfrm>
          <a:off x="36195" y="7303770"/>
          <a:ext cx="3111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36195</xdr:colOff>
      <xdr:row>41</xdr:row>
      <xdr:rowOff>10795</xdr:rowOff>
    </xdr:from>
    <xdr:to>
      <xdr:col>0</xdr:col>
      <xdr:colOff>347345</xdr:colOff>
      <xdr:row>41</xdr:row>
      <xdr:rowOff>189230</xdr:rowOff>
    </xdr:to>
    <xdr:sp macro="[0]!Sheet5.II31" textlink="">
      <xdr:nvSpPr>
        <xdr:cNvPr id="8" name="Rounded Rectangle 7"/>
        <xdr:cNvSpPr/>
      </xdr:nvSpPr>
      <xdr:spPr>
        <a:xfrm>
          <a:off x="36195" y="8900795"/>
          <a:ext cx="3111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36195</xdr:colOff>
      <xdr:row>44</xdr:row>
      <xdr:rowOff>10795</xdr:rowOff>
    </xdr:from>
    <xdr:to>
      <xdr:col>0</xdr:col>
      <xdr:colOff>347345</xdr:colOff>
      <xdr:row>44</xdr:row>
      <xdr:rowOff>189230</xdr:rowOff>
    </xdr:to>
    <xdr:sp macro="[0]!Sheet5.II32" textlink="">
      <xdr:nvSpPr>
        <xdr:cNvPr id="9" name="Rounded Rectangle 8"/>
        <xdr:cNvSpPr/>
      </xdr:nvSpPr>
      <xdr:spPr>
        <a:xfrm>
          <a:off x="36195" y="9472295"/>
          <a:ext cx="3111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36195</xdr:colOff>
      <xdr:row>47</xdr:row>
      <xdr:rowOff>10795</xdr:rowOff>
    </xdr:from>
    <xdr:to>
      <xdr:col>0</xdr:col>
      <xdr:colOff>347345</xdr:colOff>
      <xdr:row>47</xdr:row>
      <xdr:rowOff>189230</xdr:rowOff>
    </xdr:to>
    <xdr:sp macro="[0]!Sheet5.II33" textlink="">
      <xdr:nvSpPr>
        <xdr:cNvPr id="10" name="Rounded Rectangle 9"/>
        <xdr:cNvSpPr/>
      </xdr:nvSpPr>
      <xdr:spPr>
        <a:xfrm>
          <a:off x="36195" y="10043795"/>
          <a:ext cx="3111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36195</xdr:colOff>
      <xdr:row>55</xdr:row>
      <xdr:rowOff>13970</xdr:rowOff>
    </xdr:from>
    <xdr:to>
      <xdr:col>0</xdr:col>
      <xdr:colOff>347345</xdr:colOff>
      <xdr:row>56</xdr:row>
      <xdr:rowOff>1905</xdr:rowOff>
    </xdr:to>
    <xdr:sp macro="[0]!Sheet5.II41" textlink="">
      <xdr:nvSpPr>
        <xdr:cNvPr id="11" name="Rounded Rectangle 10"/>
        <xdr:cNvSpPr/>
      </xdr:nvSpPr>
      <xdr:spPr>
        <a:xfrm>
          <a:off x="36195" y="11647170"/>
          <a:ext cx="3111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36195</xdr:colOff>
      <xdr:row>58</xdr:row>
      <xdr:rowOff>13970</xdr:rowOff>
    </xdr:from>
    <xdr:to>
      <xdr:col>0</xdr:col>
      <xdr:colOff>347345</xdr:colOff>
      <xdr:row>59</xdr:row>
      <xdr:rowOff>1905</xdr:rowOff>
    </xdr:to>
    <xdr:sp macro="[0]!Sheet5.II42" textlink="">
      <xdr:nvSpPr>
        <xdr:cNvPr id="12" name="Rounded Rectangle 11"/>
        <xdr:cNvSpPr/>
      </xdr:nvSpPr>
      <xdr:spPr>
        <a:xfrm>
          <a:off x="36195" y="12218670"/>
          <a:ext cx="3111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36195</xdr:colOff>
      <xdr:row>61</xdr:row>
      <xdr:rowOff>13970</xdr:rowOff>
    </xdr:from>
    <xdr:to>
      <xdr:col>0</xdr:col>
      <xdr:colOff>347345</xdr:colOff>
      <xdr:row>62</xdr:row>
      <xdr:rowOff>1905</xdr:rowOff>
    </xdr:to>
    <xdr:sp macro="[0]!Sheet5.II43" textlink="">
      <xdr:nvSpPr>
        <xdr:cNvPr id="13" name="Rounded Rectangle 12"/>
        <xdr:cNvSpPr/>
      </xdr:nvSpPr>
      <xdr:spPr>
        <a:xfrm>
          <a:off x="36195" y="12790170"/>
          <a:ext cx="3111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36195</xdr:colOff>
      <xdr:row>69</xdr:row>
      <xdr:rowOff>10795</xdr:rowOff>
    </xdr:from>
    <xdr:to>
      <xdr:col>0</xdr:col>
      <xdr:colOff>347345</xdr:colOff>
      <xdr:row>69</xdr:row>
      <xdr:rowOff>189230</xdr:rowOff>
    </xdr:to>
    <xdr:sp macro="[0]!Sheet5.II51" textlink="">
      <xdr:nvSpPr>
        <xdr:cNvPr id="14" name="Rounded Rectangle 13"/>
        <xdr:cNvSpPr/>
      </xdr:nvSpPr>
      <xdr:spPr>
        <a:xfrm>
          <a:off x="36195" y="14387195"/>
          <a:ext cx="3111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36195</xdr:colOff>
      <xdr:row>72</xdr:row>
      <xdr:rowOff>10795</xdr:rowOff>
    </xdr:from>
    <xdr:to>
      <xdr:col>0</xdr:col>
      <xdr:colOff>347345</xdr:colOff>
      <xdr:row>72</xdr:row>
      <xdr:rowOff>189230</xdr:rowOff>
    </xdr:to>
    <xdr:sp macro="[0]!Sheet5.II52" textlink="">
      <xdr:nvSpPr>
        <xdr:cNvPr id="15" name="Rounded Rectangle 14"/>
        <xdr:cNvSpPr/>
      </xdr:nvSpPr>
      <xdr:spPr>
        <a:xfrm>
          <a:off x="36195" y="14958695"/>
          <a:ext cx="3111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36195</xdr:colOff>
      <xdr:row>75</xdr:row>
      <xdr:rowOff>10795</xdr:rowOff>
    </xdr:from>
    <xdr:to>
      <xdr:col>0</xdr:col>
      <xdr:colOff>347345</xdr:colOff>
      <xdr:row>75</xdr:row>
      <xdr:rowOff>189230</xdr:rowOff>
    </xdr:to>
    <xdr:sp macro="[0]!Sheet5.II53" textlink="">
      <xdr:nvSpPr>
        <xdr:cNvPr id="16" name="Rounded Rectangle 15"/>
        <xdr:cNvSpPr/>
      </xdr:nvSpPr>
      <xdr:spPr>
        <a:xfrm>
          <a:off x="36195" y="15530195"/>
          <a:ext cx="3111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editAs="oneCell">
    <xdr:from>
      <xdr:col>2</xdr:col>
      <xdr:colOff>139700</xdr:colOff>
      <xdr:row>1</xdr:row>
      <xdr:rowOff>0</xdr:rowOff>
    </xdr:from>
    <xdr:to>
      <xdr:col>2</xdr:col>
      <xdr:colOff>860425</xdr:colOff>
      <xdr:row>2</xdr:row>
      <xdr:rowOff>377106</xdr:rowOff>
    </xdr:to>
    <xdr:pic>
      <xdr:nvPicPr>
        <xdr:cNvPr id="18" name="Picture 17" descr="C40 Logo White (CMYK).p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65300" y="190500"/>
          <a:ext cx="720725" cy="770806"/>
        </a:xfrm>
        <a:prstGeom prst="rect">
          <a:avLst/>
        </a:prstGeom>
        <a:ln>
          <a:noFill/>
        </a:ln>
      </xdr:spPr>
    </xdr:pic>
    <xdr:clientData/>
  </xdr:twoCellAnchor>
  <xdr:twoCellAnchor editAs="oneCell">
    <xdr:from>
      <xdr:col>2</xdr:col>
      <xdr:colOff>38099</xdr:colOff>
      <xdr:row>1</xdr:row>
      <xdr:rowOff>50800</xdr:rowOff>
    </xdr:from>
    <xdr:to>
      <xdr:col>2</xdr:col>
      <xdr:colOff>963082</xdr:colOff>
      <xdr:row>2</xdr:row>
      <xdr:rowOff>381000</xdr:rowOff>
    </xdr:to>
    <xdr:pic>
      <xdr:nvPicPr>
        <xdr:cNvPr id="20" name="Picture 19"/>
        <xdr:cNvPicPr>
          <a:picLocks noChangeAspect="1"/>
        </xdr:cNvPicPr>
      </xdr:nvPicPr>
      <xdr:blipFill>
        <a:blip xmlns:r="http://schemas.openxmlformats.org/officeDocument/2006/relationships" r:embed="rId2"/>
        <a:stretch>
          <a:fillRect/>
        </a:stretch>
      </xdr:blipFill>
      <xdr:spPr>
        <a:xfrm>
          <a:off x="1384299" y="241300"/>
          <a:ext cx="924983" cy="7239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0</xdr:col>
      <xdr:colOff>34925</xdr:colOff>
      <xdr:row>13</xdr:row>
      <xdr:rowOff>13335</xdr:rowOff>
    </xdr:from>
    <xdr:to>
      <xdr:col>0</xdr:col>
      <xdr:colOff>346075</xdr:colOff>
      <xdr:row>13</xdr:row>
      <xdr:rowOff>186690</xdr:rowOff>
    </xdr:to>
    <xdr:sp macro="[0]!Sheet6.III11" textlink="">
      <xdr:nvSpPr>
        <xdr:cNvPr id="2" name="Rounded Rectangle 1"/>
        <xdr:cNvSpPr/>
      </xdr:nvSpPr>
      <xdr:spPr>
        <a:xfrm>
          <a:off x="34925" y="3416935"/>
          <a:ext cx="311150" cy="17335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34925</xdr:colOff>
      <xdr:row>16</xdr:row>
      <xdr:rowOff>8255</xdr:rowOff>
    </xdr:from>
    <xdr:to>
      <xdr:col>0</xdr:col>
      <xdr:colOff>346075</xdr:colOff>
      <xdr:row>16</xdr:row>
      <xdr:rowOff>186690</xdr:rowOff>
    </xdr:to>
    <xdr:sp macro="[0]!Sheet6.III12" textlink="">
      <xdr:nvSpPr>
        <xdr:cNvPr id="3" name="Rounded Rectangle 2"/>
        <xdr:cNvSpPr/>
      </xdr:nvSpPr>
      <xdr:spPr>
        <a:xfrm>
          <a:off x="34925" y="3983355"/>
          <a:ext cx="3111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34925</xdr:colOff>
      <xdr:row>19</xdr:row>
      <xdr:rowOff>8255</xdr:rowOff>
    </xdr:from>
    <xdr:to>
      <xdr:col>0</xdr:col>
      <xdr:colOff>346075</xdr:colOff>
      <xdr:row>19</xdr:row>
      <xdr:rowOff>184150</xdr:rowOff>
    </xdr:to>
    <xdr:sp macro="[0]!Sheet6.III13" textlink="">
      <xdr:nvSpPr>
        <xdr:cNvPr id="4" name="Rounded Rectangle 3"/>
        <xdr:cNvSpPr/>
      </xdr:nvSpPr>
      <xdr:spPr>
        <a:xfrm>
          <a:off x="34925" y="4554855"/>
          <a:ext cx="311150" cy="17589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34925</xdr:colOff>
      <xdr:row>27</xdr:row>
      <xdr:rowOff>10160</xdr:rowOff>
    </xdr:from>
    <xdr:to>
      <xdr:col>0</xdr:col>
      <xdr:colOff>346075</xdr:colOff>
      <xdr:row>27</xdr:row>
      <xdr:rowOff>188595</xdr:rowOff>
    </xdr:to>
    <xdr:sp macro="[0]!Sheet6.III21" textlink="">
      <xdr:nvSpPr>
        <xdr:cNvPr id="5" name="Rounded Rectangle 4"/>
        <xdr:cNvSpPr/>
      </xdr:nvSpPr>
      <xdr:spPr>
        <a:xfrm>
          <a:off x="34925" y="6156960"/>
          <a:ext cx="3111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34925</xdr:colOff>
      <xdr:row>30</xdr:row>
      <xdr:rowOff>8255</xdr:rowOff>
    </xdr:from>
    <xdr:to>
      <xdr:col>0</xdr:col>
      <xdr:colOff>346075</xdr:colOff>
      <xdr:row>30</xdr:row>
      <xdr:rowOff>186690</xdr:rowOff>
    </xdr:to>
    <xdr:sp macro="[0]!Sheet6.III22" textlink="">
      <xdr:nvSpPr>
        <xdr:cNvPr id="6" name="Rounded Rectangle 5"/>
        <xdr:cNvSpPr/>
      </xdr:nvSpPr>
      <xdr:spPr>
        <a:xfrm>
          <a:off x="34925" y="6726555"/>
          <a:ext cx="3111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34925</xdr:colOff>
      <xdr:row>33</xdr:row>
      <xdr:rowOff>11430</xdr:rowOff>
    </xdr:from>
    <xdr:to>
      <xdr:col>0</xdr:col>
      <xdr:colOff>346075</xdr:colOff>
      <xdr:row>33</xdr:row>
      <xdr:rowOff>187325</xdr:rowOff>
    </xdr:to>
    <xdr:sp macro="[0]!Sheet6.III23" textlink="">
      <xdr:nvSpPr>
        <xdr:cNvPr id="7" name="Rounded Rectangle 6"/>
        <xdr:cNvSpPr/>
      </xdr:nvSpPr>
      <xdr:spPr>
        <a:xfrm>
          <a:off x="34925" y="7301230"/>
          <a:ext cx="311150" cy="17589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38735</xdr:colOff>
      <xdr:row>41</xdr:row>
      <xdr:rowOff>7620</xdr:rowOff>
    </xdr:from>
    <xdr:to>
      <xdr:col>0</xdr:col>
      <xdr:colOff>337185</xdr:colOff>
      <xdr:row>41</xdr:row>
      <xdr:rowOff>186055</xdr:rowOff>
    </xdr:to>
    <xdr:sp macro="[0]!Sheet6.III31" textlink="">
      <xdr:nvSpPr>
        <xdr:cNvPr id="14" name="Rounded Rectangle 13"/>
        <xdr:cNvSpPr/>
      </xdr:nvSpPr>
      <xdr:spPr>
        <a:xfrm>
          <a:off x="38735" y="8897620"/>
          <a:ext cx="2984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38735</xdr:colOff>
      <xdr:row>44</xdr:row>
      <xdr:rowOff>5715</xdr:rowOff>
    </xdr:from>
    <xdr:to>
      <xdr:col>0</xdr:col>
      <xdr:colOff>337185</xdr:colOff>
      <xdr:row>44</xdr:row>
      <xdr:rowOff>184150</xdr:rowOff>
    </xdr:to>
    <xdr:sp macro="[0]!Sheet6.III32" textlink="">
      <xdr:nvSpPr>
        <xdr:cNvPr id="15" name="Rounded Rectangle 14"/>
        <xdr:cNvSpPr/>
      </xdr:nvSpPr>
      <xdr:spPr>
        <a:xfrm>
          <a:off x="38735" y="9467215"/>
          <a:ext cx="2984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38735</xdr:colOff>
      <xdr:row>47</xdr:row>
      <xdr:rowOff>9525</xdr:rowOff>
    </xdr:from>
    <xdr:to>
      <xdr:col>0</xdr:col>
      <xdr:colOff>337185</xdr:colOff>
      <xdr:row>47</xdr:row>
      <xdr:rowOff>185420</xdr:rowOff>
    </xdr:to>
    <xdr:sp macro="[0]!Sheet6.III33" textlink="">
      <xdr:nvSpPr>
        <xdr:cNvPr id="16" name="Rounded Rectangle 15"/>
        <xdr:cNvSpPr/>
      </xdr:nvSpPr>
      <xdr:spPr>
        <a:xfrm>
          <a:off x="38735" y="10042525"/>
          <a:ext cx="298450" cy="17589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37465</xdr:colOff>
      <xdr:row>55</xdr:row>
      <xdr:rowOff>7620</xdr:rowOff>
    </xdr:from>
    <xdr:to>
      <xdr:col>0</xdr:col>
      <xdr:colOff>348615</xdr:colOff>
      <xdr:row>55</xdr:row>
      <xdr:rowOff>186055</xdr:rowOff>
    </xdr:to>
    <xdr:sp macro="[0]!Sheet6.III41" textlink="">
      <xdr:nvSpPr>
        <xdr:cNvPr id="17" name="Rounded Rectangle 16"/>
        <xdr:cNvSpPr/>
      </xdr:nvSpPr>
      <xdr:spPr>
        <a:xfrm>
          <a:off x="37465" y="11640820"/>
          <a:ext cx="3111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37465</xdr:colOff>
      <xdr:row>58</xdr:row>
      <xdr:rowOff>5715</xdr:rowOff>
    </xdr:from>
    <xdr:to>
      <xdr:col>0</xdr:col>
      <xdr:colOff>348615</xdr:colOff>
      <xdr:row>58</xdr:row>
      <xdr:rowOff>184150</xdr:rowOff>
    </xdr:to>
    <xdr:sp macro="[0]!Sheet6.III42" textlink="">
      <xdr:nvSpPr>
        <xdr:cNvPr id="18" name="Rounded Rectangle 17"/>
        <xdr:cNvSpPr/>
      </xdr:nvSpPr>
      <xdr:spPr>
        <a:xfrm>
          <a:off x="37465" y="12210415"/>
          <a:ext cx="3111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37465</xdr:colOff>
      <xdr:row>61</xdr:row>
      <xdr:rowOff>6350</xdr:rowOff>
    </xdr:from>
    <xdr:to>
      <xdr:col>0</xdr:col>
      <xdr:colOff>348615</xdr:colOff>
      <xdr:row>61</xdr:row>
      <xdr:rowOff>182245</xdr:rowOff>
    </xdr:to>
    <xdr:sp macro="[0]!Sheet6.III43" textlink="">
      <xdr:nvSpPr>
        <xdr:cNvPr id="19" name="Rounded Rectangle 18"/>
        <xdr:cNvSpPr/>
      </xdr:nvSpPr>
      <xdr:spPr>
        <a:xfrm>
          <a:off x="37465" y="12782550"/>
          <a:ext cx="311150" cy="17589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editAs="oneCell">
    <xdr:from>
      <xdr:col>2</xdr:col>
      <xdr:colOff>38099</xdr:colOff>
      <xdr:row>1</xdr:row>
      <xdr:rowOff>50800</xdr:rowOff>
    </xdr:from>
    <xdr:to>
      <xdr:col>2</xdr:col>
      <xdr:colOff>963082</xdr:colOff>
      <xdr:row>2</xdr:row>
      <xdr:rowOff>381000</xdr:rowOff>
    </xdr:to>
    <xdr:pic>
      <xdr:nvPicPr>
        <xdr:cNvPr id="20" name="Picture 19"/>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0</xdr:col>
      <xdr:colOff>36195</xdr:colOff>
      <xdr:row>13</xdr:row>
      <xdr:rowOff>13335</xdr:rowOff>
    </xdr:from>
    <xdr:to>
      <xdr:col>0</xdr:col>
      <xdr:colOff>347345</xdr:colOff>
      <xdr:row>13</xdr:row>
      <xdr:rowOff>189230</xdr:rowOff>
    </xdr:to>
    <xdr:sp macro="[0]!Sheet7.IV1" textlink="">
      <xdr:nvSpPr>
        <xdr:cNvPr id="2" name="Rounded Rectangle 1"/>
        <xdr:cNvSpPr/>
      </xdr:nvSpPr>
      <xdr:spPr>
        <a:xfrm>
          <a:off x="36195" y="3416935"/>
          <a:ext cx="311150" cy="17589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36195</xdr:colOff>
      <xdr:row>21</xdr:row>
      <xdr:rowOff>8890</xdr:rowOff>
    </xdr:from>
    <xdr:to>
      <xdr:col>0</xdr:col>
      <xdr:colOff>347345</xdr:colOff>
      <xdr:row>21</xdr:row>
      <xdr:rowOff>189865</xdr:rowOff>
    </xdr:to>
    <xdr:sp macro="[0]!Sheet7.IV2" textlink="">
      <xdr:nvSpPr>
        <xdr:cNvPr id="3" name="Rounded Rectangle 2"/>
        <xdr:cNvSpPr/>
      </xdr:nvSpPr>
      <xdr:spPr>
        <a:xfrm>
          <a:off x="36195" y="4453890"/>
          <a:ext cx="311150" cy="1809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editAs="oneCell">
    <xdr:from>
      <xdr:col>2</xdr:col>
      <xdr:colOff>38099</xdr:colOff>
      <xdr:row>1</xdr:row>
      <xdr:rowOff>50800</xdr:rowOff>
    </xdr:from>
    <xdr:to>
      <xdr:col>2</xdr:col>
      <xdr:colOff>963082</xdr:colOff>
      <xdr:row>2</xdr:row>
      <xdr:rowOff>381000</xdr:rowOff>
    </xdr:to>
    <xdr:pic>
      <xdr:nvPicPr>
        <xdr:cNvPr id="5" name="Picture 4"/>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0</xdr:col>
      <xdr:colOff>42545</xdr:colOff>
      <xdr:row>21</xdr:row>
      <xdr:rowOff>12700</xdr:rowOff>
    </xdr:from>
    <xdr:to>
      <xdr:col>0</xdr:col>
      <xdr:colOff>340995</xdr:colOff>
      <xdr:row>21</xdr:row>
      <xdr:rowOff>186055</xdr:rowOff>
    </xdr:to>
    <xdr:sp macro="[0]!Sheet8.V2" textlink="">
      <xdr:nvSpPr>
        <xdr:cNvPr id="2" name="Rounded Rectangle 1"/>
        <xdr:cNvSpPr/>
      </xdr:nvSpPr>
      <xdr:spPr>
        <a:xfrm>
          <a:off x="42545" y="5016500"/>
          <a:ext cx="298450" cy="17335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42545</xdr:colOff>
      <xdr:row>29</xdr:row>
      <xdr:rowOff>10795</xdr:rowOff>
    </xdr:from>
    <xdr:to>
      <xdr:col>0</xdr:col>
      <xdr:colOff>340995</xdr:colOff>
      <xdr:row>29</xdr:row>
      <xdr:rowOff>189230</xdr:rowOff>
    </xdr:to>
    <xdr:sp macro="[0]!Sheet8.V3" textlink="">
      <xdr:nvSpPr>
        <xdr:cNvPr id="3" name="Rounded Rectangle 2"/>
        <xdr:cNvSpPr/>
      </xdr:nvSpPr>
      <xdr:spPr>
        <a:xfrm>
          <a:off x="42545" y="6805295"/>
          <a:ext cx="298450" cy="17843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xdr:from>
      <xdr:col>0</xdr:col>
      <xdr:colOff>42545</xdr:colOff>
      <xdr:row>13</xdr:row>
      <xdr:rowOff>12065</xdr:rowOff>
    </xdr:from>
    <xdr:to>
      <xdr:col>0</xdr:col>
      <xdr:colOff>340995</xdr:colOff>
      <xdr:row>13</xdr:row>
      <xdr:rowOff>182880</xdr:rowOff>
    </xdr:to>
    <xdr:sp macro="[0]!Sheet8.V1" textlink="">
      <xdr:nvSpPr>
        <xdr:cNvPr id="4" name="Rounded Rectangle 3"/>
        <xdr:cNvSpPr/>
      </xdr:nvSpPr>
      <xdr:spPr>
        <a:xfrm>
          <a:off x="42545" y="3415665"/>
          <a:ext cx="298450" cy="17081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editAs="oneCell">
    <xdr:from>
      <xdr:col>2</xdr:col>
      <xdr:colOff>38099</xdr:colOff>
      <xdr:row>1</xdr:row>
      <xdr:rowOff>50800</xdr:rowOff>
    </xdr:from>
    <xdr:to>
      <xdr:col>2</xdr:col>
      <xdr:colOff>963082</xdr:colOff>
      <xdr:row>2</xdr:row>
      <xdr:rowOff>381000</xdr:rowOff>
    </xdr:to>
    <xdr:pic>
      <xdr:nvPicPr>
        <xdr:cNvPr id="8" name="Picture 7"/>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34290</xdr:colOff>
      <xdr:row>13</xdr:row>
      <xdr:rowOff>11430</xdr:rowOff>
    </xdr:from>
    <xdr:to>
      <xdr:col>0</xdr:col>
      <xdr:colOff>332740</xdr:colOff>
      <xdr:row>13</xdr:row>
      <xdr:rowOff>179705</xdr:rowOff>
    </xdr:to>
    <xdr:sp macro="[0]!Sheet9.VI1" textlink="">
      <xdr:nvSpPr>
        <xdr:cNvPr id="2" name="Rounded Rectangle 1"/>
        <xdr:cNvSpPr/>
      </xdr:nvSpPr>
      <xdr:spPr>
        <a:xfrm>
          <a:off x="34290" y="3034030"/>
          <a:ext cx="298450" cy="168275"/>
        </a:xfrm>
        <a:prstGeom prst="roundRect">
          <a:avLst/>
        </a:prstGeom>
        <a:solidFill>
          <a:schemeClr val="bg1">
            <a:lumMod val="85000"/>
          </a:schemeClr>
        </a:solidFill>
        <a:effectLst/>
      </xdr:spPr>
      <xdr:style>
        <a:lnRef idx="1">
          <a:schemeClr val="dk1"/>
        </a:lnRef>
        <a:fillRef idx="2">
          <a:schemeClr val="dk1"/>
        </a:fillRef>
        <a:effectRef idx="1">
          <a:schemeClr val="dk1"/>
        </a:effectRef>
        <a:fontRef idx="minor">
          <a:schemeClr val="dk1"/>
        </a:fontRef>
      </xdr:style>
      <xdr:txBody>
        <a:bodyPr vertOverflow="clip" horzOverflow="clip" lIns="36000" tIns="18000" rIns="36000" rtlCol="0" anchor="ctr"/>
        <a:lstStyle/>
        <a:p>
          <a:pPr algn="ctr"/>
          <a:r>
            <a:rPr lang="en-US" sz="1000"/>
            <a:t>Add</a:t>
          </a:r>
        </a:p>
      </xdr:txBody>
    </xdr:sp>
    <xdr:clientData/>
  </xdr:twoCellAnchor>
  <xdr:twoCellAnchor editAs="oneCell">
    <xdr:from>
      <xdr:col>2</xdr:col>
      <xdr:colOff>111124</xdr:colOff>
      <xdr:row>1</xdr:row>
      <xdr:rowOff>10201</xdr:rowOff>
    </xdr:from>
    <xdr:to>
      <xdr:col>2</xdr:col>
      <xdr:colOff>831849</xdr:colOff>
      <xdr:row>2</xdr:row>
      <xdr:rowOff>387307</xdr:rowOff>
    </xdr:to>
    <xdr:pic>
      <xdr:nvPicPr>
        <xdr:cNvPr id="3" name="Picture 2" descr="C40 Logo White (CMYK).p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4" y="200701"/>
          <a:ext cx="720725" cy="770806"/>
        </a:xfrm>
        <a:prstGeom prst="rect">
          <a:avLst/>
        </a:prstGeom>
        <a:ln>
          <a:noFill/>
        </a:ln>
      </xdr:spPr>
    </xdr:pic>
    <xdr:clientData/>
  </xdr:twoCellAnchor>
  <xdr:twoCellAnchor editAs="oneCell">
    <xdr:from>
      <xdr:col>2</xdr:col>
      <xdr:colOff>38099</xdr:colOff>
      <xdr:row>1</xdr:row>
      <xdr:rowOff>50800</xdr:rowOff>
    </xdr:from>
    <xdr:to>
      <xdr:col>2</xdr:col>
      <xdr:colOff>963082</xdr:colOff>
      <xdr:row>2</xdr:row>
      <xdr:rowOff>381000</xdr:rowOff>
    </xdr:to>
    <xdr:pic>
      <xdr:nvPicPr>
        <xdr:cNvPr id="6" name="Picture 5"/>
        <xdr:cNvPicPr>
          <a:picLocks noChangeAspect="1"/>
        </xdr:cNvPicPr>
      </xdr:nvPicPr>
      <xdr:blipFill>
        <a:blip xmlns:r="http://schemas.openxmlformats.org/officeDocument/2006/relationships" r:embed="rId2"/>
        <a:stretch>
          <a:fillRect/>
        </a:stretch>
      </xdr:blipFill>
      <xdr:spPr>
        <a:xfrm>
          <a:off x="1384299" y="241300"/>
          <a:ext cx="924983" cy="7239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3" name="Picture 2"/>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8</xdr:col>
      <xdr:colOff>50800</xdr:colOff>
      <xdr:row>83</xdr:row>
      <xdr:rowOff>6350</xdr:rowOff>
    </xdr:from>
    <xdr:to>
      <xdr:col>12</xdr:col>
      <xdr:colOff>952500</xdr:colOff>
      <xdr:row>94</xdr:row>
      <xdr:rowOff>12700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83</xdr:row>
      <xdr:rowOff>12700</xdr:rowOff>
    </xdr:from>
    <xdr:to>
      <xdr:col>11</xdr:col>
      <xdr:colOff>292100</xdr:colOff>
      <xdr:row>94</xdr:row>
      <xdr:rowOff>12700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110490</xdr:colOff>
      <xdr:row>12</xdr:row>
      <xdr:rowOff>60292</xdr:rowOff>
    </xdr:from>
    <xdr:to>
      <xdr:col>1</xdr:col>
      <xdr:colOff>881684</xdr:colOff>
      <xdr:row>12</xdr:row>
      <xdr:rowOff>584200</xdr:rowOff>
    </xdr:to>
    <xdr:pic>
      <xdr:nvPicPr>
        <xdr:cNvPr id="9" name="Picture 8"/>
        <xdr:cNvPicPr>
          <a:picLocks noChangeAspect="1"/>
        </xdr:cNvPicPr>
      </xdr:nvPicPr>
      <xdr:blipFill>
        <a:blip xmlns:r="http://schemas.openxmlformats.org/officeDocument/2006/relationships" r:embed="rId3"/>
        <a:stretch>
          <a:fillRect/>
        </a:stretch>
      </xdr:blipFill>
      <xdr:spPr>
        <a:xfrm>
          <a:off x="478790" y="2587592"/>
          <a:ext cx="771194" cy="523908"/>
        </a:xfrm>
        <a:prstGeom prst="rect">
          <a:avLst/>
        </a:prstGeom>
      </xdr:spPr>
    </xdr:pic>
    <xdr:clientData/>
  </xdr:twoCellAnchor>
  <xdr:twoCellAnchor editAs="oneCell">
    <xdr:from>
      <xdr:col>1</xdr:col>
      <xdr:colOff>127000</xdr:colOff>
      <xdr:row>15</xdr:row>
      <xdr:rowOff>566672</xdr:rowOff>
    </xdr:from>
    <xdr:to>
      <xdr:col>1</xdr:col>
      <xdr:colOff>869950</xdr:colOff>
      <xdr:row>17</xdr:row>
      <xdr:rowOff>46098</xdr:rowOff>
    </xdr:to>
    <xdr:pic>
      <xdr:nvPicPr>
        <xdr:cNvPr id="15" name="Picture 14"/>
        <xdr:cNvPicPr>
          <a:picLocks noChangeAspect="1"/>
        </xdr:cNvPicPr>
      </xdr:nvPicPr>
      <xdr:blipFill>
        <a:blip xmlns:r="http://schemas.openxmlformats.org/officeDocument/2006/relationships" r:embed="rId4"/>
        <a:stretch>
          <a:fillRect/>
        </a:stretch>
      </xdr:blipFill>
      <xdr:spPr>
        <a:xfrm>
          <a:off x="495300" y="5443472"/>
          <a:ext cx="742950" cy="749426"/>
        </a:xfrm>
        <a:prstGeom prst="rect">
          <a:avLst/>
        </a:prstGeom>
      </xdr:spPr>
    </xdr:pic>
    <xdr:clientData/>
  </xdr:twoCellAnchor>
  <xdr:twoCellAnchor editAs="oneCell">
    <xdr:from>
      <xdr:col>1</xdr:col>
      <xdr:colOff>241300</xdr:colOff>
      <xdr:row>15</xdr:row>
      <xdr:rowOff>70152</xdr:rowOff>
    </xdr:from>
    <xdr:to>
      <xdr:col>1</xdr:col>
      <xdr:colOff>868456</xdr:colOff>
      <xdr:row>15</xdr:row>
      <xdr:rowOff>608618</xdr:rowOff>
    </xdr:to>
    <xdr:pic>
      <xdr:nvPicPr>
        <xdr:cNvPr id="16" name="Picture 15"/>
        <xdr:cNvPicPr>
          <a:picLocks noChangeAspect="1"/>
        </xdr:cNvPicPr>
      </xdr:nvPicPr>
      <xdr:blipFill>
        <a:blip xmlns:r="http://schemas.openxmlformats.org/officeDocument/2006/relationships" r:embed="rId5"/>
        <a:stretch>
          <a:fillRect/>
        </a:stretch>
      </xdr:blipFill>
      <xdr:spPr>
        <a:xfrm>
          <a:off x="609600" y="4946952"/>
          <a:ext cx="627156" cy="538466"/>
        </a:xfrm>
        <a:prstGeom prst="rect">
          <a:avLst/>
        </a:prstGeom>
      </xdr:spPr>
    </xdr:pic>
    <xdr:clientData/>
  </xdr:twoCellAnchor>
  <xdr:twoCellAnchor editAs="oneCell">
    <xdr:from>
      <xdr:col>1</xdr:col>
      <xdr:colOff>165101</xdr:colOff>
      <xdr:row>13</xdr:row>
      <xdr:rowOff>609138</xdr:rowOff>
    </xdr:from>
    <xdr:to>
      <xdr:col>1</xdr:col>
      <xdr:colOff>863601</xdr:colOff>
      <xdr:row>14</xdr:row>
      <xdr:rowOff>617597</xdr:rowOff>
    </xdr:to>
    <xdr:pic>
      <xdr:nvPicPr>
        <xdr:cNvPr id="17" name="Picture 16"/>
        <xdr:cNvPicPr>
          <a:picLocks noChangeAspect="1"/>
        </xdr:cNvPicPr>
      </xdr:nvPicPr>
      <xdr:blipFill>
        <a:blip xmlns:r="http://schemas.openxmlformats.org/officeDocument/2006/relationships" r:embed="rId6"/>
        <a:stretch>
          <a:fillRect/>
        </a:stretch>
      </xdr:blipFill>
      <xdr:spPr>
        <a:xfrm>
          <a:off x="533401" y="4215938"/>
          <a:ext cx="698500" cy="643459"/>
        </a:xfrm>
        <a:prstGeom prst="rect">
          <a:avLst/>
        </a:prstGeom>
      </xdr:spPr>
    </xdr:pic>
    <xdr:clientData/>
  </xdr:twoCellAnchor>
  <xdr:twoCellAnchor editAs="oneCell">
    <xdr:from>
      <xdr:col>1</xdr:col>
      <xdr:colOff>116469</xdr:colOff>
      <xdr:row>12</xdr:row>
      <xdr:rowOff>548368</xdr:rowOff>
    </xdr:from>
    <xdr:to>
      <xdr:col>1</xdr:col>
      <xdr:colOff>915485</xdr:colOff>
      <xdr:row>14</xdr:row>
      <xdr:rowOff>68036</xdr:rowOff>
    </xdr:to>
    <xdr:pic>
      <xdr:nvPicPr>
        <xdr:cNvPr id="18" name="Picture 17"/>
        <xdr:cNvPicPr>
          <a:picLocks noChangeAspect="1"/>
        </xdr:cNvPicPr>
      </xdr:nvPicPr>
      <xdr:blipFill>
        <a:blip xmlns:r="http://schemas.openxmlformats.org/officeDocument/2006/relationships" r:embed="rId7"/>
        <a:stretch>
          <a:fillRect/>
        </a:stretch>
      </xdr:blipFill>
      <xdr:spPr>
        <a:xfrm>
          <a:off x="484769" y="3520168"/>
          <a:ext cx="799016" cy="789668"/>
        </a:xfrm>
        <a:prstGeom prst="rect">
          <a:avLst/>
        </a:prstGeom>
      </xdr:spPr>
    </xdr:pic>
    <xdr:clientData/>
  </xdr:twoCellAnchor>
  <xdr:twoCellAnchor editAs="oneCell">
    <xdr:from>
      <xdr:col>1</xdr:col>
      <xdr:colOff>183340</xdr:colOff>
      <xdr:row>17</xdr:row>
      <xdr:rowOff>40072</xdr:rowOff>
    </xdr:from>
    <xdr:to>
      <xdr:col>1</xdr:col>
      <xdr:colOff>802870</xdr:colOff>
      <xdr:row>17</xdr:row>
      <xdr:rowOff>617599</xdr:rowOff>
    </xdr:to>
    <xdr:pic>
      <xdr:nvPicPr>
        <xdr:cNvPr id="19" name="Picture 18"/>
        <xdr:cNvPicPr>
          <a:picLocks noChangeAspect="1"/>
        </xdr:cNvPicPr>
      </xdr:nvPicPr>
      <xdr:blipFill>
        <a:blip xmlns:r="http://schemas.openxmlformats.org/officeDocument/2006/relationships" r:embed="rId8"/>
        <a:stretch>
          <a:fillRect/>
        </a:stretch>
      </xdr:blipFill>
      <xdr:spPr>
        <a:xfrm>
          <a:off x="551640" y="6186872"/>
          <a:ext cx="619530" cy="577527"/>
        </a:xfrm>
        <a:prstGeom prst="rect">
          <a:avLst/>
        </a:prstGeom>
      </xdr:spPr>
    </xdr:pic>
    <xdr:clientData/>
  </xdr:twoCellAnchor>
  <xdr:twoCellAnchor>
    <xdr:from>
      <xdr:col>10</xdr:col>
      <xdr:colOff>203200</xdr:colOff>
      <xdr:row>11</xdr:row>
      <xdr:rowOff>419100</xdr:rowOff>
    </xdr:from>
    <xdr:to>
      <xdr:col>15</xdr:col>
      <xdr:colOff>139700</xdr:colOff>
      <xdr:row>18</xdr:row>
      <xdr:rowOff>622300</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xdr:col>
      <xdr:colOff>203200</xdr:colOff>
      <xdr:row>18</xdr:row>
      <xdr:rowOff>76200</xdr:rowOff>
    </xdr:from>
    <xdr:to>
      <xdr:col>1</xdr:col>
      <xdr:colOff>760355</xdr:colOff>
      <xdr:row>18</xdr:row>
      <xdr:rowOff>609600</xdr:rowOff>
    </xdr:to>
    <xdr:pic>
      <xdr:nvPicPr>
        <xdr:cNvPr id="3" name="Picture 2"/>
        <xdr:cNvPicPr>
          <a:picLocks noChangeAspect="1"/>
        </xdr:cNvPicPr>
      </xdr:nvPicPr>
      <xdr:blipFill>
        <a:blip xmlns:r="http://schemas.openxmlformats.org/officeDocument/2006/relationships" r:embed="rId10"/>
        <a:stretch>
          <a:fillRect/>
        </a:stretch>
      </xdr:blipFill>
      <xdr:spPr>
        <a:xfrm>
          <a:off x="571500" y="7429500"/>
          <a:ext cx="557155" cy="533400"/>
        </a:xfrm>
        <a:prstGeom prst="rect">
          <a:avLst/>
        </a:prstGeom>
      </xdr:spPr>
    </xdr:pic>
    <xdr:clientData/>
  </xdr:twoCellAnchor>
  <xdr:twoCellAnchor editAs="oneCell">
    <xdr:from>
      <xdr:col>2</xdr:col>
      <xdr:colOff>38099</xdr:colOff>
      <xdr:row>1</xdr:row>
      <xdr:rowOff>50800</xdr:rowOff>
    </xdr:from>
    <xdr:to>
      <xdr:col>2</xdr:col>
      <xdr:colOff>963082</xdr:colOff>
      <xdr:row>2</xdr:row>
      <xdr:rowOff>381000</xdr:rowOff>
    </xdr:to>
    <xdr:pic>
      <xdr:nvPicPr>
        <xdr:cNvPr id="13" name="Picture 12"/>
        <xdr:cNvPicPr>
          <a:picLocks noChangeAspect="1"/>
        </xdr:cNvPicPr>
      </xdr:nvPicPr>
      <xdr:blipFill>
        <a:blip xmlns:r="http://schemas.openxmlformats.org/officeDocument/2006/relationships" r:embed="rId11"/>
        <a:stretch>
          <a:fillRect/>
        </a:stretch>
      </xdr:blipFill>
      <xdr:spPr>
        <a:xfrm>
          <a:off x="1384299" y="241300"/>
          <a:ext cx="924983" cy="72390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8</xdr:col>
      <xdr:colOff>50800</xdr:colOff>
      <xdr:row>12</xdr:row>
      <xdr:rowOff>6350</xdr:rowOff>
    </xdr:from>
    <xdr:to>
      <xdr:col>12</xdr:col>
      <xdr:colOff>952500</xdr:colOff>
      <xdr:row>23</xdr:row>
      <xdr:rowOff>12700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546100</xdr:colOff>
      <xdr:row>11</xdr:row>
      <xdr:rowOff>241300</xdr:rowOff>
    </xdr:from>
    <xdr:to>
      <xdr:col>4</xdr:col>
      <xdr:colOff>914400</xdr:colOff>
      <xdr:row>22</xdr:row>
      <xdr:rowOff>241300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711200</xdr:colOff>
      <xdr:row>11</xdr:row>
      <xdr:rowOff>228600</xdr:rowOff>
    </xdr:from>
    <xdr:to>
      <xdr:col>7</xdr:col>
      <xdr:colOff>838200</xdr:colOff>
      <xdr:row>22</xdr:row>
      <xdr:rowOff>228600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12</xdr:row>
      <xdr:rowOff>12700</xdr:rowOff>
    </xdr:from>
    <xdr:to>
      <xdr:col>11</xdr:col>
      <xdr:colOff>292100</xdr:colOff>
      <xdr:row>23</xdr:row>
      <xdr:rowOff>12700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12700</xdr:colOff>
      <xdr:row>26</xdr:row>
      <xdr:rowOff>0</xdr:rowOff>
    </xdr:from>
    <xdr:to>
      <xdr:col>12</xdr:col>
      <xdr:colOff>939800</xdr:colOff>
      <xdr:row>47</xdr:row>
      <xdr:rowOff>25400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419100</xdr:colOff>
      <xdr:row>75</xdr:row>
      <xdr:rowOff>190500</xdr:rowOff>
    </xdr:from>
    <xdr:to>
      <xdr:col>10</xdr:col>
      <xdr:colOff>558800</xdr:colOff>
      <xdr:row>90</xdr:row>
      <xdr:rowOff>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xdr:col>
      <xdr:colOff>38099</xdr:colOff>
      <xdr:row>1</xdr:row>
      <xdr:rowOff>50800</xdr:rowOff>
    </xdr:from>
    <xdr:to>
      <xdr:col>2</xdr:col>
      <xdr:colOff>963082</xdr:colOff>
      <xdr:row>2</xdr:row>
      <xdr:rowOff>381000</xdr:rowOff>
    </xdr:to>
    <xdr:pic>
      <xdr:nvPicPr>
        <xdr:cNvPr id="9" name="Picture 8"/>
        <xdr:cNvPicPr>
          <a:picLocks noChangeAspect="1"/>
        </xdr:cNvPicPr>
      </xdr:nvPicPr>
      <xdr:blipFill>
        <a:blip xmlns:r="http://schemas.openxmlformats.org/officeDocument/2006/relationships" r:embed="rId7"/>
        <a:stretch>
          <a:fillRect/>
        </a:stretch>
      </xdr:blipFill>
      <xdr:spPr>
        <a:xfrm>
          <a:off x="1384299" y="241300"/>
          <a:ext cx="924983" cy="723900"/>
        </a:xfrm>
        <a:prstGeom prst="rect">
          <a:avLst/>
        </a:prstGeom>
      </xdr:spPr>
    </xdr:pic>
    <xdr:clientData/>
  </xdr:twoCellAnchor>
  <xdr:twoCellAnchor>
    <xdr:from>
      <xdr:col>1</xdr:col>
      <xdr:colOff>0</xdr:colOff>
      <xdr:row>51</xdr:row>
      <xdr:rowOff>0</xdr:rowOff>
    </xdr:from>
    <xdr:to>
      <xdr:col>13</xdr:col>
      <xdr:colOff>0</xdr:colOff>
      <xdr:row>72</xdr:row>
      <xdr:rowOff>190500</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8</xdr:col>
      <xdr:colOff>50800</xdr:colOff>
      <xdr:row>70</xdr:row>
      <xdr:rowOff>6350</xdr:rowOff>
    </xdr:from>
    <xdr:to>
      <xdr:col>12</xdr:col>
      <xdr:colOff>952500</xdr:colOff>
      <xdr:row>81</xdr:row>
      <xdr:rowOff>12700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546100</xdr:colOff>
      <xdr:row>69</xdr:row>
      <xdr:rowOff>241300</xdr:rowOff>
    </xdr:from>
    <xdr:to>
      <xdr:col>4</xdr:col>
      <xdr:colOff>914400</xdr:colOff>
      <xdr:row>80</xdr:row>
      <xdr:rowOff>241300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711200</xdr:colOff>
      <xdr:row>69</xdr:row>
      <xdr:rowOff>228600</xdr:rowOff>
    </xdr:from>
    <xdr:to>
      <xdr:col>7</xdr:col>
      <xdr:colOff>838200</xdr:colOff>
      <xdr:row>80</xdr:row>
      <xdr:rowOff>228600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70</xdr:row>
      <xdr:rowOff>12700</xdr:rowOff>
    </xdr:from>
    <xdr:to>
      <xdr:col>11</xdr:col>
      <xdr:colOff>292100</xdr:colOff>
      <xdr:row>81</xdr:row>
      <xdr:rowOff>12700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12700</xdr:colOff>
      <xdr:row>84</xdr:row>
      <xdr:rowOff>0</xdr:rowOff>
    </xdr:from>
    <xdr:to>
      <xdr:col>12</xdr:col>
      <xdr:colOff>939800</xdr:colOff>
      <xdr:row>105</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419100</xdr:colOff>
      <xdr:row>108</xdr:row>
      <xdr:rowOff>190500</xdr:rowOff>
    </xdr:from>
    <xdr:to>
      <xdr:col>10</xdr:col>
      <xdr:colOff>558800</xdr:colOff>
      <xdr:row>123</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xdr:col>
      <xdr:colOff>38099</xdr:colOff>
      <xdr:row>1</xdr:row>
      <xdr:rowOff>50800</xdr:rowOff>
    </xdr:from>
    <xdr:to>
      <xdr:col>2</xdr:col>
      <xdr:colOff>963082</xdr:colOff>
      <xdr:row>2</xdr:row>
      <xdr:rowOff>381000</xdr:rowOff>
    </xdr:to>
    <xdr:pic>
      <xdr:nvPicPr>
        <xdr:cNvPr id="9" name="Picture 8"/>
        <xdr:cNvPicPr>
          <a:picLocks noChangeAspect="1"/>
        </xdr:cNvPicPr>
      </xdr:nvPicPr>
      <xdr:blipFill>
        <a:blip xmlns:r="http://schemas.openxmlformats.org/officeDocument/2006/relationships" r:embed="rId7"/>
        <a:stretch>
          <a:fillRect/>
        </a:stretch>
      </xdr:blipFill>
      <xdr:spPr>
        <a:xfrm>
          <a:off x="1384299" y="241300"/>
          <a:ext cx="924983" cy="72390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2</xdr:col>
      <xdr:colOff>152400</xdr:colOff>
      <xdr:row>1</xdr:row>
      <xdr:rowOff>38100</xdr:rowOff>
    </xdr:from>
    <xdr:to>
      <xdr:col>2</xdr:col>
      <xdr:colOff>835025</xdr:colOff>
      <xdr:row>2</xdr:row>
      <xdr:rowOff>374989</xdr:rowOff>
    </xdr:to>
    <xdr:pic>
      <xdr:nvPicPr>
        <xdr:cNvPr id="3" name="Picture 2" descr="C40 Logo White (CMYK).p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98600" y="228600"/>
          <a:ext cx="682625" cy="730589"/>
        </a:xfrm>
        <a:prstGeom prst="rect">
          <a:avLst/>
        </a:prstGeom>
        <a:ln>
          <a:noFill/>
        </a:ln>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3" name="Picture 2"/>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twoCellAnchor editAs="oneCell">
    <xdr:from>
      <xdr:col>1</xdr:col>
      <xdr:colOff>25400</xdr:colOff>
      <xdr:row>6</xdr:row>
      <xdr:rowOff>25400</xdr:rowOff>
    </xdr:from>
    <xdr:to>
      <xdr:col>1</xdr:col>
      <xdr:colOff>863599</xdr:colOff>
      <xdr:row>10</xdr:row>
      <xdr:rowOff>110240</xdr:rowOff>
    </xdr:to>
    <xdr:pic>
      <xdr:nvPicPr>
        <xdr:cNvPr id="4" name="Picture 3"/>
        <xdr:cNvPicPr>
          <a:picLocks noChangeAspect="1"/>
        </xdr:cNvPicPr>
      </xdr:nvPicPr>
      <xdr:blipFill>
        <a:blip xmlns:r="http://schemas.openxmlformats.org/officeDocument/2006/relationships" r:embed="rId2"/>
        <a:stretch>
          <a:fillRect/>
        </a:stretch>
      </xdr:blipFill>
      <xdr:spPr>
        <a:xfrm>
          <a:off x="393700" y="1981200"/>
          <a:ext cx="838199" cy="84684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3" name="Picture 2"/>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3" name="Picture 2"/>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6</xdr:col>
      <xdr:colOff>444500</xdr:colOff>
      <xdr:row>10</xdr:row>
      <xdr:rowOff>266700</xdr:rowOff>
    </xdr:from>
    <xdr:to>
      <xdr:col>7</xdr:col>
      <xdr:colOff>567118</xdr:colOff>
      <xdr:row>11</xdr:row>
      <xdr:rowOff>1257300</xdr:rowOff>
    </xdr:to>
    <xdr:pic>
      <xdr:nvPicPr>
        <xdr:cNvPr id="9" name="Picture 8"/>
        <xdr:cNvPicPr>
          <a:picLocks noChangeAspect="1"/>
        </xdr:cNvPicPr>
      </xdr:nvPicPr>
      <xdr:blipFill>
        <a:blip xmlns:r="http://schemas.openxmlformats.org/officeDocument/2006/relationships" r:embed="rId1"/>
        <a:stretch>
          <a:fillRect/>
        </a:stretch>
      </xdr:blipFill>
      <xdr:spPr>
        <a:xfrm>
          <a:off x="5702300" y="4064000"/>
          <a:ext cx="1100518" cy="1384300"/>
        </a:xfrm>
        <a:prstGeom prst="rect">
          <a:avLst/>
        </a:prstGeom>
      </xdr:spPr>
    </xdr:pic>
    <xdr:clientData/>
  </xdr:twoCellAnchor>
  <xdr:twoCellAnchor editAs="oneCell">
    <xdr:from>
      <xdr:col>2</xdr:col>
      <xdr:colOff>38099</xdr:colOff>
      <xdr:row>1</xdr:row>
      <xdr:rowOff>50800</xdr:rowOff>
    </xdr:from>
    <xdr:to>
      <xdr:col>2</xdr:col>
      <xdr:colOff>963082</xdr:colOff>
      <xdr:row>2</xdr:row>
      <xdr:rowOff>381000</xdr:rowOff>
    </xdr:to>
    <xdr:pic>
      <xdr:nvPicPr>
        <xdr:cNvPr id="4" name="Picture 3"/>
        <xdr:cNvPicPr>
          <a:picLocks noChangeAspect="1"/>
        </xdr:cNvPicPr>
      </xdr:nvPicPr>
      <xdr:blipFill>
        <a:blip xmlns:r="http://schemas.openxmlformats.org/officeDocument/2006/relationships" r:embed="rId2"/>
        <a:stretch>
          <a:fillRect/>
        </a:stretch>
      </xdr:blipFill>
      <xdr:spPr>
        <a:xfrm>
          <a:off x="1384299" y="241300"/>
          <a:ext cx="924983" cy="723900"/>
        </a:xfrm>
        <a:prstGeom prst="rect">
          <a:avLst/>
        </a:prstGeom>
      </xdr:spPr>
    </xdr:pic>
    <xdr:clientData/>
  </xdr:twoCellAnchor>
  <xdr:twoCellAnchor editAs="oneCell">
    <xdr:from>
      <xdr:col>6</xdr:col>
      <xdr:colOff>558800</xdr:colOff>
      <xdr:row>9</xdr:row>
      <xdr:rowOff>203200</xdr:rowOff>
    </xdr:from>
    <xdr:to>
      <xdr:col>7</xdr:col>
      <xdr:colOff>419099</xdr:colOff>
      <xdr:row>9</xdr:row>
      <xdr:rowOff>1050040</xdr:rowOff>
    </xdr:to>
    <xdr:pic>
      <xdr:nvPicPr>
        <xdr:cNvPr id="7" name="Picture 6"/>
        <xdr:cNvPicPr>
          <a:picLocks noChangeAspect="1"/>
        </xdr:cNvPicPr>
      </xdr:nvPicPr>
      <xdr:blipFill>
        <a:blip xmlns:r="http://schemas.openxmlformats.org/officeDocument/2006/relationships" r:embed="rId3"/>
        <a:stretch>
          <a:fillRect/>
        </a:stretch>
      </xdr:blipFill>
      <xdr:spPr>
        <a:xfrm>
          <a:off x="5816600" y="3454400"/>
          <a:ext cx="838199" cy="846840"/>
        </a:xfrm>
        <a:prstGeom prst="rect">
          <a:avLst/>
        </a:prstGeom>
      </xdr:spPr>
    </xdr:pic>
    <xdr:clientData/>
  </xdr:twoCellAnchor>
  <xdr:twoCellAnchor editAs="oneCell">
    <xdr:from>
      <xdr:col>1</xdr:col>
      <xdr:colOff>495300</xdr:colOff>
      <xdr:row>11</xdr:row>
      <xdr:rowOff>190500</xdr:rowOff>
    </xdr:from>
    <xdr:to>
      <xdr:col>2</xdr:col>
      <xdr:colOff>355599</xdr:colOff>
      <xdr:row>11</xdr:row>
      <xdr:rowOff>1037340</xdr:rowOff>
    </xdr:to>
    <xdr:pic>
      <xdr:nvPicPr>
        <xdr:cNvPr id="10" name="Picture 9"/>
        <xdr:cNvPicPr>
          <a:picLocks noChangeAspect="1"/>
        </xdr:cNvPicPr>
      </xdr:nvPicPr>
      <xdr:blipFill>
        <a:blip xmlns:r="http://schemas.openxmlformats.org/officeDocument/2006/relationships" r:embed="rId3"/>
        <a:stretch>
          <a:fillRect/>
        </a:stretch>
      </xdr:blipFill>
      <xdr:spPr>
        <a:xfrm>
          <a:off x="863600" y="5105400"/>
          <a:ext cx="838199" cy="846840"/>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4" name="Picture 3"/>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3" name="Picture 2"/>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3" name="Picture 2"/>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4" name="Picture 3"/>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3" name="Picture 2"/>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3" name="Picture 2"/>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twoCellAnchor>
    <xdr:from>
      <xdr:col>1</xdr:col>
      <xdr:colOff>355600</xdr:colOff>
      <xdr:row>22</xdr:row>
      <xdr:rowOff>139700</xdr:rowOff>
    </xdr:from>
    <xdr:to>
      <xdr:col>15</xdr:col>
      <xdr:colOff>25400</xdr:colOff>
      <xdr:row>46</xdr:row>
      <xdr:rowOff>88900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50800</xdr:colOff>
      <xdr:row>49</xdr:row>
      <xdr:rowOff>101600</xdr:rowOff>
    </xdr:from>
    <xdr:to>
      <xdr:col>1</xdr:col>
      <xdr:colOff>888999</xdr:colOff>
      <xdr:row>52</xdr:row>
      <xdr:rowOff>173740</xdr:rowOff>
    </xdr:to>
    <xdr:pic>
      <xdr:nvPicPr>
        <xdr:cNvPr id="5" name="Picture 4"/>
        <xdr:cNvPicPr>
          <a:picLocks noChangeAspect="1"/>
        </xdr:cNvPicPr>
      </xdr:nvPicPr>
      <xdr:blipFill>
        <a:blip xmlns:r="http://schemas.openxmlformats.org/officeDocument/2006/relationships" r:embed="rId3"/>
        <a:stretch>
          <a:fillRect/>
        </a:stretch>
      </xdr:blipFill>
      <xdr:spPr>
        <a:xfrm>
          <a:off x="419100" y="12306300"/>
          <a:ext cx="838199" cy="846840"/>
        </a:xfrm>
        <a:prstGeom prst="rect">
          <a:avLst/>
        </a:prstGeom>
      </xdr:spPr>
    </xdr:pic>
    <xdr:clientData/>
  </xdr:twoCellAnchor>
  <xdr:twoCellAnchor editAs="oneCell">
    <xdr:from>
      <xdr:col>1</xdr:col>
      <xdr:colOff>88900</xdr:colOff>
      <xdr:row>77</xdr:row>
      <xdr:rowOff>76200</xdr:rowOff>
    </xdr:from>
    <xdr:to>
      <xdr:col>1</xdr:col>
      <xdr:colOff>927099</xdr:colOff>
      <xdr:row>80</xdr:row>
      <xdr:rowOff>148340</xdr:rowOff>
    </xdr:to>
    <xdr:pic>
      <xdr:nvPicPr>
        <xdr:cNvPr id="6" name="Picture 5"/>
        <xdr:cNvPicPr>
          <a:picLocks noChangeAspect="1"/>
        </xdr:cNvPicPr>
      </xdr:nvPicPr>
      <xdr:blipFill>
        <a:blip xmlns:r="http://schemas.openxmlformats.org/officeDocument/2006/relationships" r:embed="rId3"/>
        <a:stretch>
          <a:fillRect/>
        </a:stretch>
      </xdr:blipFill>
      <xdr:spPr>
        <a:xfrm>
          <a:off x="457200" y="18021300"/>
          <a:ext cx="838199" cy="846840"/>
        </a:xfrm>
        <a:prstGeom prst="rect">
          <a:avLst/>
        </a:prstGeom>
      </xdr:spPr>
    </xdr:pic>
    <xdr:clientData/>
  </xdr:twoCellAnchor>
  <xdr:twoCellAnchor editAs="oneCell">
    <xdr:from>
      <xdr:col>1</xdr:col>
      <xdr:colOff>38100</xdr:colOff>
      <xdr:row>105</xdr:row>
      <xdr:rowOff>88900</xdr:rowOff>
    </xdr:from>
    <xdr:to>
      <xdr:col>1</xdr:col>
      <xdr:colOff>876299</xdr:colOff>
      <xdr:row>108</xdr:row>
      <xdr:rowOff>161040</xdr:rowOff>
    </xdr:to>
    <xdr:pic>
      <xdr:nvPicPr>
        <xdr:cNvPr id="7" name="Picture 6"/>
        <xdr:cNvPicPr>
          <a:picLocks noChangeAspect="1"/>
        </xdr:cNvPicPr>
      </xdr:nvPicPr>
      <xdr:blipFill>
        <a:blip xmlns:r="http://schemas.openxmlformats.org/officeDocument/2006/relationships" r:embed="rId3"/>
        <a:stretch>
          <a:fillRect/>
        </a:stretch>
      </xdr:blipFill>
      <xdr:spPr>
        <a:xfrm>
          <a:off x="406400" y="23774400"/>
          <a:ext cx="838199" cy="846840"/>
        </a:xfrm>
        <a:prstGeom prst="rect">
          <a:avLst/>
        </a:prstGeom>
      </xdr:spPr>
    </xdr:pic>
    <xdr:clientData/>
  </xdr:twoCellAnchor>
  <xdr:twoCellAnchor editAs="oneCell">
    <xdr:from>
      <xdr:col>1</xdr:col>
      <xdr:colOff>50800</xdr:colOff>
      <xdr:row>133</xdr:row>
      <xdr:rowOff>76200</xdr:rowOff>
    </xdr:from>
    <xdr:to>
      <xdr:col>1</xdr:col>
      <xdr:colOff>888999</xdr:colOff>
      <xdr:row>136</xdr:row>
      <xdr:rowOff>148340</xdr:rowOff>
    </xdr:to>
    <xdr:pic>
      <xdr:nvPicPr>
        <xdr:cNvPr id="8" name="Picture 7"/>
        <xdr:cNvPicPr>
          <a:picLocks noChangeAspect="1"/>
        </xdr:cNvPicPr>
      </xdr:nvPicPr>
      <xdr:blipFill>
        <a:blip xmlns:r="http://schemas.openxmlformats.org/officeDocument/2006/relationships" r:embed="rId3"/>
        <a:stretch>
          <a:fillRect/>
        </a:stretch>
      </xdr:blipFill>
      <xdr:spPr>
        <a:xfrm>
          <a:off x="419100" y="29502100"/>
          <a:ext cx="838199" cy="846840"/>
        </a:xfrm>
        <a:prstGeom prst="rect">
          <a:avLst/>
        </a:prstGeom>
      </xdr:spPr>
    </xdr:pic>
    <xdr:clientData/>
  </xdr:twoCellAnchor>
  <xdr:twoCellAnchor editAs="oneCell">
    <xdr:from>
      <xdr:col>1</xdr:col>
      <xdr:colOff>38100</xdr:colOff>
      <xdr:row>161</xdr:row>
      <xdr:rowOff>63500</xdr:rowOff>
    </xdr:from>
    <xdr:to>
      <xdr:col>1</xdr:col>
      <xdr:colOff>876299</xdr:colOff>
      <xdr:row>164</xdr:row>
      <xdr:rowOff>135640</xdr:rowOff>
    </xdr:to>
    <xdr:pic>
      <xdr:nvPicPr>
        <xdr:cNvPr id="9" name="Picture 8"/>
        <xdr:cNvPicPr>
          <a:picLocks noChangeAspect="1"/>
        </xdr:cNvPicPr>
      </xdr:nvPicPr>
      <xdr:blipFill>
        <a:blip xmlns:r="http://schemas.openxmlformats.org/officeDocument/2006/relationships" r:embed="rId3"/>
        <a:stretch>
          <a:fillRect/>
        </a:stretch>
      </xdr:blipFill>
      <xdr:spPr>
        <a:xfrm>
          <a:off x="406400" y="35229800"/>
          <a:ext cx="838199" cy="846840"/>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xdr:from>
      <xdr:col>1</xdr:col>
      <xdr:colOff>190500</xdr:colOff>
      <xdr:row>14</xdr:row>
      <xdr:rowOff>0</xdr:rowOff>
    </xdr:from>
    <xdr:to>
      <xdr:col>17</xdr:col>
      <xdr:colOff>0</xdr:colOff>
      <xdr:row>38</xdr:row>
      <xdr:rowOff>165100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193320</xdr:colOff>
      <xdr:row>42</xdr:row>
      <xdr:rowOff>1</xdr:rowOff>
    </xdr:from>
    <xdr:to>
      <xdr:col>17</xdr:col>
      <xdr:colOff>0</xdr:colOff>
      <xdr:row>66</xdr:row>
      <xdr:rowOff>179213</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194732</xdr:colOff>
      <xdr:row>70</xdr:row>
      <xdr:rowOff>12700</xdr:rowOff>
    </xdr:from>
    <xdr:to>
      <xdr:col>17</xdr:col>
      <xdr:colOff>12700</xdr:colOff>
      <xdr:row>94</xdr:row>
      <xdr:rowOff>165101</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177800</xdr:colOff>
      <xdr:row>98</xdr:row>
      <xdr:rowOff>12700</xdr:rowOff>
    </xdr:from>
    <xdr:to>
      <xdr:col>17</xdr:col>
      <xdr:colOff>12700</xdr:colOff>
      <xdr:row>122</xdr:row>
      <xdr:rowOff>127001</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38099</xdr:colOff>
      <xdr:row>1</xdr:row>
      <xdr:rowOff>50800</xdr:rowOff>
    </xdr:from>
    <xdr:to>
      <xdr:col>2</xdr:col>
      <xdr:colOff>963082</xdr:colOff>
      <xdr:row>2</xdr:row>
      <xdr:rowOff>381000</xdr:rowOff>
    </xdr:to>
    <xdr:pic>
      <xdr:nvPicPr>
        <xdr:cNvPr id="7" name="Picture 6"/>
        <xdr:cNvPicPr>
          <a:picLocks noChangeAspect="1"/>
        </xdr:cNvPicPr>
      </xdr:nvPicPr>
      <xdr:blipFill>
        <a:blip xmlns:r="http://schemas.openxmlformats.org/officeDocument/2006/relationships" r:embed="rId5"/>
        <a:stretch>
          <a:fillRect/>
        </a:stretch>
      </xdr:blipFill>
      <xdr:spPr>
        <a:xfrm>
          <a:off x="1384299" y="241300"/>
          <a:ext cx="924983" cy="723900"/>
        </a:xfrm>
        <a:prstGeom prst="rect">
          <a:avLst/>
        </a:prstGeom>
      </xdr:spPr>
    </xdr:pic>
    <xdr:clientData/>
  </xdr:twoCellAnchor>
  <xdr:twoCellAnchor editAs="oneCell">
    <xdr:from>
      <xdr:col>1</xdr:col>
      <xdr:colOff>0</xdr:colOff>
      <xdr:row>125</xdr:row>
      <xdr:rowOff>254000</xdr:rowOff>
    </xdr:from>
    <xdr:to>
      <xdr:col>1</xdr:col>
      <xdr:colOff>838199</xdr:colOff>
      <xdr:row>129</xdr:row>
      <xdr:rowOff>135640</xdr:rowOff>
    </xdr:to>
    <xdr:pic>
      <xdr:nvPicPr>
        <xdr:cNvPr id="8" name="Picture 7"/>
        <xdr:cNvPicPr>
          <a:picLocks noChangeAspect="1"/>
        </xdr:cNvPicPr>
      </xdr:nvPicPr>
      <xdr:blipFill>
        <a:blip xmlns:r="http://schemas.openxmlformats.org/officeDocument/2006/relationships" r:embed="rId6"/>
        <a:stretch>
          <a:fillRect/>
        </a:stretch>
      </xdr:blipFill>
      <xdr:spPr>
        <a:xfrm>
          <a:off x="368300" y="27089100"/>
          <a:ext cx="838199" cy="846840"/>
        </a:xfrm>
        <a:prstGeom prst="rect">
          <a:avLst/>
        </a:prstGeom>
      </xdr:spPr>
    </xdr:pic>
    <xdr:clientData/>
  </xdr:twoCellAnchor>
  <xdr:twoCellAnchor editAs="oneCell">
    <xdr:from>
      <xdr:col>1</xdr:col>
      <xdr:colOff>0</xdr:colOff>
      <xdr:row>153</xdr:row>
      <xdr:rowOff>279400</xdr:rowOff>
    </xdr:from>
    <xdr:to>
      <xdr:col>1</xdr:col>
      <xdr:colOff>838199</xdr:colOff>
      <xdr:row>157</xdr:row>
      <xdr:rowOff>161040</xdr:rowOff>
    </xdr:to>
    <xdr:pic>
      <xdr:nvPicPr>
        <xdr:cNvPr id="9" name="Picture 8"/>
        <xdr:cNvPicPr>
          <a:picLocks noChangeAspect="1"/>
        </xdr:cNvPicPr>
      </xdr:nvPicPr>
      <xdr:blipFill>
        <a:blip xmlns:r="http://schemas.openxmlformats.org/officeDocument/2006/relationships" r:embed="rId6"/>
        <a:stretch>
          <a:fillRect/>
        </a:stretch>
      </xdr:blipFill>
      <xdr:spPr>
        <a:xfrm>
          <a:off x="368300" y="32854900"/>
          <a:ext cx="838199" cy="846840"/>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3" name="Picture 2"/>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xdr:from>
      <xdr:col>8</xdr:col>
      <xdr:colOff>0</xdr:colOff>
      <xdr:row>70</xdr:row>
      <xdr:rowOff>12700</xdr:rowOff>
    </xdr:from>
    <xdr:to>
      <xdr:col>11</xdr:col>
      <xdr:colOff>292100</xdr:colOff>
      <xdr:row>81</xdr:row>
      <xdr:rowOff>12700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38099</xdr:colOff>
      <xdr:row>1</xdr:row>
      <xdr:rowOff>50800</xdr:rowOff>
    </xdr:from>
    <xdr:to>
      <xdr:col>2</xdr:col>
      <xdr:colOff>963082</xdr:colOff>
      <xdr:row>2</xdr:row>
      <xdr:rowOff>381000</xdr:rowOff>
    </xdr:to>
    <xdr:pic>
      <xdr:nvPicPr>
        <xdr:cNvPr id="4" name="Picture 3"/>
        <xdr:cNvPicPr>
          <a:picLocks noChangeAspect="1"/>
        </xdr:cNvPicPr>
      </xdr:nvPicPr>
      <xdr:blipFill>
        <a:blip xmlns:r="http://schemas.openxmlformats.org/officeDocument/2006/relationships" r:embed="rId2"/>
        <a:stretch>
          <a:fillRect/>
        </a:stretch>
      </xdr:blipFill>
      <xdr:spPr>
        <a:xfrm>
          <a:off x="1384299" y="241300"/>
          <a:ext cx="924983" cy="723900"/>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2" name="Picture 1"/>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twoCellAnchor editAs="oneCell">
    <xdr:from>
      <xdr:col>1</xdr:col>
      <xdr:colOff>1</xdr:colOff>
      <xdr:row>6</xdr:row>
      <xdr:rowOff>105660</xdr:rowOff>
    </xdr:from>
    <xdr:to>
      <xdr:col>1</xdr:col>
      <xdr:colOff>838200</xdr:colOff>
      <xdr:row>10</xdr:row>
      <xdr:rowOff>101600</xdr:rowOff>
    </xdr:to>
    <xdr:pic>
      <xdr:nvPicPr>
        <xdr:cNvPr id="3" name="Picture 2"/>
        <xdr:cNvPicPr>
          <a:picLocks noChangeAspect="1"/>
        </xdr:cNvPicPr>
      </xdr:nvPicPr>
      <xdr:blipFill>
        <a:blip xmlns:r="http://schemas.openxmlformats.org/officeDocument/2006/relationships" r:embed="rId2"/>
        <a:stretch>
          <a:fillRect/>
        </a:stretch>
      </xdr:blipFill>
      <xdr:spPr>
        <a:xfrm>
          <a:off x="368301" y="2061460"/>
          <a:ext cx="838199" cy="846840"/>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2" name="Picture 1"/>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2" name="Picture 1"/>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3" name="Picture 2"/>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2" name="Picture 1"/>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2" name="Picture 1"/>
        <xdr:cNvPicPr>
          <a:picLocks noChangeAspect="1"/>
        </xdr:cNvPicPr>
      </xdr:nvPicPr>
      <xdr:blipFill>
        <a:blip xmlns:r="http://schemas.openxmlformats.org/officeDocument/2006/relationships" r:embed="rId1"/>
        <a:stretch>
          <a:fillRect/>
        </a:stretch>
      </xdr:blipFill>
      <xdr:spPr>
        <a:xfrm>
          <a:off x="1384299" y="241300"/>
          <a:ext cx="924983" cy="723900"/>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2</xdr:col>
      <xdr:colOff>25400</xdr:colOff>
      <xdr:row>1</xdr:row>
      <xdr:rowOff>38100</xdr:rowOff>
    </xdr:from>
    <xdr:to>
      <xdr:col>2</xdr:col>
      <xdr:colOff>950383</xdr:colOff>
      <xdr:row>2</xdr:row>
      <xdr:rowOff>368300</xdr:rowOff>
    </xdr:to>
    <xdr:pic>
      <xdr:nvPicPr>
        <xdr:cNvPr id="3" name="Picture 2"/>
        <xdr:cNvPicPr>
          <a:picLocks noChangeAspect="1"/>
        </xdr:cNvPicPr>
      </xdr:nvPicPr>
      <xdr:blipFill>
        <a:blip xmlns:r="http://schemas.openxmlformats.org/officeDocument/2006/relationships" r:embed="rId1"/>
        <a:stretch>
          <a:fillRect/>
        </a:stretch>
      </xdr:blipFill>
      <xdr:spPr>
        <a:xfrm>
          <a:off x="1371600" y="228600"/>
          <a:ext cx="924983" cy="723900"/>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2</xdr:col>
      <xdr:colOff>38099</xdr:colOff>
      <xdr:row>1</xdr:row>
      <xdr:rowOff>50800</xdr:rowOff>
    </xdr:from>
    <xdr:to>
      <xdr:col>2</xdr:col>
      <xdr:colOff>963082</xdr:colOff>
      <xdr:row>2</xdr:row>
      <xdr:rowOff>381000</xdr:rowOff>
    </xdr:to>
    <xdr:pic>
      <xdr:nvPicPr>
        <xdr:cNvPr id="3" name="Picture 2"/>
        <xdr:cNvPicPr>
          <a:picLocks noChangeAspect="1"/>
        </xdr:cNvPicPr>
      </xdr:nvPicPr>
      <xdr:blipFill>
        <a:blip xmlns:r="http://schemas.openxmlformats.org/officeDocument/2006/relationships" r:embed="rId1"/>
        <a:stretch>
          <a:fillRect/>
        </a:stretch>
      </xdr:blipFill>
      <xdr:spPr>
        <a:xfrm>
          <a:off x="5295899" y="241300"/>
          <a:ext cx="924983" cy="7239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doust/Dropbox%20(C40%20Cities)/Compact%20of%20Mayors/CoM_TA_Inventories/00_Tools/Fugitive/Ricardo_Fugitive_v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mdoust/Dropbox%20(C40%20Cities)/Research%20and%20M&amp;P/02_M&amp;P/04_Compact%20of%20Mayors/05_Cities/Latin%20America/RIO/01_Inventory/Ricardo_v2.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mdoust/Library/Caches/TemporaryItems/Outlook%20Temp/GPC%20Reporting%20Tool_V1.9_ENG.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mdoust/Library/Caches/TemporaryItems/Outlook%20Temp/v1.9%20TEST/GPC%20Reporting%20Tool_V1.9_JD%20Test.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mdoust/Library/Caches/TemporaryItems/Outlook%20Temp/GPC%20Reporting%20Tool_V1.2_ENG_Rio.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v1.9%20TEST/GPC%20Reporting%20Tool_V1.9_JD%20%20FINAL.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Handbook"/>
      <sheetName val="Reference"/>
      <sheetName val="City information"/>
      <sheetName val="Data sources"/>
      <sheetName val="Emission factors"/>
      <sheetName val="I - Stationary"/>
      <sheetName val="II - Transport"/>
      <sheetName val="III - Waste"/>
      <sheetName val="IV - IPPU"/>
      <sheetName val="V - AFOLU"/>
      <sheetName val="VI - Other scope 3"/>
      <sheetName val="Table A. Overview"/>
      <sheetName val="Graphs"/>
      <sheetName val="Table B. Summary"/>
      <sheetName val="Wastewater"/>
      <sheetName val="ProteinLookup"/>
      <sheetName val="WastewaterReferenceTables"/>
      <sheetName val="Fugitive gas"/>
      <sheetName val="Sheet1"/>
      <sheetName val="Lists"/>
      <sheetName val="Li+InvSetUpLists!sts"/>
    </sheetNames>
    <sheetDataSet>
      <sheetData sheetId="0" refreshError="1"/>
      <sheetData sheetId="1" refreshError="1"/>
      <sheetData sheetId="2" refreshError="1"/>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103">
          <cell r="B103" t="str">
            <v>Industry Type</v>
          </cell>
          <cell r="C103" t="str">
            <v>Wastewater generation (m3/tonne)</v>
          </cell>
          <cell r="D103" t="str">
            <v>COD (kg/m3)</v>
          </cell>
        </row>
        <row r="105">
          <cell r="B105" t="str">
            <v>Alcohol refining</v>
          </cell>
          <cell r="C105">
            <v>24</v>
          </cell>
          <cell r="D105">
            <v>11</v>
          </cell>
        </row>
        <row r="106">
          <cell r="B106" t="str">
            <v>Beer and Malt</v>
          </cell>
          <cell r="C106">
            <v>6.3</v>
          </cell>
          <cell r="D106">
            <v>2.9</v>
          </cell>
        </row>
        <row r="107">
          <cell r="B107" t="str">
            <v>Coffee</v>
          </cell>
          <cell r="C107" t="str">
            <v>NA</v>
          </cell>
          <cell r="D107">
            <v>9</v>
          </cell>
        </row>
        <row r="108">
          <cell r="B108" t="str">
            <v>Dairy products</v>
          </cell>
          <cell r="C108">
            <v>7</v>
          </cell>
          <cell r="D108">
            <v>2.7</v>
          </cell>
        </row>
        <row r="109">
          <cell r="B109" t="str">
            <v>Fish processing</v>
          </cell>
          <cell r="C109" t="str">
            <v>NA</v>
          </cell>
          <cell r="D109">
            <v>2.5</v>
          </cell>
        </row>
        <row r="110">
          <cell r="B110" t="str">
            <v>Meat and poultry</v>
          </cell>
          <cell r="C110">
            <v>13</v>
          </cell>
          <cell r="D110">
            <v>4.0999999999999996</v>
          </cell>
        </row>
        <row r="111">
          <cell r="B111" t="str">
            <v>Organic chemicals</v>
          </cell>
          <cell r="C111">
            <v>67</v>
          </cell>
          <cell r="D111">
            <v>3</v>
          </cell>
        </row>
        <row r="112">
          <cell r="B112" t="str">
            <v>Petroleum refineries</v>
          </cell>
          <cell r="C112">
            <v>0.6</v>
          </cell>
          <cell r="D112">
            <v>1</v>
          </cell>
        </row>
        <row r="113">
          <cell r="B113" t="str">
            <v>Plastic and resins</v>
          </cell>
          <cell r="C113">
            <v>0.6</v>
          </cell>
          <cell r="D113">
            <v>3.7</v>
          </cell>
        </row>
        <row r="114">
          <cell r="B114" t="str">
            <v>Pulp and paper</v>
          </cell>
          <cell r="C114">
            <v>162</v>
          </cell>
          <cell r="D114">
            <v>9</v>
          </cell>
        </row>
        <row r="115">
          <cell r="B115" t="str">
            <v>Soap and detergents</v>
          </cell>
          <cell r="C115" t="str">
            <v>NA</v>
          </cell>
          <cell r="D115" t="str">
            <v>NA</v>
          </cell>
        </row>
        <row r="116">
          <cell r="B116" t="str">
            <v>Starch production</v>
          </cell>
          <cell r="C116">
            <v>9</v>
          </cell>
          <cell r="D116">
            <v>10</v>
          </cell>
        </row>
        <row r="117">
          <cell r="B117" t="str">
            <v>Sugar refining</v>
          </cell>
          <cell r="C117" t="str">
            <v>NA</v>
          </cell>
          <cell r="D117">
            <v>3.2</v>
          </cell>
        </row>
        <row r="118">
          <cell r="B118" t="str">
            <v>Vegetable oils</v>
          </cell>
          <cell r="C118">
            <v>3.1</v>
          </cell>
          <cell r="D118" t="str">
            <v>NA</v>
          </cell>
        </row>
        <row r="119">
          <cell r="B119" t="str">
            <v>Vegetables, fruits and juices</v>
          </cell>
          <cell r="C119">
            <v>20</v>
          </cell>
          <cell r="D119">
            <v>5</v>
          </cell>
        </row>
        <row r="120">
          <cell r="B120" t="str">
            <v>Wine and vinegar</v>
          </cell>
          <cell r="C120">
            <v>23</v>
          </cell>
          <cell r="D120">
            <v>1.5</v>
          </cell>
        </row>
      </sheetData>
      <sheetData sheetId="15" refreshError="1"/>
      <sheetData sheetId="16" refreshError="1"/>
      <sheetData sheetId="17" refreshError="1"/>
      <sheetData sheetId="18">
        <row r="3">
          <cell r="B3" t="str">
            <v>please select</v>
          </cell>
        </row>
        <row r="4">
          <cell r="B4" t="str">
            <v>m3</v>
          </cell>
        </row>
        <row r="5">
          <cell r="B5" t="str">
            <v>kWh</v>
          </cell>
        </row>
        <row r="6">
          <cell r="B6" t="str">
            <v>MWh</v>
          </cell>
        </row>
        <row r="7">
          <cell r="B7" t="str">
            <v>GWh</v>
          </cell>
        </row>
        <row r="8">
          <cell r="B8" t="str">
            <v>GJ</v>
          </cell>
        </row>
        <row r="9">
          <cell r="B9" t="str">
            <v>TJ</v>
          </cell>
        </row>
        <row r="10">
          <cell r="B10" t="str">
            <v>Tonnes</v>
          </cell>
        </row>
      </sheetData>
      <sheetData sheetId="19">
        <row r="3">
          <cell r="AN3" t="str">
            <v xml:space="preserve"> </v>
          </cell>
        </row>
        <row r="4">
          <cell r="A4" t="str">
            <v>Please select</v>
          </cell>
          <cell r="E4" t="str">
            <v>Please select</v>
          </cell>
          <cell r="F4" t="str">
            <v>Please select</v>
          </cell>
          <cell r="G4" t="str">
            <v>Please select</v>
          </cell>
          <cell r="H4" t="str">
            <v>Please select</v>
          </cell>
          <cell r="I4" t="str">
            <v>Please select</v>
          </cell>
          <cell r="J4" t="str">
            <v>Please select</v>
          </cell>
          <cell r="K4" t="str">
            <v>Please select</v>
          </cell>
          <cell r="M4" t="str">
            <v>Please select</v>
          </cell>
          <cell r="N4" t="str">
            <v>Please select</v>
          </cell>
          <cell r="O4" t="str">
            <v>NO</v>
          </cell>
          <cell r="P4" t="str">
            <v>L</v>
          </cell>
          <cell r="Q4">
            <v>1000000</v>
          </cell>
          <cell r="R4" t="str">
            <v>CO2</v>
          </cell>
          <cell r="S4" t="str">
            <v>Please select</v>
          </cell>
          <cell r="T4" t="str">
            <v>Please select</v>
          </cell>
          <cell r="U4" t="str">
            <v>Please select</v>
          </cell>
          <cell r="W4" t="str">
            <v>Please select</v>
          </cell>
          <cell r="Y4" t="str">
            <v>Please select</v>
          </cell>
          <cell r="AA4" t="str">
            <v>Please select</v>
          </cell>
          <cell r="AB4" t="str">
            <v>Please select</v>
          </cell>
          <cell r="AD4" t="str">
            <v>Please select</v>
          </cell>
          <cell r="AF4" t="str">
            <v>Please select</v>
          </cell>
          <cell r="AH4" t="str">
            <v>Please select</v>
          </cell>
          <cell r="AJ4" t="str">
            <v>Please select</v>
          </cell>
          <cell r="AL4" t="str">
            <v>Please select</v>
          </cell>
          <cell r="AN4" t="str">
            <v>Please select</v>
          </cell>
          <cell r="AP4" t="str">
            <v>Please select</v>
          </cell>
          <cell r="AR4" t="str">
            <v>Please select</v>
          </cell>
          <cell r="AS4" t="str">
            <v>Please select</v>
          </cell>
          <cell r="AT4" t="str">
            <v>Please select</v>
          </cell>
          <cell r="AV4" t="str">
            <v>Please select</v>
          </cell>
          <cell r="AX4" t="str">
            <v>Please select</v>
          </cell>
          <cell r="BB4" t="str">
            <v>Please select</v>
          </cell>
          <cell r="BD4" t="str">
            <v>Please select</v>
          </cell>
          <cell r="BE4" t="str">
            <v>Please select</v>
          </cell>
          <cell r="BF4" t="str">
            <v>Please select</v>
          </cell>
          <cell r="BG4" t="str">
            <v>Please select</v>
          </cell>
          <cell r="BH4" t="str">
            <v>✓</v>
          </cell>
        </row>
        <row r="5">
          <cell r="A5" t="str">
            <v xml:space="preserve">Administrative boundary of a local government </v>
          </cell>
          <cell r="E5" t="str">
            <v>Industry &amp; Manufacturing</v>
          </cell>
          <cell r="F5" t="str">
            <v>Tropical rainforest</v>
          </cell>
          <cell r="G5" t="str">
            <v>BASIC</v>
          </cell>
          <cell r="H5" t="str">
            <v>CO2</v>
          </cell>
          <cell r="I5" t="str">
            <v>IPCC Fifth Assessment Report (2013)</v>
          </cell>
          <cell r="J5" t="str">
            <v>Yes - audited</v>
          </cell>
          <cell r="K5" t="str">
            <v>5AR</v>
          </cell>
          <cell r="M5" t="str">
            <v>CO2e</v>
          </cell>
          <cell r="N5" t="str">
            <v>g</v>
          </cell>
          <cell r="O5" t="str">
            <v>IE</v>
          </cell>
          <cell r="P5" t="str">
            <v>M</v>
          </cell>
          <cell r="Q5">
            <v>100000</v>
          </cell>
          <cell r="R5" t="str">
            <v>CH4</v>
          </cell>
          <cell r="S5" t="str">
            <v>Gas (natural gas)</v>
          </cell>
          <cell r="T5" t="str">
            <v>Electricity</v>
          </cell>
          <cell r="U5" t="str">
            <v>Electricity generation</v>
          </cell>
          <cell r="W5" t="str">
            <v>All activities</v>
          </cell>
          <cell r="Y5" t="str">
            <v>All activities</v>
          </cell>
          <cell r="AA5" t="str">
            <v>Fuel sales approach</v>
          </cell>
          <cell r="AB5" t="str">
            <v>Compressed natural gas (CNG)</v>
          </cell>
          <cell r="AD5" t="str">
            <v>Diesel oil</v>
          </cell>
          <cell r="AF5" t="str">
            <v>Compressed natural gas (CNG)</v>
          </cell>
          <cell r="AH5" t="str">
            <v>Aviation gasoline</v>
          </cell>
          <cell r="AJ5" t="str">
            <v>Landfill sites - Methane commitment</v>
          </cell>
          <cell r="AL5" t="str">
            <v>All organic waste</v>
          </cell>
          <cell r="AN5" t="str">
            <v>Open burning of waste</v>
          </cell>
          <cell r="AP5" t="str">
            <v>All wastewater</v>
          </cell>
          <cell r="AR5" t="str">
            <v>All waste</v>
          </cell>
          <cell r="AS5" t="str">
            <v>All organic waste</v>
          </cell>
          <cell r="AT5" t="str">
            <v>All industrial processes</v>
          </cell>
          <cell r="AV5" t="str">
            <v>All product use</v>
          </cell>
          <cell r="AX5" t="str">
            <v>All livestock</v>
          </cell>
          <cell r="BB5" t="str">
            <v>Burning</v>
          </cell>
          <cell r="BD5" t="str">
            <v>Goods and services</v>
          </cell>
          <cell r="BE5" t="str">
            <v>Calendar year</v>
          </cell>
          <cell r="BF5" t="str">
            <v>Annual</v>
          </cell>
          <cell r="BG5" t="str">
            <v>Local</v>
          </cell>
        </row>
        <row r="6">
          <cell r="A6" t="str">
            <v>Combination of administrative divisions</v>
          </cell>
          <cell r="E6" t="str">
            <v>Services</v>
          </cell>
          <cell r="F6" t="str">
            <v>Tropical monsoon</v>
          </cell>
          <cell r="G6" t="str">
            <v>BASIC+</v>
          </cell>
          <cell r="H6" t="str">
            <v>CO2, CH4, N2O</v>
          </cell>
          <cell r="I6" t="str">
            <v>IPCC Fourth Assessment Report (2007)</v>
          </cell>
          <cell r="J6" t="str">
            <v>Yes - verified</v>
          </cell>
          <cell r="K6" t="str">
            <v>4AR</v>
          </cell>
          <cell r="M6" t="str">
            <v>GHG</v>
          </cell>
          <cell r="N6" t="str">
            <v>kg</v>
          </cell>
          <cell r="O6" t="str">
            <v>NE</v>
          </cell>
          <cell r="P6" t="str">
            <v>H</v>
          </cell>
          <cell r="Q6">
            <v>10000</v>
          </cell>
          <cell r="R6" t="str">
            <v>N2O</v>
          </cell>
          <cell r="S6" t="str">
            <v>Compressed natural gas (CNG)</v>
          </cell>
          <cell r="T6" t="str">
            <v>Electricity (CHP)</v>
          </cell>
          <cell r="U6" t="str">
            <v>Combined heat and power generation (CHP)</v>
          </cell>
          <cell r="W6" t="str">
            <v>Coal mining and handling</v>
          </cell>
          <cell r="Y6" t="str">
            <v>Oil</v>
          </cell>
          <cell r="AA6" t="str">
            <v>City-induced activity</v>
          </cell>
          <cell r="AB6" t="str">
            <v xml:space="preserve">Gas oil </v>
          </cell>
          <cell r="AD6" t="str">
            <v>Electricity</v>
          </cell>
          <cell r="AF6" t="str">
            <v xml:space="preserve">Gas oil </v>
          </cell>
          <cell r="AH6" t="str">
            <v>Jet gasoline</v>
          </cell>
          <cell r="AJ6" t="str">
            <v>Landfill sites - First order decay</v>
          </cell>
          <cell r="AL6" t="str">
            <v>Composting</v>
          </cell>
          <cell r="AN6" t="str">
            <v>Waste incineration</v>
          </cell>
          <cell r="AP6" t="str">
            <v>Domestic wastewater</v>
          </cell>
          <cell r="AR6" t="str">
            <v>Municipal solid waste</v>
          </cell>
          <cell r="AS6" t="str">
            <v>Food waste</v>
          </cell>
          <cell r="AT6" t="str">
            <v>Mineral industry</v>
          </cell>
          <cell r="AV6" t="str">
            <v>Non-energy products from fuels and solvent use</v>
          </cell>
          <cell r="AX6" t="str">
            <v>Cattle</v>
          </cell>
          <cell r="BB6" t="str">
            <v xml:space="preserve">  Burning in Forest land</v>
          </cell>
          <cell r="BD6" t="str">
            <v>Food</v>
          </cell>
          <cell r="BE6" t="str">
            <v>Financial year</v>
          </cell>
          <cell r="BF6" t="str">
            <v>Every 2 years</v>
          </cell>
          <cell r="BG6" t="str">
            <v>Metro</v>
          </cell>
        </row>
        <row r="7">
          <cell r="A7" t="str">
            <v>A metropolitan area</v>
          </cell>
          <cell r="E7" t="str">
            <v>Agriculture &amp; Fishing</v>
          </cell>
          <cell r="F7" t="str">
            <v>Tropical savannah</v>
          </cell>
          <cell r="G7" t="str">
            <v>BASIC+ Other scope 3</v>
          </cell>
          <cell r="H7" t="str">
            <v>All GHGs</v>
          </cell>
          <cell r="I7" t="str">
            <v>IPCC Third Assessment Report (2001)</v>
          </cell>
          <cell r="J7" t="str">
            <v>No</v>
          </cell>
          <cell r="K7" t="str">
            <v>3AR</v>
          </cell>
          <cell r="N7" t="str">
            <v>t</v>
          </cell>
          <cell r="O7" t="str">
            <v>C</v>
          </cell>
          <cell r="Q7">
            <v>1000</v>
          </cell>
          <cell r="R7" t="str">
            <v>CO2, CH4</v>
          </cell>
          <cell r="S7" t="str">
            <v xml:space="preserve">Crude oil </v>
          </cell>
          <cell r="T7" t="str">
            <v>Heating</v>
          </cell>
          <cell r="U7" t="str">
            <v>Heat plants</v>
          </cell>
          <cell r="W7" t="str">
            <v xml:space="preserve">  Underground mines</v>
          </cell>
          <cell r="Y7" t="str">
            <v xml:space="preserve">  Venting</v>
          </cell>
          <cell r="AA7" t="str">
            <v>Geographic / Territorial</v>
          </cell>
          <cell r="AB7" t="str">
            <v>Diesel oil</v>
          </cell>
          <cell r="AD7" t="str">
            <v>Distance travelled (vehicle)</v>
          </cell>
          <cell r="AF7" t="str">
            <v>Diesel oil</v>
          </cell>
          <cell r="AH7" t="str">
            <v>Jet kerosene</v>
          </cell>
          <cell r="AJ7" t="str">
            <v>Other managed waste disposal site(s)</v>
          </cell>
          <cell r="AL7" t="str">
            <v>Anaerobic digestion</v>
          </cell>
          <cell r="AP7" t="str">
            <v>Industrial wastewater</v>
          </cell>
          <cell r="AR7" t="str">
            <v>Sludge</v>
          </cell>
          <cell r="AS7" t="str">
            <v>Garden and park waste</v>
          </cell>
          <cell r="AT7" t="str">
            <v xml:space="preserve">  Cement production</v>
          </cell>
          <cell r="AV7" t="str">
            <v xml:space="preserve">  Lubricant use</v>
          </cell>
          <cell r="AX7" t="str">
            <v>Buffalo</v>
          </cell>
          <cell r="BB7" t="str">
            <v xml:space="preserve">  Burning in Cropland</v>
          </cell>
          <cell r="BD7" t="str">
            <v>Construction</v>
          </cell>
          <cell r="BE7" t="str">
            <v>Other (please specify)</v>
          </cell>
          <cell r="BF7" t="str">
            <v>Every 3 years</v>
          </cell>
          <cell r="BG7" t="str">
            <v>Regional</v>
          </cell>
        </row>
        <row r="8">
          <cell r="A8" t="str">
            <v>Other (please specify)</v>
          </cell>
          <cell r="E8" t="str">
            <v>Other (please specify)</v>
          </cell>
          <cell r="F8" t="str">
            <v>Dry desert</v>
          </cell>
          <cell r="I8" t="str">
            <v>IPCC Second Assessment Report (1995)</v>
          </cell>
          <cell r="K8" t="str">
            <v>2AR</v>
          </cell>
          <cell r="N8" t="str">
            <v>lt</v>
          </cell>
          <cell r="Q8">
            <v>100</v>
          </cell>
          <cell r="R8" t="str">
            <v>CO2, N2O</v>
          </cell>
          <cell r="S8" t="str">
            <v xml:space="preserve">Gas oil </v>
          </cell>
          <cell r="T8" t="str">
            <v>Heating (CHP)</v>
          </cell>
          <cell r="U8" t="str">
            <v>Other (please specify)</v>
          </cell>
          <cell r="W8" t="str">
            <v xml:space="preserve">    Mining</v>
          </cell>
          <cell r="Y8" t="str">
            <v xml:space="preserve">  Flaring</v>
          </cell>
          <cell r="AA8" t="str">
            <v>Resident activity</v>
          </cell>
          <cell r="AB8" t="str">
            <v>Motor gasoline (petrol)</v>
          </cell>
          <cell r="AD8" t="str">
            <v>Distance travelled (passenger)</v>
          </cell>
          <cell r="AF8" t="str">
            <v>Motor gasoline (petrol)</v>
          </cell>
          <cell r="AH8" t="str">
            <v>Electricity</v>
          </cell>
          <cell r="AJ8" t="str">
            <v>Unmanaged waste disposal sites</v>
          </cell>
          <cell r="AL8" t="str">
            <v>Other (please specify)</v>
          </cell>
          <cell r="AR8" t="str">
            <v>Industrial waste</v>
          </cell>
          <cell r="AS8" t="str">
            <v>Sludge</v>
          </cell>
          <cell r="AT8" t="str">
            <v xml:space="preserve">  Lime production</v>
          </cell>
          <cell r="AV8" t="str">
            <v xml:space="preserve">  Parraffin wax use</v>
          </cell>
          <cell r="AX8" t="str">
            <v>Sheep</v>
          </cell>
          <cell r="BB8" t="str">
            <v xml:space="preserve">  Burning in Grassland</v>
          </cell>
          <cell r="BD8" t="str">
            <v>Upstream emissions from energy use</v>
          </cell>
          <cell r="BF8" t="str">
            <v>Every 4 years</v>
          </cell>
          <cell r="BG8" t="str">
            <v>National</v>
          </cell>
        </row>
        <row r="9">
          <cell r="F9" t="str">
            <v>Dry steppe (hot)</v>
          </cell>
          <cell r="N9" t="str">
            <v>st</v>
          </cell>
          <cell r="Q9">
            <v>10</v>
          </cell>
          <cell r="R9" t="str">
            <v>CH4, N2O</v>
          </cell>
          <cell r="S9" t="str">
            <v xml:space="preserve">Diesel oil </v>
          </cell>
          <cell r="T9" t="str">
            <v>Steam</v>
          </cell>
          <cell r="W9" t="str">
            <v xml:space="preserve">    Post-mining seam gas emissions</v>
          </cell>
          <cell r="Y9" t="str">
            <v xml:space="preserve">  Exploration</v>
          </cell>
          <cell r="AB9" t="str">
            <v>Kerosene</v>
          </cell>
          <cell r="AD9" t="str">
            <v>Distance travelled (freight)</v>
          </cell>
          <cell r="AF9" t="str">
            <v>Kerosene</v>
          </cell>
          <cell r="AH9" t="str">
            <v>Distance travelled (vehicle)</v>
          </cell>
          <cell r="AJ9" t="str">
            <v>Uncategorised waste disposal sites</v>
          </cell>
          <cell r="AR9" t="str">
            <v>Other (please specify)</v>
          </cell>
          <cell r="AS9" t="str">
            <v>Other (please specify)</v>
          </cell>
          <cell r="AT9" t="str">
            <v xml:space="preserve">  Glass production</v>
          </cell>
          <cell r="AV9" t="str">
            <v xml:space="preserve">  Solvent use</v>
          </cell>
          <cell r="AX9" t="str">
            <v>Goats</v>
          </cell>
          <cell r="BB9" t="str">
            <v xml:space="preserve">  Burning in All Other land</v>
          </cell>
          <cell r="BD9" t="str">
            <v>Other (please specify)</v>
          </cell>
          <cell r="BF9" t="str">
            <v>Every 5 years</v>
          </cell>
          <cell r="BG9" t="str">
            <v>International</v>
          </cell>
        </row>
        <row r="10">
          <cell r="F10" t="str">
            <v>Dry steppe (cold)</v>
          </cell>
          <cell r="N10" t="str">
            <v>lb</v>
          </cell>
          <cell r="Q10">
            <v>1</v>
          </cell>
          <cell r="R10" t="str">
            <v>CO2, CH4, N2O</v>
          </cell>
          <cell r="S10" t="str">
            <v>Motor gasoline (petrol)</v>
          </cell>
          <cell r="T10" t="str">
            <v>Steam (CHP)</v>
          </cell>
          <cell r="W10" t="str">
            <v xml:space="preserve">    Abandoned underground mines</v>
          </cell>
          <cell r="Y10" t="str">
            <v xml:space="preserve">  Production and Upgrading</v>
          </cell>
          <cell r="AB10" t="str">
            <v xml:space="preserve">Residual fuel oil </v>
          </cell>
          <cell r="AD10" t="str">
            <v>Travel expenditure</v>
          </cell>
          <cell r="AF10" t="str">
            <v xml:space="preserve">Residual fuel oil </v>
          </cell>
          <cell r="AH10" t="str">
            <v>Distance travelled (passenger)</v>
          </cell>
          <cell r="AT10" t="str">
            <v xml:space="preserve">  Other Process Uses of Carbonates</v>
          </cell>
          <cell r="AV10" t="str">
            <v>Electronics industry</v>
          </cell>
          <cell r="AX10" t="str">
            <v>Camels</v>
          </cell>
          <cell r="BB10" t="str">
            <v>Liming</v>
          </cell>
          <cell r="BF10" t="str">
            <v>As required</v>
          </cell>
          <cell r="BG10" t="str">
            <v>Other (please specify)</v>
          </cell>
        </row>
        <row r="11">
          <cell r="F11" t="str">
            <v>Temperate, dry summer (Mediterranean)</v>
          </cell>
          <cell r="N11" t="str">
            <v>Other (please specify)</v>
          </cell>
          <cell r="Q11">
            <v>0.1</v>
          </cell>
          <cell r="R11" t="str">
            <v>HFCs</v>
          </cell>
          <cell r="S11" t="str">
            <v xml:space="preserve">Kerosene </v>
          </cell>
          <cell r="T11" t="str">
            <v>Cooling</v>
          </cell>
          <cell r="W11" t="str">
            <v xml:space="preserve">    Flaring of drained CH4 or conversion of CH4 to CO2</v>
          </cell>
          <cell r="Y11" t="str">
            <v xml:space="preserve">  Transport</v>
          </cell>
          <cell r="AB11" t="str">
            <v>Liquefied petroleum gas (LPG)</v>
          </cell>
          <cell r="AD11" t="str">
            <v>Travel time</v>
          </cell>
          <cell r="AF11" t="str">
            <v>Liquefied petroleum gas (LPG)</v>
          </cell>
          <cell r="AH11" t="str">
            <v>Distance travelled (freight)</v>
          </cell>
          <cell r="AT11" t="str">
            <v>Chemical industry</v>
          </cell>
          <cell r="AV11" t="str">
            <v xml:space="preserve">  Integrated circuit or semiconductor</v>
          </cell>
          <cell r="AX11" t="str">
            <v>Horses</v>
          </cell>
          <cell r="BB11" t="str">
            <v>Urea fertilization</v>
          </cell>
          <cell r="BF11" t="str">
            <v>Once</v>
          </cell>
        </row>
        <row r="12">
          <cell r="F12" t="str">
            <v>Temperate, dry winter</v>
          </cell>
          <cell r="Q12">
            <v>0.01</v>
          </cell>
          <cell r="R12" t="str">
            <v>PFCs</v>
          </cell>
          <cell r="S12" t="str">
            <v xml:space="preserve">Residual fuel oil </v>
          </cell>
          <cell r="T12" t="str">
            <v>Cooling (CHP)</v>
          </cell>
          <cell r="W12" t="str">
            <v xml:space="preserve">  Surface mines</v>
          </cell>
          <cell r="Y12" t="str">
            <v xml:space="preserve">  Refining</v>
          </cell>
          <cell r="AB12" t="str">
            <v>Liquefied natural gas (LNG)</v>
          </cell>
          <cell r="AD12" t="str">
            <v>T&amp;D losses from grid-supplied energy consumption</v>
          </cell>
          <cell r="AF12" t="str">
            <v>Liquefied natural gas (LNG)</v>
          </cell>
          <cell r="AH12" t="str">
            <v>Travel expenditure</v>
          </cell>
          <cell r="AT12" t="str">
            <v xml:space="preserve">  Ammonia production</v>
          </cell>
          <cell r="AV12" t="str">
            <v xml:space="preserve">  TFT flat panel display</v>
          </cell>
          <cell r="AX12" t="str">
            <v>Mules and Asses</v>
          </cell>
          <cell r="BB12" t="str">
            <v>Direct N2O from managed soils</v>
          </cell>
          <cell r="BF12" t="str">
            <v>Other (please specify)</v>
          </cell>
        </row>
        <row r="13">
          <cell r="F13" t="str">
            <v>Temperate, hot summer</v>
          </cell>
          <cell r="Q13">
            <v>1E-3</v>
          </cell>
          <cell r="R13" t="str">
            <v>SF6</v>
          </cell>
          <cell r="S13" t="str">
            <v>Liquefied petroleum gases (LPG)</v>
          </cell>
          <cell r="T13" t="str">
            <v>Other (please specify)</v>
          </cell>
          <cell r="W13" t="str">
            <v xml:space="preserve">    Mining</v>
          </cell>
          <cell r="Y13" t="str">
            <v xml:space="preserve">  Distribution of oil products</v>
          </cell>
          <cell r="AB13" t="str">
            <v>Biogasoline</v>
          </cell>
          <cell r="AD13" t="str">
            <v>Other (please specify)</v>
          </cell>
          <cell r="AF13" t="str">
            <v>Biogasoline</v>
          </cell>
          <cell r="AH13" t="str">
            <v>Travel time</v>
          </cell>
          <cell r="AT13" t="str">
            <v xml:space="preserve">  Nitric acid production</v>
          </cell>
          <cell r="AV13" t="str">
            <v xml:space="preserve">  Photovoltaics</v>
          </cell>
          <cell r="AX13" t="str">
            <v>Swine</v>
          </cell>
          <cell r="BB13" t="str">
            <v>Indirect N2O from managed soils</v>
          </cell>
        </row>
        <row r="14">
          <cell r="F14" t="str">
            <v>Temperate, warm summer</v>
          </cell>
          <cell r="Q14">
            <v>1E-4</v>
          </cell>
          <cell r="R14" t="str">
            <v>HFCs, PFCs</v>
          </cell>
          <cell r="S14" t="str">
            <v>Liquefied natural gas (LNG)</v>
          </cell>
          <cell r="W14" t="str">
            <v xml:space="preserve">    Post-mining seam gas emissions</v>
          </cell>
          <cell r="Y14" t="str">
            <v xml:space="preserve">  Other</v>
          </cell>
          <cell r="AB14" t="str">
            <v>Biodiesels</v>
          </cell>
          <cell r="AF14" t="str">
            <v>Biodiesels</v>
          </cell>
          <cell r="AH14" t="str">
            <v>T&amp;D losses from grid-supplied energy consumption</v>
          </cell>
          <cell r="AT14" t="str">
            <v xml:space="preserve">  Adipic acid production</v>
          </cell>
          <cell r="AV14" t="str">
            <v xml:space="preserve">  Heat transfer fluid</v>
          </cell>
          <cell r="AX14" t="str">
            <v>Poultry</v>
          </cell>
          <cell r="BB14" t="str">
            <v>Indirect N2O from manure management</v>
          </cell>
        </row>
        <row r="15">
          <cell r="F15" t="str">
            <v>Temperate, cold summer</v>
          </cell>
          <cell r="Q15">
            <v>1.0000000000000001E-5</v>
          </cell>
          <cell r="R15" t="str">
            <v>HFCs, SF6</v>
          </cell>
          <cell r="S15" t="str">
            <v xml:space="preserve">Naphtha </v>
          </cell>
          <cell r="W15" t="str">
            <v>Uncontrolled combustion and burning coal dumps</v>
          </cell>
          <cell r="Y15" t="str">
            <v>Natural gas</v>
          </cell>
          <cell r="AB15" t="str">
            <v>Methanol</v>
          </cell>
          <cell r="AF15" t="str">
            <v>Methanol</v>
          </cell>
          <cell r="AH15" t="str">
            <v>Other (please specify)</v>
          </cell>
          <cell r="AT15" t="str">
            <v xml:space="preserve">  Caprolactam production</v>
          </cell>
          <cell r="AV15" t="str">
            <v>Product uses as substitutes for ozone depleting substances</v>
          </cell>
          <cell r="AX15" t="str">
            <v>Other (please specify)</v>
          </cell>
          <cell r="BB15" t="str">
            <v>Rice cultivations</v>
          </cell>
        </row>
        <row r="16">
          <cell r="F16" t="str">
            <v>Cold, dry summer</v>
          </cell>
          <cell r="Q16">
            <v>9.9999999999999995E-7</v>
          </cell>
          <cell r="R16" t="str">
            <v>PFCs, SF6</v>
          </cell>
          <cell r="S16" t="str">
            <v xml:space="preserve">Bitumen </v>
          </cell>
          <cell r="W16" t="str">
            <v>Solid fuel transformation</v>
          </cell>
          <cell r="Y16" t="str">
            <v xml:space="preserve">  Venting</v>
          </cell>
          <cell r="AB16" t="str">
            <v>Ethanol</v>
          </cell>
          <cell r="AF16" t="str">
            <v>Ethanol</v>
          </cell>
          <cell r="AT16" t="str">
            <v xml:space="preserve">  Carbide production</v>
          </cell>
          <cell r="AV16" t="str">
            <v xml:space="preserve">  Refrigeration and air conditioning</v>
          </cell>
          <cell r="BB16" t="str">
            <v>CH4 from drained organic soils</v>
          </cell>
        </row>
        <row r="17">
          <cell r="F17" t="str">
            <v>Cold, dry winter</v>
          </cell>
          <cell r="Q17">
            <v>9.9999999999999995E-8</v>
          </cell>
          <cell r="R17" t="str">
            <v>HFCs, PFCs, SF6</v>
          </cell>
          <cell r="S17" t="str">
            <v xml:space="preserve">Lubricants </v>
          </cell>
          <cell r="W17" t="str">
            <v>Other (please specify)</v>
          </cell>
          <cell r="Y17" t="str">
            <v xml:space="preserve">  Flaring</v>
          </cell>
          <cell r="AB17" t="str">
            <v>E85</v>
          </cell>
          <cell r="AF17" t="str">
            <v>E85</v>
          </cell>
          <cell r="AT17" t="str">
            <v xml:space="preserve">  Titanium dioxide production</v>
          </cell>
          <cell r="AV17" t="str">
            <v xml:space="preserve">    Refrigeration and stationary air conditioning</v>
          </cell>
          <cell r="BB17" t="str">
            <v>CH4 from drainage ditches on organic soils</v>
          </cell>
        </row>
        <row r="18">
          <cell r="F18" t="str">
            <v>Cold, hot summer</v>
          </cell>
          <cell r="Q18" t="str">
            <v>Other (please specify)</v>
          </cell>
          <cell r="R18" t="str">
            <v>NF3</v>
          </cell>
          <cell r="S18" t="str">
            <v xml:space="preserve">Petroleum coke </v>
          </cell>
          <cell r="Y18" t="str">
            <v xml:space="preserve">  Exploration</v>
          </cell>
          <cell r="AB18" t="str">
            <v>Other liquid biofuels</v>
          </cell>
          <cell r="AF18" t="str">
            <v>Other liquid biofuels</v>
          </cell>
          <cell r="AT18" t="str">
            <v xml:space="preserve">  Soda ash production</v>
          </cell>
          <cell r="AV18" t="str">
            <v xml:space="preserve">    Mobile air conditioning</v>
          </cell>
          <cell r="BB18" t="str">
            <v>CH4 from rewetting of organic soils</v>
          </cell>
        </row>
        <row r="19">
          <cell r="F19" t="str">
            <v>Cold, warm summer</v>
          </cell>
          <cell r="R19" t="str">
            <v>All F-gases</v>
          </cell>
          <cell r="S19" t="str">
            <v>Coal (bituminous or black coal)</v>
          </cell>
          <cell r="Y19" t="str">
            <v xml:space="preserve">  Production</v>
          </cell>
          <cell r="AB19" t="str">
            <v>Other biogas</v>
          </cell>
          <cell r="AF19" t="str">
            <v>Other biogas</v>
          </cell>
          <cell r="AT19" t="str">
            <v xml:space="preserve">  Petrochemical and black carbon production</v>
          </cell>
          <cell r="AV19" t="str">
            <v xml:space="preserve">  Foam blowing agents</v>
          </cell>
          <cell r="BB19" t="str">
            <v>CH4 emissions from rewetting of mangroves and tidal marshes</v>
          </cell>
        </row>
        <row r="20">
          <cell r="F20" t="str">
            <v>Cold, cold summer</v>
          </cell>
          <cell r="R20" t="str">
            <v>All GHGs</v>
          </cell>
          <cell r="S20" t="str">
            <v>Coal (coke)</v>
          </cell>
          <cell r="Y20" t="str">
            <v xml:space="preserve">  Processing</v>
          </cell>
          <cell r="AB20" t="str">
            <v>Electricity</v>
          </cell>
          <cell r="AF20" t="str">
            <v>Electricity</v>
          </cell>
          <cell r="AT20" t="str">
            <v xml:space="preserve">  Fluorochemical production</v>
          </cell>
          <cell r="AV20" t="str">
            <v xml:space="preserve">  Fire protection</v>
          </cell>
          <cell r="BB20" t="str">
            <v>N2O emissions from aquaculture</v>
          </cell>
        </row>
        <row r="21">
          <cell r="F21" t="str">
            <v>Cold, very cold winter</v>
          </cell>
          <cell r="S21" t="str">
            <v>Coal (manufactured solid fuels)</v>
          </cell>
          <cell r="Y21" t="str">
            <v xml:space="preserve">  Transmission and storage</v>
          </cell>
          <cell r="AB21" t="str">
            <v>Distance travelled (vehicle)</v>
          </cell>
          <cell r="AF21" t="str">
            <v>Distance travelled (vehicle)</v>
          </cell>
          <cell r="AT21" t="str">
            <v>Metal industry</v>
          </cell>
          <cell r="AV21" t="str">
            <v xml:space="preserve">  Aerosols</v>
          </cell>
          <cell r="BB21" t="str">
            <v>CH4 emissions from rewetted and created wetlands on inland wetland mineral soils</v>
          </cell>
        </row>
        <row r="22">
          <cell r="F22" t="str">
            <v>Polar, tundra</v>
          </cell>
          <cell r="S22" t="str">
            <v xml:space="preserve">Municipal wastes (all) </v>
          </cell>
          <cell r="Y22" t="str">
            <v xml:space="preserve">  Distribution</v>
          </cell>
          <cell r="AB22" t="str">
            <v>Distance travelled (passenger)</v>
          </cell>
          <cell r="AF22" t="str">
            <v>Distance travelled (passenger)</v>
          </cell>
          <cell r="AT22" t="str">
            <v xml:space="preserve">  Iron and steel production</v>
          </cell>
          <cell r="AV22" t="str">
            <v xml:space="preserve">  Solvents</v>
          </cell>
          <cell r="BB22" t="str">
            <v>Harvested wood products</v>
          </cell>
        </row>
        <row r="23">
          <cell r="F23" t="str">
            <v>Polar, frost</v>
          </cell>
          <cell r="S23" t="str">
            <v xml:space="preserve">Municipal wastes (non-biomass fraction) </v>
          </cell>
          <cell r="Y23" t="str">
            <v>Other (please specify)</v>
          </cell>
          <cell r="AB23" t="str">
            <v>Distance travelled (freight)</v>
          </cell>
          <cell r="AF23" t="str">
            <v>Distance travelled (freight)</v>
          </cell>
          <cell r="AT23" t="str">
            <v xml:space="preserve">  Ferroalloy production</v>
          </cell>
          <cell r="AV23" t="str">
            <v>Other product manufacture and use</v>
          </cell>
          <cell r="BB23" t="str">
            <v>Other (please specify)</v>
          </cell>
        </row>
        <row r="24">
          <cell r="S24" t="str">
            <v xml:space="preserve">Municipal wastes (biomass fraction) </v>
          </cell>
          <cell r="AB24" t="str">
            <v>Travel expenditure</v>
          </cell>
          <cell r="AF24" t="str">
            <v>Travel expenditure</v>
          </cell>
          <cell r="AT24" t="str">
            <v xml:space="preserve">  Aluminium production</v>
          </cell>
          <cell r="AV24" t="str">
            <v xml:space="preserve">  Electrical equipment</v>
          </cell>
        </row>
        <row r="25">
          <cell r="S25" t="str">
            <v xml:space="preserve">Wood or wood waste </v>
          </cell>
          <cell r="AB25" t="str">
            <v>Travel time</v>
          </cell>
          <cell r="AF25" t="str">
            <v>Travel time</v>
          </cell>
          <cell r="AT25" t="str">
            <v xml:space="preserve">  Magnesium production</v>
          </cell>
          <cell r="AV25" t="str">
            <v xml:space="preserve">  SF6 and PFCs from other product uses</v>
          </cell>
        </row>
        <row r="26">
          <cell r="S26" t="str">
            <v xml:space="preserve">Charcoal </v>
          </cell>
          <cell r="AB26" t="str">
            <v>T&amp;D losses from grid-supplied energy consumption</v>
          </cell>
          <cell r="AF26" t="str">
            <v>T&amp;D losses from grid-supplied energy consumption</v>
          </cell>
          <cell r="AT26" t="str">
            <v xml:space="preserve">  Lead production</v>
          </cell>
          <cell r="AV26" t="str">
            <v xml:space="preserve">  N2O from product uses</v>
          </cell>
        </row>
        <row r="27">
          <cell r="S27" t="str">
            <v xml:space="preserve">Biogasoline </v>
          </cell>
          <cell r="AB27" t="str">
            <v>Other (please specify)</v>
          </cell>
          <cell r="AF27" t="str">
            <v>Other (please specify)</v>
          </cell>
          <cell r="AT27" t="str">
            <v xml:space="preserve">  Zinc production</v>
          </cell>
          <cell r="AV27" t="str">
            <v>Other</v>
          </cell>
        </row>
        <row r="28">
          <cell r="S28" t="str">
            <v xml:space="preserve">Biodiesels </v>
          </cell>
          <cell r="AT28" t="str">
            <v>Other (please specify)</v>
          </cell>
          <cell r="AV28" t="str">
            <v xml:space="preserve">  Pulp and paper industry</v>
          </cell>
        </row>
        <row r="29">
          <cell r="S29" t="str">
            <v>Methanol</v>
          </cell>
          <cell r="AV29" t="str">
            <v xml:space="preserve">  Food and beverages industry</v>
          </cell>
        </row>
        <row r="30">
          <cell r="S30" t="str">
            <v>Ethanol</v>
          </cell>
          <cell r="AV30" t="str">
            <v>Other (please specify)</v>
          </cell>
        </row>
        <row r="31">
          <cell r="S31" t="str">
            <v>E85</v>
          </cell>
        </row>
        <row r="32">
          <cell r="S32" t="str">
            <v xml:space="preserve">Sewage sludge </v>
          </cell>
        </row>
        <row r="33">
          <cell r="S33" t="str">
            <v xml:space="preserve">Other liquid biofuels </v>
          </cell>
        </row>
        <row r="34">
          <cell r="S34" t="str">
            <v xml:space="preserve">Landfill gas </v>
          </cell>
        </row>
        <row r="35">
          <cell r="S35" t="str">
            <v xml:space="preserve">Sludge gas </v>
          </cell>
        </row>
        <row r="36">
          <cell r="S36" t="str">
            <v xml:space="preserve">Other biogas </v>
          </cell>
        </row>
        <row r="37">
          <cell r="S37" t="str">
            <v>Other (please specify)</v>
          </cell>
        </row>
      </sheetData>
      <sheetData sheetId="20"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Lists"/>
      <sheetName val="Data sources"/>
      <sheetName val="Emission factors"/>
      <sheetName val="Wastewater"/>
    </sheetNames>
    <sheetDataSet>
      <sheetData sheetId="0" refreshError="1"/>
      <sheetData sheetId="1" refreshError="1"/>
      <sheetData sheetId="2" refreshError="1"/>
      <sheetData sheetId="3"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Reference Tables"/>
      <sheetName val="City information"/>
      <sheetName val="Data sources"/>
      <sheetName val="Emission factors"/>
      <sheetName val="I - Stationary"/>
      <sheetName val="II - Transport"/>
      <sheetName val="III - Waste"/>
      <sheetName val="IV - IPPU"/>
      <sheetName val="V - AFOLU"/>
      <sheetName val="VI - Other scope 3"/>
      <sheetName val="Table A. Overview"/>
      <sheetName val="Graphs"/>
      <sheetName val="Table B. Summary"/>
      <sheetName val="WW_Protein"/>
      <sheetName val="Lists"/>
      <sheetName val="Revision history"/>
    </sheetNames>
    <sheetDataSet>
      <sheetData sheetId="0" refreshError="1"/>
      <sheetData sheetId="1" refreshError="1"/>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3">
          <cell r="AJ3" t="str">
            <v xml:space="preserve"> </v>
          </cell>
        </row>
        <row r="4">
          <cell r="A4" t="str">
            <v>Please select</v>
          </cell>
          <cell r="B4" t="str">
            <v>Please select</v>
          </cell>
          <cell r="C4" t="str">
            <v>Please select</v>
          </cell>
          <cell r="D4" t="str">
            <v>Please select</v>
          </cell>
          <cell r="E4" t="str">
            <v>Please select</v>
          </cell>
          <cell r="F4" t="str">
            <v>Please select</v>
          </cell>
          <cell r="G4" t="str">
            <v>Please select</v>
          </cell>
          <cell r="H4" t="str">
            <v>Please select</v>
          </cell>
          <cell r="I4" t="str">
            <v>Please select</v>
          </cell>
          <cell r="J4" t="str">
            <v>Please select</v>
          </cell>
          <cell r="K4" t="str">
            <v>NO</v>
          </cell>
          <cell r="L4" t="str">
            <v>L</v>
          </cell>
          <cell r="M4">
            <v>1000000</v>
          </cell>
          <cell r="N4" t="str">
            <v>CO2</v>
          </cell>
          <cell r="O4" t="str">
            <v>Please select</v>
          </cell>
          <cell r="P4" t="str">
            <v>Please select</v>
          </cell>
          <cell r="Q4" t="str">
            <v>Please select</v>
          </cell>
          <cell r="S4" t="str">
            <v>Please select</v>
          </cell>
          <cell r="U4" t="str">
            <v>Please select</v>
          </cell>
          <cell r="W4" t="str">
            <v>Please select</v>
          </cell>
          <cell r="X4" t="str">
            <v>Please select</v>
          </cell>
          <cell r="Z4" t="str">
            <v>Please select</v>
          </cell>
          <cell r="AB4" t="str">
            <v>Please select</v>
          </cell>
          <cell r="AD4" t="str">
            <v>Please select</v>
          </cell>
          <cell r="AF4" t="str">
            <v>Please select</v>
          </cell>
          <cell r="AH4" t="str">
            <v>Please select</v>
          </cell>
          <cell r="AJ4" t="str">
            <v>Please select</v>
          </cell>
          <cell r="AL4" t="str">
            <v>Please select</v>
          </cell>
          <cell r="AN4" t="str">
            <v>Please select</v>
          </cell>
          <cell r="AO4" t="str">
            <v>Please select</v>
          </cell>
          <cell r="AP4" t="str">
            <v>Please select</v>
          </cell>
          <cell r="AR4" t="str">
            <v>Please select</v>
          </cell>
          <cell r="AT4" t="str">
            <v>Please select</v>
          </cell>
          <cell r="AV4" t="str">
            <v>Please select</v>
          </cell>
          <cell r="AX4" t="str">
            <v>Please select</v>
          </cell>
          <cell r="AZ4" t="str">
            <v>Please select</v>
          </cell>
          <cell r="BA4" t="str">
            <v>Please select</v>
          </cell>
          <cell r="BB4" t="str">
            <v>Please select</v>
          </cell>
          <cell r="BC4" t="str">
            <v>Please select</v>
          </cell>
          <cell r="BD4" t="str">
            <v>✓</v>
          </cell>
        </row>
        <row r="5">
          <cell r="A5" t="str">
            <v xml:space="preserve">Administrative boundary of a local government </v>
          </cell>
          <cell r="B5" t="str">
            <v>Industry &amp; Manufacturing</v>
          </cell>
          <cell r="C5" t="str">
            <v>Tropical rainforest</v>
          </cell>
          <cell r="D5" t="str">
            <v>BASIC</v>
          </cell>
          <cell r="E5" t="str">
            <v>CO2</v>
          </cell>
          <cell r="F5" t="str">
            <v>IPCC Fifth Assessment Report (2013)</v>
          </cell>
          <cell r="G5" t="str">
            <v>Yes - audited</v>
          </cell>
          <cell r="H5" t="str">
            <v>5AR</v>
          </cell>
          <cell r="I5" t="str">
            <v>CO2e</v>
          </cell>
          <cell r="J5" t="str">
            <v>g</v>
          </cell>
          <cell r="K5" t="str">
            <v>IE</v>
          </cell>
          <cell r="L5" t="str">
            <v>M</v>
          </cell>
          <cell r="M5">
            <v>100000</v>
          </cell>
          <cell r="N5" t="str">
            <v>CH4</v>
          </cell>
          <cell r="O5" t="str">
            <v>Gas (natural gas)</v>
          </cell>
          <cell r="P5" t="str">
            <v>Electricity</v>
          </cell>
          <cell r="Q5" t="str">
            <v>Electricity generation</v>
          </cell>
          <cell r="S5" t="str">
            <v>All activities</v>
          </cell>
          <cell r="U5" t="str">
            <v>All activities</v>
          </cell>
          <cell r="W5" t="str">
            <v>Fuel sales approach</v>
          </cell>
          <cell r="X5" t="str">
            <v>Compressed natural gas (CNG)</v>
          </cell>
          <cell r="Z5" t="str">
            <v>Diesel oil</v>
          </cell>
          <cell r="AB5" t="str">
            <v>Compressed natural gas (CNG)</v>
          </cell>
          <cell r="AD5" t="str">
            <v>Aviation gasoline</v>
          </cell>
          <cell r="AF5" t="str">
            <v>Landfill sites - Methane commitment</v>
          </cell>
          <cell r="AH5" t="str">
            <v>All organic waste</v>
          </cell>
          <cell r="AJ5" t="str">
            <v>Open burning of waste</v>
          </cell>
          <cell r="AL5" t="str">
            <v>All wastewater</v>
          </cell>
          <cell r="AN5" t="str">
            <v>All waste</v>
          </cell>
          <cell r="AO5" t="str">
            <v>All organic waste</v>
          </cell>
          <cell r="AP5" t="str">
            <v>All industrial processes</v>
          </cell>
          <cell r="AR5" t="str">
            <v>All product use</v>
          </cell>
          <cell r="AT5" t="str">
            <v>All livestock</v>
          </cell>
          <cell r="AV5" t="str">
            <v>All land</v>
          </cell>
          <cell r="AX5" t="str">
            <v>Burning</v>
          </cell>
          <cell r="AZ5" t="str">
            <v>Goods and services</v>
          </cell>
          <cell r="BA5" t="str">
            <v>Calendar year</v>
          </cell>
          <cell r="BB5" t="str">
            <v>Annual</v>
          </cell>
          <cell r="BC5" t="str">
            <v>Local</v>
          </cell>
        </row>
        <row r="6">
          <cell r="A6" t="str">
            <v>Combination of administrative divisions</v>
          </cell>
          <cell r="B6" t="str">
            <v>Services</v>
          </cell>
          <cell r="C6" t="str">
            <v>Tropical monsoon</v>
          </cell>
          <cell r="D6" t="str">
            <v>BASIC+</v>
          </cell>
          <cell r="E6" t="str">
            <v>CO2, CH4, N2O</v>
          </cell>
          <cell r="F6" t="str">
            <v>IPCC Fourth Assessment Report (2007)</v>
          </cell>
          <cell r="G6" t="str">
            <v>Yes - verified</v>
          </cell>
          <cell r="H6" t="str">
            <v>4AR</v>
          </cell>
          <cell r="I6" t="str">
            <v>GHG</v>
          </cell>
          <cell r="J6" t="str">
            <v>kg</v>
          </cell>
          <cell r="K6" t="str">
            <v>NE</v>
          </cell>
          <cell r="L6" t="str">
            <v>H</v>
          </cell>
          <cell r="M6">
            <v>10000</v>
          </cell>
          <cell r="N6" t="str">
            <v>N2O</v>
          </cell>
          <cell r="O6" t="str">
            <v>Compressed natural gas (CNG)</v>
          </cell>
          <cell r="P6" t="str">
            <v>Electricity (CHP)</v>
          </cell>
          <cell r="Q6" t="str">
            <v>Combined heat and power generation (CHP)</v>
          </cell>
          <cell r="S6" t="str">
            <v>Coal mining and handling</v>
          </cell>
          <cell r="U6" t="str">
            <v>Oil</v>
          </cell>
          <cell r="W6" t="str">
            <v>City-induced activity</v>
          </cell>
          <cell r="X6" t="str">
            <v xml:space="preserve">Gas oil </v>
          </cell>
          <cell r="Z6" t="str">
            <v>Electricity</v>
          </cell>
          <cell r="AB6" t="str">
            <v xml:space="preserve">Gas oil </v>
          </cell>
          <cell r="AD6" t="str">
            <v>Jet gasoline</v>
          </cell>
          <cell r="AF6" t="str">
            <v>Landfill sites - First order decay</v>
          </cell>
          <cell r="AH6" t="str">
            <v>Composting</v>
          </cell>
          <cell r="AJ6" t="str">
            <v>Waste incineration</v>
          </cell>
          <cell r="AL6" t="str">
            <v>Domestic wastewater</v>
          </cell>
          <cell r="AN6" t="str">
            <v>Municipal solid waste</v>
          </cell>
          <cell r="AO6" t="str">
            <v>Food waste</v>
          </cell>
          <cell r="AP6" t="str">
            <v>Mineral industry</v>
          </cell>
          <cell r="AR6" t="str">
            <v>Non-energy products from fuels and solvent use</v>
          </cell>
          <cell r="AT6" t="str">
            <v>Cattle</v>
          </cell>
          <cell r="AV6" t="str">
            <v>Forest land</v>
          </cell>
          <cell r="AX6" t="str">
            <v xml:space="preserve">  Burning in Forest land</v>
          </cell>
          <cell r="AZ6" t="str">
            <v>Food</v>
          </cell>
          <cell r="BA6" t="str">
            <v>Financial year</v>
          </cell>
          <cell r="BB6" t="str">
            <v>Every 2 years</v>
          </cell>
          <cell r="BC6" t="str">
            <v>Metro</v>
          </cell>
        </row>
        <row r="7">
          <cell r="A7" t="str">
            <v>A metropolitan area</v>
          </cell>
          <cell r="B7" t="str">
            <v>Agriculture &amp; Fishing</v>
          </cell>
          <cell r="C7" t="str">
            <v>Tropical savannah</v>
          </cell>
          <cell r="D7" t="str">
            <v>BASIC+ Other scope 3</v>
          </cell>
          <cell r="E7" t="str">
            <v>All GHGs</v>
          </cell>
          <cell r="F7" t="str">
            <v>IPCC Third Assessment Report (2001)</v>
          </cell>
          <cell r="G7" t="str">
            <v>No</v>
          </cell>
          <cell r="H7" t="str">
            <v>3AR</v>
          </cell>
          <cell r="J7" t="str">
            <v>t</v>
          </cell>
          <cell r="K7" t="str">
            <v>C</v>
          </cell>
          <cell r="M7">
            <v>1000</v>
          </cell>
          <cell r="N7" t="str">
            <v>CO2, CH4</v>
          </cell>
          <cell r="O7" t="str">
            <v xml:space="preserve">Crude oil </v>
          </cell>
          <cell r="P7" t="str">
            <v>Heating</v>
          </cell>
          <cell r="Q7" t="str">
            <v>Heat plants</v>
          </cell>
          <cell r="S7" t="str">
            <v xml:space="preserve">  Underground mines</v>
          </cell>
          <cell r="U7" t="str">
            <v xml:space="preserve">  Venting</v>
          </cell>
          <cell r="W7" t="str">
            <v>Geographic / Territorial</v>
          </cell>
          <cell r="X7" t="str">
            <v>Diesel oil</v>
          </cell>
          <cell r="Z7" t="str">
            <v>Distance travelled (vehicle)</v>
          </cell>
          <cell r="AB7" t="str">
            <v>Diesel oil</v>
          </cell>
          <cell r="AD7" t="str">
            <v>Jet kerosene</v>
          </cell>
          <cell r="AF7" t="str">
            <v>Other managed waste disposal site(s)</v>
          </cell>
          <cell r="AH7" t="str">
            <v>Anaerobic digestion</v>
          </cell>
          <cell r="AL7" t="str">
            <v>Industrial wastewater</v>
          </cell>
          <cell r="AN7" t="str">
            <v>Sludge</v>
          </cell>
          <cell r="AO7" t="str">
            <v>Garden and park waste</v>
          </cell>
          <cell r="AP7" t="str">
            <v xml:space="preserve">  Cement production</v>
          </cell>
          <cell r="AR7" t="str">
            <v xml:space="preserve">  Lubricant use</v>
          </cell>
          <cell r="AT7" t="str">
            <v>Buffalo</v>
          </cell>
          <cell r="AV7" t="str">
            <v xml:space="preserve">  Forest land remaining Forest land</v>
          </cell>
          <cell r="AX7" t="str">
            <v xml:space="preserve">  Burning in Cropland</v>
          </cell>
          <cell r="AZ7" t="str">
            <v>Construction</v>
          </cell>
          <cell r="BA7" t="str">
            <v>Other (please specify)</v>
          </cell>
          <cell r="BB7" t="str">
            <v>Every 3 years</v>
          </cell>
          <cell r="BC7" t="str">
            <v>Regional</v>
          </cell>
        </row>
        <row r="8">
          <cell r="A8" t="str">
            <v>Other (please specify)</v>
          </cell>
          <cell r="B8" t="str">
            <v>Other (please specify)</v>
          </cell>
          <cell r="C8" t="str">
            <v>Dry desert</v>
          </cell>
          <cell r="F8" t="str">
            <v>IPCC Second Assessment Report (1995)</v>
          </cell>
          <cell r="H8" t="str">
            <v>2AR</v>
          </cell>
          <cell r="J8" t="str">
            <v>lt</v>
          </cell>
          <cell r="M8">
            <v>100</v>
          </cell>
          <cell r="N8" t="str">
            <v>CO2, N2O</v>
          </cell>
          <cell r="O8" t="str">
            <v xml:space="preserve">Gas oil </v>
          </cell>
          <cell r="P8" t="str">
            <v>Heating (CHP)</v>
          </cell>
          <cell r="Q8" t="str">
            <v>Other (please specify)</v>
          </cell>
          <cell r="S8" t="str">
            <v xml:space="preserve">    Mining</v>
          </cell>
          <cell r="U8" t="str">
            <v xml:space="preserve">  Flaring</v>
          </cell>
          <cell r="W8" t="str">
            <v>Resident activity</v>
          </cell>
          <cell r="X8" t="str">
            <v>Motor gasoline (petrol)</v>
          </cell>
          <cell r="Z8" t="str">
            <v>Distance travelled (passenger)</v>
          </cell>
          <cell r="AB8" t="str">
            <v>Motor gasoline (petrol)</v>
          </cell>
          <cell r="AD8" t="str">
            <v>Electricity</v>
          </cell>
          <cell r="AF8" t="str">
            <v>Unmanaged waste disposal sites</v>
          </cell>
          <cell r="AH8" t="str">
            <v>Other (please specify)</v>
          </cell>
          <cell r="AN8" t="str">
            <v>Industrial waste</v>
          </cell>
          <cell r="AO8" t="str">
            <v>Sludge</v>
          </cell>
          <cell r="AP8" t="str">
            <v xml:space="preserve">  Lime production</v>
          </cell>
          <cell r="AR8" t="str">
            <v xml:space="preserve">  Parraffin wax use</v>
          </cell>
          <cell r="AT8" t="str">
            <v>Sheep</v>
          </cell>
          <cell r="AV8" t="str">
            <v xml:space="preserve">  Crop land converted to Forest land</v>
          </cell>
          <cell r="AX8" t="str">
            <v xml:space="preserve">  Burning in Grassland</v>
          </cell>
          <cell r="AZ8" t="str">
            <v>Upstream emissions from energy use</v>
          </cell>
          <cell r="BB8" t="str">
            <v>Every 4 years</v>
          </cell>
          <cell r="BC8" t="str">
            <v>National</v>
          </cell>
        </row>
        <row r="9">
          <cell r="C9" t="str">
            <v>Dry steppe (hot)</v>
          </cell>
          <cell r="J9" t="str">
            <v>st</v>
          </cell>
          <cell r="M9">
            <v>10</v>
          </cell>
          <cell r="N9" t="str">
            <v>CH4, N2O</v>
          </cell>
          <cell r="O9" t="str">
            <v xml:space="preserve">Diesel oil </v>
          </cell>
          <cell r="P9" t="str">
            <v>Steam</v>
          </cell>
          <cell r="S9" t="str">
            <v xml:space="preserve">    Post-mining seam gas emissions</v>
          </cell>
          <cell r="U9" t="str">
            <v xml:space="preserve">  Exploration</v>
          </cell>
          <cell r="X9" t="str">
            <v>Kerosene</v>
          </cell>
          <cell r="Z9" t="str">
            <v>Distance travelled (freight)</v>
          </cell>
          <cell r="AB9" t="str">
            <v>Kerosene</v>
          </cell>
          <cell r="AD9" t="str">
            <v>Distance travelled (vehicle)</v>
          </cell>
          <cell r="AF9" t="str">
            <v>Uncategorised waste disposal sites</v>
          </cell>
          <cell r="AN9" t="str">
            <v>Other (please specify)</v>
          </cell>
          <cell r="AO9" t="str">
            <v>Other (please specify)</v>
          </cell>
          <cell r="AP9" t="str">
            <v xml:space="preserve">  Glass production</v>
          </cell>
          <cell r="AR9" t="str">
            <v xml:space="preserve">  Solvent use</v>
          </cell>
          <cell r="AT9" t="str">
            <v>Goats</v>
          </cell>
          <cell r="AV9" t="str">
            <v xml:space="preserve">  Grassland converted to Forest land</v>
          </cell>
          <cell r="AX9" t="str">
            <v xml:space="preserve">  Burning in All Other land</v>
          </cell>
          <cell r="AZ9" t="str">
            <v>Other (please specify)</v>
          </cell>
          <cell r="BB9" t="str">
            <v>Every 5 years</v>
          </cell>
          <cell r="BC9" t="str">
            <v>International</v>
          </cell>
        </row>
        <row r="10">
          <cell r="C10" t="str">
            <v>Dry steppe (cold)</v>
          </cell>
          <cell r="J10" t="str">
            <v>lb</v>
          </cell>
          <cell r="M10">
            <v>1</v>
          </cell>
          <cell r="N10" t="str">
            <v>CO2, CH4, N2O</v>
          </cell>
          <cell r="O10" t="str">
            <v>Motor gasoline (petrol)</v>
          </cell>
          <cell r="P10" t="str">
            <v>Steam (CHP)</v>
          </cell>
          <cell r="S10" t="str">
            <v xml:space="preserve">    Abandoned underground mines</v>
          </cell>
          <cell r="U10" t="str">
            <v xml:space="preserve">  Production and Upgrading</v>
          </cell>
          <cell r="X10" t="str">
            <v xml:space="preserve">Residual fuel oil </v>
          </cell>
          <cell r="Z10" t="str">
            <v>Travel expenditure</v>
          </cell>
          <cell r="AB10" t="str">
            <v xml:space="preserve">Residual fuel oil </v>
          </cell>
          <cell r="AD10" t="str">
            <v>Distance travelled (passenger)</v>
          </cell>
          <cell r="AP10" t="str">
            <v xml:space="preserve">  Other Process Uses of Carbonates</v>
          </cell>
          <cell r="AR10" t="str">
            <v>Electronics industry</v>
          </cell>
          <cell r="AT10" t="str">
            <v>Camels</v>
          </cell>
          <cell r="AV10" t="str">
            <v xml:space="preserve">  Settlements converted to Forest land</v>
          </cell>
          <cell r="AX10" t="str">
            <v>Liming</v>
          </cell>
          <cell r="BB10" t="str">
            <v>As required</v>
          </cell>
          <cell r="BC10" t="str">
            <v>Other (please specify)</v>
          </cell>
        </row>
        <row r="11">
          <cell r="C11" t="str">
            <v>Temperate, dry summer (Mediterranean)</v>
          </cell>
          <cell r="J11" t="str">
            <v>Other (please specify)</v>
          </cell>
          <cell r="M11">
            <v>0.1</v>
          </cell>
          <cell r="N11" t="str">
            <v>HFCs</v>
          </cell>
          <cell r="O11" t="str">
            <v xml:space="preserve">Kerosene </v>
          </cell>
          <cell r="P11" t="str">
            <v>Cooling</v>
          </cell>
          <cell r="S11" t="str">
            <v xml:space="preserve">    Flaring of drained CH4 or conversion of CH4 to CO2</v>
          </cell>
          <cell r="U11" t="str">
            <v xml:space="preserve">  Transport</v>
          </cell>
          <cell r="X11" t="str">
            <v>Liquefied petroleum gas (LPG)</v>
          </cell>
          <cell r="Z11" t="str">
            <v>Travel time</v>
          </cell>
          <cell r="AB11" t="str">
            <v>Liquefied petroleum gas (LPG)</v>
          </cell>
          <cell r="AD11" t="str">
            <v>Distance travelled (freight)</v>
          </cell>
          <cell r="AP11" t="str">
            <v>Chemical industry</v>
          </cell>
          <cell r="AR11" t="str">
            <v xml:space="preserve">  Integrated circuit or semiconductor</v>
          </cell>
          <cell r="AT11" t="str">
            <v>Horses</v>
          </cell>
          <cell r="AV11" t="str">
            <v xml:space="preserve">  Wetlands converted to Forest land</v>
          </cell>
          <cell r="AX11" t="str">
            <v>Urea fertilization</v>
          </cell>
          <cell r="BB11" t="str">
            <v>Once</v>
          </cell>
        </row>
        <row r="12">
          <cell r="C12" t="str">
            <v>Temperate, dry winter</v>
          </cell>
          <cell r="M12">
            <v>0.01</v>
          </cell>
          <cell r="N12" t="str">
            <v>PFCs</v>
          </cell>
          <cell r="O12" t="str">
            <v xml:space="preserve">Residual fuel oil </v>
          </cell>
          <cell r="P12" t="str">
            <v>Cooling (CHP)</v>
          </cell>
          <cell r="S12" t="str">
            <v xml:space="preserve">  Surface mines</v>
          </cell>
          <cell r="U12" t="str">
            <v xml:space="preserve">  Refining</v>
          </cell>
          <cell r="X12" t="str">
            <v>Liquefied natural gas (LNG)</v>
          </cell>
          <cell r="Z12" t="str">
            <v>T&amp;D losses from grid-supplied energy consumption</v>
          </cell>
          <cell r="AB12" t="str">
            <v>Liquefied natural gas (LNG)</v>
          </cell>
          <cell r="AD12" t="str">
            <v>Travel expenditure</v>
          </cell>
          <cell r="AP12" t="str">
            <v xml:space="preserve">  Ammonia production</v>
          </cell>
          <cell r="AR12" t="str">
            <v xml:space="preserve">  TFT flat panel display</v>
          </cell>
          <cell r="AT12" t="str">
            <v>Mules and Asses</v>
          </cell>
          <cell r="AV12" t="str">
            <v xml:space="preserve">  Other land converted to Forest land</v>
          </cell>
          <cell r="AX12" t="str">
            <v>Direct N2O from managed soils</v>
          </cell>
          <cell r="BB12" t="str">
            <v>Other (please specify)</v>
          </cell>
        </row>
        <row r="13">
          <cell r="C13" t="str">
            <v>Temperate, hot summer</v>
          </cell>
          <cell r="M13">
            <v>1E-3</v>
          </cell>
          <cell r="N13" t="str">
            <v>SF6</v>
          </cell>
          <cell r="O13" t="str">
            <v>Liquefied petroleum gases (LPG)</v>
          </cell>
          <cell r="P13" t="str">
            <v>Other (please specify)</v>
          </cell>
          <cell r="S13" t="str">
            <v xml:space="preserve">    Mining</v>
          </cell>
          <cell r="U13" t="str">
            <v xml:space="preserve">  Distribution of oil products</v>
          </cell>
          <cell r="X13" t="str">
            <v>Biogasoline</v>
          </cell>
          <cell r="Z13" t="str">
            <v>Other (please specify)</v>
          </cell>
          <cell r="AB13" t="str">
            <v>Biogasoline</v>
          </cell>
          <cell r="AD13" t="str">
            <v>Travel time</v>
          </cell>
          <cell r="AP13" t="str">
            <v xml:space="preserve">  Nitric acid production</v>
          </cell>
          <cell r="AR13" t="str">
            <v xml:space="preserve">  Photovoltaics</v>
          </cell>
          <cell r="AT13" t="str">
            <v>Swine</v>
          </cell>
          <cell r="AV13" t="str">
            <v>Crop land</v>
          </cell>
          <cell r="AX13" t="str">
            <v>Indirect N2O from managed soils</v>
          </cell>
        </row>
        <row r="14">
          <cell r="C14" t="str">
            <v>Temperate, warm summer</v>
          </cell>
          <cell r="M14">
            <v>1E-4</v>
          </cell>
          <cell r="N14" t="str">
            <v>HFCs, PFCs</v>
          </cell>
          <cell r="O14" t="str">
            <v>Liquefied natural gas (LNG)</v>
          </cell>
          <cell r="S14" t="str">
            <v xml:space="preserve">    Post-mining seam gas emissions</v>
          </cell>
          <cell r="U14" t="str">
            <v xml:space="preserve">  Other</v>
          </cell>
          <cell r="X14" t="str">
            <v>Biodiesels</v>
          </cell>
          <cell r="AB14" t="str">
            <v>Biodiesels</v>
          </cell>
          <cell r="AD14" t="str">
            <v>T&amp;D losses from grid-supplied energy consumption</v>
          </cell>
          <cell r="AP14" t="str">
            <v xml:space="preserve">  Adipic acid production</v>
          </cell>
          <cell r="AR14" t="str">
            <v xml:space="preserve">  Heat transfer fluid</v>
          </cell>
          <cell r="AT14" t="str">
            <v>Poultry</v>
          </cell>
          <cell r="AV14" t="str">
            <v xml:space="preserve">  Crop land remaining Crop land</v>
          </cell>
          <cell r="AX14" t="str">
            <v>Indirect N2O from manure management</v>
          </cell>
        </row>
        <row r="15">
          <cell r="C15" t="str">
            <v>Temperate, cold summer</v>
          </cell>
          <cell r="M15">
            <v>1.0000000000000001E-5</v>
          </cell>
          <cell r="N15" t="str">
            <v>HFCs, SF6</v>
          </cell>
          <cell r="O15" t="str">
            <v xml:space="preserve">Naphtha </v>
          </cell>
          <cell r="S15" t="str">
            <v>Uncontrolled combustion and burning coal dumps</v>
          </cell>
          <cell r="U15" t="str">
            <v>Natural gas</v>
          </cell>
          <cell r="X15" t="str">
            <v>Methanol</v>
          </cell>
          <cell r="AB15" t="str">
            <v>Methanol</v>
          </cell>
          <cell r="AD15" t="str">
            <v>Other (please specify)</v>
          </cell>
          <cell r="AP15" t="str">
            <v xml:space="preserve">  Caprolactam production</v>
          </cell>
          <cell r="AR15" t="str">
            <v>Product uses as substitutes for ozone depleting substances</v>
          </cell>
          <cell r="AT15" t="str">
            <v>Other (please specify)</v>
          </cell>
          <cell r="AV15" t="str">
            <v xml:space="preserve">  Forest land converted to Crop land</v>
          </cell>
          <cell r="AX15" t="str">
            <v>Rice cultivations</v>
          </cell>
        </row>
        <row r="16">
          <cell r="C16" t="str">
            <v>Cold, dry summer</v>
          </cell>
          <cell r="M16">
            <v>9.9999999999999995E-7</v>
          </cell>
          <cell r="N16" t="str">
            <v>PFCs, SF6</v>
          </cell>
          <cell r="O16" t="str">
            <v xml:space="preserve">Bitumen </v>
          </cell>
          <cell r="S16" t="str">
            <v>Solid fuel transformation</v>
          </cell>
          <cell r="U16" t="str">
            <v xml:space="preserve">  Venting</v>
          </cell>
          <cell r="X16" t="str">
            <v>Ethanol</v>
          </cell>
          <cell r="AB16" t="str">
            <v>Ethanol</v>
          </cell>
          <cell r="AP16" t="str">
            <v xml:space="preserve">  Carbide production</v>
          </cell>
          <cell r="AR16" t="str">
            <v xml:space="preserve">  Refrigeration and air conditioning</v>
          </cell>
          <cell r="AV16" t="str">
            <v xml:space="preserve">  Grassland converted to Crop land</v>
          </cell>
          <cell r="AX16" t="str">
            <v>CH4 from drained organic soils</v>
          </cell>
        </row>
        <row r="17">
          <cell r="C17" t="str">
            <v>Cold, dry winter</v>
          </cell>
          <cell r="M17">
            <v>9.9999999999999995E-8</v>
          </cell>
          <cell r="N17" t="str">
            <v>HFCs, PFCs, SF6</v>
          </cell>
          <cell r="O17" t="str">
            <v xml:space="preserve">Lubricants </v>
          </cell>
          <cell r="S17" t="str">
            <v>Other (please specify)</v>
          </cell>
          <cell r="U17" t="str">
            <v xml:space="preserve">  Flaring</v>
          </cell>
          <cell r="X17" t="str">
            <v>E85</v>
          </cell>
          <cell r="AB17" t="str">
            <v>E85</v>
          </cell>
          <cell r="AP17" t="str">
            <v xml:space="preserve">  Titanium dioxide production</v>
          </cell>
          <cell r="AR17" t="str">
            <v xml:space="preserve">    Refrigeration and stationary air conditioning</v>
          </cell>
          <cell r="AV17" t="str">
            <v xml:space="preserve">  Settlements converted to Crop land</v>
          </cell>
          <cell r="AX17" t="str">
            <v>CH4 from drainage ditches on organic soils</v>
          </cell>
        </row>
        <row r="18">
          <cell r="C18" t="str">
            <v>Cold, hot summer</v>
          </cell>
          <cell r="M18" t="str">
            <v>Other (please specify)</v>
          </cell>
          <cell r="N18" t="str">
            <v>NF3</v>
          </cell>
          <cell r="O18" t="str">
            <v xml:space="preserve">Petroleum coke </v>
          </cell>
          <cell r="U18" t="str">
            <v xml:space="preserve">  Exploration</v>
          </cell>
          <cell r="X18" t="str">
            <v>Other liquid biofuels</v>
          </cell>
          <cell r="AB18" t="str">
            <v>Other liquid biofuels</v>
          </cell>
          <cell r="AP18" t="str">
            <v xml:space="preserve">  Soda ash production</v>
          </cell>
          <cell r="AR18" t="str">
            <v xml:space="preserve">    Mobile air conditioning</v>
          </cell>
          <cell r="AV18" t="str">
            <v xml:space="preserve">  Wetlands converted to Crop land</v>
          </cell>
          <cell r="AX18" t="str">
            <v>CH4 from rewetting of organic soils</v>
          </cell>
        </row>
        <row r="19">
          <cell r="C19" t="str">
            <v>Cold, warm summer</v>
          </cell>
          <cell r="N19" t="str">
            <v>All F-gases</v>
          </cell>
          <cell r="O19" t="str">
            <v>Coal (bituminous or black coal)</v>
          </cell>
          <cell r="U19" t="str">
            <v xml:space="preserve">  Production</v>
          </cell>
          <cell r="X19" t="str">
            <v>Other biogas</v>
          </cell>
          <cell r="AB19" t="str">
            <v>Other biogas</v>
          </cell>
          <cell r="AP19" t="str">
            <v xml:space="preserve">  Petrochemical and black carbon production</v>
          </cell>
          <cell r="AR19" t="str">
            <v xml:space="preserve">  Foam blowing agents</v>
          </cell>
          <cell r="AV19" t="str">
            <v xml:space="preserve">  Other land converted to Crop land</v>
          </cell>
          <cell r="AX19" t="str">
            <v>CH4 emissions from rewetting of mangroves and tidal marshes</v>
          </cell>
        </row>
        <row r="20">
          <cell r="C20" t="str">
            <v>Cold, cold summer</v>
          </cell>
          <cell r="N20" t="str">
            <v>All GHGs</v>
          </cell>
          <cell r="O20" t="str">
            <v>Coal (coke)</v>
          </cell>
          <cell r="U20" t="str">
            <v xml:space="preserve">  Processing</v>
          </cell>
          <cell r="X20" t="str">
            <v>Electricity</v>
          </cell>
          <cell r="AB20" t="str">
            <v>Electricity</v>
          </cell>
          <cell r="AP20" t="str">
            <v xml:space="preserve">  Fluorochemical production</v>
          </cell>
          <cell r="AR20" t="str">
            <v xml:space="preserve">  Fire protection</v>
          </cell>
          <cell r="AV20" t="str">
            <v>Grassland</v>
          </cell>
          <cell r="AX20" t="str">
            <v>N2O emissions from aquaculture</v>
          </cell>
        </row>
        <row r="21">
          <cell r="C21" t="str">
            <v>Cold, very cold winter</v>
          </cell>
          <cell r="O21" t="str">
            <v>Coal (manufactured solid fuels)</v>
          </cell>
          <cell r="U21" t="str">
            <v xml:space="preserve">  Transmission and storage</v>
          </cell>
          <cell r="X21" t="str">
            <v>Distance travelled (vehicle)</v>
          </cell>
          <cell r="AB21" t="str">
            <v>Distance travelled (vehicle)</v>
          </cell>
          <cell r="AP21" t="str">
            <v>Metal industry</v>
          </cell>
          <cell r="AR21" t="str">
            <v xml:space="preserve">  Aerosols</v>
          </cell>
          <cell r="AV21" t="str">
            <v xml:space="preserve">  Grassland remaining Grassland</v>
          </cell>
          <cell r="AX21" t="str">
            <v>CH4 emissions from rewetted and created wetlands on inland wetland mineral soils</v>
          </cell>
        </row>
        <row r="22">
          <cell r="C22" t="str">
            <v>Polar, tundra</v>
          </cell>
          <cell r="O22" t="str">
            <v xml:space="preserve">Municipal wastes (all) </v>
          </cell>
          <cell r="U22" t="str">
            <v xml:space="preserve">  Distribution</v>
          </cell>
          <cell r="X22" t="str">
            <v>Distance travelled (passenger)</v>
          </cell>
          <cell r="AB22" t="str">
            <v>Distance travelled (passenger)</v>
          </cell>
          <cell r="AP22" t="str">
            <v xml:space="preserve">  Iron and steel production</v>
          </cell>
          <cell r="AR22" t="str">
            <v xml:space="preserve">  Solvents</v>
          </cell>
          <cell r="AV22" t="str">
            <v xml:space="preserve">  Forest land converted to Grassland</v>
          </cell>
          <cell r="AX22" t="str">
            <v>Harvested wood products</v>
          </cell>
        </row>
        <row r="23">
          <cell r="C23" t="str">
            <v>Polar, frost</v>
          </cell>
          <cell r="O23" t="str">
            <v xml:space="preserve">Municipal wastes (non-biomass fraction) </v>
          </cell>
          <cell r="U23" t="str">
            <v>Other (please specify)</v>
          </cell>
          <cell r="X23" t="str">
            <v>Distance travelled (freight)</v>
          </cell>
          <cell r="AB23" t="str">
            <v>Distance travelled (freight)</v>
          </cell>
          <cell r="AP23" t="str">
            <v xml:space="preserve">  Ferroalloy production</v>
          </cell>
          <cell r="AR23" t="str">
            <v>Other product manufacture and use</v>
          </cell>
          <cell r="AV23" t="str">
            <v xml:space="preserve">  Crop land converted to Grassland</v>
          </cell>
          <cell r="AX23" t="str">
            <v>Other (please specify)</v>
          </cell>
        </row>
        <row r="24">
          <cell r="O24" t="str">
            <v xml:space="preserve">Municipal wastes (biomass fraction) </v>
          </cell>
          <cell r="X24" t="str">
            <v>Travel expenditure</v>
          </cell>
          <cell r="AB24" t="str">
            <v>Travel expenditure</v>
          </cell>
          <cell r="AP24" t="str">
            <v xml:space="preserve">  Aluminium production</v>
          </cell>
          <cell r="AR24" t="str">
            <v xml:space="preserve">  Electrical equipment</v>
          </cell>
          <cell r="AV24" t="str">
            <v xml:space="preserve">  Wetlands converted to Grassland</v>
          </cell>
        </row>
        <row r="25">
          <cell r="O25" t="str">
            <v xml:space="preserve">Wood or wood waste </v>
          </cell>
          <cell r="X25" t="str">
            <v>Travel time</v>
          </cell>
          <cell r="AB25" t="str">
            <v>Travel time</v>
          </cell>
          <cell r="AP25" t="str">
            <v xml:space="preserve">  Magnesium production</v>
          </cell>
          <cell r="AR25" t="str">
            <v xml:space="preserve">  SF6 and PFCs from other product uses</v>
          </cell>
          <cell r="AV25" t="str">
            <v xml:space="preserve">  Settlements converted to Grassland</v>
          </cell>
        </row>
        <row r="26">
          <cell r="O26" t="str">
            <v xml:space="preserve">Charcoal </v>
          </cell>
          <cell r="X26" t="str">
            <v>T&amp;D losses from grid-supplied energy consumption</v>
          </cell>
          <cell r="AB26" t="str">
            <v>T&amp;D losses from grid-supplied energy consumption</v>
          </cell>
          <cell r="AP26" t="str">
            <v xml:space="preserve">  Lead production</v>
          </cell>
          <cell r="AR26" t="str">
            <v xml:space="preserve">  N2O from product uses</v>
          </cell>
          <cell r="AV26" t="str">
            <v xml:space="preserve">  Other land converted to Grassland</v>
          </cell>
        </row>
        <row r="27">
          <cell r="O27" t="str">
            <v xml:space="preserve">Biogasoline </v>
          </cell>
          <cell r="X27" t="str">
            <v>Other (please specify)</v>
          </cell>
          <cell r="AB27" t="str">
            <v>Other (please specify)</v>
          </cell>
          <cell r="AP27" t="str">
            <v xml:space="preserve">  Zinc production</v>
          </cell>
          <cell r="AR27" t="str">
            <v>Other</v>
          </cell>
          <cell r="AV27" t="str">
            <v>Wetlands</v>
          </cell>
        </row>
        <row r="28">
          <cell r="O28" t="str">
            <v xml:space="preserve">Biodiesels </v>
          </cell>
          <cell r="AP28" t="str">
            <v>Other (please specify)</v>
          </cell>
          <cell r="AR28" t="str">
            <v xml:space="preserve">  Pulp and paper industry</v>
          </cell>
          <cell r="AV28" t="str">
            <v xml:space="preserve">  Wetlands remaining Wetlands</v>
          </cell>
        </row>
        <row r="29">
          <cell r="O29" t="str">
            <v>Methanol</v>
          </cell>
          <cell r="AR29" t="str">
            <v xml:space="preserve">  Food and beverages industry</v>
          </cell>
          <cell r="AV29" t="str">
            <v xml:space="preserve">  Forest land converted to Wetlands</v>
          </cell>
        </row>
        <row r="30">
          <cell r="O30" t="str">
            <v>Ethanol</v>
          </cell>
          <cell r="AR30" t="str">
            <v>Other (please specify)</v>
          </cell>
          <cell r="AV30" t="str">
            <v xml:space="preserve">  Crop land converted to Wetlands</v>
          </cell>
        </row>
        <row r="31">
          <cell r="O31" t="str">
            <v>E85</v>
          </cell>
          <cell r="AV31" t="str">
            <v xml:space="preserve">  Grassland converted to Wetlands</v>
          </cell>
        </row>
        <row r="32">
          <cell r="O32" t="str">
            <v xml:space="preserve">Sewage sludge </v>
          </cell>
          <cell r="AV32" t="str">
            <v xml:space="preserve">  Settlements converted to Wetlands</v>
          </cell>
        </row>
        <row r="33">
          <cell r="O33" t="str">
            <v xml:space="preserve">Other liquid biofuels </v>
          </cell>
          <cell r="AV33" t="str">
            <v xml:space="preserve">  Other land converted to Wetlands</v>
          </cell>
        </row>
        <row r="34">
          <cell r="O34" t="str">
            <v xml:space="preserve">Landfill gas </v>
          </cell>
          <cell r="AV34" t="str">
            <v>Settlements</v>
          </cell>
        </row>
        <row r="35">
          <cell r="O35" t="str">
            <v xml:space="preserve">Sludge gas </v>
          </cell>
          <cell r="AV35" t="str">
            <v xml:space="preserve">  Settlements remaining Settlements</v>
          </cell>
        </row>
        <row r="36">
          <cell r="O36" t="str">
            <v xml:space="preserve">Other biogas </v>
          </cell>
          <cell r="AV36" t="str">
            <v xml:space="preserve">  Forest land converted to Settlements</v>
          </cell>
        </row>
        <row r="37">
          <cell r="O37" t="str">
            <v>Other (please specify)</v>
          </cell>
          <cell r="AV37" t="str">
            <v xml:space="preserve">  Crop land converted to Settlements</v>
          </cell>
        </row>
        <row r="38">
          <cell r="AV38" t="str">
            <v xml:space="preserve">  Grassland converted to Settlements</v>
          </cell>
        </row>
        <row r="39">
          <cell r="AV39" t="str">
            <v xml:space="preserve">  Wetlands converted to Settlements</v>
          </cell>
        </row>
        <row r="40">
          <cell r="AV40" t="str">
            <v xml:space="preserve">  Other land converted to Settlements</v>
          </cell>
        </row>
        <row r="41">
          <cell r="AV41" t="str">
            <v>Other land</v>
          </cell>
        </row>
        <row r="42">
          <cell r="AV42" t="str">
            <v xml:space="preserve">  Other land remaining Other land</v>
          </cell>
        </row>
        <row r="43">
          <cell r="AV43" t="str">
            <v xml:space="preserve">  Forest land converted to Other land</v>
          </cell>
        </row>
        <row r="44">
          <cell r="AV44" t="str">
            <v xml:space="preserve">  Crop land converted to Other land</v>
          </cell>
        </row>
        <row r="45">
          <cell r="AV45" t="str">
            <v xml:space="preserve">  Grassland converted to Other land</v>
          </cell>
        </row>
        <row r="46">
          <cell r="AV46" t="str">
            <v xml:space="preserve">  Wetlands converted to Other land</v>
          </cell>
        </row>
        <row r="47">
          <cell r="AV47" t="str">
            <v xml:space="preserve">  Settlements converted to Other land</v>
          </cell>
        </row>
      </sheetData>
      <sheetData sheetId="15"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Revision history"/>
      <sheetName val="Reference Tables"/>
      <sheetName val="City information"/>
      <sheetName val="Data sources"/>
      <sheetName val="Emission factors"/>
      <sheetName val="I - Stationary"/>
      <sheetName val="II - Transport"/>
      <sheetName val="III - Waste"/>
      <sheetName val="IV - IPPU"/>
      <sheetName val="V - AFOLU"/>
      <sheetName val="VI - Other scope 3"/>
      <sheetName val="Table A. Overview"/>
      <sheetName val="Graphs"/>
      <sheetName val="Table B. Summary"/>
      <sheetName val="TOOLS&gt;&gt;"/>
      <sheetName val="I.8 Fugitive gas"/>
      <sheetName val="III.2 Biological treatment"/>
      <sheetName val="III.4 Wastewater"/>
      <sheetName val="WW_Protein"/>
      <sheetName val="Lists"/>
      <sheetName val="GPC Reporting Tool_V1.9_JD Test"/>
    </sheetNames>
    <sheetDataSet>
      <sheetData sheetId="0"/>
      <sheetData sheetId="1">
        <row r="85">
          <cell r="F85" t="str">
            <v>5AR</v>
          </cell>
          <cell r="G85" t="str">
            <v>4AR</v>
          </cell>
          <cell r="H85" t="str">
            <v>3AR</v>
          </cell>
          <cell r="I85" t="str">
            <v>2AR</v>
          </cell>
        </row>
        <row r="87">
          <cell r="F87">
            <v>1</v>
          </cell>
          <cell r="G87">
            <v>1</v>
          </cell>
          <cell r="H87">
            <v>1</v>
          </cell>
          <cell r="I87">
            <v>1</v>
          </cell>
        </row>
        <row r="88">
          <cell r="F88">
            <v>28</v>
          </cell>
          <cell r="G88">
            <v>25</v>
          </cell>
          <cell r="H88">
            <v>23</v>
          </cell>
          <cell r="I88">
            <v>21</v>
          </cell>
        </row>
        <row r="89">
          <cell r="F89">
            <v>265</v>
          </cell>
          <cell r="G89">
            <v>298</v>
          </cell>
          <cell r="H89">
            <v>296</v>
          </cell>
          <cell r="I89">
            <v>310</v>
          </cell>
        </row>
      </sheetData>
      <sheetData sheetId="2">
        <row r="9">
          <cell r="C9" t="str">
            <v>City A</v>
          </cell>
        </row>
        <row r="27">
          <cell r="C27" t="str">
            <v>IPCC Fourth Assessment Report (2007)</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3">
          <cell r="D3" t="str">
            <v>Please select</v>
          </cell>
        </row>
        <row r="4">
          <cell r="D4" t="str">
            <v>Afghanistan</v>
          </cell>
        </row>
        <row r="5">
          <cell r="D5" t="str">
            <v>Albania</v>
          </cell>
        </row>
        <row r="6">
          <cell r="D6" t="str">
            <v>Algeria</v>
          </cell>
        </row>
        <row r="7">
          <cell r="D7" t="str">
            <v>American Samoa</v>
          </cell>
        </row>
        <row r="8">
          <cell r="D8" t="str">
            <v>Andorra</v>
          </cell>
        </row>
        <row r="9">
          <cell r="D9" t="str">
            <v>Angola</v>
          </cell>
        </row>
        <row r="10">
          <cell r="D10" t="str">
            <v>Anguilla</v>
          </cell>
        </row>
        <row r="11">
          <cell r="D11" t="str">
            <v>Antigua and Barbuda</v>
          </cell>
        </row>
        <row r="12">
          <cell r="D12" t="str">
            <v>Argentina</v>
          </cell>
        </row>
        <row r="13">
          <cell r="D13" t="str">
            <v>Armenia</v>
          </cell>
        </row>
        <row r="14">
          <cell r="D14" t="str">
            <v>Aruba</v>
          </cell>
        </row>
        <row r="15">
          <cell r="D15" t="str">
            <v>Australia</v>
          </cell>
        </row>
        <row r="16">
          <cell r="D16" t="str">
            <v>Austria</v>
          </cell>
        </row>
        <row r="17">
          <cell r="D17" t="str">
            <v>Azerbaijan</v>
          </cell>
        </row>
        <row r="18">
          <cell r="D18" t="str">
            <v>Bahamas</v>
          </cell>
        </row>
        <row r="19">
          <cell r="D19" t="str">
            <v>Bahrain</v>
          </cell>
        </row>
        <row r="20">
          <cell r="D20" t="str">
            <v>Bangladesh</v>
          </cell>
        </row>
        <row r="21">
          <cell r="D21" t="str">
            <v>Barbados</v>
          </cell>
        </row>
        <row r="22">
          <cell r="D22" t="str">
            <v>Belarus</v>
          </cell>
        </row>
        <row r="23">
          <cell r="D23" t="str">
            <v>Belgium</v>
          </cell>
        </row>
        <row r="24">
          <cell r="D24" t="str">
            <v>Belize</v>
          </cell>
        </row>
        <row r="25">
          <cell r="D25" t="str">
            <v>Benin</v>
          </cell>
        </row>
        <row r="26">
          <cell r="D26" t="str">
            <v>Bermuda</v>
          </cell>
        </row>
        <row r="27">
          <cell r="D27" t="str">
            <v>Bhutan</v>
          </cell>
        </row>
        <row r="28">
          <cell r="D28" t="str">
            <v>Bolivia (Plurinational State of)</v>
          </cell>
        </row>
        <row r="29">
          <cell r="D29" t="str">
            <v>Bosnia and Herzegovina</v>
          </cell>
        </row>
        <row r="30">
          <cell r="D30" t="str">
            <v>Botswana</v>
          </cell>
        </row>
        <row r="31">
          <cell r="D31" t="str">
            <v>Brazil</v>
          </cell>
        </row>
        <row r="32">
          <cell r="D32" t="str">
            <v>British Virgin Islands</v>
          </cell>
        </row>
        <row r="33">
          <cell r="D33" t="str">
            <v>Brunei Darussalam</v>
          </cell>
        </row>
        <row r="34">
          <cell r="D34" t="str">
            <v>Bulgaria</v>
          </cell>
        </row>
        <row r="35">
          <cell r="D35" t="str">
            <v>Burkina Faso</v>
          </cell>
        </row>
        <row r="36">
          <cell r="D36" t="str">
            <v>Burundi</v>
          </cell>
        </row>
        <row r="37">
          <cell r="D37" t="str">
            <v>Cabo Verde</v>
          </cell>
        </row>
        <row r="38">
          <cell r="D38" t="str">
            <v>Cambodia</v>
          </cell>
        </row>
        <row r="39">
          <cell r="D39" t="str">
            <v>Cameroon</v>
          </cell>
        </row>
        <row r="40">
          <cell r="D40" t="str">
            <v>Canada</v>
          </cell>
        </row>
        <row r="41">
          <cell r="D41" t="str">
            <v>Cayman Islands</v>
          </cell>
        </row>
        <row r="42">
          <cell r="D42" t="str">
            <v>Central African Republic</v>
          </cell>
        </row>
        <row r="43">
          <cell r="D43" t="str">
            <v>Chad</v>
          </cell>
        </row>
        <row r="44">
          <cell r="D44" t="str">
            <v>Chile</v>
          </cell>
        </row>
        <row r="45">
          <cell r="D45" t="str">
            <v>China</v>
          </cell>
        </row>
        <row r="46">
          <cell r="D46" t="str">
            <v>Colombia</v>
          </cell>
        </row>
        <row r="47">
          <cell r="D47" t="str">
            <v>Comoros</v>
          </cell>
        </row>
        <row r="48">
          <cell r="D48" t="str">
            <v>Congo</v>
          </cell>
        </row>
        <row r="49">
          <cell r="D49" t="str">
            <v>Cook Islands</v>
          </cell>
        </row>
        <row r="50">
          <cell r="D50" t="str">
            <v>Costa Rica</v>
          </cell>
        </row>
        <row r="51">
          <cell r="D51" t="str">
            <v>Côte d'Ivoire</v>
          </cell>
        </row>
        <row r="52">
          <cell r="D52" t="str">
            <v>Croatia</v>
          </cell>
        </row>
        <row r="53">
          <cell r="D53" t="str">
            <v>Cuba</v>
          </cell>
        </row>
        <row r="54">
          <cell r="D54" t="str">
            <v>Cyprus</v>
          </cell>
        </row>
        <row r="55">
          <cell r="D55" t="str">
            <v>Czech Republic</v>
          </cell>
        </row>
        <row r="56">
          <cell r="D56" t="str">
            <v>Democratic People's Republic of Korea</v>
          </cell>
        </row>
        <row r="57">
          <cell r="D57" t="str">
            <v>Democratic Republic of the Congo</v>
          </cell>
        </row>
        <row r="58">
          <cell r="D58" t="str">
            <v>Denmark</v>
          </cell>
        </row>
        <row r="59">
          <cell r="D59" t="str">
            <v>Djibouti</v>
          </cell>
        </row>
        <row r="60">
          <cell r="D60" t="str">
            <v>Dominica</v>
          </cell>
        </row>
        <row r="61">
          <cell r="D61" t="str">
            <v>Dominican Republic</v>
          </cell>
        </row>
        <row r="62">
          <cell r="D62" t="str">
            <v>Ecuador</v>
          </cell>
        </row>
        <row r="63">
          <cell r="D63" t="str">
            <v>Egypt</v>
          </cell>
        </row>
        <row r="64">
          <cell r="D64" t="str">
            <v>El Salvador</v>
          </cell>
        </row>
        <row r="65">
          <cell r="D65" t="str">
            <v>Equatorial Guinea</v>
          </cell>
        </row>
        <row r="66">
          <cell r="D66" t="str">
            <v>Eritrea</v>
          </cell>
        </row>
        <row r="67">
          <cell r="D67" t="str">
            <v>Estonia</v>
          </cell>
        </row>
        <row r="68">
          <cell r="D68" t="str">
            <v>Ethiopia</v>
          </cell>
        </row>
        <row r="69">
          <cell r="D69" t="str">
            <v>Faroe Islands</v>
          </cell>
        </row>
        <row r="70">
          <cell r="D70" t="str">
            <v>Fiji</v>
          </cell>
        </row>
        <row r="71">
          <cell r="D71" t="str">
            <v>Finland</v>
          </cell>
        </row>
        <row r="72">
          <cell r="D72" t="str">
            <v>France</v>
          </cell>
        </row>
        <row r="73">
          <cell r="D73" t="str">
            <v>French Guiana</v>
          </cell>
        </row>
        <row r="74">
          <cell r="D74" t="str">
            <v>French Polynesia</v>
          </cell>
        </row>
        <row r="75">
          <cell r="D75" t="str">
            <v>Gabon</v>
          </cell>
        </row>
        <row r="76">
          <cell r="D76" t="str">
            <v>Gambia</v>
          </cell>
        </row>
        <row r="77">
          <cell r="D77" t="str">
            <v>Georgia</v>
          </cell>
        </row>
        <row r="78">
          <cell r="D78" t="str">
            <v>Germany</v>
          </cell>
        </row>
        <row r="79">
          <cell r="D79" t="str">
            <v>Ghana</v>
          </cell>
        </row>
        <row r="80">
          <cell r="D80" t="str">
            <v>Gibraltar</v>
          </cell>
        </row>
        <row r="81">
          <cell r="D81" t="str">
            <v>Greece</v>
          </cell>
        </row>
        <row r="82">
          <cell r="D82" t="str">
            <v>Greenland</v>
          </cell>
        </row>
        <row r="83">
          <cell r="D83" t="str">
            <v>Grenada</v>
          </cell>
        </row>
        <row r="84">
          <cell r="D84" t="str">
            <v>Guadeloupe</v>
          </cell>
        </row>
        <row r="85">
          <cell r="D85" t="str">
            <v>Guam</v>
          </cell>
        </row>
        <row r="86">
          <cell r="D86" t="str">
            <v>Guatemala</v>
          </cell>
        </row>
        <row r="87">
          <cell r="D87" t="str">
            <v>Guinea</v>
          </cell>
        </row>
        <row r="88">
          <cell r="D88" t="str">
            <v>Guinea-Bissau</v>
          </cell>
        </row>
        <row r="89">
          <cell r="D89" t="str">
            <v>Guyana</v>
          </cell>
        </row>
        <row r="90">
          <cell r="D90" t="str">
            <v>Haiti</v>
          </cell>
        </row>
        <row r="91">
          <cell r="D91" t="str">
            <v>Holy See</v>
          </cell>
        </row>
        <row r="92">
          <cell r="D92" t="str">
            <v>Honduras</v>
          </cell>
        </row>
        <row r="93">
          <cell r="D93" t="str">
            <v>Hungary</v>
          </cell>
        </row>
        <row r="94">
          <cell r="D94" t="str">
            <v>Iceland</v>
          </cell>
        </row>
        <row r="95">
          <cell r="D95" t="str">
            <v>India</v>
          </cell>
        </row>
        <row r="96">
          <cell r="D96" t="str">
            <v>Indonesia</v>
          </cell>
        </row>
        <row r="97">
          <cell r="D97" t="str">
            <v>Iran (Islamic Republic of)</v>
          </cell>
        </row>
        <row r="98">
          <cell r="D98" t="str">
            <v>Iraq</v>
          </cell>
        </row>
        <row r="99">
          <cell r="D99" t="str">
            <v>Ireland</v>
          </cell>
        </row>
        <row r="100">
          <cell r="D100" t="str">
            <v>Israel</v>
          </cell>
        </row>
        <row r="101">
          <cell r="D101" t="str">
            <v>Italy</v>
          </cell>
        </row>
        <row r="102">
          <cell r="D102" t="str">
            <v>Jamaica</v>
          </cell>
        </row>
        <row r="103">
          <cell r="D103" t="str">
            <v>Japan</v>
          </cell>
        </row>
        <row r="104">
          <cell r="D104" t="str">
            <v>Jordan</v>
          </cell>
        </row>
        <row r="105">
          <cell r="D105" t="str">
            <v>Kazakhstan</v>
          </cell>
        </row>
        <row r="106">
          <cell r="D106" t="str">
            <v>Kenya</v>
          </cell>
        </row>
        <row r="107">
          <cell r="D107" t="str">
            <v>Kiribati</v>
          </cell>
        </row>
        <row r="108">
          <cell r="D108" t="str">
            <v>Kuwait</v>
          </cell>
        </row>
        <row r="109">
          <cell r="D109" t="str">
            <v>Kyrgyzstan</v>
          </cell>
        </row>
        <row r="110">
          <cell r="D110" t="str">
            <v>Lao People's Democratic Republic</v>
          </cell>
        </row>
        <row r="111">
          <cell r="D111" t="str">
            <v>Latvia</v>
          </cell>
        </row>
        <row r="112">
          <cell r="D112" t="str">
            <v>Lebanon</v>
          </cell>
        </row>
        <row r="113">
          <cell r="D113" t="str">
            <v>Lesotho</v>
          </cell>
        </row>
        <row r="114">
          <cell r="D114" t="str">
            <v>Liberia</v>
          </cell>
        </row>
        <row r="115">
          <cell r="D115" t="str">
            <v>Libya</v>
          </cell>
        </row>
        <row r="116">
          <cell r="D116" t="str">
            <v>Liechtenstein</v>
          </cell>
        </row>
        <row r="117">
          <cell r="D117" t="str">
            <v>Lithuania</v>
          </cell>
        </row>
        <row r="118">
          <cell r="D118" t="str">
            <v>Luxembourg</v>
          </cell>
        </row>
        <row r="119">
          <cell r="D119" t="str">
            <v>Madagascar</v>
          </cell>
        </row>
        <row r="120">
          <cell r="D120" t="str">
            <v>Malawi</v>
          </cell>
        </row>
        <row r="121">
          <cell r="D121" t="str">
            <v>Malaysia</v>
          </cell>
        </row>
        <row r="122">
          <cell r="D122" t="str">
            <v>Maldives</v>
          </cell>
        </row>
        <row r="123">
          <cell r="D123" t="str">
            <v>Mali</v>
          </cell>
        </row>
        <row r="124">
          <cell r="D124" t="str">
            <v>Malta</v>
          </cell>
        </row>
        <row r="125">
          <cell r="D125" t="str">
            <v>Marshall Islands</v>
          </cell>
        </row>
        <row r="126">
          <cell r="D126" t="str">
            <v>Martinique</v>
          </cell>
        </row>
        <row r="127">
          <cell r="D127" t="str">
            <v>Mauritania</v>
          </cell>
        </row>
        <row r="128">
          <cell r="D128" t="str">
            <v>Mauritius</v>
          </cell>
        </row>
        <row r="129">
          <cell r="D129" t="str">
            <v>Mayotte</v>
          </cell>
        </row>
        <row r="130">
          <cell r="D130" t="str">
            <v>Mexico</v>
          </cell>
        </row>
        <row r="131">
          <cell r="D131" t="str">
            <v>Micronesia (Federated States of)</v>
          </cell>
        </row>
        <row r="132">
          <cell r="D132" t="str">
            <v>Monaco</v>
          </cell>
        </row>
        <row r="133">
          <cell r="D133" t="str">
            <v>Mongolia</v>
          </cell>
        </row>
        <row r="134">
          <cell r="D134" t="str">
            <v>Montenegro</v>
          </cell>
        </row>
        <row r="135">
          <cell r="D135" t="str">
            <v>Montserrat</v>
          </cell>
        </row>
        <row r="136">
          <cell r="D136" t="str">
            <v>Morocco</v>
          </cell>
        </row>
        <row r="137">
          <cell r="D137" t="str">
            <v>Mozambique</v>
          </cell>
        </row>
        <row r="138">
          <cell r="D138" t="str">
            <v>Myanmar</v>
          </cell>
        </row>
        <row r="139">
          <cell r="D139" t="str">
            <v>Namibia</v>
          </cell>
        </row>
        <row r="140">
          <cell r="D140" t="str">
            <v>Nauru</v>
          </cell>
        </row>
        <row r="141">
          <cell r="D141" t="str">
            <v>Nepal</v>
          </cell>
        </row>
        <row r="142">
          <cell r="D142" t="str">
            <v>Netherlands</v>
          </cell>
        </row>
        <row r="143">
          <cell r="D143" t="str">
            <v>Netherlands Antilles</v>
          </cell>
        </row>
        <row r="144">
          <cell r="D144" t="str">
            <v>New Caledonia</v>
          </cell>
        </row>
        <row r="145">
          <cell r="D145" t="str">
            <v>New Zealand</v>
          </cell>
        </row>
        <row r="146">
          <cell r="D146" t="str">
            <v>Nicaragua</v>
          </cell>
        </row>
        <row r="147">
          <cell r="D147" t="str">
            <v>Niger</v>
          </cell>
        </row>
        <row r="148">
          <cell r="D148" t="str">
            <v>Nigeria</v>
          </cell>
        </row>
        <row r="149">
          <cell r="D149" t="str">
            <v>Niue</v>
          </cell>
        </row>
        <row r="150">
          <cell r="D150" t="str">
            <v>Northern Mariana Islands</v>
          </cell>
        </row>
        <row r="151">
          <cell r="D151" t="str">
            <v>Norway</v>
          </cell>
        </row>
        <row r="152">
          <cell r="D152" t="str">
            <v>Oman</v>
          </cell>
        </row>
        <row r="153">
          <cell r="D153" t="str">
            <v>Pakistan</v>
          </cell>
        </row>
        <row r="154">
          <cell r="D154" t="str">
            <v>Palau</v>
          </cell>
        </row>
        <row r="155">
          <cell r="D155" t="str">
            <v>Panama</v>
          </cell>
        </row>
        <row r="156">
          <cell r="D156" t="str">
            <v>Papua New Guinea</v>
          </cell>
        </row>
        <row r="157">
          <cell r="D157" t="str">
            <v>Paraguay</v>
          </cell>
        </row>
        <row r="158">
          <cell r="D158" t="str">
            <v>Peru</v>
          </cell>
        </row>
        <row r="159">
          <cell r="D159" t="str">
            <v>Philippines</v>
          </cell>
        </row>
        <row r="160">
          <cell r="D160" t="str">
            <v>Poland</v>
          </cell>
        </row>
        <row r="161">
          <cell r="D161" t="str">
            <v>Portugal</v>
          </cell>
        </row>
        <row r="162">
          <cell r="D162" t="str">
            <v>Puerto Rico</v>
          </cell>
        </row>
        <row r="163">
          <cell r="D163" t="str">
            <v>Qatar</v>
          </cell>
        </row>
        <row r="164">
          <cell r="D164" t="str">
            <v>Republic of Korea</v>
          </cell>
        </row>
        <row r="165">
          <cell r="D165" t="str">
            <v>Republic of Moldova</v>
          </cell>
        </row>
        <row r="166">
          <cell r="D166" t="str">
            <v>Réunion</v>
          </cell>
        </row>
        <row r="167">
          <cell r="D167" t="str">
            <v>Romania</v>
          </cell>
        </row>
        <row r="168">
          <cell r="D168" t="str">
            <v>Russian Federation</v>
          </cell>
        </row>
        <row r="169">
          <cell r="D169" t="str">
            <v>Rwanda</v>
          </cell>
        </row>
        <row r="170">
          <cell r="D170" t="str">
            <v>Saint Helena, Ascension and Tristan da Cunha</v>
          </cell>
        </row>
        <row r="171">
          <cell r="D171" t="str">
            <v>Saint Kitts and Nevis</v>
          </cell>
        </row>
        <row r="172">
          <cell r="D172" t="str">
            <v>Saint Lucia</v>
          </cell>
        </row>
        <row r="173">
          <cell r="D173" t="str">
            <v>Saint Pierre and Miquelon</v>
          </cell>
        </row>
        <row r="174">
          <cell r="D174" t="str">
            <v>Saint Vincent and the Grenadines</v>
          </cell>
        </row>
        <row r="175">
          <cell r="D175" t="str">
            <v>Samoa</v>
          </cell>
        </row>
        <row r="176">
          <cell r="D176" t="str">
            <v>San Marino</v>
          </cell>
        </row>
        <row r="177">
          <cell r="D177" t="str">
            <v>Sao Tome and Principe</v>
          </cell>
        </row>
        <row r="178">
          <cell r="D178" t="str">
            <v>Saudi Arabia</v>
          </cell>
        </row>
        <row r="179">
          <cell r="D179" t="str">
            <v>Senegal</v>
          </cell>
        </row>
        <row r="180">
          <cell r="D180" t="str">
            <v>Serbia</v>
          </cell>
        </row>
        <row r="181">
          <cell r="D181" t="str">
            <v>Serbia and Montenegro</v>
          </cell>
        </row>
        <row r="182">
          <cell r="D182" t="str">
            <v>Seychelles</v>
          </cell>
        </row>
        <row r="183">
          <cell r="D183" t="str">
            <v>Sierra Leone</v>
          </cell>
        </row>
        <row r="184">
          <cell r="D184" t="str">
            <v>Singapore</v>
          </cell>
        </row>
        <row r="185">
          <cell r="D185" t="str">
            <v>Slovakia</v>
          </cell>
        </row>
        <row r="186">
          <cell r="D186" t="str">
            <v>Slovenia</v>
          </cell>
        </row>
        <row r="187">
          <cell r="D187" t="str">
            <v>Solomon Islands</v>
          </cell>
        </row>
        <row r="188">
          <cell r="D188" t="str">
            <v>Somalia</v>
          </cell>
        </row>
        <row r="189">
          <cell r="D189" t="str">
            <v>South Africa</v>
          </cell>
        </row>
        <row r="190">
          <cell r="D190" t="str">
            <v>South Sudan</v>
          </cell>
        </row>
        <row r="191">
          <cell r="D191" t="str">
            <v>Spain</v>
          </cell>
        </row>
        <row r="192">
          <cell r="D192" t="str">
            <v>Sri Lanka</v>
          </cell>
        </row>
        <row r="193">
          <cell r="D193" t="str">
            <v>Sudan</v>
          </cell>
        </row>
        <row r="194">
          <cell r="D194" t="str">
            <v>Sudan (former)</v>
          </cell>
        </row>
        <row r="195">
          <cell r="D195" t="str">
            <v>Suriname</v>
          </cell>
        </row>
        <row r="196">
          <cell r="D196" t="str">
            <v>Swaziland</v>
          </cell>
        </row>
        <row r="197">
          <cell r="D197" t="str">
            <v>Sweden</v>
          </cell>
        </row>
        <row r="198">
          <cell r="D198" t="str">
            <v>Switzerland</v>
          </cell>
        </row>
        <row r="199">
          <cell r="D199" t="str">
            <v>Syrian Arab Republic</v>
          </cell>
        </row>
        <row r="200">
          <cell r="D200" t="str">
            <v>Tajikistan</v>
          </cell>
        </row>
        <row r="201">
          <cell r="D201" t="str">
            <v>Thailand</v>
          </cell>
        </row>
        <row r="202">
          <cell r="D202" t="str">
            <v>The former Yugoslav Republic of Macedonia</v>
          </cell>
        </row>
        <row r="203">
          <cell r="D203" t="str">
            <v>Timor-Leste</v>
          </cell>
        </row>
        <row r="204">
          <cell r="D204" t="str">
            <v>Togo</v>
          </cell>
        </row>
        <row r="205">
          <cell r="D205" t="str">
            <v>Tokelau</v>
          </cell>
        </row>
        <row r="206">
          <cell r="D206" t="str">
            <v>Tonga</v>
          </cell>
        </row>
        <row r="207">
          <cell r="D207" t="str">
            <v>Trinidad and Tobago</v>
          </cell>
        </row>
        <row r="208">
          <cell r="D208" t="str">
            <v>Tunisia</v>
          </cell>
        </row>
        <row r="209">
          <cell r="D209" t="str">
            <v>Turkey</v>
          </cell>
        </row>
        <row r="210">
          <cell r="D210" t="str">
            <v>Turkmenistan</v>
          </cell>
        </row>
        <row r="211">
          <cell r="D211" t="str">
            <v>Turks and Caicos Islands</v>
          </cell>
        </row>
        <row r="212">
          <cell r="D212" t="str">
            <v>Tuvalu</v>
          </cell>
        </row>
        <row r="213">
          <cell r="D213" t="str">
            <v>Uganda</v>
          </cell>
        </row>
        <row r="214">
          <cell r="D214" t="str">
            <v>Ukraine</v>
          </cell>
        </row>
        <row r="215">
          <cell r="D215" t="str">
            <v>United Arab Emirates</v>
          </cell>
        </row>
        <row r="216">
          <cell r="D216" t="str">
            <v>United Kingdom</v>
          </cell>
        </row>
        <row r="217">
          <cell r="D217" t="str">
            <v>United Republic of Tanzania</v>
          </cell>
        </row>
        <row r="218">
          <cell r="D218" t="str">
            <v>United States of America</v>
          </cell>
        </row>
        <row r="219">
          <cell r="D219" t="str">
            <v>United States Virgin Islands</v>
          </cell>
        </row>
        <row r="220">
          <cell r="D220" t="str">
            <v>Uruguay</v>
          </cell>
        </row>
        <row r="221">
          <cell r="D221" t="str">
            <v>Uzbekistan</v>
          </cell>
        </row>
        <row r="222">
          <cell r="D222" t="str">
            <v>Vanuatu</v>
          </cell>
        </row>
        <row r="223">
          <cell r="D223" t="str">
            <v>Venezuela (Bolivarian Republic of)</v>
          </cell>
        </row>
        <row r="224">
          <cell r="D224" t="str">
            <v>Viet Nam</v>
          </cell>
        </row>
        <row r="225">
          <cell r="D225" t="str">
            <v>Wallis and Futuna Islands</v>
          </cell>
        </row>
        <row r="226">
          <cell r="D226" t="str">
            <v>West Bank and Gaza Strip</v>
          </cell>
        </row>
        <row r="227">
          <cell r="D227" t="str">
            <v>Western Sahara</v>
          </cell>
        </row>
        <row r="228">
          <cell r="D228" t="str">
            <v>Yemen</v>
          </cell>
        </row>
        <row r="229">
          <cell r="D229" t="str">
            <v>Zambia</v>
          </cell>
        </row>
        <row r="230">
          <cell r="D230" t="str">
            <v>Zimbabwe</v>
          </cell>
        </row>
      </sheetData>
      <sheetData sheetId="19">
        <row r="4">
          <cell r="AV4" t="str">
            <v>Please select</v>
          </cell>
          <cell r="BE4" t="str">
            <v>Please select</v>
          </cell>
          <cell r="BO4" t="str">
            <v>Please select</v>
          </cell>
          <cell r="BP4" t="str">
            <v>Please select</v>
          </cell>
          <cell r="BQ4" t="str">
            <v>Please select</v>
          </cell>
          <cell r="BR4" t="str">
            <v>Please select</v>
          </cell>
          <cell r="BS4" t="str">
            <v>Please select</v>
          </cell>
          <cell r="BT4" t="str">
            <v>Please select</v>
          </cell>
          <cell r="BU4" t="str">
            <v>Please select</v>
          </cell>
        </row>
        <row r="5">
          <cell r="AV5" t="str">
            <v>All land</v>
          </cell>
          <cell r="BE5" t="str">
            <v>Africa</v>
          </cell>
          <cell r="BO5" t="str">
            <v>Wet</v>
          </cell>
          <cell r="BP5" t="str">
            <v>Garbage disposals</v>
          </cell>
          <cell r="BQ5" t="str">
            <v>Alcohol refining</v>
          </cell>
          <cell r="BR5" t="str">
            <v>m3</v>
          </cell>
          <cell r="BS5" t="str">
            <v>Developed</v>
          </cell>
          <cell r="BT5" t="str">
            <v>Dry waste</v>
          </cell>
          <cell r="BU5" t="str">
            <v>Composting</v>
          </cell>
        </row>
        <row r="6">
          <cell r="AV6" t="str">
            <v>Forest land</v>
          </cell>
          <cell r="BE6" t="str">
            <v>Egypt</v>
          </cell>
          <cell r="BO6" t="str">
            <v>Dry</v>
          </cell>
          <cell r="BP6" t="str">
            <v>No garbage disposals</v>
          </cell>
          <cell r="BQ6" t="str">
            <v>Beer and Malt</v>
          </cell>
          <cell r="BR6" t="str">
            <v>kWh</v>
          </cell>
          <cell r="BS6" t="str">
            <v>Developing</v>
          </cell>
          <cell r="BT6" t="str">
            <v>Wet waste</v>
          </cell>
          <cell r="BU6" t="str">
            <v>Aerobic digestion at biogas facilities</v>
          </cell>
        </row>
        <row r="7">
          <cell r="AV7" t="str">
            <v xml:space="preserve">  Forest land remaining Forest land</v>
          </cell>
          <cell r="BE7" t="str">
            <v>Asia_Middle East_Latin America</v>
          </cell>
          <cell r="BQ7" t="str">
            <v>Coffee</v>
          </cell>
          <cell r="BR7" t="str">
            <v>MWh</v>
          </cell>
        </row>
        <row r="8">
          <cell r="AV8" t="str">
            <v xml:space="preserve">  Crop land converted to Forest land</v>
          </cell>
          <cell r="BE8" t="str">
            <v>India</v>
          </cell>
          <cell r="BQ8" t="str">
            <v>Dairy products</v>
          </cell>
          <cell r="BR8" t="str">
            <v>GWh</v>
          </cell>
        </row>
        <row r="9">
          <cell r="AV9" t="str">
            <v xml:space="preserve">  Grassland converted to Forest land</v>
          </cell>
          <cell r="BE9" t="str">
            <v>Japan</v>
          </cell>
          <cell r="BQ9" t="str">
            <v>Fish processing</v>
          </cell>
          <cell r="BR9" t="str">
            <v>GJ</v>
          </cell>
        </row>
        <row r="10">
          <cell r="AV10" t="str">
            <v xml:space="preserve">  Settlements converted to Forest land</v>
          </cell>
          <cell r="BE10" t="str">
            <v>Brazil</v>
          </cell>
          <cell r="BQ10" t="str">
            <v>Meat and poultry</v>
          </cell>
          <cell r="BR10" t="str">
            <v>TJ</v>
          </cell>
        </row>
        <row r="11">
          <cell r="AV11" t="str">
            <v xml:space="preserve">  Wetlands converted to Forest land</v>
          </cell>
          <cell r="BE11" t="str">
            <v>Canada_Europe_Russia_Oceania</v>
          </cell>
          <cell r="BQ11" t="str">
            <v>Organic chemicals</v>
          </cell>
          <cell r="BR11" t="str">
            <v>Tonnes</v>
          </cell>
        </row>
        <row r="12">
          <cell r="AV12" t="str">
            <v xml:space="preserve">  Other land converted to Forest land</v>
          </cell>
          <cell r="BE12" t="str">
            <v>Denmark</v>
          </cell>
          <cell r="BQ12" t="str">
            <v>Petroleum refineries</v>
          </cell>
          <cell r="BR12" t="str">
            <v>MBtu</v>
          </cell>
        </row>
        <row r="13">
          <cell r="AV13" t="str">
            <v>Crop land</v>
          </cell>
          <cell r="BE13" t="str">
            <v>Germany</v>
          </cell>
          <cell r="BQ13" t="str">
            <v>Plastic and resins</v>
          </cell>
          <cell r="BR13" t="str">
            <v>MMBtu</v>
          </cell>
        </row>
        <row r="14">
          <cell r="AV14" t="str">
            <v xml:space="preserve">  Crop land remaining Crop land</v>
          </cell>
          <cell r="BE14" t="str">
            <v>Greece</v>
          </cell>
          <cell r="BQ14" t="str">
            <v>Pulp and paper</v>
          </cell>
        </row>
        <row r="15">
          <cell r="AV15" t="str">
            <v xml:space="preserve">  Forest land converted to Crop land</v>
          </cell>
          <cell r="BE15" t="str">
            <v>Italy</v>
          </cell>
          <cell r="BQ15" t="str">
            <v>Soap and detergents</v>
          </cell>
        </row>
        <row r="16">
          <cell r="AV16" t="str">
            <v xml:space="preserve">  Grassland converted to Crop land</v>
          </cell>
          <cell r="BE16" t="str">
            <v>Sweden</v>
          </cell>
          <cell r="BQ16" t="str">
            <v>Starch production</v>
          </cell>
        </row>
        <row r="17">
          <cell r="AV17" t="str">
            <v xml:space="preserve">  Settlements converted to Crop land</v>
          </cell>
          <cell r="BE17" t="str">
            <v>Turkey</v>
          </cell>
          <cell r="BQ17" t="str">
            <v>Sugar refining</v>
          </cell>
        </row>
        <row r="18">
          <cell r="AV18" t="str">
            <v xml:space="preserve">  Wetlands converted to Crop land</v>
          </cell>
          <cell r="BE18" t="str">
            <v>United States</v>
          </cell>
          <cell r="BQ18" t="str">
            <v>Vegetable oils</v>
          </cell>
        </row>
        <row r="19">
          <cell r="AV19" t="str">
            <v xml:space="preserve">  Other land converted to Crop land</v>
          </cell>
          <cell r="BQ19" t="str">
            <v>Vegetables, fruits and juices</v>
          </cell>
        </row>
        <row r="20">
          <cell r="AV20" t="str">
            <v>Grassland</v>
          </cell>
          <cell r="BQ20" t="str">
            <v>Wine and vinegar</v>
          </cell>
        </row>
        <row r="21">
          <cell r="AV21" t="str">
            <v xml:space="preserve">  Grassland remaining Grassland</v>
          </cell>
        </row>
        <row r="22">
          <cell r="AV22" t="str">
            <v xml:space="preserve">  Forest land converted to Grassland</v>
          </cell>
        </row>
        <row r="23">
          <cell r="AV23" t="str">
            <v xml:space="preserve">  Crop land converted to Grassland</v>
          </cell>
        </row>
        <row r="24">
          <cell r="AV24" t="str">
            <v xml:space="preserve">  Wetlands converted to Grassland</v>
          </cell>
        </row>
        <row r="25">
          <cell r="AV25" t="str">
            <v xml:space="preserve">  Settlements converted to Grassland</v>
          </cell>
        </row>
        <row r="26">
          <cell r="AV26" t="str">
            <v xml:space="preserve">  Other land converted to Grassland</v>
          </cell>
        </row>
        <row r="27">
          <cell r="AV27" t="str">
            <v>Wetlands</v>
          </cell>
        </row>
        <row r="28">
          <cell r="AV28" t="str">
            <v xml:space="preserve">  Wetlands remaining Wetlands</v>
          </cell>
        </row>
        <row r="29">
          <cell r="AV29" t="str">
            <v xml:space="preserve">  Forest land converted to Wetlands</v>
          </cell>
        </row>
        <row r="30">
          <cell r="AV30" t="str">
            <v xml:space="preserve">  Crop land converted to Wetlands</v>
          </cell>
        </row>
        <row r="31">
          <cell r="AV31" t="str">
            <v xml:space="preserve">  Grassland converted to Wetlands</v>
          </cell>
        </row>
        <row r="32">
          <cell r="AV32" t="str">
            <v xml:space="preserve">  Settlements converted to Wetlands</v>
          </cell>
        </row>
        <row r="33">
          <cell r="AV33" t="str">
            <v xml:space="preserve">  Other land converted to Wetlands</v>
          </cell>
        </row>
        <row r="34">
          <cell r="AV34" t="str">
            <v>Settlements</v>
          </cell>
        </row>
        <row r="35">
          <cell r="AV35" t="str">
            <v xml:space="preserve">  Settlements remaining Settlements</v>
          </cell>
        </row>
        <row r="36">
          <cell r="AV36" t="str">
            <v xml:space="preserve">  Forest land converted to Settlements</v>
          </cell>
        </row>
        <row r="37">
          <cell r="AV37" t="str">
            <v xml:space="preserve">  Crop land converted to Settlements</v>
          </cell>
        </row>
        <row r="38">
          <cell r="AV38" t="str">
            <v xml:space="preserve">  Grassland converted to Settlements</v>
          </cell>
        </row>
        <row r="39">
          <cell r="AV39" t="str">
            <v xml:space="preserve">  Wetlands converted to Settlements</v>
          </cell>
        </row>
        <row r="40">
          <cell r="AV40" t="str">
            <v xml:space="preserve">  Other land converted to Settlements</v>
          </cell>
        </row>
        <row r="41">
          <cell r="AV41" t="str">
            <v>Other land</v>
          </cell>
        </row>
        <row r="42">
          <cell r="AV42" t="str">
            <v xml:space="preserve">  Other land remaining Other land</v>
          </cell>
        </row>
        <row r="43">
          <cell r="AV43" t="str">
            <v xml:space="preserve">  Forest land converted to Other land</v>
          </cell>
        </row>
        <row r="44">
          <cell r="AV44" t="str">
            <v xml:space="preserve">  Crop land converted to Other land</v>
          </cell>
        </row>
        <row r="45">
          <cell r="AV45" t="str">
            <v xml:space="preserve">  Grassland converted to Other land</v>
          </cell>
        </row>
        <row r="46">
          <cell r="AV46" t="str">
            <v xml:space="preserve">  Wetlands converted to Other land</v>
          </cell>
        </row>
        <row r="47">
          <cell r="AV47" t="str">
            <v xml:space="preserve">  Settlements converted to Other land</v>
          </cell>
        </row>
      </sheetData>
      <sheetData sheetId="20" refreshError="1"/>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Introduction"/>
      <sheetName val="Emission sources"/>
      <sheetName val="City information"/>
      <sheetName val="I - Stationary"/>
      <sheetName val="II - Transport"/>
      <sheetName val="III - Waste"/>
      <sheetName val="IV - IPPU"/>
      <sheetName val="V - AFOLU"/>
      <sheetName val="VI - Other scope 3"/>
      <sheetName val="Emission factors"/>
      <sheetName val="Data sources"/>
      <sheetName val="Table A. GPC GHG Overview"/>
      <sheetName val="Table B. GPC Summary"/>
      <sheetName val="Graphs"/>
      <sheetName val="Table B. GPC Summary (2)"/>
      <sheetName val="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3">
          <cell r="AB3" t="str">
            <v xml:space="preserve"> </v>
          </cell>
        </row>
        <row r="4">
          <cell r="A4" t="str">
            <v>Please select</v>
          </cell>
          <cell r="B4" t="str">
            <v>Please select</v>
          </cell>
          <cell r="C4" t="str">
            <v>Please select</v>
          </cell>
          <cell r="D4" t="str">
            <v>NO</v>
          </cell>
          <cell r="E4" t="str">
            <v>L</v>
          </cell>
          <cell r="F4" t="str">
            <v>CO2</v>
          </cell>
          <cell r="G4" t="str">
            <v>Please select</v>
          </cell>
          <cell r="H4" t="str">
            <v>Please select</v>
          </cell>
          <cell r="I4" t="str">
            <v>Please select</v>
          </cell>
          <cell r="K4" t="str">
            <v>Please select</v>
          </cell>
          <cell r="M4" t="str">
            <v>Please select</v>
          </cell>
          <cell r="O4" t="str">
            <v>Please select</v>
          </cell>
          <cell r="P4" t="str">
            <v>Please select</v>
          </cell>
          <cell r="R4" t="str">
            <v>Please select</v>
          </cell>
          <cell r="T4" t="str">
            <v>Please select</v>
          </cell>
          <cell r="V4" t="str">
            <v>Please select</v>
          </cell>
          <cell r="X4" t="str">
            <v>Please select</v>
          </cell>
          <cell r="Z4" t="str">
            <v>Please select</v>
          </cell>
          <cell r="AB4" t="str">
            <v>Please select</v>
          </cell>
          <cell r="AD4" t="str">
            <v>Please select</v>
          </cell>
          <cell r="AF4" t="str">
            <v>Please select</v>
          </cell>
          <cell r="AG4" t="str">
            <v>Please select</v>
          </cell>
          <cell r="AH4" t="str">
            <v>Please select</v>
          </cell>
          <cell r="AJ4" t="str">
            <v>Please select</v>
          </cell>
          <cell r="AL4" t="str">
            <v>Please select</v>
          </cell>
          <cell r="AN4" t="str">
            <v>Please select</v>
          </cell>
          <cell r="AP4" t="str">
            <v>Please select</v>
          </cell>
          <cell r="AR4" t="str">
            <v>Please select</v>
          </cell>
          <cell r="AS4" t="str">
            <v>Calendar year</v>
          </cell>
          <cell r="AT4" t="str">
            <v>Annual</v>
          </cell>
          <cell r="AU4" t="str">
            <v>Local</v>
          </cell>
        </row>
        <row r="5">
          <cell r="A5" t="str">
            <v xml:space="preserve">Administrative boundary of a local government </v>
          </cell>
          <cell r="B5" t="str">
            <v>Industry &amp; Manufacturing</v>
          </cell>
          <cell r="C5" t="str">
            <v>Tropical rainforest</v>
          </cell>
          <cell r="D5" t="str">
            <v>IE</v>
          </cell>
          <cell r="E5" t="str">
            <v>M</v>
          </cell>
          <cell r="F5" t="str">
            <v>CH4</v>
          </cell>
          <cell r="G5" t="str">
            <v>Gas (natural gas)</v>
          </cell>
          <cell r="H5" t="str">
            <v>Electricity</v>
          </cell>
          <cell r="I5" t="str">
            <v>Electricity generation</v>
          </cell>
          <cell r="K5" t="str">
            <v>All activities</v>
          </cell>
          <cell r="M5" t="str">
            <v>All activities</v>
          </cell>
          <cell r="O5" t="str">
            <v>Fuel sales approach</v>
          </cell>
          <cell r="P5" t="str">
            <v>Compressed natural gas (CNG)</v>
          </cell>
          <cell r="R5" t="str">
            <v>Diesel oil</v>
          </cell>
          <cell r="T5" t="str">
            <v>Compressed natural gas (CNG)</v>
          </cell>
          <cell r="V5" t="str">
            <v>Aviation gasoline</v>
          </cell>
          <cell r="X5" t="str">
            <v>Landfill sites - Methane commitment</v>
          </cell>
          <cell r="Z5" t="str">
            <v>All organic waste</v>
          </cell>
          <cell r="AB5" t="str">
            <v>Open burning of waste</v>
          </cell>
          <cell r="AD5" t="str">
            <v>All wastewater</v>
          </cell>
          <cell r="AF5" t="str">
            <v>All waste</v>
          </cell>
          <cell r="AG5" t="str">
            <v>All organic waste</v>
          </cell>
          <cell r="AH5" t="str">
            <v>All industrial processes</v>
          </cell>
          <cell r="AJ5" t="str">
            <v>All product use</v>
          </cell>
          <cell r="AL5" t="str">
            <v>All livestock</v>
          </cell>
          <cell r="AN5" t="str">
            <v>All land</v>
          </cell>
          <cell r="AP5" t="str">
            <v>Burning</v>
          </cell>
          <cell r="AR5" t="str">
            <v>Goods and services</v>
          </cell>
          <cell r="AS5" t="str">
            <v>Financial year</v>
          </cell>
          <cell r="AT5" t="str">
            <v>Every 2 years</v>
          </cell>
          <cell r="AU5" t="str">
            <v>Metro</v>
          </cell>
        </row>
        <row r="6">
          <cell r="A6" t="str">
            <v>Combination of administrative divisions</v>
          </cell>
          <cell r="B6" t="str">
            <v>Services</v>
          </cell>
          <cell r="C6" t="str">
            <v>Tropical monsoon</v>
          </cell>
          <cell r="D6" t="str">
            <v>NE</v>
          </cell>
          <cell r="E6" t="str">
            <v>H</v>
          </cell>
          <cell r="F6" t="str">
            <v>N2O</v>
          </cell>
          <cell r="G6" t="str">
            <v>Compressed natural gas (CNG)</v>
          </cell>
          <cell r="H6" t="str">
            <v>Electricity (CHP)</v>
          </cell>
          <cell r="I6" t="str">
            <v>Combined heat and power generation (CHP)</v>
          </cell>
          <cell r="K6" t="str">
            <v>Coal mining and handling</v>
          </cell>
          <cell r="M6" t="str">
            <v>Oil</v>
          </cell>
          <cell r="O6" t="str">
            <v>City-induced activity</v>
          </cell>
          <cell r="P6" t="str">
            <v xml:space="preserve">Gas oil </v>
          </cell>
          <cell r="R6" t="str">
            <v>Electricity</v>
          </cell>
          <cell r="T6" t="str">
            <v xml:space="preserve">Gas oil </v>
          </cell>
          <cell r="V6" t="str">
            <v>Jet gasoline</v>
          </cell>
          <cell r="X6" t="str">
            <v>Landfill sites - First order decay</v>
          </cell>
          <cell r="Z6" t="str">
            <v>Composting</v>
          </cell>
          <cell r="AB6" t="str">
            <v>Waste incineration</v>
          </cell>
          <cell r="AD6" t="str">
            <v>Domestic wastewater</v>
          </cell>
          <cell r="AF6" t="str">
            <v>Municipal solid waste</v>
          </cell>
          <cell r="AG6" t="str">
            <v>Food waste</v>
          </cell>
          <cell r="AH6" t="str">
            <v>Mineral industry</v>
          </cell>
          <cell r="AJ6" t="str">
            <v>Non-energy products from fuels and solvent use</v>
          </cell>
          <cell r="AL6" t="str">
            <v>Cattle</v>
          </cell>
          <cell r="AN6" t="str">
            <v>Forest land</v>
          </cell>
          <cell r="AP6" t="str">
            <v xml:space="preserve">  Burning in Forest land</v>
          </cell>
          <cell r="AR6" t="str">
            <v>Food</v>
          </cell>
          <cell r="AS6" t="str">
            <v>Other (please specify)</v>
          </cell>
          <cell r="AT6" t="str">
            <v>Every 3 years</v>
          </cell>
          <cell r="AU6" t="str">
            <v>Regional</v>
          </cell>
        </row>
        <row r="7">
          <cell r="A7" t="str">
            <v>A metropolitan area</v>
          </cell>
          <cell r="B7" t="str">
            <v>Agriculture &amp; Fishing</v>
          </cell>
          <cell r="C7" t="str">
            <v>Tropical savannah</v>
          </cell>
          <cell r="D7" t="str">
            <v>C</v>
          </cell>
          <cell r="F7" t="str">
            <v>CO2, CH4</v>
          </cell>
          <cell r="G7" t="str">
            <v xml:space="preserve">Crude oil </v>
          </cell>
          <cell r="H7" t="str">
            <v>Heating</v>
          </cell>
          <cell r="I7" t="str">
            <v>Heat plants</v>
          </cell>
          <cell r="K7" t="str">
            <v xml:space="preserve">  Underground mines</v>
          </cell>
          <cell r="M7" t="str">
            <v xml:space="preserve">  Venting</v>
          </cell>
          <cell r="O7" t="str">
            <v>Georgraphic / Territorial</v>
          </cell>
          <cell r="P7" t="str">
            <v>Diesel oil</v>
          </cell>
          <cell r="R7" t="str">
            <v>Distance travelled (vehicle)</v>
          </cell>
          <cell r="T7" t="str">
            <v>Diesel oil</v>
          </cell>
          <cell r="V7" t="str">
            <v>Jet kerosene</v>
          </cell>
          <cell r="X7" t="str">
            <v>Other managed waste disposal site(s)</v>
          </cell>
          <cell r="Z7" t="str">
            <v>Anaerobic digestion</v>
          </cell>
          <cell r="AD7" t="str">
            <v>Industrial wastewater</v>
          </cell>
          <cell r="AF7" t="str">
            <v>Sludge</v>
          </cell>
          <cell r="AG7" t="str">
            <v>Garden and park waste</v>
          </cell>
          <cell r="AH7" t="str">
            <v xml:space="preserve">  Cement production</v>
          </cell>
          <cell r="AJ7" t="str">
            <v xml:space="preserve">  Lubricant use</v>
          </cell>
          <cell r="AL7" t="str">
            <v>Buffalo</v>
          </cell>
          <cell r="AN7" t="str">
            <v xml:space="preserve">  Forest land remaining Forest land</v>
          </cell>
          <cell r="AP7" t="str">
            <v xml:space="preserve">  Burning in Cropland</v>
          </cell>
          <cell r="AR7" t="str">
            <v>Construction</v>
          </cell>
          <cell r="AT7" t="str">
            <v>Every 4 years</v>
          </cell>
          <cell r="AU7" t="str">
            <v>National</v>
          </cell>
        </row>
        <row r="8">
          <cell r="A8" t="str">
            <v>Other (please specify)</v>
          </cell>
          <cell r="B8" t="str">
            <v>Other (please specify)</v>
          </cell>
          <cell r="C8" t="str">
            <v>Dry desert</v>
          </cell>
          <cell r="F8" t="str">
            <v>CO2, N2O</v>
          </cell>
          <cell r="G8" t="str">
            <v xml:space="preserve">Gas oil </v>
          </cell>
          <cell r="H8" t="str">
            <v>Heating (CHP)</v>
          </cell>
          <cell r="I8" t="str">
            <v>Other (please specify)</v>
          </cell>
          <cell r="K8" t="str">
            <v xml:space="preserve">    Mining</v>
          </cell>
          <cell r="M8" t="str">
            <v xml:space="preserve">  Flaring</v>
          </cell>
          <cell r="O8" t="str">
            <v>Resident activity</v>
          </cell>
          <cell r="P8" t="str">
            <v>Motor gasoline (petrol)</v>
          </cell>
          <cell r="R8" t="str">
            <v>Distance travelled (passenger)</v>
          </cell>
          <cell r="T8" t="str">
            <v>Motor gasoline (petrol)</v>
          </cell>
          <cell r="V8" t="str">
            <v>Electricity</v>
          </cell>
          <cell r="X8" t="str">
            <v>Unmanaged waste disposal sites</v>
          </cell>
          <cell r="Z8" t="str">
            <v>Other (please specify)</v>
          </cell>
          <cell r="AF8" t="str">
            <v>Industrial waste</v>
          </cell>
          <cell r="AG8" t="str">
            <v>Sludge</v>
          </cell>
          <cell r="AH8" t="str">
            <v xml:space="preserve">  Lime production</v>
          </cell>
          <cell r="AJ8" t="str">
            <v xml:space="preserve">  Parraffin wax use</v>
          </cell>
          <cell r="AL8" t="str">
            <v>Sheep</v>
          </cell>
          <cell r="AN8" t="str">
            <v xml:space="preserve">  Crop land converted to Forest land</v>
          </cell>
          <cell r="AP8" t="str">
            <v xml:space="preserve">  Burning in Grassland</v>
          </cell>
          <cell r="AR8" t="str">
            <v>Upstream emissions from energy use</v>
          </cell>
          <cell r="AT8" t="str">
            <v>Every 5 years</v>
          </cell>
          <cell r="AU8" t="str">
            <v>International</v>
          </cell>
        </row>
        <row r="9">
          <cell r="C9" t="str">
            <v>Dry steppe (hot)</v>
          </cell>
          <cell r="F9" t="str">
            <v>CH4, N2O</v>
          </cell>
          <cell r="G9" t="str">
            <v xml:space="preserve">Diesel oil </v>
          </cell>
          <cell r="H9" t="str">
            <v>Steam</v>
          </cell>
          <cell r="K9" t="str">
            <v xml:space="preserve">    Post-mining seam gas emissions</v>
          </cell>
          <cell r="M9" t="str">
            <v xml:space="preserve">  Exploration</v>
          </cell>
          <cell r="P9" t="str">
            <v>Kerosene</v>
          </cell>
          <cell r="R9" t="str">
            <v>Distance travelled (freight)</v>
          </cell>
          <cell r="T9" t="str">
            <v>Kerosene</v>
          </cell>
          <cell r="V9" t="str">
            <v>Distance travelled (vehicle)</v>
          </cell>
          <cell r="X9" t="str">
            <v>Uncategorised waste disposal sites</v>
          </cell>
          <cell r="AF9" t="str">
            <v>Other (please specify)</v>
          </cell>
          <cell r="AG9" t="str">
            <v>Other (please specify)</v>
          </cell>
          <cell r="AH9" t="str">
            <v xml:space="preserve">  Glass production</v>
          </cell>
          <cell r="AJ9" t="str">
            <v xml:space="preserve">  Solvent use</v>
          </cell>
          <cell r="AL9" t="str">
            <v>Goats</v>
          </cell>
          <cell r="AN9" t="str">
            <v xml:space="preserve">  Grassland converted to Forest land</v>
          </cell>
          <cell r="AP9" t="str">
            <v xml:space="preserve">  Burning in All Other land</v>
          </cell>
          <cell r="AR9" t="str">
            <v>Other (please specify)</v>
          </cell>
          <cell r="AT9" t="str">
            <v>As required</v>
          </cell>
          <cell r="AU9" t="str">
            <v>Other (please specify)</v>
          </cell>
        </row>
        <row r="10">
          <cell r="C10" t="str">
            <v>Dry steppe (cold)</v>
          </cell>
          <cell r="F10" t="str">
            <v>CO2, CH4, N2O</v>
          </cell>
          <cell r="G10" t="str">
            <v>Motor gasoline (petrol)</v>
          </cell>
          <cell r="H10" t="str">
            <v>Steam (CHP)</v>
          </cell>
          <cell r="K10" t="str">
            <v xml:space="preserve">    Abandoned underground mines</v>
          </cell>
          <cell r="M10" t="str">
            <v xml:space="preserve">  Production and Upgrading</v>
          </cell>
          <cell r="P10" t="str">
            <v xml:space="preserve">Residual fuel oil </v>
          </cell>
          <cell r="R10" t="str">
            <v>Travel expenditure</v>
          </cell>
          <cell r="T10" t="str">
            <v xml:space="preserve">Residual fuel oil </v>
          </cell>
          <cell r="V10" t="str">
            <v>Distance travelled (passenger)</v>
          </cell>
          <cell r="AH10" t="str">
            <v xml:space="preserve">  Other Process Uses of Carbonates</v>
          </cell>
          <cell r="AJ10" t="str">
            <v>Electronics industry</v>
          </cell>
          <cell r="AL10" t="str">
            <v>Camels</v>
          </cell>
          <cell r="AN10" t="str">
            <v xml:space="preserve">  Settlements converted to Forest land</v>
          </cell>
          <cell r="AP10" t="str">
            <v>Liming</v>
          </cell>
          <cell r="AT10" t="str">
            <v>Once</v>
          </cell>
        </row>
        <row r="11">
          <cell r="C11" t="str">
            <v>Temperate, dry summer (Mediterranean)</v>
          </cell>
          <cell r="F11" t="str">
            <v>HFCs</v>
          </cell>
          <cell r="G11" t="str">
            <v xml:space="preserve">Kerosene </v>
          </cell>
          <cell r="H11" t="str">
            <v>Cooling</v>
          </cell>
          <cell r="K11" t="str">
            <v xml:space="preserve">    Flaring of drained CH4 or conversion of CH4 to CO2</v>
          </cell>
          <cell r="M11" t="str">
            <v xml:space="preserve">  Transport</v>
          </cell>
          <cell r="P11" t="str">
            <v>Liquefied petroleum gas (LPG)</v>
          </cell>
          <cell r="R11" t="str">
            <v>Travel time</v>
          </cell>
          <cell r="T11" t="str">
            <v>Liquefied petroleum gas (LPG)</v>
          </cell>
          <cell r="V11" t="str">
            <v>Distance travelled (freight)</v>
          </cell>
          <cell r="AH11" t="str">
            <v>Chemical industry</v>
          </cell>
          <cell r="AJ11" t="str">
            <v xml:space="preserve">  Integrated circuit or semiconductor</v>
          </cell>
          <cell r="AL11" t="str">
            <v>Horses</v>
          </cell>
          <cell r="AN11" t="str">
            <v xml:space="preserve">  Wetlands converted to Forest land</v>
          </cell>
          <cell r="AP11" t="str">
            <v>Urea fertilization</v>
          </cell>
          <cell r="AT11" t="str">
            <v>Other (please specify)</v>
          </cell>
        </row>
        <row r="12">
          <cell r="C12" t="str">
            <v>Temperate, dry winter</v>
          </cell>
          <cell r="F12" t="str">
            <v>PFCs</v>
          </cell>
          <cell r="G12" t="str">
            <v xml:space="preserve">Residual fuel oil </v>
          </cell>
          <cell r="H12" t="str">
            <v>Cooling (CHP)</v>
          </cell>
          <cell r="K12" t="str">
            <v xml:space="preserve">  Surface mines</v>
          </cell>
          <cell r="M12" t="str">
            <v xml:space="preserve">  Refining</v>
          </cell>
          <cell r="P12" t="str">
            <v>Liquefied natural gas (LNG)</v>
          </cell>
          <cell r="R12" t="str">
            <v>T&amp;D losses from grid-supplied energy consumption</v>
          </cell>
          <cell r="T12" t="str">
            <v>Liquefied natural gas (LNG)</v>
          </cell>
          <cell r="V12" t="str">
            <v>Travel expenditure</v>
          </cell>
          <cell r="AH12" t="str">
            <v xml:space="preserve">  Ammonia production</v>
          </cell>
          <cell r="AJ12" t="str">
            <v xml:space="preserve">  TFT flat panel display</v>
          </cell>
          <cell r="AL12" t="str">
            <v>Mules and Asses</v>
          </cell>
          <cell r="AN12" t="str">
            <v xml:space="preserve">  Other land converted to Forest land</v>
          </cell>
          <cell r="AP12" t="str">
            <v>Direct N2O from managed soils</v>
          </cell>
        </row>
        <row r="13">
          <cell r="C13" t="str">
            <v>Temperate, hot summer</v>
          </cell>
          <cell r="F13" t="str">
            <v>SF6</v>
          </cell>
          <cell r="G13" t="str">
            <v>Liquefied petroleum gases (LPG)</v>
          </cell>
          <cell r="H13" t="str">
            <v>Other (please specify)</v>
          </cell>
          <cell r="K13" t="str">
            <v xml:space="preserve">    Mining</v>
          </cell>
          <cell r="M13" t="str">
            <v xml:space="preserve">  Distribution of oil products</v>
          </cell>
          <cell r="P13" t="str">
            <v>Biogasoline</v>
          </cell>
          <cell r="R13" t="str">
            <v>Other (please specify)</v>
          </cell>
          <cell r="T13" t="str">
            <v>Biogasoline</v>
          </cell>
          <cell r="V13" t="str">
            <v>Travel time</v>
          </cell>
          <cell r="AH13" t="str">
            <v xml:space="preserve">  Nitric acid production</v>
          </cell>
          <cell r="AJ13" t="str">
            <v xml:space="preserve">  Photovoltaics</v>
          </cell>
          <cell r="AL13" t="str">
            <v>Swine</v>
          </cell>
          <cell r="AN13" t="str">
            <v>Crop land</v>
          </cell>
          <cell r="AP13" t="str">
            <v>Indirect N2O from managed soils</v>
          </cell>
        </row>
        <row r="14">
          <cell r="C14" t="str">
            <v>Temperate, warm summer</v>
          </cell>
          <cell r="F14" t="str">
            <v>HFCs, PFCs</v>
          </cell>
          <cell r="G14" t="str">
            <v>Liquefied natural gas (LNG)</v>
          </cell>
          <cell r="K14" t="str">
            <v xml:space="preserve">    Post-mining seam gas emissions</v>
          </cell>
          <cell r="M14" t="str">
            <v xml:space="preserve">  Other</v>
          </cell>
          <cell r="P14" t="str">
            <v>Biodiesels</v>
          </cell>
          <cell r="T14" t="str">
            <v>Biodiesels</v>
          </cell>
          <cell r="V14" t="str">
            <v>T&amp;D losses from grid-supplied energy consumption</v>
          </cell>
          <cell r="AH14" t="str">
            <v xml:space="preserve">  Adipic acid production</v>
          </cell>
          <cell r="AJ14" t="str">
            <v xml:space="preserve">  Heat transfer fluid</v>
          </cell>
          <cell r="AL14" t="str">
            <v>Poultry</v>
          </cell>
          <cell r="AN14" t="str">
            <v xml:space="preserve">  Crop land remaining Crop land</v>
          </cell>
          <cell r="AP14" t="str">
            <v>Indirect N2O from manure management</v>
          </cell>
        </row>
        <row r="15">
          <cell r="C15" t="str">
            <v>Temperate, cold summer</v>
          </cell>
          <cell r="F15" t="str">
            <v>HFCs, SF6</v>
          </cell>
          <cell r="G15" t="str">
            <v xml:space="preserve">Naphtha </v>
          </cell>
          <cell r="K15" t="str">
            <v>Uncontrolled combustion and burning coal dumps</v>
          </cell>
          <cell r="M15" t="str">
            <v>Natural gas</v>
          </cell>
          <cell r="P15" t="str">
            <v>Methanol</v>
          </cell>
          <cell r="T15" t="str">
            <v>Methanol</v>
          </cell>
          <cell r="V15" t="str">
            <v>Other (please specify)</v>
          </cell>
          <cell r="AH15" t="str">
            <v xml:space="preserve">  Caprolactam production</v>
          </cell>
          <cell r="AJ15" t="str">
            <v>Product uses as substitutes for ozone depleting substances</v>
          </cell>
          <cell r="AL15" t="str">
            <v>Other (please specify)</v>
          </cell>
          <cell r="AN15" t="str">
            <v xml:space="preserve">  Forest land converted to Crop land</v>
          </cell>
          <cell r="AP15" t="str">
            <v>Rice cultivations</v>
          </cell>
        </row>
        <row r="16">
          <cell r="C16" t="str">
            <v>Cold, dry summer</v>
          </cell>
          <cell r="F16" t="str">
            <v>PFCs, SF6</v>
          </cell>
          <cell r="G16" t="str">
            <v xml:space="preserve">Bitumen </v>
          </cell>
          <cell r="K16" t="str">
            <v>Solid fuel transformation</v>
          </cell>
          <cell r="M16" t="str">
            <v xml:space="preserve">  Venting</v>
          </cell>
          <cell r="P16" t="str">
            <v>Ethanol</v>
          </cell>
          <cell r="T16" t="str">
            <v>Ethanol</v>
          </cell>
          <cell r="AH16" t="str">
            <v xml:space="preserve">  Carbide production</v>
          </cell>
          <cell r="AJ16" t="str">
            <v xml:space="preserve">  Refrigeration and air conditioning</v>
          </cell>
          <cell r="AN16" t="str">
            <v xml:space="preserve">  Grassland converted to Crop land</v>
          </cell>
          <cell r="AP16" t="str">
            <v>CH4 from drained organic soils</v>
          </cell>
        </row>
        <row r="17">
          <cell r="C17" t="str">
            <v>Cold, dry winter</v>
          </cell>
          <cell r="F17" t="str">
            <v>HFCs, PFCs, SF6</v>
          </cell>
          <cell r="G17" t="str">
            <v xml:space="preserve">Lubricants </v>
          </cell>
          <cell r="K17" t="str">
            <v>Other (please specify)</v>
          </cell>
          <cell r="M17" t="str">
            <v xml:space="preserve">  Flaring</v>
          </cell>
          <cell r="P17" t="str">
            <v>E85</v>
          </cell>
          <cell r="T17" t="str">
            <v>E85</v>
          </cell>
          <cell r="AH17" t="str">
            <v xml:space="preserve">  Titanium dioxide production</v>
          </cell>
          <cell r="AJ17" t="str">
            <v xml:space="preserve">    Refrigeration and stationary air conditioning</v>
          </cell>
          <cell r="AN17" t="str">
            <v xml:space="preserve">  Settlements converted to Crop land</v>
          </cell>
          <cell r="AP17" t="str">
            <v>CH4 from drainage ditches on organic soils</v>
          </cell>
        </row>
        <row r="18">
          <cell r="C18" t="str">
            <v>Cold, hot summer</v>
          </cell>
          <cell r="F18" t="str">
            <v>NF3</v>
          </cell>
          <cell r="G18" t="str">
            <v xml:space="preserve">Petroleum coke </v>
          </cell>
          <cell r="M18" t="str">
            <v xml:space="preserve">  Exploration</v>
          </cell>
          <cell r="P18" t="str">
            <v>Other liquid biofuels</v>
          </cell>
          <cell r="T18" t="str">
            <v>Other liquid biofuels</v>
          </cell>
          <cell r="AH18" t="str">
            <v xml:space="preserve">  Soda ash production</v>
          </cell>
          <cell r="AJ18" t="str">
            <v xml:space="preserve">    Mobile air conditioning</v>
          </cell>
          <cell r="AN18" t="str">
            <v xml:space="preserve">  Wetlands converted to Crop land</v>
          </cell>
          <cell r="AP18" t="str">
            <v>CH4 from rewetting of organic soils</v>
          </cell>
        </row>
        <row r="19">
          <cell r="C19" t="str">
            <v>Cold, warm summer</v>
          </cell>
          <cell r="F19" t="str">
            <v>All F-gases</v>
          </cell>
          <cell r="G19" t="str">
            <v>Coal (bituminous or black coal)</v>
          </cell>
          <cell r="M19" t="str">
            <v xml:space="preserve">  Production</v>
          </cell>
          <cell r="P19" t="str">
            <v>Other biogas</v>
          </cell>
          <cell r="T19" t="str">
            <v>Other biogas</v>
          </cell>
          <cell r="AH19" t="str">
            <v xml:space="preserve">  Petrochemical and black carbon production</v>
          </cell>
          <cell r="AJ19" t="str">
            <v xml:space="preserve">  Foam blowing agents</v>
          </cell>
          <cell r="AN19" t="str">
            <v xml:space="preserve">  Other land converted to Crop land</v>
          </cell>
          <cell r="AP19" t="str">
            <v>CH4 emissions from rewetting of mangroves and tidal marshes</v>
          </cell>
        </row>
        <row r="20">
          <cell r="C20" t="str">
            <v>Cold, cold summer</v>
          </cell>
          <cell r="F20" t="str">
            <v>All GHGs</v>
          </cell>
          <cell r="G20" t="str">
            <v>Coal (coke)</v>
          </cell>
          <cell r="M20" t="str">
            <v xml:space="preserve">  Processing</v>
          </cell>
          <cell r="P20" t="str">
            <v>Electricity</v>
          </cell>
          <cell r="T20" t="str">
            <v>Electricity</v>
          </cell>
          <cell r="AH20" t="str">
            <v xml:space="preserve">  Fluorochemical production</v>
          </cell>
          <cell r="AJ20" t="str">
            <v xml:space="preserve">  Fire protection</v>
          </cell>
          <cell r="AN20" t="str">
            <v>Grassland</v>
          </cell>
          <cell r="AP20" t="str">
            <v>N2O emissions from aquaculture</v>
          </cell>
        </row>
        <row r="21">
          <cell r="C21" t="str">
            <v>Cold, very cold winter</v>
          </cell>
          <cell r="G21" t="str">
            <v>Coal (manufactured solid fuels)</v>
          </cell>
          <cell r="M21" t="str">
            <v xml:space="preserve">  Transmission and storage</v>
          </cell>
          <cell r="P21" t="str">
            <v>Distance travelled (vehicle)</v>
          </cell>
          <cell r="T21" t="str">
            <v>Distance travelled (vehicle)</v>
          </cell>
          <cell r="AH21" t="str">
            <v>Metal industry</v>
          </cell>
          <cell r="AJ21" t="str">
            <v xml:space="preserve">  Aerosols</v>
          </cell>
          <cell r="AN21" t="str">
            <v xml:space="preserve">  Grassland remaining Grassland</v>
          </cell>
          <cell r="AP21" t="str">
            <v>CH4 emissions from rewetted and created wetlands on inland wetland mineral soils</v>
          </cell>
        </row>
        <row r="22">
          <cell r="C22" t="str">
            <v>Polar, tundra</v>
          </cell>
          <cell r="G22" t="str">
            <v xml:space="preserve">Municipal wastes (all) </v>
          </cell>
          <cell r="M22" t="str">
            <v xml:space="preserve">  Distribution</v>
          </cell>
          <cell r="P22" t="str">
            <v>Distance travelled (passenger)</v>
          </cell>
          <cell r="T22" t="str">
            <v>Distance travelled (passenger)</v>
          </cell>
          <cell r="AH22" t="str">
            <v xml:space="preserve">  Iron and steel production</v>
          </cell>
          <cell r="AJ22" t="str">
            <v xml:space="preserve">  Solvents</v>
          </cell>
          <cell r="AN22" t="str">
            <v xml:space="preserve">  Forest land converted to Grassland</v>
          </cell>
          <cell r="AP22" t="str">
            <v>Harvested wood products</v>
          </cell>
        </row>
        <row r="23">
          <cell r="C23" t="str">
            <v>Polar, frost</v>
          </cell>
          <cell r="G23" t="str">
            <v xml:space="preserve">Municipal wastes (non-biomass fraction) </v>
          </cell>
          <cell r="M23" t="str">
            <v>Other (please specify)</v>
          </cell>
          <cell r="P23" t="str">
            <v>Distance travelled (freight)</v>
          </cell>
          <cell r="T23" t="str">
            <v>Distance travelled (freight)</v>
          </cell>
          <cell r="AH23" t="str">
            <v xml:space="preserve">  Ferroalloy production</v>
          </cell>
          <cell r="AJ23" t="str">
            <v>Other product manufacture and use</v>
          </cell>
          <cell r="AN23" t="str">
            <v xml:space="preserve">  Crop land converted to Grassland</v>
          </cell>
          <cell r="AP23" t="str">
            <v>Other (please specify)</v>
          </cell>
        </row>
        <row r="24">
          <cell r="G24" t="str">
            <v xml:space="preserve">Municipal wastes (biomass fraction) </v>
          </cell>
          <cell r="P24" t="str">
            <v>Travel expenditure</v>
          </cell>
          <cell r="T24" t="str">
            <v>Travel expenditure</v>
          </cell>
          <cell r="AH24" t="str">
            <v xml:space="preserve">  Aluminium production</v>
          </cell>
          <cell r="AJ24" t="str">
            <v xml:space="preserve">  Electrical equipment</v>
          </cell>
          <cell r="AN24" t="str">
            <v xml:space="preserve">  Wetlands converted to Grassland</v>
          </cell>
        </row>
        <row r="25">
          <cell r="G25" t="str">
            <v xml:space="preserve">Wood or wood waste </v>
          </cell>
          <cell r="P25" t="str">
            <v>Travel time</v>
          </cell>
          <cell r="T25" t="str">
            <v>Travel time</v>
          </cell>
          <cell r="AH25" t="str">
            <v xml:space="preserve">  Magnesium production</v>
          </cell>
          <cell r="AJ25" t="str">
            <v xml:space="preserve">  SF6 and PFCs from other product uses</v>
          </cell>
          <cell r="AN25" t="str">
            <v xml:space="preserve">  Settlements converted to Grassland</v>
          </cell>
        </row>
        <row r="26">
          <cell r="G26" t="str">
            <v xml:space="preserve">Charcoal </v>
          </cell>
          <cell r="P26" t="str">
            <v>T&amp;D losses from grid-supplied energy consumption</v>
          </cell>
          <cell r="T26" t="str">
            <v>T&amp;D losses from grid-supplied energy consumption</v>
          </cell>
          <cell r="AH26" t="str">
            <v xml:space="preserve">  Lead production</v>
          </cell>
          <cell r="AJ26" t="str">
            <v xml:space="preserve">  N2O from product uses</v>
          </cell>
          <cell r="AN26" t="str">
            <v xml:space="preserve">  Other land converted to Grassland</v>
          </cell>
        </row>
        <row r="27">
          <cell r="G27" t="str">
            <v xml:space="preserve">Biogasoline </v>
          </cell>
          <cell r="P27" t="str">
            <v>Other (please specify)</v>
          </cell>
          <cell r="T27" t="str">
            <v>Other (please specify)</v>
          </cell>
          <cell r="AH27" t="str">
            <v xml:space="preserve">  Zinc production</v>
          </cell>
          <cell r="AJ27" t="str">
            <v>Other</v>
          </cell>
          <cell r="AN27" t="str">
            <v>Wetlands</v>
          </cell>
        </row>
        <row r="28">
          <cell r="G28" t="str">
            <v xml:space="preserve">Biodiesels </v>
          </cell>
          <cell r="AH28" t="str">
            <v>Other (please specify)</v>
          </cell>
          <cell r="AJ28" t="str">
            <v xml:space="preserve">  Pulp and paper industry</v>
          </cell>
          <cell r="AN28" t="str">
            <v xml:space="preserve">  Wetlands remaining Wetlands</v>
          </cell>
        </row>
        <row r="29">
          <cell r="G29" t="str">
            <v>Methanol</v>
          </cell>
          <cell r="AJ29" t="str">
            <v xml:space="preserve">  Food and beverages industry</v>
          </cell>
          <cell r="AN29" t="str">
            <v xml:space="preserve">  Forest land converted to Wetlands</v>
          </cell>
        </row>
        <row r="30">
          <cell r="G30" t="str">
            <v>Ethanol</v>
          </cell>
          <cell r="AJ30" t="str">
            <v>Other (please specify)</v>
          </cell>
          <cell r="AN30" t="str">
            <v xml:space="preserve">  Crop land converted to Wetlands</v>
          </cell>
        </row>
        <row r="31">
          <cell r="G31" t="str">
            <v>E85</v>
          </cell>
          <cell r="AN31" t="str">
            <v xml:space="preserve">  Grassland converted to Wetlands</v>
          </cell>
        </row>
        <row r="32">
          <cell r="G32" t="str">
            <v xml:space="preserve">Sewage sludge </v>
          </cell>
          <cell r="AN32" t="str">
            <v xml:space="preserve">  Settlements converted to Wetlands</v>
          </cell>
        </row>
        <row r="33">
          <cell r="G33" t="str">
            <v xml:space="preserve">Other liquid biofuels </v>
          </cell>
          <cell r="AN33" t="str">
            <v xml:space="preserve">  Other land converted to Wetlands</v>
          </cell>
        </row>
        <row r="34">
          <cell r="G34" t="str">
            <v xml:space="preserve">Landfill gas </v>
          </cell>
          <cell r="AN34" t="str">
            <v>Settlements</v>
          </cell>
        </row>
        <row r="35">
          <cell r="G35" t="str">
            <v xml:space="preserve">Sludge gas </v>
          </cell>
          <cell r="AN35" t="str">
            <v xml:space="preserve">  Settlements remaining Settlements</v>
          </cell>
        </row>
        <row r="36">
          <cell r="G36" t="str">
            <v xml:space="preserve">Other biogas </v>
          </cell>
          <cell r="AN36" t="str">
            <v xml:space="preserve">  Forest land converted to Settlements</v>
          </cell>
        </row>
        <row r="37">
          <cell r="G37" t="str">
            <v>Other (please specify)</v>
          </cell>
          <cell r="AN37" t="str">
            <v xml:space="preserve">  Crop land converted to Settlements</v>
          </cell>
        </row>
        <row r="38">
          <cell r="AN38" t="str">
            <v xml:space="preserve">  Grassland converted to Settlements</v>
          </cell>
        </row>
        <row r="39">
          <cell r="AN39" t="str">
            <v xml:space="preserve">  Wetlands converted to Settlements</v>
          </cell>
        </row>
        <row r="40">
          <cell r="AN40" t="str">
            <v xml:space="preserve">  Other land converted to Settlements</v>
          </cell>
        </row>
        <row r="41">
          <cell r="AN41" t="str">
            <v>Other land</v>
          </cell>
        </row>
        <row r="42">
          <cell r="AN42" t="str">
            <v xml:space="preserve">  Other land remaining Other land</v>
          </cell>
        </row>
        <row r="43">
          <cell r="AN43" t="str">
            <v xml:space="preserve">  Forest land converted to Other land</v>
          </cell>
        </row>
        <row r="44">
          <cell r="AN44" t="str">
            <v xml:space="preserve">  Crop land converted to Other land</v>
          </cell>
        </row>
        <row r="45">
          <cell r="AN45" t="str">
            <v xml:space="preserve">  Grassland converted to Other land</v>
          </cell>
        </row>
        <row r="46">
          <cell r="AN46" t="str">
            <v xml:space="preserve">  Wetlands converted to Other land</v>
          </cell>
        </row>
        <row r="47">
          <cell r="AN47" t="str">
            <v xml:space="preserve">  Settlements converted to Other land</v>
          </cell>
        </row>
      </sheetData>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Revision history"/>
      <sheetName val="Reference Tables"/>
      <sheetName val="City information"/>
      <sheetName val="Data sources"/>
      <sheetName val="Emission factors"/>
      <sheetName val="I - Stationary"/>
      <sheetName val="II - Transport"/>
      <sheetName val="III - Waste"/>
      <sheetName val="IV - IPPU"/>
      <sheetName val="V - AFOLU"/>
      <sheetName val="VI - Other scope 3"/>
      <sheetName val="Table A. Overview"/>
      <sheetName val="Graphs"/>
      <sheetName val="Table B. Summary"/>
      <sheetName val="TOOLS&gt;&gt;"/>
      <sheetName val="I.8 Fugitive gas"/>
      <sheetName val="III.1 Solid waste"/>
      <sheetName val="III.2 Biological treatment"/>
      <sheetName val="III.3 Incineration"/>
      <sheetName val="III.4 Wastewater"/>
      <sheetName val="WW_Protein"/>
      <sheetName val="Lists"/>
    </sheetNames>
    <sheetDataSet>
      <sheetData sheetId="0" refreshError="1"/>
      <sheetData sheetId="1">
        <row r="85">
          <cell r="F85" t="str">
            <v>5AR</v>
          </cell>
        </row>
      </sheetData>
      <sheetData sheetId="2">
        <row r="11">
          <cell r="C11">
            <v>2015</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ow r="4">
          <cell r="BV4" t="str">
            <v>Please select</v>
          </cell>
          <cell r="BW4" t="str">
            <v>Please select</v>
          </cell>
          <cell r="BX4" t="str">
            <v>Please select</v>
          </cell>
          <cell r="BY4" t="str">
            <v>Please select</v>
          </cell>
          <cell r="BZ4" t="str">
            <v>Please select</v>
          </cell>
          <cell r="CA4" t="str">
            <v>Please select</v>
          </cell>
          <cell r="CB4" t="str">
            <v>Please select</v>
          </cell>
          <cell r="CC4" t="str">
            <v>Please select</v>
          </cell>
          <cell r="CE4" t="str">
            <v>Please select</v>
          </cell>
          <cell r="CF4" t="str">
            <v>Please select</v>
          </cell>
        </row>
        <row r="5">
          <cell r="BV5" t="str">
            <v>First Order Decay (FOD)</v>
          </cell>
          <cell r="BW5" t="str">
            <v>Asia</v>
          </cell>
          <cell r="BX5" t="str">
            <v>Eastern Asia</v>
          </cell>
          <cell r="BY5" t="str">
            <v>Well-managed landfill</v>
          </cell>
          <cell r="BZ5" t="str">
            <v>Managed</v>
          </cell>
          <cell r="CA5" t="str">
            <v>Boreal and Temperate (MAT ≤20°C ), Dry (MAP/PET &lt; 1)</v>
          </cell>
          <cell r="CB5" t="str">
            <v>MSW</v>
          </cell>
          <cell r="CC5" t="str">
            <v>MSW, continuous and semi-continuous incinerators, wet weight</v>
          </cell>
          <cell r="CE5" t="str">
            <v>Continuous incineration</v>
          </cell>
          <cell r="CF5" t="str">
            <v>stoker</v>
          </cell>
        </row>
        <row r="6">
          <cell r="BV6" t="str">
            <v>Methane commitment</v>
          </cell>
          <cell r="BW6" t="str">
            <v>Africa</v>
          </cell>
          <cell r="BX6" t="str">
            <v>South-Central Asia</v>
          </cell>
          <cell r="BY6" t="str">
            <v>Unmanaged landfill</v>
          </cell>
          <cell r="BZ6" t="str">
            <v>Unmanaged (≥5 m deep)</v>
          </cell>
          <cell r="CA6" t="str">
            <v>Boreal and Temperate (MAT ≤20°C ), Wet (MAP/PET &gt; 1)</v>
          </cell>
          <cell r="CB6" t="str">
            <v>Industrial waste</v>
          </cell>
          <cell r="CC6" t="str">
            <v>MSW, batch-type incinerators, wet weight</v>
          </cell>
          <cell r="CE6" t="str">
            <v>Semi-continuous incineration</v>
          </cell>
          <cell r="CF6" t="str">
            <v xml:space="preserve">fluidised bed </v>
          </cell>
        </row>
        <row r="7">
          <cell r="BW7" t="str">
            <v>Europe</v>
          </cell>
          <cell r="BX7" t="str">
            <v>South-Eastern Asia</v>
          </cell>
          <cell r="BZ7" t="str">
            <v>Unmanaged (&lt;5 m deep)</v>
          </cell>
          <cell r="CA7" t="str">
            <v>Tropical (MAT &gt;20°C ), Dry (MAP &lt; 1000 mm)</v>
          </cell>
          <cell r="CB7" t="str">
            <v>Clinical waste</v>
          </cell>
          <cell r="CC7" t="str">
            <v>MSW, open burning, dry weight</v>
          </cell>
          <cell r="CE7" t="str">
            <v>Batch type incineration</v>
          </cell>
        </row>
        <row r="8">
          <cell r="BW8" t="str">
            <v>Oceania</v>
          </cell>
          <cell r="BX8" t="str">
            <v>Western Asia &amp; Middle East</v>
          </cell>
          <cell r="BZ8" t="str">
            <v>Uncategorized</v>
          </cell>
          <cell r="CA8" t="str">
            <v>Tropical (MAT &gt;20°C ), Moist and Wet (MAP≥ 1000 mm)</v>
          </cell>
          <cell r="CB8" t="str">
            <v>Sewage sludge</v>
          </cell>
          <cell r="CC8" t="str">
            <v>Industrial waste, all types of incineration, wet weight</v>
          </cell>
        </row>
        <row r="9">
          <cell r="BW9" t="str">
            <v>America</v>
          </cell>
          <cell r="BX9" t="str">
            <v>Eastern Africa</v>
          </cell>
          <cell r="CB9" t="str">
            <v>Fossil liquid waste</v>
          </cell>
          <cell r="CC9" t="str">
            <v>Sludge (except sewage sludge), all types of incineration, wet weight</v>
          </cell>
        </row>
        <row r="10">
          <cell r="BX10" t="str">
            <v>Middle Africa</v>
          </cell>
          <cell r="CC10" t="str">
            <v>Sewage sludge, incineration, dry weight</v>
          </cell>
        </row>
        <row r="11">
          <cell r="BX11" t="str">
            <v>Northern Africa</v>
          </cell>
          <cell r="CC11" t="str">
            <v>Sewage sludge, incineration, wet weight</v>
          </cell>
        </row>
        <row r="12">
          <cell r="BX12" t="str">
            <v>Southern Africa</v>
          </cell>
        </row>
        <row r="13">
          <cell r="BX13" t="str">
            <v>Western Africa</v>
          </cell>
        </row>
        <row r="14">
          <cell r="BX14" t="str">
            <v>Eastern Europe</v>
          </cell>
        </row>
        <row r="15">
          <cell r="BX15" t="str">
            <v>Northern Europe</v>
          </cell>
        </row>
        <row r="16">
          <cell r="BX16" t="str">
            <v>Southern Europe</v>
          </cell>
        </row>
        <row r="17">
          <cell r="BX17" t="str">
            <v>Western Europe</v>
          </cell>
        </row>
        <row r="18">
          <cell r="BX18" t="str">
            <v>Australia and New Zealand</v>
          </cell>
        </row>
        <row r="19">
          <cell r="BX19" t="str">
            <v>Rest of Oceania</v>
          </cell>
        </row>
        <row r="20">
          <cell r="BX20" t="str">
            <v>North America</v>
          </cell>
        </row>
        <row r="21">
          <cell r="BX21" t="str">
            <v>Central America</v>
          </cell>
        </row>
        <row r="22">
          <cell r="BX22" t="str">
            <v>South America</v>
          </cell>
        </row>
        <row r="23">
          <cell r="BX23" t="str">
            <v>Caribbean</v>
          </cell>
        </row>
      </sheetData>
    </sheetDataSet>
  </externalBook>
</externalLink>
</file>

<file path=xl/tables/table1.xml><?xml version="1.0" encoding="utf-8"?>
<table xmlns="http://schemas.openxmlformats.org/spreadsheetml/2006/main" id="1" name="Table1" displayName="Table1" ref="A1:B230" totalsRowShown="0" headerRowDxfId="193" dataDxfId="191" headerRowBorderDxfId="192" tableBorderDxfId="190" headerRowCellStyle="Normal 2">
  <sortState ref="A2:L228">
    <sortCondition ref="A1:A228"/>
  </sortState>
  <tableColumns count="2">
    <tableColumn id="4" name="Country" dataDxfId="189"/>
    <tableColumn id="10" name="Average protein supply (g/capita/day) (2009-2011 3-year average)" dataDxfId="188"/>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3.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4.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51.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dimension ref="A1:AT54"/>
  <sheetViews>
    <sheetView workbookViewId="0"/>
  </sheetViews>
  <sheetFormatPr baseColWidth="10" defaultColWidth="0" defaultRowHeight="15" zeroHeight="1" x14ac:dyDescent="0"/>
  <cols>
    <col min="1" max="1" width="4" style="15" customWidth="1"/>
    <col min="2" max="3" width="27.6640625" style="15" customWidth="1"/>
    <col min="4" max="4" width="60.83203125" style="15" customWidth="1"/>
    <col min="5" max="5" width="27.6640625" style="15" customWidth="1"/>
    <col min="6" max="6" width="4.83203125" style="15" customWidth="1"/>
    <col min="7" max="46" width="0" style="15" hidden="1" customWidth="1"/>
    <col min="47" max="16384" width="10.83203125" style="15" hidden="1"/>
  </cols>
  <sheetData>
    <row r="1" spans="1:46"/>
    <row r="2" spans="1:46" s="31" customFormat="1" ht="23">
      <c r="B2" s="36" t="s">
        <v>989</v>
      </c>
      <c r="C2" s="34"/>
      <c r="D2" s="34"/>
      <c r="E2" s="34"/>
      <c r="F2" s="33"/>
      <c r="G2" s="33"/>
      <c r="H2" s="33"/>
      <c r="U2" s="26"/>
      <c r="V2" s="26"/>
      <c r="W2" s="26"/>
      <c r="X2" s="26"/>
      <c r="Y2" s="26"/>
    </row>
    <row r="3" spans="1:46">
      <c r="F3" s="33"/>
      <c r="G3" s="33"/>
      <c r="H3" s="33"/>
      <c r="I3" s="31"/>
      <c r="J3" s="31"/>
      <c r="K3" s="31"/>
    </row>
    <row r="4" spans="1:46" s="1" customFormat="1" ht="31" customHeight="1">
      <c r="A4" s="31"/>
      <c r="B4" s="881" t="s">
        <v>990</v>
      </c>
      <c r="C4" s="882" t="s">
        <v>1017</v>
      </c>
      <c r="D4" s="882" t="s">
        <v>1018</v>
      </c>
      <c r="E4" s="883" t="s">
        <v>832</v>
      </c>
      <c r="F4" s="33"/>
      <c r="G4" s="33"/>
      <c r="H4" s="33"/>
      <c r="I4" s="31"/>
      <c r="J4" s="31"/>
      <c r="K4" s="31"/>
      <c r="L4" s="31"/>
      <c r="M4" s="31"/>
      <c r="N4" s="31"/>
      <c r="O4" s="31"/>
      <c r="P4" s="15"/>
      <c r="Q4" s="31"/>
      <c r="R4" s="31"/>
      <c r="S4" s="31"/>
      <c r="T4" s="31"/>
      <c r="U4" s="26"/>
      <c r="V4" s="26"/>
      <c r="W4" s="26"/>
      <c r="X4" s="26"/>
      <c r="Y4" s="26"/>
      <c r="Z4" s="31"/>
      <c r="AA4" s="31"/>
      <c r="AB4" s="31"/>
      <c r="AC4" s="31"/>
      <c r="AD4" s="31"/>
      <c r="AE4" s="31"/>
      <c r="AF4" s="31"/>
      <c r="AG4" s="31"/>
      <c r="AH4" s="31"/>
      <c r="AI4" s="31"/>
      <c r="AJ4" s="31"/>
      <c r="AK4" s="31"/>
      <c r="AL4" s="31"/>
      <c r="AM4" s="31"/>
      <c r="AN4" s="31"/>
      <c r="AO4" s="31"/>
      <c r="AP4" s="31"/>
      <c r="AQ4" s="31"/>
      <c r="AR4" s="31"/>
      <c r="AS4" s="31"/>
    </row>
    <row r="5" spans="1:46" s="1" customFormat="1" ht="15" customHeight="1">
      <c r="A5" s="31"/>
      <c r="B5" s="469" t="s">
        <v>996</v>
      </c>
      <c r="C5" s="446"/>
      <c r="D5" s="446" t="s">
        <v>991</v>
      </c>
      <c r="E5" s="878" t="s">
        <v>1021</v>
      </c>
      <c r="F5" s="33"/>
      <c r="G5" s="33"/>
      <c r="H5" s="33"/>
      <c r="I5" s="31"/>
      <c r="J5" s="31"/>
      <c r="K5" s="31"/>
      <c r="L5" s="31"/>
      <c r="M5" s="31"/>
      <c r="N5" s="31"/>
      <c r="O5" s="31"/>
      <c r="P5" s="15"/>
      <c r="Q5" s="31"/>
      <c r="R5" s="31"/>
      <c r="S5" s="31"/>
      <c r="T5" s="31"/>
      <c r="U5" s="26"/>
      <c r="V5" s="26"/>
      <c r="W5" s="26"/>
      <c r="X5" s="26"/>
      <c r="Y5" s="26"/>
      <c r="Z5" s="31"/>
      <c r="AA5" s="31"/>
      <c r="AB5" s="31"/>
      <c r="AC5" s="31"/>
      <c r="AD5" s="31"/>
      <c r="AE5" s="31"/>
      <c r="AF5" s="31"/>
      <c r="AG5" s="31"/>
      <c r="AH5" s="31"/>
      <c r="AI5" s="31"/>
      <c r="AJ5" s="31"/>
      <c r="AK5" s="31"/>
      <c r="AL5" s="31"/>
      <c r="AM5" s="31"/>
      <c r="AN5" s="31"/>
      <c r="AO5" s="31"/>
      <c r="AP5" s="31"/>
      <c r="AQ5" s="31"/>
      <c r="AR5" s="31"/>
      <c r="AS5" s="31"/>
    </row>
    <row r="6" spans="1:46" s="1" customFormat="1" ht="15" customHeight="1">
      <c r="A6" s="31"/>
      <c r="B6" s="463" t="s">
        <v>994</v>
      </c>
      <c r="C6" s="300" t="s">
        <v>1010</v>
      </c>
      <c r="D6" s="300" t="s">
        <v>998</v>
      </c>
      <c r="E6" s="1386" t="s">
        <v>1020</v>
      </c>
      <c r="F6" s="33"/>
      <c r="G6" s="33"/>
      <c r="H6" s="33"/>
      <c r="I6" s="31"/>
      <c r="J6" s="31"/>
      <c r="K6" s="31"/>
      <c r="L6" s="31"/>
      <c r="M6" s="31"/>
      <c r="N6" s="31"/>
      <c r="O6" s="31"/>
      <c r="P6" s="15"/>
      <c r="Q6" s="31"/>
      <c r="R6" s="31"/>
      <c r="S6" s="31"/>
      <c r="T6" s="31"/>
      <c r="U6" s="26"/>
      <c r="V6" s="26"/>
      <c r="W6" s="26"/>
      <c r="X6" s="26"/>
      <c r="Y6" s="26"/>
      <c r="Z6" s="31"/>
      <c r="AA6" s="31"/>
      <c r="AB6" s="31"/>
      <c r="AC6" s="31"/>
      <c r="AD6" s="31"/>
      <c r="AE6" s="31"/>
      <c r="AF6" s="31"/>
      <c r="AG6" s="31"/>
      <c r="AH6" s="31"/>
      <c r="AI6" s="31"/>
      <c r="AJ6" s="31"/>
      <c r="AK6" s="31"/>
      <c r="AL6" s="31"/>
      <c r="AM6" s="31"/>
      <c r="AN6" s="31"/>
      <c r="AO6" s="31"/>
      <c r="AP6" s="31"/>
      <c r="AQ6" s="31"/>
      <c r="AR6" s="31"/>
      <c r="AS6" s="31"/>
    </row>
    <row r="7" spans="1:46" s="1" customFormat="1" ht="28">
      <c r="A7" s="31"/>
      <c r="B7" s="1802" t="s">
        <v>995</v>
      </c>
      <c r="C7" s="302" t="s">
        <v>1007</v>
      </c>
      <c r="D7" s="302" t="s">
        <v>1541</v>
      </c>
      <c r="E7" s="879">
        <v>42268</v>
      </c>
      <c r="F7" s="33"/>
      <c r="G7" s="33"/>
      <c r="H7" s="33"/>
      <c r="I7" s="31"/>
      <c r="J7" s="31"/>
      <c r="K7" s="31"/>
      <c r="L7" s="31"/>
      <c r="M7" s="31"/>
      <c r="N7" s="31"/>
      <c r="O7" s="31"/>
      <c r="P7" s="15"/>
      <c r="Q7" s="31"/>
      <c r="R7" s="31"/>
      <c r="S7" s="31"/>
      <c r="T7" s="31"/>
      <c r="U7" s="26"/>
      <c r="V7" s="26"/>
      <c r="W7" s="26"/>
      <c r="X7" s="26"/>
      <c r="Y7" s="26"/>
      <c r="Z7" s="31"/>
      <c r="AA7" s="31"/>
      <c r="AB7" s="31"/>
      <c r="AC7" s="31"/>
      <c r="AD7" s="31"/>
      <c r="AE7" s="31"/>
      <c r="AF7" s="31"/>
      <c r="AG7" s="31"/>
      <c r="AH7" s="31"/>
      <c r="AI7" s="31"/>
      <c r="AJ7" s="31"/>
      <c r="AK7" s="31"/>
      <c r="AL7" s="31"/>
      <c r="AM7" s="31"/>
      <c r="AN7" s="31"/>
      <c r="AO7" s="31"/>
      <c r="AP7" s="31"/>
      <c r="AQ7" s="31"/>
      <c r="AR7" s="31"/>
      <c r="AS7" s="31"/>
    </row>
    <row r="8" spans="1:46" s="1" customFormat="1">
      <c r="A8" s="31"/>
      <c r="B8" s="1803"/>
      <c r="C8" s="445" t="s">
        <v>1016</v>
      </c>
      <c r="D8" s="302" t="s">
        <v>1543</v>
      </c>
      <c r="E8" s="879">
        <v>42268</v>
      </c>
      <c r="F8" s="33"/>
      <c r="G8" s="33"/>
      <c r="H8" s="33"/>
      <c r="I8" s="31"/>
      <c r="J8" s="31"/>
      <c r="K8" s="31"/>
      <c r="L8" s="31"/>
      <c r="M8" s="31"/>
      <c r="N8" s="31"/>
      <c r="O8" s="31"/>
      <c r="P8" s="15"/>
      <c r="Q8" s="31"/>
      <c r="R8" s="31"/>
      <c r="S8" s="31"/>
      <c r="T8" s="31"/>
      <c r="U8" s="26"/>
      <c r="V8" s="26"/>
      <c r="W8" s="26"/>
      <c r="X8" s="26"/>
      <c r="Y8" s="26"/>
      <c r="Z8" s="31"/>
      <c r="AA8" s="31"/>
      <c r="AB8" s="31"/>
      <c r="AC8" s="31"/>
      <c r="AD8" s="31"/>
      <c r="AE8" s="31"/>
      <c r="AF8" s="31"/>
      <c r="AG8" s="31"/>
      <c r="AH8" s="31"/>
      <c r="AI8" s="31"/>
      <c r="AJ8" s="31"/>
      <c r="AK8" s="31"/>
      <c r="AL8" s="31"/>
      <c r="AM8" s="31"/>
      <c r="AN8" s="31"/>
      <c r="AO8" s="31"/>
      <c r="AP8" s="31"/>
      <c r="AQ8" s="31"/>
      <c r="AR8" s="31"/>
      <c r="AS8" s="31"/>
    </row>
    <row r="9" spans="1:46" s="1" customFormat="1">
      <c r="A9" s="31"/>
      <c r="B9" s="1803"/>
      <c r="C9" s="1804" t="s">
        <v>40</v>
      </c>
      <c r="D9" s="444" t="s">
        <v>1528</v>
      </c>
      <c r="E9" s="879">
        <v>42268</v>
      </c>
      <c r="F9" s="33"/>
      <c r="G9" s="33"/>
      <c r="H9" s="33"/>
      <c r="I9" s="31"/>
      <c r="J9" s="31"/>
      <c r="K9" s="31"/>
      <c r="L9" s="31"/>
      <c r="M9" s="31"/>
      <c r="N9" s="31"/>
      <c r="O9" s="31"/>
      <c r="P9" s="15"/>
      <c r="Q9" s="31"/>
      <c r="R9" s="31"/>
      <c r="S9" s="31"/>
      <c r="T9" s="31"/>
      <c r="U9" s="26"/>
      <c r="V9" s="26"/>
      <c r="W9" s="26"/>
      <c r="X9" s="26"/>
      <c r="Y9" s="26"/>
      <c r="Z9" s="31"/>
      <c r="AA9" s="31"/>
      <c r="AB9" s="31"/>
      <c r="AC9" s="31"/>
      <c r="AD9" s="31"/>
      <c r="AE9" s="31"/>
      <c r="AF9" s="31"/>
      <c r="AG9" s="31"/>
      <c r="AH9" s="31"/>
      <c r="AI9" s="31"/>
      <c r="AJ9" s="31"/>
      <c r="AK9" s="31"/>
      <c r="AL9" s="31"/>
      <c r="AM9" s="31"/>
      <c r="AN9" s="31"/>
      <c r="AO9" s="31"/>
      <c r="AP9" s="31"/>
      <c r="AQ9" s="31"/>
      <c r="AR9" s="31"/>
      <c r="AS9" s="31"/>
    </row>
    <row r="10" spans="1:46" s="1" customFormat="1">
      <c r="A10" s="31"/>
      <c r="B10" s="1803"/>
      <c r="C10" s="1805"/>
      <c r="D10" s="444" t="s">
        <v>1527</v>
      </c>
      <c r="E10" s="879">
        <v>42268</v>
      </c>
      <c r="F10" s="33"/>
      <c r="G10" s="33"/>
      <c r="H10" s="33"/>
      <c r="I10" s="31"/>
      <c r="J10" s="31"/>
      <c r="K10" s="31"/>
      <c r="L10" s="31"/>
      <c r="M10" s="31"/>
      <c r="N10" s="31"/>
      <c r="O10" s="31"/>
      <c r="P10" s="15"/>
      <c r="Q10" s="31"/>
      <c r="R10" s="31"/>
      <c r="S10" s="31"/>
      <c r="T10" s="31"/>
      <c r="U10" s="26"/>
      <c r="V10" s="26"/>
      <c r="W10" s="26"/>
      <c r="X10" s="26"/>
      <c r="Y10" s="26"/>
      <c r="Z10" s="31"/>
      <c r="AA10" s="31"/>
      <c r="AB10" s="31"/>
      <c r="AC10" s="31"/>
      <c r="AD10" s="31"/>
      <c r="AE10" s="31"/>
      <c r="AF10" s="31"/>
      <c r="AG10" s="31"/>
      <c r="AH10" s="31"/>
      <c r="AI10" s="31"/>
      <c r="AJ10" s="31"/>
      <c r="AK10" s="31"/>
      <c r="AL10" s="31"/>
      <c r="AM10" s="31"/>
      <c r="AN10" s="31"/>
      <c r="AO10" s="31"/>
      <c r="AP10" s="31"/>
      <c r="AQ10" s="31"/>
      <c r="AR10" s="31"/>
      <c r="AS10" s="31"/>
    </row>
    <row r="11" spans="1:46" s="1" customFormat="1" ht="28">
      <c r="A11" s="31"/>
      <c r="B11" s="1803"/>
      <c r="C11" s="446" t="s">
        <v>1535</v>
      </c>
      <c r="D11" s="444" t="s">
        <v>1550</v>
      </c>
      <c r="E11" s="879">
        <v>42331</v>
      </c>
      <c r="F11" s="33"/>
      <c r="G11" s="33"/>
      <c r="H11" s="33"/>
      <c r="I11" s="31"/>
      <c r="J11" s="31"/>
      <c r="K11" s="31"/>
      <c r="L11" s="31"/>
      <c r="M11" s="31"/>
      <c r="N11" s="31"/>
      <c r="O11" s="31"/>
      <c r="P11" s="15"/>
      <c r="Q11" s="31"/>
      <c r="R11" s="31"/>
      <c r="S11" s="31"/>
      <c r="T11" s="31"/>
      <c r="U11" s="26"/>
      <c r="V11" s="26"/>
      <c r="W11" s="26"/>
      <c r="X11" s="26"/>
      <c r="Y11" s="26"/>
      <c r="Z11" s="31"/>
      <c r="AA11" s="31"/>
      <c r="AB11" s="31"/>
      <c r="AC11" s="31"/>
      <c r="AD11" s="31"/>
      <c r="AE11" s="31"/>
      <c r="AF11" s="31"/>
      <c r="AG11" s="31"/>
      <c r="AH11" s="31"/>
      <c r="AI11" s="31"/>
      <c r="AJ11" s="31"/>
      <c r="AK11" s="31"/>
      <c r="AL11" s="31"/>
      <c r="AM11" s="31"/>
      <c r="AN11" s="31"/>
      <c r="AO11" s="31"/>
      <c r="AP11" s="31"/>
      <c r="AQ11" s="31"/>
      <c r="AR11" s="31"/>
      <c r="AS11" s="31"/>
    </row>
    <row r="12" spans="1:46" s="1" customFormat="1">
      <c r="A12" s="31"/>
      <c r="B12" s="1803"/>
      <c r="C12" s="310" t="s">
        <v>1544</v>
      </c>
      <c r="D12" s="444" t="s">
        <v>1562</v>
      </c>
      <c r="E12" s="879">
        <v>42331</v>
      </c>
      <c r="F12" s="33"/>
      <c r="G12" s="33"/>
      <c r="H12" s="33"/>
      <c r="I12" s="31"/>
      <c r="J12" s="31"/>
      <c r="K12" s="31"/>
      <c r="L12" s="31"/>
      <c r="M12" s="31"/>
      <c r="N12" s="31"/>
      <c r="O12" s="31"/>
      <c r="P12" s="15"/>
      <c r="Q12" s="31"/>
      <c r="R12" s="31"/>
      <c r="S12" s="31"/>
      <c r="T12" s="31"/>
      <c r="U12" s="26"/>
      <c r="V12" s="26"/>
      <c r="W12" s="26"/>
      <c r="X12" s="26"/>
      <c r="Y12" s="26"/>
      <c r="Z12" s="31"/>
      <c r="AA12" s="31"/>
      <c r="AB12" s="31"/>
      <c r="AC12" s="31"/>
      <c r="AD12" s="31"/>
      <c r="AE12" s="31"/>
      <c r="AF12" s="31"/>
      <c r="AG12" s="31"/>
      <c r="AH12" s="31"/>
      <c r="AI12" s="31"/>
      <c r="AJ12" s="31"/>
      <c r="AK12" s="31"/>
      <c r="AL12" s="31"/>
      <c r="AM12" s="31"/>
      <c r="AN12" s="31"/>
      <c r="AO12" s="31"/>
      <c r="AP12" s="31"/>
      <c r="AQ12" s="31"/>
      <c r="AR12" s="31"/>
      <c r="AS12" s="31"/>
    </row>
    <row r="13" spans="1:46" s="1" customFormat="1">
      <c r="A13" s="31"/>
      <c r="B13" s="1803"/>
      <c r="C13" s="302" t="s">
        <v>1008</v>
      </c>
      <c r="D13" s="302" t="s">
        <v>1009</v>
      </c>
      <c r="E13" s="879">
        <v>42268</v>
      </c>
      <c r="F13" s="33"/>
      <c r="G13" s="33"/>
      <c r="H13" s="33"/>
      <c r="I13" s="31"/>
      <c r="J13" s="31"/>
      <c r="K13" s="31"/>
      <c r="L13" s="31"/>
      <c r="M13" s="31"/>
      <c r="N13" s="31"/>
      <c r="O13" s="31"/>
      <c r="P13" s="15"/>
      <c r="Q13" s="31"/>
      <c r="R13" s="31"/>
      <c r="S13" s="31"/>
      <c r="T13" s="31"/>
      <c r="U13" s="26"/>
      <c r="V13" s="26"/>
      <c r="W13" s="26"/>
      <c r="X13" s="26"/>
      <c r="Y13" s="26"/>
      <c r="Z13" s="31"/>
      <c r="AA13" s="31"/>
      <c r="AB13" s="31"/>
      <c r="AC13" s="31"/>
      <c r="AD13" s="31"/>
      <c r="AE13" s="31"/>
      <c r="AF13" s="31"/>
      <c r="AG13" s="31"/>
      <c r="AH13" s="31"/>
      <c r="AI13" s="31"/>
      <c r="AJ13" s="31"/>
      <c r="AK13" s="31"/>
      <c r="AL13" s="31"/>
      <c r="AM13" s="31"/>
      <c r="AN13" s="31"/>
      <c r="AO13" s="31"/>
      <c r="AP13" s="31"/>
      <c r="AQ13" s="31"/>
      <c r="AR13" s="31"/>
      <c r="AS13" s="31"/>
    </row>
    <row r="14" spans="1:46" s="1" customFormat="1" ht="15" customHeight="1">
      <c r="A14" s="31"/>
      <c r="B14" s="1803"/>
      <c r="C14" s="446" t="s">
        <v>1010</v>
      </c>
      <c r="D14" s="300" t="s">
        <v>1022</v>
      </c>
      <c r="E14" s="879">
        <v>42268</v>
      </c>
      <c r="F14" s="33"/>
      <c r="G14" s="33"/>
      <c r="H14" s="33"/>
      <c r="I14" s="31"/>
      <c r="J14" s="31"/>
      <c r="K14" s="31"/>
      <c r="L14" s="31"/>
      <c r="M14" s="31"/>
      <c r="N14" s="31"/>
      <c r="O14" s="31"/>
      <c r="P14" s="15"/>
      <c r="Q14" s="31"/>
      <c r="R14" s="31"/>
      <c r="S14" s="31"/>
      <c r="T14" s="31"/>
      <c r="U14" s="26"/>
      <c r="V14" s="26"/>
      <c r="W14" s="26"/>
      <c r="X14" s="26"/>
      <c r="Y14" s="26"/>
      <c r="Z14" s="31"/>
      <c r="AA14" s="31"/>
      <c r="AB14" s="31"/>
      <c r="AC14" s="31"/>
      <c r="AD14" s="31"/>
      <c r="AE14" s="31"/>
      <c r="AF14" s="31"/>
      <c r="AG14" s="31"/>
      <c r="AH14" s="31"/>
      <c r="AI14" s="31"/>
      <c r="AJ14" s="31"/>
      <c r="AK14" s="31"/>
      <c r="AL14" s="31"/>
      <c r="AM14" s="31"/>
      <c r="AN14" s="31"/>
      <c r="AO14" s="31"/>
      <c r="AP14" s="31"/>
      <c r="AQ14" s="31"/>
      <c r="AR14" s="31"/>
      <c r="AS14" s="31"/>
    </row>
    <row r="15" spans="1:46" s="1" customFormat="1" ht="15" customHeight="1">
      <c r="A15" s="31"/>
      <c r="B15" s="1802" t="s">
        <v>1724</v>
      </c>
      <c r="C15" s="454" t="s">
        <v>1536</v>
      </c>
      <c r="D15" s="310" t="s">
        <v>1537</v>
      </c>
      <c r="E15" s="879">
        <v>42479</v>
      </c>
      <c r="F15" s="33"/>
      <c r="G15" s="33"/>
      <c r="H15" s="33"/>
      <c r="I15" s="31"/>
      <c r="J15" s="31"/>
      <c r="K15" s="31"/>
      <c r="L15" s="31"/>
      <c r="M15" s="31"/>
      <c r="N15" s="31"/>
      <c r="O15" s="31"/>
      <c r="P15" s="15"/>
      <c r="Q15" s="31"/>
      <c r="R15" s="31"/>
      <c r="S15" s="31"/>
      <c r="T15" s="31"/>
      <c r="U15" s="26"/>
      <c r="V15" s="26"/>
      <c r="W15" s="26"/>
      <c r="X15" s="26"/>
      <c r="Y15" s="26"/>
      <c r="Z15" s="31"/>
      <c r="AA15" s="31"/>
      <c r="AB15" s="31"/>
      <c r="AC15" s="31"/>
      <c r="AD15" s="31"/>
      <c r="AE15" s="31"/>
      <c r="AF15" s="31"/>
      <c r="AG15" s="31"/>
      <c r="AH15" s="31"/>
      <c r="AI15" s="31"/>
      <c r="AJ15" s="31"/>
      <c r="AK15" s="31"/>
      <c r="AL15" s="31"/>
      <c r="AM15" s="31"/>
      <c r="AN15" s="31"/>
      <c r="AO15" s="31"/>
      <c r="AP15" s="31"/>
      <c r="AQ15" s="31"/>
      <c r="AR15" s="31"/>
      <c r="AS15" s="31"/>
    </row>
    <row r="16" spans="1:46" s="1" customFormat="1">
      <c r="A16" s="31"/>
      <c r="B16" s="1803"/>
      <c r="C16" s="875" t="s">
        <v>1720</v>
      </c>
      <c r="D16" s="310" t="s">
        <v>1554</v>
      </c>
      <c r="E16" s="879">
        <v>42479</v>
      </c>
      <c r="F16" s="33"/>
      <c r="G16" s="33"/>
      <c r="H16" s="33"/>
      <c r="I16" s="33"/>
      <c r="J16" s="31"/>
      <c r="K16" s="31"/>
      <c r="L16" s="31"/>
      <c r="M16" s="31"/>
      <c r="N16" s="31"/>
      <c r="O16" s="31"/>
      <c r="P16" s="31"/>
      <c r="Q16" s="15"/>
      <c r="R16" s="31"/>
      <c r="S16" s="31"/>
      <c r="T16" s="31"/>
      <c r="U16" s="31"/>
      <c r="V16" s="26"/>
      <c r="W16" s="26"/>
      <c r="X16" s="26"/>
      <c r="Y16" s="26"/>
      <c r="Z16" s="26"/>
      <c r="AA16" s="31"/>
      <c r="AB16" s="31"/>
      <c r="AC16" s="31"/>
      <c r="AD16" s="31"/>
      <c r="AE16" s="31"/>
      <c r="AF16" s="31"/>
      <c r="AG16" s="31"/>
      <c r="AH16" s="31"/>
      <c r="AI16" s="31"/>
      <c r="AJ16" s="31"/>
      <c r="AK16" s="31"/>
      <c r="AL16" s="31"/>
      <c r="AM16" s="31"/>
      <c r="AN16" s="31"/>
      <c r="AO16" s="31"/>
      <c r="AP16" s="31"/>
      <c r="AQ16" s="31"/>
      <c r="AR16" s="31"/>
      <c r="AS16" s="31"/>
      <c r="AT16" s="31"/>
    </row>
    <row r="17" spans="1:45" s="1" customFormat="1">
      <c r="A17" s="31"/>
      <c r="B17" s="1803"/>
      <c r="C17" s="455" t="s">
        <v>1526</v>
      </c>
      <c r="D17" s="444" t="s">
        <v>1545</v>
      </c>
      <c r="E17" s="879">
        <v>42447</v>
      </c>
      <c r="F17" s="33"/>
      <c r="G17" s="33"/>
      <c r="H17" s="33"/>
      <c r="I17" s="31"/>
      <c r="J17" s="31"/>
      <c r="K17" s="31"/>
      <c r="L17" s="31"/>
      <c r="M17" s="31"/>
      <c r="N17" s="31"/>
      <c r="O17" s="31"/>
      <c r="P17" s="15"/>
      <c r="Q17" s="31"/>
      <c r="R17" s="31"/>
      <c r="S17" s="31"/>
      <c r="T17" s="31"/>
      <c r="U17" s="26"/>
      <c r="V17" s="26"/>
      <c r="W17" s="26"/>
      <c r="X17" s="26"/>
      <c r="Y17" s="26"/>
      <c r="Z17" s="31"/>
      <c r="AA17" s="31"/>
      <c r="AB17" s="31"/>
      <c r="AC17" s="31"/>
      <c r="AD17" s="31"/>
      <c r="AE17" s="31"/>
      <c r="AF17" s="31"/>
      <c r="AG17" s="31"/>
      <c r="AH17" s="31"/>
      <c r="AI17" s="31"/>
      <c r="AJ17" s="31"/>
      <c r="AK17" s="31"/>
      <c r="AL17" s="31"/>
      <c r="AM17" s="31"/>
      <c r="AN17" s="31"/>
      <c r="AO17" s="31"/>
      <c r="AP17" s="31"/>
      <c r="AQ17" s="31"/>
      <c r="AR17" s="31"/>
      <c r="AS17" s="31"/>
    </row>
    <row r="18" spans="1:45" s="1" customFormat="1">
      <c r="A18" s="31"/>
      <c r="B18" s="1803"/>
      <c r="C18" s="876"/>
      <c r="D18" s="444" t="s">
        <v>1548</v>
      </c>
      <c r="E18" s="880" t="s">
        <v>2462</v>
      </c>
      <c r="F18" s="33"/>
      <c r="G18" s="33"/>
      <c r="H18" s="33"/>
      <c r="I18" s="31"/>
      <c r="J18" s="31"/>
      <c r="K18" s="31"/>
      <c r="L18" s="31"/>
      <c r="M18" s="31"/>
      <c r="N18" s="31"/>
      <c r="O18" s="31"/>
      <c r="P18" s="15"/>
      <c r="Q18" s="31"/>
      <c r="R18" s="31"/>
      <c r="S18" s="31"/>
      <c r="T18" s="31"/>
      <c r="U18" s="26"/>
      <c r="V18" s="26"/>
      <c r="W18" s="26"/>
      <c r="X18" s="26"/>
      <c r="Y18" s="26"/>
      <c r="Z18" s="31"/>
      <c r="AA18" s="31"/>
      <c r="AB18" s="31"/>
      <c r="AC18" s="31"/>
      <c r="AD18" s="31"/>
      <c r="AE18" s="31"/>
      <c r="AF18" s="31"/>
      <c r="AG18" s="31"/>
      <c r="AH18" s="31"/>
      <c r="AI18" s="31"/>
      <c r="AJ18" s="31"/>
      <c r="AK18" s="31"/>
      <c r="AL18" s="31"/>
      <c r="AM18" s="31"/>
      <c r="AN18" s="31"/>
      <c r="AO18" s="31"/>
      <c r="AP18" s="31"/>
      <c r="AQ18" s="31"/>
      <c r="AR18" s="31"/>
      <c r="AS18" s="31"/>
    </row>
    <row r="19" spans="1:45" s="1" customFormat="1">
      <c r="A19" s="31"/>
      <c r="B19" s="1803"/>
      <c r="C19" s="876"/>
      <c r="D19" s="444" t="s">
        <v>1549</v>
      </c>
      <c r="E19" s="879">
        <v>42479</v>
      </c>
      <c r="F19" s="33"/>
      <c r="G19" s="33"/>
      <c r="H19" s="33"/>
      <c r="I19" s="31"/>
      <c r="J19" s="31"/>
      <c r="K19" s="31"/>
      <c r="L19" s="31"/>
      <c r="M19" s="31"/>
      <c r="N19" s="31"/>
      <c r="O19" s="31"/>
      <c r="P19" s="15"/>
      <c r="Q19" s="31"/>
      <c r="R19" s="31"/>
      <c r="S19" s="31"/>
      <c r="T19" s="31"/>
      <c r="U19" s="26"/>
      <c r="V19" s="26"/>
      <c r="W19" s="26"/>
      <c r="X19" s="26"/>
      <c r="Y19" s="26"/>
      <c r="Z19" s="31"/>
      <c r="AA19" s="31"/>
      <c r="AB19" s="31"/>
      <c r="AC19" s="31"/>
      <c r="AD19" s="31"/>
      <c r="AE19" s="31"/>
      <c r="AF19" s="31"/>
      <c r="AG19" s="31"/>
      <c r="AH19" s="31"/>
      <c r="AI19" s="31"/>
      <c r="AJ19" s="31"/>
      <c r="AK19" s="31"/>
      <c r="AL19" s="31"/>
      <c r="AM19" s="31"/>
      <c r="AN19" s="31"/>
      <c r="AO19" s="31"/>
      <c r="AP19" s="31"/>
      <c r="AQ19" s="31"/>
      <c r="AR19" s="31"/>
      <c r="AS19" s="31"/>
    </row>
    <row r="20" spans="1:45" s="1" customFormat="1">
      <c r="A20" s="31"/>
      <c r="B20" s="1803"/>
      <c r="C20" s="876"/>
      <c r="D20" s="444" t="s">
        <v>1546</v>
      </c>
      <c r="E20" s="880">
        <v>42447</v>
      </c>
      <c r="F20" s="33"/>
      <c r="G20" s="33"/>
      <c r="H20" s="33"/>
      <c r="I20" s="31"/>
      <c r="J20" s="31"/>
      <c r="K20" s="31"/>
      <c r="L20" s="31"/>
      <c r="M20" s="31"/>
      <c r="N20" s="31"/>
      <c r="O20" s="31"/>
      <c r="P20" s="15"/>
      <c r="Q20" s="31"/>
      <c r="R20" s="31"/>
      <c r="S20" s="31"/>
      <c r="T20" s="31"/>
      <c r="U20" s="26"/>
      <c r="V20" s="26"/>
      <c r="W20" s="26"/>
      <c r="X20" s="26"/>
      <c r="Y20" s="26"/>
      <c r="Z20" s="31"/>
      <c r="AA20" s="31"/>
      <c r="AB20" s="31"/>
      <c r="AC20" s="31"/>
      <c r="AD20" s="31"/>
      <c r="AE20" s="31"/>
      <c r="AF20" s="31"/>
      <c r="AG20" s="31"/>
      <c r="AH20" s="31"/>
      <c r="AI20" s="31"/>
      <c r="AJ20" s="31"/>
      <c r="AK20" s="31"/>
      <c r="AL20" s="31"/>
      <c r="AM20" s="31"/>
      <c r="AN20" s="31"/>
      <c r="AO20" s="31"/>
      <c r="AP20" s="31"/>
      <c r="AQ20" s="31"/>
      <c r="AR20" s="31"/>
      <c r="AS20" s="31"/>
    </row>
    <row r="21" spans="1:45" s="1" customFormat="1">
      <c r="A21" s="31"/>
      <c r="B21" s="1803"/>
      <c r="C21" s="877"/>
      <c r="D21" s="444" t="s">
        <v>1547</v>
      </c>
      <c r="E21" s="879">
        <v>42447</v>
      </c>
      <c r="F21" s="33"/>
      <c r="G21" s="33"/>
      <c r="H21" s="33"/>
      <c r="I21" s="31"/>
      <c r="J21" s="31"/>
      <c r="K21" s="31"/>
      <c r="L21" s="31"/>
      <c r="M21" s="31"/>
      <c r="N21" s="31"/>
      <c r="O21" s="31"/>
      <c r="P21" s="15"/>
      <c r="Q21" s="31"/>
      <c r="R21" s="31"/>
      <c r="S21" s="31"/>
      <c r="T21" s="31"/>
      <c r="U21" s="26"/>
      <c r="V21" s="26"/>
      <c r="W21" s="26"/>
      <c r="X21" s="26"/>
      <c r="Y21" s="26"/>
      <c r="Z21" s="31"/>
      <c r="AA21" s="31"/>
      <c r="AB21" s="31"/>
      <c r="AC21" s="31"/>
      <c r="AD21" s="31"/>
      <c r="AE21" s="31"/>
      <c r="AF21" s="31"/>
      <c r="AG21" s="31"/>
      <c r="AH21" s="31"/>
      <c r="AI21" s="31"/>
      <c r="AJ21" s="31"/>
      <c r="AK21" s="31"/>
      <c r="AL21" s="31"/>
      <c r="AM21" s="31"/>
      <c r="AN21" s="31"/>
      <c r="AO21" s="31"/>
      <c r="AP21" s="31"/>
      <c r="AQ21" s="31"/>
      <c r="AR21" s="31"/>
      <c r="AS21" s="31"/>
    </row>
    <row r="22" spans="1:45">
      <c r="B22" s="1803"/>
      <c r="C22" s="1806" t="s">
        <v>1556</v>
      </c>
      <c r="D22" s="456" t="s">
        <v>1571</v>
      </c>
      <c r="E22" s="879">
        <v>42447</v>
      </c>
      <c r="F22" s="33"/>
      <c r="G22" s="33"/>
      <c r="H22" s="33"/>
      <c r="I22" s="31"/>
      <c r="J22" s="31"/>
      <c r="K22" s="31"/>
    </row>
    <row r="23" spans="1:45">
      <c r="B23" s="1803"/>
      <c r="C23" s="1807"/>
      <c r="D23" s="456" t="s">
        <v>1575</v>
      </c>
      <c r="E23" s="879">
        <v>42447</v>
      </c>
      <c r="F23" s="33"/>
      <c r="G23" s="33"/>
      <c r="H23" s="33"/>
      <c r="I23" s="31"/>
      <c r="J23" s="31"/>
      <c r="K23" s="31"/>
    </row>
    <row r="24" spans="1:45">
      <c r="B24" s="1803"/>
      <c r="C24" s="1807"/>
      <c r="D24" s="456" t="s">
        <v>1574</v>
      </c>
      <c r="E24" s="879">
        <v>42447</v>
      </c>
      <c r="F24" s="33"/>
      <c r="G24" s="33"/>
      <c r="H24" s="33"/>
      <c r="I24" s="31"/>
      <c r="J24" s="31"/>
      <c r="K24" s="31"/>
    </row>
    <row r="25" spans="1:45">
      <c r="B25" s="1803"/>
      <c r="C25" s="1807"/>
      <c r="D25" s="444" t="s">
        <v>1572</v>
      </c>
      <c r="E25" s="312"/>
      <c r="F25" s="33"/>
      <c r="G25" s="33"/>
      <c r="H25" s="33"/>
      <c r="I25" s="31"/>
      <c r="J25" s="31"/>
      <c r="K25" s="31"/>
    </row>
    <row r="26" spans="1:45">
      <c r="B26" s="1803"/>
      <c r="C26" s="1808"/>
      <c r="D26" s="444" t="s">
        <v>1573</v>
      </c>
      <c r="E26" s="879">
        <v>42447</v>
      </c>
      <c r="F26" s="33"/>
      <c r="G26" s="33"/>
      <c r="H26" s="33"/>
      <c r="I26" s="31"/>
      <c r="J26" s="31"/>
      <c r="K26" s="31"/>
    </row>
    <row r="27" spans="1:45">
      <c r="B27" s="1803"/>
      <c r="C27" s="457" t="s">
        <v>1555</v>
      </c>
      <c r="D27" s="300" t="s">
        <v>1561</v>
      </c>
      <c r="E27" s="879">
        <v>42447</v>
      </c>
      <c r="F27" s="33"/>
      <c r="G27" s="33"/>
      <c r="H27" s="33"/>
      <c r="I27" s="31"/>
      <c r="J27" s="31"/>
      <c r="K27" s="31"/>
    </row>
    <row r="28" spans="1:45">
      <c r="B28" s="1803"/>
      <c r="C28" s="458" t="s">
        <v>1007</v>
      </c>
      <c r="D28" s="310" t="s">
        <v>1730</v>
      </c>
      <c r="E28" s="880">
        <v>42447</v>
      </c>
      <c r="F28" s="33"/>
      <c r="G28" s="33"/>
      <c r="H28" s="33"/>
      <c r="I28" s="31"/>
      <c r="J28" s="31"/>
      <c r="K28" s="31"/>
    </row>
    <row r="29" spans="1:45">
      <c r="B29" s="1809" t="s">
        <v>1725</v>
      </c>
      <c r="C29" s="867" t="s">
        <v>1720</v>
      </c>
      <c r="D29" s="310" t="s">
        <v>1726</v>
      </c>
      <c r="E29" s="291"/>
      <c r="F29" s="33"/>
      <c r="G29" s="33"/>
      <c r="H29" s="33"/>
      <c r="I29" s="31"/>
      <c r="J29" s="31"/>
      <c r="K29" s="31"/>
    </row>
    <row r="30" spans="1:45">
      <c r="B30" s="1810"/>
      <c r="C30" s="1804" t="s">
        <v>1719</v>
      </c>
      <c r="D30" s="454" t="s">
        <v>1558</v>
      </c>
      <c r="E30" s="879">
        <v>42479</v>
      </c>
      <c r="F30" s="33"/>
      <c r="G30" s="33"/>
      <c r="H30" s="33"/>
      <c r="I30" s="31"/>
      <c r="J30" s="31"/>
      <c r="K30" s="31"/>
    </row>
    <row r="31" spans="1:45">
      <c r="B31" s="1810"/>
      <c r="C31" s="1805"/>
      <c r="D31" s="454" t="s">
        <v>1557</v>
      </c>
      <c r="E31" s="291"/>
      <c r="F31" s="33"/>
      <c r="G31" s="33"/>
      <c r="H31" s="33"/>
      <c r="I31" s="31"/>
      <c r="J31" s="31"/>
      <c r="K31" s="31"/>
    </row>
    <row r="32" spans="1:45">
      <c r="B32" s="1810"/>
      <c r="C32" s="667" t="s">
        <v>1716</v>
      </c>
      <c r="D32" s="454" t="s">
        <v>1727</v>
      </c>
      <c r="E32" s="291"/>
      <c r="F32" s="33"/>
      <c r="G32" s="33"/>
      <c r="H32" s="33"/>
      <c r="I32" s="31"/>
      <c r="J32" s="31"/>
      <c r="K32" s="31"/>
    </row>
    <row r="33" spans="2:11">
      <c r="B33" s="1810"/>
      <c r="C33" s="460" t="s">
        <v>1715</v>
      </c>
      <c r="D33" s="444" t="s">
        <v>1728</v>
      </c>
      <c r="E33" s="312"/>
      <c r="F33" s="33"/>
      <c r="G33" s="33"/>
      <c r="H33" s="33"/>
      <c r="I33" s="31"/>
      <c r="J33" s="31"/>
      <c r="K33" s="31"/>
    </row>
    <row r="34" spans="2:11">
      <c r="B34" s="1810"/>
      <c r="C34" s="461" t="s">
        <v>1717</v>
      </c>
      <c r="D34" s="444" t="s">
        <v>1721</v>
      </c>
      <c r="E34" s="312"/>
      <c r="F34" s="33"/>
      <c r="G34" s="33"/>
      <c r="H34" s="33"/>
      <c r="I34" s="31"/>
      <c r="J34" s="31"/>
      <c r="K34" s="31"/>
    </row>
    <row r="35" spans="2:11">
      <c r="B35" s="1810"/>
      <c r="C35" s="461" t="s">
        <v>1718</v>
      </c>
      <c r="D35" s="444" t="s">
        <v>1722</v>
      </c>
      <c r="E35" s="312"/>
      <c r="F35" s="33"/>
      <c r="G35" s="33"/>
      <c r="H35" s="33"/>
      <c r="I35" s="31"/>
      <c r="J35" s="31"/>
      <c r="K35" s="31"/>
    </row>
    <row r="36" spans="2:11" ht="126">
      <c r="B36" s="1810"/>
      <c r="C36" s="461" t="s">
        <v>1723</v>
      </c>
      <c r="D36" s="444" t="s">
        <v>1729</v>
      </c>
      <c r="E36" s="462"/>
      <c r="F36" s="33"/>
      <c r="G36" s="33"/>
      <c r="H36" s="33"/>
      <c r="I36" s="31"/>
      <c r="J36" s="31"/>
      <c r="K36" s="31"/>
    </row>
    <row r="37" spans="2:11">
      <c r="B37" s="1810"/>
      <c r="C37" s="459" t="s">
        <v>1570</v>
      </c>
      <c r="D37" s="455" t="s">
        <v>1559</v>
      </c>
      <c r="E37" s="462"/>
      <c r="F37" s="33"/>
      <c r="G37" s="33"/>
      <c r="H37" s="33"/>
      <c r="I37" s="31"/>
      <c r="J37" s="31"/>
      <c r="K37" s="31"/>
    </row>
    <row r="38" spans="2:11">
      <c r="B38" s="1810"/>
      <c r="C38" s="459" t="s">
        <v>1570</v>
      </c>
      <c r="D38" s="455" t="s">
        <v>1560</v>
      </c>
      <c r="E38" s="462"/>
      <c r="F38" s="33"/>
      <c r="G38" s="33"/>
      <c r="H38" s="33"/>
      <c r="I38" s="31"/>
      <c r="J38" s="31"/>
      <c r="K38" s="31"/>
    </row>
    <row r="39" spans="2:11">
      <c r="B39" s="1810"/>
      <c r="C39" s="459" t="s">
        <v>197</v>
      </c>
      <c r="D39" s="455" t="s">
        <v>1579</v>
      </c>
      <c r="E39" s="462"/>
      <c r="F39" s="33"/>
      <c r="G39" s="33"/>
      <c r="H39" s="33"/>
      <c r="I39" s="31"/>
      <c r="J39" s="31"/>
      <c r="K39" s="31"/>
    </row>
    <row r="40" spans="2:11">
      <c r="B40" s="1811"/>
      <c r="C40" s="461" t="s">
        <v>197</v>
      </c>
      <c r="D40" s="444" t="s">
        <v>1578</v>
      </c>
      <c r="E40" s="291"/>
      <c r="F40" s="33"/>
      <c r="G40" s="33"/>
      <c r="H40" s="33"/>
      <c r="I40" s="31"/>
      <c r="J40" s="31"/>
      <c r="K40" s="31"/>
    </row>
    <row r="41" spans="2:11">
      <c r="F41" s="33"/>
      <c r="G41" s="33"/>
      <c r="H41" s="33"/>
      <c r="I41" s="31"/>
      <c r="J41" s="31"/>
      <c r="K41" s="31"/>
    </row>
    <row r="42" spans="2:11">
      <c r="F42" s="33"/>
      <c r="G42" s="33"/>
      <c r="H42" s="33"/>
      <c r="I42" s="31"/>
      <c r="J42" s="31"/>
      <c r="K42" s="31"/>
    </row>
    <row r="43" spans="2:11">
      <c r="F43" s="33"/>
      <c r="G43" s="33"/>
      <c r="H43" s="33"/>
      <c r="I43" s="31"/>
      <c r="J43" s="31"/>
      <c r="K43" s="31"/>
    </row>
    <row r="44" spans="2:11">
      <c r="F44" s="33"/>
      <c r="G44" s="33"/>
      <c r="H44" s="33"/>
      <c r="I44" s="31"/>
      <c r="J44" s="31"/>
      <c r="K44" s="31"/>
    </row>
    <row r="45" spans="2:11">
      <c r="F45" s="33"/>
      <c r="G45" s="33"/>
      <c r="H45" s="33"/>
      <c r="I45" s="31"/>
      <c r="J45" s="31"/>
      <c r="K45" s="31"/>
    </row>
    <row r="46" spans="2:11"/>
    <row r="47" spans="2:11"/>
    <row r="48" spans="2:11"/>
    <row r="49"/>
    <row r="50"/>
    <row r="51"/>
    <row r="52"/>
    <row r="53"/>
    <row r="54"/>
  </sheetData>
  <mergeCells count="6">
    <mergeCell ref="B7:B14"/>
    <mergeCell ref="C30:C31"/>
    <mergeCell ref="C9:C10"/>
    <mergeCell ref="C22:C26"/>
    <mergeCell ref="B15:B28"/>
    <mergeCell ref="B29:B40"/>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2:AT47"/>
  <sheetViews>
    <sheetView workbookViewId="0">
      <selection activeCell="C76" sqref="C76"/>
    </sheetView>
  </sheetViews>
  <sheetFormatPr baseColWidth="10" defaultRowHeight="15" x14ac:dyDescent="0"/>
  <cols>
    <col min="1" max="1" width="1.83203125" style="15" customWidth="1"/>
    <col min="2" max="3" width="27.6640625" style="15" customWidth="1"/>
    <col min="4" max="4" width="60.83203125" style="15" customWidth="1"/>
    <col min="5" max="6" width="27.6640625" style="15" customWidth="1"/>
    <col min="7" max="16384" width="10.83203125" style="15"/>
  </cols>
  <sheetData>
    <row r="2" spans="1:46" s="31" customFormat="1" ht="23">
      <c r="B2" s="36" t="s">
        <v>989</v>
      </c>
      <c r="C2" s="34"/>
      <c r="D2" s="34"/>
      <c r="E2" s="34"/>
      <c r="F2" s="34"/>
      <c r="G2" s="33"/>
      <c r="H2" s="33"/>
      <c r="I2" s="33"/>
      <c r="V2" s="26"/>
      <c r="W2" s="26"/>
      <c r="X2" s="26"/>
      <c r="Y2" s="26"/>
      <c r="Z2" s="26"/>
    </row>
    <row r="3" spans="1:46" ht="16" thickBot="1">
      <c r="G3" s="33"/>
      <c r="H3" s="33"/>
      <c r="I3" s="33"/>
      <c r="J3" s="31"/>
      <c r="K3" s="31"/>
      <c r="L3" s="31"/>
    </row>
    <row r="4" spans="1:46" s="1" customFormat="1" ht="31" customHeight="1">
      <c r="A4" s="31"/>
      <c r="B4" s="293" t="s">
        <v>990</v>
      </c>
      <c r="C4" s="294" t="s">
        <v>1017</v>
      </c>
      <c r="D4" s="294" t="s">
        <v>1018</v>
      </c>
      <c r="E4" s="294" t="s">
        <v>832</v>
      </c>
      <c r="F4" s="295" t="s">
        <v>810</v>
      </c>
      <c r="G4" s="33"/>
      <c r="H4" s="33"/>
      <c r="I4" s="33"/>
      <c r="J4" s="31"/>
      <c r="K4" s="31"/>
      <c r="L4" s="31"/>
      <c r="M4" s="31"/>
      <c r="N4" s="31"/>
      <c r="O4" s="31"/>
      <c r="P4" s="31"/>
      <c r="Q4" s="15"/>
      <c r="R4" s="31"/>
      <c r="S4" s="31"/>
      <c r="T4" s="31"/>
      <c r="U4" s="31"/>
      <c r="V4" s="26"/>
      <c r="W4" s="26"/>
      <c r="X4" s="26"/>
      <c r="Y4" s="26"/>
      <c r="Z4" s="26"/>
      <c r="AA4" s="31"/>
      <c r="AB4" s="31"/>
      <c r="AC4" s="31"/>
      <c r="AD4" s="31"/>
      <c r="AE4" s="31"/>
      <c r="AF4" s="31"/>
      <c r="AG4" s="31"/>
      <c r="AH4" s="31"/>
      <c r="AI4" s="31"/>
      <c r="AJ4" s="31"/>
      <c r="AK4" s="31"/>
      <c r="AL4" s="31"/>
      <c r="AM4" s="31"/>
      <c r="AN4" s="31"/>
      <c r="AO4" s="31"/>
      <c r="AP4" s="31"/>
      <c r="AQ4" s="31"/>
      <c r="AR4" s="31"/>
      <c r="AS4" s="31"/>
      <c r="AT4" s="31"/>
    </row>
    <row r="5" spans="1:46" s="37" customFormat="1" ht="16" customHeight="1">
      <c r="B5" s="202"/>
      <c r="C5" s="201"/>
      <c r="D5" s="201"/>
      <c r="E5" s="201"/>
      <c r="F5" s="203"/>
      <c r="G5" s="33"/>
      <c r="H5" s="33"/>
      <c r="I5" s="33"/>
      <c r="J5" s="31"/>
      <c r="K5" s="31"/>
      <c r="L5" s="31"/>
      <c r="V5" s="235"/>
      <c r="W5" s="235"/>
      <c r="X5" s="235"/>
      <c r="Y5" s="235"/>
      <c r="Z5" s="235"/>
    </row>
    <row r="6" spans="1:46" s="1" customFormat="1" ht="15" customHeight="1">
      <c r="A6" s="31"/>
      <c r="B6" s="298" t="s">
        <v>996</v>
      </c>
      <c r="C6" s="300"/>
      <c r="D6" s="300" t="s">
        <v>991</v>
      </c>
      <c r="E6" s="291" t="s">
        <v>1021</v>
      </c>
      <c r="F6" s="292" t="s">
        <v>992</v>
      </c>
      <c r="G6" s="33"/>
      <c r="H6" s="33"/>
      <c r="I6" s="33"/>
      <c r="J6" s="31"/>
      <c r="K6" s="31"/>
      <c r="L6" s="31"/>
      <c r="M6" s="31"/>
      <c r="N6" s="31"/>
      <c r="O6" s="31"/>
      <c r="P6" s="31"/>
      <c r="Q6" s="15"/>
      <c r="R6" s="31"/>
      <c r="S6" s="31"/>
      <c r="T6" s="31"/>
      <c r="U6" s="31"/>
      <c r="V6" s="26"/>
      <c r="W6" s="26"/>
      <c r="X6" s="26"/>
      <c r="Y6" s="26"/>
      <c r="Z6" s="26"/>
      <c r="AA6" s="31"/>
      <c r="AB6" s="31"/>
      <c r="AC6" s="31"/>
      <c r="AD6" s="31"/>
      <c r="AE6" s="31"/>
      <c r="AF6" s="31"/>
      <c r="AG6" s="31"/>
      <c r="AH6" s="31"/>
      <c r="AI6" s="31"/>
      <c r="AJ6" s="31"/>
      <c r="AK6" s="31"/>
      <c r="AL6" s="31"/>
      <c r="AM6" s="31"/>
      <c r="AN6" s="31"/>
      <c r="AO6" s="31"/>
      <c r="AP6" s="31"/>
      <c r="AQ6" s="31"/>
      <c r="AR6" s="31"/>
      <c r="AS6" s="31"/>
      <c r="AT6" s="31"/>
    </row>
    <row r="7" spans="1:46" s="1" customFormat="1" ht="15" customHeight="1">
      <c r="A7" s="31"/>
      <c r="B7" s="298" t="s">
        <v>994</v>
      </c>
      <c r="C7" s="300" t="s">
        <v>1010</v>
      </c>
      <c r="D7" s="300" t="s">
        <v>998</v>
      </c>
      <c r="E7" s="291" t="s">
        <v>1020</v>
      </c>
      <c r="F7" s="292" t="s">
        <v>992</v>
      </c>
      <c r="G7" s="33"/>
      <c r="H7" s="33"/>
      <c r="I7" s="33"/>
      <c r="J7" s="31"/>
      <c r="K7" s="31"/>
      <c r="L7" s="31"/>
      <c r="M7" s="31"/>
      <c r="N7" s="31"/>
      <c r="O7" s="31"/>
      <c r="P7" s="31"/>
      <c r="Q7" s="15"/>
      <c r="R7" s="31"/>
      <c r="S7" s="31"/>
      <c r="T7" s="31"/>
      <c r="U7" s="31"/>
      <c r="V7" s="26"/>
      <c r="W7" s="26"/>
      <c r="X7" s="26"/>
      <c r="Y7" s="26"/>
      <c r="Z7" s="26"/>
      <c r="AA7" s="31"/>
      <c r="AB7" s="31"/>
      <c r="AC7" s="31"/>
      <c r="AD7" s="31"/>
      <c r="AE7" s="31"/>
      <c r="AF7" s="31"/>
      <c r="AG7" s="31"/>
      <c r="AH7" s="31"/>
      <c r="AI7" s="31"/>
      <c r="AJ7" s="31"/>
      <c r="AK7" s="31"/>
      <c r="AL7" s="31"/>
      <c r="AM7" s="31"/>
      <c r="AN7" s="31"/>
      <c r="AO7" s="31"/>
      <c r="AP7" s="31"/>
      <c r="AQ7" s="31"/>
      <c r="AR7" s="31"/>
      <c r="AS7" s="31"/>
      <c r="AT7" s="31"/>
    </row>
    <row r="8" spans="1:46" s="1" customFormat="1" ht="28">
      <c r="A8" s="31"/>
      <c r="B8" s="1812" t="s">
        <v>995</v>
      </c>
      <c r="C8" s="302" t="s">
        <v>1007</v>
      </c>
      <c r="D8" s="302" t="s">
        <v>1541</v>
      </c>
      <c r="E8" s="312">
        <v>42268</v>
      </c>
      <c r="F8" s="292" t="s">
        <v>992</v>
      </c>
      <c r="G8" s="33"/>
      <c r="H8" s="33"/>
      <c r="I8" s="33"/>
      <c r="J8" s="31"/>
      <c r="K8" s="31"/>
      <c r="L8" s="31"/>
      <c r="M8" s="31"/>
      <c r="N8" s="31"/>
      <c r="O8" s="31"/>
      <c r="P8" s="31"/>
      <c r="Q8" s="15"/>
      <c r="R8" s="31"/>
      <c r="S8" s="31"/>
      <c r="T8" s="31"/>
      <c r="U8" s="31"/>
      <c r="V8" s="26"/>
      <c r="W8" s="26"/>
      <c r="X8" s="26"/>
      <c r="Y8" s="26"/>
      <c r="Z8" s="26"/>
      <c r="AA8" s="31"/>
      <c r="AB8" s="31"/>
      <c r="AC8" s="31"/>
      <c r="AD8" s="31"/>
      <c r="AE8" s="31"/>
      <c r="AF8" s="31"/>
      <c r="AG8" s="31"/>
      <c r="AH8" s="31"/>
      <c r="AI8" s="31"/>
      <c r="AJ8" s="31"/>
      <c r="AK8" s="31"/>
      <c r="AL8" s="31"/>
      <c r="AM8" s="31"/>
      <c r="AN8" s="31"/>
      <c r="AO8" s="31"/>
      <c r="AP8" s="31"/>
      <c r="AQ8" s="31"/>
      <c r="AR8" s="31"/>
      <c r="AS8" s="31"/>
      <c r="AT8" s="31"/>
    </row>
    <row r="9" spans="1:46" s="1" customFormat="1">
      <c r="A9" s="31"/>
      <c r="B9" s="1813"/>
      <c r="C9" s="445" t="s">
        <v>1016</v>
      </c>
      <c r="D9" s="302" t="s">
        <v>1543</v>
      </c>
      <c r="E9" s="312">
        <v>42268</v>
      </c>
      <c r="F9" s="292" t="s">
        <v>992</v>
      </c>
      <c r="G9" s="33"/>
      <c r="H9" s="33"/>
      <c r="I9" s="33"/>
      <c r="J9" s="31"/>
      <c r="K9" s="31"/>
      <c r="L9" s="31"/>
      <c r="M9" s="31"/>
      <c r="N9" s="31"/>
      <c r="O9" s="31"/>
      <c r="P9" s="31"/>
      <c r="Q9" s="15"/>
      <c r="R9" s="31"/>
      <c r="S9" s="31"/>
      <c r="T9" s="31"/>
      <c r="U9" s="31"/>
      <c r="V9" s="26"/>
      <c r="W9" s="26"/>
      <c r="X9" s="26"/>
      <c r="Y9" s="26"/>
      <c r="Z9" s="26"/>
      <c r="AA9" s="31"/>
      <c r="AB9" s="31"/>
      <c r="AC9" s="31"/>
      <c r="AD9" s="31"/>
      <c r="AE9" s="31"/>
      <c r="AF9" s="31"/>
      <c r="AG9" s="31"/>
      <c r="AH9" s="31"/>
      <c r="AI9" s="31"/>
      <c r="AJ9" s="31"/>
      <c r="AK9" s="31"/>
      <c r="AL9" s="31"/>
      <c r="AM9" s="31"/>
      <c r="AN9" s="31"/>
      <c r="AO9" s="31"/>
      <c r="AP9" s="31"/>
      <c r="AQ9" s="31"/>
      <c r="AR9" s="31"/>
      <c r="AS9" s="31"/>
      <c r="AT9" s="31"/>
    </row>
    <row r="10" spans="1:46" s="1" customFormat="1">
      <c r="A10" s="31"/>
      <c r="B10" s="1814"/>
      <c r="C10" s="445" t="s">
        <v>40</v>
      </c>
      <c r="D10" s="444" t="s">
        <v>1528</v>
      </c>
      <c r="E10" s="312">
        <v>42268</v>
      </c>
      <c r="F10" s="292" t="s">
        <v>992</v>
      </c>
      <c r="G10" s="33"/>
      <c r="H10" s="33"/>
      <c r="I10" s="33"/>
      <c r="J10" s="31"/>
      <c r="K10" s="31"/>
      <c r="L10" s="31"/>
      <c r="M10" s="31"/>
      <c r="N10" s="31"/>
      <c r="O10" s="31"/>
      <c r="P10" s="31"/>
      <c r="Q10" s="15"/>
      <c r="R10" s="31"/>
      <c r="S10" s="31"/>
      <c r="T10" s="31"/>
      <c r="U10" s="31"/>
      <c r="V10" s="26"/>
      <c r="W10" s="26"/>
      <c r="X10" s="26"/>
      <c r="Y10" s="26"/>
      <c r="Z10" s="26"/>
      <c r="AA10" s="31"/>
      <c r="AB10" s="31"/>
      <c r="AC10" s="31"/>
      <c r="AD10" s="31"/>
      <c r="AE10" s="31"/>
      <c r="AF10" s="31"/>
      <c r="AG10" s="31"/>
      <c r="AH10" s="31"/>
      <c r="AI10" s="31"/>
      <c r="AJ10" s="31"/>
      <c r="AK10" s="31"/>
      <c r="AL10" s="31"/>
      <c r="AM10" s="31"/>
      <c r="AN10" s="31"/>
      <c r="AO10" s="31"/>
      <c r="AP10" s="31"/>
      <c r="AQ10" s="31"/>
      <c r="AR10" s="31"/>
      <c r="AS10" s="31"/>
      <c r="AT10" s="31"/>
    </row>
    <row r="11" spans="1:46" s="1" customFormat="1">
      <c r="A11" s="31"/>
      <c r="B11" s="1814"/>
      <c r="C11" s="448"/>
      <c r="D11" s="444" t="s">
        <v>1527</v>
      </c>
      <c r="E11" s="312">
        <v>42268</v>
      </c>
      <c r="F11" s="292" t="s">
        <v>992</v>
      </c>
      <c r="G11" s="33"/>
      <c r="H11" s="33"/>
      <c r="I11" s="33"/>
      <c r="J11" s="31"/>
      <c r="K11" s="31"/>
      <c r="L11" s="31"/>
      <c r="M11" s="31"/>
      <c r="N11" s="31"/>
      <c r="O11" s="31"/>
      <c r="P11" s="31"/>
      <c r="Q11" s="15"/>
      <c r="R11" s="31"/>
      <c r="S11" s="31"/>
      <c r="T11" s="31"/>
      <c r="U11" s="31"/>
      <c r="V11" s="26"/>
      <c r="W11" s="26"/>
      <c r="X11" s="26"/>
      <c r="Y11" s="26"/>
      <c r="Z11" s="26"/>
      <c r="AA11" s="31"/>
      <c r="AB11" s="31"/>
      <c r="AC11" s="31"/>
      <c r="AD11" s="31"/>
      <c r="AE11" s="31"/>
      <c r="AF11" s="31"/>
      <c r="AG11" s="31"/>
      <c r="AH11" s="31"/>
      <c r="AI11" s="31"/>
      <c r="AJ11" s="31"/>
      <c r="AK11" s="31"/>
      <c r="AL11" s="31"/>
      <c r="AM11" s="31"/>
      <c r="AN11" s="31"/>
      <c r="AO11" s="31"/>
      <c r="AP11" s="31"/>
      <c r="AQ11" s="31"/>
      <c r="AR11" s="31"/>
      <c r="AS11" s="31"/>
      <c r="AT11" s="31"/>
    </row>
    <row r="12" spans="1:46" s="1" customFormat="1">
      <c r="A12" s="31"/>
      <c r="B12" s="1813"/>
      <c r="C12" s="447" t="s">
        <v>1008</v>
      </c>
      <c r="D12" s="302" t="s">
        <v>1009</v>
      </c>
      <c r="E12" s="312">
        <v>42268</v>
      </c>
      <c r="F12" s="292" t="s">
        <v>992</v>
      </c>
      <c r="G12" s="33"/>
      <c r="H12" s="33"/>
      <c r="I12" s="33"/>
      <c r="J12" s="31"/>
      <c r="K12" s="31"/>
      <c r="L12" s="31"/>
      <c r="M12" s="31"/>
      <c r="N12" s="31"/>
      <c r="O12" s="31"/>
      <c r="P12" s="31"/>
      <c r="Q12" s="15"/>
      <c r="R12" s="31"/>
      <c r="S12" s="31"/>
      <c r="T12" s="31"/>
      <c r="U12" s="31"/>
      <c r="V12" s="26"/>
      <c r="W12" s="26"/>
      <c r="X12" s="26"/>
      <c r="Y12" s="26"/>
      <c r="Z12" s="26"/>
      <c r="AA12" s="31"/>
      <c r="AB12" s="31"/>
      <c r="AC12" s="31"/>
      <c r="AD12" s="31"/>
      <c r="AE12" s="31"/>
      <c r="AF12" s="31"/>
      <c r="AG12" s="31"/>
      <c r="AH12" s="31"/>
      <c r="AI12" s="31"/>
      <c r="AJ12" s="31"/>
      <c r="AK12" s="31"/>
      <c r="AL12" s="31"/>
      <c r="AM12" s="31"/>
      <c r="AN12" s="31"/>
      <c r="AO12" s="31"/>
      <c r="AP12" s="31"/>
      <c r="AQ12" s="31"/>
      <c r="AR12" s="31"/>
      <c r="AS12" s="31"/>
      <c r="AT12" s="31"/>
    </row>
    <row r="13" spans="1:46" s="1" customFormat="1">
      <c r="A13" s="31"/>
      <c r="B13" s="1814"/>
      <c r="C13" s="445" t="s">
        <v>1526</v>
      </c>
      <c r="D13" s="444" t="s">
        <v>1545</v>
      </c>
      <c r="E13" s="312">
        <v>42293</v>
      </c>
      <c r="F13" s="292" t="s">
        <v>992</v>
      </c>
      <c r="G13" s="33"/>
      <c r="H13" s="33"/>
      <c r="I13" s="33"/>
      <c r="J13" s="31"/>
      <c r="K13" s="31"/>
      <c r="L13" s="31"/>
      <c r="M13" s="31"/>
      <c r="N13" s="31"/>
      <c r="O13" s="31"/>
      <c r="P13" s="31"/>
      <c r="Q13" s="15"/>
      <c r="R13" s="31"/>
      <c r="S13" s="31"/>
      <c r="T13" s="31"/>
      <c r="U13" s="31"/>
      <c r="V13" s="26"/>
      <c r="W13" s="26"/>
      <c r="X13" s="26"/>
      <c r="Y13" s="26"/>
      <c r="Z13" s="26"/>
      <c r="AA13" s="31"/>
      <c r="AB13" s="31"/>
      <c r="AC13" s="31"/>
      <c r="AD13" s="31"/>
      <c r="AE13" s="31"/>
      <c r="AF13" s="31"/>
      <c r="AG13" s="31"/>
      <c r="AH13" s="31"/>
      <c r="AI13" s="31"/>
      <c r="AJ13" s="31"/>
      <c r="AK13" s="31"/>
      <c r="AL13" s="31"/>
      <c r="AM13" s="31"/>
      <c r="AN13" s="31"/>
      <c r="AO13" s="31"/>
      <c r="AP13" s="31"/>
      <c r="AQ13" s="31"/>
      <c r="AR13" s="31"/>
      <c r="AS13" s="31"/>
      <c r="AT13" s="31"/>
    </row>
    <row r="14" spans="1:46" s="1" customFormat="1">
      <c r="A14" s="31"/>
      <c r="B14" s="1814"/>
      <c r="C14" s="447"/>
      <c r="D14" s="444" t="s">
        <v>1546</v>
      </c>
      <c r="E14" s="312">
        <v>42293</v>
      </c>
      <c r="F14" s="292" t="s">
        <v>992</v>
      </c>
      <c r="G14" s="33"/>
      <c r="H14" s="33"/>
      <c r="I14" s="33"/>
      <c r="J14" s="31"/>
      <c r="K14" s="31"/>
      <c r="L14" s="31"/>
      <c r="M14" s="31"/>
      <c r="N14" s="31"/>
      <c r="O14" s="31"/>
      <c r="P14" s="31"/>
      <c r="Q14" s="15"/>
      <c r="R14" s="31"/>
      <c r="S14" s="31"/>
      <c r="T14" s="31"/>
      <c r="U14" s="31"/>
      <c r="V14" s="26"/>
      <c r="W14" s="26"/>
      <c r="X14" s="26"/>
      <c r="Y14" s="26"/>
      <c r="Z14" s="26"/>
      <c r="AA14" s="31"/>
      <c r="AB14" s="31"/>
      <c r="AC14" s="31"/>
      <c r="AD14" s="31"/>
      <c r="AE14" s="31"/>
      <c r="AF14" s="31"/>
      <c r="AG14" s="31"/>
      <c r="AH14" s="31"/>
      <c r="AI14" s="31"/>
      <c r="AJ14" s="31"/>
      <c r="AK14" s="31"/>
      <c r="AL14" s="31"/>
      <c r="AM14" s="31"/>
      <c r="AN14" s="31"/>
      <c r="AO14" s="31"/>
      <c r="AP14" s="31"/>
      <c r="AQ14" s="31"/>
      <c r="AR14" s="31"/>
      <c r="AS14" s="31"/>
      <c r="AT14" s="31"/>
    </row>
    <row r="15" spans="1:46" s="1" customFormat="1">
      <c r="A15" s="31"/>
      <c r="B15" s="1814"/>
      <c r="C15" s="447"/>
      <c r="D15" s="444" t="s">
        <v>1547</v>
      </c>
      <c r="E15" s="312">
        <v>42293</v>
      </c>
      <c r="F15" s="292" t="s">
        <v>992</v>
      </c>
      <c r="G15" s="33"/>
      <c r="H15" s="33"/>
      <c r="I15" s="33"/>
      <c r="J15" s="31"/>
      <c r="K15" s="31"/>
      <c r="L15" s="31"/>
      <c r="M15" s="31"/>
      <c r="N15" s="31"/>
      <c r="O15" s="31"/>
      <c r="P15" s="31"/>
      <c r="Q15" s="15"/>
      <c r="R15" s="31"/>
      <c r="S15" s="31"/>
      <c r="T15" s="31"/>
      <c r="U15" s="31"/>
      <c r="V15" s="26"/>
      <c r="W15" s="26"/>
      <c r="X15" s="26"/>
      <c r="Y15" s="26"/>
      <c r="Z15" s="26"/>
      <c r="AA15" s="31"/>
      <c r="AB15" s="31"/>
      <c r="AC15" s="31"/>
      <c r="AD15" s="31"/>
      <c r="AE15" s="31"/>
      <c r="AF15" s="31"/>
      <c r="AG15" s="31"/>
      <c r="AH15" s="31"/>
      <c r="AI15" s="31"/>
      <c r="AJ15" s="31"/>
      <c r="AK15" s="31"/>
      <c r="AL15" s="31"/>
      <c r="AM15" s="31"/>
      <c r="AN15" s="31"/>
      <c r="AO15" s="31"/>
      <c r="AP15" s="31"/>
      <c r="AQ15" s="31"/>
      <c r="AR15" s="31"/>
      <c r="AS15" s="31"/>
      <c r="AT15" s="31"/>
    </row>
    <row r="16" spans="1:46" s="1" customFormat="1">
      <c r="A16" s="31"/>
      <c r="B16" s="1814"/>
      <c r="C16" s="447"/>
      <c r="D16" s="444" t="s">
        <v>1548</v>
      </c>
      <c r="E16" s="291" t="s">
        <v>993</v>
      </c>
      <c r="F16" s="292"/>
      <c r="G16" s="33"/>
      <c r="H16" s="33"/>
      <c r="I16" s="33"/>
      <c r="J16" s="31"/>
      <c r="K16" s="31"/>
      <c r="L16" s="31"/>
      <c r="M16" s="31"/>
      <c r="N16" s="31"/>
      <c r="O16" s="31"/>
      <c r="P16" s="31"/>
      <c r="Q16" s="15"/>
      <c r="R16" s="31"/>
      <c r="S16" s="31"/>
      <c r="T16" s="31"/>
      <c r="U16" s="31"/>
      <c r="V16" s="26"/>
      <c r="W16" s="26"/>
      <c r="X16" s="26"/>
      <c r="Y16" s="26"/>
      <c r="Z16" s="26"/>
      <c r="AA16" s="31"/>
      <c r="AB16" s="31"/>
      <c r="AC16" s="31"/>
      <c r="AD16" s="31"/>
      <c r="AE16" s="31"/>
      <c r="AF16" s="31"/>
      <c r="AG16" s="31"/>
      <c r="AH16" s="31"/>
      <c r="AI16" s="31"/>
      <c r="AJ16" s="31"/>
      <c r="AK16" s="31"/>
      <c r="AL16" s="31"/>
      <c r="AM16" s="31"/>
      <c r="AN16" s="31"/>
      <c r="AO16" s="31"/>
      <c r="AP16" s="31"/>
      <c r="AQ16" s="31"/>
      <c r="AR16" s="31"/>
      <c r="AS16" s="31"/>
      <c r="AT16" s="31"/>
    </row>
    <row r="17" spans="1:46" s="1" customFormat="1">
      <c r="A17" s="31"/>
      <c r="B17" s="1814"/>
      <c r="C17" s="446"/>
      <c r="D17" s="444" t="s">
        <v>1549</v>
      </c>
      <c r="E17" s="291" t="s">
        <v>993</v>
      </c>
      <c r="F17" s="292"/>
      <c r="G17" s="33"/>
      <c r="H17" s="33"/>
      <c r="I17" s="33"/>
      <c r="J17" s="31"/>
      <c r="K17" s="31"/>
      <c r="L17" s="31"/>
      <c r="M17" s="31"/>
      <c r="N17" s="31"/>
      <c r="O17" s="31"/>
      <c r="P17" s="31"/>
      <c r="Q17" s="15"/>
      <c r="R17" s="31"/>
      <c r="S17" s="31"/>
      <c r="T17" s="31"/>
      <c r="U17" s="31"/>
      <c r="V17" s="26"/>
      <c r="W17" s="26"/>
      <c r="X17" s="26"/>
      <c r="Y17" s="26"/>
      <c r="Z17" s="26"/>
      <c r="AA17" s="31"/>
      <c r="AB17" s="31"/>
      <c r="AC17" s="31"/>
      <c r="AD17" s="31"/>
      <c r="AE17" s="31"/>
      <c r="AF17" s="31"/>
      <c r="AG17" s="31"/>
      <c r="AH17" s="31"/>
      <c r="AI17" s="31"/>
      <c r="AJ17" s="31"/>
      <c r="AK17" s="31"/>
      <c r="AL17" s="31"/>
      <c r="AM17" s="31"/>
      <c r="AN17" s="31"/>
      <c r="AO17" s="31"/>
      <c r="AP17" s="31"/>
      <c r="AQ17" s="31"/>
      <c r="AR17" s="31"/>
      <c r="AS17" s="31"/>
      <c r="AT17" s="31"/>
    </row>
    <row r="18" spans="1:46" s="1" customFormat="1" ht="28">
      <c r="A18" s="31"/>
      <c r="B18" s="1814"/>
      <c r="C18" s="446" t="s">
        <v>1535</v>
      </c>
      <c r="D18" s="444" t="s">
        <v>1550</v>
      </c>
      <c r="E18" s="312">
        <v>42331</v>
      </c>
      <c r="F18" s="292" t="s">
        <v>992</v>
      </c>
      <c r="G18" s="33"/>
      <c r="H18" s="33"/>
      <c r="I18" s="33"/>
      <c r="J18" s="31"/>
      <c r="K18" s="31"/>
      <c r="L18" s="31"/>
      <c r="M18" s="31"/>
      <c r="N18" s="31"/>
      <c r="O18" s="31"/>
      <c r="P18" s="31"/>
      <c r="Q18" s="15"/>
      <c r="R18" s="31"/>
      <c r="S18" s="31"/>
      <c r="T18" s="31"/>
      <c r="U18" s="31"/>
      <c r="V18" s="26"/>
      <c r="W18" s="26"/>
      <c r="X18" s="26"/>
      <c r="Y18" s="26"/>
      <c r="Z18" s="26"/>
      <c r="AA18" s="31"/>
      <c r="AB18" s="31"/>
      <c r="AC18" s="31"/>
      <c r="AD18" s="31"/>
      <c r="AE18" s="31"/>
      <c r="AF18" s="31"/>
      <c r="AG18" s="31"/>
      <c r="AH18" s="31"/>
      <c r="AI18" s="31"/>
      <c r="AJ18" s="31"/>
      <c r="AK18" s="31"/>
      <c r="AL18" s="31"/>
      <c r="AM18" s="31"/>
      <c r="AN18" s="31"/>
      <c r="AO18" s="31"/>
      <c r="AP18" s="31"/>
      <c r="AQ18" s="31"/>
      <c r="AR18" s="31"/>
      <c r="AS18" s="31"/>
      <c r="AT18" s="31"/>
    </row>
    <row r="19" spans="1:46" s="1" customFormat="1">
      <c r="A19" s="31"/>
      <c r="B19" s="1814"/>
      <c r="C19" s="453" t="s">
        <v>1553</v>
      </c>
      <c r="D19" s="310" t="s">
        <v>1554</v>
      </c>
      <c r="E19" s="291" t="s">
        <v>993</v>
      </c>
      <c r="F19" s="311"/>
      <c r="G19" s="33"/>
      <c r="H19" s="33"/>
      <c r="I19" s="33"/>
      <c r="J19" s="31"/>
      <c r="K19" s="31"/>
      <c r="L19" s="31"/>
      <c r="M19" s="31"/>
      <c r="N19" s="31"/>
      <c r="O19" s="31"/>
      <c r="P19" s="31"/>
      <c r="Q19" s="15"/>
      <c r="R19" s="31"/>
      <c r="S19" s="31"/>
      <c r="T19" s="31"/>
      <c r="U19" s="31"/>
      <c r="V19" s="26"/>
      <c r="W19" s="26"/>
      <c r="X19" s="26"/>
      <c r="Y19" s="26"/>
      <c r="Z19" s="26"/>
      <c r="AA19" s="31"/>
      <c r="AB19" s="31"/>
      <c r="AC19" s="31"/>
      <c r="AD19" s="31"/>
      <c r="AE19" s="31"/>
      <c r="AF19" s="31"/>
      <c r="AG19" s="31"/>
      <c r="AH19" s="31"/>
      <c r="AI19" s="31"/>
      <c r="AJ19" s="31"/>
      <c r="AK19" s="31"/>
      <c r="AL19" s="31"/>
      <c r="AM19" s="31"/>
      <c r="AN19" s="31"/>
      <c r="AO19" s="31"/>
      <c r="AP19" s="31"/>
      <c r="AQ19" s="31"/>
      <c r="AR19" s="31"/>
      <c r="AS19" s="31"/>
      <c r="AT19" s="31"/>
    </row>
    <row r="20" spans="1:46" s="1" customFormat="1">
      <c r="A20" s="31"/>
      <c r="B20" s="1814"/>
      <c r="C20" s="310" t="s">
        <v>1544</v>
      </c>
      <c r="D20" s="444" t="s">
        <v>1551</v>
      </c>
      <c r="E20" s="312">
        <v>42331</v>
      </c>
      <c r="F20" s="292" t="s">
        <v>992</v>
      </c>
      <c r="G20" s="33"/>
      <c r="H20" s="33"/>
      <c r="I20" s="33"/>
      <c r="J20" s="31"/>
      <c r="K20" s="31"/>
      <c r="L20" s="31"/>
      <c r="M20" s="31"/>
      <c r="N20" s="31"/>
      <c r="O20" s="31"/>
      <c r="P20" s="31"/>
      <c r="Q20" s="15"/>
      <c r="R20" s="31"/>
      <c r="S20" s="31"/>
      <c r="T20" s="31"/>
      <c r="U20" s="31"/>
      <c r="V20" s="26"/>
      <c r="W20" s="26"/>
      <c r="X20" s="26"/>
      <c r="Y20" s="26"/>
      <c r="Z20" s="26"/>
      <c r="AA20" s="31"/>
      <c r="AB20" s="31"/>
      <c r="AC20" s="31"/>
      <c r="AD20" s="31"/>
      <c r="AE20" s="31"/>
      <c r="AF20" s="31"/>
      <c r="AG20" s="31"/>
      <c r="AH20" s="31"/>
      <c r="AI20" s="31"/>
      <c r="AJ20" s="31"/>
      <c r="AK20" s="31"/>
      <c r="AL20" s="31"/>
      <c r="AM20" s="31"/>
      <c r="AN20" s="31"/>
      <c r="AO20" s="31"/>
      <c r="AP20" s="31"/>
      <c r="AQ20" s="31"/>
      <c r="AR20" s="31"/>
      <c r="AS20" s="31"/>
      <c r="AT20" s="31"/>
    </row>
    <row r="21" spans="1:46" s="1" customFormat="1" ht="28">
      <c r="A21" s="31"/>
      <c r="B21" s="1814"/>
      <c r="C21" s="446"/>
      <c r="D21" s="444" t="s">
        <v>1552</v>
      </c>
      <c r="E21" s="291" t="s">
        <v>993</v>
      </c>
      <c r="F21" s="292"/>
      <c r="G21" s="33"/>
      <c r="H21" s="33"/>
      <c r="I21" s="33"/>
      <c r="J21" s="31"/>
      <c r="K21" s="31"/>
      <c r="L21" s="31"/>
      <c r="M21" s="31"/>
      <c r="N21" s="31"/>
      <c r="O21" s="31"/>
      <c r="P21" s="31"/>
      <c r="Q21" s="15"/>
      <c r="R21" s="31"/>
      <c r="S21" s="31"/>
      <c r="T21" s="31"/>
      <c r="U21" s="31"/>
      <c r="V21" s="26"/>
      <c r="W21" s="26"/>
      <c r="X21" s="26"/>
      <c r="Y21" s="26"/>
      <c r="Z21" s="26"/>
      <c r="AA21" s="31"/>
      <c r="AB21" s="31"/>
      <c r="AC21" s="31"/>
      <c r="AD21" s="31"/>
      <c r="AE21" s="31"/>
      <c r="AF21" s="31"/>
      <c r="AG21" s="31"/>
      <c r="AH21" s="31"/>
      <c r="AI21" s="31"/>
      <c r="AJ21" s="31"/>
      <c r="AK21" s="31"/>
      <c r="AL21" s="31"/>
      <c r="AM21" s="31"/>
      <c r="AN21" s="31"/>
      <c r="AO21" s="31"/>
      <c r="AP21" s="31"/>
      <c r="AQ21" s="31"/>
      <c r="AR21" s="31"/>
      <c r="AS21" s="31"/>
      <c r="AT21" s="31"/>
    </row>
    <row r="22" spans="1:46" s="1" customFormat="1" ht="15" customHeight="1">
      <c r="A22" s="31"/>
      <c r="B22" s="1813"/>
      <c r="C22" s="446" t="s">
        <v>1010</v>
      </c>
      <c r="D22" s="300" t="s">
        <v>1022</v>
      </c>
      <c r="E22" s="312">
        <v>42268</v>
      </c>
      <c r="F22" s="292" t="s">
        <v>992</v>
      </c>
      <c r="G22" s="33"/>
      <c r="H22" s="33"/>
      <c r="I22" s="33"/>
      <c r="J22" s="31"/>
      <c r="K22" s="31"/>
      <c r="L22" s="31"/>
      <c r="M22" s="31"/>
      <c r="N22" s="31"/>
      <c r="O22" s="31"/>
      <c r="P22" s="31"/>
      <c r="Q22" s="15"/>
      <c r="R22" s="31"/>
      <c r="S22" s="31"/>
      <c r="T22" s="31"/>
      <c r="U22" s="31"/>
      <c r="V22" s="26"/>
      <c r="W22" s="26"/>
      <c r="X22" s="26"/>
      <c r="Y22" s="26"/>
      <c r="Z22" s="26"/>
      <c r="AA22" s="31"/>
      <c r="AB22" s="31"/>
      <c r="AC22" s="31"/>
      <c r="AD22" s="31"/>
      <c r="AE22" s="31"/>
      <c r="AF22" s="31"/>
      <c r="AG22" s="31"/>
      <c r="AH22" s="31"/>
      <c r="AI22" s="31"/>
      <c r="AJ22" s="31"/>
      <c r="AK22" s="31"/>
      <c r="AL22" s="31"/>
      <c r="AM22" s="31"/>
      <c r="AN22" s="31"/>
      <c r="AO22" s="31"/>
      <c r="AP22" s="31"/>
      <c r="AQ22" s="31"/>
      <c r="AR22" s="31"/>
      <c r="AS22" s="31"/>
      <c r="AT22" s="31"/>
    </row>
    <row r="23" spans="1:46" s="1" customFormat="1" ht="15" customHeight="1">
      <c r="A23" s="31"/>
      <c r="B23" s="1815"/>
      <c r="C23" s="310" t="s">
        <v>1536</v>
      </c>
      <c r="D23" s="310" t="s">
        <v>1537</v>
      </c>
      <c r="E23" s="291" t="s">
        <v>993</v>
      </c>
      <c r="F23" s="311"/>
      <c r="G23" s="33"/>
      <c r="H23" s="33"/>
      <c r="I23" s="33"/>
      <c r="J23" s="31"/>
      <c r="K23" s="31"/>
      <c r="L23" s="31"/>
      <c r="M23" s="31"/>
      <c r="N23" s="31"/>
      <c r="O23" s="31"/>
      <c r="P23" s="31"/>
      <c r="Q23" s="15"/>
      <c r="R23" s="31"/>
      <c r="S23" s="31"/>
      <c r="T23" s="31"/>
      <c r="U23" s="31"/>
      <c r="V23" s="26"/>
      <c r="W23" s="26"/>
      <c r="X23" s="26"/>
      <c r="Y23" s="26"/>
      <c r="Z23" s="26"/>
      <c r="AA23" s="31"/>
      <c r="AB23" s="31"/>
      <c r="AC23" s="31"/>
      <c r="AD23" s="31"/>
      <c r="AE23" s="31"/>
      <c r="AF23" s="31"/>
      <c r="AG23" s="31"/>
      <c r="AH23" s="31"/>
      <c r="AI23" s="31"/>
      <c r="AJ23" s="31"/>
      <c r="AK23" s="31"/>
      <c r="AL23" s="31"/>
      <c r="AM23" s="31"/>
      <c r="AN23" s="31"/>
      <c r="AO23" s="31"/>
      <c r="AP23" s="31"/>
      <c r="AQ23" s="31"/>
      <c r="AR23" s="31"/>
      <c r="AS23" s="31"/>
      <c r="AT23" s="31"/>
    </row>
    <row r="24" spans="1:46" s="1" customFormat="1" ht="15" customHeight="1" thickBot="1">
      <c r="A24" s="31"/>
      <c r="B24" s="299"/>
      <c r="C24" s="301"/>
      <c r="D24" s="301"/>
      <c r="E24" s="296"/>
      <c r="F24" s="297"/>
      <c r="G24" s="33"/>
      <c r="H24" s="33"/>
      <c r="I24" s="33"/>
      <c r="J24" s="31"/>
      <c r="K24" s="31"/>
      <c r="L24" s="31"/>
      <c r="M24" s="31"/>
      <c r="N24" s="31"/>
      <c r="O24" s="31"/>
      <c r="P24" s="31"/>
      <c r="Q24" s="15"/>
      <c r="R24" s="31"/>
      <c r="S24" s="31"/>
      <c r="T24" s="31"/>
      <c r="U24" s="31"/>
      <c r="V24" s="26"/>
      <c r="W24" s="26"/>
      <c r="X24" s="26"/>
      <c r="Y24" s="26"/>
      <c r="Z24" s="26"/>
      <c r="AA24" s="31"/>
      <c r="AB24" s="31"/>
      <c r="AC24" s="31"/>
      <c r="AD24" s="31"/>
      <c r="AE24" s="31"/>
      <c r="AF24" s="31"/>
      <c r="AG24" s="31"/>
      <c r="AH24" s="31"/>
      <c r="AI24" s="31"/>
      <c r="AJ24" s="31"/>
      <c r="AK24" s="31"/>
      <c r="AL24" s="31"/>
      <c r="AM24" s="31"/>
      <c r="AN24" s="31"/>
      <c r="AO24" s="31"/>
      <c r="AP24" s="31"/>
      <c r="AQ24" s="31"/>
      <c r="AR24" s="31"/>
      <c r="AS24" s="31"/>
      <c r="AT24" s="31"/>
    </row>
    <row r="25" spans="1:46">
      <c r="G25" s="33"/>
      <c r="H25" s="33"/>
      <c r="I25" s="33"/>
      <c r="J25" s="31"/>
      <c r="K25" s="31"/>
      <c r="L25" s="31"/>
    </row>
    <row r="26" spans="1:46">
      <c r="G26" s="33"/>
      <c r="H26" s="33"/>
      <c r="I26" s="33"/>
      <c r="J26" s="31"/>
      <c r="K26" s="31"/>
      <c r="L26" s="31"/>
    </row>
    <row r="27" spans="1:46">
      <c r="G27" s="33"/>
      <c r="H27" s="33"/>
      <c r="I27" s="33"/>
      <c r="J27" s="31"/>
      <c r="K27" s="31"/>
      <c r="L27" s="31"/>
    </row>
    <row r="28" spans="1:46">
      <c r="G28" s="33"/>
      <c r="H28" s="33"/>
      <c r="I28" s="33"/>
      <c r="J28" s="31"/>
      <c r="K28" s="31"/>
      <c r="L28" s="31"/>
    </row>
    <row r="29" spans="1:46">
      <c r="G29" s="33"/>
      <c r="H29" s="33"/>
      <c r="I29" s="33"/>
      <c r="J29" s="31"/>
      <c r="K29" s="31"/>
      <c r="L29" s="31"/>
    </row>
    <row r="30" spans="1:46">
      <c r="G30" s="33"/>
      <c r="H30" s="33"/>
      <c r="I30" s="33"/>
      <c r="J30" s="31"/>
      <c r="K30" s="31"/>
      <c r="L30" s="31"/>
    </row>
    <row r="31" spans="1:46">
      <c r="G31" s="33"/>
      <c r="H31" s="33"/>
      <c r="I31" s="33"/>
      <c r="J31" s="31"/>
      <c r="K31" s="31"/>
      <c r="L31" s="31"/>
    </row>
    <row r="32" spans="1:46">
      <c r="G32" s="33"/>
      <c r="H32" s="33"/>
      <c r="I32" s="33"/>
      <c r="J32" s="31"/>
      <c r="K32" s="31"/>
      <c r="L32" s="31"/>
    </row>
    <row r="33" spans="7:12">
      <c r="G33" s="33"/>
      <c r="H33" s="33"/>
      <c r="I33" s="33"/>
      <c r="J33" s="31"/>
      <c r="K33" s="31"/>
      <c r="L33" s="31"/>
    </row>
    <row r="34" spans="7:12">
      <c r="G34" s="33"/>
      <c r="H34" s="33"/>
      <c r="I34" s="33"/>
      <c r="J34" s="31"/>
      <c r="K34" s="31"/>
      <c r="L34" s="31"/>
    </row>
    <row r="35" spans="7:12">
      <c r="G35" s="33"/>
      <c r="H35" s="33"/>
      <c r="I35" s="33"/>
      <c r="J35" s="31"/>
      <c r="K35" s="31"/>
      <c r="L35" s="31"/>
    </row>
    <row r="36" spans="7:12">
      <c r="G36" s="33"/>
      <c r="H36" s="33"/>
      <c r="I36" s="33"/>
      <c r="J36" s="31"/>
      <c r="K36" s="31"/>
      <c r="L36" s="31"/>
    </row>
    <row r="37" spans="7:12">
      <c r="G37" s="33"/>
      <c r="H37" s="33"/>
      <c r="I37" s="33"/>
      <c r="J37" s="31"/>
      <c r="K37" s="31"/>
      <c r="L37" s="31"/>
    </row>
    <row r="38" spans="7:12">
      <c r="G38" s="33"/>
      <c r="H38" s="33"/>
      <c r="I38" s="33"/>
      <c r="J38" s="31"/>
      <c r="K38" s="31"/>
      <c r="L38" s="31"/>
    </row>
    <row r="39" spans="7:12">
      <c r="G39" s="33"/>
      <c r="H39" s="33"/>
      <c r="I39" s="33"/>
      <c r="J39" s="31"/>
      <c r="K39" s="31"/>
      <c r="L39" s="31"/>
    </row>
    <row r="40" spans="7:12">
      <c r="G40" s="33"/>
      <c r="H40" s="33"/>
      <c r="I40" s="33"/>
      <c r="J40" s="31"/>
      <c r="K40" s="31"/>
      <c r="L40" s="31"/>
    </row>
    <row r="41" spans="7:12">
      <c r="G41" s="33"/>
      <c r="H41" s="33"/>
      <c r="I41" s="33"/>
      <c r="J41" s="31"/>
      <c r="K41" s="31"/>
      <c r="L41" s="31"/>
    </row>
    <row r="42" spans="7:12">
      <c r="G42" s="33"/>
      <c r="H42" s="33"/>
      <c r="I42" s="33"/>
      <c r="J42" s="31"/>
      <c r="K42" s="31"/>
      <c r="L42" s="31"/>
    </row>
    <row r="43" spans="7:12">
      <c r="G43" s="33"/>
      <c r="H43" s="33"/>
      <c r="I43" s="33"/>
      <c r="J43" s="31"/>
      <c r="K43" s="31"/>
      <c r="L43" s="31"/>
    </row>
    <row r="44" spans="7:12">
      <c r="G44" s="33"/>
      <c r="H44" s="33"/>
      <c r="I44" s="33"/>
      <c r="J44" s="31"/>
      <c r="K44" s="31"/>
      <c r="L44" s="31"/>
    </row>
    <row r="45" spans="7:12">
      <c r="G45" s="33"/>
      <c r="H45" s="33"/>
      <c r="I45" s="33"/>
      <c r="J45" s="31"/>
      <c r="K45" s="31"/>
      <c r="L45" s="31"/>
    </row>
    <row r="46" spans="7:12">
      <c r="G46" s="33"/>
      <c r="H46" s="33"/>
      <c r="I46" s="33"/>
      <c r="J46" s="31"/>
      <c r="K46" s="31"/>
      <c r="L46" s="31"/>
    </row>
    <row r="47" spans="7:12">
      <c r="G47" s="33"/>
      <c r="H47" s="33"/>
      <c r="I47" s="33"/>
      <c r="J47" s="31"/>
      <c r="K47" s="31"/>
      <c r="L47" s="31"/>
    </row>
  </sheetData>
  <mergeCells count="1">
    <mergeCell ref="B8:B23"/>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47"/>
  <sheetViews>
    <sheetView showRowColHeaders="0" tabSelected="1" workbookViewId="0"/>
  </sheetViews>
  <sheetFormatPr baseColWidth="10" defaultColWidth="0" defaultRowHeight="15" zeroHeight="1" x14ac:dyDescent="0"/>
  <cols>
    <col min="1" max="1" width="4.83203125" customWidth="1"/>
    <col min="2" max="15" width="12.83203125" customWidth="1"/>
    <col min="16" max="16" width="4.83203125" customWidth="1"/>
    <col min="17" max="16384" width="4.83203125" hidden="1"/>
  </cols>
  <sheetData>
    <row r="1" spans="1:16">
      <c r="A1" s="498"/>
      <c r="B1" s="498"/>
      <c r="C1" s="498"/>
      <c r="D1" s="498"/>
      <c r="E1" s="498"/>
      <c r="F1" s="498"/>
      <c r="G1" s="498"/>
      <c r="H1" s="498"/>
      <c r="I1" s="498"/>
      <c r="J1" s="498"/>
      <c r="K1" s="498"/>
      <c r="L1" s="498"/>
      <c r="M1" s="498"/>
      <c r="N1" s="498"/>
      <c r="O1" s="498"/>
      <c r="P1" s="499"/>
    </row>
    <row r="2" spans="1:16" ht="31" customHeight="1">
      <c r="A2" s="498"/>
      <c r="B2" s="1817" t="s">
        <v>1965</v>
      </c>
      <c r="C2" s="1819"/>
      <c r="D2" s="1816" t="s">
        <v>2538</v>
      </c>
      <c r="E2" s="1816"/>
      <c r="F2" s="1816"/>
      <c r="G2" s="1816"/>
      <c r="H2" s="1816"/>
      <c r="I2" s="1816"/>
      <c r="J2" s="1816"/>
      <c r="K2" s="1816"/>
      <c r="L2" s="1816"/>
      <c r="M2" s="1816"/>
      <c r="N2" s="494"/>
      <c r="O2" s="494"/>
      <c r="P2" s="494"/>
    </row>
    <row r="3" spans="1:16" ht="31" customHeight="1">
      <c r="A3" s="498"/>
      <c r="B3" s="1818"/>
      <c r="C3" s="1820"/>
      <c r="D3" s="1816"/>
      <c r="E3" s="1816"/>
      <c r="F3" s="1816"/>
      <c r="G3" s="1816"/>
      <c r="H3" s="1816"/>
      <c r="I3" s="1816"/>
      <c r="J3" s="1816"/>
      <c r="K3" s="1816"/>
      <c r="L3" s="1816"/>
      <c r="M3" s="1816"/>
      <c r="N3" s="494"/>
      <c r="O3" s="494"/>
      <c r="P3" s="494"/>
    </row>
    <row r="4" spans="1:16" ht="20">
      <c r="A4" s="498"/>
      <c r="B4" s="492"/>
      <c r="C4" s="495"/>
      <c r="D4" s="497"/>
      <c r="E4" s="497"/>
      <c r="F4" s="497"/>
      <c r="G4" s="497"/>
      <c r="H4" s="497"/>
      <c r="I4" s="497"/>
      <c r="J4" s="496"/>
      <c r="K4" s="496"/>
      <c r="L4" s="496"/>
      <c r="M4" s="496"/>
      <c r="N4" s="496"/>
      <c r="O4" s="496"/>
      <c r="P4" s="494"/>
    </row>
    <row r="5" spans="1:16" s="15" customFormat="1">
      <c r="A5" s="498"/>
      <c r="P5" s="498"/>
    </row>
    <row r="6" spans="1:16" s="15" customFormat="1">
      <c r="A6" s="498"/>
      <c r="P6" s="498"/>
    </row>
    <row r="7" spans="1:16" s="15" customFormat="1">
      <c r="A7" s="498"/>
      <c r="P7" s="498"/>
    </row>
    <row r="8" spans="1:16" s="15" customFormat="1">
      <c r="A8" s="498"/>
      <c r="P8" s="498"/>
    </row>
    <row r="9" spans="1:16" s="15" customFormat="1">
      <c r="A9" s="498"/>
      <c r="P9" s="498"/>
    </row>
    <row r="10" spans="1:16" s="15" customFormat="1">
      <c r="A10" s="498"/>
      <c r="P10" s="498"/>
    </row>
    <row r="11" spans="1:16" s="15" customFormat="1">
      <c r="A11" s="498"/>
      <c r="P11" s="498"/>
    </row>
    <row r="12" spans="1:16" s="15" customFormat="1">
      <c r="A12" s="498"/>
      <c r="P12" s="498"/>
    </row>
    <row r="13" spans="1:16" s="15" customFormat="1" ht="16" customHeight="1">
      <c r="A13" s="498"/>
      <c r="P13" s="498"/>
    </row>
    <row r="14" spans="1:16" s="15" customFormat="1" ht="15" customHeight="1">
      <c r="A14" s="498"/>
      <c r="E14" s="1821" t="s">
        <v>1965</v>
      </c>
      <c r="F14" s="1822"/>
      <c r="G14" s="1823"/>
      <c r="H14" s="486"/>
      <c r="I14" s="487"/>
      <c r="J14" s="487"/>
      <c r="K14" s="487"/>
      <c r="L14" s="488"/>
      <c r="P14" s="498"/>
    </row>
    <row r="15" spans="1:16" s="15" customFormat="1" ht="15" customHeight="1">
      <c r="A15" s="498"/>
      <c r="E15" s="1824"/>
      <c r="F15" s="1825"/>
      <c r="G15" s="1826"/>
      <c r="H15" s="489"/>
      <c r="I15" s="22"/>
      <c r="J15" s="22"/>
      <c r="K15" s="22"/>
      <c r="L15" s="483"/>
      <c r="P15" s="498"/>
    </row>
    <row r="16" spans="1:16" s="15" customFormat="1" ht="15" customHeight="1">
      <c r="A16" s="498"/>
      <c r="E16" s="1824"/>
      <c r="F16" s="1825"/>
      <c r="G16" s="1826"/>
      <c r="H16" s="489"/>
      <c r="I16" s="22"/>
      <c r="J16" s="22"/>
      <c r="K16" s="22"/>
      <c r="L16" s="483"/>
      <c r="P16" s="498"/>
    </row>
    <row r="17" spans="1:16" s="15" customFormat="1" ht="15" customHeight="1">
      <c r="A17" s="498"/>
      <c r="E17" s="1824"/>
      <c r="F17" s="1825"/>
      <c r="G17" s="1826"/>
      <c r="H17" s="489"/>
      <c r="I17" s="22"/>
      <c r="J17" s="22"/>
      <c r="K17" s="22"/>
      <c r="L17" s="483"/>
      <c r="P17" s="498"/>
    </row>
    <row r="18" spans="1:16" s="15" customFormat="1" ht="15" customHeight="1">
      <c r="A18" s="498"/>
      <c r="E18" s="1824"/>
      <c r="F18" s="1825"/>
      <c r="G18" s="1826"/>
      <c r="H18" s="489"/>
      <c r="I18" s="22"/>
      <c r="J18" s="22"/>
      <c r="K18" s="22"/>
      <c r="L18" s="483"/>
      <c r="P18" s="498"/>
    </row>
    <row r="19" spans="1:16" s="15" customFormat="1" ht="15" customHeight="1">
      <c r="A19" s="498"/>
      <c r="E19" s="1824"/>
      <c r="F19" s="1825"/>
      <c r="G19" s="1826"/>
      <c r="H19" s="489"/>
      <c r="I19" s="22"/>
      <c r="J19" s="22"/>
      <c r="K19" s="22"/>
      <c r="L19" s="483"/>
      <c r="P19" s="498"/>
    </row>
    <row r="20" spans="1:16" s="15" customFormat="1" ht="15" customHeight="1">
      <c r="A20" s="498"/>
      <c r="E20" s="1824"/>
      <c r="F20" s="1825"/>
      <c r="G20" s="1826"/>
      <c r="H20" s="489"/>
      <c r="I20" s="22"/>
      <c r="J20" s="22"/>
      <c r="K20" s="22"/>
      <c r="L20" s="483"/>
      <c r="P20" s="498"/>
    </row>
    <row r="21" spans="1:16" s="15" customFormat="1" ht="15" customHeight="1">
      <c r="A21" s="498"/>
      <c r="E21" s="1824"/>
      <c r="F21" s="1825"/>
      <c r="G21" s="1826"/>
      <c r="H21" s="489"/>
      <c r="I21" s="22"/>
      <c r="J21" s="22"/>
      <c r="K21" s="22"/>
      <c r="L21" s="483"/>
      <c r="P21" s="498"/>
    </row>
    <row r="22" spans="1:16" s="15" customFormat="1" ht="15" customHeight="1">
      <c r="A22" s="498"/>
      <c r="E22" s="1824"/>
      <c r="F22" s="1825"/>
      <c r="G22" s="1826"/>
      <c r="H22" s="489"/>
      <c r="I22" s="22"/>
      <c r="J22" s="22"/>
      <c r="K22" s="22"/>
      <c r="L22" s="483"/>
      <c r="P22" s="498"/>
    </row>
    <row r="23" spans="1:16" s="15" customFormat="1" ht="15" customHeight="1">
      <c r="A23" s="498"/>
      <c r="E23" s="1824"/>
      <c r="F23" s="1825"/>
      <c r="G23" s="1826"/>
      <c r="H23" s="489"/>
      <c r="I23" s="22"/>
      <c r="J23" s="22"/>
      <c r="K23" s="22"/>
      <c r="L23" s="483"/>
      <c r="P23" s="498"/>
    </row>
    <row r="24" spans="1:16" s="15" customFormat="1" ht="15" customHeight="1">
      <c r="A24" s="498"/>
      <c r="E24" s="1827"/>
      <c r="F24" s="1828"/>
      <c r="G24" s="1829"/>
      <c r="H24" s="489"/>
      <c r="I24" s="22"/>
      <c r="J24" s="22"/>
      <c r="K24" s="22"/>
      <c r="L24" s="483"/>
      <c r="P24" s="498"/>
    </row>
    <row r="25" spans="1:16" s="15" customFormat="1" ht="15" customHeight="1">
      <c r="A25" s="498"/>
      <c r="E25" s="1830" t="s">
        <v>2537</v>
      </c>
      <c r="F25" s="1831"/>
      <c r="G25" s="1831"/>
      <c r="H25" s="1831"/>
      <c r="I25" s="1831"/>
      <c r="J25" s="1831"/>
      <c r="K25" s="1831"/>
      <c r="L25" s="1832"/>
      <c r="P25" s="498"/>
    </row>
    <row r="26" spans="1:16" s="15" customFormat="1" ht="15" customHeight="1">
      <c r="A26" s="498"/>
      <c r="E26" s="1833"/>
      <c r="F26" s="1834"/>
      <c r="G26" s="1834"/>
      <c r="H26" s="1834"/>
      <c r="I26" s="1834"/>
      <c r="J26" s="1834"/>
      <c r="K26" s="1834"/>
      <c r="L26" s="1835"/>
      <c r="P26" s="498"/>
    </row>
    <row r="27" spans="1:16" s="15" customFormat="1">
      <c r="A27" s="498"/>
      <c r="P27" s="498"/>
    </row>
    <row r="28" spans="1:16" s="15" customFormat="1">
      <c r="A28" s="498"/>
      <c r="P28" s="498"/>
    </row>
    <row r="29" spans="1:16" s="15" customFormat="1">
      <c r="A29" s="498"/>
      <c r="P29" s="498"/>
    </row>
    <row r="30" spans="1:16" s="15" customFormat="1">
      <c r="A30" s="498"/>
      <c r="P30" s="498"/>
    </row>
    <row r="31" spans="1:16" s="15" customFormat="1">
      <c r="A31" s="498"/>
      <c r="P31" s="498"/>
    </row>
    <row r="32" spans="1:16" s="15" customFormat="1">
      <c r="A32" s="498"/>
      <c r="P32" s="498"/>
    </row>
    <row r="33" spans="1:16" s="15" customFormat="1">
      <c r="A33" s="498"/>
      <c r="P33" s="498"/>
    </row>
    <row r="34" spans="1:16" s="15" customFormat="1">
      <c r="A34" s="498"/>
      <c r="O34" s="1384" t="s">
        <v>1702</v>
      </c>
      <c r="P34" s="498"/>
    </row>
    <row r="35" spans="1:16" s="15" customFormat="1">
      <c r="A35" s="498"/>
      <c r="P35" s="498"/>
    </row>
    <row r="36" spans="1:16" s="15" customFormat="1">
      <c r="A36" s="498"/>
      <c r="B36" s="498"/>
      <c r="C36" s="498"/>
      <c r="D36" s="498"/>
      <c r="E36" s="1383"/>
      <c r="F36" s="498"/>
      <c r="G36" s="498"/>
      <c r="H36" s="498"/>
      <c r="I36" s="498"/>
      <c r="J36" s="498"/>
      <c r="K36" s="498"/>
      <c r="L36" s="498"/>
      <c r="M36" s="498"/>
      <c r="N36" s="498"/>
      <c r="O36" s="498"/>
      <c r="P36" s="498"/>
    </row>
    <row r="37" spans="1:16" s="15" customFormat="1">
      <c r="A37" s="498"/>
      <c r="B37" s="498"/>
      <c r="C37" s="498"/>
      <c r="D37" s="498"/>
      <c r="E37" s="1383"/>
      <c r="F37" s="498"/>
      <c r="G37" s="498"/>
      <c r="H37" s="498"/>
      <c r="I37" s="498"/>
      <c r="J37" s="498"/>
      <c r="K37" s="498"/>
      <c r="L37" s="498"/>
      <c r="M37" s="498"/>
      <c r="N37" s="498"/>
      <c r="O37" s="498"/>
      <c r="P37" s="498"/>
    </row>
    <row r="38" spans="1:16" s="15" customFormat="1" hidden="1"/>
    <row r="39" spans="1:16" s="15" customFormat="1" hidden="1"/>
    <row r="40" spans="1:16" s="15" customFormat="1" hidden="1"/>
    <row r="41" spans="1:16" s="15" customFormat="1" hidden="1"/>
    <row r="42" spans="1:16" s="15" customFormat="1" hidden="1"/>
    <row r="43" spans="1:16" s="15" customFormat="1" hidden="1"/>
    <row r="44" spans="1:16" s="15" customFormat="1" hidden="1"/>
    <row r="45" spans="1:16" s="15" customFormat="1" hidden="1"/>
    <row r="46" spans="1:16" s="15" customFormat="1" hidden="1"/>
    <row r="47" spans="1:16" s="15" customFormat="1" hidden="1"/>
  </sheetData>
  <mergeCells count="5">
    <mergeCell ref="D2:M3"/>
    <mergeCell ref="B2:B3"/>
    <mergeCell ref="C2:C3"/>
    <mergeCell ref="E14:G24"/>
    <mergeCell ref="E25:L26"/>
  </mergeCells>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theme="4"/>
    <outlinePr summaryBelow="0"/>
    <pageSetUpPr fitToPage="1"/>
  </sheetPr>
  <dimension ref="A1:CF168"/>
  <sheetViews>
    <sheetView showRowColHeaders="0" workbookViewId="0">
      <selection activeCell="B2" sqref="B2:B3"/>
    </sheetView>
  </sheetViews>
  <sheetFormatPr baseColWidth="10" defaultColWidth="0" defaultRowHeight="15" customHeight="1" zeroHeight="1" x14ac:dyDescent="0"/>
  <cols>
    <col min="1" max="1" width="4.83203125" style="31" customWidth="1"/>
    <col min="2" max="2" width="12.83203125" style="3" customWidth="1"/>
    <col min="3" max="8" width="12.83203125" style="4" customWidth="1"/>
    <col min="9" max="11" width="12.83203125" style="2" customWidth="1"/>
    <col min="12" max="15" width="12.83203125" style="31" customWidth="1"/>
    <col min="16" max="16" width="4.83203125" customWidth="1"/>
    <col min="17" max="20" width="10.83203125" style="31" hidden="1" customWidth="1"/>
    <col min="21" max="25" width="10.83203125" style="26" hidden="1" customWidth="1"/>
    <col min="26" max="45" width="10.83203125" style="31" hidden="1" customWidth="1"/>
    <col min="46" max="84" width="0" style="31" hidden="1" customWidth="1"/>
    <col min="85" max="16384" width="10.83203125" style="1" hidden="1"/>
  </cols>
  <sheetData>
    <row r="1" spans="1:84" s="498" customFormat="1">
      <c r="P1" s="499"/>
      <c r="Q1" s="33"/>
      <c r="R1" s="33"/>
      <c r="S1" s="31"/>
      <c r="T1" s="31"/>
      <c r="U1" s="31"/>
      <c r="V1" s="15"/>
      <c r="W1" s="15"/>
      <c r="X1" s="15"/>
      <c r="Y1" s="15"/>
      <c r="Z1" s="15"/>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c r="BA1" s="15"/>
      <c r="BB1" s="15"/>
      <c r="BC1" s="15"/>
      <c r="BD1" s="15"/>
      <c r="BE1" s="15"/>
      <c r="BF1" s="15"/>
      <c r="BG1" s="15"/>
      <c r="BH1" s="15"/>
      <c r="BI1" s="15"/>
      <c r="BJ1" s="15"/>
      <c r="BK1" s="15"/>
      <c r="BL1" s="15"/>
      <c r="BM1" s="15"/>
      <c r="BN1" s="15"/>
      <c r="BO1" s="15"/>
      <c r="BP1" s="15"/>
      <c r="BQ1" s="15"/>
      <c r="BR1" s="15"/>
      <c r="BS1" s="15"/>
      <c r="BT1" s="15"/>
      <c r="BU1" s="15"/>
      <c r="BV1" s="15"/>
      <c r="BW1" s="15"/>
      <c r="BX1" s="15"/>
      <c r="BY1" s="15"/>
      <c r="BZ1" s="15"/>
      <c r="CA1" s="15"/>
      <c r="CB1" s="15"/>
      <c r="CC1" s="15"/>
      <c r="CD1" s="15"/>
      <c r="CE1" s="15"/>
      <c r="CF1" s="15"/>
    </row>
    <row r="2" spans="1:84" s="464" customFormat="1" ht="31" customHeight="1">
      <c r="A2" s="494"/>
      <c r="B2" s="1845" t="s">
        <v>1965</v>
      </c>
      <c r="C2" s="1819">
        <v>400</v>
      </c>
      <c r="D2" s="1847" t="s">
        <v>1555</v>
      </c>
      <c r="E2" s="1848"/>
      <c r="F2" s="1849" t="s">
        <v>1563</v>
      </c>
      <c r="G2" s="1850"/>
      <c r="H2" s="1849" t="s">
        <v>794</v>
      </c>
      <c r="I2" s="1850"/>
      <c r="J2" s="1849" t="s">
        <v>1570</v>
      </c>
      <c r="K2" s="1850"/>
      <c r="L2" s="1849" t="s">
        <v>1564</v>
      </c>
      <c r="M2" s="1850"/>
      <c r="N2" s="1849" t="s">
        <v>1602</v>
      </c>
      <c r="O2" s="1850"/>
      <c r="P2" s="494"/>
    </row>
    <row r="3" spans="1:84" s="464" customFormat="1" ht="31" customHeight="1">
      <c r="A3" s="494"/>
      <c r="B3" s="1846"/>
      <c r="C3" s="1820"/>
      <c r="D3" s="1847" t="s">
        <v>1565</v>
      </c>
      <c r="E3" s="1848"/>
      <c r="F3" s="1843" t="s">
        <v>785</v>
      </c>
      <c r="G3" s="1844"/>
      <c r="H3" s="1843" t="s">
        <v>40</v>
      </c>
      <c r="I3" s="1844"/>
      <c r="J3" s="1843" t="s">
        <v>780</v>
      </c>
      <c r="K3" s="1844"/>
      <c r="L3" s="1843" t="s">
        <v>1585</v>
      </c>
      <c r="M3" s="1844"/>
      <c r="N3" s="1843" t="s">
        <v>1788</v>
      </c>
      <c r="O3" s="1844"/>
      <c r="P3" s="494"/>
    </row>
    <row r="4" spans="1:84" s="494" customFormat="1" ht="15" customHeight="1">
      <c r="B4" s="492"/>
      <c r="C4" s="495"/>
      <c r="D4" s="497"/>
      <c r="E4" s="497"/>
      <c r="F4" s="497"/>
      <c r="G4" s="497"/>
      <c r="H4" s="497"/>
      <c r="I4" s="497"/>
      <c r="J4" s="496"/>
      <c r="K4" s="496"/>
      <c r="L4" s="496"/>
      <c r="M4" s="496"/>
      <c r="N4" s="496"/>
      <c r="O4" s="496"/>
      <c r="Q4" s="464"/>
      <c r="R4" s="464"/>
      <c r="S4" s="464"/>
      <c r="T4" s="464"/>
      <c r="U4" s="464"/>
      <c r="V4" s="464"/>
      <c r="W4" s="464"/>
      <c r="X4" s="464"/>
      <c r="Y4" s="464"/>
      <c r="Z4" s="464"/>
      <c r="AA4" s="464"/>
      <c r="AB4" s="464"/>
      <c r="AC4" s="464"/>
      <c r="AD4" s="464"/>
      <c r="AE4" s="464"/>
      <c r="AF4" s="464"/>
      <c r="AG4" s="464"/>
      <c r="AH4" s="464"/>
      <c r="AI4" s="464"/>
      <c r="AJ4" s="464"/>
      <c r="AK4" s="464"/>
      <c r="AL4" s="464"/>
      <c r="AM4" s="464"/>
      <c r="AN4" s="464"/>
      <c r="AO4" s="464"/>
      <c r="AP4" s="464"/>
      <c r="AQ4" s="464"/>
      <c r="AR4" s="464"/>
      <c r="AS4" s="464"/>
      <c r="AT4" s="464"/>
      <c r="AU4" s="464"/>
      <c r="AV4" s="464"/>
      <c r="AW4" s="464"/>
      <c r="AX4" s="464"/>
      <c r="AY4" s="464"/>
      <c r="AZ4" s="464"/>
      <c r="BA4" s="464"/>
      <c r="BB4" s="464"/>
      <c r="BC4" s="464"/>
      <c r="BD4" s="464"/>
      <c r="BE4" s="464"/>
      <c r="BF4" s="464"/>
      <c r="BG4" s="464"/>
      <c r="BH4" s="464"/>
      <c r="BI4" s="464"/>
      <c r="BJ4" s="464"/>
      <c r="BK4" s="464"/>
      <c r="BL4" s="464"/>
      <c r="BM4" s="464"/>
      <c r="BN4" s="464"/>
      <c r="BO4" s="464"/>
      <c r="BP4" s="464"/>
      <c r="BQ4" s="464"/>
      <c r="BR4" s="464"/>
      <c r="BS4" s="464"/>
      <c r="BT4" s="464"/>
      <c r="BU4" s="464"/>
      <c r="BV4" s="464"/>
      <c r="BW4" s="464"/>
      <c r="BX4" s="464"/>
      <c r="BY4" s="464"/>
      <c r="BZ4" s="464"/>
      <c r="CA4" s="464"/>
      <c r="CB4" s="464"/>
      <c r="CC4" s="464"/>
      <c r="CD4" s="464"/>
      <c r="CE4" s="464"/>
      <c r="CF4" s="464"/>
    </row>
    <row r="5" spans="1:84" s="31" customFormat="1" ht="31" customHeight="1">
      <c r="B5" s="32"/>
      <c r="C5" s="33"/>
      <c r="D5" s="33"/>
      <c r="E5" s="33"/>
      <c r="F5" s="33"/>
      <c r="G5" s="33"/>
      <c r="H5" s="33"/>
      <c r="I5" s="34"/>
      <c r="J5" s="34"/>
      <c r="K5" s="34"/>
      <c r="U5" s="26"/>
      <c r="V5" s="26"/>
      <c r="W5" s="26"/>
      <c r="X5" s="26"/>
      <c r="Y5" s="26"/>
    </row>
    <row r="6" spans="1:84" s="29" customFormat="1" ht="31" customHeight="1" thickBot="1">
      <c r="A6" s="31"/>
      <c r="B6" s="491" t="s">
        <v>1586</v>
      </c>
      <c r="C6" s="466"/>
      <c r="D6" s="466"/>
      <c r="E6" s="466"/>
      <c r="F6" s="466"/>
      <c r="G6" s="466"/>
      <c r="H6" s="466"/>
      <c r="I6" s="467"/>
      <c r="J6" s="467"/>
      <c r="K6" s="467"/>
      <c r="L6" s="468"/>
      <c r="M6" s="468"/>
      <c r="N6" s="468"/>
      <c r="O6" s="468"/>
      <c r="U6" s="234"/>
      <c r="V6" s="234"/>
      <c r="W6" s="234"/>
      <c r="X6" s="234"/>
      <c r="Y6" s="234"/>
    </row>
    <row r="7" spans="1:84" s="29" customFormat="1" ht="15" customHeight="1" thickTop="1">
      <c r="B7" s="229"/>
      <c r="C7" s="230"/>
      <c r="D7" s="230"/>
      <c r="E7" s="230"/>
      <c r="F7" s="230"/>
      <c r="G7" s="230"/>
      <c r="H7" s="230"/>
      <c r="I7" s="30"/>
      <c r="J7" s="30"/>
      <c r="K7" s="30"/>
      <c r="U7" s="234"/>
      <c r="V7" s="234"/>
      <c r="W7" s="234"/>
      <c r="X7" s="234"/>
      <c r="Y7" s="234"/>
    </row>
    <row r="8" spans="1:84" s="29" customFormat="1" ht="58" customHeight="1">
      <c r="B8" s="1842" t="s">
        <v>2456</v>
      </c>
      <c r="C8" s="1842"/>
      <c r="D8" s="1842"/>
      <c r="E8" s="1842"/>
      <c r="F8" s="1842"/>
      <c r="G8" s="1842"/>
      <c r="H8" s="1842"/>
      <c r="I8" s="1842"/>
      <c r="J8" s="1842"/>
      <c r="K8" s="1842"/>
      <c r="L8" s="1842"/>
      <c r="M8" s="1842"/>
      <c r="N8" s="1842"/>
      <c r="O8" s="1842"/>
      <c r="U8" s="234"/>
      <c r="V8" s="234"/>
      <c r="W8" s="234"/>
      <c r="X8" s="234"/>
      <c r="Y8" s="234"/>
    </row>
    <row r="9" spans="1:84" s="31" customFormat="1" ht="31" customHeight="1">
      <c r="B9" s="32"/>
      <c r="C9" s="33"/>
      <c r="D9" s="33"/>
      <c r="E9" s="33"/>
      <c r="F9" s="33"/>
      <c r="G9" s="33"/>
      <c r="H9" s="33"/>
      <c r="I9" s="34"/>
      <c r="J9" s="34"/>
      <c r="K9" s="34"/>
      <c r="P9" s="15"/>
      <c r="U9" s="26"/>
      <c r="V9" s="26"/>
      <c r="W9" s="26"/>
      <c r="X9" s="26"/>
      <c r="Y9" s="26"/>
    </row>
    <row r="10" spans="1:84" s="31" customFormat="1" ht="75" customHeight="1">
      <c r="B10" s="674" t="s">
        <v>1649</v>
      </c>
      <c r="C10" s="1836" t="s">
        <v>1563</v>
      </c>
      <c r="D10" s="1836"/>
      <c r="E10" s="1837" t="s">
        <v>2459</v>
      </c>
      <c r="F10" s="1838"/>
      <c r="G10" s="1838"/>
      <c r="H10" s="1838"/>
      <c r="I10" s="1838"/>
      <c r="J10" s="1838"/>
      <c r="K10" s="1838"/>
      <c r="L10" s="1838"/>
      <c r="M10" s="1838"/>
      <c r="N10" s="1838"/>
      <c r="O10" s="1839"/>
      <c r="P10" s="15"/>
      <c r="U10" s="26"/>
      <c r="V10" s="26"/>
      <c r="W10" s="26"/>
      <c r="X10" s="26"/>
      <c r="Y10" s="26"/>
    </row>
    <row r="11" spans="1:84" s="31" customFormat="1" ht="31" customHeight="1">
      <c r="B11" s="675"/>
      <c r="C11" s="33"/>
      <c r="D11" s="33"/>
      <c r="E11" s="33"/>
      <c r="F11" s="33"/>
      <c r="G11" s="33"/>
      <c r="H11" s="33"/>
      <c r="I11" s="34"/>
      <c r="J11" s="34"/>
      <c r="K11" s="34"/>
      <c r="P11" s="15"/>
      <c r="U11" s="26"/>
      <c r="V11" s="26"/>
      <c r="W11" s="26"/>
      <c r="X11" s="26"/>
      <c r="Y11" s="26"/>
    </row>
    <row r="12" spans="1:84" s="31" customFormat="1" ht="75" customHeight="1">
      <c r="B12" s="674" t="s">
        <v>1650</v>
      </c>
      <c r="C12" s="1836" t="s">
        <v>794</v>
      </c>
      <c r="D12" s="1836"/>
      <c r="E12" s="1837" t="s">
        <v>2457</v>
      </c>
      <c r="F12" s="1838"/>
      <c r="G12" s="1838"/>
      <c r="H12" s="1838"/>
      <c r="I12" s="1838"/>
      <c r="J12" s="1838"/>
      <c r="K12" s="1838"/>
      <c r="L12" s="1838"/>
      <c r="M12" s="1838"/>
      <c r="N12" s="1838"/>
      <c r="O12" s="1839"/>
      <c r="P12" s="15"/>
      <c r="U12" s="26"/>
      <c r="V12" s="26"/>
      <c r="W12" s="26"/>
      <c r="X12" s="26"/>
      <c r="Y12" s="26"/>
    </row>
    <row r="13" spans="1:84" s="31" customFormat="1" ht="31" customHeight="1">
      <c r="B13" s="675"/>
      <c r="C13" s="33"/>
      <c r="D13" s="33"/>
      <c r="E13" s="33"/>
      <c r="F13" s="33"/>
      <c r="G13" s="33"/>
      <c r="H13" s="33"/>
      <c r="I13" s="34"/>
      <c r="J13" s="34"/>
      <c r="K13" s="34"/>
      <c r="P13" s="15"/>
      <c r="U13" s="26"/>
      <c r="V13" s="26"/>
      <c r="W13" s="26"/>
      <c r="X13" s="26"/>
      <c r="Y13" s="26"/>
    </row>
    <row r="14" spans="1:84" s="31" customFormat="1" ht="75" customHeight="1">
      <c r="B14" s="674" t="s">
        <v>1651</v>
      </c>
      <c r="C14" s="1836" t="s">
        <v>1570</v>
      </c>
      <c r="D14" s="1836"/>
      <c r="E14" s="1840" t="s">
        <v>2017</v>
      </c>
      <c r="F14" s="1841"/>
      <c r="G14" s="1841"/>
      <c r="H14" s="1841"/>
      <c r="I14" s="1841"/>
      <c r="J14" s="1841"/>
      <c r="K14" s="1841"/>
      <c r="L14" s="1841"/>
      <c r="M14" s="1841"/>
      <c r="N14" s="1841"/>
      <c r="O14" s="1181"/>
      <c r="P14" s="15"/>
      <c r="U14" s="26"/>
      <c r="V14" s="26"/>
      <c r="W14" s="26"/>
      <c r="X14" s="26"/>
      <c r="Y14" s="26"/>
    </row>
    <row r="15" spans="1:84" s="31" customFormat="1" ht="31" customHeight="1">
      <c r="B15" s="675"/>
      <c r="C15" s="33"/>
      <c r="D15" s="33"/>
      <c r="E15" s="33"/>
      <c r="F15" s="33"/>
      <c r="G15" s="33"/>
      <c r="H15" s="33"/>
      <c r="I15" s="34"/>
      <c r="J15" s="34"/>
      <c r="K15" s="34"/>
      <c r="P15" s="15"/>
      <c r="U15" s="26"/>
      <c r="V15" s="26"/>
      <c r="W15" s="26"/>
      <c r="X15" s="26"/>
      <c r="Y15" s="26"/>
    </row>
    <row r="16" spans="1:84" s="31" customFormat="1" ht="75" customHeight="1">
      <c r="B16" s="674" t="s">
        <v>1652</v>
      </c>
      <c r="C16" s="1836" t="s">
        <v>1564</v>
      </c>
      <c r="D16" s="1836"/>
      <c r="E16" s="1837" t="s">
        <v>2458</v>
      </c>
      <c r="F16" s="1838"/>
      <c r="G16" s="1838"/>
      <c r="H16" s="1838"/>
      <c r="I16" s="1838"/>
      <c r="J16" s="1838"/>
      <c r="K16" s="1838"/>
      <c r="L16" s="1838"/>
      <c r="M16" s="1838"/>
      <c r="N16" s="1838"/>
      <c r="O16" s="1839"/>
      <c r="P16" s="15"/>
      <c r="U16" s="26"/>
      <c r="V16" s="26"/>
      <c r="W16" s="26"/>
      <c r="X16" s="26"/>
      <c r="Y16" s="26"/>
    </row>
    <row r="17" spans="2:25" s="31" customFormat="1" ht="31" customHeight="1">
      <c r="B17" s="675"/>
      <c r="C17" s="33"/>
      <c r="D17" s="33"/>
      <c r="E17" s="33"/>
      <c r="F17" s="33"/>
      <c r="G17" s="33"/>
      <c r="H17" s="33"/>
      <c r="I17" s="34"/>
      <c r="J17" s="34"/>
      <c r="K17" s="34"/>
      <c r="P17" s="15"/>
      <c r="U17" s="26"/>
      <c r="V17" s="26"/>
      <c r="W17" s="26"/>
      <c r="X17" s="26"/>
      <c r="Y17" s="26"/>
    </row>
    <row r="18" spans="2:25" s="31" customFormat="1" ht="75" customHeight="1">
      <c r="B18" s="674" t="s">
        <v>1653</v>
      </c>
      <c r="C18" s="1836" t="s">
        <v>1602</v>
      </c>
      <c r="D18" s="1836"/>
      <c r="E18" s="1837" t="s">
        <v>2517</v>
      </c>
      <c r="F18" s="1838"/>
      <c r="G18" s="1838"/>
      <c r="H18" s="1838"/>
      <c r="I18" s="1838"/>
      <c r="J18" s="1838"/>
      <c r="K18" s="1838"/>
      <c r="L18" s="1838"/>
      <c r="M18" s="1838"/>
      <c r="N18" s="1838"/>
      <c r="O18" s="1839"/>
      <c r="P18" s="15"/>
      <c r="U18" s="26"/>
      <c r="V18" s="26"/>
      <c r="W18" s="26"/>
      <c r="X18" s="26"/>
      <c r="Y18" s="26"/>
    </row>
    <row r="19" spans="2:25" s="31" customFormat="1" ht="31" customHeight="1">
      <c r="B19" s="32"/>
      <c r="C19" s="33"/>
      <c r="D19" s="33"/>
      <c r="E19" s="33"/>
      <c r="F19" s="33"/>
      <c r="G19" s="33"/>
      <c r="H19" s="33"/>
      <c r="I19" s="34"/>
      <c r="J19" s="34"/>
      <c r="K19" s="34"/>
      <c r="P19" s="15"/>
      <c r="U19" s="26"/>
      <c r="V19" s="26"/>
      <c r="W19" s="26"/>
      <c r="X19" s="26"/>
      <c r="Y19" s="26"/>
    </row>
    <row r="20" spans="2:25" s="29" customFormat="1" ht="31" customHeight="1" thickBot="1">
      <c r="B20" s="491" t="s">
        <v>1701</v>
      </c>
      <c r="C20" s="466"/>
      <c r="D20" s="466"/>
      <c r="E20" s="466"/>
      <c r="F20" s="466"/>
      <c r="G20" s="466"/>
      <c r="H20" s="466"/>
      <c r="I20" s="467"/>
      <c r="J20" s="467"/>
      <c r="K20" s="467"/>
      <c r="L20" s="468"/>
      <c r="M20" s="468"/>
      <c r="N20" s="468"/>
      <c r="O20" s="468"/>
      <c r="U20" s="234"/>
      <c r="V20" s="234"/>
      <c r="W20" s="234"/>
      <c r="X20" s="234"/>
      <c r="Y20" s="234"/>
    </row>
    <row r="21" spans="2:25" s="31" customFormat="1" ht="16" thickTop="1">
      <c r="B21" s="32"/>
      <c r="C21" s="33"/>
      <c r="D21" s="33"/>
      <c r="E21" s="33"/>
      <c r="F21" s="33"/>
      <c r="G21" s="33"/>
      <c r="H21" s="33"/>
      <c r="I21" s="34"/>
      <c r="J21" s="34"/>
      <c r="K21" s="34"/>
      <c r="P21" s="15"/>
      <c r="U21" s="26"/>
      <c r="V21" s="26"/>
      <c r="W21" s="26"/>
      <c r="X21" s="26"/>
      <c r="Y21" s="26"/>
    </row>
    <row r="22" spans="2:25" s="29" customFormat="1" ht="18">
      <c r="B22" s="230" t="s">
        <v>1967</v>
      </c>
      <c r="C22" s="230"/>
      <c r="D22" s="230"/>
      <c r="E22" s="230"/>
      <c r="F22" s="230"/>
      <c r="G22" s="230"/>
      <c r="H22" s="230"/>
      <c r="I22" s="30"/>
      <c r="J22" s="30"/>
      <c r="K22" s="30"/>
      <c r="U22" s="234"/>
      <c r="V22" s="234"/>
      <c r="W22" s="234"/>
      <c r="X22" s="234"/>
      <c r="Y22" s="234"/>
    </row>
    <row r="23" spans="2:25" s="29" customFormat="1" ht="18">
      <c r="B23" s="1104"/>
      <c r="C23" s="230"/>
      <c r="D23" s="230"/>
      <c r="E23" s="230"/>
      <c r="F23" s="230"/>
      <c r="G23" s="230"/>
      <c r="H23" s="230"/>
      <c r="I23" s="30"/>
      <c r="J23" s="30"/>
      <c r="K23" s="30"/>
      <c r="U23" s="234"/>
      <c r="V23" s="234"/>
      <c r="W23" s="234"/>
      <c r="X23" s="234"/>
      <c r="Y23" s="234"/>
    </row>
    <row r="24" spans="2:25" s="29" customFormat="1" ht="18">
      <c r="B24" s="1105" t="s">
        <v>2648</v>
      </c>
      <c r="C24" s="230"/>
      <c r="D24" s="230"/>
      <c r="E24" s="230"/>
      <c r="F24" s="230"/>
      <c r="G24" s="230"/>
      <c r="H24" s="230"/>
      <c r="I24" s="30"/>
      <c r="J24" s="30"/>
      <c r="K24" s="30"/>
      <c r="U24" s="234"/>
      <c r="V24" s="234"/>
      <c r="W24" s="234"/>
      <c r="X24" s="234"/>
      <c r="Y24" s="234"/>
    </row>
    <row r="25" spans="2:25" s="29" customFormat="1" ht="18">
      <c r="B25" s="230" t="s">
        <v>2649</v>
      </c>
      <c r="C25" s="230"/>
      <c r="D25" s="230"/>
      <c r="E25" s="230"/>
      <c r="F25" s="230"/>
      <c r="G25" s="230"/>
      <c r="H25" s="230"/>
      <c r="I25" s="30"/>
      <c r="J25" s="30"/>
      <c r="K25" s="30"/>
      <c r="U25" s="234"/>
      <c r="V25" s="234"/>
      <c r="W25" s="234"/>
      <c r="X25" s="234"/>
      <c r="Y25" s="234"/>
    </row>
    <row r="26" spans="2:25" s="29" customFormat="1" ht="18">
      <c r="B26" s="230" t="s">
        <v>2650</v>
      </c>
      <c r="C26" s="230"/>
      <c r="D26" s="230"/>
      <c r="E26" s="230"/>
      <c r="F26" s="230"/>
      <c r="G26" s="230"/>
      <c r="H26" s="230"/>
      <c r="I26" s="30"/>
      <c r="J26" s="30"/>
      <c r="K26" s="30"/>
      <c r="U26" s="234"/>
      <c r="V26" s="234"/>
      <c r="W26" s="234"/>
      <c r="X26" s="234"/>
      <c r="Y26" s="234"/>
    </row>
    <row r="27" spans="2:25" s="29" customFormat="1" ht="18">
      <c r="B27" s="230"/>
      <c r="C27" s="230"/>
      <c r="D27" s="230"/>
      <c r="E27" s="230"/>
      <c r="F27" s="230"/>
      <c r="G27" s="230"/>
      <c r="H27" s="230"/>
      <c r="I27" s="30"/>
      <c r="J27" s="30"/>
      <c r="K27" s="30"/>
      <c r="U27" s="234"/>
      <c r="V27" s="234"/>
      <c r="W27" s="234"/>
      <c r="X27" s="234"/>
      <c r="Y27" s="234"/>
    </row>
    <row r="28" spans="2:25" s="31" customFormat="1" ht="31" customHeight="1" thickBot="1">
      <c r="B28" s="491" t="s">
        <v>2539</v>
      </c>
      <c r="C28" s="466"/>
      <c r="D28" s="466"/>
      <c r="E28" s="466"/>
      <c r="F28" s="466"/>
      <c r="G28" s="466"/>
      <c r="H28" s="466"/>
      <c r="I28" s="467"/>
      <c r="J28" s="467"/>
      <c r="K28" s="467"/>
      <c r="L28" s="468"/>
      <c r="M28" s="468"/>
      <c r="N28" s="468"/>
      <c r="O28" s="468"/>
      <c r="P28" s="15"/>
      <c r="U28" s="26"/>
      <c r="V28" s="26"/>
      <c r="W28" s="26"/>
      <c r="X28" s="26"/>
      <c r="Y28" s="26"/>
    </row>
    <row r="29" spans="2:25" s="31" customFormat="1" ht="16" thickTop="1">
      <c r="B29" s="32"/>
      <c r="C29" s="33"/>
      <c r="D29" s="33"/>
      <c r="E29" s="33"/>
      <c r="F29" s="33"/>
      <c r="G29" s="33"/>
      <c r="H29" s="33"/>
      <c r="I29" s="34"/>
      <c r="J29" s="34"/>
      <c r="K29" s="34"/>
      <c r="P29" s="15"/>
      <c r="U29" s="26"/>
      <c r="V29" s="26"/>
      <c r="W29" s="26"/>
      <c r="X29" s="26"/>
      <c r="Y29" s="26"/>
    </row>
    <row r="30" spans="2:25" s="31" customFormat="1" ht="17" customHeight="1">
      <c r="B30" s="230"/>
      <c r="C30" s="33"/>
      <c r="D30" s="33"/>
      <c r="E30" s="33"/>
      <c r="F30" s="33"/>
      <c r="G30" s="33"/>
      <c r="H30" s="33"/>
      <c r="I30" s="34"/>
      <c r="J30" s="34"/>
      <c r="K30" s="34"/>
      <c r="P30" s="15"/>
      <c r="U30" s="26"/>
      <c r="V30" s="26"/>
      <c r="W30" s="26"/>
      <c r="X30" s="26"/>
      <c r="Y30" s="26"/>
    </row>
    <row r="31" spans="2:25" s="31" customFormat="1" ht="31" customHeight="1">
      <c r="B31" s="32"/>
      <c r="C31" s="33"/>
      <c r="D31" s="33"/>
      <c r="E31" s="33"/>
      <c r="F31" s="33"/>
      <c r="G31" s="33"/>
      <c r="H31" s="33"/>
      <c r="I31" s="34"/>
      <c r="J31" s="34"/>
      <c r="K31" s="34"/>
      <c r="P31" s="15"/>
      <c r="U31" s="26"/>
      <c r="V31" s="26"/>
      <c r="W31" s="26"/>
      <c r="X31" s="26"/>
      <c r="Y31" s="26"/>
    </row>
    <row r="32" spans="2:25" s="31" customFormat="1" ht="18" hidden="1" customHeight="1">
      <c r="B32" s="32"/>
      <c r="C32" s="33"/>
      <c r="D32" s="33"/>
      <c r="E32" s="33"/>
      <c r="F32" s="33"/>
      <c r="G32" s="33"/>
      <c r="H32" s="33"/>
      <c r="I32" s="34"/>
      <c r="J32" s="34"/>
      <c r="K32" s="34"/>
      <c r="P32" s="15"/>
      <c r="U32" s="26"/>
      <c r="V32" s="26"/>
      <c r="W32" s="26"/>
      <c r="X32" s="26"/>
      <c r="Y32" s="26"/>
    </row>
    <row r="33" spans="2:25" s="31" customFormat="1" hidden="1">
      <c r="B33" s="32"/>
      <c r="C33" s="33"/>
      <c r="D33" s="33"/>
      <c r="E33" s="33"/>
      <c r="F33" s="33"/>
      <c r="G33" s="33"/>
      <c r="H33" s="33"/>
      <c r="I33" s="34"/>
      <c r="J33" s="34"/>
      <c r="K33" s="34"/>
      <c r="P33" s="15"/>
      <c r="U33" s="26"/>
      <c r="V33" s="26"/>
      <c r="W33" s="26"/>
      <c r="X33" s="26"/>
      <c r="Y33" s="26"/>
    </row>
    <row r="34" spans="2:25" s="31" customFormat="1" hidden="1">
      <c r="B34" s="32"/>
      <c r="C34" s="33"/>
      <c r="D34" s="33"/>
      <c r="E34" s="33"/>
      <c r="F34" s="33"/>
      <c r="G34" s="33"/>
      <c r="H34" s="33"/>
      <c r="I34" s="34"/>
      <c r="J34" s="34"/>
      <c r="K34" s="34"/>
      <c r="P34" s="15"/>
      <c r="U34" s="26"/>
      <c r="V34" s="26"/>
      <c r="W34" s="26"/>
      <c r="X34" s="26"/>
      <c r="Y34" s="26"/>
    </row>
    <row r="35" spans="2:25" s="31" customFormat="1" hidden="1">
      <c r="B35" s="32"/>
      <c r="C35" s="33"/>
      <c r="D35" s="33"/>
      <c r="E35" s="33"/>
      <c r="F35" s="33"/>
      <c r="G35" s="33"/>
      <c r="H35" s="33"/>
      <c r="I35" s="34"/>
      <c r="J35" s="34"/>
      <c r="K35" s="34"/>
      <c r="P35" s="15"/>
      <c r="U35" s="26"/>
      <c r="V35" s="26"/>
      <c r="W35" s="26"/>
      <c r="X35" s="26"/>
      <c r="Y35" s="26"/>
    </row>
    <row r="36" spans="2:25" s="31" customFormat="1" hidden="1">
      <c r="B36" s="32"/>
      <c r="C36" s="33"/>
      <c r="D36" s="33"/>
      <c r="E36" s="33"/>
      <c r="F36" s="33"/>
      <c r="G36" s="33"/>
      <c r="H36" s="33"/>
      <c r="I36" s="34"/>
      <c r="J36" s="34"/>
      <c r="K36" s="34"/>
      <c r="P36" s="15"/>
      <c r="U36" s="26"/>
      <c r="V36" s="26"/>
      <c r="W36" s="26"/>
      <c r="X36" s="26"/>
      <c r="Y36" s="26"/>
    </row>
    <row r="37" spans="2:25" s="31" customFormat="1" hidden="1">
      <c r="B37" s="32"/>
      <c r="C37" s="33"/>
      <c r="D37" s="33"/>
      <c r="E37" s="33"/>
      <c r="F37" s="33"/>
      <c r="G37" s="33"/>
      <c r="H37" s="33"/>
      <c r="I37" s="34"/>
      <c r="J37" s="34"/>
      <c r="K37" s="34"/>
      <c r="P37" s="15"/>
      <c r="U37" s="26"/>
      <c r="V37" s="26"/>
      <c r="W37" s="26"/>
      <c r="X37" s="26"/>
      <c r="Y37" s="26"/>
    </row>
    <row r="38" spans="2:25" s="31" customFormat="1" hidden="1">
      <c r="B38" s="32"/>
      <c r="C38" s="33"/>
      <c r="D38" s="33"/>
      <c r="E38" s="33"/>
      <c r="F38" s="33"/>
      <c r="G38" s="33"/>
      <c r="H38" s="33"/>
      <c r="I38" s="34"/>
      <c r="J38" s="34"/>
      <c r="K38" s="34"/>
      <c r="P38" s="15"/>
      <c r="U38" s="26"/>
      <c r="V38" s="26"/>
      <c r="W38" s="26"/>
      <c r="X38" s="26"/>
      <c r="Y38" s="26"/>
    </row>
    <row r="39" spans="2:25" s="31" customFormat="1" hidden="1">
      <c r="B39" s="32"/>
      <c r="C39" s="33"/>
      <c r="D39" s="33"/>
      <c r="E39" s="33"/>
      <c r="F39" s="33"/>
      <c r="G39" s="33"/>
      <c r="H39" s="33"/>
      <c r="I39" s="34"/>
      <c r="J39" s="34"/>
      <c r="K39" s="34"/>
      <c r="P39" s="15"/>
      <c r="U39" s="26"/>
      <c r="V39" s="26"/>
      <c r="W39" s="26"/>
      <c r="X39" s="26"/>
      <c r="Y39" s="26"/>
    </row>
    <row r="40" spans="2:25" s="31" customFormat="1" hidden="1">
      <c r="B40" s="32"/>
      <c r="C40" s="33"/>
      <c r="D40" s="33"/>
      <c r="E40" s="33"/>
      <c r="F40" s="33"/>
      <c r="G40" s="33"/>
      <c r="H40" s="33"/>
      <c r="I40" s="34"/>
      <c r="J40" s="34"/>
      <c r="K40" s="34"/>
      <c r="P40" s="15"/>
      <c r="U40" s="26"/>
      <c r="V40" s="26"/>
      <c r="W40" s="26"/>
      <c r="X40" s="26"/>
      <c r="Y40" s="26"/>
    </row>
    <row r="41" spans="2:25" s="31" customFormat="1" hidden="1">
      <c r="B41" s="32"/>
      <c r="C41" s="33"/>
      <c r="D41" s="33"/>
      <c r="E41" s="33"/>
      <c r="F41" s="33"/>
      <c r="G41" s="33"/>
      <c r="H41" s="33"/>
      <c r="I41" s="34"/>
      <c r="J41" s="34"/>
      <c r="K41" s="34"/>
      <c r="P41" s="15"/>
      <c r="U41" s="26"/>
      <c r="V41" s="26"/>
      <c r="W41" s="26"/>
      <c r="X41" s="26"/>
      <c r="Y41" s="26"/>
    </row>
    <row r="42" spans="2:25" s="31" customFormat="1" hidden="1">
      <c r="B42" s="32"/>
      <c r="C42" s="33"/>
      <c r="D42" s="33"/>
      <c r="E42" s="33"/>
      <c r="F42" s="33"/>
      <c r="G42" s="33"/>
      <c r="H42" s="33"/>
      <c r="I42" s="34"/>
      <c r="J42" s="34"/>
      <c r="K42" s="34"/>
      <c r="P42" s="15"/>
      <c r="U42" s="26"/>
      <c r="V42" s="26"/>
      <c r="W42" s="26"/>
      <c r="X42" s="26"/>
      <c r="Y42" s="26"/>
    </row>
    <row r="43" spans="2:25" s="31" customFormat="1" hidden="1">
      <c r="B43" s="32"/>
      <c r="C43" s="33"/>
      <c r="D43" s="33"/>
      <c r="E43" s="33"/>
      <c r="F43" s="33"/>
      <c r="G43" s="33"/>
      <c r="H43" s="33"/>
      <c r="I43" s="34"/>
      <c r="J43" s="34"/>
      <c r="K43" s="34"/>
      <c r="P43" s="15"/>
      <c r="U43" s="26"/>
      <c r="V43" s="26"/>
      <c r="W43" s="26"/>
      <c r="X43" s="26"/>
      <c r="Y43" s="26"/>
    </row>
    <row r="44" spans="2:25" s="31" customFormat="1" hidden="1">
      <c r="B44" s="32"/>
      <c r="C44" s="33"/>
      <c r="D44" s="33"/>
      <c r="E44" s="33"/>
      <c r="F44" s="33"/>
      <c r="G44" s="33"/>
      <c r="H44" s="33"/>
      <c r="I44" s="34"/>
      <c r="J44" s="34"/>
      <c r="K44" s="34"/>
      <c r="P44" s="15"/>
      <c r="U44" s="26"/>
      <c r="V44" s="26"/>
      <c r="W44" s="26"/>
      <c r="X44" s="26"/>
      <c r="Y44" s="26"/>
    </row>
    <row r="45" spans="2:25" s="31" customFormat="1" hidden="1">
      <c r="B45" s="32"/>
      <c r="C45" s="33"/>
      <c r="D45" s="33"/>
      <c r="E45" s="33"/>
      <c r="F45" s="33"/>
      <c r="G45" s="33"/>
      <c r="H45" s="33"/>
      <c r="I45" s="34"/>
      <c r="J45" s="34"/>
      <c r="K45" s="34"/>
      <c r="P45" s="15"/>
      <c r="U45" s="26"/>
      <c r="V45" s="26"/>
      <c r="W45" s="26"/>
      <c r="X45" s="26"/>
      <c r="Y45" s="26"/>
    </row>
    <row r="46" spans="2:25" s="31" customFormat="1" hidden="1">
      <c r="B46" s="32"/>
      <c r="C46" s="33"/>
      <c r="D46" s="33"/>
      <c r="E46" s="33"/>
      <c r="F46" s="33"/>
      <c r="G46" s="33"/>
      <c r="H46" s="33"/>
      <c r="I46" s="34"/>
      <c r="J46" s="34"/>
      <c r="K46" s="34"/>
      <c r="U46" s="26"/>
      <c r="V46" s="26"/>
      <c r="W46" s="26"/>
      <c r="X46" s="26"/>
      <c r="Y46" s="26"/>
    </row>
    <row r="47" spans="2:25" s="31" customFormat="1" hidden="1">
      <c r="B47" s="32"/>
      <c r="C47" s="33"/>
      <c r="D47" s="33"/>
      <c r="E47" s="33"/>
      <c r="F47" s="33"/>
      <c r="G47" s="33"/>
      <c r="H47" s="33"/>
      <c r="I47" s="34"/>
      <c r="J47" s="34"/>
      <c r="K47" s="34"/>
      <c r="U47" s="26"/>
      <c r="V47" s="26"/>
      <c r="W47" s="26"/>
      <c r="X47" s="26"/>
      <c r="Y47" s="26"/>
    </row>
    <row r="48" spans="2:25" s="31" customFormat="1" hidden="1">
      <c r="B48" s="32"/>
      <c r="C48" s="33"/>
      <c r="D48" s="33"/>
      <c r="E48" s="33"/>
      <c r="F48" s="33"/>
      <c r="G48" s="33"/>
      <c r="H48" s="33"/>
      <c r="I48" s="34"/>
      <c r="J48" s="34"/>
      <c r="K48" s="34"/>
      <c r="U48" s="26"/>
      <c r="V48" s="26"/>
      <c r="W48" s="26"/>
      <c r="X48" s="26"/>
      <c r="Y48" s="26"/>
    </row>
    <row r="49" spans="2:25" s="31" customFormat="1" hidden="1">
      <c r="B49" s="32"/>
      <c r="C49" s="33"/>
      <c r="D49" s="33"/>
      <c r="E49" s="33"/>
      <c r="F49" s="33"/>
      <c r="G49" s="33"/>
      <c r="H49" s="33"/>
      <c r="I49" s="34"/>
      <c r="J49" s="34"/>
      <c r="K49" s="34"/>
      <c r="U49" s="26"/>
      <c r="V49" s="26"/>
      <c r="W49" s="26"/>
      <c r="X49" s="26"/>
      <c r="Y49" s="26"/>
    </row>
    <row r="50" spans="2:25" s="31" customFormat="1" hidden="1">
      <c r="B50" s="32"/>
      <c r="C50" s="33"/>
      <c r="D50" s="33"/>
      <c r="E50" s="33"/>
      <c r="F50" s="33"/>
      <c r="G50" s="33"/>
      <c r="H50" s="33"/>
      <c r="I50" s="34"/>
      <c r="J50" s="34"/>
      <c r="K50" s="34"/>
      <c r="U50" s="26"/>
      <c r="V50" s="26"/>
      <c r="W50" s="26"/>
      <c r="X50" s="26"/>
      <c r="Y50" s="26"/>
    </row>
    <row r="51" spans="2:25" s="229" customFormat="1" ht="18" hidden="1">
      <c r="U51" s="237"/>
      <c r="V51" s="237"/>
      <c r="W51" s="237"/>
      <c r="X51" s="237"/>
      <c r="Y51" s="237"/>
    </row>
    <row r="52" spans="2:25" s="31" customFormat="1" hidden="1">
      <c r="U52" s="26"/>
      <c r="V52" s="26"/>
      <c r="W52" s="26"/>
      <c r="X52" s="26"/>
      <c r="Y52" s="26"/>
    </row>
    <row r="53" spans="2:25" s="31" customFormat="1" ht="15" hidden="1" customHeight="1">
      <c r="U53" s="26"/>
      <c r="V53" s="26"/>
      <c r="W53" s="26"/>
      <c r="X53" s="26"/>
      <c r="Y53" s="26"/>
    </row>
    <row r="54" spans="2:25" s="31" customFormat="1" hidden="1">
      <c r="U54" s="26"/>
      <c r="V54" s="26"/>
      <c r="W54" s="26"/>
      <c r="X54" s="26"/>
      <c r="Y54" s="26"/>
    </row>
    <row r="55" spans="2:25" s="31" customFormat="1" hidden="1">
      <c r="U55" s="26"/>
      <c r="V55" s="26"/>
      <c r="W55" s="26"/>
      <c r="X55" s="26"/>
      <c r="Y55" s="26"/>
    </row>
    <row r="56" spans="2:25" s="31" customFormat="1" hidden="1">
      <c r="U56" s="26"/>
      <c r="V56" s="26"/>
      <c r="W56" s="26"/>
      <c r="X56" s="26"/>
      <c r="Y56" s="26"/>
    </row>
    <row r="57" spans="2:25" s="31" customFormat="1" hidden="1">
      <c r="U57" s="26"/>
      <c r="V57" s="26"/>
      <c r="W57" s="26"/>
      <c r="X57" s="26"/>
      <c r="Y57" s="26"/>
    </row>
    <row r="58" spans="2:25" s="31" customFormat="1" hidden="1">
      <c r="U58" s="26"/>
      <c r="V58" s="26"/>
      <c r="W58" s="26"/>
      <c r="X58" s="26"/>
      <c r="Y58" s="26"/>
    </row>
    <row r="59" spans="2:25" s="31" customFormat="1" hidden="1">
      <c r="U59" s="26"/>
      <c r="V59" s="26"/>
      <c r="W59" s="26"/>
      <c r="X59" s="26"/>
      <c r="Y59" s="26"/>
    </row>
    <row r="60" spans="2:25" s="31" customFormat="1" hidden="1">
      <c r="U60" s="26"/>
      <c r="V60" s="26"/>
      <c r="W60" s="26"/>
      <c r="X60" s="26"/>
      <c r="Y60" s="26"/>
    </row>
    <row r="61" spans="2:25" s="31" customFormat="1" hidden="1">
      <c r="B61" s="32"/>
      <c r="C61" s="33"/>
      <c r="D61" s="33"/>
      <c r="E61" s="33"/>
      <c r="F61" s="33"/>
      <c r="G61" s="33"/>
      <c r="H61" s="33"/>
      <c r="I61" s="34"/>
      <c r="J61" s="34"/>
      <c r="K61" s="34"/>
      <c r="U61" s="26"/>
      <c r="V61" s="26"/>
      <c r="W61" s="26"/>
      <c r="X61" s="26"/>
      <c r="Y61" s="26"/>
    </row>
    <row r="62" spans="2:25" s="31" customFormat="1" hidden="1">
      <c r="U62" s="26"/>
      <c r="V62" s="26"/>
      <c r="W62" s="26"/>
      <c r="X62" s="26"/>
      <c r="Y62" s="26"/>
    </row>
    <row r="63" spans="2:25" s="31" customFormat="1" hidden="1">
      <c r="U63" s="26"/>
      <c r="V63" s="26"/>
      <c r="W63" s="26"/>
      <c r="X63" s="26"/>
      <c r="Y63" s="26"/>
    </row>
    <row r="64" spans="2:25" s="31" customFormat="1" hidden="1">
      <c r="U64" s="26"/>
      <c r="V64" s="26"/>
      <c r="W64" s="26"/>
      <c r="X64" s="26"/>
      <c r="Y64" s="26"/>
    </row>
    <row r="65" spans="2:25" s="31" customFormat="1" hidden="1">
      <c r="U65" s="26"/>
      <c r="V65" s="26"/>
      <c r="W65" s="26"/>
      <c r="X65" s="26"/>
      <c r="Y65" s="26"/>
    </row>
    <row r="66" spans="2:25" s="31" customFormat="1" hidden="1">
      <c r="U66" s="26"/>
      <c r="V66" s="26"/>
      <c r="W66" s="26"/>
      <c r="X66" s="26"/>
      <c r="Y66" s="26"/>
    </row>
    <row r="67" spans="2:25" s="31" customFormat="1" hidden="1">
      <c r="B67" s="32"/>
      <c r="C67" s="33"/>
      <c r="D67" s="33"/>
      <c r="E67" s="33"/>
      <c r="F67" s="33"/>
      <c r="G67" s="33"/>
      <c r="H67" s="33"/>
      <c r="I67" s="34"/>
      <c r="J67" s="34"/>
      <c r="K67" s="34"/>
      <c r="U67" s="26"/>
      <c r="V67" s="26"/>
      <c r="W67" s="26"/>
      <c r="X67" s="26"/>
      <c r="Y67" s="26"/>
    </row>
    <row r="68" spans="2:25" s="31" customFormat="1" hidden="1">
      <c r="B68" s="32"/>
      <c r="C68" s="33"/>
      <c r="D68" s="33"/>
      <c r="E68" s="33"/>
      <c r="F68" s="33"/>
      <c r="G68" s="33"/>
      <c r="H68" s="33"/>
      <c r="I68" s="34"/>
      <c r="J68" s="34"/>
      <c r="K68" s="34"/>
      <c r="U68" s="26"/>
      <c r="V68" s="26"/>
      <c r="W68" s="26"/>
      <c r="X68" s="26"/>
      <c r="Y68" s="26"/>
    </row>
    <row r="69" spans="2:25" s="31" customFormat="1" hidden="1">
      <c r="B69" s="32"/>
      <c r="C69" s="33"/>
      <c r="D69" s="33"/>
      <c r="E69" s="33"/>
      <c r="F69" s="33"/>
      <c r="G69" s="33"/>
      <c r="H69" s="33"/>
      <c r="I69" s="34"/>
      <c r="J69" s="34"/>
      <c r="K69" s="34"/>
      <c r="U69" s="26"/>
      <c r="V69" s="26"/>
      <c r="W69" s="26"/>
      <c r="X69" s="26"/>
      <c r="Y69" s="26"/>
    </row>
    <row r="70" spans="2:25" s="31" customFormat="1" hidden="1">
      <c r="B70" s="32"/>
      <c r="C70" s="33"/>
      <c r="D70" s="33"/>
      <c r="E70" s="33"/>
      <c r="F70" s="33"/>
      <c r="G70" s="33"/>
      <c r="H70" s="33"/>
      <c r="I70" s="34"/>
      <c r="J70" s="34"/>
      <c r="K70" s="34"/>
      <c r="U70" s="26"/>
      <c r="V70" s="26"/>
      <c r="W70" s="26"/>
      <c r="X70" s="26"/>
      <c r="Y70" s="26"/>
    </row>
    <row r="71" spans="2:25" s="31" customFormat="1" hidden="1">
      <c r="B71" s="32"/>
      <c r="C71" s="33"/>
      <c r="D71" s="33"/>
      <c r="E71" s="33"/>
      <c r="F71" s="33"/>
      <c r="G71" s="33"/>
      <c r="H71" s="33"/>
      <c r="I71" s="34"/>
      <c r="J71" s="34"/>
      <c r="K71" s="34"/>
      <c r="U71" s="26"/>
      <c r="V71" s="26"/>
      <c r="W71" s="26"/>
      <c r="X71" s="26"/>
      <c r="Y71" s="26"/>
    </row>
    <row r="72" spans="2:25" s="31" customFormat="1" hidden="1">
      <c r="B72" s="32"/>
      <c r="C72" s="33"/>
      <c r="D72" s="33"/>
      <c r="E72" s="33"/>
      <c r="F72" s="33"/>
      <c r="G72" s="33"/>
      <c r="H72" s="33"/>
      <c r="I72" s="34"/>
      <c r="J72" s="34"/>
      <c r="K72" s="34"/>
      <c r="U72" s="26"/>
      <c r="V72" s="26"/>
      <c r="W72" s="26"/>
      <c r="X72" s="26"/>
      <c r="Y72" s="26"/>
    </row>
    <row r="73" spans="2:25" s="31" customFormat="1" hidden="1">
      <c r="B73" s="32"/>
      <c r="C73" s="33"/>
      <c r="D73" s="33"/>
      <c r="E73" s="33"/>
      <c r="F73" s="33"/>
      <c r="G73" s="33"/>
      <c r="H73" s="33"/>
      <c r="I73" s="34"/>
      <c r="J73" s="34"/>
      <c r="K73" s="34"/>
      <c r="U73" s="26"/>
      <c r="V73" s="26"/>
      <c r="W73" s="26"/>
      <c r="X73" s="26"/>
      <c r="Y73" s="26"/>
    </row>
    <row r="74" spans="2:25" s="31" customFormat="1" hidden="1">
      <c r="B74" s="32"/>
      <c r="C74" s="33"/>
      <c r="D74" s="33"/>
      <c r="E74" s="33"/>
      <c r="F74" s="33"/>
      <c r="G74" s="33"/>
      <c r="H74" s="33"/>
      <c r="I74" s="34"/>
      <c r="J74" s="34"/>
      <c r="K74" s="34"/>
      <c r="U74" s="26"/>
      <c r="V74" s="26"/>
      <c r="W74" s="26"/>
      <c r="X74" s="26"/>
      <c r="Y74" s="26"/>
    </row>
    <row r="75" spans="2:25" s="31" customFormat="1" hidden="1">
      <c r="B75" s="32"/>
      <c r="C75" s="33"/>
      <c r="D75" s="33"/>
      <c r="E75" s="33"/>
      <c r="F75" s="33"/>
      <c r="G75" s="33"/>
      <c r="H75" s="33"/>
      <c r="I75" s="34"/>
      <c r="J75" s="34"/>
      <c r="K75" s="34"/>
      <c r="U75" s="26"/>
      <c r="V75" s="26"/>
      <c r="W75" s="26"/>
      <c r="X75" s="26"/>
      <c r="Y75" s="26"/>
    </row>
    <row r="76" spans="2:25" s="31" customFormat="1" hidden="1">
      <c r="B76" s="32"/>
      <c r="C76" s="33"/>
      <c r="D76" s="33"/>
      <c r="E76" s="33"/>
      <c r="F76" s="33"/>
      <c r="G76" s="33"/>
      <c r="H76" s="33"/>
      <c r="I76" s="34"/>
      <c r="J76" s="34"/>
      <c r="K76" s="34"/>
      <c r="U76" s="26"/>
      <c r="V76" s="26"/>
      <c r="W76" s="26"/>
      <c r="X76" s="26"/>
      <c r="Y76" s="26"/>
    </row>
    <row r="77" spans="2:25" s="31" customFormat="1" hidden="1">
      <c r="B77" s="32"/>
      <c r="C77" s="33"/>
      <c r="D77" s="33"/>
      <c r="E77" s="33"/>
      <c r="F77" s="33"/>
      <c r="G77" s="33"/>
      <c r="H77" s="33"/>
      <c r="I77" s="34"/>
      <c r="J77" s="34"/>
      <c r="K77" s="34"/>
      <c r="U77" s="26"/>
      <c r="V77" s="26"/>
      <c r="W77" s="26"/>
      <c r="X77" s="26"/>
      <c r="Y77" s="26"/>
    </row>
    <row r="78" spans="2:25" s="31" customFormat="1" hidden="1">
      <c r="B78" s="32"/>
      <c r="C78" s="33"/>
      <c r="D78" s="33"/>
      <c r="E78" s="33"/>
      <c r="F78" s="33"/>
      <c r="G78" s="33"/>
      <c r="H78" s="33"/>
      <c r="I78" s="34"/>
      <c r="J78" s="34"/>
      <c r="K78" s="34"/>
      <c r="U78" s="26"/>
      <c r="V78" s="26"/>
      <c r="W78" s="26"/>
      <c r="X78" s="26"/>
      <c r="Y78" s="26"/>
    </row>
    <row r="79" spans="2:25" s="31" customFormat="1" hidden="1">
      <c r="B79" s="32"/>
      <c r="C79" s="33"/>
      <c r="D79" s="33"/>
      <c r="E79" s="33"/>
      <c r="F79" s="33"/>
      <c r="G79" s="33"/>
      <c r="H79" s="33"/>
      <c r="I79" s="34"/>
      <c r="J79" s="34"/>
      <c r="K79" s="34"/>
      <c r="U79" s="26"/>
      <c r="V79" s="26"/>
      <c r="W79" s="26"/>
      <c r="X79" s="26"/>
      <c r="Y79" s="26"/>
    </row>
    <row r="80" spans="2:25" s="31" customFormat="1" hidden="1">
      <c r="B80" s="32"/>
      <c r="C80" s="33"/>
      <c r="D80" s="33"/>
      <c r="E80" s="33"/>
      <c r="F80" s="33"/>
      <c r="G80" s="33"/>
      <c r="H80" s="33"/>
      <c r="I80" s="34"/>
      <c r="J80" s="34"/>
      <c r="K80" s="34"/>
      <c r="U80" s="26"/>
      <c r="V80" s="26"/>
      <c r="W80" s="26"/>
      <c r="X80" s="26"/>
      <c r="Y80" s="26"/>
    </row>
    <row r="81" spans="2:25" s="31" customFormat="1" hidden="1">
      <c r="B81" s="32"/>
      <c r="C81" s="33"/>
      <c r="D81" s="33"/>
      <c r="E81" s="33"/>
      <c r="F81" s="33"/>
      <c r="G81" s="33"/>
      <c r="H81" s="33"/>
      <c r="I81" s="34"/>
      <c r="J81" s="34"/>
      <c r="K81" s="34"/>
      <c r="U81" s="26"/>
      <c r="V81" s="26"/>
      <c r="W81" s="26"/>
      <c r="X81" s="26"/>
      <c r="Y81" s="26"/>
    </row>
    <row r="82" spans="2:25" s="31" customFormat="1" hidden="1">
      <c r="B82" s="32"/>
      <c r="C82" s="33"/>
      <c r="D82" s="33"/>
      <c r="E82" s="33"/>
      <c r="F82" s="33"/>
      <c r="G82" s="33"/>
      <c r="H82" s="33"/>
      <c r="I82" s="34"/>
      <c r="J82" s="34"/>
      <c r="K82" s="34"/>
      <c r="U82" s="26"/>
      <c r="V82" s="26"/>
      <c r="W82" s="26"/>
      <c r="X82" s="26"/>
      <c r="Y82" s="26"/>
    </row>
    <row r="83" spans="2:25" s="31" customFormat="1" hidden="1">
      <c r="B83" s="32"/>
      <c r="C83" s="33"/>
      <c r="D83" s="33"/>
      <c r="E83" s="33"/>
      <c r="F83" s="33"/>
      <c r="G83" s="33"/>
      <c r="H83" s="33"/>
      <c r="I83" s="34"/>
      <c r="J83" s="34"/>
      <c r="K83" s="34"/>
      <c r="U83" s="26"/>
      <c r="V83" s="26"/>
      <c r="W83" s="26"/>
      <c r="X83" s="26"/>
      <c r="Y83" s="26"/>
    </row>
    <row r="84" spans="2:25" s="31" customFormat="1" hidden="1">
      <c r="B84" s="32"/>
      <c r="C84" s="33"/>
      <c r="D84" s="33"/>
      <c r="E84" s="33"/>
      <c r="F84" s="33"/>
      <c r="G84" s="33"/>
      <c r="H84" s="33"/>
      <c r="I84" s="34"/>
      <c r="J84" s="34"/>
      <c r="K84" s="34"/>
      <c r="U84" s="26"/>
      <c r="V84" s="26"/>
      <c r="W84" s="26"/>
      <c r="X84" s="26"/>
      <c r="Y84" s="26"/>
    </row>
    <row r="85" spans="2:25" s="31" customFormat="1" hidden="1">
      <c r="B85" s="32"/>
      <c r="C85" s="33"/>
      <c r="D85" s="33"/>
      <c r="E85" s="33"/>
      <c r="F85" s="33"/>
      <c r="G85" s="33"/>
      <c r="H85" s="33"/>
      <c r="I85" s="34"/>
      <c r="J85" s="34"/>
      <c r="K85" s="34"/>
      <c r="U85" s="26"/>
      <c r="V85" s="26"/>
      <c r="W85" s="26"/>
      <c r="X85" s="26"/>
      <c r="Y85" s="26"/>
    </row>
    <row r="86" spans="2:25" s="31" customFormat="1" hidden="1">
      <c r="B86" s="32"/>
      <c r="C86" s="33"/>
      <c r="D86" s="33"/>
      <c r="E86" s="33"/>
      <c r="F86" s="33"/>
      <c r="G86" s="33"/>
      <c r="H86" s="33"/>
      <c r="I86" s="34"/>
      <c r="J86" s="34"/>
      <c r="K86" s="34"/>
      <c r="U86" s="26"/>
      <c r="V86" s="26"/>
      <c r="W86" s="26"/>
      <c r="X86" s="26"/>
      <c r="Y86" s="26"/>
    </row>
    <row r="87" spans="2:25" s="31" customFormat="1" hidden="1">
      <c r="B87" s="32"/>
      <c r="C87" s="33"/>
      <c r="D87" s="33"/>
      <c r="E87" s="33"/>
      <c r="F87" s="33"/>
      <c r="G87" s="33"/>
      <c r="H87" s="33"/>
      <c r="I87" s="34"/>
      <c r="J87" s="34"/>
      <c r="K87" s="34"/>
      <c r="U87" s="26"/>
      <c r="V87" s="26"/>
      <c r="W87" s="26"/>
      <c r="X87" s="26"/>
      <c r="Y87" s="26"/>
    </row>
    <row r="88" spans="2:25" s="31" customFormat="1" hidden="1">
      <c r="B88" s="32"/>
      <c r="C88" s="33"/>
      <c r="D88" s="33"/>
      <c r="E88" s="33"/>
      <c r="F88" s="33"/>
      <c r="G88" s="33"/>
      <c r="H88" s="33"/>
      <c r="I88" s="34"/>
      <c r="J88" s="34"/>
      <c r="K88" s="34"/>
      <c r="U88" s="26"/>
      <c r="V88" s="26"/>
      <c r="W88" s="26"/>
      <c r="X88" s="26"/>
      <c r="Y88" s="26"/>
    </row>
    <row r="89" spans="2:25" s="31" customFormat="1" hidden="1">
      <c r="B89" s="32"/>
      <c r="C89" s="33"/>
      <c r="D89" s="33"/>
      <c r="E89" s="33"/>
      <c r="F89" s="33"/>
      <c r="G89" s="33"/>
      <c r="H89" s="33"/>
      <c r="I89" s="34"/>
      <c r="J89" s="34"/>
      <c r="K89" s="34"/>
      <c r="U89" s="26"/>
      <c r="V89" s="26"/>
      <c r="W89" s="26"/>
      <c r="X89" s="26"/>
      <c r="Y89" s="26"/>
    </row>
    <row r="90" spans="2:25" s="31" customFormat="1" hidden="1">
      <c r="B90" s="32"/>
      <c r="C90" s="33"/>
      <c r="D90" s="33"/>
      <c r="E90" s="33"/>
      <c r="F90" s="33"/>
      <c r="G90" s="33"/>
      <c r="H90" s="33"/>
      <c r="I90" s="34"/>
      <c r="J90" s="34"/>
      <c r="K90" s="34"/>
      <c r="U90" s="26"/>
      <c r="V90" s="26"/>
      <c r="W90" s="26"/>
      <c r="X90" s="26"/>
      <c r="Y90" s="26"/>
    </row>
    <row r="91" spans="2:25" s="31" customFormat="1" hidden="1">
      <c r="B91" s="32"/>
      <c r="C91" s="33"/>
      <c r="D91" s="33"/>
      <c r="E91" s="33"/>
      <c r="F91" s="33"/>
      <c r="G91" s="33"/>
      <c r="H91" s="33"/>
      <c r="I91" s="34"/>
      <c r="J91" s="34"/>
      <c r="K91" s="34"/>
      <c r="U91" s="26"/>
      <c r="V91" s="26"/>
      <c r="W91" s="26"/>
      <c r="X91" s="26"/>
      <c r="Y91" s="26"/>
    </row>
    <row r="92" spans="2:25" s="31" customFormat="1" hidden="1">
      <c r="B92" s="32"/>
      <c r="C92" s="33"/>
      <c r="D92" s="33"/>
      <c r="E92" s="33"/>
      <c r="F92" s="33"/>
      <c r="G92" s="33"/>
      <c r="H92" s="33"/>
      <c r="I92" s="34"/>
      <c r="J92" s="34"/>
      <c r="K92" s="34"/>
      <c r="U92" s="26"/>
      <c r="V92" s="26"/>
      <c r="W92" s="26"/>
      <c r="X92" s="26"/>
      <c r="Y92" s="26"/>
    </row>
    <row r="93" spans="2:25" s="31" customFormat="1" hidden="1">
      <c r="B93" s="32"/>
      <c r="C93" s="33"/>
      <c r="D93" s="33"/>
      <c r="E93" s="33"/>
      <c r="F93" s="33"/>
      <c r="G93" s="33"/>
      <c r="H93" s="33"/>
      <c r="I93" s="34"/>
      <c r="J93" s="34"/>
      <c r="K93" s="34"/>
      <c r="U93" s="26"/>
      <c r="V93" s="26"/>
      <c r="W93" s="26"/>
      <c r="X93" s="26"/>
      <c r="Y93" s="26"/>
    </row>
    <row r="94" spans="2:25" s="31" customFormat="1" hidden="1">
      <c r="B94" s="32"/>
      <c r="C94" s="33"/>
      <c r="D94" s="33"/>
      <c r="E94" s="33"/>
      <c r="F94" s="33"/>
      <c r="G94" s="33"/>
      <c r="H94" s="33"/>
      <c r="I94" s="34"/>
      <c r="J94" s="34"/>
      <c r="K94" s="34"/>
      <c r="U94" s="26"/>
      <c r="V94" s="26"/>
      <c r="W94" s="26"/>
      <c r="X94" s="26"/>
      <c r="Y94" s="26"/>
    </row>
    <row r="95" spans="2:25" s="31" customFormat="1" hidden="1">
      <c r="B95" s="32"/>
      <c r="C95" s="33"/>
      <c r="D95" s="33"/>
      <c r="E95" s="33"/>
      <c r="F95" s="33"/>
      <c r="G95" s="33"/>
      <c r="H95" s="33"/>
      <c r="I95" s="34"/>
      <c r="J95" s="34"/>
      <c r="K95" s="34"/>
      <c r="U95" s="26"/>
      <c r="V95" s="26"/>
      <c r="W95" s="26"/>
      <c r="X95" s="26"/>
      <c r="Y95" s="26"/>
    </row>
    <row r="96" spans="2:25" s="31" customFormat="1" hidden="1">
      <c r="B96" s="32"/>
      <c r="C96" s="33"/>
      <c r="D96" s="33"/>
      <c r="E96" s="33"/>
      <c r="F96" s="33"/>
      <c r="G96" s="33"/>
      <c r="H96" s="33"/>
      <c r="I96" s="34"/>
      <c r="J96" s="34"/>
      <c r="K96" s="34"/>
      <c r="U96" s="26"/>
      <c r="V96" s="26"/>
      <c r="W96" s="26"/>
      <c r="X96" s="26"/>
      <c r="Y96" s="26"/>
    </row>
    <row r="97" spans="2:25" s="31" customFormat="1" hidden="1">
      <c r="B97" s="32"/>
      <c r="C97" s="33"/>
      <c r="D97" s="33"/>
      <c r="E97" s="33"/>
      <c r="F97" s="33"/>
      <c r="G97" s="33"/>
      <c r="H97" s="33"/>
      <c r="I97" s="34"/>
      <c r="J97" s="34"/>
      <c r="K97" s="34"/>
      <c r="U97" s="26"/>
      <c r="V97" s="26"/>
      <c r="W97" s="26"/>
      <c r="X97" s="26"/>
      <c r="Y97" s="26"/>
    </row>
    <row r="98" spans="2:25" s="31" customFormat="1" hidden="1">
      <c r="B98" s="32"/>
      <c r="C98" s="33"/>
      <c r="D98" s="33"/>
      <c r="E98" s="33"/>
      <c r="F98" s="33"/>
      <c r="G98" s="33"/>
      <c r="H98" s="33"/>
      <c r="I98" s="34"/>
      <c r="J98" s="34"/>
      <c r="K98" s="34"/>
      <c r="U98" s="26"/>
      <c r="V98" s="26"/>
      <c r="W98" s="26"/>
      <c r="X98" s="26"/>
      <c r="Y98" s="26"/>
    </row>
    <row r="99" spans="2:25" s="31" customFormat="1" hidden="1">
      <c r="B99" s="32"/>
      <c r="C99" s="33"/>
      <c r="D99" s="33"/>
      <c r="E99" s="33"/>
      <c r="F99" s="33"/>
      <c r="G99" s="33"/>
      <c r="H99" s="33"/>
      <c r="I99" s="34"/>
      <c r="J99" s="34"/>
      <c r="K99" s="34"/>
      <c r="U99" s="26"/>
      <c r="V99" s="26"/>
      <c r="W99" s="26"/>
      <c r="X99" s="26"/>
      <c r="Y99" s="26"/>
    </row>
    <row r="100" spans="2:25" s="31" customFormat="1" hidden="1">
      <c r="B100" s="32"/>
      <c r="C100" s="33"/>
      <c r="D100" s="33"/>
      <c r="E100" s="33"/>
      <c r="F100" s="33"/>
      <c r="G100" s="33"/>
      <c r="H100" s="33"/>
      <c r="I100" s="34"/>
      <c r="J100" s="34"/>
      <c r="K100" s="34"/>
      <c r="U100" s="26"/>
      <c r="V100" s="26"/>
      <c r="W100" s="26"/>
      <c r="X100" s="26"/>
      <c r="Y100" s="26"/>
    </row>
    <row r="101" spans="2:25" s="31" customFormat="1" hidden="1">
      <c r="B101" s="32"/>
      <c r="C101" s="33"/>
      <c r="D101" s="33"/>
      <c r="E101" s="33"/>
      <c r="F101" s="33"/>
      <c r="G101" s="33"/>
      <c r="H101" s="33"/>
      <c r="I101" s="34"/>
      <c r="J101" s="34"/>
      <c r="K101" s="34"/>
      <c r="U101" s="26"/>
      <c r="V101" s="26"/>
      <c r="W101" s="26"/>
      <c r="X101" s="26"/>
      <c r="Y101" s="26"/>
    </row>
    <row r="102" spans="2:25" s="31" customFormat="1" hidden="1">
      <c r="B102" s="32"/>
      <c r="C102" s="33"/>
      <c r="D102" s="33"/>
      <c r="E102" s="33"/>
      <c r="F102" s="33"/>
      <c r="G102" s="33"/>
      <c r="H102" s="33"/>
      <c r="I102" s="34"/>
      <c r="J102" s="34"/>
      <c r="K102" s="34"/>
      <c r="U102" s="26"/>
      <c r="V102" s="26"/>
      <c r="W102" s="26"/>
      <c r="X102" s="26"/>
      <c r="Y102" s="26"/>
    </row>
    <row r="103" spans="2:25" s="31" customFormat="1" hidden="1">
      <c r="B103" s="32"/>
      <c r="C103" s="33"/>
      <c r="D103" s="33"/>
      <c r="E103" s="33"/>
      <c r="F103" s="33"/>
      <c r="G103" s="33"/>
      <c r="H103" s="33"/>
      <c r="I103" s="34"/>
      <c r="J103" s="34"/>
      <c r="K103" s="34"/>
      <c r="U103" s="26"/>
      <c r="V103" s="26"/>
      <c r="W103" s="26"/>
      <c r="X103" s="26"/>
      <c r="Y103" s="26"/>
    </row>
    <row r="104" spans="2:25" s="31" customFormat="1" hidden="1">
      <c r="B104" s="32"/>
      <c r="C104" s="33"/>
      <c r="D104" s="33"/>
      <c r="E104" s="33"/>
      <c r="F104" s="33"/>
      <c r="G104" s="33"/>
      <c r="H104" s="33"/>
      <c r="I104" s="34"/>
      <c r="J104" s="34"/>
      <c r="K104" s="34"/>
      <c r="U104" s="26"/>
      <c r="V104" s="26"/>
      <c r="W104" s="26"/>
      <c r="X104" s="26"/>
      <c r="Y104" s="26"/>
    </row>
    <row r="105" spans="2:25" s="31" customFormat="1" hidden="1">
      <c r="B105" s="32"/>
      <c r="C105" s="33"/>
      <c r="D105" s="33"/>
      <c r="E105" s="33"/>
      <c r="F105" s="33"/>
      <c r="G105" s="33"/>
      <c r="H105" s="33"/>
      <c r="I105" s="34"/>
      <c r="J105" s="34"/>
      <c r="K105" s="34"/>
      <c r="U105" s="26"/>
      <c r="V105" s="26"/>
      <c r="W105" s="26"/>
      <c r="X105" s="26"/>
      <c r="Y105" s="26"/>
    </row>
    <row r="106" spans="2:25" s="31" customFormat="1" hidden="1">
      <c r="B106" s="32"/>
      <c r="C106" s="33"/>
      <c r="D106" s="33"/>
      <c r="E106" s="33"/>
      <c r="F106" s="33"/>
      <c r="G106" s="33"/>
      <c r="H106" s="33"/>
      <c r="I106" s="34"/>
      <c r="J106" s="34"/>
      <c r="K106" s="34"/>
      <c r="U106" s="26"/>
      <c r="V106" s="26"/>
      <c r="W106" s="26"/>
      <c r="X106" s="26"/>
      <c r="Y106" s="26"/>
    </row>
    <row r="107" spans="2:25" s="31" customFormat="1" hidden="1">
      <c r="B107" s="32"/>
      <c r="C107" s="33"/>
      <c r="D107" s="33"/>
      <c r="E107" s="33"/>
      <c r="F107" s="33"/>
      <c r="G107" s="33"/>
      <c r="H107" s="33"/>
      <c r="I107" s="34"/>
      <c r="J107" s="34"/>
      <c r="K107" s="34"/>
      <c r="U107" s="26"/>
      <c r="V107" s="26"/>
      <c r="W107" s="26"/>
      <c r="X107" s="26"/>
      <c r="Y107" s="26"/>
    </row>
    <row r="108" spans="2:25" s="31" customFormat="1" hidden="1">
      <c r="B108" s="32"/>
      <c r="C108" s="33"/>
      <c r="D108" s="33"/>
      <c r="E108" s="33"/>
      <c r="F108" s="33"/>
      <c r="G108" s="33"/>
      <c r="H108" s="33"/>
      <c r="I108" s="34"/>
      <c r="J108" s="34"/>
      <c r="K108" s="34"/>
      <c r="U108" s="26"/>
      <c r="V108" s="26"/>
      <c r="W108" s="26"/>
      <c r="X108" s="26"/>
      <c r="Y108" s="26"/>
    </row>
    <row r="109" spans="2:25" s="31" customFormat="1" hidden="1">
      <c r="B109" s="32"/>
      <c r="C109" s="33"/>
      <c r="D109" s="33"/>
      <c r="E109" s="33"/>
      <c r="F109" s="33"/>
      <c r="G109" s="33"/>
      <c r="H109" s="33"/>
      <c r="I109" s="34"/>
      <c r="J109" s="34"/>
      <c r="K109" s="34"/>
      <c r="U109" s="26"/>
      <c r="V109" s="26"/>
      <c r="W109" s="26"/>
      <c r="X109" s="26"/>
      <c r="Y109" s="26"/>
    </row>
    <row r="110" spans="2:25" s="31" customFormat="1" hidden="1">
      <c r="B110" s="32"/>
      <c r="C110" s="33"/>
      <c r="D110" s="33"/>
      <c r="E110" s="33"/>
      <c r="F110" s="33"/>
      <c r="G110" s="33"/>
      <c r="H110" s="33"/>
      <c r="I110" s="34"/>
      <c r="J110" s="34"/>
      <c r="K110" s="34"/>
      <c r="U110" s="26"/>
      <c r="V110" s="26"/>
      <c r="W110" s="26"/>
      <c r="X110" s="26"/>
      <c r="Y110" s="26"/>
    </row>
    <row r="111" spans="2:25" s="31" customFormat="1" hidden="1">
      <c r="B111" s="32"/>
      <c r="C111" s="33"/>
      <c r="D111" s="33"/>
      <c r="E111" s="33"/>
      <c r="F111" s="33"/>
      <c r="G111" s="33"/>
      <c r="H111" s="33"/>
      <c r="I111" s="34"/>
      <c r="J111" s="34"/>
      <c r="K111" s="34"/>
      <c r="U111" s="26"/>
      <c r="V111" s="26"/>
      <c r="W111" s="26"/>
      <c r="X111" s="26"/>
      <c r="Y111" s="26"/>
    </row>
    <row r="112" spans="2:25" s="31" customFormat="1" hidden="1">
      <c r="B112" s="32"/>
      <c r="C112" s="33"/>
      <c r="D112" s="33"/>
      <c r="E112" s="33"/>
      <c r="F112" s="33"/>
      <c r="G112" s="33"/>
      <c r="H112" s="33"/>
      <c r="I112" s="34"/>
      <c r="J112" s="34"/>
      <c r="K112" s="34"/>
      <c r="U112" s="26"/>
      <c r="V112" s="26"/>
      <c r="W112" s="26"/>
      <c r="X112" s="26"/>
      <c r="Y112" s="26"/>
    </row>
    <row r="113" spans="2:25" s="31" customFormat="1" hidden="1">
      <c r="B113" s="32"/>
      <c r="C113" s="33"/>
      <c r="D113" s="33"/>
      <c r="E113" s="33"/>
      <c r="F113" s="33"/>
      <c r="G113" s="33"/>
      <c r="H113" s="33"/>
      <c r="I113" s="34"/>
      <c r="J113" s="34"/>
      <c r="K113" s="34"/>
      <c r="U113" s="26"/>
      <c r="V113" s="26"/>
      <c r="W113" s="26"/>
      <c r="X113" s="26"/>
      <c r="Y113" s="26"/>
    </row>
    <row r="114" spans="2:25" s="31" customFormat="1" hidden="1">
      <c r="B114" s="32"/>
      <c r="C114" s="33"/>
      <c r="D114" s="33"/>
      <c r="E114" s="33"/>
      <c r="F114" s="33"/>
      <c r="G114" s="33"/>
      <c r="H114" s="33"/>
      <c r="I114" s="34"/>
      <c r="J114" s="34"/>
      <c r="K114" s="34"/>
      <c r="U114" s="26"/>
      <c r="V114" s="26"/>
      <c r="W114" s="26"/>
      <c r="X114" s="26"/>
      <c r="Y114" s="26"/>
    </row>
    <row r="115" spans="2:25" s="31" customFormat="1" hidden="1">
      <c r="B115" s="32"/>
      <c r="C115" s="33"/>
      <c r="D115" s="33"/>
      <c r="E115" s="33"/>
      <c r="F115" s="33"/>
      <c r="G115" s="33"/>
      <c r="H115" s="33"/>
      <c r="I115" s="34"/>
      <c r="J115" s="34"/>
      <c r="K115" s="34"/>
      <c r="U115" s="26"/>
      <c r="V115" s="26"/>
      <c r="W115" s="26"/>
      <c r="X115" s="26"/>
      <c r="Y115" s="26"/>
    </row>
    <row r="116" spans="2:25" s="31" customFormat="1" hidden="1">
      <c r="B116" s="32"/>
      <c r="C116" s="33"/>
      <c r="D116" s="33"/>
      <c r="E116" s="33"/>
      <c r="F116" s="33"/>
      <c r="G116" s="33"/>
      <c r="H116" s="33"/>
      <c r="I116" s="34"/>
      <c r="J116" s="34"/>
      <c r="K116" s="34"/>
      <c r="U116" s="26"/>
      <c r="V116" s="26"/>
      <c r="W116" s="26"/>
      <c r="X116" s="26"/>
      <c r="Y116" s="26"/>
    </row>
    <row r="117" spans="2:25" s="31" customFormat="1" hidden="1">
      <c r="B117" s="32"/>
      <c r="C117" s="33"/>
      <c r="D117" s="33"/>
      <c r="E117" s="33"/>
      <c r="F117" s="33"/>
      <c r="G117" s="33"/>
      <c r="H117" s="33"/>
      <c r="I117" s="34"/>
      <c r="J117" s="34"/>
      <c r="K117" s="34"/>
      <c r="U117" s="26"/>
      <c r="V117" s="26"/>
      <c r="W117" s="26"/>
      <c r="X117" s="26"/>
      <c r="Y117" s="26"/>
    </row>
    <row r="118" spans="2:25" s="31" customFormat="1" hidden="1">
      <c r="B118" s="32"/>
      <c r="C118" s="33"/>
      <c r="D118" s="33"/>
      <c r="E118" s="33"/>
      <c r="F118" s="33"/>
      <c r="G118" s="33"/>
      <c r="H118" s="33"/>
      <c r="I118" s="34"/>
      <c r="J118" s="34"/>
      <c r="K118" s="34"/>
      <c r="U118" s="26"/>
      <c r="V118" s="26"/>
      <c r="W118" s="26"/>
      <c r="X118" s="26"/>
      <c r="Y118" s="26"/>
    </row>
    <row r="119" spans="2:25" s="31" customFormat="1" hidden="1">
      <c r="B119" s="32"/>
      <c r="C119" s="33"/>
      <c r="D119" s="33"/>
      <c r="E119" s="33"/>
      <c r="F119" s="33"/>
      <c r="G119" s="33"/>
      <c r="H119" s="33"/>
      <c r="I119" s="34"/>
      <c r="J119" s="34"/>
      <c r="K119" s="34"/>
      <c r="U119" s="26"/>
      <c r="V119" s="26"/>
      <c r="W119" s="26"/>
      <c r="X119" s="26"/>
      <c r="Y119" s="26"/>
    </row>
    <row r="120" spans="2:25" s="31" customFormat="1" hidden="1">
      <c r="B120" s="32"/>
      <c r="C120" s="33"/>
      <c r="D120" s="33"/>
      <c r="E120" s="33"/>
      <c r="F120" s="33"/>
      <c r="G120" s="33"/>
      <c r="H120" s="33"/>
      <c r="I120" s="34"/>
      <c r="J120" s="34"/>
      <c r="K120" s="34"/>
      <c r="U120" s="26"/>
      <c r="V120" s="26"/>
      <c r="W120" s="26"/>
      <c r="X120" s="26"/>
      <c r="Y120" s="26"/>
    </row>
    <row r="121" spans="2:25" s="31" customFormat="1" hidden="1">
      <c r="B121" s="32"/>
      <c r="C121" s="33"/>
      <c r="D121" s="33"/>
      <c r="E121" s="33"/>
      <c r="F121" s="33"/>
      <c r="G121" s="33"/>
      <c r="H121" s="33"/>
      <c r="I121" s="34"/>
      <c r="J121" s="34"/>
      <c r="K121" s="34"/>
      <c r="U121" s="26"/>
      <c r="V121" s="26"/>
      <c r="W121" s="26"/>
      <c r="X121" s="26"/>
      <c r="Y121" s="26"/>
    </row>
    <row r="122" spans="2:25" s="31" customFormat="1" hidden="1">
      <c r="B122" s="32"/>
      <c r="C122" s="33"/>
      <c r="D122" s="33"/>
      <c r="E122" s="33"/>
      <c r="F122" s="33"/>
      <c r="G122" s="33"/>
      <c r="H122" s="33"/>
      <c r="I122" s="34"/>
      <c r="J122" s="34"/>
      <c r="K122" s="34"/>
      <c r="U122" s="26"/>
      <c r="V122" s="26"/>
      <c r="W122" s="26"/>
      <c r="X122" s="26"/>
      <c r="Y122" s="26"/>
    </row>
    <row r="123" spans="2:25" s="31" customFormat="1" hidden="1">
      <c r="B123" s="32"/>
      <c r="C123" s="33"/>
      <c r="D123" s="33"/>
      <c r="E123" s="33"/>
      <c r="F123" s="33"/>
      <c r="G123" s="33"/>
      <c r="H123" s="33"/>
      <c r="I123" s="34"/>
      <c r="J123" s="34"/>
      <c r="K123" s="34"/>
      <c r="U123" s="26"/>
      <c r="V123" s="26"/>
      <c r="W123" s="26"/>
      <c r="X123" s="26"/>
      <c r="Y123" s="26"/>
    </row>
    <row r="124" spans="2:25" s="31" customFormat="1" hidden="1">
      <c r="B124" s="32"/>
      <c r="C124" s="33"/>
      <c r="D124" s="33"/>
      <c r="E124" s="33"/>
      <c r="F124" s="33"/>
      <c r="G124" s="33"/>
      <c r="H124" s="33"/>
      <c r="I124" s="34"/>
      <c r="J124" s="34"/>
      <c r="K124" s="34"/>
      <c r="U124" s="26"/>
      <c r="V124" s="26"/>
      <c r="W124" s="26"/>
      <c r="X124" s="26"/>
      <c r="Y124" s="26"/>
    </row>
    <row r="125" spans="2:25" s="31" customFormat="1" hidden="1">
      <c r="B125" s="32"/>
      <c r="C125" s="33"/>
      <c r="D125" s="33"/>
      <c r="E125" s="33"/>
      <c r="F125" s="33"/>
      <c r="G125" s="33"/>
      <c r="H125" s="33"/>
      <c r="I125" s="34"/>
      <c r="J125" s="34"/>
      <c r="K125" s="34"/>
      <c r="U125" s="26"/>
      <c r="V125" s="26"/>
      <c r="W125" s="26"/>
      <c r="X125" s="26"/>
      <c r="Y125" s="26"/>
    </row>
    <row r="126" spans="2:25" s="31" customFormat="1" hidden="1">
      <c r="B126" s="32"/>
      <c r="C126" s="33"/>
      <c r="D126" s="33"/>
      <c r="E126" s="33"/>
      <c r="F126" s="33"/>
      <c r="G126" s="33"/>
      <c r="H126" s="33"/>
      <c r="I126" s="34"/>
      <c r="J126" s="34"/>
      <c r="K126" s="34"/>
      <c r="U126" s="26"/>
      <c r="V126" s="26"/>
      <c r="W126" s="26"/>
      <c r="X126" s="26"/>
      <c r="Y126" s="26"/>
    </row>
    <row r="127" spans="2:25" s="31" customFormat="1" hidden="1">
      <c r="B127" s="32"/>
      <c r="C127" s="33"/>
      <c r="D127" s="33"/>
      <c r="E127" s="33"/>
      <c r="F127" s="33"/>
      <c r="G127" s="33"/>
      <c r="H127" s="33"/>
      <c r="I127" s="34"/>
      <c r="J127" s="34"/>
      <c r="K127" s="34"/>
      <c r="U127" s="26"/>
      <c r="V127" s="26"/>
      <c r="W127" s="26"/>
      <c r="X127" s="26"/>
      <c r="Y127" s="26"/>
    </row>
    <row r="128" spans="2:25" s="31" customFormat="1" hidden="1">
      <c r="B128" s="32"/>
      <c r="C128" s="33"/>
      <c r="D128" s="33"/>
      <c r="E128" s="33"/>
      <c r="F128" s="33"/>
      <c r="G128" s="33"/>
      <c r="H128" s="33"/>
      <c r="I128" s="34"/>
      <c r="J128" s="34"/>
      <c r="K128" s="34"/>
      <c r="U128" s="26"/>
      <c r="V128" s="26"/>
      <c r="W128" s="26"/>
      <c r="X128" s="26"/>
      <c r="Y128" s="26"/>
    </row>
    <row r="129" spans="2:25" s="31" customFormat="1" hidden="1">
      <c r="B129" s="32"/>
      <c r="C129" s="33"/>
      <c r="D129" s="33"/>
      <c r="E129" s="33"/>
      <c r="F129" s="33"/>
      <c r="G129" s="33"/>
      <c r="H129" s="33"/>
      <c r="I129" s="34"/>
      <c r="J129" s="34"/>
      <c r="K129" s="34"/>
      <c r="U129" s="26"/>
      <c r="V129" s="26"/>
      <c r="W129" s="26"/>
      <c r="X129" s="26"/>
      <c r="Y129" s="26"/>
    </row>
    <row r="130" spans="2:25" s="31" customFormat="1" hidden="1">
      <c r="B130" s="32"/>
      <c r="C130" s="33"/>
      <c r="D130" s="33"/>
      <c r="E130" s="33"/>
      <c r="F130" s="33"/>
      <c r="G130" s="33"/>
      <c r="H130" s="33"/>
      <c r="I130" s="34"/>
      <c r="J130" s="34"/>
      <c r="K130" s="34"/>
      <c r="U130" s="26"/>
      <c r="V130" s="26"/>
      <c r="W130" s="26"/>
      <c r="X130" s="26"/>
      <c r="Y130" s="26"/>
    </row>
    <row r="131" spans="2:25" s="31" customFormat="1" hidden="1">
      <c r="B131" s="32"/>
      <c r="C131" s="33"/>
      <c r="D131" s="33"/>
      <c r="E131" s="33"/>
      <c r="F131" s="33"/>
      <c r="G131" s="33"/>
      <c r="H131" s="33"/>
      <c r="I131" s="34"/>
      <c r="J131" s="34"/>
      <c r="K131" s="34"/>
      <c r="U131" s="26"/>
      <c r="V131" s="26"/>
      <c r="W131" s="26"/>
      <c r="X131" s="26"/>
      <c r="Y131" s="26"/>
    </row>
    <row r="132" spans="2:25" s="31" customFormat="1" hidden="1">
      <c r="B132" s="32"/>
      <c r="C132" s="33"/>
      <c r="D132" s="33"/>
      <c r="E132" s="33"/>
      <c r="F132" s="33"/>
      <c r="G132" s="33"/>
      <c r="H132" s="33"/>
      <c r="I132" s="34"/>
      <c r="J132" s="34"/>
      <c r="K132" s="34"/>
      <c r="U132" s="26"/>
      <c r="V132" s="26"/>
      <c r="W132" s="26"/>
      <c r="X132" s="26"/>
      <c r="Y132" s="26"/>
    </row>
    <row r="133" spans="2:25" s="31" customFormat="1" hidden="1">
      <c r="B133" s="32"/>
      <c r="C133" s="33"/>
      <c r="D133" s="33"/>
      <c r="E133" s="33"/>
      <c r="F133" s="33"/>
      <c r="G133" s="33"/>
      <c r="H133" s="33"/>
      <c r="I133" s="34"/>
      <c r="J133" s="34"/>
      <c r="K133" s="34"/>
      <c r="U133" s="26"/>
      <c r="V133" s="26"/>
      <c r="W133" s="26"/>
      <c r="X133" s="26"/>
      <c r="Y133" s="26"/>
    </row>
    <row r="134" spans="2:25" s="31" customFormat="1" hidden="1">
      <c r="B134" s="32"/>
      <c r="C134" s="33"/>
      <c r="D134" s="33"/>
      <c r="E134" s="33"/>
      <c r="F134" s="33"/>
      <c r="G134" s="33"/>
      <c r="H134" s="33"/>
      <c r="I134" s="34"/>
      <c r="J134" s="34"/>
      <c r="K134" s="34"/>
      <c r="U134" s="26"/>
      <c r="V134" s="26"/>
      <c r="W134" s="26"/>
      <c r="X134" s="26"/>
      <c r="Y134" s="26"/>
    </row>
    <row r="135" spans="2:25" s="31" customFormat="1" hidden="1">
      <c r="B135" s="32"/>
      <c r="C135" s="33"/>
      <c r="D135" s="33"/>
      <c r="E135" s="33"/>
      <c r="F135" s="33"/>
      <c r="G135" s="33"/>
      <c r="H135" s="33"/>
      <c r="I135" s="34"/>
      <c r="J135" s="34"/>
      <c r="K135" s="34"/>
      <c r="U135" s="26"/>
      <c r="V135" s="26"/>
      <c r="W135" s="26"/>
      <c r="X135" s="26"/>
      <c r="Y135" s="26"/>
    </row>
    <row r="136" spans="2:25" s="31" customFormat="1" hidden="1">
      <c r="B136" s="32"/>
      <c r="C136" s="33"/>
      <c r="D136" s="33"/>
      <c r="E136" s="33"/>
      <c r="F136" s="33"/>
      <c r="G136" s="33"/>
      <c r="H136" s="33"/>
      <c r="I136" s="34"/>
      <c r="J136" s="34"/>
      <c r="K136" s="34"/>
      <c r="U136" s="26"/>
      <c r="V136" s="26"/>
      <c r="W136" s="26"/>
      <c r="X136" s="26"/>
      <c r="Y136" s="26"/>
    </row>
    <row r="137" spans="2:25" s="31" customFormat="1" hidden="1">
      <c r="B137" s="32"/>
      <c r="C137" s="33"/>
      <c r="D137" s="33"/>
      <c r="E137" s="33"/>
      <c r="F137" s="33"/>
      <c r="G137" s="33"/>
      <c r="H137" s="33"/>
      <c r="I137" s="34"/>
      <c r="J137" s="34"/>
      <c r="K137" s="34"/>
      <c r="U137" s="26"/>
      <c r="V137" s="26"/>
      <c r="W137" s="26"/>
      <c r="X137" s="26"/>
      <c r="Y137" s="26"/>
    </row>
    <row r="138" spans="2:25" s="31" customFormat="1" hidden="1">
      <c r="B138" s="32"/>
      <c r="C138" s="33"/>
      <c r="D138" s="33"/>
      <c r="E138" s="33"/>
      <c r="F138" s="33"/>
      <c r="G138" s="33"/>
      <c r="H138" s="33"/>
      <c r="I138" s="34"/>
      <c r="J138" s="34"/>
      <c r="K138" s="34"/>
      <c r="U138" s="26"/>
      <c r="V138" s="26"/>
      <c r="W138" s="26"/>
      <c r="X138" s="26"/>
      <c r="Y138" s="26"/>
    </row>
    <row r="139" spans="2:25" s="31" customFormat="1" hidden="1">
      <c r="B139" s="32"/>
      <c r="C139" s="33"/>
      <c r="D139" s="33"/>
      <c r="E139" s="33"/>
      <c r="F139" s="33"/>
      <c r="G139" s="33"/>
      <c r="H139" s="33"/>
      <c r="I139" s="34"/>
      <c r="J139" s="34"/>
      <c r="K139" s="34"/>
      <c r="U139" s="26"/>
      <c r="V139" s="26"/>
      <c r="W139" s="26"/>
      <c r="X139" s="26"/>
      <c r="Y139" s="26"/>
    </row>
    <row r="140" spans="2:25" s="31" customFormat="1" hidden="1">
      <c r="B140" s="32"/>
      <c r="C140" s="33"/>
      <c r="D140" s="33"/>
      <c r="E140" s="33"/>
      <c r="F140" s="33"/>
      <c r="G140" s="33"/>
      <c r="H140" s="33"/>
      <c r="I140" s="34"/>
      <c r="J140" s="34"/>
      <c r="K140" s="34"/>
      <c r="U140" s="26"/>
      <c r="V140" s="26"/>
      <c r="W140" s="26"/>
      <c r="X140" s="26"/>
      <c r="Y140" s="26"/>
    </row>
    <row r="141" spans="2:25" s="31" customFormat="1" hidden="1">
      <c r="B141" s="32"/>
      <c r="C141" s="33"/>
      <c r="D141" s="33"/>
      <c r="E141" s="33"/>
      <c r="F141" s="33"/>
      <c r="G141" s="33"/>
      <c r="H141" s="33"/>
      <c r="I141" s="34"/>
      <c r="J141" s="34"/>
      <c r="K141" s="34"/>
      <c r="U141" s="26"/>
      <c r="V141" s="26"/>
      <c r="W141" s="26"/>
      <c r="X141" s="26"/>
      <c r="Y141" s="26"/>
    </row>
    <row r="142" spans="2:25" s="31" customFormat="1" hidden="1">
      <c r="B142" s="32"/>
      <c r="C142" s="33"/>
      <c r="D142" s="33"/>
      <c r="E142" s="33"/>
      <c r="F142" s="33"/>
      <c r="G142" s="33"/>
      <c r="H142" s="33"/>
      <c r="I142" s="34"/>
      <c r="J142" s="34"/>
      <c r="K142" s="34"/>
      <c r="U142" s="26"/>
      <c r="V142" s="26"/>
      <c r="W142" s="26"/>
      <c r="X142" s="26"/>
      <c r="Y142" s="26"/>
    </row>
    <row r="143" spans="2:25" s="31" customFormat="1" hidden="1">
      <c r="B143" s="32"/>
      <c r="C143" s="33"/>
      <c r="D143" s="33"/>
      <c r="E143" s="33"/>
      <c r="F143" s="33"/>
      <c r="G143" s="33"/>
      <c r="H143" s="33"/>
      <c r="I143" s="34"/>
      <c r="J143" s="34"/>
      <c r="K143" s="34"/>
      <c r="U143" s="26"/>
      <c r="V143" s="26"/>
      <c r="W143" s="26"/>
      <c r="X143" s="26"/>
      <c r="Y143" s="26"/>
    </row>
    <row r="144" spans="2:25" s="31" customFormat="1" hidden="1">
      <c r="B144" s="32"/>
      <c r="C144" s="33"/>
      <c r="D144" s="33"/>
      <c r="E144" s="33"/>
      <c r="F144" s="33"/>
      <c r="G144" s="33"/>
      <c r="H144" s="33"/>
      <c r="I144" s="34"/>
      <c r="J144" s="34"/>
      <c r="K144" s="34"/>
      <c r="U144" s="26"/>
      <c r="V144" s="26"/>
      <c r="W144" s="26"/>
      <c r="X144" s="26"/>
      <c r="Y144" s="26"/>
    </row>
    <row r="145" spans="2:25" s="31" customFormat="1" hidden="1">
      <c r="B145" s="3"/>
      <c r="C145" s="4"/>
      <c r="D145" s="4"/>
      <c r="E145" s="4"/>
      <c r="F145" s="4"/>
      <c r="G145" s="4"/>
      <c r="H145" s="4"/>
      <c r="I145" s="2"/>
      <c r="J145" s="2"/>
      <c r="K145" s="2"/>
      <c r="P145" s="1"/>
      <c r="U145" s="26"/>
      <c r="V145" s="26"/>
      <c r="W145" s="26"/>
      <c r="X145" s="26"/>
      <c r="Y145" s="26"/>
    </row>
    <row r="146" spans="2:25" s="31" customFormat="1" hidden="1">
      <c r="B146" s="3"/>
      <c r="C146" s="4"/>
      <c r="D146" s="4"/>
      <c r="E146" s="4"/>
      <c r="F146" s="4"/>
      <c r="G146" s="4"/>
      <c r="H146" s="4"/>
      <c r="I146" s="2"/>
      <c r="J146" s="2"/>
      <c r="K146" s="2"/>
      <c r="P146" s="1"/>
      <c r="U146" s="26"/>
      <c r="V146" s="26"/>
      <c r="W146" s="26"/>
      <c r="X146" s="26"/>
      <c r="Y146" s="26"/>
    </row>
    <row r="147" spans="2:25" s="31" customFormat="1" hidden="1">
      <c r="B147" s="3"/>
      <c r="C147" s="4"/>
      <c r="D147" s="4"/>
      <c r="E147" s="4"/>
      <c r="F147" s="4"/>
      <c r="G147" s="4"/>
      <c r="H147" s="4"/>
      <c r="I147" s="2"/>
      <c r="J147" s="2"/>
      <c r="K147" s="2"/>
      <c r="P147" s="1"/>
      <c r="U147" s="26"/>
      <c r="V147" s="26"/>
      <c r="W147" s="26"/>
      <c r="X147" s="26"/>
      <c r="Y147" s="26"/>
    </row>
    <row r="148" spans="2:25" s="31" customFormat="1" hidden="1">
      <c r="B148" s="3"/>
      <c r="C148" s="4"/>
      <c r="D148" s="4"/>
      <c r="E148" s="4"/>
      <c r="F148" s="4"/>
      <c r="G148" s="4"/>
      <c r="H148" s="4"/>
      <c r="I148" s="2"/>
      <c r="J148" s="2"/>
      <c r="K148" s="2"/>
      <c r="P148" s="1"/>
      <c r="U148" s="26"/>
      <c r="V148" s="26"/>
      <c r="W148" s="26"/>
      <c r="X148" s="26"/>
      <c r="Y148" s="26"/>
    </row>
    <row r="149" spans="2:25" s="31" customFormat="1" hidden="1">
      <c r="B149" s="3"/>
      <c r="C149" s="4"/>
      <c r="D149" s="4"/>
      <c r="E149" s="4"/>
      <c r="F149" s="4"/>
      <c r="G149" s="4"/>
      <c r="H149" s="4"/>
      <c r="I149" s="2"/>
      <c r="J149" s="2"/>
      <c r="K149" s="2"/>
      <c r="P149" s="1"/>
      <c r="U149" s="26"/>
      <c r="V149" s="26"/>
      <c r="W149" s="26"/>
      <c r="X149" s="26"/>
      <c r="Y149" s="26"/>
    </row>
    <row r="150" spans="2:25" s="31" customFormat="1" hidden="1">
      <c r="B150" s="3"/>
      <c r="C150" s="4"/>
      <c r="D150" s="4"/>
      <c r="E150" s="4"/>
      <c r="F150" s="4"/>
      <c r="G150" s="4"/>
      <c r="H150" s="4"/>
      <c r="I150" s="2"/>
      <c r="J150" s="2"/>
      <c r="K150" s="2"/>
      <c r="P150" s="1"/>
      <c r="U150" s="26"/>
      <c r="V150" s="26"/>
      <c r="W150" s="26"/>
      <c r="X150" s="26"/>
      <c r="Y150" s="26"/>
    </row>
    <row r="151" spans="2:25" s="31" customFormat="1" hidden="1">
      <c r="B151" s="3"/>
      <c r="C151" s="4"/>
      <c r="D151" s="4"/>
      <c r="E151" s="4"/>
      <c r="F151" s="4"/>
      <c r="G151" s="4"/>
      <c r="H151" s="4"/>
      <c r="I151" s="2"/>
      <c r="J151" s="2"/>
      <c r="K151" s="2"/>
      <c r="P151" s="1"/>
      <c r="U151" s="26"/>
      <c r="V151" s="26"/>
      <c r="W151" s="26"/>
      <c r="X151" s="26"/>
      <c r="Y151" s="26"/>
    </row>
    <row r="152" spans="2:25" s="31" customFormat="1" hidden="1">
      <c r="B152" s="3"/>
      <c r="C152" s="4"/>
      <c r="D152" s="4"/>
      <c r="E152" s="4"/>
      <c r="F152" s="4"/>
      <c r="G152" s="4"/>
      <c r="H152" s="4"/>
      <c r="I152" s="2"/>
      <c r="J152" s="2"/>
      <c r="K152" s="2"/>
      <c r="P152" s="1"/>
      <c r="U152" s="26"/>
      <c r="V152" s="26"/>
      <c r="W152" s="26"/>
      <c r="X152" s="26"/>
      <c r="Y152" s="26"/>
    </row>
    <row r="153" spans="2:25" s="31" customFormat="1" hidden="1">
      <c r="B153" s="3"/>
      <c r="C153" s="4"/>
      <c r="D153" s="4"/>
      <c r="E153" s="4"/>
      <c r="F153" s="4"/>
      <c r="G153" s="4"/>
      <c r="H153" s="4"/>
      <c r="I153" s="2"/>
      <c r="J153" s="2"/>
      <c r="K153" s="2"/>
      <c r="P153" s="1"/>
      <c r="U153" s="26"/>
      <c r="V153" s="26"/>
      <c r="W153" s="26"/>
      <c r="X153" s="26"/>
      <c r="Y153" s="26"/>
    </row>
    <row r="154" spans="2:25" s="31" customFormat="1" hidden="1">
      <c r="B154" s="3"/>
      <c r="C154" s="4"/>
      <c r="D154" s="4"/>
      <c r="E154" s="4"/>
      <c r="F154" s="4"/>
      <c r="G154" s="4"/>
      <c r="H154" s="4"/>
      <c r="I154" s="2"/>
      <c r="J154" s="2"/>
      <c r="K154" s="2"/>
      <c r="P154" s="1"/>
      <c r="U154" s="26"/>
      <c r="V154" s="26"/>
      <c r="W154" s="26"/>
      <c r="X154" s="26"/>
      <c r="Y154" s="26"/>
    </row>
    <row r="155" spans="2:25" s="31" customFormat="1" hidden="1">
      <c r="B155" s="3"/>
      <c r="C155" s="4"/>
      <c r="D155" s="4"/>
      <c r="E155" s="4"/>
      <c r="F155" s="4"/>
      <c r="G155" s="4"/>
      <c r="H155" s="4"/>
      <c r="I155" s="2"/>
      <c r="J155" s="2"/>
      <c r="K155" s="2"/>
      <c r="P155" s="1"/>
      <c r="U155" s="26"/>
      <c r="V155" s="26"/>
      <c r="W155" s="26"/>
      <c r="X155" s="26"/>
      <c r="Y155" s="26"/>
    </row>
    <row r="156" spans="2:25" s="31" customFormat="1" hidden="1">
      <c r="B156" s="3"/>
      <c r="C156" s="4"/>
      <c r="D156" s="4"/>
      <c r="E156" s="4"/>
      <c r="F156" s="4"/>
      <c r="G156" s="4"/>
      <c r="H156" s="4"/>
      <c r="I156" s="2"/>
      <c r="J156" s="2"/>
      <c r="K156" s="2"/>
      <c r="P156" s="1"/>
      <c r="U156" s="26"/>
      <c r="V156" s="26"/>
      <c r="W156" s="26"/>
      <c r="X156" s="26"/>
      <c r="Y156" s="26"/>
    </row>
    <row r="157" spans="2:25" s="31" customFormat="1" hidden="1">
      <c r="B157" s="3"/>
      <c r="C157" s="4"/>
      <c r="D157" s="4"/>
      <c r="E157" s="4"/>
      <c r="F157" s="4"/>
      <c r="G157" s="4"/>
      <c r="H157" s="4"/>
      <c r="I157" s="2"/>
      <c r="J157" s="2"/>
      <c r="K157" s="2"/>
      <c r="P157" s="1"/>
      <c r="U157" s="26"/>
      <c r="V157" s="26"/>
      <c r="W157" s="26"/>
      <c r="X157" s="26"/>
      <c r="Y157" s="26"/>
    </row>
    <row r="158" spans="2:25" s="31" customFormat="1" hidden="1">
      <c r="B158" s="3"/>
      <c r="C158" s="4"/>
      <c r="D158" s="4"/>
      <c r="E158" s="4"/>
      <c r="F158" s="4"/>
      <c r="G158" s="4"/>
      <c r="H158" s="4"/>
      <c r="I158" s="2"/>
      <c r="J158" s="2"/>
      <c r="K158" s="2"/>
      <c r="P158" s="1"/>
      <c r="U158" s="26"/>
      <c r="V158" s="26"/>
      <c r="W158" s="26"/>
      <c r="X158" s="26"/>
      <c r="Y158" s="26"/>
    </row>
    <row r="159" spans="2:25" s="31" customFormat="1" hidden="1">
      <c r="B159" s="3"/>
      <c r="C159" s="4"/>
      <c r="D159" s="4"/>
      <c r="E159" s="4"/>
      <c r="F159" s="4"/>
      <c r="G159" s="4"/>
      <c r="H159" s="4"/>
      <c r="I159" s="2"/>
      <c r="J159" s="2"/>
      <c r="K159" s="2"/>
      <c r="P159" s="1"/>
      <c r="U159" s="26"/>
      <c r="V159" s="26"/>
      <c r="W159" s="26"/>
      <c r="X159" s="26"/>
      <c r="Y159" s="26"/>
    </row>
    <row r="160" spans="2:25" s="31" customFormat="1" hidden="1">
      <c r="B160" s="3"/>
      <c r="C160" s="4"/>
      <c r="D160" s="4"/>
      <c r="E160" s="4"/>
      <c r="F160" s="4"/>
      <c r="G160" s="4"/>
      <c r="H160" s="4"/>
      <c r="I160" s="2"/>
      <c r="J160" s="2"/>
      <c r="K160" s="2"/>
      <c r="P160" s="1"/>
      <c r="U160" s="26"/>
      <c r="V160" s="26"/>
      <c r="W160" s="26"/>
      <c r="X160" s="26"/>
      <c r="Y160" s="26"/>
    </row>
    <row r="161" spans="2:25" s="31" customFormat="1" hidden="1">
      <c r="B161" s="3"/>
      <c r="C161" s="4"/>
      <c r="D161" s="4"/>
      <c r="E161" s="4"/>
      <c r="F161" s="4"/>
      <c r="G161" s="4"/>
      <c r="H161" s="4"/>
      <c r="I161" s="2"/>
      <c r="J161" s="2"/>
      <c r="K161" s="2"/>
      <c r="P161"/>
      <c r="U161" s="26"/>
      <c r="V161" s="26"/>
      <c r="W161" s="26"/>
      <c r="X161" s="26"/>
      <c r="Y161" s="26"/>
    </row>
    <row r="162" spans="2:25" s="31" customFormat="1" hidden="1">
      <c r="B162" s="3"/>
      <c r="C162" s="4"/>
      <c r="D162" s="4"/>
      <c r="E162" s="4"/>
      <c r="F162" s="4"/>
      <c r="G162" s="4"/>
      <c r="H162" s="4"/>
      <c r="I162" s="2"/>
      <c r="J162" s="2"/>
      <c r="K162" s="2"/>
      <c r="P162"/>
      <c r="U162" s="26"/>
      <c r="V162" s="26"/>
      <c r="W162" s="26"/>
      <c r="X162" s="26"/>
      <c r="Y162" s="26"/>
    </row>
    <row r="163" spans="2:25" s="31" customFormat="1" hidden="1">
      <c r="B163" s="3"/>
      <c r="C163" s="4"/>
      <c r="D163" s="4"/>
      <c r="E163" s="4"/>
      <c r="F163" s="4"/>
      <c r="G163" s="4"/>
      <c r="H163" s="4"/>
      <c r="I163" s="2"/>
      <c r="J163" s="2"/>
      <c r="K163" s="2"/>
      <c r="P163"/>
      <c r="U163" s="26"/>
      <c r="V163" s="26"/>
      <c r="W163" s="26"/>
      <c r="X163" s="26"/>
      <c r="Y163" s="26"/>
    </row>
    <row r="164" spans="2:25" s="31" customFormat="1" hidden="1">
      <c r="B164" s="3"/>
      <c r="C164" s="4"/>
      <c r="D164" s="4"/>
      <c r="E164" s="4"/>
      <c r="F164" s="4"/>
      <c r="G164" s="4"/>
      <c r="H164" s="4"/>
      <c r="I164" s="2"/>
      <c r="J164" s="2"/>
      <c r="K164" s="2"/>
      <c r="P164"/>
      <c r="U164" s="26"/>
      <c r="V164" s="26"/>
      <c r="W164" s="26"/>
      <c r="X164" s="26"/>
      <c r="Y164" s="26"/>
    </row>
    <row r="165" spans="2:25" s="31" customFormat="1" hidden="1">
      <c r="B165" s="3"/>
      <c r="C165" s="4"/>
      <c r="D165" s="4"/>
      <c r="E165" s="4"/>
      <c r="F165" s="4"/>
      <c r="G165" s="4"/>
      <c r="H165" s="4"/>
      <c r="I165" s="2"/>
      <c r="J165" s="2"/>
      <c r="K165" s="2"/>
      <c r="P165"/>
      <c r="U165" s="26"/>
      <c r="V165" s="26"/>
      <c r="W165" s="26"/>
      <c r="X165" s="26"/>
      <c r="Y165" s="26"/>
    </row>
    <row r="166" spans="2:25" s="31" customFormat="1" hidden="1">
      <c r="B166" s="3"/>
      <c r="C166" s="4"/>
      <c r="D166" s="4"/>
      <c r="E166" s="4"/>
      <c r="F166" s="4"/>
      <c r="G166" s="4"/>
      <c r="H166" s="4"/>
      <c r="I166" s="2"/>
      <c r="J166" s="2"/>
      <c r="K166" s="2"/>
      <c r="P166"/>
      <c r="U166" s="26"/>
      <c r="V166" s="26"/>
      <c r="W166" s="26"/>
      <c r="X166" s="26"/>
      <c r="Y166" s="26"/>
    </row>
    <row r="167" spans="2:25" s="31" customFormat="1" hidden="1">
      <c r="B167" s="3"/>
      <c r="C167" s="4"/>
      <c r="D167" s="4"/>
      <c r="E167" s="4"/>
      <c r="F167" s="4"/>
      <c r="G167" s="4"/>
      <c r="H167" s="4"/>
      <c r="I167" s="2"/>
      <c r="J167" s="2"/>
      <c r="K167" s="2"/>
      <c r="P167"/>
      <c r="U167" s="26"/>
      <c r="V167" s="26"/>
      <c r="W167" s="26"/>
      <c r="X167" s="26"/>
      <c r="Y167" s="26"/>
    </row>
    <row r="168" spans="2:25" s="31" customFormat="1" hidden="1">
      <c r="B168" s="3"/>
      <c r="C168" s="4"/>
      <c r="D168" s="4"/>
      <c r="E168" s="4"/>
      <c r="F168" s="4"/>
      <c r="G168" s="4"/>
      <c r="H168" s="4"/>
      <c r="I168" s="2"/>
      <c r="J168" s="2"/>
      <c r="K168" s="2"/>
      <c r="P168"/>
      <c r="U168" s="26"/>
      <c r="V168" s="26"/>
      <c r="W168" s="26"/>
      <c r="X168" s="26"/>
      <c r="Y168" s="26"/>
    </row>
  </sheetData>
  <mergeCells count="25">
    <mergeCell ref="B8:O8"/>
    <mergeCell ref="N3:O3"/>
    <mergeCell ref="B2:B3"/>
    <mergeCell ref="C2:C3"/>
    <mergeCell ref="D2:E2"/>
    <mergeCell ref="D3:E3"/>
    <mergeCell ref="F3:G3"/>
    <mergeCell ref="H3:I3"/>
    <mergeCell ref="J3:K3"/>
    <mergeCell ref="F2:G2"/>
    <mergeCell ref="H2:I2"/>
    <mergeCell ref="L2:M2"/>
    <mergeCell ref="N2:O2"/>
    <mergeCell ref="J2:K2"/>
    <mergeCell ref="L3:M3"/>
    <mergeCell ref="C18:D18"/>
    <mergeCell ref="E18:O18"/>
    <mergeCell ref="C10:D10"/>
    <mergeCell ref="E10:O10"/>
    <mergeCell ref="C12:D12"/>
    <mergeCell ref="E12:O12"/>
    <mergeCell ref="C14:D14"/>
    <mergeCell ref="E14:N14"/>
    <mergeCell ref="C16:D16"/>
    <mergeCell ref="E16:O16"/>
  </mergeCells>
  <hyperlinks>
    <hyperlink ref="F2" location="'City information'!A1" display="Set-up"/>
    <hyperlink ref="G2" location="'City information'!A1" display="'City information'!A1"/>
    <hyperlink ref="H3" location="'Notation keys'!A1" display="Notation keys"/>
    <hyperlink ref="I3" location="'Notation keys'!A1" display="'Notation keys'!A1"/>
    <hyperlink ref="J3" location="GWP!A1" display="GWP"/>
    <hyperlink ref="K3" location="GWP!A1" display="GWP!A1"/>
    <hyperlink ref="L3" location="'Conversion factors'!A1" display="Conversion factors"/>
    <hyperlink ref="M3" location="'Conversion factors'!A1" display="'Conversion factors'!A1"/>
    <hyperlink ref="F3" location="GPC!A1" display="GPC"/>
    <hyperlink ref="G3" location="GPC!A1" display="GPC!A1"/>
    <hyperlink ref="H2" location="Inventory!A1" display="Inventory"/>
    <hyperlink ref="I2" location="Inventory!A1" display="Inventory!A1"/>
    <hyperlink ref="J2" location="Calculators!A1" display="Calculators"/>
    <hyperlink ref="K2" location="Calculators!A1" display="Calculators!A1"/>
    <hyperlink ref="N2" location="Analysis!A1" display="Analysis"/>
    <hyperlink ref="O2" location="Analysis!A1" display="Analysis!A1"/>
    <hyperlink ref="L2" location="Results!A1" display="Results"/>
    <hyperlink ref="M2" location="Results!A1" display="Results!A1"/>
    <hyperlink ref="D3" location="Home!A1" display="Introduction"/>
    <hyperlink ref="E3" location="Home!A1" display="Home!A1"/>
    <hyperlink ref="D2" location="Home!A1" display="Introduction"/>
    <hyperlink ref="E2" location="Home!A1" display="Home!A1"/>
    <hyperlink ref="N3" location="'Compact of Mayors'!A1" display="Compact of Mayors"/>
    <hyperlink ref="O3" location="'Compact of Mayors'!A1" display="'Compact of Mayors'!A1"/>
    <hyperlink ref="B2" location="CIRIS!A1" display="CIRIS"/>
    <hyperlink ref="B3" location="CIRIS!A1" display="CIRIS!A1"/>
  </hyperlinks>
  <pageMargins left="0.25" right="0.25" top="0.75" bottom="0.75" header="0.3" footer="0.3"/>
  <pageSetup paperSize="9" scale="10" orientation="portrait" horizontalDpi="4294967292" verticalDpi="4294967292"/>
  <headerFooter>
    <oddHeader>&amp;CTable 4.1</oddHeader>
  </headerFooter>
  <drawing r:id="rId1"/>
  <extLst>
    <ext xmlns:mx="http://schemas.microsoft.com/office/mac/excel/2008/main" uri="{64002731-A6B0-56B0-2670-7721B7C09600}">
      <mx:PLV Mode="0" OnePage="0" WScale="71"/>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theme="4"/>
    <outlinePr summaryBelow="0"/>
    <pageSetUpPr fitToPage="1"/>
  </sheetPr>
  <dimension ref="A1:AS246"/>
  <sheetViews>
    <sheetView showRowColHeaders="0" workbookViewId="0">
      <selection activeCell="H3" sqref="H3:I3"/>
    </sheetView>
  </sheetViews>
  <sheetFormatPr baseColWidth="10" defaultColWidth="0" defaultRowHeight="15" zeroHeight="1" x14ac:dyDescent="0"/>
  <cols>
    <col min="1" max="1" width="4.83203125" customWidth="1"/>
    <col min="2" max="15" width="12.83203125" customWidth="1"/>
    <col min="16" max="16" width="4.83203125" customWidth="1"/>
    <col min="17" max="45" width="10.83203125" hidden="1" customWidth="1"/>
    <col min="46" max="16384" width="10.83203125" hidden="1"/>
  </cols>
  <sheetData>
    <row r="1" spans="1:25" s="498" customFormat="1">
      <c r="P1" s="499"/>
      <c r="Q1" s="499"/>
      <c r="R1" s="499"/>
      <c r="S1" s="500"/>
      <c r="T1" s="500"/>
      <c r="U1" s="500"/>
    </row>
    <row r="2" spans="1:25" s="464" customFormat="1" ht="31" customHeight="1">
      <c r="A2" s="494"/>
      <c r="B2" s="1817" t="s">
        <v>1965</v>
      </c>
      <c r="C2" s="1819">
        <v>400</v>
      </c>
      <c r="D2" s="1847" t="s">
        <v>1555</v>
      </c>
      <c r="E2" s="1848"/>
      <c r="F2" s="1849" t="s">
        <v>1563</v>
      </c>
      <c r="G2" s="1850"/>
      <c r="H2" s="1849" t="s">
        <v>794</v>
      </c>
      <c r="I2" s="1850"/>
      <c r="J2" s="1849" t="s">
        <v>1570</v>
      </c>
      <c r="K2" s="1850"/>
      <c r="L2" s="1849" t="s">
        <v>1564</v>
      </c>
      <c r="M2" s="1850"/>
      <c r="N2" s="1849" t="s">
        <v>1602</v>
      </c>
      <c r="O2" s="1850"/>
      <c r="P2" s="494"/>
    </row>
    <row r="3" spans="1:25" s="464" customFormat="1" ht="31" customHeight="1">
      <c r="A3" s="494"/>
      <c r="B3" s="1818"/>
      <c r="C3" s="1820"/>
      <c r="D3" s="1843" t="s">
        <v>1565</v>
      </c>
      <c r="E3" s="1844"/>
      <c r="F3" s="1847" t="s">
        <v>785</v>
      </c>
      <c r="G3" s="1848"/>
      <c r="H3" s="1843" t="s">
        <v>40</v>
      </c>
      <c r="I3" s="1844"/>
      <c r="J3" s="1843" t="s">
        <v>780</v>
      </c>
      <c r="K3" s="1844"/>
      <c r="L3" s="1843" t="s">
        <v>1585</v>
      </c>
      <c r="M3" s="1844"/>
      <c r="N3" s="1843" t="s">
        <v>1788</v>
      </c>
      <c r="O3" s="1844"/>
      <c r="P3" s="494"/>
    </row>
    <row r="4" spans="1:25" s="494" customFormat="1" ht="15" customHeight="1">
      <c r="B4" s="492"/>
      <c r="C4" s="495"/>
      <c r="D4" s="497"/>
      <c r="E4" s="497"/>
      <c r="F4" s="497"/>
      <c r="G4" s="497"/>
      <c r="H4" s="497"/>
      <c r="I4" s="497"/>
      <c r="J4" s="496"/>
      <c r="K4" s="496"/>
      <c r="L4" s="496"/>
      <c r="M4" s="496"/>
      <c r="N4" s="496"/>
      <c r="O4" s="496"/>
    </row>
    <row r="5" spans="1:25" s="31" customFormat="1" ht="31" customHeight="1">
      <c r="B5" s="32"/>
      <c r="C5" s="33"/>
      <c r="D5" s="33"/>
      <c r="E5" s="33"/>
      <c r="F5" s="33"/>
      <c r="G5" s="33"/>
      <c r="H5" s="33"/>
      <c r="I5" s="34"/>
      <c r="J5" s="34"/>
      <c r="K5" s="34"/>
      <c r="U5" s="26"/>
      <c r="V5" s="26"/>
      <c r="W5" s="26"/>
      <c r="X5" s="26"/>
      <c r="Y5" s="26"/>
    </row>
    <row r="6" spans="1:25" s="29" customFormat="1" ht="31" customHeight="1" thickBot="1">
      <c r="A6" s="1192"/>
      <c r="B6" s="491" t="s">
        <v>1919</v>
      </c>
      <c r="C6" s="466"/>
      <c r="D6" s="466"/>
      <c r="E6" s="466"/>
      <c r="F6" s="466"/>
      <c r="G6" s="466"/>
      <c r="H6" s="466"/>
      <c r="I6" s="467"/>
      <c r="J6" s="467"/>
      <c r="K6" s="467"/>
      <c r="L6" s="468"/>
      <c r="M6" s="468"/>
      <c r="N6" s="468"/>
      <c r="O6" s="468"/>
      <c r="U6" s="234"/>
      <c r="V6" s="234"/>
      <c r="W6" s="234"/>
      <c r="X6" s="234"/>
      <c r="Y6" s="234"/>
    </row>
    <row r="7" spans="1:25" s="31" customFormat="1" ht="15" customHeight="1" thickTop="1">
      <c r="B7" s="32"/>
      <c r="C7" s="33"/>
      <c r="D7" s="33"/>
      <c r="E7" s="33"/>
      <c r="F7" s="33"/>
      <c r="G7" s="33"/>
      <c r="H7" s="33"/>
      <c r="I7" s="34"/>
      <c r="J7" s="34"/>
      <c r="K7" s="34"/>
      <c r="U7" s="26"/>
      <c r="V7" s="26"/>
      <c r="W7" s="26"/>
      <c r="X7" s="26"/>
      <c r="Y7" s="26"/>
    </row>
    <row r="8" spans="1:25" s="29" customFormat="1" ht="36" customHeight="1">
      <c r="B8" s="1842" t="s">
        <v>1595</v>
      </c>
      <c r="C8" s="1842"/>
      <c r="D8" s="1842"/>
      <c r="E8" s="1842"/>
      <c r="F8" s="1842"/>
      <c r="G8" s="1842"/>
      <c r="H8" s="1842"/>
      <c r="I8" s="1842"/>
      <c r="J8" s="1842"/>
      <c r="K8" s="1842"/>
      <c r="L8" s="1842"/>
      <c r="M8" s="1842"/>
      <c r="N8" s="1842"/>
      <c r="O8" s="1842"/>
      <c r="U8" s="234"/>
      <c r="V8" s="234"/>
      <c r="W8" s="234"/>
      <c r="X8" s="234"/>
      <c r="Y8" s="234"/>
    </row>
    <row r="9" spans="1:25" s="29" customFormat="1" ht="15" customHeight="1">
      <c r="B9" s="1106"/>
      <c r="C9" s="1106"/>
      <c r="D9" s="1106"/>
      <c r="E9" s="1106"/>
      <c r="F9" s="1106"/>
      <c r="G9" s="1106"/>
      <c r="H9" s="1106"/>
      <c r="I9" s="1106"/>
      <c r="J9" s="1106"/>
      <c r="K9" s="1106"/>
      <c r="L9" s="1106"/>
      <c r="M9" s="1106"/>
      <c r="N9" s="1106"/>
      <c r="O9" s="1106"/>
      <c r="U9" s="234"/>
      <c r="V9" s="234"/>
      <c r="W9" s="234"/>
      <c r="X9" s="234"/>
      <c r="Y9" s="234"/>
    </row>
    <row r="10" spans="1:25" s="29" customFormat="1" ht="36" customHeight="1">
      <c r="B10" s="1842" t="s">
        <v>1596</v>
      </c>
      <c r="C10" s="1842"/>
      <c r="D10" s="1842"/>
      <c r="E10" s="1842"/>
      <c r="F10" s="1842"/>
      <c r="G10" s="1842"/>
      <c r="H10" s="1842"/>
      <c r="I10" s="1842"/>
      <c r="J10" s="1842"/>
      <c r="K10" s="1842"/>
      <c r="L10" s="1842"/>
      <c r="M10" s="1842"/>
      <c r="N10" s="1842"/>
      <c r="O10" s="1842"/>
      <c r="U10" s="234"/>
      <c r="V10" s="234"/>
      <c r="W10" s="234"/>
      <c r="X10" s="234"/>
      <c r="Y10" s="234"/>
    </row>
    <row r="11" spans="1:25" s="29" customFormat="1" ht="15" customHeight="1">
      <c r="B11" s="1104"/>
      <c r="C11" s="230"/>
      <c r="D11" s="230"/>
      <c r="E11" s="230"/>
      <c r="F11" s="230"/>
      <c r="G11" s="230"/>
      <c r="H11" s="230"/>
      <c r="I11" s="30"/>
      <c r="J11" s="30"/>
      <c r="K11" s="30"/>
      <c r="U11" s="234"/>
      <c r="V11" s="234"/>
      <c r="W11" s="234"/>
      <c r="X11" s="234"/>
      <c r="Y11" s="234"/>
    </row>
    <row r="12" spans="1:25" s="29" customFormat="1" ht="18" customHeight="1">
      <c r="B12" s="230" t="s">
        <v>1597</v>
      </c>
      <c r="C12" s="230"/>
      <c r="D12" s="230"/>
      <c r="E12" s="230"/>
      <c r="F12" s="230"/>
      <c r="G12" s="230"/>
      <c r="H12" s="230"/>
      <c r="I12" s="30"/>
      <c r="J12" s="30"/>
      <c r="K12" s="30"/>
      <c r="U12" s="234"/>
      <c r="V12" s="234"/>
      <c r="W12" s="234"/>
      <c r="X12" s="234"/>
      <c r="Y12" s="234"/>
    </row>
    <row r="13" spans="1:25" s="29" customFormat="1" ht="18" customHeight="1">
      <c r="B13" s="230" t="s">
        <v>1598</v>
      </c>
      <c r="C13" s="230"/>
      <c r="D13" s="230"/>
      <c r="E13" s="230"/>
      <c r="F13" s="230"/>
      <c r="G13" s="230"/>
      <c r="H13" s="230"/>
      <c r="I13" s="30"/>
      <c r="J13" s="30"/>
      <c r="K13" s="30"/>
      <c r="U13" s="234"/>
      <c r="V13" s="234"/>
      <c r="W13" s="234"/>
      <c r="X13" s="234"/>
      <c r="Y13" s="234"/>
    </row>
    <row r="14" spans="1:25" s="29" customFormat="1" ht="18" customHeight="1">
      <c r="B14" s="230" t="s">
        <v>1599</v>
      </c>
      <c r="C14" s="230"/>
      <c r="D14" s="230"/>
      <c r="E14" s="230"/>
      <c r="F14" s="230"/>
      <c r="G14" s="230"/>
      <c r="H14" s="230"/>
      <c r="I14" s="30"/>
      <c r="J14" s="30"/>
      <c r="K14" s="30"/>
      <c r="U14" s="234"/>
      <c r="V14" s="234"/>
      <c r="W14" s="234"/>
      <c r="X14" s="234"/>
      <c r="Y14" s="234"/>
    </row>
    <row r="15" spans="1:25" s="29" customFormat="1" ht="18" customHeight="1">
      <c r="B15" s="230" t="s">
        <v>1600</v>
      </c>
      <c r="C15" s="230"/>
      <c r="D15" s="230"/>
      <c r="E15" s="230"/>
      <c r="F15" s="230"/>
      <c r="G15" s="230"/>
      <c r="H15" s="230"/>
      <c r="I15" s="30"/>
      <c r="J15" s="30"/>
      <c r="K15" s="30"/>
      <c r="U15" s="234"/>
      <c r="V15" s="234"/>
      <c r="W15" s="234"/>
      <c r="X15" s="234"/>
      <c r="Y15" s="234"/>
    </row>
    <row r="16" spans="1:25" s="29" customFormat="1" ht="18" customHeight="1">
      <c r="B16" s="230" t="s">
        <v>1601</v>
      </c>
      <c r="C16" s="230"/>
      <c r="D16" s="230"/>
      <c r="E16" s="230"/>
      <c r="F16" s="230"/>
      <c r="G16" s="230"/>
      <c r="H16" s="230"/>
      <c r="I16" s="30"/>
      <c r="J16" s="30"/>
      <c r="K16" s="30"/>
      <c r="U16" s="234"/>
      <c r="V16" s="234"/>
      <c r="W16" s="234"/>
      <c r="X16" s="234"/>
      <c r="Y16" s="234"/>
    </row>
    <row r="17" spans="1:45" s="29" customFormat="1" ht="15" customHeight="1">
      <c r="B17" s="230"/>
      <c r="C17" s="230"/>
      <c r="D17" s="230"/>
      <c r="E17" s="230"/>
      <c r="F17" s="230"/>
      <c r="G17" s="230"/>
      <c r="H17" s="230"/>
      <c r="I17" s="30"/>
      <c r="J17" s="30"/>
      <c r="K17" s="30"/>
      <c r="U17" s="234"/>
      <c r="V17" s="234"/>
      <c r="W17" s="234"/>
      <c r="X17" s="234"/>
      <c r="Y17" s="234"/>
    </row>
    <row r="18" spans="1:45" s="29" customFormat="1" ht="31" customHeight="1" thickBot="1">
      <c r="A18" s="31"/>
      <c r="B18" s="491" t="s">
        <v>1801</v>
      </c>
      <c r="C18" s="466"/>
      <c r="D18" s="466"/>
      <c r="E18" s="466"/>
      <c r="F18" s="466"/>
      <c r="G18" s="466"/>
      <c r="H18" s="466"/>
      <c r="I18" s="467"/>
      <c r="J18" s="467"/>
      <c r="K18" s="467"/>
      <c r="L18" s="468"/>
      <c r="M18" s="468"/>
      <c r="N18" s="468"/>
      <c r="O18" s="468"/>
      <c r="U18" s="234"/>
      <c r="V18" s="234"/>
      <c r="W18" s="234"/>
      <c r="X18" s="234"/>
      <c r="Y18" s="234"/>
    </row>
    <row r="19" spans="1:45" s="31" customFormat="1" ht="15" customHeight="1" thickTop="1">
      <c r="B19" s="32"/>
      <c r="C19" s="33"/>
      <c r="D19" s="33"/>
      <c r="E19" s="33"/>
      <c r="F19" s="33"/>
      <c r="G19" s="33"/>
      <c r="H19" s="33"/>
      <c r="I19" s="34"/>
      <c r="J19" s="34"/>
      <c r="K19" s="34"/>
      <c r="U19" s="26"/>
      <c r="V19" s="26"/>
      <c r="W19" s="26"/>
      <c r="X19" s="26"/>
      <c r="Y19" s="26"/>
    </row>
    <row r="20" spans="1:45" s="29" customFormat="1" ht="36" customHeight="1">
      <c r="B20" s="1873" t="s">
        <v>2466</v>
      </c>
      <c r="C20" s="1873"/>
      <c r="D20" s="1873"/>
      <c r="E20" s="1873"/>
      <c r="F20" s="1873"/>
      <c r="G20" s="1873"/>
      <c r="H20" s="1873"/>
      <c r="I20" s="1873"/>
      <c r="J20" s="1873"/>
      <c r="K20" s="1873"/>
      <c r="L20" s="1873"/>
      <c r="M20" s="1873"/>
      <c r="N20" s="1873"/>
      <c r="O20" s="1873"/>
      <c r="U20" s="234"/>
      <c r="V20" s="234"/>
      <c r="W20" s="234"/>
      <c r="X20" s="234"/>
      <c r="Y20" s="234"/>
    </row>
    <row r="21" spans="1:45" s="31" customFormat="1" ht="15" customHeight="1">
      <c r="B21" s="32"/>
      <c r="C21" s="33"/>
      <c r="D21" s="33"/>
      <c r="E21" s="33"/>
      <c r="F21" s="33"/>
      <c r="G21" s="33"/>
      <c r="H21" s="33"/>
      <c r="I21" s="34"/>
      <c r="J21" s="34"/>
      <c r="K21" s="34"/>
      <c r="U21" s="26"/>
      <c r="V21" s="26"/>
      <c r="W21" s="26"/>
      <c r="X21" s="26"/>
      <c r="Y21" s="26"/>
    </row>
    <row r="22" spans="1:45" s="29" customFormat="1" ht="36" customHeight="1">
      <c r="B22" s="1842" t="s">
        <v>2470</v>
      </c>
      <c r="C22" s="1842"/>
      <c r="D22" s="1842"/>
      <c r="E22" s="1842"/>
      <c r="F22" s="1842"/>
      <c r="G22" s="1842"/>
      <c r="H22" s="1842"/>
      <c r="I22" s="1842"/>
      <c r="J22" s="1842"/>
      <c r="K22" s="1842"/>
      <c r="L22" s="1842"/>
      <c r="M22" s="1842"/>
      <c r="N22" s="1842"/>
      <c r="O22" s="1842"/>
      <c r="U22" s="234"/>
      <c r="V22" s="234"/>
      <c r="W22" s="234"/>
      <c r="X22" s="234"/>
      <c r="Y22" s="234"/>
    </row>
    <row r="23" spans="1:45" s="29" customFormat="1" ht="15" customHeight="1">
      <c r="B23" s="1106"/>
      <c r="C23" s="1106"/>
      <c r="D23" s="1106"/>
      <c r="E23" s="1106"/>
      <c r="F23" s="1106"/>
      <c r="G23" s="1106"/>
      <c r="H23" s="1106"/>
      <c r="I23" s="1106"/>
      <c r="J23" s="1106"/>
      <c r="K23" s="1106"/>
      <c r="L23" s="1106"/>
      <c r="M23" s="1106"/>
      <c r="N23" s="1106"/>
      <c r="O23" s="1106"/>
      <c r="U23" s="234"/>
      <c r="V23" s="234"/>
      <c r="W23" s="234"/>
      <c r="X23" s="234"/>
      <c r="Y23" s="234"/>
    </row>
    <row r="24" spans="1:45" s="1" customFormat="1" ht="31" customHeight="1">
      <c r="A24" s="31"/>
      <c r="B24" s="1880" t="s">
        <v>38</v>
      </c>
      <c r="C24" s="1881"/>
      <c r="D24" s="1882" t="s">
        <v>1980</v>
      </c>
      <c r="E24" s="1883"/>
      <c r="F24" s="1883"/>
      <c r="G24" s="1884"/>
      <c r="H24" s="31"/>
      <c r="I24" s="1854" t="s">
        <v>0</v>
      </c>
      <c r="J24" s="1855"/>
      <c r="K24" s="1855"/>
      <c r="L24" s="1856"/>
      <c r="M24" s="1405" t="s">
        <v>1</v>
      </c>
      <c r="N24" s="1405" t="s">
        <v>2</v>
      </c>
      <c r="O24" s="1406" t="s">
        <v>3</v>
      </c>
      <c r="P24" s="15"/>
      <c r="Q24" s="31"/>
      <c r="R24" s="31"/>
      <c r="S24" s="31"/>
      <c r="T24" s="31"/>
      <c r="U24" s="26"/>
      <c r="V24" s="26"/>
      <c r="W24" s="26"/>
      <c r="X24" s="26"/>
      <c r="Y24" s="26"/>
      <c r="Z24" s="31"/>
      <c r="AA24" s="31"/>
      <c r="AB24" s="31"/>
      <c r="AC24" s="31"/>
      <c r="AD24" s="31"/>
      <c r="AE24" s="31"/>
      <c r="AF24" s="31"/>
      <c r="AG24" s="31"/>
      <c r="AH24" s="31"/>
      <c r="AI24" s="31"/>
      <c r="AJ24" s="31"/>
      <c r="AK24" s="31"/>
      <c r="AL24" s="31"/>
      <c r="AM24" s="31"/>
      <c r="AN24" s="31"/>
      <c r="AO24" s="31"/>
      <c r="AP24" s="31"/>
      <c r="AQ24" s="31"/>
      <c r="AR24" s="31"/>
      <c r="AS24" s="31"/>
    </row>
    <row r="25" spans="1:45" s="37" customFormat="1" ht="18" customHeight="1">
      <c r="B25" s="1159"/>
      <c r="C25" s="1160"/>
      <c r="D25" s="1885"/>
      <c r="E25" s="1885"/>
      <c r="F25" s="1885"/>
      <c r="G25" s="1886"/>
      <c r="I25" s="1402" t="s">
        <v>759</v>
      </c>
      <c r="J25" s="1403"/>
      <c r="K25" s="1403"/>
      <c r="L25" s="1403"/>
      <c r="M25" s="1160"/>
      <c r="N25" s="1160"/>
      <c r="O25" s="1404"/>
      <c r="U25" s="235"/>
      <c r="V25" s="235"/>
      <c r="W25" s="235"/>
      <c r="X25" s="235"/>
      <c r="Y25" s="235"/>
    </row>
    <row r="26" spans="1:45" s="1" customFormat="1" ht="18" customHeight="1">
      <c r="A26" s="31"/>
      <c r="B26" s="1871" t="s">
        <v>1</v>
      </c>
      <c r="C26" s="1871"/>
      <c r="D26" s="1871" t="s">
        <v>2467</v>
      </c>
      <c r="E26" s="1871"/>
      <c r="F26" s="1871"/>
      <c r="G26" s="1871"/>
      <c r="H26" s="31"/>
      <c r="I26" s="1858" t="s">
        <v>5</v>
      </c>
      <c r="J26" s="1859"/>
      <c r="K26" s="1859"/>
      <c r="L26" s="1860"/>
      <c r="M26" s="1390" t="s">
        <v>36</v>
      </c>
      <c r="N26" s="1390" t="s">
        <v>36</v>
      </c>
      <c r="O26" s="1397" t="s">
        <v>36</v>
      </c>
      <c r="P26" s="15"/>
      <c r="Q26" s="31"/>
      <c r="R26" s="31"/>
      <c r="S26" s="31"/>
      <c r="T26" s="31"/>
      <c r="U26" s="26"/>
      <c r="V26" s="26"/>
      <c r="W26" s="26"/>
      <c r="X26" s="26"/>
      <c r="Y26" s="26"/>
      <c r="Z26" s="31"/>
      <c r="AA26" s="31"/>
      <c r="AB26" s="31"/>
      <c r="AC26" s="31"/>
      <c r="AD26" s="31"/>
      <c r="AE26" s="31"/>
      <c r="AF26" s="31"/>
      <c r="AG26" s="31"/>
      <c r="AH26" s="31"/>
      <c r="AI26" s="31"/>
      <c r="AJ26" s="31"/>
      <c r="AK26" s="31"/>
      <c r="AL26" s="31"/>
      <c r="AM26" s="31"/>
      <c r="AN26" s="31"/>
      <c r="AO26" s="31"/>
      <c r="AP26" s="31"/>
      <c r="AQ26" s="31"/>
      <c r="AR26" s="31"/>
      <c r="AS26" s="31"/>
    </row>
    <row r="27" spans="1:45" s="1" customFormat="1" ht="18" customHeight="1">
      <c r="A27" s="31"/>
      <c r="B27" s="1871"/>
      <c r="C27" s="1871"/>
      <c r="D27" s="1871"/>
      <c r="E27" s="1871"/>
      <c r="F27" s="1871"/>
      <c r="G27" s="1871"/>
      <c r="H27" s="31"/>
      <c r="I27" s="1851" t="s">
        <v>6</v>
      </c>
      <c r="J27" s="1852"/>
      <c r="K27" s="1852"/>
      <c r="L27" s="1870"/>
      <c r="M27" s="1155" t="s">
        <v>36</v>
      </c>
      <c r="N27" s="1155" t="s">
        <v>36</v>
      </c>
      <c r="O27" s="1396" t="s">
        <v>36</v>
      </c>
      <c r="P27" s="15"/>
      <c r="Q27" s="31"/>
      <c r="R27" s="31"/>
      <c r="S27" s="31"/>
      <c r="T27" s="31"/>
      <c r="U27" s="26"/>
      <c r="V27" s="26"/>
      <c r="W27" s="26"/>
      <c r="X27" s="26"/>
      <c r="Y27" s="26"/>
      <c r="Z27" s="31"/>
      <c r="AA27" s="31"/>
      <c r="AB27" s="31"/>
      <c r="AC27" s="31"/>
      <c r="AD27" s="31"/>
      <c r="AE27" s="31"/>
      <c r="AF27" s="31"/>
      <c r="AG27" s="31"/>
      <c r="AH27" s="31"/>
      <c r="AI27" s="31"/>
      <c r="AJ27" s="31"/>
      <c r="AK27" s="31"/>
      <c r="AL27" s="31"/>
      <c r="AM27" s="31"/>
      <c r="AN27" s="31"/>
      <c r="AO27" s="31"/>
      <c r="AP27" s="31"/>
      <c r="AQ27" s="31"/>
      <c r="AR27" s="31"/>
      <c r="AS27" s="31"/>
    </row>
    <row r="28" spans="1:45" s="1" customFormat="1" ht="18" customHeight="1">
      <c r="A28" s="31"/>
      <c r="B28" s="1871"/>
      <c r="C28" s="1871"/>
      <c r="D28" s="1871"/>
      <c r="E28" s="1871"/>
      <c r="F28" s="1871"/>
      <c r="G28" s="1871"/>
      <c r="H28" s="31"/>
      <c r="I28" s="1851" t="s">
        <v>7</v>
      </c>
      <c r="J28" s="1852"/>
      <c r="K28" s="1852"/>
      <c r="L28" s="1870"/>
      <c r="M28" s="1155" t="s">
        <v>36</v>
      </c>
      <c r="N28" s="1155" t="s">
        <v>36</v>
      </c>
      <c r="O28" s="1396" t="s">
        <v>36</v>
      </c>
      <c r="P28" s="15"/>
      <c r="Q28" s="31"/>
      <c r="R28" s="31"/>
      <c r="S28" s="31"/>
      <c r="T28" s="31"/>
      <c r="U28" s="26"/>
      <c r="V28" s="26"/>
      <c r="W28" s="26"/>
      <c r="X28" s="26"/>
      <c r="Y28" s="26"/>
      <c r="Z28" s="31"/>
      <c r="AA28" s="31"/>
      <c r="AB28" s="31"/>
      <c r="AC28" s="31"/>
      <c r="AD28" s="31"/>
      <c r="AE28" s="31"/>
      <c r="AF28" s="31"/>
      <c r="AG28" s="31"/>
      <c r="AH28" s="31"/>
      <c r="AI28" s="31"/>
      <c r="AJ28" s="31"/>
      <c r="AK28" s="31"/>
      <c r="AL28" s="31"/>
      <c r="AM28" s="31"/>
      <c r="AN28" s="31"/>
      <c r="AO28" s="31"/>
      <c r="AP28" s="31"/>
      <c r="AQ28" s="31"/>
      <c r="AR28" s="31"/>
      <c r="AS28" s="31"/>
    </row>
    <row r="29" spans="1:45" s="1" customFormat="1" ht="18" customHeight="1">
      <c r="A29" s="31"/>
      <c r="B29" s="1871" t="s">
        <v>2</v>
      </c>
      <c r="C29" s="1871"/>
      <c r="D29" s="1871" t="s">
        <v>2468</v>
      </c>
      <c r="E29" s="1871"/>
      <c r="F29" s="1871"/>
      <c r="G29" s="1871"/>
      <c r="H29" s="31"/>
      <c r="I29" s="1851" t="s">
        <v>8</v>
      </c>
      <c r="J29" s="1852"/>
      <c r="K29" s="1852"/>
      <c r="L29" s="1870"/>
      <c r="M29" s="1155" t="s">
        <v>36</v>
      </c>
      <c r="N29" s="1155" t="s">
        <v>36</v>
      </c>
      <c r="O29" s="1396" t="s">
        <v>36</v>
      </c>
      <c r="P29" s="15"/>
      <c r="Q29" s="31"/>
      <c r="R29" s="31"/>
      <c r="S29" s="31"/>
      <c r="T29" s="31"/>
      <c r="U29" s="26"/>
      <c r="V29" s="26"/>
      <c r="W29" s="26"/>
      <c r="X29" s="26"/>
      <c r="Y29" s="26"/>
      <c r="Z29" s="31"/>
      <c r="AA29" s="31"/>
      <c r="AB29" s="31"/>
      <c r="AC29" s="31"/>
      <c r="AD29" s="31"/>
      <c r="AE29" s="31"/>
      <c r="AF29" s="31"/>
      <c r="AG29" s="31"/>
      <c r="AH29" s="31"/>
      <c r="AI29" s="31"/>
      <c r="AJ29" s="31"/>
      <c r="AK29" s="31"/>
      <c r="AL29" s="31"/>
      <c r="AM29" s="31"/>
      <c r="AN29" s="31"/>
      <c r="AO29" s="31"/>
      <c r="AP29" s="31"/>
      <c r="AQ29" s="31"/>
      <c r="AR29" s="31"/>
      <c r="AS29" s="31"/>
    </row>
    <row r="30" spans="1:45" s="1" customFormat="1" ht="18" customHeight="1">
      <c r="A30" s="31"/>
      <c r="B30" s="1871"/>
      <c r="C30" s="1871"/>
      <c r="D30" s="1871"/>
      <c r="E30" s="1871"/>
      <c r="F30" s="1871"/>
      <c r="G30" s="1871"/>
      <c r="H30" s="31"/>
      <c r="I30" s="1877" t="s">
        <v>9</v>
      </c>
      <c r="J30" s="1878"/>
      <c r="K30" s="1878"/>
      <c r="L30" s="1879"/>
      <c r="M30" s="1155" t="s">
        <v>36</v>
      </c>
      <c r="N30" s="1155" t="s">
        <v>36</v>
      </c>
      <c r="O30" s="1396" t="s">
        <v>36</v>
      </c>
      <c r="P30" s="15"/>
      <c r="Q30" s="31"/>
      <c r="R30" s="31"/>
      <c r="S30" s="31"/>
      <c r="T30" s="31"/>
      <c r="U30" s="26"/>
      <c r="V30" s="26"/>
      <c r="W30" s="26"/>
      <c r="X30" s="26"/>
      <c r="Y30" s="26"/>
      <c r="Z30" s="31"/>
      <c r="AA30" s="31"/>
      <c r="AB30" s="31"/>
      <c r="AC30" s="31"/>
      <c r="AD30" s="31"/>
      <c r="AE30" s="31"/>
      <c r="AF30" s="31"/>
      <c r="AG30" s="31"/>
      <c r="AH30" s="31"/>
      <c r="AI30" s="31"/>
      <c r="AJ30" s="31"/>
      <c r="AK30" s="31"/>
      <c r="AL30" s="31"/>
      <c r="AM30" s="31"/>
      <c r="AN30" s="31"/>
      <c r="AO30" s="31"/>
      <c r="AP30" s="31"/>
      <c r="AQ30" s="31"/>
      <c r="AR30" s="31"/>
      <c r="AS30" s="31"/>
    </row>
    <row r="31" spans="1:45" s="1" customFormat="1" ht="18" customHeight="1">
      <c r="A31" s="31"/>
      <c r="B31" s="1871"/>
      <c r="C31" s="1871"/>
      <c r="D31" s="1871"/>
      <c r="E31" s="1871"/>
      <c r="F31" s="1871"/>
      <c r="G31" s="1871"/>
      <c r="H31" s="31"/>
      <c r="I31" s="1867" t="s">
        <v>10</v>
      </c>
      <c r="J31" s="1868"/>
      <c r="K31" s="1868"/>
      <c r="L31" s="1869"/>
      <c r="M31" s="1394" t="s">
        <v>36</v>
      </c>
      <c r="N31" s="1156"/>
      <c r="O31" s="1156"/>
      <c r="P31" s="15"/>
      <c r="Q31" s="31"/>
      <c r="R31" s="31"/>
      <c r="S31" s="31"/>
      <c r="T31" s="31"/>
      <c r="U31" s="26"/>
      <c r="V31" s="26"/>
      <c r="W31" s="26"/>
      <c r="X31" s="26"/>
      <c r="Y31" s="26"/>
      <c r="Z31" s="31"/>
      <c r="AA31" s="31"/>
      <c r="AB31" s="31"/>
      <c r="AC31" s="31"/>
      <c r="AD31" s="31"/>
      <c r="AE31" s="31"/>
      <c r="AF31" s="31"/>
      <c r="AG31" s="31"/>
      <c r="AH31" s="31"/>
      <c r="AI31" s="31"/>
      <c r="AJ31" s="31"/>
      <c r="AK31" s="31"/>
      <c r="AL31" s="31"/>
      <c r="AM31" s="31"/>
      <c r="AN31" s="31"/>
      <c r="AO31" s="31"/>
      <c r="AP31" s="31"/>
      <c r="AQ31" s="31"/>
      <c r="AR31" s="31"/>
      <c r="AS31" s="31"/>
    </row>
    <row r="32" spans="1:45" s="1" customFormat="1" ht="18" customHeight="1">
      <c r="A32" s="31"/>
      <c r="B32" s="1871" t="s">
        <v>3</v>
      </c>
      <c r="C32" s="1871"/>
      <c r="D32" s="1871" t="s">
        <v>2469</v>
      </c>
      <c r="E32" s="1871"/>
      <c r="F32" s="1871"/>
      <c r="G32" s="1871"/>
      <c r="H32" s="31"/>
      <c r="I32" s="1851" t="s">
        <v>11</v>
      </c>
      <c r="J32" s="1852"/>
      <c r="K32" s="1852"/>
      <c r="L32" s="1870"/>
      <c r="M32" s="1155" t="s">
        <v>36</v>
      </c>
      <c r="N32" s="1155" t="s">
        <v>36</v>
      </c>
      <c r="O32" s="1396" t="s">
        <v>36</v>
      </c>
      <c r="P32" s="15"/>
      <c r="Q32" s="31"/>
      <c r="R32" s="31"/>
      <c r="S32" s="31"/>
      <c r="T32" s="31"/>
      <c r="U32" s="26"/>
      <c r="V32" s="26"/>
      <c r="W32" s="26"/>
      <c r="X32" s="26"/>
      <c r="Y32" s="26"/>
      <c r="Z32" s="31"/>
      <c r="AA32" s="31"/>
      <c r="AB32" s="31"/>
      <c r="AC32" s="31"/>
      <c r="AD32" s="31"/>
      <c r="AE32" s="31"/>
      <c r="AF32" s="31"/>
      <c r="AG32" s="31"/>
      <c r="AH32" s="31"/>
      <c r="AI32" s="31"/>
      <c r="AJ32" s="31"/>
      <c r="AK32" s="31"/>
      <c r="AL32" s="31"/>
      <c r="AM32" s="31"/>
      <c r="AN32" s="31"/>
      <c r="AO32" s="31"/>
      <c r="AP32" s="31"/>
      <c r="AQ32" s="31"/>
      <c r="AR32" s="31"/>
      <c r="AS32" s="31"/>
    </row>
    <row r="33" spans="1:45" s="1" customFormat="1" ht="18" customHeight="1">
      <c r="A33" s="31"/>
      <c r="B33" s="1871"/>
      <c r="C33" s="1871"/>
      <c r="D33" s="1871"/>
      <c r="E33" s="1871"/>
      <c r="F33" s="1871"/>
      <c r="G33" s="1871"/>
      <c r="H33" s="31"/>
      <c r="I33" s="1851" t="s">
        <v>12</v>
      </c>
      <c r="J33" s="1852"/>
      <c r="K33" s="1852"/>
      <c r="L33" s="1870"/>
      <c r="M33" s="1155" t="s">
        <v>36</v>
      </c>
      <c r="N33" s="1155" t="s">
        <v>36</v>
      </c>
      <c r="O33" s="1396" t="s">
        <v>36</v>
      </c>
      <c r="P33" s="15"/>
      <c r="Q33" s="31"/>
      <c r="R33" s="31"/>
      <c r="S33" s="31"/>
      <c r="T33" s="31"/>
      <c r="U33" s="26"/>
      <c r="V33" s="26"/>
      <c r="W33" s="26"/>
      <c r="X33" s="26"/>
      <c r="Y33" s="26"/>
      <c r="Z33" s="31"/>
      <c r="AA33" s="31"/>
      <c r="AB33" s="31"/>
      <c r="AC33" s="31"/>
      <c r="AD33" s="31"/>
      <c r="AE33" s="31"/>
      <c r="AF33" s="31"/>
      <c r="AG33" s="31"/>
      <c r="AH33" s="31"/>
      <c r="AI33" s="31"/>
      <c r="AJ33" s="31"/>
      <c r="AK33" s="31"/>
      <c r="AL33" s="31"/>
      <c r="AM33" s="31"/>
      <c r="AN33" s="31"/>
      <c r="AO33" s="31"/>
      <c r="AP33" s="31"/>
      <c r="AQ33" s="31"/>
      <c r="AR33" s="31"/>
      <c r="AS33" s="31"/>
    </row>
    <row r="34" spans="1:45" s="1" customFormat="1" ht="18" customHeight="1">
      <c r="A34" s="31"/>
      <c r="B34" s="1871"/>
      <c r="C34" s="1871"/>
      <c r="D34" s="1871"/>
      <c r="E34" s="1871"/>
      <c r="F34" s="1871"/>
      <c r="G34" s="1871"/>
      <c r="H34" s="31"/>
      <c r="I34" s="1400" t="s">
        <v>1981</v>
      </c>
      <c r="J34" s="1401"/>
      <c r="K34" s="1401"/>
      <c r="L34" s="1401"/>
      <c r="M34" s="1155" t="s">
        <v>36</v>
      </c>
      <c r="N34" s="1156"/>
      <c r="O34" s="1395"/>
      <c r="P34" s="15"/>
      <c r="Q34" s="31"/>
      <c r="R34" s="31"/>
      <c r="S34" s="31"/>
      <c r="T34" s="31"/>
      <c r="U34" s="26"/>
      <c r="V34" s="26"/>
      <c r="W34" s="26"/>
      <c r="X34" s="26"/>
      <c r="Y34" s="26"/>
      <c r="Z34" s="31"/>
      <c r="AA34" s="31"/>
      <c r="AB34" s="31"/>
      <c r="AC34" s="31"/>
      <c r="AD34" s="31"/>
      <c r="AE34" s="31"/>
      <c r="AF34" s="31"/>
      <c r="AG34" s="31"/>
      <c r="AH34" s="31"/>
      <c r="AI34" s="31"/>
      <c r="AJ34" s="31"/>
      <c r="AK34" s="31"/>
      <c r="AL34" s="31"/>
      <c r="AM34" s="31"/>
      <c r="AN34" s="31"/>
      <c r="AO34" s="31"/>
      <c r="AP34" s="31"/>
      <c r="AQ34" s="31"/>
      <c r="AR34" s="31"/>
      <c r="AS34" s="31"/>
    </row>
    <row r="35" spans="1:45" s="1" customFormat="1" ht="18" customHeight="1">
      <c r="A35" s="31"/>
      <c r="B35" s="1369"/>
      <c r="C35" s="1369"/>
      <c r="D35" s="1369"/>
      <c r="E35" s="1369"/>
      <c r="F35" s="1369"/>
      <c r="G35" s="1369"/>
      <c r="H35" s="31"/>
      <c r="I35" s="1851" t="s">
        <v>14</v>
      </c>
      <c r="J35" s="1852"/>
      <c r="K35" s="1852"/>
      <c r="L35" s="1870"/>
      <c r="M35" s="1155" t="s">
        <v>36</v>
      </c>
      <c r="N35" s="1156"/>
      <c r="O35" s="1395"/>
      <c r="P35" s="15"/>
      <c r="Q35" s="31"/>
      <c r="R35" s="31"/>
      <c r="S35" s="31"/>
      <c r="T35" s="31"/>
      <c r="U35" s="26"/>
      <c r="V35" s="26"/>
      <c r="W35" s="26"/>
      <c r="X35" s="26"/>
      <c r="Y35" s="26"/>
      <c r="Z35" s="31"/>
      <c r="AA35" s="31"/>
      <c r="AB35" s="31"/>
      <c r="AC35" s="31"/>
      <c r="AD35" s="31"/>
      <c r="AE35" s="31"/>
      <c r="AF35" s="31"/>
      <c r="AG35" s="31"/>
      <c r="AH35" s="31"/>
      <c r="AI35" s="31"/>
      <c r="AJ35" s="31"/>
      <c r="AK35" s="31"/>
      <c r="AL35" s="31"/>
      <c r="AM35" s="31"/>
      <c r="AN35" s="31"/>
      <c r="AO35" s="31"/>
      <c r="AP35" s="31"/>
      <c r="AQ35" s="31"/>
      <c r="AR35" s="31"/>
      <c r="AS35" s="31"/>
    </row>
    <row r="36" spans="1:45" s="37" customFormat="1" ht="18" customHeight="1">
      <c r="B36" s="1873" t="s">
        <v>2471</v>
      </c>
      <c r="C36" s="1873"/>
      <c r="D36" s="1873"/>
      <c r="E36" s="1873"/>
      <c r="F36" s="1873"/>
      <c r="G36" s="1873"/>
      <c r="I36" s="1398" t="s">
        <v>2476</v>
      </c>
      <c r="J36" s="1399"/>
      <c r="K36" s="1399"/>
      <c r="L36" s="1399"/>
      <c r="M36" s="679"/>
      <c r="N36" s="679"/>
      <c r="O36" s="680"/>
      <c r="U36" s="235"/>
      <c r="V36" s="235"/>
      <c r="W36" s="235"/>
      <c r="X36" s="235"/>
      <c r="Y36" s="235"/>
    </row>
    <row r="37" spans="1:45" s="1" customFormat="1" ht="18" customHeight="1">
      <c r="A37" s="31"/>
      <c r="B37" s="1873"/>
      <c r="C37" s="1873"/>
      <c r="D37" s="1873"/>
      <c r="E37" s="1873"/>
      <c r="F37" s="1873"/>
      <c r="G37" s="1873"/>
      <c r="H37" s="31"/>
      <c r="I37" s="1858" t="s">
        <v>16</v>
      </c>
      <c r="J37" s="1859"/>
      <c r="K37" s="1859"/>
      <c r="L37" s="1860"/>
      <c r="M37" s="1155" t="s">
        <v>36</v>
      </c>
      <c r="N37" s="1155" t="s">
        <v>36</v>
      </c>
      <c r="O37" s="1396" t="s">
        <v>36</v>
      </c>
      <c r="P37" s="15"/>
      <c r="Q37" s="31"/>
      <c r="R37" s="31"/>
      <c r="S37" s="31"/>
      <c r="T37" s="31"/>
      <c r="U37" s="26"/>
      <c r="V37" s="26"/>
      <c r="W37" s="26"/>
      <c r="X37" s="26"/>
      <c r="Y37" s="26"/>
      <c r="Z37" s="31"/>
      <c r="AA37" s="31"/>
      <c r="AB37" s="31"/>
      <c r="AC37" s="31"/>
      <c r="AD37" s="31"/>
      <c r="AE37" s="31"/>
      <c r="AF37" s="31"/>
      <c r="AG37" s="31"/>
      <c r="AH37" s="31"/>
      <c r="AI37" s="31"/>
      <c r="AJ37" s="31"/>
      <c r="AK37" s="31"/>
      <c r="AL37" s="31"/>
      <c r="AM37" s="31"/>
      <c r="AN37" s="31"/>
      <c r="AO37" s="31"/>
      <c r="AP37" s="31"/>
      <c r="AQ37" s="31"/>
      <c r="AR37" s="31"/>
      <c r="AS37" s="31"/>
    </row>
    <row r="38" spans="1:45" s="1" customFormat="1" ht="18" customHeight="1">
      <c r="A38" s="31"/>
      <c r="B38" s="1873"/>
      <c r="C38" s="1873"/>
      <c r="D38" s="1873"/>
      <c r="E38" s="1873"/>
      <c r="F38" s="1873"/>
      <c r="G38" s="1873"/>
      <c r="H38" s="31"/>
      <c r="I38" s="1858" t="s">
        <v>17</v>
      </c>
      <c r="J38" s="1859"/>
      <c r="K38" s="1859"/>
      <c r="L38" s="1860"/>
      <c r="M38" s="1155" t="s">
        <v>36</v>
      </c>
      <c r="N38" s="1155" t="s">
        <v>36</v>
      </c>
      <c r="O38" s="1396" t="s">
        <v>36</v>
      </c>
      <c r="P38" s="15"/>
      <c r="Q38" s="31"/>
      <c r="R38" s="31"/>
      <c r="S38" s="31"/>
      <c r="T38" s="31"/>
      <c r="U38" s="26"/>
      <c r="V38" s="26"/>
      <c r="W38" s="26"/>
      <c r="X38" s="26"/>
      <c r="Y38" s="26"/>
      <c r="Z38" s="31"/>
      <c r="AA38" s="31"/>
      <c r="AB38" s="31"/>
      <c r="AC38" s="31"/>
      <c r="AD38" s="31"/>
      <c r="AE38" s="31"/>
      <c r="AF38" s="31"/>
      <c r="AG38" s="31"/>
      <c r="AH38" s="31"/>
      <c r="AI38" s="31"/>
      <c r="AJ38" s="31"/>
      <c r="AK38" s="31"/>
      <c r="AL38" s="31"/>
      <c r="AM38" s="31"/>
      <c r="AN38" s="31"/>
      <c r="AO38" s="31"/>
      <c r="AP38" s="31"/>
      <c r="AQ38" s="31"/>
      <c r="AR38" s="31"/>
      <c r="AS38" s="31"/>
    </row>
    <row r="39" spans="1:45" s="1" customFormat="1" ht="18" customHeight="1">
      <c r="A39" s="31"/>
      <c r="B39" s="1873"/>
      <c r="C39" s="1873"/>
      <c r="D39" s="1873"/>
      <c r="E39" s="1873"/>
      <c r="F39" s="1873"/>
      <c r="G39" s="1873"/>
      <c r="H39" s="31"/>
      <c r="I39" s="1858" t="s">
        <v>18</v>
      </c>
      <c r="J39" s="1859"/>
      <c r="K39" s="1859"/>
      <c r="L39" s="1860"/>
      <c r="M39" s="1155" t="s">
        <v>36</v>
      </c>
      <c r="N39" s="1155" t="s">
        <v>36</v>
      </c>
      <c r="O39" s="1396" t="s">
        <v>36</v>
      </c>
      <c r="P39" s="15"/>
      <c r="Q39" s="31"/>
      <c r="R39" s="31"/>
      <c r="S39" s="31"/>
      <c r="T39" s="31"/>
      <c r="U39" s="26"/>
      <c r="V39" s="26"/>
      <c r="W39" s="26"/>
      <c r="X39" s="26"/>
      <c r="Y39" s="26"/>
      <c r="Z39" s="31"/>
      <c r="AA39" s="31"/>
      <c r="AB39" s="31"/>
      <c r="AC39" s="31"/>
      <c r="AD39" s="31"/>
      <c r="AE39" s="31"/>
      <c r="AF39" s="31"/>
      <c r="AG39" s="31"/>
      <c r="AH39" s="31"/>
      <c r="AI39" s="31"/>
      <c r="AJ39" s="31"/>
      <c r="AK39" s="31"/>
      <c r="AL39" s="31"/>
      <c r="AM39" s="31"/>
      <c r="AN39" s="31"/>
      <c r="AO39" s="31"/>
      <c r="AP39" s="31"/>
      <c r="AQ39" s="31"/>
      <c r="AR39" s="31"/>
      <c r="AS39" s="31"/>
    </row>
    <row r="40" spans="1:45" s="1" customFormat="1" ht="18" customHeight="1">
      <c r="A40" s="31"/>
      <c r="B40" s="1873"/>
      <c r="C40" s="1873"/>
      <c r="D40" s="1873"/>
      <c r="E40" s="1873"/>
      <c r="F40" s="1873"/>
      <c r="G40" s="1873"/>
      <c r="H40" s="31"/>
      <c r="I40" s="1858" t="s">
        <v>19</v>
      </c>
      <c r="J40" s="1859"/>
      <c r="K40" s="1859"/>
      <c r="L40" s="1860"/>
      <c r="M40" s="1155" t="s">
        <v>36</v>
      </c>
      <c r="N40" s="1155" t="s">
        <v>36</v>
      </c>
      <c r="O40" s="1396" t="s">
        <v>36</v>
      </c>
      <c r="P40" s="15"/>
      <c r="Q40" s="31"/>
      <c r="R40" s="31"/>
      <c r="S40" s="31"/>
      <c r="T40" s="31"/>
      <c r="U40" s="26"/>
      <c r="V40" s="26"/>
      <c r="W40" s="26"/>
      <c r="X40" s="26"/>
      <c r="Y40" s="26"/>
      <c r="Z40" s="31"/>
      <c r="AA40" s="31"/>
      <c r="AB40" s="31"/>
      <c r="AC40" s="31"/>
      <c r="AD40" s="31"/>
      <c r="AE40" s="31"/>
      <c r="AF40" s="31"/>
      <c r="AG40" s="31"/>
      <c r="AH40" s="31"/>
      <c r="AI40" s="31"/>
      <c r="AJ40" s="31"/>
      <c r="AK40" s="31"/>
      <c r="AL40" s="31"/>
      <c r="AM40" s="31"/>
      <c r="AN40" s="31"/>
      <c r="AO40" s="31"/>
      <c r="AP40" s="31"/>
      <c r="AQ40" s="31"/>
      <c r="AR40" s="31"/>
      <c r="AS40" s="31"/>
    </row>
    <row r="41" spans="1:45" s="1" customFormat="1" ht="18" customHeight="1">
      <c r="A41" s="31"/>
      <c r="C41" s="31"/>
      <c r="D41" s="31"/>
      <c r="E41" s="31"/>
      <c r="F41" s="31"/>
      <c r="G41" s="31"/>
      <c r="H41" s="31"/>
      <c r="I41" s="1858" t="s">
        <v>20</v>
      </c>
      <c r="J41" s="1859"/>
      <c r="K41" s="1859"/>
      <c r="L41" s="1860"/>
      <c r="M41" s="1155" t="s">
        <v>36</v>
      </c>
      <c r="N41" s="1155" t="s">
        <v>36</v>
      </c>
      <c r="O41" s="1395"/>
      <c r="P41" s="15"/>
      <c r="Q41" s="31"/>
      <c r="R41" s="31"/>
      <c r="S41" s="31"/>
      <c r="T41" s="31"/>
      <c r="U41" s="26"/>
      <c r="V41" s="26"/>
      <c r="W41" s="26"/>
      <c r="X41" s="26"/>
      <c r="Y41" s="26"/>
      <c r="Z41" s="31"/>
      <c r="AA41" s="31"/>
      <c r="AB41" s="31"/>
      <c r="AC41" s="31"/>
      <c r="AD41" s="31"/>
      <c r="AE41" s="31"/>
      <c r="AF41" s="31"/>
      <c r="AG41" s="31"/>
      <c r="AH41" s="31"/>
      <c r="AI41" s="31"/>
      <c r="AJ41" s="31"/>
      <c r="AK41" s="31"/>
      <c r="AL41" s="31"/>
      <c r="AM41" s="31"/>
      <c r="AN41" s="31"/>
      <c r="AO41" s="31"/>
      <c r="AP41" s="31"/>
      <c r="AQ41" s="31"/>
      <c r="AR41" s="31"/>
      <c r="AS41" s="31"/>
    </row>
    <row r="42" spans="1:45" s="31" customFormat="1" ht="18" customHeight="1">
      <c r="A42" s="200"/>
      <c r="B42" s="1872" t="s">
        <v>2479</v>
      </c>
      <c r="C42" s="1872"/>
      <c r="D42" s="1872"/>
      <c r="E42" s="1872"/>
      <c r="F42" s="1872"/>
      <c r="G42" s="1872"/>
      <c r="I42" s="1398" t="s">
        <v>761</v>
      </c>
      <c r="J42" s="1399"/>
      <c r="K42" s="1399"/>
      <c r="L42" s="1399"/>
      <c r="M42" s="679"/>
      <c r="N42" s="679"/>
      <c r="O42" s="680"/>
      <c r="U42" s="26"/>
      <c r="V42" s="26"/>
      <c r="W42" s="26"/>
      <c r="X42" s="26"/>
      <c r="Y42" s="26"/>
    </row>
    <row r="43" spans="1:45" s="1" customFormat="1" ht="18" customHeight="1">
      <c r="A43" s="31"/>
      <c r="B43" s="1872"/>
      <c r="C43" s="1872"/>
      <c r="D43" s="1872"/>
      <c r="E43" s="1872"/>
      <c r="F43" s="1872"/>
      <c r="G43" s="1872"/>
      <c r="H43" s="31"/>
      <c r="I43" s="1858" t="s">
        <v>22</v>
      </c>
      <c r="J43" s="1859"/>
      <c r="K43" s="1859"/>
      <c r="L43" s="1860"/>
      <c r="M43" s="1392" t="s">
        <v>36</v>
      </c>
      <c r="N43" s="1156"/>
      <c r="O43" s="1155" t="s">
        <v>36</v>
      </c>
      <c r="P43" s="15"/>
      <c r="Q43" s="31"/>
      <c r="R43" s="31"/>
      <c r="S43" s="31"/>
      <c r="T43" s="31"/>
      <c r="U43" s="26"/>
      <c r="V43" s="26"/>
      <c r="W43" s="26"/>
      <c r="X43" s="26"/>
      <c r="Y43" s="26"/>
      <c r="Z43" s="31"/>
      <c r="AA43" s="31"/>
      <c r="AB43" s="31"/>
      <c r="AC43" s="31"/>
      <c r="AD43" s="31"/>
      <c r="AE43" s="31"/>
      <c r="AF43" s="31"/>
      <c r="AG43" s="31"/>
      <c r="AH43" s="31"/>
      <c r="AI43" s="31"/>
      <c r="AJ43" s="31"/>
      <c r="AK43" s="31"/>
      <c r="AL43" s="31"/>
      <c r="AM43" s="31"/>
      <c r="AN43" s="31"/>
      <c r="AO43" s="31"/>
      <c r="AP43" s="31"/>
      <c r="AQ43" s="31"/>
      <c r="AR43" s="31"/>
      <c r="AS43" s="31"/>
    </row>
    <row r="44" spans="1:45" s="1" customFormat="1" ht="18" customHeight="1">
      <c r="A44" s="31"/>
      <c r="C44" s="31"/>
      <c r="D44" s="31"/>
      <c r="E44" s="31"/>
      <c r="F44" s="31"/>
      <c r="G44" s="31"/>
      <c r="H44" s="31"/>
      <c r="I44" s="1874" t="s">
        <v>23</v>
      </c>
      <c r="J44" s="1875"/>
      <c r="K44" s="1875"/>
      <c r="L44" s="1876"/>
      <c r="M44" s="1394" t="s">
        <v>36</v>
      </c>
      <c r="N44" s="1156"/>
      <c r="O44" s="1156"/>
      <c r="P44" s="15"/>
      <c r="Q44" s="31"/>
      <c r="R44" s="31"/>
      <c r="S44" s="31"/>
      <c r="T44" s="31"/>
      <c r="U44" s="26"/>
      <c r="V44" s="26"/>
      <c r="W44" s="26"/>
      <c r="X44" s="26"/>
      <c r="Y44" s="26"/>
      <c r="Z44" s="31"/>
      <c r="AA44" s="31"/>
      <c r="AB44" s="31"/>
      <c r="AC44" s="31"/>
      <c r="AD44" s="31"/>
      <c r="AE44" s="31"/>
      <c r="AF44" s="31"/>
      <c r="AG44" s="31"/>
      <c r="AH44" s="31"/>
      <c r="AI44" s="31"/>
      <c r="AJ44" s="31"/>
      <c r="AK44" s="31"/>
      <c r="AL44" s="31"/>
      <c r="AM44" s="31"/>
      <c r="AN44" s="31"/>
      <c r="AO44" s="31"/>
      <c r="AP44" s="31"/>
      <c r="AQ44" s="31"/>
      <c r="AR44" s="31"/>
      <c r="AS44" s="31"/>
    </row>
    <row r="45" spans="1:45" s="1" customFormat="1" ht="18" customHeight="1">
      <c r="A45" s="31"/>
      <c r="B45" s="1873" t="s">
        <v>2474</v>
      </c>
      <c r="C45" s="1873"/>
      <c r="D45" s="1873"/>
      <c r="E45" s="1873"/>
      <c r="F45" s="1873"/>
      <c r="G45" s="1873"/>
      <c r="H45" s="31"/>
      <c r="I45" s="1858" t="s">
        <v>24</v>
      </c>
      <c r="J45" s="1859"/>
      <c r="K45" s="1859"/>
      <c r="L45" s="1860"/>
      <c r="M45" s="1392" t="s">
        <v>36</v>
      </c>
      <c r="N45" s="1156"/>
      <c r="O45" s="1155" t="s">
        <v>36</v>
      </c>
      <c r="P45" s="15"/>
      <c r="Q45" s="31"/>
      <c r="R45" s="31"/>
      <c r="S45" s="31"/>
      <c r="T45" s="31"/>
      <c r="U45" s="26"/>
      <c r="V45" s="26"/>
      <c r="W45" s="26"/>
      <c r="X45" s="26"/>
      <c r="Y45" s="26"/>
      <c r="Z45" s="31"/>
      <c r="AA45" s="31"/>
      <c r="AB45" s="31"/>
      <c r="AC45" s="31"/>
      <c r="AD45" s="31"/>
      <c r="AE45" s="31"/>
      <c r="AF45" s="31"/>
      <c r="AG45" s="31"/>
      <c r="AH45" s="31"/>
      <c r="AI45" s="31"/>
      <c r="AJ45" s="31"/>
      <c r="AK45" s="31"/>
      <c r="AL45" s="31"/>
      <c r="AM45" s="31"/>
      <c r="AN45" s="31"/>
      <c r="AO45" s="31"/>
      <c r="AP45" s="31"/>
      <c r="AQ45" s="31"/>
      <c r="AR45" s="31"/>
      <c r="AS45" s="31"/>
    </row>
    <row r="46" spans="1:45" s="1" customFormat="1" ht="18" customHeight="1">
      <c r="A46" s="31"/>
      <c r="B46" s="1873"/>
      <c r="C46" s="1873"/>
      <c r="D46" s="1873"/>
      <c r="E46" s="1873"/>
      <c r="F46" s="1873"/>
      <c r="G46" s="1873"/>
      <c r="H46" s="31"/>
      <c r="I46" s="1874" t="s">
        <v>25</v>
      </c>
      <c r="J46" s="1875"/>
      <c r="K46" s="1875"/>
      <c r="L46" s="1876"/>
      <c r="M46" s="1394" t="s">
        <v>36</v>
      </c>
      <c r="N46" s="1156"/>
      <c r="O46" s="1156"/>
      <c r="P46" s="15"/>
      <c r="Q46" s="31"/>
      <c r="R46" s="31"/>
      <c r="S46" s="31"/>
      <c r="T46" s="31"/>
      <c r="U46" s="26"/>
      <c r="V46" s="26"/>
      <c r="W46" s="26"/>
      <c r="X46" s="26"/>
      <c r="Y46" s="26"/>
      <c r="Z46" s="31"/>
      <c r="AA46" s="31"/>
      <c r="AB46" s="31"/>
      <c r="AC46" s="31"/>
      <c r="AD46" s="31"/>
      <c r="AE46" s="31"/>
      <c r="AF46" s="31"/>
      <c r="AG46" s="31"/>
      <c r="AH46" s="31"/>
      <c r="AI46" s="31"/>
      <c r="AJ46" s="31"/>
      <c r="AK46" s="31"/>
      <c r="AL46" s="31"/>
      <c r="AM46" s="31"/>
      <c r="AN46" s="31"/>
      <c r="AO46" s="31"/>
      <c r="AP46" s="31"/>
      <c r="AQ46" s="31"/>
      <c r="AR46" s="31"/>
      <c r="AS46" s="31"/>
    </row>
    <row r="47" spans="1:45" s="1" customFormat="1" ht="18" customHeight="1">
      <c r="A47" s="31"/>
      <c r="B47" s="1163"/>
      <c r="C47" s="1163"/>
      <c r="D47" s="1163"/>
      <c r="E47" s="1163"/>
      <c r="F47" s="1163"/>
      <c r="G47" s="1163"/>
      <c r="H47" s="31"/>
      <c r="I47" s="1858" t="s">
        <v>26</v>
      </c>
      <c r="J47" s="1859"/>
      <c r="K47" s="1859"/>
      <c r="L47" s="1860"/>
      <c r="M47" s="1392" t="s">
        <v>36</v>
      </c>
      <c r="N47" s="1156"/>
      <c r="O47" s="1155" t="s">
        <v>36</v>
      </c>
      <c r="P47" s="15"/>
      <c r="Q47" s="31"/>
      <c r="R47" s="31"/>
      <c r="S47" s="31"/>
      <c r="T47" s="31"/>
      <c r="U47" s="26"/>
      <c r="V47" s="26"/>
      <c r="W47" s="26"/>
      <c r="X47" s="26"/>
      <c r="Y47" s="26"/>
      <c r="Z47" s="31"/>
      <c r="AA47" s="31"/>
      <c r="AB47" s="31"/>
      <c r="AC47" s="31"/>
      <c r="AD47" s="31"/>
      <c r="AE47" s="31"/>
      <c r="AF47" s="31"/>
      <c r="AG47" s="31"/>
      <c r="AH47" s="31"/>
      <c r="AI47" s="31"/>
      <c r="AJ47" s="31"/>
      <c r="AK47" s="31"/>
      <c r="AL47" s="31"/>
      <c r="AM47" s="31"/>
      <c r="AN47" s="31"/>
      <c r="AO47" s="31"/>
      <c r="AP47" s="31"/>
      <c r="AQ47" s="31"/>
      <c r="AR47" s="31"/>
      <c r="AS47" s="31"/>
    </row>
    <row r="48" spans="1:45" s="1" customFormat="1" ht="18" customHeight="1">
      <c r="A48" s="31"/>
      <c r="B48" s="1873" t="s">
        <v>2472</v>
      </c>
      <c r="C48" s="1873"/>
      <c r="D48" s="1873"/>
      <c r="E48" s="1873"/>
      <c r="F48" s="1873"/>
      <c r="G48" s="1873"/>
      <c r="H48" s="31"/>
      <c r="I48" s="1874" t="s">
        <v>27</v>
      </c>
      <c r="J48" s="1875"/>
      <c r="K48" s="1875"/>
      <c r="L48" s="1876"/>
      <c r="M48" s="1394" t="s">
        <v>36</v>
      </c>
      <c r="N48" s="1156"/>
      <c r="O48" s="1156"/>
      <c r="P48" s="15"/>
      <c r="Q48" s="31"/>
      <c r="R48" s="31"/>
      <c r="S48" s="31"/>
      <c r="T48" s="31"/>
      <c r="U48" s="26"/>
      <c r="V48" s="26"/>
      <c r="W48" s="26"/>
      <c r="X48" s="26"/>
      <c r="Y48" s="26"/>
      <c r="Z48" s="31"/>
      <c r="AA48" s="31"/>
      <c r="AB48" s="31"/>
      <c r="AC48" s="31"/>
      <c r="AD48" s="31"/>
      <c r="AE48" s="31"/>
      <c r="AF48" s="31"/>
      <c r="AG48" s="31"/>
      <c r="AH48" s="31"/>
      <c r="AI48" s="31"/>
      <c r="AJ48" s="31"/>
      <c r="AK48" s="31"/>
      <c r="AL48" s="31"/>
      <c r="AM48" s="31"/>
      <c r="AN48" s="31"/>
      <c r="AO48" s="31"/>
      <c r="AP48" s="31"/>
      <c r="AQ48" s="31"/>
      <c r="AR48" s="31"/>
      <c r="AS48" s="31"/>
    </row>
    <row r="49" spans="1:45" s="1" customFormat="1" ht="18" customHeight="1">
      <c r="A49" s="31"/>
      <c r="B49" s="1873"/>
      <c r="C49" s="1873"/>
      <c r="D49" s="1873"/>
      <c r="E49" s="1873"/>
      <c r="F49" s="1873"/>
      <c r="G49" s="1873"/>
      <c r="H49" s="31"/>
      <c r="I49" s="1858" t="s">
        <v>28</v>
      </c>
      <c r="J49" s="1859"/>
      <c r="K49" s="1859"/>
      <c r="L49" s="1860"/>
      <c r="M49" s="1392" t="s">
        <v>36</v>
      </c>
      <c r="N49" s="1156"/>
      <c r="O49" s="1155" t="s">
        <v>36</v>
      </c>
      <c r="P49" s="15"/>
      <c r="Q49" s="31"/>
      <c r="R49" s="31"/>
      <c r="S49" s="31"/>
      <c r="T49" s="31"/>
      <c r="U49" s="26"/>
      <c r="V49" s="26"/>
      <c r="W49" s="26"/>
      <c r="X49" s="26"/>
      <c r="Y49" s="26"/>
      <c r="Z49" s="31"/>
      <c r="AA49" s="31"/>
      <c r="AB49" s="31"/>
      <c r="AC49" s="31"/>
      <c r="AD49" s="31"/>
      <c r="AE49" s="31"/>
      <c r="AF49" s="31"/>
      <c r="AG49" s="31"/>
      <c r="AH49" s="31"/>
      <c r="AI49" s="31"/>
      <c r="AJ49" s="31"/>
      <c r="AK49" s="31"/>
      <c r="AL49" s="31"/>
      <c r="AM49" s="31"/>
      <c r="AN49" s="31"/>
      <c r="AO49" s="31"/>
      <c r="AP49" s="31"/>
      <c r="AQ49" s="31"/>
      <c r="AR49" s="31"/>
      <c r="AS49" s="31"/>
    </row>
    <row r="50" spans="1:45" s="1" customFormat="1" ht="18" customHeight="1">
      <c r="A50" s="31"/>
      <c r="B50" s="1873"/>
      <c r="C50" s="1873"/>
      <c r="D50" s="1873"/>
      <c r="E50" s="1873"/>
      <c r="F50" s="1873"/>
      <c r="G50" s="1873"/>
      <c r="H50" s="31"/>
      <c r="I50" s="1874" t="s">
        <v>29</v>
      </c>
      <c r="J50" s="1875"/>
      <c r="K50" s="1875"/>
      <c r="L50" s="1876"/>
      <c r="M50" s="1394" t="s">
        <v>36</v>
      </c>
      <c r="N50" s="1156"/>
      <c r="O50" s="1156"/>
      <c r="P50" s="15"/>
      <c r="Q50" s="31"/>
      <c r="R50" s="31"/>
      <c r="S50" s="31"/>
      <c r="T50" s="31"/>
      <c r="U50" s="26"/>
      <c r="V50" s="26"/>
      <c r="W50" s="26"/>
      <c r="X50" s="26"/>
      <c r="Y50" s="26"/>
      <c r="Z50" s="31"/>
      <c r="AA50" s="31"/>
      <c r="AB50" s="31"/>
      <c r="AC50" s="31"/>
      <c r="AD50" s="31"/>
      <c r="AE50" s="31"/>
      <c r="AF50" s="31"/>
      <c r="AG50" s="31"/>
      <c r="AH50" s="31"/>
      <c r="AI50" s="31"/>
      <c r="AJ50" s="31"/>
      <c r="AK50" s="31"/>
      <c r="AL50" s="31"/>
      <c r="AM50" s="31"/>
      <c r="AN50" s="31"/>
      <c r="AO50" s="31"/>
      <c r="AP50" s="31"/>
      <c r="AQ50" s="31"/>
      <c r="AR50" s="31"/>
      <c r="AS50" s="31"/>
    </row>
    <row r="51" spans="1:45" s="31" customFormat="1" ht="18" customHeight="1">
      <c r="A51" s="200"/>
      <c r="B51" s="1873"/>
      <c r="C51" s="1873"/>
      <c r="D51" s="1873"/>
      <c r="E51" s="1873"/>
      <c r="F51" s="1873"/>
      <c r="G51" s="1873"/>
      <c r="I51" s="1398" t="s">
        <v>2477</v>
      </c>
      <c r="J51" s="1399"/>
      <c r="K51" s="1399"/>
      <c r="L51" s="1399"/>
      <c r="M51" s="679"/>
      <c r="N51" s="679"/>
      <c r="O51" s="680"/>
      <c r="U51" s="26"/>
      <c r="V51" s="26"/>
      <c r="W51" s="26"/>
      <c r="X51" s="26"/>
      <c r="Y51" s="26"/>
    </row>
    <row r="52" spans="1:45" s="1" customFormat="1" ht="18" customHeight="1">
      <c r="A52" s="200"/>
      <c r="B52" s="1873"/>
      <c r="C52" s="1873"/>
      <c r="D52" s="1873"/>
      <c r="E52" s="1873"/>
      <c r="F52" s="1873"/>
      <c r="G52" s="1873"/>
      <c r="H52" s="31"/>
      <c r="I52" s="1858" t="s">
        <v>30</v>
      </c>
      <c r="J52" s="1859"/>
      <c r="K52" s="1859"/>
      <c r="L52" s="1860"/>
      <c r="M52" s="1396" t="s">
        <v>36</v>
      </c>
      <c r="N52" s="1156"/>
      <c r="O52" s="1395"/>
      <c r="P52" s="15"/>
      <c r="Q52" s="31"/>
      <c r="R52" s="31"/>
      <c r="S52" s="31"/>
      <c r="T52" s="31"/>
      <c r="U52" s="26"/>
      <c r="V52" s="26"/>
      <c r="W52" s="26"/>
      <c r="X52" s="26"/>
      <c r="Y52" s="26"/>
      <c r="Z52" s="31"/>
      <c r="AA52" s="31"/>
      <c r="AB52" s="31"/>
      <c r="AC52" s="31"/>
      <c r="AD52" s="31"/>
      <c r="AE52" s="31"/>
      <c r="AF52" s="31"/>
      <c r="AG52" s="31"/>
      <c r="AH52" s="31"/>
      <c r="AI52" s="31"/>
      <c r="AJ52" s="31"/>
      <c r="AK52" s="31"/>
      <c r="AL52" s="31"/>
      <c r="AM52" s="31"/>
      <c r="AN52" s="31"/>
      <c r="AO52" s="31"/>
      <c r="AP52" s="31"/>
      <c r="AQ52" s="31"/>
      <c r="AR52" s="31"/>
      <c r="AS52" s="31"/>
    </row>
    <row r="53" spans="1:45" s="1" customFormat="1" ht="18" customHeight="1">
      <c r="A53" s="200"/>
      <c r="B53" s="1873"/>
      <c r="C53" s="1873"/>
      <c r="D53" s="1873"/>
      <c r="E53" s="1873"/>
      <c r="F53" s="1873"/>
      <c r="G53" s="1873"/>
      <c r="H53" s="31"/>
      <c r="I53" s="1858" t="s">
        <v>31</v>
      </c>
      <c r="J53" s="1859"/>
      <c r="K53" s="1859"/>
      <c r="L53" s="1860"/>
      <c r="M53" s="1396" t="s">
        <v>36</v>
      </c>
      <c r="N53" s="1156"/>
      <c r="O53" s="1395"/>
      <c r="P53" s="15"/>
      <c r="Q53" s="31"/>
      <c r="R53" s="31"/>
      <c r="S53" s="31"/>
      <c r="T53" s="31"/>
      <c r="U53" s="26"/>
      <c r="V53" s="26"/>
      <c r="W53" s="26"/>
      <c r="X53" s="26"/>
      <c r="Y53" s="26"/>
      <c r="Z53" s="31"/>
      <c r="AA53" s="31"/>
      <c r="AB53" s="31"/>
      <c r="AC53" s="31"/>
      <c r="AD53" s="31"/>
      <c r="AE53" s="31"/>
      <c r="AF53" s="31"/>
      <c r="AG53" s="31"/>
      <c r="AH53" s="31"/>
      <c r="AI53" s="31"/>
      <c r="AJ53" s="31"/>
      <c r="AK53" s="31"/>
      <c r="AL53" s="31"/>
      <c r="AM53" s="31"/>
      <c r="AN53" s="31"/>
      <c r="AO53" s="31"/>
      <c r="AP53" s="31"/>
      <c r="AQ53" s="31"/>
      <c r="AR53" s="31"/>
      <c r="AS53" s="31"/>
    </row>
    <row r="54" spans="1:45" s="37" customFormat="1" ht="18" customHeight="1">
      <c r="B54" s="1873"/>
      <c r="C54" s="1873"/>
      <c r="D54" s="1873"/>
      <c r="E54" s="1873"/>
      <c r="F54" s="1873"/>
      <c r="G54" s="1873"/>
      <c r="I54" s="1398" t="s">
        <v>2478</v>
      </c>
      <c r="J54" s="1399"/>
      <c r="K54" s="1399"/>
      <c r="L54" s="1399"/>
      <c r="M54" s="679"/>
      <c r="N54" s="679"/>
      <c r="O54" s="680"/>
      <c r="U54" s="235"/>
      <c r="V54" s="235"/>
      <c r="W54" s="235"/>
      <c r="X54" s="235"/>
      <c r="Y54" s="235"/>
    </row>
    <row r="55" spans="1:45" s="1" customFormat="1" ht="18" customHeight="1">
      <c r="A55" s="31"/>
      <c r="B55" s="1873"/>
      <c r="C55" s="1873"/>
      <c r="D55" s="1873"/>
      <c r="E55" s="1873"/>
      <c r="F55" s="1873"/>
      <c r="G55" s="1873"/>
      <c r="H55" s="31"/>
      <c r="I55" s="1858" t="s">
        <v>32</v>
      </c>
      <c r="J55" s="1859"/>
      <c r="K55" s="1859"/>
      <c r="L55" s="1860"/>
      <c r="M55" s="1396" t="s">
        <v>36</v>
      </c>
      <c r="N55" s="1156"/>
      <c r="O55" s="1395"/>
      <c r="P55" s="15"/>
      <c r="Q55" s="31"/>
      <c r="R55" s="31"/>
      <c r="S55" s="31"/>
      <c r="T55" s="31"/>
      <c r="U55" s="26"/>
      <c r="V55" s="26"/>
      <c r="W55" s="26"/>
      <c r="X55" s="26"/>
      <c r="Y55" s="26"/>
      <c r="Z55" s="31"/>
      <c r="AA55" s="31"/>
      <c r="AB55" s="31"/>
      <c r="AC55" s="31"/>
      <c r="AD55" s="31"/>
      <c r="AE55" s="31"/>
      <c r="AF55" s="31"/>
      <c r="AG55" s="31"/>
      <c r="AH55" s="31"/>
      <c r="AI55" s="31"/>
      <c r="AJ55" s="31"/>
      <c r="AK55" s="31"/>
      <c r="AL55" s="31"/>
      <c r="AM55" s="31"/>
      <c r="AN55" s="31"/>
      <c r="AO55" s="31"/>
      <c r="AP55" s="31"/>
      <c r="AQ55" s="31"/>
      <c r="AR55" s="31"/>
      <c r="AS55" s="31"/>
    </row>
    <row r="56" spans="1:45" s="1" customFormat="1" ht="18" customHeight="1">
      <c r="A56" s="31"/>
      <c r="B56" s="1873"/>
      <c r="C56" s="1873"/>
      <c r="D56" s="1873"/>
      <c r="E56" s="1873"/>
      <c r="F56" s="1873"/>
      <c r="G56" s="1873"/>
      <c r="H56" s="31"/>
      <c r="I56" s="1858" t="s">
        <v>33</v>
      </c>
      <c r="J56" s="1859"/>
      <c r="K56" s="1859"/>
      <c r="L56" s="1860"/>
      <c r="M56" s="1396" t="s">
        <v>36</v>
      </c>
      <c r="N56" s="1156"/>
      <c r="O56" s="1395"/>
      <c r="P56" s="15"/>
      <c r="Q56" s="31"/>
      <c r="R56" s="31"/>
      <c r="S56" s="31"/>
      <c r="T56" s="31"/>
      <c r="U56" s="26"/>
      <c r="V56" s="26"/>
      <c r="W56" s="26"/>
      <c r="X56" s="26"/>
      <c r="Y56" s="26"/>
      <c r="Z56" s="31"/>
      <c r="AA56" s="31"/>
      <c r="AB56" s="31"/>
      <c r="AC56" s="31"/>
      <c r="AD56" s="31"/>
      <c r="AE56" s="31"/>
      <c r="AF56" s="31"/>
      <c r="AG56" s="31"/>
      <c r="AH56" s="31"/>
      <c r="AI56" s="31"/>
      <c r="AJ56" s="31"/>
      <c r="AK56" s="31"/>
      <c r="AL56" s="31"/>
      <c r="AM56" s="31"/>
      <c r="AN56" s="31"/>
      <c r="AO56" s="31"/>
      <c r="AP56" s="31"/>
      <c r="AQ56" s="31"/>
      <c r="AR56" s="31"/>
      <c r="AS56" s="31"/>
    </row>
    <row r="57" spans="1:45" s="1" customFormat="1" ht="18" customHeight="1">
      <c r="A57" s="31"/>
      <c r="B57" s="31"/>
      <c r="C57" s="31"/>
      <c r="D57" s="31"/>
      <c r="E57" s="31"/>
      <c r="F57" s="31"/>
      <c r="G57" s="31"/>
      <c r="H57" s="31"/>
      <c r="I57" s="1858" t="s">
        <v>34</v>
      </c>
      <c r="J57" s="1859"/>
      <c r="K57" s="1859"/>
      <c r="L57" s="1860"/>
      <c r="M57" s="1396" t="s">
        <v>36</v>
      </c>
      <c r="N57" s="1156"/>
      <c r="O57" s="1395"/>
      <c r="P57" s="15"/>
      <c r="Q57" s="31"/>
      <c r="R57" s="31"/>
      <c r="S57" s="31"/>
      <c r="T57" s="31"/>
      <c r="U57" s="26"/>
      <c r="V57" s="26"/>
      <c r="W57" s="26"/>
      <c r="X57" s="26"/>
      <c r="Y57" s="26"/>
      <c r="Z57" s="31"/>
      <c r="AA57" s="31"/>
      <c r="AB57" s="31"/>
      <c r="AC57" s="31"/>
      <c r="AD57" s="31"/>
      <c r="AE57" s="31"/>
      <c r="AF57" s="31"/>
      <c r="AG57" s="31"/>
      <c r="AH57" s="31"/>
      <c r="AI57" s="31"/>
      <c r="AJ57" s="31"/>
      <c r="AK57" s="31"/>
      <c r="AL57" s="31"/>
      <c r="AM57" s="31"/>
      <c r="AN57" s="31"/>
      <c r="AO57" s="31"/>
      <c r="AP57" s="31"/>
      <c r="AQ57" s="31"/>
      <c r="AR57" s="31"/>
      <c r="AS57" s="31"/>
    </row>
    <row r="58" spans="1:45" s="37" customFormat="1" ht="18" customHeight="1">
      <c r="B58" s="1861" t="s">
        <v>2473</v>
      </c>
      <c r="C58" s="1861"/>
      <c r="D58" s="1861"/>
      <c r="E58" s="1861"/>
      <c r="F58" s="1861"/>
      <c r="G58" s="1861"/>
      <c r="I58" s="1398" t="s">
        <v>762</v>
      </c>
      <c r="J58" s="1399"/>
      <c r="K58" s="1399"/>
      <c r="L58" s="1399"/>
      <c r="M58" s="679"/>
      <c r="N58" s="679"/>
      <c r="O58" s="680"/>
      <c r="U58" s="235"/>
      <c r="V58" s="235"/>
      <c r="W58" s="235"/>
      <c r="X58" s="235"/>
      <c r="Y58" s="235"/>
    </row>
    <row r="59" spans="1:45" s="37" customFormat="1" ht="18" customHeight="1">
      <c r="B59" s="1861"/>
      <c r="C59" s="1861"/>
      <c r="D59" s="1861"/>
      <c r="E59" s="1861"/>
      <c r="F59" s="1861"/>
      <c r="G59" s="1861"/>
      <c r="I59" s="216"/>
      <c r="J59" s="216"/>
      <c r="K59" s="216"/>
      <c r="L59" s="216"/>
      <c r="M59" s="216"/>
      <c r="N59" s="216"/>
      <c r="O59" s="216"/>
      <c r="U59" s="235"/>
      <c r="V59" s="235"/>
      <c r="W59" s="235"/>
      <c r="X59" s="235"/>
      <c r="Y59" s="235"/>
    </row>
    <row r="60" spans="1:45" s="37" customFormat="1" ht="18" customHeight="1">
      <c r="B60" s="1861"/>
      <c r="C60" s="1861"/>
      <c r="D60" s="1861"/>
      <c r="E60" s="1861"/>
      <c r="F60" s="1861"/>
      <c r="G60" s="1861"/>
      <c r="I60" s="1391" t="s">
        <v>36</v>
      </c>
      <c r="J60" s="33" t="str">
        <f>"= sources required for reporting"</f>
        <v>= sources required for reporting</v>
      </c>
      <c r="K60" s="33"/>
      <c r="L60" s="33"/>
      <c r="M60" s="33"/>
      <c r="N60" s="33"/>
      <c r="O60" s="216"/>
      <c r="U60" s="235"/>
      <c r="V60" s="235"/>
      <c r="W60" s="235"/>
      <c r="X60" s="235"/>
      <c r="Y60" s="235"/>
    </row>
    <row r="61" spans="1:45" s="37" customFormat="1" ht="18" customHeight="1">
      <c r="B61" s="1861"/>
      <c r="C61" s="1861"/>
      <c r="D61" s="1861"/>
      <c r="E61" s="1861"/>
      <c r="F61" s="1861"/>
      <c r="G61" s="1861"/>
      <c r="I61" s="1390" t="s">
        <v>36</v>
      </c>
      <c r="J61" s="33" t="str">
        <f>"= sources required for BASIC reporting"</f>
        <v>= sources required for BASIC reporting</v>
      </c>
      <c r="K61" s="33"/>
      <c r="L61" s="33"/>
      <c r="M61" s="33"/>
      <c r="N61" s="33"/>
      <c r="O61" s="216"/>
      <c r="U61" s="235"/>
      <c r="V61" s="235"/>
      <c r="W61" s="235"/>
      <c r="X61" s="235"/>
      <c r="Y61" s="235"/>
    </row>
    <row r="62" spans="1:45" s="37" customFormat="1" ht="18" customHeight="1">
      <c r="B62" s="1861"/>
      <c r="C62" s="1861"/>
      <c r="D62" s="1861"/>
      <c r="E62" s="1861"/>
      <c r="F62" s="1861"/>
      <c r="G62" s="1861"/>
      <c r="I62" s="1392" t="s">
        <v>36</v>
      </c>
      <c r="J62" s="34" t="str">
        <f>" +"</f>
        <v xml:space="preserve"> +</v>
      </c>
      <c r="K62" s="1396" t="s">
        <v>36</v>
      </c>
      <c r="L62" s="33" t="str">
        <f>"= sources required for BASIC+ reporting"</f>
        <v>= sources required for BASIC+ reporting</v>
      </c>
      <c r="M62" s="33"/>
      <c r="N62" s="33"/>
      <c r="O62" s="216"/>
      <c r="U62" s="235"/>
      <c r="V62" s="235"/>
      <c r="W62" s="235"/>
      <c r="X62" s="235"/>
      <c r="Y62" s="235"/>
    </row>
    <row r="63" spans="1:45" s="37" customFormat="1" ht="18" customHeight="1">
      <c r="B63" s="1861"/>
      <c r="C63" s="1861"/>
      <c r="D63" s="1861"/>
      <c r="E63" s="1861"/>
      <c r="F63" s="1861"/>
      <c r="G63" s="1861"/>
      <c r="I63" s="1394" t="s">
        <v>36</v>
      </c>
      <c r="J63" s="33" t="str">
        <f>"= additional scope 1 sources required for territorial reporting"</f>
        <v>= additional scope 1 sources required for territorial reporting</v>
      </c>
      <c r="K63" s="33"/>
      <c r="L63" s="33"/>
      <c r="M63" s="33"/>
      <c r="N63" s="33"/>
      <c r="O63" s="216"/>
      <c r="U63" s="235"/>
      <c r="V63" s="235"/>
      <c r="W63" s="235"/>
      <c r="X63" s="235"/>
      <c r="Y63" s="235"/>
    </row>
    <row r="64" spans="1:45" s="31" customFormat="1" ht="18" customHeight="1">
      <c r="B64" s="32"/>
      <c r="C64" s="33"/>
      <c r="D64" s="33"/>
      <c r="E64" s="33"/>
      <c r="F64" s="33"/>
      <c r="G64" s="33"/>
      <c r="H64" s="33"/>
      <c r="I64" s="1395"/>
      <c r="J64" s="35" t="str">
        <f>"= other scope 3 sources"</f>
        <v>= other scope 3 sources</v>
      </c>
      <c r="K64" s="33"/>
      <c r="L64" s="33"/>
      <c r="M64" s="33"/>
      <c r="N64" s="33"/>
      <c r="U64" s="26"/>
      <c r="V64" s="26"/>
      <c r="W64" s="26"/>
      <c r="X64" s="26"/>
      <c r="Y64" s="26"/>
    </row>
    <row r="65" spans="1:25" s="31" customFormat="1" ht="18" customHeight="1">
      <c r="B65" s="1857" t="s">
        <v>2475</v>
      </c>
      <c r="C65" s="1857"/>
      <c r="D65" s="1857"/>
      <c r="E65" s="1857"/>
      <c r="F65" s="1857"/>
      <c r="G65" s="1857"/>
      <c r="H65" s="33"/>
      <c r="I65" s="1393"/>
      <c r="J65" s="33" t="str">
        <f>"= non-applicable emission sources"</f>
        <v>= non-applicable emission sources</v>
      </c>
      <c r="K65" s="33"/>
      <c r="L65" s="33"/>
      <c r="M65" s="33"/>
      <c r="N65" s="33"/>
      <c r="U65" s="26"/>
      <c r="V65" s="26"/>
      <c r="W65" s="26"/>
      <c r="X65" s="26"/>
      <c r="Y65" s="26"/>
    </row>
    <row r="66" spans="1:25" s="31" customFormat="1" ht="31" customHeight="1">
      <c r="B66" s="32"/>
      <c r="C66" s="33"/>
      <c r="D66" s="33"/>
      <c r="E66" s="33"/>
      <c r="F66" s="33"/>
      <c r="G66" s="33"/>
      <c r="H66" s="33"/>
      <c r="I66" s="34"/>
      <c r="J66" s="34"/>
      <c r="K66" s="34"/>
      <c r="U66" s="26"/>
      <c r="V66" s="26"/>
      <c r="W66" s="26"/>
      <c r="X66" s="26"/>
      <c r="Y66" s="26"/>
    </row>
    <row r="67" spans="1:25" s="29" customFormat="1" ht="31" customHeight="1" thickBot="1">
      <c r="A67" s="31"/>
      <c r="B67" s="491" t="s">
        <v>1790</v>
      </c>
      <c r="C67" s="466"/>
      <c r="D67" s="466"/>
      <c r="E67" s="466"/>
      <c r="F67" s="466"/>
      <c r="G67" s="466"/>
      <c r="H67" s="466"/>
      <c r="I67" s="467"/>
      <c r="J67" s="467"/>
      <c r="K67" s="467"/>
      <c r="L67" s="468"/>
      <c r="M67" s="468"/>
      <c r="N67" s="468"/>
      <c r="O67" s="468"/>
      <c r="U67" s="234"/>
      <c r="V67" s="234"/>
      <c r="W67" s="234"/>
      <c r="X67" s="234"/>
      <c r="Y67" s="234"/>
    </row>
    <row r="68" spans="1:25" s="961" customFormat="1" ht="15" customHeight="1" thickTop="1"/>
    <row r="69" spans="1:25" s="1107" customFormat="1" ht="18" customHeight="1">
      <c r="B69" s="1108" t="s">
        <v>1791</v>
      </c>
    </row>
    <row r="70" spans="1:25" s="961" customFormat="1"/>
    <row r="71" spans="1:25" s="961" customFormat="1" ht="31" customHeight="1">
      <c r="B71" s="1854" t="s">
        <v>0</v>
      </c>
      <c r="C71" s="1855"/>
      <c r="D71" s="1855"/>
      <c r="E71" s="1856"/>
      <c r="F71" s="1865" t="s">
        <v>1980</v>
      </c>
      <c r="G71" s="1866"/>
      <c r="H71" s="1866"/>
      <c r="I71" s="1866"/>
      <c r="J71" s="1866"/>
      <c r="K71" s="1866"/>
      <c r="L71" s="1866"/>
      <c r="M71" s="1866"/>
      <c r="N71" s="1866"/>
      <c r="O71" s="1866"/>
    </row>
    <row r="72" spans="1:25" s="961" customFormat="1" ht="31" customHeight="1">
      <c r="B72" s="1402" t="s">
        <v>759</v>
      </c>
      <c r="C72" s="1403"/>
      <c r="D72" s="1403"/>
      <c r="E72" s="1407"/>
      <c r="F72" s="1887" t="s">
        <v>1976</v>
      </c>
      <c r="G72" s="1888"/>
      <c r="H72" s="1888"/>
      <c r="I72" s="1888"/>
      <c r="J72" s="1888"/>
      <c r="K72" s="1888"/>
      <c r="L72" s="1888"/>
      <c r="M72" s="1888"/>
      <c r="N72" s="1888"/>
      <c r="O72" s="1888"/>
    </row>
    <row r="73" spans="1:25" s="961" customFormat="1" ht="31" customHeight="1">
      <c r="B73" s="1851" t="s">
        <v>5</v>
      </c>
      <c r="C73" s="1852"/>
      <c r="D73" s="1852"/>
      <c r="E73" s="1853"/>
      <c r="F73" s="1862" t="s">
        <v>1977</v>
      </c>
      <c r="G73" s="1863"/>
      <c r="H73" s="1863"/>
      <c r="I73" s="1863"/>
      <c r="J73" s="1863"/>
      <c r="K73" s="1863"/>
      <c r="L73" s="1863"/>
      <c r="M73" s="1863"/>
      <c r="N73" s="1863"/>
      <c r="O73" s="1864"/>
    </row>
    <row r="74" spans="1:25" s="961" customFormat="1" ht="31" customHeight="1">
      <c r="B74" s="1851" t="s">
        <v>6</v>
      </c>
      <c r="C74" s="1852"/>
      <c r="D74" s="1852"/>
      <c r="E74" s="1853"/>
      <c r="F74" s="1862" t="s">
        <v>1978</v>
      </c>
      <c r="G74" s="1863"/>
      <c r="H74" s="1863"/>
      <c r="I74" s="1863"/>
      <c r="J74" s="1863"/>
      <c r="K74" s="1863"/>
      <c r="L74" s="1863"/>
      <c r="M74" s="1863"/>
      <c r="N74" s="1863"/>
      <c r="O74" s="1864"/>
    </row>
    <row r="75" spans="1:25" s="961" customFormat="1" ht="31" customHeight="1">
      <c r="B75" s="1851" t="s">
        <v>7</v>
      </c>
      <c r="C75" s="1852"/>
      <c r="D75" s="1852"/>
      <c r="E75" s="1853"/>
      <c r="F75" s="1862" t="s">
        <v>1979</v>
      </c>
      <c r="G75" s="1863"/>
      <c r="H75" s="1863"/>
      <c r="I75" s="1863"/>
      <c r="J75" s="1863"/>
      <c r="K75" s="1863"/>
      <c r="L75" s="1863"/>
      <c r="M75" s="1863"/>
      <c r="N75" s="1863"/>
      <c r="O75" s="1864"/>
    </row>
    <row r="76" spans="1:25" s="961" customFormat="1" ht="31" customHeight="1">
      <c r="B76" s="1851" t="s">
        <v>8</v>
      </c>
      <c r="C76" s="1852"/>
      <c r="D76" s="1852"/>
      <c r="E76" s="1853"/>
      <c r="F76" s="1862" t="s">
        <v>2444</v>
      </c>
      <c r="G76" s="1863"/>
      <c r="H76" s="1863"/>
      <c r="I76" s="1863"/>
      <c r="J76" s="1863"/>
      <c r="K76" s="1863"/>
      <c r="L76" s="1863"/>
      <c r="M76" s="1863"/>
      <c r="N76" s="1863"/>
      <c r="O76" s="1864"/>
    </row>
    <row r="77" spans="1:25" s="961" customFormat="1" ht="31" customHeight="1">
      <c r="B77" s="1851" t="s">
        <v>9</v>
      </c>
      <c r="C77" s="1852"/>
      <c r="D77" s="1852"/>
      <c r="E77" s="1853"/>
      <c r="F77" s="1862" t="s">
        <v>2445</v>
      </c>
      <c r="G77" s="1863"/>
      <c r="H77" s="1863"/>
      <c r="I77" s="1863"/>
      <c r="J77" s="1863"/>
      <c r="K77" s="1863"/>
      <c r="L77" s="1863"/>
      <c r="M77" s="1863"/>
      <c r="N77" s="1863"/>
      <c r="O77" s="1864"/>
    </row>
    <row r="78" spans="1:25" s="961" customFormat="1" ht="31" customHeight="1">
      <c r="B78" s="1851" t="s">
        <v>10</v>
      </c>
      <c r="C78" s="1852"/>
      <c r="D78" s="1852"/>
      <c r="E78" s="1853"/>
      <c r="F78" s="1862" t="s">
        <v>2446</v>
      </c>
      <c r="G78" s="1863"/>
      <c r="H78" s="1863"/>
      <c r="I78" s="1863"/>
      <c r="J78" s="1863"/>
      <c r="K78" s="1863"/>
      <c r="L78" s="1863"/>
      <c r="M78" s="1863"/>
      <c r="N78" s="1863"/>
      <c r="O78" s="1864"/>
    </row>
    <row r="79" spans="1:25" s="961" customFormat="1" ht="31" customHeight="1">
      <c r="B79" s="1851" t="s">
        <v>11</v>
      </c>
      <c r="C79" s="1852"/>
      <c r="D79" s="1852"/>
      <c r="E79" s="1853"/>
      <c r="F79" s="1862" t="s">
        <v>2447</v>
      </c>
      <c r="G79" s="1863"/>
      <c r="H79" s="1863"/>
      <c r="I79" s="1863"/>
      <c r="J79" s="1863"/>
      <c r="K79" s="1863"/>
      <c r="L79" s="1863"/>
      <c r="M79" s="1863"/>
      <c r="N79" s="1863"/>
      <c r="O79" s="1864"/>
    </row>
    <row r="80" spans="1:25" s="961" customFormat="1" ht="31" customHeight="1">
      <c r="B80" s="1851" t="s">
        <v>12</v>
      </c>
      <c r="C80" s="1852"/>
      <c r="D80" s="1852"/>
      <c r="E80" s="1853"/>
      <c r="F80" s="1862" t="s">
        <v>2448</v>
      </c>
      <c r="G80" s="1863"/>
      <c r="H80" s="1863"/>
      <c r="I80" s="1863"/>
      <c r="J80" s="1863"/>
      <c r="K80" s="1863"/>
      <c r="L80" s="1863"/>
      <c r="M80" s="1863"/>
      <c r="N80" s="1863"/>
      <c r="O80" s="1864"/>
    </row>
    <row r="81" spans="2:15" s="961" customFormat="1" ht="31" customHeight="1">
      <c r="B81" s="1851" t="s">
        <v>13</v>
      </c>
      <c r="C81" s="1852"/>
      <c r="D81" s="1852"/>
      <c r="E81" s="1853"/>
      <c r="F81" s="1862" t="s">
        <v>2449</v>
      </c>
      <c r="G81" s="1863"/>
      <c r="H81" s="1863"/>
      <c r="I81" s="1863"/>
      <c r="J81" s="1863"/>
      <c r="K81" s="1863"/>
      <c r="L81" s="1863"/>
      <c r="M81" s="1863"/>
      <c r="N81" s="1863"/>
      <c r="O81" s="1864"/>
    </row>
    <row r="82" spans="2:15" s="961" customFormat="1" ht="31" customHeight="1">
      <c r="B82" s="1851" t="s">
        <v>14</v>
      </c>
      <c r="C82" s="1852"/>
      <c r="D82" s="1852"/>
      <c r="E82" s="1853"/>
      <c r="F82" s="1862" t="s">
        <v>2450</v>
      </c>
      <c r="G82" s="1863"/>
      <c r="H82" s="1863"/>
      <c r="I82" s="1863"/>
      <c r="J82" s="1863"/>
      <c r="K82" s="1863"/>
      <c r="L82" s="1863"/>
      <c r="M82" s="1863"/>
      <c r="N82" s="1863"/>
      <c r="O82" s="1864"/>
    </row>
    <row r="83" spans="2:15" s="961" customFormat="1" ht="31" customHeight="1">
      <c r="B83" s="1363" t="s">
        <v>760</v>
      </c>
      <c r="C83" s="1157"/>
      <c r="D83" s="1157"/>
      <c r="E83" s="1158"/>
      <c r="F83" s="1360"/>
      <c r="G83" s="1361"/>
      <c r="H83" s="1361"/>
      <c r="I83" s="1361"/>
      <c r="J83" s="1361"/>
      <c r="K83" s="1361"/>
      <c r="L83" s="1361"/>
      <c r="M83" s="1361"/>
      <c r="N83" s="1361"/>
      <c r="O83" s="1362"/>
    </row>
    <row r="84" spans="2:15" s="961" customFormat="1" ht="31" customHeight="1">
      <c r="B84" s="1851" t="s">
        <v>16</v>
      </c>
      <c r="C84" s="1852"/>
      <c r="D84" s="1852"/>
      <c r="E84" s="1853"/>
      <c r="F84" s="1862" t="s">
        <v>2451</v>
      </c>
      <c r="G84" s="1863"/>
      <c r="H84" s="1863"/>
      <c r="I84" s="1863"/>
      <c r="J84" s="1863"/>
      <c r="K84" s="1863"/>
      <c r="L84" s="1863"/>
      <c r="M84" s="1863"/>
      <c r="N84" s="1863"/>
      <c r="O84" s="1864"/>
    </row>
    <row r="85" spans="2:15" s="961" customFormat="1" ht="31" customHeight="1">
      <c r="B85" s="1851" t="s">
        <v>17</v>
      </c>
      <c r="C85" s="1852"/>
      <c r="D85" s="1852"/>
      <c r="E85" s="1853"/>
      <c r="F85" s="1862" t="s">
        <v>2454</v>
      </c>
      <c r="G85" s="1863"/>
      <c r="H85" s="1863"/>
      <c r="I85" s="1863"/>
      <c r="J85" s="1863"/>
      <c r="K85" s="1863"/>
      <c r="L85" s="1863"/>
      <c r="M85" s="1863"/>
      <c r="N85" s="1863"/>
      <c r="O85" s="1864"/>
    </row>
    <row r="86" spans="2:15" s="961" customFormat="1" ht="31" customHeight="1">
      <c r="B86" s="1851" t="s">
        <v>18</v>
      </c>
      <c r="C86" s="1852"/>
      <c r="D86" s="1852"/>
      <c r="E86" s="1853"/>
      <c r="F86" s="1862" t="s">
        <v>2452</v>
      </c>
      <c r="G86" s="1863"/>
      <c r="H86" s="1863"/>
      <c r="I86" s="1863"/>
      <c r="J86" s="1863"/>
      <c r="K86" s="1863"/>
      <c r="L86" s="1863"/>
      <c r="M86" s="1863"/>
      <c r="N86" s="1863"/>
      <c r="O86" s="1864"/>
    </row>
    <row r="87" spans="2:15" s="961" customFormat="1" ht="31" customHeight="1">
      <c r="B87" s="1851" t="s">
        <v>19</v>
      </c>
      <c r="C87" s="1852"/>
      <c r="D87" s="1852"/>
      <c r="E87" s="1853"/>
      <c r="F87" s="1862" t="s">
        <v>2453</v>
      </c>
      <c r="G87" s="1863"/>
      <c r="H87" s="1863"/>
      <c r="I87" s="1863"/>
      <c r="J87" s="1863"/>
      <c r="K87" s="1863"/>
      <c r="L87" s="1863"/>
      <c r="M87" s="1863"/>
      <c r="N87" s="1863"/>
      <c r="O87" s="1864"/>
    </row>
    <row r="88" spans="2:15" s="961" customFormat="1" ht="31" customHeight="1">
      <c r="B88" s="1851" t="s">
        <v>20</v>
      </c>
      <c r="C88" s="1852"/>
      <c r="D88" s="1852"/>
      <c r="E88" s="1853"/>
      <c r="F88" s="1862" t="s">
        <v>2711</v>
      </c>
      <c r="G88" s="1863"/>
      <c r="H88" s="1863"/>
      <c r="I88" s="1863"/>
      <c r="J88" s="1863"/>
      <c r="K88" s="1863"/>
      <c r="L88" s="1863"/>
      <c r="M88" s="1863"/>
      <c r="N88" s="1863"/>
      <c r="O88" s="1864"/>
    </row>
    <row r="89" spans="2:15" s="961" customFormat="1" ht="31" customHeight="1">
      <c r="B89" s="1363" t="s">
        <v>761</v>
      </c>
      <c r="C89" s="1364"/>
      <c r="D89" s="1364"/>
      <c r="E89" s="1365"/>
      <c r="F89" s="1366"/>
      <c r="G89" s="1367"/>
      <c r="H89" s="1367"/>
      <c r="I89" s="1367"/>
      <c r="J89" s="1367"/>
      <c r="K89" s="1367"/>
      <c r="L89" s="1367"/>
      <c r="M89" s="1367"/>
      <c r="N89" s="1367"/>
      <c r="O89" s="1368"/>
    </row>
    <row r="90" spans="2:15" s="961" customFormat="1" ht="31" customHeight="1">
      <c r="B90" s="1851" t="s">
        <v>22</v>
      </c>
      <c r="C90" s="1852"/>
      <c r="D90" s="1852"/>
      <c r="E90" s="1853"/>
      <c r="F90" s="2673" t="s">
        <v>2721</v>
      </c>
      <c r="G90" s="2674"/>
      <c r="H90" s="2674"/>
      <c r="I90" s="2674"/>
      <c r="J90" s="2674"/>
      <c r="K90" s="2674"/>
      <c r="L90" s="2674"/>
      <c r="M90" s="2674"/>
      <c r="N90" s="2674"/>
      <c r="O90" s="2675"/>
    </row>
    <row r="91" spans="2:15" s="961" customFormat="1" ht="31" customHeight="1">
      <c r="B91" s="1851" t="s">
        <v>24</v>
      </c>
      <c r="C91" s="1852"/>
      <c r="D91" s="1852"/>
      <c r="E91" s="1853"/>
      <c r="F91" s="2673" t="s">
        <v>2718</v>
      </c>
      <c r="G91" s="2674"/>
      <c r="H91" s="2674"/>
      <c r="I91" s="2674"/>
      <c r="J91" s="2674"/>
      <c r="K91" s="2674"/>
      <c r="L91" s="2674"/>
      <c r="M91" s="2674"/>
      <c r="N91" s="2674"/>
      <c r="O91" s="2675"/>
    </row>
    <row r="92" spans="2:15" s="961" customFormat="1" ht="31" customHeight="1">
      <c r="B92" s="1851" t="s">
        <v>26</v>
      </c>
      <c r="C92" s="1852"/>
      <c r="D92" s="1852"/>
      <c r="E92" s="1853"/>
      <c r="F92" s="2673" t="s">
        <v>2719</v>
      </c>
      <c r="G92" s="2674"/>
      <c r="H92" s="2674"/>
      <c r="I92" s="2674"/>
      <c r="J92" s="2674"/>
      <c r="K92" s="2674"/>
      <c r="L92" s="2674"/>
      <c r="M92" s="2674"/>
      <c r="N92" s="2674"/>
      <c r="O92" s="2675"/>
    </row>
    <row r="93" spans="2:15" s="961" customFormat="1" ht="31" customHeight="1">
      <c r="B93" s="1851" t="s">
        <v>28</v>
      </c>
      <c r="C93" s="1852"/>
      <c r="D93" s="1852"/>
      <c r="E93" s="1853"/>
      <c r="F93" s="2673" t="s">
        <v>2720</v>
      </c>
      <c r="G93" s="2674"/>
      <c r="H93" s="2674"/>
      <c r="I93" s="2674"/>
      <c r="J93" s="2674"/>
      <c r="K93" s="2674"/>
      <c r="L93" s="2674"/>
      <c r="M93" s="2674"/>
      <c r="N93" s="2674"/>
      <c r="O93" s="2675"/>
    </row>
    <row r="94" spans="2:15" s="961" customFormat="1" ht="31" customHeight="1">
      <c r="B94" s="1363" t="s">
        <v>1593</v>
      </c>
      <c r="C94" s="1364"/>
      <c r="D94" s="1364"/>
      <c r="E94" s="1365"/>
      <c r="F94" s="2676"/>
      <c r="G94" s="2677"/>
      <c r="H94" s="2677"/>
      <c r="I94" s="2677"/>
      <c r="J94" s="2677"/>
      <c r="K94" s="2677"/>
      <c r="L94" s="2677"/>
      <c r="M94" s="2677"/>
      <c r="N94" s="2677"/>
      <c r="O94" s="2678"/>
    </row>
    <row r="95" spans="2:15" s="961" customFormat="1" ht="31" customHeight="1">
      <c r="B95" s="1851" t="s">
        <v>30</v>
      </c>
      <c r="C95" s="1852"/>
      <c r="D95" s="1852"/>
      <c r="E95" s="1853"/>
      <c r="F95" s="2679" t="s">
        <v>2712</v>
      </c>
      <c r="G95" s="2680"/>
      <c r="H95" s="2680"/>
      <c r="I95" s="2680"/>
      <c r="J95" s="2680"/>
      <c r="K95" s="2680"/>
      <c r="L95" s="2680"/>
      <c r="M95" s="2680"/>
      <c r="N95" s="2680"/>
      <c r="O95" s="2681"/>
    </row>
    <row r="96" spans="2:15" s="961" customFormat="1" ht="31" customHeight="1">
      <c r="B96" s="1851" t="s">
        <v>31</v>
      </c>
      <c r="C96" s="1852"/>
      <c r="D96" s="1852"/>
      <c r="E96" s="1853"/>
      <c r="F96" s="2679" t="s">
        <v>2713</v>
      </c>
      <c r="G96" s="2680"/>
      <c r="H96" s="2680"/>
      <c r="I96" s="2680"/>
      <c r="J96" s="2680"/>
      <c r="K96" s="2680"/>
      <c r="L96" s="2680"/>
      <c r="M96" s="2680"/>
      <c r="N96" s="2680"/>
      <c r="O96" s="2681"/>
    </row>
    <row r="97" spans="2:15" s="961" customFormat="1" ht="31" customHeight="1">
      <c r="B97" s="1363" t="s">
        <v>11</v>
      </c>
      <c r="C97" s="1364"/>
      <c r="D97" s="1364"/>
      <c r="E97" s="1365"/>
      <c r="F97" s="2676"/>
      <c r="G97" s="2677"/>
      <c r="H97" s="2677"/>
      <c r="I97" s="2677"/>
      <c r="J97" s="2677"/>
      <c r="K97" s="2677"/>
      <c r="L97" s="2677"/>
      <c r="M97" s="2677"/>
      <c r="N97" s="2677"/>
      <c r="O97" s="2678"/>
    </row>
    <row r="98" spans="2:15" s="961" customFormat="1" ht="31" customHeight="1">
      <c r="B98" s="1851" t="s">
        <v>32</v>
      </c>
      <c r="C98" s="1852"/>
      <c r="D98" s="1852"/>
      <c r="E98" s="1853"/>
      <c r="F98" s="2679" t="s">
        <v>2714</v>
      </c>
      <c r="G98" s="2680"/>
      <c r="H98" s="2680"/>
      <c r="I98" s="2680"/>
      <c r="J98" s="2680"/>
      <c r="K98" s="2680"/>
      <c r="L98" s="2680"/>
      <c r="M98" s="2680"/>
      <c r="N98" s="2680"/>
      <c r="O98" s="2681"/>
    </row>
    <row r="99" spans="2:15" s="961" customFormat="1" ht="31" customHeight="1">
      <c r="B99" s="1851" t="s">
        <v>33</v>
      </c>
      <c r="C99" s="1852"/>
      <c r="D99" s="1852"/>
      <c r="E99" s="1853"/>
      <c r="F99" s="2679" t="s">
        <v>2715</v>
      </c>
      <c r="G99" s="2680"/>
      <c r="H99" s="2680"/>
      <c r="I99" s="2680"/>
      <c r="J99" s="2680"/>
      <c r="K99" s="2680"/>
      <c r="L99" s="2680"/>
      <c r="M99" s="2680"/>
      <c r="N99" s="2680"/>
      <c r="O99" s="2681"/>
    </row>
    <row r="100" spans="2:15" s="961" customFormat="1" ht="31" customHeight="1">
      <c r="B100" s="1851" t="s">
        <v>34</v>
      </c>
      <c r="C100" s="1852"/>
      <c r="D100" s="1852"/>
      <c r="E100" s="1853"/>
      <c r="F100" s="2679" t="s">
        <v>2716</v>
      </c>
      <c r="G100" s="2680"/>
      <c r="H100" s="2680"/>
      <c r="I100" s="2680"/>
      <c r="J100" s="2680"/>
      <c r="K100" s="2680"/>
      <c r="L100" s="2680"/>
      <c r="M100" s="2680"/>
      <c r="N100" s="2680"/>
      <c r="O100" s="2681"/>
    </row>
    <row r="101" spans="2:15" s="961" customFormat="1" ht="31" customHeight="1">
      <c r="B101" s="1363" t="s">
        <v>762</v>
      </c>
      <c r="C101" s="1364"/>
      <c r="D101" s="1364"/>
      <c r="E101" s="1365"/>
      <c r="F101" s="2676"/>
      <c r="G101" s="2677"/>
      <c r="H101" s="2677"/>
      <c r="I101" s="2677"/>
      <c r="J101" s="2677"/>
      <c r="K101" s="2677"/>
      <c r="L101" s="2677"/>
      <c r="M101" s="2677"/>
      <c r="N101" s="2677"/>
      <c r="O101" s="2678"/>
    </row>
    <row r="102" spans="2:15" s="961" customFormat="1" ht="31" customHeight="1">
      <c r="B102" s="1851" t="s">
        <v>762</v>
      </c>
      <c r="C102" s="1852"/>
      <c r="D102" s="1852"/>
      <c r="E102" s="1853"/>
      <c r="F102" s="2679" t="s">
        <v>2717</v>
      </c>
      <c r="G102" s="2680"/>
      <c r="H102" s="2680"/>
      <c r="I102" s="2680"/>
      <c r="J102" s="2680"/>
      <c r="K102" s="2680"/>
      <c r="L102" s="2680"/>
      <c r="M102" s="2680"/>
      <c r="N102" s="2680"/>
      <c r="O102" s="2681"/>
    </row>
    <row r="103" spans="2:15" s="961" customFormat="1" ht="31" customHeight="1"/>
    <row r="104" spans="2:15" s="961" customFormat="1" ht="15" hidden="1" customHeight="1"/>
    <row r="105" spans="2:15" s="961" customFormat="1" ht="15" hidden="1" customHeight="1"/>
    <row r="106" spans="2:15" s="961" customFormat="1" ht="15" hidden="1" customHeight="1"/>
    <row r="107" spans="2:15" s="961" customFormat="1" ht="15" hidden="1" customHeight="1"/>
    <row r="108" spans="2:15" s="961" customFormat="1" ht="15" hidden="1" customHeight="1"/>
    <row r="109" spans="2:15" s="961" customFormat="1" ht="15" hidden="1" customHeight="1"/>
    <row r="110" spans="2:15" s="961" customFormat="1" ht="15" hidden="1" customHeight="1"/>
    <row r="111" spans="2:15" s="961" customFormat="1" ht="15" hidden="1" customHeight="1"/>
    <row r="112" spans="2:15" s="961" customFormat="1" ht="15" hidden="1" customHeight="1"/>
    <row r="113" s="961" customFormat="1" ht="15" hidden="1" customHeight="1"/>
    <row r="114" s="961" customFormat="1" ht="15" hidden="1" customHeight="1"/>
    <row r="115" s="961" customFormat="1" ht="15" hidden="1" customHeight="1"/>
    <row r="116" s="961" customFormat="1" ht="15" hidden="1" customHeight="1"/>
    <row r="117" s="961" customFormat="1" ht="15" hidden="1" customHeight="1"/>
    <row r="118" s="961" customFormat="1" ht="15" hidden="1" customHeight="1"/>
    <row r="119" s="961" customFormat="1" ht="15" hidden="1" customHeight="1"/>
    <row r="120" s="961" customFormat="1" ht="15" hidden="1" customHeight="1"/>
    <row r="121" s="961" customFormat="1" ht="15" hidden="1" customHeight="1"/>
    <row r="122" s="961" customFormat="1" ht="15" hidden="1" customHeight="1"/>
    <row r="123" s="961" customFormat="1" ht="15" hidden="1" customHeight="1"/>
    <row r="124" s="961" customFormat="1" ht="15" hidden="1" customHeight="1"/>
    <row r="125" s="961" customFormat="1" ht="15" hidden="1" customHeight="1"/>
    <row r="126" s="961" customFormat="1" ht="15" hidden="1" customHeight="1"/>
    <row r="127" s="961" customFormat="1" ht="31" hidden="1" customHeight="1"/>
    <row r="128" ht="31" hidden="1" customHeight="1"/>
    <row r="129" ht="30" hidden="1" customHeight="1"/>
    <row r="130" ht="15" hidden="1" customHeight="1"/>
    <row r="131" ht="16" hidden="1" customHeight="1"/>
    <row r="132" ht="15" hidden="1" customHeight="1"/>
    <row r="133" ht="15" hidden="1" customHeight="1"/>
    <row r="134" ht="15" hidden="1" customHeight="1"/>
    <row r="135" ht="15" hidden="1" customHeight="1"/>
    <row r="136" ht="15" hidden="1" customHeight="1"/>
    <row r="137" ht="15" hidden="1" customHeight="1"/>
    <row r="138" ht="15" hidden="1" customHeight="1"/>
    <row r="139" ht="15" hidden="1" customHeight="1"/>
    <row r="140" ht="15" hidden="1" customHeight="1"/>
    <row r="141" ht="15" hidden="1" customHeight="1"/>
    <row r="142" ht="15" hidden="1" customHeight="1"/>
    <row r="143" ht="15" hidden="1" customHeight="1"/>
    <row r="144" ht="15" hidden="1" customHeight="1"/>
    <row r="145" ht="15" hidden="1" customHeight="1"/>
    <row r="146" ht="15" hidden="1" customHeight="1"/>
    <row r="147" ht="15" hidden="1" customHeight="1"/>
    <row r="148" ht="15" hidden="1" customHeight="1"/>
    <row r="149" ht="15" hidden="1" customHeight="1"/>
    <row r="150" ht="15" hidden="1" customHeight="1"/>
    <row r="151" ht="16" hidden="1" customHeight="1"/>
    <row r="152" ht="15" hidden="1" customHeight="1"/>
    <row r="153" ht="15" hidden="1" customHeight="1"/>
    <row r="154" ht="30" hidden="1" customHeight="1"/>
    <row r="155" ht="30" hidden="1" customHeight="1"/>
    <row r="156" ht="31" hidden="1" customHeight="1"/>
    <row r="157" ht="15" hidden="1" customHeight="1"/>
    <row r="158" ht="15" hidden="1" customHeight="1"/>
    <row r="159" ht="15" hidden="1" customHeight="1"/>
    <row r="160" ht="16" hidden="1" customHeight="1"/>
    <row r="161" ht="15" hidden="1" customHeight="1"/>
    <row r="162" ht="16" hidden="1" customHeight="1"/>
    <row r="163" ht="16" hidden="1" customHeight="1"/>
    <row r="164" ht="16" hidden="1" customHeight="1"/>
    <row r="165" ht="17" hidden="1" customHeight="1"/>
    <row r="166" ht="15" hidden="1" customHeight="1"/>
    <row r="167" ht="15" hidden="1" customHeight="1"/>
    <row r="168" ht="15" hidden="1" customHeight="1"/>
    <row r="169" ht="15" hidden="1" customHeight="1"/>
    <row r="170" ht="16" hidden="1" customHeight="1"/>
    <row r="171" ht="15" hidden="1" customHeight="1"/>
    <row r="172" ht="15" hidden="1" customHeight="1"/>
    <row r="173" ht="15" hidden="1" customHeight="1"/>
    <row r="174" ht="15" hidden="1" customHeight="1"/>
    <row r="175" ht="15" hidden="1" customHeight="1"/>
    <row r="176" ht="16" hidden="1" customHeight="1"/>
    <row r="177" ht="15" hidden="1" customHeight="1"/>
    <row r="178" ht="15" hidden="1" customHeight="1"/>
    <row r="179" ht="15" hidden="1" customHeight="1"/>
    <row r="180" ht="15" hidden="1" customHeight="1"/>
    <row r="181" ht="16" hidden="1" customHeight="1"/>
    <row r="182" ht="15" hidden="1" customHeight="1"/>
    <row r="183" ht="15" hidden="1" customHeight="1"/>
    <row r="184" ht="15" hidden="1" customHeight="1"/>
    <row r="185" ht="15" hidden="1" customHeight="1"/>
    <row r="186" ht="15" hidden="1" customHeight="1"/>
    <row r="187" ht="15" hidden="1" customHeight="1"/>
    <row r="188" ht="16" hidden="1" customHeight="1"/>
    <row r="189" ht="15" hidden="1" customHeight="1"/>
    <row r="190" ht="15" hidden="1" customHeight="1"/>
    <row r="191" ht="15" hidden="1" customHeight="1"/>
    <row r="192" ht="15" hidden="1" customHeight="1"/>
    <row r="193" ht="16" hidden="1" customHeight="1"/>
    <row r="194" ht="15" hidden="1" customHeight="1"/>
    <row r="195" ht="15" hidden="1" customHeight="1"/>
    <row r="196" ht="15" hidden="1" customHeight="1"/>
    <row r="197" ht="15" hidden="1" customHeight="1"/>
    <row r="198" ht="15" hidden="1" customHeight="1"/>
    <row r="199" ht="15" hidden="1" customHeight="1"/>
    <row r="200" ht="16" hidden="1" customHeight="1"/>
    <row r="201" ht="15" hidden="1" customHeight="1"/>
    <row r="202" ht="15" hidden="1" customHeight="1"/>
    <row r="203" ht="15" hidden="1" customHeight="1"/>
    <row r="204" ht="15" hidden="1" customHeight="1"/>
    <row r="205" ht="20" hidden="1" customHeight="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t="15" hidden="1" customHeight="1"/>
  </sheetData>
  <mergeCells count="108">
    <mergeCell ref="F90:O90"/>
    <mergeCell ref="F91:O91"/>
    <mergeCell ref="F92:O92"/>
    <mergeCell ref="F93:O93"/>
    <mergeCell ref="B26:C28"/>
    <mergeCell ref="B29:C31"/>
    <mergeCell ref="B32:C34"/>
    <mergeCell ref="B36:G40"/>
    <mergeCell ref="F88:O88"/>
    <mergeCell ref="F72:O72"/>
    <mergeCell ref="F82:O82"/>
    <mergeCell ref="F84:O84"/>
    <mergeCell ref="F85:O85"/>
    <mergeCell ref="F86:O86"/>
    <mergeCell ref="F87:O87"/>
    <mergeCell ref="F77:O77"/>
    <mergeCell ref="F78:O78"/>
    <mergeCell ref="F79:O79"/>
    <mergeCell ref="F80:O80"/>
    <mergeCell ref="F81:O81"/>
    <mergeCell ref="I55:L55"/>
    <mergeCell ref="I43:L43"/>
    <mergeCell ref="I44:L44"/>
    <mergeCell ref="I45:L45"/>
    <mergeCell ref="I29:L29"/>
    <mergeCell ref="I30:L30"/>
    <mergeCell ref="I24:L24"/>
    <mergeCell ref="B24:C24"/>
    <mergeCell ref="D24:G24"/>
    <mergeCell ref="B22:O22"/>
    <mergeCell ref="B20:O20"/>
    <mergeCell ref="D25:G25"/>
    <mergeCell ref="I35:L35"/>
    <mergeCell ref="N3:O3"/>
    <mergeCell ref="B8:O8"/>
    <mergeCell ref="B10:O10"/>
    <mergeCell ref="B2:B3"/>
    <mergeCell ref="C2:C3"/>
    <mergeCell ref="N2:O2"/>
    <mergeCell ref="L2:M2"/>
    <mergeCell ref="D3:E3"/>
    <mergeCell ref="F3:G3"/>
    <mergeCell ref="H3:I3"/>
    <mergeCell ref="L3:M3"/>
    <mergeCell ref="J3:K3"/>
    <mergeCell ref="D2:E2"/>
    <mergeCell ref="F2:G2"/>
    <mergeCell ref="H2:I2"/>
    <mergeCell ref="J2:K2"/>
    <mergeCell ref="I53:L53"/>
    <mergeCell ref="I31:L31"/>
    <mergeCell ref="I26:L26"/>
    <mergeCell ref="I27:L27"/>
    <mergeCell ref="I28:L28"/>
    <mergeCell ref="D29:G31"/>
    <mergeCell ref="D26:G28"/>
    <mergeCell ref="B42:G43"/>
    <mergeCell ref="B45:G46"/>
    <mergeCell ref="B48:G56"/>
    <mergeCell ref="I47:L47"/>
    <mergeCell ref="I49:L49"/>
    <mergeCell ref="I50:L50"/>
    <mergeCell ref="I48:L48"/>
    <mergeCell ref="D32:G34"/>
    <mergeCell ref="I32:L32"/>
    <mergeCell ref="I33:L33"/>
    <mergeCell ref="I37:L37"/>
    <mergeCell ref="I38:L38"/>
    <mergeCell ref="I41:L41"/>
    <mergeCell ref="I39:L39"/>
    <mergeCell ref="I40:L40"/>
    <mergeCell ref="I46:L46"/>
    <mergeCell ref="I52:L52"/>
    <mergeCell ref="B65:G65"/>
    <mergeCell ref="I56:L56"/>
    <mergeCell ref="B58:G63"/>
    <mergeCell ref="F73:O73"/>
    <mergeCell ref="F74:O74"/>
    <mergeCell ref="F75:O75"/>
    <mergeCell ref="F76:O76"/>
    <mergeCell ref="B81:E81"/>
    <mergeCell ref="B82:E82"/>
    <mergeCell ref="B77:E77"/>
    <mergeCell ref="F71:O71"/>
    <mergeCell ref="I57:L57"/>
    <mergeCell ref="B73:E73"/>
    <mergeCell ref="B74:E74"/>
    <mergeCell ref="B75:E75"/>
    <mergeCell ref="B76:E76"/>
    <mergeCell ref="B85:E85"/>
    <mergeCell ref="B86:E86"/>
    <mergeCell ref="B100:E100"/>
    <mergeCell ref="B93:E93"/>
    <mergeCell ref="B78:E78"/>
    <mergeCell ref="B79:E79"/>
    <mergeCell ref="B80:E80"/>
    <mergeCell ref="B84:E84"/>
    <mergeCell ref="B71:E71"/>
    <mergeCell ref="B102:E102"/>
    <mergeCell ref="B95:E95"/>
    <mergeCell ref="B96:E96"/>
    <mergeCell ref="B98:E98"/>
    <mergeCell ref="B99:E99"/>
    <mergeCell ref="B92:E92"/>
    <mergeCell ref="B91:E91"/>
    <mergeCell ref="B87:E87"/>
    <mergeCell ref="B88:E88"/>
    <mergeCell ref="B90:E90"/>
  </mergeCells>
  <phoneticPr fontId="13" type="noConversion"/>
  <hyperlinks>
    <hyperlink ref="F2" location="'City information'!A1" display="Set-up"/>
    <hyperlink ref="G2" location="'City information'!A1" display="'City information'!A1"/>
    <hyperlink ref="H3" location="'Notation keys'!A1" display="Notation keys"/>
    <hyperlink ref="I3" location="'Notation keys'!A1" display="'Notation keys'!A1"/>
    <hyperlink ref="J3" location="GWP!A1" display="GWP"/>
    <hyperlink ref="K3" location="GWP!A1" display="GWP!A1"/>
    <hyperlink ref="L3" location="'Conversion factors'!A1" display="Conversion factors"/>
    <hyperlink ref="M3" location="'Conversion factors'!A1" display="'Conversion factors'!A1"/>
    <hyperlink ref="H2" location="Inventory!A1" display="Inventory"/>
    <hyperlink ref="I2" location="Inventory!A1" display="Inventory!A1"/>
    <hyperlink ref="J2" location="Calculators!A1" display="Calculators"/>
    <hyperlink ref="K2" location="Calculators!A1" display="Calculators!A1"/>
    <hyperlink ref="N2" location="Analysis!A1" display="Analysis"/>
    <hyperlink ref="O2" location="Analysis!A1" display="Analysis!A1"/>
    <hyperlink ref="L2" location="Results!A1" display="Results"/>
    <hyperlink ref="M2" location="Results!A1" display="Results!A1"/>
    <hyperlink ref="D2" location="Home!A1" display="Introduction"/>
    <hyperlink ref="E2" location="Home!A1" display="Home!A1"/>
    <hyperlink ref="D3" location="Home!A1" display="Introduction"/>
    <hyperlink ref="E3" location="Home!A1" display="Home!A1"/>
    <hyperlink ref="N3" location="'Compact of Mayors'!A1" display="Compact of Mayors"/>
    <hyperlink ref="O3" location="'Compact of Mayors'!A1" display="'Compact of Mayors'!A1"/>
  </hyperlinks>
  <pageMargins left="0.25" right="0.25" top="0.75" bottom="0.75" header="0.3" footer="0.3"/>
  <pageSetup paperSize="9" scale="10" orientation="portrait" horizontalDpi="4294967292" verticalDpi="4294967292"/>
  <headerFooter>
    <oddHeader>&amp;CTable 4.1</oddHeader>
  </headerFooter>
  <drawing r:id="rId1"/>
  <extLst>
    <ext xmlns:mx="http://schemas.microsoft.com/office/mac/excel/2008/main" uri="{64002731-A6B0-56B0-2670-7721B7C09600}">
      <mx:PLV Mode="0" OnePage="0" WScale="71"/>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enableFormatConditionsCalculation="0">
    <tabColor theme="4"/>
    <outlinePr summaryBelow="0"/>
    <pageSetUpPr fitToPage="1"/>
  </sheetPr>
  <dimension ref="A1:AS352"/>
  <sheetViews>
    <sheetView showRowColHeaders="0" workbookViewId="0">
      <selection activeCell="J3" sqref="J3:K3"/>
    </sheetView>
  </sheetViews>
  <sheetFormatPr baseColWidth="10" defaultColWidth="0" defaultRowHeight="15" customHeight="1" zeroHeight="1" x14ac:dyDescent="0"/>
  <cols>
    <col min="1" max="1" width="4.83203125" style="31" customWidth="1"/>
    <col min="2" max="2" width="12.83203125" style="3" customWidth="1"/>
    <col min="3" max="8" width="12.83203125" style="4" customWidth="1"/>
    <col min="9" max="11" width="12.83203125" style="2" customWidth="1"/>
    <col min="12" max="15" width="12.83203125" style="31" customWidth="1"/>
    <col min="16" max="16" width="4.83203125" customWidth="1"/>
    <col min="17" max="20" width="10.83203125" style="31" hidden="1" customWidth="1"/>
    <col min="21" max="25" width="10.83203125" style="26" hidden="1" customWidth="1"/>
    <col min="26" max="45" width="10.83203125" style="31" hidden="1" customWidth="1"/>
    <col min="46" max="16384" width="10.83203125" style="1" hidden="1"/>
  </cols>
  <sheetData>
    <row r="1" spans="1:25" s="498" customFormat="1">
      <c r="P1" s="499"/>
      <c r="Q1" s="499"/>
      <c r="R1" s="499"/>
      <c r="S1" s="500"/>
      <c r="T1" s="500"/>
      <c r="U1" s="500"/>
    </row>
    <row r="2" spans="1:25" s="464" customFormat="1" ht="31" customHeight="1">
      <c r="A2" s="494"/>
      <c r="B2" s="1817" t="str">
        <f>Home!B2</f>
        <v>CIRIS</v>
      </c>
      <c r="C2" s="1819">
        <v>400</v>
      </c>
      <c r="D2" s="1847" t="s">
        <v>1555</v>
      </c>
      <c r="E2" s="1848"/>
      <c r="F2" s="1849" t="s">
        <v>1563</v>
      </c>
      <c r="G2" s="1850"/>
      <c r="H2" s="1849" t="s">
        <v>794</v>
      </c>
      <c r="I2" s="1850"/>
      <c r="J2" s="1849" t="s">
        <v>1570</v>
      </c>
      <c r="K2" s="1850"/>
      <c r="L2" s="1849" t="s">
        <v>1564</v>
      </c>
      <c r="M2" s="1850"/>
      <c r="N2" s="1849" t="s">
        <v>1602</v>
      </c>
      <c r="O2" s="1850"/>
      <c r="P2" s="494"/>
    </row>
    <row r="3" spans="1:25" s="464" customFormat="1" ht="31" customHeight="1">
      <c r="A3" s="494"/>
      <c r="B3" s="1818"/>
      <c r="C3" s="1820"/>
      <c r="D3" s="1843" t="s">
        <v>1565</v>
      </c>
      <c r="E3" s="1844"/>
      <c r="F3" s="1843" t="s">
        <v>785</v>
      </c>
      <c r="G3" s="1844"/>
      <c r="H3" s="1847" t="s">
        <v>40</v>
      </c>
      <c r="I3" s="1848"/>
      <c r="J3" s="1843" t="s">
        <v>780</v>
      </c>
      <c r="K3" s="1844"/>
      <c r="L3" s="1843" t="s">
        <v>1585</v>
      </c>
      <c r="M3" s="1844"/>
      <c r="N3" s="1843" t="s">
        <v>1788</v>
      </c>
      <c r="O3" s="1844"/>
      <c r="P3" s="494"/>
    </row>
    <row r="4" spans="1:25" s="494" customFormat="1" ht="15" customHeight="1">
      <c r="B4" s="492"/>
      <c r="C4" s="495"/>
      <c r="D4" s="497"/>
      <c r="E4" s="497"/>
      <c r="F4" s="497"/>
      <c r="G4" s="497"/>
      <c r="H4" s="497"/>
      <c r="I4" s="497"/>
      <c r="J4" s="496"/>
      <c r="K4" s="496"/>
      <c r="L4" s="496"/>
      <c r="M4" s="496"/>
      <c r="N4" s="496"/>
      <c r="O4" s="496"/>
    </row>
    <row r="5" spans="1:25" s="31" customFormat="1" ht="31" customHeight="1">
      <c r="B5" s="32"/>
      <c r="C5" s="33"/>
      <c r="D5" s="33"/>
      <c r="E5" s="33"/>
      <c r="F5" s="33"/>
      <c r="G5" s="33"/>
      <c r="H5" s="33"/>
      <c r="I5" s="34"/>
      <c r="J5" s="34"/>
      <c r="K5" s="34"/>
      <c r="U5" s="26"/>
      <c r="V5" s="26"/>
      <c r="W5" s="26"/>
      <c r="X5" s="26"/>
      <c r="Y5" s="26"/>
    </row>
    <row r="6" spans="1:25" s="29" customFormat="1" ht="31" customHeight="1" thickBot="1">
      <c r="A6" s="31"/>
      <c r="B6" s="491" t="s">
        <v>1797</v>
      </c>
      <c r="C6" s="466"/>
      <c r="D6" s="466"/>
      <c r="E6" s="466"/>
      <c r="F6" s="466"/>
      <c r="G6" s="466"/>
      <c r="H6" s="466"/>
      <c r="I6" s="467"/>
      <c r="J6" s="467"/>
      <c r="K6" s="467"/>
      <c r="L6" s="468"/>
      <c r="M6" s="468"/>
      <c r="N6" s="468"/>
      <c r="O6" s="468"/>
      <c r="U6" s="234"/>
      <c r="V6" s="234"/>
      <c r="W6" s="234"/>
      <c r="X6" s="234"/>
      <c r="Y6" s="234"/>
    </row>
    <row r="7" spans="1:25" s="31" customFormat="1" ht="15" customHeight="1" thickTop="1">
      <c r="B7" s="32"/>
      <c r="C7" s="33"/>
      <c r="D7" s="33"/>
      <c r="E7" s="33"/>
      <c r="F7" s="33"/>
      <c r="G7" s="33"/>
      <c r="H7" s="33"/>
      <c r="I7" s="34"/>
      <c r="J7" s="34"/>
      <c r="K7" s="34"/>
      <c r="U7" s="26"/>
      <c r="V7" s="26"/>
      <c r="W7" s="26"/>
      <c r="X7" s="26"/>
      <c r="Y7" s="26"/>
    </row>
    <row r="8" spans="1:25" s="1108" customFormat="1" ht="36" customHeight="1">
      <c r="B8" s="1861" t="s">
        <v>1661</v>
      </c>
      <c r="C8" s="1861"/>
      <c r="D8" s="1861"/>
      <c r="E8" s="1861"/>
      <c r="F8" s="1861"/>
      <c r="G8" s="1861"/>
      <c r="H8" s="1861"/>
      <c r="I8" s="1861"/>
      <c r="J8" s="1861"/>
      <c r="K8" s="1861"/>
      <c r="L8" s="1861"/>
      <c r="M8" s="1861"/>
      <c r="N8" s="1861"/>
      <c r="O8" s="1861"/>
      <c r="U8" s="1109"/>
      <c r="V8" s="1109"/>
      <c r="W8" s="1109"/>
      <c r="X8" s="1109"/>
      <c r="Y8" s="1109"/>
    </row>
    <row r="9" spans="1:25" s="31" customFormat="1" ht="15" customHeight="1">
      <c r="B9" s="726"/>
      <c r="C9" s="726"/>
      <c r="D9" s="726"/>
      <c r="E9" s="726"/>
      <c r="F9" s="726"/>
      <c r="G9" s="726"/>
      <c r="H9" s="726"/>
      <c r="I9" s="726"/>
      <c r="J9" s="726"/>
      <c r="K9" s="726"/>
      <c r="L9" s="726"/>
      <c r="M9" s="726"/>
      <c r="N9" s="726"/>
      <c r="O9" s="726"/>
      <c r="U9" s="26"/>
      <c r="V9" s="26"/>
      <c r="W9" s="26"/>
      <c r="X9" s="26"/>
      <c r="Y9" s="26"/>
    </row>
    <row r="10" spans="1:25" s="1110" customFormat="1" ht="150" customHeight="1">
      <c r="B10" s="1872" t="s">
        <v>1660</v>
      </c>
      <c r="C10" s="1872"/>
      <c r="D10" s="1872"/>
      <c r="E10" s="1872"/>
      <c r="F10" s="1872"/>
      <c r="G10" s="1872"/>
      <c r="H10" s="1872"/>
      <c r="I10" s="1872"/>
      <c r="J10" s="1872"/>
      <c r="K10" s="1872"/>
      <c r="L10" s="1872"/>
      <c r="M10" s="1872"/>
      <c r="N10" s="1872"/>
      <c r="O10" s="1872"/>
      <c r="U10" s="1111"/>
      <c r="V10" s="1111"/>
      <c r="W10" s="1111"/>
      <c r="X10" s="1111"/>
      <c r="Y10" s="1111"/>
    </row>
    <row r="11" spans="1:25" s="31" customFormat="1" ht="15" customHeight="1">
      <c r="B11" s="32"/>
      <c r="C11" s="33"/>
      <c r="D11" s="33"/>
      <c r="E11" s="33"/>
      <c r="F11" s="33"/>
      <c r="G11" s="33"/>
      <c r="H11" s="33"/>
      <c r="I11" s="34"/>
      <c r="J11" s="34"/>
      <c r="K11" s="34"/>
      <c r="U11" s="26"/>
      <c r="V11" s="26"/>
      <c r="W11" s="26"/>
      <c r="X11" s="26"/>
      <c r="Y11" s="26"/>
    </row>
    <row r="12" spans="1:25" s="29" customFormat="1" ht="18">
      <c r="B12" s="465" t="s">
        <v>1611</v>
      </c>
      <c r="C12" s="229"/>
      <c r="D12" s="229"/>
      <c r="E12" s="230"/>
      <c r="F12" s="229"/>
      <c r="G12" s="229"/>
      <c r="H12" s="465" t="s">
        <v>1612</v>
      </c>
      <c r="I12" s="232"/>
      <c r="J12" s="232"/>
      <c r="K12" s="30"/>
      <c r="U12" s="234"/>
      <c r="V12" s="234"/>
      <c r="W12" s="234"/>
      <c r="X12" s="234"/>
      <c r="Y12" s="234"/>
    </row>
    <row r="13" spans="1:25" s="29" customFormat="1" ht="15" customHeight="1">
      <c r="B13" s="33"/>
      <c r="C13" s="33"/>
      <c r="D13" s="33"/>
      <c r="E13" s="33"/>
      <c r="F13" s="33"/>
      <c r="G13" s="33"/>
      <c r="H13" s="33"/>
      <c r="I13" s="34"/>
      <c r="J13" s="34"/>
      <c r="K13" s="30"/>
      <c r="U13" s="234"/>
      <c r="V13" s="234"/>
      <c r="W13" s="234"/>
      <c r="X13" s="234"/>
      <c r="Y13" s="234"/>
    </row>
    <row r="14" spans="1:25" s="29" customFormat="1" ht="15" customHeight="1">
      <c r="H14" s="1890" t="s">
        <v>938</v>
      </c>
      <c r="I14" s="1891"/>
      <c r="J14" s="1892"/>
      <c r="K14" s="1913" t="s">
        <v>941</v>
      </c>
      <c r="L14" s="1891"/>
      <c r="M14" s="1891"/>
      <c r="N14" s="1891"/>
      <c r="O14" s="1914"/>
      <c r="U14" s="234"/>
      <c r="V14" s="234"/>
      <c r="W14" s="234"/>
      <c r="X14" s="234"/>
      <c r="Y14" s="234"/>
    </row>
    <row r="15" spans="1:25" s="29" customFormat="1" ht="15" customHeight="1">
      <c r="H15" s="1893"/>
      <c r="I15" s="1894"/>
      <c r="J15" s="1895"/>
      <c r="K15" s="1915"/>
      <c r="L15" s="1894"/>
      <c r="M15" s="1894"/>
      <c r="N15" s="1894"/>
      <c r="O15" s="1916"/>
      <c r="U15" s="234"/>
      <c r="V15" s="234"/>
      <c r="W15" s="234"/>
      <c r="X15" s="234"/>
      <c r="Y15" s="234"/>
    </row>
    <row r="16" spans="1:25" s="29" customFormat="1" ht="15" customHeight="1">
      <c r="H16" s="677"/>
      <c r="I16" s="678"/>
      <c r="J16" s="678"/>
      <c r="K16" s="679"/>
      <c r="L16" s="679"/>
      <c r="M16" s="679"/>
      <c r="N16" s="679"/>
      <c r="O16" s="680"/>
      <c r="U16" s="234"/>
      <c r="V16" s="234"/>
      <c r="W16" s="234"/>
      <c r="X16" s="234"/>
      <c r="Y16" s="234"/>
    </row>
    <row r="17" spans="8:25" s="29" customFormat="1" ht="15" customHeight="1">
      <c r="H17" s="1911" t="s">
        <v>939</v>
      </c>
      <c r="I17" s="1912"/>
      <c r="J17" s="1889" t="s">
        <v>175</v>
      </c>
      <c r="K17" s="1899" t="s">
        <v>942</v>
      </c>
      <c r="L17" s="1900"/>
      <c r="M17" s="1900"/>
      <c r="N17" s="1900"/>
      <c r="O17" s="1901"/>
      <c r="U17" s="234"/>
      <c r="V17" s="234"/>
      <c r="W17" s="234"/>
      <c r="X17" s="234"/>
      <c r="Y17" s="234"/>
    </row>
    <row r="18" spans="8:25" s="29" customFormat="1" ht="15" customHeight="1">
      <c r="H18" s="1906"/>
      <c r="I18" s="1907"/>
      <c r="J18" s="1889"/>
      <c r="K18" s="1902"/>
      <c r="L18" s="1903"/>
      <c r="M18" s="1903"/>
      <c r="N18" s="1903"/>
      <c r="O18" s="1904"/>
      <c r="U18" s="234"/>
      <c r="V18" s="234"/>
      <c r="W18" s="234"/>
      <c r="X18" s="234"/>
      <c r="Y18" s="234"/>
    </row>
    <row r="19" spans="8:25" s="29" customFormat="1" ht="15" customHeight="1">
      <c r="H19" s="1371"/>
      <c r="I19" s="1372"/>
      <c r="J19" s="1889" t="s">
        <v>951</v>
      </c>
      <c r="K19" s="1899" t="s">
        <v>950</v>
      </c>
      <c r="L19" s="1900"/>
      <c r="M19" s="1900"/>
      <c r="N19" s="1900"/>
      <c r="O19" s="1901"/>
      <c r="U19" s="234"/>
      <c r="V19" s="234"/>
      <c r="W19" s="234"/>
      <c r="X19" s="234"/>
      <c r="Y19" s="234"/>
    </row>
    <row r="20" spans="8:25" s="29" customFormat="1" ht="15" customHeight="1">
      <c r="H20" s="1371"/>
      <c r="I20" s="1372"/>
      <c r="J20" s="1889"/>
      <c r="K20" s="1902"/>
      <c r="L20" s="1903"/>
      <c r="M20" s="1903"/>
      <c r="N20" s="1903"/>
      <c r="O20" s="1904"/>
      <c r="U20" s="234"/>
      <c r="V20" s="234"/>
      <c r="W20" s="234"/>
      <c r="X20" s="234"/>
      <c r="Y20" s="234"/>
    </row>
    <row r="21" spans="8:25" s="29" customFormat="1" ht="15" customHeight="1">
      <c r="H21" s="1371"/>
      <c r="I21" s="1372"/>
      <c r="J21" s="1889"/>
      <c r="K21" s="1899" t="s">
        <v>977</v>
      </c>
      <c r="L21" s="1900"/>
      <c r="M21" s="1900"/>
      <c r="N21" s="1900"/>
      <c r="O21" s="1901"/>
      <c r="U21" s="234"/>
      <c r="V21" s="234"/>
      <c r="W21" s="234"/>
      <c r="X21" s="234"/>
      <c r="Y21" s="234"/>
    </row>
    <row r="22" spans="8:25" s="29" customFormat="1" ht="15" customHeight="1">
      <c r="H22" s="1373"/>
      <c r="I22" s="1374"/>
      <c r="J22" s="1889"/>
      <c r="K22" s="1902"/>
      <c r="L22" s="1903"/>
      <c r="M22" s="1903"/>
      <c r="N22" s="1903"/>
      <c r="O22" s="1904"/>
      <c r="U22" s="234"/>
      <c r="V22" s="234"/>
      <c r="W22" s="234"/>
      <c r="X22" s="234"/>
      <c r="Y22" s="234"/>
    </row>
    <row r="23" spans="8:25" s="29" customFormat="1" ht="15" customHeight="1">
      <c r="H23" s="1906" t="s">
        <v>940</v>
      </c>
      <c r="I23" s="1907"/>
      <c r="J23" s="1905" t="s">
        <v>176</v>
      </c>
      <c r="K23" s="1899" t="s">
        <v>947</v>
      </c>
      <c r="L23" s="1900"/>
      <c r="M23" s="1900"/>
      <c r="N23" s="1900"/>
      <c r="O23" s="1901"/>
      <c r="U23" s="234"/>
      <c r="V23" s="234"/>
      <c r="W23" s="234"/>
      <c r="X23" s="234"/>
      <c r="Y23" s="234"/>
    </row>
    <row r="24" spans="8:25" s="29" customFormat="1" ht="15" customHeight="1">
      <c r="H24" s="1906"/>
      <c r="I24" s="1907"/>
      <c r="J24" s="1905"/>
      <c r="K24" s="1902"/>
      <c r="L24" s="1903"/>
      <c r="M24" s="1903"/>
      <c r="N24" s="1903"/>
      <c r="O24" s="1904"/>
      <c r="U24" s="234"/>
      <c r="V24" s="234"/>
      <c r="W24" s="234"/>
      <c r="X24" s="234"/>
      <c r="Y24" s="234"/>
    </row>
    <row r="25" spans="8:25" s="29" customFormat="1" ht="15" customHeight="1">
      <c r="H25" s="1375"/>
      <c r="I25" s="1376"/>
      <c r="J25" s="1905" t="s">
        <v>951</v>
      </c>
      <c r="K25" s="1899" t="s">
        <v>948</v>
      </c>
      <c r="L25" s="1900"/>
      <c r="M25" s="1900"/>
      <c r="N25" s="1900"/>
      <c r="O25" s="1901"/>
      <c r="U25" s="234"/>
      <c r="V25" s="234"/>
      <c r="W25" s="234"/>
      <c r="X25" s="234"/>
      <c r="Y25" s="234"/>
    </row>
    <row r="26" spans="8:25" s="29" customFormat="1" ht="15" customHeight="1">
      <c r="H26" s="1377"/>
      <c r="I26" s="1378"/>
      <c r="J26" s="1905"/>
      <c r="K26" s="1902"/>
      <c r="L26" s="1903"/>
      <c r="M26" s="1903"/>
      <c r="N26" s="1903"/>
      <c r="O26" s="1904"/>
      <c r="U26" s="234"/>
      <c r="V26" s="234"/>
      <c r="W26" s="234"/>
      <c r="X26" s="234"/>
      <c r="Y26" s="234"/>
    </row>
    <row r="27" spans="8:25" s="29" customFormat="1" ht="15" customHeight="1">
      <c r="H27" s="1377"/>
      <c r="I27" s="1378"/>
      <c r="J27" s="1905"/>
      <c r="K27" s="1899" t="s">
        <v>952</v>
      </c>
      <c r="L27" s="1900"/>
      <c r="M27" s="1900"/>
      <c r="N27" s="1900"/>
      <c r="O27" s="1901"/>
      <c r="U27" s="234"/>
      <c r="V27" s="234"/>
      <c r="W27" s="234"/>
      <c r="X27" s="234"/>
      <c r="Y27" s="234"/>
    </row>
    <row r="28" spans="8:25" s="29" customFormat="1" ht="15" customHeight="1">
      <c r="H28" s="1373"/>
      <c r="I28" s="1374"/>
      <c r="J28" s="1905"/>
      <c r="K28" s="1902"/>
      <c r="L28" s="1903"/>
      <c r="M28" s="1903"/>
      <c r="N28" s="1903"/>
      <c r="O28" s="1904"/>
      <c r="U28" s="234"/>
      <c r="V28" s="234"/>
      <c r="W28" s="234"/>
      <c r="X28" s="234"/>
      <c r="Y28" s="234"/>
    </row>
    <row r="29" spans="8:25" s="29" customFormat="1" ht="15" customHeight="1">
      <c r="H29" s="1896" t="s">
        <v>944</v>
      </c>
      <c r="I29" s="1897"/>
      <c r="J29" s="1898" t="s">
        <v>177</v>
      </c>
      <c r="K29" s="1899" t="s">
        <v>943</v>
      </c>
      <c r="L29" s="1900"/>
      <c r="M29" s="1900"/>
      <c r="N29" s="1900"/>
      <c r="O29" s="1901"/>
      <c r="U29" s="234"/>
      <c r="V29" s="234"/>
      <c r="W29" s="234"/>
      <c r="X29" s="234"/>
      <c r="Y29" s="234"/>
    </row>
    <row r="30" spans="8:25" s="29" customFormat="1" ht="15" customHeight="1">
      <c r="H30" s="1896"/>
      <c r="I30" s="1897"/>
      <c r="J30" s="1898"/>
      <c r="K30" s="1902"/>
      <c r="L30" s="1903"/>
      <c r="M30" s="1903"/>
      <c r="N30" s="1903"/>
      <c r="O30" s="1904"/>
      <c r="U30" s="234"/>
      <c r="V30" s="234"/>
      <c r="W30" s="234"/>
      <c r="X30" s="234"/>
      <c r="Y30" s="234"/>
    </row>
    <row r="31" spans="8:25" s="29" customFormat="1" ht="15" customHeight="1">
      <c r="H31" s="1377"/>
      <c r="I31" s="1379"/>
      <c r="J31" s="1905" t="s">
        <v>951</v>
      </c>
      <c r="K31" s="1899" t="s">
        <v>953</v>
      </c>
      <c r="L31" s="1900"/>
      <c r="M31" s="1900"/>
      <c r="N31" s="1900"/>
      <c r="O31" s="1901"/>
      <c r="U31" s="234"/>
      <c r="V31" s="234"/>
      <c r="W31" s="234"/>
      <c r="X31" s="234"/>
      <c r="Y31" s="234"/>
    </row>
    <row r="32" spans="8:25" s="29" customFormat="1" ht="15" customHeight="1">
      <c r="H32" s="1377"/>
      <c r="I32" s="1379"/>
      <c r="J32" s="1905"/>
      <c r="K32" s="1902"/>
      <c r="L32" s="1903"/>
      <c r="M32" s="1903"/>
      <c r="N32" s="1903"/>
      <c r="O32" s="1904"/>
      <c r="U32" s="234"/>
      <c r="V32" s="234"/>
      <c r="W32" s="234"/>
      <c r="X32" s="234"/>
      <c r="Y32" s="234"/>
    </row>
    <row r="33" spans="1:45" s="29" customFormat="1" ht="15" customHeight="1">
      <c r="H33" s="1377"/>
      <c r="I33" s="1379"/>
      <c r="J33" s="1905"/>
      <c r="K33" s="1899" t="s">
        <v>1966</v>
      </c>
      <c r="L33" s="1900"/>
      <c r="M33" s="1900"/>
      <c r="N33" s="1900"/>
      <c r="O33" s="1901"/>
      <c r="U33" s="234"/>
      <c r="V33" s="234"/>
      <c r="W33" s="234"/>
      <c r="X33" s="234"/>
      <c r="Y33" s="234"/>
    </row>
    <row r="34" spans="1:45" s="29" customFormat="1" ht="15" customHeight="1">
      <c r="H34" s="1377"/>
      <c r="I34" s="1379"/>
      <c r="J34" s="1905"/>
      <c r="K34" s="1902"/>
      <c r="L34" s="1903"/>
      <c r="M34" s="1903"/>
      <c r="N34" s="1903"/>
      <c r="O34" s="1904"/>
      <c r="U34" s="234"/>
      <c r="V34" s="234"/>
      <c r="W34" s="234"/>
      <c r="X34" s="234"/>
      <c r="Y34" s="234"/>
    </row>
    <row r="35" spans="1:45" s="29" customFormat="1" ht="15" customHeight="1">
      <c r="H35" s="1908" t="s">
        <v>946</v>
      </c>
      <c r="I35" s="1909"/>
      <c r="J35" s="1898" t="s">
        <v>215</v>
      </c>
      <c r="K35" s="1899" t="s">
        <v>945</v>
      </c>
      <c r="L35" s="1900"/>
      <c r="M35" s="1900"/>
      <c r="N35" s="1900"/>
      <c r="O35" s="1901"/>
      <c r="U35" s="234"/>
      <c r="V35" s="234"/>
      <c r="W35" s="234"/>
      <c r="X35" s="234"/>
      <c r="Y35" s="234"/>
    </row>
    <row r="36" spans="1:45" s="29" customFormat="1" ht="15" customHeight="1">
      <c r="H36" s="1896"/>
      <c r="I36" s="1910"/>
      <c r="J36" s="1898"/>
      <c r="K36" s="1902"/>
      <c r="L36" s="1903"/>
      <c r="M36" s="1903"/>
      <c r="N36" s="1903"/>
      <c r="O36" s="1904"/>
      <c r="U36" s="234"/>
      <c r="V36" s="234"/>
      <c r="W36" s="234"/>
      <c r="X36" s="234"/>
      <c r="Y36" s="234"/>
    </row>
    <row r="37" spans="1:45" s="29" customFormat="1" ht="15" customHeight="1">
      <c r="H37" s="1377"/>
      <c r="I37" s="1378"/>
      <c r="J37" s="1905" t="s">
        <v>951</v>
      </c>
      <c r="K37" s="1899" t="s">
        <v>949</v>
      </c>
      <c r="L37" s="1900"/>
      <c r="M37" s="1900"/>
      <c r="N37" s="1900"/>
      <c r="O37" s="1901"/>
      <c r="U37" s="234"/>
      <c r="V37" s="234"/>
      <c r="W37" s="234"/>
      <c r="X37" s="234"/>
      <c r="Y37" s="234"/>
    </row>
    <row r="38" spans="1:45" s="29" customFormat="1" ht="15" customHeight="1">
      <c r="H38" s="477"/>
      <c r="I38" s="481"/>
      <c r="J38" s="1905"/>
      <c r="K38" s="1902"/>
      <c r="L38" s="1903"/>
      <c r="M38" s="1903"/>
      <c r="N38" s="1903"/>
      <c r="O38" s="1904"/>
      <c r="U38" s="234"/>
      <c r="V38" s="234"/>
      <c r="W38" s="234"/>
      <c r="X38" s="234"/>
      <c r="Y38" s="234"/>
    </row>
    <row r="39" spans="1:45" s="29" customFormat="1" ht="15" customHeight="1">
      <c r="H39" s="478"/>
      <c r="I39" s="480"/>
      <c r="J39" s="1905"/>
      <c r="K39" s="1899" t="s">
        <v>954</v>
      </c>
      <c r="L39" s="1900"/>
      <c r="M39" s="1900"/>
      <c r="N39" s="1900"/>
      <c r="O39" s="1901"/>
      <c r="U39" s="234"/>
      <c r="V39" s="234"/>
      <c r="W39" s="234"/>
      <c r="X39" s="234"/>
      <c r="Y39" s="234"/>
    </row>
    <row r="40" spans="1:45" s="29" customFormat="1" ht="15" customHeight="1">
      <c r="H40" s="479"/>
      <c r="I40" s="482"/>
      <c r="J40" s="1905"/>
      <c r="K40" s="1902"/>
      <c r="L40" s="1903"/>
      <c r="M40" s="1903"/>
      <c r="N40" s="1903"/>
      <c r="O40" s="1904"/>
      <c r="U40" s="234"/>
      <c r="V40" s="234"/>
      <c r="W40" s="234"/>
      <c r="X40" s="234"/>
      <c r="Y40" s="234"/>
    </row>
    <row r="41" spans="1:45" ht="30" customHeight="1">
      <c r="B41" s="32"/>
      <c r="C41" s="33"/>
      <c r="D41" s="33"/>
      <c r="E41" s="33"/>
      <c r="F41" s="33"/>
      <c r="G41" s="33"/>
      <c r="H41" s="33"/>
      <c r="I41" s="34"/>
      <c r="J41" s="34"/>
      <c r="K41" s="34"/>
      <c r="M41" s="33"/>
      <c r="N41" s="33"/>
      <c r="O41" s="33"/>
      <c r="P41" s="29"/>
      <c r="Q41" s="33"/>
      <c r="R41" s="33"/>
      <c r="S41" s="33"/>
      <c r="T41" s="33"/>
      <c r="U41" s="35"/>
      <c r="V41" s="35"/>
    </row>
    <row r="42" spans="1:45" s="231" customFormat="1" ht="19" hidden="1" customHeight="1">
      <c r="A42" s="29"/>
      <c r="C42" s="230"/>
      <c r="D42" s="230"/>
      <c r="E42" s="230"/>
      <c r="F42" s="230"/>
      <c r="G42" s="230"/>
      <c r="H42" s="230"/>
      <c r="I42" s="30"/>
      <c r="J42" s="30"/>
      <c r="K42" s="30"/>
      <c r="L42" s="31"/>
      <c r="M42" s="33"/>
      <c r="N42" s="33"/>
      <c r="O42" s="33"/>
      <c r="P42" s="29"/>
      <c r="Q42" s="33"/>
      <c r="R42" s="33"/>
      <c r="S42" s="33"/>
      <c r="T42" s="33"/>
      <c r="U42" s="236"/>
      <c r="V42" s="237"/>
      <c r="W42" s="237"/>
      <c r="X42" s="234"/>
      <c r="Y42" s="234"/>
      <c r="Z42" s="29"/>
      <c r="AA42" s="29"/>
      <c r="AB42" s="29"/>
      <c r="AC42" s="29"/>
      <c r="AD42" s="29"/>
      <c r="AE42" s="29"/>
      <c r="AF42" s="29"/>
      <c r="AG42" s="29"/>
      <c r="AH42" s="29"/>
      <c r="AI42" s="29"/>
      <c r="AJ42" s="29"/>
      <c r="AK42" s="29"/>
      <c r="AL42" s="29"/>
      <c r="AM42" s="29"/>
      <c r="AN42" s="29"/>
      <c r="AO42" s="29"/>
      <c r="AP42" s="29"/>
      <c r="AQ42" s="29"/>
      <c r="AR42" s="29"/>
      <c r="AS42" s="29"/>
    </row>
    <row r="43" spans="1:45" ht="19" hidden="1" customHeight="1">
      <c r="B43" s="32"/>
      <c r="C43" s="33"/>
      <c r="D43" s="33"/>
      <c r="E43" s="33"/>
      <c r="F43" s="33"/>
      <c r="G43" s="33"/>
      <c r="H43" s="33"/>
      <c r="I43" s="34"/>
      <c r="J43" s="34"/>
      <c r="K43" s="34"/>
      <c r="M43" s="33"/>
      <c r="N43" s="33"/>
      <c r="O43" s="33"/>
      <c r="P43" s="29"/>
      <c r="Q43" s="33"/>
      <c r="R43" s="33"/>
      <c r="S43" s="33"/>
      <c r="T43" s="33"/>
      <c r="U43" s="174"/>
    </row>
    <row r="44" spans="1:45" ht="15" hidden="1" customHeight="1">
      <c r="B44" s="32"/>
      <c r="C44" s="33"/>
      <c r="D44" s="33"/>
      <c r="E44" s="33"/>
      <c r="F44" s="33"/>
      <c r="G44" s="33"/>
      <c r="H44" s="33"/>
      <c r="I44" s="34"/>
      <c r="J44" s="34"/>
      <c r="K44" s="34"/>
      <c r="M44" s="33"/>
      <c r="N44" s="33"/>
      <c r="O44" s="33"/>
      <c r="P44" s="29"/>
      <c r="Q44" s="33"/>
      <c r="R44" s="33"/>
      <c r="S44" s="33"/>
      <c r="T44" s="33"/>
      <c r="U44" s="35"/>
    </row>
    <row r="45" spans="1:45" ht="15" hidden="1" customHeight="1">
      <c r="B45" s="32"/>
      <c r="C45" s="33"/>
      <c r="D45" s="33"/>
      <c r="E45" s="33"/>
      <c r="F45" s="33"/>
      <c r="G45" s="33"/>
      <c r="H45" s="33"/>
      <c r="I45" s="34"/>
      <c r="J45" s="34"/>
      <c r="K45" s="34"/>
      <c r="M45" s="33"/>
      <c r="N45" s="33"/>
      <c r="O45" s="33"/>
      <c r="P45" s="29"/>
      <c r="Q45" s="33"/>
      <c r="R45" s="33"/>
      <c r="S45" s="33"/>
      <c r="T45" s="33"/>
      <c r="U45" s="35"/>
    </row>
    <row r="46" spans="1:45" ht="15" hidden="1" customHeight="1">
      <c r="B46" s="32"/>
      <c r="C46" s="33"/>
      <c r="D46" s="33"/>
      <c r="E46" s="33"/>
      <c r="F46" s="33"/>
      <c r="G46" s="33"/>
      <c r="H46" s="33"/>
      <c r="I46" s="34"/>
      <c r="J46" s="34"/>
      <c r="K46" s="34"/>
      <c r="M46" s="33"/>
      <c r="N46" s="33"/>
      <c r="O46" s="33"/>
      <c r="P46" s="29"/>
      <c r="Q46" s="33"/>
      <c r="R46" s="33"/>
      <c r="S46" s="33"/>
      <c r="T46" s="33"/>
      <c r="U46" s="35"/>
    </row>
    <row r="47" spans="1:45" ht="15" hidden="1" customHeight="1">
      <c r="B47" s="32"/>
      <c r="C47" s="33"/>
      <c r="D47" s="33"/>
      <c r="E47" s="33"/>
      <c r="F47" s="33"/>
      <c r="G47" s="33"/>
      <c r="H47" s="33"/>
      <c r="I47" s="34"/>
      <c r="J47" s="34"/>
      <c r="K47" s="34"/>
      <c r="M47" s="33"/>
      <c r="N47" s="33"/>
      <c r="O47" s="33"/>
      <c r="P47" s="29"/>
      <c r="Q47" s="33"/>
      <c r="R47" s="33"/>
      <c r="S47" s="33"/>
      <c r="T47" s="33"/>
      <c r="U47" s="35"/>
    </row>
    <row r="48" spans="1:45" ht="15" hidden="1" customHeight="1">
      <c r="B48" s="32"/>
      <c r="C48" s="33"/>
      <c r="D48" s="33"/>
      <c r="E48" s="33"/>
      <c r="F48" s="33"/>
      <c r="G48" s="33"/>
      <c r="H48" s="33"/>
      <c r="I48" s="34"/>
      <c r="J48" s="34"/>
      <c r="K48" s="34"/>
      <c r="M48" s="33"/>
      <c r="N48" s="33"/>
      <c r="O48" s="33"/>
      <c r="P48" s="29"/>
      <c r="Q48" s="33"/>
      <c r="R48" s="33"/>
      <c r="S48" s="33"/>
      <c r="T48" s="33"/>
      <c r="U48" s="35"/>
    </row>
    <row r="49" spans="1:45" ht="15" hidden="1" customHeight="1">
      <c r="B49" s="32"/>
      <c r="C49" s="33"/>
      <c r="D49" s="33"/>
      <c r="E49" s="33"/>
      <c r="F49" s="33"/>
      <c r="G49" s="33"/>
      <c r="H49" s="33"/>
      <c r="I49" s="34"/>
      <c r="J49" s="34"/>
      <c r="K49" s="34"/>
      <c r="M49" s="33"/>
      <c r="N49" s="33"/>
      <c r="O49" s="33"/>
      <c r="P49" s="29"/>
      <c r="Q49" s="33"/>
      <c r="R49" s="33"/>
      <c r="S49" s="33"/>
      <c r="T49" s="33"/>
      <c r="U49" s="35"/>
    </row>
    <row r="50" spans="1:45" ht="15" hidden="1" customHeight="1">
      <c r="B50" s="32"/>
      <c r="C50" s="33"/>
      <c r="D50" s="33"/>
      <c r="E50" s="33"/>
      <c r="F50" s="33"/>
      <c r="G50" s="33"/>
      <c r="H50" s="33"/>
      <c r="I50" s="34"/>
      <c r="J50" s="34"/>
      <c r="K50" s="34"/>
      <c r="M50" s="33"/>
      <c r="N50" s="33"/>
      <c r="O50" s="33"/>
      <c r="P50" s="29"/>
      <c r="Q50" s="33"/>
      <c r="R50" s="33"/>
      <c r="S50" s="33"/>
      <c r="T50" s="33"/>
      <c r="U50" s="35"/>
    </row>
    <row r="51" spans="1:45" ht="15" hidden="1" customHeight="1">
      <c r="B51" s="32"/>
      <c r="C51" s="33"/>
      <c r="D51" s="33"/>
      <c r="E51" s="33"/>
      <c r="F51" s="33"/>
      <c r="G51" s="33"/>
      <c r="H51" s="33"/>
      <c r="I51" s="34"/>
      <c r="J51" s="34"/>
      <c r="K51" s="34"/>
      <c r="M51" s="33"/>
      <c r="N51" s="33"/>
      <c r="O51" s="33"/>
      <c r="P51" s="29"/>
      <c r="Q51" s="33"/>
      <c r="R51" s="33"/>
      <c r="S51" s="33"/>
      <c r="T51" s="33"/>
      <c r="U51" s="174"/>
    </row>
    <row r="52" spans="1:45" ht="15" hidden="1" customHeight="1">
      <c r="B52" s="32"/>
      <c r="C52" s="33"/>
      <c r="D52" s="33"/>
      <c r="E52" s="33"/>
      <c r="F52" s="33"/>
      <c r="G52" s="33"/>
      <c r="H52" s="33"/>
      <c r="I52" s="34"/>
      <c r="J52" s="34"/>
      <c r="K52" s="34"/>
      <c r="M52" s="33"/>
      <c r="N52" s="33"/>
      <c r="O52" s="33"/>
      <c r="P52" s="29"/>
      <c r="Q52" s="33"/>
      <c r="R52" s="33"/>
      <c r="S52" s="33"/>
      <c r="T52" s="33"/>
      <c r="U52" s="35"/>
    </row>
    <row r="53" spans="1:45" ht="15" hidden="1" customHeight="1">
      <c r="B53" s="32"/>
      <c r="C53" s="33"/>
      <c r="D53" s="33"/>
      <c r="E53" s="33"/>
      <c r="F53" s="33"/>
      <c r="G53" s="33"/>
      <c r="H53" s="33"/>
      <c r="I53" s="34"/>
      <c r="J53" s="34"/>
      <c r="K53" s="34"/>
      <c r="M53" s="33"/>
      <c r="N53" s="33"/>
      <c r="O53" s="33"/>
      <c r="P53" s="29"/>
      <c r="Q53" s="33"/>
      <c r="R53" s="33"/>
      <c r="S53" s="33"/>
      <c r="T53" s="33"/>
      <c r="U53" s="35"/>
    </row>
    <row r="54" spans="1:45" ht="15" hidden="1" customHeight="1">
      <c r="B54" s="32"/>
      <c r="C54" s="33"/>
      <c r="D54" s="33"/>
      <c r="E54" s="33"/>
      <c r="F54" s="33"/>
      <c r="G54" s="33"/>
      <c r="H54" s="33"/>
      <c r="I54" s="34"/>
      <c r="J54" s="34"/>
      <c r="K54" s="34"/>
      <c r="M54" s="33"/>
      <c r="N54" s="33"/>
      <c r="O54" s="33"/>
      <c r="P54" s="29"/>
      <c r="Q54" s="33"/>
      <c r="R54" s="33"/>
      <c r="S54" s="33"/>
      <c r="T54" s="33"/>
      <c r="U54" s="35"/>
    </row>
    <row r="55" spans="1:45" ht="15" hidden="1" customHeight="1">
      <c r="B55" s="32"/>
      <c r="C55" s="33"/>
      <c r="D55" s="33"/>
      <c r="E55" s="33"/>
      <c r="F55" s="33"/>
      <c r="G55" s="33"/>
      <c r="H55" s="33"/>
      <c r="I55" s="34"/>
      <c r="J55" s="34"/>
      <c r="K55" s="34"/>
      <c r="M55" s="33"/>
      <c r="N55" s="33"/>
      <c r="O55" s="33"/>
      <c r="P55" s="29"/>
      <c r="Q55" s="33"/>
      <c r="R55" s="33"/>
      <c r="S55" s="33"/>
      <c r="T55" s="33"/>
      <c r="U55" s="238"/>
      <c r="V55" s="233"/>
      <c r="W55" s="233"/>
      <c r="X55" s="233"/>
    </row>
    <row r="56" spans="1:45" s="26" customFormat="1" ht="15" hidden="1" customHeight="1">
      <c r="A56" s="31"/>
      <c r="B56" s="32"/>
      <c r="C56" s="33"/>
      <c r="D56" s="33"/>
      <c r="E56" s="33"/>
      <c r="F56" s="33"/>
      <c r="G56" s="33"/>
      <c r="H56" s="33"/>
      <c r="I56" s="34"/>
      <c r="J56" s="34"/>
      <c r="K56" s="34"/>
      <c r="L56" s="31"/>
      <c r="M56" s="33"/>
      <c r="N56" s="33"/>
      <c r="O56" s="33"/>
      <c r="P56" s="29"/>
      <c r="Q56" s="33"/>
      <c r="R56" s="33"/>
      <c r="S56" s="33"/>
      <c r="T56" s="33"/>
      <c r="U56" s="35"/>
      <c r="Z56" s="31"/>
      <c r="AA56" s="31"/>
      <c r="AB56" s="31"/>
      <c r="AC56" s="31"/>
      <c r="AD56" s="31"/>
      <c r="AE56" s="31"/>
      <c r="AF56" s="31"/>
      <c r="AG56" s="31"/>
      <c r="AH56" s="31"/>
      <c r="AI56" s="31"/>
      <c r="AJ56" s="31"/>
      <c r="AK56" s="31"/>
      <c r="AL56" s="31"/>
      <c r="AM56" s="31"/>
      <c r="AN56" s="31"/>
      <c r="AO56" s="31"/>
      <c r="AP56" s="31"/>
      <c r="AQ56" s="31"/>
      <c r="AR56" s="31"/>
      <c r="AS56" s="31"/>
    </row>
    <row r="57" spans="1:45" s="26" customFormat="1" ht="15" hidden="1" customHeight="1">
      <c r="A57" s="31"/>
      <c r="B57" s="32"/>
      <c r="C57" s="33"/>
      <c r="D57" s="33"/>
      <c r="E57" s="33"/>
      <c r="F57" s="33"/>
      <c r="G57" s="33"/>
      <c r="H57" s="33"/>
      <c r="I57" s="34"/>
      <c r="J57" s="34"/>
      <c r="K57" s="34"/>
      <c r="L57" s="31"/>
      <c r="M57" s="33"/>
      <c r="N57" s="33"/>
      <c r="O57" s="33"/>
      <c r="P57" s="29"/>
      <c r="Q57" s="33"/>
      <c r="R57" s="33"/>
      <c r="S57" s="33"/>
      <c r="T57" s="33"/>
      <c r="U57" s="174"/>
      <c r="Z57" s="31"/>
      <c r="AA57" s="31"/>
      <c r="AB57" s="31"/>
      <c r="AC57" s="31"/>
      <c r="AD57" s="31"/>
      <c r="AE57" s="31"/>
      <c r="AF57" s="31"/>
      <c r="AG57" s="31"/>
      <c r="AH57" s="31"/>
      <c r="AI57" s="31"/>
      <c r="AJ57" s="31"/>
      <c r="AK57" s="31"/>
      <c r="AL57" s="31"/>
      <c r="AM57" s="31"/>
      <c r="AN57" s="31"/>
      <c r="AO57" s="31"/>
      <c r="AP57" s="31"/>
      <c r="AQ57" s="31"/>
      <c r="AR57" s="31"/>
      <c r="AS57" s="31"/>
    </row>
    <row r="58" spans="1:45" s="26" customFormat="1" ht="15" hidden="1" customHeight="1">
      <c r="A58" s="31"/>
      <c r="B58" s="32"/>
      <c r="C58" s="33"/>
      <c r="D58" s="33"/>
      <c r="E58" s="33"/>
      <c r="F58" s="33"/>
      <c r="G58" s="33"/>
      <c r="H58" s="33"/>
      <c r="I58" s="34"/>
      <c r="J58" s="34"/>
      <c r="K58" s="34"/>
      <c r="L58" s="31"/>
      <c r="M58" s="33"/>
      <c r="N58" s="33"/>
      <c r="O58" s="33"/>
      <c r="P58" s="29"/>
      <c r="Q58" s="33"/>
      <c r="R58" s="33"/>
      <c r="S58" s="33"/>
      <c r="T58" s="33"/>
      <c r="U58" s="174"/>
      <c r="Z58" s="31"/>
      <c r="AA58" s="31"/>
      <c r="AB58" s="31"/>
      <c r="AC58" s="31"/>
      <c r="AD58" s="31"/>
      <c r="AE58" s="31"/>
      <c r="AF58" s="31"/>
      <c r="AG58" s="31"/>
      <c r="AH58" s="31"/>
      <c r="AI58" s="31"/>
      <c r="AJ58" s="31"/>
      <c r="AK58" s="31"/>
      <c r="AL58" s="31"/>
      <c r="AM58" s="31"/>
      <c r="AN58" s="31"/>
      <c r="AO58" s="31"/>
      <c r="AP58" s="31"/>
      <c r="AQ58" s="31"/>
      <c r="AR58" s="31"/>
      <c r="AS58" s="31"/>
    </row>
    <row r="59" spans="1:45" s="26" customFormat="1" ht="15" hidden="1" customHeight="1">
      <c r="A59" s="31"/>
      <c r="B59" s="32"/>
      <c r="C59" s="33"/>
      <c r="D59" s="33"/>
      <c r="E59" s="33"/>
      <c r="F59" s="33"/>
      <c r="G59" s="33"/>
      <c r="H59" s="33"/>
      <c r="I59" s="34"/>
      <c r="J59" s="34"/>
      <c r="K59" s="34"/>
      <c r="L59" s="31"/>
      <c r="M59" s="33"/>
      <c r="N59" s="33"/>
      <c r="O59" s="33"/>
      <c r="P59" s="29"/>
      <c r="Q59" s="33"/>
      <c r="R59" s="33"/>
      <c r="S59" s="33"/>
      <c r="T59" s="33"/>
      <c r="U59" s="238"/>
      <c r="V59" s="233"/>
      <c r="W59" s="233"/>
      <c r="X59" s="233"/>
      <c r="Z59" s="31"/>
      <c r="AA59" s="31"/>
      <c r="AB59" s="31"/>
      <c r="AC59" s="31"/>
      <c r="AD59" s="31"/>
      <c r="AE59" s="31"/>
      <c r="AF59" s="31"/>
      <c r="AG59" s="31"/>
      <c r="AH59" s="31"/>
      <c r="AI59" s="31"/>
      <c r="AJ59" s="31"/>
      <c r="AK59" s="31"/>
      <c r="AL59" s="31"/>
      <c r="AM59" s="31"/>
      <c r="AN59" s="31"/>
      <c r="AO59" s="31"/>
      <c r="AP59" s="31"/>
      <c r="AQ59" s="31"/>
      <c r="AR59" s="31"/>
      <c r="AS59" s="31"/>
    </row>
    <row r="60" spans="1:45" s="26" customFormat="1" ht="15" hidden="1" customHeight="1">
      <c r="A60" s="31"/>
      <c r="B60" s="32"/>
      <c r="C60" s="33"/>
      <c r="D60" s="33"/>
      <c r="E60" s="33"/>
      <c r="F60" s="33"/>
      <c r="G60" s="33"/>
      <c r="H60" s="33"/>
      <c r="I60" s="34"/>
      <c r="J60" s="34"/>
      <c r="K60" s="34"/>
      <c r="L60" s="31"/>
      <c r="M60" s="33"/>
      <c r="N60" s="33"/>
      <c r="O60" s="33"/>
      <c r="P60" s="29"/>
      <c r="Q60" s="33"/>
      <c r="R60" s="33"/>
      <c r="S60" s="33"/>
      <c r="T60" s="33"/>
      <c r="U60" s="35"/>
      <c r="Z60" s="31"/>
      <c r="AA60" s="31"/>
      <c r="AB60" s="31"/>
      <c r="AC60" s="31"/>
      <c r="AD60" s="31"/>
      <c r="AE60" s="31"/>
      <c r="AF60" s="31"/>
      <c r="AG60" s="31"/>
      <c r="AH60" s="31"/>
      <c r="AI60" s="31"/>
      <c r="AJ60" s="31"/>
      <c r="AK60" s="31"/>
      <c r="AL60" s="31"/>
      <c r="AM60" s="31"/>
      <c r="AN60" s="31"/>
      <c r="AO60" s="31"/>
      <c r="AP60" s="31"/>
      <c r="AQ60" s="31"/>
      <c r="AR60" s="31"/>
      <c r="AS60" s="31"/>
    </row>
    <row r="61" spans="1:45" s="26" customFormat="1" ht="15" hidden="1" customHeight="1">
      <c r="A61" s="31"/>
      <c r="B61" s="32"/>
      <c r="C61" s="33"/>
      <c r="D61" s="33"/>
      <c r="E61" s="33"/>
      <c r="F61" s="33"/>
      <c r="G61" s="33"/>
      <c r="H61" s="33"/>
      <c r="I61" s="34"/>
      <c r="J61" s="34"/>
      <c r="K61" s="34"/>
      <c r="L61" s="31"/>
      <c r="M61" s="33"/>
      <c r="N61" s="33"/>
      <c r="O61" s="33"/>
      <c r="P61" s="29"/>
      <c r="Q61" s="33"/>
      <c r="R61" s="33"/>
      <c r="S61" s="33"/>
      <c r="T61" s="33"/>
      <c r="U61" s="35"/>
      <c r="Z61" s="31"/>
      <c r="AA61" s="31"/>
      <c r="AB61" s="31"/>
      <c r="AC61" s="31"/>
      <c r="AD61" s="31"/>
      <c r="AE61" s="31"/>
      <c r="AF61" s="31"/>
      <c r="AG61" s="31"/>
      <c r="AH61" s="31"/>
      <c r="AI61" s="31"/>
      <c r="AJ61" s="31"/>
      <c r="AK61" s="31"/>
      <c r="AL61" s="31"/>
      <c r="AM61" s="31"/>
      <c r="AN61" s="31"/>
      <c r="AO61" s="31"/>
      <c r="AP61" s="31"/>
      <c r="AQ61" s="31"/>
      <c r="AR61" s="31"/>
      <c r="AS61" s="31"/>
    </row>
    <row r="62" spans="1:45" s="26" customFormat="1" ht="15" hidden="1" customHeight="1">
      <c r="A62" s="31"/>
      <c r="B62" s="32"/>
      <c r="C62" s="33"/>
      <c r="D62" s="33"/>
      <c r="E62" s="33"/>
      <c r="F62" s="33"/>
      <c r="G62" s="33"/>
      <c r="H62" s="33"/>
      <c r="I62" s="34"/>
      <c r="J62" s="34"/>
      <c r="K62" s="34"/>
      <c r="L62" s="31"/>
      <c r="M62" s="33"/>
      <c r="N62" s="33"/>
      <c r="O62" s="33"/>
      <c r="P62" s="29"/>
      <c r="Q62" s="33"/>
      <c r="R62" s="33"/>
      <c r="S62" s="33"/>
      <c r="T62" s="33"/>
      <c r="U62" s="35"/>
      <c r="Z62" s="31"/>
      <c r="AA62" s="31"/>
      <c r="AB62" s="31"/>
      <c r="AC62" s="31"/>
      <c r="AD62" s="31"/>
      <c r="AE62" s="31"/>
      <c r="AF62" s="31"/>
      <c r="AG62" s="31"/>
      <c r="AH62" s="31"/>
      <c r="AI62" s="31"/>
      <c r="AJ62" s="31"/>
      <c r="AK62" s="31"/>
      <c r="AL62" s="31"/>
      <c r="AM62" s="31"/>
      <c r="AN62" s="31"/>
      <c r="AO62" s="31"/>
      <c r="AP62" s="31"/>
      <c r="AQ62" s="31"/>
      <c r="AR62" s="31"/>
      <c r="AS62" s="31"/>
    </row>
    <row r="63" spans="1:45" s="26" customFormat="1" ht="15" hidden="1" customHeight="1">
      <c r="A63" s="31"/>
      <c r="B63" s="32"/>
      <c r="C63" s="33"/>
      <c r="D63" s="33"/>
      <c r="E63" s="33"/>
      <c r="F63" s="33"/>
      <c r="G63" s="33"/>
      <c r="H63" s="33"/>
      <c r="I63" s="34"/>
      <c r="J63" s="34"/>
      <c r="K63" s="34"/>
      <c r="L63" s="31"/>
      <c r="M63" s="33"/>
      <c r="N63" s="33"/>
      <c r="O63" s="33"/>
      <c r="P63" s="29"/>
      <c r="Q63" s="33"/>
      <c r="R63" s="33"/>
      <c r="S63" s="33"/>
      <c r="T63" s="33"/>
      <c r="Z63" s="31"/>
      <c r="AA63" s="31"/>
      <c r="AB63" s="31"/>
      <c r="AC63" s="31"/>
      <c r="AD63" s="31"/>
      <c r="AE63" s="31"/>
      <c r="AF63" s="31"/>
      <c r="AG63" s="31"/>
      <c r="AH63" s="31"/>
      <c r="AI63" s="31"/>
      <c r="AJ63" s="31"/>
      <c r="AK63" s="31"/>
      <c r="AL63" s="31"/>
      <c r="AM63" s="31"/>
      <c r="AN63" s="31"/>
      <c r="AO63" s="31"/>
      <c r="AP63" s="31"/>
      <c r="AQ63" s="31"/>
      <c r="AR63" s="31"/>
      <c r="AS63" s="31"/>
    </row>
    <row r="64" spans="1:45" s="26" customFormat="1" ht="15" hidden="1" customHeight="1">
      <c r="A64" s="31"/>
      <c r="B64" s="32"/>
      <c r="C64" s="33"/>
      <c r="D64" s="33"/>
      <c r="E64" s="33"/>
      <c r="F64" s="33"/>
      <c r="G64" s="33"/>
      <c r="H64" s="33"/>
      <c r="I64" s="34"/>
      <c r="J64" s="34"/>
      <c r="K64" s="34"/>
      <c r="L64" s="31"/>
      <c r="M64" s="33"/>
      <c r="N64" s="33"/>
      <c r="O64" s="33"/>
      <c r="P64" s="29"/>
      <c r="Q64" s="33"/>
      <c r="R64" s="33"/>
      <c r="S64" s="33"/>
      <c r="T64" s="33"/>
      <c r="Z64" s="31"/>
      <c r="AA64" s="31"/>
      <c r="AB64" s="31"/>
      <c r="AC64" s="31"/>
      <c r="AD64" s="31"/>
      <c r="AE64" s="31"/>
      <c r="AF64" s="31"/>
      <c r="AG64" s="31"/>
      <c r="AH64" s="31"/>
      <c r="AI64" s="31"/>
      <c r="AJ64" s="31"/>
      <c r="AK64" s="31"/>
      <c r="AL64" s="31"/>
      <c r="AM64" s="31"/>
      <c r="AN64" s="31"/>
      <c r="AO64" s="31"/>
      <c r="AP64" s="31"/>
      <c r="AQ64" s="31"/>
      <c r="AR64" s="31"/>
      <c r="AS64" s="31"/>
    </row>
    <row r="65" spans="1:45" s="26" customFormat="1" ht="15" hidden="1" customHeight="1">
      <c r="A65" s="31"/>
      <c r="B65" s="32"/>
      <c r="C65" s="33"/>
      <c r="D65" s="33"/>
      <c r="E65" s="33"/>
      <c r="F65" s="33"/>
      <c r="G65" s="33"/>
      <c r="H65" s="33"/>
      <c r="I65" s="34"/>
      <c r="J65" s="34"/>
      <c r="K65" s="34"/>
      <c r="L65" s="31"/>
      <c r="M65" s="33"/>
      <c r="N65" s="33"/>
      <c r="O65" s="33"/>
      <c r="P65" s="29"/>
      <c r="Q65" s="33"/>
      <c r="R65" s="33"/>
      <c r="S65" s="33"/>
      <c r="T65" s="33"/>
      <c r="Z65" s="31"/>
      <c r="AA65" s="31"/>
      <c r="AB65" s="31"/>
      <c r="AC65" s="31"/>
      <c r="AD65" s="31"/>
      <c r="AE65" s="31"/>
      <c r="AF65" s="31"/>
      <c r="AG65" s="31"/>
      <c r="AH65" s="31"/>
      <c r="AI65" s="31"/>
      <c r="AJ65" s="31"/>
      <c r="AK65" s="31"/>
      <c r="AL65" s="31"/>
      <c r="AM65" s="31"/>
      <c r="AN65" s="31"/>
      <c r="AO65" s="31"/>
      <c r="AP65" s="31"/>
      <c r="AQ65" s="31"/>
      <c r="AR65" s="31"/>
      <c r="AS65" s="31"/>
    </row>
    <row r="66" spans="1:45" s="26" customFormat="1" ht="15" hidden="1" customHeight="1">
      <c r="A66" s="31"/>
      <c r="B66" s="32"/>
      <c r="C66" s="33"/>
      <c r="D66" s="33"/>
      <c r="E66" s="33"/>
      <c r="F66" s="33"/>
      <c r="G66" s="33"/>
      <c r="H66" s="33"/>
      <c r="I66" s="34"/>
      <c r="J66" s="34"/>
      <c r="K66" s="34"/>
      <c r="L66" s="31"/>
      <c r="M66" s="33"/>
      <c r="N66" s="33"/>
      <c r="O66" s="33"/>
      <c r="P66" s="29"/>
      <c r="Q66" s="33"/>
      <c r="R66" s="33"/>
      <c r="S66" s="33"/>
      <c r="T66" s="33"/>
      <c r="Z66" s="31"/>
      <c r="AA66" s="31"/>
      <c r="AB66" s="31"/>
      <c r="AC66" s="31"/>
      <c r="AD66" s="31"/>
      <c r="AE66" s="31"/>
      <c r="AF66" s="31"/>
      <c r="AG66" s="31"/>
      <c r="AH66" s="31"/>
      <c r="AI66" s="31"/>
      <c r="AJ66" s="31"/>
      <c r="AK66" s="31"/>
      <c r="AL66" s="31"/>
      <c r="AM66" s="31"/>
      <c r="AN66" s="31"/>
      <c r="AO66" s="31"/>
      <c r="AP66" s="31"/>
      <c r="AQ66" s="31"/>
      <c r="AR66" s="31"/>
      <c r="AS66" s="31"/>
    </row>
    <row r="67" spans="1:45" s="26" customFormat="1" ht="15" hidden="1" customHeight="1">
      <c r="A67" s="31"/>
      <c r="B67" s="32"/>
      <c r="C67" s="33"/>
      <c r="D67" s="33"/>
      <c r="E67" s="33"/>
      <c r="F67" s="33"/>
      <c r="G67" s="33"/>
      <c r="H67" s="33"/>
      <c r="I67" s="34"/>
      <c r="J67" s="34"/>
      <c r="K67" s="34"/>
      <c r="L67" s="31"/>
      <c r="M67" s="33"/>
      <c r="N67" s="33"/>
      <c r="O67" s="33"/>
      <c r="P67" s="29"/>
      <c r="Q67" s="33"/>
      <c r="R67" s="33"/>
      <c r="S67" s="33"/>
      <c r="T67" s="33"/>
      <c r="Z67" s="31"/>
      <c r="AA67" s="31"/>
      <c r="AB67" s="31"/>
      <c r="AC67" s="31"/>
      <c r="AD67" s="31"/>
      <c r="AE67" s="31"/>
      <c r="AF67" s="31"/>
      <c r="AG67" s="31"/>
      <c r="AH67" s="31"/>
      <c r="AI67" s="31"/>
      <c r="AJ67" s="31"/>
      <c r="AK67" s="31"/>
      <c r="AL67" s="31"/>
      <c r="AM67" s="31"/>
      <c r="AN67" s="31"/>
      <c r="AO67" s="31"/>
      <c r="AP67" s="31"/>
      <c r="AQ67" s="31"/>
      <c r="AR67" s="31"/>
      <c r="AS67" s="31"/>
    </row>
    <row r="68" spans="1:45" s="26" customFormat="1" ht="15" hidden="1" customHeight="1">
      <c r="A68" s="31"/>
      <c r="B68" s="32"/>
      <c r="C68" s="33"/>
      <c r="D68" s="33"/>
      <c r="E68" s="33"/>
      <c r="F68" s="33"/>
      <c r="G68" s="33"/>
      <c r="H68" s="33"/>
      <c r="I68" s="34"/>
      <c r="J68" s="34"/>
      <c r="K68" s="34"/>
      <c r="L68" s="31"/>
      <c r="M68" s="33"/>
      <c r="N68" s="33"/>
      <c r="O68" s="33"/>
      <c r="P68" s="29"/>
      <c r="Q68" s="33"/>
      <c r="R68" s="33"/>
      <c r="S68" s="33"/>
      <c r="T68" s="33"/>
      <c r="Z68" s="31"/>
      <c r="AA68" s="31"/>
      <c r="AB68" s="31"/>
      <c r="AC68" s="31"/>
      <c r="AD68" s="31"/>
      <c r="AE68" s="31"/>
      <c r="AF68" s="31"/>
      <c r="AG68" s="31"/>
      <c r="AH68" s="31"/>
      <c r="AI68" s="31"/>
      <c r="AJ68" s="31"/>
      <c r="AK68" s="31"/>
      <c r="AL68" s="31"/>
      <c r="AM68" s="31"/>
      <c r="AN68" s="31"/>
      <c r="AO68" s="31"/>
      <c r="AP68" s="31"/>
      <c r="AQ68" s="31"/>
      <c r="AR68" s="31"/>
      <c r="AS68" s="31"/>
    </row>
    <row r="69" spans="1:45" s="26" customFormat="1" ht="15" hidden="1" customHeight="1">
      <c r="A69" s="31"/>
      <c r="B69" s="32"/>
      <c r="C69" s="33"/>
      <c r="D69" s="33"/>
      <c r="E69" s="33"/>
      <c r="F69" s="33"/>
      <c r="G69" s="33"/>
      <c r="H69" s="33"/>
      <c r="I69" s="34"/>
      <c r="J69" s="34"/>
      <c r="K69" s="34"/>
      <c r="L69" s="31"/>
      <c r="M69" s="33"/>
      <c r="N69" s="33"/>
      <c r="O69" s="33"/>
      <c r="P69" s="29"/>
      <c r="Q69" s="33"/>
      <c r="R69" s="33"/>
      <c r="S69" s="33"/>
      <c r="T69" s="33"/>
      <c r="Z69" s="31"/>
      <c r="AA69" s="31"/>
      <c r="AB69" s="31"/>
      <c r="AC69" s="31"/>
      <c r="AD69" s="31"/>
      <c r="AE69" s="31"/>
      <c r="AF69" s="31"/>
      <c r="AG69" s="31"/>
      <c r="AH69" s="31"/>
      <c r="AI69" s="31"/>
      <c r="AJ69" s="31"/>
      <c r="AK69" s="31"/>
      <c r="AL69" s="31"/>
      <c r="AM69" s="31"/>
      <c r="AN69" s="31"/>
      <c r="AO69" s="31"/>
      <c r="AP69" s="31"/>
      <c r="AQ69" s="31"/>
      <c r="AR69" s="31"/>
      <c r="AS69" s="31"/>
    </row>
    <row r="70" spans="1:45" s="26" customFormat="1" ht="15" hidden="1" customHeight="1">
      <c r="A70" s="31"/>
      <c r="B70" s="32"/>
      <c r="C70" s="33"/>
      <c r="D70" s="33"/>
      <c r="E70" s="33"/>
      <c r="F70" s="33"/>
      <c r="G70" s="33"/>
      <c r="H70" s="33"/>
      <c r="I70" s="34"/>
      <c r="J70" s="34"/>
      <c r="K70" s="34"/>
      <c r="L70" s="31"/>
      <c r="M70" s="33"/>
      <c r="N70" s="33"/>
      <c r="O70" s="33"/>
      <c r="P70" s="29"/>
      <c r="Q70" s="33"/>
      <c r="R70" s="33"/>
      <c r="S70" s="33"/>
      <c r="T70" s="33"/>
      <c r="Z70" s="31"/>
      <c r="AA70" s="31"/>
      <c r="AB70" s="31"/>
      <c r="AC70" s="31"/>
      <c r="AD70" s="31"/>
      <c r="AE70" s="31"/>
      <c r="AF70" s="31"/>
      <c r="AG70" s="31"/>
      <c r="AH70" s="31"/>
      <c r="AI70" s="31"/>
      <c r="AJ70" s="31"/>
      <c r="AK70" s="31"/>
      <c r="AL70" s="31"/>
      <c r="AM70" s="31"/>
      <c r="AN70" s="31"/>
      <c r="AO70" s="31"/>
      <c r="AP70" s="31"/>
      <c r="AQ70" s="31"/>
      <c r="AR70" s="31"/>
      <c r="AS70" s="31"/>
    </row>
    <row r="71" spans="1:45" s="26" customFormat="1" ht="15" hidden="1" customHeight="1">
      <c r="A71" s="31"/>
      <c r="B71" s="32"/>
      <c r="C71" s="33"/>
      <c r="D71" s="33"/>
      <c r="E71" s="33"/>
      <c r="F71" s="33"/>
      <c r="G71" s="33"/>
      <c r="H71" s="33"/>
      <c r="I71" s="34"/>
      <c r="J71" s="34"/>
      <c r="K71" s="34"/>
      <c r="L71" s="31"/>
      <c r="M71" s="33"/>
      <c r="N71" s="33"/>
      <c r="O71" s="33"/>
      <c r="P71" s="29"/>
      <c r="Q71" s="33"/>
      <c r="R71" s="33"/>
      <c r="S71" s="33"/>
      <c r="T71" s="33"/>
      <c r="Z71" s="31"/>
      <c r="AA71" s="31"/>
      <c r="AB71" s="31"/>
      <c r="AC71" s="31"/>
      <c r="AD71" s="31"/>
      <c r="AE71" s="31"/>
      <c r="AF71" s="31"/>
      <c r="AG71" s="31"/>
      <c r="AH71" s="31"/>
      <c r="AI71" s="31"/>
      <c r="AJ71" s="31"/>
      <c r="AK71" s="31"/>
      <c r="AL71" s="31"/>
      <c r="AM71" s="31"/>
      <c r="AN71" s="31"/>
      <c r="AO71" s="31"/>
      <c r="AP71" s="31"/>
      <c r="AQ71" s="31"/>
      <c r="AR71" s="31"/>
      <c r="AS71" s="31"/>
    </row>
    <row r="72" spans="1:45" s="31" customFormat="1" ht="15" hidden="1" customHeight="1">
      <c r="B72" s="32"/>
      <c r="C72" s="33"/>
      <c r="D72" s="33"/>
      <c r="E72" s="33"/>
      <c r="F72" s="33"/>
      <c r="G72" s="33"/>
      <c r="H72" s="33"/>
      <c r="I72" s="34"/>
      <c r="J72" s="34"/>
      <c r="K72" s="34"/>
      <c r="M72" s="33"/>
      <c r="N72" s="33"/>
      <c r="O72" s="33"/>
      <c r="P72" s="29"/>
      <c r="Q72" s="33"/>
      <c r="R72" s="33"/>
      <c r="S72" s="33"/>
      <c r="T72" s="33"/>
      <c r="U72" s="26"/>
      <c r="V72" s="26"/>
      <c r="W72" s="26"/>
      <c r="X72" s="26"/>
      <c r="Y72" s="26"/>
    </row>
    <row r="73" spans="1:45" s="31" customFormat="1" ht="31" hidden="1" customHeight="1">
      <c r="B73" s="32"/>
      <c r="C73" s="33"/>
      <c r="D73" s="33"/>
      <c r="E73" s="33"/>
      <c r="F73" s="33"/>
      <c r="G73" s="33"/>
      <c r="H73" s="33"/>
      <c r="I73" s="34"/>
      <c r="J73" s="34"/>
      <c r="K73" s="34"/>
      <c r="U73" s="26"/>
      <c r="V73" s="26"/>
      <c r="W73" s="26"/>
      <c r="X73" s="26"/>
      <c r="Y73" s="26"/>
    </row>
    <row r="74" spans="1:45" ht="15" hidden="1" customHeight="1"/>
    <row r="75" spans="1:45" ht="15" hidden="1" customHeight="1"/>
    <row r="76" spans="1:45" ht="15" hidden="1" customHeight="1"/>
    <row r="77" spans="1:45" ht="15" hidden="1" customHeight="1"/>
    <row r="78" spans="1:45" ht="15" hidden="1" customHeight="1"/>
    <row r="79" spans="1:45" ht="15" hidden="1" customHeight="1"/>
    <row r="80" spans="1:45" ht="15" hidden="1" customHeight="1"/>
    <row r="81" ht="15" hidden="1" customHeight="1"/>
    <row r="82" ht="15" hidden="1" customHeight="1"/>
    <row r="83" ht="15" hidden="1" customHeight="1"/>
    <row r="84" ht="15" hidden="1" customHeight="1"/>
    <row r="85" ht="15" hidden="1" customHeight="1"/>
    <row r="86" ht="15" hidden="1" customHeight="1"/>
    <row r="87" ht="15" hidden="1" customHeight="1"/>
    <row r="88" ht="15" hidden="1" customHeight="1"/>
    <row r="89" ht="15" hidden="1" customHeight="1"/>
    <row r="90" ht="15" hidden="1" customHeight="1"/>
    <row r="91" ht="15" hidden="1" customHeight="1"/>
    <row r="92" ht="15" hidden="1" customHeight="1"/>
    <row r="93" ht="15" hidden="1" customHeight="1"/>
    <row r="94" ht="15" hidden="1" customHeight="1"/>
    <row r="95" ht="15" hidden="1" customHeight="1"/>
    <row r="96" ht="15" hidden="1" customHeight="1"/>
    <row r="97" ht="15" hidden="1" customHeight="1"/>
    <row r="98" ht="15" hidden="1" customHeight="1"/>
    <row r="99" ht="15" hidden="1" customHeight="1"/>
    <row r="100" ht="15" hidden="1" customHeight="1"/>
    <row r="101" ht="15" hidden="1" customHeight="1"/>
    <row r="102" ht="15" hidden="1" customHeight="1"/>
    <row r="103" ht="15" hidden="1" customHeight="1"/>
    <row r="104" ht="15" hidden="1" customHeight="1"/>
    <row r="105" ht="15" hidden="1" customHeight="1"/>
    <row r="106" ht="15" hidden="1" customHeight="1"/>
    <row r="107" ht="15" hidden="1" customHeight="1"/>
    <row r="108" ht="15" hidden="1" customHeight="1"/>
    <row r="109" ht="15" hidden="1" customHeight="1"/>
    <row r="110" ht="15" hidden="1" customHeight="1"/>
    <row r="111" ht="15" hidden="1" customHeight="1"/>
    <row r="112" ht="15" hidden="1" customHeight="1"/>
    <row r="113" ht="15" hidden="1" customHeight="1"/>
    <row r="114" ht="15" hidden="1" customHeight="1"/>
    <row r="115" ht="15" hidden="1" customHeight="1"/>
    <row r="116" ht="15" hidden="1" customHeight="1"/>
    <row r="117" ht="15" hidden="1" customHeight="1"/>
    <row r="118" ht="15" hidden="1" customHeight="1"/>
    <row r="119" ht="15" hidden="1" customHeight="1"/>
    <row r="120" ht="15" hidden="1" customHeight="1"/>
    <row r="121" ht="15" hidden="1" customHeight="1"/>
    <row r="122" ht="15" hidden="1" customHeight="1"/>
    <row r="123" ht="15" hidden="1" customHeight="1"/>
    <row r="124" ht="15" hidden="1" customHeight="1"/>
    <row r="125" ht="15" hidden="1" customHeight="1"/>
    <row r="126" ht="15" hidden="1" customHeight="1"/>
    <row r="127" ht="15" hidden="1" customHeight="1"/>
    <row r="128" ht="15" hidden="1" customHeight="1"/>
    <row r="129" ht="15" hidden="1" customHeight="1"/>
    <row r="130" ht="15" hidden="1" customHeight="1"/>
    <row r="131" ht="15" hidden="1" customHeight="1"/>
    <row r="132" ht="15" hidden="1" customHeight="1"/>
    <row r="133" ht="15" hidden="1" customHeight="1"/>
    <row r="134" ht="15" hidden="1" customHeight="1"/>
    <row r="135" ht="15" hidden="1" customHeight="1"/>
    <row r="136" ht="15" hidden="1" customHeight="1"/>
    <row r="137" ht="15" hidden="1" customHeight="1"/>
    <row r="138" ht="15" hidden="1" customHeight="1"/>
    <row r="139" ht="15" hidden="1" customHeight="1"/>
    <row r="140" ht="15" hidden="1" customHeight="1"/>
    <row r="141" ht="15" hidden="1" customHeight="1"/>
    <row r="142" ht="15" hidden="1" customHeight="1"/>
    <row r="143" ht="15" hidden="1" customHeight="1"/>
    <row r="144" ht="15" hidden="1" customHeight="1"/>
    <row r="145" ht="15" hidden="1" customHeight="1"/>
    <row r="146" ht="15" hidden="1" customHeight="1"/>
    <row r="147" ht="15" hidden="1" customHeight="1"/>
    <row r="148" ht="15" hidden="1" customHeight="1"/>
    <row r="149" ht="15" hidden="1" customHeight="1"/>
    <row r="150" ht="15" hidden="1" customHeight="1"/>
    <row r="151" ht="15" hidden="1" customHeight="1"/>
    <row r="152" ht="15" hidden="1" customHeight="1"/>
    <row r="153" ht="15" hidden="1" customHeight="1"/>
    <row r="154" ht="15" hidden="1" customHeight="1"/>
    <row r="155" ht="15" hidden="1" customHeight="1"/>
    <row r="156" ht="15" hidden="1" customHeight="1"/>
    <row r="157" ht="15" hidden="1" customHeight="1"/>
    <row r="158" ht="15" hidden="1" customHeight="1"/>
    <row r="159" ht="15" hidden="1" customHeight="1"/>
    <row r="160" ht="15" hidden="1" customHeight="1"/>
    <row r="161" ht="15" hidden="1" customHeight="1"/>
    <row r="162" ht="15" hidden="1" customHeight="1"/>
    <row r="163" ht="15" hidden="1" customHeight="1"/>
    <row r="164" ht="15" hidden="1" customHeight="1"/>
    <row r="165" ht="15" hidden="1" customHeight="1"/>
    <row r="166" ht="15" hidden="1" customHeight="1"/>
    <row r="167" ht="15" hidden="1" customHeight="1"/>
    <row r="168" ht="15" hidden="1" customHeight="1"/>
    <row r="169" ht="15" hidden="1" customHeight="1"/>
    <row r="170" ht="15" hidden="1" customHeight="1"/>
    <row r="171" ht="15" hidden="1" customHeight="1"/>
    <row r="172" ht="15" hidden="1" customHeight="1"/>
    <row r="173" ht="15" hidden="1" customHeight="1"/>
    <row r="174" ht="15" hidden="1" customHeight="1"/>
    <row r="175" ht="15" hidden="1" customHeight="1"/>
    <row r="176" ht="15" hidden="1" customHeight="1"/>
    <row r="177" ht="15" hidden="1" customHeight="1"/>
    <row r="178" ht="15" hidden="1" customHeight="1"/>
    <row r="179" ht="15" hidden="1" customHeight="1"/>
    <row r="180" ht="15" hidden="1" customHeight="1"/>
    <row r="181" ht="15" hidden="1" customHeight="1"/>
    <row r="182" ht="15" hidden="1" customHeight="1"/>
    <row r="183" ht="15" hidden="1" customHeight="1"/>
    <row r="184" ht="15" hidden="1" customHeight="1"/>
    <row r="185" ht="15" hidden="1" customHeight="1"/>
    <row r="186" ht="15" hidden="1" customHeight="1"/>
    <row r="187" ht="15" hidden="1" customHeight="1"/>
    <row r="188" ht="15" hidden="1" customHeight="1"/>
    <row r="189" ht="15" hidden="1" customHeight="1"/>
    <row r="190" ht="15" hidden="1" customHeight="1"/>
    <row r="191" ht="15" hidden="1" customHeight="1"/>
    <row r="192" ht="15" hidden="1" customHeight="1"/>
    <row r="193" ht="15" hidden="1" customHeight="1"/>
    <row r="194" ht="15" hidden="1" customHeight="1"/>
    <row r="195" ht="15" hidden="1" customHeight="1"/>
    <row r="196" ht="15" hidden="1" customHeight="1"/>
    <row r="197" ht="15" hidden="1" customHeight="1"/>
    <row r="198" ht="15" hidden="1" customHeight="1"/>
    <row r="199" ht="15" hidden="1" customHeight="1"/>
    <row r="200" ht="15" hidden="1" customHeight="1"/>
    <row r="201" ht="15" hidden="1" customHeight="1"/>
    <row r="202" ht="15" hidden="1" customHeight="1"/>
    <row r="203" ht="15" hidden="1" customHeight="1"/>
    <row r="204" ht="15" hidden="1" customHeight="1"/>
    <row r="205" ht="15" hidden="1" customHeight="1"/>
    <row r="206" ht="15" hidden="1" customHeight="1"/>
    <row r="207" ht="15" hidden="1" customHeight="1"/>
    <row r="208" ht="15" hidden="1" customHeight="1"/>
    <row r="209" ht="15" hidden="1" customHeight="1"/>
    <row r="210" ht="15" hidden="1" customHeight="1"/>
    <row r="211" ht="15" hidden="1" customHeight="1"/>
    <row r="212" ht="15" hidden="1" customHeight="1"/>
    <row r="213" ht="15" hidden="1" customHeight="1"/>
    <row r="214" ht="15" hidden="1" customHeight="1"/>
    <row r="215" ht="15" hidden="1" customHeight="1"/>
    <row r="216" ht="15" hidden="1" customHeight="1"/>
    <row r="217" ht="15" hidden="1" customHeight="1"/>
    <row r="218" ht="15" hidden="1" customHeight="1"/>
    <row r="219" ht="15" hidden="1" customHeight="1"/>
    <row r="220" ht="15" hidden="1" customHeight="1"/>
    <row r="221" ht="15" hidden="1" customHeight="1"/>
    <row r="222" ht="15" hidden="1" customHeight="1"/>
    <row r="223" ht="15" hidden="1" customHeight="1"/>
    <row r="224" ht="15" hidden="1" customHeight="1"/>
    <row r="225" ht="15" hidden="1" customHeight="1"/>
    <row r="226" ht="15" hidden="1" customHeight="1"/>
    <row r="227" ht="15" hidden="1" customHeight="1"/>
    <row r="228" ht="15" hidden="1" customHeight="1"/>
    <row r="229" ht="15" hidden="1" customHeight="1"/>
    <row r="230" ht="15" hidden="1" customHeight="1"/>
    <row r="231" ht="15" hidden="1" customHeight="1"/>
    <row r="232" ht="15" hidden="1" customHeight="1"/>
    <row r="233" ht="15" hidden="1" customHeight="1"/>
    <row r="234" ht="15" hidden="1" customHeight="1"/>
    <row r="235" ht="15" hidden="1" customHeight="1"/>
    <row r="236" ht="15" hidden="1" customHeight="1"/>
    <row r="237" ht="15" hidden="1" customHeight="1"/>
    <row r="238" ht="15" hidden="1" customHeight="1"/>
    <row r="239" ht="15" hidden="1" customHeight="1"/>
    <row r="240" ht="15" hidden="1" customHeight="1"/>
    <row r="241" ht="15" hidden="1" customHeight="1"/>
    <row r="242" ht="15" hidden="1" customHeight="1"/>
    <row r="243" ht="15" hidden="1" customHeight="1"/>
    <row r="244" ht="15" hidden="1" customHeight="1"/>
    <row r="245" ht="15" hidden="1" customHeight="1"/>
    <row r="246" ht="15" hidden="1" customHeight="1"/>
    <row r="247" ht="15" hidden="1" customHeight="1"/>
    <row r="248" ht="15" hidden="1" customHeight="1"/>
    <row r="249" ht="15" hidden="1" customHeight="1"/>
    <row r="250" ht="15" hidden="1" customHeight="1"/>
    <row r="251" ht="15" hidden="1" customHeight="1"/>
    <row r="252" ht="15" hidden="1" customHeight="1"/>
    <row r="253" ht="15" hidden="1" customHeight="1"/>
    <row r="254" ht="15" hidden="1" customHeight="1"/>
    <row r="255" ht="15" hidden="1" customHeight="1"/>
    <row r="256" ht="15" hidden="1" customHeight="1"/>
    <row r="257" ht="15" hidden="1" customHeight="1"/>
    <row r="258" ht="15" hidden="1" customHeight="1"/>
    <row r="259" ht="15" hidden="1" customHeight="1"/>
    <row r="260" ht="15" hidden="1" customHeight="1"/>
    <row r="261" ht="15" hidden="1" customHeight="1"/>
    <row r="262" ht="15" hidden="1" customHeight="1"/>
    <row r="263" ht="15" hidden="1" customHeight="1"/>
    <row r="264" ht="15" hidden="1" customHeight="1"/>
    <row r="265" ht="15" hidden="1" customHeight="1"/>
    <row r="266" ht="15" hidden="1" customHeight="1"/>
    <row r="267" ht="15" hidden="1" customHeight="1"/>
    <row r="268" ht="15" hidden="1" customHeight="1"/>
    <row r="269" ht="15" hidden="1" customHeight="1"/>
    <row r="270" ht="15" hidden="1" customHeight="1"/>
    <row r="271" ht="15" hidden="1" customHeight="1"/>
    <row r="272" ht="15" hidden="1" customHeight="1"/>
    <row r="273" ht="15" hidden="1" customHeight="1"/>
    <row r="274" ht="15" hidden="1" customHeight="1"/>
    <row r="275" ht="15" hidden="1" customHeight="1"/>
    <row r="276" ht="15" hidden="1" customHeight="1"/>
    <row r="277" ht="15" hidden="1" customHeight="1"/>
    <row r="278" ht="15" hidden="1" customHeight="1"/>
    <row r="279" ht="15" hidden="1" customHeight="1"/>
    <row r="280" ht="15" hidden="1" customHeight="1"/>
    <row r="281" ht="15" hidden="1" customHeight="1"/>
    <row r="282" ht="15" hidden="1" customHeight="1"/>
    <row r="283" ht="15" hidden="1" customHeight="1"/>
    <row r="284" ht="15" hidden="1" customHeight="1"/>
    <row r="285" ht="15" hidden="1" customHeight="1"/>
    <row r="286" ht="15" hidden="1" customHeight="1"/>
    <row r="287" ht="15" hidden="1" customHeight="1"/>
    <row r="288" ht="15" hidden="1" customHeight="1"/>
    <row r="289" ht="15" hidden="1" customHeight="1"/>
    <row r="290" ht="15" hidden="1" customHeight="1"/>
    <row r="291" ht="15" hidden="1" customHeight="1"/>
    <row r="292" ht="15" hidden="1" customHeight="1"/>
    <row r="293" ht="15" hidden="1" customHeight="1"/>
    <row r="294" ht="15" hidden="1" customHeight="1"/>
    <row r="295" ht="15" hidden="1" customHeight="1"/>
    <row r="296" ht="15" hidden="1" customHeight="1"/>
    <row r="297" ht="15" hidden="1" customHeight="1"/>
    <row r="298" ht="15" hidden="1" customHeight="1"/>
    <row r="299" ht="15" hidden="1" customHeight="1"/>
    <row r="300" ht="15" hidden="1" customHeight="1"/>
    <row r="301" ht="15" hidden="1" customHeight="1"/>
    <row r="302" ht="15" hidden="1" customHeight="1"/>
    <row r="303" ht="15" hidden="1" customHeight="1"/>
    <row r="304" ht="15" hidden="1" customHeight="1"/>
    <row r="305" ht="15" hidden="1" customHeight="1"/>
    <row r="306" ht="15" hidden="1" customHeight="1"/>
    <row r="307" ht="15" hidden="1" customHeight="1"/>
    <row r="308" ht="15" hidden="1" customHeight="1"/>
    <row r="309" ht="15" hidden="1" customHeight="1"/>
    <row r="310" ht="15" hidden="1" customHeight="1"/>
    <row r="311" ht="15" hidden="1" customHeight="1"/>
    <row r="312" ht="15" hidden="1" customHeight="1"/>
    <row r="313" ht="15" hidden="1" customHeight="1"/>
    <row r="314" ht="15" hidden="1" customHeight="1"/>
    <row r="315" ht="15" hidden="1" customHeight="1"/>
    <row r="316" ht="15" hidden="1" customHeight="1"/>
    <row r="317" ht="15" hidden="1" customHeight="1"/>
    <row r="318" ht="15" hidden="1" customHeight="1"/>
    <row r="319" ht="15" hidden="1" customHeight="1"/>
    <row r="320" ht="15" hidden="1" customHeight="1"/>
    <row r="321" ht="15" hidden="1" customHeight="1"/>
    <row r="322" ht="15" hidden="1" customHeight="1"/>
    <row r="323" ht="15" hidden="1" customHeight="1"/>
    <row r="324" ht="15" hidden="1" customHeight="1"/>
    <row r="325" ht="15" hidden="1" customHeight="1"/>
    <row r="326" ht="15" hidden="1" customHeight="1"/>
    <row r="327" ht="15" hidden="1" customHeight="1"/>
    <row r="328" ht="15" hidden="1" customHeight="1"/>
    <row r="329" ht="15" hidden="1" customHeight="1"/>
    <row r="330" ht="15" hidden="1" customHeight="1"/>
    <row r="331" ht="15" hidden="1" customHeight="1"/>
    <row r="332" ht="15" hidden="1" customHeight="1"/>
    <row r="333" ht="15" hidden="1" customHeight="1"/>
    <row r="334" ht="15" hidden="1" customHeight="1"/>
    <row r="335" ht="15" hidden="1" customHeight="1"/>
    <row r="336" ht="15" hidden="1" customHeight="1"/>
    <row r="337" ht="15" hidden="1" customHeight="1"/>
    <row r="338" ht="15" hidden="1" customHeight="1"/>
    <row r="339" ht="15" hidden="1" customHeight="1"/>
    <row r="340" ht="15" hidden="1" customHeight="1"/>
    <row r="341" ht="15" hidden="1" customHeight="1"/>
    <row r="342" ht="15" hidden="1" customHeight="1"/>
    <row r="343" ht="15" hidden="1" customHeight="1"/>
    <row r="344" ht="15" hidden="1" customHeight="1"/>
    <row r="345" ht="15" hidden="1" customHeight="1"/>
    <row r="346" ht="15" hidden="1" customHeight="1"/>
    <row r="347" ht="15" hidden="1" customHeight="1"/>
    <row r="348" ht="15" hidden="1" customHeight="1"/>
    <row r="349" ht="15" hidden="1" customHeight="1"/>
    <row r="350" ht="15" hidden="1" customHeight="1"/>
    <row r="351" ht="15" hidden="1" customHeight="1"/>
    <row r="352" ht="15" hidden="1" customHeight="1"/>
  </sheetData>
  <mergeCells count="42">
    <mergeCell ref="B2:B3"/>
    <mergeCell ref="B8:O8"/>
    <mergeCell ref="B10:O10"/>
    <mergeCell ref="H17:I18"/>
    <mergeCell ref="J17:J18"/>
    <mergeCell ref="N2:O2"/>
    <mergeCell ref="D3:E3"/>
    <mergeCell ref="F3:G3"/>
    <mergeCell ref="H3:I3"/>
    <mergeCell ref="J3:K3"/>
    <mergeCell ref="L3:M3"/>
    <mergeCell ref="N3:O3"/>
    <mergeCell ref="L2:M2"/>
    <mergeCell ref="K17:O18"/>
    <mergeCell ref="K14:O15"/>
    <mergeCell ref="K37:O38"/>
    <mergeCell ref="K39:O40"/>
    <mergeCell ref="H35:I36"/>
    <mergeCell ref="J35:J36"/>
    <mergeCell ref="J37:J40"/>
    <mergeCell ref="J31:J34"/>
    <mergeCell ref="H23:I24"/>
    <mergeCell ref="J23:J24"/>
    <mergeCell ref="J25:J28"/>
    <mergeCell ref="K35:O36"/>
    <mergeCell ref="K25:O26"/>
    <mergeCell ref="K27:O28"/>
    <mergeCell ref="K29:O30"/>
    <mergeCell ref="K31:O32"/>
    <mergeCell ref="K33:O34"/>
    <mergeCell ref="K23:O24"/>
    <mergeCell ref="J19:J22"/>
    <mergeCell ref="H14:J15"/>
    <mergeCell ref="C2:C3"/>
    <mergeCell ref="H29:I30"/>
    <mergeCell ref="J29:J30"/>
    <mergeCell ref="D2:E2"/>
    <mergeCell ref="F2:G2"/>
    <mergeCell ref="H2:I2"/>
    <mergeCell ref="J2:K2"/>
    <mergeCell ref="K19:O20"/>
    <mergeCell ref="K21:O22"/>
  </mergeCells>
  <hyperlinks>
    <hyperlink ref="F2" location="'City information'!A1" display="Set-up"/>
    <hyperlink ref="J3" location="GWP!A1" display="GWP"/>
    <hyperlink ref="L3" location="'Conversion factors'!A1" display="Conversion factors"/>
    <hyperlink ref="F3" location="GPC!A1" display="GPC"/>
    <hyperlink ref="H2" location="Inventory!A1" display="Inventory"/>
    <hyperlink ref="J2" location="Calculators!A1" display="Calculators"/>
    <hyperlink ref="N2" location="Analysis!A1" display="Analysis"/>
    <hyperlink ref="L2" location="Results!A1" display="Results"/>
    <hyperlink ref="D2" location="Home!A1" display="Introduction"/>
    <hyperlink ref="D3" location="Home!A1" display="Introduction"/>
    <hyperlink ref="N3" location="'Compact of Mayors'!A1" display="Compact of Mayors"/>
  </hyperlinks>
  <pageMargins left="0.25" right="0.25" top="0.75" bottom="0.75" header="0.3" footer="0.3"/>
  <pageSetup paperSize="9" scale="10" orientation="portrait" horizontalDpi="4294967292" verticalDpi="4294967292"/>
  <headerFooter>
    <oddHeader>&amp;CTable 4.1</oddHeader>
  </headerFooter>
  <drawing r:id="rId1"/>
  <extLst>
    <ext xmlns:mx="http://schemas.microsoft.com/office/mac/excel/2008/main" uri="{64002731-A6B0-56B0-2670-7721B7C09600}">
      <mx:PLV Mode="0" OnePage="0" WScale="71"/>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enableFormatConditionsCalculation="0">
    <tabColor theme="4"/>
    <outlinePr summaryBelow="0"/>
    <pageSetUpPr fitToPage="1"/>
  </sheetPr>
  <dimension ref="A1:AS350"/>
  <sheetViews>
    <sheetView showRowColHeaders="0" workbookViewId="0">
      <selection activeCell="L3" sqref="L3:M3"/>
    </sheetView>
  </sheetViews>
  <sheetFormatPr baseColWidth="10" defaultColWidth="0" defaultRowHeight="15" customHeight="1" zeroHeight="1" x14ac:dyDescent="0"/>
  <cols>
    <col min="1" max="1" width="4.83203125" style="31" customWidth="1"/>
    <col min="2" max="2" width="12.83203125" style="3" customWidth="1"/>
    <col min="3" max="8" width="12.83203125" style="4" customWidth="1"/>
    <col min="9" max="11" width="12.83203125" style="2" customWidth="1"/>
    <col min="12" max="15" width="12.83203125" style="31" customWidth="1"/>
    <col min="16" max="16" width="4.83203125" customWidth="1"/>
    <col min="17" max="20" width="10.83203125" style="31" hidden="1" customWidth="1"/>
    <col min="21" max="25" width="10.83203125" style="26" hidden="1" customWidth="1"/>
    <col min="26" max="45" width="10.83203125" style="31" hidden="1" customWidth="1"/>
    <col min="46" max="16384" width="10.83203125" style="1" hidden="1"/>
  </cols>
  <sheetData>
    <row r="1" spans="1:25" s="498" customFormat="1">
      <c r="P1" s="499"/>
      <c r="Q1" s="499"/>
      <c r="R1" s="499"/>
      <c r="S1" s="500"/>
      <c r="T1" s="500"/>
      <c r="U1" s="500"/>
    </row>
    <row r="2" spans="1:25" s="464" customFormat="1" ht="31" customHeight="1">
      <c r="A2" s="494"/>
      <c r="B2" s="1817" t="s">
        <v>1965</v>
      </c>
      <c r="C2" s="1819">
        <v>400</v>
      </c>
      <c r="D2" s="1847" t="s">
        <v>1555</v>
      </c>
      <c r="E2" s="1848"/>
      <c r="F2" s="1849" t="s">
        <v>1563</v>
      </c>
      <c r="G2" s="1850"/>
      <c r="H2" s="1849" t="s">
        <v>794</v>
      </c>
      <c r="I2" s="1850"/>
      <c r="J2" s="1849" t="s">
        <v>1570</v>
      </c>
      <c r="K2" s="1850"/>
      <c r="L2" s="1849" t="s">
        <v>1564</v>
      </c>
      <c r="M2" s="1850"/>
      <c r="N2" s="1849" t="s">
        <v>1602</v>
      </c>
      <c r="O2" s="1850"/>
      <c r="P2" s="494"/>
    </row>
    <row r="3" spans="1:25" s="464" customFormat="1" ht="31" customHeight="1">
      <c r="A3" s="494"/>
      <c r="B3" s="1818"/>
      <c r="C3" s="1820"/>
      <c r="D3" s="1843" t="s">
        <v>1565</v>
      </c>
      <c r="E3" s="1844"/>
      <c r="F3" s="1843" t="s">
        <v>785</v>
      </c>
      <c r="G3" s="1844"/>
      <c r="H3" s="1843" t="s">
        <v>40</v>
      </c>
      <c r="I3" s="1844"/>
      <c r="J3" s="1847" t="s">
        <v>780</v>
      </c>
      <c r="K3" s="1848"/>
      <c r="L3" s="1843" t="s">
        <v>1585</v>
      </c>
      <c r="M3" s="1844"/>
      <c r="N3" s="1843" t="s">
        <v>1788</v>
      </c>
      <c r="O3" s="1844"/>
      <c r="P3" s="494"/>
    </row>
    <row r="4" spans="1:25" s="494" customFormat="1" ht="15" customHeight="1">
      <c r="B4" s="492"/>
      <c r="C4" s="495"/>
      <c r="D4" s="497"/>
      <c r="E4" s="497"/>
      <c r="F4" s="497"/>
      <c r="G4" s="497"/>
      <c r="H4" s="497"/>
      <c r="I4" s="497"/>
      <c r="J4" s="496"/>
      <c r="K4" s="496"/>
      <c r="L4" s="496"/>
      <c r="M4" s="496"/>
      <c r="N4" s="496"/>
      <c r="O4" s="496"/>
    </row>
    <row r="5" spans="1:25" s="31" customFormat="1" ht="31" customHeight="1">
      <c r="B5" s="32"/>
      <c r="C5" s="33"/>
      <c r="D5" s="33"/>
      <c r="E5" s="33"/>
      <c r="F5" s="33"/>
      <c r="G5" s="33"/>
      <c r="H5" s="33"/>
      <c r="I5" s="34"/>
      <c r="J5" s="34"/>
      <c r="K5" s="34"/>
      <c r="U5" s="26"/>
      <c r="V5" s="26"/>
      <c r="W5" s="26"/>
      <c r="X5" s="26"/>
      <c r="Y5" s="26"/>
    </row>
    <row r="6" spans="1:25" s="29" customFormat="1" ht="31" customHeight="1" thickBot="1">
      <c r="A6" s="31"/>
      <c r="B6" s="491" t="s">
        <v>1798</v>
      </c>
      <c r="C6" s="466"/>
      <c r="D6" s="466"/>
      <c r="E6" s="466"/>
      <c r="F6" s="466"/>
      <c r="G6" s="466"/>
      <c r="H6" s="466"/>
      <c r="I6" s="467"/>
      <c r="J6" s="467"/>
      <c r="K6" s="467"/>
      <c r="L6" s="468"/>
      <c r="M6" s="468"/>
      <c r="N6" s="468"/>
      <c r="O6" s="468"/>
      <c r="U6" s="234"/>
      <c r="V6" s="234"/>
      <c r="W6" s="234"/>
      <c r="X6" s="234"/>
      <c r="Y6" s="234"/>
    </row>
    <row r="7" spans="1:25" s="31" customFormat="1" ht="15" customHeight="1" thickTop="1">
      <c r="B7" s="32"/>
      <c r="C7" s="33"/>
      <c r="D7" s="33"/>
      <c r="E7" s="33"/>
      <c r="F7" s="33"/>
      <c r="G7" s="33"/>
      <c r="H7" s="33"/>
      <c r="I7" s="34"/>
      <c r="J7" s="34"/>
      <c r="K7" s="34"/>
      <c r="U7" s="26"/>
      <c r="V7" s="26"/>
      <c r="W7" s="26"/>
      <c r="X7" s="26"/>
      <c r="Y7" s="26"/>
    </row>
    <row r="8" spans="1:25" s="29" customFormat="1" ht="35" customHeight="1">
      <c r="B8" s="1861" t="s">
        <v>1679</v>
      </c>
      <c r="C8" s="1861"/>
      <c r="D8" s="1861"/>
      <c r="E8" s="1861"/>
      <c r="F8" s="1861"/>
      <c r="G8" s="1861"/>
      <c r="H8" s="1861"/>
      <c r="I8" s="1861"/>
      <c r="J8" s="1861"/>
      <c r="K8" s="1861"/>
      <c r="L8" s="1861"/>
      <c r="M8" s="1861"/>
      <c r="N8" s="1861"/>
      <c r="O8" s="1861"/>
      <c r="U8" s="234"/>
      <c r="V8" s="234"/>
      <c r="W8" s="234"/>
      <c r="X8" s="234"/>
      <c r="Y8" s="234"/>
    </row>
    <row r="9" spans="1:25" s="31" customFormat="1" ht="15" customHeight="1">
      <c r="B9" s="32"/>
      <c r="C9" s="33"/>
      <c r="D9" s="33"/>
      <c r="E9" s="33"/>
      <c r="F9" s="33"/>
      <c r="G9" s="33"/>
      <c r="H9" s="33"/>
      <c r="I9" s="34"/>
      <c r="J9" s="34"/>
      <c r="K9" s="34"/>
      <c r="U9" s="26"/>
      <c r="V9" s="26"/>
      <c r="W9" s="26"/>
      <c r="X9" s="26"/>
      <c r="Y9" s="26"/>
    </row>
    <row r="10" spans="1:25" s="206" customFormat="1" ht="18" customHeight="1">
      <c r="B10" s="1920" t="s">
        <v>808</v>
      </c>
      <c r="C10" s="1921"/>
      <c r="D10" s="1921"/>
      <c r="E10" s="1921"/>
      <c r="F10" s="1921" t="s">
        <v>807</v>
      </c>
      <c r="G10" s="1921"/>
      <c r="H10" s="1921"/>
      <c r="I10" s="1922"/>
      <c r="J10" s="1370"/>
      <c r="K10" s="1370"/>
      <c r="U10" s="219"/>
      <c r="V10" s="219"/>
      <c r="W10" s="219"/>
      <c r="X10" s="219"/>
      <c r="Y10" s="219"/>
    </row>
    <row r="11" spans="1:25" s="206" customFormat="1" ht="18" customHeight="1">
      <c r="A11" s="1745">
        <v>1</v>
      </c>
      <c r="B11" s="1923" t="s">
        <v>809</v>
      </c>
      <c r="C11" s="1924"/>
      <c r="D11" s="1924" t="s">
        <v>810</v>
      </c>
      <c r="E11" s="1924"/>
      <c r="F11" s="1356" t="s">
        <v>837</v>
      </c>
      <c r="G11" s="1356" t="s">
        <v>838</v>
      </c>
      <c r="H11" s="1356" t="s">
        <v>839</v>
      </c>
      <c r="I11" s="676" t="s">
        <v>840</v>
      </c>
      <c r="U11" s="219"/>
      <c r="V11" s="219"/>
      <c r="W11" s="219"/>
      <c r="X11" s="219"/>
      <c r="Y11" s="219"/>
    </row>
    <row r="12" spans="1:25" s="206" customFormat="1" ht="18" customHeight="1">
      <c r="A12" s="1745">
        <v>2</v>
      </c>
      <c r="B12" s="681"/>
      <c r="C12" s="682"/>
      <c r="D12" s="682"/>
      <c r="E12" s="682"/>
      <c r="F12" s="682"/>
      <c r="G12" s="682"/>
      <c r="H12" s="682"/>
      <c r="I12" s="683"/>
      <c r="U12" s="219"/>
      <c r="V12" s="219"/>
      <c r="W12" s="219"/>
      <c r="X12" s="219"/>
      <c r="Y12" s="219"/>
    </row>
    <row r="13" spans="1:25" s="206" customFormat="1" ht="18" customHeight="1">
      <c r="A13" s="1745">
        <v>3</v>
      </c>
      <c r="B13" s="1919" t="s">
        <v>303</v>
      </c>
      <c r="C13" s="1919"/>
      <c r="D13" s="1925" t="s">
        <v>806</v>
      </c>
      <c r="E13" s="1925"/>
      <c r="F13" s="243">
        <v>1</v>
      </c>
      <c r="G13" s="243">
        <v>1</v>
      </c>
      <c r="H13" s="243">
        <v>1</v>
      </c>
      <c r="I13" s="243">
        <v>1</v>
      </c>
      <c r="U13" s="219"/>
      <c r="V13" s="219"/>
      <c r="W13" s="219"/>
      <c r="X13" s="219"/>
      <c r="Y13" s="219"/>
    </row>
    <row r="14" spans="1:25" s="206" customFormat="1" ht="18" customHeight="1">
      <c r="A14" s="1745">
        <v>4</v>
      </c>
      <c r="B14" s="1919" t="s">
        <v>304</v>
      </c>
      <c r="C14" s="1919"/>
      <c r="D14" s="1925" t="s">
        <v>805</v>
      </c>
      <c r="E14" s="1925"/>
      <c r="F14" s="243">
        <v>28</v>
      </c>
      <c r="G14" s="243">
        <v>25</v>
      </c>
      <c r="H14" s="243">
        <v>23</v>
      </c>
      <c r="I14" s="243">
        <v>21</v>
      </c>
      <c r="U14" s="219"/>
      <c r="V14" s="219"/>
      <c r="W14" s="219"/>
      <c r="X14" s="219"/>
      <c r="Y14" s="219"/>
    </row>
    <row r="15" spans="1:25" s="206" customFormat="1" ht="18" customHeight="1">
      <c r="A15" s="1745">
        <v>5</v>
      </c>
      <c r="B15" s="1919" t="s">
        <v>305</v>
      </c>
      <c r="C15" s="1919"/>
      <c r="D15" s="1925" t="s">
        <v>804</v>
      </c>
      <c r="E15" s="1925"/>
      <c r="F15" s="243">
        <v>265</v>
      </c>
      <c r="G15" s="243">
        <v>298</v>
      </c>
      <c r="H15" s="243">
        <v>296</v>
      </c>
      <c r="I15" s="243">
        <v>310</v>
      </c>
      <c r="U15" s="219"/>
      <c r="V15" s="219"/>
      <c r="W15" s="219"/>
      <c r="X15" s="219"/>
      <c r="Y15" s="219"/>
    </row>
    <row r="16" spans="1:25" s="206" customFormat="1" ht="18" customHeight="1">
      <c r="A16" s="1745">
        <v>6</v>
      </c>
      <c r="B16" s="1919" t="s">
        <v>312</v>
      </c>
      <c r="C16" s="1919"/>
      <c r="D16" s="1925" t="s">
        <v>857</v>
      </c>
      <c r="E16" s="1925"/>
      <c r="F16" s="243">
        <v>23500</v>
      </c>
      <c r="G16" s="243">
        <v>22800</v>
      </c>
      <c r="H16" s="243">
        <v>22200</v>
      </c>
      <c r="I16" s="243">
        <v>23900</v>
      </c>
      <c r="U16" s="219"/>
      <c r="V16" s="219"/>
      <c r="W16" s="219"/>
      <c r="X16" s="219"/>
      <c r="Y16" s="219"/>
    </row>
    <row r="17" spans="1:25" s="206" customFormat="1" ht="18" customHeight="1">
      <c r="A17" s="1745">
        <v>7</v>
      </c>
      <c r="B17" s="1919" t="s">
        <v>843</v>
      </c>
      <c r="C17" s="1919"/>
      <c r="D17" s="1380" t="s">
        <v>863</v>
      </c>
      <c r="E17" s="1380"/>
      <c r="F17" s="243">
        <v>6630</v>
      </c>
      <c r="G17" s="243">
        <v>7390</v>
      </c>
      <c r="H17" s="243">
        <v>5700</v>
      </c>
      <c r="I17" s="243">
        <v>6500</v>
      </c>
      <c r="U17" s="219"/>
      <c r="V17" s="219"/>
      <c r="W17" s="219"/>
      <c r="X17" s="219"/>
      <c r="Y17" s="219"/>
    </row>
    <row r="18" spans="1:25" s="206" customFormat="1" ht="18" customHeight="1">
      <c r="A18" s="1745">
        <v>8</v>
      </c>
      <c r="B18" s="1919" t="s">
        <v>844</v>
      </c>
      <c r="C18" s="1919"/>
      <c r="D18" s="1381" t="s">
        <v>864</v>
      </c>
      <c r="E18" s="1382"/>
      <c r="F18" s="243">
        <v>11100</v>
      </c>
      <c r="G18" s="243">
        <v>12200</v>
      </c>
      <c r="H18" s="243">
        <v>11900</v>
      </c>
      <c r="I18" s="243">
        <v>9200</v>
      </c>
      <c r="U18" s="219"/>
      <c r="V18" s="219"/>
      <c r="W18" s="219"/>
      <c r="X18" s="219"/>
      <c r="Y18" s="219"/>
    </row>
    <row r="19" spans="1:25" s="206" customFormat="1" ht="18" customHeight="1">
      <c r="A19" s="1745">
        <v>9</v>
      </c>
      <c r="B19" s="1917" t="s">
        <v>845</v>
      </c>
      <c r="C19" s="1918"/>
      <c r="D19" s="1380" t="s">
        <v>865</v>
      </c>
      <c r="E19" s="1380"/>
      <c r="F19" s="243">
        <v>12400</v>
      </c>
      <c r="G19" s="243">
        <v>14800</v>
      </c>
      <c r="H19" s="243">
        <v>12000</v>
      </c>
      <c r="I19" s="243">
        <v>11700</v>
      </c>
      <c r="U19" s="219"/>
      <c r="V19" s="219"/>
      <c r="W19" s="219"/>
      <c r="X19" s="219"/>
      <c r="Y19" s="219"/>
    </row>
    <row r="20" spans="1:25" s="206" customFormat="1" ht="18" customHeight="1">
      <c r="A20" s="1745">
        <v>10</v>
      </c>
      <c r="B20" s="1917" t="s">
        <v>846</v>
      </c>
      <c r="C20" s="1918"/>
      <c r="D20" s="1381" t="s">
        <v>866</v>
      </c>
      <c r="E20" s="1382"/>
      <c r="F20" s="243">
        <v>677</v>
      </c>
      <c r="G20" s="243">
        <v>675</v>
      </c>
      <c r="H20" s="243">
        <v>550</v>
      </c>
      <c r="I20" s="243">
        <v>650</v>
      </c>
      <c r="U20" s="219"/>
      <c r="V20" s="219"/>
      <c r="W20" s="219"/>
      <c r="X20" s="219"/>
      <c r="Y20" s="219"/>
    </row>
    <row r="21" spans="1:25" s="206" customFormat="1" ht="18" customHeight="1">
      <c r="A21" s="1745">
        <v>11</v>
      </c>
      <c r="B21" s="1919" t="s">
        <v>847</v>
      </c>
      <c r="C21" s="1919"/>
      <c r="D21" s="1380" t="s">
        <v>867</v>
      </c>
      <c r="E21" s="1380"/>
      <c r="F21" s="243">
        <v>116</v>
      </c>
      <c r="G21" s="243">
        <v>92</v>
      </c>
      <c r="H21" s="243">
        <v>97</v>
      </c>
      <c r="I21" s="243">
        <v>150</v>
      </c>
      <c r="U21" s="219"/>
      <c r="V21" s="219"/>
      <c r="W21" s="219"/>
      <c r="X21" s="219"/>
      <c r="Y21" s="219"/>
    </row>
    <row r="22" spans="1:25" s="206" customFormat="1" ht="18" customHeight="1">
      <c r="A22" s="1745">
        <v>12</v>
      </c>
      <c r="B22" s="1917" t="s">
        <v>848</v>
      </c>
      <c r="C22" s="1918"/>
      <c r="D22" s="1381" t="s">
        <v>868</v>
      </c>
      <c r="E22" s="1382"/>
      <c r="F22" s="243">
        <v>3170</v>
      </c>
      <c r="G22" s="243">
        <v>3500</v>
      </c>
      <c r="H22" s="243">
        <v>3400</v>
      </c>
      <c r="I22" s="243">
        <v>2800</v>
      </c>
      <c r="U22" s="219"/>
      <c r="V22" s="219"/>
      <c r="W22" s="219"/>
      <c r="X22" s="219"/>
      <c r="Y22" s="219"/>
    </row>
    <row r="23" spans="1:25" s="206" customFormat="1" ht="18" customHeight="1">
      <c r="A23" s="1745">
        <v>13</v>
      </c>
      <c r="B23" s="1917" t="s">
        <v>849</v>
      </c>
      <c r="C23" s="1918"/>
      <c r="D23" s="1380" t="s">
        <v>869</v>
      </c>
      <c r="E23" s="1380"/>
      <c r="F23" s="243">
        <v>1120</v>
      </c>
      <c r="G23" s="243">
        <v>1100</v>
      </c>
      <c r="H23" s="243">
        <v>1100</v>
      </c>
      <c r="I23" s="243">
        <v>1000</v>
      </c>
      <c r="U23" s="219"/>
      <c r="V23" s="219"/>
      <c r="W23" s="219"/>
      <c r="X23" s="219"/>
      <c r="Y23" s="219"/>
    </row>
    <row r="24" spans="1:25" s="206" customFormat="1" ht="18" customHeight="1">
      <c r="A24" s="1745">
        <v>14</v>
      </c>
      <c r="B24" s="1917" t="s">
        <v>850</v>
      </c>
      <c r="C24" s="1918"/>
      <c r="D24" s="1381" t="s">
        <v>870</v>
      </c>
      <c r="E24" s="1382"/>
      <c r="F24" s="243">
        <v>1300</v>
      </c>
      <c r="G24" s="243">
        <v>1430</v>
      </c>
      <c r="H24" s="243">
        <v>1300</v>
      </c>
      <c r="I24" s="243">
        <v>1300</v>
      </c>
      <c r="U24" s="219"/>
      <c r="V24" s="219"/>
      <c r="W24" s="219"/>
      <c r="X24" s="219"/>
      <c r="Y24" s="219"/>
    </row>
    <row r="25" spans="1:25" s="206" customFormat="1" ht="18" customHeight="1">
      <c r="A25" s="1745">
        <v>15</v>
      </c>
      <c r="B25" s="1917" t="s">
        <v>851</v>
      </c>
      <c r="C25" s="1918"/>
      <c r="D25" s="1380" t="s">
        <v>871</v>
      </c>
      <c r="E25" s="1380"/>
      <c r="F25" s="243">
        <v>328</v>
      </c>
      <c r="G25" s="243">
        <v>353</v>
      </c>
      <c r="H25" s="243">
        <v>330</v>
      </c>
      <c r="I25" s="243">
        <v>300</v>
      </c>
      <c r="U25" s="219"/>
      <c r="V25" s="219"/>
      <c r="W25" s="219"/>
      <c r="X25" s="219"/>
      <c r="Y25" s="219"/>
    </row>
    <row r="26" spans="1:25" s="206" customFormat="1" ht="18" customHeight="1">
      <c r="A26" s="1745">
        <v>16</v>
      </c>
      <c r="B26" s="1917" t="s">
        <v>852</v>
      </c>
      <c r="C26" s="1918"/>
      <c r="D26" s="1381" t="s">
        <v>872</v>
      </c>
      <c r="E26" s="1382"/>
      <c r="F26" s="243">
        <v>4800</v>
      </c>
      <c r="G26" s="243">
        <v>4470</v>
      </c>
      <c r="H26" s="243">
        <v>4300</v>
      </c>
      <c r="I26" s="243">
        <v>3800</v>
      </c>
      <c r="U26" s="219"/>
      <c r="V26" s="219"/>
      <c r="W26" s="219"/>
      <c r="X26" s="219"/>
      <c r="Y26" s="219"/>
    </row>
    <row r="27" spans="1:25" s="206" customFormat="1" ht="18" customHeight="1">
      <c r="A27" s="1745">
        <v>17</v>
      </c>
      <c r="B27" s="1917" t="s">
        <v>853</v>
      </c>
      <c r="C27" s="1918"/>
      <c r="D27" s="1380" t="s">
        <v>873</v>
      </c>
      <c r="E27" s="1380"/>
      <c r="F27" s="243">
        <v>138</v>
      </c>
      <c r="G27" s="243">
        <v>124</v>
      </c>
      <c r="H27" s="243">
        <v>120</v>
      </c>
      <c r="I27" s="243">
        <v>140</v>
      </c>
      <c r="U27" s="219"/>
      <c r="V27" s="219"/>
      <c r="W27" s="219"/>
      <c r="X27" s="219"/>
      <c r="Y27" s="219"/>
    </row>
    <row r="28" spans="1:25" s="206" customFormat="1" ht="18" customHeight="1">
      <c r="A28" s="1745">
        <v>18</v>
      </c>
      <c r="B28" s="1917" t="s">
        <v>854</v>
      </c>
      <c r="C28" s="1918"/>
      <c r="D28" s="1381" t="s">
        <v>874</v>
      </c>
      <c r="E28" s="1382"/>
      <c r="F28" s="243">
        <v>3350</v>
      </c>
      <c r="G28" s="243">
        <v>3220</v>
      </c>
      <c r="H28" s="243">
        <v>3500</v>
      </c>
      <c r="I28" s="243">
        <v>2900</v>
      </c>
      <c r="U28" s="219"/>
      <c r="V28" s="219"/>
      <c r="W28" s="219"/>
      <c r="X28" s="219"/>
      <c r="Y28" s="219"/>
    </row>
    <row r="29" spans="1:25" s="206" customFormat="1" ht="18" customHeight="1">
      <c r="A29" s="1745">
        <v>19</v>
      </c>
      <c r="B29" s="1919" t="s">
        <v>855</v>
      </c>
      <c r="C29" s="1919"/>
      <c r="D29" s="1380" t="s">
        <v>875</v>
      </c>
      <c r="E29" s="1380"/>
      <c r="F29" s="243">
        <v>8060</v>
      </c>
      <c r="G29" s="243">
        <v>9810</v>
      </c>
      <c r="H29" s="243">
        <v>9400</v>
      </c>
      <c r="I29" s="243">
        <v>6300</v>
      </c>
      <c r="U29" s="219"/>
      <c r="V29" s="219"/>
      <c r="W29" s="219"/>
      <c r="X29" s="219"/>
      <c r="Y29" s="219"/>
    </row>
    <row r="30" spans="1:25" s="206" customFormat="1" ht="18" customHeight="1">
      <c r="A30" s="1745">
        <v>20</v>
      </c>
      <c r="B30" s="1919" t="s">
        <v>856</v>
      </c>
      <c r="C30" s="1919"/>
      <c r="D30" s="1381" t="s">
        <v>876</v>
      </c>
      <c r="E30" s="1382"/>
      <c r="F30" s="243">
        <v>716</v>
      </c>
      <c r="G30" s="243">
        <v>1030</v>
      </c>
      <c r="H30" s="243">
        <v>950</v>
      </c>
      <c r="I30" s="243">
        <v>560</v>
      </c>
      <c r="U30" s="219"/>
      <c r="V30" s="219"/>
      <c r="W30" s="219"/>
      <c r="X30" s="219"/>
      <c r="Y30" s="219"/>
    </row>
    <row r="31" spans="1:25" s="206" customFormat="1" ht="18" customHeight="1">
      <c r="A31" s="1745">
        <v>21</v>
      </c>
      <c r="B31" s="1919" t="s">
        <v>317</v>
      </c>
      <c r="C31" s="1919"/>
      <c r="D31" s="1925" t="s">
        <v>858</v>
      </c>
      <c r="E31" s="1925"/>
      <c r="F31" s="243">
        <v>16100</v>
      </c>
      <c r="G31" s="243">
        <v>17200</v>
      </c>
      <c r="H31" s="243"/>
      <c r="I31" s="243"/>
      <c r="U31" s="219"/>
      <c r="V31" s="219"/>
      <c r="W31" s="219"/>
      <c r="X31" s="219"/>
      <c r="Y31" s="219"/>
    </row>
    <row r="32" spans="1:25" s="31" customFormat="1" ht="15" customHeight="1">
      <c r="B32" s="32"/>
      <c r="C32" s="33"/>
      <c r="D32" s="33"/>
      <c r="E32" s="33"/>
      <c r="F32" s="33"/>
      <c r="G32" s="33"/>
      <c r="H32" s="33"/>
      <c r="I32" s="34"/>
      <c r="J32" s="34"/>
      <c r="U32" s="26"/>
      <c r="V32" s="26"/>
      <c r="W32" s="26"/>
      <c r="X32" s="26"/>
      <c r="Y32" s="26"/>
    </row>
    <row r="33" spans="2:25" s="29" customFormat="1" ht="18" customHeight="1">
      <c r="B33" s="230" t="s">
        <v>815</v>
      </c>
      <c r="C33" s="230"/>
      <c r="D33" s="230"/>
      <c r="E33" s="230"/>
      <c r="F33" s="230"/>
      <c r="G33" s="230"/>
      <c r="H33" s="230"/>
      <c r="I33" s="30"/>
      <c r="J33" s="30"/>
      <c r="U33" s="234"/>
      <c r="V33" s="234"/>
      <c r="W33" s="234"/>
      <c r="X33" s="234"/>
      <c r="Y33" s="234"/>
    </row>
    <row r="34" spans="2:25" s="31" customFormat="1" ht="30" customHeight="1">
      <c r="B34" s="32"/>
      <c r="C34" s="33"/>
      <c r="D34" s="33"/>
      <c r="E34" s="33"/>
      <c r="F34" s="33"/>
      <c r="G34" s="33"/>
      <c r="H34" s="33"/>
      <c r="I34" s="34"/>
      <c r="J34" s="34"/>
      <c r="K34" s="34"/>
      <c r="U34" s="26"/>
      <c r="V34" s="26"/>
      <c r="W34" s="26"/>
      <c r="X34" s="26"/>
      <c r="Y34" s="26"/>
    </row>
    <row r="35" spans="2:25" ht="15" hidden="1" customHeight="1"/>
    <row r="36" spans="2:25" ht="15" hidden="1" customHeight="1"/>
    <row r="37" spans="2:25" ht="15" hidden="1" customHeight="1"/>
    <row r="38" spans="2:25" ht="15" hidden="1" customHeight="1"/>
    <row r="39" spans="2:25" ht="15" hidden="1" customHeight="1"/>
    <row r="40" spans="2:25" ht="15" hidden="1" customHeight="1"/>
    <row r="41" spans="2:25" ht="15" hidden="1" customHeight="1"/>
    <row r="42" spans="2:25" ht="15" hidden="1" customHeight="1"/>
    <row r="43" spans="2:25" ht="15" hidden="1" customHeight="1"/>
    <row r="44" spans="2:25" ht="15" hidden="1" customHeight="1"/>
    <row r="45" spans="2:25" ht="15" hidden="1" customHeight="1"/>
    <row r="46" spans="2:25" ht="15" hidden="1" customHeight="1"/>
    <row r="47" spans="2:25" ht="15" hidden="1" customHeight="1"/>
    <row r="48" spans="2:25" ht="15" hidden="1" customHeight="1"/>
    <row r="49" ht="15" hidden="1" customHeight="1"/>
    <row r="50" ht="15" hidden="1" customHeight="1"/>
    <row r="51" ht="15" hidden="1" customHeight="1"/>
    <row r="52" ht="15" hidden="1" customHeight="1"/>
    <row r="53" ht="15" hidden="1" customHeight="1"/>
    <row r="54" ht="15" hidden="1" customHeight="1"/>
    <row r="55" ht="15" hidden="1" customHeight="1"/>
    <row r="56" ht="15" hidden="1" customHeight="1"/>
    <row r="57" ht="15" hidden="1" customHeight="1"/>
    <row r="58" ht="15" hidden="1" customHeight="1"/>
    <row r="59" ht="15" hidden="1" customHeight="1"/>
    <row r="60" ht="15" hidden="1" customHeight="1"/>
    <row r="61" ht="15" hidden="1" customHeight="1"/>
    <row r="62" ht="15" hidden="1" customHeight="1"/>
    <row r="63" ht="15" hidden="1" customHeight="1"/>
    <row r="64" ht="15" hidden="1" customHeight="1"/>
    <row r="65" ht="15" hidden="1" customHeight="1"/>
    <row r="66" ht="15" hidden="1" customHeight="1"/>
    <row r="67" ht="15" hidden="1" customHeight="1"/>
    <row r="68" ht="15" hidden="1" customHeight="1"/>
    <row r="69" ht="15" hidden="1" customHeight="1"/>
    <row r="70" ht="15" hidden="1" customHeight="1"/>
    <row r="71" ht="15" hidden="1" customHeight="1"/>
    <row r="72" ht="15" hidden="1" customHeight="1"/>
    <row r="73" ht="15" hidden="1" customHeight="1"/>
    <row r="74" ht="15" hidden="1" customHeight="1"/>
    <row r="75" ht="15" hidden="1" customHeight="1"/>
    <row r="76" ht="15" hidden="1" customHeight="1"/>
    <row r="77" ht="15" hidden="1" customHeight="1"/>
    <row r="78" ht="15" hidden="1" customHeight="1"/>
    <row r="79" ht="15" hidden="1" customHeight="1"/>
    <row r="80" ht="15" hidden="1" customHeight="1"/>
    <row r="81" ht="15" hidden="1" customHeight="1"/>
    <row r="82" ht="15" hidden="1" customHeight="1"/>
    <row r="83" ht="15" hidden="1" customHeight="1"/>
    <row r="84" ht="15" hidden="1" customHeight="1"/>
    <row r="85" ht="15" hidden="1" customHeight="1"/>
    <row r="86" ht="15" hidden="1" customHeight="1"/>
    <row r="87" ht="15" hidden="1" customHeight="1"/>
    <row r="88" ht="15" hidden="1" customHeight="1"/>
    <row r="89" ht="15" hidden="1" customHeight="1"/>
    <row r="90" ht="15" hidden="1" customHeight="1"/>
    <row r="91" ht="15" hidden="1" customHeight="1"/>
    <row r="92" ht="15" hidden="1" customHeight="1"/>
    <row r="93" ht="15" hidden="1" customHeight="1"/>
    <row r="94" ht="15" hidden="1" customHeight="1"/>
    <row r="95" ht="15" hidden="1" customHeight="1"/>
    <row r="96" ht="15" hidden="1" customHeight="1"/>
    <row r="97" ht="15" hidden="1" customHeight="1"/>
    <row r="98" ht="15" hidden="1" customHeight="1"/>
    <row r="99" ht="15" hidden="1" customHeight="1"/>
    <row r="100" ht="15" hidden="1" customHeight="1"/>
    <row r="101" ht="15" hidden="1" customHeight="1"/>
    <row r="102" ht="15" hidden="1" customHeight="1"/>
    <row r="103" ht="15" hidden="1" customHeight="1"/>
    <row r="104" ht="15" hidden="1" customHeight="1"/>
    <row r="105" ht="15" hidden="1" customHeight="1"/>
    <row r="106" ht="15" hidden="1" customHeight="1"/>
    <row r="107" ht="15" hidden="1" customHeight="1"/>
    <row r="108" ht="15" hidden="1" customHeight="1"/>
    <row r="109" ht="15" hidden="1" customHeight="1"/>
    <row r="110" ht="15" hidden="1" customHeight="1"/>
    <row r="111" ht="15" hidden="1" customHeight="1"/>
    <row r="112" ht="15" hidden="1" customHeight="1"/>
    <row r="113" ht="15" hidden="1" customHeight="1"/>
    <row r="114" ht="15" hidden="1" customHeight="1"/>
    <row r="115" ht="15" hidden="1" customHeight="1"/>
    <row r="116" ht="15" hidden="1" customHeight="1"/>
    <row r="117" ht="15" hidden="1" customHeight="1"/>
    <row r="118" ht="15" hidden="1" customHeight="1"/>
    <row r="119" ht="15" hidden="1" customHeight="1"/>
    <row r="120" ht="15" hidden="1" customHeight="1"/>
    <row r="121" ht="15" hidden="1" customHeight="1"/>
    <row r="122" ht="15" hidden="1" customHeight="1"/>
    <row r="123" ht="15" hidden="1" customHeight="1"/>
    <row r="124" ht="15" hidden="1" customHeight="1"/>
    <row r="125" ht="15" hidden="1" customHeight="1"/>
    <row r="126" ht="15" hidden="1" customHeight="1"/>
    <row r="127" ht="15" hidden="1" customHeight="1"/>
    <row r="128" ht="15" hidden="1" customHeight="1"/>
    <row r="129" ht="15" hidden="1" customHeight="1"/>
    <row r="130" ht="15" hidden="1" customHeight="1"/>
    <row r="131" ht="15" hidden="1" customHeight="1"/>
    <row r="132" ht="15" hidden="1" customHeight="1"/>
    <row r="133" ht="15" hidden="1" customHeight="1"/>
    <row r="134" ht="15" hidden="1" customHeight="1"/>
    <row r="135" ht="15" hidden="1" customHeight="1"/>
    <row r="136" ht="15" hidden="1" customHeight="1"/>
    <row r="137" ht="15" hidden="1" customHeight="1"/>
    <row r="138" ht="15" hidden="1" customHeight="1"/>
    <row r="139" ht="15" hidden="1" customHeight="1"/>
    <row r="140" ht="15" hidden="1" customHeight="1"/>
    <row r="141" ht="15" hidden="1" customHeight="1"/>
    <row r="142" ht="15" hidden="1" customHeight="1"/>
    <row r="143" ht="15" hidden="1" customHeight="1"/>
    <row r="144" ht="15" hidden="1" customHeight="1"/>
    <row r="145" ht="15" hidden="1" customHeight="1"/>
    <row r="146" ht="15" hidden="1" customHeight="1"/>
    <row r="147" ht="15" hidden="1" customHeight="1"/>
    <row r="148" ht="15" hidden="1" customHeight="1"/>
    <row r="149" ht="15" hidden="1" customHeight="1"/>
    <row r="150" ht="15" hidden="1" customHeight="1"/>
    <row r="151" ht="15" hidden="1" customHeight="1"/>
    <row r="152" ht="15" hidden="1" customHeight="1"/>
    <row r="153" ht="15" hidden="1" customHeight="1"/>
    <row r="154" ht="15" hidden="1" customHeight="1"/>
    <row r="155" ht="15" hidden="1" customHeight="1"/>
    <row r="156" ht="15" hidden="1" customHeight="1"/>
    <row r="157" ht="15" hidden="1" customHeight="1"/>
    <row r="158" ht="15" hidden="1" customHeight="1"/>
    <row r="159" ht="15" hidden="1" customHeight="1"/>
    <row r="160" ht="15" hidden="1" customHeight="1"/>
    <row r="161" ht="15" hidden="1" customHeight="1"/>
    <row r="162" ht="15" hidden="1" customHeight="1"/>
    <row r="163" ht="15" hidden="1" customHeight="1"/>
    <row r="164" ht="15" hidden="1" customHeight="1"/>
    <row r="165" ht="15" hidden="1" customHeight="1"/>
    <row r="166" ht="15" hidden="1" customHeight="1"/>
    <row r="167" ht="15" hidden="1" customHeight="1"/>
    <row r="168" ht="15" hidden="1" customHeight="1"/>
    <row r="169" ht="15" hidden="1" customHeight="1"/>
    <row r="170" ht="15" hidden="1" customHeight="1"/>
    <row r="171" ht="15" hidden="1" customHeight="1"/>
    <row r="172" ht="15" hidden="1" customHeight="1"/>
    <row r="173" ht="15" hidden="1" customHeight="1"/>
    <row r="174" ht="15" hidden="1" customHeight="1"/>
    <row r="175" ht="15" hidden="1" customHeight="1"/>
    <row r="176" ht="15" hidden="1" customHeight="1"/>
    <row r="177" ht="15" hidden="1" customHeight="1"/>
    <row r="178" ht="15" hidden="1" customHeight="1"/>
    <row r="179" ht="15" hidden="1" customHeight="1"/>
    <row r="180" ht="15" hidden="1" customHeight="1"/>
    <row r="181" ht="15" hidden="1" customHeight="1"/>
    <row r="182" ht="15" hidden="1" customHeight="1"/>
    <row r="183" ht="15" hidden="1" customHeight="1"/>
    <row r="184" ht="15" hidden="1" customHeight="1"/>
    <row r="185" ht="15" hidden="1" customHeight="1"/>
    <row r="186" ht="15" hidden="1" customHeight="1"/>
    <row r="187" ht="15" hidden="1" customHeight="1"/>
    <row r="188" ht="15" hidden="1" customHeight="1"/>
    <row r="189" ht="15" hidden="1" customHeight="1"/>
    <row r="190" ht="15" hidden="1" customHeight="1"/>
    <row r="191" ht="15" hidden="1" customHeight="1"/>
    <row r="192" ht="15" hidden="1" customHeight="1"/>
    <row r="193" ht="15" hidden="1" customHeight="1"/>
    <row r="194" ht="15" hidden="1" customHeight="1"/>
    <row r="195" ht="15" hidden="1" customHeight="1"/>
    <row r="196" ht="15" hidden="1" customHeight="1"/>
    <row r="197" ht="15" hidden="1" customHeight="1"/>
    <row r="198" ht="15" hidden="1" customHeight="1"/>
    <row r="199" ht="15" hidden="1" customHeight="1"/>
    <row r="200" ht="15" hidden="1" customHeight="1"/>
    <row r="201" ht="15" hidden="1" customHeight="1"/>
    <row r="202" ht="15" hidden="1" customHeight="1"/>
    <row r="203" ht="15" hidden="1" customHeight="1"/>
    <row r="204" ht="15" hidden="1" customHeight="1"/>
    <row r="205" ht="15" hidden="1" customHeight="1"/>
    <row r="206" ht="15" hidden="1" customHeight="1"/>
    <row r="207" ht="15" hidden="1" customHeight="1"/>
    <row r="208" ht="15" hidden="1" customHeight="1"/>
    <row r="209" ht="15" hidden="1" customHeight="1"/>
    <row r="210" ht="15" hidden="1" customHeight="1"/>
    <row r="211" ht="15" hidden="1" customHeight="1"/>
    <row r="212" ht="15" hidden="1" customHeight="1"/>
    <row r="213" ht="15" hidden="1" customHeight="1"/>
    <row r="214" ht="15" hidden="1" customHeight="1"/>
    <row r="215" ht="15" hidden="1" customHeight="1"/>
    <row r="216" ht="15" hidden="1" customHeight="1"/>
    <row r="217" ht="15" hidden="1" customHeight="1"/>
    <row r="218" ht="15" hidden="1" customHeight="1"/>
    <row r="219" ht="15" hidden="1" customHeight="1"/>
    <row r="220" ht="15" hidden="1" customHeight="1"/>
    <row r="221" ht="15" hidden="1" customHeight="1"/>
    <row r="222" ht="15" hidden="1" customHeight="1"/>
    <row r="223" ht="15" hidden="1" customHeight="1"/>
    <row r="224" ht="15" hidden="1" customHeight="1"/>
    <row r="225" ht="15" hidden="1" customHeight="1"/>
    <row r="226" ht="15" hidden="1" customHeight="1"/>
    <row r="227" ht="15" hidden="1" customHeight="1"/>
    <row r="228" ht="15" hidden="1" customHeight="1"/>
    <row r="229" ht="15" hidden="1" customHeight="1"/>
    <row r="230" ht="15" hidden="1" customHeight="1"/>
    <row r="231" ht="15" hidden="1" customHeight="1"/>
    <row r="232" ht="15" hidden="1" customHeight="1"/>
    <row r="233" ht="15" hidden="1" customHeight="1"/>
    <row r="234" ht="15" hidden="1" customHeight="1"/>
    <row r="235" ht="15" hidden="1" customHeight="1"/>
    <row r="236" ht="15" hidden="1" customHeight="1"/>
    <row r="237" ht="15" hidden="1" customHeight="1"/>
    <row r="238" ht="15" hidden="1" customHeight="1"/>
    <row r="239" ht="15" hidden="1" customHeight="1"/>
    <row r="240" ht="15" hidden="1" customHeight="1"/>
    <row r="241" ht="15" hidden="1" customHeight="1"/>
    <row r="242" ht="15" hidden="1" customHeight="1"/>
    <row r="243" ht="15" hidden="1" customHeight="1"/>
    <row r="244" ht="15" hidden="1" customHeight="1"/>
    <row r="245" ht="15" hidden="1" customHeight="1"/>
    <row r="246" ht="15" hidden="1" customHeight="1"/>
    <row r="247" ht="15" hidden="1" customHeight="1"/>
    <row r="248" ht="15" hidden="1" customHeight="1"/>
    <row r="249" ht="15" hidden="1" customHeight="1"/>
    <row r="250" ht="15" hidden="1" customHeight="1"/>
    <row r="251" ht="15" hidden="1" customHeight="1"/>
    <row r="252" ht="15" hidden="1" customHeight="1"/>
    <row r="253" ht="15" hidden="1" customHeight="1"/>
    <row r="254" ht="15" hidden="1" customHeight="1"/>
    <row r="255" ht="15" hidden="1" customHeight="1"/>
    <row r="256" ht="15" hidden="1" customHeight="1"/>
    <row r="257" ht="15" hidden="1" customHeight="1"/>
    <row r="258" ht="15" hidden="1" customHeight="1"/>
    <row r="259" ht="15" hidden="1" customHeight="1"/>
    <row r="260" ht="15" hidden="1" customHeight="1"/>
    <row r="261" ht="15" hidden="1" customHeight="1"/>
    <row r="262" ht="15" hidden="1" customHeight="1"/>
    <row r="263" ht="15" hidden="1" customHeight="1"/>
    <row r="264" ht="15" hidden="1" customHeight="1"/>
    <row r="265" ht="15" hidden="1" customHeight="1"/>
    <row r="266" ht="15" hidden="1" customHeight="1"/>
    <row r="267" ht="15" hidden="1" customHeight="1"/>
    <row r="268" ht="15" hidden="1" customHeight="1"/>
    <row r="269" ht="15" hidden="1" customHeight="1"/>
    <row r="270" ht="15" hidden="1" customHeight="1"/>
    <row r="271" ht="15" hidden="1" customHeight="1"/>
    <row r="272" ht="15" hidden="1" customHeight="1"/>
    <row r="273" ht="15" hidden="1" customHeight="1"/>
    <row r="274" ht="15" hidden="1" customHeight="1"/>
    <row r="275" ht="15" hidden="1" customHeight="1"/>
    <row r="276" ht="15" hidden="1" customHeight="1"/>
    <row r="277" ht="15" hidden="1" customHeight="1"/>
    <row r="278" ht="15" hidden="1" customHeight="1"/>
    <row r="279" ht="15" hidden="1" customHeight="1"/>
    <row r="280" ht="15" hidden="1" customHeight="1"/>
    <row r="281" ht="15" hidden="1" customHeight="1"/>
    <row r="282" ht="15" hidden="1" customHeight="1"/>
    <row r="283" ht="15" hidden="1" customHeight="1"/>
    <row r="284" ht="15" hidden="1" customHeight="1"/>
    <row r="285" ht="15" hidden="1" customHeight="1"/>
    <row r="286" ht="15" hidden="1" customHeight="1"/>
    <row r="287" ht="15" hidden="1" customHeight="1"/>
    <row r="288" ht="15" hidden="1" customHeight="1"/>
    <row r="289" ht="15" hidden="1" customHeight="1"/>
    <row r="290" ht="15" hidden="1" customHeight="1"/>
    <row r="291" ht="15" hidden="1" customHeight="1"/>
    <row r="292" ht="15" hidden="1" customHeight="1"/>
    <row r="293" ht="15" hidden="1" customHeight="1"/>
    <row r="294" ht="15" hidden="1" customHeight="1"/>
    <row r="295" ht="15" hidden="1" customHeight="1"/>
    <row r="296" ht="15" hidden="1" customHeight="1"/>
    <row r="297" ht="15" hidden="1" customHeight="1"/>
    <row r="298" ht="15" hidden="1" customHeight="1"/>
    <row r="299" ht="15" hidden="1" customHeight="1"/>
    <row r="300" ht="15" hidden="1" customHeight="1"/>
    <row r="301" ht="15" hidden="1" customHeight="1"/>
    <row r="302" ht="15" hidden="1" customHeight="1"/>
    <row r="303" ht="15" hidden="1" customHeight="1"/>
    <row r="304" ht="15" hidden="1" customHeight="1"/>
    <row r="305" ht="15" hidden="1" customHeight="1"/>
    <row r="306" ht="15" hidden="1" customHeight="1"/>
    <row r="307" ht="15" hidden="1" customHeight="1"/>
    <row r="308" ht="15" hidden="1" customHeight="1"/>
    <row r="309" ht="15" hidden="1" customHeight="1"/>
    <row r="310" ht="15" hidden="1" customHeight="1"/>
    <row r="311" ht="15" hidden="1" customHeight="1"/>
    <row r="312" ht="15" hidden="1" customHeight="1"/>
    <row r="313" ht="15" hidden="1" customHeight="1"/>
    <row r="314" ht="15" hidden="1" customHeight="1"/>
    <row r="315" ht="15" hidden="1" customHeight="1"/>
    <row r="316" ht="15" hidden="1" customHeight="1"/>
    <row r="317" ht="15" hidden="1" customHeight="1"/>
    <row r="318" ht="15" hidden="1" customHeight="1"/>
    <row r="319" ht="15" hidden="1" customHeight="1"/>
    <row r="320" ht="15" hidden="1" customHeight="1"/>
    <row r="321" ht="15" hidden="1" customHeight="1"/>
    <row r="322" ht="15" hidden="1" customHeight="1"/>
    <row r="323" ht="15" hidden="1" customHeight="1"/>
    <row r="324" ht="15" hidden="1" customHeight="1"/>
    <row r="325" ht="15" hidden="1" customHeight="1"/>
    <row r="326" ht="15" hidden="1" customHeight="1"/>
    <row r="327" ht="15" hidden="1" customHeight="1"/>
    <row r="328" ht="15" hidden="1" customHeight="1"/>
    <row r="329" ht="15" hidden="1" customHeight="1"/>
    <row r="330" ht="15" hidden="1" customHeight="1"/>
    <row r="331" ht="15" hidden="1" customHeight="1"/>
    <row r="332" ht="15" hidden="1" customHeight="1"/>
    <row r="333" ht="15" hidden="1" customHeight="1"/>
    <row r="334" ht="15" hidden="1" customHeight="1"/>
    <row r="335" ht="15" hidden="1" customHeight="1"/>
    <row r="336" ht="15" hidden="1" customHeight="1"/>
    <row r="337" ht="15" hidden="1" customHeight="1"/>
    <row r="338" ht="15" hidden="1" customHeight="1"/>
    <row r="339" ht="15" hidden="1" customHeight="1"/>
    <row r="340" ht="15" hidden="1" customHeight="1"/>
    <row r="341" ht="15" hidden="1" customHeight="1"/>
    <row r="342" ht="15" hidden="1" customHeight="1"/>
    <row r="343" ht="15" hidden="1" customHeight="1"/>
    <row r="344" ht="15" hidden="1" customHeight="1"/>
    <row r="345" ht="15" hidden="1" customHeight="1"/>
    <row r="346" ht="15" hidden="1" customHeight="1"/>
    <row r="347" ht="15" hidden="1" customHeight="1"/>
    <row r="348" ht="15" hidden="1" customHeight="1"/>
    <row r="349" ht="15" hidden="1" customHeight="1"/>
    <row r="350" ht="15" hidden="1" customHeight="1"/>
  </sheetData>
  <mergeCells count="43">
    <mergeCell ref="B8:O8"/>
    <mergeCell ref="B29:C29"/>
    <mergeCell ref="B30:C30"/>
    <mergeCell ref="B31:C31"/>
    <mergeCell ref="D31:E31"/>
    <mergeCell ref="B23:C23"/>
    <mergeCell ref="B24:C24"/>
    <mergeCell ref="B25:C25"/>
    <mergeCell ref="B26:C26"/>
    <mergeCell ref="B27:C27"/>
    <mergeCell ref="B28:C28"/>
    <mergeCell ref="B22:C22"/>
    <mergeCell ref="B14:C14"/>
    <mergeCell ref="D14:E14"/>
    <mergeCell ref="B15:C15"/>
    <mergeCell ref="D15:E15"/>
    <mergeCell ref="B20:C20"/>
    <mergeCell ref="B21:C21"/>
    <mergeCell ref="B10:E10"/>
    <mergeCell ref="F10:I10"/>
    <mergeCell ref="B11:C11"/>
    <mergeCell ref="D11:E11"/>
    <mergeCell ref="B13:C13"/>
    <mergeCell ref="D13:E13"/>
    <mergeCell ref="B16:C16"/>
    <mergeCell ref="D16:E16"/>
    <mergeCell ref="B17:C17"/>
    <mergeCell ref="B18:C18"/>
    <mergeCell ref="B19:C19"/>
    <mergeCell ref="L2:M2"/>
    <mergeCell ref="N2:O2"/>
    <mergeCell ref="D3:E3"/>
    <mergeCell ref="F3:G3"/>
    <mergeCell ref="H3:I3"/>
    <mergeCell ref="J3:K3"/>
    <mergeCell ref="L3:M3"/>
    <mergeCell ref="J2:K2"/>
    <mergeCell ref="N3:O3"/>
    <mergeCell ref="B2:B3"/>
    <mergeCell ref="C2:C3"/>
    <mergeCell ref="D2:E2"/>
    <mergeCell ref="F2:G2"/>
    <mergeCell ref="H2:I2"/>
  </mergeCells>
  <hyperlinks>
    <hyperlink ref="F2" location="'City information'!A1" display="Set-up"/>
    <hyperlink ref="G2" location="'City information'!A1" display="'City information'!A1"/>
    <hyperlink ref="F3" location="GPC!A1" display="GPC"/>
    <hyperlink ref="G3" location="GPC!A1" display="GPC!A1"/>
    <hyperlink ref="L3" location="'Conversion factors'!A1" display="Conversion factors"/>
    <hyperlink ref="M3" location="'Conversion factors'!A1" display="'Conversion factors'!A1"/>
    <hyperlink ref="H3" location="'Notation keys'!A1" display="Notation keys"/>
    <hyperlink ref="I3" location="'Notation keys'!A1" display="'Notation keys'!A1"/>
    <hyperlink ref="H2" location="Inventory!A1" display="Inventory"/>
    <hyperlink ref="I2" location="Inventory!A1" display="Inventory!A1"/>
    <hyperlink ref="J2" location="Calculators!A1" display="Calculators"/>
    <hyperlink ref="K2" location="Calculators!A1" display="Calculators!A1"/>
    <hyperlink ref="N2" location="Analysis!A1" display="Analysis"/>
    <hyperlink ref="O2" location="Analysis!A1" display="Analysis!A1"/>
    <hyperlink ref="L2" location="Results!A1" display="Results"/>
    <hyperlink ref="M2" location="Results!A1" display="Results!A1"/>
    <hyperlink ref="D2" location="Home!A1" display="Introduction"/>
    <hyperlink ref="E2" location="Home!A1" display="Home!A1"/>
    <hyperlink ref="D3" location="Home!A1" display="Introduction"/>
    <hyperlink ref="E3" location="Home!A1" display="Home!A1"/>
    <hyperlink ref="N3" location="'Compact of Mayors'!A1" display="Compact of Mayors"/>
    <hyperlink ref="O3" location="'Compact of Mayors'!A1" display="'Compact of Mayors'!A1"/>
  </hyperlinks>
  <pageMargins left="0.25" right="0.25" top="0.75" bottom="0.75" header="0.3" footer="0.3"/>
  <pageSetup paperSize="9" scale="10" orientation="portrait" horizontalDpi="4294967292" verticalDpi="4294967292"/>
  <headerFooter>
    <oddHeader>&amp;CTable 4.1</oddHeader>
  </headerFooter>
  <drawing r:id="rId1"/>
  <extLst>
    <ext xmlns:mx="http://schemas.microsoft.com/office/mac/excel/2008/main" uri="{64002731-A6B0-56B0-2670-7721B7C09600}">
      <mx:PLV Mode="0" OnePage="0" WScale="71"/>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enableFormatConditionsCalculation="0">
    <tabColor theme="4"/>
    <outlinePr summaryBelow="0"/>
    <pageSetUpPr fitToPage="1"/>
  </sheetPr>
  <dimension ref="A1:Y88"/>
  <sheetViews>
    <sheetView showRowColHeaders="0" workbookViewId="0">
      <selection activeCell="F2" sqref="F2:G2"/>
    </sheetView>
  </sheetViews>
  <sheetFormatPr baseColWidth="10" defaultColWidth="0" defaultRowHeight="15" customHeight="1" zeroHeight="1" x14ac:dyDescent="0"/>
  <cols>
    <col min="1" max="1" width="4.83203125" style="31" customWidth="1"/>
    <col min="2" max="2" width="12.83203125" style="32" customWidth="1"/>
    <col min="3" max="8" width="12.83203125" style="33" customWidth="1"/>
    <col min="9" max="11" width="12.83203125" style="34" customWidth="1"/>
    <col min="12" max="15" width="12.83203125" style="31" customWidth="1"/>
    <col min="16" max="16" width="4.83203125" style="15" customWidth="1"/>
    <col min="17" max="20" width="10.83203125" style="31" hidden="1" customWidth="1"/>
    <col min="21" max="25" width="10.83203125" style="26" hidden="1" customWidth="1"/>
    <col min="26" max="45" width="10.83203125" style="31" hidden="1" customWidth="1"/>
    <col min="46" max="16384" width="10.83203125" style="31" hidden="1"/>
  </cols>
  <sheetData>
    <row r="1" spans="1:25" s="498" customFormat="1">
      <c r="P1" s="499"/>
      <c r="Q1" s="499"/>
      <c r="R1" s="499"/>
      <c r="S1" s="500"/>
      <c r="T1" s="500"/>
      <c r="U1" s="500"/>
    </row>
    <row r="2" spans="1:25" s="464" customFormat="1" ht="31" customHeight="1">
      <c r="A2" s="494"/>
      <c r="B2" s="1817" t="s">
        <v>1965</v>
      </c>
      <c r="C2" s="1819">
        <v>400</v>
      </c>
      <c r="D2" s="1847" t="s">
        <v>1555</v>
      </c>
      <c r="E2" s="1848"/>
      <c r="F2" s="1849" t="s">
        <v>1563</v>
      </c>
      <c r="G2" s="1850"/>
      <c r="H2" s="1849" t="s">
        <v>794</v>
      </c>
      <c r="I2" s="1850"/>
      <c r="J2" s="1849" t="s">
        <v>1570</v>
      </c>
      <c r="K2" s="1850"/>
      <c r="L2" s="1849" t="s">
        <v>1564</v>
      </c>
      <c r="M2" s="1850"/>
      <c r="N2" s="1849" t="s">
        <v>1602</v>
      </c>
      <c r="O2" s="1850"/>
      <c r="P2" s="494"/>
    </row>
    <row r="3" spans="1:25" s="464" customFormat="1" ht="31" customHeight="1">
      <c r="A3" s="494"/>
      <c r="B3" s="1818"/>
      <c r="C3" s="1820"/>
      <c r="D3" s="1843" t="s">
        <v>1565</v>
      </c>
      <c r="E3" s="1844"/>
      <c r="F3" s="1843" t="s">
        <v>785</v>
      </c>
      <c r="G3" s="1844"/>
      <c r="H3" s="1843" t="s">
        <v>40</v>
      </c>
      <c r="I3" s="1844"/>
      <c r="J3" s="1843" t="s">
        <v>780</v>
      </c>
      <c r="K3" s="1844"/>
      <c r="L3" s="1847" t="s">
        <v>1585</v>
      </c>
      <c r="M3" s="1848"/>
      <c r="N3" s="1843" t="s">
        <v>1788</v>
      </c>
      <c r="O3" s="1844"/>
      <c r="P3" s="494"/>
    </row>
    <row r="4" spans="1:25" s="494" customFormat="1" ht="15" customHeight="1">
      <c r="B4" s="492"/>
      <c r="C4" s="495"/>
      <c r="D4" s="497"/>
      <c r="E4" s="497"/>
      <c r="F4" s="497"/>
      <c r="G4" s="497"/>
      <c r="H4" s="497"/>
      <c r="I4" s="497"/>
      <c r="J4" s="496"/>
      <c r="K4" s="496"/>
      <c r="L4" s="496"/>
      <c r="M4" s="496"/>
      <c r="N4" s="496"/>
      <c r="O4" s="496"/>
    </row>
    <row r="5" spans="1:25" ht="31" customHeight="1">
      <c r="P5" s="31"/>
    </row>
    <row r="6" spans="1:25" s="29" customFormat="1" ht="30" customHeight="1" thickBot="1">
      <c r="A6" s="1192"/>
      <c r="B6" s="491" t="s">
        <v>2530</v>
      </c>
      <c r="C6" s="466"/>
      <c r="D6" s="466"/>
      <c r="E6" s="466"/>
      <c r="F6" s="466"/>
      <c r="G6" s="466"/>
      <c r="H6" s="466"/>
      <c r="I6" s="467"/>
      <c r="J6" s="467"/>
      <c r="K6" s="467"/>
      <c r="L6" s="468"/>
      <c r="M6" s="468"/>
      <c r="N6" s="468"/>
      <c r="O6" s="468"/>
      <c r="U6" s="234"/>
      <c r="V6" s="234"/>
      <c r="W6" s="234"/>
      <c r="X6" s="234"/>
      <c r="Y6" s="234"/>
    </row>
    <row r="7" spans="1:25" ht="15" customHeight="1" thickTop="1">
      <c r="P7" s="31"/>
    </row>
    <row r="8" spans="1:25" ht="18" customHeight="1">
      <c r="B8" s="1873" t="s">
        <v>2630</v>
      </c>
      <c r="C8" s="1873"/>
      <c r="D8" s="1873"/>
      <c r="E8" s="1873"/>
      <c r="F8" s="1873"/>
      <c r="G8" s="1873"/>
      <c r="H8" s="1873"/>
      <c r="I8" s="1873"/>
      <c r="J8" s="1873"/>
      <c r="K8" s="1873"/>
      <c r="L8" s="1873"/>
      <c r="M8" s="1873"/>
      <c r="N8" s="1873"/>
      <c r="O8" s="1873"/>
      <c r="P8" s="31"/>
    </row>
    <row r="9" spans="1:25" ht="18" customHeight="1">
      <c r="B9" s="1873"/>
      <c r="C9" s="1873"/>
      <c r="D9" s="1873"/>
      <c r="E9" s="1873"/>
      <c r="F9" s="1873"/>
      <c r="G9" s="1873"/>
      <c r="H9" s="1873"/>
      <c r="I9" s="1873"/>
      <c r="J9" s="1873"/>
      <c r="K9" s="1873"/>
      <c r="L9" s="1873"/>
      <c r="M9" s="1873"/>
      <c r="N9" s="1873"/>
      <c r="O9" s="1873"/>
      <c r="P9" s="31"/>
    </row>
    <row r="10" spans="1:25" ht="15" customHeight="1">
      <c r="P10" s="31"/>
    </row>
    <row r="11" spans="1:25" ht="18" customHeight="1">
      <c r="B11" s="465" t="s">
        <v>918</v>
      </c>
      <c r="P11" s="31"/>
    </row>
    <row r="12" spans="1:25" ht="15" customHeight="1">
      <c r="P12" s="31"/>
    </row>
    <row r="13" spans="1:25" ht="15" customHeight="1">
      <c r="B13" s="1930" t="s">
        <v>813</v>
      </c>
      <c r="C13" s="1511"/>
      <c r="D13" s="1881" t="s">
        <v>814</v>
      </c>
      <c r="E13" s="1926" t="s">
        <v>911</v>
      </c>
      <c r="F13" s="1926" t="s">
        <v>912</v>
      </c>
      <c r="G13" s="1926" t="s">
        <v>180</v>
      </c>
      <c r="H13" s="1928" t="s">
        <v>913</v>
      </c>
      <c r="I13" s="215"/>
      <c r="J13" s="215"/>
      <c r="K13" s="215"/>
      <c r="P13" s="31"/>
    </row>
    <row r="14" spans="1:25" ht="16" customHeight="1">
      <c r="B14" s="1931"/>
      <c r="C14" s="1512"/>
      <c r="D14" s="1932"/>
      <c r="E14" s="1927"/>
      <c r="F14" s="1927"/>
      <c r="G14" s="1927"/>
      <c r="H14" s="1929"/>
      <c r="I14" s="215"/>
      <c r="J14" s="215"/>
      <c r="K14" s="215"/>
      <c r="P14" s="31"/>
    </row>
    <row r="15" spans="1:25" s="206" customFormat="1" ht="18" customHeight="1">
      <c r="B15" s="1513" t="s">
        <v>881</v>
      </c>
      <c r="C15" s="1157"/>
      <c r="D15" s="1157"/>
      <c r="E15" s="1157"/>
      <c r="F15" s="1157"/>
      <c r="G15" s="1157"/>
      <c r="H15" s="1158"/>
      <c r="I15" s="215"/>
      <c r="K15" s="215"/>
      <c r="U15" s="219"/>
      <c r="V15" s="219"/>
      <c r="W15" s="219"/>
      <c r="X15" s="219"/>
      <c r="Y15" s="219"/>
    </row>
    <row r="16" spans="1:25" s="206" customFormat="1" ht="18" customHeight="1">
      <c r="B16" s="1521" t="s">
        <v>917</v>
      </c>
      <c r="C16" s="1509"/>
      <c r="D16" s="1520"/>
      <c r="E16" s="1468">
        <v>1</v>
      </c>
      <c r="F16" s="1468">
        <v>1000</v>
      </c>
      <c r="G16" s="1468">
        <v>1000000</v>
      </c>
      <c r="H16" s="1468">
        <v>1000000000</v>
      </c>
      <c r="I16" s="219"/>
      <c r="J16" s="215"/>
      <c r="K16" s="215"/>
      <c r="U16" s="219"/>
      <c r="V16" s="219"/>
      <c r="W16" s="219"/>
      <c r="X16" s="219"/>
      <c r="Y16" s="219"/>
    </row>
    <row r="17" spans="2:25" s="206" customFormat="1" ht="18" customHeight="1">
      <c r="B17" s="1521" t="s">
        <v>916</v>
      </c>
      <c r="C17" s="1509"/>
      <c r="D17" s="1520"/>
      <c r="E17" s="1468">
        <v>1E-3</v>
      </c>
      <c r="F17" s="1468">
        <v>1</v>
      </c>
      <c r="G17" s="1468">
        <v>1000</v>
      </c>
      <c r="H17" s="1468">
        <v>1000000</v>
      </c>
      <c r="I17" s="219"/>
      <c r="J17" s="215"/>
      <c r="K17" s="215"/>
      <c r="U17" s="219"/>
      <c r="V17" s="219"/>
      <c r="W17" s="219"/>
      <c r="X17" s="219"/>
      <c r="Y17" s="219"/>
    </row>
    <row r="18" spans="2:25" s="206" customFormat="1" ht="18" customHeight="1">
      <c r="B18" s="1521" t="s">
        <v>915</v>
      </c>
      <c r="C18" s="1509"/>
      <c r="D18" s="1520"/>
      <c r="E18" s="1468">
        <v>9.9999999999999995E-7</v>
      </c>
      <c r="F18" s="1468">
        <v>1E-3</v>
      </c>
      <c r="G18" s="1468">
        <v>1</v>
      </c>
      <c r="H18" s="1468">
        <v>1000</v>
      </c>
      <c r="I18" s="219"/>
      <c r="J18" s="215"/>
      <c r="K18" s="215"/>
      <c r="U18" s="219"/>
      <c r="V18" s="219"/>
      <c r="W18" s="219"/>
      <c r="X18" s="219"/>
      <c r="Y18" s="219"/>
    </row>
    <row r="19" spans="2:25" s="206" customFormat="1" ht="18" customHeight="1">
      <c r="B19" s="1521" t="s">
        <v>914</v>
      </c>
      <c r="C19" s="1509"/>
      <c r="D19" s="1520"/>
      <c r="E19" s="1468">
        <v>1.0000000000000001E-9</v>
      </c>
      <c r="F19" s="1468">
        <v>9.9999999999999995E-7</v>
      </c>
      <c r="G19" s="1468">
        <v>1E-3</v>
      </c>
      <c r="H19" s="1468">
        <v>1</v>
      </c>
      <c r="I19" s="219"/>
      <c r="J19" s="219"/>
      <c r="K19" s="218"/>
      <c r="U19" s="219"/>
      <c r="V19" s="219"/>
      <c r="W19" s="219"/>
      <c r="X19" s="219"/>
      <c r="Y19" s="219"/>
    </row>
    <row r="20" spans="2:25" ht="31" customHeight="1">
      <c r="B20" s="217"/>
      <c r="C20" s="217"/>
      <c r="D20" s="220"/>
      <c r="E20" s="218"/>
      <c r="F20" s="218"/>
      <c r="G20" s="218"/>
      <c r="H20" s="219"/>
      <c r="I20" s="219"/>
      <c r="J20" s="219"/>
      <c r="K20" s="218"/>
      <c r="P20" s="31"/>
    </row>
    <row r="21" spans="2:25" ht="18" customHeight="1">
      <c r="B21" s="465" t="s">
        <v>883</v>
      </c>
      <c r="P21" s="31"/>
    </row>
    <row r="22" spans="2:25" ht="15" customHeight="1">
      <c r="P22" s="31"/>
    </row>
    <row r="23" spans="2:25" ht="15" customHeight="1">
      <c r="B23" s="1930" t="s">
        <v>813</v>
      </c>
      <c r="C23" s="1511"/>
      <c r="D23" s="1881" t="s">
        <v>814</v>
      </c>
      <c r="E23" s="1926" t="s">
        <v>877</v>
      </c>
      <c r="F23" s="1926" t="s">
        <v>878</v>
      </c>
      <c r="G23" s="1926" t="s">
        <v>879</v>
      </c>
      <c r="H23" s="1926" t="s">
        <v>882</v>
      </c>
      <c r="I23" s="1928" t="s">
        <v>880</v>
      </c>
      <c r="P23" s="31"/>
    </row>
    <row r="24" spans="2:25" ht="16" customHeight="1">
      <c r="B24" s="1931"/>
      <c r="C24" s="1512"/>
      <c r="D24" s="1932"/>
      <c r="E24" s="1927"/>
      <c r="F24" s="1927"/>
      <c r="G24" s="1927"/>
      <c r="H24" s="1927"/>
      <c r="I24" s="1929"/>
      <c r="P24" s="31"/>
    </row>
    <row r="25" spans="2:25" s="206" customFormat="1" ht="18" customHeight="1">
      <c r="B25" s="1513" t="s">
        <v>881</v>
      </c>
      <c r="C25" s="1157"/>
      <c r="D25" s="1157"/>
      <c r="E25" s="1157"/>
      <c r="F25" s="1157"/>
      <c r="G25" s="1157"/>
      <c r="H25" s="1157"/>
      <c r="I25" s="1514"/>
      <c r="J25" s="1515"/>
      <c r="K25" s="1517"/>
      <c r="U25" s="219"/>
      <c r="V25" s="219"/>
      <c r="W25" s="219"/>
      <c r="X25" s="219"/>
      <c r="Y25" s="219"/>
    </row>
    <row r="26" spans="2:25" s="206" customFormat="1" ht="18" customHeight="1">
      <c r="B26" s="1521" t="s">
        <v>2535</v>
      </c>
      <c r="C26" s="1509"/>
      <c r="D26" s="1520"/>
      <c r="E26" s="1468">
        <v>1</v>
      </c>
      <c r="F26" s="1468">
        <v>238.8</v>
      </c>
      <c r="G26" s="1468">
        <v>2.3879999999999998E-5</v>
      </c>
      <c r="H26" s="1468">
        <v>947.8</v>
      </c>
      <c r="I26" s="1468">
        <v>0.27777777770000001</v>
      </c>
      <c r="J26" s="1370"/>
      <c r="K26" s="1370"/>
      <c r="U26" s="219"/>
      <c r="V26" s="219"/>
      <c r="W26" s="219"/>
      <c r="X26" s="219"/>
      <c r="Y26" s="219"/>
    </row>
    <row r="27" spans="2:25" s="206" customFormat="1" ht="18" customHeight="1">
      <c r="B27" s="1521" t="s">
        <v>895</v>
      </c>
      <c r="C27" s="1509"/>
      <c r="D27" s="1520"/>
      <c r="E27" s="1468">
        <v>4.1868000000000001E-3</v>
      </c>
      <c r="F27" s="1468">
        <v>1</v>
      </c>
      <c r="G27" s="1468">
        <v>9.9999999999999995E-8</v>
      </c>
      <c r="H27" s="1468">
        <v>3.968</v>
      </c>
      <c r="I27" s="1468">
        <v>1.163E-3</v>
      </c>
      <c r="J27" s="1370"/>
      <c r="K27" s="1370"/>
      <c r="U27" s="219"/>
      <c r="V27" s="219"/>
      <c r="W27" s="219"/>
      <c r="X27" s="219"/>
      <c r="Y27" s="219"/>
    </row>
    <row r="28" spans="2:25" s="206" customFormat="1" ht="18" customHeight="1">
      <c r="B28" s="1521" t="s">
        <v>879</v>
      </c>
      <c r="C28" s="1509"/>
      <c r="D28" s="1520"/>
      <c r="E28" s="1468">
        <v>41868</v>
      </c>
      <c r="F28" s="1468">
        <v>10000000</v>
      </c>
      <c r="G28" s="1468">
        <v>1</v>
      </c>
      <c r="H28" s="1468">
        <v>39680000</v>
      </c>
      <c r="I28" s="1468">
        <v>11630</v>
      </c>
      <c r="J28" s="1370"/>
      <c r="K28" s="1370"/>
      <c r="U28" s="219"/>
      <c r="V28" s="219"/>
      <c r="W28" s="219"/>
      <c r="X28" s="219"/>
      <c r="Y28" s="219"/>
    </row>
    <row r="29" spans="2:25" s="206" customFormat="1" ht="18" customHeight="1">
      <c r="B29" s="1521" t="s">
        <v>882</v>
      </c>
      <c r="C29" s="1509"/>
      <c r="D29" s="1520"/>
      <c r="E29" s="1468">
        <v>1.0551E-3</v>
      </c>
      <c r="F29" s="1468">
        <v>0.252</v>
      </c>
      <c r="G29" s="1468">
        <v>2.5200000000000001E-8</v>
      </c>
      <c r="H29" s="1468">
        <v>1</v>
      </c>
      <c r="I29" s="1468">
        <v>2.9310000000000002E-4</v>
      </c>
      <c r="J29" s="1370"/>
      <c r="K29" s="1370"/>
      <c r="U29" s="219"/>
      <c r="V29" s="219"/>
      <c r="W29" s="219"/>
      <c r="X29" s="219"/>
      <c r="Y29" s="219"/>
    </row>
    <row r="30" spans="2:25" s="206" customFormat="1" ht="18" customHeight="1">
      <c r="B30" s="1521" t="s">
        <v>894</v>
      </c>
      <c r="C30" s="1509"/>
      <c r="D30" s="1520"/>
      <c r="E30" s="1468">
        <v>3.6</v>
      </c>
      <c r="F30" s="1468">
        <v>860</v>
      </c>
      <c r="G30" s="1468">
        <v>8.6000000000000003E-5</v>
      </c>
      <c r="H30" s="1468">
        <v>3412</v>
      </c>
      <c r="I30" s="1468">
        <v>1</v>
      </c>
      <c r="J30" s="1370"/>
      <c r="K30" s="1370"/>
      <c r="U30" s="219"/>
      <c r="V30" s="219"/>
      <c r="W30" s="219"/>
      <c r="X30" s="219"/>
      <c r="Y30" s="219"/>
    </row>
    <row r="31" spans="2:25" ht="31" customHeight="1">
      <c r="P31" s="31"/>
    </row>
    <row r="32" spans="2:25" ht="18" customHeight="1">
      <c r="B32" s="465" t="s">
        <v>884</v>
      </c>
      <c r="P32" s="31"/>
    </row>
    <row r="33" spans="2:25" ht="15" customHeight="1">
      <c r="P33" s="31"/>
    </row>
    <row r="34" spans="2:25" ht="15" customHeight="1">
      <c r="B34" s="1930" t="s">
        <v>813</v>
      </c>
      <c r="C34" s="1511"/>
      <c r="D34" s="1881" t="s">
        <v>814</v>
      </c>
      <c r="E34" s="1926" t="s">
        <v>983</v>
      </c>
      <c r="F34" s="1926" t="s">
        <v>784</v>
      </c>
      <c r="G34" s="1926" t="s">
        <v>890</v>
      </c>
      <c r="H34" s="1926" t="s">
        <v>891</v>
      </c>
      <c r="I34" s="1926" t="s">
        <v>892</v>
      </c>
      <c r="J34" s="1928" t="s">
        <v>893</v>
      </c>
      <c r="P34" s="31"/>
    </row>
    <row r="35" spans="2:25" ht="16" customHeight="1">
      <c r="B35" s="1931"/>
      <c r="C35" s="1512"/>
      <c r="D35" s="1932"/>
      <c r="E35" s="1927"/>
      <c r="F35" s="1927"/>
      <c r="G35" s="1927"/>
      <c r="H35" s="1927"/>
      <c r="I35" s="1927"/>
      <c r="J35" s="1929"/>
      <c r="P35" s="31"/>
    </row>
    <row r="36" spans="2:25" s="34" customFormat="1" ht="18" customHeight="1">
      <c r="B36" s="1513" t="s">
        <v>881</v>
      </c>
      <c r="C36" s="1157"/>
      <c r="D36" s="1157"/>
      <c r="E36" s="1157"/>
      <c r="F36" s="1157"/>
      <c r="G36" s="1157"/>
      <c r="H36" s="1157"/>
      <c r="I36" s="1157"/>
      <c r="J36" s="1158"/>
      <c r="U36" s="174"/>
      <c r="V36" s="174"/>
      <c r="W36" s="174"/>
      <c r="X36" s="174"/>
      <c r="Y36" s="174"/>
    </row>
    <row r="37" spans="2:25" s="34" customFormat="1" ht="18" customHeight="1">
      <c r="B37" s="1521" t="s">
        <v>984</v>
      </c>
      <c r="C37" s="1509"/>
      <c r="D37" s="1520" t="s">
        <v>983</v>
      </c>
      <c r="E37" s="1468">
        <f t="shared" ref="E37:E42" si="0">F37*1000</f>
        <v>1</v>
      </c>
      <c r="F37" s="1468">
        <f>F38/1000</f>
        <v>1E-3</v>
      </c>
      <c r="G37" s="1468">
        <f>G38/1000</f>
        <v>9.9999999999999995E-7</v>
      </c>
      <c r="H37" s="1468">
        <f>H38/1000</f>
        <v>9.8400000000000002E-7</v>
      </c>
      <c r="I37" s="1468">
        <f>I38/1000</f>
        <v>1.102E-6</v>
      </c>
      <c r="J37" s="1468">
        <f>J38/1000</f>
        <v>2.2046000000000001E-3</v>
      </c>
      <c r="U37" s="174"/>
      <c r="V37" s="174"/>
      <c r="W37" s="174"/>
      <c r="X37" s="174"/>
      <c r="Y37" s="174"/>
    </row>
    <row r="38" spans="2:25" s="34" customFormat="1" ht="18" customHeight="1">
      <c r="B38" s="1521" t="s">
        <v>886</v>
      </c>
      <c r="C38" s="1509"/>
      <c r="D38" s="1520" t="s">
        <v>784</v>
      </c>
      <c r="E38" s="1468">
        <f t="shared" si="0"/>
        <v>1000</v>
      </c>
      <c r="F38" s="1468">
        <v>1</v>
      </c>
      <c r="G38" s="1468">
        <v>1E-3</v>
      </c>
      <c r="H38" s="1468">
        <v>9.8400000000000007E-4</v>
      </c>
      <c r="I38" s="1468">
        <v>1.1019999999999999E-3</v>
      </c>
      <c r="J38" s="1468">
        <v>2.2046000000000001</v>
      </c>
      <c r="U38" s="174"/>
      <c r="V38" s="174"/>
      <c r="W38" s="174"/>
      <c r="X38" s="174"/>
      <c r="Y38" s="174"/>
    </row>
    <row r="39" spans="2:25" s="34" customFormat="1" ht="18" customHeight="1">
      <c r="B39" s="1521" t="s">
        <v>896</v>
      </c>
      <c r="C39" s="1509"/>
      <c r="D39" s="1520" t="s">
        <v>890</v>
      </c>
      <c r="E39" s="1468">
        <f t="shared" si="0"/>
        <v>1000000</v>
      </c>
      <c r="F39" s="1468">
        <v>1000</v>
      </c>
      <c r="G39" s="1468">
        <v>1</v>
      </c>
      <c r="H39" s="1468">
        <v>0.98399999999999999</v>
      </c>
      <c r="I39" s="1468">
        <v>1.1023000000000001</v>
      </c>
      <c r="J39" s="1468">
        <v>2204.6</v>
      </c>
      <c r="P39" s="16"/>
      <c r="U39" s="174"/>
      <c r="V39" s="174"/>
      <c r="W39" s="174"/>
      <c r="X39" s="174"/>
      <c r="Y39" s="174"/>
    </row>
    <row r="40" spans="2:25" s="34" customFormat="1" ht="18" customHeight="1">
      <c r="B40" s="1521" t="s">
        <v>887</v>
      </c>
      <c r="C40" s="1509"/>
      <c r="D40" s="1520" t="s">
        <v>891</v>
      </c>
      <c r="E40" s="1468">
        <f t="shared" si="0"/>
        <v>1016000</v>
      </c>
      <c r="F40" s="1468">
        <v>1016</v>
      </c>
      <c r="G40" s="1468">
        <v>1.016</v>
      </c>
      <c r="H40" s="1468">
        <v>1</v>
      </c>
      <c r="I40" s="1468">
        <v>1.1200000000000001</v>
      </c>
      <c r="J40" s="1468">
        <v>2240</v>
      </c>
      <c r="P40" s="16"/>
      <c r="U40" s="174"/>
      <c r="V40" s="174"/>
      <c r="W40" s="174"/>
      <c r="X40" s="174"/>
      <c r="Y40" s="174"/>
    </row>
    <row r="41" spans="2:25" s="34" customFormat="1" ht="18" customHeight="1">
      <c r="B41" s="1521" t="s">
        <v>888</v>
      </c>
      <c r="C41" s="1509"/>
      <c r="D41" s="1520" t="s">
        <v>892</v>
      </c>
      <c r="E41" s="1468">
        <f t="shared" si="0"/>
        <v>907200</v>
      </c>
      <c r="F41" s="1468">
        <v>907.2</v>
      </c>
      <c r="G41" s="1468">
        <v>0.90720000000000001</v>
      </c>
      <c r="H41" s="1468">
        <v>0.89300000000000002</v>
      </c>
      <c r="I41" s="1468">
        <v>1</v>
      </c>
      <c r="J41" s="1468">
        <v>2000</v>
      </c>
      <c r="P41" s="16"/>
      <c r="U41" s="174"/>
      <c r="V41" s="174"/>
      <c r="W41" s="174"/>
      <c r="X41" s="174"/>
      <c r="Y41" s="174"/>
    </row>
    <row r="42" spans="2:25" s="34" customFormat="1" ht="18" customHeight="1">
      <c r="B42" s="1521" t="s">
        <v>889</v>
      </c>
      <c r="C42" s="1509"/>
      <c r="D42" s="1520" t="s">
        <v>893</v>
      </c>
      <c r="E42" s="1468">
        <f t="shared" si="0"/>
        <v>453.59702440351992</v>
      </c>
      <c r="F42" s="1468">
        <f>1/J38</f>
        <v>0.4535970244035199</v>
      </c>
      <c r="G42" s="1468">
        <f>1/J39</f>
        <v>4.5359702440351992E-4</v>
      </c>
      <c r="H42" s="1468">
        <f>1/J40</f>
        <v>4.4642857142857141E-4</v>
      </c>
      <c r="I42" s="1468">
        <f>1/J41</f>
        <v>5.0000000000000001E-4</v>
      </c>
      <c r="J42" s="1468">
        <v>1</v>
      </c>
      <c r="P42" s="16"/>
      <c r="U42" s="174"/>
      <c r="V42" s="174"/>
      <c r="W42" s="174"/>
      <c r="X42" s="174"/>
      <c r="Y42" s="174"/>
    </row>
    <row r="43" spans="2:25" ht="31" customHeight="1"/>
    <row r="44" spans="2:25" ht="18" customHeight="1">
      <c r="B44" s="465" t="s">
        <v>885</v>
      </c>
    </row>
    <row r="45" spans="2:25" ht="15" customHeight="1"/>
    <row r="46" spans="2:25" ht="15" customHeight="1">
      <c r="B46" s="1930" t="s">
        <v>813</v>
      </c>
      <c r="C46" s="1511"/>
      <c r="D46" s="1881" t="s">
        <v>814</v>
      </c>
      <c r="E46" s="1926" t="s">
        <v>903</v>
      </c>
      <c r="F46" s="1926" t="s">
        <v>904</v>
      </c>
      <c r="G46" s="1926" t="s">
        <v>905</v>
      </c>
      <c r="H46" s="1926" t="s">
        <v>906</v>
      </c>
      <c r="I46" s="1926" t="s">
        <v>907</v>
      </c>
      <c r="J46" s="1928" t="s">
        <v>908</v>
      </c>
    </row>
    <row r="47" spans="2:25" ht="16" customHeight="1">
      <c r="B47" s="1931"/>
      <c r="C47" s="1512"/>
      <c r="D47" s="1932"/>
      <c r="E47" s="1927"/>
      <c r="F47" s="1927"/>
      <c r="G47" s="1927"/>
      <c r="H47" s="1927"/>
      <c r="I47" s="1927"/>
      <c r="J47" s="1929"/>
    </row>
    <row r="48" spans="2:25" s="206" customFormat="1" ht="18" customHeight="1">
      <c r="B48" s="1513" t="s">
        <v>881</v>
      </c>
      <c r="C48" s="1157"/>
      <c r="D48" s="1157"/>
      <c r="E48" s="1157"/>
      <c r="F48" s="1157"/>
      <c r="G48" s="1157"/>
      <c r="H48" s="1157"/>
      <c r="I48" s="1157"/>
      <c r="J48" s="1158"/>
      <c r="K48" s="1370"/>
      <c r="P48" s="205"/>
      <c r="U48" s="219"/>
      <c r="V48" s="219"/>
      <c r="W48" s="219"/>
      <c r="X48" s="219"/>
      <c r="Y48" s="219"/>
    </row>
    <row r="49" spans="2:25" s="206" customFormat="1" ht="18" customHeight="1">
      <c r="B49" s="1521" t="s">
        <v>897</v>
      </c>
      <c r="C49" s="1509"/>
      <c r="D49" s="1510"/>
      <c r="E49" s="1468">
        <v>1</v>
      </c>
      <c r="F49" s="1468">
        <v>1E-3</v>
      </c>
      <c r="G49" s="1468">
        <v>3.5299999999999998E-2</v>
      </c>
      <c r="H49" s="1468">
        <v>6.3E-3</v>
      </c>
      <c r="I49" s="1468">
        <v>0.22</v>
      </c>
      <c r="J49" s="1468">
        <f>1/E54</f>
        <v>0.26420079260237778</v>
      </c>
      <c r="K49" s="1370"/>
      <c r="P49" s="205"/>
      <c r="U49" s="219"/>
      <c r="V49" s="219"/>
      <c r="W49" s="219"/>
      <c r="X49" s="219"/>
      <c r="Y49" s="219"/>
    </row>
    <row r="50" spans="2:25" s="206" customFormat="1" ht="18" customHeight="1">
      <c r="B50" s="1521" t="s">
        <v>898</v>
      </c>
      <c r="C50" s="1509"/>
      <c r="D50" s="1510"/>
      <c r="E50" s="1468">
        <f>E49*1000</f>
        <v>1000</v>
      </c>
      <c r="F50" s="1468">
        <v>1</v>
      </c>
      <c r="G50" s="1468">
        <f>G49*1000</f>
        <v>35.299999999999997</v>
      </c>
      <c r="H50" s="1468">
        <f>H49*1000</f>
        <v>6.3</v>
      </c>
      <c r="I50" s="1468">
        <f>I49*1000</f>
        <v>220</v>
      </c>
      <c r="J50" s="1468">
        <f>J49*1000</f>
        <v>264.20079260237776</v>
      </c>
      <c r="K50" s="1370"/>
      <c r="P50" s="205"/>
      <c r="U50" s="219"/>
      <c r="V50" s="219"/>
      <c r="W50" s="219"/>
      <c r="X50" s="219"/>
      <c r="Y50" s="219"/>
    </row>
    <row r="51" spans="2:25" s="206" customFormat="1" ht="18" customHeight="1">
      <c r="B51" s="1521" t="s">
        <v>899</v>
      </c>
      <c r="C51" s="1509"/>
      <c r="D51" s="1510"/>
      <c r="E51" s="1468" t="s">
        <v>909</v>
      </c>
      <c r="F51" s="1468">
        <v>2.8299999999999999E-2</v>
      </c>
      <c r="G51" s="1468">
        <v>1</v>
      </c>
      <c r="H51" s="1468">
        <v>0.17810000000000001</v>
      </c>
      <c r="I51" s="1468">
        <v>6.2290000000000001</v>
      </c>
      <c r="J51" s="1468" t="s">
        <v>910</v>
      </c>
      <c r="K51" s="1370"/>
      <c r="P51" s="205"/>
      <c r="U51" s="219"/>
      <c r="V51" s="219"/>
      <c r="W51" s="219"/>
      <c r="X51" s="219"/>
      <c r="Y51" s="219"/>
    </row>
    <row r="52" spans="2:25" s="206" customFormat="1" ht="18" customHeight="1">
      <c r="B52" s="1521" t="s">
        <v>900</v>
      </c>
      <c r="C52" s="1509"/>
      <c r="D52" s="1510"/>
      <c r="E52" s="1468">
        <v>159</v>
      </c>
      <c r="F52" s="1468">
        <v>0.159</v>
      </c>
      <c r="G52" s="1468">
        <v>5.6150000000000002</v>
      </c>
      <c r="H52" s="1468">
        <v>1</v>
      </c>
      <c r="I52" s="1468">
        <v>34.97</v>
      </c>
      <c r="J52" s="1468">
        <v>42</v>
      </c>
      <c r="K52" s="1370"/>
      <c r="P52" s="205"/>
      <c r="U52" s="219"/>
      <c r="V52" s="219"/>
      <c r="W52" s="219"/>
      <c r="X52" s="219"/>
      <c r="Y52" s="219"/>
    </row>
    <row r="53" spans="2:25" s="206" customFormat="1" ht="18" customHeight="1">
      <c r="B53" s="1521" t="s">
        <v>901</v>
      </c>
      <c r="C53" s="1509"/>
      <c r="D53" s="1510"/>
      <c r="E53" s="1468">
        <v>4.5460000000000003</v>
      </c>
      <c r="F53" s="1468">
        <v>4.4999999999999997E-3</v>
      </c>
      <c r="G53" s="1468">
        <v>0.1605</v>
      </c>
      <c r="H53" s="1468">
        <v>2.8590000000000001E-2</v>
      </c>
      <c r="I53" s="1468">
        <v>1</v>
      </c>
      <c r="J53" s="1468">
        <v>1.2010000000000001</v>
      </c>
      <c r="K53" s="1370"/>
      <c r="P53" s="205"/>
      <c r="U53" s="219"/>
      <c r="V53" s="219"/>
      <c r="W53" s="219"/>
      <c r="X53" s="219"/>
      <c r="Y53" s="219"/>
    </row>
    <row r="54" spans="2:25" s="206" customFormat="1" ht="18" customHeight="1">
      <c r="B54" s="1521" t="s">
        <v>902</v>
      </c>
      <c r="C54" s="1509"/>
      <c r="D54" s="1510"/>
      <c r="E54" s="1468">
        <v>3.7850000000000001</v>
      </c>
      <c r="F54" s="1468">
        <v>3.8E-3</v>
      </c>
      <c r="G54" s="1468">
        <v>0.13370000000000001</v>
      </c>
      <c r="H54" s="1468">
        <v>2.3810000000000001E-2</v>
      </c>
      <c r="I54" s="1468">
        <v>0.8327</v>
      </c>
      <c r="J54" s="1468">
        <v>1</v>
      </c>
      <c r="K54" s="1370"/>
      <c r="P54" s="205"/>
      <c r="U54" s="219"/>
      <c r="V54" s="219"/>
      <c r="W54" s="219"/>
      <c r="X54" s="219"/>
      <c r="Y54" s="219"/>
    </row>
    <row r="55" spans="2:25" ht="31" customHeight="1"/>
    <row r="56" spans="2:25" ht="18" customHeight="1">
      <c r="B56" s="465" t="s">
        <v>2532</v>
      </c>
    </row>
    <row r="57" spans="2:25" ht="15" customHeight="1"/>
    <row r="58" spans="2:25" ht="15" customHeight="1">
      <c r="B58" s="1930" t="s">
        <v>813</v>
      </c>
      <c r="C58" s="1511"/>
      <c r="D58" s="1881" t="s">
        <v>814</v>
      </c>
      <c r="E58" s="1926" t="s">
        <v>2534</v>
      </c>
      <c r="F58" s="1926" t="s">
        <v>2626</v>
      </c>
      <c r="G58" s="1926" t="s">
        <v>2038</v>
      </c>
      <c r="H58" s="1926" t="s">
        <v>2622</v>
      </c>
      <c r="I58" s="1926" t="s">
        <v>2623</v>
      </c>
      <c r="J58" s="1928" t="s">
        <v>2627</v>
      </c>
    </row>
    <row r="59" spans="2:25" ht="16" customHeight="1">
      <c r="B59" s="1931"/>
      <c r="C59" s="1512"/>
      <c r="D59" s="1932"/>
      <c r="E59" s="1927"/>
      <c r="F59" s="1927"/>
      <c r="G59" s="1927"/>
      <c r="H59" s="1927"/>
      <c r="I59" s="1927"/>
      <c r="J59" s="1929"/>
    </row>
    <row r="60" spans="2:25" s="206" customFormat="1" ht="18" customHeight="1">
      <c r="B60" s="1513" t="s">
        <v>881</v>
      </c>
      <c r="C60" s="1157"/>
      <c r="D60" s="1157"/>
      <c r="E60" s="1157"/>
      <c r="F60" s="1157"/>
      <c r="G60" s="1157"/>
      <c r="H60" s="1157"/>
      <c r="I60" s="1157"/>
      <c r="J60" s="1158"/>
      <c r="K60" s="1370"/>
      <c r="P60" s="205"/>
      <c r="U60" s="219"/>
      <c r="V60" s="219"/>
      <c r="W60" s="219"/>
      <c r="X60" s="219"/>
      <c r="Y60" s="219"/>
    </row>
    <row r="61" spans="2:25" s="206" customFormat="1" ht="18" customHeight="1">
      <c r="B61" s="1521" t="s">
        <v>2534</v>
      </c>
      <c r="C61" s="1509"/>
      <c r="D61" s="1510"/>
      <c r="E61" s="1468">
        <v>1</v>
      </c>
      <c r="F61" s="1507">
        <v>1.6093440000000001</v>
      </c>
      <c r="G61" s="1468">
        <f>F61*1000</f>
        <v>1609.3440000000001</v>
      </c>
      <c r="H61" s="1468">
        <v>5280</v>
      </c>
      <c r="I61" s="1468">
        <v>63360</v>
      </c>
      <c r="J61" s="1468">
        <f>G61*100</f>
        <v>160934.39999999999</v>
      </c>
      <c r="K61" s="1370"/>
      <c r="P61" s="205"/>
      <c r="U61" s="219"/>
      <c r="V61" s="219"/>
      <c r="W61" s="219"/>
      <c r="X61" s="219"/>
      <c r="Y61" s="219"/>
    </row>
    <row r="62" spans="2:25" s="206" customFormat="1" ht="18" customHeight="1">
      <c r="B62" s="1521" t="s">
        <v>2628</v>
      </c>
      <c r="C62" s="1509"/>
      <c r="D62" s="1510"/>
      <c r="E62" s="1507">
        <f>1/F61</f>
        <v>0.62137119223733395</v>
      </c>
      <c r="F62" s="1468">
        <v>1</v>
      </c>
      <c r="G62" s="1468">
        <v>1000</v>
      </c>
      <c r="H62" s="1507">
        <v>3280.8398950000001</v>
      </c>
      <c r="I62" s="1507">
        <v>39370.078739999997</v>
      </c>
      <c r="J62" s="1468">
        <f>G62*100</f>
        <v>100000</v>
      </c>
      <c r="K62" s="1370"/>
      <c r="P62" s="205"/>
      <c r="U62" s="219"/>
      <c r="V62" s="219"/>
      <c r="W62" s="219"/>
      <c r="X62" s="219"/>
      <c r="Y62" s="219"/>
    </row>
    <row r="63" spans="2:25" s="206" customFormat="1" ht="18" customHeight="1">
      <c r="B63" s="1521" t="s">
        <v>2625</v>
      </c>
      <c r="C63" s="1509"/>
      <c r="D63" s="1510"/>
      <c r="E63" s="1468">
        <f>1/G61</f>
        <v>6.2137119223733392E-4</v>
      </c>
      <c r="F63" s="1468">
        <f>F62/1000</f>
        <v>1E-3</v>
      </c>
      <c r="G63" s="1468">
        <v>1</v>
      </c>
      <c r="H63" s="1507">
        <v>3.2808398950000002</v>
      </c>
      <c r="I63" s="1507">
        <v>39.370078739999997</v>
      </c>
      <c r="J63" s="1468">
        <f>G63*100</f>
        <v>100</v>
      </c>
      <c r="K63" s="1370"/>
      <c r="P63" s="205"/>
      <c r="U63" s="219"/>
      <c r="V63" s="219"/>
      <c r="W63" s="219"/>
      <c r="X63" s="219"/>
      <c r="Y63" s="219"/>
    </row>
    <row r="64" spans="2:25" s="206" customFormat="1" ht="18" customHeight="1">
      <c r="B64" s="1521" t="s">
        <v>2624</v>
      </c>
      <c r="C64" s="1509"/>
      <c r="D64" s="1510"/>
      <c r="E64" s="1751">
        <f>1/H61</f>
        <v>1.8939393939393939E-4</v>
      </c>
      <c r="F64" s="1751">
        <f>1/H62</f>
        <v>3.0480000000121917E-4</v>
      </c>
      <c r="G64" s="1507">
        <f>1/H63</f>
        <v>0.30480000000121921</v>
      </c>
      <c r="H64" s="1468">
        <v>1</v>
      </c>
      <c r="I64" s="1468">
        <v>12</v>
      </c>
      <c r="J64" s="1468">
        <f>G64*100</f>
        <v>30.480000000121919</v>
      </c>
      <c r="K64" s="1370"/>
      <c r="P64" s="205"/>
      <c r="U64" s="219"/>
      <c r="V64" s="219"/>
      <c r="W64" s="219"/>
      <c r="X64" s="219"/>
      <c r="Y64" s="219"/>
    </row>
    <row r="65" spans="2:25" s="206" customFormat="1" ht="18" customHeight="1">
      <c r="B65" s="1521" t="s">
        <v>2623</v>
      </c>
      <c r="C65" s="1509"/>
      <c r="D65" s="1510"/>
      <c r="E65" s="1752">
        <f>1/I61</f>
        <v>1.5782828282828283E-5</v>
      </c>
      <c r="F65" s="1468">
        <f>1/I62</f>
        <v>2.5400000000101601E-5</v>
      </c>
      <c r="G65" s="1468">
        <f>1/I63</f>
        <v>2.5400000000101602E-2</v>
      </c>
      <c r="H65" s="1507">
        <f>1/I64</f>
        <v>8.3333333333333329E-2</v>
      </c>
      <c r="I65" s="1468">
        <v>1</v>
      </c>
      <c r="J65" s="1468">
        <f>G65*100</f>
        <v>2.5400000000101604</v>
      </c>
      <c r="K65" s="1370"/>
      <c r="P65" s="205"/>
      <c r="U65" s="219"/>
      <c r="V65" s="219"/>
      <c r="W65" s="219"/>
      <c r="X65" s="219"/>
      <c r="Y65" s="219"/>
    </row>
    <row r="66" spans="2:25" s="206" customFormat="1" ht="18" customHeight="1">
      <c r="B66" s="1521" t="s">
        <v>2621</v>
      </c>
      <c r="C66" s="1509"/>
      <c r="D66" s="1510"/>
      <c r="E66" s="1752">
        <f>1/J61</f>
        <v>6.2137119223733401E-6</v>
      </c>
      <c r="F66" s="1468">
        <f>1/J62</f>
        <v>1.0000000000000001E-5</v>
      </c>
      <c r="G66" s="1468">
        <f>1/J63</f>
        <v>0.01</v>
      </c>
      <c r="H66" s="1750">
        <f>1/J64</f>
        <v>3.2808398949999998E-2</v>
      </c>
      <c r="I66" s="1507">
        <f>1/J65</f>
        <v>0.39370078739999992</v>
      </c>
      <c r="J66" s="1468">
        <v>1</v>
      </c>
      <c r="K66" s="1370"/>
      <c r="P66" s="205"/>
      <c r="U66" s="219"/>
      <c r="V66" s="219"/>
      <c r="W66" s="219"/>
      <c r="X66" s="219"/>
      <c r="Y66" s="219"/>
    </row>
    <row r="67" spans="2:25" ht="15" customHeight="1"/>
    <row r="68" spans="2:25" s="29" customFormat="1" ht="18" customHeight="1">
      <c r="B68" s="230" t="s">
        <v>2629</v>
      </c>
      <c r="C68" s="230"/>
      <c r="D68" s="230"/>
      <c r="E68" s="230"/>
      <c r="F68" s="230"/>
      <c r="G68" s="230"/>
      <c r="H68" s="230"/>
      <c r="I68" s="30"/>
      <c r="J68" s="30"/>
      <c r="K68" s="30"/>
      <c r="U68" s="234"/>
      <c r="V68" s="234"/>
      <c r="W68" s="234"/>
      <c r="X68" s="234"/>
      <c r="Y68" s="234"/>
    </row>
    <row r="69" spans="2:25" ht="15" customHeight="1"/>
    <row r="70" spans="2:25" s="29" customFormat="1" ht="17" customHeight="1">
      <c r="B70" s="230" t="s">
        <v>812</v>
      </c>
      <c r="C70" s="230"/>
      <c r="D70" s="230"/>
      <c r="E70" s="230"/>
      <c r="F70" s="230"/>
      <c r="G70" s="230"/>
      <c r="H70" s="230"/>
      <c r="I70" s="30"/>
      <c r="J70" s="30"/>
      <c r="K70" s="30"/>
      <c r="U70" s="234"/>
      <c r="V70" s="234"/>
      <c r="W70" s="234"/>
      <c r="X70" s="234"/>
      <c r="Y70" s="234"/>
    </row>
    <row r="71" spans="2:25" ht="15" customHeight="1"/>
    <row r="72" spans="2:25" ht="18" customHeight="1">
      <c r="B72" s="465" t="s">
        <v>2533</v>
      </c>
    </row>
    <row r="73" spans="2:25" ht="15" customHeight="1"/>
    <row r="74" spans="2:25" ht="15" customHeight="1">
      <c r="B74" s="1930" t="s">
        <v>813</v>
      </c>
      <c r="C74" s="1511"/>
      <c r="D74" s="1881" t="s">
        <v>814</v>
      </c>
      <c r="E74" s="1926"/>
      <c r="F74" s="1926"/>
      <c r="G74" s="1926"/>
      <c r="H74" s="1926"/>
      <c r="I74" s="1926"/>
      <c r="J74" s="1926"/>
      <c r="K74" s="1926"/>
      <c r="L74" s="1926"/>
      <c r="M74" s="1926"/>
      <c r="N74" s="1926"/>
      <c r="O74" s="1928"/>
    </row>
    <row r="75" spans="2:25" ht="15" customHeight="1">
      <c r="B75" s="1931"/>
      <c r="C75" s="1512"/>
      <c r="D75" s="1932"/>
      <c r="E75" s="1927"/>
      <c r="F75" s="1927"/>
      <c r="G75" s="1927"/>
      <c r="H75" s="1927"/>
      <c r="I75" s="1927"/>
      <c r="J75" s="1927"/>
      <c r="K75" s="1927"/>
      <c r="L75" s="1927"/>
      <c r="M75" s="1927"/>
      <c r="N75" s="1927"/>
      <c r="O75" s="1929"/>
    </row>
    <row r="76" spans="2:25" ht="18" customHeight="1">
      <c r="B76" s="1513" t="s">
        <v>881</v>
      </c>
      <c r="C76" s="1157"/>
      <c r="D76" s="1157"/>
      <c r="E76" s="1518"/>
      <c r="F76" s="1518"/>
      <c r="G76" s="1518"/>
      <c r="H76" s="1518"/>
      <c r="I76" s="1518"/>
      <c r="J76" s="1518"/>
      <c r="K76" s="1518"/>
      <c r="L76" s="1518"/>
      <c r="M76" s="1518"/>
      <c r="N76" s="1518"/>
      <c r="O76" s="1519"/>
    </row>
    <row r="77" spans="2:25" ht="18" customHeight="1">
      <c r="B77" s="1521"/>
      <c r="C77" s="1509"/>
      <c r="D77" s="1510"/>
      <c r="E77" s="1468">
        <v>1</v>
      </c>
      <c r="F77" s="1468"/>
      <c r="G77" s="1468"/>
      <c r="H77" s="1468"/>
      <c r="I77" s="1468"/>
      <c r="J77" s="1468"/>
      <c r="K77" s="1468"/>
      <c r="L77" s="1468"/>
      <c r="M77" s="1468"/>
      <c r="N77" s="1468"/>
      <c r="O77" s="1507"/>
    </row>
    <row r="78" spans="2:25" ht="18" customHeight="1">
      <c r="B78" s="1521"/>
      <c r="C78" s="1509"/>
      <c r="D78" s="1510"/>
      <c r="E78" s="1468"/>
      <c r="F78" s="1468">
        <v>1</v>
      </c>
      <c r="G78" s="1468"/>
      <c r="H78" s="1468"/>
      <c r="I78" s="1468"/>
      <c r="J78" s="1468"/>
      <c r="K78" s="1468"/>
      <c r="L78" s="1468"/>
      <c r="M78" s="1468"/>
      <c r="N78" s="1468"/>
      <c r="O78" s="1508"/>
    </row>
    <row r="79" spans="2:25" ht="18" customHeight="1">
      <c r="B79" s="1521"/>
      <c r="C79" s="1509"/>
      <c r="D79" s="1510"/>
      <c r="E79" s="1468"/>
      <c r="F79" s="1468"/>
      <c r="G79" s="1468">
        <v>1</v>
      </c>
      <c r="H79" s="1468"/>
      <c r="I79" s="1468"/>
      <c r="J79" s="1468"/>
      <c r="K79" s="1468"/>
      <c r="L79" s="1468"/>
      <c r="M79" s="1468"/>
      <c r="N79" s="1468"/>
      <c r="O79" s="1468"/>
    </row>
    <row r="80" spans="2:25" ht="18" customHeight="1">
      <c r="B80" s="1521"/>
      <c r="C80" s="1509"/>
      <c r="D80" s="1510"/>
      <c r="E80" s="1468"/>
      <c r="F80" s="1468"/>
      <c r="G80" s="1468"/>
      <c r="H80" s="1468">
        <v>1</v>
      </c>
      <c r="I80" s="1468"/>
      <c r="J80" s="1468"/>
      <c r="K80" s="1468"/>
      <c r="L80" s="1468"/>
      <c r="M80" s="1468"/>
      <c r="N80" s="1468"/>
      <c r="O80" s="1468"/>
    </row>
    <row r="81" spans="2:15" ht="18" customHeight="1">
      <c r="B81" s="1521"/>
      <c r="C81" s="1509"/>
      <c r="D81" s="1510"/>
      <c r="E81" s="1468"/>
      <c r="F81" s="1468"/>
      <c r="G81" s="1468"/>
      <c r="H81" s="1468"/>
      <c r="I81" s="1468">
        <v>1</v>
      </c>
      <c r="J81" s="1468"/>
      <c r="K81" s="1468"/>
      <c r="L81" s="1468"/>
      <c r="M81" s="1468"/>
      <c r="N81" s="1468"/>
      <c r="O81" s="1468"/>
    </row>
    <row r="82" spans="2:15" ht="18" customHeight="1">
      <c r="B82" s="1521"/>
      <c r="C82" s="1509"/>
      <c r="D82" s="1510"/>
      <c r="E82" s="1468"/>
      <c r="F82" s="1468"/>
      <c r="G82" s="1468"/>
      <c r="H82" s="1468"/>
      <c r="I82" s="1468"/>
      <c r="J82" s="1468">
        <v>1</v>
      </c>
      <c r="K82" s="1468"/>
      <c r="L82" s="1468"/>
      <c r="M82" s="1468"/>
      <c r="N82" s="1468"/>
      <c r="O82" s="1468"/>
    </row>
    <row r="83" spans="2:15" ht="18" customHeight="1">
      <c r="B83" s="1521"/>
      <c r="C83" s="1509"/>
      <c r="D83" s="1510"/>
      <c r="E83" s="1468"/>
      <c r="F83" s="1468"/>
      <c r="G83" s="1468"/>
      <c r="H83" s="1468"/>
      <c r="I83" s="1468"/>
      <c r="J83" s="1468"/>
      <c r="K83" s="1468">
        <v>1</v>
      </c>
      <c r="L83" s="1468"/>
      <c r="M83" s="1468"/>
      <c r="N83" s="1468"/>
      <c r="O83" s="1508"/>
    </row>
    <row r="84" spans="2:15" ht="18" customHeight="1">
      <c r="B84" s="1521"/>
      <c r="C84" s="1509"/>
      <c r="D84" s="1510"/>
      <c r="E84" s="1468"/>
      <c r="F84" s="1468"/>
      <c r="G84" s="1468"/>
      <c r="H84" s="1468"/>
      <c r="I84" s="1468"/>
      <c r="J84" s="1468"/>
      <c r="K84" s="1468"/>
      <c r="L84" s="1468">
        <v>1</v>
      </c>
      <c r="M84" s="1468"/>
      <c r="N84" s="1468"/>
      <c r="O84" s="1508"/>
    </row>
    <row r="85" spans="2:15" ht="18" customHeight="1">
      <c r="B85" s="1521"/>
      <c r="C85" s="1509"/>
      <c r="D85" s="1510"/>
      <c r="E85" s="1468"/>
      <c r="F85" s="1468"/>
      <c r="G85" s="1468"/>
      <c r="H85" s="1468"/>
      <c r="I85" s="1468"/>
      <c r="J85" s="1468"/>
      <c r="K85" s="1468"/>
      <c r="L85" s="1468"/>
      <c r="M85" s="1468">
        <v>1</v>
      </c>
      <c r="N85" s="1468"/>
      <c r="O85" s="1508"/>
    </row>
    <row r="86" spans="2:15" ht="18" customHeight="1">
      <c r="B86" s="1521"/>
      <c r="C86" s="1509"/>
      <c r="D86" s="1510"/>
      <c r="E86" s="1468"/>
      <c r="F86" s="1468"/>
      <c r="G86" s="1468"/>
      <c r="H86" s="1468"/>
      <c r="I86" s="1468"/>
      <c r="J86" s="1468"/>
      <c r="K86" s="1468"/>
      <c r="L86" s="1468"/>
      <c r="M86" s="1468"/>
      <c r="N86" s="1468">
        <v>1</v>
      </c>
      <c r="O86" s="1508"/>
    </row>
    <row r="87" spans="2:15" ht="18" customHeight="1">
      <c r="B87" s="1521"/>
      <c r="C87" s="1509"/>
      <c r="D87" s="1510"/>
      <c r="E87" s="1468"/>
      <c r="F87" s="1468"/>
      <c r="G87" s="1468"/>
      <c r="H87" s="1468"/>
      <c r="I87" s="1468"/>
      <c r="J87" s="1468"/>
      <c r="K87" s="1468"/>
      <c r="L87" s="1468"/>
      <c r="M87" s="1468"/>
      <c r="N87" s="1468"/>
      <c r="O87" s="1468">
        <v>1</v>
      </c>
    </row>
    <row r="88" spans="2:15" ht="31" customHeight="1"/>
  </sheetData>
  <mergeCells count="65">
    <mergeCell ref="H58:H59"/>
    <mergeCell ref="I58:I59"/>
    <mergeCell ref="J58:J59"/>
    <mergeCell ref="B74:B75"/>
    <mergeCell ref="D74:D75"/>
    <mergeCell ref="E74:E75"/>
    <mergeCell ref="F74:F75"/>
    <mergeCell ref="G74:G75"/>
    <mergeCell ref="H74:H75"/>
    <mergeCell ref="I74:I75"/>
    <mergeCell ref="B58:B59"/>
    <mergeCell ref="D58:D59"/>
    <mergeCell ref="E58:E59"/>
    <mergeCell ref="F58:F59"/>
    <mergeCell ref="G58:G59"/>
    <mergeCell ref="O74:O75"/>
    <mergeCell ref="J74:J75"/>
    <mergeCell ref="K74:K75"/>
    <mergeCell ref="L74:L75"/>
    <mergeCell ref="M74:M75"/>
    <mergeCell ref="N74:N75"/>
    <mergeCell ref="J34:J35"/>
    <mergeCell ref="B46:B47"/>
    <mergeCell ref="D46:D47"/>
    <mergeCell ref="E46:E47"/>
    <mergeCell ref="F46:F47"/>
    <mergeCell ref="G46:G47"/>
    <mergeCell ref="H46:H47"/>
    <mergeCell ref="I46:I47"/>
    <mergeCell ref="J46:J47"/>
    <mergeCell ref="I23:I24"/>
    <mergeCell ref="B34:B35"/>
    <mergeCell ref="D34:D35"/>
    <mergeCell ref="E34:E35"/>
    <mergeCell ref="F34:F35"/>
    <mergeCell ref="G34:G35"/>
    <mergeCell ref="H34:H35"/>
    <mergeCell ref="I34:I35"/>
    <mergeCell ref="F13:F14"/>
    <mergeCell ref="G13:G14"/>
    <mergeCell ref="H13:H14"/>
    <mergeCell ref="B23:B24"/>
    <mergeCell ref="D23:D24"/>
    <mergeCell ref="E23:E24"/>
    <mergeCell ref="F23:F24"/>
    <mergeCell ref="G23:G24"/>
    <mergeCell ref="H23:H24"/>
    <mergeCell ref="B13:B14"/>
    <mergeCell ref="D13:D14"/>
    <mergeCell ref="E13:E14"/>
    <mergeCell ref="B8:O9"/>
    <mergeCell ref="B2:B3"/>
    <mergeCell ref="C2:C3"/>
    <mergeCell ref="D2:E2"/>
    <mergeCell ref="F2:G2"/>
    <mergeCell ref="H2:I2"/>
    <mergeCell ref="L2:M2"/>
    <mergeCell ref="N2:O2"/>
    <mergeCell ref="D3:E3"/>
    <mergeCell ref="F3:G3"/>
    <mergeCell ref="H3:I3"/>
    <mergeCell ref="J3:K3"/>
    <mergeCell ref="L3:M3"/>
    <mergeCell ref="J2:K2"/>
    <mergeCell ref="N3:O3"/>
  </mergeCells>
  <hyperlinks>
    <hyperlink ref="F2" location="'City information'!A1" display="Set-up"/>
    <hyperlink ref="G2" location="'City information'!A1" display="'City information'!A1"/>
    <hyperlink ref="J3" location="GWP!A1" display="GWP"/>
    <hyperlink ref="K3" location="GWP!A1" display="GWP!A1"/>
    <hyperlink ref="H3" location="'Notation keys'!A1" display="Notation keys"/>
    <hyperlink ref="I3" location="'Notation keys'!A1" display="'Notation keys'!A1"/>
    <hyperlink ref="F3" location="GPC!A1" display="GPC"/>
    <hyperlink ref="G3" location="GPC!A1" display="GPC!A1"/>
    <hyperlink ref="H2" location="Inventory!A1" display="Inventory"/>
    <hyperlink ref="I2" location="Inventory!A1" display="Inventory!A1"/>
    <hyperlink ref="J2" location="Calculators!A1" display="Calculators"/>
    <hyperlink ref="K2" location="Calculators!A1" display="Calculators!A1"/>
    <hyperlink ref="N2" location="Analysis!A1" display="Analysis"/>
    <hyperlink ref="O2" location="Analysis!A1" display="Analysis!A1"/>
    <hyperlink ref="L2" location="Results!A1" display="Results"/>
    <hyperlink ref="M2" location="Results!A1" display="Results!A1"/>
    <hyperlink ref="D2" location="Home!A1" display="Introduction"/>
    <hyperlink ref="E2" location="Home!A1" display="Home!A1"/>
    <hyperlink ref="D3" location="Home!A1" display="Introduction"/>
    <hyperlink ref="E3" location="Home!A1" display="Home!A1"/>
    <hyperlink ref="N3" location="'Compact of Mayors'!A1" display="Compact of Mayors"/>
    <hyperlink ref="O3" location="'Compact of Mayors'!A1" display="'Compact of Mayors'!A1"/>
  </hyperlinks>
  <pageMargins left="0.25" right="0.25" top="0.75" bottom="0.75" header="0.3" footer="0.3"/>
  <pageSetup paperSize="9" scale="10" orientation="portrait" horizontalDpi="4294967292" verticalDpi="4294967292"/>
  <headerFooter>
    <oddHeader>&amp;CTable 4.1</oddHeader>
  </headerFooter>
  <drawing r:id="rId1"/>
  <extLst>
    <ext xmlns:mx="http://schemas.microsoft.com/office/mac/excel/2008/main" uri="{64002731-A6B0-56B0-2670-7721B7C09600}">
      <mx:PLV Mode="0" OnePage="0" WScale="71"/>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enableFormatConditionsCalculation="0">
    <tabColor theme="4"/>
    <outlinePr summaryBelow="0"/>
    <pageSetUpPr fitToPage="1"/>
  </sheetPr>
  <dimension ref="A1:EU111"/>
  <sheetViews>
    <sheetView workbookViewId="0">
      <selection activeCell="B10" sqref="B10"/>
    </sheetView>
  </sheetViews>
  <sheetFormatPr baseColWidth="10" defaultColWidth="0" defaultRowHeight="15" customHeight="1" x14ac:dyDescent="0"/>
  <cols>
    <col min="1" max="1" width="4.83203125" style="31" customWidth="1"/>
    <col min="2" max="2" width="12.83203125" style="32" customWidth="1"/>
    <col min="3" max="3" width="12.83203125" style="32" hidden="1" customWidth="1"/>
    <col min="4" max="11" width="12.83203125" style="33" customWidth="1"/>
    <col min="12" max="13" width="12.83203125" style="34" customWidth="1"/>
    <col min="14" max="17" width="12.6640625" style="34" customWidth="1"/>
    <col min="18" max="21" width="12.83203125" style="31" customWidth="1"/>
    <col min="22" max="22" width="12.83203125" style="15" customWidth="1"/>
    <col min="23" max="26" width="12.83203125" style="31" customWidth="1"/>
    <col min="27" max="31" width="12.83203125" style="26" customWidth="1"/>
    <col min="32" max="103" width="12.83203125" style="31" customWidth="1"/>
    <col min="104" max="104" width="4.83203125" style="31" customWidth="1"/>
    <col min="105" max="151" width="0" style="31" hidden="1" customWidth="1"/>
    <col min="152" max="16384" width="10.83203125" style="31" hidden="1"/>
  </cols>
  <sheetData>
    <row r="1" spans="1:104" s="498" customFormat="1">
      <c r="V1" s="499"/>
      <c r="W1" s="499"/>
      <c r="X1" s="499"/>
      <c r="Y1" s="500"/>
      <c r="Z1" s="500"/>
      <c r="AA1" s="500"/>
    </row>
    <row r="2" spans="1:104" s="464" customFormat="1" ht="31" customHeight="1">
      <c r="A2" s="494"/>
      <c r="B2" s="1817" t="s">
        <v>1965</v>
      </c>
      <c r="C2" s="1466"/>
      <c r="D2" s="1819">
        <v>400</v>
      </c>
      <c r="E2" s="1847" t="s">
        <v>1555</v>
      </c>
      <c r="F2" s="1848"/>
      <c r="G2" s="1849" t="s">
        <v>1563</v>
      </c>
      <c r="H2" s="1850"/>
      <c r="I2" s="1849" t="s">
        <v>794</v>
      </c>
      <c r="J2" s="1850"/>
      <c r="K2" s="1849" t="s">
        <v>1570</v>
      </c>
      <c r="L2" s="1850"/>
      <c r="M2" s="1849" t="s">
        <v>1564</v>
      </c>
      <c r="N2" s="1850"/>
      <c r="O2" s="1849" t="s">
        <v>1602</v>
      </c>
      <c r="P2" s="1850"/>
      <c r="Q2" s="1472"/>
      <c r="R2" s="1472"/>
      <c r="S2" s="1472"/>
      <c r="T2" s="1472"/>
      <c r="U2" s="496"/>
      <c r="V2" s="494"/>
      <c r="W2" s="494"/>
      <c r="X2" s="494"/>
      <c r="Y2" s="494"/>
      <c r="Z2" s="494"/>
      <c r="AA2" s="494"/>
      <c r="AB2" s="494"/>
      <c r="AC2" s="494"/>
      <c r="AD2" s="494"/>
      <c r="AE2" s="494"/>
      <c r="AF2" s="494"/>
      <c r="AG2" s="494"/>
      <c r="AH2" s="494"/>
      <c r="AI2" s="494"/>
      <c r="AJ2" s="494"/>
      <c r="AK2" s="494"/>
      <c r="AL2" s="494"/>
      <c r="AM2" s="494"/>
      <c r="AN2" s="494"/>
      <c r="AO2" s="494"/>
      <c r="AP2" s="494"/>
      <c r="AQ2" s="494"/>
      <c r="AR2" s="494"/>
      <c r="AS2" s="494"/>
      <c r="AT2" s="494"/>
      <c r="AU2" s="494"/>
      <c r="AV2" s="494"/>
      <c r="AW2" s="494"/>
      <c r="AX2" s="494"/>
      <c r="AY2" s="494"/>
      <c r="AZ2" s="494"/>
      <c r="BA2" s="494"/>
      <c r="BB2" s="494"/>
      <c r="BC2" s="494"/>
      <c r="BD2" s="494"/>
      <c r="BE2" s="494"/>
      <c r="BF2" s="494"/>
      <c r="BG2" s="494"/>
      <c r="BH2" s="494"/>
      <c r="BI2" s="494"/>
      <c r="BJ2" s="494"/>
      <c r="BK2" s="494"/>
      <c r="BL2" s="494"/>
      <c r="BM2" s="494"/>
      <c r="BN2" s="494"/>
      <c r="BO2" s="494"/>
      <c r="BP2" s="494"/>
      <c r="BQ2" s="494"/>
      <c r="BR2" s="494"/>
      <c r="BS2" s="494"/>
      <c r="BT2" s="494"/>
      <c r="BU2" s="494"/>
      <c r="BV2" s="494"/>
      <c r="BW2" s="494"/>
      <c r="BX2" s="494"/>
      <c r="BY2" s="494"/>
      <c r="BZ2" s="494"/>
      <c r="CA2" s="494"/>
      <c r="CB2" s="494"/>
      <c r="CC2" s="494"/>
      <c r="CD2" s="494"/>
      <c r="CE2" s="494"/>
      <c r="CF2" s="494"/>
      <c r="CG2" s="494"/>
      <c r="CH2" s="494"/>
      <c r="CI2" s="494"/>
      <c r="CJ2" s="494"/>
      <c r="CK2" s="494"/>
      <c r="CL2" s="494"/>
      <c r="CM2" s="494"/>
      <c r="CN2" s="494"/>
      <c r="CO2" s="494"/>
      <c r="CP2" s="494"/>
      <c r="CQ2" s="494"/>
      <c r="CR2" s="494"/>
      <c r="CS2" s="494"/>
      <c r="CT2" s="494"/>
      <c r="CU2" s="494"/>
      <c r="CV2" s="494"/>
      <c r="CW2" s="494"/>
      <c r="CX2" s="494"/>
      <c r="CY2" s="494"/>
      <c r="CZ2" s="494"/>
    </row>
    <row r="3" spans="1:104" s="464" customFormat="1" ht="31" customHeight="1">
      <c r="A3" s="494"/>
      <c r="B3" s="1818"/>
      <c r="C3" s="1467"/>
      <c r="D3" s="1820"/>
      <c r="E3" s="1843" t="s">
        <v>1565</v>
      </c>
      <c r="F3" s="1844"/>
      <c r="G3" s="1843" t="s">
        <v>785</v>
      </c>
      <c r="H3" s="1844"/>
      <c r="I3" s="1843" t="s">
        <v>40</v>
      </c>
      <c r="J3" s="1844"/>
      <c r="K3" s="1843" t="s">
        <v>780</v>
      </c>
      <c r="L3" s="1844"/>
      <c r="M3" s="1843" t="s">
        <v>1585</v>
      </c>
      <c r="N3" s="1844"/>
      <c r="O3" s="1843" t="s">
        <v>1788</v>
      </c>
      <c r="P3" s="1844"/>
      <c r="Q3" s="1847" t="s">
        <v>2529</v>
      </c>
      <c r="R3" s="1848"/>
      <c r="S3" s="1472"/>
      <c r="T3" s="1472"/>
      <c r="U3" s="496"/>
      <c r="V3" s="494"/>
      <c r="W3" s="494"/>
      <c r="X3" s="494"/>
      <c r="Y3" s="494"/>
      <c r="Z3" s="494"/>
      <c r="AA3" s="494"/>
      <c r="AB3" s="494"/>
      <c r="AC3" s="494"/>
      <c r="AD3" s="494"/>
      <c r="AE3" s="494"/>
      <c r="AF3" s="494"/>
      <c r="AG3" s="494"/>
      <c r="AH3" s="494"/>
      <c r="AI3" s="494"/>
      <c r="AJ3" s="494"/>
      <c r="AK3" s="494"/>
      <c r="AL3" s="494"/>
      <c r="AM3" s="494"/>
      <c r="AN3" s="494"/>
      <c r="AO3" s="494"/>
      <c r="AP3" s="494"/>
      <c r="AQ3" s="494"/>
      <c r="AR3" s="494"/>
      <c r="AS3" s="494"/>
      <c r="AT3" s="494"/>
      <c r="AU3" s="494"/>
      <c r="AV3" s="494"/>
      <c r="AW3" s="494"/>
      <c r="AX3" s="494"/>
      <c r="AY3" s="494"/>
      <c r="AZ3" s="494"/>
      <c r="BA3" s="494"/>
      <c r="BB3" s="494"/>
      <c r="BC3" s="494"/>
      <c r="BD3" s="494"/>
      <c r="BE3" s="494"/>
      <c r="BF3" s="494"/>
      <c r="BG3" s="494"/>
      <c r="BH3" s="494"/>
      <c r="BI3" s="494"/>
      <c r="BJ3" s="494"/>
      <c r="BK3" s="494"/>
      <c r="BL3" s="494"/>
      <c r="BM3" s="494"/>
      <c r="BN3" s="494"/>
      <c r="BO3" s="494"/>
      <c r="BP3" s="494"/>
      <c r="BQ3" s="494"/>
      <c r="BR3" s="494"/>
      <c r="BS3" s="494"/>
      <c r="BT3" s="494"/>
      <c r="BU3" s="494"/>
      <c r="BV3" s="494"/>
      <c r="BW3" s="494"/>
      <c r="BX3" s="494"/>
      <c r="BY3" s="494"/>
      <c r="BZ3" s="494"/>
      <c r="CA3" s="494"/>
      <c r="CB3" s="494"/>
      <c r="CC3" s="494"/>
      <c r="CD3" s="494"/>
      <c r="CE3" s="494"/>
      <c r="CF3" s="494"/>
      <c r="CG3" s="494"/>
      <c r="CH3" s="494"/>
      <c r="CI3" s="494"/>
      <c r="CJ3" s="494"/>
      <c r="CK3" s="494"/>
      <c r="CL3" s="494"/>
      <c r="CM3" s="494"/>
      <c r="CN3" s="494"/>
      <c r="CO3" s="494"/>
      <c r="CP3" s="494"/>
      <c r="CQ3" s="494"/>
      <c r="CR3" s="494"/>
      <c r="CS3" s="494"/>
      <c r="CT3" s="494"/>
      <c r="CU3" s="494"/>
      <c r="CV3" s="494"/>
      <c r="CW3" s="494"/>
      <c r="CX3" s="494"/>
      <c r="CY3" s="494"/>
      <c r="CZ3" s="494"/>
    </row>
    <row r="4" spans="1:104" s="494" customFormat="1" ht="15" customHeight="1">
      <c r="B4" s="492"/>
      <c r="C4" s="492"/>
      <c r="D4" s="495"/>
      <c r="E4" s="497"/>
      <c r="F4" s="497"/>
      <c r="G4" s="497"/>
      <c r="H4" s="497"/>
      <c r="I4" s="497"/>
      <c r="J4" s="497"/>
      <c r="K4" s="497"/>
      <c r="L4" s="497"/>
      <c r="M4" s="497"/>
      <c r="N4" s="496"/>
      <c r="O4" s="496"/>
      <c r="P4" s="496"/>
      <c r="Q4" s="496"/>
      <c r="R4" s="496"/>
      <c r="S4" s="496"/>
      <c r="T4" s="496"/>
      <c r="U4" s="496"/>
    </row>
    <row r="5" spans="1:104" ht="31" customHeight="1">
      <c r="V5" s="31"/>
    </row>
    <row r="6" spans="1:104" s="29" customFormat="1" ht="31" customHeight="1" thickBot="1">
      <c r="A6" s="1192"/>
      <c r="B6" s="491" t="s">
        <v>2530</v>
      </c>
      <c r="C6" s="491"/>
      <c r="D6" s="466"/>
      <c r="E6" s="466"/>
      <c r="F6" s="466"/>
      <c r="G6" s="466"/>
      <c r="H6" s="466"/>
      <c r="I6" s="466"/>
      <c r="J6" s="467"/>
      <c r="K6" s="467"/>
      <c r="L6" s="467"/>
      <c r="M6" s="468"/>
      <c r="N6" s="468"/>
      <c r="O6" s="468"/>
      <c r="P6" s="468"/>
      <c r="Q6" s="467"/>
      <c r="R6" s="468"/>
      <c r="S6" s="468"/>
      <c r="T6" s="468"/>
      <c r="U6" s="468"/>
      <c r="V6" s="468"/>
      <c r="W6" s="468"/>
      <c r="X6" s="468"/>
      <c r="Y6" s="468"/>
      <c r="Z6" s="468"/>
      <c r="AA6" s="468"/>
      <c r="AB6" s="468"/>
      <c r="AC6" s="468"/>
      <c r="AD6" s="468"/>
      <c r="AE6" s="468"/>
      <c r="AF6" s="468"/>
      <c r="AG6" s="468"/>
      <c r="AH6" s="468"/>
      <c r="AI6" s="468"/>
      <c r="AJ6" s="468"/>
      <c r="AK6" s="468"/>
      <c r="AL6" s="468"/>
      <c r="AM6" s="468"/>
      <c r="AN6" s="468"/>
      <c r="AO6" s="468"/>
      <c r="AP6" s="468"/>
      <c r="AQ6" s="468"/>
      <c r="AR6" s="468"/>
      <c r="AS6" s="468"/>
      <c r="AT6" s="468"/>
      <c r="AU6" s="468"/>
      <c r="AV6" s="468"/>
      <c r="AW6" s="468"/>
      <c r="AX6" s="468"/>
      <c r="AY6" s="468"/>
      <c r="AZ6" s="468"/>
      <c r="BA6" s="468"/>
      <c r="BB6" s="468"/>
      <c r="BC6" s="468"/>
      <c r="BD6" s="468"/>
      <c r="BE6" s="468"/>
      <c r="BF6" s="468"/>
      <c r="BG6" s="468"/>
      <c r="BH6" s="468"/>
      <c r="BI6" s="468"/>
      <c r="BJ6" s="468"/>
      <c r="BK6" s="468"/>
      <c r="BL6" s="468"/>
      <c r="BM6" s="468"/>
      <c r="BN6" s="468"/>
      <c r="BO6" s="468"/>
      <c r="BP6" s="468"/>
      <c r="BQ6" s="468"/>
      <c r="BR6" s="468"/>
      <c r="BS6" s="468"/>
      <c r="BT6" s="468"/>
      <c r="BU6" s="468"/>
      <c r="BV6" s="468"/>
      <c r="BW6" s="468"/>
      <c r="BX6" s="468"/>
      <c r="BY6" s="468"/>
      <c r="BZ6" s="468"/>
      <c r="CA6" s="468"/>
      <c r="CB6" s="468"/>
      <c r="CC6" s="468"/>
      <c r="CD6" s="468"/>
      <c r="CE6" s="468"/>
      <c r="CF6" s="468"/>
      <c r="CG6" s="468"/>
      <c r="CH6" s="468"/>
      <c r="CI6" s="468"/>
      <c r="CJ6" s="468"/>
      <c r="CK6" s="468"/>
      <c r="CL6" s="468"/>
      <c r="CM6" s="468"/>
      <c r="CN6" s="468"/>
      <c r="CO6" s="468"/>
      <c r="CP6" s="468"/>
      <c r="CQ6" s="468"/>
      <c r="CR6" s="468"/>
      <c r="CS6" s="468"/>
      <c r="CT6" s="468"/>
      <c r="CU6" s="468"/>
      <c r="CV6" s="468"/>
      <c r="CW6" s="468"/>
      <c r="CX6" s="468"/>
      <c r="CY6" s="468"/>
    </row>
    <row r="7" spans="1:104" s="29" customFormat="1" ht="15" customHeight="1" thickTop="1">
      <c r="B7" s="229"/>
      <c r="C7" s="229"/>
      <c r="D7" s="230"/>
      <c r="E7" s="230"/>
      <c r="F7" s="230"/>
      <c r="G7" s="230"/>
      <c r="H7" s="230"/>
      <c r="I7" s="230"/>
      <c r="J7" s="230"/>
      <c r="K7" s="230"/>
      <c r="L7" s="30"/>
      <c r="M7" s="30"/>
      <c r="N7" s="30"/>
      <c r="O7" s="30"/>
      <c r="P7" s="30"/>
      <c r="Q7" s="30"/>
      <c r="AA7" s="234"/>
      <c r="AB7" s="234"/>
      <c r="AC7" s="234"/>
      <c r="AD7" s="234"/>
      <c r="AE7" s="234"/>
    </row>
    <row r="8" spans="1:104" s="29" customFormat="1" ht="17" customHeight="1">
      <c r="B8" s="465" t="s">
        <v>1993</v>
      </c>
      <c r="C8" s="465"/>
      <c r="D8" s="1185" t="str">
        <f>IF(D10="","",D10)</f>
        <v>kWh</v>
      </c>
      <c r="E8" s="1185" t="str">
        <f>IF(E10="","",E10)</f>
        <v>MWh</v>
      </c>
      <c r="F8" s="1185" t="str">
        <f>IF(F10="","",F10)</f>
        <v>GWh</v>
      </c>
      <c r="G8" s="1185" t="str">
        <f t="shared" ref="G8:BR8" si="0">IF(G10="","",G10)</f>
        <v>TWh</v>
      </c>
      <c r="H8" s="1185" t="str">
        <f t="shared" si="0"/>
        <v/>
      </c>
      <c r="I8" s="1185" t="str">
        <f t="shared" si="0"/>
        <v/>
      </c>
      <c r="J8" s="1185" t="str">
        <f t="shared" si="0"/>
        <v/>
      </c>
      <c r="K8" s="1185" t="str">
        <f t="shared" si="0"/>
        <v/>
      </c>
      <c r="L8" s="1185" t="str">
        <f t="shared" si="0"/>
        <v/>
      </c>
      <c r="M8" s="1185" t="str">
        <f t="shared" si="0"/>
        <v/>
      </c>
      <c r="N8" s="1185" t="str">
        <f t="shared" si="0"/>
        <v/>
      </c>
      <c r="O8" s="1185" t="str">
        <f t="shared" si="0"/>
        <v/>
      </c>
      <c r="P8" s="1185" t="str">
        <f t="shared" si="0"/>
        <v/>
      </c>
      <c r="Q8" s="1185" t="str">
        <f t="shared" si="0"/>
        <v/>
      </c>
      <c r="R8" s="1185" t="str">
        <f t="shared" si="0"/>
        <v/>
      </c>
      <c r="S8" s="1185" t="str">
        <f t="shared" si="0"/>
        <v/>
      </c>
      <c r="T8" s="1185" t="str">
        <f t="shared" si="0"/>
        <v/>
      </c>
      <c r="U8" s="1185" t="str">
        <f t="shared" si="0"/>
        <v/>
      </c>
      <c r="V8" s="1185" t="str">
        <f t="shared" si="0"/>
        <v/>
      </c>
      <c r="W8" s="1185" t="str">
        <f t="shared" si="0"/>
        <v/>
      </c>
      <c r="X8" s="1185" t="str">
        <f t="shared" si="0"/>
        <v/>
      </c>
      <c r="Y8" s="1185" t="str">
        <f t="shared" si="0"/>
        <v/>
      </c>
      <c r="Z8" s="1185" t="str">
        <f t="shared" si="0"/>
        <v/>
      </c>
      <c r="AA8" s="1185" t="str">
        <f t="shared" si="0"/>
        <v/>
      </c>
      <c r="AB8" s="1185" t="str">
        <f t="shared" si="0"/>
        <v/>
      </c>
      <c r="AC8" s="1185" t="str">
        <f t="shared" si="0"/>
        <v/>
      </c>
      <c r="AD8" s="1185" t="str">
        <f t="shared" si="0"/>
        <v/>
      </c>
      <c r="AE8" s="1185" t="str">
        <f t="shared" si="0"/>
        <v/>
      </c>
      <c r="AF8" s="1185" t="str">
        <f t="shared" si="0"/>
        <v/>
      </c>
      <c r="AG8" s="1185" t="str">
        <f t="shared" si="0"/>
        <v/>
      </c>
      <c r="AH8" s="1185" t="str">
        <f t="shared" si="0"/>
        <v/>
      </c>
      <c r="AI8" s="1185" t="str">
        <f t="shared" si="0"/>
        <v/>
      </c>
      <c r="AJ8" s="1185" t="str">
        <f t="shared" si="0"/>
        <v/>
      </c>
      <c r="AK8" s="1185" t="str">
        <f t="shared" si="0"/>
        <v/>
      </c>
      <c r="AL8" s="1185" t="str">
        <f t="shared" si="0"/>
        <v/>
      </c>
      <c r="AM8" s="1185" t="str">
        <f t="shared" si="0"/>
        <v/>
      </c>
      <c r="AN8" s="1185" t="str">
        <f t="shared" si="0"/>
        <v/>
      </c>
      <c r="AO8" s="1185" t="str">
        <f t="shared" si="0"/>
        <v/>
      </c>
      <c r="AP8" s="1185" t="str">
        <f t="shared" si="0"/>
        <v/>
      </c>
      <c r="AQ8" s="1185" t="str">
        <f t="shared" si="0"/>
        <v/>
      </c>
      <c r="AR8" s="1185" t="str">
        <f t="shared" si="0"/>
        <v/>
      </c>
      <c r="AS8" s="1185" t="str">
        <f t="shared" si="0"/>
        <v/>
      </c>
      <c r="AT8" s="1185" t="str">
        <f t="shared" si="0"/>
        <v/>
      </c>
      <c r="AU8" s="1185" t="str">
        <f t="shared" si="0"/>
        <v/>
      </c>
      <c r="AV8" s="1185" t="str">
        <f t="shared" si="0"/>
        <v/>
      </c>
      <c r="AW8" s="1185" t="str">
        <f t="shared" si="0"/>
        <v/>
      </c>
      <c r="AX8" s="1185" t="str">
        <f t="shared" si="0"/>
        <v/>
      </c>
      <c r="AY8" s="1185" t="str">
        <f t="shared" si="0"/>
        <v/>
      </c>
      <c r="AZ8" s="1185" t="str">
        <f t="shared" si="0"/>
        <v/>
      </c>
      <c r="BA8" s="1185" t="str">
        <f t="shared" si="0"/>
        <v/>
      </c>
      <c r="BB8" s="1185" t="str">
        <f t="shared" si="0"/>
        <v/>
      </c>
      <c r="BC8" s="1185" t="str">
        <f t="shared" si="0"/>
        <v/>
      </c>
      <c r="BD8" s="1185" t="str">
        <f t="shared" si="0"/>
        <v/>
      </c>
      <c r="BE8" s="1185" t="str">
        <f t="shared" si="0"/>
        <v/>
      </c>
      <c r="BF8" s="1185" t="str">
        <f t="shared" si="0"/>
        <v/>
      </c>
      <c r="BG8" s="1185" t="str">
        <f t="shared" si="0"/>
        <v/>
      </c>
      <c r="BH8" s="1185" t="str">
        <f t="shared" si="0"/>
        <v/>
      </c>
      <c r="BI8" s="1185" t="str">
        <f t="shared" si="0"/>
        <v/>
      </c>
      <c r="BJ8" s="1185" t="str">
        <f t="shared" si="0"/>
        <v/>
      </c>
      <c r="BK8" s="1185" t="str">
        <f t="shared" si="0"/>
        <v/>
      </c>
      <c r="BL8" s="1185" t="str">
        <f t="shared" si="0"/>
        <v/>
      </c>
      <c r="BM8" s="1185" t="str">
        <f t="shared" si="0"/>
        <v/>
      </c>
      <c r="BN8" s="1185" t="str">
        <f t="shared" si="0"/>
        <v/>
      </c>
      <c r="BO8" s="1185" t="str">
        <f t="shared" si="0"/>
        <v/>
      </c>
      <c r="BP8" s="1185" t="str">
        <f t="shared" si="0"/>
        <v/>
      </c>
      <c r="BQ8" s="1185" t="str">
        <f t="shared" si="0"/>
        <v/>
      </c>
      <c r="BR8" s="1185" t="str">
        <f t="shared" si="0"/>
        <v/>
      </c>
      <c r="BS8" s="1185" t="str">
        <f t="shared" ref="BS8:CY8" si="1">IF(BS10="","",BS10)</f>
        <v/>
      </c>
      <c r="BT8" s="1185" t="str">
        <f t="shared" si="1"/>
        <v/>
      </c>
      <c r="BU8" s="1185" t="str">
        <f t="shared" si="1"/>
        <v/>
      </c>
      <c r="BV8" s="1185" t="str">
        <f t="shared" si="1"/>
        <v/>
      </c>
      <c r="BW8" s="1185" t="str">
        <f t="shared" si="1"/>
        <v/>
      </c>
      <c r="BX8" s="1185" t="str">
        <f t="shared" si="1"/>
        <v/>
      </c>
      <c r="BY8" s="1185" t="str">
        <f t="shared" si="1"/>
        <v/>
      </c>
      <c r="BZ8" s="1185" t="str">
        <f t="shared" si="1"/>
        <v/>
      </c>
      <c r="CA8" s="1185" t="str">
        <f t="shared" si="1"/>
        <v/>
      </c>
      <c r="CB8" s="1185" t="str">
        <f t="shared" si="1"/>
        <v/>
      </c>
      <c r="CC8" s="1185" t="str">
        <f t="shared" si="1"/>
        <v/>
      </c>
      <c r="CD8" s="1185" t="str">
        <f t="shared" si="1"/>
        <v/>
      </c>
      <c r="CE8" s="1185" t="str">
        <f t="shared" si="1"/>
        <v/>
      </c>
      <c r="CF8" s="1185" t="str">
        <f t="shared" si="1"/>
        <v/>
      </c>
      <c r="CG8" s="1185" t="str">
        <f t="shared" si="1"/>
        <v/>
      </c>
      <c r="CH8" s="1185" t="str">
        <f t="shared" si="1"/>
        <v/>
      </c>
      <c r="CI8" s="1185" t="str">
        <f t="shared" si="1"/>
        <v/>
      </c>
      <c r="CJ8" s="1185" t="str">
        <f t="shared" si="1"/>
        <v/>
      </c>
      <c r="CK8" s="1185" t="str">
        <f t="shared" si="1"/>
        <v/>
      </c>
      <c r="CL8" s="1185" t="str">
        <f t="shared" si="1"/>
        <v/>
      </c>
      <c r="CM8" s="1185" t="str">
        <f t="shared" si="1"/>
        <v/>
      </c>
      <c r="CN8" s="1185" t="str">
        <f t="shared" si="1"/>
        <v/>
      </c>
      <c r="CO8" s="1185" t="str">
        <f t="shared" si="1"/>
        <v/>
      </c>
      <c r="CP8" s="1185" t="str">
        <f t="shared" si="1"/>
        <v/>
      </c>
      <c r="CQ8" s="1185" t="str">
        <f t="shared" si="1"/>
        <v/>
      </c>
      <c r="CR8" s="1185" t="str">
        <f t="shared" si="1"/>
        <v/>
      </c>
      <c r="CS8" s="1185" t="str">
        <f t="shared" si="1"/>
        <v/>
      </c>
      <c r="CT8" s="1185" t="str">
        <f t="shared" si="1"/>
        <v/>
      </c>
      <c r="CU8" s="1185" t="str">
        <f t="shared" si="1"/>
        <v/>
      </c>
      <c r="CV8" s="1185" t="str">
        <f t="shared" si="1"/>
        <v/>
      </c>
      <c r="CW8" s="1185" t="str">
        <f t="shared" si="1"/>
        <v/>
      </c>
      <c r="CX8" s="1185" t="str">
        <f t="shared" si="1"/>
        <v/>
      </c>
      <c r="CY8" s="1185" t="str">
        <f t="shared" si="1"/>
        <v/>
      </c>
    </row>
    <row r="9" spans="1:104" s="15" customFormat="1" ht="15" customHeight="1">
      <c r="B9" s="1185">
        <v>1</v>
      </c>
      <c r="C9" s="1185">
        <v>2</v>
      </c>
      <c r="D9" s="1185">
        <v>3</v>
      </c>
      <c r="E9" s="1185">
        <v>4</v>
      </c>
      <c r="F9" s="1185">
        <v>5</v>
      </c>
      <c r="G9" s="1185">
        <v>6</v>
      </c>
      <c r="H9" s="1185">
        <v>7</v>
      </c>
      <c r="I9" s="1185">
        <v>8</v>
      </c>
      <c r="J9" s="1185">
        <v>9</v>
      </c>
      <c r="K9" s="1185">
        <v>10</v>
      </c>
      <c r="L9" s="1185">
        <v>11</v>
      </c>
      <c r="M9" s="1185">
        <v>12</v>
      </c>
      <c r="N9" s="1185">
        <v>13</v>
      </c>
      <c r="O9" s="1185">
        <v>14</v>
      </c>
      <c r="P9" s="1185">
        <v>15</v>
      </c>
      <c r="Q9" s="1185">
        <v>16</v>
      </c>
      <c r="R9" s="1185">
        <v>17</v>
      </c>
      <c r="S9" s="1185">
        <v>18</v>
      </c>
      <c r="T9" s="1185">
        <v>19</v>
      </c>
      <c r="U9" s="1185">
        <v>20</v>
      </c>
      <c r="V9" s="1185">
        <v>21</v>
      </c>
      <c r="W9" s="1185">
        <v>22</v>
      </c>
      <c r="X9" s="1185">
        <v>23</v>
      </c>
      <c r="Y9" s="1185">
        <v>24</v>
      </c>
      <c r="Z9" s="1185">
        <v>25</v>
      </c>
      <c r="AA9" s="1185">
        <v>26</v>
      </c>
      <c r="AB9" s="1185">
        <v>27</v>
      </c>
      <c r="AC9" s="1185">
        <v>28</v>
      </c>
      <c r="AD9" s="1185">
        <v>29</v>
      </c>
      <c r="AE9" s="1185">
        <v>30</v>
      </c>
      <c r="AF9" s="1185">
        <v>31</v>
      </c>
      <c r="AG9" s="1185">
        <v>32</v>
      </c>
      <c r="AH9" s="1185">
        <v>33</v>
      </c>
      <c r="AI9" s="1185">
        <v>34</v>
      </c>
      <c r="AJ9" s="1185">
        <v>35</v>
      </c>
      <c r="AK9" s="1185">
        <v>36</v>
      </c>
      <c r="AL9" s="1185">
        <v>37</v>
      </c>
      <c r="AM9" s="1185">
        <v>38</v>
      </c>
      <c r="AN9" s="1185">
        <v>39</v>
      </c>
      <c r="AO9" s="1185">
        <v>40</v>
      </c>
      <c r="AP9" s="1185">
        <v>41</v>
      </c>
      <c r="AQ9" s="1185">
        <v>42</v>
      </c>
      <c r="AR9" s="1185">
        <v>43</v>
      </c>
      <c r="AS9" s="1185">
        <v>44</v>
      </c>
      <c r="AT9" s="1185">
        <v>45</v>
      </c>
      <c r="AU9" s="1185">
        <v>46</v>
      </c>
      <c r="AV9" s="1185">
        <v>47</v>
      </c>
      <c r="AW9" s="1185">
        <v>48</v>
      </c>
      <c r="AX9" s="1185">
        <v>49</v>
      </c>
      <c r="AY9" s="1185">
        <v>50</v>
      </c>
      <c r="AZ9" s="1185">
        <v>51</v>
      </c>
      <c r="BA9" s="1185">
        <v>52</v>
      </c>
      <c r="BB9" s="1185">
        <v>53</v>
      </c>
      <c r="BC9" s="1185">
        <v>54</v>
      </c>
      <c r="BD9" s="1185">
        <v>55</v>
      </c>
      <c r="BE9" s="1185">
        <v>56</v>
      </c>
      <c r="BF9" s="1185">
        <v>57</v>
      </c>
      <c r="BG9" s="1185">
        <v>58</v>
      </c>
      <c r="BH9" s="1185">
        <v>59</v>
      </c>
      <c r="BI9" s="1185">
        <v>60</v>
      </c>
      <c r="BJ9" s="1185">
        <v>61</v>
      </c>
      <c r="BK9" s="1185">
        <v>62</v>
      </c>
      <c r="BL9" s="1185">
        <v>63</v>
      </c>
      <c r="BM9" s="1185">
        <v>64</v>
      </c>
      <c r="BN9" s="1185">
        <v>65</v>
      </c>
      <c r="BO9" s="1185">
        <v>66</v>
      </c>
      <c r="BP9" s="1185">
        <v>67</v>
      </c>
      <c r="BQ9" s="1185">
        <v>68</v>
      </c>
      <c r="BR9" s="1185">
        <v>69</v>
      </c>
      <c r="BS9" s="1185">
        <v>70</v>
      </c>
      <c r="BT9" s="1185">
        <v>71</v>
      </c>
      <c r="BU9" s="1185">
        <v>72</v>
      </c>
      <c r="BV9" s="1185">
        <v>73</v>
      </c>
      <c r="BW9" s="1185">
        <v>74</v>
      </c>
      <c r="BX9" s="1185">
        <v>75</v>
      </c>
      <c r="BY9" s="1185">
        <v>76</v>
      </c>
      <c r="BZ9" s="1185">
        <v>77</v>
      </c>
      <c r="CA9" s="1185">
        <v>78</v>
      </c>
      <c r="CB9" s="1185">
        <v>79</v>
      </c>
      <c r="CC9" s="1185">
        <v>80</v>
      </c>
      <c r="CD9" s="1185">
        <v>81</v>
      </c>
      <c r="CE9" s="1185">
        <v>82</v>
      </c>
      <c r="CF9" s="1185">
        <v>83</v>
      </c>
      <c r="CG9" s="1185">
        <v>84</v>
      </c>
      <c r="CH9" s="1185">
        <v>85</v>
      </c>
      <c r="CI9" s="1185">
        <v>86</v>
      </c>
      <c r="CJ9" s="1185">
        <v>87</v>
      </c>
      <c r="CK9" s="1185">
        <v>88</v>
      </c>
      <c r="CL9" s="1185">
        <v>89</v>
      </c>
      <c r="CM9" s="1185">
        <v>90</v>
      </c>
      <c r="CN9" s="1185">
        <v>91</v>
      </c>
      <c r="CO9" s="1185">
        <v>92</v>
      </c>
      <c r="CP9" s="1185">
        <v>93</v>
      </c>
      <c r="CQ9" s="1185">
        <v>94</v>
      </c>
      <c r="CR9" s="1185">
        <v>95</v>
      </c>
      <c r="CS9" s="1185">
        <v>96</v>
      </c>
      <c r="CT9" s="1185">
        <v>97</v>
      </c>
      <c r="CU9" s="1185">
        <v>98</v>
      </c>
      <c r="CV9" s="1185">
        <v>99</v>
      </c>
      <c r="CW9" s="1185">
        <v>100</v>
      </c>
      <c r="CX9" s="1185">
        <v>101</v>
      </c>
      <c r="CY9" s="1185">
        <v>102</v>
      </c>
    </row>
    <row r="10" spans="1:104" s="642" customFormat="1" ht="31" customHeight="1">
      <c r="A10" s="1185">
        <v>1</v>
      </c>
      <c r="B10" s="1070"/>
      <c r="C10" s="1483" t="s">
        <v>182</v>
      </c>
      <c r="D10" s="1473" t="s">
        <v>921</v>
      </c>
      <c r="E10" s="1473" t="s">
        <v>1456</v>
      </c>
      <c r="F10" s="1473" t="s">
        <v>880</v>
      </c>
      <c r="G10" s="1482" t="s">
        <v>2531</v>
      </c>
      <c r="H10" s="1482"/>
      <c r="I10" s="1473"/>
      <c r="J10" s="1473"/>
      <c r="K10" s="1473"/>
      <c r="L10" s="1473"/>
      <c r="M10" s="1482"/>
      <c r="N10" s="1482"/>
      <c r="O10" s="1482"/>
      <c r="P10" s="1482"/>
      <c r="Q10" s="1482"/>
      <c r="R10" s="1482"/>
      <c r="S10" s="1482"/>
      <c r="T10" s="1482"/>
      <c r="U10" s="1482"/>
      <c r="V10" s="1482"/>
      <c r="W10" s="1482"/>
      <c r="X10" s="1482"/>
      <c r="Y10" s="1482"/>
      <c r="Z10" s="1482"/>
      <c r="AA10" s="1482"/>
      <c r="AB10" s="1482"/>
      <c r="AC10" s="1482"/>
      <c r="AD10" s="1482"/>
      <c r="AE10" s="1482"/>
      <c r="AF10" s="1482"/>
      <c r="AG10" s="1482"/>
      <c r="AH10" s="1482"/>
      <c r="AI10" s="1482"/>
      <c r="AJ10" s="1482"/>
      <c r="AK10" s="1482"/>
      <c r="AL10" s="1482"/>
      <c r="AM10" s="1482"/>
      <c r="AN10" s="1482"/>
      <c r="AO10" s="1482"/>
      <c r="AP10" s="1482"/>
      <c r="AQ10" s="1482"/>
      <c r="AR10" s="1482"/>
      <c r="AS10" s="1482"/>
      <c r="AT10" s="1482"/>
      <c r="AU10" s="1482"/>
      <c r="AV10" s="1482"/>
      <c r="AW10" s="1482"/>
      <c r="AX10" s="1482"/>
      <c r="AY10" s="1482"/>
      <c r="AZ10" s="1482"/>
      <c r="BA10" s="1482"/>
      <c r="BB10" s="1482"/>
      <c r="BC10" s="1482"/>
      <c r="BD10" s="1482"/>
      <c r="BE10" s="1482"/>
      <c r="BF10" s="1482"/>
      <c r="BG10" s="1482"/>
      <c r="BH10" s="1482"/>
      <c r="BI10" s="1482"/>
      <c r="BJ10" s="1482"/>
      <c r="BK10" s="1482"/>
      <c r="BL10" s="1482"/>
      <c r="BM10" s="1482"/>
      <c r="BN10" s="1482"/>
      <c r="BO10" s="1482"/>
      <c r="BP10" s="1473"/>
      <c r="BQ10" s="1473"/>
      <c r="BR10" s="1473"/>
      <c r="BS10" s="1473"/>
      <c r="BT10" s="1473"/>
      <c r="BU10" s="1473"/>
      <c r="BV10" s="1473"/>
      <c r="BW10" s="1473"/>
      <c r="BX10" s="1473"/>
      <c r="BY10" s="1473"/>
      <c r="BZ10" s="1473"/>
      <c r="CA10" s="1473"/>
      <c r="CB10" s="1473"/>
      <c r="CC10" s="1473"/>
      <c r="CD10" s="1473"/>
      <c r="CE10" s="1473"/>
      <c r="CF10" s="1473"/>
      <c r="CG10" s="1473"/>
      <c r="CH10" s="1473"/>
      <c r="CI10" s="1473"/>
      <c r="CJ10" s="1473"/>
      <c r="CK10" s="1473"/>
      <c r="CL10" s="1473"/>
      <c r="CM10" s="1473"/>
      <c r="CN10" s="1473"/>
      <c r="CO10" s="1473"/>
      <c r="CP10" s="1473"/>
      <c r="CQ10" s="1473"/>
      <c r="CR10" s="1473"/>
      <c r="CS10" s="1473"/>
      <c r="CT10" s="1473"/>
      <c r="CU10" s="1473"/>
      <c r="CV10" s="1473"/>
      <c r="CW10" s="1473"/>
      <c r="CX10" s="1505"/>
      <c r="CY10" s="1069"/>
    </row>
    <row r="11" spans="1:104" s="15" customFormat="1" ht="15" hidden="1" customHeight="1">
      <c r="A11" s="1185">
        <v>2</v>
      </c>
      <c r="B11" s="1103" t="s">
        <v>182</v>
      </c>
      <c r="C11" s="1263"/>
      <c r="D11" s="1267"/>
      <c r="E11" s="1267"/>
      <c r="F11" s="1267"/>
      <c r="G11" s="1267"/>
      <c r="H11" s="1477"/>
      <c r="I11" s="1477"/>
      <c r="J11" s="1477"/>
      <c r="K11" s="1477"/>
      <c r="L11" s="1477"/>
      <c r="M11" s="1477"/>
      <c r="N11" s="1477"/>
      <c r="O11" s="1477"/>
      <c r="P11" s="1477"/>
      <c r="Q11" s="1477"/>
      <c r="R11" s="1477"/>
      <c r="S11" s="1477"/>
      <c r="T11" s="1477"/>
      <c r="U11" s="1477"/>
      <c r="V11" s="1477"/>
      <c r="W11" s="1477"/>
      <c r="X11" s="1477"/>
      <c r="Y11" s="1477"/>
      <c r="Z11" s="1477"/>
      <c r="AA11" s="1477"/>
      <c r="AB11" s="1477"/>
      <c r="AC11" s="1477"/>
      <c r="AD11" s="1477"/>
      <c r="AE11" s="1477"/>
      <c r="AF11" s="1477"/>
      <c r="AG11" s="1477"/>
      <c r="AH11" s="1477"/>
      <c r="AI11" s="1477"/>
      <c r="AJ11" s="1477"/>
      <c r="AK11" s="1477"/>
      <c r="AL11" s="1477"/>
      <c r="AM11" s="1477"/>
      <c r="AN11" s="1477"/>
      <c r="AO11" s="1477"/>
      <c r="AP11" s="1477"/>
      <c r="AQ11" s="1477"/>
      <c r="AR11" s="1477"/>
      <c r="AS11" s="1477"/>
      <c r="AT11" s="1477"/>
      <c r="AU11" s="1477"/>
      <c r="AV11" s="1477"/>
      <c r="AW11" s="1477"/>
      <c r="AX11" s="1477"/>
      <c r="AY11" s="1477"/>
      <c r="AZ11" s="1477"/>
      <c r="BA11" s="1477"/>
      <c r="BB11" s="1477"/>
      <c r="BC11" s="1477"/>
      <c r="BD11" s="1477"/>
      <c r="BE11" s="1477"/>
      <c r="BF11" s="1477"/>
      <c r="BG11" s="1477"/>
      <c r="BH11" s="1477"/>
      <c r="BI11" s="1477"/>
      <c r="BJ11" s="1477"/>
      <c r="BK11" s="1477"/>
      <c r="BL11" s="1477"/>
      <c r="BM11" s="1477"/>
      <c r="BN11" s="1477"/>
      <c r="BO11" s="1477"/>
      <c r="BP11" s="1477"/>
      <c r="BQ11" s="1477"/>
      <c r="BR11" s="1477"/>
      <c r="BS11" s="1477"/>
      <c r="BT11" s="1477"/>
      <c r="BU11" s="1477"/>
      <c r="BV11" s="1477"/>
      <c r="BW11" s="1477"/>
      <c r="BX11" s="1477"/>
      <c r="BY11" s="1477"/>
      <c r="BZ11" s="1477"/>
      <c r="CA11" s="1477"/>
      <c r="CB11" s="1477"/>
      <c r="CC11" s="1477"/>
      <c r="CD11" s="1477"/>
      <c r="CE11" s="1477"/>
      <c r="CF11" s="1477"/>
      <c r="CG11" s="1477"/>
      <c r="CH11" s="1477"/>
      <c r="CI11" s="1477"/>
      <c r="CJ11" s="1477"/>
      <c r="CK11" s="1477"/>
      <c r="CL11" s="1477"/>
      <c r="CM11" s="1477"/>
      <c r="CN11" s="1477"/>
      <c r="CO11" s="1477"/>
      <c r="CP11" s="1477"/>
      <c r="CQ11" s="1477"/>
      <c r="CR11" s="1477"/>
      <c r="CS11" s="1477"/>
      <c r="CT11" s="1477"/>
      <c r="CU11" s="1477"/>
      <c r="CV11" s="1477"/>
      <c r="CW11" s="1477"/>
      <c r="CX11" s="1477"/>
      <c r="CY11" s="1477"/>
    </row>
    <row r="12" spans="1:104" s="15" customFormat="1" ht="15" customHeight="1">
      <c r="A12" s="1185">
        <v>3</v>
      </c>
      <c r="B12" s="1096" t="s">
        <v>921</v>
      </c>
      <c r="C12" s="1096"/>
      <c r="D12" s="1468">
        <v>1</v>
      </c>
      <c r="E12" s="1468">
        <v>1E-3</v>
      </c>
      <c r="F12" s="1468">
        <v>9.9999999999999995E-7</v>
      </c>
      <c r="G12" s="1468">
        <v>1.0000000000000001E-9</v>
      </c>
      <c r="H12" s="1506"/>
      <c r="I12" s="1477"/>
      <c r="J12" s="1477"/>
      <c r="K12" s="1477"/>
      <c r="L12" s="1477"/>
      <c r="M12" s="1477"/>
      <c r="N12" s="1477"/>
      <c r="O12" s="1477"/>
      <c r="P12" s="1477"/>
      <c r="Q12" s="1477"/>
      <c r="R12" s="1477"/>
      <c r="S12" s="1477"/>
      <c r="T12" s="1477"/>
      <c r="U12" s="1477"/>
      <c r="V12" s="1477"/>
      <c r="W12" s="1477"/>
      <c r="X12" s="1477"/>
      <c r="Y12" s="1477"/>
      <c r="Z12" s="1477"/>
      <c r="AA12" s="1477"/>
      <c r="AB12" s="1477"/>
      <c r="AC12" s="1477"/>
      <c r="AD12" s="1477"/>
      <c r="AE12" s="1477"/>
      <c r="AF12" s="1477"/>
      <c r="AG12" s="1477"/>
      <c r="AH12" s="1477"/>
      <c r="AI12" s="1477"/>
      <c r="AJ12" s="1477"/>
      <c r="AK12" s="1477"/>
      <c r="AL12" s="1477"/>
      <c r="AM12" s="1477"/>
      <c r="AN12" s="1477"/>
      <c r="AO12" s="1477"/>
      <c r="AP12" s="1477"/>
      <c r="AQ12" s="1477"/>
      <c r="AR12" s="1477"/>
      <c r="AS12" s="1477"/>
      <c r="AT12" s="1477"/>
      <c r="AU12" s="1477"/>
      <c r="AV12" s="1477"/>
      <c r="AW12" s="1477"/>
      <c r="AX12" s="1477"/>
      <c r="AY12" s="1477"/>
      <c r="AZ12" s="1477"/>
      <c r="BA12" s="1477"/>
      <c r="BB12" s="1477"/>
      <c r="BC12" s="1477"/>
      <c r="BD12" s="1477"/>
      <c r="BE12" s="1477"/>
      <c r="BF12" s="1477"/>
      <c r="BG12" s="1477"/>
      <c r="BH12" s="1477"/>
      <c r="BI12" s="1477"/>
      <c r="BJ12" s="1477"/>
      <c r="BK12" s="1477"/>
      <c r="BL12" s="1477"/>
      <c r="BM12" s="1477"/>
      <c r="BN12" s="1477"/>
      <c r="BO12" s="1477"/>
      <c r="BP12" s="1477"/>
      <c r="BQ12" s="1477"/>
      <c r="BR12" s="1477"/>
      <c r="BS12" s="1477"/>
      <c r="BT12" s="1477"/>
      <c r="BU12" s="1477"/>
      <c r="BV12" s="1477"/>
      <c r="BW12" s="1477"/>
      <c r="BX12" s="1477"/>
      <c r="BY12" s="1477"/>
      <c r="BZ12" s="1477"/>
      <c r="CA12" s="1477"/>
      <c r="CB12" s="1477"/>
      <c r="CC12" s="1477"/>
      <c r="CD12" s="1477"/>
      <c r="CE12" s="1477"/>
      <c r="CF12" s="1477"/>
      <c r="CG12" s="1477"/>
      <c r="CH12" s="1477"/>
      <c r="CI12" s="1477"/>
      <c r="CJ12" s="1477"/>
      <c r="CK12" s="1477"/>
      <c r="CL12" s="1477"/>
      <c r="CM12" s="1477"/>
      <c r="CN12" s="1477"/>
      <c r="CO12" s="1477"/>
      <c r="CP12" s="1477"/>
      <c r="CQ12" s="1477"/>
      <c r="CR12" s="1477"/>
      <c r="CS12" s="1477"/>
      <c r="CT12" s="1477"/>
      <c r="CU12" s="1477"/>
      <c r="CV12" s="1477"/>
      <c r="CW12" s="1477"/>
      <c r="CX12" s="1477"/>
      <c r="CY12" s="1477"/>
    </row>
    <row r="13" spans="1:104" s="15" customFormat="1" ht="15" customHeight="1">
      <c r="A13" s="1185">
        <v>4</v>
      </c>
      <c r="B13" s="1096" t="s">
        <v>1456</v>
      </c>
      <c r="C13" s="1096"/>
      <c r="D13" s="1468">
        <v>1000</v>
      </c>
      <c r="E13" s="1468">
        <v>1</v>
      </c>
      <c r="F13" s="1468">
        <v>1E-3</v>
      </c>
      <c r="G13" s="1468">
        <v>9.9999999999999995E-7</v>
      </c>
      <c r="H13" s="1506"/>
      <c r="I13" s="1477"/>
      <c r="J13" s="1477"/>
      <c r="K13" s="1477"/>
      <c r="L13" s="1477"/>
      <c r="M13" s="1477"/>
      <c r="N13" s="1477"/>
      <c r="O13" s="1477"/>
      <c r="P13" s="1477"/>
      <c r="Q13" s="1477"/>
      <c r="R13" s="1477"/>
      <c r="S13" s="1477"/>
      <c r="T13" s="1477"/>
      <c r="U13" s="1477"/>
      <c r="V13" s="1477"/>
      <c r="W13" s="1477"/>
      <c r="X13" s="1477"/>
      <c r="Y13" s="1477"/>
      <c r="Z13" s="1477"/>
      <c r="AA13" s="1477"/>
      <c r="AB13" s="1477"/>
      <c r="AC13" s="1477"/>
      <c r="AD13" s="1477"/>
      <c r="AE13" s="1477"/>
      <c r="AF13" s="1477"/>
      <c r="AG13" s="1477"/>
      <c r="AH13" s="1477"/>
      <c r="AI13" s="1477"/>
      <c r="AJ13" s="1477"/>
      <c r="AK13" s="1477"/>
      <c r="AL13" s="1477"/>
      <c r="AM13" s="1477"/>
      <c r="AN13" s="1477"/>
      <c r="AO13" s="1477"/>
      <c r="AP13" s="1477"/>
      <c r="AQ13" s="1477"/>
      <c r="AR13" s="1477"/>
      <c r="AS13" s="1477"/>
      <c r="AT13" s="1477"/>
      <c r="AU13" s="1477"/>
      <c r="AV13" s="1477"/>
      <c r="AW13" s="1477"/>
      <c r="AX13" s="1477"/>
      <c r="AY13" s="1477"/>
      <c r="AZ13" s="1477"/>
      <c r="BA13" s="1477"/>
      <c r="BB13" s="1477"/>
      <c r="BC13" s="1477"/>
      <c r="BD13" s="1477"/>
      <c r="BE13" s="1477"/>
      <c r="BF13" s="1477"/>
      <c r="BG13" s="1477"/>
      <c r="BH13" s="1477"/>
      <c r="BI13" s="1477"/>
      <c r="BJ13" s="1477"/>
      <c r="BK13" s="1477"/>
      <c r="BL13" s="1477"/>
      <c r="BM13" s="1477"/>
      <c r="BN13" s="1477"/>
      <c r="BO13" s="1477"/>
      <c r="BP13" s="1477"/>
      <c r="BQ13" s="1477"/>
      <c r="BR13" s="1477"/>
      <c r="BS13" s="1477"/>
      <c r="BT13" s="1477"/>
      <c r="BU13" s="1477"/>
      <c r="BV13" s="1477"/>
      <c r="BW13" s="1477"/>
      <c r="BX13" s="1477"/>
      <c r="BY13" s="1477"/>
      <c r="BZ13" s="1477"/>
      <c r="CA13" s="1477"/>
      <c r="CB13" s="1477"/>
      <c r="CC13" s="1477"/>
      <c r="CD13" s="1477"/>
      <c r="CE13" s="1477"/>
      <c r="CF13" s="1477"/>
      <c r="CG13" s="1477"/>
      <c r="CH13" s="1477"/>
      <c r="CI13" s="1477"/>
      <c r="CJ13" s="1477"/>
      <c r="CK13" s="1477"/>
      <c r="CL13" s="1477"/>
      <c r="CM13" s="1477"/>
      <c r="CN13" s="1477"/>
      <c r="CO13" s="1477"/>
      <c r="CP13" s="1477"/>
      <c r="CQ13" s="1477"/>
      <c r="CR13" s="1477"/>
      <c r="CS13" s="1477"/>
      <c r="CT13" s="1477"/>
      <c r="CU13" s="1477"/>
      <c r="CV13" s="1477"/>
      <c r="CW13" s="1477"/>
      <c r="CX13" s="1477"/>
      <c r="CY13" s="1477"/>
    </row>
    <row r="14" spans="1:104" s="15" customFormat="1" ht="15" customHeight="1">
      <c r="A14" s="1185">
        <v>5</v>
      </c>
      <c r="B14" s="1096" t="s">
        <v>880</v>
      </c>
      <c r="C14" s="1096"/>
      <c r="D14" s="1468">
        <v>1000000</v>
      </c>
      <c r="E14" s="1468">
        <v>1000</v>
      </c>
      <c r="F14" s="1468">
        <v>1</v>
      </c>
      <c r="G14" s="1468">
        <v>1E-3</v>
      </c>
      <c r="H14" s="1506"/>
      <c r="I14" s="1477"/>
      <c r="J14" s="1477"/>
      <c r="K14" s="1477"/>
      <c r="L14" s="1477"/>
      <c r="M14" s="1477"/>
      <c r="N14" s="1477"/>
      <c r="O14" s="1477"/>
      <c r="P14" s="1477"/>
      <c r="Q14" s="1477"/>
      <c r="R14" s="1477"/>
      <c r="S14" s="1477"/>
      <c r="T14" s="1477"/>
      <c r="U14" s="1477"/>
      <c r="V14" s="1477"/>
      <c r="W14" s="1477"/>
      <c r="X14" s="1477"/>
      <c r="Y14" s="1477"/>
      <c r="Z14" s="1477"/>
      <c r="AA14" s="1477"/>
      <c r="AB14" s="1477"/>
      <c r="AC14" s="1477"/>
      <c r="AD14" s="1477"/>
      <c r="AE14" s="1477"/>
      <c r="AF14" s="1477"/>
      <c r="AG14" s="1477"/>
      <c r="AH14" s="1477"/>
      <c r="AI14" s="1477"/>
      <c r="AJ14" s="1477"/>
      <c r="AK14" s="1477"/>
      <c r="AL14" s="1477"/>
      <c r="AM14" s="1477"/>
      <c r="AN14" s="1477"/>
      <c r="AO14" s="1477"/>
      <c r="AP14" s="1477"/>
      <c r="AQ14" s="1477"/>
      <c r="AR14" s="1477"/>
      <c r="AS14" s="1477"/>
      <c r="AT14" s="1477"/>
      <c r="AU14" s="1477"/>
      <c r="AV14" s="1477"/>
      <c r="AW14" s="1477"/>
      <c r="AX14" s="1477"/>
      <c r="AY14" s="1477"/>
      <c r="AZ14" s="1477"/>
      <c r="BA14" s="1477"/>
      <c r="BB14" s="1477"/>
      <c r="BC14" s="1477"/>
      <c r="BD14" s="1477"/>
      <c r="BE14" s="1477"/>
      <c r="BF14" s="1477"/>
      <c r="BG14" s="1477"/>
      <c r="BH14" s="1477"/>
      <c r="BI14" s="1477"/>
      <c r="BJ14" s="1477"/>
      <c r="BK14" s="1477"/>
      <c r="BL14" s="1477"/>
      <c r="BM14" s="1477"/>
      <c r="BN14" s="1477"/>
      <c r="BO14" s="1477"/>
      <c r="BP14" s="1477"/>
      <c r="BQ14" s="1477"/>
      <c r="BR14" s="1477"/>
      <c r="BS14" s="1477"/>
      <c r="BT14" s="1477"/>
      <c r="BU14" s="1477"/>
      <c r="BV14" s="1477"/>
      <c r="BW14" s="1477"/>
      <c r="BX14" s="1477"/>
      <c r="BY14" s="1477"/>
      <c r="BZ14" s="1477"/>
      <c r="CA14" s="1477"/>
      <c r="CB14" s="1477"/>
      <c r="CC14" s="1477"/>
      <c r="CD14" s="1477"/>
      <c r="CE14" s="1477"/>
      <c r="CF14" s="1477"/>
      <c r="CG14" s="1477"/>
      <c r="CH14" s="1477"/>
      <c r="CI14" s="1477"/>
      <c r="CJ14" s="1477"/>
      <c r="CK14" s="1477"/>
      <c r="CL14" s="1477"/>
      <c r="CM14" s="1477"/>
      <c r="CN14" s="1477"/>
      <c r="CO14" s="1477"/>
      <c r="CP14" s="1477"/>
      <c r="CQ14" s="1477"/>
      <c r="CR14" s="1477"/>
      <c r="CS14" s="1477"/>
      <c r="CT14" s="1477"/>
      <c r="CU14" s="1477"/>
      <c r="CV14" s="1477"/>
      <c r="CW14" s="1477"/>
      <c r="CX14" s="1477"/>
      <c r="CY14" s="1477"/>
    </row>
    <row r="15" spans="1:104" s="15" customFormat="1" ht="15" customHeight="1">
      <c r="A15" s="1185">
        <v>6</v>
      </c>
      <c r="B15" s="1096" t="s">
        <v>2531</v>
      </c>
      <c r="C15" s="1096"/>
      <c r="D15" s="1468">
        <v>1000000000</v>
      </c>
      <c r="E15" s="1468">
        <v>1000000</v>
      </c>
      <c r="F15" s="1468">
        <v>1000</v>
      </c>
      <c r="G15" s="1468">
        <v>1</v>
      </c>
      <c r="H15" s="1506"/>
      <c r="I15" s="1477"/>
      <c r="J15" s="1477"/>
      <c r="K15" s="1477"/>
      <c r="L15" s="1477"/>
      <c r="M15" s="1477"/>
      <c r="N15" s="1477"/>
      <c r="O15" s="1477"/>
      <c r="P15" s="1477"/>
      <c r="Q15" s="1477"/>
      <c r="R15" s="1477"/>
      <c r="S15" s="1477"/>
      <c r="T15" s="1477"/>
      <c r="U15" s="1477"/>
      <c r="V15" s="1477"/>
      <c r="W15" s="1477"/>
      <c r="X15" s="1477"/>
      <c r="Y15" s="1477"/>
      <c r="Z15" s="1477"/>
      <c r="AA15" s="1477"/>
      <c r="AB15" s="1477"/>
      <c r="AC15" s="1477"/>
      <c r="AD15" s="1477"/>
      <c r="AE15" s="1477"/>
      <c r="AF15" s="1477"/>
      <c r="AG15" s="1477"/>
      <c r="AH15" s="1477"/>
      <c r="AI15" s="1477"/>
      <c r="AJ15" s="1477"/>
      <c r="AK15" s="1477"/>
      <c r="AL15" s="1477"/>
      <c r="AM15" s="1477"/>
      <c r="AN15" s="1477"/>
      <c r="AO15" s="1477"/>
      <c r="AP15" s="1477"/>
      <c r="AQ15" s="1477"/>
      <c r="AR15" s="1477"/>
      <c r="AS15" s="1477"/>
      <c r="AT15" s="1477"/>
      <c r="AU15" s="1477"/>
      <c r="AV15" s="1477"/>
      <c r="AW15" s="1477"/>
      <c r="AX15" s="1477"/>
      <c r="AY15" s="1477"/>
      <c r="AZ15" s="1477"/>
      <c r="BA15" s="1477"/>
      <c r="BB15" s="1477"/>
      <c r="BC15" s="1477"/>
      <c r="BD15" s="1477"/>
      <c r="BE15" s="1477"/>
      <c r="BF15" s="1477"/>
      <c r="BG15" s="1477"/>
      <c r="BH15" s="1477"/>
      <c r="BI15" s="1477"/>
      <c r="BJ15" s="1477"/>
      <c r="BK15" s="1477"/>
      <c r="BL15" s="1477"/>
      <c r="BM15" s="1477"/>
      <c r="BN15" s="1477"/>
      <c r="BO15" s="1477"/>
      <c r="BP15" s="1477"/>
      <c r="BQ15" s="1477"/>
      <c r="BR15" s="1477"/>
      <c r="BS15" s="1477"/>
      <c r="BT15" s="1477"/>
      <c r="BU15" s="1477"/>
      <c r="BV15" s="1477"/>
      <c r="BW15" s="1477"/>
      <c r="BX15" s="1477"/>
      <c r="BY15" s="1477"/>
      <c r="BZ15" s="1477"/>
      <c r="CA15" s="1477"/>
      <c r="CB15" s="1477"/>
      <c r="CC15" s="1477"/>
      <c r="CD15" s="1477"/>
      <c r="CE15" s="1477"/>
      <c r="CF15" s="1477"/>
      <c r="CG15" s="1477"/>
      <c r="CH15" s="1477"/>
      <c r="CI15" s="1477"/>
      <c r="CJ15" s="1477"/>
      <c r="CK15" s="1477"/>
      <c r="CL15" s="1477"/>
      <c r="CM15" s="1477"/>
      <c r="CN15" s="1477"/>
      <c r="CO15" s="1477"/>
      <c r="CP15" s="1477"/>
      <c r="CQ15" s="1477"/>
      <c r="CR15" s="1477"/>
      <c r="CS15" s="1477"/>
      <c r="CT15" s="1477"/>
      <c r="CU15" s="1477"/>
      <c r="CV15" s="1477"/>
      <c r="CW15" s="1477"/>
      <c r="CX15" s="1477"/>
      <c r="CY15" s="1477"/>
    </row>
    <row r="16" spans="1:104" s="15" customFormat="1" ht="15" customHeight="1">
      <c r="A16" s="1185">
        <v>7</v>
      </c>
      <c r="B16" s="1103"/>
      <c r="C16" s="1522"/>
      <c r="D16" s="1273"/>
      <c r="E16" s="1273"/>
      <c r="F16" s="1273"/>
      <c r="G16" s="1273"/>
      <c r="H16" s="1477">
        <v>1</v>
      </c>
      <c r="I16" s="1477"/>
      <c r="J16" s="1477"/>
      <c r="K16" s="1477"/>
      <c r="L16" s="1477"/>
      <c r="M16" s="1477"/>
      <c r="N16" s="1477"/>
      <c r="O16" s="1477"/>
      <c r="P16" s="1477"/>
      <c r="Q16" s="1477"/>
      <c r="R16" s="1477"/>
      <c r="S16" s="1477"/>
      <c r="T16" s="1477"/>
      <c r="U16" s="1477"/>
      <c r="V16" s="1477"/>
      <c r="W16" s="1477"/>
      <c r="X16" s="1477"/>
      <c r="Y16" s="1477"/>
      <c r="Z16" s="1477"/>
      <c r="AA16" s="1477"/>
      <c r="AB16" s="1477"/>
      <c r="AC16" s="1477"/>
      <c r="AD16" s="1477"/>
      <c r="AE16" s="1477"/>
      <c r="AF16" s="1477"/>
      <c r="AG16" s="1477"/>
      <c r="AH16" s="1477"/>
      <c r="AI16" s="1477"/>
      <c r="AJ16" s="1477"/>
      <c r="AK16" s="1477"/>
      <c r="AL16" s="1477"/>
      <c r="AM16" s="1477"/>
      <c r="AN16" s="1477"/>
      <c r="AO16" s="1477"/>
      <c r="AP16" s="1477"/>
      <c r="AQ16" s="1477"/>
      <c r="AR16" s="1477"/>
      <c r="AS16" s="1477"/>
      <c r="AT16" s="1477"/>
      <c r="AU16" s="1477"/>
      <c r="AV16" s="1477"/>
      <c r="AW16" s="1477"/>
      <c r="AX16" s="1477"/>
      <c r="AY16" s="1477"/>
      <c r="AZ16" s="1477"/>
      <c r="BA16" s="1477"/>
      <c r="BB16" s="1477"/>
      <c r="BC16" s="1477"/>
      <c r="BD16" s="1477"/>
      <c r="BE16" s="1477"/>
      <c r="BF16" s="1477"/>
      <c r="BG16" s="1477"/>
      <c r="BH16" s="1477"/>
      <c r="BI16" s="1477"/>
      <c r="BJ16" s="1477"/>
      <c r="BK16" s="1477"/>
      <c r="BL16" s="1477"/>
      <c r="BM16" s="1477"/>
      <c r="BN16" s="1477"/>
      <c r="BO16" s="1477"/>
      <c r="BP16" s="1477"/>
      <c r="BQ16" s="1477"/>
      <c r="BR16" s="1477"/>
      <c r="BS16" s="1477"/>
      <c r="BT16" s="1477"/>
      <c r="BU16" s="1477"/>
      <c r="BV16" s="1477"/>
      <c r="BW16" s="1477"/>
      <c r="BX16" s="1477"/>
      <c r="BY16" s="1477"/>
      <c r="BZ16" s="1477"/>
      <c r="CA16" s="1477"/>
      <c r="CB16" s="1477"/>
      <c r="CC16" s="1477"/>
      <c r="CD16" s="1477"/>
      <c r="CE16" s="1477"/>
      <c r="CF16" s="1477"/>
      <c r="CG16" s="1477"/>
      <c r="CH16" s="1477"/>
      <c r="CI16" s="1477"/>
      <c r="CJ16" s="1477"/>
      <c r="CK16" s="1477"/>
      <c r="CL16" s="1477"/>
      <c r="CM16" s="1477"/>
      <c r="CN16" s="1477"/>
      <c r="CO16" s="1477"/>
      <c r="CP16" s="1477"/>
      <c r="CQ16" s="1477"/>
      <c r="CR16" s="1477"/>
      <c r="CS16" s="1477"/>
      <c r="CT16" s="1477"/>
      <c r="CU16" s="1477"/>
      <c r="CV16" s="1477"/>
      <c r="CW16" s="1477"/>
      <c r="CX16" s="1477"/>
      <c r="CY16" s="1477"/>
    </row>
    <row r="17" spans="1:103" s="15" customFormat="1" ht="15" customHeight="1">
      <c r="A17" s="1185">
        <v>8</v>
      </c>
      <c r="B17" s="1103"/>
      <c r="C17" s="1103"/>
      <c r="D17" s="1477"/>
      <c r="E17" s="1477"/>
      <c r="F17" s="1477"/>
      <c r="G17" s="1477"/>
      <c r="H17" s="1477"/>
      <c r="I17" s="1477">
        <v>1</v>
      </c>
      <c r="J17" s="1477"/>
      <c r="K17" s="1477"/>
      <c r="L17" s="1477"/>
      <c r="M17" s="1477"/>
      <c r="N17" s="1477"/>
      <c r="O17" s="1477"/>
      <c r="P17" s="1477"/>
      <c r="Q17" s="1477"/>
      <c r="R17" s="1477"/>
      <c r="S17" s="1477"/>
      <c r="T17" s="1477"/>
      <c r="U17" s="1477"/>
      <c r="V17" s="1477"/>
      <c r="W17" s="1477"/>
      <c r="X17" s="1477"/>
      <c r="Y17" s="1477"/>
      <c r="Z17" s="1477"/>
      <c r="AA17" s="1477"/>
      <c r="AB17" s="1477"/>
      <c r="AC17" s="1477"/>
      <c r="AD17" s="1477"/>
      <c r="AE17" s="1477"/>
      <c r="AF17" s="1477"/>
      <c r="AG17" s="1477"/>
      <c r="AH17" s="1477"/>
      <c r="AI17" s="1477"/>
      <c r="AJ17" s="1477"/>
      <c r="AK17" s="1477"/>
      <c r="AL17" s="1477"/>
      <c r="AM17" s="1477"/>
      <c r="AN17" s="1477"/>
      <c r="AO17" s="1477"/>
      <c r="AP17" s="1477"/>
      <c r="AQ17" s="1477"/>
      <c r="AR17" s="1477"/>
      <c r="AS17" s="1477"/>
      <c r="AT17" s="1477"/>
      <c r="AU17" s="1477"/>
      <c r="AV17" s="1477"/>
      <c r="AW17" s="1477"/>
      <c r="AX17" s="1477"/>
      <c r="AY17" s="1477"/>
      <c r="AZ17" s="1477"/>
      <c r="BA17" s="1477"/>
      <c r="BB17" s="1477"/>
      <c r="BC17" s="1477"/>
      <c r="BD17" s="1477"/>
      <c r="BE17" s="1477"/>
      <c r="BF17" s="1477"/>
      <c r="BG17" s="1477"/>
      <c r="BH17" s="1477"/>
      <c r="BI17" s="1477"/>
      <c r="BJ17" s="1477"/>
      <c r="BK17" s="1477"/>
      <c r="BL17" s="1477"/>
      <c r="BM17" s="1477"/>
      <c r="BN17" s="1477"/>
      <c r="BO17" s="1477"/>
      <c r="BP17" s="1477"/>
      <c r="BQ17" s="1477"/>
      <c r="BR17" s="1477"/>
      <c r="BS17" s="1477"/>
      <c r="BT17" s="1477"/>
      <c r="BU17" s="1477"/>
      <c r="BV17" s="1477"/>
      <c r="BW17" s="1477"/>
      <c r="BX17" s="1477"/>
      <c r="BY17" s="1477"/>
      <c r="BZ17" s="1477"/>
      <c r="CA17" s="1477"/>
      <c r="CB17" s="1477"/>
      <c r="CC17" s="1477"/>
      <c r="CD17" s="1477"/>
      <c r="CE17" s="1477"/>
      <c r="CF17" s="1477"/>
      <c r="CG17" s="1477"/>
      <c r="CH17" s="1477"/>
      <c r="CI17" s="1477"/>
      <c r="CJ17" s="1477"/>
      <c r="CK17" s="1477"/>
      <c r="CL17" s="1477"/>
      <c r="CM17" s="1477"/>
      <c r="CN17" s="1477"/>
      <c r="CO17" s="1477"/>
      <c r="CP17" s="1477"/>
      <c r="CQ17" s="1477"/>
      <c r="CR17" s="1477"/>
      <c r="CS17" s="1477"/>
      <c r="CT17" s="1477"/>
      <c r="CU17" s="1477"/>
      <c r="CV17" s="1477"/>
      <c r="CW17" s="1477"/>
      <c r="CX17" s="1477"/>
      <c r="CY17" s="1477"/>
    </row>
    <row r="18" spans="1:103" s="15" customFormat="1" ht="15" customHeight="1">
      <c r="A18" s="1185">
        <v>9</v>
      </c>
      <c r="B18" s="1103"/>
      <c r="C18" s="1103"/>
      <c r="D18" s="1477"/>
      <c r="E18" s="1477"/>
      <c r="F18" s="1477"/>
      <c r="G18" s="1477"/>
      <c r="H18" s="1477"/>
      <c r="I18" s="1477"/>
      <c r="J18" s="1477">
        <v>1</v>
      </c>
      <c r="K18" s="1477"/>
      <c r="L18" s="1477"/>
      <c r="M18" s="1477"/>
      <c r="N18" s="1477"/>
      <c r="O18" s="1477"/>
      <c r="P18" s="1477"/>
      <c r="Q18" s="1477"/>
      <c r="R18" s="1477"/>
      <c r="S18" s="1477"/>
      <c r="T18" s="1477"/>
      <c r="U18" s="1477"/>
      <c r="V18" s="1477"/>
      <c r="W18" s="1477"/>
      <c r="X18" s="1477"/>
      <c r="Y18" s="1477"/>
      <c r="Z18" s="1477"/>
      <c r="AA18" s="1477"/>
      <c r="AB18" s="1477"/>
      <c r="AC18" s="1477"/>
      <c r="AD18" s="1477"/>
      <c r="AE18" s="1477"/>
      <c r="AF18" s="1477"/>
      <c r="AG18" s="1477"/>
      <c r="AH18" s="1477"/>
      <c r="AI18" s="1477"/>
      <c r="AJ18" s="1477"/>
      <c r="AK18" s="1477"/>
      <c r="AL18" s="1477"/>
      <c r="AM18" s="1477"/>
      <c r="AN18" s="1477"/>
      <c r="AO18" s="1477"/>
      <c r="AP18" s="1477"/>
      <c r="AQ18" s="1477"/>
      <c r="AR18" s="1477"/>
      <c r="AS18" s="1477"/>
      <c r="AT18" s="1477"/>
      <c r="AU18" s="1477"/>
      <c r="AV18" s="1477"/>
      <c r="AW18" s="1477"/>
      <c r="AX18" s="1477"/>
      <c r="AY18" s="1477"/>
      <c r="AZ18" s="1477"/>
      <c r="BA18" s="1477"/>
      <c r="BB18" s="1477"/>
      <c r="BC18" s="1477"/>
      <c r="BD18" s="1477"/>
      <c r="BE18" s="1477"/>
      <c r="BF18" s="1477"/>
      <c r="BG18" s="1477"/>
      <c r="BH18" s="1477"/>
      <c r="BI18" s="1477"/>
      <c r="BJ18" s="1477"/>
      <c r="BK18" s="1477"/>
      <c r="BL18" s="1477"/>
      <c r="BM18" s="1477"/>
      <c r="BN18" s="1477"/>
      <c r="BO18" s="1477"/>
      <c r="BP18" s="1477"/>
      <c r="BQ18" s="1477"/>
      <c r="BR18" s="1477"/>
      <c r="BS18" s="1477"/>
      <c r="BT18" s="1477"/>
      <c r="BU18" s="1477"/>
      <c r="BV18" s="1477"/>
      <c r="BW18" s="1477"/>
      <c r="BX18" s="1477"/>
      <c r="BY18" s="1477"/>
      <c r="BZ18" s="1477"/>
      <c r="CA18" s="1477"/>
      <c r="CB18" s="1477"/>
      <c r="CC18" s="1477"/>
      <c r="CD18" s="1477"/>
      <c r="CE18" s="1477"/>
      <c r="CF18" s="1477"/>
      <c r="CG18" s="1477"/>
      <c r="CH18" s="1477"/>
      <c r="CI18" s="1477"/>
      <c r="CJ18" s="1477"/>
      <c r="CK18" s="1477"/>
      <c r="CL18" s="1477"/>
      <c r="CM18" s="1477"/>
      <c r="CN18" s="1477"/>
      <c r="CO18" s="1477"/>
      <c r="CP18" s="1477"/>
      <c r="CQ18" s="1477"/>
      <c r="CR18" s="1477"/>
      <c r="CS18" s="1477"/>
      <c r="CT18" s="1477"/>
      <c r="CU18" s="1477"/>
      <c r="CV18" s="1477"/>
      <c r="CW18" s="1477"/>
      <c r="CX18" s="1477"/>
      <c r="CY18" s="1477"/>
    </row>
    <row r="19" spans="1:103" s="15" customFormat="1" ht="15" customHeight="1">
      <c r="A19" s="1185">
        <v>10</v>
      </c>
      <c r="B19" s="1103"/>
      <c r="C19" s="1103"/>
      <c r="D19" s="1477"/>
      <c r="E19" s="1477"/>
      <c r="F19" s="1477"/>
      <c r="G19" s="1477"/>
      <c r="H19" s="1477"/>
      <c r="I19" s="1477"/>
      <c r="J19" s="1477"/>
      <c r="K19" s="1477">
        <v>1</v>
      </c>
      <c r="L19" s="1477"/>
      <c r="M19" s="1477"/>
      <c r="N19" s="1477"/>
      <c r="O19" s="1477"/>
      <c r="P19" s="1477"/>
      <c r="Q19" s="1477"/>
      <c r="R19" s="1477"/>
      <c r="S19" s="1477"/>
      <c r="T19" s="1477"/>
      <c r="U19" s="1477"/>
      <c r="V19" s="1477"/>
      <c r="W19" s="1477"/>
      <c r="X19" s="1477"/>
      <c r="Y19" s="1477"/>
      <c r="Z19" s="1477"/>
      <c r="AA19" s="1477"/>
      <c r="AB19" s="1477"/>
      <c r="AC19" s="1477"/>
      <c r="AD19" s="1477"/>
      <c r="AE19" s="1477"/>
      <c r="AF19" s="1477"/>
      <c r="AG19" s="1477"/>
      <c r="AH19" s="1477"/>
      <c r="AI19" s="1477"/>
      <c r="AJ19" s="1477"/>
      <c r="AK19" s="1477"/>
      <c r="AL19" s="1477"/>
      <c r="AM19" s="1477"/>
      <c r="AN19" s="1477"/>
      <c r="AO19" s="1477"/>
      <c r="AP19" s="1477"/>
      <c r="AQ19" s="1477"/>
      <c r="AR19" s="1477"/>
      <c r="AS19" s="1477"/>
      <c r="AT19" s="1477"/>
      <c r="AU19" s="1477"/>
      <c r="AV19" s="1477"/>
      <c r="AW19" s="1477"/>
      <c r="AX19" s="1477"/>
      <c r="AY19" s="1477"/>
      <c r="AZ19" s="1477"/>
      <c r="BA19" s="1477"/>
      <c r="BB19" s="1477"/>
      <c r="BC19" s="1477"/>
      <c r="BD19" s="1477"/>
      <c r="BE19" s="1477"/>
      <c r="BF19" s="1477"/>
      <c r="BG19" s="1477"/>
      <c r="BH19" s="1477"/>
      <c r="BI19" s="1477"/>
      <c r="BJ19" s="1477"/>
      <c r="BK19" s="1477"/>
      <c r="BL19" s="1477"/>
      <c r="BM19" s="1477"/>
      <c r="BN19" s="1477"/>
      <c r="BO19" s="1477"/>
      <c r="BP19" s="1477"/>
      <c r="BQ19" s="1477"/>
      <c r="BR19" s="1477"/>
      <c r="BS19" s="1477"/>
      <c r="BT19" s="1477"/>
      <c r="BU19" s="1477"/>
      <c r="BV19" s="1477"/>
      <c r="BW19" s="1477"/>
      <c r="BX19" s="1477"/>
      <c r="BY19" s="1477"/>
      <c r="BZ19" s="1477"/>
      <c r="CA19" s="1477"/>
      <c r="CB19" s="1477"/>
      <c r="CC19" s="1477"/>
      <c r="CD19" s="1477"/>
      <c r="CE19" s="1477"/>
      <c r="CF19" s="1477"/>
      <c r="CG19" s="1477"/>
      <c r="CH19" s="1477"/>
      <c r="CI19" s="1477"/>
      <c r="CJ19" s="1477"/>
      <c r="CK19" s="1477"/>
      <c r="CL19" s="1477"/>
      <c r="CM19" s="1477"/>
      <c r="CN19" s="1477"/>
      <c r="CO19" s="1477"/>
      <c r="CP19" s="1477"/>
      <c r="CQ19" s="1477"/>
      <c r="CR19" s="1477"/>
      <c r="CS19" s="1477"/>
      <c r="CT19" s="1477"/>
      <c r="CU19" s="1477"/>
      <c r="CV19" s="1477"/>
      <c r="CW19" s="1477"/>
      <c r="CX19" s="1477"/>
      <c r="CY19" s="1477"/>
    </row>
    <row r="20" spans="1:103" s="15" customFormat="1" ht="15" customHeight="1">
      <c r="A20" s="1185">
        <v>11</v>
      </c>
      <c r="B20" s="1103"/>
      <c r="C20" s="1103"/>
      <c r="D20" s="1477"/>
      <c r="E20" s="1477"/>
      <c r="F20" s="1477"/>
      <c r="G20" s="1477"/>
      <c r="H20" s="1477"/>
      <c r="I20" s="1477"/>
      <c r="J20" s="1477"/>
      <c r="K20" s="1477"/>
      <c r="L20" s="1477">
        <v>1</v>
      </c>
      <c r="M20" s="1477"/>
      <c r="N20" s="1477"/>
      <c r="O20" s="1477"/>
      <c r="P20" s="1477"/>
      <c r="Q20" s="1477"/>
      <c r="R20" s="1477"/>
      <c r="S20" s="1477"/>
      <c r="T20" s="1477"/>
      <c r="U20" s="1477"/>
      <c r="V20" s="1477"/>
      <c r="W20" s="1477"/>
      <c r="X20" s="1477"/>
      <c r="Y20" s="1477"/>
      <c r="Z20" s="1477"/>
      <c r="AA20" s="1477"/>
      <c r="AB20" s="1477"/>
      <c r="AC20" s="1477"/>
      <c r="AD20" s="1477"/>
      <c r="AE20" s="1477"/>
      <c r="AF20" s="1477"/>
      <c r="AG20" s="1477"/>
      <c r="AH20" s="1477"/>
      <c r="AI20" s="1477"/>
      <c r="AJ20" s="1477"/>
      <c r="AK20" s="1477"/>
      <c r="AL20" s="1477"/>
      <c r="AM20" s="1477"/>
      <c r="AN20" s="1477"/>
      <c r="AO20" s="1477"/>
      <c r="AP20" s="1477"/>
      <c r="AQ20" s="1477"/>
      <c r="AR20" s="1477"/>
      <c r="AS20" s="1477"/>
      <c r="AT20" s="1477"/>
      <c r="AU20" s="1477"/>
      <c r="AV20" s="1477"/>
      <c r="AW20" s="1477"/>
      <c r="AX20" s="1477"/>
      <c r="AY20" s="1477"/>
      <c r="AZ20" s="1477"/>
      <c r="BA20" s="1477"/>
      <c r="BB20" s="1477"/>
      <c r="BC20" s="1477"/>
      <c r="BD20" s="1477"/>
      <c r="BE20" s="1477"/>
      <c r="BF20" s="1477"/>
      <c r="BG20" s="1477"/>
      <c r="BH20" s="1477"/>
      <c r="BI20" s="1477"/>
      <c r="BJ20" s="1477"/>
      <c r="BK20" s="1477"/>
      <c r="BL20" s="1477"/>
      <c r="BM20" s="1477"/>
      <c r="BN20" s="1477"/>
      <c r="BO20" s="1477"/>
      <c r="BP20" s="1477"/>
      <c r="BQ20" s="1477"/>
      <c r="BR20" s="1477"/>
      <c r="BS20" s="1477"/>
      <c r="BT20" s="1477"/>
      <c r="BU20" s="1477"/>
      <c r="BV20" s="1477"/>
      <c r="BW20" s="1477"/>
      <c r="BX20" s="1477"/>
      <c r="BY20" s="1477"/>
      <c r="BZ20" s="1477"/>
      <c r="CA20" s="1477"/>
      <c r="CB20" s="1477"/>
      <c r="CC20" s="1477"/>
      <c r="CD20" s="1477"/>
      <c r="CE20" s="1477"/>
      <c r="CF20" s="1477"/>
      <c r="CG20" s="1477"/>
      <c r="CH20" s="1477"/>
      <c r="CI20" s="1477"/>
      <c r="CJ20" s="1477"/>
      <c r="CK20" s="1477"/>
      <c r="CL20" s="1477"/>
      <c r="CM20" s="1477"/>
      <c r="CN20" s="1477"/>
      <c r="CO20" s="1477"/>
      <c r="CP20" s="1477"/>
      <c r="CQ20" s="1477"/>
      <c r="CR20" s="1477"/>
      <c r="CS20" s="1477"/>
      <c r="CT20" s="1477"/>
      <c r="CU20" s="1477"/>
      <c r="CV20" s="1477"/>
      <c r="CW20" s="1477"/>
      <c r="CX20" s="1477"/>
      <c r="CY20" s="1477"/>
    </row>
    <row r="21" spans="1:103" s="15" customFormat="1" ht="15" customHeight="1">
      <c r="A21" s="1185">
        <v>12</v>
      </c>
      <c r="B21" s="1103"/>
      <c r="C21" s="1103"/>
      <c r="D21" s="1477"/>
      <c r="E21" s="1477"/>
      <c r="F21" s="1477"/>
      <c r="G21" s="1477"/>
      <c r="H21" s="1477"/>
      <c r="I21" s="1477"/>
      <c r="J21" s="1477"/>
      <c r="K21" s="1477"/>
      <c r="L21" s="1477"/>
      <c r="M21" s="1477">
        <v>1</v>
      </c>
      <c r="N21" s="1477"/>
      <c r="O21" s="1477"/>
      <c r="P21" s="1477"/>
      <c r="Q21" s="1477"/>
      <c r="R21" s="1477"/>
      <c r="S21" s="1477"/>
      <c r="T21" s="1477"/>
      <c r="U21" s="1477"/>
      <c r="V21" s="1477"/>
      <c r="W21" s="1477"/>
      <c r="X21" s="1477"/>
      <c r="Y21" s="1477"/>
      <c r="Z21" s="1477"/>
      <c r="AA21" s="1477"/>
      <c r="AB21" s="1477"/>
      <c r="AC21" s="1477"/>
      <c r="AD21" s="1477"/>
      <c r="AE21" s="1477"/>
      <c r="AF21" s="1477"/>
      <c r="AG21" s="1477"/>
      <c r="AH21" s="1477"/>
      <c r="AI21" s="1477"/>
      <c r="AJ21" s="1477"/>
      <c r="AK21" s="1477"/>
      <c r="AL21" s="1477"/>
      <c r="AM21" s="1477"/>
      <c r="AN21" s="1477"/>
      <c r="AO21" s="1477"/>
      <c r="AP21" s="1477"/>
      <c r="AQ21" s="1477"/>
      <c r="AR21" s="1477"/>
      <c r="AS21" s="1477"/>
      <c r="AT21" s="1477"/>
      <c r="AU21" s="1477"/>
      <c r="AV21" s="1477"/>
      <c r="AW21" s="1477"/>
      <c r="AX21" s="1477"/>
      <c r="AY21" s="1477"/>
      <c r="AZ21" s="1477"/>
      <c r="BA21" s="1477"/>
      <c r="BB21" s="1477"/>
      <c r="BC21" s="1477"/>
      <c r="BD21" s="1477"/>
      <c r="BE21" s="1477"/>
      <c r="BF21" s="1477"/>
      <c r="BG21" s="1477"/>
      <c r="BH21" s="1477"/>
      <c r="BI21" s="1477"/>
      <c r="BJ21" s="1477"/>
      <c r="BK21" s="1477"/>
      <c r="BL21" s="1477"/>
      <c r="BM21" s="1477"/>
      <c r="BN21" s="1477"/>
      <c r="BO21" s="1477"/>
      <c r="BP21" s="1477"/>
      <c r="BQ21" s="1477"/>
      <c r="BR21" s="1477"/>
      <c r="BS21" s="1477"/>
      <c r="BT21" s="1477"/>
      <c r="BU21" s="1477"/>
      <c r="BV21" s="1477"/>
      <c r="BW21" s="1477"/>
      <c r="BX21" s="1477"/>
      <c r="BY21" s="1477"/>
      <c r="BZ21" s="1477"/>
      <c r="CA21" s="1477"/>
      <c r="CB21" s="1477"/>
      <c r="CC21" s="1477"/>
      <c r="CD21" s="1477"/>
      <c r="CE21" s="1477"/>
      <c r="CF21" s="1477"/>
      <c r="CG21" s="1477"/>
      <c r="CH21" s="1477"/>
      <c r="CI21" s="1477"/>
      <c r="CJ21" s="1477"/>
      <c r="CK21" s="1477"/>
      <c r="CL21" s="1477"/>
      <c r="CM21" s="1477"/>
      <c r="CN21" s="1477"/>
      <c r="CO21" s="1477"/>
      <c r="CP21" s="1477"/>
      <c r="CQ21" s="1477"/>
      <c r="CR21" s="1477"/>
      <c r="CS21" s="1477"/>
      <c r="CT21" s="1477"/>
      <c r="CU21" s="1477"/>
      <c r="CV21" s="1477"/>
      <c r="CW21" s="1477"/>
      <c r="CX21" s="1477"/>
      <c r="CY21" s="1477"/>
    </row>
    <row r="22" spans="1:103" s="15" customFormat="1" ht="15" customHeight="1">
      <c r="A22" s="1185">
        <v>13</v>
      </c>
      <c r="B22" s="1103"/>
      <c r="C22" s="1103"/>
      <c r="D22" s="1477"/>
      <c r="E22" s="1477"/>
      <c r="F22" s="1477"/>
      <c r="G22" s="1477"/>
      <c r="H22" s="1477"/>
      <c r="I22" s="1477"/>
      <c r="J22" s="1477"/>
      <c r="K22" s="1477"/>
      <c r="L22" s="1477"/>
      <c r="M22" s="1477"/>
      <c r="N22" s="1477">
        <v>1</v>
      </c>
      <c r="O22" s="1477"/>
      <c r="P22" s="1477"/>
      <c r="Q22" s="1477"/>
      <c r="R22" s="1477"/>
      <c r="S22" s="1477"/>
      <c r="T22" s="1477"/>
      <c r="U22" s="1477"/>
      <c r="V22" s="1477"/>
      <c r="W22" s="1477"/>
      <c r="X22" s="1477"/>
      <c r="Y22" s="1477"/>
      <c r="Z22" s="1477"/>
      <c r="AA22" s="1477"/>
      <c r="AB22" s="1477"/>
      <c r="AC22" s="1477"/>
      <c r="AD22" s="1477"/>
      <c r="AE22" s="1477"/>
      <c r="AF22" s="1477"/>
      <c r="AG22" s="1477"/>
      <c r="AH22" s="1477"/>
      <c r="AI22" s="1477"/>
      <c r="AJ22" s="1477"/>
      <c r="AK22" s="1477"/>
      <c r="AL22" s="1477"/>
      <c r="AM22" s="1477"/>
      <c r="AN22" s="1477"/>
      <c r="AO22" s="1477"/>
      <c r="AP22" s="1477"/>
      <c r="AQ22" s="1477"/>
      <c r="AR22" s="1477"/>
      <c r="AS22" s="1477"/>
      <c r="AT22" s="1477"/>
      <c r="AU22" s="1477"/>
      <c r="AV22" s="1477"/>
      <c r="AW22" s="1477"/>
      <c r="AX22" s="1477"/>
      <c r="AY22" s="1477"/>
      <c r="AZ22" s="1477"/>
      <c r="BA22" s="1477"/>
      <c r="BB22" s="1477"/>
      <c r="BC22" s="1477"/>
      <c r="BD22" s="1477"/>
      <c r="BE22" s="1477"/>
      <c r="BF22" s="1477"/>
      <c r="BG22" s="1477"/>
      <c r="BH22" s="1477"/>
      <c r="BI22" s="1477"/>
      <c r="BJ22" s="1477"/>
      <c r="BK22" s="1477"/>
      <c r="BL22" s="1477"/>
      <c r="BM22" s="1477"/>
      <c r="BN22" s="1477"/>
      <c r="BO22" s="1477"/>
      <c r="BP22" s="1477"/>
      <c r="BQ22" s="1477"/>
      <c r="BR22" s="1477"/>
      <c r="BS22" s="1477"/>
      <c r="BT22" s="1477"/>
      <c r="BU22" s="1477"/>
      <c r="BV22" s="1477"/>
      <c r="BW22" s="1477"/>
      <c r="BX22" s="1477"/>
      <c r="BY22" s="1477"/>
      <c r="BZ22" s="1477"/>
      <c r="CA22" s="1477"/>
      <c r="CB22" s="1477"/>
      <c r="CC22" s="1477"/>
      <c r="CD22" s="1477"/>
      <c r="CE22" s="1477"/>
      <c r="CF22" s="1477"/>
      <c r="CG22" s="1477"/>
      <c r="CH22" s="1477"/>
      <c r="CI22" s="1477"/>
      <c r="CJ22" s="1477"/>
      <c r="CK22" s="1477"/>
      <c r="CL22" s="1477"/>
      <c r="CM22" s="1477"/>
      <c r="CN22" s="1477"/>
      <c r="CO22" s="1477"/>
      <c r="CP22" s="1477"/>
      <c r="CQ22" s="1477"/>
      <c r="CR22" s="1477"/>
      <c r="CS22" s="1477"/>
      <c r="CT22" s="1477"/>
      <c r="CU22" s="1477"/>
      <c r="CV22" s="1477"/>
      <c r="CW22" s="1477"/>
      <c r="CX22" s="1477"/>
      <c r="CY22" s="1477"/>
    </row>
    <row r="23" spans="1:103" s="15" customFormat="1" ht="15" customHeight="1">
      <c r="A23" s="1185">
        <v>14</v>
      </c>
      <c r="B23" s="1103"/>
      <c r="C23" s="1103"/>
      <c r="D23" s="1477"/>
      <c r="E23" s="1477"/>
      <c r="F23" s="1477"/>
      <c r="G23" s="1477"/>
      <c r="H23" s="1477"/>
      <c r="I23" s="1477"/>
      <c r="J23" s="1477"/>
      <c r="K23" s="1477"/>
      <c r="L23" s="1477"/>
      <c r="M23" s="1477"/>
      <c r="N23" s="1477"/>
      <c r="O23" s="1477">
        <v>1</v>
      </c>
      <c r="P23" s="1477"/>
      <c r="Q23" s="1477"/>
      <c r="R23" s="1477"/>
      <c r="S23" s="1477"/>
      <c r="T23" s="1477"/>
      <c r="U23" s="1477"/>
      <c r="V23" s="1477"/>
      <c r="W23" s="1477"/>
      <c r="X23" s="1477"/>
      <c r="Y23" s="1477"/>
      <c r="Z23" s="1477"/>
      <c r="AA23" s="1477"/>
      <c r="AB23" s="1477"/>
      <c r="AC23" s="1477"/>
      <c r="AD23" s="1477"/>
      <c r="AE23" s="1477"/>
      <c r="AF23" s="1477"/>
      <c r="AG23" s="1477"/>
      <c r="AH23" s="1477"/>
      <c r="AI23" s="1477"/>
      <c r="AJ23" s="1477"/>
      <c r="AK23" s="1477"/>
      <c r="AL23" s="1477"/>
      <c r="AM23" s="1477"/>
      <c r="AN23" s="1477"/>
      <c r="AO23" s="1477"/>
      <c r="AP23" s="1477"/>
      <c r="AQ23" s="1477"/>
      <c r="AR23" s="1477"/>
      <c r="AS23" s="1477"/>
      <c r="AT23" s="1477"/>
      <c r="AU23" s="1477"/>
      <c r="AV23" s="1477"/>
      <c r="AW23" s="1477"/>
      <c r="AX23" s="1477"/>
      <c r="AY23" s="1477"/>
      <c r="AZ23" s="1477"/>
      <c r="BA23" s="1477"/>
      <c r="BB23" s="1477"/>
      <c r="BC23" s="1477"/>
      <c r="BD23" s="1477"/>
      <c r="BE23" s="1477"/>
      <c r="BF23" s="1477"/>
      <c r="BG23" s="1477"/>
      <c r="BH23" s="1477"/>
      <c r="BI23" s="1477"/>
      <c r="BJ23" s="1477"/>
      <c r="BK23" s="1477"/>
      <c r="BL23" s="1477"/>
      <c r="BM23" s="1477"/>
      <c r="BN23" s="1477"/>
      <c r="BO23" s="1477"/>
      <c r="BP23" s="1477"/>
      <c r="BQ23" s="1477"/>
      <c r="BR23" s="1477"/>
      <c r="BS23" s="1477"/>
      <c r="BT23" s="1477"/>
      <c r="BU23" s="1477"/>
      <c r="BV23" s="1477"/>
      <c r="BW23" s="1477"/>
      <c r="BX23" s="1477"/>
      <c r="BY23" s="1477"/>
      <c r="BZ23" s="1477"/>
      <c r="CA23" s="1477"/>
      <c r="CB23" s="1477"/>
      <c r="CC23" s="1477"/>
      <c r="CD23" s="1477"/>
      <c r="CE23" s="1477"/>
      <c r="CF23" s="1477"/>
      <c r="CG23" s="1477"/>
      <c r="CH23" s="1477"/>
      <c r="CI23" s="1477"/>
      <c r="CJ23" s="1477"/>
      <c r="CK23" s="1477"/>
      <c r="CL23" s="1477"/>
      <c r="CM23" s="1477"/>
      <c r="CN23" s="1477"/>
      <c r="CO23" s="1477"/>
      <c r="CP23" s="1477"/>
      <c r="CQ23" s="1477"/>
      <c r="CR23" s="1477"/>
      <c r="CS23" s="1477"/>
      <c r="CT23" s="1477"/>
      <c r="CU23" s="1477"/>
      <c r="CV23" s="1477"/>
      <c r="CW23" s="1477"/>
      <c r="CX23" s="1477"/>
      <c r="CY23" s="1477"/>
    </row>
    <row r="24" spans="1:103" s="15" customFormat="1" ht="15" customHeight="1">
      <c r="A24" s="1185">
        <v>15</v>
      </c>
      <c r="B24" s="1103"/>
      <c r="C24" s="1103"/>
      <c r="D24" s="1477"/>
      <c r="E24" s="1477"/>
      <c r="F24" s="1477"/>
      <c r="G24" s="1477"/>
      <c r="H24" s="1477"/>
      <c r="I24" s="1477"/>
      <c r="J24" s="1477"/>
      <c r="K24" s="1477"/>
      <c r="L24" s="1477"/>
      <c r="M24" s="1477"/>
      <c r="N24" s="1477"/>
      <c r="O24" s="1477"/>
      <c r="P24" s="1477">
        <v>1</v>
      </c>
      <c r="Q24" s="1477"/>
      <c r="R24" s="1477"/>
      <c r="S24" s="1477"/>
      <c r="T24" s="1477"/>
      <c r="U24" s="1477"/>
      <c r="V24" s="1477"/>
      <c r="W24" s="1477"/>
      <c r="X24" s="1477"/>
      <c r="Y24" s="1477"/>
      <c r="Z24" s="1477"/>
      <c r="AA24" s="1477"/>
      <c r="AB24" s="1477"/>
      <c r="AC24" s="1477"/>
      <c r="AD24" s="1477"/>
      <c r="AE24" s="1477"/>
      <c r="AF24" s="1477"/>
      <c r="AG24" s="1477"/>
      <c r="AH24" s="1477"/>
      <c r="AI24" s="1477"/>
      <c r="AJ24" s="1477"/>
      <c r="AK24" s="1477"/>
      <c r="AL24" s="1477"/>
      <c r="AM24" s="1477"/>
      <c r="AN24" s="1477"/>
      <c r="AO24" s="1477"/>
      <c r="AP24" s="1477"/>
      <c r="AQ24" s="1477"/>
      <c r="AR24" s="1477"/>
      <c r="AS24" s="1477"/>
      <c r="AT24" s="1477"/>
      <c r="AU24" s="1477"/>
      <c r="AV24" s="1477"/>
      <c r="AW24" s="1477"/>
      <c r="AX24" s="1477"/>
      <c r="AY24" s="1477"/>
      <c r="AZ24" s="1477"/>
      <c r="BA24" s="1477"/>
      <c r="BB24" s="1477"/>
      <c r="BC24" s="1477"/>
      <c r="BD24" s="1477"/>
      <c r="BE24" s="1477"/>
      <c r="BF24" s="1477"/>
      <c r="BG24" s="1477"/>
      <c r="BH24" s="1477"/>
      <c r="BI24" s="1477"/>
      <c r="BJ24" s="1477"/>
      <c r="BK24" s="1477"/>
      <c r="BL24" s="1477"/>
      <c r="BM24" s="1477"/>
      <c r="BN24" s="1477"/>
      <c r="BO24" s="1477"/>
      <c r="BP24" s="1477"/>
      <c r="BQ24" s="1477"/>
      <c r="BR24" s="1477"/>
      <c r="BS24" s="1477"/>
      <c r="BT24" s="1477"/>
      <c r="BU24" s="1477"/>
      <c r="BV24" s="1477"/>
      <c r="BW24" s="1477"/>
      <c r="BX24" s="1477"/>
      <c r="BY24" s="1477"/>
      <c r="BZ24" s="1477"/>
      <c r="CA24" s="1477"/>
      <c r="CB24" s="1477"/>
      <c r="CC24" s="1477"/>
      <c r="CD24" s="1477"/>
      <c r="CE24" s="1477"/>
      <c r="CF24" s="1477"/>
      <c r="CG24" s="1477"/>
      <c r="CH24" s="1477"/>
      <c r="CI24" s="1477"/>
      <c r="CJ24" s="1477"/>
      <c r="CK24" s="1477"/>
      <c r="CL24" s="1477"/>
      <c r="CM24" s="1477"/>
      <c r="CN24" s="1477"/>
      <c r="CO24" s="1477"/>
      <c r="CP24" s="1477"/>
      <c r="CQ24" s="1477"/>
      <c r="CR24" s="1477"/>
      <c r="CS24" s="1477"/>
      <c r="CT24" s="1477"/>
      <c r="CU24" s="1477"/>
      <c r="CV24" s="1477"/>
      <c r="CW24" s="1477"/>
      <c r="CX24" s="1477"/>
      <c r="CY24" s="1477"/>
    </row>
    <row r="25" spans="1:103" s="15" customFormat="1" ht="15" customHeight="1">
      <c r="A25" s="1185">
        <v>16</v>
      </c>
      <c r="B25" s="1103"/>
      <c r="C25" s="1103"/>
      <c r="D25" s="1477"/>
      <c r="E25" s="1477"/>
      <c r="F25" s="1477"/>
      <c r="G25" s="1477"/>
      <c r="H25" s="1477"/>
      <c r="I25" s="1477"/>
      <c r="J25" s="1477"/>
      <c r="K25" s="1477"/>
      <c r="L25" s="1477"/>
      <c r="M25" s="1477"/>
      <c r="N25" s="1477"/>
      <c r="O25" s="1477"/>
      <c r="P25" s="1477"/>
      <c r="Q25" s="1477">
        <v>1</v>
      </c>
      <c r="R25" s="1477"/>
      <c r="S25" s="1477"/>
      <c r="T25" s="1477"/>
      <c r="U25" s="1477"/>
      <c r="V25" s="1477"/>
      <c r="W25" s="1477"/>
      <c r="X25" s="1477"/>
      <c r="Y25" s="1477"/>
      <c r="Z25" s="1477"/>
      <c r="AA25" s="1477"/>
      <c r="AB25" s="1477"/>
      <c r="AC25" s="1477"/>
      <c r="AD25" s="1477"/>
      <c r="AE25" s="1477"/>
      <c r="AF25" s="1477"/>
      <c r="AG25" s="1477"/>
      <c r="AH25" s="1477"/>
      <c r="AI25" s="1477"/>
      <c r="AJ25" s="1477"/>
      <c r="AK25" s="1477"/>
      <c r="AL25" s="1477"/>
      <c r="AM25" s="1477"/>
      <c r="AN25" s="1477"/>
      <c r="AO25" s="1477"/>
      <c r="AP25" s="1477"/>
      <c r="AQ25" s="1477"/>
      <c r="AR25" s="1477"/>
      <c r="AS25" s="1477"/>
      <c r="AT25" s="1477"/>
      <c r="AU25" s="1477"/>
      <c r="AV25" s="1477"/>
      <c r="AW25" s="1477"/>
      <c r="AX25" s="1477"/>
      <c r="AY25" s="1477"/>
      <c r="AZ25" s="1477"/>
      <c r="BA25" s="1477"/>
      <c r="BB25" s="1477"/>
      <c r="BC25" s="1477"/>
      <c r="BD25" s="1477"/>
      <c r="BE25" s="1477"/>
      <c r="BF25" s="1477"/>
      <c r="BG25" s="1477"/>
      <c r="BH25" s="1477"/>
      <c r="BI25" s="1477"/>
      <c r="BJ25" s="1477"/>
      <c r="BK25" s="1477"/>
      <c r="BL25" s="1477"/>
      <c r="BM25" s="1477"/>
      <c r="BN25" s="1477"/>
      <c r="BO25" s="1477"/>
      <c r="BP25" s="1477"/>
      <c r="BQ25" s="1477"/>
      <c r="BR25" s="1477"/>
      <c r="BS25" s="1477"/>
      <c r="BT25" s="1477"/>
      <c r="BU25" s="1477"/>
      <c r="BV25" s="1477"/>
      <c r="BW25" s="1477"/>
      <c r="BX25" s="1477"/>
      <c r="BY25" s="1477"/>
      <c r="BZ25" s="1477"/>
      <c r="CA25" s="1477"/>
      <c r="CB25" s="1477"/>
      <c r="CC25" s="1477"/>
      <c r="CD25" s="1477"/>
      <c r="CE25" s="1477"/>
      <c r="CF25" s="1477"/>
      <c r="CG25" s="1477"/>
      <c r="CH25" s="1477"/>
      <c r="CI25" s="1477"/>
      <c r="CJ25" s="1477"/>
      <c r="CK25" s="1477"/>
      <c r="CL25" s="1477"/>
      <c r="CM25" s="1477"/>
      <c r="CN25" s="1477"/>
      <c r="CO25" s="1477"/>
      <c r="CP25" s="1477"/>
      <c r="CQ25" s="1477"/>
      <c r="CR25" s="1477"/>
      <c r="CS25" s="1477"/>
      <c r="CT25" s="1477"/>
      <c r="CU25" s="1477"/>
      <c r="CV25" s="1477"/>
      <c r="CW25" s="1477"/>
      <c r="CX25" s="1477"/>
      <c r="CY25" s="1477"/>
    </row>
    <row r="26" spans="1:103" s="15" customFormat="1" ht="15" customHeight="1">
      <c r="A26" s="1185">
        <v>17</v>
      </c>
      <c r="B26" s="1103"/>
      <c r="C26" s="1103"/>
      <c r="D26" s="1477"/>
      <c r="E26" s="1477"/>
      <c r="F26" s="1477"/>
      <c r="G26" s="1477"/>
      <c r="H26" s="1477"/>
      <c r="I26" s="1477"/>
      <c r="J26" s="1477"/>
      <c r="K26" s="1477"/>
      <c r="L26" s="1477"/>
      <c r="M26" s="1477"/>
      <c r="N26" s="1477"/>
      <c r="O26" s="1477"/>
      <c r="P26" s="1477"/>
      <c r="Q26" s="1477"/>
      <c r="R26" s="1477">
        <v>1</v>
      </c>
      <c r="S26" s="1477"/>
      <c r="T26" s="1477"/>
      <c r="U26" s="1477"/>
      <c r="V26" s="1477"/>
      <c r="W26" s="1477"/>
      <c r="X26" s="1477"/>
      <c r="Y26" s="1477"/>
      <c r="Z26" s="1477"/>
      <c r="AA26" s="1477"/>
      <c r="AB26" s="1477"/>
      <c r="AC26" s="1477"/>
      <c r="AD26" s="1477"/>
      <c r="AE26" s="1477"/>
      <c r="AF26" s="1477"/>
      <c r="AG26" s="1477"/>
      <c r="AH26" s="1477"/>
      <c r="AI26" s="1477"/>
      <c r="AJ26" s="1477"/>
      <c r="AK26" s="1477"/>
      <c r="AL26" s="1477"/>
      <c r="AM26" s="1477"/>
      <c r="AN26" s="1477"/>
      <c r="AO26" s="1477"/>
      <c r="AP26" s="1477"/>
      <c r="AQ26" s="1477"/>
      <c r="AR26" s="1477"/>
      <c r="AS26" s="1477"/>
      <c r="AT26" s="1477"/>
      <c r="AU26" s="1477"/>
      <c r="AV26" s="1477"/>
      <c r="AW26" s="1477"/>
      <c r="AX26" s="1477"/>
      <c r="AY26" s="1477"/>
      <c r="AZ26" s="1477"/>
      <c r="BA26" s="1477"/>
      <c r="BB26" s="1477"/>
      <c r="BC26" s="1477"/>
      <c r="BD26" s="1477"/>
      <c r="BE26" s="1477"/>
      <c r="BF26" s="1477"/>
      <c r="BG26" s="1477"/>
      <c r="BH26" s="1477"/>
      <c r="BI26" s="1477"/>
      <c r="BJ26" s="1477"/>
      <c r="BK26" s="1477"/>
      <c r="BL26" s="1477"/>
      <c r="BM26" s="1477"/>
      <c r="BN26" s="1477"/>
      <c r="BO26" s="1477"/>
      <c r="BP26" s="1477"/>
      <c r="BQ26" s="1477"/>
      <c r="BR26" s="1477"/>
      <c r="BS26" s="1477"/>
      <c r="BT26" s="1477"/>
      <c r="BU26" s="1477"/>
      <c r="BV26" s="1477"/>
      <c r="BW26" s="1477"/>
      <c r="BX26" s="1477"/>
      <c r="BY26" s="1477"/>
      <c r="BZ26" s="1477"/>
      <c r="CA26" s="1477"/>
      <c r="CB26" s="1477"/>
      <c r="CC26" s="1477"/>
      <c r="CD26" s="1477"/>
      <c r="CE26" s="1477"/>
      <c r="CF26" s="1477"/>
      <c r="CG26" s="1477"/>
      <c r="CH26" s="1477"/>
      <c r="CI26" s="1477"/>
      <c r="CJ26" s="1477"/>
      <c r="CK26" s="1477"/>
      <c r="CL26" s="1477"/>
      <c r="CM26" s="1477"/>
      <c r="CN26" s="1477"/>
      <c r="CO26" s="1477"/>
      <c r="CP26" s="1477"/>
      <c r="CQ26" s="1477"/>
      <c r="CR26" s="1477"/>
      <c r="CS26" s="1477"/>
      <c r="CT26" s="1477"/>
      <c r="CU26" s="1477"/>
      <c r="CV26" s="1477"/>
      <c r="CW26" s="1477"/>
      <c r="CX26" s="1477"/>
      <c r="CY26" s="1477"/>
    </row>
    <row r="27" spans="1:103" s="15" customFormat="1" ht="15" customHeight="1">
      <c r="A27" s="1185">
        <v>18</v>
      </c>
      <c r="B27" s="1103"/>
      <c r="C27" s="1103"/>
      <c r="D27" s="1477"/>
      <c r="E27" s="1477"/>
      <c r="F27" s="1477"/>
      <c r="G27" s="1477"/>
      <c r="H27" s="1477"/>
      <c r="I27" s="1477"/>
      <c r="J27" s="1477"/>
      <c r="K27" s="1477"/>
      <c r="L27" s="1477"/>
      <c r="M27" s="1477"/>
      <c r="N27" s="1477"/>
      <c r="O27" s="1477"/>
      <c r="P27" s="1477"/>
      <c r="Q27" s="1477"/>
      <c r="R27" s="1477"/>
      <c r="S27" s="1477">
        <v>1</v>
      </c>
      <c r="T27" s="1477"/>
      <c r="U27" s="1477"/>
      <c r="V27" s="1477"/>
      <c r="W27" s="1477"/>
      <c r="X27" s="1477"/>
      <c r="Y27" s="1477"/>
      <c r="Z27" s="1477"/>
      <c r="AA27" s="1477"/>
      <c r="AB27" s="1477"/>
      <c r="AC27" s="1477"/>
      <c r="AD27" s="1477"/>
      <c r="AE27" s="1477"/>
      <c r="AF27" s="1477"/>
      <c r="AG27" s="1477"/>
      <c r="AH27" s="1477"/>
      <c r="AI27" s="1477"/>
      <c r="AJ27" s="1477"/>
      <c r="AK27" s="1477"/>
      <c r="AL27" s="1477"/>
      <c r="AM27" s="1477"/>
      <c r="AN27" s="1477"/>
      <c r="AO27" s="1477"/>
      <c r="AP27" s="1477"/>
      <c r="AQ27" s="1477"/>
      <c r="AR27" s="1477"/>
      <c r="AS27" s="1477"/>
      <c r="AT27" s="1477"/>
      <c r="AU27" s="1477"/>
      <c r="AV27" s="1477"/>
      <c r="AW27" s="1477"/>
      <c r="AX27" s="1477"/>
      <c r="AY27" s="1477"/>
      <c r="AZ27" s="1477"/>
      <c r="BA27" s="1477"/>
      <c r="BB27" s="1477"/>
      <c r="BC27" s="1477"/>
      <c r="BD27" s="1477"/>
      <c r="BE27" s="1477"/>
      <c r="BF27" s="1477"/>
      <c r="BG27" s="1477"/>
      <c r="BH27" s="1477"/>
      <c r="BI27" s="1477"/>
      <c r="BJ27" s="1477"/>
      <c r="BK27" s="1477"/>
      <c r="BL27" s="1477"/>
      <c r="BM27" s="1477"/>
      <c r="BN27" s="1477"/>
      <c r="BO27" s="1477"/>
      <c r="BP27" s="1477"/>
      <c r="BQ27" s="1477"/>
      <c r="BR27" s="1477"/>
      <c r="BS27" s="1477"/>
      <c r="BT27" s="1477"/>
      <c r="BU27" s="1477"/>
      <c r="BV27" s="1477"/>
      <c r="BW27" s="1477"/>
      <c r="BX27" s="1477"/>
      <c r="BY27" s="1477"/>
      <c r="BZ27" s="1477"/>
      <c r="CA27" s="1477"/>
      <c r="CB27" s="1477"/>
      <c r="CC27" s="1477"/>
      <c r="CD27" s="1477"/>
      <c r="CE27" s="1477"/>
      <c r="CF27" s="1477"/>
      <c r="CG27" s="1477"/>
      <c r="CH27" s="1477"/>
      <c r="CI27" s="1477"/>
      <c r="CJ27" s="1477"/>
      <c r="CK27" s="1477"/>
      <c r="CL27" s="1477"/>
      <c r="CM27" s="1477"/>
      <c r="CN27" s="1477"/>
      <c r="CO27" s="1477"/>
      <c r="CP27" s="1477"/>
      <c r="CQ27" s="1477"/>
      <c r="CR27" s="1477"/>
      <c r="CS27" s="1477"/>
      <c r="CT27" s="1477"/>
      <c r="CU27" s="1477"/>
      <c r="CV27" s="1477"/>
      <c r="CW27" s="1477"/>
      <c r="CX27" s="1477"/>
      <c r="CY27" s="1477"/>
    </row>
    <row r="28" spans="1:103" s="15" customFormat="1" ht="15" customHeight="1">
      <c r="A28" s="1185">
        <v>19</v>
      </c>
      <c r="B28" s="1103"/>
      <c r="C28" s="1103"/>
      <c r="D28" s="1477"/>
      <c r="E28" s="1477"/>
      <c r="F28" s="1477"/>
      <c r="G28" s="1477"/>
      <c r="H28" s="1477"/>
      <c r="I28" s="1477"/>
      <c r="J28" s="1477"/>
      <c r="K28" s="1477"/>
      <c r="L28" s="1477"/>
      <c r="M28" s="1477"/>
      <c r="N28" s="1477"/>
      <c r="O28" s="1477"/>
      <c r="P28" s="1477"/>
      <c r="Q28" s="1477"/>
      <c r="R28" s="1477"/>
      <c r="S28" s="1477"/>
      <c r="T28" s="1477">
        <v>1</v>
      </c>
      <c r="U28" s="1477"/>
      <c r="V28" s="1477"/>
      <c r="W28" s="1477"/>
      <c r="X28" s="1477"/>
      <c r="Y28" s="1477"/>
      <c r="Z28" s="1477"/>
      <c r="AA28" s="1477"/>
      <c r="AB28" s="1477"/>
      <c r="AC28" s="1477"/>
      <c r="AD28" s="1477"/>
      <c r="AE28" s="1477"/>
      <c r="AF28" s="1477"/>
      <c r="AG28" s="1477"/>
      <c r="AH28" s="1477"/>
      <c r="AI28" s="1477"/>
      <c r="AJ28" s="1477"/>
      <c r="AK28" s="1477"/>
      <c r="AL28" s="1477"/>
      <c r="AM28" s="1477"/>
      <c r="AN28" s="1477"/>
      <c r="AO28" s="1477"/>
      <c r="AP28" s="1477"/>
      <c r="AQ28" s="1477"/>
      <c r="AR28" s="1477"/>
      <c r="AS28" s="1477"/>
      <c r="AT28" s="1477"/>
      <c r="AU28" s="1477"/>
      <c r="AV28" s="1477"/>
      <c r="AW28" s="1477"/>
      <c r="AX28" s="1477"/>
      <c r="AY28" s="1477"/>
      <c r="AZ28" s="1477"/>
      <c r="BA28" s="1477"/>
      <c r="BB28" s="1477"/>
      <c r="BC28" s="1477"/>
      <c r="BD28" s="1477"/>
      <c r="BE28" s="1477"/>
      <c r="BF28" s="1477"/>
      <c r="BG28" s="1477"/>
      <c r="BH28" s="1477"/>
      <c r="BI28" s="1477"/>
      <c r="BJ28" s="1477"/>
      <c r="BK28" s="1477"/>
      <c r="BL28" s="1477"/>
      <c r="BM28" s="1477"/>
      <c r="BN28" s="1477"/>
      <c r="BO28" s="1477"/>
      <c r="BP28" s="1477"/>
      <c r="BQ28" s="1477"/>
      <c r="BR28" s="1477"/>
      <c r="BS28" s="1477"/>
      <c r="BT28" s="1477"/>
      <c r="BU28" s="1477"/>
      <c r="BV28" s="1477"/>
      <c r="BW28" s="1477"/>
      <c r="BX28" s="1477"/>
      <c r="BY28" s="1477"/>
      <c r="BZ28" s="1477"/>
      <c r="CA28" s="1477"/>
      <c r="CB28" s="1477"/>
      <c r="CC28" s="1477"/>
      <c r="CD28" s="1477"/>
      <c r="CE28" s="1477"/>
      <c r="CF28" s="1477"/>
      <c r="CG28" s="1477"/>
      <c r="CH28" s="1477"/>
      <c r="CI28" s="1477"/>
      <c r="CJ28" s="1477"/>
      <c r="CK28" s="1477"/>
      <c r="CL28" s="1477"/>
      <c r="CM28" s="1477"/>
      <c r="CN28" s="1477"/>
      <c r="CO28" s="1477"/>
      <c r="CP28" s="1477"/>
      <c r="CQ28" s="1477"/>
      <c r="CR28" s="1477"/>
      <c r="CS28" s="1477"/>
      <c r="CT28" s="1477"/>
      <c r="CU28" s="1477"/>
      <c r="CV28" s="1477"/>
      <c r="CW28" s="1477"/>
      <c r="CX28" s="1477"/>
      <c r="CY28" s="1477"/>
    </row>
    <row r="29" spans="1:103" s="15" customFormat="1" ht="15" customHeight="1">
      <c r="A29" s="1185">
        <v>20</v>
      </c>
      <c r="B29" s="1103"/>
      <c r="C29" s="1103"/>
      <c r="D29" s="1477"/>
      <c r="E29" s="1477"/>
      <c r="F29" s="1477"/>
      <c r="G29" s="1477"/>
      <c r="H29" s="1477"/>
      <c r="I29" s="1477"/>
      <c r="J29" s="1477"/>
      <c r="K29" s="1477"/>
      <c r="L29" s="1477"/>
      <c r="M29" s="1477"/>
      <c r="N29" s="1477"/>
      <c r="O29" s="1477"/>
      <c r="P29" s="1477"/>
      <c r="Q29" s="1477"/>
      <c r="R29" s="1477"/>
      <c r="S29" s="1477"/>
      <c r="T29" s="1477"/>
      <c r="U29" s="1477">
        <v>1</v>
      </c>
      <c r="V29" s="1477"/>
      <c r="W29" s="1477"/>
      <c r="X29" s="1477"/>
      <c r="Y29" s="1477"/>
      <c r="Z29" s="1477"/>
      <c r="AA29" s="1477"/>
      <c r="AB29" s="1477"/>
      <c r="AC29" s="1477"/>
      <c r="AD29" s="1477"/>
      <c r="AE29" s="1477"/>
      <c r="AF29" s="1477"/>
      <c r="AG29" s="1477"/>
      <c r="AH29" s="1477"/>
      <c r="AI29" s="1477"/>
      <c r="AJ29" s="1477"/>
      <c r="AK29" s="1477"/>
      <c r="AL29" s="1477"/>
      <c r="AM29" s="1477"/>
      <c r="AN29" s="1477"/>
      <c r="AO29" s="1477"/>
      <c r="AP29" s="1477"/>
      <c r="AQ29" s="1477"/>
      <c r="AR29" s="1477"/>
      <c r="AS29" s="1477"/>
      <c r="AT29" s="1477"/>
      <c r="AU29" s="1477"/>
      <c r="AV29" s="1477"/>
      <c r="AW29" s="1477"/>
      <c r="AX29" s="1477"/>
      <c r="AY29" s="1477"/>
      <c r="AZ29" s="1477"/>
      <c r="BA29" s="1477"/>
      <c r="BB29" s="1477"/>
      <c r="BC29" s="1477"/>
      <c r="BD29" s="1477"/>
      <c r="BE29" s="1477"/>
      <c r="BF29" s="1477"/>
      <c r="BG29" s="1477"/>
      <c r="BH29" s="1477"/>
      <c r="BI29" s="1477"/>
      <c r="BJ29" s="1477"/>
      <c r="BK29" s="1477"/>
      <c r="BL29" s="1477"/>
      <c r="BM29" s="1477"/>
      <c r="BN29" s="1477"/>
      <c r="BO29" s="1477"/>
      <c r="BP29" s="1477"/>
      <c r="BQ29" s="1477"/>
      <c r="BR29" s="1477"/>
      <c r="BS29" s="1477"/>
      <c r="BT29" s="1477"/>
      <c r="BU29" s="1477"/>
      <c r="BV29" s="1477"/>
      <c r="BW29" s="1477"/>
      <c r="BX29" s="1477"/>
      <c r="BY29" s="1477"/>
      <c r="BZ29" s="1477"/>
      <c r="CA29" s="1477"/>
      <c r="CB29" s="1477"/>
      <c r="CC29" s="1477"/>
      <c r="CD29" s="1477"/>
      <c r="CE29" s="1477"/>
      <c r="CF29" s="1477"/>
      <c r="CG29" s="1477"/>
      <c r="CH29" s="1477"/>
      <c r="CI29" s="1477"/>
      <c r="CJ29" s="1477"/>
      <c r="CK29" s="1477"/>
      <c r="CL29" s="1477"/>
      <c r="CM29" s="1477"/>
      <c r="CN29" s="1477"/>
      <c r="CO29" s="1477"/>
      <c r="CP29" s="1477"/>
      <c r="CQ29" s="1477"/>
      <c r="CR29" s="1477"/>
      <c r="CS29" s="1477"/>
      <c r="CT29" s="1477"/>
      <c r="CU29" s="1477"/>
      <c r="CV29" s="1477"/>
      <c r="CW29" s="1477"/>
      <c r="CX29" s="1477"/>
      <c r="CY29" s="1477"/>
    </row>
    <row r="30" spans="1:103" s="15" customFormat="1" ht="15" customHeight="1">
      <c r="A30" s="1185">
        <v>21</v>
      </c>
      <c r="B30" s="1103"/>
      <c r="C30" s="1103"/>
      <c r="D30" s="1477"/>
      <c r="E30" s="1477"/>
      <c r="F30" s="1477"/>
      <c r="G30" s="1477"/>
      <c r="H30" s="1477"/>
      <c r="I30" s="1477"/>
      <c r="J30" s="1477"/>
      <c r="K30" s="1477"/>
      <c r="L30" s="1477"/>
      <c r="M30" s="1477"/>
      <c r="N30" s="1477"/>
      <c r="O30" s="1477"/>
      <c r="P30" s="1477"/>
      <c r="Q30" s="1477"/>
      <c r="R30" s="1477"/>
      <c r="S30" s="1477"/>
      <c r="T30" s="1477"/>
      <c r="U30" s="1477"/>
      <c r="V30" s="1477">
        <v>1</v>
      </c>
      <c r="W30" s="1477"/>
      <c r="X30" s="1477"/>
      <c r="Y30" s="1477"/>
      <c r="Z30" s="1477"/>
      <c r="AA30" s="1477"/>
      <c r="AB30" s="1477"/>
      <c r="AC30" s="1477"/>
      <c r="AD30" s="1477"/>
      <c r="AE30" s="1477"/>
      <c r="AF30" s="1477"/>
      <c r="AG30" s="1477"/>
      <c r="AH30" s="1477"/>
      <c r="AI30" s="1477"/>
      <c r="AJ30" s="1477"/>
      <c r="AK30" s="1477"/>
      <c r="AL30" s="1477"/>
      <c r="AM30" s="1477"/>
      <c r="AN30" s="1477"/>
      <c r="AO30" s="1477"/>
      <c r="AP30" s="1477"/>
      <c r="AQ30" s="1477"/>
      <c r="AR30" s="1477"/>
      <c r="AS30" s="1477"/>
      <c r="AT30" s="1477"/>
      <c r="AU30" s="1477"/>
      <c r="AV30" s="1477"/>
      <c r="AW30" s="1477"/>
      <c r="AX30" s="1477"/>
      <c r="AY30" s="1477"/>
      <c r="AZ30" s="1477"/>
      <c r="BA30" s="1477"/>
      <c r="BB30" s="1477"/>
      <c r="BC30" s="1477"/>
      <c r="BD30" s="1477"/>
      <c r="BE30" s="1477"/>
      <c r="BF30" s="1477"/>
      <c r="BG30" s="1477"/>
      <c r="BH30" s="1477"/>
      <c r="BI30" s="1477"/>
      <c r="BJ30" s="1477"/>
      <c r="BK30" s="1477"/>
      <c r="BL30" s="1477"/>
      <c r="BM30" s="1477"/>
      <c r="BN30" s="1477"/>
      <c r="BO30" s="1477"/>
      <c r="BP30" s="1477"/>
      <c r="BQ30" s="1477"/>
      <c r="BR30" s="1477"/>
      <c r="BS30" s="1477"/>
      <c r="BT30" s="1477"/>
      <c r="BU30" s="1477"/>
      <c r="BV30" s="1477"/>
      <c r="BW30" s="1477"/>
      <c r="BX30" s="1477"/>
      <c r="BY30" s="1477"/>
      <c r="BZ30" s="1477"/>
      <c r="CA30" s="1477"/>
      <c r="CB30" s="1477"/>
      <c r="CC30" s="1477"/>
      <c r="CD30" s="1477"/>
      <c r="CE30" s="1477"/>
      <c r="CF30" s="1477"/>
      <c r="CG30" s="1477"/>
      <c r="CH30" s="1477"/>
      <c r="CI30" s="1477"/>
      <c r="CJ30" s="1477"/>
      <c r="CK30" s="1477"/>
      <c r="CL30" s="1477"/>
      <c r="CM30" s="1477"/>
      <c r="CN30" s="1477"/>
      <c r="CO30" s="1477"/>
      <c r="CP30" s="1477"/>
      <c r="CQ30" s="1477"/>
      <c r="CR30" s="1477"/>
      <c r="CS30" s="1477"/>
      <c r="CT30" s="1477"/>
      <c r="CU30" s="1477"/>
      <c r="CV30" s="1477"/>
      <c r="CW30" s="1477"/>
      <c r="CX30" s="1477"/>
      <c r="CY30" s="1477"/>
    </row>
    <row r="31" spans="1:103" s="15" customFormat="1" ht="15" customHeight="1">
      <c r="A31" s="1185">
        <v>22</v>
      </c>
      <c r="B31" s="1103"/>
      <c r="C31" s="1103"/>
      <c r="D31" s="1477"/>
      <c r="E31" s="1477"/>
      <c r="F31" s="1477"/>
      <c r="G31" s="1477"/>
      <c r="H31" s="1477"/>
      <c r="I31" s="1477"/>
      <c r="J31" s="1477"/>
      <c r="K31" s="1477"/>
      <c r="L31" s="1477"/>
      <c r="M31" s="1477"/>
      <c r="N31" s="1477"/>
      <c r="O31" s="1477"/>
      <c r="P31" s="1477"/>
      <c r="Q31" s="1477"/>
      <c r="R31" s="1477"/>
      <c r="S31" s="1477"/>
      <c r="T31" s="1477"/>
      <c r="U31" s="1477"/>
      <c r="V31" s="1477"/>
      <c r="W31" s="1477">
        <v>1</v>
      </c>
      <c r="X31" s="1477"/>
      <c r="Y31" s="1477"/>
      <c r="Z31" s="1477"/>
      <c r="AA31" s="1477"/>
      <c r="AB31" s="1477"/>
      <c r="AC31" s="1477"/>
      <c r="AD31" s="1477"/>
      <c r="AE31" s="1477"/>
      <c r="AF31" s="1477"/>
      <c r="AG31" s="1477"/>
      <c r="AH31" s="1477"/>
      <c r="AI31" s="1477"/>
      <c r="AJ31" s="1477"/>
      <c r="AK31" s="1477"/>
      <c r="AL31" s="1477"/>
      <c r="AM31" s="1477"/>
      <c r="AN31" s="1477"/>
      <c r="AO31" s="1477"/>
      <c r="AP31" s="1477"/>
      <c r="AQ31" s="1477"/>
      <c r="AR31" s="1477"/>
      <c r="AS31" s="1477"/>
      <c r="AT31" s="1477"/>
      <c r="AU31" s="1477"/>
      <c r="AV31" s="1477"/>
      <c r="AW31" s="1477"/>
      <c r="AX31" s="1477"/>
      <c r="AY31" s="1477"/>
      <c r="AZ31" s="1477"/>
      <c r="BA31" s="1477"/>
      <c r="BB31" s="1477"/>
      <c r="BC31" s="1477"/>
      <c r="BD31" s="1477"/>
      <c r="BE31" s="1477"/>
      <c r="BF31" s="1477"/>
      <c r="BG31" s="1477"/>
      <c r="BH31" s="1477"/>
      <c r="BI31" s="1477"/>
      <c r="BJ31" s="1477"/>
      <c r="BK31" s="1477"/>
      <c r="BL31" s="1477"/>
      <c r="BM31" s="1477"/>
      <c r="BN31" s="1477"/>
      <c r="BO31" s="1477"/>
      <c r="BP31" s="1477"/>
      <c r="BQ31" s="1477"/>
      <c r="BR31" s="1477"/>
      <c r="BS31" s="1477"/>
      <c r="BT31" s="1477"/>
      <c r="BU31" s="1477"/>
      <c r="BV31" s="1477"/>
      <c r="BW31" s="1477"/>
      <c r="BX31" s="1477"/>
      <c r="BY31" s="1477"/>
      <c r="BZ31" s="1477"/>
      <c r="CA31" s="1477"/>
      <c r="CB31" s="1477"/>
      <c r="CC31" s="1477"/>
      <c r="CD31" s="1477"/>
      <c r="CE31" s="1477"/>
      <c r="CF31" s="1477"/>
      <c r="CG31" s="1477"/>
      <c r="CH31" s="1477"/>
      <c r="CI31" s="1477"/>
      <c r="CJ31" s="1477"/>
      <c r="CK31" s="1477"/>
      <c r="CL31" s="1477"/>
      <c r="CM31" s="1477"/>
      <c r="CN31" s="1477"/>
      <c r="CO31" s="1477"/>
      <c r="CP31" s="1477"/>
      <c r="CQ31" s="1477"/>
      <c r="CR31" s="1477"/>
      <c r="CS31" s="1477"/>
      <c r="CT31" s="1477"/>
      <c r="CU31" s="1477"/>
      <c r="CV31" s="1477"/>
      <c r="CW31" s="1477"/>
      <c r="CX31" s="1477"/>
      <c r="CY31" s="1477"/>
    </row>
    <row r="32" spans="1:103" s="15" customFormat="1" ht="15" customHeight="1">
      <c r="A32" s="1185">
        <v>23</v>
      </c>
      <c r="B32" s="1103"/>
      <c r="C32" s="1103"/>
      <c r="D32" s="1477"/>
      <c r="E32" s="1477"/>
      <c r="F32" s="1477"/>
      <c r="G32" s="1477"/>
      <c r="H32" s="1477"/>
      <c r="I32" s="1477"/>
      <c r="J32" s="1477"/>
      <c r="K32" s="1477"/>
      <c r="L32" s="1477"/>
      <c r="M32" s="1477"/>
      <c r="N32" s="1477"/>
      <c r="O32" s="1477"/>
      <c r="P32" s="1477"/>
      <c r="Q32" s="1477"/>
      <c r="R32" s="1477"/>
      <c r="S32" s="1477"/>
      <c r="T32" s="1477"/>
      <c r="U32" s="1477"/>
      <c r="V32" s="1477"/>
      <c r="W32" s="1477"/>
      <c r="X32" s="1477">
        <v>1</v>
      </c>
      <c r="Y32" s="1477"/>
      <c r="Z32" s="1477"/>
      <c r="AA32" s="1477"/>
      <c r="AB32" s="1477"/>
      <c r="AC32" s="1477"/>
      <c r="AD32" s="1477"/>
      <c r="AE32" s="1477"/>
      <c r="AF32" s="1477"/>
      <c r="AG32" s="1477"/>
      <c r="AH32" s="1477"/>
      <c r="AI32" s="1477"/>
      <c r="AJ32" s="1477"/>
      <c r="AK32" s="1477"/>
      <c r="AL32" s="1477"/>
      <c r="AM32" s="1477"/>
      <c r="AN32" s="1477"/>
      <c r="AO32" s="1477"/>
      <c r="AP32" s="1477"/>
      <c r="AQ32" s="1477"/>
      <c r="AR32" s="1477"/>
      <c r="AS32" s="1477"/>
      <c r="AT32" s="1477"/>
      <c r="AU32" s="1477"/>
      <c r="AV32" s="1477"/>
      <c r="AW32" s="1477"/>
      <c r="AX32" s="1477"/>
      <c r="AY32" s="1477"/>
      <c r="AZ32" s="1477"/>
      <c r="BA32" s="1477"/>
      <c r="BB32" s="1477"/>
      <c r="BC32" s="1477"/>
      <c r="BD32" s="1477"/>
      <c r="BE32" s="1477"/>
      <c r="BF32" s="1477"/>
      <c r="BG32" s="1477"/>
      <c r="BH32" s="1477"/>
      <c r="BI32" s="1477"/>
      <c r="BJ32" s="1477"/>
      <c r="BK32" s="1477"/>
      <c r="BL32" s="1477"/>
      <c r="BM32" s="1477"/>
      <c r="BN32" s="1477"/>
      <c r="BO32" s="1477"/>
      <c r="BP32" s="1477"/>
      <c r="BQ32" s="1477"/>
      <c r="BR32" s="1477"/>
      <c r="BS32" s="1477"/>
      <c r="BT32" s="1477"/>
      <c r="BU32" s="1477"/>
      <c r="BV32" s="1477"/>
      <c r="BW32" s="1477"/>
      <c r="BX32" s="1477"/>
      <c r="BY32" s="1477"/>
      <c r="BZ32" s="1477"/>
      <c r="CA32" s="1477"/>
      <c r="CB32" s="1477"/>
      <c r="CC32" s="1477"/>
      <c r="CD32" s="1477"/>
      <c r="CE32" s="1477"/>
      <c r="CF32" s="1477"/>
      <c r="CG32" s="1477"/>
      <c r="CH32" s="1477"/>
      <c r="CI32" s="1477"/>
      <c r="CJ32" s="1477"/>
      <c r="CK32" s="1477"/>
      <c r="CL32" s="1477"/>
      <c r="CM32" s="1477"/>
      <c r="CN32" s="1477"/>
      <c r="CO32" s="1477"/>
      <c r="CP32" s="1477"/>
      <c r="CQ32" s="1477"/>
      <c r="CR32" s="1477"/>
      <c r="CS32" s="1477"/>
      <c r="CT32" s="1477"/>
      <c r="CU32" s="1477"/>
      <c r="CV32" s="1477"/>
      <c r="CW32" s="1477"/>
      <c r="CX32" s="1477"/>
      <c r="CY32" s="1477"/>
    </row>
    <row r="33" spans="1:103" s="15" customFormat="1" ht="15" customHeight="1">
      <c r="A33" s="1185">
        <v>24</v>
      </c>
      <c r="B33" s="1103"/>
      <c r="C33" s="1103"/>
      <c r="D33" s="1477"/>
      <c r="E33" s="1477"/>
      <c r="F33" s="1477"/>
      <c r="G33" s="1477"/>
      <c r="H33" s="1477"/>
      <c r="I33" s="1477"/>
      <c r="J33" s="1477"/>
      <c r="K33" s="1477"/>
      <c r="L33" s="1477"/>
      <c r="M33" s="1477"/>
      <c r="N33" s="1477"/>
      <c r="O33" s="1477"/>
      <c r="P33" s="1477"/>
      <c r="Q33" s="1477"/>
      <c r="R33" s="1477"/>
      <c r="S33" s="1477"/>
      <c r="T33" s="1477"/>
      <c r="U33" s="1477"/>
      <c r="V33" s="1477"/>
      <c r="W33" s="1477"/>
      <c r="X33" s="1477"/>
      <c r="Y33" s="1477">
        <v>1</v>
      </c>
      <c r="Z33" s="1477"/>
      <c r="AA33" s="1477"/>
      <c r="AB33" s="1477"/>
      <c r="AC33" s="1477"/>
      <c r="AD33" s="1477"/>
      <c r="AE33" s="1477"/>
      <c r="AF33" s="1477"/>
      <c r="AG33" s="1477"/>
      <c r="AH33" s="1477"/>
      <c r="AI33" s="1477"/>
      <c r="AJ33" s="1477"/>
      <c r="AK33" s="1477"/>
      <c r="AL33" s="1477"/>
      <c r="AM33" s="1477"/>
      <c r="AN33" s="1477"/>
      <c r="AO33" s="1477"/>
      <c r="AP33" s="1477"/>
      <c r="AQ33" s="1477"/>
      <c r="AR33" s="1477"/>
      <c r="AS33" s="1477"/>
      <c r="AT33" s="1477"/>
      <c r="AU33" s="1477"/>
      <c r="AV33" s="1477"/>
      <c r="AW33" s="1477"/>
      <c r="AX33" s="1477"/>
      <c r="AY33" s="1477"/>
      <c r="AZ33" s="1477"/>
      <c r="BA33" s="1477"/>
      <c r="BB33" s="1477"/>
      <c r="BC33" s="1477"/>
      <c r="BD33" s="1477"/>
      <c r="BE33" s="1477"/>
      <c r="BF33" s="1477"/>
      <c r="BG33" s="1477"/>
      <c r="BH33" s="1477"/>
      <c r="BI33" s="1477"/>
      <c r="BJ33" s="1477"/>
      <c r="BK33" s="1477"/>
      <c r="BL33" s="1477"/>
      <c r="BM33" s="1477"/>
      <c r="BN33" s="1477"/>
      <c r="BO33" s="1477"/>
      <c r="BP33" s="1477"/>
      <c r="BQ33" s="1477"/>
      <c r="BR33" s="1477"/>
      <c r="BS33" s="1477"/>
      <c r="BT33" s="1477"/>
      <c r="BU33" s="1477"/>
      <c r="BV33" s="1477"/>
      <c r="BW33" s="1477"/>
      <c r="BX33" s="1477"/>
      <c r="BY33" s="1477"/>
      <c r="BZ33" s="1477"/>
      <c r="CA33" s="1477"/>
      <c r="CB33" s="1477"/>
      <c r="CC33" s="1477"/>
      <c r="CD33" s="1477"/>
      <c r="CE33" s="1477"/>
      <c r="CF33" s="1477"/>
      <c r="CG33" s="1477"/>
      <c r="CH33" s="1477"/>
      <c r="CI33" s="1477"/>
      <c r="CJ33" s="1477"/>
      <c r="CK33" s="1477"/>
      <c r="CL33" s="1477"/>
      <c r="CM33" s="1477"/>
      <c r="CN33" s="1477"/>
      <c r="CO33" s="1477"/>
      <c r="CP33" s="1477"/>
      <c r="CQ33" s="1477"/>
      <c r="CR33" s="1477"/>
      <c r="CS33" s="1477"/>
      <c r="CT33" s="1477"/>
      <c r="CU33" s="1477"/>
      <c r="CV33" s="1477"/>
      <c r="CW33" s="1477"/>
      <c r="CX33" s="1477"/>
      <c r="CY33" s="1477"/>
    </row>
    <row r="34" spans="1:103" s="15" customFormat="1" ht="15" customHeight="1">
      <c r="A34" s="1185">
        <v>25</v>
      </c>
      <c r="B34" s="1103"/>
      <c r="C34" s="1103"/>
      <c r="D34" s="1477"/>
      <c r="E34" s="1477"/>
      <c r="F34" s="1477"/>
      <c r="G34" s="1477"/>
      <c r="H34" s="1477"/>
      <c r="I34" s="1477"/>
      <c r="J34" s="1477"/>
      <c r="K34" s="1477"/>
      <c r="L34" s="1477"/>
      <c r="M34" s="1477"/>
      <c r="N34" s="1477"/>
      <c r="O34" s="1477"/>
      <c r="P34" s="1477"/>
      <c r="Q34" s="1477"/>
      <c r="R34" s="1477"/>
      <c r="S34" s="1477"/>
      <c r="T34" s="1477"/>
      <c r="U34" s="1477"/>
      <c r="V34" s="1477"/>
      <c r="W34" s="1477"/>
      <c r="X34" s="1477"/>
      <c r="Y34" s="1477"/>
      <c r="Z34" s="1477">
        <v>1</v>
      </c>
      <c r="AA34" s="1477"/>
      <c r="AB34" s="1477"/>
      <c r="AC34" s="1477"/>
      <c r="AD34" s="1477"/>
      <c r="AE34" s="1477"/>
      <c r="AF34" s="1477"/>
      <c r="AG34" s="1477"/>
      <c r="AH34" s="1477"/>
      <c r="AI34" s="1477"/>
      <c r="AJ34" s="1477"/>
      <c r="AK34" s="1477"/>
      <c r="AL34" s="1477"/>
      <c r="AM34" s="1477"/>
      <c r="AN34" s="1477"/>
      <c r="AO34" s="1477"/>
      <c r="AP34" s="1477"/>
      <c r="AQ34" s="1477"/>
      <c r="AR34" s="1477"/>
      <c r="AS34" s="1477"/>
      <c r="AT34" s="1477"/>
      <c r="AU34" s="1477"/>
      <c r="AV34" s="1477"/>
      <c r="AW34" s="1477"/>
      <c r="AX34" s="1477"/>
      <c r="AY34" s="1477"/>
      <c r="AZ34" s="1477"/>
      <c r="BA34" s="1477"/>
      <c r="BB34" s="1477"/>
      <c r="BC34" s="1477"/>
      <c r="BD34" s="1477"/>
      <c r="BE34" s="1477"/>
      <c r="BF34" s="1477"/>
      <c r="BG34" s="1477"/>
      <c r="BH34" s="1477"/>
      <c r="BI34" s="1477"/>
      <c r="BJ34" s="1477"/>
      <c r="BK34" s="1477"/>
      <c r="BL34" s="1477"/>
      <c r="BM34" s="1477"/>
      <c r="BN34" s="1477"/>
      <c r="BO34" s="1477"/>
      <c r="BP34" s="1477"/>
      <c r="BQ34" s="1477"/>
      <c r="BR34" s="1477"/>
      <c r="BS34" s="1477"/>
      <c r="BT34" s="1477"/>
      <c r="BU34" s="1477"/>
      <c r="BV34" s="1477"/>
      <c r="BW34" s="1477"/>
      <c r="BX34" s="1477"/>
      <c r="BY34" s="1477"/>
      <c r="BZ34" s="1477"/>
      <c r="CA34" s="1477"/>
      <c r="CB34" s="1477"/>
      <c r="CC34" s="1477"/>
      <c r="CD34" s="1477"/>
      <c r="CE34" s="1477"/>
      <c r="CF34" s="1477"/>
      <c r="CG34" s="1477"/>
      <c r="CH34" s="1477"/>
      <c r="CI34" s="1477"/>
      <c r="CJ34" s="1477"/>
      <c r="CK34" s="1477"/>
      <c r="CL34" s="1477"/>
      <c r="CM34" s="1477"/>
      <c r="CN34" s="1477"/>
      <c r="CO34" s="1477"/>
      <c r="CP34" s="1477"/>
      <c r="CQ34" s="1477"/>
      <c r="CR34" s="1477"/>
      <c r="CS34" s="1477"/>
      <c r="CT34" s="1477"/>
      <c r="CU34" s="1477"/>
      <c r="CV34" s="1477"/>
      <c r="CW34" s="1477"/>
      <c r="CX34" s="1477"/>
      <c r="CY34" s="1477"/>
    </row>
    <row r="35" spans="1:103" s="15" customFormat="1" ht="15" customHeight="1">
      <c r="A35" s="1185">
        <v>26</v>
      </c>
      <c r="B35" s="1103"/>
      <c r="C35" s="1103"/>
      <c r="D35" s="1477"/>
      <c r="E35" s="1477"/>
      <c r="F35" s="1477"/>
      <c r="G35" s="1477"/>
      <c r="H35" s="1477"/>
      <c r="I35" s="1477"/>
      <c r="J35" s="1477"/>
      <c r="K35" s="1477"/>
      <c r="L35" s="1477"/>
      <c r="M35" s="1477"/>
      <c r="N35" s="1477"/>
      <c r="O35" s="1477"/>
      <c r="P35" s="1477"/>
      <c r="Q35" s="1477"/>
      <c r="R35" s="1477"/>
      <c r="S35" s="1477"/>
      <c r="T35" s="1477"/>
      <c r="U35" s="1477"/>
      <c r="V35" s="1477"/>
      <c r="W35" s="1477"/>
      <c r="X35" s="1477"/>
      <c r="Y35" s="1477"/>
      <c r="Z35" s="1477"/>
      <c r="AA35" s="1477">
        <v>1</v>
      </c>
      <c r="AB35" s="1477"/>
      <c r="AC35" s="1477"/>
      <c r="AD35" s="1477"/>
      <c r="AE35" s="1477"/>
      <c r="AF35" s="1477"/>
      <c r="AG35" s="1477"/>
      <c r="AH35" s="1477"/>
      <c r="AI35" s="1477"/>
      <c r="AJ35" s="1477"/>
      <c r="AK35" s="1477"/>
      <c r="AL35" s="1477"/>
      <c r="AM35" s="1477"/>
      <c r="AN35" s="1477"/>
      <c r="AO35" s="1477"/>
      <c r="AP35" s="1477"/>
      <c r="AQ35" s="1477"/>
      <c r="AR35" s="1477"/>
      <c r="AS35" s="1477"/>
      <c r="AT35" s="1477"/>
      <c r="AU35" s="1477"/>
      <c r="AV35" s="1477"/>
      <c r="AW35" s="1477"/>
      <c r="AX35" s="1477"/>
      <c r="AY35" s="1477"/>
      <c r="AZ35" s="1477"/>
      <c r="BA35" s="1477"/>
      <c r="BB35" s="1477"/>
      <c r="BC35" s="1477"/>
      <c r="BD35" s="1477"/>
      <c r="BE35" s="1477"/>
      <c r="BF35" s="1477"/>
      <c r="BG35" s="1477"/>
      <c r="BH35" s="1477"/>
      <c r="BI35" s="1477"/>
      <c r="BJ35" s="1477"/>
      <c r="BK35" s="1477"/>
      <c r="BL35" s="1477"/>
      <c r="BM35" s="1477"/>
      <c r="BN35" s="1477"/>
      <c r="BO35" s="1477"/>
      <c r="BP35" s="1477"/>
      <c r="BQ35" s="1477"/>
      <c r="BR35" s="1477"/>
      <c r="BS35" s="1477"/>
      <c r="BT35" s="1477"/>
      <c r="BU35" s="1477"/>
      <c r="BV35" s="1477"/>
      <c r="BW35" s="1477"/>
      <c r="BX35" s="1477"/>
      <c r="BY35" s="1477"/>
      <c r="BZ35" s="1477"/>
      <c r="CA35" s="1477"/>
      <c r="CB35" s="1477"/>
      <c r="CC35" s="1477"/>
      <c r="CD35" s="1477"/>
      <c r="CE35" s="1477"/>
      <c r="CF35" s="1477"/>
      <c r="CG35" s="1477"/>
      <c r="CH35" s="1477"/>
      <c r="CI35" s="1477"/>
      <c r="CJ35" s="1477"/>
      <c r="CK35" s="1477"/>
      <c r="CL35" s="1477"/>
      <c r="CM35" s="1477"/>
      <c r="CN35" s="1477"/>
      <c r="CO35" s="1477"/>
      <c r="CP35" s="1477"/>
      <c r="CQ35" s="1477"/>
      <c r="CR35" s="1477"/>
      <c r="CS35" s="1477"/>
      <c r="CT35" s="1477"/>
      <c r="CU35" s="1477"/>
      <c r="CV35" s="1477"/>
      <c r="CW35" s="1477"/>
      <c r="CX35" s="1477"/>
      <c r="CY35" s="1477"/>
    </row>
    <row r="36" spans="1:103" s="15" customFormat="1" ht="15" customHeight="1">
      <c r="A36" s="1185">
        <v>27</v>
      </c>
      <c r="B36" s="1103"/>
      <c r="C36" s="1103"/>
      <c r="D36" s="1477"/>
      <c r="E36" s="1477"/>
      <c r="F36" s="1477"/>
      <c r="G36" s="1477"/>
      <c r="H36" s="1477"/>
      <c r="I36" s="1477"/>
      <c r="J36" s="1477"/>
      <c r="K36" s="1477"/>
      <c r="L36" s="1477"/>
      <c r="M36" s="1477"/>
      <c r="N36" s="1477"/>
      <c r="O36" s="1477"/>
      <c r="P36" s="1477"/>
      <c r="Q36" s="1477"/>
      <c r="R36" s="1477"/>
      <c r="S36" s="1477"/>
      <c r="T36" s="1477"/>
      <c r="U36" s="1477"/>
      <c r="V36" s="1477"/>
      <c r="W36" s="1477"/>
      <c r="X36" s="1477"/>
      <c r="Y36" s="1477"/>
      <c r="Z36" s="1477"/>
      <c r="AA36" s="1477"/>
      <c r="AB36" s="1477">
        <v>1</v>
      </c>
      <c r="AC36" s="1477"/>
      <c r="AD36" s="1477"/>
      <c r="AE36" s="1477"/>
      <c r="AF36" s="1477"/>
      <c r="AG36" s="1477"/>
      <c r="AH36" s="1477"/>
      <c r="AI36" s="1477"/>
      <c r="AJ36" s="1477"/>
      <c r="AK36" s="1477"/>
      <c r="AL36" s="1477"/>
      <c r="AM36" s="1477"/>
      <c r="AN36" s="1477"/>
      <c r="AO36" s="1477"/>
      <c r="AP36" s="1477"/>
      <c r="AQ36" s="1477"/>
      <c r="AR36" s="1477"/>
      <c r="AS36" s="1477"/>
      <c r="AT36" s="1477"/>
      <c r="AU36" s="1477"/>
      <c r="AV36" s="1477"/>
      <c r="AW36" s="1477"/>
      <c r="AX36" s="1477"/>
      <c r="AY36" s="1477"/>
      <c r="AZ36" s="1477"/>
      <c r="BA36" s="1477"/>
      <c r="BB36" s="1477"/>
      <c r="BC36" s="1477"/>
      <c r="BD36" s="1477"/>
      <c r="BE36" s="1477"/>
      <c r="BF36" s="1477"/>
      <c r="BG36" s="1477"/>
      <c r="BH36" s="1477"/>
      <c r="BI36" s="1477"/>
      <c r="BJ36" s="1477"/>
      <c r="BK36" s="1477"/>
      <c r="BL36" s="1477"/>
      <c r="BM36" s="1477"/>
      <c r="BN36" s="1477"/>
      <c r="BO36" s="1477"/>
      <c r="BP36" s="1477"/>
      <c r="BQ36" s="1477"/>
      <c r="BR36" s="1477"/>
      <c r="BS36" s="1477"/>
      <c r="BT36" s="1477"/>
      <c r="BU36" s="1477"/>
      <c r="BV36" s="1477"/>
      <c r="BW36" s="1477"/>
      <c r="BX36" s="1477"/>
      <c r="BY36" s="1477"/>
      <c r="BZ36" s="1477"/>
      <c r="CA36" s="1477"/>
      <c r="CB36" s="1477"/>
      <c r="CC36" s="1477"/>
      <c r="CD36" s="1477"/>
      <c r="CE36" s="1477"/>
      <c r="CF36" s="1477"/>
      <c r="CG36" s="1477"/>
      <c r="CH36" s="1477"/>
      <c r="CI36" s="1477"/>
      <c r="CJ36" s="1477"/>
      <c r="CK36" s="1477"/>
      <c r="CL36" s="1477"/>
      <c r="CM36" s="1477"/>
      <c r="CN36" s="1477"/>
      <c r="CO36" s="1477"/>
      <c r="CP36" s="1477"/>
      <c r="CQ36" s="1477"/>
      <c r="CR36" s="1477"/>
      <c r="CS36" s="1477"/>
      <c r="CT36" s="1477"/>
      <c r="CU36" s="1477"/>
      <c r="CV36" s="1477"/>
      <c r="CW36" s="1477"/>
      <c r="CX36" s="1477"/>
      <c r="CY36" s="1477"/>
    </row>
    <row r="37" spans="1:103" s="15" customFormat="1" ht="15" customHeight="1">
      <c r="A37" s="1185">
        <v>28</v>
      </c>
      <c r="B37" s="1103"/>
      <c r="C37" s="1103"/>
      <c r="D37" s="1477"/>
      <c r="E37" s="1477"/>
      <c r="F37" s="1477"/>
      <c r="G37" s="1477"/>
      <c r="H37" s="1477"/>
      <c r="I37" s="1477"/>
      <c r="J37" s="1477"/>
      <c r="K37" s="1477"/>
      <c r="L37" s="1477"/>
      <c r="M37" s="1477"/>
      <c r="N37" s="1477"/>
      <c r="O37" s="1477"/>
      <c r="P37" s="1477"/>
      <c r="Q37" s="1477"/>
      <c r="R37" s="1477"/>
      <c r="S37" s="1477"/>
      <c r="T37" s="1477"/>
      <c r="U37" s="1477"/>
      <c r="V37" s="1477"/>
      <c r="W37" s="1477"/>
      <c r="X37" s="1477"/>
      <c r="Y37" s="1477"/>
      <c r="Z37" s="1477"/>
      <c r="AA37" s="1477"/>
      <c r="AB37" s="1477"/>
      <c r="AC37" s="1477">
        <v>1</v>
      </c>
      <c r="AD37" s="1477"/>
      <c r="AE37" s="1477"/>
      <c r="AF37" s="1477"/>
      <c r="AG37" s="1477"/>
      <c r="AH37" s="1477"/>
      <c r="AI37" s="1477"/>
      <c r="AJ37" s="1477"/>
      <c r="AK37" s="1477"/>
      <c r="AL37" s="1477"/>
      <c r="AM37" s="1477"/>
      <c r="AN37" s="1477"/>
      <c r="AO37" s="1477"/>
      <c r="AP37" s="1477"/>
      <c r="AQ37" s="1477"/>
      <c r="AR37" s="1477"/>
      <c r="AS37" s="1477"/>
      <c r="AT37" s="1477"/>
      <c r="AU37" s="1477"/>
      <c r="AV37" s="1477"/>
      <c r="AW37" s="1477"/>
      <c r="AX37" s="1477"/>
      <c r="AY37" s="1477"/>
      <c r="AZ37" s="1477"/>
      <c r="BA37" s="1477"/>
      <c r="BB37" s="1477"/>
      <c r="BC37" s="1477"/>
      <c r="BD37" s="1477"/>
      <c r="BE37" s="1477"/>
      <c r="BF37" s="1477"/>
      <c r="BG37" s="1477"/>
      <c r="BH37" s="1477"/>
      <c r="BI37" s="1477"/>
      <c r="BJ37" s="1477"/>
      <c r="BK37" s="1477"/>
      <c r="BL37" s="1477"/>
      <c r="BM37" s="1477"/>
      <c r="BN37" s="1477"/>
      <c r="BO37" s="1477"/>
      <c r="BP37" s="1477"/>
      <c r="BQ37" s="1477"/>
      <c r="BR37" s="1477"/>
      <c r="BS37" s="1477"/>
      <c r="BT37" s="1477"/>
      <c r="BU37" s="1477"/>
      <c r="BV37" s="1477"/>
      <c r="BW37" s="1477"/>
      <c r="BX37" s="1477"/>
      <c r="BY37" s="1477"/>
      <c r="BZ37" s="1477"/>
      <c r="CA37" s="1477"/>
      <c r="CB37" s="1477"/>
      <c r="CC37" s="1477"/>
      <c r="CD37" s="1477"/>
      <c r="CE37" s="1477"/>
      <c r="CF37" s="1477"/>
      <c r="CG37" s="1477"/>
      <c r="CH37" s="1477"/>
      <c r="CI37" s="1477"/>
      <c r="CJ37" s="1477"/>
      <c r="CK37" s="1477"/>
      <c r="CL37" s="1477"/>
      <c r="CM37" s="1477"/>
      <c r="CN37" s="1477"/>
      <c r="CO37" s="1477"/>
      <c r="CP37" s="1477"/>
      <c r="CQ37" s="1477"/>
      <c r="CR37" s="1477"/>
      <c r="CS37" s="1477"/>
      <c r="CT37" s="1477"/>
      <c r="CU37" s="1477"/>
      <c r="CV37" s="1477"/>
      <c r="CW37" s="1477"/>
      <c r="CX37" s="1477"/>
      <c r="CY37" s="1477"/>
    </row>
    <row r="38" spans="1:103" s="15" customFormat="1" ht="15" customHeight="1">
      <c r="A38" s="1185">
        <v>29</v>
      </c>
      <c r="B38" s="1103"/>
      <c r="C38" s="1103"/>
      <c r="D38" s="1477"/>
      <c r="E38" s="1477"/>
      <c r="F38" s="1477"/>
      <c r="G38" s="1477"/>
      <c r="H38" s="1477"/>
      <c r="I38" s="1477"/>
      <c r="J38" s="1477"/>
      <c r="K38" s="1477"/>
      <c r="L38" s="1477"/>
      <c r="M38" s="1477"/>
      <c r="N38" s="1477"/>
      <c r="O38" s="1477"/>
      <c r="P38" s="1477"/>
      <c r="Q38" s="1477"/>
      <c r="R38" s="1477"/>
      <c r="S38" s="1477"/>
      <c r="T38" s="1477"/>
      <c r="U38" s="1477"/>
      <c r="V38" s="1477"/>
      <c r="W38" s="1477"/>
      <c r="X38" s="1477"/>
      <c r="Y38" s="1477"/>
      <c r="Z38" s="1477"/>
      <c r="AA38" s="1477"/>
      <c r="AB38" s="1477"/>
      <c r="AC38" s="1477"/>
      <c r="AD38" s="1477">
        <v>1</v>
      </c>
      <c r="AE38" s="1477"/>
      <c r="AF38" s="1477"/>
      <c r="AG38" s="1477"/>
      <c r="AH38" s="1477"/>
      <c r="AI38" s="1477"/>
      <c r="AJ38" s="1477"/>
      <c r="AK38" s="1477"/>
      <c r="AL38" s="1477"/>
      <c r="AM38" s="1477"/>
      <c r="AN38" s="1477"/>
      <c r="AO38" s="1477"/>
      <c r="AP38" s="1477"/>
      <c r="AQ38" s="1477"/>
      <c r="AR38" s="1477"/>
      <c r="AS38" s="1477"/>
      <c r="AT38" s="1477"/>
      <c r="AU38" s="1477"/>
      <c r="AV38" s="1477"/>
      <c r="AW38" s="1477"/>
      <c r="AX38" s="1477"/>
      <c r="AY38" s="1477"/>
      <c r="AZ38" s="1477"/>
      <c r="BA38" s="1477"/>
      <c r="BB38" s="1477"/>
      <c r="BC38" s="1477"/>
      <c r="BD38" s="1477"/>
      <c r="BE38" s="1477"/>
      <c r="BF38" s="1477"/>
      <c r="BG38" s="1477"/>
      <c r="BH38" s="1477"/>
      <c r="BI38" s="1477"/>
      <c r="BJ38" s="1477"/>
      <c r="BK38" s="1477"/>
      <c r="BL38" s="1477"/>
      <c r="BM38" s="1477"/>
      <c r="BN38" s="1477"/>
      <c r="BO38" s="1477"/>
      <c r="BP38" s="1477"/>
      <c r="BQ38" s="1477"/>
      <c r="BR38" s="1477"/>
      <c r="BS38" s="1477"/>
      <c r="BT38" s="1477"/>
      <c r="BU38" s="1477"/>
      <c r="BV38" s="1477"/>
      <c r="BW38" s="1477"/>
      <c r="BX38" s="1477"/>
      <c r="BY38" s="1477"/>
      <c r="BZ38" s="1477"/>
      <c r="CA38" s="1477"/>
      <c r="CB38" s="1477"/>
      <c r="CC38" s="1477"/>
      <c r="CD38" s="1477"/>
      <c r="CE38" s="1477"/>
      <c r="CF38" s="1477"/>
      <c r="CG38" s="1477"/>
      <c r="CH38" s="1477"/>
      <c r="CI38" s="1477"/>
      <c r="CJ38" s="1477"/>
      <c r="CK38" s="1477"/>
      <c r="CL38" s="1477"/>
      <c r="CM38" s="1477"/>
      <c r="CN38" s="1477"/>
      <c r="CO38" s="1477"/>
      <c r="CP38" s="1477"/>
      <c r="CQ38" s="1477"/>
      <c r="CR38" s="1477"/>
      <c r="CS38" s="1477"/>
      <c r="CT38" s="1477"/>
      <c r="CU38" s="1477"/>
      <c r="CV38" s="1477"/>
      <c r="CW38" s="1477"/>
      <c r="CX38" s="1477"/>
      <c r="CY38" s="1477"/>
    </row>
    <row r="39" spans="1:103" s="15" customFormat="1" ht="15" customHeight="1">
      <c r="A39" s="1185">
        <v>30</v>
      </c>
      <c r="B39" s="1103"/>
      <c r="C39" s="1103"/>
      <c r="D39" s="1477"/>
      <c r="E39" s="1477"/>
      <c r="F39" s="1477"/>
      <c r="G39" s="1477"/>
      <c r="H39" s="1477"/>
      <c r="I39" s="1477"/>
      <c r="J39" s="1477"/>
      <c r="K39" s="1477"/>
      <c r="L39" s="1477"/>
      <c r="M39" s="1477"/>
      <c r="N39" s="1477"/>
      <c r="O39" s="1477"/>
      <c r="P39" s="1477"/>
      <c r="Q39" s="1477"/>
      <c r="R39" s="1477"/>
      <c r="S39" s="1477"/>
      <c r="T39" s="1477"/>
      <c r="U39" s="1477"/>
      <c r="V39" s="1477"/>
      <c r="W39" s="1477"/>
      <c r="X39" s="1477"/>
      <c r="Y39" s="1477"/>
      <c r="Z39" s="1477"/>
      <c r="AA39" s="1477"/>
      <c r="AB39" s="1477"/>
      <c r="AC39" s="1477"/>
      <c r="AD39" s="1477"/>
      <c r="AE39" s="1477">
        <v>1</v>
      </c>
      <c r="AF39" s="1477"/>
      <c r="AG39" s="1477"/>
      <c r="AH39" s="1477"/>
      <c r="AI39" s="1477"/>
      <c r="AJ39" s="1477"/>
      <c r="AK39" s="1477"/>
      <c r="AL39" s="1477"/>
      <c r="AM39" s="1477"/>
      <c r="AN39" s="1477"/>
      <c r="AO39" s="1477"/>
      <c r="AP39" s="1477"/>
      <c r="AQ39" s="1477"/>
      <c r="AR39" s="1477"/>
      <c r="AS39" s="1477"/>
      <c r="AT39" s="1477"/>
      <c r="AU39" s="1477"/>
      <c r="AV39" s="1477"/>
      <c r="AW39" s="1477"/>
      <c r="AX39" s="1477"/>
      <c r="AY39" s="1477"/>
      <c r="AZ39" s="1477"/>
      <c r="BA39" s="1477"/>
      <c r="BB39" s="1477"/>
      <c r="BC39" s="1477"/>
      <c r="BD39" s="1477"/>
      <c r="BE39" s="1477"/>
      <c r="BF39" s="1477"/>
      <c r="BG39" s="1477"/>
      <c r="BH39" s="1477"/>
      <c r="BI39" s="1477"/>
      <c r="BJ39" s="1477"/>
      <c r="BK39" s="1477"/>
      <c r="BL39" s="1477"/>
      <c r="BM39" s="1477"/>
      <c r="BN39" s="1477"/>
      <c r="BO39" s="1477"/>
      <c r="BP39" s="1477"/>
      <c r="BQ39" s="1477"/>
      <c r="BR39" s="1477"/>
      <c r="BS39" s="1477"/>
      <c r="BT39" s="1477"/>
      <c r="BU39" s="1477"/>
      <c r="BV39" s="1477"/>
      <c r="BW39" s="1477"/>
      <c r="BX39" s="1477"/>
      <c r="BY39" s="1477"/>
      <c r="BZ39" s="1477"/>
      <c r="CA39" s="1477"/>
      <c r="CB39" s="1477"/>
      <c r="CC39" s="1477"/>
      <c r="CD39" s="1477"/>
      <c r="CE39" s="1477"/>
      <c r="CF39" s="1477"/>
      <c r="CG39" s="1477"/>
      <c r="CH39" s="1477"/>
      <c r="CI39" s="1477"/>
      <c r="CJ39" s="1477"/>
      <c r="CK39" s="1477"/>
      <c r="CL39" s="1477"/>
      <c r="CM39" s="1477"/>
      <c r="CN39" s="1477"/>
      <c r="CO39" s="1477"/>
      <c r="CP39" s="1477"/>
      <c r="CQ39" s="1477"/>
      <c r="CR39" s="1477"/>
      <c r="CS39" s="1477"/>
      <c r="CT39" s="1477"/>
      <c r="CU39" s="1477"/>
      <c r="CV39" s="1477"/>
      <c r="CW39" s="1477"/>
      <c r="CX39" s="1477"/>
      <c r="CY39" s="1477"/>
    </row>
    <row r="40" spans="1:103" s="15" customFormat="1" ht="15" customHeight="1">
      <c r="A40" s="1185">
        <v>31</v>
      </c>
      <c r="B40" s="1103"/>
      <c r="C40" s="1103"/>
      <c r="D40" s="1477"/>
      <c r="E40" s="1477"/>
      <c r="F40" s="1477"/>
      <c r="G40" s="1477"/>
      <c r="H40" s="1477"/>
      <c r="I40" s="1477"/>
      <c r="J40" s="1477"/>
      <c r="K40" s="1477"/>
      <c r="L40" s="1477"/>
      <c r="M40" s="1477"/>
      <c r="N40" s="1477"/>
      <c r="O40" s="1477"/>
      <c r="P40" s="1477"/>
      <c r="Q40" s="1477"/>
      <c r="R40" s="1477"/>
      <c r="S40" s="1477"/>
      <c r="T40" s="1477"/>
      <c r="U40" s="1477"/>
      <c r="V40" s="1477"/>
      <c r="W40" s="1477"/>
      <c r="X40" s="1477"/>
      <c r="Y40" s="1477"/>
      <c r="Z40" s="1477"/>
      <c r="AA40" s="1477"/>
      <c r="AB40" s="1477"/>
      <c r="AC40" s="1477"/>
      <c r="AD40" s="1477"/>
      <c r="AE40" s="1477"/>
      <c r="AF40" s="1477">
        <v>1</v>
      </c>
      <c r="AG40" s="1477"/>
      <c r="AH40" s="1477"/>
      <c r="AI40" s="1477"/>
      <c r="AJ40" s="1477"/>
      <c r="AK40" s="1477"/>
      <c r="AL40" s="1477"/>
      <c r="AM40" s="1477"/>
      <c r="AN40" s="1477"/>
      <c r="AO40" s="1477"/>
      <c r="AP40" s="1477"/>
      <c r="AQ40" s="1477"/>
      <c r="AR40" s="1477"/>
      <c r="AS40" s="1477"/>
      <c r="AT40" s="1477"/>
      <c r="AU40" s="1477"/>
      <c r="AV40" s="1477"/>
      <c r="AW40" s="1477"/>
      <c r="AX40" s="1477"/>
      <c r="AY40" s="1477"/>
      <c r="AZ40" s="1477"/>
      <c r="BA40" s="1477"/>
      <c r="BB40" s="1477"/>
      <c r="BC40" s="1477"/>
      <c r="BD40" s="1477"/>
      <c r="BE40" s="1477"/>
      <c r="BF40" s="1477"/>
      <c r="BG40" s="1477"/>
      <c r="BH40" s="1477"/>
      <c r="BI40" s="1477"/>
      <c r="BJ40" s="1477"/>
      <c r="BK40" s="1477"/>
      <c r="BL40" s="1477"/>
      <c r="BM40" s="1477"/>
      <c r="BN40" s="1477"/>
      <c r="BO40" s="1477"/>
      <c r="BP40" s="1477"/>
      <c r="BQ40" s="1477"/>
      <c r="BR40" s="1477"/>
      <c r="BS40" s="1477"/>
      <c r="BT40" s="1477"/>
      <c r="BU40" s="1477"/>
      <c r="BV40" s="1477"/>
      <c r="BW40" s="1477"/>
      <c r="BX40" s="1477"/>
      <c r="BY40" s="1477"/>
      <c r="BZ40" s="1477"/>
      <c r="CA40" s="1477"/>
      <c r="CB40" s="1477"/>
      <c r="CC40" s="1477"/>
      <c r="CD40" s="1477"/>
      <c r="CE40" s="1477"/>
      <c r="CF40" s="1477"/>
      <c r="CG40" s="1477"/>
      <c r="CH40" s="1477"/>
      <c r="CI40" s="1477"/>
      <c r="CJ40" s="1477"/>
      <c r="CK40" s="1477"/>
      <c r="CL40" s="1477"/>
      <c r="CM40" s="1477"/>
      <c r="CN40" s="1477"/>
      <c r="CO40" s="1477"/>
      <c r="CP40" s="1477"/>
      <c r="CQ40" s="1477"/>
      <c r="CR40" s="1477"/>
      <c r="CS40" s="1477"/>
      <c r="CT40" s="1477"/>
      <c r="CU40" s="1477"/>
      <c r="CV40" s="1477"/>
      <c r="CW40" s="1477"/>
      <c r="CX40" s="1477"/>
      <c r="CY40" s="1477"/>
    </row>
    <row r="41" spans="1:103" s="15" customFormat="1" ht="15" customHeight="1">
      <c r="A41" s="1185">
        <v>32</v>
      </c>
      <c r="B41" s="1103"/>
      <c r="C41" s="1103"/>
      <c r="D41" s="1477"/>
      <c r="E41" s="1477"/>
      <c r="F41" s="1477"/>
      <c r="G41" s="1477"/>
      <c r="H41" s="1477"/>
      <c r="I41" s="1477"/>
      <c r="J41" s="1477"/>
      <c r="K41" s="1477"/>
      <c r="L41" s="1477"/>
      <c r="M41" s="1477"/>
      <c r="N41" s="1477"/>
      <c r="O41" s="1477"/>
      <c r="P41" s="1477"/>
      <c r="Q41" s="1477"/>
      <c r="R41" s="1477"/>
      <c r="S41" s="1477"/>
      <c r="T41" s="1477"/>
      <c r="U41" s="1477"/>
      <c r="V41" s="1477"/>
      <c r="W41" s="1477"/>
      <c r="X41" s="1477"/>
      <c r="Y41" s="1477"/>
      <c r="Z41" s="1477"/>
      <c r="AA41" s="1477"/>
      <c r="AB41" s="1477"/>
      <c r="AC41" s="1477"/>
      <c r="AD41" s="1477"/>
      <c r="AE41" s="1477"/>
      <c r="AF41" s="1477"/>
      <c r="AG41" s="1477">
        <v>1</v>
      </c>
      <c r="AH41" s="1477"/>
      <c r="AI41" s="1477"/>
      <c r="AJ41" s="1477"/>
      <c r="AK41" s="1477"/>
      <c r="AL41" s="1477"/>
      <c r="AM41" s="1477"/>
      <c r="AN41" s="1477"/>
      <c r="AO41" s="1477"/>
      <c r="AP41" s="1477"/>
      <c r="AQ41" s="1477"/>
      <c r="AR41" s="1477"/>
      <c r="AS41" s="1477"/>
      <c r="AT41" s="1477"/>
      <c r="AU41" s="1477"/>
      <c r="AV41" s="1477"/>
      <c r="AW41" s="1477"/>
      <c r="AX41" s="1477"/>
      <c r="AY41" s="1477"/>
      <c r="AZ41" s="1477"/>
      <c r="BA41" s="1477"/>
      <c r="BB41" s="1477"/>
      <c r="BC41" s="1477"/>
      <c r="BD41" s="1477"/>
      <c r="BE41" s="1477"/>
      <c r="BF41" s="1477"/>
      <c r="BG41" s="1477"/>
      <c r="BH41" s="1477"/>
      <c r="BI41" s="1477"/>
      <c r="BJ41" s="1477"/>
      <c r="BK41" s="1477"/>
      <c r="BL41" s="1477"/>
      <c r="BM41" s="1477"/>
      <c r="BN41" s="1477"/>
      <c r="BO41" s="1477"/>
      <c r="BP41" s="1477"/>
      <c r="BQ41" s="1477"/>
      <c r="BR41" s="1477"/>
      <c r="BS41" s="1477"/>
      <c r="BT41" s="1477"/>
      <c r="BU41" s="1477"/>
      <c r="BV41" s="1477"/>
      <c r="BW41" s="1477"/>
      <c r="BX41" s="1477"/>
      <c r="BY41" s="1477"/>
      <c r="BZ41" s="1477"/>
      <c r="CA41" s="1477"/>
      <c r="CB41" s="1477"/>
      <c r="CC41" s="1477"/>
      <c r="CD41" s="1477"/>
      <c r="CE41" s="1477"/>
      <c r="CF41" s="1477"/>
      <c r="CG41" s="1477"/>
      <c r="CH41" s="1477"/>
      <c r="CI41" s="1477"/>
      <c r="CJ41" s="1477"/>
      <c r="CK41" s="1477"/>
      <c r="CL41" s="1477"/>
      <c r="CM41" s="1477"/>
      <c r="CN41" s="1477"/>
      <c r="CO41" s="1477"/>
      <c r="CP41" s="1477"/>
      <c r="CQ41" s="1477"/>
      <c r="CR41" s="1477"/>
      <c r="CS41" s="1477"/>
      <c r="CT41" s="1477"/>
      <c r="CU41" s="1477"/>
      <c r="CV41" s="1477"/>
      <c r="CW41" s="1477"/>
      <c r="CX41" s="1477"/>
      <c r="CY41" s="1477"/>
    </row>
    <row r="42" spans="1:103" s="15" customFormat="1" ht="15" customHeight="1">
      <c r="A42" s="1185">
        <v>33</v>
      </c>
      <c r="B42" s="1103"/>
      <c r="C42" s="1103"/>
      <c r="D42" s="1477"/>
      <c r="E42" s="1477"/>
      <c r="F42" s="1477"/>
      <c r="G42" s="1477"/>
      <c r="H42" s="1477"/>
      <c r="I42" s="1477"/>
      <c r="J42" s="1477"/>
      <c r="K42" s="1477"/>
      <c r="L42" s="1477"/>
      <c r="M42" s="1477"/>
      <c r="N42" s="1477"/>
      <c r="O42" s="1477"/>
      <c r="P42" s="1477"/>
      <c r="Q42" s="1477"/>
      <c r="R42" s="1477"/>
      <c r="S42" s="1477"/>
      <c r="T42" s="1477"/>
      <c r="U42" s="1477"/>
      <c r="V42" s="1477"/>
      <c r="W42" s="1477"/>
      <c r="X42" s="1477"/>
      <c r="Y42" s="1477"/>
      <c r="Z42" s="1477"/>
      <c r="AA42" s="1477"/>
      <c r="AB42" s="1477"/>
      <c r="AC42" s="1477"/>
      <c r="AD42" s="1477"/>
      <c r="AE42" s="1477"/>
      <c r="AF42" s="1477"/>
      <c r="AG42" s="1477"/>
      <c r="AH42" s="1477">
        <v>1</v>
      </c>
      <c r="AI42" s="1477"/>
      <c r="AJ42" s="1477"/>
      <c r="AK42" s="1477"/>
      <c r="AL42" s="1477"/>
      <c r="AM42" s="1477"/>
      <c r="AN42" s="1477"/>
      <c r="AO42" s="1477"/>
      <c r="AP42" s="1477"/>
      <c r="AQ42" s="1477"/>
      <c r="AR42" s="1477"/>
      <c r="AS42" s="1477"/>
      <c r="AT42" s="1477"/>
      <c r="AU42" s="1477"/>
      <c r="AV42" s="1477"/>
      <c r="AW42" s="1477"/>
      <c r="AX42" s="1477"/>
      <c r="AY42" s="1477"/>
      <c r="AZ42" s="1477"/>
      <c r="BA42" s="1477"/>
      <c r="BB42" s="1477"/>
      <c r="BC42" s="1477"/>
      <c r="BD42" s="1477"/>
      <c r="BE42" s="1477"/>
      <c r="BF42" s="1477"/>
      <c r="BG42" s="1477"/>
      <c r="BH42" s="1477"/>
      <c r="BI42" s="1477"/>
      <c r="BJ42" s="1477"/>
      <c r="BK42" s="1477"/>
      <c r="BL42" s="1477"/>
      <c r="BM42" s="1477"/>
      <c r="BN42" s="1477"/>
      <c r="BO42" s="1477"/>
      <c r="BP42" s="1477"/>
      <c r="BQ42" s="1477"/>
      <c r="BR42" s="1477"/>
      <c r="BS42" s="1477"/>
      <c r="BT42" s="1477"/>
      <c r="BU42" s="1477"/>
      <c r="BV42" s="1477"/>
      <c r="BW42" s="1477"/>
      <c r="BX42" s="1477"/>
      <c r="BY42" s="1477"/>
      <c r="BZ42" s="1477"/>
      <c r="CA42" s="1477"/>
      <c r="CB42" s="1477"/>
      <c r="CC42" s="1477"/>
      <c r="CD42" s="1477"/>
      <c r="CE42" s="1477"/>
      <c r="CF42" s="1477"/>
      <c r="CG42" s="1477"/>
      <c r="CH42" s="1477"/>
      <c r="CI42" s="1477"/>
      <c r="CJ42" s="1477"/>
      <c r="CK42" s="1477"/>
      <c r="CL42" s="1477"/>
      <c r="CM42" s="1477"/>
      <c r="CN42" s="1477"/>
      <c r="CO42" s="1477"/>
      <c r="CP42" s="1477"/>
      <c r="CQ42" s="1477"/>
      <c r="CR42" s="1477"/>
      <c r="CS42" s="1477"/>
      <c r="CT42" s="1477"/>
      <c r="CU42" s="1477"/>
      <c r="CV42" s="1477"/>
      <c r="CW42" s="1477"/>
      <c r="CX42" s="1477"/>
      <c r="CY42" s="1477"/>
    </row>
    <row r="43" spans="1:103" s="15" customFormat="1" ht="15" customHeight="1">
      <c r="A43" s="1185">
        <v>34</v>
      </c>
      <c r="B43" s="1103"/>
      <c r="C43" s="1103"/>
      <c r="D43" s="1477"/>
      <c r="E43" s="1477"/>
      <c r="F43" s="1477"/>
      <c r="G43" s="1477"/>
      <c r="H43" s="1477"/>
      <c r="I43" s="1477"/>
      <c r="J43" s="1477"/>
      <c r="K43" s="1477"/>
      <c r="L43" s="1477"/>
      <c r="M43" s="1477"/>
      <c r="N43" s="1477"/>
      <c r="O43" s="1477"/>
      <c r="P43" s="1477"/>
      <c r="Q43" s="1477"/>
      <c r="R43" s="1477"/>
      <c r="S43" s="1477"/>
      <c r="T43" s="1477"/>
      <c r="U43" s="1477"/>
      <c r="V43" s="1477"/>
      <c r="W43" s="1477"/>
      <c r="X43" s="1477"/>
      <c r="Y43" s="1477"/>
      <c r="Z43" s="1477"/>
      <c r="AA43" s="1477"/>
      <c r="AB43" s="1477"/>
      <c r="AC43" s="1477"/>
      <c r="AD43" s="1477"/>
      <c r="AE43" s="1477"/>
      <c r="AF43" s="1477"/>
      <c r="AG43" s="1477"/>
      <c r="AH43" s="1477"/>
      <c r="AI43" s="1477">
        <v>1</v>
      </c>
      <c r="AJ43" s="1477"/>
      <c r="AK43" s="1477"/>
      <c r="AL43" s="1477"/>
      <c r="AM43" s="1477"/>
      <c r="AN43" s="1477"/>
      <c r="AO43" s="1477"/>
      <c r="AP43" s="1477"/>
      <c r="AQ43" s="1477"/>
      <c r="AR43" s="1477"/>
      <c r="AS43" s="1477"/>
      <c r="AT43" s="1477"/>
      <c r="AU43" s="1477"/>
      <c r="AV43" s="1477"/>
      <c r="AW43" s="1477"/>
      <c r="AX43" s="1477"/>
      <c r="AY43" s="1477"/>
      <c r="AZ43" s="1477"/>
      <c r="BA43" s="1477"/>
      <c r="BB43" s="1477"/>
      <c r="BC43" s="1477"/>
      <c r="BD43" s="1477"/>
      <c r="BE43" s="1477"/>
      <c r="BF43" s="1477"/>
      <c r="BG43" s="1477"/>
      <c r="BH43" s="1477"/>
      <c r="BI43" s="1477"/>
      <c r="BJ43" s="1477"/>
      <c r="BK43" s="1477"/>
      <c r="BL43" s="1477"/>
      <c r="BM43" s="1477"/>
      <c r="BN43" s="1477"/>
      <c r="BO43" s="1477"/>
      <c r="BP43" s="1477"/>
      <c r="BQ43" s="1477"/>
      <c r="BR43" s="1477"/>
      <c r="BS43" s="1477"/>
      <c r="BT43" s="1477"/>
      <c r="BU43" s="1477"/>
      <c r="BV43" s="1477"/>
      <c r="BW43" s="1477"/>
      <c r="BX43" s="1477"/>
      <c r="BY43" s="1477"/>
      <c r="BZ43" s="1477"/>
      <c r="CA43" s="1477"/>
      <c r="CB43" s="1477"/>
      <c r="CC43" s="1477"/>
      <c r="CD43" s="1477"/>
      <c r="CE43" s="1477"/>
      <c r="CF43" s="1477"/>
      <c r="CG43" s="1477"/>
      <c r="CH43" s="1477"/>
      <c r="CI43" s="1477"/>
      <c r="CJ43" s="1477"/>
      <c r="CK43" s="1477"/>
      <c r="CL43" s="1477"/>
      <c r="CM43" s="1477"/>
      <c r="CN43" s="1477"/>
      <c r="CO43" s="1477"/>
      <c r="CP43" s="1477"/>
      <c r="CQ43" s="1477"/>
      <c r="CR43" s="1477"/>
      <c r="CS43" s="1477"/>
      <c r="CT43" s="1477"/>
      <c r="CU43" s="1477"/>
      <c r="CV43" s="1477"/>
      <c r="CW43" s="1477"/>
      <c r="CX43" s="1477"/>
      <c r="CY43" s="1477"/>
    </row>
    <row r="44" spans="1:103" s="15" customFormat="1" ht="15" customHeight="1">
      <c r="A44" s="1185">
        <v>35</v>
      </c>
      <c r="B44" s="1103"/>
      <c r="C44" s="1103"/>
      <c r="D44" s="1477"/>
      <c r="E44" s="1477"/>
      <c r="F44" s="1477"/>
      <c r="G44" s="1477"/>
      <c r="H44" s="1477"/>
      <c r="I44" s="1477"/>
      <c r="J44" s="1477"/>
      <c r="K44" s="1477"/>
      <c r="L44" s="1477"/>
      <c r="M44" s="1477"/>
      <c r="N44" s="1477"/>
      <c r="O44" s="1477"/>
      <c r="P44" s="1477"/>
      <c r="Q44" s="1477"/>
      <c r="R44" s="1477"/>
      <c r="S44" s="1477"/>
      <c r="T44" s="1477"/>
      <c r="U44" s="1477"/>
      <c r="V44" s="1477"/>
      <c r="W44" s="1477"/>
      <c r="X44" s="1477"/>
      <c r="Y44" s="1477"/>
      <c r="Z44" s="1477"/>
      <c r="AA44" s="1477"/>
      <c r="AB44" s="1477"/>
      <c r="AC44" s="1477"/>
      <c r="AD44" s="1477"/>
      <c r="AE44" s="1477"/>
      <c r="AF44" s="1477"/>
      <c r="AG44" s="1477"/>
      <c r="AH44" s="1477"/>
      <c r="AI44" s="1477"/>
      <c r="AJ44" s="1477">
        <v>1</v>
      </c>
      <c r="AK44" s="1477"/>
      <c r="AL44" s="1477"/>
      <c r="AM44" s="1477"/>
      <c r="AN44" s="1477"/>
      <c r="AO44" s="1477"/>
      <c r="AP44" s="1477"/>
      <c r="AQ44" s="1477"/>
      <c r="AR44" s="1477"/>
      <c r="AS44" s="1477"/>
      <c r="AT44" s="1477"/>
      <c r="AU44" s="1477"/>
      <c r="AV44" s="1477"/>
      <c r="AW44" s="1477"/>
      <c r="AX44" s="1477"/>
      <c r="AY44" s="1477"/>
      <c r="AZ44" s="1477"/>
      <c r="BA44" s="1477"/>
      <c r="BB44" s="1477"/>
      <c r="BC44" s="1477"/>
      <c r="BD44" s="1477"/>
      <c r="BE44" s="1477"/>
      <c r="BF44" s="1477"/>
      <c r="BG44" s="1477"/>
      <c r="BH44" s="1477"/>
      <c r="BI44" s="1477"/>
      <c r="BJ44" s="1477"/>
      <c r="BK44" s="1477"/>
      <c r="BL44" s="1477"/>
      <c r="BM44" s="1477"/>
      <c r="BN44" s="1477"/>
      <c r="BO44" s="1477"/>
      <c r="BP44" s="1477"/>
      <c r="BQ44" s="1477"/>
      <c r="BR44" s="1477"/>
      <c r="BS44" s="1477"/>
      <c r="BT44" s="1477"/>
      <c r="BU44" s="1477"/>
      <c r="BV44" s="1477"/>
      <c r="BW44" s="1477"/>
      <c r="BX44" s="1477"/>
      <c r="BY44" s="1477"/>
      <c r="BZ44" s="1477"/>
      <c r="CA44" s="1477"/>
      <c r="CB44" s="1477"/>
      <c r="CC44" s="1477"/>
      <c r="CD44" s="1477"/>
      <c r="CE44" s="1477"/>
      <c r="CF44" s="1477"/>
      <c r="CG44" s="1477"/>
      <c r="CH44" s="1477"/>
      <c r="CI44" s="1477"/>
      <c r="CJ44" s="1477"/>
      <c r="CK44" s="1477"/>
      <c r="CL44" s="1477"/>
      <c r="CM44" s="1477"/>
      <c r="CN44" s="1477"/>
      <c r="CO44" s="1477"/>
      <c r="CP44" s="1477"/>
      <c r="CQ44" s="1477"/>
      <c r="CR44" s="1477"/>
      <c r="CS44" s="1477"/>
      <c r="CT44" s="1477"/>
      <c r="CU44" s="1477"/>
      <c r="CV44" s="1477"/>
      <c r="CW44" s="1477"/>
      <c r="CX44" s="1477"/>
      <c r="CY44" s="1477"/>
    </row>
    <row r="45" spans="1:103" s="15" customFormat="1" ht="15" customHeight="1">
      <c r="A45" s="1185">
        <v>36</v>
      </c>
      <c r="B45" s="1103"/>
      <c r="C45" s="1103"/>
      <c r="D45" s="1477"/>
      <c r="E45" s="1477"/>
      <c r="F45" s="1477"/>
      <c r="G45" s="1477"/>
      <c r="H45" s="1477"/>
      <c r="I45" s="1477"/>
      <c r="J45" s="1477"/>
      <c r="K45" s="1477"/>
      <c r="L45" s="1477"/>
      <c r="M45" s="1477"/>
      <c r="N45" s="1477"/>
      <c r="O45" s="1477"/>
      <c r="P45" s="1477"/>
      <c r="Q45" s="1477"/>
      <c r="R45" s="1477"/>
      <c r="S45" s="1477"/>
      <c r="T45" s="1477"/>
      <c r="U45" s="1477"/>
      <c r="V45" s="1477"/>
      <c r="W45" s="1477"/>
      <c r="X45" s="1477"/>
      <c r="Y45" s="1477"/>
      <c r="Z45" s="1477"/>
      <c r="AA45" s="1477"/>
      <c r="AB45" s="1477"/>
      <c r="AC45" s="1477"/>
      <c r="AD45" s="1477"/>
      <c r="AE45" s="1477"/>
      <c r="AF45" s="1477"/>
      <c r="AG45" s="1477"/>
      <c r="AH45" s="1477"/>
      <c r="AI45" s="1477"/>
      <c r="AJ45" s="1477"/>
      <c r="AK45" s="1477">
        <v>1</v>
      </c>
      <c r="AL45" s="1477"/>
      <c r="AM45" s="1477"/>
      <c r="AN45" s="1477"/>
      <c r="AO45" s="1477"/>
      <c r="AP45" s="1477"/>
      <c r="AQ45" s="1477"/>
      <c r="AR45" s="1477"/>
      <c r="AS45" s="1477"/>
      <c r="AT45" s="1477"/>
      <c r="AU45" s="1477"/>
      <c r="AV45" s="1477"/>
      <c r="AW45" s="1477"/>
      <c r="AX45" s="1477"/>
      <c r="AY45" s="1477"/>
      <c r="AZ45" s="1477"/>
      <c r="BA45" s="1477"/>
      <c r="BB45" s="1477"/>
      <c r="BC45" s="1477"/>
      <c r="BD45" s="1477"/>
      <c r="BE45" s="1477"/>
      <c r="BF45" s="1477"/>
      <c r="BG45" s="1477"/>
      <c r="BH45" s="1477"/>
      <c r="BI45" s="1477"/>
      <c r="BJ45" s="1477"/>
      <c r="BK45" s="1477"/>
      <c r="BL45" s="1477"/>
      <c r="BM45" s="1477"/>
      <c r="BN45" s="1477"/>
      <c r="BO45" s="1477"/>
      <c r="BP45" s="1477"/>
      <c r="BQ45" s="1477"/>
      <c r="BR45" s="1477"/>
      <c r="BS45" s="1477"/>
      <c r="BT45" s="1477"/>
      <c r="BU45" s="1477"/>
      <c r="BV45" s="1477"/>
      <c r="BW45" s="1477"/>
      <c r="BX45" s="1477"/>
      <c r="BY45" s="1477"/>
      <c r="BZ45" s="1477"/>
      <c r="CA45" s="1477"/>
      <c r="CB45" s="1477"/>
      <c r="CC45" s="1477"/>
      <c r="CD45" s="1477"/>
      <c r="CE45" s="1477"/>
      <c r="CF45" s="1477"/>
      <c r="CG45" s="1477"/>
      <c r="CH45" s="1477"/>
      <c r="CI45" s="1477"/>
      <c r="CJ45" s="1477"/>
      <c r="CK45" s="1477"/>
      <c r="CL45" s="1477"/>
      <c r="CM45" s="1477"/>
      <c r="CN45" s="1477"/>
      <c r="CO45" s="1477"/>
      <c r="CP45" s="1477"/>
      <c r="CQ45" s="1477"/>
      <c r="CR45" s="1477"/>
      <c r="CS45" s="1477"/>
      <c r="CT45" s="1477"/>
      <c r="CU45" s="1477"/>
      <c r="CV45" s="1477"/>
      <c r="CW45" s="1477"/>
      <c r="CX45" s="1477"/>
      <c r="CY45" s="1477"/>
    </row>
    <row r="46" spans="1:103" s="15" customFormat="1" ht="15" customHeight="1">
      <c r="A46" s="1185">
        <v>37</v>
      </c>
      <c r="B46" s="1103"/>
      <c r="C46" s="1103"/>
      <c r="D46" s="1477"/>
      <c r="E46" s="1477"/>
      <c r="F46" s="1477"/>
      <c r="G46" s="1477"/>
      <c r="H46" s="1477"/>
      <c r="I46" s="1477"/>
      <c r="J46" s="1477"/>
      <c r="K46" s="1477"/>
      <c r="L46" s="1477"/>
      <c r="M46" s="1477"/>
      <c r="N46" s="1477"/>
      <c r="O46" s="1477"/>
      <c r="P46" s="1477"/>
      <c r="Q46" s="1477"/>
      <c r="R46" s="1477"/>
      <c r="S46" s="1477"/>
      <c r="T46" s="1477"/>
      <c r="U46" s="1477"/>
      <c r="V46" s="1477"/>
      <c r="W46" s="1477"/>
      <c r="X46" s="1477"/>
      <c r="Y46" s="1477"/>
      <c r="Z46" s="1477"/>
      <c r="AA46" s="1477"/>
      <c r="AB46" s="1477"/>
      <c r="AC46" s="1477"/>
      <c r="AD46" s="1477"/>
      <c r="AE46" s="1477"/>
      <c r="AF46" s="1477"/>
      <c r="AG46" s="1477"/>
      <c r="AH46" s="1477"/>
      <c r="AI46" s="1477"/>
      <c r="AJ46" s="1477"/>
      <c r="AK46" s="1477"/>
      <c r="AL46" s="1477">
        <v>1</v>
      </c>
      <c r="AM46" s="1477"/>
      <c r="AN46" s="1477"/>
      <c r="AO46" s="1477"/>
      <c r="AP46" s="1477"/>
      <c r="AQ46" s="1477"/>
      <c r="AR46" s="1477"/>
      <c r="AS46" s="1477"/>
      <c r="AT46" s="1477"/>
      <c r="AU46" s="1477"/>
      <c r="AV46" s="1477"/>
      <c r="AW46" s="1477"/>
      <c r="AX46" s="1477"/>
      <c r="AY46" s="1477"/>
      <c r="AZ46" s="1477"/>
      <c r="BA46" s="1477"/>
      <c r="BB46" s="1477"/>
      <c r="BC46" s="1477"/>
      <c r="BD46" s="1477"/>
      <c r="BE46" s="1477"/>
      <c r="BF46" s="1477"/>
      <c r="BG46" s="1477"/>
      <c r="BH46" s="1477"/>
      <c r="BI46" s="1477"/>
      <c r="BJ46" s="1477"/>
      <c r="BK46" s="1477"/>
      <c r="BL46" s="1477"/>
      <c r="BM46" s="1477"/>
      <c r="BN46" s="1477"/>
      <c r="BO46" s="1477"/>
      <c r="BP46" s="1477"/>
      <c r="BQ46" s="1477"/>
      <c r="BR46" s="1477"/>
      <c r="BS46" s="1477"/>
      <c r="BT46" s="1477"/>
      <c r="BU46" s="1477"/>
      <c r="BV46" s="1477"/>
      <c r="BW46" s="1477"/>
      <c r="BX46" s="1477"/>
      <c r="BY46" s="1477"/>
      <c r="BZ46" s="1477"/>
      <c r="CA46" s="1477"/>
      <c r="CB46" s="1477"/>
      <c r="CC46" s="1477"/>
      <c r="CD46" s="1477"/>
      <c r="CE46" s="1477"/>
      <c r="CF46" s="1477"/>
      <c r="CG46" s="1477"/>
      <c r="CH46" s="1477"/>
      <c r="CI46" s="1477"/>
      <c r="CJ46" s="1477"/>
      <c r="CK46" s="1477"/>
      <c r="CL46" s="1477"/>
      <c r="CM46" s="1477"/>
      <c r="CN46" s="1477"/>
      <c r="CO46" s="1477"/>
      <c r="CP46" s="1477"/>
      <c r="CQ46" s="1477"/>
      <c r="CR46" s="1477"/>
      <c r="CS46" s="1477"/>
      <c r="CT46" s="1477"/>
      <c r="CU46" s="1477"/>
      <c r="CV46" s="1477"/>
      <c r="CW46" s="1477"/>
      <c r="CX46" s="1477"/>
      <c r="CY46" s="1477"/>
    </row>
    <row r="47" spans="1:103" s="15" customFormat="1" ht="15" customHeight="1">
      <c r="A47" s="1185">
        <v>38</v>
      </c>
      <c r="B47" s="1103"/>
      <c r="C47" s="1103"/>
      <c r="D47" s="1477"/>
      <c r="E47" s="1477"/>
      <c r="F47" s="1477"/>
      <c r="G47" s="1477"/>
      <c r="H47" s="1477"/>
      <c r="I47" s="1477"/>
      <c r="J47" s="1477"/>
      <c r="K47" s="1477"/>
      <c r="L47" s="1477"/>
      <c r="M47" s="1477"/>
      <c r="N47" s="1477"/>
      <c r="O47" s="1477"/>
      <c r="P47" s="1477"/>
      <c r="Q47" s="1477"/>
      <c r="R47" s="1477"/>
      <c r="S47" s="1477"/>
      <c r="T47" s="1477"/>
      <c r="U47" s="1477"/>
      <c r="V47" s="1477"/>
      <c r="W47" s="1477"/>
      <c r="X47" s="1477"/>
      <c r="Y47" s="1477"/>
      <c r="Z47" s="1477"/>
      <c r="AA47" s="1477"/>
      <c r="AB47" s="1477"/>
      <c r="AC47" s="1477"/>
      <c r="AD47" s="1477"/>
      <c r="AE47" s="1477"/>
      <c r="AF47" s="1477"/>
      <c r="AG47" s="1477"/>
      <c r="AH47" s="1477"/>
      <c r="AI47" s="1477"/>
      <c r="AJ47" s="1477"/>
      <c r="AK47" s="1477"/>
      <c r="AL47" s="1477"/>
      <c r="AM47" s="1477">
        <v>1</v>
      </c>
      <c r="AN47" s="1477"/>
      <c r="AO47" s="1477"/>
      <c r="AP47" s="1477"/>
      <c r="AQ47" s="1477"/>
      <c r="AR47" s="1477"/>
      <c r="AS47" s="1477"/>
      <c r="AT47" s="1477"/>
      <c r="AU47" s="1477"/>
      <c r="AV47" s="1477"/>
      <c r="AW47" s="1477"/>
      <c r="AX47" s="1477"/>
      <c r="AY47" s="1477"/>
      <c r="AZ47" s="1477"/>
      <c r="BA47" s="1477"/>
      <c r="BB47" s="1477"/>
      <c r="BC47" s="1477"/>
      <c r="BD47" s="1477"/>
      <c r="BE47" s="1477"/>
      <c r="BF47" s="1477"/>
      <c r="BG47" s="1477"/>
      <c r="BH47" s="1477"/>
      <c r="BI47" s="1477"/>
      <c r="BJ47" s="1477"/>
      <c r="BK47" s="1477"/>
      <c r="BL47" s="1477"/>
      <c r="BM47" s="1477"/>
      <c r="BN47" s="1477"/>
      <c r="BO47" s="1477"/>
      <c r="BP47" s="1477"/>
      <c r="BQ47" s="1477"/>
      <c r="BR47" s="1477"/>
      <c r="BS47" s="1477"/>
      <c r="BT47" s="1477"/>
      <c r="BU47" s="1477"/>
      <c r="BV47" s="1477"/>
      <c r="BW47" s="1477"/>
      <c r="BX47" s="1477"/>
      <c r="BY47" s="1477"/>
      <c r="BZ47" s="1477"/>
      <c r="CA47" s="1477"/>
      <c r="CB47" s="1477"/>
      <c r="CC47" s="1477"/>
      <c r="CD47" s="1477"/>
      <c r="CE47" s="1477"/>
      <c r="CF47" s="1477"/>
      <c r="CG47" s="1477"/>
      <c r="CH47" s="1477"/>
      <c r="CI47" s="1477"/>
      <c r="CJ47" s="1477"/>
      <c r="CK47" s="1477"/>
      <c r="CL47" s="1477"/>
      <c r="CM47" s="1477"/>
      <c r="CN47" s="1477"/>
      <c r="CO47" s="1477"/>
      <c r="CP47" s="1477"/>
      <c r="CQ47" s="1477"/>
      <c r="CR47" s="1477"/>
      <c r="CS47" s="1477"/>
      <c r="CT47" s="1477"/>
      <c r="CU47" s="1477"/>
      <c r="CV47" s="1477"/>
      <c r="CW47" s="1477"/>
      <c r="CX47" s="1477"/>
      <c r="CY47" s="1477"/>
    </row>
    <row r="48" spans="1:103" s="15" customFormat="1" ht="15" customHeight="1">
      <c r="A48" s="1185">
        <v>39</v>
      </c>
      <c r="B48" s="1103"/>
      <c r="C48" s="1103"/>
      <c r="D48" s="1477"/>
      <c r="E48" s="1477"/>
      <c r="F48" s="1477"/>
      <c r="G48" s="1477"/>
      <c r="H48" s="1477"/>
      <c r="I48" s="1477"/>
      <c r="J48" s="1477"/>
      <c r="K48" s="1477"/>
      <c r="L48" s="1477"/>
      <c r="M48" s="1477"/>
      <c r="N48" s="1477"/>
      <c r="O48" s="1477"/>
      <c r="P48" s="1477"/>
      <c r="Q48" s="1477"/>
      <c r="R48" s="1477"/>
      <c r="S48" s="1477"/>
      <c r="T48" s="1477"/>
      <c r="U48" s="1477"/>
      <c r="V48" s="1477"/>
      <c r="W48" s="1477"/>
      <c r="X48" s="1477"/>
      <c r="Y48" s="1477"/>
      <c r="Z48" s="1477"/>
      <c r="AA48" s="1477"/>
      <c r="AB48" s="1477"/>
      <c r="AC48" s="1477"/>
      <c r="AD48" s="1477"/>
      <c r="AE48" s="1477"/>
      <c r="AF48" s="1477"/>
      <c r="AG48" s="1477"/>
      <c r="AH48" s="1477"/>
      <c r="AI48" s="1477"/>
      <c r="AJ48" s="1477"/>
      <c r="AK48" s="1477"/>
      <c r="AL48" s="1477"/>
      <c r="AM48" s="1477"/>
      <c r="AN48" s="1477">
        <v>1</v>
      </c>
      <c r="AO48" s="1477"/>
      <c r="AP48" s="1477"/>
      <c r="AQ48" s="1477"/>
      <c r="AR48" s="1477"/>
      <c r="AS48" s="1477"/>
      <c r="AT48" s="1477"/>
      <c r="AU48" s="1477"/>
      <c r="AV48" s="1477"/>
      <c r="AW48" s="1477"/>
      <c r="AX48" s="1477"/>
      <c r="AY48" s="1477"/>
      <c r="AZ48" s="1477"/>
      <c r="BA48" s="1477"/>
      <c r="BB48" s="1477"/>
      <c r="BC48" s="1477"/>
      <c r="BD48" s="1477"/>
      <c r="BE48" s="1477"/>
      <c r="BF48" s="1477"/>
      <c r="BG48" s="1477"/>
      <c r="BH48" s="1477"/>
      <c r="BI48" s="1477"/>
      <c r="BJ48" s="1477"/>
      <c r="BK48" s="1477"/>
      <c r="BL48" s="1477"/>
      <c r="BM48" s="1477"/>
      <c r="BN48" s="1477"/>
      <c r="BO48" s="1477"/>
      <c r="BP48" s="1477"/>
      <c r="BQ48" s="1477"/>
      <c r="BR48" s="1477"/>
      <c r="BS48" s="1477"/>
      <c r="BT48" s="1477"/>
      <c r="BU48" s="1477"/>
      <c r="BV48" s="1477"/>
      <c r="BW48" s="1477"/>
      <c r="BX48" s="1477"/>
      <c r="BY48" s="1477"/>
      <c r="BZ48" s="1477"/>
      <c r="CA48" s="1477"/>
      <c r="CB48" s="1477"/>
      <c r="CC48" s="1477"/>
      <c r="CD48" s="1477"/>
      <c r="CE48" s="1477"/>
      <c r="CF48" s="1477"/>
      <c r="CG48" s="1477"/>
      <c r="CH48" s="1477"/>
      <c r="CI48" s="1477"/>
      <c r="CJ48" s="1477"/>
      <c r="CK48" s="1477"/>
      <c r="CL48" s="1477"/>
      <c r="CM48" s="1477"/>
      <c r="CN48" s="1477"/>
      <c r="CO48" s="1477"/>
      <c r="CP48" s="1477"/>
      <c r="CQ48" s="1477"/>
      <c r="CR48" s="1477"/>
      <c r="CS48" s="1477"/>
      <c r="CT48" s="1477"/>
      <c r="CU48" s="1477"/>
      <c r="CV48" s="1477"/>
      <c r="CW48" s="1477"/>
      <c r="CX48" s="1477"/>
      <c r="CY48" s="1477"/>
    </row>
    <row r="49" spans="1:103" s="15" customFormat="1" ht="15" customHeight="1">
      <c r="A49" s="1185">
        <v>40</v>
      </c>
      <c r="B49" s="1103"/>
      <c r="C49" s="1103"/>
      <c r="D49" s="1477"/>
      <c r="E49" s="1477"/>
      <c r="F49" s="1477"/>
      <c r="G49" s="1477"/>
      <c r="H49" s="1477"/>
      <c r="I49" s="1477"/>
      <c r="J49" s="1477"/>
      <c r="K49" s="1477"/>
      <c r="L49" s="1477"/>
      <c r="M49" s="1477"/>
      <c r="N49" s="1477"/>
      <c r="O49" s="1477"/>
      <c r="P49" s="1477"/>
      <c r="Q49" s="1477"/>
      <c r="R49" s="1477"/>
      <c r="S49" s="1477"/>
      <c r="T49" s="1477"/>
      <c r="U49" s="1477"/>
      <c r="V49" s="1477"/>
      <c r="W49" s="1477"/>
      <c r="X49" s="1477"/>
      <c r="Y49" s="1477"/>
      <c r="Z49" s="1477"/>
      <c r="AA49" s="1477"/>
      <c r="AB49" s="1477"/>
      <c r="AC49" s="1477"/>
      <c r="AD49" s="1477"/>
      <c r="AE49" s="1477"/>
      <c r="AF49" s="1477"/>
      <c r="AG49" s="1477"/>
      <c r="AH49" s="1477"/>
      <c r="AI49" s="1477"/>
      <c r="AJ49" s="1477"/>
      <c r="AK49" s="1477"/>
      <c r="AL49" s="1477"/>
      <c r="AM49" s="1477"/>
      <c r="AN49" s="1477"/>
      <c r="AO49" s="1477">
        <v>1</v>
      </c>
      <c r="AP49" s="1477"/>
      <c r="AQ49" s="1477"/>
      <c r="AR49" s="1477"/>
      <c r="AS49" s="1477"/>
      <c r="AT49" s="1477"/>
      <c r="AU49" s="1477"/>
      <c r="AV49" s="1477"/>
      <c r="AW49" s="1477"/>
      <c r="AX49" s="1477"/>
      <c r="AY49" s="1477"/>
      <c r="AZ49" s="1477"/>
      <c r="BA49" s="1477"/>
      <c r="BB49" s="1477"/>
      <c r="BC49" s="1477"/>
      <c r="BD49" s="1477"/>
      <c r="BE49" s="1477"/>
      <c r="BF49" s="1477"/>
      <c r="BG49" s="1477"/>
      <c r="BH49" s="1477"/>
      <c r="BI49" s="1477"/>
      <c r="BJ49" s="1477"/>
      <c r="BK49" s="1477"/>
      <c r="BL49" s="1477"/>
      <c r="BM49" s="1477"/>
      <c r="BN49" s="1477"/>
      <c r="BO49" s="1477"/>
      <c r="BP49" s="1477"/>
      <c r="BQ49" s="1477"/>
      <c r="BR49" s="1477"/>
      <c r="BS49" s="1477"/>
      <c r="BT49" s="1477"/>
      <c r="BU49" s="1477"/>
      <c r="BV49" s="1477"/>
      <c r="BW49" s="1477"/>
      <c r="BX49" s="1477"/>
      <c r="BY49" s="1477"/>
      <c r="BZ49" s="1477"/>
      <c r="CA49" s="1477"/>
      <c r="CB49" s="1477"/>
      <c r="CC49" s="1477"/>
      <c r="CD49" s="1477"/>
      <c r="CE49" s="1477"/>
      <c r="CF49" s="1477"/>
      <c r="CG49" s="1477"/>
      <c r="CH49" s="1477"/>
      <c r="CI49" s="1477"/>
      <c r="CJ49" s="1477"/>
      <c r="CK49" s="1477"/>
      <c r="CL49" s="1477"/>
      <c r="CM49" s="1477"/>
      <c r="CN49" s="1477"/>
      <c r="CO49" s="1477"/>
      <c r="CP49" s="1477"/>
      <c r="CQ49" s="1477"/>
      <c r="CR49" s="1477"/>
      <c r="CS49" s="1477"/>
      <c r="CT49" s="1477"/>
      <c r="CU49" s="1477"/>
      <c r="CV49" s="1477"/>
      <c r="CW49" s="1477"/>
      <c r="CX49" s="1477"/>
      <c r="CY49" s="1477"/>
    </row>
    <row r="50" spans="1:103" s="15" customFormat="1" ht="15" customHeight="1">
      <c r="A50" s="1185">
        <v>41</v>
      </c>
      <c r="B50" s="1103"/>
      <c r="C50" s="1103"/>
      <c r="D50" s="1477"/>
      <c r="E50" s="1477"/>
      <c r="F50" s="1477"/>
      <c r="G50" s="1477"/>
      <c r="H50" s="1477"/>
      <c r="I50" s="1477"/>
      <c r="J50" s="1477"/>
      <c r="K50" s="1477"/>
      <c r="L50" s="1477"/>
      <c r="M50" s="1477"/>
      <c r="N50" s="1477"/>
      <c r="O50" s="1477"/>
      <c r="P50" s="1477"/>
      <c r="Q50" s="1477"/>
      <c r="R50" s="1477"/>
      <c r="S50" s="1477"/>
      <c r="T50" s="1477"/>
      <c r="U50" s="1477"/>
      <c r="V50" s="1477"/>
      <c r="W50" s="1477"/>
      <c r="X50" s="1477"/>
      <c r="Y50" s="1477"/>
      <c r="Z50" s="1477"/>
      <c r="AA50" s="1477"/>
      <c r="AB50" s="1477"/>
      <c r="AC50" s="1477"/>
      <c r="AD50" s="1477"/>
      <c r="AE50" s="1477"/>
      <c r="AF50" s="1477"/>
      <c r="AG50" s="1477"/>
      <c r="AH50" s="1477"/>
      <c r="AI50" s="1477"/>
      <c r="AJ50" s="1477"/>
      <c r="AK50" s="1477"/>
      <c r="AL50" s="1477"/>
      <c r="AM50" s="1477"/>
      <c r="AN50" s="1477"/>
      <c r="AO50" s="1477"/>
      <c r="AP50" s="1477">
        <v>1</v>
      </c>
      <c r="AQ50" s="1477"/>
      <c r="AR50" s="1477"/>
      <c r="AS50" s="1477"/>
      <c r="AT50" s="1477"/>
      <c r="AU50" s="1477"/>
      <c r="AV50" s="1477"/>
      <c r="AW50" s="1477"/>
      <c r="AX50" s="1477"/>
      <c r="AY50" s="1477"/>
      <c r="AZ50" s="1477"/>
      <c r="BA50" s="1477"/>
      <c r="BB50" s="1477"/>
      <c r="BC50" s="1477"/>
      <c r="BD50" s="1477"/>
      <c r="BE50" s="1477"/>
      <c r="BF50" s="1477"/>
      <c r="BG50" s="1477"/>
      <c r="BH50" s="1477"/>
      <c r="BI50" s="1477"/>
      <c r="BJ50" s="1477"/>
      <c r="BK50" s="1477"/>
      <c r="BL50" s="1477"/>
      <c r="BM50" s="1477"/>
      <c r="BN50" s="1477"/>
      <c r="BO50" s="1477"/>
      <c r="BP50" s="1477"/>
      <c r="BQ50" s="1477"/>
      <c r="BR50" s="1477"/>
      <c r="BS50" s="1477"/>
      <c r="BT50" s="1477"/>
      <c r="BU50" s="1477"/>
      <c r="BV50" s="1477"/>
      <c r="BW50" s="1477"/>
      <c r="BX50" s="1477"/>
      <c r="BY50" s="1477"/>
      <c r="BZ50" s="1477"/>
      <c r="CA50" s="1477"/>
      <c r="CB50" s="1477"/>
      <c r="CC50" s="1477"/>
      <c r="CD50" s="1477"/>
      <c r="CE50" s="1477"/>
      <c r="CF50" s="1477"/>
      <c r="CG50" s="1477"/>
      <c r="CH50" s="1477"/>
      <c r="CI50" s="1477"/>
      <c r="CJ50" s="1477"/>
      <c r="CK50" s="1477"/>
      <c r="CL50" s="1477"/>
      <c r="CM50" s="1477"/>
      <c r="CN50" s="1477"/>
      <c r="CO50" s="1477"/>
      <c r="CP50" s="1477"/>
      <c r="CQ50" s="1477"/>
      <c r="CR50" s="1477"/>
      <c r="CS50" s="1477"/>
      <c r="CT50" s="1477"/>
      <c r="CU50" s="1477"/>
      <c r="CV50" s="1477"/>
      <c r="CW50" s="1477"/>
      <c r="CX50" s="1477"/>
      <c r="CY50" s="1477"/>
    </row>
    <row r="51" spans="1:103" s="15" customFormat="1" ht="15" customHeight="1">
      <c r="A51" s="1185">
        <v>42</v>
      </c>
      <c r="B51" s="1103"/>
      <c r="C51" s="1103"/>
      <c r="D51" s="1477"/>
      <c r="E51" s="1477"/>
      <c r="F51" s="1477"/>
      <c r="G51" s="1477"/>
      <c r="H51" s="1477"/>
      <c r="I51" s="1477"/>
      <c r="J51" s="1477"/>
      <c r="K51" s="1477"/>
      <c r="L51" s="1477"/>
      <c r="M51" s="1477"/>
      <c r="N51" s="1477"/>
      <c r="O51" s="1477"/>
      <c r="P51" s="1477"/>
      <c r="Q51" s="1477"/>
      <c r="R51" s="1477"/>
      <c r="S51" s="1477"/>
      <c r="T51" s="1477"/>
      <c r="U51" s="1477"/>
      <c r="V51" s="1477"/>
      <c r="W51" s="1477"/>
      <c r="X51" s="1477"/>
      <c r="Y51" s="1477"/>
      <c r="Z51" s="1477"/>
      <c r="AA51" s="1477"/>
      <c r="AB51" s="1477"/>
      <c r="AC51" s="1477"/>
      <c r="AD51" s="1477"/>
      <c r="AE51" s="1477"/>
      <c r="AF51" s="1477"/>
      <c r="AG51" s="1477"/>
      <c r="AH51" s="1477"/>
      <c r="AI51" s="1477"/>
      <c r="AJ51" s="1477"/>
      <c r="AK51" s="1477"/>
      <c r="AL51" s="1477"/>
      <c r="AM51" s="1477"/>
      <c r="AN51" s="1477"/>
      <c r="AO51" s="1477"/>
      <c r="AP51" s="1477"/>
      <c r="AQ51" s="1477">
        <v>1</v>
      </c>
      <c r="AR51" s="1477"/>
      <c r="AS51" s="1477"/>
      <c r="AT51" s="1477"/>
      <c r="AU51" s="1477"/>
      <c r="AV51" s="1477"/>
      <c r="AW51" s="1477"/>
      <c r="AX51" s="1477"/>
      <c r="AY51" s="1477"/>
      <c r="AZ51" s="1477"/>
      <c r="BA51" s="1477"/>
      <c r="BB51" s="1477"/>
      <c r="BC51" s="1477"/>
      <c r="BD51" s="1477"/>
      <c r="BE51" s="1477"/>
      <c r="BF51" s="1477"/>
      <c r="BG51" s="1477"/>
      <c r="BH51" s="1477"/>
      <c r="BI51" s="1477"/>
      <c r="BJ51" s="1477"/>
      <c r="BK51" s="1477"/>
      <c r="BL51" s="1477"/>
      <c r="BM51" s="1477"/>
      <c r="BN51" s="1477"/>
      <c r="BO51" s="1477"/>
      <c r="BP51" s="1477"/>
      <c r="BQ51" s="1477"/>
      <c r="BR51" s="1477"/>
      <c r="BS51" s="1477"/>
      <c r="BT51" s="1477"/>
      <c r="BU51" s="1477"/>
      <c r="BV51" s="1477"/>
      <c r="BW51" s="1477"/>
      <c r="BX51" s="1477"/>
      <c r="BY51" s="1477"/>
      <c r="BZ51" s="1477"/>
      <c r="CA51" s="1477"/>
      <c r="CB51" s="1477"/>
      <c r="CC51" s="1477"/>
      <c r="CD51" s="1477"/>
      <c r="CE51" s="1477"/>
      <c r="CF51" s="1477"/>
      <c r="CG51" s="1477"/>
      <c r="CH51" s="1477"/>
      <c r="CI51" s="1477"/>
      <c r="CJ51" s="1477"/>
      <c r="CK51" s="1477"/>
      <c r="CL51" s="1477"/>
      <c r="CM51" s="1477"/>
      <c r="CN51" s="1477"/>
      <c r="CO51" s="1477"/>
      <c r="CP51" s="1477"/>
      <c r="CQ51" s="1477"/>
      <c r="CR51" s="1477"/>
      <c r="CS51" s="1477"/>
      <c r="CT51" s="1477"/>
      <c r="CU51" s="1477"/>
      <c r="CV51" s="1477"/>
      <c r="CW51" s="1477"/>
      <c r="CX51" s="1477"/>
      <c r="CY51" s="1477"/>
    </row>
    <row r="52" spans="1:103" s="15" customFormat="1" ht="15" customHeight="1">
      <c r="A52" s="1185">
        <v>43</v>
      </c>
      <c r="B52" s="1103"/>
      <c r="C52" s="1103"/>
      <c r="D52" s="1477"/>
      <c r="E52" s="1477"/>
      <c r="F52" s="1477"/>
      <c r="G52" s="1477"/>
      <c r="H52" s="1477"/>
      <c r="I52" s="1477"/>
      <c r="J52" s="1477"/>
      <c r="K52" s="1477"/>
      <c r="L52" s="1477"/>
      <c r="M52" s="1477"/>
      <c r="N52" s="1477"/>
      <c r="O52" s="1477"/>
      <c r="P52" s="1477"/>
      <c r="Q52" s="1477"/>
      <c r="R52" s="1477"/>
      <c r="S52" s="1477"/>
      <c r="T52" s="1477"/>
      <c r="U52" s="1477"/>
      <c r="V52" s="1477"/>
      <c r="W52" s="1477"/>
      <c r="X52" s="1477"/>
      <c r="Y52" s="1477"/>
      <c r="Z52" s="1477"/>
      <c r="AA52" s="1477"/>
      <c r="AB52" s="1477"/>
      <c r="AC52" s="1477"/>
      <c r="AD52" s="1477"/>
      <c r="AE52" s="1477"/>
      <c r="AF52" s="1477"/>
      <c r="AG52" s="1477"/>
      <c r="AH52" s="1477"/>
      <c r="AI52" s="1477"/>
      <c r="AJ52" s="1477"/>
      <c r="AK52" s="1477"/>
      <c r="AL52" s="1477"/>
      <c r="AM52" s="1477"/>
      <c r="AN52" s="1477"/>
      <c r="AO52" s="1477"/>
      <c r="AP52" s="1477"/>
      <c r="AQ52" s="1477"/>
      <c r="AR52" s="1477">
        <v>1</v>
      </c>
      <c r="AS52" s="1477"/>
      <c r="AT52" s="1477"/>
      <c r="AU52" s="1477"/>
      <c r="AV52" s="1477"/>
      <c r="AW52" s="1477"/>
      <c r="AX52" s="1477"/>
      <c r="AY52" s="1477"/>
      <c r="AZ52" s="1477"/>
      <c r="BA52" s="1477"/>
      <c r="BB52" s="1477"/>
      <c r="BC52" s="1477"/>
      <c r="BD52" s="1477"/>
      <c r="BE52" s="1477"/>
      <c r="BF52" s="1477"/>
      <c r="BG52" s="1477"/>
      <c r="BH52" s="1477"/>
      <c r="BI52" s="1477"/>
      <c r="BJ52" s="1477"/>
      <c r="BK52" s="1477"/>
      <c r="BL52" s="1477"/>
      <c r="BM52" s="1477"/>
      <c r="BN52" s="1477"/>
      <c r="BO52" s="1477"/>
      <c r="BP52" s="1477"/>
      <c r="BQ52" s="1477"/>
      <c r="BR52" s="1477"/>
      <c r="BS52" s="1477"/>
      <c r="BT52" s="1477"/>
      <c r="BU52" s="1477"/>
      <c r="BV52" s="1477"/>
      <c r="BW52" s="1477"/>
      <c r="BX52" s="1477"/>
      <c r="BY52" s="1477"/>
      <c r="BZ52" s="1477"/>
      <c r="CA52" s="1477"/>
      <c r="CB52" s="1477"/>
      <c r="CC52" s="1477"/>
      <c r="CD52" s="1477"/>
      <c r="CE52" s="1477"/>
      <c r="CF52" s="1477"/>
      <c r="CG52" s="1477"/>
      <c r="CH52" s="1477"/>
      <c r="CI52" s="1477"/>
      <c r="CJ52" s="1477"/>
      <c r="CK52" s="1477"/>
      <c r="CL52" s="1477"/>
      <c r="CM52" s="1477"/>
      <c r="CN52" s="1477"/>
      <c r="CO52" s="1477"/>
      <c r="CP52" s="1477"/>
      <c r="CQ52" s="1477"/>
      <c r="CR52" s="1477"/>
      <c r="CS52" s="1477"/>
      <c r="CT52" s="1477"/>
      <c r="CU52" s="1477"/>
      <c r="CV52" s="1477"/>
      <c r="CW52" s="1477"/>
      <c r="CX52" s="1477"/>
      <c r="CY52" s="1477"/>
    </row>
    <row r="53" spans="1:103" s="15" customFormat="1" ht="15" customHeight="1">
      <c r="A53" s="1185">
        <v>44</v>
      </c>
      <c r="B53" s="1103"/>
      <c r="C53" s="1103"/>
      <c r="D53" s="1477"/>
      <c r="E53" s="1477"/>
      <c r="F53" s="1477"/>
      <c r="G53" s="1477"/>
      <c r="H53" s="1477"/>
      <c r="I53" s="1477"/>
      <c r="J53" s="1477"/>
      <c r="K53" s="1477"/>
      <c r="L53" s="1477"/>
      <c r="M53" s="1477"/>
      <c r="N53" s="1477"/>
      <c r="O53" s="1477"/>
      <c r="P53" s="1477"/>
      <c r="Q53" s="1477"/>
      <c r="R53" s="1477"/>
      <c r="S53" s="1477"/>
      <c r="T53" s="1477"/>
      <c r="U53" s="1477"/>
      <c r="V53" s="1477"/>
      <c r="W53" s="1477"/>
      <c r="X53" s="1477"/>
      <c r="Y53" s="1477"/>
      <c r="Z53" s="1477"/>
      <c r="AA53" s="1477"/>
      <c r="AB53" s="1477"/>
      <c r="AC53" s="1477"/>
      <c r="AD53" s="1477"/>
      <c r="AE53" s="1477"/>
      <c r="AF53" s="1477"/>
      <c r="AG53" s="1477"/>
      <c r="AH53" s="1477"/>
      <c r="AI53" s="1477"/>
      <c r="AJ53" s="1477"/>
      <c r="AK53" s="1477"/>
      <c r="AL53" s="1477"/>
      <c r="AM53" s="1477"/>
      <c r="AN53" s="1477"/>
      <c r="AO53" s="1477"/>
      <c r="AP53" s="1477"/>
      <c r="AQ53" s="1477"/>
      <c r="AR53" s="1477"/>
      <c r="AS53" s="1477">
        <v>1</v>
      </c>
      <c r="AT53" s="1477"/>
      <c r="AU53" s="1477"/>
      <c r="AV53" s="1477"/>
      <c r="AW53" s="1477"/>
      <c r="AX53" s="1477"/>
      <c r="AY53" s="1477"/>
      <c r="AZ53" s="1477"/>
      <c r="BA53" s="1477"/>
      <c r="BB53" s="1477"/>
      <c r="BC53" s="1477"/>
      <c r="BD53" s="1477"/>
      <c r="BE53" s="1477"/>
      <c r="BF53" s="1477"/>
      <c r="BG53" s="1477"/>
      <c r="BH53" s="1477"/>
      <c r="BI53" s="1477"/>
      <c r="BJ53" s="1477"/>
      <c r="BK53" s="1477"/>
      <c r="BL53" s="1477"/>
      <c r="BM53" s="1477"/>
      <c r="BN53" s="1477"/>
      <c r="BO53" s="1477"/>
      <c r="BP53" s="1477"/>
      <c r="BQ53" s="1477"/>
      <c r="BR53" s="1477"/>
      <c r="BS53" s="1477"/>
      <c r="BT53" s="1477"/>
      <c r="BU53" s="1477"/>
      <c r="BV53" s="1477"/>
      <c r="BW53" s="1477"/>
      <c r="BX53" s="1477"/>
      <c r="BY53" s="1477"/>
      <c r="BZ53" s="1477"/>
      <c r="CA53" s="1477"/>
      <c r="CB53" s="1477"/>
      <c r="CC53" s="1477"/>
      <c r="CD53" s="1477"/>
      <c r="CE53" s="1477"/>
      <c r="CF53" s="1477"/>
      <c r="CG53" s="1477"/>
      <c r="CH53" s="1477"/>
      <c r="CI53" s="1477"/>
      <c r="CJ53" s="1477"/>
      <c r="CK53" s="1477"/>
      <c r="CL53" s="1477"/>
      <c r="CM53" s="1477"/>
      <c r="CN53" s="1477"/>
      <c r="CO53" s="1477"/>
      <c r="CP53" s="1477"/>
      <c r="CQ53" s="1477"/>
      <c r="CR53" s="1477"/>
      <c r="CS53" s="1477"/>
      <c r="CT53" s="1477"/>
      <c r="CU53" s="1477"/>
      <c r="CV53" s="1477"/>
      <c r="CW53" s="1477"/>
      <c r="CX53" s="1477"/>
      <c r="CY53" s="1477"/>
    </row>
    <row r="54" spans="1:103" s="15" customFormat="1" ht="15" customHeight="1">
      <c r="A54" s="1185">
        <v>45</v>
      </c>
      <c r="B54" s="1103"/>
      <c r="C54" s="1103"/>
      <c r="D54" s="1477"/>
      <c r="E54" s="1477"/>
      <c r="F54" s="1477"/>
      <c r="G54" s="1477"/>
      <c r="H54" s="1477"/>
      <c r="I54" s="1477"/>
      <c r="J54" s="1477"/>
      <c r="K54" s="1477"/>
      <c r="L54" s="1477"/>
      <c r="M54" s="1477"/>
      <c r="N54" s="1477"/>
      <c r="O54" s="1477"/>
      <c r="P54" s="1477"/>
      <c r="Q54" s="1477"/>
      <c r="R54" s="1477"/>
      <c r="S54" s="1477"/>
      <c r="T54" s="1477"/>
      <c r="U54" s="1477"/>
      <c r="V54" s="1477"/>
      <c r="W54" s="1477"/>
      <c r="X54" s="1477"/>
      <c r="Y54" s="1477"/>
      <c r="Z54" s="1477"/>
      <c r="AA54" s="1477"/>
      <c r="AB54" s="1477"/>
      <c r="AC54" s="1477"/>
      <c r="AD54" s="1477"/>
      <c r="AE54" s="1477"/>
      <c r="AF54" s="1477"/>
      <c r="AG54" s="1477"/>
      <c r="AH54" s="1477"/>
      <c r="AI54" s="1477"/>
      <c r="AJ54" s="1477"/>
      <c r="AK54" s="1477"/>
      <c r="AL54" s="1477"/>
      <c r="AM54" s="1477"/>
      <c r="AN54" s="1477"/>
      <c r="AO54" s="1477"/>
      <c r="AP54" s="1477"/>
      <c r="AQ54" s="1477"/>
      <c r="AR54" s="1477"/>
      <c r="AS54" s="1477"/>
      <c r="AT54" s="1477">
        <v>1</v>
      </c>
      <c r="AU54" s="1477"/>
      <c r="AV54" s="1477"/>
      <c r="AW54" s="1477"/>
      <c r="AX54" s="1477"/>
      <c r="AY54" s="1477"/>
      <c r="AZ54" s="1477"/>
      <c r="BA54" s="1477"/>
      <c r="BB54" s="1477"/>
      <c r="BC54" s="1477"/>
      <c r="BD54" s="1477"/>
      <c r="BE54" s="1477"/>
      <c r="BF54" s="1477"/>
      <c r="BG54" s="1477"/>
      <c r="BH54" s="1477"/>
      <c r="BI54" s="1477"/>
      <c r="BJ54" s="1477"/>
      <c r="BK54" s="1477"/>
      <c r="BL54" s="1477"/>
      <c r="BM54" s="1477"/>
      <c r="BN54" s="1477"/>
      <c r="BO54" s="1477"/>
      <c r="BP54" s="1477"/>
      <c r="BQ54" s="1477"/>
      <c r="BR54" s="1477"/>
      <c r="BS54" s="1477"/>
      <c r="BT54" s="1477"/>
      <c r="BU54" s="1477"/>
      <c r="BV54" s="1477"/>
      <c r="BW54" s="1477"/>
      <c r="BX54" s="1477"/>
      <c r="BY54" s="1477"/>
      <c r="BZ54" s="1477"/>
      <c r="CA54" s="1477"/>
      <c r="CB54" s="1477"/>
      <c r="CC54" s="1477"/>
      <c r="CD54" s="1477"/>
      <c r="CE54" s="1477"/>
      <c r="CF54" s="1477"/>
      <c r="CG54" s="1477"/>
      <c r="CH54" s="1477"/>
      <c r="CI54" s="1477"/>
      <c r="CJ54" s="1477"/>
      <c r="CK54" s="1477"/>
      <c r="CL54" s="1477"/>
      <c r="CM54" s="1477"/>
      <c r="CN54" s="1477"/>
      <c r="CO54" s="1477"/>
      <c r="CP54" s="1477"/>
      <c r="CQ54" s="1477"/>
      <c r="CR54" s="1477"/>
      <c r="CS54" s="1477"/>
      <c r="CT54" s="1477"/>
      <c r="CU54" s="1477"/>
      <c r="CV54" s="1477"/>
      <c r="CW54" s="1477"/>
      <c r="CX54" s="1477"/>
      <c r="CY54" s="1477"/>
    </row>
    <row r="55" spans="1:103" s="15" customFormat="1" ht="15" customHeight="1">
      <c r="A55" s="1185">
        <v>46</v>
      </c>
      <c r="B55" s="1103"/>
      <c r="C55" s="1103"/>
      <c r="D55" s="1477"/>
      <c r="E55" s="1477"/>
      <c r="F55" s="1477"/>
      <c r="G55" s="1477"/>
      <c r="H55" s="1477"/>
      <c r="I55" s="1477"/>
      <c r="J55" s="1477"/>
      <c r="K55" s="1477"/>
      <c r="L55" s="1477"/>
      <c r="M55" s="1477"/>
      <c r="N55" s="1477"/>
      <c r="O55" s="1477"/>
      <c r="P55" s="1477"/>
      <c r="Q55" s="1477"/>
      <c r="R55" s="1477"/>
      <c r="S55" s="1477"/>
      <c r="T55" s="1477"/>
      <c r="U55" s="1477"/>
      <c r="V55" s="1477"/>
      <c r="W55" s="1477"/>
      <c r="X55" s="1477"/>
      <c r="Y55" s="1477"/>
      <c r="Z55" s="1477"/>
      <c r="AA55" s="1477"/>
      <c r="AB55" s="1477"/>
      <c r="AC55" s="1477"/>
      <c r="AD55" s="1477"/>
      <c r="AE55" s="1477"/>
      <c r="AF55" s="1477"/>
      <c r="AG55" s="1477"/>
      <c r="AH55" s="1477"/>
      <c r="AI55" s="1477"/>
      <c r="AJ55" s="1477"/>
      <c r="AK55" s="1477"/>
      <c r="AL55" s="1477"/>
      <c r="AM55" s="1477"/>
      <c r="AN55" s="1477"/>
      <c r="AO55" s="1477"/>
      <c r="AP55" s="1477"/>
      <c r="AQ55" s="1477"/>
      <c r="AR55" s="1477"/>
      <c r="AS55" s="1477"/>
      <c r="AT55" s="1477"/>
      <c r="AU55" s="1477">
        <v>1</v>
      </c>
      <c r="AV55" s="1477"/>
      <c r="AW55" s="1477"/>
      <c r="AX55" s="1477"/>
      <c r="AY55" s="1477"/>
      <c r="AZ55" s="1477"/>
      <c r="BA55" s="1477"/>
      <c r="BB55" s="1477"/>
      <c r="BC55" s="1477"/>
      <c r="BD55" s="1477"/>
      <c r="BE55" s="1477"/>
      <c r="BF55" s="1477"/>
      <c r="BG55" s="1477"/>
      <c r="BH55" s="1477"/>
      <c r="BI55" s="1477"/>
      <c r="BJ55" s="1477"/>
      <c r="BK55" s="1477"/>
      <c r="BL55" s="1477"/>
      <c r="BM55" s="1477"/>
      <c r="BN55" s="1477"/>
      <c r="BO55" s="1477"/>
      <c r="BP55" s="1477"/>
      <c r="BQ55" s="1477"/>
      <c r="BR55" s="1477"/>
      <c r="BS55" s="1477"/>
      <c r="BT55" s="1477"/>
      <c r="BU55" s="1477"/>
      <c r="BV55" s="1477"/>
      <c r="BW55" s="1477"/>
      <c r="BX55" s="1477"/>
      <c r="BY55" s="1477"/>
      <c r="BZ55" s="1477"/>
      <c r="CA55" s="1477"/>
      <c r="CB55" s="1477"/>
      <c r="CC55" s="1477"/>
      <c r="CD55" s="1477"/>
      <c r="CE55" s="1477"/>
      <c r="CF55" s="1477"/>
      <c r="CG55" s="1477"/>
      <c r="CH55" s="1477"/>
      <c r="CI55" s="1477"/>
      <c r="CJ55" s="1477"/>
      <c r="CK55" s="1477"/>
      <c r="CL55" s="1477"/>
      <c r="CM55" s="1477"/>
      <c r="CN55" s="1477"/>
      <c r="CO55" s="1477"/>
      <c r="CP55" s="1477"/>
      <c r="CQ55" s="1477"/>
      <c r="CR55" s="1477"/>
      <c r="CS55" s="1477"/>
      <c r="CT55" s="1477"/>
      <c r="CU55" s="1477"/>
      <c r="CV55" s="1477"/>
      <c r="CW55" s="1477"/>
      <c r="CX55" s="1477"/>
      <c r="CY55" s="1477"/>
    </row>
    <row r="56" spans="1:103" s="15" customFormat="1" ht="15" customHeight="1">
      <c r="A56" s="1185">
        <v>47</v>
      </c>
      <c r="B56" s="1103"/>
      <c r="C56" s="1103"/>
      <c r="D56" s="1477"/>
      <c r="E56" s="1477"/>
      <c r="F56" s="1477"/>
      <c r="G56" s="1477"/>
      <c r="H56" s="1477"/>
      <c r="I56" s="1477"/>
      <c r="J56" s="1477"/>
      <c r="K56" s="1477"/>
      <c r="L56" s="1477"/>
      <c r="M56" s="1477"/>
      <c r="N56" s="1477"/>
      <c r="O56" s="1477"/>
      <c r="P56" s="1477"/>
      <c r="Q56" s="1477"/>
      <c r="R56" s="1477"/>
      <c r="S56" s="1477"/>
      <c r="T56" s="1477"/>
      <c r="U56" s="1477"/>
      <c r="V56" s="1477"/>
      <c r="W56" s="1477"/>
      <c r="X56" s="1477"/>
      <c r="Y56" s="1477"/>
      <c r="Z56" s="1477"/>
      <c r="AA56" s="1477"/>
      <c r="AB56" s="1477"/>
      <c r="AC56" s="1477"/>
      <c r="AD56" s="1477"/>
      <c r="AE56" s="1477"/>
      <c r="AF56" s="1477"/>
      <c r="AG56" s="1477"/>
      <c r="AH56" s="1477"/>
      <c r="AI56" s="1477"/>
      <c r="AJ56" s="1477"/>
      <c r="AK56" s="1477"/>
      <c r="AL56" s="1477"/>
      <c r="AM56" s="1477"/>
      <c r="AN56" s="1477"/>
      <c r="AO56" s="1477"/>
      <c r="AP56" s="1477"/>
      <c r="AQ56" s="1477"/>
      <c r="AR56" s="1477"/>
      <c r="AS56" s="1477"/>
      <c r="AT56" s="1477"/>
      <c r="AU56" s="1477"/>
      <c r="AV56" s="1477">
        <v>1</v>
      </c>
      <c r="AW56" s="1477"/>
      <c r="AX56" s="1477"/>
      <c r="AY56" s="1477"/>
      <c r="AZ56" s="1477"/>
      <c r="BA56" s="1477"/>
      <c r="BB56" s="1477"/>
      <c r="BC56" s="1477"/>
      <c r="BD56" s="1477"/>
      <c r="BE56" s="1477"/>
      <c r="BF56" s="1477"/>
      <c r="BG56" s="1477"/>
      <c r="BH56" s="1477"/>
      <c r="BI56" s="1477"/>
      <c r="BJ56" s="1477"/>
      <c r="BK56" s="1477"/>
      <c r="BL56" s="1477"/>
      <c r="BM56" s="1477"/>
      <c r="BN56" s="1477"/>
      <c r="BO56" s="1477"/>
      <c r="BP56" s="1477"/>
      <c r="BQ56" s="1477"/>
      <c r="BR56" s="1477"/>
      <c r="BS56" s="1477"/>
      <c r="BT56" s="1477"/>
      <c r="BU56" s="1477"/>
      <c r="BV56" s="1477"/>
      <c r="BW56" s="1477"/>
      <c r="BX56" s="1477"/>
      <c r="BY56" s="1477"/>
      <c r="BZ56" s="1477"/>
      <c r="CA56" s="1477"/>
      <c r="CB56" s="1477"/>
      <c r="CC56" s="1477"/>
      <c r="CD56" s="1477"/>
      <c r="CE56" s="1477"/>
      <c r="CF56" s="1477"/>
      <c r="CG56" s="1477"/>
      <c r="CH56" s="1477"/>
      <c r="CI56" s="1477"/>
      <c r="CJ56" s="1477"/>
      <c r="CK56" s="1477"/>
      <c r="CL56" s="1477"/>
      <c r="CM56" s="1477"/>
      <c r="CN56" s="1477"/>
      <c r="CO56" s="1477"/>
      <c r="CP56" s="1477"/>
      <c r="CQ56" s="1477"/>
      <c r="CR56" s="1477"/>
      <c r="CS56" s="1477"/>
      <c r="CT56" s="1477"/>
      <c r="CU56" s="1477"/>
      <c r="CV56" s="1477"/>
      <c r="CW56" s="1477"/>
      <c r="CX56" s="1477"/>
      <c r="CY56" s="1477"/>
    </row>
    <row r="57" spans="1:103" s="15" customFormat="1" ht="15" customHeight="1">
      <c r="A57" s="1185">
        <v>48</v>
      </c>
      <c r="B57" s="1103"/>
      <c r="C57" s="1103"/>
      <c r="D57" s="1477"/>
      <c r="E57" s="1477"/>
      <c r="F57" s="1477"/>
      <c r="G57" s="1477"/>
      <c r="H57" s="1477"/>
      <c r="I57" s="1477"/>
      <c r="J57" s="1477"/>
      <c r="K57" s="1477"/>
      <c r="L57" s="1477"/>
      <c r="M57" s="1477"/>
      <c r="N57" s="1477"/>
      <c r="O57" s="1477"/>
      <c r="P57" s="1477"/>
      <c r="Q57" s="1477"/>
      <c r="R57" s="1477"/>
      <c r="S57" s="1477"/>
      <c r="T57" s="1477"/>
      <c r="U57" s="1477"/>
      <c r="V57" s="1477"/>
      <c r="W57" s="1477"/>
      <c r="X57" s="1477"/>
      <c r="Y57" s="1477"/>
      <c r="Z57" s="1477"/>
      <c r="AA57" s="1477"/>
      <c r="AB57" s="1477"/>
      <c r="AC57" s="1477"/>
      <c r="AD57" s="1477"/>
      <c r="AE57" s="1477"/>
      <c r="AF57" s="1477"/>
      <c r="AG57" s="1477"/>
      <c r="AH57" s="1477"/>
      <c r="AI57" s="1477"/>
      <c r="AJ57" s="1477"/>
      <c r="AK57" s="1477"/>
      <c r="AL57" s="1477"/>
      <c r="AM57" s="1477"/>
      <c r="AN57" s="1477"/>
      <c r="AO57" s="1477"/>
      <c r="AP57" s="1477"/>
      <c r="AQ57" s="1477"/>
      <c r="AR57" s="1477"/>
      <c r="AS57" s="1477"/>
      <c r="AT57" s="1477"/>
      <c r="AU57" s="1477"/>
      <c r="AV57" s="1477"/>
      <c r="AW57" s="1477">
        <v>1</v>
      </c>
      <c r="AX57" s="1477"/>
      <c r="AY57" s="1477"/>
      <c r="AZ57" s="1477"/>
      <c r="BA57" s="1477"/>
      <c r="BB57" s="1477"/>
      <c r="BC57" s="1477"/>
      <c r="BD57" s="1477"/>
      <c r="BE57" s="1477"/>
      <c r="BF57" s="1477"/>
      <c r="BG57" s="1477"/>
      <c r="BH57" s="1477"/>
      <c r="BI57" s="1477"/>
      <c r="BJ57" s="1477"/>
      <c r="BK57" s="1477"/>
      <c r="BL57" s="1477"/>
      <c r="BM57" s="1477"/>
      <c r="BN57" s="1477"/>
      <c r="BO57" s="1477"/>
      <c r="BP57" s="1477"/>
      <c r="BQ57" s="1477"/>
      <c r="BR57" s="1477"/>
      <c r="BS57" s="1477"/>
      <c r="BT57" s="1477"/>
      <c r="BU57" s="1477"/>
      <c r="BV57" s="1477"/>
      <c r="BW57" s="1477"/>
      <c r="BX57" s="1477"/>
      <c r="BY57" s="1477"/>
      <c r="BZ57" s="1477"/>
      <c r="CA57" s="1477"/>
      <c r="CB57" s="1477"/>
      <c r="CC57" s="1477"/>
      <c r="CD57" s="1477"/>
      <c r="CE57" s="1477"/>
      <c r="CF57" s="1477"/>
      <c r="CG57" s="1477"/>
      <c r="CH57" s="1477"/>
      <c r="CI57" s="1477"/>
      <c r="CJ57" s="1477"/>
      <c r="CK57" s="1477"/>
      <c r="CL57" s="1477"/>
      <c r="CM57" s="1477"/>
      <c r="CN57" s="1477"/>
      <c r="CO57" s="1477"/>
      <c r="CP57" s="1477"/>
      <c r="CQ57" s="1477"/>
      <c r="CR57" s="1477"/>
      <c r="CS57" s="1477"/>
      <c r="CT57" s="1477"/>
      <c r="CU57" s="1477"/>
      <c r="CV57" s="1477"/>
      <c r="CW57" s="1477"/>
      <c r="CX57" s="1477"/>
      <c r="CY57" s="1477"/>
    </row>
    <row r="58" spans="1:103" s="15" customFormat="1" ht="15" customHeight="1">
      <c r="A58" s="1185">
        <v>49</v>
      </c>
      <c r="B58" s="1103"/>
      <c r="C58" s="1103"/>
      <c r="D58" s="1477"/>
      <c r="E58" s="1477"/>
      <c r="F58" s="1477"/>
      <c r="G58" s="1477"/>
      <c r="H58" s="1477"/>
      <c r="I58" s="1477"/>
      <c r="J58" s="1477"/>
      <c r="K58" s="1477"/>
      <c r="L58" s="1477"/>
      <c r="M58" s="1477"/>
      <c r="N58" s="1477"/>
      <c r="O58" s="1477"/>
      <c r="P58" s="1477"/>
      <c r="Q58" s="1477"/>
      <c r="R58" s="1477"/>
      <c r="S58" s="1477"/>
      <c r="T58" s="1477"/>
      <c r="U58" s="1477"/>
      <c r="V58" s="1477"/>
      <c r="W58" s="1477"/>
      <c r="X58" s="1477"/>
      <c r="Y58" s="1477"/>
      <c r="Z58" s="1477"/>
      <c r="AA58" s="1477"/>
      <c r="AB58" s="1477"/>
      <c r="AC58" s="1477"/>
      <c r="AD58" s="1477"/>
      <c r="AE58" s="1477"/>
      <c r="AF58" s="1477"/>
      <c r="AG58" s="1477"/>
      <c r="AH58" s="1477"/>
      <c r="AI58" s="1477"/>
      <c r="AJ58" s="1477"/>
      <c r="AK58" s="1477"/>
      <c r="AL58" s="1477"/>
      <c r="AM58" s="1477"/>
      <c r="AN58" s="1477"/>
      <c r="AO58" s="1477"/>
      <c r="AP58" s="1477"/>
      <c r="AQ58" s="1477"/>
      <c r="AR58" s="1477"/>
      <c r="AS58" s="1477"/>
      <c r="AT58" s="1477"/>
      <c r="AU58" s="1477"/>
      <c r="AV58" s="1477"/>
      <c r="AW58" s="1477"/>
      <c r="AX58" s="1477">
        <v>1</v>
      </c>
      <c r="AY58" s="1477"/>
      <c r="AZ58" s="1477"/>
      <c r="BA58" s="1477"/>
      <c r="BB58" s="1477"/>
      <c r="BC58" s="1477"/>
      <c r="BD58" s="1477"/>
      <c r="BE58" s="1477"/>
      <c r="BF58" s="1477"/>
      <c r="BG58" s="1477"/>
      <c r="BH58" s="1477"/>
      <c r="BI58" s="1477"/>
      <c r="BJ58" s="1477"/>
      <c r="BK58" s="1477"/>
      <c r="BL58" s="1477"/>
      <c r="BM58" s="1477"/>
      <c r="BN58" s="1477"/>
      <c r="BO58" s="1477"/>
      <c r="BP58" s="1477"/>
      <c r="BQ58" s="1477"/>
      <c r="BR58" s="1477"/>
      <c r="BS58" s="1477"/>
      <c r="BT58" s="1477"/>
      <c r="BU58" s="1477"/>
      <c r="BV58" s="1477"/>
      <c r="BW58" s="1477"/>
      <c r="BX58" s="1477"/>
      <c r="BY58" s="1477"/>
      <c r="BZ58" s="1477"/>
      <c r="CA58" s="1477"/>
      <c r="CB58" s="1477"/>
      <c r="CC58" s="1477"/>
      <c r="CD58" s="1477"/>
      <c r="CE58" s="1477"/>
      <c r="CF58" s="1477"/>
      <c r="CG58" s="1477"/>
      <c r="CH58" s="1477"/>
      <c r="CI58" s="1477"/>
      <c r="CJ58" s="1477"/>
      <c r="CK58" s="1477"/>
      <c r="CL58" s="1477"/>
      <c r="CM58" s="1477"/>
      <c r="CN58" s="1477"/>
      <c r="CO58" s="1477"/>
      <c r="CP58" s="1477"/>
      <c r="CQ58" s="1477"/>
      <c r="CR58" s="1477"/>
      <c r="CS58" s="1477"/>
      <c r="CT58" s="1477"/>
      <c r="CU58" s="1477"/>
      <c r="CV58" s="1477"/>
      <c r="CW58" s="1477"/>
      <c r="CX58" s="1477"/>
      <c r="CY58" s="1477"/>
    </row>
    <row r="59" spans="1:103" s="15" customFormat="1" ht="15" customHeight="1">
      <c r="A59" s="1185">
        <v>50</v>
      </c>
      <c r="B59" s="1103"/>
      <c r="C59" s="1103"/>
      <c r="D59" s="1477"/>
      <c r="E59" s="1477"/>
      <c r="F59" s="1477"/>
      <c r="G59" s="1477"/>
      <c r="H59" s="1477"/>
      <c r="I59" s="1477"/>
      <c r="J59" s="1477"/>
      <c r="K59" s="1477"/>
      <c r="L59" s="1477"/>
      <c r="M59" s="1477"/>
      <c r="N59" s="1477"/>
      <c r="O59" s="1477"/>
      <c r="P59" s="1477"/>
      <c r="Q59" s="1477"/>
      <c r="R59" s="1477"/>
      <c r="S59" s="1477"/>
      <c r="T59" s="1477"/>
      <c r="U59" s="1477"/>
      <c r="V59" s="1477"/>
      <c r="W59" s="1477"/>
      <c r="X59" s="1477"/>
      <c r="Y59" s="1477"/>
      <c r="Z59" s="1477"/>
      <c r="AA59" s="1477"/>
      <c r="AB59" s="1477"/>
      <c r="AC59" s="1477"/>
      <c r="AD59" s="1477"/>
      <c r="AE59" s="1477"/>
      <c r="AF59" s="1477"/>
      <c r="AG59" s="1477"/>
      <c r="AH59" s="1477"/>
      <c r="AI59" s="1477"/>
      <c r="AJ59" s="1477"/>
      <c r="AK59" s="1477"/>
      <c r="AL59" s="1477"/>
      <c r="AM59" s="1477"/>
      <c r="AN59" s="1477"/>
      <c r="AO59" s="1477"/>
      <c r="AP59" s="1477"/>
      <c r="AQ59" s="1477"/>
      <c r="AR59" s="1477"/>
      <c r="AS59" s="1477"/>
      <c r="AT59" s="1477"/>
      <c r="AU59" s="1477"/>
      <c r="AV59" s="1477"/>
      <c r="AW59" s="1477"/>
      <c r="AX59" s="1477"/>
      <c r="AY59" s="1477">
        <v>1</v>
      </c>
      <c r="AZ59" s="1477"/>
      <c r="BA59" s="1477"/>
      <c r="BB59" s="1477"/>
      <c r="BC59" s="1477"/>
      <c r="BD59" s="1477"/>
      <c r="BE59" s="1477"/>
      <c r="BF59" s="1477"/>
      <c r="BG59" s="1477"/>
      <c r="BH59" s="1477"/>
      <c r="BI59" s="1477"/>
      <c r="BJ59" s="1477"/>
      <c r="BK59" s="1477"/>
      <c r="BL59" s="1477"/>
      <c r="BM59" s="1477"/>
      <c r="BN59" s="1477"/>
      <c r="BO59" s="1477"/>
      <c r="BP59" s="1477"/>
      <c r="BQ59" s="1477"/>
      <c r="BR59" s="1477"/>
      <c r="BS59" s="1477"/>
      <c r="BT59" s="1477"/>
      <c r="BU59" s="1477"/>
      <c r="BV59" s="1477"/>
      <c r="BW59" s="1477"/>
      <c r="BX59" s="1477"/>
      <c r="BY59" s="1477"/>
      <c r="BZ59" s="1477"/>
      <c r="CA59" s="1477"/>
      <c r="CB59" s="1477"/>
      <c r="CC59" s="1477"/>
      <c r="CD59" s="1477"/>
      <c r="CE59" s="1477"/>
      <c r="CF59" s="1477"/>
      <c r="CG59" s="1477"/>
      <c r="CH59" s="1477"/>
      <c r="CI59" s="1477"/>
      <c r="CJ59" s="1477"/>
      <c r="CK59" s="1477"/>
      <c r="CL59" s="1477"/>
      <c r="CM59" s="1477"/>
      <c r="CN59" s="1477"/>
      <c r="CO59" s="1477"/>
      <c r="CP59" s="1477"/>
      <c r="CQ59" s="1477"/>
      <c r="CR59" s="1477"/>
      <c r="CS59" s="1477"/>
      <c r="CT59" s="1477"/>
      <c r="CU59" s="1477"/>
      <c r="CV59" s="1477"/>
      <c r="CW59" s="1477"/>
      <c r="CX59" s="1477"/>
      <c r="CY59" s="1477"/>
    </row>
    <row r="60" spans="1:103" s="15" customFormat="1" ht="15" customHeight="1">
      <c r="A60" s="1185">
        <v>51</v>
      </c>
      <c r="B60" s="1103"/>
      <c r="C60" s="1103"/>
      <c r="D60" s="1477"/>
      <c r="E60" s="1477"/>
      <c r="F60" s="1477"/>
      <c r="G60" s="1477"/>
      <c r="H60" s="1477"/>
      <c r="I60" s="1477"/>
      <c r="J60" s="1477"/>
      <c r="K60" s="1477"/>
      <c r="L60" s="1477"/>
      <c r="M60" s="1477"/>
      <c r="N60" s="1477"/>
      <c r="O60" s="1477"/>
      <c r="P60" s="1477"/>
      <c r="Q60" s="1477"/>
      <c r="R60" s="1477"/>
      <c r="S60" s="1477"/>
      <c r="T60" s="1477"/>
      <c r="U60" s="1477"/>
      <c r="V60" s="1477"/>
      <c r="W60" s="1477"/>
      <c r="X60" s="1477"/>
      <c r="Y60" s="1477"/>
      <c r="Z60" s="1477"/>
      <c r="AA60" s="1477"/>
      <c r="AB60" s="1477"/>
      <c r="AC60" s="1477"/>
      <c r="AD60" s="1477"/>
      <c r="AE60" s="1477"/>
      <c r="AF60" s="1477"/>
      <c r="AG60" s="1477"/>
      <c r="AH60" s="1477"/>
      <c r="AI60" s="1477"/>
      <c r="AJ60" s="1477"/>
      <c r="AK60" s="1477"/>
      <c r="AL60" s="1477"/>
      <c r="AM60" s="1477"/>
      <c r="AN60" s="1477"/>
      <c r="AO60" s="1477"/>
      <c r="AP60" s="1477"/>
      <c r="AQ60" s="1477"/>
      <c r="AR60" s="1477"/>
      <c r="AS60" s="1477"/>
      <c r="AT60" s="1477"/>
      <c r="AU60" s="1477"/>
      <c r="AV60" s="1477"/>
      <c r="AW60" s="1477"/>
      <c r="AX60" s="1477"/>
      <c r="AY60" s="1477"/>
      <c r="AZ60" s="1477">
        <v>1</v>
      </c>
      <c r="BA60" s="1477"/>
      <c r="BB60" s="1477"/>
      <c r="BC60" s="1477"/>
      <c r="BD60" s="1477"/>
      <c r="BE60" s="1477"/>
      <c r="BF60" s="1477"/>
      <c r="BG60" s="1477"/>
      <c r="BH60" s="1477"/>
      <c r="BI60" s="1477"/>
      <c r="BJ60" s="1477"/>
      <c r="BK60" s="1477"/>
      <c r="BL60" s="1477"/>
      <c r="BM60" s="1477"/>
      <c r="BN60" s="1477"/>
      <c r="BO60" s="1477"/>
      <c r="BP60" s="1477"/>
      <c r="BQ60" s="1477"/>
      <c r="BR60" s="1477"/>
      <c r="BS60" s="1477"/>
      <c r="BT60" s="1477"/>
      <c r="BU60" s="1477"/>
      <c r="BV60" s="1477"/>
      <c r="BW60" s="1477"/>
      <c r="BX60" s="1477"/>
      <c r="BY60" s="1477"/>
      <c r="BZ60" s="1477"/>
      <c r="CA60" s="1477"/>
      <c r="CB60" s="1477"/>
      <c r="CC60" s="1477"/>
      <c r="CD60" s="1477"/>
      <c r="CE60" s="1477"/>
      <c r="CF60" s="1477"/>
      <c r="CG60" s="1477"/>
      <c r="CH60" s="1477"/>
      <c r="CI60" s="1477"/>
      <c r="CJ60" s="1477"/>
      <c r="CK60" s="1477"/>
      <c r="CL60" s="1477"/>
      <c r="CM60" s="1477"/>
      <c r="CN60" s="1477"/>
      <c r="CO60" s="1477"/>
      <c r="CP60" s="1477"/>
      <c r="CQ60" s="1477"/>
      <c r="CR60" s="1477"/>
      <c r="CS60" s="1477"/>
      <c r="CT60" s="1477"/>
      <c r="CU60" s="1477"/>
      <c r="CV60" s="1477"/>
      <c r="CW60" s="1477"/>
      <c r="CX60" s="1477"/>
      <c r="CY60" s="1477"/>
    </row>
    <row r="61" spans="1:103" s="15" customFormat="1" ht="15" customHeight="1">
      <c r="A61" s="1185">
        <v>52</v>
      </c>
      <c r="B61" s="1103"/>
      <c r="C61" s="1103"/>
      <c r="D61" s="1477"/>
      <c r="E61" s="1477"/>
      <c r="F61" s="1477"/>
      <c r="G61" s="1477"/>
      <c r="H61" s="1477"/>
      <c r="I61" s="1477"/>
      <c r="J61" s="1477"/>
      <c r="K61" s="1477"/>
      <c r="L61" s="1477"/>
      <c r="M61" s="1477"/>
      <c r="N61" s="1477"/>
      <c r="O61" s="1477"/>
      <c r="P61" s="1477"/>
      <c r="Q61" s="1477"/>
      <c r="R61" s="1477"/>
      <c r="S61" s="1477"/>
      <c r="T61" s="1477"/>
      <c r="U61" s="1477"/>
      <c r="V61" s="1477"/>
      <c r="W61" s="1477"/>
      <c r="X61" s="1477"/>
      <c r="Y61" s="1477"/>
      <c r="Z61" s="1477"/>
      <c r="AA61" s="1477"/>
      <c r="AB61" s="1477"/>
      <c r="AC61" s="1477"/>
      <c r="AD61" s="1477"/>
      <c r="AE61" s="1477"/>
      <c r="AF61" s="1477"/>
      <c r="AG61" s="1477"/>
      <c r="AH61" s="1477"/>
      <c r="AI61" s="1477"/>
      <c r="AJ61" s="1477"/>
      <c r="AK61" s="1477"/>
      <c r="AL61" s="1477"/>
      <c r="AM61" s="1477"/>
      <c r="AN61" s="1477"/>
      <c r="AO61" s="1477"/>
      <c r="AP61" s="1477"/>
      <c r="AQ61" s="1477"/>
      <c r="AR61" s="1477"/>
      <c r="AS61" s="1477"/>
      <c r="AT61" s="1477"/>
      <c r="AU61" s="1477"/>
      <c r="AV61" s="1477"/>
      <c r="AW61" s="1477"/>
      <c r="AX61" s="1477"/>
      <c r="AY61" s="1477"/>
      <c r="AZ61" s="1477"/>
      <c r="BA61" s="1477">
        <v>1</v>
      </c>
      <c r="BB61" s="1477"/>
      <c r="BC61" s="1477"/>
      <c r="BD61" s="1477"/>
      <c r="BE61" s="1477"/>
      <c r="BF61" s="1477"/>
      <c r="BG61" s="1477"/>
      <c r="BH61" s="1477"/>
      <c r="BI61" s="1477"/>
      <c r="BJ61" s="1477"/>
      <c r="BK61" s="1477"/>
      <c r="BL61" s="1477"/>
      <c r="BM61" s="1477"/>
      <c r="BN61" s="1477"/>
      <c r="BO61" s="1477"/>
      <c r="BP61" s="1477"/>
      <c r="BQ61" s="1477"/>
      <c r="BR61" s="1477"/>
      <c r="BS61" s="1477"/>
      <c r="BT61" s="1477"/>
      <c r="BU61" s="1477"/>
      <c r="BV61" s="1477"/>
      <c r="BW61" s="1477"/>
      <c r="BX61" s="1477"/>
      <c r="BY61" s="1477"/>
      <c r="BZ61" s="1477"/>
      <c r="CA61" s="1477"/>
      <c r="CB61" s="1477"/>
      <c r="CC61" s="1477"/>
      <c r="CD61" s="1477"/>
      <c r="CE61" s="1477"/>
      <c r="CF61" s="1477"/>
      <c r="CG61" s="1477"/>
      <c r="CH61" s="1477"/>
      <c r="CI61" s="1477"/>
      <c r="CJ61" s="1477"/>
      <c r="CK61" s="1477"/>
      <c r="CL61" s="1477"/>
      <c r="CM61" s="1477"/>
      <c r="CN61" s="1477"/>
      <c r="CO61" s="1477"/>
      <c r="CP61" s="1477"/>
      <c r="CQ61" s="1477"/>
      <c r="CR61" s="1477"/>
      <c r="CS61" s="1477"/>
      <c r="CT61" s="1477"/>
      <c r="CU61" s="1477"/>
      <c r="CV61" s="1477"/>
      <c r="CW61" s="1477"/>
      <c r="CX61" s="1477"/>
      <c r="CY61" s="1477"/>
    </row>
    <row r="62" spans="1:103" s="15" customFormat="1" ht="15" customHeight="1">
      <c r="A62" s="1185">
        <v>53</v>
      </c>
      <c r="B62" s="1103"/>
      <c r="C62" s="1103"/>
      <c r="D62" s="1477"/>
      <c r="E62" s="1477"/>
      <c r="F62" s="1477"/>
      <c r="G62" s="1477"/>
      <c r="H62" s="1477"/>
      <c r="I62" s="1477"/>
      <c r="J62" s="1477"/>
      <c r="K62" s="1477"/>
      <c r="L62" s="1477"/>
      <c r="M62" s="1477"/>
      <c r="N62" s="1477"/>
      <c r="O62" s="1477"/>
      <c r="P62" s="1477"/>
      <c r="Q62" s="1477"/>
      <c r="R62" s="1477"/>
      <c r="S62" s="1477"/>
      <c r="T62" s="1477"/>
      <c r="U62" s="1477"/>
      <c r="V62" s="1477"/>
      <c r="W62" s="1477"/>
      <c r="X62" s="1477"/>
      <c r="Y62" s="1477"/>
      <c r="Z62" s="1477"/>
      <c r="AA62" s="1477"/>
      <c r="AB62" s="1477"/>
      <c r="AC62" s="1477"/>
      <c r="AD62" s="1477"/>
      <c r="AE62" s="1477"/>
      <c r="AF62" s="1477"/>
      <c r="AG62" s="1477"/>
      <c r="AH62" s="1477"/>
      <c r="AI62" s="1477"/>
      <c r="AJ62" s="1477"/>
      <c r="AK62" s="1477"/>
      <c r="AL62" s="1477"/>
      <c r="AM62" s="1477"/>
      <c r="AN62" s="1477"/>
      <c r="AO62" s="1477"/>
      <c r="AP62" s="1477"/>
      <c r="AQ62" s="1477"/>
      <c r="AR62" s="1477"/>
      <c r="AS62" s="1477"/>
      <c r="AT62" s="1477"/>
      <c r="AU62" s="1477"/>
      <c r="AV62" s="1477"/>
      <c r="AW62" s="1477"/>
      <c r="AX62" s="1477"/>
      <c r="AY62" s="1477"/>
      <c r="AZ62" s="1477"/>
      <c r="BA62" s="1477"/>
      <c r="BB62" s="1477">
        <v>1</v>
      </c>
      <c r="BC62" s="1477"/>
      <c r="BD62" s="1477"/>
      <c r="BE62" s="1477"/>
      <c r="BF62" s="1477"/>
      <c r="BG62" s="1477"/>
      <c r="BH62" s="1477"/>
      <c r="BI62" s="1477"/>
      <c r="BJ62" s="1477"/>
      <c r="BK62" s="1477"/>
      <c r="BL62" s="1477"/>
      <c r="BM62" s="1477"/>
      <c r="BN62" s="1477"/>
      <c r="BO62" s="1477"/>
      <c r="BP62" s="1477"/>
      <c r="BQ62" s="1477"/>
      <c r="BR62" s="1477"/>
      <c r="BS62" s="1477"/>
      <c r="BT62" s="1477"/>
      <c r="BU62" s="1477"/>
      <c r="BV62" s="1477"/>
      <c r="BW62" s="1477"/>
      <c r="BX62" s="1477"/>
      <c r="BY62" s="1477"/>
      <c r="BZ62" s="1477"/>
      <c r="CA62" s="1477"/>
      <c r="CB62" s="1477"/>
      <c r="CC62" s="1477"/>
      <c r="CD62" s="1477"/>
      <c r="CE62" s="1477"/>
      <c r="CF62" s="1477"/>
      <c r="CG62" s="1477"/>
      <c r="CH62" s="1477"/>
      <c r="CI62" s="1477"/>
      <c r="CJ62" s="1477"/>
      <c r="CK62" s="1477"/>
      <c r="CL62" s="1477"/>
      <c r="CM62" s="1477"/>
      <c r="CN62" s="1477"/>
      <c r="CO62" s="1477"/>
      <c r="CP62" s="1477"/>
      <c r="CQ62" s="1477"/>
      <c r="CR62" s="1477"/>
      <c r="CS62" s="1477"/>
      <c r="CT62" s="1477"/>
      <c r="CU62" s="1477"/>
      <c r="CV62" s="1477"/>
      <c r="CW62" s="1477"/>
      <c r="CX62" s="1477"/>
      <c r="CY62" s="1477"/>
    </row>
    <row r="63" spans="1:103" s="15" customFormat="1" ht="15" customHeight="1">
      <c r="A63" s="1185">
        <v>54</v>
      </c>
      <c r="B63" s="1103"/>
      <c r="C63" s="1103"/>
      <c r="D63" s="1477"/>
      <c r="E63" s="1477"/>
      <c r="F63" s="1477"/>
      <c r="G63" s="1477"/>
      <c r="H63" s="1477"/>
      <c r="I63" s="1477"/>
      <c r="J63" s="1477"/>
      <c r="K63" s="1477"/>
      <c r="L63" s="1477"/>
      <c r="M63" s="1477"/>
      <c r="N63" s="1477"/>
      <c r="O63" s="1477"/>
      <c r="P63" s="1477"/>
      <c r="Q63" s="1477"/>
      <c r="R63" s="1477"/>
      <c r="S63" s="1477"/>
      <c r="T63" s="1477"/>
      <c r="U63" s="1477"/>
      <c r="V63" s="1477"/>
      <c r="W63" s="1477"/>
      <c r="X63" s="1477"/>
      <c r="Y63" s="1477"/>
      <c r="Z63" s="1477"/>
      <c r="AA63" s="1477"/>
      <c r="AB63" s="1477"/>
      <c r="AC63" s="1477"/>
      <c r="AD63" s="1477"/>
      <c r="AE63" s="1477"/>
      <c r="AF63" s="1477"/>
      <c r="AG63" s="1477"/>
      <c r="AH63" s="1477"/>
      <c r="AI63" s="1477"/>
      <c r="AJ63" s="1477"/>
      <c r="AK63" s="1477"/>
      <c r="AL63" s="1477"/>
      <c r="AM63" s="1477"/>
      <c r="AN63" s="1477"/>
      <c r="AO63" s="1477"/>
      <c r="AP63" s="1477"/>
      <c r="AQ63" s="1477"/>
      <c r="AR63" s="1477"/>
      <c r="AS63" s="1477"/>
      <c r="AT63" s="1477"/>
      <c r="AU63" s="1477"/>
      <c r="AV63" s="1477"/>
      <c r="AW63" s="1477"/>
      <c r="AX63" s="1477"/>
      <c r="AY63" s="1477"/>
      <c r="AZ63" s="1477"/>
      <c r="BA63" s="1477"/>
      <c r="BB63" s="1477"/>
      <c r="BC63" s="1477">
        <v>1</v>
      </c>
      <c r="BD63" s="1477"/>
      <c r="BE63" s="1477"/>
      <c r="BF63" s="1477"/>
      <c r="BG63" s="1477"/>
      <c r="BH63" s="1477"/>
      <c r="BI63" s="1477"/>
      <c r="BJ63" s="1477"/>
      <c r="BK63" s="1477"/>
      <c r="BL63" s="1477"/>
      <c r="BM63" s="1477"/>
      <c r="BN63" s="1477"/>
      <c r="BO63" s="1477"/>
      <c r="BP63" s="1477"/>
      <c r="BQ63" s="1477"/>
      <c r="BR63" s="1477"/>
      <c r="BS63" s="1477"/>
      <c r="BT63" s="1477"/>
      <c r="BU63" s="1477"/>
      <c r="BV63" s="1477"/>
      <c r="BW63" s="1477"/>
      <c r="BX63" s="1477"/>
      <c r="BY63" s="1477"/>
      <c r="BZ63" s="1477"/>
      <c r="CA63" s="1477"/>
      <c r="CB63" s="1477"/>
      <c r="CC63" s="1477"/>
      <c r="CD63" s="1477"/>
      <c r="CE63" s="1477"/>
      <c r="CF63" s="1477"/>
      <c r="CG63" s="1477"/>
      <c r="CH63" s="1477"/>
      <c r="CI63" s="1477"/>
      <c r="CJ63" s="1477"/>
      <c r="CK63" s="1477"/>
      <c r="CL63" s="1477"/>
      <c r="CM63" s="1477"/>
      <c r="CN63" s="1477"/>
      <c r="CO63" s="1477"/>
      <c r="CP63" s="1477"/>
      <c r="CQ63" s="1477"/>
      <c r="CR63" s="1477"/>
      <c r="CS63" s="1477"/>
      <c r="CT63" s="1477"/>
      <c r="CU63" s="1477"/>
      <c r="CV63" s="1477"/>
      <c r="CW63" s="1477"/>
      <c r="CX63" s="1477"/>
      <c r="CY63" s="1477"/>
    </row>
    <row r="64" spans="1:103" s="15" customFormat="1" ht="15" customHeight="1">
      <c r="A64" s="1185">
        <v>55</v>
      </c>
      <c r="B64" s="1103"/>
      <c r="C64" s="1103"/>
      <c r="D64" s="1477"/>
      <c r="E64" s="1477"/>
      <c r="F64" s="1477"/>
      <c r="G64" s="1477"/>
      <c r="H64" s="1477"/>
      <c r="I64" s="1477"/>
      <c r="J64" s="1477"/>
      <c r="K64" s="1477"/>
      <c r="L64" s="1477"/>
      <c r="M64" s="1477"/>
      <c r="N64" s="1477"/>
      <c r="O64" s="1477"/>
      <c r="P64" s="1477"/>
      <c r="Q64" s="1477"/>
      <c r="R64" s="1477"/>
      <c r="S64" s="1477"/>
      <c r="T64" s="1477"/>
      <c r="U64" s="1477"/>
      <c r="V64" s="1477"/>
      <c r="W64" s="1477"/>
      <c r="X64" s="1477"/>
      <c r="Y64" s="1477"/>
      <c r="Z64" s="1477"/>
      <c r="AA64" s="1477"/>
      <c r="AB64" s="1477"/>
      <c r="AC64" s="1477"/>
      <c r="AD64" s="1477"/>
      <c r="AE64" s="1477"/>
      <c r="AF64" s="1477"/>
      <c r="AG64" s="1477"/>
      <c r="AH64" s="1477"/>
      <c r="AI64" s="1477"/>
      <c r="AJ64" s="1477"/>
      <c r="AK64" s="1477"/>
      <c r="AL64" s="1477"/>
      <c r="AM64" s="1477"/>
      <c r="AN64" s="1477"/>
      <c r="AO64" s="1477"/>
      <c r="AP64" s="1477"/>
      <c r="AQ64" s="1477"/>
      <c r="AR64" s="1477"/>
      <c r="AS64" s="1477"/>
      <c r="AT64" s="1477"/>
      <c r="AU64" s="1477"/>
      <c r="AV64" s="1477"/>
      <c r="AW64" s="1477"/>
      <c r="AX64" s="1477"/>
      <c r="AY64" s="1477"/>
      <c r="AZ64" s="1477"/>
      <c r="BA64" s="1477"/>
      <c r="BB64" s="1477"/>
      <c r="BC64" s="1477"/>
      <c r="BD64" s="1477">
        <v>1</v>
      </c>
      <c r="BE64" s="1477"/>
      <c r="BF64" s="1477"/>
      <c r="BG64" s="1477"/>
      <c r="BH64" s="1477"/>
      <c r="BI64" s="1477"/>
      <c r="BJ64" s="1477"/>
      <c r="BK64" s="1477"/>
      <c r="BL64" s="1477"/>
      <c r="BM64" s="1477"/>
      <c r="BN64" s="1477"/>
      <c r="BO64" s="1477"/>
      <c r="BP64" s="1477"/>
      <c r="BQ64" s="1477"/>
      <c r="BR64" s="1477"/>
      <c r="BS64" s="1477"/>
      <c r="BT64" s="1477"/>
      <c r="BU64" s="1477"/>
      <c r="BV64" s="1477"/>
      <c r="BW64" s="1477"/>
      <c r="BX64" s="1477"/>
      <c r="BY64" s="1477"/>
      <c r="BZ64" s="1477"/>
      <c r="CA64" s="1477"/>
      <c r="CB64" s="1477"/>
      <c r="CC64" s="1477"/>
      <c r="CD64" s="1477"/>
      <c r="CE64" s="1477"/>
      <c r="CF64" s="1477"/>
      <c r="CG64" s="1477"/>
      <c r="CH64" s="1477"/>
      <c r="CI64" s="1477"/>
      <c r="CJ64" s="1477"/>
      <c r="CK64" s="1477"/>
      <c r="CL64" s="1477"/>
      <c r="CM64" s="1477"/>
      <c r="CN64" s="1477"/>
      <c r="CO64" s="1477"/>
      <c r="CP64" s="1477"/>
      <c r="CQ64" s="1477"/>
      <c r="CR64" s="1477"/>
      <c r="CS64" s="1477"/>
      <c r="CT64" s="1477"/>
      <c r="CU64" s="1477"/>
      <c r="CV64" s="1477"/>
      <c r="CW64" s="1477"/>
      <c r="CX64" s="1477"/>
      <c r="CY64" s="1477"/>
    </row>
    <row r="65" spans="1:103" s="15" customFormat="1" ht="15" customHeight="1">
      <c r="A65" s="1185">
        <v>56</v>
      </c>
      <c r="B65" s="1103"/>
      <c r="C65" s="1103"/>
      <c r="D65" s="1477"/>
      <c r="E65" s="1477"/>
      <c r="F65" s="1477"/>
      <c r="G65" s="1477"/>
      <c r="H65" s="1477"/>
      <c r="I65" s="1477"/>
      <c r="J65" s="1477"/>
      <c r="K65" s="1477"/>
      <c r="L65" s="1477"/>
      <c r="M65" s="1477"/>
      <c r="N65" s="1477"/>
      <c r="O65" s="1477"/>
      <c r="P65" s="1477"/>
      <c r="Q65" s="1477"/>
      <c r="R65" s="1477"/>
      <c r="S65" s="1477"/>
      <c r="T65" s="1477"/>
      <c r="U65" s="1477"/>
      <c r="V65" s="1477"/>
      <c r="W65" s="1477"/>
      <c r="X65" s="1477"/>
      <c r="Y65" s="1477"/>
      <c r="Z65" s="1477"/>
      <c r="AA65" s="1477"/>
      <c r="AB65" s="1477"/>
      <c r="AC65" s="1477"/>
      <c r="AD65" s="1477"/>
      <c r="AE65" s="1477"/>
      <c r="AF65" s="1477"/>
      <c r="AG65" s="1477"/>
      <c r="AH65" s="1477"/>
      <c r="AI65" s="1477"/>
      <c r="AJ65" s="1477"/>
      <c r="AK65" s="1477"/>
      <c r="AL65" s="1477"/>
      <c r="AM65" s="1477"/>
      <c r="AN65" s="1477"/>
      <c r="AO65" s="1477"/>
      <c r="AP65" s="1477"/>
      <c r="AQ65" s="1477"/>
      <c r="AR65" s="1477"/>
      <c r="AS65" s="1477"/>
      <c r="AT65" s="1477"/>
      <c r="AU65" s="1477"/>
      <c r="AV65" s="1477"/>
      <c r="AW65" s="1477"/>
      <c r="AX65" s="1477"/>
      <c r="AY65" s="1477"/>
      <c r="AZ65" s="1477"/>
      <c r="BA65" s="1477"/>
      <c r="BB65" s="1477"/>
      <c r="BC65" s="1477"/>
      <c r="BD65" s="1477"/>
      <c r="BE65" s="1477">
        <v>1</v>
      </c>
      <c r="BF65" s="1477"/>
      <c r="BG65" s="1477"/>
      <c r="BH65" s="1477"/>
      <c r="BI65" s="1477"/>
      <c r="BJ65" s="1477"/>
      <c r="BK65" s="1477"/>
      <c r="BL65" s="1477"/>
      <c r="BM65" s="1477"/>
      <c r="BN65" s="1477"/>
      <c r="BO65" s="1477"/>
      <c r="BP65" s="1477"/>
      <c r="BQ65" s="1477"/>
      <c r="BR65" s="1477"/>
      <c r="BS65" s="1477"/>
      <c r="BT65" s="1477"/>
      <c r="BU65" s="1477"/>
      <c r="BV65" s="1477"/>
      <c r="BW65" s="1477"/>
      <c r="BX65" s="1477"/>
      <c r="BY65" s="1477"/>
      <c r="BZ65" s="1477"/>
      <c r="CA65" s="1477"/>
      <c r="CB65" s="1477"/>
      <c r="CC65" s="1477"/>
      <c r="CD65" s="1477"/>
      <c r="CE65" s="1477"/>
      <c r="CF65" s="1477"/>
      <c r="CG65" s="1477"/>
      <c r="CH65" s="1477"/>
      <c r="CI65" s="1477"/>
      <c r="CJ65" s="1477"/>
      <c r="CK65" s="1477"/>
      <c r="CL65" s="1477"/>
      <c r="CM65" s="1477"/>
      <c r="CN65" s="1477"/>
      <c r="CO65" s="1477"/>
      <c r="CP65" s="1477"/>
      <c r="CQ65" s="1477"/>
      <c r="CR65" s="1477"/>
      <c r="CS65" s="1477"/>
      <c r="CT65" s="1477"/>
      <c r="CU65" s="1477"/>
      <c r="CV65" s="1477"/>
      <c r="CW65" s="1477"/>
      <c r="CX65" s="1477"/>
      <c r="CY65" s="1477"/>
    </row>
    <row r="66" spans="1:103" s="15" customFormat="1" ht="15" customHeight="1">
      <c r="A66" s="1185">
        <v>57</v>
      </c>
      <c r="B66" s="1103"/>
      <c r="C66" s="1103"/>
      <c r="D66" s="1477"/>
      <c r="E66" s="1477"/>
      <c r="F66" s="1477"/>
      <c r="G66" s="1477"/>
      <c r="H66" s="1477"/>
      <c r="I66" s="1477"/>
      <c r="J66" s="1477"/>
      <c r="K66" s="1477"/>
      <c r="L66" s="1477"/>
      <c r="M66" s="1477"/>
      <c r="N66" s="1477"/>
      <c r="O66" s="1477"/>
      <c r="P66" s="1477"/>
      <c r="Q66" s="1477"/>
      <c r="R66" s="1477"/>
      <c r="S66" s="1477"/>
      <c r="T66" s="1477"/>
      <c r="U66" s="1477"/>
      <c r="V66" s="1477"/>
      <c r="W66" s="1477"/>
      <c r="X66" s="1477"/>
      <c r="Y66" s="1477"/>
      <c r="Z66" s="1477"/>
      <c r="AA66" s="1477"/>
      <c r="AB66" s="1477"/>
      <c r="AC66" s="1477"/>
      <c r="AD66" s="1477"/>
      <c r="AE66" s="1477"/>
      <c r="AF66" s="1477"/>
      <c r="AG66" s="1477"/>
      <c r="AH66" s="1477"/>
      <c r="AI66" s="1477"/>
      <c r="AJ66" s="1477"/>
      <c r="AK66" s="1477"/>
      <c r="AL66" s="1477"/>
      <c r="AM66" s="1477"/>
      <c r="AN66" s="1477"/>
      <c r="AO66" s="1477"/>
      <c r="AP66" s="1477"/>
      <c r="AQ66" s="1477"/>
      <c r="AR66" s="1477"/>
      <c r="AS66" s="1477"/>
      <c r="AT66" s="1477"/>
      <c r="AU66" s="1477"/>
      <c r="AV66" s="1477"/>
      <c r="AW66" s="1477"/>
      <c r="AX66" s="1477"/>
      <c r="AY66" s="1477"/>
      <c r="AZ66" s="1477"/>
      <c r="BA66" s="1477"/>
      <c r="BB66" s="1477"/>
      <c r="BC66" s="1477"/>
      <c r="BD66" s="1477"/>
      <c r="BE66" s="1477"/>
      <c r="BF66" s="1477">
        <v>1</v>
      </c>
      <c r="BG66" s="1477"/>
      <c r="BH66" s="1477"/>
      <c r="BI66" s="1477"/>
      <c r="BJ66" s="1477"/>
      <c r="BK66" s="1477"/>
      <c r="BL66" s="1477"/>
      <c r="BM66" s="1477"/>
      <c r="BN66" s="1477"/>
      <c r="BO66" s="1477"/>
      <c r="BP66" s="1477"/>
      <c r="BQ66" s="1477"/>
      <c r="BR66" s="1477"/>
      <c r="BS66" s="1477"/>
      <c r="BT66" s="1477"/>
      <c r="BU66" s="1477"/>
      <c r="BV66" s="1477"/>
      <c r="BW66" s="1477"/>
      <c r="BX66" s="1477"/>
      <c r="BY66" s="1477"/>
      <c r="BZ66" s="1477"/>
      <c r="CA66" s="1477"/>
      <c r="CB66" s="1477"/>
      <c r="CC66" s="1477"/>
      <c r="CD66" s="1477"/>
      <c r="CE66" s="1477"/>
      <c r="CF66" s="1477"/>
      <c r="CG66" s="1477"/>
      <c r="CH66" s="1477"/>
      <c r="CI66" s="1477"/>
      <c r="CJ66" s="1477"/>
      <c r="CK66" s="1477"/>
      <c r="CL66" s="1477"/>
      <c r="CM66" s="1477"/>
      <c r="CN66" s="1477"/>
      <c r="CO66" s="1477"/>
      <c r="CP66" s="1477"/>
      <c r="CQ66" s="1477"/>
      <c r="CR66" s="1477"/>
      <c r="CS66" s="1477"/>
      <c r="CT66" s="1477"/>
      <c r="CU66" s="1477"/>
      <c r="CV66" s="1477"/>
      <c r="CW66" s="1477"/>
      <c r="CX66" s="1477"/>
      <c r="CY66" s="1477"/>
    </row>
    <row r="67" spans="1:103" s="15" customFormat="1" ht="15" customHeight="1">
      <c r="A67" s="1185">
        <v>58</v>
      </c>
      <c r="B67" s="1103"/>
      <c r="C67" s="1103"/>
      <c r="D67" s="1477"/>
      <c r="E67" s="1477"/>
      <c r="F67" s="1477"/>
      <c r="G67" s="1477"/>
      <c r="H67" s="1477"/>
      <c r="I67" s="1477"/>
      <c r="J67" s="1477"/>
      <c r="K67" s="1477"/>
      <c r="L67" s="1477"/>
      <c r="M67" s="1477"/>
      <c r="N67" s="1477"/>
      <c r="O67" s="1477"/>
      <c r="P67" s="1477"/>
      <c r="Q67" s="1477"/>
      <c r="R67" s="1477"/>
      <c r="S67" s="1477"/>
      <c r="T67" s="1477"/>
      <c r="U67" s="1477"/>
      <c r="V67" s="1477"/>
      <c r="W67" s="1477"/>
      <c r="X67" s="1477"/>
      <c r="Y67" s="1477"/>
      <c r="Z67" s="1477"/>
      <c r="AA67" s="1477"/>
      <c r="AB67" s="1477"/>
      <c r="AC67" s="1477"/>
      <c r="AD67" s="1477"/>
      <c r="AE67" s="1477"/>
      <c r="AF67" s="1477"/>
      <c r="AG67" s="1477"/>
      <c r="AH67" s="1477"/>
      <c r="AI67" s="1477"/>
      <c r="AJ67" s="1477"/>
      <c r="AK67" s="1477"/>
      <c r="AL67" s="1477"/>
      <c r="AM67" s="1477"/>
      <c r="AN67" s="1477"/>
      <c r="AO67" s="1477"/>
      <c r="AP67" s="1477"/>
      <c r="AQ67" s="1477"/>
      <c r="AR67" s="1477"/>
      <c r="AS67" s="1477"/>
      <c r="AT67" s="1477"/>
      <c r="AU67" s="1477"/>
      <c r="AV67" s="1477"/>
      <c r="AW67" s="1477"/>
      <c r="AX67" s="1477"/>
      <c r="AY67" s="1477"/>
      <c r="AZ67" s="1477"/>
      <c r="BA67" s="1477"/>
      <c r="BB67" s="1477"/>
      <c r="BC67" s="1477"/>
      <c r="BD67" s="1477"/>
      <c r="BE67" s="1477"/>
      <c r="BF67" s="1477"/>
      <c r="BG67" s="1477">
        <v>1</v>
      </c>
      <c r="BH67" s="1477"/>
      <c r="BI67" s="1477"/>
      <c r="BJ67" s="1477"/>
      <c r="BK67" s="1477"/>
      <c r="BL67" s="1477"/>
      <c r="BM67" s="1477"/>
      <c r="BN67" s="1477"/>
      <c r="BO67" s="1477"/>
      <c r="BP67" s="1477"/>
      <c r="BQ67" s="1477"/>
      <c r="BR67" s="1477"/>
      <c r="BS67" s="1477"/>
      <c r="BT67" s="1477"/>
      <c r="BU67" s="1477"/>
      <c r="BV67" s="1477"/>
      <c r="BW67" s="1477"/>
      <c r="BX67" s="1477"/>
      <c r="BY67" s="1477"/>
      <c r="BZ67" s="1477"/>
      <c r="CA67" s="1477"/>
      <c r="CB67" s="1477"/>
      <c r="CC67" s="1477"/>
      <c r="CD67" s="1477"/>
      <c r="CE67" s="1477"/>
      <c r="CF67" s="1477"/>
      <c r="CG67" s="1477"/>
      <c r="CH67" s="1477"/>
      <c r="CI67" s="1477"/>
      <c r="CJ67" s="1477"/>
      <c r="CK67" s="1477"/>
      <c r="CL67" s="1477"/>
      <c r="CM67" s="1477"/>
      <c r="CN67" s="1477"/>
      <c r="CO67" s="1477"/>
      <c r="CP67" s="1477"/>
      <c r="CQ67" s="1477"/>
      <c r="CR67" s="1477"/>
      <c r="CS67" s="1477"/>
      <c r="CT67" s="1477"/>
      <c r="CU67" s="1477"/>
      <c r="CV67" s="1477"/>
      <c r="CW67" s="1477"/>
      <c r="CX67" s="1477"/>
      <c r="CY67" s="1477"/>
    </row>
    <row r="68" spans="1:103" s="15" customFormat="1" ht="15" customHeight="1">
      <c r="A68" s="1185">
        <v>59</v>
      </c>
      <c r="B68" s="1103"/>
      <c r="C68" s="1103"/>
      <c r="D68" s="1477"/>
      <c r="E68" s="1477"/>
      <c r="F68" s="1477"/>
      <c r="G68" s="1477"/>
      <c r="H68" s="1477"/>
      <c r="I68" s="1477"/>
      <c r="J68" s="1477"/>
      <c r="K68" s="1477"/>
      <c r="L68" s="1477"/>
      <c r="M68" s="1477"/>
      <c r="N68" s="1477"/>
      <c r="O68" s="1477"/>
      <c r="P68" s="1477"/>
      <c r="Q68" s="1477"/>
      <c r="R68" s="1477"/>
      <c r="S68" s="1477"/>
      <c r="T68" s="1477"/>
      <c r="U68" s="1477"/>
      <c r="V68" s="1477"/>
      <c r="W68" s="1477"/>
      <c r="X68" s="1477"/>
      <c r="Y68" s="1477"/>
      <c r="Z68" s="1477"/>
      <c r="AA68" s="1477"/>
      <c r="AB68" s="1477"/>
      <c r="AC68" s="1477"/>
      <c r="AD68" s="1477"/>
      <c r="AE68" s="1477"/>
      <c r="AF68" s="1477"/>
      <c r="AG68" s="1477"/>
      <c r="AH68" s="1477"/>
      <c r="AI68" s="1477"/>
      <c r="AJ68" s="1477"/>
      <c r="AK68" s="1477"/>
      <c r="AL68" s="1477"/>
      <c r="AM68" s="1477"/>
      <c r="AN68" s="1477"/>
      <c r="AO68" s="1477"/>
      <c r="AP68" s="1477"/>
      <c r="AQ68" s="1477"/>
      <c r="AR68" s="1477"/>
      <c r="AS68" s="1477"/>
      <c r="AT68" s="1477"/>
      <c r="AU68" s="1477"/>
      <c r="AV68" s="1477"/>
      <c r="AW68" s="1477"/>
      <c r="AX68" s="1477"/>
      <c r="AY68" s="1477"/>
      <c r="AZ68" s="1477"/>
      <c r="BA68" s="1477"/>
      <c r="BB68" s="1477"/>
      <c r="BC68" s="1477"/>
      <c r="BD68" s="1477"/>
      <c r="BE68" s="1477"/>
      <c r="BF68" s="1477"/>
      <c r="BG68" s="1477"/>
      <c r="BH68" s="1477">
        <v>1</v>
      </c>
      <c r="BI68" s="1477"/>
      <c r="BJ68" s="1477"/>
      <c r="BK68" s="1477"/>
      <c r="BL68" s="1477"/>
      <c r="BM68" s="1477"/>
      <c r="BN68" s="1477"/>
      <c r="BO68" s="1477"/>
      <c r="BP68" s="1477"/>
      <c r="BQ68" s="1477"/>
      <c r="BR68" s="1477"/>
      <c r="BS68" s="1477"/>
      <c r="BT68" s="1477"/>
      <c r="BU68" s="1477"/>
      <c r="BV68" s="1477"/>
      <c r="BW68" s="1477"/>
      <c r="BX68" s="1477"/>
      <c r="BY68" s="1477"/>
      <c r="BZ68" s="1477"/>
      <c r="CA68" s="1477"/>
      <c r="CB68" s="1477"/>
      <c r="CC68" s="1477"/>
      <c r="CD68" s="1477"/>
      <c r="CE68" s="1477"/>
      <c r="CF68" s="1477"/>
      <c r="CG68" s="1477"/>
      <c r="CH68" s="1477"/>
      <c r="CI68" s="1477"/>
      <c r="CJ68" s="1477"/>
      <c r="CK68" s="1477"/>
      <c r="CL68" s="1477"/>
      <c r="CM68" s="1477"/>
      <c r="CN68" s="1477"/>
      <c r="CO68" s="1477"/>
      <c r="CP68" s="1477"/>
      <c r="CQ68" s="1477"/>
      <c r="CR68" s="1477"/>
      <c r="CS68" s="1477"/>
      <c r="CT68" s="1477"/>
      <c r="CU68" s="1477"/>
      <c r="CV68" s="1477"/>
      <c r="CW68" s="1477"/>
      <c r="CX68" s="1477"/>
      <c r="CY68" s="1477"/>
    </row>
    <row r="69" spans="1:103" s="15" customFormat="1" ht="15" customHeight="1">
      <c r="A69" s="1185">
        <v>60</v>
      </c>
      <c r="B69" s="1103"/>
      <c r="C69" s="1103"/>
      <c r="D69" s="1477"/>
      <c r="E69" s="1477"/>
      <c r="F69" s="1477"/>
      <c r="G69" s="1477"/>
      <c r="H69" s="1477"/>
      <c r="I69" s="1477"/>
      <c r="J69" s="1477"/>
      <c r="K69" s="1477"/>
      <c r="L69" s="1477"/>
      <c r="M69" s="1477"/>
      <c r="N69" s="1477"/>
      <c r="O69" s="1477"/>
      <c r="P69" s="1477"/>
      <c r="Q69" s="1477"/>
      <c r="R69" s="1477"/>
      <c r="S69" s="1477"/>
      <c r="T69" s="1477"/>
      <c r="U69" s="1477"/>
      <c r="V69" s="1477"/>
      <c r="W69" s="1477"/>
      <c r="X69" s="1477"/>
      <c r="Y69" s="1477"/>
      <c r="Z69" s="1477"/>
      <c r="AA69" s="1477"/>
      <c r="AB69" s="1477"/>
      <c r="AC69" s="1477"/>
      <c r="AD69" s="1477"/>
      <c r="AE69" s="1477"/>
      <c r="AF69" s="1477"/>
      <c r="AG69" s="1477"/>
      <c r="AH69" s="1477"/>
      <c r="AI69" s="1477"/>
      <c r="AJ69" s="1477"/>
      <c r="AK69" s="1477"/>
      <c r="AL69" s="1477"/>
      <c r="AM69" s="1477"/>
      <c r="AN69" s="1477"/>
      <c r="AO69" s="1477"/>
      <c r="AP69" s="1477"/>
      <c r="AQ69" s="1477"/>
      <c r="AR69" s="1477"/>
      <c r="AS69" s="1477"/>
      <c r="AT69" s="1477"/>
      <c r="AU69" s="1477"/>
      <c r="AV69" s="1477"/>
      <c r="AW69" s="1477"/>
      <c r="AX69" s="1477"/>
      <c r="AY69" s="1477"/>
      <c r="AZ69" s="1477"/>
      <c r="BA69" s="1477"/>
      <c r="BB69" s="1477"/>
      <c r="BC69" s="1477"/>
      <c r="BD69" s="1477"/>
      <c r="BE69" s="1477"/>
      <c r="BF69" s="1477"/>
      <c r="BG69" s="1477"/>
      <c r="BH69" s="1477"/>
      <c r="BI69" s="1477">
        <v>1</v>
      </c>
      <c r="BJ69" s="1477"/>
      <c r="BK69" s="1477"/>
      <c r="BL69" s="1477"/>
      <c r="BM69" s="1477"/>
      <c r="BN69" s="1477"/>
      <c r="BO69" s="1477"/>
      <c r="BP69" s="1477"/>
      <c r="BQ69" s="1477"/>
      <c r="BR69" s="1477"/>
      <c r="BS69" s="1477"/>
      <c r="BT69" s="1477"/>
      <c r="BU69" s="1477"/>
      <c r="BV69" s="1477"/>
      <c r="BW69" s="1477"/>
      <c r="BX69" s="1477"/>
      <c r="BY69" s="1477"/>
      <c r="BZ69" s="1477"/>
      <c r="CA69" s="1477"/>
      <c r="CB69" s="1477"/>
      <c r="CC69" s="1477"/>
      <c r="CD69" s="1477"/>
      <c r="CE69" s="1477"/>
      <c r="CF69" s="1477"/>
      <c r="CG69" s="1477"/>
      <c r="CH69" s="1477"/>
      <c r="CI69" s="1477"/>
      <c r="CJ69" s="1477"/>
      <c r="CK69" s="1477"/>
      <c r="CL69" s="1477"/>
      <c r="CM69" s="1477"/>
      <c r="CN69" s="1477"/>
      <c r="CO69" s="1477"/>
      <c r="CP69" s="1477"/>
      <c r="CQ69" s="1477"/>
      <c r="CR69" s="1477"/>
      <c r="CS69" s="1477"/>
      <c r="CT69" s="1477"/>
      <c r="CU69" s="1477"/>
      <c r="CV69" s="1477"/>
      <c r="CW69" s="1477"/>
      <c r="CX69" s="1477"/>
      <c r="CY69" s="1477"/>
    </row>
    <row r="70" spans="1:103" s="15" customFormat="1" ht="15" customHeight="1">
      <c r="A70" s="1185">
        <v>61</v>
      </c>
      <c r="B70" s="1103"/>
      <c r="C70" s="1103"/>
      <c r="D70" s="1477"/>
      <c r="E70" s="1477"/>
      <c r="F70" s="1477"/>
      <c r="G70" s="1477"/>
      <c r="H70" s="1477"/>
      <c r="I70" s="1477"/>
      <c r="J70" s="1477"/>
      <c r="K70" s="1477"/>
      <c r="L70" s="1477"/>
      <c r="M70" s="1477"/>
      <c r="N70" s="1477"/>
      <c r="O70" s="1477"/>
      <c r="P70" s="1477"/>
      <c r="Q70" s="1477"/>
      <c r="R70" s="1477"/>
      <c r="S70" s="1477"/>
      <c r="T70" s="1477"/>
      <c r="U70" s="1477"/>
      <c r="V70" s="1477"/>
      <c r="W70" s="1477"/>
      <c r="X70" s="1477"/>
      <c r="Y70" s="1477"/>
      <c r="Z70" s="1477"/>
      <c r="AA70" s="1477"/>
      <c r="AB70" s="1477"/>
      <c r="AC70" s="1477"/>
      <c r="AD70" s="1477"/>
      <c r="AE70" s="1477"/>
      <c r="AF70" s="1477"/>
      <c r="AG70" s="1477"/>
      <c r="AH70" s="1477"/>
      <c r="AI70" s="1477"/>
      <c r="AJ70" s="1477"/>
      <c r="AK70" s="1477"/>
      <c r="AL70" s="1477"/>
      <c r="AM70" s="1477"/>
      <c r="AN70" s="1477"/>
      <c r="AO70" s="1477"/>
      <c r="AP70" s="1477"/>
      <c r="AQ70" s="1477"/>
      <c r="AR70" s="1477"/>
      <c r="AS70" s="1477"/>
      <c r="AT70" s="1477"/>
      <c r="AU70" s="1477"/>
      <c r="AV70" s="1477"/>
      <c r="AW70" s="1477"/>
      <c r="AX70" s="1477"/>
      <c r="AY70" s="1477"/>
      <c r="AZ70" s="1477"/>
      <c r="BA70" s="1477"/>
      <c r="BB70" s="1477"/>
      <c r="BC70" s="1477"/>
      <c r="BD70" s="1477"/>
      <c r="BE70" s="1477"/>
      <c r="BF70" s="1477"/>
      <c r="BG70" s="1477"/>
      <c r="BH70" s="1477"/>
      <c r="BI70" s="1477"/>
      <c r="BJ70" s="1477">
        <v>1</v>
      </c>
      <c r="BK70" s="1477"/>
      <c r="BL70" s="1477"/>
      <c r="BM70" s="1477"/>
      <c r="BN70" s="1477"/>
      <c r="BO70" s="1477"/>
      <c r="BP70" s="1477"/>
      <c r="BQ70" s="1477"/>
      <c r="BR70" s="1477"/>
      <c r="BS70" s="1477"/>
      <c r="BT70" s="1477"/>
      <c r="BU70" s="1477"/>
      <c r="BV70" s="1477"/>
      <c r="BW70" s="1477"/>
      <c r="BX70" s="1477"/>
      <c r="BY70" s="1477"/>
      <c r="BZ70" s="1477"/>
      <c r="CA70" s="1477"/>
      <c r="CB70" s="1477"/>
      <c r="CC70" s="1477"/>
      <c r="CD70" s="1477"/>
      <c r="CE70" s="1477"/>
      <c r="CF70" s="1477"/>
      <c r="CG70" s="1477"/>
      <c r="CH70" s="1477"/>
      <c r="CI70" s="1477"/>
      <c r="CJ70" s="1477"/>
      <c r="CK70" s="1477"/>
      <c r="CL70" s="1477"/>
      <c r="CM70" s="1477"/>
      <c r="CN70" s="1477"/>
      <c r="CO70" s="1477"/>
      <c r="CP70" s="1477"/>
      <c r="CQ70" s="1477"/>
      <c r="CR70" s="1477"/>
      <c r="CS70" s="1477"/>
      <c r="CT70" s="1477"/>
      <c r="CU70" s="1477"/>
      <c r="CV70" s="1477"/>
      <c r="CW70" s="1477"/>
      <c r="CX70" s="1477"/>
      <c r="CY70" s="1477"/>
    </row>
    <row r="71" spans="1:103" s="15" customFormat="1" ht="15" customHeight="1">
      <c r="A71" s="1185">
        <v>62</v>
      </c>
      <c r="B71" s="1103"/>
      <c r="C71" s="1103"/>
      <c r="D71" s="1477"/>
      <c r="E71" s="1477"/>
      <c r="F71" s="1477"/>
      <c r="G71" s="1477"/>
      <c r="H71" s="1477"/>
      <c r="I71" s="1477"/>
      <c r="J71" s="1477"/>
      <c r="K71" s="1477"/>
      <c r="L71" s="1477"/>
      <c r="M71" s="1477"/>
      <c r="N71" s="1477"/>
      <c r="O71" s="1477"/>
      <c r="P71" s="1477"/>
      <c r="Q71" s="1477"/>
      <c r="R71" s="1477"/>
      <c r="S71" s="1477"/>
      <c r="T71" s="1477"/>
      <c r="U71" s="1477"/>
      <c r="V71" s="1477"/>
      <c r="W71" s="1477"/>
      <c r="X71" s="1477"/>
      <c r="Y71" s="1477"/>
      <c r="Z71" s="1477"/>
      <c r="AA71" s="1477"/>
      <c r="AB71" s="1477"/>
      <c r="AC71" s="1477"/>
      <c r="AD71" s="1477"/>
      <c r="AE71" s="1477"/>
      <c r="AF71" s="1477"/>
      <c r="AG71" s="1477"/>
      <c r="AH71" s="1477"/>
      <c r="AI71" s="1477"/>
      <c r="AJ71" s="1477"/>
      <c r="AK71" s="1477"/>
      <c r="AL71" s="1477"/>
      <c r="AM71" s="1477"/>
      <c r="AN71" s="1477"/>
      <c r="AO71" s="1477"/>
      <c r="AP71" s="1477"/>
      <c r="AQ71" s="1477"/>
      <c r="AR71" s="1477"/>
      <c r="AS71" s="1477"/>
      <c r="AT71" s="1477"/>
      <c r="AU71" s="1477"/>
      <c r="AV71" s="1477"/>
      <c r="AW71" s="1477"/>
      <c r="AX71" s="1477"/>
      <c r="AY71" s="1477"/>
      <c r="AZ71" s="1477"/>
      <c r="BA71" s="1477"/>
      <c r="BB71" s="1477"/>
      <c r="BC71" s="1477"/>
      <c r="BD71" s="1477"/>
      <c r="BE71" s="1477"/>
      <c r="BF71" s="1477"/>
      <c r="BG71" s="1477"/>
      <c r="BH71" s="1477"/>
      <c r="BI71" s="1477"/>
      <c r="BJ71" s="1477"/>
      <c r="BK71" s="1477">
        <v>1</v>
      </c>
      <c r="BL71" s="1477"/>
      <c r="BM71" s="1477"/>
      <c r="BN71" s="1477"/>
      <c r="BO71" s="1477"/>
      <c r="BP71" s="1477"/>
      <c r="BQ71" s="1477"/>
      <c r="BR71" s="1477"/>
      <c r="BS71" s="1477"/>
      <c r="BT71" s="1477"/>
      <c r="BU71" s="1477"/>
      <c r="BV71" s="1477"/>
      <c r="BW71" s="1477"/>
      <c r="BX71" s="1477"/>
      <c r="BY71" s="1477"/>
      <c r="BZ71" s="1477"/>
      <c r="CA71" s="1477"/>
      <c r="CB71" s="1477"/>
      <c r="CC71" s="1477"/>
      <c r="CD71" s="1477"/>
      <c r="CE71" s="1477"/>
      <c r="CF71" s="1477"/>
      <c r="CG71" s="1477"/>
      <c r="CH71" s="1477"/>
      <c r="CI71" s="1477"/>
      <c r="CJ71" s="1477"/>
      <c r="CK71" s="1477"/>
      <c r="CL71" s="1477"/>
      <c r="CM71" s="1477"/>
      <c r="CN71" s="1477"/>
      <c r="CO71" s="1477"/>
      <c r="CP71" s="1477"/>
      <c r="CQ71" s="1477"/>
      <c r="CR71" s="1477"/>
      <c r="CS71" s="1477"/>
      <c r="CT71" s="1477"/>
      <c r="CU71" s="1477"/>
      <c r="CV71" s="1477"/>
      <c r="CW71" s="1477"/>
      <c r="CX71" s="1477"/>
      <c r="CY71" s="1477"/>
    </row>
    <row r="72" spans="1:103" s="15" customFormat="1" ht="15" customHeight="1">
      <c r="A72" s="1185">
        <v>63</v>
      </c>
      <c r="B72" s="1103"/>
      <c r="C72" s="1103"/>
      <c r="D72" s="1477"/>
      <c r="E72" s="1477"/>
      <c r="F72" s="1477"/>
      <c r="G72" s="1477"/>
      <c r="H72" s="1477"/>
      <c r="I72" s="1477"/>
      <c r="J72" s="1477"/>
      <c r="K72" s="1477"/>
      <c r="L72" s="1477"/>
      <c r="M72" s="1477"/>
      <c r="N72" s="1477"/>
      <c r="O72" s="1477"/>
      <c r="P72" s="1477"/>
      <c r="Q72" s="1477"/>
      <c r="R72" s="1477"/>
      <c r="S72" s="1477"/>
      <c r="T72" s="1477"/>
      <c r="U72" s="1477"/>
      <c r="V72" s="1477"/>
      <c r="W72" s="1477"/>
      <c r="X72" s="1477"/>
      <c r="Y72" s="1477"/>
      <c r="Z72" s="1477"/>
      <c r="AA72" s="1477"/>
      <c r="AB72" s="1477"/>
      <c r="AC72" s="1477"/>
      <c r="AD72" s="1477"/>
      <c r="AE72" s="1477"/>
      <c r="AF72" s="1477"/>
      <c r="AG72" s="1477"/>
      <c r="AH72" s="1477"/>
      <c r="AI72" s="1477"/>
      <c r="AJ72" s="1477"/>
      <c r="AK72" s="1477"/>
      <c r="AL72" s="1477"/>
      <c r="AM72" s="1477"/>
      <c r="AN72" s="1477"/>
      <c r="AO72" s="1477"/>
      <c r="AP72" s="1477"/>
      <c r="AQ72" s="1477"/>
      <c r="AR72" s="1477"/>
      <c r="AS72" s="1477"/>
      <c r="AT72" s="1477"/>
      <c r="AU72" s="1477"/>
      <c r="AV72" s="1477"/>
      <c r="AW72" s="1477"/>
      <c r="AX72" s="1477"/>
      <c r="AY72" s="1477"/>
      <c r="AZ72" s="1477"/>
      <c r="BA72" s="1477"/>
      <c r="BB72" s="1477"/>
      <c r="BC72" s="1477"/>
      <c r="BD72" s="1477"/>
      <c r="BE72" s="1477"/>
      <c r="BF72" s="1477"/>
      <c r="BG72" s="1477"/>
      <c r="BH72" s="1477"/>
      <c r="BI72" s="1477"/>
      <c r="BJ72" s="1477"/>
      <c r="BK72" s="1477"/>
      <c r="BL72" s="1477">
        <v>1</v>
      </c>
      <c r="BM72" s="1477"/>
      <c r="BN72" s="1477"/>
      <c r="BO72" s="1477"/>
      <c r="BP72" s="1477"/>
      <c r="BQ72" s="1477"/>
      <c r="BR72" s="1477"/>
      <c r="BS72" s="1477"/>
      <c r="BT72" s="1477"/>
      <c r="BU72" s="1477"/>
      <c r="BV72" s="1477"/>
      <c r="BW72" s="1477"/>
      <c r="BX72" s="1477"/>
      <c r="BY72" s="1477"/>
      <c r="BZ72" s="1477"/>
      <c r="CA72" s="1477"/>
      <c r="CB72" s="1477"/>
      <c r="CC72" s="1477"/>
      <c r="CD72" s="1477"/>
      <c r="CE72" s="1477"/>
      <c r="CF72" s="1477"/>
      <c r="CG72" s="1477"/>
      <c r="CH72" s="1477"/>
      <c r="CI72" s="1477"/>
      <c r="CJ72" s="1477"/>
      <c r="CK72" s="1477"/>
      <c r="CL72" s="1477"/>
      <c r="CM72" s="1477"/>
      <c r="CN72" s="1477"/>
      <c r="CO72" s="1477"/>
      <c r="CP72" s="1477"/>
      <c r="CQ72" s="1477"/>
      <c r="CR72" s="1477"/>
      <c r="CS72" s="1477"/>
      <c r="CT72" s="1477"/>
      <c r="CU72" s="1477"/>
      <c r="CV72" s="1477"/>
      <c r="CW72" s="1477"/>
      <c r="CX72" s="1477"/>
      <c r="CY72" s="1477"/>
    </row>
    <row r="73" spans="1:103" s="15" customFormat="1" ht="15" customHeight="1">
      <c r="A73" s="1185">
        <v>64</v>
      </c>
      <c r="B73" s="1103"/>
      <c r="C73" s="1103"/>
      <c r="D73" s="1477"/>
      <c r="E73" s="1477"/>
      <c r="F73" s="1477"/>
      <c r="G73" s="1477"/>
      <c r="H73" s="1477"/>
      <c r="I73" s="1477"/>
      <c r="J73" s="1477"/>
      <c r="K73" s="1477"/>
      <c r="L73" s="1477"/>
      <c r="M73" s="1477"/>
      <c r="N73" s="1477"/>
      <c r="O73" s="1477"/>
      <c r="P73" s="1477"/>
      <c r="Q73" s="1477"/>
      <c r="R73" s="1477"/>
      <c r="S73" s="1477"/>
      <c r="T73" s="1477"/>
      <c r="U73" s="1477"/>
      <c r="V73" s="1477"/>
      <c r="W73" s="1477"/>
      <c r="X73" s="1477"/>
      <c r="Y73" s="1477"/>
      <c r="Z73" s="1477"/>
      <c r="AA73" s="1477"/>
      <c r="AB73" s="1477"/>
      <c r="AC73" s="1477"/>
      <c r="AD73" s="1477"/>
      <c r="AE73" s="1477"/>
      <c r="AF73" s="1477"/>
      <c r="AG73" s="1477"/>
      <c r="AH73" s="1477"/>
      <c r="AI73" s="1477"/>
      <c r="AJ73" s="1477"/>
      <c r="AK73" s="1477"/>
      <c r="AL73" s="1477"/>
      <c r="AM73" s="1477"/>
      <c r="AN73" s="1477"/>
      <c r="AO73" s="1477"/>
      <c r="AP73" s="1477"/>
      <c r="AQ73" s="1477"/>
      <c r="AR73" s="1477"/>
      <c r="AS73" s="1477"/>
      <c r="AT73" s="1477"/>
      <c r="AU73" s="1477"/>
      <c r="AV73" s="1477"/>
      <c r="AW73" s="1477"/>
      <c r="AX73" s="1477"/>
      <c r="AY73" s="1477"/>
      <c r="AZ73" s="1477"/>
      <c r="BA73" s="1477"/>
      <c r="BB73" s="1477"/>
      <c r="BC73" s="1477"/>
      <c r="BD73" s="1477"/>
      <c r="BE73" s="1477"/>
      <c r="BF73" s="1477"/>
      <c r="BG73" s="1477"/>
      <c r="BH73" s="1477"/>
      <c r="BI73" s="1477"/>
      <c r="BJ73" s="1477"/>
      <c r="BK73" s="1477"/>
      <c r="BL73" s="1477"/>
      <c r="BM73" s="1477">
        <v>1</v>
      </c>
      <c r="BN73" s="1477"/>
      <c r="BO73" s="1477"/>
      <c r="BP73" s="1477"/>
      <c r="BQ73" s="1477"/>
      <c r="BR73" s="1477"/>
      <c r="BS73" s="1477"/>
      <c r="BT73" s="1477"/>
      <c r="BU73" s="1477"/>
      <c r="BV73" s="1477"/>
      <c r="BW73" s="1477"/>
      <c r="BX73" s="1477"/>
      <c r="BY73" s="1477"/>
      <c r="BZ73" s="1477"/>
      <c r="CA73" s="1477"/>
      <c r="CB73" s="1477"/>
      <c r="CC73" s="1477"/>
      <c r="CD73" s="1477"/>
      <c r="CE73" s="1477"/>
      <c r="CF73" s="1477"/>
      <c r="CG73" s="1477"/>
      <c r="CH73" s="1477"/>
      <c r="CI73" s="1477"/>
      <c r="CJ73" s="1477"/>
      <c r="CK73" s="1477"/>
      <c r="CL73" s="1477"/>
      <c r="CM73" s="1477"/>
      <c r="CN73" s="1477"/>
      <c r="CO73" s="1477"/>
      <c r="CP73" s="1477"/>
      <c r="CQ73" s="1477"/>
      <c r="CR73" s="1477"/>
      <c r="CS73" s="1477"/>
      <c r="CT73" s="1477"/>
      <c r="CU73" s="1477"/>
      <c r="CV73" s="1477"/>
      <c r="CW73" s="1477"/>
      <c r="CX73" s="1477"/>
      <c r="CY73" s="1477"/>
    </row>
    <row r="74" spans="1:103" s="15" customFormat="1" ht="15" customHeight="1">
      <c r="A74" s="1185">
        <v>65</v>
      </c>
      <c r="B74" s="1103"/>
      <c r="C74" s="1103"/>
      <c r="D74" s="1477"/>
      <c r="E74" s="1477"/>
      <c r="F74" s="1477"/>
      <c r="G74" s="1477"/>
      <c r="H74" s="1477"/>
      <c r="I74" s="1477"/>
      <c r="J74" s="1477"/>
      <c r="K74" s="1477"/>
      <c r="L74" s="1477"/>
      <c r="M74" s="1477"/>
      <c r="N74" s="1477"/>
      <c r="O74" s="1477"/>
      <c r="P74" s="1477"/>
      <c r="Q74" s="1477"/>
      <c r="R74" s="1477"/>
      <c r="S74" s="1477"/>
      <c r="T74" s="1477"/>
      <c r="U74" s="1477"/>
      <c r="V74" s="1477"/>
      <c r="W74" s="1477"/>
      <c r="X74" s="1477"/>
      <c r="Y74" s="1477"/>
      <c r="Z74" s="1477"/>
      <c r="AA74" s="1477"/>
      <c r="AB74" s="1477"/>
      <c r="AC74" s="1477"/>
      <c r="AD74" s="1477"/>
      <c r="AE74" s="1477"/>
      <c r="AF74" s="1477"/>
      <c r="AG74" s="1477"/>
      <c r="AH74" s="1477"/>
      <c r="AI74" s="1477"/>
      <c r="AJ74" s="1477"/>
      <c r="AK74" s="1477"/>
      <c r="AL74" s="1477"/>
      <c r="AM74" s="1477"/>
      <c r="AN74" s="1477"/>
      <c r="AO74" s="1477"/>
      <c r="AP74" s="1477"/>
      <c r="AQ74" s="1477"/>
      <c r="AR74" s="1477"/>
      <c r="AS74" s="1477"/>
      <c r="AT74" s="1477"/>
      <c r="AU74" s="1477"/>
      <c r="AV74" s="1477"/>
      <c r="AW74" s="1477"/>
      <c r="AX74" s="1477"/>
      <c r="AY74" s="1477"/>
      <c r="AZ74" s="1477"/>
      <c r="BA74" s="1477"/>
      <c r="BB74" s="1477"/>
      <c r="BC74" s="1477"/>
      <c r="BD74" s="1477"/>
      <c r="BE74" s="1477"/>
      <c r="BF74" s="1477"/>
      <c r="BG74" s="1477"/>
      <c r="BH74" s="1477"/>
      <c r="BI74" s="1477"/>
      <c r="BJ74" s="1477"/>
      <c r="BK74" s="1477"/>
      <c r="BL74" s="1477"/>
      <c r="BM74" s="1477"/>
      <c r="BN74" s="1477">
        <v>1</v>
      </c>
      <c r="BO74" s="1477"/>
      <c r="BP74" s="1477"/>
      <c r="BQ74" s="1477"/>
      <c r="BR74" s="1477"/>
      <c r="BS74" s="1477"/>
      <c r="BT74" s="1477"/>
      <c r="BU74" s="1477"/>
      <c r="BV74" s="1477"/>
      <c r="BW74" s="1477"/>
      <c r="BX74" s="1477"/>
      <c r="BY74" s="1477"/>
      <c r="BZ74" s="1477"/>
      <c r="CA74" s="1477"/>
      <c r="CB74" s="1477"/>
      <c r="CC74" s="1477"/>
      <c r="CD74" s="1477"/>
      <c r="CE74" s="1477"/>
      <c r="CF74" s="1477"/>
      <c r="CG74" s="1477"/>
      <c r="CH74" s="1477"/>
      <c r="CI74" s="1477"/>
      <c r="CJ74" s="1477"/>
      <c r="CK74" s="1477"/>
      <c r="CL74" s="1477"/>
      <c r="CM74" s="1477"/>
      <c r="CN74" s="1477"/>
      <c r="CO74" s="1477"/>
      <c r="CP74" s="1477"/>
      <c r="CQ74" s="1477"/>
      <c r="CR74" s="1477"/>
      <c r="CS74" s="1477"/>
      <c r="CT74" s="1477"/>
      <c r="CU74" s="1477"/>
      <c r="CV74" s="1477"/>
      <c r="CW74" s="1477"/>
      <c r="CX74" s="1477"/>
      <c r="CY74" s="1477"/>
    </row>
    <row r="75" spans="1:103" s="15" customFormat="1" ht="15" customHeight="1">
      <c r="A75" s="1185">
        <v>66</v>
      </c>
      <c r="B75" s="1103"/>
      <c r="C75" s="1103"/>
      <c r="D75" s="1477"/>
      <c r="E75" s="1477"/>
      <c r="F75" s="1477"/>
      <c r="G75" s="1477"/>
      <c r="H75" s="1477"/>
      <c r="I75" s="1477"/>
      <c r="J75" s="1477"/>
      <c r="K75" s="1477"/>
      <c r="L75" s="1477"/>
      <c r="M75" s="1477"/>
      <c r="N75" s="1477"/>
      <c r="O75" s="1477"/>
      <c r="P75" s="1477"/>
      <c r="Q75" s="1477"/>
      <c r="R75" s="1477"/>
      <c r="S75" s="1477"/>
      <c r="T75" s="1477"/>
      <c r="U75" s="1477"/>
      <c r="V75" s="1477"/>
      <c r="W75" s="1477"/>
      <c r="X75" s="1477"/>
      <c r="Y75" s="1477"/>
      <c r="Z75" s="1477"/>
      <c r="AA75" s="1477"/>
      <c r="AB75" s="1477"/>
      <c r="AC75" s="1477"/>
      <c r="AD75" s="1477"/>
      <c r="AE75" s="1477"/>
      <c r="AF75" s="1477"/>
      <c r="AG75" s="1477"/>
      <c r="AH75" s="1477"/>
      <c r="AI75" s="1477"/>
      <c r="AJ75" s="1477"/>
      <c r="AK75" s="1477"/>
      <c r="AL75" s="1477"/>
      <c r="AM75" s="1477"/>
      <c r="AN75" s="1477"/>
      <c r="AO75" s="1477"/>
      <c r="AP75" s="1477"/>
      <c r="AQ75" s="1477"/>
      <c r="AR75" s="1477"/>
      <c r="AS75" s="1477"/>
      <c r="AT75" s="1477"/>
      <c r="AU75" s="1477"/>
      <c r="AV75" s="1477"/>
      <c r="AW75" s="1477"/>
      <c r="AX75" s="1477"/>
      <c r="AY75" s="1477"/>
      <c r="AZ75" s="1477"/>
      <c r="BA75" s="1477"/>
      <c r="BB75" s="1477"/>
      <c r="BC75" s="1477"/>
      <c r="BD75" s="1477"/>
      <c r="BE75" s="1477"/>
      <c r="BF75" s="1477"/>
      <c r="BG75" s="1477"/>
      <c r="BH75" s="1477"/>
      <c r="BI75" s="1477"/>
      <c r="BJ75" s="1477"/>
      <c r="BK75" s="1477"/>
      <c r="BL75" s="1477"/>
      <c r="BM75" s="1477"/>
      <c r="BN75" s="1477"/>
      <c r="BO75" s="1477">
        <v>1</v>
      </c>
      <c r="BP75" s="1477"/>
      <c r="BQ75" s="1477"/>
      <c r="BR75" s="1477"/>
      <c r="BS75" s="1477"/>
      <c r="BT75" s="1477"/>
      <c r="BU75" s="1477"/>
      <c r="BV75" s="1477"/>
      <c r="BW75" s="1477"/>
      <c r="BX75" s="1477"/>
      <c r="BY75" s="1477"/>
      <c r="BZ75" s="1477"/>
      <c r="CA75" s="1477"/>
      <c r="CB75" s="1477"/>
      <c r="CC75" s="1477"/>
      <c r="CD75" s="1477"/>
      <c r="CE75" s="1477"/>
      <c r="CF75" s="1477"/>
      <c r="CG75" s="1477"/>
      <c r="CH75" s="1477"/>
      <c r="CI75" s="1477"/>
      <c r="CJ75" s="1477"/>
      <c r="CK75" s="1477"/>
      <c r="CL75" s="1477"/>
      <c r="CM75" s="1477"/>
      <c r="CN75" s="1477"/>
      <c r="CO75" s="1477"/>
      <c r="CP75" s="1477"/>
      <c r="CQ75" s="1477"/>
      <c r="CR75" s="1477"/>
      <c r="CS75" s="1477"/>
      <c r="CT75" s="1477"/>
      <c r="CU75" s="1477"/>
      <c r="CV75" s="1477"/>
      <c r="CW75" s="1477"/>
      <c r="CX75" s="1477"/>
      <c r="CY75" s="1477"/>
    </row>
    <row r="76" spans="1:103" s="15" customFormat="1" ht="15" customHeight="1">
      <c r="A76" s="1185">
        <v>67</v>
      </c>
      <c r="B76" s="1103"/>
      <c r="C76" s="1103"/>
      <c r="D76" s="1477"/>
      <c r="E76" s="1477"/>
      <c r="F76" s="1477"/>
      <c r="G76" s="1477"/>
      <c r="H76" s="1477"/>
      <c r="I76" s="1477"/>
      <c r="J76" s="1477"/>
      <c r="K76" s="1477"/>
      <c r="L76" s="1477"/>
      <c r="M76" s="1477"/>
      <c r="N76" s="1477"/>
      <c r="O76" s="1477"/>
      <c r="P76" s="1477"/>
      <c r="Q76" s="1477"/>
      <c r="R76" s="1477"/>
      <c r="S76" s="1477"/>
      <c r="T76" s="1477"/>
      <c r="U76" s="1477"/>
      <c r="V76" s="1477"/>
      <c r="W76" s="1477"/>
      <c r="X76" s="1477"/>
      <c r="Y76" s="1477"/>
      <c r="Z76" s="1477"/>
      <c r="AA76" s="1477"/>
      <c r="AB76" s="1477"/>
      <c r="AC76" s="1477"/>
      <c r="AD76" s="1477"/>
      <c r="AE76" s="1477"/>
      <c r="AF76" s="1477"/>
      <c r="AG76" s="1477"/>
      <c r="AH76" s="1477"/>
      <c r="AI76" s="1477"/>
      <c r="AJ76" s="1477"/>
      <c r="AK76" s="1477"/>
      <c r="AL76" s="1477"/>
      <c r="AM76" s="1477"/>
      <c r="AN76" s="1477"/>
      <c r="AO76" s="1477"/>
      <c r="AP76" s="1477"/>
      <c r="AQ76" s="1477"/>
      <c r="AR76" s="1477"/>
      <c r="AS76" s="1477"/>
      <c r="AT76" s="1477"/>
      <c r="AU76" s="1477"/>
      <c r="AV76" s="1477"/>
      <c r="AW76" s="1477"/>
      <c r="AX76" s="1477"/>
      <c r="AY76" s="1477"/>
      <c r="AZ76" s="1477"/>
      <c r="BA76" s="1477"/>
      <c r="BB76" s="1477"/>
      <c r="BC76" s="1477"/>
      <c r="BD76" s="1477"/>
      <c r="BE76" s="1477"/>
      <c r="BF76" s="1477"/>
      <c r="BG76" s="1477"/>
      <c r="BH76" s="1477"/>
      <c r="BI76" s="1477"/>
      <c r="BJ76" s="1477"/>
      <c r="BK76" s="1477"/>
      <c r="BL76" s="1477"/>
      <c r="BM76" s="1477"/>
      <c r="BN76" s="1477"/>
      <c r="BO76" s="1477"/>
      <c r="BP76" s="1477">
        <v>1</v>
      </c>
      <c r="BQ76" s="1477"/>
      <c r="BR76" s="1477"/>
      <c r="BS76" s="1477"/>
      <c r="BT76" s="1477"/>
      <c r="BU76" s="1477"/>
      <c r="BV76" s="1477"/>
      <c r="BW76" s="1477"/>
      <c r="BX76" s="1477"/>
      <c r="BY76" s="1477"/>
      <c r="BZ76" s="1477"/>
      <c r="CA76" s="1477"/>
      <c r="CB76" s="1477"/>
      <c r="CC76" s="1477"/>
      <c r="CD76" s="1477"/>
      <c r="CE76" s="1477"/>
      <c r="CF76" s="1477"/>
      <c r="CG76" s="1477"/>
      <c r="CH76" s="1477"/>
      <c r="CI76" s="1477"/>
      <c r="CJ76" s="1477"/>
      <c r="CK76" s="1477"/>
      <c r="CL76" s="1477"/>
      <c r="CM76" s="1477"/>
      <c r="CN76" s="1477"/>
      <c r="CO76" s="1477"/>
      <c r="CP76" s="1477"/>
      <c r="CQ76" s="1477"/>
      <c r="CR76" s="1477"/>
      <c r="CS76" s="1477"/>
      <c r="CT76" s="1477"/>
      <c r="CU76" s="1477"/>
      <c r="CV76" s="1477"/>
      <c r="CW76" s="1477"/>
      <c r="CX76" s="1477"/>
      <c r="CY76" s="1477"/>
    </row>
    <row r="77" spans="1:103" s="15" customFormat="1" ht="15" customHeight="1">
      <c r="A77" s="1185">
        <v>68</v>
      </c>
      <c r="B77" s="1103"/>
      <c r="C77" s="1103"/>
      <c r="D77" s="1477"/>
      <c r="E77" s="1477"/>
      <c r="F77" s="1477"/>
      <c r="G77" s="1477"/>
      <c r="H77" s="1477"/>
      <c r="I77" s="1477"/>
      <c r="J77" s="1477"/>
      <c r="K77" s="1477"/>
      <c r="L77" s="1477"/>
      <c r="M77" s="1477"/>
      <c r="N77" s="1477"/>
      <c r="O77" s="1477"/>
      <c r="P77" s="1477"/>
      <c r="Q77" s="1477"/>
      <c r="R77" s="1477"/>
      <c r="S77" s="1477"/>
      <c r="T77" s="1477"/>
      <c r="U77" s="1477"/>
      <c r="V77" s="1477"/>
      <c r="W77" s="1477"/>
      <c r="X77" s="1477"/>
      <c r="Y77" s="1477"/>
      <c r="Z77" s="1477"/>
      <c r="AA77" s="1477"/>
      <c r="AB77" s="1477"/>
      <c r="AC77" s="1477"/>
      <c r="AD77" s="1477"/>
      <c r="AE77" s="1477"/>
      <c r="AF77" s="1477"/>
      <c r="AG77" s="1477"/>
      <c r="AH77" s="1477"/>
      <c r="AI77" s="1477"/>
      <c r="AJ77" s="1477"/>
      <c r="AK77" s="1477"/>
      <c r="AL77" s="1477"/>
      <c r="AM77" s="1477"/>
      <c r="AN77" s="1477"/>
      <c r="AO77" s="1477"/>
      <c r="AP77" s="1477"/>
      <c r="AQ77" s="1477"/>
      <c r="AR77" s="1477"/>
      <c r="AS77" s="1477"/>
      <c r="AT77" s="1477"/>
      <c r="AU77" s="1477"/>
      <c r="AV77" s="1477"/>
      <c r="AW77" s="1477"/>
      <c r="AX77" s="1477"/>
      <c r="AY77" s="1477"/>
      <c r="AZ77" s="1477"/>
      <c r="BA77" s="1477"/>
      <c r="BB77" s="1477"/>
      <c r="BC77" s="1477"/>
      <c r="BD77" s="1477"/>
      <c r="BE77" s="1477"/>
      <c r="BF77" s="1477"/>
      <c r="BG77" s="1477"/>
      <c r="BH77" s="1477"/>
      <c r="BI77" s="1477"/>
      <c r="BJ77" s="1477"/>
      <c r="BK77" s="1477"/>
      <c r="BL77" s="1477"/>
      <c r="BM77" s="1477"/>
      <c r="BN77" s="1477"/>
      <c r="BO77" s="1477"/>
      <c r="BP77" s="1477"/>
      <c r="BQ77" s="1477">
        <v>1</v>
      </c>
      <c r="BR77" s="1477"/>
      <c r="BS77" s="1477"/>
      <c r="BT77" s="1477"/>
      <c r="BU77" s="1477"/>
      <c r="BV77" s="1477"/>
      <c r="BW77" s="1477"/>
      <c r="BX77" s="1477"/>
      <c r="BY77" s="1477"/>
      <c r="BZ77" s="1477"/>
      <c r="CA77" s="1477"/>
      <c r="CB77" s="1477"/>
      <c r="CC77" s="1477"/>
      <c r="CD77" s="1477"/>
      <c r="CE77" s="1477"/>
      <c r="CF77" s="1477"/>
      <c r="CG77" s="1477"/>
      <c r="CH77" s="1477"/>
      <c r="CI77" s="1477"/>
      <c r="CJ77" s="1477"/>
      <c r="CK77" s="1477"/>
      <c r="CL77" s="1477"/>
      <c r="CM77" s="1477"/>
      <c r="CN77" s="1477"/>
      <c r="CO77" s="1477"/>
      <c r="CP77" s="1477"/>
      <c r="CQ77" s="1477"/>
      <c r="CR77" s="1477"/>
      <c r="CS77" s="1477"/>
      <c r="CT77" s="1477"/>
      <c r="CU77" s="1477"/>
      <c r="CV77" s="1477"/>
      <c r="CW77" s="1477"/>
      <c r="CX77" s="1477"/>
      <c r="CY77" s="1477"/>
    </row>
    <row r="78" spans="1:103" s="15" customFormat="1" ht="15" customHeight="1">
      <c r="A78" s="1185">
        <v>69</v>
      </c>
      <c r="B78" s="1103"/>
      <c r="C78" s="1103"/>
      <c r="D78" s="1477"/>
      <c r="E78" s="1477"/>
      <c r="F78" s="1477"/>
      <c r="G78" s="1477"/>
      <c r="H78" s="1477"/>
      <c r="I78" s="1477"/>
      <c r="J78" s="1477"/>
      <c r="K78" s="1477"/>
      <c r="L78" s="1477"/>
      <c r="M78" s="1477"/>
      <c r="N78" s="1477"/>
      <c r="O78" s="1477"/>
      <c r="P78" s="1477"/>
      <c r="Q78" s="1477"/>
      <c r="R78" s="1477"/>
      <c r="S78" s="1477"/>
      <c r="T78" s="1477"/>
      <c r="U78" s="1477"/>
      <c r="V78" s="1477"/>
      <c r="W78" s="1477"/>
      <c r="X78" s="1477"/>
      <c r="Y78" s="1477"/>
      <c r="Z78" s="1477"/>
      <c r="AA78" s="1477"/>
      <c r="AB78" s="1477"/>
      <c r="AC78" s="1477"/>
      <c r="AD78" s="1477"/>
      <c r="AE78" s="1477"/>
      <c r="AF78" s="1477"/>
      <c r="AG78" s="1477"/>
      <c r="AH78" s="1477"/>
      <c r="AI78" s="1477"/>
      <c r="AJ78" s="1477"/>
      <c r="AK78" s="1477"/>
      <c r="AL78" s="1477"/>
      <c r="AM78" s="1477"/>
      <c r="AN78" s="1477"/>
      <c r="AO78" s="1477"/>
      <c r="AP78" s="1477"/>
      <c r="AQ78" s="1477"/>
      <c r="AR78" s="1477"/>
      <c r="AS78" s="1477"/>
      <c r="AT78" s="1477"/>
      <c r="AU78" s="1477"/>
      <c r="AV78" s="1477"/>
      <c r="AW78" s="1477"/>
      <c r="AX78" s="1477"/>
      <c r="AY78" s="1477"/>
      <c r="AZ78" s="1477"/>
      <c r="BA78" s="1477"/>
      <c r="BB78" s="1477"/>
      <c r="BC78" s="1477"/>
      <c r="BD78" s="1477"/>
      <c r="BE78" s="1477"/>
      <c r="BF78" s="1477"/>
      <c r="BG78" s="1477"/>
      <c r="BH78" s="1477"/>
      <c r="BI78" s="1477"/>
      <c r="BJ78" s="1477"/>
      <c r="BK78" s="1477"/>
      <c r="BL78" s="1477"/>
      <c r="BM78" s="1477"/>
      <c r="BN78" s="1477"/>
      <c r="BO78" s="1477"/>
      <c r="BP78" s="1477"/>
      <c r="BQ78" s="1477"/>
      <c r="BR78" s="1477">
        <v>1</v>
      </c>
      <c r="BS78" s="1477"/>
      <c r="BT78" s="1477"/>
      <c r="BU78" s="1477"/>
      <c r="BV78" s="1477"/>
      <c r="BW78" s="1477"/>
      <c r="BX78" s="1477"/>
      <c r="BY78" s="1477"/>
      <c r="BZ78" s="1477"/>
      <c r="CA78" s="1477"/>
      <c r="CB78" s="1477"/>
      <c r="CC78" s="1477"/>
      <c r="CD78" s="1477"/>
      <c r="CE78" s="1477"/>
      <c r="CF78" s="1477"/>
      <c r="CG78" s="1477"/>
      <c r="CH78" s="1477"/>
      <c r="CI78" s="1477"/>
      <c r="CJ78" s="1477"/>
      <c r="CK78" s="1477"/>
      <c r="CL78" s="1477"/>
      <c r="CM78" s="1477"/>
      <c r="CN78" s="1477"/>
      <c r="CO78" s="1477"/>
      <c r="CP78" s="1477"/>
      <c r="CQ78" s="1477"/>
      <c r="CR78" s="1477"/>
      <c r="CS78" s="1477"/>
      <c r="CT78" s="1477"/>
      <c r="CU78" s="1477"/>
      <c r="CV78" s="1477"/>
      <c r="CW78" s="1477"/>
      <c r="CX78" s="1477"/>
      <c r="CY78" s="1477"/>
    </row>
    <row r="79" spans="1:103" s="15" customFormat="1" ht="15" customHeight="1">
      <c r="A79" s="1185">
        <v>70</v>
      </c>
      <c r="B79" s="1103"/>
      <c r="C79" s="1103"/>
      <c r="D79" s="1477"/>
      <c r="E79" s="1477"/>
      <c r="F79" s="1477"/>
      <c r="G79" s="1477"/>
      <c r="H79" s="1477"/>
      <c r="I79" s="1477"/>
      <c r="J79" s="1477"/>
      <c r="K79" s="1477"/>
      <c r="L79" s="1477"/>
      <c r="M79" s="1477"/>
      <c r="N79" s="1477"/>
      <c r="O79" s="1477"/>
      <c r="P79" s="1477"/>
      <c r="Q79" s="1477"/>
      <c r="R79" s="1477"/>
      <c r="S79" s="1477"/>
      <c r="T79" s="1477"/>
      <c r="U79" s="1477"/>
      <c r="V79" s="1477"/>
      <c r="W79" s="1477"/>
      <c r="X79" s="1477"/>
      <c r="Y79" s="1477"/>
      <c r="Z79" s="1477"/>
      <c r="AA79" s="1477"/>
      <c r="AB79" s="1477"/>
      <c r="AC79" s="1477"/>
      <c r="AD79" s="1477"/>
      <c r="AE79" s="1477"/>
      <c r="AF79" s="1477"/>
      <c r="AG79" s="1477"/>
      <c r="AH79" s="1477"/>
      <c r="AI79" s="1477"/>
      <c r="AJ79" s="1477"/>
      <c r="AK79" s="1477"/>
      <c r="AL79" s="1477"/>
      <c r="AM79" s="1477"/>
      <c r="AN79" s="1477"/>
      <c r="AO79" s="1477"/>
      <c r="AP79" s="1477"/>
      <c r="AQ79" s="1477"/>
      <c r="AR79" s="1477"/>
      <c r="AS79" s="1477"/>
      <c r="AT79" s="1477"/>
      <c r="AU79" s="1477"/>
      <c r="AV79" s="1477"/>
      <c r="AW79" s="1477"/>
      <c r="AX79" s="1477"/>
      <c r="AY79" s="1477"/>
      <c r="AZ79" s="1477"/>
      <c r="BA79" s="1477"/>
      <c r="BB79" s="1477"/>
      <c r="BC79" s="1477"/>
      <c r="BD79" s="1477"/>
      <c r="BE79" s="1477"/>
      <c r="BF79" s="1477"/>
      <c r="BG79" s="1477"/>
      <c r="BH79" s="1477"/>
      <c r="BI79" s="1477"/>
      <c r="BJ79" s="1477"/>
      <c r="BK79" s="1477"/>
      <c r="BL79" s="1477"/>
      <c r="BM79" s="1477"/>
      <c r="BN79" s="1477"/>
      <c r="BO79" s="1477"/>
      <c r="BP79" s="1477"/>
      <c r="BQ79" s="1477"/>
      <c r="BR79" s="1477"/>
      <c r="BS79" s="1477">
        <v>1</v>
      </c>
      <c r="BT79" s="1477"/>
      <c r="BU79" s="1477"/>
      <c r="BV79" s="1477"/>
      <c r="BW79" s="1477"/>
      <c r="BX79" s="1477"/>
      <c r="BY79" s="1477"/>
      <c r="BZ79" s="1477"/>
      <c r="CA79" s="1477"/>
      <c r="CB79" s="1477"/>
      <c r="CC79" s="1477"/>
      <c r="CD79" s="1477"/>
      <c r="CE79" s="1477"/>
      <c r="CF79" s="1477"/>
      <c r="CG79" s="1477"/>
      <c r="CH79" s="1477"/>
      <c r="CI79" s="1477"/>
      <c r="CJ79" s="1477"/>
      <c r="CK79" s="1477"/>
      <c r="CL79" s="1477"/>
      <c r="CM79" s="1477"/>
      <c r="CN79" s="1477"/>
      <c r="CO79" s="1477"/>
      <c r="CP79" s="1477"/>
      <c r="CQ79" s="1477"/>
      <c r="CR79" s="1477"/>
      <c r="CS79" s="1477"/>
      <c r="CT79" s="1477"/>
      <c r="CU79" s="1477"/>
      <c r="CV79" s="1477"/>
      <c r="CW79" s="1477"/>
      <c r="CX79" s="1477"/>
      <c r="CY79" s="1477"/>
    </row>
    <row r="80" spans="1:103" s="15" customFormat="1" ht="15" customHeight="1">
      <c r="A80" s="1185">
        <v>71</v>
      </c>
      <c r="B80" s="1103"/>
      <c r="C80" s="1103"/>
      <c r="D80" s="1477"/>
      <c r="E80" s="1477"/>
      <c r="F80" s="1477"/>
      <c r="G80" s="1477"/>
      <c r="H80" s="1477"/>
      <c r="I80" s="1477"/>
      <c r="J80" s="1477"/>
      <c r="K80" s="1477"/>
      <c r="L80" s="1477"/>
      <c r="M80" s="1477"/>
      <c r="N80" s="1477"/>
      <c r="O80" s="1477"/>
      <c r="P80" s="1477"/>
      <c r="Q80" s="1477"/>
      <c r="R80" s="1477"/>
      <c r="S80" s="1477"/>
      <c r="T80" s="1477"/>
      <c r="U80" s="1477"/>
      <c r="V80" s="1477"/>
      <c r="W80" s="1477"/>
      <c r="X80" s="1477"/>
      <c r="Y80" s="1477"/>
      <c r="Z80" s="1477"/>
      <c r="AA80" s="1477"/>
      <c r="AB80" s="1477"/>
      <c r="AC80" s="1477"/>
      <c r="AD80" s="1477"/>
      <c r="AE80" s="1477"/>
      <c r="AF80" s="1477"/>
      <c r="AG80" s="1477"/>
      <c r="AH80" s="1477"/>
      <c r="AI80" s="1477"/>
      <c r="AJ80" s="1477"/>
      <c r="AK80" s="1477"/>
      <c r="AL80" s="1477"/>
      <c r="AM80" s="1477"/>
      <c r="AN80" s="1477"/>
      <c r="AO80" s="1477"/>
      <c r="AP80" s="1477"/>
      <c r="AQ80" s="1477"/>
      <c r="AR80" s="1477"/>
      <c r="AS80" s="1477"/>
      <c r="AT80" s="1477"/>
      <c r="AU80" s="1477"/>
      <c r="AV80" s="1477"/>
      <c r="AW80" s="1477"/>
      <c r="AX80" s="1477"/>
      <c r="AY80" s="1477"/>
      <c r="AZ80" s="1477"/>
      <c r="BA80" s="1477"/>
      <c r="BB80" s="1477"/>
      <c r="BC80" s="1477"/>
      <c r="BD80" s="1477"/>
      <c r="BE80" s="1477"/>
      <c r="BF80" s="1477"/>
      <c r="BG80" s="1477"/>
      <c r="BH80" s="1477"/>
      <c r="BI80" s="1477"/>
      <c r="BJ80" s="1477"/>
      <c r="BK80" s="1477"/>
      <c r="BL80" s="1477"/>
      <c r="BM80" s="1477"/>
      <c r="BN80" s="1477"/>
      <c r="BO80" s="1477"/>
      <c r="BP80" s="1477"/>
      <c r="BQ80" s="1477"/>
      <c r="BR80" s="1477"/>
      <c r="BS80" s="1477"/>
      <c r="BT80" s="1477">
        <v>1</v>
      </c>
      <c r="BU80" s="1477"/>
      <c r="BV80" s="1477"/>
      <c r="BW80" s="1477"/>
      <c r="BX80" s="1477"/>
      <c r="BY80" s="1477"/>
      <c r="BZ80" s="1477"/>
      <c r="CA80" s="1477"/>
      <c r="CB80" s="1477"/>
      <c r="CC80" s="1477"/>
      <c r="CD80" s="1477"/>
      <c r="CE80" s="1477"/>
      <c r="CF80" s="1477"/>
      <c r="CG80" s="1477"/>
      <c r="CH80" s="1477"/>
      <c r="CI80" s="1477"/>
      <c r="CJ80" s="1477"/>
      <c r="CK80" s="1477"/>
      <c r="CL80" s="1477"/>
      <c r="CM80" s="1477"/>
      <c r="CN80" s="1477"/>
      <c r="CO80" s="1477"/>
      <c r="CP80" s="1477"/>
      <c r="CQ80" s="1477"/>
      <c r="CR80" s="1477"/>
      <c r="CS80" s="1477"/>
      <c r="CT80" s="1477"/>
      <c r="CU80" s="1477"/>
      <c r="CV80" s="1477"/>
      <c r="CW80" s="1477"/>
      <c r="CX80" s="1477"/>
      <c r="CY80" s="1477"/>
    </row>
    <row r="81" spans="1:103" s="15" customFormat="1" ht="15" customHeight="1">
      <c r="A81" s="1185">
        <v>72</v>
      </c>
      <c r="B81" s="1103"/>
      <c r="C81" s="1103"/>
      <c r="D81" s="1477"/>
      <c r="E81" s="1477"/>
      <c r="F81" s="1477"/>
      <c r="G81" s="1477"/>
      <c r="H81" s="1477"/>
      <c r="I81" s="1477"/>
      <c r="J81" s="1477"/>
      <c r="K81" s="1477"/>
      <c r="L81" s="1477"/>
      <c r="M81" s="1477"/>
      <c r="N81" s="1477"/>
      <c r="O81" s="1477"/>
      <c r="P81" s="1477"/>
      <c r="Q81" s="1477"/>
      <c r="R81" s="1477"/>
      <c r="S81" s="1477"/>
      <c r="T81" s="1477"/>
      <c r="U81" s="1477"/>
      <c r="V81" s="1477"/>
      <c r="W81" s="1477"/>
      <c r="X81" s="1477"/>
      <c r="Y81" s="1477"/>
      <c r="Z81" s="1477"/>
      <c r="AA81" s="1477"/>
      <c r="AB81" s="1477"/>
      <c r="AC81" s="1477"/>
      <c r="AD81" s="1477"/>
      <c r="AE81" s="1477"/>
      <c r="AF81" s="1477"/>
      <c r="AG81" s="1477"/>
      <c r="AH81" s="1477"/>
      <c r="AI81" s="1477"/>
      <c r="AJ81" s="1477"/>
      <c r="AK81" s="1477"/>
      <c r="AL81" s="1477"/>
      <c r="AM81" s="1477"/>
      <c r="AN81" s="1477"/>
      <c r="AO81" s="1477"/>
      <c r="AP81" s="1477"/>
      <c r="AQ81" s="1477"/>
      <c r="AR81" s="1477"/>
      <c r="AS81" s="1477"/>
      <c r="AT81" s="1477"/>
      <c r="AU81" s="1477"/>
      <c r="AV81" s="1477"/>
      <c r="AW81" s="1477"/>
      <c r="AX81" s="1477"/>
      <c r="AY81" s="1477"/>
      <c r="AZ81" s="1477"/>
      <c r="BA81" s="1477"/>
      <c r="BB81" s="1477"/>
      <c r="BC81" s="1477"/>
      <c r="BD81" s="1477"/>
      <c r="BE81" s="1477"/>
      <c r="BF81" s="1477"/>
      <c r="BG81" s="1477"/>
      <c r="BH81" s="1477"/>
      <c r="BI81" s="1477"/>
      <c r="BJ81" s="1477"/>
      <c r="BK81" s="1477"/>
      <c r="BL81" s="1477"/>
      <c r="BM81" s="1477"/>
      <c r="BN81" s="1477"/>
      <c r="BO81" s="1477"/>
      <c r="BP81" s="1477"/>
      <c r="BQ81" s="1477"/>
      <c r="BR81" s="1477"/>
      <c r="BS81" s="1477"/>
      <c r="BT81" s="1477"/>
      <c r="BU81" s="1477">
        <v>1</v>
      </c>
      <c r="BV81" s="1477"/>
      <c r="BW81" s="1477"/>
      <c r="BX81" s="1477"/>
      <c r="BY81" s="1477"/>
      <c r="BZ81" s="1477"/>
      <c r="CA81" s="1477"/>
      <c r="CB81" s="1477"/>
      <c r="CC81" s="1477"/>
      <c r="CD81" s="1477"/>
      <c r="CE81" s="1477"/>
      <c r="CF81" s="1477"/>
      <c r="CG81" s="1477"/>
      <c r="CH81" s="1477"/>
      <c r="CI81" s="1477"/>
      <c r="CJ81" s="1477"/>
      <c r="CK81" s="1477"/>
      <c r="CL81" s="1477"/>
      <c r="CM81" s="1477"/>
      <c r="CN81" s="1477"/>
      <c r="CO81" s="1477"/>
      <c r="CP81" s="1477"/>
      <c r="CQ81" s="1477"/>
      <c r="CR81" s="1477"/>
      <c r="CS81" s="1477"/>
      <c r="CT81" s="1477"/>
      <c r="CU81" s="1477"/>
      <c r="CV81" s="1477"/>
      <c r="CW81" s="1477"/>
      <c r="CX81" s="1477"/>
      <c r="CY81" s="1477"/>
    </row>
    <row r="82" spans="1:103" s="15" customFormat="1" ht="15" customHeight="1">
      <c r="A82" s="1185">
        <v>73</v>
      </c>
      <c r="B82" s="1103"/>
      <c r="C82" s="1103"/>
      <c r="D82" s="1477"/>
      <c r="E82" s="1477"/>
      <c r="F82" s="1477"/>
      <c r="G82" s="1477"/>
      <c r="H82" s="1477"/>
      <c r="I82" s="1477"/>
      <c r="J82" s="1477"/>
      <c r="K82" s="1477"/>
      <c r="L82" s="1477"/>
      <c r="M82" s="1477"/>
      <c r="N82" s="1477"/>
      <c r="O82" s="1477"/>
      <c r="P82" s="1477"/>
      <c r="Q82" s="1477"/>
      <c r="R82" s="1477"/>
      <c r="S82" s="1477"/>
      <c r="T82" s="1477"/>
      <c r="U82" s="1477"/>
      <c r="V82" s="1477"/>
      <c r="W82" s="1477"/>
      <c r="X82" s="1477"/>
      <c r="Y82" s="1477"/>
      <c r="Z82" s="1477"/>
      <c r="AA82" s="1477"/>
      <c r="AB82" s="1477"/>
      <c r="AC82" s="1477"/>
      <c r="AD82" s="1477"/>
      <c r="AE82" s="1477"/>
      <c r="AF82" s="1477"/>
      <c r="AG82" s="1477"/>
      <c r="AH82" s="1477"/>
      <c r="AI82" s="1477"/>
      <c r="AJ82" s="1477"/>
      <c r="AK82" s="1477"/>
      <c r="AL82" s="1477"/>
      <c r="AM82" s="1477"/>
      <c r="AN82" s="1477"/>
      <c r="AO82" s="1477"/>
      <c r="AP82" s="1477"/>
      <c r="AQ82" s="1477"/>
      <c r="AR82" s="1477"/>
      <c r="AS82" s="1477"/>
      <c r="AT82" s="1477"/>
      <c r="AU82" s="1477"/>
      <c r="AV82" s="1477"/>
      <c r="AW82" s="1477"/>
      <c r="AX82" s="1477"/>
      <c r="AY82" s="1477"/>
      <c r="AZ82" s="1477"/>
      <c r="BA82" s="1477"/>
      <c r="BB82" s="1477"/>
      <c r="BC82" s="1477"/>
      <c r="BD82" s="1477"/>
      <c r="BE82" s="1477"/>
      <c r="BF82" s="1477"/>
      <c r="BG82" s="1477"/>
      <c r="BH82" s="1477"/>
      <c r="BI82" s="1477"/>
      <c r="BJ82" s="1477"/>
      <c r="BK82" s="1477"/>
      <c r="BL82" s="1477"/>
      <c r="BM82" s="1477"/>
      <c r="BN82" s="1477"/>
      <c r="BO82" s="1477"/>
      <c r="BP82" s="1477"/>
      <c r="BQ82" s="1477"/>
      <c r="BR82" s="1477"/>
      <c r="BS82" s="1477"/>
      <c r="BT82" s="1477"/>
      <c r="BU82" s="1477"/>
      <c r="BV82" s="1477">
        <v>1</v>
      </c>
      <c r="BW82" s="1477"/>
      <c r="BX82" s="1477"/>
      <c r="BY82" s="1477"/>
      <c r="BZ82" s="1477"/>
      <c r="CA82" s="1477"/>
      <c r="CB82" s="1477"/>
      <c r="CC82" s="1477"/>
      <c r="CD82" s="1477"/>
      <c r="CE82" s="1477"/>
      <c r="CF82" s="1477"/>
      <c r="CG82" s="1477"/>
      <c r="CH82" s="1477"/>
      <c r="CI82" s="1477"/>
      <c r="CJ82" s="1477"/>
      <c r="CK82" s="1477"/>
      <c r="CL82" s="1477"/>
      <c r="CM82" s="1477"/>
      <c r="CN82" s="1477"/>
      <c r="CO82" s="1477"/>
      <c r="CP82" s="1477"/>
      <c r="CQ82" s="1477"/>
      <c r="CR82" s="1477"/>
      <c r="CS82" s="1477"/>
      <c r="CT82" s="1477"/>
      <c r="CU82" s="1477"/>
      <c r="CV82" s="1477"/>
      <c r="CW82" s="1477"/>
      <c r="CX82" s="1477"/>
      <c r="CY82" s="1477"/>
    </row>
    <row r="83" spans="1:103" s="15" customFormat="1" ht="15" customHeight="1">
      <c r="A83" s="1185">
        <v>74</v>
      </c>
      <c r="B83" s="1103"/>
      <c r="C83" s="1103"/>
      <c r="D83" s="1477"/>
      <c r="E83" s="1477"/>
      <c r="F83" s="1477"/>
      <c r="G83" s="1477"/>
      <c r="H83" s="1477"/>
      <c r="I83" s="1477"/>
      <c r="J83" s="1477"/>
      <c r="K83" s="1477"/>
      <c r="L83" s="1477"/>
      <c r="M83" s="1477"/>
      <c r="N83" s="1477"/>
      <c r="O83" s="1477"/>
      <c r="P83" s="1477"/>
      <c r="Q83" s="1477"/>
      <c r="R83" s="1477"/>
      <c r="S83" s="1477"/>
      <c r="T83" s="1477"/>
      <c r="U83" s="1477"/>
      <c r="V83" s="1477"/>
      <c r="W83" s="1477"/>
      <c r="X83" s="1477"/>
      <c r="Y83" s="1477"/>
      <c r="Z83" s="1477"/>
      <c r="AA83" s="1477"/>
      <c r="AB83" s="1477"/>
      <c r="AC83" s="1477"/>
      <c r="AD83" s="1477"/>
      <c r="AE83" s="1477"/>
      <c r="AF83" s="1477"/>
      <c r="AG83" s="1477"/>
      <c r="AH83" s="1477"/>
      <c r="AI83" s="1477"/>
      <c r="AJ83" s="1477"/>
      <c r="AK83" s="1477"/>
      <c r="AL83" s="1477"/>
      <c r="AM83" s="1477"/>
      <c r="AN83" s="1477"/>
      <c r="AO83" s="1477"/>
      <c r="AP83" s="1477"/>
      <c r="AQ83" s="1477"/>
      <c r="AR83" s="1477"/>
      <c r="AS83" s="1477"/>
      <c r="AT83" s="1477"/>
      <c r="AU83" s="1477"/>
      <c r="AV83" s="1477"/>
      <c r="AW83" s="1477"/>
      <c r="AX83" s="1477"/>
      <c r="AY83" s="1477"/>
      <c r="AZ83" s="1477"/>
      <c r="BA83" s="1477"/>
      <c r="BB83" s="1477"/>
      <c r="BC83" s="1477"/>
      <c r="BD83" s="1477"/>
      <c r="BE83" s="1477"/>
      <c r="BF83" s="1477"/>
      <c r="BG83" s="1477"/>
      <c r="BH83" s="1477"/>
      <c r="BI83" s="1477"/>
      <c r="BJ83" s="1477"/>
      <c r="BK83" s="1477"/>
      <c r="BL83" s="1477"/>
      <c r="BM83" s="1477"/>
      <c r="BN83" s="1477"/>
      <c r="BO83" s="1477"/>
      <c r="BP83" s="1477"/>
      <c r="BQ83" s="1477"/>
      <c r="BR83" s="1477"/>
      <c r="BS83" s="1477"/>
      <c r="BT83" s="1477"/>
      <c r="BU83" s="1477"/>
      <c r="BV83" s="1477"/>
      <c r="BW83" s="1477">
        <v>1</v>
      </c>
      <c r="BX83" s="1477"/>
      <c r="BY83" s="1477"/>
      <c r="BZ83" s="1477"/>
      <c r="CA83" s="1477"/>
      <c r="CB83" s="1477"/>
      <c r="CC83" s="1477"/>
      <c r="CD83" s="1477"/>
      <c r="CE83" s="1477"/>
      <c r="CF83" s="1477"/>
      <c r="CG83" s="1477"/>
      <c r="CH83" s="1477"/>
      <c r="CI83" s="1477"/>
      <c r="CJ83" s="1477"/>
      <c r="CK83" s="1477"/>
      <c r="CL83" s="1477"/>
      <c r="CM83" s="1477"/>
      <c r="CN83" s="1477"/>
      <c r="CO83" s="1477"/>
      <c r="CP83" s="1477"/>
      <c r="CQ83" s="1477"/>
      <c r="CR83" s="1477"/>
      <c r="CS83" s="1477"/>
      <c r="CT83" s="1477"/>
      <c r="CU83" s="1477"/>
      <c r="CV83" s="1477"/>
      <c r="CW83" s="1477"/>
      <c r="CX83" s="1477"/>
      <c r="CY83" s="1477"/>
    </row>
    <row r="84" spans="1:103" s="15" customFormat="1" ht="15" customHeight="1">
      <c r="A84" s="1185">
        <v>75</v>
      </c>
      <c r="B84" s="1103"/>
      <c r="C84" s="1103"/>
      <c r="D84" s="1477"/>
      <c r="E84" s="1477"/>
      <c r="F84" s="1477"/>
      <c r="G84" s="1477"/>
      <c r="H84" s="1477"/>
      <c r="I84" s="1477"/>
      <c r="J84" s="1477"/>
      <c r="K84" s="1477"/>
      <c r="L84" s="1477"/>
      <c r="M84" s="1477"/>
      <c r="N84" s="1477"/>
      <c r="O84" s="1477"/>
      <c r="P84" s="1477"/>
      <c r="Q84" s="1477"/>
      <c r="R84" s="1477"/>
      <c r="S84" s="1477"/>
      <c r="T84" s="1477"/>
      <c r="U84" s="1477"/>
      <c r="V84" s="1477"/>
      <c r="W84" s="1477"/>
      <c r="X84" s="1477"/>
      <c r="Y84" s="1477"/>
      <c r="Z84" s="1477"/>
      <c r="AA84" s="1477"/>
      <c r="AB84" s="1477"/>
      <c r="AC84" s="1477"/>
      <c r="AD84" s="1477"/>
      <c r="AE84" s="1477"/>
      <c r="AF84" s="1477"/>
      <c r="AG84" s="1477"/>
      <c r="AH84" s="1477"/>
      <c r="AI84" s="1477"/>
      <c r="AJ84" s="1477"/>
      <c r="AK84" s="1477"/>
      <c r="AL84" s="1477"/>
      <c r="AM84" s="1477"/>
      <c r="AN84" s="1477"/>
      <c r="AO84" s="1477"/>
      <c r="AP84" s="1477"/>
      <c r="AQ84" s="1477"/>
      <c r="AR84" s="1477"/>
      <c r="AS84" s="1477"/>
      <c r="AT84" s="1477"/>
      <c r="AU84" s="1477"/>
      <c r="AV84" s="1477"/>
      <c r="AW84" s="1477"/>
      <c r="AX84" s="1477"/>
      <c r="AY84" s="1477"/>
      <c r="AZ84" s="1477"/>
      <c r="BA84" s="1477"/>
      <c r="BB84" s="1477"/>
      <c r="BC84" s="1477"/>
      <c r="BD84" s="1477"/>
      <c r="BE84" s="1477"/>
      <c r="BF84" s="1477"/>
      <c r="BG84" s="1477"/>
      <c r="BH84" s="1477"/>
      <c r="BI84" s="1477"/>
      <c r="BJ84" s="1477"/>
      <c r="BK84" s="1477"/>
      <c r="BL84" s="1477"/>
      <c r="BM84" s="1477"/>
      <c r="BN84" s="1477"/>
      <c r="BO84" s="1477"/>
      <c r="BP84" s="1477"/>
      <c r="BQ84" s="1477"/>
      <c r="BR84" s="1477"/>
      <c r="BS84" s="1477"/>
      <c r="BT84" s="1477"/>
      <c r="BU84" s="1477"/>
      <c r="BV84" s="1477"/>
      <c r="BW84" s="1477"/>
      <c r="BX84" s="1477">
        <v>1</v>
      </c>
      <c r="BY84" s="1477"/>
      <c r="BZ84" s="1477"/>
      <c r="CA84" s="1477"/>
      <c r="CB84" s="1477"/>
      <c r="CC84" s="1477"/>
      <c r="CD84" s="1477"/>
      <c r="CE84" s="1477"/>
      <c r="CF84" s="1477"/>
      <c r="CG84" s="1477"/>
      <c r="CH84" s="1477"/>
      <c r="CI84" s="1477"/>
      <c r="CJ84" s="1477"/>
      <c r="CK84" s="1477"/>
      <c r="CL84" s="1477"/>
      <c r="CM84" s="1477"/>
      <c r="CN84" s="1477"/>
      <c r="CO84" s="1477"/>
      <c r="CP84" s="1477"/>
      <c r="CQ84" s="1477"/>
      <c r="CR84" s="1477"/>
      <c r="CS84" s="1477"/>
      <c r="CT84" s="1477"/>
      <c r="CU84" s="1477"/>
      <c r="CV84" s="1477"/>
      <c r="CW84" s="1477"/>
      <c r="CX84" s="1477"/>
      <c r="CY84" s="1477"/>
    </row>
    <row r="85" spans="1:103" s="15" customFormat="1" ht="15" customHeight="1">
      <c r="A85" s="1185">
        <v>76</v>
      </c>
      <c r="B85" s="1103"/>
      <c r="C85" s="1103"/>
      <c r="D85" s="1477"/>
      <c r="E85" s="1477"/>
      <c r="F85" s="1477"/>
      <c r="G85" s="1477"/>
      <c r="H85" s="1477"/>
      <c r="I85" s="1477"/>
      <c r="J85" s="1477"/>
      <c r="K85" s="1477"/>
      <c r="L85" s="1477"/>
      <c r="M85" s="1477"/>
      <c r="N85" s="1477"/>
      <c r="O85" s="1477"/>
      <c r="P85" s="1477"/>
      <c r="Q85" s="1477"/>
      <c r="R85" s="1477"/>
      <c r="S85" s="1477"/>
      <c r="T85" s="1477"/>
      <c r="U85" s="1477"/>
      <c r="V85" s="1477"/>
      <c r="W85" s="1477"/>
      <c r="X85" s="1477"/>
      <c r="Y85" s="1477"/>
      <c r="Z85" s="1477"/>
      <c r="AA85" s="1477"/>
      <c r="AB85" s="1477"/>
      <c r="AC85" s="1477"/>
      <c r="AD85" s="1477"/>
      <c r="AE85" s="1477"/>
      <c r="AF85" s="1477"/>
      <c r="AG85" s="1477"/>
      <c r="AH85" s="1477"/>
      <c r="AI85" s="1477"/>
      <c r="AJ85" s="1477"/>
      <c r="AK85" s="1477"/>
      <c r="AL85" s="1477"/>
      <c r="AM85" s="1477"/>
      <c r="AN85" s="1477"/>
      <c r="AO85" s="1477"/>
      <c r="AP85" s="1477"/>
      <c r="AQ85" s="1477"/>
      <c r="AR85" s="1477"/>
      <c r="AS85" s="1477"/>
      <c r="AT85" s="1477"/>
      <c r="AU85" s="1477"/>
      <c r="AV85" s="1477"/>
      <c r="AW85" s="1477"/>
      <c r="AX85" s="1477"/>
      <c r="AY85" s="1477"/>
      <c r="AZ85" s="1477"/>
      <c r="BA85" s="1477"/>
      <c r="BB85" s="1477"/>
      <c r="BC85" s="1477"/>
      <c r="BD85" s="1477"/>
      <c r="BE85" s="1477"/>
      <c r="BF85" s="1477"/>
      <c r="BG85" s="1477"/>
      <c r="BH85" s="1477"/>
      <c r="BI85" s="1477"/>
      <c r="BJ85" s="1477"/>
      <c r="BK85" s="1477"/>
      <c r="BL85" s="1477"/>
      <c r="BM85" s="1477"/>
      <c r="BN85" s="1477"/>
      <c r="BO85" s="1477"/>
      <c r="BP85" s="1477"/>
      <c r="BQ85" s="1477"/>
      <c r="BR85" s="1477"/>
      <c r="BS85" s="1477"/>
      <c r="BT85" s="1477"/>
      <c r="BU85" s="1477"/>
      <c r="BV85" s="1477"/>
      <c r="BW85" s="1477"/>
      <c r="BX85" s="1477"/>
      <c r="BY85" s="1477">
        <v>1</v>
      </c>
      <c r="BZ85" s="1477"/>
      <c r="CA85" s="1477"/>
      <c r="CB85" s="1477"/>
      <c r="CC85" s="1477"/>
      <c r="CD85" s="1477"/>
      <c r="CE85" s="1477"/>
      <c r="CF85" s="1477"/>
      <c r="CG85" s="1477"/>
      <c r="CH85" s="1477"/>
      <c r="CI85" s="1477"/>
      <c r="CJ85" s="1477"/>
      <c r="CK85" s="1477"/>
      <c r="CL85" s="1477"/>
      <c r="CM85" s="1477"/>
      <c r="CN85" s="1477"/>
      <c r="CO85" s="1477"/>
      <c r="CP85" s="1477"/>
      <c r="CQ85" s="1477"/>
      <c r="CR85" s="1477"/>
      <c r="CS85" s="1477"/>
      <c r="CT85" s="1477"/>
      <c r="CU85" s="1477"/>
      <c r="CV85" s="1477"/>
      <c r="CW85" s="1477"/>
      <c r="CX85" s="1477"/>
      <c r="CY85" s="1477"/>
    </row>
    <row r="86" spans="1:103" s="15" customFormat="1" ht="15" customHeight="1">
      <c r="A86" s="1185">
        <v>77</v>
      </c>
      <c r="B86" s="1103"/>
      <c r="C86" s="1103"/>
      <c r="D86" s="1477"/>
      <c r="E86" s="1477"/>
      <c r="F86" s="1477"/>
      <c r="G86" s="1477"/>
      <c r="H86" s="1477"/>
      <c r="I86" s="1477"/>
      <c r="J86" s="1477"/>
      <c r="K86" s="1477"/>
      <c r="L86" s="1477"/>
      <c r="M86" s="1477"/>
      <c r="N86" s="1477"/>
      <c r="O86" s="1477"/>
      <c r="P86" s="1477"/>
      <c r="Q86" s="1477"/>
      <c r="R86" s="1477"/>
      <c r="S86" s="1477"/>
      <c r="T86" s="1477"/>
      <c r="U86" s="1477"/>
      <c r="V86" s="1477"/>
      <c r="W86" s="1477"/>
      <c r="X86" s="1477"/>
      <c r="Y86" s="1477"/>
      <c r="Z86" s="1477"/>
      <c r="AA86" s="1477"/>
      <c r="AB86" s="1477"/>
      <c r="AC86" s="1477"/>
      <c r="AD86" s="1477"/>
      <c r="AE86" s="1477"/>
      <c r="AF86" s="1477"/>
      <c r="AG86" s="1477"/>
      <c r="AH86" s="1477"/>
      <c r="AI86" s="1477"/>
      <c r="AJ86" s="1477"/>
      <c r="AK86" s="1477"/>
      <c r="AL86" s="1477"/>
      <c r="AM86" s="1477"/>
      <c r="AN86" s="1477"/>
      <c r="AO86" s="1477"/>
      <c r="AP86" s="1477"/>
      <c r="AQ86" s="1477"/>
      <c r="AR86" s="1477"/>
      <c r="AS86" s="1477"/>
      <c r="AT86" s="1477"/>
      <c r="AU86" s="1477"/>
      <c r="AV86" s="1477"/>
      <c r="AW86" s="1477"/>
      <c r="AX86" s="1477"/>
      <c r="AY86" s="1477"/>
      <c r="AZ86" s="1477"/>
      <c r="BA86" s="1477"/>
      <c r="BB86" s="1477"/>
      <c r="BC86" s="1477"/>
      <c r="BD86" s="1477"/>
      <c r="BE86" s="1477"/>
      <c r="BF86" s="1477"/>
      <c r="BG86" s="1477"/>
      <c r="BH86" s="1477"/>
      <c r="BI86" s="1477"/>
      <c r="BJ86" s="1477"/>
      <c r="BK86" s="1477"/>
      <c r="BL86" s="1477"/>
      <c r="BM86" s="1477"/>
      <c r="BN86" s="1477"/>
      <c r="BO86" s="1477"/>
      <c r="BP86" s="1477"/>
      <c r="BQ86" s="1477"/>
      <c r="BR86" s="1477"/>
      <c r="BS86" s="1477"/>
      <c r="BT86" s="1477"/>
      <c r="BU86" s="1477"/>
      <c r="BV86" s="1477"/>
      <c r="BW86" s="1477"/>
      <c r="BX86" s="1477"/>
      <c r="BY86" s="1477"/>
      <c r="BZ86" s="1477">
        <v>1</v>
      </c>
      <c r="CA86" s="1477"/>
      <c r="CB86" s="1477"/>
      <c r="CC86" s="1477"/>
      <c r="CD86" s="1477"/>
      <c r="CE86" s="1477"/>
      <c r="CF86" s="1477"/>
      <c r="CG86" s="1477"/>
      <c r="CH86" s="1477"/>
      <c r="CI86" s="1477"/>
      <c r="CJ86" s="1477"/>
      <c r="CK86" s="1477"/>
      <c r="CL86" s="1477"/>
      <c r="CM86" s="1477"/>
      <c r="CN86" s="1477"/>
      <c r="CO86" s="1477"/>
      <c r="CP86" s="1477"/>
      <c r="CQ86" s="1477"/>
      <c r="CR86" s="1477"/>
      <c r="CS86" s="1477"/>
      <c r="CT86" s="1477"/>
      <c r="CU86" s="1477"/>
      <c r="CV86" s="1477"/>
      <c r="CW86" s="1477"/>
      <c r="CX86" s="1477"/>
      <c r="CY86" s="1477"/>
    </row>
    <row r="87" spans="1:103" s="15" customFormat="1" ht="15" customHeight="1">
      <c r="A87" s="1185">
        <v>78</v>
      </c>
      <c r="B87" s="1103"/>
      <c r="C87" s="1103"/>
      <c r="D87" s="1477"/>
      <c r="E87" s="1477"/>
      <c r="F87" s="1477"/>
      <c r="G87" s="1477"/>
      <c r="H87" s="1477"/>
      <c r="I87" s="1477"/>
      <c r="J87" s="1477"/>
      <c r="K87" s="1477"/>
      <c r="L87" s="1477"/>
      <c r="M87" s="1477"/>
      <c r="N87" s="1477"/>
      <c r="O87" s="1477"/>
      <c r="P87" s="1477"/>
      <c r="Q87" s="1477"/>
      <c r="R87" s="1477"/>
      <c r="S87" s="1477"/>
      <c r="T87" s="1477"/>
      <c r="U87" s="1477"/>
      <c r="V87" s="1477"/>
      <c r="W87" s="1477"/>
      <c r="X87" s="1477"/>
      <c r="Y87" s="1477"/>
      <c r="Z87" s="1477"/>
      <c r="AA87" s="1477"/>
      <c r="AB87" s="1477"/>
      <c r="AC87" s="1477"/>
      <c r="AD87" s="1477"/>
      <c r="AE87" s="1477"/>
      <c r="AF87" s="1477"/>
      <c r="AG87" s="1477"/>
      <c r="AH87" s="1477"/>
      <c r="AI87" s="1477"/>
      <c r="AJ87" s="1477"/>
      <c r="AK87" s="1477"/>
      <c r="AL87" s="1477"/>
      <c r="AM87" s="1477"/>
      <c r="AN87" s="1477"/>
      <c r="AO87" s="1477"/>
      <c r="AP87" s="1477"/>
      <c r="AQ87" s="1477"/>
      <c r="AR87" s="1477"/>
      <c r="AS87" s="1477"/>
      <c r="AT87" s="1477"/>
      <c r="AU87" s="1477"/>
      <c r="AV87" s="1477"/>
      <c r="AW87" s="1477"/>
      <c r="AX87" s="1477"/>
      <c r="AY87" s="1477"/>
      <c r="AZ87" s="1477"/>
      <c r="BA87" s="1477"/>
      <c r="BB87" s="1477"/>
      <c r="BC87" s="1477"/>
      <c r="BD87" s="1477"/>
      <c r="BE87" s="1477"/>
      <c r="BF87" s="1477"/>
      <c r="BG87" s="1477"/>
      <c r="BH87" s="1477"/>
      <c r="BI87" s="1477"/>
      <c r="BJ87" s="1477"/>
      <c r="BK87" s="1477"/>
      <c r="BL87" s="1477"/>
      <c r="BM87" s="1477"/>
      <c r="BN87" s="1477"/>
      <c r="BO87" s="1477"/>
      <c r="BP87" s="1477"/>
      <c r="BQ87" s="1477"/>
      <c r="BR87" s="1477"/>
      <c r="BS87" s="1477"/>
      <c r="BT87" s="1477"/>
      <c r="BU87" s="1477"/>
      <c r="BV87" s="1477"/>
      <c r="BW87" s="1477"/>
      <c r="BX87" s="1477"/>
      <c r="BY87" s="1477"/>
      <c r="BZ87" s="1477"/>
      <c r="CA87" s="1477">
        <v>1</v>
      </c>
      <c r="CB87" s="1477"/>
      <c r="CC87" s="1477"/>
      <c r="CD87" s="1477"/>
      <c r="CE87" s="1477"/>
      <c r="CF87" s="1477"/>
      <c r="CG87" s="1477"/>
      <c r="CH87" s="1477"/>
      <c r="CI87" s="1477"/>
      <c r="CJ87" s="1477"/>
      <c r="CK87" s="1477"/>
      <c r="CL87" s="1477"/>
      <c r="CM87" s="1477"/>
      <c r="CN87" s="1477"/>
      <c r="CO87" s="1477"/>
      <c r="CP87" s="1477"/>
      <c r="CQ87" s="1477"/>
      <c r="CR87" s="1477"/>
      <c r="CS87" s="1477"/>
      <c r="CT87" s="1477"/>
      <c r="CU87" s="1477"/>
      <c r="CV87" s="1477"/>
      <c r="CW87" s="1477"/>
      <c r="CX87" s="1477"/>
      <c r="CY87" s="1477"/>
    </row>
    <row r="88" spans="1:103" s="15" customFormat="1" ht="15" customHeight="1">
      <c r="A88" s="1185">
        <v>79</v>
      </c>
      <c r="B88" s="1103"/>
      <c r="C88" s="1103"/>
      <c r="D88" s="1477"/>
      <c r="E88" s="1477"/>
      <c r="F88" s="1477"/>
      <c r="G88" s="1477"/>
      <c r="H88" s="1477"/>
      <c r="I88" s="1477"/>
      <c r="J88" s="1477"/>
      <c r="K88" s="1477"/>
      <c r="L88" s="1477"/>
      <c r="M88" s="1477"/>
      <c r="N88" s="1477"/>
      <c r="O88" s="1477"/>
      <c r="P88" s="1477"/>
      <c r="Q88" s="1477"/>
      <c r="R88" s="1477"/>
      <c r="S88" s="1477"/>
      <c r="T88" s="1477"/>
      <c r="U88" s="1477"/>
      <c r="V88" s="1477"/>
      <c r="W88" s="1477"/>
      <c r="X88" s="1477"/>
      <c r="Y88" s="1477"/>
      <c r="Z88" s="1477"/>
      <c r="AA88" s="1477"/>
      <c r="AB88" s="1477"/>
      <c r="AC88" s="1477"/>
      <c r="AD88" s="1477"/>
      <c r="AE88" s="1477"/>
      <c r="AF88" s="1477"/>
      <c r="AG88" s="1477"/>
      <c r="AH88" s="1477"/>
      <c r="AI88" s="1477"/>
      <c r="AJ88" s="1477"/>
      <c r="AK88" s="1477"/>
      <c r="AL88" s="1477"/>
      <c r="AM88" s="1477"/>
      <c r="AN88" s="1477"/>
      <c r="AO88" s="1477"/>
      <c r="AP88" s="1477"/>
      <c r="AQ88" s="1477"/>
      <c r="AR88" s="1477"/>
      <c r="AS88" s="1477"/>
      <c r="AT88" s="1477"/>
      <c r="AU88" s="1477"/>
      <c r="AV88" s="1477"/>
      <c r="AW88" s="1477"/>
      <c r="AX88" s="1477"/>
      <c r="AY88" s="1477"/>
      <c r="AZ88" s="1477"/>
      <c r="BA88" s="1477"/>
      <c r="BB88" s="1477"/>
      <c r="BC88" s="1477"/>
      <c r="BD88" s="1477"/>
      <c r="BE88" s="1477"/>
      <c r="BF88" s="1477"/>
      <c r="BG88" s="1477"/>
      <c r="BH88" s="1477"/>
      <c r="BI88" s="1477"/>
      <c r="BJ88" s="1477"/>
      <c r="BK88" s="1477"/>
      <c r="BL88" s="1477"/>
      <c r="BM88" s="1477"/>
      <c r="BN88" s="1477"/>
      <c r="BO88" s="1477"/>
      <c r="BP88" s="1477"/>
      <c r="BQ88" s="1477"/>
      <c r="BR88" s="1477"/>
      <c r="BS88" s="1477"/>
      <c r="BT88" s="1477"/>
      <c r="BU88" s="1477"/>
      <c r="BV88" s="1477"/>
      <c r="BW88" s="1477"/>
      <c r="BX88" s="1477"/>
      <c r="BY88" s="1477"/>
      <c r="BZ88" s="1477"/>
      <c r="CA88" s="1477"/>
      <c r="CB88" s="1477">
        <v>1</v>
      </c>
      <c r="CC88" s="1477"/>
      <c r="CD88" s="1477"/>
      <c r="CE88" s="1477"/>
      <c r="CF88" s="1477"/>
      <c r="CG88" s="1477"/>
      <c r="CH88" s="1477"/>
      <c r="CI88" s="1477"/>
      <c r="CJ88" s="1477"/>
      <c r="CK88" s="1477"/>
      <c r="CL88" s="1477"/>
      <c r="CM88" s="1477"/>
      <c r="CN88" s="1477"/>
      <c r="CO88" s="1477"/>
      <c r="CP88" s="1477"/>
      <c r="CQ88" s="1477"/>
      <c r="CR88" s="1477"/>
      <c r="CS88" s="1477"/>
      <c r="CT88" s="1477"/>
      <c r="CU88" s="1477"/>
      <c r="CV88" s="1477"/>
      <c r="CW88" s="1477"/>
      <c r="CX88" s="1477"/>
      <c r="CY88" s="1477"/>
    </row>
    <row r="89" spans="1:103" s="15" customFormat="1" ht="15" customHeight="1">
      <c r="A89" s="1185">
        <v>80</v>
      </c>
      <c r="B89" s="1103"/>
      <c r="C89" s="1103"/>
      <c r="D89" s="1477"/>
      <c r="E89" s="1477"/>
      <c r="F89" s="1477"/>
      <c r="G89" s="1477"/>
      <c r="H89" s="1477"/>
      <c r="I89" s="1477"/>
      <c r="J89" s="1477"/>
      <c r="K89" s="1477"/>
      <c r="L89" s="1477"/>
      <c r="M89" s="1477"/>
      <c r="N89" s="1477"/>
      <c r="O89" s="1477"/>
      <c r="P89" s="1477"/>
      <c r="Q89" s="1477"/>
      <c r="R89" s="1477"/>
      <c r="S89" s="1477"/>
      <c r="T89" s="1477"/>
      <c r="U89" s="1477"/>
      <c r="V89" s="1477"/>
      <c r="W89" s="1477"/>
      <c r="X89" s="1477"/>
      <c r="Y89" s="1477"/>
      <c r="Z89" s="1477"/>
      <c r="AA89" s="1477"/>
      <c r="AB89" s="1477"/>
      <c r="AC89" s="1477"/>
      <c r="AD89" s="1477"/>
      <c r="AE89" s="1477"/>
      <c r="AF89" s="1477"/>
      <c r="AG89" s="1477"/>
      <c r="AH89" s="1477"/>
      <c r="AI89" s="1477"/>
      <c r="AJ89" s="1477"/>
      <c r="AK89" s="1477"/>
      <c r="AL89" s="1477"/>
      <c r="AM89" s="1477"/>
      <c r="AN89" s="1477"/>
      <c r="AO89" s="1477"/>
      <c r="AP89" s="1477"/>
      <c r="AQ89" s="1477"/>
      <c r="AR89" s="1477"/>
      <c r="AS89" s="1477"/>
      <c r="AT89" s="1477"/>
      <c r="AU89" s="1477"/>
      <c r="AV89" s="1477"/>
      <c r="AW89" s="1477"/>
      <c r="AX89" s="1477"/>
      <c r="AY89" s="1477"/>
      <c r="AZ89" s="1477"/>
      <c r="BA89" s="1477"/>
      <c r="BB89" s="1477"/>
      <c r="BC89" s="1477"/>
      <c r="BD89" s="1477"/>
      <c r="BE89" s="1477"/>
      <c r="BF89" s="1477"/>
      <c r="BG89" s="1477"/>
      <c r="BH89" s="1477"/>
      <c r="BI89" s="1477"/>
      <c r="BJ89" s="1477"/>
      <c r="BK89" s="1477"/>
      <c r="BL89" s="1477"/>
      <c r="BM89" s="1477"/>
      <c r="BN89" s="1477"/>
      <c r="BO89" s="1477"/>
      <c r="BP89" s="1477"/>
      <c r="BQ89" s="1477"/>
      <c r="BR89" s="1477"/>
      <c r="BS89" s="1477"/>
      <c r="BT89" s="1477"/>
      <c r="BU89" s="1477"/>
      <c r="BV89" s="1477"/>
      <c r="BW89" s="1477"/>
      <c r="BX89" s="1477"/>
      <c r="BY89" s="1477"/>
      <c r="BZ89" s="1477"/>
      <c r="CA89" s="1477"/>
      <c r="CB89" s="1477"/>
      <c r="CC89" s="1477">
        <v>1</v>
      </c>
      <c r="CD89" s="1477"/>
      <c r="CE89" s="1477"/>
      <c r="CF89" s="1477"/>
      <c r="CG89" s="1477"/>
      <c r="CH89" s="1477"/>
      <c r="CI89" s="1477"/>
      <c r="CJ89" s="1477"/>
      <c r="CK89" s="1477"/>
      <c r="CL89" s="1477"/>
      <c r="CM89" s="1477"/>
      <c r="CN89" s="1477"/>
      <c r="CO89" s="1477"/>
      <c r="CP89" s="1477"/>
      <c r="CQ89" s="1477"/>
      <c r="CR89" s="1477"/>
      <c r="CS89" s="1477"/>
      <c r="CT89" s="1477"/>
      <c r="CU89" s="1477"/>
      <c r="CV89" s="1477"/>
      <c r="CW89" s="1477"/>
      <c r="CX89" s="1477"/>
      <c r="CY89" s="1477"/>
    </row>
    <row r="90" spans="1:103" s="15" customFormat="1" ht="15" customHeight="1">
      <c r="A90" s="1185">
        <v>81</v>
      </c>
      <c r="B90" s="1103"/>
      <c r="C90" s="1103"/>
      <c r="D90" s="1477"/>
      <c r="E90" s="1477"/>
      <c r="F90" s="1477"/>
      <c r="G90" s="1477"/>
      <c r="H90" s="1477"/>
      <c r="I90" s="1477"/>
      <c r="J90" s="1477"/>
      <c r="K90" s="1477"/>
      <c r="L90" s="1477"/>
      <c r="M90" s="1477"/>
      <c r="N90" s="1477"/>
      <c r="O90" s="1477"/>
      <c r="P90" s="1477"/>
      <c r="Q90" s="1477"/>
      <c r="R90" s="1477"/>
      <c r="S90" s="1477"/>
      <c r="T90" s="1477"/>
      <c r="U90" s="1477"/>
      <c r="V90" s="1477"/>
      <c r="W90" s="1477"/>
      <c r="X90" s="1477"/>
      <c r="Y90" s="1477"/>
      <c r="Z90" s="1477"/>
      <c r="AA90" s="1477"/>
      <c r="AB90" s="1477"/>
      <c r="AC90" s="1477"/>
      <c r="AD90" s="1477"/>
      <c r="AE90" s="1477"/>
      <c r="AF90" s="1477"/>
      <c r="AG90" s="1477"/>
      <c r="AH90" s="1477"/>
      <c r="AI90" s="1477"/>
      <c r="AJ90" s="1477"/>
      <c r="AK90" s="1477"/>
      <c r="AL90" s="1477"/>
      <c r="AM90" s="1477"/>
      <c r="AN90" s="1477"/>
      <c r="AO90" s="1477"/>
      <c r="AP90" s="1477"/>
      <c r="AQ90" s="1477"/>
      <c r="AR90" s="1477"/>
      <c r="AS90" s="1477"/>
      <c r="AT90" s="1477"/>
      <c r="AU90" s="1477"/>
      <c r="AV90" s="1477"/>
      <c r="AW90" s="1477"/>
      <c r="AX90" s="1477"/>
      <c r="AY90" s="1477"/>
      <c r="AZ90" s="1477"/>
      <c r="BA90" s="1477"/>
      <c r="BB90" s="1477"/>
      <c r="BC90" s="1477"/>
      <c r="BD90" s="1477"/>
      <c r="BE90" s="1477"/>
      <c r="BF90" s="1477"/>
      <c r="BG90" s="1477"/>
      <c r="BH90" s="1477"/>
      <c r="BI90" s="1477"/>
      <c r="BJ90" s="1477"/>
      <c r="BK90" s="1477"/>
      <c r="BL90" s="1477"/>
      <c r="BM90" s="1477"/>
      <c r="BN90" s="1477"/>
      <c r="BO90" s="1477"/>
      <c r="BP90" s="1477"/>
      <c r="BQ90" s="1477"/>
      <c r="BR90" s="1477"/>
      <c r="BS90" s="1477"/>
      <c r="BT90" s="1477"/>
      <c r="BU90" s="1477"/>
      <c r="BV90" s="1477"/>
      <c r="BW90" s="1477"/>
      <c r="BX90" s="1477"/>
      <c r="BY90" s="1477"/>
      <c r="BZ90" s="1477"/>
      <c r="CA90" s="1477"/>
      <c r="CB90" s="1477"/>
      <c r="CC90" s="1477"/>
      <c r="CD90" s="1477">
        <v>1</v>
      </c>
      <c r="CE90" s="1477"/>
      <c r="CF90" s="1477"/>
      <c r="CG90" s="1477"/>
      <c r="CH90" s="1477"/>
      <c r="CI90" s="1477"/>
      <c r="CJ90" s="1477"/>
      <c r="CK90" s="1477"/>
      <c r="CL90" s="1477"/>
      <c r="CM90" s="1477"/>
      <c r="CN90" s="1477"/>
      <c r="CO90" s="1477"/>
      <c r="CP90" s="1477"/>
      <c r="CQ90" s="1477"/>
      <c r="CR90" s="1477"/>
      <c r="CS90" s="1477"/>
      <c r="CT90" s="1477"/>
      <c r="CU90" s="1477"/>
      <c r="CV90" s="1477"/>
      <c r="CW90" s="1477"/>
      <c r="CX90" s="1477"/>
      <c r="CY90" s="1477"/>
    </row>
    <row r="91" spans="1:103" s="15" customFormat="1" ht="15" customHeight="1">
      <c r="A91" s="1185">
        <v>82</v>
      </c>
      <c r="B91" s="1103"/>
      <c r="C91" s="1103"/>
      <c r="D91" s="1477"/>
      <c r="E91" s="1477"/>
      <c r="F91" s="1477"/>
      <c r="G91" s="1477"/>
      <c r="H91" s="1477"/>
      <c r="I91" s="1477"/>
      <c r="J91" s="1477"/>
      <c r="K91" s="1477"/>
      <c r="L91" s="1477"/>
      <c r="M91" s="1477"/>
      <c r="N91" s="1477"/>
      <c r="O91" s="1477"/>
      <c r="P91" s="1477"/>
      <c r="Q91" s="1477"/>
      <c r="R91" s="1477"/>
      <c r="S91" s="1477"/>
      <c r="T91" s="1477"/>
      <c r="U91" s="1477"/>
      <c r="V91" s="1477"/>
      <c r="W91" s="1477"/>
      <c r="X91" s="1477"/>
      <c r="Y91" s="1477"/>
      <c r="Z91" s="1477"/>
      <c r="AA91" s="1477"/>
      <c r="AB91" s="1477"/>
      <c r="AC91" s="1477"/>
      <c r="AD91" s="1477"/>
      <c r="AE91" s="1477"/>
      <c r="AF91" s="1477"/>
      <c r="AG91" s="1477"/>
      <c r="AH91" s="1477"/>
      <c r="AI91" s="1477"/>
      <c r="AJ91" s="1477"/>
      <c r="AK91" s="1477"/>
      <c r="AL91" s="1477"/>
      <c r="AM91" s="1477"/>
      <c r="AN91" s="1477"/>
      <c r="AO91" s="1477"/>
      <c r="AP91" s="1477"/>
      <c r="AQ91" s="1477"/>
      <c r="AR91" s="1477"/>
      <c r="AS91" s="1477"/>
      <c r="AT91" s="1477"/>
      <c r="AU91" s="1477"/>
      <c r="AV91" s="1477"/>
      <c r="AW91" s="1477"/>
      <c r="AX91" s="1477"/>
      <c r="AY91" s="1477"/>
      <c r="AZ91" s="1477"/>
      <c r="BA91" s="1477"/>
      <c r="BB91" s="1477"/>
      <c r="BC91" s="1477"/>
      <c r="BD91" s="1477"/>
      <c r="BE91" s="1477"/>
      <c r="BF91" s="1477"/>
      <c r="BG91" s="1477"/>
      <c r="BH91" s="1477"/>
      <c r="BI91" s="1477"/>
      <c r="BJ91" s="1477"/>
      <c r="BK91" s="1477"/>
      <c r="BL91" s="1477"/>
      <c r="BM91" s="1477"/>
      <c r="BN91" s="1477"/>
      <c r="BO91" s="1477"/>
      <c r="BP91" s="1477"/>
      <c r="BQ91" s="1477"/>
      <c r="BR91" s="1477"/>
      <c r="BS91" s="1477"/>
      <c r="BT91" s="1477"/>
      <c r="BU91" s="1477"/>
      <c r="BV91" s="1477"/>
      <c r="BW91" s="1477"/>
      <c r="BX91" s="1477"/>
      <c r="BY91" s="1477"/>
      <c r="BZ91" s="1477"/>
      <c r="CA91" s="1477"/>
      <c r="CB91" s="1477"/>
      <c r="CC91" s="1477"/>
      <c r="CD91" s="1477"/>
      <c r="CE91" s="1477">
        <v>1</v>
      </c>
      <c r="CF91" s="1477"/>
      <c r="CG91" s="1477"/>
      <c r="CH91" s="1477"/>
      <c r="CI91" s="1477"/>
      <c r="CJ91" s="1477"/>
      <c r="CK91" s="1477"/>
      <c r="CL91" s="1477"/>
      <c r="CM91" s="1477"/>
      <c r="CN91" s="1477"/>
      <c r="CO91" s="1477"/>
      <c r="CP91" s="1477"/>
      <c r="CQ91" s="1477"/>
      <c r="CR91" s="1477"/>
      <c r="CS91" s="1477"/>
      <c r="CT91" s="1477"/>
      <c r="CU91" s="1477"/>
      <c r="CV91" s="1477"/>
      <c r="CW91" s="1477"/>
      <c r="CX91" s="1477"/>
      <c r="CY91" s="1477"/>
    </row>
    <row r="92" spans="1:103" s="15" customFormat="1" ht="15" customHeight="1">
      <c r="A92" s="1185">
        <v>83</v>
      </c>
      <c r="B92" s="1103"/>
      <c r="C92" s="1103"/>
      <c r="D92" s="1477"/>
      <c r="E92" s="1477"/>
      <c r="F92" s="1477"/>
      <c r="G92" s="1477"/>
      <c r="H92" s="1477"/>
      <c r="I92" s="1477"/>
      <c r="J92" s="1477"/>
      <c r="K92" s="1477"/>
      <c r="L92" s="1477"/>
      <c r="M92" s="1477"/>
      <c r="N92" s="1477"/>
      <c r="O92" s="1477"/>
      <c r="P92" s="1477"/>
      <c r="Q92" s="1477"/>
      <c r="R92" s="1477"/>
      <c r="S92" s="1477"/>
      <c r="T92" s="1477"/>
      <c r="U92" s="1477"/>
      <c r="V92" s="1477"/>
      <c r="W92" s="1477"/>
      <c r="X92" s="1477"/>
      <c r="Y92" s="1477"/>
      <c r="Z92" s="1477"/>
      <c r="AA92" s="1477"/>
      <c r="AB92" s="1477"/>
      <c r="AC92" s="1477"/>
      <c r="AD92" s="1477"/>
      <c r="AE92" s="1477"/>
      <c r="AF92" s="1477"/>
      <c r="AG92" s="1477"/>
      <c r="AH92" s="1477"/>
      <c r="AI92" s="1477"/>
      <c r="AJ92" s="1477"/>
      <c r="AK92" s="1477"/>
      <c r="AL92" s="1477"/>
      <c r="AM92" s="1477"/>
      <c r="AN92" s="1477"/>
      <c r="AO92" s="1477"/>
      <c r="AP92" s="1477"/>
      <c r="AQ92" s="1477"/>
      <c r="AR92" s="1477"/>
      <c r="AS92" s="1477"/>
      <c r="AT92" s="1477"/>
      <c r="AU92" s="1477"/>
      <c r="AV92" s="1477"/>
      <c r="AW92" s="1477"/>
      <c r="AX92" s="1477"/>
      <c r="AY92" s="1477"/>
      <c r="AZ92" s="1477"/>
      <c r="BA92" s="1477"/>
      <c r="BB92" s="1477"/>
      <c r="BC92" s="1477"/>
      <c r="BD92" s="1477"/>
      <c r="BE92" s="1477"/>
      <c r="BF92" s="1477"/>
      <c r="BG92" s="1477"/>
      <c r="BH92" s="1477"/>
      <c r="BI92" s="1477"/>
      <c r="BJ92" s="1477"/>
      <c r="BK92" s="1477"/>
      <c r="BL92" s="1477"/>
      <c r="BM92" s="1477"/>
      <c r="BN92" s="1477"/>
      <c r="BO92" s="1477"/>
      <c r="BP92" s="1477"/>
      <c r="BQ92" s="1477"/>
      <c r="BR92" s="1477"/>
      <c r="BS92" s="1477"/>
      <c r="BT92" s="1477"/>
      <c r="BU92" s="1477"/>
      <c r="BV92" s="1477"/>
      <c r="BW92" s="1477"/>
      <c r="BX92" s="1477"/>
      <c r="BY92" s="1477"/>
      <c r="BZ92" s="1477"/>
      <c r="CA92" s="1477"/>
      <c r="CB92" s="1477"/>
      <c r="CC92" s="1477"/>
      <c r="CD92" s="1477"/>
      <c r="CE92" s="1477"/>
      <c r="CF92" s="1477">
        <v>1</v>
      </c>
      <c r="CG92" s="1477"/>
      <c r="CH92" s="1477"/>
      <c r="CI92" s="1477"/>
      <c r="CJ92" s="1477"/>
      <c r="CK92" s="1477"/>
      <c r="CL92" s="1477"/>
      <c r="CM92" s="1477"/>
      <c r="CN92" s="1477"/>
      <c r="CO92" s="1477"/>
      <c r="CP92" s="1477"/>
      <c r="CQ92" s="1477"/>
      <c r="CR92" s="1477"/>
      <c r="CS92" s="1477"/>
      <c r="CT92" s="1477"/>
      <c r="CU92" s="1477"/>
      <c r="CV92" s="1477"/>
      <c r="CW92" s="1477"/>
      <c r="CX92" s="1477"/>
      <c r="CY92" s="1477"/>
    </row>
    <row r="93" spans="1:103" s="15" customFormat="1" ht="15" customHeight="1">
      <c r="A93" s="1185">
        <v>84</v>
      </c>
      <c r="B93" s="1103"/>
      <c r="C93" s="1103"/>
      <c r="D93" s="1477"/>
      <c r="E93" s="1477"/>
      <c r="F93" s="1477"/>
      <c r="G93" s="1477"/>
      <c r="H93" s="1477"/>
      <c r="I93" s="1477"/>
      <c r="J93" s="1477"/>
      <c r="K93" s="1477"/>
      <c r="L93" s="1477"/>
      <c r="M93" s="1477"/>
      <c r="N93" s="1477"/>
      <c r="O93" s="1477"/>
      <c r="P93" s="1477"/>
      <c r="Q93" s="1477"/>
      <c r="R93" s="1477"/>
      <c r="S93" s="1477"/>
      <c r="T93" s="1477"/>
      <c r="U93" s="1477"/>
      <c r="V93" s="1477"/>
      <c r="W93" s="1477"/>
      <c r="X93" s="1477"/>
      <c r="Y93" s="1477"/>
      <c r="Z93" s="1477"/>
      <c r="AA93" s="1477"/>
      <c r="AB93" s="1477"/>
      <c r="AC93" s="1477"/>
      <c r="AD93" s="1477"/>
      <c r="AE93" s="1477"/>
      <c r="AF93" s="1477"/>
      <c r="AG93" s="1477"/>
      <c r="AH93" s="1477"/>
      <c r="AI93" s="1477"/>
      <c r="AJ93" s="1477"/>
      <c r="AK93" s="1477"/>
      <c r="AL93" s="1477"/>
      <c r="AM93" s="1477"/>
      <c r="AN93" s="1477"/>
      <c r="AO93" s="1477"/>
      <c r="AP93" s="1477"/>
      <c r="AQ93" s="1477"/>
      <c r="AR93" s="1477"/>
      <c r="AS93" s="1477"/>
      <c r="AT93" s="1477"/>
      <c r="AU93" s="1477"/>
      <c r="AV93" s="1477"/>
      <c r="AW93" s="1477"/>
      <c r="AX93" s="1477"/>
      <c r="AY93" s="1477"/>
      <c r="AZ93" s="1477"/>
      <c r="BA93" s="1477"/>
      <c r="BB93" s="1477"/>
      <c r="BC93" s="1477"/>
      <c r="BD93" s="1477"/>
      <c r="BE93" s="1477"/>
      <c r="BF93" s="1477"/>
      <c r="BG93" s="1477"/>
      <c r="BH93" s="1477"/>
      <c r="BI93" s="1477"/>
      <c r="BJ93" s="1477"/>
      <c r="BK93" s="1477"/>
      <c r="BL93" s="1477"/>
      <c r="BM93" s="1477"/>
      <c r="BN93" s="1477"/>
      <c r="BO93" s="1477"/>
      <c r="BP93" s="1477"/>
      <c r="BQ93" s="1477"/>
      <c r="BR93" s="1477"/>
      <c r="BS93" s="1477"/>
      <c r="BT93" s="1477"/>
      <c r="BU93" s="1477"/>
      <c r="BV93" s="1477"/>
      <c r="BW93" s="1477"/>
      <c r="BX93" s="1477"/>
      <c r="BY93" s="1477"/>
      <c r="BZ93" s="1477"/>
      <c r="CA93" s="1477"/>
      <c r="CB93" s="1477"/>
      <c r="CC93" s="1477"/>
      <c r="CD93" s="1477"/>
      <c r="CE93" s="1477"/>
      <c r="CF93" s="1477"/>
      <c r="CG93" s="1477">
        <v>1</v>
      </c>
      <c r="CH93" s="1477"/>
      <c r="CI93" s="1477"/>
      <c r="CJ93" s="1477"/>
      <c r="CK93" s="1477"/>
      <c r="CL93" s="1477"/>
      <c r="CM93" s="1477"/>
      <c r="CN93" s="1477"/>
      <c r="CO93" s="1477"/>
      <c r="CP93" s="1477"/>
      <c r="CQ93" s="1477"/>
      <c r="CR93" s="1477"/>
      <c r="CS93" s="1477"/>
      <c r="CT93" s="1477"/>
      <c r="CU93" s="1477"/>
      <c r="CV93" s="1477"/>
      <c r="CW93" s="1477"/>
      <c r="CX93" s="1477"/>
      <c r="CY93" s="1477"/>
    </row>
    <row r="94" spans="1:103" s="15" customFormat="1" ht="15" customHeight="1">
      <c r="A94" s="1185">
        <v>85</v>
      </c>
      <c r="B94" s="1103"/>
      <c r="C94" s="1103"/>
      <c r="D94" s="1477"/>
      <c r="E94" s="1477"/>
      <c r="F94" s="1477"/>
      <c r="G94" s="1477"/>
      <c r="H94" s="1477"/>
      <c r="I94" s="1477"/>
      <c r="J94" s="1477"/>
      <c r="K94" s="1477"/>
      <c r="L94" s="1477"/>
      <c r="M94" s="1477"/>
      <c r="N94" s="1477"/>
      <c r="O94" s="1477"/>
      <c r="P94" s="1477"/>
      <c r="Q94" s="1477"/>
      <c r="R94" s="1477"/>
      <c r="S94" s="1477"/>
      <c r="T94" s="1477"/>
      <c r="U94" s="1477"/>
      <c r="V94" s="1477"/>
      <c r="W94" s="1477"/>
      <c r="X94" s="1477"/>
      <c r="Y94" s="1477"/>
      <c r="Z94" s="1477"/>
      <c r="AA94" s="1477"/>
      <c r="AB94" s="1477"/>
      <c r="AC94" s="1477"/>
      <c r="AD94" s="1477"/>
      <c r="AE94" s="1477"/>
      <c r="AF94" s="1477"/>
      <c r="AG94" s="1477"/>
      <c r="AH94" s="1477"/>
      <c r="AI94" s="1477"/>
      <c r="AJ94" s="1477"/>
      <c r="AK94" s="1477"/>
      <c r="AL94" s="1477"/>
      <c r="AM94" s="1477"/>
      <c r="AN94" s="1477"/>
      <c r="AO94" s="1477"/>
      <c r="AP94" s="1477"/>
      <c r="AQ94" s="1477"/>
      <c r="AR94" s="1477"/>
      <c r="AS94" s="1477"/>
      <c r="AT94" s="1477"/>
      <c r="AU94" s="1477"/>
      <c r="AV94" s="1477"/>
      <c r="AW94" s="1477"/>
      <c r="AX94" s="1477"/>
      <c r="AY94" s="1477"/>
      <c r="AZ94" s="1477"/>
      <c r="BA94" s="1477"/>
      <c r="BB94" s="1477"/>
      <c r="BC94" s="1477"/>
      <c r="BD94" s="1477"/>
      <c r="BE94" s="1477"/>
      <c r="BF94" s="1477"/>
      <c r="BG94" s="1477"/>
      <c r="BH94" s="1477"/>
      <c r="BI94" s="1477"/>
      <c r="BJ94" s="1477"/>
      <c r="BK94" s="1477"/>
      <c r="BL94" s="1477"/>
      <c r="BM94" s="1477"/>
      <c r="BN94" s="1477"/>
      <c r="BO94" s="1477"/>
      <c r="BP94" s="1477"/>
      <c r="BQ94" s="1477"/>
      <c r="BR94" s="1477"/>
      <c r="BS94" s="1477"/>
      <c r="BT94" s="1477"/>
      <c r="BU94" s="1477"/>
      <c r="BV94" s="1477"/>
      <c r="BW94" s="1477"/>
      <c r="BX94" s="1477"/>
      <c r="BY94" s="1477"/>
      <c r="BZ94" s="1477"/>
      <c r="CA94" s="1477"/>
      <c r="CB94" s="1477"/>
      <c r="CC94" s="1477"/>
      <c r="CD94" s="1477"/>
      <c r="CE94" s="1477"/>
      <c r="CF94" s="1477"/>
      <c r="CG94" s="1477"/>
      <c r="CH94" s="1477">
        <v>1</v>
      </c>
      <c r="CI94" s="1477"/>
      <c r="CJ94" s="1477"/>
      <c r="CK94" s="1477"/>
      <c r="CL94" s="1477"/>
      <c r="CM94" s="1477"/>
      <c r="CN94" s="1477"/>
      <c r="CO94" s="1477"/>
      <c r="CP94" s="1477"/>
      <c r="CQ94" s="1477"/>
      <c r="CR94" s="1477"/>
      <c r="CS94" s="1477"/>
      <c r="CT94" s="1477"/>
      <c r="CU94" s="1477"/>
      <c r="CV94" s="1477"/>
      <c r="CW94" s="1477"/>
      <c r="CX94" s="1477"/>
      <c r="CY94" s="1477"/>
    </row>
    <row r="95" spans="1:103" s="15" customFormat="1" ht="15" customHeight="1">
      <c r="A95" s="1185">
        <v>86</v>
      </c>
      <c r="B95" s="1103"/>
      <c r="C95" s="1103"/>
      <c r="D95" s="1477"/>
      <c r="E95" s="1477"/>
      <c r="F95" s="1477"/>
      <c r="G95" s="1477"/>
      <c r="H95" s="1477"/>
      <c r="I95" s="1477"/>
      <c r="J95" s="1477"/>
      <c r="K95" s="1477"/>
      <c r="L95" s="1477"/>
      <c r="M95" s="1477"/>
      <c r="N95" s="1477"/>
      <c r="O95" s="1477"/>
      <c r="P95" s="1477"/>
      <c r="Q95" s="1477"/>
      <c r="R95" s="1477"/>
      <c r="S95" s="1477"/>
      <c r="T95" s="1477"/>
      <c r="U95" s="1477"/>
      <c r="V95" s="1477"/>
      <c r="W95" s="1477"/>
      <c r="X95" s="1477"/>
      <c r="Y95" s="1477"/>
      <c r="Z95" s="1477"/>
      <c r="AA95" s="1477"/>
      <c r="AB95" s="1477"/>
      <c r="AC95" s="1477"/>
      <c r="AD95" s="1477"/>
      <c r="AE95" s="1477"/>
      <c r="AF95" s="1477"/>
      <c r="AG95" s="1477"/>
      <c r="AH95" s="1477"/>
      <c r="AI95" s="1477"/>
      <c r="AJ95" s="1477"/>
      <c r="AK95" s="1477"/>
      <c r="AL95" s="1477"/>
      <c r="AM95" s="1477"/>
      <c r="AN95" s="1477"/>
      <c r="AO95" s="1477"/>
      <c r="AP95" s="1477"/>
      <c r="AQ95" s="1477"/>
      <c r="AR95" s="1477"/>
      <c r="AS95" s="1477"/>
      <c r="AT95" s="1477"/>
      <c r="AU95" s="1477"/>
      <c r="AV95" s="1477"/>
      <c r="AW95" s="1477"/>
      <c r="AX95" s="1477"/>
      <c r="AY95" s="1477"/>
      <c r="AZ95" s="1477"/>
      <c r="BA95" s="1477"/>
      <c r="BB95" s="1477"/>
      <c r="BC95" s="1477"/>
      <c r="BD95" s="1477"/>
      <c r="BE95" s="1477"/>
      <c r="BF95" s="1477"/>
      <c r="BG95" s="1477"/>
      <c r="BH95" s="1477"/>
      <c r="BI95" s="1477"/>
      <c r="BJ95" s="1477"/>
      <c r="BK95" s="1477"/>
      <c r="BL95" s="1477"/>
      <c r="BM95" s="1477"/>
      <c r="BN95" s="1477"/>
      <c r="BO95" s="1477"/>
      <c r="BP95" s="1477"/>
      <c r="BQ95" s="1477"/>
      <c r="BR95" s="1477"/>
      <c r="BS95" s="1477"/>
      <c r="BT95" s="1477"/>
      <c r="BU95" s="1477"/>
      <c r="BV95" s="1477"/>
      <c r="BW95" s="1477"/>
      <c r="BX95" s="1477"/>
      <c r="BY95" s="1477"/>
      <c r="BZ95" s="1477"/>
      <c r="CA95" s="1477"/>
      <c r="CB95" s="1477"/>
      <c r="CC95" s="1477"/>
      <c r="CD95" s="1477"/>
      <c r="CE95" s="1477"/>
      <c r="CF95" s="1477"/>
      <c r="CG95" s="1477"/>
      <c r="CH95" s="1477"/>
      <c r="CI95" s="1477">
        <v>1</v>
      </c>
      <c r="CJ95" s="1477"/>
      <c r="CK95" s="1477"/>
      <c r="CL95" s="1477"/>
      <c r="CM95" s="1477"/>
      <c r="CN95" s="1477"/>
      <c r="CO95" s="1477"/>
      <c r="CP95" s="1477"/>
      <c r="CQ95" s="1477"/>
      <c r="CR95" s="1477"/>
      <c r="CS95" s="1477"/>
      <c r="CT95" s="1477"/>
      <c r="CU95" s="1477"/>
      <c r="CV95" s="1477"/>
      <c r="CW95" s="1477"/>
      <c r="CX95" s="1477"/>
      <c r="CY95" s="1477"/>
    </row>
    <row r="96" spans="1:103" s="15" customFormat="1" ht="15" customHeight="1">
      <c r="A96" s="1185">
        <v>87</v>
      </c>
      <c r="B96" s="1103"/>
      <c r="C96" s="1103"/>
      <c r="D96" s="1477"/>
      <c r="E96" s="1477"/>
      <c r="F96" s="1477"/>
      <c r="G96" s="1477"/>
      <c r="H96" s="1477"/>
      <c r="I96" s="1477"/>
      <c r="J96" s="1477"/>
      <c r="K96" s="1477"/>
      <c r="L96" s="1477"/>
      <c r="M96" s="1477"/>
      <c r="N96" s="1477"/>
      <c r="O96" s="1477"/>
      <c r="P96" s="1477"/>
      <c r="Q96" s="1477"/>
      <c r="R96" s="1477"/>
      <c r="S96" s="1477"/>
      <c r="T96" s="1477"/>
      <c r="U96" s="1477"/>
      <c r="V96" s="1477"/>
      <c r="W96" s="1477"/>
      <c r="X96" s="1477"/>
      <c r="Y96" s="1477"/>
      <c r="Z96" s="1477"/>
      <c r="AA96" s="1477"/>
      <c r="AB96" s="1477"/>
      <c r="AC96" s="1477"/>
      <c r="AD96" s="1477"/>
      <c r="AE96" s="1477"/>
      <c r="AF96" s="1477"/>
      <c r="AG96" s="1477"/>
      <c r="AH96" s="1477"/>
      <c r="AI96" s="1477"/>
      <c r="AJ96" s="1477"/>
      <c r="AK96" s="1477"/>
      <c r="AL96" s="1477"/>
      <c r="AM96" s="1477"/>
      <c r="AN96" s="1477"/>
      <c r="AO96" s="1477"/>
      <c r="AP96" s="1477"/>
      <c r="AQ96" s="1477"/>
      <c r="AR96" s="1477"/>
      <c r="AS96" s="1477"/>
      <c r="AT96" s="1477"/>
      <c r="AU96" s="1477"/>
      <c r="AV96" s="1477"/>
      <c r="AW96" s="1477"/>
      <c r="AX96" s="1477"/>
      <c r="AY96" s="1477"/>
      <c r="AZ96" s="1477"/>
      <c r="BA96" s="1477"/>
      <c r="BB96" s="1477"/>
      <c r="BC96" s="1477"/>
      <c r="BD96" s="1477"/>
      <c r="BE96" s="1477"/>
      <c r="BF96" s="1477"/>
      <c r="BG96" s="1477"/>
      <c r="BH96" s="1477"/>
      <c r="BI96" s="1477"/>
      <c r="BJ96" s="1477"/>
      <c r="BK96" s="1477"/>
      <c r="BL96" s="1477"/>
      <c r="BM96" s="1477"/>
      <c r="BN96" s="1477"/>
      <c r="BO96" s="1477"/>
      <c r="BP96" s="1477"/>
      <c r="BQ96" s="1477"/>
      <c r="BR96" s="1477"/>
      <c r="BS96" s="1477"/>
      <c r="BT96" s="1477"/>
      <c r="BU96" s="1477"/>
      <c r="BV96" s="1477"/>
      <c r="BW96" s="1477"/>
      <c r="BX96" s="1477"/>
      <c r="BY96" s="1477"/>
      <c r="BZ96" s="1477"/>
      <c r="CA96" s="1477"/>
      <c r="CB96" s="1477"/>
      <c r="CC96" s="1477"/>
      <c r="CD96" s="1477"/>
      <c r="CE96" s="1477"/>
      <c r="CF96" s="1477"/>
      <c r="CG96" s="1477"/>
      <c r="CH96" s="1477"/>
      <c r="CI96" s="1477"/>
      <c r="CJ96" s="1477">
        <v>1</v>
      </c>
      <c r="CK96" s="1477"/>
      <c r="CL96" s="1477"/>
      <c r="CM96" s="1477"/>
      <c r="CN96" s="1477"/>
      <c r="CO96" s="1477"/>
      <c r="CP96" s="1477"/>
      <c r="CQ96" s="1477"/>
      <c r="CR96" s="1477"/>
      <c r="CS96" s="1477"/>
      <c r="CT96" s="1477"/>
      <c r="CU96" s="1477"/>
      <c r="CV96" s="1477"/>
      <c r="CW96" s="1477"/>
      <c r="CX96" s="1477"/>
      <c r="CY96" s="1477"/>
    </row>
    <row r="97" spans="1:103" s="15" customFormat="1" ht="15" customHeight="1">
      <c r="A97" s="1185">
        <v>88</v>
      </c>
      <c r="B97" s="1103"/>
      <c r="C97" s="1103"/>
      <c r="D97" s="1477"/>
      <c r="E97" s="1477"/>
      <c r="F97" s="1477"/>
      <c r="G97" s="1477"/>
      <c r="H97" s="1477"/>
      <c r="I97" s="1477"/>
      <c r="J97" s="1477"/>
      <c r="K97" s="1477"/>
      <c r="L97" s="1477"/>
      <c r="M97" s="1477"/>
      <c r="N97" s="1477"/>
      <c r="O97" s="1477"/>
      <c r="P97" s="1477"/>
      <c r="Q97" s="1477"/>
      <c r="R97" s="1477"/>
      <c r="S97" s="1477"/>
      <c r="T97" s="1477"/>
      <c r="U97" s="1477"/>
      <c r="V97" s="1477"/>
      <c r="W97" s="1477"/>
      <c r="X97" s="1477"/>
      <c r="Y97" s="1477"/>
      <c r="Z97" s="1477"/>
      <c r="AA97" s="1477"/>
      <c r="AB97" s="1477"/>
      <c r="AC97" s="1477"/>
      <c r="AD97" s="1477"/>
      <c r="AE97" s="1477"/>
      <c r="AF97" s="1477"/>
      <c r="AG97" s="1477"/>
      <c r="AH97" s="1477"/>
      <c r="AI97" s="1477"/>
      <c r="AJ97" s="1477"/>
      <c r="AK97" s="1477"/>
      <c r="AL97" s="1477"/>
      <c r="AM97" s="1477"/>
      <c r="AN97" s="1477"/>
      <c r="AO97" s="1477"/>
      <c r="AP97" s="1477"/>
      <c r="AQ97" s="1477"/>
      <c r="AR97" s="1477"/>
      <c r="AS97" s="1477"/>
      <c r="AT97" s="1477"/>
      <c r="AU97" s="1477"/>
      <c r="AV97" s="1477"/>
      <c r="AW97" s="1477"/>
      <c r="AX97" s="1477"/>
      <c r="AY97" s="1477"/>
      <c r="AZ97" s="1477"/>
      <c r="BA97" s="1477"/>
      <c r="BB97" s="1477"/>
      <c r="BC97" s="1477"/>
      <c r="BD97" s="1477"/>
      <c r="BE97" s="1477"/>
      <c r="BF97" s="1477"/>
      <c r="BG97" s="1477"/>
      <c r="BH97" s="1477"/>
      <c r="BI97" s="1477"/>
      <c r="BJ97" s="1477"/>
      <c r="BK97" s="1477"/>
      <c r="BL97" s="1477"/>
      <c r="BM97" s="1477"/>
      <c r="BN97" s="1477"/>
      <c r="BO97" s="1477"/>
      <c r="BP97" s="1477"/>
      <c r="BQ97" s="1477"/>
      <c r="BR97" s="1477"/>
      <c r="BS97" s="1477"/>
      <c r="BT97" s="1477"/>
      <c r="BU97" s="1477"/>
      <c r="BV97" s="1477"/>
      <c r="BW97" s="1477"/>
      <c r="BX97" s="1477"/>
      <c r="BY97" s="1477"/>
      <c r="BZ97" s="1477"/>
      <c r="CA97" s="1477"/>
      <c r="CB97" s="1477"/>
      <c r="CC97" s="1477"/>
      <c r="CD97" s="1477"/>
      <c r="CE97" s="1477"/>
      <c r="CF97" s="1477"/>
      <c r="CG97" s="1477"/>
      <c r="CH97" s="1477"/>
      <c r="CI97" s="1477"/>
      <c r="CJ97" s="1477"/>
      <c r="CK97" s="1477">
        <v>1</v>
      </c>
      <c r="CL97" s="1477"/>
      <c r="CM97" s="1477"/>
      <c r="CN97" s="1477"/>
      <c r="CO97" s="1477"/>
      <c r="CP97" s="1477"/>
      <c r="CQ97" s="1477"/>
      <c r="CR97" s="1477"/>
      <c r="CS97" s="1477"/>
      <c r="CT97" s="1477"/>
      <c r="CU97" s="1477"/>
      <c r="CV97" s="1477"/>
      <c r="CW97" s="1477"/>
      <c r="CX97" s="1477"/>
      <c r="CY97" s="1477"/>
    </row>
    <row r="98" spans="1:103" s="15" customFormat="1" ht="15" customHeight="1">
      <c r="A98" s="1185">
        <v>89</v>
      </c>
      <c r="B98" s="1103"/>
      <c r="C98" s="1103"/>
      <c r="D98" s="1477"/>
      <c r="E98" s="1477"/>
      <c r="F98" s="1477"/>
      <c r="G98" s="1477"/>
      <c r="H98" s="1477"/>
      <c r="I98" s="1477"/>
      <c r="J98" s="1477"/>
      <c r="K98" s="1477"/>
      <c r="L98" s="1477"/>
      <c r="M98" s="1477"/>
      <c r="N98" s="1477"/>
      <c r="O98" s="1477"/>
      <c r="P98" s="1477"/>
      <c r="Q98" s="1477"/>
      <c r="R98" s="1477"/>
      <c r="S98" s="1477"/>
      <c r="T98" s="1477"/>
      <c r="U98" s="1477"/>
      <c r="V98" s="1477"/>
      <c r="W98" s="1477"/>
      <c r="X98" s="1477"/>
      <c r="Y98" s="1477"/>
      <c r="Z98" s="1477"/>
      <c r="AA98" s="1477"/>
      <c r="AB98" s="1477"/>
      <c r="AC98" s="1477"/>
      <c r="AD98" s="1477"/>
      <c r="AE98" s="1477"/>
      <c r="AF98" s="1477"/>
      <c r="AG98" s="1477"/>
      <c r="AH98" s="1477"/>
      <c r="AI98" s="1477"/>
      <c r="AJ98" s="1477"/>
      <c r="AK98" s="1477"/>
      <c r="AL98" s="1477"/>
      <c r="AM98" s="1477"/>
      <c r="AN98" s="1477"/>
      <c r="AO98" s="1477"/>
      <c r="AP98" s="1477"/>
      <c r="AQ98" s="1477"/>
      <c r="AR98" s="1477"/>
      <c r="AS98" s="1477"/>
      <c r="AT98" s="1477"/>
      <c r="AU98" s="1477"/>
      <c r="AV98" s="1477"/>
      <c r="AW98" s="1477"/>
      <c r="AX98" s="1477"/>
      <c r="AY98" s="1477"/>
      <c r="AZ98" s="1477"/>
      <c r="BA98" s="1477"/>
      <c r="BB98" s="1477"/>
      <c r="BC98" s="1477"/>
      <c r="BD98" s="1477"/>
      <c r="BE98" s="1477"/>
      <c r="BF98" s="1477"/>
      <c r="BG98" s="1477"/>
      <c r="BH98" s="1477"/>
      <c r="BI98" s="1477"/>
      <c r="BJ98" s="1477"/>
      <c r="BK98" s="1477"/>
      <c r="BL98" s="1477"/>
      <c r="BM98" s="1477"/>
      <c r="BN98" s="1477"/>
      <c r="BO98" s="1477"/>
      <c r="BP98" s="1477"/>
      <c r="BQ98" s="1477"/>
      <c r="BR98" s="1477"/>
      <c r="BS98" s="1477"/>
      <c r="BT98" s="1477"/>
      <c r="BU98" s="1477"/>
      <c r="BV98" s="1477"/>
      <c r="BW98" s="1477"/>
      <c r="BX98" s="1477"/>
      <c r="BY98" s="1477"/>
      <c r="BZ98" s="1477"/>
      <c r="CA98" s="1477"/>
      <c r="CB98" s="1477"/>
      <c r="CC98" s="1477"/>
      <c r="CD98" s="1477"/>
      <c r="CE98" s="1477"/>
      <c r="CF98" s="1477"/>
      <c r="CG98" s="1477"/>
      <c r="CH98" s="1477"/>
      <c r="CI98" s="1477"/>
      <c r="CJ98" s="1477"/>
      <c r="CK98" s="1477"/>
      <c r="CL98" s="1477">
        <v>1</v>
      </c>
      <c r="CM98" s="1477"/>
      <c r="CN98" s="1477"/>
      <c r="CO98" s="1477"/>
      <c r="CP98" s="1477"/>
      <c r="CQ98" s="1477"/>
      <c r="CR98" s="1477"/>
      <c r="CS98" s="1477"/>
      <c r="CT98" s="1477"/>
      <c r="CU98" s="1477"/>
      <c r="CV98" s="1477"/>
      <c r="CW98" s="1477"/>
      <c r="CX98" s="1477"/>
      <c r="CY98" s="1477"/>
    </row>
    <row r="99" spans="1:103" s="15" customFormat="1" ht="15" customHeight="1">
      <c r="A99" s="1185">
        <v>90</v>
      </c>
      <c r="B99" s="1103"/>
      <c r="C99" s="1103"/>
      <c r="D99" s="1477"/>
      <c r="E99" s="1477"/>
      <c r="F99" s="1477"/>
      <c r="G99" s="1477"/>
      <c r="H99" s="1477"/>
      <c r="I99" s="1477"/>
      <c r="J99" s="1477"/>
      <c r="K99" s="1477"/>
      <c r="L99" s="1477"/>
      <c r="M99" s="1477"/>
      <c r="N99" s="1477"/>
      <c r="O99" s="1477"/>
      <c r="P99" s="1477"/>
      <c r="Q99" s="1477"/>
      <c r="R99" s="1477"/>
      <c r="S99" s="1477"/>
      <c r="T99" s="1477"/>
      <c r="U99" s="1477"/>
      <c r="V99" s="1477"/>
      <c r="W99" s="1477"/>
      <c r="X99" s="1477"/>
      <c r="Y99" s="1477"/>
      <c r="Z99" s="1477"/>
      <c r="AA99" s="1477"/>
      <c r="AB99" s="1477"/>
      <c r="AC99" s="1477"/>
      <c r="AD99" s="1477"/>
      <c r="AE99" s="1477"/>
      <c r="AF99" s="1477"/>
      <c r="AG99" s="1477"/>
      <c r="AH99" s="1477"/>
      <c r="AI99" s="1477"/>
      <c r="AJ99" s="1477"/>
      <c r="AK99" s="1477"/>
      <c r="AL99" s="1477"/>
      <c r="AM99" s="1477"/>
      <c r="AN99" s="1477"/>
      <c r="AO99" s="1477"/>
      <c r="AP99" s="1477"/>
      <c r="AQ99" s="1477"/>
      <c r="AR99" s="1477"/>
      <c r="AS99" s="1477"/>
      <c r="AT99" s="1477"/>
      <c r="AU99" s="1477"/>
      <c r="AV99" s="1477"/>
      <c r="AW99" s="1477"/>
      <c r="AX99" s="1477"/>
      <c r="AY99" s="1477"/>
      <c r="AZ99" s="1477"/>
      <c r="BA99" s="1477"/>
      <c r="BB99" s="1477"/>
      <c r="BC99" s="1477"/>
      <c r="BD99" s="1477"/>
      <c r="BE99" s="1477"/>
      <c r="BF99" s="1477"/>
      <c r="BG99" s="1477"/>
      <c r="BH99" s="1477"/>
      <c r="BI99" s="1477"/>
      <c r="BJ99" s="1477"/>
      <c r="BK99" s="1477"/>
      <c r="BL99" s="1477"/>
      <c r="BM99" s="1477"/>
      <c r="BN99" s="1477"/>
      <c r="BO99" s="1477"/>
      <c r="BP99" s="1477"/>
      <c r="BQ99" s="1477"/>
      <c r="BR99" s="1477"/>
      <c r="BS99" s="1477"/>
      <c r="BT99" s="1477"/>
      <c r="BU99" s="1477"/>
      <c r="BV99" s="1477"/>
      <c r="BW99" s="1477"/>
      <c r="BX99" s="1477"/>
      <c r="BY99" s="1477"/>
      <c r="BZ99" s="1477"/>
      <c r="CA99" s="1477"/>
      <c r="CB99" s="1477"/>
      <c r="CC99" s="1477"/>
      <c r="CD99" s="1477"/>
      <c r="CE99" s="1477"/>
      <c r="CF99" s="1477"/>
      <c r="CG99" s="1477"/>
      <c r="CH99" s="1477"/>
      <c r="CI99" s="1477"/>
      <c r="CJ99" s="1477"/>
      <c r="CK99" s="1477"/>
      <c r="CL99" s="1477"/>
      <c r="CM99" s="1477">
        <v>1</v>
      </c>
      <c r="CN99" s="1477"/>
      <c r="CO99" s="1477"/>
      <c r="CP99" s="1477"/>
      <c r="CQ99" s="1477"/>
      <c r="CR99" s="1477"/>
      <c r="CS99" s="1477"/>
      <c r="CT99" s="1477"/>
      <c r="CU99" s="1477"/>
      <c r="CV99" s="1477"/>
      <c r="CW99" s="1477"/>
      <c r="CX99" s="1477"/>
      <c r="CY99" s="1477"/>
    </row>
    <row r="100" spans="1:103" s="15" customFormat="1" ht="15" customHeight="1">
      <c r="A100" s="1185">
        <v>91</v>
      </c>
      <c r="B100" s="1103"/>
      <c r="C100" s="1103"/>
      <c r="D100" s="1477"/>
      <c r="E100" s="1477"/>
      <c r="F100" s="1477"/>
      <c r="G100" s="1477"/>
      <c r="H100" s="1477"/>
      <c r="I100" s="1477"/>
      <c r="J100" s="1477"/>
      <c r="K100" s="1477"/>
      <c r="L100" s="1477"/>
      <c r="M100" s="1477"/>
      <c r="N100" s="1477"/>
      <c r="O100" s="1477"/>
      <c r="P100" s="1477"/>
      <c r="Q100" s="1477"/>
      <c r="R100" s="1477"/>
      <c r="S100" s="1477"/>
      <c r="T100" s="1477"/>
      <c r="U100" s="1477"/>
      <c r="V100" s="1477"/>
      <c r="W100" s="1477"/>
      <c r="X100" s="1477"/>
      <c r="Y100" s="1477"/>
      <c r="Z100" s="1477"/>
      <c r="AA100" s="1477"/>
      <c r="AB100" s="1477"/>
      <c r="AC100" s="1477"/>
      <c r="AD100" s="1477"/>
      <c r="AE100" s="1477"/>
      <c r="AF100" s="1477"/>
      <c r="AG100" s="1477"/>
      <c r="AH100" s="1477"/>
      <c r="AI100" s="1477"/>
      <c r="AJ100" s="1477"/>
      <c r="AK100" s="1477"/>
      <c r="AL100" s="1477"/>
      <c r="AM100" s="1477"/>
      <c r="AN100" s="1477"/>
      <c r="AO100" s="1477"/>
      <c r="AP100" s="1477"/>
      <c r="AQ100" s="1477"/>
      <c r="AR100" s="1477"/>
      <c r="AS100" s="1477"/>
      <c r="AT100" s="1477"/>
      <c r="AU100" s="1477"/>
      <c r="AV100" s="1477"/>
      <c r="AW100" s="1477"/>
      <c r="AX100" s="1477"/>
      <c r="AY100" s="1477"/>
      <c r="AZ100" s="1477"/>
      <c r="BA100" s="1477"/>
      <c r="BB100" s="1477"/>
      <c r="BC100" s="1477"/>
      <c r="BD100" s="1477"/>
      <c r="BE100" s="1477"/>
      <c r="BF100" s="1477"/>
      <c r="BG100" s="1477"/>
      <c r="BH100" s="1477"/>
      <c r="BI100" s="1477"/>
      <c r="BJ100" s="1477"/>
      <c r="BK100" s="1477"/>
      <c r="BL100" s="1477"/>
      <c r="BM100" s="1477"/>
      <c r="BN100" s="1477"/>
      <c r="BO100" s="1477"/>
      <c r="BP100" s="1477"/>
      <c r="BQ100" s="1477"/>
      <c r="BR100" s="1477"/>
      <c r="BS100" s="1477"/>
      <c r="BT100" s="1477"/>
      <c r="BU100" s="1477"/>
      <c r="BV100" s="1477"/>
      <c r="BW100" s="1477"/>
      <c r="BX100" s="1477"/>
      <c r="BY100" s="1477"/>
      <c r="BZ100" s="1477"/>
      <c r="CA100" s="1477"/>
      <c r="CB100" s="1477"/>
      <c r="CC100" s="1477"/>
      <c r="CD100" s="1477"/>
      <c r="CE100" s="1477"/>
      <c r="CF100" s="1477"/>
      <c r="CG100" s="1477"/>
      <c r="CH100" s="1477"/>
      <c r="CI100" s="1477"/>
      <c r="CJ100" s="1477"/>
      <c r="CK100" s="1477"/>
      <c r="CL100" s="1477"/>
      <c r="CM100" s="1477"/>
      <c r="CN100" s="1477">
        <v>1</v>
      </c>
      <c r="CO100" s="1477"/>
      <c r="CP100" s="1477"/>
      <c r="CQ100" s="1477"/>
      <c r="CR100" s="1477"/>
      <c r="CS100" s="1477"/>
      <c r="CT100" s="1477"/>
      <c r="CU100" s="1477"/>
      <c r="CV100" s="1477"/>
      <c r="CW100" s="1477"/>
      <c r="CX100" s="1477"/>
      <c r="CY100" s="1477"/>
    </row>
    <row r="101" spans="1:103" s="15" customFormat="1" ht="15" customHeight="1">
      <c r="A101" s="1185">
        <v>92</v>
      </c>
      <c r="B101" s="1103"/>
      <c r="C101" s="1103"/>
      <c r="D101" s="1477"/>
      <c r="E101" s="1477"/>
      <c r="F101" s="1477"/>
      <c r="G101" s="1477"/>
      <c r="H101" s="1477"/>
      <c r="I101" s="1477"/>
      <c r="J101" s="1477"/>
      <c r="K101" s="1477"/>
      <c r="L101" s="1477"/>
      <c r="M101" s="1477"/>
      <c r="N101" s="1477"/>
      <c r="O101" s="1477"/>
      <c r="P101" s="1477"/>
      <c r="Q101" s="1477"/>
      <c r="R101" s="1477"/>
      <c r="S101" s="1477"/>
      <c r="T101" s="1477"/>
      <c r="U101" s="1477"/>
      <c r="V101" s="1477"/>
      <c r="W101" s="1477"/>
      <c r="X101" s="1477"/>
      <c r="Y101" s="1477"/>
      <c r="Z101" s="1477"/>
      <c r="AA101" s="1477"/>
      <c r="AB101" s="1477"/>
      <c r="AC101" s="1477"/>
      <c r="AD101" s="1477"/>
      <c r="AE101" s="1477"/>
      <c r="AF101" s="1477"/>
      <c r="AG101" s="1477"/>
      <c r="AH101" s="1477"/>
      <c r="AI101" s="1477"/>
      <c r="AJ101" s="1477"/>
      <c r="AK101" s="1477"/>
      <c r="AL101" s="1477"/>
      <c r="AM101" s="1477"/>
      <c r="AN101" s="1477"/>
      <c r="AO101" s="1477"/>
      <c r="AP101" s="1477"/>
      <c r="AQ101" s="1477"/>
      <c r="AR101" s="1477"/>
      <c r="AS101" s="1477"/>
      <c r="AT101" s="1477"/>
      <c r="AU101" s="1477"/>
      <c r="AV101" s="1477"/>
      <c r="AW101" s="1477"/>
      <c r="AX101" s="1477"/>
      <c r="AY101" s="1477"/>
      <c r="AZ101" s="1477"/>
      <c r="BA101" s="1477"/>
      <c r="BB101" s="1477"/>
      <c r="BC101" s="1477"/>
      <c r="BD101" s="1477"/>
      <c r="BE101" s="1477"/>
      <c r="BF101" s="1477"/>
      <c r="BG101" s="1477"/>
      <c r="BH101" s="1477"/>
      <c r="BI101" s="1477"/>
      <c r="BJ101" s="1477"/>
      <c r="BK101" s="1477"/>
      <c r="BL101" s="1477"/>
      <c r="BM101" s="1477"/>
      <c r="BN101" s="1477"/>
      <c r="BO101" s="1477"/>
      <c r="BP101" s="1477"/>
      <c r="BQ101" s="1477"/>
      <c r="BR101" s="1477"/>
      <c r="BS101" s="1477"/>
      <c r="BT101" s="1477"/>
      <c r="BU101" s="1477"/>
      <c r="BV101" s="1477"/>
      <c r="BW101" s="1477"/>
      <c r="BX101" s="1477"/>
      <c r="BY101" s="1477"/>
      <c r="BZ101" s="1477"/>
      <c r="CA101" s="1477"/>
      <c r="CB101" s="1477"/>
      <c r="CC101" s="1477"/>
      <c r="CD101" s="1477"/>
      <c r="CE101" s="1477"/>
      <c r="CF101" s="1477"/>
      <c r="CG101" s="1477"/>
      <c r="CH101" s="1477"/>
      <c r="CI101" s="1477"/>
      <c r="CJ101" s="1477"/>
      <c r="CK101" s="1477"/>
      <c r="CL101" s="1477"/>
      <c r="CM101" s="1477"/>
      <c r="CN101" s="1477"/>
      <c r="CO101" s="1477">
        <v>1</v>
      </c>
      <c r="CP101" s="1477"/>
      <c r="CQ101" s="1477"/>
      <c r="CR101" s="1477"/>
      <c r="CS101" s="1477"/>
      <c r="CT101" s="1477"/>
      <c r="CU101" s="1477"/>
      <c r="CV101" s="1477"/>
      <c r="CW101" s="1477"/>
      <c r="CX101" s="1477"/>
      <c r="CY101" s="1477"/>
    </row>
    <row r="102" spans="1:103" s="15" customFormat="1" ht="15" customHeight="1">
      <c r="A102" s="1185">
        <v>93</v>
      </c>
      <c r="B102" s="1103"/>
      <c r="C102" s="1103"/>
      <c r="D102" s="1477"/>
      <c r="E102" s="1477"/>
      <c r="F102" s="1477"/>
      <c r="G102" s="1477"/>
      <c r="H102" s="1477"/>
      <c r="I102" s="1477"/>
      <c r="J102" s="1477"/>
      <c r="K102" s="1477"/>
      <c r="L102" s="1477"/>
      <c r="M102" s="1477"/>
      <c r="N102" s="1477"/>
      <c r="O102" s="1477"/>
      <c r="P102" s="1477"/>
      <c r="Q102" s="1477"/>
      <c r="R102" s="1477"/>
      <c r="S102" s="1477"/>
      <c r="T102" s="1477"/>
      <c r="U102" s="1477"/>
      <c r="V102" s="1477"/>
      <c r="W102" s="1477"/>
      <c r="X102" s="1477"/>
      <c r="Y102" s="1477"/>
      <c r="Z102" s="1477"/>
      <c r="AA102" s="1477"/>
      <c r="AB102" s="1477"/>
      <c r="AC102" s="1477"/>
      <c r="AD102" s="1477"/>
      <c r="AE102" s="1477"/>
      <c r="AF102" s="1477"/>
      <c r="AG102" s="1477"/>
      <c r="AH102" s="1477"/>
      <c r="AI102" s="1477"/>
      <c r="AJ102" s="1477"/>
      <c r="AK102" s="1477"/>
      <c r="AL102" s="1477"/>
      <c r="AM102" s="1477"/>
      <c r="AN102" s="1477"/>
      <c r="AO102" s="1477"/>
      <c r="AP102" s="1477"/>
      <c r="AQ102" s="1477"/>
      <c r="AR102" s="1477"/>
      <c r="AS102" s="1477"/>
      <c r="AT102" s="1477"/>
      <c r="AU102" s="1477"/>
      <c r="AV102" s="1477"/>
      <c r="AW102" s="1477"/>
      <c r="AX102" s="1477"/>
      <c r="AY102" s="1477"/>
      <c r="AZ102" s="1477"/>
      <c r="BA102" s="1477"/>
      <c r="BB102" s="1477"/>
      <c r="BC102" s="1477"/>
      <c r="BD102" s="1477"/>
      <c r="BE102" s="1477"/>
      <c r="BF102" s="1477"/>
      <c r="BG102" s="1477"/>
      <c r="BH102" s="1477"/>
      <c r="BI102" s="1477"/>
      <c r="BJ102" s="1477"/>
      <c r="BK102" s="1477"/>
      <c r="BL102" s="1477"/>
      <c r="BM102" s="1477"/>
      <c r="BN102" s="1477"/>
      <c r="BO102" s="1477"/>
      <c r="BP102" s="1477"/>
      <c r="BQ102" s="1477"/>
      <c r="BR102" s="1477"/>
      <c r="BS102" s="1477"/>
      <c r="BT102" s="1477"/>
      <c r="BU102" s="1477"/>
      <c r="BV102" s="1477"/>
      <c r="BW102" s="1477"/>
      <c r="BX102" s="1477"/>
      <c r="BY102" s="1477"/>
      <c r="BZ102" s="1477"/>
      <c r="CA102" s="1477"/>
      <c r="CB102" s="1477"/>
      <c r="CC102" s="1477"/>
      <c r="CD102" s="1477"/>
      <c r="CE102" s="1477"/>
      <c r="CF102" s="1477"/>
      <c r="CG102" s="1477"/>
      <c r="CH102" s="1477"/>
      <c r="CI102" s="1477"/>
      <c r="CJ102" s="1477"/>
      <c r="CK102" s="1477"/>
      <c r="CL102" s="1477"/>
      <c r="CM102" s="1477"/>
      <c r="CN102" s="1477"/>
      <c r="CO102" s="1477"/>
      <c r="CP102" s="1477">
        <v>1</v>
      </c>
      <c r="CQ102" s="1477"/>
      <c r="CR102" s="1477"/>
      <c r="CS102" s="1477"/>
      <c r="CT102" s="1477"/>
      <c r="CU102" s="1477"/>
      <c r="CV102" s="1477"/>
      <c r="CW102" s="1477"/>
      <c r="CX102" s="1477"/>
      <c r="CY102" s="1477"/>
    </row>
    <row r="103" spans="1:103" s="15" customFormat="1" ht="15" customHeight="1">
      <c r="A103" s="1185">
        <v>94</v>
      </c>
      <c r="B103" s="1103"/>
      <c r="C103" s="1103"/>
      <c r="D103" s="1477"/>
      <c r="E103" s="1477"/>
      <c r="F103" s="1477"/>
      <c r="G103" s="1477"/>
      <c r="H103" s="1477"/>
      <c r="I103" s="1477"/>
      <c r="J103" s="1477"/>
      <c r="K103" s="1477"/>
      <c r="L103" s="1477"/>
      <c r="M103" s="1477"/>
      <c r="N103" s="1477"/>
      <c r="O103" s="1477"/>
      <c r="P103" s="1477"/>
      <c r="Q103" s="1477"/>
      <c r="R103" s="1477"/>
      <c r="S103" s="1477"/>
      <c r="T103" s="1477"/>
      <c r="U103" s="1477"/>
      <c r="V103" s="1477"/>
      <c r="W103" s="1477"/>
      <c r="X103" s="1477"/>
      <c r="Y103" s="1477"/>
      <c r="Z103" s="1477"/>
      <c r="AA103" s="1477"/>
      <c r="AB103" s="1477"/>
      <c r="AC103" s="1477"/>
      <c r="AD103" s="1477"/>
      <c r="AE103" s="1477"/>
      <c r="AF103" s="1477"/>
      <c r="AG103" s="1477"/>
      <c r="AH103" s="1477"/>
      <c r="AI103" s="1477"/>
      <c r="AJ103" s="1477"/>
      <c r="AK103" s="1477"/>
      <c r="AL103" s="1477"/>
      <c r="AM103" s="1477"/>
      <c r="AN103" s="1477"/>
      <c r="AO103" s="1477"/>
      <c r="AP103" s="1477"/>
      <c r="AQ103" s="1477"/>
      <c r="AR103" s="1477"/>
      <c r="AS103" s="1477"/>
      <c r="AT103" s="1477"/>
      <c r="AU103" s="1477"/>
      <c r="AV103" s="1477"/>
      <c r="AW103" s="1477"/>
      <c r="AX103" s="1477"/>
      <c r="AY103" s="1477"/>
      <c r="AZ103" s="1477"/>
      <c r="BA103" s="1477"/>
      <c r="BB103" s="1477"/>
      <c r="BC103" s="1477"/>
      <c r="BD103" s="1477"/>
      <c r="BE103" s="1477"/>
      <c r="BF103" s="1477"/>
      <c r="BG103" s="1477"/>
      <c r="BH103" s="1477"/>
      <c r="BI103" s="1477"/>
      <c r="BJ103" s="1477"/>
      <c r="BK103" s="1477"/>
      <c r="BL103" s="1477"/>
      <c r="BM103" s="1477"/>
      <c r="BN103" s="1477"/>
      <c r="BO103" s="1477"/>
      <c r="BP103" s="1477"/>
      <c r="BQ103" s="1477"/>
      <c r="BR103" s="1477"/>
      <c r="BS103" s="1477"/>
      <c r="BT103" s="1477"/>
      <c r="BU103" s="1477"/>
      <c r="BV103" s="1477"/>
      <c r="BW103" s="1477"/>
      <c r="BX103" s="1477"/>
      <c r="BY103" s="1477"/>
      <c r="BZ103" s="1477"/>
      <c r="CA103" s="1477"/>
      <c r="CB103" s="1477"/>
      <c r="CC103" s="1477"/>
      <c r="CD103" s="1477"/>
      <c r="CE103" s="1477"/>
      <c r="CF103" s="1477"/>
      <c r="CG103" s="1477"/>
      <c r="CH103" s="1477"/>
      <c r="CI103" s="1477"/>
      <c r="CJ103" s="1477"/>
      <c r="CK103" s="1477"/>
      <c r="CL103" s="1477"/>
      <c r="CM103" s="1477"/>
      <c r="CN103" s="1477"/>
      <c r="CO103" s="1477"/>
      <c r="CP103" s="1477"/>
      <c r="CQ103" s="1477">
        <v>1</v>
      </c>
      <c r="CR103" s="1477"/>
      <c r="CS103" s="1477"/>
      <c r="CT103" s="1477"/>
      <c r="CU103" s="1477"/>
      <c r="CV103" s="1477"/>
      <c r="CW103" s="1477"/>
      <c r="CX103" s="1477"/>
      <c r="CY103" s="1477"/>
    </row>
    <row r="104" spans="1:103" s="15" customFormat="1" ht="15" customHeight="1">
      <c r="A104" s="1185">
        <v>95</v>
      </c>
      <c r="B104" s="1103"/>
      <c r="C104" s="1103"/>
      <c r="D104" s="1477"/>
      <c r="E104" s="1477"/>
      <c r="F104" s="1477"/>
      <c r="G104" s="1477"/>
      <c r="H104" s="1477"/>
      <c r="I104" s="1477"/>
      <c r="J104" s="1477"/>
      <c r="K104" s="1477"/>
      <c r="L104" s="1477"/>
      <c r="M104" s="1477"/>
      <c r="N104" s="1477"/>
      <c r="O104" s="1477"/>
      <c r="P104" s="1477"/>
      <c r="Q104" s="1477"/>
      <c r="R104" s="1477"/>
      <c r="S104" s="1477"/>
      <c r="T104" s="1477"/>
      <c r="U104" s="1477"/>
      <c r="V104" s="1477"/>
      <c r="W104" s="1477"/>
      <c r="X104" s="1477"/>
      <c r="Y104" s="1477"/>
      <c r="Z104" s="1477"/>
      <c r="AA104" s="1477"/>
      <c r="AB104" s="1477"/>
      <c r="AC104" s="1477"/>
      <c r="AD104" s="1477"/>
      <c r="AE104" s="1477"/>
      <c r="AF104" s="1477"/>
      <c r="AG104" s="1477"/>
      <c r="AH104" s="1477"/>
      <c r="AI104" s="1477"/>
      <c r="AJ104" s="1477"/>
      <c r="AK104" s="1477"/>
      <c r="AL104" s="1477"/>
      <c r="AM104" s="1477"/>
      <c r="AN104" s="1477"/>
      <c r="AO104" s="1477"/>
      <c r="AP104" s="1477"/>
      <c r="AQ104" s="1477"/>
      <c r="AR104" s="1477"/>
      <c r="AS104" s="1477"/>
      <c r="AT104" s="1477"/>
      <c r="AU104" s="1477"/>
      <c r="AV104" s="1477"/>
      <c r="AW104" s="1477"/>
      <c r="AX104" s="1477"/>
      <c r="AY104" s="1477"/>
      <c r="AZ104" s="1477"/>
      <c r="BA104" s="1477"/>
      <c r="BB104" s="1477"/>
      <c r="BC104" s="1477"/>
      <c r="BD104" s="1477"/>
      <c r="BE104" s="1477"/>
      <c r="BF104" s="1477"/>
      <c r="BG104" s="1477"/>
      <c r="BH104" s="1477"/>
      <c r="BI104" s="1477"/>
      <c r="BJ104" s="1477"/>
      <c r="BK104" s="1477"/>
      <c r="BL104" s="1477"/>
      <c r="BM104" s="1477"/>
      <c r="BN104" s="1477"/>
      <c r="BO104" s="1477"/>
      <c r="BP104" s="1477"/>
      <c r="BQ104" s="1477"/>
      <c r="BR104" s="1477"/>
      <c r="BS104" s="1477"/>
      <c r="BT104" s="1477"/>
      <c r="BU104" s="1477"/>
      <c r="BV104" s="1477"/>
      <c r="BW104" s="1477"/>
      <c r="BX104" s="1477"/>
      <c r="BY104" s="1477"/>
      <c r="BZ104" s="1477"/>
      <c r="CA104" s="1477"/>
      <c r="CB104" s="1477"/>
      <c r="CC104" s="1477"/>
      <c r="CD104" s="1477"/>
      <c r="CE104" s="1477"/>
      <c r="CF104" s="1477"/>
      <c r="CG104" s="1477"/>
      <c r="CH104" s="1477"/>
      <c r="CI104" s="1477"/>
      <c r="CJ104" s="1477"/>
      <c r="CK104" s="1477"/>
      <c r="CL104" s="1477"/>
      <c r="CM104" s="1477"/>
      <c r="CN104" s="1477"/>
      <c r="CO104" s="1477"/>
      <c r="CP104" s="1477"/>
      <c r="CQ104" s="1477"/>
      <c r="CR104" s="1477">
        <v>1</v>
      </c>
      <c r="CS104" s="1477"/>
      <c r="CT104" s="1477"/>
      <c r="CU104" s="1477"/>
      <c r="CV104" s="1477"/>
      <c r="CW104" s="1477"/>
      <c r="CX104" s="1477"/>
      <c r="CY104" s="1477"/>
    </row>
    <row r="105" spans="1:103" s="15" customFormat="1" ht="15" customHeight="1">
      <c r="A105" s="1185">
        <v>96</v>
      </c>
      <c r="B105" s="1103"/>
      <c r="C105" s="1103"/>
      <c r="D105" s="1477"/>
      <c r="E105" s="1477"/>
      <c r="F105" s="1477"/>
      <c r="G105" s="1477"/>
      <c r="H105" s="1477"/>
      <c r="I105" s="1477"/>
      <c r="J105" s="1477"/>
      <c r="K105" s="1477"/>
      <c r="L105" s="1477"/>
      <c r="M105" s="1477"/>
      <c r="N105" s="1477"/>
      <c r="O105" s="1477"/>
      <c r="P105" s="1477"/>
      <c r="Q105" s="1477"/>
      <c r="R105" s="1477"/>
      <c r="S105" s="1477"/>
      <c r="T105" s="1477"/>
      <c r="U105" s="1477"/>
      <c r="V105" s="1477"/>
      <c r="W105" s="1477"/>
      <c r="X105" s="1477"/>
      <c r="Y105" s="1477"/>
      <c r="Z105" s="1477"/>
      <c r="AA105" s="1477"/>
      <c r="AB105" s="1477"/>
      <c r="AC105" s="1477"/>
      <c r="AD105" s="1477"/>
      <c r="AE105" s="1477"/>
      <c r="AF105" s="1477"/>
      <c r="AG105" s="1477"/>
      <c r="AH105" s="1477"/>
      <c r="AI105" s="1477"/>
      <c r="AJ105" s="1477"/>
      <c r="AK105" s="1477"/>
      <c r="AL105" s="1477"/>
      <c r="AM105" s="1477"/>
      <c r="AN105" s="1477"/>
      <c r="AO105" s="1477"/>
      <c r="AP105" s="1477"/>
      <c r="AQ105" s="1477"/>
      <c r="AR105" s="1477"/>
      <c r="AS105" s="1477"/>
      <c r="AT105" s="1477"/>
      <c r="AU105" s="1477"/>
      <c r="AV105" s="1477"/>
      <c r="AW105" s="1477"/>
      <c r="AX105" s="1477"/>
      <c r="AY105" s="1477"/>
      <c r="AZ105" s="1477"/>
      <c r="BA105" s="1477"/>
      <c r="BB105" s="1477"/>
      <c r="BC105" s="1477"/>
      <c r="BD105" s="1477"/>
      <c r="BE105" s="1477"/>
      <c r="BF105" s="1477"/>
      <c r="BG105" s="1477"/>
      <c r="BH105" s="1477"/>
      <c r="BI105" s="1477"/>
      <c r="BJ105" s="1477"/>
      <c r="BK105" s="1477"/>
      <c r="BL105" s="1477"/>
      <c r="BM105" s="1477"/>
      <c r="BN105" s="1477"/>
      <c r="BO105" s="1477"/>
      <c r="BP105" s="1477"/>
      <c r="BQ105" s="1477"/>
      <c r="BR105" s="1477"/>
      <c r="BS105" s="1477"/>
      <c r="BT105" s="1477"/>
      <c r="BU105" s="1477"/>
      <c r="BV105" s="1477"/>
      <c r="BW105" s="1477"/>
      <c r="BX105" s="1477"/>
      <c r="BY105" s="1477"/>
      <c r="BZ105" s="1477"/>
      <c r="CA105" s="1477"/>
      <c r="CB105" s="1477"/>
      <c r="CC105" s="1477"/>
      <c r="CD105" s="1477"/>
      <c r="CE105" s="1477"/>
      <c r="CF105" s="1477"/>
      <c r="CG105" s="1477"/>
      <c r="CH105" s="1477"/>
      <c r="CI105" s="1477"/>
      <c r="CJ105" s="1477"/>
      <c r="CK105" s="1477"/>
      <c r="CL105" s="1477"/>
      <c r="CM105" s="1477"/>
      <c r="CN105" s="1477"/>
      <c r="CO105" s="1477"/>
      <c r="CP105" s="1477"/>
      <c r="CQ105" s="1477"/>
      <c r="CR105" s="1477"/>
      <c r="CS105" s="1477">
        <v>1</v>
      </c>
      <c r="CT105" s="1477"/>
      <c r="CU105" s="1477"/>
      <c r="CV105" s="1477"/>
      <c r="CW105" s="1477"/>
      <c r="CX105" s="1477"/>
      <c r="CY105" s="1477"/>
    </row>
    <row r="106" spans="1:103" s="15" customFormat="1" ht="15" customHeight="1">
      <c r="A106" s="1185">
        <v>97</v>
      </c>
      <c r="B106" s="1103"/>
      <c r="C106" s="1103"/>
      <c r="D106" s="1477"/>
      <c r="E106" s="1477"/>
      <c r="F106" s="1477"/>
      <c r="G106" s="1477"/>
      <c r="H106" s="1477"/>
      <c r="I106" s="1477"/>
      <c r="J106" s="1477"/>
      <c r="K106" s="1477"/>
      <c r="L106" s="1477"/>
      <c r="M106" s="1477"/>
      <c r="N106" s="1477"/>
      <c r="O106" s="1477"/>
      <c r="P106" s="1477"/>
      <c r="Q106" s="1477"/>
      <c r="R106" s="1477"/>
      <c r="S106" s="1477"/>
      <c r="T106" s="1477"/>
      <c r="U106" s="1477"/>
      <c r="V106" s="1477"/>
      <c r="W106" s="1477"/>
      <c r="X106" s="1477"/>
      <c r="Y106" s="1477"/>
      <c r="Z106" s="1477"/>
      <c r="AA106" s="1477"/>
      <c r="AB106" s="1477"/>
      <c r="AC106" s="1477"/>
      <c r="AD106" s="1477"/>
      <c r="AE106" s="1477"/>
      <c r="AF106" s="1477"/>
      <c r="AG106" s="1477"/>
      <c r="AH106" s="1477"/>
      <c r="AI106" s="1477"/>
      <c r="AJ106" s="1477"/>
      <c r="AK106" s="1477"/>
      <c r="AL106" s="1477"/>
      <c r="AM106" s="1477"/>
      <c r="AN106" s="1477"/>
      <c r="AO106" s="1477"/>
      <c r="AP106" s="1477"/>
      <c r="AQ106" s="1477"/>
      <c r="AR106" s="1477"/>
      <c r="AS106" s="1477"/>
      <c r="AT106" s="1477"/>
      <c r="AU106" s="1477"/>
      <c r="AV106" s="1477"/>
      <c r="AW106" s="1477"/>
      <c r="AX106" s="1477"/>
      <c r="AY106" s="1477"/>
      <c r="AZ106" s="1477"/>
      <c r="BA106" s="1477"/>
      <c r="BB106" s="1477"/>
      <c r="BC106" s="1477"/>
      <c r="BD106" s="1477"/>
      <c r="BE106" s="1477"/>
      <c r="BF106" s="1477"/>
      <c r="BG106" s="1477"/>
      <c r="BH106" s="1477"/>
      <c r="BI106" s="1477"/>
      <c r="BJ106" s="1477"/>
      <c r="BK106" s="1477"/>
      <c r="BL106" s="1477"/>
      <c r="BM106" s="1477"/>
      <c r="BN106" s="1477"/>
      <c r="BO106" s="1477"/>
      <c r="BP106" s="1477"/>
      <c r="BQ106" s="1477"/>
      <c r="BR106" s="1477"/>
      <c r="BS106" s="1477"/>
      <c r="BT106" s="1477"/>
      <c r="BU106" s="1477"/>
      <c r="BV106" s="1477"/>
      <c r="BW106" s="1477"/>
      <c r="BX106" s="1477"/>
      <c r="BY106" s="1477"/>
      <c r="BZ106" s="1477"/>
      <c r="CA106" s="1477"/>
      <c r="CB106" s="1477"/>
      <c r="CC106" s="1477"/>
      <c r="CD106" s="1477"/>
      <c r="CE106" s="1477"/>
      <c r="CF106" s="1477"/>
      <c r="CG106" s="1477"/>
      <c r="CH106" s="1477"/>
      <c r="CI106" s="1477"/>
      <c r="CJ106" s="1477"/>
      <c r="CK106" s="1477"/>
      <c r="CL106" s="1477"/>
      <c r="CM106" s="1477"/>
      <c r="CN106" s="1477"/>
      <c r="CO106" s="1477"/>
      <c r="CP106" s="1477"/>
      <c r="CQ106" s="1477"/>
      <c r="CR106" s="1477"/>
      <c r="CS106" s="1477"/>
      <c r="CT106" s="1477">
        <v>1</v>
      </c>
      <c r="CU106" s="1477"/>
      <c r="CV106" s="1477"/>
      <c r="CW106" s="1477"/>
      <c r="CX106" s="1477"/>
      <c r="CY106" s="1477"/>
    </row>
    <row r="107" spans="1:103" s="15" customFormat="1" ht="15" customHeight="1">
      <c r="A107" s="1185">
        <v>98</v>
      </c>
      <c r="B107" s="1103"/>
      <c r="C107" s="1103"/>
      <c r="D107" s="1477"/>
      <c r="E107" s="1477"/>
      <c r="F107" s="1477"/>
      <c r="G107" s="1477"/>
      <c r="H107" s="1477"/>
      <c r="I107" s="1477"/>
      <c r="J107" s="1477"/>
      <c r="K107" s="1477"/>
      <c r="L107" s="1477"/>
      <c r="M107" s="1477"/>
      <c r="N107" s="1477"/>
      <c r="O107" s="1477"/>
      <c r="P107" s="1477"/>
      <c r="Q107" s="1477"/>
      <c r="R107" s="1477"/>
      <c r="S107" s="1477"/>
      <c r="T107" s="1477"/>
      <c r="U107" s="1477"/>
      <c r="V107" s="1477"/>
      <c r="W107" s="1477"/>
      <c r="X107" s="1477"/>
      <c r="Y107" s="1477"/>
      <c r="Z107" s="1477"/>
      <c r="AA107" s="1477"/>
      <c r="AB107" s="1477"/>
      <c r="AC107" s="1477"/>
      <c r="AD107" s="1477"/>
      <c r="AE107" s="1477"/>
      <c r="AF107" s="1477"/>
      <c r="AG107" s="1477"/>
      <c r="AH107" s="1477"/>
      <c r="AI107" s="1477"/>
      <c r="AJ107" s="1477"/>
      <c r="AK107" s="1477"/>
      <c r="AL107" s="1477"/>
      <c r="AM107" s="1477"/>
      <c r="AN107" s="1477"/>
      <c r="AO107" s="1477"/>
      <c r="AP107" s="1477"/>
      <c r="AQ107" s="1477"/>
      <c r="AR107" s="1477"/>
      <c r="AS107" s="1477"/>
      <c r="AT107" s="1477"/>
      <c r="AU107" s="1477"/>
      <c r="AV107" s="1477"/>
      <c r="AW107" s="1477"/>
      <c r="AX107" s="1477"/>
      <c r="AY107" s="1477"/>
      <c r="AZ107" s="1477"/>
      <c r="BA107" s="1477"/>
      <c r="BB107" s="1477"/>
      <c r="BC107" s="1477"/>
      <c r="BD107" s="1477"/>
      <c r="BE107" s="1477"/>
      <c r="BF107" s="1477"/>
      <c r="BG107" s="1477"/>
      <c r="BH107" s="1477"/>
      <c r="BI107" s="1477"/>
      <c r="BJ107" s="1477"/>
      <c r="BK107" s="1477"/>
      <c r="BL107" s="1477"/>
      <c r="BM107" s="1477"/>
      <c r="BN107" s="1477"/>
      <c r="BO107" s="1477"/>
      <c r="BP107" s="1477"/>
      <c r="BQ107" s="1477"/>
      <c r="BR107" s="1477"/>
      <c r="BS107" s="1477"/>
      <c r="BT107" s="1477"/>
      <c r="BU107" s="1477"/>
      <c r="BV107" s="1477"/>
      <c r="BW107" s="1477"/>
      <c r="BX107" s="1477"/>
      <c r="BY107" s="1477"/>
      <c r="BZ107" s="1477"/>
      <c r="CA107" s="1477"/>
      <c r="CB107" s="1477"/>
      <c r="CC107" s="1477"/>
      <c r="CD107" s="1477"/>
      <c r="CE107" s="1477"/>
      <c r="CF107" s="1477"/>
      <c r="CG107" s="1477"/>
      <c r="CH107" s="1477"/>
      <c r="CI107" s="1477"/>
      <c r="CJ107" s="1477"/>
      <c r="CK107" s="1477"/>
      <c r="CL107" s="1477"/>
      <c r="CM107" s="1477"/>
      <c r="CN107" s="1477"/>
      <c r="CO107" s="1477"/>
      <c r="CP107" s="1477"/>
      <c r="CQ107" s="1477"/>
      <c r="CR107" s="1477"/>
      <c r="CS107" s="1477"/>
      <c r="CT107" s="1477"/>
      <c r="CU107" s="1477">
        <v>1</v>
      </c>
      <c r="CV107" s="1477"/>
      <c r="CW107" s="1477"/>
      <c r="CX107" s="1477"/>
      <c r="CY107" s="1477"/>
    </row>
    <row r="108" spans="1:103" s="15" customFormat="1" ht="15" customHeight="1">
      <c r="A108" s="1185">
        <v>99</v>
      </c>
      <c r="B108" s="1103"/>
      <c r="C108" s="1103"/>
      <c r="D108" s="1477"/>
      <c r="E108" s="1477"/>
      <c r="F108" s="1477"/>
      <c r="G108" s="1477"/>
      <c r="H108" s="1477"/>
      <c r="I108" s="1477"/>
      <c r="J108" s="1477"/>
      <c r="K108" s="1477"/>
      <c r="L108" s="1477"/>
      <c r="M108" s="1477"/>
      <c r="N108" s="1477"/>
      <c r="O108" s="1477"/>
      <c r="P108" s="1477"/>
      <c r="Q108" s="1477"/>
      <c r="R108" s="1477"/>
      <c r="S108" s="1477"/>
      <c r="T108" s="1477"/>
      <c r="U108" s="1477"/>
      <c r="V108" s="1477"/>
      <c r="W108" s="1477"/>
      <c r="X108" s="1477"/>
      <c r="Y108" s="1477"/>
      <c r="Z108" s="1477"/>
      <c r="AA108" s="1477"/>
      <c r="AB108" s="1477"/>
      <c r="AC108" s="1477"/>
      <c r="AD108" s="1477"/>
      <c r="AE108" s="1477"/>
      <c r="AF108" s="1477"/>
      <c r="AG108" s="1477"/>
      <c r="AH108" s="1477"/>
      <c r="AI108" s="1477"/>
      <c r="AJ108" s="1477"/>
      <c r="AK108" s="1477"/>
      <c r="AL108" s="1477"/>
      <c r="AM108" s="1477"/>
      <c r="AN108" s="1477"/>
      <c r="AO108" s="1477"/>
      <c r="AP108" s="1477"/>
      <c r="AQ108" s="1477"/>
      <c r="AR108" s="1477"/>
      <c r="AS108" s="1477"/>
      <c r="AT108" s="1477"/>
      <c r="AU108" s="1477"/>
      <c r="AV108" s="1477"/>
      <c r="AW108" s="1477"/>
      <c r="AX108" s="1477"/>
      <c r="AY108" s="1477"/>
      <c r="AZ108" s="1477"/>
      <c r="BA108" s="1477"/>
      <c r="BB108" s="1477"/>
      <c r="BC108" s="1477"/>
      <c r="BD108" s="1477"/>
      <c r="BE108" s="1477"/>
      <c r="BF108" s="1477"/>
      <c r="BG108" s="1477"/>
      <c r="BH108" s="1477"/>
      <c r="BI108" s="1477"/>
      <c r="BJ108" s="1477"/>
      <c r="BK108" s="1477"/>
      <c r="BL108" s="1477"/>
      <c r="BM108" s="1477"/>
      <c r="BN108" s="1477"/>
      <c r="BO108" s="1477"/>
      <c r="BP108" s="1477"/>
      <c r="BQ108" s="1477"/>
      <c r="BR108" s="1477"/>
      <c r="BS108" s="1477"/>
      <c r="BT108" s="1477"/>
      <c r="BU108" s="1477"/>
      <c r="BV108" s="1477"/>
      <c r="BW108" s="1477"/>
      <c r="BX108" s="1477"/>
      <c r="BY108" s="1477"/>
      <c r="BZ108" s="1477"/>
      <c r="CA108" s="1477"/>
      <c r="CB108" s="1477"/>
      <c r="CC108" s="1477"/>
      <c r="CD108" s="1477"/>
      <c r="CE108" s="1477"/>
      <c r="CF108" s="1477"/>
      <c r="CG108" s="1477"/>
      <c r="CH108" s="1477"/>
      <c r="CI108" s="1477"/>
      <c r="CJ108" s="1477"/>
      <c r="CK108" s="1477"/>
      <c r="CL108" s="1477"/>
      <c r="CM108" s="1477"/>
      <c r="CN108" s="1477"/>
      <c r="CO108" s="1477"/>
      <c r="CP108" s="1477"/>
      <c r="CQ108" s="1477"/>
      <c r="CR108" s="1477"/>
      <c r="CS108" s="1477"/>
      <c r="CT108" s="1477"/>
      <c r="CU108" s="1477"/>
      <c r="CV108" s="1477">
        <v>1</v>
      </c>
      <c r="CW108" s="1477"/>
      <c r="CX108" s="1477"/>
      <c r="CY108" s="1477"/>
    </row>
    <row r="109" spans="1:103" s="15" customFormat="1" ht="15" customHeight="1">
      <c r="A109" s="1185">
        <v>100</v>
      </c>
      <c r="B109" s="1103"/>
      <c r="C109" s="1103"/>
      <c r="D109" s="1477"/>
      <c r="E109" s="1477"/>
      <c r="F109" s="1477"/>
      <c r="G109" s="1477"/>
      <c r="H109" s="1477"/>
      <c r="I109" s="1477"/>
      <c r="J109" s="1477"/>
      <c r="K109" s="1477"/>
      <c r="L109" s="1477"/>
      <c r="M109" s="1477"/>
      <c r="N109" s="1477"/>
      <c r="O109" s="1477"/>
      <c r="P109" s="1477"/>
      <c r="Q109" s="1477"/>
      <c r="R109" s="1477"/>
      <c r="S109" s="1477"/>
      <c r="T109" s="1477"/>
      <c r="U109" s="1477"/>
      <c r="V109" s="1477"/>
      <c r="W109" s="1477"/>
      <c r="X109" s="1477"/>
      <c r="Y109" s="1477"/>
      <c r="Z109" s="1477"/>
      <c r="AA109" s="1477"/>
      <c r="AB109" s="1477"/>
      <c r="AC109" s="1477"/>
      <c r="AD109" s="1477"/>
      <c r="AE109" s="1477"/>
      <c r="AF109" s="1477"/>
      <c r="AG109" s="1477"/>
      <c r="AH109" s="1477"/>
      <c r="AI109" s="1477"/>
      <c r="AJ109" s="1477"/>
      <c r="AK109" s="1477"/>
      <c r="AL109" s="1477"/>
      <c r="AM109" s="1477"/>
      <c r="AN109" s="1477"/>
      <c r="AO109" s="1477"/>
      <c r="AP109" s="1477"/>
      <c r="AQ109" s="1477"/>
      <c r="AR109" s="1477"/>
      <c r="AS109" s="1477"/>
      <c r="AT109" s="1477"/>
      <c r="AU109" s="1477"/>
      <c r="AV109" s="1477"/>
      <c r="AW109" s="1477"/>
      <c r="AX109" s="1477"/>
      <c r="AY109" s="1477"/>
      <c r="AZ109" s="1477"/>
      <c r="BA109" s="1477"/>
      <c r="BB109" s="1477"/>
      <c r="BC109" s="1477"/>
      <c r="BD109" s="1477"/>
      <c r="BE109" s="1477"/>
      <c r="BF109" s="1477"/>
      <c r="BG109" s="1477"/>
      <c r="BH109" s="1477"/>
      <c r="BI109" s="1477"/>
      <c r="BJ109" s="1477"/>
      <c r="BK109" s="1477"/>
      <c r="BL109" s="1477"/>
      <c r="BM109" s="1477"/>
      <c r="BN109" s="1477"/>
      <c r="BO109" s="1477"/>
      <c r="BP109" s="1477"/>
      <c r="BQ109" s="1477"/>
      <c r="BR109" s="1477"/>
      <c r="BS109" s="1477"/>
      <c r="BT109" s="1477"/>
      <c r="BU109" s="1477"/>
      <c r="BV109" s="1477"/>
      <c r="BW109" s="1477"/>
      <c r="BX109" s="1477"/>
      <c r="BY109" s="1477"/>
      <c r="BZ109" s="1477"/>
      <c r="CA109" s="1477"/>
      <c r="CB109" s="1477"/>
      <c r="CC109" s="1477"/>
      <c r="CD109" s="1477"/>
      <c r="CE109" s="1477"/>
      <c r="CF109" s="1477"/>
      <c r="CG109" s="1477"/>
      <c r="CH109" s="1477"/>
      <c r="CI109" s="1477"/>
      <c r="CJ109" s="1477"/>
      <c r="CK109" s="1477"/>
      <c r="CL109" s="1477"/>
      <c r="CM109" s="1477"/>
      <c r="CN109" s="1477"/>
      <c r="CO109" s="1477"/>
      <c r="CP109" s="1477"/>
      <c r="CQ109" s="1477"/>
      <c r="CR109" s="1477"/>
      <c r="CS109" s="1477"/>
      <c r="CT109" s="1477"/>
      <c r="CU109" s="1477"/>
      <c r="CV109" s="1477"/>
      <c r="CW109" s="1477"/>
      <c r="CX109" s="1477"/>
      <c r="CY109" s="1477"/>
    </row>
    <row r="110" spans="1:103" s="15" customFormat="1" ht="15" customHeight="1">
      <c r="A110" s="1185">
        <v>101</v>
      </c>
      <c r="B110" s="1103"/>
      <c r="C110" s="1103"/>
      <c r="D110" s="1477"/>
      <c r="E110" s="1477"/>
      <c r="F110" s="1477"/>
      <c r="G110" s="1477"/>
      <c r="H110" s="1477"/>
      <c r="I110" s="1477"/>
      <c r="J110" s="1477"/>
      <c r="K110" s="1477"/>
      <c r="L110" s="1477"/>
      <c r="M110" s="1477"/>
      <c r="N110" s="1477"/>
      <c r="O110" s="1477"/>
      <c r="P110" s="1477"/>
      <c r="Q110" s="1477"/>
      <c r="R110" s="1477"/>
      <c r="S110" s="1477"/>
      <c r="T110" s="1477"/>
      <c r="U110" s="1477"/>
      <c r="V110" s="1477"/>
      <c r="W110" s="1477"/>
      <c r="X110" s="1477"/>
      <c r="Y110" s="1477"/>
      <c r="Z110" s="1477"/>
      <c r="AA110" s="1477"/>
      <c r="AB110" s="1477"/>
      <c r="AC110" s="1477"/>
      <c r="AD110" s="1477"/>
      <c r="AE110" s="1477"/>
      <c r="AF110" s="1477"/>
      <c r="AG110" s="1477"/>
      <c r="AH110" s="1477"/>
      <c r="AI110" s="1477"/>
      <c r="AJ110" s="1477"/>
      <c r="AK110" s="1477"/>
      <c r="AL110" s="1477"/>
      <c r="AM110" s="1477"/>
      <c r="AN110" s="1477"/>
      <c r="AO110" s="1477"/>
      <c r="AP110" s="1477"/>
      <c r="AQ110" s="1477"/>
      <c r="AR110" s="1477"/>
      <c r="AS110" s="1477"/>
      <c r="AT110" s="1477"/>
      <c r="AU110" s="1477"/>
      <c r="AV110" s="1477"/>
      <c r="AW110" s="1477"/>
      <c r="AX110" s="1477"/>
      <c r="AY110" s="1477"/>
      <c r="AZ110" s="1477"/>
      <c r="BA110" s="1477"/>
      <c r="BB110" s="1477"/>
      <c r="BC110" s="1477"/>
      <c r="BD110" s="1477"/>
      <c r="BE110" s="1477"/>
      <c r="BF110" s="1477"/>
      <c r="BG110" s="1477"/>
      <c r="BH110" s="1477"/>
      <c r="BI110" s="1477"/>
      <c r="BJ110" s="1477"/>
      <c r="BK110" s="1477"/>
      <c r="BL110" s="1477"/>
      <c r="BM110" s="1477"/>
      <c r="BN110" s="1477"/>
      <c r="BO110" s="1477"/>
      <c r="BP110" s="1477"/>
      <c r="BQ110" s="1477"/>
      <c r="BR110" s="1477"/>
      <c r="BS110" s="1477"/>
      <c r="BT110" s="1477"/>
      <c r="BU110" s="1477"/>
      <c r="BV110" s="1477"/>
      <c r="BW110" s="1477"/>
      <c r="BX110" s="1477"/>
      <c r="BY110" s="1477"/>
      <c r="BZ110" s="1477"/>
      <c r="CA110" s="1477"/>
      <c r="CB110" s="1477"/>
      <c r="CC110" s="1477"/>
      <c r="CD110" s="1477"/>
      <c r="CE110" s="1477"/>
      <c r="CF110" s="1477"/>
      <c r="CG110" s="1477"/>
      <c r="CH110" s="1477"/>
      <c r="CI110" s="1477"/>
      <c r="CJ110" s="1477"/>
      <c r="CK110" s="1477"/>
      <c r="CL110" s="1477"/>
      <c r="CM110" s="1477"/>
      <c r="CN110" s="1477"/>
      <c r="CO110" s="1477"/>
      <c r="CP110" s="1477"/>
      <c r="CQ110" s="1477"/>
      <c r="CR110" s="1477"/>
      <c r="CS110" s="1477"/>
      <c r="CT110" s="1477"/>
      <c r="CU110" s="1477"/>
      <c r="CV110" s="1477"/>
      <c r="CW110" s="1477">
        <v>1</v>
      </c>
      <c r="CX110" s="1477"/>
      <c r="CY110" s="1477"/>
    </row>
    <row r="111" spans="1:103" s="15" customFormat="1" ht="15" customHeight="1">
      <c r="A111" s="1185">
        <v>102</v>
      </c>
      <c r="B111" s="1103"/>
      <c r="C111" s="1103"/>
      <c r="D111" s="1477"/>
      <c r="E111" s="1477"/>
      <c r="F111" s="1477"/>
      <c r="G111" s="1477"/>
      <c r="H111" s="1477"/>
      <c r="I111" s="1477"/>
      <c r="J111" s="1477"/>
      <c r="K111" s="1477"/>
      <c r="L111" s="1477"/>
      <c r="M111" s="1477"/>
      <c r="N111" s="1477"/>
      <c r="O111" s="1477"/>
      <c r="P111" s="1477"/>
      <c r="Q111" s="1477"/>
      <c r="R111" s="1477"/>
      <c r="S111" s="1477"/>
      <c r="T111" s="1477"/>
      <c r="U111" s="1477"/>
      <c r="V111" s="1477"/>
      <c r="W111" s="1477"/>
      <c r="X111" s="1477"/>
      <c r="Y111" s="1477"/>
      <c r="Z111" s="1477"/>
      <c r="AA111" s="1477"/>
      <c r="AB111" s="1477"/>
      <c r="AC111" s="1477"/>
      <c r="AD111" s="1477"/>
      <c r="AE111" s="1477"/>
      <c r="AF111" s="1477"/>
      <c r="AG111" s="1477"/>
      <c r="AH111" s="1477"/>
      <c r="AI111" s="1477"/>
      <c r="AJ111" s="1477"/>
      <c r="AK111" s="1477"/>
      <c r="AL111" s="1477"/>
      <c r="AM111" s="1477"/>
      <c r="AN111" s="1477"/>
      <c r="AO111" s="1477"/>
      <c r="AP111" s="1477"/>
      <c r="AQ111" s="1477"/>
      <c r="AR111" s="1477"/>
      <c r="AS111" s="1477"/>
      <c r="AT111" s="1477"/>
      <c r="AU111" s="1477"/>
      <c r="AV111" s="1477"/>
      <c r="AW111" s="1477"/>
      <c r="AX111" s="1477"/>
      <c r="AY111" s="1477"/>
      <c r="AZ111" s="1477"/>
      <c r="BA111" s="1477"/>
      <c r="BB111" s="1477"/>
      <c r="BC111" s="1477"/>
      <c r="BD111" s="1477"/>
      <c r="BE111" s="1477"/>
      <c r="BF111" s="1477"/>
      <c r="BG111" s="1477"/>
      <c r="BH111" s="1477"/>
      <c r="BI111" s="1477"/>
      <c r="BJ111" s="1477"/>
      <c r="BK111" s="1477"/>
      <c r="BL111" s="1477"/>
      <c r="BM111" s="1477"/>
      <c r="BN111" s="1477"/>
      <c r="BO111" s="1477"/>
      <c r="BP111" s="1477"/>
      <c r="BQ111" s="1477"/>
      <c r="BR111" s="1477"/>
      <c r="BS111" s="1477"/>
      <c r="BT111" s="1477"/>
      <c r="BU111" s="1477"/>
      <c r="BV111" s="1477"/>
      <c r="BW111" s="1477"/>
      <c r="BX111" s="1477"/>
      <c r="BY111" s="1477"/>
      <c r="BZ111" s="1477"/>
      <c r="CA111" s="1477"/>
      <c r="CB111" s="1477"/>
      <c r="CC111" s="1477"/>
      <c r="CD111" s="1477"/>
      <c r="CE111" s="1477"/>
      <c r="CF111" s="1477"/>
      <c r="CG111" s="1477"/>
      <c r="CH111" s="1477"/>
      <c r="CI111" s="1477"/>
      <c r="CJ111" s="1477"/>
      <c r="CK111" s="1477"/>
      <c r="CL111" s="1477"/>
      <c r="CM111" s="1477"/>
      <c r="CN111" s="1477"/>
      <c r="CO111" s="1477"/>
      <c r="CP111" s="1477"/>
      <c r="CQ111" s="1477"/>
      <c r="CR111" s="1477"/>
      <c r="CS111" s="1477"/>
      <c r="CT111" s="1477"/>
      <c r="CU111" s="1477"/>
      <c r="CV111" s="1477"/>
      <c r="CW111" s="1477"/>
      <c r="CX111" s="1477"/>
      <c r="CY111" s="1477">
        <v>1</v>
      </c>
    </row>
  </sheetData>
  <mergeCells count="15">
    <mergeCell ref="Q3:R3"/>
    <mergeCell ref="M2:N2"/>
    <mergeCell ref="O2:P2"/>
    <mergeCell ref="E3:F3"/>
    <mergeCell ref="G3:H3"/>
    <mergeCell ref="I3:J3"/>
    <mergeCell ref="K3:L3"/>
    <mergeCell ref="M3:N3"/>
    <mergeCell ref="O3:P3"/>
    <mergeCell ref="K2:L2"/>
    <mergeCell ref="B2:B3"/>
    <mergeCell ref="D2:D3"/>
    <mergeCell ref="E2:F2"/>
    <mergeCell ref="G2:H2"/>
    <mergeCell ref="I2:J2"/>
  </mergeCells>
  <hyperlinks>
    <hyperlink ref="G2" location="'City information'!A1" display="Set-up"/>
    <hyperlink ref="H2" location="'City information'!A1" display="'City information'!A1"/>
    <hyperlink ref="K3" location="GWP!A1" display="GWP"/>
    <hyperlink ref="L3" location="GWP!A1" display="GWP!A1"/>
    <hyperlink ref="I3" location="'Notation keys'!A1" display="Notation keys"/>
    <hyperlink ref="J3" location="'Notation keys'!A1" display="'Notation keys'!A1"/>
    <hyperlink ref="G3" location="GPC!A1" display="GPC"/>
    <hyperlink ref="H3" location="GPC!A1" display="GPC!A1"/>
    <hyperlink ref="I2" location="Inventory!A1" display="Inventory"/>
    <hyperlink ref="J2" location="Inventory!A1" display="Inventory!A1"/>
    <hyperlink ref="K2" location="Calculators!A1" display="Calculators"/>
    <hyperlink ref="L2" location="Calculators!A1" display="Calculators!A1"/>
    <hyperlink ref="O2" location="Analysis!A1" display="Analysis"/>
    <hyperlink ref="P2" location="Analysis!A1" display="Analysis!A1"/>
    <hyperlink ref="M2" location="Results!A1" display="Results"/>
    <hyperlink ref="N2" location="Results!A1" display="Results!A1"/>
    <hyperlink ref="E2" location="Home!A1" display="Introduction"/>
    <hyperlink ref="F2" location="Home!A1" display="Home!A1"/>
    <hyperlink ref="E3" location="Home!A1" display="Introduction"/>
    <hyperlink ref="F3" location="Home!A1" display="Home!A1"/>
    <hyperlink ref="O3" location="'Compact of Mayors'!A1" display="Compact of Mayors"/>
    <hyperlink ref="P3" location="'Compact of Mayors'!A1" display="'Compact of Mayors'!A1"/>
    <hyperlink ref="M3" location="'Conversion factors'!A1" display="Conversion factors"/>
    <hyperlink ref="N3" location="'Conversion factors'!A1" display="'Conversion factors'!A1"/>
  </hyperlinks>
  <pageMargins left="0.25" right="0.25" top="0.75" bottom="0.75" header="0.3" footer="0.3"/>
  <pageSetup paperSize="9" scale="10" orientation="portrait" horizontalDpi="4294967292" verticalDpi="4294967292"/>
  <headerFooter>
    <oddHeader>&amp;CTable 4.1</oddHeader>
  </headerFooter>
  <ignoredErrors>
    <ignoredError sqref="H8:CY8" emptyCellReference="1"/>
  </ignoredErrors>
  <drawing r:id="rId1"/>
  <extLst>
    <ext xmlns:mx="http://schemas.microsoft.com/office/mac/excel/2008/main" uri="{64002731-A6B0-56B0-2670-7721B7C09600}">
      <mx:PLV Mode="0" OnePage="0" WScale="71"/>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theme="4"/>
    <outlinePr summaryBelow="0"/>
    <pageSetUpPr fitToPage="1"/>
  </sheetPr>
  <dimension ref="A1:Y371"/>
  <sheetViews>
    <sheetView showRowColHeaders="0" workbookViewId="0">
      <selection activeCell="F2" sqref="F2:G2"/>
    </sheetView>
  </sheetViews>
  <sheetFormatPr baseColWidth="10" defaultColWidth="0" defaultRowHeight="15" customHeight="1" zeroHeight="1" x14ac:dyDescent="0"/>
  <cols>
    <col min="1" max="1" width="4.83203125" customWidth="1"/>
    <col min="2" max="15" width="12.83203125" customWidth="1"/>
    <col min="16" max="16" width="4.83203125" customWidth="1"/>
    <col min="17" max="45" width="10.83203125" hidden="1" customWidth="1"/>
    <col min="46" max="16384" width="10.83203125" hidden="1"/>
  </cols>
  <sheetData>
    <row r="1" spans="1:25" s="498" customFormat="1">
      <c r="P1" s="499"/>
      <c r="Q1" s="499"/>
      <c r="R1" s="499"/>
      <c r="S1" s="500"/>
      <c r="T1" s="500"/>
      <c r="U1" s="500"/>
    </row>
    <row r="2" spans="1:25" s="464" customFormat="1" ht="31" customHeight="1">
      <c r="A2" s="494"/>
      <c r="B2" s="1817" t="s">
        <v>1965</v>
      </c>
      <c r="C2" s="1819">
        <v>400</v>
      </c>
      <c r="D2" s="1847" t="s">
        <v>1555</v>
      </c>
      <c r="E2" s="1848"/>
      <c r="F2" s="1849" t="s">
        <v>1563</v>
      </c>
      <c r="G2" s="1850"/>
      <c r="H2" s="1849" t="s">
        <v>794</v>
      </c>
      <c r="I2" s="1850"/>
      <c r="J2" s="1849" t="s">
        <v>1570</v>
      </c>
      <c r="K2" s="1850"/>
      <c r="L2" s="1849" t="s">
        <v>1564</v>
      </c>
      <c r="M2" s="1850"/>
      <c r="N2" s="1849" t="s">
        <v>1602</v>
      </c>
      <c r="O2" s="1850"/>
      <c r="P2" s="494"/>
    </row>
    <row r="3" spans="1:25" s="464" customFormat="1" ht="31" customHeight="1">
      <c r="A3" s="494"/>
      <c r="B3" s="1818"/>
      <c r="C3" s="1820"/>
      <c r="D3" s="1843" t="s">
        <v>1565</v>
      </c>
      <c r="E3" s="1844"/>
      <c r="F3" s="1843" t="s">
        <v>785</v>
      </c>
      <c r="G3" s="1844"/>
      <c r="H3" s="1843" t="s">
        <v>40</v>
      </c>
      <c r="I3" s="1844"/>
      <c r="J3" s="1843" t="s">
        <v>780</v>
      </c>
      <c r="K3" s="1844"/>
      <c r="L3" s="1843" t="s">
        <v>1585</v>
      </c>
      <c r="M3" s="1844"/>
      <c r="N3" s="1847" t="s">
        <v>1788</v>
      </c>
      <c r="O3" s="1848"/>
      <c r="P3" s="494"/>
    </row>
    <row r="4" spans="1:25" s="494" customFormat="1" ht="15" customHeight="1">
      <c r="B4" s="492"/>
      <c r="C4" s="495"/>
      <c r="D4" s="497"/>
      <c r="E4" s="497"/>
      <c r="F4" s="497"/>
      <c r="G4" s="497"/>
      <c r="H4" s="497"/>
      <c r="I4" s="497"/>
      <c r="J4" s="496"/>
      <c r="K4" s="496"/>
      <c r="L4" s="496"/>
      <c r="M4" s="496"/>
      <c r="N4" s="496"/>
      <c r="O4" s="496"/>
    </row>
    <row r="5" spans="1:25" s="31" customFormat="1" ht="31" customHeight="1">
      <c r="B5" s="32"/>
      <c r="C5" s="33"/>
      <c r="D5" s="33"/>
      <c r="E5" s="33"/>
      <c r="F5" s="33"/>
      <c r="G5" s="33"/>
      <c r="H5" s="33"/>
      <c r="I5" s="34"/>
      <c r="J5" s="34"/>
      <c r="K5" s="34"/>
      <c r="U5" s="26"/>
      <c r="V5" s="26"/>
      <c r="W5" s="26"/>
      <c r="X5" s="26"/>
      <c r="Y5" s="26"/>
    </row>
    <row r="6" spans="1:25" s="29" customFormat="1" ht="31" customHeight="1" thickBot="1">
      <c r="A6" s="1192"/>
      <c r="B6" s="491" t="s">
        <v>1789</v>
      </c>
      <c r="C6" s="466"/>
      <c r="D6" s="466"/>
      <c r="E6" s="466"/>
      <c r="F6" s="466"/>
      <c r="G6" s="466"/>
      <c r="H6" s="466"/>
      <c r="I6" s="467"/>
      <c r="J6" s="467"/>
      <c r="K6" s="467"/>
      <c r="L6" s="468"/>
      <c r="M6" s="468"/>
      <c r="N6" s="468"/>
      <c r="O6" s="468"/>
      <c r="U6" s="234"/>
      <c r="V6" s="234"/>
      <c r="W6" s="234"/>
      <c r="X6" s="234"/>
      <c r="Y6" s="234"/>
    </row>
    <row r="7" spans="1:25" s="31" customFormat="1" ht="15" customHeight="1" thickTop="1">
      <c r="B7" s="32"/>
      <c r="C7" s="33"/>
      <c r="D7" s="33"/>
      <c r="E7" s="33"/>
      <c r="F7" s="33"/>
      <c r="G7" s="33"/>
      <c r="H7" s="33"/>
      <c r="I7" s="34"/>
      <c r="J7" s="34"/>
      <c r="K7" s="34"/>
      <c r="U7" s="26"/>
      <c r="V7" s="26"/>
      <c r="W7" s="26"/>
      <c r="X7" s="26"/>
      <c r="Y7" s="26"/>
    </row>
    <row r="8" spans="1:25" s="29" customFormat="1" ht="15" customHeight="1">
      <c r="B8" s="1104"/>
      <c r="C8" s="1327" t="s">
        <v>2021</v>
      </c>
      <c r="D8" s="230"/>
      <c r="E8" s="230"/>
      <c r="F8" s="230"/>
      <c r="G8" s="230"/>
      <c r="H8" s="230"/>
      <c r="I8" s="30"/>
      <c r="J8" s="30"/>
      <c r="K8" s="30"/>
      <c r="U8" s="234"/>
      <c r="V8" s="234"/>
      <c r="W8" s="234"/>
      <c r="X8" s="234"/>
      <c r="Y8" s="234"/>
    </row>
    <row r="9" spans="1:25" s="15" customFormat="1" ht="15" customHeight="1">
      <c r="C9" s="1328"/>
    </row>
    <row r="10" spans="1:25" s="29" customFormat="1" ht="15" customHeight="1">
      <c r="C10" s="1327" t="s">
        <v>2455</v>
      </c>
    </row>
    <row r="11" spans="1:25" s="15" customFormat="1" ht="15" customHeight="1"/>
    <row r="12" spans="1:25" s="15" customFormat="1" ht="15" customHeight="1"/>
    <row r="13" spans="1:25" s="15" customFormat="1" ht="15" customHeight="1"/>
    <row r="14" spans="1:25" s="15" customFormat="1" ht="15" customHeight="1"/>
    <row r="15" spans="1:25" s="15" customFormat="1" ht="15" customHeight="1"/>
    <row r="16" spans="1:25" s="15" customFormat="1" ht="15" customHeight="1"/>
    <row r="17" s="15" customFormat="1" ht="15" customHeight="1"/>
    <row r="18" s="15" customFormat="1" ht="15" customHeight="1"/>
    <row r="19" s="15" customFormat="1" ht="15" customHeight="1"/>
    <row r="20" s="15" customFormat="1" ht="15" customHeight="1"/>
    <row r="21" s="15" customFormat="1" ht="15" customHeight="1"/>
    <row r="22" s="15" customFormat="1" ht="15" customHeight="1"/>
    <row r="23" s="15" customFormat="1" ht="15" customHeight="1"/>
    <row r="24" s="15" customFormat="1" ht="15" customHeight="1"/>
    <row r="25" s="15" customFormat="1" ht="15" customHeight="1"/>
    <row r="26" s="15" customFormat="1" ht="15" customHeight="1"/>
    <row r="27" s="15" customFormat="1" ht="15" customHeight="1"/>
    <row r="28" s="15" customFormat="1" ht="15" customHeight="1"/>
    <row r="29" s="15" customFormat="1" ht="15" customHeight="1"/>
    <row r="30" s="15" customFormat="1" ht="15" customHeight="1"/>
    <row r="31" s="15" customFormat="1" ht="15" customHeight="1"/>
    <row r="32" s="15" customFormat="1" ht="15" customHeight="1"/>
    <row r="33" s="15" customFormat="1" ht="15" customHeight="1"/>
    <row r="34" s="15" customFormat="1" ht="15" customHeight="1"/>
    <row r="35" s="15" customFormat="1" ht="15" customHeight="1"/>
    <row r="36" s="15" customFormat="1" ht="15" customHeight="1"/>
    <row r="37" s="15" customFormat="1" ht="15" customHeight="1"/>
    <row r="38" s="15" customFormat="1" ht="15" customHeight="1"/>
    <row r="39" s="15" customFormat="1" ht="15" customHeight="1"/>
    <row r="40" s="15" customFormat="1" ht="15" customHeight="1"/>
    <row r="41" s="15" customFormat="1" ht="15" customHeight="1"/>
    <row r="42" s="15" customFormat="1" ht="15" customHeight="1"/>
    <row r="43" s="15" customFormat="1" ht="15" customHeight="1"/>
    <row r="44" s="15" customFormat="1" ht="15" customHeight="1"/>
    <row r="45" s="15" customFormat="1" ht="15" customHeight="1"/>
    <row r="46" s="15" customFormat="1" ht="15" customHeight="1"/>
    <row r="47" s="15" customFormat="1" ht="15" customHeight="1"/>
    <row r="48" s="15" customFormat="1" ht="15" customHeight="1"/>
    <row r="49" s="15" customFormat="1" ht="15" customHeight="1"/>
    <row r="50" s="15" customFormat="1" ht="15" customHeight="1"/>
    <row r="51" s="15" customFormat="1" ht="15" customHeight="1"/>
    <row r="52" s="15" customFormat="1" ht="15" customHeight="1"/>
    <row r="53" s="15" customFormat="1" ht="15" customHeight="1"/>
    <row r="54" s="15" customFormat="1" ht="15" customHeight="1"/>
    <row r="55" s="15" customFormat="1" ht="15" customHeight="1"/>
    <row r="56" s="15" customFormat="1" ht="15" customHeight="1"/>
    <row r="57" s="15" customFormat="1" ht="15" customHeight="1"/>
    <row r="58" s="15" customFormat="1" ht="15" customHeight="1"/>
    <row r="59" s="15" customFormat="1" ht="15" customHeight="1"/>
    <row r="60" s="15" customFormat="1" ht="15" customHeight="1"/>
    <row r="61" s="15" customFormat="1" ht="15" customHeight="1"/>
    <row r="62" s="15" customFormat="1" ht="15" customHeight="1"/>
    <row r="63" s="15" customFormat="1" ht="15" customHeight="1"/>
    <row r="64" s="15" customFormat="1" ht="15" customHeight="1"/>
    <row r="65" s="15" customFormat="1" ht="15" customHeight="1"/>
    <row r="66" s="15" customFormat="1" ht="15" customHeight="1"/>
    <row r="67" s="15" customFormat="1" ht="15" customHeight="1"/>
    <row r="68" s="15" customFormat="1" ht="15" customHeight="1"/>
    <row r="69" s="15" customFormat="1"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sheetData>
  <mergeCells count="14">
    <mergeCell ref="B2:B3"/>
    <mergeCell ref="C2:C3"/>
    <mergeCell ref="D2:E2"/>
    <mergeCell ref="F2:G2"/>
    <mergeCell ref="H2:I2"/>
    <mergeCell ref="N3:O3"/>
    <mergeCell ref="L2:M2"/>
    <mergeCell ref="N2:O2"/>
    <mergeCell ref="D3:E3"/>
    <mergeCell ref="F3:G3"/>
    <mergeCell ref="H3:I3"/>
    <mergeCell ref="J3:K3"/>
    <mergeCell ref="L3:M3"/>
    <mergeCell ref="J2:K2"/>
  </mergeCells>
  <hyperlinks>
    <hyperlink ref="F2" location="'City information'!A1" display="Set-up"/>
    <hyperlink ref="G2" location="'City information'!A1" display="'City information'!A1"/>
    <hyperlink ref="H3" location="'Notation keys'!A1" display="Notation keys"/>
    <hyperlink ref="I3" location="'Notation keys'!A1" display="'Notation keys'!A1"/>
    <hyperlink ref="J3" location="GWP!A1" display="GWP"/>
    <hyperlink ref="K3" location="GWP!A1" display="GWP!A1"/>
    <hyperlink ref="L3" location="'Conversion factors'!A1" display="Conversion factors"/>
    <hyperlink ref="M3" location="'Conversion factors'!A1" display="'Conversion factors'!A1"/>
    <hyperlink ref="H2" location="Inventory!A1" display="Inventory"/>
    <hyperlink ref="I2" location="Inventory!A1" display="Inventory!A1"/>
    <hyperlink ref="J2" location="Calculators!A1" display="Calculators"/>
    <hyperlink ref="K2" location="Calculators!A1" display="Calculators!A1"/>
    <hyperlink ref="N2" location="Analysis!A1" display="Analysis"/>
    <hyperlink ref="O2" location="Analysis!A1" display="Analysis!A1"/>
    <hyperlink ref="L2" location="Results!A1" display="Results"/>
    <hyperlink ref="M2" location="Results!A1" display="Results!A1"/>
    <hyperlink ref="D2" location="Home!A1" display="Introduction"/>
    <hyperlink ref="E2" location="Home!A1" display="Home!A1"/>
    <hyperlink ref="D3" location="Home!A1" display="Introduction"/>
    <hyperlink ref="E3" location="Home!A1" display="Home!A1"/>
    <hyperlink ref="F3" location="GPC!A1" display="GPC"/>
    <hyperlink ref="G3" location="GPC!A1" display="GPC!A1"/>
  </hyperlinks>
  <pageMargins left="0.25" right="0.25" top="0.75" bottom="0.75" header="0.3" footer="0.3"/>
  <pageSetup paperSize="9" scale="10" orientation="portrait" horizontalDpi="4294967292" verticalDpi="4294967292"/>
  <headerFooter>
    <oddHeader>&amp;CTable 4.1</oddHeader>
  </headerFooter>
  <drawing r:id="rId1"/>
  <extLst>
    <ext xmlns:mx="http://schemas.microsoft.com/office/mac/excel/2008/main" uri="{64002731-A6B0-56B0-2670-7721B7C09600}">
      <mx:PLV Mode="0" OnePage="0" WScale="71"/>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tabColor theme="4" tint="0.39997558519241921"/>
    <outlinePr summaryBelow="0"/>
    <pageSetUpPr autoPageBreaks="0" fitToPage="1"/>
  </sheetPr>
  <dimension ref="A1:AI130"/>
  <sheetViews>
    <sheetView showGridLines="0" showRowColHeaders="0" workbookViewId="0">
      <selection activeCell="D2" sqref="D2:E2"/>
    </sheetView>
  </sheetViews>
  <sheetFormatPr baseColWidth="10" defaultColWidth="0" defaultRowHeight="15" zeroHeight="1" x14ac:dyDescent="0"/>
  <cols>
    <col min="1" max="1" width="4.83203125" customWidth="1"/>
    <col min="2" max="6" width="12.83203125" customWidth="1"/>
    <col min="7" max="15" width="12.83203125" style="15" customWidth="1"/>
    <col min="16" max="16" width="4.83203125" style="15" customWidth="1"/>
    <col min="17" max="35" width="10.83203125" style="15" hidden="1" customWidth="1"/>
    <col min="36" max="16384" width="10.83203125" hidden="1"/>
  </cols>
  <sheetData>
    <row r="1" spans="1:35" s="498" customFormat="1"/>
    <row r="2" spans="1:35" s="464" customFormat="1" ht="31" customHeight="1">
      <c r="A2" s="494"/>
      <c r="B2" s="1817" t="s">
        <v>1965</v>
      </c>
      <c r="C2" s="1819">
        <v>400</v>
      </c>
      <c r="D2" s="1849" t="s">
        <v>1555</v>
      </c>
      <c r="E2" s="1850"/>
      <c r="F2" s="1847" t="s">
        <v>1563</v>
      </c>
      <c r="G2" s="1848"/>
      <c r="H2" s="1849" t="s">
        <v>794</v>
      </c>
      <c r="I2" s="1850"/>
      <c r="J2" s="1849" t="s">
        <v>1570</v>
      </c>
      <c r="K2" s="1850"/>
      <c r="L2" s="1849" t="s">
        <v>1564</v>
      </c>
      <c r="M2" s="1850"/>
      <c r="N2" s="1849" t="s">
        <v>1602</v>
      </c>
      <c r="O2" s="1850"/>
      <c r="P2" s="494"/>
    </row>
    <row r="3" spans="1:35" s="464" customFormat="1" ht="31" customHeight="1">
      <c r="A3" s="494"/>
      <c r="B3" s="1818"/>
      <c r="C3" s="1820"/>
      <c r="D3" s="1847" t="s">
        <v>1007</v>
      </c>
      <c r="E3" s="1848"/>
      <c r="F3" s="1843" t="s">
        <v>1566</v>
      </c>
      <c r="G3" s="1844"/>
      <c r="H3" s="1968" t="s">
        <v>2500</v>
      </c>
      <c r="I3" s="1969"/>
      <c r="J3" s="1968" t="s">
        <v>2511</v>
      </c>
      <c r="K3" s="1844"/>
      <c r="L3" s="1968" t="s">
        <v>2512</v>
      </c>
      <c r="M3" s="1844"/>
      <c r="N3" s="1843" t="s">
        <v>2436</v>
      </c>
      <c r="O3" s="1844"/>
      <c r="P3" s="494"/>
    </row>
    <row r="4" spans="1:35" s="494" customFormat="1" ht="15" customHeight="1">
      <c r="B4" s="492"/>
      <c r="C4" s="495"/>
      <c r="D4" s="497"/>
      <c r="E4" s="497"/>
      <c r="F4" s="497"/>
      <c r="G4" s="497"/>
      <c r="H4" s="497"/>
      <c r="I4" s="497"/>
      <c r="J4" s="497"/>
      <c r="K4" s="497"/>
      <c r="L4" s="496"/>
      <c r="M4" s="496"/>
      <c r="N4" s="496"/>
      <c r="O4" s="496"/>
    </row>
    <row r="5" spans="1:35" s="15" customFormat="1" ht="31" customHeight="1"/>
    <row r="6" spans="1:35" s="15" customFormat="1" ht="31" customHeight="1" collapsed="1" thickBot="1">
      <c r="B6" s="491" t="s">
        <v>1799</v>
      </c>
      <c r="C6" s="466"/>
      <c r="D6" s="466"/>
      <c r="E6" s="466"/>
      <c r="F6" s="466"/>
      <c r="G6" s="466"/>
      <c r="H6" s="466"/>
      <c r="I6" s="467"/>
      <c r="J6" s="467"/>
      <c r="K6" s="467"/>
      <c r="L6" s="468"/>
      <c r="M6" s="468"/>
      <c r="N6" s="468"/>
      <c r="O6" s="468"/>
    </row>
    <row r="7" spans="1:35" s="15" customFormat="1" ht="31" customHeight="1" thickTop="1"/>
    <row r="8" spans="1:35" s="5" customFormat="1" ht="16" customHeight="1">
      <c r="A8" s="14"/>
      <c r="B8" s="1948" t="s">
        <v>685</v>
      </c>
      <c r="C8" s="1949"/>
      <c r="D8" s="1949"/>
      <c r="E8" s="1972" t="s">
        <v>795</v>
      </c>
      <c r="F8" s="1949"/>
      <c r="G8" s="1950"/>
      <c r="H8" s="1936" t="s">
        <v>803</v>
      </c>
      <c r="I8" s="1937"/>
      <c r="J8" s="1938"/>
      <c r="K8" s="1937" t="s">
        <v>1540</v>
      </c>
      <c r="L8" s="1937"/>
      <c r="M8" s="1937"/>
      <c r="N8" s="1937"/>
      <c r="O8" s="1963"/>
      <c r="P8" s="14"/>
      <c r="Q8" s="14"/>
      <c r="R8" s="14"/>
      <c r="S8" s="14"/>
      <c r="T8" s="14"/>
      <c r="U8" s="14"/>
      <c r="V8" s="14"/>
      <c r="W8" s="14"/>
      <c r="X8" s="14"/>
      <c r="Y8" s="14"/>
      <c r="Z8" s="14"/>
      <c r="AA8" s="14"/>
      <c r="AB8" s="14"/>
      <c r="AC8" s="14"/>
      <c r="AD8" s="14"/>
      <c r="AE8" s="14"/>
      <c r="AF8" s="14"/>
      <c r="AG8" s="14"/>
      <c r="AH8" s="14"/>
      <c r="AI8" s="14"/>
    </row>
    <row r="9" spans="1:35" s="5" customFormat="1">
      <c r="A9" s="14"/>
      <c r="B9" s="1970"/>
      <c r="C9" s="1971"/>
      <c r="D9" s="1971"/>
      <c r="E9" s="1973"/>
      <c r="F9" s="1971"/>
      <c r="G9" s="1974"/>
      <c r="H9" s="1939"/>
      <c r="I9" s="1940"/>
      <c r="J9" s="1941"/>
      <c r="K9" s="1940"/>
      <c r="L9" s="1940"/>
      <c r="M9" s="1940"/>
      <c r="N9" s="1940"/>
      <c r="O9" s="1964"/>
      <c r="P9" s="14"/>
      <c r="Q9" s="14"/>
      <c r="R9" s="14"/>
      <c r="S9" s="14"/>
      <c r="T9" s="14"/>
      <c r="U9" s="14"/>
      <c r="V9" s="14"/>
      <c r="W9" s="14"/>
      <c r="X9" s="14"/>
      <c r="Y9" s="14"/>
      <c r="Z9" s="14"/>
      <c r="AA9" s="14"/>
      <c r="AB9" s="14"/>
      <c r="AC9" s="14"/>
      <c r="AD9" s="14"/>
      <c r="AE9" s="14"/>
      <c r="AF9" s="14"/>
      <c r="AG9" s="14"/>
      <c r="AH9" s="14"/>
      <c r="AI9" s="14"/>
    </row>
    <row r="10" spans="1:35" s="15" customFormat="1" ht="30" customHeight="1">
      <c r="B10" s="1942" t="s">
        <v>1927</v>
      </c>
      <c r="C10" s="1943"/>
      <c r="D10" s="1944"/>
      <c r="E10" s="1942" t="s">
        <v>1787</v>
      </c>
      <c r="F10" s="1943"/>
      <c r="G10" s="1944"/>
      <c r="H10" s="1965"/>
      <c r="I10" s="1966"/>
      <c r="J10" s="1967"/>
      <c r="K10" s="486"/>
      <c r="L10" s="487"/>
      <c r="M10" s="487"/>
      <c r="N10" s="487"/>
      <c r="O10" s="488"/>
    </row>
    <row r="11" spans="1:35" s="15" customFormat="1" ht="30" customHeight="1">
      <c r="B11" s="1942" t="s">
        <v>620</v>
      </c>
      <c r="C11" s="1943"/>
      <c r="D11" s="1944"/>
      <c r="E11" s="1942" t="s">
        <v>2725</v>
      </c>
      <c r="F11" s="1943"/>
      <c r="G11" s="1944"/>
      <c r="H11" s="1965"/>
      <c r="I11" s="1966"/>
      <c r="J11" s="1967"/>
      <c r="K11" s="489"/>
      <c r="L11" s="22"/>
      <c r="M11" s="1175" t="s">
        <v>1998</v>
      </c>
      <c r="N11" s="22"/>
      <c r="O11" s="483"/>
    </row>
    <row r="12" spans="1:35" s="15" customFormat="1" ht="30" customHeight="1">
      <c r="B12" s="1171" t="s">
        <v>1117</v>
      </c>
      <c r="C12" s="1172"/>
      <c r="D12" s="1173"/>
      <c r="E12" s="1978" t="s">
        <v>1134</v>
      </c>
      <c r="F12" s="1979"/>
      <c r="G12" s="1980"/>
      <c r="H12" s="1957"/>
      <c r="I12" s="1958"/>
      <c r="J12" s="1959"/>
      <c r="K12" s="489"/>
      <c r="L12" s="22"/>
      <c r="M12" s="22"/>
      <c r="N12" s="22"/>
      <c r="O12" s="483"/>
    </row>
    <row r="13" spans="1:35" s="15" customFormat="1" ht="30" customHeight="1">
      <c r="B13" s="1942" t="s">
        <v>2010</v>
      </c>
      <c r="C13" s="1943"/>
      <c r="D13" s="1944"/>
      <c r="E13" s="1978">
        <v>2014</v>
      </c>
      <c r="F13" s="1979"/>
      <c r="G13" s="1980"/>
      <c r="H13" s="1992" t="s">
        <v>2509</v>
      </c>
      <c r="I13" s="1993"/>
      <c r="J13" s="1994"/>
      <c r="K13" s="489"/>
      <c r="L13" s="22"/>
      <c r="M13" s="22"/>
      <c r="N13" s="22"/>
      <c r="O13" s="483"/>
    </row>
    <row r="14" spans="1:35" s="15" customFormat="1" ht="30" customHeight="1">
      <c r="B14" s="1942" t="s">
        <v>2009</v>
      </c>
      <c r="C14" s="1943"/>
      <c r="D14" s="1944"/>
      <c r="E14" s="1942" t="s">
        <v>688</v>
      </c>
      <c r="F14" s="1943"/>
      <c r="G14" s="1944"/>
      <c r="H14" s="1984" t="s">
        <v>1997</v>
      </c>
      <c r="I14" s="1985"/>
      <c r="J14" s="1986"/>
      <c r="K14" s="489"/>
      <c r="L14" s="22"/>
      <c r="M14" s="22"/>
      <c r="N14" s="22"/>
      <c r="O14" s="483"/>
    </row>
    <row r="15" spans="1:35" s="15" customFormat="1" ht="30" customHeight="1">
      <c r="B15" s="1459" t="s">
        <v>2508</v>
      </c>
      <c r="C15" s="1420"/>
      <c r="D15" s="1421"/>
      <c r="E15" s="1942"/>
      <c r="F15" s="1943"/>
      <c r="G15" s="1944"/>
      <c r="H15" s="1984" t="s">
        <v>2510</v>
      </c>
      <c r="I15" s="1985"/>
      <c r="J15" s="1986"/>
      <c r="K15" s="489"/>
      <c r="L15" s="22"/>
      <c r="M15" s="22"/>
      <c r="N15" s="22"/>
      <c r="O15" s="483"/>
    </row>
    <row r="16" spans="1:35" s="15" customFormat="1" ht="30" customHeight="1">
      <c r="B16" s="1459" t="s">
        <v>2507</v>
      </c>
      <c r="C16" s="1420"/>
      <c r="D16" s="1421"/>
      <c r="E16" s="1942"/>
      <c r="F16" s="1943"/>
      <c r="G16" s="1944"/>
      <c r="H16" s="1984" t="s">
        <v>2510</v>
      </c>
      <c r="I16" s="1985"/>
      <c r="J16" s="1986"/>
      <c r="K16" s="489"/>
      <c r="L16" s="22"/>
      <c r="M16" s="22"/>
      <c r="N16" s="22"/>
      <c r="O16" s="483"/>
    </row>
    <row r="17" spans="1:35" s="15" customFormat="1" ht="30" customHeight="1">
      <c r="B17" s="1942" t="s">
        <v>2008</v>
      </c>
      <c r="C17" s="1943"/>
      <c r="D17" s="1944"/>
      <c r="E17" s="1942">
        <v>1000</v>
      </c>
      <c r="F17" s="1943"/>
      <c r="G17" s="1944"/>
      <c r="H17" s="1954" t="s">
        <v>2722</v>
      </c>
      <c r="I17" s="1955"/>
      <c r="J17" s="1956"/>
      <c r="K17" s="489"/>
      <c r="L17" s="22"/>
      <c r="M17" s="22"/>
      <c r="N17" s="22"/>
      <c r="O17" s="483"/>
    </row>
    <row r="18" spans="1:35" s="15" customFormat="1" ht="30" customHeight="1">
      <c r="B18" s="1942" t="s">
        <v>2001</v>
      </c>
      <c r="C18" s="1943"/>
      <c r="D18" s="1944"/>
      <c r="E18" s="1942">
        <v>4000000</v>
      </c>
      <c r="F18" s="1943"/>
      <c r="G18" s="1944"/>
      <c r="H18" s="1954" t="s">
        <v>2723</v>
      </c>
      <c r="I18" s="1955"/>
      <c r="J18" s="1956"/>
      <c r="K18" s="489"/>
      <c r="L18" s="22"/>
      <c r="M18" s="22"/>
      <c r="N18" s="22"/>
      <c r="O18" s="483"/>
    </row>
    <row r="19" spans="1:35" s="15" customFormat="1" ht="30" customHeight="1">
      <c r="B19" s="1942" t="s">
        <v>1999</v>
      </c>
      <c r="C19" s="1943"/>
      <c r="D19" s="1944"/>
      <c r="E19" s="1975">
        <v>200000000000</v>
      </c>
      <c r="F19" s="1976"/>
      <c r="G19" s="1977"/>
      <c r="H19" s="1954" t="s">
        <v>2724</v>
      </c>
      <c r="I19" s="1955"/>
      <c r="J19" s="1956"/>
      <c r="K19" s="489"/>
      <c r="L19" s="22"/>
      <c r="M19" s="22"/>
      <c r="N19" s="22"/>
      <c r="O19" s="483"/>
    </row>
    <row r="20" spans="1:35" s="15" customFormat="1" ht="30" customHeight="1">
      <c r="B20" s="1933" t="s">
        <v>2000</v>
      </c>
      <c r="C20" s="1934"/>
      <c r="D20" s="1935"/>
      <c r="E20" s="1933" t="s">
        <v>182</v>
      </c>
      <c r="F20" s="1934"/>
      <c r="G20" s="1935"/>
      <c r="H20" s="1960"/>
      <c r="I20" s="1961"/>
      <c r="J20" s="1962"/>
      <c r="K20" s="489"/>
      <c r="L20" s="22"/>
      <c r="M20" s="22"/>
      <c r="N20" s="22"/>
      <c r="O20" s="483"/>
    </row>
    <row r="21" spans="1:35" s="15" customFormat="1" ht="30" customHeight="1">
      <c r="B21" s="1933" t="s">
        <v>2002</v>
      </c>
      <c r="C21" s="1934"/>
      <c r="D21" s="1935"/>
      <c r="E21" s="1933" t="s">
        <v>182</v>
      </c>
      <c r="F21" s="1934"/>
      <c r="G21" s="1935"/>
      <c r="H21" s="1960" t="s">
        <v>862</v>
      </c>
      <c r="I21" s="1961"/>
      <c r="J21" s="1962"/>
      <c r="K21" s="489"/>
      <c r="L21" s="22"/>
      <c r="M21" s="22"/>
      <c r="N21" s="22"/>
      <c r="O21" s="483"/>
    </row>
    <row r="22" spans="1:35" s="15" customFormat="1" ht="30" customHeight="1">
      <c r="A22" s="16"/>
      <c r="B22" s="1933" t="s">
        <v>2003</v>
      </c>
      <c r="C22" s="1934"/>
      <c r="D22" s="1935"/>
      <c r="E22" s="1942"/>
      <c r="F22" s="1943"/>
      <c r="G22" s="1944"/>
      <c r="H22" s="1954"/>
      <c r="I22" s="1955"/>
      <c r="J22" s="1956"/>
      <c r="K22" s="490"/>
      <c r="L22" s="484"/>
      <c r="M22" s="484"/>
      <c r="N22" s="484"/>
      <c r="O22" s="485"/>
    </row>
    <row r="23" spans="1:35" s="15" customFormat="1">
      <c r="B23" s="15" t="s">
        <v>1542</v>
      </c>
    </row>
    <row r="24" spans="1:35" s="15" customFormat="1" ht="31" customHeight="1"/>
    <row r="25" spans="1:35" s="15" customFormat="1" ht="30" customHeight="1" thickBot="1">
      <c r="B25" s="491" t="s">
        <v>822</v>
      </c>
      <c r="C25" s="466"/>
      <c r="D25" s="466"/>
      <c r="E25" s="466"/>
      <c r="F25" s="466"/>
      <c r="G25" s="466"/>
      <c r="H25" s="466"/>
      <c r="I25" s="467"/>
      <c r="J25" s="467"/>
      <c r="K25" s="467"/>
      <c r="L25" s="468"/>
      <c r="M25" s="468"/>
      <c r="N25" s="468"/>
      <c r="O25" s="468"/>
    </row>
    <row r="26" spans="1:35" s="15" customFormat="1" ht="31" customHeight="1" thickTop="1"/>
    <row r="27" spans="1:35" s="5" customFormat="1" ht="16" customHeight="1">
      <c r="A27" s="14"/>
      <c r="B27" s="1948" t="s">
        <v>794</v>
      </c>
      <c r="C27" s="1949"/>
      <c r="D27" s="1950"/>
      <c r="E27" s="1990" t="s">
        <v>795</v>
      </c>
      <c r="F27" s="1982"/>
      <c r="G27" s="1982"/>
      <c r="H27" s="1982"/>
      <c r="I27" s="1991"/>
      <c r="J27" s="14"/>
      <c r="K27" s="14"/>
      <c r="L27" s="14"/>
      <c r="M27" s="14"/>
      <c r="N27" s="14"/>
      <c r="O27" s="14"/>
      <c r="P27" s="14"/>
      <c r="Q27" s="14"/>
      <c r="R27" s="14"/>
      <c r="S27" s="14"/>
      <c r="T27" s="14"/>
      <c r="U27" s="14"/>
      <c r="V27" s="14"/>
      <c r="W27" s="14"/>
      <c r="X27" s="14"/>
      <c r="Y27" s="14"/>
      <c r="Z27" s="14"/>
      <c r="AA27" s="14"/>
      <c r="AB27" s="14"/>
      <c r="AC27" s="14"/>
      <c r="AD27" s="14"/>
      <c r="AE27" s="14"/>
      <c r="AF27" s="14"/>
      <c r="AG27" s="14"/>
      <c r="AH27" s="14"/>
      <c r="AI27" s="14"/>
    </row>
    <row r="28" spans="1:35" s="5" customFormat="1">
      <c r="A28" s="14"/>
      <c r="B28" s="1981"/>
      <c r="C28" s="1982"/>
      <c r="D28" s="1983"/>
      <c r="E28" s="1988"/>
      <c r="F28" s="1952"/>
      <c r="G28" s="1952"/>
      <c r="H28" s="1952"/>
      <c r="I28" s="1989"/>
      <c r="J28" s="14"/>
      <c r="K28" s="14"/>
      <c r="L28" s="14"/>
      <c r="M28" s="14"/>
      <c r="N28" s="14"/>
      <c r="O28" s="14"/>
      <c r="P28" s="14"/>
      <c r="Q28" s="14"/>
      <c r="R28" s="14"/>
      <c r="S28" s="14"/>
      <c r="T28" s="14"/>
      <c r="U28" s="14"/>
      <c r="V28" s="14"/>
      <c r="W28" s="14"/>
      <c r="X28" s="14"/>
      <c r="Y28" s="14"/>
      <c r="Z28" s="14"/>
      <c r="AA28" s="14"/>
      <c r="AB28" s="14"/>
      <c r="AC28" s="14"/>
      <c r="AD28" s="14"/>
      <c r="AE28" s="14"/>
      <c r="AF28" s="14"/>
      <c r="AG28" s="14"/>
      <c r="AH28" s="14"/>
      <c r="AI28" s="14"/>
    </row>
    <row r="29" spans="1:35" s="205" customFormat="1" ht="30" customHeight="1">
      <c r="B29" s="1942" t="s">
        <v>790</v>
      </c>
      <c r="C29" s="1943"/>
      <c r="D29" s="1944"/>
      <c r="E29" s="1942" t="s">
        <v>172</v>
      </c>
      <c r="F29" s="1943"/>
      <c r="G29" s="1943"/>
      <c r="H29" s="1943"/>
      <c r="I29" s="1944"/>
    </row>
    <row r="30" spans="1:35" s="205" customFormat="1" ht="30" customHeight="1">
      <c r="B30" s="1942" t="s">
        <v>791</v>
      </c>
      <c r="C30" s="1943"/>
      <c r="D30" s="1944"/>
      <c r="E30" s="1942" t="s">
        <v>309</v>
      </c>
      <c r="F30" s="1943"/>
      <c r="G30" s="1943"/>
      <c r="H30" s="1943"/>
      <c r="I30" s="1944"/>
    </row>
    <row r="31" spans="1:35" s="205" customFormat="1" ht="30" customHeight="1">
      <c r="B31" s="1942" t="s">
        <v>1576</v>
      </c>
      <c r="C31" s="1943"/>
      <c r="D31" s="1944"/>
      <c r="E31" s="1942" t="s">
        <v>799</v>
      </c>
      <c r="F31" s="1943"/>
      <c r="G31" s="1943"/>
      <c r="H31" s="1943"/>
      <c r="I31" s="1944"/>
    </row>
    <row r="32" spans="1:35" s="205" customFormat="1" ht="30" customHeight="1">
      <c r="B32" s="1942" t="s">
        <v>1577</v>
      </c>
      <c r="C32" s="1943"/>
      <c r="D32" s="1944"/>
      <c r="E32" s="1942" t="s">
        <v>2642</v>
      </c>
      <c r="F32" s="1943"/>
      <c r="G32" s="1943"/>
      <c r="H32" s="1943"/>
      <c r="I32" s="1944"/>
    </row>
    <row r="33" spans="1:35" s="205" customFormat="1" ht="30" customHeight="1">
      <c r="B33" s="1942" t="s">
        <v>861</v>
      </c>
      <c r="C33" s="1943"/>
      <c r="D33" s="1944"/>
      <c r="E33" s="1942" t="s">
        <v>2651</v>
      </c>
      <c r="F33" s="1943"/>
      <c r="G33" s="1943"/>
      <c r="H33" s="1943"/>
      <c r="I33" s="1944"/>
    </row>
    <row r="34" spans="1:35" s="205" customFormat="1" ht="30" customHeight="1">
      <c r="B34" s="1942" t="s">
        <v>792</v>
      </c>
      <c r="C34" s="1943"/>
      <c r="D34" s="1944"/>
      <c r="E34" s="1942"/>
      <c r="F34" s="1943"/>
      <c r="G34" s="1943"/>
      <c r="H34" s="1943"/>
      <c r="I34" s="1944"/>
    </row>
    <row r="35" spans="1:35" s="205" customFormat="1" ht="30" customHeight="1">
      <c r="B35" s="1933" t="s">
        <v>788</v>
      </c>
      <c r="C35" s="1934"/>
      <c r="D35" s="1935"/>
      <c r="E35" s="1942" t="s">
        <v>2652</v>
      </c>
      <c r="F35" s="1943"/>
      <c r="G35" s="1943"/>
      <c r="H35" s="1943"/>
      <c r="I35" s="1944"/>
    </row>
    <row r="36" spans="1:35" s="205" customFormat="1" ht="30" customHeight="1">
      <c r="B36" s="1933" t="s">
        <v>793</v>
      </c>
      <c r="C36" s="1934"/>
      <c r="D36" s="1935"/>
      <c r="E36" s="1933" t="s">
        <v>798</v>
      </c>
      <c r="F36" s="1934"/>
      <c r="G36" s="1934"/>
      <c r="H36" s="1934"/>
      <c r="I36" s="1935"/>
    </row>
    <row r="37" spans="1:35" s="205" customFormat="1" ht="30" customHeight="1">
      <c r="B37" s="1945" t="str">
        <f>IF(E36="Yes - audited","Name of auditor",IF(E36="Yes - verified","Name of verifier",""))</f>
        <v/>
      </c>
      <c r="C37" s="1946"/>
      <c r="D37" s="1947"/>
      <c r="E37" s="1942"/>
      <c r="F37" s="1943"/>
      <c r="G37" s="1943"/>
      <c r="H37" s="1943"/>
      <c r="I37" s="1944"/>
    </row>
    <row r="38" spans="1:35" s="205" customFormat="1" ht="30" customHeight="1">
      <c r="B38" s="1945" t="str">
        <f>IF(E36="Yes - audited","Year of audit",IF(E36="Yes - verified","Year of verification",""))</f>
        <v/>
      </c>
      <c r="C38" s="1946"/>
      <c r="D38" s="1947"/>
      <c r="E38" s="1942"/>
      <c r="F38" s="1943"/>
      <c r="G38" s="1943"/>
      <c r="H38" s="1943"/>
      <c r="I38" s="1944"/>
    </row>
    <row r="39" spans="1:35" s="205" customFormat="1" ht="30" customHeight="1">
      <c r="B39" s="1933" t="s">
        <v>859</v>
      </c>
      <c r="C39" s="1934"/>
      <c r="D39" s="1935"/>
      <c r="E39" s="1942"/>
      <c r="F39" s="1943"/>
      <c r="G39" s="1943"/>
      <c r="H39" s="1943"/>
      <c r="I39" s="1944"/>
    </row>
    <row r="40" spans="1:35" s="15" customFormat="1" ht="31" customHeight="1"/>
    <row r="41" spans="1:35" s="15" customFormat="1" ht="31" customHeight="1" thickBot="1">
      <c r="B41" s="470" t="s">
        <v>860</v>
      </c>
      <c r="C41" s="466"/>
      <c r="D41" s="466"/>
      <c r="E41" s="466"/>
      <c r="F41" s="466"/>
      <c r="G41" s="466"/>
      <c r="H41" s="466"/>
      <c r="I41" s="467"/>
      <c r="J41" s="467"/>
      <c r="K41" s="467"/>
      <c r="L41" s="468"/>
      <c r="M41" s="468"/>
      <c r="N41" s="468"/>
      <c r="O41" s="468"/>
    </row>
    <row r="42" spans="1:35" s="15" customFormat="1" ht="31" customHeight="1" thickTop="1"/>
    <row r="43" spans="1:35" s="5" customFormat="1" ht="16" customHeight="1">
      <c r="A43" s="14"/>
      <c r="B43" s="1948" t="s">
        <v>794</v>
      </c>
      <c r="C43" s="1949"/>
      <c r="D43" s="1950"/>
      <c r="E43" s="1972" t="s">
        <v>795</v>
      </c>
      <c r="F43" s="1949"/>
      <c r="G43" s="1949"/>
      <c r="H43" s="1949"/>
      <c r="I43" s="1987"/>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row>
    <row r="44" spans="1:35" s="5" customFormat="1">
      <c r="A44" s="14"/>
      <c r="B44" s="1951"/>
      <c r="C44" s="1952"/>
      <c r="D44" s="1953"/>
      <c r="E44" s="1988"/>
      <c r="F44" s="1952"/>
      <c r="G44" s="1952"/>
      <c r="H44" s="1952"/>
      <c r="I44" s="1989"/>
      <c r="J44" s="14"/>
      <c r="K44" s="14"/>
      <c r="L44" s="14"/>
      <c r="M44" s="14"/>
      <c r="N44" s="14"/>
      <c r="O44" s="14"/>
      <c r="P44" s="14"/>
      <c r="Q44" s="14"/>
      <c r="R44" s="14"/>
      <c r="S44" s="14"/>
      <c r="T44" s="14"/>
      <c r="U44" s="14"/>
      <c r="V44" s="14"/>
      <c r="W44" s="14"/>
      <c r="X44" s="14"/>
      <c r="Y44" s="14"/>
      <c r="Z44" s="14"/>
      <c r="AA44" s="14"/>
      <c r="AB44" s="14"/>
      <c r="AC44" s="14"/>
      <c r="AD44" s="14"/>
      <c r="AE44" s="14"/>
      <c r="AF44" s="14"/>
      <c r="AG44" s="14"/>
      <c r="AH44" s="14"/>
      <c r="AI44" s="14"/>
    </row>
    <row r="45" spans="1:35" s="205" customFormat="1" ht="30" customHeight="1">
      <c r="B45" s="1933" t="s">
        <v>834</v>
      </c>
      <c r="C45" s="1934"/>
      <c r="D45" s="1935"/>
      <c r="E45" s="1942"/>
      <c r="F45" s="1943"/>
      <c r="G45" s="1943"/>
      <c r="H45" s="1943"/>
      <c r="I45" s="1944"/>
    </row>
    <row r="46" spans="1:35" s="205" customFormat="1" ht="30" customHeight="1">
      <c r="B46" s="1933" t="s">
        <v>835</v>
      </c>
      <c r="C46" s="1934"/>
      <c r="D46" s="1935"/>
      <c r="E46" s="1942"/>
      <c r="F46" s="1943"/>
      <c r="G46" s="1943"/>
      <c r="H46" s="1943"/>
      <c r="I46" s="1944"/>
    </row>
    <row r="47" spans="1:35" s="205" customFormat="1" ht="30" customHeight="1">
      <c r="B47" s="1933" t="s">
        <v>832</v>
      </c>
      <c r="C47" s="1934"/>
      <c r="D47" s="1935"/>
      <c r="E47" s="1942"/>
      <c r="F47" s="1943"/>
      <c r="G47" s="1943"/>
      <c r="H47" s="1943"/>
      <c r="I47" s="1944"/>
    </row>
    <row r="48" spans="1:35" s="205" customFormat="1" ht="30" customHeight="1">
      <c r="B48" s="1933" t="s">
        <v>833</v>
      </c>
      <c r="C48" s="1934"/>
      <c r="D48" s="1935"/>
      <c r="E48" s="1942"/>
      <c r="F48" s="1943"/>
      <c r="G48" s="1943"/>
      <c r="H48" s="1943"/>
      <c r="I48" s="1944"/>
    </row>
    <row r="49" spans="2:9" s="205" customFormat="1" ht="30" customHeight="1">
      <c r="B49" s="1933" t="s">
        <v>1580</v>
      </c>
      <c r="C49" s="1934"/>
      <c r="D49" s="1935"/>
      <c r="E49" s="1942"/>
      <c r="F49" s="1943"/>
      <c r="G49" s="1943"/>
      <c r="H49" s="1943"/>
      <c r="I49" s="1944"/>
    </row>
    <row r="50" spans="2:9" s="205" customFormat="1" ht="30" customHeight="1">
      <c r="B50" s="1933" t="s">
        <v>1581</v>
      </c>
      <c r="C50" s="1934"/>
      <c r="D50" s="1935"/>
      <c r="E50" s="1942"/>
      <c r="F50" s="1943"/>
      <c r="G50" s="1943"/>
      <c r="H50" s="1943"/>
      <c r="I50" s="1944"/>
    </row>
    <row r="51" spans="2:9" s="15" customFormat="1" ht="31" customHeight="1">
      <c r="B51" s="31"/>
      <c r="C51" s="31"/>
      <c r="D51" s="31"/>
      <c r="E51" s="31"/>
    </row>
    <row r="52" spans="2:9" hidden="1"/>
    <row r="53" spans="2:9" hidden="1"/>
    <row r="54" spans="2:9" hidden="1"/>
    <row r="55" spans="2:9" hidden="1"/>
    <row r="56" spans="2:9" hidden="1"/>
    <row r="57" spans="2:9" hidden="1"/>
    <row r="58" spans="2:9" hidden="1"/>
    <row r="59" spans="2:9" hidden="1"/>
    <row r="60" spans="2:9" hidden="1"/>
    <row r="61" spans="2:9" hidden="1"/>
    <row r="62" spans="2:9" hidden="1"/>
    <row r="63" spans="2:9" hidden="1"/>
    <row r="64" spans="2:9"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sheetData>
  <mergeCells count="92">
    <mergeCell ref="E46:I46"/>
    <mergeCell ref="E47:I47"/>
    <mergeCell ref="E48:I48"/>
    <mergeCell ref="E49:I49"/>
    <mergeCell ref="E50:I50"/>
    <mergeCell ref="E38:I38"/>
    <mergeCell ref="E39:I39"/>
    <mergeCell ref="E43:I44"/>
    <mergeCell ref="E45:I45"/>
    <mergeCell ref="E12:G12"/>
    <mergeCell ref="E33:I33"/>
    <mergeCell ref="E34:I34"/>
    <mergeCell ref="E35:I35"/>
    <mergeCell ref="E36:I36"/>
    <mergeCell ref="E37:I37"/>
    <mergeCell ref="E27:I28"/>
    <mergeCell ref="E29:I29"/>
    <mergeCell ref="E30:I30"/>
    <mergeCell ref="E31:I31"/>
    <mergeCell ref="E32:I32"/>
    <mergeCell ref="H13:J13"/>
    <mergeCell ref="B29:D29"/>
    <mergeCell ref="B30:D30"/>
    <mergeCell ref="E18:G18"/>
    <mergeCell ref="E17:G17"/>
    <mergeCell ref="E14:G14"/>
    <mergeCell ref="B14:D14"/>
    <mergeCell ref="B22:D22"/>
    <mergeCell ref="B19:D19"/>
    <mergeCell ref="B18:D18"/>
    <mergeCell ref="B13:D13"/>
    <mergeCell ref="B27:D28"/>
    <mergeCell ref="E20:G20"/>
    <mergeCell ref="H22:J22"/>
    <mergeCell ref="H14:J14"/>
    <mergeCell ref="H17:J17"/>
    <mergeCell ref="H18:J18"/>
    <mergeCell ref="H20:J20"/>
    <mergeCell ref="E15:G15"/>
    <mergeCell ref="E16:G16"/>
    <mergeCell ref="H15:J15"/>
    <mergeCell ref="H16:J16"/>
    <mergeCell ref="B2:B3"/>
    <mergeCell ref="B8:D9"/>
    <mergeCell ref="E8:G9"/>
    <mergeCell ref="B49:D49"/>
    <mergeCell ref="B50:D50"/>
    <mergeCell ref="B46:D46"/>
    <mergeCell ref="B47:D47"/>
    <mergeCell ref="B48:D48"/>
    <mergeCell ref="E19:G19"/>
    <mergeCell ref="B20:D20"/>
    <mergeCell ref="B21:D21"/>
    <mergeCell ref="B17:D17"/>
    <mergeCell ref="E13:G13"/>
    <mergeCell ref="E11:G11"/>
    <mergeCell ref="E22:G22"/>
    <mergeCell ref="E21:G21"/>
    <mergeCell ref="N2:O2"/>
    <mergeCell ref="D3:E3"/>
    <mergeCell ref="F3:G3"/>
    <mergeCell ref="D2:E2"/>
    <mergeCell ref="F2:G2"/>
    <mergeCell ref="H2:I2"/>
    <mergeCell ref="J2:K2"/>
    <mergeCell ref="L2:M2"/>
    <mergeCell ref="H3:I3"/>
    <mergeCell ref="J3:K3"/>
    <mergeCell ref="L3:M3"/>
    <mergeCell ref="N3:O3"/>
    <mergeCell ref="K8:O9"/>
    <mergeCell ref="B11:D11"/>
    <mergeCell ref="B10:D10"/>
    <mergeCell ref="H10:J10"/>
    <mergeCell ref="H11:J11"/>
    <mergeCell ref="E10:G10"/>
    <mergeCell ref="C2:C3"/>
    <mergeCell ref="B45:D45"/>
    <mergeCell ref="H8:J9"/>
    <mergeCell ref="B31:D31"/>
    <mergeCell ref="B37:D37"/>
    <mergeCell ref="B38:D38"/>
    <mergeCell ref="B32:D32"/>
    <mergeCell ref="B33:D33"/>
    <mergeCell ref="B34:D34"/>
    <mergeCell ref="B35:D35"/>
    <mergeCell ref="B36:D36"/>
    <mergeCell ref="B39:D39"/>
    <mergeCell ref="B43:D44"/>
    <mergeCell ref="H19:J19"/>
    <mergeCell ref="H12:J12"/>
    <mergeCell ref="H21:J21"/>
  </mergeCells>
  <phoneticPr fontId="13" type="noConversion"/>
  <conditionalFormatting sqref="B37:B38">
    <cfRule type="notContainsText" dxfId="642" priority="2" operator="notContains" text="o">
      <formula>ISERROR(SEARCH("o",B37))</formula>
    </cfRule>
  </conditionalFormatting>
  <dataValidations count="8">
    <dataValidation type="list" allowBlank="1" showInputMessage="1" showErrorMessage="1" sqref="E14">
      <formula1>Boundary</formula1>
    </dataValidation>
    <dataValidation type="list" allowBlank="1" showInputMessage="1" showErrorMessage="1" sqref="E21">
      <formula1>Climate</formula1>
    </dataValidation>
    <dataValidation type="list" allowBlank="1" showInputMessage="1" showErrorMessage="1" sqref="E20">
      <formula1>Economy</formula1>
    </dataValidation>
    <dataValidation type="list" allowBlank="1" showInputMessage="1" showErrorMessage="1" sqref="E36">
      <formula1>Audit</formula1>
    </dataValidation>
    <dataValidation type="list" allowBlank="1" showInputMessage="1" showErrorMessage="1" sqref="E29">
      <formula1>Inventory</formula1>
    </dataValidation>
    <dataValidation type="list" allowBlank="1" showInputMessage="1" showErrorMessage="1" sqref="E30">
      <formula1>Gases_2</formula1>
    </dataValidation>
    <dataValidation type="list" allowBlank="1" showInputMessage="1" showErrorMessage="1" sqref="E31">
      <formula1>GWP</formula1>
    </dataValidation>
    <dataValidation type="list" allowBlank="1" showInputMessage="1" showErrorMessage="1" sqref="E13:G13">
      <formula1>Base_year</formula1>
    </dataValidation>
  </dataValidations>
  <hyperlinks>
    <hyperlink ref="F3" location="'Data sources'!A1" display="Data sources"/>
    <hyperlink ref="G3" location="'Data sources'!A1" display="'Data sources'!A1"/>
    <hyperlink ref="D2" location="Home!A1" display="Introduction"/>
    <hyperlink ref="E2" location="Home!A1" display="Home!A1"/>
    <hyperlink ref="H2" location="Inventory!A1" display="Inventory"/>
    <hyperlink ref="I2" location="Inventory!A1" display="Inventory!A1"/>
    <hyperlink ref="J2" location="Calculators!A1" display="Calculators"/>
    <hyperlink ref="K2" location="Calculators!A1" display="Calculators!A1"/>
    <hyperlink ref="N2" location="Analysis!A1" display="Analysis"/>
    <hyperlink ref="O2" location="Analysis!A1" display="Analysis!A1"/>
    <hyperlink ref="L2" location="Results!A1" display="Results"/>
    <hyperlink ref="M2" location="Results!A1" display="Results!A1"/>
    <hyperlink ref="H3" location="'Emission factors'!A1" display="Emission factors"/>
    <hyperlink ref="J3" location="'F-Gases'!A1" display="Emission factors_x000d_HFCs, PFCs, SF6 and NF3"/>
    <hyperlink ref="K3" location="'F-Gases'!A1" display="'F-Gases'!A1"/>
    <hyperlink ref="L3" location="Database!A1" display="Emission factors_x000d_IPCC database"/>
    <hyperlink ref="M3" location="Database!A1" display="Database!A1"/>
    <hyperlink ref="N3" location="Blank!A1" display="Blank"/>
    <hyperlink ref="O3" location="Blank!A1" display="Blank!A1"/>
  </hyperlinks>
  <printOptions verticalCentered="1"/>
  <pageMargins left="0.15748031496062992" right="0.15748031496062992" top="0.15748031496062992" bottom="0.15748031496062992" header="0.15748031496062992" footer="0.15748031496062992"/>
  <pageSetup paperSize="9" scale="79" orientation="landscape" horizontalDpi="4294967292" verticalDpi="4294967292"/>
  <drawing r:id="rId1"/>
  <extLst>
    <ext xmlns:x14="http://schemas.microsoft.com/office/spreadsheetml/2009/9/main" uri="{CCE6A557-97BC-4b89-ADB6-D9C93CAAB3DF}">
      <x14:dataValidations xmlns:xm="http://schemas.microsoft.com/office/excel/2006/main" count="1">
        <x14:dataValidation type="list" showInputMessage="1" showErrorMessage="1">
          <x14:formula1>
            <xm:f>Lists!$BY$3:$BY$11</xm:f>
          </x14:formula1>
          <xm:sqref>E12:G12</xm:sqref>
        </x14:dataValidation>
      </x14:dataValidations>
    </ext>
    <ext xmlns:mx="http://schemas.microsoft.com/office/mac/excel/2008/main" uri="{64002731-A6B0-56B0-2670-7721B7C09600}">
      <mx:PLV Mode="0" OnePage="0" WScale="3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theme="4" tint="0.39997558519241921"/>
  </sheetPr>
  <dimension ref="A1:AP116"/>
  <sheetViews>
    <sheetView showRowColHeaders="0" workbookViewId="0">
      <selection activeCell="H3" sqref="H3:I3"/>
    </sheetView>
  </sheetViews>
  <sheetFormatPr baseColWidth="10" defaultColWidth="0" defaultRowHeight="15" x14ac:dyDescent="0"/>
  <cols>
    <col min="1" max="1" width="4.83203125" customWidth="1"/>
    <col min="2" max="4" width="12.83203125" customWidth="1"/>
    <col min="5" max="10" width="12.83203125" style="6" customWidth="1"/>
    <col min="11" max="11" width="12.83203125" customWidth="1"/>
    <col min="12" max="18" width="12.83203125" style="15" customWidth="1"/>
    <col min="19" max="19" width="4.83203125" style="15" customWidth="1"/>
    <col min="20" max="42" width="0" style="15" hidden="1" customWidth="1"/>
    <col min="43" max="16384" width="10.83203125" hidden="1"/>
  </cols>
  <sheetData>
    <row r="1" spans="1:42" s="15" customFormat="1">
      <c r="A1" s="498"/>
      <c r="B1" s="498"/>
      <c r="C1" s="498"/>
      <c r="D1" s="498"/>
      <c r="E1" s="498"/>
      <c r="F1" s="498"/>
      <c r="G1" s="498"/>
      <c r="H1" s="498"/>
      <c r="I1" s="498"/>
      <c r="J1" s="498"/>
      <c r="K1" s="498"/>
      <c r="L1" s="498"/>
      <c r="M1" s="498"/>
      <c r="N1" s="498"/>
      <c r="O1" s="498"/>
      <c r="P1" s="498"/>
      <c r="Q1" s="498"/>
      <c r="R1" s="498"/>
      <c r="S1" s="498"/>
    </row>
    <row r="2" spans="1:42" s="15" customFormat="1" ht="31" customHeight="1">
      <c r="A2" s="494"/>
      <c r="B2" s="1817" t="s">
        <v>1965</v>
      </c>
      <c r="C2" s="1819">
        <v>400</v>
      </c>
      <c r="D2" s="1849" t="s">
        <v>1555</v>
      </c>
      <c r="E2" s="1850"/>
      <c r="F2" s="1847" t="s">
        <v>1563</v>
      </c>
      <c r="G2" s="1848"/>
      <c r="H2" s="1849" t="s">
        <v>794</v>
      </c>
      <c r="I2" s="1850"/>
      <c r="J2" s="1849" t="s">
        <v>1570</v>
      </c>
      <c r="K2" s="1850"/>
      <c r="L2" s="1849" t="s">
        <v>1564</v>
      </c>
      <c r="M2" s="1850"/>
      <c r="N2" s="1849" t="s">
        <v>1602</v>
      </c>
      <c r="O2" s="1850"/>
      <c r="P2" s="501"/>
      <c r="Q2" s="501"/>
      <c r="R2" s="501"/>
      <c r="S2" s="494"/>
    </row>
    <row r="3" spans="1:42" s="15" customFormat="1" ht="31" customHeight="1">
      <c r="A3" s="494"/>
      <c r="B3" s="1818"/>
      <c r="C3" s="1820"/>
      <c r="D3" s="1843" t="s">
        <v>1007</v>
      </c>
      <c r="E3" s="1844"/>
      <c r="F3" s="1847" t="s">
        <v>1566</v>
      </c>
      <c r="G3" s="1848"/>
      <c r="H3" s="1968" t="s">
        <v>2500</v>
      </c>
      <c r="I3" s="1969"/>
      <c r="J3" s="1968" t="s">
        <v>2511</v>
      </c>
      <c r="K3" s="1844"/>
      <c r="L3" s="1968" t="s">
        <v>2512</v>
      </c>
      <c r="M3" s="1844"/>
      <c r="N3" s="1843" t="s">
        <v>2436</v>
      </c>
      <c r="O3" s="1844"/>
      <c r="P3" s="496"/>
      <c r="Q3" s="496"/>
      <c r="R3" s="496"/>
      <c r="S3" s="494"/>
    </row>
    <row r="4" spans="1:42" s="15" customFormat="1" ht="15" customHeight="1">
      <c r="A4" s="494"/>
      <c r="B4" s="492"/>
      <c r="C4" s="495"/>
      <c r="D4" s="497"/>
      <c r="E4" s="497"/>
      <c r="F4" s="497"/>
      <c r="G4" s="497"/>
      <c r="H4" s="497"/>
      <c r="I4" s="497"/>
      <c r="J4" s="497"/>
      <c r="K4" s="497"/>
      <c r="L4" s="496"/>
      <c r="M4" s="496"/>
      <c r="N4" s="496"/>
      <c r="O4" s="496"/>
      <c r="P4" s="496"/>
      <c r="Q4" s="496"/>
      <c r="R4" s="496"/>
      <c r="S4" s="494"/>
    </row>
    <row r="5" spans="1:42" s="15" customFormat="1" ht="31" customHeight="1"/>
    <row r="6" spans="1:42" s="15" customFormat="1" ht="31" customHeight="1" collapsed="1" thickBot="1">
      <c r="A6" s="866"/>
      <c r="B6" s="491" t="s">
        <v>1907</v>
      </c>
      <c r="C6" s="466"/>
      <c r="D6" s="466"/>
      <c r="E6" s="466"/>
      <c r="F6" s="466"/>
      <c r="G6" s="466"/>
      <c r="H6" s="466"/>
      <c r="I6" s="467"/>
      <c r="J6" s="467"/>
      <c r="K6" s="467"/>
      <c r="L6" s="468"/>
      <c r="M6" s="468"/>
      <c r="N6" s="468"/>
      <c r="O6" s="468"/>
      <c r="P6" s="468"/>
      <c r="Q6" s="468"/>
      <c r="R6" s="468"/>
    </row>
    <row r="7" spans="1:42" s="15" customFormat="1" ht="15" customHeight="1" thickTop="1"/>
    <row r="8" spans="1:42" s="29" customFormat="1" ht="72" customHeight="1">
      <c r="B8" s="1873" t="s">
        <v>1968</v>
      </c>
      <c r="C8" s="1873"/>
      <c r="D8" s="1873"/>
      <c r="E8" s="1873"/>
      <c r="F8" s="1873"/>
      <c r="G8" s="1873"/>
      <c r="H8" s="1873"/>
      <c r="I8" s="1873"/>
      <c r="J8" s="1873"/>
      <c r="K8" s="1873"/>
      <c r="L8" s="1873"/>
      <c r="M8" s="1873"/>
      <c r="N8" s="1873"/>
      <c r="O8" s="1873"/>
      <c r="P8" s="1163"/>
      <c r="Q8" s="1163"/>
      <c r="R8" s="1163"/>
    </row>
    <row r="9" spans="1:42" s="15" customFormat="1">
      <c r="E9" s="16"/>
      <c r="F9" s="16"/>
      <c r="G9" s="16"/>
      <c r="H9" s="16"/>
      <c r="I9" s="16"/>
      <c r="J9" s="16"/>
    </row>
    <row r="10" spans="1:42" s="50" customFormat="1" ht="16" customHeight="1">
      <c r="A10" s="49"/>
      <c r="B10" s="1948" t="s">
        <v>722</v>
      </c>
      <c r="C10" s="1949"/>
      <c r="D10" s="1950"/>
      <c r="E10" s="1972" t="s">
        <v>823</v>
      </c>
      <c r="F10" s="1949"/>
      <c r="G10" s="1950"/>
      <c r="H10" s="1972" t="s">
        <v>824</v>
      </c>
      <c r="I10" s="1949"/>
      <c r="J10" s="1950"/>
      <c r="K10" s="1997" t="s">
        <v>725</v>
      </c>
      <c r="L10" s="1997" t="s">
        <v>1587</v>
      </c>
      <c r="M10" s="1997" t="s">
        <v>724</v>
      </c>
      <c r="N10" s="1997" t="s">
        <v>728</v>
      </c>
      <c r="O10" s="1972" t="s">
        <v>726</v>
      </c>
      <c r="P10" s="1949"/>
      <c r="Q10" s="1949"/>
      <c r="R10" s="1987"/>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row>
    <row r="11" spans="1:42" s="50" customFormat="1">
      <c r="A11" s="49"/>
      <c r="B11" s="1981"/>
      <c r="C11" s="1982"/>
      <c r="D11" s="1983"/>
      <c r="E11" s="1990"/>
      <c r="F11" s="1982"/>
      <c r="G11" s="1983"/>
      <c r="H11" s="1990"/>
      <c r="I11" s="1982"/>
      <c r="J11" s="1983"/>
      <c r="K11" s="1998"/>
      <c r="L11" s="1998"/>
      <c r="M11" s="1998"/>
      <c r="N11" s="1998"/>
      <c r="O11" s="1990"/>
      <c r="P11" s="1982"/>
      <c r="Q11" s="1982"/>
      <c r="R11" s="1991"/>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row>
    <row r="12" spans="1:42">
      <c r="B12" s="1999" t="s">
        <v>747</v>
      </c>
      <c r="C12" s="1999"/>
      <c r="D12" s="1999"/>
      <c r="E12" s="1999" t="s">
        <v>831</v>
      </c>
      <c r="F12" s="1999"/>
      <c r="G12" s="1999"/>
      <c r="H12" s="1999" t="s">
        <v>830</v>
      </c>
      <c r="I12" s="1999"/>
      <c r="J12" s="1999"/>
      <c r="K12" s="1501">
        <v>2014</v>
      </c>
      <c r="L12" s="1501" t="s">
        <v>746</v>
      </c>
      <c r="M12" s="1501" t="s">
        <v>731</v>
      </c>
      <c r="N12" s="1501" t="s">
        <v>741</v>
      </c>
      <c r="O12" s="1999" t="s">
        <v>825</v>
      </c>
      <c r="P12" s="1999"/>
      <c r="Q12" s="1999"/>
      <c r="R12" s="1999"/>
    </row>
    <row r="13" spans="1:42" s="15" customFormat="1" hidden="1">
      <c r="B13" s="1996"/>
      <c r="C13" s="1996"/>
      <c r="D13" s="1996"/>
      <c r="E13" s="2000" t="s">
        <v>182</v>
      </c>
      <c r="F13" s="2000"/>
      <c r="G13" s="2000"/>
      <c r="H13" s="1996"/>
      <c r="I13" s="1996"/>
      <c r="J13" s="1996"/>
      <c r="K13" s="1502"/>
      <c r="L13" s="1503"/>
      <c r="M13" s="1502"/>
      <c r="N13" s="1502"/>
      <c r="O13" s="1995"/>
      <c r="P13" s="1995"/>
      <c r="Q13" s="1995"/>
      <c r="R13" s="1995"/>
    </row>
    <row r="14" spans="1:42" s="15" customFormat="1">
      <c r="B14" s="1996" t="s">
        <v>2526</v>
      </c>
      <c r="C14" s="1996"/>
      <c r="D14" s="1996"/>
      <c r="E14" s="1996" t="s">
        <v>2527</v>
      </c>
      <c r="F14" s="1996"/>
      <c r="G14" s="1996"/>
      <c r="H14" s="1996" t="s">
        <v>2653</v>
      </c>
      <c r="I14" s="1996"/>
      <c r="J14" s="1996"/>
      <c r="K14" s="1502">
        <v>2014</v>
      </c>
      <c r="L14" s="1503" t="s">
        <v>746</v>
      </c>
      <c r="M14" s="1502" t="s">
        <v>731</v>
      </c>
      <c r="N14" s="1502" t="s">
        <v>738</v>
      </c>
      <c r="O14" s="2001" t="s">
        <v>2528</v>
      </c>
      <c r="P14" s="2001"/>
      <c r="Q14" s="2001"/>
      <c r="R14" s="2001"/>
    </row>
    <row r="15" spans="1:42" s="15" customFormat="1">
      <c r="B15" s="1996" t="s">
        <v>2654</v>
      </c>
      <c r="C15" s="1996"/>
      <c r="D15" s="1996"/>
      <c r="E15" s="1996" t="s">
        <v>2655</v>
      </c>
      <c r="F15" s="1996"/>
      <c r="G15" s="1996"/>
      <c r="H15" s="1996" t="s">
        <v>2653</v>
      </c>
      <c r="I15" s="1996"/>
      <c r="J15" s="1996"/>
      <c r="K15" s="1502">
        <v>2014</v>
      </c>
      <c r="L15" s="1503" t="s">
        <v>746</v>
      </c>
      <c r="M15" s="1502" t="s">
        <v>731</v>
      </c>
      <c r="N15" s="1502" t="s">
        <v>738</v>
      </c>
      <c r="O15" s="1995" t="s">
        <v>2656</v>
      </c>
      <c r="P15" s="1995"/>
      <c r="Q15" s="1995"/>
      <c r="R15" s="1995"/>
    </row>
    <row r="16" spans="1:42" s="15" customFormat="1">
      <c r="B16" s="1996" t="s">
        <v>2657</v>
      </c>
      <c r="C16" s="1996"/>
      <c r="D16" s="1996"/>
      <c r="E16" s="1996" t="s">
        <v>2659</v>
      </c>
      <c r="F16" s="1996"/>
      <c r="G16" s="1996"/>
      <c r="H16" s="1996" t="s">
        <v>2658</v>
      </c>
      <c r="I16" s="1996"/>
      <c r="J16" s="1996"/>
      <c r="K16" s="1502">
        <v>2014</v>
      </c>
      <c r="L16" s="1503" t="s">
        <v>746</v>
      </c>
      <c r="M16" s="1502" t="s">
        <v>731</v>
      </c>
      <c r="N16" s="1502" t="s">
        <v>738</v>
      </c>
      <c r="O16" s="1995" t="s">
        <v>2660</v>
      </c>
      <c r="P16" s="1995"/>
      <c r="Q16" s="1995"/>
      <c r="R16" s="1995"/>
    </row>
    <row r="17" spans="2:18" s="15" customFormat="1">
      <c r="B17" s="1996"/>
      <c r="C17" s="1996"/>
      <c r="D17" s="1996"/>
      <c r="E17" s="1996"/>
      <c r="F17" s="1996"/>
      <c r="G17" s="1996"/>
      <c r="H17" s="1996"/>
      <c r="I17" s="1996"/>
      <c r="J17" s="1996"/>
      <c r="K17" s="1502"/>
      <c r="L17" s="1503"/>
      <c r="M17" s="1502"/>
      <c r="N17" s="1502"/>
      <c r="O17" s="1995"/>
      <c r="P17" s="1995"/>
      <c r="Q17" s="1995"/>
      <c r="R17" s="1995"/>
    </row>
    <row r="18" spans="2:18" s="15" customFormat="1">
      <c r="B18" s="1996"/>
      <c r="C18" s="1996"/>
      <c r="D18" s="1996"/>
      <c r="E18" s="1996"/>
      <c r="F18" s="1996"/>
      <c r="G18" s="1996"/>
      <c r="H18" s="1996"/>
      <c r="I18" s="1996"/>
      <c r="J18" s="1996"/>
      <c r="K18" s="1502"/>
      <c r="L18" s="1503"/>
      <c r="M18" s="1502"/>
      <c r="N18" s="1502"/>
      <c r="O18" s="1995"/>
      <c r="P18" s="1995"/>
      <c r="Q18" s="1995"/>
      <c r="R18" s="1995"/>
    </row>
    <row r="19" spans="2:18" s="15" customFormat="1">
      <c r="B19" s="1996"/>
      <c r="C19" s="1996"/>
      <c r="D19" s="1996"/>
      <c r="E19" s="1996"/>
      <c r="F19" s="1996"/>
      <c r="G19" s="1996"/>
      <c r="H19" s="1996"/>
      <c r="I19" s="1996"/>
      <c r="J19" s="1996"/>
      <c r="K19" s="1502"/>
      <c r="L19" s="1503"/>
      <c r="M19" s="1502"/>
      <c r="N19" s="1502"/>
      <c r="O19" s="1995"/>
      <c r="P19" s="1995"/>
      <c r="Q19" s="1995"/>
      <c r="R19" s="1995"/>
    </row>
    <row r="20" spans="2:18" s="15" customFormat="1">
      <c r="B20" s="1996"/>
      <c r="C20" s="1996"/>
      <c r="D20" s="1996"/>
      <c r="E20" s="1996"/>
      <c r="F20" s="1996"/>
      <c r="G20" s="1996"/>
      <c r="H20" s="1996"/>
      <c r="I20" s="1996"/>
      <c r="J20" s="1996"/>
      <c r="K20" s="1502"/>
      <c r="L20" s="1503"/>
      <c r="M20" s="1502"/>
      <c r="N20" s="1502"/>
      <c r="O20" s="1995"/>
      <c r="P20" s="1995"/>
      <c r="Q20" s="1995"/>
      <c r="R20" s="1995"/>
    </row>
    <row r="21" spans="2:18" s="15" customFormat="1">
      <c r="B21" s="1996"/>
      <c r="C21" s="1996"/>
      <c r="D21" s="1996"/>
      <c r="E21" s="1996"/>
      <c r="F21" s="1996"/>
      <c r="G21" s="1996"/>
      <c r="H21" s="1996"/>
      <c r="I21" s="1996"/>
      <c r="J21" s="1996"/>
      <c r="K21" s="1502"/>
      <c r="L21" s="1503"/>
      <c r="M21" s="1502"/>
      <c r="N21" s="1502"/>
      <c r="O21" s="1995"/>
      <c r="P21" s="1995"/>
      <c r="Q21" s="1995"/>
      <c r="R21" s="1995"/>
    </row>
    <row r="22" spans="2:18" s="15" customFormat="1">
      <c r="B22" s="1996"/>
      <c r="C22" s="1996"/>
      <c r="D22" s="1996"/>
      <c r="E22" s="1996"/>
      <c r="F22" s="1996"/>
      <c r="G22" s="1996"/>
      <c r="H22" s="1996"/>
      <c r="I22" s="1996"/>
      <c r="J22" s="1996"/>
      <c r="K22" s="1502"/>
      <c r="L22" s="1503"/>
      <c r="M22" s="1502"/>
      <c r="N22" s="1502"/>
      <c r="O22" s="1995"/>
      <c r="P22" s="1995"/>
      <c r="Q22" s="1995"/>
      <c r="R22" s="1995"/>
    </row>
    <row r="23" spans="2:18" s="15" customFormat="1">
      <c r="B23" s="1996"/>
      <c r="C23" s="1996"/>
      <c r="D23" s="1996"/>
      <c r="E23" s="1996"/>
      <c r="F23" s="1996"/>
      <c r="G23" s="1996"/>
      <c r="H23" s="1996"/>
      <c r="I23" s="1996"/>
      <c r="J23" s="1996"/>
      <c r="K23" s="1502"/>
      <c r="L23" s="1503"/>
      <c r="M23" s="1502"/>
      <c r="N23" s="1502"/>
      <c r="O23" s="1995"/>
      <c r="P23" s="1995"/>
      <c r="Q23" s="1995"/>
      <c r="R23" s="1995"/>
    </row>
    <row r="24" spans="2:18" s="15" customFormat="1">
      <c r="B24" s="1996"/>
      <c r="C24" s="1996"/>
      <c r="D24" s="1996"/>
      <c r="E24" s="1996"/>
      <c r="F24" s="1996"/>
      <c r="G24" s="1996"/>
      <c r="H24" s="1996"/>
      <c r="I24" s="1996"/>
      <c r="J24" s="1996"/>
      <c r="K24" s="1502"/>
      <c r="L24" s="1503"/>
      <c r="M24" s="1502"/>
      <c r="N24" s="1502"/>
      <c r="O24" s="1995"/>
      <c r="P24" s="1995"/>
      <c r="Q24" s="1995"/>
      <c r="R24" s="1995"/>
    </row>
    <row r="25" spans="2:18" s="15" customFormat="1">
      <c r="B25" s="1996"/>
      <c r="C25" s="1996"/>
      <c r="D25" s="1996"/>
      <c r="E25" s="1996"/>
      <c r="F25" s="1996"/>
      <c r="G25" s="1996"/>
      <c r="H25" s="1996"/>
      <c r="I25" s="1996"/>
      <c r="J25" s="1996"/>
      <c r="K25" s="1502"/>
      <c r="L25" s="1503"/>
      <c r="M25" s="1502"/>
      <c r="N25" s="1502"/>
      <c r="O25" s="1995"/>
      <c r="P25" s="1995"/>
      <c r="Q25" s="1995"/>
      <c r="R25" s="1995"/>
    </row>
    <row r="26" spans="2:18" s="15" customFormat="1">
      <c r="B26" s="1996"/>
      <c r="C26" s="1996"/>
      <c r="D26" s="1996"/>
      <c r="E26" s="1996"/>
      <c r="F26" s="1996"/>
      <c r="G26" s="1996"/>
      <c r="H26" s="1996"/>
      <c r="I26" s="1996"/>
      <c r="J26" s="1996"/>
      <c r="K26" s="1502"/>
      <c r="L26" s="1503"/>
      <c r="M26" s="1502"/>
      <c r="N26" s="1502"/>
      <c r="O26" s="1995"/>
      <c r="P26" s="1995"/>
      <c r="Q26" s="1995"/>
      <c r="R26" s="1995"/>
    </row>
    <row r="27" spans="2:18" s="15" customFormat="1">
      <c r="B27" s="1996"/>
      <c r="C27" s="1996"/>
      <c r="D27" s="1996"/>
      <c r="E27" s="1996"/>
      <c r="F27" s="1996"/>
      <c r="G27" s="1996"/>
      <c r="H27" s="1996"/>
      <c r="I27" s="1996"/>
      <c r="J27" s="1996"/>
      <c r="K27" s="1502"/>
      <c r="L27" s="1503"/>
      <c r="M27" s="1502"/>
      <c r="N27" s="1502"/>
      <c r="O27" s="1995"/>
      <c r="P27" s="1995"/>
      <c r="Q27" s="1995"/>
      <c r="R27" s="1995"/>
    </row>
    <row r="28" spans="2:18" s="15" customFormat="1">
      <c r="B28" s="1996"/>
      <c r="C28" s="1996"/>
      <c r="D28" s="1996"/>
      <c r="E28" s="1996"/>
      <c r="F28" s="1996"/>
      <c r="G28" s="1996"/>
      <c r="H28" s="1996"/>
      <c r="I28" s="1996"/>
      <c r="J28" s="1996"/>
      <c r="K28" s="1502"/>
      <c r="L28" s="1503"/>
      <c r="M28" s="1502"/>
      <c r="N28" s="1502"/>
      <c r="O28" s="1995"/>
      <c r="P28" s="1995"/>
      <c r="Q28" s="1995"/>
      <c r="R28" s="1995"/>
    </row>
    <row r="29" spans="2:18" s="15" customFormat="1">
      <c r="B29" s="1996"/>
      <c r="C29" s="1996"/>
      <c r="D29" s="1996"/>
      <c r="E29" s="1996"/>
      <c r="F29" s="1996"/>
      <c r="G29" s="1996"/>
      <c r="H29" s="1996"/>
      <c r="I29" s="1996"/>
      <c r="J29" s="1996"/>
      <c r="K29" s="1502"/>
      <c r="L29" s="1503"/>
      <c r="M29" s="1502"/>
      <c r="N29" s="1502"/>
      <c r="O29" s="1995"/>
      <c r="P29" s="1995"/>
      <c r="Q29" s="1995"/>
      <c r="R29" s="1995"/>
    </row>
    <row r="30" spans="2:18" s="15" customFormat="1">
      <c r="B30" s="1996"/>
      <c r="C30" s="1996"/>
      <c r="D30" s="1996"/>
      <c r="E30" s="1996"/>
      <c r="F30" s="1996"/>
      <c r="G30" s="1996"/>
      <c r="H30" s="1996"/>
      <c r="I30" s="1996"/>
      <c r="J30" s="1996"/>
      <c r="K30" s="1502"/>
      <c r="L30" s="1503"/>
      <c r="M30" s="1502"/>
      <c r="N30" s="1502"/>
      <c r="O30" s="1995"/>
      <c r="P30" s="1995"/>
      <c r="Q30" s="1995"/>
      <c r="R30" s="1995"/>
    </row>
    <row r="31" spans="2:18" s="15" customFormat="1">
      <c r="B31" s="1996"/>
      <c r="C31" s="1996"/>
      <c r="D31" s="1996"/>
      <c r="E31" s="1996"/>
      <c r="F31" s="1996"/>
      <c r="G31" s="1996"/>
      <c r="H31" s="1996"/>
      <c r="I31" s="1996"/>
      <c r="J31" s="1996"/>
      <c r="K31" s="1502"/>
      <c r="L31" s="1503"/>
      <c r="M31" s="1502"/>
      <c r="N31" s="1502"/>
      <c r="O31" s="1995"/>
      <c r="P31" s="1995"/>
      <c r="Q31" s="1995"/>
      <c r="R31" s="1995"/>
    </row>
    <row r="32" spans="2:18" s="15" customFormat="1">
      <c r="B32" s="1996"/>
      <c r="C32" s="1996"/>
      <c r="D32" s="1996"/>
      <c r="E32" s="1996"/>
      <c r="F32" s="1996"/>
      <c r="G32" s="1996"/>
      <c r="H32" s="1996"/>
      <c r="I32" s="1996"/>
      <c r="J32" s="1996"/>
      <c r="K32" s="1502"/>
      <c r="L32" s="1503"/>
      <c r="M32" s="1502"/>
      <c r="N32" s="1502"/>
      <c r="O32" s="1995"/>
      <c r="P32" s="1995"/>
      <c r="Q32" s="1995"/>
      <c r="R32" s="1995"/>
    </row>
    <row r="33" spans="2:18" s="15" customFormat="1">
      <c r="B33" s="1996"/>
      <c r="C33" s="1996"/>
      <c r="D33" s="1996"/>
      <c r="E33" s="1996"/>
      <c r="F33" s="1996"/>
      <c r="G33" s="1996"/>
      <c r="H33" s="1996"/>
      <c r="I33" s="1996"/>
      <c r="J33" s="1996"/>
      <c r="K33" s="1502"/>
      <c r="L33" s="1503"/>
      <c r="M33" s="1502"/>
      <c r="N33" s="1502"/>
      <c r="O33" s="1995"/>
      <c r="P33" s="1995"/>
      <c r="Q33" s="1995"/>
      <c r="R33" s="1995"/>
    </row>
    <row r="34" spans="2:18" s="15" customFormat="1">
      <c r="B34" s="1996"/>
      <c r="C34" s="1996"/>
      <c r="D34" s="1996"/>
      <c r="E34" s="1996"/>
      <c r="F34" s="1996"/>
      <c r="G34" s="1996"/>
      <c r="H34" s="1996"/>
      <c r="I34" s="1996"/>
      <c r="J34" s="1996"/>
      <c r="K34" s="1502"/>
      <c r="L34" s="1503"/>
      <c r="M34" s="1502"/>
      <c r="N34" s="1502"/>
      <c r="O34" s="1995"/>
      <c r="P34" s="1995"/>
      <c r="Q34" s="1995"/>
      <c r="R34" s="1995"/>
    </row>
    <row r="35" spans="2:18" s="15" customFormat="1">
      <c r="B35" s="1996"/>
      <c r="C35" s="1996"/>
      <c r="D35" s="1996"/>
      <c r="E35" s="1996"/>
      <c r="F35" s="1996"/>
      <c r="G35" s="1996"/>
      <c r="H35" s="1996"/>
      <c r="I35" s="1996"/>
      <c r="J35" s="1996"/>
      <c r="K35" s="1502"/>
      <c r="L35" s="1503"/>
      <c r="M35" s="1502"/>
      <c r="N35" s="1502"/>
      <c r="O35" s="1995"/>
      <c r="P35" s="1995"/>
      <c r="Q35" s="1995"/>
      <c r="R35" s="1995"/>
    </row>
    <row r="36" spans="2:18" s="15" customFormat="1">
      <c r="B36" s="1996"/>
      <c r="C36" s="1996"/>
      <c r="D36" s="1996"/>
      <c r="E36" s="1996"/>
      <c r="F36" s="1996"/>
      <c r="G36" s="1996"/>
      <c r="H36" s="1996"/>
      <c r="I36" s="1996"/>
      <c r="J36" s="1996"/>
      <c r="K36" s="1502"/>
      <c r="L36" s="1503"/>
      <c r="M36" s="1502"/>
      <c r="N36" s="1502"/>
      <c r="O36" s="1995"/>
      <c r="P36" s="1995"/>
      <c r="Q36" s="1995"/>
      <c r="R36" s="1995"/>
    </row>
    <row r="37" spans="2:18" s="15" customFormat="1">
      <c r="B37" s="1996"/>
      <c r="C37" s="1996"/>
      <c r="D37" s="1996"/>
      <c r="E37" s="1996"/>
      <c r="F37" s="1996"/>
      <c r="G37" s="1996"/>
      <c r="H37" s="1996"/>
      <c r="I37" s="1996"/>
      <c r="J37" s="1996"/>
      <c r="K37" s="1502"/>
      <c r="L37" s="1503"/>
      <c r="M37" s="1502"/>
      <c r="N37" s="1502"/>
      <c r="O37" s="1995"/>
      <c r="P37" s="1995"/>
      <c r="Q37" s="1995"/>
      <c r="R37" s="1995"/>
    </row>
    <row r="38" spans="2:18" s="15" customFormat="1">
      <c r="B38" s="1996"/>
      <c r="C38" s="1996"/>
      <c r="D38" s="1996"/>
      <c r="E38" s="1996"/>
      <c r="F38" s="1996"/>
      <c r="G38" s="1996"/>
      <c r="H38" s="1996"/>
      <c r="I38" s="1996"/>
      <c r="J38" s="1996"/>
      <c r="K38" s="1502"/>
      <c r="L38" s="1503"/>
      <c r="M38" s="1502"/>
      <c r="N38" s="1502"/>
      <c r="O38" s="1995"/>
      <c r="P38" s="1995"/>
      <c r="Q38" s="1995"/>
      <c r="R38" s="1995"/>
    </row>
    <row r="39" spans="2:18" s="15" customFormat="1">
      <c r="B39" s="1996"/>
      <c r="C39" s="1996"/>
      <c r="D39" s="1996"/>
      <c r="E39" s="1996"/>
      <c r="F39" s="1996"/>
      <c r="G39" s="1996"/>
      <c r="H39" s="1996"/>
      <c r="I39" s="1996"/>
      <c r="J39" s="1996"/>
      <c r="K39" s="1502"/>
      <c r="L39" s="1503"/>
      <c r="M39" s="1502"/>
      <c r="N39" s="1502"/>
      <c r="O39" s="1995"/>
      <c r="P39" s="1995"/>
      <c r="Q39" s="1995"/>
      <c r="R39" s="1995"/>
    </row>
    <row r="40" spans="2:18" s="15" customFormat="1">
      <c r="B40" s="1996"/>
      <c r="C40" s="1996"/>
      <c r="D40" s="1996"/>
      <c r="E40" s="1996"/>
      <c r="F40" s="1996"/>
      <c r="G40" s="1996"/>
      <c r="H40" s="1996"/>
      <c r="I40" s="1996"/>
      <c r="J40" s="1996"/>
      <c r="K40" s="1502"/>
      <c r="L40" s="1503"/>
      <c r="M40" s="1502"/>
      <c r="N40" s="1502"/>
      <c r="O40" s="1995"/>
      <c r="P40" s="1995"/>
      <c r="Q40" s="1995"/>
      <c r="R40" s="1995"/>
    </row>
    <row r="41" spans="2:18" s="15" customFormat="1">
      <c r="B41" s="1996"/>
      <c r="C41" s="1996"/>
      <c r="D41" s="1996"/>
      <c r="E41" s="1996"/>
      <c r="F41" s="1996"/>
      <c r="G41" s="1996"/>
      <c r="H41" s="1996"/>
      <c r="I41" s="1996"/>
      <c r="J41" s="1996"/>
      <c r="K41" s="1502"/>
      <c r="L41" s="1503"/>
      <c r="M41" s="1502"/>
      <c r="N41" s="1502"/>
      <c r="O41" s="1995"/>
      <c r="P41" s="1995"/>
      <c r="Q41" s="1995"/>
      <c r="R41" s="1995"/>
    </row>
    <row r="42" spans="2:18" s="15" customFormat="1">
      <c r="B42" s="1996"/>
      <c r="C42" s="1996"/>
      <c r="D42" s="1996"/>
      <c r="E42" s="1996"/>
      <c r="F42" s="1996"/>
      <c r="G42" s="1996"/>
      <c r="H42" s="1996"/>
      <c r="I42" s="1996"/>
      <c r="J42" s="1996"/>
      <c r="K42" s="1502"/>
      <c r="L42" s="1503"/>
      <c r="M42" s="1502"/>
      <c r="N42" s="1502"/>
      <c r="O42" s="1995"/>
      <c r="P42" s="1995"/>
      <c r="Q42" s="1995"/>
      <c r="R42" s="1995"/>
    </row>
    <row r="43" spans="2:18" s="15" customFormat="1">
      <c r="B43" s="1996"/>
      <c r="C43" s="1996"/>
      <c r="D43" s="1996"/>
      <c r="E43" s="1996"/>
      <c r="F43" s="1996"/>
      <c r="G43" s="1996"/>
      <c r="H43" s="1996"/>
      <c r="I43" s="1996"/>
      <c r="J43" s="1996"/>
      <c r="K43" s="1502"/>
      <c r="L43" s="1503"/>
      <c r="M43" s="1502"/>
      <c r="N43" s="1502"/>
      <c r="O43" s="1995"/>
      <c r="P43" s="1995"/>
      <c r="Q43" s="1995"/>
      <c r="R43" s="1995"/>
    </row>
    <row r="44" spans="2:18" s="15" customFormat="1">
      <c r="B44" s="1996"/>
      <c r="C44" s="1996"/>
      <c r="D44" s="1996"/>
      <c r="E44" s="1996"/>
      <c r="F44" s="1996"/>
      <c r="G44" s="1996"/>
      <c r="H44" s="1996"/>
      <c r="I44" s="1996"/>
      <c r="J44" s="1996"/>
      <c r="K44" s="1502"/>
      <c r="L44" s="1503"/>
      <c r="M44" s="1502"/>
      <c r="N44" s="1502"/>
      <c r="O44" s="1995"/>
      <c r="P44" s="1995"/>
      <c r="Q44" s="1995"/>
      <c r="R44" s="1995"/>
    </row>
    <row r="45" spans="2:18" s="15" customFormat="1">
      <c r="B45" s="1996"/>
      <c r="C45" s="1996"/>
      <c r="D45" s="1996"/>
      <c r="E45" s="1996"/>
      <c r="F45" s="1996"/>
      <c r="G45" s="1996"/>
      <c r="H45" s="1996"/>
      <c r="I45" s="1996"/>
      <c r="J45" s="1996"/>
      <c r="K45" s="1502"/>
      <c r="L45" s="1503"/>
      <c r="M45" s="1502"/>
      <c r="N45" s="1502"/>
      <c r="O45" s="1995"/>
      <c r="P45" s="1995"/>
      <c r="Q45" s="1995"/>
      <c r="R45" s="1995"/>
    </row>
    <row r="46" spans="2:18" s="15" customFormat="1">
      <c r="B46" s="1996"/>
      <c r="C46" s="1996"/>
      <c r="D46" s="1996"/>
      <c r="E46" s="1996"/>
      <c r="F46" s="1996"/>
      <c r="G46" s="1996"/>
      <c r="H46" s="1996"/>
      <c r="I46" s="1996"/>
      <c r="J46" s="1996"/>
      <c r="K46" s="1502"/>
      <c r="L46" s="1503"/>
      <c r="M46" s="1502"/>
      <c r="N46" s="1502"/>
      <c r="O46" s="1995"/>
      <c r="P46" s="1995"/>
      <c r="Q46" s="1995"/>
      <c r="R46" s="1995"/>
    </row>
    <row r="47" spans="2:18" s="15" customFormat="1">
      <c r="B47" s="1996"/>
      <c r="C47" s="1996"/>
      <c r="D47" s="1996"/>
      <c r="E47" s="1996"/>
      <c r="F47" s="1996"/>
      <c r="G47" s="1996"/>
      <c r="H47" s="1996"/>
      <c r="I47" s="1996"/>
      <c r="J47" s="1996"/>
      <c r="K47" s="1502"/>
      <c r="L47" s="1503"/>
      <c r="M47" s="1502"/>
      <c r="N47" s="1502"/>
      <c r="O47" s="1995"/>
      <c r="P47" s="1995"/>
      <c r="Q47" s="1995"/>
      <c r="R47" s="1995"/>
    </row>
    <row r="48" spans="2:18" s="15" customFormat="1">
      <c r="B48" s="1996"/>
      <c r="C48" s="1996"/>
      <c r="D48" s="1996"/>
      <c r="E48" s="1996"/>
      <c r="F48" s="1996"/>
      <c r="G48" s="1996"/>
      <c r="H48" s="1996"/>
      <c r="I48" s="1996"/>
      <c r="J48" s="1996"/>
      <c r="K48" s="1502"/>
      <c r="L48" s="1503"/>
      <c r="M48" s="1502"/>
      <c r="N48" s="1502"/>
      <c r="O48" s="1995"/>
      <c r="P48" s="1995"/>
      <c r="Q48" s="1995"/>
      <c r="R48" s="1995"/>
    </row>
    <row r="49" spans="2:18" s="15" customFormat="1">
      <c r="B49" s="1996"/>
      <c r="C49" s="1996"/>
      <c r="D49" s="1996"/>
      <c r="E49" s="1996"/>
      <c r="F49" s="1996"/>
      <c r="G49" s="1996"/>
      <c r="H49" s="1996"/>
      <c r="I49" s="1996"/>
      <c r="J49" s="1996"/>
      <c r="K49" s="1502"/>
      <c r="L49" s="1503"/>
      <c r="M49" s="1502"/>
      <c r="N49" s="1502"/>
      <c r="O49" s="1995"/>
      <c r="P49" s="1995"/>
      <c r="Q49" s="1995"/>
      <c r="R49" s="1995"/>
    </row>
    <row r="50" spans="2:18" s="15" customFormat="1">
      <c r="B50" s="1996"/>
      <c r="C50" s="1996"/>
      <c r="D50" s="1996"/>
      <c r="E50" s="1996"/>
      <c r="F50" s="1996"/>
      <c r="G50" s="1996"/>
      <c r="H50" s="1996"/>
      <c r="I50" s="1996"/>
      <c r="J50" s="1996"/>
      <c r="K50" s="1502"/>
      <c r="L50" s="1503"/>
      <c r="M50" s="1502"/>
      <c r="N50" s="1502"/>
      <c r="O50" s="1995"/>
      <c r="P50" s="1995"/>
      <c r="Q50" s="1995"/>
      <c r="R50" s="1995"/>
    </row>
    <row r="51" spans="2:18" s="15" customFormat="1">
      <c r="B51" s="1996"/>
      <c r="C51" s="1996"/>
      <c r="D51" s="1996"/>
      <c r="E51" s="1996"/>
      <c r="F51" s="1996"/>
      <c r="G51" s="1996"/>
      <c r="H51" s="1996"/>
      <c r="I51" s="1996"/>
      <c r="J51" s="1996"/>
      <c r="K51" s="1502"/>
      <c r="L51" s="1503"/>
      <c r="M51" s="1502"/>
      <c r="N51" s="1502"/>
      <c r="O51" s="1995"/>
      <c r="P51" s="1995"/>
      <c r="Q51" s="1995"/>
      <c r="R51" s="1995"/>
    </row>
    <row r="52" spans="2:18" s="15" customFormat="1">
      <c r="E52" s="16"/>
      <c r="F52" s="16"/>
      <c r="G52" s="16"/>
      <c r="H52" s="16"/>
      <c r="I52" s="16"/>
      <c r="J52" s="16"/>
    </row>
    <row r="53" spans="2:18" s="15" customFormat="1">
      <c r="B53" s="171" t="s">
        <v>744</v>
      </c>
      <c r="E53" s="16"/>
      <c r="F53" s="16"/>
      <c r="G53" s="16"/>
      <c r="H53" s="16"/>
      <c r="I53" s="16"/>
      <c r="J53" s="16"/>
    </row>
    <row r="54" spans="2:18" s="15" customFormat="1">
      <c r="E54" s="16"/>
      <c r="F54" s="16"/>
      <c r="G54" s="16"/>
      <c r="H54" s="16"/>
      <c r="I54" s="16"/>
      <c r="J54" s="16"/>
    </row>
    <row r="55" spans="2:18" s="15" customFormat="1">
      <c r="E55" s="16"/>
      <c r="F55" s="16"/>
      <c r="G55" s="16"/>
      <c r="H55" s="16"/>
      <c r="I55" s="16"/>
      <c r="J55" s="16"/>
    </row>
    <row r="56" spans="2:18" s="15" customFormat="1">
      <c r="E56" s="16"/>
      <c r="F56" s="16"/>
      <c r="G56" s="16"/>
      <c r="H56" s="16"/>
      <c r="I56" s="16"/>
      <c r="J56" s="16"/>
    </row>
    <row r="57" spans="2:18" s="15" customFormat="1">
      <c r="E57" s="16"/>
      <c r="F57" s="16"/>
      <c r="G57" s="16"/>
      <c r="H57" s="16"/>
      <c r="I57" s="16"/>
      <c r="J57" s="16"/>
    </row>
    <row r="58" spans="2:18" s="15" customFormat="1">
      <c r="E58" s="16"/>
      <c r="F58" s="16"/>
      <c r="G58" s="16"/>
      <c r="H58" s="16"/>
      <c r="I58" s="16"/>
      <c r="J58" s="16"/>
    </row>
    <row r="59" spans="2:18" s="15" customFormat="1">
      <c r="E59" s="16"/>
      <c r="F59" s="16"/>
      <c r="G59" s="16"/>
      <c r="H59" s="16"/>
      <c r="I59" s="16"/>
      <c r="J59" s="16"/>
    </row>
    <row r="60" spans="2:18" s="15" customFormat="1">
      <c r="E60" s="16"/>
      <c r="F60" s="16"/>
      <c r="G60" s="16"/>
      <c r="H60" s="16"/>
      <c r="I60" s="16"/>
      <c r="J60" s="16"/>
    </row>
    <row r="61" spans="2:18" s="15" customFormat="1">
      <c r="E61" s="16"/>
      <c r="F61" s="16"/>
      <c r="G61" s="16"/>
      <c r="H61" s="16"/>
      <c r="I61" s="16"/>
      <c r="J61" s="16"/>
    </row>
    <row r="62" spans="2:18" s="15" customFormat="1">
      <c r="E62" s="16"/>
      <c r="F62" s="16"/>
      <c r="G62" s="16"/>
      <c r="H62" s="16"/>
      <c r="I62" s="16"/>
      <c r="J62" s="16"/>
    </row>
    <row r="63" spans="2:18" s="15" customFormat="1">
      <c r="E63" s="16"/>
      <c r="F63" s="16"/>
      <c r="G63" s="16"/>
      <c r="H63" s="16"/>
      <c r="I63" s="16"/>
      <c r="J63" s="16"/>
    </row>
    <row r="64" spans="2:18" s="15" customFormat="1">
      <c r="E64" s="16"/>
      <c r="F64" s="16"/>
      <c r="G64" s="16"/>
      <c r="H64" s="16"/>
      <c r="I64" s="16"/>
      <c r="J64" s="16"/>
    </row>
    <row r="65" spans="5:10" s="15" customFormat="1">
      <c r="E65" s="16"/>
      <c r="F65" s="16"/>
      <c r="G65" s="16"/>
      <c r="H65" s="16"/>
      <c r="I65" s="16"/>
      <c r="J65" s="16"/>
    </row>
    <row r="66" spans="5:10" s="15" customFormat="1">
      <c r="E66" s="16"/>
      <c r="F66" s="16"/>
      <c r="G66" s="16"/>
      <c r="H66" s="16"/>
      <c r="I66" s="16"/>
      <c r="J66" s="16"/>
    </row>
    <row r="67" spans="5:10" s="15" customFormat="1">
      <c r="E67" s="16"/>
      <c r="F67" s="16"/>
      <c r="G67" s="16"/>
      <c r="H67" s="16"/>
      <c r="I67" s="16"/>
      <c r="J67" s="16"/>
    </row>
    <row r="68" spans="5:10" s="15" customFormat="1">
      <c r="E68" s="16"/>
      <c r="F68" s="16"/>
      <c r="G68" s="16"/>
      <c r="H68" s="16"/>
      <c r="I68" s="16"/>
      <c r="J68" s="16"/>
    </row>
    <row r="69" spans="5:10" s="15" customFormat="1">
      <c r="E69" s="16"/>
      <c r="F69" s="16"/>
      <c r="G69" s="16"/>
      <c r="H69" s="16"/>
      <c r="I69" s="16"/>
      <c r="J69" s="16"/>
    </row>
    <row r="70" spans="5:10" s="15" customFormat="1">
      <c r="E70" s="16"/>
      <c r="F70" s="16"/>
      <c r="G70" s="16"/>
      <c r="H70" s="16"/>
      <c r="I70" s="16"/>
      <c r="J70" s="16"/>
    </row>
    <row r="71" spans="5:10" s="15" customFormat="1">
      <c r="E71" s="16"/>
      <c r="F71" s="16"/>
      <c r="G71" s="16"/>
      <c r="H71" s="16"/>
      <c r="I71" s="16"/>
      <c r="J71" s="16"/>
    </row>
    <row r="72" spans="5:10" s="15" customFormat="1">
      <c r="E72" s="16"/>
      <c r="F72" s="16"/>
      <c r="G72" s="16"/>
      <c r="H72" s="16"/>
      <c r="I72" s="16"/>
      <c r="J72" s="16"/>
    </row>
    <row r="73" spans="5:10" s="15" customFormat="1">
      <c r="E73" s="16"/>
      <c r="F73" s="16"/>
      <c r="G73" s="16"/>
      <c r="H73" s="16"/>
      <c r="I73" s="16"/>
      <c r="J73" s="16"/>
    </row>
    <row r="74" spans="5:10" s="15" customFormat="1">
      <c r="E74" s="16"/>
      <c r="F74" s="16"/>
      <c r="G74" s="16"/>
      <c r="H74" s="16"/>
      <c r="I74" s="16"/>
      <c r="J74" s="16"/>
    </row>
    <row r="75" spans="5:10" s="15" customFormat="1">
      <c r="E75" s="16"/>
      <c r="F75" s="16"/>
      <c r="G75" s="16"/>
      <c r="H75" s="16"/>
      <c r="I75" s="16"/>
      <c r="J75" s="16"/>
    </row>
    <row r="76" spans="5:10" s="15" customFormat="1">
      <c r="E76" s="16"/>
      <c r="F76" s="16"/>
      <c r="G76" s="16"/>
      <c r="H76" s="16"/>
      <c r="I76" s="16"/>
      <c r="J76" s="16"/>
    </row>
    <row r="77" spans="5:10" s="15" customFormat="1">
      <c r="E77" s="16"/>
      <c r="F77" s="16"/>
      <c r="G77" s="16"/>
      <c r="H77" s="16"/>
      <c r="I77" s="16"/>
      <c r="J77" s="16"/>
    </row>
    <row r="78" spans="5:10" s="15" customFormat="1">
      <c r="E78" s="16"/>
      <c r="F78" s="16"/>
      <c r="G78" s="16"/>
      <c r="H78" s="16"/>
      <c r="I78" s="16"/>
      <c r="J78" s="16"/>
    </row>
    <row r="79" spans="5:10" s="15" customFormat="1">
      <c r="E79" s="16"/>
      <c r="F79" s="16"/>
      <c r="G79" s="16"/>
      <c r="H79" s="16"/>
      <c r="I79" s="16"/>
      <c r="J79" s="16"/>
    </row>
    <row r="80" spans="5:10" s="15" customFormat="1">
      <c r="E80" s="16"/>
      <c r="F80" s="16"/>
      <c r="G80" s="16"/>
      <c r="H80" s="16"/>
      <c r="I80" s="16"/>
      <c r="J80" s="16"/>
    </row>
    <row r="81" spans="5:10" s="15" customFormat="1">
      <c r="E81" s="16"/>
      <c r="F81" s="16"/>
      <c r="G81" s="16"/>
      <c r="H81" s="16"/>
      <c r="I81" s="16"/>
      <c r="J81" s="16"/>
    </row>
    <row r="82" spans="5:10" s="15" customFormat="1">
      <c r="E82" s="16"/>
      <c r="F82" s="16"/>
      <c r="G82" s="16"/>
      <c r="H82" s="16"/>
      <c r="I82" s="16"/>
      <c r="J82" s="16"/>
    </row>
    <row r="83" spans="5:10" s="15" customFormat="1">
      <c r="E83" s="16"/>
      <c r="F83" s="16"/>
      <c r="G83" s="16"/>
      <c r="H83" s="16"/>
      <c r="I83" s="16"/>
      <c r="J83" s="16"/>
    </row>
    <row r="84" spans="5:10" s="15" customFormat="1">
      <c r="E84" s="16"/>
      <c r="F84" s="16"/>
      <c r="G84" s="16"/>
      <c r="H84" s="16"/>
      <c r="I84" s="16"/>
      <c r="J84" s="16"/>
    </row>
    <row r="85" spans="5:10" s="15" customFormat="1">
      <c r="E85" s="16"/>
      <c r="F85" s="16"/>
      <c r="G85" s="16"/>
      <c r="H85" s="16"/>
      <c r="I85" s="16"/>
      <c r="J85" s="16"/>
    </row>
    <row r="86" spans="5:10" s="15" customFormat="1">
      <c r="E86" s="16"/>
      <c r="F86" s="16"/>
      <c r="G86" s="16"/>
      <c r="H86" s="16"/>
      <c r="I86" s="16"/>
      <c r="J86" s="16"/>
    </row>
    <row r="87" spans="5:10" s="15" customFormat="1">
      <c r="E87" s="16"/>
      <c r="F87" s="16"/>
      <c r="G87" s="16"/>
      <c r="H87" s="16"/>
      <c r="I87" s="16"/>
      <c r="J87" s="16"/>
    </row>
    <row r="88" spans="5:10" s="15" customFormat="1">
      <c r="E88" s="16"/>
      <c r="F88" s="16"/>
      <c r="G88" s="16"/>
      <c r="H88" s="16"/>
      <c r="I88" s="16"/>
      <c r="J88" s="16"/>
    </row>
    <row r="89" spans="5:10" s="15" customFormat="1">
      <c r="E89" s="16"/>
      <c r="F89" s="16"/>
      <c r="G89" s="16"/>
      <c r="H89" s="16"/>
      <c r="I89" s="16"/>
      <c r="J89" s="16"/>
    </row>
    <row r="90" spans="5:10" s="15" customFormat="1">
      <c r="E90" s="16"/>
      <c r="F90" s="16"/>
      <c r="G90" s="16"/>
      <c r="H90" s="16"/>
      <c r="I90" s="16"/>
      <c r="J90" s="16"/>
    </row>
    <row r="91" spans="5:10" s="15" customFormat="1">
      <c r="E91" s="16"/>
      <c r="F91" s="16"/>
      <c r="G91" s="16"/>
      <c r="H91" s="16"/>
      <c r="I91" s="16"/>
      <c r="J91" s="16"/>
    </row>
    <row r="92" spans="5:10" s="15" customFormat="1">
      <c r="E92" s="16"/>
      <c r="F92" s="16"/>
      <c r="G92" s="16"/>
      <c r="H92" s="16"/>
      <c r="I92" s="16"/>
      <c r="J92" s="16"/>
    </row>
    <row r="93" spans="5:10" s="15" customFormat="1">
      <c r="E93" s="16"/>
      <c r="F93" s="16"/>
      <c r="G93" s="16"/>
      <c r="H93" s="16"/>
      <c r="I93" s="16"/>
      <c r="J93" s="16"/>
    </row>
    <row r="94" spans="5:10" s="15" customFormat="1">
      <c r="E94" s="16"/>
      <c r="F94" s="16"/>
      <c r="G94" s="16"/>
      <c r="H94" s="16"/>
      <c r="I94" s="16"/>
      <c r="J94" s="16"/>
    </row>
    <row r="95" spans="5:10" s="15" customFormat="1">
      <c r="E95" s="16"/>
      <c r="F95" s="16"/>
      <c r="G95" s="16"/>
      <c r="H95" s="16"/>
      <c r="I95" s="16"/>
      <c r="J95" s="16"/>
    </row>
    <row r="96" spans="5:10" s="15" customFormat="1">
      <c r="E96" s="16"/>
      <c r="F96" s="16"/>
      <c r="G96" s="16"/>
      <c r="H96" s="16"/>
      <c r="I96" s="16"/>
      <c r="J96" s="16"/>
    </row>
    <row r="97" spans="5:10" s="15" customFormat="1">
      <c r="E97" s="16"/>
      <c r="F97" s="16"/>
      <c r="G97" s="16"/>
      <c r="H97" s="16"/>
      <c r="I97" s="16"/>
      <c r="J97" s="16"/>
    </row>
    <row r="98" spans="5:10" s="15" customFormat="1">
      <c r="E98" s="16"/>
      <c r="F98" s="16"/>
      <c r="G98" s="16"/>
      <c r="H98" s="16"/>
      <c r="I98" s="16"/>
      <c r="J98" s="16"/>
    </row>
    <row r="99" spans="5:10" s="15" customFormat="1">
      <c r="E99" s="16"/>
      <c r="F99" s="16"/>
      <c r="G99" s="16"/>
      <c r="H99" s="16"/>
      <c r="I99" s="16"/>
      <c r="J99" s="16"/>
    </row>
    <row r="100" spans="5:10" s="15" customFormat="1">
      <c r="E100" s="16"/>
      <c r="F100" s="16"/>
      <c r="G100" s="16"/>
      <c r="H100" s="16"/>
      <c r="I100" s="16"/>
      <c r="J100" s="16"/>
    </row>
    <row r="101" spans="5:10" s="15" customFormat="1">
      <c r="E101" s="16"/>
      <c r="F101" s="16"/>
      <c r="G101" s="16"/>
      <c r="H101" s="16"/>
      <c r="I101" s="16"/>
      <c r="J101" s="16"/>
    </row>
    <row r="102" spans="5:10" s="15" customFormat="1">
      <c r="E102" s="16"/>
      <c r="F102" s="16"/>
      <c r="G102" s="16"/>
      <c r="H102" s="16"/>
      <c r="I102" s="16"/>
      <c r="J102" s="16"/>
    </row>
    <row r="103" spans="5:10" s="15" customFormat="1">
      <c r="E103" s="16"/>
      <c r="F103" s="16"/>
      <c r="G103" s="16"/>
      <c r="H103" s="16"/>
      <c r="I103" s="16"/>
      <c r="J103" s="16"/>
    </row>
    <row r="104" spans="5:10" s="15" customFormat="1">
      <c r="E104" s="16"/>
      <c r="F104" s="16"/>
      <c r="G104" s="16"/>
      <c r="H104" s="16"/>
      <c r="I104" s="16"/>
      <c r="J104" s="16"/>
    </row>
    <row r="105" spans="5:10" s="15" customFormat="1">
      <c r="E105" s="16"/>
      <c r="F105" s="16"/>
      <c r="G105" s="16"/>
      <c r="H105" s="16"/>
      <c r="I105" s="16"/>
      <c r="J105" s="16"/>
    </row>
    <row r="106" spans="5:10" s="15" customFormat="1">
      <c r="E106" s="16"/>
      <c r="F106" s="16"/>
      <c r="G106" s="16"/>
      <c r="H106" s="16"/>
      <c r="I106" s="16"/>
      <c r="J106" s="16"/>
    </row>
    <row r="107" spans="5:10" s="15" customFormat="1">
      <c r="E107" s="16"/>
      <c r="F107" s="16"/>
      <c r="G107" s="16"/>
      <c r="H107" s="16"/>
      <c r="I107" s="16"/>
      <c r="J107" s="16"/>
    </row>
    <row r="108" spans="5:10" s="15" customFormat="1">
      <c r="E108" s="16"/>
      <c r="F108" s="16"/>
      <c r="G108" s="16"/>
      <c r="H108" s="16"/>
      <c r="I108" s="16"/>
      <c r="J108" s="16"/>
    </row>
    <row r="109" spans="5:10" s="15" customFormat="1">
      <c r="E109" s="16"/>
      <c r="F109" s="16"/>
      <c r="G109" s="16"/>
      <c r="H109" s="16"/>
      <c r="I109" s="16"/>
      <c r="J109" s="16"/>
    </row>
    <row r="110" spans="5:10" s="15" customFormat="1">
      <c r="E110" s="16"/>
      <c r="F110" s="16"/>
      <c r="G110" s="16"/>
      <c r="H110" s="16"/>
      <c r="I110" s="16"/>
      <c r="J110" s="16"/>
    </row>
    <row r="111" spans="5:10" s="15" customFormat="1">
      <c r="E111" s="16"/>
      <c r="F111" s="16"/>
      <c r="G111" s="16"/>
      <c r="H111" s="16"/>
      <c r="I111" s="16"/>
      <c r="J111" s="16"/>
    </row>
    <row r="112" spans="5:10" s="15" customFormat="1">
      <c r="E112" s="16"/>
      <c r="F112" s="16"/>
      <c r="G112" s="16"/>
      <c r="H112" s="16"/>
      <c r="I112" s="16"/>
      <c r="J112" s="16"/>
    </row>
    <row r="113" spans="1:11" s="15" customFormat="1">
      <c r="E113" s="16"/>
      <c r="F113" s="16"/>
      <c r="G113" s="16"/>
      <c r="H113" s="16"/>
      <c r="I113" s="16"/>
      <c r="J113" s="16"/>
    </row>
    <row r="114" spans="1:11" s="15" customFormat="1">
      <c r="E114" s="16"/>
      <c r="F114" s="16"/>
      <c r="G114" s="16"/>
      <c r="H114" s="16"/>
      <c r="I114" s="16"/>
      <c r="J114" s="16"/>
    </row>
    <row r="115" spans="1:11">
      <c r="A115" s="15"/>
      <c r="B115" s="15"/>
      <c r="C115" s="15"/>
      <c r="D115" s="15"/>
      <c r="E115" s="16"/>
      <c r="F115" s="16"/>
      <c r="G115" s="16"/>
      <c r="H115" s="16"/>
      <c r="I115" s="16"/>
      <c r="J115" s="16"/>
      <c r="K115" s="15"/>
    </row>
    <row r="116" spans="1:11">
      <c r="A116" s="15"/>
      <c r="B116" s="15"/>
      <c r="C116" s="15"/>
      <c r="D116" s="15"/>
      <c r="E116" s="16"/>
      <c r="F116" s="16"/>
      <c r="G116" s="16"/>
      <c r="H116" s="16"/>
      <c r="I116" s="16"/>
      <c r="J116" s="16"/>
      <c r="K116" s="15"/>
    </row>
  </sheetData>
  <mergeCells count="183">
    <mergeCell ref="O15:R15"/>
    <mergeCell ref="B14:D14"/>
    <mergeCell ref="E14:G14"/>
    <mergeCell ref="H14:J14"/>
    <mergeCell ref="O14:R14"/>
    <mergeCell ref="B37:D37"/>
    <mergeCell ref="E37:G37"/>
    <mergeCell ref="H37:J37"/>
    <mergeCell ref="O37:R37"/>
    <mergeCell ref="B33:D33"/>
    <mergeCell ref="E33:G33"/>
    <mergeCell ref="H33:J33"/>
    <mergeCell ref="O33:R33"/>
    <mergeCell ref="B34:D34"/>
    <mergeCell ref="E34:G34"/>
    <mergeCell ref="H34:J34"/>
    <mergeCell ref="O34:R34"/>
    <mergeCell ref="B32:D32"/>
    <mergeCell ref="E32:G32"/>
    <mergeCell ref="H32:J32"/>
    <mergeCell ref="O32:R32"/>
    <mergeCell ref="B29:D29"/>
    <mergeCell ref="E29:G29"/>
    <mergeCell ref="H29:J29"/>
    <mergeCell ref="B41:D41"/>
    <mergeCell ref="E41:G41"/>
    <mergeCell ref="H41:J41"/>
    <mergeCell ref="O41:R41"/>
    <mergeCell ref="O35:R35"/>
    <mergeCell ref="B36:D36"/>
    <mergeCell ref="E36:G36"/>
    <mergeCell ref="H36:J36"/>
    <mergeCell ref="O36:R36"/>
    <mergeCell ref="B35:D35"/>
    <mergeCell ref="E35:G35"/>
    <mergeCell ref="H35:J35"/>
    <mergeCell ref="B38:D38"/>
    <mergeCell ref="E38:G38"/>
    <mergeCell ref="H38:J38"/>
    <mergeCell ref="O38:R38"/>
    <mergeCell ref="B39:D39"/>
    <mergeCell ref="B40:D40"/>
    <mergeCell ref="E40:G40"/>
    <mergeCell ref="H40:J40"/>
    <mergeCell ref="O40:R40"/>
    <mergeCell ref="E39:G39"/>
    <mergeCell ref="H39:J39"/>
    <mergeCell ref="O39:R39"/>
    <mergeCell ref="O29:R29"/>
    <mergeCell ref="B30:D30"/>
    <mergeCell ref="E30:G30"/>
    <mergeCell ref="H30:J30"/>
    <mergeCell ref="O30:R30"/>
    <mergeCell ref="B31:D31"/>
    <mergeCell ref="E31:G31"/>
    <mergeCell ref="H31:J31"/>
    <mergeCell ref="O31:R31"/>
    <mergeCell ref="B27:D27"/>
    <mergeCell ref="E27:G27"/>
    <mergeCell ref="H27:J27"/>
    <mergeCell ref="B28:D28"/>
    <mergeCell ref="E28:G28"/>
    <mergeCell ref="H28:J28"/>
    <mergeCell ref="B25:D25"/>
    <mergeCell ref="E25:G25"/>
    <mergeCell ref="H25:J25"/>
    <mergeCell ref="B26:D26"/>
    <mergeCell ref="E26:G26"/>
    <mergeCell ref="H26:J26"/>
    <mergeCell ref="E23:G23"/>
    <mergeCell ref="H23:J23"/>
    <mergeCell ref="B24:D24"/>
    <mergeCell ref="E24:G24"/>
    <mergeCell ref="H24:J24"/>
    <mergeCell ref="O16:R16"/>
    <mergeCell ref="O17:R17"/>
    <mergeCell ref="O18:R18"/>
    <mergeCell ref="O24:R24"/>
    <mergeCell ref="O19:R19"/>
    <mergeCell ref="O20:R20"/>
    <mergeCell ref="O21:R21"/>
    <mergeCell ref="O22:R22"/>
    <mergeCell ref="O23:R23"/>
    <mergeCell ref="E19:G19"/>
    <mergeCell ref="H19:J19"/>
    <mergeCell ref="E20:G20"/>
    <mergeCell ref="H20:J20"/>
    <mergeCell ref="E16:G16"/>
    <mergeCell ref="E17:G17"/>
    <mergeCell ref="B17:D17"/>
    <mergeCell ref="B18:D18"/>
    <mergeCell ref="B19:D19"/>
    <mergeCell ref="B16:D16"/>
    <mergeCell ref="O27:R27"/>
    <mergeCell ref="O28:R28"/>
    <mergeCell ref="O25:R25"/>
    <mergeCell ref="E13:G13"/>
    <mergeCell ref="H13:J13"/>
    <mergeCell ref="L2:M2"/>
    <mergeCell ref="N2:O2"/>
    <mergeCell ref="D3:E3"/>
    <mergeCell ref="F3:G3"/>
    <mergeCell ref="O26:R26"/>
    <mergeCell ref="B15:D15"/>
    <mergeCell ref="E15:G15"/>
    <mergeCell ref="B22:D22"/>
    <mergeCell ref="E22:G22"/>
    <mergeCell ref="H22:J22"/>
    <mergeCell ref="B20:D20"/>
    <mergeCell ref="B21:D21"/>
    <mergeCell ref="E21:G21"/>
    <mergeCell ref="H21:J21"/>
    <mergeCell ref="E18:G18"/>
    <mergeCell ref="H16:J16"/>
    <mergeCell ref="H17:J17"/>
    <mergeCell ref="H18:J18"/>
    <mergeCell ref="B23:D23"/>
    <mergeCell ref="B2:B3"/>
    <mergeCell ref="D2:E2"/>
    <mergeCell ref="F2:G2"/>
    <mergeCell ref="H2:I2"/>
    <mergeCell ref="J2:K2"/>
    <mergeCell ref="M10:M11"/>
    <mergeCell ref="O13:R13"/>
    <mergeCell ref="N10:N11"/>
    <mergeCell ref="O10:R11"/>
    <mergeCell ref="O12:R12"/>
    <mergeCell ref="B13:D13"/>
    <mergeCell ref="B10:D11"/>
    <mergeCell ref="E10:G11"/>
    <mergeCell ref="H10:J11"/>
    <mergeCell ref="B12:D12"/>
    <mergeCell ref="E12:G12"/>
    <mergeCell ref="H12:J12"/>
    <mergeCell ref="K10:K11"/>
    <mergeCell ref="H15:J15"/>
    <mergeCell ref="B51:D51"/>
    <mergeCell ref="E51:G51"/>
    <mergeCell ref="H51:J51"/>
    <mergeCell ref="O51:R51"/>
    <mergeCell ref="B45:D45"/>
    <mergeCell ref="E45:G45"/>
    <mergeCell ref="H45:J45"/>
    <mergeCell ref="O45:R45"/>
    <mergeCell ref="B46:D46"/>
    <mergeCell ref="E46:G46"/>
    <mergeCell ref="H46:J46"/>
    <mergeCell ref="O46:R46"/>
    <mergeCell ref="B47:D47"/>
    <mergeCell ref="E47:G47"/>
    <mergeCell ref="H47:J47"/>
    <mergeCell ref="O47:R47"/>
    <mergeCell ref="B48:D48"/>
    <mergeCell ref="E48:G48"/>
    <mergeCell ref="H48:J48"/>
    <mergeCell ref="O48:R48"/>
    <mergeCell ref="B49:D49"/>
    <mergeCell ref="E49:G49"/>
    <mergeCell ref="H49:J49"/>
    <mergeCell ref="O49:R49"/>
    <mergeCell ref="H3:I3"/>
    <mergeCell ref="J3:K3"/>
    <mergeCell ref="L3:M3"/>
    <mergeCell ref="N3:O3"/>
    <mergeCell ref="B8:O8"/>
    <mergeCell ref="C2:C3"/>
    <mergeCell ref="B50:D50"/>
    <mergeCell ref="E50:G50"/>
    <mergeCell ref="H50:J50"/>
    <mergeCell ref="O50:R50"/>
    <mergeCell ref="B42:D42"/>
    <mergeCell ref="E42:G42"/>
    <mergeCell ref="H42:J42"/>
    <mergeCell ref="O42:R42"/>
    <mergeCell ref="B43:D43"/>
    <mergeCell ref="E43:G43"/>
    <mergeCell ref="H43:J43"/>
    <mergeCell ref="O43:R43"/>
    <mergeCell ref="B44:D44"/>
    <mergeCell ref="E44:G44"/>
    <mergeCell ref="H44:J44"/>
    <mergeCell ref="O44:R44"/>
    <mergeCell ref="L10:L11"/>
  </mergeCells>
  <phoneticPr fontId="13" type="noConversion"/>
  <dataValidations count="2">
    <dataValidation type="list" allowBlank="1" showInputMessage="1" showErrorMessage="1" sqref="J45:J46 J39:J40 N41:N44 N47:N51 N13:N38">
      <formula1>Scale</formula1>
    </dataValidation>
    <dataValidation type="list" allowBlank="1" showInputMessage="1" showErrorMessage="1" sqref="H45:H46 H39:H40 L41:L44 L47:L51 L13:L38">
      <formula1>ReportingPeriod</formula1>
    </dataValidation>
  </dataValidations>
  <hyperlinks>
    <hyperlink ref="D3" location="'City information'!A1" display="City information"/>
    <hyperlink ref="E3" location="'City information'!A1" display="'City information'!A1"/>
    <hyperlink ref="H2" location="Inventory!A1" display="Inventory"/>
    <hyperlink ref="I2" location="Inventory!A1" display="Inventory!A1"/>
    <hyperlink ref="J2" location="Calculators!A1" display="Calculators"/>
    <hyperlink ref="K2" location="Calculators!A1" display="Calculators!A1"/>
    <hyperlink ref="N2" location="Analysis!A1" display="Analysis"/>
    <hyperlink ref="O2" location="Analysis!A1" display="Analysis!A1"/>
    <hyperlink ref="L2" location="Results!A1" display="Results"/>
    <hyperlink ref="M2" location="Results!A1" display="Results!A1"/>
    <hyperlink ref="D2" location="Home!A1" display="Introduction"/>
    <hyperlink ref="E2" location="Home!A1" display="Home!A1"/>
    <hyperlink ref="H3" location="'Emission factors'!A1" display="Emission factors"/>
    <hyperlink ref="J3" location="'F-Gases'!A1" display="Emission factors_x000d_HFCs, PFCs, SF6 and NF3"/>
    <hyperlink ref="K3" location="'F-Gases'!A1" display="'F-Gases'!A1"/>
    <hyperlink ref="L3" location="Database!A1" display="Emission factors_x000d_IPCC database"/>
    <hyperlink ref="M3" location="Database!A1" display="Database!A1"/>
    <hyperlink ref="N3" location="Blank!A1" display="Blank"/>
    <hyperlink ref="O3" location="Blank!A1" display="Blank!A1"/>
  </hyperlinks>
  <pageMargins left="0.75" right="0.75" top="1" bottom="1" header="0.5" footer="0.5"/>
  <pageSetup paperSize="9" orientation="portrait" horizontalDpi="4294967292" verticalDpi="4294967292"/>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Lists!$BW$3:$BW$35</xm:f>
          </x14:formula1>
          <xm:sqref>K13:K15</xm:sqref>
        </x14:dataValidation>
      </x14:dataValidations>
    </ex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4" tint="0.39997558519241921"/>
  </sheetPr>
  <dimension ref="A1:CA121"/>
  <sheetViews>
    <sheetView showRowColHeaders="0" workbookViewId="0">
      <selection activeCell="L3" sqref="L3:M3"/>
    </sheetView>
  </sheetViews>
  <sheetFormatPr baseColWidth="10" defaultColWidth="0" defaultRowHeight="15" x14ac:dyDescent="0"/>
  <cols>
    <col min="1" max="1" width="4.83203125" style="42" customWidth="1"/>
    <col min="2" max="5" width="12.83203125" style="42" customWidth="1"/>
    <col min="6" max="7" width="12.83203125" style="248" customWidth="1"/>
    <col min="8" max="8" width="5.1640625" style="248" customWidth="1"/>
    <col min="9" max="9" width="1.83203125" style="248" customWidth="1"/>
    <col min="10" max="10" width="5.83203125" style="248" customWidth="1"/>
    <col min="11" max="11" width="12.83203125" style="248" customWidth="1"/>
    <col min="12" max="24" width="12.83203125" style="42" customWidth="1"/>
    <col min="25" max="26" width="54.5" style="42" customWidth="1"/>
    <col min="27" max="27" width="4.83203125" style="40" customWidth="1"/>
    <col min="28" max="72" width="10.83203125" style="40" hidden="1" customWidth="1"/>
    <col min="73" max="75" width="0" style="40" hidden="1" customWidth="1"/>
    <col min="76" max="79" width="0" style="42" hidden="1" customWidth="1"/>
    <col min="80" max="16384" width="10.83203125" style="42" hidden="1"/>
  </cols>
  <sheetData>
    <row r="1" spans="1:75" s="15" customFormat="1">
      <c r="A1" s="498"/>
      <c r="B1" s="498"/>
      <c r="C1" s="498"/>
      <c r="D1" s="498"/>
      <c r="E1" s="498"/>
      <c r="F1" s="498"/>
      <c r="G1" s="498"/>
      <c r="H1" s="498"/>
      <c r="I1" s="498"/>
      <c r="J1" s="498"/>
      <c r="K1" s="498"/>
      <c r="L1" s="498"/>
      <c r="M1" s="498"/>
      <c r="N1" s="498"/>
      <c r="O1" s="498"/>
      <c r="P1" s="498"/>
      <c r="Q1" s="498"/>
      <c r="R1" s="498"/>
      <c r="S1" s="498"/>
      <c r="T1" s="498"/>
      <c r="U1" s="498"/>
      <c r="V1" s="498"/>
      <c r="W1" s="498"/>
      <c r="X1" s="498"/>
      <c r="Y1" s="498"/>
      <c r="Z1" s="498"/>
      <c r="AA1" s="498"/>
    </row>
    <row r="2" spans="1:75" s="15" customFormat="1" ht="31" customHeight="1">
      <c r="A2" s="494"/>
      <c r="B2" s="1817" t="s">
        <v>1965</v>
      </c>
      <c r="C2" s="1819">
        <v>400</v>
      </c>
      <c r="D2" s="1849" t="s">
        <v>1555</v>
      </c>
      <c r="E2" s="1850"/>
      <c r="F2" s="1847" t="s">
        <v>1563</v>
      </c>
      <c r="G2" s="1848"/>
      <c r="H2" s="1849" t="s">
        <v>794</v>
      </c>
      <c r="I2" s="2011"/>
      <c r="J2" s="2011"/>
      <c r="K2" s="1850"/>
      <c r="L2" s="1849" t="s">
        <v>1570</v>
      </c>
      <c r="M2" s="1850"/>
      <c r="N2" s="1849" t="s">
        <v>1564</v>
      </c>
      <c r="O2" s="2011"/>
      <c r="P2" s="1849" t="s">
        <v>1602</v>
      </c>
      <c r="Q2" s="1850"/>
      <c r="R2" s="501"/>
      <c r="S2" s="501"/>
      <c r="T2" s="501"/>
      <c r="U2" s="501"/>
      <c r="V2" s="896"/>
      <c r="W2" s="501"/>
      <c r="X2" s="501"/>
      <c r="Y2" s="501"/>
      <c r="Z2" s="501"/>
      <c r="AA2" s="501"/>
    </row>
    <row r="3" spans="1:75" s="15" customFormat="1" ht="31" customHeight="1">
      <c r="A3" s="494"/>
      <c r="B3" s="1818"/>
      <c r="C3" s="1820"/>
      <c r="D3" s="1843" t="s">
        <v>1007</v>
      </c>
      <c r="E3" s="1844"/>
      <c r="F3" s="1843" t="s">
        <v>1566</v>
      </c>
      <c r="G3" s="1844"/>
      <c r="H3" s="2012" t="s">
        <v>2514</v>
      </c>
      <c r="I3" s="2013"/>
      <c r="J3" s="2013"/>
      <c r="K3" s="2014"/>
      <c r="L3" s="1968" t="s">
        <v>2511</v>
      </c>
      <c r="M3" s="1844"/>
      <c r="N3" s="1968" t="s">
        <v>2512</v>
      </c>
      <c r="O3" s="1844"/>
      <c r="P3" s="1843" t="s">
        <v>2436</v>
      </c>
      <c r="Q3" s="1844"/>
      <c r="R3" s="496"/>
      <c r="S3" s="496"/>
      <c r="T3" s="496"/>
      <c r="U3" s="496"/>
      <c r="V3" s="496"/>
      <c r="W3" s="496"/>
      <c r="X3" s="496"/>
      <c r="Y3" s="496"/>
      <c r="Z3" s="496"/>
      <c r="AA3" s="496"/>
    </row>
    <row r="4" spans="1:75" s="15" customFormat="1" ht="15" customHeight="1">
      <c r="A4" s="494"/>
      <c r="B4" s="492"/>
      <c r="C4" s="492"/>
      <c r="D4" s="495"/>
      <c r="E4" s="495"/>
      <c r="F4" s="497"/>
      <c r="G4" s="497"/>
      <c r="H4" s="497"/>
      <c r="I4" s="497"/>
      <c r="J4" s="497"/>
      <c r="K4" s="497"/>
      <c r="L4" s="497"/>
      <c r="M4" s="497"/>
      <c r="N4" s="496"/>
      <c r="O4" s="496"/>
      <c r="P4" s="496"/>
      <c r="Q4" s="496"/>
      <c r="R4" s="496"/>
      <c r="S4" s="496"/>
      <c r="T4" s="496"/>
      <c r="U4" s="496"/>
      <c r="V4" s="496"/>
      <c r="W4" s="496"/>
      <c r="X4" s="496"/>
      <c r="Y4" s="496"/>
      <c r="Z4" s="496"/>
      <c r="AA4" s="496"/>
    </row>
    <row r="5" spans="1:75" s="15" customFormat="1" ht="31" customHeight="1"/>
    <row r="6" spans="1:75" s="15" customFormat="1" ht="31" customHeight="1" collapsed="1" thickBot="1">
      <c r="A6" s="866"/>
      <c r="B6" s="491" t="s">
        <v>727</v>
      </c>
      <c r="C6" s="491"/>
      <c r="D6" s="466"/>
      <c r="E6" s="466"/>
      <c r="F6" s="466"/>
      <c r="G6" s="466"/>
      <c r="H6" s="466"/>
      <c r="I6" s="466"/>
      <c r="J6" s="466"/>
      <c r="K6" s="467"/>
      <c r="L6" s="467"/>
      <c r="M6" s="467"/>
      <c r="N6" s="468"/>
      <c r="O6" s="468"/>
      <c r="P6" s="468"/>
      <c r="Q6" s="468"/>
      <c r="R6" s="468"/>
      <c r="S6" s="468"/>
      <c r="T6" s="468"/>
      <c r="U6" s="468"/>
      <c r="V6" s="468"/>
      <c r="W6" s="468"/>
      <c r="X6" s="468"/>
      <c r="Y6" s="468"/>
      <c r="Z6" s="468"/>
      <c r="AA6" s="468"/>
    </row>
    <row r="7" spans="1:75" s="40" customFormat="1" ht="16" thickTop="1">
      <c r="F7" s="244"/>
      <c r="G7" s="244"/>
      <c r="H7" s="244"/>
      <c r="I7" s="244"/>
      <c r="J7" s="244"/>
      <c r="K7" s="244"/>
    </row>
    <row r="8" spans="1:75" s="40" customFormat="1" ht="18" customHeight="1">
      <c r="B8" s="2010" t="s">
        <v>1996</v>
      </c>
      <c r="C8" s="2010"/>
      <c r="D8" s="2010"/>
      <c r="E8" s="2010"/>
      <c r="F8" s="2010"/>
      <c r="G8" s="2010"/>
      <c r="H8" s="2010"/>
      <c r="I8" s="2010"/>
      <c r="J8" s="2010"/>
      <c r="K8" s="2010"/>
      <c r="L8" s="2010"/>
      <c r="M8" s="2010"/>
      <c r="N8" s="2010"/>
      <c r="O8" s="2010"/>
      <c r="P8" s="2010"/>
      <c r="Q8" s="2010"/>
      <c r="R8" s="1084"/>
      <c r="S8" s="1084"/>
      <c r="T8" s="1084"/>
      <c r="U8" s="1084"/>
      <c r="V8" s="1084"/>
      <c r="W8" s="1084"/>
      <c r="X8" s="1084"/>
      <c r="Y8" s="1084"/>
      <c r="Z8" s="1084"/>
    </row>
    <row r="9" spans="1:75" s="40" customFormat="1" ht="18" customHeight="1">
      <c r="B9" s="2010"/>
      <c r="C9" s="2010"/>
      <c r="D9" s="2010"/>
      <c r="E9" s="2010"/>
      <c r="F9" s="2010"/>
      <c r="G9" s="2010"/>
      <c r="H9" s="2010"/>
      <c r="I9" s="2010"/>
      <c r="J9" s="2010"/>
      <c r="K9" s="2010"/>
      <c r="L9" s="2010"/>
      <c r="M9" s="2010"/>
      <c r="N9" s="2010"/>
      <c r="O9" s="2010"/>
      <c r="P9" s="2010"/>
      <c r="Q9" s="2010"/>
      <c r="R9" s="1084"/>
      <c r="S9" s="1084"/>
      <c r="T9" s="1084"/>
      <c r="U9" s="1084"/>
      <c r="V9" s="1084"/>
      <c r="W9" s="1084"/>
      <c r="X9" s="1084"/>
      <c r="Y9" s="1084"/>
      <c r="Z9" s="1084"/>
    </row>
    <row r="10" spans="1:75" s="40" customFormat="1" ht="18" customHeight="1">
      <c r="B10" s="2010"/>
      <c r="C10" s="2010"/>
      <c r="D10" s="2010"/>
      <c r="E10" s="2010"/>
      <c r="F10" s="2010"/>
      <c r="G10" s="2010"/>
      <c r="H10" s="2010"/>
      <c r="I10" s="2010"/>
      <c r="J10" s="2010"/>
      <c r="K10" s="2010"/>
      <c r="L10" s="2010"/>
      <c r="M10" s="2010"/>
      <c r="N10" s="2010"/>
      <c r="O10" s="2010"/>
      <c r="P10" s="2010"/>
      <c r="Q10" s="2010"/>
    </row>
    <row r="11" spans="1:75" s="40" customFormat="1" ht="18" customHeight="1">
      <c r="B11" s="2010"/>
      <c r="C11" s="2010"/>
      <c r="D11" s="2010"/>
      <c r="E11" s="2010"/>
      <c r="F11" s="2010"/>
      <c r="G11" s="2010"/>
      <c r="H11" s="2010"/>
      <c r="I11" s="2010"/>
      <c r="J11" s="2010"/>
      <c r="K11" s="2010"/>
      <c r="L11" s="2010"/>
      <c r="M11" s="2010"/>
      <c r="N11" s="2010"/>
      <c r="O11" s="2010"/>
      <c r="P11" s="2010"/>
      <c r="Q11" s="2010"/>
    </row>
    <row r="12" spans="1:75" s="40" customFormat="1">
      <c r="D12" s="262"/>
      <c r="E12" s="262"/>
      <c r="F12" s="262"/>
      <c r="G12" s="262"/>
      <c r="H12" s="262"/>
      <c r="I12" s="262"/>
      <c r="J12" s="262"/>
      <c r="K12" s="262"/>
      <c r="L12" s="262"/>
      <c r="M12" s="262"/>
      <c r="N12" s="262"/>
      <c r="O12" s="262"/>
      <c r="P12" s="262"/>
      <c r="Q12" s="262"/>
      <c r="R12" s="262"/>
      <c r="S12" s="262"/>
      <c r="T12" s="262"/>
      <c r="U12" s="262"/>
      <c r="V12" s="262"/>
      <c r="W12" s="262"/>
    </row>
    <row r="13" spans="1:75" s="45" customFormat="1" ht="16" customHeight="1">
      <c r="A13" s="41"/>
      <c r="B13" s="2006" t="s">
        <v>811</v>
      </c>
      <c r="C13" s="2007"/>
      <c r="D13" s="2007" t="s">
        <v>781</v>
      </c>
      <c r="E13" s="2007"/>
      <c r="F13" s="2007" t="s">
        <v>919</v>
      </c>
      <c r="G13" s="2007" t="s">
        <v>780</v>
      </c>
      <c r="H13" s="2007" t="s">
        <v>171</v>
      </c>
      <c r="I13" s="2007"/>
      <c r="J13" s="2007"/>
      <c r="K13" s="2020" t="s">
        <v>936</v>
      </c>
      <c r="L13" s="2017" t="s">
        <v>782</v>
      </c>
      <c r="M13" s="2018"/>
      <c r="N13" s="2018"/>
      <c r="O13" s="2018"/>
      <c r="P13" s="2018"/>
      <c r="Q13" s="2018"/>
      <c r="R13" s="2018"/>
      <c r="S13" s="2018"/>
      <c r="T13" s="2018"/>
      <c r="U13" s="2019"/>
      <c r="V13" s="2022" t="s">
        <v>178</v>
      </c>
      <c r="W13" s="2022" t="s">
        <v>729</v>
      </c>
      <c r="X13" s="2020" t="s">
        <v>728</v>
      </c>
      <c r="Y13" s="2007" t="s">
        <v>241</v>
      </c>
      <c r="Z13" s="2015" t="s">
        <v>723</v>
      </c>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row>
    <row r="14" spans="1:75" s="45" customFormat="1" ht="16" customHeight="1">
      <c r="A14" s="41"/>
      <c r="B14" s="2008"/>
      <c r="C14" s="2009"/>
      <c r="D14" s="2009"/>
      <c r="E14" s="2009"/>
      <c r="F14" s="2009"/>
      <c r="G14" s="2009"/>
      <c r="H14" s="2009"/>
      <c r="I14" s="2009"/>
      <c r="J14" s="2009"/>
      <c r="K14" s="2021"/>
      <c r="L14" s="1536" t="s">
        <v>290</v>
      </c>
      <c r="M14" s="1536" t="s">
        <v>924</v>
      </c>
      <c r="N14" s="1537" t="s">
        <v>291</v>
      </c>
      <c r="O14" s="1537" t="s">
        <v>959</v>
      </c>
      <c r="P14" s="1537" t="s">
        <v>292</v>
      </c>
      <c r="Q14" s="1537" t="s">
        <v>960</v>
      </c>
      <c r="R14" s="1536" t="s">
        <v>842</v>
      </c>
      <c r="S14" s="1536" t="s">
        <v>924</v>
      </c>
      <c r="T14" s="1536" t="s">
        <v>294</v>
      </c>
      <c r="U14" s="1536" t="s">
        <v>926</v>
      </c>
      <c r="V14" s="2023"/>
      <c r="W14" s="2023"/>
      <c r="X14" s="2021"/>
      <c r="Y14" s="2009"/>
      <c r="Z14" s="2016"/>
      <c r="AA14" s="41"/>
      <c r="AB14" s="41"/>
      <c r="AC14" s="41"/>
      <c r="AD14" s="41"/>
      <c r="AE14" s="41"/>
      <c r="AF14" s="41"/>
      <c r="AG14" s="41"/>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c r="BF14" s="41"/>
      <c r="BG14" s="41"/>
      <c r="BH14" s="41"/>
      <c r="BI14" s="41"/>
      <c r="BJ14" s="41"/>
      <c r="BK14" s="41"/>
      <c r="BL14" s="41"/>
      <c r="BM14" s="41"/>
      <c r="BN14" s="41"/>
      <c r="BO14" s="41"/>
      <c r="BP14" s="41"/>
      <c r="BQ14" s="41"/>
      <c r="BR14" s="41"/>
      <c r="BS14" s="41"/>
      <c r="BT14" s="41"/>
      <c r="BU14" s="41"/>
      <c r="BV14" s="41"/>
      <c r="BW14" s="41"/>
    </row>
    <row r="15" spans="1:75">
      <c r="B15" s="2026" t="s">
        <v>638</v>
      </c>
      <c r="C15" s="2026"/>
      <c r="D15" s="2026" t="s">
        <v>1590</v>
      </c>
      <c r="E15" s="2026"/>
      <c r="F15" s="1544" t="s">
        <v>923</v>
      </c>
      <c r="G15" s="1544" t="s">
        <v>837</v>
      </c>
      <c r="H15" s="1545" t="s">
        <v>784</v>
      </c>
      <c r="I15" s="1546" t="s">
        <v>920</v>
      </c>
      <c r="J15" s="1547" t="s">
        <v>921</v>
      </c>
      <c r="K15" s="1544">
        <v>1E-3</v>
      </c>
      <c r="L15" s="1544">
        <v>0.48220000000000002</v>
      </c>
      <c r="M15" s="1548">
        <f>L15*$K15</f>
        <v>4.8220000000000001E-4</v>
      </c>
      <c r="N15" s="1548">
        <v>3.0000000000000001E-3</v>
      </c>
      <c r="O15" s="1549">
        <f>IF(N15="","",IF($F15="",N15,IF($F15="CO2e",N15*K15,IF($F15="GHG",N15*HLOOKUP($G15,GWP!$F$11:$I$31,4,FALSE)*K15,""))))</f>
        <v>3.0000000000000001E-6</v>
      </c>
      <c r="P15" s="1548">
        <v>2.8999999999999998E-3</v>
      </c>
      <c r="Q15" s="1549">
        <f>IF(P15="","",IF($F15="",P15,IF($F15="CO2e",P15*K15,IF($F15="GHG",P15*HLOOKUP($G15,GWP!$F$11:$I$31,5,FALSE)*K15,""))))</f>
        <v>2.8999999999999998E-6</v>
      </c>
      <c r="R15" s="1544">
        <f>L15+N15+P15</f>
        <v>0.48810000000000003</v>
      </c>
      <c r="S15" s="1550">
        <f>M15+O15+Q15</f>
        <v>4.8810000000000005E-4</v>
      </c>
      <c r="T15" s="1544">
        <f>L15/5</f>
        <v>9.6439999999999998E-2</v>
      </c>
      <c r="U15" s="1544">
        <f>M15/5</f>
        <v>9.6440000000000005E-5</v>
      </c>
      <c r="V15" s="1544" t="s">
        <v>181</v>
      </c>
      <c r="W15" s="1544">
        <v>2014</v>
      </c>
      <c r="X15" s="1544" t="s">
        <v>741</v>
      </c>
      <c r="Y15" s="1544" t="s">
        <v>1591</v>
      </c>
      <c r="Z15" s="1544" t="s">
        <v>831</v>
      </c>
    </row>
    <row r="16" spans="1:75" ht="15" hidden="1" customHeight="1">
      <c r="B16" s="2004"/>
      <c r="C16" s="2005"/>
      <c r="D16" s="2004"/>
      <c r="E16" s="2005"/>
      <c r="F16" s="1538"/>
      <c r="G16" s="1538"/>
      <c r="H16" s="1541"/>
      <c r="I16" s="1543"/>
      <c r="J16" s="1542"/>
      <c r="K16" s="1539"/>
      <c r="L16" s="1538"/>
      <c r="M16" s="1538"/>
      <c r="N16" s="1538"/>
      <c r="O16" s="1538"/>
      <c r="P16" s="1538"/>
      <c r="Q16" s="1538"/>
      <c r="R16" s="1538"/>
      <c r="S16" s="1538"/>
      <c r="T16" s="1538"/>
      <c r="U16" s="1538"/>
      <c r="V16" s="1538"/>
      <c r="W16" s="1538"/>
      <c r="X16" s="1538"/>
      <c r="Y16" s="1538"/>
      <c r="Z16" s="1538"/>
    </row>
    <row r="17" spans="1:26" s="40" customFormat="1">
      <c r="A17" s="1749"/>
      <c r="B17" s="2002" t="s">
        <v>638</v>
      </c>
      <c r="C17" s="2002"/>
      <c r="D17" s="2024" t="str">
        <f t="shared" ref="D17:D22" si="0">CONCATENATE("EF_",B17)</f>
        <v>EF_Natural gas</v>
      </c>
      <c r="E17" s="2025"/>
      <c r="F17" s="1525" t="s">
        <v>922</v>
      </c>
      <c r="G17" s="1525" t="s">
        <v>838</v>
      </c>
      <c r="H17" s="1533" t="s">
        <v>890</v>
      </c>
      <c r="I17" s="1534" t="s">
        <v>920</v>
      </c>
      <c r="J17" s="1535" t="s">
        <v>921</v>
      </c>
      <c r="K17" s="1526">
        <f>IFERROR(IF(H17="","",VLOOKUP(H17,'Conversion factors'!$D$37:$G$42,4,FALSE)),"")</f>
        <v>1</v>
      </c>
      <c r="L17" s="1527">
        <v>2</v>
      </c>
      <c r="M17" s="1528">
        <f t="shared" ref="M17:M23" si="1">IFERROR(IF(L17="","",L17*$K17),"")</f>
        <v>2</v>
      </c>
      <c r="N17" s="1529">
        <v>1</v>
      </c>
      <c r="O17" s="1528">
        <f>IF(N17="","",IF($F17="",N17,IF($F17="CO2e",N17*K17,IF($F17="GHG",N17*HLOOKUP($G17,GWP!$F$11:$I$31,4,FALSE)*K17,""))))</f>
        <v>25</v>
      </c>
      <c r="P17" s="1529">
        <v>1</v>
      </c>
      <c r="Q17" s="1528">
        <f>IF(P17="","",IF($F17="",P17,IF($F17="CO2e",P17*K17,IF($F17="GHG",P17*HLOOKUP($G17,GWP!$F$11:$I$31,5,FALSE)*K17,""))))</f>
        <v>298</v>
      </c>
      <c r="R17" s="1529">
        <v>1</v>
      </c>
      <c r="S17" s="1526">
        <f t="shared" ref="S17:S44" si="2">IFERROR(IF(R17="","",R17*$K17),"")</f>
        <v>1</v>
      </c>
      <c r="T17" s="1529">
        <v>1</v>
      </c>
      <c r="U17" s="1526">
        <f t="shared" ref="U17:U44" si="3">IFERROR(IF(T17="","",T17*$K17),"")</f>
        <v>1</v>
      </c>
      <c r="V17" s="1530" t="s">
        <v>181</v>
      </c>
      <c r="W17" s="1502"/>
      <c r="X17" s="1530" t="s">
        <v>741</v>
      </c>
      <c r="Y17" s="1531"/>
      <c r="Z17" s="1532"/>
    </row>
    <row r="18" spans="1:26" s="40" customFormat="1">
      <c r="A18" s="1749"/>
      <c r="B18" s="2002" t="s">
        <v>2645</v>
      </c>
      <c r="C18" s="2002"/>
      <c r="D18" s="2024" t="str">
        <f t="shared" si="0"/>
        <v>EF_Kersone</v>
      </c>
      <c r="E18" s="2025"/>
      <c r="F18" s="1525" t="s">
        <v>923</v>
      </c>
      <c r="G18" s="1525" t="s">
        <v>838</v>
      </c>
      <c r="H18" s="1533" t="s">
        <v>784</v>
      </c>
      <c r="I18" s="1534" t="s">
        <v>920</v>
      </c>
      <c r="J18" s="1535" t="s">
        <v>921</v>
      </c>
      <c r="K18" s="1526">
        <f>IFERROR(IF(H18="","",VLOOKUP(H18,'Conversion factors'!$D$37:$G$42,4,FALSE)),"")</f>
        <v>1E-3</v>
      </c>
      <c r="L18" s="1527"/>
      <c r="M18" s="1528" t="str">
        <f t="shared" si="1"/>
        <v/>
      </c>
      <c r="N18" s="1529"/>
      <c r="O18" s="1528" t="str">
        <f>IF(N18="","",IF($F18="",N18,IF($F18="CO2e",N18*K18,IF($F18="GHG",N18*HLOOKUP($G18,GWP!$F$11:$I$31,4,FALSE)*K18,""))))</f>
        <v/>
      </c>
      <c r="P18" s="1529"/>
      <c r="Q18" s="1528" t="str">
        <f>IF(P18="","",IF($F18="",P18,IF($F18="CO2e",P18*K18,IF($F18="GHG",P18*HLOOKUP($G18,GWP!$F$11:$I$31,5,FALSE)*K18,""))))</f>
        <v/>
      </c>
      <c r="R18" s="1529"/>
      <c r="S18" s="1526" t="str">
        <f t="shared" si="2"/>
        <v/>
      </c>
      <c r="T18" s="1529"/>
      <c r="U18" s="1526" t="str">
        <f t="shared" si="3"/>
        <v/>
      </c>
      <c r="V18" s="1530" t="s">
        <v>181</v>
      </c>
      <c r="W18" s="1502"/>
      <c r="X18" s="1530" t="s">
        <v>741</v>
      </c>
      <c r="Y18" s="1531"/>
      <c r="Z18" s="1532"/>
    </row>
    <row r="19" spans="1:26" s="40" customFormat="1">
      <c r="A19" s="1749"/>
      <c r="B19" s="2002" t="s">
        <v>2646</v>
      </c>
      <c r="C19" s="2002"/>
      <c r="D19" s="2024" t="str">
        <f t="shared" si="0"/>
        <v>EF_Coal</v>
      </c>
      <c r="E19" s="2025"/>
      <c r="F19" s="1525" t="s">
        <v>923</v>
      </c>
      <c r="G19" s="1525" t="s">
        <v>838</v>
      </c>
      <c r="H19" s="1533" t="s">
        <v>784</v>
      </c>
      <c r="I19" s="1534" t="s">
        <v>920</v>
      </c>
      <c r="J19" s="1535" t="s">
        <v>921</v>
      </c>
      <c r="K19" s="1526">
        <f>IFERROR(IF(H19="","",VLOOKUP(H19,'Conversion factors'!$D$37:$G$42,4,FALSE)),"")</f>
        <v>1E-3</v>
      </c>
      <c r="L19" s="1529">
        <v>0.3</v>
      </c>
      <c r="M19" s="1528">
        <f t="shared" si="1"/>
        <v>2.9999999999999997E-4</v>
      </c>
      <c r="N19" s="1529">
        <v>0.04</v>
      </c>
      <c r="O19" s="1528">
        <f>IF(N19="","",IF($F19="",N19,IF($F19="CO2e",N19*K19,IF($F19="GHG",N19*HLOOKUP($G19,GWP!$F$11:$I$31,4,FALSE)*K19,""))))</f>
        <v>4.0000000000000003E-5</v>
      </c>
      <c r="P19" s="1529">
        <v>5.0000000000000001E-3</v>
      </c>
      <c r="Q19" s="1528">
        <f>IF(P19="","",IF($F19="",P19,IF($F19="CO2e",P19*K19,IF($F19="GHG",P19*HLOOKUP($G19,GWP!$F$11:$I$31,5,FALSE)*K19,""))))</f>
        <v>5.0000000000000004E-6</v>
      </c>
      <c r="R19" s="1529"/>
      <c r="S19" s="1526" t="str">
        <f t="shared" si="2"/>
        <v/>
      </c>
      <c r="T19" s="1529"/>
      <c r="U19" s="1526" t="str">
        <f t="shared" si="3"/>
        <v/>
      </c>
      <c r="V19" s="1530" t="s">
        <v>181</v>
      </c>
      <c r="W19" s="1502"/>
      <c r="X19" s="1530" t="s">
        <v>741</v>
      </c>
      <c r="Y19" s="1531"/>
      <c r="Z19" s="1540"/>
    </row>
    <row r="20" spans="1:26" s="40" customFormat="1">
      <c r="A20" s="1749"/>
      <c r="B20" s="2002" t="s">
        <v>183</v>
      </c>
      <c r="C20" s="2002"/>
      <c r="D20" s="2024" t="str">
        <f t="shared" si="0"/>
        <v>EF_Electricity</v>
      </c>
      <c r="E20" s="2025"/>
      <c r="F20" s="1525" t="s">
        <v>923</v>
      </c>
      <c r="G20" s="1525" t="s">
        <v>838</v>
      </c>
      <c r="H20" s="1533" t="s">
        <v>784</v>
      </c>
      <c r="I20" s="1534" t="s">
        <v>920</v>
      </c>
      <c r="J20" s="1535" t="s">
        <v>921</v>
      </c>
      <c r="K20" s="1526">
        <f>IFERROR(IF(H20="","",VLOOKUP(H20,'Conversion factors'!$D$37:$G$42,4,FALSE)),"")</f>
        <v>1E-3</v>
      </c>
      <c r="L20" s="1529">
        <v>0.4</v>
      </c>
      <c r="M20" s="1528">
        <f t="shared" si="1"/>
        <v>4.0000000000000002E-4</v>
      </c>
      <c r="N20" s="1529">
        <v>2.9999999999999997E-4</v>
      </c>
      <c r="O20" s="1528">
        <f>IF(N20="","",IF($F20="",N20,IF($F20="CO2e",N20*K20,IF($F20="GHG",N20*HLOOKUP($G20,GWP!$F$11:$I$31,4,FALSE)*K20,""))))</f>
        <v>2.9999999999999999E-7</v>
      </c>
      <c r="P20" s="1529">
        <v>3.0000000000000001E-3</v>
      </c>
      <c r="Q20" s="1528">
        <f>IF(P20="","",IF($F20="",P20,IF($F20="CO2e",P20*K20,IF($F20="GHG",P20*HLOOKUP($G20,GWP!$F$11:$I$31,5,FALSE)*K20,""))))</f>
        <v>3.0000000000000001E-6</v>
      </c>
      <c r="R20" s="1529"/>
      <c r="S20" s="1526" t="str">
        <f t="shared" si="2"/>
        <v/>
      </c>
      <c r="T20" s="1529"/>
      <c r="U20" s="1526" t="str">
        <f t="shared" si="3"/>
        <v/>
      </c>
      <c r="V20" s="1530" t="s">
        <v>181</v>
      </c>
      <c r="W20" s="1502"/>
      <c r="X20" s="1530" t="s">
        <v>741</v>
      </c>
      <c r="Y20" s="1531"/>
      <c r="Z20" s="1540"/>
    </row>
    <row r="21" spans="1:26" s="40" customFormat="1">
      <c r="A21" s="1749"/>
      <c r="B21" s="2002" t="s">
        <v>2636</v>
      </c>
      <c r="C21" s="2002"/>
      <c r="D21" s="2024" t="str">
        <f t="shared" si="0"/>
        <v>EF_Petrol</v>
      </c>
      <c r="E21" s="2025"/>
      <c r="F21" s="1525" t="s">
        <v>923</v>
      </c>
      <c r="G21" s="1525" t="s">
        <v>838</v>
      </c>
      <c r="H21" s="1533" t="s">
        <v>784</v>
      </c>
      <c r="I21" s="1534" t="s">
        <v>920</v>
      </c>
      <c r="J21" s="1535" t="s">
        <v>2639</v>
      </c>
      <c r="K21" s="1526">
        <f>IFERROR(IF(H21="","",VLOOKUP(H21,'Conversion factors'!$D$37:$G$42,4,FALSE)),"")</f>
        <v>1E-3</v>
      </c>
      <c r="L21" s="1529">
        <v>2.2000000000000002</v>
      </c>
      <c r="M21" s="1528">
        <f t="shared" si="1"/>
        <v>2.2000000000000001E-3</v>
      </c>
      <c r="N21" s="1529">
        <v>3.0000000000000001E-3</v>
      </c>
      <c r="O21" s="1528">
        <f>IF(N21="","",IF($F21="",N21,IF($F21="CO2e",N21*K21,IF($F21="GHG",N21*HLOOKUP($G21,GWP!$F$11:$I$31,4,FALSE)*K21,""))))</f>
        <v>3.0000000000000001E-6</v>
      </c>
      <c r="P21" s="1529">
        <v>5.0000000000000001E-3</v>
      </c>
      <c r="Q21" s="1528">
        <f>IF(P21="","",IF($F21="",P21,IF($F21="CO2e",P21*K21,IF($F21="GHG",P21*HLOOKUP($G21,GWP!$F$11:$I$31,5,FALSE)*K21,""))))</f>
        <v>5.0000000000000004E-6</v>
      </c>
      <c r="R21" s="1529"/>
      <c r="S21" s="1526" t="str">
        <f t="shared" si="2"/>
        <v/>
      </c>
      <c r="T21" s="1529"/>
      <c r="U21" s="1526" t="str">
        <f t="shared" si="3"/>
        <v/>
      </c>
      <c r="V21" s="1530" t="s">
        <v>181</v>
      </c>
      <c r="W21" s="1502"/>
      <c r="X21" s="1530" t="s">
        <v>741</v>
      </c>
      <c r="Y21" s="1531"/>
      <c r="Z21" s="1540"/>
    </row>
    <row r="22" spans="1:26" s="40" customFormat="1">
      <c r="A22" s="1749"/>
      <c r="B22" s="2002" t="s">
        <v>2635</v>
      </c>
      <c r="C22" s="2002"/>
      <c r="D22" s="2024" t="str">
        <f t="shared" si="0"/>
        <v>EF_Diesel</v>
      </c>
      <c r="E22" s="2025"/>
      <c r="F22" s="1525" t="s">
        <v>923</v>
      </c>
      <c r="G22" s="1525" t="s">
        <v>838</v>
      </c>
      <c r="H22" s="1533" t="s">
        <v>784</v>
      </c>
      <c r="I22" s="1534" t="s">
        <v>920</v>
      </c>
      <c r="J22" s="1535" t="s">
        <v>2639</v>
      </c>
      <c r="K22" s="1526">
        <f>IFERROR(IF(H22="","",VLOOKUP(H22,'Conversion factors'!$D$37:$G$42,4,FALSE)),"")</f>
        <v>1E-3</v>
      </c>
      <c r="L22" s="1529">
        <v>2.5</v>
      </c>
      <c r="M22" s="1528">
        <f t="shared" si="1"/>
        <v>2.5000000000000001E-3</v>
      </c>
      <c r="N22" s="1529">
        <v>8.0000000000000004E-4</v>
      </c>
      <c r="O22" s="1528">
        <f>IF(N22="","",IF($F22="",N22,IF($F22="CO2e",N22*K22,IF($F22="GHG",N22*HLOOKUP($G22,GWP!$F$11:$I$31,4,FALSE)*K22,""))))</f>
        <v>8.0000000000000007E-7</v>
      </c>
      <c r="P22" s="1529">
        <v>0.02</v>
      </c>
      <c r="Q22" s="1528">
        <f>IF(P22="","",IF($F22="",P22,IF($F22="CO2e",P22*K22,IF($F22="GHG",P22*HLOOKUP($G22,GWP!$F$11:$I$31,5,FALSE)*K22,""))))</f>
        <v>2.0000000000000002E-5</v>
      </c>
      <c r="R22" s="1529"/>
      <c r="S22" s="1526" t="str">
        <f t="shared" si="2"/>
        <v/>
      </c>
      <c r="T22" s="1529"/>
      <c r="U22" s="1526" t="str">
        <f t="shared" si="3"/>
        <v/>
      </c>
      <c r="V22" s="1530" t="s">
        <v>181</v>
      </c>
      <c r="W22" s="1502"/>
      <c r="X22" s="1530" t="s">
        <v>741</v>
      </c>
      <c r="Y22" s="1531"/>
      <c r="Z22" s="1540"/>
    </row>
    <row r="23" spans="1:26" s="40" customFormat="1">
      <c r="A23" s="1749"/>
      <c r="B23" s="2002" t="s">
        <v>2689</v>
      </c>
      <c r="C23" s="2002"/>
      <c r="D23" s="2003" t="str">
        <f t="shared" ref="D23" si="4">CONCATENATE("EF_",B23)</f>
        <v>EF_Gas oil</v>
      </c>
      <c r="E23" s="2003"/>
      <c r="F23" s="1525" t="s">
        <v>922</v>
      </c>
      <c r="G23" s="1525" t="s">
        <v>838</v>
      </c>
      <c r="H23" s="1533" t="s">
        <v>784</v>
      </c>
      <c r="I23" s="1534" t="s">
        <v>920</v>
      </c>
      <c r="J23" s="1535" t="s">
        <v>921</v>
      </c>
      <c r="K23" s="1526">
        <f>IFERROR(IF(H23="","",VLOOKUP(H23,'Conversion factors'!$D$37:$G$42,4,FALSE)),"")</f>
        <v>1E-3</v>
      </c>
      <c r="L23" s="1529">
        <v>0.25</v>
      </c>
      <c r="M23" s="1528">
        <f t="shared" si="1"/>
        <v>2.5000000000000001E-4</v>
      </c>
      <c r="N23" s="1529">
        <v>2.0000000000000001E-4</v>
      </c>
      <c r="O23" s="1528">
        <f>IF(N23="","",IF($F23="",N23,IF($F23="CO2e",N23*K23,IF($F23="GHG",N23*HLOOKUP($G23,GWP!$F$11:$I$31,4,FALSE)*K23,""))))</f>
        <v>5.0000000000000004E-6</v>
      </c>
      <c r="P23" s="1529">
        <v>0.02</v>
      </c>
      <c r="Q23" s="1528">
        <f>IF(P23="","",IF($F23="",P23,IF($F23="CO2e",P23*K23,IF($F23="GHG",P23*HLOOKUP($G23,GWP!$F$11:$I$31,5,FALSE)*K23,""))))</f>
        <v>5.96E-3</v>
      </c>
      <c r="R23" s="1529"/>
      <c r="S23" s="1526" t="str">
        <f t="shared" si="2"/>
        <v/>
      </c>
      <c r="T23" s="1529"/>
      <c r="U23" s="1526" t="str">
        <f t="shared" si="3"/>
        <v/>
      </c>
      <c r="V23" s="1530" t="s">
        <v>181</v>
      </c>
      <c r="W23" s="1502"/>
      <c r="X23" s="1530" t="s">
        <v>741</v>
      </c>
      <c r="Y23" s="1531"/>
      <c r="Z23" s="1540"/>
    </row>
    <row r="24" spans="1:26" s="40" customFormat="1">
      <c r="A24" s="1749"/>
      <c r="B24" s="2002" t="s">
        <v>1898</v>
      </c>
      <c r="C24" s="2002"/>
      <c r="D24" s="2003" t="str">
        <f t="shared" ref="D24" si="5">CONCATENATE("EF_",B24)</f>
        <v>EF_Landfill</v>
      </c>
      <c r="E24" s="2003"/>
      <c r="F24" s="1525" t="s">
        <v>922</v>
      </c>
      <c r="G24" s="1525" t="s">
        <v>838</v>
      </c>
      <c r="H24" s="1533" t="s">
        <v>890</v>
      </c>
      <c r="I24" s="1534" t="s">
        <v>920</v>
      </c>
      <c r="J24" s="1535" t="s">
        <v>890</v>
      </c>
      <c r="K24" s="1526">
        <f>IFERROR(IF(H24="","",VLOOKUP(H24,'Conversion factors'!$D$37:$G$42,4,FALSE)),"")</f>
        <v>1</v>
      </c>
      <c r="L24" s="1529"/>
      <c r="M24" s="1528" t="str">
        <f t="shared" ref="M24:M44" si="6">IFERROR(IF(L24="","",L24*$K24),"")</f>
        <v/>
      </c>
      <c r="N24" s="1529">
        <v>0.03</v>
      </c>
      <c r="O24" s="1528">
        <f>IF(N24="","",IF($F24="",N24,IF($F24="CO2e",N24*K24,IF($F24="GHG",N24*HLOOKUP($G24,GWP!$F$11:$I$31,4,FALSE)*K24,""))))</f>
        <v>0.75</v>
      </c>
      <c r="P24" s="1529"/>
      <c r="Q24" s="1528" t="str">
        <f>IF(P24="","",IF($F24="",P24,IF($F24="CO2e",P24*K24,IF($F24="GHG",P24*HLOOKUP($G24,GWP!$F$11:$I$31,5,FALSE)*K24,""))))</f>
        <v/>
      </c>
      <c r="R24" s="1529"/>
      <c r="S24" s="1526" t="str">
        <f t="shared" si="2"/>
        <v/>
      </c>
      <c r="T24" s="1529">
        <v>0.3</v>
      </c>
      <c r="U24" s="1526">
        <f t="shared" si="3"/>
        <v>0.3</v>
      </c>
      <c r="V24" s="1530" t="s">
        <v>179</v>
      </c>
      <c r="W24" s="1502"/>
      <c r="X24" s="1530" t="s">
        <v>742</v>
      </c>
      <c r="Y24" s="1531"/>
      <c r="Z24" s="1540"/>
    </row>
    <row r="25" spans="1:26" s="40" customFormat="1">
      <c r="A25" s="1749"/>
      <c r="B25" s="2002" t="s">
        <v>278</v>
      </c>
      <c r="C25" s="2002"/>
      <c r="D25" s="2003" t="str">
        <f t="shared" ref="D25" si="7">CONCATENATE("EF_",B25)</f>
        <v>EF_Composting</v>
      </c>
      <c r="E25" s="2003"/>
      <c r="F25" s="1525" t="s">
        <v>922</v>
      </c>
      <c r="G25" s="1525" t="s">
        <v>838</v>
      </c>
      <c r="H25" s="1533" t="s">
        <v>983</v>
      </c>
      <c r="I25" s="1534" t="s">
        <v>920</v>
      </c>
      <c r="J25" s="1535" t="s">
        <v>784</v>
      </c>
      <c r="K25" s="1526">
        <f>IFERROR(IF(H25="","",VLOOKUP(H25,'Conversion factors'!$D$37:$G$42,4,FALSE)),"")</f>
        <v>9.9999999999999995E-7</v>
      </c>
      <c r="L25" s="1529"/>
      <c r="M25" s="1528" t="str">
        <f t="shared" si="6"/>
        <v/>
      </c>
      <c r="N25" s="1529">
        <v>4</v>
      </c>
      <c r="O25" s="1528">
        <f>IF(N25="","",IF($F25="",N25,IF($F25="CO2e",N25*K25,IF($F25="GHG",N25*HLOOKUP($G25,GWP!$F$11:$I$31,4,FALSE)*K25,""))))</f>
        <v>9.9999999999999991E-5</v>
      </c>
      <c r="P25" s="1529">
        <v>0.24</v>
      </c>
      <c r="Q25" s="1528">
        <f>IF(P25="","",IF($F25="",P25,IF($F25="CO2e",P25*K25,IF($F25="GHG",P25*HLOOKUP($G25,GWP!$F$11:$I$31,5,FALSE)*K25,""))))</f>
        <v>7.1519999999999993E-5</v>
      </c>
      <c r="R25" s="1529"/>
      <c r="S25" s="1526" t="str">
        <f t="shared" si="2"/>
        <v/>
      </c>
      <c r="T25" s="1529"/>
      <c r="U25" s="1526" t="str">
        <f t="shared" si="3"/>
        <v/>
      </c>
      <c r="V25" s="1530" t="s">
        <v>180</v>
      </c>
      <c r="W25" s="1502"/>
      <c r="X25" s="1530" t="s">
        <v>738</v>
      </c>
      <c r="Y25" s="1531"/>
      <c r="Z25" s="1540"/>
    </row>
    <row r="26" spans="1:26" s="40" customFormat="1">
      <c r="A26" s="1749"/>
      <c r="B26" s="2002"/>
      <c r="C26" s="2002"/>
      <c r="D26" s="2003"/>
      <c r="E26" s="2003"/>
      <c r="F26" s="1525"/>
      <c r="G26" s="1525"/>
      <c r="H26" s="1533"/>
      <c r="I26" s="1534" t="s">
        <v>920</v>
      </c>
      <c r="J26" s="1535"/>
      <c r="K26" s="1526" t="str">
        <f>IFERROR(IF(H26="","",VLOOKUP(H26,'Conversion factors'!$D$37:$G$42,4,FALSE)),"")</f>
        <v/>
      </c>
      <c r="L26" s="1529"/>
      <c r="M26" s="1528" t="str">
        <f t="shared" si="6"/>
        <v/>
      </c>
      <c r="N26" s="1529"/>
      <c r="O26" s="1528" t="str">
        <f>IF(N26="","",IF($F26="",N26,IF($F26="CO2e",N26*K26,IF($F26="GHG",N26*HLOOKUP($G26,GWP!$F$11:$I$31,4,FALSE)*K26,""))))</f>
        <v/>
      </c>
      <c r="P26" s="1529"/>
      <c r="Q26" s="1528" t="str">
        <f>IF(P26="","",IF($F26="",P26,IF($F26="CO2e",P26*K26,IF($F26="GHG",P26*HLOOKUP($G26,GWP!$F$11:$I$31,5,FALSE)*K26,""))))</f>
        <v/>
      </c>
      <c r="R26" s="1529"/>
      <c r="S26" s="1526" t="str">
        <f t="shared" si="2"/>
        <v/>
      </c>
      <c r="T26" s="1529"/>
      <c r="U26" s="1526" t="str">
        <f t="shared" si="3"/>
        <v/>
      </c>
      <c r="V26" s="1530"/>
      <c r="W26" s="1502"/>
      <c r="X26" s="1530"/>
      <c r="Y26" s="1531"/>
      <c r="Z26" s="1540"/>
    </row>
    <row r="27" spans="1:26" s="40" customFormat="1">
      <c r="A27" s="1749"/>
      <c r="B27" s="2002"/>
      <c r="C27" s="2002"/>
      <c r="D27" s="2003"/>
      <c r="E27" s="2003"/>
      <c r="F27" s="1525"/>
      <c r="G27" s="1525"/>
      <c r="H27" s="1533"/>
      <c r="I27" s="1534" t="s">
        <v>920</v>
      </c>
      <c r="J27" s="1535"/>
      <c r="K27" s="1526" t="str">
        <f>IFERROR(IF(H27="","",VLOOKUP(H27,'Conversion factors'!$D$37:$G$42,4,FALSE)),"")</f>
        <v/>
      </c>
      <c r="L27" s="1529"/>
      <c r="M27" s="1528" t="str">
        <f t="shared" ref="M27:M31" si="8">IFERROR(IF(L27="","",L27*$K27),"")</f>
        <v/>
      </c>
      <c r="N27" s="1529"/>
      <c r="O27" s="1528" t="str">
        <f>IF(N27="","",IF($F27="",N27,IF($F27="CO2e",N27*K27,IF($F27="GHG",N27*HLOOKUP($G27,GWP!$F$11:$I$31,4,FALSE)*K27,""))))</f>
        <v/>
      </c>
      <c r="P27" s="1529"/>
      <c r="Q27" s="1528" t="str">
        <f>IF(P27="","",IF($F27="",P27,IF($F27="CO2e",P27*K27,IF($F27="GHG",P27*HLOOKUP($G27,GWP!$F$11:$I$31,5,FALSE)*K27,""))))</f>
        <v/>
      </c>
      <c r="R27" s="1529"/>
      <c r="S27" s="1526" t="str">
        <f t="shared" si="2"/>
        <v/>
      </c>
      <c r="T27" s="1529"/>
      <c r="U27" s="1526" t="str">
        <f t="shared" si="3"/>
        <v/>
      </c>
      <c r="V27" s="1530"/>
      <c r="W27" s="1502"/>
      <c r="X27" s="1530"/>
      <c r="Y27" s="1531"/>
      <c r="Z27" s="1540"/>
    </row>
    <row r="28" spans="1:26" s="40" customFormat="1">
      <c r="A28" s="1749"/>
      <c r="B28" s="2002"/>
      <c r="C28" s="2002"/>
      <c r="D28" s="2003"/>
      <c r="E28" s="2003"/>
      <c r="F28" s="1525"/>
      <c r="G28" s="1525"/>
      <c r="H28" s="1533"/>
      <c r="I28" s="1534" t="s">
        <v>920</v>
      </c>
      <c r="J28" s="1535"/>
      <c r="K28" s="1526" t="str">
        <f>IFERROR(IF(H28="","",VLOOKUP(H28,'Conversion factors'!$D$37:$G$42,4,FALSE)),"")</f>
        <v/>
      </c>
      <c r="L28" s="1529"/>
      <c r="M28" s="1528" t="str">
        <f t="shared" si="8"/>
        <v/>
      </c>
      <c r="N28" s="1529"/>
      <c r="O28" s="1528" t="str">
        <f>IF(N28="","",IF($F28="",N28,IF($F28="CO2e",N28*K28,IF($F28="GHG",N28*HLOOKUP($G28,GWP!$F$11:$I$31,4,FALSE)*K28,""))))</f>
        <v/>
      </c>
      <c r="P28" s="1529"/>
      <c r="Q28" s="1528" t="str">
        <f>IF(P28="","",IF($F28="",P28,IF($F28="CO2e",P28*K28,IF($F28="GHG",P28*HLOOKUP($G28,GWP!$F$11:$I$31,5,FALSE)*K28,""))))</f>
        <v/>
      </c>
      <c r="R28" s="1529"/>
      <c r="S28" s="1526" t="str">
        <f t="shared" si="2"/>
        <v/>
      </c>
      <c r="T28" s="1529"/>
      <c r="U28" s="1526" t="str">
        <f t="shared" si="3"/>
        <v/>
      </c>
      <c r="V28" s="1530"/>
      <c r="W28" s="1502"/>
      <c r="X28" s="1530"/>
      <c r="Y28" s="1531"/>
      <c r="Z28" s="1540"/>
    </row>
    <row r="29" spans="1:26" s="40" customFormat="1">
      <c r="A29" s="1749"/>
      <c r="B29" s="2002"/>
      <c r="C29" s="2002"/>
      <c r="D29" s="2003"/>
      <c r="E29" s="2003"/>
      <c r="F29" s="1525"/>
      <c r="G29" s="1525"/>
      <c r="H29" s="1533"/>
      <c r="I29" s="1534" t="s">
        <v>920</v>
      </c>
      <c r="J29" s="1535"/>
      <c r="K29" s="1526" t="str">
        <f>IFERROR(IF(H29="","",VLOOKUP(H29,'Conversion factors'!$D$37:$G$42,4,FALSE)),"")</f>
        <v/>
      </c>
      <c r="L29" s="1529"/>
      <c r="M29" s="1528" t="str">
        <f t="shared" si="8"/>
        <v/>
      </c>
      <c r="N29" s="1529"/>
      <c r="O29" s="1528" t="str">
        <f>IF(N29="","",IF($F29="",N29,IF($F29="CO2e",N29*K29,IF($F29="GHG",N29*HLOOKUP($G29,GWP!$F$11:$I$31,4,FALSE)*K29,""))))</f>
        <v/>
      </c>
      <c r="P29" s="1529"/>
      <c r="Q29" s="1528" t="str">
        <f>IF(P29="","",IF($F29="",P29,IF($F29="CO2e",P29*K29,IF($F29="GHG",P29*HLOOKUP($G29,GWP!$F$11:$I$31,5,FALSE)*K29,""))))</f>
        <v/>
      </c>
      <c r="R29" s="1529"/>
      <c r="S29" s="1526" t="str">
        <f t="shared" si="2"/>
        <v/>
      </c>
      <c r="T29" s="1529"/>
      <c r="U29" s="1526" t="str">
        <f t="shared" si="3"/>
        <v/>
      </c>
      <c r="V29" s="1530"/>
      <c r="W29" s="1502"/>
      <c r="X29" s="1530"/>
      <c r="Y29" s="1531"/>
      <c r="Z29" s="1540"/>
    </row>
    <row r="30" spans="1:26" s="40" customFormat="1">
      <c r="A30" s="1749"/>
      <c r="B30" s="2002"/>
      <c r="C30" s="2002"/>
      <c r="D30" s="2003"/>
      <c r="E30" s="2003"/>
      <c r="F30" s="1525"/>
      <c r="G30" s="1525"/>
      <c r="H30" s="1533"/>
      <c r="I30" s="1534" t="s">
        <v>920</v>
      </c>
      <c r="J30" s="1535"/>
      <c r="K30" s="1526" t="str">
        <f>IFERROR(IF(H30="","",VLOOKUP(H30,'Conversion factors'!$D$37:$G$42,4,FALSE)),"")</f>
        <v/>
      </c>
      <c r="L30" s="1529"/>
      <c r="M30" s="1528" t="str">
        <f t="shared" si="8"/>
        <v/>
      </c>
      <c r="N30" s="1529"/>
      <c r="O30" s="1528" t="str">
        <f>IF(N30="","",IF($F30="",N30,IF($F30="CO2e",N30*K30,IF($F30="GHG",N30*HLOOKUP($G30,GWP!$F$11:$I$31,4,FALSE)*K30,""))))</f>
        <v/>
      </c>
      <c r="P30" s="1529"/>
      <c r="Q30" s="1528" t="str">
        <f>IF(P30="","",IF($F30="",P30,IF($F30="CO2e",P30*K30,IF($F30="GHG",P30*HLOOKUP($G30,GWP!$F$11:$I$31,5,FALSE)*K30,""))))</f>
        <v/>
      </c>
      <c r="R30" s="1529"/>
      <c r="S30" s="1526" t="str">
        <f t="shared" si="2"/>
        <v/>
      </c>
      <c r="T30" s="1529"/>
      <c r="U30" s="1526" t="str">
        <f t="shared" si="3"/>
        <v/>
      </c>
      <c r="V30" s="1530"/>
      <c r="W30" s="1502"/>
      <c r="X30" s="1530"/>
      <c r="Y30" s="1531"/>
      <c r="Z30" s="1540"/>
    </row>
    <row r="31" spans="1:26" s="40" customFormat="1">
      <c r="A31" s="1749"/>
      <c r="B31" s="2002"/>
      <c r="C31" s="2002"/>
      <c r="D31" s="2003"/>
      <c r="E31" s="2003"/>
      <c r="F31" s="1525"/>
      <c r="G31" s="1525"/>
      <c r="H31" s="1533"/>
      <c r="I31" s="1534" t="s">
        <v>920</v>
      </c>
      <c r="J31" s="1535"/>
      <c r="K31" s="1526" t="str">
        <f>IFERROR(IF(H31="","",VLOOKUP(H31,'Conversion factors'!$D$37:$G$42,4,FALSE)),"")</f>
        <v/>
      </c>
      <c r="L31" s="1529"/>
      <c r="M31" s="1528" t="str">
        <f t="shared" si="8"/>
        <v/>
      </c>
      <c r="N31" s="1529"/>
      <c r="O31" s="1528" t="str">
        <f>IF(N31="","",IF($F31="",N31,IF($F31="CO2e",N31*K31,IF($F31="GHG",N31*HLOOKUP($G31,GWP!$F$11:$I$31,4,FALSE)*K31,""))))</f>
        <v/>
      </c>
      <c r="P31" s="1529"/>
      <c r="Q31" s="1528" t="str">
        <f>IF(P31="","",IF($F31="",P31,IF($F31="CO2e",P31*K31,IF($F31="GHG",P31*HLOOKUP($G31,GWP!$F$11:$I$31,5,FALSE)*K31,""))))</f>
        <v/>
      </c>
      <c r="R31" s="1529"/>
      <c r="S31" s="1526" t="str">
        <f t="shared" si="2"/>
        <v/>
      </c>
      <c r="T31" s="1529"/>
      <c r="U31" s="1526" t="str">
        <f t="shared" si="3"/>
        <v/>
      </c>
      <c r="V31" s="1530"/>
      <c r="W31" s="1502"/>
      <c r="X31" s="1530"/>
      <c r="Y31" s="1531"/>
      <c r="Z31" s="1540"/>
    </row>
    <row r="32" spans="1:26" s="40" customFormat="1">
      <c r="A32" s="1749"/>
      <c r="B32" s="2002"/>
      <c r="C32" s="2002"/>
      <c r="D32" s="2003"/>
      <c r="E32" s="2003"/>
      <c r="F32" s="1525"/>
      <c r="G32" s="1525"/>
      <c r="H32" s="1533"/>
      <c r="I32" s="1534" t="s">
        <v>920</v>
      </c>
      <c r="J32" s="1535"/>
      <c r="K32" s="1526" t="str">
        <f>IFERROR(IF(H32="","",VLOOKUP(H32,'Conversion factors'!$D$37:$G$42,4,FALSE)),"")</f>
        <v/>
      </c>
      <c r="L32" s="1529"/>
      <c r="M32" s="1528" t="str">
        <f t="shared" si="6"/>
        <v/>
      </c>
      <c r="N32" s="1529"/>
      <c r="O32" s="1528" t="str">
        <f>IF(N32="","",IF($F32="",N32,IF($F32="CO2e",N32*K32,IF($F32="GHG",N32*HLOOKUP($G32,GWP!$F$11:$I$31,4,FALSE)*K32,""))))</f>
        <v/>
      </c>
      <c r="P32" s="1529"/>
      <c r="Q32" s="1528" t="str">
        <f>IF(P32="","",IF($F32="",P32,IF($F32="CO2e",P32*K32,IF($F32="GHG",P32*HLOOKUP($G32,GWP!$F$11:$I$31,5,FALSE)*K32,""))))</f>
        <v/>
      </c>
      <c r="R32" s="1529"/>
      <c r="S32" s="1526" t="str">
        <f t="shared" si="2"/>
        <v/>
      </c>
      <c r="T32" s="1529"/>
      <c r="U32" s="1526" t="str">
        <f t="shared" si="3"/>
        <v/>
      </c>
      <c r="V32" s="1530"/>
      <c r="W32" s="1502"/>
      <c r="X32" s="1530"/>
      <c r="Y32" s="1531"/>
      <c r="Z32" s="1540"/>
    </row>
    <row r="33" spans="1:26" s="40" customFormat="1">
      <c r="A33" s="1749"/>
      <c r="B33" s="2002"/>
      <c r="C33" s="2002"/>
      <c r="D33" s="2003"/>
      <c r="E33" s="2003"/>
      <c r="F33" s="1525"/>
      <c r="G33" s="1525"/>
      <c r="H33" s="1533"/>
      <c r="I33" s="1534" t="s">
        <v>920</v>
      </c>
      <c r="J33" s="1535"/>
      <c r="K33" s="1526" t="str">
        <f>IFERROR(IF(H33="","",VLOOKUP(H33,'Conversion factors'!$D$37:$G$42,4,FALSE)),"")</f>
        <v/>
      </c>
      <c r="L33" s="1529"/>
      <c r="M33" s="1528" t="str">
        <f t="shared" si="6"/>
        <v/>
      </c>
      <c r="N33" s="1529"/>
      <c r="O33" s="1528" t="str">
        <f>IF(N33="","",IF($F33="",N33,IF($F33="CO2e",N33*K33,IF($F33="GHG",N33*HLOOKUP($G33,GWP!$F$11:$I$31,4,FALSE)*K33,""))))</f>
        <v/>
      </c>
      <c r="P33" s="1529"/>
      <c r="Q33" s="1528" t="str">
        <f>IF(P33="","",IF($F33="",P33,IF($F33="CO2e",P33*K33,IF($F33="GHG",P33*HLOOKUP($G33,GWP!$F$11:$I$31,5,FALSE)*K33,""))))</f>
        <v/>
      </c>
      <c r="R33" s="1529"/>
      <c r="S33" s="1526" t="str">
        <f t="shared" si="2"/>
        <v/>
      </c>
      <c r="T33" s="1529"/>
      <c r="U33" s="1526" t="str">
        <f t="shared" si="3"/>
        <v/>
      </c>
      <c r="V33" s="1530"/>
      <c r="W33" s="1502"/>
      <c r="X33" s="1530"/>
      <c r="Y33" s="1531"/>
      <c r="Z33" s="1540"/>
    </row>
    <row r="34" spans="1:26" s="40" customFormat="1">
      <c r="A34" s="1749"/>
      <c r="B34" s="2002"/>
      <c r="C34" s="2002"/>
      <c r="D34" s="2003"/>
      <c r="E34" s="2003"/>
      <c r="F34" s="1525"/>
      <c r="G34" s="1525"/>
      <c r="H34" s="1533"/>
      <c r="I34" s="1534" t="s">
        <v>920</v>
      </c>
      <c r="J34" s="1535"/>
      <c r="K34" s="1526" t="str">
        <f>IFERROR(IF(H34="","",VLOOKUP(H34,'Conversion factors'!$D$37:$G$42,4,FALSE)),"")</f>
        <v/>
      </c>
      <c r="L34" s="1529"/>
      <c r="M34" s="1528" t="str">
        <f t="shared" si="6"/>
        <v/>
      </c>
      <c r="N34" s="1529"/>
      <c r="O34" s="1528" t="str">
        <f>IF(N34="","",IF($F34="",N34,IF($F34="CO2e",N34*K34,IF($F34="GHG",N34*HLOOKUP($G34,GWP!$F$11:$I$31,4,FALSE)*K34,""))))</f>
        <v/>
      </c>
      <c r="P34" s="1529"/>
      <c r="Q34" s="1528" t="str">
        <f>IF(P34="","",IF($F34="",P34,IF($F34="CO2e",P34*K34,IF($F34="GHG",P34*HLOOKUP($G34,GWP!$F$11:$I$31,5,FALSE)*K34,""))))</f>
        <v/>
      </c>
      <c r="R34" s="1529"/>
      <c r="S34" s="1526" t="str">
        <f t="shared" si="2"/>
        <v/>
      </c>
      <c r="T34" s="1529"/>
      <c r="U34" s="1526" t="str">
        <f t="shared" si="3"/>
        <v/>
      </c>
      <c r="V34" s="1530"/>
      <c r="W34" s="1502"/>
      <c r="X34" s="1530"/>
      <c r="Y34" s="1531"/>
      <c r="Z34" s="1540"/>
    </row>
    <row r="35" spans="1:26" s="40" customFormat="1">
      <c r="A35" s="1749"/>
      <c r="B35" s="2002"/>
      <c r="C35" s="2002"/>
      <c r="D35" s="2003"/>
      <c r="E35" s="2003"/>
      <c r="F35" s="1525"/>
      <c r="G35" s="1525"/>
      <c r="H35" s="1533"/>
      <c r="I35" s="1534" t="s">
        <v>920</v>
      </c>
      <c r="J35" s="1535"/>
      <c r="K35" s="1526" t="str">
        <f>IFERROR(IF(H35="","",VLOOKUP(H35,'Conversion factors'!$D$37:$G$42,4,FALSE)),"")</f>
        <v/>
      </c>
      <c r="L35" s="1529"/>
      <c r="M35" s="1528" t="str">
        <f t="shared" si="6"/>
        <v/>
      </c>
      <c r="N35" s="1529"/>
      <c r="O35" s="1528" t="str">
        <f>IF(N35="","",IF($F35="",N35,IF($F35="CO2e",N35*K35,IF($F35="GHG",N35*HLOOKUP($G35,GWP!$F$11:$I$31,4,FALSE)*K35,""))))</f>
        <v/>
      </c>
      <c r="P35" s="1529"/>
      <c r="Q35" s="1528" t="str">
        <f>IF(P35="","",IF($F35="",P35,IF($F35="CO2e",P35*K35,IF($F35="GHG",P35*HLOOKUP($G35,GWP!$F$11:$I$31,5,FALSE)*K35,""))))</f>
        <v/>
      </c>
      <c r="R35" s="1529"/>
      <c r="S35" s="1526" t="str">
        <f t="shared" si="2"/>
        <v/>
      </c>
      <c r="T35" s="1529"/>
      <c r="U35" s="1526" t="str">
        <f t="shared" si="3"/>
        <v/>
      </c>
      <c r="V35" s="1530"/>
      <c r="W35" s="1502"/>
      <c r="X35" s="1530"/>
      <c r="Y35" s="1531"/>
      <c r="Z35" s="1540"/>
    </row>
    <row r="36" spans="1:26" s="40" customFormat="1">
      <c r="A36" s="1749"/>
      <c r="B36" s="2002"/>
      <c r="C36" s="2002"/>
      <c r="D36" s="2003"/>
      <c r="E36" s="2003"/>
      <c r="F36" s="1525"/>
      <c r="G36" s="1525"/>
      <c r="H36" s="1533"/>
      <c r="I36" s="1534" t="s">
        <v>920</v>
      </c>
      <c r="J36" s="1535"/>
      <c r="K36" s="1526" t="str">
        <f>IFERROR(IF(H36="","",VLOOKUP(H36,'Conversion factors'!$D$37:$G$42,4,FALSE)),"")</f>
        <v/>
      </c>
      <c r="L36" s="1529"/>
      <c r="M36" s="1528" t="str">
        <f t="shared" si="6"/>
        <v/>
      </c>
      <c r="N36" s="1529"/>
      <c r="O36" s="1528" t="str">
        <f>IF(N36="","",IF($F36="",N36,IF($F36="CO2e",N36*K36,IF($F36="GHG",N36*HLOOKUP($G36,GWP!$F$11:$I$31,4,FALSE)*K36,""))))</f>
        <v/>
      </c>
      <c r="P36" s="1529"/>
      <c r="Q36" s="1528" t="str">
        <f>IF(P36="","",IF($F36="",P36,IF($F36="CO2e",P36*K36,IF($F36="GHG",P36*HLOOKUP($G36,GWP!$F$11:$I$31,5,FALSE)*K36,""))))</f>
        <v/>
      </c>
      <c r="R36" s="1529"/>
      <c r="S36" s="1526" t="str">
        <f t="shared" si="2"/>
        <v/>
      </c>
      <c r="T36" s="1529"/>
      <c r="U36" s="1526" t="str">
        <f t="shared" si="3"/>
        <v/>
      </c>
      <c r="V36" s="1530"/>
      <c r="W36" s="1502"/>
      <c r="X36" s="1530"/>
      <c r="Y36" s="1531"/>
      <c r="Z36" s="1540"/>
    </row>
    <row r="37" spans="1:26" s="40" customFormat="1">
      <c r="A37" s="1749"/>
      <c r="B37" s="2002"/>
      <c r="C37" s="2002"/>
      <c r="D37" s="2003"/>
      <c r="E37" s="2003"/>
      <c r="F37" s="1525"/>
      <c r="G37" s="1525"/>
      <c r="H37" s="1533"/>
      <c r="I37" s="1534" t="s">
        <v>920</v>
      </c>
      <c r="J37" s="1535"/>
      <c r="K37" s="1526" t="str">
        <f>IFERROR(IF(H37="","",VLOOKUP(H37,'Conversion factors'!$D$37:$G$42,4,FALSE)),"")</f>
        <v/>
      </c>
      <c r="L37" s="1529"/>
      <c r="M37" s="1528" t="str">
        <f t="shared" si="6"/>
        <v/>
      </c>
      <c r="N37" s="1529"/>
      <c r="O37" s="1528" t="str">
        <f>IF(N37="","",IF($F37="",N37,IF($F37="CO2e",N37*K37,IF($F37="GHG",N37*HLOOKUP($G37,GWP!$F$11:$I$31,4,FALSE)*K37,""))))</f>
        <v/>
      </c>
      <c r="P37" s="1529"/>
      <c r="Q37" s="1528" t="str">
        <f>IF(P37="","",IF($F37="",P37,IF($F37="CO2e",P37*K37,IF($F37="GHG",P37*HLOOKUP($G37,GWP!$F$11:$I$31,5,FALSE)*K37,""))))</f>
        <v/>
      </c>
      <c r="R37" s="1529"/>
      <c r="S37" s="1526" t="str">
        <f t="shared" si="2"/>
        <v/>
      </c>
      <c r="T37" s="1529"/>
      <c r="U37" s="1526" t="str">
        <f t="shared" si="3"/>
        <v/>
      </c>
      <c r="V37" s="1530"/>
      <c r="W37" s="1502"/>
      <c r="X37" s="1530"/>
      <c r="Y37" s="1531"/>
      <c r="Z37" s="1540"/>
    </row>
    <row r="38" spans="1:26" s="40" customFormat="1">
      <c r="A38" s="1749"/>
      <c r="B38" s="2002"/>
      <c r="C38" s="2002"/>
      <c r="D38" s="2003"/>
      <c r="E38" s="2003"/>
      <c r="F38" s="1525"/>
      <c r="G38" s="1525"/>
      <c r="H38" s="1533"/>
      <c r="I38" s="1534" t="s">
        <v>920</v>
      </c>
      <c r="J38" s="1535"/>
      <c r="K38" s="1526" t="str">
        <f>IFERROR(IF(H38="","",VLOOKUP(H38,'Conversion factors'!$D$37:$G$42,4,FALSE)),"")</f>
        <v/>
      </c>
      <c r="L38" s="1529"/>
      <c r="M38" s="1528" t="str">
        <f t="shared" si="6"/>
        <v/>
      </c>
      <c r="N38" s="1529"/>
      <c r="O38" s="1528" t="str">
        <f>IF(N38="","",IF($F38="",N38,IF($F38="CO2e",N38*K38,IF($F38="GHG",N38*HLOOKUP($G38,GWP!$F$11:$I$31,4,FALSE)*K38,""))))</f>
        <v/>
      </c>
      <c r="P38" s="1529"/>
      <c r="Q38" s="1528" t="str">
        <f>IF(P38="","",IF($F38="",P38,IF($F38="CO2e",P38*K38,IF($F38="GHG",P38*HLOOKUP($G38,GWP!$F$11:$I$31,5,FALSE)*K38,""))))</f>
        <v/>
      </c>
      <c r="R38" s="1529"/>
      <c r="S38" s="1526" t="str">
        <f t="shared" si="2"/>
        <v/>
      </c>
      <c r="T38" s="1529"/>
      <c r="U38" s="1526" t="str">
        <f t="shared" si="3"/>
        <v/>
      </c>
      <c r="V38" s="1530"/>
      <c r="W38" s="1502"/>
      <c r="X38" s="1530"/>
      <c r="Y38" s="1531"/>
      <c r="Z38" s="1540"/>
    </row>
    <row r="39" spans="1:26" s="40" customFormat="1">
      <c r="A39" s="1749"/>
      <c r="B39" s="2002"/>
      <c r="C39" s="2002"/>
      <c r="D39" s="2003"/>
      <c r="E39" s="2003"/>
      <c r="F39" s="1525"/>
      <c r="G39" s="1525"/>
      <c r="H39" s="1533"/>
      <c r="I39" s="1534" t="s">
        <v>920</v>
      </c>
      <c r="J39" s="1535"/>
      <c r="K39" s="1526" t="str">
        <f>IFERROR(IF(H39="","",VLOOKUP(H39,'Conversion factors'!$D$37:$G$42,4,FALSE)),"")</f>
        <v/>
      </c>
      <c r="L39" s="1529"/>
      <c r="M39" s="1528" t="str">
        <f t="shared" si="6"/>
        <v/>
      </c>
      <c r="N39" s="1529"/>
      <c r="O39" s="1528" t="str">
        <f>IF(N39="","",IF($F39="",N39,IF($F39="CO2e",N39*K39,IF($F39="GHG",N39*HLOOKUP($G39,GWP!$F$11:$I$31,4,FALSE)*K39,""))))</f>
        <v/>
      </c>
      <c r="P39" s="1529"/>
      <c r="Q39" s="1528" t="str">
        <f>IF(P39="","",IF($F39="",P39,IF($F39="CO2e",P39*K39,IF($F39="GHG",P39*HLOOKUP($G39,GWP!$F$11:$I$31,5,FALSE)*K39,""))))</f>
        <v/>
      </c>
      <c r="R39" s="1529"/>
      <c r="S39" s="1526" t="str">
        <f t="shared" si="2"/>
        <v/>
      </c>
      <c r="T39" s="1529"/>
      <c r="U39" s="1526" t="str">
        <f t="shared" si="3"/>
        <v/>
      </c>
      <c r="V39" s="1530"/>
      <c r="W39" s="1502"/>
      <c r="X39" s="1530"/>
      <c r="Y39" s="1531"/>
      <c r="Z39" s="1540"/>
    </row>
    <row r="40" spans="1:26" s="40" customFormat="1">
      <c r="A40" s="1749"/>
      <c r="B40" s="2002"/>
      <c r="C40" s="2002"/>
      <c r="D40" s="2003"/>
      <c r="E40" s="2003"/>
      <c r="F40" s="1525"/>
      <c r="G40" s="1525"/>
      <c r="H40" s="1533"/>
      <c r="I40" s="1534" t="s">
        <v>920</v>
      </c>
      <c r="J40" s="1535"/>
      <c r="K40" s="1526" t="str">
        <f>IFERROR(IF(H40="","",VLOOKUP(H40,'Conversion factors'!$D$37:$G$42,4,FALSE)),"")</f>
        <v/>
      </c>
      <c r="L40" s="1529"/>
      <c r="M40" s="1528" t="str">
        <f t="shared" si="6"/>
        <v/>
      </c>
      <c r="N40" s="1529"/>
      <c r="O40" s="1528" t="str">
        <f>IF(N40="","",IF($F40="",N40,IF($F40="CO2e",N40*K40,IF($F40="GHG",N40*HLOOKUP($G40,GWP!$F$11:$I$31,4,FALSE)*K40,""))))</f>
        <v/>
      </c>
      <c r="P40" s="1529"/>
      <c r="Q40" s="1528" t="str">
        <f>IF(P40="","",IF($F40="",P40,IF($F40="CO2e",P40*K40,IF($F40="GHG",P40*HLOOKUP($G40,GWP!$F$11:$I$31,5,FALSE)*K40,""))))</f>
        <v/>
      </c>
      <c r="R40" s="1529"/>
      <c r="S40" s="1526" t="str">
        <f t="shared" si="2"/>
        <v/>
      </c>
      <c r="T40" s="1529"/>
      <c r="U40" s="1526" t="str">
        <f t="shared" si="3"/>
        <v/>
      </c>
      <c r="V40" s="1530"/>
      <c r="W40" s="1502"/>
      <c r="X40" s="1530"/>
      <c r="Y40" s="1531"/>
      <c r="Z40" s="1540"/>
    </row>
    <row r="41" spans="1:26" s="40" customFormat="1">
      <c r="A41" s="1749"/>
      <c r="B41" s="2002"/>
      <c r="C41" s="2002"/>
      <c r="D41" s="2003"/>
      <c r="E41" s="2003"/>
      <c r="F41" s="1525"/>
      <c r="G41" s="1525"/>
      <c r="H41" s="1533"/>
      <c r="I41" s="1534" t="s">
        <v>920</v>
      </c>
      <c r="J41" s="1535"/>
      <c r="K41" s="1526" t="str">
        <f>IFERROR(IF(H41="","",VLOOKUP(H41,'Conversion factors'!$D$37:$G$42,4,FALSE)),"")</f>
        <v/>
      </c>
      <c r="L41" s="1529"/>
      <c r="M41" s="1528" t="str">
        <f t="shared" si="6"/>
        <v/>
      </c>
      <c r="N41" s="1529"/>
      <c r="O41" s="1528" t="str">
        <f>IF(N41="","",IF($F41="",N41,IF($F41="CO2e",N41*K41,IF($F41="GHG",N41*HLOOKUP($G41,GWP!$F$11:$I$31,4,FALSE)*K41,""))))</f>
        <v/>
      </c>
      <c r="P41" s="1529"/>
      <c r="Q41" s="1528" t="str">
        <f>IF(P41="","",IF($F41="",P41,IF($F41="CO2e",P41*K41,IF($F41="GHG",P41*HLOOKUP($G41,GWP!$F$11:$I$31,5,FALSE)*K41,""))))</f>
        <v/>
      </c>
      <c r="R41" s="1529"/>
      <c r="S41" s="1526" t="str">
        <f t="shared" si="2"/>
        <v/>
      </c>
      <c r="T41" s="1529"/>
      <c r="U41" s="1526" t="str">
        <f t="shared" si="3"/>
        <v/>
      </c>
      <c r="V41" s="1530"/>
      <c r="W41" s="1502"/>
      <c r="X41" s="1530"/>
      <c r="Y41" s="1531"/>
      <c r="Z41" s="1540"/>
    </row>
    <row r="42" spans="1:26" s="40" customFormat="1">
      <c r="A42" s="1749"/>
      <c r="B42" s="2002"/>
      <c r="C42" s="2002"/>
      <c r="D42" s="2003"/>
      <c r="E42" s="2003"/>
      <c r="F42" s="1525"/>
      <c r="G42" s="1525"/>
      <c r="H42" s="1533"/>
      <c r="I42" s="1534" t="s">
        <v>920</v>
      </c>
      <c r="J42" s="1535"/>
      <c r="K42" s="1526" t="str">
        <f>IFERROR(IF(H42="","",VLOOKUP(H42,'Conversion factors'!$D$37:$G$42,4,FALSE)),"")</f>
        <v/>
      </c>
      <c r="L42" s="1529"/>
      <c r="M42" s="1528" t="str">
        <f t="shared" si="6"/>
        <v/>
      </c>
      <c r="N42" s="1529"/>
      <c r="O42" s="1528" t="str">
        <f>IF(N42="","",IF($F42="",N42,IF($F42="CO2e",N42*K42,IF($F42="GHG",N42*HLOOKUP($G42,GWP!$F$11:$I$31,4,FALSE)*K42,""))))</f>
        <v/>
      </c>
      <c r="P42" s="1529"/>
      <c r="Q42" s="1528" t="str">
        <f>IF(P42="","",IF($F42="",P42,IF($F42="CO2e",P42*K42,IF($F42="GHG",P42*HLOOKUP($G42,GWP!$F$11:$I$31,5,FALSE)*K42,""))))</f>
        <v/>
      </c>
      <c r="R42" s="1529"/>
      <c r="S42" s="1526" t="str">
        <f t="shared" si="2"/>
        <v/>
      </c>
      <c r="T42" s="1529"/>
      <c r="U42" s="1526" t="str">
        <f t="shared" si="3"/>
        <v/>
      </c>
      <c r="V42" s="1530"/>
      <c r="W42" s="1502"/>
      <c r="X42" s="1530"/>
      <c r="Y42" s="1531"/>
      <c r="Z42" s="1540"/>
    </row>
    <row r="43" spans="1:26" s="40" customFormat="1">
      <c r="A43" s="1749"/>
      <c r="B43" s="2002"/>
      <c r="C43" s="2002"/>
      <c r="D43" s="2003"/>
      <c r="E43" s="2003"/>
      <c r="F43" s="1525"/>
      <c r="G43" s="1525"/>
      <c r="H43" s="1533"/>
      <c r="I43" s="1534" t="s">
        <v>920</v>
      </c>
      <c r="J43" s="1535"/>
      <c r="K43" s="1526" t="str">
        <f>IFERROR(IF(H43="","",VLOOKUP(H43,'Conversion factors'!$D$37:$G$42,4,FALSE)),"")</f>
        <v/>
      </c>
      <c r="L43" s="1529"/>
      <c r="M43" s="1528" t="str">
        <f t="shared" si="6"/>
        <v/>
      </c>
      <c r="N43" s="1529"/>
      <c r="O43" s="1528" t="str">
        <f>IF(N43="","",IF($F43="",N43,IF($F43="CO2e",N43*K43,IF($F43="GHG",N43*HLOOKUP($G43,GWP!$F$11:$I$31,4,FALSE)*K43,""))))</f>
        <v/>
      </c>
      <c r="P43" s="1529"/>
      <c r="Q43" s="1528" t="str">
        <f>IF(P43="","",IF($F43="",P43,IF($F43="CO2e",P43*K43,IF($F43="GHG",P43*HLOOKUP($G43,GWP!$F$11:$I$31,5,FALSE)*K43,""))))</f>
        <v/>
      </c>
      <c r="R43" s="1529"/>
      <c r="S43" s="1526" t="str">
        <f t="shared" si="2"/>
        <v/>
      </c>
      <c r="T43" s="1529"/>
      <c r="U43" s="1526" t="str">
        <f t="shared" si="3"/>
        <v/>
      </c>
      <c r="V43" s="1530"/>
      <c r="W43" s="1502"/>
      <c r="X43" s="1530"/>
      <c r="Y43" s="1531"/>
      <c r="Z43" s="1540"/>
    </row>
    <row r="44" spans="1:26" s="40" customFormat="1">
      <c r="A44" s="1749"/>
      <c r="B44" s="2002"/>
      <c r="C44" s="2002"/>
      <c r="D44" s="2003"/>
      <c r="E44" s="2003"/>
      <c r="F44" s="1525"/>
      <c r="G44" s="1525"/>
      <c r="H44" s="1533"/>
      <c r="I44" s="1534" t="s">
        <v>920</v>
      </c>
      <c r="J44" s="1535"/>
      <c r="K44" s="1526" t="str">
        <f>IFERROR(IF(H44="","",VLOOKUP(H44,'Conversion factors'!$D$37:$G$42,4,FALSE)),"")</f>
        <v/>
      </c>
      <c r="L44" s="1529"/>
      <c r="M44" s="1528" t="str">
        <f t="shared" si="6"/>
        <v/>
      </c>
      <c r="N44" s="1529"/>
      <c r="O44" s="1528" t="str">
        <f>IF(N44="","",IF($F44="",N44,IF($F44="CO2e",N44*K44,IF($F44="GHG",N44*HLOOKUP($G44,GWP!$F$11:$I$31,4,FALSE)*K44,""))))</f>
        <v/>
      </c>
      <c r="P44" s="1529"/>
      <c r="Q44" s="1528" t="str">
        <f>IF(P44="","",IF($F44="",P44,IF($F44="CO2e",P44*K44,IF($F44="GHG",P44*HLOOKUP($G44,GWP!$F$11:$I$31,5,FALSE)*K44,""))))</f>
        <v/>
      </c>
      <c r="R44" s="1529"/>
      <c r="S44" s="1526" t="str">
        <f t="shared" si="2"/>
        <v/>
      </c>
      <c r="T44" s="1529"/>
      <c r="U44" s="1526" t="str">
        <f t="shared" si="3"/>
        <v/>
      </c>
      <c r="V44" s="1530"/>
      <c r="W44" s="1502"/>
      <c r="X44" s="1530"/>
      <c r="Y44" s="1531"/>
      <c r="Z44" s="1540"/>
    </row>
    <row r="45" spans="1:26" s="40" customFormat="1">
      <c r="A45" s="1749"/>
      <c r="B45" s="2002"/>
      <c r="C45" s="2002"/>
      <c r="D45" s="2003"/>
      <c r="E45" s="2003"/>
      <c r="F45" s="1525"/>
      <c r="G45" s="1525"/>
      <c r="H45" s="1533"/>
      <c r="I45" s="1534" t="s">
        <v>920</v>
      </c>
      <c r="J45" s="1535"/>
      <c r="K45" s="1526" t="str">
        <f>IFERROR(IF(H45="","",VLOOKUP(H45,'Conversion factors'!$D$37:$G$42,4,FALSE)),"")</f>
        <v/>
      </c>
      <c r="L45" s="1529"/>
      <c r="M45" s="1528" t="str">
        <f t="shared" ref="M45:M56" si="9">IFERROR(IF(L45="","",L45*$K45),"")</f>
        <v/>
      </c>
      <c r="N45" s="1529"/>
      <c r="O45" s="1528" t="str">
        <f>IF(N45="","",IF($F45="",N45,IF($F45="CO2e",N45*K45,IF($F45="GHG",N45*HLOOKUP($G45,GWP!$F$11:$I$31,4,FALSE)*K45,""))))</f>
        <v/>
      </c>
      <c r="P45" s="1529"/>
      <c r="Q45" s="1528" t="str">
        <f>IF(P45="","",IF($F45="",P45,IF($F45="CO2e",P45*K45,IF($F45="GHG",P45*HLOOKUP($G45,GWP!$F$11:$I$31,5,FALSE)*K45,""))))</f>
        <v/>
      </c>
      <c r="R45" s="1529"/>
      <c r="S45" s="1526" t="str">
        <f t="shared" ref="S45:S56" si="10">IFERROR(IF(R45="","",R45*$K45),"")</f>
        <v/>
      </c>
      <c r="T45" s="1529"/>
      <c r="U45" s="1526" t="str">
        <f t="shared" ref="U45:U56" si="11">IFERROR(IF(T45="","",T45*$K45),"")</f>
        <v/>
      </c>
      <c r="V45" s="1530"/>
      <c r="W45" s="1502"/>
      <c r="X45" s="1530"/>
      <c r="Y45" s="1531"/>
      <c r="Z45" s="1540"/>
    </row>
    <row r="46" spans="1:26" s="40" customFormat="1">
      <c r="A46" s="1749"/>
      <c r="B46" s="2002"/>
      <c r="C46" s="2002"/>
      <c r="D46" s="2003"/>
      <c r="E46" s="2003"/>
      <c r="F46" s="1525"/>
      <c r="G46" s="1525"/>
      <c r="H46" s="1533"/>
      <c r="I46" s="1534" t="s">
        <v>920</v>
      </c>
      <c r="J46" s="1535"/>
      <c r="K46" s="1526" t="str">
        <f>IFERROR(IF(H46="","",VLOOKUP(H46,'Conversion factors'!$D$37:$G$42,4,FALSE)),"")</f>
        <v/>
      </c>
      <c r="L46" s="1529"/>
      <c r="M46" s="1528" t="str">
        <f t="shared" si="9"/>
        <v/>
      </c>
      <c r="N46" s="1529"/>
      <c r="O46" s="1528" t="str">
        <f>IF(N46="","",IF($F46="",N46,IF($F46="CO2e",N46*K46,IF($F46="GHG",N46*HLOOKUP($G46,GWP!$F$11:$I$31,4,FALSE)*K46,""))))</f>
        <v/>
      </c>
      <c r="P46" s="1529"/>
      <c r="Q46" s="1528" t="str">
        <f>IF(P46="","",IF($F46="",P46,IF($F46="CO2e",P46*K46,IF($F46="GHG",P46*HLOOKUP($G46,GWP!$F$11:$I$31,5,FALSE)*K46,""))))</f>
        <v/>
      </c>
      <c r="R46" s="1529"/>
      <c r="S46" s="1526" t="str">
        <f t="shared" si="10"/>
        <v/>
      </c>
      <c r="T46" s="1529"/>
      <c r="U46" s="1526" t="str">
        <f t="shared" si="11"/>
        <v/>
      </c>
      <c r="V46" s="1530"/>
      <c r="W46" s="1502"/>
      <c r="X46" s="1530"/>
      <c r="Y46" s="1531"/>
      <c r="Z46" s="1540"/>
    </row>
    <row r="47" spans="1:26" s="40" customFormat="1">
      <c r="A47" s="1749"/>
      <c r="B47" s="2002"/>
      <c r="C47" s="2002"/>
      <c r="D47" s="2003"/>
      <c r="E47" s="2003"/>
      <c r="F47" s="1525"/>
      <c r="G47" s="1525"/>
      <c r="H47" s="1533"/>
      <c r="I47" s="1534" t="s">
        <v>920</v>
      </c>
      <c r="J47" s="1535"/>
      <c r="K47" s="1526" t="str">
        <f>IFERROR(IF(H47="","",VLOOKUP(H47,'Conversion factors'!$D$37:$G$42,4,FALSE)),"")</f>
        <v/>
      </c>
      <c r="L47" s="1529"/>
      <c r="M47" s="1528" t="str">
        <f t="shared" ref="M47:M50" si="12">IFERROR(IF(L47="","",L47*$K47),"")</f>
        <v/>
      </c>
      <c r="N47" s="1529"/>
      <c r="O47" s="1528" t="str">
        <f>IF(N47="","",IF($F47="",N47,IF($F47="CO2e",N47*K47,IF($F47="GHG",N47*HLOOKUP($G47,GWP!$F$11:$I$31,4,FALSE)*K47,""))))</f>
        <v/>
      </c>
      <c r="P47" s="1529"/>
      <c r="Q47" s="1528" t="str">
        <f>IF(P47="","",IF($F47="",P47,IF($F47="CO2e",P47*K47,IF($F47="GHG",P47*HLOOKUP($G47,GWP!$F$11:$I$31,5,FALSE)*K47,""))))</f>
        <v/>
      </c>
      <c r="R47" s="1529"/>
      <c r="S47" s="1526" t="str">
        <f t="shared" ref="S47:S50" si="13">IFERROR(IF(R47="","",R47*$K47),"")</f>
        <v/>
      </c>
      <c r="T47" s="1529"/>
      <c r="U47" s="1526" t="str">
        <f t="shared" ref="U47:U50" si="14">IFERROR(IF(T47="","",T47*$K47),"")</f>
        <v/>
      </c>
      <c r="V47" s="1530"/>
      <c r="W47" s="1502"/>
      <c r="X47" s="1530"/>
      <c r="Y47" s="1531"/>
      <c r="Z47" s="1540"/>
    </row>
    <row r="48" spans="1:26" s="40" customFormat="1">
      <c r="A48" s="1749"/>
      <c r="B48" s="2002"/>
      <c r="C48" s="2002"/>
      <c r="D48" s="2003"/>
      <c r="E48" s="2003"/>
      <c r="F48" s="1525"/>
      <c r="G48" s="1525"/>
      <c r="H48" s="1533"/>
      <c r="I48" s="1534" t="s">
        <v>920</v>
      </c>
      <c r="J48" s="1535"/>
      <c r="K48" s="1526" t="str">
        <f>IFERROR(IF(H48="","",VLOOKUP(H48,'Conversion factors'!$D$37:$G$42,4,FALSE)),"")</f>
        <v/>
      </c>
      <c r="L48" s="1529"/>
      <c r="M48" s="1528" t="str">
        <f t="shared" si="12"/>
        <v/>
      </c>
      <c r="N48" s="1529"/>
      <c r="O48" s="1528" t="str">
        <f>IF(N48="","",IF($F48="",N48,IF($F48="CO2e",N48*K48,IF($F48="GHG",N48*HLOOKUP($G48,GWP!$F$11:$I$31,4,FALSE)*K48,""))))</f>
        <v/>
      </c>
      <c r="P48" s="1529"/>
      <c r="Q48" s="1528" t="str">
        <f>IF(P48="","",IF($F48="",P48,IF($F48="CO2e",P48*K48,IF($F48="GHG",P48*HLOOKUP($G48,GWP!$F$11:$I$31,5,FALSE)*K48,""))))</f>
        <v/>
      </c>
      <c r="R48" s="1529"/>
      <c r="S48" s="1526" t="str">
        <f t="shared" si="13"/>
        <v/>
      </c>
      <c r="T48" s="1529"/>
      <c r="U48" s="1526" t="str">
        <f t="shared" si="14"/>
        <v/>
      </c>
      <c r="V48" s="1530"/>
      <c r="W48" s="1502"/>
      <c r="X48" s="1530"/>
      <c r="Y48" s="1531"/>
      <c r="Z48" s="1540"/>
    </row>
    <row r="49" spans="1:26" s="40" customFormat="1">
      <c r="A49" s="1749"/>
      <c r="B49" s="2002"/>
      <c r="C49" s="2002"/>
      <c r="D49" s="2003"/>
      <c r="E49" s="2003"/>
      <c r="F49" s="1525"/>
      <c r="G49" s="1525"/>
      <c r="H49" s="1533"/>
      <c r="I49" s="1534" t="s">
        <v>920</v>
      </c>
      <c r="J49" s="1535"/>
      <c r="K49" s="1526" t="str">
        <f>IFERROR(IF(H49="","",VLOOKUP(H49,'Conversion factors'!$D$37:$G$42,4,FALSE)),"")</f>
        <v/>
      </c>
      <c r="L49" s="1529"/>
      <c r="M49" s="1528" t="str">
        <f t="shared" si="12"/>
        <v/>
      </c>
      <c r="N49" s="1529"/>
      <c r="O49" s="1528" t="str">
        <f>IF(N49="","",IF($F49="",N49,IF($F49="CO2e",N49*K49,IF($F49="GHG",N49*HLOOKUP($G49,GWP!$F$11:$I$31,4,FALSE)*K49,""))))</f>
        <v/>
      </c>
      <c r="P49" s="1529"/>
      <c r="Q49" s="1528" t="str">
        <f>IF(P49="","",IF($F49="",P49,IF($F49="CO2e",P49*K49,IF($F49="GHG",P49*HLOOKUP($G49,GWP!$F$11:$I$31,5,FALSE)*K49,""))))</f>
        <v/>
      </c>
      <c r="R49" s="1529"/>
      <c r="S49" s="1526" t="str">
        <f t="shared" si="13"/>
        <v/>
      </c>
      <c r="T49" s="1529"/>
      <c r="U49" s="1526" t="str">
        <f t="shared" si="14"/>
        <v/>
      </c>
      <c r="V49" s="1530"/>
      <c r="W49" s="1502"/>
      <c r="X49" s="1530"/>
      <c r="Y49" s="1531"/>
      <c r="Z49" s="1540"/>
    </row>
    <row r="50" spans="1:26" s="40" customFormat="1">
      <c r="A50" s="1749"/>
      <c r="B50" s="2002"/>
      <c r="C50" s="2002"/>
      <c r="D50" s="2003"/>
      <c r="E50" s="2003"/>
      <c r="F50" s="1525"/>
      <c r="G50" s="1525"/>
      <c r="H50" s="1533"/>
      <c r="I50" s="1534" t="s">
        <v>920</v>
      </c>
      <c r="J50" s="1535"/>
      <c r="K50" s="1526" t="str">
        <f>IFERROR(IF(H50="","",VLOOKUP(H50,'Conversion factors'!$D$37:$G$42,4,FALSE)),"")</f>
        <v/>
      </c>
      <c r="L50" s="1529"/>
      <c r="M50" s="1528" t="str">
        <f t="shared" si="12"/>
        <v/>
      </c>
      <c r="N50" s="1529"/>
      <c r="O50" s="1528" t="str">
        <f>IF(N50="","",IF($F50="",N50,IF($F50="CO2e",N50*K50,IF($F50="GHG",N50*HLOOKUP($G50,GWP!$F$11:$I$31,4,FALSE)*K50,""))))</f>
        <v/>
      </c>
      <c r="P50" s="1529"/>
      <c r="Q50" s="1528" t="str">
        <f>IF(P50="","",IF($F50="",P50,IF($F50="CO2e",P50*K50,IF($F50="GHG",P50*HLOOKUP($G50,GWP!$F$11:$I$31,5,FALSE)*K50,""))))</f>
        <v/>
      </c>
      <c r="R50" s="1529"/>
      <c r="S50" s="1526" t="str">
        <f t="shared" si="13"/>
        <v/>
      </c>
      <c r="T50" s="1529"/>
      <c r="U50" s="1526" t="str">
        <f t="shared" si="14"/>
        <v/>
      </c>
      <c r="V50" s="1530"/>
      <c r="W50" s="1502"/>
      <c r="X50" s="1530"/>
      <c r="Y50" s="1531"/>
      <c r="Z50" s="1540"/>
    </row>
    <row r="51" spans="1:26" s="40" customFormat="1">
      <c r="A51" s="1749"/>
      <c r="B51" s="2002"/>
      <c r="C51" s="2002"/>
      <c r="D51" s="2003"/>
      <c r="E51" s="2003"/>
      <c r="F51" s="1525"/>
      <c r="G51" s="1525"/>
      <c r="H51" s="1533"/>
      <c r="I51" s="1534" t="s">
        <v>920</v>
      </c>
      <c r="J51" s="1535"/>
      <c r="K51" s="1526" t="str">
        <f>IFERROR(IF(H51="","",VLOOKUP(H51,'Conversion factors'!$D$37:$G$42,4,FALSE)),"")</f>
        <v/>
      </c>
      <c r="L51" s="1529"/>
      <c r="M51" s="1528" t="str">
        <f t="shared" si="9"/>
        <v/>
      </c>
      <c r="N51" s="1529"/>
      <c r="O51" s="1528" t="str">
        <f>IF(N51="","",IF($F51="",N51,IF($F51="CO2e",N51*K51,IF($F51="GHG",N51*HLOOKUP($G51,GWP!$F$11:$I$31,4,FALSE)*K51,""))))</f>
        <v/>
      </c>
      <c r="P51" s="1529"/>
      <c r="Q51" s="1528" t="str">
        <f>IF(P51="","",IF($F51="",P51,IF($F51="CO2e",P51*K51,IF($F51="GHG",P51*HLOOKUP($G51,GWP!$F$11:$I$31,5,FALSE)*K51,""))))</f>
        <v/>
      </c>
      <c r="R51" s="1529"/>
      <c r="S51" s="1526" t="str">
        <f t="shared" si="10"/>
        <v/>
      </c>
      <c r="T51" s="1529"/>
      <c r="U51" s="1526" t="str">
        <f t="shared" si="11"/>
        <v/>
      </c>
      <c r="V51" s="1530"/>
      <c r="W51" s="1502"/>
      <c r="X51" s="1530"/>
      <c r="Y51" s="1531"/>
      <c r="Z51" s="1540"/>
    </row>
    <row r="52" spans="1:26" s="40" customFormat="1">
      <c r="A52" s="1749"/>
      <c r="B52" s="2002"/>
      <c r="C52" s="2002"/>
      <c r="D52" s="2003"/>
      <c r="E52" s="2003"/>
      <c r="F52" s="1525"/>
      <c r="G52" s="1525"/>
      <c r="H52" s="1533"/>
      <c r="I52" s="1534" t="s">
        <v>920</v>
      </c>
      <c r="J52" s="1535"/>
      <c r="K52" s="1526" t="str">
        <f>IFERROR(IF(H52="","",VLOOKUP(H52,'Conversion factors'!$D$37:$G$42,4,FALSE)),"")</f>
        <v/>
      </c>
      <c r="L52" s="1529"/>
      <c r="M52" s="1528" t="str">
        <f t="shared" si="9"/>
        <v/>
      </c>
      <c r="N52" s="1529"/>
      <c r="O52" s="1528" t="str">
        <f>IF(N52="","",IF($F52="",N52,IF($F52="CO2e",N52*K52,IF($F52="GHG",N52*HLOOKUP($G52,GWP!$F$11:$I$31,4,FALSE)*K52,""))))</f>
        <v/>
      </c>
      <c r="P52" s="1529"/>
      <c r="Q52" s="1528" t="str">
        <f>IF(P52="","",IF($F52="",P52,IF($F52="CO2e",P52*K52,IF($F52="GHG",P52*HLOOKUP($G52,GWP!$F$11:$I$31,5,FALSE)*K52,""))))</f>
        <v/>
      </c>
      <c r="R52" s="1529"/>
      <c r="S52" s="1526" t="str">
        <f t="shared" si="10"/>
        <v/>
      </c>
      <c r="T52" s="1529"/>
      <c r="U52" s="1526" t="str">
        <f t="shared" si="11"/>
        <v/>
      </c>
      <c r="V52" s="1530"/>
      <c r="W52" s="1502"/>
      <c r="X52" s="1530"/>
      <c r="Y52" s="1531"/>
      <c r="Z52" s="1540"/>
    </row>
    <row r="53" spans="1:26" s="40" customFormat="1">
      <c r="A53" s="1749"/>
      <c r="B53" s="2002"/>
      <c r="C53" s="2002"/>
      <c r="D53" s="2003"/>
      <c r="E53" s="2003"/>
      <c r="F53" s="1525"/>
      <c r="G53" s="1525"/>
      <c r="H53" s="1533"/>
      <c r="I53" s="1534" t="s">
        <v>920</v>
      </c>
      <c r="J53" s="1535"/>
      <c r="K53" s="1526" t="str">
        <f>IFERROR(IF(H53="","",VLOOKUP(H53,'Conversion factors'!$D$37:$G$42,4,FALSE)),"")</f>
        <v/>
      </c>
      <c r="L53" s="1529"/>
      <c r="M53" s="1528" t="str">
        <f t="shared" si="9"/>
        <v/>
      </c>
      <c r="N53" s="1529"/>
      <c r="O53" s="1528" t="str">
        <f>IF(N53="","",IF($F53="",N53,IF($F53="CO2e",N53*K53,IF($F53="GHG",N53*HLOOKUP($G53,GWP!$F$11:$I$31,4,FALSE)*K53,""))))</f>
        <v/>
      </c>
      <c r="P53" s="1529"/>
      <c r="Q53" s="1528" t="str">
        <f>IF(P53="","",IF($F53="",P53,IF($F53="CO2e",P53*K53,IF($F53="GHG",P53*HLOOKUP($G53,GWP!$F$11:$I$31,5,FALSE)*K53,""))))</f>
        <v/>
      </c>
      <c r="R53" s="1529"/>
      <c r="S53" s="1526" t="str">
        <f t="shared" si="10"/>
        <v/>
      </c>
      <c r="T53" s="1529"/>
      <c r="U53" s="1526" t="str">
        <f t="shared" si="11"/>
        <v/>
      </c>
      <c r="V53" s="1530"/>
      <c r="W53" s="1502"/>
      <c r="X53" s="1530"/>
      <c r="Y53" s="1531"/>
      <c r="Z53" s="1540"/>
    </row>
    <row r="54" spans="1:26" s="40" customFormat="1">
      <c r="A54" s="1749"/>
      <c r="B54" s="2002"/>
      <c r="C54" s="2002"/>
      <c r="D54" s="2003"/>
      <c r="E54" s="2003"/>
      <c r="F54" s="1525"/>
      <c r="G54" s="1525"/>
      <c r="H54" s="1533"/>
      <c r="I54" s="1534" t="s">
        <v>920</v>
      </c>
      <c r="J54" s="1535"/>
      <c r="K54" s="1526" t="str">
        <f>IFERROR(IF(H54="","",VLOOKUP(H54,'Conversion factors'!$D$37:$G$42,4,FALSE)),"")</f>
        <v/>
      </c>
      <c r="L54" s="1529"/>
      <c r="M54" s="1528" t="str">
        <f t="shared" si="9"/>
        <v/>
      </c>
      <c r="N54" s="1529"/>
      <c r="O54" s="1528" t="str">
        <f>IF(N54="","",IF($F54="",N54,IF($F54="CO2e",N54*K54,IF($F54="GHG",N54*HLOOKUP($G54,GWP!$F$11:$I$31,4,FALSE)*K54,""))))</f>
        <v/>
      </c>
      <c r="P54" s="1529"/>
      <c r="Q54" s="1528" t="str">
        <f>IF(P54="","",IF($F54="",P54,IF($F54="CO2e",P54*K54,IF($F54="GHG",P54*HLOOKUP($G54,GWP!$F$11:$I$31,5,FALSE)*K54,""))))</f>
        <v/>
      </c>
      <c r="R54" s="1529"/>
      <c r="S54" s="1526" t="str">
        <f t="shared" si="10"/>
        <v/>
      </c>
      <c r="T54" s="1529"/>
      <c r="U54" s="1526" t="str">
        <f t="shared" si="11"/>
        <v/>
      </c>
      <c r="V54" s="1530"/>
      <c r="W54" s="1502"/>
      <c r="X54" s="1530"/>
      <c r="Y54" s="1531"/>
      <c r="Z54" s="1540"/>
    </row>
    <row r="55" spans="1:26" s="40" customFormat="1">
      <c r="A55" s="1749"/>
      <c r="B55" s="2002"/>
      <c r="C55" s="2002"/>
      <c r="D55" s="2003"/>
      <c r="E55" s="2003"/>
      <c r="F55" s="1525"/>
      <c r="G55" s="1525"/>
      <c r="H55" s="1533"/>
      <c r="I55" s="1534" t="s">
        <v>920</v>
      </c>
      <c r="J55" s="1535"/>
      <c r="K55" s="1526" t="str">
        <f>IFERROR(IF(H55="","",VLOOKUP(H55,'Conversion factors'!$D$37:$G$42,4,FALSE)),"")</f>
        <v/>
      </c>
      <c r="L55" s="1529"/>
      <c r="M55" s="1528" t="str">
        <f t="shared" si="9"/>
        <v/>
      </c>
      <c r="N55" s="1529"/>
      <c r="O55" s="1528" t="str">
        <f>IF(N55="","",IF($F55="",N55,IF($F55="CO2e",N55*K55,IF($F55="GHG",N55*HLOOKUP($G55,GWP!$F$11:$I$31,4,FALSE)*K55,""))))</f>
        <v/>
      </c>
      <c r="P55" s="1529"/>
      <c r="Q55" s="1528" t="str">
        <f>IF(P55="","",IF($F55="",P55,IF($F55="CO2e",P55*K55,IF($F55="GHG",P55*HLOOKUP($G55,GWP!$F$11:$I$31,5,FALSE)*K55,""))))</f>
        <v/>
      </c>
      <c r="R55" s="1529"/>
      <c r="S55" s="1526" t="str">
        <f t="shared" si="10"/>
        <v/>
      </c>
      <c r="T55" s="1529"/>
      <c r="U55" s="1526" t="str">
        <f t="shared" si="11"/>
        <v/>
      </c>
      <c r="V55" s="1530"/>
      <c r="W55" s="1502"/>
      <c r="X55" s="1530"/>
      <c r="Y55" s="1531"/>
      <c r="Z55" s="1540"/>
    </row>
    <row r="56" spans="1:26" s="40" customFormat="1">
      <c r="A56" s="1749"/>
      <c r="B56" s="2002"/>
      <c r="C56" s="2002"/>
      <c r="D56" s="2003"/>
      <c r="E56" s="2003"/>
      <c r="F56" s="1525"/>
      <c r="G56" s="1525"/>
      <c r="H56" s="1533"/>
      <c r="I56" s="1534" t="s">
        <v>920</v>
      </c>
      <c r="J56" s="1535"/>
      <c r="K56" s="1526" t="str">
        <f>IFERROR(IF(H56="","",VLOOKUP(H56,'Conversion factors'!$D$37:$G$42,4,FALSE)),"")</f>
        <v/>
      </c>
      <c r="L56" s="1529"/>
      <c r="M56" s="1528" t="str">
        <f t="shared" si="9"/>
        <v/>
      </c>
      <c r="N56" s="1529"/>
      <c r="O56" s="1528" t="str">
        <f>IF(N56="","",IF($F56="",N56,IF($F56="CO2e",N56*K56,IF($F56="GHG",N56*HLOOKUP($G56,GWP!$F$11:$I$31,4,FALSE)*K56,""))))</f>
        <v/>
      </c>
      <c r="P56" s="1529"/>
      <c r="Q56" s="1528" t="str">
        <f>IF(P56="","",IF($F56="",P56,IF($F56="CO2e",P56*K56,IF($F56="GHG",P56*HLOOKUP($G56,GWP!$F$11:$I$31,5,FALSE)*K56,""))))</f>
        <v/>
      </c>
      <c r="R56" s="1529"/>
      <c r="S56" s="1526" t="str">
        <f t="shared" si="10"/>
        <v/>
      </c>
      <c r="T56" s="1529"/>
      <c r="U56" s="1526" t="str">
        <f t="shared" si="11"/>
        <v/>
      </c>
      <c r="V56" s="1530"/>
      <c r="W56" s="1502"/>
      <c r="X56" s="1530"/>
      <c r="Y56" s="1531"/>
      <c r="Z56" s="1540"/>
    </row>
    <row r="57" spans="1:26" s="40" customFormat="1">
      <c r="B57" s="596"/>
      <c r="F57" s="244"/>
      <c r="G57" s="244"/>
      <c r="H57" s="244"/>
      <c r="I57" s="244"/>
      <c r="J57" s="244"/>
      <c r="K57" s="244"/>
    </row>
    <row r="58" spans="1:26" s="40" customFormat="1">
      <c r="B58" s="245" t="s">
        <v>743</v>
      </c>
      <c r="C58" s="245"/>
      <c r="D58" s="245"/>
      <c r="E58" s="245"/>
      <c r="F58" s="245"/>
      <c r="G58" s="246"/>
      <c r="H58" s="246"/>
      <c r="I58" s="246"/>
      <c r="J58" s="246"/>
      <c r="K58" s="246"/>
    </row>
    <row r="59" spans="1:26" s="40" customFormat="1" ht="30" customHeight="1">
      <c r="B59" s="15"/>
      <c r="C59" s="15"/>
      <c r="D59" s="15"/>
      <c r="E59" s="15"/>
      <c r="F59" s="15"/>
      <c r="G59" s="15"/>
      <c r="H59" s="15"/>
      <c r="I59" s="15"/>
      <c r="J59" s="15"/>
      <c r="K59" s="15"/>
    </row>
    <row r="60" spans="1:26" s="40" customFormat="1">
      <c r="B60" s="596"/>
      <c r="F60" s="244"/>
      <c r="G60" s="244"/>
      <c r="H60" s="244"/>
      <c r="I60" s="244"/>
      <c r="J60" s="244"/>
      <c r="K60" s="244"/>
    </row>
    <row r="61" spans="1:26" s="40" customFormat="1">
      <c r="B61" s="596"/>
      <c r="F61" s="244"/>
      <c r="G61" s="244"/>
      <c r="H61" s="244"/>
      <c r="I61" s="244"/>
      <c r="J61" s="244"/>
      <c r="K61" s="244"/>
    </row>
    <row r="62" spans="1:26" s="40" customFormat="1">
      <c r="F62" s="244"/>
      <c r="G62" s="244"/>
      <c r="H62" s="244"/>
      <c r="I62" s="244"/>
      <c r="J62" s="244"/>
      <c r="K62" s="244"/>
    </row>
    <row r="63" spans="1:26" s="40" customFormat="1">
      <c r="F63" s="244"/>
      <c r="G63" s="244"/>
      <c r="H63" s="244"/>
      <c r="I63" s="244"/>
      <c r="J63" s="244"/>
      <c r="K63" s="244"/>
    </row>
    <row r="64" spans="1:26" s="40" customFormat="1">
      <c r="F64" s="244"/>
      <c r="G64" s="244"/>
      <c r="H64" s="244"/>
      <c r="I64" s="244"/>
      <c r="J64" s="244"/>
      <c r="K64" s="244"/>
    </row>
    <row r="65" spans="6:11" s="40" customFormat="1">
      <c r="F65" s="244"/>
      <c r="G65" s="244"/>
      <c r="H65" s="244"/>
      <c r="I65" s="244"/>
      <c r="J65" s="244"/>
      <c r="K65" s="244"/>
    </row>
    <row r="66" spans="6:11" s="40" customFormat="1">
      <c r="F66" s="244"/>
      <c r="G66" s="244"/>
      <c r="H66" s="244"/>
      <c r="I66" s="244"/>
      <c r="J66" s="244"/>
      <c r="K66" s="244"/>
    </row>
    <row r="67" spans="6:11" s="40" customFormat="1">
      <c r="F67" s="244"/>
      <c r="G67" s="244"/>
      <c r="H67" s="244"/>
      <c r="I67" s="244"/>
      <c r="J67" s="244"/>
      <c r="K67" s="244"/>
    </row>
    <row r="68" spans="6:11" s="40" customFormat="1">
      <c r="F68" s="244"/>
      <c r="G68" s="244"/>
      <c r="H68" s="244"/>
      <c r="I68" s="244"/>
      <c r="J68" s="244"/>
      <c r="K68" s="244"/>
    </row>
    <row r="69" spans="6:11" s="40" customFormat="1">
      <c r="F69" s="244"/>
      <c r="G69" s="244"/>
      <c r="H69" s="244"/>
      <c r="I69" s="244"/>
      <c r="J69" s="244"/>
      <c r="K69" s="244"/>
    </row>
    <row r="70" spans="6:11" s="40" customFormat="1">
      <c r="F70" s="244"/>
      <c r="G70" s="244"/>
      <c r="H70" s="244"/>
      <c r="I70" s="244"/>
      <c r="J70" s="244"/>
      <c r="K70" s="244"/>
    </row>
    <row r="71" spans="6:11" s="40" customFormat="1">
      <c r="F71" s="244"/>
      <c r="G71" s="244"/>
      <c r="H71" s="244"/>
      <c r="I71" s="244"/>
      <c r="J71" s="244"/>
      <c r="K71" s="244"/>
    </row>
    <row r="72" spans="6:11" s="40" customFormat="1">
      <c r="F72" s="244"/>
      <c r="G72" s="244"/>
      <c r="H72" s="244"/>
      <c r="I72" s="244"/>
      <c r="J72" s="244"/>
      <c r="K72" s="244"/>
    </row>
    <row r="73" spans="6:11" s="40" customFormat="1">
      <c r="F73" s="244"/>
      <c r="G73" s="244"/>
      <c r="H73" s="244"/>
      <c r="I73" s="244"/>
      <c r="J73" s="244"/>
      <c r="K73" s="244"/>
    </row>
    <row r="74" spans="6:11" s="40" customFormat="1">
      <c r="F74" s="244"/>
      <c r="G74" s="244"/>
      <c r="H74" s="244"/>
      <c r="I74" s="244"/>
      <c r="J74" s="244"/>
      <c r="K74" s="244"/>
    </row>
    <row r="75" spans="6:11" s="40" customFormat="1">
      <c r="F75" s="244"/>
      <c r="G75" s="244"/>
      <c r="H75" s="244"/>
      <c r="I75" s="244"/>
      <c r="J75" s="244"/>
      <c r="K75" s="244"/>
    </row>
    <row r="76" spans="6:11" s="40" customFormat="1">
      <c r="F76" s="244"/>
      <c r="G76" s="244"/>
      <c r="H76" s="244"/>
      <c r="I76" s="244"/>
      <c r="J76" s="244"/>
      <c r="K76" s="244"/>
    </row>
    <row r="77" spans="6:11" s="40" customFormat="1">
      <c r="F77" s="244"/>
      <c r="G77" s="244"/>
      <c r="H77" s="244"/>
      <c r="I77" s="244"/>
      <c r="J77" s="244"/>
      <c r="K77" s="244"/>
    </row>
    <row r="78" spans="6:11" s="40" customFormat="1">
      <c r="F78" s="244"/>
      <c r="G78" s="244"/>
      <c r="H78" s="244"/>
      <c r="I78" s="244"/>
      <c r="J78" s="244"/>
      <c r="K78" s="244"/>
    </row>
    <row r="79" spans="6:11" s="40" customFormat="1">
      <c r="F79" s="244"/>
      <c r="G79" s="244"/>
      <c r="H79" s="244"/>
      <c r="I79" s="244"/>
      <c r="J79" s="244"/>
      <c r="K79" s="244"/>
    </row>
    <row r="80" spans="6:11" s="40" customFormat="1">
      <c r="F80" s="244"/>
      <c r="G80" s="244"/>
      <c r="H80" s="244"/>
      <c r="I80" s="244"/>
      <c r="J80" s="244"/>
      <c r="K80" s="244"/>
    </row>
    <row r="81" spans="6:11" s="40" customFormat="1">
      <c r="F81" s="244"/>
      <c r="G81" s="244"/>
      <c r="H81" s="244"/>
      <c r="I81" s="244"/>
      <c r="J81" s="244"/>
      <c r="K81" s="244"/>
    </row>
    <row r="82" spans="6:11" s="40" customFormat="1">
      <c r="F82" s="244"/>
      <c r="G82" s="244"/>
      <c r="H82" s="244"/>
      <c r="I82" s="244"/>
      <c r="J82" s="244"/>
      <c r="K82" s="244"/>
    </row>
    <row r="83" spans="6:11" s="40" customFormat="1">
      <c r="F83" s="244"/>
      <c r="G83" s="244"/>
      <c r="H83" s="244"/>
      <c r="I83" s="244"/>
      <c r="J83" s="244"/>
      <c r="K83" s="244"/>
    </row>
    <row r="84" spans="6:11" s="40" customFormat="1">
      <c r="F84" s="244"/>
      <c r="G84" s="244"/>
      <c r="H84" s="244"/>
      <c r="I84" s="244"/>
      <c r="J84" s="244"/>
      <c r="K84" s="244"/>
    </row>
    <row r="85" spans="6:11" s="40" customFormat="1">
      <c r="F85" s="244"/>
      <c r="G85" s="244"/>
      <c r="H85" s="244"/>
      <c r="I85" s="244"/>
      <c r="J85" s="244"/>
      <c r="K85" s="244"/>
    </row>
    <row r="86" spans="6:11" s="40" customFormat="1">
      <c r="F86" s="244"/>
      <c r="G86" s="244"/>
      <c r="H86" s="244"/>
      <c r="I86" s="244"/>
      <c r="J86" s="244"/>
      <c r="K86" s="244"/>
    </row>
    <row r="87" spans="6:11" s="40" customFormat="1">
      <c r="F87" s="244"/>
      <c r="G87" s="244"/>
      <c r="H87" s="244"/>
      <c r="I87" s="244"/>
      <c r="J87" s="244"/>
      <c r="K87" s="244"/>
    </row>
    <row r="88" spans="6:11" s="40" customFormat="1">
      <c r="F88" s="244"/>
      <c r="G88" s="244"/>
      <c r="H88" s="244"/>
      <c r="I88" s="244"/>
      <c r="J88" s="244"/>
      <c r="K88" s="244"/>
    </row>
    <row r="89" spans="6:11" s="40" customFormat="1">
      <c r="F89" s="244"/>
      <c r="G89" s="244"/>
      <c r="H89" s="244"/>
      <c r="I89" s="244"/>
      <c r="J89" s="244"/>
      <c r="K89" s="244"/>
    </row>
    <row r="90" spans="6:11" s="40" customFormat="1">
      <c r="F90" s="244"/>
      <c r="G90" s="244"/>
      <c r="H90" s="244"/>
      <c r="I90" s="244"/>
      <c r="J90" s="244"/>
      <c r="K90" s="244"/>
    </row>
    <row r="91" spans="6:11" s="40" customFormat="1">
      <c r="F91" s="244"/>
      <c r="G91" s="244"/>
      <c r="H91" s="244"/>
      <c r="I91" s="244"/>
      <c r="J91" s="244"/>
      <c r="K91" s="244"/>
    </row>
    <row r="92" spans="6:11" s="40" customFormat="1">
      <c r="F92" s="244"/>
      <c r="G92" s="244"/>
      <c r="H92" s="244"/>
      <c r="I92" s="244"/>
      <c r="J92" s="244"/>
      <c r="K92" s="244"/>
    </row>
    <row r="93" spans="6:11" s="40" customFormat="1">
      <c r="F93" s="244"/>
      <c r="G93" s="244"/>
      <c r="H93" s="244"/>
      <c r="I93" s="244"/>
      <c r="J93" s="244"/>
      <c r="K93" s="244"/>
    </row>
    <row r="94" spans="6:11" s="40" customFormat="1">
      <c r="F94" s="244"/>
      <c r="G94" s="244"/>
      <c r="H94" s="244"/>
      <c r="I94" s="244"/>
      <c r="J94" s="244"/>
      <c r="K94" s="244"/>
    </row>
    <row r="95" spans="6:11" s="40" customFormat="1">
      <c r="F95" s="244"/>
      <c r="G95" s="244"/>
      <c r="H95" s="244"/>
      <c r="I95" s="244"/>
      <c r="J95" s="244"/>
      <c r="K95" s="244"/>
    </row>
    <row r="96" spans="6:11" s="40" customFormat="1">
      <c r="F96" s="244"/>
      <c r="G96" s="244"/>
      <c r="H96" s="244"/>
      <c r="I96" s="244"/>
      <c r="J96" s="244"/>
      <c r="K96" s="244"/>
    </row>
    <row r="97" spans="6:11" s="40" customFormat="1">
      <c r="F97" s="244"/>
      <c r="G97" s="244"/>
      <c r="H97" s="244"/>
      <c r="I97" s="244"/>
      <c r="J97" s="244"/>
      <c r="K97" s="244"/>
    </row>
    <row r="98" spans="6:11" s="40" customFormat="1">
      <c r="F98" s="244"/>
      <c r="G98" s="244"/>
      <c r="H98" s="244"/>
      <c r="I98" s="244"/>
      <c r="J98" s="244"/>
      <c r="K98" s="244"/>
    </row>
    <row r="99" spans="6:11" s="40" customFormat="1">
      <c r="F99" s="244"/>
      <c r="G99" s="244"/>
      <c r="H99" s="244"/>
      <c r="I99" s="244"/>
      <c r="J99" s="244"/>
      <c r="K99" s="244"/>
    </row>
    <row r="100" spans="6:11" s="40" customFormat="1">
      <c r="F100" s="244"/>
      <c r="G100" s="244"/>
      <c r="H100" s="244"/>
      <c r="I100" s="244"/>
      <c r="J100" s="244"/>
      <c r="K100" s="244"/>
    </row>
    <row r="101" spans="6:11" s="40" customFormat="1">
      <c r="F101" s="244"/>
      <c r="G101" s="244"/>
      <c r="H101" s="244"/>
      <c r="I101" s="244"/>
      <c r="J101" s="244"/>
      <c r="K101" s="244"/>
    </row>
    <row r="102" spans="6:11" s="40" customFormat="1">
      <c r="F102" s="244"/>
      <c r="G102" s="244"/>
      <c r="H102" s="244"/>
      <c r="I102" s="244"/>
      <c r="J102" s="244"/>
      <c r="K102" s="244"/>
    </row>
    <row r="103" spans="6:11" s="40" customFormat="1">
      <c r="F103" s="244"/>
      <c r="G103" s="244"/>
      <c r="H103" s="244"/>
      <c r="I103" s="244"/>
      <c r="J103" s="244"/>
      <c r="K103" s="244"/>
    </row>
    <row r="104" spans="6:11" s="40" customFormat="1">
      <c r="F104" s="244"/>
      <c r="G104" s="244"/>
      <c r="H104" s="244"/>
      <c r="I104" s="244"/>
      <c r="J104" s="244"/>
      <c r="K104" s="244"/>
    </row>
    <row r="105" spans="6:11" s="40" customFormat="1">
      <c r="F105" s="244"/>
      <c r="G105" s="244"/>
      <c r="H105" s="244"/>
      <c r="I105" s="244"/>
      <c r="J105" s="244"/>
      <c r="K105" s="244"/>
    </row>
    <row r="106" spans="6:11" s="40" customFormat="1">
      <c r="F106" s="244"/>
      <c r="G106" s="244"/>
      <c r="H106" s="244"/>
      <c r="I106" s="244"/>
      <c r="J106" s="244"/>
      <c r="K106" s="244"/>
    </row>
    <row r="107" spans="6:11" s="40" customFormat="1">
      <c r="F107" s="244"/>
      <c r="G107" s="244"/>
      <c r="H107" s="244"/>
      <c r="I107" s="244"/>
      <c r="J107" s="244"/>
      <c r="K107" s="244"/>
    </row>
    <row r="108" spans="6:11" s="40" customFormat="1">
      <c r="F108" s="244"/>
      <c r="G108" s="244"/>
      <c r="H108" s="244"/>
      <c r="I108" s="244"/>
      <c r="J108" s="244"/>
      <c r="K108" s="244"/>
    </row>
    <row r="109" spans="6:11" s="40" customFormat="1">
      <c r="F109" s="244"/>
      <c r="G109" s="244"/>
      <c r="H109" s="244"/>
      <c r="I109" s="244"/>
      <c r="J109" s="244"/>
      <c r="K109" s="244"/>
    </row>
    <row r="110" spans="6:11" s="40" customFormat="1">
      <c r="F110" s="244"/>
      <c r="G110" s="244"/>
      <c r="H110" s="244"/>
      <c r="I110" s="244"/>
      <c r="J110" s="244"/>
      <c r="K110" s="244"/>
    </row>
    <row r="111" spans="6:11" s="40" customFormat="1">
      <c r="F111" s="244"/>
      <c r="G111" s="244"/>
      <c r="H111" s="244"/>
      <c r="I111" s="244"/>
      <c r="J111" s="244"/>
      <c r="K111" s="244"/>
    </row>
    <row r="112" spans="6:11" s="40" customFormat="1">
      <c r="F112" s="244"/>
      <c r="G112" s="244"/>
      <c r="H112" s="244"/>
      <c r="I112" s="244"/>
      <c r="J112" s="244"/>
      <c r="K112" s="244"/>
    </row>
    <row r="113" spans="6:11" s="40" customFormat="1">
      <c r="F113" s="244"/>
      <c r="G113" s="244"/>
      <c r="H113" s="244"/>
      <c r="I113" s="244"/>
      <c r="J113" s="244"/>
      <c r="K113" s="244"/>
    </row>
    <row r="114" spans="6:11" s="40" customFormat="1">
      <c r="F114" s="244"/>
      <c r="G114" s="244"/>
      <c r="H114" s="244"/>
      <c r="I114" s="244"/>
      <c r="J114" s="244"/>
      <c r="K114" s="244"/>
    </row>
    <row r="115" spans="6:11" s="40" customFormat="1">
      <c r="F115" s="244"/>
      <c r="G115" s="244"/>
      <c r="H115" s="244"/>
      <c r="I115" s="244"/>
      <c r="J115" s="244"/>
      <c r="K115" s="244"/>
    </row>
    <row r="116" spans="6:11" s="40" customFormat="1">
      <c r="F116" s="244"/>
      <c r="G116" s="244"/>
      <c r="H116" s="244"/>
      <c r="I116" s="244"/>
      <c r="J116" s="244"/>
      <c r="K116" s="244"/>
    </row>
    <row r="117" spans="6:11" s="40" customFormat="1">
      <c r="F117" s="244"/>
      <c r="G117" s="244"/>
      <c r="H117" s="244"/>
      <c r="I117" s="244"/>
      <c r="J117" s="244"/>
      <c r="K117" s="244"/>
    </row>
    <row r="118" spans="6:11" s="40" customFormat="1">
      <c r="F118" s="244"/>
      <c r="G118" s="244"/>
      <c r="H118" s="244"/>
      <c r="I118" s="244"/>
      <c r="J118" s="244"/>
      <c r="K118" s="244"/>
    </row>
    <row r="119" spans="6:11" s="40" customFormat="1">
      <c r="F119" s="244"/>
      <c r="G119" s="244"/>
      <c r="H119" s="244"/>
      <c r="I119" s="244"/>
      <c r="J119" s="244"/>
      <c r="K119" s="244"/>
    </row>
    <row r="120" spans="6:11" s="40" customFormat="1">
      <c r="F120" s="244"/>
      <c r="G120" s="244"/>
      <c r="H120" s="244"/>
      <c r="I120" s="244"/>
      <c r="J120" s="244"/>
      <c r="K120" s="244"/>
    </row>
    <row r="121" spans="6:11" s="40" customFormat="1">
      <c r="F121" s="244"/>
      <c r="G121" s="244"/>
      <c r="H121" s="244"/>
      <c r="I121" s="244"/>
      <c r="J121" s="244"/>
      <c r="K121" s="244"/>
    </row>
  </sheetData>
  <mergeCells count="111">
    <mergeCell ref="D15:E15"/>
    <mergeCell ref="B20:C20"/>
    <mergeCell ref="D20:E20"/>
    <mergeCell ref="B21:C21"/>
    <mergeCell ref="D21:E21"/>
    <mergeCell ref="B18:C18"/>
    <mergeCell ref="D18:E18"/>
    <mergeCell ref="B19:C19"/>
    <mergeCell ref="D19:E19"/>
    <mergeCell ref="B17:C17"/>
    <mergeCell ref="D17:E17"/>
    <mergeCell ref="B15:C15"/>
    <mergeCell ref="D16:E16"/>
    <mergeCell ref="Z13:Z14"/>
    <mergeCell ref="Y13:Y14"/>
    <mergeCell ref="F13:F14"/>
    <mergeCell ref="L13:U13"/>
    <mergeCell ref="H13:J14"/>
    <mergeCell ref="K13:K14"/>
    <mergeCell ref="X13:X14"/>
    <mergeCell ref="G13:G14"/>
    <mergeCell ref="W13:W14"/>
    <mergeCell ref="V13:V14"/>
    <mergeCell ref="L2:M2"/>
    <mergeCell ref="B13:C14"/>
    <mergeCell ref="D13:E14"/>
    <mergeCell ref="B8:Q11"/>
    <mergeCell ref="P2:Q2"/>
    <mergeCell ref="D3:E3"/>
    <mergeCell ref="F3:G3"/>
    <mergeCell ref="N2:O2"/>
    <mergeCell ref="H2:K2"/>
    <mergeCell ref="C2:C3"/>
    <mergeCell ref="N3:O3"/>
    <mergeCell ref="P3:Q3"/>
    <mergeCell ref="H3:K3"/>
    <mergeCell ref="L3:M3"/>
    <mergeCell ref="B2:B3"/>
    <mergeCell ref="D2:E2"/>
    <mergeCell ref="F2:G2"/>
    <mergeCell ref="B31:C31"/>
    <mergeCell ref="D31:E31"/>
    <mergeCell ref="B32:C32"/>
    <mergeCell ref="D32:E32"/>
    <mergeCell ref="B33:C33"/>
    <mergeCell ref="D33:E33"/>
    <mergeCell ref="B39:C39"/>
    <mergeCell ref="D39:E39"/>
    <mergeCell ref="B34:C34"/>
    <mergeCell ref="D34:E34"/>
    <mergeCell ref="B35:C35"/>
    <mergeCell ref="D35:E35"/>
    <mergeCell ref="B36:C36"/>
    <mergeCell ref="D36:E36"/>
    <mergeCell ref="B37:C37"/>
    <mergeCell ref="D37:E37"/>
    <mergeCell ref="B38:C38"/>
    <mergeCell ref="D38:E38"/>
    <mergeCell ref="D56:E56"/>
    <mergeCell ref="B51:C51"/>
    <mergeCell ref="D51:E51"/>
    <mergeCell ref="B52:C52"/>
    <mergeCell ref="D52:E52"/>
    <mergeCell ref="B53:C53"/>
    <mergeCell ref="D53:E53"/>
    <mergeCell ref="B40:C40"/>
    <mergeCell ref="D40:E40"/>
    <mergeCell ref="B41:C41"/>
    <mergeCell ref="D41:E41"/>
    <mergeCell ref="B42:C42"/>
    <mergeCell ref="D42:E42"/>
    <mergeCell ref="B45:C45"/>
    <mergeCell ref="D45:E45"/>
    <mergeCell ref="B46:C46"/>
    <mergeCell ref="D46:E46"/>
    <mergeCell ref="B43:C43"/>
    <mergeCell ref="D43:E43"/>
    <mergeCell ref="B44:C44"/>
    <mergeCell ref="D44:E44"/>
    <mergeCell ref="B16:C16"/>
    <mergeCell ref="D30:E30"/>
    <mergeCell ref="B30:C30"/>
    <mergeCell ref="B25:C25"/>
    <mergeCell ref="D25:E25"/>
    <mergeCell ref="B26:C26"/>
    <mergeCell ref="D26:E26"/>
    <mergeCell ref="B27:C27"/>
    <mergeCell ref="D27:E27"/>
    <mergeCell ref="B28:C28"/>
    <mergeCell ref="D28:E28"/>
    <mergeCell ref="B29:C29"/>
    <mergeCell ref="D29:E29"/>
    <mergeCell ref="B22:C22"/>
    <mergeCell ref="D22:E22"/>
    <mergeCell ref="B23:C23"/>
    <mergeCell ref="D23:E23"/>
    <mergeCell ref="B24:C24"/>
    <mergeCell ref="D24:E24"/>
    <mergeCell ref="B56:C56"/>
    <mergeCell ref="B47:C47"/>
    <mergeCell ref="D47:E47"/>
    <mergeCell ref="B48:C48"/>
    <mergeCell ref="D48:E48"/>
    <mergeCell ref="B49:C49"/>
    <mergeCell ref="D49:E49"/>
    <mergeCell ref="B50:C50"/>
    <mergeCell ref="D50:E50"/>
    <mergeCell ref="B54:C54"/>
    <mergeCell ref="D54:E54"/>
    <mergeCell ref="B55:C55"/>
    <mergeCell ref="D55:E55"/>
  </mergeCells>
  <phoneticPr fontId="13" type="noConversion"/>
  <conditionalFormatting sqref="K17">
    <cfRule type="notContainsBlanks" dxfId="641" priority="58">
      <formula>LEN(TRIM(K17))&gt;0</formula>
    </cfRule>
  </conditionalFormatting>
  <conditionalFormatting sqref="K18">
    <cfRule type="notContainsBlanks" dxfId="640" priority="9">
      <formula>LEN(TRIM(K18))&gt;0</formula>
    </cfRule>
  </conditionalFormatting>
  <conditionalFormatting sqref="K19">
    <cfRule type="notContainsBlanks" dxfId="639" priority="8">
      <formula>LEN(TRIM(K19))&gt;0</formula>
    </cfRule>
  </conditionalFormatting>
  <conditionalFormatting sqref="K20">
    <cfRule type="notContainsBlanks" dxfId="638" priority="7">
      <formula>LEN(TRIM(K20))&gt;0</formula>
    </cfRule>
  </conditionalFormatting>
  <conditionalFormatting sqref="K21">
    <cfRule type="notContainsBlanks" dxfId="637" priority="6">
      <formula>LEN(TRIM(K21))&gt;0</formula>
    </cfRule>
  </conditionalFormatting>
  <conditionalFormatting sqref="K22">
    <cfRule type="notContainsBlanks" dxfId="636" priority="5">
      <formula>LEN(TRIM(K22))&gt;0</formula>
    </cfRule>
  </conditionalFormatting>
  <conditionalFormatting sqref="K23">
    <cfRule type="notContainsBlanks" dxfId="635" priority="4">
      <formula>LEN(TRIM(K23))&gt;0</formula>
    </cfRule>
  </conditionalFormatting>
  <conditionalFormatting sqref="K24">
    <cfRule type="notContainsBlanks" dxfId="634" priority="3">
      <formula>LEN(TRIM(K24))&gt;0</formula>
    </cfRule>
  </conditionalFormatting>
  <conditionalFormatting sqref="K25:K46 K51:K56">
    <cfRule type="notContainsBlanks" dxfId="633" priority="2">
      <formula>LEN(TRIM(K25))&gt;0</formula>
    </cfRule>
  </conditionalFormatting>
  <conditionalFormatting sqref="K47:K50">
    <cfRule type="notContainsBlanks" dxfId="632" priority="1">
      <formula>LEN(TRIM(K47))&gt;0</formula>
    </cfRule>
  </conditionalFormatting>
  <dataValidations count="6">
    <dataValidation type="list" allowBlank="1" showInputMessage="1" showErrorMessage="1" sqref="X17:X56">
      <formula1>Scale</formula1>
    </dataValidation>
    <dataValidation type="list" allowBlank="1" showInputMessage="1" showErrorMessage="1" sqref="Z17:Z56">
      <formula1>DataSource</formula1>
    </dataValidation>
    <dataValidation type="list" allowBlank="1" showInputMessage="1" showErrorMessage="1" sqref="G17:G56">
      <formula1>GWP_2</formula1>
    </dataValidation>
    <dataValidation type="list" allowBlank="1" showInputMessage="1" showErrorMessage="1" sqref="F17:F56">
      <formula1>EF_Type</formula1>
    </dataValidation>
    <dataValidation type="list" allowBlank="1" showInputMessage="1" showErrorMessage="1" sqref="H17:H56">
      <formula1>EF_Mass_units</formula1>
    </dataValidation>
    <dataValidation type="list" allowBlank="1" showInputMessage="1" showErrorMessage="1" sqref="V17:V56">
      <formula1>DQ</formula1>
    </dataValidation>
  </dataValidations>
  <hyperlinks>
    <hyperlink ref="D3" location="'City information'!A1" display="City information"/>
    <hyperlink ref="E3" location="'City information'!A1" display="'City information'!A1"/>
    <hyperlink ref="N2" location="Summary!A1" display="Results"/>
    <hyperlink ref="F3" location="'Data sources'!A1" display="Data sources"/>
    <hyperlink ref="G3" location="'Data sources'!A1" display="'Data sources'!A1"/>
    <hyperlink ref="H2" location="Inventory!A1" display="Inventory"/>
    <hyperlink ref="L2" location="Calculators!A1" display="Calculators"/>
    <hyperlink ref="M2" location="Calculators!A1" display="Calculators!A1"/>
    <hyperlink ref="P2" location="Analysis!A1" display="Analysis"/>
    <hyperlink ref="Q2" location="Analysis!A1" display="Analysis!A1"/>
    <hyperlink ref="D2" location="Home!A1" display="Introduction"/>
    <hyperlink ref="E2" location="Home!A1" display="Home!A1"/>
    <hyperlink ref="L3" location="'F-Gases'!A1" display="Emission factors_x000d_HFCs, PFCs, SF6 and NF3"/>
    <hyperlink ref="M3" location="'F-Gases'!A1" display="'F-Gases'!A1"/>
    <hyperlink ref="N3" location="Database!A1" display="Emission factors_x000d_IPCC database"/>
    <hyperlink ref="O3" location="Database!A1" display="Database!A1"/>
    <hyperlink ref="P3" location="Blank!A1" display="Blank"/>
    <hyperlink ref="Q3" location="Blank!A1" display="Blank!A1"/>
    <hyperlink ref="H3" location="'Emission factors'!A1" display="Emission factors"/>
  </hyperlinks>
  <pageMargins left="0.75" right="0.75" top="1" bottom="1" header="0.5" footer="0.5"/>
  <pageSetup paperSize="9" orientation="portrait" horizontalDpi="4294967292" verticalDpi="4294967292"/>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Lists!$BW$3:$BW$35</xm:f>
          </x14:formula1>
          <xm:sqref>W17:W56</xm:sqref>
        </x14:dataValidation>
      </x14:dataValidations>
    </ex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tabColor theme="4" tint="0.39997558519241921"/>
  </sheetPr>
  <dimension ref="A1:DU106"/>
  <sheetViews>
    <sheetView showRowColHeaders="0" workbookViewId="0">
      <selection activeCell="N3" sqref="N3:O3"/>
    </sheetView>
  </sheetViews>
  <sheetFormatPr baseColWidth="10" defaultColWidth="0" defaultRowHeight="15" x14ac:dyDescent="0"/>
  <cols>
    <col min="1" max="1" width="4.83203125" style="42" customWidth="1"/>
    <col min="2" max="5" width="12.83203125" style="42" customWidth="1"/>
    <col min="6" max="7" width="12.83203125" style="248" customWidth="1"/>
    <col min="8" max="8" width="5.1640625" style="248" customWidth="1"/>
    <col min="9" max="9" width="1.83203125" style="248" customWidth="1"/>
    <col min="10" max="10" width="5.83203125" style="248" customWidth="1"/>
    <col min="11" max="11" width="12.83203125" style="248" customWidth="1"/>
    <col min="12" max="56" width="12.83203125" style="42" customWidth="1"/>
    <col min="57" max="58" width="54.5" style="42" customWidth="1"/>
    <col min="59" max="59" width="4.83203125" style="40" customWidth="1"/>
    <col min="60" max="107" width="0" style="40" hidden="1" customWidth="1"/>
    <col min="108" max="125" width="0" style="42" hidden="1" customWidth="1"/>
    <col min="126" max="16384" width="10.83203125" style="42" hidden="1"/>
  </cols>
  <sheetData>
    <row r="1" spans="1:107" s="15" customFormat="1">
      <c r="A1" s="498"/>
      <c r="B1" s="498"/>
      <c r="C1" s="498"/>
      <c r="D1" s="498"/>
      <c r="E1" s="498"/>
      <c r="F1" s="498"/>
      <c r="G1" s="498"/>
      <c r="H1" s="498"/>
      <c r="I1" s="498"/>
      <c r="J1" s="498"/>
      <c r="K1" s="498"/>
      <c r="L1" s="498"/>
      <c r="M1" s="498"/>
      <c r="N1" s="498"/>
      <c r="O1" s="498"/>
      <c r="P1" s="498"/>
      <c r="Q1" s="498"/>
      <c r="R1" s="498"/>
      <c r="S1" s="498"/>
      <c r="T1" s="498"/>
      <c r="U1" s="498"/>
      <c r="V1" s="498"/>
      <c r="W1" s="498"/>
      <c r="X1" s="498"/>
      <c r="Y1" s="498"/>
      <c r="Z1" s="498"/>
      <c r="AA1" s="498"/>
      <c r="AB1" s="498"/>
      <c r="AC1" s="498"/>
      <c r="AD1" s="498"/>
      <c r="AE1" s="498"/>
      <c r="AF1" s="498"/>
      <c r="AG1" s="498"/>
      <c r="AH1" s="498"/>
      <c r="AI1" s="498"/>
      <c r="AJ1" s="498"/>
      <c r="AK1" s="498"/>
      <c r="AL1" s="498"/>
      <c r="AM1" s="498"/>
      <c r="AN1" s="498"/>
      <c r="AO1" s="498"/>
      <c r="AP1" s="498"/>
      <c r="AQ1" s="498"/>
      <c r="AR1" s="498"/>
      <c r="AS1" s="498"/>
      <c r="AT1" s="498"/>
      <c r="AU1" s="498"/>
      <c r="AV1" s="498"/>
      <c r="AW1" s="498"/>
      <c r="AX1" s="498"/>
      <c r="AY1" s="498"/>
      <c r="AZ1" s="498"/>
      <c r="BA1" s="498"/>
      <c r="BB1" s="498"/>
      <c r="BC1" s="498"/>
      <c r="BD1" s="498"/>
      <c r="BE1" s="498"/>
      <c r="BF1" s="498"/>
      <c r="BG1" s="498"/>
    </row>
    <row r="2" spans="1:107" s="15" customFormat="1" ht="31" customHeight="1">
      <c r="A2" s="494"/>
      <c r="B2" s="1817" t="s">
        <v>1965</v>
      </c>
      <c r="C2" s="1819">
        <v>400</v>
      </c>
      <c r="D2" s="1849" t="s">
        <v>1555</v>
      </c>
      <c r="E2" s="1850"/>
      <c r="F2" s="1847" t="s">
        <v>1563</v>
      </c>
      <c r="G2" s="1848"/>
      <c r="H2" s="1849" t="s">
        <v>794</v>
      </c>
      <c r="I2" s="2011"/>
      <c r="J2" s="2011"/>
      <c r="K2" s="1850"/>
      <c r="L2" s="1849" t="s">
        <v>1570</v>
      </c>
      <c r="M2" s="1850"/>
      <c r="N2" s="1849" t="s">
        <v>1564</v>
      </c>
      <c r="O2" s="1850"/>
      <c r="P2" s="1849" t="s">
        <v>1602</v>
      </c>
      <c r="Q2" s="1850"/>
      <c r="R2" s="736"/>
      <c r="S2" s="736"/>
      <c r="T2" s="736"/>
      <c r="U2" s="736"/>
      <c r="V2" s="736"/>
      <c r="W2" s="736"/>
      <c r="X2" s="736"/>
      <c r="Y2" s="736"/>
      <c r="Z2" s="736"/>
      <c r="AA2" s="736"/>
      <c r="AB2" s="736"/>
      <c r="AC2" s="736"/>
      <c r="AD2" s="736"/>
      <c r="AE2" s="736"/>
      <c r="AF2" s="736"/>
      <c r="AG2" s="736"/>
      <c r="AH2" s="736"/>
      <c r="AI2" s="736"/>
      <c r="AJ2" s="736"/>
      <c r="AK2" s="736"/>
      <c r="AL2" s="736"/>
      <c r="AM2" s="736"/>
      <c r="AN2" s="736"/>
      <c r="AO2" s="736"/>
      <c r="AP2" s="736"/>
      <c r="AQ2" s="736"/>
      <c r="AR2" s="736"/>
      <c r="AS2" s="736"/>
      <c r="AT2" s="736"/>
      <c r="AU2" s="736"/>
      <c r="AV2" s="736"/>
      <c r="AW2" s="736"/>
      <c r="AX2" s="736"/>
      <c r="AY2" s="736"/>
      <c r="AZ2" s="736"/>
      <c r="BA2" s="736"/>
      <c r="BB2" s="736"/>
      <c r="BC2" s="896"/>
      <c r="BD2" s="736"/>
      <c r="BE2" s="736"/>
      <c r="BF2" s="736"/>
      <c r="BG2" s="736"/>
    </row>
    <row r="3" spans="1:107" s="15" customFormat="1" ht="31" customHeight="1">
      <c r="A3" s="494"/>
      <c r="B3" s="1818"/>
      <c r="C3" s="1820"/>
      <c r="D3" s="1843" t="s">
        <v>1007</v>
      </c>
      <c r="E3" s="1844"/>
      <c r="F3" s="1843" t="s">
        <v>1566</v>
      </c>
      <c r="G3" s="1844"/>
      <c r="H3" s="1968" t="s">
        <v>2515</v>
      </c>
      <c r="I3" s="2027"/>
      <c r="J3" s="2027"/>
      <c r="K3" s="1844"/>
      <c r="L3" s="2032" t="s">
        <v>2516</v>
      </c>
      <c r="M3" s="2033"/>
      <c r="N3" s="2028" t="s">
        <v>2512</v>
      </c>
      <c r="O3" s="2029"/>
      <c r="P3" s="2030" t="s">
        <v>2436</v>
      </c>
      <c r="Q3" s="2031"/>
      <c r="R3" s="496"/>
      <c r="S3" s="496"/>
      <c r="T3" s="496"/>
      <c r="U3" s="496"/>
      <c r="V3" s="496"/>
      <c r="W3" s="496"/>
      <c r="X3" s="496"/>
      <c r="Y3" s="496"/>
      <c r="Z3" s="496"/>
      <c r="AA3" s="496"/>
      <c r="AB3" s="496"/>
      <c r="AC3" s="496"/>
      <c r="AD3" s="496"/>
      <c r="AE3" s="496"/>
      <c r="AF3" s="496"/>
      <c r="AG3" s="496"/>
      <c r="AH3" s="496"/>
      <c r="AI3" s="496"/>
      <c r="AJ3" s="496"/>
      <c r="AK3" s="496"/>
      <c r="AL3" s="496"/>
      <c r="AM3" s="496"/>
      <c r="AN3" s="496"/>
      <c r="AO3" s="496"/>
      <c r="AP3" s="496"/>
      <c r="AQ3" s="496"/>
      <c r="AR3" s="496"/>
      <c r="AS3" s="496"/>
      <c r="AT3" s="496"/>
      <c r="AU3" s="496"/>
      <c r="AV3" s="496"/>
      <c r="AW3" s="496"/>
      <c r="AX3" s="496"/>
      <c r="AY3" s="496"/>
      <c r="AZ3" s="496"/>
      <c r="BA3" s="496"/>
      <c r="BB3" s="496"/>
      <c r="BC3" s="496"/>
      <c r="BD3" s="496"/>
      <c r="BE3" s="496"/>
      <c r="BF3" s="496"/>
      <c r="BG3" s="496"/>
    </row>
    <row r="4" spans="1:107" s="15" customFormat="1" ht="15" customHeight="1">
      <c r="A4" s="494"/>
      <c r="B4" s="492"/>
      <c r="C4" s="492"/>
      <c r="D4" s="495"/>
      <c r="E4" s="495"/>
      <c r="F4" s="497"/>
      <c r="G4" s="497"/>
      <c r="H4" s="497"/>
      <c r="I4" s="497"/>
      <c r="J4" s="497"/>
      <c r="K4" s="497"/>
      <c r="L4" s="497"/>
      <c r="M4" s="497"/>
      <c r="N4" s="496"/>
      <c r="O4" s="496"/>
      <c r="P4" s="496"/>
      <c r="Q4" s="496"/>
      <c r="R4" s="496"/>
      <c r="S4" s="496"/>
      <c r="T4" s="496"/>
      <c r="U4" s="496"/>
      <c r="V4" s="496"/>
      <c r="W4" s="496"/>
      <c r="X4" s="496"/>
      <c r="Y4" s="496"/>
      <c r="Z4" s="496"/>
      <c r="AA4" s="496"/>
      <c r="AB4" s="496"/>
      <c r="AC4" s="496"/>
      <c r="AD4" s="496"/>
      <c r="AE4" s="496"/>
      <c r="AF4" s="496"/>
      <c r="AG4" s="496"/>
      <c r="AH4" s="496"/>
      <c r="AI4" s="496"/>
      <c r="AJ4" s="496"/>
      <c r="AK4" s="496"/>
      <c r="AL4" s="496"/>
      <c r="AM4" s="496"/>
      <c r="AN4" s="496"/>
      <c r="AO4" s="496"/>
      <c r="AP4" s="496"/>
      <c r="AQ4" s="496"/>
      <c r="AR4" s="496"/>
      <c r="AS4" s="496"/>
      <c r="AT4" s="496"/>
      <c r="AU4" s="496"/>
      <c r="AV4" s="496"/>
      <c r="AW4" s="496"/>
      <c r="AX4" s="496"/>
      <c r="AY4" s="496"/>
      <c r="AZ4" s="496"/>
      <c r="BA4" s="496"/>
      <c r="BB4" s="496"/>
      <c r="BC4" s="496"/>
      <c r="BD4" s="496"/>
      <c r="BE4" s="496"/>
      <c r="BF4" s="496"/>
      <c r="BG4" s="496"/>
    </row>
    <row r="5" spans="1:107" s="15" customFormat="1" ht="31" customHeight="1"/>
    <row r="6" spans="1:107" s="15" customFormat="1" ht="31" customHeight="1" collapsed="1" thickBot="1">
      <c r="A6" s="866"/>
      <c r="B6" s="491" t="s">
        <v>1700</v>
      </c>
      <c r="C6" s="491"/>
      <c r="D6" s="466"/>
      <c r="E6" s="466"/>
      <c r="F6" s="466"/>
      <c r="G6" s="466"/>
      <c r="H6" s="466"/>
      <c r="I6" s="466"/>
      <c r="J6" s="466"/>
      <c r="K6" s="467"/>
      <c r="L6" s="467"/>
      <c r="M6" s="467"/>
      <c r="N6" s="468"/>
      <c r="O6" s="468"/>
      <c r="P6" s="468"/>
      <c r="Q6" s="468"/>
      <c r="R6" s="468"/>
      <c r="S6" s="468"/>
      <c r="T6" s="468"/>
      <c r="U6" s="468"/>
      <c r="V6" s="468"/>
      <c r="W6" s="468"/>
      <c r="X6" s="468"/>
      <c r="Y6" s="468"/>
      <c r="Z6" s="468"/>
      <c r="AA6" s="468"/>
      <c r="AB6" s="468"/>
      <c r="AC6" s="468"/>
      <c r="AD6" s="468"/>
      <c r="AE6" s="468"/>
      <c r="AF6" s="468"/>
      <c r="AG6" s="468"/>
      <c r="AH6" s="468"/>
      <c r="AI6" s="468"/>
      <c r="AJ6" s="468"/>
      <c r="AK6" s="468"/>
      <c r="AL6" s="468"/>
      <c r="AM6" s="468"/>
      <c r="AN6" s="468"/>
      <c r="AO6" s="468"/>
      <c r="AP6" s="468"/>
      <c r="AQ6" s="468"/>
      <c r="AR6" s="468"/>
      <c r="AS6" s="468"/>
      <c r="AT6" s="468"/>
      <c r="AU6" s="468"/>
      <c r="AV6" s="468"/>
      <c r="AW6" s="468"/>
      <c r="AX6" s="468"/>
      <c r="AY6" s="468"/>
      <c r="AZ6" s="468"/>
      <c r="BA6" s="468"/>
      <c r="BB6" s="468"/>
      <c r="BC6" s="468"/>
      <c r="BD6" s="468"/>
      <c r="BE6" s="468"/>
      <c r="BF6" s="468"/>
    </row>
    <row r="7" spans="1:107" s="40" customFormat="1" ht="16" thickTop="1">
      <c r="F7" s="244"/>
      <c r="G7" s="244"/>
      <c r="H7" s="244"/>
      <c r="I7" s="244"/>
      <c r="J7" s="244"/>
      <c r="K7" s="244"/>
    </row>
    <row r="8" spans="1:107" s="1504" customFormat="1" ht="18" customHeight="1">
      <c r="B8" s="2010" t="s">
        <v>2540</v>
      </c>
      <c r="C8" s="2010"/>
      <c r="D8" s="2010"/>
      <c r="E8" s="2010"/>
      <c r="F8" s="2010"/>
      <c r="G8" s="2010"/>
      <c r="H8" s="2010"/>
      <c r="I8" s="2010"/>
      <c r="J8" s="2010"/>
      <c r="K8" s="2010"/>
      <c r="L8" s="2010"/>
      <c r="M8" s="2010"/>
      <c r="N8" s="2010"/>
      <c r="O8" s="2010"/>
      <c r="P8" s="2010"/>
      <c r="Q8" s="2010"/>
    </row>
    <row r="9" spans="1:107" s="1504" customFormat="1" ht="18">
      <c r="B9" s="2010"/>
      <c r="C9" s="2010"/>
      <c r="D9" s="2010"/>
      <c r="E9" s="2010"/>
      <c r="F9" s="2010"/>
      <c r="G9" s="2010"/>
      <c r="H9" s="2010"/>
      <c r="I9" s="2010"/>
      <c r="J9" s="2010"/>
      <c r="K9" s="2010"/>
      <c r="L9" s="2010"/>
      <c r="M9" s="2010"/>
      <c r="N9" s="2010"/>
      <c r="O9" s="2010"/>
      <c r="P9" s="2010"/>
      <c r="Q9" s="2010"/>
    </row>
    <row r="10" spans="1:107" s="1504" customFormat="1" ht="18">
      <c r="B10" s="2010"/>
      <c r="C10" s="2010"/>
      <c r="D10" s="2010"/>
      <c r="E10" s="2010"/>
      <c r="F10" s="2010"/>
      <c r="G10" s="2010"/>
      <c r="H10" s="2010"/>
      <c r="I10" s="2010"/>
      <c r="J10" s="2010"/>
      <c r="K10" s="2010"/>
      <c r="L10" s="2010"/>
      <c r="M10" s="2010"/>
      <c r="N10" s="2010"/>
      <c r="O10" s="2010"/>
      <c r="P10" s="2010"/>
      <c r="Q10" s="2010"/>
    </row>
    <row r="11" spans="1:107" s="40" customFormat="1" ht="18" customHeight="1">
      <c r="B11" s="2010"/>
      <c r="C11" s="2010"/>
      <c r="D11" s="2010"/>
      <c r="E11" s="2010"/>
      <c r="F11" s="2010"/>
      <c r="G11" s="2010"/>
      <c r="H11" s="2010"/>
      <c r="I11" s="2010"/>
      <c r="J11" s="2010"/>
      <c r="K11" s="2010"/>
      <c r="L11" s="2010"/>
      <c r="M11" s="2010"/>
      <c r="N11" s="2010"/>
      <c r="O11" s="2010"/>
      <c r="P11" s="2010"/>
      <c r="Q11" s="2010"/>
    </row>
    <row r="12" spans="1:107" s="245" customFormat="1">
      <c r="D12" s="246"/>
      <c r="E12" s="246"/>
      <c r="F12" s="246"/>
      <c r="G12" s="246"/>
      <c r="H12" s="246"/>
      <c r="I12" s="246"/>
      <c r="J12" s="246"/>
      <c r="K12" s="246"/>
      <c r="L12" s="246"/>
      <c r="M12" s="246"/>
      <c r="N12" s="246"/>
      <c r="O12" s="246">
        <v>4</v>
      </c>
      <c r="P12" s="246"/>
      <c r="Q12" s="246">
        <v>5</v>
      </c>
      <c r="R12" s="246"/>
      <c r="S12" s="246">
        <v>7</v>
      </c>
      <c r="T12" s="246"/>
      <c r="U12" s="246">
        <v>8</v>
      </c>
      <c r="V12" s="246"/>
      <c r="W12" s="246">
        <v>9</v>
      </c>
      <c r="X12" s="246"/>
      <c r="Y12" s="246">
        <v>10</v>
      </c>
      <c r="Z12" s="246"/>
      <c r="AA12" s="246">
        <v>11</v>
      </c>
      <c r="AB12" s="246"/>
      <c r="AC12" s="246">
        <v>12</v>
      </c>
      <c r="AD12" s="246"/>
      <c r="AE12" s="246">
        <v>13</v>
      </c>
      <c r="AF12" s="246"/>
      <c r="AG12" s="246">
        <v>14</v>
      </c>
      <c r="AH12" s="246"/>
      <c r="AI12" s="246">
        <v>15</v>
      </c>
      <c r="AJ12" s="246"/>
      <c r="AK12" s="246">
        <v>16</v>
      </c>
      <c r="AL12" s="246"/>
      <c r="AM12" s="246">
        <v>17</v>
      </c>
      <c r="AN12" s="246"/>
      <c r="AO12" s="246">
        <v>18</v>
      </c>
      <c r="AP12" s="246"/>
      <c r="AQ12" s="246">
        <v>19</v>
      </c>
      <c r="AR12" s="246"/>
      <c r="AS12" s="246">
        <v>20</v>
      </c>
      <c r="AT12" s="246"/>
      <c r="AU12" s="246">
        <v>6</v>
      </c>
      <c r="AV12" s="246"/>
      <c r="AW12" s="246">
        <v>21</v>
      </c>
      <c r="AX12" s="246"/>
      <c r="AY12" s="246"/>
      <c r="AZ12" s="246"/>
      <c r="BB12" s="246"/>
      <c r="BC12" s="246"/>
    </row>
    <row r="13" spans="1:107" s="45" customFormat="1" ht="16" customHeight="1">
      <c r="A13" s="41"/>
      <c r="B13" s="2006" t="s">
        <v>811</v>
      </c>
      <c r="C13" s="2007"/>
      <c r="D13" s="2007" t="s">
        <v>781</v>
      </c>
      <c r="E13" s="2007"/>
      <c r="F13" s="2007" t="s">
        <v>919</v>
      </c>
      <c r="G13" s="2007" t="s">
        <v>780</v>
      </c>
      <c r="H13" s="2007" t="s">
        <v>171</v>
      </c>
      <c r="I13" s="2007"/>
      <c r="J13" s="2007"/>
      <c r="K13" s="2020" t="s">
        <v>936</v>
      </c>
      <c r="L13" s="2007" t="s">
        <v>782</v>
      </c>
      <c r="M13" s="2007"/>
      <c r="N13" s="2007"/>
      <c r="O13" s="2007"/>
      <c r="P13" s="2007"/>
      <c r="Q13" s="2007"/>
      <c r="R13" s="2007"/>
      <c r="S13" s="2007"/>
      <c r="T13" s="2007"/>
      <c r="U13" s="2007"/>
      <c r="V13" s="2007"/>
      <c r="W13" s="2007"/>
      <c r="X13" s="2007"/>
      <c r="Y13" s="2007"/>
      <c r="Z13" s="2007"/>
      <c r="AA13" s="2007"/>
      <c r="AB13" s="2007"/>
      <c r="AC13" s="2007"/>
      <c r="AD13" s="2007"/>
      <c r="AE13" s="2007"/>
      <c r="AF13" s="2007"/>
      <c r="AG13" s="2007"/>
      <c r="AH13" s="2007"/>
      <c r="AI13" s="2007"/>
      <c r="AJ13" s="2007"/>
      <c r="AK13" s="2007"/>
      <c r="AL13" s="2007"/>
      <c r="AM13" s="2007"/>
      <c r="AN13" s="2007"/>
      <c r="AO13" s="2007"/>
      <c r="AP13" s="2007"/>
      <c r="AQ13" s="2007"/>
      <c r="AR13" s="2007"/>
      <c r="AS13" s="2007"/>
      <c r="AT13" s="2007"/>
      <c r="AU13" s="2007"/>
      <c r="AV13" s="2007"/>
      <c r="AW13" s="2007"/>
      <c r="AX13" s="2007"/>
      <c r="AY13" s="2007"/>
      <c r="AZ13" s="2017"/>
      <c r="BA13" s="1551"/>
      <c r="BB13" s="2022" t="s">
        <v>178</v>
      </c>
      <c r="BC13" s="2022" t="s">
        <v>729</v>
      </c>
      <c r="BD13" s="2020" t="s">
        <v>728</v>
      </c>
      <c r="BE13" s="2007" t="s">
        <v>241</v>
      </c>
      <c r="BF13" s="2015" t="s">
        <v>723</v>
      </c>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row>
    <row r="14" spans="1:107" s="45" customFormat="1" ht="16" customHeight="1">
      <c r="A14" s="41"/>
      <c r="B14" s="2008"/>
      <c r="C14" s="2009"/>
      <c r="D14" s="2009"/>
      <c r="E14" s="2009"/>
      <c r="F14" s="2009"/>
      <c r="G14" s="2009"/>
      <c r="H14" s="2009"/>
      <c r="I14" s="2009"/>
      <c r="J14" s="2009"/>
      <c r="K14" s="2021"/>
      <c r="L14" s="1536" t="s">
        <v>290</v>
      </c>
      <c r="M14" s="1536" t="s">
        <v>924</v>
      </c>
      <c r="N14" s="1537" t="s">
        <v>291</v>
      </c>
      <c r="O14" s="1537" t="s">
        <v>959</v>
      </c>
      <c r="P14" s="1537" t="s">
        <v>292</v>
      </c>
      <c r="Q14" s="1537" t="s">
        <v>960</v>
      </c>
      <c r="R14" s="1537" t="s">
        <v>843</v>
      </c>
      <c r="S14" s="1537" t="s">
        <v>955</v>
      </c>
      <c r="T14" s="1537" t="s">
        <v>844</v>
      </c>
      <c r="U14" s="1537" t="s">
        <v>956</v>
      </c>
      <c r="V14" s="1537" t="s">
        <v>865</v>
      </c>
      <c r="W14" s="1537" t="s">
        <v>961</v>
      </c>
      <c r="X14" s="1537" t="s">
        <v>866</v>
      </c>
      <c r="Y14" s="1537" t="s">
        <v>962</v>
      </c>
      <c r="Z14" s="1537" t="s">
        <v>867</v>
      </c>
      <c r="AA14" s="1537" t="s">
        <v>963</v>
      </c>
      <c r="AB14" s="1537" t="s">
        <v>868</v>
      </c>
      <c r="AC14" s="1746" t="s">
        <v>964</v>
      </c>
      <c r="AD14" s="1537" t="s">
        <v>869</v>
      </c>
      <c r="AE14" s="1746" t="s">
        <v>965</v>
      </c>
      <c r="AF14" s="1537" t="s">
        <v>870</v>
      </c>
      <c r="AG14" s="1747" t="s">
        <v>966</v>
      </c>
      <c r="AH14" s="1537" t="s">
        <v>871</v>
      </c>
      <c r="AI14" s="1746" t="s">
        <v>967</v>
      </c>
      <c r="AJ14" s="1537" t="s">
        <v>872</v>
      </c>
      <c r="AK14" s="1747" t="s">
        <v>968</v>
      </c>
      <c r="AL14" s="1537" t="s">
        <v>873</v>
      </c>
      <c r="AM14" s="1747" t="s">
        <v>969</v>
      </c>
      <c r="AN14" s="1537" t="s">
        <v>874</v>
      </c>
      <c r="AO14" s="1748" t="s">
        <v>970</v>
      </c>
      <c r="AP14" s="1537" t="s">
        <v>875</v>
      </c>
      <c r="AQ14" s="1748" t="s">
        <v>971</v>
      </c>
      <c r="AR14" s="1537" t="s">
        <v>876</v>
      </c>
      <c r="AS14" s="1748" t="s">
        <v>972</v>
      </c>
      <c r="AT14" s="1537" t="s">
        <v>299</v>
      </c>
      <c r="AU14" s="1537" t="s">
        <v>957</v>
      </c>
      <c r="AV14" s="1537" t="s">
        <v>300</v>
      </c>
      <c r="AW14" s="1537" t="s">
        <v>958</v>
      </c>
      <c r="AX14" s="1536" t="s">
        <v>842</v>
      </c>
      <c r="AY14" s="1536" t="s">
        <v>924</v>
      </c>
      <c r="AZ14" s="1536" t="s">
        <v>294</v>
      </c>
      <c r="BA14" s="1536" t="s">
        <v>926</v>
      </c>
      <c r="BB14" s="2023"/>
      <c r="BC14" s="2023"/>
      <c r="BD14" s="2021"/>
      <c r="BE14" s="2009"/>
      <c r="BF14" s="2016"/>
      <c r="BG14" s="41"/>
      <c r="BH14" s="41"/>
      <c r="BI14" s="41"/>
      <c r="BJ14" s="41"/>
      <c r="BK14" s="41"/>
      <c r="BL14" s="41"/>
      <c r="BM14" s="41"/>
      <c r="BN14" s="41"/>
      <c r="BO14" s="41"/>
      <c r="BP14" s="41"/>
      <c r="BQ14" s="41"/>
      <c r="BR14" s="41"/>
      <c r="BS14" s="41"/>
      <c r="BT14" s="41"/>
      <c r="BU14" s="41"/>
      <c r="BV14" s="41"/>
      <c r="BW14" s="41"/>
      <c r="BX14" s="41"/>
      <c r="BY14" s="41"/>
      <c r="BZ14" s="41"/>
      <c r="CA14" s="41"/>
      <c r="CB14" s="41"/>
      <c r="CC14" s="41"/>
      <c r="CD14" s="41"/>
      <c r="CE14" s="41"/>
      <c r="CF14" s="41"/>
      <c r="CG14" s="41"/>
      <c r="CH14" s="41"/>
      <c r="CI14" s="41"/>
      <c r="CJ14" s="41"/>
      <c r="CK14" s="41"/>
      <c r="CL14" s="41"/>
      <c r="CM14" s="41"/>
      <c r="CN14" s="41"/>
      <c r="CO14" s="41"/>
      <c r="CP14" s="41"/>
      <c r="CQ14" s="41"/>
      <c r="CR14" s="41"/>
      <c r="CS14" s="41"/>
      <c r="CT14" s="41"/>
      <c r="CU14" s="41"/>
      <c r="CV14" s="41"/>
      <c r="CW14" s="41"/>
      <c r="CX14" s="41"/>
      <c r="CY14" s="41"/>
      <c r="CZ14" s="41"/>
      <c r="DA14" s="41"/>
      <c r="DB14" s="41"/>
      <c r="DC14" s="41"/>
    </row>
    <row r="15" spans="1:107">
      <c r="B15" s="2026"/>
      <c r="C15" s="2026"/>
      <c r="D15" s="2026"/>
      <c r="E15" s="2026"/>
      <c r="F15" s="1544"/>
      <c r="G15" s="1544"/>
      <c r="H15" s="1545"/>
      <c r="I15" s="1546" t="s">
        <v>920</v>
      </c>
      <c r="J15" s="1547"/>
      <c r="K15" s="1544"/>
      <c r="L15" s="1544"/>
      <c r="M15" s="1548"/>
      <c r="N15" s="1548"/>
      <c r="O15" s="1548"/>
      <c r="P15" s="1548"/>
      <c r="Q15" s="1544"/>
      <c r="R15" s="1544"/>
      <c r="S15" s="1544"/>
      <c r="T15" s="1544"/>
      <c r="U15" s="1544"/>
      <c r="V15" s="1544"/>
      <c r="W15" s="1544"/>
      <c r="X15" s="1544"/>
      <c r="Y15" s="1544"/>
      <c r="Z15" s="1544"/>
      <c r="AA15" s="1544"/>
      <c r="AB15" s="1544"/>
      <c r="AC15" s="1544"/>
      <c r="AD15" s="1544"/>
      <c r="AE15" s="1544"/>
      <c r="AF15" s="1544"/>
      <c r="AG15" s="1544"/>
      <c r="AH15" s="1544"/>
      <c r="AI15" s="1544"/>
      <c r="AJ15" s="1544"/>
      <c r="AK15" s="1544"/>
      <c r="AL15" s="1544"/>
      <c r="AM15" s="1544"/>
      <c r="AN15" s="1544"/>
      <c r="AO15" s="1544"/>
      <c r="AP15" s="1544"/>
      <c r="AQ15" s="1544"/>
      <c r="AR15" s="1544"/>
      <c r="AS15" s="1544"/>
      <c r="AT15" s="1544"/>
      <c r="AU15" s="1544"/>
      <c r="AV15" s="1544"/>
      <c r="AW15" s="1544"/>
      <c r="AX15" s="1544"/>
      <c r="AY15" s="1544"/>
      <c r="AZ15" s="1544"/>
      <c r="BA15" s="1544"/>
      <c r="BB15" s="1544"/>
      <c r="BC15" s="1544"/>
      <c r="BD15" s="1544"/>
      <c r="BE15" s="1544"/>
      <c r="BF15" s="1544"/>
    </row>
    <row r="16" spans="1:107" ht="15" hidden="1" customHeight="1">
      <c r="B16" s="2004"/>
      <c r="C16" s="2005"/>
      <c r="D16" s="2004"/>
      <c r="E16" s="2005"/>
      <c r="F16" s="1538"/>
      <c r="G16" s="1538"/>
      <c r="H16" s="1541"/>
      <c r="I16" s="1543"/>
      <c r="J16" s="1542"/>
      <c r="K16" s="1539"/>
      <c r="L16" s="1538"/>
      <c r="M16" s="1538"/>
      <c r="N16" s="1538"/>
      <c r="O16" s="1538"/>
      <c r="P16" s="1538"/>
      <c r="Q16" s="1538"/>
      <c r="R16" s="1538"/>
      <c r="S16" s="1538"/>
      <c r="T16" s="1538"/>
      <c r="U16" s="1538"/>
      <c r="V16" s="1538"/>
      <c r="W16" s="1538"/>
      <c r="X16" s="1538"/>
      <c r="Y16" s="1538"/>
      <c r="Z16" s="1538"/>
      <c r="AA16" s="1538"/>
      <c r="AB16" s="1538"/>
      <c r="AC16" s="1538"/>
      <c r="AD16" s="1538"/>
      <c r="AE16" s="1538"/>
      <c r="AF16" s="1538"/>
      <c r="AG16" s="1538"/>
      <c r="AH16" s="1538"/>
      <c r="AI16" s="1538"/>
      <c r="AJ16" s="1538"/>
      <c r="AK16" s="1538"/>
      <c r="AL16" s="1538"/>
      <c r="AM16" s="1538"/>
      <c r="AN16" s="1538"/>
      <c r="AO16" s="1538"/>
      <c r="AP16" s="1538"/>
      <c r="AQ16" s="1538"/>
      <c r="AR16" s="1538"/>
      <c r="AS16" s="1538"/>
      <c r="AT16" s="1538"/>
      <c r="AU16" s="1538"/>
      <c r="AV16" s="1538"/>
      <c r="AW16" s="1538"/>
      <c r="AX16" s="1538"/>
      <c r="AY16" s="1538"/>
      <c r="AZ16" s="1538"/>
      <c r="BA16" s="1538"/>
      <c r="BB16" s="1538"/>
      <c r="BC16" s="1538"/>
      <c r="BD16" s="1538"/>
      <c r="BE16" s="1538"/>
      <c r="BF16" s="1538"/>
    </row>
    <row r="17" spans="2:58" s="40" customFormat="1">
      <c r="B17" s="2002"/>
      <c r="C17" s="2002"/>
      <c r="D17" s="2003"/>
      <c r="E17" s="2003"/>
      <c r="F17" s="1525"/>
      <c r="G17" s="1525"/>
      <c r="H17" s="1533"/>
      <c r="I17" s="1534" t="str">
        <f t="shared" ref="I17:I41" si="0">IF(H17="","","/")</f>
        <v/>
      </c>
      <c r="J17" s="1535"/>
      <c r="K17" s="1526" t="str">
        <f>IFERROR(IF(H17="","",VLOOKUP(H17,'Conversion factors'!$D$37:$G$42,4,FALSE)),"")</f>
        <v/>
      </c>
      <c r="L17" s="1527"/>
      <c r="M17" s="1528" t="str">
        <f t="shared" ref="M17:M41" si="1">IFERROR(IF(L17="","",L17*$K17),"")</f>
        <v/>
      </c>
      <c r="N17" s="1529"/>
      <c r="O17" s="1528" t="str">
        <f>IF(N17="","",IF($F17="",N17,IF($F17="CO2e",N17*$K17,IF($F17="GHG",N17*HLOOKUP($G17,GWP!$F$11:$I$31,4,FALSE)*$K17,""))))</f>
        <v/>
      </c>
      <c r="P17" s="1529"/>
      <c r="Q17" s="1528" t="str">
        <f>IF(P17="","",IF($F17="",P17,IF($F17="CO2e",P17*$K17,IF($F17="GHG",P17*HLOOKUP($G17,GWP!$F$11:$I$31,Q$12,FALSE)*$K17,""))))</f>
        <v/>
      </c>
      <c r="R17" s="1529"/>
      <c r="S17" s="1528" t="str">
        <f>IF(R17="","",IF($F17="",R17,IF($F17="CO2e",R17*$K17,IF($F17="GHG",R17*HLOOKUP($G17,GWP!$F$11:$I$31,S$12,FALSE)*$K17,""))))</f>
        <v/>
      </c>
      <c r="T17" s="1529"/>
      <c r="U17" s="1528" t="str">
        <f>IF(T17="","",IF($F17="",T17,IF($F17="CO2e",T17*$K17,IF($F17="GHG",T17*HLOOKUP($G17,GWP!$F$11:$I$31,U$12,FALSE)*$K17,""))))</f>
        <v/>
      </c>
      <c r="V17" s="1529"/>
      <c r="W17" s="1528" t="str">
        <f>IF(V17="","",IF($F17="",V17,IF($F17="CO2e",V17*$K17,IF($F17="GHG",V17*HLOOKUP($G17,GWP!$F$11:$I$31,W$12,FALSE)*$K17,""))))</f>
        <v/>
      </c>
      <c r="X17" s="1529"/>
      <c r="Y17" s="1528" t="str">
        <f>IF(X17="","",IF($F17="",X17,IF($F17="CO2e",X17*$K17,IF($F17="GHG",X17*HLOOKUP($G17,GWP!$F$11:$I$31,Y$12,FALSE)*$K17,""))))</f>
        <v/>
      </c>
      <c r="Z17" s="1529"/>
      <c r="AA17" s="1528" t="str">
        <f>IF(Z17="","",IF($F17="",Z17,IF($F17="CO2e",Z17*$K17,IF($F17="GHG",Z17*HLOOKUP($G17,GWP!$F$11:$I$31,AA$12,FALSE)*$K17,""))))</f>
        <v/>
      </c>
      <c r="AB17" s="1529"/>
      <c r="AC17" s="1528" t="str">
        <f>IF(AB17="","",IF($F17="",AB17,IF($F17="CO2e",AB17*$K17,IF($F17="GHG",AB17*HLOOKUP($G17,GWP!$F$11:$I$31,AC$12,FALSE)*$K17,""))))</f>
        <v/>
      </c>
      <c r="AD17" s="1529"/>
      <c r="AE17" s="1528" t="str">
        <f>IF(AD17="","",IF($F17="",AD17,IF($F17="CO2e",AD17*$K17,IF($F17="GHG",AD17*HLOOKUP($G17,GWP!$F$11:$I$31,AE$12,FALSE)*$K17,""))))</f>
        <v/>
      </c>
      <c r="AF17" s="1529"/>
      <c r="AG17" s="1528" t="str">
        <f>IF(AF17="","",IF($F17="",AF17,IF($F17="CO2e",AF17*$K17,IF($F17="GHG",AF17*HLOOKUP($G17,GWP!$F$11:$I$31,AG$12,FALSE)*$K17,""))))</f>
        <v/>
      </c>
      <c r="AH17" s="1529"/>
      <c r="AI17" s="1528" t="str">
        <f>IF(AH17="","",IF($F17="",AH17,IF($F17="CO2e",AH17*$K17,IF($F17="GHG",AH17*HLOOKUP($G17,GWP!$F$11:$I$31,AI$12,FALSE)*$K17,""))))</f>
        <v/>
      </c>
      <c r="AJ17" s="1529"/>
      <c r="AK17" s="1528" t="str">
        <f>IF(AJ17="","",IF($F17="",AJ17,IF($F17="CO2e",AJ17*$K17,IF($F17="GHG",AJ17*HLOOKUP($G17,GWP!$F$11:$I$31,AK$12,FALSE)*$K17,""))))</f>
        <v/>
      </c>
      <c r="AL17" s="1529"/>
      <c r="AM17" s="1528" t="str">
        <f>IF(AL17="","",IF($F17="",AL17,IF($F17="CO2e",AL17*$K17,IF($F17="GHG",AL17*HLOOKUP($G17,GWP!$F$11:$I$31,AM$12,FALSE)*$K17,""))))</f>
        <v/>
      </c>
      <c r="AN17" s="1529"/>
      <c r="AO17" s="1528" t="str">
        <f>IF(AN17="","",IF($F17="",AN17,IF($F17="CO2e",AN17*$K17,IF($F17="GHG",AN17*HLOOKUP($G17,GWP!$F$11:$I$31,AO$12,FALSE)*$K17,""))))</f>
        <v/>
      </c>
      <c r="AP17" s="1529"/>
      <c r="AQ17" s="1528" t="str">
        <f>IF(AP17="","",IF($F17="",AP17,IF($F17="CO2e",AP17*$K17,IF($F17="GHG",AP17*HLOOKUP($G17,GWP!$F$11:$I$31,AQ$12,FALSE)*$K17,""))))</f>
        <v/>
      </c>
      <c r="AR17" s="1529"/>
      <c r="AS17" s="1528" t="str">
        <f>IF(AR17="","",IF($F17="",AR17,IF($F17="CO2e",AR17*$K17,IF($F17="GHG",AR17*HLOOKUP($G17,GWP!$F$11:$I$31,AS$12,FALSE)*$K17,""))))</f>
        <v/>
      </c>
      <c r="AT17" s="1552"/>
      <c r="AU17" s="1528" t="str">
        <f>IF(AT17="","",IF($F17="",AT17,IF($F17="CO2e",AT17*$K17,IF($F17="GHG",AT17*HLOOKUP($G17,GWP!$F$11:$I$31,AU$12,FALSE)*$K17,""))))</f>
        <v/>
      </c>
      <c r="AV17" s="1552"/>
      <c r="AW17" s="1528" t="str">
        <f>IF(AV17="","",IF($F17="",AV17,IF($F17="CO2e",AV17*$K17,IF($F17="GHG",AV17*HLOOKUP($G17,GWP!$F$11:$I$31,AW$12,FALSE)*$K17,""))))</f>
        <v/>
      </c>
      <c r="AX17" s="1529"/>
      <c r="AY17" s="1526" t="str">
        <f t="shared" ref="AY17:AY41" si="2">IFERROR(IF(AX17="","",AX17*$K17),"")</f>
        <v/>
      </c>
      <c r="AZ17" s="1529"/>
      <c r="BA17" s="1526" t="str">
        <f t="shared" ref="BA17:BA41" si="3">IFERROR(IF(AZ17="","",AZ17*$K17),"")</f>
        <v/>
      </c>
      <c r="BB17" s="1530"/>
      <c r="BC17" s="1502"/>
      <c r="BD17" s="1530"/>
      <c r="BE17" s="1531"/>
      <c r="BF17" s="1532"/>
    </row>
    <row r="18" spans="2:58" s="40" customFormat="1">
      <c r="B18" s="2002"/>
      <c r="C18" s="2002"/>
      <c r="D18" s="2003"/>
      <c r="E18" s="2003"/>
      <c r="F18" s="1525"/>
      <c r="G18" s="1525"/>
      <c r="H18" s="1533"/>
      <c r="I18" s="1534" t="str">
        <f t="shared" si="0"/>
        <v/>
      </c>
      <c r="J18" s="1535"/>
      <c r="K18" s="1526" t="str">
        <f>IFERROR(IF(H18="","",VLOOKUP(H18,GPC!$D$183:$G$188,4,FALSE)),"")</f>
        <v/>
      </c>
      <c r="L18" s="1527"/>
      <c r="M18" s="1528" t="str">
        <f t="shared" si="1"/>
        <v/>
      </c>
      <c r="N18" s="1529"/>
      <c r="O18" s="1528" t="str">
        <f>IF(N18="","",IF($F18="",N18,IF($F18="CO2e",N18*K18,IF($F18="GHG",N18*HLOOKUP($G18,GWP!$F$11:$I$31,4,FALSE)*K18,""))))</f>
        <v/>
      </c>
      <c r="P18" s="1529"/>
      <c r="Q18" s="1528" t="str">
        <f>IF(P18="","",IF($F18="",P18,IF($F18="CO2e",P18*$K18,IF($F18="GHG",P18*HLOOKUP($G18,GWP!$F$11:$I$31,4,FALSE)*$K18,""))))</f>
        <v/>
      </c>
      <c r="R18" s="1552"/>
      <c r="S18" s="1528" t="str">
        <f>IF(R18="","",IF($F18="",R18,IF($F18="CO2e",R18*$K18,IF($F18="GHG",R18*HLOOKUP($G18,GWP!$F$11:$I$31,4,FALSE)*$K18,""))))</f>
        <v/>
      </c>
      <c r="T18" s="1552"/>
      <c r="U18" s="1528" t="str">
        <f>IF(T18="","",IF($F18="",T18,IF($F18="CO2e",T18*$K18,IF($F18="GHG",T18*HLOOKUP($G18,GWP!$F$11:$I$31,4,FALSE)*$K18,""))))</f>
        <v/>
      </c>
      <c r="V18" s="1529"/>
      <c r="W18" s="1528" t="str">
        <f>IF(V18="","",IF($F18="",V18,IF($F18="CO2e",V18*$K18,IF($F18="GHG",V18*HLOOKUP($G18,GWP!$F$11:$I$31,4,FALSE)*$K18,""))))</f>
        <v/>
      </c>
      <c r="X18" s="1529"/>
      <c r="Y18" s="1528" t="str">
        <f>IF(X18="","",IF($F18="",X18,IF($F18="CO2e",X18*$K18,IF($F18="GHG",X18*HLOOKUP($G18,GWP!$F$11:$I$31,4,FALSE)*$K18,""))))</f>
        <v/>
      </c>
      <c r="Z18" s="1529"/>
      <c r="AA18" s="1528" t="str">
        <f>IF(Z18="","",IF($F18="",Z18,IF($F18="CO2e",Z18*$K18,IF($F18="GHG",Z18*HLOOKUP($G18,GWP!$F$11:$I$31,4,FALSE)*$K18,""))))</f>
        <v/>
      </c>
      <c r="AB18" s="1529"/>
      <c r="AC18" s="1528" t="str">
        <f>IF(AB18="","",IF($F18="",AB18,IF($F18="CO2e",AB18*$K18,IF($F18="GHG",AB18*HLOOKUP($G18,GWP!$F$11:$I$31,4,FALSE)*$K18,""))))</f>
        <v/>
      </c>
      <c r="AD18" s="1529"/>
      <c r="AE18" s="1528" t="str">
        <f>IF(AD18="","",IF($F18="",AD18,IF($F18="CO2e",AD18*$K18,IF($F18="GHG",AD18*HLOOKUP($G18,GWP!$F$11:$I$31,4,FALSE)*$K18,""))))</f>
        <v/>
      </c>
      <c r="AF18" s="1529"/>
      <c r="AG18" s="1528" t="str">
        <f>IF(AF18="","",IF($F18="",AF18,IF($F18="CO2e",AF18*$K18,IF($F18="GHG",AF18*HLOOKUP($G18,GWP!$F$11:$I$31,4,FALSE)*$K18,""))))</f>
        <v/>
      </c>
      <c r="AH18" s="1529"/>
      <c r="AI18" s="1528" t="str">
        <f>IF(AH18="","",IF($F18="",AH18,IF($F18="CO2e",AH18*$K18,IF($F18="GHG",AH18*HLOOKUP($G18,GWP!$F$11:$I$31,4,FALSE)*$K18,""))))</f>
        <v/>
      </c>
      <c r="AJ18" s="1529"/>
      <c r="AK18" s="1528" t="str">
        <f>IF(AJ18="","",IF($F18="",AJ18,IF($F18="CO2e",AJ18*$K18,IF($F18="GHG",AJ18*HLOOKUP($G18,GWP!$F$11:$I$31,4,FALSE)*$K18,""))))</f>
        <v/>
      </c>
      <c r="AL18" s="1529"/>
      <c r="AM18" s="1528" t="str">
        <f>IF(AL18="","",IF($F18="",AL18,IF($F18="CO2e",AL18*$K18,IF($F18="GHG",AL18*HLOOKUP($G18,GWP!$F$11:$I$31,4,FALSE)*$K18,""))))</f>
        <v/>
      </c>
      <c r="AN18" s="1529"/>
      <c r="AO18" s="1528" t="str">
        <f>IF(AN18="","",IF($F18="",AN18,IF($F18="CO2e",AN18*$K18,IF($F18="GHG",AN18*HLOOKUP($G18,GWP!$F$11:$I$31,4,FALSE)*$K18,""))))</f>
        <v/>
      </c>
      <c r="AP18" s="1529"/>
      <c r="AQ18" s="1528" t="str">
        <f>IF(AP18="","",IF($F18="",AP18,IF($F18="CO2e",AP18*$K18,IF($F18="GHG",AP18*HLOOKUP($G18,GWP!$F$11:$I$31,4,FALSE)*$K18,""))))</f>
        <v/>
      </c>
      <c r="AR18" s="1529"/>
      <c r="AS18" s="1528" t="str">
        <f>IF(AR18="","",IF($F18="",AR18,IF($F18="CO2e",AR18*$K18,IF($F18="GHG",AR18*HLOOKUP($G18,GWP!$F$11:$I$31,4,FALSE)*$K18,""))))</f>
        <v/>
      </c>
      <c r="AT18" s="1552"/>
      <c r="AU18" s="1528" t="str">
        <f>IF(AT18="","",IF($F18="",AT18,IF($F18="CO2e",AT18*$K18,IF($F18="GHG",AT18*HLOOKUP($G18,GWP!$F$11:$I$31,4,FALSE)*$K18,""))))</f>
        <v/>
      </c>
      <c r="AV18" s="1552"/>
      <c r="AW18" s="1528" t="str">
        <f>IF(AV18="","",IF($F18="",AV18,IF($F18="CO2e",AV18*$K18,IF($F18="GHG",AV18*HLOOKUP($G18,GWP!$F$11:$I$31,4,FALSE)*$K18,""))))</f>
        <v/>
      </c>
      <c r="AX18" s="1529"/>
      <c r="AY18" s="1526" t="str">
        <f t="shared" si="2"/>
        <v/>
      </c>
      <c r="AZ18" s="1529"/>
      <c r="BA18" s="1526" t="str">
        <f t="shared" si="3"/>
        <v/>
      </c>
      <c r="BB18" s="1530"/>
      <c r="BC18" s="1502"/>
      <c r="BD18" s="1530"/>
      <c r="BE18" s="1531"/>
      <c r="BF18" s="1532"/>
    </row>
    <row r="19" spans="2:58" s="40" customFormat="1">
      <c r="B19" s="2002"/>
      <c r="C19" s="2002"/>
      <c r="D19" s="2003"/>
      <c r="E19" s="2003"/>
      <c r="F19" s="1525"/>
      <c r="G19" s="1525"/>
      <c r="H19" s="1533"/>
      <c r="I19" s="1534" t="str">
        <f t="shared" si="0"/>
        <v/>
      </c>
      <c r="J19" s="1535"/>
      <c r="K19" s="1526" t="str">
        <f>IFERROR(IF(H19="","",VLOOKUP(H19,GPC!$D$183:$G$188,4,FALSE)),"")</f>
        <v/>
      </c>
      <c r="L19" s="1529"/>
      <c r="M19" s="1528" t="str">
        <f t="shared" si="1"/>
        <v/>
      </c>
      <c r="N19" s="1529"/>
      <c r="O19" s="1528" t="str">
        <f>IF(N19="","",IF($F19="",N19,IF($F19="CO2e",N19*K19,IF($F19="GHG",N19*HLOOKUP($G19,GWP!$F$11:$I$31,4,FALSE)*K19,""))))</f>
        <v/>
      </c>
      <c r="P19" s="1529"/>
      <c r="Q19" s="1528" t="str">
        <f>IF(P19="","",IF($F19="",P19,IF($F19="CO2e",P19*$K19,IF($F19="GHG",P19*HLOOKUP($G19,GWP!$F$11:$I$31,4,FALSE)*$K19,""))))</f>
        <v/>
      </c>
      <c r="R19" s="1552"/>
      <c r="S19" s="1528" t="str">
        <f>IF(R19="","",IF($F19="",R19,IF($F19="CO2e",R19*$K19,IF($F19="GHG",R19*HLOOKUP($G19,GWP!$F$11:$I$31,4,FALSE)*$K19,""))))</f>
        <v/>
      </c>
      <c r="T19" s="1552"/>
      <c r="U19" s="1528" t="str">
        <f>IF(T19="","",IF($F19="",T19,IF($F19="CO2e",T19*$K19,IF($F19="GHG",T19*HLOOKUP($G19,GWP!$F$11:$I$31,4,FALSE)*$K19,""))))</f>
        <v/>
      </c>
      <c r="V19" s="1529"/>
      <c r="W19" s="1528" t="str">
        <f>IF(V19="","",IF($F19="",V19,IF($F19="CO2e",V19*$K19,IF($F19="GHG",V19*HLOOKUP($G19,GWP!$F$11:$I$31,4,FALSE)*$K19,""))))</f>
        <v/>
      </c>
      <c r="X19" s="1529"/>
      <c r="Y19" s="1528" t="str">
        <f>IF(X19="","",IF($F19="",X19,IF($F19="CO2e",X19*$K19,IF($F19="GHG",X19*HLOOKUP($G19,GWP!$F$11:$I$31,4,FALSE)*$K19,""))))</f>
        <v/>
      </c>
      <c r="Z19" s="1529"/>
      <c r="AA19" s="1528" t="str">
        <f>IF(Z19="","",IF($F19="",Z19,IF($F19="CO2e",Z19*$K19,IF($F19="GHG",Z19*HLOOKUP($G19,GWP!$F$11:$I$31,4,FALSE)*$K19,""))))</f>
        <v/>
      </c>
      <c r="AB19" s="1529"/>
      <c r="AC19" s="1528" t="str">
        <f>IF(AB19="","",IF($F19="",AB19,IF($F19="CO2e",AB19*$K19,IF($F19="GHG",AB19*HLOOKUP($G19,GWP!$F$11:$I$31,4,FALSE)*$K19,""))))</f>
        <v/>
      </c>
      <c r="AD19" s="1529"/>
      <c r="AE19" s="1528" t="str">
        <f>IF(AD19="","",IF($F19="",AD19,IF($F19="CO2e",AD19*$K19,IF($F19="GHG",AD19*HLOOKUP($G19,GWP!$F$11:$I$31,4,FALSE)*$K19,""))))</f>
        <v/>
      </c>
      <c r="AF19" s="1529"/>
      <c r="AG19" s="1528" t="str">
        <f>IF(AF19="","",IF($F19="",AF19,IF($F19="CO2e",AF19*$K19,IF($F19="GHG",AF19*HLOOKUP($G19,GWP!$F$11:$I$31,4,FALSE)*$K19,""))))</f>
        <v/>
      </c>
      <c r="AH19" s="1529"/>
      <c r="AI19" s="1528" t="str">
        <f>IF(AH19="","",IF($F19="",AH19,IF($F19="CO2e",AH19*$K19,IF($F19="GHG",AH19*HLOOKUP($G19,GWP!$F$11:$I$31,4,FALSE)*$K19,""))))</f>
        <v/>
      </c>
      <c r="AJ19" s="1529"/>
      <c r="AK19" s="1528" t="str">
        <f>IF(AJ19="","",IF($F19="",AJ19,IF($F19="CO2e",AJ19*$K19,IF($F19="GHG",AJ19*HLOOKUP($G19,GWP!$F$11:$I$31,4,FALSE)*$K19,""))))</f>
        <v/>
      </c>
      <c r="AL19" s="1529"/>
      <c r="AM19" s="1528" t="str">
        <f>IF(AL19="","",IF($F19="",AL19,IF($F19="CO2e",AL19*$K19,IF($F19="GHG",AL19*HLOOKUP($G19,GWP!$F$11:$I$31,4,FALSE)*$K19,""))))</f>
        <v/>
      </c>
      <c r="AN19" s="1529"/>
      <c r="AO19" s="1528" t="str">
        <f>IF(AN19="","",IF($F19="",AN19,IF($F19="CO2e",AN19*$K19,IF($F19="GHG",AN19*HLOOKUP($G19,GWP!$F$11:$I$31,4,FALSE)*$K19,""))))</f>
        <v/>
      </c>
      <c r="AP19" s="1529"/>
      <c r="AQ19" s="1528" t="str">
        <f>IF(AP19="","",IF($F19="",AP19,IF($F19="CO2e",AP19*$K19,IF($F19="GHG",AP19*HLOOKUP($G19,GWP!$F$11:$I$31,4,FALSE)*$K19,""))))</f>
        <v/>
      </c>
      <c r="AR19" s="1529"/>
      <c r="AS19" s="1528" t="str">
        <f>IF(AR19="","",IF($F19="",AR19,IF($F19="CO2e",AR19*$K19,IF($F19="GHG",AR19*HLOOKUP($G19,GWP!$F$11:$I$31,4,FALSE)*$K19,""))))</f>
        <v/>
      </c>
      <c r="AT19" s="1552"/>
      <c r="AU19" s="1528" t="str">
        <f>IF(AT19="","",IF($F19="",AT19,IF($F19="CO2e",AT19*$K19,IF($F19="GHG",AT19*HLOOKUP($G19,GWP!$F$11:$I$31,4,FALSE)*$K19,""))))</f>
        <v/>
      </c>
      <c r="AV19" s="1552"/>
      <c r="AW19" s="1528" t="str">
        <f>IF(AV19="","",IF($F19="",AV19,IF($F19="CO2e",AV19*$K19,IF($F19="GHG",AV19*HLOOKUP($G19,GWP!$F$11:$I$31,4,FALSE)*$K19,""))))</f>
        <v/>
      </c>
      <c r="AX19" s="1529"/>
      <c r="AY19" s="1526" t="str">
        <f t="shared" si="2"/>
        <v/>
      </c>
      <c r="AZ19" s="1529"/>
      <c r="BA19" s="1526" t="str">
        <f t="shared" si="3"/>
        <v/>
      </c>
      <c r="BB19" s="1530"/>
      <c r="BC19" s="1502"/>
      <c r="BD19" s="1530"/>
      <c r="BE19" s="1531"/>
      <c r="BF19" s="1540"/>
    </row>
    <row r="20" spans="2:58" s="40" customFormat="1">
      <c r="B20" s="2002"/>
      <c r="C20" s="2002"/>
      <c r="D20" s="2003"/>
      <c r="E20" s="2003"/>
      <c r="F20" s="1525"/>
      <c r="G20" s="1525"/>
      <c r="H20" s="1533"/>
      <c r="I20" s="1534" t="str">
        <f t="shared" si="0"/>
        <v/>
      </c>
      <c r="J20" s="1535"/>
      <c r="K20" s="1526" t="str">
        <f>IFERROR(IF(H20="","",VLOOKUP(H20,GPC!$D$183:$G$188,4,FALSE)),"")</f>
        <v/>
      </c>
      <c r="L20" s="1529"/>
      <c r="M20" s="1528" t="str">
        <f t="shared" si="1"/>
        <v/>
      </c>
      <c r="N20" s="1529"/>
      <c r="O20" s="1528" t="str">
        <f>IF(N20="","",IF($F20="",N20,IF($F20="CO2e",N20*K20,IF($F20="GHG",N20*HLOOKUP($G20,GWP!$F$11:$I$31,4,FALSE)*K20,""))))</f>
        <v/>
      </c>
      <c r="P20" s="1529"/>
      <c r="Q20" s="1528" t="str">
        <f>IF(P20="","",IF($F20="",P20,IF($F20="CO2e",P20*$K20,IF($F20="GHG",P20*HLOOKUP($G20,GWP!$F$11:$I$31,4,FALSE)*$K20,""))))</f>
        <v/>
      </c>
      <c r="R20" s="1552"/>
      <c r="S20" s="1528" t="str">
        <f>IF(R20="","",IF($F20="",R20,IF($F20="CO2e",R20*$K20,IF($F20="GHG",R20*HLOOKUP($G20,GWP!$F$11:$I$31,4,FALSE)*$K20,""))))</f>
        <v/>
      </c>
      <c r="T20" s="1552"/>
      <c r="U20" s="1528" t="str">
        <f>IF(T20="","",IF($F20="",T20,IF($F20="CO2e",T20*$K20,IF($F20="GHG",T20*HLOOKUP($G20,GWP!$F$11:$I$31,4,FALSE)*$K20,""))))</f>
        <v/>
      </c>
      <c r="V20" s="1529"/>
      <c r="W20" s="1528" t="str">
        <f>IF(V20="","",IF($F20="",V20,IF($F20="CO2e",V20*$K20,IF($F20="GHG",V20*HLOOKUP($G20,GWP!$F$11:$I$31,4,FALSE)*$K20,""))))</f>
        <v/>
      </c>
      <c r="X20" s="1529"/>
      <c r="Y20" s="1528" t="str">
        <f>IF(X20="","",IF($F20="",X20,IF($F20="CO2e",X20*$K20,IF($F20="GHG",X20*HLOOKUP($G20,GWP!$F$11:$I$31,4,FALSE)*$K20,""))))</f>
        <v/>
      </c>
      <c r="Z20" s="1529"/>
      <c r="AA20" s="1528" t="str">
        <f>IF(Z20="","",IF($F20="",Z20,IF($F20="CO2e",Z20*$K20,IF($F20="GHG",Z20*HLOOKUP($G20,GWP!$F$11:$I$31,4,FALSE)*$K20,""))))</f>
        <v/>
      </c>
      <c r="AB20" s="1529"/>
      <c r="AC20" s="1528" t="str">
        <f>IF(AB20="","",IF($F20="",AB20,IF($F20="CO2e",AB20*$K20,IF($F20="GHG",AB20*HLOOKUP($G20,GWP!$F$11:$I$31,4,FALSE)*$K20,""))))</f>
        <v/>
      </c>
      <c r="AD20" s="1529"/>
      <c r="AE20" s="1528" t="str">
        <f>IF(AD20="","",IF($F20="",AD20,IF($F20="CO2e",AD20*$K20,IF($F20="GHG",AD20*HLOOKUP($G20,GWP!$F$11:$I$31,4,FALSE)*$K20,""))))</f>
        <v/>
      </c>
      <c r="AF20" s="1529"/>
      <c r="AG20" s="1528" t="str">
        <f>IF(AF20="","",IF($F20="",AF20,IF($F20="CO2e",AF20*$K20,IF($F20="GHG",AF20*HLOOKUP($G20,GWP!$F$11:$I$31,4,FALSE)*$K20,""))))</f>
        <v/>
      </c>
      <c r="AH20" s="1529"/>
      <c r="AI20" s="1528" t="str">
        <f>IF(AH20="","",IF($F20="",AH20,IF($F20="CO2e",AH20*$K20,IF($F20="GHG",AH20*HLOOKUP($G20,GWP!$F$11:$I$31,4,FALSE)*$K20,""))))</f>
        <v/>
      </c>
      <c r="AJ20" s="1529"/>
      <c r="AK20" s="1528" t="str">
        <f>IF(AJ20="","",IF($F20="",AJ20,IF($F20="CO2e",AJ20*$K20,IF($F20="GHG",AJ20*HLOOKUP($G20,GWP!$F$11:$I$31,4,FALSE)*$K20,""))))</f>
        <v/>
      </c>
      <c r="AL20" s="1529"/>
      <c r="AM20" s="1528" t="str">
        <f>IF(AL20="","",IF($F20="",AL20,IF($F20="CO2e",AL20*$K20,IF($F20="GHG",AL20*HLOOKUP($G20,GWP!$F$11:$I$31,4,FALSE)*$K20,""))))</f>
        <v/>
      </c>
      <c r="AN20" s="1529"/>
      <c r="AO20" s="1528" t="str">
        <f>IF(AN20="","",IF($F20="",AN20,IF($F20="CO2e",AN20*$K20,IF($F20="GHG",AN20*HLOOKUP($G20,GWP!$F$11:$I$31,4,FALSE)*$K20,""))))</f>
        <v/>
      </c>
      <c r="AP20" s="1529"/>
      <c r="AQ20" s="1528" t="str">
        <f>IF(AP20="","",IF($F20="",AP20,IF($F20="CO2e",AP20*$K20,IF($F20="GHG",AP20*HLOOKUP($G20,GWP!$F$11:$I$31,4,FALSE)*$K20,""))))</f>
        <v/>
      </c>
      <c r="AR20" s="1529"/>
      <c r="AS20" s="1528" t="str">
        <f>IF(AR20="","",IF($F20="",AR20,IF($F20="CO2e",AR20*$K20,IF($F20="GHG",AR20*HLOOKUP($G20,GWP!$F$11:$I$31,4,FALSE)*$K20,""))))</f>
        <v/>
      </c>
      <c r="AT20" s="1552"/>
      <c r="AU20" s="1528" t="str">
        <f>IF(AT20="","",IF($F20="",AT20,IF($F20="CO2e",AT20*$K20,IF($F20="GHG",AT20*HLOOKUP($G20,GWP!$F$11:$I$31,4,FALSE)*$K20,""))))</f>
        <v/>
      </c>
      <c r="AV20" s="1552"/>
      <c r="AW20" s="1528" t="str">
        <f>IF(AV20="","",IF($F20="",AV20,IF($F20="CO2e",AV20*$K20,IF($F20="GHG",AV20*HLOOKUP($G20,GWP!$F$11:$I$31,4,FALSE)*$K20,""))))</f>
        <v/>
      </c>
      <c r="AX20" s="1529"/>
      <c r="AY20" s="1526" t="str">
        <f t="shared" si="2"/>
        <v/>
      </c>
      <c r="AZ20" s="1529"/>
      <c r="BA20" s="1526" t="str">
        <f t="shared" si="3"/>
        <v/>
      </c>
      <c r="BB20" s="1530"/>
      <c r="BC20" s="1502"/>
      <c r="BD20" s="1530"/>
      <c r="BE20" s="1531"/>
      <c r="BF20" s="1540"/>
    </row>
    <row r="21" spans="2:58" s="40" customFormat="1">
      <c r="B21" s="2002"/>
      <c r="C21" s="2002"/>
      <c r="D21" s="2003"/>
      <c r="E21" s="2003"/>
      <c r="F21" s="1525"/>
      <c r="G21" s="1525"/>
      <c r="H21" s="1533"/>
      <c r="I21" s="1534" t="str">
        <f t="shared" si="0"/>
        <v/>
      </c>
      <c r="J21" s="1535"/>
      <c r="K21" s="1526" t="str">
        <f>IFERROR(IF(H21="","",VLOOKUP(H21,GPC!$D$183:$G$188,4,FALSE)),"")</f>
        <v/>
      </c>
      <c r="L21" s="1529"/>
      <c r="M21" s="1528" t="str">
        <f t="shared" si="1"/>
        <v/>
      </c>
      <c r="N21" s="1529"/>
      <c r="O21" s="1528" t="str">
        <f>IF(N21="","",IF($F21="",N21,IF($F21="CO2e",N21*K21,IF($F21="GHG",N21*HLOOKUP($G21,GWP!$F$11:$I$31,4,FALSE)*K21,""))))</f>
        <v/>
      </c>
      <c r="P21" s="1529"/>
      <c r="Q21" s="1528" t="str">
        <f>IF(P21="","",IF($F21="",P21,IF($F21="CO2e",P21*$K21,IF($F21="GHG",P21*HLOOKUP($G21,GWP!$F$11:$I$31,4,FALSE)*$K21,""))))</f>
        <v/>
      </c>
      <c r="R21" s="1552"/>
      <c r="S21" s="1528" t="str">
        <f>IF(R21="","",IF($F21="",R21,IF($F21="CO2e",R21*$K21,IF($F21="GHG",R21*HLOOKUP($G21,GWP!$F$11:$I$31,4,FALSE)*$K21,""))))</f>
        <v/>
      </c>
      <c r="T21" s="1552"/>
      <c r="U21" s="1528" t="str">
        <f>IF(T21="","",IF($F21="",T21,IF($F21="CO2e",T21*$K21,IF($F21="GHG",T21*HLOOKUP($G21,GWP!$F$11:$I$31,4,FALSE)*$K21,""))))</f>
        <v/>
      </c>
      <c r="V21" s="1529"/>
      <c r="W21" s="1528" t="str">
        <f>IF(V21="","",IF($F21="",V21,IF($F21="CO2e",V21*$K21,IF($F21="GHG",V21*HLOOKUP($G21,GWP!$F$11:$I$31,4,FALSE)*$K21,""))))</f>
        <v/>
      </c>
      <c r="X21" s="1529"/>
      <c r="Y21" s="1528" t="str">
        <f>IF(X21="","",IF($F21="",X21,IF($F21="CO2e",X21*$K21,IF($F21="GHG",X21*HLOOKUP($G21,GWP!$F$11:$I$31,4,FALSE)*$K21,""))))</f>
        <v/>
      </c>
      <c r="Z21" s="1529"/>
      <c r="AA21" s="1528" t="str">
        <f>IF(Z21="","",IF($F21="",Z21,IF($F21="CO2e",Z21*$K21,IF($F21="GHG",Z21*HLOOKUP($G21,GWP!$F$11:$I$31,4,FALSE)*$K21,""))))</f>
        <v/>
      </c>
      <c r="AB21" s="1529"/>
      <c r="AC21" s="1528" t="str">
        <f>IF(AB21="","",IF($F21="",AB21,IF($F21="CO2e",AB21*$K21,IF($F21="GHG",AB21*HLOOKUP($G21,GWP!$F$11:$I$31,4,FALSE)*$K21,""))))</f>
        <v/>
      </c>
      <c r="AD21" s="1529"/>
      <c r="AE21" s="1528" t="str">
        <f>IF(AD21="","",IF($F21="",AD21,IF($F21="CO2e",AD21*$K21,IF($F21="GHG",AD21*HLOOKUP($G21,GWP!$F$11:$I$31,4,FALSE)*$K21,""))))</f>
        <v/>
      </c>
      <c r="AF21" s="1529"/>
      <c r="AG21" s="1528" t="str">
        <f>IF(AF21="","",IF($F21="",AF21,IF($F21="CO2e",AF21*$K21,IF($F21="GHG",AF21*HLOOKUP($G21,GWP!$F$11:$I$31,4,FALSE)*$K21,""))))</f>
        <v/>
      </c>
      <c r="AH21" s="1529"/>
      <c r="AI21" s="1528" t="str">
        <f>IF(AH21="","",IF($F21="",AH21,IF($F21="CO2e",AH21*$K21,IF($F21="GHG",AH21*HLOOKUP($G21,GWP!$F$11:$I$31,4,FALSE)*$K21,""))))</f>
        <v/>
      </c>
      <c r="AJ21" s="1529"/>
      <c r="AK21" s="1528" t="str">
        <f>IF(AJ21="","",IF($F21="",AJ21,IF($F21="CO2e",AJ21*$K21,IF($F21="GHG",AJ21*HLOOKUP($G21,GWP!$F$11:$I$31,4,FALSE)*$K21,""))))</f>
        <v/>
      </c>
      <c r="AL21" s="1529"/>
      <c r="AM21" s="1528" t="str">
        <f>IF(AL21="","",IF($F21="",AL21,IF($F21="CO2e",AL21*$K21,IF($F21="GHG",AL21*HLOOKUP($G21,GWP!$F$11:$I$31,4,FALSE)*$K21,""))))</f>
        <v/>
      </c>
      <c r="AN21" s="1529"/>
      <c r="AO21" s="1528" t="str">
        <f>IF(AN21="","",IF($F21="",AN21,IF($F21="CO2e",AN21*$K21,IF($F21="GHG",AN21*HLOOKUP($G21,GWP!$F$11:$I$31,4,FALSE)*$K21,""))))</f>
        <v/>
      </c>
      <c r="AP21" s="1529"/>
      <c r="AQ21" s="1528" t="str">
        <f>IF(AP21="","",IF($F21="",AP21,IF($F21="CO2e",AP21*$K21,IF($F21="GHG",AP21*HLOOKUP($G21,GWP!$F$11:$I$31,4,FALSE)*$K21,""))))</f>
        <v/>
      </c>
      <c r="AR21" s="1529"/>
      <c r="AS21" s="1528" t="str">
        <f>IF(AR21="","",IF($F21="",AR21,IF($F21="CO2e",AR21*$K21,IF($F21="GHG",AR21*HLOOKUP($G21,GWP!$F$11:$I$31,4,FALSE)*$K21,""))))</f>
        <v/>
      </c>
      <c r="AT21" s="1552"/>
      <c r="AU21" s="1528" t="str">
        <f>IF(AT21="","",IF($F21="",AT21,IF($F21="CO2e",AT21*$K21,IF($F21="GHG",AT21*HLOOKUP($G21,GWP!$F$11:$I$31,4,FALSE)*$K21,""))))</f>
        <v/>
      </c>
      <c r="AV21" s="1552"/>
      <c r="AW21" s="1528" t="str">
        <f>IF(AV21="","",IF($F21="",AV21,IF($F21="CO2e",AV21*$K21,IF($F21="GHG",AV21*HLOOKUP($G21,GWP!$F$11:$I$31,4,FALSE)*$K21,""))))</f>
        <v/>
      </c>
      <c r="AX21" s="1529"/>
      <c r="AY21" s="1526" t="str">
        <f t="shared" si="2"/>
        <v/>
      </c>
      <c r="AZ21" s="1529"/>
      <c r="BA21" s="1526" t="str">
        <f t="shared" si="3"/>
        <v/>
      </c>
      <c r="BB21" s="1530"/>
      <c r="BC21" s="1502"/>
      <c r="BD21" s="1530"/>
      <c r="BE21" s="1531"/>
      <c r="BF21" s="1540"/>
    </row>
    <row r="22" spans="2:58" s="40" customFormat="1">
      <c r="B22" s="2002"/>
      <c r="C22" s="2002"/>
      <c r="D22" s="2003"/>
      <c r="E22" s="2003"/>
      <c r="F22" s="1525"/>
      <c r="G22" s="1525"/>
      <c r="H22" s="1533"/>
      <c r="I22" s="1534" t="str">
        <f t="shared" si="0"/>
        <v/>
      </c>
      <c r="J22" s="1535"/>
      <c r="K22" s="1526" t="str">
        <f>IFERROR(IF(H22="","",VLOOKUP(H22,GPC!$D$183:$G$188,4,FALSE)),"")</f>
        <v/>
      </c>
      <c r="L22" s="1529"/>
      <c r="M22" s="1528" t="str">
        <f t="shared" si="1"/>
        <v/>
      </c>
      <c r="N22" s="1529"/>
      <c r="O22" s="1528" t="str">
        <f>IF(N22="","",IF($F22="",N22,IF($F22="CO2e",N22*K22,IF($F22="GHG",N22*HLOOKUP($G22,GWP!$F$11:$I$31,4,FALSE)*K22,""))))</f>
        <v/>
      </c>
      <c r="P22" s="1529"/>
      <c r="Q22" s="1528" t="str">
        <f>IF(P22="","",IF($F22="",P22,IF($F22="CO2e",P22*$K22,IF($F22="GHG",P22*HLOOKUP($G22,GWP!$F$11:$I$31,4,FALSE)*$K22,""))))</f>
        <v/>
      </c>
      <c r="R22" s="1552"/>
      <c r="S22" s="1528" t="str">
        <f>IF(R22="","",IF($F22="",R22,IF($F22="CO2e",R22*$K22,IF($F22="GHG",R22*HLOOKUP($G22,GWP!$F$11:$I$31,4,FALSE)*$K22,""))))</f>
        <v/>
      </c>
      <c r="T22" s="1552"/>
      <c r="U22" s="1528" t="str">
        <f>IF(T22="","",IF($F22="",T22,IF($F22="CO2e",T22*$K22,IF($F22="GHG",T22*HLOOKUP($G22,GWP!$F$11:$I$31,4,FALSE)*$K22,""))))</f>
        <v/>
      </c>
      <c r="V22" s="1529"/>
      <c r="W22" s="1528" t="str">
        <f>IF(V22="","",IF($F22="",V22,IF($F22="CO2e",V22*$K22,IF($F22="GHG",V22*HLOOKUP($G22,GWP!$F$11:$I$31,4,FALSE)*$K22,""))))</f>
        <v/>
      </c>
      <c r="X22" s="1529"/>
      <c r="Y22" s="1528" t="str">
        <f>IF(X22="","",IF($F22="",X22,IF($F22="CO2e",X22*$K22,IF($F22="GHG",X22*HLOOKUP($G22,GWP!$F$11:$I$31,4,FALSE)*$K22,""))))</f>
        <v/>
      </c>
      <c r="Z22" s="1529"/>
      <c r="AA22" s="1528" t="str">
        <f>IF(Z22="","",IF($F22="",Z22,IF($F22="CO2e",Z22*$K22,IF($F22="GHG",Z22*HLOOKUP($G22,GWP!$F$11:$I$31,4,FALSE)*$K22,""))))</f>
        <v/>
      </c>
      <c r="AB22" s="1529"/>
      <c r="AC22" s="1528" t="str">
        <f>IF(AB22="","",IF($F22="",AB22,IF($F22="CO2e",AB22*$K22,IF($F22="GHG",AB22*HLOOKUP($G22,GWP!$F$11:$I$31,4,FALSE)*$K22,""))))</f>
        <v/>
      </c>
      <c r="AD22" s="1529"/>
      <c r="AE22" s="1528" t="str">
        <f>IF(AD22="","",IF($F22="",AD22,IF($F22="CO2e",AD22*$K22,IF($F22="GHG",AD22*HLOOKUP($G22,GWP!$F$11:$I$31,4,FALSE)*$K22,""))))</f>
        <v/>
      </c>
      <c r="AF22" s="1529"/>
      <c r="AG22" s="1528" t="str">
        <f>IF(AF22="","",IF($F22="",AF22,IF($F22="CO2e",AF22*$K22,IF($F22="GHG",AF22*HLOOKUP($G22,GWP!$F$11:$I$31,4,FALSE)*$K22,""))))</f>
        <v/>
      </c>
      <c r="AH22" s="1529"/>
      <c r="AI22" s="1528" t="str">
        <f>IF(AH22="","",IF($F22="",AH22,IF($F22="CO2e",AH22*$K22,IF($F22="GHG",AH22*HLOOKUP($G22,GWP!$F$11:$I$31,4,FALSE)*$K22,""))))</f>
        <v/>
      </c>
      <c r="AJ22" s="1529"/>
      <c r="AK22" s="1528" t="str">
        <f>IF(AJ22="","",IF($F22="",AJ22,IF($F22="CO2e",AJ22*$K22,IF($F22="GHG",AJ22*HLOOKUP($G22,GWP!$F$11:$I$31,4,FALSE)*$K22,""))))</f>
        <v/>
      </c>
      <c r="AL22" s="1529"/>
      <c r="AM22" s="1528" t="str">
        <f>IF(AL22="","",IF($F22="",AL22,IF($F22="CO2e",AL22*$K22,IF($F22="GHG",AL22*HLOOKUP($G22,GWP!$F$11:$I$31,4,FALSE)*$K22,""))))</f>
        <v/>
      </c>
      <c r="AN22" s="1529"/>
      <c r="AO22" s="1528" t="str">
        <f>IF(AN22="","",IF($F22="",AN22,IF($F22="CO2e",AN22*$K22,IF($F22="GHG",AN22*HLOOKUP($G22,GWP!$F$11:$I$31,4,FALSE)*$K22,""))))</f>
        <v/>
      </c>
      <c r="AP22" s="1529"/>
      <c r="AQ22" s="1528" t="str">
        <f>IF(AP22="","",IF($F22="",AP22,IF($F22="CO2e",AP22*$K22,IF($F22="GHG",AP22*HLOOKUP($G22,GWP!$F$11:$I$31,4,FALSE)*$K22,""))))</f>
        <v/>
      </c>
      <c r="AR22" s="1529"/>
      <c r="AS22" s="1528" t="str">
        <f>IF(AR22="","",IF($F22="",AR22,IF($F22="CO2e",AR22*$K22,IF($F22="GHG",AR22*HLOOKUP($G22,GWP!$F$11:$I$31,4,FALSE)*$K22,""))))</f>
        <v/>
      </c>
      <c r="AT22" s="1552"/>
      <c r="AU22" s="1528" t="str">
        <f>IF(AT22="","",IF($F22="",AT22,IF($F22="CO2e",AT22*$K22,IF($F22="GHG",AT22*HLOOKUP($G22,GWP!$F$11:$I$31,4,FALSE)*$K22,""))))</f>
        <v/>
      </c>
      <c r="AV22" s="1552"/>
      <c r="AW22" s="1528" t="str">
        <f>IF(AV22="","",IF($F22="",AV22,IF($F22="CO2e",AV22*$K22,IF($F22="GHG",AV22*HLOOKUP($G22,GWP!$F$11:$I$31,4,FALSE)*$K22,""))))</f>
        <v/>
      </c>
      <c r="AX22" s="1529"/>
      <c r="AY22" s="1526" t="str">
        <f t="shared" si="2"/>
        <v/>
      </c>
      <c r="AZ22" s="1529"/>
      <c r="BA22" s="1526" t="str">
        <f t="shared" si="3"/>
        <v/>
      </c>
      <c r="BB22" s="1530"/>
      <c r="BC22" s="1502"/>
      <c r="BD22" s="1530"/>
      <c r="BE22" s="1531"/>
      <c r="BF22" s="1540"/>
    </row>
    <row r="23" spans="2:58" s="40" customFormat="1">
      <c r="B23" s="2002"/>
      <c r="C23" s="2002"/>
      <c r="D23" s="2003"/>
      <c r="E23" s="2003"/>
      <c r="F23" s="1525"/>
      <c r="G23" s="1525"/>
      <c r="H23" s="1533"/>
      <c r="I23" s="1534" t="str">
        <f t="shared" si="0"/>
        <v/>
      </c>
      <c r="J23" s="1535"/>
      <c r="K23" s="1526" t="str">
        <f>IFERROR(IF(H23="","",VLOOKUP(H23,GPC!$D$183:$G$188,4,FALSE)),"")</f>
        <v/>
      </c>
      <c r="L23" s="1529"/>
      <c r="M23" s="1528" t="str">
        <f t="shared" si="1"/>
        <v/>
      </c>
      <c r="N23" s="1529"/>
      <c r="O23" s="1528" t="str">
        <f>IF(N23="","",IF($F23="",N23,IF($F23="CO2e",N23*K23,IF($F23="GHG",N23*HLOOKUP($G23,GWP!$F$11:$I$31,4,FALSE)*K23,""))))</f>
        <v/>
      </c>
      <c r="P23" s="1529"/>
      <c r="Q23" s="1528" t="str">
        <f>IF(P23="","",IF($F23="",P23,IF($F23="CO2e",P23*$K23,IF($F23="GHG",P23*HLOOKUP($G23,GWP!$F$11:$I$31,4,FALSE)*$K23,""))))</f>
        <v/>
      </c>
      <c r="R23" s="1552"/>
      <c r="S23" s="1528" t="str">
        <f>IF(R23="","",IF($F23="",R23,IF($F23="CO2e",R23*$K23,IF($F23="GHG",R23*HLOOKUP($G23,GWP!$F$11:$I$31,4,FALSE)*$K23,""))))</f>
        <v/>
      </c>
      <c r="T23" s="1552"/>
      <c r="U23" s="1528" t="str">
        <f>IF(T23="","",IF($F23="",T23,IF($F23="CO2e",T23*$K23,IF($F23="GHG",T23*HLOOKUP($G23,GWP!$F$11:$I$31,4,FALSE)*$K23,""))))</f>
        <v/>
      </c>
      <c r="V23" s="1529"/>
      <c r="W23" s="1528" t="str">
        <f>IF(V23="","",IF($F23="",V23,IF($F23="CO2e",V23*$K23,IF($F23="GHG",V23*HLOOKUP($G23,GWP!$F$11:$I$31,4,FALSE)*$K23,""))))</f>
        <v/>
      </c>
      <c r="X23" s="1529"/>
      <c r="Y23" s="1528" t="str">
        <f>IF(X23="","",IF($F23="",X23,IF($F23="CO2e",X23*$K23,IF($F23="GHG",X23*HLOOKUP($G23,GWP!$F$11:$I$31,4,FALSE)*$K23,""))))</f>
        <v/>
      </c>
      <c r="Z23" s="1529"/>
      <c r="AA23" s="1528" t="str">
        <f>IF(Z23="","",IF($F23="",Z23,IF($F23="CO2e",Z23*$K23,IF($F23="GHG",Z23*HLOOKUP($G23,GWP!$F$11:$I$31,4,FALSE)*$K23,""))))</f>
        <v/>
      </c>
      <c r="AB23" s="1529"/>
      <c r="AC23" s="1528" t="str">
        <f>IF(AB23="","",IF($F23="",AB23,IF($F23="CO2e",AB23*$K23,IF($F23="GHG",AB23*HLOOKUP($G23,GWP!$F$11:$I$31,4,FALSE)*$K23,""))))</f>
        <v/>
      </c>
      <c r="AD23" s="1529"/>
      <c r="AE23" s="1528" t="str">
        <f>IF(AD23="","",IF($F23="",AD23,IF($F23="CO2e",AD23*$K23,IF($F23="GHG",AD23*HLOOKUP($G23,GWP!$F$11:$I$31,4,FALSE)*$K23,""))))</f>
        <v/>
      </c>
      <c r="AF23" s="1529"/>
      <c r="AG23" s="1528" t="str">
        <f>IF(AF23="","",IF($F23="",AF23,IF($F23="CO2e",AF23*$K23,IF($F23="GHG",AF23*HLOOKUP($G23,GWP!$F$11:$I$31,4,FALSE)*$K23,""))))</f>
        <v/>
      </c>
      <c r="AH23" s="1529"/>
      <c r="AI23" s="1528" t="str">
        <f>IF(AH23="","",IF($F23="",AH23,IF($F23="CO2e",AH23*$K23,IF($F23="GHG",AH23*HLOOKUP($G23,GWP!$F$11:$I$31,4,FALSE)*$K23,""))))</f>
        <v/>
      </c>
      <c r="AJ23" s="1529"/>
      <c r="AK23" s="1528" t="str">
        <f>IF(AJ23="","",IF($F23="",AJ23,IF($F23="CO2e",AJ23*$K23,IF($F23="GHG",AJ23*HLOOKUP($G23,GWP!$F$11:$I$31,4,FALSE)*$K23,""))))</f>
        <v/>
      </c>
      <c r="AL23" s="1529"/>
      <c r="AM23" s="1528" t="str">
        <f>IF(AL23="","",IF($F23="",AL23,IF($F23="CO2e",AL23*$K23,IF($F23="GHG",AL23*HLOOKUP($G23,GWP!$F$11:$I$31,4,FALSE)*$K23,""))))</f>
        <v/>
      </c>
      <c r="AN23" s="1529"/>
      <c r="AO23" s="1528" t="str">
        <f>IF(AN23="","",IF($F23="",AN23,IF($F23="CO2e",AN23*$K23,IF($F23="GHG",AN23*HLOOKUP($G23,GWP!$F$11:$I$31,4,FALSE)*$K23,""))))</f>
        <v/>
      </c>
      <c r="AP23" s="1529"/>
      <c r="AQ23" s="1528" t="str">
        <f>IF(AP23="","",IF($F23="",AP23,IF($F23="CO2e",AP23*$K23,IF($F23="GHG",AP23*HLOOKUP($G23,GWP!$F$11:$I$31,4,FALSE)*$K23,""))))</f>
        <v/>
      </c>
      <c r="AR23" s="1529"/>
      <c r="AS23" s="1528" t="str">
        <f>IF(AR23="","",IF($F23="",AR23,IF($F23="CO2e",AR23*$K23,IF($F23="GHG",AR23*HLOOKUP($G23,GWP!$F$11:$I$31,4,FALSE)*$K23,""))))</f>
        <v/>
      </c>
      <c r="AT23" s="1552"/>
      <c r="AU23" s="1528" t="str">
        <f>IF(AT23="","",IF($F23="",AT23,IF($F23="CO2e",AT23*$K23,IF($F23="GHG",AT23*HLOOKUP($G23,GWP!$F$11:$I$31,4,FALSE)*$K23,""))))</f>
        <v/>
      </c>
      <c r="AV23" s="1552"/>
      <c r="AW23" s="1528" t="str">
        <f>IF(AV23="","",IF($F23="",AV23,IF($F23="CO2e",AV23*$K23,IF($F23="GHG",AV23*HLOOKUP($G23,GWP!$F$11:$I$31,4,FALSE)*$K23,""))))</f>
        <v/>
      </c>
      <c r="AX23" s="1529"/>
      <c r="AY23" s="1526" t="str">
        <f t="shared" si="2"/>
        <v/>
      </c>
      <c r="AZ23" s="1529"/>
      <c r="BA23" s="1526" t="str">
        <f t="shared" si="3"/>
        <v/>
      </c>
      <c r="BB23" s="1530"/>
      <c r="BC23" s="1502"/>
      <c r="BD23" s="1530"/>
      <c r="BE23" s="1531"/>
      <c r="BF23" s="1540"/>
    </row>
    <row r="24" spans="2:58" s="40" customFormat="1">
      <c r="B24" s="2002"/>
      <c r="C24" s="2002"/>
      <c r="D24" s="2003"/>
      <c r="E24" s="2003"/>
      <c r="F24" s="1525"/>
      <c r="G24" s="1525"/>
      <c r="H24" s="1533"/>
      <c r="I24" s="1534" t="str">
        <f t="shared" si="0"/>
        <v/>
      </c>
      <c r="J24" s="1535"/>
      <c r="K24" s="1526" t="str">
        <f>IFERROR(IF(H24="","",VLOOKUP(H24,GPC!$D$183:$G$188,4,FALSE)),"")</f>
        <v/>
      </c>
      <c r="L24" s="1529"/>
      <c r="M24" s="1528" t="str">
        <f t="shared" si="1"/>
        <v/>
      </c>
      <c r="N24" s="1529"/>
      <c r="O24" s="1528" t="str">
        <f>IF(N24="","",IF($F24="",N24,IF($F24="CO2e",N24*K24,IF($F24="GHG",N24*HLOOKUP($G24,GWP!$F$11:$I$31,4,FALSE)*K24,""))))</f>
        <v/>
      </c>
      <c r="P24" s="1529"/>
      <c r="Q24" s="1528" t="str">
        <f>IF(P24="","",IF($F24="",P24,IF($F24="CO2e",P24*$K24,IF($F24="GHG",P24*HLOOKUP($G24,GWP!$F$11:$I$31,4,FALSE)*$K24,""))))</f>
        <v/>
      </c>
      <c r="R24" s="1552"/>
      <c r="S24" s="1528" t="str">
        <f>IF(R24="","",IF($F24="",R24,IF($F24="CO2e",R24*$K24,IF($F24="GHG",R24*HLOOKUP($G24,GWP!$F$11:$I$31,4,FALSE)*$K24,""))))</f>
        <v/>
      </c>
      <c r="T24" s="1552"/>
      <c r="U24" s="1528" t="str">
        <f>IF(T24="","",IF($F24="",T24,IF($F24="CO2e",T24*$K24,IF($F24="GHG",T24*HLOOKUP($G24,GWP!$F$11:$I$31,4,FALSE)*$K24,""))))</f>
        <v/>
      </c>
      <c r="V24" s="1529"/>
      <c r="W24" s="1528" t="str">
        <f>IF(V24="","",IF($F24="",V24,IF($F24="CO2e",V24*$K24,IF($F24="GHG",V24*HLOOKUP($G24,GWP!$F$11:$I$31,4,FALSE)*$K24,""))))</f>
        <v/>
      </c>
      <c r="X24" s="1529"/>
      <c r="Y24" s="1528" t="str">
        <f>IF(X24="","",IF($F24="",X24,IF($F24="CO2e",X24*$K24,IF($F24="GHG",X24*HLOOKUP($G24,GWP!$F$11:$I$31,4,FALSE)*$K24,""))))</f>
        <v/>
      </c>
      <c r="Z24" s="1529"/>
      <c r="AA24" s="1528" t="str">
        <f>IF(Z24="","",IF($F24="",Z24,IF($F24="CO2e",Z24*$K24,IF($F24="GHG",Z24*HLOOKUP($G24,GWP!$F$11:$I$31,4,FALSE)*$K24,""))))</f>
        <v/>
      </c>
      <c r="AB24" s="1529"/>
      <c r="AC24" s="1528" t="str">
        <f>IF(AB24="","",IF($F24="",AB24,IF($F24="CO2e",AB24*$K24,IF($F24="GHG",AB24*HLOOKUP($G24,GWP!$F$11:$I$31,4,FALSE)*$K24,""))))</f>
        <v/>
      </c>
      <c r="AD24" s="1529"/>
      <c r="AE24" s="1528" t="str">
        <f>IF(AD24="","",IF($F24="",AD24,IF($F24="CO2e",AD24*$K24,IF($F24="GHG",AD24*HLOOKUP($G24,GWP!$F$11:$I$31,4,FALSE)*$K24,""))))</f>
        <v/>
      </c>
      <c r="AF24" s="1529"/>
      <c r="AG24" s="1528" t="str">
        <f>IF(AF24="","",IF($F24="",AF24,IF($F24="CO2e",AF24*$K24,IF($F24="GHG",AF24*HLOOKUP($G24,GWP!$F$11:$I$31,4,FALSE)*$K24,""))))</f>
        <v/>
      </c>
      <c r="AH24" s="1529"/>
      <c r="AI24" s="1528" t="str">
        <f>IF(AH24="","",IF($F24="",AH24,IF($F24="CO2e",AH24*$K24,IF($F24="GHG",AH24*HLOOKUP($G24,GWP!$F$11:$I$31,4,FALSE)*$K24,""))))</f>
        <v/>
      </c>
      <c r="AJ24" s="1529"/>
      <c r="AK24" s="1528" t="str">
        <f>IF(AJ24="","",IF($F24="",AJ24,IF($F24="CO2e",AJ24*$K24,IF($F24="GHG",AJ24*HLOOKUP($G24,GWP!$F$11:$I$31,4,FALSE)*$K24,""))))</f>
        <v/>
      </c>
      <c r="AL24" s="1529"/>
      <c r="AM24" s="1528" t="str">
        <f>IF(AL24="","",IF($F24="",AL24,IF($F24="CO2e",AL24*$K24,IF($F24="GHG",AL24*HLOOKUP($G24,GWP!$F$11:$I$31,4,FALSE)*$K24,""))))</f>
        <v/>
      </c>
      <c r="AN24" s="1529"/>
      <c r="AO24" s="1528" t="str">
        <f>IF(AN24="","",IF($F24="",AN24,IF($F24="CO2e",AN24*$K24,IF($F24="GHG",AN24*HLOOKUP($G24,GWP!$F$11:$I$31,4,FALSE)*$K24,""))))</f>
        <v/>
      </c>
      <c r="AP24" s="1529"/>
      <c r="AQ24" s="1528" t="str">
        <f>IF(AP24="","",IF($F24="",AP24,IF($F24="CO2e",AP24*$K24,IF($F24="GHG",AP24*HLOOKUP($G24,GWP!$F$11:$I$31,4,FALSE)*$K24,""))))</f>
        <v/>
      </c>
      <c r="AR24" s="1529"/>
      <c r="AS24" s="1528" t="str">
        <f>IF(AR24="","",IF($F24="",AR24,IF($F24="CO2e",AR24*$K24,IF($F24="GHG",AR24*HLOOKUP($G24,GWP!$F$11:$I$31,4,FALSE)*$K24,""))))</f>
        <v/>
      </c>
      <c r="AT24" s="1552"/>
      <c r="AU24" s="1528" t="str">
        <f>IF(AT24="","",IF($F24="",AT24,IF($F24="CO2e",AT24*$K24,IF($F24="GHG",AT24*HLOOKUP($G24,GWP!$F$11:$I$31,4,FALSE)*$K24,""))))</f>
        <v/>
      </c>
      <c r="AV24" s="1552"/>
      <c r="AW24" s="1528" t="str">
        <f>IF(AV24="","",IF($F24="",AV24,IF($F24="CO2e",AV24*$K24,IF($F24="GHG",AV24*HLOOKUP($G24,GWP!$F$11:$I$31,4,FALSE)*$K24,""))))</f>
        <v/>
      </c>
      <c r="AX24" s="1529"/>
      <c r="AY24" s="1526" t="str">
        <f t="shared" si="2"/>
        <v/>
      </c>
      <c r="AZ24" s="1529"/>
      <c r="BA24" s="1526" t="str">
        <f t="shared" si="3"/>
        <v/>
      </c>
      <c r="BB24" s="1530"/>
      <c r="BC24" s="1502"/>
      <c r="BD24" s="1530"/>
      <c r="BE24" s="1531"/>
      <c r="BF24" s="1540"/>
    </row>
    <row r="25" spans="2:58" s="40" customFormat="1">
      <c r="B25" s="2002"/>
      <c r="C25" s="2002"/>
      <c r="D25" s="2003"/>
      <c r="E25" s="2003"/>
      <c r="F25" s="1525"/>
      <c r="G25" s="1525"/>
      <c r="H25" s="1533"/>
      <c r="I25" s="1534" t="str">
        <f t="shared" si="0"/>
        <v/>
      </c>
      <c r="J25" s="1535"/>
      <c r="K25" s="1526" t="str">
        <f>IFERROR(IF(H25="","",VLOOKUP(H25,GPC!$D$183:$G$188,4,FALSE)),"")</f>
        <v/>
      </c>
      <c r="L25" s="1529"/>
      <c r="M25" s="1528" t="str">
        <f t="shared" si="1"/>
        <v/>
      </c>
      <c r="N25" s="1529"/>
      <c r="O25" s="1528" t="str">
        <f>IF(N25="","",IF($F25="",N25,IF($F25="CO2e",N25*K25,IF($F25="GHG",N25*HLOOKUP($G25,GWP!$F$11:$I$31,4,FALSE)*K25,""))))</f>
        <v/>
      </c>
      <c r="P25" s="1529"/>
      <c r="Q25" s="1528" t="str">
        <f>IF(P25="","",IF($F25="",P25,IF($F25="CO2e",P25*$K25,IF($F25="GHG",P25*HLOOKUP($G25,GWP!$F$11:$I$31,4,FALSE)*$K25,""))))</f>
        <v/>
      </c>
      <c r="R25" s="1552"/>
      <c r="S25" s="1528" t="str">
        <f>IF(R25="","",IF($F25="",R25,IF($F25="CO2e",R25*$K25,IF($F25="GHG",R25*HLOOKUP($G25,GWP!$F$11:$I$31,4,FALSE)*$K25,""))))</f>
        <v/>
      </c>
      <c r="T25" s="1552"/>
      <c r="U25" s="1528" t="str">
        <f>IF(T25="","",IF($F25="",T25,IF($F25="CO2e",T25*$K25,IF($F25="GHG",T25*HLOOKUP($G25,GWP!$F$11:$I$31,4,FALSE)*$K25,""))))</f>
        <v/>
      </c>
      <c r="V25" s="1529"/>
      <c r="W25" s="1528" t="str">
        <f>IF(V25="","",IF($F25="",V25,IF($F25="CO2e",V25*$K25,IF($F25="GHG",V25*HLOOKUP($G25,GWP!$F$11:$I$31,4,FALSE)*$K25,""))))</f>
        <v/>
      </c>
      <c r="X25" s="1529"/>
      <c r="Y25" s="1528" t="str">
        <f>IF(X25="","",IF($F25="",X25,IF($F25="CO2e",X25*$K25,IF($F25="GHG",X25*HLOOKUP($G25,GWP!$F$11:$I$31,4,FALSE)*$K25,""))))</f>
        <v/>
      </c>
      <c r="Z25" s="1529"/>
      <c r="AA25" s="1528" t="str">
        <f>IF(Z25="","",IF($F25="",Z25,IF($F25="CO2e",Z25*$K25,IF($F25="GHG",Z25*HLOOKUP($G25,GWP!$F$11:$I$31,4,FALSE)*$K25,""))))</f>
        <v/>
      </c>
      <c r="AB25" s="1529"/>
      <c r="AC25" s="1528" t="str">
        <f>IF(AB25="","",IF($F25="",AB25,IF($F25="CO2e",AB25*$K25,IF($F25="GHG",AB25*HLOOKUP($G25,GWP!$F$11:$I$31,4,FALSE)*$K25,""))))</f>
        <v/>
      </c>
      <c r="AD25" s="1529"/>
      <c r="AE25" s="1528" t="str">
        <f>IF(AD25="","",IF($F25="",AD25,IF($F25="CO2e",AD25*$K25,IF($F25="GHG",AD25*HLOOKUP($G25,GWP!$F$11:$I$31,4,FALSE)*$K25,""))))</f>
        <v/>
      </c>
      <c r="AF25" s="1529"/>
      <c r="AG25" s="1528" t="str">
        <f>IF(AF25="","",IF($F25="",AF25,IF($F25="CO2e",AF25*$K25,IF($F25="GHG",AF25*HLOOKUP($G25,GWP!$F$11:$I$31,4,FALSE)*$K25,""))))</f>
        <v/>
      </c>
      <c r="AH25" s="1529"/>
      <c r="AI25" s="1528" t="str">
        <f>IF(AH25="","",IF($F25="",AH25,IF($F25="CO2e",AH25*$K25,IF($F25="GHG",AH25*HLOOKUP($G25,GWP!$F$11:$I$31,4,FALSE)*$K25,""))))</f>
        <v/>
      </c>
      <c r="AJ25" s="1529"/>
      <c r="AK25" s="1528" t="str">
        <f>IF(AJ25="","",IF($F25="",AJ25,IF($F25="CO2e",AJ25*$K25,IF($F25="GHG",AJ25*HLOOKUP($G25,GWP!$F$11:$I$31,4,FALSE)*$K25,""))))</f>
        <v/>
      </c>
      <c r="AL25" s="1529"/>
      <c r="AM25" s="1528" t="str">
        <f>IF(AL25="","",IF($F25="",AL25,IF($F25="CO2e",AL25*$K25,IF($F25="GHG",AL25*HLOOKUP($G25,GWP!$F$11:$I$31,4,FALSE)*$K25,""))))</f>
        <v/>
      </c>
      <c r="AN25" s="1529"/>
      <c r="AO25" s="1528" t="str">
        <f>IF(AN25="","",IF($F25="",AN25,IF($F25="CO2e",AN25*$K25,IF($F25="GHG",AN25*HLOOKUP($G25,GWP!$F$11:$I$31,4,FALSE)*$K25,""))))</f>
        <v/>
      </c>
      <c r="AP25" s="1529"/>
      <c r="AQ25" s="1528" t="str">
        <f>IF(AP25="","",IF($F25="",AP25,IF($F25="CO2e",AP25*$K25,IF($F25="GHG",AP25*HLOOKUP($G25,GWP!$F$11:$I$31,4,FALSE)*$K25,""))))</f>
        <v/>
      </c>
      <c r="AR25" s="1529"/>
      <c r="AS25" s="1528" t="str">
        <f>IF(AR25="","",IF($F25="",AR25,IF($F25="CO2e",AR25*$K25,IF($F25="GHG",AR25*HLOOKUP($G25,GWP!$F$11:$I$31,4,FALSE)*$K25,""))))</f>
        <v/>
      </c>
      <c r="AT25" s="1552"/>
      <c r="AU25" s="1528" t="str">
        <f>IF(AT25="","",IF($F25="",AT25,IF($F25="CO2e",AT25*$K25,IF($F25="GHG",AT25*HLOOKUP($G25,GWP!$F$11:$I$31,4,FALSE)*$K25,""))))</f>
        <v/>
      </c>
      <c r="AV25" s="1552"/>
      <c r="AW25" s="1528" t="str">
        <f>IF(AV25="","",IF($F25="",AV25,IF($F25="CO2e",AV25*$K25,IF($F25="GHG",AV25*HLOOKUP($G25,GWP!$F$11:$I$31,4,FALSE)*$K25,""))))</f>
        <v/>
      </c>
      <c r="AX25" s="1529"/>
      <c r="AY25" s="1526" t="str">
        <f t="shared" si="2"/>
        <v/>
      </c>
      <c r="AZ25" s="1529"/>
      <c r="BA25" s="1526" t="str">
        <f t="shared" si="3"/>
        <v/>
      </c>
      <c r="BB25" s="1530"/>
      <c r="BC25" s="1502"/>
      <c r="BD25" s="1530"/>
      <c r="BE25" s="1531"/>
      <c r="BF25" s="1540"/>
    </row>
    <row r="26" spans="2:58" s="40" customFormat="1">
      <c r="B26" s="2002"/>
      <c r="C26" s="2002"/>
      <c r="D26" s="2003"/>
      <c r="E26" s="2003"/>
      <c r="F26" s="1525"/>
      <c r="G26" s="1525"/>
      <c r="H26" s="1533"/>
      <c r="I26" s="1534" t="str">
        <f t="shared" si="0"/>
        <v/>
      </c>
      <c r="J26" s="1535"/>
      <c r="K26" s="1526" t="str">
        <f>IFERROR(IF(H26="","",VLOOKUP(H26,GPC!$D$183:$G$188,4,FALSE)),"")</f>
        <v/>
      </c>
      <c r="L26" s="1529"/>
      <c r="M26" s="1528" t="str">
        <f t="shared" si="1"/>
        <v/>
      </c>
      <c r="N26" s="1529"/>
      <c r="O26" s="1528" t="str">
        <f>IF(N26="","",IF($F26="",N26,IF($F26="CO2e",N26*K26,IF($F26="GHG",N26*HLOOKUP($G26,GWP!$F$11:$I$31,4,FALSE)*K26,""))))</f>
        <v/>
      </c>
      <c r="P26" s="1529"/>
      <c r="Q26" s="1528" t="str">
        <f>IF(P26="","",IF($F26="",P26,IF($F26="CO2e",P26*$K26,IF($F26="GHG",P26*HLOOKUP($G26,GWP!$F$11:$I$31,4,FALSE)*$K26,""))))</f>
        <v/>
      </c>
      <c r="R26" s="1552"/>
      <c r="S26" s="1528" t="str">
        <f>IF(R26="","",IF($F26="",R26,IF($F26="CO2e",R26*$K26,IF($F26="GHG",R26*HLOOKUP($G26,GWP!$F$11:$I$31,4,FALSE)*$K26,""))))</f>
        <v/>
      </c>
      <c r="T26" s="1552"/>
      <c r="U26" s="1528" t="str">
        <f>IF(T26="","",IF($F26="",T26,IF($F26="CO2e",T26*$K26,IF($F26="GHG",T26*HLOOKUP($G26,GWP!$F$11:$I$31,4,FALSE)*$K26,""))))</f>
        <v/>
      </c>
      <c r="V26" s="1529"/>
      <c r="W26" s="1528" t="str">
        <f>IF(V26="","",IF($F26="",V26,IF($F26="CO2e",V26*$K26,IF($F26="GHG",V26*HLOOKUP($G26,GWP!$F$11:$I$31,4,FALSE)*$K26,""))))</f>
        <v/>
      </c>
      <c r="X26" s="1529"/>
      <c r="Y26" s="1528" t="str">
        <f>IF(X26="","",IF($F26="",X26,IF($F26="CO2e",X26*$K26,IF($F26="GHG",X26*HLOOKUP($G26,GWP!$F$11:$I$31,4,FALSE)*$K26,""))))</f>
        <v/>
      </c>
      <c r="Z26" s="1529"/>
      <c r="AA26" s="1528" t="str">
        <f>IF(Z26="","",IF($F26="",Z26,IF($F26="CO2e",Z26*$K26,IF($F26="GHG",Z26*HLOOKUP($G26,GWP!$F$11:$I$31,4,FALSE)*$K26,""))))</f>
        <v/>
      </c>
      <c r="AB26" s="1529"/>
      <c r="AC26" s="1528" t="str">
        <f>IF(AB26="","",IF($F26="",AB26,IF($F26="CO2e",AB26*$K26,IF($F26="GHG",AB26*HLOOKUP($G26,GWP!$F$11:$I$31,4,FALSE)*$K26,""))))</f>
        <v/>
      </c>
      <c r="AD26" s="1529"/>
      <c r="AE26" s="1528" t="str">
        <f>IF(AD26="","",IF($F26="",AD26,IF($F26="CO2e",AD26*$K26,IF($F26="GHG",AD26*HLOOKUP($G26,GWP!$F$11:$I$31,4,FALSE)*$K26,""))))</f>
        <v/>
      </c>
      <c r="AF26" s="1529"/>
      <c r="AG26" s="1528" t="str">
        <f>IF(AF26="","",IF($F26="",AF26,IF($F26="CO2e",AF26*$K26,IF($F26="GHG",AF26*HLOOKUP($G26,GWP!$F$11:$I$31,4,FALSE)*$K26,""))))</f>
        <v/>
      </c>
      <c r="AH26" s="1529"/>
      <c r="AI26" s="1528" t="str">
        <f>IF(AH26="","",IF($F26="",AH26,IF($F26="CO2e",AH26*$K26,IF($F26="GHG",AH26*HLOOKUP($G26,GWP!$F$11:$I$31,4,FALSE)*$K26,""))))</f>
        <v/>
      </c>
      <c r="AJ26" s="1529"/>
      <c r="AK26" s="1528" t="str">
        <f>IF(AJ26="","",IF($F26="",AJ26,IF($F26="CO2e",AJ26*$K26,IF($F26="GHG",AJ26*HLOOKUP($G26,GWP!$F$11:$I$31,4,FALSE)*$K26,""))))</f>
        <v/>
      </c>
      <c r="AL26" s="1529"/>
      <c r="AM26" s="1528" t="str">
        <f>IF(AL26="","",IF($F26="",AL26,IF($F26="CO2e",AL26*$K26,IF($F26="GHG",AL26*HLOOKUP($G26,GWP!$F$11:$I$31,4,FALSE)*$K26,""))))</f>
        <v/>
      </c>
      <c r="AN26" s="1529"/>
      <c r="AO26" s="1528" t="str">
        <f>IF(AN26="","",IF($F26="",AN26,IF($F26="CO2e",AN26*$K26,IF($F26="GHG",AN26*HLOOKUP($G26,GWP!$F$11:$I$31,4,FALSE)*$K26,""))))</f>
        <v/>
      </c>
      <c r="AP26" s="1529"/>
      <c r="AQ26" s="1528" t="str">
        <f>IF(AP26="","",IF($F26="",AP26,IF($F26="CO2e",AP26*$K26,IF($F26="GHG",AP26*HLOOKUP($G26,GWP!$F$11:$I$31,4,FALSE)*$K26,""))))</f>
        <v/>
      </c>
      <c r="AR26" s="1529"/>
      <c r="AS26" s="1528" t="str">
        <f>IF(AR26="","",IF($F26="",AR26,IF($F26="CO2e",AR26*$K26,IF($F26="GHG",AR26*HLOOKUP($G26,GWP!$F$11:$I$31,4,FALSE)*$K26,""))))</f>
        <v/>
      </c>
      <c r="AT26" s="1552"/>
      <c r="AU26" s="1528" t="str">
        <f>IF(AT26="","",IF($F26="",AT26,IF($F26="CO2e",AT26*$K26,IF($F26="GHG",AT26*HLOOKUP($G26,GWP!$F$11:$I$31,4,FALSE)*$K26,""))))</f>
        <v/>
      </c>
      <c r="AV26" s="1552"/>
      <c r="AW26" s="1528" t="str">
        <f>IF(AV26="","",IF($F26="",AV26,IF($F26="CO2e",AV26*$K26,IF($F26="GHG",AV26*HLOOKUP($G26,GWP!$F$11:$I$31,4,FALSE)*$K26,""))))</f>
        <v/>
      </c>
      <c r="AX26" s="1529"/>
      <c r="AY26" s="1526" t="str">
        <f t="shared" si="2"/>
        <v/>
      </c>
      <c r="AZ26" s="1529"/>
      <c r="BA26" s="1526" t="str">
        <f t="shared" si="3"/>
        <v/>
      </c>
      <c r="BB26" s="1530"/>
      <c r="BC26" s="1502"/>
      <c r="BD26" s="1530"/>
      <c r="BE26" s="1531"/>
      <c r="BF26" s="1540"/>
    </row>
    <row r="27" spans="2:58" s="40" customFormat="1">
      <c r="B27" s="2002"/>
      <c r="C27" s="2002"/>
      <c r="D27" s="2003"/>
      <c r="E27" s="2003"/>
      <c r="F27" s="1525"/>
      <c r="G27" s="1525"/>
      <c r="H27" s="1533"/>
      <c r="I27" s="1534" t="str">
        <f t="shared" si="0"/>
        <v/>
      </c>
      <c r="J27" s="1535"/>
      <c r="K27" s="1526" t="str">
        <f>IFERROR(IF(H27="","",VLOOKUP(H27,GPC!$D$183:$G$188,4,FALSE)),"")</f>
        <v/>
      </c>
      <c r="L27" s="1529"/>
      <c r="M27" s="1528" t="str">
        <f t="shared" si="1"/>
        <v/>
      </c>
      <c r="N27" s="1529"/>
      <c r="O27" s="1528" t="str">
        <f>IF(N27="","",IF($F27="",N27,IF($F27="CO2e",N27*K27,IF($F27="GHG",N27*HLOOKUP($G27,GWP!$F$11:$I$31,4,FALSE)*K27,""))))</f>
        <v/>
      </c>
      <c r="P27" s="1529"/>
      <c r="Q27" s="1528" t="str">
        <f>IF(P27="","",IF($F27="",P27,IF($F27="CO2e",P27*$K27,IF($F27="GHG",P27*HLOOKUP($G27,GWP!$F$11:$I$31,4,FALSE)*$K27,""))))</f>
        <v/>
      </c>
      <c r="R27" s="1552"/>
      <c r="S27" s="1528" t="str">
        <f>IF(R27="","",IF($F27="",R27,IF($F27="CO2e",R27*$K27,IF($F27="GHG",R27*HLOOKUP($G27,GWP!$F$11:$I$31,4,FALSE)*$K27,""))))</f>
        <v/>
      </c>
      <c r="T27" s="1552"/>
      <c r="U27" s="1528" t="str">
        <f>IF(T27="","",IF($F27="",T27,IF($F27="CO2e",T27*$K27,IF($F27="GHG",T27*HLOOKUP($G27,GWP!$F$11:$I$31,4,FALSE)*$K27,""))))</f>
        <v/>
      </c>
      <c r="V27" s="1529"/>
      <c r="W27" s="1528" t="str">
        <f>IF(V27="","",IF($F27="",V27,IF($F27="CO2e",V27*$K27,IF($F27="GHG",V27*HLOOKUP($G27,GWP!$F$11:$I$31,4,FALSE)*$K27,""))))</f>
        <v/>
      </c>
      <c r="X27" s="1529"/>
      <c r="Y27" s="1528" t="str">
        <f>IF(X27="","",IF($F27="",X27,IF($F27="CO2e",X27*$K27,IF($F27="GHG",X27*HLOOKUP($G27,GWP!$F$11:$I$31,4,FALSE)*$K27,""))))</f>
        <v/>
      </c>
      <c r="Z27" s="1529"/>
      <c r="AA27" s="1528" t="str">
        <f>IF(Z27="","",IF($F27="",Z27,IF($F27="CO2e",Z27*$K27,IF($F27="GHG",Z27*HLOOKUP($G27,GWP!$F$11:$I$31,4,FALSE)*$K27,""))))</f>
        <v/>
      </c>
      <c r="AB27" s="1529"/>
      <c r="AC27" s="1528" t="str">
        <f>IF(AB27="","",IF($F27="",AB27,IF($F27="CO2e",AB27*$K27,IF($F27="GHG",AB27*HLOOKUP($G27,GWP!$F$11:$I$31,4,FALSE)*$K27,""))))</f>
        <v/>
      </c>
      <c r="AD27" s="1529"/>
      <c r="AE27" s="1528" t="str">
        <f>IF(AD27="","",IF($F27="",AD27,IF($F27="CO2e",AD27*$K27,IF($F27="GHG",AD27*HLOOKUP($G27,GWP!$F$11:$I$31,4,FALSE)*$K27,""))))</f>
        <v/>
      </c>
      <c r="AF27" s="1529"/>
      <c r="AG27" s="1528" t="str">
        <f>IF(AF27="","",IF($F27="",AF27,IF($F27="CO2e",AF27*$K27,IF($F27="GHG",AF27*HLOOKUP($G27,GWP!$F$11:$I$31,4,FALSE)*$K27,""))))</f>
        <v/>
      </c>
      <c r="AH27" s="1529"/>
      <c r="AI27" s="1528" t="str">
        <f>IF(AH27="","",IF($F27="",AH27,IF($F27="CO2e",AH27*$K27,IF($F27="GHG",AH27*HLOOKUP($G27,GWP!$F$11:$I$31,4,FALSE)*$K27,""))))</f>
        <v/>
      </c>
      <c r="AJ27" s="1529"/>
      <c r="AK27" s="1528" t="str">
        <f>IF(AJ27="","",IF($F27="",AJ27,IF($F27="CO2e",AJ27*$K27,IF($F27="GHG",AJ27*HLOOKUP($G27,GWP!$F$11:$I$31,4,FALSE)*$K27,""))))</f>
        <v/>
      </c>
      <c r="AL27" s="1529"/>
      <c r="AM27" s="1528" t="str">
        <f>IF(AL27="","",IF($F27="",AL27,IF($F27="CO2e",AL27*$K27,IF($F27="GHG",AL27*HLOOKUP($G27,GWP!$F$11:$I$31,4,FALSE)*$K27,""))))</f>
        <v/>
      </c>
      <c r="AN27" s="1529"/>
      <c r="AO27" s="1528" t="str">
        <f>IF(AN27="","",IF($F27="",AN27,IF($F27="CO2e",AN27*$K27,IF($F27="GHG",AN27*HLOOKUP($G27,GWP!$F$11:$I$31,4,FALSE)*$K27,""))))</f>
        <v/>
      </c>
      <c r="AP27" s="1529"/>
      <c r="AQ27" s="1528" t="str">
        <f>IF(AP27="","",IF($F27="",AP27,IF($F27="CO2e",AP27*$K27,IF($F27="GHG",AP27*HLOOKUP($G27,GWP!$F$11:$I$31,4,FALSE)*$K27,""))))</f>
        <v/>
      </c>
      <c r="AR27" s="1529"/>
      <c r="AS27" s="1528" t="str">
        <f>IF(AR27="","",IF($F27="",AR27,IF($F27="CO2e",AR27*$K27,IF($F27="GHG",AR27*HLOOKUP($G27,GWP!$F$11:$I$31,4,FALSE)*$K27,""))))</f>
        <v/>
      </c>
      <c r="AT27" s="1552"/>
      <c r="AU27" s="1528" t="str">
        <f>IF(AT27="","",IF($F27="",AT27,IF($F27="CO2e",AT27*$K27,IF($F27="GHG",AT27*HLOOKUP($G27,GWP!$F$11:$I$31,4,FALSE)*$K27,""))))</f>
        <v/>
      </c>
      <c r="AV27" s="1552"/>
      <c r="AW27" s="1528" t="str">
        <f>IF(AV27="","",IF($F27="",AV27,IF($F27="CO2e",AV27*$K27,IF($F27="GHG",AV27*HLOOKUP($G27,GWP!$F$11:$I$31,4,FALSE)*$K27,""))))</f>
        <v/>
      </c>
      <c r="AX27" s="1529"/>
      <c r="AY27" s="1526" t="str">
        <f t="shared" si="2"/>
        <v/>
      </c>
      <c r="AZ27" s="1529"/>
      <c r="BA27" s="1526" t="str">
        <f t="shared" si="3"/>
        <v/>
      </c>
      <c r="BB27" s="1530"/>
      <c r="BC27" s="1502"/>
      <c r="BD27" s="1530"/>
      <c r="BE27" s="1531"/>
      <c r="BF27" s="1540"/>
    </row>
    <row r="28" spans="2:58" s="40" customFormat="1">
      <c r="B28" s="2002"/>
      <c r="C28" s="2002"/>
      <c r="D28" s="2003"/>
      <c r="E28" s="2003"/>
      <c r="F28" s="1525"/>
      <c r="G28" s="1525"/>
      <c r="H28" s="1533"/>
      <c r="I28" s="1534" t="str">
        <f t="shared" si="0"/>
        <v/>
      </c>
      <c r="J28" s="1535"/>
      <c r="K28" s="1526" t="str">
        <f>IFERROR(IF(H28="","",VLOOKUP(H28,GPC!$D$183:$G$188,4,FALSE)),"")</f>
        <v/>
      </c>
      <c r="L28" s="1529"/>
      <c r="M28" s="1528" t="str">
        <f t="shared" si="1"/>
        <v/>
      </c>
      <c r="N28" s="1529"/>
      <c r="O28" s="1528" t="str">
        <f>IF(N28="","",IF($F28="",N28,IF($F28="CO2e",N28*K28,IF($F28="GHG",N28*HLOOKUP($G28,GWP!$F$11:$I$31,4,FALSE)*K28,""))))</f>
        <v/>
      </c>
      <c r="P28" s="1529"/>
      <c r="Q28" s="1528" t="str">
        <f>IF(P28="","",IF($F28="",P28,IF($F28="CO2e",P28*$K28,IF($F28="GHG",P28*HLOOKUP($G28,GWP!$F$11:$I$31,4,FALSE)*$K28,""))))</f>
        <v/>
      </c>
      <c r="R28" s="1552"/>
      <c r="S28" s="1528" t="str">
        <f>IF(R28="","",IF($F28="",R28,IF($F28="CO2e",R28*$K28,IF($F28="GHG",R28*HLOOKUP($G28,GWP!$F$11:$I$31,4,FALSE)*$K28,""))))</f>
        <v/>
      </c>
      <c r="T28" s="1552"/>
      <c r="U28" s="1528" t="str">
        <f>IF(T28="","",IF($F28="",T28,IF($F28="CO2e",T28*$K28,IF($F28="GHG",T28*HLOOKUP($G28,GWP!$F$11:$I$31,4,FALSE)*$K28,""))))</f>
        <v/>
      </c>
      <c r="V28" s="1529"/>
      <c r="W28" s="1528" t="str">
        <f>IF(V28="","",IF($F28="",V28,IF($F28="CO2e",V28*$K28,IF($F28="GHG",V28*HLOOKUP($G28,GWP!$F$11:$I$31,4,FALSE)*$K28,""))))</f>
        <v/>
      </c>
      <c r="X28" s="1529"/>
      <c r="Y28" s="1528" t="str">
        <f>IF(X28="","",IF($F28="",X28,IF($F28="CO2e",X28*$K28,IF($F28="GHG",X28*HLOOKUP($G28,GWP!$F$11:$I$31,4,FALSE)*$K28,""))))</f>
        <v/>
      </c>
      <c r="Z28" s="1529"/>
      <c r="AA28" s="1528" t="str">
        <f>IF(Z28="","",IF($F28="",Z28,IF($F28="CO2e",Z28*$K28,IF($F28="GHG",Z28*HLOOKUP($G28,GWP!$F$11:$I$31,4,FALSE)*$K28,""))))</f>
        <v/>
      </c>
      <c r="AB28" s="1529"/>
      <c r="AC28" s="1528" t="str">
        <f>IF(AB28="","",IF($F28="",AB28,IF($F28="CO2e",AB28*$K28,IF($F28="GHG",AB28*HLOOKUP($G28,GWP!$F$11:$I$31,4,FALSE)*$K28,""))))</f>
        <v/>
      </c>
      <c r="AD28" s="1529"/>
      <c r="AE28" s="1528" t="str">
        <f>IF(AD28="","",IF($F28="",AD28,IF($F28="CO2e",AD28*$K28,IF($F28="GHG",AD28*HLOOKUP($G28,GWP!$F$11:$I$31,4,FALSE)*$K28,""))))</f>
        <v/>
      </c>
      <c r="AF28" s="1529"/>
      <c r="AG28" s="1528" t="str">
        <f>IF(AF28="","",IF($F28="",AF28,IF($F28="CO2e",AF28*$K28,IF($F28="GHG",AF28*HLOOKUP($G28,GWP!$F$11:$I$31,4,FALSE)*$K28,""))))</f>
        <v/>
      </c>
      <c r="AH28" s="1529"/>
      <c r="AI28" s="1528" t="str">
        <f>IF(AH28="","",IF($F28="",AH28,IF($F28="CO2e",AH28*$K28,IF($F28="GHG",AH28*HLOOKUP($G28,GWP!$F$11:$I$31,4,FALSE)*$K28,""))))</f>
        <v/>
      </c>
      <c r="AJ28" s="1529"/>
      <c r="AK28" s="1528" t="str">
        <f>IF(AJ28="","",IF($F28="",AJ28,IF($F28="CO2e",AJ28*$K28,IF($F28="GHG",AJ28*HLOOKUP($G28,GWP!$F$11:$I$31,4,FALSE)*$K28,""))))</f>
        <v/>
      </c>
      <c r="AL28" s="1529"/>
      <c r="AM28" s="1528" t="str">
        <f>IF(AL28="","",IF($F28="",AL28,IF($F28="CO2e",AL28*$K28,IF($F28="GHG",AL28*HLOOKUP($G28,GWP!$F$11:$I$31,4,FALSE)*$K28,""))))</f>
        <v/>
      </c>
      <c r="AN28" s="1529"/>
      <c r="AO28" s="1528" t="str">
        <f>IF(AN28="","",IF($F28="",AN28,IF($F28="CO2e",AN28*$K28,IF($F28="GHG",AN28*HLOOKUP($G28,GWP!$F$11:$I$31,4,FALSE)*$K28,""))))</f>
        <v/>
      </c>
      <c r="AP28" s="1529"/>
      <c r="AQ28" s="1528" t="str">
        <f>IF(AP28="","",IF($F28="",AP28,IF($F28="CO2e",AP28*$K28,IF($F28="GHG",AP28*HLOOKUP($G28,GWP!$F$11:$I$31,4,FALSE)*$K28,""))))</f>
        <v/>
      </c>
      <c r="AR28" s="1529"/>
      <c r="AS28" s="1528" t="str">
        <f>IF(AR28="","",IF($F28="",AR28,IF($F28="CO2e",AR28*$K28,IF($F28="GHG",AR28*HLOOKUP($G28,GWP!$F$11:$I$31,4,FALSE)*$K28,""))))</f>
        <v/>
      </c>
      <c r="AT28" s="1552"/>
      <c r="AU28" s="1528" t="str">
        <f>IF(AT28="","",IF($F28="",AT28,IF($F28="CO2e",AT28*$K28,IF($F28="GHG",AT28*HLOOKUP($G28,GWP!$F$11:$I$31,4,FALSE)*$K28,""))))</f>
        <v/>
      </c>
      <c r="AV28" s="1552"/>
      <c r="AW28" s="1528" t="str">
        <f>IF(AV28="","",IF($F28="",AV28,IF($F28="CO2e",AV28*$K28,IF($F28="GHG",AV28*HLOOKUP($G28,GWP!$F$11:$I$31,4,FALSE)*$K28,""))))</f>
        <v/>
      </c>
      <c r="AX28" s="1529"/>
      <c r="AY28" s="1526" t="str">
        <f t="shared" si="2"/>
        <v/>
      </c>
      <c r="AZ28" s="1529"/>
      <c r="BA28" s="1526" t="str">
        <f t="shared" si="3"/>
        <v/>
      </c>
      <c r="BB28" s="1530"/>
      <c r="BC28" s="1502"/>
      <c r="BD28" s="1530"/>
      <c r="BE28" s="1531"/>
      <c r="BF28" s="1540"/>
    </row>
    <row r="29" spans="2:58" s="40" customFormat="1">
      <c r="B29" s="2002"/>
      <c r="C29" s="2002"/>
      <c r="D29" s="2003"/>
      <c r="E29" s="2003"/>
      <c r="F29" s="1525"/>
      <c r="G29" s="1525"/>
      <c r="H29" s="1533"/>
      <c r="I29" s="1534" t="str">
        <f t="shared" si="0"/>
        <v/>
      </c>
      <c r="J29" s="1535"/>
      <c r="K29" s="1526" t="str">
        <f>IFERROR(IF(H29="","",VLOOKUP(H29,GPC!$D$183:$G$188,4,FALSE)),"")</f>
        <v/>
      </c>
      <c r="L29" s="1529"/>
      <c r="M29" s="1528" t="str">
        <f t="shared" si="1"/>
        <v/>
      </c>
      <c r="N29" s="1529"/>
      <c r="O29" s="1528" t="str">
        <f>IF(N29="","",IF($F29="",N29,IF($F29="CO2e",N29*K29,IF($F29="GHG",N29*HLOOKUP($G29,GWP!$F$11:$I$31,4,FALSE)*K29,""))))</f>
        <v/>
      </c>
      <c r="P29" s="1529"/>
      <c r="Q29" s="1528" t="str">
        <f>IF(P29="","",IF($F29="",P29,IF($F29="CO2e",P29*$K29,IF($F29="GHG",P29*HLOOKUP($G29,GWP!$F$11:$I$31,4,FALSE)*$K29,""))))</f>
        <v/>
      </c>
      <c r="R29" s="1552"/>
      <c r="S29" s="1528" t="str">
        <f>IF(R29="","",IF($F29="",R29,IF($F29="CO2e",R29*$K29,IF($F29="GHG",R29*HLOOKUP($G29,GWP!$F$11:$I$31,4,FALSE)*$K29,""))))</f>
        <v/>
      </c>
      <c r="T29" s="1552"/>
      <c r="U29" s="1528" t="str">
        <f>IF(T29="","",IF($F29="",T29,IF($F29="CO2e",T29*$K29,IF($F29="GHG",T29*HLOOKUP($G29,GWP!$F$11:$I$31,4,FALSE)*$K29,""))))</f>
        <v/>
      </c>
      <c r="V29" s="1529"/>
      <c r="W29" s="1528" t="str">
        <f>IF(V29="","",IF($F29="",V29,IF($F29="CO2e",V29*$K29,IF($F29="GHG",V29*HLOOKUP($G29,GWP!$F$11:$I$31,4,FALSE)*$K29,""))))</f>
        <v/>
      </c>
      <c r="X29" s="1529"/>
      <c r="Y29" s="1528" t="str">
        <f>IF(X29="","",IF($F29="",X29,IF($F29="CO2e",X29*$K29,IF($F29="GHG",X29*HLOOKUP($G29,GWP!$F$11:$I$31,4,FALSE)*$K29,""))))</f>
        <v/>
      </c>
      <c r="Z29" s="1529"/>
      <c r="AA29" s="1528" t="str">
        <f>IF(Z29="","",IF($F29="",Z29,IF($F29="CO2e",Z29*$K29,IF($F29="GHG",Z29*HLOOKUP($G29,GWP!$F$11:$I$31,4,FALSE)*$K29,""))))</f>
        <v/>
      </c>
      <c r="AB29" s="1529"/>
      <c r="AC29" s="1528" t="str">
        <f>IF(AB29="","",IF($F29="",AB29,IF($F29="CO2e",AB29*$K29,IF($F29="GHG",AB29*HLOOKUP($G29,GWP!$F$11:$I$31,4,FALSE)*$K29,""))))</f>
        <v/>
      </c>
      <c r="AD29" s="1529"/>
      <c r="AE29" s="1528" t="str">
        <f>IF(AD29="","",IF($F29="",AD29,IF($F29="CO2e",AD29*$K29,IF($F29="GHG",AD29*HLOOKUP($G29,GWP!$F$11:$I$31,4,FALSE)*$K29,""))))</f>
        <v/>
      </c>
      <c r="AF29" s="1529"/>
      <c r="AG29" s="1528" t="str">
        <f>IF(AF29="","",IF($F29="",AF29,IF($F29="CO2e",AF29*$K29,IF($F29="GHG",AF29*HLOOKUP($G29,GWP!$F$11:$I$31,4,FALSE)*$K29,""))))</f>
        <v/>
      </c>
      <c r="AH29" s="1529"/>
      <c r="AI29" s="1528" t="str">
        <f>IF(AH29="","",IF($F29="",AH29,IF($F29="CO2e",AH29*$K29,IF($F29="GHG",AH29*HLOOKUP($G29,GWP!$F$11:$I$31,4,FALSE)*$K29,""))))</f>
        <v/>
      </c>
      <c r="AJ29" s="1529"/>
      <c r="AK29" s="1528" t="str">
        <f>IF(AJ29="","",IF($F29="",AJ29,IF($F29="CO2e",AJ29*$K29,IF($F29="GHG",AJ29*HLOOKUP($G29,GWP!$F$11:$I$31,4,FALSE)*$K29,""))))</f>
        <v/>
      </c>
      <c r="AL29" s="1529"/>
      <c r="AM29" s="1528" t="str">
        <f>IF(AL29="","",IF($F29="",AL29,IF($F29="CO2e",AL29*$K29,IF($F29="GHG",AL29*HLOOKUP($G29,GWP!$F$11:$I$31,4,FALSE)*$K29,""))))</f>
        <v/>
      </c>
      <c r="AN29" s="1529"/>
      <c r="AO29" s="1528" t="str">
        <f>IF(AN29="","",IF($F29="",AN29,IF($F29="CO2e",AN29*$K29,IF($F29="GHG",AN29*HLOOKUP($G29,GWP!$F$11:$I$31,4,FALSE)*$K29,""))))</f>
        <v/>
      </c>
      <c r="AP29" s="1529"/>
      <c r="AQ29" s="1528" t="str">
        <f>IF(AP29="","",IF($F29="",AP29,IF($F29="CO2e",AP29*$K29,IF($F29="GHG",AP29*HLOOKUP($G29,GWP!$F$11:$I$31,4,FALSE)*$K29,""))))</f>
        <v/>
      </c>
      <c r="AR29" s="1529"/>
      <c r="AS29" s="1528" t="str">
        <f>IF(AR29="","",IF($F29="",AR29,IF($F29="CO2e",AR29*$K29,IF($F29="GHG",AR29*HLOOKUP($G29,GWP!$F$11:$I$31,4,FALSE)*$K29,""))))</f>
        <v/>
      </c>
      <c r="AT29" s="1552"/>
      <c r="AU29" s="1528" t="str">
        <f>IF(AT29="","",IF($F29="",AT29,IF($F29="CO2e",AT29*$K29,IF($F29="GHG",AT29*HLOOKUP($G29,GWP!$F$11:$I$31,4,FALSE)*$K29,""))))</f>
        <v/>
      </c>
      <c r="AV29" s="1552"/>
      <c r="AW29" s="1528" t="str">
        <f>IF(AV29="","",IF($F29="",AV29,IF($F29="CO2e",AV29*$K29,IF($F29="GHG",AV29*HLOOKUP($G29,GWP!$F$11:$I$31,4,FALSE)*$K29,""))))</f>
        <v/>
      </c>
      <c r="AX29" s="1529"/>
      <c r="AY29" s="1526" t="str">
        <f t="shared" si="2"/>
        <v/>
      </c>
      <c r="AZ29" s="1529"/>
      <c r="BA29" s="1526" t="str">
        <f t="shared" si="3"/>
        <v/>
      </c>
      <c r="BB29" s="1530"/>
      <c r="BC29" s="1502"/>
      <c r="BD29" s="1530"/>
      <c r="BE29" s="1531"/>
      <c r="BF29" s="1540"/>
    </row>
    <row r="30" spans="2:58" s="40" customFormat="1">
      <c r="B30" s="2002"/>
      <c r="C30" s="2002"/>
      <c r="D30" s="2003"/>
      <c r="E30" s="2003"/>
      <c r="F30" s="1525"/>
      <c r="G30" s="1525"/>
      <c r="H30" s="1533"/>
      <c r="I30" s="1534" t="str">
        <f t="shared" si="0"/>
        <v/>
      </c>
      <c r="J30" s="1535"/>
      <c r="K30" s="1526" t="str">
        <f>IFERROR(IF(H30="","",VLOOKUP(H30,GPC!$D$183:$G$188,4,FALSE)),"")</f>
        <v/>
      </c>
      <c r="L30" s="1529"/>
      <c r="M30" s="1528" t="str">
        <f t="shared" si="1"/>
        <v/>
      </c>
      <c r="N30" s="1529"/>
      <c r="O30" s="1528" t="str">
        <f>IF(N30="","",IF($F30="",N30,IF($F30="CO2e",N30*K30,IF($F30="GHG",N30*HLOOKUP($G30,GWP!$F$11:$I$31,4,FALSE)*K30,""))))</f>
        <v/>
      </c>
      <c r="P30" s="1529"/>
      <c r="Q30" s="1528" t="str">
        <f>IF(P30="","",IF($F30="",P30,IF($F30="CO2e",P30*$K30,IF($F30="GHG",P30*HLOOKUP($G30,GWP!$F$11:$I$31,4,FALSE)*$K30,""))))</f>
        <v/>
      </c>
      <c r="R30" s="1552"/>
      <c r="S30" s="1528" t="str">
        <f>IF(R30="","",IF($F30="",R30,IF($F30="CO2e",R30*$K30,IF($F30="GHG",R30*HLOOKUP($G30,GWP!$F$11:$I$31,4,FALSE)*$K30,""))))</f>
        <v/>
      </c>
      <c r="T30" s="1552"/>
      <c r="U30" s="1528" t="str">
        <f>IF(T30="","",IF($F30="",T30,IF($F30="CO2e",T30*$K30,IF($F30="GHG",T30*HLOOKUP($G30,GWP!$F$11:$I$31,4,FALSE)*$K30,""))))</f>
        <v/>
      </c>
      <c r="V30" s="1529"/>
      <c r="W30" s="1528" t="str">
        <f>IF(V30="","",IF($F30="",V30,IF($F30="CO2e",V30*$K30,IF($F30="GHG",V30*HLOOKUP($G30,GWP!$F$11:$I$31,4,FALSE)*$K30,""))))</f>
        <v/>
      </c>
      <c r="X30" s="1529"/>
      <c r="Y30" s="1528" t="str">
        <f>IF(X30="","",IF($F30="",X30,IF($F30="CO2e",X30*$K30,IF($F30="GHG",X30*HLOOKUP($G30,GWP!$F$11:$I$31,4,FALSE)*$K30,""))))</f>
        <v/>
      </c>
      <c r="Z30" s="1529"/>
      <c r="AA30" s="1528" t="str">
        <f>IF(Z30="","",IF($F30="",Z30,IF($F30="CO2e",Z30*$K30,IF($F30="GHG",Z30*HLOOKUP($G30,GWP!$F$11:$I$31,4,FALSE)*$K30,""))))</f>
        <v/>
      </c>
      <c r="AB30" s="1529"/>
      <c r="AC30" s="1528" t="str">
        <f>IF(AB30="","",IF($F30="",AB30,IF($F30="CO2e",AB30*$K30,IF($F30="GHG",AB30*HLOOKUP($G30,GWP!$F$11:$I$31,4,FALSE)*$K30,""))))</f>
        <v/>
      </c>
      <c r="AD30" s="1529"/>
      <c r="AE30" s="1528" t="str">
        <f>IF(AD30="","",IF($F30="",AD30,IF($F30="CO2e",AD30*$K30,IF($F30="GHG",AD30*HLOOKUP($G30,GWP!$F$11:$I$31,4,FALSE)*$K30,""))))</f>
        <v/>
      </c>
      <c r="AF30" s="1529"/>
      <c r="AG30" s="1528" t="str">
        <f>IF(AF30="","",IF($F30="",AF30,IF($F30="CO2e",AF30*$K30,IF($F30="GHG",AF30*HLOOKUP($G30,GWP!$F$11:$I$31,4,FALSE)*$K30,""))))</f>
        <v/>
      </c>
      <c r="AH30" s="1529"/>
      <c r="AI30" s="1528" t="str">
        <f>IF(AH30="","",IF($F30="",AH30,IF($F30="CO2e",AH30*$K30,IF($F30="GHG",AH30*HLOOKUP($G30,GWP!$F$11:$I$31,4,FALSE)*$K30,""))))</f>
        <v/>
      </c>
      <c r="AJ30" s="1529"/>
      <c r="AK30" s="1528" t="str">
        <f>IF(AJ30="","",IF($F30="",AJ30,IF($F30="CO2e",AJ30*$K30,IF($F30="GHG",AJ30*HLOOKUP($G30,GWP!$F$11:$I$31,4,FALSE)*$K30,""))))</f>
        <v/>
      </c>
      <c r="AL30" s="1529"/>
      <c r="AM30" s="1528" t="str">
        <f>IF(AL30="","",IF($F30="",AL30,IF($F30="CO2e",AL30*$K30,IF($F30="GHG",AL30*HLOOKUP($G30,GWP!$F$11:$I$31,4,FALSE)*$K30,""))))</f>
        <v/>
      </c>
      <c r="AN30" s="1529"/>
      <c r="AO30" s="1528" t="str">
        <f>IF(AN30="","",IF($F30="",AN30,IF($F30="CO2e",AN30*$K30,IF($F30="GHG",AN30*HLOOKUP($G30,GWP!$F$11:$I$31,4,FALSE)*$K30,""))))</f>
        <v/>
      </c>
      <c r="AP30" s="1529"/>
      <c r="AQ30" s="1528" t="str">
        <f>IF(AP30="","",IF($F30="",AP30,IF($F30="CO2e",AP30*$K30,IF($F30="GHG",AP30*HLOOKUP($G30,GWP!$F$11:$I$31,4,FALSE)*$K30,""))))</f>
        <v/>
      </c>
      <c r="AR30" s="1529"/>
      <c r="AS30" s="1528" t="str">
        <f>IF(AR30="","",IF($F30="",AR30,IF($F30="CO2e",AR30*$K30,IF($F30="GHG",AR30*HLOOKUP($G30,GWP!$F$11:$I$31,4,FALSE)*$K30,""))))</f>
        <v/>
      </c>
      <c r="AT30" s="1552"/>
      <c r="AU30" s="1528" t="str">
        <f>IF(AT30="","",IF($F30="",AT30,IF($F30="CO2e",AT30*$K30,IF($F30="GHG",AT30*HLOOKUP($G30,GWP!$F$11:$I$31,4,FALSE)*$K30,""))))</f>
        <v/>
      </c>
      <c r="AV30" s="1552"/>
      <c r="AW30" s="1528" t="str">
        <f>IF(AV30="","",IF($F30="",AV30,IF($F30="CO2e",AV30*$K30,IF($F30="GHG",AV30*HLOOKUP($G30,GWP!$F$11:$I$31,4,FALSE)*$K30,""))))</f>
        <v/>
      </c>
      <c r="AX30" s="1529"/>
      <c r="AY30" s="1526" t="str">
        <f t="shared" si="2"/>
        <v/>
      </c>
      <c r="AZ30" s="1529"/>
      <c r="BA30" s="1526" t="str">
        <f t="shared" si="3"/>
        <v/>
      </c>
      <c r="BB30" s="1530"/>
      <c r="BC30" s="1502"/>
      <c r="BD30" s="1530"/>
      <c r="BE30" s="1531"/>
      <c r="BF30" s="1540"/>
    </row>
    <row r="31" spans="2:58" s="40" customFormat="1">
      <c r="B31" s="2002"/>
      <c r="C31" s="2002"/>
      <c r="D31" s="2003"/>
      <c r="E31" s="2003"/>
      <c r="F31" s="1525"/>
      <c r="G31" s="1525"/>
      <c r="H31" s="1533"/>
      <c r="I31" s="1534" t="str">
        <f t="shared" si="0"/>
        <v/>
      </c>
      <c r="J31" s="1535"/>
      <c r="K31" s="1526" t="str">
        <f>IFERROR(IF(H31="","",VLOOKUP(H31,GPC!$D$183:$G$188,4,FALSE)),"")</f>
        <v/>
      </c>
      <c r="L31" s="1529"/>
      <c r="M31" s="1528" t="str">
        <f t="shared" si="1"/>
        <v/>
      </c>
      <c r="N31" s="1529"/>
      <c r="O31" s="1528" t="str">
        <f>IF(N31="","",IF($F31="",N31,IF($F31="CO2e",N31*K31,IF($F31="GHG",N31*HLOOKUP($G31,GWP!$F$11:$I$31,4,FALSE)*K31,""))))</f>
        <v/>
      </c>
      <c r="P31" s="1529"/>
      <c r="Q31" s="1528" t="str">
        <f>IF(P31="","",IF($F31="",P31,IF($F31="CO2e",P31*$K31,IF($F31="GHG",P31*HLOOKUP($G31,GWP!$F$11:$I$31,4,FALSE)*$K31,""))))</f>
        <v/>
      </c>
      <c r="R31" s="1552"/>
      <c r="S31" s="1528" t="str">
        <f>IF(R31="","",IF($F31="",R31,IF($F31="CO2e",R31*$K31,IF($F31="GHG",R31*HLOOKUP($G31,GWP!$F$11:$I$31,4,FALSE)*$K31,""))))</f>
        <v/>
      </c>
      <c r="T31" s="1552"/>
      <c r="U31" s="1528" t="str">
        <f>IF(T31="","",IF($F31="",T31,IF($F31="CO2e",T31*$K31,IF($F31="GHG",T31*HLOOKUP($G31,GWP!$F$11:$I$31,4,FALSE)*$K31,""))))</f>
        <v/>
      </c>
      <c r="V31" s="1529"/>
      <c r="W31" s="1528" t="str">
        <f>IF(V31="","",IF($F31="",V31,IF($F31="CO2e",V31*$K31,IF($F31="GHG",V31*HLOOKUP($G31,GWP!$F$11:$I$31,4,FALSE)*$K31,""))))</f>
        <v/>
      </c>
      <c r="X31" s="1529"/>
      <c r="Y31" s="1528" t="str">
        <f>IF(X31="","",IF($F31="",X31,IF($F31="CO2e",X31*$K31,IF($F31="GHG",X31*HLOOKUP($G31,GWP!$F$11:$I$31,4,FALSE)*$K31,""))))</f>
        <v/>
      </c>
      <c r="Z31" s="1529"/>
      <c r="AA31" s="1528" t="str">
        <f>IF(Z31="","",IF($F31="",Z31,IF($F31="CO2e",Z31*$K31,IF($F31="GHG",Z31*HLOOKUP($G31,GWP!$F$11:$I$31,4,FALSE)*$K31,""))))</f>
        <v/>
      </c>
      <c r="AB31" s="1529"/>
      <c r="AC31" s="1528" t="str">
        <f>IF(AB31="","",IF($F31="",AB31,IF($F31="CO2e",AB31*$K31,IF($F31="GHG",AB31*HLOOKUP($G31,GWP!$F$11:$I$31,4,FALSE)*$K31,""))))</f>
        <v/>
      </c>
      <c r="AD31" s="1529"/>
      <c r="AE31" s="1528" t="str">
        <f>IF(AD31="","",IF($F31="",AD31,IF($F31="CO2e",AD31*$K31,IF($F31="GHG",AD31*HLOOKUP($G31,GWP!$F$11:$I$31,4,FALSE)*$K31,""))))</f>
        <v/>
      </c>
      <c r="AF31" s="1529"/>
      <c r="AG31" s="1528" t="str">
        <f>IF(AF31="","",IF($F31="",AF31,IF($F31="CO2e",AF31*$K31,IF($F31="GHG",AF31*HLOOKUP($G31,GWP!$F$11:$I$31,4,FALSE)*$K31,""))))</f>
        <v/>
      </c>
      <c r="AH31" s="1529"/>
      <c r="AI31" s="1528" t="str">
        <f>IF(AH31="","",IF($F31="",AH31,IF($F31="CO2e",AH31*$K31,IF($F31="GHG",AH31*HLOOKUP($G31,GWP!$F$11:$I$31,4,FALSE)*$K31,""))))</f>
        <v/>
      </c>
      <c r="AJ31" s="1529"/>
      <c r="AK31" s="1528" t="str">
        <f>IF(AJ31="","",IF($F31="",AJ31,IF($F31="CO2e",AJ31*$K31,IF($F31="GHG",AJ31*HLOOKUP($G31,GWP!$F$11:$I$31,4,FALSE)*$K31,""))))</f>
        <v/>
      </c>
      <c r="AL31" s="1529"/>
      <c r="AM31" s="1528" t="str">
        <f>IF(AL31="","",IF($F31="",AL31,IF($F31="CO2e",AL31*$K31,IF($F31="GHG",AL31*HLOOKUP($G31,GWP!$F$11:$I$31,4,FALSE)*$K31,""))))</f>
        <v/>
      </c>
      <c r="AN31" s="1529"/>
      <c r="AO31" s="1528" t="str">
        <f>IF(AN31="","",IF($F31="",AN31,IF($F31="CO2e",AN31*$K31,IF($F31="GHG",AN31*HLOOKUP($G31,GWP!$F$11:$I$31,4,FALSE)*$K31,""))))</f>
        <v/>
      </c>
      <c r="AP31" s="1529"/>
      <c r="AQ31" s="1528" t="str">
        <f>IF(AP31="","",IF($F31="",AP31,IF($F31="CO2e",AP31*$K31,IF($F31="GHG",AP31*HLOOKUP($G31,GWP!$F$11:$I$31,4,FALSE)*$K31,""))))</f>
        <v/>
      </c>
      <c r="AR31" s="1529"/>
      <c r="AS31" s="1528" t="str">
        <f>IF(AR31="","",IF($F31="",AR31,IF($F31="CO2e",AR31*$K31,IF($F31="GHG",AR31*HLOOKUP($G31,GWP!$F$11:$I$31,4,FALSE)*$K31,""))))</f>
        <v/>
      </c>
      <c r="AT31" s="1552"/>
      <c r="AU31" s="1528" t="str">
        <f>IF(AT31="","",IF($F31="",AT31,IF($F31="CO2e",AT31*$K31,IF($F31="GHG",AT31*HLOOKUP($G31,GWP!$F$11:$I$31,4,FALSE)*$K31,""))))</f>
        <v/>
      </c>
      <c r="AV31" s="1552"/>
      <c r="AW31" s="1528" t="str">
        <f>IF(AV31="","",IF($F31="",AV31,IF($F31="CO2e",AV31*$K31,IF($F31="GHG",AV31*HLOOKUP($G31,GWP!$F$11:$I$31,4,FALSE)*$K31,""))))</f>
        <v/>
      </c>
      <c r="AX31" s="1529"/>
      <c r="AY31" s="1526" t="str">
        <f t="shared" si="2"/>
        <v/>
      </c>
      <c r="AZ31" s="1529"/>
      <c r="BA31" s="1526" t="str">
        <f t="shared" si="3"/>
        <v/>
      </c>
      <c r="BB31" s="1530"/>
      <c r="BC31" s="1502"/>
      <c r="BD31" s="1530"/>
      <c r="BE31" s="1531"/>
      <c r="BF31" s="1540"/>
    </row>
    <row r="32" spans="2:58" s="40" customFormat="1">
      <c r="B32" s="2002"/>
      <c r="C32" s="2002"/>
      <c r="D32" s="2003"/>
      <c r="E32" s="2003"/>
      <c r="F32" s="1525"/>
      <c r="G32" s="1525"/>
      <c r="H32" s="1533"/>
      <c r="I32" s="1534" t="str">
        <f t="shared" si="0"/>
        <v/>
      </c>
      <c r="J32" s="1535"/>
      <c r="K32" s="1526" t="str">
        <f>IFERROR(IF(H32="","",VLOOKUP(H32,GPC!$D$183:$G$188,4,FALSE)),"")</f>
        <v/>
      </c>
      <c r="L32" s="1529"/>
      <c r="M32" s="1528" t="str">
        <f t="shared" si="1"/>
        <v/>
      </c>
      <c r="N32" s="1529"/>
      <c r="O32" s="1528" t="str">
        <f>IF(N32="","",IF($F32="",N32,IF($F32="CO2e",N32*K32,IF($F32="GHG",N32*HLOOKUP($G32,GWP!$F$11:$I$31,4,FALSE)*K32,""))))</f>
        <v/>
      </c>
      <c r="P32" s="1529"/>
      <c r="Q32" s="1528" t="str">
        <f>IF(P32="","",IF($F32="",P32,IF($F32="CO2e",P32*$K32,IF($F32="GHG",P32*HLOOKUP($G32,GWP!$F$11:$I$31,4,FALSE)*$K32,""))))</f>
        <v/>
      </c>
      <c r="R32" s="1552"/>
      <c r="S32" s="1528" t="str">
        <f>IF(R32="","",IF($F32="",R32,IF($F32="CO2e",R32*$K32,IF($F32="GHG",R32*HLOOKUP($G32,GWP!$F$11:$I$31,4,FALSE)*$K32,""))))</f>
        <v/>
      </c>
      <c r="T32" s="1552"/>
      <c r="U32" s="1528" t="str">
        <f>IF(T32="","",IF($F32="",T32,IF($F32="CO2e",T32*$K32,IF($F32="GHG",T32*HLOOKUP($G32,GWP!$F$11:$I$31,4,FALSE)*$K32,""))))</f>
        <v/>
      </c>
      <c r="V32" s="1529"/>
      <c r="W32" s="1528" t="str">
        <f>IF(V32="","",IF($F32="",V32,IF($F32="CO2e",V32*$K32,IF($F32="GHG",V32*HLOOKUP($G32,GWP!$F$11:$I$31,4,FALSE)*$K32,""))))</f>
        <v/>
      </c>
      <c r="X32" s="1529"/>
      <c r="Y32" s="1528" t="str">
        <f>IF(X32="","",IF($F32="",X32,IF($F32="CO2e",X32*$K32,IF($F32="GHG",X32*HLOOKUP($G32,GWP!$F$11:$I$31,4,FALSE)*$K32,""))))</f>
        <v/>
      </c>
      <c r="Z32" s="1529"/>
      <c r="AA32" s="1528" t="str">
        <f>IF(Z32="","",IF($F32="",Z32,IF($F32="CO2e",Z32*$K32,IF($F32="GHG",Z32*HLOOKUP($G32,GWP!$F$11:$I$31,4,FALSE)*$K32,""))))</f>
        <v/>
      </c>
      <c r="AB32" s="1529"/>
      <c r="AC32" s="1528" t="str">
        <f>IF(AB32="","",IF($F32="",AB32,IF($F32="CO2e",AB32*$K32,IF($F32="GHG",AB32*HLOOKUP($G32,GWP!$F$11:$I$31,4,FALSE)*$K32,""))))</f>
        <v/>
      </c>
      <c r="AD32" s="1529"/>
      <c r="AE32" s="1528" t="str">
        <f>IF(AD32="","",IF($F32="",AD32,IF($F32="CO2e",AD32*$K32,IF($F32="GHG",AD32*HLOOKUP($G32,GWP!$F$11:$I$31,4,FALSE)*$K32,""))))</f>
        <v/>
      </c>
      <c r="AF32" s="1529"/>
      <c r="AG32" s="1528" t="str">
        <f>IF(AF32="","",IF($F32="",AF32,IF($F32="CO2e",AF32*$K32,IF($F32="GHG",AF32*HLOOKUP($G32,GWP!$F$11:$I$31,4,FALSE)*$K32,""))))</f>
        <v/>
      </c>
      <c r="AH32" s="1529"/>
      <c r="AI32" s="1528" t="str">
        <f>IF(AH32="","",IF($F32="",AH32,IF($F32="CO2e",AH32*$K32,IF($F32="GHG",AH32*HLOOKUP($G32,GWP!$F$11:$I$31,4,FALSE)*$K32,""))))</f>
        <v/>
      </c>
      <c r="AJ32" s="1529"/>
      <c r="AK32" s="1528" t="str">
        <f>IF(AJ32="","",IF($F32="",AJ32,IF($F32="CO2e",AJ32*$K32,IF($F32="GHG",AJ32*HLOOKUP($G32,GWP!$F$11:$I$31,4,FALSE)*$K32,""))))</f>
        <v/>
      </c>
      <c r="AL32" s="1529"/>
      <c r="AM32" s="1528" t="str">
        <f>IF(AL32="","",IF($F32="",AL32,IF($F32="CO2e",AL32*$K32,IF($F32="GHG",AL32*HLOOKUP($G32,GWP!$F$11:$I$31,4,FALSE)*$K32,""))))</f>
        <v/>
      </c>
      <c r="AN32" s="1529"/>
      <c r="AO32" s="1528" t="str">
        <f>IF(AN32="","",IF($F32="",AN32,IF($F32="CO2e",AN32*$K32,IF($F32="GHG",AN32*HLOOKUP($G32,GWP!$F$11:$I$31,4,FALSE)*$K32,""))))</f>
        <v/>
      </c>
      <c r="AP32" s="1529"/>
      <c r="AQ32" s="1528" t="str">
        <f>IF(AP32="","",IF($F32="",AP32,IF($F32="CO2e",AP32*$K32,IF($F32="GHG",AP32*HLOOKUP($G32,GWP!$F$11:$I$31,4,FALSE)*$K32,""))))</f>
        <v/>
      </c>
      <c r="AR32" s="1529"/>
      <c r="AS32" s="1528" t="str">
        <f>IF(AR32="","",IF($F32="",AR32,IF($F32="CO2e",AR32*$K32,IF($F32="GHG",AR32*HLOOKUP($G32,GWP!$F$11:$I$31,4,FALSE)*$K32,""))))</f>
        <v/>
      </c>
      <c r="AT32" s="1552"/>
      <c r="AU32" s="1528" t="str">
        <f>IF(AT32="","",IF($F32="",AT32,IF($F32="CO2e",AT32*$K32,IF($F32="GHG",AT32*HLOOKUP($G32,GWP!$F$11:$I$31,4,FALSE)*$K32,""))))</f>
        <v/>
      </c>
      <c r="AV32" s="1552"/>
      <c r="AW32" s="1528" t="str">
        <f>IF(AV32="","",IF($F32="",AV32,IF($F32="CO2e",AV32*$K32,IF($F32="GHG",AV32*HLOOKUP($G32,GWP!$F$11:$I$31,4,FALSE)*$K32,""))))</f>
        <v/>
      </c>
      <c r="AX32" s="1529"/>
      <c r="AY32" s="1526" t="str">
        <f t="shared" si="2"/>
        <v/>
      </c>
      <c r="AZ32" s="1529"/>
      <c r="BA32" s="1526" t="str">
        <f t="shared" si="3"/>
        <v/>
      </c>
      <c r="BB32" s="1530"/>
      <c r="BC32" s="1502"/>
      <c r="BD32" s="1530"/>
      <c r="BE32" s="1531"/>
      <c r="BF32" s="1540"/>
    </row>
    <row r="33" spans="2:58" s="40" customFormat="1">
      <c r="B33" s="2002"/>
      <c r="C33" s="2002"/>
      <c r="D33" s="2003"/>
      <c r="E33" s="2003"/>
      <c r="F33" s="1525"/>
      <c r="G33" s="1525"/>
      <c r="H33" s="1533"/>
      <c r="I33" s="1534" t="str">
        <f t="shared" si="0"/>
        <v/>
      </c>
      <c r="J33" s="1535"/>
      <c r="K33" s="1526" t="str">
        <f>IFERROR(IF(H33="","",VLOOKUP(H33,GPC!$D$183:$G$188,4,FALSE)),"")</f>
        <v/>
      </c>
      <c r="L33" s="1529"/>
      <c r="M33" s="1528" t="str">
        <f t="shared" si="1"/>
        <v/>
      </c>
      <c r="N33" s="1529"/>
      <c r="O33" s="1528" t="str">
        <f>IF(N33="","",IF($F33="",N33,IF($F33="CO2e",N33*K33,IF($F33="GHG",N33*HLOOKUP($G33,GWP!$F$11:$I$31,4,FALSE)*K33,""))))</f>
        <v/>
      </c>
      <c r="P33" s="1529"/>
      <c r="Q33" s="1528" t="str">
        <f>IF(P33="","",IF($F33="",P33,IF($F33="CO2e",P33*$K33,IF($F33="GHG",P33*HLOOKUP($G33,GWP!$F$11:$I$31,4,FALSE)*$K33,""))))</f>
        <v/>
      </c>
      <c r="R33" s="1552"/>
      <c r="S33" s="1528" t="str">
        <f>IF(R33="","",IF($F33="",R33,IF($F33="CO2e",R33*$K33,IF($F33="GHG",R33*HLOOKUP($G33,GWP!$F$11:$I$31,4,FALSE)*$K33,""))))</f>
        <v/>
      </c>
      <c r="T33" s="1552"/>
      <c r="U33" s="1528" t="str">
        <f>IF(T33="","",IF($F33="",T33,IF($F33="CO2e",T33*$K33,IF($F33="GHG",T33*HLOOKUP($G33,GWP!$F$11:$I$31,4,FALSE)*$K33,""))))</f>
        <v/>
      </c>
      <c r="V33" s="1529"/>
      <c r="W33" s="1528" t="str">
        <f>IF(V33="","",IF($F33="",V33,IF($F33="CO2e",V33*$K33,IF($F33="GHG",V33*HLOOKUP($G33,GWP!$F$11:$I$31,4,FALSE)*$K33,""))))</f>
        <v/>
      </c>
      <c r="X33" s="1529"/>
      <c r="Y33" s="1528" t="str">
        <f>IF(X33="","",IF($F33="",X33,IF($F33="CO2e",X33*$K33,IF($F33="GHG",X33*HLOOKUP($G33,GWP!$F$11:$I$31,4,FALSE)*$K33,""))))</f>
        <v/>
      </c>
      <c r="Z33" s="1529"/>
      <c r="AA33" s="1528" t="str">
        <f>IF(Z33="","",IF($F33="",Z33,IF($F33="CO2e",Z33*$K33,IF($F33="GHG",Z33*HLOOKUP($G33,GWP!$F$11:$I$31,4,FALSE)*$K33,""))))</f>
        <v/>
      </c>
      <c r="AB33" s="1529"/>
      <c r="AC33" s="1528" t="str">
        <f>IF(AB33="","",IF($F33="",AB33,IF($F33="CO2e",AB33*$K33,IF($F33="GHG",AB33*HLOOKUP($G33,GWP!$F$11:$I$31,4,FALSE)*$K33,""))))</f>
        <v/>
      </c>
      <c r="AD33" s="1529"/>
      <c r="AE33" s="1528" t="str">
        <f>IF(AD33="","",IF($F33="",AD33,IF($F33="CO2e",AD33*$K33,IF($F33="GHG",AD33*HLOOKUP($G33,GWP!$F$11:$I$31,4,FALSE)*$K33,""))))</f>
        <v/>
      </c>
      <c r="AF33" s="1529"/>
      <c r="AG33" s="1528" t="str">
        <f>IF(AF33="","",IF($F33="",AF33,IF($F33="CO2e",AF33*$K33,IF($F33="GHG",AF33*HLOOKUP($G33,GWP!$F$11:$I$31,4,FALSE)*$K33,""))))</f>
        <v/>
      </c>
      <c r="AH33" s="1529"/>
      <c r="AI33" s="1528" t="str">
        <f>IF(AH33="","",IF($F33="",AH33,IF($F33="CO2e",AH33*$K33,IF($F33="GHG",AH33*HLOOKUP($G33,GWP!$F$11:$I$31,4,FALSE)*$K33,""))))</f>
        <v/>
      </c>
      <c r="AJ33" s="1529"/>
      <c r="AK33" s="1528" t="str">
        <f>IF(AJ33="","",IF($F33="",AJ33,IF($F33="CO2e",AJ33*$K33,IF($F33="GHG",AJ33*HLOOKUP($G33,GWP!$F$11:$I$31,4,FALSE)*$K33,""))))</f>
        <v/>
      </c>
      <c r="AL33" s="1529"/>
      <c r="AM33" s="1528" t="str">
        <f>IF(AL33="","",IF($F33="",AL33,IF($F33="CO2e",AL33*$K33,IF($F33="GHG",AL33*HLOOKUP($G33,GWP!$F$11:$I$31,4,FALSE)*$K33,""))))</f>
        <v/>
      </c>
      <c r="AN33" s="1529"/>
      <c r="AO33" s="1528" t="str">
        <f>IF(AN33="","",IF($F33="",AN33,IF($F33="CO2e",AN33*$K33,IF($F33="GHG",AN33*HLOOKUP($G33,GWP!$F$11:$I$31,4,FALSE)*$K33,""))))</f>
        <v/>
      </c>
      <c r="AP33" s="1529"/>
      <c r="AQ33" s="1528" t="str">
        <f>IF(AP33="","",IF($F33="",AP33,IF($F33="CO2e",AP33*$K33,IF($F33="GHG",AP33*HLOOKUP($G33,GWP!$F$11:$I$31,4,FALSE)*$K33,""))))</f>
        <v/>
      </c>
      <c r="AR33" s="1529"/>
      <c r="AS33" s="1528" t="str">
        <f>IF(AR33="","",IF($F33="",AR33,IF($F33="CO2e",AR33*$K33,IF($F33="GHG",AR33*HLOOKUP($G33,GWP!$F$11:$I$31,4,FALSE)*$K33,""))))</f>
        <v/>
      </c>
      <c r="AT33" s="1552"/>
      <c r="AU33" s="1528" t="str">
        <f>IF(AT33="","",IF($F33="",AT33,IF($F33="CO2e",AT33*$K33,IF($F33="GHG",AT33*HLOOKUP($G33,GWP!$F$11:$I$31,4,FALSE)*$K33,""))))</f>
        <v/>
      </c>
      <c r="AV33" s="1552"/>
      <c r="AW33" s="1528" t="str">
        <f>IF(AV33="","",IF($F33="",AV33,IF($F33="CO2e",AV33*$K33,IF($F33="GHG",AV33*HLOOKUP($G33,GWP!$F$11:$I$31,4,FALSE)*$K33,""))))</f>
        <v/>
      </c>
      <c r="AX33" s="1529"/>
      <c r="AY33" s="1526" t="str">
        <f t="shared" si="2"/>
        <v/>
      </c>
      <c r="AZ33" s="1529"/>
      <c r="BA33" s="1526" t="str">
        <f t="shared" si="3"/>
        <v/>
      </c>
      <c r="BB33" s="1530"/>
      <c r="BC33" s="1502"/>
      <c r="BD33" s="1530"/>
      <c r="BE33" s="1531"/>
      <c r="BF33" s="1540"/>
    </row>
    <row r="34" spans="2:58" s="40" customFormat="1">
      <c r="B34" s="2002"/>
      <c r="C34" s="2002"/>
      <c r="D34" s="2003"/>
      <c r="E34" s="2003"/>
      <c r="F34" s="1525"/>
      <c r="G34" s="1525"/>
      <c r="H34" s="1533"/>
      <c r="I34" s="1534" t="str">
        <f t="shared" si="0"/>
        <v/>
      </c>
      <c r="J34" s="1535"/>
      <c r="K34" s="1526" t="str">
        <f>IFERROR(IF(H34="","",VLOOKUP(H34,GPC!$D$183:$G$188,4,FALSE)),"")</f>
        <v/>
      </c>
      <c r="L34" s="1529"/>
      <c r="M34" s="1528" t="str">
        <f t="shared" si="1"/>
        <v/>
      </c>
      <c r="N34" s="1529"/>
      <c r="O34" s="1528" t="str">
        <f>IF(N34="","",IF($F34="",N34,IF($F34="CO2e",N34*K34,IF($F34="GHG",N34*HLOOKUP($G34,GWP!$F$11:$I$31,4,FALSE)*K34,""))))</f>
        <v/>
      </c>
      <c r="P34" s="1529"/>
      <c r="Q34" s="1528" t="str">
        <f>IF(P34="","",IF($F34="",P34,IF($F34="CO2e",P34*$K34,IF($F34="GHG",P34*HLOOKUP($G34,GWP!$F$11:$I$31,4,FALSE)*$K34,""))))</f>
        <v/>
      </c>
      <c r="R34" s="1552"/>
      <c r="S34" s="1528" t="str">
        <f>IF(R34="","",IF($F34="",R34,IF($F34="CO2e",R34*$K34,IF($F34="GHG",R34*HLOOKUP($G34,GWP!$F$11:$I$31,4,FALSE)*$K34,""))))</f>
        <v/>
      </c>
      <c r="T34" s="1552"/>
      <c r="U34" s="1528" t="str">
        <f>IF(T34="","",IF($F34="",T34,IF($F34="CO2e",T34*$K34,IF($F34="GHG",T34*HLOOKUP($G34,GWP!$F$11:$I$31,4,FALSE)*$K34,""))))</f>
        <v/>
      </c>
      <c r="V34" s="1529"/>
      <c r="W34" s="1528" t="str">
        <f>IF(V34="","",IF($F34="",V34,IF($F34="CO2e",V34*$K34,IF($F34="GHG",V34*HLOOKUP($G34,GWP!$F$11:$I$31,4,FALSE)*$K34,""))))</f>
        <v/>
      </c>
      <c r="X34" s="1529"/>
      <c r="Y34" s="1528" t="str">
        <f>IF(X34="","",IF($F34="",X34,IF($F34="CO2e",X34*$K34,IF($F34="GHG",X34*HLOOKUP($G34,GWP!$F$11:$I$31,4,FALSE)*$K34,""))))</f>
        <v/>
      </c>
      <c r="Z34" s="1529"/>
      <c r="AA34" s="1528" t="str">
        <f>IF(Z34="","",IF($F34="",Z34,IF($F34="CO2e",Z34*$K34,IF($F34="GHG",Z34*HLOOKUP($G34,GWP!$F$11:$I$31,4,FALSE)*$K34,""))))</f>
        <v/>
      </c>
      <c r="AB34" s="1529"/>
      <c r="AC34" s="1528" t="str">
        <f>IF(AB34="","",IF($F34="",AB34,IF($F34="CO2e",AB34*$K34,IF($F34="GHG",AB34*HLOOKUP($G34,GWP!$F$11:$I$31,4,FALSE)*$K34,""))))</f>
        <v/>
      </c>
      <c r="AD34" s="1529"/>
      <c r="AE34" s="1528" t="str">
        <f>IF(AD34="","",IF($F34="",AD34,IF($F34="CO2e",AD34*$K34,IF($F34="GHG",AD34*HLOOKUP($G34,GWP!$F$11:$I$31,4,FALSE)*$K34,""))))</f>
        <v/>
      </c>
      <c r="AF34" s="1529"/>
      <c r="AG34" s="1528" t="str">
        <f>IF(AF34="","",IF($F34="",AF34,IF($F34="CO2e",AF34*$K34,IF($F34="GHG",AF34*HLOOKUP($G34,GWP!$F$11:$I$31,4,FALSE)*$K34,""))))</f>
        <v/>
      </c>
      <c r="AH34" s="1529"/>
      <c r="AI34" s="1528" t="str">
        <f>IF(AH34="","",IF($F34="",AH34,IF($F34="CO2e",AH34*$K34,IF($F34="GHG",AH34*HLOOKUP($G34,GWP!$F$11:$I$31,4,FALSE)*$K34,""))))</f>
        <v/>
      </c>
      <c r="AJ34" s="1529"/>
      <c r="AK34" s="1528" t="str">
        <f>IF(AJ34="","",IF($F34="",AJ34,IF($F34="CO2e",AJ34*$K34,IF($F34="GHG",AJ34*HLOOKUP($G34,GWP!$F$11:$I$31,4,FALSE)*$K34,""))))</f>
        <v/>
      </c>
      <c r="AL34" s="1529"/>
      <c r="AM34" s="1528" t="str">
        <f>IF(AL34="","",IF($F34="",AL34,IF($F34="CO2e",AL34*$K34,IF($F34="GHG",AL34*HLOOKUP($G34,GWP!$F$11:$I$31,4,FALSE)*$K34,""))))</f>
        <v/>
      </c>
      <c r="AN34" s="1529"/>
      <c r="AO34" s="1528" t="str">
        <f>IF(AN34="","",IF($F34="",AN34,IF($F34="CO2e",AN34*$K34,IF($F34="GHG",AN34*HLOOKUP($G34,GWP!$F$11:$I$31,4,FALSE)*$K34,""))))</f>
        <v/>
      </c>
      <c r="AP34" s="1529"/>
      <c r="AQ34" s="1528" t="str">
        <f>IF(AP34="","",IF($F34="",AP34,IF($F34="CO2e",AP34*$K34,IF($F34="GHG",AP34*HLOOKUP($G34,GWP!$F$11:$I$31,4,FALSE)*$K34,""))))</f>
        <v/>
      </c>
      <c r="AR34" s="1529"/>
      <c r="AS34" s="1528" t="str">
        <f>IF(AR34="","",IF($F34="",AR34,IF($F34="CO2e",AR34*$K34,IF($F34="GHG",AR34*HLOOKUP($G34,GWP!$F$11:$I$31,4,FALSE)*$K34,""))))</f>
        <v/>
      </c>
      <c r="AT34" s="1552"/>
      <c r="AU34" s="1528" t="str">
        <f>IF(AT34="","",IF($F34="",AT34,IF($F34="CO2e",AT34*$K34,IF($F34="GHG",AT34*HLOOKUP($G34,GWP!$F$11:$I$31,4,FALSE)*$K34,""))))</f>
        <v/>
      </c>
      <c r="AV34" s="1552"/>
      <c r="AW34" s="1528" t="str">
        <f>IF(AV34="","",IF($F34="",AV34,IF($F34="CO2e",AV34*$K34,IF($F34="GHG",AV34*HLOOKUP($G34,GWP!$F$11:$I$31,4,FALSE)*$K34,""))))</f>
        <v/>
      </c>
      <c r="AX34" s="1529"/>
      <c r="AY34" s="1526" t="str">
        <f t="shared" si="2"/>
        <v/>
      </c>
      <c r="AZ34" s="1529"/>
      <c r="BA34" s="1526" t="str">
        <f t="shared" si="3"/>
        <v/>
      </c>
      <c r="BB34" s="1530"/>
      <c r="BC34" s="1502"/>
      <c r="BD34" s="1530"/>
      <c r="BE34" s="1531"/>
      <c r="BF34" s="1540"/>
    </row>
    <row r="35" spans="2:58" s="40" customFormat="1">
      <c r="B35" s="2002"/>
      <c r="C35" s="2002"/>
      <c r="D35" s="2003"/>
      <c r="E35" s="2003"/>
      <c r="F35" s="1525"/>
      <c r="G35" s="1525"/>
      <c r="H35" s="1533"/>
      <c r="I35" s="1534" t="str">
        <f t="shared" si="0"/>
        <v/>
      </c>
      <c r="J35" s="1535"/>
      <c r="K35" s="1526" t="str">
        <f>IFERROR(IF(H35="","",VLOOKUP(H35,GPC!$D$183:$G$188,4,FALSE)),"")</f>
        <v/>
      </c>
      <c r="L35" s="1529"/>
      <c r="M35" s="1528" t="str">
        <f t="shared" si="1"/>
        <v/>
      </c>
      <c r="N35" s="1529"/>
      <c r="O35" s="1528" t="str">
        <f>IF(N35="","",IF($F35="",N35,IF($F35="CO2e",N35*K35,IF($F35="GHG",N35*HLOOKUP($G35,GWP!$F$11:$I$31,4,FALSE)*K35,""))))</f>
        <v/>
      </c>
      <c r="P35" s="1529"/>
      <c r="Q35" s="1528" t="str">
        <f>IF(P35="","",IF($F35="",P35,IF($F35="CO2e",P35*$K35,IF($F35="GHG",P35*HLOOKUP($G35,GWP!$F$11:$I$31,4,FALSE)*$K35,""))))</f>
        <v/>
      </c>
      <c r="R35" s="1552"/>
      <c r="S35" s="1528" t="str">
        <f>IF(R35="","",IF($F35="",R35,IF($F35="CO2e",R35*$K35,IF($F35="GHG",R35*HLOOKUP($G35,GWP!$F$11:$I$31,4,FALSE)*$K35,""))))</f>
        <v/>
      </c>
      <c r="T35" s="1552"/>
      <c r="U35" s="1528" t="str">
        <f>IF(T35="","",IF($F35="",T35,IF($F35="CO2e",T35*$K35,IF($F35="GHG",T35*HLOOKUP($G35,GWP!$F$11:$I$31,4,FALSE)*$K35,""))))</f>
        <v/>
      </c>
      <c r="V35" s="1529"/>
      <c r="W35" s="1528" t="str">
        <f>IF(V35="","",IF($F35="",V35,IF($F35="CO2e",V35*$K35,IF($F35="GHG",V35*HLOOKUP($G35,GWP!$F$11:$I$31,4,FALSE)*$K35,""))))</f>
        <v/>
      </c>
      <c r="X35" s="1529"/>
      <c r="Y35" s="1528" t="str">
        <f>IF(X35="","",IF($F35="",X35,IF($F35="CO2e",X35*$K35,IF($F35="GHG",X35*HLOOKUP($G35,GWP!$F$11:$I$31,4,FALSE)*$K35,""))))</f>
        <v/>
      </c>
      <c r="Z35" s="1529"/>
      <c r="AA35" s="1528" t="str">
        <f>IF(Z35="","",IF($F35="",Z35,IF($F35="CO2e",Z35*$K35,IF($F35="GHG",Z35*HLOOKUP($G35,GWP!$F$11:$I$31,4,FALSE)*$K35,""))))</f>
        <v/>
      </c>
      <c r="AB35" s="1529"/>
      <c r="AC35" s="1528" t="str">
        <f>IF(AB35="","",IF($F35="",AB35,IF($F35="CO2e",AB35*$K35,IF($F35="GHG",AB35*HLOOKUP($G35,GWP!$F$11:$I$31,4,FALSE)*$K35,""))))</f>
        <v/>
      </c>
      <c r="AD35" s="1529"/>
      <c r="AE35" s="1528" t="str">
        <f>IF(AD35="","",IF($F35="",AD35,IF($F35="CO2e",AD35*$K35,IF($F35="GHG",AD35*HLOOKUP($G35,GWP!$F$11:$I$31,4,FALSE)*$K35,""))))</f>
        <v/>
      </c>
      <c r="AF35" s="1529"/>
      <c r="AG35" s="1528" t="str">
        <f>IF(AF35="","",IF($F35="",AF35,IF($F35="CO2e",AF35*$K35,IF($F35="GHG",AF35*HLOOKUP($G35,GWP!$F$11:$I$31,4,FALSE)*$K35,""))))</f>
        <v/>
      </c>
      <c r="AH35" s="1529"/>
      <c r="AI35" s="1528" t="str">
        <f>IF(AH35="","",IF($F35="",AH35,IF($F35="CO2e",AH35*$K35,IF($F35="GHG",AH35*HLOOKUP($G35,GWP!$F$11:$I$31,4,FALSE)*$K35,""))))</f>
        <v/>
      </c>
      <c r="AJ35" s="1529"/>
      <c r="AK35" s="1528" t="str">
        <f>IF(AJ35="","",IF($F35="",AJ35,IF($F35="CO2e",AJ35*$K35,IF($F35="GHG",AJ35*HLOOKUP($G35,GWP!$F$11:$I$31,4,FALSE)*$K35,""))))</f>
        <v/>
      </c>
      <c r="AL35" s="1529"/>
      <c r="AM35" s="1528" t="str">
        <f>IF(AL35="","",IF($F35="",AL35,IF($F35="CO2e",AL35*$K35,IF($F35="GHG",AL35*HLOOKUP($G35,GWP!$F$11:$I$31,4,FALSE)*$K35,""))))</f>
        <v/>
      </c>
      <c r="AN35" s="1529"/>
      <c r="AO35" s="1528" t="str">
        <f>IF(AN35="","",IF($F35="",AN35,IF($F35="CO2e",AN35*$K35,IF($F35="GHG",AN35*HLOOKUP($G35,GWP!$F$11:$I$31,4,FALSE)*$K35,""))))</f>
        <v/>
      </c>
      <c r="AP35" s="1529"/>
      <c r="AQ35" s="1528" t="str">
        <f>IF(AP35="","",IF($F35="",AP35,IF($F35="CO2e",AP35*$K35,IF($F35="GHG",AP35*HLOOKUP($G35,GWP!$F$11:$I$31,4,FALSE)*$K35,""))))</f>
        <v/>
      </c>
      <c r="AR35" s="1529"/>
      <c r="AS35" s="1528" t="str">
        <f>IF(AR35="","",IF($F35="",AR35,IF($F35="CO2e",AR35*$K35,IF($F35="GHG",AR35*HLOOKUP($G35,GWP!$F$11:$I$31,4,FALSE)*$K35,""))))</f>
        <v/>
      </c>
      <c r="AT35" s="1552"/>
      <c r="AU35" s="1528" t="str">
        <f>IF(AT35="","",IF($F35="",AT35,IF($F35="CO2e",AT35*$K35,IF($F35="GHG",AT35*HLOOKUP($G35,GWP!$F$11:$I$31,4,FALSE)*$K35,""))))</f>
        <v/>
      </c>
      <c r="AV35" s="1552"/>
      <c r="AW35" s="1528" t="str">
        <f>IF(AV35="","",IF($F35="",AV35,IF($F35="CO2e",AV35*$K35,IF($F35="GHG",AV35*HLOOKUP($G35,GWP!$F$11:$I$31,4,FALSE)*$K35,""))))</f>
        <v/>
      </c>
      <c r="AX35" s="1529"/>
      <c r="AY35" s="1526" t="str">
        <f t="shared" si="2"/>
        <v/>
      </c>
      <c r="AZ35" s="1529"/>
      <c r="BA35" s="1526" t="str">
        <f t="shared" si="3"/>
        <v/>
      </c>
      <c r="BB35" s="1530"/>
      <c r="BC35" s="1502"/>
      <c r="BD35" s="1530"/>
      <c r="BE35" s="1531"/>
      <c r="BF35" s="1540"/>
    </row>
    <row r="36" spans="2:58" s="40" customFormat="1">
      <c r="B36" s="2002"/>
      <c r="C36" s="2002"/>
      <c r="D36" s="2003"/>
      <c r="E36" s="2003"/>
      <c r="F36" s="1525"/>
      <c r="G36" s="1525"/>
      <c r="H36" s="1533"/>
      <c r="I36" s="1534" t="str">
        <f t="shared" si="0"/>
        <v/>
      </c>
      <c r="J36" s="1535"/>
      <c r="K36" s="1526" t="str">
        <f>IFERROR(IF(H36="","",VLOOKUP(H36,GPC!$D$183:$G$188,4,FALSE)),"")</f>
        <v/>
      </c>
      <c r="L36" s="1529"/>
      <c r="M36" s="1528" t="str">
        <f t="shared" si="1"/>
        <v/>
      </c>
      <c r="N36" s="1529"/>
      <c r="O36" s="1528" t="str">
        <f>IF(N36="","",IF($F36="",N36,IF($F36="CO2e",N36*K36,IF($F36="GHG",N36*HLOOKUP($G36,GWP!$F$11:$I$31,4,FALSE)*K36,""))))</f>
        <v/>
      </c>
      <c r="P36" s="1529"/>
      <c r="Q36" s="1528" t="str">
        <f>IF(P36="","",IF($F36="",P36,IF($F36="CO2e",P36*$K36,IF($F36="GHG",P36*HLOOKUP($G36,GWP!$F$11:$I$31,4,FALSE)*$K36,""))))</f>
        <v/>
      </c>
      <c r="R36" s="1552"/>
      <c r="S36" s="1528" t="str">
        <f>IF(R36="","",IF($F36="",R36,IF($F36="CO2e",R36*$K36,IF($F36="GHG",R36*HLOOKUP($G36,GWP!$F$11:$I$31,4,FALSE)*$K36,""))))</f>
        <v/>
      </c>
      <c r="T36" s="1552"/>
      <c r="U36" s="1528" t="str">
        <f>IF(T36="","",IF($F36="",T36,IF($F36="CO2e",T36*$K36,IF($F36="GHG",T36*HLOOKUP($G36,GWP!$F$11:$I$31,4,FALSE)*$K36,""))))</f>
        <v/>
      </c>
      <c r="V36" s="1529"/>
      <c r="W36" s="1528" t="str">
        <f>IF(V36="","",IF($F36="",V36,IF($F36="CO2e",V36*$K36,IF($F36="GHG",V36*HLOOKUP($G36,GWP!$F$11:$I$31,4,FALSE)*$K36,""))))</f>
        <v/>
      </c>
      <c r="X36" s="1529"/>
      <c r="Y36" s="1528" t="str">
        <f>IF(X36="","",IF($F36="",X36,IF($F36="CO2e",X36*$K36,IF($F36="GHG",X36*HLOOKUP($G36,GWP!$F$11:$I$31,4,FALSE)*$K36,""))))</f>
        <v/>
      </c>
      <c r="Z36" s="1529"/>
      <c r="AA36" s="1528" t="str">
        <f>IF(Z36="","",IF($F36="",Z36,IF($F36="CO2e",Z36*$K36,IF($F36="GHG",Z36*HLOOKUP($G36,GWP!$F$11:$I$31,4,FALSE)*$K36,""))))</f>
        <v/>
      </c>
      <c r="AB36" s="1529"/>
      <c r="AC36" s="1528" t="str">
        <f>IF(AB36="","",IF($F36="",AB36,IF($F36="CO2e",AB36*$K36,IF($F36="GHG",AB36*HLOOKUP($G36,GWP!$F$11:$I$31,4,FALSE)*$K36,""))))</f>
        <v/>
      </c>
      <c r="AD36" s="1529"/>
      <c r="AE36" s="1528" t="str">
        <f>IF(AD36="","",IF($F36="",AD36,IF($F36="CO2e",AD36*$K36,IF($F36="GHG",AD36*HLOOKUP($G36,GWP!$F$11:$I$31,4,FALSE)*$K36,""))))</f>
        <v/>
      </c>
      <c r="AF36" s="1529"/>
      <c r="AG36" s="1528" t="str">
        <f>IF(AF36="","",IF($F36="",AF36,IF($F36="CO2e",AF36*$K36,IF($F36="GHG",AF36*HLOOKUP($G36,GWP!$F$11:$I$31,4,FALSE)*$K36,""))))</f>
        <v/>
      </c>
      <c r="AH36" s="1529"/>
      <c r="AI36" s="1528" t="str">
        <f>IF(AH36="","",IF($F36="",AH36,IF($F36="CO2e",AH36*$K36,IF($F36="GHG",AH36*HLOOKUP($G36,GWP!$F$11:$I$31,4,FALSE)*$K36,""))))</f>
        <v/>
      </c>
      <c r="AJ36" s="1529"/>
      <c r="AK36" s="1528" t="str">
        <f>IF(AJ36="","",IF($F36="",AJ36,IF($F36="CO2e",AJ36*$K36,IF($F36="GHG",AJ36*HLOOKUP($G36,GWP!$F$11:$I$31,4,FALSE)*$K36,""))))</f>
        <v/>
      </c>
      <c r="AL36" s="1529"/>
      <c r="AM36" s="1528" t="str">
        <f>IF(AL36="","",IF($F36="",AL36,IF($F36="CO2e",AL36*$K36,IF($F36="GHG",AL36*HLOOKUP($G36,GWP!$F$11:$I$31,4,FALSE)*$K36,""))))</f>
        <v/>
      </c>
      <c r="AN36" s="1529"/>
      <c r="AO36" s="1528" t="str">
        <f>IF(AN36="","",IF($F36="",AN36,IF($F36="CO2e",AN36*$K36,IF($F36="GHG",AN36*HLOOKUP($G36,GWP!$F$11:$I$31,4,FALSE)*$K36,""))))</f>
        <v/>
      </c>
      <c r="AP36" s="1529"/>
      <c r="AQ36" s="1528" t="str">
        <f>IF(AP36="","",IF($F36="",AP36,IF($F36="CO2e",AP36*$K36,IF($F36="GHG",AP36*HLOOKUP($G36,GWP!$F$11:$I$31,4,FALSE)*$K36,""))))</f>
        <v/>
      </c>
      <c r="AR36" s="1529"/>
      <c r="AS36" s="1528" t="str">
        <f>IF(AR36="","",IF($F36="",AR36,IF($F36="CO2e",AR36*$K36,IF($F36="GHG",AR36*HLOOKUP($G36,GWP!$F$11:$I$31,4,FALSE)*$K36,""))))</f>
        <v/>
      </c>
      <c r="AT36" s="1552"/>
      <c r="AU36" s="1528" t="str">
        <f>IF(AT36="","",IF($F36="",AT36,IF($F36="CO2e",AT36*$K36,IF($F36="GHG",AT36*HLOOKUP($G36,GWP!$F$11:$I$31,4,FALSE)*$K36,""))))</f>
        <v/>
      </c>
      <c r="AV36" s="1552"/>
      <c r="AW36" s="1528" t="str">
        <f>IF(AV36="","",IF($F36="",AV36,IF($F36="CO2e",AV36*$K36,IF($F36="GHG",AV36*HLOOKUP($G36,GWP!$F$11:$I$31,4,FALSE)*$K36,""))))</f>
        <v/>
      </c>
      <c r="AX36" s="1529"/>
      <c r="AY36" s="1526" t="str">
        <f t="shared" si="2"/>
        <v/>
      </c>
      <c r="AZ36" s="1529"/>
      <c r="BA36" s="1526" t="str">
        <f t="shared" si="3"/>
        <v/>
      </c>
      <c r="BB36" s="1530"/>
      <c r="BC36" s="1502"/>
      <c r="BD36" s="1530"/>
      <c r="BE36" s="1531"/>
      <c r="BF36" s="1540"/>
    </row>
    <row r="37" spans="2:58" s="40" customFormat="1">
      <c r="B37" s="2002"/>
      <c r="C37" s="2002"/>
      <c r="D37" s="2003"/>
      <c r="E37" s="2003"/>
      <c r="F37" s="1525"/>
      <c r="G37" s="1525"/>
      <c r="H37" s="1533"/>
      <c r="I37" s="1534" t="str">
        <f t="shared" si="0"/>
        <v/>
      </c>
      <c r="J37" s="1535"/>
      <c r="K37" s="1526" t="str">
        <f>IFERROR(IF(H37="","",VLOOKUP(H37,GPC!$D$183:$G$188,4,FALSE)),"")</f>
        <v/>
      </c>
      <c r="L37" s="1529"/>
      <c r="M37" s="1528" t="str">
        <f t="shared" si="1"/>
        <v/>
      </c>
      <c r="N37" s="1529"/>
      <c r="O37" s="1528" t="str">
        <f>IF(N37="","",IF($F37="",N37,IF($F37="CO2e",N37*K37,IF($F37="GHG",N37*HLOOKUP($G37,GWP!$F$11:$I$31,4,FALSE)*K37,""))))</f>
        <v/>
      </c>
      <c r="P37" s="1529"/>
      <c r="Q37" s="1528" t="str">
        <f>IF(P37="","",IF($F37="",P37,IF($F37="CO2e",P37*$K37,IF($F37="GHG",P37*HLOOKUP($G37,GWP!$F$11:$I$31,4,FALSE)*$K37,""))))</f>
        <v/>
      </c>
      <c r="R37" s="1552"/>
      <c r="S37" s="1528" t="str">
        <f>IF(R37="","",IF($F37="",R37,IF($F37="CO2e",R37*$K37,IF($F37="GHG",R37*HLOOKUP($G37,GWP!$F$11:$I$31,4,FALSE)*$K37,""))))</f>
        <v/>
      </c>
      <c r="T37" s="1552"/>
      <c r="U37" s="1528" t="str">
        <f>IF(T37="","",IF($F37="",T37,IF($F37="CO2e",T37*$K37,IF($F37="GHG",T37*HLOOKUP($G37,GWP!$F$11:$I$31,4,FALSE)*$K37,""))))</f>
        <v/>
      </c>
      <c r="V37" s="1529"/>
      <c r="W37" s="1528" t="str">
        <f>IF(V37="","",IF($F37="",V37,IF($F37="CO2e",V37*$K37,IF($F37="GHG",V37*HLOOKUP($G37,GWP!$F$11:$I$31,4,FALSE)*$K37,""))))</f>
        <v/>
      </c>
      <c r="X37" s="1529"/>
      <c r="Y37" s="1528" t="str">
        <f>IF(X37="","",IF($F37="",X37,IF($F37="CO2e",X37*$K37,IF($F37="GHG",X37*HLOOKUP($G37,GWP!$F$11:$I$31,4,FALSE)*$K37,""))))</f>
        <v/>
      </c>
      <c r="Z37" s="1529"/>
      <c r="AA37" s="1528" t="str">
        <f>IF(Z37="","",IF($F37="",Z37,IF($F37="CO2e",Z37*$K37,IF($F37="GHG",Z37*HLOOKUP($G37,GWP!$F$11:$I$31,4,FALSE)*$K37,""))))</f>
        <v/>
      </c>
      <c r="AB37" s="1529"/>
      <c r="AC37" s="1528" t="str">
        <f>IF(AB37="","",IF($F37="",AB37,IF($F37="CO2e",AB37*$K37,IF($F37="GHG",AB37*HLOOKUP($G37,GWP!$F$11:$I$31,4,FALSE)*$K37,""))))</f>
        <v/>
      </c>
      <c r="AD37" s="1529"/>
      <c r="AE37" s="1528" t="str">
        <f>IF(AD37="","",IF($F37="",AD37,IF($F37="CO2e",AD37*$K37,IF($F37="GHG",AD37*HLOOKUP($G37,GWP!$F$11:$I$31,4,FALSE)*$K37,""))))</f>
        <v/>
      </c>
      <c r="AF37" s="1529"/>
      <c r="AG37" s="1528" t="str">
        <f>IF(AF37="","",IF($F37="",AF37,IF($F37="CO2e",AF37*$K37,IF($F37="GHG",AF37*HLOOKUP($G37,GWP!$F$11:$I$31,4,FALSE)*$K37,""))))</f>
        <v/>
      </c>
      <c r="AH37" s="1529"/>
      <c r="AI37" s="1528" t="str">
        <f>IF(AH37="","",IF($F37="",AH37,IF($F37="CO2e",AH37*$K37,IF($F37="GHG",AH37*HLOOKUP($G37,GWP!$F$11:$I$31,4,FALSE)*$K37,""))))</f>
        <v/>
      </c>
      <c r="AJ37" s="1529"/>
      <c r="AK37" s="1528" t="str">
        <f>IF(AJ37="","",IF($F37="",AJ37,IF($F37="CO2e",AJ37*$K37,IF($F37="GHG",AJ37*HLOOKUP($G37,GWP!$F$11:$I$31,4,FALSE)*$K37,""))))</f>
        <v/>
      </c>
      <c r="AL37" s="1529"/>
      <c r="AM37" s="1528" t="str">
        <f>IF(AL37="","",IF($F37="",AL37,IF($F37="CO2e",AL37*$K37,IF($F37="GHG",AL37*HLOOKUP($G37,GWP!$F$11:$I$31,4,FALSE)*$K37,""))))</f>
        <v/>
      </c>
      <c r="AN37" s="1529"/>
      <c r="AO37" s="1528" t="str">
        <f>IF(AN37="","",IF($F37="",AN37,IF($F37="CO2e",AN37*$K37,IF($F37="GHG",AN37*HLOOKUP($G37,GWP!$F$11:$I$31,4,FALSE)*$K37,""))))</f>
        <v/>
      </c>
      <c r="AP37" s="1529"/>
      <c r="AQ37" s="1528" t="str">
        <f>IF(AP37="","",IF($F37="",AP37,IF($F37="CO2e",AP37*$K37,IF($F37="GHG",AP37*HLOOKUP($G37,GWP!$F$11:$I$31,4,FALSE)*$K37,""))))</f>
        <v/>
      </c>
      <c r="AR37" s="1529"/>
      <c r="AS37" s="1528" t="str">
        <f>IF(AR37="","",IF($F37="",AR37,IF($F37="CO2e",AR37*$K37,IF($F37="GHG",AR37*HLOOKUP($G37,GWP!$F$11:$I$31,4,FALSE)*$K37,""))))</f>
        <v/>
      </c>
      <c r="AT37" s="1552"/>
      <c r="AU37" s="1528" t="str">
        <f>IF(AT37="","",IF($F37="",AT37,IF($F37="CO2e",AT37*$K37,IF($F37="GHG",AT37*HLOOKUP($G37,GWP!$F$11:$I$31,4,FALSE)*$K37,""))))</f>
        <v/>
      </c>
      <c r="AV37" s="1552"/>
      <c r="AW37" s="1528" t="str">
        <f>IF(AV37="","",IF($F37="",AV37,IF($F37="CO2e",AV37*$K37,IF($F37="GHG",AV37*HLOOKUP($G37,GWP!$F$11:$I$31,4,FALSE)*$K37,""))))</f>
        <v/>
      </c>
      <c r="AX37" s="1529"/>
      <c r="AY37" s="1526" t="str">
        <f t="shared" si="2"/>
        <v/>
      </c>
      <c r="AZ37" s="1529"/>
      <c r="BA37" s="1526" t="str">
        <f t="shared" si="3"/>
        <v/>
      </c>
      <c r="BB37" s="1530"/>
      <c r="BC37" s="1502"/>
      <c r="BD37" s="1530"/>
      <c r="BE37" s="1531"/>
      <c r="BF37" s="1540"/>
    </row>
    <row r="38" spans="2:58" s="40" customFormat="1">
      <c r="B38" s="2002"/>
      <c r="C38" s="2002"/>
      <c r="D38" s="2003"/>
      <c r="E38" s="2003"/>
      <c r="F38" s="1525"/>
      <c r="G38" s="1525"/>
      <c r="H38" s="1533"/>
      <c r="I38" s="1534" t="str">
        <f t="shared" si="0"/>
        <v/>
      </c>
      <c r="J38" s="1535"/>
      <c r="K38" s="1526" t="str">
        <f>IFERROR(IF(H38="","",VLOOKUP(H38,GPC!$D$183:$G$188,4,FALSE)),"")</f>
        <v/>
      </c>
      <c r="L38" s="1529"/>
      <c r="M38" s="1528" t="str">
        <f t="shared" si="1"/>
        <v/>
      </c>
      <c r="N38" s="1529"/>
      <c r="O38" s="1528" t="str">
        <f>IF(N38="","",IF($F38="",N38,IF($F38="CO2e",N38*K38,IF($F38="GHG",N38*HLOOKUP($G38,GWP!$F$11:$I$31,4,FALSE)*K38,""))))</f>
        <v/>
      </c>
      <c r="P38" s="1529"/>
      <c r="Q38" s="1528" t="str">
        <f>IF(P38="","",IF($F38="",P38,IF($F38="CO2e",P38*$K38,IF($F38="GHG",P38*HLOOKUP($G38,GWP!$F$11:$I$31,4,FALSE)*$K38,""))))</f>
        <v/>
      </c>
      <c r="R38" s="1552"/>
      <c r="S38" s="1528" t="str">
        <f>IF(R38="","",IF($F38="",R38,IF($F38="CO2e",R38*$K38,IF($F38="GHG",R38*HLOOKUP($G38,GWP!$F$11:$I$31,4,FALSE)*$K38,""))))</f>
        <v/>
      </c>
      <c r="T38" s="1552"/>
      <c r="U38" s="1528" t="str">
        <f>IF(T38="","",IF($F38="",T38,IF($F38="CO2e",T38*$K38,IF($F38="GHG",T38*HLOOKUP($G38,GWP!$F$11:$I$31,4,FALSE)*$K38,""))))</f>
        <v/>
      </c>
      <c r="V38" s="1529"/>
      <c r="W38" s="1528" t="str">
        <f>IF(V38="","",IF($F38="",V38,IF($F38="CO2e",V38*$K38,IF($F38="GHG",V38*HLOOKUP($G38,GWP!$F$11:$I$31,4,FALSE)*$K38,""))))</f>
        <v/>
      </c>
      <c r="X38" s="1529"/>
      <c r="Y38" s="1528" t="str">
        <f>IF(X38="","",IF($F38="",X38,IF($F38="CO2e",X38*$K38,IF($F38="GHG",X38*HLOOKUP($G38,GWP!$F$11:$I$31,4,FALSE)*$K38,""))))</f>
        <v/>
      </c>
      <c r="Z38" s="1529"/>
      <c r="AA38" s="1528" t="str">
        <f>IF(Z38="","",IF($F38="",Z38,IF($F38="CO2e",Z38*$K38,IF($F38="GHG",Z38*HLOOKUP($G38,GWP!$F$11:$I$31,4,FALSE)*$K38,""))))</f>
        <v/>
      </c>
      <c r="AB38" s="1529"/>
      <c r="AC38" s="1528" t="str">
        <f>IF(AB38="","",IF($F38="",AB38,IF($F38="CO2e",AB38*$K38,IF($F38="GHG",AB38*HLOOKUP($G38,GWP!$F$11:$I$31,4,FALSE)*$K38,""))))</f>
        <v/>
      </c>
      <c r="AD38" s="1529"/>
      <c r="AE38" s="1528" t="str">
        <f>IF(AD38="","",IF($F38="",AD38,IF($F38="CO2e",AD38*$K38,IF($F38="GHG",AD38*HLOOKUP($G38,GWP!$F$11:$I$31,4,FALSE)*$K38,""))))</f>
        <v/>
      </c>
      <c r="AF38" s="1529"/>
      <c r="AG38" s="1528" t="str">
        <f>IF(AF38="","",IF($F38="",AF38,IF($F38="CO2e",AF38*$K38,IF($F38="GHG",AF38*HLOOKUP($G38,GWP!$F$11:$I$31,4,FALSE)*$K38,""))))</f>
        <v/>
      </c>
      <c r="AH38" s="1529"/>
      <c r="AI38" s="1528" t="str">
        <f>IF(AH38="","",IF($F38="",AH38,IF($F38="CO2e",AH38*$K38,IF($F38="GHG",AH38*HLOOKUP($G38,GWP!$F$11:$I$31,4,FALSE)*$K38,""))))</f>
        <v/>
      </c>
      <c r="AJ38" s="1529"/>
      <c r="AK38" s="1528" t="str">
        <f>IF(AJ38="","",IF($F38="",AJ38,IF($F38="CO2e",AJ38*$K38,IF($F38="GHG",AJ38*HLOOKUP($G38,GWP!$F$11:$I$31,4,FALSE)*$K38,""))))</f>
        <v/>
      </c>
      <c r="AL38" s="1529"/>
      <c r="AM38" s="1528" t="str">
        <f>IF(AL38="","",IF($F38="",AL38,IF($F38="CO2e",AL38*$K38,IF($F38="GHG",AL38*HLOOKUP($G38,GWP!$F$11:$I$31,4,FALSE)*$K38,""))))</f>
        <v/>
      </c>
      <c r="AN38" s="1529"/>
      <c r="AO38" s="1528" t="str">
        <f>IF(AN38="","",IF($F38="",AN38,IF($F38="CO2e",AN38*$K38,IF($F38="GHG",AN38*HLOOKUP($G38,GWP!$F$11:$I$31,4,FALSE)*$K38,""))))</f>
        <v/>
      </c>
      <c r="AP38" s="1529"/>
      <c r="AQ38" s="1528" t="str">
        <f>IF(AP38="","",IF($F38="",AP38,IF($F38="CO2e",AP38*$K38,IF($F38="GHG",AP38*HLOOKUP($G38,GWP!$F$11:$I$31,4,FALSE)*$K38,""))))</f>
        <v/>
      </c>
      <c r="AR38" s="1529"/>
      <c r="AS38" s="1528" t="str">
        <f>IF(AR38="","",IF($F38="",AR38,IF($F38="CO2e",AR38*$K38,IF($F38="GHG",AR38*HLOOKUP($G38,GWP!$F$11:$I$31,4,FALSE)*$K38,""))))</f>
        <v/>
      </c>
      <c r="AT38" s="1552"/>
      <c r="AU38" s="1528" t="str">
        <f>IF(AT38="","",IF($F38="",AT38,IF($F38="CO2e",AT38*$K38,IF($F38="GHG",AT38*HLOOKUP($G38,GWP!$F$11:$I$31,4,FALSE)*$K38,""))))</f>
        <v/>
      </c>
      <c r="AV38" s="1552"/>
      <c r="AW38" s="1528" t="str">
        <f>IF(AV38="","",IF($F38="",AV38,IF($F38="CO2e",AV38*$K38,IF($F38="GHG",AV38*HLOOKUP($G38,GWP!$F$11:$I$31,4,FALSE)*$K38,""))))</f>
        <v/>
      </c>
      <c r="AX38" s="1529"/>
      <c r="AY38" s="1526" t="str">
        <f t="shared" si="2"/>
        <v/>
      </c>
      <c r="AZ38" s="1529"/>
      <c r="BA38" s="1526" t="str">
        <f t="shared" si="3"/>
        <v/>
      </c>
      <c r="BB38" s="1530"/>
      <c r="BC38" s="1502"/>
      <c r="BD38" s="1530"/>
      <c r="BE38" s="1531"/>
      <c r="BF38" s="1540"/>
    </row>
    <row r="39" spans="2:58" s="40" customFormat="1">
      <c r="B39" s="2002"/>
      <c r="C39" s="2002"/>
      <c r="D39" s="2003"/>
      <c r="E39" s="2003"/>
      <c r="F39" s="1525"/>
      <c r="G39" s="1525"/>
      <c r="H39" s="1533"/>
      <c r="I39" s="1534" t="str">
        <f t="shared" si="0"/>
        <v/>
      </c>
      <c r="J39" s="1535"/>
      <c r="K39" s="1526" t="str">
        <f>IFERROR(IF(H39="","",VLOOKUP(H39,GPC!$D$183:$G$188,4,FALSE)),"")</f>
        <v/>
      </c>
      <c r="L39" s="1529"/>
      <c r="M39" s="1528" t="str">
        <f t="shared" si="1"/>
        <v/>
      </c>
      <c r="N39" s="1529"/>
      <c r="O39" s="1528" t="str">
        <f>IF(N39="","",IF($F39="",N39,IF($F39="CO2e",N39*K39,IF($F39="GHG",N39*HLOOKUP($G39,GWP!$F$11:$I$31,4,FALSE)*K39,""))))</f>
        <v/>
      </c>
      <c r="P39" s="1529"/>
      <c r="Q39" s="1528" t="str">
        <f>IF(P39="","",IF($F39="",P39,IF($F39="CO2e",P39*$K39,IF($F39="GHG",P39*HLOOKUP($G39,GWP!$F$11:$I$31,4,FALSE)*$K39,""))))</f>
        <v/>
      </c>
      <c r="R39" s="1552"/>
      <c r="S39" s="1528" t="str">
        <f>IF(R39="","",IF($F39="",R39,IF($F39="CO2e",R39*$K39,IF($F39="GHG",R39*HLOOKUP($G39,GWP!$F$11:$I$31,4,FALSE)*$K39,""))))</f>
        <v/>
      </c>
      <c r="T39" s="1552"/>
      <c r="U39" s="1528" t="str">
        <f>IF(T39="","",IF($F39="",T39,IF($F39="CO2e",T39*$K39,IF($F39="GHG",T39*HLOOKUP($G39,GWP!$F$11:$I$31,4,FALSE)*$K39,""))))</f>
        <v/>
      </c>
      <c r="V39" s="1529"/>
      <c r="W39" s="1528" t="str">
        <f>IF(V39="","",IF($F39="",V39,IF($F39="CO2e",V39*$K39,IF($F39="GHG",V39*HLOOKUP($G39,GWP!$F$11:$I$31,4,FALSE)*$K39,""))))</f>
        <v/>
      </c>
      <c r="X39" s="1529"/>
      <c r="Y39" s="1528" t="str">
        <f>IF(X39="","",IF($F39="",X39,IF($F39="CO2e",X39*$K39,IF($F39="GHG",X39*HLOOKUP($G39,GWP!$F$11:$I$31,4,FALSE)*$K39,""))))</f>
        <v/>
      </c>
      <c r="Z39" s="1529"/>
      <c r="AA39" s="1528" t="str">
        <f>IF(Z39="","",IF($F39="",Z39,IF($F39="CO2e",Z39*$K39,IF($F39="GHG",Z39*HLOOKUP($G39,GWP!$F$11:$I$31,4,FALSE)*$K39,""))))</f>
        <v/>
      </c>
      <c r="AB39" s="1529"/>
      <c r="AC39" s="1528" t="str">
        <f>IF(AB39="","",IF($F39="",AB39,IF($F39="CO2e",AB39*$K39,IF($F39="GHG",AB39*HLOOKUP($G39,GWP!$F$11:$I$31,4,FALSE)*$K39,""))))</f>
        <v/>
      </c>
      <c r="AD39" s="1529"/>
      <c r="AE39" s="1528" t="str">
        <f>IF(AD39="","",IF($F39="",AD39,IF($F39="CO2e",AD39*$K39,IF($F39="GHG",AD39*HLOOKUP($G39,GWP!$F$11:$I$31,4,FALSE)*$K39,""))))</f>
        <v/>
      </c>
      <c r="AF39" s="1529"/>
      <c r="AG39" s="1528" t="str">
        <f>IF(AF39="","",IF($F39="",AF39,IF($F39="CO2e",AF39*$K39,IF($F39="GHG",AF39*HLOOKUP($G39,GWP!$F$11:$I$31,4,FALSE)*$K39,""))))</f>
        <v/>
      </c>
      <c r="AH39" s="1529"/>
      <c r="AI39" s="1528" t="str">
        <f>IF(AH39="","",IF($F39="",AH39,IF($F39="CO2e",AH39*$K39,IF($F39="GHG",AH39*HLOOKUP($G39,GWP!$F$11:$I$31,4,FALSE)*$K39,""))))</f>
        <v/>
      </c>
      <c r="AJ39" s="1529"/>
      <c r="AK39" s="1528" t="str">
        <f>IF(AJ39="","",IF($F39="",AJ39,IF($F39="CO2e",AJ39*$K39,IF($F39="GHG",AJ39*HLOOKUP($G39,GWP!$F$11:$I$31,4,FALSE)*$K39,""))))</f>
        <v/>
      </c>
      <c r="AL39" s="1529"/>
      <c r="AM39" s="1528" t="str">
        <f>IF(AL39="","",IF($F39="",AL39,IF($F39="CO2e",AL39*$K39,IF($F39="GHG",AL39*HLOOKUP($G39,GWP!$F$11:$I$31,4,FALSE)*$K39,""))))</f>
        <v/>
      </c>
      <c r="AN39" s="1529"/>
      <c r="AO39" s="1528" t="str">
        <f>IF(AN39="","",IF($F39="",AN39,IF($F39="CO2e",AN39*$K39,IF($F39="GHG",AN39*HLOOKUP($G39,GWP!$F$11:$I$31,4,FALSE)*$K39,""))))</f>
        <v/>
      </c>
      <c r="AP39" s="1529"/>
      <c r="AQ39" s="1528" t="str">
        <f>IF(AP39="","",IF($F39="",AP39,IF($F39="CO2e",AP39*$K39,IF($F39="GHG",AP39*HLOOKUP($G39,GWP!$F$11:$I$31,4,FALSE)*$K39,""))))</f>
        <v/>
      </c>
      <c r="AR39" s="1529"/>
      <c r="AS39" s="1528" t="str">
        <f>IF(AR39="","",IF($F39="",AR39,IF($F39="CO2e",AR39*$K39,IF($F39="GHG",AR39*HLOOKUP($G39,GWP!$F$11:$I$31,4,FALSE)*$K39,""))))</f>
        <v/>
      </c>
      <c r="AT39" s="1552"/>
      <c r="AU39" s="1528" t="str">
        <f>IF(AT39="","",IF($F39="",AT39,IF($F39="CO2e",AT39*$K39,IF($F39="GHG",AT39*HLOOKUP($G39,GWP!$F$11:$I$31,4,FALSE)*$K39,""))))</f>
        <v/>
      </c>
      <c r="AV39" s="1552"/>
      <c r="AW39" s="1528" t="str">
        <f>IF(AV39="","",IF($F39="",AV39,IF($F39="CO2e",AV39*$K39,IF($F39="GHG",AV39*HLOOKUP($G39,GWP!$F$11:$I$31,4,FALSE)*$K39,""))))</f>
        <v/>
      </c>
      <c r="AX39" s="1529"/>
      <c r="AY39" s="1526" t="str">
        <f t="shared" si="2"/>
        <v/>
      </c>
      <c r="AZ39" s="1529"/>
      <c r="BA39" s="1526" t="str">
        <f t="shared" si="3"/>
        <v/>
      </c>
      <c r="BB39" s="1530"/>
      <c r="BC39" s="1502"/>
      <c r="BD39" s="1530"/>
      <c r="BE39" s="1531"/>
      <c r="BF39" s="1540"/>
    </row>
    <row r="40" spans="2:58" s="40" customFormat="1">
      <c r="B40" s="2002"/>
      <c r="C40" s="2002"/>
      <c r="D40" s="2003"/>
      <c r="E40" s="2003"/>
      <c r="F40" s="1525"/>
      <c r="G40" s="1525"/>
      <c r="H40" s="1533"/>
      <c r="I40" s="1534" t="str">
        <f t="shared" si="0"/>
        <v/>
      </c>
      <c r="J40" s="1535"/>
      <c r="K40" s="1526" t="str">
        <f>IFERROR(IF(H40="","",VLOOKUP(H40,GPC!$D$183:$G$188,4,FALSE)),"")</f>
        <v/>
      </c>
      <c r="L40" s="1529"/>
      <c r="M40" s="1528" t="str">
        <f t="shared" si="1"/>
        <v/>
      </c>
      <c r="N40" s="1529"/>
      <c r="O40" s="1528" t="str">
        <f>IF(N40="","",IF($F40="",N40,IF($F40="CO2e",N40*K40,IF($F40="GHG",N40*HLOOKUP($G40,GWP!$F$11:$I$31,4,FALSE)*K40,""))))</f>
        <v/>
      </c>
      <c r="P40" s="1529"/>
      <c r="Q40" s="1528" t="str">
        <f>IF(P40="","",IF($F40="",P40,IF($F40="CO2e",P40*$K40,IF($F40="GHG",P40*HLOOKUP($G40,GWP!$F$11:$I$31,4,FALSE)*$K40,""))))</f>
        <v/>
      </c>
      <c r="R40" s="1552"/>
      <c r="S40" s="1528" t="str">
        <f>IF(R40="","",IF($F40="",R40,IF($F40="CO2e",R40*$K40,IF($F40="GHG",R40*HLOOKUP($G40,GWP!$F$11:$I$31,4,FALSE)*$K40,""))))</f>
        <v/>
      </c>
      <c r="T40" s="1552"/>
      <c r="U40" s="1528" t="str">
        <f>IF(T40="","",IF($F40="",T40,IF($F40="CO2e",T40*$K40,IF($F40="GHG",T40*HLOOKUP($G40,GWP!$F$11:$I$31,4,FALSE)*$K40,""))))</f>
        <v/>
      </c>
      <c r="V40" s="1529"/>
      <c r="W40" s="1528" t="str">
        <f>IF(V40="","",IF($F40="",V40,IF($F40="CO2e",V40*$K40,IF($F40="GHG",V40*HLOOKUP($G40,GWP!$F$11:$I$31,4,FALSE)*$K40,""))))</f>
        <v/>
      </c>
      <c r="X40" s="1529"/>
      <c r="Y40" s="1528" t="str">
        <f>IF(X40="","",IF($F40="",X40,IF($F40="CO2e",X40*$K40,IF($F40="GHG",X40*HLOOKUP($G40,GWP!$F$11:$I$31,4,FALSE)*$K40,""))))</f>
        <v/>
      </c>
      <c r="Z40" s="1529"/>
      <c r="AA40" s="1528" t="str">
        <f>IF(Z40="","",IF($F40="",Z40,IF($F40="CO2e",Z40*$K40,IF($F40="GHG",Z40*HLOOKUP($G40,GWP!$F$11:$I$31,4,FALSE)*$K40,""))))</f>
        <v/>
      </c>
      <c r="AB40" s="1529"/>
      <c r="AC40" s="1528" t="str">
        <f>IF(AB40="","",IF($F40="",AB40,IF($F40="CO2e",AB40*$K40,IF($F40="GHG",AB40*HLOOKUP($G40,GWP!$F$11:$I$31,4,FALSE)*$K40,""))))</f>
        <v/>
      </c>
      <c r="AD40" s="1529"/>
      <c r="AE40" s="1528" t="str">
        <f>IF(AD40="","",IF($F40="",AD40,IF($F40="CO2e",AD40*$K40,IF($F40="GHG",AD40*HLOOKUP($G40,GWP!$F$11:$I$31,4,FALSE)*$K40,""))))</f>
        <v/>
      </c>
      <c r="AF40" s="1529"/>
      <c r="AG40" s="1528" t="str">
        <f>IF(AF40="","",IF($F40="",AF40,IF($F40="CO2e",AF40*$K40,IF($F40="GHG",AF40*HLOOKUP($G40,GWP!$F$11:$I$31,4,FALSE)*$K40,""))))</f>
        <v/>
      </c>
      <c r="AH40" s="1529"/>
      <c r="AI40" s="1528" t="str">
        <f>IF(AH40="","",IF($F40="",AH40,IF($F40="CO2e",AH40*$K40,IF($F40="GHG",AH40*HLOOKUP($G40,GWP!$F$11:$I$31,4,FALSE)*$K40,""))))</f>
        <v/>
      </c>
      <c r="AJ40" s="1529"/>
      <c r="AK40" s="1528" t="str">
        <f>IF(AJ40="","",IF($F40="",AJ40,IF($F40="CO2e",AJ40*$K40,IF($F40="GHG",AJ40*HLOOKUP($G40,GWP!$F$11:$I$31,4,FALSE)*$K40,""))))</f>
        <v/>
      </c>
      <c r="AL40" s="1529"/>
      <c r="AM40" s="1528" t="str">
        <f>IF(AL40="","",IF($F40="",AL40,IF($F40="CO2e",AL40*$K40,IF($F40="GHG",AL40*HLOOKUP($G40,GWP!$F$11:$I$31,4,FALSE)*$K40,""))))</f>
        <v/>
      </c>
      <c r="AN40" s="1529"/>
      <c r="AO40" s="1528" t="str">
        <f>IF(AN40="","",IF($F40="",AN40,IF($F40="CO2e",AN40*$K40,IF($F40="GHG",AN40*HLOOKUP($G40,GWP!$F$11:$I$31,4,FALSE)*$K40,""))))</f>
        <v/>
      </c>
      <c r="AP40" s="1529"/>
      <c r="AQ40" s="1528" t="str">
        <f>IF(AP40="","",IF($F40="",AP40,IF($F40="CO2e",AP40*$K40,IF($F40="GHG",AP40*HLOOKUP($G40,GWP!$F$11:$I$31,4,FALSE)*$K40,""))))</f>
        <v/>
      </c>
      <c r="AR40" s="1529"/>
      <c r="AS40" s="1528" t="str">
        <f>IF(AR40="","",IF($F40="",AR40,IF($F40="CO2e",AR40*$K40,IF($F40="GHG",AR40*HLOOKUP($G40,GWP!$F$11:$I$31,4,FALSE)*$K40,""))))</f>
        <v/>
      </c>
      <c r="AT40" s="1552"/>
      <c r="AU40" s="1528" t="str">
        <f>IF(AT40="","",IF($F40="",AT40,IF($F40="CO2e",AT40*$K40,IF($F40="GHG",AT40*HLOOKUP($G40,GWP!$F$11:$I$31,4,FALSE)*$K40,""))))</f>
        <v/>
      </c>
      <c r="AV40" s="1552"/>
      <c r="AW40" s="1528" t="str">
        <f>IF(AV40="","",IF($F40="",AV40,IF($F40="CO2e",AV40*$K40,IF($F40="GHG",AV40*HLOOKUP($G40,GWP!$F$11:$I$31,4,FALSE)*$K40,""))))</f>
        <v/>
      </c>
      <c r="AX40" s="1529"/>
      <c r="AY40" s="1526" t="str">
        <f t="shared" si="2"/>
        <v/>
      </c>
      <c r="AZ40" s="1529"/>
      <c r="BA40" s="1526" t="str">
        <f t="shared" si="3"/>
        <v/>
      </c>
      <c r="BB40" s="1530"/>
      <c r="BC40" s="1502"/>
      <c r="BD40" s="1530"/>
      <c r="BE40" s="1531"/>
      <c r="BF40" s="1540"/>
    </row>
    <row r="41" spans="2:58" s="40" customFormat="1">
      <c r="B41" s="2002"/>
      <c r="C41" s="2002"/>
      <c r="D41" s="2003"/>
      <c r="E41" s="2003"/>
      <c r="F41" s="1525"/>
      <c r="G41" s="1525"/>
      <c r="H41" s="1533"/>
      <c r="I41" s="1534" t="str">
        <f t="shared" si="0"/>
        <v/>
      </c>
      <c r="J41" s="1535"/>
      <c r="K41" s="1526" t="str">
        <f>IFERROR(IF(H41="","",VLOOKUP(H41,GPC!$D$183:$G$188,4,FALSE)),"")</f>
        <v/>
      </c>
      <c r="L41" s="1529"/>
      <c r="M41" s="1528" t="str">
        <f t="shared" si="1"/>
        <v/>
      </c>
      <c r="N41" s="1529"/>
      <c r="O41" s="1528" t="str">
        <f>IF(N41="","",IF($F41="",N41,IF($F41="CO2e",N41*K41,IF($F41="GHG",N41*HLOOKUP($G41,GWP!$F$11:$I$31,4,FALSE)*K41,""))))</f>
        <v/>
      </c>
      <c r="P41" s="1529"/>
      <c r="Q41" s="1528" t="str">
        <f>IF(P41="","",IF($F41="",P41,IF($F41="CO2e",P41*$K41,IF($F41="GHG",P41*HLOOKUP($G41,GWP!$F$11:$I$31,4,FALSE)*$K41,""))))</f>
        <v/>
      </c>
      <c r="R41" s="1552"/>
      <c r="S41" s="1528" t="str">
        <f>IF(R41="","",IF($F41="",R41,IF($F41="CO2e",R41*$K41,IF($F41="GHG",R41*HLOOKUP($G41,GWP!$F$11:$I$31,4,FALSE)*$K41,""))))</f>
        <v/>
      </c>
      <c r="T41" s="1552"/>
      <c r="U41" s="1528" t="str">
        <f>IF(T41="","",IF($F41="",T41,IF($F41="CO2e",T41*$K41,IF($F41="GHG",T41*HLOOKUP($G41,GWP!$F$11:$I$31,4,FALSE)*$K41,""))))</f>
        <v/>
      </c>
      <c r="V41" s="1529"/>
      <c r="W41" s="1528" t="str">
        <f>IF(V41="","",IF($F41="",V41,IF($F41="CO2e",V41*$K41,IF($F41="GHG",V41*HLOOKUP($G41,GWP!$F$11:$I$31,4,FALSE)*$K41,""))))</f>
        <v/>
      </c>
      <c r="X41" s="1529"/>
      <c r="Y41" s="1528" t="str">
        <f>IF(X41="","",IF($F41="",X41,IF($F41="CO2e",X41*$K41,IF($F41="GHG",X41*HLOOKUP($G41,GWP!$F$11:$I$31,4,FALSE)*$K41,""))))</f>
        <v/>
      </c>
      <c r="Z41" s="1529"/>
      <c r="AA41" s="1528" t="str">
        <f>IF(Z41="","",IF($F41="",Z41,IF($F41="CO2e",Z41*$K41,IF($F41="GHG",Z41*HLOOKUP($G41,GWP!$F$11:$I$31,4,FALSE)*$K41,""))))</f>
        <v/>
      </c>
      <c r="AB41" s="1529"/>
      <c r="AC41" s="1528" t="str">
        <f>IF(AB41="","",IF($F41="",AB41,IF($F41="CO2e",AB41*$K41,IF($F41="GHG",AB41*HLOOKUP($G41,GWP!$F$11:$I$31,4,FALSE)*$K41,""))))</f>
        <v/>
      </c>
      <c r="AD41" s="1529"/>
      <c r="AE41" s="1528" t="str">
        <f>IF(AD41="","",IF($F41="",AD41,IF($F41="CO2e",AD41*$K41,IF($F41="GHG",AD41*HLOOKUP($G41,GWP!$F$11:$I$31,4,FALSE)*$K41,""))))</f>
        <v/>
      </c>
      <c r="AF41" s="1529"/>
      <c r="AG41" s="1528" t="str">
        <f>IF(AF41="","",IF($F41="",AF41,IF($F41="CO2e",AF41*$K41,IF($F41="GHG",AF41*HLOOKUP($G41,GWP!$F$11:$I$31,4,FALSE)*$K41,""))))</f>
        <v/>
      </c>
      <c r="AH41" s="1529"/>
      <c r="AI41" s="1528" t="str">
        <f>IF(AH41="","",IF($F41="",AH41,IF($F41="CO2e",AH41*$K41,IF($F41="GHG",AH41*HLOOKUP($G41,GWP!$F$11:$I$31,4,FALSE)*$K41,""))))</f>
        <v/>
      </c>
      <c r="AJ41" s="1529"/>
      <c r="AK41" s="1528" t="str">
        <f>IF(AJ41="","",IF($F41="",AJ41,IF($F41="CO2e",AJ41*$K41,IF($F41="GHG",AJ41*HLOOKUP($G41,GWP!$F$11:$I$31,4,FALSE)*$K41,""))))</f>
        <v/>
      </c>
      <c r="AL41" s="1529"/>
      <c r="AM41" s="1528" t="str">
        <f>IF(AL41="","",IF($F41="",AL41,IF($F41="CO2e",AL41*$K41,IF($F41="GHG",AL41*HLOOKUP($G41,GWP!$F$11:$I$31,4,FALSE)*$K41,""))))</f>
        <v/>
      </c>
      <c r="AN41" s="1529"/>
      <c r="AO41" s="1528" t="str">
        <f>IF(AN41="","",IF($F41="",AN41,IF($F41="CO2e",AN41*$K41,IF($F41="GHG",AN41*HLOOKUP($G41,GWP!$F$11:$I$31,4,FALSE)*$K41,""))))</f>
        <v/>
      </c>
      <c r="AP41" s="1529"/>
      <c r="AQ41" s="1528" t="str">
        <f>IF(AP41="","",IF($F41="",AP41,IF($F41="CO2e",AP41*$K41,IF($F41="GHG",AP41*HLOOKUP($G41,GWP!$F$11:$I$31,4,FALSE)*$K41,""))))</f>
        <v/>
      </c>
      <c r="AR41" s="1529"/>
      <c r="AS41" s="1528" t="str">
        <f>IF(AR41="","",IF($F41="",AR41,IF($F41="CO2e",AR41*$K41,IF($F41="GHG",AR41*HLOOKUP($G41,GWP!$F$11:$I$31,4,FALSE)*$K41,""))))</f>
        <v/>
      </c>
      <c r="AT41" s="1552"/>
      <c r="AU41" s="1528" t="str">
        <f>IF(AT41="","",IF($F41="",AT41,IF($F41="CO2e",AT41*$K41,IF($F41="GHG",AT41*HLOOKUP($G41,GWP!$F$11:$I$31,4,FALSE)*$K41,""))))</f>
        <v/>
      </c>
      <c r="AV41" s="1552"/>
      <c r="AW41" s="1528" t="str">
        <f>IF(AV41="","",IF($F41="",AV41,IF($F41="CO2e",AV41*$K41,IF($F41="GHG",AV41*HLOOKUP($G41,GWP!$F$11:$I$31,4,FALSE)*$K41,""))))</f>
        <v/>
      </c>
      <c r="AX41" s="1529"/>
      <c r="AY41" s="1526" t="str">
        <f t="shared" si="2"/>
        <v/>
      </c>
      <c r="AZ41" s="1529"/>
      <c r="BA41" s="1526" t="str">
        <f t="shared" si="3"/>
        <v/>
      </c>
      <c r="BB41" s="1530"/>
      <c r="BC41" s="1502"/>
      <c r="BD41" s="1530"/>
      <c r="BE41" s="1531"/>
      <c r="BF41" s="1540"/>
    </row>
    <row r="42" spans="2:58" s="40" customFormat="1">
      <c r="F42" s="244"/>
      <c r="G42" s="244"/>
      <c r="H42" s="244"/>
      <c r="I42" s="244"/>
      <c r="J42" s="244"/>
      <c r="K42" s="244"/>
    </row>
    <row r="43" spans="2:58" s="40" customFormat="1">
      <c r="B43" s="245" t="s">
        <v>743</v>
      </c>
      <c r="C43" s="245"/>
      <c r="D43" s="245"/>
      <c r="E43" s="245"/>
      <c r="F43" s="245"/>
      <c r="G43" s="246"/>
      <c r="H43" s="246"/>
      <c r="I43" s="246"/>
      <c r="J43" s="246"/>
      <c r="K43" s="246"/>
    </row>
    <row r="44" spans="2:58" s="40" customFormat="1" ht="30" customHeight="1">
      <c r="B44" s="15"/>
      <c r="C44" s="15"/>
      <c r="D44" s="1740"/>
      <c r="E44" s="1740"/>
      <c r="F44" s="1740"/>
      <c r="G44" s="1740"/>
      <c r="H44" s="1740"/>
      <c r="I44" s="1740"/>
      <c r="J44" s="1740"/>
      <c r="K44" s="1740"/>
      <c r="L44" s="1740"/>
    </row>
    <row r="45" spans="2:58" s="40" customFormat="1">
      <c r="F45" s="244"/>
      <c r="G45" s="244"/>
      <c r="H45" s="244"/>
      <c r="I45" s="244"/>
      <c r="J45" s="244"/>
      <c r="K45" s="244"/>
      <c r="V45" s="156"/>
      <c r="W45" s="156"/>
      <c r="X45" s="156"/>
    </row>
    <row r="46" spans="2:58" s="40" customFormat="1">
      <c r="F46" s="244"/>
      <c r="G46" s="244"/>
      <c r="H46" s="244"/>
      <c r="I46" s="244"/>
      <c r="J46" s="244"/>
      <c r="K46" s="244"/>
      <c r="V46" s="1487"/>
      <c r="W46" s="247"/>
      <c r="X46" s="247"/>
      <c r="Y46" s="247"/>
      <c r="Z46" s="247"/>
      <c r="AA46" s="247"/>
      <c r="AB46" s="247"/>
      <c r="AC46" s="247"/>
      <c r="AD46" s="247"/>
      <c r="AE46" s="247"/>
      <c r="AF46" s="247"/>
      <c r="AG46" s="247"/>
      <c r="AH46" s="247"/>
      <c r="AI46" s="247"/>
      <c r="AJ46" s="247"/>
      <c r="AK46" s="247"/>
      <c r="AM46" s="247"/>
      <c r="AN46" s="247"/>
      <c r="AO46" s="247"/>
      <c r="AP46" s="247"/>
      <c r="AQ46" s="247"/>
      <c r="AR46" s="247"/>
      <c r="AS46" s="247"/>
    </row>
    <row r="47" spans="2:58" s="40" customFormat="1">
      <c r="F47" s="244"/>
      <c r="G47" s="244"/>
      <c r="H47" s="244"/>
      <c r="I47" s="244"/>
      <c r="J47" s="244"/>
      <c r="K47" s="244"/>
      <c r="V47" s="1487"/>
      <c r="W47" s="247"/>
      <c r="X47" s="247"/>
      <c r="Y47" s="247"/>
      <c r="Z47" s="247"/>
      <c r="AA47" s="247"/>
      <c r="AB47" s="247"/>
      <c r="AC47" s="247"/>
      <c r="AD47" s="247"/>
      <c r="AE47" s="247"/>
      <c r="AF47" s="247"/>
      <c r="AG47" s="247"/>
      <c r="AH47" s="247"/>
      <c r="AI47" s="247"/>
      <c r="AJ47" s="247"/>
      <c r="AK47" s="247"/>
      <c r="AM47" s="247"/>
      <c r="AN47" s="247"/>
      <c r="AO47" s="247"/>
      <c r="AP47" s="247"/>
      <c r="AQ47" s="247"/>
      <c r="AR47" s="247"/>
      <c r="AS47" s="247"/>
    </row>
    <row r="48" spans="2:58" s="40" customFormat="1">
      <c r="F48" s="244"/>
      <c r="G48" s="244"/>
      <c r="H48" s="244"/>
      <c r="I48" s="244"/>
      <c r="J48" s="244"/>
      <c r="K48" s="244"/>
      <c r="V48" s="1487"/>
      <c r="W48" s="247"/>
      <c r="X48" s="247"/>
      <c r="Y48" s="247"/>
      <c r="Z48" s="247"/>
      <c r="AA48" s="247"/>
      <c r="AB48" s="247"/>
      <c r="AC48" s="247"/>
      <c r="AD48" s="247"/>
      <c r="AE48" s="247"/>
      <c r="AF48" s="247"/>
      <c r="AG48" s="247"/>
      <c r="AH48" s="247"/>
      <c r="AI48" s="247"/>
      <c r="AJ48" s="247"/>
      <c r="AK48" s="247"/>
      <c r="AM48" s="247"/>
      <c r="AN48" s="247"/>
      <c r="AO48" s="247"/>
      <c r="AP48" s="247"/>
      <c r="AQ48" s="247"/>
      <c r="AR48" s="247"/>
      <c r="AS48" s="247"/>
    </row>
    <row r="49" spans="6:45" s="40" customFormat="1">
      <c r="F49" s="244"/>
      <c r="G49" s="244"/>
      <c r="H49" s="244"/>
      <c r="I49" s="244"/>
      <c r="J49" s="244"/>
      <c r="K49" s="244"/>
      <c r="V49" s="1487"/>
      <c r="W49" s="247"/>
      <c r="X49" s="247"/>
      <c r="Y49" s="247"/>
      <c r="Z49" s="247"/>
      <c r="AA49" s="247"/>
      <c r="AB49" s="247"/>
      <c r="AC49" s="247"/>
      <c r="AD49" s="247"/>
      <c r="AE49" s="247"/>
      <c r="AF49" s="247"/>
      <c r="AG49" s="247"/>
      <c r="AH49" s="247"/>
      <c r="AI49" s="247"/>
      <c r="AJ49" s="247"/>
      <c r="AK49" s="247"/>
      <c r="AL49" s="247"/>
      <c r="AM49" s="247"/>
      <c r="AN49" s="247"/>
      <c r="AO49" s="247"/>
      <c r="AP49" s="247"/>
      <c r="AQ49" s="247"/>
      <c r="AR49" s="247"/>
      <c r="AS49" s="247"/>
    </row>
    <row r="50" spans="6:45" s="40" customFormat="1">
      <c r="F50" s="244"/>
      <c r="G50" s="244"/>
      <c r="H50" s="244"/>
      <c r="I50" s="244"/>
      <c r="J50" s="244"/>
      <c r="K50" s="244"/>
      <c r="V50" s="1741"/>
      <c r="W50" s="247"/>
      <c r="X50" s="247"/>
      <c r="Y50" s="247"/>
      <c r="Z50" s="247"/>
      <c r="AA50" s="247"/>
      <c r="AB50" s="247"/>
      <c r="AC50" s="247"/>
      <c r="AD50" s="247"/>
      <c r="AE50" s="247"/>
      <c r="AF50" s="247"/>
      <c r="AG50" s="247"/>
      <c r="AH50" s="247"/>
      <c r="AI50" s="247"/>
      <c r="AJ50" s="247"/>
      <c r="AK50" s="247"/>
      <c r="AL50" s="247"/>
      <c r="AM50" s="247"/>
      <c r="AN50" s="247"/>
      <c r="AO50" s="247"/>
      <c r="AP50" s="247"/>
      <c r="AQ50" s="247"/>
      <c r="AR50" s="247"/>
      <c r="AS50" s="247"/>
    </row>
    <row r="51" spans="6:45" s="40" customFormat="1">
      <c r="F51" s="244"/>
      <c r="G51" s="244"/>
      <c r="H51" s="244"/>
      <c r="I51" s="244"/>
      <c r="J51" s="244"/>
      <c r="K51" s="244"/>
      <c r="V51" s="1487"/>
      <c r="W51" s="247"/>
      <c r="X51" s="247"/>
      <c r="Y51" s="247"/>
      <c r="Z51" s="247"/>
      <c r="AA51" s="247"/>
      <c r="AB51" s="247"/>
      <c r="AC51" s="247"/>
      <c r="AD51" s="247"/>
      <c r="AE51" s="247"/>
      <c r="AF51" s="247"/>
      <c r="AG51" s="247"/>
      <c r="AH51" s="247"/>
      <c r="AI51" s="247"/>
      <c r="AJ51" s="247"/>
      <c r="AK51" s="247"/>
      <c r="AL51" s="247"/>
      <c r="AM51" s="247"/>
      <c r="AN51" s="247"/>
      <c r="AO51" s="247"/>
      <c r="AP51" s="247"/>
      <c r="AQ51" s="247"/>
      <c r="AR51" s="247"/>
      <c r="AS51" s="247"/>
    </row>
    <row r="52" spans="6:45" s="40" customFormat="1">
      <c r="F52" s="244"/>
      <c r="G52" s="244"/>
      <c r="H52" s="244"/>
      <c r="I52" s="244"/>
      <c r="J52" s="244"/>
      <c r="K52" s="244"/>
      <c r="V52" s="1487"/>
      <c r="W52" s="247"/>
      <c r="X52" s="247"/>
      <c r="Y52" s="247"/>
      <c r="Z52" s="247"/>
      <c r="AA52" s="247"/>
      <c r="AB52" s="247"/>
      <c r="AC52" s="247"/>
      <c r="AD52" s="247"/>
      <c r="AE52" s="247"/>
      <c r="AF52" s="247"/>
      <c r="AG52" s="247"/>
      <c r="AH52" s="247"/>
      <c r="AI52" s="247"/>
      <c r="AJ52" s="247"/>
      <c r="AK52" s="247"/>
      <c r="AL52" s="247"/>
      <c r="AM52" s="247"/>
      <c r="AN52" s="247"/>
      <c r="AO52" s="247"/>
      <c r="AP52" s="247"/>
      <c r="AQ52" s="247"/>
      <c r="AR52" s="247"/>
      <c r="AS52" s="247"/>
    </row>
    <row r="53" spans="6:45" s="40" customFormat="1">
      <c r="F53" s="244"/>
      <c r="G53" s="244"/>
      <c r="H53" s="244"/>
      <c r="I53" s="244"/>
      <c r="J53" s="244"/>
      <c r="K53" s="244"/>
      <c r="V53" s="1487"/>
      <c r="W53" s="247"/>
      <c r="X53" s="247"/>
      <c r="Y53" s="247"/>
      <c r="Z53" s="247"/>
      <c r="AA53" s="247"/>
      <c r="AB53" s="247"/>
      <c r="AC53" s="247"/>
      <c r="AD53" s="247"/>
      <c r="AE53" s="247"/>
      <c r="AF53" s="247"/>
      <c r="AG53" s="247"/>
      <c r="AH53" s="247"/>
      <c r="AI53" s="247"/>
      <c r="AJ53" s="247"/>
      <c r="AK53" s="247"/>
      <c r="AL53" s="247"/>
      <c r="AM53" s="247"/>
      <c r="AN53" s="247"/>
      <c r="AO53" s="247"/>
      <c r="AP53" s="247"/>
      <c r="AQ53" s="247"/>
      <c r="AR53" s="247"/>
      <c r="AS53" s="247"/>
    </row>
    <row r="54" spans="6:45" s="40" customFormat="1">
      <c r="F54" s="244"/>
      <c r="G54" s="244"/>
      <c r="H54" s="244"/>
      <c r="I54" s="244"/>
      <c r="J54" s="244"/>
      <c r="K54" s="244"/>
      <c r="V54" s="1487"/>
      <c r="W54" s="247"/>
      <c r="X54" s="247"/>
      <c r="Y54" s="247"/>
      <c r="Z54" s="247"/>
      <c r="AA54" s="247"/>
      <c r="AB54" s="247"/>
      <c r="AC54" s="247"/>
      <c r="AD54" s="247"/>
      <c r="AE54" s="247"/>
      <c r="AF54" s="247"/>
      <c r="AG54" s="247"/>
      <c r="AH54" s="247"/>
      <c r="AI54" s="247"/>
      <c r="AJ54" s="247"/>
      <c r="AK54" s="247"/>
      <c r="AL54" s="247"/>
      <c r="AM54" s="247"/>
      <c r="AN54" s="247"/>
      <c r="AO54" s="247"/>
      <c r="AP54" s="247"/>
      <c r="AQ54" s="247"/>
      <c r="AR54" s="247"/>
      <c r="AS54" s="247"/>
    </row>
    <row r="55" spans="6:45" s="40" customFormat="1">
      <c r="F55" s="244"/>
      <c r="G55" s="244"/>
      <c r="H55" s="244"/>
      <c r="I55" s="244"/>
      <c r="J55" s="244"/>
      <c r="K55" s="244"/>
      <c r="V55" s="1487"/>
      <c r="W55" s="247"/>
      <c r="X55" s="247"/>
      <c r="Y55" s="247"/>
      <c r="Z55" s="247"/>
      <c r="AA55" s="247"/>
      <c r="AB55" s="247"/>
      <c r="AC55" s="247"/>
      <c r="AD55" s="247"/>
      <c r="AE55" s="247"/>
      <c r="AF55" s="247"/>
      <c r="AG55" s="247"/>
      <c r="AH55" s="247"/>
      <c r="AI55" s="247"/>
      <c r="AJ55" s="247"/>
      <c r="AK55" s="247"/>
      <c r="AL55" s="247"/>
      <c r="AM55" s="247"/>
      <c r="AN55" s="247"/>
      <c r="AO55" s="247"/>
      <c r="AP55" s="247"/>
      <c r="AQ55" s="247"/>
      <c r="AR55" s="247"/>
      <c r="AS55" s="247"/>
    </row>
    <row r="56" spans="6:45" s="40" customFormat="1">
      <c r="F56" s="244"/>
      <c r="G56" s="244"/>
      <c r="H56" s="244"/>
      <c r="I56" s="244"/>
      <c r="J56" s="244"/>
      <c r="K56" s="244"/>
      <c r="V56" s="1487"/>
      <c r="W56" s="247"/>
      <c r="X56" s="247"/>
      <c r="Y56" s="247"/>
      <c r="Z56" s="247"/>
      <c r="AA56" s="247"/>
      <c r="AB56" s="247"/>
      <c r="AC56" s="247"/>
      <c r="AD56" s="247"/>
      <c r="AE56" s="247"/>
      <c r="AF56" s="247"/>
      <c r="AG56" s="247"/>
      <c r="AH56" s="247"/>
      <c r="AI56" s="247"/>
      <c r="AJ56" s="247"/>
      <c r="AK56" s="247"/>
      <c r="AL56" s="247"/>
      <c r="AM56" s="247"/>
      <c r="AN56" s="247"/>
      <c r="AO56" s="247"/>
      <c r="AP56" s="247"/>
      <c r="AQ56" s="247"/>
      <c r="AR56" s="247"/>
      <c r="AS56" s="247"/>
    </row>
    <row r="57" spans="6:45" s="40" customFormat="1">
      <c r="F57" s="244"/>
      <c r="G57" s="244"/>
      <c r="H57" s="244"/>
      <c r="I57" s="244"/>
      <c r="J57" s="244"/>
      <c r="K57" s="244"/>
      <c r="V57" s="1487"/>
      <c r="W57" s="247"/>
      <c r="X57" s="247"/>
      <c r="Y57" s="247"/>
      <c r="Z57" s="247"/>
      <c r="AA57" s="247"/>
      <c r="AB57" s="247"/>
      <c r="AC57" s="247"/>
      <c r="AD57" s="247"/>
      <c r="AE57" s="247"/>
      <c r="AF57" s="247"/>
      <c r="AG57" s="247"/>
      <c r="AH57" s="247"/>
      <c r="AI57" s="247"/>
      <c r="AJ57" s="247"/>
      <c r="AK57" s="247"/>
      <c r="AL57" s="247"/>
      <c r="AM57" s="247"/>
      <c r="AN57" s="247"/>
      <c r="AO57" s="247"/>
      <c r="AP57" s="247"/>
      <c r="AQ57" s="247"/>
      <c r="AR57" s="247"/>
      <c r="AS57" s="247"/>
    </row>
    <row r="58" spans="6:45" s="40" customFormat="1">
      <c r="F58" s="244"/>
      <c r="G58" s="244"/>
      <c r="H58" s="244"/>
      <c r="I58" s="244"/>
      <c r="J58" s="244"/>
      <c r="K58" s="244"/>
      <c r="V58" s="156"/>
      <c r="W58" s="156"/>
      <c r="X58" s="156"/>
    </row>
    <row r="59" spans="6:45" s="40" customFormat="1">
      <c r="F59" s="244"/>
      <c r="G59" s="244"/>
      <c r="H59" s="244"/>
      <c r="I59" s="244"/>
      <c r="J59" s="244"/>
      <c r="K59" s="244"/>
      <c r="V59" s="156"/>
      <c r="W59" s="156"/>
      <c r="X59" s="156"/>
    </row>
    <row r="60" spans="6:45" s="40" customFormat="1">
      <c r="F60" s="244"/>
      <c r="G60" s="244"/>
      <c r="H60" s="244"/>
      <c r="I60" s="244"/>
      <c r="J60" s="244"/>
      <c r="K60" s="244"/>
    </row>
    <row r="61" spans="6:45" s="40" customFormat="1">
      <c r="F61" s="244"/>
      <c r="G61" s="244"/>
      <c r="H61" s="244"/>
      <c r="I61" s="244"/>
      <c r="J61" s="244"/>
      <c r="K61" s="244"/>
    </row>
    <row r="62" spans="6:45" s="40" customFormat="1">
      <c r="F62" s="244"/>
      <c r="G62" s="244"/>
      <c r="H62" s="244"/>
      <c r="I62" s="244"/>
      <c r="J62" s="244"/>
      <c r="K62" s="244"/>
    </row>
    <row r="63" spans="6:45" s="40" customFormat="1">
      <c r="F63" s="244"/>
      <c r="G63" s="244"/>
      <c r="H63" s="244"/>
      <c r="I63" s="244"/>
      <c r="J63" s="244"/>
      <c r="K63" s="244"/>
    </row>
    <row r="64" spans="6:45" s="40" customFormat="1">
      <c r="F64" s="244"/>
      <c r="G64" s="244"/>
      <c r="H64" s="244"/>
      <c r="I64" s="244"/>
      <c r="J64" s="244"/>
      <c r="K64" s="244"/>
    </row>
    <row r="65" spans="6:11" s="40" customFormat="1">
      <c r="F65" s="244"/>
      <c r="G65" s="244"/>
      <c r="H65" s="244"/>
      <c r="I65" s="244"/>
      <c r="J65" s="244"/>
      <c r="K65" s="244"/>
    </row>
    <row r="66" spans="6:11" s="40" customFormat="1">
      <c r="F66" s="244"/>
      <c r="G66" s="244"/>
      <c r="H66" s="244"/>
      <c r="I66" s="244"/>
      <c r="J66" s="244"/>
      <c r="K66" s="244"/>
    </row>
    <row r="67" spans="6:11" s="40" customFormat="1">
      <c r="F67" s="244"/>
      <c r="G67" s="244"/>
      <c r="H67" s="244"/>
      <c r="I67" s="244"/>
      <c r="J67" s="244"/>
      <c r="K67" s="244"/>
    </row>
    <row r="68" spans="6:11" s="40" customFormat="1">
      <c r="F68" s="244"/>
      <c r="G68" s="244"/>
      <c r="H68" s="244"/>
      <c r="I68" s="244"/>
      <c r="J68" s="244"/>
      <c r="K68" s="244"/>
    </row>
    <row r="69" spans="6:11" s="40" customFormat="1">
      <c r="F69" s="244"/>
      <c r="G69" s="244"/>
      <c r="H69" s="244"/>
      <c r="I69" s="244"/>
      <c r="J69" s="244"/>
      <c r="K69" s="244"/>
    </row>
    <row r="70" spans="6:11" s="40" customFormat="1">
      <c r="F70" s="244"/>
      <c r="G70" s="244"/>
      <c r="H70" s="244"/>
      <c r="I70" s="244"/>
      <c r="J70" s="244"/>
      <c r="K70" s="244"/>
    </row>
    <row r="71" spans="6:11" s="40" customFormat="1">
      <c r="F71" s="244"/>
      <c r="G71" s="244"/>
      <c r="H71" s="244"/>
      <c r="I71" s="244"/>
      <c r="J71" s="244"/>
      <c r="K71" s="244"/>
    </row>
    <row r="72" spans="6:11" s="40" customFormat="1">
      <c r="F72" s="244"/>
      <c r="G72" s="244"/>
      <c r="H72" s="244"/>
      <c r="I72" s="244"/>
      <c r="J72" s="244"/>
      <c r="K72" s="244"/>
    </row>
    <row r="73" spans="6:11" s="40" customFormat="1">
      <c r="F73" s="244"/>
      <c r="G73" s="244"/>
      <c r="H73" s="244"/>
      <c r="I73" s="244"/>
      <c r="J73" s="244"/>
      <c r="K73" s="244"/>
    </row>
    <row r="74" spans="6:11" s="40" customFormat="1">
      <c r="F74" s="244"/>
      <c r="G74" s="244"/>
      <c r="H74" s="244"/>
      <c r="I74" s="244"/>
      <c r="J74" s="244"/>
      <c r="K74" s="244"/>
    </row>
    <row r="75" spans="6:11" s="40" customFormat="1">
      <c r="F75" s="244"/>
      <c r="G75" s="244"/>
      <c r="H75" s="244"/>
      <c r="I75" s="244"/>
      <c r="J75" s="244"/>
      <c r="K75" s="244"/>
    </row>
    <row r="76" spans="6:11" s="40" customFormat="1">
      <c r="F76" s="244"/>
      <c r="G76" s="244"/>
      <c r="H76" s="244"/>
      <c r="I76" s="244"/>
      <c r="J76" s="244"/>
      <c r="K76" s="244"/>
    </row>
    <row r="77" spans="6:11" s="40" customFormat="1">
      <c r="F77" s="244"/>
      <c r="G77" s="244"/>
      <c r="H77" s="244"/>
      <c r="I77" s="244"/>
      <c r="J77" s="244"/>
      <c r="K77" s="244"/>
    </row>
    <row r="78" spans="6:11" s="40" customFormat="1">
      <c r="F78" s="244"/>
      <c r="G78" s="244"/>
      <c r="H78" s="244"/>
      <c r="I78" s="244"/>
      <c r="J78" s="244"/>
      <c r="K78" s="244"/>
    </row>
    <row r="79" spans="6:11" s="40" customFormat="1">
      <c r="F79" s="244"/>
      <c r="G79" s="244"/>
      <c r="H79" s="244"/>
      <c r="I79" s="244"/>
      <c r="J79" s="244"/>
      <c r="K79" s="244"/>
    </row>
    <row r="80" spans="6:11" s="40" customFormat="1">
      <c r="F80" s="244"/>
      <c r="G80" s="244"/>
      <c r="H80" s="244"/>
      <c r="I80" s="244"/>
      <c r="J80" s="244"/>
      <c r="K80" s="244"/>
    </row>
    <row r="81" spans="6:11" s="40" customFormat="1">
      <c r="F81" s="244"/>
      <c r="G81" s="244"/>
      <c r="H81" s="244"/>
      <c r="I81" s="244"/>
      <c r="J81" s="244"/>
      <c r="K81" s="244"/>
    </row>
    <row r="82" spans="6:11" s="40" customFormat="1">
      <c r="F82" s="244"/>
      <c r="G82" s="244"/>
      <c r="H82" s="244"/>
      <c r="I82" s="244"/>
      <c r="J82" s="244"/>
      <c r="K82" s="244"/>
    </row>
    <row r="83" spans="6:11" s="40" customFormat="1">
      <c r="F83" s="244"/>
      <c r="G83" s="244"/>
      <c r="H83" s="244"/>
      <c r="I83" s="244"/>
      <c r="J83" s="244"/>
      <c r="K83" s="244"/>
    </row>
    <row r="84" spans="6:11" s="40" customFormat="1">
      <c r="F84" s="244"/>
      <c r="G84" s="244"/>
      <c r="H84" s="244"/>
      <c r="I84" s="244"/>
      <c r="J84" s="244"/>
      <c r="K84" s="244"/>
    </row>
    <row r="85" spans="6:11" s="40" customFormat="1">
      <c r="F85" s="244"/>
      <c r="G85" s="244"/>
      <c r="H85" s="244"/>
      <c r="I85" s="244"/>
      <c r="J85" s="244"/>
      <c r="K85" s="244"/>
    </row>
    <row r="86" spans="6:11" s="40" customFormat="1">
      <c r="F86" s="244"/>
      <c r="G86" s="244"/>
      <c r="H86" s="244"/>
      <c r="I86" s="244"/>
      <c r="J86" s="244"/>
      <c r="K86" s="244"/>
    </row>
    <row r="87" spans="6:11" s="40" customFormat="1">
      <c r="F87" s="244"/>
      <c r="G87" s="244"/>
      <c r="H87" s="244"/>
      <c r="I87" s="244"/>
      <c r="J87" s="244"/>
      <c r="K87" s="244"/>
    </row>
    <row r="88" spans="6:11" s="40" customFormat="1">
      <c r="F88" s="244"/>
      <c r="G88" s="244"/>
      <c r="H88" s="244"/>
      <c r="I88" s="244"/>
      <c r="J88" s="244"/>
      <c r="K88" s="244"/>
    </row>
    <row r="89" spans="6:11" s="40" customFormat="1">
      <c r="F89" s="244"/>
      <c r="G89" s="244"/>
      <c r="H89" s="244"/>
      <c r="I89" s="244"/>
      <c r="J89" s="244"/>
      <c r="K89" s="244"/>
    </row>
    <row r="90" spans="6:11" s="40" customFormat="1">
      <c r="F90" s="244"/>
      <c r="G90" s="244"/>
      <c r="H90" s="244"/>
      <c r="I90" s="244"/>
      <c r="J90" s="244"/>
      <c r="K90" s="244"/>
    </row>
    <row r="91" spans="6:11" s="40" customFormat="1">
      <c r="F91" s="244"/>
      <c r="G91" s="244"/>
      <c r="H91" s="244"/>
      <c r="I91" s="244"/>
      <c r="J91" s="244"/>
      <c r="K91" s="244"/>
    </row>
    <row r="92" spans="6:11" s="40" customFormat="1">
      <c r="F92" s="244"/>
      <c r="G92" s="244"/>
      <c r="H92" s="244"/>
      <c r="I92" s="244"/>
      <c r="J92" s="244"/>
      <c r="K92" s="244"/>
    </row>
    <row r="93" spans="6:11" s="40" customFormat="1">
      <c r="F93" s="244"/>
      <c r="G93" s="244"/>
      <c r="H93" s="244"/>
      <c r="I93" s="244"/>
      <c r="J93" s="244"/>
      <c r="K93" s="244"/>
    </row>
    <row r="94" spans="6:11" s="40" customFormat="1">
      <c r="F94" s="244"/>
      <c r="G94" s="244"/>
      <c r="H94" s="244"/>
      <c r="I94" s="244"/>
      <c r="J94" s="244"/>
      <c r="K94" s="244"/>
    </row>
    <row r="95" spans="6:11" s="40" customFormat="1">
      <c r="F95" s="244"/>
      <c r="G95" s="244"/>
      <c r="H95" s="244"/>
      <c r="I95" s="244"/>
      <c r="J95" s="244"/>
      <c r="K95" s="244"/>
    </row>
    <row r="96" spans="6:11" s="40" customFormat="1">
      <c r="F96" s="244"/>
      <c r="G96" s="244"/>
      <c r="H96" s="244"/>
      <c r="I96" s="244"/>
      <c r="J96" s="244"/>
      <c r="K96" s="244"/>
    </row>
    <row r="97" spans="6:11" s="40" customFormat="1">
      <c r="F97" s="244"/>
      <c r="G97" s="244"/>
      <c r="H97" s="244"/>
      <c r="I97" s="244"/>
      <c r="J97" s="244"/>
      <c r="K97" s="244"/>
    </row>
    <row r="98" spans="6:11" s="40" customFormat="1">
      <c r="F98" s="244"/>
      <c r="G98" s="244"/>
      <c r="H98" s="244"/>
      <c r="I98" s="244"/>
      <c r="J98" s="244"/>
      <c r="K98" s="244"/>
    </row>
    <row r="99" spans="6:11" s="40" customFormat="1">
      <c r="F99" s="244"/>
      <c r="G99" s="244"/>
      <c r="H99" s="244"/>
      <c r="I99" s="244"/>
      <c r="J99" s="244"/>
      <c r="K99" s="244"/>
    </row>
    <row r="100" spans="6:11" s="40" customFormat="1">
      <c r="F100" s="244"/>
      <c r="G100" s="244"/>
      <c r="H100" s="244"/>
      <c r="I100" s="244"/>
      <c r="J100" s="244"/>
      <c r="K100" s="244"/>
    </row>
    <row r="101" spans="6:11" s="40" customFormat="1">
      <c r="F101" s="244"/>
      <c r="G101" s="244"/>
      <c r="H101" s="244"/>
      <c r="I101" s="244"/>
      <c r="J101" s="244"/>
      <c r="K101" s="244"/>
    </row>
    <row r="102" spans="6:11" s="40" customFormat="1">
      <c r="F102" s="244"/>
      <c r="G102" s="244"/>
      <c r="H102" s="244"/>
      <c r="I102" s="244"/>
      <c r="J102" s="244"/>
      <c r="K102" s="244"/>
    </row>
    <row r="103" spans="6:11" s="40" customFormat="1">
      <c r="F103" s="244"/>
      <c r="G103" s="244"/>
      <c r="H103" s="244"/>
      <c r="I103" s="244"/>
      <c r="J103" s="244"/>
      <c r="K103" s="244"/>
    </row>
    <row r="104" spans="6:11" s="40" customFormat="1">
      <c r="F104" s="244"/>
      <c r="G104" s="244"/>
      <c r="H104" s="244"/>
      <c r="I104" s="244"/>
      <c r="J104" s="244"/>
      <c r="K104" s="244"/>
    </row>
    <row r="105" spans="6:11" s="40" customFormat="1">
      <c r="F105" s="244"/>
      <c r="G105" s="244"/>
      <c r="H105" s="244"/>
      <c r="I105" s="244"/>
      <c r="J105" s="244"/>
      <c r="K105" s="244"/>
    </row>
    <row r="106" spans="6:11" s="40" customFormat="1">
      <c r="F106" s="244"/>
      <c r="G106" s="244"/>
      <c r="H106" s="244"/>
      <c r="I106" s="244"/>
      <c r="J106" s="244"/>
      <c r="K106" s="244"/>
    </row>
  </sheetData>
  <mergeCells count="81">
    <mergeCell ref="B36:C36"/>
    <mergeCell ref="D36:E36"/>
    <mergeCell ref="B40:C40"/>
    <mergeCell ref="D40:E40"/>
    <mergeCell ref="B41:C41"/>
    <mergeCell ref="D41:E41"/>
    <mergeCell ref="B37:C37"/>
    <mergeCell ref="D37:E37"/>
    <mergeCell ref="B38:C38"/>
    <mergeCell ref="D38:E38"/>
    <mergeCell ref="B39:C39"/>
    <mergeCell ref="D39:E39"/>
    <mergeCell ref="B33:C33"/>
    <mergeCell ref="D33:E33"/>
    <mergeCell ref="B34:C34"/>
    <mergeCell ref="D34:E34"/>
    <mergeCell ref="B35:C35"/>
    <mergeCell ref="D35:E35"/>
    <mergeCell ref="B30:C30"/>
    <mergeCell ref="D30:E30"/>
    <mergeCell ref="B31:C31"/>
    <mergeCell ref="D31:E31"/>
    <mergeCell ref="B32:C32"/>
    <mergeCell ref="D32:E32"/>
    <mergeCell ref="B27:C27"/>
    <mergeCell ref="D27:E27"/>
    <mergeCell ref="B28:C28"/>
    <mergeCell ref="D28:E28"/>
    <mergeCell ref="B29:C29"/>
    <mergeCell ref="D29:E29"/>
    <mergeCell ref="B24:C24"/>
    <mergeCell ref="D24:E24"/>
    <mergeCell ref="B25:C25"/>
    <mergeCell ref="D25:E25"/>
    <mergeCell ref="B26:C26"/>
    <mergeCell ref="D26:E26"/>
    <mergeCell ref="B21:C21"/>
    <mergeCell ref="D21:E21"/>
    <mergeCell ref="B22:C22"/>
    <mergeCell ref="D22:E22"/>
    <mergeCell ref="B23:C23"/>
    <mergeCell ref="D23:E23"/>
    <mergeCell ref="N2:O2"/>
    <mergeCell ref="P2:Q2"/>
    <mergeCell ref="D2:E2"/>
    <mergeCell ref="B20:C20"/>
    <mergeCell ref="D20:E20"/>
    <mergeCell ref="B19:C19"/>
    <mergeCell ref="D19:E19"/>
    <mergeCell ref="B18:C18"/>
    <mergeCell ref="D18:E18"/>
    <mergeCell ref="D15:E15"/>
    <mergeCell ref="B15:C15"/>
    <mergeCell ref="B17:C17"/>
    <mergeCell ref="D17:E17"/>
    <mergeCell ref="B16:C16"/>
    <mergeCell ref="F13:F14"/>
    <mergeCell ref="D3:E3"/>
    <mergeCell ref="BE13:BE14"/>
    <mergeCell ref="BF13:BF14"/>
    <mergeCell ref="H13:J14"/>
    <mergeCell ref="K13:K14"/>
    <mergeCell ref="BC13:BC14"/>
    <mergeCell ref="BB13:BB14"/>
    <mergeCell ref="BD13:BD14"/>
    <mergeCell ref="D16:E16"/>
    <mergeCell ref="G13:G14"/>
    <mergeCell ref="B13:C14"/>
    <mergeCell ref="D13:E14"/>
    <mergeCell ref="C2:C3"/>
    <mergeCell ref="B8:Q11"/>
    <mergeCell ref="H3:K3"/>
    <mergeCell ref="L13:AZ13"/>
    <mergeCell ref="N3:O3"/>
    <mergeCell ref="P3:Q3"/>
    <mergeCell ref="B2:B3"/>
    <mergeCell ref="F2:G2"/>
    <mergeCell ref="L2:M2"/>
    <mergeCell ref="F3:G3"/>
    <mergeCell ref="H2:K2"/>
    <mergeCell ref="L3:M3"/>
  </mergeCells>
  <conditionalFormatting sqref="K17">
    <cfRule type="notContainsBlanks" dxfId="631" priority="20">
      <formula>LEN(TRIM(K17))&gt;0</formula>
    </cfRule>
  </conditionalFormatting>
  <conditionalFormatting sqref="K18:K23">
    <cfRule type="notContainsBlanks" dxfId="630" priority="19">
      <formula>LEN(TRIM(K18))&gt;0</formula>
    </cfRule>
  </conditionalFormatting>
  <conditionalFormatting sqref="K25">
    <cfRule type="notContainsBlanks" dxfId="629" priority="17">
      <formula>LEN(TRIM(K25))&gt;0</formula>
    </cfRule>
  </conditionalFormatting>
  <conditionalFormatting sqref="K24">
    <cfRule type="notContainsBlanks" dxfId="628" priority="18">
      <formula>LEN(TRIM(K24))&gt;0</formula>
    </cfRule>
  </conditionalFormatting>
  <conditionalFormatting sqref="K26">
    <cfRule type="notContainsBlanks" dxfId="627" priority="16">
      <formula>LEN(TRIM(K26))&gt;0</formula>
    </cfRule>
  </conditionalFormatting>
  <conditionalFormatting sqref="K32">
    <cfRule type="notContainsBlanks" dxfId="626" priority="15">
      <formula>LEN(TRIM(K32))&gt;0</formula>
    </cfRule>
  </conditionalFormatting>
  <conditionalFormatting sqref="K33">
    <cfRule type="notContainsBlanks" dxfId="625" priority="14">
      <formula>LEN(TRIM(K33))&gt;0</formula>
    </cfRule>
  </conditionalFormatting>
  <conditionalFormatting sqref="K34">
    <cfRule type="notContainsBlanks" dxfId="624" priority="13">
      <formula>LEN(TRIM(K34))&gt;0</formula>
    </cfRule>
  </conditionalFormatting>
  <conditionalFormatting sqref="K35">
    <cfRule type="notContainsBlanks" dxfId="623" priority="12">
      <formula>LEN(TRIM(K35))&gt;0</formula>
    </cfRule>
  </conditionalFormatting>
  <conditionalFormatting sqref="K36">
    <cfRule type="notContainsBlanks" dxfId="622" priority="11">
      <formula>LEN(TRIM(K36))&gt;0</formula>
    </cfRule>
  </conditionalFormatting>
  <conditionalFormatting sqref="K37">
    <cfRule type="notContainsBlanks" dxfId="621" priority="10">
      <formula>LEN(TRIM(K37))&gt;0</formula>
    </cfRule>
  </conditionalFormatting>
  <conditionalFormatting sqref="K38">
    <cfRule type="notContainsBlanks" dxfId="620" priority="9">
      <formula>LEN(TRIM(K38))&gt;0</formula>
    </cfRule>
  </conditionalFormatting>
  <conditionalFormatting sqref="K39">
    <cfRule type="notContainsBlanks" dxfId="619" priority="8">
      <formula>LEN(TRIM(K39))&gt;0</formula>
    </cfRule>
  </conditionalFormatting>
  <conditionalFormatting sqref="K40">
    <cfRule type="notContainsBlanks" dxfId="618" priority="7">
      <formula>LEN(TRIM(K40))&gt;0</formula>
    </cfRule>
  </conditionalFormatting>
  <conditionalFormatting sqref="K41">
    <cfRule type="notContainsBlanks" dxfId="617" priority="6">
      <formula>LEN(TRIM(K41))&gt;0</formula>
    </cfRule>
  </conditionalFormatting>
  <conditionalFormatting sqref="K27">
    <cfRule type="notContainsBlanks" dxfId="616" priority="5">
      <formula>LEN(TRIM(K27))&gt;0</formula>
    </cfRule>
  </conditionalFormatting>
  <conditionalFormatting sqref="K28">
    <cfRule type="notContainsBlanks" dxfId="615" priority="4">
      <formula>LEN(TRIM(K28))&gt;0</formula>
    </cfRule>
  </conditionalFormatting>
  <conditionalFormatting sqref="K29">
    <cfRule type="notContainsBlanks" dxfId="614" priority="3">
      <formula>LEN(TRIM(K29))&gt;0</formula>
    </cfRule>
  </conditionalFormatting>
  <conditionalFormatting sqref="K30">
    <cfRule type="notContainsBlanks" dxfId="613" priority="2">
      <formula>LEN(TRIM(K30))&gt;0</formula>
    </cfRule>
  </conditionalFormatting>
  <conditionalFormatting sqref="K31">
    <cfRule type="notContainsBlanks" dxfId="612" priority="1">
      <formula>LEN(TRIM(K31))&gt;0</formula>
    </cfRule>
  </conditionalFormatting>
  <dataValidations count="6">
    <dataValidation type="list" allowBlank="1" showInputMessage="1" showErrorMessage="1" sqref="H17:H41">
      <formula1>EF_Mass_units</formula1>
    </dataValidation>
    <dataValidation type="list" allowBlank="1" showInputMessage="1" showErrorMessage="1" sqref="F17:F41">
      <formula1>EF_Type</formula1>
    </dataValidation>
    <dataValidation type="list" allowBlank="1" showInputMessage="1" showErrorMessage="1" sqref="G17:G41">
      <formula1>GWP_2</formula1>
    </dataValidation>
    <dataValidation type="list" allowBlank="1" showInputMessage="1" showErrorMessage="1" sqref="BF17:BF41">
      <formula1>DataSource</formula1>
    </dataValidation>
    <dataValidation type="list" allowBlank="1" showInputMessage="1" showErrorMessage="1" sqref="BD17:BD41">
      <formula1>Scale</formula1>
    </dataValidation>
    <dataValidation type="list" allowBlank="1" showInputMessage="1" showErrorMessage="1" sqref="BB17:BB41">
      <formula1>DQ</formula1>
    </dataValidation>
  </dataValidations>
  <hyperlinks>
    <hyperlink ref="D3" location="'City information'!A1" display="City information"/>
    <hyperlink ref="E3" location="'City information'!A1" display="'City information'!A1"/>
    <hyperlink ref="N2" location="Summary!A1" display="Results"/>
    <hyperlink ref="F3" location="'Data sources'!A1" display="Data sources"/>
    <hyperlink ref="G3" location="'Data sources'!A1" display="'Data sources'!A1"/>
    <hyperlink ref="H2" location="Inventory!A1" display="Inventory"/>
    <hyperlink ref="L2" location="Calculators!A1" display="Calculators"/>
    <hyperlink ref="M2" location="Calculators!A1" display="Calculators!A1"/>
    <hyperlink ref="P2" location="Analysis!A1" display="Analysis"/>
    <hyperlink ref="Q2" location="Analysis!A1" display="Analysis!A1"/>
    <hyperlink ref="D2" location="Home!A1" display="Introduction"/>
    <hyperlink ref="E2" location="Home!A1" display="Home!A1"/>
    <hyperlink ref="H3" location="'Emission factors'!A1" display="Emission factors - CO2, CH4 and N2O"/>
    <hyperlink ref="L3" location="'F-Gases'!A1" display="Emission factors_x000d_HFCs, PFCs, SF6 and NF3"/>
    <hyperlink ref="M3" location="'F-Gases'!A1" display="'F-Gases'!A1"/>
    <hyperlink ref="N3" location="Database!A1" display="Emission factors_x000d_IPCC database"/>
    <hyperlink ref="P3" location="Blank!A1" display="Blank"/>
  </hyperlinks>
  <pageMargins left="0.75" right="0.75" top="1" bottom="1" header="0.5" footer="0.5"/>
  <pageSetup paperSize="9" orientation="portrait" horizontalDpi="4294967292" verticalDpi="4294967292"/>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Lists!$BW$3:$BW$35</xm:f>
          </x14:formula1>
          <xm:sqref>BC17:BC41</xm:sqref>
        </x14:dataValidation>
      </x14:dataValidations>
    </ex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theme="4" tint="0.39997558519241921"/>
    <outlinePr summaryBelow="0"/>
    <pageSetUpPr autoPageBreaks="0" fitToPage="1"/>
  </sheetPr>
  <dimension ref="A1:BX56"/>
  <sheetViews>
    <sheetView showGridLines="0" showRowColHeaders="0" workbookViewId="0">
      <selection activeCell="P3" sqref="P3:Q3"/>
    </sheetView>
  </sheetViews>
  <sheetFormatPr baseColWidth="10" defaultColWidth="0" defaultRowHeight="15" customHeight="1" x14ac:dyDescent="0"/>
  <cols>
    <col min="1" max="1" width="4.83203125" customWidth="1"/>
    <col min="2" max="6" width="12.83203125" customWidth="1"/>
    <col min="7" max="7" width="12.83203125" style="15" customWidth="1"/>
    <col min="8" max="8" width="5.1640625" style="15" customWidth="1"/>
    <col min="9" max="9" width="1.83203125" style="15" customWidth="1"/>
    <col min="10" max="10" width="5.1640625" style="15" customWidth="1"/>
    <col min="11" max="15" width="12.83203125" style="15" customWidth="1"/>
    <col min="16" max="16" width="12.6640625" style="15" customWidth="1"/>
    <col min="17" max="24" width="12.83203125" style="15" customWidth="1"/>
    <col min="25" max="26" width="50.83203125" style="15" customWidth="1"/>
    <col min="27" max="27" width="12.83203125" style="15" customWidth="1"/>
    <col min="28" max="28" width="4.83203125" style="15" customWidth="1"/>
    <col min="29" max="36" width="10.83203125" style="15" hidden="1" customWidth="1"/>
    <col min="37" max="16384" width="10.83203125" hidden="1"/>
  </cols>
  <sheetData>
    <row r="1" spans="1:76" s="498" customFormat="1"/>
    <row r="2" spans="1:76" s="464" customFormat="1" ht="31" customHeight="1">
      <c r="A2" s="494"/>
      <c r="B2" s="1817" t="s">
        <v>1965</v>
      </c>
      <c r="C2" s="1819">
        <v>400</v>
      </c>
      <c r="D2" s="1849" t="s">
        <v>1555</v>
      </c>
      <c r="E2" s="1850"/>
      <c r="F2" s="1847" t="s">
        <v>1563</v>
      </c>
      <c r="G2" s="1848"/>
      <c r="H2" s="1849" t="s">
        <v>794</v>
      </c>
      <c r="I2" s="2011"/>
      <c r="J2" s="2011"/>
      <c r="K2" s="1850"/>
      <c r="L2" s="1849" t="s">
        <v>1570</v>
      </c>
      <c r="M2" s="1850"/>
      <c r="N2" s="1849" t="s">
        <v>1564</v>
      </c>
      <c r="O2" s="1850"/>
      <c r="P2" s="1849" t="s">
        <v>1602</v>
      </c>
      <c r="Q2" s="1850"/>
      <c r="R2" s="494"/>
      <c r="S2" s="494"/>
      <c r="T2" s="494"/>
      <c r="U2" s="494"/>
      <c r="V2" s="494"/>
      <c r="W2" s="494"/>
      <c r="X2" s="494"/>
      <c r="Y2" s="494"/>
      <c r="Z2" s="494"/>
      <c r="AA2" s="494"/>
      <c r="AB2" s="494"/>
    </row>
    <row r="3" spans="1:76" s="464" customFormat="1" ht="31" customHeight="1">
      <c r="A3" s="494"/>
      <c r="B3" s="1818"/>
      <c r="C3" s="1820"/>
      <c r="D3" s="1843" t="s">
        <v>1007</v>
      </c>
      <c r="E3" s="1844"/>
      <c r="F3" s="1843" t="s">
        <v>1566</v>
      </c>
      <c r="G3" s="1844"/>
      <c r="H3" s="1968" t="s">
        <v>2500</v>
      </c>
      <c r="I3" s="1969"/>
      <c r="J3" s="1969"/>
      <c r="K3" s="2038"/>
      <c r="L3" s="1968" t="s">
        <v>2511</v>
      </c>
      <c r="M3" s="1844"/>
      <c r="N3" s="2039" t="s">
        <v>2513</v>
      </c>
      <c r="O3" s="2040"/>
      <c r="P3" s="1843" t="s">
        <v>2436</v>
      </c>
      <c r="Q3" s="1844"/>
      <c r="R3" s="494"/>
      <c r="S3" s="494"/>
      <c r="T3" s="494"/>
      <c r="U3" s="494"/>
      <c r="V3" s="494"/>
      <c r="W3" s="494"/>
      <c r="X3" s="494"/>
      <c r="Y3" s="494"/>
      <c r="Z3" s="494"/>
      <c r="AA3" s="494"/>
      <c r="AB3" s="494"/>
    </row>
    <row r="4" spans="1:76" s="494" customFormat="1" ht="15" customHeight="1">
      <c r="B4" s="492"/>
      <c r="C4" s="495"/>
      <c r="D4" s="497"/>
      <c r="E4" s="497"/>
      <c r="F4" s="497"/>
      <c r="G4" s="497"/>
      <c r="H4" s="497"/>
      <c r="I4" s="497"/>
      <c r="J4" s="497"/>
      <c r="K4" s="497"/>
      <c r="L4" s="496"/>
      <c r="M4" s="496"/>
      <c r="N4" s="496"/>
      <c r="O4" s="496"/>
    </row>
    <row r="5" spans="1:76" s="15" customFormat="1" ht="31" customHeight="1"/>
    <row r="6" spans="1:76" s="15" customFormat="1" ht="31" customHeight="1" collapsed="1" thickBot="1">
      <c r="A6" s="866"/>
      <c r="B6" s="491" t="s">
        <v>2501</v>
      </c>
      <c r="C6" s="466"/>
      <c r="D6" s="466"/>
      <c r="E6" s="466"/>
      <c r="F6" s="466"/>
      <c r="G6" s="466"/>
      <c r="H6" s="466"/>
      <c r="I6" s="467"/>
      <c r="J6" s="467"/>
      <c r="K6" s="467"/>
      <c r="L6" s="468"/>
      <c r="M6" s="468"/>
      <c r="N6" s="468"/>
      <c r="O6" s="468"/>
      <c r="P6" s="468"/>
      <c r="Q6" s="468"/>
      <c r="R6" s="468"/>
      <c r="S6" s="468"/>
      <c r="T6" s="468"/>
      <c r="U6" s="468"/>
      <c r="V6" s="468"/>
      <c r="W6" s="468"/>
      <c r="X6" s="468"/>
      <c r="Y6" s="468"/>
      <c r="Z6" s="468"/>
      <c r="AA6" s="468"/>
    </row>
    <row r="7" spans="1:76" s="15" customFormat="1" ht="15" customHeight="1" thickTop="1"/>
    <row r="8" spans="1:76" s="15" customFormat="1" ht="15" customHeight="1">
      <c r="B8" s="31"/>
      <c r="C8" s="1327" t="s">
        <v>2021</v>
      </c>
      <c r="D8" s="31"/>
      <c r="E8" s="31"/>
    </row>
    <row r="9" spans="1:76" s="15" customFormat="1" ht="15" customHeight="1">
      <c r="A9"/>
      <c r="B9"/>
      <c r="C9" s="1328"/>
      <c r="D9"/>
      <c r="E9"/>
      <c r="F9"/>
    </row>
    <row r="10" spans="1:76" s="15" customFormat="1" ht="15" customHeight="1">
      <c r="A10"/>
      <c r="B10"/>
      <c r="C10" s="1327" t="s">
        <v>2641</v>
      </c>
      <c r="D10"/>
      <c r="E10"/>
      <c r="F10"/>
    </row>
    <row r="11" spans="1:76" s="15" customFormat="1" ht="15" customHeight="1">
      <c r="A11"/>
      <c r="B11"/>
      <c r="C11"/>
      <c r="D11"/>
      <c r="E11"/>
      <c r="F11"/>
    </row>
    <row r="12" spans="1:76" s="40" customFormat="1" ht="15" customHeight="1">
      <c r="B12"/>
      <c r="C12"/>
      <c r="D12"/>
      <c r="E12"/>
      <c r="F12"/>
      <c r="G12" s="15"/>
      <c r="H12" s="15"/>
      <c r="I12" s="15"/>
      <c r="J12" s="15"/>
      <c r="K12" s="15"/>
      <c r="L12" s="15"/>
      <c r="M12" s="15"/>
      <c r="N12" s="15"/>
      <c r="O12" s="15"/>
      <c r="P12" s="15"/>
      <c r="Q12" s="15"/>
      <c r="R12" s="1084"/>
      <c r="S12" s="1084"/>
      <c r="T12" s="1084"/>
      <c r="U12" s="1084"/>
      <c r="V12" s="1084"/>
      <c r="W12" s="1084"/>
      <c r="X12" s="1084"/>
      <c r="Y12" s="1084"/>
      <c r="Z12" s="1084"/>
      <c r="AA12" s="1084"/>
    </row>
    <row r="13" spans="1:76" s="45" customFormat="1" ht="15" customHeight="1">
      <c r="A13" s="41"/>
      <c r="B13" s="2006" t="s">
        <v>811</v>
      </c>
      <c r="C13" s="2007"/>
      <c r="D13" s="2007" t="s">
        <v>781</v>
      </c>
      <c r="E13" s="2007"/>
      <c r="F13" s="2007" t="s">
        <v>919</v>
      </c>
      <c r="G13" s="2007" t="s">
        <v>780</v>
      </c>
      <c r="H13" s="2041" t="s">
        <v>171</v>
      </c>
      <c r="I13" s="2042"/>
      <c r="J13" s="2043"/>
      <c r="K13" s="2020" t="s">
        <v>936</v>
      </c>
      <c r="L13" s="2017" t="s">
        <v>782</v>
      </c>
      <c r="M13" s="2018"/>
      <c r="N13" s="2018"/>
      <c r="O13" s="2018"/>
      <c r="P13" s="2018"/>
      <c r="Q13" s="2018"/>
      <c r="R13" s="2018"/>
      <c r="S13" s="2018"/>
      <c r="T13" s="2018"/>
      <c r="U13" s="2019"/>
      <c r="V13" s="2022" t="s">
        <v>178</v>
      </c>
      <c r="W13" s="2022" t="s">
        <v>729</v>
      </c>
      <c r="X13" s="2020" t="s">
        <v>728</v>
      </c>
      <c r="Y13" s="2007" t="s">
        <v>241</v>
      </c>
      <c r="Z13" s="2007" t="s">
        <v>723</v>
      </c>
      <c r="AA13" s="2036" t="s">
        <v>2644</v>
      </c>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row>
    <row r="14" spans="1:76" s="45" customFormat="1" ht="16" customHeight="1">
      <c r="A14" s="41"/>
      <c r="B14" s="2008"/>
      <c r="C14" s="2009"/>
      <c r="D14" s="2009"/>
      <c r="E14" s="2009"/>
      <c r="F14" s="2009"/>
      <c r="G14" s="2009"/>
      <c r="H14" s="2044"/>
      <c r="I14" s="2045"/>
      <c r="J14" s="2046"/>
      <c r="K14" s="2021"/>
      <c r="L14" s="1536" t="s">
        <v>290</v>
      </c>
      <c r="M14" s="1536" t="s">
        <v>924</v>
      </c>
      <c r="N14" s="1537" t="s">
        <v>291</v>
      </c>
      <c r="O14" s="1537" t="s">
        <v>959</v>
      </c>
      <c r="P14" s="1537" t="s">
        <v>292</v>
      </c>
      <c r="Q14" s="1537" t="s">
        <v>960</v>
      </c>
      <c r="R14" s="1536" t="s">
        <v>842</v>
      </c>
      <c r="S14" s="1536" t="s">
        <v>924</v>
      </c>
      <c r="T14" s="1536" t="s">
        <v>294</v>
      </c>
      <c r="U14" s="1536" t="s">
        <v>926</v>
      </c>
      <c r="V14" s="2023"/>
      <c r="W14" s="2023"/>
      <c r="X14" s="2021"/>
      <c r="Y14" s="2009"/>
      <c r="Z14" s="2009"/>
      <c r="AA14" s="2037"/>
      <c r="AB14" s="41"/>
      <c r="AC14" s="41"/>
      <c r="AD14" s="41"/>
      <c r="AE14" s="41"/>
      <c r="AF14" s="41"/>
      <c r="AG14" s="41"/>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c r="BF14" s="41"/>
      <c r="BG14" s="41"/>
      <c r="BH14" s="41"/>
      <c r="BI14" s="41"/>
      <c r="BJ14" s="41"/>
      <c r="BK14" s="41"/>
      <c r="BL14" s="41"/>
      <c r="BM14" s="41"/>
      <c r="BN14" s="41"/>
      <c r="BO14" s="41"/>
      <c r="BP14" s="41"/>
      <c r="BQ14" s="41"/>
      <c r="BR14" s="41"/>
      <c r="BS14" s="41"/>
      <c r="BT14" s="41"/>
      <c r="BU14" s="41"/>
      <c r="BV14" s="41"/>
      <c r="BW14" s="41"/>
      <c r="BX14" s="41"/>
    </row>
    <row r="15" spans="1:76" s="40" customFormat="1">
      <c r="B15" s="2024" t="s">
        <v>2635</v>
      </c>
      <c r="C15" s="2025"/>
      <c r="D15" s="2024" t="str">
        <f t="shared" ref="D15:D20" si="0">CONCATENATE("EF_",B15,"_",F15,"_",G15,"_",AA15)</f>
        <v>EF_Diesel_CO2e_4AR_EF.com</v>
      </c>
      <c r="E15" s="2025"/>
      <c r="F15" s="1525" t="s">
        <v>923</v>
      </c>
      <c r="G15" s="1525" t="s">
        <v>838</v>
      </c>
      <c r="H15" s="1783" t="s">
        <v>784</v>
      </c>
      <c r="I15" s="1534" t="s">
        <v>920</v>
      </c>
      <c r="J15" s="1784" t="s">
        <v>2639</v>
      </c>
      <c r="K15" s="1526">
        <f>IFERROR(IF(H15="","",VLOOKUP(H15,'Conversion factors'!$D$37:$G$42,4,FALSE)),"")</f>
        <v>1E-3</v>
      </c>
      <c r="L15" s="1527">
        <v>2.6867999999999999</v>
      </c>
      <c r="M15" s="1528">
        <f t="shared" ref="M15" si="1">IFERROR(IF(L15="","",L15*$K15),"")</f>
        <v>2.6868E-3</v>
      </c>
      <c r="N15" s="1529">
        <v>9.1000000000000004E-3</v>
      </c>
      <c r="O15" s="1528">
        <f>IF(N15="","",IF($F15="",N15,IF($F15="CO2e",N15*K15,IF($F15="GHG",N15*HLOOKUP($G15,GWP!$F$11:$I$31,4,FALSE)*K15,""))))</f>
        <v>9.100000000000001E-6</v>
      </c>
      <c r="P15" s="1529">
        <v>6.4999999999999997E-3</v>
      </c>
      <c r="Q15" s="1528">
        <f>IF(P15="","",IF($F15="",P15,IF($F15="CO2e",P15*K15,IF($F15="GHG",P15*HLOOKUP($G15,GWP!$F$11:$I$31,5,FALSE)*K15,""))))</f>
        <v>6.4999999999999996E-6</v>
      </c>
      <c r="R15" s="1529"/>
      <c r="S15" s="1526" t="str">
        <f t="shared" ref="S15" si="2">IFERROR(IF(R15="","",R15*$K15),"")</f>
        <v/>
      </c>
      <c r="T15" s="1529"/>
      <c r="U15" s="1526" t="str">
        <f t="shared" ref="U15" si="3">IFERROR(IF(T15="","",T15*$K15),"")</f>
        <v/>
      </c>
      <c r="V15" s="1530" t="s">
        <v>179</v>
      </c>
      <c r="W15" s="1502" t="s">
        <v>2642</v>
      </c>
      <c r="X15" s="1530" t="s">
        <v>742</v>
      </c>
      <c r="Y15" s="1531"/>
      <c r="Z15" s="1532" t="s">
        <v>2640</v>
      </c>
      <c r="AA15" s="1785" t="s">
        <v>2643</v>
      </c>
    </row>
    <row r="16" spans="1:76" s="40" customFormat="1">
      <c r="B16" s="2024" t="s">
        <v>2636</v>
      </c>
      <c r="C16" s="2025"/>
      <c r="D16" s="2024" t="str">
        <f t="shared" si="0"/>
        <v>EF_Petrol_CO2e_4AR_EF.com</v>
      </c>
      <c r="E16" s="2025"/>
      <c r="F16" s="1525" t="s">
        <v>923</v>
      </c>
      <c r="G16" s="1525" t="s">
        <v>838</v>
      </c>
      <c r="H16" s="1783" t="s">
        <v>784</v>
      </c>
      <c r="I16" s="1534" t="s">
        <v>920</v>
      </c>
      <c r="J16" s="1784" t="s">
        <v>2639</v>
      </c>
      <c r="K16" s="1526">
        <f>IFERROR(IF(H16="","",VLOOKUP(H16,'Conversion factors'!$D$37:$G$42,4,FALSE)),"")</f>
        <v>1E-3</v>
      </c>
      <c r="L16" s="1527">
        <v>2.2637</v>
      </c>
      <c r="M16" s="1528">
        <f t="shared" ref="M16" si="4">IFERROR(IF(L16="","",L16*$K16),"")</f>
        <v>2.2637E-3</v>
      </c>
      <c r="N16" s="1529">
        <v>8.2000000000000007E-3</v>
      </c>
      <c r="O16" s="1528">
        <f>IF(N16="","",IF($F16="",N16,IF($F16="CO2e",N16*K16,IF($F16="GHG",N16*HLOOKUP($G16,GWP!$F$11:$I$31,4,FALSE)*K16,""))))</f>
        <v>8.2000000000000011E-6</v>
      </c>
      <c r="P16" s="1529">
        <v>5.7999999999999996E-3</v>
      </c>
      <c r="Q16" s="1528">
        <f>IF(P16="","",IF($F16="",P16,IF($F16="CO2e",P16*K16,IF($F16="GHG",P16*HLOOKUP($G16,GWP!$F$11:$I$31,5,FALSE)*K16,""))))</f>
        <v>5.7999999999999995E-6</v>
      </c>
      <c r="R16" s="1529"/>
      <c r="S16" s="1526" t="str">
        <f t="shared" ref="S16" si="5">IFERROR(IF(R16="","",R16*$K16),"")</f>
        <v/>
      </c>
      <c r="T16" s="1529"/>
      <c r="U16" s="1526" t="str">
        <f t="shared" ref="U16" si="6">IFERROR(IF(T16="","",T16*$K16),"")</f>
        <v/>
      </c>
      <c r="V16" s="1530" t="s">
        <v>179</v>
      </c>
      <c r="W16" s="1502" t="s">
        <v>2642</v>
      </c>
      <c r="X16" s="1530" t="s">
        <v>742</v>
      </c>
      <c r="Y16" s="1531"/>
      <c r="Z16" s="1532" t="s">
        <v>2640</v>
      </c>
      <c r="AA16" s="1785" t="s">
        <v>2643</v>
      </c>
    </row>
    <row r="17" spans="1:27" s="15" customFormat="1">
      <c r="A17"/>
      <c r="B17" s="2024" t="s">
        <v>190</v>
      </c>
      <c r="C17" s="2025"/>
      <c r="D17" s="2024" t="str">
        <f t="shared" si="0"/>
        <v>EF_Aviation gasoline_CO2e_4AR_EF.com</v>
      </c>
      <c r="E17" s="2025"/>
      <c r="F17" s="1525" t="s">
        <v>923</v>
      </c>
      <c r="G17" s="1525" t="s">
        <v>838</v>
      </c>
      <c r="H17" s="1783" t="s">
        <v>784</v>
      </c>
      <c r="I17" s="1534" t="s">
        <v>920</v>
      </c>
      <c r="J17" s="1784" t="s">
        <v>2639</v>
      </c>
      <c r="K17" s="1526">
        <f>IFERROR(IF(H17="","",VLOOKUP(H17,'Conversion factors'!$D$37:$G$42,4,FALSE)),"")</f>
        <v>1E-3</v>
      </c>
      <c r="L17" s="1527">
        <v>2.1915</v>
      </c>
      <c r="M17" s="1528">
        <f t="shared" ref="M17:M20" si="7">IFERROR(IF(L17="","",L17*$K17),"")</f>
        <v>2.1914999999999999E-3</v>
      </c>
      <c r="N17" s="1529">
        <v>7.7999999999999996E-3</v>
      </c>
      <c r="O17" s="1528">
        <f>IF(N17="","",IF($F17="",N17,IF($F17="CO2e",N17*K17,IF($F17="GHG",N17*HLOOKUP($G17,GWP!$F$11:$I$31,4,FALSE)*K17,""))))</f>
        <v>7.7999999999999999E-6</v>
      </c>
      <c r="P17" s="1529">
        <v>5.5999999999999999E-3</v>
      </c>
      <c r="Q17" s="1528">
        <f>IF(P17="","",IF($F17="",P17,IF($F17="CO2e",P17*K17,IF($F17="GHG",P17*HLOOKUP($G17,GWP!$F$11:$I$31,5,FALSE)*K17,""))))</f>
        <v>5.5999999999999997E-6</v>
      </c>
      <c r="R17" s="1529"/>
      <c r="S17" s="1526" t="str">
        <f t="shared" ref="S17:S20" si="8">IFERROR(IF(R17="","",R17*$K17),"")</f>
        <v/>
      </c>
      <c r="T17" s="1529"/>
      <c r="U17" s="1526" t="str">
        <f t="shared" ref="U17:U20" si="9">IFERROR(IF(T17="","",T17*$K17),"")</f>
        <v/>
      </c>
      <c r="V17" s="1530" t="s">
        <v>179</v>
      </c>
      <c r="W17" s="1502" t="s">
        <v>2642</v>
      </c>
      <c r="X17" s="1530" t="s">
        <v>742</v>
      </c>
      <c r="Y17" s="1531"/>
      <c r="Z17" s="1532" t="s">
        <v>2640</v>
      </c>
      <c r="AA17" s="1785" t="s">
        <v>2643</v>
      </c>
    </row>
    <row r="18" spans="1:27" s="15" customFormat="1">
      <c r="A18"/>
      <c r="B18" s="2024" t="s">
        <v>191</v>
      </c>
      <c r="C18" s="2025"/>
      <c r="D18" s="2024" t="str">
        <f t="shared" si="0"/>
        <v>EF_Jet kerosene_CO2e_4AR_EF.com</v>
      </c>
      <c r="E18" s="2025"/>
      <c r="F18" s="1525" t="s">
        <v>923</v>
      </c>
      <c r="G18" s="1525" t="s">
        <v>838</v>
      </c>
      <c r="H18" s="1783" t="s">
        <v>784</v>
      </c>
      <c r="I18" s="1534" t="s">
        <v>920</v>
      </c>
      <c r="J18" s="1784" t="s">
        <v>2639</v>
      </c>
      <c r="K18" s="1526">
        <f>IFERROR(IF(H18="","",VLOOKUP(H18,'Conversion factors'!$D$37:$G$42,4,FALSE)),"")</f>
        <v>1E-3</v>
      </c>
      <c r="L18" s="1527">
        <v>2.5011000000000001</v>
      </c>
      <c r="M18" s="1528">
        <f t="shared" si="7"/>
        <v>2.5011E-3</v>
      </c>
      <c r="N18" s="1529">
        <v>8.6999999999999994E-3</v>
      </c>
      <c r="O18" s="1528">
        <f>IF(N18="","",IF($F18="",N18,IF($F18="CO2e",N18*K18,IF($F18="GHG",N18*HLOOKUP($G18,GWP!$F$11:$I$31,4,FALSE)*K18,""))))</f>
        <v>8.6999999999999997E-6</v>
      </c>
      <c r="P18" s="1529">
        <v>6.3E-3</v>
      </c>
      <c r="Q18" s="1528">
        <f>IF(P18="","",IF($F18="",P18,IF($F18="CO2e",P18*K18,IF($F18="GHG",P18*HLOOKUP($G18,GWP!$F$11:$I$31,5,FALSE)*K18,""))))</f>
        <v>6.2999999999999998E-6</v>
      </c>
      <c r="R18" s="1529"/>
      <c r="S18" s="1526" t="str">
        <f t="shared" si="8"/>
        <v/>
      </c>
      <c r="T18" s="1529"/>
      <c r="U18" s="1526" t="str">
        <f t="shared" si="9"/>
        <v/>
      </c>
      <c r="V18" s="1530" t="s">
        <v>179</v>
      </c>
      <c r="W18" s="1502" t="s">
        <v>2642</v>
      </c>
      <c r="X18" s="1530" t="s">
        <v>742</v>
      </c>
      <c r="Y18" s="1531"/>
      <c r="Z18" s="1532" t="s">
        <v>2640</v>
      </c>
      <c r="AA18" s="1785" t="s">
        <v>2643</v>
      </c>
    </row>
    <row r="19" spans="1:27" s="15" customFormat="1">
      <c r="A19"/>
      <c r="B19" s="2024" t="s">
        <v>2637</v>
      </c>
      <c r="C19" s="2025"/>
      <c r="D19" s="2024" t="str">
        <f t="shared" si="0"/>
        <v>EF_Illuminating paraffin_CO2e_4AR_EF.com</v>
      </c>
      <c r="E19" s="2025"/>
      <c r="F19" s="1525" t="s">
        <v>923</v>
      </c>
      <c r="G19" s="1525" t="s">
        <v>838</v>
      </c>
      <c r="H19" s="1783" t="s">
        <v>784</v>
      </c>
      <c r="I19" s="1534" t="s">
        <v>920</v>
      </c>
      <c r="J19" s="1784" t="s">
        <v>2639</v>
      </c>
      <c r="K19" s="1526">
        <f>IFERROR(IF(H19="","",VLOOKUP(H19,'Conversion factors'!$D$37:$G$42,4,FALSE)),"")</f>
        <v>1E-3</v>
      </c>
      <c r="L19" s="1527">
        <v>2.5625</v>
      </c>
      <c r="M19" s="1528">
        <f t="shared" si="7"/>
        <v>2.5625000000000001E-3</v>
      </c>
      <c r="N19" s="1529">
        <v>8.8999999999999999E-3</v>
      </c>
      <c r="O19" s="1528">
        <f>IF(N19="","",IF($F19="",N19,IF($F19="CO2e",N19*K19,IF($F19="GHG",N19*HLOOKUP($G19,GWP!$F$11:$I$31,4,FALSE)*K19,""))))</f>
        <v>8.8999999999999995E-6</v>
      </c>
      <c r="P19" s="1529">
        <v>6.4000000000000003E-3</v>
      </c>
      <c r="Q19" s="1528">
        <f>IF(P19="","",IF($F19="",P19,IF($F19="CO2e",P19*K19,IF($F19="GHG",P19*HLOOKUP($G19,GWP!$F$11:$I$31,5,FALSE)*K19,""))))</f>
        <v>6.4000000000000006E-6</v>
      </c>
      <c r="R19" s="1529"/>
      <c r="S19" s="1526" t="str">
        <f t="shared" si="8"/>
        <v/>
      </c>
      <c r="T19" s="1529"/>
      <c r="U19" s="1526" t="str">
        <f t="shared" si="9"/>
        <v/>
      </c>
      <c r="V19" s="1530" t="s">
        <v>179</v>
      </c>
      <c r="W19" s="1502" t="s">
        <v>2642</v>
      </c>
      <c r="X19" s="1530" t="s">
        <v>742</v>
      </c>
      <c r="Y19" s="1531"/>
      <c r="Z19" s="1532" t="s">
        <v>2640</v>
      </c>
      <c r="AA19" s="1785" t="s">
        <v>2643</v>
      </c>
    </row>
    <row r="20" spans="1:27" ht="15" customHeight="1">
      <c r="B20" s="2024" t="s">
        <v>2638</v>
      </c>
      <c r="C20" s="2025"/>
      <c r="D20" s="2024" t="str">
        <f t="shared" si="0"/>
        <v>EF_Heavy furnace oil_CO2e_4AR_EF.com</v>
      </c>
      <c r="E20" s="2025"/>
      <c r="F20" s="1525" t="s">
        <v>923</v>
      </c>
      <c r="G20" s="1525" t="s">
        <v>838</v>
      </c>
      <c r="H20" s="1783" t="s">
        <v>784</v>
      </c>
      <c r="I20" s="1534" t="s">
        <v>920</v>
      </c>
      <c r="J20" s="1784" t="s">
        <v>2639</v>
      </c>
      <c r="K20" s="1526">
        <f>IFERROR(IF(H20="","",VLOOKUP(H20,'Conversion factors'!$D$37:$G$42,4,FALSE)),"")</f>
        <v>1E-3</v>
      </c>
      <c r="L20" s="1527">
        <v>2.9531999999999998</v>
      </c>
      <c r="M20" s="1528">
        <f t="shared" si="7"/>
        <v>2.9532E-3</v>
      </c>
      <c r="N20" s="1529">
        <v>9.4999999999999998E-3</v>
      </c>
      <c r="O20" s="1528">
        <f>IF(N20="","",IF($F20="",N20,IF($F20="CO2e",N20*K20,IF($F20="GHG",N20*HLOOKUP($G20,GWP!$F$11:$I$31,4,FALSE)*K20,""))))</f>
        <v>9.5000000000000005E-6</v>
      </c>
      <c r="P20" s="1529">
        <v>6.7999999999999996E-3</v>
      </c>
      <c r="Q20" s="1528">
        <f>IF(P20="","",IF($F20="",P20,IF($F20="CO2e",P20*K20,IF($F20="GHG",P20*HLOOKUP($G20,GWP!$F$11:$I$31,5,FALSE)*K20,""))))</f>
        <v>6.8000000000000001E-6</v>
      </c>
      <c r="R20" s="1529"/>
      <c r="S20" s="1526" t="str">
        <f t="shared" si="8"/>
        <v/>
      </c>
      <c r="T20" s="1529"/>
      <c r="U20" s="1526" t="str">
        <f t="shared" si="9"/>
        <v/>
      </c>
      <c r="V20" s="1530" t="s">
        <v>179</v>
      </c>
      <c r="W20" s="1502" t="s">
        <v>2642</v>
      </c>
      <c r="X20" s="1530" t="s">
        <v>742</v>
      </c>
      <c r="Y20" s="1531"/>
      <c r="Z20" s="1532" t="s">
        <v>2640</v>
      </c>
      <c r="AA20" s="1785" t="s">
        <v>2643</v>
      </c>
    </row>
    <row r="21" spans="1:27" ht="15" customHeight="1">
      <c r="B21" s="2024"/>
      <c r="C21" s="2025"/>
      <c r="D21" s="2034"/>
      <c r="E21" s="2035"/>
      <c r="F21" s="1525"/>
      <c r="G21" s="1525"/>
      <c r="H21" s="1783"/>
      <c r="I21" s="1534" t="s">
        <v>920</v>
      </c>
      <c r="J21" s="1784"/>
      <c r="K21" s="1526" t="str">
        <f>IFERROR(IF(H21="","",VLOOKUP(H21,'Conversion factors'!$D$37:$G$42,4,FALSE)),"")</f>
        <v/>
      </c>
      <c r="L21" s="1527"/>
      <c r="M21" s="1528" t="str">
        <f t="shared" ref="M21:M22" si="10">IFERROR(IF(L21="","",L21*$K21),"")</f>
        <v/>
      </c>
      <c r="N21" s="1529"/>
      <c r="O21" s="1528" t="str">
        <f>IF(N21="","",IF($F21="",N21,IF($F21="CO2e",N21*K21,IF($F21="GHG",N21*HLOOKUP($G21,GWP!$F$11:$I$31,4,FALSE)*K21,""))))</f>
        <v/>
      </c>
      <c r="P21" s="1529"/>
      <c r="Q21" s="1528" t="str">
        <f>IF(P21="","",IF($F21="",P21,IF($F21="CO2e",P21*K21,IF($F21="GHG",P21*HLOOKUP($G21,GWP!$F$11:$I$31,5,FALSE)*K21,""))))</f>
        <v/>
      </c>
      <c r="R21" s="1529"/>
      <c r="S21" s="1526" t="str">
        <f t="shared" ref="S21:S22" si="11">IFERROR(IF(R21="","",R21*$K21),"")</f>
        <v/>
      </c>
      <c r="T21" s="1529"/>
      <c r="U21" s="1526" t="str">
        <f t="shared" ref="U21:U22" si="12">IFERROR(IF(T21="","",T21*$K21),"")</f>
        <v/>
      </c>
      <c r="V21" s="1530"/>
      <c r="W21" s="1502"/>
      <c r="X21" s="1530"/>
      <c r="Y21" s="1531"/>
      <c r="Z21" s="1532" t="s">
        <v>2640</v>
      </c>
      <c r="AA21" s="1785"/>
    </row>
    <row r="22" spans="1:27" ht="15" customHeight="1">
      <c r="B22" s="2034"/>
      <c r="C22" s="2035"/>
      <c r="D22" s="2034"/>
      <c r="E22" s="2035"/>
      <c r="F22" s="1525"/>
      <c r="G22" s="1525"/>
      <c r="H22" s="1783"/>
      <c r="I22" s="1534" t="s">
        <v>920</v>
      </c>
      <c r="J22" s="1784"/>
      <c r="K22" s="1526" t="str">
        <f>IFERROR(IF(H22="","",VLOOKUP(H22,'Conversion factors'!$D$37:$G$42,4,FALSE)),"")</f>
        <v/>
      </c>
      <c r="L22" s="1527"/>
      <c r="M22" s="1528" t="str">
        <f t="shared" si="10"/>
        <v/>
      </c>
      <c r="N22" s="1529"/>
      <c r="O22" s="1528" t="str">
        <f>IF(N22="","",IF($F22="",N22,IF($F22="CO2e",N22*K22,IF($F22="GHG",N22*HLOOKUP($G22,GWP!$F$11:$I$31,4,FALSE)*K22,""))))</f>
        <v/>
      </c>
      <c r="P22" s="1529"/>
      <c r="Q22" s="1528" t="str">
        <f>IF(P22="","",IF($F22="",P22,IF($F22="CO2e",P22*K22,IF($F22="GHG",P22*HLOOKUP($G22,GWP!$F$11:$I$31,5,FALSE)*K22,""))))</f>
        <v/>
      </c>
      <c r="R22" s="1529"/>
      <c r="S22" s="1526" t="str">
        <f t="shared" si="11"/>
        <v/>
      </c>
      <c r="T22" s="1529"/>
      <c r="U22" s="1526" t="str">
        <f t="shared" si="12"/>
        <v/>
      </c>
      <c r="V22" s="1530"/>
      <c r="W22" s="1502"/>
      <c r="X22" s="1530"/>
      <c r="Y22" s="1531"/>
      <c r="Z22" s="1785"/>
      <c r="AA22" s="1785"/>
    </row>
    <row r="23" spans="1:27" ht="15" customHeight="1">
      <c r="B23" s="2034"/>
      <c r="C23" s="2035"/>
      <c r="D23" s="2034"/>
      <c r="E23" s="2035"/>
      <c r="F23" s="1525"/>
      <c r="G23" s="1525"/>
      <c r="H23" s="1783"/>
      <c r="I23" s="1534" t="s">
        <v>920</v>
      </c>
      <c r="J23" s="1784"/>
      <c r="K23" s="1526" t="str">
        <f>IFERROR(IF(H23="","",VLOOKUP(H23,'Conversion factors'!$D$37:$G$42,4,FALSE)),"")</f>
        <v/>
      </c>
      <c r="L23" s="1527"/>
      <c r="M23" s="1528" t="str">
        <f t="shared" ref="M23:M25" si="13">IFERROR(IF(L23="","",L23*$K23),"")</f>
        <v/>
      </c>
      <c r="N23" s="1529"/>
      <c r="O23" s="1528" t="str">
        <f>IF(N23="","",IF($F23="",N23,IF($F23="CO2e",N23*K23,IF($F23="GHG",N23*HLOOKUP($G23,GWP!$F$11:$I$31,4,FALSE)*K23,""))))</f>
        <v/>
      </c>
      <c r="P23" s="1529"/>
      <c r="Q23" s="1528" t="str">
        <f>IF(P23="","",IF($F23="",P23,IF($F23="CO2e",P23*K23,IF($F23="GHG",P23*HLOOKUP($G23,GWP!$F$11:$I$31,5,FALSE)*K23,""))))</f>
        <v/>
      </c>
      <c r="R23" s="1529"/>
      <c r="S23" s="1526" t="str">
        <f t="shared" ref="S23:S25" si="14">IFERROR(IF(R23="","",R23*$K23),"")</f>
        <v/>
      </c>
      <c r="T23" s="1529"/>
      <c r="U23" s="1526" t="str">
        <f t="shared" ref="U23:U25" si="15">IFERROR(IF(T23="","",T23*$K23),"")</f>
        <v/>
      </c>
      <c r="V23" s="1530"/>
      <c r="W23" s="1502"/>
      <c r="X23" s="1530"/>
      <c r="Y23" s="1531"/>
      <c r="Z23" s="1785"/>
      <c r="AA23" s="1785"/>
    </row>
    <row r="24" spans="1:27" ht="15" customHeight="1">
      <c r="B24" s="2024"/>
      <c r="C24" s="2025"/>
      <c r="D24" s="2034"/>
      <c r="E24" s="2035"/>
      <c r="F24" s="1525"/>
      <c r="G24" s="1525"/>
      <c r="H24" s="1783"/>
      <c r="I24" s="1534" t="s">
        <v>920</v>
      </c>
      <c r="J24" s="1784"/>
      <c r="K24" s="1526" t="str">
        <f>IFERROR(IF(H24="","",VLOOKUP(H24,'Conversion factors'!$D$37:$G$42,4,FALSE)),"")</f>
        <v/>
      </c>
      <c r="L24" s="1527"/>
      <c r="M24" s="1528" t="str">
        <f t="shared" si="13"/>
        <v/>
      </c>
      <c r="N24" s="1529"/>
      <c r="O24" s="1528" t="str">
        <f>IF(N24="","",IF($F24="",N24,IF($F24="CO2e",N24*K24,IF($F24="GHG",N24*HLOOKUP($G24,GWP!$F$11:$I$31,4,FALSE)*K24,""))))</f>
        <v/>
      </c>
      <c r="P24" s="1529"/>
      <c r="Q24" s="1528" t="str">
        <f>IF(P24="","",IF($F24="",P24,IF($F24="CO2e",P24*K24,IF($F24="GHG",P24*HLOOKUP($G24,GWP!$F$11:$I$31,5,FALSE)*K24,""))))</f>
        <v/>
      </c>
      <c r="R24" s="1529"/>
      <c r="S24" s="1526" t="str">
        <f t="shared" si="14"/>
        <v/>
      </c>
      <c r="T24" s="1529"/>
      <c r="U24" s="1526" t="str">
        <f t="shared" si="15"/>
        <v/>
      </c>
      <c r="V24" s="1530"/>
      <c r="W24" s="1502"/>
      <c r="X24" s="1530"/>
      <c r="Y24" s="1531"/>
      <c r="Z24" s="1785"/>
      <c r="AA24" s="1785"/>
    </row>
    <row r="25" spans="1:27" ht="15" customHeight="1">
      <c r="B25" s="2034"/>
      <c r="C25" s="2035"/>
      <c r="D25" s="2034"/>
      <c r="E25" s="2035"/>
      <c r="F25" s="1525"/>
      <c r="G25" s="1525"/>
      <c r="H25" s="1783"/>
      <c r="I25" s="1534" t="s">
        <v>920</v>
      </c>
      <c r="J25" s="1784"/>
      <c r="K25" s="1526" t="str">
        <f>IFERROR(IF(H25="","",VLOOKUP(H25,'Conversion factors'!$D$37:$G$42,4,FALSE)),"")</f>
        <v/>
      </c>
      <c r="L25" s="1527"/>
      <c r="M25" s="1528" t="str">
        <f t="shared" si="13"/>
        <v/>
      </c>
      <c r="N25" s="1529"/>
      <c r="O25" s="1528" t="str">
        <f>IF(N25="","",IF($F25="",N25,IF($F25="CO2e",N25*K25,IF($F25="GHG",N25*HLOOKUP($G25,GWP!$F$11:$I$31,4,FALSE)*K25,""))))</f>
        <v/>
      </c>
      <c r="P25" s="1529"/>
      <c r="Q25" s="1528" t="str">
        <f>IF(P25="","",IF($F25="",P25,IF($F25="CO2e",P25*K25,IF($F25="GHG",P25*HLOOKUP($G25,GWP!$F$11:$I$31,5,FALSE)*K25,""))))</f>
        <v/>
      </c>
      <c r="R25" s="1529"/>
      <c r="S25" s="1526" t="str">
        <f t="shared" si="14"/>
        <v/>
      </c>
      <c r="T25" s="1529"/>
      <c r="U25" s="1526" t="str">
        <f t="shared" si="15"/>
        <v/>
      </c>
      <c r="V25" s="1530"/>
      <c r="W25" s="1502"/>
      <c r="X25" s="1530"/>
      <c r="Y25" s="1531"/>
      <c r="Z25" s="1785"/>
      <c r="AA25" s="1785"/>
    </row>
    <row r="26" spans="1:27" ht="15" customHeight="1">
      <c r="B26" s="2034"/>
      <c r="C26" s="2035"/>
      <c r="D26" s="2034"/>
      <c r="E26" s="2035"/>
      <c r="F26" s="1525"/>
      <c r="G26" s="1525"/>
      <c r="H26" s="1783"/>
      <c r="I26" s="1534" t="s">
        <v>920</v>
      </c>
      <c r="J26" s="1784"/>
      <c r="K26" s="1526" t="str">
        <f>IFERROR(IF(H26="","",VLOOKUP(H26,'Conversion factors'!$D$37:$G$42,4,FALSE)),"")</f>
        <v/>
      </c>
      <c r="L26" s="1527"/>
      <c r="M26" s="1528" t="str">
        <f t="shared" ref="M26:M34" si="16">IFERROR(IF(L26="","",L26*$K26),"")</f>
        <v/>
      </c>
      <c r="N26" s="1529"/>
      <c r="O26" s="1528" t="str">
        <f>IF(N26="","",IF($F26="",N26,IF($F26="CO2e",N26*K26,IF($F26="GHG",N26*HLOOKUP($G26,GWP!$F$11:$I$31,4,FALSE)*K26,""))))</f>
        <v/>
      </c>
      <c r="P26" s="1529"/>
      <c r="Q26" s="1528" t="str">
        <f>IF(P26="","",IF($F26="",P26,IF($F26="CO2e",P26*K26,IF($F26="GHG",P26*HLOOKUP($G26,GWP!$F$11:$I$31,5,FALSE)*K26,""))))</f>
        <v/>
      </c>
      <c r="R26" s="1529"/>
      <c r="S26" s="1526" t="str">
        <f t="shared" ref="S26:S34" si="17">IFERROR(IF(R26="","",R26*$K26),"")</f>
        <v/>
      </c>
      <c r="T26" s="1529"/>
      <c r="U26" s="1526" t="str">
        <f t="shared" ref="U26:U34" si="18">IFERROR(IF(T26="","",T26*$K26),"")</f>
        <v/>
      </c>
      <c r="V26" s="1530"/>
      <c r="W26" s="1502"/>
      <c r="X26" s="1530"/>
      <c r="Y26" s="1531"/>
      <c r="Z26" s="1785"/>
      <c r="AA26" s="1785"/>
    </row>
    <row r="27" spans="1:27" ht="15" customHeight="1">
      <c r="B27" s="2024"/>
      <c r="C27" s="2025"/>
      <c r="D27" s="2034"/>
      <c r="E27" s="2035"/>
      <c r="F27" s="1525"/>
      <c r="G27" s="1525"/>
      <c r="H27" s="1783"/>
      <c r="I27" s="1534" t="s">
        <v>920</v>
      </c>
      <c r="J27" s="1784"/>
      <c r="K27" s="1526" t="str">
        <f>IFERROR(IF(H27="","",VLOOKUP(H27,'Conversion factors'!$D$37:$G$42,4,FALSE)),"")</f>
        <v/>
      </c>
      <c r="L27" s="1527"/>
      <c r="M27" s="1528" t="str">
        <f t="shared" si="16"/>
        <v/>
      </c>
      <c r="N27" s="1529"/>
      <c r="O27" s="1528" t="str">
        <f>IF(N27="","",IF($F27="",N27,IF($F27="CO2e",N27*K27,IF($F27="GHG",N27*HLOOKUP($G27,GWP!$F$11:$I$31,4,FALSE)*K27,""))))</f>
        <v/>
      </c>
      <c r="P27" s="1529"/>
      <c r="Q27" s="1528" t="str">
        <f>IF(P27="","",IF($F27="",P27,IF($F27="CO2e",P27*K27,IF($F27="GHG",P27*HLOOKUP($G27,GWP!$F$11:$I$31,5,FALSE)*K27,""))))</f>
        <v/>
      </c>
      <c r="R27" s="1529"/>
      <c r="S27" s="1526" t="str">
        <f t="shared" si="17"/>
        <v/>
      </c>
      <c r="T27" s="1529"/>
      <c r="U27" s="1526" t="str">
        <f t="shared" si="18"/>
        <v/>
      </c>
      <c r="V27" s="1530"/>
      <c r="W27" s="1502"/>
      <c r="X27" s="1530"/>
      <c r="Y27" s="1531"/>
      <c r="Z27" s="1785"/>
      <c r="AA27" s="1785"/>
    </row>
    <row r="28" spans="1:27" ht="15" customHeight="1">
      <c r="B28" s="2034"/>
      <c r="C28" s="2035"/>
      <c r="D28" s="2034"/>
      <c r="E28" s="2035"/>
      <c r="F28" s="1525"/>
      <c r="G28" s="1525"/>
      <c r="H28" s="1783"/>
      <c r="I28" s="1534" t="s">
        <v>920</v>
      </c>
      <c r="J28" s="1784"/>
      <c r="K28" s="1526" t="str">
        <f>IFERROR(IF(H28="","",VLOOKUP(H28,'Conversion factors'!$D$37:$G$42,4,FALSE)),"")</f>
        <v/>
      </c>
      <c r="L28" s="1527"/>
      <c r="M28" s="1528" t="str">
        <f t="shared" si="16"/>
        <v/>
      </c>
      <c r="N28" s="1529"/>
      <c r="O28" s="1528" t="str">
        <f>IF(N28="","",IF($F28="",N28,IF($F28="CO2e",N28*K28,IF($F28="GHG",N28*HLOOKUP($G28,GWP!$F$11:$I$31,4,FALSE)*K28,""))))</f>
        <v/>
      </c>
      <c r="P28" s="1529"/>
      <c r="Q28" s="1528" t="str">
        <f>IF(P28="","",IF($F28="",P28,IF($F28="CO2e",P28*K28,IF($F28="GHG",P28*HLOOKUP($G28,GWP!$F$11:$I$31,5,FALSE)*K28,""))))</f>
        <v/>
      </c>
      <c r="R28" s="1529"/>
      <c r="S28" s="1526" t="str">
        <f t="shared" si="17"/>
        <v/>
      </c>
      <c r="T28" s="1529"/>
      <c r="U28" s="1526" t="str">
        <f t="shared" si="18"/>
        <v/>
      </c>
      <c r="V28" s="1530"/>
      <c r="W28" s="1502"/>
      <c r="X28" s="1530"/>
      <c r="Y28" s="1531"/>
      <c r="Z28" s="1785"/>
      <c r="AA28" s="1785"/>
    </row>
    <row r="29" spans="1:27" ht="15" customHeight="1">
      <c r="B29" s="2034"/>
      <c r="C29" s="2035"/>
      <c r="D29" s="2034"/>
      <c r="E29" s="2035"/>
      <c r="F29" s="1525"/>
      <c r="G29" s="1525"/>
      <c r="H29" s="1783"/>
      <c r="I29" s="1534" t="s">
        <v>920</v>
      </c>
      <c r="J29" s="1784"/>
      <c r="K29" s="1526" t="str">
        <f>IFERROR(IF(H29="","",VLOOKUP(H29,'Conversion factors'!$D$37:$G$42,4,FALSE)),"")</f>
        <v/>
      </c>
      <c r="L29" s="1527"/>
      <c r="M29" s="1528" t="str">
        <f t="shared" si="16"/>
        <v/>
      </c>
      <c r="N29" s="1529"/>
      <c r="O29" s="1528" t="str">
        <f>IF(N29="","",IF($F29="",N29,IF($F29="CO2e",N29*K29,IF($F29="GHG",N29*HLOOKUP($G29,GWP!$F$11:$I$31,4,FALSE)*K29,""))))</f>
        <v/>
      </c>
      <c r="P29" s="1529"/>
      <c r="Q29" s="1528" t="str">
        <f>IF(P29="","",IF($F29="",P29,IF($F29="CO2e",P29*K29,IF($F29="GHG",P29*HLOOKUP($G29,GWP!$F$11:$I$31,5,FALSE)*K29,""))))</f>
        <v/>
      </c>
      <c r="R29" s="1529"/>
      <c r="S29" s="1526" t="str">
        <f t="shared" si="17"/>
        <v/>
      </c>
      <c r="T29" s="1529"/>
      <c r="U29" s="1526" t="str">
        <f t="shared" si="18"/>
        <v/>
      </c>
      <c r="V29" s="1530"/>
      <c r="W29" s="1502"/>
      <c r="X29" s="1530"/>
      <c r="Y29" s="1531"/>
      <c r="Z29" s="1785"/>
      <c r="AA29" s="1785"/>
    </row>
    <row r="30" spans="1:27" ht="15" customHeight="1">
      <c r="B30" s="2024"/>
      <c r="C30" s="2025"/>
      <c r="D30" s="2034"/>
      <c r="E30" s="2035"/>
      <c r="F30" s="1525"/>
      <c r="G30" s="1525"/>
      <c r="H30" s="1783"/>
      <c r="I30" s="1534" t="s">
        <v>920</v>
      </c>
      <c r="J30" s="1784"/>
      <c r="K30" s="1526" t="str">
        <f>IFERROR(IF(H30="","",VLOOKUP(H30,'Conversion factors'!$D$37:$G$42,4,FALSE)),"")</f>
        <v/>
      </c>
      <c r="L30" s="1527"/>
      <c r="M30" s="1528" t="str">
        <f t="shared" si="16"/>
        <v/>
      </c>
      <c r="N30" s="1529"/>
      <c r="O30" s="1528" t="str">
        <f>IF(N30="","",IF($F30="",N30,IF($F30="CO2e",N30*K30,IF($F30="GHG",N30*HLOOKUP($G30,GWP!$F$11:$I$31,4,FALSE)*K30,""))))</f>
        <v/>
      </c>
      <c r="P30" s="1529"/>
      <c r="Q30" s="1528" t="str">
        <f>IF(P30="","",IF($F30="",P30,IF($F30="CO2e",P30*K30,IF($F30="GHG",P30*HLOOKUP($G30,GWP!$F$11:$I$31,5,FALSE)*K30,""))))</f>
        <v/>
      </c>
      <c r="R30" s="1529"/>
      <c r="S30" s="1526" t="str">
        <f t="shared" si="17"/>
        <v/>
      </c>
      <c r="T30" s="1529"/>
      <c r="U30" s="1526" t="str">
        <f t="shared" si="18"/>
        <v/>
      </c>
      <c r="V30" s="1530"/>
      <c r="W30" s="1502"/>
      <c r="X30" s="1530"/>
      <c r="Y30" s="1531"/>
      <c r="Z30" s="1785"/>
      <c r="AA30" s="1785"/>
    </row>
    <row r="31" spans="1:27" ht="15" customHeight="1">
      <c r="B31" s="2034"/>
      <c r="C31" s="2035"/>
      <c r="D31" s="2034"/>
      <c r="E31" s="2035"/>
      <c r="F31" s="1525"/>
      <c r="G31" s="1525"/>
      <c r="H31" s="1783"/>
      <c r="I31" s="1534" t="s">
        <v>920</v>
      </c>
      <c r="J31" s="1784"/>
      <c r="K31" s="1526" t="str">
        <f>IFERROR(IF(H31="","",VLOOKUP(H31,'Conversion factors'!$D$37:$G$42,4,FALSE)),"")</f>
        <v/>
      </c>
      <c r="L31" s="1527"/>
      <c r="M31" s="1528" t="str">
        <f t="shared" si="16"/>
        <v/>
      </c>
      <c r="N31" s="1529"/>
      <c r="O31" s="1528" t="str">
        <f>IF(N31="","",IF($F31="",N31,IF($F31="CO2e",N31*K31,IF($F31="GHG",N31*HLOOKUP($G31,GWP!$F$11:$I$31,4,FALSE)*K31,""))))</f>
        <v/>
      </c>
      <c r="P31" s="1529"/>
      <c r="Q31" s="1528" t="str">
        <f>IF(P31="","",IF($F31="",P31,IF($F31="CO2e",P31*K31,IF($F31="GHG",P31*HLOOKUP($G31,GWP!$F$11:$I$31,5,FALSE)*K31,""))))</f>
        <v/>
      </c>
      <c r="R31" s="1529"/>
      <c r="S31" s="1526" t="str">
        <f t="shared" si="17"/>
        <v/>
      </c>
      <c r="T31" s="1529"/>
      <c r="U31" s="1526" t="str">
        <f t="shared" si="18"/>
        <v/>
      </c>
      <c r="V31" s="1530"/>
      <c r="W31" s="1502"/>
      <c r="X31" s="1530"/>
      <c r="Y31" s="1531"/>
      <c r="Z31" s="1785"/>
      <c r="AA31" s="1785"/>
    </row>
    <row r="32" spans="1:27" ht="15" customHeight="1">
      <c r="B32" s="2034"/>
      <c r="C32" s="2035"/>
      <c r="D32" s="2034"/>
      <c r="E32" s="2035"/>
      <c r="F32" s="1525"/>
      <c r="G32" s="1525"/>
      <c r="H32" s="1783"/>
      <c r="I32" s="1534" t="s">
        <v>920</v>
      </c>
      <c r="J32" s="1784"/>
      <c r="K32" s="1526" t="str">
        <f>IFERROR(IF(H32="","",VLOOKUP(H32,'Conversion factors'!$D$37:$G$42,4,FALSE)),"")</f>
        <v/>
      </c>
      <c r="L32" s="1527"/>
      <c r="M32" s="1528" t="str">
        <f t="shared" si="16"/>
        <v/>
      </c>
      <c r="N32" s="1529"/>
      <c r="O32" s="1528" t="str">
        <f>IF(N32="","",IF($F32="",N32,IF($F32="CO2e",N32*K32,IF($F32="GHG",N32*HLOOKUP($G32,GWP!$F$11:$I$31,4,FALSE)*K32,""))))</f>
        <v/>
      </c>
      <c r="P32" s="1529"/>
      <c r="Q32" s="1528" t="str">
        <f>IF(P32="","",IF($F32="",P32,IF($F32="CO2e",P32*K32,IF($F32="GHG",P32*HLOOKUP($G32,GWP!$F$11:$I$31,5,FALSE)*K32,""))))</f>
        <v/>
      </c>
      <c r="R32" s="1529"/>
      <c r="S32" s="1526" t="str">
        <f t="shared" si="17"/>
        <v/>
      </c>
      <c r="T32" s="1529"/>
      <c r="U32" s="1526" t="str">
        <f t="shared" si="18"/>
        <v/>
      </c>
      <c r="V32" s="1530"/>
      <c r="W32" s="1502"/>
      <c r="X32" s="1530"/>
      <c r="Y32" s="1531"/>
      <c r="Z32" s="1785"/>
      <c r="AA32" s="1785"/>
    </row>
    <row r="33" spans="2:27" ht="15" customHeight="1">
      <c r="B33" s="2024"/>
      <c r="C33" s="2025"/>
      <c r="D33" s="2034"/>
      <c r="E33" s="2035"/>
      <c r="F33" s="1525"/>
      <c r="G33" s="1525"/>
      <c r="H33" s="1783"/>
      <c r="I33" s="1534" t="s">
        <v>920</v>
      </c>
      <c r="J33" s="1784"/>
      <c r="K33" s="1526" t="str">
        <f>IFERROR(IF(H33="","",VLOOKUP(H33,'Conversion factors'!$D$37:$G$42,4,FALSE)),"")</f>
        <v/>
      </c>
      <c r="L33" s="1527"/>
      <c r="M33" s="1528" t="str">
        <f t="shared" si="16"/>
        <v/>
      </c>
      <c r="N33" s="1529"/>
      <c r="O33" s="1528" t="str">
        <f>IF(N33="","",IF($F33="",N33,IF($F33="CO2e",N33*K33,IF($F33="GHG",N33*HLOOKUP($G33,GWP!$F$11:$I$31,4,FALSE)*K33,""))))</f>
        <v/>
      </c>
      <c r="P33" s="1529"/>
      <c r="Q33" s="1528" t="str">
        <f>IF(P33="","",IF($F33="",P33,IF($F33="CO2e",P33*K33,IF($F33="GHG",P33*HLOOKUP($G33,GWP!$F$11:$I$31,5,FALSE)*K33,""))))</f>
        <v/>
      </c>
      <c r="R33" s="1529"/>
      <c r="S33" s="1526" t="str">
        <f t="shared" si="17"/>
        <v/>
      </c>
      <c r="T33" s="1529"/>
      <c r="U33" s="1526" t="str">
        <f t="shared" si="18"/>
        <v/>
      </c>
      <c r="V33" s="1530"/>
      <c r="W33" s="1502"/>
      <c r="X33" s="1530"/>
      <c r="Y33" s="1531"/>
      <c r="Z33" s="1785"/>
      <c r="AA33" s="1785"/>
    </row>
    <row r="34" spans="2:27" ht="15" customHeight="1">
      <c r="B34" s="2034"/>
      <c r="C34" s="2035"/>
      <c r="D34" s="2034"/>
      <c r="E34" s="2035"/>
      <c r="F34" s="1525"/>
      <c r="G34" s="1525"/>
      <c r="H34" s="1783"/>
      <c r="I34" s="1534" t="s">
        <v>920</v>
      </c>
      <c r="J34" s="1784"/>
      <c r="K34" s="1526" t="str">
        <f>IFERROR(IF(H34="","",VLOOKUP(H34,'Conversion factors'!$D$37:$G$42,4,FALSE)),"")</f>
        <v/>
      </c>
      <c r="L34" s="1527"/>
      <c r="M34" s="1528" t="str">
        <f t="shared" si="16"/>
        <v/>
      </c>
      <c r="N34" s="1529"/>
      <c r="O34" s="1528" t="str">
        <f>IF(N34="","",IF($F34="",N34,IF($F34="CO2e",N34*K34,IF($F34="GHG",N34*HLOOKUP($G34,GWP!$F$11:$I$31,4,FALSE)*K34,""))))</f>
        <v/>
      </c>
      <c r="P34" s="1529"/>
      <c r="Q34" s="1528" t="str">
        <f>IF(P34="","",IF($F34="",P34,IF($F34="CO2e",P34*K34,IF($F34="GHG",P34*HLOOKUP($G34,GWP!$F$11:$I$31,5,FALSE)*K34,""))))</f>
        <v/>
      </c>
      <c r="R34" s="1529"/>
      <c r="S34" s="1526" t="str">
        <f t="shared" si="17"/>
        <v/>
      </c>
      <c r="T34" s="1529"/>
      <c r="U34" s="1526" t="str">
        <f t="shared" si="18"/>
        <v/>
      </c>
      <c r="V34" s="1530"/>
      <c r="W34" s="1502"/>
      <c r="X34" s="1530"/>
      <c r="Y34" s="1531"/>
      <c r="Z34" s="1785"/>
      <c r="AA34" s="1785"/>
    </row>
    <row r="35" spans="2:27" ht="15" customHeight="1">
      <c r="B35" s="2034"/>
      <c r="C35" s="2035"/>
      <c r="D35" s="2034"/>
      <c r="E35" s="2035"/>
      <c r="F35" s="1525"/>
      <c r="G35" s="1525"/>
      <c r="H35" s="1783"/>
      <c r="I35" s="1534" t="s">
        <v>920</v>
      </c>
      <c r="J35" s="1784"/>
      <c r="K35" s="1526" t="str">
        <f>IFERROR(IF(H35="","",VLOOKUP(H35,'Conversion factors'!$D$37:$G$42,4,FALSE)),"")</f>
        <v/>
      </c>
      <c r="L35" s="1527"/>
      <c r="M35" s="1528" t="str">
        <f t="shared" ref="M35:M56" si="19">IFERROR(IF(L35="","",L35*$K35),"")</f>
        <v/>
      </c>
      <c r="N35" s="1529"/>
      <c r="O35" s="1528" t="str">
        <f>IF(N35="","",IF($F35="",N35,IF($F35="CO2e",N35*K35,IF($F35="GHG",N35*HLOOKUP($G35,GWP!$F$11:$I$31,4,FALSE)*K35,""))))</f>
        <v/>
      </c>
      <c r="P35" s="1529"/>
      <c r="Q35" s="1528" t="str">
        <f>IF(P35="","",IF($F35="",P35,IF($F35="CO2e",P35*K35,IF($F35="GHG",P35*HLOOKUP($G35,GWP!$F$11:$I$31,5,FALSE)*K35,""))))</f>
        <v/>
      </c>
      <c r="R35" s="1529"/>
      <c r="S35" s="1526" t="str">
        <f t="shared" ref="S35:S56" si="20">IFERROR(IF(R35="","",R35*$K35),"")</f>
        <v/>
      </c>
      <c r="T35" s="1529"/>
      <c r="U35" s="1526" t="str">
        <f t="shared" ref="U35:U56" si="21">IFERROR(IF(T35="","",T35*$K35),"")</f>
        <v/>
      </c>
      <c r="V35" s="1530"/>
      <c r="W35" s="1502"/>
      <c r="X35" s="1530"/>
      <c r="Y35" s="1531"/>
      <c r="Z35" s="1785"/>
      <c r="AA35" s="1785"/>
    </row>
    <row r="36" spans="2:27" ht="15" customHeight="1">
      <c r="B36" s="2024"/>
      <c r="C36" s="2025"/>
      <c r="D36" s="2034"/>
      <c r="E36" s="2035"/>
      <c r="F36" s="1525"/>
      <c r="G36" s="1525"/>
      <c r="H36" s="1783"/>
      <c r="I36" s="1534" t="s">
        <v>920</v>
      </c>
      <c r="J36" s="1784"/>
      <c r="K36" s="1526" t="str">
        <f>IFERROR(IF(H36="","",VLOOKUP(H36,'Conversion factors'!$D$37:$G$42,4,FALSE)),"")</f>
        <v/>
      </c>
      <c r="L36" s="1527"/>
      <c r="M36" s="1528" t="str">
        <f t="shared" si="19"/>
        <v/>
      </c>
      <c r="N36" s="1529"/>
      <c r="O36" s="1528" t="str">
        <f>IF(N36="","",IF($F36="",N36,IF($F36="CO2e",N36*K36,IF($F36="GHG",N36*HLOOKUP($G36,GWP!$F$11:$I$31,4,FALSE)*K36,""))))</f>
        <v/>
      </c>
      <c r="P36" s="1529"/>
      <c r="Q36" s="1528" t="str">
        <f>IF(P36="","",IF($F36="",P36,IF($F36="CO2e",P36*K36,IF($F36="GHG",P36*HLOOKUP($G36,GWP!$F$11:$I$31,5,FALSE)*K36,""))))</f>
        <v/>
      </c>
      <c r="R36" s="1529"/>
      <c r="S36" s="1526" t="str">
        <f t="shared" si="20"/>
        <v/>
      </c>
      <c r="T36" s="1529"/>
      <c r="U36" s="1526" t="str">
        <f t="shared" si="21"/>
        <v/>
      </c>
      <c r="V36" s="1530"/>
      <c r="W36" s="1502"/>
      <c r="X36" s="1530"/>
      <c r="Y36" s="1531"/>
      <c r="Z36" s="1785"/>
      <c r="AA36" s="1785"/>
    </row>
    <row r="37" spans="2:27" ht="15" customHeight="1">
      <c r="B37" s="2034"/>
      <c r="C37" s="2035"/>
      <c r="D37" s="2034"/>
      <c r="E37" s="2035"/>
      <c r="F37" s="1525"/>
      <c r="G37" s="1525"/>
      <c r="H37" s="1783"/>
      <c r="I37" s="1534" t="s">
        <v>920</v>
      </c>
      <c r="J37" s="1784"/>
      <c r="K37" s="1526" t="str">
        <f>IFERROR(IF(H37="","",VLOOKUP(H37,'Conversion factors'!$D$37:$G$42,4,FALSE)),"")</f>
        <v/>
      </c>
      <c r="L37" s="1527"/>
      <c r="M37" s="1528" t="str">
        <f t="shared" si="19"/>
        <v/>
      </c>
      <c r="N37" s="1529"/>
      <c r="O37" s="1528" t="str">
        <f>IF(N37="","",IF($F37="",N37,IF($F37="CO2e",N37*K37,IF($F37="GHG",N37*HLOOKUP($G37,GWP!$F$11:$I$31,4,FALSE)*K37,""))))</f>
        <v/>
      </c>
      <c r="P37" s="1529"/>
      <c r="Q37" s="1528" t="str">
        <f>IF(P37="","",IF($F37="",P37,IF($F37="CO2e",P37*K37,IF($F37="GHG",P37*HLOOKUP($G37,GWP!$F$11:$I$31,5,FALSE)*K37,""))))</f>
        <v/>
      </c>
      <c r="R37" s="1529"/>
      <c r="S37" s="1526" t="str">
        <f t="shared" si="20"/>
        <v/>
      </c>
      <c r="T37" s="1529"/>
      <c r="U37" s="1526" t="str">
        <f t="shared" si="21"/>
        <v/>
      </c>
      <c r="V37" s="1530"/>
      <c r="W37" s="1502"/>
      <c r="X37" s="1530"/>
      <c r="Y37" s="1531"/>
      <c r="Z37" s="1785"/>
      <c r="AA37" s="1785"/>
    </row>
    <row r="38" spans="2:27" ht="15" customHeight="1">
      <c r="B38" s="2034"/>
      <c r="C38" s="2035"/>
      <c r="D38" s="2034"/>
      <c r="E38" s="2035"/>
      <c r="F38" s="1525"/>
      <c r="G38" s="1525"/>
      <c r="H38" s="1783"/>
      <c r="I38" s="1534" t="s">
        <v>920</v>
      </c>
      <c r="J38" s="1784"/>
      <c r="K38" s="1526" t="str">
        <f>IFERROR(IF(H38="","",VLOOKUP(H38,'Conversion factors'!$D$37:$G$42,4,FALSE)),"")</f>
        <v/>
      </c>
      <c r="L38" s="1527"/>
      <c r="M38" s="1528" t="str">
        <f t="shared" si="19"/>
        <v/>
      </c>
      <c r="N38" s="1529"/>
      <c r="O38" s="1528" t="str">
        <f>IF(N38="","",IF($F38="",N38,IF($F38="CO2e",N38*K38,IF($F38="GHG",N38*HLOOKUP($G38,GWP!$F$11:$I$31,4,FALSE)*K38,""))))</f>
        <v/>
      </c>
      <c r="P38" s="1529"/>
      <c r="Q38" s="1528" t="str">
        <f>IF(P38="","",IF($F38="",P38,IF($F38="CO2e",P38*K38,IF($F38="GHG",P38*HLOOKUP($G38,GWP!$F$11:$I$31,5,FALSE)*K38,""))))</f>
        <v/>
      </c>
      <c r="R38" s="1529"/>
      <c r="S38" s="1526" t="str">
        <f t="shared" si="20"/>
        <v/>
      </c>
      <c r="T38" s="1529"/>
      <c r="U38" s="1526" t="str">
        <f t="shared" si="21"/>
        <v/>
      </c>
      <c r="V38" s="1530"/>
      <c r="W38" s="1502"/>
      <c r="X38" s="1530"/>
      <c r="Y38" s="1531"/>
      <c r="Z38" s="1785"/>
      <c r="AA38" s="1785"/>
    </row>
    <row r="39" spans="2:27" ht="15" customHeight="1">
      <c r="B39" s="2024"/>
      <c r="C39" s="2025"/>
      <c r="D39" s="2034"/>
      <c r="E39" s="2035"/>
      <c r="F39" s="1525"/>
      <c r="G39" s="1525"/>
      <c r="H39" s="1783"/>
      <c r="I39" s="1534" t="s">
        <v>920</v>
      </c>
      <c r="J39" s="1784"/>
      <c r="K39" s="1526" t="str">
        <f>IFERROR(IF(H39="","",VLOOKUP(H39,'Conversion factors'!$D$37:$G$42,4,FALSE)),"")</f>
        <v/>
      </c>
      <c r="L39" s="1527"/>
      <c r="M39" s="1528" t="str">
        <f t="shared" si="19"/>
        <v/>
      </c>
      <c r="N39" s="1529"/>
      <c r="O39" s="1528" t="str">
        <f>IF(N39="","",IF($F39="",N39,IF($F39="CO2e",N39*K39,IF($F39="GHG",N39*HLOOKUP($G39,GWP!$F$11:$I$31,4,FALSE)*K39,""))))</f>
        <v/>
      </c>
      <c r="P39" s="1529"/>
      <c r="Q39" s="1528" t="str">
        <f>IF(P39="","",IF($F39="",P39,IF($F39="CO2e",P39*K39,IF($F39="GHG",P39*HLOOKUP($G39,GWP!$F$11:$I$31,5,FALSE)*K39,""))))</f>
        <v/>
      </c>
      <c r="R39" s="1529"/>
      <c r="S39" s="1526" t="str">
        <f t="shared" si="20"/>
        <v/>
      </c>
      <c r="T39" s="1529"/>
      <c r="U39" s="1526" t="str">
        <f t="shared" si="21"/>
        <v/>
      </c>
      <c r="V39" s="1530"/>
      <c r="W39" s="1502"/>
      <c r="X39" s="1530"/>
      <c r="Y39" s="1531"/>
      <c r="Z39" s="1785"/>
      <c r="AA39" s="1785"/>
    </row>
    <row r="40" spans="2:27" ht="15" customHeight="1">
      <c r="B40" s="2034"/>
      <c r="C40" s="2035"/>
      <c r="D40" s="2034"/>
      <c r="E40" s="2035"/>
      <c r="F40" s="1525"/>
      <c r="G40" s="1525"/>
      <c r="H40" s="1783"/>
      <c r="I40" s="1534" t="s">
        <v>920</v>
      </c>
      <c r="J40" s="1784"/>
      <c r="K40" s="1526" t="str">
        <f>IFERROR(IF(H40="","",VLOOKUP(H40,'Conversion factors'!$D$37:$G$42,4,FALSE)),"")</f>
        <v/>
      </c>
      <c r="L40" s="1527"/>
      <c r="M40" s="1528" t="str">
        <f t="shared" si="19"/>
        <v/>
      </c>
      <c r="N40" s="1529"/>
      <c r="O40" s="1528" t="str">
        <f>IF(N40="","",IF($F40="",N40,IF($F40="CO2e",N40*K40,IF($F40="GHG",N40*HLOOKUP($G40,GWP!$F$11:$I$31,4,FALSE)*K40,""))))</f>
        <v/>
      </c>
      <c r="P40" s="1529"/>
      <c r="Q40" s="1528" t="str">
        <f>IF(P40="","",IF($F40="",P40,IF($F40="CO2e",P40*K40,IF($F40="GHG",P40*HLOOKUP($G40,GWP!$F$11:$I$31,5,FALSE)*K40,""))))</f>
        <v/>
      </c>
      <c r="R40" s="1529"/>
      <c r="S40" s="1526" t="str">
        <f t="shared" si="20"/>
        <v/>
      </c>
      <c r="T40" s="1529"/>
      <c r="U40" s="1526" t="str">
        <f t="shared" si="21"/>
        <v/>
      </c>
      <c r="V40" s="1530"/>
      <c r="W40" s="1502"/>
      <c r="X40" s="1530"/>
      <c r="Y40" s="1531"/>
      <c r="Z40" s="1785"/>
      <c r="AA40" s="1785"/>
    </row>
    <row r="41" spans="2:27" ht="15" customHeight="1">
      <c r="B41" s="2034"/>
      <c r="C41" s="2035"/>
      <c r="D41" s="2034"/>
      <c r="E41" s="2035"/>
      <c r="F41" s="1525"/>
      <c r="G41" s="1525"/>
      <c r="H41" s="1783"/>
      <c r="I41" s="1534" t="s">
        <v>920</v>
      </c>
      <c r="J41" s="1784"/>
      <c r="K41" s="1526" t="str">
        <f>IFERROR(IF(H41="","",VLOOKUP(H41,'Conversion factors'!$D$37:$G$42,4,FALSE)),"")</f>
        <v/>
      </c>
      <c r="L41" s="1527"/>
      <c r="M41" s="1528" t="str">
        <f t="shared" si="19"/>
        <v/>
      </c>
      <c r="N41" s="1529"/>
      <c r="O41" s="1528" t="str">
        <f>IF(N41="","",IF($F41="",N41,IF($F41="CO2e",N41*K41,IF($F41="GHG",N41*HLOOKUP($G41,GWP!$F$11:$I$31,4,FALSE)*K41,""))))</f>
        <v/>
      </c>
      <c r="P41" s="1529"/>
      <c r="Q41" s="1528" t="str">
        <f>IF(P41="","",IF($F41="",P41,IF($F41="CO2e",P41*K41,IF($F41="GHG",P41*HLOOKUP($G41,GWP!$F$11:$I$31,5,FALSE)*K41,""))))</f>
        <v/>
      </c>
      <c r="R41" s="1529"/>
      <c r="S41" s="1526" t="str">
        <f t="shared" si="20"/>
        <v/>
      </c>
      <c r="T41" s="1529"/>
      <c r="U41" s="1526" t="str">
        <f t="shared" si="21"/>
        <v/>
      </c>
      <c r="V41" s="1530"/>
      <c r="W41" s="1502"/>
      <c r="X41" s="1530"/>
      <c r="Y41" s="1531"/>
      <c r="Z41" s="1785"/>
      <c r="AA41" s="1785"/>
    </row>
    <row r="42" spans="2:27" ht="15" customHeight="1">
      <c r="B42" s="2024"/>
      <c r="C42" s="2025"/>
      <c r="D42" s="2034"/>
      <c r="E42" s="2035"/>
      <c r="F42" s="1525"/>
      <c r="G42" s="1525"/>
      <c r="H42" s="1783"/>
      <c r="I42" s="1534" t="s">
        <v>920</v>
      </c>
      <c r="J42" s="1784"/>
      <c r="K42" s="1526" t="str">
        <f>IFERROR(IF(H42="","",VLOOKUP(H42,'Conversion factors'!$D$37:$G$42,4,FALSE)),"")</f>
        <v/>
      </c>
      <c r="L42" s="1527"/>
      <c r="M42" s="1528" t="str">
        <f t="shared" si="19"/>
        <v/>
      </c>
      <c r="N42" s="1529"/>
      <c r="O42" s="1528" t="str">
        <f>IF(N42="","",IF($F42="",N42,IF($F42="CO2e",N42*K42,IF($F42="GHG",N42*HLOOKUP($G42,GWP!$F$11:$I$31,4,FALSE)*K42,""))))</f>
        <v/>
      </c>
      <c r="P42" s="1529"/>
      <c r="Q42" s="1528" t="str">
        <f>IF(P42="","",IF($F42="",P42,IF($F42="CO2e",P42*K42,IF($F42="GHG",P42*HLOOKUP($G42,GWP!$F$11:$I$31,5,FALSE)*K42,""))))</f>
        <v/>
      </c>
      <c r="R42" s="1529"/>
      <c r="S42" s="1526" t="str">
        <f t="shared" si="20"/>
        <v/>
      </c>
      <c r="T42" s="1529"/>
      <c r="U42" s="1526" t="str">
        <f t="shared" si="21"/>
        <v/>
      </c>
      <c r="V42" s="1530"/>
      <c r="W42" s="1502"/>
      <c r="X42" s="1530"/>
      <c r="Y42" s="1531"/>
      <c r="Z42" s="1785"/>
      <c r="AA42" s="1785"/>
    </row>
    <row r="43" spans="2:27" ht="15" customHeight="1">
      <c r="B43" s="2034"/>
      <c r="C43" s="2035"/>
      <c r="D43" s="2034"/>
      <c r="E43" s="2035"/>
      <c r="F43" s="1525"/>
      <c r="G43" s="1525"/>
      <c r="H43" s="1783"/>
      <c r="I43" s="1534" t="s">
        <v>920</v>
      </c>
      <c r="J43" s="1784"/>
      <c r="K43" s="1526" t="str">
        <f>IFERROR(IF(H43="","",VLOOKUP(H43,'Conversion factors'!$D$37:$G$42,4,FALSE)),"")</f>
        <v/>
      </c>
      <c r="L43" s="1527"/>
      <c r="M43" s="1528" t="str">
        <f t="shared" si="19"/>
        <v/>
      </c>
      <c r="N43" s="1529"/>
      <c r="O43" s="1528" t="str">
        <f>IF(N43="","",IF($F43="",N43,IF($F43="CO2e",N43*K43,IF($F43="GHG",N43*HLOOKUP($G43,GWP!$F$11:$I$31,4,FALSE)*K43,""))))</f>
        <v/>
      </c>
      <c r="P43" s="1529"/>
      <c r="Q43" s="1528" t="str">
        <f>IF(P43="","",IF($F43="",P43,IF($F43="CO2e",P43*K43,IF($F43="GHG",P43*HLOOKUP($G43,GWP!$F$11:$I$31,5,FALSE)*K43,""))))</f>
        <v/>
      </c>
      <c r="R43" s="1529"/>
      <c r="S43" s="1526" t="str">
        <f t="shared" si="20"/>
        <v/>
      </c>
      <c r="T43" s="1529"/>
      <c r="U43" s="1526" t="str">
        <f t="shared" si="21"/>
        <v/>
      </c>
      <c r="V43" s="1530"/>
      <c r="W43" s="1502"/>
      <c r="X43" s="1530"/>
      <c r="Y43" s="1531"/>
      <c r="Z43" s="1785"/>
      <c r="AA43" s="1785"/>
    </row>
    <row r="44" spans="2:27" ht="15" customHeight="1">
      <c r="B44" s="2034"/>
      <c r="C44" s="2035"/>
      <c r="D44" s="2034"/>
      <c r="E44" s="2035"/>
      <c r="F44" s="1525"/>
      <c r="G44" s="1525"/>
      <c r="H44" s="1783"/>
      <c r="I44" s="1534" t="s">
        <v>920</v>
      </c>
      <c r="J44" s="1784"/>
      <c r="K44" s="1526" t="str">
        <f>IFERROR(IF(H44="","",VLOOKUP(H44,'Conversion factors'!$D$37:$G$42,4,FALSE)),"")</f>
        <v/>
      </c>
      <c r="L44" s="1527"/>
      <c r="M44" s="1528" t="str">
        <f t="shared" si="19"/>
        <v/>
      </c>
      <c r="N44" s="1529"/>
      <c r="O44" s="1528" t="str">
        <f>IF(N44="","",IF($F44="",N44,IF($F44="CO2e",N44*K44,IF($F44="GHG",N44*HLOOKUP($G44,GWP!$F$11:$I$31,4,FALSE)*K44,""))))</f>
        <v/>
      </c>
      <c r="P44" s="1529"/>
      <c r="Q44" s="1528" t="str">
        <f>IF(P44="","",IF($F44="",P44,IF($F44="CO2e",P44*K44,IF($F44="GHG",P44*HLOOKUP($G44,GWP!$F$11:$I$31,5,FALSE)*K44,""))))</f>
        <v/>
      </c>
      <c r="R44" s="1529"/>
      <c r="S44" s="1526" t="str">
        <f t="shared" si="20"/>
        <v/>
      </c>
      <c r="T44" s="1529"/>
      <c r="U44" s="1526" t="str">
        <f t="shared" si="21"/>
        <v/>
      </c>
      <c r="V44" s="1530"/>
      <c r="W44" s="1502"/>
      <c r="X44" s="1530"/>
      <c r="Y44" s="1531"/>
      <c r="Z44" s="1785"/>
      <c r="AA44" s="1785"/>
    </row>
    <row r="45" spans="2:27" ht="15" customHeight="1">
      <c r="B45" s="2024"/>
      <c r="C45" s="2025"/>
      <c r="D45" s="2034"/>
      <c r="E45" s="2035"/>
      <c r="F45" s="1525"/>
      <c r="G45" s="1525"/>
      <c r="H45" s="1783"/>
      <c r="I45" s="1534" t="s">
        <v>920</v>
      </c>
      <c r="J45" s="1784"/>
      <c r="K45" s="1526" t="str">
        <f>IFERROR(IF(H45="","",VLOOKUP(H45,'Conversion factors'!$D$37:$G$42,4,FALSE)),"")</f>
        <v/>
      </c>
      <c r="L45" s="1527"/>
      <c r="M45" s="1528" t="str">
        <f t="shared" si="19"/>
        <v/>
      </c>
      <c r="N45" s="1529"/>
      <c r="O45" s="1528" t="str">
        <f>IF(N45="","",IF($F45="",N45,IF($F45="CO2e",N45*K45,IF($F45="GHG",N45*HLOOKUP($G45,GWP!$F$11:$I$31,4,FALSE)*K45,""))))</f>
        <v/>
      </c>
      <c r="P45" s="1529"/>
      <c r="Q45" s="1528" t="str">
        <f>IF(P45="","",IF($F45="",P45,IF($F45="CO2e",P45*K45,IF($F45="GHG",P45*HLOOKUP($G45,GWP!$F$11:$I$31,5,FALSE)*K45,""))))</f>
        <v/>
      </c>
      <c r="R45" s="1529"/>
      <c r="S45" s="1526" t="str">
        <f t="shared" si="20"/>
        <v/>
      </c>
      <c r="T45" s="1529"/>
      <c r="U45" s="1526" t="str">
        <f t="shared" si="21"/>
        <v/>
      </c>
      <c r="V45" s="1530"/>
      <c r="W45" s="1502"/>
      <c r="X45" s="1530"/>
      <c r="Y45" s="1531"/>
      <c r="Z45" s="1785"/>
      <c r="AA45" s="1785"/>
    </row>
    <row r="46" spans="2:27" ht="15" customHeight="1">
      <c r="B46" s="2034"/>
      <c r="C46" s="2035"/>
      <c r="D46" s="2034"/>
      <c r="E46" s="2035"/>
      <c r="F46" s="1525"/>
      <c r="G46" s="1525"/>
      <c r="H46" s="1783"/>
      <c r="I46" s="1534" t="s">
        <v>920</v>
      </c>
      <c r="J46" s="1784"/>
      <c r="K46" s="1526" t="str">
        <f>IFERROR(IF(H46="","",VLOOKUP(H46,'Conversion factors'!$D$37:$G$42,4,FALSE)),"")</f>
        <v/>
      </c>
      <c r="L46" s="1527"/>
      <c r="M46" s="1528" t="str">
        <f t="shared" si="19"/>
        <v/>
      </c>
      <c r="N46" s="1529"/>
      <c r="O46" s="1528" t="str">
        <f>IF(N46="","",IF($F46="",N46,IF($F46="CO2e",N46*K46,IF($F46="GHG",N46*HLOOKUP($G46,GWP!$F$11:$I$31,4,FALSE)*K46,""))))</f>
        <v/>
      </c>
      <c r="P46" s="1529"/>
      <c r="Q46" s="1528" t="str">
        <f>IF(P46="","",IF($F46="",P46,IF($F46="CO2e",P46*K46,IF($F46="GHG",P46*HLOOKUP($G46,GWP!$F$11:$I$31,5,FALSE)*K46,""))))</f>
        <v/>
      </c>
      <c r="R46" s="1529"/>
      <c r="S46" s="1526" t="str">
        <f t="shared" si="20"/>
        <v/>
      </c>
      <c r="T46" s="1529"/>
      <c r="U46" s="1526" t="str">
        <f t="shared" si="21"/>
        <v/>
      </c>
      <c r="V46" s="1530"/>
      <c r="W46" s="1502"/>
      <c r="X46" s="1530"/>
      <c r="Y46" s="1531"/>
      <c r="Z46" s="1785"/>
      <c r="AA46" s="1785"/>
    </row>
    <row r="47" spans="2:27" ht="15" customHeight="1">
      <c r="B47" s="2034"/>
      <c r="C47" s="2035"/>
      <c r="D47" s="2034"/>
      <c r="E47" s="2035"/>
      <c r="F47" s="1525"/>
      <c r="G47" s="1525"/>
      <c r="H47" s="1783"/>
      <c r="I47" s="1534" t="s">
        <v>920</v>
      </c>
      <c r="J47" s="1784"/>
      <c r="K47" s="1526" t="str">
        <f>IFERROR(IF(H47="","",VLOOKUP(H47,'Conversion factors'!$D$37:$G$42,4,FALSE)),"")</f>
        <v/>
      </c>
      <c r="L47" s="1527"/>
      <c r="M47" s="1528" t="str">
        <f t="shared" si="19"/>
        <v/>
      </c>
      <c r="N47" s="1529"/>
      <c r="O47" s="1528" t="str">
        <f>IF(N47="","",IF($F47="",N47,IF($F47="CO2e",N47*K47,IF($F47="GHG",N47*HLOOKUP($G47,GWP!$F$11:$I$31,4,FALSE)*K47,""))))</f>
        <v/>
      </c>
      <c r="P47" s="1529"/>
      <c r="Q47" s="1528" t="str">
        <f>IF(P47="","",IF($F47="",P47,IF($F47="CO2e",P47*K47,IF($F47="GHG",P47*HLOOKUP($G47,GWP!$F$11:$I$31,5,FALSE)*K47,""))))</f>
        <v/>
      </c>
      <c r="R47" s="1529"/>
      <c r="S47" s="1526" t="str">
        <f t="shared" si="20"/>
        <v/>
      </c>
      <c r="T47" s="1529"/>
      <c r="U47" s="1526" t="str">
        <f t="shared" si="21"/>
        <v/>
      </c>
      <c r="V47" s="1530"/>
      <c r="W47" s="1502"/>
      <c r="X47" s="1530"/>
      <c r="Y47" s="1531"/>
      <c r="Z47" s="1785"/>
      <c r="AA47" s="1785"/>
    </row>
    <row r="48" spans="2:27" ht="15" customHeight="1">
      <c r="B48" s="2024"/>
      <c r="C48" s="2025"/>
      <c r="D48" s="2034"/>
      <c r="E48" s="2035"/>
      <c r="F48" s="1525"/>
      <c r="G48" s="1525"/>
      <c r="H48" s="1783"/>
      <c r="I48" s="1534" t="s">
        <v>920</v>
      </c>
      <c r="J48" s="1784"/>
      <c r="K48" s="1526" t="str">
        <f>IFERROR(IF(H48="","",VLOOKUP(H48,'Conversion factors'!$D$37:$G$42,4,FALSE)),"")</f>
        <v/>
      </c>
      <c r="L48" s="1527"/>
      <c r="M48" s="1528" t="str">
        <f t="shared" si="19"/>
        <v/>
      </c>
      <c r="N48" s="1529"/>
      <c r="O48" s="1528" t="str">
        <f>IF(N48="","",IF($F48="",N48,IF($F48="CO2e",N48*K48,IF($F48="GHG",N48*HLOOKUP($G48,GWP!$F$11:$I$31,4,FALSE)*K48,""))))</f>
        <v/>
      </c>
      <c r="P48" s="1529"/>
      <c r="Q48" s="1528" t="str">
        <f>IF(P48="","",IF($F48="",P48,IF($F48="CO2e",P48*K48,IF($F48="GHG",P48*HLOOKUP($G48,GWP!$F$11:$I$31,5,FALSE)*K48,""))))</f>
        <v/>
      </c>
      <c r="R48" s="1529"/>
      <c r="S48" s="1526" t="str">
        <f t="shared" si="20"/>
        <v/>
      </c>
      <c r="T48" s="1529"/>
      <c r="U48" s="1526" t="str">
        <f t="shared" si="21"/>
        <v/>
      </c>
      <c r="V48" s="1530"/>
      <c r="W48" s="1502"/>
      <c r="X48" s="1530"/>
      <c r="Y48" s="1531"/>
      <c r="Z48" s="1785"/>
      <c r="AA48" s="1785"/>
    </row>
    <row r="49" spans="2:27" ht="15" customHeight="1">
      <c r="B49" s="2034"/>
      <c r="C49" s="2035"/>
      <c r="D49" s="2034"/>
      <c r="E49" s="2035"/>
      <c r="F49" s="1525"/>
      <c r="G49" s="1525"/>
      <c r="H49" s="1783"/>
      <c r="I49" s="1534" t="s">
        <v>920</v>
      </c>
      <c r="J49" s="1784"/>
      <c r="K49" s="1526" t="str">
        <f>IFERROR(IF(H49="","",VLOOKUP(H49,'Conversion factors'!$D$37:$G$42,4,FALSE)),"")</f>
        <v/>
      </c>
      <c r="L49" s="1527"/>
      <c r="M49" s="1528" t="str">
        <f t="shared" si="19"/>
        <v/>
      </c>
      <c r="N49" s="1529"/>
      <c r="O49" s="1528" t="str">
        <f>IF(N49="","",IF($F49="",N49,IF($F49="CO2e",N49*K49,IF($F49="GHG",N49*HLOOKUP($G49,GWP!$F$11:$I$31,4,FALSE)*K49,""))))</f>
        <v/>
      </c>
      <c r="P49" s="1529"/>
      <c r="Q49" s="1528" t="str">
        <f>IF(P49="","",IF($F49="",P49,IF($F49="CO2e",P49*K49,IF($F49="GHG",P49*HLOOKUP($G49,GWP!$F$11:$I$31,5,FALSE)*K49,""))))</f>
        <v/>
      </c>
      <c r="R49" s="1529"/>
      <c r="S49" s="1526" t="str">
        <f t="shared" si="20"/>
        <v/>
      </c>
      <c r="T49" s="1529"/>
      <c r="U49" s="1526" t="str">
        <f t="shared" si="21"/>
        <v/>
      </c>
      <c r="V49" s="1530"/>
      <c r="W49" s="1502"/>
      <c r="X49" s="1530"/>
      <c r="Y49" s="1531"/>
      <c r="Z49" s="1785"/>
      <c r="AA49" s="1785"/>
    </row>
    <row r="50" spans="2:27" ht="15" customHeight="1">
      <c r="B50" s="2034"/>
      <c r="C50" s="2035"/>
      <c r="D50" s="2034"/>
      <c r="E50" s="2035"/>
      <c r="F50" s="1525"/>
      <c r="G50" s="1525"/>
      <c r="H50" s="1783"/>
      <c r="I50" s="1534" t="s">
        <v>920</v>
      </c>
      <c r="J50" s="1784"/>
      <c r="K50" s="1526" t="str">
        <f>IFERROR(IF(H50="","",VLOOKUP(H50,'Conversion factors'!$D$37:$G$42,4,FALSE)),"")</f>
        <v/>
      </c>
      <c r="L50" s="1527"/>
      <c r="M50" s="1528" t="str">
        <f t="shared" si="19"/>
        <v/>
      </c>
      <c r="N50" s="1529"/>
      <c r="O50" s="1528" t="str">
        <f>IF(N50="","",IF($F50="",N50,IF($F50="CO2e",N50*K50,IF($F50="GHG",N50*HLOOKUP($G50,GWP!$F$11:$I$31,4,FALSE)*K50,""))))</f>
        <v/>
      </c>
      <c r="P50" s="1529"/>
      <c r="Q50" s="1528" t="str">
        <f>IF(P50="","",IF($F50="",P50,IF($F50="CO2e",P50*K50,IF($F50="GHG",P50*HLOOKUP($G50,GWP!$F$11:$I$31,5,FALSE)*K50,""))))</f>
        <v/>
      </c>
      <c r="R50" s="1529"/>
      <c r="S50" s="1526" t="str">
        <f t="shared" si="20"/>
        <v/>
      </c>
      <c r="T50" s="1529"/>
      <c r="U50" s="1526" t="str">
        <f t="shared" si="21"/>
        <v/>
      </c>
      <c r="V50" s="1530"/>
      <c r="W50" s="1502"/>
      <c r="X50" s="1530"/>
      <c r="Y50" s="1531"/>
      <c r="Z50" s="1785"/>
      <c r="AA50" s="1785"/>
    </row>
    <row r="51" spans="2:27" ht="15" customHeight="1">
      <c r="B51" s="2024"/>
      <c r="C51" s="2025"/>
      <c r="D51" s="2034"/>
      <c r="E51" s="2035"/>
      <c r="F51" s="1525"/>
      <c r="G51" s="1525"/>
      <c r="H51" s="1783"/>
      <c r="I51" s="1534" t="s">
        <v>920</v>
      </c>
      <c r="J51" s="1784"/>
      <c r="K51" s="1526" t="str">
        <f>IFERROR(IF(H51="","",VLOOKUP(H51,'Conversion factors'!$D$37:$G$42,4,FALSE)),"")</f>
        <v/>
      </c>
      <c r="L51" s="1527"/>
      <c r="M51" s="1528" t="str">
        <f t="shared" si="19"/>
        <v/>
      </c>
      <c r="N51" s="1529"/>
      <c r="O51" s="1528" t="str">
        <f>IF(N51="","",IF($F51="",N51,IF($F51="CO2e",N51*K51,IF($F51="GHG",N51*HLOOKUP($G51,GWP!$F$11:$I$31,4,FALSE)*K51,""))))</f>
        <v/>
      </c>
      <c r="P51" s="1529"/>
      <c r="Q51" s="1528" t="str">
        <f>IF(P51="","",IF($F51="",P51,IF($F51="CO2e",P51*K51,IF($F51="GHG",P51*HLOOKUP($G51,GWP!$F$11:$I$31,5,FALSE)*K51,""))))</f>
        <v/>
      </c>
      <c r="R51" s="1529"/>
      <c r="S51" s="1526" t="str">
        <f t="shared" si="20"/>
        <v/>
      </c>
      <c r="T51" s="1529"/>
      <c r="U51" s="1526" t="str">
        <f t="shared" si="21"/>
        <v/>
      </c>
      <c r="V51" s="1530"/>
      <c r="W51" s="1502"/>
      <c r="X51" s="1530"/>
      <c r="Y51" s="1531"/>
      <c r="Z51" s="1785"/>
      <c r="AA51" s="1785"/>
    </row>
    <row r="52" spans="2:27" ht="15" customHeight="1">
      <c r="B52" s="2034"/>
      <c r="C52" s="2035"/>
      <c r="D52" s="2034"/>
      <c r="E52" s="2035"/>
      <c r="F52" s="1525"/>
      <c r="G52" s="1525"/>
      <c r="H52" s="1783"/>
      <c r="I52" s="1534" t="s">
        <v>920</v>
      </c>
      <c r="J52" s="1784"/>
      <c r="K52" s="1526" t="str">
        <f>IFERROR(IF(H52="","",VLOOKUP(H52,'Conversion factors'!$D$37:$G$42,4,FALSE)),"")</f>
        <v/>
      </c>
      <c r="L52" s="1527"/>
      <c r="M52" s="1528" t="str">
        <f t="shared" si="19"/>
        <v/>
      </c>
      <c r="N52" s="1529"/>
      <c r="O52" s="1528" t="str">
        <f>IF(N52="","",IF($F52="",N52,IF($F52="CO2e",N52*K52,IF($F52="GHG",N52*HLOOKUP($G52,GWP!$F$11:$I$31,4,FALSE)*K52,""))))</f>
        <v/>
      </c>
      <c r="P52" s="1529"/>
      <c r="Q52" s="1528" t="str">
        <f>IF(P52="","",IF($F52="",P52,IF($F52="CO2e",P52*K52,IF($F52="GHG",P52*HLOOKUP($G52,GWP!$F$11:$I$31,5,FALSE)*K52,""))))</f>
        <v/>
      </c>
      <c r="R52" s="1529"/>
      <c r="S52" s="1526" t="str">
        <f t="shared" si="20"/>
        <v/>
      </c>
      <c r="T52" s="1529"/>
      <c r="U52" s="1526" t="str">
        <f t="shared" si="21"/>
        <v/>
      </c>
      <c r="V52" s="1530"/>
      <c r="W52" s="1502"/>
      <c r="X52" s="1530"/>
      <c r="Y52" s="1531"/>
      <c r="Z52" s="1785"/>
      <c r="AA52" s="1785"/>
    </row>
    <row r="53" spans="2:27" ht="15" customHeight="1">
      <c r="B53" s="2034"/>
      <c r="C53" s="2035"/>
      <c r="D53" s="2034"/>
      <c r="E53" s="2035"/>
      <c r="F53" s="1525"/>
      <c r="G53" s="1525"/>
      <c r="H53" s="1783"/>
      <c r="I53" s="1534" t="s">
        <v>920</v>
      </c>
      <c r="J53" s="1784"/>
      <c r="K53" s="1526" t="str">
        <f>IFERROR(IF(H53="","",VLOOKUP(H53,'Conversion factors'!$D$37:$G$42,4,FALSE)),"")</f>
        <v/>
      </c>
      <c r="L53" s="1527"/>
      <c r="M53" s="1528" t="str">
        <f t="shared" si="19"/>
        <v/>
      </c>
      <c r="N53" s="1529"/>
      <c r="O53" s="1528" t="str">
        <f>IF(N53="","",IF($F53="",N53,IF($F53="CO2e",N53*K53,IF($F53="GHG",N53*HLOOKUP($G53,GWP!$F$11:$I$31,4,FALSE)*K53,""))))</f>
        <v/>
      </c>
      <c r="P53" s="1529"/>
      <c r="Q53" s="1528" t="str">
        <f>IF(P53="","",IF($F53="",P53,IF($F53="CO2e",P53*K53,IF($F53="GHG",P53*HLOOKUP($G53,GWP!$F$11:$I$31,5,FALSE)*K53,""))))</f>
        <v/>
      </c>
      <c r="R53" s="1529"/>
      <c r="S53" s="1526" t="str">
        <f t="shared" si="20"/>
        <v/>
      </c>
      <c r="T53" s="1529"/>
      <c r="U53" s="1526" t="str">
        <f t="shared" si="21"/>
        <v/>
      </c>
      <c r="V53" s="1530"/>
      <c r="W53" s="1502"/>
      <c r="X53" s="1530"/>
      <c r="Y53" s="1531"/>
      <c r="Z53" s="1785"/>
      <c r="AA53" s="1785"/>
    </row>
    <row r="54" spans="2:27" ht="15" customHeight="1">
      <c r="B54" s="2024"/>
      <c r="C54" s="2025"/>
      <c r="D54" s="2034"/>
      <c r="E54" s="2035"/>
      <c r="F54" s="1525"/>
      <c r="G54" s="1525"/>
      <c r="H54" s="1783"/>
      <c r="I54" s="1534" t="s">
        <v>920</v>
      </c>
      <c r="J54" s="1784"/>
      <c r="K54" s="1526" t="str">
        <f>IFERROR(IF(H54="","",VLOOKUP(H54,'Conversion factors'!$D$37:$G$42,4,FALSE)),"")</f>
        <v/>
      </c>
      <c r="L54" s="1527"/>
      <c r="M54" s="1528" t="str">
        <f t="shared" si="19"/>
        <v/>
      </c>
      <c r="N54" s="1529"/>
      <c r="O54" s="1528" t="str">
        <f>IF(N54="","",IF($F54="",N54,IF($F54="CO2e",N54*K54,IF($F54="GHG",N54*HLOOKUP($G54,GWP!$F$11:$I$31,4,FALSE)*K54,""))))</f>
        <v/>
      </c>
      <c r="P54" s="1529"/>
      <c r="Q54" s="1528" t="str">
        <f>IF(P54="","",IF($F54="",P54,IF($F54="CO2e",P54*K54,IF($F54="GHG",P54*HLOOKUP($G54,GWP!$F$11:$I$31,5,FALSE)*K54,""))))</f>
        <v/>
      </c>
      <c r="R54" s="1529"/>
      <c r="S54" s="1526" t="str">
        <f t="shared" si="20"/>
        <v/>
      </c>
      <c r="T54" s="1529"/>
      <c r="U54" s="1526" t="str">
        <f t="shared" si="21"/>
        <v/>
      </c>
      <c r="V54" s="1530"/>
      <c r="W54" s="1502"/>
      <c r="X54" s="1530"/>
      <c r="Y54" s="1531"/>
      <c r="Z54" s="1785"/>
      <c r="AA54" s="1785"/>
    </row>
    <row r="55" spans="2:27" ht="15" customHeight="1">
      <c r="B55" s="2034"/>
      <c r="C55" s="2035"/>
      <c r="D55" s="2034"/>
      <c r="E55" s="2035"/>
      <c r="F55" s="1525"/>
      <c r="G55" s="1525"/>
      <c r="H55" s="1783"/>
      <c r="I55" s="1534" t="s">
        <v>920</v>
      </c>
      <c r="J55" s="1784"/>
      <c r="K55" s="1526" t="str">
        <f>IFERROR(IF(H55="","",VLOOKUP(H55,'Conversion factors'!$D$37:$G$42,4,FALSE)),"")</f>
        <v/>
      </c>
      <c r="L55" s="1527"/>
      <c r="M55" s="1528" t="str">
        <f t="shared" si="19"/>
        <v/>
      </c>
      <c r="N55" s="1529"/>
      <c r="O55" s="1528" t="str">
        <f>IF(N55="","",IF($F55="",N55,IF($F55="CO2e",N55*K55,IF($F55="GHG",N55*HLOOKUP($G55,GWP!$F$11:$I$31,4,FALSE)*K55,""))))</f>
        <v/>
      </c>
      <c r="P55" s="1529"/>
      <c r="Q55" s="1528" t="str">
        <f>IF(P55="","",IF($F55="",P55,IF($F55="CO2e",P55*K55,IF($F55="GHG",P55*HLOOKUP($G55,GWP!$F$11:$I$31,5,FALSE)*K55,""))))</f>
        <v/>
      </c>
      <c r="R55" s="1529"/>
      <c r="S55" s="1526" t="str">
        <f t="shared" si="20"/>
        <v/>
      </c>
      <c r="T55" s="1529"/>
      <c r="U55" s="1526" t="str">
        <f t="shared" si="21"/>
        <v/>
      </c>
      <c r="V55" s="1530"/>
      <c r="W55" s="1502"/>
      <c r="X55" s="1530"/>
      <c r="Y55" s="1531"/>
      <c r="Z55" s="1785"/>
      <c r="AA55" s="1785"/>
    </row>
    <row r="56" spans="2:27" ht="15" customHeight="1">
      <c r="B56" s="2034"/>
      <c r="C56" s="2035"/>
      <c r="D56" s="2034"/>
      <c r="E56" s="2035"/>
      <c r="F56" s="1525"/>
      <c r="G56" s="1525"/>
      <c r="H56" s="1783"/>
      <c r="I56" s="1534" t="s">
        <v>920</v>
      </c>
      <c r="J56" s="1784"/>
      <c r="K56" s="1526" t="str">
        <f>IFERROR(IF(H56="","",VLOOKUP(H56,'Conversion factors'!$D$37:$G$42,4,FALSE)),"")</f>
        <v/>
      </c>
      <c r="L56" s="1527"/>
      <c r="M56" s="1528" t="str">
        <f t="shared" si="19"/>
        <v/>
      </c>
      <c r="N56" s="1529"/>
      <c r="O56" s="1528" t="str">
        <f>IF(N56="","",IF($F56="",N56,IF($F56="CO2e",N56*K56,IF($F56="GHG",N56*HLOOKUP($G56,GWP!$F$11:$I$31,4,FALSE)*K56,""))))</f>
        <v/>
      </c>
      <c r="P56" s="1529"/>
      <c r="Q56" s="1528" t="str">
        <f>IF(P56="","",IF($F56="",P56,IF($F56="CO2e",P56*K56,IF($F56="GHG",P56*HLOOKUP($G56,GWP!$F$11:$I$31,5,FALSE)*K56,""))))</f>
        <v/>
      </c>
      <c r="R56" s="1529"/>
      <c r="S56" s="1526" t="str">
        <f t="shared" si="20"/>
        <v/>
      </c>
      <c r="T56" s="1529"/>
      <c r="U56" s="1526" t="str">
        <f t="shared" si="21"/>
        <v/>
      </c>
      <c r="V56" s="1530"/>
      <c r="W56" s="1502"/>
      <c r="X56" s="1530"/>
      <c r="Y56" s="1531"/>
      <c r="Z56" s="1785"/>
      <c r="AA56" s="1785"/>
    </row>
  </sheetData>
  <autoFilter ref="B13:J14">
    <filterColumn colId="0" showButton="0"/>
    <filterColumn colId="2" showButton="0"/>
    <filterColumn colId="6" showButton="0"/>
    <filterColumn colId="7" showButton="0"/>
  </autoFilter>
  <mergeCells count="111">
    <mergeCell ref="N2:O2"/>
    <mergeCell ref="D3:E3"/>
    <mergeCell ref="F3:G3"/>
    <mergeCell ref="L3:M3"/>
    <mergeCell ref="N3:O3"/>
    <mergeCell ref="L2:M2"/>
    <mergeCell ref="Y13:Y14"/>
    <mergeCell ref="Z13:Z14"/>
    <mergeCell ref="K13:K14"/>
    <mergeCell ref="L13:U13"/>
    <mergeCell ref="V13:V14"/>
    <mergeCell ref="W13:W14"/>
    <mergeCell ref="X13:X14"/>
    <mergeCell ref="D13:E14"/>
    <mergeCell ref="F13:F14"/>
    <mergeCell ref="G13:G14"/>
    <mergeCell ref="H13:J14"/>
    <mergeCell ref="B17:C17"/>
    <mergeCell ref="B18:C18"/>
    <mergeCell ref="B19:C19"/>
    <mergeCell ref="B20:C20"/>
    <mergeCell ref="B2:B3"/>
    <mergeCell ref="C2:C3"/>
    <mergeCell ref="D2:E2"/>
    <mergeCell ref="F2:G2"/>
    <mergeCell ref="B25:C25"/>
    <mergeCell ref="D25:E25"/>
    <mergeCell ref="B13:C14"/>
    <mergeCell ref="D15:E15"/>
    <mergeCell ref="D16:E16"/>
    <mergeCell ref="B26:C26"/>
    <mergeCell ref="D26:E26"/>
    <mergeCell ref="B27:C27"/>
    <mergeCell ref="D27:E27"/>
    <mergeCell ref="B28:C28"/>
    <mergeCell ref="D28:E28"/>
    <mergeCell ref="P2:Q2"/>
    <mergeCell ref="P3:Q3"/>
    <mergeCell ref="B22:C22"/>
    <mergeCell ref="D22:E22"/>
    <mergeCell ref="B23:C23"/>
    <mergeCell ref="D23:E23"/>
    <mergeCell ref="B21:C21"/>
    <mergeCell ref="D21:E21"/>
    <mergeCell ref="H2:K2"/>
    <mergeCell ref="H3:K3"/>
    <mergeCell ref="B24:C24"/>
    <mergeCell ref="D24:E24"/>
    <mergeCell ref="D17:E17"/>
    <mergeCell ref="D18:E18"/>
    <mergeCell ref="D19:E19"/>
    <mergeCell ref="D20:E20"/>
    <mergeCell ref="B15:C15"/>
    <mergeCell ref="B16:C16"/>
    <mergeCell ref="B32:C32"/>
    <mergeCell ref="D32:E32"/>
    <mergeCell ref="B33:C33"/>
    <mergeCell ref="D33:E33"/>
    <mergeCell ref="B34:C34"/>
    <mergeCell ref="D34:E34"/>
    <mergeCell ref="B29:C29"/>
    <mergeCell ref="D29:E29"/>
    <mergeCell ref="B30:C30"/>
    <mergeCell ref="D30:E30"/>
    <mergeCell ref="B31:C31"/>
    <mergeCell ref="D31:E31"/>
    <mergeCell ref="B38:C38"/>
    <mergeCell ref="D38:E38"/>
    <mergeCell ref="B39:C39"/>
    <mergeCell ref="D39:E39"/>
    <mergeCell ref="B40:C40"/>
    <mergeCell ref="D40:E40"/>
    <mergeCell ref="B35:C35"/>
    <mergeCell ref="D35:E35"/>
    <mergeCell ref="B36:C36"/>
    <mergeCell ref="D36:E36"/>
    <mergeCell ref="B37:C37"/>
    <mergeCell ref="D37:E37"/>
    <mergeCell ref="D45:E45"/>
    <mergeCell ref="B46:C46"/>
    <mergeCell ref="D46:E46"/>
    <mergeCell ref="B41:C41"/>
    <mergeCell ref="D41:E41"/>
    <mergeCell ref="B42:C42"/>
    <mergeCell ref="D42:E42"/>
    <mergeCell ref="B43:C43"/>
    <mergeCell ref="D43:E43"/>
    <mergeCell ref="B56:C56"/>
    <mergeCell ref="D56:E56"/>
    <mergeCell ref="AA13:AA14"/>
    <mergeCell ref="B53:C53"/>
    <mergeCell ref="D53:E53"/>
    <mergeCell ref="B54:C54"/>
    <mergeCell ref="D54:E54"/>
    <mergeCell ref="B55:C55"/>
    <mergeCell ref="D55:E55"/>
    <mergeCell ref="B50:C50"/>
    <mergeCell ref="D50:E50"/>
    <mergeCell ref="B51:C51"/>
    <mergeCell ref="D51:E51"/>
    <mergeCell ref="B52:C52"/>
    <mergeCell ref="D52:E52"/>
    <mergeCell ref="B47:C47"/>
    <mergeCell ref="D47:E47"/>
    <mergeCell ref="B48:C48"/>
    <mergeCell ref="D48:E48"/>
    <mergeCell ref="B49:C49"/>
    <mergeCell ref="D49:E49"/>
    <mergeCell ref="B44:C44"/>
    <mergeCell ref="D44:E44"/>
    <mergeCell ref="B45:C45"/>
  </mergeCells>
  <conditionalFormatting sqref="K15">
    <cfRule type="notContainsBlanks" dxfId="611" priority="42">
      <formula>LEN(TRIM(K15))&gt;0</formula>
    </cfRule>
  </conditionalFormatting>
  <conditionalFormatting sqref="K16">
    <cfRule type="notContainsBlanks" dxfId="610" priority="41">
      <formula>LEN(TRIM(K16))&gt;0</formula>
    </cfRule>
  </conditionalFormatting>
  <conditionalFormatting sqref="K17">
    <cfRule type="notContainsBlanks" dxfId="609" priority="40">
      <formula>LEN(TRIM(K17))&gt;0</formula>
    </cfRule>
  </conditionalFormatting>
  <conditionalFormatting sqref="K18">
    <cfRule type="notContainsBlanks" dxfId="608" priority="39">
      <formula>LEN(TRIM(K18))&gt;0</formula>
    </cfRule>
  </conditionalFormatting>
  <conditionalFormatting sqref="K19">
    <cfRule type="notContainsBlanks" dxfId="607" priority="38">
      <formula>LEN(TRIM(K19))&gt;0</formula>
    </cfRule>
  </conditionalFormatting>
  <conditionalFormatting sqref="K20">
    <cfRule type="notContainsBlanks" dxfId="606" priority="37">
      <formula>LEN(TRIM(K20))&gt;0</formula>
    </cfRule>
  </conditionalFormatting>
  <conditionalFormatting sqref="K21">
    <cfRule type="notContainsBlanks" dxfId="605" priority="36">
      <formula>LEN(TRIM(K21))&gt;0</formula>
    </cfRule>
  </conditionalFormatting>
  <conditionalFormatting sqref="K22">
    <cfRule type="notContainsBlanks" dxfId="604" priority="35">
      <formula>LEN(TRIM(K22))&gt;0</formula>
    </cfRule>
  </conditionalFormatting>
  <conditionalFormatting sqref="K23">
    <cfRule type="notContainsBlanks" dxfId="603" priority="34">
      <formula>LEN(TRIM(K23))&gt;0</formula>
    </cfRule>
  </conditionalFormatting>
  <conditionalFormatting sqref="K24">
    <cfRule type="notContainsBlanks" dxfId="602" priority="33">
      <formula>LEN(TRIM(K24))&gt;0</formula>
    </cfRule>
  </conditionalFormatting>
  <conditionalFormatting sqref="K25">
    <cfRule type="notContainsBlanks" dxfId="601" priority="32">
      <formula>LEN(TRIM(K25))&gt;0</formula>
    </cfRule>
  </conditionalFormatting>
  <conditionalFormatting sqref="K26">
    <cfRule type="notContainsBlanks" dxfId="600" priority="31">
      <formula>LEN(TRIM(K26))&gt;0</formula>
    </cfRule>
  </conditionalFormatting>
  <conditionalFormatting sqref="K27">
    <cfRule type="notContainsBlanks" dxfId="599" priority="30">
      <formula>LEN(TRIM(K27))&gt;0</formula>
    </cfRule>
  </conditionalFormatting>
  <conditionalFormatting sqref="K28">
    <cfRule type="notContainsBlanks" dxfId="598" priority="29">
      <formula>LEN(TRIM(K28))&gt;0</formula>
    </cfRule>
  </conditionalFormatting>
  <conditionalFormatting sqref="K29">
    <cfRule type="notContainsBlanks" dxfId="597" priority="28">
      <formula>LEN(TRIM(K29))&gt;0</formula>
    </cfRule>
  </conditionalFormatting>
  <conditionalFormatting sqref="K30">
    <cfRule type="notContainsBlanks" dxfId="596" priority="27">
      <formula>LEN(TRIM(K30))&gt;0</formula>
    </cfRule>
  </conditionalFormatting>
  <conditionalFormatting sqref="K31">
    <cfRule type="notContainsBlanks" dxfId="595" priority="26">
      <formula>LEN(TRIM(K31))&gt;0</formula>
    </cfRule>
  </conditionalFormatting>
  <conditionalFormatting sqref="K32">
    <cfRule type="notContainsBlanks" dxfId="594" priority="25">
      <formula>LEN(TRIM(K32))&gt;0</formula>
    </cfRule>
  </conditionalFormatting>
  <conditionalFormatting sqref="K33">
    <cfRule type="notContainsBlanks" dxfId="593" priority="24">
      <formula>LEN(TRIM(K33))&gt;0</formula>
    </cfRule>
  </conditionalFormatting>
  <conditionalFormatting sqref="K34">
    <cfRule type="notContainsBlanks" dxfId="592" priority="23">
      <formula>LEN(TRIM(K34))&gt;0</formula>
    </cfRule>
  </conditionalFormatting>
  <conditionalFormatting sqref="K35">
    <cfRule type="notContainsBlanks" dxfId="591" priority="22">
      <formula>LEN(TRIM(K35))&gt;0</formula>
    </cfRule>
  </conditionalFormatting>
  <conditionalFormatting sqref="K36">
    <cfRule type="notContainsBlanks" dxfId="590" priority="21">
      <formula>LEN(TRIM(K36))&gt;0</formula>
    </cfRule>
  </conditionalFormatting>
  <conditionalFormatting sqref="K37">
    <cfRule type="notContainsBlanks" dxfId="589" priority="20">
      <formula>LEN(TRIM(K37))&gt;0</formula>
    </cfRule>
  </conditionalFormatting>
  <conditionalFormatting sqref="K38">
    <cfRule type="notContainsBlanks" dxfId="588" priority="19">
      <formula>LEN(TRIM(K38))&gt;0</formula>
    </cfRule>
  </conditionalFormatting>
  <conditionalFormatting sqref="K39">
    <cfRule type="notContainsBlanks" dxfId="587" priority="18">
      <formula>LEN(TRIM(K39))&gt;0</formula>
    </cfRule>
  </conditionalFormatting>
  <conditionalFormatting sqref="K40">
    <cfRule type="notContainsBlanks" dxfId="586" priority="17">
      <formula>LEN(TRIM(K40))&gt;0</formula>
    </cfRule>
  </conditionalFormatting>
  <conditionalFormatting sqref="K41">
    <cfRule type="notContainsBlanks" dxfId="585" priority="16">
      <formula>LEN(TRIM(K41))&gt;0</formula>
    </cfRule>
  </conditionalFormatting>
  <conditionalFormatting sqref="K42">
    <cfRule type="notContainsBlanks" dxfId="584" priority="15">
      <formula>LEN(TRIM(K42))&gt;0</formula>
    </cfRule>
  </conditionalFormatting>
  <conditionalFormatting sqref="K43">
    <cfRule type="notContainsBlanks" dxfId="583" priority="14">
      <formula>LEN(TRIM(K43))&gt;0</formula>
    </cfRule>
  </conditionalFormatting>
  <conditionalFormatting sqref="K44">
    <cfRule type="notContainsBlanks" dxfId="582" priority="13">
      <formula>LEN(TRIM(K44))&gt;0</formula>
    </cfRule>
  </conditionalFormatting>
  <conditionalFormatting sqref="K45">
    <cfRule type="notContainsBlanks" dxfId="581" priority="12">
      <formula>LEN(TRIM(K45))&gt;0</formula>
    </cfRule>
  </conditionalFormatting>
  <conditionalFormatting sqref="K46">
    <cfRule type="notContainsBlanks" dxfId="580" priority="11">
      <formula>LEN(TRIM(K46))&gt;0</formula>
    </cfRule>
  </conditionalFormatting>
  <conditionalFormatting sqref="K47">
    <cfRule type="notContainsBlanks" dxfId="579" priority="10">
      <formula>LEN(TRIM(K47))&gt;0</formula>
    </cfRule>
  </conditionalFormatting>
  <conditionalFormatting sqref="K48">
    <cfRule type="notContainsBlanks" dxfId="578" priority="9">
      <formula>LEN(TRIM(K48))&gt;0</formula>
    </cfRule>
  </conditionalFormatting>
  <conditionalFormatting sqref="K49">
    <cfRule type="notContainsBlanks" dxfId="577" priority="8">
      <formula>LEN(TRIM(K49))&gt;0</formula>
    </cfRule>
  </conditionalFormatting>
  <conditionalFormatting sqref="K50">
    <cfRule type="notContainsBlanks" dxfId="576" priority="7">
      <formula>LEN(TRIM(K50))&gt;0</formula>
    </cfRule>
  </conditionalFormatting>
  <conditionalFormatting sqref="K51">
    <cfRule type="notContainsBlanks" dxfId="575" priority="6">
      <formula>LEN(TRIM(K51))&gt;0</formula>
    </cfRule>
  </conditionalFormatting>
  <conditionalFormatting sqref="K52">
    <cfRule type="notContainsBlanks" dxfId="574" priority="5">
      <formula>LEN(TRIM(K52))&gt;0</formula>
    </cfRule>
  </conditionalFormatting>
  <conditionalFormatting sqref="K53">
    <cfRule type="notContainsBlanks" dxfId="573" priority="4">
      <formula>LEN(TRIM(K53))&gt;0</formula>
    </cfRule>
  </conditionalFormatting>
  <conditionalFormatting sqref="K54">
    <cfRule type="notContainsBlanks" dxfId="572" priority="3">
      <formula>LEN(TRIM(K54))&gt;0</formula>
    </cfRule>
  </conditionalFormatting>
  <conditionalFormatting sqref="K55">
    <cfRule type="notContainsBlanks" dxfId="571" priority="2">
      <formula>LEN(TRIM(K55))&gt;0</formula>
    </cfRule>
  </conditionalFormatting>
  <conditionalFormatting sqref="K56">
    <cfRule type="notContainsBlanks" dxfId="570" priority="1">
      <formula>LEN(TRIM(K56))&gt;0</formula>
    </cfRule>
  </conditionalFormatting>
  <dataValidations count="5">
    <dataValidation type="list" allowBlank="1" showInputMessage="1" showErrorMessage="1" sqref="V15:V56">
      <formula1>DQ</formula1>
    </dataValidation>
    <dataValidation type="list" allowBlank="1" showInputMessage="1" showErrorMessage="1" sqref="H15:H56">
      <formula1>EF_Mass_units</formula1>
    </dataValidation>
    <dataValidation type="list" allowBlank="1" showInputMessage="1" showErrorMessage="1" sqref="F15:F56">
      <formula1>EF_Type</formula1>
    </dataValidation>
    <dataValidation type="list" allowBlank="1" showInputMessage="1" showErrorMessage="1" sqref="G15:G56">
      <formula1>GWP_2</formula1>
    </dataValidation>
    <dataValidation type="list" allowBlank="1" showInputMessage="1" showErrorMessage="1" sqref="X15:X56">
      <formula1>Scale</formula1>
    </dataValidation>
  </dataValidations>
  <hyperlinks>
    <hyperlink ref="F3" location="'Data sources'!A1" display="Data sources"/>
    <hyperlink ref="G3" location="'Data sources'!A1" display="'Data sources'!A1"/>
    <hyperlink ref="D2" location="Home!A1" display="Introduction"/>
    <hyperlink ref="E2" location="Home!A1" display="Home!A1"/>
    <hyperlink ref="H2" location="Inventory!A1" display="Inventory"/>
    <hyperlink ref="L2" location="Calculators!A1" display="Calculators"/>
    <hyperlink ref="M2" location="Calculators!A1" display="Calculators!A1"/>
    <hyperlink ref="P2" location="Analysis!A1" display="Analysis"/>
    <hyperlink ref="N2" location="Results!A1" display="Results"/>
    <hyperlink ref="H3" location="'Emission factors'!A1" display="Emission factors"/>
    <hyperlink ref="L3" location="'F-Gases'!A1" display="Emission factors_x000d_HFCs, PFCs, SF6 and NF3"/>
    <hyperlink ref="M3" location="'F-Gases'!A1" display="'F-Gases'!A1"/>
    <hyperlink ref="N3" location="Database!A1" display="Emission factors_x000d_IPCC database"/>
    <hyperlink ref="P3" location="Blank!A1" display="Blank"/>
  </hyperlinks>
  <printOptions verticalCentered="1"/>
  <pageMargins left="0.15748031496062992" right="0.15748031496062992" top="0.15748031496062992" bottom="0.15748031496062992" header="0.15748031496062992" footer="0.15748031496062992"/>
  <pageSetup paperSize="9" scale="79" orientation="landscape" horizontalDpi="4294967292" verticalDpi="4294967292"/>
  <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Lists!$BW$3:$BW$35</xm:f>
          </x14:formula1>
          <xm:sqref>W21:W56</xm:sqref>
        </x14:dataValidation>
        <x14:dataValidation type="list" allowBlank="1">
          <x14:formula1>
            <xm:f>Lists!$BW$3:$BW$35</xm:f>
          </x14:formula1>
          <xm:sqref>W15:W20</xm:sqref>
        </x14:dataValidation>
      </x14:dataValidations>
    </ext>
    <ext xmlns:mx="http://schemas.microsoft.com/office/mac/excel/2008/main" uri="{64002731-A6B0-56B0-2670-7721B7C09600}">
      <mx:PLV Mode="0" OnePage="0" WScale="3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theme="4" tint="0.39997558519241921"/>
    <outlinePr summaryBelow="0"/>
    <pageSetUpPr autoPageBreaks="0" fitToPage="1"/>
  </sheetPr>
  <dimension ref="A1:AI21"/>
  <sheetViews>
    <sheetView showGridLines="0" showRowColHeaders="0" workbookViewId="0">
      <selection activeCell="H2" sqref="H2:I2"/>
    </sheetView>
  </sheetViews>
  <sheetFormatPr baseColWidth="10" defaultColWidth="0" defaultRowHeight="15" customHeight="1" x14ac:dyDescent="0"/>
  <cols>
    <col min="1" max="1" width="4.83203125" customWidth="1"/>
    <col min="2" max="6" width="12.83203125" customWidth="1"/>
    <col min="7" max="15" width="12.83203125" style="15" customWidth="1"/>
    <col min="16" max="16" width="4.83203125" style="15" customWidth="1"/>
    <col min="17" max="35" width="10.83203125" style="15" hidden="1" customWidth="1"/>
    <col min="36" max="16384" width="10.83203125" hidden="1"/>
  </cols>
  <sheetData>
    <row r="1" spans="1:16" s="498" customFormat="1"/>
    <row r="2" spans="1:16" s="464" customFormat="1" ht="31" customHeight="1">
      <c r="A2" s="494"/>
      <c r="B2" s="1817" t="s">
        <v>1965</v>
      </c>
      <c r="C2" s="1819">
        <v>400</v>
      </c>
      <c r="D2" s="1849" t="s">
        <v>1555</v>
      </c>
      <c r="E2" s="1850"/>
      <c r="F2" s="1847" t="s">
        <v>1563</v>
      </c>
      <c r="G2" s="1848"/>
      <c r="H2" s="1849" t="s">
        <v>794</v>
      </c>
      <c r="I2" s="1850"/>
      <c r="J2" s="1849" t="s">
        <v>1570</v>
      </c>
      <c r="K2" s="1850"/>
      <c r="L2" s="1849" t="s">
        <v>1564</v>
      </c>
      <c r="M2" s="1850"/>
      <c r="N2" s="1849" t="s">
        <v>1602</v>
      </c>
      <c r="O2" s="1850"/>
      <c r="P2" s="494"/>
    </row>
    <row r="3" spans="1:16" s="464" customFormat="1" ht="31" customHeight="1">
      <c r="A3" s="494"/>
      <c r="B3" s="1818"/>
      <c r="C3" s="1820"/>
      <c r="D3" s="1843" t="s">
        <v>1007</v>
      </c>
      <c r="E3" s="1844"/>
      <c r="F3" s="1843" t="s">
        <v>1566</v>
      </c>
      <c r="G3" s="1844"/>
      <c r="H3" s="1968" t="s">
        <v>2500</v>
      </c>
      <c r="I3" s="1969"/>
      <c r="J3" s="1968" t="s">
        <v>2511</v>
      </c>
      <c r="K3" s="1844"/>
      <c r="L3" s="1968" t="s">
        <v>2512</v>
      </c>
      <c r="M3" s="1844"/>
      <c r="N3" s="2047" t="s">
        <v>2436</v>
      </c>
      <c r="O3" s="2033"/>
      <c r="P3" s="494"/>
    </row>
    <row r="4" spans="1:16" s="494" customFormat="1" ht="15" customHeight="1">
      <c r="B4" s="492"/>
      <c r="C4" s="495"/>
      <c r="D4" s="497"/>
      <c r="E4" s="497"/>
      <c r="F4" s="497"/>
      <c r="G4" s="497"/>
      <c r="H4" s="497"/>
      <c r="I4" s="497"/>
      <c r="J4" s="497"/>
      <c r="K4" s="497"/>
      <c r="L4" s="496"/>
      <c r="M4" s="496"/>
      <c r="N4" s="496"/>
      <c r="O4" s="496"/>
    </row>
    <row r="5" spans="1:16" s="15" customFormat="1" ht="31" customHeight="1"/>
    <row r="6" spans="1:16" s="15" customFormat="1" ht="31" customHeight="1" collapsed="1" thickBot="1">
      <c r="B6" s="491" t="s">
        <v>2502</v>
      </c>
      <c r="C6" s="466"/>
      <c r="D6" s="466"/>
      <c r="E6" s="466"/>
      <c r="F6" s="466"/>
      <c r="G6" s="466"/>
      <c r="H6" s="466"/>
      <c r="I6" s="467"/>
      <c r="J6" s="467"/>
      <c r="K6" s="467"/>
      <c r="L6" s="468"/>
      <c r="M6" s="468"/>
      <c r="N6" s="468"/>
      <c r="O6" s="468"/>
    </row>
    <row r="7" spans="1:16" s="15" customFormat="1" ht="15" customHeight="1" thickTop="1"/>
    <row r="8" spans="1:16" s="15" customFormat="1" ht="15" customHeight="1">
      <c r="B8" s="1327" t="s">
        <v>2503</v>
      </c>
      <c r="C8" s="1327"/>
      <c r="D8" s="31"/>
      <c r="E8" s="31"/>
    </row>
    <row r="9" spans="1:16" s="15" customFormat="1" ht="15" customHeight="1">
      <c r="A9"/>
      <c r="B9"/>
      <c r="C9" s="1328"/>
      <c r="D9"/>
      <c r="E9"/>
      <c r="F9"/>
    </row>
    <row r="10" spans="1:16" s="15" customFormat="1" ht="15" customHeight="1">
      <c r="A10"/>
      <c r="B10"/>
      <c r="C10" s="1327"/>
      <c r="D10"/>
      <c r="E10"/>
      <c r="F10"/>
    </row>
    <row r="11" spans="1:16" s="15" customFormat="1" ht="15" customHeight="1">
      <c r="A11"/>
      <c r="B11"/>
      <c r="C11"/>
      <c r="D11"/>
      <c r="E11"/>
      <c r="F11"/>
    </row>
    <row r="12" spans="1:16" s="15" customFormat="1" ht="15" customHeight="1">
      <c r="A12"/>
      <c r="B12"/>
      <c r="C12"/>
      <c r="D12"/>
      <c r="E12"/>
      <c r="F12"/>
    </row>
    <row r="13" spans="1:16" s="15" customFormat="1" ht="15" customHeight="1">
      <c r="A13"/>
      <c r="B13"/>
      <c r="C13"/>
      <c r="D13"/>
      <c r="E13"/>
      <c r="F13"/>
    </row>
    <row r="14" spans="1:16" s="15" customFormat="1" ht="15" customHeight="1">
      <c r="A14"/>
      <c r="B14"/>
      <c r="C14"/>
      <c r="D14"/>
      <c r="E14"/>
      <c r="F14"/>
    </row>
    <row r="15" spans="1:16" s="15" customFormat="1" ht="15" customHeight="1">
      <c r="A15"/>
      <c r="B15"/>
      <c r="C15"/>
      <c r="D15"/>
      <c r="E15"/>
      <c r="F15"/>
    </row>
    <row r="16" spans="1:16" s="15" customFormat="1" ht="15" customHeight="1">
      <c r="A16"/>
      <c r="B16"/>
      <c r="C16"/>
      <c r="D16"/>
      <c r="E16"/>
      <c r="F16"/>
    </row>
    <row r="17" spans="1:6" s="15" customFormat="1" ht="15" customHeight="1">
      <c r="A17"/>
      <c r="B17"/>
      <c r="C17"/>
      <c r="D17"/>
      <c r="E17"/>
      <c r="F17"/>
    </row>
    <row r="18" spans="1:6" s="15" customFormat="1">
      <c r="A18"/>
      <c r="B18"/>
      <c r="C18"/>
      <c r="D18"/>
      <c r="E18"/>
      <c r="F18"/>
    </row>
    <row r="19" spans="1:6" s="15" customFormat="1">
      <c r="A19"/>
      <c r="B19"/>
      <c r="C19"/>
      <c r="D19"/>
      <c r="E19"/>
      <c r="F19"/>
    </row>
    <row r="20" spans="1:6" s="15" customFormat="1">
      <c r="A20"/>
      <c r="B20"/>
      <c r="C20"/>
      <c r="D20"/>
      <c r="E20"/>
      <c r="F20"/>
    </row>
    <row r="21" spans="1:6" s="15" customFormat="1">
      <c r="A21"/>
      <c r="B21"/>
      <c r="C21"/>
      <c r="D21"/>
      <c r="E21"/>
      <c r="F21"/>
    </row>
  </sheetData>
  <mergeCells count="14">
    <mergeCell ref="L2:M2"/>
    <mergeCell ref="N2:O2"/>
    <mergeCell ref="D3:E3"/>
    <mergeCell ref="F3:G3"/>
    <mergeCell ref="H3:I3"/>
    <mergeCell ref="J3:K3"/>
    <mergeCell ref="L3:M3"/>
    <mergeCell ref="N3:O3"/>
    <mergeCell ref="J2:K2"/>
    <mergeCell ref="B2:B3"/>
    <mergeCell ref="C2:C3"/>
    <mergeCell ref="D2:E2"/>
    <mergeCell ref="F2:G2"/>
    <mergeCell ref="H2:I2"/>
  </mergeCells>
  <hyperlinks>
    <hyperlink ref="F3" location="'Data sources'!A1" display="Data sources"/>
    <hyperlink ref="G3" location="'Data sources'!A1" display="'Data sources'!A1"/>
    <hyperlink ref="D2" location="Home!A1" display="Introduction"/>
    <hyperlink ref="E2" location="Home!A1" display="Home!A1"/>
    <hyperlink ref="H2" location="Inventory!A1" display="Inventory"/>
    <hyperlink ref="I2" location="Inventory!A1" display="Inventory!A1"/>
    <hyperlink ref="J2" location="Calculators!A1" display="Calculators"/>
    <hyperlink ref="K2" location="Calculators!A1" display="Calculators!A1"/>
    <hyperlink ref="N2" location="Analysis!A1" display="Analysis"/>
    <hyperlink ref="O2" location="Analysis!A1" display="Analysis!A1"/>
    <hyperlink ref="L2" location="Results!A1" display="Results"/>
    <hyperlink ref="M2" location="Results!A1" display="Results!A1"/>
    <hyperlink ref="H3" location="'Emission factors'!A1" display="Emission factors"/>
    <hyperlink ref="J3" location="'F-Gases'!A1" display="Emission factors_x000d_HFCs, PFCs, SF6 and NF3"/>
    <hyperlink ref="K3" location="'F-Gases'!A1" display="'F-Gases'!A1"/>
    <hyperlink ref="L3" location="Database!A1" display="Emission factors_x000d_IPCC database"/>
    <hyperlink ref="M3" location="Database!A1" display="Database!A1"/>
  </hyperlinks>
  <printOptions verticalCentered="1"/>
  <pageMargins left="0.15748031496062992" right="0.15748031496062992" top="0.15748031496062992" bottom="0.15748031496062992" header="0.15748031496062992" footer="0.15748031496062992"/>
  <pageSetup paperSize="9" scale="79" orientation="landscape" horizontalDpi="4294967292" verticalDpi="4294967292"/>
  <drawing r:id="rId1"/>
  <extLst>
    <ext xmlns:mx="http://schemas.microsoft.com/office/mac/excel/2008/main" uri="{64002731-A6B0-56B0-2670-7721B7C09600}">
      <mx:PLV Mode="0" OnePage="0" WScale="3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enableFormatConditionsCalculation="0">
    <tabColor theme="4"/>
    <outlinePr summaryBelow="0"/>
    <pageSetUpPr fitToPage="1"/>
  </sheetPr>
  <dimension ref="A1:AS377"/>
  <sheetViews>
    <sheetView showRowColHeaders="0" workbookViewId="0">
      <selection activeCell="D3" sqref="D3:E3"/>
    </sheetView>
  </sheetViews>
  <sheetFormatPr baseColWidth="10" defaultColWidth="0" defaultRowHeight="15" customHeight="1" zeroHeight="1" x14ac:dyDescent="0"/>
  <cols>
    <col min="1" max="1" width="4.83203125" style="31" customWidth="1"/>
    <col min="2" max="2" width="12.83203125" style="3" customWidth="1"/>
    <col min="3" max="8" width="12.83203125" style="4" customWidth="1"/>
    <col min="9" max="11" width="12.83203125" style="2" customWidth="1"/>
    <col min="12" max="15" width="12.83203125" style="31" customWidth="1"/>
    <col min="16" max="16" width="4.83203125" customWidth="1"/>
    <col min="17" max="20" width="10.83203125" style="31" hidden="1" customWidth="1"/>
    <col min="21" max="25" width="10.83203125" style="26" hidden="1" customWidth="1"/>
    <col min="26" max="45" width="10.83203125" style="31" hidden="1" customWidth="1"/>
    <col min="46" max="16384" width="10.83203125" style="1" hidden="1"/>
  </cols>
  <sheetData>
    <row r="1" spans="1:25" s="498" customFormat="1">
      <c r="P1" s="499"/>
      <c r="Q1" s="499"/>
      <c r="R1" s="499"/>
      <c r="S1" s="500"/>
      <c r="T1" s="500"/>
      <c r="U1" s="500"/>
    </row>
    <row r="2" spans="1:25" s="464" customFormat="1" ht="31" customHeight="1">
      <c r="A2" s="494"/>
      <c r="B2" s="1817" t="s">
        <v>1965</v>
      </c>
      <c r="C2" s="1819">
        <v>400</v>
      </c>
      <c r="D2" s="1849" t="s">
        <v>1555</v>
      </c>
      <c r="E2" s="1850"/>
      <c r="F2" s="1849" t="s">
        <v>1563</v>
      </c>
      <c r="G2" s="1850"/>
      <c r="H2" s="1847" t="s">
        <v>794</v>
      </c>
      <c r="I2" s="1848"/>
      <c r="J2" s="1849" t="s">
        <v>1570</v>
      </c>
      <c r="K2" s="1850"/>
      <c r="L2" s="1849" t="s">
        <v>1564</v>
      </c>
      <c r="M2" s="1850"/>
      <c r="N2" s="1849" t="s">
        <v>1602</v>
      </c>
      <c r="O2" s="1850"/>
      <c r="P2" s="494"/>
    </row>
    <row r="3" spans="1:25" s="464" customFormat="1" ht="31" customHeight="1">
      <c r="A3" s="494"/>
      <c r="B3" s="1818"/>
      <c r="C3" s="1820"/>
      <c r="D3" s="1843" t="s">
        <v>270</v>
      </c>
      <c r="E3" s="1844"/>
      <c r="F3" s="1843" t="s">
        <v>760</v>
      </c>
      <c r="G3" s="1844"/>
      <c r="H3" s="1843" t="s">
        <v>761</v>
      </c>
      <c r="I3" s="1844"/>
      <c r="J3" s="1843" t="s">
        <v>208</v>
      </c>
      <c r="K3" s="1844"/>
      <c r="L3" s="1843" t="s">
        <v>209</v>
      </c>
      <c r="M3" s="1844"/>
      <c r="N3" s="1843" t="s">
        <v>3</v>
      </c>
      <c r="O3" s="1844"/>
      <c r="P3" s="494"/>
    </row>
    <row r="4" spans="1:25" s="494" customFormat="1" ht="15" customHeight="1">
      <c r="B4" s="492"/>
      <c r="C4" s="495"/>
      <c r="D4" s="497"/>
      <c r="E4" s="497"/>
      <c r="F4" s="497"/>
      <c r="G4" s="497"/>
      <c r="H4" s="497"/>
      <c r="I4" s="497"/>
      <c r="J4" s="496"/>
      <c r="K4" s="496"/>
      <c r="L4" s="496"/>
      <c r="M4" s="496"/>
      <c r="N4" s="496"/>
      <c r="O4" s="496"/>
    </row>
    <row r="5" spans="1:25" s="31" customFormat="1" ht="31" customHeight="1">
      <c r="B5" s="32"/>
      <c r="C5" s="33"/>
      <c r="D5" s="33"/>
      <c r="E5" s="33"/>
      <c r="F5" s="33"/>
      <c r="G5" s="33"/>
      <c r="H5" s="33"/>
      <c r="I5" s="34"/>
      <c r="J5" s="34"/>
      <c r="K5" s="34"/>
      <c r="U5" s="26"/>
      <c r="V5" s="26"/>
      <c r="W5" s="26"/>
      <c r="X5" s="26"/>
      <c r="Y5" s="26"/>
    </row>
    <row r="6" spans="1:25" s="29" customFormat="1" ht="31" customHeight="1" thickBot="1">
      <c r="A6" s="31"/>
      <c r="B6" s="491" t="s">
        <v>1592</v>
      </c>
      <c r="C6" s="466"/>
      <c r="D6" s="466"/>
      <c r="E6" s="466"/>
      <c r="F6" s="466"/>
      <c r="G6" s="466"/>
      <c r="H6" s="466"/>
      <c r="I6" s="467"/>
      <c r="J6" s="467"/>
      <c r="K6" s="467"/>
      <c r="L6" s="468"/>
      <c r="M6" s="468"/>
      <c r="N6" s="468"/>
      <c r="O6" s="468"/>
      <c r="U6" s="234"/>
      <c r="V6" s="234"/>
      <c r="W6" s="234"/>
      <c r="X6" s="234"/>
      <c r="Y6" s="234"/>
    </row>
    <row r="7" spans="1:25" s="29" customFormat="1" ht="15" customHeight="1" thickTop="1">
      <c r="B7" s="519"/>
      <c r="C7" s="729"/>
      <c r="D7" s="729"/>
      <c r="E7" s="729"/>
      <c r="F7" s="729"/>
      <c r="G7" s="729"/>
      <c r="H7" s="729"/>
      <c r="I7" s="730"/>
      <c r="J7" s="730"/>
      <c r="K7" s="730"/>
      <c r="L7" s="234"/>
      <c r="M7" s="234"/>
      <c r="N7" s="234"/>
      <c r="O7" s="234"/>
      <c r="U7" s="234"/>
      <c r="V7" s="234"/>
      <c r="W7" s="234"/>
      <c r="X7" s="234"/>
      <c r="Y7" s="234"/>
    </row>
    <row r="8" spans="1:25" s="29" customFormat="1" ht="18" customHeight="1">
      <c r="B8" s="1108" t="s">
        <v>2429</v>
      </c>
      <c r="C8" s="729"/>
      <c r="D8" s="729"/>
      <c r="E8" s="729"/>
      <c r="F8" s="729"/>
      <c r="G8" s="729"/>
      <c r="H8" s="729"/>
      <c r="I8" s="730"/>
      <c r="J8" s="730"/>
      <c r="K8" s="730"/>
      <c r="L8" s="234"/>
      <c r="M8" s="234"/>
      <c r="N8" s="234"/>
      <c r="O8" s="234"/>
      <c r="U8" s="234"/>
      <c r="V8" s="234"/>
      <c r="W8" s="234"/>
      <c r="X8" s="234"/>
      <c r="Y8" s="234"/>
    </row>
    <row r="9" spans="1:25" s="29" customFormat="1" ht="15" customHeight="1">
      <c r="B9" s="519"/>
      <c r="C9" s="729"/>
      <c r="D9" s="729"/>
      <c r="E9" s="729"/>
      <c r="F9" s="729"/>
      <c r="G9" s="729"/>
      <c r="H9" s="729"/>
      <c r="I9" s="730"/>
      <c r="J9" s="730"/>
      <c r="K9" s="730"/>
      <c r="L9" s="234"/>
      <c r="M9" s="234"/>
      <c r="N9" s="234"/>
      <c r="O9" s="234"/>
      <c r="U9" s="234"/>
      <c r="V9" s="234"/>
      <c r="W9" s="234"/>
      <c r="X9" s="234"/>
      <c r="Y9" s="234"/>
    </row>
    <row r="10" spans="1:25" s="29" customFormat="1" ht="18">
      <c r="B10" s="465" t="s">
        <v>1908</v>
      </c>
      <c r="C10" s="229"/>
      <c r="D10" s="229"/>
      <c r="E10" s="230"/>
      <c r="F10" s="229"/>
      <c r="G10" s="229"/>
      <c r="H10" s="465"/>
      <c r="I10" s="232"/>
      <c r="J10" s="232"/>
      <c r="K10" s="30"/>
      <c r="U10" s="234"/>
      <c r="V10" s="234"/>
      <c r="W10" s="234"/>
      <c r="X10" s="234"/>
      <c r="Y10" s="234"/>
    </row>
    <row r="11" spans="1:25" s="15" customFormat="1" ht="15" customHeight="1">
      <c r="B11" s="437"/>
      <c r="C11" s="408"/>
      <c r="D11" s="408"/>
      <c r="E11" s="408"/>
      <c r="F11" s="408"/>
      <c r="G11" s="408"/>
    </row>
    <row r="12" spans="1:25" s="15" customFormat="1" ht="31" customHeight="1">
      <c r="B12" s="888" t="s">
        <v>1649</v>
      </c>
      <c r="C12" s="1177" t="s">
        <v>2012</v>
      </c>
      <c r="D12" s="1178"/>
      <c r="E12" s="1178"/>
      <c r="F12" s="1178"/>
      <c r="G12" s="1178"/>
      <c r="H12" s="1179"/>
      <c r="I12" s="1179"/>
      <c r="J12" s="1179"/>
      <c r="K12" s="1179"/>
      <c r="L12" s="1179"/>
      <c r="M12" s="1179"/>
      <c r="N12" s="1179"/>
      <c r="O12" s="1180"/>
    </row>
    <row r="13" spans="1:25" s="15" customFormat="1" ht="31" customHeight="1">
      <c r="B13" s="1088" t="s">
        <v>1650</v>
      </c>
      <c r="C13" s="1349" t="s">
        <v>2430</v>
      </c>
      <c r="D13" s="1178"/>
      <c r="E13" s="1178"/>
      <c r="F13" s="1178"/>
      <c r="G13" s="1178"/>
      <c r="H13" s="1179"/>
      <c r="I13" s="1179"/>
      <c r="J13" s="1179"/>
      <c r="K13" s="1179"/>
      <c r="L13" s="1179"/>
      <c r="M13" s="1179"/>
      <c r="N13" s="1179"/>
      <c r="O13" s="1180"/>
    </row>
    <row r="14" spans="1:25" s="15" customFormat="1" ht="31" customHeight="1">
      <c r="B14" s="889" t="s">
        <v>1651</v>
      </c>
      <c r="C14" s="2048" t="s">
        <v>2011</v>
      </c>
      <c r="D14" s="2049"/>
      <c r="E14" s="2049"/>
      <c r="F14" s="2049"/>
      <c r="G14" s="2049"/>
      <c r="H14" s="2049"/>
      <c r="I14" s="2049"/>
      <c r="J14" s="2049"/>
      <c r="K14" s="2049"/>
      <c r="L14" s="2049"/>
      <c r="M14" s="2049"/>
      <c r="N14" s="2049"/>
      <c r="O14" s="2050"/>
    </row>
    <row r="15" spans="1:25" s="15" customFormat="1" ht="31" customHeight="1">
      <c r="B15" s="889" t="s">
        <v>1652</v>
      </c>
      <c r="C15" s="2048" t="s">
        <v>2015</v>
      </c>
      <c r="D15" s="2049"/>
      <c r="E15" s="2049"/>
      <c r="F15" s="2049"/>
      <c r="G15" s="2049"/>
      <c r="H15" s="2049"/>
      <c r="I15" s="2049"/>
      <c r="J15" s="2049"/>
      <c r="K15" s="2049"/>
      <c r="L15" s="2049"/>
      <c r="M15" s="2049"/>
      <c r="N15" s="2049"/>
      <c r="O15" s="2050"/>
    </row>
    <row r="16" spans="1:25" s="15" customFormat="1" ht="31" customHeight="1">
      <c r="B16" s="889" t="s">
        <v>1653</v>
      </c>
      <c r="C16" s="2048" t="s">
        <v>2013</v>
      </c>
      <c r="D16" s="2049"/>
      <c r="E16" s="2049"/>
      <c r="F16" s="2049"/>
      <c r="G16" s="2049"/>
      <c r="H16" s="2049"/>
      <c r="I16" s="2049"/>
      <c r="J16" s="2049"/>
      <c r="K16" s="2049"/>
      <c r="L16" s="2049"/>
      <c r="M16" s="2049"/>
      <c r="N16" s="2049"/>
      <c r="O16" s="2050"/>
    </row>
    <row r="17" spans="1:25" s="15" customFormat="1" ht="31" customHeight="1">
      <c r="B17" s="889" t="s">
        <v>1983</v>
      </c>
      <c r="C17" s="2048" t="s">
        <v>2014</v>
      </c>
      <c r="D17" s="2049"/>
      <c r="E17" s="2049"/>
      <c r="F17" s="2049"/>
      <c r="G17" s="2049"/>
      <c r="H17" s="2049"/>
      <c r="I17" s="2049"/>
      <c r="J17" s="2049"/>
      <c r="K17" s="2049"/>
      <c r="L17" s="2049"/>
      <c r="M17" s="2049"/>
      <c r="N17" s="2049"/>
      <c r="O17" s="2050"/>
    </row>
    <row r="18" spans="1:25" s="15" customFormat="1" ht="31" customHeight="1">
      <c r="B18" s="889" t="s">
        <v>1984</v>
      </c>
      <c r="C18" s="2048" t="s">
        <v>2421</v>
      </c>
      <c r="D18" s="2049"/>
      <c r="E18" s="2049"/>
      <c r="F18" s="2049"/>
      <c r="G18" s="2049"/>
      <c r="H18" s="2049"/>
      <c r="I18" s="2049"/>
      <c r="J18" s="2049"/>
      <c r="K18" s="2049"/>
      <c r="L18" s="2049"/>
      <c r="M18" s="2049"/>
      <c r="N18" s="2049"/>
      <c r="O18" s="2050"/>
    </row>
    <row r="19" spans="1:25" s="15" customFormat="1" ht="31" customHeight="1">
      <c r="B19" s="889" t="s">
        <v>1985</v>
      </c>
      <c r="C19" s="2048" t="s">
        <v>2422</v>
      </c>
      <c r="D19" s="2049"/>
      <c r="E19" s="2049"/>
      <c r="F19" s="2049"/>
      <c r="G19" s="2049"/>
      <c r="H19" s="2049"/>
      <c r="I19" s="2049"/>
      <c r="J19" s="2049"/>
      <c r="K19" s="2049"/>
      <c r="L19" s="2049"/>
      <c r="M19" s="2049"/>
      <c r="N19" s="2049"/>
      <c r="O19" s="2050"/>
    </row>
    <row r="20" spans="1:25" s="15" customFormat="1" ht="31" customHeight="1">
      <c r="B20" s="889" t="s">
        <v>1986</v>
      </c>
      <c r="C20" s="2048" t="s">
        <v>2016</v>
      </c>
      <c r="D20" s="2049"/>
      <c r="E20" s="2049"/>
      <c r="F20" s="2049"/>
      <c r="G20" s="2049"/>
      <c r="H20" s="2049"/>
      <c r="I20" s="2049"/>
      <c r="J20" s="2049"/>
      <c r="K20" s="2049"/>
      <c r="L20" s="2049"/>
      <c r="M20" s="2049"/>
      <c r="N20" s="2049"/>
      <c r="O20" s="2050"/>
    </row>
    <row r="21" spans="1:25" s="15" customFormat="1" ht="31" customHeight="1">
      <c r="B21" s="889" t="s">
        <v>1987</v>
      </c>
      <c r="C21" s="2051" t="s">
        <v>2428</v>
      </c>
      <c r="D21" s="2052"/>
      <c r="E21" s="2052"/>
      <c r="F21" s="2052"/>
      <c r="G21" s="2052"/>
      <c r="H21" s="2052"/>
      <c r="I21" s="2052"/>
      <c r="J21" s="2052"/>
      <c r="K21" s="2052"/>
      <c r="L21" s="2052"/>
      <c r="M21" s="2052"/>
      <c r="N21" s="2052"/>
      <c r="O21" s="2053"/>
    </row>
    <row r="22" spans="1:25" s="15" customFormat="1" ht="31" customHeight="1">
      <c r="B22" s="889" t="s">
        <v>1988</v>
      </c>
      <c r="C22" s="2051" t="s">
        <v>2423</v>
      </c>
      <c r="D22" s="2052"/>
      <c r="E22" s="2052"/>
      <c r="F22" s="2052"/>
      <c r="G22" s="2052"/>
      <c r="H22" s="2052"/>
      <c r="I22" s="2052"/>
      <c r="J22" s="2052"/>
      <c r="K22" s="2052"/>
      <c r="L22" s="2052"/>
      <c r="M22" s="2052"/>
      <c r="N22" s="2052"/>
      <c r="O22" s="2053"/>
    </row>
    <row r="23" spans="1:25" s="15" customFormat="1" ht="31" customHeight="1">
      <c r="B23" s="1161" t="s">
        <v>1989</v>
      </c>
      <c r="C23" s="2051" t="s">
        <v>2424</v>
      </c>
      <c r="D23" s="2052"/>
      <c r="E23" s="2052"/>
      <c r="F23" s="2052"/>
      <c r="G23" s="2052"/>
      <c r="H23" s="2052"/>
      <c r="I23" s="2052"/>
      <c r="J23" s="2052"/>
      <c r="K23" s="2052"/>
      <c r="L23" s="2052"/>
      <c r="M23" s="2052"/>
      <c r="N23" s="2052"/>
      <c r="O23" s="2053"/>
    </row>
    <row r="24" spans="1:25" s="15" customFormat="1" ht="31" customHeight="1">
      <c r="B24" s="1161" t="s">
        <v>1990</v>
      </c>
      <c r="C24" s="2051" t="s">
        <v>2425</v>
      </c>
      <c r="D24" s="2052"/>
      <c r="E24" s="2052"/>
      <c r="F24" s="2052"/>
      <c r="G24" s="2052"/>
      <c r="H24" s="2052"/>
      <c r="I24" s="2052"/>
      <c r="J24" s="2052"/>
      <c r="K24" s="2052"/>
      <c r="L24" s="2052"/>
      <c r="M24" s="2052"/>
      <c r="N24" s="2052"/>
      <c r="O24" s="2053"/>
    </row>
    <row r="25" spans="1:25" s="15" customFormat="1" ht="31" customHeight="1">
      <c r="B25" s="1161" t="s">
        <v>1991</v>
      </c>
      <c r="C25" s="2051" t="s">
        <v>2427</v>
      </c>
      <c r="D25" s="2052"/>
      <c r="E25" s="2052"/>
      <c r="F25" s="2052"/>
      <c r="G25" s="2052"/>
      <c r="H25" s="2052"/>
      <c r="I25" s="2052"/>
      <c r="J25" s="2052"/>
      <c r="K25" s="2052"/>
      <c r="L25" s="2052"/>
      <c r="M25" s="2052"/>
      <c r="N25" s="2052"/>
      <c r="O25" s="2053"/>
    </row>
    <row r="26" spans="1:25" s="15" customFormat="1" ht="31" customHeight="1">
      <c r="B26" s="1141" t="s">
        <v>2420</v>
      </c>
      <c r="C26" s="2051" t="s">
        <v>2426</v>
      </c>
      <c r="D26" s="2052"/>
      <c r="E26" s="2052"/>
      <c r="F26" s="2052"/>
      <c r="G26" s="2052"/>
      <c r="H26" s="2052"/>
      <c r="I26" s="2052"/>
      <c r="J26" s="2052"/>
      <c r="K26" s="2052"/>
      <c r="L26" s="2052"/>
      <c r="M26" s="2052"/>
      <c r="N26" s="2052"/>
      <c r="O26" s="2053"/>
    </row>
    <row r="27" spans="1:25" s="29" customFormat="1" ht="15" customHeight="1">
      <c r="B27" s="613"/>
      <c r="C27" s="729"/>
      <c r="D27" s="729"/>
      <c r="E27" s="729"/>
      <c r="F27" s="729"/>
      <c r="G27" s="729"/>
      <c r="H27" s="729"/>
      <c r="I27" s="730"/>
      <c r="J27" s="730"/>
      <c r="K27" s="730"/>
      <c r="L27" s="234"/>
      <c r="M27" s="234"/>
      <c r="N27" s="234"/>
      <c r="O27" s="234"/>
      <c r="U27" s="234"/>
      <c r="V27" s="234"/>
      <c r="W27" s="234"/>
      <c r="X27" s="234"/>
      <c r="Y27" s="234"/>
    </row>
    <row r="28" spans="1:25" s="29" customFormat="1" ht="31" customHeight="1" thickBot="1">
      <c r="A28" s="31"/>
      <c r="B28" s="491" t="s">
        <v>1782</v>
      </c>
      <c r="C28" s="466"/>
      <c r="D28" s="466"/>
      <c r="E28" s="466"/>
      <c r="F28" s="466"/>
      <c r="G28" s="466"/>
      <c r="H28" s="466"/>
      <c r="I28" s="467"/>
      <c r="J28" s="467"/>
      <c r="K28" s="467"/>
      <c r="L28" s="468"/>
      <c r="M28" s="468"/>
      <c r="N28" s="468"/>
      <c r="O28" s="468"/>
      <c r="U28" s="234"/>
      <c r="V28" s="234"/>
      <c r="W28" s="234"/>
      <c r="X28" s="234"/>
      <c r="Y28" s="234"/>
    </row>
    <row r="29" spans="1:25" s="29" customFormat="1" ht="31" customHeight="1" thickTop="1">
      <c r="B29" s="229"/>
      <c r="C29" s="230"/>
      <c r="D29" s="230"/>
      <c r="E29" s="230"/>
      <c r="F29" s="230"/>
      <c r="G29" s="230"/>
      <c r="H29" s="230"/>
      <c r="I29" s="30"/>
      <c r="J29" s="30"/>
      <c r="K29" s="30"/>
      <c r="U29" s="234"/>
      <c r="V29" s="234"/>
      <c r="W29" s="234"/>
      <c r="X29" s="234"/>
      <c r="Y29" s="234"/>
    </row>
    <row r="30" spans="1:25" s="31" customFormat="1" ht="100" customHeight="1">
      <c r="B30" s="2054"/>
      <c r="C30" s="2055"/>
      <c r="D30" s="2056" t="s">
        <v>270</v>
      </c>
      <c r="E30" s="2057"/>
      <c r="G30" s="593"/>
      <c r="H30" s="594"/>
      <c r="I30" s="2056" t="s">
        <v>760</v>
      </c>
      <c r="J30" s="2057"/>
      <c r="L30" s="593"/>
      <c r="M30" s="594"/>
      <c r="N30" s="2056" t="s">
        <v>761</v>
      </c>
      <c r="O30" s="2057"/>
      <c r="P30" s="15"/>
      <c r="U30" s="26"/>
      <c r="V30" s="26"/>
      <c r="W30" s="26"/>
      <c r="X30" s="26"/>
      <c r="Y30" s="26"/>
    </row>
    <row r="31" spans="1:25" s="26" customFormat="1" ht="30" customHeight="1">
      <c r="F31" s="595"/>
      <c r="I31" s="595"/>
      <c r="J31" s="595"/>
      <c r="M31" s="595"/>
      <c r="N31" s="595"/>
      <c r="P31" s="22"/>
    </row>
    <row r="32" spans="1:25" s="31" customFormat="1" ht="100" customHeight="1">
      <c r="B32" s="593"/>
      <c r="C32" s="594"/>
      <c r="D32" s="2058" t="s">
        <v>1593</v>
      </c>
      <c r="E32" s="2059"/>
      <c r="G32" s="593"/>
      <c r="H32" s="594"/>
      <c r="I32" s="2058" t="s">
        <v>1594</v>
      </c>
      <c r="J32" s="2059"/>
      <c r="L32" s="593"/>
      <c r="M32" s="594"/>
      <c r="N32" s="2056" t="s">
        <v>762</v>
      </c>
      <c r="O32" s="2057"/>
      <c r="P32" s="15"/>
      <c r="U32" s="26"/>
      <c r="V32" s="26"/>
      <c r="W32" s="26"/>
      <c r="X32" s="26"/>
      <c r="Y32" s="26"/>
    </row>
    <row r="33" spans="2:25" s="31" customFormat="1" ht="31" customHeight="1">
      <c r="D33" s="591"/>
      <c r="E33" s="592"/>
      <c r="F33" s="33"/>
      <c r="G33" s="33"/>
      <c r="H33" s="33"/>
      <c r="I33" s="591"/>
      <c r="J33" s="592"/>
      <c r="K33" s="34"/>
      <c r="N33" s="591"/>
      <c r="O33" s="592"/>
      <c r="P33" s="15"/>
      <c r="U33" s="26"/>
      <c r="V33" s="26"/>
      <c r="W33" s="26"/>
      <c r="X33" s="26"/>
      <c r="Y33" s="26"/>
    </row>
    <row r="34" spans="2:25" s="31" customFormat="1" ht="15" hidden="1" customHeight="1">
      <c r="B34" s="32"/>
      <c r="C34" s="33"/>
      <c r="D34" s="33"/>
      <c r="E34" s="33"/>
      <c r="F34" s="33"/>
      <c r="G34" s="33"/>
      <c r="H34" s="33"/>
      <c r="I34" s="34"/>
      <c r="J34" s="34"/>
      <c r="K34" s="34"/>
      <c r="P34" s="15"/>
      <c r="U34" s="26"/>
      <c r="V34" s="26"/>
      <c r="W34" s="26"/>
      <c r="X34" s="26"/>
      <c r="Y34" s="26"/>
    </row>
    <row r="35" spans="2:25" s="31" customFormat="1" ht="15" hidden="1" customHeight="1">
      <c r="B35" s="32"/>
      <c r="C35" s="33"/>
      <c r="D35" s="33"/>
      <c r="E35" s="33"/>
      <c r="F35" s="33"/>
      <c r="G35" s="33"/>
      <c r="H35" s="33"/>
      <c r="I35" s="34"/>
      <c r="J35" s="34"/>
      <c r="K35" s="34"/>
      <c r="P35" s="15"/>
      <c r="U35" s="26"/>
      <c r="V35" s="26"/>
      <c r="W35" s="26"/>
      <c r="X35" s="26"/>
      <c r="Y35" s="26"/>
    </row>
    <row r="36" spans="2:25" s="31" customFormat="1" ht="15" hidden="1" customHeight="1">
      <c r="B36" s="32"/>
      <c r="C36" s="33"/>
      <c r="D36" s="33"/>
      <c r="E36" s="33"/>
      <c r="F36" s="33"/>
      <c r="G36" s="33"/>
      <c r="H36" s="33"/>
      <c r="I36" s="34"/>
      <c r="J36" s="34"/>
      <c r="K36" s="34"/>
      <c r="P36" s="15"/>
      <c r="U36" s="26"/>
      <c r="V36" s="26"/>
      <c r="W36" s="26"/>
      <c r="X36" s="26"/>
      <c r="Y36" s="26"/>
    </row>
    <row r="37" spans="2:25" s="31" customFormat="1" ht="15" hidden="1" customHeight="1">
      <c r="B37" s="32"/>
      <c r="C37" s="33"/>
      <c r="D37" s="33"/>
      <c r="E37" s="33"/>
      <c r="F37" s="33"/>
      <c r="G37" s="33"/>
      <c r="H37" s="33"/>
      <c r="I37" s="34"/>
      <c r="J37" s="34"/>
      <c r="K37" s="34"/>
      <c r="P37" s="15"/>
      <c r="U37" s="26"/>
      <c r="V37" s="26"/>
      <c r="W37" s="26"/>
      <c r="X37" s="26"/>
      <c r="Y37" s="26"/>
    </row>
    <row r="38" spans="2:25" s="31" customFormat="1" ht="15" hidden="1" customHeight="1">
      <c r="B38" s="32"/>
      <c r="C38" s="33"/>
      <c r="D38" s="33"/>
      <c r="E38" s="33"/>
      <c r="F38" s="33"/>
      <c r="G38" s="33"/>
      <c r="H38" s="33"/>
      <c r="I38" s="34"/>
      <c r="J38" s="34"/>
      <c r="K38" s="34"/>
      <c r="P38" s="15"/>
      <c r="U38" s="26"/>
      <c r="V38" s="26"/>
      <c r="W38" s="26"/>
      <c r="X38" s="26"/>
      <c r="Y38" s="26"/>
    </row>
    <row r="39" spans="2:25" s="31" customFormat="1" ht="15" hidden="1" customHeight="1">
      <c r="B39" s="32"/>
      <c r="C39" s="33"/>
      <c r="D39" s="33"/>
      <c r="E39" s="33"/>
      <c r="F39" s="33"/>
      <c r="G39" s="33"/>
      <c r="H39" s="33"/>
      <c r="I39" s="34"/>
      <c r="J39" s="34"/>
      <c r="K39" s="34"/>
      <c r="P39" s="15"/>
      <c r="U39" s="26"/>
      <c r="V39" s="26"/>
      <c r="W39" s="26"/>
      <c r="X39" s="26"/>
      <c r="Y39" s="26"/>
    </row>
    <row r="40" spans="2:25" s="31" customFormat="1" ht="15" hidden="1" customHeight="1">
      <c r="B40" s="32"/>
      <c r="C40" s="33"/>
      <c r="D40" s="33"/>
      <c r="E40" s="33"/>
      <c r="F40" s="33"/>
      <c r="G40" s="33"/>
      <c r="H40" s="33"/>
      <c r="I40" s="34"/>
      <c r="J40" s="34"/>
      <c r="K40" s="34"/>
      <c r="P40" s="15"/>
      <c r="U40" s="26"/>
      <c r="V40" s="26"/>
      <c r="W40" s="26"/>
      <c r="X40" s="26"/>
      <c r="Y40" s="26"/>
    </row>
    <row r="41" spans="2:25" s="31" customFormat="1" ht="15" hidden="1" customHeight="1">
      <c r="B41" s="32"/>
      <c r="C41" s="33"/>
      <c r="D41" s="33"/>
      <c r="E41" s="33"/>
      <c r="F41" s="33"/>
      <c r="G41" s="33"/>
      <c r="H41" s="33"/>
      <c r="I41" s="34"/>
      <c r="J41" s="34"/>
      <c r="K41" s="34"/>
      <c r="P41" s="15"/>
      <c r="U41" s="26"/>
      <c r="V41" s="26"/>
      <c r="W41" s="26"/>
      <c r="X41" s="26"/>
      <c r="Y41" s="26"/>
    </row>
    <row r="42" spans="2:25" s="31" customFormat="1" hidden="1">
      <c r="B42" s="32"/>
      <c r="C42" s="33"/>
      <c r="D42" s="33"/>
      <c r="E42" s="33"/>
      <c r="F42" s="33"/>
      <c r="G42" s="33"/>
      <c r="H42" s="33"/>
      <c r="I42" s="34"/>
      <c r="J42" s="34"/>
      <c r="K42" s="34"/>
      <c r="P42" s="15"/>
      <c r="U42" s="26"/>
      <c r="V42" s="26"/>
      <c r="W42" s="26"/>
      <c r="X42" s="26"/>
      <c r="Y42" s="26"/>
    </row>
    <row r="43" spans="2:25" s="31" customFormat="1" hidden="1">
      <c r="B43" s="32"/>
      <c r="C43" s="33"/>
      <c r="D43" s="33"/>
      <c r="E43" s="33"/>
      <c r="F43" s="33"/>
      <c r="G43" s="33"/>
      <c r="H43" s="33"/>
      <c r="I43" s="34"/>
      <c r="J43" s="34"/>
      <c r="K43" s="34"/>
      <c r="P43" s="15"/>
      <c r="U43" s="26"/>
      <c r="V43" s="26"/>
      <c r="W43" s="26"/>
      <c r="X43" s="26"/>
      <c r="Y43" s="26"/>
    </row>
    <row r="44" spans="2:25" s="31" customFormat="1" hidden="1">
      <c r="B44" s="32"/>
      <c r="C44" s="33"/>
      <c r="D44" s="33"/>
      <c r="E44" s="33"/>
      <c r="F44" s="33"/>
      <c r="G44" s="33"/>
      <c r="H44" s="33"/>
      <c r="I44" s="34"/>
      <c r="J44" s="34"/>
      <c r="K44" s="34"/>
      <c r="P44" s="15"/>
      <c r="U44" s="26"/>
      <c r="V44" s="26"/>
      <c r="W44" s="26"/>
      <c r="X44" s="26"/>
      <c r="Y44" s="26"/>
    </row>
    <row r="45" spans="2:25" s="31" customFormat="1" hidden="1">
      <c r="B45" s="32"/>
      <c r="C45" s="33"/>
      <c r="D45" s="33"/>
      <c r="E45" s="33"/>
      <c r="F45" s="33"/>
      <c r="G45" s="33"/>
      <c r="H45" s="33"/>
      <c r="I45" s="34"/>
      <c r="J45" s="34"/>
      <c r="K45" s="34"/>
      <c r="P45" s="15"/>
      <c r="U45" s="26"/>
      <c r="V45" s="26"/>
      <c r="W45" s="26"/>
      <c r="X45" s="26"/>
      <c r="Y45" s="26"/>
    </row>
    <row r="46" spans="2:25" s="31" customFormat="1" hidden="1">
      <c r="B46" s="32"/>
      <c r="C46" s="33"/>
      <c r="D46" s="33"/>
      <c r="E46" s="33"/>
      <c r="F46" s="33"/>
      <c r="G46" s="33"/>
      <c r="H46" s="33"/>
      <c r="I46" s="34"/>
      <c r="J46" s="34"/>
      <c r="K46" s="34"/>
      <c r="P46" s="15"/>
      <c r="U46" s="26"/>
      <c r="V46" s="26"/>
      <c r="W46" s="26"/>
      <c r="X46" s="26"/>
      <c r="Y46" s="26"/>
    </row>
    <row r="47" spans="2:25" s="31" customFormat="1" hidden="1">
      <c r="B47" s="32"/>
      <c r="C47" s="33"/>
      <c r="D47" s="33"/>
      <c r="E47" s="33"/>
      <c r="F47" s="33"/>
      <c r="G47" s="33"/>
      <c r="H47" s="33"/>
      <c r="I47" s="34"/>
      <c r="J47" s="34"/>
      <c r="K47" s="34"/>
      <c r="P47" s="15"/>
      <c r="U47" s="26"/>
      <c r="V47" s="26"/>
      <c r="W47" s="26"/>
      <c r="X47" s="26"/>
      <c r="Y47" s="26"/>
    </row>
    <row r="48" spans="2:25" s="31" customFormat="1" hidden="1">
      <c r="B48" s="32"/>
      <c r="C48" s="33"/>
      <c r="D48" s="33"/>
      <c r="E48" s="33"/>
      <c r="F48" s="33"/>
      <c r="G48" s="33"/>
      <c r="H48" s="33"/>
      <c r="I48" s="34"/>
      <c r="J48" s="34"/>
      <c r="K48" s="34"/>
      <c r="P48" s="15"/>
      <c r="U48" s="26"/>
      <c r="V48" s="26"/>
      <c r="W48" s="26"/>
      <c r="X48" s="26"/>
      <c r="Y48" s="26"/>
    </row>
    <row r="49" spans="2:25" s="31" customFormat="1" hidden="1">
      <c r="B49" s="32"/>
      <c r="C49" s="33"/>
      <c r="D49" s="33"/>
      <c r="E49" s="33"/>
      <c r="F49" s="33"/>
      <c r="G49" s="33"/>
      <c r="H49" s="33"/>
      <c r="I49" s="34"/>
      <c r="J49" s="34"/>
      <c r="K49" s="34"/>
      <c r="P49" s="15"/>
      <c r="U49" s="26"/>
      <c r="V49" s="26"/>
      <c r="W49" s="26"/>
      <c r="X49" s="26"/>
      <c r="Y49" s="26"/>
    </row>
    <row r="50" spans="2:25" s="31" customFormat="1" hidden="1">
      <c r="B50" s="32"/>
      <c r="C50" s="33"/>
      <c r="D50" s="33"/>
      <c r="E50" s="33"/>
      <c r="F50" s="33"/>
      <c r="G50" s="33"/>
      <c r="H50" s="33"/>
      <c r="I50" s="34"/>
      <c r="J50" s="34"/>
      <c r="K50" s="34"/>
      <c r="P50" s="15"/>
      <c r="U50" s="26"/>
      <c r="V50" s="26"/>
      <c r="W50" s="26"/>
      <c r="X50" s="26"/>
      <c r="Y50" s="26"/>
    </row>
    <row r="51" spans="2:25" s="31" customFormat="1" hidden="1">
      <c r="B51" s="32"/>
      <c r="C51" s="33"/>
      <c r="D51" s="33"/>
      <c r="E51" s="33"/>
      <c r="F51" s="33"/>
      <c r="G51" s="33"/>
      <c r="H51" s="33"/>
      <c r="I51" s="34"/>
      <c r="J51" s="34"/>
      <c r="K51" s="34"/>
      <c r="P51" s="15"/>
      <c r="U51" s="26"/>
      <c r="V51" s="26"/>
      <c r="W51" s="26"/>
      <c r="X51" s="26"/>
      <c r="Y51" s="26"/>
    </row>
    <row r="52" spans="2:25" s="31" customFormat="1" hidden="1">
      <c r="B52" s="32"/>
      <c r="C52" s="33"/>
      <c r="D52" s="33"/>
      <c r="E52" s="33"/>
      <c r="F52" s="33"/>
      <c r="G52" s="33"/>
      <c r="H52" s="33"/>
      <c r="I52" s="34"/>
      <c r="J52" s="34"/>
      <c r="K52" s="34"/>
      <c r="P52" s="15"/>
      <c r="U52" s="26"/>
      <c r="V52" s="26"/>
      <c r="W52" s="26"/>
      <c r="X52" s="26"/>
      <c r="Y52" s="26"/>
    </row>
    <row r="53" spans="2:25" s="31" customFormat="1" hidden="1">
      <c r="B53" s="32"/>
      <c r="C53" s="33"/>
      <c r="D53" s="33"/>
      <c r="E53" s="33"/>
      <c r="F53" s="33"/>
      <c r="G53" s="33"/>
      <c r="H53" s="33"/>
      <c r="I53" s="34"/>
      <c r="J53" s="34"/>
      <c r="K53" s="34"/>
      <c r="P53" s="15"/>
      <c r="U53" s="26"/>
      <c r="V53" s="26"/>
      <c r="W53" s="26"/>
      <c r="X53" s="26"/>
      <c r="Y53" s="26"/>
    </row>
    <row r="54" spans="2:25" s="31" customFormat="1" hidden="1">
      <c r="B54" s="32"/>
      <c r="C54" s="33"/>
      <c r="D54" s="33"/>
      <c r="E54" s="33"/>
      <c r="F54" s="33"/>
      <c r="G54" s="33"/>
      <c r="H54" s="33"/>
      <c r="I54" s="34"/>
      <c r="J54" s="34"/>
      <c r="K54" s="34"/>
      <c r="P54" s="15"/>
      <c r="U54" s="26"/>
      <c r="V54" s="26"/>
      <c r="W54" s="26"/>
      <c r="X54" s="26"/>
      <c r="Y54" s="26"/>
    </row>
    <row r="55" spans="2:25" s="31" customFormat="1" hidden="1">
      <c r="B55" s="32"/>
      <c r="C55" s="33"/>
      <c r="D55" s="33"/>
      <c r="E55" s="33"/>
      <c r="F55" s="33"/>
      <c r="G55" s="33"/>
      <c r="H55" s="33"/>
      <c r="I55" s="34"/>
      <c r="J55" s="34"/>
      <c r="K55" s="34"/>
      <c r="P55" s="15"/>
      <c r="U55" s="26"/>
      <c r="V55" s="26"/>
      <c r="W55" s="26"/>
      <c r="X55" s="26"/>
      <c r="Y55" s="26"/>
    </row>
    <row r="56" spans="2:25" s="31" customFormat="1" hidden="1">
      <c r="B56" s="32"/>
      <c r="C56" s="33"/>
      <c r="D56" s="33"/>
      <c r="E56" s="33"/>
      <c r="F56" s="33"/>
      <c r="G56" s="33"/>
      <c r="H56" s="33"/>
      <c r="I56" s="34"/>
      <c r="J56" s="34"/>
      <c r="K56" s="34"/>
      <c r="P56" s="15"/>
      <c r="U56" s="26"/>
      <c r="V56" s="26"/>
      <c r="W56" s="26"/>
      <c r="X56" s="26"/>
      <c r="Y56" s="26"/>
    </row>
    <row r="57" spans="2:25" s="31" customFormat="1" hidden="1">
      <c r="B57" s="32"/>
      <c r="C57" s="33"/>
      <c r="D57" s="33"/>
      <c r="E57" s="33"/>
      <c r="F57" s="33"/>
      <c r="G57" s="33"/>
      <c r="H57" s="33"/>
      <c r="I57" s="34"/>
      <c r="J57" s="34"/>
      <c r="K57" s="34"/>
      <c r="P57" s="15"/>
      <c r="U57" s="26"/>
      <c r="V57" s="26"/>
      <c r="W57" s="26"/>
      <c r="X57" s="26"/>
      <c r="Y57" s="26"/>
    </row>
    <row r="58" spans="2:25" s="31" customFormat="1" hidden="1">
      <c r="B58" s="32"/>
      <c r="C58" s="33"/>
      <c r="D58" s="33"/>
      <c r="E58" s="33"/>
      <c r="F58" s="33"/>
      <c r="G58" s="33"/>
      <c r="H58" s="33"/>
      <c r="I58" s="34"/>
      <c r="J58" s="34"/>
      <c r="K58" s="34"/>
      <c r="P58" s="15"/>
      <c r="U58" s="26"/>
      <c r="V58" s="26"/>
      <c r="W58" s="26"/>
      <c r="X58" s="26"/>
      <c r="Y58" s="26"/>
    </row>
    <row r="59" spans="2:25" s="31" customFormat="1" hidden="1">
      <c r="B59" s="32"/>
      <c r="C59" s="33"/>
      <c r="D59" s="33"/>
      <c r="E59" s="33"/>
      <c r="F59" s="33"/>
      <c r="G59" s="33"/>
      <c r="H59" s="33"/>
      <c r="I59" s="34"/>
      <c r="J59" s="34"/>
      <c r="K59" s="34"/>
      <c r="U59" s="26"/>
      <c r="V59" s="26"/>
      <c r="W59" s="26"/>
      <c r="X59" s="26"/>
      <c r="Y59" s="26"/>
    </row>
    <row r="60" spans="2:25" s="31" customFormat="1" hidden="1">
      <c r="B60" s="32"/>
      <c r="C60" s="33"/>
      <c r="D60" s="33"/>
      <c r="E60" s="33"/>
      <c r="F60" s="33"/>
      <c r="G60" s="33"/>
      <c r="H60" s="33"/>
      <c r="I60" s="34"/>
      <c r="J60" s="34"/>
      <c r="K60" s="34"/>
      <c r="U60" s="26"/>
      <c r="V60" s="26"/>
      <c r="W60" s="26"/>
      <c r="X60" s="26"/>
      <c r="Y60" s="26"/>
    </row>
    <row r="61" spans="2:25" s="31" customFormat="1" hidden="1">
      <c r="B61" s="32"/>
      <c r="C61" s="33"/>
      <c r="D61" s="33"/>
      <c r="E61" s="33"/>
      <c r="F61" s="33"/>
      <c r="G61" s="33"/>
      <c r="H61" s="33"/>
      <c r="I61" s="34"/>
      <c r="J61" s="34"/>
      <c r="K61" s="34"/>
      <c r="U61" s="26"/>
      <c r="V61" s="26"/>
      <c r="W61" s="26"/>
      <c r="X61" s="26"/>
      <c r="Y61" s="26"/>
    </row>
    <row r="62" spans="2:25" s="31" customFormat="1" hidden="1">
      <c r="B62" s="32"/>
      <c r="C62" s="33"/>
      <c r="D62" s="33"/>
      <c r="E62" s="33"/>
      <c r="F62" s="33"/>
      <c r="G62" s="33"/>
      <c r="H62" s="33"/>
      <c r="I62" s="34"/>
      <c r="J62" s="34"/>
      <c r="K62" s="34"/>
      <c r="U62" s="26"/>
      <c r="V62" s="26"/>
      <c r="W62" s="26"/>
      <c r="X62" s="26"/>
      <c r="Y62" s="26"/>
    </row>
    <row r="63" spans="2:25" s="31" customFormat="1" hidden="1">
      <c r="B63" s="32"/>
      <c r="C63" s="33"/>
      <c r="D63" s="33"/>
      <c r="E63" s="33"/>
      <c r="F63" s="33"/>
      <c r="G63" s="33"/>
      <c r="H63" s="33"/>
      <c r="I63" s="34"/>
      <c r="J63" s="34"/>
      <c r="K63" s="34"/>
      <c r="U63" s="26"/>
      <c r="V63" s="26"/>
      <c r="W63" s="26"/>
      <c r="X63" s="26"/>
      <c r="Y63" s="26"/>
    </row>
    <row r="64" spans="2:25" s="229" customFormat="1" ht="18" hidden="1">
      <c r="U64" s="237"/>
      <c r="V64" s="237"/>
      <c r="W64" s="237"/>
      <c r="X64" s="237"/>
      <c r="Y64" s="237"/>
    </row>
    <row r="65" spans="2:25" s="31" customFormat="1" hidden="1">
      <c r="U65" s="26"/>
      <c r="V65" s="26"/>
      <c r="W65" s="26"/>
      <c r="X65" s="26"/>
      <c r="Y65" s="26"/>
    </row>
    <row r="66" spans="2:25" s="31" customFormat="1" ht="15" hidden="1" customHeight="1">
      <c r="U66" s="26"/>
      <c r="V66" s="26"/>
      <c r="W66" s="26"/>
      <c r="X66" s="26"/>
      <c r="Y66" s="26"/>
    </row>
    <row r="67" spans="2:25" s="31" customFormat="1" hidden="1">
      <c r="U67" s="26"/>
      <c r="V67" s="26"/>
      <c r="W67" s="26"/>
      <c r="X67" s="26"/>
      <c r="Y67" s="26"/>
    </row>
    <row r="68" spans="2:25" s="31" customFormat="1" hidden="1">
      <c r="U68" s="26"/>
      <c r="V68" s="26"/>
      <c r="W68" s="26"/>
      <c r="X68" s="26"/>
      <c r="Y68" s="26"/>
    </row>
    <row r="69" spans="2:25" s="31" customFormat="1" hidden="1">
      <c r="U69" s="26"/>
      <c r="V69" s="26"/>
      <c r="W69" s="26"/>
      <c r="X69" s="26"/>
      <c r="Y69" s="26"/>
    </row>
    <row r="70" spans="2:25" s="31" customFormat="1" hidden="1">
      <c r="U70" s="26"/>
      <c r="V70" s="26"/>
      <c r="W70" s="26"/>
      <c r="X70" s="26"/>
      <c r="Y70" s="26"/>
    </row>
    <row r="71" spans="2:25" s="31" customFormat="1" hidden="1">
      <c r="U71" s="26"/>
      <c r="V71" s="26"/>
      <c r="W71" s="26"/>
      <c r="X71" s="26"/>
      <c r="Y71" s="26"/>
    </row>
    <row r="72" spans="2:25" s="31" customFormat="1" hidden="1">
      <c r="U72" s="26"/>
      <c r="V72" s="26"/>
      <c r="W72" s="26"/>
      <c r="X72" s="26"/>
      <c r="Y72" s="26"/>
    </row>
    <row r="73" spans="2:25" s="31" customFormat="1" hidden="1">
      <c r="U73" s="26"/>
      <c r="V73" s="26"/>
      <c r="W73" s="26"/>
      <c r="X73" s="26"/>
      <c r="Y73" s="26"/>
    </row>
    <row r="74" spans="2:25" s="31" customFormat="1" hidden="1">
      <c r="B74" s="32"/>
      <c r="C74" s="33"/>
      <c r="D74" s="33"/>
      <c r="E74" s="33"/>
      <c r="F74" s="33"/>
      <c r="G74" s="33"/>
      <c r="H74" s="33"/>
      <c r="I74" s="34"/>
      <c r="J74" s="34"/>
      <c r="K74" s="34"/>
      <c r="U74" s="26"/>
      <c r="V74" s="26"/>
      <c r="W74" s="26"/>
      <c r="X74" s="26"/>
      <c r="Y74" s="26"/>
    </row>
    <row r="75" spans="2:25" s="31" customFormat="1" hidden="1">
      <c r="U75" s="26"/>
      <c r="V75" s="26"/>
      <c r="W75" s="26"/>
      <c r="X75" s="26"/>
      <c r="Y75" s="26"/>
    </row>
    <row r="76" spans="2:25" s="31" customFormat="1" hidden="1">
      <c r="U76" s="26"/>
      <c r="V76" s="26"/>
      <c r="W76" s="26"/>
      <c r="X76" s="26"/>
      <c r="Y76" s="26"/>
    </row>
    <row r="77" spans="2:25" s="31" customFormat="1" hidden="1">
      <c r="U77" s="26"/>
      <c r="V77" s="26"/>
      <c r="W77" s="26"/>
      <c r="X77" s="26"/>
      <c r="Y77" s="26"/>
    </row>
    <row r="78" spans="2:25" s="31" customFormat="1" hidden="1">
      <c r="U78" s="26"/>
      <c r="V78" s="26"/>
      <c r="W78" s="26"/>
      <c r="X78" s="26"/>
      <c r="Y78" s="26"/>
    </row>
    <row r="79" spans="2:25" s="31" customFormat="1" hidden="1">
      <c r="U79" s="26"/>
      <c r="V79" s="26"/>
      <c r="W79" s="26"/>
      <c r="X79" s="26"/>
      <c r="Y79" s="26"/>
    </row>
    <row r="80" spans="2:25" s="31" customFormat="1" hidden="1">
      <c r="B80" s="32"/>
      <c r="C80" s="33"/>
      <c r="D80" s="33"/>
      <c r="E80" s="33"/>
      <c r="F80" s="33"/>
      <c r="G80" s="33"/>
      <c r="H80" s="33"/>
      <c r="I80" s="34"/>
      <c r="J80" s="34"/>
      <c r="K80" s="34"/>
      <c r="U80" s="26"/>
      <c r="V80" s="26"/>
      <c r="W80" s="26"/>
      <c r="X80" s="26"/>
      <c r="Y80" s="26"/>
    </row>
    <row r="81" spans="2:25" s="31" customFormat="1" hidden="1">
      <c r="B81" s="32"/>
      <c r="C81" s="33"/>
      <c r="D81" s="33"/>
      <c r="E81" s="33"/>
      <c r="F81" s="33"/>
      <c r="G81" s="33"/>
      <c r="H81" s="33"/>
      <c r="I81" s="34"/>
      <c r="J81" s="34"/>
      <c r="K81" s="34"/>
      <c r="U81" s="26"/>
      <c r="V81" s="26"/>
      <c r="W81" s="26"/>
      <c r="X81" s="26"/>
      <c r="Y81" s="26"/>
    </row>
    <row r="82" spans="2:25" s="31" customFormat="1" hidden="1">
      <c r="B82" s="32"/>
      <c r="C82" s="33"/>
      <c r="D82" s="33"/>
      <c r="E82" s="33"/>
      <c r="F82" s="33"/>
      <c r="G82" s="33"/>
      <c r="H82" s="33"/>
      <c r="I82" s="34"/>
      <c r="J82" s="34"/>
      <c r="K82" s="34"/>
      <c r="U82" s="26"/>
      <c r="V82" s="26"/>
      <c r="W82" s="26"/>
      <c r="X82" s="26"/>
      <c r="Y82" s="26"/>
    </row>
    <row r="83" spans="2:25" s="31" customFormat="1" hidden="1">
      <c r="B83" s="32"/>
      <c r="C83" s="33"/>
      <c r="D83" s="33"/>
      <c r="E83" s="33"/>
      <c r="F83" s="33"/>
      <c r="G83" s="33"/>
      <c r="H83" s="33"/>
      <c r="I83" s="34"/>
      <c r="J83" s="34"/>
      <c r="K83" s="34"/>
      <c r="U83" s="26"/>
      <c r="V83" s="26"/>
      <c r="W83" s="26"/>
      <c r="X83" s="26"/>
      <c r="Y83" s="26"/>
    </row>
    <row r="84" spans="2:25" s="31" customFormat="1" hidden="1">
      <c r="B84" s="32"/>
      <c r="C84" s="33"/>
      <c r="D84" s="33"/>
      <c r="E84" s="33"/>
      <c r="F84" s="33"/>
      <c r="G84" s="33"/>
      <c r="H84" s="33"/>
      <c r="I84" s="34"/>
      <c r="J84" s="34"/>
      <c r="K84" s="34"/>
      <c r="U84" s="26"/>
      <c r="V84" s="26"/>
      <c r="W84" s="26"/>
      <c r="X84" s="26"/>
      <c r="Y84" s="26"/>
    </row>
    <row r="85" spans="2:25" s="31" customFormat="1" hidden="1">
      <c r="B85" s="32"/>
      <c r="C85" s="33"/>
      <c r="D85" s="33"/>
      <c r="E85" s="33"/>
      <c r="F85" s="33"/>
      <c r="G85" s="33"/>
      <c r="H85" s="33"/>
      <c r="I85" s="34"/>
      <c r="J85" s="34"/>
      <c r="K85" s="34"/>
      <c r="U85" s="26"/>
      <c r="V85" s="26"/>
      <c r="W85" s="26"/>
      <c r="X85" s="26"/>
      <c r="Y85" s="26"/>
    </row>
    <row r="86" spans="2:25" s="31" customFormat="1" hidden="1">
      <c r="B86" s="32"/>
      <c r="C86" s="33"/>
      <c r="D86" s="33"/>
      <c r="E86" s="33"/>
      <c r="F86" s="33"/>
      <c r="G86" s="33"/>
      <c r="H86" s="33"/>
      <c r="I86" s="34"/>
      <c r="J86" s="34"/>
      <c r="K86" s="34"/>
      <c r="U86" s="26"/>
      <c r="V86" s="26"/>
      <c r="W86" s="26"/>
      <c r="X86" s="26"/>
      <c r="Y86" s="26"/>
    </row>
    <row r="87" spans="2:25" s="31" customFormat="1" hidden="1">
      <c r="B87" s="32"/>
      <c r="C87" s="33"/>
      <c r="D87" s="33"/>
      <c r="E87" s="33"/>
      <c r="F87" s="33"/>
      <c r="G87" s="33"/>
      <c r="H87" s="33"/>
      <c r="I87" s="34"/>
      <c r="J87" s="34"/>
      <c r="K87" s="34"/>
      <c r="U87" s="26"/>
      <c r="V87" s="26"/>
      <c r="W87" s="26"/>
      <c r="X87" s="26"/>
      <c r="Y87" s="26"/>
    </row>
    <row r="88" spans="2:25" s="31" customFormat="1" hidden="1">
      <c r="B88" s="32"/>
      <c r="C88" s="33"/>
      <c r="D88" s="33"/>
      <c r="E88" s="33"/>
      <c r="F88" s="33"/>
      <c r="G88" s="33"/>
      <c r="H88" s="33"/>
      <c r="I88" s="34"/>
      <c r="J88" s="34"/>
      <c r="K88" s="34"/>
      <c r="U88" s="26"/>
      <c r="V88" s="26"/>
      <c r="W88" s="26"/>
      <c r="X88" s="26"/>
      <c r="Y88" s="26"/>
    </row>
    <row r="89" spans="2:25" s="31" customFormat="1" hidden="1">
      <c r="B89" s="32"/>
      <c r="C89" s="33"/>
      <c r="D89" s="33"/>
      <c r="E89" s="33"/>
      <c r="F89" s="33"/>
      <c r="G89" s="33"/>
      <c r="H89" s="33"/>
      <c r="I89" s="34"/>
      <c r="J89" s="34"/>
      <c r="K89" s="34"/>
      <c r="U89" s="26"/>
      <c r="V89" s="26"/>
      <c r="W89" s="26"/>
      <c r="X89" s="26"/>
      <c r="Y89" s="26"/>
    </row>
    <row r="90" spans="2:25" s="31" customFormat="1" hidden="1">
      <c r="B90" s="32"/>
      <c r="C90" s="33"/>
      <c r="D90" s="33"/>
      <c r="E90" s="33"/>
      <c r="F90" s="33"/>
      <c r="G90" s="33"/>
      <c r="H90" s="33"/>
      <c r="I90" s="34"/>
      <c r="J90" s="34"/>
      <c r="K90" s="34"/>
      <c r="U90" s="26"/>
      <c r="V90" s="26"/>
      <c r="W90" s="26"/>
      <c r="X90" s="26"/>
      <c r="Y90" s="26"/>
    </row>
    <row r="91" spans="2:25" s="31" customFormat="1" hidden="1">
      <c r="B91" s="32"/>
      <c r="C91" s="33"/>
      <c r="D91" s="33"/>
      <c r="E91" s="33"/>
      <c r="F91" s="33"/>
      <c r="G91" s="33"/>
      <c r="H91" s="33"/>
      <c r="I91" s="34"/>
      <c r="J91" s="34"/>
      <c r="K91" s="34"/>
      <c r="U91" s="26"/>
      <c r="V91" s="26"/>
      <c r="W91" s="26"/>
      <c r="X91" s="26"/>
      <c r="Y91" s="26"/>
    </row>
    <row r="92" spans="2:25" s="31" customFormat="1" hidden="1">
      <c r="B92" s="32"/>
      <c r="C92" s="33"/>
      <c r="D92" s="33"/>
      <c r="E92" s="33"/>
      <c r="F92" s="33"/>
      <c r="G92" s="33"/>
      <c r="H92" s="33"/>
      <c r="I92" s="34"/>
      <c r="J92" s="34"/>
      <c r="K92" s="34"/>
      <c r="U92" s="26"/>
      <c r="V92" s="26"/>
      <c r="W92" s="26"/>
      <c r="X92" s="26"/>
      <c r="Y92" s="26"/>
    </row>
    <row r="93" spans="2:25" s="31" customFormat="1" hidden="1">
      <c r="B93" s="32"/>
      <c r="C93" s="33"/>
      <c r="D93" s="33"/>
      <c r="E93" s="33"/>
      <c r="F93" s="33"/>
      <c r="G93" s="33"/>
      <c r="H93" s="33"/>
      <c r="I93" s="34"/>
      <c r="J93" s="34"/>
      <c r="K93" s="34"/>
      <c r="U93" s="26"/>
      <c r="V93" s="26"/>
      <c r="W93" s="26"/>
      <c r="X93" s="26"/>
      <c r="Y93" s="26"/>
    </row>
    <row r="94" spans="2:25" s="31" customFormat="1" hidden="1">
      <c r="B94" s="32"/>
      <c r="C94" s="33"/>
      <c r="D94" s="33"/>
      <c r="E94" s="33"/>
      <c r="F94" s="33"/>
      <c r="G94" s="33"/>
      <c r="H94" s="33"/>
      <c r="I94" s="34"/>
      <c r="J94" s="34"/>
      <c r="K94" s="34"/>
      <c r="U94" s="26"/>
      <c r="V94" s="26"/>
      <c r="W94" s="26"/>
      <c r="X94" s="26"/>
      <c r="Y94" s="26"/>
    </row>
    <row r="95" spans="2:25" s="31" customFormat="1" hidden="1">
      <c r="B95" s="32"/>
      <c r="C95" s="33"/>
      <c r="D95" s="33"/>
      <c r="E95" s="33"/>
      <c r="F95" s="33"/>
      <c r="G95" s="33"/>
      <c r="H95" s="33"/>
      <c r="I95" s="34"/>
      <c r="J95" s="34"/>
      <c r="K95" s="34"/>
      <c r="U95" s="26"/>
      <c r="V95" s="26"/>
      <c r="W95" s="26"/>
      <c r="X95" s="26"/>
      <c r="Y95" s="26"/>
    </row>
    <row r="96" spans="2:25" s="31" customFormat="1" hidden="1">
      <c r="B96" s="32"/>
      <c r="C96" s="33"/>
      <c r="D96" s="33"/>
      <c r="E96" s="33"/>
      <c r="F96" s="33"/>
      <c r="G96" s="33"/>
      <c r="H96" s="33"/>
      <c r="I96" s="34"/>
      <c r="J96" s="34"/>
      <c r="K96" s="34"/>
      <c r="U96" s="26"/>
      <c r="V96" s="26"/>
      <c r="W96" s="26"/>
      <c r="X96" s="26"/>
      <c r="Y96" s="26"/>
    </row>
    <row r="97" spans="2:25" s="31" customFormat="1" hidden="1">
      <c r="B97" s="32"/>
      <c r="C97" s="33"/>
      <c r="D97" s="33"/>
      <c r="E97" s="33"/>
      <c r="F97" s="33"/>
      <c r="G97" s="33"/>
      <c r="H97" s="33"/>
      <c r="I97" s="34"/>
      <c r="J97" s="34"/>
      <c r="K97" s="34"/>
      <c r="U97" s="26"/>
      <c r="V97" s="26"/>
      <c r="W97" s="26"/>
      <c r="X97" s="26"/>
      <c r="Y97" s="26"/>
    </row>
    <row r="98" spans="2:25" s="31" customFormat="1" hidden="1">
      <c r="B98" s="32"/>
      <c r="C98" s="33"/>
      <c r="D98" s="33"/>
      <c r="E98" s="33"/>
      <c r="F98" s="33"/>
      <c r="G98" s="33"/>
      <c r="H98" s="33"/>
      <c r="I98" s="34"/>
      <c r="J98" s="34"/>
      <c r="K98" s="34"/>
      <c r="U98" s="26"/>
      <c r="V98" s="26"/>
      <c r="W98" s="26"/>
      <c r="X98" s="26"/>
      <c r="Y98" s="26"/>
    </row>
    <row r="99" spans="2:25" s="31" customFormat="1" hidden="1">
      <c r="B99" s="32"/>
      <c r="C99" s="33"/>
      <c r="D99" s="33"/>
      <c r="E99" s="33"/>
      <c r="F99" s="33"/>
      <c r="G99" s="33"/>
      <c r="H99" s="33"/>
      <c r="I99" s="34"/>
      <c r="J99" s="34"/>
      <c r="K99" s="34"/>
      <c r="U99" s="26"/>
      <c r="V99" s="26"/>
      <c r="W99" s="26"/>
      <c r="X99" s="26"/>
      <c r="Y99" s="26"/>
    </row>
    <row r="100" spans="2:25" s="31" customFormat="1" hidden="1">
      <c r="B100" s="32"/>
      <c r="C100" s="33"/>
      <c r="D100" s="33"/>
      <c r="E100" s="33"/>
      <c r="F100" s="33"/>
      <c r="G100" s="33"/>
      <c r="H100" s="33"/>
      <c r="I100" s="34"/>
      <c r="J100" s="34"/>
      <c r="K100" s="34"/>
      <c r="U100" s="26"/>
      <c r="V100" s="26"/>
      <c r="W100" s="26"/>
      <c r="X100" s="26"/>
      <c r="Y100" s="26"/>
    </row>
    <row r="101" spans="2:25" s="31" customFormat="1" hidden="1">
      <c r="B101" s="32"/>
      <c r="C101" s="33"/>
      <c r="D101" s="33"/>
      <c r="E101" s="33"/>
      <c r="F101" s="33"/>
      <c r="G101" s="33"/>
      <c r="H101" s="33"/>
      <c r="I101" s="34"/>
      <c r="J101" s="34"/>
      <c r="K101" s="34"/>
      <c r="U101" s="26"/>
      <c r="V101" s="26"/>
      <c r="W101" s="26"/>
      <c r="X101" s="26"/>
      <c r="Y101" s="26"/>
    </row>
    <row r="102" spans="2:25" s="31" customFormat="1" hidden="1">
      <c r="B102" s="32"/>
      <c r="C102" s="33"/>
      <c r="D102" s="33"/>
      <c r="E102" s="33"/>
      <c r="F102" s="33"/>
      <c r="G102" s="33"/>
      <c r="H102" s="33"/>
      <c r="I102" s="34"/>
      <c r="J102" s="34"/>
      <c r="K102" s="34"/>
      <c r="U102" s="26"/>
      <c r="V102" s="26"/>
      <c r="W102" s="26"/>
      <c r="X102" s="26"/>
      <c r="Y102" s="26"/>
    </row>
    <row r="103" spans="2:25" s="31" customFormat="1" hidden="1">
      <c r="B103" s="32"/>
      <c r="C103" s="33"/>
      <c r="D103" s="33"/>
      <c r="E103" s="33"/>
      <c r="F103" s="33"/>
      <c r="G103" s="33"/>
      <c r="H103" s="33"/>
      <c r="I103" s="34"/>
      <c r="J103" s="34"/>
      <c r="K103" s="34"/>
      <c r="U103" s="26"/>
      <c r="V103" s="26"/>
      <c r="W103" s="26"/>
      <c r="X103" s="26"/>
      <c r="Y103" s="26"/>
    </row>
    <row r="104" spans="2:25" s="31" customFormat="1" hidden="1">
      <c r="B104" s="32"/>
      <c r="C104" s="33"/>
      <c r="D104" s="33"/>
      <c r="E104" s="33"/>
      <c r="F104" s="33"/>
      <c r="G104" s="33"/>
      <c r="H104" s="33"/>
      <c r="I104" s="34"/>
      <c r="J104" s="34"/>
      <c r="K104" s="34"/>
      <c r="U104" s="26"/>
      <c r="V104" s="26"/>
      <c r="W104" s="26"/>
      <c r="X104" s="26"/>
      <c r="Y104" s="26"/>
    </row>
    <row r="105" spans="2:25" s="31" customFormat="1" hidden="1">
      <c r="B105" s="32"/>
      <c r="C105" s="33"/>
      <c r="D105" s="33"/>
      <c r="E105" s="33"/>
      <c r="F105" s="33"/>
      <c r="G105" s="33"/>
      <c r="H105" s="33"/>
      <c r="I105" s="34"/>
      <c r="J105" s="34"/>
      <c r="K105" s="34"/>
      <c r="U105" s="26"/>
      <c r="V105" s="26"/>
      <c r="W105" s="26"/>
      <c r="X105" s="26"/>
      <c r="Y105" s="26"/>
    </row>
    <row r="106" spans="2:25" s="31" customFormat="1" hidden="1">
      <c r="B106" s="32"/>
      <c r="C106" s="33"/>
      <c r="D106" s="33"/>
      <c r="E106" s="33"/>
      <c r="F106" s="33"/>
      <c r="G106" s="33"/>
      <c r="H106" s="33"/>
      <c r="I106" s="34"/>
      <c r="J106" s="34"/>
      <c r="K106" s="34"/>
      <c r="U106" s="26"/>
      <c r="V106" s="26"/>
      <c r="W106" s="26"/>
      <c r="X106" s="26"/>
      <c r="Y106" s="26"/>
    </row>
    <row r="107" spans="2:25" s="31" customFormat="1" hidden="1">
      <c r="B107" s="32"/>
      <c r="C107" s="33"/>
      <c r="D107" s="33"/>
      <c r="E107" s="33"/>
      <c r="F107" s="33"/>
      <c r="G107" s="33"/>
      <c r="H107" s="33"/>
      <c r="I107" s="34"/>
      <c r="J107" s="34"/>
      <c r="K107" s="34"/>
      <c r="U107" s="26"/>
      <c r="V107" s="26"/>
      <c r="W107" s="26"/>
      <c r="X107" s="26"/>
      <c r="Y107" s="26"/>
    </row>
    <row r="108" spans="2:25" s="31" customFormat="1" hidden="1">
      <c r="B108" s="32"/>
      <c r="C108" s="33"/>
      <c r="D108" s="33"/>
      <c r="E108" s="33"/>
      <c r="F108" s="33"/>
      <c r="G108" s="33"/>
      <c r="H108" s="33"/>
      <c r="I108" s="34"/>
      <c r="J108" s="34"/>
      <c r="K108" s="34"/>
      <c r="U108" s="26"/>
      <c r="V108" s="26"/>
      <c r="W108" s="26"/>
      <c r="X108" s="26"/>
      <c r="Y108" s="26"/>
    </row>
    <row r="109" spans="2:25" s="31" customFormat="1" hidden="1">
      <c r="B109" s="32"/>
      <c r="C109" s="33"/>
      <c r="D109" s="33"/>
      <c r="E109" s="33"/>
      <c r="F109" s="33"/>
      <c r="G109" s="33"/>
      <c r="H109" s="33"/>
      <c r="I109" s="34"/>
      <c r="J109" s="34"/>
      <c r="K109" s="34"/>
      <c r="U109" s="26"/>
      <c r="V109" s="26"/>
      <c r="W109" s="26"/>
      <c r="X109" s="26"/>
      <c r="Y109" s="26"/>
    </row>
    <row r="110" spans="2:25" s="31" customFormat="1" hidden="1">
      <c r="B110" s="32"/>
      <c r="C110" s="33"/>
      <c r="D110" s="33"/>
      <c r="E110" s="33"/>
      <c r="F110" s="33"/>
      <c r="G110" s="33"/>
      <c r="H110" s="33"/>
      <c r="I110" s="34"/>
      <c r="J110" s="34"/>
      <c r="K110" s="34"/>
      <c r="U110" s="26"/>
      <c r="V110" s="26"/>
      <c r="W110" s="26"/>
      <c r="X110" s="26"/>
      <c r="Y110" s="26"/>
    </row>
    <row r="111" spans="2:25" s="31" customFormat="1" hidden="1">
      <c r="B111" s="32"/>
      <c r="C111" s="33"/>
      <c r="D111" s="33"/>
      <c r="E111" s="33"/>
      <c r="F111" s="33"/>
      <c r="G111" s="33"/>
      <c r="H111" s="33"/>
      <c r="I111" s="34"/>
      <c r="J111" s="34"/>
      <c r="K111" s="34"/>
      <c r="U111" s="26"/>
      <c r="V111" s="26"/>
      <c r="W111" s="26"/>
      <c r="X111" s="26"/>
      <c r="Y111" s="26"/>
    </row>
    <row r="112" spans="2:25" s="31" customFormat="1" hidden="1">
      <c r="B112" s="32"/>
      <c r="C112" s="33"/>
      <c r="D112" s="33"/>
      <c r="E112" s="33"/>
      <c r="F112" s="33"/>
      <c r="G112" s="33"/>
      <c r="H112" s="33"/>
      <c r="I112" s="34"/>
      <c r="J112" s="34"/>
      <c r="K112" s="34"/>
      <c r="U112" s="26"/>
      <c r="V112" s="26"/>
      <c r="W112" s="26"/>
      <c r="X112" s="26"/>
      <c r="Y112" s="26"/>
    </row>
    <row r="113" spans="2:25" s="31" customFormat="1" hidden="1">
      <c r="B113" s="32"/>
      <c r="C113" s="33"/>
      <c r="D113" s="33"/>
      <c r="E113" s="33"/>
      <c r="F113" s="33"/>
      <c r="G113" s="33"/>
      <c r="H113" s="33"/>
      <c r="I113" s="34"/>
      <c r="J113" s="34"/>
      <c r="K113" s="34"/>
      <c r="U113" s="26"/>
      <c r="V113" s="26"/>
      <c r="W113" s="26"/>
      <c r="X113" s="26"/>
      <c r="Y113" s="26"/>
    </row>
    <row r="114" spans="2:25" s="31" customFormat="1" hidden="1">
      <c r="B114" s="32"/>
      <c r="C114" s="33"/>
      <c r="D114" s="33"/>
      <c r="E114" s="33"/>
      <c r="F114" s="33"/>
      <c r="G114" s="33"/>
      <c r="H114" s="33"/>
      <c r="I114" s="34"/>
      <c r="J114" s="34"/>
      <c r="K114" s="34"/>
      <c r="U114" s="26"/>
      <c r="V114" s="26"/>
      <c r="W114" s="26"/>
      <c r="X114" s="26"/>
      <c r="Y114" s="26"/>
    </row>
    <row r="115" spans="2:25" s="31" customFormat="1" hidden="1">
      <c r="B115" s="32"/>
      <c r="C115" s="33"/>
      <c r="D115" s="33"/>
      <c r="E115" s="33"/>
      <c r="F115" s="33"/>
      <c r="G115" s="33"/>
      <c r="H115" s="33"/>
      <c r="I115" s="34"/>
      <c r="J115" s="34"/>
      <c r="K115" s="34"/>
      <c r="U115" s="26"/>
      <c r="V115" s="26"/>
      <c r="W115" s="26"/>
      <c r="X115" s="26"/>
      <c r="Y115" s="26"/>
    </row>
    <row r="116" spans="2:25" s="31" customFormat="1" hidden="1">
      <c r="B116" s="32"/>
      <c r="C116" s="33"/>
      <c r="D116" s="33"/>
      <c r="E116" s="33"/>
      <c r="F116" s="33"/>
      <c r="G116" s="33"/>
      <c r="H116" s="33"/>
      <c r="I116" s="34"/>
      <c r="J116" s="34"/>
      <c r="K116" s="34"/>
      <c r="U116" s="26"/>
      <c r="V116" s="26"/>
      <c r="W116" s="26"/>
      <c r="X116" s="26"/>
      <c r="Y116" s="26"/>
    </row>
    <row r="117" spans="2:25" s="31" customFormat="1" hidden="1">
      <c r="B117" s="32"/>
      <c r="C117" s="33"/>
      <c r="D117" s="33"/>
      <c r="E117" s="33"/>
      <c r="F117" s="33"/>
      <c r="G117" s="33"/>
      <c r="H117" s="33"/>
      <c r="I117" s="34"/>
      <c r="J117" s="34"/>
      <c r="K117" s="34"/>
      <c r="U117" s="26"/>
      <c r="V117" s="26"/>
      <c r="W117" s="26"/>
      <c r="X117" s="26"/>
      <c r="Y117" s="26"/>
    </row>
    <row r="118" spans="2:25" s="31" customFormat="1" hidden="1">
      <c r="B118" s="32"/>
      <c r="C118" s="33"/>
      <c r="D118" s="33"/>
      <c r="E118" s="33"/>
      <c r="F118" s="33"/>
      <c r="G118" s="33"/>
      <c r="H118" s="33"/>
      <c r="I118" s="34"/>
      <c r="J118" s="34"/>
      <c r="K118" s="34"/>
      <c r="U118" s="26"/>
      <c r="V118" s="26"/>
      <c r="W118" s="26"/>
      <c r="X118" s="26"/>
      <c r="Y118" s="26"/>
    </row>
    <row r="119" spans="2:25" s="31" customFormat="1" hidden="1">
      <c r="B119" s="32"/>
      <c r="C119" s="33"/>
      <c r="D119" s="33"/>
      <c r="E119" s="33"/>
      <c r="F119" s="33"/>
      <c r="G119" s="33"/>
      <c r="H119" s="33"/>
      <c r="I119" s="34"/>
      <c r="J119" s="34"/>
      <c r="K119" s="34"/>
      <c r="U119" s="26"/>
      <c r="V119" s="26"/>
      <c r="W119" s="26"/>
      <c r="X119" s="26"/>
      <c r="Y119" s="26"/>
    </row>
    <row r="120" spans="2:25" s="31" customFormat="1" hidden="1">
      <c r="B120" s="32"/>
      <c r="C120" s="33"/>
      <c r="D120" s="33"/>
      <c r="E120" s="33"/>
      <c r="F120" s="33"/>
      <c r="G120" s="33"/>
      <c r="H120" s="33"/>
      <c r="I120" s="34"/>
      <c r="J120" s="34"/>
      <c r="K120" s="34"/>
      <c r="U120" s="26"/>
      <c r="V120" s="26"/>
      <c r="W120" s="26"/>
      <c r="X120" s="26"/>
      <c r="Y120" s="26"/>
    </row>
    <row r="121" spans="2:25" s="31" customFormat="1" hidden="1">
      <c r="B121" s="32"/>
      <c r="C121" s="33"/>
      <c r="D121" s="33"/>
      <c r="E121" s="33"/>
      <c r="F121" s="33"/>
      <c r="G121" s="33"/>
      <c r="H121" s="33"/>
      <c r="I121" s="34"/>
      <c r="J121" s="34"/>
      <c r="K121" s="34"/>
      <c r="U121" s="26"/>
      <c r="V121" s="26"/>
      <c r="W121" s="26"/>
      <c r="X121" s="26"/>
      <c r="Y121" s="26"/>
    </row>
    <row r="122" spans="2:25" s="31" customFormat="1" hidden="1">
      <c r="B122" s="32"/>
      <c r="C122" s="33"/>
      <c r="D122" s="33"/>
      <c r="E122" s="33"/>
      <c r="F122" s="33"/>
      <c r="G122" s="33"/>
      <c r="H122" s="33"/>
      <c r="I122" s="34"/>
      <c r="J122" s="34"/>
      <c r="K122" s="34"/>
      <c r="U122" s="26"/>
      <c r="V122" s="26"/>
      <c r="W122" s="26"/>
      <c r="X122" s="26"/>
      <c r="Y122" s="26"/>
    </row>
    <row r="123" spans="2:25" s="31" customFormat="1" hidden="1">
      <c r="B123" s="32"/>
      <c r="C123" s="33"/>
      <c r="D123" s="33"/>
      <c r="E123" s="33"/>
      <c r="F123" s="33"/>
      <c r="G123" s="33"/>
      <c r="H123" s="33"/>
      <c r="I123" s="34"/>
      <c r="J123" s="34"/>
      <c r="K123" s="34"/>
      <c r="U123" s="26"/>
      <c r="V123" s="26"/>
      <c r="W123" s="26"/>
      <c r="X123" s="26"/>
      <c r="Y123" s="26"/>
    </row>
    <row r="124" spans="2:25" s="31" customFormat="1" hidden="1">
      <c r="B124" s="32"/>
      <c r="C124" s="33"/>
      <c r="D124" s="33"/>
      <c r="E124" s="33"/>
      <c r="F124" s="33"/>
      <c r="G124" s="33"/>
      <c r="H124" s="33"/>
      <c r="I124" s="34"/>
      <c r="J124" s="34"/>
      <c r="K124" s="34"/>
      <c r="U124" s="26"/>
      <c r="V124" s="26"/>
      <c r="W124" s="26"/>
      <c r="X124" s="26"/>
      <c r="Y124" s="26"/>
    </row>
    <row r="125" spans="2:25" s="31" customFormat="1" hidden="1">
      <c r="B125" s="32"/>
      <c r="C125" s="33"/>
      <c r="D125" s="33"/>
      <c r="E125" s="33"/>
      <c r="F125" s="33"/>
      <c r="G125" s="33"/>
      <c r="H125" s="33"/>
      <c r="I125" s="34"/>
      <c r="J125" s="34"/>
      <c r="K125" s="34"/>
      <c r="U125" s="26"/>
      <c r="V125" s="26"/>
      <c r="W125" s="26"/>
      <c r="X125" s="26"/>
      <c r="Y125" s="26"/>
    </row>
    <row r="126" spans="2:25" s="31" customFormat="1" hidden="1">
      <c r="B126" s="32"/>
      <c r="C126" s="33"/>
      <c r="D126" s="33"/>
      <c r="E126" s="33"/>
      <c r="F126" s="33"/>
      <c r="G126" s="33"/>
      <c r="H126" s="33"/>
      <c r="I126" s="34"/>
      <c r="J126" s="34"/>
      <c r="K126" s="34"/>
      <c r="U126" s="26"/>
      <c r="V126" s="26"/>
      <c r="W126" s="26"/>
      <c r="X126" s="26"/>
      <c r="Y126" s="26"/>
    </row>
    <row r="127" spans="2:25" s="31" customFormat="1" hidden="1">
      <c r="B127" s="32"/>
      <c r="C127" s="33"/>
      <c r="D127" s="33"/>
      <c r="E127" s="33"/>
      <c r="F127" s="33"/>
      <c r="G127" s="33"/>
      <c r="H127" s="33"/>
      <c r="I127" s="34"/>
      <c r="J127" s="34"/>
      <c r="K127" s="34"/>
      <c r="U127" s="26"/>
      <c r="V127" s="26"/>
      <c r="W127" s="26"/>
      <c r="X127" s="26"/>
      <c r="Y127" s="26"/>
    </row>
    <row r="128" spans="2:25" s="31" customFormat="1" hidden="1">
      <c r="B128" s="32"/>
      <c r="C128" s="33"/>
      <c r="D128" s="33"/>
      <c r="E128" s="33"/>
      <c r="F128" s="33"/>
      <c r="G128" s="33"/>
      <c r="H128" s="33"/>
      <c r="I128" s="34"/>
      <c r="J128" s="34"/>
      <c r="K128" s="34"/>
      <c r="U128" s="26"/>
      <c r="V128" s="26"/>
      <c r="W128" s="26"/>
      <c r="X128" s="26"/>
      <c r="Y128" s="26"/>
    </row>
    <row r="129" spans="2:25" s="31" customFormat="1" hidden="1">
      <c r="B129" s="32"/>
      <c r="C129" s="33"/>
      <c r="D129" s="33"/>
      <c r="E129" s="33"/>
      <c r="F129" s="33"/>
      <c r="G129" s="33"/>
      <c r="H129" s="33"/>
      <c r="I129" s="34"/>
      <c r="J129" s="34"/>
      <c r="K129" s="34"/>
      <c r="U129" s="26"/>
      <c r="V129" s="26"/>
      <c r="W129" s="26"/>
      <c r="X129" s="26"/>
      <c r="Y129" s="26"/>
    </row>
    <row r="130" spans="2:25" s="31" customFormat="1" hidden="1">
      <c r="B130" s="32"/>
      <c r="C130" s="33"/>
      <c r="D130" s="33"/>
      <c r="E130" s="33"/>
      <c r="F130" s="33"/>
      <c r="G130" s="33"/>
      <c r="H130" s="33"/>
      <c r="I130" s="34"/>
      <c r="J130" s="34"/>
      <c r="K130" s="34"/>
      <c r="U130" s="26"/>
      <c r="V130" s="26"/>
      <c r="W130" s="26"/>
      <c r="X130" s="26"/>
      <c r="Y130" s="26"/>
    </row>
    <row r="131" spans="2:25" s="31" customFormat="1" hidden="1">
      <c r="B131" s="32"/>
      <c r="C131" s="33"/>
      <c r="D131" s="33"/>
      <c r="E131" s="33"/>
      <c r="F131" s="33"/>
      <c r="G131" s="33"/>
      <c r="H131" s="33"/>
      <c r="I131" s="34"/>
      <c r="J131" s="34"/>
      <c r="K131" s="34"/>
      <c r="U131" s="26"/>
      <c r="V131" s="26"/>
      <c r="W131" s="26"/>
      <c r="X131" s="26"/>
      <c r="Y131" s="26"/>
    </row>
    <row r="132" spans="2:25" s="31" customFormat="1" hidden="1">
      <c r="B132" s="32"/>
      <c r="C132" s="33"/>
      <c r="D132" s="33"/>
      <c r="E132" s="33"/>
      <c r="F132" s="33"/>
      <c r="G132" s="33"/>
      <c r="H132" s="33"/>
      <c r="I132" s="34"/>
      <c r="J132" s="34"/>
      <c r="K132" s="34"/>
      <c r="U132" s="26"/>
      <c r="V132" s="26"/>
      <c r="W132" s="26"/>
      <c r="X132" s="26"/>
      <c r="Y132" s="26"/>
    </row>
    <row r="133" spans="2:25" s="31" customFormat="1" hidden="1">
      <c r="B133" s="32"/>
      <c r="C133" s="33"/>
      <c r="D133" s="33"/>
      <c r="E133" s="33"/>
      <c r="F133" s="33"/>
      <c r="G133" s="33"/>
      <c r="H133" s="33"/>
      <c r="I133" s="34"/>
      <c r="J133" s="34"/>
      <c r="K133" s="34"/>
      <c r="U133" s="26"/>
      <c r="V133" s="26"/>
      <c r="W133" s="26"/>
      <c r="X133" s="26"/>
      <c r="Y133" s="26"/>
    </row>
    <row r="134" spans="2:25" s="31" customFormat="1" hidden="1">
      <c r="B134" s="32"/>
      <c r="C134" s="33"/>
      <c r="D134" s="33"/>
      <c r="E134" s="33"/>
      <c r="F134" s="33"/>
      <c r="G134" s="33"/>
      <c r="H134" s="33"/>
      <c r="I134" s="34"/>
      <c r="J134" s="34"/>
      <c r="K134" s="34"/>
      <c r="U134" s="26"/>
      <c r="V134" s="26"/>
      <c r="W134" s="26"/>
      <c r="X134" s="26"/>
      <c r="Y134" s="26"/>
    </row>
    <row r="135" spans="2:25" s="31" customFormat="1" hidden="1">
      <c r="B135" s="32"/>
      <c r="C135" s="33"/>
      <c r="D135" s="33"/>
      <c r="E135" s="33"/>
      <c r="F135" s="33"/>
      <c r="G135" s="33"/>
      <c r="H135" s="33"/>
      <c r="I135" s="34"/>
      <c r="J135" s="34"/>
      <c r="K135" s="34"/>
      <c r="U135" s="26"/>
      <c r="V135" s="26"/>
      <c r="W135" s="26"/>
      <c r="X135" s="26"/>
      <c r="Y135" s="26"/>
    </row>
    <row r="136" spans="2:25" s="31" customFormat="1" hidden="1">
      <c r="B136" s="32"/>
      <c r="C136" s="33"/>
      <c r="D136" s="33"/>
      <c r="E136" s="33"/>
      <c r="F136" s="33"/>
      <c r="G136" s="33"/>
      <c r="H136" s="33"/>
      <c r="I136" s="34"/>
      <c r="J136" s="34"/>
      <c r="K136" s="34"/>
      <c r="U136" s="26"/>
      <c r="V136" s="26"/>
      <c r="W136" s="26"/>
      <c r="X136" s="26"/>
      <c r="Y136" s="26"/>
    </row>
    <row r="137" spans="2:25" s="31" customFormat="1" hidden="1">
      <c r="B137" s="32"/>
      <c r="C137" s="33"/>
      <c r="D137" s="33"/>
      <c r="E137" s="33"/>
      <c r="F137" s="33"/>
      <c r="G137" s="33"/>
      <c r="H137" s="33"/>
      <c r="I137" s="34"/>
      <c r="J137" s="34"/>
      <c r="K137" s="34"/>
      <c r="U137" s="26"/>
      <c r="V137" s="26"/>
      <c r="W137" s="26"/>
      <c r="X137" s="26"/>
      <c r="Y137" s="26"/>
    </row>
    <row r="138" spans="2:25" s="31" customFormat="1" hidden="1">
      <c r="B138" s="32"/>
      <c r="C138" s="33"/>
      <c r="D138" s="33"/>
      <c r="E138" s="33"/>
      <c r="F138" s="33"/>
      <c r="G138" s="33"/>
      <c r="H138" s="33"/>
      <c r="I138" s="34"/>
      <c r="J138" s="34"/>
      <c r="K138" s="34"/>
      <c r="U138" s="26"/>
      <c r="V138" s="26"/>
      <c r="W138" s="26"/>
      <c r="X138" s="26"/>
      <c r="Y138" s="26"/>
    </row>
    <row r="139" spans="2:25" s="31" customFormat="1" hidden="1">
      <c r="B139" s="32"/>
      <c r="C139" s="33"/>
      <c r="D139" s="33"/>
      <c r="E139" s="33"/>
      <c r="F139" s="33"/>
      <c r="G139" s="33"/>
      <c r="H139" s="33"/>
      <c r="I139" s="34"/>
      <c r="J139" s="34"/>
      <c r="K139" s="34"/>
      <c r="U139" s="26"/>
      <c r="V139" s="26"/>
      <c r="W139" s="26"/>
      <c r="X139" s="26"/>
      <c r="Y139" s="26"/>
    </row>
    <row r="140" spans="2:25" s="31" customFormat="1" hidden="1">
      <c r="B140" s="32"/>
      <c r="C140" s="33"/>
      <c r="D140" s="33"/>
      <c r="E140" s="33"/>
      <c r="F140" s="33"/>
      <c r="G140" s="33"/>
      <c r="H140" s="33"/>
      <c r="I140" s="34"/>
      <c r="J140" s="34"/>
      <c r="K140" s="34"/>
      <c r="U140" s="26"/>
      <c r="V140" s="26"/>
      <c r="W140" s="26"/>
      <c r="X140" s="26"/>
      <c r="Y140" s="26"/>
    </row>
    <row r="141" spans="2:25" s="31" customFormat="1" hidden="1">
      <c r="B141" s="32"/>
      <c r="C141" s="33"/>
      <c r="D141" s="33"/>
      <c r="E141" s="33"/>
      <c r="F141" s="33"/>
      <c r="G141" s="33"/>
      <c r="H141" s="33"/>
      <c r="I141" s="34"/>
      <c r="J141" s="34"/>
      <c r="K141" s="34"/>
      <c r="U141" s="26"/>
      <c r="V141" s="26"/>
      <c r="W141" s="26"/>
      <c r="X141" s="26"/>
      <c r="Y141" s="26"/>
    </row>
    <row r="142" spans="2:25" s="31" customFormat="1" hidden="1">
      <c r="B142" s="32"/>
      <c r="C142" s="33"/>
      <c r="D142" s="33"/>
      <c r="E142" s="33"/>
      <c r="F142" s="33"/>
      <c r="G142" s="33"/>
      <c r="H142" s="33"/>
      <c r="I142" s="34"/>
      <c r="J142" s="34"/>
      <c r="K142" s="34"/>
      <c r="U142" s="26"/>
      <c r="V142" s="26"/>
      <c r="W142" s="26"/>
      <c r="X142" s="26"/>
      <c r="Y142" s="26"/>
    </row>
    <row r="143" spans="2:25" s="31" customFormat="1" hidden="1">
      <c r="B143" s="32"/>
      <c r="C143" s="33"/>
      <c r="D143" s="33"/>
      <c r="E143" s="33"/>
      <c r="F143" s="33"/>
      <c r="G143" s="33"/>
      <c r="H143" s="33"/>
      <c r="I143" s="34"/>
      <c r="J143" s="34"/>
      <c r="K143" s="34"/>
      <c r="U143" s="26"/>
      <c r="V143" s="26"/>
      <c r="W143" s="26"/>
      <c r="X143" s="26"/>
      <c r="Y143" s="26"/>
    </row>
    <row r="144" spans="2:25" s="31" customFormat="1" hidden="1">
      <c r="B144" s="32"/>
      <c r="C144" s="33"/>
      <c r="D144" s="33"/>
      <c r="E144" s="33"/>
      <c r="F144" s="33"/>
      <c r="G144" s="33"/>
      <c r="H144" s="33"/>
      <c r="I144" s="34"/>
      <c r="J144" s="34"/>
      <c r="K144" s="34"/>
      <c r="U144" s="26"/>
      <c r="V144" s="26"/>
      <c r="W144" s="26"/>
      <c r="X144" s="26"/>
      <c r="Y144" s="26"/>
    </row>
    <row r="145" spans="2:25" s="31" customFormat="1" hidden="1">
      <c r="B145" s="32"/>
      <c r="C145" s="33"/>
      <c r="D145" s="33"/>
      <c r="E145" s="33"/>
      <c r="F145" s="33"/>
      <c r="G145" s="33"/>
      <c r="H145" s="33"/>
      <c r="I145" s="34"/>
      <c r="J145" s="34"/>
      <c r="K145" s="34"/>
      <c r="U145" s="26"/>
      <c r="V145" s="26"/>
      <c r="W145" s="26"/>
      <c r="X145" s="26"/>
      <c r="Y145" s="26"/>
    </row>
    <row r="146" spans="2:25" s="31" customFormat="1" hidden="1">
      <c r="B146" s="32"/>
      <c r="C146" s="33"/>
      <c r="D146" s="33"/>
      <c r="E146" s="33"/>
      <c r="F146" s="33"/>
      <c r="G146" s="33"/>
      <c r="H146" s="33"/>
      <c r="I146" s="34"/>
      <c r="J146" s="34"/>
      <c r="K146" s="34"/>
      <c r="U146" s="26"/>
      <c r="V146" s="26"/>
      <c r="W146" s="26"/>
      <c r="X146" s="26"/>
      <c r="Y146" s="26"/>
    </row>
    <row r="147" spans="2:25" s="31" customFormat="1" hidden="1">
      <c r="B147" s="32"/>
      <c r="C147" s="33"/>
      <c r="D147" s="33"/>
      <c r="E147" s="33"/>
      <c r="F147" s="33"/>
      <c r="G147" s="33"/>
      <c r="H147" s="33"/>
      <c r="I147" s="34"/>
      <c r="J147" s="34"/>
      <c r="K147" s="34"/>
      <c r="U147" s="26"/>
      <c r="V147" s="26"/>
      <c r="W147" s="26"/>
      <c r="X147" s="26"/>
      <c r="Y147" s="26"/>
    </row>
    <row r="148" spans="2:25" s="31" customFormat="1" hidden="1">
      <c r="B148" s="32"/>
      <c r="C148" s="33"/>
      <c r="D148" s="33"/>
      <c r="E148" s="33"/>
      <c r="F148" s="33"/>
      <c r="G148" s="33"/>
      <c r="H148" s="33"/>
      <c r="I148" s="34"/>
      <c r="J148" s="34"/>
      <c r="K148" s="34"/>
      <c r="U148" s="26"/>
      <c r="V148" s="26"/>
      <c r="W148" s="26"/>
      <c r="X148" s="26"/>
      <c r="Y148" s="26"/>
    </row>
    <row r="149" spans="2:25" s="31" customFormat="1" hidden="1">
      <c r="B149" s="32"/>
      <c r="C149" s="33"/>
      <c r="D149" s="33"/>
      <c r="E149" s="33"/>
      <c r="F149" s="33"/>
      <c r="G149" s="33"/>
      <c r="H149" s="33"/>
      <c r="I149" s="34"/>
      <c r="J149" s="34"/>
      <c r="K149" s="34"/>
      <c r="U149" s="26"/>
      <c r="V149" s="26"/>
      <c r="W149" s="26"/>
      <c r="X149" s="26"/>
      <c r="Y149" s="26"/>
    </row>
    <row r="150" spans="2:25" s="31" customFormat="1" hidden="1">
      <c r="B150" s="32"/>
      <c r="C150" s="33"/>
      <c r="D150" s="33"/>
      <c r="E150" s="33"/>
      <c r="F150" s="33"/>
      <c r="G150" s="33"/>
      <c r="H150" s="33"/>
      <c r="I150" s="34"/>
      <c r="J150" s="34"/>
      <c r="K150" s="34"/>
      <c r="U150" s="26"/>
      <c r="V150" s="26"/>
      <c r="W150" s="26"/>
      <c r="X150" s="26"/>
      <c r="Y150" s="26"/>
    </row>
    <row r="151" spans="2:25" s="31" customFormat="1" hidden="1">
      <c r="B151" s="32"/>
      <c r="C151" s="33"/>
      <c r="D151" s="33"/>
      <c r="E151" s="33"/>
      <c r="F151" s="33"/>
      <c r="G151" s="33"/>
      <c r="H151" s="33"/>
      <c r="I151" s="34"/>
      <c r="J151" s="34"/>
      <c r="K151" s="34"/>
      <c r="U151" s="26"/>
      <c r="V151" s="26"/>
      <c r="W151" s="26"/>
      <c r="X151" s="26"/>
      <c r="Y151" s="26"/>
    </row>
    <row r="152" spans="2:25" s="31" customFormat="1" hidden="1">
      <c r="B152" s="32"/>
      <c r="C152" s="33"/>
      <c r="D152" s="33"/>
      <c r="E152" s="33"/>
      <c r="F152" s="33"/>
      <c r="G152" s="33"/>
      <c r="H152" s="33"/>
      <c r="I152" s="34"/>
      <c r="J152" s="34"/>
      <c r="K152" s="34"/>
      <c r="U152" s="26"/>
      <c r="V152" s="26"/>
      <c r="W152" s="26"/>
      <c r="X152" s="26"/>
      <c r="Y152" s="26"/>
    </row>
    <row r="153" spans="2:25" s="31" customFormat="1" hidden="1">
      <c r="B153" s="32"/>
      <c r="C153" s="33"/>
      <c r="D153" s="33"/>
      <c r="E153" s="33"/>
      <c r="F153" s="33"/>
      <c r="G153" s="33"/>
      <c r="H153" s="33"/>
      <c r="I153" s="34"/>
      <c r="J153" s="34"/>
      <c r="K153" s="34"/>
      <c r="U153" s="26"/>
      <c r="V153" s="26"/>
      <c r="W153" s="26"/>
      <c r="X153" s="26"/>
      <c r="Y153" s="26"/>
    </row>
    <row r="154" spans="2:25" s="31" customFormat="1" hidden="1">
      <c r="B154" s="32"/>
      <c r="C154" s="33"/>
      <c r="D154" s="33"/>
      <c r="E154" s="33"/>
      <c r="F154" s="33"/>
      <c r="G154" s="33"/>
      <c r="H154" s="33"/>
      <c r="I154" s="34"/>
      <c r="J154" s="34"/>
      <c r="K154" s="34"/>
      <c r="U154" s="26"/>
      <c r="V154" s="26"/>
      <c r="W154" s="26"/>
      <c r="X154" s="26"/>
      <c r="Y154" s="26"/>
    </row>
    <row r="155" spans="2:25" s="31" customFormat="1" hidden="1">
      <c r="B155" s="32"/>
      <c r="C155" s="33"/>
      <c r="D155" s="33"/>
      <c r="E155" s="33"/>
      <c r="F155" s="33"/>
      <c r="G155" s="33"/>
      <c r="H155" s="33"/>
      <c r="I155" s="34"/>
      <c r="J155" s="34"/>
      <c r="K155" s="34"/>
      <c r="U155" s="26"/>
      <c r="V155" s="26"/>
      <c r="W155" s="26"/>
      <c r="X155" s="26"/>
      <c r="Y155" s="26"/>
    </row>
    <row r="156" spans="2:25" s="31" customFormat="1" hidden="1">
      <c r="B156" s="32"/>
      <c r="C156" s="33"/>
      <c r="D156" s="33"/>
      <c r="E156" s="33"/>
      <c r="F156" s="33"/>
      <c r="G156" s="33"/>
      <c r="H156" s="33"/>
      <c r="I156" s="34"/>
      <c r="J156" s="34"/>
      <c r="K156" s="34"/>
      <c r="U156" s="26"/>
      <c r="V156" s="26"/>
      <c r="W156" s="26"/>
      <c r="X156" s="26"/>
      <c r="Y156" s="26"/>
    </row>
    <row r="157" spans="2:25" s="31" customFormat="1" hidden="1">
      <c r="B157" s="32"/>
      <c r="C157" s="33"/>
      <c r="D157" s="33"/>
      <c r="E157" s="33"/>
      <c r="F157" s="33"/>
      <c r="G157" s="33"/>
      <c r="H157" s="33"/>
      <c r="I157" s="34"/>
      <c r="J157" s="34"/>
      <c r="K157" s="34"/>
      <c r="U157" s="26"/>
      <c r="V157" s="26"/>
      <c r="W157" s="26"/>
      <c r="X157" s="26"/>
      <c r="Y157" s="26"/>
    </row>
    <row r="158" spans="2:25" s="31" customFormat="1" hidden="1">
      <c r="B158" s="3"/>
      <c r="C158" s="4"/>
      <c r="D158" s="4"/>
      <c r="E158" s="4"/>
      <c r="F158" s="4"/>
      <c r="G158" s="4"/>
      <c r="H158" s="4"/>
      <c r="I158" s="2"/>
      <c r="J158" s="2"/>
      <c r="K158" s="2"/>
      <c r="P158" s="1"/>
      <c r="U158" s="26"/>
      <c r="V158" s="26"/>
      <c r="W158" s="26"/>
      <c r="X158" s="26"/>
      <c r="Y158" s="26"/>
    </row>
    <row r="159" spans="2:25" s="31" customFormat="1" hidden="1">
      <c r="B159" s="3"/>
      <c r="C159" s="4"/>
      <c r="D159" s="4"/>
      <c r="E159" s="4"/>
      <c r="F159" s="4"/>
      <c r="G159" s="4"/>
      <c r="H159" s="4"/>
      <c r="I159" s="2"/>
      <c r="J159" s="2"/>
      <c r="K159" s="2"/>
      <c r="P159" s="1"/>
      <c r="U159" s="26"/>
      <c r="V159" s="26"/>
      <c r="W159" s="26"/>
      <c r="X159" s="26"/>
      <c r="Y159" s="26"/>
    </row>
    <row r="160" spans="2:25" s="31" customFormat="1" hidden="1">
      <c r="B160" s="3"/>
      <c r="C160" s="4"/>
      <c r="D160" s="4"/>
      <c r="E160" s="4"/>
      <c r="F160" s="4"/>
      <c r="G160" s="4"/>
      <c r="H160" s="4"/>
      <c r="I160" s="2"/>
      <c r="J160" s="2"/>
      <c r="K160" s="2"/>
      <c r="P160" s="1"/>
      <c r="U160" s="26"/>
      <c r="V160" s="26"/>
      <c r="W160" s="26"/>
      <c r="X160" s="26"/>
      <c r="Y160" s="26"/>
    </row>
    <row r="161" spans="2:25" s="31" customFormat="1" hidden="1">
      <c r="B161" s="3"/>
      <c r="C161" s="4"/>
      <c r="D161" s="4"/>
      <c r="E161" s="4"/>
      <c r="F161" s="4"/>
      <c r="G161" s="4"/>
      <c r="H161" s="4"/>
      <c r="I161" s="2"/>
      <c r="J161" s="2"/>
      <c r="K161" s="2"/>
      <c r="P161" s="1"/>
      <c r="U161" s="26"/>
      <c r="V161" s="26"/>
      <c r="W161" s="26"/>
      <c r="X161" s="26"/>
      <c r="Y161" s="26"/>
    </row>
    <row r="162" spans="2:25" s="31" customFormat="1" hidden="1">
      <c r="B162" s="3"/>
      <c r="C162" s="4"/>
      <c r="D162" s="4"/>
      <c r="E162" s="4"/>
      <c r="F162" s="4"/>
      <c r="G162" s="4"/>
      <c r="H162" s="4"/>
      <c r="I162" s="2"/>
      <c r="J162" s="2"/>
      <c r="K162" s="2"/>
      <c r="P162" s="1"/>
      <c r="U162" s="26"/>
      <c r="V162" s="26"/>
      <c r="W162" s="26"/>
      <c r="X162" s="26"/>
      <c r="Y162" s="26"/>
    </row>
    <row r="163" spans="2:25" s="31" customFormat="1" hidden="1">
      <c r="B163" s="3"/>
      <c r="C163" s="4"/>
      <c r="D163" s="4"/>
      <c r="E163" s="4"/>
      <c r="F163" s="4"/>
      <c r="G163" s="4"/>
      <c r="H163" s="4"/>
      <c r="I163" s="2"/>
      <c r="J163" s="2"/>
      <c r="K163" s="2"/>
      <c r="P163" s="1"/>
      <c r="U163" s="26"/>
      <c r="V163" s="26"/>
      <c r="W163" s="26"/>
      <c r="X163" s="26"/>
      <c r="Y163" s="26"/>
    </row>
    <row r="164" spans="2:25" s="31" customFormat="1" hidden="1">
      <c r="B164" s="3"/>
      <c r="C164" s="4"/>
      <c r="D164" s="4"/>
      <c r="E164" s="4"/>
      <c r="F164" s="4"/>
      <c r="G164" s="4"/>
      <c r="H164" s="4"/>
      <c r="I164" s="2"/>
      <c r="J164" s="2"/>
      <c r="K164" s="2"/>
      <c r="P164" s="1"/>
      <c r="U164" s="26"/>
      <c r="V164" s="26"/>
      <c r="W164" s="26"/>
      <c r="X164" s="26"/>
      <c r="Y164" s="26"/>
    </row>
    <row r="165" spans="2:25" s="31" customFormat="1" hidden="1">
      <c r="B165" s="3"/>
      <c r="C165" s="4"/>
      <c r="D165" s="4"/>
      <c r="E165" s="4"/>
      <c r="F165" s="4"/>
      <c r="G165" s="4"/>
      <c r="H165" s="4"/>
      <c r="I165" s="2"/>
      <c r="J165" s="2"/>
      <c r="K165" s="2"/>
      <c r="P165" s="1"/>
      <c r="U165" s="26"/>
      <c r="V165" s="26"/>
      <c r="W165" s="26"/>
      <c r="X165" s="26"/>
      <c r="Y165" s="26"/>
    </row>
    <row r="166" spans="2:25" s="31" customFormat="1" hidden="1">
      <c r="B166" s="3"/>
      <c r="C166" s="4"/>
      <c r="D166" s="4"/>
      <c r="E166" s="4"/>
      <c r="F166" s="4"/>
      <c r="G166" s="4"/>
      <c r="H166" s="4"/>
      <c r="I166" s="2"/>
      <c r="J166" s="2"/>
      <c r="K166" s="2"/>
      <c r="P166" s="1"/>
      <c r="U166" s="26"/>
      <c r="V166" s="26"/>
      <c r="W166" s="26"/>
      <c r="X166" s="26"/>
      <c r="Y166" s="26"/>
    </row>
    <row r="167" spans="2:25" s="31" customFormat="1" hidden="1">
      <c r="B167" s="3"/>
      <c r="C167" s="4"/>
      <c r="D167" s="4"/>
      <c r="E167" s="4"/>
      <c r="F167" s="4"/>
      <c r="G167" s="4"/>
      <c r="H167" s="4"/>
      <c r="I167" s="2"/>
      <c r="J167" s="2"/>
      <c r="K167" s="2"/>
      <c r="P167" s="1"/>
      <c r="U167" s="26"/>
      <c r="V167" s="26"/>
      <c r="W167" s="26"/>
      <c r="X167" s="26"/>
      <c r="Y167" s="26"/>
    </row>
    <row r="168" spans="2:25" s="31" customFormat="1" hidden="1">
      <c r="B168" s="3"/>
      <c r="C168" s="4"/>
      <c r="D168" s="4"/>
      <c r="E168" s="4"/>
      <c r="F168" s="4"/>
      <c r="G168" s="4"/>
      <c r="H168" s="4"/>
      <c r="I168" s="2"/>
      <c r="J168" s="2"/>
      <c r="K168" s="2"/>
      <c r="P168" s="1"/>
      <c r="U168" s="26"/>
      <c r="V168" s="26"/>
      <c r="W168" s="26"/>
      <c r="X168" s="26"/>
      <c r="Y168" s="26"/>
    </row>
    <row r="169" spans="2:25" s="31" customFormat="1" hidden="1">
      <c r="B169" s="3"/>
      <c r="C169" s="4"/>
      <c r="D169" s="4"/>
      <c r="E169" s="4"/>
      <c r="F169" s="4"/>
      <c r="G169" s="4"/>
      <c r="H169" s="4"/>
      <c r="I169" s="2"/>
      <c r="J169" s="2"/>
      <c r="K169" s="2"/>
      <c r="P169" s="1"/>
      <c r="U169" s="26"/>
      <c r="V169" s="26"/>
      <c r="W169" s="26"/>
      <c r="X169" s="26"/>
      <c r="Y169" s="26"/>
    </row>
    <row r="170" spans="2:25" s="31" customFormat="1" hidden="1">
      <c r="B170" s="3"/>
      <c r="C170" s="4"/>
      <c r="D170" s="4"/>
      <c r="E170" s="4"/>
      <c r="F170" s="4"/>
      <c r="G170" s="4"/>
      <c r="H170" s="4"/>
      <c r="I170" s="2"/>
      <c r="J170" s="2"/>
      <c r="K170" s="2"/>
      <c r="P170" s="1"/>
      <c r="U170" s="26"/>
      <c r="V170" s="26"/>
      <c r="W170" s="26"/>
      <c r="X170" s="26"/>
      <c r="Y170" s="26"/>
    </row>
    <row r="171" spans="2:25" s="31" customFormat="1" hidden="1">
      <c r="B171" s="3"/>
      <c r="C171" s="4"/>
      <c r="D171" s="4"/>
      <c r="E171" s="4"/>
      <c r="F171" s="4"/>
      <c r="G171" s="4"/>
      <c r="H171" s="4"/>
      <c r="I171" s="2"/>
      <c r="J171" s="2"/>
      <c r="K171" s="2"/>
      <c r="P171" s="1"/>
      <c r="U171" s="26"/>
      <c r="V171" s="26"/>
      <c r="W171" s="26"/>
      <c r="X171" s="26"/>
      <c r="Y171" s="26"/>
    </row>
    <row r="172" spans="2:25" s="31" customFormat="1" hidden="1">
      <c r="B172" s="3"/>
      <c r="C172" s="4"/>
      <c r="D172" s="4"/>
      <c r="E172" s="4"/>
      <c r="F172" s="4"/>
      <c r="G172" s="4"/>
      <c r="H172" s="4"/>
      <c r="I172" s="2"/>
      <c r="J172" s="2"/>
      <c r="K172" s="2"/>
      <c r="P172" s="1"/>
      <c r="U172" s="26"/>
      <c r="V172" s="26"/>
      <c r="W172" s="26"/>
      <c r="X172" s="26"/>
      <c r="Y172" s="26"/>
    </row>
    <row r="173" spans="2:25" s="31" customFormat="1" hidden="1">
      <c r="B173" s="3"/>
      <c r="C173" s="4"/>
      <c r="D173" s="4"/>
      <c r="E173" s="4"/>
      <c r="F173" s="4"/>
      <c r="G173" s="4"/>
      <c r="H173" s="4"/>
      <c r="I173" s="2"/>
      <c r="J173" s="2"/>
      <c r="K173" s="2"/>
      <c r="P173" s="1"/>
      <c r="U173" s="26"/>
      <c r="V173" s="26"/>
      <c r="W173" s="26"/>
      <c r="X173" s="26"/>
      <c r="Y173" s="26"/>
    </row>
    <row r="174" spans="2:25" s="31" customFormat="1" hidden="1">
      <c r="B174" s="3"/>
      <c r="C174" s="4"/>
      <c r="D174" s="4"/>
      <c r="E174" s="4"/>
      <c r="F174" s="4"/>
      <c r="G174" s="4"/>
      <c r="H174" s="4"/>
      <c r="I174" s="2"/>
      <c r="J174" s="2"/>
      <c r="K174" s="2"/>
      <c r="P174"/>
      <c r="U174" s="26"/>
      <c r="V174" s="26"/>
      <c r="W174" s="26"/>
      <c r="X174" s="26"/>
      <c r="Y174" s="26"/>
    </row>
    <row r="175" spans="2:25" s="31" customFormat="1" hidden="1">
      <c r="B175" s="3"/>
      <c r="C175" s="4"/>
      <c r="D175" s="4"/>
      <c r="E175" s="4"/>
      <c r="F175" s="4"/>
      <c r="G175" s="4"/>
      <c r="H175" s="4"/>
      <c r="I175" s="2"/>
      <c r="J175" s="2"/>
      <c r="K175" s="2"/>
      <c r="P175"/>
      <c r="U175" s="26"/>
      <c r="V175" s="26"/>
      <c r="W175" s="26"/>
      <c r="X175" s="26"/>
      <c r="Y175" s="26"/>
    </row>
    <row r="176" spans="2:25" s="31" customFormat="1" hidden="1">
      <c r="B176" s="3"/>
      <c r="C176" s="4"/>
      <c r="D176" s="4"/>
      <c r="E176" s="4"/>
      <c r="F176" s="4"/>
      <c r="G176" s="4"/>
      <c r="H176" s="4"/>
      <c r="I176" s="2"/>
      <c r="J176" s="2"/>
      <c r="K176" s="2"/>
      <c r="P176"/>
      <c r="U176" s="26"/>
      <c r="V176" s="26"/>
      <c r="W176" s="26"/>
      <c r="X176" s="26"/>
      <c r="Y176" s="26"/>
    </row>
    <row r="177" spans="2:25" s="31" customFormat="1" hidden="1">
      <c r="B177" s="3"/>
      <c r="C177" s="4"/>
      <c r="D177" s="4"/>
      <c r="E177" s="4"/>
      <c r="F177" s="4"/>
      <c r="G177" s="4"/>
      <c r="H177" s="4"/>
      <c r="I177" s="2"/>
      <c r="J177" s="2"/>
      <c r="K177" s="2"/>
      <c r="P177"/>
      <c r="U177" s="26"/>
      <c r="V177" s="26"/>
      <c r="W177" s="26"/>
      <c r="X177" s="26"/>
      <c r="Y177" s="26"/>
    </row>
    <row r="178" spans="2:25" s="31" customFormat="1" hidden="1">
      <c r="B178" s="3"/>
      <c r="C178" s="4"/>
      <c r="D178" s="4"/>
      <c r="E178" s="4"/>
      <c r="F178" s="4"/>
      <c r="G178" s="4"/>
      <c r="H178" s="4"/>
      <c r="I178" s="2"/>
      <c r="J178" s="2"/>
      <c r="K178" s="2"/>
      <c r="P178"/>
      <c r="U178" s="26"/>
      <c r="V178" s="26"/>
      <c r="W178" s="26"/>
      <c r="X178" s="26"/>
      <c r="Y178" s="26"/>
    </row>
    <row r="179" spans="2:25" s="31" customFormat="1" hidden="1">
      <c r="B179" s="3"/>
      <c r="C179" s="4"/>
      <c r="D179" s="4"/>
      <c r="E179" s="4"/>
      <c r="F179" s="4"/>
      <c r="G179" s="4"/>
      <c r="H179" s="4"/>
      <c r="I179" s="2"/>
      <c r="J179" s="2"/>
      <c r="K179" s="2"/>
      <c r="P179"/>
      <c r="U179" s="26"/>
      <c r="V179" s="26"/>
      <c r="W179" s="26"/>
      <c r="X179" s="26"/>
      <c r="Y179" s="26"/>
    </row>
    <row r="180" spans="2:25" s="31" customFormat="1" hidden="1">
      <c r="B180" s="3"/>
      <c r="C180" s="4"/>
      <c r="D180" s="4"/>
      <c r="E180" s="4"/>
      <c r="F180" s="4"/>
      <c r="G180" s="4"/>
      <c r="H180" s="4"/>
      <c r="I180" s="2"/>
      <c r="J180" s="2"/>
      <c r="K180" s="2"/>
      <c r="P180"/>
      <c r="U180" s="26"/>
      <c r="V180" s="26"/>
      <c r="W180" s="26"/>
      <c r="X180" s="26"/>
      <c r="Y180" s="26"/>
    </row>
    <row r="181" spans="2:25" s="31" customFormat="1" hidden="1">
      <c r="B181" s="3"/>
      <c r="C181" s="4"/>
      <c r="D181" s="4"/>
      <c r="E181" s="4"/>
      <c r="F181" s="4"/>
      <c r="G181" s="4"/>
      <c r="H181" s="4"/>
      <c r="I181" s="2"/>
      <c r="J181" s="2"/>
      <c r="K181" s="2"/>
      <c r="P181"/>
      <c r="U181" s="26"/>
      <c r="V181" s="26"/>
      <c r="W181" s="26"/>
      <c r="X181" s="26"/>
      <c r="Y181" s="26"/>
    </row>
    <row r="182" spans="2:25" s="31" customFormat="1" ht="15" hidden="1" customHeight="1">
      <c r="B182" s="3"/>
      <c r="C182" s="4"/>
      <c r="D182" s="4"/>
      <c r="E182" s="4"/>
      <c r="F182" s="4"/>
      <c r="G182" s="4"/>
      <c r="H182" s="4"/>
      <c r="I182" s="2"/>
      <c r="J182" s="2"/>
      <c r="K182" s="2"/>
      <c r="P182"/>
      <c r="U182" s="26"/>
      <c r="V182" s="26"/>
      <c r="W182" s="26"/>
      <c r="X182" s="26"/>
      <c r="Y182" s="26"/>
    </row>
    <row r="183" spans="2:25" s="31" customFormat="1" ht="15" hidden="1" customHeight="1">
      <c r="B183" s="3"/>
      <c r="C183" s="4"/>
      <c r="D183" s="4"/>
      <c r="E183" s="4"/>
      <c r="F183" s="4"/>
      <c r="G183" s="4"/>
      <c r="H183" s="4"/>
      <c r="I183" s="2"/>
      <c r="J183" s="2"/>
      <c r="K183" s="2"/>
      <c r="P183"/>
      <c r="U183" s="26"/>
      <c r="V183" s="26"/>
      <c r="W183" s="26"/>
      <c r="X183" s="26"/>
      <c r="Y183" s="26"/>
    </row>
    <row r="184" spans="2:25" s="31" customFormat="1" ht="15" hidden="1" customHeight="1">
      <c r="B184" s="3"/>
      <c r="C184" s="4"/>
      <c r="D184" s="4"/>
      <c r="E184" s="4"/>
      <c r="F184" s="4"/>
      <c r="G184" s="4"/>
      <c r="H184" s="4"/>
      <c r="I184" s="2"/>
      <c r="J184" s="2"/>
      <c r="K184" s="2"/>
      <c r="P184"/>
      <c r="U184" s="26"/>
      <c r="V184" s="26"/>
      <c r="W184" s="26"/>
      <c r="X184" s="26"/>
      <c r="Y184" s="26"/>
    </row>
    <row r="185" spans="2:25" s="31" customFormat="1" ht="15" hidden="1" customHeight="1">
      <c r="B185" s="3"/>
      <c r="C185" s="4"/>
      <c r="D185" s="4"/>
      <c r="E185" s="4"/>
      <c r="F185" s="4"/>
      <c r="G185" s="4"/>
      <c r="H185" s="4"/>
      <c r="I185" s="2"/>
      <c r="J185" s="2"/>
      <c r="K185" s="2"/>
      <c r="P185"/>
      <c r="U185" s="26"/>
      <c r="V185" s="26"/>
      <c r="W185" s="26"/>
      <c r="X185" s="26"/>
      <c r="Y185" s="26"/>
    </row>
    <row r="186" spans="2:25" s="31" customFormat="1" ht="15" hidden="1" customHeight="1">
      <c r="B186" s="3"/>
      <c r="C186" s="4"/>
      <c r="D186" s="4"/>
      <c r="E186" s="4"/>
      <c r="F186" s="4"/>
      <c r="G186" s="4"/>
      <c r="H186" s="4"/>
      <c r="I186" s="2"/>
      <c r="J186" s="2"/>
      <c r="K186" s="2"/>
      <c r="P186"/>
      <c r="U186" s="26"/>
      <c r="V186" s="26"/>
      <c r="W186" s="26"/>
      <c r="X186" s="26"/>
      <c r="Y186" s="26"/>
    </row>
    <row r="187" spans="2:25" s="31" customFormat="1" ht="15" hidden="1" customHeight="1">
      <c r="B187" s="3"/>
      <c r="C187" s="4"/>
      <c r="D187" s="4"/>
      <c r="E187" s="4"/>
      <c r="F187" s="4"/>
      <c r="G187" s="4"/>
      <c r="H187" s="4"/>
      <c r="I187" s="2"/>
      <c r="J187" s="2"/>
      <c r="K187" s="2"/>
      <c r="P187"/>
      <c r="U187" s="26"/>
      <c r="V187" s="26"/>
      <c r="W187" s="26"/>
      <c r="X187" s="26"/>
      <c r="Y187" s="26"/>
    </row>
    <row r="188" spans="2:25" s="31" customFormat="1" ht="15" hidden="1" customHeight="1">
      <c r="B188" s="3"/>
      <c r="C188" s="4"/>
      <c r="D188" s="4"/>
      <c r="E188" s="4"/>
      <c r="F188" s="4"/>
      <c r="G188" s="4"/>
      <c r="H188" s="4"/>
      <c r="I188" s="2"/>
      <c r="J188" s="2"/>
      <c r="K188" s="2"/>
      <c r="P188"/>
      <c r="U188" s="26"/>
      <c r="V188" s="26"/>
      <c r="W188" s="26"/>
      <c r="X188" s="26"/>
      <c r="Y188" s="26"/>
    </row>
    <row r="189" spans="2:25" s="31" customFormat="1" ht="15" hidden="1" customHeight="1">
      <c r="B189" s="3"/>
      <c r="C189" s="4"/>
      <c r="D189" s="4"/>
      <c r="E189" s="4"/>
      <c r="F189" s="4"/>
      <c r="G189" s="4"/>
      <c r="H189" s="4"/>
      <c r="I189" s="2"/>
      <c r="J189" s="2"/>
      <c r="K189" s="2"/>
      <c r="P189"/>
      <c r="U189" s="26"/>
      <c r="V189" s="26"/>
      <c r="W189" s="26"/>
      <c r="X189" s="26"/>
      <c r="Y189" s="26"/>
    </row>
    <row r="190" spans="2:25" s="31" customFormat="1" ht="15" hidden="1" customHeight="1">
      <c r="B190" s="3"/>
      <c r="C190" s="4"/>
      <c r="D190" s="4"/>
      <c r="E190" s="4"/>
      <c r="F190" s="4"/>
      <c r="G190" s="4"/>
      <c r="H190" s="4"/>
      <c r="I190" s="2"/>
      <c r="J190" s="2"/>
      <c r="K190" s="2"/>
      <c r="P190"/>
      <c r="U190" s="26"/>
      <c r="V190" s="26"/>
      <c r="W190" s="26"/>
      <c r="X190" s="26"/>
      <c r="Y190" s="26"/>
    </row>
    <row r="191" spans="2:25" s="31" customFormat="1" ht="15" hidden="1" customHeight="1">
      <c r="B191" s="3"/>
      <c r="C191" s="4"/>
      <c r="D191" s="4"/>
      <c r="E191" s="4"/>
      <c r="F191" s="4"/>
      <c r="G191" s="4"/>
      <c r="H191" s="4"/>
      <c r="I191" s="2"/>
      <c r="J191" s="2"/>
      <c r="K191" s="2"/>
      <c r="P191"/>
      <c r="U191" s="26"/>
      <c r="V191" s="26"/>
      <c r="W191" s="26"/>
      <c r="X191" s="26"/>
      <c r="Y191" s="26"/>
    </row>
    <row r="192" spans="2:25" s="31" customFormat="1" ht="15" hidden="1" customHeight="1">
      <c r="B192" s="3"/>
      <c r="C192" s="4"/>
      <c r="D192" s="4"/>
      <c r="E192" s="4"/>
      <c r="F192" s="4"/>
      <c r="G192" s="4"/>
      <c r="H192" s="4"/>
      <c r="I192" s="2"/>
      <c r="J192" s="2"/>
      <c r="K192" s="2"/>
      <c r="P192"/>
      <c r="U192" s="26"/>
      <c r="V192" s="26"/>
      <c r="W192" s="26"/>
      <c r="X192" s="26"/>
      <c r="Y192" s="26"/>
    </row>
    <row r="193" spans="2:25" s="31" customFormat="1" ht="15" hidden="1" customHeight="1">
      <c r="B193" s="3"/>
      <c r="C193" s="4"/>
      <c r="D193" s="4"/>
      <c r="E193" s="4"/>
      <c r="F193" s="4"/>
      <c r="G193" s="4"/>
      <c r="H193" s="4"/>
      <c r="I193" s="2"/>
      <c r="J193" s="2"/>
      <c r="K193" s="2"/>
      <c r="P193"/>
      <c r="U193" s="26"/>
      <c r="V193" s="26"/>
      <c r="W193" s="26"/>
      <c r="X193" s="26"/>
      <c r="Y193" s="26"/>
    </row>
    <row r="194" spans="2:25" s="31" customFormat="1" ht="15" hidden="1" customHeight="1">
      <c r="B194" s="3"/>
      <c r="C194" s="4"/>
      <c r="D194" s="4"/>
      <c r="E194" s="4"/>
      <c r="F194" s="4"/>
      <c r="G194" s="4"/>
      <c r="H194" s="4"/>
      <c r="I194" s="2"/>
      <c r="J194" s="2"/>
      <c r="K194" s="2"/>
      <c r="P194"/>
      <c r="U194" s="26"/>
      <c r="V194" s="26"/>
      <c r="W194" s="26"/>
      <c r="X194" s="26"/>
      <c r="Y194" s="26"/>
    </row>
    <row r="195" spans="2:25" s="31" customFormat="1" ht="15" hidden="1" customHeight="1">
      <c r="B195" s="3"/>
      <c r="C195" s="4"/>
      <c r="D195" s="4"/>
      <c r="E195" s="4"/>
      <c r="F195" s="4"/>
      <c r="G195" s="4"/>
      <c r="H195" s="4"/>
      <c r="I195" s="2"/>
      <c r="J195" s="2"/>
      <c r="K195" s="2"/>
      <c r="P195"/>
      <c r="U195" s="26"/>
      <c r="V195" s="26"/>
      <c r="W195" s="26"/>
      <c r="X195" s="26"/>
      <c r="Y195" s="26"/>
    </row>
    <row r="196" spans="2:25" s="31" customFormat="1" ht="15" hidden="1" customHeight="1">
      <c r="B196" s="3"/>
      <c r="C196" s="4"/>
      <c r="D196" s="4"/>
      <c r="E196" s="4"/>
      <c r="F196" s="4"/>
      <c r="G196" s="4"/>
      <c r="H196" s="4"/>
      <c r="I196" s="2"/>
      <c r="J196" s="2"/>
      <c r="K196" s="2"/>
      <c r="P196"/>
      <c r="U196" s="26"/>
      <c r="V196" s="26"/>
      <c r="W196" s="26"/>
      <c r="X196" s="26"/>
      <c r="Y196" s="26"/>
    </row>
    <row r="197" spans="2:25" s="31" customFormat="1" ht="15" hidden="1" customHeight="1">
      <c r="B197" s="3"/>
      <c r="C197" s="4"/>
      <c r="D197" s="4"/>
      <c r="E197" s="4"/>
      <c r="F197" s="4"/>
      <c r="G197" s="4"/>
      <c r="H197" s="4"/>
      <c r="I197" s="2"/>
      <c r="J197" s="2"/>
      <c r="K197" s="2"/>
      <c r="P197"/>
      <c r="U197" s="26"/>
      <c r="V197" s="26"/>
      <c r="W197" s="26"/>
      <c r="X197" s="26"/>
      <c r="Y197" s="26"/>
    </row>
    <row r="198" spans="2:25" s="31" customFormat="1" ht="15" hidden="1" customHeight="1">
      <c r="B198" s="3"/>
      <c r="C198" s="4"/>
      <c r="D198" s="4"/>
      <c r="E198" s="4"/>
      <c r="F198" s="4"/>
      <c r="G198" s="4"/>
      <c r="H198" s="4"/>
      <c r="I198" s="2"/>
      <c r="J198" s="2"/>
      <c r="K198" s="2"/>
      <c r="P198"/>
      <c r="U198" s="26"/>
      <c r="V198" s="26"/>
      <c r="W198" s="26"/>
      <c r="X198" s="26"/>
      <c r="Y198" s="26"/>
    </row>
    <row r="199" spans="2:25" s="31" customFormat="1" ht="15" hidden="1" customHeight="1">
      <c r="B199" s="3"/>
      <c r="C199" s="4"/>
      <c r="D199" s="4"/>
      <c r="E199" s="4"/>
      <c r="F199" s="4"/>
      <c r="G199" s="4"/>
      <c r="H199" s="4"/>
      <c r="I199" s="2"/>
      <c r="J199" s="2"/>
      <c r="K199" s="2"/>
      <c r="P199"/>
      <c r="U199" s="26"/>
      <c r="V199" s="26"/>
      <c r="W199" s="26"/>
      <c r="X199" s="26"/>
      <c r="Y199" s="26"/>
    </row>
    <row r="200" spans="2:25" s="31" customFormat="1" ht="15" hidden="1" customHeight="1">
      <c r="B200" s="3"/>
      <c r="C200" s="4"/>
      <c r="D200" s="4"/>
      <c r="E200" s="4"/>
      <c r="F200" s="4"/>
      <c r="G200" s="4"/>
      <c r="H200" s="4"/>
      <c r="I200" s="2"/>
      <c r="J200" s="2"/>
      <c r="K200" s="2"/>
      <c r="P200"/>
      <c r="U200" s="26"/>
      <c r="V200" s="26"/>
      <c r="W200" s="26"/>
      <c r="X200" s="26"/>
      <c r="Y200" s="26"/>
    </row>
    <row r="201" spans="2:25" s="31" customFormat="1" ht="15" hidden="1" customHeight="1">
      <c r="B201" s="3"/>
      <c r="C201" s="4"/>
      <c r="D201" s="4"/>
      <c r="E201" s="4"/>
      <c r="F201" s="4"/>
      <c r="G201" s="4"/>
      <c r="H201" s="4"/>
      <c r="I201" s="2"/>
      <c r="J201" s="2"/>
      <c r="K201" s="2"/>
      <c r="P201"/>
      <c r="U201" s="26"/>
      <c r="V201" s="26"/>
      <c r="W201" s="26"/>
      <c r="X201" s="26"/>
      <c r="Y201" s="26"/>
    </row>
    <row r="202" spans="2:25" s="31" customFormat="1" ht="15" hidden="1" customHeight="1">
      <c r="B202" s="3"/>
      <c r="C202" s="4"/>
      <c r="D202" s="4"/>
      <c r="E202" s="4"/>
      <c r="F202" s="4"/>
      <c r="G202" s="4"/>
      <c r="H202" s="4"/>
      <c r="I202" s="2"/>
      <c r="J202" s="2"/>
      <c r="K202" s="2"/>
      <c r="P202"/>
      <c r="U202" s="26"/>
      <c r="V202" s="26"/>
      <c r="W202" s="26"/>
      <c r="X202" s="26"/>
      <c r="Y202" s="26"/>
    </row>
    <row r="203" spans="2:25" s="31" customFormat="1" ht="15" hidden="1" customHeight="1">
      <c r="B203" s="3"/>
      <c r="C203" s="4"/>
      <c r="D203" s="4"/>
      <c r="E203" s="4"/>
      <c r="F203" s="4"/>
      <c r="G203" s="4"/>
      <c r="H203" s="4"/>
      <c r="I203" s="2"/>
      <c r="J203" s="2"/>
      <c r="K203" s="2"/>
      <c r="P203"/>
      <c r="U203" s="26"/>
      <c r="V203" s="26"/>
      <c r="W203" s="26"/>
      <c r="X203" s="26"/>
      <c r="Y203" s="26"/>
    </row>
    <row r="204" spans="2:25" s="31" customFormat="1" ht="15" hidden="1" customHeight="1">
      <c r="B204" s="3"/>
      <c r="C204" s="4"/>
      <c r="D204" s="4"/>
      <c r="E204" s="4"/>
      <c r="F204" s="4"/>
      <c r="G204" s="4"/>
      <c r="H204" s="4"/>
      <c r="I204" s="2"/>
      <c r="J204" s="2"/>
      <c r="K204" s="2"/>
      <c r="P204"/>
      <c r="U204" s="26"/>
      <c r="V204" s="26"/>
      <c r="W204" s="26"/>
      <c r="X204" s="26"/>
      <c r="Y204" s="26"/>
    </row>
    <row r="205" spans="2:25" s="31" customFormat="1" ht="15" hidden="1" customHeight="1">
      <c r="B205" s="3"/>
      <c r="C205" s="4"/>
      <c r="D205" s="4"/>
      <c r="E205" s="4"/>
      <c r="F205" s="4"/>
      <c r="G205" s="4"/>
      <c r="H205" s="4"/>
      <c r="I205" s="2"/>
      <c r="J205" s="2"/>
      <c r="K205" s="2"/>
      <c r="P205"/>
      <c r="U205" s="26"/>
      <c r="V205" s="26"/>
      <c r="W205" s="26"/>
      <c r="X205" s="26"/>
      <c r="Y205" s="26"/>
    </row>
    <row r="206" spans="2:25" s="31" customFormat="1" ht="15" hidden="1" customHeight="1">
      <c r="B206" s="3"/>
      <c r="C206" s="4"/>
      <c r="D206" s="4"/>
      <c r="E206" s="4"/>
      <c r="F206" s="4"/>
      <c r="G206" s="4"/>
      <c r="H206" s="4"/>
      <c r="I206" s="2"/>
      <c r="J206" s="2"/>
      <c r="K206" s="2"/>
      <c r="P206"/>
      <c r="U206" s="26"/>
      <c r="V206" s="26"/>
      <c r="W206" s="26"/>
      <c r="X206" s="26"/>
      <c r="Y206" s="26"/>
    </row>
    <row r="207" spans="2:25" s="31" customFormat="1" ht="15" hidden="1" customHeight="1">
      <c r="B207" s="3"/>
      <c r="C207" s="4"/>
      <c r="D207" s="4"/>
      <c r="E207" s="4"/>
      <c r="F207" s="4"/>
      <c r="G207" s="4"/>
      <c r="H207" s="4"/>
      <c r="I207" s="2"/>
      <c r="J207" s="2"/>
      <c r="K207" s="2"/>
      <c r="P207"/>
      <c r="U207" s="26"/>
      <c r="V207" s="26"/>
      <c r="W207" s="26"/>
      <c r="X207" s="26"/>
      <c r="Y207" s="26"/>
    </row>
    <row r="208" spans="2:25" s="31" customFormat="1" ht="15" hidden="1" customHeight="1">
      <c r="B208" s="3"/>
      <c r="C208" s="4"/>
      <c r="D208" s="4"/>
      <c r="E208" s="4"/>
      <c r="F208" s="4"/>
      <c r="G208" s="4"/>
      <c r="H208" s="4"/>
      <c r="I208" s="2"/>
      <c r="J208" s="2"/>
      <c r="K208" s="2"/>
      <c r="P208"/>
      <c r="U208" s="26"/>
      <c r="V208" s="26"/>
      <c r="W208" s="26"/>
      <c r="X208" s="26"/>
      <c r="Y208" s="26"/>
    </row>
    <row r="209" spans="2:25" s="31" customFormat="1" ht="15" hidden="1" customHeight="1">
      <c r="B209" s="3"/>
      <c r="C209" s="4"/>
      <c r="D209" s="4"/>
      <c r="E209" s="4"/>
      <c r="F209" s="4"/>
      <c r="G209" s="4"/>
      <c r="H209" s="4"/>
      <c r="I209" s="2"/>
      <c r="J209" s="2"/>
      <c r="K209" s="2"/>
      <c r="P209"/>
      <c r="U209" s="26"/>
      <c r="V209" s="26"/>
      <c r="W209" s="26"/>
      <c r="X209" s="26"/>
      <c r="Y209" s="26"/>
    </row>
    <row r="210" spans="2:25" s="31" customFormat="1" ht="15" hidden="1" customHeight="1">
      <c r="B210" s="3"/>
      <c r="C210" s="4"/>
      <c r="D210" s="4"/>
      <c r="E210" s="4"/>
      <c r="F210" s="4"/>
      <c r="G210" s="4"/>
      <c r="H210" s="4"/>
      <c r="I210" s="2"/>
      <c r="J210" s="2"/>
      <c r="K210" s="2"/>
      <c r="P210"/>
      <c r="U210" s="26"/>
      <c r="V210" s="26"/>
      <c r="W210" s="26"/>
      <c r="X210" s="26"/>
      <c r="Y210" s="26"/>
    </row>
    <row r="211" spans="2:25" s="31" customFormat="1" ht="15" hidden="1" customHeight="1">
      <c r="B211" s="3"/>
      <c r="C211" s="4"/>
      <c r="D211" s="4"/>
      <c r="E211" s="4"/>
      <c r="F211" s="4"/>
      <c r="G211" s="4"/>
      <c r="H211" s="4"/>
      <c r="I211" s="2"/>
      <c r="J211" s="2"/>
      <c r="K211" s="2"/>
      <c r="P211"/>
      <c r="U211" s="26"/>
      <c r="V211" s="26"/>
      <c r="W211" s="26"/>
      <c r="X211" s="26"/>
      <c r="Y211" s="26"/>
    </row>
    <row r="212" spans="2:25" s="31" customFormat="1" ht="15" hidden="1" customHeight="1">
      <c r="B212" s="3"/>
      <c r="C212" s="4"/>
      <c r="D212" s="4"/>
      <c r="E212" s="4"/>
      <c r="F212" s="4"/>
      <c r="G212" s="4"/>
      <c r="H212" s="4"/>
      <c r="I212" s="2"/>
      <c r="J212" s="2"/>
      <c r="K212" s="2"/>
      <c r="P212"/>
      <c r="U212" s="26"/>
      <c r="V212" s="26"/>
      <c r="W212" s="26"/>
      <c r="X212" s="26"/>
      <c r="Y212" s="26"/>
    </row>
    <row r="213" spans="2:25" s="31" customFormat="1" ht="15" hidden="1" customHeight="1">
      <c r="B213" s="3"/>
      <c r="C213" s="4"/>
      <c r="D213" s="4"/>
      <c r="E213" s="4"/>
      <c r="F213" s="4"/>
      <c r="G213" s="4"/>
      <c r="H213" s="4"/>
      <c r="I213" s="2"/>
      <c r="J213" s="2"/>
      <c r="K213" s="2"/>
      <c r="P213"/>
      <c r="U213" s="26"/>
      <c r="V213" s="26"/>
      <c r="W213" s="26"/>
      <c r="X213" s="26"/>
      <c r="Y213" s="26"/>
    </row>
    <row r="214" spans="2:25" s="31" customFormat="1" ht="15" hidden="1" customHeight="1">
      <c r="B214" s="3"/>
      <c r="C214" s="4"/>
      <c r="D214" s="4"/>
      <c r="E214" s="4"/>
      <c r="F214" s="4"/>
      <c r="G214" s="4"/>
      <c r="H214" s="4"/>
      <c r="I214" s="2"/>
      <c r="J214" s="2"/>
      <c r="K214" s="2"/>
      <c r="P214"/>
      <c r="U214" s="26"/>
      <c r="V214" s="26"/>
      <c r="W214" s="26"/>
      <c r="X214" s="26"/>
      <c r="Y214" s="26"/>
    </row>
    <row r="215" spans="2:25" s="31" customFormat="1" ht="15" hidden="1" customHeight="1">
      <c r="B215" s="3"/>
      <c r="C215" s="4"/>
      <c r="D215" s="4"/>
      <c r="E215" s="4"/>
      <c r="F215" s="4"/>
      <c r="G215" s="4"/>
      <c r="H215" s="4"/>
      <c r="I215" s="2"/>
      <c r="J215" s="2"/>
      <c r="K215" s="2"/>
      <c r="P215"/>
      <c r="U215" s="26"/>
      <c r="V215" s="26"/>
      <c r="W215" s="26"/>
      <c r="X215" s="26"/>
      <c r="Y215" s="26"/>
    </row>
    <row r="216" spans="2:25" s="31" customFormat="1" ht="15" hidden="1" customHeight="1">
      <c r="B216" s="3"/>
      <c r="C216" s="4"/>
      <c r="D216" s="4"/>
      <c r="E216" s="4"/>
      <c r="F216" s="4"/>
      <c r="G216" s="4"/>
      <c r="H216" s="4"/>
      <c r="I216" s="2"/>
      <c r="J216" s="2"/>
      <c r="K216" s="2"/>
      <c r="P216"/>
      <c r="U216" s="26"/>
      <c r="V216" s="26"/>
      <c r="W216" s="26"/>
      <c r="X216" s="26"/>
      <c r="Y216" s="26"/>
    </row>
    <row r="217" spans="2:25" s="31" customFormat="1" ht="15" hidden="1" customHeight="1">
      <c r="B217" s="3"/>
      <c r="C217" s="4"/>
      <c r="D217" s="4"/>
      <c r="E217" s="4"/>
      <c r="F217" s="4"/>
      <c r="G217" s="4"/>
      <c r="H217" s="4"/>
      <c r="I217" s="2"/>
      <c r="J217" s="2"/>
      <c r="K217" s="2"/>
      <c r="P217"/>
      <c r="U217" s="26"/>
      <c r="V217" s="26"/>
      <c r="W217" s="26"/>
      <c r="X217" s="26"/>
      <c r="Y217" s="26"/>
    </row>
    <row r="218" spans="2:25" s="31" customFormat="1" ht="15" hidden="1" customHeight="1">
      <c r="B218" s="3"/>
      <c r="C218" s="4"/>
      <c r="D218" s="4"/>
      <c r="E218" s="4"/>
      <c r="F218" s="4"/>
      <c r="G218" s="4"/>
      <c r="H218" s="4"/>
      <c r="I218" s="2"/>
      <c r="J218" s="2"/>
      <c r="K218" s="2"/>
      <c r="P218"/>
      <c r="U218" s="26"/>
      <c r="V218" s="26"/>
      <c r="W218" s="26"/>
      <c r="X218" s="26"/>
      <c r="Y218" s="26"/>
    </row>
    <row r="219" spans="2:25" s="31" customFormat="1" ht="15" hidden="1" customHeight="1">
      <c r="B219" s="3"/>
      <c r="C219" s="4"/>
      <c r="D219" s="4"/>
      <c r="E219" s="4"/>
      <c r="F219" s="4"/>
      <c r="G219" s="4"/>
      <c r="H219" s="4"/>
      <c r="I219" s="2"/>
      <c r="J219" s="2"/>
      <c r="K219" s="2"/>
      <c r="P219"/>
      <c r="U219" s="26"/>
      <c r="V219" s="26"/>
      <c r="W219" s="26"/>
      <c r="X219" s="26"/>
      <c r="Y219" s="26"/>
    </row>
    <row r="220" spans="2:25" s="31" customFormat="1" ht="15" hidden="1" customHeight="1">
      <c r="B220" s="3"/>
      <c r="C220" s="4"/>
      <c r="D220" s="4"/>
      <c r="E220" s="4"/>
      <c r="F220" s="4"/>
      <c r="G220" s="4"/>
      <c r="H220" s="4"/>
      <c r="I220" s="2"/>
      <c r="J220" s="2"/>
      <c r="K220" s="2"/>
      <c r="P220"/>
      <c r="U220" s="26"/>
      <c r="V220" s="26"/>
      <c r="W220" s="26"/>
      <c r="X220" s="26"/>
      <c r="Y220" s="26"/>
    </row>
    <row r="221" spans="2:25" s="31" customFormat="1" ht="15" hidden="1" customHeight="1">
      <c r="B221" s="3"/>
      <c r="C221" s="4"/>
      <c r="D221" s="4"/>
      <c r="E221" s="4"/>
      <c r="F221" s="4"/>
      <c r="G221" s="4"/>
      <c r="H221" s="4"/>
      <c r="I221" s="2"/>
      <c r="J221" s="2"/>
      <c r="K221" s="2"/>
      <c r="P221"/>
      <c r="U221" s="26"/>
      <c r="V221" s="26"/>
      <c r="W221" s="26"/>
      <c r="X221" s="26"/>
      <c r="Y221" s="26"/>
    </row>
    <row r="222" spans="2:25" s="31" customFormat="1" ht="15" hidden="1" customHeight="1">
      <c r="B222" s="3"/>
      <c r="C222" s="4"/>
      <c r="D222" s="4"/>
      <c r="E222" s="4"/>
      <c r="F222" s="4"/>
      <c r="G222" s="4"/>
      <c r="H222" s="4"/>
      <c r="I222" s="2"/>
      <c r="J222" s="2"/>
      <c r="K222" s="2"/>
      <c r="P222"/>
      <c r="U222" s="26"/>
      <c r="V222" s="26"/>
      <c r="W222" s="26"/>
      <c r="X222" s="26"/>
      <c r="Y222" s="26"/>
    </row>
    <row r="223" spans="2:25" s="31" customFormat="1" ht="15" hidden="1" customHeight="1">
      <c r="B223" s="3"/>
      <c r="C223" s="4"/>
      <c r="D223" s="4"/>
      <c r="E223" s="4"/>
      <c r="F223" s="4"/>
      <c r="G223" s="4"/>
      <c r="H223" s="4"/>
      <c r="I223" s="2"/>
      <c r="J223" s="2"/>
      <c r="K223" s="2"/>
      <c r="P223"/>
      <c r="U223" s="26"/>
      <c r="V223" s="26"/>
      <c r="W223" s="26"/>
      <c r="X223" s="26"/>
      <c r="Y223" s="26"/>
    </row>
    <row r="224" spans="2:25" s="31" customFormat="1" ht="15" hidden="1" customHeight="1">
      <c r="B224" s="3"/>
      <c r="C224" s="4"/>
      <c r="D224" s="4"/>
      <c r="E224" s="4"/>
      <c r="F224" s="4"/>
      <c r="G224" s="4"/>
      <c r="H224" s="4"/>
      <c r="I224" s="2"/>
      <c r="J224" s="2"/>
      <c r="K224" s="2"/>
      <c r="P224"/>
      <c r="U224" s="26"/>
      <c r="V224" s="26"/>
      <c r="W224" s="26"/>
      <c r="X224" s="26"/>
      <c r="Y224" s="26"/>
    </row>
    <row r="225" spans="2:25" s="31" customFormat="1" ht="15" hidden="1" customHeight="1">
      <c r="B225" s="3"/>
      <c r="C225" s="4"/>
      <c r="D225" s="4"/>
      <c r="E225" s="4"/>
      <c r="F225" s="4"/>
      <c r="G225" s="4"/>
      <c r="H225" s="4"/>
      <c r="I225" s="2"/>
      <c r="J225" s="2"/>
      <c r="K225" s="2"/>
      <c r="P225"/>
      <c r="U225" s="26"/>
      <c r="V225" s="26"/>
      <c r="W225" s="26"/>
      <c r="X225" s="26"/>
      <c r="Y225" s="26"/>
    </row>
    <row r="226" spans="2:25" s="31" customFormat="1" ht="15" hidden="1" customHeight="1">
      <c r="B226" s="3"/>
      <c r="C226" s="4"/>
      <c r="D226" s="4"/>
      <c r="E226" s="4"/>
      <c r="F226" s="4"/>
      <c r="G226" s="4"/>
      <c r="H226" s="4"/>
      <c r="I226" s="2"/>
      <c r="J226" s="2"/>
      <c r="K226" s="2"/>
      <c r="P226"/>
      <c r="U226" s="26"/>
      <c r="V226" s="26"/>
      <c r="W226" s="26"/>
      <c r="X226" s="26"/>
      <c r="Y226" s="26"/>
    </row>
    <row r="227" spans="2:25" s="31" customFormat="1" ht="15" hidden="1" customHeight="1">
      <c r="B227" s="3"/>
      <c r="C227" s="4"/>
      <c r="D227" s="4"/>
      <c r="E227" s="4"/>
      <c r="F227" s="4"/>
      <c r="G227" s="4"/>
      <c r="H227" s="4"/>
      <c r="I227" s="2"/>
      <c r="J227" s="2"/>
      <c r="K227" s="2"/>
      <c r="P227"/>
      <c r="U227" s="26"/>
      <c r="V227" s="26"/>
      <c r="W227" s="26"/>
      <c r="X227" s="26"/>
      <c r="Y227" s="26"/>
    </row>
    <row r="228" spans="2:25" s="31" customFormat="1" ht="15" hidden="1" customHeight="1">
      <c r="B228" s="3"/>
      <c r="C228" s="4"/>
      <c r="D228" s="4"/>
      <c r="E228" s="4"/>
      <c r="F228" s="4"/>
      <c r="G228" s="4"/>
      <c r="H228" s="4"/>
      <c r="I228" s="2"/>
      <c r="J228" s="2"/>
      <c r="K228" s="2"/>
      <c r="P228"/>
      <c r="U228" s="26"/>
      <c r="V228" s="26"/>
      <c r="W228" s="26"/>
      <c r="X228" s="26"/>
      <c r="Y228" s="26"/>
    </row>
    <row r="229" spans="2:25" s="31" customFormat="1" ht="15" hidden="1" customHeight="1">
      <c r="B229" s="3"/>
      <c r="C229" s="4"/>
      <c r="D229" s="4"/>
      <c r="E229" s="4"/>
      <c r="F229" s="4"/>
      <c r="G229" s="4"/>
      <c r="H229" s="4"/>
      <c r="I229" s="2"/>
      <c r="J229" s="2"/>
      <c r="K229" s="2"/>
      <c r="P229"/>
      <c r="U229" s="26"/>
      <c r="V229" s="26"/>
      <c r="W229" s="26"/>
      <c r="X229" s="26"/>
      <c r="Y229" s="26"/>
    </row>
    <row r="230" spans="2:25" s="31" customFormat="1" ht="15" hidden="1" customHeight="1">
      <c r="B230" s="3"/>
      <c r="C230" s="4"/>
      <c r="D230" s="4"/>
      <c r="E230" s="4"/>
      <c r="F230" s="4"/>
      <c r="G230" s="4"/>
      <c r="H230" s="4"/>
      <c r="I230" s="2"/>
      <c r="J230" s="2"/>
      <c r="K230" s="2"/>
      <c r="P230"/>
      <c r="U230" s="26"/>
      <c r="V230" s="26"/>
      <c r="W230" s="26"/>
      <c r="X230" s="26"/>
      <c r="Y230" s="26"/>
    </row>
    <row r="231" spans="2:25" s="31" customFormat="1" ht="15" hidden="1" customHeight="1">
      <c r="B231" s="3"/>
      <c r="C231" s="4"/>
      <c r="D231" s="4"/>
      <c r="E231" s="4"/>
      <c r="F231" s="4"/>
      <c r="G231" s="4"/>
      <c r="H231" s="4"/>
      <c r="I231" s="2"/>
      <c r="J231" s="2"/>
      <c r="K231" s="2"/>
      <c r="P231"/>
      <c r="U231" s="26"/>
      <c r="V231" s="26"/>
      <c r="W231" s="26"/>
      <c r="X231" s="26"/>
      <c r="Y231" s="26"/>
    </row>
    <row r="232" spans="2:25" s="31" customFormat="1" ht="15" hidden="1" customHeight="1">
      <c r="B232" s="3"/>
      <c r="C232" s="4"/>
      <c r="D232" s="4"/>
      <c r="E232" s="4"/>
      <c r="F232" s="4"/>
      <c r="G232" s="4"/>
      <c r="H232" s="4"/>
      <c r="I232" s="2"/>
      <c r="J232" s="2"/>
      <c r="K232" s="2"/>
      <c r="P232"/>
      <c r="U232" s="26"/>
      <c r="V232" s="26"/>
      <c r="W232" s="26"/>
      <c r="X232" s="26"/>
      <c r="Y232" s="26"/>
    </row>
    <row r="233" spans="2:25" s="31" customFormat="1" ht="15" hidden="1" customHeight="1">
      <c r="B233" s="3"/>
      <c r="C233" s="4"/>
      <c r="D233" s="4"/>
      <c r="E233" s="4"/>
      <c r="F233" s="4"/>
      <c r="G233" s="4"/>
      <c r="H233" s="4"/>
      <c r="I233" s="2"/>
      <c r="J233" s="2"/>
      <c r="K233" s="2"/>
      <c r="P233"/>
      <c r="U233" s="26"/>
      <c r="V233" s="26"/>
      <c r="W233" s="26"/>
      <c r="X233" s="26"/>
      <c r="Y233" s="26"/>
    </row>
    <row r="234" spans="2:25" s="31" customFormat="1" ht="15" hidden="1" customHeight="1">
      <c r="B234" s="3"/>
      <c r="C234" s="4"/>
      <c r="D234" s="4"/>
      <c r="E234" s="4"/>
      <c r="F234" s="4"/>
      <c r="G234" s="4"/>
      <c r="H234" s="4"/>
      <c r="I234" s="2"/>
      <c r="J234" s="2"/>
      <c r="K234" s="2"/>
      <c r="P234"/>
      <c r="U234" s="26"/>
      <c r="V234" s="26"/>
      <c r="W234" s="26"/>
      <c r="X234" s="26"/>
      <c r="Y234" s="26"/>
    </row>
    <row r="235" spans="2:25" s="31" customFormat="1" ht="15" hidden="1" customHeight="1">
      <c r="B235" s="3"/>
      <c r="C235" s="4"/>
      <c r="D235" s="4"/>
      <c r="E235" s="4"/>
      <c r="F235" s="4"/>
      <c r="G235" s="4"/>
      <c r="H235" s="4"/>
      <c r="I235" s="2"/>
      <c r="J235" s="2"/>
      <c r="K235" s="2"/>
      <c r="P235"/>
      <c r="U235" s="26"/>
      <c r="V235" s="26"/>
      <c r="W235" s="26"/>
      <c r="X235" s="26"/>
      <c r="Y235" s="26"/>
    </row>
    <row r="236" spans="2:25" s="31" customFormat="1" ht="15" hidden="1" customHeight="1">
      <c r="B236" s="3"/>
      <c r="C236" s="4"/>
      <c r="D236" s="4"/>
      <c r="E236" s="4"/>
      <c r="F236" s="4"/>
      <c r="G236" s="4"/>
      <c r="H236" s="4"/>
      <c r="I236" s="2"/>
      <c r="J236" s="2"/>
      <c r="K236" s="2"/>
      <c r="P236"/>
      <c r="U236" s="26"/>
      <c r="V236" s="26"/>
      <c r="W236" s="26"/>
      <c r="X236" s="26"/>
      <c r="Y236" s="26"/>
    </row>
    <row r="237" spans="2:25" s="31" customFormat="1" ht="15" hidden="1" customHeight="1">
      <c r="B237" s="3"/>
      <c r="C237" s="4"/>
      <c r="D237" s="4"/>
      <c r="E237" s="4"/>
      <c r="F237" s="4"/>
      <c r="G237" s="4"/>
      <c r="H237" s="4"/>
      <c r="I237" s="2"/>
      <c r="J237" s="2"/>
      <c r="K237" s="2"/>
      <c r="P237"/>
      <c r="U237" s="26"/>
      <c r="V237" s="26"/>
      <c r="W237" s="26"/>
      <c r="X237" s="26"/>
      <c r="Y237" s="26"/>
    </row>
    <row r="238" spans="2:25" s="31" customFormat="1" ht="15" hidden="1" customHeight="1">
      <c r="B238" s="3"/>
      <c r="C238" s="4"/>
      <c r="D238" s="4"/>
      <c r="E238" s="4"/>
      <c r="F238" s="4"/>
      <c r="G238" s="4"/>
      <c r="H238" s="4"/>
      <c r="I238" s="2"/>
      <c r="J238" s="2"/>
      <c r="K238" s="2"/>
      <c r="P238"/>
      <c r="U238" s="26"/>
      <c r="V238" s="26"/>
      <c r="W238" s="26"/>
      <c r="X238" s="26"/>
      <c r="Y238" s="26"/>
    </row>
    <row r="239" spans="2:25" s="31" customFormat="1" ht="15" hidden="1" customHeight="1">
      <c r="B239" s="3"/>
      <c r="C239" s="4"/>
      <c r="D239" s="4"/>
      <c r="E239" s="4"/>
      <c r="F239" s="4"/>
      <c r="G239" s="4"/>
      <c r="H239" s="4"/>
      <c r="I239" s="2"/>
      <c r="J239" s="2"/>
      <c r="K239" s="2"/>
      <c r="P239"/>
      <c r="U239" s="26"/>
      <c r="V239" s="26"/>
      <c r="W239" s="26"/>
      <c r="X239" s="26"/>
      <c r="Y239" s="26"/>
    </row>
    <row r="240" spans="2:25" s="31" customFormat="1" ht="15" hidden="1" customHeight="1">
      <c r="B240" s="3"/>
      <c r="C240" s="4"/>
      <c r="D240" s="4"/>
      <c r="E240" s="4"/>
      <c r="F240" s="4"/>
      <c r="G240" s="4"/>
      <c r="H240" s="4"/>
      <c r="I240" s="2"/>
      <c r="J240" s="2"/>
      <c r="K240" s="2"/>
      <c r="P240"/>
      <c r="U240" s="26"/>
      <c r="V240" s="26"/>
      <c r="W240" s="26"/>
      <c r="X240" s="26"/>
      <c r="Y240" s="26"/>
    </row>
    <row r="241" spans="2:25" s="31" customFormat="1" ht="15" hidden="1" customHeight="1">
      <c r="B241" s="3"/>
      <c r="C241" s="4"/>
      <c r="D241" s="4"/>
      <c r="E241" s="4"/>
      <c r="F241" s="4"/>
      <c r="G241" s="4"/>
      <c r="H241" s="4"/>
      <c r="I241" s="2"/>
      <c r="J241" s="2"/>
      <c r="K241" s="2"/>
      <c r="P241"/>
      <c r="U241" s="26"/>
      <c r="V241" s="26"/>
      <c r="W241" s="26"/>
      <c r="X241" s="26"/>
      <c r="Y241" s="26"/>
    </row>
    <row r="242" spans="2:25" s="31" customFormat="1" ht="15" hidden="1" customHeight="1">
      <c r="B242" s="3"/>
      <c r="C242" s="4"/>
      <c r="D242" s="4"/>
      <c r="E242" s="4"/>
      <c r="F242" s="4"/>
      <c r="G242" s="4"/>
      <c r="H242" s="4"/>
      <c r="I242" s="2"/>
      <c r="J242" s="2"/>
      <c r="K242" s="2"/>
      <c r="P242"/>
      <c r="U242" s="26"/>
      <c r="V242" s="26"/>
      <c r="W242" s="26"/>
      <c r="X242" s="26"/>
      <c r="Y242" s="26"/>
    </row>
    <row r="243" spans="2:25" s="31" customFormat="1" ht="15" hidden="1" customHeight="1">
      <c r="B243" s="3"/>
      <c r="C243" s="4"/>
      <c r="D243" s="4"/>
      <c r="E243" s="4"/>
      <c r="F243" s="4"/>
      <c r="G243" s="4"/>
      <c r="H243" s="4"/>
      <c r="I243" s="2"/>
      <c r="J243" s="2"/>
      <c r="K243" s="2"/>
      <c r="P243"/>
      <c r="U243" s="26"/>
      <c r="V243" s="26"/>
      <c r="W243" s="26"/>
      <c r="X243" s="26"/>
      <c r="Y243" s="26"/>
    </row>
    <row r="244" spans="2:25" s="31" customFormat="1" ht="15" hidden="1" customHeight="1">
      <c r="B244" s="3"/>
      <c r="C244" s="4"/>
      <c r="D244" s="4"/>
      <c r="E244" s="4"/>
      <c r="F244" s="4"/>
      <c r="G244" s="4"/>
      <c r="H244" s="4"/>
      <c r="I244" s="2"/>
      <c r="J244" s="2"/>
      <c r="K244" s="2"/>
      <c r="P244"/>
      <c r="U244" s="26"/>
      <c r="V244" s="26"/>
      <c r="W244" s="26"/>
      <c r="X244" s="26"/>
      <c r="Y244" s="26"/>
    </row>
    <row r="245" spans="2:25" s="31" customFormat="1" ht="15" hidden="1" customHeight="1">
      <c r="B245" s="3"/>
      <c r="C245" s="4"/>
      <c r="D245" s="4"/>
      <c r="E245" s="4"/>
      <c r="F245" s="4"/>
      <c r="G245" s="4"/>
      <c r="H245" s="4"/>
      <c r="I245" s="2"/>
      <c r="J245" s="2"/>
      <c r="K245" s="2"/>
      <c r="P245"/>
      <c r="U245" s="26"/>
      <c r="V245" s="26"/>
      <c r="W245" s="26"/>
      <c r="X245" s="26"/>
      <c r="Y245" s="26"/>
    </row>
    <row r="246" spans="2:25" s="31" customFormat="1" ht="15" hidden="1" customHeight="1">
      <c r="B246" s="3"/>
      <c r="C246" s="4"/>
      <c r="D246" s="4"/>
      <c r="E246" s="4"/>
      <c r="F246" s="4"/>
      <c r="G246" s="4"/>
      <c r="H246" s="4"/>
      <c r="I246" s="2"/>
      <c r="J246" s="2"/>
      <c r="K246" s="2"/>
      <c r="P246"/>
      <c r="U246" s="26"/>
      <c r="V246" s="26"/>
      <c r="W246" s="26"/>
      <c r="X246" s="26"/>
      <c r="Y246" s="26"/>
    </row>
    <row r="247" spans="2:25" s="31" customFormat="1" ht="15" hidden="1" customHeight="1">
      <c r="B247" s="3"/>
      <c r="C247" s="4"/>
      <c r="D247" s="4"/>
      <c r="E247" s="4"/>
      <c r="F247" s="4"/>
      <c r="G247" s="4"/>
      <c r="H247" s="4"/>
      <c r="I247" s="2"/>
      <c r="J247" s="2"/>
      <c r="K247" s="2"/>
      <c r="P247"/>
      <c r="U247" s="26"/>
      <c r="V247" s="26"/>
      <c r="W247" s="26"/>
      <c r="X247" s="26"/>
      <c r="Y247" s="26"/>
    </row>
    <row r="248" spans="2:25" s="31" customFormat="1" ht="15" hidden="1" customHeight="1">
      <c r="B248" s="3"/>
      <c r="C248" s="4"/>
      <c r="D248" s="4"/>
      <c r="E248" s="4"/>
      <c r="F248" s="4"/>
      <c r="G248" s="4"/>
      <c r="H248" s="4"/>
      <c r="I248" s="2"/>
      <c r="J248" s="2"/>
      <c r="K248" s="2"/>
      <c r="P248"/>
      <c r="U248" s="26"/>
      <c r="V248" s="26"/>
      <c r="W248" s="26"/>
      <c r="X248" s="26"/>
      <c r="Y248" s="26"/>
    </row>
    <row r="249" spans="2:25" s="31" customFormat="1" ht="15" hidden="1" customHeight="1">
      <c r="B249" s="3"/>
      <c r="C249" s="4"/>
      <c r="D249" s="4"/>
      <c r="E249" s="4"/>
      <c r="F249" s="4"/>
      <c r="G249" s="4"/>
      <c r="H249" s="4"/>
      <c r="I249" s="2"/>
      <c r="J249" s="2"/>
      <c r="K249" s="2"/>
      <c r="P249"/>
      <c r="U249" s="26"/>
      <c r="V249" s="26"/>
      <c r="W249" s="26"/>
      <c r="X249" s="26"/>
      <c r="Y249" s="26"/>
    </row>
    <row r="250" spans="2:25" s="31" customFormat="1" ht="15" hidden="1" customHeight="1">
      <c r="B250" s="3"/>
      <c r="C250" s="4"/>
      <c r="D250" s="4"/>
      <c r="E250" s="4"/>
      <c r="F250" s="4"/>
      <c r="G250" s="4"/>
      <c r="H250" s="4"/>
      <c r="I250" s="2"/>
      <c r="J250" s="2"/>
      <c r="K250" s="2"/>
      <c r="P250"/>
      <c r="U250" s="26"/>
      <c r="V250" s="26"/>
      <c r="W250" s="26"/>
      <c r="X250" s="26"/>
      <c r="Y250" s="26"/>
    </row>
    <row r="251" spans="2:25" s="31" customFormat="1" ht="15" hidden="1" customHeight="1">
      <c r="B251" s="3"/>
      <c r="C251" s="4"/>
      <c r="D251" s="4"/>
      <c r="E251" s="4"/>
      <c r="F251" s="4"/>
      <c r="G251" s="4"/>
      <c r="H251" s="4"/>
      <c r="I251" s="2"/>
      <c r="J251" s="2"/>
      <c r="K251" s="2"/>
      <c r="P251"/>
      <c r="U251" s="26"/>
      <c r="V251" s="26"/>
      <c r="W251" s="26"/>
      <c r="X251" s="26"/>
      <c r="Y251" s="26"/>
    </row>
    <row r="252" spans="2:25" s="31" customFormat="1" ht="15" hidden="1" customHeight="1">
      <c r="B252" s="3"/>
      <c r="C252" s="4"/>
      <c r="D252" s="4"/>
      <c r="E252" s="4"/>
      <c r="F252" s="4"/>
      <c r="G252" s="4"/>
      <c r="H252" s="4"/>
      <c r="I252" s="2"/>
      <c r="J252" s="2"/>
      <c r="K252" s="2"/>
      <c r="P252"/>
      <c r="U252" s="26"/>
      <c r="V252" s="26"/>
      <c r="W252" s="26"/>
      <c r="X252" s="26"/>
      <c r="Y252" s="26"/>
    </row>
    <row r="253" spans="2:25" s="31" customFormat="1" ht="15" hidden="1" customHeight="1">
      <c r="B253" s="3"/>
      <c r="C253" s="4"/>
      <c r="D253" s="4"/>
      <c r="E253" s="4"/>
      <c r="F253" s="4"/>
      <c r="G253" s="4"/>
      <c r="H253" s="4"/>
      <c r="I253" s="2"/>
      <c r="J253" s="2"/>
      <c r="K253" s="2"/>
      <c r="P253"/>
      <c r="U253" s="26"/>
      <c r="V253" s="26"/>
      <c r="W253" s="26"/>
      <c r="X253" s="26"/>
      <c r="Y253" s="26"/>
    </row>
    <row r="254" spans="2:25" s="31" customFormat="1" ht="15" hidden="1" customHeight="1">
      <c r="B254" s="3"/>
      <c r="C254" s="4"/>
      <c r="D254" s="4"/>
      <c r="E254" s="4"/>
      <c r="F254" s="4"/>
      <c r="G254" s="4"/>
      <c r="H254" s="4"/>
      <c r="I254" s="2"/>
      <c r="J254" s="2"/>
      <c r="K254" s="2"/>
      <c r="P254"/>
      <c r="U254" s="26"/>
      <c r="V254" s="26"/>
      <c r="W254" s="26"/>
      <c r="X254" s="26"/>
      <c r="Y254" s="26"/>
    </row>
    <row r="255" spans="2:25" s="31" customFormat="1" ht="15" hidden="1" customHeight="1">
      <c r="B255" s="3"/>
      <c r="C255" s="4"/>
      <c r="D255" s="4"/>
      <c r="E255" s="4"/>
      <c r="F255" s="4"/>
      <c r="G255" s="4"/>
      <c r="H255" s="4"/>
      <c r="I255" s="2"/>
      <c r="J255" s="2"/>
      <c r="K255" s="2"/>
      <c r="P255"/>
      <c r="U255" s="26"/>
      <c r="V255" s="26"/>
      <c r="W255" s="26"/>
      <c r="X255" s="26"/>
      <c r="Y255" s="26"/>
    </row>
    <row r="256" spans="2:25" s="31" customFormat="1" ht="15" hidden="1" customHeight="1">
      <c r="B256" s="3"/>
      <c r="C256" s="4"/>
      <c r="D256" s="4"/>
      <c r="E256" s="4"/>
      <c r="F256" s="4"/>
      <c r="G256" s="4"/>
      <c r="H256" s="4"/>
      <c r="I256" s="2"/>
      <c r="J256" s="2"/>
      <c r="K256" s="2"/>
      <c r="P256"/>
      <c r="U256" s="26"/>
      <c r="V256" s="26"/>
      <c r="W256" s="26"/>
      <c r="X256" s="26"/>
      <c r="Y256" s="26"/>
    </row>
    <row r="257" spans="2:25" s="31" customFormat="1" ht="15" hidden="1" customHeight="1">
      <c r="B257" s="3"/>
      <c r="C257" s="4"/>
      <c r="D257" s="4"/>
      <c r="E257" s="4"/>
      <c r="F257" s="4"/>
      <c r="G257" s="4"/>
      <c r="H257" s="4"/>
      <c r="I257" s="2"/>
      <c r="J257" s="2"/>
      <c r="K257" s="2"/>
      <c r="P257"/>
      <c r="U257" s="26"/>
      <c r="V257" s="26"/>
      <c r="W257" s="26"/>
      <c r="X257" s="26"/>
      <c r="Y257" s="26"/>
    </row>
    <row r="258" spans="2:25" s="31" customFormat="1" ht="15" hidden="1" customHeight="1">
      <c r="B258" s="3"/>
      <c r="C258" s="4"/>
      <c r="D258" s="4"/>
      <c r="E258" s="4"/>
      <c r="F258" s="4"/>
      <c r="G258" s="4"/>
      <c r="H258" s="4"/>
      <c r="I258" s="2"/>
      <c r="J258" s="2"/>
      <c r="K258" s="2"/>
      <c r="P258"/>
      <c r="U258" s="26"/>
      <c r="V258" s="26"/>
      <c r="W258" s="26"/>
      <c r="X258" s="26"/>
      <c r="Y258" s="26"/>
    </row>
    <row r="259" spans="2:25" s="31" customFormat="1" ht="15" hidden="1" customHeight="1">
      <c r="B259" s="3"/>
      <c r="C259" s="4"/>
      <c r="D259" s="4"/>
      <c r="E259" s="4"/>
      <c r="F259" s="4"/>
      <c r="G259" s="4"/>
      <c r="H259" s="4"/>
      <c r="I259" s="2"/>
      <c r="J259" s="2"/>
      <c r="K259" s="2"/>
      <c r="P259"/>
      <c r="U259" s="26"/>
      <c r="V259" s="26"/>
      <c r="W259" s="26"/>
      <c r="X259" s="26"/>
      <c r="Y259" s="26"/>
    </row>
    <row r="260" spans="2:25" s="31" customFormat="1" ht="15" hidden="1" customHeight="1">
      <c r="B260" s="3"/>
      <c r="C260" s="4"/>
      <c r="D260" s="4"/>
      <c r="E260" s="4"/>
      <c r="F260" s="4"/>
      <c r="G260" s="4"/>
      <c r="H260" s="4"/>
      <c r="I260" s="2"/>
      <c r="J260" s="2"/>
      <c r="K260" s="2"/>
      <c r="P260"/>
      <c r="U260" s="26"/>
      <c r="V260" s="26"/>
      <c r="W260" s="26"/>
      <c r="X260" s="26"/>
      <c r="Y260" s="26"/>
    </row>
    <row r="261" spans="2:25" s="31" customFormat="1" ht="15" hidden="1" customHeight="1">
      <c r="B261" s="3"/>
      <c r="C261" s="4"/>
      <c r="D261" s="4"/>
      <c r="E261" s="4"/>
      <c r="F261" s="4"/>
      <c r="G261" s="4"/>
      <c r="H261" s="4"/>
      <c r="I261" s="2"/>
      <c r="J261" s="2"/>
      <c r="K261" s="2"/>
      <c r="P261"/>
      <c r="U261" s="26"/>
      <c r="V261" s="26"/>
      <c r="W261" s="26"/>
      <c r="X261" s="26"/>
      <c r="Y261" s="26"/>
    </row>
    <row r="262" spans="2:25" s="31" customFormat="1" ht="15" hidden="1" customHeight="1">
      <c r="B262" s="3"/>
      <c r="C262" s="4"/>
      <c r="D262" s="4"/>
      <c r="E262" s="4"/>
      <c r="F262" s="4"/>
      <c r="G262" s="4"/>
      <c r="H262" s="4"/>
      <c r="I262" s="2"/>
      <c r="J262" s="2"/>
      <c r="K262" s="2"/>
      <c r="P262"/>
      <c r="U262" s="26"/>
      <c r="V262" s="26"/>
      <c r="W262" s="26"/>
      <c r="X262" s="26"/>
      <c r="Y262" s="26"/>
    </row>
    <row r="263" spans="2:25" s="31" customFormat="1" ht="15" hidden="1" customHeight="1">
      <c r="B263" s="3"/>
      <c r="C263" s="4"/>
      <c r="D263" s="4"/>
      <c r="E263" s="4"/>
      <c r="F263" s="4"/>
      <c r="G263" s="4"/>
      <c r="H263" s="4"/>
      <c r="I263" s="2"/>
      <c r="J263" s="2"/>
      <c r="K263" s="2"/>
      <c r="P263"/>
      <c r="U263" s="26"/>
      <c r="V263" s="26"/>
      <c r="W263" s="26"/>
      <c r="X263" s="26"/>
      <c r="Y263" s="26"/>
    </row>
    <row r="264" spans="2:25" s="31" customFormat="1" ht="15" hidden="1" customHeight="1">
      <c r="B264" s="3"/>
      <c r="C264" s="4"/>
      <c r="D264" s="4"/>
      <c r="E264" s="4"/>
      <c r="F264" s="4"/>
      <c r="G264" s="4"/>
      <c r="H264" s="4"/>
      <c r="I264" s="2"/>
      <c r="J264" s="2"/>
      <c r="K264" s="2"/>
      <c r="P264"/>
      <c r="U264" s="26"/>
      <c r="V264" s="26"/>
      <c r="W264" s="26"/>
      <c r="X264" s="26"/>
      <c r="Y264" s="26"/>
    </row>
    <row r="265" spans="2:25" s="31" customFormat="1" ht="15" hidden="1" customHeight="1">
      <c r="B265" s="3"/>
      <c r="C265" s="4"/>
      <c r="D265" s="4"/>
      <c r="E265" s="4"/>
      <c r="F265" s="4"/>
      <c r="G265" s="4"/>
      <c r="H265" s="4"/>
      <c r="I265" s="2"/>
      <c r="J265" s="2"/>
      <c r="K265" s="2"/>
      <c r="P265"/>
      <c r="U265" s="26"/>
      <c r="V265" s="26"/>
      <c r="W265" s="26"/>
      <c r="X265" s="26"/>
      <c r="Y265" s="26"/>
    </row>
    <row r="266" spans="2:25" s="31" customFormat="1" ht="15" hidden="1" customHeight="1">
      <c r="B266" s="3"/>
      <c r="C266" s="4"/>
      <c r="D266" s="4"/>
      <c r="E266" s="4"/>
      <c r="F266" s="4"/>
      <c r="G266" s="4"/>
      <c r="H266" s="4"/>
      <c r="I266" s="2"/>
      <c r="J266" s="2"/>
      <c r="K266" s="2"/>
      <c r="P266"/>
      <c r="U266" s="26"/>
      <c r="V266" s="26"/>
      <c r="W266" s="26"/>
      <c r="X266" s="26"/>
      <c r="Y266" s="26"/>
    </row>
    <row r="267" spans="2:25" s="31" customFormat="1" ht="15" hidden="1" customHeight="1">
      <c r="B267" s="3"/>
      <c r="C267" s="4"/>
      <c r="D267" s="4"/>
      <c r="E267" s="4"/>
      <c r="F267" s="4"/>
      <c r="G267" s="4"/>
      <c r="H267" s="4"/>
      <c r="I267" s="2"/>
      <c r="J267" s="2"/>
      <c r="K267" s="2"/>
      <c r="P267"/>
      <c r="U267" s="26"/>
      <c r="V267" s="26"/>
      <c r="W267" s="26"/>
      <c r="X267" s="26"/>
      <c r="Y267" s="26"/>
    </row>
    <row r="268" spans="2:25" s="31" customFormat="1" ht="15" hidden="1" customHeight="1">
      <c r="B268" s="3"/>
      <c r="C268" s="4"/>
      <c r="D268" s="4"/>
      <c r="E268" s="4"/>
      <c r="F268" s="4"/>
      <c r="G268" s="4"/>
      <c r="H268" s="4"/>
      <c r="I268" s="2"/>
      <c r="J268" s="2"/>
      <c r="K268" s="2"/>
      <c r="P268"/>
      <c r="U268" s="26"/>
      <c r="V268" s="26"/>
      <c r="W268" s="26"/>
      <c r="X268" s="26"/>
      <c r="Y268" s="26"/>
    </row>
    <row r="269" spans="2:25" s="31" customFormat="1" ht="15" hidden="1" customHeight="1">
      <c r="B269" s="3"/>
      <c r="C269" s="4"/>
      <c r="D269" s="4"/>
      <c r="E269" s="4"/>
      <c r="F269" s="4"/>
      <c r="G269" s="4"/>
      <c r="H269" s="4"/>
      <c r="I269" s="2"/>
      <c r="J269" s="2"/>
      <c r="K269" s="2"/>
      <c r="P269"/>
      <c r="U269" s="26"/>
      <c r="V269" s="26"/>
      <c r="W269" s="26"/>
      <c r="X269" s="26"/>
      <c r="Y269" s="26"/>
    </row>
    <row r="270" spans="2:25" s="31" customFormat="1" ht="15" hidden="1" customHeight="1">
      <c r="B270" s="3"/>
      <c r="C270" s="4"/>
      <c r="D270" s="4"/>
      <c r="E270" s="4"/>
      <c r="F270" s="4"/>
      <c r="G270" s="4"/>
      <c r="H270" s="4"/>
      <c r="I270" s="2"/>
      <c r="J270" s="2"/>
      <c r="K270" s="2"/>
      <c r="P270"/>
      <c r="U270" s="26"/>
      <c r="V270" s="26"/>
      <c r="W270" s="26"/>
      <c r="X270" s="26"/>
      <c r="Y270" s="26"/>
    </row>
    <row r="271" spans="2:25" s="31" customFormat="1" ht="15" hidden="1" customHeight="1">
      <c r="B271" s="3"/>
      <c r="C271" s="4"/>
      <c r="D271" s="4"/>
      <c r="E271" s="4"/>
      <c r="F271" s="4"/>
      <c r="G271" s="4"/>
      <c r="H271" s="4"/>
      <c r="I271" s="2"/>
      <c r="J271" s="2"/>
      <c r="K271" s="2"/>
      <c r="P271"/>
      <c r="U271" s="26"/>
      <c r="V271" s="26"/>
      <c r="W271" s="26"/>
      <c r="X271" s="26"/>
      <c r="Y271" s="26"/>
    </row>
    <row r="272" spans="2:25" s="31" customFormat="1" ht="15" hidden="1" customHeight="1">
      <c r="B272" s="3"/>
      <c r="C272" s="4"/>
      <c r="D272" s="4"/>
      <c r="E272" s="4"/>
      <c r="F272" s="4"/>
      <c r="G272" s="4"/>
      <c r="H272" s="4"/>
      <c r="I272" s="2"/>
      <c r="J272" s="2"/>
      <c r="K272" s="2"/>
      <c r="P272"/>
      <c r="U272" s="26"/>
      <c r="V272" s="26"/>
      <c r="W272" s="26"/>
      <c r="X272" s="26"/>
      <c r="Y272" s="26"/>
    </row>
    <row r="273" spans="2:25" s="31" customFormat="1" ht="15" hidden="1" customHeight="1">
      <c r="B273" s="3"/>
      <c r="C273" s="4"/>
      <c r="D273" s="4"/>
      <c r="E273" s="4"/>
      <c r="F273" s="4"/>
      <c r="G273" s="4"/>
      <c r="H273" s="4"/>
      <c r="I273" s="2"/>
      <c r="J273" s="2"/>
      <c r="K273" s="2"/>
      <c r="P273"/>
      <c r="U273" s="26"/>
      <c r="V273" s="26"/>
      <c r="W273" s="26"/>
      <c r="X273" s="26"/>
      <c r="Y273" s="26"/>
    </row>
    <row r="274" spans="2:25" s="31" customFormat="1" ht="15" hidden="1" customHeight="1">
      <c r="B274" s="3"/>
      <c r="C274" s="4"/>
      <c r="D274" s="4"/>
      <c r="E274" s="4"/>
      <c r="F274" s="4"/>
      <c r="G274" s="4"/>
      <c r="H274" s="4"/>
      <c r="I274" s="2"/>
      <c r="J274" s="2"/>
      <c r="K274" s="2"/>
      <c r="P274"/>
      <c r="U274" s="26"/>
      <c r="V274" s="26"/>
      <c r="W274" s="26"/>
      <c r="X274" s="26"/>
      <c r="Y274" s="26"/>
    </row>
    <row r="275" spans="2:25" s="31" customFormat="1" ht="15" hidden="1" customHeight="1">
      <c r="B275" s="3"/>
      <c r="C275" s="4"/>
      <c r="D275" s="4"/>
      <c r="E275" s="4"/>
      <c r="F275" s="4"/>
      <c r="G275" s="4"/>
      <c r="H275" s="4"/>
      <c r="I275" s="2"/>
      <c r="J275" s="2"/>
      <c r="K275" s="2"/>
      <c r="P275"/>
      <c r="U275" s="26"/>
      <c r="V275" s="26"/>
      <c r="W275" s="26"/>
      <c r="X275" s="26"/>
      <c r="Y275" s="26"/>
    </row>
    <row r="276" spans="2:25" s="31" customFormat="1" ht="15" hidden="1" customHeight="1">
      <c r="B276" s="3"/>
      <c r="C276" s="4"/>
      <c r="D276" s="4"/>
      <c r="E276" s="4"/>
      <c r="F276" s="4"/>
      <c r="G276" s="4"/>
      <c r="H276" s="4"/>
      <c r="I276" s="2"/>
      <c r="J276" s="2"/>
      <c r="K276" s="2"/>
      <c r="P276"/>
      <c r="U276" s="26"/>
      <c r="V276" s="26"/>
      <c r="W276" s="26"/>
      <c r="X276" s="26"/>
      <c r="Y276" s="26"/>
    </row>
    <row r="277" spans="2:25" s="31" customFormat="1" ht="15" hidden="1" customHeight="1">
      <c r="B277" s="3"/>
      <c r="C277" s="4"/>
      <c r="D277" s="4"/>
      <c r="E277" s="4"/>
      <c r="F277" s="4"/>
      <c r="G277" s="4"/>
      <c r="H277" s="4"/>
      <c r="I277" s="2"/>
      <c r="J277" s="2"/>
      <c r="K277" s="2"/>
      <c r="P277"/>
      <c r="U277" s="26"/>
      <c r="V277" s="26"/>
      <c r="W277" s="26"/>
      <c r="X277" s="26"/>
      <c r="Y277" s="26"/>
    </row>
    <row r="278" spans="2:25" s="31" customFormat="1" ht="15" hidden="1" customHeight="1">
      <c r="B278" s="3"/>
      <c r="C278" s="4"/>
      <c r="D278" s="4"/>
      <c r="E278" s="4"/>
      <c r="F278" s="4"/>
      <c r="G278" s="4"/>
      <c r="H278" s="4"/>
      <c r="I278" s="2"/>
      <c r="J278" s="2"/>
      <c r="K278" s="2"/>
      <c r="P278"/>
      <c r="U278" s="26"/>
      <c r="V278" s="26"/>
      <c r="W278" s="26"/>
      <c r="X278" s="26"/>
      <c r="Y278" s="26"/>
    </row>
    <row r="279" spans="2:25" s="31" customFormat="1" ht="15" hidden="1" customHeight="1">
      <c r="B279" s="3"/>
      <c r="C279" s="4"/>
      <c r="D279" s="4"/>
      <c r="E279" s="4"/>
      <c r="F279" s="4"/>
      <c r="G279" s="4"/>
      <c r="H279" s="4"/>
      <c r="I279" s="2"/>
      <c r="J279" s="2"/>
      <c r="K279" s="2"/>
      <c r="P279"/>
      <c r="U279" s="26"/>
      <c r="V279" s="26"/>
      <c r="W279" s="26"/>
      <c r="X279" s="26"/>
      <c r="Y279" s="26"/>
    </row>
    <row r="280" spans="2:25" s="31" customFormat="1" ht="15" hidden="1" customHeight="1">
      <c r="B280" s="3"/>
      <c r="C280" s="4"/>
      <c r="D280" s="4"/>
      <c r="E280" s="4"/>
      <c r="F280" s="4"/>
      <c r="G280" s="4"/>
      <c r="H280" s="4"/>
      <c r="I280" s="2"/>
      <c r="J280" s="2"/>
      <c r="K280" s="2"/>
      <c r="P280"/>
      <c r="U280" s="26"/>
      <c r="V280" s="26"/>
      <c r="W280" s="26"/>
      <c r="X280" s="26"/>
      <c r="Y280" s="26"/>
    </row>
    <row r="281" spans="2:25" s="31" customFormat="1" ht="15" hidden="1" customHeight="1">
      <c r="B281" s="3"/>
      <c r="C281" s="4"/>
      <c r="D281" s="4"/>
      <c r="E281" s="4"/>
      <c r="F281" s="4"/>
      <c r="G281" s="4"/>
      <c r="H281" s="4"/>
      <c r="I281" s="2"/>
      <c r="J281" s="2"/>
      <c r="K281" s="2"/>
      <c r="P281"/>
      <c r="U281" s="26"/>
      <c r="V281" s="26"/>
      <c r="W281" s="26"/>
      <c r="X281" s="26"/>
      <c r="Y281" s="26"/>
    </row>
    <row r="282" spans="2:25" s="31" customFormat="1" ht="15" hidden="1" customHeight="1">
      <c r="B282" s="3"/>
      <c r="C282" s="4"/>
      <c r="D282" s="4"/>
      <c r="E282" s="4"/>
      <c r="F282" s="4"/>
      <c r="G282" s="4"/>
      <c r="H282" s="4"/>
      <c r="I282" s="2"/>
      <c r="J282" s="2"/>
      <c r="K282" s="2"/>
      <c r="P282"/>
      <c r="U282" s="26"/>
      <c r="V282" s="26"/>
      <c r="W282" s="26"/>
      <c r="X282" s="26"/>
      <c r="Y282" s="26"/>
    </row>
    <row r="283" spans="2:25" s="31" customFormat="1" ht="15" hidden="1" customHeight="1">
      <c r="B283" s="3"/>
      <c r="C283" s="4"/>
      <c r="D283" s="4"/>
      <c r="E283" s="4"/>
      <c r="F283" s="4"/>
      <c r="G283" s="4"/>
      <c r="H283" s="4"/>
      <c r="I283" s="2"/>
      <c r="J283" s="2"/>
      <c r="K283" s="2"/>
      <c r="P283"/>
      <c r="U283" s="26"/>
      <c r="V283" s="26"/>
      <c r="W283" s="26"/>
      <c r="X283" s="26"/>
      <c r="Y283" s="26"/>
    </row>
    <row r="284" spans="2:25" s="31" customFormat="1" ht="15" hidden="1" customHeight="1">
      <c r="B284" s="3"/>
      <c r="C284" s="4"/>
      <c r="D284" s="4"/>
      <c r="E284" s="4"/>
      <c r="F284" s="4"/>
      <c r="G284" s="4"/>
      <c r="H284" s="4"/>
      <c r="I284" s="2"/>
      <c r="J284" s="2"/>
      <c r="K284" s="2"/>
      <c r="P284"/>
      <c r="U284" s="26"/>
      <c r="V284" s="26"/>
      <c r="W284" s="26"/>
      <c r="X284" s="26"/>
      <c r="Y284" s="26"/>
    </row>
    <row r="285" spans="2:25" s="31" customFormat="1" ht="15" hidden="1" customHeight="1">
      <c r="B285" s="3"/>
      <c r="C285" s="4"/>
      <c r="D285" s="4"/>
      <c r="E285" s="4"/>
      <c r="F285" s="4"/>
      <c r="G285" s="4"/>
      <c r="H285" s="4"/>
      <c r="I285" s="2"/>
      <c r="J285" s="2"/>
      <c r="K285" s="2"/>
      <c r="P285"/>
      <c r="U285" s="26"/>
      <c r="V285" s="26"/>
      <c r="W285" s="26"/>
      <c r="X285" s="26"/>
      <c r="Y285" s="26"/>
    </row>
    <row r="286" spans="2:25" s="31" customFormat="1" ht="15" hidden="1" customHeight="1">
      <c r="B286" s="3"/>
      <c r="C286" s="4"/>
      <c r="D286" s="4"/>
      <c r="E286" s="4"/>
      <c r="F286" s="4"/>
      <c r="G286" s="4"/>
      <c r="H286" s="4"/>
      <c r="I286" s="2"/>
      <c r="J286" s="2"/>
      <c r="K286" s="2"/>
      <c r="P286"/>
      <c r="U286" s="26"/>
      <c r="V286" s="26"/>
      <c r="W286" s="26"/>
      <c r="X286" s="26"/>
      <c r="Y286" s="26"/>
    </row>
    <row r="287" spans="2:25" s="31" customFormat="1" ht="15" hidden="1" customHeight="1">
      <c r="B287" s="3"/>
      <c r="C287" s="4"/>
      <c r="D287" s="4"/>
      <c r="E287" s="4"/>
      <c r="F287" s="4"/>
      <c r="G287" s="4"/>
      <c r="H287" s="4"/>
      <c r="I287" s="2"/>
      <c r="J287" s="2"/>
      <c r="K287" s="2"/>
      <c r="P287"/>
      <c r="U287" s="26"/>
      <c r="V287" s="26"/>
      <c r="W287" s="26"/>
      <c r="X287" s="26"/>
      <c r="Y287" s="26"/>
    </row>
    <row r="288" spans="2:25" s="31" customFormat="1" ht="15" hidden="1" customHeight="1">
      <c r="B288" s="3"/>
      <c r="C288" s="4"/>
      <c r="D288" s="4"/>
      <c r="E288" s="4"/>
      <c r="F288" s="4"/>
      <c r="G288" s="4"/>
      <c r="H288" s="4"/>
      <c r="I288" s="2"/>
      <c r="J288" s="2"/>
      <c r="K288" s="2"/>
      <c r="P288"/>
      <c r="U288" s="26"/>
      <c r="V288" s="26"/>
      <c r="W288" s="26"/>
      <c r="X288" s="26"/>
      <c r="Y288" s="26"/>
    </row>
    <row r="289" spans="2:25" s="31" customFormat="1" ht="15" hidden="1" customHeight="1">
      <c r="B289" s="3"/>
      <c r="C289" s="4"/>
      <c r="D289" s="4"/>
      <c r="E289" s="4"/>
      <c r="F289" s="4"/>
      <c r="G289" s="4"/>
      <c r="H289" s="4"/>
      <c r="I289" s="2"/>
      <c r="J289" s="2"/>
      <c r="K289" s="2"/>
      <c r="P289"/>
      <c r="U289" s="26"/>
      <c r="V289" s="26"/>
      <c r="W289" s="26"/>
      <c r="X289" s="26"/>
      <c r="Y289" s="26"/>
    </row>
    <row r="290" spans="2:25" s="31" customFormat="1" ht="15" hidden="1" customHeight="1">
      <c r="B290" s="3"/>
      <c r="C290" s="4"/>
      <c r="D290" s="4"/>
      <c r="E290" s="4"/>
      <c r="F290" s="4"/>
      <c r="G290" s="4"/>
      <c r="H290" s="4"/>
      <c r="I290" s="2"/>
      <c r="J290" s="2"/>
      <c r="K290" s="2"/>
      <c r="P290"/>
      <c r="U290" s="26"/>
      <c r="V290" s="26"/>
      <c r="W290" s="26"/>
      <c r="X290" s="26"/>
      <c r="Y290" s="26"/>
    </row>
    <row r="291" spans="2:25" s="31" customFormat="1" ht="15" hidden="1" customHeight="1">
      <c r="B291" s="3"/>
      <c r="C291" s="4"/>
      <c r="D291" s="4"/>
      <c r="E291" s="4"/>
      <c r="F291" s="4"/>
      <c r="G291" s="4"/>
      <c r="H291" s="4"/>
      <c r="I291" s="2"/>
      <c r="J291" s="2"/>
      <c r="K291" s="2"/>
      <c r="P291"/>
      <c r="U291" s="26"/>
      <c r="V291" s="26"/>
      <c r="W291" s="26"/>
      <c r="X291" s="26"/>
      <c r="Y291" s="26"/>
    </row>
    <row r="292" spans="2:25" s="31" customFormat="1" ht="15" hidden="1" customHeight="1">
      <c r="B292" s="3"/>
      <c r="C292" s="4"/>
      <c r="D292" s="4"/>
      <c r="E292" s="4"/>
      <c r="F292" s="4"/>
      <c r="G292" s="4"/>
      <c r="H292" s="4"/>
      <c r="I292" s="2"/>
      <c r="J292" s="2"/>
      <c r="K292" s="2"/>
      <c r="P292"/>
      <c r="U292" s="26"/>
      <c r="V292" s="26"/>
      <c r="W292" s="26"/>
      <c r="X292" s="26"/>
      <c r="Y292" s="26"/>
    </row>
    <row r="293" spans="2:25" s="31" customFormat="1" ht="15" hidden="1" customHeight="1">
      <c r="B293" s="3"/>
      <c r="C293" s="4"/>
      <c r="D293" s="4"/>
      <c r="E293" s="4"/>
      <c r="F293" s="4"/>
      <c r="G293" s="4"/>
      <c r="H293" s="4"/>
      <c r="I293" s="2"/>
      <c r="J293" s="2"/>
      <c r="K293" s="2"/>
      <c r="P293"/>
      <c r="U293" s="26"/>
      <c r="V293" s="26"/>
      <c r="W293" s="26"/>
      <c r="X293" s="26"/>
      <c r="Y293" s="26"/>
    </row>
    <row r="294" spans="2:25" s="31" customFormat="1" ht="15" hidden="1" customHeight="1">
      <c r="B294" s="3"/>
      <c r="C294" s="4"/>
      <c r="D294" s="4"/>
      <c r="E294" s="4"/>
      <c r="F294" s="4"/>
      <c r="G294" s="4"/>
      <c r="H294" s="4"/>
      <c r="I294" s="2"/>
      <c r="J294" s="2"/>
      <c r="K294" s="2"/>
      <c r="P294"/>
      <c r="U294" s="26"/>
      <c r="V294" s="26"/>
      <c r="W294" s="26"/>
      <c r="X294" s="26"/>
      <c r="Y294" s="26"/>
    </row>
    <row r="295" spans="2:25" s="31" customFormat="1" ht="15" hidden="1" customHeight="1">
      <c r="B295" s="3"/>
      <c r="C295" s="4"/>
      <c r="D295" s="4"/>
      <c r="E295" s="4"/>
      <c r="F295" s="4"/>
      <c r="G295" s="4"/>
      <c r="H295" s="4"/>
      <c r="I295" s="2"/>
      <c r="J295" s="2"/>
      <c r="K295" s="2"/>
      <c r="P295"/>
      <c r="U295" s="26"/>
      <c r="V295" s="26"/>
      <c r="W295" s="26"/>
      <c r="X295" s="26"/>
      <c r="Y295" s="26"/>
    </row>
    <row r="296" spans="2:25" s="31" customFormat="1" ht="15" hidden="1" customHeight="1">
      <c r="B296" s="3"/>
      <c r="C296" s="4"/>
      <c r="D296" s="4"/>
      <c r="E296" s="4"/>
      <c r="F296" s="4"/>
      <c r="G296" s="4"/>
      <c r="H296" s="4"/>
      <c r="I296" s="2"/>
      <c r="J296" s="2"/>
      <c r="K296" s="2"/>
      <c r="P296"/>
      <c r="U296" s="26"/>
      <c r="V296" s="26"/>
      <c r="W296" s="26"/>
      <c r="X296" s="26"/>
      <c r="Y296" s="26"/>
    </row>
    <row r="297" spans="2:25" s="31" customFormat="1" ht="15" hidden="1" customHeight="1">
      <c r="B297" s="3"/>
      <c r="C297" s="4"/>
      <c r="D297" s="4"/>
      <c r="E297" s="4"/>
      <c r="F297" s="4"/>
      <c r="G297" s="4"/>
      <c r="H297" s="4"/>
      <c r="I297" s="2"/>
      <c r="J297" s="2"/>
      <c r="K297" s="2"/>
      <c r="P297"/>
      <c r="U297" s="26"/>
      <c r="V297" s="26"/>
      <c r="W297" s="26"/>
      <c r="X297" s="26"/>
      <c r="Y297" s="26"/>
    </row>
    <row r="298" spans="2:25" s="31" customFormat="1" ht="15" hidden="1" customHeight="1">
      <c r="B298" s="3"/>
      <c r="C298" s="4"/>
      <c r="D298" s="4"/>
      <c r="E298" s="4"/>
      <c r="F298" s="4"/>
      <c r="G298" s="4"/>
      <c r="H298" s="4"/>
      <c r="I298" s="2"/>
      <c r="J298" s="2"/>
      <c r="K298" s="2"/>
      <c r="P298"/>
      <c r="U298" s="26"/>
      <c r="V298" s="26"/>
      <c r="W298" s="26"/>
      <c r="X298" s="26"/>
      <c r="Y298" s="26"/>
    </row>
    <row r="299" spans="2:25" s="31" customFormat="1" ht="15" hidden="1" customHeight="1">
      <c r="B299" s="3"/>
      <c r="C299" s="4"/>
      <c r="D299" s="4"/>
      <c r="E299" s="4"/>
      <c r="F299" s="4"/>
      <c r="G299" s="4"/>
      <c r="H299" s="4"/>
      <c r="I299" s="2"/>
      <c r="J299" s="2"/>
      <c r="K299" s="2"/>
      <c r="P299"/>
      <c r="U299" s="26"/>
      <c r="V299" s="26"/>
      <c r="W299" s="26"/>
      <c r="X299" s="26"/>
      <c r="Y299" s="26"/>
    </row>
    <row r="300" spans="2:25" s="31" customFormat="1" ht="15" hidden="1" customHeight="1">
      <c r="B300" s="3"/>
      <c r="C300" s="4"/>
      <c r="D300" s="4"/>
      <c r="E300" s="4"/>
      <c r="F300" s="4"/>
      <c r="G300" s="4"/>
      <c r="H300" s="4"/>
      <c r="I300" s="2"/>
      <c r="J300" s="2"/>
      <c r="K300" s="2"/>
      <c r="P300"/>
      <c r="U300" s="26"/>
      <c r="V300" s="26"/>
      <c r="W300" s="26"/>
      <c r="X300" s="26"/>
      <c r="Y300" s="26"/>
    </row>
    <row r="301" spans="2:25" s="31" customFormat="1" ht="15" hidden="1" customHeight="1">
      <c r="B301" s="3"/>
      <c r="C301" s="4"/>
      <c r="D301" s="4"/>
      <c r="E301" s="4"/>
      <c r="F301" s="4"/>
      <c r="G301" s="4"/>
      <c r="H301" s="4"/>
      <c r="I301" s="2"/>
      <c r="J301" s="2"/>
      <c r="K301" s="2"/>
      <c r="P301"/>
      <c r="U301" s="26"/>
      <c r="V301" s="26"/>
      <c r="W301" s="26"/>
      <c r="X301" s="26"/>
      <c r="Y301" s="26"/>
    </row>
    <row r="302" spans="2:25" s="31" customFormat="1" ht="15" hidden="1" customHeight="1">
      <c r="B302" s="3"/>
      <c r="C302" s="4"/>
      <c r="D302" s="4"/>
      <c r="E302" s="4"/>
      <c r="F302" s="4"/>
      <c r="G302" s="4"/>
      <c r="H302" s="4"/>
      <c r="I302" s="2"/>
      <c r="J302" s="2"/>
      <c r="K302" s="2"/>
      <c r="P302"/>
      <c r="U302" s="26"/>
      <c r="V302" s="26"/>
      <c r="W302" s="26"/>
      <c r="X302" s="26"/>
      <c r="Y302" s="26"/>
    </row>
    <row r="303" spans="2:25" s="31" customFormat="1" ht="15" hidden="1" customHeight="1">
      <c r="B303" s="3"/>
      <c r="C303" s="4"/>
      <c r="D303" s="4"/>
      <c r="E303" s="4"/>
      <c r="F303" s="4"/>
      <c r="G303" s="4"/>
      <c r="H303" s="4"/>
      <c r="I303" s="2"/>
      <c r="J303" s="2"/>
      <c r="K303" s="2"/>
      <c r="P303"/>
      <c r="U303" s="26"/>
      <c r="V303" s="26"/>
      <c r="W303" s="26"/>
      <c r="X303" s="26"/>
      <c r="Y303" s="26"/>
    </row>
    <row r="304" spans="2:25" s="31" customFormat="1" ht="15" hidden="1" customHeight="1">
      <c r="B304" s="3"/>
      <c r="C304" s="4"/>
      <c r="D304" s="4"/>
      <c r="E304" s="4"/>
      <c r="F304" s="4"/>
      <c r="G304" s="4"/>
      <c r="H304" s="4"/>
      <c r="I304" s="2"/>
      <c r="J304" s="2"/>
      <c r="K304" s="2"/>
      <c r="P304"/>
      <c r="U304" s="26"/>
      <c r="V304" s="26"/>
      <c r="W304" s="26"/>
      <c r="X304" s="26"/>
      <c r="Y304" s="26"/>
    </row>
    <row r="305" spans="2:25" s="31" customFormat="1" ht="15" hidden="1" customHeight="1">
      <c r="B305" s="3"/>
      <c r="C305" s="4"/>
      <c r="D305" s="4"/>
      <c r="E305" s="4"/>
      <c r="F305" s="4"/>
      <c r="G305" s="4"/>
      <c r="H305" s="4"/>
      <c r="I305" s="2"/>
      <c r="J305" s="2"/>
      <c r="K305" s="2"/>
      <c r="P305"/>
      <c r="U305" s="26"/>
      <c r="V305" s="26"/>
      <c r="W305" s="26"/>
      <c r="X305" s="26"/>
      <c r="Y305" s="26"/>
    </row>
    <row r="306" spans="2:25" s="31" customFormat="1" ht="15" hidden="1" customHeight="1">
      <c r="B306" s="3"/>
      <c r="C306" s="4"/>
      <c r="D306" s="4"/>
      <c r="E306" s="4"/>
      <c r="F306" s="4"/>
      <c r="G306" s="4"/>
      <c r="H306" s="4"/>
      <c r="I306" s="2"/>
      <c r="J306" s="2"/>
      <c r="K306" s="2"/>
      <c r="P306"/>
      <c r="U306" s="26"/>
      <c r="V306" s="26"/>
      <c r="W306" s="26"/>
      <c r="X306" s="26"/>
      <c r="Y306" s="26"/>
    </row>
    <row r="307" spans="2:25" s="31" customFormat="1" ht="15" hidden="1" customHeight="1">
      <c r="B307" s="3"/>
      <c r="C307" s="4"/>
      <c r="D307" s="4"/>
      <c r="E307" s="4"/>
      <c r="F307" s="4"/>
      <c r="G307" s="4"/>
      <c r="H307" s="4"/>
      <c r="I307" s="2"/>
      <c r="J307" s="2"/>
      <c r="K307" s="2"/>
      <c r="P307"/>
      <c r="U307" s="26"/>
      <c r="V307" s="26"/>
      <c r="W307" s="26"/>
      <c r="X307" s="26"/>
      <c r="Y307" s="26"/>
    </row>
    <row r="308" spans="2:25" s="31" customFormat="1" ht="15" hidden="1" customHeight="1">
      <c r="B308" s="3"/>
      <c r="C308" s="4"/>
      <c r="D308" s="4"/>
      <c r="E308" s="4"/>
      <c r="F308" s="4"/>
      <c r="G308" s="4"/>
      <c r="H308" s="4"/>
      <c r="I308" s="2"/>
      <c r="J308" s="2"/>
      <c r="K308" s="2"/>
      <c r="P308"/>
      <c r="U308" s="26"/>
      <c r="V308" s="26"/>
      <c r="W308" s="26"/>
      <c r="X308" s="26"/>
      <c r="Y308" s="26"/>
    </row>
    <row r="309" spans="2:25" s="31" customFormat="1" ht="15" hidden="1" customHeight="1">
      <c r="B309" s="3"/>
      <c r="C309" s="4"/>
      <c r="D309" s="4"/>
      <c r="E309" s="4"/>
      <c r="F309" s="4"/>
      <c r="G309" s="4"/>
      <c r="H309" s="4"/>
      <c r="I309" s="2"/>
      <c r="J309" s="2"/>
      <c r="K309" s="2"/>
      <c r="P309"/>
      <c r="U309" s="26"/>
      <c r="V309" s="26"/>
      <c r="W309" s="26"/>
      <c r="X309" s="26"/>
      <c r="Y309" s="26"/>
    </row>
    <row r="310" spans="2:25" s="31" customFormat="1" ht="15" hidden="1" customHeight="1">
      <c r="B310" s="3"/>
      <c r="C310" s="4"/>
      <c r="D310" s="4"/>
      <c r="E310" s="4"/>
      <c r="F310" s="4"/>
      <c r="G310" s="4"/>
      <c r="H310" s="4"/>
      <c r="I310" s="2"/>
      <c r="J310" s="2"/>
      <c r="K310" s="2"/>
      <c r="P310"/>
      <c r="U310" s="26"/>
      <c r="V310" s="26"/>
      <c r="W310" s="26"/>
      <c r="X310" s="26"/>
      <c r="Y310" s="26"/>
    </row>
    <row r="311" spans="2:25" s="31" customFormat="1" ht="15" hidden="1" customHeight="1">
      <c r="B311" s="3"/>
      <c r="C311" s="4"/>
      <c r="D311" s="4"/>
      <c r="E311" s="4"/>
      <c r="F311" s="4"/>
      <c r="G311" s="4"/>
      <c r="H311" s="4"/>
      <c r="I311" s="2"/>
      <c r="J311" s="2"/>
      <c r="K311" s="2"/>
      <c r="P311"/>
      <c r="U311" s="26"/>
      <c r="V311" s="26"/>
      <c r="W311" s="26"/>
      <c r="X311" s="26"/>
      <c r="Y311" s="26"/>
    </row>
    <row r="312" spans="2:25" s="31" customFormat="1" ht="15" hidden="1" customHeight="1">
      <c r="B312" s="3"/>
      <c r="C312" s="4"/>
      <c r="D312" s="4"/>
      <c r="E312" s="4"/>
      <c r="F312" s="4"/>
      <c r="G312" s="4"/>
      <c r="H312" s="4"/>
      <c r="I312" s="2"/>
      <c r="J312" s="2"/>
      <c r="K312" s="2"/>
      <c r="P312"/>
      <c r="U312" s="26"/>
      <c r="V312" s="26"/>
      <c r="W312" s="26"/>
      <c r="X312" s="26"/>
      <c r="Y312" s="26"/>
    </row>
    <row r="313" spans="2:25" s="31" customFormat="1" ht="15" hidden="1" customHeight="1">
      <c r="B313" s="3"/>
      <c r="C313" s="4"/>
      <c r="D313" s="4"/>
      <c r="E313" s="4"/>
      <c r="F313" s="4"/>
      <c r="G313" s="4"/>
      <c r="H313" s="4"/>
      <c r="I313" s="2"/>
      <c r="J313" s="2"/>
      <c r="K313" s="2"/>
      <c r="P313"/>
      <c r="U313" s="26"/>
      <c r="V313" s="26"/>
      <c r="W313" s="26"/>
      <c r="X313" s="26"/>
      <c r="Y313" s="26"/>
    </row>
    <row r="314" spans="2:25" s="31" customFormat="1" ht="15" hidden="1" customHeight="1">
      <c r="B314" s="3"/>
      <c r="C314" s="4"/>
      <c r="D314" s="4"/>
      <c r="E314" s="4"/>
      <c r="F314" s="4"/>
      <c r="G314" s="4"/>
      <c r="H314" s="4"/>
      <c r="I314" s="2"/>
      <c r="J314" s="2"/>
      <c r="K314" s="2"/>
      <c r="P314"/>
      <c r="U314" s="26"/>
      <c r="V314" s="26"/>
      <c r="W314" s="26"/>
      <c r="X314" s="26"/>
      <c r="Y314" s="26"/>
    </row>
    <row r="315" spans="2:25" s="31" customFormat="1" ht="15" hidden="1" customHeight="1">
      <c r="B315" s="3"/>
      <c r="C315" s="4"/>
      <c r="D315" s="4"/>
      <c r="E315" s="4"/>
      <c r="F315" s="4"/>
      <c r="G315" s="4"/>
      <c r="H315" s="4"/>
      <c r="I315" s="2"/>
      <c r="J315" s="2"/>
      <c r="K315" s="2"/>
      <c r="P315"/>
      <c r="U315" s="26"/>
      <c r="V315" s="26"/>
      <c r="W315" s="26"/>
      <c r="X315" s="26"/>
      <c r="Y315" s="26"/>
    </row>
    <row r="316" spans="2:25" s="31" customFormat="1" ht="15" hidden="1" customHeight="1">
      <c r="B316" s="3"/>
      <c r="C316" s="4"/>
      <c r="D316" s="4"/>
      <c r="E316" s="4"/>
      <c r="F316" s="4"/>
      <c r="G316" s="4"/>
      <c r="H316" s="4"/>
      <c r="I316" s="2"/>
      <c r="J316" s="2"/>
      <c r="K316" s="2"/>
      <c r="P316"/>
      <c r="U316" s="26"/>
      <c r="V316" s="26"/>
      <c r="W316" s="26"/>
      <c r="X316" s="26"/>
      <c r="Y316" s="26"/>
    </row>
    <row r="317" spans="2:25" s="31" customFormat="1" ht="15" hidden="1" customHeight="1">
      <c r="B317" s="3"/>
      <c r="C317" s="4"/>
      <c r="D317" s="4"/>
      <c r="E317" s="4"/>
      <c r="F317" s="4"/>
      <c r="G317" s="4"/>
      <c r="H317" s="4"/>
      <c r="I317" s="2"/>
      <c r="J317" s="2"/>
      <c r="K317" s="2"/>
      <c r="P317"/>
      <c r="U317" s="26"/>
      <c r="V317" s="26"/>
      <c r="W317" s="26"/>
      <c r="X317" s="26"/>
      <c r="Y317" s="26"/>
    </row>
    <row r="318" spans="2:25" s="31" customFormat="1" ht="15" hidden="1" customHeight="1">
      <c r="B318" s="3"/>
      <c r="C318" s="4"/>
      <c r="D318" s="4"/>
      <c r="E318" s="4"/>
      <c r="F318" s="4"/>
      <c r="G318" s="4"/>
      <c r="H318" s="4"/>
      <c r="I318" s="2"/>
      <c r="J318" s="2"/>
      <c r="K318" s="2"/>
      <c r="P318"/>
      <c r="U318" s="26"/>
      <c r="V318" s="26"/>
      <c r="W318" s="26"/>
      <c r="X318" s="26"/>
      <c r="Y318" s="26"/>
    </row>
    <row r="319" spans="2:25" s="31" customFormat="1" ht="15" hidden="1" customHeight="1">
      <c r="B319" s="3"/>
      <c r="C319" s="4"/>
      <c r="D319" s="4"/>
      <c r="E319" s="4"/>
      <c r="F319" s="4"/>
      <c r="G319" s="4"/>
      <c r="H319" s="4"/>
      <c r="I319" s="2"/>
      <c r="J319" s="2"/>
      <c r="K319" s="2"/>
      <c r="P319"/>
      <c r="U319" s="26"/>
      <c r="V319" s="26"/>
      <c r="W319" s="26"/>
      <c r="X319" s="26"/>
      <c r="Y319" s="26"/>
    </row>
    <row r="320" spans="2:25" s="31" customFormat="1" ht="15" hidden="1" customHeight="1">
      <c r="B320" s="3"/>
      <c r="C320" s="4"/>
      <c r="D320" s="4"/>
      <c r="E320" s="4"/>
      <c r="F320" s="4"/>
      <c r="G320" s="4"/>
      <c r="H320" s="4"/>
      <c r="I320" s="2"/>
      <c r="J320" s="2"/>
      <c r="K320" s="2"/>
      <c r="P320"/>
      <c r="U320" s="26"/>
      <c r="V320" s="26"/>
      <c r="W320" s="26"/>
      <c r="X320" s="26"/>
      <c r="Y320" s="26"/>
    </row>
    <row r="321" spans="2:25" s="31" customFormat="1" ht="15" hidden="1" customHeight="1">
      <c r="B321" s="3"/>
      <c r="C321" s="4"/>
      <c r="D321" s="4"/>
      <c r="E321" s="4"/>
      <c r="F321" s="4"/>
      <c r="G321" s="4"/>
      <c r="H321" s="4"/>
      <c r="I321" s="2"/>
      <c r="J321" s="2"/>
      <c r="K321" s="2"/>
      <c r="P321"/>
      <c r="U321" s="26"/>
      <c r="V321" s="26"/>
      <c r="W321" s="26"/>
      <c r="X321" s="26"/>
      <c r="Y321" s="26"/>
    </row>
    <row r="322" spans="2:25" s="31" customFormat="1" ht="15" hidden="1" customHeight="1">
      <c r="B322" s="3"/>
      <c r="C322" s="4"/>
      <c r="D322" s="4"/>
      <c r="E322" s="4"/>
      <c r="F322" s="4"/>
      <c r="G322" s="4"/>
      <c r="H322" s="4"/>
      <c r="I322" s="2"/>
      <c r="J322" s="2"/>
      <c r="K322" s="2"/>
      <c r="P322"/>
      <c r="U322" s="26"/>
      <c r="V322" s="26"/>
      <c r="W322" s="26"/>
      <c r="X322" s="26"/>
      <c r="Y322" s="26"/>
    </row>
    <row r="323" spans="2:25" s="31" customFormat="1" ht="15" hidden="1" customHeight="1">
      <c r="B323" s="3"/>
      <c r="C323" s="4"/>
      <c r="D323" s="4"/>
      <c r="E323" s="4"/>
      <c r="F323" s="4"/>
      <c r="G323" s="4"/>
      <c r="H323" s="4"/>
      <c r="I323" s="2"/>
      <c r="J323" s="2"/>
      <c r="K323" s="2"/>
      <c r="P323"/>
      <c r="U323" s="26"/>
      <c r="V323" s="26"/>
      <c r="W323" s="26"/>
      <c r="X323" s="26"/>
      <c r="Y323" s="26"/>
    </row>
    <row r="324" spans="2:25" s="31" customFormat="1" ht="15" hidden="1" customHeight="1">
      <c r="B324" s="3"/>
      <c r="C324" s="4"/>
      <c r="D324" s="4"/>
      <c r="E324" s="4"/>
      <c r="F324" s="4"/>
      <c r="G324" s="4"/>
      <c r="H324" s="4"/>
      <c r="I324" s="2"/>
      <c r="J324" s="2"/>
      <c r="K324" s="2"/>
      <c r="P324"/>
      <c r="U324" s="26"/>
      <c r="V324" s="26"/>
      <c r="W324" s="26"/>
      <c r="X324" s="26"/>
      <c r="Y324" s="26"/>
    </row>
    <row r="325" spans="2:25" s="31" customFormat="1" ht="15" hidden="1" customHeight="1">
      <c r="B325" s="3"/>
      <c r="C325" s="4"/>
      <c r="D325" s="4"/>
      <c r="E325" s="4"/>
      <c r="F325" s="4"/>
      <c r="G325" s="4"/>
      <c r="H325" s="4"/>
      <c r="I325" s="2"/>
      <c r="J325" s="2"/>
      <c r="K325" s="2"/>
      <c r="P325"/>
      <c r="U325" s="26"/>
      <c r="V325" s="26"/>
      <c r="W325" s="26"/>
      <c r="X325" s="26"/>
      <c r="Y325" s="26"/>
    </row>
    <row r="326" spans="2:25" s="31" customFormat="1" ht="15" hidden="1" customHeight="1">
      <c r="B326" s="3"/>
      <c r="C326" s="4"/>
      <c r="D326" s="4"/>
      <c r="E326" s="4"/>
      <c r="F326" s="4"/>
      <c r="G326" s="4"/>
      <c r="H326" s="4"/>
      <c r="I326" s="2"/>
      <c r="J326" s="2"/>
      <c r="K326" s="2"/>
      <c r="P326"/>
      <c r="U326" s="26"/>
      <c r="V326" s="26"/>
      <c r="W326" s="26"/>
      <c r="X326" s="26"/>
      <c r="Y326" s="26"/>
    </row>
    <row r="327" spans="2:25" s="31" customFormat="1" ht="15" hidden="1" customHeight="1">
      <c r="B327" s="3"/>
      <c r="C327" s="4"/>
      <c r="D327" s="4"/>
      <c r="E327" s="4"/>
      <c r="F327" s="4"/>
      <c r="G327" s="4"/>
      <c r="H327" s="4"/>
      <c r="I327" s="2"/>
      <c r="J327" s="2"/>
      <c r="K327" s="2"/>
      <c r="P327"/>
      <c r="U327" s="26"/>
      <c r="V327" s="26"/>
      <c r="W327" s="26"/>
      <c r="X327" s="26"/>
      <c r="Y327" s="26"/>
    </row>
    <row r="328" spans="2:25" s="31" customFormat="1" ht="15" hidden="1" customHeight="1">
      <c r="B328" s="3"/>
      <c r="C328" s="4"/>
      <c r="D328" s="4"/>
      <c r="E328" s="4"/>
      <c r="F328" s="4"/>
      <c r="G328" s="4"/>
      <c r="H328" s="4"/>
      <c r="I328" s="2"/>
      <c r="J328" s="2"/>
      <c r="K328" s="2"/>
      <c r="P328"/>
      <c r="U328" s="26"/>
      <c r="V328" s="26"/>
      <c r="W328" s="26"/>
      <c r="X328" s="26"/>
      <c r="Y328" s="26"/>
    </row>
    <row r="329" spans="2:25" s="31" customFormat="1" ht="15" hidden="1" customHeight="1">
      <c r="B329" s="3"/>
      <c r="C329" s="4"/>
      <c r="D329" s="4"/>
      <c r="E329" s="4"/>
      <c r="F329" s="4"/>
      <c r="G329" s="4"/>
      <c r="H329" s="4"/>
      <c r="I329" s="2"/>
      <c r="J329" s="2"/>
      <c r="K329" s="2"/>
      <c r="P329"/>
      <c r="U329" s="26"/>
      <c r="V329" s="26"/>
      <c r="W329" s="26"/>
      <c r="X329" s="26"/>
      <c r="Y329" s="26"/>
    </row>
    <row r="330" spans="2:25" s="31" customFormat="1" ht="15" hidden="1" customHeight="1">
      <c r="B330" s="3"/>
      <c r="C330" s="4"/>
      <c r="D330" s="4"/>
      <c r="E330" s="4"/>
      <c r="F330" s="4"/>
      <c r="G330" s="4"/>
      <c r="H330" s="4"/>
      <c r="I330" s="2"/>
      <c r="J330" s="2"/>
      <c r="K330" s="2"/>
      <c r="P330"/>
      <c r="U330" s="26"/>
      <c r="V330" s="26"/>
      <c r="W330" s="26"/>
      <c r="X330" s="26"/>
      <c r="Y330" s="26"/>
    </row>
    <row r="331" spans="2:25" s="31" customFormat="1" ht="15" hidden="1" customHeight="1">
      <c r="B331" s="3"/>
      <c r="C331" s="4"/>
      <c r="D331" s="4"/>
      <c r="E331" s="4"/>
      <c r="F331" s="4"/>
      <c r="G331" s="4"/>
      <c r="H331" s="4"/>
      <c r="I331" s="2"/>
      <c r="J331" s="2"/>
      <c r="K331" s="2"/>
      <c r="P331"/>
      <c r="U331" s="26"/>
      <c r="V331" s="26"/>
      <c r="W331" s="26"/>
      <c r="X331" s="26"/>
      <c r="Y331" s="26"/>
    </row>
    <row r="332" spans="2:25" s="31" customFormat="1" ht="15" hidden="1" customHeight="1">
      <c r="B332" s="3"/>
      <c r="C332" s="4"/>
      <c r="D332" s="4"/>
      <c r="E332" s="4"/>
      <c r="F332" s="4"/>
      <c r="G332" s="4"/>
      <c r="H332" s="4"/>
      <c r="I332" s="2"/>
      <c r="J332" s="2"/>
      <c r="K332" s="2"/>
      <c r="P332"/>
      <c r="U332" s="26"/>
      <c r="V332" s="26"/>
      <c r="W332" s="26"/>
      <c r="X332" s="26"/>
      <c r="Y332" s="26"/>
    </row>
    <row r="333" spans="2:25" s="31" customFormat="1" ht="15" hidden="1" customHeight="1">
      <c r="B333" s="3"/>
      <c r="C333" s="4"/>
      <c r="D333" s="4"/>
      <c r="E333" s="4"/>
      <c r="F333" s="4"/>
      <c r="G333" s="4"/>
      <c r="H333" s="4"/>
      <c r="I333" s="2"/>
      <c r="J333" s="2"/>
      <c r="K333" s="2"/>
      <c r="P333"/>
      <c r="U333" s="26"/>
      <c r="V333" s="26"/>
      <c r="W333" s="26"/>
      <c r="X333" s="26"/>
      <c r="Y333" s="26"/>
    </row>
    <row r="334" spans="2:25" s="31" customFormat="1" ht="15" hidden="1" customHeight="1">
      <c r="B334" s="3"/>
      <c r="C334" s="4"/>
      <c r="D334" s="4"/>
      <c r="E334" s="4"/>
      <c r="F334" s="4"/>
      <c r="G334" s="4"/>
      <c r="H334" s="4"/>
      <c r="I334" s="2"/>
      <c r="J334" s="2"/>
      <c r="K334" s="2"/>
      <c r="P334"/>
      <c r="U334" s="26"/>
      <c r="V334" s="26"/>
      <c r="W334" s="26"/>
      <c r="X334" s="26"/>
      <c r="Y334" s="26"/>
    </row>
    <row r="335" spans="2:25" s="31" customFormat="1" ht="15" hidden="1" customHeight="1">
      <c r="B335" s="3"/>
      <c r="C335" s="4"/>
      <c r="D335" s="4"/>
      <c r="E335" s="4"/>
      <c r="F335" s="4"/>
      <c r="G335" s="4"/>
      <c r="H335" s="4"/>
      <c r="I335" s="2"/>
      <c r="J335" s="2"/>
      <c r="K335" s="2"/>
      <c r="P335"/>
      <c r="U335" s="26"/>
      <c r="V335" s="26"/>
      <c r="W335" s="26"/>
      <c r="X335" s="26"/>
      <c r="Y335" s="26"/>
    </row>
    <row r="336" spans="2:25" s="31" customFormat="1" ht="15" hidden="1" customHeight="1">
      <c r="B336" s="3"/>
      <c r="C336" s="4"/>
      <c r="D336" s="4"/>
      <c r="E336" s="4"/>
      <c r="F336" s="4"/>
      <c r="G336" s="4"/>
      <c r="H336" s="4"/>
      <c r="I336" s="2"/>
      <c r="J336" s="2"/>
      <c r="K336" s="2"/>
      <c r="P336"/>
      <c r="U336" s="26"/>
      <c r="V336" s="26"/>
      <c r="W336" s="26"/>
      <c r="X336" s="26"/>
      <c r="Y336" s="26"/>
    </row>
    <row r="337" spans="2:25" s="31" customFormat="1" ht="15" hidden="1" customHeight="1">
      <c r="B337" s="3"/>
      <c r="C337" s="4"/>
      <c r="D337" s="4"/>
      <c r="E337" s="4"/>
      <c r="F337" s="4"/>
      <c r="G337" s="4"/>
      <c r="H337" s="4"/>
      <c r="I337" s="2"/>
      <c r="J337" s="2"/>
      <c r="K337" s="2"/>
      <c r="P337"/>
      <c r="U337" s="26"/>
      <c r="V337" s="26"/>
      <c r="W337" s="26"/>
      <c r="X337" s="26"/>
      <c r="Y337" s="26"/>
    </row>
    <row r="338" spans="2:25" s="31" customFormat="1" ht="15" hidden="1" customHeight="1">
      <c r="B338" s="3"/>
      <c r="C338" s="4"/>
      <c r="D338" s="4"/>
      <c r="E338" s="4"/>
      <c r="F338" s="4"/>
      <c r="G338" s="4"/>
      <c r="H338" s="4"/>
      <c r="I338" s="2"/>
      <c r="J338" s="2"/>
      <c r="K338" s="2"/>
      <c r="P338"/>
      <c r="U338" s="26"/>
      <c r="V338" s="26"/>
      <c r="W338" s="26"/>
      <c r="X338" s="26"/>
      <c r="Y338" s="26"/>
    </row>
    <row r="339" spans="2:25" s="31" customFormat="1" ht="15" hidden="1" customHeight="1">
      <c r="B339" s="3"/>
      <c r="C339" s="4"/>
      <c r="D339" s="4"/>
      <c r="E339" s="4"/>
      <c r="F339" s="4"/>
      <c r="G339" s="4"/>
      <c r="H339" s="4"/>
      <c r="I339" s="2"/>
      <c r="J339" s="2"/>
      <c r="K339" s="2"/>
      <c r="P339"/>
      <c r="U339" s="26"/>
      <c r="V339" s="26"/>
      <c r="W339" s="26"/>
      <c r="X339" s="26"/>
      <c r="Y339" s="26"/>
    </row>
    <row r="340" spans="2:25" s="31" customFormat="1" ht="15" hidden="1" customHeight="1">
      <c r="B340" s="3"/>
      <c r="C340" s="4"/>
      <c r="D340" s="4"/>
      <c r="E340" s="4"/>
      <c r="F340" s="4"/>
      <c r="G340" s="4"/>
      <c r="H340" s="4"/>
      <c r="I340" s="2"/>
      <c r="J340" s="2"/>
      <c r="K340" s="2"/>
      <c r="P340"/>
      <c r="U340" s="26"/>
      <c r="V340" s="26"/>
      <c r="W340" s="26"/>
      <c r="X340" s="26"/>
      <c r="Y340" s="26"/>
    </row>
    <row r="341" spans="2:25" s="31" customFormat="1" ht="15" hidden="1" customHeight="1">
      <c r="B341" s="3"/>
      <c r="C341" s="4"/>
      <c r="D341" s="4"/>
      <c r="E341" s="4"/>
      <c r="F341" s="4"/>
      <c r="G341" s="4"/>
      <c r="H341" s="4"/>
      <c r="I341" s="2"/>
      <c r="J341" s="2"/>
      <c r="K341" s="2"/>
      <c r="P341"/>
      <c r="U341" s="26"/>
      <c r="V341" s="26"/>
      <c r="W341" s="26"/>
      <c r="X341" s="26"/>
      <c r="Y341" s="26"/>
    </row>
    <row r="342" spans="2:25" s="31" customFormat="1" ht="15" hidden="1" customHeight="1">
      <c r="B342" s="3"/>
      <c r="C342" s="4"/>
      <c r="D342" s="4"/>
      <c r="E342" s="4"/>
      <c r="F342" s="4"/>
      <c r="G342" s="4"/>
      <c r="H342" s="4"/>
      <c r="I342" s="2"/>
      <c r="J342" s="2"/>
      <c r="K342" s="2"/>
      <c r="P342"/>
      <c r="U342" s="26"/>
      <c r="V342" s="26"/>
      <c r="W342" s="26"/>
      <c r="X342" s="26"/>
      <c r="Y342" s="26"/>
    </row>
    <row r="343" spans="2:25" s="31" customFormat="1" ht="15" hidden="1" customHeight="1">
      <c r="B343" s="3"/>
      <c r="C343" s="4"/>
      <c r="D343" s="4"/>
      <c r="E343" s="4"/>
      <c r="F343" s="4"/>
      <c r="G343" s="4"/>
      <c r="H343" s="4"/>
      <c r="I343" s="2"/>
      <c r="J343" s="2"/>
      <c r="K343" s="2"/>
      <c r="P343"/>
      <c r="U343" s="26"/>
      <c r="V343" s="26"/>
      <c r="W343" s="26"/>
      <c r="X343" s="26"/>
      <c r="Y343" s="26"/>
    </row>
    <row r="344" spans="2:25" s="31" customFormat="1" ht="15" hidden="1" customHeight="1">
      <c r="B344" s="3"/>
      <c r="C344" s="4"/>
      <c r="D344" s="4"/>
      <c r="E344" s="4"/>
      <c r="F344" s="4"/>
      <c r="G344" s="4"/>
      <c r="H344" s="4"/>
      <c r="I344" s="2"/>
      <c r="J344" s="2"/>
      <c r="K344" s="2"/>
      <c r="P344"/>
      <c r="U344" s="26"/>
      <c r="V344" s="26"/>
      <c r="W344" s="26"/>
      <c r="X344" s="26"/>
      <c r="Y344" s="26"/>
    </row>
    <row r="345" spans="2:25" s="31" customFormat="1" ht="15" hidden="1" customHeight="1">
      <c r="B345" s="3"/>
      <c r="C345" s="4"/>
      <c r="D345" s="4"/>
      <c r="E345" s="4"/>
      <c r="F345" s="4"/>
      <c r="G345" s="4"/>
      <c r="H345" s="4"/>
      <c r="I345" s="2"/>
      <c r="J345" s="2"/>
      <c r="K345" s="2"/>
      <c r="P345"/>
      <c r="U345" s="26"/>
      <c r="V345" s="26"/>
      <c r="W345" s="26"/>
      <c r="X345" s="26"/>
      <c r="Y345" s="26"/>
    </row>
    <row r="346" spans="2:25" s="31" customFormat="1" ht="15" hidden="1" customHeight="1">
      <c r="B346" s="3"/>
      <c r="C346" s="4"/>
      <c r="D346" s="4"/>
      <c r="E346" s="4"/>
      <c r="F346" s="4"/>
      <c r="G346" s="4"/>
      <c r="H346" s="4"/>
      <c r="I346" s="2"/>
      <c r="J346" s="2"/>
      <c r="K346" s="2"/>
      <c r="P346"/>
      <c r="U346" s="26"/>
      <c r="V346" s="26"/>
      <c r="W346" s="26"/>
      <c r="X346" s="26"/>
      <c r="Y346" s="26"/>
    </row>
    <row r="347" spans="2:25" s="31" customFormat="1" ht="15" hidden="1" customHeight="1">
      <c r="B347" s="3"/>
      <c r="C347" s="4"/>
      <c r="D347" s="4"/>
      <c r="E347" s="4"/>
      <c r="F347" s="4"/>
      <c r="G347" s="4"/>
      <c r="H347" s="4"/>
      <c r="I347" s="2"/>
      <c r="J347" s="2"/>
      <c r="K347" s="2"/>
      <c r="P347"/>
      <c r="U347" s="26"/>
      <c r="V347" s="26"/>
      <c r="W347" s="26"/>
      <c r="X347" s="26"/>
      <c r="Y347" s="26"/>
    </row>
    <row r="348" spans="2:25" s="31" customFormat="1" ht="15" hidden="1" customHeight="1">
      <c r="B348" s="3"/>
      <c r="C348" s="4"/>
      <c r="D348" s="4"/>
      <c r="E348" s="4"/>
      <c r="F348" s="4"/>
      <c r="G348" s="4"/>
      <c r="H348" s="4"/>
      <c r="I348" s="2"/>
      <c r="J348" s="2"/>
      <c r="K348" s="2"/>
      <c r="P348"/>
      <c r="U348" s="26"/>
      <c r="V348" s="26"/>
      <c r="W348" s="26"/>
      <c r="X348" s="26"/>
      <c r="Y348" s="26"/>
    </row>
    <row r="349" spans="2:25" s="31" customFormat="1" ht="15" hidden="1" customHeight="1">
      <c r="B349" s="3"/>
      <c r="C349" s="4"/>
      <c r="D349" s="4"/>
      <c r="E349" s="4"/>
      <c r="F349" s="4"/>
      <c r="G349" s="4"/>
      <c r="H349" s="4"/>
      <c r="I349" s="2"/>
      <c r="J349" s="2"/>
      <c r="K349" s="2"/>
      <c r="P349"/>
      <c r="U349" s="26"/>
      <c r="V349" s="26"/>
      <c r="W349" s="26"/>
      <c r="X349" s="26"/>
      <c r="Y349" s="26"/>
    </row>
    <row r="350" spans="2:25" s="31" customFormat="1" ht="15" hidden="1" customHeight="1">
      <c r="B350" s="3"/>
      <c r="C350" s="4"/>
      <c r="D350" s="4"/>
      <c r="E350" s="4"/>
      <c r="F350" s="4"/>
      <c r="G350" s="4"/>
      <c r="H350" s="4"/>
      <c r="I350" s="2"/>
      <c r="J350" s="2"/>
      <c r="K350" s="2"/>
      <c r="P350"/>
      <c r="U350" s="26"/>
      <c r="V350" s="26"/>
      <c r="W350" s="26"/>
      <c r="X350" s="26"/>
      <c r="Y350" s="26"/>
    </row>
    <row r="351" spans="2:25" s="31" customFormat="1" ht="15" hidden="1" customHeight="1">
      <c r="B351" s="3"/>
      <c r="C351" s="4"/>
      <c r="D351" s="4"/>
      <c r="E351" s="4"/>
      <c r="F351" s="4"/>
      <c r="G351" s="4"/>
      <c r="H351" s="4"/>
      <c r="I351" s="2"/>
      <c r="J351" s="2"/>
      <c r="K351" s="2"/>
      <c r="P351"/>
      <c r="U351" s="26"/>
      <c r="V351" s="26"/>
      <c r="W351" s="26"/>
      <c r="X351" s="26"/>
      <c r="Y351" s="26"/>
    </row>
    <row r="352" spans="2:25" s="31" customFormat="1" ht="15" hidden="1" customHeight="1">
      <c r="B352" s="3"/>
      <c r="C352" s="4"/>
      <c r="D352" s="4"/>
      <c r="E352" s="4"/>
      <c r="F352" s="4"/>
      <c r="G352" s="4"/>
      <c r="H352" s="4"/>
      <c r="I352" s="2"/>
      <c r="J352" s="2"/>
      <c r="K352" s="2"/>
      <c r="P352"/>
      <c r="U352" s="26"/>
      <c r="V352" s="26"/>
      <c r="W352" s="26"/>
      <c r="X352" s="26"/>
      <c r="Y352" s="26"/>
    </row>
    <row r="353" spans="2:25" s="31" customFormat="1" ht="15" hidden="1" customHeight="1">
      <c r="B353" s="3"/>
      <c r="C353" s="4"/>
      <c r="D353" s="4"/>
      <c r="E353" s="4"/>
      <c r="F353" s="4"/>
      <c r="G353" s="4"/>
      <c r="H353" s="4"/>
      <c r="I353" s="2"/>
      <c r="J353" s="2"/>
      <c r="K353" s="2"/>
      <c r="P353"/>
      <c r="U353" s="26"/>
      <c r="V353" s="26"/>
      <c r="W353" s="26"/>
      <c r="X353" s="26"/>
      <c r="Y353" s="26"/>
    </row>
    <row r="354" spans="2:25" s="31" customFormat="1" ht="15" hidden="1" customHeight="1">
      <c r="B354" s="3"/>
      <c r="C354" s="4"/>
      <c r="D354" s="4"/>
      <c r="E354" s="4"/>
      <c r="F354" s="4"/>
      <c r="G354" s="4"/>
      <c r="H354" s="4"/>
      <c r="I354" s="2"/>
      <c r="J354" s="2"/>
      <c r="K354" s="2"/>
      <c r="P354"/>
      <c r="U354" s="26"/>
      <c r="V354" s="26"/>
      <c r="W354" s="26"/>
      <c r="X354" s="26"/>
      <c r="Y354" s="26"/>
    </row>
    <row r="355" spans="2:25" s="31" customFormat="1" ht="15" hidden="1" customHeight="1">
      <c r="B355" s="3"/>
      <c r="C355" s="4"/>
      <c r="D355" s="4"/>
      <c r="E355" s="4"/>
      <c r="F355" s="4"/>
      <c r="G355" s="4"/>
      <c r="H355" s="4"/>
      <c r="I355" s="2"/>
      <c r="J355" s="2"/>
      <c r="K355" s="2"/>
      <c r="P355"/>
      <c r="U355" s="26"/>
      <c r="V355" s="26"/>
      <c r="W355" s="26"/>
      <c r="X355" s="26"/>
      <c r="Y355" s="26"/>
    </row>
    <row r="356" spans="2:25" s="31" customFormat="1" ht="15" hidden="1" customHeight="1">
      <c r="B356" s="3"/>
      <c r="C356" s="4"/>
      <c r="D356" s="4"/>
      <c r="E356" s="4"/>
      <c r="F356" s="4"/>
      <c r="G356" s="4"/>
      <c r="H356" s="4"/>
      <c r="I356" s="2"/>
      <c r="J356" s="2"/>
      <c r="K356" s="2"/>
      <c r="P356"/>
      <c r="U356" s="26"/>
      <c r="V356" s="26"/>
      <c r="W356" s="26"/>
      <c r="X356" s="26"/>
      <c r="Y356" s="26"/>
    </row>
    <row r="357" spans="2:25" s="31" customFormat="1" ht="15" hidden="1" customHeight="1">
      <c r="B357" s="3"/>
      <c r="C357" s="4"/>
      <c r="D357" s="4"/>
      <c r="E357" s="4"/>
      <c r="F357" s="4"/>
      <c r="G357" s="4"/>
      <c r="H357" s="4"/>
      <c r="I357" s="2"/>
      <c r="J357" s="2"/>
      <c r="K357" s="2"/>
      <c r="P357"/>
      <c r="U357" s="26"/>
      <c r="V357" s="26"/>
      <c r="W357" s="26"/>
      <c r="X357" s="26"/>
      <c r="Y357" s="26"/>
    </row>
    <row r="358" spans="2:25" s="31" customFormat="1" ht="15" hidden="1" customHeight="1">
      <c r="B358" s="3"/>
      <c r="C358" s="4"/>
      <c r="D358" s="4"/>
      <c r="E358" s="4"/>
      <c r="F358" s="4"/>
      <c r="G358" s="4"/>
      <c r="H358" s="4"/>
      <c r="I358" s="2"/>
      <c r="J358" s="2"/>
      <c r="K358" s="2"/>
      <c r="P358"/>
      <c r="U358" s="26"/>
      <c r="V358" s="26"/>
      <c r="W358" s="26"/>
      <c r="X358" s="26"/>
      <c r="Y358" s="26"/>
    </row>
    <row r="359" spans="2:25" s="31" customFormat="1" ht="15" hidden="1" customHeight="1">
      <c r="B359" s="3"/>
      <c r="C359" s="4"/>
      <c r="D359" s="4"/>
      <c r="E359" s="4"/>
      <c r="F359" s="4"/>
      <c r="G359" s="4"/>
      <c r="H359" s="4"/>
      <c r="I359" s="2"/>
      <c r="J359" s="2"/>
      <c r="K359" s="2"/>
      <c r="P359"/>
      <c r="U359" s="26"/>
      <c r="V359" s="26"/>
      <c r="W359" s="26"/>
      <c r="X359" s="26"/>
      <c r="Y359" s="26"/>
    </row>
    <row r="360" spans="2:25" s="31" customFormat="1" ht="15" hidden="1" customHeight="1">
      <c r="B360" s="3"/>
      <c r="C360" s="4"/>
      <c r="D360" s="4"/>
      <c r="E360" s="4"/>
      <c r="F360" s="4"/>
      <c r="G360" s="4"/>
      <c r="H360" s="4"/>
      <c r="I360" s="2"/>
      <c r="J360" s="2"/>
      <c r="K360" s="2"/>
      <c r="P360"/>
      <c r="U360" s="26"/>
      <c r="V360" s="26"/>
      <c r="W360" s="26"/>
      <c r="X360" s="26"/>
      <c r="Y360" s="26"/>
    </row>
    <row r="361" spans="2:25" s="31" customFormat="1" ht="15" hidden="1" customHeight="1">
      <c r="B361" s="3"/>
      <c r="C361" s="4"/>
      <c r="D361" s="4"/>
      <c r="E361" s="4"/>
      <c r="F361" s="4"/>
      <c r="G361" s="4"/>
      <c r="H361" s="4"/>
      <c r="I361" s="2"/>
      <c r="J361" s="2"/>
      <c r="K361" s="2"/>
      <c r="P361"/>
      <c r="U361" s="26"/>
      <c r="V361" s="26"/>
      <c r="W361" s="26"/>
      <c r="X361" s="26"/>
      <c r="Y361" s="26"/>
    </row>
    <row r="362" spans="2:25" s="31" customFormat="1" ht="15" hidden="1" customHeight="1">
      <c r="B362" s="3"/>
      <c r="C362" s="4"/>
      <c r="D362" s="4"/>
      <c r="E362" s="4"/>
      <c r="F362" s="4"/>
      <c r="G362" s="4"/>
      <c r="H362" s="4"/>
      <c r="I362" s="2"/>
      <c r="J362" s="2"/>
      <c r="K362" s="2"/>
      <c r="P362"/>
      <c r="U362" s="26"/>
      <c r="V362" s="26"/>
      <c r="W362" s="26"/>
      <c r="X362" s="26"/>
      <c r="Y362" s="26"/>
    </row>
    <row r="363" spans="2:25" s="31" customFormat="1" ht="15" hidden="1" customHeight="1">
      <c r="B363" s="3"/>
      <c r="C363" s="4"/>
      <c r="D363" s="4"/>
      <c r="E363" s="4"/>
      <c r="F363" s="4"/>
      <c r="G363" s="4"/>
      <c r="H363" s="4"/>
      <c r="I363" s="2"/>
      <c r="J363" s="2"/>
      <c r="K363" s="2"/>
      <c r="P363"/>
      <c r="U363" s="26"/>
      <c r="V363" s="26"/>
      <c r="W363" s="26"/>
      <c r="X363" s="26"/>
      <c r="Y363" s="26"/>
    </row>
    <row r="364" spans="2:25" s="31" customFormat="1" ht="15" hidden="1" customHeight="1">
      <c r="B364" s="3"/>
      <c r="C364" s="4"/>
      <c r="D364" s="4"/>
      <c r="E364" s="4"/>
      <c r="F364" s="4"/>
      <c r="G364" s="4"/>
      <c r="H364" s="4"/>
      <c r="I364" s="2"/>
      <c r="J364" s="2"/>
      <c r="K364" s="2"/>
      <c r="P364"/>
      <c r="U364" s="26"/>
      <c r="V364" s="26"/>
      <c r="W364" s="26"/>
      <c r="X364" s="26"/>
      <c r="Y364" s="26"/>
    </row>
    <row r="365" spans="2:25" s="31" customFormat="1" ht="15" hidden="1" customHeight="1">
      <c r="B365" s="3"/>
      <c r="C365" s="4"/>
      <c r="D365" s="4"/>
      <c r="E365" s="4"/>
      <c r="F365" s="4"/>
      <c r="G365" s="4"/>
      <c r="H365" s="4"/>
      <c r="I365" s="2"/>
      <c r="J365" s="2"/>
      <c r="K365" s="2"/>
      <c r="P365"/>
      <c r="U365" s="26"/>
      <c r="V365" s="26"/>
      <c r="W365" s="26"/>
      <c r="X365" s="26"/>
      <c r="Y365" s="26"/>
    </row>
    <row r="366" spans="2:25" s="31" customFormat="1" ht="15" hidden="1" customHeight="1">
      <c r="B366" s="3"/>
      <c r="C366" s="4"/>
      <c r="D366" s="4"/>
      <c r="E366" s="4"/>
      <c r="F366" s="4"/>
      <c r="G366" s="4"/>
      <c r="H366" s="4"/>
      <c r="I366" s="2"/>
      <c r="J366" s="2"/>
      <c r="K366" s="2"/>
      <c r="P366"/>
      <c r="U366" s="26"/>
      <c r="V366" s="26"/>
      <c r="W366" s="26"/>
      <c r="X366" s="26"/>
      <c r="Y366" s="26"/>
    </row>
    <row r="367" spans="2:25" s="31" customFormat="1" ht="15" hidden="1" customHeight="1">
      <c r="B367" s="3"/>
      <c r="C367" s="4"/>
      <c r="D367" s="4"/>
      <c r="E367" s="4"/>
      <c r="F367" s="4"/>
      <c r="G367" s="4"/>
      <c r="H367" s="4"/>
      <c r="I367" s="2"/>
      <c r="J367" s="2"/>
      <c r="K367" s="2"/>
      <c r="P367"/>
      <c r="U367" s="26"/>
      <c r="V367" s="26"/>
      <c r="W367" s="26"/>
      <c r="X367" s="26"/>
      <c r="Y367" s="26"/>
    </row>
    <row r="368" spans="2:25" ht="15" hidden="1" customHeight="1"/>
    <row r="369" ht="15" hidden="1" customHeight="1"/>
    <row r="370" ht="15" hidden="1" customHeight="1"/>
    <row r="371" ht="15" hidden="1" customHeight="1"/>
    <row r="372" ht="15" hidden="1" customHeight="1"/>
    <row r="373" ht="15" hidden="1" customHeight="1"/>
    <row r="374" ht="15" hidden="1" customHeight="1"/>
    <row r="375" ht="15" hidden="1" customHeight="1"/>
    <row r="376" ht="15" hidden="1" customHeight="1"/>
    <row r="377" ht="15" hidden="1" customHeight="1"/>
  </sheetData>
  <mergeCells count="34">
    <mergeCell ref="B30:C30"/>
    <mergeCell ref="I30:J30"/>
    <mergeCell ref="N30:O30"/>
    <mergeCell ref="D30:E30"/>
    <mergeCell ref="D32:E32"/>
    <mergeCell ref="I32:J32"/>
    <mergeCell ref="N32:O32"/>
    <mergeCell ref="B2:B3"/>
    <mergeCell ref="C2:C3"/>
    <mergeCell ref="D2:E2"/>
    <mergeCell ref="F2:G2"/>
    <mergeCell ref="C14:O14"/>
    <mergeCell ref="H2:I2"/>
    <mergeCell ref="L2:M2"/>
    <mergeCell ref="N2:O2"/>
    <mergeCell ref="D3:E3"/>
    <mergeCell ref="F3:G3"/>
    <mergeCell ref="H3:I3"/>
    <mergeCell ref="J3:K3"/>
    <mergeCell ref="L3:M3"/>
    <mergeCell ref="J2:K2"/>
    <mergeCell ref="N3:O3"/>
    <mergeCell ref="C15:O15"/>
    <mergeCell ref="C16:O16"/>
    <mergeCell ref="C17:O17"/>
    <mergeCell ref="C18:O18"/>
    <mergeCell ref="C26:O26"/>
    <mergeCell ref="C19:O19"/>
    <mergeCell ref="C20:O20"/>
    <mergeCell ref="C21:O21"/>
    <mergeCell ref="C22:O22"/>
    <mergeCell ref="C24:O24"/>
    <mergeCell ref="C25:O25"/>
    <mergeCell ref="C23:O23"/>
  </mergeCells>
  <hyperlinks>
    <hyperlink ref="F2" location="'City information'!A1" display="Set-up"/>
    <hyperlink ref="G2" location="'City information'!A1" display="'City information'!A1"/>
    <hyperlink ref="L2" location="Results!A1" display="Results"/>
    <hyperlink ref="M2" location="Results!A1" display="Results!A1"/>
    <hyperlink ref="J2" location="Calculators!A1" display="Calculators"/>
    <hyperlink ref="K2" location="Calculators!A1" display="Calculators!A1"/>
    <hyperlink ref="N2" location="Analysis!A1" display="Analysis"/>
    <hyperlink ref="O2" location="Analysis!A1" display="Analysis!A1"/>
    <hyperlink ref="D3" location="'I - Stationary'!A1" display="Stationary"/>
    <hyperlink ref="E3" location="'I - Stationary'!A1" display="'I - Stationary'!A1"/>
    <hyperlink ref="F3" location="'II - Transport'!A1" display="Transportation"/>
    <hyperlink ref="G3" location="'II - Transport'!A1" display="'II - Transport'!A1"/>
    <hyperlink ref="H3" location="'III - Waste'!A1" display="Waste"/>
    <hyperlink ref="I3" location="'III - Waste'!A1" display="'III - Waste'!A1"/>
    <hyperlink ref="J3" location="'IV - IPPU'!A1" display="IPPU"/>
    <hyperlink ref="K3" location="'IV - IPPU'!A1" display="'IV - IPPU'!A1"/>
    <hyperlink ref="L3" location="'V - AFOLU'!A1" display="AFOLU"/>
    <hyperlink ref="M3" location="'V - AFOLU'!A1" display="'V - AFOLU'!A1"/>
    <hyperlink ref="N3" location="'VI - Other scope 3'!A1" display="Scope 3"/>
    <hyperlink ref="O3" location="'VI - Other scope 3'!A1" display="'VI - Other scope 3'!A1"/>
    <hyperlink ref="D2" location="Home!A1" display="Introduction"/>
    <hyperlink ref="E2" location="Home!A1" display="Home!A1"/>
  </hyperlinks>
  <pageMargins left="0.25" right="0.25" top="0.75" bottom="0.75" header="0.3" footer="0.3"/>
  <pageSetup paperSize="9" scale="10" orientation="portrait" horizontalDpi="4294967292" verticalDpi="4294967292"/>
  <headerFooter>
    <oddHeader>&amp;CTable 4.1</oddHeader>
  </headerFooter>
  <drawing r:id="rId1"/>
  <extLst>
    <ext xmlns:mx="http://schemas.microsoft.com/office/mac/excel/2008/main" uri="{64002731-A6B0-56B0-2670-7721B7C09600}">
      <mx:PLV Mode="0" OnePage="0" WScale="71"/>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3" tint="0.79998168889431442"/>
    <outlinePr summaryBelow="0" summaryRight="0"/>
    <pageSetUpPr autoPageBreaks="0"/>
  </sheetPr>
  <dimension ref="A1:AZ135"/>
  <sheetViews>
    <sheetView showGridLines="0" showRowColHeaders="0" workbookViewId="0">
      <selection activeCell="F3" sqref="F3:G3"/>
    </sheetView>
  </sheetViews>
  <sheetFormatPr baseColWidth="10" defaultColWidth="0" defaultRowHeight="15" x14ac:dyDescent="0"/>
  <cols>
    <col min="1" max="1" width="4.83203125" style="22" customWidth="1"/>
    <col min="2" max="3" width="12.83203125" style="5" customWidth="1"/>
    <col min="4" max="9" width="12.83203125" style="1" customWidth="1"/>
    <col min="10" max="10" width="12.83203125" customWidth="1"/>
    <col min="11" max="15" width="12.83203125" style="6" customWidth="1"/>
    <col min="16" max="16" width="16.33203125" style="6" customWidth="1"/>
    <col min="17" max="17" width="24.83203125" style="6" customWidth="1"/>
    <col min="18" max="18" width="12.83203125" style="6" customWidth="1"/>
    <col min="19" max="25" width="12.33203125" style="6" customWidth="1"/>
    <col min="26" max="26" width="24.83203125" style="6" customWidth="1"/>
    <col min="27" max="31" width="12.6640625" style="6" customWidth="1"/>
    <col min="32" max="36" width="12.6640625" style="280" customWidth="1"/>
    <col min="37" max="37" width="12.83203125" customWidth="1"/>
    <col min="38" max="40" width="71.83203125" style="270" customWidth="1"/>
    <col min="41" max="41" width="4.83203125" style="15" customWidth="1"/>
    <col min="42" max="51" width="0" style="15" hidden="1" customWidth="1"/>
    <col min="52" max="52" width="0" hidden="1" customWidth="1"/>
    <col min="53" max="16384" width="10.83203125" hidden="1"/>
  </cols>
  <sheetData>
    <row r="1" spans="1:51" s="498" customFormat="1">
      <c r="T1" s="499"/>
      <c r="U1" s="499"/>
      <c r="V1" s="499"/>
      <c r="W1" s="500"/>
      <c r="X1" s="500"/>
      <c r="Y1" s="500"/>
    </row>
    <row r="2" spans="1:51" s="464" customFormat="1" ht="31" customHeight="1">
      <c r="A2" s="494"/>
      <c r="B2" s="1817" t="s">
        <v>1965</v>
      </c>
      <c r="C2" s="1819">
        <v>400</v>
      </c>
      <c r="D2" s="1849" t="s">
        <v>1555</v>
      </c>
      <c r="E2" s="1850"/>
      <c r="F2" s="1849" t="s">
        <v>1563</v>
      </c>
      <c r="G2" s="1850"/>
      <c r="H2" s="1847" t="s">
        <v>794</v>
      </c>
      <c r="I2" s="2103"/>
      <c r="J2" s="1849" t="s">
        <v>1570</v>
      </c>
      <c r="K2" s="1850"/>
      <c r="L2" s="1849" t="s">
        <v>1564</v>
      </c>
      <c r="M2" s="1850"/>
      <c r="N2" s="1849" t="s">
        <v>1602</v>
      </c>
      <c r="O2" s="1850"/>
      <c r="P2" s="494"/>
      <c r="Q2" s="494"/>
      <c r="R2" s="494"/>
      <c r="S2" s="494"/>
      <c r="T2" s="494"/>
      <c r="U2" s="494"/>
      <c r="V2" s="494"/>
      <c r="W2" s="494"/>
      <c r="X2" s="494"/>
      <c r="Y2" s="494"/>
      <c r="Z2" s="494"/>
      <c r="AA2" s="494"/>
      <c r="AB2" s="494"/>
      <c r="AC2" s="494"/>
      <c r="AD2" s="494"/>
      <c r="AE2" s="494"/>
      <c r="AF2" s="494"/>
      <c r="AG2" s="494"/>
      <c r="AH2" s="494"/>
      <c r="AI2" s="494"/>
      <c r="AJ2" s="494"/>
      <c r="AK2" s="494"/>
      <c r="AL2" s="494"/>
      <c r="AM2" s="494"/>
      <c r="AN2" s="494"/>
      <c r="AO2" s="494"/>
      <c r="AP2" s="494"/>
      <c r="AQ2" s="494"/>
      <c r="AR2" s="494"/>
      <c r="AS2" s="494"/>
      <c r="AT2" s="494"/>
      <c r="AU2" s="494"/>
      <c r="AV2" s="494"/>
    </row>
    <row r="3" spans="1:51" s="464" customFormat="1" ht="31" customHeight="1">
      <c r="A3" s="494"/>
      <c r="B3" s="1818"/>
      <c r="C3" s="1820"/>
      <c r="D3" s="1847" t="s">
        <v>270</v>
      </c>
      <c r="E3" s="2103"/>
      <c r="F3" s="1843" t="s">
        <v>760</v>
      </c>
      <c r="G3" s="1844"/>
      <c r="H3" s="1843" t="s">
        <v>761</v>
      </c>
      <c r="I3" s="1844"/>
      <c r="J3" s="1843" t="s">
        <v>208</v>
      </c>
      <c r="K3" s="1844"/>
      <c r="L3" s="1843" t="s">
        <v>209</v>
      </c>
      <c r="M3" s="1844"/>
      <c r="N3" s="1843" t="s">
        <v>3</v>
      </c>
      <c r="O3" s="1844"/>
      <c r="P3" s="494"/>
      <c r="Q3" s="494"/>
      <c r="R3" s="494"/>
      <c r="S3" s="494"/>
      <c r="T3" s="494"/>
      <c r="U3" s="494"/>
      <c r="V3" s="494"/>
      <c r="W3" s="494"/>
      <c r="X3" s="494"/>
      <c r="Y3" s="494"/>
      <c r="Z3" s="494"/>
      <c r="AA3" s="494"/>
      <c r="AB3" s="494"/>
      <c r="AC3" s="494"/>
      <c r="AD3" s="494"/>
      <c r="AE3" s="494"/>
      <c r="AF3" s="494"/>
      <c r="AG3" s="494"/>
      <c r="AH3" s="494"/>
      <c r="AI3" s="494"/>
      <c r="AJ3" s="494"/>
      <c r="AK3" s="494"/>
      <c r="AL3" s="494"/>
      <c r="AM3" s="494"/>
      <c r="AN3" s="494"/>
      <c r="AO3" s="494"/>
      <c r="AP3" s="494"/>
      <c r="AQ3" s="494"/>
      <c r="AR3" s="494"/>
      <c r="AS3" s="494"/>
      <c r="AT3" s="494"/>
      <c r="AU3" s="494"/>
      <c r="AV3" s="494"/>
    </row>
    <row r="4" spans="1:51" s="494" customFormat="1" ht="15" customHeight="1">
      <c r="B4" s="492"/>
      <c r="C4" s="495"/>
      <c r="D4" s="497"/>
      <c r="E4" s="497"/>
      <c r="F4" s="497"/>
      <c r="G4" s="497"/>
      <c r="H4" s="497"/>
      <c r="I4" s="497"/>
      <c r="J4" s="497"/>
      <c r="K4" s="497"/>
      <c r="L4" s="497"/>
      <c r="M4" s="497"/>
      <c r="N4" s="496"/>
      <c r="O4" s="496"/>
      <c r="P4" s="496"/>
      <c r="Q4" s="496"/>
      <c r="R4" s="496"/>
      <c r="S4" s="496"/>
    </row>
    <row r="5" spans="1:51" s="668" customFormat="1" ht="31" customHeight="1">
      <c r="K5" s="303"/>
      <c r="L5" s="303"/>
      <c r="M5" s="303"/>
      <c r="N5" s="303"/>
      <c r="O5" s="303"/>
      <c r="P5" s="234"/>
      <c r="Q5" s="1524"/>
      <c r="R5" s="1524"/>
      <c r="S5" s="303"/>
      <c r="T5" s="303"/>
      <c r="U5" s="303"/>
      <c r="V5" s="303"/>
      <c r="W5" s="303"/>
      <c r="X5" s="303"/>
      <c r="Y5" s="303"/>
      <c r="Z5" s="303"/>
      <c r="AA5" s="303"/>
      <c r="AB5" s="303"/>
      <c r="AC5" s="303"/>
      <c r="AD5" s="303"/>
      <c r="AE5" s="303"/>
      <c r="AF5" s="669"/>
      <c r="AG5" s="669"/>
      <c r="AH5" s="669"/>
      <c r="AI5" s="669"/>
      <c r="AJ5" s="669"/>
      <c r="AK5" s="669"/>
      <c r="AL5" s="670"/>
      <c r="AM5" s="670"/>
      <c r="AN5" s="670"/>
    </row>
    <row r="6" spans="1:51" s="29" customFormat="1" ht="31" customHeight="1" thickBot="1">
      <c r="A6" s="2682"/>
      <c r="B6" s="491" t="s">
        <v>1802</v>
      </c>
      <c r="C6" s="466"/>
      <c r="D6" s="466"/>
      <c r="E6" s="466"/>
      <c r="F6" s="466"/>
      <c r="G6" s="466"/>
      <c r="H6" s="466"/>
      <c r="I6" s="466"/>
      <c r="J6" s="466"/>
      <c r="K6" s="466"/>
      <c r="L6" s="466"/>
      <c r="M6" s="466"/>
      <c r="N6" s="466"/>
      <c r="O6" s="466"/>
      <c r="P6" s="468"/>
      <c r="Q6" s="663"/>
      <c r="R6" s="466"/>
      <c r="S6" s="468"/>
      <c r="T6" s="468"/>
      <c r="U6" s="468"/>
      <c r="V6" s="468"/>
      <c r="W6" s="468"/>
      <c r="X6" s="663"/>
      <c r="Y6" s="468"/>
      <c r="Z6" s="663"/>
      <c r="AA6" s="468"/>
      <c r="AB6" s="468"/>
      <c r="AC6" s="468"/>
      <c r="AD6" s="468"/>
      <c r="AE6" s="468"/>
      <c r="AF6" s="468"/>
      <c r="AG6" s="468"/>
      <c r="AH6" s="468"/>
      <c r="AI6" s="468"/>
      <c r="AJ6" s="468"/>
      <c r="AK6" s="468"/>
      <c r="AL6" s="468"/>
      <c r="AM6" s="468"/>
      <c r="AN6" s="468"/>
    </row>
    <row r="7" spans="1:51" s="21" customFormat="1" ht="16" thickTop="1">
      <c r="B7" s="17"/>
      <c r="C7" s="17"/>
      <c r="D7" s="18"/>
      <c r="E7" s="18"/>
      <c r="F7" s="18"/>
      <c r="G7" s="18"/>
      <c r="H7" s="18"/>
      <c r="I7" s="18"/>
      <c r="J7" s="19"/>
      <c r="K7" s="17"/>
      <c r="L7" s="17"/>
      <c r="M7" s="17"/>
      <c r="N7" s="17"/>
      <c r="O7" s="17"/>
      <c r="P7" s="17"/>
      <c r="Q7" s="17"/>
      <c r="R7" s="27"/>
      <c r="S7" s="27"/>
      <c r="T7" s="27"/>
      <c r="U7" s="27"/>
      <c r="V7" s="27"/>
      <c r="W7" s="27"/>
      <c r="X7" s="27"/>
      <c r="Y7" s="27"/>
      <c r="Z7" s="27"/>
      <c r="AA7" s="27"/>
      <c r="AB7" s="27"/>
      <c r="AC7" s="27"/>
      <c r="AD7" s="27"/>
      <c r="AE7" s="27"/>
      <c r="AF7" s="28"/>
      <c r="AG7" s="274"/>
      <c r="AH7" s="28"/>
      <c r="AI7" s="28"/>
      <c r="AJ7" s="28"/>
      <c r="AK7" s="19"/>
      <c r="AL7" s="254"/>
      <c r="AM7" s="254"/>
      <c r="AN7" s="254"/>
    </row>
    <row r="8" spans="1:51" s="21" customFormat="1" ht="18">
      <c r="B8" s="29" t="s">
        <v>973</v>
      </c>
      <c r="C8" s="17"/>
      <c r="D8" s="18"/>
      <c r="E8" s="18"/>
      <c r="F8" s="18"/>
      <c r="G8" s="18"/>
      <c r="H8" s="18"/>
      <c r="I8" s="18"/>
      <c r="J8" s="19"/>
      <c r="K8" s="635"/>
      <c r="L8" s="635"/>
      <c r="M8" s="19"/>
      <c r="N8" s="19"/>
      <c r="O8" s="19"/>
      <c r="P8" s="19"/>
      <c r="Q8" s="635"/>
      <c r="R8" s="15"/>
      <c r="S8" s="15"/>
      <c r="T8" s="15"/>
      <c r="U8" s="1523"/>
      <c r="V8" s="1523"/>
      <c r="W8" s="15"/>
      <c r="X8" s="15"/>
      <c r="Y8" s="15"/>
      <c r="Z8" s="27"/>
      <c r="AA8" s="15"/>
      <c r="AB8" s="28"/>
      <c r="AC8" s="28"/>
      <c r="AD8" s="28"/>
      <c r="AE8" s="28"/>
      <c r="AF8" s="28"/>
      <c r="AG8" s="274"/>
      <c r="AH8" s="28"/>
      <c r="AI8" s="28"/>
      <c r="AJ8" s="28"/>
      <c r="AK8" s="19"/>
      <c r="AL8" s="254"/>
      <c r="AM8" s="254"/>
      <c r="AN8" s="254"/>
    </row>
    <row r="9" spans="1:51" s="21" customFormat="1">
      <c r="B9" s="17"/>
      <c r="C9" s="17"/>
      <c r="D9" s="18"/>
      <c r="E9" s="18"/>
      <c r="F9" s="18"/>
      <c r="G9" s="18"/>
      <c r="H9" s="18"/>
      <c r="I9" s="18"/>
      <c r="J9" s="19"/>
      <c r="K9" s="635"/>
      <c r="L9" s="635"/>
      <c r="M9" s="19"/>
      <c r="N9" s="19"/>
      <c r="O9" s="19"/>
      <c r="P9" s="19"/>
      <c r="Q9" s="635"/>
      <c r="R9" s="15"/>
      <c r="S9" s="15"/>
      <c r="T9" s="15"/>
      <c r="U9" s="1523"/>
      <c r="V9" s="1523"/>
      <c r="W9" s="15"/>
      <c r="X9" s="15"/>
      <c r="Y9" s="15"/>
      <c r="Z9" s="27"/>
      <c r="AA9" s="15"/>
      <c r="AB9" s="28"/>
      <c r="AC9" s="28"/>
      <c r="AD9" s="28"/>
      <c r="AE9" s="28"/>
      <c r="AF9" s="28"/>
      <c r="AG9" s="274"/>
      <c r="AH9" s="28"/>
      <c r="AI9" s="28"/>
      <c r="AJ9" s="28"/>
      <c r="AK9" s="19"/>
      <c r="AL9" s="254"/>
      <c r="AM9" s="254"/>
      <c r="AN9" s="254"/>
    </row>
    <row r="10" spans="1:51" s="21" customFormat="1" ht="18">
      <c r="B10" s="465" t="s">
        <v>228</v>
      </c>
      <c r="C10" s="17"/>
      <c r="D10" s="18"/>
      <c r="E10" s="18"/>
      <c r="F10" s="18"/>
      <c r="G10" s="18"/>
      <c r="H10" s="18"/>
      <c r="I10" s="18"/>
      <c r="J10" s="19"/>
      <c r="K10" s="2067" t="s">
        <v>1992</v>
      </c>
      <c r="L10" s="2067"/>
      <c r="M10" s="1140"/>
      <c r="N10" s="17"/>
      <c r="O10" s="17"/>
      <c r="P10" s="17"/>
      <c r="Q10" s="1469" t="s">
        <v>1982</v>
      </c>
      <c r="R10" s="27"/>
      <c r="S10" s="27"/>
      <c r="T10" s="27"/>
      <c r="U10" s="2068" t="s">
        <v>2536</v>
      </c>
      <c r="V10" s="2068"/>
      <c r="W10" s="27"/>
      <c r="X10" s="27"/>
      <c r="Y10" s="27"/>
      <c r="Z10" s="1469" t="s">
        <v>935</v>
      </c>
      <c r="AA10" s="27"/>
      <c r="AB10" s="27"/>
      <c r="AC10" s="27"/>
      <c r="AD10" s="27"/>
      <c r="AE10" s="27"/>
      <c r="AF10" s="28"/>
      <c r="AG10" s="274"/>
      <c r="AH10" s="28"/>
      <c r="AI10" s="28"/>
      <c r="AJ10" s="28"/>
      <c r="AK10" s="19"/>
      <c r="AL10" s="254"/>
      <c r="AM10" s="254"/>
      <c r="AN10" s="254"/>
    </row>
    <row r="11" spans="1:51" s="21" customFormat="1">
      <c r="B11" s="17"/>
      <c r="C11" s="17"/>
      <c r="D11" s="18"/>
      <c r="E11" s="18"/>
      <c r="F11" s="18"/>
      <c r="G11" s="18"/>
      <c r="H11" s="18"/>
      <c r="I11" s="18"/>
      <c r="J11" s="19"/>
      <c r="K11" s="17"/>
      <c r="L11" s="17"/>
      <c r="M11" s="1140"/>
      <c r="N11" s="17"/>
      <c r="O11" s="17"/>
      <c r="P11" s="17"/>
      <c r="Q11" s="17"/>
      <c r="R11" s="17"/>
      <c r="S11" s="17"/>
      <c r="T11" s="17"/>
      <c r="U11" s="17"/>
      <c r="V11" s="17"/>
      <c r="W11" s="17"/>
      <c r="X11" s="451"/>
      <c r="Y11" s="451"/>
      <c r="Z11" s="17"/>
      <c r="AA11" s="17"/>
      <c r="AB11" s="17"/>
      <c r="AC11" s="17"/>
      <c r="AD11" s="17"/>
      <c r="AE11" s="17"/>
      <c r="AF11" s="28"/>
      <c r="AG11" s="28"/>
      <c r="AH11" s="28"/>
      <c r="AI11" s="28"/>
      <c r="AJ11" s="28"/>
      <c r="AK11" s="19"/>
      <c r="AL11" s="254"/>
      <c r="AM11" s="254"/>
      <c r="AN11" s="254"/>
    </row>
    <row r="12" spans="1:51" s="50" customFormat="1" ht="16" customHeight="1">
      <c r="A12" s="86"/>
      <c r="B12" s="2065" t="s">
        <v>37</v>
      </c>
      <c r="C12" s="2065" t="s">
        <v>38</v>
      </c>
      <c r="D12" s="2065" t="s">
        <v>242</v>
      </c>
      <c r="E12" s="2065"/>
      <c r="F12" s="2065"/>
      <c r="G12" s="2065"/>
      <c r="H12" s="2065"/>
      <c r="I12" s="2065"/>
      <c r="J12" s="2066" t="s">
        <v>297</v>
      </c>
      <c r="K12" s="2065" t="s">
        <v>169</v>
      </c>
      <c r="L12" s="2065"/>
      <c r="M12" s="2102" t="s">
        <v>841</v>
      </c>
      <c r="N12" s="2102"/>
      <c r="O12" s="2102"/>
      <c r="P12" s="2066" t="s">
        <v>302</v>
      </c>
      <c r="Q12" s="2066" t="s">
        <v>782</v>
      </c>
      <c r="R12" s="2101" t="s">
        <v>782</v>
      </c>
      <c r="S12" s="2101"/>
      <c r="T12" s="2101"/>
      <c r="U12" s="2101"/>
      <c r="V12" s="2101"/>
      <c r="W12" s="2101"/>
      <c r="X12" s="2075" t="s">
        <v>1538</v>
      </c>
      <c r="Y12" s="2082"/>
      <c r="Z12" s="2066" t="s">
        <v>928</v>
      </c>
      <c r="AA12" s="2083" t="s">
        <v>934</v>
      </c>
      <c r="AB12" s="2083"/>
      <c r="AC12" s="2083"/>
      <c r="AD12" s="2083"/>
      <c r="AE12" s="2083"/>
      <c r="AF12" s="2097" t="s">
        <v>289</v>
      </c>
      <c r="AG12" s="2097"/>
      <c r="AH12" s="2097"/>
      <c r="AI12" s="2097"/>
      <c r="AJ12" s="2097"/>
      <c r="AK12" s="895" t="s">
        <v>41</v>
      </c>
      <c r="AL12" s="2066" t="s">
        <v>937</v>
      </c>
      <c r="AM12" s="2066" t="s">
        <v>723</v>
      </c>
      <c r="AN12" s="2066" t="s">
        <v>826</v>
      </c>
      <c r="AO12" s="49"/>
      <c r="AP12" s="49"/>
      <c r="AQ12" s="49"/>
      <c r="AR12" s="49"/>
      <c r="AS12" s="49"/>
      <c r="AT12" s="49"/>
      <c r="AU12" s="49"/>
      <c r="AV12" s="49"/>
      <c r="AW12" s="49"/>
      <c r="AX12" s="49"/>
      <c r="AY12" s="49"/>
    </row>
    <row r="13" spans="1:51" s="50" customFormat="1" ht="17">
      <c r="A13" s="86"/>
      <c r="B13" s="2065"/>
      <c r="C13" s="2065"/>
      <c r="D13" s="2065" t="s">
        <v>243</v>
      </c>
      <c r="E13" s="2065"/>
      <c r="F13" s="2065"/>
      <c r="G13" s="2065" t="s">
        <v>241</v>
      </c>
      <c r="H13" s="2065"/>
      <c r="I13" s="2065"/>
      <c r="J13" s="2065"/>
      <c r="K13" s="633" t="s">
        <v>170</v>
      </c>
      <c r="L13" s="633" t="s">
        <v>171</v>
      </c>
      <c r="M13" s="659" t="s">
        <v>813</v>
      </c>
      <c r="N13" s="659" t="s">
        <v>814</v>
      </c>
      <c r="O13" s="659" t="s">
        <v>927</v>
      </c>
      <c r="P13" s="2066"/>
      <c r="Q13" s="2066"/>
      <c r="R13" s="660" t="s">
        <v>171</v>
      </c>
      <c r="S13" s="661" t="s">
        <v>929</v>
      </c>
      <c r="T13" s="661" t="s">
        <v>930</v>
      </c>
      <c r="U13" s="661" t="s">
        <v>931</v>
      </c>
      <c r="V13" s="661" t="s">
        <v>932</v>
      </c>
      <c r="W13" s="661" t="s">
        <v>933</v>
      </c>
      <c r="X13" s="1153" t="s">
        <v>1023</v>
      </c>
      <c r="Y13" s="1154" t="s">
        <v>1024</v>
      </c>
      <c r="Z13" s="2066"/>
      <c r="AA13" s="661" t="s">
        <v>929</v>
      </c>
      <c r="AB13" s="661" t="s">
        <v>930</v>
      </c>
      <c r="AC13" s="661" t="s">
        <v>931</v>
      </c>
      <c r="AD13" s="661" t="s">
        <v>932</v>
      </c>
      <c r="AE13" s="661" t="s">
        <v>933</v>
      </c>
      <c r="AF13" s="662" t="s">
        <v>290</v>
      </c>
      <c r="AG13" s="662" t="s">
        <v>291</v>
      </c>
      <c r="AH13" s="662" t="s">
        <v>292</v>
      </c>
      <c r="AI13" s="662" t="s">
        <v>293</v>
      </c>
      <c r="AJ13" s="662" t="s">
        <v>294</v>
      </c>
      <c r="AK13" s="633" t="s">
        <v>44</v>
      </c>
      <c r="AL13" s="2066"/>
      <c r="AM13" s="2066"/>
      <c r="AN13" s="2066"/>
      <c r="AO13" s="49"/>
      <c r="AP13" s="49"/>
      <c r="AQ13" s="49"/>
      <c r="AR13" s="49"/>
      <c r="AS13" s="49"/>
      <c r="AT13" s="49"/>
      <c r="AU13" s="49"/>
      <c r="AV13" s="49"/>
      <c r="AW13" s="49"/>
      <c r="AX13" s="49"/>
      <c r="AY13" s="49"/>
    </row>
    <row r="14" spans="1:51" s="55" customFormat="1">
      <c r="A14" s="21"/>
      <c r="B14" s="84" t="s">
        <v>49</v>
      </c>
      <c r="C14" s="52">
        <v>1</v>
      </c>
      <c r="D14" s="61" t="s">
        <v>50</v>
      </c>
      <c r="E14" s="105"/>
      <c r="F14" s="105"/>
      <c r="G14" s="105"/>
      <c r="H14" s="105"/>
      <c r="I14" s="62"/>
      <c r="J14" s="656"/>
      <c r="K14" s="54"/>
      <c r="L14" s="54"/>
      <c r="M14" s="54"/>
      <c r="N14" s="54"/>
      <c r="O14" s="54"/>
      <c r="P14" s="54"/>
      <c r="Q14" s="54"/>
      <c r="R14" s="54"/>
      <c r="S14" s="54"/>
      <c r="T14" s="54"/>
      <c r="U14" s="54"/>
      <c r="V14" s="54"/>
      <c r="W14" s="54"/>
      <c r="X14" s="54"/>
      <c r="Y14" s="54"/>
      <c r="Z14" s="54"/>
      <c r="AA14" s="54"/>
      <c r="AB14" s="54"/>
      <c r="AC14" s="54"/>
      <c r="AD14" s="54"/>
      <c r="AE14" s="54"/>
      <c r="AF14" s="281"/>
      <c r="AG14" s="281"/>
      <c r="AH14" s="281"/>
      <c r="AI14" s="281"/>
      <c r="AJ14" s="281"/>
      <c r="AK14" s="54"/>
      <c r="AL14" s="657"/>
      <c r="AM14" s="664"/>
      <c r="AN14" s="664"/>
      <c r="AO14" s="51"/>
      <c r="AP14" s="51"/>
      <c r="AQ14" s="51"/>
      <c r="AR14" s="51"/>
      <c r="AS14" s="51"/>
      <c r="AT14" s="51"/>
      <c r="AU14" s="51"/>
      <c r="AV14" s="51"/>
      <c r="AW14" s="51"/>
      <c r="AX14" s="51"/>
      <c r="AY14" s="51"/>
    </row>
    <row r="15" spans="1:51" s="55" customFormat="1">
      <c r="A15" s="21"/>
      <c r="B15" s="56" t="s">
        <v>49</v>
      </c>
      <c r="C15" s="56">
        <v>1</v>
      </c>
      <c r="D15" s="2060" t="s">
        <v>593</v>
      </c>
      <c r="E15" s="2061"/>
      <c r="F15" s="2062"/>
      <c r="G15" s="2069" t="s">
        <v>184</v>
      </c>
      <c r="H15" s="2070"/>
      <c r="I15" s="2071"/>
      <c r="J15" s="56"/>
      <c r="K15" s="57">
        <v>1500</v>
      </c>
      <c r="L15" s="58" t="s">
        <v>880</v>
      </c>
      <c r="M15" s="58" t="s">
        <v>880</v>
      </c>
      <c r="N15" s="58" t="s">
        <v>921</v>
      </c>
      <c r="O15" s="221">
        <f t="array" ref="O15">IFERROR(INDEX('Conversion factors_2'!$B$10:$CY$111,MATCH('I - Stationary'!$M15,'Conversion factors_2'!$B$10:$B$111,FALSE),HLOOKUP('I - Stationary'!N15,'Conversion factors_2'!$B$8:$CY$9,2,FALSE)),"")</f>
        <v>1000000</v>
      </c>
      <c r="P15" s="58" t="s">
        <v>309</v>
      </c>
      <c r="Q15" s="58" t="s">
        <v>1590</v>
      </c>
      <c r="R15" s="221" t="str">
        <f>IFERROR(CONCATENATE("tCO2e/",VLOOKUP($Q15,'Emission factors'!$D:$J,7,FALSE)),"")</f>
        <v>tCO2e/kWh</v>
      </c>
      <c r="S15" s="221">
        <f>IFERROR(VLOOKUP($Q15,'Emission factors'!$D:$X,10,FALSE),"")</f>
        <v>4.8220000000000001E-4</v>
      </c>
      <c r="T15" s="221">
        <f>IFERROR(VLOOKUP($Q15,'Emission factors'!$D:$X,12,FALSE),"")</f>
        <v>3.0000000000000001E-6</v>
      </c>
      <c r="U15" s="221">
        <f>IFERROR(VLOOKUP($Q15,'Emission factors'!$D:$X,14,FALSE),"")</f>
        <v>2.8999999999999998E-6</v>
      </c>
      <c r="V15" s="221">
        <f>IFERROR(VLOOKUP($Q15,'Emission factors'!$D:$X,16,FALSE),"")</f>
        <v>4.8810000000000005E-4</v>
      </c>
      <c r="W15" s="221">
        <f>IFERROR(VLOOKUP($Q15,'Emission factors'!$D:$X,18,FALSE),"")</f>
        <v>9.6440000000000005E-5</v>
      </c>
      <c r="X15" s="221">
        <f>IF(K15="","",1)</f>
        <v>1</v>
      </c>
      <c r="Y15" s="58"/>
      <c r="Z15" s="58"/>
      <c r="AA15" s="58"/>
      <c r="AB15" s="58"/>
      <c r="AC15" s="58"/>
      <c r="AD15" s="58"/>
      <c r="AE15" s="58"/>
      <c r="AF15" s="275">
        <f>IFERROR(IF(AND($Q15="",$Z15=""),"",IF($Q15="",IF(AA15=0,"-",AA15),IF(S15=0,"0",$K15*IF($O15="",1,$O15)*S15*IF(Y15="",X15,Y15)))),"-")</f>
        <v>723300</v>
      </c>
      <c r="AG15" s="275">
        <f t="shared" ref="AG15:AH16" si="0">IFERROR(IF(AND($Q15="",$Z15=""),"",IF($Q15="",IF(AB15=0,"-",AB15),IF(T15=0,"0",$K15*IF($O15="",1,$O15)*T15))),"-")</f>
        <v>4500</v>
      </c>
      <c r="AH15" s="275">
        <f t="shared" si="0"/>
        <v>4350</v>
      </c>
      <c r="AI15" s="275">
        <f>IFERROR(IF(AND($Q15="",$Z15=""),"",IF($Q15="",IF(AD15="",SUM(AA15:AC15),IF(AD15=0,"0",AD15)),IF($V15="",SUM($AF15:$AH15),IF($V15=0,"0",$K15*IF($O15="",1,$O15)*$V15)))),"-")</f>
        <v>732150.00000000012</v>
      </c>
      <c r="AJ15" s="275">
        <f>IFERROR(IF(AND($Q15="",$Z15=""),"",IF($Q15="",IF(AE15=0,"-",AE15),IF(W15=0,"0",$K15*IF($O15="",1,$O15)*W15*IF(Y15="",X15,Y15)))),"-")</f>
        <v>144660</v>
      </c>
      <c r="AK15" s="58" t="s">
        <v>181</v>
      </c>
      <c r="AL15" s="225" t="s">
        <v>2671</v>
      </c>
      <c r="AM15" s="268" t="s">
        <v>2527</v>
      </c>
      <c r="AN15" s="268"/>
      <c r="AO15" s="51"/>
      <c r="AP15" s="51"/>
      <c r="AQ15" s="51"/>
      <c r="AR15" s="51"/>
      <c r="AS15" s="51"/>
      <c r="AT15" s="51"/>
      <c r="AU15" s="51"/>
      <c r="AV15" s="51"/>
      <c r="AW15" s="51"/>
      <c r="AX15" s="51"/>
      <c r="AY15" s="51"/>
    </row>
    <row r="16" spans="1:51" s="55" customFormat="1" ht="15" customHeight="1">
      <c r="A16" s="38"/>
      <c r="B16" s="56" t="s">
        <v>49</v>
      </c>
      <c r="C16" s="56">
        <v>1</v>
      </c>
      <c r="D16" s="2060" t="s">
        <v>2646</v>
      </c>
      <c r="E16" s="2061"/>
      <c r="F16" s="2062"/>
      <c r="G16" s="2069" t="s">
        <v>184</v>
      </c>
      <c r="H16" s="2070"/>
      <c r="I16" s="2071"/>
      <c r="J16" s="56"/>
      <c r="K16" s="57">
        <v>169125323</v>
      </c>
      <c r="L16" s="58" t="s">
        <v>921</v>
      </c>
      <c r="M16" s="58"/>
      <c r="N16" s="58"/>
      <c r="O16" s="221" t="str">
        <f t="array" ref="O16">IFERROR(INDEX('Conversion factors_2'!$B$10:$CY$111,MATCH('I - Stationary'!$M16,'Conversion factors_2'!$B$10:$B$111,FALSE),HLOOKUP('I - Stationary'!N16,'Conversion factors_2'!$B$8:$CY$9,2,FALSE)),"")</f>
        <v/>
      </c>
      <c r="P16" s="58" t="s">
        <v>309</v>
      </c>
      <c r="Q16" s="58" t="s">
        <v>2693</v>
      </c>
      <c r="R16" s="221" t="str">
        <f>IFERROR(CONCATENATE("tCO2e/",VLOOKUP($Q16,'Emission factors'!$D:$J,7,FALSE)),"")</f>
        <v>tCO2e/kWh</v>
      </c>
      <c r="S16" s="221">
        <f>IFERROR(VLOOKUP($Q16,'Emission factors'!$D:$X,10,FALSE),"")</f>
        <v>2.9999999999999997E-4</v>
      </c>
      <c r="T16" s="221">
        <f>IFERROR(VLOOKUP($Q16,'Emission factors'!$D:$X,12,FALSE),"")</f>
        <v>4.0000000000000003E-5</v>
      </c>
      <c r="U16" s="221">
        <f>IFERROR(VLOOKUP($Q16,'Emission factors'!$D:$X,14,FALSE),"")</f>
        <v>5.0000000000000004E-6</v>
      </c>
      <c r="V16" s="221" t="str">
        <f>IFERROR(VLOOKUP($Q16,'Emission factors'!$D:$X,16,FALSE),"")</f>
        <v/>
      </c>
      <c r="W16" s="221" t="str">
        <f>IFERROR(VLOOKUP($Q16,'Emission factors'!$D:$X,18,FALSE),"")</f>
        <v/>
      </c>
      <c r="X16" s="221">
        <f>IF(K16="","",1)</f>
        <v>1</v>
      </c>
      <c r="Y16" s="58"/>
      <c r="Z16" s="58"/>
      <c r="AA16" s="58"/>
      <c r="AB16" s="58"/>
      <c r="AC16" s="58"/>
      <c r="AD16" s="58"/>
      <c r="AE16" s="58"/>
      <c r="AF16" s="275">
        <f>IFERROR(IF(AND($Q16="",$Z16=""),"",IF($Q16="",IF(AA16=0,"-",AA16),IF(S16=0,"0",$K16*IF($O16="",1,$O16)*S16*IF(Y16="",X16,Y16)))),"-")</f>
        <v>50737.596899999997</v>
      </c>
      <c r="AG16" s="275">
        <f t="shared" si="0"/>
        <v>6765.0129200000001</v>
      </c>
      <c r="AH16" s="275">
        <f t="shared" si="0"/>
        <v>845.62661500000002</v>
      </c>
      <c r="AI16" s="275">
        <f>IFERROR(IF(AND($Q16="",$Z16=""),"",IF($Q16="",IF(AD16="",SUM(AA16:AC16),IF(AD16=0,"0",AD16)),IF($V16="",SUM($AF16:$AH16),IF($V16=0,"0",$K16*IF($O16="",1,$O16)*$V16)))),"-")</f>
        <v>58348.236434999999</v>
      </c>
      <c r="AJ16" s="275" t="str">
        <f>IFERROR(IF(AND($Q16="",$Z16=""),"",IF($Q16="",IF(AE16=0,"-",AE16),IF(W16=0,"0",$K16*IF($O16="",1,$O16)*W16*IF(Y16="",X16,Y16)))),"-")</f>
        <v>-</v>
      </c>
      <c r="AK16" s="58" t="s">
        <v>181</v>
      </c>
      <c r="AL16" s="225" t="s">
        <v>2671</v>
      </c>
      <c r="AM16" s="268" t="s">
        <v>2527</v>
      </c>
      <c r="AN16" s="268"/>
      <c r="AO16" s="51"/>
      <c r="AP16" s="51"/>
      <c r="AQ16" s="51"/>
      <c r="AR16" s="51"/>
      <c r="AS16" s="51"/>
      <c r="AT16" s="51"/>
      <c r="AU16" s="51"/>
      <c r="AV16" s="51"/>
      <c r="AW16" s="51"/>
      <c r="AX16" s="51"/>
      <c r="AY16" s="51"/>
    </row>
    <row r="17" spans="1:51" s="55" customFormat="1">
      <c r="A17" s="21"/>
      <c r="B17" s="73" t="s">
        <v>51</v>
      </c>
      <c r="C17" s="60">
        <v>2</v>
      </c>
      <c r="D17" s="61" t="s">
        <v>52</v>
      </c>
      <c r="E17" s="105"/>
      <c r="F17" s="105"/>
      <c r="G17" s="105"/>
      <c r="H17" s="105"/>
      <c r="I17" s="62"/>
      <c r="J17" s="63"/>
      <c r="K17" s="64"/>
      <c r="L17" s="64"/>
      <c r="M17" s="64"/>
      <c r="N17" s="64"/>
      <c r="O17" s="64"/>
      <c r="P17" s="64"/>
      <c r="Q17" s="64"/>
      <c r="R17" s="64"/>
      <c r="S17" s="64"/>
      <c r="T17" s="64"/>
      <c r="U17" s="64"/>
      <c r="V17" s="64"/>
      <c r="W17" s="64"/>
      <c r="X17" s="64"/>
      <c r="Y17" s="64"/>
      <c r="Z17" s="64"/>
      <c r="AA17" s="64"/>
      <c r="AB17" s="64"/>
      <c r="AC17" s="64"/>
      <c r="AD17" s="64"/>
      <c r="AE17" s="64"/>
      <c r="AF17" s="276"/>
      <c r="AG17" s="276"/>
      <c r="AH17" s="276"/>
      <c r="AI17" s="276"/>
      <c r="AJ17" s="276"/>
      <c r="AK17" s="54"/>
      <c r="AL17" s="227"/>
      <c r="AM17" s="665"/>
      <c r="AN17" s="665"/>
      <c r="AO17" s="51"/>
      <c r="AP17" s="51"/>
      <c r="AQ17" s="51"/>
      <c r="AR17" s="51"/>
      <c r="AS17" s="51"/>
      <c r="AT17" s="51"/>
      <c r="AU17" s="51"/>
      <c r="AV17" s="51"/>
      <c r="AW17" s="51"/>
      <c r="AX17" s="51"/>
      <c r="AY17" s="51"/>
    </row>
    <row r="18" spans="1:51" s="55" customFormat="1">
      <c r="A18" s="21"/>
      <c r="B18" s="56" t="s">
        <v>51</v>
      </c>
      <c r="C18" s="56">
        <v>2</v>
      </c>
      <c r="D18" s="2060" t="s">
        <v>183</v>
      </c>
      <c r="E18" s="2061"/>
      <c r="F18" s="2062"/>
      <c r="G18" s="2069"/>
      <c r="H18" s="2070"/>
      <c r="I18" s="2071"/>
      <c r="J18" s="56"/>
      <c r="K18" s="57">
        <v>3010125</v>
      </c>
      <c r="L18" s="58" t="s">
        <v>1456</v>
      </c>
      <c r="M18" s="58" t="s">
        <v>1456</v>
      </c>
      <c r="N18" s="58" t="s">
        <v>921</v>
      </c>
      <c r="O18" s="221">
        <f t="array" ref="O18">IFERROR(INDEX('Conversion factors_2'!$B$10:$CY$111,MATCH('I - Stationary'!$M18,'Conversion factors_2'!$B$10:$B$111,FALSE),HLOOKUP('I - Stationary'!N18,'Conversion factors_2'!$B$8:$CY$9,2,FALSE)),"")</f>
        <v>1000</v>
      </c>
      <c r="P18" s="58" t="s">
        <v>309</v>
      </c>
      <c r="Q18" s="58" t="s">
        <v>2692</v>
      </c>
      <c r="R18" s="221" t="str">
        <f>IFERROR(CONCATENATE("tCO2e/",VLOOKUP($Q18,'Emission factors'!$D:$J,7,FALSE)),"")</f>
        <v>tCO2e/kWh</v>
      </c>
      <c r="S18" s="221">
        <f>IFERROR(VLOOKUP($Q18,'Emission factors'!$D:$X,10,FALSE),"")</f>
        <v>4.0000000000000002E-4</v>
      </c>
      <c r="T18" s="221">
        <f>IFERROR(VLOOKUP($Q18,'Emission factors'!$D:$X,12,FALSE),"")</f>
        <v>2.9999999999999999E-7</v>
      </c>
      <c r="U18" s="221">
        <f>IFERROR(VLOOKUP($Q18,'Emission factors'!$D:$X,14,FALSE),"")</f>
        <v>3.0000000000000001E-6</v>
      </c>
      <c r="V18" s="221" t="str">
        <f>IFERROR(VLOOKUP($Q18,'Emission factors'!$D:$X,16,FALSE),"")</f>
        <v/>
      </c>
      <c r="W18" s="221" t="str">
        <f>IFERROR(VLOOKUP($Q18,'Emission factors'!$D:$X,18,FALSE),"")</f>
        <v/>
      </c>
      <c r="X18" s="221">
        <f>IF(K18="","",1)</f>
        <v>1</v>
      </c>
      <c r="Y18" s="58"/>
      <c r="Z18" s="58" t="s">
        <v>982</v>
      </c>
      <c r="AA18" s="58">
        <v>2000000</v>
      </c>
      <c r="AB18" s="58"/>
      <c r="AC18" s="58"/>
      <c r="AD18" s="58"/>
      <c r="AE18" s="58"/>
      <c r="AF18" s="275">
        <f>IFERROR(IF(AND($Q18="",$Z18=""),"",IF($Q18="",IF(AA18=0,"-",AA18),IF(S18=0,"0",$K18*IF($O18="",1,$O18)*S18*IF(Y18="",X18,Y18)))),"-")</f>
        <v>1204050</v>
      </c>
      <c r="AG18" s="275">
        <f t="shared" ref="AG18:AH19" si="1">IFERROR(IF(AND($Q18="",$Z18=""),"",IF($Q18="",IF(AB18=0,"-",AB18),IF(T18=0,"0",$K18*IF($O18="",1,$O18)*T18))),"-")</f>
        <v>903.03749999999991</v>
      </c>
      <c r="AH18" s="275">
        <f t="shared" si="1"/>
        <v>9030.375</v>
      </c>
      <c r="AI18" s="275">
        <f>IFERROR(IF(AND($Q18="",$Z18=""),"",IF($Q18="",IF(AD18="",SUM(AA18:AC18),IF(AD18=0,"0",AD18)),IF($V18="",SUM($AF18:$AH18),IF($V18=0,"0",$K18*IF($O18="",1,$O18)*$V18)))),"-")</f>
        <v>1213983.4125000001</v>
      </c>
      <c r="AJ18" s="275" t="str">
        <f>IFERROR(IF(AND($Q18="",$Z18=""),"",IF($Q18="",IF(AE18=0,"-",AE18),IF(W18=0,"0",$K18*IF($O18="",1,$O18)*W18*IF(Y18="",X18,Y18)))),"-")</f>
        <v>-</v>
      </c>
      <c r="AK18" s="58" t="s">
        <v>181</v>
      </c>
      <c r="AL18" s="225" t="s">
        <v>2671</v>
      </c>
      <c r="AM18" s="268" t="s">
        <v>2655</v>
      </c>
      <c r="AN18" s="268"/>
      <c r="AO18" s="51"/>
      <c r="AP18" s="51"/>
      <c r="AQ18" s="51"/>
      <c r="AR18" s="51"/>
      <c r="AS18" s="51"/>
      <c r="AT18" s="51"/>
      <c r="AU18" s="51"/>
      <c r="AV18" s="51"/>
      <c r="AW18" s="51"/>
      <c r="AX18" s="51"/>
      <c r="AY18" s="51"/>
    </row>
    <row r="19" spans="1:51" s="55" customFormat="1">
      <c r="A19" s="21"/>
      <c r="B19" s="56" t="s">
        <v>51</v>
      </c>
      <c r="C19" s="56">
        <v>2</v>
      </c>
      <c r="D19" s="2060"/>
      <c r="E19" s="2061"/>
      <c r="F19" s="2062"/>
      <c r="G19" s="2069"/>
      <c r="H19" s="2070"/>
      <c r="I19" s="2071"/>
      <c r="J19" s="56"/>
      <c r="K19" s="57"/>
      <c r="L19" s="58"/>
      <c r="M19" s="58"/>
      <c r="N19" s="58"/>
      <c r="O19" s="221" t="str">
        <f t="array" ref="O19">IFERROR(INDEX('Conversion factors_2'!$B$10:$CY$111,MATCH('I - Stationary'!$M19,'Conversion factors_2'!$B$10:$B$111,FALSE),HLOOKUP('I - Stationary'!N19,'Conversion factors_2'!$B$8:$CY$9,2,FALSE)),"")</f>
        <v/>
      </c>
      <c r="P19" s="58"/>
      <c r="Q19" s="58"/>
      <c r="R19" s="221" t="str">
        <f>IFERROR(CONCATENATE("tCO2e/",VLOOKUP($Q19,'Emission factors'!$D:$J,7,FALSE)),"")</f>
        <v/>
      </c>
      <c r="S19" s="221" t="str">
        <f>IFERROR(VLOOKUP($Q19,'Emission factors'!$D:$X,10,FALSE),"")</f>
        <v/>
      </c>
      <c r="T19" s="221" t="str">
        <f>IFERROR(VLOOKUP($Q19,'Emission factors'!$D:$X,12,FALSE),"")</f>
        <v/>
      </c>
      <c r="U19" s="221" t="str">
        <f>IFERROR(VLOOKUP($Q19,'Emission factors'!$D:$X,14,FALSE),"")</f>
        <v/>
      </c>
      <c r="V19" s="221" t="str">
        <f>IFERROR(VLOOKUP($Q19,'Emission factors'!$D:$X,16,FALSE),"")</f>
        <v/>
      </c>
      <c r="W19" s="221" t="str">
        <f>IFERROR(VLOOKUP($Q19,'Emission factors'!$D:$X,18,FALSE),"")</f>
        <v/>
      </c>
      <c r="X19" s="221" t="str">
        <f>IF(K19="","",1)</f>
        <v/>
      </c>
      <c r="Y19" s="58"/>
      <c r="Z19" s="58"/>
      <c r="AA19" s="58"/>
      <c r="AB19" s="58"/>
      <c r="AC19" s="58"/>
      <c r="AD19" s="58"/>
      <c r="AE19" s="58"/>
      <c r="AF19" s="275" t="str">
        <f>IFERROR(IF(AND($Q19="",$Z19=""),"",IF($Q19="",IF(AA19=0,"-",AA19),IF(S19=0,"0",$K19*IF($O19="",1,$O19)*S19*IF(Y19="",X19,Y19)))),"-")</f>
        <v/>
      </c>
      <c r="AG19" s="275" t="str">
        <f t="shared" si="1"/>
        <v/>
      </c>
      <c r="AH19" s="275" t="str">
        <f t="shared" si="1"/>
        <v/>
      </c>
      <c r="AI19" s="275" t="str">
        <f>IFERROR(IF(AND($Q19="",$Z19=""),"",IF($Q19="",IF(AD19="",SUM(AA19:AC19),IF(AD19=0,"0",AD19)),IF($V19="",SUM($AF19:$AH19),IF($V19=0,"0",$K19*IF($O19="",1,$O19)*$V19)))),"-")</f>
        <v/>
      </c>
      <c r="AJ19" s="275" t="str">
        <f>IFERROR(IF(AND($Q19="",$Z19=""),"",IF($Q19="",IF(AE19=0,"-",AE19),IF(W19=0,"0",$K19*IF($O19="",1,$O19)*W19*IF(Y19="",X19,Y19)))),"-")</f>
        <v/>
      </c>
      <c r="AK19" s="58"/>
      <c r="AL19" s="255"/>
      <c r="AM19" s="268"/>
      <c r="AN19" s="268"/>
      <c r="AO19" s="51"/>
      <c r="AP19" s="51"/>
      <c r="AQ19" s="51"/>
      <c r="AR19" s="51"/>
      <c r="AS19" s="51"/>
      <c r="AT19" s="51"/>
      <c r="AU19" s="51"/>
      <c r="AV19" s="51"/>
      <c r="AW19" s="51"/>
      <c r="AX19" s="51"/>
      <c r="AY19" s="51"/>
    </row>
    <row r="20" spans="1:51" s="55" customFormat="1">
      <c r="A20" s="21"/>
      <c r="B20" s="654" t="s">
        <v>53</v>
      </c>
      <c r="C20" s="66">
        <v>3</v>
      </c>
      <c r="D20" s="67" t="s">
        <v>54</v>
      </c>
      <c r="E20" s="650"/>
      <c r="F20" s="650"/>
      <c r="G20" s="650"/>
      <c r="H20" s="650"/>
      <c r="I20" s="68"/>
      <c r="J20" s="69" t="s">
        <v>177</v>
      </c>
      <c r="K20" s="70"/>
      <c r="L20" s="69"/>
      <c r="M20" s="69"/>
      <c r="N20" s="69"/>
      <c r="O20" s="69"/>
      <c r="P20" s="69"/>
      <c r="Q20" s="69"/>
      <c r="R20" s="69"/>
      <c r="S20" s="69"/>
      <c r="T20" s="69"/>
      <c r="U20" s="69"/>
      <c r="V20" s="69"/>
      <c r="W20" s="69"/>
      <c r="X20" s="69"/>
      <c r="Y20" s="69"/>
      <c r="Z20" s="69"/>
      <c r="AA20" s="69"/>
      <c r="AB20" s="69"/>
      <c r="AC20" s="69"/>
      <c r="AD20" s="69"/>
      <c r="AE20" s="69"/>
      <c r="AF20" s="277"/>
      <c r="AG20" s="277"/>
      <c r="AH20" s="277"/>
      <c r="AI20" s="277"/>
      <c r="AJ20" s="277"/>
      <c r="AK20" s="69"/>
      <c r="AL20" s="228" t="s">
        <v>2665</v>
      </c>
      <c r="AM20" s="666"/>
      <c r="AN20" s="666"/>
      <c r="AO20" s="51"/>
      <c r="AP20" s="51"/>
      <c r="AQ20" s="51"/>
      <c r="AR20" s="51"/>
      <c r="AS20" s="51"/>
      <c r="AT20" s="51"/>
      <c r="AU20" s="51"/>
      <c r="AV20" s="51"/>
      <c r="AW20" s="51"/>
      <c r="AX20" s="51"/>
      <c r="AY20" s="51"/>
    </row>
    <row r="21" spans="1:51" s="55" customFormat="1">
      <c r="A21" s="21"/>
      <c r="B21" s="71" t="s">
        <v>53</v>
      </c>
      <c r="C21" s="71">
        <v>3</v>
      </c>
      <c r="D21" s="2079"/>
      <c r="E21" s="2080"/>
      <c r="F21" s="2081"/>
      <c r="G21" s="2072"/>
      <c r="H21" s="2073"/>
      <c r="I21" s="2074"/>
      <c r="J21" s="56"/>
      <c r="K21" s="57"/>
      <c r="L21" s="58"/>
      <c r="M21" s="58"/>
      <c r="N21" s="58"/>
      <c r="O21" s="221" t="str">
        <f t="array" ref="O21">IFERROR(INDEX('Conversion factors_2'!$B$10:$CY$111,MATCH('I - Stationary'!$M21,'Conversion factors_2'!$B$10:$B$111,FALSE),HLOOKUP('I - Stationary'!N21,'Conversion factors_2'!$B$8:$CY$9,2,FALSE)),"")</f>
        <v/>
      </c>
      <c r="P21" s="58"/>
      <c r="Q21" s="58"/>
      <c r="R21" s="221" t="str">
        <f>IFERROR(CONCATENATE("tCO2e/",VLOOKUP($Q21,'Emission factors'!$D:$J,7,FALSE)),"")</f>
        <v/>
      </c>
      <c r="S21" s="221" t="str">
        <f>IFERROR(VLOOKUP($Q21,'Emission factors'!$D:$X,10,FALSE),"")</f>
        <v/>
      </c>
      <c r="T21" s="221" t="str">
        <f>IFERROR(VLOOKUP($Q21,'Emission factors'!$D:$X,12,FALSE),"")</f>
        <v/>
      </c>
      <c r="U21" s="221" t="str">
        <f>IFERROR(VLOOKUP($Q21,'Emission factors'!$D:$X,14,FALSE),"")</f>
        <v/>
      </c>
      <c r="V21" s="221" t="str">
        <f>IFERROR(VLOOKUP($Q21,'Emission factors'!$D:$X,16,FALSE),"")</f>
        <v/>
      </c>
      <c r="W21" s="221" t="str">
        <f>IFERROR(VLOOKUP($Q21,'Emission factors'!$D:$X,18,FALSE),"")</f>
        <v/>
      </c>
      <c r="X21" s="221" t="str">
        <f>IF(K21="","",1)</f>
        <v/>
      </c>
      <c r="Y21" s="58"/>
      <c r="Z21" s="58" t="s">
        <v>982</v>
      </c>
      <c r="AA21" s="58">
        <v>3000000</v>
      </c>
      <c r="AB21" s="58"/>
      <c r="AC21" s="58"/>
      <c r="AD21" s="58"/>
      <c r="AE21" s="58"/>
      <c r="AF21" s="275">
        <f>IFERROR(IF(AND($Q21="",$Z21=""),"",IF($Q21="",IF(AA21=0,"-",AA21),IF(S21=0,"0",$K21*IF($O21="",1,$O21)*S21*IF(Y21="",X21,Y21)))),"-")</f>
        <v>3000000</v>
      </c>
      <c r="AG21" s="275" t="str">
        <f>IFERROR(IF(AND($Q21="",$Z21=""),"",IF($Q21="",IF(AB21=0,"-",AB21),IF(T21=0,"0",$K21*IF($O21="",1,$O21)*T21))),"-")</f>
        <v>-</v>
      </c>
      <c r="AH21" s="275" t="str">
        <f>IFERROR(IF(AND($Q21="",$Z21=""),"",IF($Q21="",IF(AC21=0,"-",AC21),IF(U21=0,"0",$K21*IF($O21="",1,$O21)*U21))),"-")</f>
        <v>-</v>
      </c>
      <c r="AI21" s="275">
        <f>IFERROR(IF(AND($Q21="",$Z21=""),"",IF($Q21="",IF(AD21="",SUM(AA21:AC21),IF(AD21=0,"0",AD21)),IF($V21="",SUM($AF21:$AH21),IF($V21=0,"0",$K21*IF($O21="",1,$O21)*$V21)))),"-")</f>
        <v>3000000</v>
      </c>
      <c r="AJ21" s="275" t="str">
        <f>IFERROR(IF(AND($Q21="",$Z21=""),"",IF($Q21="",IF(AE21=0,"-",AE21),IF(W21=0,"0",$K21*IF($O21="",1,$O21)*W21*IF(Y21="",X21,Y21)))),"-")</f>
        <v>-</v>
      </c>
      <c r="AK21" s="58"/>
      <c r="AL21" s="225"/>
      <c r="AM21" s="268"/>
      <c r="AN21" s="268"/>
      <c r="AO21" s="51"/>
      <c r="AP21" s="51"/>
      <c r="AQ21" s="51"/>
      <c r="AR21" s="51"/>
      <c r="AS21" s="51"/>
      <c r="AT21" s="51"/>
      <c r="AU21" s="51"/>
      <c r="AV21" s="51"/>
      <c r="AW21" s="51"/>
      <c r="AX21" s="51"/>
      <c r="AY21" s="51"/>
    </row>
    <row r="22" spans="1:51" s="55" customFormat="1">
      <c r="A22" s="21"/>
      <c r="B22" s="71" t="s">
        <v>53</v>
      </c>
      <c r="C22" s="71">
        <v>3</v>
      </c>
      <c r="D22" s="2060"/>
      <c r="E22" s="2061"/>
      <c r="F22" s="2062"/>
      <c r="G22" s="2069"/>
      <c r="H22" s="2070"/>
      <c r="I22" s="2071"/>
      <c r="J22" s="56"/>
      <c r="K22" s="57"/>
      <c r="L22" s="58"/>
      <c r="M22" s="58"/>
      <c r="N22" s="58"/>
      <c r="O22" s="221" t="str">
        <f t="array" ref="O22">IFERROR(INDEX('Conversion factors_2'!$B$10:$CY$111,MATCH('I - Stationary'!$M22,'Conversion factors_2'!$B$10:$B$111,FALSE),HLOOKUP('I - Stationary'!N22,'Conversion factors_2'!$B$8:$CY$9,2,FALSE)),"")</f>
        <v/>
      </c>
      <c r="P22" s="58"/>
      <c r="Q22" s="58"/>
      <c r="R22" s="221" t="str">
        <f>IFERROR(CONCATENATE("tCO2e/",VLOOKUP($Q22,'Emission factors'!$D:$J,7,FALSE)),"")</f>
        <v/>
      </c>
      <c r="S22" s="221" t="str">
        <f>IFERROR(VLOOKUP($Q22,'Emission factors'!$D:$X,10,FALSE),"")</f>
        <v/>
      </c>
      <c r="T22" s="221" t="str">
        <f>IFERROR(VLOOKUP($Q22,'Emission factors'!$D:$X,12,FALSE),"")</f>
        <v/>
      </c>
      <c r="U22" s="221" t="str">
        <f>IFERROR(VLOOKUP($Q22,'Emission factors'!$D:$X,14,FALSE),"")</f>
        <v/>
      </c>
      <c r="V22" s="221" t="str">
        <f>IFERROR(VLOOKUP($Q22,'Emission factors'!$D:$X,16,FALSE),"")</f>
        <v/>
      </c>
      <c r="W22" s="221" t="str">
        <f>IFERROR(VLOOKUP($Q22,'Emission factors'!$D:$X,18,FALSE),"")</f>
        <v/>
      </c>
      <c r="X22" s="221" t="str">
        <f>IF(K22="","",1)</f>
        <v/>
      </c>
      <c r="Y22" s="58"/>
      <c r="Z22" s="58"/>
      <c r="AA22" s="58"/>
      <c r="AB22" s="58"/>
      <c r="AC22" s="58"/>
      <c r="AD22" s="58"/>
      <c r="AE22" s="58"/>
      <c r="AF22" s="275" t="str">
        <f>IFERROR(IF(AND($Q22="",$Z22=""),"",IF($Q22="",IF(AA22=0,"-",AA22),IF(S22=0,"0",$K22*IF($O22="",1,$O22)*S22*IF(Y22="",X22,Y22)))),"-")</f>
        <v/>
      </c>
      <c r="AG22" s="275" t="str">
        <f>IFERROR(IF(AND($Q22="",$Z22=""),"",IF($Q22="",IF(AB22=0,"-",AB22),IF(T22=0,"0",$K22*IF($O22="",1,$O22)*T22))),"-")</f>
        <v/>
      </c>
      <c r="AH22" s="275" t="str">
        <f>IFERROR(IF(AND($Q22="",$Z22=""),"",IF($Q22="",IF(AC22=0,"-",AC22),IF(U22=0,"0",$K22*IF($O22="",1,$O22)*U22))),"-")</f>
        <v/>
      </c>
      <c r="AI22" s="275" t="str">
        <f>IFERROR(IF(AND($Q22="",$Z22=""),"",IF($Q22="",IF(AD22="",SUM(AA22:AC22),IF(AD22=0,"0",AD22)),IF($V22="",SUM($AF22:$AH22),IF($V22=0,"0",$K22*IF($O22="",1,$O22)*$V22)))),"-")</f>
        <v/>
      </c>
      <c r="AJ22" s="275" t="str">
        <f>IFERROR(IF(AND($Q22="",$Z22=""),"",IF($Q22="",IF(AE22=0,"-",AE22),IF(W22=0,"0",$K22*IF($O22="",1,$O22)*W22*IF(Y22="",X22,Y22)))),"-")</f>
        <v/>
      </c>
      <c r="AK22" s="58"/>
      <c r="AL22" s="225"/>
      <c r="AM22" s="268"/>
      <c r="AN22" s="268"/>
      <c r="AO22" s="51"/>
      <c r="AP22" s="51"/>
      <c r="AQ22" s="51"/>
      <c r="AR22" s="51"/>
      <c r="AS22" s="51"/>
      <c r="AT22" s="51"/>
      <c r="AU22" s="51"/>
      <c r="AV22" s="51"/>
      <c r="AW22" s="51"/>
      <c r="AX22" s="51"/>
      <c r="AY22" s="51"/>
    </row>
    <row r="23" spans="1:51" s="22" customFormat="1">
      <c r="B23" s="9"/>
      <c r="C23" s="9"/>
      <c r="D23" s="23"/>
      <c r="E23" s="23"/>
      <c r="F23" s="23"/>
      <c r="G23" s="23"/>
      <c r="H23" s="23"/>
      <c r="I23" s="23"/>
      <c r="J23" s="9"/>
      <c r="K23" s="9"/>
      <c r="L23" s="9"/>
      <c r="M23" s="9"/>
      <c r="N23" s="9"/>
      <c r="O23" s="9"/>
      <c r="P23" s="9"/>
      <c r="Q23" s="9"/>
      <c r="R23" s="9"/>
      <c r="S23" s="9"/>
      <c r="T23" s="9"/>
      <c r="U23" s="9"/>
      <c r="V23" s="9"/>
      <c r="W23" s="9"/>
      <c r="X23" s="9"/>
      <c r="Y23" s="9"/>
      <c r="Z23" s="9"/>
      <c r="AA23" s="9"/>
      <c r="AB23" s="9"/>
      <c r="AC23" s="9"/>
      <c r="AD23" s="9"/>
      <c r="AE23" s="9"/>
      <c r="AF23" s="278"/>
      <c r="AG23" s="278"/>
      <c r="AH23" s="278"/>
      <c r="AI23" s="278"/>
      <c r="AJ23" s="278"/>
      <c r="AK23" s="9"/>
      <c r="AL23" s="256"/>
      <c r="AM23" s="256"/>
      <c r="AN23" s="256"/>
    </row>
    <row r="24" spans="1:51" s="21" customFormat="1" ht="18">
      <c r="B24" s="465" t="s">
        <v>229</v>
      </c>
      <c r="C24" s="17"/>
      <c r="D24" s="18"/>
      <c r="E24" s="18"/>
      <c r="F24" s="18"/>
      <c r="G24" s="18"/>
      <c r="H24" s="18"/>
      <c r="I24" s="18"/>
      <c r="J24" s="19"/>
      <c r="K24" s="17"/>
      <c r="L24" s="17"/>
      <c r="M24" s="17"/>
      <c r="N24" s="17"/>
      <c r="O24" s="17"/>
      <c r="P24" s="17"/>
      <c r="Q24" s="17"/>
      <c r="R24" s="17"/>
      <c r="S24" s="17"/>
      <c r="T24" s="17"/>
      <c r="U24" s="17"/>
      <c r="V24" s="17"/>
      <c r="W24" s="17"/>
      <c r="X24" s="451"/>
      <c r="Y24" s="451"/>
      <c r="Z24" s="17"/>
      <c r="AA24" s="17"/>
      <c r="AB24" s="17"/>
      <c r="AC24" s="17"/>
      <c r="AD24" s="17"/>
      <c r="AE24" s="17"/>
      <c r="AF24" s="278"/>
      <c r="AG24" s="278"/>
      <c r="AH24" s="278"/>
      <c r="AI24" s="278"/>
      <c r="AJ24" s="278"/>
      <c r="AK24" s="19"/>
      <c r="AL24" s="254"/>
      <c r="AM24" s="254"/>
      <c r="AN24" s="254"/>
    </row>
    <row r="25" spans="1:51" s="21" customFormat="1">
      <c r="B25" s="17"/>
      <c r="C25" s="17"/>
      <c r="D25" s="18"/>
      <c r="E25" s="18"/>
      <c r="F25" s="18"/>
      <c r="G25" s="18"/>
      <c r="H25" s="18"/>
      <c r="I25" s="18"/>
      <c r="J25" s="19"/>
      <c r="K25" s="17"/>
      <c r="L25" s="17"/>
      <c r="M25" s="17"/>
      <c r="N25" s="17"/>
      <c r="O25" s="17"/>
      <c r="P25" s="17"/>
      <c r="Q25" s="17"/>
      <c r="R25" s="17"/>
      <c r="S25" s="17"/>
      <c r="T25" s="17"/>
      <c r="U25" s="17"/>
      <c r="V25" s="17"/>
      <c r="W25" s="17"/>
      <c r="X25" s="451"/>
      <c r="Y25" s="451"/>
      <c r="Z25" s="17"/>
      <c r="AA25" s="17"/>
      <c r="AB25" s="17"/>
      <c r="AC25" s="17"/>
      <c r="AD25" s="17"/>
      <c r="AE25" s="17"/>
      <c r="AF25" s="28"/>
      <c r="AG25" s="28"/>
      <c r="AH25" s="28"/>
      <c r="AI25" s="28"/>
      <c r="AJ25" s="28"/>
      <c r="AK25" s="19"/>
      <c r="AL25" s="254"/>
      <c r="AM25" s="254"/>
      <c r="AN25" s="254"/>
    </row>
    <row r="26" spans="1:51" s="50" customFormat="1" ht="16" customHeight="1">
      <c r="A26" s="86"/>
      <c r="B26" s="2065" t="s">
        <v>37</v>
      </c>
      <c r="C26" s="2065" t="s">
        <v>38</v>
      </c>
      <c r="D26" s="2065" t="s">
        <v>242</v>
      </c>
      <c r="E26" s="2065"/>
      <c r="F26" s="2065"/>
      <c r="G26" s="2065"/>
      <c r="H26" s="2065"/>
      <c r="I26" s="2065"/>
      <c r="J26" s="2066" t="s">
        <v>297</v>
      </c>
      <c r="K26" s="2095" t="s">
        <v>169</v>
      </c>
      <c r="L26" s="2096"/>
      <c r="M26" s="2098" t="s">
        <v>841</v>
      </c>
      <c r="N26" s="2099"/>
      <c r="O26" s="2100"/>
      <c r="P26" s="2066" t="s">
        <v>302</v>
      </c>
      <c r="Q26" s="2087" t="s">
        <v>782</v>
      </c>
      <c r="R26" s="2063" t="s">
        <v>782</v>
      </c>
      <c r="S26" s="2063"/>
      <c r="T26" s="2063"/>
      <c r="U26" s="2063"/>
      <c r="V26" s="2063"/>
      <c r="W26" s="2064"/>
      <c r="X26" s="2087" t="s">
        <v>1538</v>
      </c>
      <c r="Y26" s="2089" t="s">
        <v>1539</v>
      </c>
      <c r="Z26" s="2093" t="s">
        <v>928</v>
      </c>
      <c r="AA26" s="2083" t="s">
        <v>934</v>
      </c>
      <c r="AB26" s="2083"/>
      <c r="AC26" s="2083"/>
      <c r="AD26" s="2083"/>
      <c r="AE26" s="2083"/>
      <c r="AF26" s="2097" t="s">
        <v>289</v>
      </c>
      <c r="AG26" s="2097"/>
      <c r="AH26" s="2097"/>
      <c r="AI26" s="2097"/>
      <c r="AJ26" s="2097"/>
      <c r="AK26" s="895" t="s">
        <v>41</v>
      </c>
      <c r="AL26" s="2075" t="s">
        <v>937</v>
      </c>
      <c r="AM26" s="2087" t="s">
        <v>723</v>
      </c>
      <c r="AN26" s="2091" t="s">
        <v>826</v>
      </c>
      <c r="AO26" s="49"/>
      <c r="AP26" s="49"/>
      <c r="AQ26" s="49"/>
      <c r="AR26" s="49"/>
      <c r="AS26" s="49"/>
      <c r="AT26" s="49"/>
      <c r="AU26" s="49"/>
      <c r="AV26" s="49"/>
      <c r="AW26" s="49"/>
      <c r="AX26" s="49"/>
      <c r="AY26" s="49"/>
    </row>
    <row r="27" spans="1:51" s="50" customFormat="1" ht="17">
      <c r="A27" s="86"/>
      <c r="B27" s="2065"/>
      <c r="C27" s="2065"/>
      <c r="D27" s="2065" t="s">
        <v>243</v>
      </c>
      <c r="E27" s="2065"/>
      <c r="F27" s="2065"/>
      <c r="G27" s="2065" t="s">
        <v>241</v>
      </c>
      <c r="H27" s="2065"/>
      <c r="I27" s="2065"/>
      <c r="J27" s="2065"/>
      <c r="K27" s="633" t="s">
        <v>170</v>
      </c>
      <c r="L27" s="633" t="s">
        <v>171</v>
      </c>
      <c r="M27" s="659" t="s">
        <v>813</v>
      </c>
      <c r="N27" s="659" t="s">
        <v>814</v>
      </c>
      <c r="O27" s="659" t="s">
        <v>927</v>
      </c>
      <c r="P27" s="2065"/>
      <c r="Q27" s="2088"/>
      <c r="R27" s="660" t="s">
        <v>171</v>
      </c>
      <c r="S27" s="661" t="s">
        <v>929</v>
      </c>
      <c r="T27" s="661" t="s">
        <v>930</v>
      </c>
      <c r="U27" s="661" t="s">
        <v>931</v>
      </c>
      <c r="V27" s="661" t="s">
        <v>932</v>
      </c>
      <c r="W27" s="661" t="s">
        <v>933</v>
      </c>
      <c r="X27" s="2088" t="s">
        <v>1023</v>
      </c>
      <c r="Y27" s="2090"/>
      <c r="Z27" s="2094"/>
      <c r="AA27" s="661" t="s">
        <v>929</v>
      </c>
      <c r="AB27" s="661" t="s">
        <v>930</v>
      </c>
      <c r="AC27" s="661" t="s">
        <v>931</v>
      </c>
      <c r="AD27" s="661" t="s">
        <v>932</v>
      </c>
      <c r="AE27" s="661" t="s">
        <v>933</v>
      </c>
      <c r="AF27" s="662" t="s">
        <v>290</v>
      </c>
      <c r="AG27" s="662" t="s">
        <v>291</v>
      </c>
      <c r="AH27" s="662" t="s">
        <v>292</v>
      </c>
      <c r="AI27" s="662" t="s">
        <v>293</v>
      </c>
      <c r="AJ27" s="662" t="s">
        <v>294</v>
      </c>
      <c r="AK27" s="633" t="s">
        <v>44</v>
      </c>
      <c r="AL27" s="2075"/>
      <c r="AM27" s="2088"/>
      <c r="AN27" s="2092"/>
      <c r="AO27" s="49"/>
      <c r="AP27" s="49"/>
      <c r="AQ27" s="49"/>
      <c r="AR27" s="49"/>
      <c r="AS27" s="49"/>
      <c r="AT27" s="49"/>
      <c r="AU27" s="49"/>
      <c r="AV27" s="49"/>
      <c r="AW27" s="49"/>
      <c r="AX27" s="49"/>
      <c r="AY27" s="49"/>
    </row>
    <row r="28" spans="1:51" s="55" customFormat="1" ht="14" customHeight="1">
      <c r="A28" s="21"/>
      <c r="B28" s="84" t="s">
        <v>57</v>
      </c>
      <c r="C28" s="84">
        <v>1</v>
      </c>
      <c r="D28" s="61" t="s">
        <v>50</v>
      </c>
      <c r="E28" s="105"/>
      <c r="F28" s="105"/>
      <c r="G28" s="105"/>
      <c r="H28" s="105"/>
      <c r="I28" s="62"/>
      <c r="J28" s="656"/>
      <c r="K28" s="54"/>
      <c r="L28" s="54"/>
      <c r="M28" s="54"/>
      <c r="N28" s="54"/>
      <c r="O28" s="54"/>
      <c r="P28" s="54"/>
      <c r="Q28" s="54"/>
      <c r="R28" s="54"/>
      <c r="S28" s="54"/>
      <c r="T28" s="54"/>
      <c r="U28" s="54"/>
      <c r="V28" s="54"/>
      <c r="W28" s="54"/>
      <c r="X28" s="54"/>
      <c r="Y28" s="54"/>
      <c r="Z28" s="54"/>
      <c r="AA28" s="54"/>
      <c r="AB28" s="54"/>
      <c r="AC28" s="54"/>
      <c r="AD28" s="54"/>
      <c r="AE28" s="54"/>
      <c r="AF28" s="281"/>
      <c r="AG28" s="281"/>
      <c r="AH28" s="281"/>
      <c r="AI28" s="281"/>
      <c r="AJ28" s="281"/>
      <c r="AK28" s="54"/>
      <c r="AL28" s="657"/>
      <c r="AM28" s="664"/>
      <c r="AN28" s="658"/>
      <c r="AO28" s="51"/>
      <c r="AP28" s="51"/>
      <c r="AQ28" s="51"/>
      <c r="AR28" s="51"/>
      <c r="AS28" s="51"/>
      <c r="AT28" s="51"/>
      <c r="AU28" s="51"/>
      <c r="AV28" s="51"/>
      <c r="AW28" s="51"/>
      <c r="AX28" s="51"/>
      <c r="AY28" s="51"/>
    </row>
    <row r="29" spans="1:51" s="55" customFormat="1">
      <c r="A29" s="21"/>
      <c r="B29" s="56" t="s">
        <v>57</v>
      </c>
      <c r="C29" s="56">
        <v>1</v>
      </c>
      <c r="D29" s="2060" t="s">
        <v>593</v>
      </c>
      <c r="E29" s="2061"/>
      <c r="F29" s="2062"/>
      <c r="G29" s="2069"/>
      <c r="H29" s="2070"/>
      <c r="I29" s="2071"/>
      <c r="J29" s="56"/>
      <c r="K29" s="57">
        <v>2000</v>
      </c>
      <c r="L29" s="58" t="s">
        <v>880</v>
      </c>
      <c r="M29" s="58" t="s">
        <v>880</v>
      </c>
      <c r="N29" s="58" t="s">
        <v>921</v>
      </c>
      <c r="O29" s="221">
        <f t="array" ref="O29">IFERROR(INDEX('Conversion factors_2'!$B$10:$CY$111,MATCH('I - Stationary'!$M29,'Conversion factors_2'!$B$10:$B$111,FALSE),HLOOKUP('I - Stationary'!N29,'Conversion factors_2'!$B$8:$CY$9,2,FALSE)),"")</f>
        <v>1000000</v>
      </c>
      <c r="P29" s="58" t="s">
        <v>309</v>
      </c>
      <c r="Q29" s="58" t="s">
        <v>1590</v>
      </c>
      <c r="R29" s="221" t="str">
        <f>IFERROR(CONCATENATE("tCO2e/",VLOOKUP($Q29,'Emission factors'!$D:$J,7,FALSE)),"")</f>
        <v>tCO2e/kWh</v>
      </c>
      <c r="S29" s="221">
        <f>IFERROR(VLOOKUP($Q29,'Emission factors'!$D:$X,10,FALSE),"")</f>
        <v>4.8220000000000001E-4</v>
      </c>
      <c r="T29" s="221">
        <f>IFERROR(VLOOKUP($Q29,'Emission factors'!$D:$X,12,FALSE),"")</f>
        <v>3.0000000000000001E-6</v>
      </c>
      <c r="U29" s="221">
        <f>IFERROR(VLOOKUP($Q29,'Emission factors'!$D:$X,14,FALSE),"")</f>
        <v>2.8999999999999998E-6</v>
      </c>
      <c r="V29" s="221">
        <f>IFERROR(VLOOKUP($Q29,'Emission factors'!$D:$X,16,FALSE),"")</f>
        <v>4.8810000000000005E-4</v>
      </c>
      <c r="W29" s="221">
        <f>IFERROR(VLOOKUP($Q29,'Emission factors'!$D:$X,18,FALSE),"")</f>
        <v>9.6440000000000005E-5</v>
      </c>
      <c r="X29" s="221">
        <f>IF(K29="","",1)</f>
        <v>1</v>
      </c>
      <c r="Y29" s="58"/>
      <c r="Z29" s="58"/>
      <c r="AA29" s="58"/>
      <c r="AB29" s="58"/>
      <c r="AC29" s="58"/>
      <c r="AD29" s="58"/>
      <c r="AE29" s="58"/>
      <c r="AF29" s="275">
        <f>IFERROR(IF(AND($Q29="",$Z29=""),"",IF($Q29="",IF(AA29=0,"-",AA29),IF(S29=0,"0",$K29*IF($O29="",1,$O29)*S29*IF(Y29="",X29,Y29)))),"-")</f>
        <v>964400</v>
      </c>
      <c r="AG29" s="275">
        <f t="shared" ref="AG29:AH30" si="2">IFERROR(IF(AND($Q29="",$Z29=""),"",IF($Q29="",IF(AB29=0,"-",AB29),IF(T29=0,"0",$K29*IF($O29="",1,$O29)*T29))),"-")</f>
        <v>6000</v>
      </c>
      <c r="AH29" s="275">
        <f t="shared" si="2"/>
        <v>5799.9999999999991</v>
      </c>
      <c r="AI29" s="275">
        <f>IFERROR(IF(AND($Q29="",$Z29=""),"",IF($Q29="",IF(AD29="",SUM(AA29:AC29),IF(AD29=0,"0",AD29)),IF($V29="",SUM($AF29:$AH29),IF($V29=0,"0",$K29*IF($O29="",1,$O29)*$V29)))),"-")</f>
        <v>976200.00000000012</v>
      </c>
      <c r="AJ29" s="275">
        <f>IFERROR(IF(AND($Q29="",$Z29=""),"",IF($Q29="",IF(AE29=0,"-",AE29),IF(W29=0,"0",$K29*IF($O29="",1,$O29)*W29*IF(Y29="",X29,Y29)))),"-")</f>
        <v>192880</v>
      </c>
      <c r="AK29" s="58" t="s">
        <v>181</v>
      </c>
      <c r="AL29" s="225" t="s">
        <v>2671</v>
      </c>
      <c r="AM29" s="268" t="s">
        <v>2527</v>
      </c>
      <c r="AN29" s="652"/>
      <c r="AO29" s="51"/>
      <c r="AP29" s="51"/>
      <c r="AQ29" s="51"/>
      <c r="AR29" s="51"/>
      <c r="AS29" s="51"/>
      <c r="AT29" s="51"/>
      <c r="AU29" s="51"/>
      <c r="AV29" s="51"/>
      <c r="AW29" s="51"/>
      <c r="AX29" s="51"/>
      <c r="AY29" s="51"/>
    </row>
    <row r="30" spans="1:51" s="55" customFormat="1">
      <c r="A30" s="38"/>
      <c r="B30" s="56" t="s">
        <v>57</v>
      </c>
      <c r="C30" s="56">
        <v>1</v>
      </c>
      <c r="D30" s="2060"/>
      <c r="E30" s="2061"/>
      <c r="F30" s="2062"/>
      <c r="G30" s="2069"/>
      <c r="H30" s="2070"/>
      <c r="I30" s="2071"/>
      <c r="J30" s="56"/>
      <c r="K30" s="57"/>
      <c r="L30" s="58"/>
      <c r="M30" s="58"/>
      <c r="N30" s="58"/>
      <c r="O30" s="221" t="str">
        <f t="array" ref="O30">IFERROR(INDEX('Conversion factors_2'!$B$10:$CY$111,MATCH('I - Stationary'!$M30,'Conversion factors_2'!$B$10:$B$111,FALSE),HLOOKUP('I - Stationary'!N30,'Conversion factors_2'!$B$8:$CY$9,2,FALSE)),"")</f>
        <v/>
      </c>
      <c r="P30" s="58"/>
      <c r="Q30" s="58"/>
      <c r="R30" s="221" t="str">
        <f>IFERROR(CONCATENATE("tCO2e/",VLOOKUP($Q30,'Emission factors'!$D:$J,7,FALSE)),"")</f>
        <v/>
      </c>
      <c r="S30" s="221" t="str">
        <f>IFERROR(VLOOKUP($Q30,'Emission factors'!$D:$X,10,FALSE),"")</f>
        <v/>
      </c>
      <c r="T30" s="221" t="str">
        <f>IFERROR(VLOOKUP($Q30,'Emission factors'!$D:$X,12,FALSE),"")</f>
        <v/>
      </c>
      <c r="U30" s="221" t="str">
        <f>IFERROR(VLOOKUP($Q30,'Emission factors'!$D:$X,14,FALSE),"")</f>
        <v/>
      </c>
      <c r="V30" s="221" t="str">
        <f>IFERROR(VLOOKUP($Q30,'Emission factors'!$D:$X,16,FALSE),"")</f>
        <v/>
      </c>
      <c r="W30" s="221" t="str">
        <f>IFERROR(VLOOKUP($Q30,'Emission factors'!$D:$X,18,FALSE),"")</f>
        <v/>
      </c>
      <c r="X30" s="221" t="str">
        <f>IF(K30="","",1)</f>
        <v/>
      </c>
      <c r="Y30" s="58"/>
      <c r="Z30" s="58"/>
      <c r="AA30" s="58"/>
      <c r="AB30" s="58"/>
      <c r="AC30" s="58"/>
      <c r="AD30" s="58"/>
      <c r="AE30" s="58"/>
      <c r="AF30" s="275" t="str">
        <f>IFERROR(IF(AND($Q30="",$Z30=""),"",IF($Q30="",IF(AA30=0,"-",AA30),IF(S30=0,"0",$K30*IF($O30="",1,$O30)*S30*IF(Y30="",X30,Y30)))),"-")</f>
        <v/>
      </c>
      <c r="AG30" s="275" t="str">
        <f t="shared" si="2"/>
        <v/>
      </c>
      <c r="AH30" s="275" t="str">
        <f t="shared" si="2"/>
        <v/>
      </c>
      <c r="AI30" s="275" t="str">
        <f>IFERROR(IF(AND($Q30="",$Z30=""),"",IF($Q30="",IF(AD30="",SUM(AA30:AC30),IF(AD30=0,"0",AD30)),IF($V30="",SUM($AF30:$AH30),IF($V30=0,"0",$K30*IF($O30="",1,$O30)*$V30)))),"-")</f>
        <v/>
      </c>
      <c r="AJ30" s="275" t="str">
        <f>IFERROR(IF(AND($Q30="",$Z30=""),"",IF($Q30="",IF(AE30=0,"-",AE30),IF(W30=0,"0",$K30*IF($O30="",1,$O30)*W30*IF(Y30="",X30,Y30)))),"-")</f>
        <v/>
      </c>
      <c r="AK30" s="58"/>
      <c r="AL30" s="255"/>
      <c r="AM30" s="268"/>
      <c r="AN30" s="652"/>
      <c r="AO30" s="51"/>
      <c r="AP30" s="51"/>
      <c r="AQ30" s="51"/>
      <c r="AR30" s="51"/>
      <c r="AS30" s="51"/>
      <c r="AT30" s="51"/>
      <c r="AU30" s="51"/>
      <c r="AV30" s="51"/>
      <c r="AW30" s="51"/>
      <c r="AX30" s="51"/>
      <c r="AY30" s="51"/>
    </row>
    <row r="31" spans="1:51" s="55" customFormat="1">
      <c r="A31" s="21"/>
      <c r="B31" s="73" t="s">
        <v>58</v>
      </c>
      <c r="C31" s="73">
        <v>2</v>
      </c>
      <c r="D31" s="61" t="s">
        <v>52</v>
      </c>
      <c r="E31" s="105"/>
      <c r="F31" s="105"/>
      <c r="G31" s="105"/>
      <c r="H31" s="105"/>
      <c r="I31" s="62"/>
      <c r="J31" s="63"/>
      <c r="K31" s="64"/>
      <c r="L31" s="64"/>
      <c r="M31" s="64"/>
      <c r="N31" s="64"/>
      <c r="O31" s="64"/>
      <c r="P31" s="64"/>
      <c r="Q31" s="64"/>
      <c r="R31" s="64"/>
      <c r="S31" s="64"/>
      <c r="T31" s="64"/>
      <c r="U31" s="64"/>
      <c r="V31" s="64"/>
      <c r="W31" s="64"/>
      <c r="X31" s="64"/>
      <c r="Y31" s="64"/>
      <c r="Z31" s="64"/>
      <c r="AA31" s="64"/>
      <c r="AB31" s="64"/>
      <c r="AC31" s="64"/>
      <c r="AD31" s="64"/>
      <c r="AE31" s="64"/>
      <c r="AF31" s="276"/>
      <c r="AG31" s="276"/>
      <c r="AH31" s="276"/>
      <c r="AI31" s="276"/>
      <c r="AJ31" s="276"/>
      <c r="AK31" s="54"/>
      <c r="AL31" s="227"/>
      <c r="AM31" s="665"/>
      <c r="AN31" s="653"/>
      <c r="AO31" s="51"/>
      <c r="AP31" s="51"/>
      <c r="AQ31" s="51"/>
      <c r="AR31" s="51"/>
      <c r="AS31" s="51"/>
      <c r="AT31" s="51"/>
      <c r="AU31" s="51"/>
      <c r="AV31" s="51"/>
      <c r="AW31" s="51"/>
      <c r="AX31" s="51"/>
      <c r="AY31" s="51"/>
    </row>
    <row r="32" spans="1:51" s="55" customFormat="1">
      <c r="A32" s="21"/>
      <c r="B32" s="56" t="s">
        <v>58</v>
      </c>
      <c r="C32" s="56">
        <v>2</v>
      </c>
      <c r="D32" s="2060" t="s">
        <v>183</v>
      </c>
      <c r="E32" s="2061"/>
      <c r="F32" s="2062"/>
      <c r="G32" s="2069"/>
      <c r="H32" s="2070"/>
      <c r="I32" s="2071"/>
      <c r="J32" s="56"/>
      <c r="K32" s="57">
        <v>3898582</v>
      </c>
      <c r="L32" s="58" t="s">
        <v>1456</v>
      </c>
      <c r="M32" s="58" t="s">
        <v>1456</v>
      </c>
      <c r="N32" s="58" t="s">
        <v>921</v>
      </c>
      <c r="O32" s="221">
        <f t="array" ref="O32">IFERROR(INDEX('Conversion factors_2'!$B$10:$CY$111,MATCH('I - Stationary'!$M32,'Conversion factors_2'!$B$10:$B$111,FALSE),HLOOKUP('I - Stationary'!N32,'Conversion factors_2'!$B$8:$CY$9,2,FALSE)),"")</f>
        <v>1000</v>
      </c>
      <c r="P32" s="58" t="s">
        <v>309</v>
      </c>
      <c r="Q32" s="58" t="s">
        <v>2692</v>
      </c>
      <c r="R32" s="221" t="str">
        <f>IFERROR(CONCATENATE("tCO2e/",VLOOKUP($Q32,'Emission factors'!$D:$J,7,FALSE)),"")</f>
        <v>tCO2e/kWh</v>
      </c>
      <c r="S32" s="221">
        <f>IFERROR(VLOOKUP($Q32,'Emission factors'!$D:$X,10,FALSE),"")</f>
        <v>4.0000000000000002E-4</v>
      </c>
      <c r="T32" s="221">
        <f>IFERROR(VLOOKUP($Q32,'Emission factors'!$D:$X,12,FALSE),"")</f>
        <v>2.9999999999999999E-7</v>
      </c>
      <c r="U32" s="221">
        <f>IFERROR(VLOOKUP($Q32,'Emission factors'!$D:$X,14,FALSE),"")</f>
        <v>3.0000000000000001E-6</v>
      </c>
      <c r="V32" s="221" t="str">
        <f>IFERROR(VLOOKUP($Q32,'Emission factors'!$D:$X,16,FALSE),"")</f>
        <v/>
      </c>
      <c r="W32" s="221" t="str">
        <f>IFERROR(VLOOKUP($Q32,'Emission factors'!$D:$X,18,FALSE),"")</f>
        <v/>
      </c>
      <c r="X32" s="221">
        <f>IF(K32="","",1)</f>
        <v>1</v>
      </c>
      <c r="Y32" s="58"/>
      <c r="Z32" s="58"/>
      <c r="AA32" s="58"/>
      <c r="AB32" s="58"/>
      <c r="AC32" s="58"/>
      <c r="AD32" s="58"/>
      <c r="AE32" s="58"/>
      <c r="AF32" s="275">
        <f>IFERROR(IF(AND($Q32="",$Z32=""),"",IF($Q32="",IF(AA32=0,"-",AA32),IF(S32=0,"0",$K32*IF($O32="",1,$O32)*S32*IF(Y32="",X32,Y32)))),"-")</f>
        <v>1559432.8</v>
      </c>
      <c r="AG32" s="275">
        <f t="shared" ref="AG32:AH33" si="3">IFERROR(IF(AND($Q32="",$Z32=""),"",IF($Q32="",IF(AB32=0,"-",AB32),IF(T32=0,"0",$K32*IF($O32="",1,$O32)*T32))),"-")</f>
        <v>1169.5745999999999</v>
      </c>
      <c r="AH32" s="275">
        <f t="shared" si="3"/>
        <v>11695.746000000001</v>
      </c>
      <c r="AI32" s="275">
        <f>IFERROR(IF(AND($Q32="",$Z32=""),"",IF($Q32="",IF(AD32="",SUM(AA32:AC32),IF(AD32=0,"0",AD32)),IF($V32="",SUM($AF32:$AH32),IF($V32=0,"0",$K32*IF($O32="",1,$O32)*$V32)))),"-")</f>
        <v>1572298.1206</v>
      </c>
      <c r="AJ32" s="275" t="str">
        <f>IFERROR(IF(AND($Q32="",$Z32=""),"",IF($Q32="",IF(AE32=0,"-",AE32),IF(W32=0,"0",$K32*IF($O32="",1,$O32)*W32*IF(Y32="",X32,Y32)))),"-")</f>
        <v>-</v>
      </c>
      <c r="AK32" s="58" t="s">
        <v>181</v>
      </c>
      <c r="AL32" s="225" t="s">
        <v>2671</v>
      </c>
      <c r="AM32" s="268" t="s">
        <v>2655</v>
      </c>
      <c r="AN32" s="652"/>
      <c r="AO32" s="51"/>
      <c r="AP32" s="51"/>
      <c r="AQ32" s="51"/>
      <c r="AR32" s="51"/>
      <c r="AS32" s="51"/>
      <c r="AT32" s="51"/>
      <c r="AU32" s="51"/>
      <c r="AV32" s="51"/>
      <c r="AW32" s="51"/>
      <c r="AX32" s="51"/>
      <c r="AY32" s="51"/>
    </row>
    <row r="33" spans="1:51" s="55" customFormat="1">
      <c r="A33" s="38"/>
      <c r="B33" s="56" t="s">
        <v>58</v>
      </c>
      <c r="C33" s="56">
        <v>2</v>
      </c>
      <c r="D33" s="2060"/>
      <c r="E33" s="2061"/>
      <c r="F33" s="2062"/>
      <c r="G33" s="2069"/>
      <c r="H33" s="2070"/>
      <c r="I33" s="2071"/>
      <c r="J33" s="56"/>
      <c r="K33" s="57"/>
      <c r="L33" s="58"/>
      <c r="M33" s="58"/>
      <c r="N33" s="58"/>
      <c r="O33" s="221" t="str">
        <f t="array" ref="O33">IFERROR(INDEX('Conversion factors_2'!$B$10:$CY$111,MATCH('I - Stationary'!$M33,'Conversion factors_2'!$B$10:$B$111,FALSE),HLOOKUP('I - Stationary'!N33,'Conversion factors_2'!$B$8:$CY$9,2,FALSE)),"")</f>
        <v/>
      </c>
      <c r="P33" s="58"/>
      <c r="Q33" s="58"/>
      <c r="R33" s="221" t="str">
        <f>IFERROR(CONCATENATE("tCO2e/",VLOOKUP($Q33,'Emission factors'!$D:$J,7,FALSE)),"")</f>
        <v/>
      </c>
      <c r="S33" s="221" t="str">
        <f>IFERROR(VLOOKUP($Q33,'Emission factors'!$D:$X,10,FALSE),"")</f>
        <v/>
      </c>
      <c r="T33" s="221" t="str">
        <f>IFERROR(VLOOKUP($Q33,'Emission factors'!$D:$X,12,FALSE),"")</f>
        <v/>
      </c>
      <c r="U33" s="221" t="str">
        <f>IFERROR(VLOOKUP($Q33,'Emission factors'!$D:$X,14,FALSE),"")</f>
        <v/>
      </c>
      <c r="V33" s="221" t="str">
        <f>IFERROR(VLOOKUP($Q33,'Emission factors'!$D:$X,16,FALSE),"")</f>
        <v/>
      </c>
      <c r="W33" s="221" t="str">
        <f>IFERROR(VLOOKUP($Q33,'Emission factors'!$D:$X,18,FALSE),"")</f>
        <v/>
      </c>
      <c r="X33" s="221" t="str">
        <f>IF(K33="","",1)</f>
        <v/>
      </c>
      <c r="Y33" s="58"/>
      <c r="Z33" s="58"/>
      <c r="AA33" s="58"/>
      <c r="AB33" s="58"/>
      <c r="AC33" s="58"/>
      <c r="AD33" s="58"/>
      <c r="AE33" s="58"/>
      <c r="AF33" s="275" t="str">
        <f>IFERROR(IF(AND($Q33="",$Z33=""),"",IF($Q33="",IF(AA33=0,"-",AA33),IF(S33=0,"0",$K33*IF($O33="",1,$O33)*S33*IF(Y33="",X33,Y33)))),"-")</f>
        <v/>
      </c>
      <c r="AG33" s="275" t="str">
        <f t="shared" si="3"/>
        <v/>
      </c>
      <c r="AH33" s="275" t="str">
        <f t="shared" si="3"/>
        <v/>
      </c>
      <c r="AI33" s="275" t="str">
        <f>IFERROR(IF(AND($Q33="",$Z33=""),"",IF($Q33="",IF(AD33="",SUM(AA33:AC33),IF(AD33=0,"0",AD33)),IF($V33="",SUM($AF33:$AH33),IF($V33=0,"0",$K33*IF($O33="",1,$O33)*$V33)))),"-")</f>
        <v/>
      </c>
      <c r="AJ33" s="275" t="str">
        <f>IFERROR(IF(AND($Q33="",$Z33=""),"",IF($Q33="",IF(AE33=0,"-",AE33),IF(W33=0,"0",$K33*IF($O33="",1,$O33)*W33*IF(Y33="",X33,Y33)))),"-")</f>
        <v/>
      </c>
      <c r="AK33" s="58"/>
      <c r="AL33" s="255"/>
      <c r="AM33" s="268"/>
      <c r="AN33" s="652"/>
      <c r="AO33" s="51"/>
      <c r="AP33" s="51"/>
      <c r="AQ33" s="51"/>
      <c r="AR33" s="51"/>
      <c r="AS33" s="51"/>
      <c r="AT33" s="51"/>
      <c r="AU33" s="51"/>
      <c r="AV33" s="51"/>
      <c r="AW33" s="51"/>
      <c r="AX33" s="51"/>
      <c r="AY33" s="51"/>
    </row>
    <row r="34" spans="1:51" s="55" customFormat="1">
      <c r="A34" s="21"/>
      <c r="B34" s="76" t="s">
        <v>59</v>
      </c>
      <c r="C34" s="76">
        <v>3</v>
      </c>
      <c r="D34" s="67" t="s">
        <v>54</v>
      </c>
      <c r="E34" s="650"/>
      <c r="F34" s="650"/>
      <c r="G34" s="650"/>
      <c r="H34" s="650"/>
      <c r="I34" s="68"/>
      <c r="J34" s="69" t="s">
        <v>177</v>
      </c>
      <c r="K34" s="70"/>
      <c r="L34" s="69"/>
      <c r="M34" s="69"/>
      <c r="N34" s="69"/>
      <c r="O34" s="69"/>
      <c r="P34" s="69"/>
      <c r="Q34" s="69"/>
      <c r="R34" s="69"/>
      <c r="S34" s="69"/>
      <c r="T34" s="69"/>
      <c r="U34" s="69"/>
      <c r="V34" s="69"/>
      <c r="W34" s="69"/>
      <c r="X34" s="69"/>
      <c r="Y34" s="69"/>
      <c r="Z34" s="69"/>
      <c r="AA34" s="69"/>
      <c r="AB34" s="69"/>
      <c r="AC34" s="69"/>
      <c r="AD34" s="69"/>
      <c r="AE34" s="69"/>
      <c r="AF34" s="277"/>
      <c r="AG34" s="277"/>
      <c r="AH34" s="277"/>
      <c r="AI34" s="277"/>
      <c r="AJ34" s="277"/>
      <c r="AK34" s="69"/>
      <c r="AL34" s="228" t="s">
        <v>2666</v>
      </c>
      <c r="AM34" s="666"/>
      <c r="AN34" s="655"/>
      <c r="AO34" s="51"/>
      <c r="AP34" s="51"/>
      <c r="AQ34" s="51"/>
      <c r="AR34" s="51"/>
      <c r="AS34" s="51"/>
      <c r="AT34" s="51"/>
      <c r="AU34" s="51"/>
      <c r="AV34" s="51"/>
      <c r="AW34" s="51"/>
      <c r="AX34" s="51"/>
      <c r="AY34" s="51"/>
    </row>
    <row r="35" spans="1:51" s="55" customFormat="1">
      <c r="A35" s="21"/>
      <c r="B35" s="56" t="s">
        <v>59</v>
      </c>
      <c r="C35" s="56">
        <v>3</v>
      </c>
      <c r="D35" s="2060"/>
      <c r="E35" s="2061"/>
      <c r="F35" s="2062"/>
      <c r="G35" s="2069"/>
      <c r="H35" s="2070"/>
      <c r="I35" s="2071"/>
      <c r="J35" s="56"/>
      <c r="K35" s="57"/>
      <c r="L35" s="58"/>
      <c r="M35" s="58"/>
      <c r="N35" s="58"/>
      <c r="O35" s="221" t="str">
        <f t="array" ref="O35">IFERROR(INDEX('Conversion factors_2'!$B$10:$CY$111,MATCH('I - Stationary'!$M35,'Conversion factors_2'!$B$10:$B$111,FALSE),HLOOKUP('I - Stationary'!N35,'Conversion factors_2'!$B$8:$CY$9,2,FALSE)),"")</f>
        <v/>
      </c>
      <c r="P35" s="58"/>
      <c r="Q35" s="58"/>
      <c r="R35" s="221" t="str">
        <f>IFERROR(CONCATENATE("tCO2e/",VLOOKUP($Q35,'Emission factors'!$D:$J,7,FALSE)),"")</f>
        <v/>
      </c>
      <c r="S35" s="221" t="str">
        <f>IFERROR(VLOOKUP($Q35,'Emission factors'!$D:$X,10,FALSE),"")</f>
        <v/>
      </c>
      <c r="T35" s="221" t="str">
        <f>IFERROR(VLOOKUP($Q35,'Emission factors'!$D:$X,12,FALSE),"")</f>
        <v/>
      </c>
      <c r="U35" s="221" t="str">
        <f>IFERROR(VLOOKUP($Q35,'Emission factors'!$D:$X,14,FALSE),"")</f>
        <v/>
      </c>
      <c r="V35" s="221" t="str">
        <f>IFERROR(VLOOKUP($Q35,'Emission factors'!$D:$X,16,FALSE),"")</f>
        <v/>
      </c>
      <c r="W35" s="221" t="str">
        <f>IFERROR(VLOOKUP($Q35,'Emission factors'!$D:$X,18,FALSE),"")</f>
        <v/>
      </c>
      <c r="X35" s="221" t="str">
        <f>IF(K35="","",1)</f>
        <v/>
      </c>
      <c r="Y35" s="58"/>
      <c r="Z35" s="58"/>
      <c r="AA35" s="58"/>
      <c r="AB35" s="58"/>
      <c r="AC35" s="58"/>
      <c r="AD35" s="58"/>
      <c r="AE35" s="58"/>
      <c r="AF35" s="275" t="str">
        <f>IFERROR(IF(AND($Q35="",$Z35=""),"",IF($Q35="",IF(AA35=0,"-",AA35),IF(S35=0,"0",$K35*IF($O35="",1,$O35)*S35*IF(Y35="",X35,Y35)))),"-")</f>
        <v/>
      </c>
      <c r="AG35" s="275" t="str">
        <f t="shared" ref="AG35:AH36" si="4">IFERROR(IF(AND($Q35="",$Z35=""),"",IF($Q35="",IF(AB35=0,"-",AB35),IF(T35=0,"0",$K35*IF($O35="",1,$O35)*T35))),"-")</f>
        <v/>
      </c>
      <c r="AH35" s="275" t="str">
        <f t="shared" si="4"/>
        <v/>
      </c>
      <c r="AI35" s="275" t="str">
        <f>IFERROR(IF(AND($Q35="",$Z35=""),"",IF($Q35="",IF(AD35="",SUM(AA35:AC35),IF(AD35=0,"0",AD35)),IF($V35="",SUM($AF35:$AH35),IF($V35=0,"0",$K35*IF($O35="",1,$O35)*$V35)))),"-")</f>
        <v/>
      </c>
      <c r="AJ35" s="275" t="str">
        <f>IFERROR(IF(AND($Q35="",$Z35=""),"",IF($Q35="",IF(AE35=0,"-",AE35),IF(W35=0,"0",$K35*IF($O35="",1,$O35)*W35*IF(Y35="",X35,Y35)))),"-")</f>
        <v/>
      </c>
      <c r="AK35" s="58"/>
      <c r="AL35" s="225"/>
      <c r="AM35" s="268"/>
      <c r="AN35" s="652"/>
      <c r="AO35" s="51"/>
      <c r="AP35" s="51"/>
      <c r="AQ35" s="51"/>
      <c r="AR35" s="51"/>
      <c r="AS35" s="51"/>
      <c r="AT35" s="51"/>
      <c r="AU35" s="51"/>
      <c r="AV35" s="51"/>
      <c r="AW35" s="51"/>
      <c r="AX35" s="51"/>
      <c r="AY35" s="51"/>
    </row>
    <row r="36" spans="1:51" s="55" customFormat="1">
      <c r="A36" s="38"/>
      <c r="B36" s="56" t="s">
        <v>59</v>
      </c>
      <c r="C36" s="56">
        <v>3</v>
      </c>
      <c r="D36" s="2060"/>
      <c r="E36" s="2061"/>
      <c r="F36" s="2062"/>
      <c r="G36" s="2069"/>
      <c r="H36" s="2070"/>
      <c r="I36" s="2071"/>
      <c r="J36" s="56"/>
      <c r="K36" s="57"/>
      <c r="L36" s="58"/>
      <c r="M36" s="58"/>
      <c r="N36" s="58"/>
      <c r="O36" s="221" t="str">
        <f t="array" ref="O36">IFERROR(INDEX('Conversion factors_2'!$B$10:$CY$111,MATCH('I - Stationary'!$M36,'Conversion factors_2'!$B$10:$B$111,FALSE),HLOOKUP('I - Stationary'!N36,'Conversion factors_2'!$B$8:$CY$9,2,FALSE)),"")</f>
        <v/>
      </c>
      <c r="P36" s="58"/>
      <c r="Q36" s="58"/>
      <c r="R36" s="221" t="str">
        <f>IFERROR(CONCATENATE("tCO2e/",VLOOKUP($Q36,'Emission factors'!$D:$J,7,FALSE)),"")</f>
        <v/>
      </c>
      <c r="S36" s="221" t="str">
        <f>IFERROR(VLOOKUP($Q36,'Emission factors'!$D:$X,10,FALSE),"")</f>
        <v/>
      </c>
      <c r="T36" s="221" t="str">
        <f>IFERROR(VLOOKUP($Q36,'Emission factors'!$D:$X,12,FALSE),"")</f>
        <v/>
      </c>
      <c r="U36" s="221" t="str">
        <f>IFERROR(VLOOKUP($Q36,'Emission factors'!$D:$X,14,FALSE),"")</f>
        <v/>
      </c>
      <c r="V36" s="221" t="str">
        <f>IFERROR(VLOOKUP($Q36,'Emission factors'!$D:$X,16,FALSE),"")</f>
        <v/>
      </c>
      <c r="W36" s="221" t="str">
        <f>IFERROR(VLOOKUP($Q36,'Emission factors'!$D:$X,18,FALSE),"")</f>
        <v/>
      </c>
      <c r="X36" s="221" t="str">
        <f>IF(K36="","",1)</f>
        <v/>
      </c>
      <c r="Y36" s="58"/>
      <c r="Z36" s="56"/>
      <c r="AA36" s="58"/>
      <c r="AB36" s="58"/>
      <c r="AC36" s="58"/>
      <c r="AD36" s="58"/>
      <c r="AE36" s="58"/>
      <c r="AF36" s="275" t="str">
        <f>IFERROR(IF(AND($Q36="",$Z36=""),"",IF($Q36="",IF(AA36=0,"-",AA36),IF(S36=0,"0",$K36*IF($O36="",1,$O36)*S36*IF(Y36="",X36,Y36)))),"-")</f>
        <v/>
      </c>
      <c r="AG36" s="472" t="str">
        <f t="shared" si="4"/>
        <v/>
      </c>
      <c r="AH36" s="472" t="str">
        <f t="shared" si="4"/>
        <v/>
      </c>
      <c r="AI36" s="472" t="str">
        <f>IFERROR(IF(AND($Q36="",$Z36=""),"",IF($Q36="",IF(AD36="",SUM(AA36:AC36),IF(AD36=0,"0",AD36)),IF($V36="",SUM($AF36:$AH36),IF($V36=0,"0",$K36*IF($O36="",1,$O36)*$V36)))),"-")</f>
        <v/>
      </c>
      <c r="AJ36" s="275" t="str">
        <f>IFERROR(IF(AND($Q36="",$Z36=""),"",IF($Q36="",IF(AE36=0,"-",AE36),IF(W36=0,"0",$K36*IF($O36="",1,$O36)*W36*IF(Y36="",X36,Y36)))),"-")</f>
        <v/>
      </c>
      <c r="AK36" s="58"/>
      <c r="AL36" s="255"/>
      <c r="AM36" s="268"/>
      <c r="AN36" s="652"/>
      <c r="AO36" s="51"/>
      <c r="AP36" s="51"/>
      <c r="AQ36" s="51"/>
      <c r="AR36" s="51"/>
      <c r="AS36" s="51"/>
      <c r="AT36" s="51"/>
      <c r="AU36" s="51"/>
      <c r="AV36" s="51"/>
      <c r="AW36" s="51"/>
      <c r="AX36" s="51"/>
      <c r="AY36" s="51"/>
    </row>
    <row r="37" spans="1:51" s="22" customFormat="1">
      <c r="B37" s="7"/>
      <c r="C37" s="7"/>
      <c r="D37" s="23"/>
      <c r="E37" s="23"/>
      <c r="F37" s="23"/>
      <c r="G37" s="23"/>
      <c r="H37" s="23"/>
      <c r="I37" s="23"/>
      <c r="J37" s="9"/>
      <c r="K37" s="10"/>
      <c r="L37" s="7"/>
      <c r="M37" s="7"/>
      <c r="N37" s="7"/>
      <c r="O37" s="7"/>
      <c r="P37" s="7"/>
      <c r="Q37" s="7"/>
      <c r="R37" s="7"/>
      <c r="S37" s="7"/>
      <c r="T37" s="7"/>
      <c r="U37" s="7"/>
      <c r="V37" s="7"/>
      <c r="W37" s="7"/>
      <c r="X37" s="7"/>
      <c r="Y37" s="7"/>
      <c r="Z37" s="7"/>
      <c r="AA37" s="7"/>
      <c r="AB37" s="7"/>
      <c r="AC37" s="7"/>
      <c r="AD37" s="7"/>
      <c r="AE37" s="7"/>
      <c r="AF37" s="278"/>
      <c r="AG37" s="278"/>
      <c r="AH37" s="278"/>
      <c r="AI37" s="278"/>
      <c r="AJ37" s="278"/>
      <c r="AK37" s="9"/>
      <c r="AL37" s="256"/>
      <c r="AM37" s="256"/>
      <c r="AN37" s="256"/>
    </row>
    <row r="38" spans="1:51" s="21" customFormat="1" ht="18">
      <c r="B38" s="465" t="s">
        <v>232</v>
      </c>
      <c r="C38" s="17"/>
      <c r="D38" s="18"/>
      <c r="E38" s="18"/>
      <c r="F38" s="18"/>
      <c r="G38" s="18"/>
      <c r="H38" s="18"/>
      <c r="I38" s="18"/>
      <c r="J38" s="19"/>
      <c r="K38" s="17"/>
      <c r="L38" s="17"/>
      <c r="M38" s="17"/>
      <c r="N38" s="17"/>
      <c r="O38" s="17"/>
      <c r="P38" s="17"/>
      <c r="Q38" s="17"/>
      <c r="R38" s="17"/>
      <c r="S38" s="17"/>
      <c r="T38" s="17"/>
      <c r="U38" s="17"/>
      <c r="V38" s="17"/>
      <c r="W38" s="17"/>
      <c r="X38" s="451"/>
      <c r="Y38" s="451"/>
      <c r="Z38" s="17"/>
      <c r="AA38" s="17"/>
      <c r="AB38" s="17"/>
      <c r="AC38" s="17"/>
      <c r="AD38" s="17"/>
      <c r="AE38" s="17"/>
      <c r="AF38" s="28"/>
      <c r="AG38" s="28"/>
      <c r="AH38" s="28"/>
      <c r="AI38" s="28"/>
      <c r="AJ38" s="28"/>
      <c r="AK38" s="19"/>
      <c r="AL38" s="254"/>
      <c r="AM38" s="254"/>
      <c r="AN38" s="254"/>
    </row>
    <row r="39" spans="1:51" s="21" customFormat="1">
      <c r="B39" s="17"/>
      <c r="C39" s="17"/>
      <c r="D39" s="18"/>
      <c r="E39" s="18"/>
      <c r="F39" s="18"/>
      <c r="G39" s="18"/>
      <c r="H39" s="18"/>
      <c r="I39" s="18"/>
      <c r="J39" s="19"/>
      <c r="K39" s="17"/>
      <c r="L39" s="17"/>
      <c r="M39" s="17"/>
      <c r="N39" s="17"/>
      <c r="O39" s="17"/>
      <c r="P39" s="17"/>
      <c r="Q39" s="17"/>
      <c r="R39" s="17"/>
      <c r="S39" s="17"/>
      <c r="T39" s="17"/>
      <c r="U39" s="17"/>
      <c r="V39" s="17"/>
      <c r="W39" s="17"/>
      <c r="X39" s="451"/>
      <c r="Y39" s="451"/>
      <c r="Z39" s="17"/>
      <c r="AA39" s="17"/>
      <c r="AB39" s="17"/>
      <c r="AC39" s="17"/>
      <c r="AD39" s="17"/>
      <c r="AE39" s="17"/>
      <c r="AF39" s="28"/>
      <c r="AG39" s="28"/>
      <c r="AH39" s="28"/>
      <c r="AI39" s="28"/>
      <c r="AJ39" s="28"/>
      <c r="AK39" s="19"/>
      <c r="AL39" s="254"/>
      <c r="AM39" s="254"/>
      <c r="AN39" s="254"/>
    </row>
    <row r="40" spans="1:51" s="50" customFormat="1" ht="16" customHeight="1">
      <c r="A40" s="86"/>
      <c r="B40" s="2065" t="s">
        <v>37</v>
      </c>
      <c r="C40" s="2065" t="s">
        <v>38</v>
      </c>
      <c r="D40" s="2065" t="s">
        <v>242</v>
      </c>
      <c r="E40" s="2065"/>
      <c r="F40" s="2065"/>
      <c r="G40" s="2065"/>
      <c r="H40" s="2065"/>
      <c r="I40" s="2065"/>
      <c r="J40" s="2066" t="s">
        <v>297</v>
      </c>
      <c r="K40" s="2095" t="s">
        <v>169</v>
      </c>
      <c r="L40" s="2096"/>
      <c r="M40" s="2098" t="s">
        <v>841</v>
      </c>
      <c r="N40" s="2099"/>
      <c r="O40" s="2100"/>
      <c r="P40" s="2066" t="s">
        <v>302</v>
      </c>
      <c r="Q40" s="2087" t="s">
        <v>782</v>
      </c>
      <c r="R40" s="2063" t="s">
        <v>782</v>
      </c>
      <c r="S40" s="2063"/>
      <c r="T40" s="2063"/>
      <c r="U40" s="2063"/>
      <c r="V40" s="2063"/>
      <c r="W40" s="2064"/>
      <c r="X40" s="2087" t="s">
        <v>1538</v>
      </c>
      <c r="Y40" s="2089" t="s">
        <v>1539</v>
      </c>
      <c r="Z40" s="2093" t="s">
        <v>928</v>
      </c>
      <c r="AA40" s="2083" t="s">
        <v>934</v>
      </c>
      <c r="AB40" s="2083"/>
      <c r="AC40" s="2083"/>
      <c r="AD40" s="2083"/>
      <c r="AE40" s="2083"/>
      <c r="AF40" s="2097" t="s">
        <v>289</v>
      </c>
      <c r="AG40" s="2097"/>
      <c r="AH40" s="2097"/>
      <c r="AI40" s="2097"/>
      <c r="AJ40" s="2097"/>
      <c r="AK40" s="895" t="s">
        <v>41</v>
      </c>
      <c r="AL40" s="2075" t="s">
        <v>937</v>
      </c>
      <c r="AM40" s="2093" t="s">
        <v>723</v>
      </c>
      <c r="AN40" s="2087" t="s">
        <v>826</v>
      </c>
      <c r="AO40" s="49"/>
      <c r="AP40" s="49"/>
      <c r="AQ40" s="49"/>
      <c r="AR40" s="49"/>
      <c r="AS40" s="49"/>
      <c r="AT40" s="49"/>
      <c r="AU40" s="49"/>
      <c r="AV40" s="49"/>
      <c r="AW40" s="49"/>
      <c r="AX40" s="49"/>
      <c r="AY40" s="49"/>
    </row>
    <row r="41" spans="1:51" s="50" customFormat="1" ht="17">
      <c r="A41" s="86"/>
      <c r="B41" s="2065"/>
      <c r="C41" s="2065"/>
      <c r="D41" s="2065" t="s">
        <v>243</v>
      </c>
      <c r="E41" s="2065"/>
      <c r="F41" s="2065"/>
      <c r="G41" s="2065" t="s">
        <v>241</v>
      </c>
      <c r="H41" s="2065"/>
      <c r="I41" s="2065"/>
      <c r="J41" s="2065"/>
      <c r="K41" s="633" t="s">
        <v>170</v>
      </c>
      <c r="L41" s="633" t="s">
        <v>171</v>
      </c>
      <c r="M41" s="659" t="s">
        <v>813</v>
      </c>
      <c r="N41" s="659" t="s">
        <v>814</v>
      </c>
      <c r="O41" s="659" t="s">
        <v>927</v>
      </c>
      <c r="P41" s="2065"/>
      <c r="Q41" s="2088"/>
      <c r="R41" s="660" t="s">
        <v>171</v>
      </c>
      <c r="S41" s="661" t="s">
        <v>929</v>
      </c>
      <c r="T41" s="661" t="s">
        <v>930</v>
      </c>
      <c r="U41" s="661" t="s">
        <v>931</v>
      </c>
      <c r="V41" s="661" t="s">
        <v>932</v>
      </c>
      <c r="W41" s="661" t="s">
        <v>933</v>
      </c>
      <c r="X41" s="2088" t="s">
        <v>1023</v>
      </c>
      <c r="Y41" s="2090"/>
      <c r="Z41" s="2094"/>
      <c r="AA41" s="661" t="s">
        <v>929</v>
      </c>
      <c r="AB41" s="661" t="s">
        <v>930</v>
      </c>
      <c r="AC41" s="661" t="s">
        <v>931</v>
      </c>
      <c r="AD41" s="661" t="s">
        <v>932</v>
      </c>
      <c r="AE41" s="661" t="s">
        <v>933</v>
      </c>
      <c r="AF41" s="662" t="s">
        <v>290</v>
      </c>
      <c r="AG41" s="662" t="s">
        <v>291</v>
      </c>
      <c r="AH41" s="662" t="s">
        <v>292</v>
      </c>
      <c r="AI41" s="662" t="s">
        <v>293</v>
      </c>
      <c r="AJ41" s="662" t="s">
        <v>294</v>
      </c>
      <c r="AK41" s="633" t="s">
        <v>44</v>
      </c>
      <c r="AL41" s="2075"/>
      <c r="AM41" s="2094"/>
      <c r="AN41" s="2088"/>
      <c r="AO41" s="49"/>
      <c r="AP41" s="49"/>
      <c r="AQ41" s="49"/>
      <c r="AR41" s="49"/>
      <c r="AS41" s="49"/>
      <c r="AT41" s="49"/>
      <c r="AU41" s="49"/>
      <c r="AV41" s="49"/>
      <c r="AW41" s="49"/>
      <c r="AX41" s="49"/>
      <c r="AY41" s="49"/>
    </row>
    <row r="42" spans="1:51" s="55" customFormat="1">
      <c r="A42" s="21"/>
      <c r="B42" s="84" t="s">
        <v>61</v>
      </c>
      <c r="C42" s="84">
        <v>1</v>
      </c>
      <c r="D42" s="61" t="s">
        <v>50</v>
      </c>
      <c r="E42" s="105"/>
      <c r="F42" s="105"/>
      <c r="G42" s="105"/>
      <c r="H42" s="105"/>
      <c r="I42" s="62"/>
      <c r="J42" s="656" t="s">
        <v>176</v>
      </c>
      <c r="K42" s="54"/>
      <c r="L42" s="54"/>
      <c r="M42" s="54"/>
      <c r="N42" s="54"/>
      <c r="O42" s="54"/>
      <c r="P42" s="54"/>
      <c r="Q42" s="54"/>
      <c r="R42" s="54"/>
      <c r="S42" s="54"/>
      <c r="T42" s="54"/>
      <c r="U42" s="54"/>
      <c r="V42" s="54"/>
      <c r="W42" s="54"/>
      <c r="X42" s="54"/>
      <c r="Y42" s="54"/>
      <c r="Z42" s="54"/>
      <c r="AA42" s="54"/>
      <c r="AB42" s="54"/>
      <c r="AC42" s="54"/>
      <c r="AD42" s="54"/>
      <c r="AE42" s="54"/>
      <c r="AF42" s="281"/>
      <c r="AG42" s="281"/>
      <c r="AH42" s="281"/>
      <c r="AI42" s="281"/>
      <c r="AJ42" s="281"/>
      <c r="AK42" s="54"/>
      <c r="AL42" s="657" t="s">
        <v>2662</v>
      </c>
      <c r="AM42" s="673"/>
      <c r="AN42" s="664"/>
      <c r="AO42" s="51"/>
      <c r="AP42" s="51"/>
      <c r="AQ42" s="51"/>
      <c r="AR42" s="51"/>
      <c r="AS42" s="51"/>
      <c r="AT42" s="51"/>
      <c r="AU42" s="51"/>
      <c r="AV42" s="51"/>
      <c r="AW42" s="51"/>
      <c r="AX42" s="51"/>
      <c r="AY42" s="51"/>
    </row>
    <row r="43" spans="1:51" s="21" customFormat="1">
      <c r="B43" s="58" t="s">
        <v>61</v>
      </c>
      <c r="C43" s="58">
        <v>1</v>
      </c>
      <c r="D43" s="2060"/>
      <c r="E43" s="2061"/>
      <c r="F43" s="2062"/>
      <c r="G43" s="2069"/>
      <c r="H43" s="2070"/>
      <c r="I43" s="2071"/>
      <c r="J43" s="56"/>
      <c r="K43" s="57"/>
      <c r="L43" s="58"/>
      <c r="M43" s="58"/>
      <c r="N43" s="58"/>
      <c r="O43" s="221" t="str">
        <f t="array" ref="O43">IFERROR(INDEX('Conversion factors_2'!$B$10:$CY$111,MATCH('I - Stationary'!$M43,'Conversion factors_2'!$B$10:$B$111,FALSE),HLOOKUP('I - Stationary'!N43,'Conversion factors_2'!$B$8:$CY$9,2,FALSE)),"")</f>
        <v/>
      </c>
      <c r="P43" s="58"/>
      <c r="Q43" s="58"/>
      <c r="R43" s="221" t="str">
        <f>IFERROR(CONCATENATE("tCO2e/",VLOOKUP($Q43,'Emission factors'!$D:$J,7,FALSE)),"")</f>
        <v/>
      </c>
      <c r="S43" s="221" t="str">
        <f>IFERROR(VLOOKUP($Q43,'Emission factors'!$D:$X,10,FALSE),"")</f>
        <v/>
      </c>
      <c r="T43" s="221" t="str">
        <f>IFERROR(VLOOKUP($Q43,'Emission factors'!$D:$X,12,FALSE),"")</f>
        <v/>
      </c>
      <c r="U43" s="221" t="str">
        <f>IFERROR(VLOOKUP($Q43,'Emission factors'!$D:$X,14,FALSE),"")</f>
        <v/>
      </c>
      <c r="V43" s="221" t="str">
        <f>IFERROR(VLOOKUP($Q43,'Emission factors'!$D:$X,16,FALSE),"")</f>
        <v/>
      </c>
      <c r="W43" s="221" t="str">
        <f>IFERROR(VLOOKUP($Q43,'Emission factors'!$D:$X,18,FALSE),"")</f>
        <v/>
      </c>
      <c r="X43" s="221" t="str">
        <f>IF(K43="","",1)</f>
        <v/>
      </c>
      <c r="Y43" s="58"/>
      <c r="Z43" s="58"/>
      <c r="AA43" s="58"/>
      <c r="AB43" s="58"/>
      <c r="AC43" s="58"/>
      <c r="AD43" s="58"/>
      <c r="AE43" s="58"/>
      <c r="AF43" s="275" t="str">
        <f>IFERROR(IF(AND($Q43="",$Z43=""),"",IF($Q43="",IF(AA43=0,"-",AA43),IF(S43=0,"0",$K43*IF($O43="",1,$O43)*S43*IF(Y43="",X43,Y43)))),"-")</f>
        <v/>
      </c>
      <c r="AG43" s="275" t="str">
        <f t="shared" ref="AG43:AH44" si="5">IFERROR(IF(AND($Q43="",$Z43=""),"",IF($Q43="",IF(AB43=0,"-",AB43),IF(T43=0,"0",$K43*IF($O43="",1,$O43)*T43))),"-")</f>
        <v/>
      </c>
      <c r="AH43" s="275" t="str">
        <f t="shared" si="5"/>
        <v/>
      </c>
      <c r="AI43" s="275" t="str">
        <f>IFERROR(IF(AND($Q43="",$Z43=""),"",IF($Q43="",IF(AD43="",SUM(AA43:AC43),IF(AD43=0,"0",AD43)),IF($V43="",SUM($AF43:$AH43),IF($V43=0,"0",$K43*IF($O43="",1,$O43)*$V43)))),"-")</f>
        <v/>
      </c>
      <c r="AJ43" s="275" t="str">
        <f>IFERROR(IF(AND($Q43="",$Z43=""),"",IF($Q43="",IF(AE43=0,"-",AE43),IF(W43=0,"0",$K43*IF($O43="",1,$O43)*W43*IF(Y43="",X43,Y43)))),"-")</f>
        <v/>
      </c>
      <c r="AK43" s="58"/>
      <c r="AL43" s="225"/>
      <c r="AM43" s="473"/>
      <c r="AN43" s="268"/>
    </row>
    <row r="44" spans="1:51" s="21" customFormat="1">
      <c r="A44" s="38"/>
      <c r="B44" s="56" t="s">
        <v>61</v>
      </c>
      <c r="C44" s="56">
        <v>1</v>
      </c>
      <c r="D44" s="2060"/>
      <c r="E44" s="2061"/>
      <c r="F44" s="2062"/>
      <c r="G44" s="2069"/>
      <c r="H44" s="2070"/>
      <c r="I44" s="2071"/>
      <c r="J44" s="56"/>
      <c r="K44" s="57"/>
      <c r="L44" s="58"/>
      <c r="M44" s="58"/>
      <c r="N44" s="58"/>
      <c r="O44" s="221" t="str">
        <f t="array" ref="O44">IFERROR(INDEX('Conversion factors_2'!$B$10:$CY$111,MATCH('I - Stationary'!$M44,'Conversion factors_2'!$B$10:$B$111,FALSE),HLOOKUP('I - Stationary'!N44,'Conversion factors_2'!$B$8:$CY$9,2,FALSE)),"")</f>
        <v/>
      </c>
      <c r="P44" s="58"/>
      <c r="Q44" s="58"/>
      <c r="R44" s="221" t="str">
        <f>IFERROR(CONCATENATE("tCO2e/",VLOOKUP($Q44,'Emission factors'!$D:$J,7,FALSE)),"")</f>
        <v/>
      </c>
      <c r="S44" s="221" t="str">
        <f>IFERROR(VLOOKUP($Q44,'Emission factors'!$D:$X,10,FALSE),"")</f>
        <v/>
      </c>
      <c r="T44" s="221" t="str">
        <f>IFERROR(VLOOKUP($Q44,'Emission factors'!$D:$X,12,FALSE),"")</f>
        <v/>
      </c>
      <c r="U44" s="221" t="str">
        <f>IFERROR(VLOOKUP($Q44,'Emission factors'!$D:$X,14,FALSE),"")</f>
        <v/>
      </c>
      <c r="V44" s="221" t="str">
        <f>IFERROR(VLOOKUP($Q44,'Emission factors'!$D:$X,16,FALSE),"")</f>
        <v/>
      </c>
      <c r="W44" s="221" t="str">
        <f>IFERROR(VLOOKUP($Q44,'Emission factors'!$D:$X,18,FALSE),"")</f>
        <v/>
      </c>
      <c r="X44" s="221" t="str">
        <f>IF(K44="","",1)</f>
        <v/>
      </c>
      <c r="Y44" s="58"/>
      <c r="Z44" s="58"/>
      <c r="AA44" s="58"/>
      <c r="AB44" s="58"/>
      <c r="AC44" s="58"/>
      <c r="AD44" s="58"/>
      <c r="AE44" s="58"/>
      <c r="AF44" s="275" t="str">
        <f>IFERROR(IF(AND($Q44="",$Z44=""),"",IF($Q44="",IF(AA44=0,"-",AA44),IF(S44=0,"0",$K44*IF($O44="",1,$O44)*S44*IF(Y44="",X44,Y44)))),"-")</f>
        <v/>
      </c>
      <c r="AG44" s="275" t="str">
        <f t="shared" si="5"/>
        <v/>
      </c>
      <c r="AH44" s="275" t="str">
        <f t="shared" si="5"/>
        <v/>
      </c>
      <c r="AI44" s="275" t="str">
        <f>IFERROR(IF(AND($Q44="",$Z44=""),"",IF($Q44="",IF(AD44="",SUM(AA44:AC44),IF(AD44=0,"0",AD44)),IF($V44="",SUM($AF44:$AH44),IF($V44=0,"0",$K44*IF($O44="",1,$O44)*$V44)))),"-")</f>
        <v/>
      </c>
      <c r="AJ44" s="275" t="str">
        <f>IFERROR(IF(AND($Q44="",$Z44=""),"",IF($Q44="",IF(AE44=0,"-",AE44),IF(W44=0,"0",$K44*IF($O44="",1,$O44)*W44*IF(Y44="",X44,Y44)))),"-")</f>
        <v/>
      </c>
      <c r="AK44" s="58"/>
      <c r="AL44" s="255"/>
      <c r="AM44" s="473"/>
      <c r="AN44" s="268"/>
    </row>
    <row r="45" spans="1:51" s="55" customFormat="1">
      <c r="A45" s="21"/>
      <c r="B45" s="73" t="s">
        <v>62</v>
      </c>
      <c r="C45" s="73">
        <v>2</v>
      </c>
      <c r="D45" s="61" t="s">
        <v>52</v>
      </c>
      <c r="E45" s="105"/>
      <c r="F45" s="105"/>
      <c r="G45" s="105"/>
      <c r="H45" s="105"/>
      <c r="I45" s="62"/>
      <c r="J45" s="63" t="s">
        <v>176</v>
      </c>
      <c r="K45" s="64"/>
      <c r="L45" s="64"/>
      <c r="M45" s="64"/>
      <c r="N45" s="64"/>
      <c r="O45" s="64"/>
      <c r="P45" s="64"/>
      <c r="Q45" s="64"/>
      <c r="R45" s="64"/>
      <c r="S45" s="64"/>
      <c r="T45" s="64"/>
      <c r="U45" s="64"/>
      <c r="V45" s="64"/>
      <c r="W45" s="64"/>
      <c r="X45" s="64"/>
      <c r="Y45" s="64"/>
      <c r="Z45" s="64"/>
      <c r="AA45" s="64"/>
      <c r="AB45" s="64"/>
      <c r="AC45" s="64"/>
      <c r="AD45" s="64"/>
      <c r="AE45" s="64"/>
      <c r="AF45" s="276"/>
      <c r="AG45" s="276"/>
      <c r="AH45" s="276"/>
      <c r="AI45" s="276"/>
      <c r="AJ45" s="276"/>
      <c r="AK45" s="54"/>
      <c r="AL45" s="657" t="s">
        <v>2663</v>
      </c>
      <c r="AM45" s="474"/>
      <c r="AN45" s="665"/>
      <c r="AO45" s="51"/>
      <c r="AP45" s="51"/>
      <c r="AQ45" s="51"/>
      <c r="AR45" s="51"/>
      <c r="AS45" s="51"/>
      <c r="AT45" s="51"/>
      <c r="AU45" s="51"/>
      <c r="AV45" s="51"/>
      <c r="AW45" s="51"/>
      <c r="AX45" s="51"/>
      <c r="AY45" s="51"/>
    </row>
    <row r="46" spans="1:51" s="21" customFormat="1">
      <c r="B46" s="58" t="s">
        <v>62</v>
      </c>
      <c r="C46" s="58">
        <v>2</v>
      </c>
      <c r="D46" s="2060"/>
      <c r="E46" s="2061"/>
      <c r="F46" s="2062"/>
      <c r="G46" s="2069"/>
      <c r="H46" s="2070"/>
      <c r="I46" s="2071"/>
      <c r="J46" s="56"/>
      <c r="K46" s="57"/>
      <c r="L46" s="58"/>
      <c r="M46" s="58"/>
      <c r="N46" s="58"/>
      <c r="O46" s="221" t="str">
        <f t="array" ref="O46">IFERROR(INDEX('Conversion factors_2'!$B$10:$CY$111,MATCH('I - Stationary'!$M46,'Conversion factors_2'!$B$10:$B$111,FALSE),HLOOKUP('I - Stationary'!N46,'Conversion factors_2'!$B$8:$CY$9,2,FALSE)),"")</f>
        <v/>
      </c>
      <c r="P46" s="58"/>
      <c r="Q46" s="58"/>
      <c r="R46" s="221" t="str">
        <f>IFERROR(CONCATENATE("tCO2e/",VLOOKUP($Q46,'Emission factors'!$D:$J,7,FALSE)),"")</f>
        <v/>
      </c>
      <c r="S46" s="221" t="str">
        <f>IFERROR(VLOOKUP($Q46,'Emission factors'!$D:$X,10,FALSE),"")</f>
        <v/>
      </c>
      <c r="T46" s="221" t="str">
        <f>IFERROR(VLOOKUP($Q46,'Emission factors'!$D:$X,12,FALSE),"")</f>
        <v/>
      </c>
      <c r="U46" s="221" t="str">
        <f>IFERROR(VLOOKUP($Q46,'Emission factors'!$D:$X,14,FALSE),"")</f>
        <v/>
      </c>
      <c r="V46" s="221" t="str">
        <f>IFERROR(VLOOKUP($Q46,'Emission factors'!$D:$X,16,FALSE),"")</f>
        <v/>
      </c>
      <c r="W46" s="221" t="str">
        <f>IFERROR(VLOOKUP($Q46,'Emission factors'!$D:$X,18,FALSE),"")</f>
        <v/>
      </c>
      <c r="X46" s="221" t="str">
        <f>IF(K46="","",1)</f>
        <v/>
      </c>
      <c r="Y46" s="58"/>
      <c r="Z46" s="58"/>
      <c r="AA46" s="58"/>
      <c r="AB46" s="58"/>
      <c r="AC46" s="58"/>
      <c r="AD46" s="58"/>
      <c r="AE46" s="58"/>
      <c r="AF46" s="275" t="str">
        <f>IFERROR(IF(AND($Q46="",$Z46=""),"",IF($Q46="",IF(AA46=0,"-",AA46),IF(S46=0,"0",$K46*IF($O46="",1,$O46)*S46*IF(Y46="",X46,Y46)))),"-")</f>
        <v/>
      </c>
      <c r="AG46" s="275" t="str">
        <f t="shared" ref="AG46:AH47" si="6">IFERROR(IF(AND($Q46="",$Z46=""),"",IF($Q46="",IF(AB46=0,"-",AB46),IF(T46=0,"0",$K46*IF($O46="",1,$O46)*T46))),"-")</f>
        <v/>
      </c>
      <c r="AH46" s="275" t="str">
        <f t="shared" si="6"/>
        <v/>
      </c>
      <c r="AI46" s="275" t="str">
        <f>IFERROR(IF(AND($Q46="",$Z46=""),"",IF($Q46="",IF(AD46="",SUM(AA46:AC46),IF(AD46=0,"0",AD46)),IF($V46="",SUM($AF46:$AH46),IF($V46=0,"0",$K46*IF($O46="",1,$O46)*$V46)))),"-")</f>
        <v/>
      </c>
      <c r="AJ46" s="275" t="str">
        <f>IFERROR(IF(AND($Q46="",$Z46=""),"",IF($Q46="",IF(AE46=0,"-",AE46),IF(W46=0,"0",$K46*IF($O46="",1,$O46)*W46*IF(Y46="",X46,Y46)))),"-")</f>
        <v/>
      </c>
      <c r="AK46" s="58"/>
      <c r="AL46" s="225"/>
      <c r="AM46" s="473"/>
      <c r="AN46" s="268"/>
    </row>
    <row r="47" spans="1:51" s="21" customFormat="1">
      <c r="A47" s="38"/>
      <c r="B47" s="56" t="s">
        <v>62</v>
      </c>
      <c r="C47" s="56">
        <v>2</v>
      </c>
      <c r="D47" s="2060"/>
      <c r="E47" s="2061"/>
      <c r="F47" s="2062"/>
      <c r="G47" s="2069"/>
      <c r="H47" s="2070"/>
      <c r="I47" s="2071"/>
      <c r="J47" s="56"/>
      <c r="K47" s="57"/>
      <c r="L47" s="58"/>
      <c r="M47" s="58"/>
      <c r="N47" s="58"/>
      <c r="O47" s="221" t="str">
        <f t="array" ref="O47">IFERROR(INDEX('Conversion factors_2'!$B$10:$CY$111,MATCH('I - Stationary'!$M47,'Conversion factors_2'!$B$10:$B$111,FALSE),HLOOKUP('I - Stationary'!N47,'Conversion factors_2'!$B$8:$CY$9,2,FALSE)),"")</f>
        <v/>
      </c>
      <c r="P47" s="58"/>
      <c r="Q47" s="58"/>
      <c r="R47" s="221" t="str">
        <f>IFERROR(CONCATENATE("tCO2e/",VLOOKUP($Q47,'Emission factors'!$D:$J,7,FALSE)),"")</f>
        <v/>
      </c>
      <c r="S47" s="221" t="str">
        <f>IFERROR(VLOOKUP($Q47,'Emission factors'!$D:$X,10,FALSE),"")</f>
        <v/>
      </c>
      <c r="T47" s="221" t="str">
        <f>IFERROR(VLOOKUP($Q47,'Emission factors'!$D:$X,12,FALSE),"")</f>
        <v/>
      </c>
      <c r="U47" s="221" t="str">
        <f>IFERROR(VLOOKUP($Q47,'Emission factors'!$D:$X,14,FALSE),"")</f>
        <v/>
      </c>
      <c r="V47" s="221" t="str">
        <f>IFERROR(VLOOKUP($Q47,'Emission factors'!$D:$X,16,FALSE),"")</f>
        <v/>
      </c>
      <c r="W47" s="221" t="str">
        <f>IFERROR(VLOOKUP($Q47,'Emission factors'!$D:$X,18,FALSE),"")</f>
        <v/>
      </c>
      <c r="X47" s="221" t="str">
        <f>IF(K47="","",1)</f>
        <v/>
      </c>
      <c r="Y47" s="58"/>
      <c r="Z47" s="58"/>
      <c r="AA47" s="58"/>
      <c r="AB47" s="58"/>
      <c r="AC47" s="58"/>
      <c r="AD47" s="58"/>
      <c r="AE47" s="58"/>
      <c r="AF47" s="275" t="str">
        <f>IFERROR(IF(AND($Q47="",$Z47=""),"",IF($Q47="",IF(AA47=0,"-",AA47),IF(S47=0,"0",$K47*IF($O47="",1,$O47)*S47*IF(Y47="",X47,Y47)))),"-")</f>
        <v/>
      </c>
      <c r="AG47" s="275" t="str">
        <f t="shared" si="6"/>
        <v/>
      </c>
      <c r="AH47" s="275" t="str">
        <f t="shared" si="6"/>
        <v/>
      </c>
      <c r="AI47" s="275" t="str">
        <f>IFERROR(IF(AND($Q47="",$Z47=""),"",IF($Q47="",IF(AD47="",SUM(AA47:AC47),IF(AD47=0,"0",AD47)),IF($V47="",SUM($AF47:$AH47),IF($V47=0,"0",$K47*IF($O47="",1,$O47)*$V47)))),"-")</f>
        <v/>
      </c>
      <c r="AJ47" s="275" t="str">
        <f>IFERROR(IF(AND($Q47="",$Z47=""),"",IF($Q47="",IF(AE47=0,"-",AE47),IF(W47=0,"0",$K47*IF($O47="",1,$O47)*W47*IF(Y47="",X47,Y47)))),"-")</f>
        <v/>
      </c>
      <c r="AK47" s="58"/>
      <c r="AL47" s="255"/>
      <c r="AM47" s="473"/>
      <c r="AN47" s="268"/>
    </row>
    <row r="48" spans="1:51" s="55" customFormat="1">
      <c r="A48" s="21"/>
      <c r="B48" s="76" t="s">
        <v>63</v>
      </c>
      <c r="C48" s="76">
        <v>3</v>
      </c>
      <c r="D48" s="67" t="s">
        <v>54</v>
      </c>
      <c r="E48" s="650"/>
      <c r="F48" s="650"/>
      <c r="G48" s="650"/>
      <c r="H48" s="650"/>
      <c r="I48" s="68"/>
      <c r="J48" s="69" t="s">
        <v>177</v>
      </c>
      <c r="K48" s="70"/>
      <c r="L48" s="69"/>
      <c r="M48" s="69"/>
      <c r="N48" s="69"/>
      <c r="O48" s="69"/>
      <c r="P48" s="69"/>
      <c r="Q48" s="69"/>
      <c r="R48" s="69"/>
      <c r="S48" s="69"/>
      <c r="T48" s="69"/>
      <c r="U48" s="69"/>
      <c r="V48" s="69"/>
      <c r="W48" s="69"/>
      <c r="X48" s="69"/>
      <c r="Y48" s="69"/>
      <c r="Z48" s="69"/>
      <c r="AA48" s="69"/>
      <c r="AB48" s="69"/>
      <c r="AC48" s="69"/>
      <c r="AD48" s="69"/>
      <c r="AE48" s="69"/>
      <c r="AF48" s="277"/>
      <c r="AG48" s="277"/>
      <c r="AH48" s="277"/>
      <c r="AI48" s="277"/>
      <c r="AJ48" s="277"/>
      <c r="AK48" s="69"/>
      <c r="AL48" s="1800" t="s">
        <v>2664</v>
      </c>
      <c r="AM48" s="475"/>
      <c r="AN48" s="666"/>
      <c r="AO48" s="51"/>
      <c r="AP48" s="51"/>
      <c r="AQ48" s="51"/>
      <c r="AR48" s="51"/>
      <c r="AS48" s="51"/>
      <c r="AT48" s="51"/>
      <c r="AU48" s="51"/>
      <c r="AV48" s="51"/>
      <c r="AW48" s="51"/>
      <c r="AX48" s="51"/>
      <c r="AY48" s="51"/>
    </row>
    <row r="49" spans="1:51" s="55" customFormat="1">
      <c r="A49" s="21"/>
      <c r="B49" s="56" t="s">
        <v>63</v>
      </c>
      <c r="C49" s="56">
        <v>3</v>
      </c>
      <c r="D49" s="2060"/>
      <c r="E49" s="2061"/>
      <c r="F49" s="2062"/>
      <c r="G49" s="2069"/>
      <c r="H49" s="2070"/>
      <c r="I49" s="2071"/>
      <c r="J49" s="56"/>
      <c r="K49" s="57"/>
      <c r="L49" s="58"/>
      <c r="M49" s="58"/>
      <c r="N49" s="58"/>
      <c r="O49" s="221" t="str">
        <f t="array" ref="O49">IFERROR(INDEX('Conversion factors_2'!$B$10:$CY$111,MATCH('I - Stationary'!$M49,'Conversion factors_2'!$B$10:$B$111,FALSE),HLOOKUP('I - Stationary'!N49,'Conversion factors_2'!$B$8:$CY$9,2,FALSE)),"")</f>
        <v/>
      </c>
      <c r="P49" s="58"/>
      <c r="Q49" s="58"/>
      <c r="R49" s="221" t="str">
        <f>IFERROR(CONCATENATE("tCO2e/",VLOOKUP($Q49,'Emission factors'!$D:$J,7,FALSE)),"")</f>
        <v/>
      </c>
      <c r="S49" s="221" t="str">
        <f>IFERROR(VLOOKUP($Q49,'Emission factors'!$D:$X,10,FALSE),"")</f>
        <v/>
      </c>
      <c r="T49" s="221" t="str">
        <f>IFERROR(VLOOKUP($Q49,'Emission factors'!$D:$X,12,FALSE),"")</f>
        <v/>
      </c>
      <c r="U49" s="221" t="str">
        <f>IFERROR(VLOOKUP($Q49,'Emission factors'!$D:$X,14,FALSE),"")</f>
        <v/>
      </c>
      <c r="V49" s="221" t="str">
        <f>IFERROR(VLOOKUP($Q49,'Emission factors'!$D:$X,16,FALSE),"")</f>
        <v/>
      </c>
      <c r="W49" s="221" t="str">
        <f>IFERROR(VLOOKUP($Q49,'Emission factors'!$D:$X,18,FALSE),"")</f>
        <v/>
      </c>
      <c r="X49" s="221" t="str">
        <f>IF(K49="","",1)</f>
        <v/>
      </c>
      <c r="Y49" s="58"/>
      <c r="Z49" s="58"/>
      <c r="AA49" s="58"/>
      <c r="AB49" s="58"/>
      <c r="AC49" s="58"/>
      <c r="AD49" s="58"/>
      <c r="AE49" s="58"/>
      <c r="AF49" s="275" t="str">
        <f>IFERROR(IF(AND($Q49="",$Z49=""),"",IF($Q49="",IF(AA49=0,"-",AA49),IF(S49=0,"0",$K49*IF($O49="",1,$O49)*S49*IF(Y49="",X49,Y49)))),"-")</f>
        <v/>
      </c>
      <c r="AG49" s="275" t="str">
        <f t="shared" ref="AG49:AH50" si="7">IFERROR(IF(AND($Q49="",$Z49=""),"",IF($Q49="",IF(AB49=0,"-",AB49),IF(T49=0,"0",$K49*IF($O49="",1,$O49)*T49))),"-")</f>
        <v/>
      </c>
      <c r="AH49" s="275" t="str">
        <f t="shared" si="7"/>
        <v/>
      </c>
      <c r="AI49" s="275" t="str">
        <f>IFERROR(IF(AND($Q49="",$Z49=""),"",IF($Q49="",IF(AD49="",SUM(AA49:AC49),IF(AD49=0,"0",AD49)),IF($V49="",SUM($AF49:$AH49),IF($V49=0,"0",$K49*IF($O49="",1,$O49)*$V49)))),"-")</f>
        <v/>
      </c>
      <c r="AJ49" s="275" t="str">
        <f>IFERROR(IF(AND($Q49="",$Z49=""),"",IF($Q49="",IF(AE49=0,"-",AE49),IF(W49=0,"0",$K49*IF($O49="",1,$O49)*W49*IF(Y49="",X49,Y49)))),"-")</f>
        <v/>
      </c>
      <c r="AK49" s="58"/>
      <c r="AL49" s="225"/>
      <c r="AM49" s="473"/>
      <c r="AN49" s="268"/>
      <c r="AO49" s="51"/>
      <c r="AP49" s="51"/>
      <c r="AQ49" s="51"/>
      <c r="AR49" s="51"/>
      <c r="AS49" s="51"/>
      <c r="AT49" s="51"/>
      <c r="AU49" s="51"/>
      <c r="AV49" s="51"/>
      <c r="AW49" s="51"/>
      <c r="AX49" s="51"/>
      <c r="AY49" s="51"/>
    </row>
    <row r="50" spans="1:51" s="55" customFormat="1">
      <c r="A50" s="38"/>
      <c r="B50" s="56" t="s">
        <v>63</v>
      </c>
      <c r="C50" s="56">
        <v>3</v>
      </c>
      <c r="D50" s="2060"/>
      <c r="E50" s="2061"/>
      <c r="F50" s="2062"/>
      <c r="G50" s="2069"/>
      <c r="H50" s="2070"/>
      <c r="I50" s="2071"/>
      <c r="J50" s="56"/>
      <c r="K50" s="57"/>
      <c r="L50" s="58"/>
      <c r="M50" s="58"/>
      <c r="N50" s="58"/>
      <c r="O50" s="221" t="str">
        <f t="array" ref="O50">IFERROR(INDEX('Conversion factors_2'!$B$10:$CY$111,MATCH('I - Stationary'!$M50,'Conversion factors_2'!$B$10:$B$111,FALSE),HLOOKUP('I - Stationary'!N50,'Conversion factors_2'!$B$8:$CY$9,2,FALSE)),"")</f>
        <v/>
      </c>
      <c r="P50" s="58"/>
      <c r="Q50" s="58"/>
      <c r="R50" s="221" t="str">
        <f>IFERROR(CONCATENATE("tCO2e/",VLOOKUP($Q50,'Emission factors'!$D:$J,7,FALSE)),"")</f>
        <v/>
      </c>
      <c r="S50" s="221" t="str">
        <f>IFERROR(VLOOKUP($Q50,'Emission factors'!$D:$X,10,FALSE),"")</f>
        <v/>
      </c>
      <c r="T50" s="221" t="str">
        <f>IFERROR(VLOOKUP($Q50,'Emission factors'!$D:$X,12,FALSE),"")</f>
        <v/>
      </c>
      <c r="U50" s="221" t="str">
        <f>IFERROR(VLOOKUP($Q50,'Emission factors'!$D:$X,14,FALSE),"")</f>
        <v/>
      </c>
      <c r="V50" s="221" t="str">
        <f>IFERROR(VLOOKUP($Q50,'Emission factors'!$D:$X,16,FALSE),"")</f>
        <v/>
      </c>
      <c r="W50" s="221" t="str">
        <f>IFERROR(VLOOKUP($Q50,'Emission factors'!$D:$X,18,FALSE),"")</f>
        <v/>
      </c>
      <c r="X50" s="221" t="str">
        <f>IF(K50="","",1)</f>
        <v/>
      </c>
      <c r="Y50" s="58"/>
      <c r="Z50" s="56"/>
      <c r="AA50" s="58"/>
      <c r="AB50" s="58"/>
      <c r="AC50" s="58"/>
      <c r="AD50" s="58"/>
      <c r="AE50" s="58"/>
      <c r="AF50" s="275" t="str">
        <f>IFERROR(IF(AND($Q50="",$Z50=""),"",IF($Q50="",IF(AA50=0,"-",AA50),IF(S50=0,"0",$K50*IF($O50="",1,$O50)*S50*IF(Y50="",X50,Y50)))),"-")</f>
        <v/>
      </c>
      <c r="AG50" s="472" t="str">
        <f t="shared" si="7"/>
        <v/>
      </c>
      <c r="AH50" s="472" t="str">
        <f t="shared" si="7"/>
        <v/>
      </c>
      <c r="AI50" s="472" t="str">
        <f>IFERROR(IF(AND($Q50="",$Z50=""),"",IF($Q50="",IF(AD50="",SUM(AA50:AC50),IF(AD50=0,"0",AD50)),IF($V50="",SUM($AF50:$AH50),IF($V50=0,"0",$K50*IF($O50="",1,$O50)*$V50)))),"-")</f>
        <v/>
      </c>
      <c r="AJ50" s="275" t="str">
        <f>IFERROR(IF(AND($Q50="",$Z50=""),"",IF($Q50="",IF(AE50=0,"-",AE50),IF(W50=0,"0",$K50*IF($O50="",1,$O50)*W50*IF(Y50="",X50,Y50)))),"-")</f>
        <v/>
      </c>
      <c r="AK50" s="58"/>
      <c r="AL50" s="255"/>
      <c r="AM50" s="473"/>
      <c r="AN50" s="268"/>
      <c r="AO50" s="51"/>
      <c r="AP50" s="51"/>
      <c r="AQ50" s="51"/>
      <c r="AR50" s="51"/>
      <c r="AS50" s="51"/>
      <c r="AT50" s="51"/>
      <c r="AU50" s="51"/>
      <c r="AV50" s="51"/>
      <c r="AW50" s="51"/>
      <c r="AX50" s="51"/>
      <c r="AY50" s="51"/>
    </row>
    <row r="51" spans="1:51" s="22" customFormat="1">
      <c r="B51" s="11"/>
      <c r="C51" s="11"/>
      <c r="D51" s="12"/>
      <c r="E51" s="12"/>
      <c r="F51" s="12"/>
      <c r="G51" s="12"/>
      <c r="H51" s="12"/>
      <c r="I51" s="12"/>
      <c r="J51" s="9"/>
      <c r="K51" s="7"/>
      <c r="L51" s="7"/>
      <c r="M51" s="7"/>
      <c r="N51" s="7"/>
      <c r="O51" s="7"/>
      <c r="P51" s="7"/>
      <c r="Q51" s="7"/>
      <c r="R51" s="7"/>
      <c r="S51" s="7"/>
      <c r="T51" s="7"/>
      <c r="U51" s="7"/>
      <c r="V51" s="7"/>
      <c r="W51" s="7"/>
      <c r="X51" s="7"/>
      <c r="Y51" s="7"/>
      <c r="Z51" s="7"/>
      <c r="AA51" s="7"/>
      <c r="AB51" s="7"/>
      <c r="AC51" s="7"/>
      <c r="AD51" s="7"/>
      <c r="AE51" s="7"/>
      <c r="AF51" s="278"/>
      <c r="AG51" s="278"/>
      <c r="AH51" s="278"/>
      <c r="AI51" s="278"/>
      <c r="AJ51" s="278"/>
      <c r="AK51" s="9"/>
      <c r="AL51" s="256"/>
      <c r="AM51" s="256"/>
      <c r="AN51" s="256"/>
    </row>
    <row r="52" spans="1:51" s="21" customFormat="1" ht="18">
      <c r="B52" s="465" t="s">
        <v>230</v>
      </c>
      <c r="C52" s="17"/>
      <c r="D52" s="18"/>
      <c r="E52" s="18"/>
      <c r="F52" s="18"/>
      <c r="G52" s="18"/>
      <c r="H52" s="18"/>
      <c r="I52" s="18"/>
      <c r="J52" s="19"/>
      <c r="K52" s="17"/>
      <c r="L52" s="17"/>
      <c r="M52" s="17"/>
      <c r="N52" s="17"/>
      <c r="O52" s="17"/>
      <c r="P52" s="17"/>
      <c r="Q52" s="17"/>
      <c r="R52" s="17"/>
      <c r="S52" s="17"/>
      <c r="T52" s="17"/>
      <c r="U52" s="17"/>
      <c r="V52" s="17"/>
      <c r="W52" s="17"/>
      <c r="X52" s="451"/>
      <c r="Y52" s="451"/>
      <c r="Z52" s="17"/>
      <c r="AA52" s="17"/>
      <c r="AB52" s="17"/>
      <c r="AC52" s="17"/>
      <c r="AD52" s="17"/>
      <c r="AE52" s="17"/>
      <c r="AF52" s="28"/>
      <c r="AG52" s="28"/>
      <c r="AH52" s="28"/>
      <c r="AI52" s="28"/>
      <c r="AJ52" s="28"/>
      <c r="AK52" s="19"/>
      <c r="AL52" s="254"/>
      <c r="AM52" s="254"/>
      <c r="AN52" s="254"/>
    </row>
    <row r="53" spans="1:51" s="21" customFormat="1">
      <c r="B53" s="17"/>
      <c r="C53" s="17"/>
      <c r="D53" s="18"/>
      <c r="E53" s="18"/>
      <c r="F53" s="18"/>
      <c r="G53" s="18"/>
      <c r="H53" s="18"/>
      <c r="I53" s="18"/>
      <c r="J53" s="19"/>
      <c r="K53" s="17"/>
      <c r="L53" s="17"/>
      <c r="M53" s="17"/>
      <c r="N53" s="17"/>
      <c r="O53" s="17"/>
      <c r="P53" s="17"/>
      <c r="Q53" s="17"/>
      <c r="R53" s="17"/>
      <c r="S53" s="17"/>
      <c r="T53" s="17"/>
      <c r="U53" s="17"/>
      <c r="V53" s="17"/>
      <c r="W53" s="17"/>
      <c r="X53" s="451"/>
      <c r="Y53" s="451"/>
      <c r="Z53" s="17"/>
      <c r="AA53" s="17"/>
      <c r="AB53" s="17"/>
      <c r="AC53" s="17"/>
      <c r="AD53" s="17"/>
      <c r="AE53" s="17"/>
      <c r="AF53" s="28"/>
      <c r="AG53" s="28"/>
      <c r="AH53" s="28"/>
      <c r="AI53" s="28"/>
      <c r="AJ53" s="28"/>
      <c r="AK53" s="19"/>
      <c r="AL53" s="254"/>
      <c r="AM53" s="254"/>
      <c r="AN53" s="254"/>
    </row>
    <row r="54" spans="1:51" s="50" customFormat="1" ht="16" customHeight="1">
      <c r="A54" s="86"/>
      <c r="B54" s="2065" t="s">
        <v>37</v>
      </c>
      <c r="C54" s="2065" t="s">
        <v>38</v>
      </c>
      <c r="D54" s="2065" t="s">
        <v>242</v>
      </c>
      <c r="E54" s="2065"/>
      <c r="F54" s="2065"/>
      <c r="G54" s="2065"/>
      <c r="H54" s="2065"/>
      <c r="I54" s="2065"/>
      <c r="J54" s="2066" t="s">
        <v>297</v>
      </c>
      <c r="K54" s="2095" t="s">
        <v>169</v>
      </c>
      <c r="L54" s="2096"/>
      <c r="M54" s="2098" t="s">
        <v>841</v>
      </c>
      <c r="N54" s="2099"/>
      <c r="O54" s="2100"/>
      <c r="P54" s="2066" t="s">
        <v>302</v>
      </c>
      <c r="Q54" s="2087" t="s">
        <v>782</v>
      </c>
      <c r="R54" s="2063" t="s">
        <v>782</v>
      </c>
      <c r="S54" s="2063"/>
      <c r="T54" s="2063"/>
      <c r="U54" s="2063"/>
      <c r="V54" s="2063"/>
      <c r="W54" s="2064"/>
      <c r="X54" s="2087" t="s">
        <v>1538</v>
      </c>
      <c r="Y54" s="2089" t="s">
        <v>1539</v>
      </c>
      <c r="Z54" s="2093" t="s">
        <v>928</v>
      </c>
      <c r="AA54" s="2083" t="s">
        <v>934</v>
      </c>
      <c r="AB54" s="2083"/>
      <c r="AC54" s="2083"/>
      <c r="AD54" s="2083"/>
      <c r="AE54" s="2083"/>
      <c r="AF54" s="2097" t="s">
        <v>289</v>
      </c>
      <c r="AG54" s="2097"/>
      <c r="AH54" s="2097"/>
      <c r="AI54" s="2097"/>
      <c r="AJ54" s="2097"/>
      <c r="AK54" s="895" t="s">
        <v>41</v>
      </c>
      <c r="AL54" s="2075" t="s">
        <v>937</v>
      </c>
      <c r="AM54" s="2093" t="s">
        <v>723</v>
      </c>
      <c r="AN54" s="2087" t="s">
        <v>826</v>
      </c>
      <c r="AO54" s="49"/>
      <c r="AP54" s="49"/>
      <c r="AQ54" s="49"/>
      <c r="AR54" s="49"/>
      <c r="AS54" s="49"/>
      <c r="AT54" s="49"/>
      <c r="AU54" s="49"/>
      <c r="AV54" s="49"/>
      <c r="AW54" s="49"/>
      <c r="AX54" s="49"/>
      <c r="AY54" s="49"/>
    </row>
    <row r="55" spans="1:51" s="50" customFormat="1" ht="17">
      <c r="A55" s="86"/>
      <c r="B55" s="2065"/>
      <c r="C55" s="2065"/>
      <c r="D55" s="2065" t="s">
        <v>243</v>
      </c>
      <c r="E55" s="2065"/>
      <c r="F55" s="2065"/>
      <c r="G55" s="2065" t="s">
        <v>241</v>
      </c>
      <c r="H55" s="2065"/>
      <c r="I55" s="2065"/>
      <c r="J55" s="2065"/>
      <c r="K55" s="633" t="s">
        <v>170</v>
      </c>
      <c r="L55" s="633" t="s">
        <v>171</v>
      </c>
      <c r="M55" s="659" t="s">
        <v>813</v>
      </c>
      <c r="N55" s="659" t="s">
        <v>814</v>
      </c>
      <c r="O55" s="659" t="s">
        <v>927</v>
      </c>
      <c r="P55" s="2065"/>
      <c r="Q55" s="2088"/>
      <c r="R55" s="660" t="s">
        <v>171</v>
      </c>
      <c r="S55" s="661" t="s">
        <v>929</v>
      </c>
      <c r="T55" s="661" t="s">
        <v>930</v>
      </c>
      <c r="U55" s="661" t="s">
        <v>931</v>
      </c>
      <c r="V55" s="661" t="s">
        <v>932</v>
      </c>
      <c r="W55" s="661" t="s">
        <v>933</v>
      </c>
      <c r="X55" s="2088" t="s">
        <v>1023</v>
      </c>
      <c r="Y55" s="2090"/>
      <c r="Z55" s="2094"/>
      <c r="AA55" s="661" t="s">
        <v>929</v>
      </c>
      <c r="AB55" s="661" t="s">
        <v>930</v>
      </c>
      <c r="AC55" s="661" t="s">
        <v>931</v>
      </c>
      <c r="AD55" s="661" t="s">
        <v>932</v>
      </c>
      <c r="AE55" s="661" t="s">
        <v>933</v>
      </c>
      <c r="AF55" s="662" t="s">
        <v>290</v>
      </c>
      <c r="AG55" s="662" t="s">
        <v>291</v>
      </c>
      <c r="AH55" s="662" t="s">
        <v>292</v>
      </c>
      <c r="AI55" s="662" t="s">
        <v>293</v>
      </c>
      <c r="AJ55" s="662" t="s">
        <v>294</v>
      </c>
      <c r="AK55" s="633" t="s">
        <v>44</v>
      </c>
      <c r="AL55" s="2075"/>
      <c r="AM55" s="2094"/>
      <c r="AN55" s="2088"/>
      <c r="AO55" s="49"/>
      <c r="AP55" s="49"/>
      <c r="AQ55" s="49"/>
      <c r="AR55" s="49"/>
      <c r="AS55" s="49"/>
      <c r="AT55" s="49"/>
      <c r="AU55" s="49"/>
      <c r="AV55" s="49"/>
      <c r="AW55" s="49"/>
      <c r="AX55" s="49"/>
      <c r="AY55" s="49"/>
    </row>
    <row r="56" spans="1:51" s="55" customFormat="1">
      <c r="A56" s="21"/>
      <c r="B56" s="84" t="s">
        <v>65</v>
      </c>
      <c r="C56" s="84">
        <v>1</v>
      </c>
      <c r="D56" s="61" t="s">
        <v>748</v>
      </c>
      <c r="E56" s="105"/>
      <c r="F56" s="105"/>
      <c r="G56" s="105"/>
      <c r="H56" s="105"/>
      <c r="I56" s="62"/>
      <c r="J56" s="656" t="s">
        <v>175</v>
      </c>
      <c r="K56" s="54"/>
      <c r="L56" s="54"/>
      <c r="M56" s="54"/>
      <c r="N56" s="54"/>
      <c r="O56" s="54"/>
      <c r="P56" s="54"/>
      <c r="Q56" s="54"/>
      <c r="R56" s="54"/>
      <c r="S56" s="54"/>
      <c r="T56" s="54"/>
      <c r="U56" s="54"/>
      <c r="V56" s="54"/>
      <c r="W56" s="54"/>
      <c r="X56" s="54"/>
      <c r="Y56" s="54"/>
      <c r="Z56" s="54"/>
      <c r="AA56" s="54"/>
      <c r="AB56" s="54"/>
      <c r="AC56" s="54"/>
      <c r="AD56" s="54"/>
      <c r="AE56" s="54"/>
      <c r="AF56" s="281"/>
      <c r="AG56" s="281"/>
      <c r="AH56" s="281"/>
      <c r="AI56" s="281"/>
      <c r="AJ56" s="281"/>
      <c r="AK56" s="54"/>
      <c r="AL56" s="657" t="s">
        <v>2667</v>
      </c>
      <c r="AM56" s="673"/>
      <c r="AN56" s="664"/>
      <c r="AO56" s="51"/>
      <c r="AP56" s="51"/>
      <c r="AQ56" s="51"/>
      <c r="AR56" s="51"/>
      <c r="AS56" s="51"/>
      <c r="AT56" s="51"/>
      <c r="AU56" s="51"/>
      <c r="AV56" s="51"/>
      <c r="AW56" s="51"/>
      <c r="AX56" s="51"/>
      <c r="AY56" s="51"/>
    </row>
    <row r="57" spans="1:51" s="21" customFormat="1">
      <c r="B57" s="58" t="s">
        <v>65</v>
      </c>
      <c r="C57" s="58">
        <v>1</v>
      </c>
      <c r="D57" s="2060"/>
      <c r="E57" s="2061"/>
      <c r="F57" s="2062"/>
      <c r="G57" s="2069"/>
      <c r="H57" s="2070"/>
      <c r="I57" s="2071"/>
      <c r="J57" s="56"/>
      <c r="K57" s="57"/>
      <c r="L57" s="58"/>
      <c r="M57" s="58"/>
      <c r="N57" s="58"/>
      <c r="O57" s="221" t="str">
        <f t="array" ref="O57">IFERROR(INDEX('Conversion factors_2'!$B$10:$CY$111,MATCH('I - Stationary'!$M57,'Conversion factors_2'!$B$10:$B$111,FALSE),HLOOKUP('I - Stationary'!N57,'Conversion factors_2'!$B$8:$CY$9,2,FALSE)),"")</f>
        <v/>
      </c>
      <c r="P57" s="58"/>
      <c r="Q57" s="58"/>
      <c r="R57" s="221" t="str">
        <f>IFERROR(CONCATENATE("tCO2e/",VLOOKUP($Q57,'Emission factors'!$D:$J,7,FALSE)),"")</f>
        <v/>
      </c>
      <c r="S57" s="221" t="str">
        <f>IFERROR(VLOOKUP($Q57,'Emission factors'!$D:$X,10,FALSE),"")</f>
        <v/>
      </c>
      <c r="T57" s="221" t="str">
        <f>IFERROR(VLOOKUP($Q57,'Emission factors'!$D:$X,12,FALSE),"")</f>
        <v/>
      </c>
      <c r="U57" s="221" t="str">
        <f>IFERROR(VLOOKUP($Q57,'Emission factors'!$D:$X,14,FALSE),"")</f>
        <v/>
      </c>
      <c r="V57" s="221" t="str">
        <f>IFERROR(VLOOKUP($Q57,'Emission factors'!$D:$X,16,FALSE),"")</f>
        <v/>
      </c>
      <c r="W57" s="221" t="str">
        <f>IFERROR(VLOOKUP($Q57,'Emission factors'!$D:$X,18,FALSE),"")</f>
        <v/>
      </c>
      <c r="X57" s="221" t="str">
        <f>IF(K57="","",1)</f>
        <v/>
      </c>
      <c r="Y57" s="58"/>
      <c r="Z57" s="58"/>
      <c r="AA57" s="58"/>
      <c r="AB57" s="58"/>
      <c r="AC57" s="58"/>
      <c r="AD57" s="58"/>
      <c r="AE57" s="58"/>
      <c r="AF57" s="275" t="str">
        <f>IFERROR(IF(AND($Q57="",$Z57=""),"",IF($Q57="",IF(AA57=0,"-",AA57),IF(S57=0,"0",$K57*IF($O57="",1,$O57)*S57*IF(Y57="",X57,Y57)))),"-")</f>
        <v/>
      </c>
      <c r="AG57" s="275" t="str">
        <f t="shared" ref="AG57:AH58" si="8">IFERROR(IF(AND($Q57="",$Z57=""),"",IF($Q57="",IF(AB57=0,"-",AB57),IF(T57=0,"0",$K57*IF($O57="",1,$O57)*T57))),"-")</f>
        <v/>
      </c>
      <c r="AH57" s="275" t="str">
        <f t="shared" si="8"/>
        <v/>
      </c>
      <c r="AI57" s="275" t="str">
        <f>IFERROR(IF(AND($Q57="",$Z57=""),"",IF($Q57="",IF(AD57="",SUM(AA57:AC57),IF(AD57=0,"0",AD57)),IF($V57="",SUM($AF57:$AH57),IF($V57=0,"0",$K57*IF($O57="",1,$O57)*$V57)))),"-")</f>
        <v/>
      </c>
      <c r="AJ57" s="275" t="str">
        <f>IFERROR(IF(AND($Q57="",$Z57=""),"",IF($Q57="",IF(AE57=0,"-",AE57),IF(W57=0,"0",$K57*IF($O57="",1,$O57)*W57*IF(Y57="",X57,Y57)))),"-")</f>
        <v/>
      </c>
      <c r="AK57" s="58"/>
      <c r="AL57" s="225"/>
      <c r="AM57" s="473"/>
      <c r="AN57" s="268"/>
    </row>
    <row r="58" spans="1:51" s="21" customFormat="1">
      <c r="A58" s="38"/>
      <c r="B58" s="56" t="s">
        <v>65</v>
      </c>
      <c r="C58" s="56">
        <v>1</v>
      </c>
      <c r="D58" s="2060"/>
      <c r="E58" s="2061"/>
      <c r="F58" s="2062"/>
      <c r="G58" s="2069"/>
      <c r="H58" s="2070"/>
      <c r="I58" s="2071"/>
      <c r="J58" s="56"/>
      <c r="K58" s="57"/>
      <c r="L58" s="58"/>
      <c r="M58" s="58"/>
      <c r="N58" s="58"/>
      <c r="O58" s="221" t="str">
        <f t="array" ref="O58">IFERROR(INDEX('Conversion factors_2'!$B$10:$CY$111,MATCH('I - Stationary'!$M58,'Conversion factors_2'!$B$10:$B$111,FALSE),HLOOKUP('I - Stationary'!N58,'Conversion factors_2'!$B$8:$CY$9,2,FALSE)),"")</f>
        <v/>
      </c>
      <c r="P58" s="58"/>
      <c r="Q58" s="58"/>
      <c r="R58" s="221" t="str">
        <f>IFERROR(CONCATENATE("tCO2e/",VLOOKUP($Q58,'Emission factors'!$D:$J,7,FALSE)),"")</f>
        <v/>
      </c>
      <c r="S58" s="221" t="str">
        <f>IFERROR(VLOOKUP($Q58,'Emission factors'!$D:$X,10,FALSE),"")</f>
        <v/>
      </c>
      <c r="T58" s="221" t="str">
        <f>IFERROR(VLOOKUP($Q58,'Emission factors'!$D:$X,12,FALSE),"")</f>
        <v/>
      </c>
      <c r="U58" s="221" t="str">
        <f>IFERROR(VLOOKUP($Q58,'Emission factors'!$D:$X,14,FALSE),"")</f>
        <v/>
      </c>
      <c r="V58" s="221" t="str">
        <f>IFERROR(VLOOKUP($Q58,'Emission factors'!$D:$X,16,FALSE),"")</f>
        <v/>
      </c>
      <c r="W58" s="221" t="str">
        <f>IFERROR(VLOOKUP($Q58,'Emission factors'!$D:$X,18,FALSE),"")</f>
        <v/>
      </c>
      <c r="X58" s="221" t="str">
        <f>IF(K58="","",1)</f>
        <v/>
      </c>
      <c r="Y58" s="58"/>
      <c r="Z58" s="58"/>
      <c r="AA58" s="58"/>
      <c r="AB58" s="58"/>
      <c r="AC58" s="58"/>
      <c r="AD58" s="58"/>
      <c r="AE58" s="58"/>
      <c r="AF58" s="275" t="str">
        <f>IFERROR(IF(AND($Q58="",$Z58=""),"",IF($Q58="",IF(AA58=0,"-",AA58),IF(S58=0,"0",$K58*IF($O58="",1,$O58)*S58*IF(Y58="",X58,Y58)))),"-")</f>
        <v/>
      </c>
      <c r="AG58" s="275" t="str">
        <f t="shared" si="8"/>
        <v/>
      </c>
      <c r="AH58" s="275" t="str">
        <f t="shared" si="8"/>
        <v/>
      </c>
      <c r="AI58" s="275" t="str">
        <f>IFERROR(IF(AND($Q58="",$Z58=""),"",IF($Q58="",IF(AD58="",SUM(AA58:AC58),IF(AD58=0,"0",AD58)),IF($V58="",SUM($AF58:$AH58),IF($V58=0,"0",$K58*IF($O58="",1,$O58)*$V58)))),"-")</f>
        <v/>
      </c>
      <c r="AJ58" s="275" t="str">
        <f>IFERROR(IF(AND($Q58="",$Z58=""),"",IF($Q58="",IF(AE58=0,"-",AE58),IF(W58=0,"0",$K58*IF($O58="",1,$O58)*W58*IF(Y58="",X58,Y58)))),"-")</f>
        <v/>
      </c>
      <c r="AK58" s="58"/>
      <c r="AL58" s="255"/>
      <c r="AM58" s="473"/>
      <c r="AN58" s="268"/>
    </row>
    <row r="59" spans="1:51" s="55" customFormat="1">
      <c r="A59" s="21"/>
      <c r="B59" s="73" t="s">
        <v>67</v>
      </c>
      <c r="C59" s="73">
        <v>2</v>
      </c>
      <c r="D59" s="61" t="s">
        <v>749</v>
      </c>
      <c r="E59" s="105"/>
      <c r="F59" s="105"/>
      <c r="G59" s="105"/>
      <c r="H59" s="105"/>
      <c r="I59" s="62"/>
      <c r="J59" s="63" t="s">
        <v>175</v>
      </c>
      <c r="K59" s="64"/>
      <c r="L59" s="64"/>
      <c r="M59" s="64"/>
      <c r="N59" s="64"/>
      <c r="O59" s="64"/>
      <c r="P59" s="64"/>
      <c r="Q59" s="64"/>
      <c r="R59" s="64"/>
      <c r="S59" s="64"/>
      <c r="T59" s="64"/>
      <c r="U59" s="64"/>
      <c r="V59" s="64"/>
      <c r="W59" s="64"/>
      <c r="X59" s="64"/>
      <c r="Y59" s="64"/>
      <c r="Z59" s="64"/>
      <c r="AA59" s="64"/>
      <c r="AB59" s="64"/>
      <c r="AC59" s="64"/>
      <c r="AD59" s="64"/>
      <c r="AE59" s="64"/>
      <c r="AF59" s="276"/>
      <c r="AG59" s="276"/>
      <c r="AH59" s="276"/>
      <c r="AI59" s="276"/>
      <c r="AJ59" s="276"/>
      <c r="AK59" s="54"/>
      <c r="AL59" s="657" t="s">
        <v>2668</v>
      </c>
      <c r="AM59" s="474"/>
      <c r="AN59" s="665"/>
      <c r="AO59" s="51"/>
      <c r="AP59" s="51"/>
      <c r="AQ59" s="51"/>
      <c r="AR59" s="51"/>
      <c r="AS59" s="51"/>
      <c r="AT59" s="51"/>
      <c r="AU59" s="51"/>
      <c r="AV59" s="51"/>
      <c r="AW59" s="51"/>
      <c r="AX59" s="51"/>
      <c r="AY59" s="51"/>
    </row>
    <row r="60" spans="1:51" s="21" customFormat="1">
      <c r="B60" s="58" t="s">
        <v>67</v>
      </c>
      <c r="C60" s="58">
        <v>2</v>
      </c>
      <c r="D60" s="2060"/>
      <c r="E60" s="2061"/>
      <c r="F60" s="2062"/>
      <c r="G60" s="2069"/>
      <c r="H60" s="2070"/>
      <c r="I60" s="2071"/>
      <c r="J60" s="56"/>
      <c r="K60" s="57"/>
      <c r="L60" s="58"/>
      <c r="M60" s="58"/>
      <c r="N60" s="58"/>
      <c r="O60" s="221" t="str">
        <f t="array" ref="O60">IFERROR(INDEX('Conversion factors_2'!$B$10:$CY$111,MATCH('I - Stationary'!$M60,'Conversion factors_2'!$B$10:$B$111,FALSE),HLOOKUP('I - Stationary'!N60,'Conversion factors_2'!$B$8:$CY$9,2,FALSE)),"")</f>
        <v/>
      </c>
      <c r="P60" s="58"/>
      <c r="Q60" s="58"/>
      <c r="R60" s="221" t="str">
        <f>IFERROR(CONCATENATE("tCO2e/",VLOOKUP($Q60,'Emission factors'!$D:$J,7,FALSE)),"")</f>
        <v/>
      </c>
      <c r="S60" s="221" t="str">
        <f>IFERROR(VLOOKUP($Q60,'Emission factors'!$D:$X,10,FALSE),"")</f>
        <v/>
      </c>
      <c r="T60" s="221" t="str">
        <f>IFERROR(VLOOKUP($Q60,'Emission factors'!$D:$X,12,FALSE),"")</f>
        <v/>
      </c>
      <c r="U60" s="221" t="str">
        <f>IFERROR(VLOOKUP($Q60,'Emission factors'!$D:$X,14,FALSE),"")</f>
        <v/>
      </c>
      <c r="V60" s="221" t="str">
        <f>IFERROR(VLOOKUP($Q60,'Emission factors'!$D:$X,16,FALSE),"")</f>
        <v/>
      </c>
      <c r="W60" s="221" t="str">
        <f>IFERROR(VLOOKUP($Q60,'Emission factors'!$D:$X,18,FALSE),"")</f>
        <v/>
      </c>
      <c r="X60" s="221" t="str">
        <f>IF(K60="","",1)</f>
        <v/>
      </c>
      <c r="Y60" s="58"/>
      <c r="Z60" s="58"/>
      <c r="AA60" s="58"/>
      <c r="AB60" s="58"/>
      <c r="AC60" s="58"/>
      <c r="AD60" s="58"/>
      <c r="AE60" s="58"/>
      <c r="AF60" s="275" t="str">
        <f>IFERROR(IF(AND($Q60="",$Z60=""),"",IF($Q60="",IF(AA60=0,"-",AA60),IF(S60=0,"0",$K60*IF($O60="",1,$O60)*S60*IF(Y60="",X60,Y60)))),"-")</f>
        <v/>
      </c>
      <c r="AG60" s="275" t="str">
        <f t="shared" ref="AG60:AH61" si="9">IFERROR(IF(AND($Q60="",$Z60=""),"",IF($Q60="",IF(AB60=0,"-",AB60),IF(T60=0,"0",$K60*IF($O60="",1,$O60)*T60))),"-")</f>
        <v/>
      </c>
      <c r="AH60" s="275" t="str">
        <f t="shared" si="9"/>
        <v/>
      </c>
      <c r="AI60" s="275" t="str">
        <f>IFERROR(IF(AND($Q60="",$Z60=""),"",IF($Q60="",IF(AD60="",SUM(AA60:AC60),IF(AD60=0,"0",AD60)),IF($V60="",SUM($AF60:$AH60),IF($V60=0,"0",$K60*IF($O60="",1,$O60)*$V60)))),"-")</f>
        <v/>
      </c>
      <c r="AJ60" s="275" t="str">
        <f>IFERROR(IF(AND($Q60="",$Z60=""),"",IF($Q60="",IF(AE60=0,"-",AE60),IF(W60=0,"0",$K60*IF($O60="",1,$O60)*W60*IF(Y60="",X60,Y60)))),"-")</f>
        <v/>
      </c>
      <c r="AK60" s="58"/>
      <c r="AL60" s="225"/>
      <c r="AM60" s="473"/>
      <c r="AN60" s="268"/>
    </row>
    <row r="61" spans="1:51" s="21" customFormat="1">
      <c r="A61" s="38"/>
      <c r="B61" s="56" t="s">
        <v>67</v>
      </c>
      <c r="C61" s="56">
        <v>2</v>
      </c>
      <c r="D61" s="2060"/>
      <c r="E61" s="2061"/>
      <c r="F61" s="2062"/>
      <c r="G61" s="2069"/>
      <c r="H61" s="2070"/>
      <c r="I61" s="2071"/>
      <c r="J61" s="56"/>
      <c r="K61" s="57"/>
      <c r="L61" s="58"/>
      <c r="M61" s="58"/>
      <c r="N61" s="58"/>
      <c r="O61" s="221" t="str">
        <f t="array" ref="O61">IFERROR(INDEX('Conversion factors_2'!$B$10:$CY$111,MATCH('I - Stationary'!$M61,'Conversion factors_2'!$B$10:$B$111,FALSE),HLOOKUP('I - Stationary'!N61,'Conversion factors_2'!$B$8:$CY$9,2,FALSE)),"")</f>
        <v/>
      </c>
      <c r="P61" s="58"/>
      <c r="Q61" s="58"/>
      <c r="R61" s="221" t="str">
        <f>IFERROR(CONCATENATE("tCO2e/",VLOOKUP($Q61,'Emission factors'!$D:$J,7,FALSE)),"")</f>
        <v/>
      </c>
      <c r="S61" s="221" t="str">
        <f>IFERROR(VLOOKUP($Q61,'Emission factors'!$D:$X,10,FALSE),"")</f>
        <v/>
      </c>
      <c r="T61" s="221" t="str">
        <f>IFERROR(VLOOKUP($Q61,'Emission factors'!$D:$X,12,FALSE),"")</f>
        <v/>
      </c>
      <c r="U61" s="221" t="str">
        <f>IFERROR(VLOOKUP($Q61,'Emission factors'!$D:$X,14,FALSE),"")</f>
        <v/>
      </c>
      <c r="V61" s="221" t="str">
        <f>IFERROR(VLOOKUP($Q61,'Emission factors'!$D:$X,16,FALSE),"")</f>
        <v/>
      </c>
      <c r="W61" s="221" t="str">
        <f>IFERROR(VLOOKUP($Q61,'Emission factors'!$D:$X,18,FALSE),"")</f>
        <v/>
      </c>
      <c r="X61" s="221" t="str">
        <f>IF(K61="","",1)</f>
        <v/>
      </c>
      <c r="Y61" s="58"/>
      <c r="Z61" s="58"/>
      <c r="AA61" s="58"/>
      <c r="AB61" s="58"/>
      <c r="AC61" s="58"/>
      <c r="AD61" s="58"/>
      <c r="AE61" s="58"/>
      <c r="AF61" s="275" t="str">
        <f>IFERROR(IF(AND($Q61="",$Z61=""),"",IF($Q61="",IF(AA61=0,"-",AA61),IF(S61=0,"0",$K61*IF($O61="",1,$O61)*S61*IF(Y61="",X61,Y61)))),"-")</f>
        <v/>
      </c>
      <c r="AG61" s="275" t="str">
        <f t="shared" si="9"/>
        <v/>
      </c>
      <c r="AH61" s="275" t="str">
        <f t="shared" si="9"/>
        <v/>
      </c>
      <c r="AI61" s="275" t="str">
        <f>IFERROR(IF(AND($Q61="",$Z61=""),"",IF($Q61="",IF(AD61="",SUM(AA61:AC61),IF(AD61=0,"0",AD61)),IF($V61="",SUM($AF61:$AH61),IF($V61=0,"0",$K61*IF($O61="",1,$O61)*$V61)))),"-")</f>
        <v/>
      </c>
      <c r="AJ61" s="275" t="str">
        <f>IFERROR(IF(AND($Q61="",$Z61=""),"",IF($Q61="",IF(AE61=0,"-",AE61),IF(W61=0,"0",$K61*IF($O61="",1,$O61)*W61*IF(Y61="",X61,Y61)))),"-")</f>
        <v/>
      </c>
      <c r="AK61" s="58"/>
      <c r="AL61" s="255"/>
      <c r="AM61" s="473"/>
      <c r="AN61" s="268"/>
    </row>
    <row r="62" spans="1:51" s="55" customFormat="1">
      <c r="A62" s="21"/>
      <c r="B62" s="76" t="s">
        <v>69</v>
      </c>
      <c r="C62" s="76">
        <v>3</v>
      </c>
      <c r="D62" s="67" t="s">
        <v>70</v>
      </c>
      <c r="E62" s="650"/>
      <c r="F62" s="650"/>
      <c r="G62" s="650"/>
      <c r="H62" s="650"/>
      <c r="I62" s="68"/>
      <c r="J62" s="69" t="s">
        <v>175</v>
      </c>
      <c r="K62" s="70"/>
      <c r="L62" s="69"/>
      <c r="M62" s="69"/>
      <c r="N62" s="69"/>
      <c r="O62" s="69"/>
      <c r="P62" s="69"/>
      <c r="Q62" s="69"/>
      <c r="R62" s="69"/>
      <c r="S62" s="69"/>
      <c r="T62" s="69"/>
      <c r="U62" s="69"/>
      <c r="V62" s="69"/>
      <c r="W62" s="69"/>
      <c r="X62" s="69"/>
      <c r="Y62" s="69"/>
      <c r="Z62" s="69"/>
      <c r="AA62" s="69"/>
      <c r="AB62" s="69"/>
      <c r="AC62" s="69"/>
      <c r="AD62" s="69"/>
      <c r="AE62" s="69"/>
      <c r="AF62" s="277"/>
      <c r="AG62" s="277"/>
      <c r="AH62" s="277"/>
      <c r="AI62" s="277"/>
      <c r="AJ62" s="277"/>
      <c r="AK62" s="69"/>
      <c r="AL62" s="228" t="s">
        <v>2669</v>
      </c>
      <c r="AM62" s="475"/>
      <c r="AN62" s="666"/>
      <c r="AO62" s="51"/>
      <c r="AP62" s="51"/>
      <c r="AQ62" s="51"/>
      <c r="AR62" s="51"/>
      <c r="AS62" s="51"/>
      <c r="AT62" s="51"/>
      <c r="AU62" s="51"/>
      <c r="AV62" s="51"/>
      <c r="AW62" s="51"/>
      <c r="AX62" s="51"/>
      <c r="AY62" s="51"/>
    </row>
    <row r="63" spans="1:51" s="21" customFormat="1">
      <c r="B63" s="58" t="s">
        <v>69</v>
      </c>
      <c r="C63" s="58">
        <v>3</v>
      </c>
      <c r="D63" s="2060"/>
      <c r="E63" s="2061"/>
      <c r="F63" s="2062"/>
      <c r="G63" s="2069"/>
      <c r="H63" s="2070"/>
      <c r="I63" s="2071"/>
      <c r="J63" s="56"/>
      <c r="K63" s="57"/>
      <c r="L63" s="58"/>
      <c r="M63" s="58"/>
      <c r="N63" s="58"/>
      <c r="O63" s="221" t="str">
        <f t="array" ref="O63">IFERROR(INDEX('Conversion factors_2'!$B$10:$CY$111,MATCH('I - Stationary'!$M63,'Conversion factors_2'!$B$10:$B$111,FALSE),HLOOKUP('I - Stationary'!N63,'Conversion factors_2'!$B$8:$CY$9,2,FALSE)),"")</f>
        <v/>
      </c>
      <c r="P63" s="58"/>
      <c r="Q63" s="58"/>
      <c r="R63" s="221" t="str">
        <f>IFERROR(CONCATENATE("tCO2e/",VLOOKUP($Q63,'Emission factors'!$D:$J,7,FALSE)),"")</f>
        <v/>
      </c>
      <c r="S63" s="221" t="str">
        <f>IFERROR(VLOOKUP($Q63,'Emission factors'!$D:$X,10,FALSE),"")</f>
        <v/>
      </c>
      <c r="T63" s="221" t="str">
        <f>IFERROR(VLOOKUP($Q63,'Emission factors'!$D:$X,12,FALSE),"")</f>
        <v/>
      </c>
      <c r="U63" s="221" t="str">
        <f>IFERROR(VLOOKUP($Q63,'Emission factors'!$D:$X,14,FALSE),"")</f>
        <v/>
      </c>
      <c r="V63" s="221" t="str">
        <f>IFERROR(VLOOKUP($Q63,'Emission factors'!$D:$X,16,FALSE),"")</f>
        <v/>
      </c>
      <c r="W63" s="221" t="str">
        <f>IFERROR(VLOOKUP($Q63,'Emission factors'!$D:$X,18,FALSE),"")</f>
        <v/>
      </c>
      <c r="X63" s="221" t="str">
        <f>IF(K63="","",1)</f>
        <v/>
      </c>
      <c r="Y63" s="58"/>
      <c r="Z63" s="58"/>
      <c r="AA63" s="58"/>
      <c r="AB63" s="58"/>
      <c r="AC63" s="58"/>
      <c r="AD63" s="58"/>
      <c r="AE63" s="58"/>
      <c r="AF63" s="275" t="str">
        <f>IFERROR(IF(AND($Q63="",$Z63=""),"",IF($Q63="",IF(AA63=0,"-",AA63),IF(S63=0,"0",$K63*IF($O63="",1,$O63)*S63*IF(Y63="",X63,Y63)))),"-")</f>
        <v/>
      </c>
      <c r="AG63" s="275" t="str">
        <f t="shared" ref="AG63:AH64" si="10">IFERROR(IF(AND($Q63="",$Z63=""),"",IF($Q63="",IF(AB63=0,"-",AB63),IF(T63=0,"0",$K63*IF($O63="",1,$O63)*T63))),"-")</f>
        <v/>
      </c>
      <c r="AH63" s="275" t="str">
        <f t="shared" si="10"/>
        <v/>
      </c>
      <c r="AI63" s="275" t="str">
        <f>IFERROR(IF(AND($Q63="",$Z63=""),"",IF($Q63="",IF(AD63="",SUM(AA63:AC63),IF(AD63=0,"0",AD63)),IF($V63="",SUM($AF63:$AH63),IF($V63=0,"0",$K63*IF($O63="",1,$O63)*$V63)))),"-")</f>
        <v/>
      </c>
      <c r="AJ63" s="275" t="str">
        <f>IFERROR(IF(AND($Q63="",$Z63=""),"",IF($Q63="",IF(AE63=0,"-",AE63),IF(W63=0,"0",$K63*IF($O63="",1,$O63)*W63*IF(Y63="",X63,Y63)))),"-")</f>
        <v/>
      </c>
      <c r="AK63" s="58"/>
      <c r="AL63" s="225"/>
      <c r="AM63" s="473"/>
      <c r="AN63" s="268"/>
    </row>
    <row r="64" spans="1:51" s="21" customFormat="1">
      <c r="A64" s="38"/>
      <c r="B64" s="56" t="s">
        <v>69</v>
      </c>
      <c r="C64" s="56">
        <v>3</v>
      </c>
      <c r="D64" s="2076"/>
      <c r="E64" s="2077"/>
      <c r="F64" s="2078"/>
      <c r="G64" s="2084"/>
      <c r="H64" s="2085"/>
      <c r="I64" s="2086"/>
      <c r="J64" s="56"/>
      <c r="K64" s="59"/>
      <c r="L64" s="56"/>
      <c r="M64" s="58"/>
      <c r="N64" s="58"/>
      <c r="O64" s="221" t="str">
        <f t="array" ref="O64">IFERROR(INDEX('Conversion factors_2'!$B$10:$CY$111,MATCH('I - Stationary'!$M64,'Conversion factors_2'!$B$10:$B$111,FALSE),HLOOKUP('I - Stationary'!N64,'Conversion factors_2'!$B$8:$CY$9,2,FALSE)),"")</f>
        <v/>
      </c>
      <c r="P64" s="56"/>
      <c r="Q64" s="56"/>
      <c r="R64" s="221" t="str">
        <f>IFERROR(CONCATENATE("tCO2e/",VLOOKUP($Q64,'Emission factors'!$D:$J,7,FALSE)),"")</f>
        <v/>
      </c>
      <c r="S64" s="221" t="str">
        <f>IFERROR(VLOOKUP($Q64,'Emission factors'!$D:$X,10,FALSE),"")</f>
        <v/>
      </c>
      <c r="T64" s="221" t="str">
        <f>IFERROR(VLOOKUP($Q64,'Emission factors'!$D:$X,12,FALSE),"")</f>
        <v/>
      </c>
      <c r="U64" s="221" t="str">
        <f>IFERROR(VLOOKUP($Q64,'Emission factors'!$D:$X,14,FALSE),"")</f>
        <v/>
      </c>
      <c r="V64" s="221" t="str">
        <f>IFERROR(VLOOKUP($Q64,'Emission factors'!$D:$X,16,FALSE),"")</f>
        <v/>
      </c>
      <c r="W64" s="221" t="str">
        <f>IFERROR(VLOOKUP($Q64,'Emission factors'!$D:$X,18,FALSE),"")</f>
        <v/>
      </c>
      <c r="X64" s="221" t="str">
        <f>IF(K64="","",1)</f>
        <v/>
      </c>
      <c r="Y64" s="58"/>
      <c r="Z64" s="58"/>
      <c r="AA64" s="56"/>
      <c r="AB64" s="56"/>
      <c r="AC64" s="56"/>
      <c r="AD64" s="56"/>
      <c r="AE64" s="56"/>
      <c r="AF64" s="275" t="str">
        <f>IFERROR(IF(AND($Q64="",$Z64=""),"",IF($Q64="",IF(AA64=0,"-",AA64),IF(S64=0,"0",$K64*IF($O64="",1,$O64)*S64*IF(Y64="",X64,Y64)))),"-")</f>
        <v/>
      </c>
      <c r="AG64" s="275" t="str">
        <f t="shared" si="10"/>
        <v/>
      </c>
      <c r="AH64" s="275" t="str">
        <f t="shared" si="10"/>
        <v/>
      </c>
      <c r="AI64" s="275" t="str">
        <f>IFERROR(IF(AND($Q64="",$Z64=""),"",IF($Q64="",IF(AD64="",SUM(AA64:AC64),IF(AD64=0,"0",AD64)),IF($V64="",SUM($AF64:$AH64),IF($V64=0,"0",$K64*IF($O64="",1,$O64)*$V64)))),"-")</f>
        <v/>
      </c>
      <c r="AJ64" s="275" t="str">
        <f>IFERROR(IF(AND($Q64="",$Z64=""),"",IF($Q64="",IF(AE64=0,"-",AE64),IF(W64=0,"0",$K64*IF($O64="",1,$O64)*W64*IF(Y64="",X64,Y64)))),"-")</f>
        <v/>
      </c>
      <c r="AK64" s="56"/>
      <c r="AL64" s="268"/>
      <c r="AM64" s="473"/>
      <c r="AN64" s="268"/>
    </row>
    <row r="65" spans="1:51" s="55" customFormat="1">
      <c r="A65" s="21"/>
      <c r="B65" s="121" t="s">
        <v>71</v>
      </c>
      <c r="C65" s="77">
        <v>1</v>
      </c>
      <c r="D65" s="78" t="s">
        <v>72</v>
      </c>
      <c r="E65" s="124"/>
      <c r="F65" s="124"/>
      <c r="G65" s="124"/>
      <c r="H65" s="124"/>
      <c r="I65" s="79"/>
      <c r="J65" s="259" t="s">
        <v>175</v>
      </c>
      <c r="K65" s="260"/>
      <c r="L65" s="259"/>
      <c r="M65" s="259"/>
      <c r="N65" s="259"/>
      <c r="O65" s="259"/>
      <c r="P65" s="259"/>
      <c r="Q65" s="259"/>
      <c r="R65" s="259"/>
      <c r="S65" s="259"/>
      <c r="T65" s="259"/>
      <c r="U65" s="259"/>
      <c r="V65" s="259"/>
      <c r="W65" s="259"/>
      <c r="X65" s="259"/>
      <c r="Y65" s="259"/>
      <c r="Z65" s="259"/>
      <c r="AA65" s="259"/>
      <c r="AB65" s="259"/>
      <c r="AC65" s="259"/>
      <c r="AD65" s="259"/>
      <c r="AE65" s="259"/>
      <c r="AF65" s="279"/>
      <c r="AG65" s="279"/>
      <c r="AH65" s="279"/>
      <c r="AI65" s="279"/>
      <c r="AJ65" s="279"/>
      <c r="AK65" s="259"/>
      <c r="AL65" s="290" t="s">
        <v>2670</v>
      </c>
      <c r="AM65" s="476"/>
      <c r="AN65" s="672"/>
      <c r="AO65" s="51"/>
      <c r="AP65" s="51"/>
      <c r="AQ65" s="51"/>
      <c r="AR65" s="51"/>
      <c r="AS65" s="51"/>
      <c r="AT65" s="51"/>
      <c r="AU65" s="51"/>
      <c r="AV65" s="51"/>
      <c r="AW65" s="51"/>
      <c r="AX65" s="51"/>
      <c r="AY65" s="51"/>
    </row>
    <row r="66" spans="1:51" s="55" customFormat="1">
      <c r="A66" s="21"/>
      <c r="B66" s="56" t="s">
        <v>71</v>
      </c>
      <c r="C66" s="56">
        <v>1</v>
      </c>
      <c r="D66" s="2079"/>
      <c r="E66" s="2080"/>
      <c r="F66" s="2081"/>
      <c r="G66" s="2072"/>
      <c r="H66" s="2073"/>
      <c r="I66" s="2074"/>
      <c r="J66" s="56"/>
      <c r="K66" s="59"/>
      <c r="L66" s="56"/>
      <c r="M66" s="58"/>
      <c r="N66" s="58"/>
      <c r="O66" s="221" t="str">
        <f t="array" ref="O66">IFERROR(INDEX('Conversion factors_2'!$B$10:$CY$111,MATCH('I - Stationary'!$M66,'Conversion factors_2'!$B$10:$B$111,FALSE),HLOOKUP('I - Stationary'!N66,'Conversion factors_2'!$B$8:$CY$9,2,FALSE)),"")</f>
        <v/>
      </c>
      <c r="P66" s="56"/>
      <c r="Q66" s="56"/>
      <c r="R66" s="221" t="str">
        <f>IFERROR(CONCATENATE("tCO2e/",VLOOKUP($Q66,'Emission factors'!$D:$J,7,FALSE)),"")</f>
        <v/>
      </c>
      <c r="S66" s="221" t="str">
        <f>IFERROR(VLOOKUP($Q66,'Emission factors'!$D:$X,10,FALSE),"")</f>
        <v/>
      </c>
      <c r="T66" s="221" t="str">
        <f>IFERROR(VLOOKUP($Q66,'Emission factors'!$D:$X,12,FALSE),"")</f>
        <v/>
      </c>
      <c r="U66" s="221" t="str">
        <f>IFERROR(VLOOKUP($Q66,'Emission factors'!$D:$X,14,FALSE),"")</f>
        <v/>
      </c>
      <c r="V66" s="221" t="str">
        <f>IFERROR(VLOOKUP($Q66,'Emission factors'!$D:$X,16,FALSE),"")</f>
        <v/>
      </c>
      <c r="W66" s="221" t="str">
        <f>IFERROR(VLOOKUP($Q66,'Emission factors'!$D:$X,18,FALSE),"")</f>
        <v/>
      </c>
      <c r="X66" s="471" t="str">
        <f>IF(K66="","",1)</f>
        <v/>
      </c>
      <c r="Y66" s="56"/>
      <c r="Z66" s="56" t="s">
        <v>982</v>
      </c>
      <c r="AA66" s="56">
        <v>2000000</v>
      </c>
      <c r="AB66" s="56"/>
      <c r="AC66" s="56"/>
      <c r="AD66" s="56"/>
      <c r="AE66" s="56"/>
      <c r="AF66" s="472">
        <f>IFERROR(IF(AND($Q66="",$Z66=""),"",IF($Q66="",IF(AA66=0,"-",AA66),IF(S66=0,"0",$K66*IF($O66="",1,$O66)*S66*IF(Y66="",X66,Y66)))),"-")</f>
        <v>2000000</v>
      </c>
      <c r="AG66" s="472" t="str">
        <f t="shared" ref="AG66:AH67" si="11">IFERROR(IF(AND($Q66="",$Z66=""),"",IF($Q66="",IF(AB66=0,"-",AB66),IF(T66=0,"0",$K66*IF($O66="",1,$O66)*T66))),"-")</f>
        <v>-</v>
      </c>
      <c r="AH66" s="472" t="str">
        <f t="shared" si="11"/>
        <v>-</v>
      </c>
      <c r="AI66" s="472">
        <f>IFERROR(IF(AND($Q66="",$Z66=""),"",IF($Q66="",IF(AD66="",SUM(AA66:AC66),IF(AD66=0,"0",AD66)),IF($V66="",SUM($AF66:$AH66),IF($V66=0,"0",$K66*IF($O66="",1,$O66)*$V66)))),"-")</f>
        <v>2000000</v>
      </c>
      <c r="AJ66" s="472" t="str">
        <f>IFERROR(IF(AND($Q66="",$Z66=""),"",IF($Q66="",IF(AE66=0,"-",AE66),IF(W66=0,"0",$K66*IF($O66="",1,$O66)*W66*IF(Y66="",X66,Y66)))),"-")</f>
        <v>-</v>
      </c>
      <c r="AK66" s="56"/>
      <c r="AL66" s="268"/>
      <c r="AM66" s="473"/>
      <c r="AN66" s="268"/>
      <c r="AO66" s="51"/>
      <c r="AP66" s="51"/>
      <c r="AQ66" s="51"/>
      <c r="AR66" s="51"/>
      <c r="AS66" s="51"/>
      <c r="AT66" s="51"/>
      <c r="AU66" s="51"/>
      <c r="AV66" s="51"/>
      <c r="AW66" s="51"/>
      <c r="AX66" s="51"/>
      <c r="AY66" s="51"/>
    </row>
    <row r="67" spans="1:51" s="55" customFormat="1">
      <c r="A67" s="38"/>
      <c r="B67" s="56" t="s">
        <v>71</v>
      </c>
      <c r="C67" s="56">
        <v>1</v>
      </c>
      <c r="D67" s="2060"/>
      <c r="E67" s="2061"/>
      <c r="F67" s="2062"/>
      <c r="G67" s="2069"/>
      <c r="H67" s="2070"/>
      <c r="I67" s="2071"/>
      <c r="J67" s="56"/>
      <c r="K67" s="59"/>
      <c r="L67" s="56"/>
      <c r="M67" s="58"/>
      <c r="N67" s="58"/>
      <c r="O67" s="221" t="str">
        <f t="array" ref="O67">IFERROR(INDEX('Conversion factors_2'!$B$10:$CY$111,MATCH('I - Stationary'!$M67,'Conversion factors_2'!$B$10:$B$111,FALSE),HLOOKUP('I - Stationary'!N67,'Conversion factors_2'!$B$8:$CY$9,2,FALSE)),"")</f>
        <v/>
      </c>
      <c r="P67" s="56"/>
      <c r="Q67" s="56"/>
      <c r="R67" s="221" t="str">
        <f>IFERROR(CONCATENATE("tCO2e/",VLOOKUP($Q67,'Emission factors'!$D:$J,7,FALSE)),"")</f>
        <v/>
      </c>
      <c r="S67" s="221" t="str">
        <f>IFERROR(VLOOKUP($Q67,'Emission factors'!$D:$X,10,FALSE),"")</f>
        <v/>
      </c>
      <c r="T67" s="221" t="str">
        <f>IFERROR(VLOOKUP($Q67,'Emission factors'!$D:$X,12,FALSE),"")</f>
        <v/>
      </c>
      <c r="U67" s="221" t="str">
        <f>IFERROR(VLOOKUP($Q67,'Emission factors'!$D:$X,14,FALSE),"")</f>
        <v/>
      </c>
      <c r="V67" s="221" t="str">
        <f>IFERROR(VLOOKUP($Q67,'Emission factors'!$D:$X,16,FALSE),"")</f>
        <v/>
      </c>
      <c r="W67" s="221" t="str">
        <f>IFERROR(VLOOKUP($Q67,'Emission factors'!$D:$X,18,FALSE),"")</f>
        <v/>
      </c>
      <c r="X67" s="471" t="str">
        <f>IF(K67="","",1)</f>
        <v/>
      </c>
      <c r="Y67" s="56"/>
      <c r="Z67" s="56"/>
      <c r="AA67" s="56"/>
      <c r="AB67" s="56"/>
      <c r="AC67" s="56"/>
      <c r="AD67" s="56"/>
      <c r="AE67" s="56"/>
      <c r="AF67" s="472" t="str">
        <f>IFERROR(IF(AND($Q67="",$Z67=""),"",IF($Q67="",IF(AA67=0,"-",AA67),IF(S67=0,"0",$K67*IF($O67="",1,$O67)*S67*IF(Y67="",X67,Y67)))),"-")</f>
        <v/>
      </c>
      <c r="AG67" s="472" t="str">
        <f t="shared" si="11"/>
        <v/>
      </c>
      <c r="AH67" s="472" t="str">
        <f t="shared" si="11"/>
        <v/>
      </c>
      <c r="AI67" s="472" t="str">
        <f>IFERROR(IF(AND($Q67="",$Z67=""),"",IF($Q67="",IF(AD67="",SUM(AA67:AC67),IF(AD67=0,"0",AD67)),IF($V67="",SUM($AF67:$AH67),IF($V67=0,"0",$K67*IF($O67="",1,$O67)*$V67)))),"-")</f>
        <v/>
      </c>
      <c r="AJ67" s="472" t="str">
        <f>IFERROR(IF(AND($Q67="",$Z67=""),"",IF($Q67="",IF(AE67=0,"-",AE67),IF(W67=0,"0",$K67*IF($O67="",1,$O67)*W67*IF(Y67="",X67,Y67)))),"-")</f>
        <v/>
      </c>
      <c r="AK67" s="56"/>
      <c r="AL67" s="268"/>
      <c r="AM67" s="473"/>
      <c r="AN67" s="268"/>
      <c r="AO67" s="51"/>
      <c r="AP67" s="51"/>
      <c r="AQ67" s="51"/>
      <c r="AR67" s="51"/>
      <c r="AS67" s="51"/>
      <c r="AT67" s="51"/>
      <c r="AU67" s="51"/>
      <c r="AV67" s="51"/>
      <c r="AW67" s="51"/>
      <c r="AX67" s="51"/>
      <c r="AY67" s="51"/>
    </row>
    <row r="68" spans="1:51" s="22" customFormat="1">
      <c r="B68" s="7"/>
      <c r="C68" s="7"/>
      <c r="D68" s="8"/>
      <c r="E68" s="8"/>
      <c r="F68" s="8"/>
      <c r="G68" s="8"/>
      <c r="H68" s="8"/>
      <c r="I68" s="8"/>
      <c r="J68" s="7"/>
      <c r="K68" s="7"/>
      <c r="L68" s="7"/>
      <c r="M68" s="7"/>
      <c r="N68" s="7"/>
      <c r="O68" s="7"/>
      <c r="P68" s="7"/>
      <c r="Q68" s="7"/>
      <c r="R68" s="7"/>
      <c r="S68" s="7"/>
      <c r="T68" s="7"/>
      <c r="U68" s="7"/>
      <c r="V68" s="7"/>
      <c r="W68" s="7"/>
      <c r="X68" s="7"/>
      <c r="Y68" s="7"/>
      <c r="Z68" s="7"/>
      <c r="AA68" s="7"/>
      <c r="AB68" s="7"/>
      <c r="AC68" s="7"/>
      <c r="AD68" s="7"/>
      <c r="AE68" s="7"/>
      <c r="AF68" s="10"/>
      <c r="AG68" s="10"/>
      <c r="AH68" s="10"/>
      <c r="AI68" s="10"/>
      <c r="AJ68" s="10"/>
      <c r="AK68" s="7"/>
      <c r="AL68" s="256"/>
      <c r="AM68" s="256"/>
      <c r="AN68" s="256"/>
    </row>
    <row r="69" spans="1:51" s="21" customFormat="1" ht="18">
      <c r="B69" s="465" t="s">
        <v>231</v>
      </c>
      <c r="C69" s="17"/>
      <c r="D69" s="18"/>
      <c r="E69" s="18"/>
      <c r="F69" s="18"/>
      <c r="G69" s="18"/>
      <c r="H69" s="18"/>
      <c r="I69" s="18"/>
      <c r="J69" s="19"/>
      <c r="K69" s="17"/>
      <c r="L69" s="17"/>
      <c r="M69" s="17"/>
      <c r="N69" s="17"/>
      <c r="O69" s="17"/>
      <c r="P69" s="17"/>
      <c r="Q69" s="17"/>
      <c r="R69" s="17"/>
      <c r="S69" s="17"/>
      <c r="T69" s="17"/>
      <c r="U69" s="17"/>
      <c r="V69" s="17"/>
      <c r="W69" s="17"/>
      <c r="X69" s="451"/>
      <c r="Y69" s="451"/>
      <c r="Z69" s="17"/>
      <c r="AA69" s="17"/>
      <c r="AB69" s="17"/>
      <c r="AC69" s="17"/>
      <c r="AD69" s="17"/>
      <c r="AE69" s="17"/>
      <c r="AF69" s="28"/>
      <c r="AG69" s="28"/>
      <c r="AH69" s="28"/>
      <c r="AI69" s="28"/>
      <c r="AJ69" s="28"/>
      <c r="AK69" s="19"/>
      <c r="AL69" s="254"/>
      <c r="AM69" s="254"/>
      <c r="AN69" s="254"/>
    </row>
    <row r="70" spans="1:51" s="21" customFormat="1">
      <c r="B70" s="17"/>
      <c r="C70" s="17"/>
      <c r="D70" s="18"/>
      <c r="E70" s="18"/>
      <c r="F70" s="18"/>
      <c r="G70" s="18"/>
      <c r="H70" s="18"/>
      <c r="I70" s="18"/>
      <c r="J70" s="19"/>
      <c r="K70" s="17"/>
      <c r="L70" s="17"/>
      <c r="M70" s="17"/>
      <c r="N70" s="17"/>
      <c r="O70" s="17"/>
      <c r="P70" s="17"/>
      <c r="Q70" s="17"/>
      <c r="R70" s="17"/>
      <c r="S70" s="17"/>
      <c r="T70" s="17"/>
      <c r="U70" s="17"/>
      <c r="V70" s="17"/>
      <c r="W70" s="17"/>
      <c r="X70" s="451"/>
      <c r="Y70" s="451"/>
      <c r="Z70" s="17"/>
      <c r="AA70" s="17"/>
      <c r="AB70" s="17"/>
      <c r="AC70" s="17"/>
      <c r="AD70" s="17"/>
      <c r="AE70" s="17"/>
      <c r="AF70" s="28"/>
      <c r="AG70" s="28"/>
      <c r="AH70" s="28"/>
      <c r="AI70" s="28"/>
      <c r="AJ70" s="28"/>
      <c r="AK70" s="19"/>
      <c r="AL70" s="254"/>
      <c r="AM70" s="254"/>
      <c r="AN70" s="254"/>
    </row>
    <row r="71" spans="1:51" s="5" customFormat="1" ht="16" customHeight="1">
      <c r="A71" s="25"/>
      <c r="B71" s="2065" t="s">
        <v>37</v>
      </c>
      <c r="C71" s="2065" t="s">
        <v>38</v>
      </c>
      <c r="D71" s="2065" t="s">
        <v>242</v>
      </c>
      <c r="E71" s="2065"/>
      <c r="F71" s="2065"/>
      <c r="G71" s="2065"/>
      <c r="H71" s="2065"/>
      <c r="I71" s="2065"/>
      <c r="J71" s="2066" t="s">
        <v>297</v>
      </c>
      <c r="K71" s="2095" t="s">
        <v>169</v>
      </c>
      <c r="L71" s="2096"/>
      <c r="M71" s="2098" t="s">
        <v>841</v>
      </c>
      <c r="N71" s="2099"/>
      <c r="O71" s="2100"/>
      <c r="P71" s="2066" t="s">
        <v>302</v>
      </c>
      <c r="Q71" s="2087" t="s">
        <v>782</v>
      </c>
      <c r="R71" s="2063" t="s">
        <v>782</v>
      </c>
      <c r="S71" s="2063"/>
      <c r="T71" s="2063"/>
      <c r="U71" s="2063"/>
      <c r="V71" s="2063"/>
      <c r="W71" s="2064"/>
      <c r="X71" s="2087" t="s">
        <v>1538</v>
      </c>
      <c r="Y71" s="2089" t="s">
        <v>1539</v>
      </c>
      <c r="Z71" s="2093" t="s">
        <v>928</v>
      </c>
      <c r="AA71" s="2083" t="s">
        <v>934</v>
      </c>
      <c r="AB71" s="2083"/>
      <c r="AC71" s="2083"/>
      <c r="AD71" s="2083"/>
      <c r="AE71" s="2083"/>
      <c r="AF71" s="2097" t="s">
        <v>289</v>
      </c>
      <c r="AG71" s="2097"/>
      <c r="AH71" s="2097"/>
      <c r="AI71" s="2097"/>
      <c r="AJ71" s="2097"/>
      <c r="AK71" s="895" t="s">
        <v>41</v>
      </c>
      <c r="AL71" s="2075" t="s">
        <v>937</v>
      </c>
      <c r="AM71" s="2093" t="s">
        <v>723</v>
      </c>
      <c r="AN71" s="2087" t="s">
        <v>826</v>
      </c>
      <c r="AO71" s="14"/>
      <c r="AP71" s="14"/>
      <c r="AQ71" s="14"/>
      <c r="AR71" s="14"/>
      <c r="AS71" s="14"/>
      <c r="AT71" s="14"/>
      <c r="AU71" s="14"/>
      <c r="AV71" s="14"/>
      <c r="AW71" s="14"/>
      <c r="AX71" s="14"/>
      <c r="AY71" s="14"/>
    </row>
    <row r="72" spans="1:51" s="5" customFormat="1" ht="17">
      <c r="A72" s="25"/>
      <c r="B72" s="2065"/>
      <c r="C72" s="2065"/>
      <c r="D72" s="2065" t="s">
        <v>243</v>
      </c>
      <c r="E72" s="2065"/>
      <c r="F72" s="2065"/>
      <c r="G72" s="2065" t="s">
        <v>241</v>
      </c>
      <c r="H72" s="2065"/>
      <c r="I72" s="2065"/>
      <c r="J72" s="2065"/>
      <c r="K72" s="633" t="s">
        <v>170</v>
      </c>
      <c r="L72" s="633" t="s">
        <v>171</v>
      </c>
      <c r="M72" s="659" t="s">
        <v>813</v>
      </c>
      <c r="N72" s="659" t="s">
        <v>814</v>
      </c>
      <c r="O72" s="659" t="s">
        <v>927</v>
      </c>
      <c r="P72" s="2065"/>
      <c r="Q72" s="2088"/>
      <c r="R72" s="660" t="s">
        <v>171</v>
      </c>
      <c r="S72" s="661" t="s">
        <v>929</v>
      </c>
      <c r="T72" s="661" t="s">
        <v>930</v>
      </c>
      <c r="U72" s="661" t="s">
        <v>931</v>
      </c>
      <c r="V72" s="661" t="s">
        <v>932</v>
      </c>
      <c r="W72" s="661" t="s">
        <v>933</v>
      </c>
      <c r="X72" s="2088" t="s">
        <v>1023</v>
      </c>
      <c r="Y72" s="2090"/>
      <c r="Z72" s="2094"/>
      <c r="AA72" s="661" t="s">
        <v>929</v>
      </c>
      <c r="AB72" s="661" t="s">
        <v>930</v>
      </c>
      <c r="AC72" s="661" t="s">
        <v>931</v>
      </c>
      <c r="AD72" s="661" t="s">
        <v>932</v>
      </c>
      <c r="AE72" s="661" t="s">
        <v>933</v>
      </c>
      <c r="AF72" s="662" t="s">
        <v>290</v>
      </c>
      <c r="AG72" s="662" t="s">
        <v>291</v>
      </c>
      <c r="AH72" s="662" t="s">
        <v>292</v>
      </c>
      <c r="AI72" s="662" t="s">
        <v>293</v>
      </c>
      <c r="AJ72" s="662" t="s">
        <v>294</v>
      </c>
      <c r="AK72" s="633" t="s">
        <v>44</v>
      </c>
      <c r="AL72" s="2075"/>
      <c r="AM72" s="2094"/>
      <c r="AN72" s="2088"/>
      <c r="AO72" s="14"/>
      <c r="AP72" s="14"/>
      <c r="AQ72" s="14"/>
      <c r="AR72" s="14"/>
      <c r="AS72" s="14"/>
      <c r="AT72" s="14"/>
      <c r="AU72" s="14"/>
      <c r="AV72" s="14"/>
      <c r="AW72" s="14"/>
      <c r="AX72" s="14"/>
      <c r="AY72" s="14"/>
    </row>
    <row r="73" spans="1:51" s="55" customFormat="1">
      <c r="A73" s="21"/>
      <c r="B73" s="84" t="s">
        <v>75</v>
      </c>
      <c r="C73" s="84">
        <v>1</v>
      </c>
      <c r="D73" s="61" t="s">
        <v>50</v>
      </c>
      <c r="E73" s="105"/>
      <c r="F73" s="105"/>
      <c r="G73" s="105"/>
      <c r="H73" s="105"/>
      <c r="I73" s="62"/>
      <c r="J73" s="656" t="s">
        <v>175</v>
      </c>
      <c r="K73" s="54"/>
      <c r="L73" s="54"/>
      <c r="M73" s="54"/>
      <c r="N73" s="54"/>
      <c r="O73" s="54"/>
      <c r="P73" s="54"/>
      <c r="Q73" s="54"/>
      <c r="R73" s="54"/>
      <c r="S73" s="54"/>
      <c r="T73" s="54"/>
      <c r="U73" s="54"/>
      <c r="V73" s="54"/>
      <c r="W73" s="54"/>
      <c r="X73" s="54"/>
      <c r="Y73" s="54"/>
      <c r="Z73" s="54"/>
      <c r="AA73" s="54"/>
      <c r="AB73" s="54"/>
      <c r="AC73" s="54"/>
      <c r="AD73" s="54"/>
      <c r="AE73" s="54"/>
      <c r="AF73" s="281"/>
      <c r="AG73" s="281"/>
      <c r="AH73" s="281"/>
      <c r="AI73" s="281"/>
      <c r="AJ73" s="281"/>
      <c r="AK73" s="54"/>
      <c r="AL73" s="657" t="s">
        <v>1001</v>
      </c>
      <c r="AM73" s="673"/>
      <c r="AN73" s="664"/>
      <c r="AO73" s="51"/>
      <c r="AP73" s="51"/>
      <c r="AQ73" s="51"/>
      <c r="AR73" s="51"/>
      <c r="AS73" s="51"/>
      <c r="AT73" s="51"/>
      <c r="AU73" s="51"/>
      <c r="AV73" s="51"/>
      <c r="AW73" s="51"/>
      <c r="AX73" s="51"/>
      <c r="AY73" s="51"/>
    </row>
    <row r="74" spans="1:51" s="21" customFormat="1">
      <c r="B74" s="58" t="s">
        <v>75</v>
      </c>
      <c r="C74" s="58">
        <v>1</v>
      </c>
      <c r="D74" s="2060"/>
      <c r="E74" s="2061"/>
      <c r="F74" s="2062"/>
      <c r="G74" s="2069"/>
      <c r="H74" s="2070"/>
      <c r="I74" s="2071"/>
      <c r="J74" s="56"/>
      <c r="K74" s="57"/>
      <c r="L74" s="58"/>
      <c r="M74" s="58"/>
      <c r="N74" s="58"/>
      <c r="O74" s="221" t="str">
        <f t="array" ref="O74">IFERROR(INDEX('Conversion factors_2'!$B$10:$CY$111,MATCH('I - Stationary'!$M74,'Conversion factors_2'!$B$10:$B$111,FALSE),HLOOKUP('I - Stationary'!N74,'Conversion factors_2'!$B$8:$CY$9,2,FALSE)),"")</f>
        <v/>
      </c>
      <c r="P74" s="58"/>
      <c r="Q74" s="58"/>
      <c r="R74" s="221" t="str">
        <f>IFERROR(CONCATENATE("tCO2e/",VLOOKUP($Q74,'Emission factors'!$D:$J,7,FALSE)),"")</f>
        <v/>
      </c>
      <c r="S74" s="221" t="str">
        <f>IFERROR(VLOOKUP($Q74,'Emission factors'!$D:$X,10,FALSE),"")</f>
        <v/>
      </c>
      <c r="T74" s="221" t="str">
        <f>IFERROR(VLOOKUP($Q74,'Emission factors'!$D:$X,12,FALSE),"")</f>
        <v/>
      </c>
      <c r="U74" s="221" t="str">
        <f>IFERROR(VLOOKUP($Q74,'Emission factors'!$D:$X,14,FALSE),"")</f>
        <v/>
      </c>
      <c r="V74" s="221" t="str">
        <f>IFERROR(VLOOKUP($Q74,'Emission factors'!$D:$X,16,FALSE),"")</f>
        <v/>
      </c>
      <c r="W74" s="221" t="str">
        <f>IFERROR(VLOOKUP($Q74,'Emission factors'!$D:$X,18,FALSE),"")</f>
        <v/>
      </c>
      <c r="X74" s="221" t="str">
        <f>IF(K74="","",1)</f>
        <v/>
      </c>
      <c r="Y74" s="58"/>
      <c r="Z74" s="58"/>
      <c r="AA74" s="58"/>
      <c r="AB74" s="58"/>
      <c r="AC74" s="58"/>
      <c r="AD74" s="58"/>
      <c r="AE74" s="58"/>
      <c r="AF74" s="275" t="str">
        <f>IFERROR(IF(AND($Q74="",$Z74=""),"",IF($Q74="",IF(AA74=0,"-",AA74),IF(S74=0,"0",$K74*IF($O74="",1,$O74)*S74*IF(Y74="",X74,Y74)))),"-")</f>
        <v/>
      </c>
      <c r="AG74" s="275" t="str">
        <f t="shared" ref="AG74:AH75" si="12">IFERROR(IF(AND($Q74="",$Z74=""),"",IF($Q74="",IF(AB74=0,"-",AB74),IF(T74=0,"0",$K74*IF($O74="",1,$O74)*T74))),"-")</f>
        <v/>
      </c>
      <c r="AH74" s="275" t="str">
        <f t="shared" si="12"/>
        <v/>
      </c>
      <c r="AI74" s="275" t="str">
        <f>IFERROR(IF(AND($Q74="",$Z74=""),"",IF($Q74="",IF(AD74="",SUM(AA74:AC74),IF(AD74=0,"0",AD74)),IF($V74="",SUM($AF74:$AH74),IF($V74=0,"0",$K74*IF($O74="",1,$O74)*$V74)))),"-")</f>
        <v/>
      </c>
      <c r="AJ74" s="275" t="str">
        <f>IFERROR(IF(AND($Q74="",$Z74=""),"",IF($Q74="",IF(AE74=0,"-",AE74),IF(W74=0,"0",$K74*IF($O74="",1,$O74)*W74*IF(Y74="",X74,Y74)))),"-")</f>
        <v/>
      </c>
      <c r="AK74" s="58"/>
      <c r="AL74" s="225"/>
      <c r="AM74" s="473"/>
      <c r="AN74" s="268"/>
    </row>
    <row r="75" spans="1:51" s="21" customFormat="1">
      <c r="A75" s="38"/>
      <c r="B75" s="56" t="s">
        <v>75</v>
      </c>
      <c r="C75" s="56">
        <v>1</v>
      </c>
      <c r="D75" s="2060"/>
      <c r="E75" s="2061"/>
      <c r="F75" s="2062"/>
      <c r="G75" s="2069"/>
      <c r="H75" s="2070"/>
      <c r="I75" s="2071"/>
      <c r="J75" s="56"/>
      <c r="K75" s="57"/>
      <c r="L75" s="58"/>
      <c r="M75" s="58"/>
      <c r="N75" s="58"/>
      <c r="O75" s="221" t="str">
        <f t="array" ref="O75">IFERROR(INDEX('Conversion factors_2'!$B$10:$CY$111,MATCH('I - Stationary'!$M75,'Conversion factors_2'!$B$10:$B$111,FALSE),HLOOKUP('I - Stationary'!N75,'Conversion factors_2'!$B$8:$CY$9,2,FALSE)),"")</f>
        <v/>
      </c>
      <c r="P75" s="58"/>
      <c r="Q75" s="58"/>
      <c r="R75" s="221" t="str">
        <f>IFERROR(CONCATENATE("tCO2e/",VLOOKUP($Q75,'Emission factors'!$D:$J,7,FALSE)),"")</f>
        <v/>
      </c>
      <c r="S75" s="221" t="str">
        <f>IFERROR(VLOOKUP($Q75,'Emission factors'!$D:$X,10,FALSE),"")</f>
        <v/>
      </c>
      <c r="T75" s="221" t="str">
        <f>IFERROR(VLOOKUP($Q75,'Emission factors'!$D:$X,12,FALSE),"")</f>
        <v/>
      </c>
      <c r="U75" s="221" t="str">
        <f>IFERROR(VLOOKUP($Q75,'Emission factors'!$D:$X,14,FALSE),"")</f>
        <v/>
      </c>
      <c r="V75" s="221" t="str">
        <f>IFERROR(VLOOKUP($Q75,'Emission factors'!$D:$X,16,FALSE),"")</f>
        <v/>
      </c>
      <c r="W75" s="221" t="str">
        <f>IFERROR(VLOOKUP($Q75,'Emission factors'!$D:$X,18,FALSE),"")</f>
        <v/>
      </c>
      <c r="X75" s="221" t="str">
        <f>IF(K75="","",1)</f>
        <v/>
      </c>
      <c r="Y75" s="58"/>
      <c r="Z75" s="58"/>
      <c r="AA75" s="58"/>
      <c r="AB75" s="58"/>
      <c r="AC75" s="58"/>
      <c r="AD75" s="58"/>
      <c r="AE75" s="58"/>
      <c r="AF75" s="275" t="str">
        <f>IFERROR(IF(AND($Q75="",$Z75=""),"",IF($Q75="",IF(AA75=0,"-",AA75),IF(S75=0,"0",$K75*IF($O75="",1,$O75)*S75*IF(Y75="",X75,Y75)))),"-")</f>
        <v/>
      </c>
      <c r="AG75" s="275" t="str">
        <f t="shared" si="12"/>
        <v/>
      </c>
      <c r="AH75" s="275" t="str">
        <f t="shared" si="12"/>
        <v/>
      </c>
      <c r="AI75" s="275" t="str">
        <f>IFERROR(IF(AND($Q75="",$Z75=""),"",IF($Q75="",IF(AD75="",SUM(AA75:AC75),IF(AD75=0,"0",AD75)),IF($V75="",SUM($AF75:$AH75),IF($V75=0,"0",$K75*IF($O75="",1,$O75)*$V75)))),"-")</f>
        <v/>
      </c>
      <c r="AJ75" s="275" t="str">
        <f>IFERROR(IF(AND($Q75="",$Z75=""),"",IF($Q75="",IF(AE75=0,"-",AE75),IF(W75=0,"0",$K75*IF($O75="",1,$O75)*W75*IF(Y75="",X75,Y75)))),"-")</f>
        <v/>
      </c>
      <c r="AK75" s="58"/>
      <c r="AL75" s="255"/>
      <c r="AM75" s="473"/>
      <c r="AN75" s="268"/>
    </row>
    <row r="76" spans="1:51" s="55" customFormat="1">
      <c r="A76" s="21"/>
      <c r="B76" s="73" t="s">
        <v>76</v>
      </c>
      <c r="C76" s="73">
        <v>2</v>
      </c>
      <c r="D76" s="61" t="s">
        <v>52</v>
      </c>
      <c r="E76" s="105"/>
      <c r="F76" s="105"/>
      <c r="G76" s="105"/>
      <c r="H76" s="105"/>
      <c r="I76" s="62"/>
      <c r="J76" s="63" t="s">
        <v>175</v>
      </c>
      <c r="K76" s="64"/>
      <c r="L76" s="64"/>
      <c r="M76" s="64"/>
      <c r="N76" s="64"/>
      <c r="O76" s="64"/>
      <c r="P76" s="64"/>
      <c r="Q76" s="64"/>
      <c r="R76" s="64"/>
      <c r="S76" s="64"/>
      <c r="T76" s="64"/>
      <c r="U76" s="64"/>
      <c r="V76" s="64"/>
      <c r="W76" s="64"/>
      <c r="X76" s="64"/>
      <c r="Y76" s="64"/>
      <c r="Z76" s="64"/>
      <c r="AA76" s="64"/>
      <c r="AB76" s="64"/>
      <c r="AC76" s="64"/>
      <c r="AD76" s="64"/>
      <c r="AE76" s="64"/>
      <c r="AF76" s="276"/>
      <c r="AG76" s="276"/>
      <c r="AH76" s="276"/>
      <c r="AI76" s="276"/>
      <c r="AJ76" s="276"/>
      <c r="AK76" s="54"/>
      <c r="AL76" s="227" t="s">
        <v>1002</v>
      </c>
      <c r="AM76" s="474"/>
      <c r="AN76" s="665"/>
      <c r="AO76" s="51"/>
      <c r="AP76" s="51"/>
      <c r="AQ76" s="51"/>
      <c r="AR76" s="51"/>
      <c r="AS76" s="51"/>
      <c r="AT76" s="51"/>
      <c r="AU76" s="51"/>
      <c r="AV76" s="51"/>
      <c r="AW76" s="51"/>
      <c r="AX76" s="51"/>
      <c r="AY76" s="51"/>
    </row>
    <row r="77" spans="1:51" s="21" customFormat="1">
      <c r="B77" s="58" t="s">
        <v>76</v>
      </c>
      <c r="C77" s="58">
        <v>2</v>
      </c>
      <c r="D77" s="2060"/>
      <c r="E77" s="2061"/>
      <c r="F77" s="2062"/>
      <c r="G77" s="2069"/>
      <c r="H77" s="2070"/>
      <c r="I77" s="2071"/>
      <c r="J77" s="56"/>
      <c r="K77" s="57"/>
      <c r="L77" s="58"/>
      <c r="M77" s="58"/>
      <c r="N77" s="58"/>
      <c r="O77" s="221" t="str">
        <f t="array" ref="O77">IFERROR(INDEX('Conversion factors_2'!$B$10:$CY$111,MATCH('I - Stationary'!$M77,'Conversion factors_2'!$B$10:$B$111,FALSE),HLOOKUP('I - Stationary'!N77,'Conversion factors_2'!$B$8:$CY$9,2,FALSE)),"")</f>
        <v/>
      </c>
      <c r="P77" s="58"/>
      <c r="Q77" s="58"/>
      <c r="R77" s="221" t="str">
        <f>IFERROR(CONCATENATE("tCO2e/",VLOOKUP($Q77,'Emission factors'!$D:$J,7,FALSE)),"")</f>
        <v/>
      </c>
      <c r="S77" s="221" t="str">
        <f>IFERROR(VLOOKUP($Q77,'Emission factors'!$D:$X,10,FALSE),"")</f>
        <v/>
      </c>
      <c r="T77" s="221" t="str">
        <f>IFERROR(VLOOKUP($Q77,'Emission factors'!$D:$X,12,FALSE),"")</f>
        <v/>
      </c>
      <c r="U77" s="221" t="str">
        <f>IFERROR(VLOOKUP($Q77,'Emission factors'!$D:$X,14,FALSE),"")</f>
        <v/>
      </c>
      <c r="V77" s="221" t="str">
        <f>IFERROR(VLOOKUP($Q77,'Emission factors'!$D:$X,16,FALSE),"")</f>
        <v/>
      </c>
      <c r="W77" s="221" t="str">
        <f>IFERROR(VLOOKUP($Q77,'Emission factors'!$D:$X,18,FALSE),"")</f>
        <v/>
      </c>
      <c r="X77" s="221" t="str">
        <f>IF(K77="","",1)</f>
        <v/>
      </c>
      <c r="Y77" s="58"/>
      <c r="Z77" s="58"/>
      <c r="AA77" s="58"/>
      <c r="AB77" s="58"/>
      <c r="AC77" s="58"/>
      <c r="AD77" s="58"/>
      <c r="AE77" s="58"/>
      <c r="AF77" s="275" t="str">
        <f>IFERROR(IF(AND($Q77="",$Z77=""),"",IF($Q77="",IF(AA77=0,"-",AA77),IF(S77=0,"0",$K77*IF($O77="",1,$O77)*S77*IF(Y77="",X77,Y77)))),"-")</f>
        <v/>
      </c>
      <c r="AG77" s="275" t="str">
        <f t="shared" ref="AG77:AH78" si="13">IFERROR(IF(AND($Q77="",$Z77=""),"",IF($Q77="",IF(AB77=0,"-",AB77),IF(T77=0,"0",$K77*IF($O77="",1,$O77)*T77))),"-")</f>
        <v/>
      </c>
      <c r="AH77" s="275" t="str">
        <f t="shared" si="13"/>
        <v/>
      </c>
      <c r="AI77" s="275" t="str">
        <f>IFERROR(IF(AND($Q77="",$Z77=""),"",IF($Q77="",IF(AD77="",SUM(AA77:AC77),IF(AD77=0,"0",AD77)),IF($V77="",SUM($AF77:$AH77),IF($V77=0,"0",$K77*IF($O77="",1,$O77)*$V77)))),"-")</f>
        <v/>
      </c>
      <c r="AJ77" s="275" t="str">
        <f>IFERROR(IF(AND($Q77="",$Z77=""),"",IF($Q77="",IF(AE77=0,"-",AE77),IF(W77=0,"0",$K77*IF($O77="",1,$O77)*W77*IF(Y77="",X77,Y77)))),"-")</f>
        <v/>
      </c>
      <c r="AK77" s="58"/>
      <c r="AL77" s="225"/>
      <c r="AM77" s="473"/>
      <c r="AN77" s="268"/>
    </row>
    <row r="78" spans="1:51" s="21" customFormat="1">
      <c r="A78" s="38"/>
      <c r="B78" s="56" t="s">
        <v>76</v>
      </c>
      <c r="C78" s="56">
        <v>2</v>
      </c>
      <c r="D78" s="2060"/>
      <c r="E78" s="2061"/>
      <c r="F78" s="2062"/>
      <c r="G78" s="2069"/>
      <c r="H78" s="2070"/>
      <c r="I78" s="2071"/>
      <c r="J78" s="56"/>
      <c r="K78" s="57"/>
      <c r="L78" s="58"/>
      <c r="M78" s="58"/>
      <c r="N78" s="58"/>
      <c r="O78" s="221" t="str">
        <f t="array" ref="O78">IFERROR(INDEX('Conversion factors_2'!$B$10:$CY$111,MATCH('I - Stationary'!$M78,'Conversion factors_2'!$B$10:$B$111,FALSE),HLOOKUP('I - Stationary'!N78,'Conversion factors_2'!$B$8:$CY$9,2,FALSE)),"")</f>
        <v/>
      </c>
      <c r="P78" s="58"/>
      <c r="Q78" s="58"/>
      <c r="R78" s="221" t="str">
        <f>IFERROR(CONCATENATE("tCO2e/",VLOOKUP($Q78,'Emission factors'!$D:$J,7,FALSE)),"")</f>
        <v/>
      </c>
      <c r="S78" s="221" t="str">
        <f>IFERROR(VLOOKUP($Q78,'Emission factors'!$D:$X,10,FALSE),"")</f>
        <v/>
      </c>
      <c r="T78" s="221" t="str">
        <f>IFERROR(VLOOKUP($Q78,'Emission factors'!$D:$X,12,FALSE),"")</f>
        <v/>
      </c>
      <c r="U78" s="221" t="str">
        <f>IFERROR(VLOOKUP($Q78,'Emission factors'!$D:$X,14,FALSE),"")</f>
        <v/>
      </c>
      <c r="V78" s="221" t="str">
        <f>IFERROR(VLOOKUP($Q78,'Emission factors'!$D:$X,16,FALSE),"")</f>
        <v/>
      </c>
      <c r="W78" s="221" t="str">
        <f>IFERROR(VLOOKUP($Q78,'Emission factors'!$D:$X,18,FALSE),"")</f>
        <v/>
      </c>
      <c r="X78" s="221" t="str">
        <f>IF(K78="","",1)</f>
        <v/>
      </c>
      <c r="Y78" s="58"/>
      <c r="Z78" s="58"/>
      <c r="AA78" s="58"/>
      <c r="AB78" s="58"/>
      <c r="AC78" s="58"/>
      <c r="AD78" s="58"/>
      <c r="AE78" s="58"/>
      <c r="AF78" s="275" t="str">
        <f>IFERROR(IF(AND($Q78="",$Z78=""),"",IF($Q78="",IF(AA78=0,"-",AA78),IF(S78=0,"0",$K78*IF($O78="",1,$O78)*S78*IF(Y78="",X78,Y78)))),"-")</f>
        <v/>
      </c>
      <c r="AG78" s="275" t="str">
        <f t="shared" si="13"/>
        <v/>
      </c>
      <c r="AH78" s="275" t="str">
        <f t="shared" si="13"/>
        <v/>
      </c>
      <c r="AI78" s="275" t="str">
        <f>IFERROR(IF(AND($Q78="",$Z78=""),"",IF($Q78="",IF(AD78="",SUM(AA78:AC78),IF(AD78=0,"0",AD78)),IF($V78="",SUM($AF78:$AH78),IF($V78=0,"0",$K78*IF($O78="",1,$O78)*$V78)))),"-")</f>
        <v/>
      </c>
      <c r="AJ78" s="275" t="str">
        <f>IFERROR(IF(AND($Q78="",$Z78=""),"",IF($Q78="",IF(AE78=0,"-",AE78),IF(W78=0,"0",$K78*IF($O78="",1,$O78)*W78*IF(Y78="",X78,Y78)))),"-")</f>
        <v/>
      </c>
      <c r="AK78" s="58"/>
      <c r="AL78" s="255"/>
      <c r="AM78" s="473"/>
      <c r="AN78" s="268"/>
    </row>
    <row r="79" spans="1:51" s="55" customFormat="1">
      <c r="A79" s="21"/>
      <c r="B79" s="76" t="s">
        <v>77</v>
      </c>
      <c r="C79" s="76">
        <v>3</v>
      </c>
      <c r="D79" s="67" t="s">
        <v>295</v>
      </c>
      <c r="E79" s="650"/>
      <c r="F79" s="650"/>
      <c r="G79" s="650"/>
      <c r="H79" s="650"/>
      <c r="I79" s="68"/>
      <c r="J79" s="69" t="s">
        <v>175</v>
      </c>
      <c r="K79" s="70"/>
      <c r="L79" s="69"/>
      <c r="M79" s="69"/>
      <c r="N79" s="69"/>
      <c r="O79" s="69"/>
      <c r="P79" s="69"/>
      <c r="Q79" s="69"/>
      <c r="R79" s="69"/>
      <c r="S79" s="69"/>
      <c r="T79" s="69"/>
      <c r="U79" s="69"/>
      <c r="V79" s="69"/>
      <c r="W79" s="69"/>
      <c r="X79" s="69"/>
      <c r="Y79" s="69"/>
      <c r="Z79" s="69"/>
      <c r="AA79" s="69"/>
      <c r="AB79" s="69"/>
      <c r="AC79" s="69"/>
      <c r="AD79" s="69"/>
      <c r="AE79" s="69"/>
      <c r="AF79" s="277"/>
      <c r="AG79" s="277"/>
      <c r="AH79" s="277"/>
      <c r="AI79" s="277"/>
      <c r="AJ79" s="277"/>
      <c r="AK79" s="69"/>
      <c r="AL79" s="228" t="s">
        <v>1003</v>
      </c>
      <c r="AM79" s="475"/>
      <c r="AN79" s="666"/>
      <c r="AO79" s="51"/>
      <c r="AP79" s="51"/>
      <c r="AQ79" s="51"/>
      <c r="AR79" s="51"/>
      <c r="AS79" s="51"/>
      <c r="AT79" s="51"/>
      <c r="AU79" s="51"/>
      <c r="AV79" s="51"/>
      <c r="AW79" s="51"/>
      <c r="AX79" s="51"/>
      <c r="AY79" s="51"/>
    </row>
    <row r="80" spans="1:51" s="21" customFormat="1">
      <c r="B80" s="58" t="s">
        <v>77</v>
      </c>
      <c r="C80" s="58">
        <v>3</v>
      </c>
      <c r="D80" s="2060"/>
      <c r="E80" s="2061"/>
      <c r="F80" s="2062"/>
      <c r="G80" s="2069"/>
      <c r="H80" s="2070"/>
      <c r="I80" s="2071"/>
      <c r="J80" s="56"/>
      <c r="K80" s="57"/>
      <c r="L80" s="58"/>
      <c r="M80" s="58"/>
      <c r="N80" s="58"/>
      <c r="O80" s="221" t="str">
        <f t="array" ref="O80">IFERROR(INDEX('Conversion factors_2'!$B$10:$CY$111,MATCH('I - Stationary'!$M80,'Conversion factors_2'!$B$10:$B$111,FALSE),HLOOKUP('I - Stationary'!N80,'Conversion factors_2'!$B$8:$CY$9,2,FALSE)),"")</f>
        <v/>
      </c>
      <c r="P80" s="58"/>
      <c r="Q80" s="58"/>
      <c r="R80" s="221" t="str">
        <f>IFERROR(CONCATENATE("tCO2e/",VLOOKUP($Q80,'Emission factors'!$D:$J,7,FALSE)),"")</f>
        <v/>
      </c>
      <c r="S80" s="221" t="str">
        <f>IFERROR(VLOOKUP($Q80,'Emission factors'!$D:$X,10,FALSE),"")</f>
        <v/>
      </c>
      <c r="T80" s="221" t="str">
        <f>IFERROR(VLOOKUP($Q80,'Emission factors'!$D:$X,12,FALSE),"")</f>
        <v/>
      </c>
      <c r="U80" s="221" t="str">
        <f>IFERROR(VLOOKUP($Q80,'Emission factors'!$D:$X,14,FALSE),"")</f>
        <v/>
      </c>
      <c r="V80" s="221" t="str">
        <f>IFERROR(VLOOKUP($Q80,'Emission factors'!$D:$X,16,FALSE),"")</f>
        <v/>
      </c>
      <c r="W80" s="221" t="str">
        <f>IFERROR(VLOOKUP($Q80,'Emission factors'!$D:$X,18,FALSE),"")</f>
        <v/>
      </c>
      <c r="X80" s="221" t="str">
        <f>IF(K80="","",1)</f>
        <v/>
      </c>
      <c r="Y80" s="58"/>
      <c r="Z80" s="58"/>
      <c r="AA80" s="58"/>
      <c r="AB80" s="58"/>
      <c r="AC80" s="58"/>
      <c r="AD80" s="58"/>
      <c r="AE80" s="58"/>
      <c r="AF80" s="275" t="str">
        <f>IFERROR(IF(AND($Q80="",$Z80=""),"",IF($Q80="",IF(AA80=0,"-",AA80),IF(S80=0,"0",$K80*IF($O80="",1,$O80)*S80*IF(Y80="",X80,Y80)))),"-")</f>
        <v/>
      </c>
      <c r="AG80" s="275" t="str">
        <f t="shared" ref="AG80:AH81" si="14">IFERROR(IF(AND($Q80="",$Z80=""),"",IF($Q80="",IF(AB80=0,"-",AB80),IF(T80=0,"0",$K80*IF($O80="",1,$O80)*T80))),"-")</f>
        <v/>
      </c>
      <c r="AH80" s="275" t="str">
        <f t="shared" si="14"/>
        <v/>
      </c>
      <c r="AI80" s="275" t="str">
        <f>IFERROR(IF(AND($Q80="",$Z80=""),"",IF($Q80="",IF(AD80="",SUM(AA80:AC80),IF(AD80=0,"0",AD80)),IF($V80="",SUM($AF80:$AH80),IF($V80=0,"0",$K80*IF($O80="",1,$O80)*$V80)))),"-")</f>
        <v/>
      </c>
      <c r="AJ80" s="275" t="str">
        <f>IFERROR(IF(AND($Q80="",$Z80=""),"",IF($Q80="",IF(AE80=0,"-",AE80),IF(W80=0,"0",$K80*IF($O80="",1,$O80)*W80*IF(Y80="",X80,Y80)))),"-")</f>
        <v/>
      </c>
      <c r="AK80" s="58"/>
      <c r="AL80" s="225"/>
      <c r="AM80" s="473"/>
      <c r="AN80" s="268"/>
    </row>
    <row r="81" spans="1:51" s="21" customFormat="1">
      <c r="A81" s="38"/>
      <c r="B81" s="56" t="s">
        <v>77</v>
      </c>
      <c r="C81" s="56">
        <v>3</v>
      </c>
      <c r="D81" s="2060"/>
      <c r="E81" s="2061"/>
      <c r="F81" s="2062"/>
      <c r="G81" s="2069"/>
      <c r="H81" s="2070"/>
      <c r="I81" s="2071"/>
      <c r="J81" s="56"/>
      <c r="K81" s="57"/>
      <c r="L81" s="58"/>
      <c r="M81" s="58"/>
      <c r="N81" s="58"/>
      <c r="O81" s="221" t="str">
        <f t="array" ref="O81">IFERROR(INDEX('Conversion factors_2'!$B$10:$CY$111,MATCH('I - Stationary'!$M81,'Conversion factors_2'!$B$10:$B$111,FALSE),HLOOKUP('I - Stationary'!N81,'Conversion factors_2'!$B$8:$CY$9,2,FALSE)),"")</f>
        <v/>
      </c>
      <c r="P81" s="58"/>
      <c r="Q81" s="58"/>
      <c r="R81" s="221" t="str">
        <f>IFERROR(CONCATENATE("tCO2e/",VLOOKUP($Q81,'Emission factors'!$D:$J,7,FALSE)),"")</f>
        <v/>
      </c>
      <c r="S81" s="221" t="str">
        <f>IFERROR(VLOOKUP($Q81,'Emission factors'!$D:$X,10,FALSE),"")</f>
        <v/>
      </c>
      <c r="T81" s="221" t="str">
        <f>IFERROR(VLOOKUP($Q81,'Emission factors'!$D:$X,12,FALSE),"")</f>
        <v/>
      </c>
      <c r="U81" s="221" t="str">
        <f>IFERROR(VLOOKUP($Q81,'Emission factors'!$D:$X,14,FALSE),"")</f>
        <v/>
      </c>
      <c r="V81" s="221" t="str">
        <f>IFERROR(VLOOKUP($Q81,'Emission factors'!$D:$X,16,FALSE),"")</f>
        <v/>
      </c>
      <c r="W81" s="221" t="str">
        <f>IFERROR(VLOOKUP($Q81,'Emission factors'!$D:$X,18,FALSE),"")</f>
        <v/>
      </c>
      <c r="X81" s="221" t="str">
        <f>IF(K81="","",1)</f>
        <v/>
      </c>
      <c r="Y81" s="58"/>
      <c r="Z81" s="56"/>
      <c r="AA81" s="58"/>
      <c r="AB81" s="58"/>
      <c r="AC81" s="58"/>
      <c r="AD81" s="58"/>
      <c r="AE81" s="58"/>
      <c r="AF81" s="275" t="str">
        <f>IFERROR(IF(AND($Q81="",$Z81=""),"",IF($Q81="",IF(AA81=0,"-",AA81),IF(S81=0,"0",$K81*IF($O81="",1,$O81)*S81*IF(Y81="",X81,Y81)))),"-")</f>
        <v/>
      </c>
      <c r="AG81" s="472" t="str">
        <f t="shared" si="14"/>
        <v/>
      </c>
      <c r="AH81" s="472" t="str">
        <f t="shared" si="14"/>
        <v/>
      </c>
      <c r="AI81" s="472" t="str">
        <f>IFERROR(IF(AND($Q81="",$Z81=""),"",IF($Q81="",IF(AD81="",SUM(AA81:AC81),IF(AD81=0,"0",AD81)),IF($V81="",SUM($AF81:$AH81),IF($V81=0,"0",$K81*IF($O81="",1,$O81)*$V81)))),"-")</f>
        <v/>
      </c>
      <c r="AJ81" s="275" t="str">
        <f>IFERROR(IF(AND($Q81="",$Z81=""),"",IF($Q81="",IF(AE81=0,"-",AE81),IF(W81=0,"0",$K81*IF($O81="",1,$O81)*W81*IF(Y81="",X81,Y81)))),"-")</f>
        <v/>
      </c>
      <c r="AK81" s="58"/>
      <c r="AL81" s="255"/>
      <c r="AM81" s="473"/>
      <c r="AN81" s="268"/>
    </row>
    <row r="82" spans="1:51" s="22" customFormat="1">
      <c r="B82" s="11"/>
      <c r="C82" s="11"/>
      <c r="D82" s="24"/>
      <c r="E82" s="24"/>
      <c r="F82" s="24"/>
      <c r="G82" s="24"/>
      <c r="H82" s="24"/>
      <c r="I82" s="24"/>
      <c r="J82" s="9"/>
      <c r="K82" s="9"/>
      <c r="L82" s="9"/>
      <c r="M82" s="9"/>
      <c r="N82" s="9"/>
      <c r="O82" s="9"/>
      <c r="P82" s="9"/>
      <c r="Q82" s="9"/>
      <c r="R82" s="9"/>
      <c r="S82" s="9"/>
      <c r="T82" s="9"/>
      <c r="U82" s="9"/>
      <c r="V82" s="9"/>
      <c r="W82" s="9"/>
      <c r="X82" s="9"/>
      <c r="Y82" s="9"/>
      <c r="Z82" s="9"/>
      <c r="AA82" s="9"/>
      <c r="AB82" s="9"/>
      <c r="AC82" s="9"/>
      <c r="AD82" s="9"/>
      <c r="AE82" s="9"/>
      <c r="AF82" s="278"/>
      <c r="AG82" s="278"/>
      <c r="AH82" s="278"/>
      <c r="AI82" s="278"/>
      <c r="AJ82" s="278"/>
      <c r="AK82" s="9"/>
      <c r="AL82" s="256"/>
      <c r="AM82" s="256"/>
      <c r="AN82" s="256"/>
    </row>
    <row r="83" spans="1:51" s="21" customFormat="1" ht="18">
      <c r="B83" s="465" t="s">
        <v>233</v>
      </c>
      <c r="C83" s="17"/>
      <c r="D83" s="18"/>
      <c r="E83" s="18"/>
      <c r="F83" s="18"/>
      <c r="G83" s="18"/>
      <c r="H83" s="18"/>
      <c r="I83" s="18"/>
      <c r="J83" s="19"/>
      <c r="K83" s="17"/>
      <c r="L83" s="17"/>
      <c r="M83" s="17"/>
      <c r="N83" s="17"/>
      <c r="O83" s="17"/>
      <c r="P83" s="17"/>
      <c r="Q83" s="17"/>
      <c r="R83" s="17"/>
      <c r="S83" s="17"/>
      <c r="T83" s="17"/>
      <c r="U83" s="17"/>
      <c r="V83" s="17"/>
      <c r="W83" s="17"/>
      <c r="X83" s="451"/>
      <c r="Y83" s="451"/>
      <c r="Z83" s="17"/>
      <c r="AA83" s="17"/>
      <c r="AB83" s="17"/>
      <c r="AC83" s="17"/>
      <c r="AD83" s="17"/>
      <c r="AE83" s="17"/>
      <c r="AF83" s="28"/>
      <c r="AG83" s="28"/>
      <c r="AH83" s="28"/>
      <c r="AI83" s="28"/>
      <c r="AJ83" s="28"/>
      <c r="AK83" s="19"/>
      <c r="AL83" s="254"/>
      <c r="AM83" s="254"/>
      <c r="AN83" s="254"/>
    </row>
    <row r="84" spans="1:51" s="21" customFormat="1">
      <c r="B84" s="17"/>
      <c r="C84" s="17"/>
      <c r="D84" s="18"/>
      <c r="E84" s="18"/>
      <c r="F84" s="18"/>
      <c r="G84" s="18"/>
      <c r="H84" s="18"/>
      <c r="I84" s="18"/>
      <c r="J84" s="19"/>
      <c r="K84" s="17"/>
      <c r="L84" s="17"/>
      <c r="M84" s="17"/>
      <c r="N84" s="17"/>
      <c r="O84" s="17"/>
      <c r="P84" s="17"/>
      <c r="Q84" s="17"/>
      <c r="R84" s="17"/>
      <c r="S84" s="17"/>
      <c r="T84" s="17"/>
      <c r="U84" s="17"/>
      <c r="V84" s="17"/>
      <c r="W84" s="17"/>
      <c r="X84" s="451"/>
      <c r="Y84" s="451"/>
      <c r="Z84" s="17"/>
      <c r="AA84" s="17"/>
      <c r="AB84" s="17"/>
      <c r="AC84" s="17"/>
      <c r="AD84" s="17"/>
      <c r="AE84" s="17"/>
      <c r="AF84" s="28"/>
      <c r="AG84" s="28"/>
      <c r="AH84" s="28"/>
      <c r="AI84" s="28"/>
      <c r="AJ84" s="28"/>
      <c r="AK84" s="19"/>
      <c r="AL84" s="254"/>
      <c r="AM84" s="254"/>
      <c r="AN84" s="254"/>
    </row>
    <row r="85" spans="1:51" s="50" customFormat="1" ht="16" customHeight="1">
      <c r="A85" s="86"/>
      <c r="B85" s="2065" t="s">
        <v>37</v>
      </c>
      <c r="C85" s="2065" t="s">
        <v>38</v>
      </c>
      <c r="D85" s="2065" t="s">
        <v>242</v>
      </c>
      <c r="E85" s="2065"/>
      <c r="F85" s="2065"/>
      <c r="G85" s="2065"/>
      <c r="H85" s="2065"/>
      <c r="I85" s="2065"/>
      <c r="J85" s="2066" t="s">
        <v>297</v>
      </c>
      <c r="K85" s="2095" t="s">
        <v>169</v>
      </c>
      <c r="L85" s="2096"/>
      <c r="M85" s="2098" t="s">
        <v>841</v>
      </c>
      <c r="N85" s="2099"/>
      <c r="O85" s="2100"/>
      <c r="P85" s="2066" t="s">
        <v>302</v>
      </c>
      <c r="Q85" s="2087" t="s">
        <v>782</v>
      </c>
      <c r="R85" s="2063" t="s">
        <v>782</v>
      </c>
      <c r="S85" s="2063"/>
      <c r="T85" s="2063"/>
      <c r="U85" s="2063"/>
      <c r="V85" s="2063"/>
      <c r="W85" s="2064"/>
      <c r="X85" s="2087" t="s">
        <v>1538</v>
      </c>
      <c r="Y85" s="2089" t="s">
        <v>1539</v>
      </c>
      <c r="Z85" s="2093" t="s">
        <v>928</v>
      </c>
      <c r="AA85" s="2083" t="s">
        <v>934</v>
      </c>
      <c r="AB85" s="2083"/>
      <c r="AC85" s="2083"/>
      <c r="AD85" s="2083"/>
      <c r="AE85" s="2083"/>
      <c r="AF85" s="2097" t="s">
        <v>289</v>
      </c>
      <c r="AG85" s="2097"/>
      <c r="AH85" s="2097"/>
      <c r="AI85" s="2097"/>
      <c r="AJ85" s="2097"/>
      <c r="AK85" s="895" t="s">
        <v>41</v>
      </c>
      <c r="AL85" s="2075" t="s">
        <v>937</v>
      </c>
      <c r="AM85" s="2093" t="s">
        <v>723</v>
      </c>
      <c r="AN85" s="2087" t="s">
        <v>826</v>
      </c>
      <c r="AO85" s="49"/>
      <c r="AP85" s="49"/>
      <c r="AQ85" s="49"/>
      <c r="AR85" s="49"/>
      <c r="AS85" s="49"/>
      <c r="AT85" s="49"/>
      <c r="AU85" s="49"/>
      <c r="AV85" s="49"/>
      <c r="AW85" s="49"/>
      <c r="AX85" s="49"/>
      <c r="AY85" s="49"/>
    </row>
    <row r="86" spans="1:51" s="50" customFormat="1" ht="17">
      <c r="A86" s="86"/>
      <c r="B86" s="2065"/>
      <c r="C86" s="2065"/>
      <c r="D86" s="2065" t="s">
        <v>243</v>
      </c>
      <c r="E86" s="2065"/>
      <c r="F86" s="2065"/>
      <c r="G86" s="2065" t="s">
        <v>241</v>
      </c>
      <c r="H86" s="2065"/>
      <c r="I86" s="2065"/>
      <c r="J86" s="2065"/>
      <c r="K86" s="633" t="s">
        <v>170</v>
      </c>
      <c r="L86" s="633" t="s">
        <v>171</v>
      </c>
      <c r="M86" s="659" t="s">
        <v>813</v>
      </c>
      <c r="N86" s="659" t="s">
        <v>814</v>
      </c>
      <c r="O86" s="659" t="s">
        <v>927</v>
      </c>
      <c r="P86" s="2065"/>
      <c r="Q86" s="2088"/>
      <c r="R86" s="660" t="s">
        <v>171</v>
      </c>
      <c r="S86" s="661" t="s">
        <v>929</v>
      </c>
      <c r="T86" s="661" t="s">
        <v>930</v>
      </c>
      <c r="U86" s="661" t="s">
        <v>931</v>
      </c>
      <c r="V86" s="661" t="s">
        <v>932</v>
      </c>
      <c r="W86" s="661" t="s">
        <v>933</v>
      </c>
      <c r="X86" s="2088" t="s">
        <v>1023</v>
      </c>
      <c r="Y86" s="2090"/>
      <c r="Z86" s="2094"/>
      <c r="AA86" s="661" t="s">
        <v>929</v>
      </c>
      <c r="AB86" s="661" t="s">
        <v>930</v>
      </c>
      <c r="AC86" s="661" t="s">
        <v>931</v>
      </c>
      <c r="AD86" s="661" t="s">
        <v>932</v>
      </c>
      <c r="AE86" s="661" t="s">
        <v>933</v>
      </c>
      <c r="AF86" s="662" t="s">
        <v>290</v>
      </c>
      <c r="AG86" s="662" t="s">
        <v>291</v>
      </c>
      <c r="AH86" s="662" t="s">
        <v>292</v>
      </c>
      <c r="AI86" s="662" t="s">
        <v>293</v>
      </c>
      <c r="AJ86" s="662" t="s">
        <v>294</v>
      </c>
      <c r="AK86" s="633" t="s">
        <v>44</v>
      </c>
      <c r="AL86" s="2075"/>
      <c r="AM86" s="2094"/>
      <c r="AN86" s="2088"/>
      <c r="AO86" s="49"/>
      <c r="AP86" s="49"/>
      <c r="AQ86" s="49"/>
      <c r="AR86" s="49"/>
      <c r="AS86" s="49"/>
      <c r="AT86" s="49"/>
      <c r="AU86" s="49"/>
      <c r="AV86" s="49"/>
      <c r="AW86" s="49"/>
      <c r="AX86" s="49"/>
      <c r="AY86" s="49"/>
    </row>
    <row r="87" spans="1:51" s="55" customFormat="1">
      <c r="A87" s="21"/>
      <c r="B87" s="84" t="s">
        <v>79</v>
      </c>
      <c r="C87" s="84">
        <v>1</v>
      </c>
      <c r="D87" s="61" t="s">
        <v>50</v>
      </c>
      <c r="E87" s="105"/>
      <c r="F87" s="105"/>
      <c r="G87" s="105"/>
      <c r="H87" s="105"/>
      <c r="I87" s="62"/>
      <c r="J87" s="656" t="s">
        <v>175</v>
      </c>
      <c r="K87" s="54"/>
      <c r="L87" s="54"/>
      <c r="M87" s="54"/>
      <c r="N87" s="54"/>
      <c r="O87" s="54"/>
      <c r="P87" s="54"/>
      <c r="Q87" s="54"/>
      <c r="R87" s="54"/>
      <c r="S87" s="54"/>
      <c r="T87" s="54"/>
      <c r="U87" s="54"/>
      <c r="V87" s="54"/>
      <c r="W87" s="54"/>
      <c r="X87" s="54"/>
      <c r="Y87" s="54"/>
      <c r="Z87" s="54"/>
      <c r="AA87" s="54"/>
      <c r="AB87" s="54"/>
      <c r="AC87" s="54"/>
      <c r="AD87" s="54"/>
      <c r="AE87" s="54"/>
      <c r="AF87" s="281"/>
      <c r="AG87" s="281"/>
      <c r="AH87" s="281"/>
      <c r="AI87" s="281"/>
      <c r="AJ87" s="281"/>
      <c r="AK87" s="54"/>
      <c r="AL87" s="657" t="s">
        <v>1004</v>
      </c>
      <c r="AM87" s="673"/>
      <c r="AN87" s="664"/>
      <c r="AO87" s="51"/>
      <c r="AP87" s="51"/>
      <c r="AQ87" s="51"/>
      <c r="AR87" s="51"/>
      <c r="AS87" s="51"/>
      <c r="AT87" s="51"/>
      <c r="AU87" s="51"/>
      <c r="AV87" s="51"/>
      <c r="AW87" s="51"/>
      <c r="AX87" s="51"/>
      <c r="AY87" s="51"/>
    </row>
    <row r="88" spans="1:51" s="21" customFormat="1">
      <c r="B88" s="58" t="s">
        <v>79</v>
      </c>
      <c r="C88" s="58">
        <v>1</v>
      </c>
      <c r="D88" s="2060"/>
      <c r="E88" s="2061"/>
      <c r="F88" s="2062"/>
      <c r="G88" s="2069"/>
      <c r="H88" s="2070"/>
      <c r="I88" s="2071"/>
      <c r="J88" s="56"/>
      <c r="K88" s="57"/>
      <c r="L88" s="58"/>
      <c r="M88" s="58"/>
      <c r="N88" s="58"/>
      <c r="O88" s="221" t="str">
        <f t="array" ref="O88">IFERROR(INDEX('Conversion factors_2'!$B$10:$CY$111,MATCH('I - Stationary'!$M88,'Conversion factors_2'!$B$10:$B$111,FALSE),HLOOKUP('I - Stationary'!N88,'Conversion factors_2'!$B$8:$CY$9,2,FALSE)),"")</f>
        <v/>
      </c>
      <c r="P88" s="58"/>
      <c r="Q88" s="58"/>
      <c r="R88" s="221" t="str">
        <f>IFERROR(CONCATENATE("tCO2e/",VLOOKUP($Q88,'Emission factors'!$D:$J,7,FALSE)),"")</f>
        <v/>
      </c>
      <c r="S88" s="221" t="str">
        <f>IFERROR(VLOOKUP($Q88,'Emission factors'!$D:$X,10,FALSE),"")</f>
        <v/>
      </c>
      <c r="T88" s="221" t="str">
        <f>IFERROR(VLOOKUP($Q88,'Emission factors'!$D:$X,12,FALSE),"")</f>
        <v/>
      </c>
      <c r="U88" s="221" t="str">
        <f>IFERROR(VLOOKUP($Q88,'Emission factors'!$D:$X,14,FALSE),"")</f>
        <v/>
      </c>
      <c r="V88" s="221" t="str">
        <f>IFERROR(VLOOKUP($Q88,'Emission factors'!$D:$X,16,FALSE),"")</f>
        <v/>
      </c>
      <c r="W88" s="221" t="str">
        <f>IFERROR(VLOOKUP($Q88,'Emission factors'!$D:$X,18,FALSE),"")</f>
        <v/>
      </c>
      <c r="X88" s="221" t="str">
        <f>IF(K88="","",1)</f>
        <v/>
      </c>
      <c r="Y88" s="58"/>
      <c r="Z88" s="58"/>
      <c r="AA88" s="58"/>
      <c r="AB88" s="58"/>
      <c r="AC88" s="58"/>
      <c r="AD88" s="58"/>
      <c r="AE88" s="58"/>
      <c r="AF88" s="275" t="str">
        <f>IFERROR(IF(AND($Q88="",$Z88=""),"",IF($Q88="",IF(AA88=0,"-",AA88),IF(S88=0,"0",$K88*IF($O88="",1,$O88)*S88*IF(Y88="",X88,Y88)))),"-")</f>
        <v/>
      </c>
      <c r="AG88" s="275" t="str">
        <f t="shared" ref="AG88:AH89" si="15">IFERROR(IF(AND($Q88="",$Z88=""),"",IF($Q88="",IF(AB88=0,"-",AB88),IF(T88=0,"0",$K88*IF($O88="",1,$O88)*T88))),"-")</f>
        <v/>
      </c>
      <c r="AH88" s="275" t="str">
        <f t="shared" si="15"/>
        <v/>
      </c>
      <c r="AI88" s="275" t="str">
        <f>IFERROR(IF(AND($Q88="",$Z88=""),"",IF($Q88="",IF(AD88="",SUM(AA88:AC88),IF(AD88=0,"0",AD88)),IF($V88="",SUM($AF88:$AH88),IF($V88=0,"0",$K88*IF($O88="",1,$O88)*$V88)))),"-")</f>
        <v/>
      </c>
      <c r="AJ88" s="275" t="str">
        <f>IFERROR(IF(AND($Q88="",$Z88=""),"",IF($Q88="",IF(AE88=0,"-",AE88),IF(W88=0,"0",$K88*IF($O88="",1,$O88)*W88*IF(Y88="",X88,Y88)))),"-")</f>
        <v/>
      </c>
      <c r="AK88" s="58"/>
      <c r="AL88" s="225"/>
      <c r="AM88" s="473"/>
      <c r="AN88" s="268"/>
    </row>
    <row r="89" spans="1:51" s="21" customFormat="1">
      <c r="A89" s="38"/>
      <c r="B89" s="56" t="s">
        <v>79</v>
      </c>
      <c r="C89" s="56">
        <v>1</v>
      </c>
      <c r="D89" s="2060"/>
      <c r="E89" s="2061"/>
      <c r="F89" s="2062"/>
      <c r="G89" s="2069"/>
      <c r="H89" s="2070"/>
      <c r="I89" s="2071"/>
      <c r="J89" s="56"/>
      <c r="K89" s="57"/>
      <c r="L89" s="58"/>
      <c r="M89" s="58"/>
      <c r="N89" s="58"/>
      <c r="O89" s="221" t="str">
        <f t="array" ref="O89">IFERROR(INDEX('Conversion factors_2'!$B$10:$CY$111,MATCH('I - Stationary'!$M89,'Conversion factors_2'!$B$10:$B$111,FALSE),HLOOKUP('I - Stationary'!N89,'Conversion factors_2'!$B$8:$CY$9,2,FALSE)),"")</f>
        <v/>
      </c>
      <c r="P89" s="58"/>
      <c r="Q89" s="58"/>
      <c r="R89" s="221" t="str">
        <f>IFERROR(CONCATENATE("tCO2e/",VLOOKUP($Q89,'Emission factors'!$D:$J,7,FALSE)),"")</f>
        <v/>
      </c>
      <c r="S89" s="221" t="str">
        <f>IFERROR(VLOOKUP($Q89,'Emission factors'!$D:$X,10,FALSE),"")</f>
        <v/>
      </c>
      <c r="T89" s="221" t="str">
        <f>IFERROR(VLOOKUP($Q89,'Emission factors'!$D:$X,12,FALSE),"")</f>
        <v/>
      </c>
      <c r="U89" s="221" t="str">
        <f>IFERROR(VLOOKUP($Q89,'Emission factors'!$D:$X,14,FALSE),"")</f>
        <v/>
      </c>
      <c r="V89" s="221" t="str">
        <f>IFERROR(VLOOKUP($Q89,'Emission factors'!$D:$X,16,FALSE),"")</f>
        <v/>
      </c>
      <c r="W89" s="221" t="str">
        <f>IFERROR(VLOOKUP($Q89,'Emission factors'!$D:$X,18,FALSE),"")</f>
        <v/>
      </c>
      <c r="X89" s="221" t="str">
        <f>IF(K89="","",1)</f>
        <v/>
      </c>
      <c r="Y89" s="58"/>
      <c r="Z89" s="58"/>
      <c r="AA89" s="58"/>
      <c r="AB89" s="58"/>
      <c r="AC89" s="58"/>
      <c r="AD89" s="58"/>
      <c r="AE89" s="58"/>
      <c r="AF89" s="275" t="str">
        <f>IFERROR(IF(AND($Q89="",$Z89=""),"",IF($Q89="",IF(AA89=0,"-",AA89),IF(S89=0,"0",$K89*IF($O89="",1,$O89)*S89*IF(Y89="",X89,Y89)))),"-")</f>
        <v/>
      </c>
      <c r="AG89" s="275" t="str">
        <f t="shared" si="15"/>
        <v/>
      </c>
      <c r="AH89" s="275" t="str">
        <f t="shared" si="15"/>
        <v/>
      </c>
      <c r="AI89" s="275" t="str">
        <f>IFERROR(IF(AND($Q89="",$Z89=""),"",IF($Q89="",IF(AD89="",SUM(AA89:AC89),IF(AD89=0,"0",AD89)),IF($V89="",SUM($AF89:$AH89),IF($V89=0,"0",$K89*IF($O89="",1,$O89)*$V89)))),"-")</f>
        <v/>
      </c>
      <c r="AJ89" s="275" t="str">
        <f>IFERROR(IF(AND($Q89="",$Z89=""),"",IF($Q89="",IF(AE89=0,"-",AE89),IF(W89=0,"0",$K89*IF($O89="",1,$O89)*W89*IF(Y89="",X89,Y89)))),"-")</f>
        <v/>
      </c>
      <c r="AK89" s="58"/>
      <c r="AL89" s="255"/>
      <c r="AM89" s="473"/>
      <c r="AN89" s="268"/>
    </row>
    <row r="90" spans="1:51" s="55" customFormat="1">
      <c r="A90" s="21"/>
      <c r="B90" s="73" t="s">
        <v>80</v>
      </c>
      <c r="C90" s="73">
        <v>2</v>
      </c>
      <c r="D90" s="61" t="s">
        <v>52</v>
      </c>
      <c r="E90" s="105"/>
      <c r="F90" s="105"/>
      <c r="G90" s="105"/>
      <c r="H90" s="105"/>
      <c r="I90" s="62"/>
      <c r="J90" s="63" t="s">
        <v>175</v>
      </c>
      <c r="K90" s="64"/>
      <c r="L90" s="64"/>
      <c r="M90" s="64"/>
      <c r="N90" s="64"/>
      <c r="O90" s="64"/>
      <c r="P90" s="64"/>
      <c r="Q90" s="64"/>
      <c r="R90" s="64"/>
      <c r="S90" s="64"/>
      <c r="T90" s="64"/>
      <c r="U90" s="64"/>
      <c r="V90" s="64"/>
      <c r="W90" s="64"/>
      <c r="X90" s="64"/>
      <c r="Y90" s="64"/>
      <c r="Z90" s="64"/>
      <c r="AA90" s="64"/>
      <c r="AB90" s="64"/>
      <c r="AC90" s="64"/>
      <c r="AD90" s="64"/>
      <c r="AE90" s="64"/>
      <c r="AF90" s="276"/>
      <c r="AG90" s="276"/>
      <c r="AH90" s="276"/>
      <c r="AI90" s="276"/>
      <c r="AJ90" s="276"/>
      <c r="AK90" s="54"/>
      <c r="AL90" s="227" t="s">
        <v>1005</v>
      </c>
      <c r="AM90" s="474"/>
      <c r="AN90" s="665"/>
      <c r="AO90" s="51"/>
      <c r="AP90" s="51"/>
      <c r="AQ90" s="51"/>
      <c r="AR90" s="51"/>
      <c r="AS90" s="51"/>
      <c r="AT90" s="51"/>
      <c r="AU90" s="51"/>
      <c r="AV90" s="51"/>
      <c r="AW90" s="51"/>
      <c r="AX90" s="51"/>
      <c r="AY90" s="51"/>
    </row>
    <row r="91" spans="1:51" s="21" customFormat="1">
      <c r="B91" s="58" t="s">
        <v>80</v>
      </c>
      <c r="C91" s="58">
        <v>2</v>
      </c>
      <c r="D91" s="2060"/>
      <c r="E91" s="2061"/>
      <c r="F91" s="2062"/>
      <c r="G91" s="2069"/>
      <c r="H91" s="2070"/>
      <c r="I91" s="2071"/>
      <c r="J91" s="56"/>
      <c r="K91" s="57"/>
      <c r="L91" s="58"/>
      <c r="M91" s="58"/>
      <c r="N91" s="58"/>
      <c r="O91" s="221" t="str">
        <f t="array" ref="O91">IFERROR(INDEX('Conversion factors_2'!$B$10:$CY$111,MATCH('I - Stationary'!$M91,'Conversion factors_2'!$B$10:$B$111,FALSE),HLOOKUP('I - Stationary'!N91,'Conversion factors_2'!$B$8:$CY$9,2,FALSE)),"")</f>
        <v/>
      </c>
      <c r="P91" s="58"/>
      <c r="Q91" s="58"/>
      <c r="R91" s="221" t="str">
        <f>IFERROR(CONCATENATE("tCO2e/",VLOOKUP($Q91,'Emission factors'!$D:$J,7,FALSE)),"")</f>
        <v/>
      </c>
      <c r="S91" s="221" t="str">
        <f>IFERROR(VLOOKUP($Q91,'Emission factors'!$D:$X,10,FALSE),"")</f>
        <v/>
      </c>
      <c r="T91" s="221" t="str">
        <f>IFERROR(VLOOKUP($Q91,'Emission factors'!$D:$X,12,FALSE),"")</f>
        <v/>
      </c>
      <c r="U91" s="221" t="str">
        <f>IFERROR(VLOOKUP($Q91,'Emission factors'!$D:$X,14,FALSE),"")</f>
        <v/>
      </c>
      <c r="V91" s="221" t="str">
        <f>IFERROR(VLOOKUP($Q91,'Emission factors'!$D:$X,16,FALSE),"")</f>
        <v/>
      </c>
      <c r="W91" s="221" t="str">
        <f>IFERROR(VLOOKUP($Q91,'Emission factors'!$D:$X,18,FALSE),"")</f>
        <v/>
      </c>
      <c r="X91" s="221" t="str">
        <f>IF(K91="","",1)</f>
        <v/>
      </c>
      <c r="Y91" s="58"/>
      <c r="Z91" s="58"/>
      <c r="AA91" s="58"/>
      <c r="AB91" s="58"/>
      <c r="AC91" s="58"/>
      <c r="AD91" s="58"/>
      <c r="AE91" s="58"/>
      <c r="AF91" s="275" t="str">
        <f>IFERROR(IF(AND($Q91="",$Z91=""),"",IF($Q91="",IF(AA91=0,"-",AA91),IF(S91=0,"0",$K91*IF($O91="",1,$O91)*S91*IF(Y91="",X91,Y91)))),"-")</f>
        <v/>
      </c>
      <c r="AG91" s="275" t="str">
        <f t="shared" ref="AG91:AH92" si="16">IFERROR(IF(AND($Q91="",$Z91=""),"",IF($Q91="",IF(AB91=0,"-",AB91),IF(T91=0,"0",$K91*IF($O91="",1,$O91)*T91))),"-")</f>
        <v/>
      </c>
      <c r="AH91" s="275" t="str">
        <f t="shared" si="16"/>
        <v/>
      </c>
      <c r="AI91" s="275" t="str">
        <f>IFERROR(IF(AND($Q91="",$Z91=""),"",IF($Q91="",IF(AD91="",SUM(AA91:AC91),IF(AD91=0,"0",AD91)),IF($V91="",SUM($AF91:$AH91),IF($V91=0,"0",$K91*IF($O91="",1,$O91)*$V91)))),"-")</f>
        <v/>
      </c>
      <c r="AJ91" s="275" t="str">
        <f>IFERROR(IF(AND($Q91="",$Z91=""),"",IF($Q91="",IF(AE91=0,"-",AE91),IF(W91=0,"0",$K91*IF($O91="",1,$O91)*W91*IF(Y91="",X91,Y91)))),"-")</f>
        <v/>
      </c>
      <c r="AK91" s="58"/>
      <c r="AL91" s="225"/>
      <c r="AM91" s="473"/>
      <c r="AN91" s="268"/>
    </row>
    <row r="92" spans="1:51" s="21" customFormat="1">
      <c r="A92" s="38"/>
      <c r="B92" s="56" t="s">
        <v>80</v>
      </c>
      <c r="C92" s="56">
        <v>2</v>
      </c>
      <c r="D92" s="2060"/>
      <c r="E92" s="2061"/>
      <c r="F92" s="2062"/>
      <c r="G92" s="2069"/>
      <c r="H92" s="2070"/>
      <c r="I92" s="2071"/>
      <c r="J92" s="56"/>
      <c r="K92" s="57"/>
      <c r="L92" s="58"/>
      <c r="M92" s="58"/>
      <c r="N92" s="58"/>
      <c r="O92" s="221" t="str">
        <f t="array" ref="O92">IFERROR(INDEX('Conversion factors_2'!$B$10:$CY$111,MATCH('I - Stationary'!$M92,'Conversion factors_2'!$B$10:$B$111,FALSE),HLOOKUP('I - Stationary'!N92,'Conversion factors_2'!$B$8:$CY$9,2,FALSE)),"")</f>
        <v/>
      </c>
      <c r="P92" s="58"/>
      <c r="Q92" s="58"/>
      <c r="R92" s="221" t="str">
        <f>IFERROR(CONCATENATE("tCO2e/",VLOOKUP($Q92,'Emission factors'!$D:$J,7,FALSE)),"")</f>
        <v/>
      </c>
      <c r="S92" s="221" t="str">
        <f>IFERROR(VLOOKUP($Q92,'Emission factors'!$D:$X,10,FALSE),"")</f>
        <v/>
      </c>
      <c r="T92" s="221" t="str">
        <f>IFERROR(VLOOKUP($Q92,'Emission factors'!$D:$X,12,FALSE),"")</f>
        <v/>
      </c>
      <c r="U92" s="221" t="str">
        <f>IFERROR(VLOOKUP($Q92,'Emission factors'!$D:$X,14,FALSE),"")</f>
        <v/>
      </c>
      <c r="V92" s="221" t="str">
        <f>IFERROR(VLOOKUP($Q92,'Emission factors'!$D:$X,16,FALSE),"")</f>
        <v/>
      </c>
      <c r="W92" s="221" t="str">
        <f>IFERROR(VLOOKUP($Q92,'Emission factors'!$D:$X,18,FALSE),"")</f>
        <v/>
      </c>
      <c r="X92" s="221" t="str">
        <f>IF(K92="","",1)</f>
        <v/>
      </c>
      <c r="Y92" s="58"/>
      <c r="Z92" s="58"/>
      <c r="AA92" s="58"/>
      <c r="AB92" s="58"/>
      <c r="AC92" s="58"/>
      <c r="AD92" s="58"/>
      <c r="AE92" s="58"/>
      <c r="AF92" s="275" t="str">
        <f>IFERROR(IF(AND($Q92="",$Z92=""),"",IF($Q92="",IF(AA92=0,"-",AA92),IF(S92=0,"0",$K92*IF($O92="",1,$O92)*S92*IF(Y92="",X92,Y92)))),"-")</f>
        <v/>
      </c>
      <c r="AG92" s="275" t="str">
        <f t="shared" si="16"/>
        <v/>
      </c>
      <c r="AH92" s="275" t="str">
        <f t="shared" si="16"/>
        <v/>
      </c>
      <c r="AI92" s="275" t="str">
        <f>IFERROR(IF(AND($Q92="",$Z92=""),"",IF($Q92="",IF(AD92="",SUM(AA92:AC92),IF(AD92=0,"0",AD92)),IF($V92="",SUM($AF92:$AH92),IF($V92=0,"0",$K92*IF($O92="",1,$O92)*$V92)))),"-")</f>
        <v/>
      </c>
      <c r="AJ92" s="275" t="str">
        <f>IFERROR(IF(AND($Q92="",$Z92=""),"",IF($Q92="",IF(AE92=0,"-",AE92),IF(W92=0,"0",$K92*IF($O92="",1,$O92)*W92*IF(Y92="",X92,Y92)))),"-")</f>
        <v/>
      </c>
      <c r="AK92" s="58"/>
      <c r="AL92" s="255"/>
      <c r="AM92" s="473"/>
      <c r="AN92" s="268"/>
    </row>
    <row r="93" spans="1:51" s="55" customFormat="1">
      <c r="A93" s="21"/>
      <c r="B93" s="76" t="s">
        <v>81</v>
      </c>
      <c r="C93" s="83">
        <v>3</v>
      </c>
      <c r="D93" s="67" t="s">
        <v>296</v>
      </c>
      <c r="E93" s="650"/>
      <c r="F93" s="650"/>
      <c r="G93" s="650"/>
      <c r="H93" s="650"/>
      <c r="I93" s="68"/>
      <c r="J93" s="69" t="s">
        <v>175</v>
      </c>
      <c r="K93" s="70"/>
      <c r="L93" s="69"/>
      <c r="M93" s="69"/>
      <c r="N93" s="69"/>
      <c r="O93" s="69"/>
      <c r="P93" s="69"/>
      <c r="Q93" s="69"/>
      <c r="R93" s="69"/>
      <c r="S93" s="69"/>
      <c r="T93" s="69"/>
      <c r="U93" s="69"/>
      <c r="V93" s="69"/>
      <c r="W93" s="69"/>
      <c r="X93" s="69"/>
      <c r="Y93" s="69"/>
      <c r="Z93" s="69"/>
      <c r="AA93" s="69"/>
      <c r="AB93" s="69"/>
      <c r="AC93" s="69"/>
      <c r="AD93" s="69"/>
      <c r="AE93" s="69"/>
      <c r="AF93" s="277"/>
      <c r="AG93" s="277"/>
      <c r="AH93" s="277"/>
      <c r="AI93" s="277"/>
      <c r="AJ93" s="277"/>
      <c r="AK93" s="69"/>
      <c r="AL93" s="228" t="s">
        <v>1006</v>
      </c>
      <c r="AM93" s="475"/>
      <c r="AN93" s="666"/>
      <c r="AO93" s="51"/>
      <c r="AP93" s="51"/>
      <c r="AQ93" s="51"/>
      <c r="AR93" s="51"/>
      <c r="AS93" s="51"/>
      <c r="AT93" s="51"/>
      <c r="AU93" s="51"/>
      <c r="AV93" s="51"/>
      <c r="AW93" s="51"/>
      <c r="AX93" s="51"/>
      <c r="AY93" s="51"/>
    </row>
    <row r="94" spans="1:51" s="21" customFormat="1">
      <c r="B94" s="58" t="s">
        <v>81</v>
      </c>
      <c r="C94" s="58">
        <v>3</v>
      </c>
      <c r="D94" s="2060"/>
      <c r="E94" s="2061"/>
      <c r="F94" s="2062"/>
      <c r="G94" s="2069"/>
      <c r="H94" s="2070"/>
      <c r="I94" s="2071"/>
      <c r="J94" s="56"/>
      <c r="K94" s="57"/>
      <c r="L94" s="58"/>
      <c r="M94" s="58"/>
      <c r="N94" s="58"/>
      <c r="O94" s="221" t="str">
        <f t="array" ref="O94">IFERROR(INDEX('Conversion factors_2'!$B$10:$CY$111,MATCH('I - Stationary'!$M94,'Conversion factors_2'!$B$10:$B$111,FALSE),HLOOKUP('I - Stationary'!N94,'Conversion factors_2'!$B$8:$CY$9,2,FALSE)),"")</f>
        <v/>
      </c>
      <c r="P94" s="58"/>
      <c r="Q94" s="58"/>
      <c r="R94" s="221" t="str">
        <f>IFERROR(CONCATENATE("tCO2e/",VLOOKUP($Q94,'Emission factors'!$D:$J,7,FALSE)),"")</f>
        <v/>
      </c>
      <c r="S94" s="221" t="str">
        <f>IFERROR(VLOOKUP($Q94,'Emission factors'!$D:$X,10,FALSE),"")</f>
        <v/>
      </c>
      <c r="T94" s="221" t="str">
        <f>IFERROR(VLOOKUP($Q94,'Emission factors'!$D:$X,12,FALSE),"")</f>
        <v/>
      </c>
      <c r="U94" s="221" t="str">
        <f>IFERROR(VLOOKUP($Q94,'Emission factors'!$D:$X,14,FALSE),"")</f>
        <v/>
      </c>
      <c r="V94" s="221" t="str">
        <f>IFERROR(VLOOKUP($Q94,'Emission factors'!$D:$X,16,FALSE),"")</f>
        <v/>
      </c>
      <c r="W94" s="221" t="str">
        <f>IFERROR(VLOOKUP($Q94,'Emission factors'!$D:$X,18,FALSE),"")</f>
        <v/>
      </c>
      <c r="X94" s="221" t="str">
        <f>IF(K94="","",1)</f>
        <v/>
      </c>
      <c r="Y94" s="58"/>
      <c r="Z94" s="58"/>
      <c r="AA94" s="58"/>
      <c r="AB94" s="58"/>
      <c r="AC94" s="58"/>
      <c r="AD94" s="58"/>
      <c r="AE94" s="58"/>
      <c r="AF94" s="275" t="str">
        <f>IFERROR(IF(AND($Q94="",$Z94=""),"",IF($Q94="",IF(AA94=0,"-",AA94),IF(S94=0,"0",$K94*IF($O94="",1,$O94)*S94*IF(Y94="",X94,Y94)))),"-")</f>
        <v/>
      </c>
      <c r="AG94" s="275" t="str">
        <f t="shared" ref="AG94:AH95" si="17">IFERROR(IF(AND($Q94="",$Z94=""),"",IF($Q94="",IF(AB94=0,"-",AB94),IF(T94=0,"0",$K94*IF($O94="",1,$O94)*T94))),"-")</f>
        <v/>
      </c>
      <c r="AH94" s="275" t="str">
        <f t="shared" si="17"/>
        <v/>
      </c>
      <c r="AI94" s="275" t="str">
        <f>IFERROR(IF(AND($Q94="",$Z94=""),"",IF($Q94="",IF(AD94="",SUM(AA94:AC94),IF(AD94=0,"0",AD94)),IF($V94="",SUM($AF94:$AH94),IF($V94=0,"0",$K94*IF($O94="",1,$O94)*$V94)))),"-")</f>
        <v/>
      </c>
      <c r="AJ94" s="275" t="str">
        <f>IFERROR(IF(AND($Q94="",$Z94=""),"",IF($Q94="",IF(AE94=0,"-",AE94),IF(W94=0,"0",$K94*IF($O94="",1,$O94)*W94*IF(Y94="",X94,Y94)))),"-")</f>
        <v/>
      </c>
      <c r="AK94" s="58"/>
      <c r="AL94" s="225"/>
      <c r="AM94" s="473"/>
      <c r="AN94" s="268"/>
    </row>
    <row r="95" spans="1:51" s="21" customFormat="1">
      <c r="A95" s="38"/>
      <c r="B95" s="56" t="s">
        <v>81</v>
      </c>
      <c r="C95" s="56">
        <v>3</v>
      </c>
      <c r="D95" s="2060"/>
      <c r="E95" s="2061"/>
      <c r="F95" s="2062"/>
      <c r="G95" s="2069"/>
      <c r="H95" s="2070"/>
      <c r="I95" s="2071"/>
      <c r="J95" s="56"/>
      <c r="K95" s="57"/>
      <c r="L95" s="58"/>
      <c r="M95" s="58"/>
      <c r="N95" s="58"/>
      <c r="O95" s="221" t="str">
        <f t="array" ref="O95">IFERROR(INDEX('Conversion factors_2'!$B$10:$CY$111,MATCH('I - Stationary'!$M95,'Conversion factors_2'!$B$10:$B$111,FALSE),HLOOKUP('I - Stationary'!N95,'Conversion factors_2'!$B$8:$CY$9,2,FALSE)),"")</f>
        <v/>
      </c>
      <c r="P95" s="58"/>
      <c r="Q95" s="58"/>
      <c r="R95" s="221" t="str">
        <f>IFERROR(CONCATENATE("tCO2e/",VLOOKUP($Q95,'Emission factors'!$D:$J,7,FALSE)),"")</f>
        <v/>
      </c>
      <c r="S95" s="221" t="str">
        <f>IFERROR(VLOOKUP($Q95,'Emission factors'!$D:$X,10,FALSE),"")</f>
        <v/>
      </c>
      <c r="T95" s="221" t="str">
        <f>IFERROR(VLOOKUP($Q95,'Emission factors'!$D:$X,12,FALSE),"")</f>
        <v/>
      </c>
      <c r="U95" s="221" t="str">
        <f>IFERROR(VLOOKUP($Q95,'Emission factors'!$D:$X,14,FALSE),"")</f>
        <v/>
      </c>
      <c r="V95" s="221" t="str">
        <f>IFERROR(VLOOKUP($Q95,'Emission factors'!$D:$X,16,FALSE),"")</f>
        <v/>
      </c>
      <c r="W95" s="221" t="str">
        <f>IFERROR(VLOOKUP($Q95,'Emission factors'!$D:$X,18,FALSE),"")</f>
        <v/>
      </c>
      <c r="X95" s="221" t="str">
        <f>IF(K95="","",1)</f>
        <v/>
      </c>
      <c r="Y95" s="58"/>
      <c r="Z95" s="56"/>
      <c r="AA95" s="58"/>
      <c r="AB95" s="58"/>
      <c r="AC95" s="58"/>
      <c r="AD95" s="58"/>
      <c r="AE95" s="58"/>
      <c r="AF95" s="275" t="str">
        <f>IFERROR(IF(AND($Q95="",$Z95=""),"",IF($Q95="",IF(AA95=0,"-",AA95),IF(S95=0,"0",$K95*IF($O95="",1,$O95)*S95*IF(Y95="",X95,Y95)))),"-")</f>
        <v/>
      </c>
      <c r="AG95" s="472" t="str">
        <f t="shared" si="17"/>
        <v/>
      </c>
      <c r="AH95" s="472" t="str">
        <f t="shared" si="17"/>
        <v/>
      </c>
      <c r="AI95" s="472" t="str">
        <f>IFERROR(IF(AND($Q95="",$Z95=""),"",IF($Q95="",IF(AD95="",SUM(AA95:AC95),IF(AD95=0,"0",AD95)),IF($V95="",SUM($AF95:$AH95),IF($V95=0,"0",$K95*IF($O95="",1,$O95)*$V95)))),"-")</f>
        <v/>
      </c>
      <c r="AJ95" s="275" t="str">
        <f>IFERROR(IF(AND($Q95="",$Z95=""),"",IF($Q95="",IF(AE95=0,"-",AE95),IF(W95=0,"0",$K95*IF($O95="",1,$O95)*W95*IF(Y95="",X95,Y95)))),"-")</f>
        <v/>
      </c>
      <c r="AK95" s="58"/>
      <c r="AL95" s="255"/>
      <c r="AM95" s="473"/>
      <c r="AN95" s="268"/>
    </row>
    <row r="96" spans="1:51" s="22" customFormat="1">
      <c r="B96" s="11"/>
      <c r="C96" s="11"/>
      <c r="D96" s="24"/>
      <c r="E96" s="24"/>
      <c r="F96" s="24"/>
      <c r="G96" s="24"/>
      <c r="H96" s="24"/>
      <c r="I96" s="24"/>
      <c r="J96" s="9"/>
      <c r="K96" s="9"/>
      <c r="L96" s="9"/>
      <c r="M96" s="9"/>
      <c r="N96" s="9"/>
      <c r="O96" s="9"/>
      <c r="P96" s="9"/>
      <c r="Q96" s="9"/>
      <c r="R96" s="9"/>
      <c r="S96" s="9"/>
      <c r="T96" s="9"/>
      <c r="U96" s="9"/>
      <c r="V96" s="9"/>
      <c r="W96" s="9"/>
      <c r="X96" s="9"/>
      <c r="Y96" s="9"/>
      <c r="Z96" s="9"/>
      <c r="AA96" s="9"/>
      <c r="AB96" s="9"/>
      <c r="AC96" s="9"/>
      <c r="AD96" s="9"/>
      <c r="AE96" s="9"/>
      <c r="AF96" s="278"/>
      <c r="AG96" s="278"/>
      <c r="AH96" s="278"/>
      <c r="AI96" s="278"/>
      <c r="AJ96" s="278"/>
      <c r="AK96" s="9"/>
      <c r="AL96" s="256"/>
      <c r="AM96" s="256"/>
      <c r="AN96" s="256"/>
    </row>
    <row r="97" spans="1:51" s="21" customFormat="1" ht="18">
      <c r="B97" s="465" t="s">
        <v>234</v>
      </c>
      <c r="C97" s="17"/>
      <c r="D97" s="18"/>
      <c r="E97" s="18"/>
      <c r="F97" s="18"/>
      <c r="G97" s="18"/>
      <c r="H97" s="18"/>
      <c r="I97" s="18"/>
      <c r="J97" s="19"/>
      <c r="K97" s="17"/>
      <c r="L97" s="17"/>
      <c r="M97" s="17"/>
      <c r="N97" s="17"/>
      <c r="O97" s="17"/>
      <c r="P97" s="17"/>
      <c r="Q97" s="17"/>
      <c r="R97" s="17"/>
      <c r="S97" s="17"/>
      <c r="T97" s="17"/>
      <c r="U97" s="17"/>
      <c r="V97" s="17"/>
      <c r="W97" s="17"/>
      <c r="X97" s="451"/>
      <c r="Y97" s="451"/>
      <c r="Z97" s="17"/>
      <c r="AA97" s="17"/>
      <c r="AB97" s="17"/>
      <c r="AC97" s="17"/>
      <c r="AD97" s="17"/>
      <c r="AE97" s="17"/>
      <c r="AF97" s="28"/>
      <c r="AG97" s="28"/>
      <c r="AH97" s="28"/>
      <c r="AI97" s="28"/>
      <c r="AJ97" s="28"/>
      <c r="AK97" s="19"/>
      <c r="AL97" s="254"/>
      <c r="AM97" s="254"/>
      <c r="AN97" s="254"/>
    </row>
    <row r="98" spans="1:51" s="21" customFormat="1">
      <c r="B98" s="17"/>
      <c r="C98" s="17"/>
      <c r="D98" s="18"/>
      <c r="E98" s="18"/>
      <c r="F98" s="18"/>
      <c r="G98" s="18"/>
      <c r="H98" s="18"/>
      <c r="I98" s="18"/>
      <c r="J98" s="19"/>
      <c r="K98" s="17"/>
      <c r="L98" s="17"/>
      <c r="M98" s="17"/>
      <c r="N98" s="17"/>
      <c r="O98" s="17"/>
      <c r="P98" s="17"/>
      <c r="Q98" s="17"/>
      <c r="R98" s="17"/>
      <c r="S98" s="17"/>
      <c r="T98" s="17"/>
      <c r="U98" s="17"/>
      <c r="V98" s="17"/>
      <c r="W98" s="17"/>
      <c r="X98" s="451"/>
      <c r="Y98" s="451"/>
      <c r="Z98" s="17"/>
      <c r="AA98" s="17"/>
      <c r="AB98" s="17"/>
      <c r="AC98" s="17"/>
      <c r="AD98" s="17"/>
      <c r="AE98" s="17"/>
      <c r="AF98" s="28"/>
      <c r="AG98" s="28"/>
      <c r="AH98" s="28"/>
      <c r="AI98" s="28"/>
      <c r="AJ98" s="28"/>
      <c r="AK98" s="19"/>
      <c r="AL98" s="254"/>
      <c r="AM98" s="254"/>
      <c r="AN98" s="254"/>
    </row>
    <row r="99" spans="1:51" s="50" customFormat="1" ht="16" customHeight="1">
      <c r="A99" s="86"/>
      <c r="B99" s="2065" t="s">
        <v>37</v>
      </c>
      <c r="C99" s="2065" t="s">
        <v>38</v>
      </c>
      <c r="D99" s="2065" t="s">
        <v>242</v>
      </c>
      <c r="E99" s="2065"/>
      <c r="F99" s="2065"/>
      <c r="G99" s="2065"/>
      <c r="H99" s="2065"/>
      <c r="I99" s="2065"/>
      <c r="J99" s="2066" t="s">
        <v>297</v>
      </c>
      <c r="K99" s="2095" t="s">
        <v>169</v>
      </c>
      <c r="L99" s="2096"/>
      <c r="M99" s="2098" t="s">
        <v>841</v>
      </c>
      <c r="N99" s="2099"/>
      <c r="O99" s="2100"/>
      <c r="P99" s="2066" t="s">
        <v>302</v>
      </c>
      <c r="Q99" s="2087" t="s">
        <v>782</v>
      </c>
      <c r="R99" s="2063" t="s">
        <v>782</v>
      </c>
      <c r="S99" s="2063"/>
      <c r="T99" s="2063"/>
      <c r="U99" s="2063"/>
      <c r="V99" s="2063"/>
      <c r="W99" s="2064"/>
      <c r="X99" s="2087" t="s">
        <v>1538</v>
      </c>
      <c r="Y99" s="2089" t="s">
        <v>1539</v>
      </c>
      <c r="Z99" s="2093" t="s">
        <v>928</v>
      </c>
      <c r="AA99" s="2083" t="s">
        <v>934</v>
      </c>
      <c r="AB99" s="2083"/>
      <c r="AC99" s="2083"/>
      <c r="AD99" s="2083"/>
      <c r="AE99" s="2083"/>
      <c r="AF99" s="2097" t="s">
        <v>289</v>
      </c>
      <c r="AG99" s="2097"/>
      <c r="AH99" s="2097"/>
      <c r="AI99" s="2097"/>
      <c r="AJ99" s="2097"/>
      <c r="AK99" s="895" t="s">
        <v>41</v>
      </c>
      <c r="AL99" s="2075" t="s">
        <v>937</v>
      </c>
      <c r="AM99" s="2093" t="s">
        <v>723</v>
      </c>
      <c r="AN99" s="2087" t="s">
        <v>826</v>
      </c>
      <c r="AO99" s="49"/>
      <c r="AP99" s="49"/>
      <c r="AQ99" s="49"/>
      <c r="AR99" s="49"/>
      <c r="AS99" s="49"/>
      <c r="AT99" s="49"/>
      <c r="AU99" s="49"/>
      <c r="AV99" s="49"/>
      <c r="AW99" s="49"/>
      <c r="AX99" s="49"/>
      <c r="AY99" s="49"/>
    </row>
    <row r="100" spans="1:51" s="50" customFormat="1" ht="17">
      <c r="A100" s="86"/>
      <c r="B100" s="2065"/>
      <c r="C100" s="2065"/>
      <c r="D100" s="2065" t="s">
        <v>243</v>
      </c>
      <c r="E100" s="2065"/>
      <c r="F100" s="2065"/>
      <c r="G100" s="2065" t="s">
        <v>241</v>
      </c>
      <c r="H100" s="2065"/>
      <c r="I100" s="2065"/>
      <c r="J100" s="2065"/>
      <c r="K100" s="633" t="s">
        <v>170</v>
      </c>
      <c r="L100" s="633" t="s">
        <v>171</v>
      </c>
      <c r="M100" s="659" t="s">
        <v>813</v>
      </c>
      <c r="N100" s="659" t="s">
        <v>814</v>
      </c>
      <c r="O100" s="659" t="s">
        <v>927</v>
      </c>
      <c r="P100" s="2065"/>
      <c r="Q100" s="2088"/>
      <c r="R100" s="660" t="s">
        <v>171</v>
      </c>
      <c r="S100" s="661" t="s">
        <v>929</v>
      </c>
      <c r="T100" s="661" t="s">
        <v>930</v>
      </c>
      <c r="U100" s="661" t="s">
        <v>931</v>
      </c>
      <c r="V100" s="661" t="s">
        <v>932</v>
      </c>
      <c r="W100" s="661" t="s">
        <v>933</v>
      </c>
      <c r="X100" s="2088" t="s">
        <v>1023</v>
      </c>
      <c r="Y100" s="2090"/>
      <c r="Z100" s="2094"/>
      <c r="AA100" s="661" t="s">
        <v>929</v>
      </c>
      <c r="AB100" s="661" t="s">
        <v>930</v>
      </c>
      <c r="AC100" s="661" t="s">
        <v>931</v>
      </c>
      <c r="AD100" s="661" t="s">
        <v>932</v>
      </c>
      <c r="AE100" s="661" t="s">
        <v>933</v>
      </c>
      <c r="AF100" s="662" t="s">
        <v>290</v>
      </c>
      <c r="AG100" s="662" t="s">
        <v>291</v>
      </c>
      <c r="AH100" s="662" t="s">
        <v>292</v>
      </c>
      <c r="AI100" s="662" t="s">
        <v>293</v>
      </c>
      <c r="AJ100" s="662" t="s">
        <v>294</v>
      </c>
      <c r="AK100" s="633" t="s">
        <v>44</v>
      </c>
      <c r="AL100" s="2075"/>
      <c r="AM100" s="2094"/>
      <c r="AN100" s="2088"/>
      <c r="AO100" s="49"/>
      <c r="AP100" s="49"/>
      <c r="AQ100" s="49"/>
      <c r="AR100" s="49"/>
      <c r="AS100" s="49"/>
      <c r="AT100" s="49"/>
      <c r="AU100" s="49"/>
      <c r="AV100" s="49"/>
      <c r="AW100" s="49"/>
      <c r="AX100" s="49"/>
      <c r="AY100" s="49"/>
    </row>
    <row r="101" spans="1:51" s="55" customFormat="1">
      <c r="A101" s="21"/>
      <c r="B101" s="73" t="s">
        <v>83</v>
      </c>
      <c r="C101" s="73">
        <v>1</v>
      </c>
      <c r="D101" s="61" t="s">
        <v>84</v>
      </c>
      <c r="E101" s="105"/>
      <c r="F101" s="105"/>
      <c r="G101" s="105"/>
      <c r="H101" s="105"/>
      <c r="I101" s="62"/>
      <c r="J101" s="74" t="s">
        <v>175</v>
      </c>
      <c r="K101" s="75"/>
      <c r="L101" s="64"/>
      <c r="M101" s="64"/>
      <c r="N101" s="64"/>
      <c r="O101" s="64"/>
      <c r="P101" s="64"/>
      <c r="Q101" s="64"/>
      <c r="R101" s="64"/>
      <c r="S101" s="64"/>
      <c r="T101" s="64"/>
      <c r="U101" s="64"/>
      <c r="V101" s="64"/>
      <c r="W101" s="64"/>
      <c r="X101" s="64"/>
      <c r="Y101" s="64"/>
      <c r="Z101" s="64"/>
      <c r="AA101" s="64"/>
      <c r="AB101" s="64"/>
      <c r="AC101" s="64"/>
      <c r="AD101" s="64"/>
      <c r="AE101" s="64"/>
      <c r="AF101" s="276"/>
      <c r="AG101" s="276"/>
      <c r="AH101" s="276"/>
      <c r="AI101" s="276"/>
      <c r="AJ101" s="276"/>
      <c r="AK101" s="64"/>
      <c r="AL101" s="227" t="s">
        <v>1000</v>
      </c>
      <c r="AM101" s="474"/>
      <c r="AN101" s="665"/>
      <c r="AO101" s="51"/>
      <c r="AP101" s="51"/>
      <c r="AQ101" s="51"/>
      <c r="AR101" s="51"/>
      <c r="AS101" s="51"/>
      <c r="AT101" s="51"/>
      <c r="AU101" s="51"/>
      <c r="AV101" s="51"/>
      <c r="AW101" s="51"/>
      <c r="AX101" s="51"/>
      <c r="AY101" s="51"/>
    </row>
    <row r="102" spans="1:51" s="21" customFormat="1">
      <c r="B102" s="58" t="s">
        <v>83</v>
      </c>
      <c r="C102" s="58">
        <v>1</v>
      </c>
      <c r="D102" s="2060"/>
      <c r="E102" s="2061"/>
      <c r="F102" s="2062"/>
      <c r="G102" s="2069"/>
      <c r="H102" s="2070"/>
      <c r="I102" s="2071"/>
      <c r="J102" s="56"/>
      <c r="K102" s="57"/>
      <c r="L102" s="58"/>
      <c r="M102" s="58"/>
      <c r="N102" s="58"/>
      <c r="O102" s="221" t="str">
        <f t="array" ref="O102">IFERROR(INDEX('Conversion factors_2'!$B$10:$CY$111,MATCH('I - Stationary'!$M102,'Conversion factors_2'!$B$10:$B$111,FALSE),HLOOKUP('I - Stationary'!N102,'Conversion factors_2'!$B$8:$CY$9,2,FALSE)),"")</f>
        <v/>
      </c>
      <c r="P102" s="58"/>
      <c r="Q102" s="58"/>
      <c r="R102" s="221" t="str">
        <f>IFERROR(CONCATENATE("tCO2e/",VLOOKUP($Q102,'Emission factors'!$D:$J,7,FALSE)),"")</f>
        <v/>
      </c>
      <c r="S102" s="221" t="str">
        <f>IFERROR(VLOOKUP($Q102,'Emission factors'!$D:$X,10,FALSE),"")</f>
        <v/>
      </c>
      <c r="T102" s="221" t="str">
        <f>IFERROR(VLOOKUP($Q102,'Emission factors'!$D:$X,12,FALSE),"")</f>
        <v/>
      </c>
      <c r="U102" s="221" t="str">
        <f>IFERROR(VLOOKUP($Q102,'Emission factors'!$D:$X,14,FALSE),"")</f>
        <v/>
      </c>
      <c r="V102" s="221" t="str">
        <f>IFERROR(VLOOKUP($Q102,'Emission factors'!$D:$X,16,FALSE),"")</f>
        <v/>
      </c>
      <c r="W102" s="221" t="str">
        <f>IFERROR(VLOOKUP($Q102,'Emission factors'!$D:$X,18,FALSE),"")</f>
        <v/>
      </c>
      <c r="X102" s="221" t="str">
        <f>IF(K102="","",1)</f>
        <v/>
      </c>
      <c r="Y102" s="58"/>
      <c r="Z102" s="58"/>
      <c r="AA102" s="58"/>
      <c r="AB102" s="58"/>
      <c r="AC102" s="58"/>
      <c r="AD102" s="58"/>
      <c r="AE102" s="58"/>
      <c r="AF102" s="275" t="str">
        <f>IFERROR(IF(AND($Q102="",$Z102=""),"",IF($Q102="",IF(AA102=0,"-",AA102),IF(S102=0,"0",$K102*IF($O102="",1,$O102)*S102*IF(Y102="",X102,Y102)))),"-")</f>
        <v/>
      </c>
      <c r="AG102" s="275" t="str">
        <f t="shared" ref="AG102:AH103" si="18">IFERROR(IF(AND($Q102="",$Z102=""),"",IF($Q102="",IF(AB102=0,"-",AB102),IF(T102=0,"0",$K102*IF($O102="",1,$O102)*T102))),"-")</f>
        <v/>
      </c>
      <c r="AH102" s="275" t="str">
        <f t="shared" si="18"/>
        <v/>
      </c>
      <c r="AI102" s="275" t="str">
        <f>IFERROR(IF(AND($Q102="",$Z102=""),"",IF($Q102="",IF(AD102="",SUM(AA102:AC102),IF(AD102=0,"0",AD102)),IF($V102="",SUM($AF102:$AH102),IF($V102=0,"0",$K102*IF($O102="",1,$O102)*$V102)))),"-")</f>
        <v/>
      </c>
      <c r="AJ102" s="275" t="str">
        <f>IFERROR(IF(AND($Q102="",$Z102=""),"",IF($Q102="",IF(AE102=0,"-",AE102),IF(W102=0,"0",$K102*IF($O102="",1,$O102)*W102*IF(Y102="",X102,Y102)))),"-")</f>
        <v/>
      </c>
      <c r="AK102" s="58"/>
      <c r="AL102" s="225"/>
      <c r="AM102" s="473"/>
      <c r="AN102" s="268"/>
    </row>
    <row r="103" spans="1:51" s="21" customFormat="1">
      <c r="A103" s="38"/>
      <c r="B103" s="56" t="s">
        <v>83</v>
      </c>
      <c r="C103" s="56">
        <v>1</v>
      </c>
      <c r="D103" s="2060"/>
      <c r="E103" s="2061"/>
      <c r="F103" s="2062"/>
      <c r="G103" s="2069"/>
      <c r="H103" s="2070"/>
      <c r="I103" s="2071"/>
      <c r="J103" s="56"/>
      <c r="K103" s="57"/>
      <c r="L103" s="58"/>
      <c r="M103" s="58"/>
      <c r="N103" s="58"/>
      <c r="O103" s="221" t="str">
        <f t="array" ref="O103">IFERROR(INDEX('Conversion factors_2'!$B$10:$CY$111,MATCH('I - Stationary'!$M103,'Conversion factors_2'!$B$10:$B$111,FALSE),HLOOKUP('I - Stationary'!N103,'Conversion factors_2'!$B$8:$CY$9,2,FALSE)),"")</f>
        <v/>
      </c>
      <c r="P103" s="58"/>
      <c r="Q103" s="58"/>
      <c r="R103" s="221" t="str">
        <f>IFERROR(CONCATENATE("tCO2e/",VLOOKUP($Q103,'Emission factors'!$D:$J,7,FALSE)),"")</f>
        <v/>
      </c>
      <c r="S103" s="221" t="str">
        <f>IFERROR(VLOOKUP($Q103,'Emission factors'!$D:$X,10,FALSE),"")</f>
        <v/>
      </c>
      <c r="T103" s="221" t="str">
        <f>IFERROR(VLOOKUP($Q103,'Emission factors'!$D:$X,12,FALSE),"")</f>
        <v/>
      </c>
      <c r="U103" s="221" t="str">
        <f>IFERROR(VLOOKUP($Q103,'Emission factors'!$D:$X,14,FALSE),"")</f>
        <v/>
      </c>
      <c r="V103" s="221" t="str">
        <f>IFERROR(VLOOKUP($Q103,'Emission factors'!$D:$X,16,FALSE),"")</f>
        <v/>
      </c>
      <c r="W103" s="221" t="str">
        <f>IFERROR(VLOOKUP($Q103,'Emission factors'!$D:$X,18,FALSE),"")</f>
        <v/>
      </c>
      <c r="X103" s="221" t="str">
        <f>IF(K103="","",1)</f>
        <v/>
      </c>
      <c r="Y103" s="58"/>
      <c r="Z103" s="56"/>
      <c r="AA103" s="58"/>
      <c r="AB103" s="58"/>
      <c r="AC103" s="58"/>
      <c r="AD103" s="58"/>
      <c r="AE103" s="58"/>
      <c r="AF103" s="275" t="str">
        <f>IFERROR(IF(AND($Q103="",$Z103=""),"",IF($Q103="",IF(AA103=0,"-",AA103),IF(S103=0,"0",$K103*IF($O103="",1,$O103)*S103*IF(Y103="",X103,Y103)))),"-")</f>
        <v/>
      </c>
      <c r="AG103" s="472" t="str">
        <f t="shared" si="18"/>
        <v/>
      </c>
      <c r="AH103" s="472" t="str">
        <f t="shared" si="18"/>
        <v/>
      </c>
      <c r="AI103" s="472" t="str">
        <f>IFERROR(IF(AND($Q103="",$Z103=""),"",IF($Q103="",IF(AD103="",SUM(AA103:AC103),IF(AD103=0,"0",AD103)),IF($V103="",SUM($AF103:$AH103),IF($V103=0,"0",$K103*IF($O103="",1,$O103)*$V103)))),"-")</f>
        <v/>
      </c>
      <c r="AJ103" s="275" t="str">
        <f>IFERROR(IF(AND($Q103="",$Z103=""),"",IF($Q103="",IF(AE103=0,"-",AE103),IF(W103=0,"0",$K103*IF($O103="",1,$O103)*W103*IF(Y103="",X103,Y103)))),"-")</f>
        <v/>
      </c>
      <c r="AK103" s="58"/>
      <c r="AL103" s="255"/>
      <c r="AM103" s="473"/>
      <c r="AN103" s="268"/>
    </row>
    <row r="104" spans="1:51" s="22" customFormat="1">
      <c r="B104" s="11"/>
      <c r="C104" s="11"/>
      <c r="D104" s="12"/>
      <c r="E104" s="12"/>
      <c r="F104" s="12"/>
      <c r="G104" s="12"/>
      <c r="H104" s="12"/>
      <c r="I104" s="12"/>
      <c r="J104" s="7"/>
      <c r="K104" s="7"/>
      <c r="L104" s="7"/>
      <c r="M104" s="7"/>
      <c r="N104" s="7"/>
      <c r="O104" s="7"/>
      <c r="P104" s="7"/>
      <c r="Q104" s="7"/>
      <c r="R104" s="7"/>
      <c r="S104" s="7"/>
      <c r="T104" s="7"/>
      <c r="U104" s="7"/>
      <c r="V104" s="7"/>
      <c r="W104" s="7"/>
      <c r="X104" s="7"/>
      <c r="Y104" s="7"/>
      <c r="Z104" s="7"/>
      <c r="AA104" s="7"/>
      <c r="AB104" s="7"/>
      <c r="AC104" s="7"/>
      <c r="AD104" s="7"/>
      <c r="AE104" s="7"/>
      <c r="AF104" s="10"/>
      <c r="AG104" s="10"/>
      <c r="AH104" s="10"/>
      <c r="AI104" s="10"/>
      <c r="AJ104" s="10"/>
      <c r="AK104" s="7"/>
      <c r="AL104" s="256"/>
      <c r="AM104" s="256"/>
      <c r="AN104" s="256"/>
    </row>
    <row r="105" spans="1:51" s="21" customFormat="1" ht="18">
      <c r="B105" s="465" t="s">
        <v>235</v>
      </c>
      <c r="C105" s="17"/>
      <c r="D105" s="18"/>
      <c r="E105" s="18"/>
      <c r="F105" s="18"/>
      <c r="G105" s="18"/>
      <c r="H105" s="18"/>
      <c r="I105" s="18"/>
      <c r="J105" s="19"/>
      <c r="K105" s="17"/>
      <c r="L105" s="17"/>
      <c r="M105" s="17"/>
      <c r="N105" s="17"/>
      <c r="O105" s="17"/>
      <c r="P105" s="17"/>
      <c r="Q105" s="17"/>
      <c r="R105" s="17"/>
      <c r="S105" s="17"/>
      <c r="T105" s="17"/>
      <c r="U105" s="17"/>
      <c r="V105" s="17"/>
      <c r="W105" s="17"/>
      <c r="X105" s="451"/>
      <c r="Y105" s="451"/>
      <c r="Z105" s="17"/>
      <c r="AA105" s="17"/>
      <c r="AB105" s="17"/>
      <c r="AC105" s="17"/>
      <c r="AD105" s="17"/>
      <c r="AE105" s="17"/>
      <c r="AF105" s="28"/>
      <c r="AG105" s="28"/>
      <c r="AH105" s="28"/>
      <c r="AI105" s="28"/>
      <c r="AJ105" s="28"/>
      <c r="AK105" s="19"/>
      <c r="AL105" s="254"/>
      <c r="AM105" s="254"/>
      <c r="AN105" s="254"/>
    </row>
    <row r="106" spans="1:51" s="22" customFormat="1">
      <c r="B106" s="11"/>
      <c r="C106" s="11"/>
      <c r="D106" s="12"/>
      <c r="E106" s="12"/>
      <c r="F106" s="12"/>
      <c r="G106" s="12"/>
      <c r="H106" s="12"/>
      <c r="I106" s="12"/>
      <c r="J106" s="7"/>
      <c r="K106" s="7"/>
      <c r="L106" s="7"/>
      <c r="M106" s="7"/>
      <c r="N106" s="7"/>
      <c r="O106" s="7"/>
      <c r="P106" s="7"/>
      <c r="Q106" s="7"/>
      <c r="R106" s="7"/>
      <c r="S106" s="7"/>
      <c r="T106" s="7"/>
      <c r="U106" s="7"/>
      <c r="V106" s="7"/>
      <c r="W106" s="7"/>
      <c r="X106" s="7"/>
      <c r="Y106" s="7"/>
      <c r="Z106" s="7"/>
      <c r="AA106" s="7"/>
      <c r="AB106" s="7"/>
      <c r="AC106" s="7"/>
      <c r="AD106" s="7"/>
      <c r="AE106" s="7"/>
      <c r="AF106" s="10"/>
      <c r="AG106" s="10"/>
      <c r="AH106" s="10"/>
      <c r="AI106" s="10"/>
      <c r="AJ106" s="10"/>
      <c r="AK106" s="7"/>
      <c r="AL106" s="256"/>
      <c r="AM106" s="256"/>
      <c r="AN106" s="256"/>
    </row>
    <row r="107" spans="1:51" s="50" customFormat="1" ht="16" customHeight="1">
      <c r="A107" s="86"/>
      <c r="B107" s="2065" t="s">
        <v>37</v>
      </c>
      <c r="C107" s="2065" t="s">
        <v>38</v>
      </c>
      <c r="D107" s="2065" t="s">
        <v>242</v>
      </c>
      <c r="E107" s="2065"/>
      <c r="F107" s="2065"/>
      <c r="G107" s="2065"/>
      <c r="H107" s="2065"/>
      <c r="I107" s="2065"/>
      <c r="J107" s="2066" t="s">
        <v>297</v>
      </c>
      <c r="K107" s="2095" t="s">
        <v>169</v>
      </c>
      <c r="L107" s="2096"/>
      <c r="M107" s="2098" t="s">
        <v>841</v>
      </c>
      <c r="N107" s="2099"/>
      <c r="O107" s="2100"/>
      <c r="P107" s="2066" t="s">
        <v>302</v>
      </c>
      <c r="Q107" s="2087" t="s">
        <v>782</v>
      </c>
      <c r="R107" s="2063" t="s">
        <v>782</v>
      </c>
      <c r="S107" s="2063"/>
      <c r="T107" s="2063"/>
      <c r="U107" s="2063"/>
      <c r="V107" s="2063"/>
      <c r="W107" s="2064"/>
      <c r="X107" s="2087" t="s">
        <v>1538</v>
      </c>
      <c r="Y107" s="2089" t="s">
        <v>1539</v>
      </c>
      <c r="Z107" s="2093" t="s">
        <v>928</v>
      </c>
      <c r="AA107" s="2083" t="s">
        <v>934</v>
      </c>
      <c r="AB107" s="2083"/>
      <c r="AC107" s="2083"/>
      <c r="AD107" s="2083"/>
      <c r="AE107" s="2083"/>
      <c r="AF107" s="2097" t="s">
        <v>289</v>
      </c>
      <c r="AG107" s="2097"/>
      <c r="AH107" s="2097"/>
      <c r="AI107" s="2097"/>
      <c r="AJ107" s="2097"/>
      <c r="AK107" s="895" t="s">
        <v>41</v>
      </c>
      <c r="AL107" s="2075" t="s">
        <v>937</v>
      </c>
      <c r="AM107" s="2093" t="s">
        <v>723</v>
      </c>
      <c r="AN107" s="2087" t="s">
        <v>826</v>
      </c>
      <c r="AO107" s="49"/>
      <c r="AP107" s="49"/>
      <c r="AQ107" s="49"/>
      <c r="AR107" s="49"/>
      <c r="AS107" s="49"/>
      <c r="AT107" s="49"/>
      <c r="AU107" s="49"/>
      <c r="AV107" s="49"/>
      <c r="AW107" s="49"/>
      <c r="AX107" s="49"/>
      <c r="AY107" s="49"/>
    </row>
    <row r="108" spans="1:51" s="50" customFormat="1" ht="17">
      <c r="A108" s="86"/>
      <c r="B108" s="2065"/>
      <c r="C108" s="2065"/>
      <c r="D108" s="2065" t="s">
        <v>243</v>
      </c>
      <c r="E108" s="2065"/>
      <c r="F108" s="2065"/>
      <c r="G108" s="2065" t="s">
        <v>241</v>
      </c>
      <c r="H108" s="2065"/>
      <c r="I108" s="2065"/>
      <c r="J108" s="2065"/>
      <c r="K108" s="633" t="s">
        <v>170</v>
      </c>
      <c r="L108" s="633" t="s">
        <v>171</v>
      </c>
      <c r="M108" s="659" t="s">
        <v>813</v>
      </c>
      <c r="N108" s="659" t="s">
        <v>814</v>
      </c>
      <c r="O108" s="659" t="s">
        <v>927</v>
      </c>
      <c r="P108" s="2065"/>
      <c r="Q108" s="2088"/>
      <c r="R108" s="660" t="s">
        <v>171</v>
      </c>
      <c r="S108" s="661" t="s">
        <v>929</v>
      </c>
      <c r="T108" s="661" t="s">
        <v>930</v>
      </c>
      <c r="U108" s="661" t="s">
        <v>931</v>
      </c>
      <c r="V108" s="661" t="s">
        <v>932</v>
      </c>
      <c r="W108" s="661" t="s">
        <v>933</v>
      </c>
      <c r="X108" s="2088" t="s">
        <v>1023</v>
      </c>
      <c r="Y108" s="2090"/>
      <c r="Z108" s="2094"/>
      <c r="AA108" s="661" t="s">
        <v>929</v>
      </c>
      <c r="AB108" s="661" t="s">
        <v>930</v>
      </c>
      <c r="AC108" s="661" t="s">
        <v>931</v>
      </c>
      <c r="AD108" s="661" t="s">
        <v>932</v>
      </c>
      <c r="AE108" s="661" t="s">
        <v>933</v>
      </c>
      <c r="AF108" s="662" t="s">
        <v>290</v>
      </c>
      <c r="AG108" s="662" t="s">
        <v>291</v>
      </c>
      <c r="AH108" s="662" t="s">
        <v>292</v>
      </c>
      <c r="AI108" s="662" t="s">
        <v>293</v>
      </c>
      <c r="AJ108" s="662" t="s">
        <v>294</v>
      </c>
      <c r="AK108" s="633" t="s">
        <v>44</v>
      </c>
      <c r="AL108" s="2075"/>
      <c r="AM108" s="2094"/>
      <c r="AN108" s="2088"/>
      <c r="AO108" s="49"/>
      <c r="AP108" s="49"/>
      <c r="AQ108" s="49"/>
      <c r="AR108" s="49"/>
      <c r="AS108" s="49"/>
      <c r="AT108" s="49"/>
      <c r="AU108" s="49"/>
      <c r="AV108" s="49"/>
      <c r="AW108" s="49"/>
      <c r="AX108" s="49"/>
      <c r="AY108" s="49"/>
    </row>
    <row r="109" spans="1:51" s="55" customFormat="1">
      <c r="A109" s="21"/>
      <c r="B109" s="73" t="s">
        <v>86</v>
      </c>
      <c r="C109" s="73">
        <v>1</v>
      </c>
      <c r="D109" s="61" t="s">
        <v>84</v>
      </c>
      <c r="E109" s="105"/>
      <c r="F109" s="105"/>
      <c r="G109" s="105"/>
      <c r="H109" s="105"/>
      <c r="I109" s="62"/>
      <c r="J109" s="74"/>
      <c r="K109" s="74"/>
      <c r="L109" s="74"/>
      <c r="M109" s="64"/>
      <c r="N109" s="64"/>
      <c r="O109" s="64"/>
      <c r="P109" s="64"/>
      <c r="Q109" s="64"/>
      <c r="R109" s="64"/>
      <c r="S109" s="64"/>
      <c r="T109" s="64"/>
      <c r="U109" s="64"/>
      <c r="V109" s="64"/>
      <c r="W109" s="64"/>
      <c r="X109" s="64"/>
      <c r="Y109" s="64"/>
      <c r="Z109" s="64"/>
      <c r="AA109" s="64"/>
      <c r="AB109" s="64"/>
      <c r="AC109" s="64"/>
      <c r="AD109" s="64"/>
      <c r="AE109" s="64"/>
      <c r="AF109" s="671"/>
      <c r="AG109" s="671"/>
      <c r="AH109" s="671"/>
      <c r="AI109" s="671"/>
      <c r="AJ109" s="671"/>
      <c r="AK109" s="64"/>
      <c r="AL109" s="227"/>
      <c r="AM109" s="474"/>
      <c r="AN109" s="665"/>
      <c r="AO109" s="51"/>
      <c r="AP109" s="51"/>
      <c r="AQ109" s="51"/>
      <c r="AR109" s="51"/>
      <c r="AS109" s="51"/>
      <c r="AT109" s="51"/>
      <c r="AU109" s="51"/>
      <c r="AV109" s="51"/>
      <c r="AW109" s="51"/>
      <c r="AX109" s="51"/>
      <c r="AY109" s="51"/>
    </row>
    <row r="110" spans="1:51" s="21" customFormat="1">
      <c r="B110" s="58" t="s">
        <v>86</v>
      </c>
      <c r="C110" s="58">
        <v>1</v>
      </c>
      <c r="D110" s="2060" t="s">
        <v>663</v>
      </c>
      <c r="E110" s="2061"/>
      <c r="F110" s="2062"/>
      <c r="G110" s="2069"/>
      <c r="H110" s="2070"/>
      <c r="I110" s="2071"/>
      <c r="J110" s="56"/>
      <c r="K110" s="57">
        <f>K15+K29</f>
        <v>3500</v>
      </c>
      <c r="L110" s="58" t="s">
        <v>880</v>
      </c>
      <c r="M110" s="58"/>
      <c r="N110" s="58"/>
      <c r="O110" s="221" t="str">
        <f t="array" ref="O110">IFERROR(INDEX('Conversion factors_2'!$B$10:$CY$111,MATCH('I - Stationary'!$M110,'Conversion factors_2'!$B$10:$B$111,FALSE),HLOOKUP('I - Stationary'!N110,'Conversion factors_2'!$B$8:$CY$9,2,FALSE)),"")</f>
        <v/>
      </c>
      <c r="P110" s="58"/>
      <c r="Q110" s="58"/>
      <c r="R110" s="221" t="str">
        <f>IFERROR(CONCATENATE("tCO2e/",VLOOKUP($Q110,'Emission factors'!$D:$J,7,FALSE)),"")</f>
        <v/>
      </c>
      <c r="S110" s="221" t="str">
        <f>IFERROR(VLOOKUP($Q110,'Emission factors'!$D:$X,10,FALSE),"")</f>
        <v/>
      </c>
      <c r="T110" s="221" t="str">
        <f>IFERROR(VLOOKUP($Q110,'Emission factors'!$D:$X,12,FALSE),"")</f>
        <v/>
      </c>
      <c r="U110" s="221" t="str">
        <f>IFERROR(VLOOKUP($Q110,'Emission factors'!$D:$X,14,FALSE),"")</f>
        <v/>
      </c>
      <c r="V110" s="221" t="str">
        <f>IFERROR(VLOOKUP($Q110,'Emission factors'!$D:$X,16,FALSE),"")</f>
        <v/>
      </c>
      <c r="W110" s="221" t="str">
        <f>IFERROR(VLOOKUP($Q110,'Emission factors'!$D:$X,18,FALSE),"")</f>
        <v/>
      </c>
      <c r="X110" s="221">
        <f>IF(K110="","",1)</f>
        <v>1</v>
      </c>
      <c r="Y110" s="58"/>
      <c r="Z110" s="58" t="s">
        <v>982</v>
      </c>
      <c r="AA110" s="57">
        <f>'Fugitive gas'!D32</f>
        <v>19.125000005354998</v>
      </c>
      <c r="AB110" s="57">
        <f>'Fugitive gas'!E32</f>
        <v>11550.000003233999</v>
      </c>
      <c r="AC110" s="58"/>
      <c r="AD110" s="58"/>
      <c r="AE110" s="58"/>
      <c r="AF110" s="275">
        <f>IFERROR(IF(AND($Q110="",$Z110=""),"",IF($Q110="",IF(AA110=0,"-",AA110),IF(S110=0,"0",$K110*IF($O110="",1,$O110)*S110*IF(Y110="",X110,Y110)))),"-")</f>
        <v>19.125000005354998</v>
      </c>
      <c r="AG110" s="275">
        <f t="shared" ref="AG110:AH111" si="19">IFERROR(IF(AND($Q110="",$Z110=""),"",IF($Q110="",IF(AB110=0,"-",AB110),IF(T110=0,"0",$K110*IF($O110="",1,$O110)*T110))),"-")</f>
        <v>11550.000003233999</v>
      </c>
      <c r="AH110" s="275" t="str">
        <f t="shared" si="19"/>
        <v>-</v>
      </c>
      <c r="AI110" s="275">
        <f>IFERROR(IF(AND($Q110="",$Z110=""),"",IF($Q110="",IF(AD110="",SUM(AA110:AC110),IF(AD110=0,"0",AD110)),IF($V110="",SUM($AF110:$AH110),IF($V110=0,"0",$K110*IF($O110="",1,$O110)*$V110)))),"-")</f>
        <v>11569.125003239355</v>
      </c>
      <c r="AJ110" s="275" t="str">
        <f>IFERROR(IF(AND($Q110="",$Z110=""),"",IF($Q110="",IF(AE110=0,"-",AE110),IF(W110=0,"0",$K110*IF($O110="",1,$O110)*W110*IF(Y110="",X110,Y110)))),"-")</f>
        <v>-</v>
      </c>
      <c r="AK110" s="58" t="s">
        <v>179</v>
      </c>
      <c r="AL110" s="225" t="s">
        <v>2661</v>
      </c>
      <c r="AM110" s="473" t="s">
        <v>2527</v>
      </c>
      <c r="AN110" s="268"/>
    </row>
    <row r="111" spans="1:51" s="21" customFormat="1">
      <c r="A111" s="38"/>
      <c r="B111" s="56" t="s">
        <v>86</v>
      </c>
      <c r="C111" s="56">
        <v>1</v>
      </c>
      <c r="D111" s="2060"/>
      <c r="E111" s="2061"/>
      <c r="F111" s="2062"/>
      <c r="G111" s="2069"/>
      <c r="H111" s="2070"/>
      <c r="I111" s="2071"/>
      <c r="J111" s="56"/>
      <c r="K111" s="57"/>
      <c r="L111" s="58"/>
      <c r="M111" s="58"/>
      <c r="N111" s="58"/>
      <c r="O111" s="221" t="str">
        <f t="array" ref="O111">IFERROR(INDEX('Conversion factors_2'!$B$10:$CY$111,MATCH('I - Stationary'!$M111,'Conversion factors_2'!$B$10:$B$111,FALSE),HLOOKUP('I - Stationary'!N111,'Conversion factors_2'!$B$8:$CY$9,2,FALSE)),"")</f>
        <v/>
      </c>
      <c r="P111" s="58"/>
      <c r="Q111" s="58"/>
      <c r="R111" s="221" t="str">
        <f>IFERROR(CONCATENATE("tCO2e/",VLOOKUP($Q111,'Emission factors'!$D:$J,7,FALSE)),"")</f>
        <v/>
      </c>
      <c r="S111" s="221" t="str">
        <f>IFERROR(VLOOKUP($Q111,'Emission factors'!$D:$X,10,FALSE),"")</f>
        <v/>
      </c>
      <c r="T111" s="221" t="str">
        <f>IFERROR(VLOOKUP($Q111,'Emission factors'!$D:$X,12,FALSE),"")</f>
        <v/>
      </c>
      <c r="U111" s="221" t="str">
        <f>IFERROR(VLOOKUP($Q111,'Emission factors'!$D:$X,14,FALSE),"")</f>
        <v/>
      </c>
      <c r="V111" s="221" t="str">
        <f>IFERROR(VLOOKUP($Q111,'Emission factors'!$D:$X,16,FALSE),"")</f>
        <v/>
      </c>
      <c r="W111" s="221" t="str">
        <f>IFERROR(VLOOKUP($Q111,'Emission factors'!$D:$X,18,FALSE),"")</f>
        <v/>
      </c>
      <c r="X111" s="221" t="str">
        <f>IF(K111="","",1)</f>
        <v/>
      </c>
      <c r="Y111" s="58"/>
      <c r="Z111" s="56"/>
      <c r="AA111" s="58"/>
      <c r="AB111" s="58"/>
      <c r="AC111" s="58"/>
      <c r="AD111" s="58"/>
      <c r="AE111" s="58"/>
      <c r="AF111" s="275" t="str">
        <f>IFERROR(IF(AND($Q111="",$Z111=""),"",IF($Q111="",IF(AA111=0,"-",AA111),IF(S111=0,"0",$K111*IF($O111="",1,$O111)*S111*IF(Y111="",X111,Y111)))),"-")</f>
        <v/>
      </c>
      <c r="AG111" s="472" t="str">
        <f t="shared" si="19"/>
        <v/>
      </c>
      <c r="AH111" s="472" t="str">
        <f t="shared" si="19"/>
        <v/>
      </c>
      <c r="AI111" s="472" t="str">
        <f>IFERROR(IF(AND($Q111="",$Z111=""),"",IF($Q111="",IF(AD111="",SUM(AA111:AC111),IF(AD111=0,"0",AD111)),IF($V111="",SUM($AF111:$AH111),IF($V111=0,"0",$K111*IF($O111="",1,$O111)*$V111)))),"-")</f>
        <v/>
      </c>
      <c r="AJ111" s="275" t="str">
        <f>IFERROR(IF(AND($Q111="",$Z111=""),"",IF($Q111="",IF(AE111=0,"-",AE111),IF(W111=0,"0",$K111*IF($O111="",1,$O111)*W111*IF(Y111="",X111,Y111)))),"-")</f>
        <v/>
      </c>
      <c r="AK111" s="58"/>
      <c r="AL111" s="255"/>
      <c r="AM111" s="473"/>
      <c r="AN111" s="268"/>
    </row>
    <row r="112" spans="1:51" s="21" customFormat="1" ht="15" customHeight="1">
      <c r="B112" s="86"/>
      <c r="C112" s="86"/>
      <c r="K112" s="38"/>
      <c r="L112" s="38"/>
      <c r="M112" s="38"/>
      <c r="N112" s="38"/>
      <c r="O112" s="38"/>
      <c r="P112" s="38"/>
      <c r="Q112" s="38"/>
      <c r="R112" s="38"/>
      <c r="S112" s="38"/>
      <c r="T112" s="38"/>
      <c r="U112" s="38"/>
      <c r="V112" s="38"/>
      <c r="W112" s="38"/>
      <c r="X112" s="38"/>
      <c r="Y112" s="38"/>
      <c r="Z112" s="38"/>
      <c r="AA112" s="38"/>
      <c r="AB112" s="38"/>
      <c r="AC112" s="38"/>
      <c r="AD112" s="38"/>
      <c r="AE112" s="38"/>
      <c r="AF112" s="274"/>
      <c r="AG112" s="274"/>
      <c r="AH112" s="274"/>
      <c r="AI112" s="274"/>
      <c r="AJ112" s="274"/>
      <c r="AL112" s="269"/>
      <c r="AM112" s="269"/>
      <c r="AN112" s="269"/>
    </row>
    <row r="113" spans="2:40" s="22" customFormat="1" ht="15" customHeight="1">
      <c r="B113" s="99" t="s">
        <v>618</v>
      </c>
      <c r="C113" s="25"/>
      <c r="D113" s="26"/>
      <c r="E113" s="26"/>
      <c r="F113" s="26"/>
      <c r="G113" s="26"/>
      <c r="H113" s="26"/>
      <c r="I113" s="26"/>
      <c r="K113" s="27"/>
      <c r="L113" s="27"/>
      <c r="M113" s="27"/>
      <c r="N113" s="27"/>
      <c r="O113" s="27"/>
      <c r="P113" s="27"/>
      <c r="Q113" s="27"/>
      <c r="R113" s="27"/>
      <c r="S113" s="27"/>
      <c r="T113" s="27"/>
      <c r="U113" s="27"/>
      <c r="V113" s="27"/>
      <c r="W113" s="27"/>
      <c r="X113" s="27"/>
      <c r="Y113" s="27"/>
      <c r="Z113" s="27"/>
      <c r="AA113" s="27"/>
      <c r="AB113" s="27"/>
      <c r="AC113" s="27"/>
      <c r="AD113" s="27"/>
      <c r="AE113" s="27"/>
      <c r="AF113" s="273"/>
      <c r="AG113" s="273"/>
      <c r="AH113" s="273"/>
      <c r="AI113" s="273"/>
      <c r="AJ113" s="273"/>
      <c r="AL113" s="267"/>
      <c r="AM113" s="267"/>
      <c r="AN113" s="267"/>
    </row>
    <row r="114" spans="2:40" s="22" customFormat="1">
      <c r="B114" s="15"/>
      <c r="C114" s="15"/>
      <c r="D114" s="15"/>
      <c r="E114" s="26"/>
      <c r="F114" s="26"/>
      <c r="G114" s="26"/>
      <c r="H114" s="26"/>
      <c r="I114" s="26"/>
      <c r="K114" s="27"/>
      <c r="L114" s="27"/>
      <c r="M114" s="27"/>
      <c r="N114" s="27"/>
      <c r="O114" s="27"/>
      <c r="P114" s="27"/>
      <c r="Q114" s="27"/>
      <c r="R114" s="27"/>
      <c r="S114" s="27"/>
      <c r="T114" s="27"/>
      <c r="U114" s="27"/>
      <c r="V114" s="27"/>
      <c r="W114" s="27"/>
      <c r="X114" s="27"/>
      <c r="Y114" s="27"/>
      <c r="Z114" s="27"/>
      <c r="AA114" s="27"/>
      <c r="AB114" s="27"/>
      <c r="AC114" s="27"/>
      <c r="AD114" s="27"/>
      <c r="AE114" s="27"/>
      <c r="AF114" s="273"/>
      <c r="AG114" s="273"/>
      <c r="AH114" s="273"/>
      <c r="AI114" s="273"/>
      <c r="AJ114" s="273"/>
      <c r="AL114" s="267"/>
      <c r="AM114" s="267"/>
      <c r="AN114" s="267"/>
    </row>
    <row r="115" spans="2:40" s="22" customFormat="1">
      <c r="B115" s="25"/>
      <c r="C115" s="25"/>
      <c r="D115" s="26"/>
      <c r="E115" s="26"/>
      <c r="F115" s="26"/>
      <c r="G115" s="26"/>
      <c r="H115" s="26"/>
      <c r="I115" s="26"/>
      <c r="K115" s="27"/>
      <c r="L115" s="27"/>
      <c r="M115" s="27"/>
      <c r="N115" s="27"/>
      <c r="O115" s="27"/>
      <c r="P115" s="27"/>
      <c r="Q115" s="27"/>
      <c r="R115" s="27"/>
      <c r="S115" s="27"/>
      <c r="T115" s="27"/>
      <c r="U115" s="27"/>
      <c r="V115" s="27"/>
      <c r="W115" s="27"/>
      <c r="X115" s="27"/>
      <c r="Y115" s="27"/>
      <c r="Z115" s="27"/>
      <c r="AA115" s="27"/>
      <c r="AB115" s="27"/>
      <c r="AC115" s="27"/>
      <c r="AD115" s="27"/>
      <c r="AE115" s="27"/>
      <c r="AF115" s="273"/>
      <c r="AG115" s="273"/>
      <c r="AH115" s="273"/>
      <c r="AI115" s="273"/>
      <c r="AJ115" s="273"/>
      <c r="AL115" s="267"/>
      <c r="AM115" s="267"/>
      <c r="AN115" s="267"/>
    </row>
    <row r="116" spans="2:40" s="22" customFormat="1">
      <c r="B116" s="25"/>
      <c r="C116" s="25"/>
      <c r="D116" s="26"/>
      <c r="E116" s="26"/>
      <c r="F116" s="26"/>
      <c r="G116" s="26"/>
      <c r="H116" s="26"/>
      <c r="I116" s="26"/>
      <c r="K116" s="27"/>
      <c r="L116" s="27"/>
      <c r="M116" s="27"/>
      <c r="N116" s="27"/>
      <c r="O116" s="27"/>
      <c r="P116" s="27"/>
      <c r="Q116" s="27"/>
      <c r="R116" s="27"/>
      <c r="S116" s="27"/>
      <c r="T116" s="27"/>
      <c r="U116" s="27"/>
      <c r="V116" s="27"/>
      <c r="W116" s="27"/>
      <c r="X116" s="27"/>
      <c r="Y116" s="27"/>
      <c r="Z116" s="27"/>
      <c r="AA116" s="27"/>
      <c r="AB116" s="27"/>
      <c r="AC116" s="27"/>
      <c r="AD116" s="27"/>
      <c r="AE116" s="27"/>
      <c r="AF116" s="273"/>
      <c r="AG116" s="273"/>
      <c r="AH116" s="273"/>
      <c r="AI116" s="273"/>
      <c r="AJ116" s="273"/>
      <c r="AL116" s="267"/>
      <c r="AM116" s="267"/>
      <c r="AN116" s="267"/>
    </row>
    <row r="117" spans="2:40" s="22" customFormat="1">
      <c r="B117" s="25"/>
      <c r="C117" s="25"/>
      <c r="D117" s="26"/>
      <c r="E117" s="26"/>
      <c r="F117" s="26"/>
      <c r="G117" s="26"/>
      <c r="H117" s="26"/>
      <c r="I117" s="26"/>
      <c r="K117" s="27"/>
      <c r="L117" s="27"/>
      <c r="M117" s="27"/>
      <c r="N117" s="27"/>
      <c r="O117" s="27"/>
      <c r="P117" s="27"/>
      <c r="Q117" s="27"/>
      <c r="R117" s="27"/>
      <c r="S117" s="27"/>
      <c r="T117" s="27"/>
      <c r="U117" s="27"/>
      <c r="V117" s="27"/>
      <c r="W117" s="27"/>
      <c r="X117" s="27"/>
      <c r="Y117" s="27"/>
      <c r="Z117" s="27"/>
      <c r="AA117" s="27"/>
      <c r="AB117" s="27"/>
      <c r="AC117" s="27"/>
      <c r="AD117" s="27"/>
      <c r="AE117" s="27"/>
      <c r="AF117" s="273"/>
      <c r="AG117" s="273"/>
      <c r="AH117" s="273"/>
      <c r="AI117" s="273"/>
      <c r="AJ117" s="273"/>
      <c r="AL117" s="267"/>
      <c r="AM117" s="267"/>
      <c r="AN117" s="267"/>
    </row>
    <row r="118" spans="2:40" s="22" customFormat="1">
      <c r="B118" s="25"/>
      <c r="C118" s="25"/>
      <c r="D118" s="26"/>
      <c r="E118" s="26"/>
      <c r="F118" s="26"/>
      <c r="G118" s="26"/>
      <c r="H118" s="26"/>
      <c r="I118" s="26"/>
      <c r="K118" s="27"/>
      <c r="L118" s="27"/>
      <c r="M118" s="27"/>
      <c r="N118" s="27"/>
      <c r="O118" s="27"/>
      <c r="P118" s="27"/>
      <c r="Q118" s="27"/>
      <c r="R118" s="27"/>
      <c r="S118" s="27"/>
      <c r="T118" s="27"/>
      <c r="U118" s="27"/>
      <c r="V118" s="27"/>
      <c r="W118" s="27"/>
      <c r="X118" s="27"/>
      <c r="Y118" s="27"/>
      <c r="Z118" s="27"/>
      <c r="AA118" s="27"/>
      <c r="AB118" s="27"/>
      <c r="AC118" s="27"/>
      <c r="AD118" s="27"/>
      <c r="AE118" s="27"/>
      <c r="AF118" s="273"/>
      <c r="AG118" s="273"/>
      <c r="AH118" s="273"/>
      <c r="AI118" s="273"/>
      <c r="AJ118" s="273"/>
      <c r="AL118" s="267"/>
      <c r="AM118" s="267"/>
      <c r="AN118" s="267"/>
    </row>
    <row r="119" spans="2:40" s="22" customFormat="1">
      <c r="B119" s="25"/>
      <c r="C119" s="25"/>
      <c r="D119" s="26"/>
      <c r="E119" s="26"/>
      <c r="F119" s="26"/>
      <c r="G119" s="26"/>
      <c r="H119" s="26"/>
      <c r="I119" s="26"/>
      <c r="K119" s="27"/>
      <c r="L119" s="27"/>
      <c r="M119" s="27"/>
      <c r="N119" s="27"/>
      <c r="O119" s="27"/>
      <c r="P119" s="27"/>
      <c r="Q119" s="27"/>
      <c r="R119" s="27"/>
      <c r="S119" s="27"/>
      <c r="T119" s="27"/>
      <c r="U119" s="27"/>
      <c r="V119" s="27"/>
      <c r="W119" s="27"/>
      <c r="X119" s="27"/>
      <c r="Y119" s="27"/>
      <c r="Z119" s="27"/>
      <c r="AA119" s="27"/>
      <c r="AB119" s="27"/>
      <c r="AC119" s="27"/>
      <c r="AD119" s="27"/>
      <c r="AE119" s="27"/>
      <c r="AF119" s="273"/>
      <c r="AG119" s="273"/>
      <c r="AH119" s="273"/>
      <c r="AI119" s="273"/>
      <c r="AJ119" s="273"/>
      <c r="AL119" s="267"/>
      <c r="AM119" s="267"/>
      <c r="AN119" s="267"/>
    </row>
    <row r="120" spans="2:40" s="22" customFormat="1">
      <c r="B120" s="25"/>
      <c r="C120" s="25"/>
      <c r="D120" s="26"/>
      <c r="E120" s="26"/>
      <c r="F120" s="26"/>
      <c r="G120" s="26"/>
      <c r="H120" s="26"/>
      <c r="I120" s="26"/>
      <c r="K120" s="27"/>
      <c r="L120" s="27"/>
      <c r="M120" s="27"/>
      <c r="N120" s="27"/>
      <c r="O120" s="27"/>
      <c r="P120" s="27"/>
      <c r="Q120" s="27"/>
      <c r="R120" s="27"/>
      <c r="S120" s="27"/>
      <c r="T120" s="27"/>
      <c r="U120" s="27"/>
      <c r="V120" s="27"/>
      <c r="W120" s="27"/>
      <c r="X120" s="27"/>
      <c r="Y120" s="27"/>
      <c r="Z120" s="27"/>
      <c r="AA120" s="27"/>
      <c r="AB120" s="27"/>
      <c r="AC120" s="27"/>
      <c r="AD120" s="27"/>
      <c r="AE120" s="27"/>
      <c r="AF120" s="273"/>
      <c r="AG120" s="273"/>
      <c r="AH120" s="273"/>
      <c r="AI120" s="273"/>
      <c r="AJ120" s="273"/>
      <c r="AL120" s="267"/>
      <c r="AM120" s="267"/>
      <c r="AN120" s="267"/>
    </row>
    <row r="121" spans="2:40" s="22" customFormat="1">
      <c r="B121" s="25"/>
      <c r="C121" s="25"/>
      <c r="D121" s="26"/>
      <c r="E121" s="26"/>
      <c r="F121" s="26"/>
      <c r="G121" s="26"/>
      <c r="H121" s="26"/>
      <c r="I121" s="26"/>
      <c r="K121" s="27"/>
      <c r="L121" s="27"/>
      <c r="M121" s="27"/>
      <c r="N121" s="27"/>
      <c r="O121" s="27"/>
      <c r="P121" s="27"/>
      <c r="Q121" s="27"/>
      <c r="R121" s="27"/>
      <c r="S121" s="27"/>
      <c r="T121" s="27"/>
      <c r="U121" s="27"/>
      <c r="V121" s="27"/>
      <c r="W121" s="27"/>
      <c r="X121" s="27"/>
      <c r="Y121" s="27"/>
      <c r="Z121" s="27"/>
      <c r="AA121" s="27"/>
      <c r="AB121" s="27"/>
      <c r="AC121" s="27"/>
      <c r="AD121" s="27"/>
      <c r="AE121" s="27"/>
      <c r="AF121" s="273"/>
      <c r="AG121" s="273"/>
      <c r="AH121" s="273"/>
      <c r="AI121" s="273"/>
      <c r="AJ121" s="273"/>
      <c r="AL121" s="267"/>
      <c r="AM121" s="267"/>
      <c r="AN121" s="267"/>
    </row>
    <row r="122" spans="2:40" s="22" customFormat="1">
      <c r="B122" s="25"/>
      <c r="C122" s="25"/>
      <c r="D122" s="26"/>
      <c r="E122" s="26"/>
      <c r="F122" s="26"/>
      <c r="G122" s="26"/>
      <c r="H122" s="26"/>
      <c r="I122" s="26"/>
      <c r="K122" s="27"/>
      <c r="L122" s="27"/>
      <c r="M122" s="27"/>
      <c r="N122" s="27"/>
      <c r="O122" s="27"/>
      <c r="P122" s="27"/>
      <c r="Q122" s="27"/>
      <c r="R122" s="27"/>
      <c r="S122" s="27"/>
      <c r="T122" s="27"/>
      <c r="U122" s="27"/>
      <c r="V122" s="27"/>
      <c r="W122" s="27"/>
      <c r="X122" s="27"/>
      <c r="Y122" s="27"/>
      <c r="Z122" s="27"/>
      <c r="AA122" s="27"/>
      <c r="AB122" s="27"/>
      <c r="AC122" s="27"/>
      <c r="AD122" s="27"/>
      <c r="AE122" s="27"/>
      <c r="AF122" s="273"/>
      <c r="AG122" s="273"/>
      <c r="AH122" s="273"/>
      <c r="AI122" s="273"/>
      <c r="AJ122" s="273"/>
      <c r="AL122" s="267"/>
      <c r="AM122" s="267"/>
      <c r="AN122" s="267"/>
    </row>
    <row r="123" spans="2:40" s="22" customFormat="1">
      <c r="B123" s="25"/>
      <c r="C123" s="25"/>
      <c r="D123" s="26"/>
      <c r="E123" s="26"/>
      <c r="F123" s="26"/>
      <c r="G123" s="26"/>
      <c r="H123" s="26"/>
      <c r="I123" s="26"/>
      <c r="K123" s="27"/>
      <c r="L123" s="27"/>
      <c r="M123" s="27"/>
      <c r="N123" s="27"/>
      <c r="O123" s="27"/>
      <c r="P123" s="27"/>
      <c r="Q123" s="27"/>
      <c r="R123" s="27"/>
      <c r="S123" s="27"/>
      <c r="T123" s="27"/>
      <c r="U123" s="27"/>
      <c r="V123" s="27"/>
      <c r="W123" s="27"/>
      <c r="X123" s="27"/>
      <c r="Y123" s="27"/>
      <c r="Z123" s="27"/>
      <c r="AA123" s="27"/>
      <c r="AB123" s="27"/>
      <c r="AC123" s="27"/>
      <c r="AD123" s="27"/>
      <c r="AE123" s="27"/>
      <c r="AF123" s="273"/>
      <c r="AG123" s="273"/>
      <c r="AH123" s="273"/>
      <c r="AI123" s="273"/>
      <c r="AJ123" s="273"/>
      <c r="AL123" s="267"/>
      <c r="AM123" s="267"/>
      <c r="AN123" s="267"/>
    </row>
    <row r="124" spans="2:40" s="22" customFormat="1">
      <c r="B124" s="25"/>
      <c r="C124" s="25"/>
      <c r="D124" s="26"/>
      <c r="E124" s="26"/>
      <c r="F124" s="26"/>
      <c r="G124" s="26"/>
      <c r="H124" s="26"/>
      <c r="I124" s="26"/>
      <c r="K124" s="27"/>
      <c r="L124" s="27"/>
      <c r="M124" s="27"/>
      <c r="N124" s="27"/>
      <c r="O124" s="27"/>
      <c r="P124" s="27"/>
      <c r="Q124" s="27"/>
      <c r="R124" s="27"/>
      <c r="S124" s="27"/>
      <c r="T124" s="27"/>
      <c r="U124" s="27"/>
      <c r="V124" s="27"/>
      <c r="W124" s="27"/>
      <c r="X124" s="27"/>
      <c r="Y124" s="27"/>
      <c r="Z124" s="27"/>
      <c r="AA124" s="27"/>
      <c r="AB124" s="27"/>
      <c r="AC124" s="27"/>
      <c r="AD124" s="27"/>
      <c r="AE124" s="27"/>
      <c r="AF124" s="273"/>
      <c r="AG124" s="273"/>
      <c r="AH124" s="273"/>
      <c r="AI124" s="273"/>
      <c r="AJ124" s="273"/>
      <c r="AL124" s="267"/>
      <c r="AM124" s="267"/>
      <c r="AN124" s="267"/>
    </row>
    <row r="125" spans="2:40" s="22" customFormat="1">
      <c r="B125" s="25"/>
      <c r="C125" s="25"/>
      <c r="D125" s="26"/>
      <c r="E125" s="26"/>
      <c r="F125" s="26"/>
      <c r="G125" s="26"/>
      <c r="H125" s="26"/>
      <c r="I125" s="26"/>
      <c r="K125" s="27"/>
      <c r="L125" s="27"/>
      <c r="M125" s="27"/>
      <c r="N125" s="27"/>
      <c r="O125" s="27"/>
      <c r="P125" s="27"/>
      <c r="Q125" s="27"/>
      <c r="R125" s="27"/>
      <c r="S125" s="27"/>
      <c r="T125" s="27"/>
      <c r="U125" s="27"/>
      <c r="V125" s="27"/>
      <c r="W125" s="27"/>
      <c r="X125" s="27"/>
      <c r="Y125" s="27"/>
      <c r="Z125" s="27"/>
      <c r="AA125" s="27"/>
      <c r="AB125" s="27"/>
      <c r="AC125" s="27"/>
      <c r="AD125" s="27"/>
      <c r="AE125" s="27"/>
      <c r="AF125" s="273"/>
      <c r="AG125" s="273"/>
      <c r="AH125" s="273"/>
      <c r="AI125" s="273"/>
      <c r="AJ125" s="273"/>
      <c r="AL125" s="267"/>
      <c r="AM125" s="267"/>
      <c r="AN125" s="267"/>
    </row>
    <row r="126" spans="2:40" s="22" customFormat="1">
      <c r="B126" s="25"/>
      <c r="C126" s="25"/>
      <c r="D126" s="26"/>
      <c r="E126" s="26"/>
      <c r="F126" s="26"/>
      <c r="G126" s="26"/>
      <c r="H126" s="26"/>
      <c r="I126" s="26"/>
      <c r="K126" s="27"/>
      <c r="L126" s="27"/>
      <c r="M126" s="27"/>
      <c r="N126" s="27"/>
      <c r="O126" s="27"/>
      <c r="P126" s="27"/>
      <c r="Q126" s="27"/>
      <c r="R126" s="27"/>
      <c r="S126" s="27"/>
      <c r="T126" s="27"/>
      <c r="U126" s="27"/>
      <c r="V126" s="27"/>
      <c r="W126" s="27"/>
      <c r="X126" s="27"/>
      <c r="Y126" s="27"/>
      <c r="Z126" s="27"/>
      <c r="AA126" s="27"/>
      <c r="AB126" s="27"/>
      <c r="AC126" s="27"/>
      <c r="AD126" s="27"/>
      <c r="AE126" s="27"/>
      <c r="AF126" s="273"/>
      <c r="AG126" s="273"/>
      <c r="AH126" s="273"/>
      <c r="AI126" s="273"/>
      <c r="AJ126" s="273"/>
      <c r="AL126" s="267"/>
      <c r="AM126" s="267"/>
      <c r="AN126" s="267"/>
    </row>
    <row r="127" spans="2:40" s="22" customFormat="1">
      <c r="B127" s="25"/>
      <c r="C127" s="25"/>
      <c r="D127" s="26"/>
      <c r="E127" s="26"/>
      <c r="F127" s="26"/>
      <c r="G127" s="26"/>
      <c r="H127" s="26"/>
      <c r="I127" s="26"/>
      <c r="K127" s="27"/>
      <c r="L127" s="27"/>
      <c r="M127" s="27"/>
      <c r="N127" s="27"/>
      <c r="O127" s="27"/>
      <c r="P127" s="27"/>
      <c r="Q127" s="27"/>
      <c r="R127" s="27"/>
      <c r="S127" s="27"/>
      <c r="T127" s="27"/>
      <c r="U127" s="27"/>
      <c r="V127" s="27"/>
      <c r="W127" s="27"/>
      <c r="X127" s="27"/>
      <c r="Y127" s="27"/>
      <c r="Z127" s="27"/>
      <c r="AA127" s="27"/>
      <c r="AB127" s="27"/>
      <c r="AC127" s="27"/>
      <c r="AD127" s="27"/>
      <c r="AE127" s="27"/>
      <c r="AF127" s="273"/>
      <c r="AG127" s="273"/>
      <c r="AH127" s="273"/>
      <c r="AI127" s="273"/>
      <c r="AJ127" s="273"/>
      <c r="AL127" s="267"/>
      <c r="AM127" s="267"/>
      <c r="AN127" s="267"/>
    </row>
    <row r="128" spans="2:40" s="22" customFormat="1">
      <c r="B128" s="25"/>
      <c r="C128" s="25"/>
      <c r="D128" s="26"/>
      <c r="E128" s="26"/>
      <c r="F128" s="26"/>
      <c r="G128" s="26"/>
      <c r="H128" s="26"/>
      <c r="I128" s="26"/>
      <c r="K128" s="27"/>
      <c r="L128" s="27"/>
      <c r="M128" s="27"/>
      <c r="N128" s="27"/>
      <c r="O128" s="27"/>
      <c r="P128" s="27"/>
      <c r="Q128" s="27"/>
      <c r="R128" s="27"/>
      <c r="S128" s="27"/>
      <c r="T128" s="27"/>
      <c r="U128" s="27"/>
      <c r="V128" s="27"/>
      <c r="W128" s="27"/>
      <c r="X128" s="27"/>
      <c r="Y128" s="27"/>
      <c r="Z128" s="27"/>
      <c r="AA128" s="27"/>
      <c r="AB128" s="27"/>
      <c r="AC128" s="27"/>
      <c r="AD128" s="27"/>
      <c r="AE128" s="27"/>
      <c r="AF128" s="273"/>
      <c r="AG128" s="273"/>
      <c r="AH128" s="273"/>
      <c r="AI128" s="273"/>
      <c r="AJ128" s="273"/>
      <c r="AL128" s="267"/>
      <c r="AM128" s="267"/>
      <c r="AN128" s="267"/>
    </row>
    <row r="129" spans="2:40" s="22" customFormat="1">
      <c r="B129" s="25"/>
      <c r="C129" s="25"/>
      <c r="D129" s="26"/>
      <c r="E129" s="26"/>
      <c r="F129" s="26"/>
      <c r="G129" s="26"/>
      <c r="H129" s="26"/>
      <c r="I129" s="26"/>
      <c r="K129" s="27"/>
      <c r="L129" s="27"/>
      <c r="M129" s="27"/>
      <c r="N129" s="27"/>
      <c r="O129" s="27"/>
      <c r="P129" s="27"/>
      <c r="Q129" s="27"/>
      <c r="R129" s="27"/>
      <c r="S129" s="27"/>
      <c r="T129" s="27"/>
      <c r="U129" s="27"/>
      <c r="V129" s="27"/>
      <c r="W129" s="27"/>
      <c r="X129" s="27"/>
      <c r="Y129" s="27"/>
      <c r="Z129" s="27"/>
      <c r="AA129" s="27"/>
      <c r="AB129" s="27"/>
      <c r="AC129" s="27"/>
      <c r="AD129" s="27"/>
      <c r="AE129" s="27"/>
      <c r="AF129" s="273"/>
      <c r="AG129" s="273"/>
      <c r="AH129" s="273"/>
      <c r="AI129" s="273"/>
      <c r="AJ129" s="273"/>
      <c r="AL129" s="267"/>
      <c r="AM129" s="267"/>
      <c r="AN129" s="267"/>
    </row>
    <row r="130" spans="2:40" s="22" customFormat="1">
      <c r="B130" s="25"/>
      <c r="C130" s="25"/>
      <c r="D130" s="26"/>
      <c r="E130" s="26"/>
      <c r="F130" s="26"/>
      <c r="G130" s="26"/>
      <c r="H130" s="26"/>
      <c r="I130" s="26"/>
      <c r="K130" s="27"/>
      <c r="L130" s="27"/>
      <c r="M130" s="27"/>
      <c r="N130" s="27"/>
      <c r="O130" s="27"/>
      <c r="P130" s="27"/>
      <c r="Q130" s="27"/>
      <c r="R130" s="27"/>
      <c r="S130" s="27"/>
      <c r="T130" s="27"/>
      <c r="U130" s="27"/>
      <c r="V130" s="27"/>
      <c r="W130" s="27"/>
      <c r="X130" s="27"/>
      <c r="Y130" s="27"/>
      <c r="Z130" s="27"/>
      <c r="AA130" s="27"/>
      <c r="AB130" s="27"/>
      <c r="AC130" s="27"/>
      <c r="AD130" s="27"/>
      <c r="AE130" s="27"/>
      <c r="AF130" s="273"/>
      <c r="AG130" s="273"/>
      <c r="AH130" s="273"/>
      <c r="AI130" s="273"/>
      <c r="AJ130" s="273"/>
      <c r="AL130" s="267"/>
      <c r="AM130" s="267"/>
      <c r="AN130" s="267"/>
    </row>
    <row r="131" spans="2:40" s="22" customFormat="1">
      <c r="B131" s="25"/>
      <c r="C131" s="25"/>
      <c r="D131" s="26"/>
      <c r="E131" s="26"/>
      <c r="F131" s="26"/>
      <c r="G131" s="26"/>
      <c r="H131" s="26"/>
      <c r="I131" s="26"/>
      <c r="K131" s="27"/>
      <c r="L131" s="27"/>
      <c r="M131" s="27"/>
      <c r="N131" s="27"/>
      <c r="O131" s="27"/>
      <c r="P131" s="27"/>
      <c r="Q131" s="27"/>
      <c r="R131" s="27"/>
      <c r="S131" s="27"/>
      <c r="T131" s="27"/>
      <c r="U131" s="27"/>
      <c r="V131" s="27"/>
      <c r="W131" s="27"/>
      <c r="X131" s="27"/>
      <c r="Y131" s="27"/>
      <c r="Z131" s="27"/>
      <c r="AA131" s="27"/>
      <c r="AB131" s="27"/>
      <c r="AC131" s="27"/>
      <c r="AD131" s="27"/>
      <c r="AE131" s="27"/>
      <c r="AF131" s="273"/>
      <c r="AG131" s="273"/>
      <c r="AH131" s="273"/>
      <c r="AI131" s="273"/>
      <c r="AJ131" s="273"/>
      <c r="AL131" s="267"/>
      <c r="AM131" s="267"/>
      <c r="AN131" s="267"/>
    </row>
    <row r="132" spans="2:40" s="22" customFormat="1">
      <c r="B132" s="25"/>
      <c r="C132" s="25"/>
      <c r="D132" s="26"/>
      <c r="E132" s="26"/>
      <c r="F132" s="26"/>
      <c r="G132" s="26"/>
      <c r="H132" s="26"/>
      <c r="I132" s="26"/>
      <c r="K132" s="27"/>
      <c r="L132" s="27"/>
      <c r="M132" s="27"/>
      <c r="N132" s="27"/>
      <c r="O132" s="27"/>
      <c r="P132" s="27"/>
      <c r="Q132" s="27"/>
      <c r="R132" s="27"/>
      <c r="S132" s="27"/>
      <c r="T132" s="27"/>
      <c r="U132" s="27"/>
      <c r="V132" s="27"/>
      <c r="W132" s="27"/>
      <c r="X132" s="27"/>
      <c r="Y132" s="27"/>
      <c r="Z132" s="27"/>
      <c r="AA132" s="27"/>
      <c r="AB132" s="27"/>
      <c r="AC132" s="27"/>
      <c r="AD132" s="27"/>
      <c r="AE132" s="27"/>
      <c r="AF132" s="273"/>
      <c r="AG132" s="273"/>
      <c r="AH132" s="273"/>
      <c r="AI132" s="273"/>
      <c r="AJ132" s="273"/>
      <c r="AL132" s="267"/>
      <c r="AM132" s="267"/>
      <c r="AN132" s="267"/>
    </row>
    <row r="133" spans="2:40" s="22" customFormat="1">
      <c r="B133" s="25"/>
      <c r="C133" s="25"/>
      <c r="D133" s="26"/>
      <c r="E133" s="26"/>
      <c r="F133" s="26"/>
      <c r="G133" s="26"/>
      <c r="H133" s="26"/>
      <c r="I133" s="26"/>
      <c r="K133" s="27"/>
      <c r="L133" s="27"/>
      <c r="M133" s="27"/>
      <c r="N133" s="27"/>
      <c r="O133" s="27"/>
      <c r="P133" s="27"/>
      <c r="Q133" s="27"/>
      <c r="R133" s="27"/>
      <c r="S133" s="27"/>
      <c r="T133" s="27"/>
      <c r="U133" s="27"/>
      <c r="V133" s="27"/>
      <c r="W133" s="27"/>
      <c r="X133" s="27"/>
      <c r="Y133" s="27"/>
      <c r="Z133" s="27"/>
      <c r="AA133" s="27"/>
      <c r="AB133" s="27"/>
      <c r="AC133" s="27"/>
      <c r="AD133" s="27"/>
      <c r="AE133" s="27"/>
      <c r="AF133" s="273"/>
      <c r="AG133" s="273"/>
      <c r="AH133" s="273"/>
      <c r="AI133" s="273"/>
      <c r="AJ133" s="273"/>
      <c r="AL133" s="267"/>
      <c r="AM133" s="267"/>
      <c r="AN133" s="267"/>
    </row>
    <row r="134" spans="2:40" s="22" customFormat="1">
      <c r="B134" s="25"/>
      <c r="C134" s="25"/>
      <c r="D134" s="26"/>
      <c r="E134" s="26"/>
      <c r="F134" s="26"/>
      <c r="G134" s="26"/>
      <c r="H134" s="26"/>
      <c r="I134" s="26"/>
      <c r="K134" s="27"/>
      <c r="L134" s="27"/>
      <c r="M134" s="27"/>
      <c r="N134" s="27"/>
      <c r="O134" s="27"/>
      <c r="P134" s="27"/>
      <c r="Q134" s="27"/>
      <c r="R134" s="27"/>
      <c r="S134" s="27"/>
      <c r="T134" s="27"/>
      <c r="U134" s="27"/>
      <c r="V134" s="27"/>
      <c r="W134" s="27"/>
      <c r="X134" s="27"/>
      <c r="Y134" s="27"/>
      <c r="Z134" s="27"/>
      <c r="AA134" s="27"/>
      <c r="AB134" s="27"/>
      <c r="AC134" s="27"/>
      <c r="AD134" s="27"/>
      <c r="AE134" s="27"/>
      <c r="AF134" s="273"/>
      <c r="AG134" s="273"/>
      <c r="AH134" s="273"/>
      <c r="AI134" s="273"/>
      <c r="AJ134" s="273"/>
      <c r="AL134" s="267"/>
      <c r="AM134" s="267"/>
      <c r="AN134" s="267"/>
    </row>
    <row r="135" spans="2:40" s="22" customFormat="1">
      <c r="B135" s="25"/>
      <c r="C135" s="25"/>
      <c r="D135" s="26"/>
      <c r="E135" s="26"/>
      <c r="F135" s="26"/>
      <c r="G135" s="26"/>
      <c r="H135" s="26"/>
      <c r="I135" s="26"/>
      <c r="K135" s="27"/>
      <c r="L135" s="27"/>
      <c r="M135" s="27"/>
      <c r="N135" s="27"/>
      <c r="O135" s="27"/>
      <c r="P135" s="27"/>
      <c r="Q135" s="27"/>
      <c r="R135" s="27"/>
      <c r="S135" s="27"/>
      <c r="T135" s="27"/>
      <c r="U135" s="27"/>
      <c r="V135" s="27"/>
      <c r="W135" s="27"/>
      <c r="X135" s="27"/>
      <c r="Y135" s="27"/>
      <c r="Z135" s="27"/>
      <c r="AA135" s="27"/>
      <c r="AB135" s="27"/>
      <c r="AC135" s="27"/>
      <c r="AD135" s="27"/>
      <c r="AE135" s="27"/>
      <c r="AF135" s="273"/>
      <c r="AG135" s="273"/>
      <c r="AH135" s="273"/>
      <c r="AI135" s="273"/>
      <c r="AJ135" s="273"/>
      <c r="AL135" s="267"/>
      <c r="AM135" s="267"/>
      <c r="AN135" s="267"/>
    </row>
  </sheetData>
  <mergeCells count="251">
    <mergeCell ref="D111:F111"/>
    <mergeCell ref="D78:F78"/>
    <mergeCell ref="G110:I110"/>
    <mergeCell ref="G111:I111"/>
    <mergeCell ref="D108:F108"/>
    <mergeCell ref="G108:I108"/>
    <mergeCell ref="G29:I29"/>
    <mergeCell ref="G30:I30"/>
    <mergeCell ref="G32:I32"/>
    <mergeCell ref="G33:I33"/>
    <mergeCell ref="G35:I35"/>
    <mergeCell ref="G36:I36"/>
    <mergeCell ref="G43:I43"/>
    <mergeCell ref="G44:I44"/>
    <mergeCell ref="G46:I46"/>
    <mergeCell ref="G47:I47"/>
    <mergeCell ref="G49:I49"/>
    <mergeCell ref="G50:I50"/>
    <mergeCell ref="G57:I57"/>
    <mergeCell ref="G58:I58"/>
    <mergeCell ref="G60:I60"/>
    <mergeCell ref="G61:I61"/>
    <mergeCell ref="D102:F102"/>
    <mergeCell ref="G100:I100"/>
    <mergeCell ref="D107:I107"/>
    <mergeCell ref="G80:I80"/>
    <mergeCell ref="G81:I81"/>
    <mergeCell ref="G88:I88"/>
    <mergeCell ref="G89:I89"/>
    <mergeCell ref="G91:I91"/>
    <mergeCell ref="G92:I92"/>
    <mergeCell ref="G94:I94"/>
    <mergeCell ref="G95:I95"/>
    <mergeCell ref="G102:I102"/>
    <mergeCell ref="G103:I103"/>
    <mergeCell ref="D88:F88"/>
    <mergeCell ref="D89:F89"/>
    <mergeCell ref="D91:F91"/>
    <mergeCell ref="D92:F92"/>
    <mergeCell ref="D85:I85"/>
    <mergeCell ref="D94:F94"/>
    <mergeCell ref="D95:F95"/>
    <mergeCell ref="D103:F103"/>
    <mergeCell ref="B2:B3"/>
    <mergeCell ref="C2:C3"/>
    <mergeCell ref="F2:G2"/>
    <mergeCell ref="J2:K2"/>
    <mergeCell ref="L2:M2"/>
    <mergeCell ref="N2:O2"/>
    <mergeCell ref="F3:G3"/>
    <mergeCell ref="J3:K3"/>
    <mergeCell ref="L3:M3"/>
    <mergeCell ref="N3:O3"/>
    <mergeCell ref="D2:E2"/>
    <mergeCell ref="D3:E3"/>
    <mergeCell ref="H2:I2"/>
    <mergeCell ref="H3:I3"/>
    <mergeCell ref="B26:B27"/>
    <mergeCell ref="C26:C27"/>
    <mergeCell ref="J26:J27"/>
    <mergeCell ref="K26:L26"/>
    <mergeCell ref="AF26:AJ26"/>
    <mergeCell ref="AL26:AL27"/>
    <mergeCell ref="B12:B13"/>
    <mergeCell ref="C12:C13"/>
    <mergeCell ref="J12:J13"/>
    <mergeCell ref="K12:L12"/>
    <mergeCell ref="AF12:AJ12"/>
    <mergeCell ref="M26:O26"/>
    <mergeCell ref="AA12:AE12"/>
    <mergeCell ref="R12:W12"/>
    <mergeCell ref="Q12:Q13"/>
    <mergeCell ref="Z26:Z27"/>
    <mergeCell ref="AL12:AL13"/>
    <mergeCell ref="Z12:Z13"/>
    <mergeCell ref="R26:W26"/>
    <mergeCell ref="AA26:AE26"/>
    <mergeCell ref="D12:I12"/>
    <mergeCell ref="D26:I26"/>
    <mergeCell ref="D13:F13"/>
    <mergeCell ref="M12:O12"/>
    <mergeCell ref="B54:B55"/>
    <mergeCell ref="C54:C55"/>
    <mergeCell ref="J54:J55"/>
    <mergeCell ref="K54:L54"/>
    <mergeCell ref="AF54:AJ54"/>
    <mergeCell ref="AL54:AL55"/>
    <mergeCell ref="B40:B41"/>
    <mergeCell ref="C40:C41"/>
    <mergeCell ref="J40:J41"/>
    <mergeCell ref="K40:L40"/>
    <mergeCell ref="AF40:AJ40"/>
    <mergeCell ref="Z54:Z55"/>
    <mergeCell ref="Z40:Z41"/>
    <mergeCell ref="R40:W40"/>
    <mergeCell ref="AA40:AE40"/>
    <mergeCell ref="R54:W54"/>
    <mergeCell ref="AA54:AE54"/>
    <mergeCell ref="M40:O40"/>
    <mergeCell ref="M54:O54"/>
    <mergeCell ref="Q54:Q55"/>
    <mergeCell ref="D43:F43"/>
    <mergeCell ref="D44:F44"/>
    <mergeCell ref="AL40:AL41"/>
    <mergeCell ref="P54:P55"/>
    <mergeCell ref="B85:B86"/>
    <mergeCell ref="C85:C86"/>
    <mergeCell ref="J85:J86"/>
    <mergeCell ref="K85:L85"/>
    <mergeCell ref="AF85:AJ85"/>
    <mergeCell ref="Q85:Q86"/>
    <mergeCell ref="B71:B72"/>
    <mergeCell ref="C71:C72"/>
    <mergeCell ref="J71:J72"/>
    <mergeCell ref="K71:L71"/>
    <mergeCell ref="AF71:AJ71"/>
    <mergeCell ref="P71:P72"/>
    <mergeCell ref="P85:P86"/>
    <mergeCell ref="M71:O71"/>
    <mergeCell ref="M85:O85"/>
    <mergeCell ref="Q71:Q72"/>
    <mergeCell ref="Z71:Z72"/>
    <mergeCell ref="Z85:Z86"/>
    <mergeCell ref="R71:W71"/>
    <mergeCell ref="AA71:AE71"/>
    <mergeCell ref="R85:W85"/>
    <mergeCell ref="AA85:AE85"/>
    <mergeCell ref="X71:X72"/>
    <mergeCell ref="Y71:Y72"/>
    <mergeCell ref="B107:B108"/>
    <mergeCell ref="C107:C108"/>
    <mergeCell ref="J107:J108"/>
    <mergeCell ref="K107:L107"/>
    <mergeCell ref="AF107:AJ107"/>
    <mergeCell ref="AL107:AL108"/>
    <mergeCell ref="B99:B100"/>
    <mergeCell ref="C99:C100"/>
    <mergeCell ref="J99:J100"/>
    <mergeCell ref="K99:L99"/>
    <mergeCell ref="M99:O99"/>
    <mergeCell ref="P99:P100"/>
    <mergeCell ref="P107:P108"/>
    <mergeCell ref="M107:O107"/>
    <mergeCell ref="Q99:Q100"/>
    <mergeCell ref="Q107:Q108"/>
    <mergeCell ref="AF99:AJ99"/>
    <mergeCell ref="AL99:AL100"/>
    <mergeCell ref="Z99:Z100"/>
    <mergeCell ref="Z107:Z108"/>
    <mergeCell ref="X99:X100"/>
    <mergeCell ref="Y99:Y100"/>
    <mergeCell ref="D99:I99"/>
    <mergeCell ref="D100:F100"/>
    <mergeCell ref="AN107:AN108"/>
    <mergeCell ref="AN12:AN13"/>
    <mergeCell ref="AN26:AN27"/>
    <mergeCell ref="AN40:AN41"/>
    <mergeCell ref="AN54:AN55"/>
    <mergeCell ref="AN71:AN72"/>
    <mergeCell ref="AM85:AM86"/>
    <mergeCell ref="AM99:AM100"/>
    <mergeCell ref="AM107:AM108"/>
    <mergeCell ref="AM12:AM13"/>
    <mergeCell ref="AM26:AM27"/>
    <mergeCell ref="AM40:AM41"/>
    <mergeCell ref="AM54:AM55"/>
    <mergeCell ref="AM71:AM72"/>
    <mergeCell ref="AN85:AN86"/>
    <mergeCell ref="AN99:AN100"/>
    <mergeCell ref="AA107:AE107"/>
    <mergeCell ref="X54:X55"/>
    <mergeCell ref="Y54:Y55"/>
    <mergeCell ref="X85:X86"/>
    <mergeCell ref="Y85:Y86"/>
    <mergeCell ref="X26:X27"/>
    <mergeCell ref="Y26:Y27"/>
    <mergeCell ref="X40:X41"/>
    <mergeCell ref="Y40:Y41"/>
    <mergeCell ref="X107:X108"/>
    <mergeCell ref="Y107:Y108"/>
    <mergeCell ref="AA99:AE99"/>
    <mergeCell ref="D71:I71"/>
    <mergeCell ref="G63:I63"/>
    <mergeCell ref="G64:I64"/>
    <mergeCell ref="D60:F60"/>
    <mergeCell ref="D61:F61"/>
    <mergeCell ref="D22:F22"/>
    <mergeCell ref="D27:F27"/>
    <mergeCell ref="G27:I27"/>
    <mergeCell ref="G67:I67"/>
    <mergeCell ref="P26:P27"/>
    <mergeCell ref="P40:P41"/>
    <mergeCell ref="Q26:Q27"/>
    <mergeCell ref="Q40:Q41"/>
    <mergeCell ref="R99:W99"/>
    <mergeCell ref="D57:F57"/>
    <mergeCell ref="D58:F58"/>
    <mergeCell ref="D54:I54"/>
    <mergeCell ref="D55:F55"/>
    <mergeCell ref="G55:I55"/>
    <mergeCell ref="D77:F77"/>
    <mergeCell ref="X12:Y12"/>
    <mergeCell ref="D15:F15"/>
    <mergeCell ref="D16:F16"/>
    <mergeCell ref="D18:F18"/>
    <mergeCell ref="D19:F19"/>
    <mergeCell ref="D21:F21"/>
    <mergeCell ref="D75:F75"/>
    <mergeCell ref="G13:I13"/>
    <mergeCell ref="G15:I15"/>
    <mergeCell ref="P12:P13"/>
    <mergeCell ref="K10:L10"/>
    <mergeCell ref="U10:V10"/>
    <mergeCell ref="G16:I16"/>
    <mergeCell ref="G18:I18"/>
    <mergeCell ref="G19:I19"/>
    <mergeCell ref="G21:I21"/>
    <mergeCell ref="G22:I22"/>
    <mergeCell ref="AL85:AL86"/>
    <mergeCell ref="AL71:AL72"/>
    <mergeCell ref="G86:I86"/>
    <mergeCell ref="G74:I74"/>
    <mergeCell ref="G75:I75"/>
    <mergeCell ref="G77:I77"/>
    <mergeCell ref="G78:I78"/>
    <mergeCell ref="G72:I72"/>
    <mergeCell ref="G66:I66"/>
    <mergeCell ref="D110:F110"/>
    <mergeCell ref="R107:W107"/>
    <mergeCell ref="D29:F29"/>
    <mergeCell ref="D30:F30"/>
    <mergeCell ref="D32:F32"/>
    <mergeCell ref="D33:F33"/>
    <mergeCell ref="D35:F35"/>
    <mergeCell ref="D36:F36"/>
    <mergeCell ref="D46:F46"/>
    <mergeCell ref="D47:F47"/>
    <mergeCell ref="D49:F49"/>
    <mergeCell ref="D40:I40"/>
    <mergeCell ref="D41:F41"/>
    <mergeCell ref="G41:I41"/>
    <mergeCell ref="D74:F74"/>
    <mergeCell ref="D50:F50"/>
    <mergeCell ref="D63:F63"/>
    <mergeCell ref="D64:F64"/>
    <mergeCell ref="D80:F80"/>
    <mergeCell ref="D81:F81"/>
    <mergeCell ref="D66:F66"/>
    <mergeCell ref="D67:F67"/>
    <mergeCell ref="D86:F86"/>
    <mergeCell ref="D72:F72"/>
  </mergeCells>
  <phoneticPr fontId="13" type="noConversion"/>
  <dataValidations count="13">
    <dataValidation type="list" allowBlank="1" showInputMessage="1" showErrorMessage="1" sqref="AK66:AK68 AK106 AK49:AK51 AK94:AK96 AK91:AK92 AK57:AK58 AK35:AK36 AK80:AK82 AK46:AK47 AK32:AK33 AK77:AK78 AK88:AK89 AK29:AK30 AK74:AK75 AK43:AK44 AK18:AK19 AK15:AK16 AK102:AK104 AK63:AK64 AK60:AK61 AK110:AK111 AK21:AK22">
      <formula1>DQ</formula1>
    </dataValidation>
    <dataValidation type="list" allowBlank="1" showInputMessage="1" showErrorMessage="1" sqref="J106 J87:J96 J56:J68 J28:J36 J42:J51 J73:J82 J101:J104 J109:J111 J14:J22">
      <formula1>NK</formula1>
    </dataValidation>
    <dataValidation type="list" allowBlank="1" showInputMessage="1" showErrorMessage="1" sqref="D21:D22 D35:D36 D91:D92 D46:D47 D49:D50 D77:D78 D80:D81 D32:D33 D63:D64 D60:D61 D18:D19 D94:D95">
      <formula1>Grid</formula1>
    </dataValidation>
    <dataValidation type="list" allowBlank="1" showInputMessage="1" showErrorMessage="1" sqref="D110:D111">
      <formula1>Fugitive_Oil_Gas</formula1>
    </dataValidation>
    <dataValidation type="list" allowBlank="1" showInputMessage="1" showErrorMessage="1" sqref="D102:D103">
      <formula1>Fugitive_Coal</formula1>
    </dataValidation>
    <dataValidation type="list" allowBlank="1" showInputMessage="1" showErrorMessage="1" sqref="P91:P92 P66:P67 P15:P16 P21:P22 P77:P78 P88:P89 P46:P47 P74:P75 P80:P81 P43:P44 P49:P50 P94:P95 P63:P64 P102:P103 P29:P30 P18:P19 P35:P36 P60:P61 P57:P58 P110:P111 P32:P33">
      <formula1>Gases</formula1>
    </dataValidation>
    <dataValidation type="list" allowBlank="1" showInputMessage="1" showErrorMessage="1" sqref="D66:D67">
      <formula1>Energy_Industries</formula1>
    </dataValidation>
    <dataValidation type="list" allowBlank="1" showInputMessage="1" showErrorMessage="1" sqref="Q63:Q64 Q18:Q19 Q91:Q92 Q46:Q47 Q15:Q16 Q43:Q44 Q32:Q33 Q29:Q30 Q35:Q36 Q88:Q89 Q66:Q67 Q77:Q78 Q74:Q75 Q80:Q81 Q94:Q95 Q102:Q103 Q49:Q50 Q60:Q61 Q57:Q58 Q110:Q111 Q21:Q22">
      <formula1>EmissionFactor</formula1>
    </dataValidation>
    <dataValidation type="list" allowBlank="1" showInputMessage="1" showErrorMessage="1" sqref="AM101:AM103 AM87:AM95 AM14:AM22 AM66:AM67 AM73:AM81 AM42:AM50 AM109:AM111 AM56:AM64 AM28:AM36">
      <formula1>DataSource</formula1>
    </dataValidation>
    <dataValidation type="list" allowBlank="1" showInputMessage="1" showErrorMessage="1" sqref="D74:D75 D88:D89 D29:D30 D43:D44 D57:D58 D15:D16">
      <formula1>GPC_Stationary</formula1>
    </dataValidation>
    <dataValidation type="list" allowBlank="1" showInputMessage="1" showErrorMessage="1" sqref="Z15:Z16 Z18:Z19 Z63:Z64 Z29:Z30 Z32:Z33 Z35:Z36 Z43:Z44 Z46:Z47 Z49:Z50 Z74:Z75 Z77:Z78 Z80:Z81 Z88:Z89 Z91:Z92 Z94:Z95 Z102:Z103 Z110:Z111 Z66:Z67 Z57:Z58 Z60:Z61 Z21:Z22">
      <formula1>Tick</formula1>
    </dataValidation>
    <dataValidation type="list" allowBlank="1" showInputMessage="1" showErrorMessage="1" sqref="M18:M19 M15:M16 M21:M22 M32:M33 M29:M30 M35:M36 M46:M47 M43:M44 M49:M50 M60:M61 M57:M58 M63:M64 M77:M78 M74:M75 M80:M81 M91:M92 M88:M89 M94:M95 M66:M67 M102:M103 M110:M111">
      <formula1>Conversion_factor_from</formula1>
    </dataValidation>
    <dataValidation type="list" allowBlank="1" showInputMessage="1" showErrorMessage="1" sqref="N18:N19 N15:N16 N21:N22 N32:N33 N29:N30 N35:N36 N46:N47 N43:N44 N49:N50 N60:N61 N57:N58 N63:N64 N77:N78 N74:N75 N80:N81 N91:N92 N88:N89 N94:N95 N66:N67 N102:N103 N110:N111">
      <formula1>Conversion_factor_to</formula1>
    </dataValidation>
  </dataValidations>
  <hyperlinks>
    <hyperlink ref="F2" location="'City information'!A1" display="Set-up"/>
    <hyperlink ref="G2" location="'City information'!A1" display="'City information'!A1"/>
    <hyperlink ref="L2" location="Results!A1" display="Results"/>
    <hyperlink ref="M2" location="Results!A1" display="Results!A1"/>
    <hyperlink ref="J2" location="Calculators!A1" display="Calculators"/>
    <hyperlink ref="K2" location="Calculators!A1" display="Calculators!A1"/>
    <hyperlink ref="N2" location="Analysis!A1" display="Analysis"/>
    <hyperlink ref="O2" location="Analysis!A1" display="Analysis!A1"/>
    <hyperlink ref="H2" location="Inventory!A1" display="Inventory"/>
    <hyperlink ref="I2" location="Inventory!A1" display="Inventory!A1"/>
    <hyperlink ref="F3" location="'II - Transport'!A1" display="Transportation"/>
    <hyperlink ref="G3" location="'II - Transport'!A1" display="'II - Transport'!A1"/>
    <hyperlink ref="H3" location="'III - Waste'!A1" display="Waste"/>
    <hyperlink ref="I3" location="'III - Waste'!A1" display="'III - Waste'!A1"/>
    <hyperlink ref="J3" location="'IV - IPPU'!A1" display="IPPU"/>
    <hyperlink ref="K3" location="'IV - IPPU'!A1" display="'IV - IPPU'!A1"/>
    <hyperlink ref="L3" location="'V - AFOLU'!A1" display="AFOLU"/>
    <hyperlink ref="M3" location="'V - AFOLU'!A1" display="'V - AFOLU'!A1"/>
    <hyperlink ref="N3" location="'VI - Other scope 3'!A1" display="Scope 3"/>
    <hyperlink ref="O3" location="'VI - Other scope 3'!A1" display="'VI - Other scope 3'!A1"/>
    <hyperlink ref="D2" location="Home!A1" display="Introduction"/>
    <hyperlink ref="E2" location="Home!A1" display="Home!A1"/>
  </hyperlinks>
  <printOptions verticalCentered="1"/>
  <pageMargins left="0.15748031496062992" right="0.15748031496062992" top="0.15748031496062992" bottom="0.15748031496062992" header="0.30000000000000004" footer="0.30000000000000004"/>
  <pageSetup paperSize="9" scale="29" orientation="landscape" horizontalDpi="4294967292" verticalDpi="4294967292"/>
  <drawing r:id="rId1"/>
  <extLst>
    <ext xmlns:mx="http://schemas.microsoft.com/office/mac/excel/2008/main" uri="{64002731-A6B0-56B0-2670-7721B7C09600}">
      <mx:PLV Mode="0" OnePage="0" WScale="29"/>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3" tint="0.79998168889431442"/>
    <outlinePr summaryBelow="0" summaryRight="0"/>
    <pageSetUpPr autoPageBreaks="0"/>
  </sheetPr>
  <dimension ref="A1:BJ103"/>
  <sheetViews>
    <sheetView showGridLines="0" showRowColHeaders="0" workbookViewId="0">
      <selection activeCell="H3" sqref="H3:I3"/>
    </sheetView>
  </sheetViews>
  <sheetFormatPr baseColWidth="10" defaultColWidth="0" defaultRowHeight="15" x14ac:dyDescent="0"/>
  <cols>
    <col min="1" max="1" width="4.83203125" style="34" customWidth="1"/>
    <col min="2" max="3" width="12.83203125" style="5" customWidth="1"/>
    <col min="4" max="17" width="12.83203125" style="1" customWidth="1"/>
    <col min="18" max="18" width="16.33203125" style="101" customWidth="1"/>
    <col min="19" max="19" width="24.83203125" style="1" customWidth="1"/>
    <col min="20" max="27" width="12.83203125" style="1" customWidth="1"/>
    <col min="28" max="28" width="24.83203125" style="1" customWidth="1"/>
    <col min="29" max="33" width="12.83203125" style="1" customWidth="1"/>
    <col min="34" max="38" width="12.83203125" style="283" customWidth="1"/>
    <col min="39" max="39" width="12.83203125" style="1" customWidth="1"/>
    <col min="40" max="41" width="71.83203125" style="257" customWidth="1"/>
    <col min="42" max="42" width="71.83203125" style="3" customWidth="1"/>
    <col min="43" max="43" width="4.83203125" style="31" customWidth="1"/>
    <col min="44" max="61" width="0" style="31" hidden="1" customWidth="1"/>
    <col min="62" max="62" width="0" style="1" hidden="1" customWidth="1"/>
    <col min="63" max="16384" width="10.83203125" style="1" hidden="1"/>
  </cols>
  <sheetData>
    <row r="1" spans="1:61" s="498" customFormat="1">
      <c r="T1" s="499"/>
      <c r="U1" s="499"/>
      <c r="V1" s="499"/>
      <c r="W1" s="500"/>
      <c r="X1" s="500"/>
      <c r="Y1" s="500"/>
    </row>
    <row r="2" spans="1:61" s="464" customFormat="1" ht="31" customHeight="1">
      <c r="A2" s="494"/>
      <c r="B2" s="1817" t="s">
        <v>1965</v>
      </c>
      <c r="C2" s="1819">
        <v>400</v>
      </c>
      <c r="D2" s="1849" t="s">
        <v>1555</v>
      </c>
      <c r="E2" s="1850"/>
      <c r="F2" s="1849" t="s">
        <v>1563</v>
      </c>
      <c r="G2" s="1850"/>
      <c r="H2" s="1847" t="s">
        <v>794</v>
      </c>
      <c r="I2" s="2103"/>
      <c r="J2" s="1849" t="s">
        <v>1570</v>
      </c>
      <c r="K2" s="1850"/>
      <c r="L2" s="1849" t="s">
        <v>1564</v>
      </c>
      <c r="M2" s="1850"/>
      <c r="N2" s="1849" t="s">
        <v>1602</v>
      </c>
      <c r="O2" s="1850"/>
      <c r="P2" s="494"/>
      <c r="Q2" s="494"/>
      <c r="R2" s="494"/>
      <c r="S2" s="494"/>
      <c r="T2" s="494"/>
      <c r="U2" s="494"/>
      <c r="V2" s="494"/>
      <c r="W2" s="494"/>
      <c r="X2" s="494"/>
      <c r="Y2" s="494"/>
      <c r="Z2" s="494"/>
      <c r="AA2" s="494"/>
      <c r="AB2" s="494"/>
      <c r="AC2" s="494"/>
      <c r="AD2" s="494"/>
      <c r="AE2" s="494"/>
      <c r="AF2" s="494"/>
      <c r="AG2" s="494"/>
      <c r="AH2" s="494"/>
      <c r="AI2" s="494"/>
      <c r="AJ2" s="494"/>
      <c r="AK2" s="494"/>
      <c r="AL2" s="494"/>
      <c r="AM2" s="494"/>
      <c r="AN2" s="494"/>
      <c r="AO2" s="494"/>
      <c r="AP2" s="494"/>
      <c r="AQ2" s="494"/>
      <c r="AR2" s="494"/>
      <c r="AS2" s="494"/>
      <c r="AT2" s="494"/>
      <c r="AU2" s="494"/>
      <c r="AV2" s="494"/>
    </row>
    <row r="3" spans="1:61" s="464" customFormat="1" ht="31" customHeight="1">
      <c r="A3" s="494"/>
      <c r="B3" s="1818"/>
      <c r="C3" s="1820"/>
      <c r="D3" s="1843" t="s">
        <v>270</v>
      </c>
      <c r="E3" s="1844"/>
      <c r="F3" s="1847" t="s">
        <v>760</v>
      </c>
      <c r="G3" s="2103"/>
      <c r="H3" s="1843" t="s">
        <v>761</v>
      </c>
      <c r="I3" s="1844"/>
      <c r="J3" s="1843" t="s">
        <v>208</v>
      </c>
      <c r="K3" s="1844"/>
      <c r="L3" s="1843" t="s">
        <v>209</v>
      </c>
      <c r="M3" s="1844"/>
      <c r="N3" s="2104" t="s">
        <v>3</v>
      </c>
      <c r="O3" s="2105"/>
      <c r="P3" s="494"/>
      <c r="Q3" s="494"/>
      <c r="R3" s="494"/>
      <c r="S3" s="494"/>
      <c r="T3" s="494"/>
      <c r="U3" s="494"/>
      <c r="V3" s="494"/>
      <c r="W3" s="494"/>
      <c r="X3" s="494"/>
      <c r="Y3" s="494"/>
      <c r="Z3" s="494"/>
      <c r="AA3" s="494"/>
      <c r="AB3" s="494"/>
      <c r="AC3" s="494"/>
      <c r="AD3" s="494"/>
      <c r="AE3" s="494"/>
      <c r="AF3" s="494"/>
      <c r="AG3" s="494"/>
      <c r="AH3" s="494"/>
      <c r="AI3" s="494"/>
      <c r="AJ3" s="494"/>
      <c r="AK3" s="494"/>
      <c r="AL3" s="494"/>
      <c r="AM3" s="494"/>
      <c r="AN3" s="494"/>
      <c r="AO3" s="494"/>
      <c r="AP3" s="494"/>
      <c r="AQ3" s="494"/>
      <c r="AR3" s="494"/>
      <c r="AS3" s="494"/>
      <c r="AT3" s="494"/>
      <c r="AU3" s="494"/>
      <c r="AV3" s="494"/>
    </row>
    <row r="4" spans="1:61" s="494" customFormat="1" ht="15" customHeight="1">
      <c r="B4" s="492"/>
      <c r="C4" s="495"/>
      <c r="D4" s="497"/>
      <c r="E4" s="497"/>
      <c r="F4" s="497"/>
      <c r="G4" s="497"/>
      <c r="H4" s="497"/>
      <c r="I4" s="497"/>
      <c r="J4" s="497"/>
      <c r="K4" s="497"/>
      <c r="L4" s="497"/>
      <c r="M4" s="497"/>
      <c r="N4" s="496"/>
      <c r="O4" s="496"/>
      <c r="P4" s="496"/>
      <c r="Q4" s="496"/>
      <c r="R4" s="496"/>
      <c r="S4" s="496"/>
    </row>
    <row r="5" spans="1:61" s="31" customFormat="1" ht="31" customHeight="1">
      <c r="A5" s="34"/>
      <c r="B5" s="34"/>
      <c r="C5" s="34"/>
      <c r="D5" s="34"/>
      <c r="E5" s="34"/>
      <c r="F5" s="34"/>
      <c r="G5" s="34"/>
      <c r="H5" s="34"/>
      <c r="I5" s="34"/>
      <c r="J5" s="34"/>
      <c r="K5" s="34"/>
      <c r="L5" s="34"/>
      <c r="R5" s="100"/>
      <c r="Z5" s="27"/>
      <c r="AA5" s="27"/>
      <c r="AH5" s="176"/>
      <c r="AI5" s="176"/>
      <c r="AJ5" s="176"/>
      <c r="AK5" s="176"/>
      <c r="AL5" s="176"/>
      <c r="AM5" s="916" t="s">
        <v>2541</v>
      </c>
      <c r="AN5" s="253"/>
      <c r="AO5" s="253"/>
      <c r="AP5" s="32"/>
    </row>
    <row r="6" spans="1:61" s="29" customFormat="1" ht="31" customHeight="1" thickBot="1">
      <c r="A6" s="2683"/>
      <c r="B6" s="491" t="s">
        <v>224</v>
      </c>
      <c r="C6" s="466"/>
      <c r="D6" s="466"/>
      <c r="E6" s="466"/>
      <c r="F6" s="466"/>
      <c r="G6" s="466"/>
      <c r="H6" s="466"/>
      <c r="I6" s="466"/>
      <c r="J6" s="466"/>
      <c r="K6" s="466"/>
      <c r="L6" s="466"/>
      <c r="M6" s="467"/>
      <c r="N6" s="467"/>
      <c r="O6" s="467"/>
      <c r="P6" s="468"/>
      <c r="Q6" s="663"/>
      <c r="R6" s="468"/>
      <c r="S6" s="663"/>
      <c r="T6" s="468"/>
      <c r="U6" s="468"/>
      <c r="V6" s="468"/>
      <c r="W6" s="468"/>
      <c r="X6" s="663"/>
      <c r="Y6" s="468"/>
      <c r="Z6" s="663"/>
      <c r="AA6" s="468"/>
      <c r="AB6" s="663"/>
      <c r="AC6" s="468"/>
      <c r="AD6" s="468"/>
      <c r="AE6" s="468"/>
      <c r="AF6" s="468"/>
      <c r="AG6" s="468"/>
      <c r="AH6" s="468"/>
      <c r="AI6" s="468"/>
      <c r="AJ6" s="468"/>
      <c r="AK6" s="468"/>
      <c r="AL6" s="468"/>
      <c r="AM6" s="468"/>
      <c r="AN6" s="468"/>
      <c r="AO6" s="468"/>
      <c r="AP6" s="468"/>
    </row>
    <row r="7" spans="1:61" s="21" customFormat="1" ht="16" thickTop="1">
      <c r="A7" s="38"/>
      <c r="B7" s="17"/>
      <c r="C7" s="17"/>
      <c r="D7" s="18"/>
      <c r="E7" s="18"/>
      <c r="F7" s="18"/>
      <c r="G7" s="18"/>
      <c r="H7" s="18"/>
      <c r="I7" s="18"/>
      <c r="J7" s="18"/>
      <c r="K7" s="18"/>
      <c r="L7" s="19"/>
      <c r="M7" s="241"/>
      <c r="N7" s="241"/>
      <c r="O7" s="241"/>
      <c r="P7" s="241"/>
      <c r="Q7" s="241"/>
      <c r="R7" s="241"/>
      <c r="S7" s="241"/>
      <c r="T7" s="27"/>
      <c r="U7" s="27"/>
      <c r="V7" s="27"/>
      <c r="W7" s="27"/>
      <c r="X7" s="27"/>
      <c r="Y7" s="27"/>
      <c r="Z7" s="27"/>
      <c r="AA7" s="27"/>
      <c r="AB7" s="27"/>
      <c r="AC7" s="27"/>
      <c r="AD7" s="27"/>
      <c r="AE7" s="27"/>
      <c r="AF7" s="27"/>
      <c r="AG7" s="27"/>
      <c r="AH7" s="28"/>
      <c r="AI7" s="28"/>
      <c r="AJ7" s="28"/>
      <c r="AK7" s="28"/>
      <c r="AL7" s="28"/>
      <c r="AM7" s="19"/>
      <c r="AN7" s="254"/>
      <c r="AO7" s="254"/>
      <c r="AP7" s="249"/>
    </row>
    <row r="8" spans="1:61" s="21" customFormat="1" ht="18">
      <c r="A8" s="38"/>
      <c r="B8" s="29" t="s">
        <v>973</v>
      </c>
      <c r="C8" s="17"/>
      <c r="D8" s="18"/>
      <c r="E8" s="18"/>
      <c r="F8" s="18"/>
      <c r="G8" s="18"/>
      <c r="H8" s="18"/>
      <c r="I8" s="18"/>
      <c r="J8" s="18"/>
      <c r="K8" s="18"/>
      <c r="L8" s="19"/>
      <c r="M8" s="635"/>
      <c r="N8" s="635"/>
      <c r="O8" s="635"/>
      <c r="P8" s="635"/>
      <c r="Q8" s="635"/>
      <c r="R8" s="15"/>
      <c r="S8" s="15"/>
      <c r="T8" s="15"/>
      <c r="U8" s="15"/>
      <c r="V8" s="15"/>
      <c r="W8" s="15"/>
      <c r="X8" s="15"/>
      <c r="Y8" s="15"/>
      <c r="Z8" s="15"/>
      <c r="AA8" s="15"/>
      <c r="AB8" s="15"/>
      <c r="AC8" s="15"/>
      <c r="AD8" s="15"/>
      <c r="AE8" s="15"/>
      <c r="AF8" s="15"/>
      <c r="AG8" s="15"/>
      <c r="AH8" s="15"/>
      <c r="AI8" s="28"/>
      <c r="AJ8" s="28"/>
      <c r="AK8" s="28"/>
      <c r="AL8" s="28"/>
      <c r="AM8" s="19"/>
      <c r="AN8" s="254"/>
    </row>
    <row r="9" spans="1:61" s="21" customFormat="1">
      <c r="A9" s="38"/>
      <c r="B9" s="17"/>
      <c r="C9" s="17"/>
      <c r="D9" s="18"/>
      <c r="E9" s="18"/>
      <c r="F9" s="18"/>
      <c r="G9" s="18"/>
      <c r="H9" s="18"/>
      <c r="I9" s="18"/>
      <c r="J9" s="18"/>
      <c r="K9" s="18"/>
      <c r="L9" s="19"/>
      <c r="M9" s="635"/>
      <c r="N9" s="635"/>
      <c r="O9" s="635"/>
      <c r="P9" s="635"/>
      <c r="Q9" s="635"/>
      <c r="R9" s="15"/>
      <c r="S9" s="15"/>
      <c r="T9" s="15"/>
      <c r="U9" s="15"/>
      <c r="V9" s="15"/>
      <c r="W9" s="15"/>
      <c r="X9" s="15"/>
      <c r="Y9" s="15"/>
      <c r="Z9" s="15"/>
      <c r="AA9" s="15"/>
      <c r="AB9" s="15"/>
      <c r="AC9" s="15"/>
      <c r="AD9" s="15"/>
      <c r="AE9" s="15"/>
      <c r="AF9" s="15"/>
      <c r="AG9" s="15"/>
      <c r="AH9" s="15"/>
      <c r="AI9" s="28"/>
      <c r="AJ9" s="28"/>
      <c r="AK9" s="28"/>
      <c r="AL9" s="28"/>
      <c r="AM9" s="19"/>
      <c r="AN9" s="254"/>
    </row>
    <row r="10" spans="1:61" s="21" customFormat="1" ht="18">
      <c r="B10" s="465" t="s">
        <v>223</v>
      </c>
      <c r="C10" s="635"/>
      <c r="D10" s="18"/>
      <c r="E10" s="18"/>
      <c r="F10" s="18"/>
      <c r="G10" s="18"/>
      <c r="H10" s="18"/>
      <c r="I10" s="18"/>
      <c r="J10" s="19"/>
      <c r="K10" s="635"/>
      <c r="L10" s="635"/>
      <c r="M10" s="635"/>
      <c r="N10" s="635"/>
      <c r="O10" s="635"/>
      <c r="P10" s="635"/>
      <c r="Q10" s="27"/>
      <c r="R10" s="27"/>
      <c r="S10" s="27"/>
      <c r="T10" s="27"/>
      <c r="U10" s="27"/>
      <c r="V10" s="27"/>
      <c r="W10" s="27"/>
      <c r="X10" s="27"/>
      <c r="Y10" s="27"/>
      <c r="Z10" s="27"/>
      <c r="AA10" s="27"/>
      <c r="AB10" s="27"/>
      <c r="AC10" s="27"/>
      <c r="AD10" s="27"/>
      <c r="AE10" s="27"/>
      <c r="AF10" s="28"/>
      <c r="AG10" s="274"/>
      <c r="AH10" s="28"/>
      <c r="AI10" s="28"/>
      <c r="AJ10" s="28"/>
      <c r="AK10" s="19"/>
      <c r="AL10" s="19"/>
      <c r="AM10" s="254"/>
      <c r="AN10" s="254"/>
    </row>
    <row r="11" spans="1:61" s="21" customFormat="1">
      <c r="A11" s="38"/>
      <c r="B11" s="17"/>
      <c r="C11" s="17"/>
      <c r="D11" s="18"/>
      <c r="E11" s="18"/>
      <c r="F11" s="18"/>
      <c r="G11" s="18"/>
      <c r="H11" s="18"/>
      <c r="I11" s="18"/>
      <c r="J11" s="18"/>
      <c r="K11" s="18"/>
      <c r="L11" s="19"/>
      <c r="M11" s="18"/>
      <c r="N11" s="18"/>
      <c r="O11" s="18"/>
      <c r="P11" s="18"/>
      <c r="Q11" s="18"/>
      <c r="R11" s="12"/>
      <c r="S11" s="18"/>
      <c r="T11" s="18"/>
      <c r="U11" s="18"/>
      <c r="V11" s="18"/>
      <c r="W11" s="18"/>
      <c r="X11" s="18"/>
      <c r="Y11" s="18"/>
      <c r="Z11" s="452"/>
      <c r="AA11" s="452"/>
      <c r="AB11" s="18"/>
      <c r="AC11" s="18"/>
      <c r="AD11" s="18"/>
      <c r="AE11" s="18"/>
      <c r="AF11" s="18"/>
      <c r="AG11" s="18"/>
      <c r="AH11" s="28"/>
      <c r="AI11" s="28"/>
      <c r="AJ11" s="28"/>
      <c r="AK11" s="28"/>
      <c r="AL11" s="28"/>
      <c r="AM11" s="19"/>
      <c r="AN11" s="254"/>
      <c r="AO11" s="254"/>
      <c r="AP11" s="20"/>
    </row>
    <row r="12" spans="1:61" s="5" customFormat="1" ht="16" customHeight="1">
      <c r="A12" s="39"/>
      <c r="B12" s="2065" t="s">
        <v>37</v>
      </c>
      <c r="C12" s="2065" t="s">
        <v>38</v>
      </c>
      <c r="D12" s="2095" t="s">
        <v>242</v>
      </c>
      <c r="E12" s="2106"/>
      <c r="F12" s="2106"/>
      <c r="G12" s="2106"/>
      <c r="H12" s="2106"/>
      <c r="I12" s="2106"/>
      <c r="J12" s="2106"/>
      <c r="K12" s="2096"/>
      <c r="L12" s="2066" t="s">
        <v>297</v>
      </c>
      <c r="M12" s="2095" t="s">
        <v>169</v>
      </c>
      <c r="N12" s="2096"/>
      <c r="O12" s="2098" t="s">
        <v>841</v>
      </c>
      <c r="P12" s="2099"/>
      <c r="Q12" s="2100"/>
      <c r="R12" s="2087" t="s">
        <v>302</v>
      </c>
      <c r="S12" s="2087" t="s">
        <v>782</v>
      </c>
      <c r="T12" s="2063" t="s">
        <v>782</v>
      </c>
      <c r="U12" s="2063"/>
      <c r="V12" s="2063"/>
      <c r="W12" s="2063"/>
      <c r="X12" s="2063"/>
      <c r="Y12" s="2064"/>
      <c r="Z12" s="2087" t="s">
        <v>1538</v>
      </c>
      <c r="AA12" s="2089" t="s">
        <v>1539</v>
      </c>
      <c r="AB12" s="2093" t="s">
        <v>928</v>
      </c>
      <c r="AC12" s="2083" t="s">
        <v>934</v>
      </c>
      <c r="AD12" s="2083"/>
      <c r="AE12" s="2083"/>
      <c r="AF12" s="2083"/>
      <c r="AG12" s="2083"/>
      <c r="AH12" s="2109" t="s">
        <v>289</v>
      </c>
      <c r="AI12" s="2110"/>
      <c r="AJ12" s="2110"/>
      <c r="AK12" s="2110"/>
      <c r="AL12" s="2111"/>
      <c r="AM12" s="895" t="s">
        <v>41</v>
      </c>
      <c r="AN12" s="2075" t="s">
        <v>937</v>
      </c>
      <c r="AO12" s="2087" t="s">
        <v>723</v>
      </c>
      <c r="AP12" s="2091" t="s">
        <v>826</v>
      </c>
      <c r="AQ12" s="14"/>
      <c r="AR12" s="14"/>
      <c r="AS12" s="14"/>
      <c r="AT12" s="14"/>
      <c r="AU12" s="14"/>
      <c r="AV12" s="14"/>
      <c r="AW12" s="14"/>
      <c r="AX12" s="14"/>
      <c r="AY12" s="14"/>
      <c r="AZ12" s="14"/>
      <c r="BA12" s="14"/>
      <c r="BB12" s="14"/>
      <c r="BC12" s="14"/>
      <c r="BD12" s="14"/>
      <c r="BE12" s="14"/>
      <c r="BF12" s="14"/>
      <c r="BG12" s="14"/>
      <c r="BH12" s="14"/>
      <c r="BI12" s="14"/>
    </row>
    <row r="13" spans="1:61" s="5" customFormat="1" ht="17">
      <c r="A13" s="39"/>
      <c r="B13" s="2065"/>
      <c r="C13" s="2065"/>
      <c r="D13" s="2095" t="s">
        <v>254</v>
      </c>
      <c r="E13" s="2096"/>
      <c r="F13" s="2095" t="s">
        <v>243</v>
      </c>
      <c r="G13" s="2106"/>
      <c r="H13" s="2096"/>
      <c r="I13" s="2095" t="s">
        <v>241</v>
      </c>
      <c r="J13" s="2106"/>
      <c r="K13" s="2096"/>
      <c r="L13" s="2065"/>
      <c r="M13" s="731" t="s">
        <v>170</v>
      </c>
      <c r="N13" s="731" t="s">
        <v>171</v>
      </c>
      <c r="O13" s="735" t="s">
        <v>813</v>
      </c>
      <c r="P13" s="735" t="s">
        <v>814</v>
      </c>
      <c r="Q13" s="735" t="s">
        <v>927</v>
      </c>
      <c r="R13" s="2088"/>
      <c r="S13" s="2088"/>
      <c r="T13" s="734" t="s">
        <v>171</v>
      </c>
      <c r="U13" s="733" t="s">
        <v>929</v>
      </c>
      <c r="V13" s="733" t="s">
        <v>930</v>
      </c>
      <c r="W13" s="733" t="s">
        <v>931</v>
      </c>
      <c r="X13" s="733" t="s">
        <v>932</v>
      </c>
      <c r="Y13" s="733" t="s">
        <v>933</v>
      </c>
      <c r="Z13" s="2088" t="s">
        <v>1023</v>
      </c>
      <c r="AA13" s="2090"/>
      <c r="AB13" s="2094"/>
      <c r="AC13" s="733" t="s">
        <v>929</v>
      </c>
      <c r="AD13" s="733" t="s">
        <v>930</v>
      </c>
      <c r="AE13" s="733" t="s">
        <v>931</v>
      </c>
      <c r="AF13" s="733" t="s">
        <v>932</v>
      </c>
      <c r="AG13" s="733" t="s">
        <v>933</v>
      </c>
      <c r="AH13" s="732" t="s">
        <v>290</v>
      </c>
      <c r="AI13" s="732" t="s">
        <v>291</v>
      </c>
      <c r="AJ13" s="732" t="s">
        <v>292</v>
      </c>
      <c r="AK13" s="732" t="s">
        <v>293</v>
      </c>
      <c r="AL13" s="732" t="s">
        <v>294</v>
      </c>
      <c r="AM13" s="731" t="s">
        <v>44</v>
      </c>
      <c r="AN13" s="2075"/>
      <c r="AO13" s="2088"/>
      <c r="AP13" s="2092"/>
      <c r="AQ13" s="14"/>
      <c r="AR13" s="14"/>
      <c r="AS13" s="14"/>
      <c r="AT13" s="14"/>
      <c r="AU13" s="14"/>
      <c r="AV13" s="14"/>
      <c r="AW13" s="14"/>
      <c r="AX13" s="14"/>
      <c r="AY13" s="14"/>
      <c r="AZ13" s="14"/>
      <c r="BA13" s="14"/>
      <c r="BB13" s="14"/>
      <c r="BC13" s="14"/>
      <c r="BD13" s="14"/>
      <c r="BE13" s="14"/>
      <c r="BF13" s="14"/>
      <c r="BG13" s="14"/>
      <c r="BH13" s="14"/>
      <c r="BI13" s="14"/>
    </row>
    <row r="14" spans="1:61">
      <c r="B14" s="84" t="s">
        <v>90</v>
      </c>
      <c r="C14" s="52">
        <v>1</v>
      </c>
      <c r="D14" s="53" t="s">
        <v>91</v>
      </c>
      <c r="E14" s="102"/>
      <c r="F14" s="102"/>
      <c r="G14" s="102"/>
      <c r="H14" s="102"/>
      <c r="I14" s="102"/>
      <c r="J14" s="102"/>
      <c r="K14" s="102"/>
      <c r="L14" s="85"/>
      <c r="M14" s="103"/>
      <c r="N14" s="104"/>
      <c r="O14" s="104"/>
      <c r="P14" s="104"/>
      <c r="Q14" s="104"/>
      <c r="R14" s="54"/>
      <c r="S14" s="104"/>
      <c r="T14" s="104"/>
      <c r="U14" s="104"/>
      <c r="V14" s="104"/>
      <c r="W14" s="104"/>
      <c r="X14" s="104"/>
      <c r="Y14" s="104"/>
      <c r="Z14" s="54"/>
      <c r="AA14" s="54"/>
      <c r="AB14" s="104"/>
      <c r="AC14" s="104"/>
      <c r="AD14" s="104"/>
      <c r="AE14" s="104"/>
      <c r="AF14" s="104"/>
      <c r="AG14" s="104"/>
      <c r="AH14" s="281"/>
      <c r="AI14" s="281"/>
      <c r="AJ14" s="281"/>
      <c r="AK14" s="281"/>
      <c r="AL14" s="281"/>
      <c r="AM14" s="54"/>
      <c r="AN14" s="657"/>
      <c r="AO14" s="658"/>
      <c r="AP14" s="658"/>
    </row>
    <row r="15" spans="1:61">
      <c r="B15" s="56" t="s">
        <v>90</v>
      </c>
      <c r="C15" s="56">
        <v>1</v>
      </c>
      <c r="D15" s="2060" t="s">
        <v>816</v>
      </c>
      <c r="E15" s="2062"/>
      <c r="F15" s="2060" t="s">
        <v>189</v>
      </c>
      <c r="G15" s="2061"/>
      <c r="H15" s="2062"/>
      <c r="I15" s="2060" t="s">
        <v>2673</v>
      </c>
      <c r="J15" s="2061"/>
      <c r="K15" s="2062"/>
      <c r="L15" s="56"/>
      <c r="M15" s="57">
        <v>516117012</v>
      </c>
      <c r="N15" s="58" t="s">
        <v>2639</v>
      </c>
      <c r="O15" s="58"/>
      <c r="P15" s="58"/>
      <c r="Q15" s="221" t="str">
        <f t="array" ref="Q15">IFERROR(INDEX('Conversion factors_2'!$B$10:$CY$111,MATCH(O15,'Conversion factors_2'!$B$10:$B$111,FALSE),HLOOKUP(P15,'Conversion factors_2'!$B$8:$CY$9,2,FALSE)),"")</f>
        <v/>
      </c>
      <c r="R15" s="58" t="s">
        <v>309</v>
      </c>
      <c r="S15" s="58" t="s">
        <v>2690</v>
      </c>
      <c r="T15" s="221" t="str">
        <f>IFERROR(CONCATENATE("tCO2e/",VLOOKUP($S15,'Emission factors'!$D:$J,7,FALSE)),"")</f>
        <v>tCO2e/litre</v>
      </c>
      <c r="U15" s="221">
        <f>IFERROR(VLOOKUP($S15,'Emission factors'!$D:$X,10,FALSE),"")</f>
        <v>2.2000000000000001E-3</v>
      </c>
      <c r="V15" s="221">
        <f>IFERROR(VLOOKUP($S15,'Emission factors'!$D:$X,12,FALSE),"")</f>
        <v>3.0000000000000001E-6</v>
      </c>
      <c r="W15" s="221">
        <f>IFERROR(VLOOKUP($S15,'Emission factors'!$D:$X,14,FALSE),"")</f>
        <v>5.0000000000000004E-6</v>
      </c>
      <c r="X15" s="221" t="str">
        <f>IFERROR(VLOOKUP($S15,'Emission factors'!$D:$X,16,FALSE),"")</f>
        <v/>
      </c>
      <c r="Y15" s="221" t="str">
        <f>IFERROR(VLOOKUP($S15,'Emission factors'!$D:$X,18,FALSE),"")</f>
        <v/>
      </c>
      <c r="Z15" s="221">
        <f>IF(M15="","",1)</f>
        <v>1</v>
      </c>
      <c r="AA15" s="58"/>
      <c r="AB15" s="58"/>
      <c r="AC15" s="58"/>
      <c r="AD15" s="58"/>
      <c r="AE15" s="58"/>
      <c r="AF15" s="58"/>
      <c r="AG15" s="58"/>
      <c r="AH15" s="275">
        <f>IFERROR(IF(AND($S15="",$AB15=""),"",IF($S15="",IF(AC15=0,"-",AC15),IF(U15=0,"0",$M15*IF($Q15="",1,$Q15)*U15*IF(AA15="",Z15,AA15)))),"-")</f>
        <v>1135457.4264</v>
      </c>
      <c r="AI15" s="275">
        <f>IFERROR(IF(AND($S15="",$AB15=""),"",IF($S15="",IF(AD15=0,"-",AD15),IF(V15=0,"0",$M15*IF($Q15="",1,$Q15)*V15))),"-")</f>
        <v>1548.351036</v>
      </c>
      <c r="AJ15" s="275">
        <f>IFERROR(IF(AND($S15="",$AB15=""),"",IF($S15="",IF(AE15=0,"-",AE15),IF(W15=0,"0",$M15*IF($Q15="",1,$Q15)*W15))),"-")</f>
        <v>2580.5850600000003</v>
      </c>
      <c r="AK15" s="275">
        <f>IFERROR(IF(AND($S15="",$AB15=""),"",IF($S15="",IF(AF15="",SUM(AH15:AJ15),IF(AF15=0,"0",AF15)),IF($X15="",SUM($AH15:$AJ15),IF($X15=0,"0",$M15*IF($Q15="",1,$Q15)*$X15)))),"-")</f>
        <v>1139586.362496</v>
      </c>
      <c r="AL15" s="275" t="str">
        <f>IFERROR(IF(AND($S15="",$AB15=""),"",IF($S15="",IF(AG15=0,"",AG15),IF(Y15=0,"0",$M15*IF($Q15="",1,$Q15)*Y15*IF(AA15="",Z15,AA15)))),"-")</f>
        <v>-</v>
      </c>
      <c r="AM15" s="58" t="s">
        <v>180</v>
      </c>
      <c r="AN15" s="225" t="s">
        <v>2684</v>
      </c>
      <c r="AO15" s="268" t="s">
        <v>2659</v>
      </c>
      <c r="AP15" s="652"/>
    </row>
    <row r="16" spans="1:61">
      <c r="B16" s="56" t="s">
        <v>90</v>
      </c>
      <c r="C16" s="56">
        <v>1</v>
      </c>
      <c r="D16" s="2060" t="s">
        <v>816</v>
      </c>
      <c r="E16" s="2062"/>
      <c r="F16" s="2060" t="s">
        <v>608</v>
      </c>
      <c r="G16" s="2061"/>
      <c r="H16" s="2062"/>
      <c r="I16" s="2060" t="s">
        <v>2673</v>
      </c>
      <c r="J16" s="2061"/>
      <c r="K16" s="2062"/>
      <c r="L16" s="56"/>
      <c r="M16" s="57">
        <v>655154149</v>
      </c>
      <c r="N16" s="58" t="s">
        <v>2639</v>
      </c>
      <c r="O16" s="58"/>
      <c r="P16" s="58"/>
      <c r="Q16" s="221" t="str">
        <f t="array" ref="Q16">IFERROR(INDEX('Conversion factors_2'!$B$10:$CY$111,MATCH(O16,'Conversion factors_2'!$B$10:$B$111,FALSE),HLOOKUP(P16,'Conversion factors_2'!$B$8:$CY$9,2,FALSE)),"")</f>
        <v/>
      </c>
      <c r="R16" s="58" t="s">
        <v>309</v>
      </c>
      <c r="S16" s="58" t="s">
        <v>2691</v>
      </c>
      <c r="T16" s="221" t="str">
        <f>IFERROR(CONCATENATE("tCO2e/",VLOOKUP($S16,'Emission factors'!$D:$J,7,FALSE)),"")</f>
        <v>tCO2e/litre</v>
      </c>
      <c r="U16" s="221">
        <f>IFERROR(VLOOKUP($S16,'Emission factors'!$D:$X,10,FALSE),"")</f>
        <v>2.5000000000000001E-3</v>
      </c>
      <c r="V16" s="221">
        <f>IFERROR(VLOOKUP($S16,'Emission factors'!$D:$X,12,FALSE),"")</f>
        <v>8.0000000000000007E-7</v>
      </c>
      <c r="W16" s="221">
        <f>IFERROR(VLOOKUP($S16,'Emission factors'!$D:$X,14,FALSE),"")</f>
        <v>2.0000000000000002E-5</v>
      </c>
      <c r="X16" s="221" t="str">
        <f>IFERROR(VLOOKUP($S16,'Emission factors'!$D:$X,16,FALSE),"")</f>
        <v/>
      </c>
      <c r="Y16" s="221" t="str">
        <f>IFERROR(VLOOKUP($S16,'Emission factors'!$D:$X,18,FALSE),"")</f>
        <v/>
      </c>
      <c r="Z16" s="221">
        <f>IF(M16="","",1)</f>
        <v>1</v>
      </c>
      <c r="AA16" s="58"/>
      <c r="AB16" s="58"/>
      <c r="AC16" s="58"/>
      <c r="AD16" s="58"/>
      <c r="AE16" s="58"/>
      <c r="AF16" s="58"/>
      <c r="AG16" s="58"/>
      <c r="AH16" s="275">
        <f>IFERROR(IF(AND($S16="",$AB16=""),"",IF($S16="",IF(AC16=0,"-",AC16),IF(U16=0,"0",$M16*IF($Q16="",1,$Q16)*U16*IF(AA16="",Z16,AA16)))),"-")</f>
        <v>1637885.3725000001</v>
      </c>
      <c r="AI16" s="275">
        <f>IFERROR(IF(AND($S16="",$AB16=""),"",IF($S16="",IF(AD16=0,"-",AD16),IF(V16=0,"0",$M16*IF($Q16="",1,$Q16)*V16))),"-")</f>
        <v>524.12331920000008</v>
      </c>
      <c r="AJ16" s="275">
        <f>IFERROR(IF(AND($S16="",$AB16=""),"",IF($S16="",IF(AE16=0,"-",AE16),IF(W16=0,"0",$M16*IF($Q16="",1,$Q16)*W16))),"-")</f>
        <v>13103.082980000001</v>
      </c>
      <c r="AK16" s="275">
        <f>IFERROR(IF(AND($S16="",$AB16=""),"",IF($S16="",IF(AF16="",SUM(AH16:AJ16),IF(AF16=0,"0",AF16)),IF($X16="",SUM($AH16:$AJ16),IF($X16=0,"0",$M16*IF($Q16="",1,$Q16)*$X16)))),"-")</f>
        <v>1651512.5787992</v>
      </c>
      <c r="AL16" s="275" t="str">
        <f>IFERROR(IF(AND($S16="",$AB16=""),"",IF($S16="",IF(AG16=0,"",AG16),IF(Y16=0,"0",$M16*IF($Q16="",1,$Q16)*Y16*IF(AA16="",Z16,AA16)))),"-")</f>
        <v>-</v>
      </c>
      <c r="AM16" s="58" t="s">
        <v>180</v>
      </c>
      <c r="AN16" s="225" t="s">
        <v>2684</v>
      </c>
      <c r="AO16" s="268" t="s">
        <v>2659</v>
      </c>
      <c r="AP16" s="652"/>
    </row>
    <row r="17" spans="1:61">
      <c r="B17" s="73" t="s">
        <v>92</v>
      </c>
      <c r="C17" s="60">
        <v>2</v>
      </c>
      <c r="D17" s="61" t="s">
        <v>93</v>
      </c>
      <c r="E17" s="105"/>
      <c r="F17" s="105"/>
      <c r="G17" s="105"/>
      <c r="H17" s="105"/>
      <c r="I17" s="105"/>
      <c r="J17" s="105"/>
      <c r="K17" s="105"/>
      <c r="L17" s="74" t="s">
        <v>176</v>
      </c>
      <c r="M17" s="64"/>
      <c r="N17" s="64"/>
      <c r="O17" s="64"/>
      <c r="P17" s="64"/>
      <c r="Q17" s="64"/>
      <c r="R17" s="64"/>
      <c r="S17" s="64"/>
      <c r="T17" s="64"/>
      <c r="U17" s="64"/>
      <c r="V17" s="64"/>
      <c r="W17" s="64"/>
      <c r="X17" s="64"/>
      <c r="Y17" s="64"/>
      <c r="Z17" s="64"/>
      <c r="AA17" s="64"/>
      <c r="AB17" s="64"/>
      <c r="AC17" s="64"/>
      <c r="AD17" s="64"/>
      <c r="AE17" s="64"/>
      <c r="AF17" s="64"/>
      <c r="AG17" s="64"/>
      <c r="AH17" s="276"/>
      <c r="AI17" s="276"/>
      <c r="AJ17" s="276"/>
      <c r="AK17" s="276"/>
      <c r="AL17" s="276"/>
      <c r="AM17" s="54"/>
      <c r="AN17" s="227" t="s">
        <v>2672</v>
      </c>
      <c r="AO17" s="653"/>
      <c r="AP17" s="653"/>
    </row>
    <row r="18" spans="1:61">
      <c r="B18" s="56" t="s">
        <v>92</v>
      </c>
      <c r="C18" s="56">
        <v>2</v>
      </c>
      <c r="D18" s="2060"/>
      <c r="E18" s="2062"/>
      <c r="F18" s="2060"/>
      <c r="G18" s="2061"/>
      <c r="H18" s="2062"/>
      <c r="I18" s="2060"/>
      <c r="J18" s="2061"/>
      <c r="K18" s="2062"/>
      <c r="L18" s="56"/>
      <c r="M18" s="57"/>
      <c r="N18" s="58"/>
      <c r="O18" s="58"/>
      <c r="P18" s="58"/>
      <c r="Q18" s="221" t="str">
        <f t="array" ref="Q18">IFERROR(INDEX('Conversion factors_2'!$B$10:$CY$111,MATCH(O18,'Conversion factors_2'!$B$10:$B$111,FALSE),HLOOKUP(P18,'Conversion factors_2'!$B$8:$CY$9,2,FALSE)),"")</f>
        <v/>
      </c>
      <c r="R18" s="58"/>
      <c r="S18" s="58"/>
      <c r="T18" s="221" t="str">
        <f>IFERROR(CONCATENATE("tCO2e/",VLOOKUP($S18,'Emission factors'!$D:$J,7,FALSE)),"")</f>
        <v/>
      </c>
      <c r="U18" s="221" t="str">
        <f>IFERROR(VLOOKUP($S18,'Emission factors'!$D:$X,10,FALSE),"")</f>
        <v/>
      </c>
      <c r="V18" s="221" t="str">
        <f>IFERROR(VLOOKUP($S18,'Emission factors'!$D:$X,12,FALSE),"")</f>
        <v/>
      </c>
      <c r="W18" s="221" t="str">
        <f>IFERROR(VLOOKUP($S18,'Emission factors'!$D:$X,14,FALSE),"")</f>
        <v/>
      </c>
      <c r="X18" s="221" t="str">
        <f>IFERROR(VLOOKUP($S18,'Emission factors'!$D:$X,16,FALSE),"")</f>
        <v/>
      </c>
      <c r="Y18" s="221" t="str">
        <f>IFERROR(VLOOKUP($S18,'Emission factors'!$D:$X,18,FALSE),"")</f>
        <v/>
      </c>
      <c r="Z18" s="221" t="str">
        <f>IF(M18="","",1)</f>
        <v/>
      </c>
      <c r="AA18" s="58"/>
      <c r="AB18" s="58"/>
      <c r="AC18" s="58"/>
      <c r="AD18" s="58"/>
      <c r="AE18" s="58"/>
      <c r="AF18" s="58"/>
      <c r="AG18" s="58"/>
      <c r="AH18" s="275" t="str">
        <f>IFERROR(IF(AND($S18="",$AB18=""),"",IF($S18="",IF(AC18=0,"-",AC18),IF(U18=0,"0",$M18*IF($Q18="",1,$Q18)*U18*IF(AA18="",Z18,AA18)))),"-")</f>
        <v/>
      </c>
      <c r="AI18" s="275" t="str">
        <f>IFERROR(IF(AND($S18="",$AB18=""),"",IF($S18="",IF(AD18=0,"-",AD18),IF(V18=0,"0",$M18*IF($Q18="",1,$Q18)*V18))),"-")</f>
        <v/>
      </c>
      <c r="AJ18" s="275" t="str">
        <f>IFERROR(IF(AND($S18="",$AB18=""),"",IF($S18="",IF(AE18=0,"-",AE18),IF(W18=0,"0",$M18*IF($Q18="",1,$Q18)*W18))),"-")</f>
        <v/>
      </c>
      <c r="AK18" s="275" t="str">
        <f>IFERROR(IF(AND($S18="",$AB18=""),"",IF($S18="",IF(AF18="",SUM(AH18:AJ18),IF(AF18=0,"0",AF18)),IF($X18="",SUM($AH18:$AJ18),IF($X18=0,"0",$M18*IF($Q18="",1,$Q18)*$X18)))),"-")</f>
        <v/>
      </c>
      <c r="AL18" s="275" t="str">
        <f>IFERROR(IF(AND($S18="",$AB18=""),"",IF($S18="",IF(AG18=0,"",AG18),IF(Y18=0,"0",$M18*IF($Q18="",1,$Q18)*Y18*IF(AA18="",Z18,AA18)))),"-")</f>
        <v/>
      </c>
      <c r="AM18" s="58"/>
      <c r="AN18" s="225"/>
      <c r="AO18" s="268"/>
      <c r="AP18" s="652"/>
    </row>
    <row r="19" spans="1:61">
      <c r="B19" s="56" t="s">
        <v>92</v>
      </c>
      <c r="C19" s="56">
        <v>2</v>
      </c>
      <c r="D19" s="2060"/>
      <c r="E19" s="2062"/>
      <c r="F19" s="2060"/>
      <c r="G19" s="2061"/>
      <c r="H19" s="2062"/>
      <c r="I19" s="2060"/>
      <c r="J19" s="2061"/>
      <c r="K19" s="2062"/>
      <c r="L19" s="56"/>
      <c r="M19" s="57"/>
      <c r="N19" s="58"/>
      <c r="O19" s="58"/>
      <c r="P19" s="58"/>
      <c r="Q19" s="221" t="str">
        <f t="array" ref="Q19">IFERROR(INDEX('Conversion factors_2'!$B$10:$CY$111,MATCH(O19,'Conversion factors_2'!$B$10:$B$111,FALSE),HLOOKUP(P19,'Conversion factors_2'!$B$8:$CY$9,2,FALSE)),"")</f>
        <v/>
      </c>
      <c r="R19" s="58"/>
      <c r="S19" s="58"/>
      <c r="T19" s="221" t="str">
        <f>IFERROR(CONCATENATE("tCO2e/",VLOOKUP($S19,'Emission factors'!$D:$J,7,FALSE)),"")</f>
        <v/>
      </c>
      <c r="U19" s="221" t="str">
        <f>IFERROR(VLOOKUP($S19,'Emission factors'!$D:$X,10,FALSE),"")</f>
        <v/>
      </c>
      <c r="V19" s="221" t="str">
        <f>IFERROR(VLOOKUP($S19,'Emission factors'!$D:$X,12,FALSE),"")</f>
        <v/>
      </c>
      <c r="W19" s="221" t="str">
        <f>IFERROR(VLOOKUP($S19,'Emission factors'!$D:$X,14,FALSE),"")</f>
        <v/>
      </c>
      <c r="X19" s="221" t="str">
        <f>IFERROR(VLOOKUP($S19,'Emission factors'!$D:$X,16,FALSE),"")</f>
        <v/>
      </c>
      <c r="Y19" s="221" t="str">
        <f>IFERROR(VLOOKUP($S19,'Emission factors'!$D:$X,18,FALSE),"")</f>
        <v/>
      </c>
      <c r="Z19" s="221" t="str">
        <f>IF(M19="","",1)</f>
        <v/>
      </c>
      <c r="AA19" s="58"/>
      <c r="AB19" s="58"/>
      <c r="AC19" s="58"/>
      <c r="AD19" s="58"/>
      <c r="AE19" s="58"/>
      <c r="AF19" s="58"/>
      <c r="AG19" s="58"/>
      <c r="AH19" s="275" t="str">
        <f>IFERROR(IF(AND($S19="",$AB19=""),"",IF($S19="",IF(AC19=0,"-",AC19),IF(U19=0,"0",$M19*IF($Q19="",1,$Q19)*U19*IF(AA19="",Z19,AA19)))),"-")</f>
        <v/>
      </c>
      <c r="AI19" s="275" t="str">
        <f>IFERROR(IF(AND($S19="",$AB19=""),"",IF($S19="",IF(AD19=0,"-",AD19),IF(V19=0,"0",$M19*IF($Q19="",1,$Q19)*V19))),"-")</f>
        <v/>
      </c>
      <c r="AJ19" s="275" t="str">
        <f>IFERROR(IF(AND($S19="",$AB19=""),"",IF($S19="",IF(AE19=0,"-",AE19),IF(W19=0,"0",$M19*IF($Q19="",1,$Q19)*W19))),"-")</f>
        <v/>
      </c>
      <c r="AK19" s="275" t="str">
        <f>IFERROR(IF(AND($S19="",$AB19=""),"",IF($S19="",IF(AF19="",SUM(AH19:AJ19),IF(AF19=0,"0",AF19)),IF($X19="",SUM($AH19:$AJ19),IF($X19=0,"0",$M19*IF($Q19="",1,$Q19)*$X19)))),"-")</f>
        <v/>
      </c>
      <c r="AL19" s="275" t="str">
        <f>IFERROR(IF(AND($S19="",$AB19=""),"",IF($S19="",IF(AG19=0,"",AG19),IF(Y19=0,"0",$M19*IF($Q19="",1,$Q19)*Y19*IF(AA19="",Z19,AA19)))),"-")</f>
        <v/>
      </c>
      <c r="AM19" s="58"/>
      <c r="AN19" s="255"/>
      <c r="AO19" s="268"/>
      <c r="AP19" s="652"/>
    </row>
    <row r="20" spans="1:61">
      <c r="B20" s="76" t="s">
        <v>94</v>
      </c>
      <c r="C20" s="76">
        <v>3</v>
      </c>
      <c r="D20" s="106" t="s">
        <v>622</v>
      </c>
      <c r="E20" s="106"/>
      <c r="F20" s="106"/>
      <c r="G20" s="106"/>
      <c r="H20" s="106"/>
      <c r="I20" s="106"/>
      <c r="J20" s="112"/>
      <c r="K20" s="112"/>
      <c r="L20" s="69" t="s">
        <v>177</v>
      </c>
      <c r="M20" s="70"/>
      <c r="N20" s="69"/>
      <c r="O20" s="69"/>
      <c r="P20" s="69"/>
      <c r="Q20" s="69"/>
      <c r="R20" s="69"/>
      <c r="S20" s="69"/>
      <c r="T20" s="69"/>
      <c r="U20" s="69"/>
      <c r="V20" s="69"/>
      <c r="W20" s="69"/>
      <c r="X20" s="69"/>
      <c r="Y20" s="69"/>
      <c r="Z20" s="69"/>
      <c r="AA20" s="69"/>
      <c r="AB20" s="69"/>
      <c r="AC20" s="69"/>
      <c r="AD20" s="69"/>
      <c r="AE20" s="69"/>
      <c r="AF20" s="69"/>
      <c r="AG20" s="69"/>
      <c r="AH20" s="277"/>
      <c r="AI20" s="277"/>
      <c r="AJ20" s="277"/>
      <c r="AK20" s="277"/>
      <c r="AL20" s="277"/>
      <c r="AM20" s="69"/>
      <c r="AN20" s="228" t="s">
        <v>2681</v>
      </c>
      <c r="AO20" s="655"/>
      <c r="AP20" s="655"/>
    </row>
    <row r="21" spans="1:61">
      <c r="B21" s="56" t="s">
        <v>94</v>
      </c>
      <c r="C21" s="56">
        <v>3</v>
      </c>
      <c r="D21" s="2060"/>
      <c r="E21" s="2062"/>
      <c r="F21" s="2060"/>
      <c r="G21" s="2061"/>
      <c r="H21" s="2062"/>
      <c r="I21" s="2060"/>
      <c r="J21" s="2061"/>
      <c r="K21" s="2062"/>
      <c r="L21" s="56"/>
      <c r="M21" s="57"/>
      <c r="N21" s="58"/>
      <c r="O21" s="58"/>
      <c r="P21" s="58"/>
      <c r="Q21" s="221" t="str">
        <f t="array" ref="Q21">IFERROR(INDEX('Conversion factors_2'!$B$10:$CY$111,MATCH(O21,'Conversion factors_2'!$B$10:$B$111,FALSE),HLOOKUP(P21,'Conversion factors_2'!$B$8:$CY$9,2,FALSE)),"")</f>
        <v/>
      </c>
      <c r="R21" s="58"/>
      <c r="S21" s="58"/>
      <c r="T21" s="221" t="str">
        <f>IFERROR(CONCATENATE("tCO2e/",VLOOKUP($S21,'Emission factors'!$D:$J,7,FALSE)),"")</f>
        <v/>
      </c>
      <c r="U21" s="221" t="str">
        <f>IFERROR(VLOOKUP($S21,'Emission factors'!$D:$X,10,FALSE),"")</f>
        <v/>
      </c>
      <c r="V21" s="221" t="str">
        <f>IFERROR(VLOOKUP($S21,'Emission factors'!$D:$X,12,FALSE),"")</f>
        <v/>
      </c>
      <c r="W21" s="221" t="str">
        <f>IFERROR(VLOOKUP($S21,'Emission factors'!$D:$X,14,FALSE),"")</f>
        <v/>
      </c>
      <c r="X21" s="221" t="str">
        <f>IFERROR(VLOOKUP($S21,'Emission factors'!$D:$X,16,FALSE),"")</f>
        <v/>
      </c>
      <c r="Y21" s="221" t="str">
        <f>IFERROR(VLOOKUP($S21,'Emission factors'!$D:$X,18,FALSE),"")</f>
        <v/>
      </c>
      <c r="Z21" s="221" t="str">
        <f>IF(M21="","",1)</f>
        <v/>
      </c>
      <c r="AA21" s="58"/>
      <c r="AB21" s="58"/>
      <c r="AC21" s="58"/>
      <c r="AD21" s="58"/>
      <c r="AE21" s="58"/>
      <c r="AF21" s="58"/>
      <c r="AG21" s="58"/>
      <c r="AH21" s="275" t="str">
        <f>IFERROR(IF(AND($S21="",$AB21=""),"",IF($S21="",IF(AC21=0,"-",AC21),IF(U21=0,"0",$M21*IF($Q21="",1,$Q21)*U21*IF(AA21="",Z21,AA21)))),"-")</f>
        <v/>
      </c>
      <c r="AI21" s="275" t="str">
        <f>IFERROR(IF(AND($S21="",$AB21=""),"",IF($S21="",IF(AD21=0,"-",AD21),IF(V21=0,"0",$M21*IF($Q21="",1,$Q21)*V21))),"-")</f>
        <v/>
      </c>
      <c r="AJ21" s="275" t="str">
        <f>IFERROR(IF(AND($S21="",$AB21=""),"",IF($S21="",IF(AE21=0,"-",AE21),IF(W21=0,"0",$M21*IF($Q21="",1,$Q21)*W21))),"-")</f>
        <v/>
      </c>
      <c r="AK21" s="275" t="str">
        <f>IFERROR(IF(AND($S21="",$AB21=""),"",IF($S21="",IF(AF21="",SUM(AH21:AJ21),IF(AF21=0,"0",AF21)),IF($X21="",SUM($AH21:$AJ21),IF($X21=0,"0",$M21*IF($Q21="",1,$Q21)*$X21)))),"-")</f>
        <v/>
      </c>
      <c r="AL21" s="275" t="str">
        <f>IFERROR(IF(AND($S21="",$AB21=""),"",IF($S21="",IF(AG21=0,"",AG21),IF(Y21=0,"0",$M21*IF($Q21="",1,$Q21)*Y21*IF(AA21="",Z21,AA21)))),"-")</f>
        <v/>
      </c>
      <c r="AM21" s="58"/>
      <c r="AN21" s="225"/>
      <c r="AO21" s="268"/>
      <c r="AP21" s="652"/>
    </row>
    <row r="22" spans="1:61" ht="15" customHeight="1">
      <c r="B22" s="56" t="s">
        <v>94</v>
      </c>
      <c r="C22" s="56">
        <v>3</v>
      </c>
      <c r="D22" s="2060"/>
      <c r="E22" s="2062"/>
      <c r="F22" s="2060"/>
      <c r="G22" s="2061"/>
      <c r="H22" s="2062"/>
      <c r="I22" s="2060"/>
      <c r="J22" s="2061"/>
      <c r="K22" s="2062"/>
      <c r="L22" s="56"/>
      <c r="M22" s="57"/>
      <c r="N22" s="58"/>
      <c r="O22" s="58"/>
      <c r="P22" s="58"/>
      <c r="Q22" s="221" t="str">
        <f t="array" ref="Q22">IFERROR(INDEX('Conversion factors_2'!$B$10:$CY$111,MATCH(O22,'Conversion factors_2'!$B$10:$B$111,FALSE),HLOOKUP(P22,'Conversion factors_2'!$B$8:$CY$9,2,FALSE)),"")</f>
        <v/>
      </c>
      <c r="R22" s="58"/>
      <c r="S22" s="58"/>
      <c r="T22" s="221" t="str">
        <f>IFERROR(CONCATENATE("tCO2e/",VLOOKUP($S22,'Emission factors'!$D:$J,7,FALSE)),"")</f>
        <v/>
      </c>
      <c r="U22" s="221" t="str">
        <f>IFERROR(VLOOKUP($S22,'Emission factors'!$D:$X,10,FALSE),"")</f>
        <v/>
      </c>
      <c r="V22" s="221" t="str">
        <f>IFERROR(VLOOKUP($S22,'Emission factors'!$D:$X,12,FALSE),"")</f>
        <v/>
      </c>
      <c r="W22" s="221" t="str">
        <f>IFERROR(VLOOKUP($S22,'Emission factors'!$D:$X,14,FALSE),"")</f>
        <v/>
      </c>
      <c r="X22" s="221" t="str">
        <f>IFERROR(VLOOKUP($S22,'Emission factors'!$D:$X,16,FALSE),"")</f>
        <v/>
      </c>
      <c r="Y22" s="221" t="str">
        <f>IFERROR(VLOOKUP($S22,'Emission factors'!$D:$X,18,FALSE),"")</f>
        <v/>
      </c>
      <c r="Z22" s="221" t="str">
        <f>IF(M22="","",1)</f>
        <v/>
      </c>
      <c r="AA22" s="58"/>
      <c r="AB22" s="56"/>
      <c r="AC22" s="58"/>
      <c r="AD22" s="58"/>
      <c r="AE22" s="58"/>
      <c r="AF22" s="58"/>
      <c r="AG22" s="58"/>
      <c r="AH22" s="275" t="str">
        <f>IFERROR(IF(AND($S22="",$AB22=""),"",IF($S22="",IF(AC22=0,"-",AC22),IF(U22=0,"0",$M22*IF($Q22="",1,$Q22)*U22*IF(AA22="",Z22,AA22)))),"-")</f>
        <v/>
      </c>
      <c r="AI22" s="472" t="str">
        <f>IFERROR(IF(AND($S22="",$AB22=""),"",IF($S22="",IF(AD22=0,"-",AD22),IF(V22=0,"0",$M22*IF($Q22="",1,$Q22)*V22))),"-")</f>
        <v/>
      </c>
      <c r="AJ22" s="472" t="str">
        <f>IFERROR(IF(AND($S22="",$AB22=""),"",IF($S22="",IF(AE22=0,"-",AE22),IF(W22=0,"0",$M22*IF($Q22="",1,$Q22)*W22))),"-")</f>
        <v/>
      </c>
      <c r="AK22" s="472" t="str">
        <f>IFERROR(IF(AND($S22="",$AB22=""),"",IF($S22="",IF(AF22="",SUM(AH22:AJ22),IF(AF22=0,"0",AF22)),IF($X22="",SUM($AH22:$AJ22),IF($X22=0,"0",$M22*IF($Q22="",1,$Q22)*$X22)))),"-")</f>
        <v/>
      </c>
      <c r="AL22" s="275" t="str">
        <f>IFERROR(IF(AND($S22="",$AB22=""),"",IF($S22="",IF(AG22=0,"",AG22),IF(Y22=0,"0",$M22*IF($Q22="",1,$Q22)*Y22*IF(AA22="",Z22,AA22)))),"-")</f>
        <v/>
      </c>
      <c r="AM22" s="58"/>
      <c r="AN22" s="255"/>
      <c r="AO22" s="268"/>
      <c r="AP22" s="652"/>
    </row>
    <row r="23" spans="1:61" s="26" customFormat="1">
      <c r="A23" s="174"/>
      <c r="B23" s="7"/>
      <c r="C23" s="7"/>
      <c r="D23" s="8"/>
      <c r="E23" s="8"/>
      <c r="F23" s="8"/>
      <c r="G23" s="8"/>
      <c r="H23" s="8"/>
      <c r="I23" s="8"/>
      <c r="J23" s="8"/>
      <c r="K23" s="8"/>
      <c r="L23" s="9"/>
      <c r="M23" s="8"/>
      <c r="N23" s="8"/>
      <c r="O23" s="8"/>
      <c r="P23" s="8"/>
      <c r="Q23" s="8"/>
      <c r="R23" s="8"/>
      <c r="S23" s="8"/>
      <c r="T23" s="8"/>
      <c r="U23" s="8"/>
      <c r="V23" s="8"/>
      <c r="W23" s="8"/>
      <c r="X23" s="8"/>
      <c r="Y23" s="8"/>
      <c r="Z23" s="9"/>
      <c r="AA23" s="9"/>
      <c r="AB23" s="8"/>
      <c r="AC23" s="8"/>
      <c r="AD23" s="8"/>
      <c r="AE23" s="8"/>
      <c r="AF23" s="8"/>
      <c r="AG23" s="8"/>
      <c r="AH23" s="10"/>
      <c r="AI23" s="10"/>
      <c r="AJ23" s="10"/>
      <c r="AK23" s="10"/>
      <c r="AL23" s="10"/>
      <c r="AM23" s="9"/>
      <c r="AN23" s="256"/>
      <c r="AO23" s="256"/>
      <c r="AP23" s="252"/>
    </row>
    <row r="24" spans="1:61" s="21" customFormat="1" ht="18">
      <c r="B24" s="465" t="s">
        <v>222</v>
      </c>
      <c r="C24" s="635"/>
      <c r="D24" s="18"/>
      <c r="E24" s="18"/>
      <c r="F24" s="18"/>
      <c r="G24" s="18"/>
      <c r="H24" s="18"/>
      <c r="I24" s="18"/>
      <c r="J24" s="19"/>
      <c r="K24" s="635"/>
      <c r="L24" s="635"/>
      <c r="M24" s="635"/>
      <c r="N24" s="635"/>
      <c r="O24" s="635"/>
      <c r="P24" s="635"/>
      <c r="Q24" s="27"/>
      <c r="R24" s="27"/>
      <c r="S24" s="27"/>
      <c r="T24" s="27"/>
      <c r="U24" s="27"/>
      <c r="V24" s="27"/>
      <c r="W24" s="27"/>
      <c r="X24" s="27"/>
      <c r="Y24" s="27"/>
      <c r="Z24" s="27"/>
      <c r="AA24" s="27"/>
      <c r="AB24" s="27"/>
      <c r="AC24" s="27"/>
      <c r="AD24" s="27"/>
      <c r="AE24" s="27"/>
      <c r="AF24" s="28"/>
      <c r="AG24" s="274"/>
      <c r="AH24" s="28"/>
      <c r="AI24" s="28"/>
      <c r="AJ24" s="28"/>
      <c r="AK24" s="19"/>
      <c r="AL24" s="19"/>
      <c r="AM24" s="254"/>
      <c r="AN24" s="254"/>
    </row>
    <row r="25" spans="1:61" s="26" customFormat="1">
      <c r="A25" s="174"/>
      <c r="B25" s="7"/>
      <c r="C25" s="7"/>
      <c r="D25" s="8"/>
      <c r="E25" s="8"/>
      <c r="F25" s="8"/>
      <c r="G25" s="8"/>
      <c r="H25" s="8"/>
      <c r="I25" s="8"/>
      <c r="J25" s="8"/>
      <c r="K25" s="8"/>
      <c r="L25" s="9"/>
      <c r="M25" s="8"/>
      <c r="N25" s="8"/>
      <c r="O25" s="8"/>
      <c r="P25" s="8"/>
      <c r="Q25" s="8"/>
      <c r="R25" s="8"/>
      <c r="S25" s="8"/>
      <c r="T25" s="8"/>
      <c r="U25" s="8"/>
      <c r="V25" s="8"/>
      <c r="W25" s="8"/>
      <c r="X25" s="8"/>
      <c r="Y25" s="8"/>
      <c r="Z25" s="452"/>
      <c r="AA25" s="452"/>
      <c r="AB25" s="8"/>
      <c r="AC25" s="8"/>
      <c r="AD25" s="8"/>
      <c r="AE25" s="8"/>
      <c r="AF25" s="8"/>
      <c r="AG25" s="8"/>
      <c r="AH25" s="10"/>
      <c r="AI25" s="10"/>
      <c r="AJ25" s="10"/>
      <c r="AK25" s="10"/>
      <c r="AL25" s="10"/>
      <c r="AM25" s="9"/>
      <c r="AN25" s="256"/>
      <c r="AO25" s="256"/>
      <c r="AP25" s="252"/>
    </row>
    <row r="26" spans="1:61" s="5" customFormat="1" ht="16" customHeight="1">
      <c r="A26" s="39"/>
      <c r="B26" s="2065" t="s">
        <v>37</v>
      </c>
      <c r="C26" s="2065" t="s">
        <v>38</v>
      </c>
      <c r="D26" s="2095" t="s">
        <v>242</v>
      </c>
      <c r="E26" s="2106"/>
      <c r="F26" s="2106"/>
      <c r="G26" s="2106"/>
      <c r="H26" s="2106"/>
      <c r="I26" s="2106"/>
      <c r="J26" s="2106"/>
      <c r="K26" s="2096"/>
      <c r="L26" s="2066" t="s">
        <v>297</v>
      </c>
      <c r="M26" s="2095" t="s">
        <v>169</v>
      </c>
      <c r="N26" s="2096"/>
      <c r="O26" s="2098" t="s">
        <v>841</v>
      </c>
      <c r="P26" s="2099"/>
      <c r="Q26" s="2100"/>
      <c r="R26" s="2066" t="s">
        <v>302</v>
      </c>
      <c r="S26" s="2087" t="s">
        <v>782</v>
      </c>
      <c r="T26" s="2063" t="s">
        <v>782</v>
      </c>
      <c r="U26" s="2063"/>
      <c r="V26" s="2063"/>
      <c r="W26" s="2063"/>
      <c r="X26" s="2063"/>
      <c r="Y26" s="2064"/>
      <c r="Z26" s="2087" t="s">
        <v>1538</v>
      </c>
      <c r="AA26" s="2089" t="s">
        <v>1539</v>
      </c>
      <c r="AB26" s="2093" t="s">
        <v>928</v>
      </c>
      <c r="AC26" s="2083" t="s">
        <v>934</v>
      </c>
      <c r="AD26" s="2083"/>
      <c r="AE26" s="2083"/>
      <c r="AF26" s="2083"/>
      <c r="AG26" s="2083"/>
      <c r="AH26" s="2109" t="s">
        <v>289</v>
      </c>
      <c r="AI26" s="2110"/>
      <c r="AJ26" s="2110"/>
      <c r="AK26" s="2110"/>
      <c r="AL26" s="2111"/>
      <c r="AM26" s="895" t="s">
        <v>41</v>
      </c>
      <c r="AN26" s="2075" t="s">
        <v>937</v>
      </c>
      <c r="AO26" s="2112" t="s">
        <v>723</v>
      </c>
      <c r="AP26" s="2107" t="s">
        <v>826</v>
      </c>
      <c r="AQ26" s="14"/>
      <c r="AR26" s="14"/>
      <c r="AS26" s="14"/>
      <c r="AT26" s="14"/>
      <c r="AU26" s="14"/>
      <c r="AV26" s="14"/>
      <c r="AW26" s="14"/>
      <c r="AX26" s="14"/>
      <c r="AY26" s="14"/>
      <c r="AZ26" s="14"/>
      <c r="BA26" s="14"/>
      <c r="BB26" s="14"/>
      <c r="BC26" s="14"/>
      <c r="BD26" s="14"/>
      <c r="BE26" s="14"/>
      <c r="BF26" s="14"/>
      <c r="BG26" s="14"/>
      <c r="BH26" s="14"/>
      <c r="BI26" s="14"/>
    </row>
    <row r="27" spans="1:61" s="5" customFormat="1" ht="17">
      <c r="A27" s="39"/>
      <c r="B27" s="2065"/>
      <c r="C27" s="2065"/>
      <c r="D27" s="2095" t="s">
        <v>254</v>
      </c>
      <c r="E27" s="2096"/>
      <c r="F27" s="2095" t="s">
        <v>243</v>
      </c>
      <c r="G27" s="2106"/>
      <c r="H27" s="2096"/>
      <c r="I27" s="2095" t="s">
        <v>241</v>
      </c>
      <c r="J27" s="2106"/>
      <c r="K27" s="2096"/>
      <c r="L27" s="2065"/>
      <c r="M27" s="775" t="s">
        <v>170</v>
      </c>
      <c r="N27" s="775" t="s">
        <v>171</v>
      </c>
      <c r="O27" s="776" t="s">
        <v>813</v>
      </c>
      <c r="P27" s="776" t="s">
        <v>814</v>
      </c>
      <c r="Q27" s="776" t="s">
        <v>927</v>
      </c>
      <c r="R27" s="2065"/>
      <c r="S27" s="2088"/>
      <c r="T27" s="778" t="s">
        <v>171</v>
      </c>
      <c r="U27" s="774" t="s">
        <v>929</v>
      </c>
      <c r="V27" s="774" t="s">
        <v>930</v>
      </c>
      <c r="W27" s="774" t="s">
        <v>931</v>
      </c>
      <c r="X27" s="774" t="s">
        <v>932</v>
      </c>
      <c r="Y27" s="774" t="s">
        <v>933</v>
      </c>
      <c r="Z27" s="2088" t="s">
        <v>1023</v>
      </c>
      <c r="AA27" s="2090"/>
      <c r="AB27" s="2094"/>
      <c r="AC27" s="774" t="s">
        <v>929</v>
      </c>
      <c r="AD27" s="774" t="s">
        <v>930</v>
      </c>
      <c r="AE27" s="774" t="s">
        <v>931</v>
      </c>
      <c r="AF27" s="774" t="s">
        <v>932</v>
      </c>
      <c r="AG27" s="774" t="s">
        <v>933</v>
      </c>
      <c r="AH27" s="777" t="s">
        <v>290</v>
      </c>
      <c r="AI27" s="777" t="s">
        <v>291</v>
      </c>
      <c r="AJ27" s="777" t="s">
        <v>292</v>
      </c>
      <c r="AK27" s="777" t="s">
        <v>293</v>
      </c>
      <c r="AL27" s="777" t="s">
        <v>294</v>
      </c>
      <c r="AM27" s="775" t="s">
        <v>44</v>
      </c>
      <c r="AN27" s="2075"/>
      <c r="AO27" s="2113"/>
      <c r="AP27" s="2108"/>
      <c r="AQ27" s="14"/>
      <c r="AR27" s="14"/>
      <c r="AS27" s="14"/>
      <c r="AT27" s="14"/>
      <c r="AU27" s="14"/>
      <c r="AV27" s="14"/>
      <c r="AW27" s="14"/>
      <c r="AX27" s="14"/>
      <c r="AY27" s="14"/>
      <c r="AZ27" s="14"/>
      <c r="BA27" s="14"/>
      <c r="BB27" s="14"/>
      <c r="BC27" s="14"/>
      <c r="BD27" s="14"/>
      <c r="BE27" s="14"/>
      <c r="BF27" s="14"/>
      <c r="BG27" s="14"/>
      <c r="BH27" s="14"/>
      <c r="BI27" s="14"/>
    </row>
    <row r="28" spans="1:61">
      <c r="B28" s="84" t="s">
        <v>96</v>
      </c>
      <c r="C28" s="870">
        <v>1</v>
      </c>
      <c r="D28" s="53" t="s">
        <v>251</v>
      </c>
      <c r="E28" s="102"/>
      <c r="F28" s="102"/>
      <c r="G28" s="102"/>
      <c r="H28" s="102"/>
      <c r="I28" s="102"/>
      <c r="J28" s="102"/>
      <c r="K28" s="102"/>
      <c r="L28" s="85"/>
      <c r="M28" s="103"/>
      <c r="N28" s="104"/>
      <c r="O28" s="104"/>
      <c r="P28" s="104"/>
      <c r="Q28" s="104"/>
      <c r="R28" s="54"/>
      <c r="S28" s="104"/>
      <c r="T28" s="104"/>
      <c r="U28" s="104"/>
      <c r="V28" s="104"/>
      <c r="W28" s="104"/>
      <c r="X28" s="104"/>
      <c r="Y28" s="104"/>
      <c r="Z28" s="54"/>
      <c r="AA28" s="54"/>
      <c r="AB28" s="104"/>
      <c r="AC28" s="104"/>
      <c r="AD28" s="104"/>
      <c r="AE28" s="104"/>
      <c r="AF28" s="104"/>
      <c r="AG28" s="104"/>
      <c r="AH28" s="281"/>
      <c r="AI28" s="281"/>
      <c r="AJ28" s="281"/>
      <c r="AK28" s="281"/>
      <c r="AL28" s="281"/>
      <c r="AM28" s="54"/>
      <c r="AN28" s="657"/>
      <c r="AO28" s="871"/>
      <c r="AP28" s="658"/>
    </row>
    <row r="29" spans="1:61">
      <c r="B29" s="56" t="s">
        <v>96</v>
      </c>
      <c r="C29" s="56">
        <v>1</v>
      </c>
      <c r="D29" s="2060" t="s">
        <v>816</v>
      </c>
      <c r="E29" s="2062"/>
      <c r="F29" s="2060" t="s">
        <v>2635</v>
      </c>
      <c r="G29" s="2061"/>
      <c r="H29" s="2062"/>
      <c r="I29" s="2060" t="s">
        <v>2679</v>
      </c>
      <c r="J29" s="2061"/>
      <c r="K29" s="2062"/>
      <c r="L29" s="56"/>
      <c r="M29" s="57">
        <v>200839958</v>
      </c>
      <c r="N29" s="58" t="s">
        <v>2639</v>
      </c>
      <c r="O29" s="58"/>
      <c r="P29" s="58"/>
      <c r="Q29" s="221" t="str">
        <f t="array" ref="Q29">IFERROR(INDEX('Conversion factors_2'!$B$10:$CY$111,MATCH(O29,'Conversion factors_2'!$B$10:$B$111,FALSE),HLOOKUP(P29,'Conversion factors_2'!$B$8:$CY$9,2,FALSE)),"")</f>
        <v/>
      </c>
      <c r="R29" s="58" t="s">
        <v>309</v>
      </c>
      <c r="S29" s="58" t="s">
        <v>2691</v>
      </c>
      <c r="T29" s="221" t="str">
        <f>IFERROR(CONCATENATE("tCO2e/",VLOOKUP($S29,'Emission factors'!$D:$J,7,FALSE)),"")</f>
        <v>tCO2e/litre</v>
      </c>
      <c r="U29" s="221">
        <f>IFERROR(VLOOKUP($S29,'Emission factors'!$D:$X,10,FALSE),"")</f>
        <v>2.5000000000000001E-3</v>
      </c>
      <c r="V29" s="221">
        <f>IFERROR(VLOOKUP($S29,'Emission factors'!$D:$X,12,FALSE),"")</f>
        <v>8.0000000000000007E-7</v>
      </c>
      <c r="W29" s="221">
        <f>IFERROR(VLOOKUP($S29,'Emission factors'!$D:$X,14,FALSE),"")</f>
        <v>2.0000000000000002E-5</v>
      </c>
      <c r="X29" s="221" t="str">
        <f>IFERROR(VLOOKUP($S29,'Emission factors'!$D:$X,16,FALSE),"")</f>
        <v/>
      </c>
      <c r="Y29" s="221" t="str">
        <f>IFERROR(VLOOKUP($S29,'Emission factors'!$D:$X,18,FALSE),"")</f>
        <v/>
      </c>
      <c r="Z29" s="221">
        <f>IF(M29="","",1)</f>
        <v>1</v>
      </c>
      <c r="AA29" s="58"/>
      <c r="AB29" s="58"/>
      <c r="AC29" s="58"/>
      <c r="AD29" s="58"/>
      <c r="AE29" s="58"/>
      <c r="AF29" s="58"/>
      <c r="AG29" s="58"/>
      <c r="AH29" s="275">
        <f>IFERROR(IF(AND($S29="",$AB29=""),"",IF($S29="",IF(AC29=0,"-",AC29),IF(U29=0,"0",$M29*IF($Q29="",1,$Q29)*U29*IF(AA29="",Z29,AA29)))),"-")</f>
        <v>502099.89500000002</v>
      </c>
      <c r="AI29" s="275">
        <f>IFERROR(IF(AND($S29="",$AB29=""),"",IF($S29="",IF(AD29=0,"-",AD29),IF(V29=0,"0",$M29*IF($Q29="",1,$Q29)*V29))),"-")</f>
        <v>160.6719664</v>
      </c>
      <c r="AJ29" s="275">
        <f>IFERROR(IF(AND($S29="",$AB29=""),"",IF($S29="",IF(AE29=0,"-",AE29),IF(W29=0,"0",$M29*IF($Q29="",1,$Q29)*W29))),"-")</f>
        <v>4016.7991600000005</v>
      </c>
      <c r="AK29" s="275">
        <f>IFERROR(IF(AND($S29="",$AB29=""),"",IF($S29="",IF(AF29="",SUM(AH29:AJ29),IF(AF29=0,"0",AF29)),IF($X29="",SUM($AH29:$AJ29),IF($X29=0,"0",$M29*IF($Q29="",1,$Q29)*$X29)))),"-")</f>
        <v>506277.36612640001</v>
      </c>
      <c r="AL29" s="275" t="str">
        <f>IFERROR(IF(AND($S29="",$AB29=""),"",IF($S29="",IF(AG29=0,"",AG29),IF(Y29=0,"0",$M29*IF($Q29="",1,$Q29)*Y29*IF(AA29="",Z29,AA29)))),"-")</f>
        <v>-</v>
      </c>
      <c r="AM29" s="58" t="s">
        <v>181</v>
      </c>
      <c r="AN29" s="225" t="s">
        <v>2685</v>
      </c>
      <c r="AO29" s="226" t="s">
        <v>2659</v>
      </c>
      <c r="AP29" s="652"/>
    </row>
    <row r="30" spans="1:61">
      <c r="B30" s="56" t="s">
        <v>96</v>
      </c>
      <c r="C30" s="56">
        <v>1</v>
      </c>
      <c r="D30" s="2060" t="s">
        <v>816</v>
      </c>
      <c r="E30" s="2062"/>
      <c r="F30" s="2060" t="s">
        <v>2635</v>
      </c>
      <c r="G30" s="2061"/>
      <c r="H30" s="2062"/>
      <c r="I30" s="2060" t="s">
        <v>2680</v>
      </c>
      <c r="J30" s="2061"/>
      <c r="K30" s="2062"/>
      <c r="L30" s="56"/>
      <c r="M30" s="57">
        <v>32527298</v>
      </c>
      <c r="N30" s="58" t="s">
        <v>2639</v>
      </c>
      <c r="O30" s="58"/>
      <c r="P30" s="58"/>
      <c r="Q30" s="221" t="str">
        <f t="array" ref="Q30">IFERROR(INDEX('Conversion factors_2'!$B$10:$CY$111,MATCH(O30,'Conversion factors_2'!$B$10:$B$111,FALSE),HLOOKUP(P30,'Conversion factors_2'!$B$8:$CY$9,2,FALSE)),"")</f>
        <v/>
      </c>
      <c r="R30" s="58" t="s">
        <v>309</v>
      </c>
      <c r="S30" s="58" t="s">
        <v>2691</v>
      </c>
      <c r="T30" s="221" t="str">
        <f>IFERROR(CONCATENATE("tCO2e/",VLOOKUP($S30,'Emission factors'!$D:$J,7,FALSE)),"")</f>
        <v>tCO2e/litre</v>
      </c>
      <c r="U30" s="221">
        <f>IFERROR(VLOOKUP($S30,'Emission factors'!$D:$X,10,FALSE),"")</f>
        <v>2.5000000000000001E-3</v>
      </c>
      <c r="V30" s="221">
        <f>IFERROR(VLOOKUP($S30,'Emission factors'!$D:$X,12,FALSE),"")</f>
        <v>8.0000000000000007E-7</v>
      </c>
      <c r="W30" s="221">
        <f>IFERROR(VLOOKUP($S30,'Emission factors'!$D:$X,14,FALSE),"")</f>
        <v>2.0000000000000002E-5</v>
      </c>
      <c r="X30" s="221" t="str">
        <f>IFERROR(VLOOKUP($S30,'Emission factors'!$D:$X,16,FALSE),"")</f>
        <v/>
      </c>
      <c r="Y30" s="221" t="str">
        <f>IFERROR(VLOOKUP($S30,'Emission factors'!$D:$X,18,FALSE),"")</f>
        <v/>
      </c>
      <c r="Z30" s="221">
        <f>IF(M30="","",1)</f>
        <v>1</v>
      </c>
      <c r="AA30" s="58"/>
      <c r="AB30" s="58"/>
      <c r="AC30" s="58"/>
      <c r="AD30" s="58"/>
      <c r="AE30" s="58"/>
      <c r="AF30" s="58"/>
      <c r="AG30" s="58"/>
      <c r="AH30" s="275">
        <f>IFERROR(IF(AND($S30="",$AB30=""),"",IF($S30="",IF(AC30=0,"-",AC30),IF(U30=0,"0",$M30*IF($Q30="",1,$Q30)*U30*IF(AA30="",Z30,AA30)))),"-")</f>
        <v>81318.244999999995</v>
      </c>
      <c r="AI30" s="275">
        <f>IFERROR(IF(AND($S30="",$AB30=""),"",IF($S30="",IF(AD30=0,"-",AD30),IF(V30=0,"0",$M30*IF($Q30="",1,$Q30)*V30))),"-")</f>
        <v>26.021838400000004</v>
      </c>
      <c r="AJ30" s="275">
        <f>IFERROR(IF(AND($S30="",$AB30=""),"",IF($S30="",IF(AE30=0,"-",AE30),IF(W30=0,"0",$M30*IF($Q30="",1,$Q30)*W30))),"-")</f>
        <v>650.54596000000004</v>
      </c>
      <c r="AK30" s="275">
        <f>IFERROR(IF(AND($S30="",$AB30=""),"",IF($S30="",IF(AF30="",SUM(AH30:AJ30),IF(AF30=0,"0",AF30)),IF($X30="",SUM($AH30:$AJ30),IF($X30=0,"0",$M30*IF($Q30="",1,$Q30)*$X30)))),"-")</f>
        <v>81994.812798400002</v>
      </c>
      <c r="AL30" s="275" t="str">
        <f>IFERROR(IF(AND($S30="",$AB30=""),"",IF($S30="",IF(AG30=0,"",AG30),IF(Y30=0,"0",$M30*IF($Q30="",1,$Q30)*Y30*IF(AA30="",Z30,AA30)))),"-")</f>
        <v>-</v>
      </c>
      <c r="AM30" s="58" t="s">
        <v>179</v>
      </c>
      <c r="AN30" s="225" t="s">
        <v>2686</v>
      </c>
      <c r="AO30" s="226" t="s">
        <v>2659</v>
      </c>
      <c r="AP30" s="652"/>
    </row>
    <row r="31" spans="1:61">
      <c r="B31" s="868" t="s">
        <v>98</v>
      </c>
      <c r="C31" s="107">
        <v>2</v>
      </c>
      <c r="D31" s="105" t="s">
        <v>99</v>
      </c>
      <c r="E31" s="105"/>
      <c r="F31" s="105"/>
      <c r="G31" s="105"/>
      <c r="H31" s="105"/>
      <c r="I31" s="105"/>
      <c r="J31" s="105"/>
      <c r="K31" s="105"/>
      <c r="L31" s="74"/>
      <c r="M31" s="64"/>
      <c r="N31" s="64"/>
      <c r="O31" s="64"/>
      <c r="P31" s="64"/>
      <c r="Q31" s="64"/>
      <c r="R31" s="64"/>
      <c r="S31" s="64"/>
      <c r="T31" s="64"/>
      <c r="U31" s="64"/>
      <c r="V31" s="64"/>
      <c r="W31" s="64"/>
      <c r="X31" s="64"/>
      <c r="Y31" s="64"/>
      <c r="Z31" s="64"/>
      <c r="AA31" s="64"/>
      <c r="AB31" s="64"/>
      <c r="AC31" s="64"/>
      <c r="AD31" s="64"/>
      <c r="AE31" s="64"/>
      <c r="AF31" s="64"/>
      <c r="AG31" s="64"/>
      <c r="AH31" s="276"/>
      <c r="AI31" s="276"/>
      <c r="AJ31" s="276"/>
      <c r="AK31" s="276"/>
      <c r="AL31" s="276"/>
      <c r="AM31" s="54"/>
      <c r="AN31" s="227"/>
      <c r="AO31" s="250"/>
      <c r="AP31" s="653"/>
    </row>
    <row r="32" spans="1:61">
      <c r="B32" s="56" t="s">
        <v>98</v>
      </c>
      <c r="C32" s="56">
        <v>2</v>
      </c>
      <c r="D32" s="2060" t="s">
        <v>816</v>
      </c>
      <c r="E32" s="2062"/>
      <c r="F32" s="2060" t="s">
        <v>183</v>
      </c>
      <c r="G32" s="2061"/>
      <c r="H32" s="2062"/>
      <c r="I32" s="2060" t="s">
        <v>2679</v>
      </c>
      <c r="J32" s="2061"/>
      <c r="K32" s="2062"/>
      <c r="L32" s="56"/>
      <c r="M32" s="57">
        <v>677174672</v>
      </c>
      <c r="N32" s="58" t="s">
        <v>921</v>
      </c>
      <c r="O32" s="58"/>
      <c r="P32" s="58"/>
      <c r="Q32" s="221" t="str">
        <f t="array" ref="Q32">IFERROR(INDEX('Conversion factors_2'!$B$10:$CY$111,MATCH(O32,'Conversion factors_2'!$B$10:$B$111,FALSE),HLOOKUP(P32,'Conversion factors_2'!$B$8:$CY$9,2,FALSE)),"")</f>
        <v/>
      </c>
      <c r="R32" s="58" t="s">
        <v>309</v>
      </c>
      <c r="S32" s="58" t="s">
        <v>2692</v>
      </c>
      <c r="T32" s="221" t="str">
        <f>IFERROR(CONCATENATE("tCO2e/",VLOOKUP($S32,'Emission factors'!$D:$J,7,FALSE)),"")</f>
        <v>tCO2e/kWh</v>
      </c>
      <c r="U32" s="221">
        <f>IFERROR(VLOOKUP($S32,'Emission factors'!$D:$X,10,FALSE),"")</f>
        <v>4.0000000000000002E-4</v>
      </c>
      <c r="V32" s="221">
        <f>IFERROR(VLOOKUP($S32,'Emission factors'!$D:$X,12,FALSE),"")</f>
        <v>2.9999999999999999E-7</v>
      </c>
      <c r="W32" s="221">
        <f>IFERROR(VLOOKUP($S32,'Emission factors'!$D:$X,14,FALSE),"")</f>
        <v>3.0000000000000001E-6</v>
      </c>
      <c r="X32" s="221" t="str">
        <f>IFERROR(VLOOKUP($S32,'Emission factors'!$D:$X,16,FALSE),"")</f>
        <v/>
      </c>
      <c r="Y32" s="221" t="str">
        <f>IFERROR(VLOOKUP($S32,'Emission factors'!$D:$X,18,FALSE),"")</f>
        <v/>
      </c>
      <c r="Z32" s="221">
        <f>IF(M32="","",1)</f>
        <v>1</v>
      </c>
      <c r="AA32" s="58"/>
      <c r="AB32" s="58"/>
      <c r="AC32" s="58"/>
      <c r="AD32" s="58"/>
      <c r="AE32" s="58"/>
      <c r="AF32" s="58"/>
      <c r="AG32" s="58"/>
      <c r="AH32" s="275">
        <f>IFERROR(IF(AND($S32="",$AB32=""),"",IF($S32="",IF(AC32=0,"-",AC32),IF(U32=0,"0",$M32*IF($Q32="",1,$Q32)*U32*IF(AA32="",Z32,AA32)))),"-")</f>
        <v>270869.8688</v>
      </c>
      <c r="AI32" s="275">
        <f>IFERROR(IF(AND($S32="",$AB32=""),"",IF($S32="",IF(AD32=0,"-",AD32),IF(V32=0,"0",$M32*IF($Q32="",1,$Q32)*V32))),"-")</f>
        <v>203.15240159999999</v>
      </c>
      <c r="AJ32" s="275">
        <f>IFERROR(IF(AND($S32="",$AB32=""),"",IF($S32="",IF(AE32=0,"-",AE32),IF(W32=0,"0",$M32*IF($Q32="",1,$Q32)*W32))),"-")</f>
        <v>2031.5240160000001</v>
      </c>
      <c r="AK32" s="275">
        <f>IFERROR(IF(AND($S32="",$AB32=""),"",IF($S32="",IF(AF32="",SUM(AH32:AJ32),IF(AF32=0,"0",AF32)),IF($X32="",SUM($AH32:$AJ32),IF($X32=0,"0",$M32*IF($Q32="",1,$Q32)*$X32)))),"-")</f>
        <v>273104.54521759995</v>
      </c>
      <c r="AL32" s="275" t="str">
        <f>IFERROR(IF(AND($S32="",$AB32=""),"",IF($S32="",IF(AG32=0,"",AG32),IF(Y32=0,"0",$M32*IF($Q32="",1,$Q32)*Y32*IF(AA32="",Z32,AA32)))),"-")</f>
        <v>-</v>
      </c>
      <c r="AM32" s="58" t="s">
        <v>181</v>
      </c>
      <c r="AN32" s="225" t="s">
        <v>2685</v>
      </c>
      <c r="AO32" s="226" t="s">
        <v>2659</v>
      </c>
      <c r="AP32" s="652"/>
    </row>
    <row r="33" spans="1:61">
      <c r="B33" s="56" t="s">
        <v>98</v>
      </c>
      <c r="C33" s="56">
        <v>2</v>
      </c>
      <c r="D33" s="2060"/>
      <c r="E33" s="2062"/>
      <c r="F33" s="2060"/>
      <c r="G33" s="2061"/>
      <c r="H33" s="2062"/>
      <c r="I33" s="2060"/>
      <c r="J33" s="2061"/>
      <c r="K33" s="2062"/>
      <c r="L33" s="56"/>
      <c r="M33" s="57"/>
      <c r="N33" s="58"/>
      <c r="O33" s="58"/>
      <c r="P33" s="58"/>
      <c r="Q33" s="221" t="str">
        <f t="array" ref="Q33">IFERROR(INDEX('Conversion factors_2'!$B$10:$CY$111,MATCH(O33,'Conversion factors_2'!$B$10:$B$111,FALSE),HLOOKUP(P33,'Conversion factors_2'!$B$8:$CY$9,2,FALSE)),"")</f>
        <v/>
      </c>
      <c r="R33" s="58"/>
      <c r="S33" s="58"/>
      <c r="T33" s="221" t="str">
        <f>IFERROR(CONCATENATE("tCO2e/",VLOOKUP($S33,'Emission factors'!$D:$J,7,FALSE)),"")</f>
        <v/>
      </c>
      <c r="U33" s="221" t="str">
        <f>IFERROR(VLOOKUP($S33,'Emission factors'!$D:$X,10,FALSE),"")</f>
        <v/>
      </c>
      <c r="V33" s="221" t="str">
        <f>IFERROR(VLOOKUP($S33,'Emission factors'!$D:$X,12,FALSE),"")</f>
        <v/>
      </c>
      <c r="W33" s="221" t="str">
        <f>IFERROR(VLOOKUP($S33,'Emission factors'!$D:$X,14,FALSE),"")</f>
        <v/>
      </c>
      <c r="X33" s="221" t="str">
        <f>IFERROR(VLOOKUP($S33,'Emission factors'!$D:$X,16,FALSE),"")</f>
        <v/>
      </c>
      <c r="Y33" s="221" t="str">
        <f>IFERROR(VLOOKUP($S33,'Emission factors'!$D:$X,18,FALSE),"")</f>
        <v/>
      </c>
      <c r="Z33" s="221" t="str">
        <f>IF(M33="","",1)</f>
        <v/>
      </c>
      <c r="AA33" s="58"/>
      <c r="AB33" s="58"/>
      <c r="AC33" s="58"/>
      <c r="AD33" s="58"/>
      <c r="AE33" s="58"/>
      <c r="AF33" s="58"/>
      <c r="AG33" s="58"/>
      <c r="AH33" s="275" t="str">
        <f>IFERROR(IF(AND($S33="",$AB33=""),"",IF($S33="",IF(AC33=0,"-",AC33),IF(U33=0,"0",$M33*IF($Q33="",1,$Q33)*U33*IF(AA33="",Z33,AA33)))),"-")</f>
        <v/>
      </c>
      <c r="AI33" s="275" t="str">
        <f>IFERROR(IF(AND($S33="",$AB33=""),"",IF($S33="",IF(AD33=0,"-",AD33),IF(V33=0,"0",$M33*IF($Q33="",1,$Q33)*V33))),"-")</f>
        <v/>
      </c>
      <c r="AJ33" s="275" t="str">
        <f>IFERROR(IF(AND($S33="",$AB33=""),"",IF($S33="",IF(AE33=0,"-",AE33),IF(W33=0,"0",$M33*IF($Q33="",1,$Q33)*W33))),"-")</f>
        <v/>
      </c>
      <c r="AK33" s="275" t="str">
        <f>IFERROR(IF(AND($S33="",$AB33=""),"",IF($S33="",IF(AF33="",SUM(AH33:AJ33),IF(AF33=0,"0",AF33)),IF($X33="",SUM($AH33:$AJ33),IF($X33=0,"0",$M33*IF($Q33="",1,$Q33)*$X33)))),"-")</f>
        <v/>
      </c>
      <c r="AL33" s="275" t="str">
        <f>IFERROR(IF(AND($S33="",$AB33=""),"",IF($S33="",IF(AG33=0,"",AG33),IF(Y33=0,"0",$M33*IF($Q33="",1,$Q33)*Y33*IF(AA33="",Z33,AA33)))),"-")</f>
        <v/>
      </c>
      <c r="AM33" s="58"/>
      <c r="AN33" s="255"/>
      <c r="AO33" s="226"/>
      <c r="AP33" s="652"/>
    </row>
    <row r="34" spans="1:61">
      <c r="B34" s="869" t="s">
        <v>100</v>
      </c>
      <c r="C34" s="108">
        <v>3</v>
      </c>
      <c r="D34" s="106" t="s">
        <v>622</v>
      </c>
      <c r="E34" s="109"/>
      <c r="F34" s="109"/>
      <c r="G34" s="109"/>
      <c r="H34" s="109"/>
      <c r="I34" s="106"/>
      <c r="J34" s="112"/>
      <c r="K34" s="112"/>
      <c r="L34" s="69" t="s">
        <v>177</v>
      </c>
      <c r="M34" s="70"/>
      <c r="N34" s="69"/>
      <c r="O34" s="69"/>
      <c r="P34" s="69"/>
      <c r="Q34" s="69"/>
      <c r="R34" s="69"/>
      <c r="S34" s="69"/>
      <c r="T34" s="69"/>
      <c r="U34" s="69"/>
      <c r="V34" s="69"/>
      <c r="W34" s="69"/>
      <c r="X34" s="69"/>
      <c r="Y34" s="69"/>
      <c r="Z34" s="69"/>
      <c r="AA34" s="69"/>
      <c r="AB34" s="69"/>
      <c r="AC34" s="69"/>
      <c r="AD34" s="69"/>
      <c r="AE34" s="69"/>
      <c r="AF34" s="69"/>
      <c r="AG34" s="69"/>
      <c r="AH34" s="277"/>
      <c r="AI34" s="277"/>
      <c r="AJ34" s="277"/>
      <c r="AK34" s="277"/>
      <c r="AL34" s="277"/>
      <c r="AM34" s="69"/>
      <c r="AN34" s="228" t="s">
        <v>2682</v>
      </c>
      <c r="AO34" s="251"/>
      <c r="AP34" s="655"/>
    </row>
    <row r="35" spans="1:61">
      <c r="B35" s="56" t="s">
        <v>100</v>
      </c>
      <c r="C35" s="56">
        <v>3</v>
      </c>
      <c r="D35" s="2060"/>
      <c r="E35" s="2062"/>
      <c r="F35" s="2060"/>
      <c r="G35" s="2061"/>
      <c r="H35" s="2062"/>
      <c r="I35" s="2060"/>
      <c r="J35" s="2061"/>
      <c r="K35" s="2062"/>
      <c r="L35" s="56"/>
      <c r="M35" s="57"/>
      <c r="N35" s="58"/>
      <c r="O35" s="58"/>
      <c r="P35" s="58"/>
      <c r="Q35" s="221" t="str">
        <f t="array" ref="Q35">IFERROR(INDEX('Conversion factors_2'!$B$10:$CY$111,MATCH(O35,'Conversion factors_2'!$B$10:$B$111,FALSE),HLOOKUP(P35,'Conversion factors_2'!$B$8:$CY$9,2,FALSE)),"")</f>
        <v/>
      </c>
      <c r="R35" s="58"/>
      <c r="S35" s="58"/>
      <c r="T35" s="221" t="str">
        <f>IFERROR(CONCATENATE("tCO2e/",VLOOKUP($S35,'Emission factors'!$D:$J,7,FALSE)),"")</f>
        <v/>
      </c>
      <c r="U35" s="221" t="str">
        <f>IFERROR(VLOOKUP($S35,'Emission factors'!$D:$X,10,FALSE),"")</f>
        <v/>
      </c>
      <c r="V35" s="221" t="str">
        <f>IFERROR(VLOOKUP($S35,'Emission factors'!$D:$X,12,FALSE),"")</f>
        <v/>
      </c>
      <c r="W35" s="221" t="str">
        <f>IFERROR(VLOOKUP($S35,'Emission factors'!$D:$X,14,FALSE),"")</f>
        <v/>
      </c>
      <c r="X35" s="221" t="str">
        <f>IFERROR(VLOOKUP($S35,'Emission factors'!$D:$X,16,FALSE),"")</f>
        <v/>
      </c>
      <c r="Y35" s="221" t="str">
        <f>IFERROR(VLOOKUP($S35,'Emission factors'!$D:$X,18,FALSE),"")</f>
        <v/>
      </c>
      <c r="Z35" s="221" t="str">
        <f>IF(M35="","",1)</f>
        <v/>
      </c>
      <c r="AA35" s="58"/>
      <c r="AB35" s="58"/>
      <c r="AC35" s="58"/>
      <c r="AD35" s="58"/>
      <c r="AE35" s="58"/>
      <c r="AF35" s="58"/>
      <c r="AG35" s="58"/>
      <c r="AH35" s="275" t="str">
        <f>IFERROR(IF(AND($S35="",$AB35=""),"",IF($S35="",IF(AC35=0,"-",AC35),IF(U35=0,"0",$M35*IF($Q35="",1,$Q35)*U35*IF(AA35="",Z35,AA35)))),"-")</f>
        <v/>
      </c>
      <c r="AI35" s="275" t="str">
        <f>IFERROR(IF(AND($S35="",$AB35=""),"",IF($S35="",IF(AD35=0,"-",AD35),IF(V35=0,"0",$M35*IF($Q35="",1,$Q35)*V35))),"-")</f>
        <v/>
      </c>
      <c r="AJ35" s="275" t="str">
        <f>IFERROR(IF(AND($S35="",$AB35=""),"",IF($S35="",IF(AE35=0,"-",AE35),IF(W35=0,"0",$M35*IF($Q35="",1,$Q35)*W35))),"-")</f>
        <v/>
      </c>
      <c r="AK35" s="275" t="str">
        <f>IFERROR(IF(AND($S35="",$AB35=""),"",IF($S35="",IF(AF35="",SUM(AH35:AJ35),IF(AF35=0,"0",AF35)),IF($X35="",SUM($AH35:$AJ35),IF($X35=0,"0",$M35*IF($Q35="",1,$Q35)*$X35)))),"-")</f>
        <v/>
      </c>
      <c r="AL35" s="275" t="str">
        <f>IFERROR(IF(AND($S35="",$AB35=""),"",IF($S35="",IF(AG35=0,"",AG35),IF(Y35=0,"0",$M35*IF($Q35="",1,$Q35)*Y35*IF(AA35="",Z35,AA35)))),"-")</f>
        <v/>
      </c>
      <c r="AM35" s="58"/>
      <c r="AN35" s="225"/>
      <c r="AO35" s="226"/>
      <c r="AP35" s="652"/>
    </row>
    <row r="36" spans="1:61" ht="15" customHeight="1">
      <c r="B36" s="110" t="s">
        <v>100</v>
      </c>
      <c r="C36" s="58">
        <v>3</v>
      </c>
      <c r="D36" s="2060"/>
      <c r="E36" s="2062"/>
      <c r="F36" s="2060"/>
      <c r="G36" s="2061"/>
      <c r="H36" s="2062"/>
      <c r="I36" s="2060"/>
      <c r="J36" s="2061"/>
      <c r="K36" s="2062"/>
      <c r="L36" s="56"/>
      <c r="M36" s="57"/>
      <c r="N36" s="58"/>
      <c r="O36" s="58"/>
      <c r="P36" s="58"/>
      <c r="Q36" s="221" t="str">
        <f t="array" ref="Q36">IFERROR(INDEX('Conversion factors_2'!$B$10:$CY$111,MATCH(O36,'Conversion factors_2'!$B$10:$B$111,FALSE),HLOOKUP(P36,'Conversion factors_2'!$B$8:$CY$9,2,FALSE)),"")</f>
        <v/>
      </c>
      <c r="R36" s="58"/>
      <c r="S36" s="58"/>
      <c r="T36" s="221" t="str">
        <f>IFERROR(CONCATENATE("tCO2e/",VLOOKUP($S36,'Emission factors'!$D:$J,7,FALSE)),"")</f>
        <v/>
      </c>
      <c r="U36" s="221" t="str">
        <f>IFERROR(VLOOKUP($S36,'Emission factors'!$D:$X,10,FALSE),"")</f>
        <v/>
      </c>
      <c r="V36" s="221" t="str">
        <f>IFERROR(VLOOKUP($S36,'Emission factors'!$D:$X,12,FALSE),"")</f>
        <v/>
      </c>
      <c r="W36" s="221" t="str">
        <f>IFERROR(VLOOKUP($S36,'Emission factors'!$D:$X,14,FALSE),"")</f>
        <v/>
      </c>
      <c r="X36" s="221" t="str">
        <f>IFERROR(VLOOKUP($S36,'Emission factors'!$D:$X,16,FALSE),"")</f>
        <v/>
      </c>
      <c r="Y36" s="221" t="str">
        <f>IFERROR(VLOOKUP($S36,'Emission factors'!$D:$X,18,FALSE),"")</f>
        <v/>
      </c>
      <c r="Z36" s="221" t="str">
        <f>IF(M36="","",1)</f>
        <v/>
      </c>
      <c r="AA36" s="58"/>
      <c r="AB36" s="56"/>
      <c r="AC36" s="58"/>
      <c r="AD36" s="58"/>
      <c r="AE36" s="58"/>
      <c r="AF36" s="58"/>
      <c r="AG36" s="58"/>
      <c r="AH36" s="275" t="str">
        <f>IFERROR(IF(AND($S36="",$AB36=""),"",IF($S36="",IF(AC36=0,"-",AC36),IF(U36=0,"0",$M36*IF($Q36="",1,$Q36)*U36*IF(AA36="",Z36,AA36)))),"-")</f>
        <v/>
      </c>
      <c r="AI36" s="472" t="str">
        <f>IFERROR(IF(AND($S36="",$AB36=""),"",IF($S36="",IF(AD36=0,"-",AD36),IF(V36=0,"0",$M36*IF($Q36="",1,$Q36)*V36))),"-")</f>
        <v/>
      </c>
      <c r="AJ36" s="472" t="str">
        <f>IFERROR(IF(AND($S36="",$AB36=""),"",IF($S36="",IF(AE36=0,"-",AE36),IF(W36=0,"0",$M36*IF($Q36="",1,$Q36)*W36))),"-")</f>
        <v/>
      </c>
      <c r="AK36" s="472" t="str">
        <f>IFERROR(IF(AND($S36="",$AB36=""),"",IF($S36="",IF(AF36="",SUM(AH36:AJ36),IF(AF36=0,"0",AF36)),IF($X36="",SUM($AH36:$AJ36),IF($X36=0,"0",$M36*IF($Q36="",1,$Q36)*$X36)))),"-")</f>
        <v/>
      </c>
      <c r="AL36" s="275" t="str">
        <f>IFERROR(IF(AND($S36="",$AB36=""),"",IF($S36="",IF(AG36=0,"",AG36),IF(Y36=0,"0",$M36*IF($Q36="",1,$Q36)*Y36*IF(AA36="",Z36,AA36)))),"-")</f>
        <v/>
      </c>
      <c r="AM36" s="58"/>
      <c r="AN36" s="255"/>
      <c r="AO36" s="226"/>
      <c r="AP36" s="652"/>
    </row>
    <row r="37" spans="1:61" s="26" customFormat="1">
      <c r="A37" s="174"/>
      <c r="B37" s="7"/>
      <c r="C37" s="7"/>
      <c r="D37" s="8"/>
      <c r="E37" s="8"/>
      <c r="F37" s="8"/>
      <c r="G37" s="8"/>
      <c r="H37" s="8"/>
      <c r="I37" s="8"/>
      <c r="J37" s="8"/>
      <c r="K37" s="8"/>
      <c r="L37" s="9"/>
      <c r="M37" s="7"/>
      <c r="N37" s="7"/>
      <c r="O37" s="7"/>
      <c r="P37" s="7"/>
      <c r="Q37" s="7"/>
      <c r="R37" s="7"/>
      <c r="S37" s="7"/>
      <c r="T37" s="7"/>
      <c r="U37" s="7"/>
      <c r="V37" s="7"/>
      <c r="W37" s="7"/>
      <c r="X37" s="7"/>
      <c r="Y37" s="7"/>
      <c r="Z37" s="7"/>
      <c r="AA37" s="7"/>
      <c r="AB37" s="7"/>
      <c r="AC37" s="7"/>
      <c r="AD37" s="7"/>
      <c r="AE37" s="7"/>
      <c r="AF37" s="7"/>
      <c r="AG37" s="7"/>
      <c r="AH37" s="10"/>
      <c r="AI37" s="10"/>
      <c r="AJ37" s="10"/>
      <c r="AK37" s="10"/>
      <c r="AL37" s="10"/>
      <c r="AM37" s="9"/>
      <c r="AN37" s="256"/>
      <c r="AO37" s="256"/>
      <c r="AP37" s="252"/>
    </row>
    <row r="38" spans="1:61" s="21" customFormat="1" ht="18">
      <c r="B38" s="465" t="s">
        <v>225</v>
      </c>
      <c r="C38" s="635"/>
      <c r="D38" s="18"/>
      <c r="E38" s="18"/>
      <c r="F38" s="18"/>
      <c r="G38" s="18"/>
      <c r="H38" s="18"/>
      <c r="I38" s="18"/>
      <c r="J38" s="19"/>
      <c r="K38" s="635"/>
      <c r="L38" s="635"/>
      <c r="M38" s="635"/>
      <c r="N38" s="635"/>
      <c r="O38" s="635"/>
      <c r="P38" s="635"/>
      <c r="Q38" s="27"/>
      <c r="R38" s="27"/>
      <c r="S38" s="27"/>
      <c r="T38" s="27"/>
      <c r="U38" s="27"/>
      <c r="V38" s="27"/>
      <c r="W38" s="27"/>
      <c r="X38" s="27"/>
      <c r="Y38" s="27"/>
      <c r="Z38" s="27"/>
      <c r="AA38" s="27"/>
      <c r="AB38" s="27"/>
      <c r="AC38" s="27"/>
      <c r="AD38" s="27"/>
      <c r="AE38" s="27"/>
      <c r="AF38" s="28"/>
      <c r="AG38" s="274"/>
      <c r="AH38" s="28"/>
      <c r="AI38" s="28"/>
      <c r="AJ38" s="28"/>
      <c r="AK38" s="19"/>
      <c r="AL38" s="19"/>
      <c r="AM38" s="254"/>
      <c r="AN38" s="254"/>
    </row>
    <row r="39" spans="1:61" s="26" customFormat="1">
      <c r="A39" s="174"/>
      <c r="B39" s="7"/>
      <c r="C39" s="7"/>
      <c r="D39" s="8"/>
      <c r="E39" s="8"/>
      <c r="F39" s="8"/>
      <c r="G39" s="8"/>
      <c r="H39" s="8"/>
      <c r="I39" s="8"/>
      <c r="J39" s="8"/>
      <c r="K39" s="8"/>
      <c r="L39" s="9"/>
      <c r="M39" s="7"/>
      <c r="N39" s="7"/>
      <c r="O39" s="7"/>
      <c r="P39" s="7"/>
      <c r="Q39" s="7"/>
      <c r="R39" s="7"/>
      <c r="S39" s="7"/>
      <c r="T39" s="7"/>
      <c r="U39" s="7"/>
      <c r="V39" s="7"/>
      <c r="W39" s="7"/>
      <c r="X39" s="7"/>
      <c r="Y39" s="7"/>
      <c r="Z39" s="7"/>
      <c r="AA39" s="7"/>
      <c r="AB39" s="7"/>
      <c r="AC39" s="7"/>
      <c r="AD39" s="7"/>
      <c r="AE39" s="7"/>
      <c r="AF39" s="7"/>
      <c r="AG39" s="7"/>
      <c r="AH39" s="10"/>
      <c r="AI39" s="10"/>
      <c r="AJ39" s="10"/>
      <c r="AK39" s="10"/>
      <c r="AL39" s="10"/>
      <c r="AM39" s="9"/>
      <c r="AN39" s="256"/>
      <c r="AO39" s="256"/>
      <c r="AP39" s="252"/>
    </row>
    <row r="40" spans="1:61" s="5" customFormat="1" ht="16" customHeight="1">
      <c r="A40" s="39"/>
      <c r="B40" s="2065" t="s">
        <v>37</v>
      </c>
      <c r="C40" s="2065" t="s">
        <v>38</v>
      </c>
      <c r="D40" s="2095" t="s">
        <v>242</v>
      </c>
      <c r="E40" s="2106"/>
      <c r="F40" s="2106"/>
      <c r="G40" s="2106"/>
      <c r="H40" s="2106"/>
      <c r="I40" s="2106"/>
      <c r="J40" s="2106"/>
      <c r="K40" s="2096"/>
      <c r="L40" s="2066" t="s">
        <v>297</v>
      </c>
      <c r="M40" s="2095" t="s">
        <v>169</v>
      </c>
      <c r="N40" s="2096"/>
      <c r="O40" s="2098" t="s">
        <v>841</v>
      </c>
      <c r="P40" s="2099"/>
      <c r="Q40" s="2100"/>
      <c r="R40" s="2066" t="s">
        <v>302</v>
      </c>
      <c r="S40" s="2087" t="s">
        <v>782</v>
      </c>
      <c r="T40" s="2063" t="s">
        <v>782</v>
      </c>
      <c r="U40" s="2063"/>
      <c r="V40" s="2063"/>
      <c r="W40" s="2063"/>
      <c r="X40" s="2063"/>
      <c r="Y40" s="2064"/>
      <c r="Z40" s="2087" t="s">
        <v>1538</v>
      </c>
      <c r="AA40" s="2089" t="s">
        <v>1539</v>
      </c>
      <c r="AB40" s="2093" t="s">
        <v>928</v>
      </c>
      <c r="AC40" s="2083" t="s">
        <v>934</v>
      </c>
      <c r="AD40" s="2083"/>
      <c r="AE40" s="2083"/>
      <c r="AF40" s="2083"/>
      <c r="AG40" s="2083"/>
      <c r="AH40" s="2109" t="s">
        <v>289</v>
      </c>
      <c r="AI40" s="2110"/>
      <c r="AJ40" s="2110"/>
      <c r="AK40" s="2110"/>
      <c r="AL40" s="2111"/>
      <c r="AM40" s="895" t="s">
        <v>41</v>
      </c>
      <c r="AN40" s="2075" t="s">
        <v>937</v>
      </c>
      <c r="AO40" s="2112" t="s">
        <v>723</v>
      </c>
      <c r="AP40" s="2107" t="s">
        <v>826</v>
      </c>
      <c r="AQ40" s="14"/>
      <c r="AR40" s="14"/>
      <c r="AS40" s="14"/>
      <c r="AT40" s="14"/>
      <c r="AU40" s="14"/>
      <c r="AV40" s="14"/>
      <c r="AW40" s="14"/>
      <c r="AX40" s="14"/>
      <c r="AY40" s="14"/>
      <c r="AZ40" s="14"/>
      <c r="BA40" s="14"/>
      <c r="BB40" s="14"/>
      <c r="BC40" s="14"/>
      <c r="BD40" s="14"/>
      <c r="BE40" s="14"/>
      <c r="BF40" s="14"/>
      <c r="BG40" s="14"/>
      <c r="BH40" s="14"/>
      <c r="BI40" s="14"/>
    </row>
    <row r="41" spans="1:61" s="5" customFormat="1" ht="17">
      <c r="A41" s="39"/>
      <c r="B41" s="2065"/>
      <c r="C41" s="2065"/>
      <c r="D41" s="2095" t="s">
        <v>254</v>
      </c>
      <c r="E41" s="2096"/>
      <c r="F41" s="2095" t="s">
        <v>243</v>
      </c>
      <c r="G41" s="2106"/>
      <c r="H41" s="2096"/>
      <c r="I41" s="2095" t="s">
        <v>241</v>
      </c>
      <c r="J41" s="2106"/>
      <c r="K41" s="2096"/>
      <c r="L41" s="2065"/>
      <c r="M41" s="775" t="s">
        <v>170</v>
      </c>
      <c r="N41" s="775" t="s">
        <v>171</v>
      </c>
      <c r="O41" s="776" t="s">
        <v>813</v>
      </c>
      <c r="P41" s="776" t="s">
        <v>814</v>
      </c>
      <c r="Q41" s="776" t="s">
        <v>927</v>
      </c>
      <c r="R41" s="2065"/>
      <c r="S41" s="2088"/>
      <c r="T41" s="778" t="s">
        <v>171</v>
      </c>
      <c r="U41" s="774" t="s">
        <v>929</v>
      </c>
      <c r="V41" s="774" t="s">
        <v>930</v>
      </c>
      <c r="W41" s="774" t="s">
        <v>931</v>
      </c>
      <c r="X41" s="774" t="s">
        <v>932</v>
      </c>
      <c r="Y41" s="774" t="s">
        <v>933</v>
      </c>
      <c r="Z41" s="2088" t="s">
        <v>1023</v>
      </c>
      <c r="AA41" s="2090"/>
      <c r="AB41" s="2094"/>
      <c r="AC41" s="774" t="s">
        <v>929</v>
      </c>
      <c r="AD41" s="774" t="s">
        <v>930</v>
      </c>
      <c r="AE41" s="774" t="s">
        <v>931</v>
      </c>
      <c r="AF41" s="774" t="s">
        <v>932</v>
      </c>
      <c r="AG41" s="774" t="s">
        <v>933</v>
      </c>
      <c r="AH41" s="777" t="s">
        <v>290</v>
      </c>
      <c r="AI41" s="777" t="s">
        <v>291</v>
      </c>
      <c r="AJ41" s="777" t="s">
        <v>292</v>
      </c>
      <c r="AK41" s="777" t="s">
        <v>293</v>
      </c>
      <c r="AL41" s="777" t="s">
        <v>294</v>
      </c>
      <c r="AM41" s="775" t="s">
        <v>44</v>
      </c>
      <c r="AN41" s="2075"/>
      <c r="AO41" s="2113"/>
      <c r="AP41" s="2108"/>
      <c r="AQ41" s="14"/>
      <c r="AR41" s="14"/>
      <c r="AS41" s="14"/>
      <c r="AT41" s="14"/>
      <c r="AU41" s="14"/>
      <c r="AV41" s="14"/>
      <c r="AW41" s="14"/>
      <c r="AX41" s="14"/>
      <c r="AY41" s="14"/>
      <c r="AZ41" s="14"/>
      <c r="BA41" s="14"/>
      <c r="BB41" s="14"/>
      <c r="BC41" s="14"/>
      <c r="BD41" s="14"/>
      <c r="BE41" s="14"/>
      <c r="BF41" s="14"/>
      <c r="BG41" s="14"/>
      <c r="BH41" s="14"/>
      <c r="BI41" s="14"/>
    </row>
    <row r="42" spans="1:61">
      <c r="B42" s="84" t="s">
        <v>102</v>
      </c>
      <c r="C42" s="111">
        <v>1</v>
      </c>
      <c r="D42" s="53" t="s">
        <v>103</v>
      </c>
      <c r="E42" s="102"/>
      <c r="F42" s="102"/>
      <c r="G42" s="102"/>
      <c r="H42" s="102"/>
      <c r="I42" s="102"/>
      <c r="J42" s="102"/>
      <c r="K42" s="102"/>
      <c r="L42" s="85"/>
      <c r="M42" s="103"/>
      <c r="N42" s="104"/>
      <c r="O42" s="104"/>
      <c r="P42" s="104"/>
      <c r="Q42" s="104"/>
      <c r="R42" s="54"/>
      <c r="S42" s="104"/>
      <c r="T42" s="104"/>
      <c r="U42" s="104"/>
      <c r="V42" s="104"/>
      <c r="W42" s="104"/>
      <c r="X42" s="104"/>
      <c r="Y42" s="104"/>
      <c r="Z42" s="54"/>
      <c r="AA42" s="54"/>
      <c r="AB42" s="104"/>
      <c r="AC42" s="104"/>
      <c r="AD42" s="104"/>
      <c r="AE42" s="104"/>
      <c r="AF42" s="104"/>
      <c r="AG42" s="104"/>
      <c r="AH42" s="281"/>
      <c r="AI42" s="281"/>
      <c r="AJ42" s="281"/>
      <c r="AK42" s="281"/>
      <c r="AL42" s="281"/>
      <c r="AM42" s="54"/>
      <c r="AN42" s="657"/>
      <c r="AO42" s="871"/>
      <c r="AP42" s="658"/>
    </row>
    <row r="43" spans="1:61">
      <c r="B43" s="56" t="s">
        <v>102</v>
      </c>
      <c r="C43" s="56">
        <v>1</v>
      </c>
      <c r="D43" s="2060" t="s">
        <v>816</v>
      </c>
      <c r="E43" s="2062"/>
      <c r="F43" s="2060" t="s">
        <v>615</v>
      </c>
      <c r="G43" s="2061"/>
      <c r="H43" s="2062"/>
      <c r="I43" s="2060" t="s">
        <v>2679</v>
      </c>
      <c r="J43" s="2061"/>
      <c r="K43" s="2062"/>
      <c r="L43" s="56"/>
      <c r="M43" s="57"/>
      <c r="N43" s="58"/>
      <c r="O43" s="58"/>
      <c r="P43" s="58"/>
      <c r="Q43" s="221" t="str">
        <f t="array" ref="Q43">IFERROR(INDEX('Conversion factors_2'!$B$10:$CY$111,MATCH(O43,'Conversion factors_2'!$B$10:$B$111,FALSE),HLOOKUP(P43,'Conversion factors_2'!$B$8:$CY$9,2,FALSE)),"")</f>
        <v/>
      </c>
      <c r="R43" s="58" t="s">
        <v>309</v>
      </c>
      <c r="S43" s="58"/>
      <c r="T43" s="221" t="str">
        <f>IFERROR(CONCATENATE("tCO2e/",VLOOKUP($S43,'Emission factors'!$D:$J,7,FALSE)),"")</f>
        <v/>
      </c>
      <c r="U43" s="221" t="str">
        <f>IFERROR(VLOOKUP($S43,'Emission factors'!$D:$X,10,FALSE),"")</f>
        <v/>
      </c>
      <c r="V43" s="221" t="str">
        <f>IFERROR(VLOOKUP($S43,'Emission factors'!$D:$X,12,FALSE),"")</f>
        <v/>
      </c>
      <c r="W43" s="221" t="str">
        <f>IFERROR(VLOOKUP($S43,'Emission factors'!$D:$X,14,FALSE),"")</f>
        <v/>
      </c>
      <c r="X43" s="221" t="str">
        <f>IFERROR(VLOOKUP($S43,'Emission factors'!$D:$X,16,FALSE),"")</f>
        <v/>
      </c>
      <c r="Y43" s="221" t="str">
        <f>IFERROR(VLOOKUP($S43,'Emission factors'!$D:$X,18,FALSE),"")</f>
        <v/>
      </c>
      <c r="Z43" s="221" t="str">
        <f>IF(M43="","",1)</f>
        <v/>
      </c>
      <c r="AA43" s="58"/>
      <c r="AB43" s="58" t="s">
        <v>982</v>
      </c>
      <c r="AC43" s="57">
        <v>2211.9624568416498</v>
      </c>
      <c r="AD43" s="57">
        <v>2.0561093668355155</v>
      </c>
      <c r="AE43" s="57">
        <v>162.43263998000575</v>
      </c>
      <c r="AF43" s="58"/>
      <c r="AG43" s="58"/>
      <c r="AH43" s="275">
        <f>IFERROR(IF(AND($S43="",$AB43=""),"",IF($S43="",IF(AC43=0,"-",AC43),IF(U43=0,"0",$M43*IF($Q43="",1,$Q43)*U43*IF(AA43="",Z43,AA43)))),"-")</f>
        <v>2211.9624568416498</v>
      </c>
      <c r="AI43" s="275">
        <f>IFERROR(IF(AND($S43="",$AB43=""),"",IF($S43="",IF(AD43=0,"-",AD43),IF(V43=0,"0",$M43*IF($Q43="",1,$Q43)*V43))),"-")</f>
        <v>2.0561093668355155</v>
      </c>
      <c r="AJ43" s="275">
        <f>IFERROR(IF(AND($S43="",$AB43=""),"",IF($S43="",IF(AE43=0,"-",AE43),IF(W43=0,"0",$M43*IF($Q43="",1,$Q43)*W43))),"-")</f>
        <v>162.43263998000575</v>
      </c>
      <c r="AK43" s="275">
        <f>IFERROR(IF(AND($S43="",$AB43=""),"",IF($S43="",IF(AF43="",SUM(AH43:AJ43),IF(AF43=0,"0",AF43)),IF($X43="",SUM($AH43:$AJ43),IF($X43=0,"0",$M43*IF($Q43="",1,$Q43)*$X43)))),"-")</f>
        <v>2376.4512061884911</v>
      </c>
      <c r="AL43" s="275" t="str">
        <f>IFERROR(IF(AND($S43="",$AB43=""),"",IF($S43="",IF(AG43=0,"",AG43),IF(Y43=0,"0",$M43*IF($Q43="",1,$Q43)*Y43*IF(AA43="",Z43,AA43)))),"-")</f>
        <v/>
      </c>
      <c r="AM43" s="58" t="s">
        <v>180</v>
      </c>
      <c r="AN43" s="225" t="s">
        <v>2687</v>
      </c>
      <c r="AO43" s="226" t="s">
        <v>2659</v>
      </c>
      <c r="AP43" s="652"/>
    </row>
    <row r="44" spans="1:61">
      <c r="B44" s="56" t="s">
        <v>102</v>
      </c>
      <c r="C44" s="56">
        <v>1</v>
      </c>
      <c r="D44" s="2060" t="s">
        <v>816</v>
      </c>
      <c r="E44" s="2062"/>
      <c r="F44" s="2060" t="s">
        <v>615</v>
      </c>
      <c r="G44" s="2061"/>
      <c r="H44" s="2062"/>
      <c r="I44" s="2060" t="s">
        <v>1709</v>
      </c>
      <c r="J44" s="2061"/>
      <c r="K44" s="2062"/>
      <c r="L44" s="56"/>
      <c r="M44" s="57"/>
      <c r="N44" s="58"/>
      <c r="O44" s="58"/>
      <c r="P44" s="58"/>
      <c r="Q44" s="221" t="str">
        <f t="array" ref="Q44">IFERROR(INDEX('Conversion factors_2'!$B$10:$CY$111,MATCH(O44,'Conversion factors_2'!$B$10:$B$111,FALSE),HLOOKUP(P44,'Conversion factors_2'!$B$8:$CY$9,2,FALSE)),"")</f>
        <v/>
      </c>
      <c r="R44" s="58" t="s">
        <v>309</v>
      </c>
      <c r="S44" s="58"/>
      <c r="T44" s="221" t="str">
        <f>IFERROR(CONCATENATE("tCO2e/",VLOOKUP($S44,'Emission factors'!$D:$J,7,FALSE)),"")</f>
        <v/>
      </c>
      <c r="U44" s="221" t="str">
        <f>IFERROR(VLOOKUP($S44,'Emission factors'!$D:$X,10,FALSE),"")</f>
        <v/>
      </c>
      <c r="V44" s="221" t="str">
        <f>IFERROR(VLOOKUP($S44,'Emission factors'!$D:$X,12,FALSE),"")</f>
        <v/>
      </c>
      <c r="W44" s="221" t="str">
        <f>IFERROR(VLOOKUP($S44,'Emission factors'!$D:$X,14,FALSE),"")</f>
        <v/>
      </c>
      <c r="X44" s="221" t="str">
        <f>IFERROR(VLOOKUP($S44,'Emission factors'!$D:$X,16,FALSE),"")</f>
        <v/>
      </c>
      <c r="Y44" s="221" t="str">
        <f>IFERROR(VLOOKUP($S44,'Emission factors'!$D:$X,18,FALSE),"")</f>
        <v/>
      </c>
      <c r="Z44" s="221" t="str">
        <f>IF(M44="","",1)</f>
        <v/>
      </c>
      <c r="AA44" s="58"/>
      <c r="AB44" s="58" t="s">
        <v>982</v>
      </c>
      <c r="AC44" s="57">
        <v>16644.318765995798</v>
      </c>
      <c r="AD44" s="57">
        <v>15.471573495069483</v>
      </c>
      <c r="AE44" s="57">
        <v>1222.2543061104891</v>
      </c>
      <c r="AF44" s="58"/>
      <c r="AG44" s="58"/>
      <c r="AH44" s="275">
        <f>IFERROR(IF(AND($S44="",$AB44=""),"",IF($S44="",IF(AC44=0,"-",AC44),IF(U44=0,"0",$M44*IF($Q44="",1,$Q44)*U44*IF(AA44="",Z44,AA44)))),"-")</f>
        <v>16644.318765995798</v>
      </c>
      <c r="AI44" s="275">
        <f>IFERROR(IF(AND($S44="",$AB44=""),"",IF($S44="",IF(AD44=0,"-",AD44),IF(V44=0,"0",$M44*IF($Q44="",1,$Q44)*V44))),"-")</f>
        <v>15.471573495069483</v>
      </c>
      <c r="AJ44" s="275">
        <f>IFERROR(IF(AND($S44="",$AB44=""),"",IF($S44="",IF(AE44=0,"-",AE44),IF(W44=0,"0",$M44*IF($Q44="",1,$Q44)*W44))),"-")</f>
        <v>1222.2543061104891</v>
      </c>
      <c r="AK44" s="275">
        <f>IFERROR(IF(AND($S44="",$AB44=""),"",IF($S44="",IF(AF44="",SUM(AH44:AJ44),IF(AF44=0,"0",AF44)),IF($X44="",SUM($AH44:$AJ44),IF($X44=0,"0",$M44*IF($Q44="",1,$Q44)*$X44)))),"-")</f>
        <v>17882.044645601356</v>
      </c>
      <c r="AL44" s="275" t="str">
        <f>IFERROR(IF(AND($S44="",$AB44=""),"",IF($S44="",IF(AG44=0,"",AG44),IF(Y44=0,"0",$M44*IF($Q44="",1,$Q44)*Y44*IF(AA44="",Z44,AA44)))),"-")</f>
        <v/>
      </c>
      <c r="AM44" s="58" t="s">
        <v>180</v>
      </c>
      <c r="AN44" s="225" t="s">
        <v>2688</v>
      </c>
      <c r="AO44" s="226" t="s">
        <v>2659</v>
      </c>
      <c r="AP44" s="652"/>
    </row>
    <row r="45" spans="1:61">
      <c r="B45" s="73" t="s">
        <v>104</v>
      </c>
      <c r="C45" s="52">
        <v>2</v>
      </c>
      <c r="D45" s="61" t="s">
        <v>105</v>
      </c>
      <c r="E45" s="105"/>
      <c r="F45" s="105"/>
      <c r="G45" s="105"/>
      <c r="H45" s="105"/>
      <c r="I45" s="105"/>
      <c r="J45" s="102"/>
      <c r="K45" s="102"/>
      <c r="L45" s="74" t="s">
        <v>175</v>
      </c>
      <c r="M45" s="64"/>
      <c r="N45" s="64"/>
      <c r="O45" s="64"/>
      <c r="P45" s="64"/>
      <c r="Q45" s="64"/>
      <c r="R45" s="64"/>
      <c r="S45" s="64"/>
      <c r="T45" s="64"/>
      <c r="U45" s="64"/>
      <c r="V45" s="64"/>
      <c r="W45" s="64"/>
      <c r="X45" s="64"/>
      <c r="Y45" s="64"/>
      <c r="Z45" s="64"/>
      <c r="AA45" s="64"/>
      <c r="AB45" s="64"/>
      <c r="AC45" s="64"/>
      <c r="AD45" s="64"/>
      <c r="AE45" s="64"/>
      <c r="AF45" s="64"/>
      <c r="AG45" s="64"/>
      <c r="AH45" s="276"/>
      <c r="AI45" s="276"/>
      <c r="AJ45" s="276"/>
      <c r="AK45" s="276"/>
      <c r="AL45" s="276"/>
      <c r="AM45" s="54"/>
      <c r="AN45" s="227"/>
      <c r="AO45" s="250"/>
      <c r="AP45" s="653"/>
    </row>
    <row r="46" spans="1:61">
      <c r="B46" s="56" t="s">
        <v>104</v>
      </c>
      <c r="C46" s="56">
        <v>2</v>
      </c>
      <c r="D46" s="2060"/>
      <c r="E46" s="2062"/>
      <c r="F46" s="2060"/>
      <c r="G46" s="2061"/>
      <c r="H46" s="2062"/>
      <c r="I46" s="2060"/>
      <c r="J46" s="2061"/>
      <c r="K46" s="2062"/>
      <c r="L46" s="56"/>
      <c r="M46" s="57"/>
      <c r="N46" s="58"/>
      <c r="O46" s="58"/>
      <c r="P46" s="58"/>
      <c r="Q46" s="221" t="str">
        <f t="array" ref="Q46">IFERROR(INDEX('Conversion factors_2'!$B$10:$CY$111,MATCH(O46,'Conversion factors_2'!$B$10:$B$111,FALSE),HLOOKUP(P46,'Conversion factors_2'!$B$8:$CY$9,2,FALSE)),"")</f>
        <v/>
      </c>
      <c r="R46" s="58"/>
      <c r="S46" s="58"/>
      <c r="T46" s="221" t="str">
        <f>IFERROR(CONCATENATE("tCO2e/",VLOOKUP($S46,'Emission factors'!$D:$J,7,FALSE)),"")</f>
        <v/>
      </c>
      <c r="U46" s="221" t="str">
        <f>IFERROR(VLOOKUP($S46,'Emission factors'!$D:$X,10,FALSE),"")</f>
        <v/>
      </c>
      <c r="V46" s="221" t="str">
        <f>IFERROR(VLOOKUP($S46,'Emission factors'!$D:$X,12,FALSE),"")</f>
        <v/>
      </c>
      <c r="W46" s="221" t="str">
        <f>IFERROR(VLOOKUP($S46,'Emission factors'!$D:$X,14,FALSE),"")</f>
        <v/>
      </c>
      <c r="X46" s="221" t="str">
        <f>IFERROR(VLOOKUP($S46,'Emission factors'!$D:$X,16,FALSE),"")</f>
        <v/>
      </c>
      <c r="Y46" s="221" t="str">
        <f>IFERROR(VLOOKUP($S46,'Emission factors'!$D:$X,18,FALSE),"")</f>
        <v/>
      </c>
      <c r="Z46" s="221" t="str">
        <f>IF(M46="","",1)</f>
        <v/>
      </c>
      <c r="AA46" s="58"/>
      <c r="AB46" s="58"/>
      <c r="AC46" s="58"/>
      <c r="AD46" s="58"/>
      <c r="AE46" s="58"/>
      <c r="AF46" s="58"/>
      <c r="AG46" s="58"/>
      <c r="AH46" s="275" t="str">
        <f>IFERROR(IF(AND($S46="",$AB46=""),"",IF($S46="",IF(AC46=0,"-",AC46),IF(U46=0,"0",$M46*IF($Q46="",1,$Q46)*U46*IF(AA46="",Z46,AA46)))),"-")</f>
        <v/>
      </c>
      <c r="AI46" s="275" t="str">
        <f>IFERROR(IF(AND($S46="",$AB46=""),"",IF($S46="",IF(AD46=0,"-",AD46),IF(V46=0,"0",$M46*IF($Q46="",1,$Q46)*V46))),"-")</f>
        <v/>
      </c>
      <c r="AJ46" s="275" t="str">
        <f>IFERROR(IF(AND($S46="",$AB46=""),"",IF($S46="",IF(AE46=0,"-",AE46),IF(W46=0,"0",$M46*IF($Q46="",1,$Q46)*W46))),"-")</f>
        <v/>
      </c>
      <c r="AK46" s="275" t="str">
        <f>IFERROR(IF(AND($S46="",$AB46=""),"",IF($S46="",IF(AF46="",SUM(AH46:AJ46),IF(AF46=0,"0",AF46)),IF($X46="",SUM($AH46:$AJ46),IF($X46=0,"0",$M46*IF($Q46="",1,$Q46)*$X46)))),"-")</f>
        <v/>
      </c>
      <c r="AL46" s="275" t="str">
        <f>IFERROR(IF(AND($S46="",$AB46=""),"",IF($S46="",IF(AG46=0,"",AG46),IF(Y46=0,"0",$M46*IF($Q46="",1,$Q46)*Y46*IF(AA46="",Z46,AA46)))),"-")</f>
        <v/>
      </c>
      <c r="AM46" s="58"/>
      <c r="AN46" s="225"/>
      <c r="AO46" s="226"/>
      <c r="AP46" s="652"/>
    </row>
    <row r="47" spans="1:61">
      <c r="B47" s="56" t="s">
        <v>104</v>
      </c>
      <c r="C47" s="56">
        <v>2</v>
      </c>
      <c r="D47" s="2060"/>
      <c r="E47" s="2062"/>
      <c r="F47" s="2060"/>
      <c r="G47" s="2061"/>
      <c r="H47" s="2062"/>
      <c r="I47" s="2060"/>
      <c r="J47" s="2061"/>
      <c r="K47" s="2062"/>
      <c r="L47" s="56"/>
      <c r="M47" s="57"/>
      <c r="N47" s="58"/>
      <c r="O47" s="58"/>
      <c r="P47" s="58"/>
      <c r="Q47" s="221" t="str">
        <f t="array" ref="Q47">IFERROR(INDEX('Conversion factors_2'!$B$10:$CY$111,MATCH(O47,'Conversion factors_2'!$B$10:$B$111,FALSE),HLOOKUP(P47,'Conversion factors_2'!$B$8:$CY$9,2,FALSE)),"")</f>
        <v/>
      </c>
      <c r="R47" s="58"/>
      <c r="S47" s="58"/>
      <c r="T47" s="221" t="str">
        <f>IFERROR(CONCATENATE("tCO2e/",VLOOKUP($S47,'Emission factors'!$D:$J,7,FALSE)),"")</f>
        <v/>
      </c>
      <c r="U47" s="221" t="str">
        <f>IFERROR(VLOOKUP($S47,'Emission factors'!$D:$X,10,FALSE),"")</f>
        <v/>
      </c>
      <c r="V47" s="221" t="str">
        <f>IFERROR(VLOOKUP($S47,'Emission factors'!$D:$X,12,FALSE),"")</f>
        <v/>
      </c>
      <c r="W47" s="221" t="str">
        <f>IFERROR(VLOOKUP($S47,'Emission factors'!$D:$X,14,FALSE),"")</f>
        <v/>
      </c>
      <c r="X47" s="221" t="str">
        <f>IFERROR(VLOOKUP($S47,'Emission factors'!$D:$X,16,FALSE),"")</f>
        <v/>
      </c>
      <c r="Y47" s="221" t="str">
        <f>IFERROR(VLOOKUP($S47,'Emission factors'!$D:$X,18,FALSE),"")</f>
        <v/>
      </c>
      <c r="Z47" s="221" t="str">
        <f>IF(M47="","",1)</f>
        <v/>
      </c>
      <c r="AA47" s="58"/>
      <c r="AB47" s="58"/>
      <c r="AC47" s="58"/>
      <c r="AD47" s="58"/>
      <c r="AE47" s="58"/>
      <c r="AF47" s="58"/>
      <c r="AG47" s="58"/>
      <c r="AH47" s="275" t="str">
        <f>IFERROR(IF(AND($S47="",$AB47=""),"",IF($S47="",IF(AC47=0,"-",AC47),IF(U47=0,"0",$M47*IF($Q47="",1,$Q47)*U47*IF(AA47="",Z47,AA47)))),"-")</f>
        <v/>
      </c>
      <c r="AI47" s="275" t="str">
        <f>IFERROR(IF(AND($S47="",$AB47=""),"",IF($S47="",IF(AD47=0,"-",AD47),IF(V47=0,"0",$M47*IF($Q47="",1,$Q47)*V47))),"-")</f>
        <v/>
      </c>
      <c r="AJ47" s="275" t="str">
        <f>IFERROR(IF(AND($S47="",$AB47=""),"",IF($S47="",IF(AE47=0,"-",AE47),IF(W47=0,"0",$M47*IF($Q47="",1,$Q47)*W47))),"-")</f>
        <v/>
      </c>
      <c r="AK47" s="275" t="str">
        <f>IFERROR(IF(AND($S47="",$AB47=""),"",IF($S47="",IF(AF47="",SUM(AH47:AJ47),IF(AF47=0,"0",AF47)),IF($X47="",SUM($AH47:$AJ47),IF($X47=0,"0",$M47*IF($Q47="",1,$Q47)*$X47)))),"-")</f>
        <v/>
      </c>
      <c r="AL47" s="275" t="str">
        <f>IFERROR(IF(AND($S47="",$AB47=""),"",IF($S47="",IF(AG47=0,"",AG47),IF(Y47=0,"0",$M47*IF($Q47="",1,$Q47)*Y47*IF(AA47="",Z47,AA47)))),"-")</f>
        <v/>
      </c>
      <c r="AM47" s="58"/>
      <c r="AN47" s="255"/>
      <c r="AO47" s="226"/>
      <c r="AP47" s="652"/>
    </row>
    <row r="48" spans="1:61">
      <c r="B48" s="108" t="s">
        <v>106</v>
      </c>
      <c r="C48" s="76">
        <v>3</v>
      </c>
      <c r="D48" s="106" t="s">
        <v>622</v>
      </c>
      <c r="E48" s="106"/>
      <c r="F48" s="106"/>
      <c r="G48" s="106"/>
      <c r="H48" s="106"/>
      <c r="I48" s="106"/>
      <c r="J48" s="112"/>
      <c r="K48" s="112"/>
      <c r="L48" s="69" t="s">
        <v>177</v>
      </c>
      <c r="M48" s="70"/>
      <c r="N48" s="69"/>
      <c r="O48" s="69"/>
      <c r="P48" s="69"/>
      <c r="Q48" s="69"/>
      <c r="R48" s="69"/>
      <c r="S48" s="69"/>
      <c r="T48" s="69"/>
      <c r="U48" s="69"/>
      <c r="V48" s="69"/>
      <c r="W48" s="69"/>
      <c r="X48" s="69"/>
      <c r="Y48" s="69"/>
      <c r="Z48" s="69"/>
      <c r="AA48" s="69"/>
      <c r="AB48" s="69"/>
      <c r="AC48" s="69"/>
      <c r="AD48" s="69"/>
      <c r="AE48" s="69"/>
      <c r="AF48" s="69"/>
      <c r="AG48" s="69"/>
      <c r="AH48" s="277"/>
      <c r="AI48" s="277"/>
      <c r="AJ48" s="277"/>
      <c r="AK48" s="277"/>
      <c r="AL48" s="277"/>
      <c r="AM48" s="69"/>
      <c r="AN48" s="228" t="s">
        <v>2664</v>
      </c>
      <c r="AO48" s="251"/>
      <c r="AP48" s="655"/>
    </row>
    <row r="49" spans="1:61">
      <c r="B49" s="56" t="s">
        <v>106</v>
      </c>
      <c r="C49" s="56">
        <v>3</v>
      </c>
      <c r="D49" s="2060"/>
      <c r="E49" s="2062"/>
      <c r="F49" s="2060"/>
      <c r="G49" s="2061"/>
      <c r="H49" s="2062"/>
      <c r="I49" s="2060"/>
      <c r="J49" s="2061"/>
      <c r="K49" s="2062"/>
      <c r="L49" s="56"/>
      <c r="M49" s="57"/>
      <c r="N49" s="58"/>
      <c r="O49" s="58"/>
      <c r="P49" s="58"/>
      <c r="Q49" s="221" t="str">
        <f t="array" ref="Q49">IFERROR(INDEX('Conversion factors_2'!$B$10:$CY$111,MATCH(O49,'Conversion factors_2'!$B$10:$B$111,FALSE),HLOOKUP(P49,'Conversion factors_2'!$B$8:$CY$9,2,FALSE)),"")</f>
        <v/>
      </c>
      <c r="R49" s="58"/>
      <c r="S49" s="58"/>
      <c r="T49" s="221" t="str">
        <f>IFERROR(CONCATENATE("tCO2e/",VLOOKUP($S49,'Emission factors'!$D:$J,7,FALSE)),"")</f>
        <v/>
      </c>
      <c r="U49" s="221" t="str">
        <f>IFERROR(VLOOKUP($S49,'Emission factors'!$D:$X,10,FALSE),"")</f>
        <v/>
      </c>
      <c r="V49" s="221" t="str">
        <f>IFERROR(VLOOKUP($S49,'Emission factors'!$D:$X,12,FALSE),"")</f>
        <v/>
      </c>
      <c r="W49" s="221" t="str">
        <f>IFERROR(VLOOKUP($S49,'Emission factors'!$D:$X,14,FALSE),"")</f>
        <v/>
      </c>
      <c r="X49" s="221" t="str">
        <f>IFERROR(VLOOKUP($S49,'Emission factors'!$D:$X,16,FALSE),"")</f>
        <v/>
      </c>
      <c r="Y49" s="221" t="str">
        <f>IFERROR(VLOOKUP($S49,'Emission factors'!$D:$X,18,FALSE),"")</f>
        <v/>
      </c>
      <c r="Z49" s="221" t="str">
        <f>IF(M49="","",1)</f>
        <v/>
      </c>
      <c r="AA49" s="58"/>
      <c r="AB49" s="58"/>
      <c r="AC49" s="58"/>
      <c r="AD49" s="58"/>
      <c r="AE49" s="58"/>
      <c r="AF49" s="58"/>
      <c r="AG49" s="58"/>
      <c r="AH49" s="275" t="str">
        <f>IFERROR(IF(AND($S49="",$AB49=""),"",IF($S49="",IF(AC49=0,"-",AC49),IF(U49=0,"0",$M49*IF($Q49="",1,$Q49)*U49*IF(AA49="",Z49,AA49)))),"-")</f>
        <v/>
      </c>
      <c r="AI49" s="275" t="str">
        <f>IFERROR(IF(AND($S49="",$AB49=""),"",IF($S49="",IF(AD49=0,"-",AD49),IF(V49=0,"0",$M49*IF($Q49="",1,$Q49)*V49))),"-")</f>
        <v/>
      </c>
      <c r="AJ49" s="275" t="str">
        <f>IFERROR(IF(AND($S49="",$AB49=""),"",IF($S49="",IF(AE49=0,"-",AE49),IF(W49=0,"0",$M49*IF($Q49="",1,$Q49)*W49))),"-")</f>
        <v/>
      </c>
      <c r="AK49" s="275" t="str">
        <f>IFERROR(IF(AND($S49="",$AB49=""),"",IF($S49="",IF(AF49="",SUM(AH49:AJ49),IF(AF49=0,"0",AF49)),IF($X49="",SUM($AH49:$AJ49),IF($X49=0,"0",$M49*IF($Q49="",1,$Q49)*$X49)))),"-")</f>
        <v/>
      </c>
      <c r="AL49" s="275" t="str">
        <f>IFERROR(IF(AND($S49="",$AB49=""),"",IF($S49="",IF(AG49=0,"",AG49),IF(Y49=0,"0",$M49*IF($Q49="",1,$Q49)*Y49*IF(AA49="",Z49,AA49)))),"-")</f>
        <v/>
      </c>
      <c r="AM49" s="58"/>
      <c r="AN49" s="225"/>
      <c r="AO49" s="226"/>
      <c r="AP49" s="652"/>
    </row>
    <row r="50" spans="1:61" s="175" customFormat="1" ht="15" customHeight="1">
      <c r="A50" s="34"/>
      <c r="B50" s="58" t="s">
        <v>106</v>
      </c>
      <c r="C50" s="58">
        <v>3</v>
      </c>
      <c r="D50" s="2060"/>
      <c r="E50" s="2062"/>
      <c r="F50" s="2060"/>
      <c r="G50" s="2061"/>
      <c r="H50" s="2062"/>
      <c r="I50" s="2060"/>
      <c r="J50" s="2061"/>
      <c r="K50" s="2062"/>
      <c r="L50" s="56"/>
      <c r="M50" s="57"/>
      <c r="N50" s="58"/>
      <c r="O50" s="58"/>
      <c r="P50" s="58"/>
      <c r="Q50" s="221" t="str">
        <f t="array" ref="Q50">IFERROR(INDEX('Conversion factors_2'!$B$10:$CY$111,MATCH(O50,'Conversion factors_2'!$B$10:$B$111,FALSE),HLOOKUP(P50,'Conversion factors_2'!$B$8:$CY$9,2,FALSE)),"")</f>
        <v/>
      </c>
      <c r="R50" s="58"/>
      <c r="S50" s="58"/>
      <c r="T50" s="221" t="str">
        <f>IFERROR(CONCATENATE("tCO2e/",VLOOKUP($S50,'Emission factors'!$D:$J,7,FALSE)),"")</f>
        <v/>
      </c>
      <c r="U50" s="221" t="str">
        <f>IFERROR(VLOOKUP($S50,'Emission factors'!$D:$X,10,FALSE),"")</f>
        <v/>
      </c>
      <c r="V50" s="221" t="str">
        <f>IFERROR(VLOOKUP($S50,'Emission factors'!$D:$X,12,FALSE),"")</f>
        <v/>
      </c>
      <c r="W50" s="221" t="str">
        <f>IFERROR(VLOOKUP($S50,'Emission factors'!$D:$X,14,FALSE),"")</f>
        <v/>
      </c>
      <c r="X50" s="221" t="str">
        <f>IFERROR(VLOOKUP($S50,'Emission factors'!$D:$X,16,FALSE),"")</f>
        <v/>
      </c>
      <c r="Y50" s="221" t="str">
        <f>IFERROR(VLOOKUP($S50,'Emission factors'!$D:$X,18,FALSE),"")</f>
        <v/>
      </c>
      <c r="Z50" s="221" t="str">
        <f>IF(M50="","",1)</f>
        <v/>
      </c>
      <c r="AA50" s="58"/>
      <c r="AB50" s="56"/>
      <c r="AC50" s="58"/>
      <c r="AD50" s="58"/>
      <c r="AE50" s="58"/>
      <c r="AF50" s="58"/>
      <c r="AG50" s="58"/>
      <c r="AH50" s="275" t="str">
        <f>IFERROR(IF(AND($S50="",$AB50=""),"",IF($S50="",IF(AC50=0,"-",AC50),IF(U50=0,"0",$M50*IF($Q50="",1,$Q50)*U50*IF(AA50="",Z50,AA50)))),"-")</f>
        <v/>
      </c>
      <c r="AI50" s="472" t="str">
        <f>IFERROR(IF(AND($S50="",$AB50=""),"",IF($S50="",IF(AD50=0,"-",AD50),IF(V50=0,"0",$M50*IF($Q50="",1,$Q50)*V50))),"-")</f>
        <v/>
      </c>
      <c r="AJ50" s="472" t="str">
        <f>IFERROR(IF(AND($S50="",$AB50=""),"",IF($S50="",IF(AE50=0,"-",AE50),IF(W50=0,"0",$M50*IF($Q50="",1,$Q50)*W50))),"-")</f>
        <v/>
      </c>
      <c r="AK50" s="472" t="str">
        <f>IFERROR(IF(AND($S50="",$AB50=""),"",IF($S50="",IF(AF50="",SUM(AH50:AJ50),IF(AF50=0,"0",AF50)),IF($X50="",SUM($AH50:$AJ50),IF($X50=0,"0",$M50*IF($Q50="",1,$Q50)*$X50)))),"-")</f>
        <v/>
      </c>
      <c r="AL50" s="275" t="str">
        <f>IFERROR(IF(AND($S50="",$AB50=""),"",IF($S50="",IF(AG50=0,"",AG50),IF(Y50=0,"0",$M50*IF($Q50="",1,$Q50)*Y50*IF(AA50="",Z50,AA50)))),"-")</f>
        <v/>
      </c>
      <c r="AM50" s="58"/>
      <c r="AN50" s="255"/>
      <c r="AO50" s="226"/>
      <c r="AP50" s="652"/>
      <c r="AQ50" s="26"/>
      <c r="AR50" s="26"/>
      <c r="AS50" s="26"/>
      <c r="AT50" s="26"/>
      <c r="AU50" s="26"/>
      <c r="AV50" s="26"/>
      <c r="AW50" s="26"/>
      <c r="AX50" s="26"/>
      <c r="AY50" s="26"/>
      <c r="AZ50" s="26"/>
      <c r="BA50" s="26"/>
      <c r="BB50" s="26"/>
      <c r="BC50" s="26"/>
      <c r="BD50" s="26"/>
      <c r="BE50" s="26"/>
      <c r="BF50" s="26"/>
      <c r="BG50" s="26"/>
      <c r="BH50" s="26"/>
      <c r="BI50" s="26"/>
    </row>
    <row r="51" spans="1:61" s="26" customFormat="1">
      <c r="A51" s="174"/>
      <c r="B51" s="11"/>
      <c r="C51" s="11"/>
      <c r="D51" s="8"/>
      <c r="E51" s="8"/>
      <c r="F51" s="8"/>
      <c r="G51" s="8"/>
      <c r="H51" s="8"/>
      <c r="I51" s="12"/>
      <c r="J51" s="12"/>
      <c r="K51" s="12"/>
      <c r="L51" s="9"/>
      <c r="M51" s="7"/>
      <c r="N51" s="7"/>
      <c r="O51" s="7"/>
      <c r="P51" s="7"/>
      <c r="Q51" s="7"/>
      <c r="R51" s="7"/>
      <c r="S51" s="7"/>
      <c r="T51" s="7"/>
      <c r="U51" s="7"/>
      <c r="V51" s="7"/>
      <c r="W51" s="7"/>
      <c r="X51" s="7"/>
      <c r="Y51" s="7"/>
      <c r="Z51" s="7"/>
      <c r="AA51" s="7"/>
      <c r="AB51" s="7"/>
      <c r="AC51" s="7"/>
      <c r="AD51" s="7"/>
      <c r="AE51" s="7"/>
      <c r="AF51" s="7"/>
      <c r="AG51" s="7"/>
      <c r="AH51" s="10"/>
      <c r="AI51" s="10"/>
      <c r="AJ51" s="10"/>
      <c r="AK51" s="10"/>
      <c r="AL51" s="282"/>
      <c r="AM51" s="9"/>
      <c r="AN51" s="256"/>
      <c r="AO51" s="256"/>
      <c r="AP51" s="252"/>
    </row>
    <row r="52" spans="1:61" s="21" customFormat="1" ht="18">
      <c r="B52" s="465" t="s">
        <v>226</v>
      </c>
      <c r="C52" s="635"/>
      <c r="D52" s="18"/>
      <c r="E52" s="18"/>
      <c r="F52" s="18"/>
      <c r="G52" s="18"/>
      <c r="H52" s="18"/>
      <c r="I52" s="18"/>
      <c r="J52" s="19"/>
      <c r="K52" s="635"/>
      <c r="L52" s="635"/>
      <c r="M52" s="635"/>
      <c r="N52" s="635"/>
      <c r="O52" s="635"/>
      <c r="P52" s="635"/>
      <c r="Q52" s="27"/>
      <c r="R52" s="27"/>
      <c r="S52" s="27"/>
      <c r="T52" s="27"/>
      <c r="U52" s="27"/>
      <c r="V52" s="27"/>
      <c r="W52" s="27"/>
      <c r="X52" s="27"/>
      <c r="Y52" s="27"/>
      <c r="Z52" s="27"/>
      <c r="AA52" s="27"/>
      <c r="AB52" s="27"/>
      <c r="AC52" s="27"/>
      <c r="AD52" s="27"/>
      <c r="AE52" s="27"/>
      <c r="AF52" s="28"/>
      <c r="AG52" s="274"/>
      <c r="AH52" s="28"/>
      <c r="AI52" s="28"/>
      <c r="AJ52" s="28"/>
      <c r="AK52" s="19"/>
      <c r="AL52" s="19"/>
      <c r="AM52" s="254"/>
      <c r="AN52" s="254"/>
    </row>
    <row r="53" spans="1:61" s="26" customFormat="1">
      <c r="A53" s="174"/>
      <c r="B53" s="11"/>
      <c r="C53" s="11"/>
      <c r="D53" s="8"/>
      <c r="E53" s="8"/>
      <c r="F53" s="8"/>
      <c r="G53" s="8"/>
      <c r="H53" s="8"/>
      <c r="I53" s="12"/>
      <c r="J53" s="12"/>
      <c r="K53" s="12"/>
      <c r="L53" s="9"/>
      <c r="M53" s="7"/>
      <c r="N53" s="7"/>
      <c r="O53" s="7"/>
      <c r="P53" s="7"/>
      <c r="Q53" s="7"/>
      <c r="R53" s="7"/>
      <c r="S53" s="7"/>
      <c r="T53" s="7"/>
      <c r="U53" s="7"/>
      <c r="V53" s="7"/>
      <c r="W53" s="7"/>
      <c r="X53" s="7"/>
      <c r="Y53" s="7"/>
      <c r="Z53" s="7"/>
      <c r="AA53" s="7"/>
      <c r="AB53" s="7"/>
      <c r="AC53" s="7"/>
      <c r="AD53" s="7"/>
      <c r="AE53" s="7"/>
      <c r="AF53" s="7"/>
      <c r="AG53" s="7"/>
      <c r="AH53" s="10"/>
      <c r="AI53" s="10"/>
      <c r="AJ53" s="10"/>
      <c r="AK53" s="10"/>
      <c r="AL53" s="282"/>
      <c r="AM53" s="9"/>
      <c r="AN53" s="256"/>
      <c r="AO53" s="256"/>
      <c r="AP53" s="252"/>
    </row>
    <row r="54" spans="1:61" s="5" customFormat="1" ht="16" customHeight="1">
      <c r="A54" s="39"/>
      <c r="B54" s="2065" t="s">
        <v>37</v>
      </c>
      <c r="C54" s="2065" t="s">
        <v>38</v>
      </c>
      <c r="D54" s="2095" t="s">
        <v>242</v>
      </c>
      <c r="E54" s="2106"/>
      <c r="F54" s="2106"/>
      <c r="G54" s="2106"/>
      <c r="H54" s="2106"/>
      <c r="I54" s="2106"/>
      <c r="J54" s="2106"/>
      <c r="K54" s="2096"/>
      <c r="L54" s="2066" t="s">
        <v>297</v>
      </c>
      <c r="M54" s="2095" t="s">
        <v>169</v>
      </c>
      <c r="N54" s="2096"/>
      <c r="O54" s="2098" t="s">
        <v>841</v>
      </c>
      <c r="P54" s="2099"/>
      <c r="Q54" s="2100"/>
      <c r="R54" s="2066" t="s">
        <v>302</v>
      </c>
      <c r="S54" s="2087" t="s">
        <v>782</v>
      </c>
      <c r="T54" s="2063" t="s">
        <v>782</v>
      </c>
      <c r="U54" s="2063"/>
      <c r="V54" s="2063"/>
      <c r="W54" s="2063"/>
      <c r="X54" s="2063"/>
      <c r="Y54" s="2064"/>
      <c r="Z54" s="2087" t="s">
        <v>1538</v>
      </c>
      <c r="AA54" s="2089" t="s">
        <v>1539</v>
      </c>
      <c r="AB54" s="2093" t="s">
        <v>928</v>
      </c>
      <c r="AC54" s="2083" t="s">
        <v>934</v>
      </c>
      <c r="AD54" s="2083"/>
      <c r="AE54" s="2083"/>
      <c r="AF54" s="2083"/>
      <c r="AG54" s="2083"/>
      <c r="AH54" s="2109" t="s">
        <v>289</v>
      </c>
      <c r="AI54" s="2110"/>
      <c r="AJ54" s="2110"/>
      <c r="AK54" s="2110"/>
      <c r="AL54" s="2111"/>
      <c r="AM54" s="895" t="s">
        <v>41</v>
      </c>
      <c r="AN54" s="2075" t="s">
        <v>937</v>
      </c>
      <c r="AO54" s="2112" t="s">
        <v>723</v>
      </c>
      <c r="AP54" s="2107" t="s">
        <v>826</v>
      </c>
      <c r="AQ54" s="14"/>
      <c r="AR54" s="14"/>
      <c r="AS54" s="14"/>
      <c r="AT54" s="14"/>
      <c r="AU54" s="14"/>
      <c r="AV54" s="14"/>
      <c r="AW54" s="14"/>
      <c r="AX54" s="14"/>
      <c r="AY54" s="14"/>
      <c r="AZ54" s="14"/>
      <c r="BA54" s="14"/>
      <c r="BB54" s="14"/>
      <c r="BC54" s="14"/>
      <c r="BD54" s="14"/>
      <c r="BE54" s="14"/>
      <c r="BF54" s="14"/>
      <c r="BG54" s="14"/>
      <c r="BH54" s="14"/>
      <c r="BI54" s="14"/>
    </row>
    <row r="55" spans="1:61" s="5" customFormat="1" ht="17">
      <c r="A55" s="39"/>
      <c r="B55" s="2065"/>
      <c r="C55" s="2065"/>
      <c r="D55" s="2095" t="s">
        <v>254</v>
      </c>
      <c r="E55" s="2096"/>
      <c r="F55" s="2095" t="s">
        <v>243</v>
      </c>
      <c r="G55" s="2106"/>
      <c r="H55" s="2096"/>
      <c r="I55" s="2095" t="s">
        <v>241</v>
      </c>
      <c r="J55" s="2106"/>
      <c r="K55" s="2096"/>
      <c r="L55" s="2065"/>
      <c r="M55" s="775" t="s">
        <v>170</v>
      </c>
      <c r="N55" s="775" t="s">
        <v>171</v>
      </c>
      <c r="O55" s="776" t="s">
        <v>813</v>
      </c>
      <c r="P55" s="776" t="s">
        <v>814</v>
      </c>
      <c r="Q55" s="776" t="s">
        <v>927</v>
      </c>
      <c r="R55" s="2065"/>
      <c r="S55" s="2088"/>
      <c r="T55" s="778" t="s">
        <v>171</v>
      </c>
      <c r="U55" s="774" t="s">
        <v>929</v>
      </c>
      <c r="V55" s="774" t="s">
        <v>930</v>
      </c>
      <c r="W55" s="774" t="s">
        <v>931</v>
      </c>
      <c r="X55" s="774" t="s">
        <v>932</v>
      </c>
      <c r="Y55" s="774" t="s">
        <v>933</v>
      </c>
      <c r="Z55" s="2088" t="s">
        <v>1023</v>
      </c>
      <c r="AA55" s="2090"/>
      <c r="AB55" s="2094"/>
      <c r="AC55" s="774" t="s">
        <v>929</v>
      </c>
      <c r="AD55" s="774" t="s">
        <v>930</v>
      </c>
      <c r="AE55" s="774" t="s">
        <v>931</v>
      </c>
      <c r="AF55" s="774" t="s">
        <v>932</v>
      </c>
      <c r="AG55" s="774" t="s">
        <v>933</v>
      </c>
      <c r="AH55" s="777" t="s">
        <v>290</v>
      </c>
      <c r="AI55" s="777" t="s">
        <v>291</v>
      </c>
      <c r="AJ55" s="777" t="s">
        <v>292</v>
      </c>
      <c r="AK55" s="777" t="s">
        <v>293</v>
      </c>
      <c r="AL55" s="777" t="s">
        <v>294</v>
      </c>
      <c r="AM55" s="775" t="s">
        <v>44</v>
      </c>
      <c r="AN55" s="2075"/>
      <c r="AO55" s="2113"/>
      <c r="AP55" s="2108"/>
      <c r="AQ55" s="14"/>
      <c r="AR55" s="14"/>
      <c r="AS55" s="14"/>
      <c r="AT55" s="14"/>
      <c r="AU55" s="14"/>
      <c r="AV55" s="14"/>
      <c r="AW55" s="14"/>
      <c r="AX55" s="14"/>
      <c r="AY55" s="14"/>
      <c r="AZ55" s="14"/>
      <c r="BA55" s="14"/>
      <c r="BB55" s="14"/>
      <c r="BC55" s="14"/>
      <c r="BD55" s="14"/>
      <c r="BE55" s="14"/>
      <c r="BF55" s="14"/>
      <c r="BG55" s="14"/>
      <c r="BH55" s="14"/>
      <c r="BI55" s="14"/>
    </row>
    <row r="56" spans="1:61">
      <c r="B56" s="84" t="s">
        <v>108</v>
      </c>
      <c r="C56" s="52">
        <v>1</v>
      </c>
      <c r="D56" s="53" t="s">
        <v>109</v>
      </c>
      <c r="E56" s="102"/>
      <c r="F56" s="102"/>
      <c r="G56" s="102"/>
      <c r="H56" s="102"/>
      <c r="I56" s="102"/>
      <c r="J56" s="102"/>
      <c r="K56" s="102"/>
      <c r="L56" s="85" t="s">
        <v>175</v>
      </c>
      <c r="M56" s="103"/>
      <c r="N56" s="104"/>
      <c r="O56" s="104"/>
      <c r="P56" s="104"/>
      <c r="Q56" s="104"/>
      <c r="R56" s="54"/>
      <c r="S56" s="104"/>
      <c r="T56" s="104"/>
      <c r="U56" s="104"/>
      <c r="V56" s="104"/>
      <c r="W56" s="104"/>
      <c r="X56" s="104"/>
      <c r="Y56" s="104"/>
      <c r="Z56" s="54"/>
      <c r="AA56" s="54"/>
      <c r="AB56" s="104"/>
      <c r="AC56" s="104"/>
      <c r="AD56" s="104"/>
      <c r="AE56" s="104"/>
      <c r="AF56" s="104"/>
      <c r="AG56" s="104"/>
      <c r="AH56" s="281"/>
      <c r="AI56" s="281"/>
      <c r="AJ56" s="281"/>
      <c r="AK56" s="281"/>
      <c r="AL56" s="281"/>
      <c r="AM56" s="54"/>
      <c r="AN56" s="657" t="s">
        <v>2676</v>
      </c>
      <c r="AO56" s="871"/>
      <c r="AP56" s="658"/>
    </row>
    <row r="57" spans="1:61">
      <c r="B57" s="56" t="s">
        <v>108</v>
      </c>
      <c r="C57" s="56">
        <v>1</v>
      </c>
      <c r="D57" s="2060"/>
      <c r="E57" s="2062"/>
      <c r="F57" s="2060"/>
      <c r="G57" s="2061"/>
      <c r="H57" s="2062"/>
      <c r="I57" s="2060"/>
      <c r="J57" s="2061"/>
      <c r="K57" s="2062"/>
      <c r="L57" s="56"/>
      <c r="M57" s="57"/>
      <c r="N57" s="58"/>
      <c r="O57" s="58"/>
      <c r="P57" s="58"/>
      <c r="Q57" s="221" t="str">
        <f t="array" ref="Q57">IFERROR(INDEX('Conversion factors_2'!$B$10:$CY$111,MATCH(O57,'Conversion factors_2'!$B$10:$B$111,FALSE),HLOOKUP(P57,'Conversion factors_2'!$B$8:$CY$9,2,FALSE)),"")</f>
        <v/>
      </c>
      <c r="R57" s="58"/>
      <c r="S57" s="58"/>
      <c r="T57" s="221" t="str">
        <f>IFERROR(CONCATENATE("tCO2e/",VLOOKUP($S57,'Emission factors'!$D:$J,7,FALSE)),"")</f>
        <v/>
      </c>
      <c r="U57" s="221" t="str">
        <f>IFERROR(VLOOKUP($S57,'Emission factors'!$D:$X,10,FALSE),"")</f>
        <v/>
      </c>
      <c r="V57" s="221" t="str">
        <f>IFERROR(VLOOKUP($S57,'Emission factors'!$D:$X,12,FALSE),"")</f>
        <v/>
      </c>
      <c r="W57" s="221" t="str">
        <f>IFERROR(VLOOKUP($S57,'Emission factors'!$D:$X,14,FALSE),"")</f>
        <v/>
      </c>
      <c r="X57" s="221" t="str">
        <f>IFERROR(VLOOKUP($S57,'Emission factors'!$D:$X,16,FALSE),"")</f>
        <v/>
      </c>
      <c r="Y57" s="221" t="str">
        <f>IFERROR(VLOOKUP($S57,'Emission factors'!$D:$X,18,FALSE),"")</f>
        <v/>
      </c>
      <c r="Z57" s="221" t="str">
        <f>IF(M57="","",1)</f>
        <v/>
      </c>
      <c r="AA57" s="58"/>
      <c r="AB57" s="58"/>
      <c r="AC57" s="58"/>
      <c r="AD57" s="58"/>
      <c r="AE57" s="58"/>
      <c r="AF57" s="58"/>
      <c r="AG57" s="58"/>
      <c r="AH57" s="275" t="str">
        <f>IFERROR(IF(AND($S57="",$AB57=""),"",IF($S57="",IF(AC57=0,"-",AC57),IF(U57=0,"0",$M57*IF($Q57="",1,$Q57)*U57*IF(AA57="",Z57,AA57)))),"-")</f>
        <v/>
      </c>
      <c r="AI57" s="275" t="str">
        <f>IFERROR(IF(AND($S57="",$AB57=""),"",IF($S57="",IF(AD57=0,"-",AD57),IF(V57=0,"0",$M57*IF($Q57="",1,$Q57)*V57))),"-")</f>
        <v/>
      </c>
      <c r="AJ57" s="275" t="str">
        <f>IFERROR(IF(AND($S57="",$AB57=""),"",IF($S57="",IF(AE57=0,"-",AE57),IF(W57=0,"0",$M57*IF($Q57="",1,$Q57)*W57))),"-")</f>
        <v/>
      </c>
      <c r="AK57" s="275" t="str">
        <f>IFERROR(IF(AND($S57="",$AB57=""),"",IF($S57="",IF(AF57="",SUM(AH57:AJ57),IF(AF57=0,"0",AF57)),IF($X57="",SUM($AH57:$AJ57),IF($X57=0,"0",$M57*IF($Q57="",1,$Q57)*$X57)))),"-")</f>
        <v/>
      </c>
      <c r="AL57" s="275" t="str">
        <f>IFERROR(IF(AND($S57="",$AB57=""),"",IF($S57="",IF(AG57=0,"",AG57),IF(Y57=0,"0",$M57*IF($Q57="",1,$Q57)*Y57*IF(AA57="",Z57,AA57)))),"-")</f>
        <v/>
      </c>
      <c r="AM57" s="58"/>
      <c r="AN57" s="225"/>
      <c r="AO57" s="226"/>
      <c r="AP57" s="652"/>
    </row>
    <row r="58" spans="1:61">
      <c r="B58" s="56" t="s">
        <v>108</v>
      </c>
      <c r="C58" s="56">
        <v>1</v>
      </c>
      <c r="D58" s="2060"/>
      <c r="E58" s="2062"/>
      <c r="F58" s="2060"/>
      <c r="G58" s="2061"/>
      <c r="H58" s="2062"/>
      <c r="I58" s="2060"/>
      <c r="J58" s="2061"/>
      <c r="K58" s="2062"/>
      <c r="L58" s="56"/>
      <c r="M58" s="57"/>
      <c r="N58" s="58"/>
      <c r="O58" s="58"/>
      <c r="P58" s="58"/>
      <c r="Q58" s="221" t="str">
        <f t="array" ref="Q58">IFERROR(INDEX('Conversion factors_2'!$B$10:$CY$111,MATCH(O58,'Conversion factors_2'!$B$10:$B$111,FALSE),HLOOKUP(P58,'Conversion factors_2'!$B$8:$CY$9,2,FALSE)),"")</f>
        <v/>
      </c>
      <c r="R58" s="58"/>
      <c r="S58" s="58"/>
      <c r="T58" s="221" t="str">
        <f>IFERROR(CONCATENATE("tCO2e/",VLOOKUP($S58,'Emission factors'!$D:$J,7,FALSE)),"")</f>
        <v/>
      </c>
      <c r="U58" s="221" t="str">
        <f>IFERROR(VLOOKUP($S58,'Emission factors'!$D:$X,10,FALSE),"")</f>
        <v/>
      </c>
      <c r="V58" s="221" t="str">
        <f>IFERROR(VLOOKUP($S58,'Emission factors'!$D:$X,12,FALSE),"")</f>
        <v/>
      </c>
      <c r="W58" s="221" t="str">
        <f>IFERROR(VLOOKUP($S58,'Emission factors'!$D:$X,14,FALSE),"")</f>
        <v/>
      </c>
      <c r="X58" s="221" t="str">
        <f>IFERROR(VLOOKUP($S58,'Emission factors'!$D:$X,16,FALSE),"")</f>
        <v/>
      </c>
      <c r="Y58" s="221" t="str">
        <f>IFERROR(VLOOKUP($S58,'Emission factors'!$D:$X,18,FALSE),"")</f>
        <v/>
      </c>
      <c r="Z58" s="221" t="str">
        <f>IF(M58="","",1)</f>
        <v/>
      </c>
      <c r="AA58" s="58"/>
      <c r="AB58" s="58"/>
      <c r="AC58" s="58"/>
      <c r="AD58" s="58"/>
      <c r="AE58" s="58"/>
      <c r="AF58" s="58"/>
      <c r="AG58" s="58"/>
      <c r="AH58" s="275" t="str">
        <f>IFERROR(IF(AND($S58="",$AB58=""),"",IF($S58="",IF(AC58=0,"-",AC58),IF(U58=0,"0",$M58*IF($Q58="",1,$Q58)*U58*IF(AA58="",Z58,AA58)))),"-")</f>
        <v/>
      </c>
      <c r="AI58" s="275" t="str">
        <f>IFERROR(IF(AND($S58="",$AB58=""),"",IF($S58="",IF(AD58=0,"-",AD58),IF(V58=0,"0",$M58*IF($Q58="",1,$Q58)*V58))),"-")</f>
        <v/>
      </c>
      <c r="AJ58" s="275" t="str">
        <f>IFERROR(IF(AND($S58="",$AB58=""),"",IF($S58="",IF(AE58=0,"-",AE58),IF(W58=0,"0",$M58*IF($Q58="",1,$Q58)*W58))),"-")</f>
        <v/>
      </c>
      <c r="AK58" s="275" t="str">
        <f>IFERROR(IF(AND($S58="",$AB58=""),"",IF($S58="",IF(AF58="",SUM(AH58:AJ58),IF(AF58=0,"0",AF58)),IF($X58="",SUM($AH58:$AJ58),IF($X58=0,"0",$M58*IF($Q58="",1,$Q58)*$X58)))),"-")</f>
        <v/>
      </c>
      <c r="AL58" s="275" t="str">
        <f>IFERROR(IF(AND($S58="",$AB58=""),"",IF($S58="",IF(AG58=0,"",AG58),IF(Y58=0,"0",$M58*IF($Q58="",1,$Q58)*Y58*IF(AA58="",Z58,AA58)))),"-")</f>
        <v/>
      </c>
      <c r="AM58" s="58"/>
      <c r="AN58" s="255"/>
      <c r="AO58" s="226"/>
      <c r="AP58" s="652"/>
    </row>
    <row r="59" spans="1:61">
      <c r="B59" s="73" t="s">
        <v>110</v>
      </c>
      <c r="C59" s="60">
        <v>2</v>
      </c>
      <c r="D59" s="61" t="s">
        <v>111</v>
      </c>
      <c r="E59" s="105"/>
      <c r="F59" s="105"/>
      <c r="G59" s="105"/>
      <c r="H59" s="105"/>
      <c r="I59" s="105"/>
      <c r="J59" s="102"/>
      <c r="K59" s="102"/>
      <c r="L59" s="74" t="s">
        <v>175</v>
      </c>
      <c r="M59" s="64"/>
      <c r="N59" s="64"/>
      <c r="O59" s="64"/>
      <c r="P59" s="64"/>
      <c r="Q59" s="64"/>
      <c r="R59" s="64"/>
      <c r="S59" s="64"/>
      <c r="T59" s="64"/>
      <c r="U59" s="64"/>
      <c r="V59" s="64"/>
      <c r="W59" s="64"/>
      <c r="X59" s="64"/>
      <c r="Y59" s="64"/>
      <c r="Z59" s="64"/>
      <c r="AA59" s="64"/>
      <c r="AB59" s="64"/>
      <c r="AC59" s="64"/>
      <c r="AD59" s="64"/>
      <c r="AE59" s="64"/>
      <c r="AF59" s="64"/>
      <c r="AG59" s="64"/>
      <c r="AH59" s="276"/>
      <c r="AI59" s="276"/>
      <c r="AJ59" s="276"/>
      <c r="AK59" s="276"/>
      <c r="AL59" s="276"/>
      <c r="AM59" s="54"/>
      <c r="AN59" s="657" t="s">
        <v>2677</v>
      </c>
      <c r="AO59" s="250"/>
      <c r="AP59" s="653"/>
    </row>
    <row r="60" spans="1:61">
      <c r="B60" s="56" t="s">
        <v>110</v>
      </c>
      <c r="C60" s="56">
        <v>2</v>
      </c>
      <c r="D60" s="2060"/>
      <c r="E60" s="2062"/>
      <c r="F60" s="2060"/>
      <c r="G60" s="2061"/>
      <c r="H60" s="2062"/>
      <c r="I60" s="2060"/>
      <c r="J60" s="2061"/>
      <c r="K60" s="2062"/>
      <c r="L60" s="56"/>
      <c r="M60" s="57"/>
      <c r="N60" s="58"/>
      <c r="O60" s="58"/>
      <c r="P60" s="58"/>
      <c r="Q60" s="221" t="str">
        <f t="array" ref="Q60">IFERROR(INDEX('Conversion factors_2'!$B$10:$CY$111,MATCH(O60,'Conversion factors_2'!$B$10:$B$111,FALSE),HLOOKUP(P60,'Conversion factors_2'!$B$8:$CY$9,2,FALSE)),"")</f>
        <v/>
      </c>
      <c r="R60" s="58"/>
      <c r="S60" s="58"/>
      <c r="T60" s="221" t="str">
        <f>IFERROR(CONCATENATE("tCO2e/",VLOOKUP($S60,'Emission factors'!$D:$J,7,FALSE)),"")</f>
        <v/>
      </c>
      <c r="U60" s="221" t="str">
        <f>IFERROR(VLOOKUP($S60,'Emission factors'!$D:$X,10,FALSE),"")</f>
        <v/>
      </c>
      <c r="V60" s="221" t="str">
        <f>IFERROR(VLOOKUP($S60,'Emission factors'!$D:$X,12,FALSE),"")</f>
        <v/>
      </c>
      <c r="W60" s="221" t="str">
        <f>IFERROR(VLOOKUP($S60,'Emission factors'!$D:$X,14,FALSE),"")</f>
        <v/>
      </c>
      <c r="X60" s="221" t="str">
        <f>IFERROR(VLOOKUP($S60,'Emission factors'!$D:$X,16,FALSE),"")</f>
        <v/>
      </c>
      <c r="Y60" s="221" t="str">
        <f>IFERROR(VLOOKUP($S60,'Emission factors'!$D:$X,18,FALSE),"")</f>
        <v/>
      </c>
      <c r="Z60" s="221" t="str">
        <f>IF(M60="","",1)</f>
        <v/>
      </c>
      <c r="AA60" s="58"/>
      <c r="AB60" s="58"/>
      <c r="AC60" s="58"/>
      <c r="AD60" s="58"/>
      <c r="AE60" s="58"/>
      <c r="AF60" s="58"/>
      <c r="AG60" s="58"/>
      <c r="AH60" s="275" t="str">
        <f>IFERROR(IF(AND($S60="",$AB60=""),"",IF($S60="",IF(AC60=0,"-",AC60),IF(U60=0,"0",$M60*IF($Q60="",1,$Q60)*U60*IF(AA60="",Z60,AA60)))),"-")</f>
        <v/>
      </c>
      <c r="AI60" s="275" t="str">
        <f>IFERROR(IF(AND($S60="",$AB60=""),"",IF($S60="",IF(AD60=0,"-",AD60),IF(V60=0,"0",$M60*IF($Q60="",1,$Q60)*V60))),"-")</f>
        <v/>
      </c>
      <c r="AJ60" s="275" t="str">
        <f>IFERROR(IF(AND($S60="",$AB60=""),"",IF($S60="",IF(AE60=0,"-",AE60),IF(W60=0,"0",$M60*IF($Q60="",1,$Q60)*W60))),"-")</f>
        <v/>
      </c>
      <c r="AK60" s="275" t="str">
        <f>IFERROR(IF(AND($S60="",$AB60=""),"",IF($S60="",IF(AF60="",SUM(AH60:AJ60),IF(AF60=0,"0",AF60)),IF($X60="",SUM($AH60:$AJ60),IF($X60=0,"0",$M60*IF($Q60="",1,$Q60)*$X60)))),"-")</f>
        <v/>
      </c>
      <c r="AL60" s="275" t="str">
        <f>IFERROR(IF(AND($S60="",$AB60=""),"",IF($S60="",IF(AG60=0,"",AG60),IF(Y60=0,"0",$M60*IF($Q60="",1,$Q60)*Y60*IF(AA60="",Z60,AA60)))),"-")</f>
        <v/>
      </c>
      <c r="AM60" s="58"/>
      <c r="AN60" s="225"/>
      <c r="AO60" s="226"/>
      <c r="AP60" s="652"/>
    </row>
    <row r="61" spans="1:61">
      <c r="B61" s="56" t="s">
        <v>110</v>
      </c>
      <c r="C61" s="56">
        <v>2</v>
      </c>
      <c r="D61" s="2060"/>
      <c r="E61" s="2062"/>
      <c r="F61" s="2060"/>
      <c r="G61" s="2061"/>
      <c r="H61" s="2062"/>
      <c r="I61" s="2060"/>
      <c r="J61" s="2061"/>
      <c r="K61" s="2062"/>
      <c r="L61" s="56"/>
      <c r="M61" s="57"/>
      <c r="N61" s="58"/>
      <c r="O61" s="58"/>
      <c r="P61" s="58"/>
      <c r="Q61" s="221" t="str">
        <f t="array" ref="Q61">IFERROR(INDEX('Conversion factors_2'!$B$10:$CY$111,MATCH(O61,'Conversion factors_2'!$B$10:$B$111,FALSE),HLOOKUP(P61,'Conversion factors_2'!$B$8:$CY$9,2,FALSE)),"")</f>
        <v/>
      </c>
      <c r="R61" s="58"/>
      <c r="S61" s="58"/>
      <c r="T61" s="221" t="str">
        <f>IFERROR(CONCATENATE("tCO2e/",VLOOKUP($S61,'Emission factors'!$D:$J,7,FALSE)),"")</f>
        <v/>
      </c>
      <c r="U61" s="221" t="str">
        <f>IFERROR(VLOOKUP($S61,'Emission factors'!$D:$X,10,FALSE),"")</f>
        <v/>
      </c>
      <c r="V61" s="221" t="str">
        <f>IFERROR(VLOOKUP($S61,'Emission factors'!$D:$X,12,FALSE),"")</f>
        <v/>
      </c>
      <c r="W61" s="221" t="str">
        <f>IFERROR(VLOOKUP($S61,'Emission factors'!$D:$X,14,FALSE),"")</f>
        <v/>
      </c>
      <c r="X61" s="221" t="str">
        <f>IFERROR(VLOOKUP($S61,'Emission factors'!$D:$X,16,FALSE),"")</f>
        <v/>
      </c>
      <c r="Y61" s="221" t="str">
        <f>IFERROR(VLOOKUP($S61,'Emission factors'!$D:$X,18,FALSE),"")</f>
        <v/>
      </c>
      <c r="Z61" s="221" t="str">
        <f>IF(M61="","",1)</f>
        <v/>
      </c>
      <c r="AA61" s="58"/>
      <c r="AB61" s="58"/>
      <c r="AC61" s="58"/>
      <c r="AD61" s="58"/>
      <c r="AE61" s="58"/>
      <c r="AF61" s="58"/>
      <c r="AG61" s="58"/>
      <c r="AH61" s="275" t="str">
        <f>IFERROR(IF(AND($S61="",$AB61=""),"",IF($S61="",IF(AC61=0,"-",AC61),IF(U61=0,"0",$M61*IF($Q61="",1,$Q61)*U61*IF(AA61="",Z61,AA61)))),"-")</f>
        <v/>
      </c>
      <c r="AI61" s="275" t="str">
        <f>IFERROR(IF(AND($S61="",$AB61=""),"",IF($S61="",IF(AD61=0,"-",AD61),IF(V61=0,"0",$M61*IF($Q61="",1,$Q61)*V61))),"-")</f>
        <v/>
      </c>
      <c r="AJ61" s="275" t="str">
        <f>IFERROR(IF(AND($S61="",$AB61=""),"",IF($S61="",IF(AE61=0,"-",AE61),IF(W61=0,"0",$M61*IF($Q61="",1,$Q61)*W61))),"-")</f>
        <v/>
      </c>
      <c r="AK61" s="275" t="str">
        <f>IFERROR(IF(AND($S61="",$AB61=""),"",IF($S61="",IF(AF61="",SUM(AH61:AJ61),IF(AF61=0,"0",AF61)),IF($X61="",SUM($AH61:$AJ61),IF($X61=0,"0",$M61*IF($Q61="",1,$Q61)*$X61)))),"-")</f>
        <v/>
      </c>
      <c r="AL61" s="275" t="str">
        <f>IFERROR(IF(AND($S61="",$AB61=""),"",IF($S61="",IF(AG61=0,"",AG61),IF(Y61=0,"0",$M61*IF($Q61="",1,$Q61)*Y61*IF(AA61="",Z61,AA61)))),"-")</f>
        <v/>
      </c>
      <c r="AM61" s="58"/>
      <c r="AN61" s="255"/>
      <c r="AO61" s="226"/>
      <c r="AP61" s="652"/>
    </row>
    <row r="62" spans="1:61">
      <c r="B62" s="76" t="s">
        <v>112</v>
      </c>
      <c r="C62" s="83">
        <v>3</v>
      </c>
      <c r="D62" s="106" t="s">
        <v>622</v>
      </c>
      <c r="E62" s="112"/>
      <c r="F62" s="112"/>
      <c r="G62" s="112"/>
      <c r="H62" s="112"/>
      <c r="I62" s="106"/>
      <c r="J62" s="112"/>
      <c r="K62" s="112"/>
      <c r="L62" s="69" t="s">
        <v>175</v>
      </c>
      <c r="M62" s="70"/>
      <c r="N62" s="69"/>
      <c r="O62" s="69"/>
      <c r="P62" s="69"/>
      <c r="Q62" s="69"/>
      <c r="R62" s="69"/>
      <c r="S62" s="69"/>
      <c r="T62" s="69"/>
      <c r="U62" s="69"/>
      <c r="V62" s="69"/>
      <c r="W62" s="69"/>
      <c r="X62" s="69"/>
      <c r="Y62" s="69"/>
      <c r="Z62" s="69"/>
      <c r="AA62" s="69"/>
      <c r="AB62" s="69"/>
      <c r="AC62" s="69"/>
      <c r="AD62" s="69"/>
      <c r="AE62" s="69"/>
      <c r="AF62" s="69"/>
      <c r="AG62" s="69"/>
      <c r="AH62" s="277"/>
      <c r="AI62" s="277"/>
      <c r="AJ62" s="277"/>
      <c r="AK62" s="277"/>
      <c r="AL62" s="277"/>
      <c r="AM62" s="69"/>
      <c r="AN62" s="228" t="s">
        <v>2678</v>
      </c>
      <c r="AO62" s="251"/>
      <c r="AP62" s="655"/>
    </row>
    <row r="63" spans="1:61">
      <c r="B63" s="56" t="s">
        <v>112</v>
      </c>
      <c r="C63" s="56">
        <v>3</v>
      </c>
      <c r="D63" s="2060"/>
      <c r="E63" s="2062"/>
      <c r="F63" s="2060"/>
      <c r="G63" s="2061"/>
      <c r="H63" s="2062"/>
      <c r="I63" s="2060"/>
      <c r="J63" s="2061"/>
      <c r="K63" s="2062"/>
      <c r="L63" s="56"/>
      <c r="M63" s="57"/>
      <c r="N63" s="58"/>
      <c r="O63" s="58"/>
      <c r="P63" s="58"/>
      <c r="Q63" s="221" t="str">
        <f t="array" ref="Q63">IFERROR(INDEX('Conversion factors_2'!$B$10:$CY$111,MATCH(O63,'Conversion factors_2'!$B$10:$B$111,FALSE),HLOOKUP(P63,'Conversion factors_2'!$B$8:$CY$9,2,FALSE)),"")</f>
        <v/>
      </c>
      <c r="R63" s="58"/>
      <c r="S63" s="58"/>
      <c r="T63" s="221" t="str">
        <f>IFERROR(CONCATENATE("tCO2e/",VLOOKUP($S63,'Emission factors'!$D:$J,7,FALSE)),"")</f>
        <v/>
      </c>
      <c r="U63" s="221" t="str">
        <f>IFERROR(VLOOKUP($S63,'Emission factors'!$D:$X,10,FALSE),"")</f>
        <v/>
      </c>
      <c r="V63" s="221" t="str">
        <f>IFERROR(VLOOKUP($S63,'Emission factors'!$D:$X,12,FALSE),"")</f>
        <v/>
      </c>
      <c r="W63" s="221" t="str">
        <f>IFERROR(VLOOKUP($S63,'Emission factors'!$D:$X,14,FALSE),"")</f>
        <v/>
      </c>
      <c r="X63" s="221" t="str">
        <f>IFERROR(VLOOKUP($S63,'Emission factors'!$D:$X,16,FALSE),"")</f>
        <v/>
      </c>
      <c r="Y63" s="221" t="str">
        <f>IFERROR(VLOOKUP($S63,'Emission factors'!$D:$X,18,FALSE),"")</f>
        <v/>
      </c>
      <c r="Z63" s="221" t="str">
        <f>IF(M63="","",1)</f>
        <v/>
      </c>
      <c r="AA63" s="58"/>
      <c r="AB63" s="58"/>
      <c r="AC63" s="58"/>
      <c r="AD63" s="58"/>
      <c r="AE63" s="58"/>
      <c r="AF63" s="58"/>
      <c r="AG63" s="58"/>
      <c r="AH63" s="275" t="str">
        <f>IFERROR(IF(AND($S63="",$AB63=""),"",IF($S63="",IF(AC63=0,"-",AC63),IF(U63=0,"0",$M63*IF($Q63="",1,$Q63)*U63*IF(AA63="",Z63,AA63)))),"-")</f>
        <v/>
      </c>
      <c r="AI63" s="275" t="str">
        <f>IFERROR(IF(AND($S63="",$AB63=""),"",IF($S63="",IF(AD63=0,"-",AD63),IF(V63=0,"0",$M63*IF($Q63="",1,$Q63)*V63))),"-")</f>
        <v/>
      </c>
      <c r="AJ63" s="275" t="str">
        <f>IFERROR(IF(AND($S63="",$AB63=""),"",IF($S63="",IF(AE63=0,"-",AE63),IF(W63=0,"0",$M63*IF($Q63="",1,$Q63)*W63))),"-")</f>
        <v/>
      </c>
      <c r="AK63" s="275" t="str">
        <f>IFERROR(IF(AND($S63="",$AB63=""),"",IF($S63="",IF(AF63="",SUM(AH63:AJ63),IF(AF63=0,"0",AF63)),IF($X63="",SUM($AH63:$AJ63),IF($X63=0,"0",$M63*IF($Q63="",1,$Q63)*$X63)))),"-")</f>
        <v/>
      </c>
      <c r="AL63" s="275" t="str">
        <f>IFERROR(IF(AND($S63="",$AB63=""),"",IF($S63="",IF(AG63=0,"",AG63),IF(Y63=0,"0",$M63*IF($Q63="",1,$Q63)*Y63*IF(AA63="",Z63,AA63)))),"-")</f>
        <v/>
      </c>
      <c r="AM63" s="58"/>
      <c r="AN63" s="225"/>
      <c r="AO63" s="226"/>
      <c r="AP63" s="652"/>
    </row>
    <row r="64" spans="1:61" s="175" customFormat="1" ht="15" customHeight="1">
      <c r="A64" s="34"/>
      <c r="B64" s="110" t="s">
        <v>112</v>
      </c>
      <c r="C64" s="58">
        <v>3</v>
      </c>
      <c r="D64" s="2060"/>
      <c r="E64" s="2062"/>
      <c r="F64" s="2060"/>
      <c r="G64" s="2061"/>
      <c r="H64" s="2062"/>
      <c r="I64" s="2060"/>
      <c r="J64" s="2061"/>
      <c r="K64" s="2062"/>
      <c r="L64" s="56"/>
      <c r="M64" s="57"/>
      <c r="N64" s="58"/>
      <c r="O64" s="58"/>
      <c r="P64" s="58"/>
      <c r="Q64" s="221" t="str">
        <f t="array" ref="Q64">IFERROR(INDEX('Conversion factors_2'!$B$10:$CY$111,MATCH(O64,'Conversion factors_2'!$B$10:$B$111,FALSE),HLOOKUP(P64,'Conversion factors_2'!$B$8:$CY$9,2,FALSE)),"")</f>
        <v/>
      </c>
      <c r="R64" s="58"/>
      <c r="S64" s="58"/>
      <c r="T64" s="221" t="str">
        <f>IFERROR(CONCATENATE("tCO2e/",VLOOKUP($S64,'Emission factors'!$D:$J,7,FALSE)),"")</f>
        <v/>
      </c>
      <c r="U64" s="221" t="str">
        <f>IFERROR(VLOOKUP($S64,'Emission factors'!$D:$X,10,FALSE),"")</f>
        <v/>
      </c>
      <c r="V64" s="221" t="str">
        <f>IFERROR(VLOOKUP($S64,'Emission factors'!$D:$X,12,FALSE),"")</f>
        <v/>
      </c>
      <c r="W64" s="221" t="str">
        <f>IFERROR(VLOOKUP($S64,'Emission factors'!$D:$X,14,FALSE),"")</f>
        <v/>
      </c>
      <c r="X64" s="221" t="str">
        <f>IFERROR(VLOOKUP($S64,'Emission factors'!$D:$X,16,FALSE),"")</f>
        <v/>
      </c>
      <c r="Y64" s="221" t="str">
        <f>IFERROR(VLOOKUP($S64,'Emission factors'!$D:$X,18,FALSE),"")</f>
        <v/>
      </c>
      <c r="Z64" s="221" t="str">
        <f>IF(M64="","",1)</f>
        <v/>
      </c>
      <c r="AA64" s="58"/>
      <c r="AB64" s="56"/>
      <c r="AC64" s="58"/>
      <c r="AD64" s="58"/>
      <c r="AE64" s="58"/>
      <c r="AF64" s="58"/>
      <c r="AG64" s="58"/>
      <c r="AH64" s="275" t="str">
        <f>IFERROR(IF(AND($S64="",$AB64=""),"",IF($S64="",IF(AC64=0,"-",AC64),IF(U64=0,"0",$M64*IF($Q64="",1,$Q64)*U64*IF(AA64="",Z64,AA64)))),"-")</f>
        <v/>
      </c>
      <c r="AI64" s="472" t="str">
        <f>IFERROR(IF(AND($S64="",$AB64=""),"",IF($S64="",IF(AD64=0,"-",AD64),IF(V64=0,"0",$M64*IF($Q64="",1,$Q64)*V64))),"-")</f>
        <v/>
      </c>
      <c r="AJ64" s="472" t="str">
        <f>IFERROR(IF(AND($S64="",$AB64=""),"",IF($S64="",IF(AE64=0,"-",AE64),IF(W64=0,"0",$M64*IF($Q64="",1,$Q64)*W64))),"-")</f>
        <v/>
      </c>
      <c r="AK64" s="472" t="str">
        <f>IFERROR(IF(AND($S64="",$AB64=""),"",IF($S64="",IF(AF64="",SUM(AH64:AJ64),IF(AF64=0,"0",AF64)),IF($X64="",SUM($AH64:$AJ64),IF($X64=0,"0",$M64*IF($Q64="",1,$Q64)*$X64)))),"-")</f>
        <v/>
      </c>
      <c r="AL64" s="275" t="str">
        <f>IFERROR(IF(AND($S64="",$AB64=""),"",IF($S64="",IF(AG64=0,"",AG64),IF(Y64=0,"0",$M64*IF($Q64="",1,$Q64)*Y64*IF(AA64="",Z64,AA64)))),"-")</f>
        <v/>
      </c>
      <c r="AM64" s="58"/>
      <c r="AN64" s="255"/>
      <c r="AO64" s="226"/>
      <c r="AP64" s="652"/>
      <c r="AQ64" s="26"/>
      <c r="AR64" s="26"/>
      <c r="AS64" s="26"/>
      <c r="AT64" s="26"/>
      <c r="AU64" s="26"/>
      <c r="AV64" s="26"/>
      <c r="AW64" s="26"/>
      <c r="AX64" s="26"/>
      <c r="AY64" s="26"/>
      <c r="AZ64" s="26"/>
      <c r="BA64" s="26"/>
      <c r="BB64" s="26"/>
      <c r="BC64" s="26"/>
      <c r="BD64" s="26"/>
      <c r="BE64" s="26"/>
      <c r="BF64" s="26"/>
      <c r="BG64" s="26"/>
      <c r="BH64" s="26"/>
      <c r="BI64" s="26"/>
    </row>
    <row r="65" spans="1:61" s="26" customFormat="1">
      <c r="A65" s="174"/>
      <c r="B65" s="11"/>
      <c r="C65" s="11"/>
      <c r="D65" s="8"/>
      <c r="E65" s="8"/>
      <c r="F65" s="8"/>
      <c r="G65" s="8"/>
      <c r="H65" s="8"/>
      <c r="I65" s="12"/>
      <c r="J65" s="12"/>
      <c r="K65" s="12"/>
      <c r="L65" s="9"/>
      <c r="M65" s="10"/>
      <c r="N65" s="7"/>
      <c r="O65" s="7"/>
      <c r="P65" s="7"/>
      <c r="Q65" s="7"/>
      <c r="R65" s="7"/>
      <c r="S65" s="7"/>
      <c r="T65" s="7"/>
      <c r="U65" s="7"/>
      <c r="V65" s="7"/>
      <c r="W65" s="7"/>
      <c r="X65" s="7"/>
      <c r="Y65" s="7"/>
      <c r="Z65" s="7"/>
      <c r="AA65" s="7"/>
      <c r="AB65" s="7"/>
      <c r="AC65" s="7"/>
      <c r="AD65" s="7"/>
      <c r="AE65" s="7"/>
      <c r="AF65" s="7"/>
      <c r="AG65" s="7"/>
      <c r="AH65" s="10"/>
      <c r="AI65" s="10"/>
      <c r="AJ65" s="10"/>
      <c r="AK65" s="10"/>
      <c r="AL65" s="10"/>
      <c r="AM65" s="9"/>
      <c r="AN65" s="256"/>
      <c r="AO65" s="256"/>
      <c r="AP65" s="252"/>
    </row>
    <row r="66" spans="1:61" s="21" customFormat="1" ht="18">
      <c r="B66" s="465" t="s">
        <v>227</v>
      </c>
      <c r="C66" s="635"/>
      <c r="D66" s="18"/>
      <c r="E66" s="18"/>
      <c r="F66" s="18"/>
      <c r="G66" s="18"/>
      <c r="H66" s="18"/>
      <c r="I66" s="18"/>
      <c r="J66" s="19"/>
      <c r="K66" s="635"/>
      <c r="L66" s="635"/>
      <c r="M66" s="635"/>
      <c r="N66" s="635"/>
      <c r="O66" s="635"/>
      <c r="P66" s="635"/>
      <c r="Q66" s="27"/>
      <c r="R66" s="27"/>
      <c r="S66" s="27"/>
      <c r="T66" s="27"/>
      <c r="U66" s="27"/>
      <c r="V66" s="27"/>
      <c r="W66" s="27"/>
      <c r="X66" s="27"/>
      <c r="Y66" s="27"/>
      <c r="Z66" s="27"/>
      <c r="AA66" s="27"/>
      <c r="AB66" s="27"/>
      <c r="AC66" s="27"/>
      <c r="AD66" s="27"/>
      <c r="AE66" s="27"/>
      <c r="AF66" s="28"/>
      <c r="AG66" s="274"/>
      <c r="AH66" s="28"/>
      <c r="AI66" s="28"/>
      <c r="AJ66" s="28"/>
      <c r="AK66" s="19"/>
      <c r="AL66" s="19"/>
      <c r="AM66" s="254"/>
      <c r="AN66" s="254"/>
    </row>
    <row r="67" spans="1:61" s="26" customFormat="1">
      <c r="A67" s="174"/>
      <c r="B67" s="11"/>
      <c r="C67" s="11"/>
      <c r="D67" s="8"/>
      <c r="E67" s="8"/>
      <c r="F67" s="8"/>
      <c r="G67" s="8"/>
      <c r="H67" s="8"/>
      <c r="I67" s="12"/>
      <c r="J67" s="12"/>
      <c r="K67" s="12"/>
      <c r="L67" s="9"/>
      <c r="M67" s="10"/>
      <c r="N67" s="7"/>
      <c r="O67" s="7"/>
      <c r="P67" s="7"/>
      <c r="Q67" s="7"/>
      <c r="R67" s="7"/>
      <c r="S67" s="7"/>
      <c r="T67" s="7"/>
      <c r="U67" s="7"/>
      <c r="V67" s="7"/>
      <c r="W67" s="7"/>
      <c r="X67" s="7"/>
      <c r="Y67" s="7"/>
      <c r="Z67" s="7"/>
      <c r="AA67" s="7"/>
      <c r="AB67" s="7"/>
      <c r="AC67" s="7"/>
      <c r="AD67" s="7"/>
      <c r="AE67" s="7"/>
      <c r="AF67" s="7"/>
      <c r="AG67" s="7"/>
      <c r="AH67" s="10"/>
      <c r="AI67" s="10"/>
      <c r="AJ67" s="10"/>
      <c r="AK67" s="10"/>
      <c r="AL67" s="10"/>
      <c r="AM67" s="9"/>
      <c r="AN67" s="256"/>
      <c r="AO67" s="256"/>
      <c r="AP67" s="252"/>
    </row>
    <row r="68" spans="1:61" s="5" customFormat="1" ht="16" customHeight="1">
      <c r="A68" s="39"/>
      <c r="B68" s="2065" t="s">
        <v>37</v>
      </c>
      <c r="C68" s="2065" t="s">
        <v>38</v>
      </c>
      <c r="D68" s="2095" t="s">
        <v>242</v>
      </c>
      <c r="E68" s="2106"/>
      <c r="F68" s="2106"/>
      <c r="G68" s="2106"/>
      <c r="H68" s="2106"/>
      <c r="I68" s="2106"/>
      <c r="J68" s="2106"/>
      <c r="K68" s="2096"/>
      <c r="L68" s="2066" t="s">
        <v>297</v>
      </c>
      <c r="M68" s="2095" t="s">
        <v>169</v>
      </c>
      <c r="N68" s="2096"/>
      <c r="O68" s="2098" t="s">
        <v>841</v>
      </c>
      <c r="P68" s="2099"/>
      <c r="Q68" s="2100"/>
      <c r="R68" s="2066" t="s">
        <v>302</v>
      </c>
      <c r="S68" s="2087" t="s">
        <v>782</v>
      </c>
      <c r="T68" s="2063" t="s">
        <v>782</v>
      </c>
      <c r="U68" s="2063"/>
      <c r="V68" s="2063"/>
      <c r="W68" s="2063"/>
      <c r="X68" s="2063"/>
      <c r="Y68" s="2064"/>
      <c r="Z68" s="2087" t="s">
        <v>1538</v>
      </c>
      <c r="AA68" s="2089" t="s">
        <v>1539</v>
      </c>
      <c r="AB68" s="2093" t="s">
        <v>928</v>
      </c>
      <c r="AC68" s="2083" t="s">
        <v>934</v>
      </c>
      <c r="AD68" s="2083"/>
      <c r="AE68" s="2083"/>
      <c r="AF68" s="2083"/>
      <c r="AG68" s="2083"/>
      <c r="AH68" s="2109" t="s">
        <v>289</v>
      </c>
      <c r="AI68" s="2110"/>
      <c r="AJ68" s="2110"/>
      <c r="AK68" s="2110"/>
      <c r="AL68" s="2111"/>
      <c r="AM68" s="895" t="s">
        <v>41</v>
      </c>
      <c r="AN68" s="2075" t="s">
        <v>937</v>
      </c>
      <c r="AO68" s="2112" t="s">
        <v>723</v>
      </c>
      <c r="AP68" s="2107" t="s">
        <v>826</v>
      </c>
      <c r="AQ68" s="14"/>
      <c r="AR68" s="14"/>
      <c r="AS68" s="14"/>
      <c r="AT68" s="14"/>
      <c r="AU68" s="14"/>
      <c r="AV68" s="14"/>
      <c r="AW68" s="14"/>
      <c r="AX68" s="14"/>
      <c r="AY68" s="14"/>
      <c r="AZ68" s="14"/>
      <c r="BA68" s="14"/>
      <c r="BB68" s="14"/>
      <c r="BC68" s="14"/>
      <c r="BD68" s="14"/>
      <c r="BE68" s="14"/>
      <c r="BF68" s="14"/>
      <c r="BG68" s="14"/>
      <c r="BH68" s="14"/>
      <c r="BI68" s="14"/>
    </row>
    <row r="69" spans="1:61" s="5" customFormat="1" ht="17">
      <c r="A69" s="39"/>
      <c r="B69" s="2065"/>
      <c r="C69" s="2065"/>
      <c r="D69" s="2095" t="s">
        <v>254</v>
      </c>
      <c r="E69" s="2096"/>
      <c r="F69" s="2095" t="s">
        <v>243</v>
      </c>
      <c r="G69" s="2106"/>
      <c r="H69" s="2096"/>
      <c r="I69" s="2095" t="s">
        <v>241</v>
      </c>
      <c r="J69" s="2106"/>
      <c r="K69" s="2096"/>
      <c r="L69" s="2065"/>
      <c r="M69" s="775" t="s">
        <v>170</v>
      </c>
      <c r="N69" s="775" t="s">
        <v>171</v>
      </c>
      <c r="O69" s="776" t="s">
        <v>813</v>
      </c>
      <c r="P69" s="776" t="s">
        <v>814</v>
      </c>
      <c r="Q69" s="776" t="s">
        <v>927</v>
      </c>
      <c r="R69" s="2065"/>
      <c r="S69" s="2088"/>
      <c r="T69" s="778" t="s">
        <v>171</v>
      </c>
      <c r="U69" s="774" t="s">
        <v>929</v>
      </c>
      <c r="V69" s="774" t="s">
        <v>930</v>
      </c>
      <c r="W69" s="774" t="s">
        <v>931</v>
      </c>
      <c r="X69" s="774" t="s">
        <v>932</v>
      </c>
      <c r="Y69" s="774" t="s">
        <v>933</v>
      </c>
      <c r="Z69" s="2088" t="s">
        <v>1023</v>
      </c>
      <c r="AA69" s="2090"/>
      <c r="AB69" s="2094"/>
      <c r="AC69" s="774" t="s">
        <v>929</v>
      </c>
      <c r="AD69" s="774" t="s">
        <v>930</v>
      </c>
      <c r="AE69" s="774" t="s">
        <v>931</v>
      </c>
      <c r="AF69" s="774" t="s">
        <v>932</v>
      </c>
      <c r="AG69" s="774" t="s">
        <v>933</v>
      </c>
      <c r="AH69" s="777" t="s">
        <v>290</v>
      </c>
      <c r="AI69" s="777" t="s">
        <v>291</v>
      </c>
      <c r="AJ69" s="777" t="s">
        <v>292</v>
      </c>
      <c r="AK69" s="777" t="s">
        <v>293</v>
      </c>
      <c r="AL69" s="777" t="s">
        <v>294</v>
      </c>
      <c r="AM69" s="775" t="s">
        <v>44</v>
      </c>
      <c r="AN69" s="2075"/>
      <c r="AO69" s="2113"/>
      <c r="AP69" s="2108"/>
      <c r="AQ69" s="14"/>
      <c r="AR69" s="14"/>
      <c r="AS69" s="14"/>
      <c r="AT69" s="14"/>
      <c r="AU69" s="14"/>
      <c r="AV69" s="14"/>
      <c r="AW69" s="14"/>
      <c r="AX69" s="14"/>
      <c r="AY69" s="14"/>
      <c r="AZ69" s="14"/>
      <c r="BA69" s="14"/>
      <c r="BB69" s="14"/>
      <c r="BC69" s="14"/>
      <c r="BD69" s="14"/>
      <c r="BE69" s="14"/>
      <c r="BF69" s="14"/>
      <c r="BG69" s="14"/>
      <c r="BH69" s="14"/>
      <c r="BI69" s="14"/>
    </row>
    <row r="70" spans="1:61">
      <c r="B70" s="84" t="s">
        <v>115</v>
      </c>
      <c r="C70" s="52">
        <v>1</v>
      </c>
      <c r="D70" s="53" t="s">
        <v>116</v>
      </c>
      <c r="E70" s="102"/>
      <c r="F70" s="102"/>
      <c r="G70" s="102"/>
      <c r="H70" s="102"/>
      <c r="I70" s="102"/>
      <c r="J70" s="102"/>
      <c r="K70" s="102"/>
      <c r="L70" s="85" t="s">
        <v>175</v>
      </c>
      <c r="M70" s="103"/>
      <c r="N70" s="104"/>
      <c r="O70" s="104"/>
      <c r="P70" s="104"/>
      <c r="Q70" s="104"/>
      <c r="R70" s="54"/>
      <c r="S70" s="104"/>
      <c r="T70" s="104"/>
      <c r="U70" s="104"/>
      <c r="V70" s="104"/>
      <c r="W70" s="104"/>
      <c r="X70" s="104"/>
      <c r="Y70" s="104"/>
      <c r="Z70" s="54"/>
      <c r="AA70" s="54"/>
      <c r="AB70" s="104"/>
      <c r="AC70" s="104"/>
      <c r="AD70" s="104"/>
      <c r="AE70" s="104"/>
      <c r="AF70" s="104"/>
      <c r="AG70" s="104"/>
      <c r="AH70" s="281"/>
      <c r="AI70" s="281"/>
      <c r="AJ70" s="281"/>
      <c r="AK70" s="281"/>
      <c r="AL70" s="281"/>
      <c r="AM70" s="54"/>
      <c r="AN70" s="657" t="s">
        <v>2674</v>
      </c>
      <c r="AO70" s="871"/>
      <c r="AP70" s="658"/>
    </row>
    <row r="71" spans="1:61">
      <c r="B71" s="56" t="s">
        <v>115</v>
      </c>
      <c r="C71" s="56">
        <v>1</v>
      </c>
      <c r="D71" s="2060"/>
      <c r="E71" s="2062"/>
      <c r="F71" s="2060"/>
      <c r="G71" s="2061"/>
      <c r="H71" s="2062"/>
      <c r="I71" s="2060"/>
      <c r="J71" s="2061"/>
      <c r="K71" s="2062"/>
      <c r="L71" s="56"/>
      <c r="M71" s="57"/>
      <c r="N71" s="58"/>
      <c r="O71" s="58"/>
      <c r="P71" s="58"/>
      <c r="Q71" s="221" t="str">
        <f t="array" ref="Q71">IFERROR(INDEX('Conversion factors_2'!$B$10:$CY$111,MATCH(O71,'Conversion factors_2'!$B$10:$B$111,FALSE),HLOOKUP(P71,'Conversion factors_2'!$B$8:$CY$9,2,FALSE)),"")</f>
        <v/>
      </c>
      <c r="R71" s="58"/>
      <c r="S71" s="58"/>
      <c r="T71" s="221" t="str">
        <f>IFERROR(CONCATENATE("tCO2e/",VLOOKUP($S71,'Emission factors'!$D:$J,7,FALSE)),"")</f>
        <v/>
      </c>
      <c r="U71" s="221" t="str">
        <f>IFERROR(VLOOKUP($S71,'Emission factors'!$D:$X,10,FALSE),"")</f>
        <v/>
      </c>
      <c r="V71" s="221" t="str">
        <f>IFERROR(VLOOKUP($S71,'Emission factors'!$D:$X,12,FALSE),"")</f>
        <v/>
      </c>
      <c r="W71" s="221" t="str">
        <f>IFERROR(VLOOKUP($S71,'Emission factors'!$D:$X,14,FALSE),"")</f>
        <v/>
      </c>
      <c r="X71" s="221" t="str">
        <f>IFERROR(VLOOKUP($S71,'Emission factors'!$D:$X,16,FALSE),"")</f>
        <v/>
      </c>
      <c r="Y71" s="221" t="str">
        <f>IFERROR(VLOOKUP($S71,'Emission factors'!$D:$X,18,FALSE),"")</f>
        <v/>
      </c>
      <c r="Z71" s="221" t="str">
        <f>IF(M71="","",1)</f>
        <v/>
      </c>
      <c r="AA71" s="58"/>
      <c r="AB71" s="58"/>
      <c r="AC71" s="58"/>
      <c r="AD71" s="58"/>
      <c r="AE71" s="58"/>
      <c r="AF71" s="58"/>
      <c r="AG71" s="58"/>
      <c r="AH71" s="275" t="str">
        <f>IFERROR(IF(AND($S71="",$AB71=""),"",IF($S71="",IF(AC71=0,"-",AC71),IF(U71=0,"0",$M71*IF($Q71="",1,$Q71)*U71*IF(AA71="",Z71,AA71)))),"-")</f>
        <v/>
      </c>
      <c r="AI71" s="275" t="str">
        <f>IFERROR(IF(AND($S71="",$AB71=""),"",IF($S71="",IF(AD71=0,"-",AD71),IF(V71=0,"0",$M71*IF($Q71="",1,$Q71)*V71))),"-")</f>
        <v/>
      </c>
      <c r="AJ71" s="275" t="str">
        <f>IFERROR(IF(AND($S71="",$AB71=""),"",IF($S71="",IF(AE71=0,"-",AE71),IF(W71=0,"0",$M71*IF($Q71="",1,$Q71)*W71))),"-")</f>
        <v/>
      </c>
      <c r="AK71" s="275" t="str">
        <f>IFERROR(IF(AND($S71="",$AB71=""),"",IF($S71="",IF(AF71="",SUM(AH71:AJ71),IF(AF71=0,"0",AF71)),IF($X71="",SUM($AH71:$AJ71),IF($X71=0,"0",$M71*IF($Q71="",1,$Q71)*$X71)))),"-")</f>
        <v/>
      </c>
      <c r="AL71" s="275" t="str">
        <f>IFERROR(IF(AND($S71="",$AB71=""),"",IF($S71="",IF(AG71=0,"",AG71),IF(Y71=0,"0",$M71*IF($Q71="",1,$Q71)*Y71*IF(AA71="",Z71,AA71)))),"-")</f>
        <v/>
      </c>
      <c r="AM71" s="58"/>
      <c r="AN71" s="225"/>
      <c r="AO71" s="226"/>
      <c r="AP71" s="652"/>
    </row>
    <row r="72" spans="1:61">
      <c r="B72" s="56" t="s">
        <v>115</v>
      </c>
      <c r="C72" s="56">
        <v>1</v>
      </c>
      <c r="D72" s="2060"/>
      <c r="E72" s="2062"/>
      <c r="F72" s="2060"/>
      <c r="G72" s="2061"/>
      <c r="H72" s="2062"/>
      <c r="I72" s="2060"/>
      <c r="J72" s="2061"/>
      <c r="K72" s="2062"/>
      <c r="L72" s="56"/>
      <c r="M72" s="57"/>
      <c r="N72" s="58"/>
      <c r="O72" s="58"/>
      <c r="P72" s="58"/>
      <c r="Q72" s="221" t="str">
        <f t="array" ref="Q72">IFERROR(INDEX('Conversion factors_2'!$B$10:$CY$111,MATCH(O72,'Conversion factors_2'!$B$10:$B$111,FALSE),HLOOKUP(P72,'Conversion factors_2'!$B$8:$CY$9,2,FALSE)),"")</f>
        <v/>
      </c>
      <c r="R72" s="58"/>
      <c r="S72" s="58"/>
      <c r="T72" s="221" t="str">
        <f>IFERROR(CONCATENATE("tCO2e/",VLOOKUP($S72,'Emission factors'!$D:$J,7,FALSE)),"")</f>
        <v/>
      </c>
      <c r="U72" s="221" t="str">
        <f>IFERROR(VLOOKUP($S72,'Emission factors'!$D:$X,10,FALSE),"")</f>
        <v/>
      </c>
      <c r="V72" s="221" t="str">
        <f>IFERROR(VLOOKUP($S72,'Emission factors'!$D:$X,12,FALSE),"")</f>
        <v/>
      </c>
      <c r="W72" s="221" t="str">
        <f>IFERROR(VLOOKUP($S72,'Emission factors'!$D:$X,14,FALSE),"")</f>
        <v/>
      </c>
      <c r="X72" s="221" t="str">
        <f>IFERROR(VLOOKUP($S72,'Emission factors'!$D:$X,16,FALSE),"")</f>
        <v/>
      </c>
      <c r="Y72" s="221" t="str">
        <f>IFERROR(VLOOKUP($S72,'Emission factors'!$D:$X,18,FALSE),"")</f>
        <v/>
      </c>
      <c r="Z72" s="221" t="str">
        <f>IF(M72="","",1)</f>
        <v/>
      </c>
      <c r="AA72" s="58"/>
      <c r="AB72" s="58"/>
      <c r="AC72" s="58"/>
      <c r="AD72" s="58"/>
      <c r="AE72" s="58"/>
      <c r="AF72" s="58"/>
      <c r="AG72" s="58"/>
      <c r="AH72" s="275" t="str">
        <f>IFERROR(IF(AND($S72="",$AB72=""),"",IF($S72="",IF(AC72=0,"-",AC72),IF(U72=0,"0",$M72*IF($Q72="",1,$Q72)*U72*IF(AA72="",Z72,AA72)))),"-")</f>
        <v/>
      </c>
      <c r="AI72" s="275" t="str">
        <f>IFERROR(IF(AND($S72="",$AB72=""),"",IF($S72="",IF(AD72=0,"-",AD72),IF(V72=0,"0",$M72*IF($Q72="",1,$Q72)*V72))),"-")</f>
        <v/>
      </c>
      <c r="AJ72" s="275" t="str">
        <f>IFERROR(IF(AND($S72="",$AB72=""),"",IF($S72="",IF(AE72=0,"-",AE72),IF(W72=0,"0",$M72*IF($Q72="",1,$Q72)*W72))),"-")</f>
        <v/>
      </c>
      <c r="AK72" s="275" t="str">
        <f>IFERROR(IF(AND($S72="",$AB72=""),"",IF($S72="",IF(AF72="",SUM(AH72:AJ72),IF(AF72=0,"0",AF72)),IF($X72="",SUM($AH72:$AJ72),IF($X72=0,"0",$M72*IF($Q72="",1,$Q72)*$X72)))),"-")</f>
        <v/>
      </c>
      <c r="AL72" s="275" t="str">
        <f>IFERROR(IF(AND($S72="",$AB72=""),"",IF($S72="",IF(AG72=0,"",AG72),IF(Y72=0,"0",$M72*IF($Q72="",1,$Q72)*Y72*IF(AA72="",Z72,AA72)))),"-")</f>
        <v/>
      </c>
      <c r="AM72" s="58"/>
      <c r="AN72" s="255"/>
      <c r="AO72" s="226"/>
      <c r="AP72" s="652"/>
    </row>
    <row r="73" spans="1:61">
      <c r="B73" s="73" t="s">
        <v>117</v>
      </c>
      <c r="C73" s="60">
        <v>2</v>
      </c>
      <c r="D73" s="61" t="s">
        <v>118</v>
      </c>
      <c r="E73" s="105"/>
      <c r="F73" s="105"/>
      <c r="G73" s="105"/>
      <c r="H73" s="105"/>
      <c r="I73" s="105"/>
      <c r="J73" s="105"/>
      <c r="K73" s="105"/>
      <c r="L73" s="74" t="s">
        <v>175</v>
      </c>
      <c r="M73" s="64"/>
      <c r="N73" s="64"/>
      <c r="O73" s="64"/>
      <c r="P73" s="64"/>
      <c r="Q73" s="64"/>
      <c r="R73" s="64"/>
      <c r="S73" s="64"/>
      <c r="T73" s="64"/>
      <c r="U73" s="64"/>
      <c r="V73" s="64"/>
      <c r="W73" s="64"/>
      <c r="X73" s="64"/>
      <c r="Y73" s="64"/>
      <c r="Z73" s="64"/>
      <c r="AA73" s="64"/>
      <c r="AB73" s="64"/>
      <c r="AC73" s="64"/>
      <c r="AD73" s="64"/>
      <c r="AE73" s="64"/>
      <c r="AF73" s="64"/>
      <c r="AG73" s="64"/>
      <c r="AH73" s="276"/>
      <c r="AI73" s="276"/>
      <c r="AJ73" s="276"/>
      <c r="AK73" s="276"/>
      <c r="AL73" s="276"/>
      <c r="AM73" s="54"/>
      <c r="AN73" s="657" t="s">
        <v>2675</v>
      </c>
      <c r="AO73" s="250"/>
      <c r="AP73" s="653"/>
    </row>
    <row r="74" spans="1:61">
      <c r="B74" s="56" t="s">
        <v>117</v>
      </c>
      <c r="C74" s="56">
        <v>2</v>
      </c>
      <c r="D74" s="2060"/>
      <c r="E74" s="2062"/>
      <c r="F74" s="2060"/>
      <c r="G74" s="2061"/>
      <c r="H74" s="2062"/>
      <c r="I74" s="2060"/>
      <c r="J74" s="2061"/>
      <c r="K74" s="2062"/>
      <c r="L74" s="56"/>
      <c r="M74" s="57"/>
      <c r="N74" s="58"/>
      <c r="O74" s="58"/>
      <c r="P74" s="58"/>
      <c r="Q74" s="221" t="str">
        <f t="array" ref="Q74">IFERROR(INDEX('Conversion factors_2'!$B$10:$CY$111,MATCH(O74,'Conversion factors_2'!$B$10:$B$111,FALSE),HLOOKUP(P74,'Conversion factors_2'!$B$8:$CY$9,2,FALSE)),"")</f>
        <v/>
      </c>
      <c r="R74" s="58"/>
      <c r="S74" s="58"/>
      <c r="T74" s="221" t="str">
        <f>IFERROR(CONCATENATE("tCO2e/",VLOOKUP($S74,'Emission factors'!$D:$J,7,FALSE)),"")</f>
        <v/>
      </c>
      <c r="U74" s="221" t="str">
        <f>IFERROR(VLOOKUP($S74,'Emission factors'!$D:$X,10,FALSE),"")</f>
        <v/>
      </c>
      <c r="V74" s="221" t="str">
        <f>IFERROR(VLOOKUP($S74,'Emission factors'!$D:$X,12,FALSE),"")</f>
        <v/>
      </c>
      <c r="W74" s="221" t="str">
        <f>IFERROR(VLOOKUP($S74,'Emission factors'!$D:$X,14,FALSE),"")</f>
        <v/>
      </c>
      <c r="X74" s="221" t="str">
        <f>IFERROR(VLOOKUP($S74,'Emission factors'!$D:$X,16,FALSE),"")</f>
        <v/>
      </c>
      <c r="Y74" s="221" t="str">
        <f>IFERROR(VLOOKUP($S74,'Emission factors'!$D:$X,18,FALSE),"")</f>
        <v/>
      </c>
      <c r="Z74" s="221" t="str">
        <f>IF(M74="","",1)</f>
        <v/>
      </c>
      <c r="AA74" s="58"/>
      <c r="AB74" s="58"/>
      <c r="AC74" s="58"/>
      <c r="AD74" s="58"/>
      <c r="AE74" s="58"/>
      <c r="AF74" s="58"/>
      <c r="AG74" s="58"/>
      <c r="AH74" s="275" t="str">
        <f>IFERROR(IF(AND($S74="",$AB74=""),"",IF($S74="",IF(AC74=0,"-",AC74),IF(U74=0,"0",$M74*IF($Q74="",1,$Q74)*U74*IF(AA74="",Z74,AA74)))),"-")</f>
        <v/>
      </c>
      <c r="AI74" s="275" t="str">
        <f>IFERROR(IF(AND($S74="",$AB74=""),"",IF($S74="",IF(AD74=0,"-",AD74),IF(V74=0,"0",$M74*IF($Q74="",1,$Q74)*V74))),"-")</f>
        <v/>
      </c>
      <c r="AJ74" s="275" t="str">
        <f>IFERROR(IF(AND($S74="",$AB74=""),"",IF($S74="",IF(AE74=0,"-",AE74),IF(W74=0,"0",$M74*IF($Q74="",1,$Q74)*W74))),"-")</f>
        <v/>
      </c>
      <c r="AK74" s="275" t="str">
        <f>IFERROR(IF(AND($S74="",$AB74=""),"",IF($S74="",IF(AF74="",SUM(AH74:AJ74),IF(AF74=0,"0",AF74)),IF($X74="",SUM($AH74:$AJ74),IF($X74=0,"0",$M74*IF($Q74="",1,$Q74)*$X74)))),"-")</f>
        <v/>
      </c>
      <c r="AL74" s="275" t="str">
        <f>IFERROR(IF(AND($S74="",$AB74=""),"",IF($S74="",IF(AG74=0,"",AG74),IF(Y74=0,"0",$M74*IF($Q74="",1,$Q74)*Y74*IF(AA74="",Z74,AA74)))),"-")</f>
        <v/>
      </c>
      <c r="AM74" s="58"/>
      <c r="AN74" s="225"/>
      <c r="AO74" s="226"/>
      <c r="AP74" s="652"/>
    </row>
    <row r="75" spans="1:61">
      <c r="B75" s="56" t="s">
        <v>117</v>
      </c>
      <c r="C75" s="56">
        <v>2</v>
      </c>
      <c r="D75" s="2060"/>
      <c r="E75" s="2062"/>
      <c r="F75" s="2060"/>
      <c r="G75" s="2061"/>
      <c r="H75" s="2062"/>
      <c r="I75" s="2060"/>
      <c r="J75" s="2061"/>
      <c r="K75" s="2062"/>
      <c r="L75" s="56"/>
      <c r="M75" s="57"/>
      <c r="N75" s="58"/>
      <c r="O75" s="58"/>
      <c r="P75" s="58"/>
      <c r="Q75" s="221" t="str">
        <f t="array" ref="Q75">IFERROR(INDEX('Conversion factors_2'!$B$10:$CY$111,MATCH(O75,'Conversion factors_2'!$B$10:$B$111,FALSE),HLOOKUP(P75,'Conversion factors_2'!$B$8:$CY$9,2,FALSE)),"")</f>
        <v/>
      </c>
      <c r="R75" s="58"/>
      <c r="S75" s="58"/>
      <c r="T75" s="221" t="str">
        <f>IFERROR(CONCATENATE("tCO2e/",VLOOKUP($S75,'Emission factors'!$D:$J,7,FALSE)),"")</f>
        <v/>
      </c>
      <c r="U75" s="221" t="str">
        <f>IFERROR(VLOOKUP($S75,'Emission factors'!$D:$X,10,FALSE),"")</f>
        <v/>
      </c>
      <c r="V75" s="221" t="str">
        <f>IFERROR(VLOOKUP($S75,'Emission factors'!$D:$X,12,FALSE),"")</f>
        <v/>
      </c>
      <c r="W75" s="221" t="str">
        <f>IFERROR(VLOOKUP($S75,'Emission factors'!$D:$X,14,FALSE),"")</f>
        <v/>
      </c>
      <c r="X75" s="221" t="str">
        <f>IFERROR(VLOOKUP($S75,'Emission factors'!$D:$X,16,FALSE),"")</f>
        <v/>
      </c>
      <c r="Y75" s="221" t="str">
        <f>IFERROR(VLOOKUP($S75,'Emission factors'!$D:$X,18,FALSE),"")</f>
        <v/>
      </c>
      <c r="Z75" s="221" t="str">
        <f>IF(M75="","",1)</f>
        <v/>
      </c>
      <c r="AA75" s="58"/>
      <c r="AB75" s="58"/>
      <c r="AC75" s="58"/>
      <c r="AD75" s="58"/>
      <c r="AE75" s="58"/>
      <c r="AF75" s="58"/>
      <c r="AG75" s="58"/>
      <c r="AH75" s="275" t="str">
        <f>IFERROR(IF(AND($S75="",$AB75=""),"",IF($S75="",IF(AC75=0,"-",AC75),IF(U75=0,"0",$M75*IF($Q75="",1,$Q75)*U75*IF(AA75="",Z75,AA75)))),"-")</f>
        <v/>
      </c>
      <c r="AI75" s="275" t="str">
        <f>IFERROR(IF(AND($S75="",$AB75=""),"",IF($S75="",IF(AD75=0,"-",AD75),IF(V75=0,"0",$M75*IF($Q75="",1,$Q75)*V75))),"-")</f>
        <v/>
      </c>
      <c r="AJ75" s="275" t="str">
        <f>IFERROR(IF(AND($S75="",$AB75=""),"",IF($S75="",IF(AE75=0,"-",AE75),IF(W75=0,"0",$M75*IF($Q75="",1,$Q75)*W75))),"-")</f>
        <v/>
      </c>
      <c r="AK75" s="275" t="str">
        <f>IFERROR(IF(AND($S75="",$AB75=""),"",IF($S75="",IF(AF75="",SUM(AH75:AJ75),IF(AF75=0,"0",AF75)),IF($X75="",SUM($AH75:$AJ75),IF($X75=0,"0",$M75*IF($Q75="",1,$Q75)*$X75)))),"-")</f>
        <v/>
      </c>
      <c r="AL75" s="275" t="str">
        <f>IFERROR(IF(AND($S75="",$AB75=""),"",IF($S75="",IF(AG75=0,"",AG75),IF(Y75=0,"0",$M75*IF($Q75="",1,$Q75)*Y75*IF(AA75="",Z75,AA75)))),"-")</f>
        <v/>
      </c>
      <c r="AM75" s="58"/>
      <c r="AN75" s="255"/>
      <c r="AO75" s="226"/>
      <c r="AP75" s="652"/>
    </row>
    <row r="76" spans="1:61">
      <c r="B76" s="76" t="s">
        <v>623</v>
      </c>
      <c r="C76" s="83">
        <v>3</v>
      </c>
      <c r="D76" s="106" t="s">
        <v>622</v>
      </c>
      <c r="E76" s="112"/>
      <c r="F76" s="112"/>
      <c r="G76" s="112"/>
      <c r="H76" s="112"/>
      <c r="I76" s="106"/>
      <c r="J76" s="112"/>
      <c r="K76" s="112"/>
      <c r="L76" s="69" t="s">
        <v>177</v>
      </c>
      <c r="M76" s="70"/>
      <c r="N76" s="69"/>
      <c r="O76" s="69"/>
      <c r="P76" s="69"/>
      <c r="Q76" s="69"/>
      <c r="R76" s="69"/>
      <c r="S76" s="69"/>
      <c r="T76" s="69"/>
      <c r="U76" s="69"/>
      <c r="V76" s="69"/>
      <c r="W76" s="69"/>
      <c r="X76" s="69"/>
      <c r="Y76" s="69"/>
      <c r="Z76" s="69"/>
      <c r="AA76" s="69"/>
      <c r="AB76" s="69"/>
      <c r="AC76" s="69"/>
      <c r="AD76" s="69"/>
      <c r="AE76" s="69"/>
      <c r="AF76" s="69"/>
      <c r="AG76" s="69"/>
      <c r="AH76" s="277"/>
      <c r="AI76" s="277"/>
      <c r="AJ76" s="277"/>
      <c r="AK76" s="277"/>
      <c r="AL76" s="277"/>
      <c r="AM76" s="69"/>
      <c r="AN76" s="228" t="s">
        <v>2683</v>
      </c>
      <c r="AO76" s="251"/>
      <c r="AP76" s="655"/>
    </row>
    <row r="77" spans="1:61">
      <c r="B77" s="56" t="s">
        <v>623</v>
      </c>
      <c r="C77" s="56">
        <v>3</v>
      </c>
      <c r="D77" s="2060"/>
      <c r="E77" s="2062"/>
      <c r="F77" s="2060"/>
      <c r="G77" s="2061"/>
      <c r="H77" s="2062"/>
      <c r="I77" s="2060"/>
      <c r="J77" s="2061"/>
      <c r="K77" s="2062"/>
      <c r="L77" s="56"/>
      <c r="M77" s="57"/>
      <c r="N77" s="58"/>
      <c r="O77" s="58"/>
      <c r="P77" s="58"/>
      <c r="Q77" s="221" t="str">
        <f t="array" ref="Q77">IFERROR(INDEX('Conversion factors_2'!$B$10:$CY$111,MATCH(O77,'Conversion factors_2'!$B$10:$B$111,FALSE),HLOOKUP(P77,'Conversion factors_2'!$B$8:$CY$9,2,FALSE)),"")</f>
        <v/>
      </c>
      <c r="R77" s="58"/>
      <c r="S77" s="58"/>
      <c r="T77" s="221" t="str">
        <f>IFERROR(CONCATENATE("tCO2e/",VLOOKUP($S77,'Emission factors'!$D:$J,7,FALSE)),"")</f>
        <v/>
      </c>
      <c r="U77" s="221" t="str">
        <f>IFERROR(VLOOKUP($S77,'Emission factors'!$D:$X,10,FALSE),"")</f>
        <v/>
      </c>
      <c r="V77" s="221" t="str">
        <f>IFERROR(VLOOKUP($S77,'Emission factors'!$D:$X,12,FALSE),"")</f>
        <v/>
      </c>
      <c r="W77" s="221" t="str">
        <f>IFERROR(VLOOKUP($S77,'Emission factors'!$D:$X,14,FALSE),"")</f>
        <v/>
      </c>
      <c r="X77" s="221" t="str">
        <f>IFERROR(VLOOKUP($S77,'Emission factors'!$D:$X,16,FALSE),"")</f>
        <v/>
      </c>
      <c r="Y77" s="221" t="str">
        <f>IFERROR(VLOOKUP($S77,'Emission factors'!$D:$X,18,FALSE),"")</f>
        <v/>
      </c>
      <c r="Z77" s="221" t="str">
        <f>IF(M77="","",1)</f>
        <v/>
      </c>
      <c r="AA77" s="58"/>
      <c r="AB77" s="58"/>
      <c r="AC77" s="58"/>
      <c r="AD77" s="58"/>
      <c r="AE77" s="58"/>
      <c r="AF77" s="58"/>
      <c r="AG77" s="58"/>
      <c r="AH77" s="275" t="str">
        <f>IFERROR(IF(AND($S77="",$AB77=""),"",IF($S77="",IF(AC77=0,"-",AC77),IF(U77=0,"0",$M77*IF($Q77="",1,$Q77)*U77*IF(AA77="",Z77,AA77)))),"-")</f>
        <v/>
      </c>
      <c r="AI77" s="275" t="str">
        <f>IFERROR(IF(AND($S77="",$AB77=""),"",IF($S77="",IF(AD77=0,"-",AD77),IF(V77=0,"0",$M77*IF($Q77="",1,$Q77)*V77))),"-")</f>
        <v/>
      </c>
      <c r="AJ77" s="275" t="str">
        <f>IFERROR(IF(AND($S77="",$AB77=""),"",IF($S77="",IF(AE77=0,"-",AE77),IF(W77=0,"0",$M77*IF($Q77="",1,$Q77)*W77))),"-")</f>
        <v/>
      </c>
      <c r="AK77" s="275" t="str">
        <f>IFERROR(IF(AND($S77="",$AB77=""),"",IF($S77="",IF(AF77="",SUM(AH77:AJ77),IF(AF77=0,"0",AF77)),IF($X77="",SUM($AH77:$AJ77),IF($X77=0,"0",$M77*IF($Q77="",1,$Q77)*$X77)))),"-")</f>
        <v/>
      </c>
      <c r="AL77" s="275" t="str">
        <f>IFERROR(IF(AND($S77="",$AB77=""),"",IF($S77="",IF(AG77=0,"",AG77),IF(Y77=0,"0",$M77*IF($Q77="",1,$Q77)*Y77*IF(AA77="",Z77,AA77)))),"-")</f>
        <v/>
      </c>
      <c r="AM77" s="58"/>
      <c r="AN77" s="225"/>
      <c r="AO77" s="226"/>
      <c r="AP77" s="652"/>
    </row>
    <row r="78" spans="1:61" s="175" customFormat="1" ht="15" customHeight="1">
      <c r="A78" s="34"/>
      <c r="B78" s="56" t="s">
        <v>623</v>
      </c>
      <c r="C78" s="58">
        <v>3</v>
      </c>
      <c r="D78" s="2060"/>
      <c r="E78" s="2062"/>
      <c r="F78" s="2060"/>
      <c r="G78" s="2061"/>
      <c r="H78" s="2062"/>
      <c r="I78" s="2060"/>
      <c r="J78" s="2061"/>
      <c r="K78" s="2062"/>
      <c r="L78" s="56"/>
      <c r="M78" s="57"/>
      <c r="N78" s="58"/>
      <c r="O78" s="58"/>
      <c r="P78" s="58"/>
      <c r="Q78" s="221" t="str">
        <f t="array" ref="Q78">IFERROR(INDEX('Conversion factors_2'!$B$10:$CY$111,MATCH(O78,'Conversion factors_2'!$B$10:$B$111,FALSE),HLOOKUP(P78,'Conversion factors_2'!$B$8:$CY$9,2,FALSE)),"")</f>
        <v/>
      </c>
      <c r="R78" s="58"/>
      <c r="S78" s="58"/>
      <c r="T78" s="221" t="str">
        <f>IFERROR(CONCATENATE("tCO2e/",VLOOKUP($S78,'Emission factors'!$D:$J,7,FALSE)),"")</f>
        <v/>
      </c>
      <c r="U78" s="221" t="str">
        <f>IFERROR(VLOOKUP($S78,'Emission factors'!$D:$X,10,FALSE),"")</f>
        <v/>
      </c>
      <c r="V78" s="221" t="str">
        <f>IFERROR(VLOOKUP($S78,'Emission factors'!$D:$X,12,FALSE),"")</f>
        <v/>
      </c>
      <c r="W78" s="221" t="str">
        <f>IFERROR(VLOOKUP($S78,'Emission factors'!$D:$X,14,FALSE),"")</f>
        <v/>
      </c>
      <c r="X78" s="221" t="str">
        <f>IFERROR(VLOOKUP($S78,'Emission factors'!$D:$X,16,FALSE),"")</f>
        <v/>
      </c>
      <c r="Y78" s="221" t="str">
        <f>IFERROR(VLOOKUP($S78,'Emission factors'!$D:$X,18,FALSE),"")</f>
        <v/>
      </c>
      <c r="Z78" s="221" t="str">
        <f>IF(M78="","",1)</f>
        <v/>
      </c>
      <c r="AA78" s="58"/>
      <c r="AB78" s="56"/>
      <c r="AC78" s="58"/>
      <c r="AD78" s="58"/>
      <c r="AE78" s="58"/>
      <c r="AF78" s="58"/>
      <c r="AG78" s="58"/>
      <c r="AH78" s="275" t="str">
        <f>IFERROR(IF(AND($S78="",$AB78=""),"",IF($S78="",IF(AC78=0,"-",AC78),IF(U78=0,"0",$M78*IF($Q78="",1,$Q78)*U78*IF(AA78="",Z78,AA78)))),"-")</f>
        <v/>
      </c>
      <c r="AI78" s="472" t="str">
        <f>IFERROR(IF(AND($S78="",$AB78=""),"",IF($S78="",IF(AD78=0,"-",AD78),IF(V78=0,"0",$M78*IF($Q78="",1,$Q78)*V78))),"-")</f>
        <v/>
      </c>
      <c r="AJ78" s="472" t="str">
        <f>IFERROR(IF(AND($S78="",$AB78=""),"",IF($S78="",IF(AE78=0,"-",AE78),IF(W78=0,"0",$M78*IF($Q78="",1,$Q78)*W78))),"-")</f>
        <v/>
      </c>
      <c r="AK78" s="275" t="str">
        <f>IFERROR(IF(AND($S78="",$AB78=""),"",IF($S78="",IF(AF78="",SUM(AH78:AJ78),IF(AF78=0,"0",AF78)),IF($X78="",SUM($AH78:$AJ78),IF($X78=0,"0",$M78*IF($Q78="",1,$Q78)*$X78)))),"-")</f>
        <v/>
      </c>
      <c r="AL78" s="275" t="str">
        <f>IFERROR(IF(AND($S78="",$AB78=""),"",IF($S78="",IF(AG78=0,"",AG78),IF(Y78=0,"0",$M78*IF($Q78="",1,$Q78)*Y78*IF(AA78="",Z78,AA78)))),"-")</f>
        <v/>
      </c>
      <c r="AM78" s="58"/>
      <c r="AN78" s="255"/>
      <c r="AO78" s="226"/>
      <c r="AP78" s="652"/>
      <c r="AQ78" s="26"/>
      <c r="AR78" s="26"/>
      <c r="AS78" s="26"/>
      <c r="AT78" s="26"/>
      <c r="AU78" s="26"/>
      <c r="AV78" s="26"/>
      <c r="AW78" s="26"/>
      <c r="AX78" s="26"/>
      <c r="AY78" s="26"/>
      <c r="AZ78" s="26"/>
      <c r="BA78" s="26"/>
      <c r="BB78" s="26"/>
      <c r="BC78" s="26"/>
      <c r="BD78" s="26"/>
      <c r="BE78" s="26"/>
      <c r="BF78" s="26"/>
      <c r="BG78" s="26"/>
      <c r="BH78" s="26"/>
      <c r="BI78" s="26"/>
    </row>
    <row r="79" spans="1:61" s="31" customFormat="1">
      <c r="A79" s="34"/>
      <c r="B79" s="14"/>
      <c r="C79" s="14"/>
      <c r="R79" s="100"/>
      <c r="AH79" s="176"/>
      <c r="AI79" s="176"/>
      <c r="AJ79" s="176"/>
      <c r="AK79" s="176"/>
      <c r="AL79" s="176"/>
      <c r="AN79" s="253"/>
      <c r="AO79" s="253"/>
      <c r="AP79" s="32"/>
    </row>
    <row r="80" spans="1:61" s="31" customFormat="1" ht="15" customHeight="1">
      <c r="A80" s="34"/>
      <c r="B80" s="99" t="s">
        <v>624</v>
      </c>
      <c r="C80" s="14"/>
      <c r="R80" s="100"/>
      <c r="AH80" s="176"/>
      <c r="AI80" s="176"/>
      <c r="AJ80" s="176"/>
      <c r="AK80" s="176"/>
      <c r="AL80" s="176"/>
      <c r="AN80" s="253"/>
      <c r="AO80" s="253"/>
      <c r="AP80" s="32"/>
    </row>
    <row r="81" spans="1:42" s="31" customFormat="1">
      <c r="A81" s="34"/>
      <c r="B81" s="15"/>
      <c r="C81" s="15"/>
      <c r="D81" s="15"/>
      <c r="R81" s="100"/>
      <c r="AH81" s="176"/>
      <c r="AI81" s="176"/>
      <c r="AJ81" s="176"/>
      <c r="AK81" s="176"/>
      <c r="AL81" s="176"/>
      <c r="AN81" s="253"/>
      <c r="AO81" s="253"/>
      <c r="AP81" s="32"/>
    </row>
    <row r="82" spans="1:42" s="31" customFormat="1">
      <c r="A82" s="34"/>
      <c r="B82" s="14"/>
      <c r="C82" s="14"/>
      <c r="R82" s="100"/>
      <c r="AH82" s="176"/>
      <c r="AI82" s="176"/>
      <c r="AJ82" s="176"/>
      <c r="AK82" s="176"/>
      <c r="AL82" s="176"/>
      <c r="AN82" s="253"/>
      <c r="AO82" s="253"/>
      <c r="AP82" s="32"/>
    </row>
    <row r="83" spans="1:42" s="31" customFormat="1">
      <c r="A83" s="34"/>
      <c r="B83" s="14"/>
      <c r="C83" s="14"/>
      <c r="R83" s="100"/>
      <c r="AH83" s="176"/>
      <c r="AI83" s="176"/>
      <c r="AJ83" s="176"/>
      <c r="AK83" s="176"/>
      <c r="AL83" s="176"/>
      <c r="AN83" s="253"/>
      <c r="AO83" s="253"/>
      <c r="AP83" s="32"/>
    </row>
    <row r="84" spans="1:42" s="31" customFormat="1">
      <c r="A84" s="34"/>
      <c r="B84" s="14"/>
      <c r="C84" s="14"/>
      <c r="R84" s="100"/>
      <c r="AH84" s="176"/>
      <c r="AI84" s="176"/>
      <c r="AJ84" s="176"/>
      <c r="AK84" s="176"/>
      <c r="AL84" s="176"/>
      <c r="AN84" s="253"/>
      <c r="AO84" s="253"/>
      <c r="AP84" s="32"/>
    </row>
    <row r="85" spans="1:42" s="31" customFormat="1">
      <c r="A85" s="34"/>
      <c r="B85" s="14"/>
      <c r="C85" s="14"/>
      <c r="R85" s="100"/>
      <c r="AH85" s="176"/>
      <c r="AI85" s="176"/>
      <c r="AJ85" s="176"/>
      <c r="AK85" s="176"/>
      <c r="AL85" s="176"/>
      <c r="AN85" s="253"/>
      <c r="AO85" s="253"/>
      <c r="AP85" s="32"/>
    </row>
    <row r="86" spans="1:42" s="31" customFormat="1">
      <c r="A86" s="34"/>
      <c r="B86" s="14"/>
      <c r="C86" s="14"/>
      <c r="R86" s="100"/>
      <c r="AH86" s="176"/>
      <c r="AI86" s="176"/>
      <c r="AJ86" s="176"/>
      <c r="AK86" s="176"/>
      <c r="AL86" s="176"/>
      <c r="AN86" s="253"/>
      <c r="AO86" s="253"/>
      <c r="AP86" s="32"/>
    </row>
    <row r="87" spans="1:42" s="31" customFormat="1">
      <c r="A87" s="34"/>
      <c r="B87" s="14"/>
      <c r="C87" s="14"/>
      <c r="R87" s="100"/>
      <c r="AH87" s="176"/>
      <c r="AI87" s="176"/>
      <c r="AJ87" s="176"/>
      <c r="AK87" s="176"/>
      <c r="AL87" s="176"/>
      <c r="AN87" s="253"/>
      <c r="AO87" s="253"/>
      <c r="AP87" s="32"/>
    </row>
    <row r="88" spans="1:42" s="31" customFormat="1">
      <c r="A88" s="34"/>
      <c r="B88" s="14"/>
      <c r="C88" s="14"/>
      <c r="R88" s="100"/>
      <c r="AH88" s="176"/>
      <c r="AI88" s="176"/>
      <c r="AJ88" s="176"/>
      <c r="AK88" s="176"/>
      <c r="AL88" s="176"/>
      <c r="AN88" s="253"/>
      <c r="AO88" s="253"/>
      <c r="AP88" s="32"/>
    </row>
    <row r="89" spans="1:42" s="31" customFormat="1">
      <c r="A89" s="34"/>
      <c r="B89" s="14"/>
      <c r="C89" s="14"/>
      <c r="R89" s="100"/>
      <c r="AH89" s="176"/>
      <c r="AI89" s="176"/>
      <c r="AJ89" s="176"/>
      <c r="AK89" s="176"/>
      <c r="AL89" s="176"/>
      <c r="AN89" s="253"/>
      <c r="AO89" s="253"/>
      <c r="AP89" s="32"/>
    </row>
    <row r="90" spans="1:42" s="31" customFormat="1">
      <c r="A90" s="34"/>
      <c r="B90" s="14"/>
      <c r="C90" s="14"/>
      <c r="R90" s="100"/>
      <c r="AH90" s="176"/>
      <c r="AI90" s="176"/>
      <c r="AJ90" s="176"/>
      <c r="AK90" s="176"/>
      <c r="AL90" s="176"/>
      <c r="AN90" s="253"/>
      <c r="AO90" s="253"/>
      <c r="AP90" s="32"/>
    </row>
    <row r="91" spans="1:42" s="31" customFormat="1">
      <c r="A91" s="34"/>
      <c r="B91" s="14"/>
      <c r="C91" s="14"/>
      <c r="R91" s="100"/>
      <c r="AH91" s="176"/>
      <c r="AI91" s="176"/>
      <c r="AJ91" s="176"/>
      <c r="AK91" s="176"/>
      <c r="AL91" s="176"/>
      <c r="AN91" s="253"/>
      <c r="AO91" s="253"/>
      <c r="AP91" s="32"/>
    </row>
    <row r="92" spans="1:42" s="31" customFormat="1">
      <c r="A92" s="34"/>
      <c r="B92" s="14"/>
      <c r="C92" s="14"/>
      <c r="R92" s="100"/>
      <c r="AH92" s="176"/>
      <c r="AI92" s="176"/>
      <c r="AJ92" s="176"/>
      <c r="AK92" s="176"/>
      <c r="AL92" s="176"/>
      <c r="AN92" s="253"/>
      <c r="AO92" s="253"/>
      <c r="AP92" s="32"/>
    </row>
    <row r="93" spans="1:42" s="31" customFormat="1">
      <c r="A93" s="34"/>
      <c r="B93" s="14"/>
      <c r="C93" s="14"/>
      <c r="R93" s="100"/>
      <c r="AH93" s="176"/>
      <c r="AI93" s="176"/>
      <c r="AJ93" s="176"/>
      <c r="AK93" s="176"/>
      <c r="AL93" s="176"/>
      <c r="AN93" s="253"/>
      <c r="AO93" s="253"/>
      <c r="AP93" s="32"/>
    </row>
    <row r="94" spans="1:42" s="31" customFormat="1">
      <c r="A94" s="34"/>
      <c r="B94" s="14"/>
      <c r="C94" s="14"/>
      <c r="R94" s="100"/>
      <c r="AH94" s="176"/>
      <c r="AI94" s="176"/>
      <c r="AJ94" s="176"/>
      <c r="AK94" s="176"/>
      <c r="AL94" s="176"/>
      <c r="AN94" s="253"/>
      <c r="AO94" s="253"/>
      <c r="AP94" s="32"/>
    </row>
    <row r="95" spans="1:42" s="31" customFormat="1">
      <c r="A95" s="34"/>
      <c r="B95" s="14"/>
      <c r="C95" s="14"/>
      <c r="R95" s="100"/>
      <c r="AH95" s="176"/>
      <c r="AI95" s="176"/>
      <c r="AJ95" s="176"/>
      <c r="AK95" s="176"/>
      <c r="AL95" s="176"/>
      <c r="AN95" s="253"/>
      <c r="AO95" s="253"/>
      <c r="AP95" s="32"/>
    </row>
    <row r="96" spans="1:42" s="31" customFormat="1">
      <c r="A96" s="34"/>
      <c r="B96" s="14"/>
      <c r="C96" s="14"/>
      <c r="R96" s="100"/>
      <c r="AH96" s="176"/>
      <c r="AI96" s="176"/>
      <c r="AJ96" s="176"/>
      <c r="AK96" s="176"/>
      <c r="AL96" s="176"/>
      <c r="AN96" s="253"/>
      <c r="AO96" s="253"/>
      <c r="AP96" s="32"/>
    </row>
    <row r="97" spans="1:42" s="31" customFormat="1">
      <c r="A97" s="34"/>
      <c r="B97" s="14"/>
      <c r="C97" s="14"/>
      <c r="R97" s="100"/>
      <c r="AH97" s="176"/>
      <c r="AI97" s="176"/>
      <c r="AJ97" s="176"/>
      <c r="AK97" s="176"/>
      <c r="AL97" s="176"/>
      <c r="AN97" s="253"/>
      <c r="AO97" s="253"/>
      <c r="AP97" s="32"/>
    </row>
    <row r="98" spans="1:42" s="31" customFormat="1">
      <c r="A98" s="34"/>
      <c r="B98" s="14"/>
      <c r="C98" s="14"/>
      <c r="R98" s="100"/>
      <c r="AH98" s="176"/>
      <c r="AI98" s="176"/>
      <c r="AJ98" s="176"/>
      <c r="AK98" s="176"/>
      <c r="AL98" s="176"/>
      <c r="AN98" s="253"/>
      <c r="AO98" s="253"/>
      <c r="AP98" s="32"/>
    </row>
    <row r="99" spans="1:42" s="31" customFormat="1">
      <c r="A99" s="34"/>
      <c r="B99" s="14"/>
      <c r="C99" s="14"/>
      <c r="R99" s="100"/>
      <c r="AH99" s="176"/>
      <c r="AI99" s="176"/>
      <c r="AJ99" s="176"/>
      <c r="AK99" s="176"/>
      <c r="AL99" s="176"/>
      <c r="AN99" s="253"/>
      <c r="AO99" s="253"/>
      <c r="AP99" s="32"/>
    </row>
    <row r="100" spans="1:42" s="31" customFormat="1">
      <c r="A100" s="34"/>
      <c r="B100" s="14"/>
      <c r="C100" s="14"/>
      <c r="R100" s="100"/>
      <c r="AH100" s="176"/>
      <c r="AI100" s="176"/>
      <c r="AJ100" s="176"/>
      <c r="AK100" s="176"/>
      <c r="AL100" s="176"/>
      <c r="AN100" s="253"/>
      <c r="AO100" s="253"/>
      <c r="AP100" s="32"/>
    </row>
    <row r="101" spans="1:42" s="31" customFormat="1">
      <c r="A101" s="34"/>
      <c r="B101" s="14"/>
      <c r="C101" s="14"/>
      <c r="R101" s="100"/>
      <c r="AH101" s="176"/>
      <c r="AI101" s="176"/>
      <c r="AJ101" s="176"/>
      <c r="AK101" s="176"/>
      <c r="AL101" s="176"/>
      <c r="AN101" s="253"/>
      <c r="AO101" s="253"/>
      <c r="AP101" s="32"/>
    </row>
    <row r="102" spans="1:42" s="31" customFormat="1">
      <c r="A102" s="34"/>
      <c r="B102" s="14"/>
      <c r="C102" s="14"/>
      <c r="R102" s="100"/>
      <c r="AH102" s="176"/>
      <c r="AI102" s="176"/>
      <c r="AJ102" s="176"/>
      <c r="AK102" s="176"/>
      <c r="AL102" s="176"/>
      <c r="AN102" s="253"/>
      <c r="AO102" s="253"/>
      <c r="AP102" s="32"/>
    </row>
    <row r="103" spans="1:42" s="31" customFormat="1">
      <c r="A103" s="34"/>
      <c r="B103" s="14"/>
      <c r="C103" s="14"/>
      <c r="R103" s="100"/>
      <c r="AH103" s="176"/>
      <c r="AI103" s="176"/>
      <c r="AJ103" s="176"/>
      <c r="AK103" s="176"/>
      <c r="AL103" s="176"/>
      <c r="AN103" s="253"/>
      <c r="AO103" s="253"/>
      <c r="AP103" s="32"/>
    </row>
  </sheetData>
  <mergeCells count="204">
    <mergeCell ref="AP68:AP69"/>
    <mergeCell ref="AN54:AN55"/>
    <mergeCell ref="AO40:AO41"/>
    <mergeCell ref="AP40:AP41"/>
    <mergeCell ref="AO54:AO55"/>
    <mergeCell ref="F30:H30"/>
    <mergeCell ref="AH68:AL68"/>
    <mergeCell ref="AN68:AN69"/>
    <mergeCell ref="AH26:AL26"/>
    <mergeCell ref="AH54:AL54"/>
    <mergeCell ref="AH40:AL40"/>
    <mergeCell ref="AN26:AN27"/>
    <mergeCell ref="AN40:AN41"/>
    <mergeCell ref="AO68:AO69"/>
    <mergeCell ref="M68:N68"/>
    <mergeCell ref="F44:H44"/>
    <mergeCell ref="F46:H46"/>
    <mergeCell ref="F47:H47"/>
    <mergeCell ref="F49:H49"/>
    <mergeCell ref="F50:H50"/>
    <mergeCell ref="F61:H61"/>
    <mergeCell ref="F63:H63"/>
    <mergeCell ref="F64:H64"/>
    <mergeCell ref="O26:Q26"/>
    <mergeCell ref="B26:B27"/>
    <mergeCell ref="C26:C27"/>
    <mergeCell ref="L26:L27"/>
    <mergeCell ref="M26:N26"/>
    <mergeCell ref="B40:B41"/>
    <mergeCell ref="C40:C41"/>
    <mergeCell ref="L40:L41"/>
    <mergeCell ref="M40:N40"/>
    <mergeCell ref="D26:K26"/>
    <mergeCell ref="D27:E27"/>
    <mergeCell ref="F27:H27"/>
    <mergeCell ref="I27:K27"/>
    <mergeCell ref="D40:K40"/>
    <mergeCell ref="D41:E41"/>
    <mergeCell ref="F41:H41"/>
    <mergeCell ref="I41:K41"/>
    <mergeCell ref="I29:K29"/>
    <mergeCell ref="I30:K30"/>
    <mergeCell ref="I32:K32"/>
    <mergeCell ref="I33:K33"/>
    <mergeCell ref="I35:K35"/>
    <mergeCell ref="I36:K36"/>
    <mergeCell ref="F29:H29"/>
    <mergeCell ref="F32:H32"/>
    <mergeCell ref="B54:B55"/>
    <mergeCell ref="C54:C55"/>
    <mergeCell ref="L54:L55"/>
    <mergeCell ref="M54:N54"/>
    <mergeCell ref="D54:K54"/>
    <mergeCell ref="D55:E55"/>
    <mergeCell ref="F55:H55"/>
    <mergeCell ref="I55:K55"/>
    <mergeCell ref="B68:B69"/>
    <mergeCell ref="C68:C69"/>
    <mergeCell ref="L68:L69"/>
    <mergeCell ref="D69:E69"/>
    <mergeCell ref="F69:H69"/>
    <mergeCell ref="I69:K69"/>
    <mergeCell ref="I58:K58"/>
    <mergeCell ref="I61:K61"/>
    <mergeCell ref="I57:K57"/>
    <mergeCell ref="I60:K60"/>
    <mergeCell ref="D68:K68"/>
    <mergeCell ref="I64:K64"/>
    <mergeCell ref="I63:K63"/>
    <mergeCell ref="F57:H57"/>
    <mergeCell ref="F58:H58"/>
    <mergeCell ref="F60:H60"/>
    <mergeCell ref="O40:Q40"/>
    <mergeCell ref="O54:Q54"/>
    <mergeCell ref="O68:Q68"/>
    <mergeCell ref="T54:Y54"/>
    <mergeCell ref="T68:Y68"/>
    <mergeCell ref="AN12:AN13"/>
    <mergeCell ref="AP54:AP55"/>
    <mergeCell ref="AC26:AG26"/>
    <mergeCell ref="AH12:AL12"/>
    <mergeCell ref="S12:S13"/>
    <mergeCell ref="R12:R13"/>
    <mergeCell ref="T12:Y12"/>
    <mergeCell ref="AB12:AB13"/>
    <mergeCell ref="AC12:AG12"/>
    <mergeCell ref="Z12:Z13"/>
    <mergeCell ref="AA12:AA13"/>
    <mergeCell ref="AA26:AA27"/>
    <mergeCell ref="AC40:AG40"/>
    <mergeCell ref="AC54:AG54"/>
    <mergeCell ref="AP12:AP13"/>
    <mergeCell ref="AO26:AO27"/>
    <mergeCell ref="AP26:AP27"/>
    <mergeCell ref="AO12:AO13"/>
    <mergeCell ref="R26:R27"/>
    <mergeCell ref="R40:R41"/>
    <mergeCell ref="R54:R55"/>
    <mergeCell ref="S26:S27"/>
    <mergeCell ref="S40:S41"/>
    <mergeCell ref="S54:S55"/>
    <mergeCell ref="R68:R69"/>
    <mergeCell ref="S68:S69"/>
    <mergeCell ref="T26:Y26"/>
    <mergeCell ref="T40:Y40"/>
    <mergeCell ref="Z26:Z27"/>
    <mergeCell ref="Z40:Z41"/>
    <mergeCell ref="AA40:AA41"/>
    <mergeCell ref="Z54:Z55"/>
    <mergeCell ref="AA54:AA55"/>
    <mergeCell ref="AB26:AB27"/>
    <mergeCell ref="AB40:AB41"/>
    <mergeCell ref="AB54:AB55"/>
    <mergeCell ref="AC68:AG68"/>
    <mergeCell ref="AB68:AB69"/>
    <mergeCell ref="Z68:Z69"/>
    <mergeCell ref="AA68:AA69"/>
    <mergeCell ref="B2:B3"/>
    <mergeCell ref="C2:C3"/>
    <mergeCell ref="D2:E2"/>
    <mergeCell ref="F2:G2"/>
    <mergeCell ref="H2:I2"/>
    <mergeCell ref="J2:K2"/>
    <mergeCell ref="I15:K15"/>
    <mergeCell ref="I16:K16"/>
    <mergeCell ref="I18:K18"/>
    <mergeCell ref="D13:E13"/>
    <mergeCell ref="F13:H13"/>
    <mergeCell ref="F15:H15"/>
    <mergeCell ref="F16:H16"/>
    <mergeCell ref="F18:H18"/>
    <mergeCell ref="D15:E15"/>
    <mergeCell ref="D16:E16"/>
    <mergeCell ref="D18:E18"/>
    <mergeCell ref="B12:B13"/>
    <mergeCell ref="C12:C13"/>
    <mergeCell ref="I13:K13"/>
    <mergeCell ref="D12:K12"/>
    <mergeCell ref="L2:M2"/>
    <mergeCell ref="N2:O2"/>
    <mergeCell ref="D3:E3"/>
    <mergeCell ref="F3:G3"/>
    <mergeCell ref="H3:I3"/>
    <mergeCell ref="J3:K3"/>
    <mergeCell ref="L3:M3"/>
    <mergeCell ref="N3:O3"/>
    <mergeCell ref="I22:K22"/>
    <mergeCell ref="I19:K19"/>
    <mergeCell ref="I21:K21"/>
    <mergeCell ref="D22:E22"/>
    <mergeCell ref="F19:H19"/>
    <mergeCell ref="F21:H21"/>
    <mergeCell ref="F22:H22"/>
    <mergeCell ref="D19:E19"/>
    <mergeCell ref="D21:E21"/>
    <mergeCell ref="L12:L13"/>
    <mergeCell ref="O12:Q12"/>
    <mergeCell ref="M12:N12"/>
    <mergeCell ref="I71:K71"/>
    <mergeCell ref="I72:K72"/>
    <mergeCell ref="I74:K74"/>
    <mergeCell ref="I75:K75"/>
    <mergeCell ref="I77:K77"/>
    <mergeCell ref="I78:K78"/>
    <mergeCell ref="D29:E29"/>
    <mergeCell ref="D30:E30"/>
    <mergeCell ref="D32:E32"/>
    <mergeCell ref="D33:E33"/>
    <mergeCell ref="D43:E43"/>
    <mergeCell ref="D44:E44"/>
    <mergeCell ref="D46:E46"/>
    <mergeCell ref="D47:E47"/>
    <mergeCell ref="D49:E49"/>
    <mergeCell ref="D35:E35"/>
    <mergeCell ref="D36:E36"/>
    <mergeCell ref="I43:K43"/>
    <mergeCell ref="I44:K44"/>
    <mergeCell ref="I46:K46"/>
    <mergeCell ref="I47:K47"/>
    <mergeCell ref="I49:K49"/>
    <mergeCell ref="I50:K50"/>
    <mergeCell ref="F43:H43"/>
    <mergeCell ref="D78:E78"/>
    <mergeCell ref="F71:H71"/>
    <mergeCell ref="F72:H72"/>
    <mergeCell ref="F74:H74"/>
    <mergeCell ref="F75:H75"/>
    <mergeCell ref="F77:H77"/>
    <mergeCell ref="F78:H78"/>
    <mergeCell ref="F33:H33"/>
    <mergeCell ref="F35:H35"/>
    <mergeCell ref="F36:H36"/>
    <mergeCell ref="D71:E71"/>
    <mergeCell ref="D72:E72"/>
    <mergeCell ref="D74:E74"/>
    <mergeCell ref="D75:E75"/>
    <mergeCell ref="D77:E77"/>
    <mergeCell ref="D50:E50"/>
    <mergeCell ref="D57:E57"/>
    <mergeCell ref="D58:E58"/>
    <mergeCell ref="D60:E60"/>
    <mergeCell ref="D61:E61"/>
    <mergeCell ref="D63:E63"/>
    <mergeCell ref="D64:E64"/>
  </mergeCells>
  <phoneticPr fontId="13" type="noConversion"/>
  <dataValidations count="13">
    <dataValidation type="list" allowBlank="1" showInputMessage="1" showErrorMessage="1" sqref="AM57:AM58 AM63:AM67 AM18:AM19 AM32:AM33 AM46:AM47 AM35:AM39 AM49:AM53 AM43:AM44 AM60:AM61 AM15:AM16 AM29:AM30 AM21:AM25 AM74:AM75 AM71:AM72 AM77:AM78">
      <formula1>DQ</formula1>
    </dataValidation>
    <dataValidation type="list" allowBlank="1" showInputMessage="1" showErrorMessage="1" sqref="L14:L25 L28:L39 L42:L53 L56:L67 L70:L78">
      <formula1>NK</formula1>
    </dataValidation>
    <dataValidation type="list" allowBlank="1" showInputMessage="1" showErrorMessage="1" sqref="D74:D75 D77:D78 D18:D19 D21:D22 D15:D16 D35:D36 D49:D50 D32:D33 D60:D61 D46:D47 D29:D30 D63:D64 D71:D72 D57:D58 D43:D44">
      <formula1>Method</formula1>
    </dataValidation>
    <dataValidation type="list" allowBlank="1" showInputMessage="1" showErrorMessage="1" sqref="F74:F75 F15:F16 F18:F19 F21:F22 F71:F72 F77:F78">
      <formula1>Road</formula1>
    </dataValidation>
    <dataValidation type="list" allowBlank="1" showInputMessage="1" showErrorMessage="1" sqref="F35:F36 F29:F30 F32:F33">
      <formula1>Rail</formula1>
    </dataValidation>
    <dataValidation type="list" allowBlank="1" showInputMessage="1" showErrorMessage="1" sqref="F46:F47 F49:F50 F43:F44">
      <formula1>Water</formula1>
    </dataValidation>
    <dataValidation type="list" allowBlank="1" showInputMessage="1" showErrorMessage="1" sqref="F57:F58 F60:F61 F63:F64">
      <formula1>Air</formula1>
    </dataValidation>
    <dataValidation type="list" allowBlank="1" showInputMessage="1" showErrorMessage="1" sqref="R29:R30 R15:R16 R18:R19 R60:R61 R57:R58 R63:R64 R46:R47 R32:R33 R49:R50 R77:R78 R21:R22 R35:R36 R74:R75 R71:R72 R43:R44">
      <formula1>Gases</formula1>
    </dataValidation>
    <dataValidation type="list" allowBlank="1" showInputMessage="1" showErrorMessage="1" sqref="AO14:AO22 AO70:AO78 AO56:AO64 AO28:AO36 AO42:AO50">
      <formula1>DataSource</formula1>
    </dataValidation>
    <dataValidation type="list" allowBlank="1" showInputMessage="1" showErrorMessage="1" sqref="S60:S61 S57:S58 S63:S64 S46:S47 S43:S44 S49:S50 S18:S19 S15:S16 S21:S22 S32:S33 S29:S30 S35:S36 S74:S75 S71:S72 S77:S78">
      <formula1>EmissionFactor</formula1>
    </dataValidation>
    <dataValidation type="list" allowBlank="1" showInputMessage="1" showErrorMessage="1" sqref="AB15:AB16 AB18:AB19 AB21:AB22 AB29:AB30 AB32:AB33 AB35:AB36 AB77:AB78 AB46:AB47 AB49:AB50 AB57:AB58 AB60:AB61 AB63:AB64 AB71:AB72 AB74:AB75 AB43:AB44">
      <formula1>Tick</formula1>
    </dataValidation>
    <dataValidation type="list" allowBlank="1" showInputMessage="1" showErrorMessage="1" sqref="O15:O16 O18:O19 O21:O22 O29:O30 O32:O33 O35:O36 O43:O44 O46:O47 O49:O50 O57:O58 O60:O61 O63:O64 O71:O72 O74:O75 O77:O78">
      <formula1>Conversion_factor_from</formula1>
    </dataValidation>
    <dataValidation type="list" allowBlank="1" showInputMessage="1" showErrorMessage="1" sqref="P15:P16 P18:P19 P21:P22 P29:P30 P32:P33 P35:P36 P43:P44 P46:P47 P49:P50 P57:P58 P60:P61 P63:P64 P71:P72 P74:P75 P77:P78">
      <formula1>Conversion_factor_to</formula1>
    </dataValidation>
  </dataValidations>
  <hyperlinks>
    <hyperlink ref="F2" location="'City information'!A1" display="Set-up"/>
    <hyperlink ref="G2" location="'City information'!A1" display="'City information'!A1"/>
    <hyperlink ref="L2" location="Results!A1" display="Results"/>
    <hyperlink ref="M2" location="Results!A1" display="Results!A1"/>
    <hyperlink ref="J2" location="Calculators!A1" display="Calculators"/>
    <hyperlink ref="K2" location="Calculators!A1" display="Calculators!A1"/>
    <hyperlink ref="N2" location="Analysis!A1" display="Analysis"/>
    <hyperlink ref="O2" location="Analysis!A1" display="Analysis!A1"/>
    <hyperlink ref="H2" location="Inventory!A1" display="Inventory"/>
    <hyperlink ref="I2" location="Inventory!A1" display="Inventory!A1"/>
    <hyperlink ref="D3" location="'I - Stationary'!A1" display="Stationary"/>
    <hyperlink ref="E3" location="'I - Stationary'!A1" display="'I - Stationary'!A1"/>
    <hyperlink ref="H3" location="'III - Waste'!A1" display="Waste"/>
    <hyperlink ref="I3" location="'III - Waste'!A1" display="'III - Waste'!A1"/>
    <hyperlink ref="J3" location="'IV - IPPU'!A1" display="IPPU"/>
    <hyperlink ref="K3" location="'IV - IPPU'!A1" display="'IV - IPPU'!A1"/>
    <hyperlink ref="L3" location="'V - AFOLU'!A1" display="AFOLU"/>
    <hyperlink ref="M3" location="'V - AFOLU'!A1" display="'V - AFOLU'!A1"/>
    <hyperlink ref="D2" location="Home!A1" display="Introduction"/>
    <hyperlink ref="E2" location="Home!A1" display="Home!A1"/>
  </hyperlinks>
  <printOptions verticalCentered="1"/>
  <pageMargins left="0.15748031496062992" right="0.15748031496062992" top="0.15748031496062992" bottom="0.15748031496062992" header="0.1" footer="0.1"/>
  <pageSetup paperSize="9" scale="46" orientation="landscape" horizontalDpi="4294967292" verticalDpi="4294967292"/>
  <drawing r:id="rId1"/>
  <extLst>
    <ext xmlns:mx="http://schemas.microsoft.com/office/mac/excel/2008/main" uri="{64002731-A6B0-56B0-2670-7721B7C09600}">
      <mx:PLV Mode="0" OnePage="0" WScale="46"/>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theme="3" tint="0.79998168889431442"/>
    <outlinePr summaryBelow="0" summaryRight="0"/>
    <pageSetUpPr autoPageBreaks="0"/>
  </sheetPr>
  <dimension ref="A1:BH91"/>
  <sheetViews>
    <sheetView showGridLines="0" showRowColHeaders="0" workbookViewId="0">
      <selection activeCell="J3" sqref="J3:K3"/>
    </sheetView>
  </sheetViews>
  <sheetFormatPr baseColWidth="10" defaultColWidth="0" defaultRowHeight="15" x14ac:dyDescent="0"/>
  <cols>
    <col min="1" max="1" width="4.83203125" style="16" customWidth="1"/>
    <col min="2" max="3" width="12.83203125" style="5" customWidth="1"/>
    <col min="4" max="17" width="12.83203125" customWidth="1"/>
    <col min="18" max="18" width="16.33203125" style="101" customWidth="1"/>
    <col min="19" max="19" width="24.83203125" customWidth="1"/>
    <col min="20" max="20" width="12.83203125" customWidth="1"/>
    <col min="21" max="25" width="12.33203125" customWidth="1"/>
    <col min="26" max="26" width="24.83203125" customWidth="1"/>
    <col min="27" max="31" width="12.33203125" customWidth="1"/>
    <col min="32" max="36" width="12.33203125" style="280" customWidth="1"/>
    <col min="37" max="37" width="12.83203125" customWidth="1"/>
    <col min="38" max="40" width="71.83203125" customWidth="1"/>
    <col min="41" max="41" width="4.83203125" style="15" customWidth="1"/>
    <col min="42" max="59" width="0" style="15" hidden="1" customWidth="1"/>
    <col min="60" max="60" width="0" hidden="1" customWidth="1"/>
    <col min="61" max="16384" width="10.83203125" hidden="1"/>
  </cols>
  <sheetData>
    <row r="1" spans="1:59" s="498" customFormat="1">
      <c r="T1" s="499"/>
      <c r="U1" s="499"/>
      <c r="V1" s="499"/>
      <c r="W1" s="500"/>
      <c r="X1" s="500"/>
      <c r="Y1" s="500"/>
    </row>
    <row r="2" spans="1:59" s="464" customFormat="1" ht="31" customHeight="1">
      <c r="A2" s="494"/>
      <c r="B2" s="1817" t="s">
        <v>1965</v>
      </c>
      <c r="C2" s="1819">
        <v>400</v>
      </c>
      <c r="D2" s="1849" t="s">
        <v>1555</v>
      </c>
      <c r="E2" s="1850"/>
      <c r="F2" s="1849" t="s">
        <v>1563</v>
      </c>
      <c r="G2" s="1850"/>
      <c r="H2" s="1847" t="s">
        <v>794</v>
      </c>
      <c r="I2" s="2103"/>
      <c r="J2" s="1849" t="s">
        <v>1570</v>
      </c>
      <c r="K2" s="1850"/>
      <c r="L2" s="1849" t="s">
        <v>1564</v>
      </c>
      <c r="M2" s="1850"/>
      <c r="N2" s="1849" t="s">
        <v>1602</v>
      </c>
      <c r="O2" s="1850"/>
      <c r="P2" s="494"/>
      <c r="Q2" s="494"/>
      <c r="R2" s="494"/>
      <c r="S2" s="494"/>
      <c r="T2" s="494"/>
      <c r="U2" s="494"/>
      <c r="V2" s="494"/>
      <c r="W2" s="494"/>
      <c r="X2" s="494"/>
      <c r="Y2" s="494"/>
      <c r="Z2" s="494"/>
      <c r="AA2" s="494"/>
      <c r="AB2" s="494"/>
      <c r="AC2" s="494"/>
      <c r="AD2" s="494"/>
      <c r="AE2" s="494"/>
      <c r="AF2" s="494"/>
      <c r="AG2" s="494"/>
      <c r="AH2" s="494"/>
      <c r="AI2" s="494"/>
      <c r="AJ2" s="494"/>
      <c r="AK2" s="494"/>
      <c r="AL2" s="494"/>
      <c r="AM2" s="494"/>
      <c r="AN2" s="494"/>
      <c r="AO2" s="494"/>
      <c r="AP2" s="494"/>
      <c r="AQ2" s="494"/>
      <c r="AR2" s="494"/>
      <c r="AS2" s="494"/>
      <c r="AT2" s="494"/>
      <c r="AU2" s="494"/>
      <c r="AV2" s="494"/>
    </row>
    <row r="3" spans="1:59" s="464" customFormat="1" ht="31" customHeight="1">
      <c r="A3" s="494"/>
      <c r="B3" s="1818"/>
      <c r="C3" s="1820"/>
      <c r="D3" s="1843" t="s">
        <v>270</v>
      </c>
      <c r="E3" s="1844"/>
      <c r="F3" s="1843" t="s">
        <v>760</v>
      </c>
      <c r="G3" s="1844"/>
      <c r="H3" s="1847" t="s">
        <v>761</v>
      </c>
      <c r="I3" s="2103"/>
      <c r="J3" s="1843" t="s">
        <v>208</v>
      </c>
      <c r="K3" s="1844"/>
      <c r="L3" s="1843" t="s">
        <v>209</v>
      </c>
      <c r="M3" s="1844"/>
      <c r="N3" s="1843" t="s">
        <v>3</v>
      </c>
      <c r="O3" s="1844"/>
      <c r="P3" s="494"/>
      <c r="Q3" s="494"/>
      <c r="R3" s="494"/>
      <c r="S3" s="494"/>
      <c r="T3" s="494"/>
      <c r="U3" s="494"/>
      <c r="V3" s="494"/>
      <c r="W3" s="494"/>
      <c r="X3" s="494"/>
      <c r="Y3" s="494"/>
      <c r="Z3" s="494"/>
      <c r="AA3" s="494"/>
      <c r="AB3" s="494"/>
      <c r="AC3" s="494"/>
      <c r="AD3" s="494"/>
      <c r="AE3" s="494"/>
      <c r="AF3" s="494"/>
      <c r="AG3" s="494"/>
      <c r="AH3" s="494"/>
      <c r="AI3" s="494"/>
      <c r="AJ3" s="494"/>
      <c r="AK3" s="494"/>
      <c r="AL3" s="494"/>
      <c r="AM3" s="494"/>
      <c r="AN3" s="494"/>
      <c r="AO3" s="494"/>
      <c r="AP3" s="494"/>
      <c r="AQ3" s="494"/>
      <c r="AR3" s="494"/>
      <c r="AS3" s="494"/>
      <c r="AT3" s="494"/>
      <c r="AU3" s="494"/>
      <c r="AV3" s="494"/>
    </row>
    <row r="4" spans="1:59" s="494" customFormat="1" ht="15" customHeight="1">
      <c r="B4" s="492"/>
      <c r="C4" s="495"/>
      <c r="D4" s="497"/>
      <c r="E4" s="497"/>
      <c r="F4" s="497"/>
      <c r="G4" s="497"/>
      <c r="H4" s="497"/>
      <c r="I4" s="497"/>
      <c r="J4" s="497"/>
      <c r="K4" s="497"/>
      <c r="L4" s="497"/>
      <c r="M4" s="497"/>
      <c r="N4" s="496"/>
      <c r="O4" s="496"/>
      <c r="P4" s="496"/>
      <c r="Q4" s="496"/>
      <c r="R4" s="496"/>
      <c r="S4" s="496"/>
    </row>
    <row r="5" spans="1:59" s="15" customFormat="1" ht="31" customHeight="1">
      <c r="A5" s="16"/>
      <c r="B5" s="16"/>
      <c r="C5" s="16"/>
      <c r="D5" s="16"/>
      <c r="E5" s="16"/>
      <c r="F5" s="16"/>
      <c r="G5" s="16"/>
      <c r="H5" s="16"/>
      <c r="I5" s="16"/>
      <c r="J5" s="16"/>
      <c r="K5" s="16"/>
      <c r="L5" s="16"/>
      <c r="R5" s="100"/>
      <c r="AF5" s="284"/>
      <c r="AG5" s="284"/>
      <c r="AH5" s="284"/>
      <c r="AI5" s="284"/>
      <c r="AJ5" s="284"/>
      <c r="AK5" s="916" t="s">
        <v>2541</v>
      </c>
    </row>
    <row r="6" spans="1:59" s="29" customFormat="1" ht="31" customHeight="1" thickBot="1">
      <c r="A6" s="2684"/>
      <c r="B6" s="491" t="s">
        <v>236</v>
      </c>
      <c r="C6" s="466"/>
      <c r="D6" s="466"/>
      <c r="E6" s="466"/>
      <c r="F6" s="466"/>
      <c r="G6" s="466"/>
      <c r="H6" s="466"/>
      <c r="I6" s="466"/>
      <c r="J6" s="466"/>
      <c r="K6" s="466"/>
      <c r="L6" s="466"/>
      <c r="M6" s="466"/>
      <c r="N6" s="466"/>
      <c r="O6" s="466"/>
      <c r="P6" s="466"/>
      <c r="Q6" s="466"/>
      <c r="R6" s="467"/>
      <c r="S6" s="467"/>
      <c r="T6" s="467"/>
      <c r="U6" s="468"/>
      <c r="V6" s="663"/>
      <c r="W6" s="468"/>
      <c r="X6" s="663"/>
      <c r="Y6" s="468"/>
      <c r="Z6" s="468"/>
      <c r="AA6" s="468"/>
      <c r="AB6" s="468"/>
      <c r="AC6" s="663"/>
      <c r="AD6" s="468"/>
      <c r="AE6" s="663"/>
      <c r="AF6" s="468"/>
      <c r="AG6" s="663"/>
      <c r="AH6" s="468"/>
      <c r="AI6" s="468"/>
      <c r="AJ6" s="468"/>
      <c r="AK6" s="468"/>
      <c r="AL6" s="468"/>
      <c r="AM6" s="468"/>
      <c r="AN6" s="468"/>
      <c r="AO6" s="468"/>
      <c r="AP6" s="468"/>
      <c r="AQ6" s="468"/>
      <c r="AR6" s="663"/>
      <c r="AS6" s="468"/>
      <c r="AT6" s="663"/>
      <c r="AU6" s="468"/>
    </row>
    <row r="7" spans="1:59" s="15" customFormat="1" ht="16" thickTop="1">
      <c r="A7" s="16"/>
      <c r="B7" s="14"/>
      <c r="C7" s="14"/>
      <c r="M7" s="241"/>
      <c r="N7" s="241"/>
      <c r="O7" s="241"/>
      <c r="P7" s="241"/>
      <c r="Q7" s="241"/>
      <c r="R7" s="241"/>
      <c r="S7" s="241"/>
      <c r="T7" s="27"/>
      <c r="U7" s="27"/>
      <c r="V7" s="27"/>
      <c r="W7" s="27"/>
      <c r="X7" s="27"/>
      <c r="Y7" s="27"/>
      <c r="Z7" s="27"/>
      <c r="AA7" s="27"/>
      <c r="AB7" s="27"/>
      <c r="AC7" s="27"/>
      <c r="AD7" s="27"/>
      <c r="AE7" s="27"/>
      <c r="AF7" s="28"/>
      <c r="AG7" s="28"/>
      <c r="AH7" s="28"/>
      <c r="AI7" s="28"/>
      <c r="AJ7" s="28"/>
      <c r="AK7" s="19"/>
      <c r="AL7" s="254"/>
      <c r="AM7" s="254"/>
      <c r="AN7" s="249"/>
      <c r="AO7" s="21"/>
    </row>
    <row r="8" spans="1:59" s="1195" customFormat="1" ht="18">
      <c r="A8" s="1194"/>
      <c r="B8" s="1195" t="s">
        <v>974</v>
      </c>
      <c r="C8" s="1196"/>
      <c r="M8" s="1197"/>
      <c r="N8" s="1197"/>
      <c r="O8" s="1197"/>
      <c r="P8" s="1197"/>
      <c r="Q8" s="1197"/>
      <c r="AG8" s="1198"/>
      <c r="AH8" s="1198"/>
      <c r="AI8" s="1198"/>
      <c r="AJ8" s="1198"/>
      <c r="AK8" s="1199"/>
      <c r="AL8" s="1200"/>
      <c r="AM8" s="1198"/>
      <c r="AN8" s="1201"/>
      <c r="AO8" s="1202"/>
    </row>
    <row r="9" spans="1:59" s="15" customFormat="1">
      <c r="A9" s="16"/>
      <c r="B9" s="14"/>
      <c r="C9" s="14"/>
      <c r="M9" s="635"/>
      <c r="N9" s="635"/>
      <c r="O9" s="635"/>
      <c r="P9" s="635"/>
      <c r="Q9" s="635"/>
      <c r="AG9" s="28"/>
      <c r="AH9" s="28"/>
      <c r="AI9" s="28"/>
      <c r="AJ9" s="28"/>
      <c r="AK9" s="19"/>
      <c r="AL9" s="254"/>
      <c r="AM9" s="28"/>
      <c r="AN9" s="258"/>
      <c r="AO9" s="21"/>
    </row>
    <row r="10" spans="1:59" s="21" customFormat="1" ht="18">
      <c r="B10" s="465" t="s">
        <v>237</v>
      </c>
      <c r="C10" s="635"/>
      <c r="D10" s="18"/>
      <c r="E10" s="18"/>
      <c r="F10" s="18"/>
      <c r="G10" s="18"/>
      <c r="H10" s="18"/>
      <c r="I10" s="18"/>
      <c r="J10" s="18"/>
      <c r="K10" s="18"/>
      <c r="L10" s="18"/>
      <c r="M10" s="18"/>
      <c r="N10" s="18"/>
      <c r="O10" s="19"/>
      <c r="P10" s="635"/>
      <c r="Q10" s="635"/>
      <c r="R10" s="635"/>
      <c r="S10" s="635"/>
      <c r="T10" s="635"/>
      <c r="U10" s="635"/>
      <c r="V10" s="27"/>
      <c r="W10" s="27"/>
      <c r="X10" s="27"/>
      <c r="Y10" s="27"/>
      <c r="Z10" s="27"/>
      <c r="AA10" s="27"/>
      <c r="AB10" s="27"/>
      <c r="AC10" s="27"/>
      <c r="AD10" s="27"/>
      <c r="AE10" s="27"/>
      <c r="AF10" s="27"/>
      <c r="AG10" s="27"/>
      <c r="AH10" s="27"/>
      <c r="AI10" s="27"/>
      <c r="AJ10" s="27"/>
      <c r="AK10" s="28"/>
      <c r="AL10" s="28"/>
      <c r="AM10" s="28"/>
      <c r="AN10" s="28"/>
      <c r="AO10" s="19"/>
      <c r="AP10" s="19"/>
      <c r="AQ10" s="254"/>
      <c r="AR10" s="254"/>
      <c r="AS10" s="254"/>
    </row>
    <row r="11" spans="1:59" s="15" customFormat="1">
      <c r="A11" s="16"/>
      <c r="B11" s="14"/>
      <c r="C11" s="14"/>
      <c r="M11" s="18"/>
      <c r="N11" s="18"/>
      <c r="O11" s="18"/>
      <c r="P11" s="18"/>
      <c r="Q11" s="18"/>
      <c r="R11" s="12"/>
      <c r="S11" s="18"/>
      <c r="T11" s="18"/>
      <c r="U11" s="18"/>
      <c r="V11" s="18"/>
      <c r="W11" s="18"/>
      <c r="X11" s="18"/>
      <c r="Y11" s="18"/>
      <c r="Z11" s="18"/>
      <c r="AA11" s="18"/>
      <c r="AB11" s="18"/>
      <c r="AC11" s="18"/>
      <c r="AD11" s="18"/>
      <c r="AE11" s="18"/>
      <c r="AF11" s="28"/>
      <c r="AG11" s="28"/>
      <c r="AH11" s="28"/>
      <c r="AI11" s="28"/>
      <c r="AJ11" s="28"/>
      <c r="AK11" s="19"/>
      <c r="AL11" s="254"/>
      <c r="AM11" s="254"/>
      <c r="AN11" s="20"/>
      <c r="AO11" s="21"/>
    </row>
    <row r="12" spans="1:59" s="5" customFormat="1" ht="16" customHeight="1">
      <c r="A12" s="39"/>
      <c r="B12" s="2065" t="s">
        <v>37</v>
      </c>
      <c r="C12" s="2065" t="s">
        <v>38</v>
      </c>
      <c r="D12" s="2095" t="s">
        <v>242</v>
      </c>
      <c r="E12" s="2106"/>
      <c r="F12" s="2106"/>
      <c r="G12" s="2106"/>
      <c r="H12" s="2106"/>
      <c r="I12" s="2106"/>
      <c r="J12" s="2106"/>
      <c r="K12" s="2096"/>
      <c r="L12" s="2066" t="s">
        <v>297</v>
      </c>
      <c r="M12" s="2095" t="s">
        <v>169</v>
      </c>
      <c r="N12" s="2096"/>
      <c r="O12" s="2098" t="s">
        <v>841</v>
      </c>
      <c r="P12" s="2099"/>
      <c r="Q12" s="2100"/>
      <c r="R12" s="2087" t="s">
        <v>302</v>
      </c>
      <c r="S12" s="2087" t="s">
        <v>782</v>
      </c>
      <c r="T12" s="2063" t="s">
        <v>782</v>
      </c>
      <c r="U12" s="2063"/>
      <c r="V12" s="2063"/>
      <c r="W12" s="2063"/>
      <c r="X12" s="2063"/>
      <c r="Y12" s="2064"/>
      <c r="Z12" s="2093" t="s">
        <v>928</v>
      </c>
      <c r="AA12" s="2083" t="s">
        <v>934</v>
      </c>
      <c r="AB12" s="2083"/>
      <c r="AC12" s="2083"/>
      <c r="AD12" s="2083"/>
      <c r="AE12" s="2083"/>
      <c r="AF12" s="2109" t="s">
        <v>289</v>
      </c>
      <c r="AG12" s="2110"/>
      <c r="AH12" s="2110"/>
      <c r="AI12" s="2110"/>
      <c r="AJ12" s="2111"/>
      <c r="AK12" s="895" t="s">
        <v>41</v>
      </c>
      <c r="AL12" s="2075" t="s">
        <v>937</v>
      </c>
      <c r="AM12" s="2087" t="s">
        <v>723</v>
      </c>
      <c r="AN12" s="2087" t="s">
        <v>826</v>
      </c>
      <c r="AO12" s="14"/>
      <c r="AP12" s="14"/>
      <c r="AQ12" s="14"/>
      <c r="AR12" s="14"/>
      <c r="AS12" s="14"/>
      <c r="AT12" s="14"/>
      <c r="AU12" s="14"/>
      <c r="AV12" s="14"/>
      <c r="AW12" s="14"/>
      <c r="AX12" s="14"/>
      <c r="AY12" s="14"/>
      <c r="AZ12" s="14"/>
      <c r="BA12" s="14"/>
      <c r="BB12" s="14"/>
      <c r="BC12" s="14"/>
      <c r="BD12" s="14"/>
      <c r="BE12" s="14"/>
      <c r="BF12" s="14"/>
      <c r="BG12" s="14"/>
    </row>
    <row r="13" spans="1:59" s="5" customFormat="1" ht="17">
      <c r="A13" s="39"/>
      <c r="B13" s="2065"/>
      <c r="C13" s="2065"/>
      <c r="D13" s="2095" t="s">
        <v>243</v>
      </c>
      <c r="E13" s="2096"/>
      <c r="F13" s="2095" t="s">
        <v>919</v>
      </c>
      <c r="G13" s="2106"/>
      <c r="H13" s="2096"/>
      <c r="I13" s="2095" t="s">
        <v>241</v>
      </c>
      <c r="J13" s="2106"/>
      <c r="K13" s="2096"/>
      <c r="L13" s="2065"/>
      <c r="M13" s="636" t="s">
        <v>170</v>
      </c>
      <c r="N13" s="636" t="s">
        <v>171</v>
      </c>
      <c r="O13" s="659" t="s">
        <v>813</v>
      </c>
      <c r="P13" s="659" t="s">
        <v>814</v>
      </c>
      <c r="Q13" s="659" t="s">
        <v>927</v>
      </c>
      <c r="R13" s="2088"/>
      <c r="S13" s="2088"/>
      <c r="T13" s="660" t="s">
        <v>171</v>
      </c>
      <c r="U13" s="661" t="s">
        <v>929</v>
      </c>
      <c r="V13" s="661" t="s">
        <v>930</v>
      </c>
      <c r="W13" s="661" t="s">
        <v>931</v>
      </c>
      <c r="X13" s="661" t="s">
        <v>932</v>
      </c>
      <c r="Y13" s="661" t="s">
        <v>933</v>
      </c>
      <c r="Z13" s="2094"/>
      <c r="AA13" s="661" t="s">
        <v>929</v>
      </c>
      <c r="AB13" s="661" t="s">
        <v>930</v>
      </c>
      <c r="AC13" s="661" t="s">
        <v>931</v>
      </c>
      <c r="AD13" s="661" t="s">
        <v>932</v>
      </c>
      <c r="AE13" s="661" t="s">
        <v>933</v>
      </c>
      <c r="AF13" s="662" t="s">
        <v>290</v>
      </c>
      <c r="AG13" s="662" t="s">
        <v>291</v>
      </c>
      <c r="AH13" s="662" t="s">
        <v>292</v>
      </c>
      <c r="AI13" s="662" t="s">
        <v>293</v>
      </c>
      <c r="AJ13" s="662" t="s">
        <v>294</v>
      </c>
      <c r="AK13" s="636" t="s">
        <v>44</v>
      </c>
      <c r="AL13" s="2075"/>
      <c r="AM13" s="2088"/>
      <c r="AN13" s="2088"/>
      <c r="AO13" s="14"/>
      <c r="AP13" s="14"/>
      <c r="AQ13" s="14"/>
      <c r="AR13" s="14"/>
      <c r="AS13" s="14"/>
      <c r="AT13" s="14"/>
      <c r="AU13" s="14"/>
      <c r="AV13" s="14"/>
      <c r="AW13" s="14"/>
      <c r="AX13" s="14"/>
      <c r="AY13" s="14"/>
      <c r="AZ13" s="14"/>
      <c r="BA13" s="14"/>
      <c r="BB13" s="14"/>
      <c r="BC13" s="14"/>
      <c r="BD13" s="14"/>
      <c r="BE13" s="14"/>
      <c r="BF13" s="14"/>
      <c r="BG13" s="14"/>
    </row>
    <row r="14" spans="1:59" ht="15" customHeight="1">
      <c r="B14" s="84" t="s">
        <v>122</v>
      </c>
      <c r="C14" s="52">
        <v>1</v>
      </c>
      <c r="D14" s="53" t="s">
        <v>123</v>
      </c>
      <c r="E14" s="102"/>
      <c r="F14" s="102"/>
      <c r="G14" s="102"/>
      <c r="H14" s="102"/>
      <c r="I14" s="102"/>
      <c r="J14" s="102"/>
      <c r="K14" s="651"/>
      <c r="L14" s="656"/>
      <c r="M14" s="103"/>
      <c r="N14" s="104"/>
      <c r="O14" s="104"/>
      <c r="P14" s="104"/>
      <c r="Q14" s="104"/>
      <c r="R14" s="54"/>
      <c r="S14" s="104"/>
      <c r="T14" s="104"/>
      <c r="U14" s="104"/>
      <c r="V14" s="104"/>
      <c r="W14" s="104"/>
      <c r="X14" s="104"/>
      <c r="Y14" s="104"/>
      <c r="Z14" s="104"/>
      <c r="AA14" s="104"/>
      <c r="AB14" s="104"/>
      <c r="AC14" s="104"/>
      <c r="AD14" s="104"/>
      <c r="AE14" s="104"/>
      <c r="AF14" s="281"/>
      <c r="AG14" s="281"/>
      <c r="AH14" s="281"/>
      <c r="AI14" s="281"/>
      <c r="AJ14" s="281"/>
      <c r="AK14" s="54"/>
      <c r="AL14" s="657"/>
      <c r="AM14" s="658"/>
      <c r="AN14" s="767"/>
    </row>
    <row r="15" spans="1:59" s="15" customFormat="1">
      <c r="A15" s="16"/>
      <c r="B15" s="56" t="s">
        <v>122</v>
      </c>
      <c r="C15" s="56">
        <v>1</v>
      </c>
      <c r="D15" s="2079" t="s">
        <v>391</v>
      </c>
      <c r="E15" s="2081"/>
      <c r="F15" s="2079" t="s">
        <v>275</v>
      </c>
      <c r="G15" s="2080"/>
      <c r="H15" s="2081"/>
      <c r="I15" s="2079"/>
      <c r="J15" s="2080"/>
      <c r="K15" s="2081"/>
      <c r="L15" s="56"/>
      <c r="M15" s="57">
        <v>300000</v>
      </c>
      <c r="N15" s="58" t="s">
        <v>2694</v>
      </c>
      <c r="O15" s="58"/>
      <c r="P15" s="58"/>
      <c r="Q15" s="221" t="str">
        <f t="array" ref="Q15">IFERROR(INDEX('Conversion factors_2'!$B$10:$CY$111,MATCH(O15,'Conversion factors_2'!$B$10:$B$111,FALSE),HLOOKUP(P15,'Conversion factors_2'!$B$8:$CY$9,2,FALSE)),"")</f>
        <v/>
      </c>
      <c r="R15" s="58" t="s">
        <v>2696</v>
      </c>
      <c r="S15" s="58" t="s">
        <v>2695</v>
      </c>
      <c r="T15" s="221" t="str">
        <f>IFERROR(CONCATENATE("tCO2e/",VLOOKUP($S15,'Emission factors'!$D:$J,7,FALSE)),"")</f>
        <v>tCO2e/t</v>
      </c>
      <c r="U15" s="221" t="str">
        <f>IFERROR(VLOOKUP($S15,'Emission factors'!$D:$X,10,FALSE),"")</f>
        <v/>
      </c>
      <c r="V15" s="221">
        <f>IFERROR(VLOOKUP($S15,'Emission factors'!$D:$X,12,FALSE),"")</f>
        <v>0.75</v>
      </c>
      <c r="W15" s="221" t="str">
        <f>IFERROR(VLOOKUP($S15,'Emission factors'!$D:$X,14,FALSE),"")</f>
        <v/>
      </c>
      <c r="X15" s="221" t="str">
        <f>IFERROR(VLOOKUP($S15,'Emission factors'!$D:$X,16,FALSE),"")</f>
        <v/>
      </c>
      <c r="Y15" s="221">
        <f>IFERROR(VLOOKUP($S15,'Emission factors'!$D:$X,18,FALSE),"")</f>
        <v>0.3</v>
      </c>
      <c r="Z15" s="58"/>
      <c r="AA15" s="58"/>
      <c r="AB15" s="58"/>
      <c r="AC15" s="58"/>
      <c r="AD15" s="58"/>
      <c r="AE15" s="58"/>
      <c r="AF15" s="275" t="str">
        <f t="shared" ref="AF15:AH16" si="0">IFERROR(IF(AND($S15="",$Z15=""),"",IF($S15="",IF(AA15=0,"-",AA15),IF(U15=0,"0",$M15*IF($Q15="",1,$Q15)*U15))),"-")</f>
        <v>-</v>
      </c>
      <c r="AG15" s="275">
        <f t="shared" si="0"/>
        <v>225000</v>
      </c>
      <c r="AH15" s="275" t="str">
        <f t="shared" si="0"/>
        <v>-</v>
      </c>
      <c r="AI15" s="275">
        <f>IFERROR(IF(AND($S15="",$Z15=""),"",IF($S15="",IF(AD15="",SUM(AF15:AH15),IF(AD15=0,"0",AD15)),IF($X15="",SUM($AF15:$AH15),IF($X15=0,"0",$M15*IF($Q15="",1,$Q15)*$X15)))),"-")</f>
        <v>225000</v>
      </c>
      <c r="AJ15" s="275">
        <f>IFERROR(IF(AND($S15="",$Z15=""),"",IF($S15="",IF(AE15=0,"-",AE15),IF(Y15=0,"0",$M15*IF($Q15="",1,$Q15)*Y15))),"-")</f>
        <v>90000</v>
      </c>
      <c r="AK15" s="58" t="s">
        <v>181</v>
      </c>
      <c r="AL15" s="225"/>
      <c r="AM15" s="268"/>
      <c r="AN15" s="266"/>
    </row>
    <row r="16" spans="1:59" s="15" customFormat="1">
      <c r="A16" s="16"/>
      <c r="B16" s="56" t="s">
        <v>122</v>
      </c>
      <c r="C16" s="56">
        <v>1</v>
      </c>
      <c r="D16" s="2060" t="s">
        <v>391</v>
      </c>
      <c r="E16" s="2062"/>
      <c r="F16" s="2060" t="s">
        <v>277</v>
      </c>
      <c r="G16" s="2061"/>
      <c r="H16" s="2062"/>
      <c r="I16" s="2060"/>
      <c r="J16" s="2061"/>
      <c r="K16" s="2062"/>
      <c r="L16" s="56"/>
      <c r="M16" s="57">
        <v>100000</v>
      </c>
      <c r="N16" s="58" t="s">
        <v>2694</v>
      </c>
      <c r="O16" s="58"/>
      <c r="P16" s="58"/>
      <c r="Q16" s="221" t="str">
        <f t="array" ref="Q16">IFERROR(INDEX('Conversion factors_2'!$B$10:$CY$111,MATCH(O16,'Conversion factors_2'!$B$10:$B$111,FALSE),HLOOKUP(P16,'Conversion factors_2'!$B$8:$CY$9,2,FALSE)),"")</f>
        <v/>
      </c>
      <c r="R16" s="58" t="s">
        <v>2696</v>
      </c>
      <c r="S16" s="58" t="s">
        <v>2695</v>
      </c>
      <c r="T16" s="221" t="str">
        <f>IFERROR(CONCATENATE("tCO2e/",VLOOKUP($S16,'Emission factors'!$D:$J,7,FALSE)),"")</f>
        <v>tCO2e/t</v>
      </c>
      <c r="U16" s="221" t="str">
        <f>IFERROR(VLOOKUP($S16,'Emission factors'!$D:$X,10,FALSE),"")</f>
        <v/>
      </c>
      <c r="V16" s="221">
        <f>IFERROR(VLOOKUP($S16,'Emission factors'!$D:$X,12,FALSE),"")</f>
        <v>0.75</v>
      </c>
      <c r="W16" s="221" t="str">
        <f>IFERROR(VLOOKUP($S16,'Emission factors'!$D:$X,14,FALSE),"")</f>
        <v/>
      </c>
      <c r="X16" s="221" t="str">
        <f>IFERROR(VLOOKUP($S16,'Emission factors'!$D:$X,16,FALSE),"")</f>
        <v/>
      </c>
      <c r="Y16" s="221">
        <f>IFERROR(VLOOKUP($S16,'Emission factors'!$D:$X,18,FALSE),"")</f>
        <v>0.3</v>
      </c>
      <c r="Z16" s="58"/>
      <c r="AA16" s="58"/>
      <c r="AB16" s="58"/>
      <c r="AC16" s="58"/>
      <c r="AD16" s="58"/>
      <c r="AE16" s="58"/>
      <c r="AF16" s="275" t="str">
        <f t="shared" si="0"/>
        <v>-</v>
      </c>
      <c r="AG16" s="275">
        <f t="shared" si="0"/>
        <v>75000</v>
      </c>
      <c r="AH16" s="275" t="str">
        <f t="shared" si="0"/>
        <v>-</v>
      </c>
      <c r="AI16" s="275">
        <f>IFERROR(IF(AND($S16="",$Z16=""),"",IF($S16="",IF(AD16="",SUM(AF16:AH16),IF(AD16=0,"0",AD16)),IF($X16="",SUM($AF16:$AH16),IF($X16=0,"0",$M16*IF($Q16="",1,$Q16)*$X16)))),"-")</f>
        <v>75000</v>
      </c>
      <c r="AJ16" s="275">
        <f>IFERROR(IF(AND($S16="",$Z16=""),"",IF($S16="",IF(AE16=0,"-",AE16),IF(Y16=0,"0",$M16*IF($Q16="",1,$Q16)*Y16))),"-")</f>
        <v>30000</v>
      </c>
      <c r="AK16" s="58" t="s">
        <v>181</v>
      </c>
      <c r="AL16" s="255"/>
      <c r="AM16" s="268"/>
      <c r="AN16" s="266"/>
    </row>
    <row r="17" spans="1:59">
      <c r="B17" s="73" t="s">
        <v>124</v>
      </c>
      <c r="C17" s="60">
        <v>3</v>
      </c>
      <c r="D17" s="61" t="s">
        <v>125</v>
      </c>
      <c r="E17" s="105"/>
      <c r="F17" s="105"/>
      <c r="G17" s="105"/>
      <c r="H17" s="105"/>
      <c r="I17" s="105"/>
      <c r="J17" s="105"/>
      <c r="K17" s="62"/>
      <c r="L17" s="74" t="s">
        <v>175</v>
      </c>
      <c r="M17" s="64"/>
      <c r="N17" s="64"/>
      <c r="O17" s="64"/>
      <c r="P17" s="64"/>
      <c r="Q17" s="64"/>
      <c r="R17" s="64"/>
      <c r="S17" s="64"/>
      <c r="T17" s="64"/>
      <c r="U17" s="64"/>
      <c r="V17" s="64"/>
      <c r="W17" s="64"/>
      <c r="X17" s="64"/>
      <c r="Y17" s="64"/>
      <c r="Z17" s="64"/>
      <c r="AA17" s="64"/>
      <c r="AB17" s="64"/>
      <c r="AC17" s="64"/>
      <c r="AD17" s="64"/>
      <c r="AE17" s="64"/>
      <c r="AF17" s="276"/>
      <c r="AG17" s="276"/>
      <c r="AH17" s="276"/>
      <c r="AI17" s="276"/>
      <c r="AJ17" s="276"/>
      <c r="AK17" s="54"/>
      <c r="AL17" s="657" t="s">
        <v>2697</v>
      </c>
      <c r="AM17" s="653"/>
      <c r="AN17" s="766"/>
    </row>
    <row r="18" spans="1:59" s="15" customFormat="1">
      <c r="A18" s="16"/>
      <c r="B18" s="56" t="s">
        <v>124</v>
      </c>
      <c r="C18" s="56">
        <v>3</v>
      </c>
      <c r="D18" s="2060"/>
      <c r="E18" s="2062"/>
      <c r="F18" s="2060"/>
      <c r="G18" s="2061"/>
      <c r="H18" s="2062"/>
      <c r="I18" s="2060"/>
      <c r="J18" s="2061"/>
      <c r="K18" s="2062"/>
      <c r="L18" s="56"/>
      <c r="M18" s="57"/>
      <c r="N18" s="58"/>
      <c r="O18" s="58"/>
      <c r="P18" s="58"/>
      <c r="Q18" s="221" t="str">
        <f t="array" ref="Q18">IFERROR(INDEX('Conversion factors_2'!$B$10:$CY$111,MATCH(O18,'Conversion factors_2'!$B$10:$B$111,FALSE),HLOOKUP(P18,'Conversion factors_2'!$B$8:$CY$9,2,FALSE)),"")</f>
        <v/>
      </c>
      <c r="R18" s="58"/>
      <c r="S18" s="58"/>
      <c r="T18" s="221" t="str">
        <f>IFERROR(CONCATENATE("tCO2e/",VLOOKUP($S18,'Emission factors'!$D:$J,7,FALSE)),"")</f>
        <v/>
      </c>
      <c r="U18" s="221" t="str">
        <f>IFERROR(VLOOKUP($S18,'Emission factors'!$D:$X,10,FALSE),"")</f>
        <v/>
      </c>
      <c r="V18" s="221" t="str">
        <f>IFERROR(VLOOKUP($S18,'Emission factors'!$D:$X,12,FALSE),"")</f>
        <v/>
      </c>
      <c r="W18" s="221" t="str">
        <f>IFERROR(VLOOKUP($S18,'Emission factors'!$D:$X,14,FALSE),"")</f>
        <v/>
      </c>
      <c r="X18" s="221" t="str">
        <f>IFERROR(VLOOKUP($S18,'Emission factors'!$D:$X,16,FALSE),"")</f>
        <v/>
      </c>
      <c r="Y18" s="221" t="str">
        <f>IFERROR(VLOOKUP($S18,'Emission factors'!$D:$X,18,FALSE),"")</f>
        <v/>
      </c>
      <c r="Z18" s="58"/>
      <c r="AA18" s="58"/>
      <c r="AB18" s="58"/>
      <c r="AC18" s="58"/>
      <c r="AD18" s="58"/>
      <c r="AE18" s="58"/>
      <c r="AF18" s="275" t="str">
        <f t="shared" ref="AF18:AH19" si="1">IFERROR(IF(AND($S18="",$Z18=""),"",IF($S18="",IF(AA18=0,"-",AA18),IF(U18=0,"0",$M18*IF($Q18="",1,$Q18)*U18))),"-")</f>
        <v/>
      </c>
      <c r="AG18" s="275" t="str">
        <f t="shared" si="1"/>
        <v/>
      </c>
      <c r="AH18" s="275" t="str">
        <f t="shared" si="1"/>
        <v/>
      </c>
      <c r="AI18" s="275" t="str">
        <f>IFERROR(IF(AND($S18="",$Z18=""),"",IF($S18="",IF(AD18="",SUM(AF18:AH18),IF(AD18=0,"0",AD18)),IF($X18="",SUM($AF18:$AH18),IF($X18=0,"0",$M18*IF($Q18="",1,$Q18)*$X18)))),"-")</f>
        <v/>
      </c>
      <c r="AJ18" s="275" t="str">
        <f>IFERROR(IF(AND($S18="",$Z18=""),"",IF($S18="",IF(AE18=0,"-",AE18),IF(Y18=0,"0",$M18*IF($Q18="",1,$Q18)*Y18))),"-")</f>
        <v/>
      </c>
      <c r="AK18" s="58"/>
      <c r="AL18" s="225"/>
      <c r="AM18" s="268"/>
      <c r="AN18" s="266"/>
    </row>
    <row r="19" spans="1:59" s="15" customFormat="1">
      <c r="A19" s="16"/>
      <c r="B19" s="56" t="s">
        <v>124</v>
      </c>
      <c r="C19" s="56">
        <v>3</v>
      </c>
      <c r="D19" s="2060"/>
      <c r="E19" s="2062"/>
      <c r="F19" s="2060"/>
      <c r="G19" s="2061"/>
      <c r="H19" s="2062"/>
      <c r="I19" s="2060"/>
      <c r="J19" s="2061"/>
      <c r="K19" s="2062"/>
      <c r="L19" s="56"/>
      <c r="M19" s="57"/>
      <c r="N19" s="58"/>
      <c r="O19" s="58"/>
      <c r="P19" s="58"/>
      <c r="Q19" s="221" t="str">
        <f t="array" ref="Q19">IFERROR(INDEX('Conversion factors_2'!$B$10:$CY$111,MATCH(O19,'Conversion factors_2'!$B$10:$B$111,FALSE),HLOOKUP(P19,'Conversion factors_2'!$B$8:$CY$9,2,FALSE)),"")</f>
        <v/>
      </c>
      <c r="R19" s="58"/>
      <c r="S19" s="58"/>
      <c r="T19" s="221" t="str">
        <f>IFERROR(CONCATENATE("tCO2e/",VLOOKUP($S19,'Emission factors'!$D:$J,7,FALSE)),"")</f>
        <v/>
      </c>
      <c r="U19" s="221" t="str">
        <f>IFERROR(VLOOKUP($S19,'Emission factors'!$D:$X,10,FALSE),"")</f>
        <v/>
      </c>
      <c r="V19" s="221" t="str">
        <f>IFERROR(VLOOKUP($S19,'Emission factors'!$D:$X,12,FALSE),"")</f>
        <v/>
      </c>
      <c r="W19" s="221" t="str">
        <f>IFERROR(VLOOKUP($S19,'Emission factors'!$D:$X,14,FALSE),"")</f>
        <v/>
      </c>
      <c r="X19" s="221" t="str">
        <f>IFERROR(VLOOKUP($S19,'Emission factors'!$D:$X,16,FALSE),"")</f>
        <v/>
      </c>
      <c r="Y19" s="221" t="str">
        <f>IFERROR(VLOOKUP($S19,'Emission factors'!$D:$X,18,FALSE),"")</f>
        <v/>
      </c>
      <c r="Z19" s="58"/>
      <c r="AA19" s="58"/>
      <c r="AB19" s="58"/>
      <c r="AC19" s="58"/>
      <c r="AD19" s="58"/>
      <c r="AE19" s="58"/>
      <c r="AF19" s="275" t="str">
        <f t="shared" si="1"/>
        <v/>
      </c>
      <c r="AG19" s="275" t="str">
        <f t="shared" si="1"/>
        <v/>
      </c>
      <c r="AH19" s="275" t="str">
        <f t="shared" si="1"/>
        <v/>
      </c>
      <c r="AI19" s="275" t="str">
        <f>IFERROR(IF(AND($S19="",$Z19=""),"",IF($S19="",IF(AD19="",SUM(AF19:AH19),IF(AD19=0,"0",AD19)),IF($X19="",SUM($AF19:$AH19),IF($X19=0,"0",$M19*IF($Q19="",1,$Q19)*$X19)))),"-")</f>
        <v/>
      </c>
      <c r="AJ19" s="275" t="str">
        <f>IFERROR(IF(AND($S19="",$Z19=""),"",IF($S19="",IF(AE19=0,"-",AE19),IF(Y19=0,"0",$M19*IF($Q19="",1,$Q19)*Y19))),"-")</f>
        <v/>
      </c>
      <c r="AK19" s="58"/>
      <c r="AL19" s="255"/>
      <c r="AM19" s="268"/>
      <c r="AN19" s="266"/>
    </row>
    <row r="20" spans="1:59">
      <c r="B20" s="121" t="s">
        <v>126</v>
      </c>
      <c r="C20" s="121">
        <v>1</v>
      </c>
      <c r="D20" s="145" t="s">
        <v>127</v>
      </c>
      <c r="E20" s="146"/>
      <c r="F20" s="146"/>
      <c r="G20" s="146"/>
      <c r="H20" s="146"/>
      <c r="I20" s="124"/>
      <c r="J20" s="124"/>
      <c r="K20" s="79"/>
      <c r="L20" s="82" t="s">
        <v>175</v>
      </c>
      <c r="M20" s="81"/>
      <c r="N20" s="80"/>
      <c r="O20" s="80"/>
      <c r="P20" s="80"/>
      <c r="Q20" s="80"/>
      <c r="R20" s="80"/>
      <c r="S20" s="80"/>
      <c r="T20" s="80"/>
      <c r="U20" s="80"/>
      <c r="V20" s="80"/>
      <c r="W20" s="80"/>
      <c r="X20" s="80"/>
      <c r="Y20" s="80"/>
      <c r="Z20" s="80"/>
      <c r="AA20" s="80"/>
      <c r="AB20" s="80"/>
      <c r="AC20" s="80"/>
      <c r="AD20" s="80"/>
      <c r="AE20" s="80"/>
      <c r="AF20" s="285"/>
      <c r="AG20" s="285"/>
      <c r="AH20" s="285"/>
      <c r="AI20" s="285"/>
      <c r="AJ20" s="285"/>
      <c r="AK20" s="80"/>
      <c r="AL20" s="271" t="s">
        <v>2698</v>
      </c>
      <c r="AM20" s="765"/>
      <c r="AN20" s="261"/>
    </row>
    <row r="21" spans="1:59" s="15" customFormat="1">
      <c r="A21" s="16"/>
      <c r="B21" s="65" t="s">
        <v>126</v>
      </c>
      <c r="C21" s="65">
        <v>1</v>
      </c>
      <c r="D21" s="2060"/>
      <c r="E21" s="2062"/>
      <c r="F21" s="2060"/>
      <c r="G21" s="2061"/>
      <c r="H21" s="2062"/>
      <c r="I21" s="2060"/>
      <c r="J21" s="2061"/>
      <c r="K21" s="2062"/>
      <c r="L21" s="56"/>
      <c r="M21" s="57"/>
      <c r="N21" s="58"/>
      <c r="O21" s="58"/>
      <c r="P21" s="58"/>
      <c r="Q21" s="221" t="str">
        <f t="array" ref="Q21">IFERROR(INDEX('Conversion factors_2'!$B$10:$CY$111,MATCH(O21,'Conversion factors_2'!$B$10:$B$111,FALSE),HLOOKUP(P21,'Conversion factors_2'!$B$8:$CY$9,2,FALSE)),"")</f>
        <v/>
      </c>
      <c r="R21" s="58"/>
      <c r="S21" s="58"/>
      <c r="T21" s="221" t="str">
        <f>IFERROR(CONCATENATE("tCO2e/",VLOOKUP($S21,'Emission factors'!$D:$J,7,FALSE)),"")</f>
        <v/>
      </c>
      <c r="U21" s="221" t="str">
        <f>IFERROR(VLOOKUP($S21,'Emission factors'!$D:$X,10,FALSE),"")</f>
        <v/>
      </c>
      <c r="V21" s="221" t="str">
        <f>IFERROR(VLOOKUP($S21,'Emission factors'!$D:$X,12,FALSE),"")</f>
        <v/>
      </c>
      <c r="W21" s="221" t="str">
        <f>IFERROR(VLOOKUP($S21,'Emission factors'!$D:$X,14,FALSE),"")</f>
        <v/>
      </c>
      <c r="X21" s="221" t="str">
        <f>IFERROR(VLOOKUP($S21,'Emission factors'!$D:$X,16,FALSE),"")</f>
        <v/>
      </c>
      <c r="Y21" s="221" t="str">
        <f>IFERROR(VLOOKUP($S21,'Emission factors'!$D:$X,18,FALSE),"")</f>
        <v/>
      </c>
      <c r="Z21" s="58"/>
      <c r="AA21" s="58"/>
      <c r="AB21" s="58"/>
      <c r="AC21" s="58"/>
      <c r="AD21" s="58"/>
      <c r="AE21" s="58"/>
      <c r="AF21" s="275" t="str">
        <f t="shared" ref="AF21:AH22" si="2">IFERROR(IF(AND($S21="",$Z21=""),"",IF($S21="",IF(AA21=0,"-",AA21),IF(U21=0,"0",$M21*IF($Q21="",1,$Q21)*U21))),"-")</f>
        <v/>
      </c>
      <c r="AG21" s="275" t="str">
        <f t="shared" si="2"/>
        <v/>
      </c>
      <c r="AH21" s="275" t="str">
        <f t="shared" si="2"/>
        <v/>
      </c>
      <c r="AI21" s="275" t="str">
        <f>IFERROR(IF(AND($S21="",$Z21=""),"",IF($S21="",IF(AD21="",SUM(AF21:AH21),IF(AD21=0,"0",AD21)),IF($X21="",SUM($AF21:$AH21),IF($X21=0,"0",$M21*IF($Q21="",1,$Q21)*$X21)))),"-")</f>
        <v/>
      </c>
      <c r="AJ21" s="275" t="str">
        <f>IFERROR(IF(AND($S21="",$Z21=""),"",IF($S21="",IF(AE21=0,"-",AE21),IF(Y21=0,"0",$M21*IF($Q21="",1,$Q21)*Y21))),"-")</f>
        <v/>
      </c>
      <c r="AK21" s="58"/>
      <c r="AL21" s="225"/>
      <c r="AM21" s="268"/>
      <c r="AN21" s="266"/>
    </row>
    <row r="22" spans="1:59" s="15" customFormat="1" ht="15" customHeight="1">
      <c r="A22" s="16"/>
      <c r="B22" s="56" t="s">
        <v>126</v>
      </c>
      <c r="C22" s="56">
        <v>1</v>
      </c>
      <c r="D22" s="2060"/>
      <c r="E22" s="2062"/>
      <c r="F22" s="2060"/>
      <c r="G22" s="2061"/>
      <c r="H22" s="2062"/>
      <c r="I22" s="2060"/>
      <c r="J22" s="2061"/>
      <c r="K22" s="2062"/>
      <c r="L22" s="56"/>
      <c r="M22" s="57"/>
      <c r="N22" s="58"/>
      <c r="O22" s="58"/>
      <c r="P22" s="58"/>
      <c r="Q22" s="221" t="str">
        <f t="array" ref="Q22">IFERROR(INDEX('Conversion factors_2'!$B$10:$CY$111,MATCH(O22,'Conversion factors_2'!$B$10:$B$111,FALSE),HLOOKUP(P22,'Conversion factors_2'!$B$8:$CY$9,2,FALSE)),"")</f>
        <v/>
      </c>
      <c r="R22" s="58"/>
      <c r="S22" s="58"/>
      <c r="T22" s="221" t="str">
        <f>IFERROR(CONCATENATE("tCO2e/",VLOOKUP($S22,'Emission factors'!$D:$J,7,FALSE)),"")</f>
        <v/>
      </c>
      <c r="U22" s="221" t="str">
        <f>IFERROR(VLOOKUP($S22,'Emission factors'!$D:$X,10,FALSE),"")</f>
        <v/>
      </c>
      <c r="V22" s="221" t="str">
        <f>IFERROR(VLOOKUP($S22,'Emission factors'!$D:$X,12,FALSE),"")</f>
        <v/>
      </c>
      <c r="W22" s="221" t="str">
        <f>IFERROR(VLOOKUP($S22,'Emission factors'!$D:$X,14,FALSE),"")</f>
        <v/>
      </c>
      <c r="X22" s="221" t="str">
        <f>IFERROR(VLOOKUP($S22,'Emission factors'!$D:$X,16,FALSE),"")</f>
        <v/>
      </c>
      <c r="Y22" s="221" t="str">
        <f>IFERROR(VLOOKUP($S22,'Emission factors'!$D:$X,18,FALSE),"")</f>
        <v/>
      </c>
      <c r="Z22" s="56"/>
      <c r="AA22" s="58"/>
      <c r="AB22" s="58"/>
      <c r="AC22" s="58"/>
      <c r="AD22" s="58"/>
      <c r="AE22" s="58"/>
      <c r="AF22" s="472" t="str">
        <f t="shared" si="2"/>
        <v/>
      </c>
      <c r="AG22" s="472" t="str">
        <f t="shared" si="2"/>
        <v/>
      </c>
      <c r="AH22" s="472" t="str">
        <f t="shared" si="2"/>
        <v/>
      </c>
      <c r="AI22" s="472" t="str">
        <f>IFERROR(IF(AND($S22="",$Z22=""),"",IF($S22="",IF(AD22="",SUM(AF22:AH22),IF(AD22=0,"0",AD22)),IF($X22="",SUM($AF22:$AH22),IF($X22=0,"0",$M22*IF($Q22="",1,$Q22)*$X22)))),"-")</f>
        <v/>
      </c>
      <c r="AJ22" s="472" t="str">
        <f>IFERROR(IF(AND($S22="",$Z22=""),"",IF($S22="",IF(AE22=0,"-",AE22),IF(Y22=0,"0",$M22*IF($Q22="",1,$Q22)*Y22))),"-")</f>
        <v/>
      </c>
      <c r="AK22" s="58"/>
      <c r="AL22" s="255"/>
      <c r="AM22" s="268"/>
      <c r="AN22" s="266"/>
    </row>
    <row r="23" spans="1:59" s="22" customFormat="1">
      <c r="A23" s="27"/>
      <c r="B23" s="7"/>
      <c r="C23" s="7"/>
      <c r="D23" s="8"/>
      <c r="E23" s="8"/>
      <c r="F23" s="8"/>
      <c r="G23" s="8"/>
      <c r="H23" s="8"/>
      <c r="I23" s="8"/>
      <c r="J23" s="8"/>
      <c r="K23" s="8"/>
      <c r="L23" s="7"/>
      <c r="M23" s="7"/>
      <c r="N23" s="7"/>
      <c r="O23" s="7"/>
      <c r="P23" s="7"/>
      <c r="Q23" s="7"/>
      <c r="R23" s="7"/>
      <c r="S23" s="7"/>
      <c r="T23" s="7"/>
      <c r="U23" s="7"/>
      <c r="V23" s="7"/>
      <c r="W23" s="7"/>
      <c r="X23" s="7"/>
      <c r="Y23" s="7"/>
      <c r="Z23" s="7"/>
      <c r="AA23" s="7"/>
      <c r="AB23" s="7"/>
      <c r="AC23" s="7"/>
      <c r="AD23" s="7"/>
      <c r="AE23" s="7"/>
      <c r="AF23" s="10"/>
      <c r="AG23" s="10"/>
      <c r="AH23" s="10"/>
      <c r="AI23" s="10"/>
      <c r="AJ23" s="10"/>
      <c r="AK23" s="7"/>
      <c r="AL23" s="8"/>
      <c r="AM23" s="8"/>
      <c r="AN23" s="8"/>
    </row>
    <row r="24" spans="1:59" s="21" customFormat="1" ht="18">
      <c r="B24" s="465" t="s">
        <v>240</v>
      </c>
      <c r="C24" s="635"/>
      <c r="D24" s="18"/>
      <c r="E24" s="18"/>
      <c r="F24" s="18"/>
      <c r="G24" s="18"/>
      <c r="H24" s="18"/>
      <c r="I24" s="18"/>
      <c r="J24" s="18"/>
      <c r="K24" s="18"/>
      <c r="L24" s="18"/>
      <c r="M24" s="18"/>
      <c r="N24" s="18"/>
      <c r="O24" s="19"/>
      <c r="P24" s="635"/>
      <c r="Q24" s="635"/>
      <c r="R24" s="635"/>
      <c r="S24" s="635"/>
      <c r="T24" s="635"/>
      <c r="U24" s="635"/>
      <c r="V24" s="27"/>
      <c r="W24" s="27"/>
      <c r="X24" s="27"/>
      <c r="Y24" s="27"/>
      <c r="Z24" s="27"/>
      <c r="AA24" s="27"/>
      <c r="AB24" s="27"/>
      <c r="AC24" s="27"/>
      <c r="AD24" s="27"/>
      <c r="AE24" s="27"/>
      <c r="AF24" s="27"/>
      <c r="AG24" s="27"/>
      <c r="AH24" s="27"/>
      <c r="AI24" s="27"/>
      <c r="AJ24" s="27"/>
      <c r="AK24" s="28"/>
      <c r="AL24" s="28"/>
      <c r="AM24" s="28"/>
      <c r="AN24" s="28"/>
      <c r="AO24" s="19"/>
      <c r="AP24" s="19"/>
      <c r="AQ24" s="254"/>
      <c r="AR24" s="254"/>
      <c r="AS24" s="254"/>
    </row>
    <row r="25" spans="1:59" s="21" customFormat="1">
      <c r="A25" s="38"/>
      <c r="B25" s="17"/>
      <c r="C25" s="17"/>
      <c r="D25" s="18"/>
      <c r="E25" s="18"/>
      <c r="F25" s="18"/>
      <c r="G25" s="18"/>
      <c r="H25" s="18"/>
      <c r="I25" s="18"/>
      <c r="J25" s="18"/>
      <c r="K25" s="18"/>
      <c r="L25" s="19"/>
      <c r="M25" s="17"/>
      <c r="N25" s="17"/>
      <c r="O25" s="17"/>
      <c r="P25" s="17"/>
      <c r="Q25" s="241"/>
      <c r="R25" s="11"/>
      <c r="S25" s="17"/>
      <c r="T25" s="241"/>
      <c r="U25" s="241"/>
      <c r="V25" s="241"/>
      <c r="W25" s="241"/>
      <c r="X25" s="241"/>
      <c r="Y25" s="241"/>
      <c r="Z25" s="241"/>
      <c r="AA25" s="241"/>
      <c r="AB25" s="241"/>
      <c r="AC25" s="241"/>
      <c r="AD25" s="241"/>
      <c r="AE25" s="241"/>
      <c r="AF25" s="28"/>
      <c r="AG25" s="28"/>
      <c r="AH25" s="28"/>
      <c r="AI25" s="28"/>
      <c r="AJ25" s="28"/>
      <c r="AK25" s="19"/>
      <c r="AL25" s="20"/>
      <c r="AM25" s="20"/>
      <c r="AN25" s="20"/>
    </row>
    <row r="26" spans="1:59" s="5" customFormat="1" ht="16" customHeight="1">
      <c r="A26" s="39"/>
      <c r="B26" s="2065" t="s">
        <v>37</v>
      </c>
      <c r="C26" s="2065" t="s">
        <v>38</v>
      </c>
      <c r="D26" s="2095" t="s">
        <v>242</v>
      </c>
      <c r="E26" s="2106"/>
      <c r="F26" s="2106"/>
      <c r="G26" s="2106"/>
      <c r="H26" s="2106"/>
      <c r="I26" s="2106"/>
      <c r="J26" s="2106"/>
      <c r="K26" s="2096"/>
      <c r="L26" s="2066" t="s">
        <v>297</v>
      </c>
      <c r="M26" s="2095" t="s">
        <v>169</v>
      </c>
      <c r="N26" s="2096"/>
      <c r="O26" s="2098" t="s">
        <v>841</v>
      </c>
      <c r="P26" s="2099"/>
      <c r="Q26" s="2100"/>
      <c r="R26" s="2087" t="s">
        <v>302</v>
      </c>
      <c r="S26" s="2087" t="s">
        <v>782</v>
      </c>
      <c r="T26" s="2063" t="s">
        <v>782</v>
      </c>
      <c r="U26" s="2063"/>
      <c r="V26" s="2063"/>
      <c r="W26" s="2063"/>
      <c r="X26" s="2063"/>
      <c r="Y26" s="2064"/>
      <c r="Z26" s="2093" t="s">
        <v>928</v>
      </c>
      <c r="AA26" s="2083" t="s">
        <v>934</v>
      </c>
      <c r="AB26" s="2083"/>
      <c r="AC26" s="2083"/>
      <c r="AD26" s="2083"/>
      <c r="AE26" s="2083"/>
      <c r="AF26" s="2109" t="s">
        <v>289</v>
      </c>
      <c r="AG26" s="2110"/>
      <c r="AH26" s="2110"/>
      <c r="AI26" s="2110"/>
      <c r="AJ26" s="2111"/>
      <c r="AK26" s="895" t="s">
        <v>41</v>
      </c>
      <c r="AL26" s="2075" t="s">
        <v>937</v>
      </c>
      <c r="AM26" s="2112" t="s">
        <v>723</v>
      </c>
      <c r="AN26" s="2091" t="s">
        <v>826</v>
      </c>
      <c r="AO26" s="14"/>
      <c r="AP26" s="14"/>
      <c r="AQ26" s="14"/>
      <c r="AR26" s="14"/>
      <c r="AS26" s="14"/>
      <c r="AT26" s="14"/>
      <c r="AU26" s="14"/>
      <c r="AV26" s="14"/>
      <c r="AW26" s="14"/>
      <c r="AX26" s="14"/>
      <c r="AY26" s="14"/>
      <c r="AZ26" s="14"/>
      <c r="BA26" s="14"/>
      <c r="BB26" s="14"/>
      <c r="BC26" s="14"/>
      <c r="BD26" s="14"/>
      <c r="BE26" s="14"/>
      <c r="BF26" s="14"/>
      <c r="BG26" s="14"/>
    </row>
    <row r="27" spans="1:59" s="5" customFormat="1" ht="17">
      <c r="A27" s="39"/>
      <c r="B27" s="2065"/>
      <c r="C27" s="2065"/>
      <c r="D27" s="2095" t="s">
        <v>243</v>
      </c>
      <c r="E27" s="2096"/>
      <c r="F27" s="2095" t="s">
        <v>919</v>
      </c>
      <c r="G27" s="2106"/>
      <c r="H27" s="2096"/>
      <c r="I27" s="2095" t="s">
        <v>241</v>
      </c>
      <c r="J27" s="2106"/>
      <c r="K27" s="2096"/>
      <c r="L27" s="2065"/>
      <c r="M27" s="775" t="s">
        <v>170</v>
      </c>
      <c r="N27" s="775" t="s">
        <v>171</v>
      </c>
      <c r="O27" s="776" t="s">
        <v>813</v>
      </c>
      <c r="P27" s="776" t="s">
        <v>814</v>
      </c>
      <c r="Q27" s="776" t="s">
        <v>927</v>
      </c>
      <c r="R27" s="2088"/>
      <c r="S27" s="2088"/>
      <c r="T27" s="778" t="s">
        <v>171</v>
      </c>
      <c r="U27" s="774" t="s">
        <v>929</v>
      </c>
      <c r="V27" s="774" t="s">
        <v>930</v>
      </c>
      <c r="W27" s="774" t="s">
        <v>931</v>
      </c>
      <c r="X27" s="774" t="s">
        <v>932</v>
      </c>
      <c r="Y27" s="774" t="s">
        <v>933</v>
      </c>
      <c r="Z27" s="2094"/>
      <c r="AA27" s="774" t="s">
        <v>929</v>
      </c>
      <c r="AB27" s="774" t="s">
        <v>930</v>
      </c>
      <c r="AC27" s="774" t="s">
        <v>931</v>
      </c>
      <c r="AD27" s="774" t="s">
        <v>932</v>
      </c>
      <c r="AE27" s="774" t="s">
        <v>933</v>
      </c>
      <c r="AF27" s="777" t="s">
        <v>290</v>
      </c>
      <c r="AG27" s="777" t="s">
        <v>291</v>
      </c>
      <c r="AH27" s="777" t="s">
        <v>292</v>
      </c>
      <c r="AI27" s="777" t="s">
        <v>293</v>
      </c>
      <c r="AJ27" s="777" t="s">
        <v>294</v>
      </c>
      <c r="AK27" s="775" t="s">
        <v>44</v>
      </c>
      <c r="AL27" s="2075"/>
      <c r="AM27" s="2113"/>
      <c r="AN27" s="2092"/>
      <c r="AO27" s="14"/>
      <c r="AP27" s="14"/>
      <c r="AQ27" s="14"/>
      <c r="AR27" s="14"/>
      <c r="AS27" s="14"/>
      <c r="AT27" s="14"/>
      <c r="AU27" s="14"/>
      <c r="AV27" s="14"/>
      <c r="AW27" s="14"/>
      <c r="AX27" s="14"/>
      <c r="AY27" s="14"/>
      <c r="AZ27" s="14"/>
      <c r="BA27" s="14"/>
      <c r="BB27" s="14"/>
      <c r="BC27" s="14"/>
      <c r="BD27" s="14"/>
      <c r="BE27" s="14"/>
      <c r="BF27" s="14"/>
      <c r="BG27" s="14"/>
    </row>
    <row r="28" spans="1:59" ht="15" customHeight="1">
      <c r="B28" s="873" t="s">
        <v>129</v>
      </c>
      <c r="C28" s="873">
        <v>1</v>
      </c>
      <c r="D28" s="53" t="s">
        <v>298</v>
      </c>
      <c r="E28" s="102"/>
      <c r="F28" s="102"/>
      <c r="G28" s="102"/>
      <c r="H28" s="102"/>
      <c r="I28" s="102"/>
      <c r="J28" s="102"/>
      <c r="K28" s="651"/>
      <c r="L28" s="85"/>
      <c r="M28" s="103"/>
      <c r="N28" s="104"/>
      <c r="O28" s="104"/>
      <c r="P28" s="104"/>
      <c r="Q28" s="104"/>
      <c r="R28" s="54"/>
      <c r="S28" s="104"/>
      <c r="T28" s="104"/>
      <c r="U28" s="104"/>
      <c r="V28" s="104"/>
      <c r="W28" s="104"/>
      <c r="X28" s="104"/>
      <c r="Y28" s="104"/>
      <c r="Z28" s="104"/>
      <c r="AA28" s="104"/>
      <c r="AB28" s="104"/>
      <c r="AC28" s="104"/>
      <c r="AD28" s="104"/>
      <c r="AE28" s="104"/>
      <c r="AF28" s="281"/>
      <c r="AG28" s="281"/>
      <c r="AH28" s="281"/>
      <c r="AI28" s="281"/>
      <c r="AJ28" s="281"/>
      <c r="AK28" s="54"/>
      <c r="AL28" s="657"/>
      <c r="AM28" s="871"/>
      <c r="AN28" s="874"/>
    </row>
    <row r="29" spans="1:59" s="15" customFormat="1">
      <c r="A29" s="16"/>
      <c r="B29" s="71" t="s">
        <v>129</v>
      </c>
      <c r="C29" s="71">
        <v>1</v>
      </c>
      <c r="D29" s="2060" t="s">
        <v>278</v>
      </c>
      <c r="E29" s="2062"/>
      <c r="F29" s="2060" t="s">
        <v>214</v>
      </c>
      <c r="G29" s="2061"/>
      <c r="H29" s="2062"/>
      <c r="I29" s="2060"/>
      <c r="J29" s="2061"/>
      <c r="K29" s="2062"/>
      <c r="L29" s="56"/>
      <c r="M29" s="57">
        <v>100000</v>
      </c>
      <c r="N29" s="58" t="s">
        <v>2694</v>
      </c>
      <c r="O29" s="58" t="s">
        <v>2694</v>
      </c>
      <c r="P29" s="58" t="s">
        <v>784</v>
      </c>
      <c r="Q29" s="221">
        <v>1000</v>
      </c>
      <c r="R29" s="58" t="s">
        <v>308</v>
      </c>
      <c r="S29" s="58" t="s">
        <v>2705</v>
      </c>
      <c r="T29" s="221" t="str">
        <f>IFERROR(CONCATENATE("tCO2e/",VLOOKUP($S29,'Emission factors'!$D:$J,7,FALSE)),"")</f>
        <v>tCO2e/kg</v>
      </c>
      <c r="U29" s="221" t="str">
        <f>IFERROR(VLOOKUP($S29,'Emission factors'!$D:$X,10,FALSE),"")</f>
        <v/>
      </c>
      <c r="V29" s="221">
        <f>IFERROR(VLOOKUP($S29,'Emission factors'!$D:$X,12,FALSE),"")</f>
        <v>9.9999999999999991E-5</v>
      </c>
      <c r="W29" s="221">
        <f>IFERROR(VLOOKUP($S29,'Emission factors'!$D:$X,14,FALSE),"")</f>
        <v>7.1519999999999993E-5</v>
      </c>
      <c r="X29" s="221" t="str">
        <f>IFERROR(VLOOKUP($S29,'Emission factors'!$D:$X,16,FALSE),"")</f>
        <v/>
      </c>
      <c r="Y29" s="221" t="str">
        <f>IFERROR(VLOOKUP($S29,'Emission factors'!$D:$X,18,FALSE),"")</f>
        <v/>
      </c>
      <c r="Z29" s="58"/>
      <c r="AA29" s="58"/>
      <c r="AB29" s="58"/>
      <c r="AC29" s="58"/>
      <c r="AD29" s="58"/>
      <c r="AE29" s="58"/>
      <c r="AF29" s="275" t="str">
        <f t="shared" ref="AF29:AH30" si="3">IFERROR(IF(AND($S29="",$Z29=""),"",IF($S29="",IF(AA29=0,"-",AA29),IF(U29=0,"0",$M29*IF($Q29="",1,$Q29)*U29))),"-")</f>
        <v>-</v>
      </c>
      <c r="AG29" s="275">
        <f t="shared" si="3"/>
        <v>10000</v>
      </c>
      <c r="AH29" s="275">
        <f t="shared" si="3"/>
        <v>7151.9999999999991</v>
      </c>
      <c r="AI29" s="275">
        <f>IFERROR(IF(AND($S29="",$Z29=""),"",IF($S29="",IF(AD29="",SUM(AF29:AH29),IF(AD29=0,"0",AD29)),IF($X29="",SUM($AF29:$AH29),IF($X29=0,"0",$M29*IF($Q29="",1,$Q29)*$X29)))),"-")</f>
        <v>17152</v>
      </c>
      <c r="AJ29" s="275" t="str">
        <f>IFERROR(IF(AND($S29="",$Z29=""),"",IF($S29="",IF(AE29=0,"-",AE29),IF(Y29=0,"0",$M29*IF($Q29="",1,$Q29)*Y29))),"-")</f>
        <v>-</v>
      </c>
      <c r="AK29" s="58" t="s">
        <v>181</v>
      </c>
      <c r="AL29" s="225"/>
      <c r="AM29" s="226"/>
      <c r="AN29" s="779"/>
    </row>
    <row r="30" spans="1:59" s="15" customFormat="1">
      <c r="A30" s="16"/>
      <c r="B30" s="71" t="s">
        <v>129</v>
      </c>
      <c r="C30" s="71">
        <v>1</v>
      </c>
      <c r="D30" s="2060"/>
      <c r="E30" s="2062"/>
      <c r="F30" s="2060"/>
      <c r="G30" s="2061"/>
      <c r="H30" s="2062"/>
      <c r="I30" s="2060"/>
      <c r="J30" s="2061"/>
      <c r="K30" s="2062"/>
      <c r="L30" s="56"/>
      <c r="M30" s="57"/>
      <c r="N30" s="58"/>
      <c r="O30" s="58"/>
      <c r="P30" s="58"/>
      <c r="Q30" s="221" t="str">
        <f t="array" ref="Q30">IFERROR(INDEX('Conversion factors_2'!$B$10:$CY$111,MATCH(O30,'Conversion factors_2'!$B$10:$B$111,FALSE),HLOOKUP(P30,'Conversion factors_2'!$B$8:$CY$9,2,FALSE)),"")</f>
        <v/>
      </c>
      <c r="R30" s="58"/>
      <c r="S30" s="58"/>
      <c r="T30" s="221" t="str">
        <f>IFERROR(CONCATENATE("tCO2e/",VLOOKUP($S30,'Emission factors'!$D:$J,7,FALSE)),"")</f>
        <v/>
      </c>
      <c r="U30" s="221" t="str">
        <f>IFERROR(VLOOKUP($S30,'Emission factors'!$D:$X,10,FALSE),"")</f>
        <v/>
      </c>
      <c r="V30" s="221" t="str">
        <f>IFERROR(VLOOKUP($S30,'Emission factors'!$D:$X,12,FALSE),"")</f>
        <v/>
      </c>
      <c r="W30" s="221" t="str">
        <f>IFERROR(VLOOKUP($S30,'Emission factors'!$D:$X,14,FALSE),"")</f>
        <v/>
      </c>
      <c r="X30" s="221" t="str">
        <f>IFERROR(VLOOKUP($S30,'Emission factors'!$D:$X,16,FALSE),"")</f>
        <v/>
      </c>
      <c r="Y30" s="221" t="str">
        <f>IFERROR(VLOOKUP($S30,'Emission factors'!$D:$X,18,FALSE),"")</f>
        <v/>
      </c>
      <c r="Z30" s="58"/>
      <c r="AA30" s="58"/>
      <c r="AB30" s="58"/>
      <c r="AC30" s="58"/>
      <c r="AD30" s="58"/>
      <c r="AE30" s="58"/>
      <c r="AF30" s="275" t="str">
        <f t="shared" si="3"/>
        <v/>
      </c>
      <c r="AG30" s="275" t="str">
        <f t="shared" si="3"/>
        <v/>
      </c>
      <c r="AH30" s="275" t="str">
        <f t="shared" si="3"/>
        <v/>
      </c>
      <c r="AI30" s="275" t="str">
        <f>IFERROR(IF(AND($S30="",$Z30=""),"",IF($S30="",IF(AD30="",SUM(AF30:AH30),IF(AD30=0,"0",AD30)),IF($X30="",SUM($AF30:$AH30),IF($X30=0,"0",$M30*IF($Q30="",1,$Q30)*$X30)))),"-")</f>
        <v/>
      </c>
      <c r="AJ30" s="275" t="str">
        <f>IFERROR(IF(AND($S30="",$Z30=""),"",IF($S30="",IF(AE30=0,"-",AE30),IF(Y30=0,"0",$M30*IF($Q30="",1,$Q30)*Y30))),"-")</f>
        <v/>
      </c>
      <c r="AK30" s="58"/>
      <c r="AL30" s="255"/>
      <c r="AM30" s="226"/>
      <c r="AN30" s="779"/>
    </row>
    <row r="31" spans="1:59">
      <c r="B31" s="122" t="s">
        <v>130</v>
      </c>
      <c r="C31" s="123">
        <v>3</v>
      </c>
      <c r="D31" s="61" t="s">
        <v>131</v>
      </c>
      <c r="E31" s="105"/>
      <c r="F31" s="105"/>
      <c r="G31" s="105"/>
      <c r="H31" s="105"/>
      <c r="I31" s="105"/>
      <c r="J31" s="105"/>
      <c r="K31" s="62"/>
      <c r="L31" s="74"/>
      <c r="M31" s="64"/>
      <c r="N31" s="64"/>
      <c r="O31" s="64"/>
      <c r="P31" s="64"/>
      <c r="Q31" s="64"/>
      <c r="R31" s="64"/>
      <c r="S31" s="64"/>
      <c r="T31" s="64"/>
      <c r="U31" s="64"/>
      <c r="V31" s="64"/>
      <c r="W31" s="64"/>
      <c r="X31" s="64"/>
      <c r="Y31" s="64"/>
      <c r="Z31" s="64"/>
      <c r="AA31" s="64"/>
      <c r="AB31" s="64"/>
      <c r="AC31" s="64"/>
      <c r="AD31" s="64"/>
      <c r="AE31" s="64"/>
      <c r="AF31" s="276"/>
      <c r="AG31" s="276"/>
      <c r="AH31" s="276"/>
      <c r="AI31" s="276"/>
      <c r="AJ31" s="276"/>
      <c r="AK31" s="54"/>
      <c r="AL31" s="227"/>
      <c r="AM31" s="250"/>
      <c r="AN31" s="872"/>
    </row>
    <row r="32" spans="1:59" s="15" customFormat="1">
      <c r="A32" s="16"/>
      <c r="B32" s="71" t="s">
        <v>130</v>
      </c>
      <c r="C32" s="71">
        <v>3</v>
      </c>
      <c r="D32" s="2060" t="s">
        <v>278</v>
      </c>
      <c r="E32" s="2062"/>
      <c r="F32" s="2060" t="s">
        <v>214</v>
      </c>
      <c r="G32" s="2061"/>
      <c r="H32" s="2062"/>
      <c r="I32" s="2060"/>
      <c r="J32" s="2061"/>
      <c r="K32" s="2062"/>
      <c r="L32" s="56"/>
      <c r="M32" s="57">
        <v>200000</v>
      </c>
      <c r="N32" s="58" t="s">
        <v>2694</v>
      </c>
      <c r="O32" s="58" t="s">
        <v>2694</v>
      </c>
      <c r="P32" s="58" t="s">
        <v>784</v>
      </c>
      <c r="Q32" s="221">
        <v>1000</v>
      </c>
      <c r="R32" s="58" t="s">
        <v>308</v>
      </c>
      <c r="S32" s="58" t="s">
        <v>2705</v>
      </c>
      <c r="T32" s="221" t="str">
        <f>IFERROR(CONCATENATE("tCO2e/",VLOOKUP($S32,'Emission factors'!$D:$J,7,FALSE)),"")</f>
        <v>tCO2e/kg</v>
      </c>
      <c r="U32" s="221" t="str">
        <f>IFERROR(VLOOKUP($S32,'Emission factors'!$D:$X,10,FALSE),"")</f>
        <v/>
      </c>
      <c r="V32" s="221">
        <f>IFERROR(VLOOKUP($S32,'Emission factors'!$D:$X,12,FALSE),"")</f>
        <v>9.9999999999999991E-5</v>
      </c>
      <c r="W32" s="221">
        <f>IFERROR(VLOOKUP($S32,'Emission factors'!$D:$X,14,FALSE),"")</f>
        <v>7.1519999999999993E-5</v>
      </c>
      <c r="X32" s="221" t="str">
        <f>IFERROR(VLOOKUP($S32,'Emission factors'!$D:$X,16,FALSE),"")</f>
        <v/>
      </c>
      <c r="Y32" s="221" t="str">
        <f>IFERROR(VLOOKUP($S32,'Emission factors'!$D:$X,18,FALSE),"")</f>
        <v/>
      </c>
      <c r="Z32" s="58"/>
      <c r="AA32" s="58"/>
      <c r="AB32" s="58"/>
      <c r="AC32" s="58"/>
      <c r="AD32" s="58"/>
      <c r="AE32" s="58"/>
      <c r="AF32" s="275" t="str">
        <f t="shared" ref="AF32:AH33" si="4">IFERROR(IF(AND($S32="",$Z32=""),"",IF($S32="",IF(AA32=0,"-",AA32),IF(U32=0,"0",$M32*IF($Q32="",1,$Q32)*U32))),"-")</f>
        <v>-</v>
      </c>
      <c r="AG32" s="275">
        <f t="shared" si="4"/>
        <v>20000</v>
      </c>
      <c r="AH32" s="275">
        <f t="shared" si="4"/>
        <v>14303.999999999998</v>
      </c>
      <c r="AI32" s="275">
        <f>IFERROR(IF(AND($S32="",$Z32=""),"",IF($S32="",IF(AD32="",SUM(AF32:AH32),IF(AD32=0,"0",AD32)),IF($X32="",SUM($AF32:$AH32),IF($X32=0,"0",$M32*IF($Q32="",1,$Q32)*$X32)))),"-")</f>
        <v>34304</v>
      </c>
      <c r="AJ32" s="275" t="str">
        <f>IFERROR(IF(AND($S32="",$Z32=""),"",IF($S32="",IF(AE32=0,"-",AE32),IF(Y32=0,"0",$M32*IF($Q32="",1,$Q32)*Y32))),"-")</f>
        <v>-</v>
      </c>
      <c r="AK32" s="58" t="s">
        <v>181</v>
      </c>
      <c r="AL32" s="225"/>
      <c r="AM32" s="226"/>
      <c r="AN32" s="779"/>
    </row>
    <row r="33" spans="1:59" s="15" customFormat="1">
      <c r="A33" s="16"/>
      <c r="B33" s="71" t="s">
        <v>130</v>
      </c>
      <c r="C33" s="71">
        <v>3</v>
      </c>
      <c r="D33" s="2060"/>
      <c r="E33" s="2062"/>
      <c r="F33" s="2060"/>
      <c r="G33" s="2061"/>
      <c r="H33" s="2062"/>
      <c r="I33" s="2060"/>
      <c r="J33" s="2061"/>
      <c r="K33" s="2062"/>
      <c r="L33" s="56"/>
      <c r="M33" s="57"/>
      <c r="N33" s="58"/>
      <c r="O33" s="58"/>
      <c r="P33" s="58"/>
      <c r="Q33" s="221" t="str">
        <f t="array" ref="Q33">IFERROR(INDEX('Conversion factors_2'!$B$10:$CY$111,MATCH(O33,'Conversion factors_2'!$B$10:$B$111,FALSE),HLOOKUP(P33,'Conversion factors_2'!$B$8:$CY$9,2,FALSE)),"")</f>
        <v/>
      </c>
      <c r="R33" s="58"/>
      <c r="S33" s="58"/>
      <c r="T33" s="221" t="str">
        <f>IFERROR(CONCATENATE("tCO2e/",VLOOKUP($S33,'Emission factors'!$D:$J,7,FALSE)),"")</f>
        <v/>
      </c>
      <c r="U33" s="221" t="str">
        <f>IFERROR(VLOOKUP($S33,'Emission factors'!$D:$X,10,FALSE),"")</f>
        <v/>
      </c>
      <c r="V33" s="221" t="str">
        <f>IFERROR(VLOOKUP($S33,'Emission factors'!$D:$X,12,FALSE),"")</f>
        <v/>
      </c>
      <c r="W33" s="221" t="str">
        <f>IFERROR(VLOOKUP($S33,'Emission factors'!$D:$X,14,FALSE),"")</f>
        <v/>
      </c>
      <c r="X33" s="221" t="str">
        <f>IFERROR(VLOOKUP($S33,'Emission factors'!$D:$X,16,FALSE),"")</f>
        <v/>
      </c>
      <c r="Y33" s="221" t="str">
        <f>IFERROR(VLOOKUP($S33,'Emission factors'!$D:$X,18,FALSE),"")</f>
        <v/>
      </c>
      <c r="Z33" s="58"/>
      <c r="AA33" s="58"/>
      <c r="AB33" s="58"/>
      <c r="AC33" s="58"/>
      <c r="AD33" s="58"/>
      <c r="AE33" s="58"/>
      <c r="AF33" s="275" t="str">
        <f t="shared" si="4"/>
        <v/>
      </c>
      <c r="AG33" s="275" t="str">
        <f t="shared" si="4"/>
        <v/>
      </c>
      <c r="AH33" s="275" t="str">
        <f t="shared" si="4"/>
        <v/>
      </c>
      <c r="AI33" s="275" t="str">
        <f>IFERROR(IF(AND($S33="",$Z33=""),"",IF($S33="",IF(AD33="",SUM(AF33:AH33),IF(AD33=0,"0",AD33)),IF($X33="",SUM($AF33:$AH33),IF($X33=0,"0",$M33*IF($Q33="",1,$Q33)*$X33)))),"-")</f>
        <v/>
      </c>
      <c r="AJ33" s="275" t="str">
        <f>IFERROR(IF(AND($S33="",$Z33=""),"",IF($S33="",IF(AE33=0,"-",AE33),IF(Y33=0,"0",$M33*IF($Q33="",1,$Q33)*Y33))),"-")</f>
        <v/>
      </c>
      <c r="AK33" s="58"/>
      <c r="AL33" s="255"/>
      <c r="AM33" s="226"/>
      <c r="AN33" s="779"/>
    </row>
    <row r="34" spans="1:59">
      <c r="B34" s="121" t="s">
        <v>132</v>
      </c>
      <c r="C34" s="77">
        <v>1</v>
      </c>
      <c r="D34" s="145" t="s">
        <v>133</v>
      </c>
      <c r="E34" s="146"/>
      <c r="F34" s="146"/>
      <c r="G34" s="146"/>
      <c r="H34" s="146"/>
      <c r="I34" s="124"/>
      <c r="J34" s="124"/>
      <c r="K34" s="79"/>
      <c r="L34" s="82" t="s">
        <v>175</v>
      </c>
      <c r="M34" s="81"/>
      <c r="N34" s="80"/>
      <c r="O34" s="80"/>
      <c r="P34" s="80"/>
      <c r="Q34" s="80"/>
      <c r="R34" s="80"/>
      <c r="S34" s="80"/>
      <c r="T34" s="80"/>
      <c r="U34" s="80"/>
      <c r="V34" s="80"/>
      <c r="W34" s="80"/>
      <c r="X34" s="80"/>
      <c r="Y34" s="80"/>
      <c r="Z34" s="80"/>
      <c r="AA34" s="80"/>
      <c r="AB34" s="80"/>
      <c r="AC34" s="80"/>
      <c r="AD34" s="80"/>
      <c r="AE34" s="80"/>
      <c r="AF34" s="285"/>
      <c r="AG34" s="285"/>
      <c r="AH34" s="285"/>
      <c r="AI34" s="285"/>
      <c r="AJ34" s="285"/>
      <c r="AK34" s="80"/>
      <c r="AL34" s="261"/>
      <c r="AM34" s="214"/>
      <c r="AN34" s="765"/>
    </row>
    <row r="35" spans="1:59" s="15" customFormat="1">
      <c r="A35" s="16"/>
      <c r="B35" s="71" t="s">
        <v>132</v>
      </c>
      <c r="C35" s="71">
        <v>1</v>
      </c>
      <c r="D35" s="2060"/>
      <c r="E35" s="2062"/>
      <c r="F35" s="2060"/>
      <c r="G35" s="2061"/>
      <c r="H35" s="2062"/>
      <c r="I35" s="2060"/>
      <c r="J35" s="2061"/>
      <c r="K35" s="2062"/>
      <c r="L35" s="56"/>
      <c r="M35" s="57"/>
      <c r="N35" s="58"/>
      <c r="O35" s="58"/>
      <c r="P35" s="58"/>
      <c r="Q35" s="221" t="str">
        <f t="array" ref="Q35">IFERROR(INDEX('Conversion factors_2'!$B$10:$CY$111,MATCH(O35,'Conversion factors_2'!$B$10:$B$111,FALSE),HLOOKUP(P35,'Conversion factors_2'!$B$8:$CY$9,2,FALSE)),"")</f>
        <v/>
      </c>
      <c r="R35" s="58"/>
      <c r="S35" s="58"/>
      <c r="T35" s="221" t="str">
        <f>IFERROR(CONCATENATE("tCO2e/",VLOOKUP($S35,'Emission factors'!$D:$J,7,FALSE)),"")</f>
        <v/>
      </c>
      <c r="U35" s="221" t="str">
        <f>IFERROR(VLOOKUP($S35,'Emission factors'!$D:$X,10,FALSE),"")</f>
        <v/>
      </c>
      <c r="V35" s="221" t="str">
        <f>IFERROR(VLOOKUP($S35,'Emission factors'!$D:$X,12,FALSE),"")</f>
        <v/>
      </c>
      <c r="W35" s="221" t="str">
        <f>IFERROR(VLOOKUP($S35,'Emission factors'!$D:$X,14,FALSE),"")</f>
        <v/>
      </c>
      <c r="X35" s="221" t="str">
        <f>IFERROR(VLOOKUP($S35,'Emission factors'!$D:$X,16,FALSE),"")</f>
        <v/>
      </c>
      <c r="Y35" s="221" t="str">
        <f>IFERROR(VLOOKUP($S35,'Emission factors'!$D:$X,18,FALSE),"")</f>
        <v/>
      </c>
      <c r="Z35" s="58"/>
      <c r="AA35" s="58"/>
      <c r="AB35" s="58"/>
      <c r="AC35" s="58"/>
      <c r="AD35" s="58"/>
      <c r="AE35" s="58"/>
      <c r="AF35" s="275" t="str">
        <f t="shared" ref="AF35:AH36" si="5">IFERROR(IF(AND($S35="",$Z35=""),"",IF($S35="",IF(AA35=0,"-",AA35),IF(U35=0,"0",$M35*IF($Q35="",1,$Q35)*U35))),"-")</f>
        <v/>
      </c>
      <c r="AG35" s="275" t="str">
        <f t="shared" si="5"/>
        <v/>
      </c>
      <c r="AH35" s="275" t="str">
        <f t="shared" si="5"/>
        <v/>
      </c>
      <c r="AI35" s="275" t="str">
        <f>IFERROR(IF(AND($S35="",$Z35=""),"",IF($S35="",IF(AD35="",SUM(AF35:AH35),IF(AD35=0,"0",AD35)),IF($X35="",SUM($AF35:$AH35),IF($X35=0,"0",$M35*IF($Q35="",1,$Q35)*$X35)))),"-")</f>
        <v/>
      </c>
      <c r="AJ35" s="275" t="str">
        <f>IFERROR(IF(AND($S35="",$Z35=""),"",IF($S35="",IF(AE35=0,"-",AE35),IF(Y35=0,"0",$M35*IF($Q35="",1,$Q35)*Y35))),"-")</f>
        <v/>
      </c>
      <c r="AK35" s="58"/>
      <c r="AL35" s="225"/>
      <c r="AM35" s="226"/>
      <c r="AN35" s="779"/>
    </row>
    <row r="36" spans="1:59" s="15" customFormat="1" ht="15" customHeight="1">
      <c r="A36" s="16"/>
      <c r="B36" s="56" t="s">
        <v>132</v>
      </c>
      <c r="C36" s="56">
        <v>1</v>
      </c>
      <c r="D36" s="2060"/>
      <c r="E36" s="2062"/>
      <c r="F36" s="2060"/>
      <c r="G36" s="2061"/>
      <c r="H36" s="2062"/>
      <c r="I36" s="2060"/>
      <c r="J36" s="2061"/>
      <c r="K36" s="2062"/>
      <c r="L36" s="56"/>
      <c r="M36" s="57"/>
      <c r="N36" s="58"/>
      <c r="O36" s="58"/>
      <c r="P36" s="58"/>
      <c r="Q36" s="221" t="str">
        <f t="array" ref="Q36">IFERROR(INDEX('Conversion factors_2'!$B$10:$CY$111,MATCH(O36,'Conversion factors_2'!$B$10:$B$111,FALSE),HLOOKUP(P36,'Conversion factors_2'!$B$8:$CY$9,2,FALSE)),"")</f>
        <v/>
      </c>
      <c r="R36" s="58"/>
      <c r="S36" s="58"/>
      <c r="T36" s="221" t="str">
        <f>IFERROR(CONCATENATE("tCO2e/",VLOOKUP($S36,'Emission factors'!$D:$J,7,FALSE)),"")</f>
        <v/>
      </c>
      <c r="U36" s="221" t="str">
        <f>IFERROR(VLOOKUP($S36,'Emission factors'!$D:$X,10,FALSE),"")</f>
        <v/>
      </c>
      <c r="V36" s="221" t="str">
        <f>IFERROR(VLOOKUP($S36,'Emission factors'!$D:$X,12,FALSE),"")</f>
        <v/>
      </c>
      <c r="W36" s="221" t="str">
        <f>IFERROR(VLOOKUP($S36,'Emission factors'!$D:$X,14,FALSE),"")</f>
        <v/>
      </c>
      <c r="X36" s="221" t="str">
        <f>IFERROR(VLOOKUP($S36,'Emission factors'!$D:$X,16,FALSE),"")</f>
        <v/>
      </c>
      <c r="Y36" s="221" t="str">
        <f>IFERROR(VLOOKUP($S36,'Emission factors'!$D:$X,18,FALSE),"")</f>
        <v/>
      </c>
      <c r="Z36" s="56"/>
      <c r="AA36" s="58"/>
      <c r="AB36" s="58"/>
      <c r="AC36" s="58"/>
      <c r="AD36" s="58"/>
      <c r="AE36" s="58"/>
      <c r="AF36" s="472" t="str">
        <f t="shared" si="5"/>
        <v/>
      </c>
      <c r="AG36" s="472" t="str">
        <f t="shared" si="5"/>
        <v/>
      </c>
      <c r="AH36" s="472" t="str">
        <f t="shared" si="5"/>
        <v/>
      </c>
      <c r="AI36" s="472" t="str">
        <f>IFERROR(IF(AND($S36="",$Z36=""),"",IF($S36="",IF(AD36="",SUM(AF36:AH36),IF(AD36=0,"0",AD36)),IF($X36="",SUM($AF36:$AH36),IF($X36=0,"0",$M36*IF($Q36="",1,$Q36)*$X36)))),"-")</f>
        <v/>
      </c>
      <c r="AJ36" s="472" t="str">
        <f>IFERROR(IF(AND($S36="",$Z36=""),"",IF($S36="",IF(AE36=0,"-",AE36),IF(Y36=0,"0",$M36*IF($Q36="",1,$Q36)*Y36))),"-")</f>
        <v/>
      </c>
      <c r="AK36" s="58"/>
      <c r="AL36" s="255"/>
      <c r="AM36" s="226"/>
      <c r="AN36" s="779"/>
    </row>
    <row r="37" spans="1:59" s="22" customFormat="1">
      <c r="A37" s="27"/>
      <c r="B37" s="7"/>
      <c r="C37" s="7"/>
      <c r="D37" s="8"/>
      <c r="E37" s="8"/>
      <c r="F37" s="8"/>
      <c r="G37" s="8"/>
      <c r="H37" s="8"/>
      <c r="I37" s="8"/>
      <c r="J37" s="8"/>
      <c r="K37" s="8"/>
      <c r="L37" s="7"/>
      <c r="M37" s="7"/>
      <c r="N37" s="7"/>
      <c r="O37" s="7"/>
      <c r="P37" s="7"/>
      <c r="Q37" s="7"/>
      <c r="R37" s="7"/>
      <c r="S37" s="7"/>
      <c r="T37" s="7"/>
      <c r="U37" s="7"/>
      <c r="V37" s="7"/>
      <c r="W37" s="7"/>
      <c r="X37" s="7"/>
      <c r="Y37" s="7"/>
      <c r="Z37" s="7"/>
      <c r="AA37" s="7"/>
      <c r="AB37" s="7"/>
      <c r="AC37" s="7"/>
      <c r="AD37" s="7"/>
      <c r="AE37" s="7"/>
      <c r="AF37" s="10"/>
      <c r="AG37" s="10"/>
      <c r="AH37" s="10"/>
      <c r="AI37" s="10"/>
      <c r="AJ37" s="10"/>
      <c r="AK37" s="7"/>
      <c r="AL37" s="8"/>
      <c r="AM37" s="8"/>
      <c r="AN37" s="8"/>
    </row>
    <row r="38" spans="1:59" s="21" customFormat="1" ht="18">
      <c r="B38" s="465" t="s">
        <v>239</v>
      </c>
      <c r="C38" s="635"/>
      <c r="D38" s="18"/>
      <c r="E38" s="18"/>
      <c r="F38" s="18"/>
      <c r="G38" s="18"/>
      <c r="H38" s="18"/>
      <c r="I38" s="18"/>
      <c r="J38" s="18"/>
      <c r="K38" s="18"/>
      <c r="L38" s="18"/>
      <c r="M38" s="18"/>
      <c r="N38" s="18"/>
      <c r="O38" s="19"/>
      <c r="P38" s="635"/>
      <c r="Q38" s="635"/>
      <c r="R38" s="635"/>
      <c r="S38" s="635"/>
      <c r="T38" s="635"/>
      <c r="U38" s="635"/>
      <c r="V38" s="27"/>
      <c r="W38" s="27"/>
      <c r="X38" s="27"/>
      <c r="Y38" s="27"/>
      <c r="Z38" s="27"/>
      <c r="AA38" s="27"/>
      <c r="AB38" s="27"/>
      <c r="AC38" s="27"/>
      <c r="AD38" s="27"/>
      <c r="AE38" s="27"/>
      <c r="AF38" s="27"/>
      <c r="AG38" s="27"/>
      <c r="AH38" s="27"/>
      <c r="AI38" s="27"/>
      <c r="AJ38" s="27"/>
      <c r="AK38" s="28"/>
      <c r="AL38" s="28"/>
      <c r="AM38" s="28"/>
      <c r="AN38" s="28"/>
      <c r="AO38" s="19"/>
      <c r="AP38" s="19"/>
      <c r="AQ38" s="254"/>
      <c r="AR38" s="254"/>
      <c r="AS38" s="254"/>
    </row>
    <row r="39" spans="1:59" s="21" customFormat="1">
      <c r="A39" s="38"/>
      <c r="B39" s="17"/>
      <c r="C39" s="17"/>
      <c r="D39" s="18"/>
      <c r="E39" s="18"/>
      <c r="F39" s="18"/>
      <c r="G39" s="18"/>
      <c r="H39" s="18"/>
      <c r="I39" s="18"/>
      <c r="J39" s="18"/>
      <c r="K39" s="18"/>
      <c r="L39" s="19"/>
      <c r="M39" s="17"/>
      <c r="N39" s="17"/>
      <c r="O39" s="17"/>
      <c r="P39" s="17"/>
      <c r="Q39" s="241"/>
      <c r="R39" s="11"/>
      <c r="S39" s="17"/>
      <c r="T39" s="241"/>
      <c r="U39" s="241"/>
      <c r="V39" s="241"/>
      <c r="W39" s="241"/>
      <c r="X39" s="241"/>
      <c r="Y39" s="241"/>
      <c r="Z39" s="241"/>
      <c r="AA39" s="241"/>
      <c r="AB39" s="241"/>
      <c r="AC39" s="241"/>
      <c r="AD39" s="241"/>
      <c r="AE39" s="241"/>
      <c r="AF39" s="28"/>
      <c r="AG39" s="28"/>
      <c r="AH39" s="28"/>
      <c r="AI39" s="28"/>
      <c r="AJ39" s="28"/>
      <c r="AK39" s="19"/>
      <c r="AL39" s="20"/>
      <c r="AM39" s="20"/>
      <c r="AN39" s="20"/>
    </row>
    <row r="40" spans="1:59" s="5" customFormat="1" ht="16" customHeight="1">
      <c r="A40" s="39"/>
      <c r="B40" s="2065" t="s">
        <v>37</v>
      </c>
      <c r="C40" s="2065" t="s">
        <v>38</v>
      </c>
      <c r="D40" s="2095" t="s">
        <v>242</v>
      </c>
      <c r="E40" s="2106"/>
      <c r="F40" s="2106"/>
      <c r="G40" s="2106"/>
      <c r="H40" s="2106"/>
      <c r="I40" s="2106"/>
      <c r="J40" s="2106"/>
      <c r="K40" s="2096"/>
      <c r="L40" s="2066" t="s">
        <v>297</v>
      </c>
      <c r="M40" s="2095" t="s">
        <v>169</v>
      </c>
      <c r="N40" s="2096"/>
      <c r="O40" s="2098" t="s">
        <v>841</v>
      </c>
      <c r="P40" s="2099"/>
      <c r="Q40" s="2100"/>
      <c r="R40" s="2087" t="s">
        <v>302</v>
      </c>
      <c r="S40" s="2087" t="s">
        <v>782</v>
      </c>
      <c r="T40" s="2063" t="s">
        <v>782</v>
      </c>
      <c r="U40" s="2063"/>
      <c r="V40" s="2063"/>
      <c r="W40" s="2063"/>
      <c r="X40" s="2063"/>
      <c r="Y40" s="2064"/>
      <c r="Z40" s="2093" t="s">
        <v>928</v>
      </c>
      <c r="AA40" s="2083" t="s">
        <v>934</v>
      </c>
      <c r="AB40" s="2083"/>
      <c r="AC40" s="2083"/>
      <c r="AD40" s="2083"/>
      <c r="AE40" s="2083"/>
      <c r="AF40" s="2109" t="s">
        <v>289</v>
      </c>
      <c r="AG40" s="2110"/>
      <c r="AH40" s="2110"/>
      <c r="AI40" s="2110"/>
      <c r="AJ40" s="2111"/>
      <c r="AK40" s="895" t="s">
        <v>41</v>
      </c>
      <c r="AL40" s="2075" t="s">
        <v>937</v>
      </c>
      <c r="AM40" s="2112" t="s">
        <v>723</v>
      </c>
      <c r="AN40" s="2091" t="s">
        <v>826</v>
      </c>
      <c r="AO40" s="14"/>
      <c r="AP40" s="14"/>
      <c r="AQ40" s="14"/>
      <c r="AR40" s="14"/>
      <c r="AS40" s="14"/>
      <c r="AT40" s="14"/>
      <c r="AU40" s="14"/>
      <c r="AV40" s="14"/>
      <c r="AW40" s="14"/>
      <c r="AX40" s="14"/>
      <c r="AY40" s="14"/>
      <c r="AZ40" s="14"/>
      <c r="BA40" s="14"/>
      <c r="BB40" s="14"/>
      <c r="BC40" s="14"/>
      <c r="BD40" s="14"/>
      <c r="BE40" s="14"/>
      <c r="BF40" s="14"/>
      <c r="BG40" s="14"/>
    </row>
    <row r="41" spans="1:59" s="5" customFormat="1" ht="17">
      <c r="A41" s="39"/>
      <c r="B41" s="2065"/>
      <c r="C41" s="2065"/>
      <c r="D41" s="2095" t="s">
        <v>243</v>
      </c>
      <c r="E41" s="2096"/>
      <c r="F41" s="2095" t="s">
        <v>919</v>
      </c>
      <c r="G41" s="2106"/>
      <c r="H41" s="2096"/>
      <c r="I41" s="2095" t="s">
        <v>241</v>
      </c>
      <c r="J41" s="2106"/>
      <c r="K41" s="2096"/>
      <c r="L41" s="2065"/>
      <c r="M41" s="775" t="s">
        <v>170</v>
      </c>
      <c r="N41" s="775" t="s">
        <v>171</v>
      </c>
      <c r="O41" s="776" t="s">
        <v>813</v>
      </c>
      <c r="P41" s="776" t="s">
        <v>814</v>
      </c>
      <c r="Q41" s="776" t="s">
        <v>927</v>
      </c>
      <c r="R41" s="2088"/>
      <c r="S41" s="2088"/>
      <c r="T41" s="778" t="s">
        <v>171</v>
      </c>
      <c r="U41" s="774" t="s">
        <v>929</v>
      </c>
      <c r="V41" s="774" t="s">
        <v>930</v>
      </c>
      <c r="W41" s="774" t="s">
        <v>931</v>
      </c>
      <c r="X41" s="774" t="s">
        <v>932</v>
      </c>
      <c r="Y41" s="774" t="s">
        <v>933</v>
      </c>
      <c r="Z41" s="2094"/>
      <c r="AA41" s="774" t="s">
        <v>929</v>
      </c>
      <c r="AB41" s="774" t="s">
        <v>930</v>
      </c>
      <c r="AC41" s="774" t="s">
        <v>931</v>
      </c>
      <c r="AD41" s="774" t="s">
        <v>932</v>
      </c>
      <c r="AE41" s="774" t="s">
        <v>933</v>
      </c>
      <c r="AF41" s="777" t="s">
        <v>290</v>
      </c>
      <c r="AG41" s="777" t="s">
        <v>291</v>
      </c>
      <c r="AH41" s="777" t="s">
        <v>292</v>
      </c>
      <c r="AI41" s="777" t="s">
        <v>293</v>
      </c>
      <c r="AJ41" s="777" t="s">
        <v>294</v>
      </c>
      <c r="AK41" s="775" t="s">
        <v>44</v>
      </c>
      <c r="AL41" s="2075"/>
      <c r="AM41" s="2113"/>
      <c r="AN41" s="2092"/>
      <c r="AO41" s="14"/>
      <c r="AP41" s="14"/>
      <c r="AQ41" s="14"/>
      <c r="AR41" s="14"/>
      <c r="AS41" s="14"/>
      <c r="AT41" s="14"/>
      <c r="AU41" s="14"/>
      <c r="AV41" s="14"/>
      <c r="AW41" s="14"/>
      <c r="AX41" s="14"/>
      <c r="AY41" s="14"/>
      <c r="AZ41" s="14"/>
      <c r="BA41" s="14"/>
      <c r="BB41" s="14"/>
      <c r="BC41" s="14"/>
      <c r="BD41" s="14"/>
      <c r="BE41" s="14"/>
      <c r="BF41" s="14"/>
      <c r="BG41" s="14"/>
    </row>
    <row r="42" spans="1:59" ht="15" customHeight="1">
      <c r="B42" s="84" t="s">
        <v>135</v>
      </c>
      <c r="C42" s="84">
        <v>1</v>
      </c>
      <c r="D42" s="53" t="s">
        <v>136</v>
      </c>
      <c r="E42" s="102"/>
      <c r="F42" s="102"/>
      <c r="G42" s="102"/>
      <c r="H42" s="102"/>
      <c r="I42" s="102"/>
      <c r="J42" s="102"/>
      <c r="K42" s="651"/>
      <c r="L42" s="85" t="s">
        <v>175</v>
      </c>
      <c r="M42" s="103"/>
      <c r="N42" s="104"/>
      <c r="O42" s="104"/>
      <c r="P42" s="104"/>
      <c r="Q42" s="104"/>
      <c r="R42" s="54"/>
      <c r="S42" s="104"/>
      <c r="T42" s="104"/>
      <c r="U42" s="104"/>
      <c r="V42" s="104"/>
      <c r="W42" s="104"/>
      <c r="X42" s="104"/>
      <c r="Y42" s="104"/>
      <c r="Z42" s="104"/>
      <c r="AA42" s="104"/>
      <c r="AB42" s="104"/>
      <c r="AC42" s="104"/>
      <c r="AD42" s="104"/>
      <c r="AE42" s="104"/>
      <c r="AF42" s="281"/>
      <c r="AG42" s="281"/>
      <c r="AH42" s="281"/>
      <c r="AI42" s="281"/>
      <c r="AJ42" s="281"/>
      <c r="AK42" s="54"/>
      <c r="AL42" s="657" t="s">
        <v>2699</v>
      </c>
      <c r="AM42" s="871"/>
      <c r="AN42" s="874"/>
    </row>
    <row r="43" spans="1:59" s="15" customFormat="1">
      <c r="A43" s="16"/>
      <c r="B43" s="56" t="s">
        <v>135</v>
      </c>
      <c r="C43" s="56">
        <v>1</v>
      </c>
      <c r="D43" s="2060"/>
      <c r="E43" s="2062"/>
      <c r="F43" s="2060"/>
      <c r="G43" s="2061"/>
      <c r="H43" s="2062"/>
      <c r="I43" s="2060"/>
      <c r="J43" s="2061"/>
      <c r="K43" s="2062"/>
      <c r="L43" s="56"/>
      <c r="M43" s="57"/>
      <c r="N43" s="58"/>
      <c r="O43" s="58"/>
      <c r="P43" s="58"/>
      <c r="Q43" s="221" t="str">
        <f t="array" ref="Q43">IFERROR(INDEX('Conversion factors_2'!$B$10:$CY$111,MATCH(O43,'Conversion factors_2'!$B$10:$B$111,FALSE),HLOOKUP(P43,'Conversion factors_2'!$B$8:$CY$9,2,FALSE)),"")</f>
        <v/>
      </c>
      <c r="R43" s="58"/>
      <c r="S43" s="58"/>
      <c r="T43" s="221" t="str">
        <f>IFERROR(CONCATENATE("tCO2e/",VLOOKUP($S43,'Emission factors'!$D:$J,7,FALSE)),"")</f>
        <v/>
      </c>
      <c r="U43" s="221" t="str">
        <f>IFERROR(VLOOKUP($S43,'Emission factors'!$D:$X,10,FALSE),"")</f>
        <v/>
      </c>
      <c r="V43" s="221" t="str">
        <f>IFERROR(VLOOKUP($S43,'Emission factors'!$D:$X,12,FALSE),"")</f>
        <v/>
      </c>
      <c r="W43" s="221" t="str">
        <f>IFERROR(VLOOKUP($S43,'Emission factors'!$D:$X,14,FALSE),"")</f>
        <v/>
      </c>
      <c r="X43" s="221" t="str">
        <f>IFERROR(VLOOKUP($S43,'Emission factors'!$D:$X,16,FALSE),"")</f>
        <v/>
      </c>
      <c r="Y43" s="221" t="str">
        <f>IFERROR(VLOOKUP($S43,'Emission factors'!$D:$X,18,FALSE),"")</f>
        <v/>
      </c>
      <c r="Z43" s="58"/>
      <c r="AA43" s="58"/>
      <c r="AB43" s="58"/>
      <c r="AC43" s="58"/>
      <c r="AD43" s="58"/>
      <c r="AE43" s="58"/>
      <c r="AF43" s="275" t="str">
        <f t="shared" ref="AF43:AH44" si="6">IFERROR(IF(AND($S43="",$Z43=""),"",IF($S43="",IF(AA43=0,"-",AA43),IF(U43=0,"0",$M43*IF($Q43="",1,$Q43)*U43))),"-")</f>
        <v/>
      </c>
      <c r="AG43" s="275" t="str">
        <f t="shared" si="6"/>
        <v/>
      </c>
      <c r="AH43" s="275" t="str">
        <f t="shared" si="6"/>
        <v/>
      </c>
      <c r="AI43" s="275" t="str">
        <f>IFERROR(IF(AND($S43="",$Z43=""),"",IF($S43="",IF(AD43="",SUM(AF43:AH43),IF(AD43=0,"0",AD43)),IF($X43="",SUM($AF43:$AH43),IF($X43=0,"0",$M43*IF($Q43="",1,$Q43)*$X43)))),"-")</f>
        <v/>
      </c>
      <c r="AJ43" s="275" t="str">
        <f>IFERROR(IF(AND($S43="",$Z43=""),"",IF($S43="",IF(AE43=0,"-",AE43),IF(Y43=0,"0",$M43*IF($Q43="",1,$Q43)*Y43))),"-")</f>
        <v/>
      </c>
      <c r="AK43" s="58"/>
      <c r="AL43" s="225"/>
      <c r="AM43" s="226"/>
      <c r="AN43" s="779"/>
    </row>
    <row r="44" spans="1:59" s="15" customFormat="1">
      <c r="A44" s="16"/>
      <c r="B44" s="56" t="s">
        <v>135</v>
      </c>
      <c r="C44" s="56">
        <v>1</v>
      </c>
      <c r="D44" s="2060"/>
      <c r="E44" s="2062"/>
      <c r="F44" s="2060"/>
      <c r="G44" s="2061"/>
      <c r="H44" s="2062"/>
      <c r="I44" s="2060"/>
      <c r="J44" s="2061"/>
      <c r="K44" s="2062"/>
      <c r="L44" s="56"/>
      <c r="M44" s="57"/>
      <c r="N44" s="58"/>
      <c r="O44" s="58"/>
      <c r="P44" s="58"/>
      <c r="Q44" s="221" t="str">
        <f t="array" ref="Q44">IFERROR(INDEX('Conversion factors_2'!$B$10:$CY$111,MATCH(O44,'Conversion factors_2'!$B$10:$B$111,FALSE),HLOOKUP(P44,'Conversion factors_2'!$B$8:$CY$9,2,FALSE)),"")</f>
        <v/>
      </c>
      <c r="R44" s="58"/>
      <c r="S44" s="58"/>
      <c r="T44" s="221" t="str">
        <f>IFERROR(CONCATENATE("tCO2e/",VLOOKUP($S44,'Emission factors'!$D:$J,7,FALSE)),"")</f>
        <v/>
      </c>
      <c r="U44" s="221" t="str">
        <f>IFERROR(VLOOKUP($S44,'Emission factors'!$D:$X,10,FALSE),"")</f>
        <v/>
      </c>
      <c r="V44" s="221" t="str">
        <f>IFERROR(VLOOKUP($S44,'Emission factors'!$D:$X,12,FALSE),"")</f>
        <v/>
      </c>
      <c r="W44" s="221" t="str">
        <f>IFERROR(VLOOKUP($S44,'Emission factors'!$D:$X,14,FALSE),"")</f>
        <v/>
      </c>
      <c r="X44" s="221" t="str">
        <f>IFERROR(VLOOKUP($S44,'Emission factors'!$D:$X,16,FALSE),"")</f>
        <v/>
      </c>
      <c r="Y44" s="221" t="str">
        <f>IFERROR(VLOOKUP($S44,'Emission factors'!$D:$X,18,FALSE),"")</f>
        <v/>
      </c>
      <c r="Z44" s="58"/>
      <c r="AA44" s="58"/>
      <c r="AB44" s="58"/>
      <c r="AC44" s="58"/>
      <c r="AD44" s="58"/>
      <c r="AE44" s="58"/>
      <c r="AF44" s="275" t="str">
        <f t="shared" si="6"/>
        <v/>
      </c>
      <c r="AG44" s="275" t="str">
        <f t="shared" si="6"/>
        <v/>
      </c>
      <c r="AH44" s="275" t="str">
        <f t="shared" si="6"/>
        <v/>
      </c>
      <c r="AI44" s="275" t="str">
        <f>IFERROR(IF(AND($S44="",$Z44=""),"",IF($S44="",IF(AD44="",SUM(AF44:AH44),IF(AD44=0,"0",AD44)),IF($X44="",SUM($AF44:$AH44),IF($X44=0,"0",$M44*IF($Q44="",1,$Q44)*$X44)))),"-")</f>
        <v/>
      </c>
      <c r="AJ44" s="275" t="str">
        <f>IFERROR(IF(AND($S44="",$Z44=""),"",IF($S44="",IF(AE44=0,"-",AE44),IF(Y44=0,"0",$M44*IF($Q44="",1,$Q44)*Y44))),"-")</f>
        <v/>
      </c>
      <c r="AK44" s="58"/>
      <c r="AL44" s="255"/>
      <c r="AM44" s="226"/>
      <c r="AN44" s="779"/>
    </row>
    <row r="45" spans="1:59">
      <c r="B45" s="73" t="s">
        <v>137</v>
      </c>
      <c r="C45" s="60">
        <v>3</v>
      </c>
      <c r="D45" s="61" t="s">
        <v>138</v>
      </c>
      <c r="E45" s="105"/>
      <c r="F45" s="105"/>
      <c r="G45" s="105"/>
      <c r="H45" s="105"/>
      <c r="I45" s="105"/>
      <c r="J45" s="105"/>
      <c r="K45" s="62"/>
      <c r="L45" s="74" t="s">
        <v>175</v>
      </c>
      <c r="M45" s="64"/>
      <c r="N45" s="64"/>
      <c r="O45" s="64"/>
      <c r="P45" s="64"/>
      <c r="Q45" s="64"/>
      <c r="R45" s="64"/>
      <c r="S45" s="64"/>
      <c r="T45" s="64"/>
      <c r="U45" s="64"/>
      <c r="V45" s="64"/>
      <c r="W45" s="64"/>
      <c r="X45" s="64"/>
      <c r="Y45" s="64"/>
      <c r="Z45" s="64"/>
      <c r="AA45" s="64"/>
      <c r="AB45" s="64"/>
      <c r="AC45" s="64"/>
      <c r="AD45" s="64"/>
      <c r="AE45" s="64"/>
      <c r="AF45" s="276"/>
      <c r="AG45" s="276"/>
      <c r="AH45" s="276"/>
      <c r="AI45" s="276"/>
      <c r="AJ45" s="276"/>
      <c r="AK45" s="54"/>
      <c r="AL45" s="657" t="s">
        <v>2701</v>
      </c>
      <c r="AM45" s="250"/>
      <c r="AN45" s="872"/>
    </row>
    <row r="46" spans="1:59" s="15" customFormat="1">
      <c r="A46" s="16"/>
      <c r="B46" s="56" t="s">
        <v>137</v>
      </c>
      <c r="C46" s="56">
        <v>3</v>
      </c>
      <c r="D46" s="2060" t="s">
        <v>282</v>
      </c>
      <c r="E46" s="2062"/>
      <c r="F46" s="2060"/>
      <c r="G46" s="2061"/>
      <c r="H46" s="2062"/>
      <c r="I46" s="2060"/>
      <c r="J46" s="2061"/>
      <c r="K46" s="2062"/>
      <c r="L46" s="56"/>
      <c r="M46" s="57"/>
      <c r="N46" s="58"/>
      <c r="O46" s="58"/>
      <c r="P46" s="58"/>
      <c r="Q46" s="221" t="str">
        <f t="array" ref="Q46">IFERROR(INDEX('Conversion factors_2'!$B$10:$CY$111,MATCH(O46,'Conversion factors_2'!$B$10:$B$111,FALSE),HLOOKUP(P46,'Conversion factors_2'!$B$8:$CY$9,2,FALSE)),"")</f>
        <v/>
      </c>
      <c r="R46" s="58"/>
      <c r="S46" s="58"/>
      <c r="T46" s="221" t="str">
        <f>IFERROR(CONCATENATE("tCO2e/",VLOOKUP($S46,'Emission factors'!$D:$J,7,FALSE)),"")</f>
        <v/>
      </c>
      <c r="U46" s="221" t="str">
        <f>IFERROR(VLOOKUP($S46,'Emission factors'!$D:$X,10,FALSE),"")</f>
        <v/>
      </c>
      <c r="V46" s="221" t="str">
        <f>IFERROR(VLOOKUP($S46,'Emission factors'!$D:$X,12,FALSE),"")</f>
        <v/>
      </c>
      <c r="W46" s="221" t="str">
        <f>IFERROR(VLOOKUP($S46,'Emission factors'!$D:$X,14,FALSE),"")</f>
        <v/>
      </c>
      <c r="X46" s="221" t="str">
        <f>IFERROR(VLOOKUP($S46,'Emission factors'!$D:$X,16,FALSE),"")</f>
        <v/>
      </c>
      <c r="Y46" s="221" t="str">
        <f>IFERROR(VLOOKUP($S46,'Emission factors'!$D:$X,18,FALSE),"")</f>
        <v/>
      </c>
      <c r="Z46" s="58"/>
      <c r="AA46" s="58"/>
      <c r="AB46" s="58"/>
      <c r="AC46" s="58"/>
      <c r="AD46" s="58"/>
      <c r="AE46" s="58"/>
      <c r="AF46" s="275" t="str">
        <f t="shared" ref="AF46:AH47" si="7">IFERROR(IF(AND($S46="",$Z46=""),"",IF($S46="",IF(AA46=0,"-",AA46),IF(U46=0,"0",$M46*IF($Q46="",1,$Q46)*U46))),"-")</f>
        <v/>
      </c>
      <c r="AG46" s="275" t="str">
        <f t="shared" si="7"/>
        <v/>
      </c>
      <c r="AH46" s="275" t="str">
        <f t="shared" si="7"/>
        <v/>
      </c>
      <c r="AI46" s="275" t="str">
        <f>IFERROR(IF(AND($S46="",$Z46=""),"",IF($S46="",IF(AD46="",SUM(AF46:AH46),IF(AD46=0,"0",AD46)),IF($X46="",SUM($AF46:$AH46),IF($X46=0,"0",$M46*IF($Q46="",1,$Q46)*$X46)))),"-")</f>
        <v/>
      </c>
      <c r="AJ46" s="275" t="str">
        <f>IFERROR(IF(AND($S46="",$Z46=""),"",IF($S46="",IF(AE46=0,"-",AE46),IF(Y46=0,"0",$M46*IF($Q46="",1,$Q46)*Y46))),"-")</f>
        <v/>
      </c>
      <c r="AK46" s="58"/>
      <c r="AL46" s="225"/>
      <c r="AM46" s="226"/>
      <c r="AN46" s="779"/>
    </row>
    <row r="47" spans="1:59" s="15" customFormat="1">
      <c r="A47" s="16"/>
      <c r="B47" s="56" t="s">
        <v>137</v>
      </c>
      <c r="C47" s="56">
        <v>3</v>
      </c>
      <c r="D47" s="2060" t="s">
        <v>282</v>
      </c>
      <c r="E47" s="2062"/>
      <c r="F47" s="2060"/>
      <c r="G47" s="2061"/>
      <c r="H47" s="2062"/>
      <c r="I47" s="2060"/>
      <c r="J47" s="2061"/>
      <c r="K47" s="2062"/>
      <c r="L47" s="56"/>
      <c r="M47" s="57"/>
      <c r="N47" s="58"/>
      <c r="O47" s="58"/>
      <c r="P47" s="58"/>
      <c r="Q47" s="221" t="str">
        <f t="array" ref="Q47">IFERROR(INDEX('Conversion factors_2'!$B$10:$CY$111,MATCH(O47,'Conversion factors_2'!$B$10:$B$111,FALSE),HLOOKUP(P47,'Conversion factors_2'!$B$8:$CY$9,2,FALSE)),"")</f>
        <v/>
      </c>
      <c r="R47" s="58"/>
      <c r="S47" s="58"/>
      <c r="T47" s="221" t="str">
        <f>IFERROR(CONCATENATE("tCO2e/",VLOOKUP($S47,'Emission factors'!$D:$J,7,FALSE)),"")</f>
        <v/>
      </c>
      <c r="U47" s="221" t="str">
        <f>IFERROR(VLOOKUP($S47,'Emission factors'!$D:$X,10,FALSE),"")</f>
        <v/>
      </c>
      <c r="V47" s="221" t="str">
        <f>IFERROR(VLOOKUP($S47,'Emission factors'!$D:$X,12,FALSE),"")</f>
        <v/>
      </c>
      <c r="W47" s="221" t="str">
        <f>IFERROR(VLOOKUP($S47,'Emission factors'!$D:$X,14,FALSE),"")</f>
        <v/>
      </c>
      <c r="X47" s="221" t="str">
        <f>IFERROR(VLOOKUP($S47,'Emission factors'!$D:$X,16,FALSE),"")</f>
        <v/>
      </c>
      <c r="Y47" s="221" t="str">
        <f>IFERROR(VLOOKUP($S47,'Emission factors'!$D:$X,18,FALSE),"")</f>
        <v/>
      </c>
      <c r="Z47" s="58"/>
      <c r="AA47" s="58"/>
      <c r="AB47" s="58"/>
      <c r="AC47" s="58"/>
      <c r="AD47" s="58"/>
      <c r="AE47" s="58"/>
      <c r="AF47" s="275" t="str">
        <f t="shared" si="7"/>
        <v/>
      </c>
      <c r="AG47" s="275" t="str">
        <f t="shared" si="7"/>
        <v/>
      </c>
      <c r="AH47" s="275" t="str">
        <f t="shared" si="7"/>
        <v/>
      </c>
      <c r="AI47" s="275" t="str">
        <f>IFERROR(IF(AND($S47="",$Z47=""),"",IF($S47="",IF(AD47="",SUM(AF47:AH47),IF(AD47=0,"0",AD47)),IF($X47="",SUM($AF47:$AH47),IF($X47=0,"0",$M47*IF($Q47="",1,$Q47)*$X47)))),"-")</f>
        <v/>
      </c>
      <c r="AJ47" s="275" t="str">
        <f>IFERROR(IF(AND($S47="",$Z47=""),"",IF($S47="",IF(AE47=0,"-",AE47),IF(Y47=0,"0",$M47*IF($Q47="",1,$Q47)*Y47))),"-")</f>
        <v/>
      </c>
      <c r="AK47" s="58"/>
      <c r="AL47" s="255"/>
      <c r="AM47" s="226"/>
      <c r="AN47" s="779"/>
    </row>
    <row r="48" spans="1:59">
      <c r="B48" s="121" t="s">
        <v>139</v>
      </c>
      <c r="C48" s="77">
        <v>1</v>
      </c>
      <c r="D48" s="145" t="s">
        <v>140</v>
      </c>
      <c r="E48" s="146"/>
      <c r="F48" s="146"/>
      <c r="G48" s="146"/>
      <c r="H48" s="146"/>
      <c r="I48" s="124"/>
      <c r="J48" s="124"/>
      <c r="K48" s="79"/>
      <c r="L48" s="82" t="s">
        <v>175</v>
      </c>
      <c r="M48" s="81"/>
      <c r="N48" s="80"/>
      <c r="O48" s="80"/>
      <c r="P48" s="80"/>
      <c r="Q48" s="80"/>
      <c r="R48" s="80"/>
      <c r="S48" s="80"/>
      <c r="T48" s="80"/>
      <c r="U48" s="80"/>
      <c r="V48" s="80"/>
      <c r="W48" s="80"/>
      <c r="X48" s="80"/>
      <c r="Y48" s="80"/>
      <c r="Z48" s="80"/>
      <c r="AA48" s="80"/>
      <c r="AB48" s="80"/>
      <c r="AC48" s="80"/>
      <c r="AD48" s="80"/>
      <c r="AE48" s="80"/>
      <c r="AF48" s="285"/>
      <c r="AG48" s="285"/>
      <c r="AH48" s="285"/>
      <c r="AI48" s="285"/>
      <c r="AJ48" s="285"/>
      <c r="AK48" s="80"/>
      <c r="AL48" s="261" t="s">
        <v>2700</v>
      </c>
      <c r="AM48" s="214"/>
      <c r="AN48" s="765"/>
    </row>
    <row r="49" spans="1:59" s="15" customFormat="1">
      <c r="A49" s="16"/>
      <c r="B49" s="71" t="s">
        <v>139</v>
      </c>
      <c r="C49" s="71">
        <v>1</v>
      </c>
      <c r="D49" s="2060" t="s">
        <v>282</v>
      </c>
      <c r="E49" s="2062"/>
      <c r="F49" s="2060"/>
      <c r="G49" s="2061"/>
      <c r="H49" s="2062"/>
      <c r="I49" s="2060"/>
      <c r="J49" s="2061"/>
      <c r="K49" s="2062"/>
      <c r="L49" s="56"/>
      <c r="M49" s="57"/>
      <c r="N49" s="58"/>
      <c r="O49" s="58"/>
      <c r="P49" s="58"/>
      <c r="Q49" s="221" t="str">
        <f t="array" ref="Q49">IFERROR(INDEX('Conversion factors_2'!$B$10:$CY$111,MATCH(O49,'Conversion factors_2'!$B$10:$B$111,FALSE),HLOOKUP(P49,'Conversion factors_2'!$B$8:$CY$9,2,FALSE)),"")</f>
        <v/>
      </c>
      <c r="R49" s="58"/>
      <c r="S49" s="58"/>
      <c r="T49" s="221" t="str">
        <f>IFERROR(CONCATENATE("tCO2e/",VLOOKUP($S49,'Emission factors'!$D:$J,7,FALSE)),"")</f>
        <v/>
      </c>
      <c r="U49" s="221" t="str">
        <f>IFERROR(VLOOKUP($S49,'Emission factors'!$D:$X,10,FALSE),"")</f>
        <v/>
      </c>
      <c r="V49" s="221" t="str">
        <f>IFERROR(VLOOKUP($S49,'Emission factors'!$D:$X,12,FALSE),"")</f>
        <v/>
      </c>
      <c r="W49" s="221" t="str">
        <f>IFERROR(VLOOKUP($S49,'Emission factors'!$D:$X,14,FALSE),"")</f>
        <v/>
      </c>
      <c r="X49" s="221" t="str">
        <f>IFERROR(VLOOKUP($S49,'Emission factors'!$D:$X,16,FALSE),"")</f>
        <v/>
      </c>
      <c r="Y49" s="221" t="str">
        <f>IFERROR(VLOOKUP($S49,'Emission factors'!$D:$X,18,FALSE),"")</f>
        <v/>
      </c>
      <c r="Z49" s="58"/>
      <c r="AA49" s="58"/>
      <c r="AB49" s="58"/>
      <c r="AC49" s="58"/>
      <c r="AD49" s="58"/>
      <c r="AE49" s="58"/>
      <c r="AF49" s="275" t="str">
        <f t="shared" ref="AF49:AH50" si="8">IFERROR(IF(AND($S49="",$Z49=""),"",IF($S49="",IF(AA49=0,"-",AA49),IF(U49=0,"0",$M49*IF($Q49="",1,$Q49)*U49))),"-")</f>
        <v/>
      </c>
      <c r="AG49" s="275" t="str">
        <f t="shared" si="8"/>
        <v/>
      </c>
      <c r="AH49" s="275" t="str">
        <f t="shared" si="8"/>
        <v/>
      </c>
      <c r="AI49" s="275" t="str">
        <f>IFERROR(IF(AND($S49="",$Z49=""),"",IF($S49="",IF(AD49="",SUM(AF49:AH49),IF(AD49=0,"0",AD49)),IF($X49="",SUM($AF49:$AH49),IF($X49=0,"0",$M49*IF($Q49="",1,$Q49)*$X49)))),"-")</f>
        <v/>
      </c>
      <c r="AJ49" s="275" t="str">
        <f>IFERROR(IF(AND($S49="",$Z49=""),"",IF($S49="",IF(AE49=0,"-",AE49),IF(Y49=0,"0",$M49*IF($Q49="",1,$Q49)*Y49))),"-")</f>
        <v/>
      </c>
      <c r="AK49" s="58"/>
      <c r="AL49" s="225"/>
      <c r="AM49" s="226"/>
      <c r="AN49" s="779"/>
    </row>
    <row r="50" spans="1:59" s="15" customFormat="1" ht="15" customHeight="1">
      <c r="A50" s="16"/>
      <c r="B50" s="56" t="s">
        <v>139</v>
      </c>
      <c r="C50" s="56">
        <v>1</v>
      </c>
      <c r="D50" s="2060" t="s">
        <v>282</v>
      </c>
      <c r="E50" s="2062"/>
      <c r="F50" s="2060"/>
      <c r="G50" s="2061"/>
      <c r="H50" s="2062"/>
      <c r="I50" s="2060"/>
      <c r="J50" s="2061"/>
      <c r="K50" s="2062"/>
      <c r="L50" s="56"/>
      <c r="M50" s="57"/>
      <c r="N50" s="58"/>
      <c r="O50" s="58"/>
      <c r="P50" s="58"/>
      <c r="Q50" s="221" t="str">
        <f t="array" ref="Q50">IFERROR(INDEX('Conversion factors_2'!$B$10:$CY$111,MATCH(O50,'Conversion factors_2'!$B$10:$B$111,FALSE),HLOOKUP(P50,'Conversion factors_2'!$B$8:$CY$9,2,FALSE)),"")</f>
        <v/>
      </c>
      <c r="R50" s="58"/>
      <c r="S50" s="58"/>
      <c r="T50" s="221" t="str">
        <f>IFERROR(CONCATENATE("tCO2e/",VLOOKUP($S50,'Emission factors'!$D:$J,7,FALSE)),"")</f>
        <v/>
      </c>
      <c r="U50" s="221" t="str">
        <f>IFERROR(VLOOKUP($S50,'Emission factors'!$D:$X,10,FALSE),"")</f>
        <v/>
      </c>
      <c r="V50" s="221" t="str">
        <f>IFERROR(VLOOKUP($S50,'Emission factors'!$D:$X,12,FALSE),"")</f>
        <v/>
      </c>
      <c r="W50" s="221" t="str">
        <f>IFERROR(VLOOKUP($S50,'Emission factors'!$D:$X,14,FALSE),"")</f>
        <v/>
      </c>
      <c r="X50" s="221" t="str">
        <f>IFERROR(VLOOKUP($S50,'Emission factors'!$D:$X,16,FALSE),"")</f>
        <v/>
      </c>
      <c r="Y50" s="221" t="str">
        <f>IFERROR(VLOOKUP($S50,'Emission factors'!$D:$X,18,FALSE),"")</f>
        <v/>
      </c>
      <c r="Z50" s="56"/>
      <c r="AA50" s="58"/>
      <c r="AB50" s="58"/>
      <c r="AC50" s="58"/>
      <c r="AD50" s="58"/>
      <c r="AE50" s="58"/>
      <c r="AF50" s="472" t="str">
        <f t="shared" si="8"/>
        <v/>
      </c>
      <c r="AG50" s="472" t="str">
        <f t="shared" si="8"/>
        <v/>
      </c>
      <c r="AH50" s="472" t="str">
        <f t="shared" si="8"/>
        <v/>
      </c>
      <c r="AI50" s="472" t="str">
        <f>IFERROR(IF(AND($S50="",$Z50=""),"",IF($S50="",IF(AD50="",SUM(AF50:AH50),IF(AD50=0,"0",AD50)),IF($X50="",SUM($AF50:$AH50),IF($X50=0,"0",$M50*IF($Q50="",1,$Q50)*$X50)))),"-")</f>
        <v/>
      </c>
      <c r="AJ50" s="472" t="str">
        <f>IFERROR(IF(AND($S50="",$Z50=""),"",IF($S50="",IF(AE50=0,"-",AE50),IF(Y50=0,"0",$M50*IF($Q50="",1,$Q50)*Y50))),"-")</f>
        <v/>
      </c>
      <c r="AK50" s="58"/>
      <c r="AL50" s="255"/>
      <c r="AM50" s="226"/>
      <c r="AN50" s="779"/>
    </row>
    <row r="51" spans="1:59" s="22" customFormat="1">
      <c r="A51" s="27"/>
      <c r="B51" s="7"/>
      <c r="C51" s="7"/>
      <c r="D51" s="8"/>
      <c r="E51" s="8"/>
      <c r="F51" s="8"/>
      <c r="G51" s="8"/>
      <c r="H51" s="8"/>
      <c r="I51" s="8"/>
      <c r="J51" s="8"/>
      <c r="K51" s="8"/>
      <c r="L51" s="7"/>
      <c r="M51" s="7"/>
      <c r="N51" s="7"/>
      <c r="O51" s="7"/>
      <c r="P51" s="7"/>
      <c r="Q51" s="7"/>
      <c r="R51" s="7"/>
      <c r="S51" s="7"/>
      <c r="T51" s="7"/>
      <c r="U51" s="7"/>
      <c r="V51" s="7"/>
      <c r="W51" s="7"/>
      <c r="X51" s="7"/>
      <c r="Y51" s="7"/>
      <c r="Z51" s="7"/>
      <c r="AA51" s="7"/>
      <c r="AB51" s="7"/>
      <c r="AC51" s="7"/>
      <c r="AD51" s="7"/>
      <c r="AE51" s="7"/>
      <c r="AF51" s="10"/>
      <c r="AG51" s="10"/>
      <c r="AH51" s="10"/>
      <c r="AI51" s="10"/>
      <c r="AJ51" s="10"/>
      <c r="AK51" s="7"/>
      <c r="AL51" s="8"/>
      <c r="AM51" s="8"/>
      <c r="AN51" s="8"/>
    </row>
    <row r="52" spans="1:59" s="21" customFormat="1" ht="18">
      <c r="B52" s="465" t="s">
        <v>238</v>
      </c>
      <c r="C52" s="635"/>
      <c r="D52" s="18"/>
      <c r="E52" s="18"/>
      <c r="F52" s="18"/>
      <c r="G52" s="18"/>
      <c r="H52" s="18"/>
      <c r="I52" s="18"/>
      <c r="J52" s="18"/>
      <c r="K52" s="18"/>
      <c r="L52" s="18"/>
      <c r="M52" s="18"/>
      <c r="N52" s="18"/>
      <c r="O52" s="19"/>
      <c r="P52" s="635"/>
      <c r="Q52" s="635"/>
      <c r="R52" s="635"/>
      <c r="S52" s="635"/>
      <c r="T52" s="635"/>
      <c r="U52" s="635"/>
      <c r="V52" s="27"/>
      <c r="W52" s="27"/>
      <c r="X52" s="27"/>
      <c r="Y52" s="27"/>
      <c r="Z52" s="27"/>
      <c r="AA52" s="27"/>
      <c r="AB52" s="27"/>
      <c r="AC52" s="27"/>
      <c r="AD52" s="27"/>
      <c r="AE52" s="27"/>
      <c r="AF52" s="27"/>
      <c r="AG52" s="27"/>
      <c r="AH52" s="27"/>
      <c r="AI52" s="27"/>
      <c r="AJ52" s="27"/>
      <c r="AK52" s="28"/>
      <c r="AL52" s="28"/>
      <c r="AM52" s="28"/>
      <c r="AN52" s="28"/>
      <c r="AO52" s="19"/>
      <c r="AP52" s="19"/>
      <c r="AQ52" s="254"/>
      <c r="AR52" s="254"/>
      <c r="AS52" s="254"/>
    </row>
    <row r="53" spans="1:59" s="21" customFormat="1">
      <c r="A53" s="38"/>
      <c r="B53" s="17"/>
      <c r="C53" s="17"/>
      <c r="D53" s="18"/>
      <c r="E53" s="18"/>
      <c r="F53" s="18"/>
      <c r="G53" s="18"/>
      <c r="H53" s="18"/>
      <c r="I53" s="18"/>
      <c r="J53" s="18"/>
      <c r="K53" s="18"/>
      <c r="L53" s="19"/>
      <c r="M53" s="17"/>
      <c r="N53" s="17"/>
      <c r="O53" s="17"/>
      <c r="P53" s="17"/>
      <c r="Q53" s="241"/>
      <c r="R53" s="11"/>
      <c r="S53" s="17"/>
      <c r="T53" s="241"/>
      <c r="U53" s="241"/>
      <c r="V53" s="241"/>
      <c r="W53" s="241"/>
      <c r="X53" s="241"/>
      <c r="Y53" s="241"/>
      <c r="Z53" s="241"/>
      <c r="AA53" s="241"/>
      <c r="AB53" s="241"/>
      <c r="AC53" s="241"/>
      <c r="AD53" s="241"/>
      <c r="AE53" s="241"/>
      <c r="AF53" s="28"/>
      <c r="AG53" s="28"/>
      <c r="AH53" s="28"/>
      <c r="AI53" s="28"/>
      <c r="AJ53" s="28"/>
      <c r="AK53" s="19"/>
      <c r="AL53" s="20"/>
      <c r="AM53" s="20"/>
      <c r="AN53" s="20"/>
    </row>
    <row r="54" spans="1:59" s="5" customFormat="1" ht="16" customHeight="1">
      <c r="A54" s="39"/>
      <c r="B54" s="2065" t="s">
        <v>37</v>
      </c>
      <c r="C54" s="2065" t="s">
        <v>38</v>
      </c>
      <c r="D54" s="2095" t="s">
        <v>242</v>
      </c>
      <c r="E54" s="2106"/>
      <c r="F54" s="2106"/>
      <c r="G54" s="2106"/>
      <c r="H54" s="2106"/>
      <c r="I54" s="2106"/>
      <c r="J54" s="2106"/>
      <c r="K54" s="2096"/>
      <c r="L54" s="2066" t="s">
        <v>297</v>
      </c>
      <c r="M54" s="2095" t="s">
        <v>169</v>
      </c>
      <c r="N54" s="2096"/>
      <c r="O54" s="2098" t="s">
        <v>841</v>
      </c>
      <c r="P54" s="2099"/>
      <c r="Q54" s="2100"/>
      <c r="R54" s="2087" t="s">
        <v>302</v>
      </c>
      <c r="S54" s="2087" t="s">
        <v>782</v>
      </c>
      <c r="T54" s="2063" t="s">
        <v>782</v>
      </c>
      <c r="U54" s="2063"/>
      <c r="V54" s="2063"/>
      <c r="W54" s="2063"/>
      <c r="X54" s="2063"/>
      <c r="Y54" s="2064"/>
      <c r="Z54" s="2093" t="s">
        <v>928</v>
      </c>
      <c r="AA54" s="2083" t="s">
        <v>934</v>
      </c>
      <c r="AB54" s="2083"/>
      <c r="AC54" s="2083"/>
      <c r="AD54" s="2083"/>
      <c r="AE54" s="2083"/>
      <c r="AF54" s="2109" t="s">
        <v>289</v>
      </c>
      <c r="AG54" s="2110"/>
      <c r="AH54" s="2110"/>
      <c r="AI54" s="2110"/>
      <c r="AJ54" s="2111"/>
      <c r="AK54" s="895" t="s">
        <v>41</v>
      </c>
      <c r="AL54" s="2075" t="s">
        <v>937</v>
      </c>
      <c r="AM54" s="2112" t="s">
        <v>723</v>
      </c>
      <c r="AN54" s="2091" t="s">
        <v>826</v>
      </c>
      <c r="AO54" s="14"/>
      <c r="AP54" s="14"/>
      <c r="AQ54" s="14"/>
      <c r="AR54" s="14"/>
      <c r="AS54" s="14"/>
      <c r="AT54" s="14"/>
      <c r="AU54" s="14"/>
      <c r="AV54" s="14"/>
      <c r="AW54" s="14"/>
      <c r="AX54" s="14"/>
      <c r="AY54" s="14"/>
      <c r="AZ54" s="14"/>
      <c r="BA54" s="14"/>
      <c r="BB54" s="14"/>
      <c r="BC54" s="14"/>
      <c r="BD54" s="14"/>
      <c r="BE54" s="14"/>
      <c r="BF54" s="14"/>
      <c r="BG54" s="14"/>
    </row>
    <row r="55" spans="1:59" s="5" customFormat="1" ht="17">
      <c r="A55" s="39"/>
      <c r="B55" s="2065"/>
      <c r="C55" s="2065"/>
      <c r="D55" s="2095" t="s">
        <v>243</v>
      </c>
      <c r="E55" s="2106"/>
      <c r="F55" s="2106"/>
      <c r="G55" s="2106"/>
      <c r="H55" s="2096"/>
      <c r="I55" s="2095" t="s">
        <v>241</v>
      </c>
      <c r="J55" s="2106"/>
      <c r="K55" s="2096"/>
      <c r="L55" s="2065"/>
      <c r="M55" s="775" t="s">
        <v>170</v>
      </c>
      <c r="N55" s="775" t="s">
        <v>171</v>
      </c>
      <c r="O55" s="776" t="s">
        <v>813</v>
      </c>
      <c r="P55" s="776" t="s">
        <v>814</v>
      </c>
      <c r="Q55" s="776" t="s">
        <v>927</v>
      </c>
      <c r="R55" s="2088"/>
      <c r="S55" s="2088"/>
      <c r="T55" s="778" t="s">
        <v>171</v>
      </c>
      <c r="U55" s="774" t="s">
        <v>929</v>
      </c>
      <c r="V55" s="774" t="s">
        <v>930</v>
      </c>
      <c r="W55" s="774" t="s">
        <v>931</v>
      </c>
      <c r="X55" s="774" t="s">
        <v>932</v>
      </c>
      <c r="Y55" s="774" t="s">
        <v>933</v>
      </c>
      <c r="Z55" s="2094"/>
      <c r="AA55" s="774" t="s">
        <v>929</v>
      </c>
      <c r="AB55" s="774" t="s">
        <v>930</v>
      </c>
      <c r="AC55" s="774" t="s">
        <v>931</v>
      </c>
      <c r="AD55" s="774" t="s">
        <v>932</v>
      </c>
      <c r="AE55" s="774" t="s">
        <v>933</v>
      </c>
      <c r="AF55" s="777" t="s">
        <v>290</v>
      </c>
      <c r="AG55" s="777" t="s">
        <v>291</v>
      </c>
      <c r="AH55" s="777" t="s">
        <v>292</v>
      </c>
      <c r="AI55" s="777" t="s">
        <v>293</v>
      </c>
      <c r="AJ55" s="777" t="s">
        <v>294</v>
      </c>
      <c r="AK55" s="775" t="s">
        <v>44</v>
      </c>
      <c r="AL55" s="2075"/>
      <c r="AM55" s="2113"/>
      <c r="AN55" s="2092"/>
      <c r="AO55" s="14"/>
      <c r="AP55" s="14"/>
      <c r="AQ55" s="14"/>
      <c r="AR55" s="14"/>
      <c r="AS55" s="14"/>
      <c r="AT55" s="14"/>
      <c r="AU55" s="14"/>
      <c r="AV55" s="14"/>
      <c r="AW55" s="14"/>
      <c r="AX55" s="14"/>
      <c r="AY55" s="14"/>
      <c r="AZ55" s="14"/>
      <c r="BA55" s="14"/>
      <c r="BB55" s="14"/>
      <c r="BC55" s="14"/>
      <c r="BD55" s="14"/>
      <c r="BE55" s="14"/>
      <c r="BF55" s="14"/>
      <c r="BG55" s="14"/>
    </row>
    <row r="56" spans="1:59" ht="15" customHeight="1">
      <c r="B56" s="84" t="s">
        <v>142</v>
      </c>
      <c r="C56" s="84">
        <v>1</v>
      </c>
      <c r="D56" s="53" t="s">
        <v>143</v>
      </c>
      <c r="E56" s="102"/>
      <c r="F56" s="102"/>
      <c r="G56" s="102"/>
      <c r="H56" s="102"/>
      <c r="I56" s="102"/>
      <c r="J56" s="102"/>
      <c r="K56" s="651"/>
      <c r="L56" s="85" t="s">
        <v>175</v>
      </c>
      <c r="M56" s="103"/>
      <c r="N56" s="104"/>
      <c r="O56" s="104"/>
      <c r="P56" s="104"/>
      <c r="Q56" s="104"/>
      <c r="R56" s="54"/>
      <c r="S56" s="104"/>
      <c r="T56" s="104"/>
      <c r="U56" s="104"/>
      <c r="V56" s="104"/>
      <c r="W56" s="104"/>
      <c r="X56" s="104"/>
      <c r="Y56" s="104"/>
      <c r="Z56" s="104"/>
      <c r="AA56" s="104"/>
      <c r="AB56" s="104"/>
      <c r="AC56" s="104"/>
      <c r="AD56" s="104"/>
      <c r="AE56" s="104"/>
      <c r="AF56" s="281"/>
      <c r="AG56" s="281"/>
      <c r="AH56" s="281"/>
      <c r="AI56" s="281"/>
      <c r="AJ56" s="281"/>
      <c r="AK56" s="54"/>
      <c r="AL56" s="657" t="s">
        <v>2704</v>
      </c>
      <c r="AM56" s="871"/>
      <c r="AN56" s="874"/>
    </row>
    <row r="57" spans="1:59" s="15" customFormat="1">
      <c r="A57" s="16"/>
      <c r="B57" s="56" t="s">
        <v>142</v>
      </c>
      <c r="C57" s="56">
        <v>1</v>
      </c>
      <c r="D57" s="2060"/>
      <c r="E57" s="2061"/>
      <c r="F57" s="2061"/>
      <c r="G57" s="2061"/>
      <c r="H57" s="2062"/>
      <c r="I57" s="2060"/>
      <c r="J57" s="2061"/>
      <c r="K57" s="2062"/>
      <c r="L57" s="56"/>
      <c r="M57" s="57"/>
      <c r="N57" s="58"/>
      <c r="O57" s="58"/>
      <c r="P57" s="58"/>
      <c r="Q57" s="221" t="str">
        <f t="array" ref="Q57">IFERROR(INDEX('Conversion factors_2'!$B$10:$CY$111,MATCH(O57,'Conversion factors_2'!$B$10:$B$111,FALSE),HLOOKUP(P57,'Conversion factors_2'!$B$8:$CY$9,2,FALSE)),"")</f>
        <v/>
      </c>
      <c r="R57" s="58"/>
      <c r="S57" s="58"/>
      <c r="T57" s="221" t="str">
        <f>IFERROR(CONCATENATE("tCO2e/",VLOOKUP($S57,'Emission factors'!$D:$J,7,FALSE)),"")</f>
        <v/>
      </c>
      <c r="U57" s="221" t="str">
        <f>IFERROR(VLOOKUP($S57,'Emission factors'!$D:$X,10,FALSE),"")</f>
        <v/>
      </c>
      <c r="V57" s="221" t="str">
        <f>IFERROR(VLOOKUP($S57,'Emission factors'!$D:$X,12,FALSE),"")</f>
        <v/>
      </c>
      <c r="W57" s="221" t="str">
        <f>IFERROR(VLOOKUP($S57,'Emission factors'!$D:$X,14,FALSE),"")</f>
        <v/>
      </c>
      <c r="X57" s="221" t="str">
        <f>IFERROR(VLOOKUP($S57,'Emission factors'!$D:$X,16,FALSE),"")</f>
        <v/>
      </c>
      <c r="Y57" s="221" t="str">
        <f>IFERROR(VLOOKUP($S57,'Emission factors'!$D:$X,18,FALSE),"")</f>
        <v/>
      </c>
      <c r="Z57" s="58"/>
      <c r="AA57" s="58"/>
      <c r="AB57" s="58"/>
      <c r="AC57" s="58"/>
      <c r="AD57" s="58"/>
      <c r="AE57" s="58"/>
      <c r="AF57" s="275" t="str">
        <f t="shared" ref="AF57:AH58" si="9">IFERROR(IF(AND($S57="",$Z57=""),"",IF($S57="",IF(AA57=0,"-",AA57),IF(U57=0,"0",$M57*IF($Q57="",1,$Q57)*U57))),"-")</f>
        <v/>
      </c>
      <c r="AG57" s="275" t="str">
        <f t="shared" si="9"/>
        <v/>
      </c>
      <c r="AH57" s="275" t="str">
        <f t="shared" si="9"/>
        <v/>
      </c>
      <c r="AI57" s="275" t="str">
        <f>IFERROR(IF(AND($S57="",$Z57=""),"",IF($S57="",IF(AD57="",SUM(AF57:AH57),IF(AD57=0,"0",AD57)),IF($X57="",SUM($AF57:$AH57),IF($X57=0,"0",$M57*IF($Q57="",1,$Q57)*$X57)))),"-")</f>
        <v/>
      </c>
      <c r="AJ57" s="275" t="str">
        <f>IFERROR(IF(AND($S57="",$Z57=""),"",IF($S57="",IF(AE57=0,"-",AE57),IF(Y57=0,"0",$M57*IF($Q57="",1,$Q57)*Y57))),"-")</f>
        <v/>
      </c>
      <c r="AK57" s="58"/>
      <c r="AL57" s="225"/>
      <c r="AM57" s="226"/>
      <c r="AN57" s="779"/>
    </row>
    <row r="58" spans="1:59" s="15" customFormat="1">
      <c r="A58" s="16"/>
      <c r="B58" s="56" t="s">
        <v>142</v>
      </c>
      <c r="C58" s="56">
        <v>1</v>
      </c>
      <c r="D58" s="2060"/>
      <c r="E58" s="2061"/>
      <c r="F58" s="2061"/>
      <c r="G58" s="2061"/>
      <c r="H58" s="2062"/>
      <c r="I58" s="2060"/>
      <c r="J58" s="2061"/>
      <c r="K58" s="2062"/>
      <c r="L58" s="56"/>
      <c r="M58" s="57"/>
      <c r="N58" s="58"/>
      <c r="O58" s="58"/>
      <c r="P58" s="58"/>
      <c r="Q58" s="221" t="str">
        <f t="array" ref="Q58">IFERROR(INDEX('Conversion factors_2'!$B$10:$CY$111,MATCH(O58,'Conversion factors_2'!$B$10:$B$111,FALSE),HLOOKUP(P58,'Conversion factors_2'!$B$8:$CY$9,2,FALSE)),"")</f>
        <v/>
      </c>
      <c r="R58" s="58"/>
      <c r="S58" s="58"/>
      <c r="T58" s="221" t="str">
        <f>IFERROR(CONCATENATE("tCO2e/",VLOOKUP($S58,'Emission factors'!$D:$J,7,FALSE)),"")</f>
        <v/>
      </c>
      <c r="U58" s="221" t="str">
        <f>IFERROR(VLOOKUP($S58,'Emission factors'!$D:$X,10,FALSE),"")</f>
        <v/>
      </c>
      <c r="V58" s="221" t="str">
        <f>IFERROR(VLOOKUP($S58,'Emission factors'!$D:$X,12,FALSE),"")</f>
        <v/>
      </c>
      <c r="W58" s="221" t="str">
        <f>IFERROR(VLOOKUP($S58,'Emission factors'!$D:$X,14,FALSE),"")</f>
        <v/>
      </c>
      <c r="X58" s="221" t="str">
        <f>IFERROR(VLOOKUP($S58,'Emission factors'!$D:$X,16,FALSE),"")</f>
        <v/>
      </c>
      <c r="Y58" s="221" t="str">
        <f>IFERROR(VLOOKUP($S58,'Emission factors'!$D:$X,18,FALSE),"")</f>
        <v/>
      </c>
      <c r="Z58" s="58"/>
      <c r="AA58" s="58"/>
      <c r="AB58" s="58"/>
      <c r="AC58" s="58"/>
      <c r="AD58" s="58"/>
      <c r="AE58" s="58"/>
      <c r="AF58" s="275" t="str">
        <f t="shared" si="9"/>
        <v/>
      </c>
      <c r="AG58" s="275" t="str">
        <f t="shared" si="9"/>
        <v/>
      </c>
      <c r="AH58" s="275" t="str">
        <f t="shared" si="9"/>
        <v/>
      </c>
      <c r="AI58" s="275" t="str">
        <f>IFERROR(IF(AND($S58="",$Z58=""),"",IF($S58="",IF(AD58="",SUM(AF58:AH58),IF(AD58=0,"0",AD58)),IF($X58="",SUM($AF58:$AH58),IF($X58=0,"0",$M58*IF($Q58="",1,$Q58)*$X58)))),"-")</f>
        <v/>
      </c>
      <c r="AJ58" s="275" t="str">
        <f>IFERROR(IF(AND($S58="",$Z58=""),"",IF($S58="",IF(AE58=0,"-",AE58),IF(Y58=0,"0",$M58*IF($Q58="",1,$Q58)*Y58))),"-")</f>
        <v/>
      </c>
      <c r="AK58" s="58"/>
      <c r="AL58" s="255"/>
      <c r="AM58" s="226"/>
      <c r="AN58" s="779"/>
    </row>
    <row r="59" spans="1:59">
      <c r="B59" s="73" t="s">
        <v>144</v>
      </c>
      <c r="C59" s="60">
        <v>3</v>
      </c>
      <c r="D59" s="61" t="s">
        <v>145</v>
      </c>
      <c r="E59" s="105"/>
      <c r="F59" s="105"/>
      <c r="G59" s="105"/>
      <c r="H59" s="105"/>
      <c r="I59" s="105"/>
      <c r="J59" s="105"/>
      <c r="K59" s="62"/>
      <c r="L59" s="74"/>
      <c r="M59" s="64"/>
      <c r="N59" s="64"/>
      <c r="O59" s="64"/>
      <c r="P59" s="64"/>
      <c r="Q59" s="64"/>
      <c r="R59" s="64"/>
      <c r="S59" s="64"/>
      <c r="T59" s="64"/>
      <c r="U59" s="64"/>
      <c r="V59" s="64"/>
      <c r="W59" s="64"/>
      <c r="X59" s="64"/>
      <c r="Y59" s="64"/>
      <c r="Z59" s="64"/>
      <c r="AA59" s="64"/>
      <c r="AB59" s="64"/>
      <c r="AC59" s="64"/>
      <c r="AD59" s="64"/>
      <c r="AE59" s="64"/>
      <c r="AF59" s="276"/>
      <c r="AG59" s="276"/>
      <c r="AH59" s="276"/>
      <c r="AI59" s="276"/>
      <c r="AJ59" s="276"/>
      <c r="AK59" s="54"/>
      <c r="AL59" s="227"/>
      <c r="AM59" s="250"/>
      <c r="AN59" s="872"/>
    </row>
    <row r="60" spans="1:59" s="15" customFormat="1">
      <c r="A60" s="16"/>
      <c r="B60" s="56" t="s">
        <v>144</v>
      </c>
      <c r="C60" s="56">
        <v>3</v>
      </c>
      <c r="D60" s="2060" t="s">
        <v>210</v>
      </c>
      <c r="E60" s="2061"/>
      <c r="F60" s="2061"/>
      <c r="G60" s="2061"/>
      <c r="H60" s="2062"/>
      <c r="I60" s="2060"/>
      <c r="J60" s="2061"/>
      <c r="K60" s="2062"/>
      <c r="L60" s="56"/>
      <c r="M60" s="57"/>
      <c r="N60" s="58"/>
      <c r="O60" s="58"/>
      <c r="P60" s="58"/>
      <c r="Q60" s="221" t="str">
        <f t="array" ref="Q60">IFERROR(INDEX('Conversion factors_2'!$B$10:$CY$111,MATCH(O60,'Conversion factors_2'!$B$10:$B$111,FALSE),HLOOKUP(P60,'Conversion factors_2'!$B$8:$CY$9,2,FALSE)),"")</f>
        <v/>
      </c>
      <c r="R60" s="58" t="s">
        <v>308</v>
      </c>
      <c r="S60" s="58"/>
      <c r="T60" s="221" t="str">
        <f>IFERROR(CONCATENATE("tCO2e/",VLOOKUP($S60,'Emission factors'!$D:$J,7,FALSE)),"")</f>
        <v/>
      </c>
      <c r="U60" s="221" t="str">
        <f>IFERROR(VLOOKUP($S60,'Emission factors'!$D:$X,10,FALSE),"")</f>
        <v/>
      </c>
      <c r="V60" s="221" t="str">
        <f>IFERROR(VLOOKUP($S60,'Emission factors'!$D:$X,12,FALSE),"")</f>
        <v/>
      </c>
      <c r="W60" s="221" t="str">
        <f>IFERROR(VLOOKUP($S60,'Emission factors'!$D:$X,14,FALSE),"")</f>
        <v/>
      </c>
      <c r="X60" s="221" t="str">
        <f>IFERROR(VLOOKUP($S60,'Emission factors'!$D:$X,16,FALSE),"")</f>
        <v/>
      </c>
      <c r="Y60" s="221" t="str">
        <f>IFERROR(VLOOKUP($S60,'Emission factors'!$D:$X,18,FALSE),"")</f>
        <v/>
      </c>
      <c r="Z60" s="58" t="s">
        <v>982</v>
      </c>
      <c r="AA60" s="58"/>
      <c r="AB60" s="57">
        <f>Wastewater!D41</f>
        <v>27593.999999999996</v>
      </c>
      <c r="AC60" s="57">
        <f>Wastewater!E41</f>
        <v>95332.160000000003</v>
      </c>
      <c r="AD60" s="58"/>
      <c r="AE60" s="58"/>
      <c r="AF60" s="275" t="str">
        <f t="shared" ref="AF60:AH61" si="10">IFERROR(IF(AND($S60="",$Z60=""),"",IF($S60="",IF(AA60=0,"-",AA60),IF(U60=0,"0",$M60*IF($Q60="",1,$Q60)*U60))),"-")</f>
        <v>-</v>
      </c>
      <c r="AG60" s="275">
        <f t="shared" si="10"/>
        <v>27593.999999999996</v>
      </c>
      <c r="AH60" s="275">
        <f t="shared" si="10"/>
        <v>95332.160000000003</v>
      </c>
      <c r="AI60" s="275">
        <f>IFERROR(IF(AND($S60="",$Z60=""),"",IF($S60="",IF(AD60="",SUM(AF60:AH60),IF(AD60=0,"0",AD60)),IF($X60="",SUM($AF60:$AH60),IF($X60=0,"0",$M60*IF($Q60="",1,$Q60)*$X60)))),"-")</f>
        <v>122926.16</v>
      </c>
      <c r="AJ60" s="275" t="str">
        <f>IFERROR(IF(AND($S60="",$Z60=""),"",IF($S60="",IF(AE60=0,"-",AE60),IF(Y60=0,"0",$M60*IF($Q60="",1,$Q60)*Y60))),"-")</f>
        <v>-</v>
      </c>
      <c r="AK60" s="58" t="s">
        <v>179</v>
      </c>
      <c r="AL60" s="225" t="s">
        <v>2702</v>
      </c>
      <c r="AM60" s="226"/>
      <c r="AN60" s="779"/>
    </row>
    <row r="61" spans="1:59" s="15" customFormat="1">
      <c r="A61" s="16"/>
      <c r="B61" s="56" t="s">
        <v>144</v>
      </c>
      <c r="C61" s="56">
        <v>3</v>
      </c>
      <c r="D61" s="2060" t="s">
        <v>211</v>
      </c>
      <c r="E61" s="2061"/>
      <c r="F61" s="2061"/>
      <c r="G61" s="2061"/>
      <c r="H61" s="2062"/>
      <c r="I61" s="2060"/>
      <c r="J61" s="2061"/>
      <c r="K61" s="2062"/>
      <c r="L61" s="56"/>
      <c r="M61" s="57"/>
      <c r="N61" s="58"/>
      <c r="O61" s="58"/>
      <c r="P61" s="58"/>
      <c r="Q61" s="221" t="str">
        <f t="array" ref="Q61">IFERROR(INDEX('Conversion factors_2'!$B$10:$CY$111,MATCH(O61,'Conversion factors_2'!$B$10:$B$111,FALSE),HLOOKUP(P61,'Conversion factors_2'!$B$8:$CY$9,2,FALSE)),"")</f>
        <v/>
      </c>
      <c r="R61" s="58" t="s">
        <v>304</v>
      </c>
      <c r="S61" s="58"/>
      <c r="T61" s="221" t="str">
        <f>IFERROR(CONCATENATE("tCO2e/",VLOOKUP($S61,'Emission factors'!$D:$J,7,FALSE)),"")</f>
        <v/>
      </c>
      <c r="U61" s="221" t="str">
        <f>IFERROR(VLOOKUP($S61,'Emission factors'!$D:$X,10,FALSE),"")</f>
        <v/>
      </c>
      <c r="V61" s="221" t="str">
        <f>IFERROR(VLOOKUP($S61,'Emission factors'!$D:$X,12,FALSE),"")</f>
        <v/>
      </c>
      <c r="W61" s="221" t="str">
        <f>IFERROR(VLOOKUP($S61,'Emission factors'!$D:$X,14,FALSE),"")</f>
        <v/>
      </c>
      <c r="X61" s="221" t="str">
        <f>IFERROR(VLOOKUP($S61,'Emission factors'!$D:$X,16,FALSE),"")</f>
        <v/>
      </c>
      <c r="Y61" s="221" t="str">
        <f>IFERROR(VLOOKUP($S61,'Emission factors'!$D:$X,18,FALSE),"")</f>
        <v/>
      </c>
      <c r="Z61" s="58" t="s">
        <v>982</v>
      </c>
      <c r="AA61" s="58"/>
      <c r="AB61" s="57">
        <f>Wastewater!D42</f>
        <v>30194.5</v>
      </c>
      <c r="AC61" s="58"/>
      <c r="AD61" s="58"/>
      <c r="AE61" s="58"/>
      <c r="AF61" s="275" t="str">
        <f t="shared" si="10"/>
        <v>-</v>
      </c>
      <c r="AG61" s="275">
        <f t="shared" si="10"/>
        <v>30194.5</v>
      </c>
      <c r="AH61" s="275" t="str">
        <f t="shared" si="10"/>
        <v>-</v>
      </c>
      <c r="AI61" s="275">
        <f>IFERROR(IF(AND($S61="",$Z61=""),"",IF($S61="",IF(AD61="",SUM(AF61:AH61),IF(AD61=0,"0",AD61)),IF($X61="",SUM($AF61:$AH61),IF($X61=0,"0",$M61*IF($Q61="",1,$Q61)*$X61)))),"-")</f>
        <v>30194.5</v>
      </c>
      <c r="AJ61" s="275" t="str">
        <f>IFERROR(IF(AND($S61="",$Z61=""),"",IF($S61="",IF(AE61=0,"-",AE61),IF(Y61=0,"0",$M61*IF($Q61="",1,$Q61)*Y61))),"-")</f>
        <v>-</v>
      </c>
      <c r="AK61" s="58" t="s">
        <v>179</v>
      </c>
      <c r="AL61" s="225" t="s">
        <v>2702</v>
      </c>
      <c r="AM61" s="226"/>
      <c r="AN61" s="779"/>
    </row>
    <row r="62" spans="1:59">
      <c r="B62" s="121" t="s">
        <v>146</v>
      </c>
      <c r="C62" s="77">
        <v>1</v>
      </c>
      <c r="D62" s="145" t="s">
        <v>147</v>
      </c>
      <c r="E62" s="146"/>
      <c r="F62" s="146"/>
      <c r="G62" s="146"/>
      <c r="H62" s="146"/>
      <c r="I62" s="124"/>
      <c r="J62" s="124"/>
      <c r="K62" s="79"/>
      <c r="L62" s="82" t="s">
        <v>175</v>
      </c>
      <c r="M62" s="81"/>
      <c r="N62" s="80"/>
      <c r="O62" s="80"/>
      <c r="P62" s="80"/>
      <c r="Q62" s="80"/>
      <c r="R62" s="80"/>
      <c r="S62" s="80"/>
      <c r="T62" s="80"/>
      <c r="U62" s="80"/>
      <c r="V62" s="80"/>
      <c r="W62" s="80"/>
      <c r="X62" s="80"/>
      <c r="Y62" s="80"/>
      <c r="Z62" s="80"/>
      <c r="AA62" s="80"/>
      <c r="AB62" s="80"/>
      <c r="AC62" s="80"/>
      <c r="AD62" s="80"/>
      <c r="AE62" s="80"/>
      <c r="AF62" s="285"/>
      <c r="AG62" s="285"/>
      <c r="AH62" s="285"/>
      <c r="AI62" s="285"/>
      <c r="AJ62" s="285"/>
      <c r="AK62" s="80"/>
      <c r="AL62" s="261" t="s">
        <v>2703</v>
      </c>
      <c r="AM62" s="214"/>
      <c r="AN62" s="765"/>
    </row>
    <row r="63" spans="1:59" s="15" customFormat="1">
      <c r="A63" s="16"/>
      <c r="B63" s="71" t="s">
        <v>146</v>
      </c>
      <c r="C63" s="71">
        <v>1</v>
      </c>
      <c r="D63" s="2060"/>
      <c r="E63" s="2061"/>
      <c r="F63" s="2061"/>
      <c r="G63" s="2061"/>
      <c r="H63" s="2062"/>
      <c r="I63" s="2060"/>
      <c r="J63" s="2061"/>
      <c r="K63" s="2062"/>
      <c r="L63" s="56"/>
      <c r="M63" s="57"/>
      <c r="N63" s="58"/>
      <c r="O63" s="58"/>
      <c r="P63" s="58"/>
      <c r="Q63" s="221" t="str">
        <f t="array" ref="Q63">IFERROR(INDEX('Conversion factors_2'!$B$10:$CY$111,MATCH(O63,'Conversion factors_2'!$B$10:$B$111,FALSE),HLOOKUP(P63,'Conversion factors_2'!$B$8:$CY$9,2,FALSE)),"")</f>
        <v/>
      </c>
      <c r="R63" s="58"/>
      <c r="S63" s="58"/>
      <c r="T63" s="221" t="str">
        <f>IFERROR(CONCATENATE("tCO2e/",VLOOKUP($S63,'Emission factors'!$D:$J,7,FALSE)),"")</f>
        <v/>
      </c>
      <c r="U63" s="221" t="str">
        <f>IFERROR(VLOOKUP($S63,'Emission factors'!$D:$X,10,FALSE),"")</f>
        <v/>
      </c>
      <c r="V63" s="221" t="str">
        <f>IFERROR(VLOOKUP($S63,'Emission factors'!$D:$X,12,FALSE),"")</f>
        <v/>
      </c>
      <c r="W63" s="221" t="str">
        <f>IFERROR(VLOOKUP($S63,'Emission factors'!$D:$X,14,FALSE),"")</f>
        <v/>
      </c>
      <c r="X63" s="221" t="str">
        <f>IFERROR(VLOOKUP($S63,'Emission factors'!$D:$X,16,FALSE),"")</f>
        <v/>
      </c>
      <c r="Y63" s="221" t="str">
        <f>IFERROR(VLOOKUP($S63,'Emission factors'!$D:$X,18,FALSE),"")</f>
        <v/>
      </c>
      <c r="Z63" s="58"/>
      <c r="AA63" s="58"/>
      <c r="AB63" s="57"/>
      <c r="AC63" s="57"/>
      <c r="AD63" s="58"/>
      <c r="AE63" s="58"/>
      <c r="AF63" s="275" t="str">
        <f t="shared" ref="AF63:AH64" si="11">IFERROR(IF(AND($S63="",$Z63=""),"",IF($S63="",IF(AA63=0,"-",AA63),IF(U63=0,"0",$M63*IF($Q63="",1,$Q63)*U63))),"-")</f>
        <v/>
      </c>
      <c r="AG63" s="275" t="str">
        <f t="shared" si="11"/>
        <v/>
      </c>
      <c r="AH63" s="275" t="str">
        <f t="shared" si="11"/>
        <v/>
      </c>
      <c r="AI63" s="275" t="str">
        <f>IFERROR(IF(AND($S63="",$Z63=""),"",IF($S63="",IF(AD63="",SUM(AF63:AH63),IF(AD63=0,"0",AD63)),IF($X63="",SUM($AF63:$AH63),IF($X63=0,"0",$M63*IF($Q63="",1,$Q63)*$X63)))),"-")</f>
        <v/>
      </c>
      <c r="AJ63" s="275" t="str">
        <f>IFERROR(IF(AND($S63="",$Z63=""),"",IF($S63="",IF(AE63=0,"-",AE63),IF(Y63=0,"0",$M63*IF($Q63="",1,$Q63)*Y63))),"-")</f>
        <v/>
      </c>
      <c r="AK63" s="58"/>
      <c r="AL63" s="225"/>
      <c r="AM63" s="226"/>
      <c r="AN63" s="779"/>
    </row>
    <row r="64" spans="1:59" s="15" customFormat="1" ht="15" customHeight="1">
      <c r="A64" s="16"/>
      <c r="B64" s="56" t="s">
        <v>146</v>
      </c>
      <c r="C64" s="56">
        <v>1</v>
      </c>
      <c r="D64" s="2060"/>
      <c r="E64" s="2061"/>
      <c r="F64" s="2061"/>
      <c r="G64" s="2061"/>
      <c r="H64" s="2062"/>
      <c r="I64" s="2060"/>
      <c r="J64" s="2061"/>
      <c r="K64" s="2062"/>
      <c r="L64" s="56"/>
      <c r="M64" s="57"/>
      <c r="N64" s="58"/>
      <c r="O64" s="58"/>
      <c r="P64" s="58"/>
      <c r="Q64" s="221" t="str">
        <f t="array" ref="Q64">IFERROR(INDEX('Conversion factors_2'!$B$10:$CY$111,MATCH(O64,'Conversion factors_2'!$B$10:$B$111,FALSE),HLOOKUP(P64,'Conversion factors_2'!$B$8:$CY$9,2,FALSE)),"")</f>
        <v/>
      </c>
      <c r="R64" s="58"/>
      <c r="S64" s="58"/>
      <c r="T64" s="221" t="str">
        <f>IFERROR(CONCATENATE("tCO2e/",VLOOKUP($S64,'Emission factors'!$D:$J,7,FALSE)),"")</f>
        <v/>
      </c>
      <c r="U64" s="221" t="str">
        <f>IFERROR(VLOOKUP($S64,'Emission factors'!$D:$X,10,FALSE),"")</f>
        <v/>
      </c>
      <c r="V64" s="221" t="str">
        <f>IFERROR(VLOOKUP($S64,'Emission factors'!$D:$X,12,FALSE),"")</f>
        <v/>
      </c>
      <c r="W64" s="221" t="str">
        <f>IFERROR(VLOOKUP($S64,'Emission factors'!$D:$X,14,FALSE),"")</f>
        <v/>
      </c>
      <c r="X64" s="221" t="str">
        <f>IFERROR(VLOOKUP($S64,'Emission factors'!$D:$X,16,FALSE),"")</f>
        <v/>
      </c>
      <c r="Y64" s="221" t="str">
        <f>IFERROR(VLOOKUP($S64,'Emission factors'!$D:$X,18,FALSE),"")</f>
        <v/>
      </c>
      <c r="Z64" s="58"/>
      <c r="AA64" s="58"/>
      <c r="AB64" s="57"/>
      <c r="AC64" s="58"/>
      <c r="AD64" s="58"/>
      <c r="AE64" s="58"/>
      <c r="AF64" s="472" t="str">
        <f t="shared" si="11"/>
        <v/>
      </c>
      <c r="AG64" s="472" t="str">
        <f t="shared" si="11"/>
        <v/>
      </c>
      <c r="AH64" s="472" t="str">
        <f t="shared" si="11"/>
        <v/>
      </c>
      <c r="AI64" s="472" t="str">
        <f>IFERROR(IF(AND($S64="",$Z64=""),"",IF($S64="",IF(AD64="",SUM(AF64:AH64),IF(AD64=0,"0",AD64)),IF($X64="",SUM($AF64:$AH64),IF($X64=0,"0",$M64*IF($Q64="",1,$Q64)*$X64)))),"-")</f>
        <v/>
      </c>
      <c r="AJ64" s="472" t="str">
        <f>IFERROR(IF(AND($S64="",$Z64=""),"",IF($S64="",IF(AE64=0,"-",AE64),IF(Y64=0,"0",$M64*IF($Q64="",1,$Q64)*Y64))),"-")</f>
        <v/>
      </c>
      <c r="AK64" s="58"/>
      <c r="AL64" s="225"/>
      <c r="AM64" s="226"/>
      <c r="AN64" s="779"/>
    </row>
    <row r="65" spans="1:36" s="15" customFormat="1">
      <c r="A65" s="16"/>
      <c r="B65" s="14"/>
      <c r="C65" s="14"/>
      <c r="R65" s="100"/>
      <c r="AF65" s="284"/>
      <c r="AG65" s="284"/>
      <c r="AH65" s="284"/>
      <c r="AI65" s="284"/>
      <c r="AJ65" s="284"/>
    </row>
    <row r="66" spans="1:36" s="15" customFormat="1" ht="15" customHeight="1">
      <c r="A66" s="16"/>
      <c r="B66" s="99" t="s">
        <v>625</v>
      </c>
      <c r="C66" s="14"/>
      <c r="R66" s="100"/>
      <c r="AF66" s="284"/>
      <c r="AG66" s="284"/>
      <c r="AH66" s="284"/>
      <c r="AI66" s="284"/>
      <c r="AJ66" s="284"/>
    </row>
    <row r="67" spans="1:36" s="15" customFormat="1">
      <c r="A67" s="16"/>
      <c r="R67" s="100"/>
      <c r="AF67" s="284"/>
      <c r="AG67" s="284"/>
      <c r="AH67" s="284"/>
      <c r="AI67" s="284"/>
      <c r="AJ67" s="284"/>
    </row>
    <row r="68" spans="1:36" s="15" customFormat="1">
      <c r="A68" s="16"/>
      <c r="B68" s="14"/>
      <c r="C68" s="14"/>
      <c r="R68" s="100"/>
      <c r="AF68" s="284"/>
      <c r="AG68" s="284"/>
      <c r="AH68" s="284"/>
      <c r="AI68" s="284"/>
      <c r="AJ68" s="284"/>
    </row>
    <row r="69" spans="1:36" s="15" customFormat="1">
      <c r="A69" s="16"/>
      <c r="B69" s="14"/>
      <c r="C69" s="14"/>
      <c r="R69" s="100"/>
      <c r="AF69" s="284"/>
      <c r="AG69" s="284"/>
      <c r="AH69" s="284"/>
      <c r="AI69" s="284"/>
      <c r="AJ69" s="284"/>
    </row>
    <row r="70" spans="1:36" s="15" customFormat="1">
      <c r="A70" s="16"/>
      <c r="B70" s="14"/>
      <c r="C70" s="14"/>
      <c r="R70" s="100"/>
      <c r="AF70" s="284"/>
      <c r="AG70" s="284"/>
      <c r="AH70" s="284"/>
      <c r="AI70" s="284"/>
      <c r="AJ70" s="284"/>
    </row>
    <row r="71" spans="1:36" s="15" customFormat="1">
      <c r="A71" s="16"/>
      <c r="B71" s="14"/>
      <c r="C71" s="14"/>
      <c r="R71" s="100"/>
      <c r="AF71" s="284"/>
      <c r="AG71" s="284"/>
      <c r="AH71" s="284"/>
      <c r="AI71" s="284"/>
      <c r="AJ71" s="284"/>
    </row>
    <row r="72" spans="1:36" s="15" customFormat="1">
      <c r="A72" s="16"/>
      <c r="B72" s="14"/>
      <c r="C72" s="14"/>
      <c r="R72" s="100"/>
      <c r="AF72" s="284"/>
      <c r="AG72" s="284"/>
      <c r="AH72" s="284"/>
      <c r="AI72" s="284"/>
      <c r="AJ72" s="284"/>
    </row>
    <row r="73" spans="1:36" s="15" customFormat="1" ht="15" customHeight="1">
      <c r="A73" s="16"/>
      <c r="B73" s="14"/>
      <c r="C73" s="14"/>
      <c r="R73" s="100"/>
      <c r="AF73" s="284"/>
      <c r="AG73" s="284"/>
      <c r="AH73" s="284"/>
      <c r="AI73" s="284"/>
      <c r="AJ73" s="284"/>
    </row>
    <row r="74" spans="1:36" s="15" customFormat="1">
      <c r="A74" s="16"/>
      <c r="B74" s="14"/>
      <c r="C74" s="14"/>
      <c r="R74" s="100"/>
      <c r="AF74" s="284"/>
      <c r="AG74" s="284"/>
      <c r="AH74" s="284"/>
      <c r="AI74" s="284"/>
      <c r="AJ74" s="284"/>
    </row>
    <row r="75" spans="1:36" s="15" customFormat="1">
      <c r="A75" s="16"/>
      <c r="B75" s="14"/>
      <c r="C75" s="14"/>
      <c r="R75" s="100"/>
      <c r="AF75" s="284"/>
      <c r="AG75" s="284"/>
      <c r="AH75" s="284"/>
      <c r="AI75" s="284"/>
      <c r="AJ75" s="284"/>
    </row>
    <row r="76" spans="1:36" s="15" customFormat="1">
      <c r="A76" s="16"/>
      <c r="B76" s="14"/>
      <c r="C76" s="14"/>
      <c r="R76" s="100"/>
      <c r="AF76" s="284"/>
      <c r="AG76" s="284"/>
      <c r="AH76" s="284"/>
      <c r="AI76" s="284"/>
      <c r="AJ76" s="284"/>
    </row>
    <row r="77" spans="1:36" s="15" customFormat="1">
      <c r="A77" s="16"/>
      <c r="B77" s="14"/>
      <c r="C77" s="14"/>
      <c r="R77" s="100"/>
      <c r="AF77" s="284"/>
      <c r="AG77" s="284"/>
      <c r="AH77" s="284"/>
      <c r="AI77" s="284"/>
      <c r="AJ77" s="284"/>
    </row>
    <row r="78" spans="1:36" s="15" customFormat="1">
      <c r="A78" s="16"/>
      <c r="B78" s="14"/>
      <c r="C78" s="14"/>
      <c r="R78" s="100"/>
      <c r="AF78" s="284"/>
      <c r="AG78" s="284"/>
      <c r="AH78" s="284"/>
      <c r="AI78" s="284"/>
      <c r="AJ78" s="284"/>
    </row>
    <row r="79" spans="1:36" s="15" customFormat="1">
      <c r="A79" s="16"/>
      <c r="B79" s="14"/>
      <c r="C79" s="14"/>
      <c r="R79" s="100"/>
      <c r="AF79" s="284"/>
      <c r="AG79" s="284"/>
      <c r="AH79" s="284"/>
      <c r="AI79" s="284"/>
      <c r="AJ79" s="284"/>
    </row>
    <row r="80" spans="1:36" s="15" customFormat="1">
      <c r="A80" s="16"/>
      <c r="B80" s="14"/>
      <c r="C80" s="14"/>
      <c r="R80" s="100"/>
      <c r="AF80" s="284"/>
      <c r="AG80" s="284"/>
      <c r="AH80" s="284"/>
      <c r="AI80" s="284"/>
      <c r="AJ80" s="284"/>
    </row>
    <row r="81" spans="1:36" s="15" customFormat="1">
      <c r="A81" s="16"/>
      <c r="B81" s="14"/>
      <c r="C81" s="14"/>
      <c r="R81" s="100"/>
      <c r="AF81" s="284"/>
      <c r="AG81" s="284"/>
      <c r="AH81" s="284"/>
      <c r="AI81" s="284"/>
      <c r="AJ81" s="284"/>
    </row>
    <row r="82" spans="1:36" s="15" customFormat="1">
      <c r="A82" s="16"/>
      <c r="B82" s="14"/>
      <c r="C82" s="14"/>
      <c r="R82" s="100"/>
      <c r="AF82" s="284"/>
      <c r="AG82" s="284"/>
      <c r="AH82" s="284"/>
      <c r="AI82" s="284"/>
      <c r="AJ82" s="284"/>
    </row>
    <row r="83" spans="1:36" s="15" customFormat="1">
      <c r="A83" s="16"/>
      <c r="B83" s="14"/>
      <c r="C83" s="14"/>
      <c r="R83" s="100"/>
      <c r="AF83" s="284"/>
      <c r="AG83" s="284"/>
      <c r="AH83" s="284"/>
      <c r="AI83" s="284"/>
      <c r="AJ83" s="284"/>
    </row>
    <row r="84" spans="1:36" s="15" customFormat="1">
      <c r="A84" s="16"/>
      <c r="B84" s="14"/>
      <c r="C84" s="14"/>
      <c r="R84" s="100"/>
      <c r="AF84" s="284"/>
      <c r="AG84" s="284"/>
      <c r="AH84" s="284"/>
      <c r="AI84" s="284"/>
      <c r="AJ84" s="284"/>
    </row>
    <row r="85" spans="1:36" s="15" customFormat="1">
      <c r="A85" s="16"/>
      <c r="B85" s="14"/>
      <c r="C85" s="14"/>
      <c r="R85" s="100"/>
      <c r="AF85" s="284"/>
      <c r="AG85" s="284"/>
      <c r="AH85" s="284"/>
      <c r="AI85" s="284"/>
      <c r="AJ85" s="284"/>
    </row>
    <row r="86" spans="1:36" s="15" customFormat="1">
      <c r="A86" s="16"/>
      <c r="B86" s="14"/>
      <c r="C86" s="14"/>
      <c r="R86" s="100"/>
      <c r="AF86" s="284"/>
      <c r="AG86" s="284"/>
      <c r="AH86" s="284"/>
      <c r="AI86" s="284"/>
      <c r="AJ86" s="284"/>
    </row>
    <row r="87" spans="1:36" s="15" customFormat="1" ht="15" customHeight="1">
      <c r="A87" s="16"/>
      <c r="B87" s="14"/>
      <c r="C87" s="14"/>
      <c r="R87" s="100"/>
      <c r="AF87" s="284"/>
      <c r="AG87" s="284"/>
      <c r="AH87" s="284"/>
      <c r="AI87" s="284"/>
      <c r="AJ87" s="284"/>
    </row>
    <row r="88" spans="1:36" s="15" customFormat="1">
      <c r="A88" s="16"/>
      <c r="B88" s="14"/>
      <c r="C88" s="14"/>
      <c r="R88" s="100"/>
      <c r="AF88" s="284"/>
      <c r="AG88" s="284"/>
      <c r="AH88" s="284"/>
      <c r="AI88" s="284"/>
      <c r="AJ88" s="284"/>
    </row>
    <row r="89" spans="1:36" s="15" customFormat="1">
      <c r="A89" s="16"/>
      <c r="B89" s="14"/>
      <c r="C89" s="14"/>
      <c r="R89" s="100"/>
      <c r="AF89" s="284"/>
      <c r="AG89" s="284"/>
      <c r="AH89" s="284"/>
      <c r="AI89" s="284"/>
      <c r="AJ89" s="284"/>
    </row>
    <row r="90" spans="1:36" s="15" customFormat="1">
      <c r="A90" s="16"/>
      <c r="B90" s="14"/>
      <c r="C90" s="14"/>
      <c r="R90" s="100"/>
      <c r="AF90" s="284"/>
      <c r="AG90" s="284"/>
      <c r="AH90" s="284"/>
      <c r="AI90" s="284"/>
      <c r="AJ90" s="284"/>
    </row>
    <row r="91" spans="1:36" s="15" customFormat="1">
      <c r="A91" s="16"/>
      <c r="B91" s="14"/>
      <c r="C91" s="14"/>
      <c r="R91" s="100"/>
      <c r="AF91" s="284"/>
      <c r="AG91" s="284"/>
      <c r="AH91" s="284"/>
      <c r="AI91" s="284"/>
      <c r="AJ91" s="284"/>
    </row>
  </sheetData>
  <mergeCells count="151">
    <mergeCell ref="R54:R55"/>
    <mergeCell ref="O54:Q54"/>
    <mergeCell ref="T54:Y54"/>
    <mergeCell ref="AF40:AJ40"/>
    <mergeCell ref="AL40:AL41"/>
    <mergeCell ref="AA40:AE40"/>
    <mergeCell ref="I61:K61"/>
    <mergeCell ref="I63:K63"/>
    <mergeCell ref="AN26:AN27"/>
    <mergeCell ref="AM40:AM41"/>
    <mergeCell ref="AN40:AN41"/>
    <mergeCell ref="AM54:AM55"/>
    <mergeCell ref="AN54:AN55"/>
    <mergeCell ref="AF54:AJ54"/>
    <mergeCell ref="AL54:AL55"/>
    <mergeCell ref="S54:S55"/>
    <mergeCell ref="L54:L55"/>
    <mergeCell ref="M54:N54"/>
    <mergeCell ref="M26:N26"/>
    <mergeCell ref="O26:Q26"/>
    <mergeCell ref="T26:Y26"/>
    <mergeCell ref="Z26:Z27"/>
    <mergeCell ref="AA26:AE26"/>
    <mergeCell ref="AF26:AJ26"/>
    <mergeCell ref="B40:B41"/>
    <mergeCell ref="C40:C41"/>
    <mergeCell ref="L40:L41"/>
    <mergeCell ref="M40:N40"/>
    <mergeCell ref="S40:S41"/>
    <mergeCell ref="R40:R41"/>
    <mergeCell ref="O40:Q40"/>
    <mergeCell ref="T40:Y40"/>
    <mergeCell ref="Z40:Z41"/>
    <mergeCell ref="AL26:AL27"/>
    <mergeCell ref="S26:S27"/>
    <mergeCell ref="R26:R27"/>
    <mergeCell ref="AF12:AJ12"/>
    <mergeCell ref="S12:S13"/>
    <mergeCell ref="R12:R13"/>
    <mergeCell ref="O12:Q12"/>
    <mergeCell ref="T12:Y12"/>
    <mergeCell ref="Z12:Z13"/>
    <mergeCell ref="AA12:AE12"/>
    <mergeCell ref="AM12:AM13"/>
    <mergeCell ref="AN12:AN13"/>
    <mergeCell ref="AM26:AM27"/>
    <mergeCell ref="B2:B3"/>
    <mergeCell ref="C2:C3"/>
    <mergeCell ref="D2:E2"/>
    <mergeCell ref="F2:G2"/>
    <mergeCell ref="H2:I2"/>
    <mergeCell ref="Z54:Z55"/>
    <mergeCell ref="AA54:AE54"/>
    <mergeCell ref="B12:B13"/>
    <mergeCell ref="C12:C13"/>
    <mergeCell ref="L12:L13"/>
    <mergeCell ref="D12:K12"/>
    <mergeCell ref="D13:E13"/>
    <mergeCell ref="F13:H13"/>
    <mergeCell ref="I13:K13"/>
    <mergeCell ref="B26:B27"/>
    <mergeCell ref="C26:C27"/>
    <mergeCell ref="L26:L27"/>
    <mergeCell ref="B54:B55"/>
    <mergeCell ref="C54:C55"/>
    <mergeCell ref="AL12:AL13"/>
    <mergeCell ref="M12:N12"/>
    <mergeCell ref="D15:E15"/>
    <mergeCell ref="F15:H15"/>
    <mergeCell ref="I15:K15"/>
    <mergeCell ref="I16:K16"/>
    <mergeCell ref="I18:K18"/>
    <mergeCell ref="J2:K2"/>
    <mergeCell ref="L2:M2"/>
    <mergeCell ref="N2:O2"/>
    <mergeCell ref="D3:E3"/>
    <mergeCell ref="F3:G3"/>
    <mergeCell ref="H3:I3"/>
    <mergeCell ref="J3:K3"/>
    <mergeCell ref="L3:M3"/>
    <mergeCell ref="N3:O3"/>
    <mergeCell ref="D16:E16"/>
    <mergeCell ref="D18:E18"/>
    <mergeCell ref="D19:E19"/>
    <mergeCell ref="D21:E21"/>
    <mergeCell ref="D22:E22"/>
    <mergeCell ref="F16:H16"/>
    <mergeCell ref="F18:H18"/>
    <mergeCell ref="F19:H19"/>
    <mergeCell ref="F21:H21"/>
    <mergeCell ref="F22:H22"/>
    <mergeCell ref="I47:K47"/>
    <mergeCell ref="I29:K29"/>
    <mergeCell ref="I30:K30"/>
    <mergeCell ref="I32:K32"/>
    <mergeCell ref="I33:K33"/>
    <mergeCell ref="I35:K35"/>
    <mergeCell ref="I19:K19"/>
    <mergeCell ref="I21:K21"/>
    <mergeCell ref="I22:K22"/>
    <mergeCell ref="D32:E32"/>
    <mergeCell ref="F32:H32"/>
    <mergeCell ref="D33:E33"/>
    <mergeCell ref="F33:H33"/>
    <mergeCell ref="F29:H29"/>
    <mergeCell ref="F30:H30"/>
    <mergeCell ref="F35:H35"/>
    <mergeCell ref="I64:K64"/>
    <mergeCell ref="D26:K26"/>
    <mergeCell ref="D27:E27"/>
    <mergeCell ref="F27:H27"/>
    <mergeCell ref="I27:K27"/>
    <mergeCell ref="D40:K40"/>
    <mergeCell ref="D41:E41"/>
    <mergeCell ref="F41:H41"/>
    <mergeCell ref="I41:K41"/>
    <mergeCell ref="D54:K54"/>
    <mergeCell ref="I55:K55"/>
    <mergeCell ref="I49:K49"/>
    <mergeCell ref="I50:K50"/>
    <mergeCell ref="I57:K57"/>
    <mergeCell ref="I58:K58"/>
    <mergeCell ref="I60:K60"/>
    <mergeCell ref="I36:K36"/>
    <mergeCell ref="I43:K43"/>
    <mergeCell ref="I44:K44"/>
    <mergeCell ref="I46:K46"/>
    <mergeCell ref="D29:E29"/>
    <mergeCell ref="D30:E30"/>
    <mergeCell ref="D64:H64"/>
    <mergeCell ref="D35:E35"/>
    <mergeCell ref="D36:E36"/>
    <mergeCell ref="F36:H36"/>
    <mergeCell ref="D55:H55"/>
    <mergeCell ref="D57:H57"/>
    <mergeCell ref="D58:H58"/>
    <mergeCell ref="D60:H60"/>
    <mergeCell ref="D61:H61"/>
    <mergeCell ref="D63:H63"/>
    <mergeCell ref="D49:E49"/>
    <mergeCell ref="F49:H49"/>
    <mergeCell ref="D50:E50"/>
    <mergeCell ref="F50:H50"/>
    <mergeCell ref="D47:E47"/>
    <mergeCell ref="F47:H47"/>
    <mergeCell ref="D46:E46"/>
    <mergeCell ref="F46:H46"/>
    <mergeCell ref="D44:E44"/>
    <mergeCell ref="F44:H44"/>
    <mergeCell ref="D43:E43"/>
    <mergeCell ref="F43:H43"/>
  </mergeCells>
  <phoneticPr fontId="13" type="noConversion"/>
  <dataValidations count="14">
    <dataValidation type="list" allowBlank="1" showInputMessage="1" showErrorMessage="1" sqref="D15:D16 D18:D19 D23:H23 D21:D22">
      <formula1>Solid_Waste</formula1>
    </dataValidation>
    <dataValidation type="list" allowBlank="1" showInputMessage="1" showErrorMessage="1" sqref="D29:D30 D35:D37 E37:H37 D32:D33">
      <formula1>Biological_Treatment</formula1>
    </dataValidation>
    <dataValidation type="list" allowBlank="1" showInputMessage="1" showErrorMessage="1" sqref="D51:H51 D46:D47 D49:D50 D43:D44">
      <formula1>Incineration</formula1>
    </dataValidation>
    <dataValidation type="list" allowBlank="1" showInputMessage="1" showErrorMessage="1" sqref="D57:D58 D63:D64 D60:D61">
      <formula1>Wastewater</formula1>
    </dataValidation>
    <dataValidation type="list" allowBlank="1" showInputMessage="1" showErrorMessage="1" sqref="AK49:AK51 AK18:AK19 AK32:AK33 AK21:AK23 AK46:AK47 AK35:AK37 AK43:AK44 AK29:AK30 AK15:AK16 AK60:AK61 AK63:AK64 AK57:AK58">
      <formula1>DQ</formula1>
    </dataValidation>
    <dataValidation type="list" allowBlank="1" showInputMessage="1" showErrorMessage="1" sqref="L42:L51 L14:L23 L28:L37 L56:L64">
      <formula1>NK</formula1>
    </dataValidation>
    <dataValidation type="list" allowBlank="1" showInputMessage="1" showErrorMessage="1" sqref="F21:F22 F15:F16 F46:F47 F49:F50 F18:F19 F43:F44">
      <formula1>Waste</formula1>
    </dataValidation>
    <dataValidation type="list" allowBlank="1" showInputMessage="1" showErrorMessage="1" sqref="F35:F36 F29:F30 F32:F33">
      <formula1>Organic_Waste</formula1>
    </dataValidation>
    <dataValidation type="list" allowBlank="1" showInputMessage="1" showErrorMessage="1" sqref="R46:R47 R43:R44 R49:R50 R32:R33 R29:R30 R35:R36 R18:R19 R63:R64 R21:R22 R57:R58 R15:R16 R60:R61">
      <formula1>Gases</formula1>
    </dataValidation>
    <dataValidation type="list" allowBlank="1" showInputMessage="1" showErrorMessage="1" sqref="AM42:AM50 AM14:AM22 AM28:AM36 AM56:AM64">
      <formula1>DataSource</formula1>
    </dataValidation>
    <dataValidation type="list" allowBlank="1" showInputMessage="1" showErrorMessage="1" sqref="S46:S47 S63:S64 S18:S19 S43:S44 S21:S22 S32:S33 S29:S30 S35:S36 S49:S50 S60:S61 S57:S58 S15:S16">
      <formula1>EmissionFactor</formula1>
    </dataValidation>
    <dataValidation type="list" allowBlank="1" showInputMessage="1" showErrorMessage="1" sqref="Z15:Z16 Z18:Z19 Z21:Z22 Z29:Z30 Z32:Z33 Z35:Z36 Z43:Z44 Z46:Z47 Z49:Z50 Z57:Z58 Z63:Z64 Z60:Z61">
      <formula1>Tick</formula1>
    </dataValidation>
    <dataValidation type="list" allowBlank="1" showInputMessage="1" showErrorMessage="1" sqref="P15:P16 P18:P19 P21:P22 P29:P30 P63:P64 P35:P36 P43:P44 P46:P47 P49:P50 P57:P58 P60:P61 P32:P33">
      <formula1>Conversion_factor_to</formula1>
    </dataValidation>
    <dataValidation type="list" allowBlank="1" showInputMessage="1" showErrorMessage="1" sqref="O15:O16 O18:O19 O21:O22 O29:O30 O63:O64 O35:O36 O43:O44 O46:O47 O49:O50 O57:O58 O60:O61 O32:O33">
      <formula1>Conversion_factor_from</formula1>
    </dataValidation>
  </dataValidations>
  <hyperlinks>
    <hyperlink ref="F2" location="'City information'!A1" display="Set-up"/>
    <hyperlink ref="G2" location="'City information'!A1" display="'City information'!A1"/>
    <hyperlink ref="L2" location="Results!A1" display="Results"/>
    <hyperlink ref="M2" location="Results!A1" display="Results!A1"/>
    <hyperlink ref="J2" location="Calculators!A1" display="Calculators"/>
    <hyperlink ref="K2" location="Calculators!A1" display="Calculators!A1"/>
    <hyperlink ref="N2" location="Analysis!A1" display="Analysis"/>
    <hyperlink ref="O2" location="Analysis!A1" display="Analysis!A1"/>
    <hyperlink ref="H2" location="Inventory!A1" display="Inventory"/>
    <hyperlink ref="I2" location="Inventory!A1" display="Inventory!A1"/>
    <hyperlink ref="D3" location="'I - Stationary'!A1" display="Stationary"/>
    <hyperlink ref="E3" location="'I - Stationary'!A1" display="'I - Stationary'!A1"/>
    <hyperlink ref="F3" location="'II - Transport'!A1" display="Transportation"/>
    <hyperlink ref="G3" location="'II - Transport'!A1" display="'II - Transport'!A1"/>
    <hyperlink ref="N3" location="'VI - Other scope 3'!A1" display="Scope 3"/>
    <hyperlink ref="O3" location="'VI - Other scope 3'!A1" display="'VI - Other scope 3'!A1"/>
    <hyperlink ref="J3" location="'IV - IPPU'!A1" display="IPPU"/>
    <hyperlink ref="K3" location="'IV - IPPU'!A1" display="'IV - IPPU'!A1"/>
    <hyperlink ref="L3" location="'V - AFOLU'!A1" display="AFOLU"/>
    <hyperlink ref="M3" location="'V - AFOLU'!A1" display="'V - AFOLU'!A1"/>
    <hyperlink ref="D2" location="Home!A1" display="Introduction"/>
    <hyperlink ref="E2" location="Home!A1" display="Home!A1"/>
  </hyperlinks>
  <printOptions verticalCentered="1"/>
  <pageMargins left="0.15748031496062992" right="0.15748031496062992" top="0.15748031496062992" bottom="0.15748031496062992" header="0.1" footer="0.15748031496062992"/>
  <pageSetup paperSize="9" scale="29" orientation="landscape" horizontalDpi="4294967292" verticalDpi="4294967292"/>
  <ignoredErrors>
    <ignoredError sqref="T15:Y64" emptyCellReference="1"/>
  </ignoredErrors>
  <drawing r:id="rId1"/>
  <extLst>
    <ext xmlns:mx="http://schemas.microsoft.com/office/mac/excel/2008/main" uri="{64002731-A6B0-56B0-2670-7721B7C09600}">
      <mx:PLV Mode="0" OnePage="0" WScale="29"/>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79998168889431442"/>
    <outlinePr summaryBelow="0" summaryRight="0"/>
    <pageSetUpPr autoPageBreaks="0"/>
  </sheetPr>
  <dimension ref="A1:CG89"/>
  <sheetViews>
    <sheetView showGridLines="0" showRowColHeaders="0" workbookViewId="0">
      <selection activeCell="L3" sqref="L3:M3"/>
    </sheetView>
  </sheetViews>
  <sheetFormatPr baseColWidth="10" defaultColWidth="0" defaultRowHeight="15" x14ac:dyDescent="0"/>
  <cols>
    <col min="1" max="1" width="4.83203125" style="16" customWidth="1"/>
    <col min="2" max="3" width="12.83203125" style="5" customWidth="1"/>
    <col min="4" max="9" width="12.83203125" customWidth="1"/>
    <col min="10" max="10" width="12.83203125" style="6" customWidth="1"/>
    <col min="11" max="15" width="12.83203125" style="265" customWidth="1"/>
    <col min="16" max="16" width="16.33203125" style="265" customWidth="1"/>
    <col min="17" max="17" width="24.83203125" customWidth="1"/>
    <col min="18" max="18" width="12.83203125" customWidth="1"/>
    <col min="19" max="21" width="12.1640625" customWidth="1"/>
    <col min="22" max="24" width="12.33203125" customWidth="1"/>
    <col min="25" max="27" width="12.1640625" customWidth="1"/>
    <col min="28" max="39" width="12.33203125" customWidth="1"/>
    <col min="40" max="40" width="24.83203125" customWidth="1" collapsed="1"/>
    <col min="41" max="49" width="12.83203125" customWidth="1"/>
    <col min="50" max="58" width="12.83203125" style="280" customWidth="1"/>
    <col min="59" max="59" width="12.83203125" customWidth="1"/>
    <col min="60" max="62" width="71.83203125" customWidth="1"/>
    <col min="63" max="63" width="4.83203125" style="15" customWidth="1"/>
    <col min="64" max="84" width="0" style="15" hidden="1" customWidth="1"/>
    <col min="85" max="85" width="0" hidden="1" customWidth="1"/>
    <col min="86" max="16384" width="10.83203125" hidden="1"/>
  </cols>
  <sheetData>
    <row r="1" spans="1:84" s="498" customFormat="1">
      <c r="A1" s="866"/>
      <c r="T1" s="499"/>
      <c r="U1" s="499"/>
      <c r="V1" s="499"/>
      <c r="W1" s="500"/>
      <c r="X1" s="500"/>
      <c r="Y1" s="500"/>
    </row>
    <row r="2" spans="1:84" s="464" customFormat="1" ht="31" customHeight="1">
      <c r="A2" s="494"/>
      <c r="B2" s="1817" t="s">
        <v>1965</v>
      </c>
      <c r="C2" s="1819">
        <v>400</v>
      </c>
      <c r="D2" s="1849" t="s">
        <v>1555</v>
      </c>
      <c r="E2" s="1850"/>
      <c r="F2" s="1849" t="s">
        <v>1563</v>
      </c>
      <c r="G2" s="1850"/>
      <c r="H2" s="1847" t="s">
        <v>794</v>
      </c>
      <c r="I2" s="2103"/>
      <c r="J2" s="1849" t="s">
        <v>1570</v>
      </c>
      <c r="K2" s="1850"/>
      <c r="L2" s="1849" t="s">
        <v>1564</v>
      </c>
      <c r="M2" s="1850"/>
      <c r="N2" s="1849" t="s">
        <v>1602</v>
      </c>
      <c r="O2" s="1850"/>
      <c r="P2" s="494"/>
      <c r="Q2" s="494"/>
      <c r="R2" s="494"/>
      <c r="S2" s="494"/>
      <c r="T2" s="494"/>
      <c r="U2" s="494"/>
      <c r="V2" s="494"/>
      <c r="W2" s="494"/>
      <c r="X2" s="494"/>
      <c r="Y2" s="494"/>
      <c r="Z2" s="494"/>
      <c r="AA2" s="494"/>
      <c r="AB2" s="494"/>
      <c r="AC2" s="494"/>
      <c r="AD2" s="494"/>
      <c r="AE2" s="494"/>
      <c r="AF2" s="494"/>
      <c r="AG2" s="494"/>
      <c r="AH2" s="494"/>
      <c r="AI2" s="494"/>
      <c r="AJ2" s="494"/>
      <c r="AK2" s="494"/>
      <c r="AL2" s="494"/>
      <c r="AM2" s="494"/>
      <c r="AN2" s="494"/>
      <c r="AO2" s="494"/>
      <c r="AP2" s="494"/>
      <c r="AQ2" s="494"/>
      <c r="AR2" s="494"/>
      <c r="AS2" s="494"/>
      <c r="AT2" s="494"/>
      <c r="AU2" s="494"/>
      <c r="AV2" s="494"/>
      <c r="AW2" s="494"/>
      <c r="AX2" s="494"/>
      <c r="AY2" s="494"/>
      <c r="AZ2" s="494"/>
      <c r="BA2" s="494"/>
      <c r="BB2" s="494"/>
      <c r="BC2" s="494"/>
      <c r="BD2" s="494"/>
      <c r="BE2" s="494"/>
      <c r="BF2" s="494"/>
      <c r="BG2" s="494"/>
      <c r="BH2" s="494"/>
      <c r="BI2" s="494"/>
      <c r="BJ2" s="494"/>
      <c r="BK2" s="494"/>
    </row>
    <row r="3" spans="1:84" s="464" customFormat="1" ht="31" customHeight="1">
      <c r="A3" s="494"/>
      <c r="B3" s="1818"/>
      <c r="C3" s="1820"/>
      <c r="D3" s="1843" t="s">
        <v>270</v>
      </c>
      <c r="E3" s="1844"/>
      <c r="F3" s="1843" t="s">
        <v>760</v>
      </c>
      <c r="G3" s="1844"/>
      <c r="H3" s="1843" t="s">
        <v>761</v>
      </c>
      <c r="I3" s="1844"/>
      <c r="J3" s="1847" t="s">
        <v>208</v>
      </c>
      <c r="K3" s="2103"/>
      <c r="L3" s="1843" t="s">
        <v>209</v>
      </c>
      <c r="M3" s="1844"/>
      <c r="N3" s="1843" t="s">
        <v>3</v>
      </c>
      <c r="O3" s="1844"/>
      <c r="P3" s="494"/>
      <c r="Q3" s="494"/>
      <c r="R3" s="494"/>
      <c r="S3" s="494"/>
      <c r="T3" s="494"/>
      <c r="U3" s="494"/>
      <c r="V3" s="494"/>
      <c r="W3" s="494"/>
      <c r="X3" s="494"/>
      <c r="Y3" s="494"/>
      <c r="Z3" s="494"/>
      <c r="AA3" s="494"/>
      <c r="AB3" s="494"/>
      <c r="AC3" s="494"/>
      <c r="AD3" s="494"/>
      <c r="AE3" s="494"/>
      <c r="AF3" s="494"/>
      <c r="AG3" s="494"/>
      <c r="AH3" s="494"/>
      <c r="AI3" s="494"/>
      <c r="AJ3" s="494"/>
      <c r="AK3" s="494"/>
      <c r="AL3" s="494"/>
      <c r="AM3" s="494"/>
      <c r="AN3" s="494"/>
      <c r="AO3" s="494"/>
      <c r="AP3" s="494"/>
      <c r="AQ3" s="494"/>
      <c r="AR3" s="494"/>
      <c r="AS3" s="494"/>
      <c r="AT3" s="494"/>
      <c r="AU3" s="494"/>
      <c r="AV3" s="494"/>
      <c r="AW3" s="494"/>
      <c r="AX3" s="494"/>
      <c r="AY3" s="494"/>
      <c r="AZ3" s="494"/>
      <c r="BA3" s="494"/>
      <c r="BB3" s="494"/>
      <c r="BC3" s="494"/>
      <c r="BD3" s="494"/>
      <c r="BE3" s="494"/>
      <c r="BF3" s="494"/>
      <c r="BG3" s="494"/>
      <c r="BH3" s="494"/>
      <c r="BI3" s="494"/>
      <c r="BJ3" s="494"/>
      <c r="BK3" s="494"/>
    </row>
    <row r="4" spans="1:84" s="494" customFormat="1" ht="15" customHeight="1">
      <c r="B4" s="492"/>
      <c r="C4" s="495"/>
      <c r="D4" s="497"/>
      <c r="E4" s="497"/>
      <c r="F4" s="497"/>
      <c r="G4" s="497"/>
      <c r="H4" s="497"/>
      <c r="I4" s="497"/>
      <c r="J4" s="497"/>
      <c r="K4" s="497"/>
      <c r="L4" s="497"/>
      <c r="M4" s="497"/>
      <c r="N4" s="496"/>
      <c r="O4" s="496"/>
      <c r="P4" s="496"/>
      <c r="Q4" s="496"/>
      <c r="R4" s="496"/>
      <c r="S4" s="496"/>
    </row>
    <row r="5" spans="1:84" s="15" customFormat="1" ht="31" customHeight="1">
      <c r="A5" s="16"/>
      <c r="B5" s="16"/>
      <c r="C5" s="16"/>
      <c r="D5" s="16"/>
      <c r="E5" s="16"/>
      <c r="F5" s="16"/>
      <c r="G5" s="16"/>
      <c r="H5" s="16"/>
      <c r="I5" s="16"/>
      <c r="J5" s="16"/>
      <c r="K5" s="16"/>
      <c r="L5" s="16"/>
      <c r="M5" s="16"/>
      <c r="N5" s="16"/>
      <c r="O5" s="16"/>
      <c r="P5" s="16"/>
      <c r="Q5" s="16"/>
      <c r="R5" s="16"/>
      <c r="S5" s="16"/>
      <c r="T5" s="16"/>
      <c r="U5" s="16"/>
      <c r="V5" s="16"/>
      <c r="W5" s="16"/>
      <c r="X5" s="16"/>
      <c r="Y5" s="16"/>
      <c r="Z5" s="16"/>
      <c r="AA5" s="16"/>
      <c r="AB5" s="16"/>
      <c r="AC5" s="16"/>
      <c r="AD5" s="287"/>
      <c r="AE5" s="287"/>
      <c r="AF5" s="287"/>
      <c r="AG5" s="287"/>
      <c r="AH5" s="287"/>
      <c r="AI5" s="16"/>
      <c r="AJ5" s="16"/>
      <c r="AK5" s="16"/>
      <c r="AL5" s="16"/>
      <c r="AM5" s="16"/>
      <c r="BG5" s="916" t="s">
        <v>2541</v>
      </c>
    </row>
    <row r="6" spans="1:84" s="29" customFormat="1" ht="31" customHeight="1" thickBot="1">
      <c r="A6" s="16"/>
      <c r="B6" s="491" t="s">
        <v>244</v>
      </c>
      <c r="C6" s="466"/>
      <c r="D6" s="466"/>
      <c r="E6" s="466"/>
      <c r="F6" s="466"/>
      <c r="G6" s="466"/>
      <c r="H6" s="466"/>
      <c r="I6" s="466"/>
      <c r="J6" s="466"/>
      <c r="K6" s="466"/>
      <c r="L6" s="466"/>
      <c r="M6" s="466"/>
      <c r="N6" s="466"/>
      <c r="O6" s="466"/>
      <c r="P6" s="466"/>
      <c r="Q6" s="663"/>
      <c r="R6" s="467"/>
      <c r="S6" s="467"/>
      <c r="T6" s="468"/>
      <c r="U6" s="663"/>
      <c r="V6" s="468"/>
      <c r="W6" s="663"/>
      <c r="X6" s="663"/>
      <c r="Y6" s="468"/>
      <c r="Z6" s="468"/>
      <c r="AA6" s="468"/>
      <c r="AB6" s="663"/>
      <c r="AC6" s="468"/>
      <c r="AD6" s="663"/>
      <c r="AE6" s="468"/>
      <c r="AF6" s="663"/>
      <c r="AG6" s="468"/>
      <c r="AH6" s="468"/>
      <c r="AI6" s="468"/>
      <c r="AJ6" s="468"/>
      <c r="AK6" s="468"/>
      <c r="AL6" s="663"/>
      <c r="AM6" s="468"/>
      <c r="AN6" s="663"/>
      <c r="AO6" s="468"/>
      <c r="AP6" s="468"/>
      <c r="AQ6" s="468"/>
      <c r="AR6" s="663"/>
      <c r="AS6" s="468"/>
      <c r="AT6" s="663"/>
      <c r="AU6" s="468"/>
      <c r="AV6" s="468"/>
      <c r="AW6" s="468"/>
      <c r="AX6" s="468"/>
      <c r="AY6" s="468"/>
      <c r="AZ6" s="468"/>
      <c r="BA6" s="468"/>
      <c r="BB6" s="468"/>
      <c r="BC6" s="468"/>
      <c r="BD6" s="468"/>
      <c r="BE6" s="468"/>
      <c r="BF6" s="468"/>
      <c r="BG6" s="468"/>
      <c r="BH6" s="468"/>
      <c r="BI6" s="663"/>
      <c r="BJ6" s="468"/>
      <c r="BK6" s="15"/>
    </row>
    <row r="7" spans="1:84" s="15" customFormat="1" ht="16" thickTop="1">
      <c r="A7" s="16"/>
      <c r="B7" s="14"/>
      <c r="C7" s="14"/>
      <c r="J7" s="16"/>
      <c r="K7" s="263"/>
      <c r="L7" s="263"/>
      <c r="M7" s="263"/>
      <c r="N7" s="263"/>
      <c r="O7" s="263"/>
      <c r="P7" s="264"/>
      <c r="Q7" s="242"/>
      <c r="R7" s="242"/>
      <c r="S7" s="27"/>
      <c r="T7" s="27"/>
      <c r="U7" s="27"/>
      <c r="V7" s="27"/>
      <c r="W7" s="27"/>
      <c r="AN7" s="27"/>
      <c r="AO7" s="27"/>
      <c r="AP7" s="27"/>
      <c r="AQ7" s="27"/>
      <c r="AR7" s="27"/>
      <c r="AS7" s="27"/>
      <c r="AX7" s="284"/>
      <c r="AY7" s="284"/>
      <c r="AZ7" s="284"/>
      <c r="BA7" s="284"/>
      <c r="BB7" s="284"/>
      <c r="BC7" s="284"/>
      <c r="BD7" s="284"/>
      <c r="BE7" s="284"/>
      <c r="BF7" s="284"/>
      <c r="BH7" s="254"/>
      <c r="BI7" s="254"/>
      <c r="BJ7" s="258"/>
    </row>
    <row r="8" spans="1:84" s="15" customFormat="1" ht="18">
      <c r="A8" s="16"/>
      <c r="B8" s="29" t="s">
        <v>978</v>
      </c>
      <c r="C8" s="14"/>
      <c r="J8" s="16"/>
      <c r="K8" s="635"/>
      <c r="L8" s="635"/>
      <c r="M8" s="635"/>
      <c r="N8" s="635"/>
      <c r="O8" s="635"/>
      <c r="AZ8" s="284"/>
      <c r="BA8" s="284"/>
      <c r="BB8" s="284"/>
      <c r="BC8" s="284"/>
      <c r="BD8" s="284"/>
      <c r="BE8" s="284"/>
      <c r="BF8" s="284"/>
      <c r="BH8" s="254"/>
      <c r="BI8" s="21"/>
      <c r="BJ8" s="21"/>
      <c r="BK8" s="21"/>
    </row>
    <row r="9" spans="1:84" s="15" customFormat="1">
      <c r="A9" s="16"/>
      <c r="B9" s="14"/>
      <c r="C9" s="14"/>
      <c r="J9" s="16"/>
      <c r="K9" s="635"/>
      <c r="L9" s="635"/>
      <c r="M9" s="635"/>
      <c r="N9" s="635"/>
      <c r="O9" s="635"/>
      <c r="AZ9" s="284"/>
      <c r="BA9" s="284"/>
      <c r="BB9" s="284"/>
      <c r="BC9" s="284"/>
      <c r="BD9" s="284"/>
      <c r="BE9" s="284"/>
      <c r="BF9" s="284"/>
      <c r="BH9" s="254"/>
      <c r="BI9" s="21"/>
      <c r="BJ9" s="21"/>
      <c r="BK9" s="21"/>
    </row>
    <row r="10" spans="1:84" s="21" customFormat="1" ht="18">
      <c r="B10" s="465" t="s">
        <v>245</v>
      </c>
      <c r="C10" s="635"/>
      <c r="D10" s="18"/>
      <c r="E10" s="18"/>
      <c r="F10" s="18"/>
      <c r="G10" s="18"/>
      <c r="H10" s="18"/>
      <c r="I10" s="18"/>
      <c r="J10" s="18"/>
      <c r="K10" s="18"/>
      <c r="L10" s="18"/>
      <c r="M10" s="18"/>
      <c r="N10" s="19"/>
      <c r="O10" s="635"/>
      <c r="P10" s="635"/>
      <c r="Q10" s="635"/>
      <c r="R10" s="635"/>
      <c r="S10" s="635"/>
      <c r="T10" s="635"/>
      <c r="U10" s="27"/>
      <c r="V10" s="27"/>
      <c r="W10" s="27"/>
      <c r="X10" s="27"/>
      <c r="Y10" s="27"/>
      <c r="Z10" s="27"/>
      <c r="AA10" s="27"/>
      <c r="AB10" s="27"/>
      <c r="AC10" s="27"/>
      <c r="AD10" s="27"/>
      <c r="AE10" s="27"/>
      <c r="AF10" s="27"/>
      <c r="AG10" s="27"/>
      <c r="AH10" s="27"/>
      <c r="AI10" s="27"/>
      <c r="AJ10" s="28"/>
      <c r="AK10" s="274"/>
      <c r="AL10" s="28"/>
      <c r="AM10" s="28"/>
      <c r="AN10" s="28"/>
      <c r="AO10" s="19"/>
      <c r="AP10" s="19"/>
      <c r="AQ10" s="254"/>
      <c r="AR10" s="254"/>
      <c r="AS10" s="254"/>
    </row>
    <row r="11" spans="1:84" s="15" customFormat="1">
      <c r="A11" s="16"/>
      <c r="B11" s="14"/>
      <c r="C11" s="14"/>
      <c r="J11" s="16"/>
      <c r="K11" s="263"/>
      <c r="L11" s="263"/>
      <c r="M11" s="263"/>
      <c r="N11" s="263"/>
      <c r="O11" s="263"/>
      <c r="P11" s="264"/>
      <c r="AN11" s="18"/>
      <c r="AO11" s="18"/>
      <c r="AP11" s="18"/>
      <c r="AQ11" s="18"/>
      <c r="AR11" s="18"/>
      <c r="AS11" s="18"/>
      <c r="AX11" s="284"/>
      <c r="AY11" s="284"/>
      <c r="AZ11" s="284"/>
      <c r="BA11" s="284"/>
      <c r="BB11" s="284"/>
      <c r="BC11" s="284"/>
      <c r="BD11" s="284"/>
      <c r="BE11" s="284"/>
      <c r="BF11" s="284"/>
      <c r="BH11" s="254"/>
      <c r="BI11" s="254"/>
      <c r="BJ11" s="20"/>
    </row>
    <row r="12" spans="1:84" s="5" customFormat="1" ht="16" customHeight="1">
      <c r="A12" s="39"/>
      <c r="B12" s="2065" t="s">
        <v>37</v>
      </c>
      <c r="C12" s="2065" t="s">
        <v>38</v>
      </c>
      <c r="D12" s="2095" t="s">
        <v>242</v>
      </c>
      <c r="E12" s="2106"/>
      <c r="F12" s="2106"/>
      <c r="G12" s="2106"/>
      <c r="H12" s="2106"/>
      <c r="I12" s="2096"/>
      <c r="J12" s="2066" t="s">
        <v>297</v>
      </c>
      <c r="K12" s="2095" t="s">
        <v>169</v>
      </c>
      <c r="L12" s="2096"/>
      <c r="M12" s="2098" t="s">
        <v>841</v>
      </c>
      <c r="N12" s="2099"/>
      <c r="O12" s="2100"/>
      <c r="P12" s="2066" t="s">
        <v>302</v>
      </c>
      <c r="Q12" s="2087" t="s">
        <v>782</v>
      </c>
      <c r="R12" s="2122" t="s">
        <v>782</v>
      </c>
      <c r="S12" s="2123"/>
      <c r="T12" s="2123"/>
      <c r="U12" s="2123"/>
      <c r="V12" s="2123"/>
      <c r="W12" s="2123"/>
      <c r="X12" s="2123"/>
      <c r="Y12" s="2123"/>
      <c r="Z12" s="2123"/>
      <c r="AA12" s="2123"/>
      <c r="AB12" s="2123"/>
      <c r="AC12" s="2123"/>
      <c r="AD12" s="2123"/>
      <c r="AE12" s="2123"/>
      <c r="AF12" s="2123"/>
      <c r="AG12" s="2123"/>
      <c r="AH12" s="2123"/>
      <c r="AI12" s="2123"/>
      <c r="AJ12" s="2123"/>
      <c r="AK12" s="2123"/>
      <c r="AL12" s="2123"/>
      <c r="AM12" s="2124"/>
      <c r="AN12" s="2093" t="s">
        <v>928</v>
      </c>
      <c r="AO12" s="2118" t="s">
        <v>934</v>
      </c>
      <c r="AP12" s="2119"/>
      <c r="AQ12" s="2119"/>
      <c r="AR12" s="2119"/>
      <c r="AS12" s="2119"/>
      <c r="AT12" s="2119"/>
      <c r="AU12" s="2119"/>
      <c r="AV12" s="2119"/>
      <c r="AW12" s="2120"/>
      <c r="AX12" s="2097" t="s">
        <v>289</v>
      </c>
      <c r="AY12" s="2097"/>
      <c r="AZ12" s="2097"/>
      <c r="BA12" s="2097"/>
      <c r="BB12" s="2097"/>
      <c r="BC12" s="2097"/>
      <c r="BD12" s="2097"/>
      <c r="BE12" s="2097"/>
      <c r="BF12" s="2097"/>
      <c r="BG12" s="895" t="s">
        <v>41</v>
      </c>
      <c r="BH12" s="2075" t="s">
        <v>937</v>
      </c>
      <c r="BI12" s="2093" t="s">
        <v>723</v>
      </c>
      <c r="BJ12" s="2087" t="s">
        <v>826</v>
      </c>
      <c r="BK12" s="14"/>
      <c r="BL12" s="14"/>
      <c r="BM12" s="14"/>
      <c r="BN12" s="14"/>
      <c r="BO12" s="14"/>
      <c r="BP12" s="14"/>
      <c r="BQ12" s="14"/>
      <c r="BR12" s="14"/>
      <c r="BS12" s="14"/>
      <c r="BT12" s="14"/>
      <c r="BU12" s="14"/>
      <c r="BV12" s="14"/>
      <c r="BW12" s="14"/>
      <c r="BX12" s="14"/>
      <c r="BY12" s="14"/>
      <c r="BZ12" s="14"/>
      <c r="CA12" s="14"/>
      <c r="CB12" s="14"/>
      <c r="CC12" s="14"/>
      <c r="CD12" s="14"/>
      <c r="CE12" s="14"/>
      <c r="CF12" s="14"/>
    </row>
    <row r="13" spans="1:84" s="5" customFormat="1" ht="17">
      <c r="A13" s="39"/>
      <c r="B13" s="2121"/>
      <c r="C13" s="2121"/>
      <c r="D13" s="2114" t="s">
        <v>243</v>
      </c>
      <c r="E13" s="2115"/>
      <c r="F13" s="2116"/>
      <c r="G13" s="2114" t="s">
        <v>241</v>
      </c>
      <c r="H13" s="2115"/>
      <c r="I13" s="2116"/>
      <c r="J13" s="2121"/>
      <c r="K13" s="637" t="s">
        <v>170</v>
      </c>
      <c r="L13" s="637" t="s">
        <v>171</v>
      </c>
      <c r="M13" s="761" t="s">
        <v>813</v>
      </c>
      <c r="N13" s="761" t="s">
        <v>814</v>
      </c>
      <c r="O13" s="761" t="s">
        <v>927</v>
      </c>
      <c r="P13" s="2121"/>
      <c r="Q13" s="2126"/>
      <c r="R13" s="761" t="s">
        <v>171</v>
      </c>
      <c r="S13" s="761" t="s">
        <v>929</v>
      </c>
      <c r="T13" s="761" t="s">
        <v>930</v>
      </c>
      <c r="U13" s="761" t="s">
        <v>931</v>
      </c>
      <c r="V13" s="762" t="s">
        <v>843</v>
      </c>
      <c r="W13" s="762" t="s">
        <v>844</v>
      </c>
      <c r="X13" s="762" t="s">
        <v>865</v>
      </c>
      <c r="Y13" s="762" t="s">
        <v>866</v>
      </c>
      <c r="Z13" s="762" t="s">
        <v>867</v>
      </c>
      <c r="AA13" s="762" t="s">
        <v>868</v>
      </c>
      <c r="AB13" s="762" t="s">
        <v>869</v>
      </c>
      <c r="AC13" s="762" t="s">
        <v>870</v>
      </c>
      <c r="AD13" s="762" t="s">
        <v>871</v>
      </c>
      <c r="AE13" s="762" t="s">
        <v>872</v>
      </c>
      <c r="AF13" s="762" t="s">
        <v>873</v>
      </c>
      <c r="AG13" s="762" t="s">
        <v>874</v>
      </c>
      <c r="AH13" s="762" t="s">
        <v>875</v>
      </c>
      <c r="AI13" s="762" t="s">
        <v>876</v>
      </c>
      <c r="AJ13" s="761" t="s">
        <v>975</v>
      </c>
      <c r="AK13" s="761" t="s">
        <v>976</v>
      </c>
      <c r="AL13" s="761" t="s">
        <v>932</v>
      </c>
      <c r="AM13" s="761" t="s">
        <v>933</v>
      </c>
      <c r="AN13" s="2117"/>
      <c r="AO13" s="763" t="s">
        <v>929</v>
      </c>
      <c r="AP13" s="763" t="s">
        <v>930</v>
      </c>
      <c r="AQ13" s="763" t="s">
        <v>931</v>
      </c>
      <c r="AR13" s="763" t="s">
        <v>43</v>
      </c>
      <c r="AS13" s="763" t="s">
        <v>42</v>
      </c>
      <c r="AT13" s="763" t="s">
        <v>975</v>
      </c>
      <c r="AU13" s="763" t="s">
        <v>976</v>
      </c>
      <c r="AV13" s="763" t="s">
        <v>932</v>
      </c>
      <c r="AW13" s="763" t="s">
        <v>933</v>
      </c>
      <c r="AX13" s="764" t="s">
        <v>290</v>
      </c>
      <c r="AY13" s="764" t="s">
        <v>291</v>
      </c>
      <c r="AZ13" s="764" t="s">
        <v>292</v>
      </c>
      <c r="BA13" s="764" t="s">
        <v>43</v>
      </c>
      <c r="BB13" s="764" t="s">
        <v>42</v>
      </c>
      <c r="BC13" s="764" t="s">
        <v>299</v>
      </c>
      <c r="BD13" s="764" t="s">
        <v>300</v>
      </c>
      <c r="BE13" s="764" t="s">
        <v>293</v>
      </c>
      <c r="BF13" s="764" t="s">
        <v>294</v>
      </c>
      <c r="BG13" s="637" t="s">
        <v>44</v>
      </c>
      <c r="BH13" s="2093"/>
      <c r="BI13" s="2094"/>
      <c r="BJ13" s="2088"/>
      <c r="BK13" s="14"/>
      <c r="BL13" s="14"/>
      <c r="BM13" s="14"/>
      <c r="BN13" s="14"/>
      <c r="BO13" s="14"/>
      <c r="BP13" s="14"/>
      <c r="BQ13" s="14"/>
      <c r="BR13" s="14"/>
      <c r="BS13" s="14"/>
      <c r="BT13" s="14"/>
      <c r="BU13" s="14"/>
      <c r="BV13" s="14"/>
      <c r="BW13" s="14"/>
      <c r="BX13" s="14"/>
      <c r="BY13" s="14"/>
      <c r="BZ13" s="14"/>
      <c r="CA13" s="14"/>
      <c r="CB13" s="14"/>
      <c r="CC13" s="14"/>
      <c r="CD13" s="14"/>
      <c r="CE13" s="14"/>
      <c r="CF13" s="14"/>
    </row>
    <row r="14" spans="1:84">
      <c r="B14" s="76" t="s">
        <v>150</v>
      </c>
      <c r="C14" s="76">
        <v>1</v>
      </c>
      <c r="D14" s="751" t="s">
        <v>151</v>
      </c>
      <c r="E14" s="112"/>
      <c r="F14" s="112"/>
      <c r="G14" s="752"/>
      <c r="H14" s="69"/>
      <c r="I14" s="69"/>
      <c r="J14" s="757" t="s">
        <v>175</v>
      </c>
      <c r="K14" s="757"/>
      <c r="L14" s="758"/>
      <c r="M14" s="758"/>
      <c r="N14" s="758"/>
      <c r="O14" s="758"/>
      <c r="P14" s="758"/>
      <c r="Q14" s="748"/>
      <c r="R14" s="748"/>
      <c r="S14" s="748"/>
      <c r="T14" s="748"/>
      <c r="U14" s="748"/>
      <c r="V14" s="748"/>
      <c r="W14" s="748"/>
      <c r="X14" s="748"/>
      <c r="Y14" s="748"/>
      <c r="Z14" s="748"/>
      <c r="AA14" s="748"/>
      <c r="AB14" s="748"/>
      <c r="AC14" s="748"/>
      <c r="AD14" s="748"/>
      <c r="AE14" s="748"/>
      <c r="AF14" s="748"/>
      <c r="AG14" s="748"/>
      <c r="AH14" s="748"/>
      <c r="AI14" s="748"/>
      <c r="AJ14" s="748"/>
      <c r="AK14" s="748"/>
      <c r="AL14" s="748"/>
      <c r="AM14" s="748"/>
      <c r="AN14" s="748"/>
      <c r="AO14" s="748"/>
      <c r="AP14" s="748"/>
      <c r="AQ14" s="748"/>
      <c r="AR14" s="748"/>
      <c r="AS14" s="748"/>
      <c r="AT14" s="748"/>
      <c r="AU14" s="748"/>
      <c r="AV14" s="748"/>
      <c r="AW14" s="748"/>
      <c r="AX14" s="759"/>
      <c r="AY14" s="759"/>
      <c r="AZ14" s="759"/>
      <c r="BA14" s="759"/>
      <c r="BB14" s="759"/>
      <c r="BC14" s="759"/>
      <c r="BD14" s="759"/>
      <c r="BE14" s="759"/>
      <c r="BF14" s="759"/>
      <c r="BG14" s="69"/>
      <c r="BH14" s="760" t="s">
        <v>2706</v>
      </c>
      <c r="BI14" s="119"/>
      <c r="BJ14" s="756"/>
    </row>
    <row r="15" spans="1:84" s="15" customFormat="1">
      <c r="A15" s="16"/>
      <c r="B15" s="56" t="s">
        <v>150</v>
      </c>
      <c r="C15" s="56">
        <v>1</v>
      </c>
      <c r="D15" s="2060"/>
      <c r="E15" s="2061"/>
      <c r="F15" s="2062"/>
      <c r="G15" s="2069"/>
      <c r="H15" s="2070"/>
      <c r="I15" s="2071"/>
      <c r="J15" s="56"/>
      <c r="K15" s="58"/>
      <c r="L15" s="58"/>
      <c r="M15" s="58"/>
      <c r="N15" s="58"/>
      <c r="O15" s="221" t="str">
        <f t="array" ref="O15">IFERROR(INDEX('Conversion factors_2'!$B$10:$CY$111,MATCH(M15,'Conversion factors_2'!$B$10:$B$111,FALSE),HLOOKUP(N15,'Conversion factors_2'!$B$8:$CY$9,2,FALSE)),"")</f>
        <v/>
      </c>
      <c r="P15" s="58"/>
      <c r="Q15" s="56"/>
      <c r="R15" s="221" t="str">
        <f>IFERROR(CONCATENATE("tCO2e/",VLOOKUP($Q15,'F-Gases'!D:J,5,FALSE)),"")</f>
        <v/>
      </c>
      <c r="S15" s="221" t="str">
        <f>IFERROR(VLOOKUP($Q15,'F-Gases'!$D$17:$BA$41,10,FALSE),"")</f>
        <v/>
      </c>
      <c r="T15" s="221" t="str">
        <f>IFERROR(VLOOKUP($Q15,'F-Gases'!$D$17:$BA$41,12,FALSE),"")</f>
        <v/>
      </c>
      <c r="U15" s="221" t="str">
        <f>IFERROR(VLOOKUP($Q15,'F-Gases'!$D$17:$BA$41,14,FALSE),"")</f>
        <v/>
      </c>
      <c r="V15" s="221" t="str">
        <f>IFERROR(VLOOKUP($Q15,'F-Gases'!$D$17:$BA$41,16,FALSE),"")</f>
        <v/>
      </c>
      <c r="W15" s="221" t="str">
        <f>IFERROR(VLOOKUP($Q15,'F-Gases'!$D$17:$BA$41,18,FALSE),"")</f>
        <v/>
      </c>
      <c r="X15" s="221" t="str">
        <f>IFERROR(VLOOKUP($Q15,'F-Gases'!$D$17:$BA$41,20,FALSE),"")</f>
        <v/>
      </c>
      <c r="Y15" s="221" t="str">
        <f>IFERROR(VLOOKUP($Q15,'F-Gases'!$D$17:$BA$41,22,FALSE),"")</f>
        <v/>
      </c>
      <c r="Z15" s="221" t="str">
        <f>IFERROR(VLOOKUP($Q15,'F-Gases'!$D$17:$BA$41,24,FALSE),"")</f>
        <v/>
      </c>
      <c r="AA15" s="221" t="str">
        <f>IFERROR(VLOOKUP($Q15,'F-Gases'!$D$17:$BA$41,26,FALSE),"")</f>
        <v/>
      </c>
      <c r="AB15" s="221" t="str">
        <f>IFERROR(VLOOKUP($Q15,'F-Gases'!$D$17:$BA$41,28,FALSE),"")</f>
        <v/>
      </c>
      <c r="AC15" s="221" t="str">
        <f>IFERROR(VLOOKUP($Q15,'F-Gases'!$D$17:$BA$41,30,FALSE),"")</f>
        <v/>
      </c>
      <c r="AD15" s="221" t="str">
        <f>IFERROR(VLOOKUP($Q15,'F-Gases'!$D$17:$BA$41,32,FALSE),"")</f>
        <v/>
      </c>
      <c r="AE15" s="221" t="str">
        <f>IFERROR(VLOOKUP($Q15,'F-Gases'!$D$17:$BA$41,34,FALSE),"")</f>
        <v/>
      </c>
      <c r="AF15" s="221" t="str">
        <f>IFERROR(VLOOKUP($Q15,'F-Gases'!$D$17:$BA$41,36,FALSE),"")</f>
        <v/>
      </c>
      <c r="AG15" s="221" t="str">
        <f>IFERROR(VLOOKUP($Q15,'F-Gases'!$D$17:$BA$41,38,FALSE),"")</f>
        <v/>
      </c>
      <c r="AH15" s="221" t="str">
        <f>IFERROR(VLOOKUP($Q15,'F-Gases'!$D$17:$BA$41,40,FALSE),"")</f>
        <v/>
      </c>
      <c r="AI15" s="221" t="str">
        <f>IFERROR(VLOOKUP($Q15,'F-Gases'!$D$17:$BA$41,42,FALSE),"")</f>
        <v/>
      </c>
      <c r="AJ15" s="221" t="str">
        <f>IFERROR(VLOOKUP($Q15,'F-Gases'!$D$17:$BA$41,44,FALSE),"")</f>
        <v/>
      </c>
      <c r="AK15" s="221" t="str">
        <f>IFERROR(VLOOKUP($Q15,'F-Gases'!$D$17:$BA$41,46,FALSE),"")</f>
        <v/>
      </c>
      <c r="AL15" s="221" t="str">
        <f>IFERROR(VLOOKUP($Q15,'F-Gases'!$D$17:$BA$41,48,FALSE),"")</f>
        <v/>
      </c>
      <c r="AM15" s="221" t="str">
        <f>IFERROR(VLOOKUP($Q15,'F-Gases'!$D$17:$BA$41,50,FALSE),"")</f>
        <v/>
      </c>
      <c r="AN15" s="58" t="s">
        <v>982</v>
      </c>
      <c r="AO15" s="58"/>
      <c r="AP15" s="58"/>
      <c r="AQ15" s="58"/>
      <c r="AR15" s="58"/>
      <c r="AS15" s="58"/>
      <c r="AT15" s="58"/>
      <c r="AU15" s="58"/>
      <c r="AV15" s="58"/>
      <c r="AW15" s="58"/>
      <c r="AX15" s="275" t="str">
        <f t="shared" ref="AX15:AZ16" si="0">IFERROR(IF(AND($Q15="",$AN15=""),"",IF($Q15="",IF(AO15=0,"-",AO15),IF(S15=0,"0",$K15*IF($O15="",1,$O15)*S15))),"-")</f>
        <v>-</v>
      </c>
      <c r="AY15" s="275" t="str">
        <f t="shared" si="0"/>
        <v>-</v>
      </c>
      <c r="AZ15" s="275" t="str">
        <f t="shared" si="0"/>
        <v>-</v>
      </c>
      <c r="BA15" s="275" t="str">
        <f>IFERROR(IF(AND($Q15="",$AN15=""),"",IF($Q15="",IF(AR15=0,"-",AR15),IF(AND(V15=0,W15=0),"0",$K15*IF($O15="",1,$O15)*(V15+W15)))),"-")</f>
        <v>-</v>
      </c>
      <c r="BB15" s="275" t="str">
        <f>IFERROR(IF(AND($Q15="",$AN15=""),"",IF($Q15="",IF(AS15=0,"-",AS15),IF(AND(X15=0,Y15=0,Z15=0,AA15=0,AB15=0,AC15=0,AD15=0,AE15=0,AF15=0,AG15=0,AH15=0,AI15=0),"0",$K15*IF($O15="",1,$O15)*(X15+Y15+Z15+AA15+AB15+AC15+AD15+AE15+AF15+AG15+AH15+AI15)))),"-")</f>
        <v>-</v>
      </c>
      <c r="BC15" s="275" t="str">
        <f>IFERROR(IF(AND($Q15="",$AN15=""),"",IF($Q15="",IF(AT15=0,"-",AT15),IF(AJ15=0,"0",$K15*IF($O15="",1,$O15)*AJ15))),"-")</f>
        <v>-</v>
      </c>
      <c r="BD15" s="275" t="str">
        <f>IFERROR(IF(AND($Q15="",$AN15=""),"",IF($Q15="",IF(AU15=0,"-",AU15),IF(AK15=0,"0",$K15*IF($O15="",1,$O15)*AK15))),"-")</f>
        <v>-</v>
      </c>
      <c r="BE15" s="275">
        <f>IFERROR(IF(AND($Q15="",$AN15=""),"",IF($Q15="",IF(AV15="",SUM(AX15:BD15),IF(AV15=0,"0",AV15)),IF($AL15="",SUM($AX15:$BD15),IF($AL15=0,"0",$K15*IF($O15="",1,$O15)*$AL15)))),"-")</f>
        <v>0</v>
      </c>
      <c r="BF15" s="275" t="str">
        <f>IFERROR(IF(AND($Q15="",$AN15=""),"",IF($Q15="",IF(AW15=0,"-",AW15),IF(AM15=0,"0",$K15*IF($O15="",1,$O15)*AM15))),"-")</f>
        <v>-</v>
      </c>
      <c r="BG15" s="72"/>
      <c r="BH15" s="225"/>
      <c r="BI15" s="473"/>
      <c r="BJ15" s="268"/>
    </row>
    <row r="16" spans="1:84" s="15" customFormat="1" ht="15" customHeight="1">
      <c r="A16" s="16"/>
      <c r="B16" s="56" t="s">
        <v>150</v>
      </c>
      <c r="C16" s="56">
        <v>1</v>
      </c>
      <c r="D16" s="2060"/>
      <c r="E16" s="2061"/>
      <c r="F16" s="2062"/>
      <c r="G16" s="2069"/>
      <c r="H16" s="2070"/>
      <c r="I16" s="2071"/>
      <c r="J16" s="56"/>
      <c r="K16" s="56"/>
      <c r="L16" s="56"/>
      <c r="M16" s="58"/>
      <c r="N16" s="58"/>
      <c r="O16" s="221" t="str">
        <f t="array" ref="O16">IFERROR(INDEX('Conversion factors_2'!$B$10:$CY$111,MATCH(M16,'Conversion factors_2'!$B$10:$B$111,FALSE),HLOOKUP(N16,'Conversion factors_2'!$B$8:$CY$9,2,FALSE)),"")</f>
        <v/>
      </c>
      <c r="P16" s="58"/>
      <c r="Q16" s="56"/>
      <c r="R16" s="221" t="str">
        <f>IFERROR(CONCATENATE("tCO2e/",VLOOKUP($Q16,'F-Gases'!D:J,5,FALSE)),"")</f>
        <v/>
      </c>
      <c r="S16" s="221" t="str">
        <f>IFERROR(VLOOKUP($Q16,'F-Gases'!$D$17:$BA$41,10,FALSE),"")</f>
        <v/>
      </c>
      <c r="T16" s="221" t="str">
        <f>IFERROR(VLOOKUP($Q16,'F-Gases'!$D$17:$BA$41,12,FALSE),"")</f>
        <v/>
      </c>
      <c r="U16" s="221" t="str">
        <f>IFERROR(VLOOKUP($Q16,'F-Gases'!$D$17:$BA$41,14,FALSE),"")</f>
        <v/>
      </c>
      <c r="V16" s="221" t="str">
        <f>IFERROR(VLOOKUP($Q16,'F-Gases'!$D$17:$BA$41,16,FALSE),"")</f>
        <v/>
      </c>
      <c r="W16" s="221" t="str">
        <f>IFERROR(VLOOKUP($Q16,'F-Gases'!$D$17:$BA$41,18,FALSE),"")</f>
        <v/>
      </c>
      <c r="X16" s="221" t="str">
        <f>IFERROR(VLOOKUP($Q16,'F-Gases'!$D$17:$BA$41,20,FALSE),"")</f>
        <v/>
      </c>
      <c r="Y16" s="221" t="str">
        <f>IFERROR(VLOOKUP($Q16,'F-Gases'!$D$17:$BA$41,22,FALSE),"")</f>
        <v/>
      </c>
      <c r="Z16" s="221" t="str">
        <f>IFERROR(VLOOKUP($Q16,'F-Gases'!$D$17:$BA$41,24,FALSE),"")</f>
        <v/>
      </c>
      <c r="AA16" s="221" t="str">
        <f>IFERROR(VLOOKUP($Q16,'F-Gases'!$D$17:$BA$41,26,FALSE),"")</f>
        <v/>
      </c>
      <c r="AB16" s="221" t="str">
        <f>IFERROR(VLOOKUP($Q16,'F-Gases'!$D$17:$BA$41,28,FALSE),"")</f>
        <v/>
      </c>
      <c r="AC16" s="221" t="str">
        <f>IFERROR(VLOOKUP($Q16,'F-Gases'!$D$17:$BA$41,30,FALSE),"")</f>
        <v/>
      </c>
      <c r="AD16" s="221" t="str">
        <f>IFERROR(VLOOKUP($Q16,'F-Gases'!$D$17:$BA$41,32,FALSE),"")</f>
        <v/>
      </c>
      <c r="AE16" s="221" t="str">
        <f>IFERROR(VLOOKUP($Q16,'F-Gases'!$D$17:$BA$41,34,FALSE),"")</f>
        <v/>
      </c>
      <c r="AF16" s="221" t="str">
        <f>IFERROR(VLOOKUP($Q16,'F-Gases'!$D$17:$BA$41,36,FALSE),"")</f>
        <v/>
      </c>
      <c r="AG16" s="221" t="str">
        <f>IFERROR(VLOOKUP($Q16,'F-Gases'!$D$17:$BA$41,38,FALSE),"")</f>
        <v/>
      </c>
      <c r="AH16" s="221" t="str">
        <f>IFERROR(VLOOKUP($Q16,'F-Gases'!$D$17:$BA$41,40,FALSE),"")</f>
        <v/>
      </c>
      <c r="AI16" s="221" t="str">
        <f>IFERROR(VLOOKUP($Q16,'F-Gases'!$D$17:$BA$41,42,FALSE),"")</f>
        <v/>
      </c>
      <c r="AJ16" s="221" t="str">
        <f>IFERROR(VLOOKUP($Q16,'F-Gases'!$D$17:$BA$41,44,FALSE),"")</f>
        <v/>
      </c>
      <c r="AK16" s="221" t="str">
        <f>IFERROR(VLOOKUP($Q16,'F-Gases'!$D$17:$BA$41,46,FALSE),"")</f>
        <v/>
      </c>
      <c r="AL16" s="221" t="str">
        <f>IFERROR(VLOOKUP($Q16,'F-Gases'!$D$17:$BA$41,48,FALSE),"")</f>
        <v/>
      </c>
      <c r="AM16" s="221" t="str">
        <f>IFERROR(VLOOKUP($Q16,'F-Gases'!$D$17:$BA$41,50,FALSE),"")</f>
        <v/>
      </c>
      <c r="AN16" s="56"/>
      <c r="AO16" s="58"/>
      <c r="AP16" s="58"/>
      <c r="AQ16" s="58"/>
      <c r="AR16" s="58"/>
      <c r="AS16" s="58"/>
      <c r="AT16" s="58"/>
      <c r="AU16" s="58"/>
      <c r="AV16" s="58"/>
      <c r="AW16" s="58"/>
      <c r="AX16" s="472" t="str">
        <f t="shared" si="0"/>
        <v/>
      </c>
      <c r="AY16" s="472" t="str">
        <f t="shared" si="0"/>
        <v/>
      </c>
      <c r="AZ16" s="472" t="str">
        <f t="shared" si="0"/>
        <v/>
      </c>
      <c r="BA16" s="472" t="str">
        <f>IFERROR(IF(AND($Q16="",$AN16=""),"",IF($Q16="",IF(AR16=0,"-",AR16),IF(AND(V16=0,W16=0),"0",$K16*IF($O16="",1,$O16)*(V16+W16)))),"-")</f>
        <v/>
      </c>
      <c r="BB16" s="472" t="str">
        <f>IFERROR(IF(AND($Q16="",$AN16=""),"",IF($Q16="",IF(AS16=0,"-",AS16),IF(AND(X16=0,Y16=0,Z16=0,AA16=0,AB16=0,AC16=0,AD16=0,AE16=0,AF16=0,AG16=0,AH16=0,AI16=0),"0",$K16*IF($O16="",1,$O16)*(X16+Y16+Z16+AA16+AB16+AC16+AD16+AE16+AF16+AG16+AH16+AI16)))),"-")</f>
        <v/>
      </c>
      <c r="BC16" s="472" t="str">
        <f>IFERROR(IF(AND($Q16="",$AN16=""),"",IF($Q16="",IF(AT16=0,"-",AT16),IF(AJ16=0,"0",$K16*IF($O16="",1,$O16)*AJ16))),"-")</f>
        <v/>
      </c>
      <c r="BD16" s="472" t="str">
        <f>IFERROR(IF(AND($Q16="",$AN16=""),"",IF($Q16="",IF(AU16=0,"-",AU16),IF(AK16=0,"0",$K16*IF($O16="",1,$O16)*AK16))),"-")</f>
        <v/>
      </c>
      <c r="BE16" s="472" t="str">
        <f>IFERROR(IF(AND($Q16="",$AN16=""),"",IF($Q16="",IF(AV16="",SUM(AX16:BD16),IF(AV16=0,"0",AV16)),IF($AL16="",SUM($AX16:$BD16),IF($AL16=0,"0",$K16*IF($O16="",1,$O16)*$AL16)))),"-")</f>
        <v/>
      </c>
      <c r="BF16" s="472" t="str">
        <f>IFERROR(IF(AND($Q16="",$AN16=""),"",IF($Q16="",IF(AW16=0,"-",AW16),IF(AM16=0,"0",$K16*IF($O16="",1,$O16)*AM16))),"-")</f>
        <v/>
      </c>
      <c r="BG16" s="72"/>
      <c r="BH16" s="225"/>
      <c r="BI16" s="473"/>
      <c r="BJ16" s="268"/>
    </row>
    <row r="17" spans="1:84" s="15" customFormat="1">
      <c r="A17" s="16"/>
      <c r="B17" s="14"/>
      <c r="C17" s="14"/>
      <c r="J17" s="16"/>
      <c r="K17" s="264"/>
      <c r="L17" s="264"/>
      <c r="M17" s="264"/>
      <c r="N17" s="264"/>
      <c r="O17" s="264"/>
      <c r="P17" s="264"/>
      <c r="AX17" s="284"/>
      <c r="AY17" s="284"/>
      <c r="AZ17" s="284"/>
      <c r="BA17" s="284"/>
      <c r="BB17" s="284"/>
      <c r="BC17" s="284"/>
      <c r="BD17" s="284"/>
      <c r="BE17" s="284"/>
      <c r="BF17" s="284"/>
    </row>
    <row r="18" spans="1:84" s="21" customFormat="1" ht="18">
      <c r="B18" s="465" t="s">
        <v>246</v>
      </c>
      <c r="C18" s="635"/>
      <c r="D18" s="18"/>
      <c r="E18" s="18"/>
      <c r="F18" s="18"/>
      <c r="G18" s="18"/>
      <c r="H18" s="18"/>
      <c r="I18" s="18"/>
      <c r="J18" s="18"/>
      <c r="K18" s="18"/>
      <c r="L18" s="18"/>
      <c r="M18" s="18"/>
      <c r="N18" s="19"/>
      <c r="O18" s="635"/>
      <c r="P18" s="635"/>
      <c r="Q18" s="635"/>
      <c r="R18" s="635"/>
      <c r="S18" s="635"/>
      <c r="T18" s="635"/>
      <c r="U18" s="27"/>
      <c r="V18" s="27"/>
      <c r="W18" s="27"/>
      <c r="X18" s="27"/>
      <c r="Y18" s="27"/>
      <c r="Z18" s="27"/>
      <c r="AA18" s="27"/>
      <c r="AB18" s="27"/>
      <c r="AC18" s="27"/>
      <c r="AD18" s="27"/>
      <c r="AE18" s="27"/>
      <c r="AF18" s="27"/>
      <c r="AG18" s="27"/>
      <c r="AH18" s="27"/>
      <c r="AI18" s="27"/>
      <c r="AJ18" s="28"/>
      <c r="AK18" s="274"/>
      <c r="AL18" s="28"/>
      <c r="AM18" s="28"/>
      <c r="AN18" s="28"/>
      <c r="AO18" s="19"/>
      <c r="AP18" s="19"/>
      <c r="AQ18" s="254"/>
      <c r="AR18" s="254"/>
      <c r="AS18" s="254"/>
    </row>
    <row r="19" spans="1:84" s="15" customFormat="1">
      <c r="A19" s="16"/>
      <c r="B19" s="14"/>
      <c r="C19" s="14"/>
      <c r="J19" s="16"/>
      <c r="K19" s="264"/>
      <c r="L19" s="264"/>
      <c r="M19" s="264"/>
      <c r="N19" s="264"/>
      <c r="O19" s="264"/>
      <c r="P19" s="264"/>
      <c r="AX19" s="284"/>
      <c r="AY19" s="284"/>
      <c r="AZ19" s="284"/>
      <c r="BA19" s="284"/>
      <c r="BB19" s="284"/>
      <c r="BC19" s="284"/>
      <c r="BD19" s="284"/>
      <c r="BE19" s="284"/>
      <c r="BF19" s="284"/>
    </row>
    <row r="20" spans="1:84" s="5" customFormat="1" ht="16" customHeight="1">
      <c r="A20" s="39"/>
      <c r="B20" s="2065" t="s">
        <v>37</v>
      </c>
      <c r="C20" s="2065" t="s">
        <v>38</v>
      </c>
      <c r="D20" s="2095" t="s">
        <v>242</v>
      </c>
      <c r="E20" s="2106"/>
      <c r="F20" s="2106"/>
      <c r="G20" s="2106"/>
      <c r="H20" s="2106"/>
      <c r="I20" s="2096"/>
      <c r="J20" s="2066" t="s">
        <v>297</v>
      </c>
      <c r="K20" s="2095" t="s">
        <v>169</v>
      </c>
      <c r="L20" s="2096"/>
      <c r="M20" s="2098" t="s">
        <v>841</v>
      </c>
      <c r="N20" s="2099"/>
      <c r="O20" s="2100"/>
      <c r="P20" s="2066" t="s">
        <v>302</v>
      </c>
      <c r="Q20" s="2087" t="s">
        <v>782</v>
      </c>
      <c r="R20" s="2125" t="s">
        <v>782</v>
      </c>
      <c r="S20" s="2063"/>
      <c r="T20" s="2063"/>
      <c r="U20" s="2063"/>
      <c r="V20" s="2063"/>
      <c r="W20" s="2063"/>
      <c r="X20" s="2063"/>
      <c r="Y20" s="2063"/>
      <c r="Z20" s="2063"/>
      <c r="AA20" s="2063"/>
      <c r="AB20" s="2063"/>
      <c r="AC20" s="2063"/>
      <c r="AD20" s="2063"/>
      <c r="AE20" s="2063"/>
      <c r="AF20" s="2063"/>
      <c r="AG20" s="2063"/>
      <c r="AH20" s="2063"/>
      <c r="AI20" s="2063"/>
      <c r="AJ20" s="2063"/>
      <c r="AK20" s="2063"/>
      <c r="AL20" s="2063"/>
      <c r="AM20" s="2064"/>
      <c r="AN20" s="2093" t="s">
        <v>928</v>
      </c>
      <c r="AO20" s="2118" t="s">
        <v>934</v>
      </c>
      <c r="AP20" s="2119"/>
      <c r="AQ20" s="2119"/>
      <c r="AR20" s="2119"/>
      <c r="AS20" s="2119"/>
      <c r="AT20" s="2119"/>
      <c r="AU20" s="2119"/>
      <c r="AV20" s="2119"/>
      <c r="AW20" s="2120"/>
      <c r="AX20" s="2097" t="s">
        <v>289</v>
      </c>
      <c r="AY20" s="2097"/>
      <c r="AZ20" s="2097"/>
      <c r="BA20" s="2097"/>
      <c r="BB20" s="2097"/>
      <c r="BC20" s="2097"/>
      <c r="BD20" s="2097"/>
      <c r="BE20" s="2097"/>
      <c r="BF20" s="2097"/>
      <c r="BG20" s="895" t="s">
        <v>41</v>
      </c>
      <c r="BH20" s="2075" t="s">
        <v>937</v>
      </c>
      <c r="BI20" s="2093" t="s">
        <v>723</v>
      </c>
      <c r="BJ20" s="2087" t="s">
        <v>826</v>
      </c>
      <c r="BK20" s="14"/>
      <c r="BL20" s="14"/>
      <c r="BM20" s="14"/>
      <c r="BN20" s="14"/>
      <c r="BO20" s="14"/>
      <c r="BP20" s="14"/>
      <c r="BQ20" s="14"/>
      <c r="BR20" s="14"/>
      <c r="BS20" s="14"/>
      <c r="BT20" s="14"/>
      <c r="BU20" s="14"/>
      <c r="BV20" s="14"/>
      <c r="BW20" s="14"/>
      <c r="BX20" s="14"/>
      <c r="BY20" s="14"/>
      <c r="BZ20" s="14"/>
      <c r="CA20" s="14"/>
      <c r="CB20" s="14"/>
      <c r="CC20" s="14"/>
      <c r="CD20" s="14"/>
      <c r="CE20" s="14"/>
      <c r="CF20" s="14"/>
    </row>
    <row r="21" spans="1:84" s="5" customFormat="1" ht="17">
      <c r="A21" s="39"/>
      <c r="B21" s="2121"/>
      <c r="C21" s="2121"/>
      <c r="D21" s="2114" t="s">
        <v>243</v>
      </c>
      <c r="E21" s="2115"/>
      <c r="F21" s="2116"/>
      <c r="G21" s="2114" t="s">
        <v>241</v>
      </c>
      <c r="H21" s="2115"/>
      <c r="I21" s="2116"/>
      <c r="J21" s="2121"/>
      <c r="K21" s="637" t="s">
        <v>170</v>
      </c>
      <c r="L21" s="637" t="s">
        <v>171</v>
      </c>
      <c r="M21" s="761" t="s">
        <v>813</v>
      </c>
      <c r="N21" s="761" t="s">
        <v>814</v>
      </c>
      <c r="O21" s="761" t="s">
        <v>927</v>
      </c>
      <c r="P21" s="2121"/>
      <c r="Q21" s="2126"/>
      <c r="R21" s="761" t="s">
        <v>171</v>
      </c>
      <c r="S21" s="761" t="s">
        <v>929</v>
      </c>
      <c r="T21" s="761" t="s">
        <v>930</v>
      </c>
      <c r="U21" s="761" t="s">
        <v>931</v>
      </c>
      <c r="V21" s="762" t="s">
        <v>843</v>
      </c>
      <c r="W21" s="762" t="s">
        <v>844</v>
      </c>
      <c r="X21" s="762" t="s">
        <v>865</v>
      </c>
      <c r="Y21" s="762" t="s">
        <v>866</v>
      </c>
      <c r="Z21" s="762" t="s">
        <v>867</v>
      </c>
      <c r="AA21" s="762" t="s">
        <v>868</v>
      </c>
      <c r="AB21" s="762" t="s">
        <v>869</v>
      </c>
      <c r="AC21" s="762" t="s">
        <v>870</v>
      </c>
      <c r="AD21" s="762" t="s">
        <v>871</v>
      </c>
      <c r="AE21" s="762" t="s">
        <v>872</v>
      </c>
      <c r="AF21" s="762" t="s">
        <v>873</v>
      </c>
      <c r="AG21" s="762" t="s">
        <v>874</v>
      </c>
      <c r="AH21" s="762" t="s">
        <v>875</v>
      </c>
      <c r="AI21" s="762" t="s">
        <v>876</v>
      </c>
      <c r="AJ21" s="761" t="s">
        <v>975</v>
      </c>
      <c r="AK21" s="761" t="s">
        <v>976</v>
      </c>
      <c r="AL21" s="761" t="s">
        <v>932</v>
      </c>
      <c r="AM21" s="761" t="s">
        <v>933</v>
      </c>
      <c r="AN21" s="2117"/>
      <c r="AO21" s="763" t="s">
        <v>929</v>
      </c>
      <c r="AP21" s="763" t="s">
        <v>930</v>
      </c>
      <c r="AQ21" s="763" t="s">
        <v>931</v>
      </c>
      <c r="AR21" s="763" t="s">
        <v>43</v>
      </c>
      <c r="AS21" s="763" t="s">
        <v>42</v>
      </c>
      <c r="AT21" s="763" t="s">
        <v>975</v>
      </c>
      <c r="AU21" s="763" t="s">
        <v>976</v>
      </c>
      <c r="AV21" s="763" t="s">
        <v>932</v>
      </c>
      <c r="AW21" s="763" t="s">
        <v>933</v>
      </c>
      <c r="AX21" s="764" t="s">
        <v>290</v>
      </c>
      <c r="AY21" s="764" t="s">
        <v>291</v>
      </c>
      <c r="AZ21" s="764" t="s">
        <v>292</v>
      </c>
      <c r="BA21" s="764" t="s">
        <v>43</v>
      </c>
      <c r="BB21" s="764" t="s">
        <v>42</v>
      </c>
      <c r="BC21" s="764" t="s">
        <v>299</v>
      </c>
      <c r="BD21" s="764" t="s">
        <v>300</v>
      </c>
      <c r="BE21" s="764" t="s">
        <v>293</v>
      </c>
      <c r="BF21" s="764" t="s">
        <v>294</v>
      </c>
      <c r="BG21" s="637" t="s">
        <v>44</v>
      </c>
      <c r="BH21" s="2093"/>
      <c r="BI21" s="2094"/>
      <c r="BJ21" s="2088"/>
      <c r="BK21" s="14"/>
      <c r="BL21" s="14"/>
      <c r="BM21" s="14"/>
      <c r="BN21" s="14"/>
      <c r="BO21" s="14"/>
      <c r="BP21" s="14"/>
      <c r="BQ21" s="14"/>
      <c r="BR21" s="14"/>
      <c r="BS21" s="14"/>
      <c r="BT21" s="14"/>
      <c r="BU21" s="14"/>
      <c r="BV21" s="14"/>
      <c r="BW21" s="14"/>
      <c r="BX21" s="14"/>
      <c r="BY21" s="14"/>
      <c r="BZ21" s="14"/>
      <c r="CA21" s="14"/>
      <c r="CB21" s="14"/>
      <c r="CC21" s="14"/>
      <c r="CD21" s="14"/>
      <c r="CE21" s="14"/>
      <c r="CF21" s="14"/>
    </row>
    <row r="22" spans="1:84">
      <c r="B22" s="76" t="s">
        <v>152</v>
      </c>
      <c r="C22" s="76">
        <v>1</v>
      </c>
      <c r="D22" s="751" t="s">
        <v>153</v>
      </c>
      <c r="E22" s="112"/>
      <c r="F22" s="112"/>
      <c r="G22" s="752"/>
      <c r="H22" s="69"/>
      <c r="I22" s="69"/>
      <c r="J22" s="757"/>
      <c r="K22" s="757"/>
      <c r="L22" s="758"/>
      <c r="M22" s="758"/>
      <c r="N22" s="758"/>
      <c r="O22" s="758"/>
      <c r="P22" s="758"/>
      <c r="Q22" s="748"/>
      <c r="R22" s="748"/>
      <c r="S22" s="748"/>
      <c r="T22" s="748"/>
      <c r="U22" s="748"/>
      <c r="V22" s="748"/>
      <c r="W22" s="748"/>
      <c r="X22" s="748"/>
      <c r="Y22" s="748"/>
      <c r="Z22" s="748"/>
      <c r="AA22" s="748"/>
      <c r="AB22" s="748"/>
      <c r="AC22" s="748"/>
      <c r="AD22" s="748"/>
      <c r="AE22" s="748"/>
      <c r="AF22" s="748"/>
      <c r="AG22" s="748"/>
      <c r="AH22" s="748"/>
      <c r="AI22" s="748"/>
      <c r="AJ22" s="748"/>
      <c r="AK22" s="748"/>
      <c r="AL22" s="748"/>
      <c r="AM22" s="748"/>
      <c r="AN22" s="748"/>
      <c r="AO22" s="748"/>
      <c r="AP22" s="748"/>
      <c r="AQ22" s="748"/>
      <c r="AR22" s="748"/>
      <c r="AS22" s="748"/>
      <c r="AT22" s="748"/>
      <c r="AU22" s="748"/>
      <c r="AV22" s="748"/>
      <c r="AW22" s="748"/>
      <c r="AX22" s="759"/>
      <c r="AY22" s="759"/>
      <c r="AZ22" s="759"/>
      <c r="BA22" s="759"/>
      <c r="BB22" s="759"/>
      <c r="BC22" s="759"/>
      <c r="BD22" s="759"/>
      <c r="BE22" s="759"/>
      <c r="BF22" s="759"/>
      <c r="BG22" s="69"/>
      <c r="BH22" s="760" t="s">
        <v>985</v>
      </c>
      <c r="BI22" s="119"/>
      <c r="BJ22" s="756"/>
    </row>
    <row r="23" spans="1:84" s="15" customFormat="1">
      <c r="A23" s="16"/>
      <c r="B23" s="56" t="s">
        <v>152</v>
      </c>
      <c r="C23" s="56">
        <v>1</v>
      </c>
      <c r="D23" s="2060" t="s">
        <v>574</v>
      </c>
      <c r="E23" s="2061"/>
      <c r="F23" s="2062"/>
      <c r="G23" s="2069"/>
      <c r="H23" s="2070"/>
      <c r="I23" s="2071"/>
      <c r="J23" s="56"/>
      <c r="K23" s="58"/>
      <c r="L23" s="58"/>
      <c r="M23" s="58"/>
      <c r="N23" s="58"/>
      <c r="O23" s="221" t="str">
        <f t="array" ref="O23">IFERROR(INDEX('Conversion factors_2'!$B$10:$CY$111,MATCH(M23,'Conversion factors_2'!$B$10:$B$111,FALSE),HLOOKUP(N23,'Conversion factors_2'!$B$8:$CY$9,2,FALSE)),"")</f>
        <v/>
      </c>
      <c r="P23" s="58"/>
      <c r="Q23" s="56"/>
      <c r="R23" s="221" t="str">
        <f>IFERROR(CONCATENATE("tCO2e/",VLOOKUP($Q23,'F-Gases'!D:J,5,FALSE)),"")</f>
        <v/>
      </c>
      <c r="S23" s="221" t="str">
        <f>IFERROR(VLOOKUP($Q23,'F-Gases'!$D$17:$BA$41,10,FALSE),"")</f>
        <v/>
      </c>
      <c r="T23" s="221" t="str">
        <f>IFERROR(VLOOKUP($Q23,'F-Gases'!$D$17:$BA$41,12,FALSE),"")</f>
        <v/>
      </c>
      <c r="U23" s="221" t="str">
        <f>IFERROR(VLOOKUP($Q23,'F-Gases'!$D$17:$BA$41,14,FALSE),"")</f>
        <v/>
      </c>
      <c r="V23" s="221" t="str">
        <f>IFERROR(VLOOKUP($Q23,'F-Gases'!$D$17:$BA$41,16,FALSE),"")</f>
        <v/>
      </c>
      <c r="W23" s="221" t="str">
        <f>IFERROR(VLOOKUP($Q23,'F-Gases'!$D$17:$BA$41,18,FALSE),"")</f>
        <v/>
      </c>
      <c r="X23" s="221" t="str">
        <f>IFERROR(VLOOKUP($Q23,'F-Gases'!$D$17:$BA$41,20,FALSE),"")</f>
        <v/>
      </c>
      <c r="Y23" s="221" t="str">
        <f>IFERROR(VLOOKUP($Q23,'F-Gases'!$D$17:$BA$41,22,FALSE),"")</f>
        <v/>
      </c>
      <c r="Z23" s="221" t="str">
        <f>IFERROR(VLOOKUP($Q23,'F-Gases'!$D$17:$BA$41,24,FALSE),"")</f>
        <v/>
      </c>
      <c r="AA23" s="221" t="str">
        <f>IFERROR(VLOOKUP($Q23,'F-Gases'!$D$17:$BA$41,26,FALSE),"")</f>
        <v/>
      </c>
      <c r="AB23" s="221" t="str">
        <f>IFERROR(VLOOKUP($Q23,'F-Gases'!$D$17:$BA$41,28,FALSE),"")</f>
        <v/>
      </c>
      <c r="AC23" s="221" t="str">
        <f>IFERROR(VLOOKUP($Q23,'F-Gases'!$D$17:$BA$41,30,FALSE),"")</f>
        <v/>
      </c>
      <c r="AD23" s="221" t="str">
        <f>IFERROR(VLOOKUP($Q23,'F-Gases'!$D$17:$BA$41,32,FALSE),"")</f>
        <v/>
      </c>
      <c r="AE23" s="221" t="str">
        <f>IFERROR(VLOOKUP($Q23,'F-Gases'!$D$17:$BA$41,34,FALSE),"")</f>
        <v/>
      </c>
      <c r="AF23" s="221" t="str">
        <f>IFERROR(VLOOKUP($Q23,'F-Gases'!$D$17:$BA$41,36,FALSE),"")</f>
        <v/>
      </c>
      <c r="AG23" s="221" t="str">
        <f>IFERROR(VLOOKUP($Q23,'F-Gases'!$D$17:$BA$41,38,FALSE),"")</f>
        <v/>
      </c>
      <c r="AH23" s="221" t="str">
        <f>IFERROR(VLOOKUP($Q23,'F-Gases'!$D$17:$BA$41,40,FALSE),"")</f>
        <v/>
      </c>
      <c r="AI23" s="221" t="str">
        <f>IFERROR(VLOOKUP($Q23,'F-Gases'!$D$17:$BA$41,42,FALSE),"")</f>
        <v/>
      </c>
      <c r="AJ23" s="221" t="str">
        <f>IFERROR(VLOOKUP($Q23,'F-Gases'!$D$17:$BA$41,44,FALSE),"")</f>
        <v/>
      </c>
      <c r="AK23" s="221" t="str">
        <f>IFERROR(VLOOKUP($Q23,'F-Gases'!$D$17:$BA$41,46,FALSE),"")</f>
        <v/>
      </c>
      <c r="AL23" s="221" t="str">
        <f>IFERROR(VLOOKUP($Q23,'F-Gases'!$D$17:$BA$41,48,FALSE),"")</f>
        <v/>
      </c>
      <c r="AM23" s="221" t="str">
        <f>IFERROR(VLOOKUP($Q23,'F-Gases'!$D$17:$BA$41,50,FALSE),"")</f>
        <v/>
      </c>
      <c r="AN23" s="58" t="s">
        <v>982</v>
      </c>
      <c r="AO23" s="58"/>
      <c r="AP23" s="58"/>
      <c r="AQ23" s="58"/>
      <c r="AR23" s="58"/>
      <c r="AS23" s="58"/>
      <c r="AT23" s="58"/>
      <c r="AU23" s="58"/>
      <c r="AV23" s="58">
        <v>75000</v>
      </c>
      <c r="AW23" s="58"/>
      <c r="AX23" s="275" t="str">
        <f t="shared" ref="AX23:AZ24" si="1">IFERROR(IF(AND($Q23="",$AN23=""),"",IF($Q23="",IF(AO23=0,"-",AO23),IF(S23=0,"0",$K23*IF($O23="",1,$O23)*S23))),"-")</f>
        <v>-</v>
      </c>
      <c r="AY23" s="275" t="str">
        <f t="shared" si="1"/>
        <v>-</v>
      </c>
      <c r="AZ23" s="275" t="str">
        <f t="shared" si="1"/>
        <v>-</v>
      </c>
      <c r="BA23" s="275" t="str">
        <f>IFERROR(IF(AND($Q23="",$AN23=""),"",IF($Q23="",IF(AR23=0,"-",AR23),IF(AND(V23=0,W23=0),"0",$K23*IF($O23="",1,$O23)*(V23+W23)))),"-")</f>
        <v>-</v>
      </c>
      <c r="BB23" s="275" t="str">
        <f>IFERROR(IF(AND($Q23="",$AN23=""),"",IF($Q23="",IF(AS23=0,"-",AS23),IF(AND(X23=0,Y23=0,Z23=0,AA23=0,AB23=0,AC23=0,AD23=0,AE23=0,AF23=0,AG23=0,AH23=0,AI23=0),"0",$K23*IF($O23="",1,$O23)*(X23+Y23+Z23+AA23+AB23+AC23+AD23+AE23+AF23+AG23+AH23+AI23)))),"-")</f>
        <v>-</v>
      </c>
      <c r="BC23" s="275" t="str">
        <f>IFERROR(IF(AND($Q23="",$AN23=""),"",IF($Q23="",IF(AT23=0,"-",AT23),IF(AJ23=0,"0",$K23*IF($O23="",1,$O23)*AJ23))),"-")</f>
        <v>-</v>
      </c>
      <c r="BD23" s="275" t="str">
        <f>IFERROR(IF(AND($Q23="",$AN23=""),"",IF($Q23="",IF(AU23=0,"-",AU23),IF(AK23=0,"0",$K23*IF($O23="",1,$O23)*AK23))),"-")</f>
        <v>-</v>
      </c>
      <c r="BE23" s="275">
        <f>IFERROR(IF(AND($Q23="",$AN23=""),"",IF($Q23="",IF(AV23="",SUM(AX23:BD23),IF(AV23=0,"0",AV23)),IF($AL23="",SUM($AX23:$BD23),IF($AL23=0,"0",$K23*IF($O23="",1,$O23)*$AL23)))),"-")</f>
        <v>75000</v>
      </c>
      <c r="BF23" s="275" t="str">
        <f>IFERROR(IF(AND($Q23="",$AN23=""),"",IF($Q23="",IF(AW23=0,"-",AW23),IF(AM23=0,"0",$K23*IF($O23="",1,$O23)*AM23))),"-")</f>
        <v>-</v>
      </c>
      <c r="BG23" s="72" t="s">
        <v>180</v>
      </c>
      <c r="BH23" s="225" t="s">
        <v>2707</v>
      </c>
      <c r="BI23" s="473"/>
      <c r="BJ23" s="268"/>
    </row>
    <row r="24" spans="1:84" s="15" customFormat="1" ht="15" customHeight="1">
      <c r="A24" s="16"/>
      <c r="B24" s="56" t="s">
        <v>152</v>
      </c>
      <c r="C24" s="56">
        <v>1</v>
      </c>
      <c r="D24" s="2060"/>
      <c r="E24" s="2061"/>
      <c r="F24" s="2062"/>
      <c r="G24" s="2069"/>
      <c r="H24" s="2070"/>
      <c r="I24" s="2071"/>
      <c r="J24" s="56"/>
      <c r="K24" s="56"/>
      <c r="L24" s="56"/>
      <c r="M24" s="58"/>
      <c r="N24" s="58"/>
      <c r="O24" s="221" t="str">
        <f t="array" ref="O24">IFERROR(INDEX('Conversion factors_2'!$B$10:$CY$111,MATCH(M24,'Conversion factors_2'!$B$10:$B$111,FALSE),HLOOKUP(N24,'Conversion factors_2'!$B$8:$CY$9,2,FALSE)),"")</f>
        <v/>
      </c>
      <c r="P24" s="58"/>
      <c r="Q24" s="56"/>
      <c r="R24" s="221" t="str">
        <f>IFERROR(CONCATENATE("tCO2e/",VLOOKUP($Q24,'F-Gases'!D:J,5,FALSE)),"")</f>
        <v/>
      </c>
      <c r="S24" s="221" t="str">
        <f>IFERROR(VLOOKUP($Q24,'F-Gases'!$D$17:$BA$41,10,FALSE),"")</f>
        <v/>
      </c>
      <c r="T24" s="221" t="str">
        <f>IFERROR(VLOOKUP($Q24,'F-Gases'!$D$17:$BA$41,12,FALSE),"")</f>
        <v/>
      </c>
      <c r="U24" s="221" t="str">
        <f>IFERROR(VLOOKUP($Q24,'F-Gases'!$D$17:$BA$41,14,FALSE),"")</f>
        <v/>
      </c>
      <c r="V24" s="221" t="str">
        <f>IFERROR(VLOOKUP($Q24,'F-Gases'!$D$17:$BA$41,16,FALSE),"")</f>
        <v/>
      </c>
      <c r="W24" s="221" t="str">
        <f>IFERROR(VLOOKUP($Q24,'F-Gases'!$D$17:$BA$41,18,FALSE),"")</f>
        <v/>
      </c>
      <c r="X24" s="221" t="str">
        <f>IFERROR(VLOOKUP($Q24,'F-Gases'!$D$17:$BA$41,20,FALSE),"")</f>
        <v/>
      </c>
      <c r="Y24" s="221" t="str">
        <f>IFERROR(VLOOKUP($Q24,'F-Gases'!$D$17:$BA$41,22,FALSE),"")</f>
        <v/>
      </c>
      <c r="Z24" s="221" t="str">
        <f>IFERROR(VLOOKUP($Q24,'F-Gases'!$D$17:$BA$41,24,FALSE),"")</f>
        <v/>
      </c>
      <c r="AA24" s="221" t="str">
        <f>IFERROR(VLOOKUP($Q24,'F-Gases'!$D$17:$BA$41,26,FALSE),"")</f>
        <v/>
      </c>
      <c r="AB24" s="221" t="str">
        <f>IFERROR(VLOOKUP($Q24,'F-Gases'!$D$17:$BA$41,28,FALSE),"")</f>
        <v/>
      </c>
      <c r="AC24" s="221" t="str">
        <f>IFERROR(VLOOKUP($Q24,'F-Gases'!$D$17:$BA$41,30,FALSE),"")</f>
        <v/>
      </c>
      <c r="AD24" s="221" t="str">
        <f>IFERROR(VLOOKUP($Q24,'F-Gases'!$D$17:$BA$41,32,FALSE),"")</f>
        <v/>
      </c>
      <c r="AE24" s="221" t="str">
        <f>IFERROR(VLOOKUP($Q24,'F-Gases'!$D$17:$BA$41,34,FALSE),"")</f>
        <v/>
      </c>
      <c r="AF24" s="221" t="str">
        <f>IFERROR(VLOOKUP($Q24,'F-Gases'!$D$17:$BA$41,36,FALSE),"")</f>
        <v/>
      </c>
      <c r="AG24" s="221" t="str">
        <f>IFERROR(VLOOKUP($Q24,'F-Gases'!$D$17:$BA$41,38,FALSE),"")</f>
        <v/>
      </c>
      <c r="AH24" s="221" t="str">
        <f>IFERROR(VLOOKUP($Q24,'F-Gases'!$D$17:$BA$41,40,FALSE),"")</f>
        <v/>
      </c>
      <c r="AI24" s="221" t="str">
        <f>IFERROR(VLOOKUP($Q24,'F-Gases'!$D$17:$BA$41,42,FALSE),"")</f>
        <v/>
      </c>
      <c r="AJ24" s="221" t="str">
        <f>IFERROR(VLOOKUP($Q24,'F-Gases'!$D$17:$BA$41,44,FALSE),"")</f>
        <v/>
      </c>
      <c r="AK24" s="221" t="str">
        <f>IFERROR(VLOOKUP($Q24,'F-Gases'!$D$17:$BA$41,46,FALSE),"")</f>
        <v/>
      </c>
      <c r="AL24" s="221" t="str">
        <f>IFERROR(VLOOKUP($Q24,'F-Gases'!$D$17:$BA$41,48,FALSE),"")</f>
        <v/>
      </c>
      <c r="AM24" s="221" t="str">
        <f>IFERROR(VLOOKUP($Q24,'F-Gases'!$D$17:$BA$41,50,FALSE),"")</f>
        <v/>
      </c>
      <c r="AN24" s="56"/>
      <c r="AO24" s="58"/>
      <c r="AP24" s="58"/>
      <c r="AQ24" s="58"/>
      <c r="AR24" s="58"/>
      <c r="AS24" s="58"/>
      <c r="AT24" s="58"/>
      <c r="AU24" s="58"/>
      <c r="AV24" s="58"/>
      <c r="AW24" s="58"/>
      <c r="AX24" s="472" t="str">
        <f t="shared" si="1"/>
        <v/>
      </c>
      <c r="AY24" s="472" t="str">
        <f t="shared" si="1"/>
        <v/>
      </c>
      <c r="AZ24" s="472" t="str">
        <f t="shared" si="1"/>
        <v/>
      </c>
      <c r="BA24" s="472" t="str">
        <f>IFERROR(IF(AND($Q24="",$AN24=""),"",IF($Q24="",IF(AR24=0,"-",AR24),IF(AND(V24=0,W24=0),"0",$K24*IF($O24="",1,$O24)*(V24+W24)))),"-")</f>
        <v/>
      </c>
      <c r="BB24" s="472" t="str">
        <f>IFERROR(IF(AND($Q24="",$AN24=""),"",IF($Q24="",IF(AS24=0,"-",AS24),IF(AND(X24=0,Y24=0,Z24=0,AA24=0,AB24=0,AC24=0,AD24=0,AE24=0,AF24=0,AG24=0,AH24=0,AI24=0),"0",$K24*IF($O24="",1,$O24)*(X24+Y24+Z24+AA24+AB24+AC24+AD24+AE24+AF24+AG24+AH24+AI24)))),"-")</f>
        <v/>
      </c>
      <c r="BC24" s="472" t="str">
        <f>IFERROR(IF(AND($Q24="",$AN24=""),"",IF($Q24="",IF(AT24=0,"-",AT24),IF(AJ24=0,"0",$K24*IF($O24="",1,$O24)*AJ24))),"-")</f>
        <v/>
      </c>
      <c r="BD24" s="472" t="str">
        <f>IFERROR(IF(AND($Q24="",$AN24=""),"",IF($Q24="",IF(AU24=0,"-",AU24),IF(AK24=0,"0",$K24*IF($O24="",1,$O24)*AK24))),"-")</f>
        <v/>
      </c>
      <c r="BE24" s="472" t="str">
        <f>IFERROR(IF(AND($Q24="",$AN24=""),"",IF($Q24="",IF(AV24="",SUM(AX24:BD24),IF(AV24=0,"0",AV24)),IF($AL24="",SUM($AX24:$BD24),IF($AL24=0,"0",$K24*IF($O24="",1,$O24)*$AL24)))),"-")</f>
        <v/>
      </c>
      <c r="BF24" s="472" t="str">
        <f>IFERROR(IF(AND($Q24="",$AN24=""),"",IF($Q24="",IF(AW24=0,"-",AW24),IF(AM24=0,"0",$K24*IF($O24="",1,$O24)*AM24))),"-")</f>
        <v/>
      </c>
      <c r="BG24" s="72"/>
      <c r="BH24" s="225"/>
      <c r="BI24" s="473"/>
      <c r="BJ24" s="268"/>
    </row>
    <row r="25" spans="1:84" s="15" customFormat="1">
      <c r="A25" s="16"/>
      <c r="B25" s="14"/>
      <c r="C25" s="14"/>
      <c r="J25" s="16"/>
      <c r="K25" s="264"/>
      <c r="L25" s="264"/>
      <c r="M25" s="264"/>
      <c r="N25" s="264"/>
      <c r="O25" s="264"/>
      <c r="P25" s="264"/>
      <c r="AX25" s="284"/>
      <c r="AY25" s="284"/>
      <c r="AZ25" s="284"/>
      <c r="BA25" s="284"/>
      <c r="BB25" s="284"/>
      <c r="BC25" s="284"/>
      <c r="BD25" s="284"/>
      <c r="BE25" s="284"/>
      <c r="BF25" s="284"/>
    </row>
    <row r="26" spans="1:84" s="15" customFormat="1" ht="15" customHeight="1">
      <c r="A26" s="16"/>
      <c r="B26" s="144" t="s">
        <v>626</v>
      </c>
      <c r="C26" s="14"/>
      <c r="J26" s="16"/>
      <c r="K26" s="264"/>
      <c r="L26" s="264"/>
      <c r="M26" s="264"/>
      <c r="N26" s="264"/>
      <c r="O26" s="264"/>
      <c r="P26" s="264"/>
      <c r="AX26" s="284"/>
      <c r="AY26" s="284"/>
      <c r="AZ26" s="284"/>
      <c r="BA26" s="284"/>
      <c r="BB26" s="284"/>
      <c r="BC26" s="284"/>
      <c r="BD26" s="284"/>
      <c r="BE26" s="284"/>
      <c r="BF26" s="284"/>
    </row>
    <row r="27" spans="1:84" s="15" customFormat="1" ht="30" customHeight="1">
      <c r="A27" s="16"/>
      <c r="J27" s="16"/>
      <c r="K27" s="264"/>
      <c r="L27" s="264"/>
      <c r="M27" s="264"/>
      <c r="N27" s="264"/>
      <c r="O27" s="264"/>
      <c r="P27" s="264"/>
      <c r="AX27" s="284"/>
      <c r="AY27" s="284"/>
      <c r="AZ27" s="284"/>
      <c r="BA27" s="284"/>
      <c r="BB27" s="284"/>
      <c r="BC27" s="284"/>
      <c r="BD27" s="284"/>
      <c r="BE27" s="284"/>
      <c r="BF27" s="284"/>
    </row>
    <row r="28" spans="1:84" s="15" customFormat="1">
      <c r="A28" s="16"/>
      <c r="B28" s="14"/>
      <c r="C28" s="14"/>
      <c r="J28" s="16"/>
      <c r="K28" s="264"/>
      <c r="L28" s="264"/>
      <c r="M28" s="264"/>
      <c r="N28" s="264"/>
      <c r="O28" s="264"/>
      <c r="P28" s="264"/>
      <c r="AX28" s="284"/>
      <c r="AY28" s="284"/>
      <c r="AZ28" s="284"/>
      <c r="BA28" s="284"/>
      <c r="BB28" s="284"/>
      <c r="BC28" s="284"/>
      <c r="BD28" s="284"/>
      <c r="BE28" s="284"/>
      <c r="BF28" s="284"/>
    </row>
    <row r="29" spans="1:84" s="15" customFormat="1">
      <c r="A29" s="16"/>
      <c r="B29" s="14"/>
      <c r="C29" s="14"/>
      <c r="J29" s="16"/>
      <c r="K29" s="264"/>
      <c r="L29" s="264"/>
      <c r="M29" s="264"/>
      <c r="N29" s="264"/>
      <c r="O29" s="264"/>
      <c r="P29" s="264"/>
      <c r="AX29" s="284"/>
      <c r="AY29" s="284"/>
      <c r="AZ29" s="284"/>
      <c r="BA29" s="284"/>
      <c r="BB29" s="284"/>
      <c r="BC29" s="284"/>
      <c r="BD29" s="284"/>
      <c r="BE29" s="284"/>
      <c r="BF29" s="284"/>
    </row>
    <row r="30" spans="1:84" s="15" customFormat="1">
      <c r="A30" s="16"/>
      <c r="B30" s="14"/>
      <c r="C30" s="14"/>
      <c r="J30" s="16"/>
      <c r="K30" s="264"/>
      <c r="L30" s="264"/>
      <c r="M30" s="264"/>
      <c r="N30" s="264"/>
      <c r="O30" s="264"/>
      <c r="P30" s="264"/>
      <c r="AX30" s="284"/>
      <c r="AY30" s="284"/>
      <c r="AZ30" s="284"/>
      <c r="BA30" s="284"/>
      <c r="BB30" s="284"/>
      <c r="BC30" s="284"/>
      <c r="BD30" s="284"/>
      <c r="BE30" s="284"/>
      <c r="BF30" s="284"/>
    </row>
    <row r="31" spans="1:84" s="15" customFormat="1">
      <c r="A31" s="16"/>
      <c r="B31" s="14"/>
      <c r="C31" s="14"/>
      <c r="J31" s="16"/>
      <c r="K31" s="264"/>
      <c r="L31" s="264"/>
      <c r="M31" s="264"/>
      <c r="N31" s="264"/>
      <c r="O31" s="264"/>
      <c r="P31" s="264"/>
      <c r="AX31" s="284"/>
      <c r="AY31" s="284"/>
      <c r="AZ31" s="284"/>
      <c r="BA31" s="284"/>
      <c r="BB31" s="284"/>
      <c r="BC31" s="284"/>
      <c r="BD31" s="284"/>
      <c r="BE31" s="284"/>
      <c r="BF31" s="284"/>
    </row>
    <row r="32" spans="1:84" s="15" customFormat="1">
      <c r="A32" s="16"/>
      <c r="B32" s="14"/>
      <c r="C32" s="14"/>
      <c r="J32" s="16"/>
      <c r="K32" s="264"/>
      <c r="L32" s="264"/>
      <c r="M32" s="264"/>
      <c r="N32" s="264"/>
      <c r="O32" s="264"/>
      <c r="P32" s="264"/>
      <c r="AX32" s="284"/>
      <c r="AY32" s="284"/>
      <c r="AZ32" s="284"/>
      <c r="BA32" s="284"/>
      <c r="BB32" s="284"/>
      <c r="BC32" s="284"/>
      <c r="BD32" s="284"/>
      <c r="BE32" s="284"/>
      <c r="BF32" s="284"/>
    </row>
    <row r="33" spans="1:58" s="15" customFormat="1">
      <c r="A33" s="16"/>
      <c r="B33" s="14"/>
      <c r="C33" s="14"/>
      <c r="J33" s="16"/>
      <c r="K33" s="264"/>
      <c r="L33" s="264"/>
      <c r="M33" s="264"/>
      <c r="N33" s="264"/>
      <c r="O33" s="264"/>
      <c r="P33" s="264"/>
      <c r="AX33" s="284"/>
      <c r="AY33" s="284"/>
      <c r="AZ33" s="284"/>
      <c r="BA33" s="284"/>
      <c r="BB33" s="284"/>
      <c r="BC33" s="284"/>
      <c r="BD33" s="284"/>
      <c r="BE33" s="284"/>
      <c r="BF33" s="284"/>
    </row>
    <row r="34" spans="1:58" s="15" customFormat="1">
      <c r="A34" s="16"/>
      <c r="B34" s="14"/>
      <c r="C34" s="14"/>
      <c r="J34" s="16"/>
      <c r="K34" s="264"/>
      <c r="L34" s="264"/>
      <c r="M34" s="264"/>
      <c r="N34" s="264"/>
      <c r="O34" s="264"/>
      <c r="P34" s="264"/>
      <c r="AX34" s="284"/>
      <c r="AY34" s="284"/>
      <c r="AZ34" s="284"/>
      <c r="BA34" s="284"/>
      <c r="BB34" s="284"/>
      <c r="BC34" s="284"/>
      <c r="BD34" s="284"/>
      <c r="BE34" s="284"/>
      <c r="BF34" s="284"/>
    </row>
    <row r="35" spans="1:58" s="15" customFormat="1">
      <c r="A35" s="16"/>
      <c r="B35" s="14"/>
      <c r="C35" s="14"/>
      <c r="J35" s="16"/>
      <c r="K35" s="264"/>
      <c r="L35" s="264"/>
      <c r="M35" s="264"/>
      <c r="N35" s="264"/>
      <c r="O35" s="264"/>
      <c r="P35" s="264"/>
      <c r="AX35" s="284"/>
      <c r="AY35" s="284"/>
      <c r="AZ35" s="284"/>
      <c r="BA35" s="284"/>
      <c r="BB35" s="284"/>
      <c r="BC35" s="284"/>
      <c r="BD35" s="284"/>
      <c r="BE35" s="284"/>
      <c r="BF35" s="284"/>
    </row>
    <row r="36" spans="1:58" s="15" customFormat="1">
      <c r="A36" s="16"/>
      <c r="B36" s="14"/>
      <c r="C36" s="14"/>
      <c r="J36" s="16"/>
      <c r="K36" s="264"/>
      <c r="L36" s="264"/>
      <c r="M36" s="264"/>
      <c r="N36" s="264"/>
      <c r="O36" s="264"/>
      <c r="P36" s="264"/>
      <c r="AX36" s="284"/>
      <c r="AY36" s="284"/>
      <c r="AZ36" s="284"/>
      <c r="BA36" s="284"/>
      <c r="BB36" s="284"/>
      <c r="BC36" s="284"/>
      <c r="BD36" s="284"/>
      <c r="BE36" s="284"/>
      <c r="BF36" s="284"/>
    </row>
    <row r="37" spans="1:58" s="15" customFormat="1">
      <c r="A37" s="16"/>
      <c r="B37" s="14"/>
      <c r="C37" s="14"/>
      <c r="J37" s="16"/>
      <c r="K37" s="264"/>
      <c r="L37" s="264"/>
      <c r="M37" s="264"/>
      <c r="N37" s="264"/>
      <c r="O37" s="264"/>
      <c r="P37" s="264"/>
      <c r="AX37" s="284"/>
      <c r="AY37" s="284"/>
      <c r="AZ37" s="284"/>
      <c r="BA37" s="284"/>
      <c r="BB37" s="284"/>
      <c r="BC37" s="284"/>
      <c r="BD37" s="284"/>
      <c r="BE37" s="284"/>
      <c r="BF37" s="284"/>
    </row>
    <row r="38" spans="1:58" s="15" customFormat="1">
      <c r="A38" s="16"/>
      <c r="B38" s="14"/>
      <c r="C38" s="14"/>
      <c r="J38" s="16"/>
      <c r="K38" s="264"/>
      <c r="L38" s="264"/>
      <c r="M38" s="264"/>
      <c r="N38" s="264"/>
      <c r="O38" s="264"/>
      <c r="P38" s="264"/>
      <c r="AX38" s="284"/>
      <c r="AY38" s="284"/>
      <c r="AZ38" s="284"/>
      <c r="BA38" s="284"/>
      <c r="BB38" s="284"/>
      <c r="BC38" s="284"/>
      <c r="BD38" s="284"/>
      <c r="BE38" s="284"/>
      <c r="BF38" s="284"/>
    </row>
    <row r="39" spans="1:58" s="15" customFormat="1">
      <c r="A39" s="16"/>
      <c r="B39" s="14"/>
      <c r="C39" s="14"/>
      <c r="J39" s="16"/>
      <c r="K39" s="264"/>
      <c r="L39" s="264"/>
      <c r="M39" s="264"/>
      <c r="N39" s="264"/>
      <c r="O39" s="264"/>
      <c r="P39" s="264"/>
      <c r="AX39" s="284"/>
      <c r="AY39" s="284"/>
      <c r="AZ39" s="284"/>
      <c r="BA39" s="284"/>
      <c r="BB39" s="284"/>
      <c r="BC39" s="284"/>
      <c r="BD39" s="284"/>
      <c r="BE39" s="284"/>
      <c r="BF39" s="284"/>
    </row>
    <row r="40" spans="1:58" s="15" customFormat="1">
      <c r="A40" s="16"/>
      <c r="B40" s="14"/>
      <c r="C40" s="14"/>
      <c r="J40" s="16"/>
      <c r="K40" s="264"/>
      <c r="L40" s="264"/>
      <c r="M40" s="264"/>
      <c r="N40" s="264"/>
      <c r="O40" s="264"/>
      <c r="P40" s="264"/>
      <c r="AX40" s="284"/>
      <c r="AY40" s="284"/>
      <c r="AZ40" s="284"/>
      <c r="BA40" s="284"/>
      <c r="BB40" s="284"/>
      <c r="BC40" s="284"/>
      <c r="BD40" s="284"/>
      <c r="BE40" s="284"/>
      <c r="BF40" s="284"/>
    </row>
    <row r="41" spans="1:58" s="15" customFormat="1">
      <c r="A41" s="16"/>
      <c r="B41" s="14"/>
      <c r="C41" s="14"/>
      <c r="J41" s="16"/>
      <c r="K41" s="264"/>
      <c r="L41" s="264"/>
      <c r="M41" s="264"/>
      <c r="N41" s="264"/>
      <c r="O41" s="264"/>
      <c r="P41" s="264"/>
      <c r="AX41" s="284"/>
      <c r="AY41" s="284"/>
      <c r="AZ41" s="284"/>
      <c r="BA41" s="284"/>
      <c r="BB41" s="284"/>
      <c r="BC41" s="284"/>
      <c r="BD41" s="284"/>
      <c r="BE41" s="284"/>
      <c r="BF41" s="284"/>
    </row>
    <row r="42" spans="1:58" s="15" customFormat="1">
      <c r="A42" s="16"/>
      <c r="B42" s="14"/>
      <c r="C42" s="14"/>
      <c r="J42" s="16"/>
      <c r="K42" s="264"/>
      <c r="L42" s="264"/>
      <c r="M42" s="264"/>
      <c r="N42" s="264"/>
      <c r="O42" s="264"/>
      <c r="P42" s="264"/>
      <c r="AX42" s="284"/>
      <c r="AY42" s="284"/>
      <c r="AZ42" s="284"/>
      <c r="BA42" s="284"/>
      <c r="BB42" s="284"/>
      <c r="BC42" s="284"/>
      <c r="BD42" s="284"/>
      <c r="BE42" s="284"/>
      <c r="BF42" s="284"/>
    </row>
    <row r="43" spans="1:58" s="15" customFormat="1">
      <c r="A43" s="16"/>
      <c r="B43" s="14"/>
      <c r="C43" s="14"/>
      <c r="J43" s="16"/>
      <c r="K43" s="264"/>
      <c r="L43" s="264"/>
      <c r="M43" s="264"/>
      <c r="N43" s="264"/>
      <c r="O43" s="264"/>
      <c r="P43" s="264"/>
      <c r="AX43" s="284"/>
      <c r="AY43" s="284"/>
      <c r="AZ43" s="284"/>
      <c r="BA43" s="284"/>
      <c r="BB43" s="284"/>
      <c r="BC43" s="284"/>
      <c r="BD43" s="284"/>
      <c r="BE43" s="284"/>
      <c r="BF43" s="284"/>
    </row>
    <row r="44" spans="1:58" s="15" customFormat="1">
      <c r="A44" s="16"/>
      <c r="B44" s="14"/>
      <c r="C44" s="14"/>
      <c r="J44" s="16"/>
      <c r="K44" s="264"/>
      <c r="L44" s="264"/>
      <c r="M44" s="264"/>
      <c r="N44" s="264"/>
      <c r="O44" s="264"/>
      <c r="P44" s="264"/>
      <c r="AX44" s="284"/>
      <c r="AY44" s="284"/>
      <c r="AZ44" s="284"/>
      <c r="BA44" s="284"/>
      <c r="BB44" s="284"/>
      <c r="BC44" s="284"/>
      <c r="BD44" s="284"/>
      <c r="BE44" s="284"/>
      <c r="BF44" s="284"/>
    </row>
    <row r="45" spans="1:58" s="15" customFormat="1">
      <c r="A45" s="16"/>
      <c r="B45" s="14"/>
      <c r="C45" s="14"/>
      <c r="J45" s="16"/>
      <c r="K45" s="264"/>
      <c r="L45" s="264"/>
      <c r="M45" s="264"/>
      <c r="N45" s="264"/>
      <c r="O45" s="264"/>
      <c r="P45" s="264"/>
      <c r="AX45" s="284"/>
      <c r="AY45" s="284"/>
      <c r="AZ45" s="284"/>
      <c r="BA45" s="284"/>
      <c r="BB45" s="284"/>
      <c r="BC45" s="284"/>
      <c r="BD45" s="284"/>
      <c r="BE45" s="284"/>
      <c r="BF45" s="284"/>
    </row>
    <row r="46" spans="1:58" s="15" customFormat="1">
      <c r="A46" s="16"/>
      <c r="B46" s="14"/>
      <c r="C46" s="14"/>
      <c r="J46" s="16"/>
      <c r="K46" s="264"/>
      <c r="L46" s="264"/>
      <c r="M46" s="264"/>
      <c r="N46" s="264"/>
      <c r="O46" s="264"/>
      <c r="P46" s="264"/>
      <c r="AX46" s="284"/>
      <c r="AY46" s="284"/>
      <c r="AZ46" s="284"/>
      <c r="BA46" s="284"/>
      <c r="BB46" s="284"/>
      <c r="BC46" s="284"/>
      <c r="BD46" s="284"/>
      <c r="BE46" s="284"/>
      <c r="BF46" s="284"/>
    </row>
    <row r="47" spans="1:58" s="15" customFormat="1">
      <c r="A47" s="16"/>
      <c r="B47" s="14"/>
      <c r="C47" s="14"/>
      <c r="J47" s="16"/>
      <c r="K47" s="264"/>
      <c r="L47" s="264"/>
      <c r="M47" s="264"/>
      <c r="N47" s="264"/>
      <c r="O47" s="264"/>
      <c r="P47" s="264"/>
      <c r="AX47" s="284"/>
      <c r="AY47" s="284"/>
      <c r="AZ47" s="284"/>
      <c r="BA47" s="284"/>
      <c r="BB47" s="284"/>
      <c r="BC47" s="284"/>
      <c r="BD47" s="284"/>
      <c r="BE47" s="284"/>
      <c r="BF47" s="284"/>
    </row>
    <row r="48" spans="1:58" s="15" customFormat="1">
      <c r="A48" s="16"/>
      <c r="B48" s="14"/>
      <c r="C48" s="14"/>
      <c r="J48" s="16"/>
      <c r="K48" s="264"/>
      <c r="L48" s="264"/>
      <c r="M48" s="264"/>
      <c r="N48" s="264"/>
      <c r="O48" s="264"/>
      <c r="P48" s="264"/>
      <c r="AX48" s="284"/>
      <c r="AY48" s="284"/>
      <c r="AZ48" s="284"/>
      <c r="BA48" s="284"/>
      <c r="BB48" s="284"/>
      <c r="BC48" s="284"/>
      <c r="BD48" s="284"/>
      <c r="BE48" s="284"/>
      <c r="BF48" s="284"/>
    </row>
    <row r="49" spans="1:58" s="15" customFormat="1">
      <c r="A49" s="16"/>
      <c r="B49" s="14"/>
      <c r="C49" s="14"/>
      <c r="J49" s="16"/>
      <c r="K49" s="264"/>
      <c r="L49" s="264"/>
      <c r="M49" s="264"/>
      <c r="N49" s="264"/>
      <c r="O49" s="264"/>
      <c r="P49" s="264"/>
      <c r="AX49" s="284"/>
      <c r="AY49" s="284"/>
      <c r="AZ49" s="284"/>
      <c r="BA49" s="284"/>
      <c r="BB49" s="284"/>
      <c r="BC49" s="284"/>
      <c r="BD49" s="284"/>
      <c r="BE49" s="284"/>
      <c r="BF49" s="284"/>
    </row>
    <row r="50" spans="1:58" s="15" customFormat="1">
      <c r="A50" s="16"/>
      <c r="B50" s="14"/>
      <c r="C50" s="14"/>
      <c r="J50" s="16"/>
      <c r="K50" s="264"/>
      <c r="L50" s="264"/>
      <c r="M50" s="264"/>
      <c r="N50" s="264"/>
      <c r="O50" s="264"/>
      <c r="P50" s="264"/>
      <c r="AX50" s="284"/>
      <c r="AY50" s="284"/>
      <c r="AZ50" s="284"/>
      <c r="BA50" s="284"/>
      <c r="BB50" s="284"/>
      <c r="BC50" s="284"/>
      <c r="BD50" s="284"/>
      <c r="BE50" s="284"/>
      <c r="BF50" s="284"/>
    </row>
    <row r="51" spans="1:58" s="15" customFormat="1">
      <c r="A51" s="16"/>
      <c r="B51" s="14"/>
      <c r="C51" s="14"/>
      <c r="J51" s="16"/>
      <c r="K51" s="264"/>
      <c r="L51" s="264"/>
      <c r="M51" s="264"/>
      <c r="N51" s="264"/>
      <c r="O51" s="264"/>
      <c r="P51" s="264"/>
      <c r="AX51" s="284"/>
      <c r="AY51" s="284"/>
      <c r="AZ51" s="284"/>
      <c r="BA51" s="284"/>
      <c r="BB51" s="284"/>
      <c r="BC51" s="284"/>
      <c r="BD51" s="284"/>
      <c r="BE51" s="284"/>
      <c r="BF51" s="284"/>
    </row>
    <row r="52" spans="1:58" s="15" customFormat="1">
      <c r="A52" s="16"/>
      <c r="B52" s="14"/>
      <c r="C52" s="14"/>
      <c r="J52" s="16"/>
      <c r="K52" s="264"/>
      <c r="L52" s="264"/>
      <c r="M52" s="264"/>
      <c r="N52" s="264"/>
      <c r="O52" s="264"/>
      <c r="P52" s="264"/>
      <c r="AX52" s="284"/>
      <c r="AY52" s="284"/>
      <c r="AZ52" s="284"/>
      <c r="BA52" s="284"/>
      <c r="BB52" s="284"/>
      <c r="BC52" s="284"/>
      <c r="BD52" s="284"/>
      <c r="BE52" s="284"/>
      <c r="BF52" s="284"/>
    </row>
    <row r="53" spans="1:58" s="15" customFormat="1">
      <c r="A53" s="16"/>
      <c r="B53" s="14"/>
      <c r="C53" s="14"/>
      <c r="J53" s="16"/>
      <c r="K53" s="264"/>
      <c r="L53" s="264"/>
      <c r="M53" s="264"/>
      <c r="N53" s="264"/>
      <c r="O53" s="264"/>
      <c r="P53" s="264"/>
      <c r="AX53" s="284"/>
      <c r="AY53" s="284"/>
      <c r="AZ53" s="284"/>
      <c r="BA53" s="284"/>
      <c r="BB53" s="284"/>
      <c r="BC53" s="284"/>
      <c r="BD53" s="284"/>
      <c r="BE53" s="284"/>
      <c r="BF53" s="284"/>
    </row>
    <row r="54" spans="1:58" s="15" customFormat="1">
      <c r="A54" s="16"/>
      <c r="B54" s="14"/>
      <c r="C54" s="14"/>
      <c r="J54" s="16"/>
      <c r="K54" s="264"/>
      <c r="L54" s="264"/>
      <c r="M54" s="264"/>
      <c r="N54" s="264"/>
      <c r="O54" s="264"/>
      <c r="P54" s="264"/>
      <c r="AX54" s="284"/>
      <c r="AY54" s="284"/>
      <c r="AZ54" s="284"/>
      <c r="BA54" s="284"/>
      <c r="BB54" s="284"/>
      <c r="BC54" s="284"/>
      <c r="BD54" s="284"/>
      <c r="BE54" s="284"/>
      <c r="BF54" s="284"/>
    </row>
    <row r="55" spans="1:58" s="15" customFormat="1">
      <c r="A55" s="16"/>
      <c r="B55" s="14"/>
      <c r="C55" s="14"/>
      <c r="J55" s="16"/>
      <c r="K55" s="264"/>
      <c r="L55" s="264"/>
      <c r="M55" s="264"/>
      <c r="N55" s="264"/>
      <c r="O55" s="264"/>
      <c r="P55" s="264"/>
      <c r="AX55" s="284"/>
      <c r="AY55" s="284"/>
      <c r="AZ55" s="284"/>
      <c r="BA55" s="284"/>
      <c r="BB55" s="284"/>
      <c r="BC55" s="284"/>
      <c r="BD55" s="284"/>
      <c r="BE55" s="284"/>
      <c r="BF55" s="284"/>
    </row>
    <row r="56" spans="1:58" s="15" customFormat="1">
      <c r="A56" s="16"/>
      <c r="B56" s="14"/>
      <c r="C56" s="14"/>
      <c r="J56" s="16"/>
      <c r="K56" s="264"/>
      <c r="L56" s="264"/>
      <c r="M56" s="264"/>
      <c r="N56" s="264"/>
      <c r="O56" s="264"/>
      <c r="P56" s="264"/>
      <c r="AX56" s="284"/>
      <c r="AY56" s="284"/>
      <c r="AZ56" s="284"/>
      <c r="BA56" s="284"/>
      <c r="BB56" s="284"/>
      <c r="BC56" s="284"/>
      <c r="BD56" s="284"/>
      <c r="BE56" s="284"/>
      <c r="BF56" s="284"/>
    </row>
    <row r="57" spans="1:58" s="15" customFormat="1">
      <c r="A57" s="16"/>
      <c r="B57" s="14"/>
      <c r="C57" s="14"/>
      <c r="J57" s="16"/>
      <c r="K57" s="264"/>
      <c r="L57" s="264"/>
      <c r="M57" s="264"/>
      <c r="N57" s="264"/>
      <c r="O57" s="264"/>
      <c r="P57" s="264"/>
      <c r="AX57" s="284"/>
      <c r="AY57" s="284"/>
      <c r="AZ57" s="284"/>
      <c r="BA57" s="284"/>
      <c r="BB57" s="284"/>
      <c r="BC57" s="284"/>
      <c r="BD57" s="284"/>
      <c r="BE57" s="284"/>
      <c r="BF57" s="284"/>
    </row>
    <row r="58" spans="1:58" s="15" customFormat="1">
      <c r="A58" s="16"/>
      <c r="B58" s="14"/>
      <c r="C58" s="14"/>
      <c r="J58" s="16"/>
      <c r="K58" s="264"/>
      <c r="L58" s="264"/>
      <c r="M58" s="264"/>
      <c r="N58" s="264"/>
      <c r="O58" s="264"/>
      <c r="P58" s="264"/>
      <c r="AX58" s="284"/>
      <c r="AY58" s="284"/>
      <c r="AZ58" s="284"/>
      <c r="BA58" s="284"/>
      <c r="BB58" s="284"/>
      <c r="BC58" s="284"/>
      <c r="BD58" s="284"/>
      <c r="BE58" s="284"/>
      <c r="BF58" s="284"/>
    </row>
    <row r="59" spans="1:58" s="15" customFormat="1">
      <c r="A59" s="16"/>
      <c r="B59" s="14"/>
      <c r="C59" s="14"/>
      <c r="J59" s="16"/>
      <c r="K59" s="264"/>
      <c r="L59" s="264"/>
      <c r="M59" s="264"/>
      <c r="N59" s="264"/>
      <c r="O59" s="264"/>
      <c r="P59" s="264"/>
      <c r="AX59" s="284"/>
      <c r="AY59" s="284"/>
      <c r="AZ59" s="284"/>
      <c r="BA59" s="284"/>
      <c r="BB59" s="284"/>
      <c r="BC59" s="284"/>
      <c r="BD59" s="284"/>
      <c r="BE59" s="284"/>
      <c r="BF59" s="284"/>
    </row>
    <row r="60" spans="1:58" s="15" customFormat="1">
      <c r="A60" s="16"/>
      <c r="B60" s="14"/>
      <c r="C60" s="14"/>
      <c r="J60" s="16"/>
      <c r="K60" s="264"/>
      <c r="L60" s="264"/>
      <c r="M60" s="264"/>
      <c r="N60" s="264"/>
      <c r="O60" s="264"/>
      <c r="P60" s="264"/>
      <c r="AX60" s="284"/>
      <c r="AY60" s="284"/>
      <c r="AZ60" s="284"/>
      <c r="BA60" s="284"/>
      <c r="BB60" s="284"/>
      <c r="BC60" s="284"/>
      <c r="BD60" s="284"/>
      <c r="BE60" s="284"/>
      <c r="BF60" s="284"/>
    </row>
    <row r="61" spans="1:58" s="15" customFormat="1">
      <c r="A61" s="16"/>
      <c r="B61" s="14"/>
      <c r="C61" s="14"/>
      <c r="J61" s="16"/>
      <c r="K61" s="264"/>
      <c r="L61" s="264"/>
      <c r="M61" s="264"/>
      <c r="N61" s="264"/>
      <c r="O61" s="264"/>
      <c r="P61" s="264"/>
      <c r="AX61" s="284"/>
      <c r="AY61" s="284"/>
      <c r="AZ61" s="284"/>
      <c r="BA61" s="284"/>
      <c r="BB61" s="284"/>
      <c r="BC61" s="284"/>
      <c r="BD61" s="284"/>
      <c r="BE61" s="284"/>
      <c r="BF61" s="284"/>
    </row>
    <row r="62" spans="1:58" s="15" customFormat="1">
      <c r="A62" s="16"/>
      <c r="B62" s="14"/>
      <c r="C62" s="14"/>
      <c r="J62" s="16"/>
      <c r="K62" s="264"/>
      <c r="L62" s="264"/>
      <c r="M62" s="264"/>
      <c r="N62" s="264"/>
      <c r="O62" s="264"/>
      <c r="P62" s="264"/>
      <c r="AX62" s="284"/>
      <c r="AY62" s="284"/>
      <c r="AZ62" s="284"/>
      <c r="BA62" s="284"/>
      <c r="BB62" s="284"/>
      <c r="BC62" s="284"/>
      <c r="BD62" s="284"/>
      <c r="BE62" s="284"/>
      <c r="BF62" s="284"/>
    </row>
    <row r="63" spans="1:58" s="15" customFormat="1">
      <c r="A63" s="16"/>
      <c r="B63" s="14"/>
      <c r="C63" s="14"/>
      <c r="J63" s="16"/>
      <c r="K63" s="264"/>
      <c r="L63" s="264"/>
      <c r="M63" s="264"/>
      <c r="N63" s="264"/>
      <c r="O63" s="264"/>
      <c r="P63" s="264"/>
      <c r="AX63" s="284"/>
      <c r="AY63" s="284"/>
      <c r="AZ63" s="284"/>
      <c r="BA63" s="284"/>
      <c r="BB63" s="284"/>
      <c r="BC63" s="284"/>
      <c r="BD63" s="284"/>
      <c r="BE63" s="284"/>
      <c r="BF63" s="284"/>
    </row>
    <row r="64" spans="1:58" s="15" customFormat="1">
      <c r="A64" s="16"/>
      <c r="B64" s="14"/>
      <c r="C64" s="14"/>
      <c r="J64" s="16"/>
      <c r="K64" s="264"/>
      <c r="L64" s="264"/>
      <c r="M64" s="264"/>
      <c r="N64" s="264"/>
      <c r="O64" s="264"/>
      <c r="P64" s="264"/>
      <c r="AX64" s="284"/>
      <c r="AY64" s="284"/>
      <c r="AZ64" s="284"/>
      <c r="BA64" s="284"/>
      <c r="BB64" s="284"/>
      <c r="BC64" s="284"/>
      <c r="BD64" s="284"/>
      <c r="BE64" s="284"/>
      <c r="BF64" s="284"/>
    </row>
    <row r="65" spans="1:58" s="15" customFormat="1">
      <c r="A65" s="16"/>
      <c r="B65" s="14"/>
      <c r="C65" s="14"/>
      <c r="J65" s="16"/>
      <c r="K65" s="264"/>
      <c r="L65" s="264"/>
      <c r="M65" s="264"/>
      <c r="N65" s="264"/>
      <c r="O65" s="264"/>
      <c r="P65" s="264"/>
      <c r="AX65" s="284"/>
      <c r="AY65" s="284"/>
      <c r="AZ65" s="284"/>
      <c r="BA65" s="284"/>
      <c r="BB65" s="284"/>
      <c r="BC65" s="284"/>
      <c r="BD65" s="284"/>
      <c r="BE65" s="284"/>
      <c r="BF65" s="284"/>
    </row>
    <row r="66" spans="1:58" s="15" customFormat="1">
      <c r="A66" s="16"/>
      <c r="B66" s="14"/>
      <c r="C66" s="14"/>
      <c r="J66" s="16"/>
      <c r="K66" s="264"/>
      <c r="L66" s="264"/>
      <c r="M66" s="264"/>
      <c r="N66" s="264"/>
      <c r="O66" s="264"/>
      <c r="P66" s="264"/>
      <c r="AX66" s="284"/>
      <c r="AY66" s="284"/>
      <c r="AZ66" s="284"/>
      <c r="BA66" s="284"/>
      <c r="BB66" s="284"/>
      <c r="BC66" s="284"/>
      <c r="BD66" s="284"/>
      <c r="BE66" s="284"/>
      <c r="BF66" s="284"/>
    </row>
    <row r="67" spans="1:58" s="15" customFormat="1">
      <c r="A67" s="16"/>
      <c r="B67" s="14"/>
      <c r="C67" s="14"/>
      <c r="J67" s="16"/>
      <c r="K67" s="264"/>
      <c r="L67" s="264"/>
      <c r="M67" s="264"/>
      <c r="N67" s="264"/>
      <c r="O67" s="264"/>
      <c r="P67" s="264"/>
      <c r="AX67" s="284"/>
      <c r="AY67" s="284"/>
      <c r="AZ67" s="284"/>
      <c r="BA67" s="284"/>
      <c r="BB67" s="284"/>
      <c r="BC67" s="284"/>
      <c r="BD67" s="284"/>
      <c r="BE67" s="284"/>
      <c r="BF67" s="284"/>
    </row>
    <row r="68" spans="1:58" s="15" customFormat="1">
      <c r="A68" s="16"/>
      <c r="B68" s="14"/>
      <c r="C68" s="14"/>
      <c r="J68" s="16"/>
      <c r="K68" s="264"/>
      <c r="L68" s="264"/>
      <c r="M68" s="264"/>
      <c r="N68" s="264"/>
      <c r="O68" s="264"/>
      <c r="P68" s="264"/>
      <c r="AX68" s="284"/>
      <c r="AY68" s="284"/>
      <c r="AZ68" s="284"/>
      <c r="BA68" s="284"/>
      <c r="BB68" s="284"/>
      <c r="BC68" s="284"/>
      <c r="BD68" s="284"/>
      <c r="BE68" s="284"/>
      <c r="BF68" s="284"/>
    </row>
    <row r="69" spans="1:58" s="15" customFormat="1">
      <c r="A69" s="16"/>
      <c r="B69" s="14"/>
      <c r="C69" s="14"/>
      <c r="J69" s="16"/>
      <c r="K69" s="264"/>
      <c r="L69" s="264"/>
      <c r="M69" s="264"/>
      <c r="N69" s="264"/>
      <c r="O69" s="264"/>
      <c r="P69" s="264"/>
      <c r="AX69" s="284"/>
      <c r="AY69" s="284"/>
      <c r="AZ69" s="284"/>
      <c r="BA69" s="284"/>
      <c r="BB69" s="284"/>
      <c r="BC69" s="284"/>
      <c r="BD69" s="284"/>
      <c r="BE69" s="284"/>
      <c r="BF69" s="284"/>
    </row>
    <row r="70" spans="1:58" s="15" customFormat="1">
      <c r="A70" s="16"/>
      <c r="B70" s="14"/>
      <c r="C70" s="14"/>
      <c r="J70" s="16"/>
      <c r="K70" s="264"/>
      <c r="L70" s="264"/>
      <c r="M70" s="264"/>
      <c r="N70" s="264"/>
      <c r="O70" s="264"/>
      <c r="P70" s="264"/>
      <c r="AX70" s="284"/>
      <c r="AY70" s="284"/>
      <c r="AZ70" s="284"/>
      <c r="BA70" s="284"/>
      <c r="BB70" s="284"/>
      <c r="BC70" s="284"/>
      <c r="BD70" s="284"/>
      <c r="BE70" s="284"/>
      <c r="BF70" s="284"/>
    </row>
    <row r="71" spans="1:58" s="15" customFormat="1">
      <c r="A71" s="16"/>
      <c r="B71" s="14"/>
      <c r="C71" s="14"/>
      <c r="J71" s="16"/>
      <c r="K71" s="264"/>
      <c r="L71" s="264"/>
      <c r="M71" s="264"/>
      <c r="N71" s="264"/>
      <c r="O71" s="264"/>
      <c r="P71" s="264"/>
      <c r="AX71" s="284"/>
      <c r="AY71" s="284"/>
      <c r="AZ71" s="284"/>
      <c r="BA71" s="284"/>
      <c r="BB71" s="284"/>
      <c r="BC71" s="284"/>
      <c r="BD71" s="284"/>
      <c r="BE71" s="284"/>
      <c r="BF71" s="284"/>
    </row>
    <row r="72" spans="1:58" s="15" customFormat="1">
      <c r="A72" s="16"/>
      <c r="B72" s="14"/>
      <c r="C72" s="14"/>
      <c r="J72" s="16"/>
      <c r="K72" s="264"/>
      <c r="L72" s="264"/>
      <c r="M72" s="264"/>
      <c r="N72" s="264"/>
      <c r="O72" s="264"/>
      <c r="P72" s="264"/>
      <c r="AX72" s="284"/>
      <c r="AY72" s="284"/>
      <c r="AZ72" s="284"/>
      <c r="BA72" s="284"/>
      <c r="BB72" s="284"/>
      <c r="BC72" s="284"/>
      <c r="BD72" s="284"/>
      <c r="BE72" s="284"/>
      <c r="BF72" s="284"/>
    </row>
    <row r="73" spans="1:58" s="15" customFormat="1">
      <c r="A73" s="16"/>
      <c r="B73" s="14"/>
      <c r="C73" s="14"/>
      <c r="J73" s="16"/>
      <c r="K73" s="264"/>
      <c r="L73" s="264"/>
      <c r="M73" s="264"/>
      <c r="N73" s="264"/>
      <c r="O73" s="264"/>
      <c r="P73" s="264"/>
      <c r="AX73" s="284"/>
      <c r="AY73" s="284"/>
      <c r="AZ73" s="284"/>
      <c r="BA73" s="284"/>
      <c r="BB73" s="284"/>
      <c r="BC73" s="284"/>
      <c r="BD73" s="284"/>
      <c r="BE73" s="284"/>
      <c r="BF73" s="284"/>
    </row>
    <row r="74" spans="1:58" s="15" customFormat="1">
      <c r="A74" s="16"/>
      <c r="B74" s="14"/>
      <c r="C74" s="14"/>
      <c r="J74" s="16"/>
      <c r="K74" s="264"/>
      <c r="L74" s="264"/>
      <c r="M74" s="264"/>
      <c r="N74" s="264"/>
      <c r="O74" s="264"/>
      <c r="P74" s="264"/>
      <c r="AX74" s="284"/>
      <c r="AY74" s="284"/>
      <c r="AZ74" s="284"/>
      <c r="BA74" s="284"/>
      <c r="BB74" s="284"/>
      <c r="BC74" s="284"/>
      <c r="BD74" s="284"/>
      <c r="BE74" s="284"/>
      <c r="BF74" s="284"/>
    </row>
    <row r="75" spans="1:58" s="15" customFormat="1">
      <c r="A75" s="16"/>
      <c r="B75" s="14"/>
      <c r="C75" s="14"/>
      <c r="J75" s="16"/>
      <c r="K75" s="264"/>
      <c r="L75" s="264"/>
      <c r="M75" s="264"/>
      <c r="N75" s="264"/>
      <c r="O75" s="264"/>
      <c r="P75" s="264"/>
      <c r="AX75" s="284"/>
      <c r="AY75" s="284"/>
      <c r="AZ75" s="284"/>
      <c r="BA75" s="284"/>
      <c r="BB75" s="284"/>
      <c r="BC75" s="284"/>
      <c r="BD75" s="284"/>
      <c r="BE75" s="284"/>
      <c r="BF75" s="284"/>
    </row>
    <row r="76" spans="1:58" s="15" customFormat="1">
      <c r="A76" s="16"/>
      <c r="B76" s="14"/>
      <c r="C76" s="14"/>
      <c r="J76" s="16"/>
      <c r="K76" s="264"/>
      <c r="L76" s="264"/>
      <c r="M76" s="264"/>
      <c r="N76" s="264"/>
      <c r="O76" s="264"/>
      <c r="P76" s="264"/>
      <c r="AX76" s="284"/>
      <c r="AY76" s="284"/>
      <c r="AZ76" s="284"/>
      <c r="BA76" s="284"/>
      <c r="BB76" s="284"/>
      <c r="BC76" s="284"/>
      <c r="BD76" s="284"/>
      <c r="BE76" s="284"/>
      <c r="BF76" s="284"/>
    </row>
    <row r="77" spans="1:58" s="15" customFormat="1">
      <c r="A77" s="16"/>
      <c r="B77" s="14"/>
      <c r="C77" s="14"/>
      <c r="J77" s="16"/>
      <c r="K77" s="264"/>
      <c r="L77" s="264"/>
      <c r="M77" s="264"/>
      <c r="N77" s="264"/>
      <c r="O77" s="264"/>
      <c r="P77" s="264"/>
      <c r="AX77" s="284"/>
      <c r="AY77" s="284"/>
      <c r="AZ77" s="284"/>
      <c r="BA77" s="284"/>
      <c r="BB77" s="284"/>
      <c r="BC77" s="284"/>
      <c r="BD77" s="284"/>
      <c r="BE77" s="284"/>
      <c r="BF77" s="284"/>
    </row>
    <row r="78" spans="1:58" s="15" customFormat="1">
      <c r="A78" s="16"/>
      <c r="B78" s="14"/>
      <c r="C78" s="14"/>
      <c r="J78" s="16"/>
      <c r="K78" s="264"/>
      <c r="L78" s="264"/>
      <c r="M78" s="264"/>
      <c r="N78" s="264"/>
      <c r="O78" s="264"/>
      <c r="P78" s="264"/>
      <c r="AX78" s="284"/>
      <c r="AY78" s="284"/>
      <c r="AZ78" s="284"/>
      <c r="BA78" s="284"/>
      <c r="BB78" s="284"/>
      <c r="BC78" s="284"/>
      <c r="BD78" s="284"/>
      <c r="BE78" s="284"/>
      <c r="BF78" s="284"/>
    </row>
    <row r="79" spans="1:58" s="15" customFormat="1">
      <c r="A79" s="16"/>
      <c r="B79" s="14"/>
      <c r="C79" s="14"/>
      <c r="J79" s="16"/>
      <c r="K79" s="264"/>
      <c r="L79" s="264"/>
      <c r="M79" s="264"/>
      <c r="N79" s="264"/>
      <c r="O79" s="264"/>
      <c r="P79" s="264"/>
      <c r="AX79" s="284"/>
      <c r="AY79" s="284"/>
      <c r="AZ79" s="284"/>
      <c r="BA79" s="284"/>
      <c r="BB79" s="284"/>
      <c r="BC79" s="284"/>
      <c r="BD79" s="284"/>
      <c r="BE79" s="284"/>
      <c r="BF79" s="284"/>
    </row>
    <row r="80" spans="1:58" s="15" customFormat="1">
      <c r="A80" s="16"/>
      <c r="B80" s="14"/>
      <c r="C80" s="14"/>
      <c r="J80" s="16"/>
      <c r="K80" s="264"/>
      <c r="L80" s="264"/>
      <c r="M80" s="264"/>
      <c r="N80" s="264"/>
      <c r="O80" s="264"/>
      <c r="P80" s="264"/>
      <c r="AX80" s="284"/>
      <c r="AY80" s="284"/>
      <c r="AZ80" s="284"/>
      <c r="BA80" s="284"/>
      <c r="BB80" s="284"/>
      <c r="BC80" s="284"/>
      <c r="BD80" s="284"/>
      <c r="BE80" s="284"/>
      <c r="BF80" s="284"/>
    </row>
    <row r="81" spans="1:58" s="15" customFormat="1">
      <c r="A81" s="16"/>
      <c r="B81" s="14"/>
      <c r="C81" s="14"/>
      <c r="J81" s="16"/>
      <c r="K81" s="264"/>
      <c r="L81" s="264"/>
      <c r="M81" s="264"/>
      <c r="N81" s="264"/>
      <c r="O81" s="264"/>
      <c r="P81" s="264"/>
      <c r="AX81" s="284"/>
      <c r="AY81" s="284"/>
      <c r="AZ81" s="284"/>
      <c r="BA81" s="284"/>
      <c r="BB81" s="284"/>
      <c r="BC81" s="284"/>
      <c r="BD81" s="284"/>
      <c r="BE81" s="284"/>
      <c r="BF81" s="284"/>
    </row>
    <row r="82" spans="1:58" s="15" customFormat="1">
      <c r="A82" s="16"/>
      <c r="B82" s="14"/>
      <c r="C82" s="14"/>
      <c r="J82" s="16"/>
      <c r="K82" s="264"/>
      <c r="L82" s="264"/>
      <c r="M82" s="264"/>
      <c r="N82" s="264"/>
      <c r="O82" s="264"/>
      <c r="P82" s="264"/>
      <c r="AX82" s="284"/>
      <c r="AY82" s="284"/>
      <c r="AZ82" s="284"/>
      <c r="BA82" s="284"/>
      <c r="BB82" s="284"/>
      <c r="BC82" s="284"/>
      <c r="BD82" s="284"/>
      <c r="BE82" s="284"/>
      <c r="BF82" s="284"/>
    </row>
    <row r="83" spans="1:58" s="15" customFormat="1">
      <c r="A83" s="16"/>
      <c r="B83" s="14"/>
      <c r="C83" s="14"/>
      <c r="J83" s="16"/>
      <c r="K83" s="264"/>
      <c r="L83" s="264"/>
      <c r="M83" s="264"/>
      <c r="N83" s="264"/>
      <c r="O83" s="264"/>
      <c r="P83" s="264"/>
      <c r="AX83" s="284"/>
      <c r="AY83" s="284"/>
      <c r="AZ83" s="284"/>
      <c r="BA83" s="284"/>
      <c r="BB83" s="284"/>
      <c r="BC83" s="284"/>
      <c r="BD83" s="284"/>
      <c r="BE83" s="284"/>
      <c r="BF83" s="284"/>
    </row>
    <row r="84" spans="1:58" s="15" customFormat="1">
      <c r="A84" s="16"/>
      <c r="B84" s="14"/>
      <c r="C84" s="14"/>
      <c r="J84" s="16"/>
      <c r="K84" s="264"/>
      <c r="L84" s="264"/>
      <c r="M84" s="264"/>
      <c r="N84" s="264"/>
      <c r="O84" s="264"/>
      <c r="P84" s="264"/>
      <c r="AX84" s="284"/>
      <c r="AY84" s="284"/>
      <c r="AZ84" s="284"/>
      <c r="BA84" s="284"/>
      <c r="BB84" s="284"/>
      <c r="BC84" s="284"/>
      <c r="BD84" s="284"/>
      <c r="BE84" s="284"/>
      <c r="BF84" s="284"/>
    </row>
    <row r="85" spans="1:58" s="15" customFormat="1">
      <c r="A85" s="16"/>
      <c r="B85" s="14"/>
      <c r="C85" s="14"/>
      <c r="J85" s="16"/>
      <c r="K85" s="264"/>
      <c r="L85" s="264"/>
      <c r="M85" s="264"/>
      <c r="N85" s="264"/>
      <c r="O85" s="264"/>
      <c r="P85" s="264"/>
      <c r="AX85" s="284"/>
      <c r="AY85" s="284"/>
      <c r="AZ85" s="284"/>
      <c r="BA85" s="284"/>
      <c r="BB85" s="284"/>
      <c r="BC85" s="284"/>
      <c r="BD85" s="284"/>
      <c r="BE85" s="284"/>
      <c r="BF85" s="284"/>
    </row>
    <row r="86" spans="1:58" s="15" customFormat="1">
      <c r="A86" s="16"/>
      <c r="B86" s="14"/>
      <c r="C86" s="14"/>
      <c r="J86" s="16"/>
      <c r="K86" s="264"/>
      <c r="L86" s="264"/>
      <c r="M86" s="264"/>
      <c r="N86" s="264"/>
      <c r="O86" s="264"/>
      <c r="P86" s="264"/>
      <c r="AX86" s="284"/>
      <c r="AY86" s="284"/>
      <c r="AZ86" s="284"/>
      <c r="BA86" s="284"/>
      <c r="BB86" s="284"/>
      <c r="BC86" s="284"/>
      <c r="BD86" s="284"/>
      <c r="BE86" s="284"/>
      <c r="BF86" s="284"/>
    </row>
    <row r="87" spans="1:58" s="15" customFormat="1">
      <c r="A87" s="16"/>
      <c r="B87" s="14"/>
      <c r="C87" s="14"/>
      <c r="J87" s="16"/>
      <c r="K87" s="264"/>
      <c r="L87" s="264"/>
      <c r="M87" s="264"/>
      <c r="N87" s="264"/>
      <c r="O87" s="264"/>
      <c r="P87" s="264"/>
      <c r="AX87" s="284"/>
      <c r="AY87" s="284"/>
      <c r="AZ87" s="284"/>
      <c r="BA87" s="284"/>
      <c r="BB87" s="284"/>
      <c r="BC87" s="284"/>
      <c r="BD87" s="284"/>
      <c r="BE87" s="284"/>
      <c r="BF87" s="284"/>
    </row>
    <row r="88" spans="1:58" s="15" customFormat="1">
      <c r="A88" s="16"/>
      <c r="B88" s="14"/>
      <c r="C88" s="14"/>
      <c r="J88" s="16"/>
      <c r="K88" s="264"/>
      <c r="L88" s="264"/>
      <c r="M88" s="264"/>
      <c r="N88" s="264"/>
      <c r="O88" s="264"/>
      <c r="P88" s="264"/>
      <c r="AX88" s="284"/>
      <c r="AY88" s="284"/>
      <c r="AZ88" s="284"/>
      <c r="BA88" s="284"/>
      <c r="BB88" s="284"/>
      <c r="BC88" s="284"/>
      <c r="BD88" s="284"/>
      <c r="BE88" s="284"/>
      <c r="BF88" s="284"/>
    </row>
    <row r="89" spans="1:58" s="15" customFormat="1">
      <c r="A89" s="16"/>
      <c r="B89" s="5"/>
      <c r="C89" s="14"/>
      <c r="J89" s="16"/>
      <c r="K89" s="264"/>
      <c r="L89" s="264"/>
      <c r="M89" s="264"/>
      <c r="N89" s="264"/>
      <c r="O89" s="264"/>
      <c r="P89" s="264"/>
      <c r="AX89" s="284"/>
      <c r="AY89" s="284"/>
      <c r="AZ89" s="284"/>
      <c r="BA89" s="284"/>
      <c r="BB89" s="284"/>
      <c r="BC89" s="284"/>
      <c r="BD89" s="284"/>
      <c r="BE89" s="284"/>
      <c r="BF89" s="284"/>
    </row>
  </sheetData>
  <mergeCells count="56">
    <mergeCell ref="B12:B13"/>
    <mergeCell ref="R12:AM12"/>
    <mergeCell ref="R20:AM20"/>
    <mergeCell ref="AN12:AN13"/>
    <mergeCell ref="Q12:Q13"/>
    <mergeCell ref="Q20:Q21"/>
    <mergeCell ref="C12:C13"/>
    <mergeCell ref="J12:J13"/>
    <mergeCell ref="K12:L12"/>
    <mergeCell ref="P12:P13"/>
    <mergeCell ref="B20:B21"/>
    <mergeCell ref="C20:C21"/>
    <mergeCell ref="J20:J21"/>
    <mergeCell ref="K20:L20"/>
    <mergeCell ref="P20:P21"/>
    <mergeCell ref="M12:O12"/>
    <mergeCell ref="BI12:BI13"/>
    <mergeCell ref="BJ12:BJ13"/>
    <mergeCell ref="BI20:BI21"/>
    <mergeCell ref="BJ20:BJ21"/>
    <mergeCell ref="AX20:BF20"/>
    <mergeCell ref="J2:K2"/>
    <mergeCell ref="L2:M2"/>
    <mergeCell ref="N2:O2"/>
    <mergeCell ref="D3:E3"/>
    <mergeCell ref="F3:G3"/>
    <mergeCell ref="H3:I3"/>
    <mergeCell ref="J3:K3"/>
    <mergeCell ref="L3:M3"/>
    <mergeCell ref="N3:O3"/>
    <mergeCell ref="B2:B3"/>
    <mergeCell ref="C2:C3"/>
    <mergeCell ref="D2:E2"/>
    <mergeCell ref="F2:G2"/>
    <mergeCell ref="H2:I2"/>
    <mergeCell ref="M20:O20"/>
    <mergeCell ref="BH12:BH13"/>
    <mergeCell ref="AX12:BF12"/>
    <mergeCell ref="AN20:AN21"/>
    <mergeCell ref="AO20:AW20"/>
    <mergeCell ref="BH20:BH21"/>
    <mergeCell ref="AO12:AW12"/>
    <mergeCell ref="D12:I12"/>
    <mergeCell ref="D13:F13"/>
    <mergeCell ref="G13:I13"/>
    <mergeCell ref="D23:F23"/>
    <mergeCell ref="D24:F24"/>
    <mergeCell ref="G24:I24"/>
    <mergeCell ref="G23:I23"/>
    <mergeCell ref="G15:I15"/>
    <mergeCell ref="G16:I16"/>
    <mergeCell ref="D20:I20"/>
    <mergeCell ref="D21:F21"/>
    <mergeCell ref="G21:I21"/>
    <mergeCell ref="D15:F15"/>
    <mergeCell ref="D16:F16"/>
  </mergeCells>
  <phoneticPr fontId="13" type="noConversion"/>
  <dataValidations count="10">
    <dataValidation type="list" allowBlank="1" showInputMessage="1" showErrorMessage="1" sqref="BG15:BG16 BG23:BG24">
      <formula1>DQ</formula1>
    </dataValidation>
    <dataValidation type="list" allowBlank="1" showInputMessage="1" showErrorMessage="1" sqref="J14:J16 J22:J24">
      <formula1>NK</formula1>
    </dataValidation>
    <dataValidation type="list" allowBlank="1" showInputMessage="1" showErrorMessage="1" sqref="D15:D16">
      <formula1>IPPU_IP</formula1>
    </dataValidation>
    <dataValidation type="list" allowBlank="1" showInputMessage="1" showErrorMessage="1" sqref="D23:D24">
      <formula1>IPPU_PU</formula1>
    </dataValidation>
    <dataValidation type="list" allowBlank="1" showInputMessage="1" showErrorMessage="1" sqref="P15:P16 P23:P24">
      <formula1>Gases</formula1>
    </dataValidation>
    <dataValidation type="list" allowBlank="1" showInputMessage="1" showErrorMessage="1" sqref="BI15:BI16 BI23:BI24">
      <formula1>DataSource</formula1>
    </dataValidation>
    <dataValidation type="list" allowBlank="1" showInputMessage="1" showErrorMessage="1" sqref="AN15:AN16 AN23:AN24">
      <formula1>Tick</formula1>
    </dataValidation>
    <dataValidation type="list" allowBlank="1" showInputMessage="1" showErrorMessage="1" sqref="Q15:Q16 Q23:Q24">
      <formula1>EmissionFactors_F</formula1>
    </dataValidation>
    <dataValidation type="list" allowBlank="1" showInputMessage="1" showErrorMessage="1" sqref="N15:N16 N23:N24">
      <formula1>Conversion_factor_to</formula1>
    </dataValidation>
    <dataValidation type="list" allowBlank="1" showInputMessage="1" showErrorMessage="1" sqref="M15:M16 M23:M24">
      <formula1>Conversion_factor_from</formula1>
    </dataValidation>
  </dataValidations>
  <hyperlinks>
    <hyperlink ref="F2" location="'City information'!A1" display="Set-up"/>
    <hyperlink ref="G2" location="'City information'!A1" display="'City information'!A1"/>
    <hyperlink ref="L2" location="Results!A1" display="Results"/>
    <hyperlink ref="M2" location="Results!A1" display="Results!A1"/>
    <hyperlink ref="J2" location="Calculators!A1" display="Calculators"/>
    <hyperlink ref="K2" location="Calculators!A1" display="Calculators!A1"/>
    <hyperlink ref="N2" location="Analysis!A1" display="Analysis"/>
    <hyperlink ref="O2" location="Analysis!A1" display="Analysis!A1"/>
    <hyperlink ref="H2" location="Inventory!A1" display="Inventory"/>
    <hyperlink ref="I2" location="Inventory!A1" display="Inventory!A1"/>
    <hyperlink ref="D3" location="'I - Stationary'!A1" display="Stationary"/>
    <hyperlink ref="E3" location="'I - Stationary'!A1" display="'I - Stationary'!A1"/>
    <hyperlink ref="F3" location="'II - Transport'!A1" display="Transportation"/>
    <hyperlink ref="G3" location="'II - Transport'!A1" display="'II - Transport'!A1"/>
    <hyperlink ref="H3" location="'III - Waste'!A1" display="Waste"/>
    <hyperlink ref="I3" location="'III - Waste'!A1" display="'III - Waste'!A1"/>
    <hyperlink ref="N3" location="'VI - Other scope 3'!A1" display="Scope 3"/>
    <hyperlink ref="O3" location="'VI - Other scope 3'!A1" display="'VI - Other scope 3'!A1"/>
    <hyperlink ref="L3" location="'V - AFOLU'!A1" display="AFOLU"/>
    <hyperlink ref="M3" location="'V - AFOLU'!A1" display="'V - AFOLU'!A1"/>
    <hyperlink ref="D2" location="Home!A1" display="Introduction"/>
    <hyperlink ref="E2" location="Home!A1" display="Home!A1"/>
  </hyperlinks>
  <printOptions verticalCentered="1"/>
  <pageMargins left="0.15748031496062992" right="0.15748031496062992" top="0.15748031496062992" bottom="0.15748031496062992" header="0.30000000000000004" footer="0.15748031496062992"/>
  <pageSetup paperSize="9" scale="29" orientation="landscape" horizontalDpi="4294967292" verticalDpi="4294967292"/>
  <drawing r:id="rId1"/>
  <extLst>
    <ext xmlns:mx="http://schemas.microsoft.com/office/mac/excel/2008/main" uri="{64002731-A6B0-56B0-2670-7721B7C09600}">
      <mx:PLV Mode="0" OnePage="0" WScale="29"/>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theme="3" tint="0.79998168889431442"/>
    <outlinePr summaryBelow="0" summaryRight="0"/>
    <pageSetUpPr autoPageBreaks="0"/>
  </sheetPr>
  <dimension ref="A1:BR76"/>
  <sheetViews>
    <sheetView showGridLines="0" showRowColHeaders="0" workbookViewId="0">
      <selection activeCell="N3" sqref="N3:O3"/>
    </sheetView>
  </sheetViews>
  <sheetFormatPr baseColWidth="10" defaultColWidth="0" defaultRowHeight="15" x14ac:dyDescent="0"/>
  <cols>
    <col min="1" max="1" width="4.83203125" style="16" customWidth="1"/>
    <col min="2" max="3" width="12.83203125" style="5" customWidth="1"/>
    <col min="4" max="9" width="12.83203125" customWidth="1"/>
    <col min="10" max="15" width="12.83203125" style="6" customWidth="1"/>
    <col min="16" max="16" width="16.33203125" customWidth="1"/>
    <col min="17" max="17" width="24.83203125" style="6" customWidth="1"/>
    <col min="18" max="18" width="12.83203125" style="6" customWidth="1"/>
    <col min="19" max="23" width="12.33203125" style="6" customWidth="1"/>
    <col min="24" max="24" width="24.83203125" style="6" customWidth="1"/>
    <col min="25" max="29" width="12.33203125" style="6" customWidth="1"/>
    <col min="30" max="34" width="12.33203125" style="280" customWidth="1"/>
    <col min="35" max="35" width="12.83203125" customWidth="1"/>
    <col min="36" max="38" width="71.83203125" customWidth="1"/>
    <col min="39" max="39" width="4.83203125" style="15" customWidth="1"/>
    <col min="40" max="69" width="0" style="15" hidden="1" customWidth="1"/>
    <col min="70" max="70" width="0" hidden="1" customWidth="1"/>
    <col min="71" max="16384" width="10.83203125" hidden="1"/>
  </cols>
  <sheetData>
    <row r="1" spans="1:69" s="498" customFormat="1">
      <c r="T1" s="499"/>
      <c r="U1" s="499"/>
      <c r="V1" s="499"/>
      <c r="W1" s="500"/>
      <c r="X1" s="500"/>
      <c r="Y1" s="500"/>
    </row>
    <row r="2" spans="1:69" s="464" customFormat="1" ht="31" customHeight="1">
      <c r="A2" s="494"/>
      <c r="B2" s="1817" t="s">
        <v>1965</v>
      </c>
      <c r="C2" s="1819">
        <v>400</v>
      </c>
      <c r="D2" s="1849" t="s">
        <v>1555</v>
      </c>
      <c r="E2" s="1850"/>
      <c r="F2" s="1849" t="s">
        <v>1563</v>
      </c>
      <c r="G2" s="1850"/>
      <c r="H2" s="1847" t="s">
        <v>794</v>
      </c>
      <c r="I2" s="2103"/>
      <c r="J2" s="1849" t="s">
        <v>1570</v>
      </c>
      <c r="K2" s="1850"/>
      <c r="L2" s="1849" t="s">
        <v>1564</v>
      </c>
      <c r="M2" s="1850"/>
      <c r="N2" s="1849" t="s">
        <v>1602</v>
      </c>
      <c r="O2" s="1850"/>
      <c r="P2" s="494"/>
      <c r="Q2" s="494"/>
      <c r="R2" s="494"/>
      <c r="S2" s="494"/>
      <c r="T2" s="494"/>
      <c r="U2" s="494"/>
      <c r="V2" s="494"/>
      <c r="W2" s="494"/>
      <c r="X2" s="494"/>
      <c r="Y2" s="494"/>
      <c r="Z2" s="494"/>
      <c r="AA2" s="494"/>
      <c r="AB2" s="494"/>
      <c r="AC2" s="494"/>
      <c r="AD2" s="494"/>
      <c r="AE2" s="494"/>
      <c r="AF2" s="494"/>
      <c r="AG2" s="494"/>
      <c r="AH2" s="494"/>
      <c r="AI2" s="494"/>
      <c r="AJ2" s="494"/>
      <c r="AK2" s="494"/>
      <c r="AL2" s="494"/>
      <c r="AM2" s="494"/>
      <c r="AN2" s="494"/>
      <c r="AO2" s="494"/>
      <c r="AP2" s="494"/>
      <c r="AQ2" s="494"/>
      <c r="AR2" s="494"/>
      <c r="AS2" s="494"/>
      <c r="AT2" s="494"/>
      <c r="AU2" s="494"/>
      <c r="AV2" s="494"/>
    </row>
    <row r="3" spans="1:69" s="464" customFormat="1" ht="31" customHeight="1">
      <c r="A3" s="494"/>
      <c r="B3" s="1818"/>
      <c r="C3" s="1820"/>
      <c r="D3" s="1843" t="s">
        <v>270</v>
      </c>
      <c r="E3" s="1844"/>
      <c r="F3" s="1843" t="s">
        <v>760</v>
      </c>
      <c r="G3" s="1844"/>
      <c r="H3" s="1843" t="s">
        <v>761</v>
      </c>
      <c r="I3" s="1844"/>
      <c r="J3" s="1843" t="s">
        <v>208</v>
      </c>
      <c r="K3" s="1844"/>
      <c r="L3" s="1847" t="s">
        <v>209</v>
      </c>
      <c r="M3" s="2103"/>
      <c r="N3" s="1843" t="s">
        <v>3</v>
      </c>
      <c r="O3" s="1844"/>
      <c r="P3" s="494"/>
      <c r="Q3" s="494"/>
      <c r="R3" s="494"/>
      <c r="S3" s="494"/>
      <c r="T3" s="494"/>
      <c r="U3" s="494"/>
      <c r="V3" s="494"/>
      <c r="W3" s="494"/>
      <c r="X3" s="494"/>
      <c r="Y3" s="494"/>
      <c r="Z3" s="494"/>
      <c r="AA3" s="494"/>
      <c r="AB3" s="494"/>
      <c r="AC3" s="494"/>
      <c r="AD3" s="494"/>
      <c r="AE3" s="494"/>
      <c r="AF3" s="494"/>
      <c r="AG3" s="494"/>
      <c r="AH3" s="494"/>
      <c r="AI3" s="494"/>
      <c r="AJ3" s="494"/>
      <c r="AK3" s="494"/>
      <c r="AL3" s="494"/>
      <c r="AM3" s="494"/>
      <c r="AN3" s="494"/>
      <c r="AO3" s="494"/>
      <c r="AP3" s="494"/>
      <c r="AQ3" s="494"/>
      <c r="AR3" s="494"/>
      <c r="AS3" s="494"/>
      <c r="AT3" s="494"/>
      <c r="AU3" s="494"/>
      <c r="AV3" s="494"/>
    </row>
    <row r="4" spans="1:69" s="494" customFormat="1" ht="15" customHeight="1">
      <c r="B4" s="492"/>
      <c r="C4" s="495"/>
      <c r="D4" s="497"/>
      <c r="E4" s="497"/>
      <c r="F4" s="497"/>
      <c r="G4" s="497"/>
      <c r="H4" s="497"/>
      <c r="I4" s="497"/>
      <c r="J4" s="497"/>
      <c r="K4" s="497"/>
      <c r="L4" s="497"/>
      <c r="M4" s="497"/>
      <c r="N4" s="496"/>
      <c r="O4" s="496"/>
      <c r="P4" s="496"/>
      <c r="Q4" s="496"/>
      <c r="R4" s="496"/>
      <c r="S4" s="496"/>
    </row>
    <row r="5" spans="1:69" s="15" customFormat="1" ht="31" customHeight="1">
      <c r="A5" s="16"/>
      <c r="B5" s="16"/>
      <c r="C5" s="16"/>
      <c r="D5" s="16"/>
      <c r="E5" s="16"/>
      <c r="F5" s="16"/>
      <c r="G5" s="16"/>
      <c r="H5" s="16"/>
      <c r="I5" s="16"/>
      <c r="J5" s="16"/>
      <c r="K5" s="16"/>
      <c r="L5" s="16"/>
      <c r="M5" s="16"/>
      <c r="N5" s="16"/>
      <c r="O5" s="16"/>
      <c r="P5" s="16"/>
      <c r="Q5" s="16"/>
      <c r="R5" s="16"/>
      <c r="S5" s="16"/>
      <c r="T5" s="16"/>
      <c r="U5" s="16"/>
      <c r="V5" s="16"/>
      <c r="W5" s="16"/>
      <c r="X5" s="16"/>
      <c r="Y5" s="16"/>
      <c r="Z5" s="16"/>
      <c r="AA5" s="16"/>
      <c r="AB5" s="16"/>
      <c r="AC5" s="16"/>
      <c r="AD5" s="287"/>
      <c r="AE5" s="287"/>
      <c r="AF5" s="287"/>
      <c r="AG5" s="287"/>
      <c r="AH5" s="287"/>
      <c r="AI5" s="916" t="s">
        <v>2541</v>
      </c>
      <c r="AJ5" s="16"/>
      <c r="AK5" s="16"/>
      <c r="AL5" s="16"/>
    </row>
    <row r="6" spans="1:69" s="29" customFormat="1" ht="31" customHeight="1" thickBot="1">
      <c r="A6" s="2684"/>
      <c r="B6" s="491" t="s">
        <v>247</v>
      </c>
      <c r="C6" s="466"/>
      <c r="D6" s="466"/>
      <c r="E6" s="466"/>
      <c r="F6" s="466"/>
      <c r="G6" s="466"/>
      <c r="H6" s="466"/>
      <c r="I6" s="466"/>
      <c r="J6" s="466"/>
      <c r="K6" s="466"/>
      <c r="L6" s="466"/>
      <c r="M6" s="466"/>
      <c r="N6" s="466"/>
      <c r="O6" s="466"/>
      <c r="P6" s="466"/>
      <c r="Q6" s="663"/>
      <c r="R6" s="467"/>
      <c r="S6" s="467"/>
      <c r="T6" s="468"/>
      <c r="U6" s="663"/>
      <c r="V6" s="468"/>
      <c r="W6" s="663"/>
      <c r="X6" s="663"/>
      <c r="Y6" s="468"/>
      <c r="Z6" s="468"/>
      <c r="AA6" s="468"/>
      <c r="AB6" s="663"/>
      <c r="AC6" s="468"/>
      <c r="AD6" s="663"/>
      <c r="AE6" s="468"/>
      <c r="AF6" s="663"/>
      <c r="AG6" s="468"/>
      <c r="AH6" s="468"/>
      <c r="AI6" s="468"/>
      <c r="AJ6" s="468"/>
      <c r="AK6" s="663"/>
      <c r="AL6" s="468"/>
      <c r="AM6" s="468"/>
      <c r="AN6" s="468"/>
      <c r="AO6" s="468"/>
      <c r="AP6" s="468"/>
      <c r="AQ6" s="663"/>
      <c r="AR6" s="468"/>
      <c r="AS6" s="663"/>
      <c r="AT6" s="468"/>
    </row>
    <row r="7" spans="1:69" s="15" customFormat="1" ht="16" thickTop="1">
      <c r="A7" s="16"/>
      <c r="B7" s="14"/>
      <c r="C7" s="14"/>
      <c r="J7" s="16"/>
      <c r="K7" s="242"/>
      <c r="L7" s="242"/>
      <c r="M7" s="242"/>
      <c r="N7" s="242"/>
      <c r="O7" s="242"/>
      <c r="Q7" s="242"/>
      <c r="R7" s="27"/>
      <c r="S7" s="27"/>
      <c r="T7" s="27"/>
      <c r="U7" s="27"/>
      <c r="V7" s="27"/>
      <c r="W7" s="27"/>
      <c r="X7" s="27"/>
      <c r="Y7" s="27"/>
      <c r="Z7" s="27"/>
      <c r="AA7" s="27"/>
      <c r="AB7" s="27"/>
      <c r="AC7" s="27"/>
      <c r="AD7" s="284"/>
      <c r="AE7" s="284"/>
      <c r="AF7" s="284"/>
      <c r="AG7" s="284"/>
      <c r="AH7" s="284"/>
      <c r="AJ7" s="254"/>
      <c r="AK7" s="254"/>
      <c r="AL7" s="258"/>
    </row>
    <row r="8" spans="1:69" s="15" customFormat="1" ht="18">
      <c r="A8" s="16"/>
      <c r="B8" s="1193" t="s">
        <v>979</v>
      </c>
      <c r="C8" s="14"/>
      <c r="J8" s="16"/>
      <c r="K8" s="635"/>
      <c r="L8" s="635"/>
      <c r="M8" s="635"/>
      <c r="N8" s="635"/>
      <c r="O8" s="635"/>
      <c r="AE8" s="284"/>
      <c r="AF8" s="284"/>
      <c r="AG8" s="284"/>
      <c r="AH8" s="284"/>
      <c r="AJ8" s="254"/>
      <c r="AK8" s="28"/>
      <c r="AL8" s="28"/>
      <c r="AM8" s="28"/>
    </row>
    <row r="9" spans="1:69" s="15" customFormat="1">
      <c r="A9" s="16"/>
      <c r="B9" s="14"/>
      <c r="C9" s="14"/>
      <c r="J9" s="16"/>
      <c r="K9" s="635"/>
      <c r="L9" s="635"/>
      <c r="M9" s="635"/>
      <c r="N9" s="635"/>
      <c r="O9" s="635"/>
      <c r="AE9" s="284"/>
      <c r="AF9" s="284"/>
      <c r="AG9" s="284"/>
      <c r="AH9" s="284"/>
      <c r="AJ9" s="254"/>
      <c r="AK9" s="28"/>
      <c r="AL9" s="28"/>
      <c r="AM9" s="28"/>
    </row>
    <row r="10" spans="1:69" s="21" customFormat="1" ht="18">
      <c r="B10" s="465" t="s">
        <v>248</v>
      </c>
      <c r="C10" s="635"/>
      <c r="D10" s="18"/>
      <c r="E10" s="18"/>
      <c r="F10" s="18"/>
      <c r="G10" s="18"/>
      <c r="H10" s="18"/>
      <c r="I10" s="18"/>
      <c r="J10" s="18"/>
      <c r="K10" s="18"/>
      <c r="L10" s="18"/>
      <c r="M10" s="18"/>
      <c r="N10" s="19"/>
      <c r="O10" s="635"/>
      <c r="P10" s="635"/>
      <c r="Q10" s="635"/>
      <c r="R10" s="635"/>
      <c r="S10" s="635"/>
      <c r="T10" s="635"/>
      <c r="U10" s="27"/>
      <c r="V10" s="27"/>
      <c r="W10" s="27"/>
      <c r="X10" s="27"/>
      <c r="Y10" s="27"/>
      <c r="Z10" s="27"/>
      <c r="AA10" s="27"/>
      <c r="AB10" s="27"/>
      <c r="AC10" s="27"/>
      <c r="AD10" s="27"/>
      <c r="AE10" s="27"/>
      <c r="AF10" s="27"/>
      <c r="AG10" s="27"/>
      <c r="AH10" s="27"/>
      <c r="AI10" s="27"/>
      <c r="AJ10" s="274"/>
      <c r="AK10" s="28"/>
      <c r="AL10" s="28"/>
      <c r="AM10" s="28"/>
      <c r="AN10" s="19"/>
      <c r="AO10" s="19"/>
      <c r="AP10" s="254"/>
      <c r="AQ10" s="254"/>
      <c r="AR10" s="254"/>
    </row>
    <row r="11" spans="1:69" s="15" customFormat="1">
      <c r="A11" s="16"/>
      <c r="B11" s="14"/>
      <c r="C11" s="14"/>
      <c r="J11" s="16"/>
      <c r="K11" s="18"/>
      <c r="L11" s="18"/>
      <c r="M11" s="18"/>
      <c r="N11" s="18"/>
      <c r="O11" s="18"/>
      <c r="Q11" s="18"/>
      <c r="R11" s="18"/>
      <c r="S11" s="18"/>
      <c r="T11" s="18"/>
      <c r="U11" s="18"/>
      <c r="V11" s="18"/>
      <c r="W11" s="18"/>
      <c r="X11" s="18"/>
      <c r="Y11" s="18"/>
      <c r="Z11" s="18"/>
      <c r="AA11" s="18"/>
      <c r="AB11" s="18"/>
      <c r="AC11" s="18"/>
      <c r="AD11" s="284"/>
      <c r="AE11" s="284"/>
      <c r="AF11" s="284"/>
      <c r="AG11" s="284"/>
      <c r="AH11" s="284"/>
      <c r="AJ11" s="254"/>
      <c r="AK11" s="254"/>
      <c r="AL11" s="20"/>
    </row>
    <row r="12" spans="1:69" s="5" customFormat="1" ht="16" customHeight="1">
      <c r="A12" s="39"/>
      <c r="B12" s="2065" t="s">
        <v>37</v>
      </c>
      <c r="C12" s="2065" t="s">
        <v>38</v>
      </c>
      <c r="D12" s="2095" t="s">
        <v>242</v>
      </c>
      <c r="E12" s="2106"/>
      <c r="F12" s="2106"/>
      <c r="G12" s="2106"/>
      <c r="H12" s="2106"/>
      <c r="I12" s="2096"/>
      <c r="J12" s="2066" t="s">
        <v>297</v>
      </c>
      <c r="K12" s="2095" t="s">
        <v>169</v>
      </c>
      <c r="L12" s="2096"/>
      <c r="M12" s="2098" t="s">
        <v>841</v>
      </c>
      <c r="N12" s="2099"/>
      <c r="O12" s="2100"/>
      <c r="P12" s="2066" t="s">
        <v>302</v>
      </c>
      <c r="Q12" s="2087" t="s">
        <v>782</v>
      </c>
      <c r="R12" s="2063" t="s">
        <v>782</v>
      </c>
      <c r="S12" s="2063"/>
      <c r="T12" s="2063"/>
      <c r="U12" s="2063"/>
      <c r="V12" s="2063"/>
      <c r="W12" s="2064"/>
      <c r="X12" s="2093" t="s">
        <v>928</v>
      </c>
      <c r="Y12" s="2083" t="s">
        <v>934</v>
      </c>
      <c r="Z12" s="2083"/>
      <c r="AA12" s="2083"/>
      <c r="AB12" s="2083"/>
      <c r="AC12" s="2083"/>
      <c r="AD12" s="2097" t="s">
        <v>289</v>
      </c>
      <c r="AE12" s="2097"/>
      <c r="AF12" s="2097"/>
      <c r="AG12" s="2097"/>
      <c r="AH12" s="2097"/>
      <c r="AI12" s="895" t="s">
        <v>41</v>
      </c>
      <c r="AJ12" s="2075" t="s">
        <v>937</v>
      </c>
      <c r="AK12" s="2093" t="s">
        <v>723</v>
      </c>
      <c r="AL12" s="2087" t="s">
        <v>826</v>
      </c>
      <c r="AM12" s="14"/>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c r="BM12" s="14"/>
      <c r="BN12" s="14"/>
      <c r="BO12" s="14"/>
      <c r="BP12" s="14"/>
      <c r="BQ12" s="14"/>
    </row>
    <row r="13" spans="1:69" s="5" customFormat="1" ht="17">
      <c r="A13" s="39"/>
      <c r="B13" s="2065"/>
      <c r="C13" s="2065"/>
      <c r="D13" s="2095" t="s">
        <v>243</v>
      </c>
      <c r="E13" s="2106"/>
      <c r="F13" s="2096"/>
      <c r="G13" s="2095" t="s">
        <v>241</v>
      </c>
      <c r="H13" s="2106"/>
      <c r="I13" s="2096"/>
      <c r="J13" s="2065"/>
      <c r="K13" s="636" t="s">
        <v>170</v>
      </c>
      <c r="L13" s="636" t="s">
        <v>171</v>
      </c>
      <c r="M13" s="659" t="s">
        <v>813</v>
      </c>
      <c r="N13" s="659" t="s">
        <v>814</v>
      </c>
      <c r="O13" s="659" t="s">
        <v>927</v>
      </c>
      <c r="P13" s="2065"/>
      <c r="Q13" s="2088"/>
      <c r="R13" s="660" t="s">
        <v>171</v>
      </c>
      <c r="S13" s="661" t="s">
        <v>929</v>
      </c>
      <c r="T13" s="661" t="s">
        <v>930</v>
      </c>
      <c r="U13" s="661" t="s">
        <v>931</v>
      </c>
      <c r="V13" s="661" t="s">
        <v>932</v>
      </c>
      <c r="W13" s="661" t="s">
        <v>933</v>
      </c>
      <c r="X13" s="2094"/>
      <c r="Y13" s="661" t="s">
        <v>929</v>
      </c>
      <c r="Z13" s="661" t="s">
        <v>930</v>
      </c>
      <c r="AA13" s="661" t="s">
        <v>931</v>
      </c>
      <c r="AB13" s="661" t="s">
        <v>932</v>
      </c>
      <c r="AC13" s="661" t="s">
        <v>933</v>
      </c>
      <c r="AD13" s="662" t="s">
        <v>290</v>
      </c>
      <c r="AE13" s="662" t="s">
        <v>291</v>
      </c>
      <c r="AF13" s="662" t="s">
        <v>292</v>
      </c>
      <c r="AG13" s="662" t="s">
        <v>293</v>
      </c>
      <c r="AH13" s="662" t="s">
        <v>294</v>
      </c>
      <c r="AI13" s="636" t="s">
        <v>44</v>
      </c>
      <c r="AJ13" s="2075"/>
      <c r="AK13" s="2094"/>
      <c r="AL13" s="2088"/>
      <c r="AM13" s="14"/>
      <c r="AN13" s="14"/>
      <c r="AO13" s="14"/>
      <c r="AP13" s="14"/>
      <c r="AQ13" s="14"/>
      <c r="AR13" s="14"/>
      <c r="AS13" s="14"/>
      <c r="AT13" s="14"/>
      <c r="AU13" s="14"/>
      <c r="AV13" s="14"/>
      <c r="AW13" s="14"/>
      <c r="AX13" s="14"/>
      <c r="AY13" s="14"/>
      <c r="AZ13" s="14"/>
      <c r="BA13" s="14"/>
      <c r="BB13" s="14"/>
      <c r="BC13" s="14"/>
      <c r="BD13" s="14"/>
      <c r="BE13" s="14"/>
      <c r="BF13" s="14"/>
      <c r="BG13" s="14"/>
      <c r="BH13" s="14"/>
      <c r="BI13" s="14"/>
      <c r="BJ13" s="14"/>
      <c r="BK13" s="14"/>
      <c r="BL13" s="14"/>
      <c r="BM13" s="14"/>
      <c r="BN13" s="14"/>
      <c r="BO13" s="14"/>
      <c r="BP13" s="14"/>
      <c r="BQ13" s="14"/>
    </row>
    <row r="14" spans="1:69">
      <c r="B14" s="113" t="s">
        <v>156</v>
      </c>
      <c r="C14" s="749">
        <v>1</v>
      </c>
      <c r="D14" s="153" t="s">
        <v>157</v>
      </c>
      <c r="E14" s="750"/>
      <c r="F14" s="750"/>
      <c r="G14" s="155"/>
      <c r="H14" s="155"/>
      <c r="I14" s="154"/>
      <c r="J14" s="120"/>
      <c r="K14" s="118"/>
      <c r="L14" s="120"/>
      <c r="M14" s="120"/>
      <c r="N14" s="120"/>
      <c r="O14" s="120"/>
      <c r="P14" s="119"/>
      <c r="Q14" s="120"/>
      <c r="R14" s="120"/>
      <c r="S14" s="120"/>
      <c r="T14" s="120"/>
      <c r="U14" s="120"/>
      <c r="V14" s="120"/>
      <c r="W14" s="120"/>
      <c r="X14" s="120"/>
      <c r="Y14" s="120"/>
      <c r="Z14" s="120"/>
      <c r="AA14" s="120"/>
      <c r="AB14" s="120"/>
      <c r="AC14" s="120"/>
      <c r="AD14" s="286"/>
      <c r="AE14" s="286"/>
      <c r="AF14" s="286"/>
      <c r="AG14" s="286"/>
      <c r="AH14" s="286"/>
      <c r="AI14" s="155"/>
      <c r="AJ14" s="755"/>
      <c r="AK14" s="119"/>
      <c r="AL14" s="756"/>
    </row>
    <row r="15" spans="1:69" s="15" customFormat="1">
      <c r="A15" s="16"/>
      <c r="B15" s="56" t="s">
        <v>156</v>
      </c>
      <c r="C15" s="56">
        <v>1</v>
      </c>
      <c r="D15" s="2079" t="s">
        <v>572</v>
      </c>
      <c r="E15" s="2080"/>
      <c r="F15" s="2081"/>
      <c r="G15" s="2072"/>
      <c r="H15" s="2073"/>
      <c r="I15" s="2074"/>
      <c r="J15" s="56"/>
      <c r="K15" s="57"/>
      <c r="L15" s="58"/>
      <c r="M15" s="58"/>
      <c r="N15" s="58"/>
      <c r="O15" s="221" t="str">
        <f t="array" ref="O15">IFERROR(INDEX('Conversion factors_2'!$B$10:$CY$111,MATCH(M15,'Conversion factors_2'!$B$10:$B$111,FALSE),HLOOKUP(N15,'Conversion factors_2'!$B$8:$CY$9,2,FALSE)),"")</f>
        <v/>
      </c>
      <c r="P15" s="58"/>
      <c r="Q15" s="58"/>
      <c r="R15" s="221" t="str">
        <f>IFERROR(CONCATENATE("tCO2e/",VLOOKUP($Q15,'Emission factors'!$D:$J,7,FALSE)),"")</f>
        <v/>
      </c>
      <c r="S15" s="221" t="str">
        <f>IFERROR(VLOOKUP($Q15,'Emission factors'!$D:$X,10,FALSE),"")</f>
        <v/>
      </c>
      <c r="T15" s="221" t="str">
        <f>IFERROR(VLOOKUP($Q15,'Emission factors'!$D:$X,12,FALSE),"")</f>
        <v/>
      </c>
      <c r="U15" s="221" t="str">
        <f>IFERROR(VLOOKUP($Q15,'Emission factors'!$D:$X,14,FALSE),"")</f>
        <v/>
      </c>
      <c r="V15" s="221" t="str">
        <f>IFERROR(VLOOKUP($Q15,'Emission factors'!$D:$X,16,FALSE),"")</f>
        <v/>
      </c>
      <c r="W15" s="221" t="str">
        <f>IFERROR(VLOOKUP($Q15,'Emission factors'!$D:$X,18,FALSE),"")</f>
        <v/>
      </c>
      <c r="X15" s="58" t="s">
        <v>982</v>
      </c>
      <c r="Y15" s="58">
        <v>150000</v>
      </c>
      <c r="Z15" s="58"/>
      <c r="AA15" s="58"/>
      <c r="AB15" s="58"/>
      <c r="AC15" s="58"/>
      <c r="AD15" s="275">
        <f t="shared" ref="AD15:AF16" si="0">IFERROR(IF(AND($Q15="",$X15=""),"",IF($Q15="",IF(Y15=0,"-",Y15),IF(S15=0,"0",$K15*IF($O15="",1,$O15)*S15))),"-")</f>
        <v>150000</v>
      </c>
      <c r="AE15" s="275" t="str">
        <f t="shared" si="0"/>
        <v>-</v>
      </c>
      <c r="AF15" s="275" t="str">
        <f t="shared" si="0"/>
        <v>-</v>
      </c>
      <c r="AG15" s="275">
        <f>IFERROR(IF(AND($Q15="",$X15=""),"",IF($Q15="",IF(AB15="",SUM(Y15:AA15),IF(AB15=0,"0",AB15)),IF($V15="",SUM($AD15:$AF15),IF($V15=0,"0",$K15*IF($O15="",1,$O15)*$V15)))),"-")</f>
        <v>150000</v>
      </c>
      <c r="AH15" s="275" t="str">
        <f>IFERROR(IF(AND($Q15="",$X15=""),"",IF($Q15="",IF(AC15=0,"-",AC15),IF(W15=0,"0",$K15*IF($O15="",1,$O15)*W15))),"-")</f>
        <v>-</v>
      </c>
      <c r="AI15" s="58" t="s">
        <v>179</v>
      </c>
      <c r="AJ15" s="225" t="s">
        <v>2708</v>
      </c>
      <c r="AK15" s="473"/>
      <c r="AL15" s="268"/>
    </row>
    <row r="16" spans="1:69" s="15" customFormat="1" ht="15" customHeight="1">
      <c r="A16" s="16"/>
      <c r="B16" s="56" t="s">
        <v>156</v>
      </c>
      <c r="C16" s="56">
        <v>1</v>
      </c>
      <c r="D16" s="2060"/>
      <c r="E16" s="2061"/>
      <c r="F16" s="2062"/>
      <c r="G16" s="2069"/>
      <c r="H16" s="2070"/>
      <c r="I16" s="2071"/>
      <c r="J16" s="56"/>
      <c r="K16" s="57"/>
      <c r="L16" s="58"/>
      <c r="M16" s="58"/>
      <c r="N16" s="58"/>
      <c r="O16" s="221" t="str">
        <f t="array" ref="O16">IFERROR(INDEX('Conversion factors_2'!$B$10:$CY$111,MATCH(M16,'Conversion factors_2'!$B$10:$B$111,FALSE),HLOOKUP(N16,'Conversion factors_2'!$B$8:$CY$9,2,FALSE)),"")</f>
        <v/>
      </c>
      <c r="P16" s="58"/>
      <c r="Q16" s="58"/>
      <c r="R16" s="221" t="str">
        <f>IFERROR(CONCATENATE("tCO2e/",VLOOKUP($Q16,'Emission factors'!$D:$J,7,FALSE)),"")</f>
        <v/>
      </c>
      <c r="S16" s="221" t="str">
        <f>IFERROR(VLOOKUP($Q16,'Emission factors'!$D:$X,10,FALSE),"")</f>
        <v/>
      </c>
      <c r="T16" s="221" t="str">
        <f>IFERROR(VLOOKUP($Q16,'Emission factors'!$D:$X,12,FALSE),"")</f>
        <v/>
      </c>
      <c r="U16" s="221" t="str">
        <f>IFERROR(VLOOKUP($Q16,'Emission factors'!$D:$X,14,FALSE),"")</f>
        <v/>
      </c>
      <c r="V16" s="221" t="str">
        <f>IFERROR(VLOOKUP($Q16,'Emission factors'!$D:$X,16,FALSE),"")</f>
        <v/>
      </c>
      <c r="W16" s="221" t="str">
        <f>IFERROR(VLOOKUP($Q16,'Emission factors'!$D:$X,18,FALSE),"")</f>
        <v/>
      </c>
      <c r="X16" s="56"/>
      <c r="Y16" s="58"/>
      <c r="Z16" s="58"/>
      <c r="AA16" s="58"/>
      <c r="AB16" s="58"/>
      <c r="AC16" s="58"/>
      <c r="AD16" s="472" t="str">
        <f t="shared" si="0"/>
        <v/>
      </c>
      <c r="AE16" s="472" t="str">
        <f t="shared" si="0"/>
        <v/>
      </c>
      <c r="AF16" s="472" t="str">
        <f t="shared" si="0"/>
        <v/>
      </c>
      <c r="AG16" s="472" t="str">
        <f>IFERROR(IF(AND($Q16="",$X16=""),"",IF($Q16="",IF(AB16="",SUM(Y16:AA16),IF(AB16=0,"0",AB16)),IF($V16="",SUM($AD16:$AF16),IF($V16=0,"0",$K16*IF($O16="",1,$O16)*$V16)))),"-")</f>
        <v/>
      </c>
      <c r="AH16" s="472" t="str">
        <f>IFERROR(IF(AND($Q16="",$X16=""),"",IF($Q16="",IF(AC16=0,"-",AC16),IF(W16=0,"0",$K16*IF($O16="",1,$O16)*W16))),"-")</f>
        <v/>
      </c>
      <c r="AI16" s="58"/>
      <c r="AJ16" s="753"/>
      <c r="AK16" s="473"/>
      <c r="AL16" s="268"/>
    </row>
    <row r="17" spans="1:69" s="22" customFormat="1">
      <c r="A17" s="27"/>
      <c r="B17" s="7"/>
      <c r="C17" s="7"/>
      <c r="D17" s="13"/>
      <c r="E17" s="13"/>
      <c r="F17" s="13"/>
      <c r="G17" s="9"/>
      <c r="H17" s="9"/>
      <c r="I17" s="9"/>
      <c r="J17" s="7"/>
      <c r="K17" s="7"/>
      <c r="L17" s="7"/>
      <c r="M17" s="7"/>
      <c r="N17" s="7"/>
      <c r="O17" s="7"/>
      <c r="P17" s="8"/>
      <c r="Q17" s="7"/>
      <c r="R17" s="7"/>
      <c r="S17" s="7"/>
      <c r="T17" s="7"/>
      <c r="U17" s="7"/>
      <c r="V17" s="7"/>
      <c r="W17" s="7"/>
      <c r="X17" s="7"/>
      <c r="Y17" s="7"/>
      <c r="Z17" s="7"/>
      <c r="AA17" s="7"/>
      <c r="AB17" s="7"/>
      <c r="AC17" s="7"/>
      <c r="AD17" s="273"/>
      <c r="AE17" s="273"/>
      <c r="AF17" s="273"/>
      <c r="AG17" s="273"/>
      <c r="AH17" s="273"/>
    </row>
    <row r="18" spans="1:69" s="21" customFormat="1" ht="18">
      <c r="B18" s="465" t="s">
        <v>249</v>
      </c>
      <c r="C18" s="635"/>
      <c r="D18" s="18"/>
      <c r="E18" s="18"/>
      <c r="F18" s="18"/>
      <c r="G18" s="18"/>
      <c r="H18" s="18"/>
      <c r="I18" s="18"/>
      <c r="J18" s="18"/>
      <c r="K18" s="18"/>
      <c r="L18" s="18"/>
      <c r="M18" s="18"/>
      <c r="N18" s="19"/>
      <c r="O18" s="635"/>
      <c r="P18" s="635"/>
      <c r="Q18" s="635"/>
      <c r="R18" s="635"/>
      <c r="S18" s="635"/>
      <c r="T18" s="635"/>
      <c r="U18" s="27"/>
      <c r="V18" s="27"/>
      <c r="W18" s="27"/>
      <c r="X18" s="27"/>
      <c r="Y18" s="27"/>
      <c r="Z18" s="27"/>
      <c r="AA18" s="27"/>
      <c r="AB18" s="27"/>
      <c r="AC18" s="27"/>
      <c r="AD18" s="27"/>
      <c r="AE18" s="27"/>
      <c r="AF18" s="27"/>
      <c r="AG18" s="27"/>
      <c r="AH18" s="27"/>
      <c r="AI18" s="27"/>
      <c r="AJ18" s="274"/>
      <c r="AK18" s="28"/>
      <c r="AL18" s="28"/>
      <c r="AM18" s="28"/>
      <c r="AN18" s="19"/>
      <c r="AO18" s="19"/>
      <c r="AP18" s="254"/>
      <c r="AQ18" s="254"/>
      <c r="AR18" s="254"/>
    </row>
    <row r="19" spans="1:69" s="22" customFormat="1">
      <c r="A19" s="27"/>
      <c r="B19" s="7"/>
      <c r="C19" s="7"/>
      <c r="D19" s="13"/>
      <c r="E19" s="13"/>
      <c r="F19" s="13"/>
      <c r="G19" s="9"/>
      <c r="H19" s="9"/>
      <c r="I19" s="9"/>
      <c r="J19" s="7"/>
      <c r="K19" s="7"/>
      <c r="L19" s="7"/>
      <c r="M19" s="7"/>
      <c r="N19" s="7"/>
      <c r="O19" s="7"/>
      <c r="P19" s="8"/>
      <c r="Q19" s="7"/>
      <c r="R19" s="7"/>
      <c r="S19" s="7"/>
      <c r="T19" s="7"/>
      <c r="U19" s="7"/>
      <c r="V19" s="7"/>
      <c r="W19" s="7"/>
      <c r="X19" s="7"/>
      <c r="Y19" s="7"/>
      <c r="Z19" s="7"/>
      <c r="AA19" s="7"/>
      <c r="AB19" s="7"/>
      <c r="AC19" s="7"/>
      <c r="AD19" s="273"/>
      <c r="AE19" s="273"/>
      <c r="AF19" s="273"/>
      <c r="AG19" s="273"/>
      <c r="AH19" s="273"/>
    </row>
    <row r="20" spans="1:69" s="5" customFormat="1" ht="16" customHeight="1">
      <c r="A20" s="39"/>
      <c r="B20" s="2065" t="s">
        <v>37</v>
      </c>
      <c r="C20" s="2065" t="s">
        <v>38</v>
      </c>
      <c r="D20" s="2095" t="s">
        <v>242</v>
      </c>
      <c r="E20" s="2106"/>
      <c r="F20" s="2106"/>
      <c r="G20" s="2106"/>
      <c r="H20" s="2106"/>
      <c r="I20" s="2096"/>
      <c r="J20" s="2066" t="s">
        <v>297</v>
      </c>
      <c r="K20" s="2095" t="s">
        <v>169</v>
      </c>
      <c r="L20" s="2096"/>
      <c r="M20" s="2098" t="s">
        <v>841</v>
      </c>
      <c r="N20" s="2099"/>
      <c r="O20" s="2100"/>
      <c r="P20" s="2066" t="s">
        <v>302</v>
      </c>
      <c r="Q20" s="2087" t="s">
        <v>782</v>
      </c>
      <c r="R20" s="2063" t="s">
        <v>782</v>
      </c>
      <c r="S20" s="2063"/>
      <c r="T20" s="2063"/>
      <c r="U20" s="2063"/>
      <c r="V20" s="2063"/>
      <c r="W20" s="2064"/>
      <c r="X20" s="2093" t="s">
        <v>928</v>
      </c>
      <c r="Y20" s="2083" t="s">
        <v>934</v>
      </c>
      <c r="Z20" s="2083"/>
      <c r="AA20" s="2083"/>
      <c r="AB20" s="2083"/>
      <c r="AC20" s="2083"/>
      <c r="AD20" s="2097" t="s">
        <v>289</v>
      </c>
      <c r="AE20" s="2097"/>
      <c r="AF20" s="2097"/>
      <c r="AG20" s="2097"/>
      <c r="AH20" s="2097"/>
      <c r="AI20" s="895" t="s">
        <v>41</v>
      </c>
      <c r="AJ20" s="2075" t="s">
        <v>937</v>
      </c>
      <c r="AK20" s="2093" t="s">
        <v>723</v>
      </c>
      <c r="AL20" s="2087" t="s">
        <v>826</v>
      </c>
      <c r="AM20" s="14"/>
      <c r="AN20" s="14"/>
      <c r="AO20" s="14"/>
      <c r="AP20" s="14"/>
      <c r="AQ20" s="14"/>
      <c r="AR20" s="14"/>
      <c r="AS20" s="14"/>
      <c r="AT20" s="14"/>
      <c r="AU20" s="14"/>
      <c r="AV20" s="14"/>
      <c r="AW20" s="14"/>
      <c r="AX20" s="14"/>
      <c r="AY20" s="14"/>
      <c r="AZ20" s="14"/>
      <c r="BA20" s="14"/>
      <c r="BB20" s="14"/>
      <c r="BC20" s="14"/>
      <c r="BD20" s="14"/>
      <c r="BE20" s="14"/>
      <c r="BF20" s="14"/>
      <c r="BG20" s="14"/>
      <c r="BH20" s="14"/>
      <c r="BI20" s="14"/>
      <c r="BJ20" s="14"/>
      <c r="BK20" s="14"/>
      <c r="BL20" s="14"/>
      <c r="BM20" s="14"/>
      <c r="BN20" s="14"/>
      <c r="BO20" s="14"/>
      <c r="BP20" s="14"/>
      <c r="BQ20" s="14"/>
    </row>
    <row r="21" spans="1:69" s="5" customFormat="1" ht="17">
      <c r="A21" s="39"/>
      <c r="B21" s="2065"/>
      <c r="C21" s="2065"/>
      <c r="D21" s="2095" t="s">
        <v>243</v>
      </c>
      <c r="E21" s="2106"/>
      <c r="F21" s="2096"/>
      <c r="G21" s="2095" t="s">
        <v>241</v>
      </c>
      <c r="H21" s="2106"/>
      <c r="I21" s="2096"/>
      <c r="J21" s="2065"/>
      <c r="K21" s="636" t="s">
        <v>170</v>
      </c>
      <c r="L21" s="636" t="s">
        <v>171</v>
      </c>
      <c r="M21" s="659" t="s">
        <v>813</v>
      </c>
      <c r="N21" s="659" t="s">
        <v>814</v>
      </c>
      <c r="O21" s="659" t="s">
        <v>927</v>
      </c>
      <c r="P21" s="2065"/>
      <c r="Q21" s="2088"/>
      <c r="R21" s="660" t="s">
        <v>171</v>
      </c>
      <c r="S21" s="661" t="s">
        <v>929</v>
      </c>
      <c r="T21" s="661" t="s">
        <v>930</v>
      </c>
      <c r="U21" s="661" t="s">
        <v>931</v>
      </c>
      <c r="V21" s="661" t="s">
        <v>932</v>
      </c>
      <c r="W21" s="661" t="s">
        <v>933</v>
      </c>
      <c r="X21" s="2094"/>
      <c r="Y21" s="661" t="s">
        <v>929</v>
      </c>
      <c r="Z21" s="661" t="s">
        <v>930</v>
      </c>
      <c r="AA21" s="661" t="s">
        <v>931</v>
      </c>
      <c r="AB21" s="661" t="s">
        <v>932</v>
      </c>
      <c r="AC21" s="661" t="s">
        <v>933</v>
      </c>
      <c r="AD21" s="662" t="s">
        <v>290</v>
      </c>
      <c r="AE21" s="662" t="s">
        <v>291</v>
      </c>
      <c r="AF21" s="662" t="s">
        <v>292</v>
      </c>
      <c r="AG21" s="662" t="s">
        <v>293</v>
      </c>
      <c r="AH21" s="662" t="s">
        <v>294</v>
      </c>
      <c r="AI21" s="636" t="s">
        <v>44</v>
      </c>
      <c r="AJ21" s="2075"/>
      <c r="AK21" s="2094"/>
      <c r="AL21" s="2088"/>
      <c r="AM21" s="14"/>
      <c r="AN21" s="14"/>
      <c r="AO21" s="14"/>
      <c r="AP21" s="14"/>
      <c r="AQ21" s="14"/>
      <c r="AR21" s="14"/>
      <c r="AS21" s="14"/>
      <c r="AT21" s="14"/>
      <c r="AU21" s="14"/>
      <c r="AV21" s="14"/>
      <c r="AW21" s="14"/>
      <c r="AX21" s="14"/>
      <c r="AY21" s="14"/>
      <c r="AZ21" s="14"/>
      <c r="BA21" s="14"/>
      <c r="BB21" s="14"/>
      <c r="BC21" s="14"/>
      <c r="BD21" s="14"/>
      <c r="BE21" s="14"/>
      <c r="BF21" s="14"/>
      <c r="BG21" s="14"/>
      <c r="BH21" s="14"/>
      <c r="BI21" s="14"/>
      <c r="BJ21" s="14"/>
      <c r="BK21" s="14"/>
      <c r="BL21" s="14"/>
      <c r="BM21" s="14"/>
      <c r="BN21" s="14"/>
      <c r="BO21" s="14"/>
      <c r="BP21" s="14"/>
      <c r="BQ21" s="14"/>
    </row>
    <row r="22" spans="1:69">
      <c r="B22" s="113" t="s">
        <v>167</v>
      </c>
      <c r="C22" s="113">
        <v>1</v>
      </c>
      <c r="D22" s="153" t="s">
        <v>158</v>
      </c>
      <c r="E22" s="750"/>
      <c r="F22" s="750"/>
      <c r="G22" s="155"/>
      <c r="H22" s="155"/>
      <c r="I22" s="154"/>
      <c r="J22" s="754" t="s">
        <v>177</v>
      </c>
      <c r="K22" s="118"/>
      <c r="L22" s="120"/>
      <c r="M22" s="120"/>
      <c r="N22" s="120"/>
      <c r="O22" s="120"/>
      <c r="P22" s="119"/>
      <c r="Q22" s="120"/>
      <c r="R22" s="120"/>
      <c r="S22" s="120"/>
      <c r="T22" s="120"/>
      <c r="U22" s="120"/>
      <c r="V22" s="120"/>
      <c r="W22" s="120"/>
      <c r="X22" s="120"/>
      <c r="Y22" s="120"/>
      <c r="Z22" s="120"/>
      <c r="AA22" s="120"/>
      <c r="AB22" s="120"/>
      <c r="AC22" s="120"/>
      <c r="AD22" s="286"/>
      <c r="AE22" s="286"/>
      <c r="AF22" s="286"/>
      <c r="AG22" s="286"/>
      <c r="AH22" s="286"/>
      <c r="AI22" s="155"/>
      <c r="AJ22" s="755" t="s">
        <v>986</v>
      </c>
      <c r="AK22" s="119"/>
      <c r="AL22" s="756"/>
    </row>
    <row r="23" spans="1:69" s="15" customFormat="1">
      <c r="A23" s="16"/>
      <c r="B23" s="56" t="s">
        <v>167</v>
      </c>
      <c r="C23" s="56">
        <v>1</v>
      </c>
      <c r="D23" s="2060"/>
      <c r="E23" s="2061"/>
      <c r="F23" s="2062"/>
      <c r="G23" s="2072"/>
      <c r="H23" s="2073"/>
      <c r="I23" s="2074"/>
      <c r="J23" s="56"/>
      <c r="K23" s="57"/>
      <c r="L23" s="58"/>
      <c r="M23" s="58"/>
      <c r="N23" s="58"/>
      <c r="O23" s="221" t="str">
        <f t="array" ref="O23">IFERROR(INDEX('Conversion factors_2'!$B$10:$CY$111,MATCH(M23,'Conversion factors_2'!$B$10:$B$111,FALSE),HLOOKUP(N23,'Conversion factors_2'!$B$8:$CY$9,2,FALSE)),"")</f>
        <v/>
      </c>
      <c r="P23" s="58"/>
      <c r="Q23" s="58"/>
      <c r="R23" s="221" t="str">
        <f>IFERROR(CONCATENATE("tCO2e/",VLOOKUP($Q23,'Emission factors'!$D:$J,7,FALSE)),"")</f>
        <v/>
      </c>
      <c r="S23" s="221" t="str">
        <f>IFERROR(VLOOKUP($Q23,'Emission factors'!$D:$X,10,FALSE),"")</f>
        <v/>
      </c>
      <c r="T23" s="221" t="str">
        <f>IFERROR(VLOOKUP($Q23,'Emission factors'!$D:$X,12,FALSE),"")</f>
        <v/>
      </c>
      <c r="U23" s="221" t="str">
        <f>IFERROR(VLOOKUP($Q23,'Emission factors'!$D:$X,14,FALSE),"")</f>
        <v/>
      </c>
      <c r="V23" s="221" t="str">
        <f>IFERROR(VLOOKUP($Q23,'Emission factors'!$D:$X,16,FALSE),"")</f>
        <v/>
      </c>
      <c r="W23" s="221" t="str">
        <f>IFERROR(VLOOKUP($Q23,'Emission factors'!$D:$X,18,FALSE),"")</f>
        <v/>
      </c>
      <c r="X23" s="58"/>
      <c r="Y23" s="58"/>
      <c r="Z23" s="58"/>
      <c r="AA23" s="58"/>
      <c r="AB23" s="58"/>
      <c r="AC23" s="58"/>
      <c r="AD23" s="275" t="str">
        <f t="shared" ref="AD23:AF24" si="1">IFERROR(IF(AND($Q23="",$X23=""),"",IF($Q23="",IF(Y23=0,"-",Y23),IF(S23=0,"0",$K23*IF($O23="",1,$O23)*S23))),"-")</f>
        <v/>
      </c>
      <c r="AE23" s="275" t="str">
        <f t="shared" si="1"/>
        <v/>
      </c>
      <c r="AF23" s="275" t="str">
        <f t="shared" si="1"/>
        <v/>
      </c>
      <c r="AG23" s="275" t="str">
        <f>IFERROR(IF(AND($Q23="",$X23=""),"",IF($Q23="",IF(AB23="",SUM(Y23:AA23),IF(AB23=0,"0",AB23)),IF($V23="",SUM($AD23:$AF23),IF($V23=0,"0",$K23*IF($O23="",1,$O23)*$V23)))),"-")</f>
        <v/>
      </c>
      <c r="AH23" s="275" t="str">
        <f>IFERROR(IF(AND($Q23="",$X23=""),"",IF($Q23="",IF(AC23=0,"-",AC23),IF(W23=0,"0",$K23*IF($O23="",1,$O23)*W23))),"-")</f>
        <v/>
      </c>
      <c r="AI23" s="58"/>
      <c r="AJ23" s="225"/>
      <c r="AK23" s="473"/>
      <c r="AL23" s="268"/>
    </row>
    <row r="24" spans="1:69" s="15" customFormat="1" ht="15" customHeight="1">
      <c r="A24" s="16"/>
      <c r="B24" s="56" t="s">
        <v>167</v>
      </c>
      <c r="C24" s="56">
        <v>1</v>
      </c>
      <c r="D24" s="2060"/>
      <c r="E24" s="2061"/>
      <c r="F24" s="2062"/>
      <c r="G24" s="2072"/>
      <c r="H24" s="2073"/>
      <c r="I24" s="2074"/>
      <c r="J24" s="56"/>
      <c r="K24" s="57"/>
      <c r="L24" s="58"/>
      <c r="M24" s="58"/>
      <c r="N24" s="58"/>
      <c r="O24" s="221" t="str">
        <f t="array" ref="O24">IFERROR(INDEX('Conversion factors_2'!$B$10:$CY$111,MATCH(M24,'Conversion factors_2'!$B$10:$B$111,FALSE),HLOOKUP(N24,'Conversion factors_2'!$B$8:$CY$9,2,FALSE)),"")</f>
        <v/>
      </c>
      <c r="P24" s="58"/>
      <c r="Q24" s="58"/>
      <c r="R24" s="221" t="str">
        <f>IFERROR(CONCATENATE("tCO2e/",VLOOKUP($Q24,'Emission factors'!$D:$J,7,FALSE)),"")</f>
        <v/>
      </c>
      <c r="S24" s="221" t="str">
        <f>IFERROR(VLOOKUP($Q24,'Emission factors'!$D:$X,10,FALSE),"")</f>
        <v/>
      </c>
      <c r="T24" s="221" t="str">
        <f>IFERROR(VLOOKUP($Q24,'Emission factors'!$D:$X,12,FALSE),"")</f>
        <v/>
      </c>
      <c r="U24" s="221" t="str">
        <f>IFERROR(VLOOKUP($Q24,'Emission factors'!$D:$X,14,FALSE),"")</f>
        <v/>
      </c>
      <c r="V24" s="221" t="str">
        <f>IFERROR(VLOOKUP($Q24,'Emission factors'!$D:$X,16,FALSE),"")</f>
        <v/>
      </c>
      <c r="W24" s="221" t="str">
        <f>IFERROR(VLOOKUP($Q24,'Emission factors'!$D:$X,18,FALSE),"")</f>
        <v/>
      </c>
      <c r="X24" s="56"/>
      <c r="Y24" s="58"/>
      <c r="Z24" s="58"/>
      <c r="AA24" s="58"/>
      <c r="AB24" s="58"/>
      <c r="AC24" s="58"/>
      <c r="AD24" s="472" t="str">
        <f t="shared" si="1"/>
        <v/>
      </c>
      <c r="AE24" s="472" t="str">
        <f t="shared" si="1"/>
        <v/>
      </c>
      <c r="AF24" s="472" t="str">
        <f t="shared" si="1"/>
        <v/>
      </c>
      <c r="AG24" s="472"/>
      <c r="AH24" s="472"/>
      <c r="AI24" s="58"/>
      <c r="AJ24" s="753"/>
      <c r="AK24" s="473"/>
      <c r="AL24" s="268"/>
    </row>
    <row r="25" spans="1:69" s="22" customFormat="1">
      <c r="A25" s="27"/>
      <c r="B25" s="7"/>
      <c r="C25" s="7"/>
      <c r="D25" s="13"/>
      <c r="E25" s="13"/>
      <c r="F25" s="13"/>
      <c r="G25" s="9"/>
      <c r="H25" s="9"/>
      <c r="I25" s="9"/>
      <c r="J25" s="7"/>
      <c r="K25" s="7"/>
      <c r="L25" s="7"/>
      <c r="M25" s="7"/>
      <c r="N25" s="7"/>
      <c r="O25" s="7"/>
      <c r="P25" s="8"/>
      <c r="Q25" s="7"/>
      <c r="R25" s="7"/>
      <c r="S25" s="7"/>
      <c r="T25" s="7"/>
      <c r="U25" s="7"/>
      <c r="V25" s="7"/>
      <c r="W25" s="7"/>
      <c r="X25" s="7"/>
      <c r="Y25" s="7"/>
      <c r="Z25" s="7"/>
      <c r="AA25" s="7"/>
      <c r="AB25" s="7"/>
      <c r="AC25" s="7"/>
      <c r="AD25" s="10"/>
      <c r="AE25" s="10"/>
      <c r="AF25" s="10"/>
      <c r="AG25" s="10"/>
      <c r="AH25" s="10"/>
      <c r="AI25" s="7"/>
    </row>
    <row r="26" spans="1:69" s="21" customFormat="1" ht="18">
      <c r="B26" s="465" t="s">
        <v>250</v>
      </c>
      <c r="C26" s="635"/>
      <c r="D26" s="18"/>
      <c r="E26" s="18"/>
      <c r="F26" s="18"/>
      <c r="G26" s="18"/>
      <c r="H26" s="18"/>
      <c r="I26" s="18"/>
      <c r="J26" s="18"/>
      <c r="K26" s="18"/>
      <c r="L26" s="18"/>
      <c r="M26" s="18"/>
      <c r="N26" s="19"/>
      <c r="O26" s="635"/>
      <c r="P26" s="635"/>
      <c r="Q26" s="635"/>
      <c r="R26" s="635"/>
      <c r="S26" s="635"/>
      <c r="T26" s="635"/>
      <c r="U26" s="27"/>
      <c r="V26" s="27"/>
      <c r="W26" s="27"/>
      <c r="X26" s="27"/>
      <c r="Y26" s="27"/>
      <c r="Z26" s="27"/>
      <c r="AA26" s="27"/>
      <c r="AB26" s="27"/>
      <c r="AC26" s="27"/>
      <c r="AD26" s="27"/>
      <c r="AE26" s="27"/>
      <c r="AF26" s="27"/>
      <c r="AG26" s="27"/>
      <c r="AH26" s="27"/>
      <c r="AI26" s="27"/>
      <c r="AJ26" s="274"/>
      <c r="AK26" s="28"/>
      <c r="AL26" s="28"/>
      <c r="AM26" s="28"/>
      <c r="AN26" s="19"/>
      <c r="AO26" s="19"/>
      <c r="AP26" s="254"/>
      <c r="AQ26" s="254"/>
      <c r="AR26" s="254"/>
    </row>
    <row r="27" spans="1:69" s="22" customFormat="1">
      <c r="A27" s="27"/>
      <c r="B27" s="7"/>
      <c r="C27" s="7"/>
      <c r="D27" s="13"/>
      <c r="E27" s="13"/>
      <c r="F27" s="13"/>
      <c r="G27" s="9"/>
      <c r="H27" s="9"/>
      <c r="I27" s="9"/>
      <c r="J27" s="7"/>
      <c r="K27" s="7"/>
      <c r="L27" s="7"/>
      <c r="M27" s="7"/>
      <c r="N27" s="7"/>
      <c r="O27" s="7"/>
      <c r="P27" s="8"/>
      <c r="Q27" s="7"/>
      <c r="R27" s="7"/>
      <c r="S27" s="7"/>
      <c r="T27" s="7"/>
      <c r="U27" s="7"/>
      <c r="V27" s="7"/>
      <c r="W27" s="7"/>
      <c r="X27" s="7"/>
      <c r="Y27" s="7"/>
      <c r="Z27" s="7"/>
      <c r="AA27" s="7"/>
      <c r="AB27" s="7"/>
      <c r="AC27" s="7"/>
      <c r="AD27" s="10"/>
      <c r="AE27" s="10"/>
      <c r="AF27" s="10"/>
      <c r="AG27" s="10"/>
      <c r="AH27" s="10"/>
      <c r="AI27" s="7"/>
    </row>
    <row r="28" spans="1:69" s="5" customFormat="1" ht="16" customHeight="1">
      <c r="A28" s="39"/>
      <c r="B28" s="2065" t="s">
        <v>37</v>
      </c>
      <c r="C28" s="2065" t="s">
        <v>38</v>
      </c>
      <c r="D28" s="2095" t="s">
        <v>242</v>
      </c>
      <c r="E28" s="2106"/>
      <c r="F28" s="2106"/>
      <c r="G28" s="2106"/>
      <c r="H28" s="2106"/>
      <c r="I28" s="2096"/>
      <c r="J28" s="2066" t="s">
        <v>297</v>
      </c>
      <c r="K28" s="2095" t="s">
        <v>169</v>
      </c>
      <c r="L28" s="2096"/>
      <c r="M28" s="2098" t="s">
        <v>841</v>
      </c>
      <c r="N28" s="2099"/>
      <c r="O28" s="2100"/>
      <c r="P28" s="2066" t="s">
        <v>302</v>
      </c>
      <c r="Q28" s="2087" t="s">
        <v>782</v>
      </c>
      <c r="R28" s="2063" t="s">
        <v>782</v>
      </c>
      <c r="S28" s="2063"/>
      <c r="T28" s="2063"/>
      <c r="U28" s="2063"/>
      <c r="V28" s="2063"/>
      <c r="W28" s="2064"/>
      <c r="X28" s="2093" t="s">
        <v>928</v>
      </c>
      <c r="Y28" s="2083" t="s">
        <v>934</v>
      </c>
      <c r="Z28" s="2083"/>
      <c r="AA28" s="2083"/>
      <c r="AB28" s="2083"/>
      <c r="AC28" s="2083"/>
      <c r="AD28" s="2097" t="s">
        <v>289</v>
      </c>
      <c r="AE28" s="2097"/>
      <c r="AF28" s="2097"/>
      <c r="AG28" s="2097"/>
      <c r="AH28" s="2097"/>
      <c r="AI28" s="895" t="s">
        <v>41</v>
      </c>
      <c r="AJ28" s="2075" t="s">
        <v>937</v>
      </c>
      <c r="AK28" s="2093" t="s">
        <v>723</v>
      </c>
      <c r="AL28" s="2087" t="s">
        <v>826</v>
      </c>
      <c r="AM28" s="14"/>
      <c r="AN28" s="14"/>
      <c r="AO28" s="14"/>
      <c r="AP28" s="14"/>
      <c r="AQ28" s="14"/>
      <c r="AR28" s="14"/>
      <c r="AS28" s="14"/>
      <c r="AT28" s="14"/>
      <c r="AU28" s="14"/>
      <c r="AV28" s="14"/>
      <c r="AW28" s="14"/>
      <c r="AX28" s="14"/>
      <c r="AY28" s="14"/>
      <c r="AZ28" s="14"/>
      <c r="BA28" s="14"/>
      <c r="BB28" s="14"/>
      <c r="BC28" s="14"/>
      <c r="BD28" s="14"/>
      <c r="BE28" s="14"/>
      <c r="BF28" s="14"/>
      <c r="BG28" s="14"/>
      <c r="BH28" s="14"/>
      <c r="BI28" s="14"/>
      <c r="BJ28" s="14"/>
      <c r="BK28" s="14"/>
      <c r="BL28" s="14"/>
      <c r="BM28" s="14"/>
      <c r="BN28" s="14"/>
      <c r="BO28" s="14"/>
      <c r="BP28" s="14"/>
      <c r="BQ28" s="14"/>
    </row>
    <row r="29" spans="1:69" s="5" customFormat="1" ht="17">
      <c r="A29" s="39"/>
      <c r="B29" s="2065"/>
      <c r="C29" s="2065"/>
      <c r="D29" s="2095" t="s">
        <v>243</v>
      </c>
      <c r="E29" s="2106"/>
      <c r="F29" s="2096"/>
      <c r="G29" s="2095" t="s">
        <v>241</v>
      </c>
      <c r="H29" s="2106"/>
      <c r="I29" s="2096"/>
      <c r="J29" s="2065"/>
      <c r="K29" s="636" t="s">
        <v>170</v>
      </c>
      <c r="L29" s="636" t="s">
        <v>171</v>
      </c>
      <c r="M29" s="659" t="s">
        <v>813</v>
      </c>
      <c r="N29" s="659" t="s">
        <v>814</v>
      </c>
      <c r="O29" s="659" t="s">
        <v>927</v>
      </c>
      <c r="P29" s="2065"/>
      <c r="Q29" s="2088"/>
      <c r="R29" s="660" t="s">
        <v>171</v>
      </c>
      <c r="S29" s="661" t="s">
        <v>929</v>
      </c>
      <c r="T29" s="661" t="s">
        <v>930</v>
      </c>
      <c r="U29" s="661" t="s">
        <v>931</v>
      </c>
      <c r="V29" s="661" t="s">
        <v>932</v>
      </c>
      <c r="W29" s="661" t="s">
        <v>933</v>
      </c>
      <c r="X29" s="2094"/>
      <c r="Y29" s="661" t="s">
        <v>929</v>
      </c>
      <c r="Z29" s="661" t="s">
        <v>930</v>
      </c>
      <c r="AA29" s="661" t="s">
        <v>931</v>
      </c>
      <c r="AB29" s="661" t="s">
        <v>932</v>
      </c>
      <c r="AC29" s="661" t="s">
        <v>933</v>
      </c>
      <c r="AD29" s="662" t="s">
        <v>290</v>
      </c>
      <c r="AE29" s="662" t="s">
        <v>291</v>
      </c>
      <c r="AF29" s="662" t="s">
        <v>292</v>
      </c>
      <c r="AG29" s="662" t="s">
        <v>293</v>
      </c>
      <c r="AH29" s="662" t="s">
        <v>294</v>
      </c>
      <c r="AI29" s="636" t="s">
        <v>44</v>
      </c>
      <c r="AJ29" s="2075"/>
      <c r="AK29" s="2094"/>
      <c r="AL29" s="2088"/>
      <c r="AM29" s="14"/>
      <c r="AN29" s="14"/>
      <c r="AO29" s="14"/>
      <c r="AP29" s="14"/>
      <c r="AQ29" s="14"/>
      <c r="AR29" s="14"/>
      <c r="AS29" s="14"/>
      <c r="AT29" s="14"/>
      <c r="AU29" s="14"/>
      <c r="AV29" s="14"/>
      <c r="AW29" s="14"/>
      <c r="AX29" s="14"/>
      <c r="AY29" s="14"/>
      <c r="AZ29" s="14"/>
      <c r="BA29" s="14"/>
      <c r="BB29" s="14"/>
      <c r="BC29" s="14"/>
      <c r="BD29" s="14"/>
      <c r="BE29" s="14"/>
      <c r="BF29" s="14"/>
      <c r="BG29" s="14"/>
      <c r="BH29" s="14"/>
      <c r="BI29" s="14"/>
      <c r="BJ29" s="14"/>
      <c r="BK29" s="14"/>
      <c r="BL29" s="14"/>
      <c r="BM29" s="14"/>
      <c r="BN29" s="14"/>
      <c r="BO29" s="14"/>
      <c r="BP29" s="14"/>
      <c r="BQ29" s="14"/>
    </row>
    <row r="30" spans="1:69">
      <c r="B30" s="113" t="s">
        <v>168</v>
      </c>
      <c r="C30" s="113">
        <v>1</v>
      </c>
      <c r="D30" s="153" t="s">
        <v>159</v>
      </c>
      <c r="E30" s="750"/>
      <c r="F30" s="750"/>
      <c r="G30" s="155"/>
      <c r="H30" s="155"/>
      <c r="I30" s="154"/>
      <c r="J30" s="754" t="s">
        <v>177</v>
      </c>
      <c r="K30" s="118"/>
      <c r="L30" s="120"/>
      <c r="M30" s="120"/>
      <c r="N30" s="120"/>
      <c r="O30" s="120"/>
      <c r="P30" s="119"/>
      <c r="Q30" s="120"/>
      <c r="R30" s="120"/>
      <c r="S30" s="120"/>
      <c r="T30" s="120"/>
      <c r="U30" s="120"/>
      <c r="V30" s="120"/>
      <c r="W30" s="120"/>
      <c r="X30" s="120"/>
      <c r="Y30" s="120"/>
      <c r="Z30" s="120"/>
      <c r="AA30" s="120"/>
      <c r="AB30" s="120"/>
      <c r="AC30" s="120"/>
      <c r="AD30" s="286"/>
      <c r="AE30" s="286"/>
      <c r="AF30" s="286"/>
      <c r="AG30" s="286"/>
      <c r="AH30" s="286"/>
      <c r="AI30" s="155"/>
      <c r="AJ30" s="755" t="s">
        <v>987</v>
      </c>
      <c r="AK30" s="119"/>
      <c r="AL30" s="756"/>
    </row>
    <row r="31" spans="1:69" s="15" customFormat="1">
      <c r="A31" s="16"/>
      <c r="B31" s="56" t="s">
        <v>168</v>
      </c>
      <c r="C31" s="56">
        <v>1</v>
      </c>
      <c r="D31" s="2060"/>
      <c r="E31" s="2061"/>
      <c r="F31" s="2062"/>
      <c r="G31" s="2072"/>
      <c r="H31" s="2073"/>
      <c r="I31" s="2074"/>
      <c r="J31" s="56"/>
      <c r="K31" s="57"/>
      <c r="L31" s="58"/>
      <c r="M31" s="58"/>
      <c r="N31" s="58"/>
      <c r="O31" s="221" t="str">
        <f t="array" ref="O31">IFERROR(INDEX('Conversion factors_2'!$B$10:$CY$111,MATCH(M31,'Conversion factors_2'!$B$10:$B$111,FALSE),HLOOKUP(N31,'Conversion factors_2'!$B$8:$CY$9,2,FALSE)),"")</f>
        <v/>
      </c>
      <c r="P31" s="58"/>
      <c r="Q31" s="58"/>
      <c r="R31" s="221" t="str">
        <f>IFERROR(CONCATENATE("tCO2e/",VLOOKUP($Q31,'Emission factors'!$D:$J,7,FALSE)),"")</f>
        <v/>
      </c>
      <c r="S31" s="221" t="str">
        <f>IFERROR(VLOOKUP($Q31,'Emission factors'!$D:$X,10,FALSE),"")</f>
        <v/>
      </c>
      <c r="T31" s="221" t="str">
        <f>IFERROR(VLOOKUP($Q31,'Emission factors'!$D:$X,12,FALSE),"")</f>
        <v/>
      </c>
      <c r="U31" s="221" t="str">
        <f>IFERROR(VLOOKUP($Q31,'Emission factors'!$D:$X,14,FALSE),"")</f>
        <v/>
      </c>
      <c r="V31" s="221" t="str">
        <f>IFERROR(VLOOKUP($Q31,'Emission factors'!$D:$X,16,FALSE),"")</f>
        <v/>
      </c>
      <c r="W31" s="221" t="str">
        <f>IFERROR(VLOOKUP($Q31,'Emission factors'!$D:$X,18,FALSE),"")</f>
        <v/>
      </c>
      <c r="X31" s="58"/>
      <c r="Y31" s="58"/>
      <c r="Z31" s="58"/>
      <c r="AA31" s="58"/>
      <c r="AB31" s="58"/>
      <c r="AC31" s="58"/>
      <c r="AD31" s="275" t="str">
        <f t="shared" ref="AD31:AF32" si="2">IFERROR(IF(AND($Q31="",$X31=""),"",IF($Q31="",IF(Y31=0,"-",Y31),IF(S31=0,"0",$K31*IF($O31="",1,$O31)*S31))),"-")</f>
        <v/>
      </c>
      <c r="AE31" s="275" t="str">
        <f t="shared" si="2"/>
        <v/>
      </c>
      <c r="AF31" s="275" t="str">
        <f t="shared" si="2"/>
        <v/>
      </c>
      <c r="AG31" s="275" t="str">
        <f>IFERROR(IF(AND($Q31="",$X31=""),"",IF($Q31="",IF(AB31="",SUM(Y31:AA31),IF(AB31=0,"0",AB31)),IF($V31="",SUM($AD31:$AF31),IF($V31=0,"0",$K31*IF($O31="",1,$O31)*$V31)))),"-")</f>
        <v/>
      </c>
      <c r="AH31" s="275" t="str">
        <f>IFERROR(IF(AND($Q31="",$X31=""),"",IF($Q31="",IF(AC31=0,"-",AC31),IF(W31=0,"0",$K31*IF($O31="",1,$O31)*W31))),"-")</f>
        <v/>
      </c>
      <c r="AI31" s="58"/>
      <c r="AJ31" s="225"/>
      <c r="AK31" s="226"/>
      <c r="AL31" s="652"/>
    </row>
    <row r="32" spans="1:69" s="15" customFormat="1" ht="15" customHeight="1">
      <c r="A32" s="16"/>
      <c r="B32" s="56" t="s">
        <v>168</v>
      </c>
      <c r="C32" s="56">
        <v>1</v>
      </c>
      <c r="D32" s="2060"/>
      <c r="E32" s="2061"/>
      <c r="F32" s="2062"/>
      <c r="G32" s="2072"/>
      <c r="H32" s="2073"/>
      <c r="I32" s="2074"/>
      <c r="J32" s="56"/>
      <c r="K32" s="57"/>
      <c r="L32" s="58"/>
      <c r="M32" s="58"/>
      <c r="N32" s="58"/>
      <c r="O32" s="221" t="str">
        <f t="array" ref="O32">IFERROR(INDEX('Conversion factors_2'!$B$10:$CY$111,MATCH(M32,'Conversion factors_2'!$B$10:$B$111,FALSE),HLOOKUP(N32,'Conversion factors_2'!$B$8:$CY$9,2,FALSE)),"")</f>
        <v/>
      </c>
      <c r="P32" s="58"/>
      <c r="Q32" s="58"/>
      <c r="R32" s="221" t="str">
        <f>IFERROR(CONCATENATE("tCO2e/",VLOOKUP($Q32,'Emission factors'!$D:$J,7,FALSE)),"")</f>
        <v/>
      </c>
      <c r="S32" s="221" t="str">
        <f>IFERROR(VLOOKUP($Q32,'Emission factors'!$D:$X,10,FALSE),"")</f>
        <v/>
      </c>
      <c r="T32" s="221" t="str">
        <f>IFERROR(VLOOKUP($Q32,'Emission factors'!$D:$X,12,FALSE),"")</f>
        <v/>
      </c>
      <c r="U32" s="221" t="str">
        <f>IFERROR(VLOOKUP($Q32,'Emission factors'!$D:$X,14,FALSE),"")</f>
        <v/>
      </c>
      <c r="V32" s="221" t="str">
        <f>IFERROR(VLOOKUP($Q32,'Emission factors'!$D:$X,16,FALSE),"")</f>
        <v/>
      </c>
      <c r="W32" s="221" t="str">
        <f>IFERROR(VLOOKUP($Q32,'Emission factors'!$D:$X,18,FALSE),"")</f>
        <v/>
      </c>
      <c r="X32" s="56"/>
      <c r="Y32" s="58"/>
      <c r="Z32" s="58"/>
      <c r="AA32" s="58"/>
      <c r="AB32" s="58"/>
      <c r="AC32" s="58"/>
      <c r="AD32" s="472" t="str">
        <f t="shared" si="2"/>
        <v/>
      </c>
      <c r="AE32" s="472" t="str">
        <f t="shared" si="2"/>
        <v/>
      </c>
      <c r="AF32" s="472" t="str">
        <f t="shared" si="2"/>
        <v/>
      </c>
      <c r="AG32" s="472" t="str">
        <f>IFERROR(IF(AND($Q32="",$X32=""),"",IF($Q32="",IF(AB32="",SUM(Y32:AA32),IF(AB32=0,"0",AB32)),IF($V32="",SUM($AD32:$AF32),IF($V32=0,"0",$K32*IF($O32="",1,$O32)*$V32)))),"-")</f>
        <v/>
      </c>
      <c r="AH32" s="472" t="str">
        <f>IFERROR(IF(AND($Q32="",$X32=""),"",IF($Q32="",IF(AC32=0,"-",AC32),IF(W32=0,"0",$K32*IF($O32="",1,$O32)*W32))),"-")</f>
        <v/>
      </c>
      <c r="AI32" s="58"/>
      <c r="AJ32" s="753"/>
      <c r="AK32" s="226"/>
      <c r="AL32" s="652"/>
    </row>
    <row r="33" spans="1:34" s="15" customFormat="1">
      <c r="A33" s="16"/>
      <c r="B33" s="25"/>
      <c r="C33" s="25"/>
      <c r="D33" s="22"/>
      <c r="E33" s="22"/>
      <c r="F33" s="22"/>
      <c r="G33" s="22"/>
      <c r="H33" s="22"/>
      <c r="I33" s="22"/>
      <c r="J33" s="27"/>
      <c r="K33" s="27"/>
      <c r="L33" s="27"/>
      <c r="M33" s="27"/>
      <c r="N33" s="27"/>
      <c r="O33" s="27"/>
      <c r="P33" s="22"/>
      <c r="Q33" s="27"/>
      <c r="R33" s="27"/>
      <c r="S33" s="27"/>
      <c r="T33" s="27"/>
      <c r="U33" s="27"/>
      <c r="V33" s="27"/>
      <c r="W33" s="27"/>
      <c r="X33" s="27"/>
      <c r="Y33" s="27"/>
      <c r="Z33" s="27"/>
      <c r="AA33" s="27"/>
      <c r="AB33" s="27"/>
      <c r="AC33" s="27"/>
      <c r="AD33" s="284"/>
      <c r="AE33" s="284"/>
      <c r="AF33" s="284"/>
      <c r="AG33" s="284"/>
      <c r="AH33" s="284"/>
    </row>
    <row r="34" spans="1:34" s="15" customFormat="1" ht="15" customHeight="1">
      <c r="A34" s="16"/>
      <c r="B34" s="144" t="s">
        <v>627</v>
      </c>
      <c r="C34" s="14"/>
      <c r="J34" s="16"/>
      <c r="K34" s="16"/>
      <c r="L34" s="16"/>
      <c r="M34" s="16"/>
      <c r="N34" s="16"/>
      <c r="O34" s="16"/>
      <c r="Q34" s="16"/>
      <c r="R34" s="16"/>
      <c r="S34" s="16"/>
      <c r="T34" s="16"/>
      <c r="U34" s="16"/>
      <c r="V34" s="16"/>
      <c r="W34" s="16"/>
      <c r="X34" s="16"/>
      <c r="Y34" s="16"/>
      <c r="Z34" s="16"/>
      <c r="AA34" s="16"/>
      <c r="AB34" s="16"/>
      <c r="AC34" s="16"/>
      <c r="AD34" s="284"/>
      <c r="AE34" s="284"/>
      <c r="AF34" s="284"/>
      <c r="AG34" s="284"/>
      <c r="AH34" s="284"/>
    </row>
    <row r="35" spans="1:34" s="15" customFormat="1">
      <c r="A35" s="16"/>
      <c r="J35" s="16"/>
      <c r="K35" s="16"/>
      <c r="L35" s="16"/>
      <c r="M35" s="16"/>
      <c r="N35" s="16"/>
      <c r="O35" s="16"/>
      <c r="Q35" s="16"/>
      <c r="R35" s="16"/>
      <c r="S35" s="16"/>
      <c r="T35" s="16"/>
      <c r="U35" s="16"/>
      <c r="V35" s="16"/>
      <c r="W35" s="16"/>
      <c r="X35" s="16"/>
      <c r="Y35" s="16"/>
      <c r="Z35" s="16"/>
      <c r="AA35" s="16"/>
      <c r="AB35" s="16"/>
      <c r="AC35" s="16"/>
      <c r="AD35" s="284"/>
      <c r="AE35" s="284"/>
      <c r="AF35" s="284"/>
      <c r="AG35" s="284"/>
      <c r="AH35" s="284"/>
    </row>
    <row r="36" spans="1:34" s="15" customFormat="1">
      <c r="A36" s="16"/>
      <c r="B36" s="14"/>
      <c r="C36" s="14"/>
      <c r="J36" s="16"/>
      <c r="K36" s="16"/>
      <c r="L36" s="16"/>
      <c r="M36" s="16"/>
      <c r="N36" s="16"/>
      <c r="O36" s="16"/>
      <c r="Q36" s="16"/>
      <c r="R36" s="16"/>
      <c r="S36" s="16"/>
      <c r="T36" s="16"/>
      <c r="U36" s="16"/>
      <c r="V36" s="16"/>
      <c r="W36" s="16"/>
      <c r="X36" s="16"/>
      <c r="Y36" s="16"/>
      <c r="Z36" s="16"/>
      <c r="AA36" s="16"/>
      <c r="AB36" s="16"/>
      <c r="AC36" s="16"/>
      <c r="AD36" s="284"/>
      <c r="AE36" s="284"/>
      <c r="AF36" s="284"/>
      <c r="AG36" s="284"/>
      <c r="AH36" s="284"/>
    </row>
    <row r="37" spans="1:34" s="15" customFormat="1">
      <c r="A37" s="16"/>
      <c r="B37" s="14"/>
      <c r="C37" s="14"/>
      <c r="J37" s="16"/>
      <c r="K37" s="16"/>
      <c r="L37" s="16"/>
      <c r="M37" s="16"/>
      <c r="N37" s="16"/>
      <c r="O37" s="16"/>
      <c r="Q37" s="16"/>
      <c r="R37" s="16"/>
      <c r="S37" s="16"/>
      <c r="T37" s="16"/>
      <c r="U37" s="16"/>
      <c r="V37" s="16"/>
      <c r="W37" s="16"/>
      <c r="X37" s="16"/>
      <c r="Y37" s="16"/>
      <c r="Z37" s="16"/>
      <c r="AA37" s="16"/>
      <c r="AB37" s="16"/>
      <c r="AC37" s="16"/>
      <c r="AD37" s="284"/>
      <c r="AE37" s="284"/>
      <c r="AF37" s="284"/>
      <c r="AG37" s="284"/>
      <c r="AH37" s="284"/>
    </row>
    <row r="38" spans="1:34" s="15" customFormat="1">
      <c r="A38" s="16"/>
      <c r="B38" s="14"/>
      <c r="C38" s="14"/>
      <c r="J38" s="16"/>
      <c r="K38" s="16"/>
      <c r="L38" s="16"/>
      <c r="M38" s="16"/>
      <c r="N38" s="16"/>
      <c r="O38" s="16"/>
      <c r="Q38" s="16"/>
      <c r="R38" s="16"/>
      <c r="S38" s="16"/>
      <c r="T38" s="16"/>
      <c r="U38" s="16"/>
      <c r="V38" s="16"/>
      <c r="W38" s="16"/>
      <c r="X38" s="16"/>
      <c r="Y38" s="16"/>
      <c r="Z38" s="16"/>
      <c r="AA38" s="16"/>
      <c r="AB38" s="16"/>
      <c r="AC38" s="16"/>
      <c r="AD38" s="284"/>
      <c r="AE38" s="284"/>
      <c r="AF38" s="284"/>
      <c r="AG38" s="284"/>
      <c r="AH38" s="284"/>
    </row>
    <row r="39" spans="1:34" s="15" customFormat="1">
      <c r="A39" s="16"/>
      <c r="B39" s="14"/>
      <c r="C39" s="14"/>
      <c r="J39" s="16"/>
      <c r="K39" s="16"/>
      <c r="L39" s="16"/>
      <c r="M39" s="16"/>
      <c r="N39" s="16"/>
      <c r="O39" s="16"/>
      <c r="Q39" s="16"/>
      <c r="R39" s="16"/>
      <c r="S39" s="16"/>
      <c r="T39" s="16"/>
      <c r="U39" s="16"/>
      <c r="V39" s="16"/>
      <c r="W39" s="16"/>
      <c r="X39" s="16"/>
      <c r="Y39" s="16"/>
      <c r="Z39" s="16"/>
      <c r="AA39" s="16"/>
      <c r="AB39" s="16"/>
      <c r="AC39" s="16"/>
      <c r="AD39" s="284"/>
      <c r="AE39" s="284"/>
      <c r="AF39" s="284"/>
      <c r="AG39" s="284"/>
      <c r="AH39" s="284"/>
    </row>
    <row r="40" spans="1:34" s="15" customFormat="1">
      <c r="A40" s="16"/>
      <c r="B40" s="14"/>
      <c r="C40" s="14"/>
      <c r="J40" s="16"/>
      <c r="K40" s="16"/>
      <c r="L40" s="16"/>
      <c r="M40" s="16"/>
      <c r="N40" s="16"/>
      <c r="O40" s="16"/>
      <c r="Q40" s="16"/>
      <c r="R40" s="16"/>
      <c r="S40" s="16"/>
      <c r="T40" s="16"/>
      <c r="U40" s="16"/>
      <c r="V40" s="16"/>
      <c r="W40" s="16"/>
      <c r="X40" s="16"/>
      <c r="Y40" s="16"/>
      <c r="Z40" s="16"/>
      <c r="AA40" s="16"/>
      <c r="AB40" s="16"/>
      <c r="AC40" s="16"/>
      <c r="AD40" s="284"/>
      <c r="AE40" s="284"/>
      <c r="AF40" s="284"/>
      <c r="AG40" s="284"/>
      <c r="AH40" s="284"/>
    </row>
    <row r="41" spans="1:34" s="15" customFormat="1">
      <c r="A41" s="16"/>
      <c r="B41" s="14"/>
      <c r="C41" s="14"/>
      <c r="J41" s="16"/>
      <c r="K41" s="16"/>
      <c r="L41" s="16"/>
      <c r="M41" s="16"/>
      <c r="N41" s="16"/>
      <c r="O41" s="16"/>
      <c r="Q41" s="16"/>
      <c r="R41" s="16"/>
      <c r="S41" s="16"/>
      <c r="T41" s="16"/>
      <c r="U41" s="16"/>
      <c r="V41" s="16"/>
      <c r="W41" s="16"/>
      <c r="X41" s="16"/>
      <c r="Y41" s="16"/>
      <c r="Z41" s="16"/>
      <c r="AA41" s="16"/>
      <c r="AB41" s="16"/>
      <c r="AC41" s="16"/>
      <c r="AD41" s="284"/>
      <c r="AE41" s="284"/>
      <c r="AF41" s="284"/>
      <c r="AG41" s="284"/>
      <c r="AH41" s="284"/>
    </row>
    <row r="42" spans="1:34" s="15" customFormat="1">
      <c r="A42" s="16"/>
      <c r="B42" s="14"/>
      <c r="C42" s="14"/>
      <c r="J42" s="16"/>
      <c r="K42" s="16"/>
      <c r="L42" s="16"/>
      <c r="M42" s="16"/>
      <c r="N42" s="16"/>
      <c r="O42" s="16"/>
      <c r="Q42" s="16"/>
      <c r="R42" s="16"/>
      <c r="S42" s="16"/>
      <c r="T42" s="16"/>
      <c r="U42" s="16"/>
      <c r="V42" s="16"/>
      <c r="W42" s="16"/>
      <c r="X42" s="16"/>
      <c r="Y42" s="16"/>
      <c r="Z42" s="16"/>
      <c r="AA42" s="16"/>
      <c r="AB42" s="16"/>
      <c r="AC42" s="16"/>
      <c r="AD42" s="284"/>
      <c r="AE42" s="284"/>
      <c r="AF42" s="284"/>
      <c r="AG42" s="284"/>
      <c r="AH42" s="284"/>
    </row>
    <row r="43" spans="1:34" s="15" customFormat="1">
      <c r="A43" s="16"/>
      <c r="B43" s="14"/>
      <c r="C43" s="14"/>
      <c r="J43" s="16"/>
      <c r="K43" s="16"/>
      <c r="L43" s="16"/>
      <c r="M43" s="16"/>
      <c r="N43" s="16"/>
      <c r="O43" s="16"/>
      <c r="Q43" s="16"/>
      <c r="R43" s="16"/>
      <c r="S43" s="16"/>
      <c r="T43" s="16"/>
      <c r="U43" s="16"/>
      <c r="V43" s="16"/>
      <c r="W43" s="16"/>
      <c r="X43" s="16"/>
      <c r="Y43" s="16"/>
      <c r="Z43" s="16"/>
      <c r="AA43" s="16"/>
      <c r="AB43" s="16"/>
      <c r="AC43" s="16"/>
      <c r="AD43" s="284"/>
      <c r="AE43" s="284"/>
      <c r="AF43" s="284"/>
      <c r="AG43" s="284"/>
      <c r="AH43" s="284"/>
    </row>
    <row r="44" spans="1:34" s="15" customFormat="1">
      <c r="A44" s="16"/>
      <c r="B44" s="14"/>
      <c r="C44" s="14"/>
      <c r="J44" s="16"/>
      <c r="K44" s="16"/>
      <c r="L44" s="16"/>
      <c r="M44" s="16"/>
      <c r="N44" s="16"/>
      <c r="O44" s="16"/>
      <c r="Q44" s="16"/>
      <c r="R44" s="16"/>
      <c r="S44" s="16"/>
      <c r="T44" s="16"/>
      <c r="U44" s="16"/>
      <c r="V44" s="16"/>
      <c r="W44" s="16"/>
      <c r="X44" s="16"/>
      <c r="Y44" s="16"/>
      <c r="Z44" s="16"/>
      <c r="AA44" s="16"/>
      <c r="AB44" s="16"/>
      <c r="AC44" s="16"/>
      <c r="AD44" s="284"/>
      <c r="AE44" s="284"/>
      <c r="AF44" s="284"/>
      <c r="AG44" s="284"/>
      <c r="AH44" s="284"/>
    </row>
    <row r="45" spans="1:34" s="15" customFormat="1">
      <c r="A45" s="16"/>
      <c r="B45" s="14"/>
      <c r="C45" s="14"/>
      <c r="J45" s="16"/>
      <c r="K45" s="16"/>
      <c r="L45" s="16"/>
      <c r="M45" s="16"/>
      <c r="N45" s="16"/>
      <c r="O45" s="16"/>
      <c r="Q45" s="16"/>
      <c r="R45" s="16"/>
      <c r="S45" s="16"/>
      <c r="T45" s="16"/>
      <c r="U45" s="16"/>
      <c r="V45" s="16"/>
      <c r="W45" s="16"/>
      <c r="X45" s="16"/>
      <c r="Y45" s="16"/>
      <c r="Z45" s="16"/>
      <c r="AA45" s="16"/>
      <c r="AB45" s="16"/>
      <c r="AC45" s="16"/>
      <c r="AD45" s="284"/>
      <c r="AE45" s="284"/>
      <c r="AF45" s="284"/>
      <c r="AG45" s="284"/>
      <c r="AH45" s="284"/>
    </row>
    <row r="46" spans="1:34" s="15" customFormat="1">
      <c r="A46" s="16"/>
      <c r="B46" s="14"/>
      <c r="C46" s="14"/>
      <c r="J46" s="16"/>
      <c r="K46" s="16"/>
      <c r="L46" s="16"/>
      <c r="M46" s="16"/>
      <c r="N46" s="16"/>
      <c r="O46" s="16"/>
      <c r="Q46" s="16"/>
      <c r="R46" s="16"/>
      <c r="S46" s="16"/>
      <c r="T46" s="16"/>
      <c r="U46" s="16"/>
      <c r="V46" s="16"/>
      <c r="W46" s="16"/>
      <c r="X46" s="16"/>
      <c r="Y46" s="16"/>
      <c r="Z46" s="16"/>
      <c r="AA46" s="16"/>
      <c r="AB46" s="16"/>
      <c r="AC46" s="16"/>
      <c r="AD46" s="284"/>
      <c r="AE46" s="284"/>
      <c r="AF46" s="284"/>
      <c r="AG46" s="284"/>
      <c r="AH46" s="284"/>
    </row>
    <row r="47" spans="1:34" s="15" customFormat="1">
      <c r="A47" s="16"/>
      <c r="B47" s="14"/>
      <c r="C47" s="14"/>
      <c r="J47" s="16"/>
      <c r="K47" s="16"/>
      <c r="L47" s="16"/>
      <c r="M47" s="16"/>
      <c r="N47" s="16"/>
      <c r="O47" s="16"/>
      <c r="Q47" s="16"/>
      <c r="R47" s="16"/>
      <c r="S47" s="16"/>
      <c r="T47" s="16"/>
      <c r="U47" s="16"/>
      <c r="V47" s="16"/>
      <c r="W47" s="16"/>
      <c r="X47" s="16"/>
      <c r="Y47" s="16"/>
      <c r="Z47" s="16"/>
      <c r="AA47" s="16"/>
      <c r="AB47" s="16"/>
      <c r="AC47" s="16"/>
      <c r="AD47" s="284"/>
      <c r="AE47" s="284"/>
      <c r="AF47" s="284"/>
      <c r="AG47" s="284"/>
      <c r="AH47" s="284"/>
    </row>
    <row r="48" spans="1:34" s="15" customFormat="1">
      <c r="A48" s="16"/>
      <c r="B48" s="14"/>
      <c r="C48" s="14"/>
      <c r="J48" s="16"/>
      <c r="K48" s="16"/>
      <c r="L48" s="16"/>
      <c r="M48" s="16"/>
      <c r="N48" s="16"/>
      <c r="O48" s="16"/>
      <c r="Q48" s="16"/>
      <c r="R48" s="16"/>
      <c r="S48" s="16"/>
      <c r="T48" s="16"/>
      <c r="U48" s="16"/>
      <c r="V48" s="16"/>
      <c r="W48" s="16"/>
      <c r="X48" s="16"/>
      <c r="Y48" s="16"/>
      <c r="Z48" s="16"/>
      <c r="AA48" s="16"/>
      <c r="AB48" s="16"/>
      <c r="AC48" s="16"/>
      <c r="AD48" s="284"/>
      <c r="AE48" s="284"/>
      <c r="AF48" s="284"/>
      <c r="AG48" s="284"/>
      <c r="AH48" s="284"/>
    </row>
    <row r="49" spans="1:34" s="15" customFormat="1">
      <c r="A49" s="16"/>
      <c r="B49" s="14"/>
      <c r="C49" s="14"/>
      <c r="J49" s="16"/>
      <c r="K49" s="16"/>
      <c r="L49" s="16"/>
      <c r="M49" s="16"/>
      <c r="N49" s="16"/>
      <c r="O49" s="16"/>
      <c r="Q49" s="16"/>
      <c r="R49" s="16"/>
      <c r="S49" s="16"/>
      <c r="T49" s="16"/>
      <c r="U49" s="16"/>
      <c r="V49" s="16"/>
      <c r="W49" s="16"/>
      <c r="X49" s="16"/>
      <c r="Y49" s="16"/>
      <c r="Z49" s="16"/>
      <c r="AA49" s="16"/>
      <c r="AB49" s="16"/>
      <c r="AC49" s="16"/>
      <c r="AD49" s="284"/>
      <c r="AE49" s="284"/>
      <c r="AF49" s="284"/>
      <c r="AG49" s="284"/>
      <c r="AH49" s="284"/>
    </row>
    <row r="50" spans="1:34" s="15" customFormat="1">
      <c r="A50" s="16"/>
      <c r="B50" s="14"/>
      <c r="C50" s="14"/>
      <c r="J50" s="16"/>
      <c r="K50" s="16"/>
      <c r="L50" s="16"/>
      <c r="M50" s="16"/>
      <c r="N50" s="16"/>
      <c r="O50" s="16"/>
      <c r="Q50" s="16"/>
      <c r="R50" s="16"/>
      <c r="S50" s="16"/>
      <c r="T50" s="16"/>
      <c r="U50" s="16"/>
      <c r="V50" s="16"/>
      <c r="W50" s="16"/>
      <c r="X50" s="16"/>
      <c r="Y50" s="16"/>
      <c r="Z50" s="16"/>
      <c r="AA50" s="16"/>
      <c r="AB50" s="16"/>
      <c r="AC50" s="16"/>
      <c r="AD50" s="284"/>
      <c r="AE50" s="284"/>
      <c r="AF50" s="284"/>
      <c r="AG50" s="284"/>
      <c r="AH50" s="284"/>
    </row>
    <row r="51" spans="1:34" s="15" customFormat="1">
      <c r="A51" s="16"/>
      <c r="B51" s="14"/>
      <c r="C51" s="14"/>
      <c r="J51" s="16"/>
      <c r="K51" s="16"/>
      <c r="L51" s="16"/>
      <c r="M51" s="16"/>
      <c r="N51" s="16"/>
      <c r="O51" s="16"/>
      <c r="Q51" s="16"/>
      <c r="R51" s="16"/>
      <c r="S51" s="16"/>
      <c r="T51" s="16"/>
      <c r="U51" s="16"/>
      <c r="V51" s="16"/>
      <c r="W51" s="16"/>
      <c r="X51" s="16"/>
      <c r="Y51" s="16"/>
      <c r="Z51" s="16"/>
      <c r="AA51" s="16"/>
      <c r="AB51" s="16"/>
      <c r="AC51" s="16"/>
      <c r="AD51" s="284"/>
      <c r="AE51" s="284"/>
      <c r="AF51" s="284"/>
      <c r="AG51" s="284"/>
      <c r="AH51" s="284"/>
    </row>
    <row r="52" spans="1:34" s="15" customFormat="1">
      <c r="A52" s="16"/>
      <c r="B52" s="14"/>
      <c r="C52" s="14"/>
      <c r="J52" s="16"/>
      <c r="K52" s="16"/>
      <c r="L52" s="16"/>
      <c r="M52" s="16"/>
      <c r="N52" s="16"/>
      <c r="O52" s="16"/>
      <c r="Q52" s="16"/>
      <c r="R52" s="16"/>
      <c r="S52" s="16"/>
      <c r="T52" s="16"/>
      <c r="U52" s="16"/>
      <c r="V52" s="16"/>
      <c r="W52" s="16"/>
      <c r="X52" s="16"/>
      <c r="Y52" s="16"/>
      <c r="Z52" s="16"/>
      <c r="AA52" s="16"/>
      <c r="AB52" s="16"/>
      <c r="AC52" s="16"/>
      <c r="AD52" s="284"/>
      <c r="AE52" s="284"/>
      <c r="AF52" s="284"/>
      <c r="AG52" s="284"/>
      <c r="AH52" s="284"/>
    </row>
    <row r="53" spans="1:34" s="15" customFormat="1">
      <c r="A53" s="16"/>
      <c r="B53" s="14"/>
      <c r="C53" s="14"/>
      <c r="J53" s="16"/>
      <c r="K53" s="16"/>
      <c r="L53" s="16"/>
      <c r="M53" s="16"/>
      <c r="N53" s="16"/>
      <c r="O53" s="16"/>
      <c r="Q53" s="16"/>
      <c r="R53" s="16"/>
      <c r="S53" s="16"/>
      <c r="T53" s="16"/>
      <c r="U53" s="16"/>
      <c r="V53" s="16"/>
      <c r="W53" s="16"/>
      <c r="X53" s="16"/>
      <c r="Y53" s="16"/>
      <c r="Z53" s="16"/>
      <c r="AA53" s="16"/>
      <c r="AB53" s="16"/>
      <c r="AC53" s="16"/>
      <c r="AD53" s="284"/>
      <c r="AE53" s="284"/>
      <c r="AF53" s="284"/>
      <c r="AG53" s="284"/>
      <c r="AH53" s="284"/>
    </row>
    <row r="54" spans="1:34" s="15" customFormat="1">
      <c r="A54" s="16"/>
      <c r="B54" s="14"/>
      <c r="C54" s="14"/>
      <c r="J54" s="16"/>
      <c r="K54" s="16"/>
      <c r="L54" s="16"/>
      <c r="M54" s="16"/>
      <c r="N54" s="16"/>
      <c r="O54" s="16"/>
      <c r="Q54" s="16"/>
      <c r="R54" s="16"/>
      <c r="S54" s="16"/>
      <c r="T54" s="16"/>
      <c r="U54" s="16"/>
      <c r="V54" s="16"/>
      <c r="W54" s="16"/>
      <c r="X54" s="16"/>
      <c r="Y54" s="16"/>
      <c r="Z54" s="16"/>
      <c r="AA54" s="16"/>
      <c r="AB54" s="16"/>
      <c r="AC54" s="16"/>
      <c r="AD54" s="284"/>
      <c r="AE54" s="284"/>
      <c r="AF54" s="284"/>
      <c r="AG54" s="284"/>
      <c r="AH54" s="284"/>
    </row>
    <row r="55" spans="1:34" s="15" customFormat="1">
      <c r="A55" s="16"/>
      <c r="B55" s="14"/>
      <c r="C55" s="14"/>
      <c r="J55" s="16"/>
      <c r="K55" s="16"/>
      <c r="L55" s="16"/>
      <c r="M55" s="16"/>
      <c r="N55" s="16"/>
      <c r="O55" s="16"/>
      <c r="Q55" s="16"/>
      <c r="R55" s="16"/>
      <c r="S55" s="16"/>
      <c r="T55" s="16"/>
      <c r="U55" s="16"/>
      <c r="V55" s="16"/>
      <c r="W55" s="16"/>
      <c r="X55" s="16"/>
      <c r="Y55" s="16"/>
      <c r="Z55" s="16"/>
      <c r="AA55" s="16"/>
      <c r="AB55" s="16"/>
      <c r="AC55" s="16"/>
      <c r="AD55" s="284"/>
      <c r="AE55" s="284"/>
      <c r="AF55" s="284"/>
      <c r="AG55" s="284"/>
      <c r="AH55" s="284"/>
    </row>
    <row r="56" spans="1:34" s="15" customFormat="1">
      <c r="A56" s="16"/>
      <c r="B56" s="14"/>
      <c r="C56" s="14"/>
      <c r="J56" s="16"/>
      <c r="K56" s="16"/>
      <c r="L56" s="16"/>
      <c r="M56" s="16"/>
      <c r="N56" s="16"/>
      <c r="O56" s="16"/>
      <c r="Q56" s="16"/>
      <c r="R56" s="16"/>
      <c r="S56" s="16"/>
      <c r="T56" s="16"/>
      <c r="U56" s="16"/>
      <c r="V56" s="16"/>
      <c r="W56" s="16"/>
      <c r="X56" s="16"/>
      <c r="Y56" s="16"/>
      <c r="Z56" s="16"/>
      <c r="AA56" s="16"/>
      <c r="AB56" s="16"/>
      <c r="AC56" s="16"/>
      <c r="AD56" s="284"/>
      <c r="AE56" s="284"/>
      <c r="AF56" s="284"/>
      <c r="AG56" s="284"/>
      <c r="AH56" s="284"/>
    </row>
    <row r="57" spans="1:34" s="15" customFormat="1">
      <c r="A57" s="16"/>
      <c r="B57" s="14"/>
      <c r="C57" s="14"/>
      <c r="J57" s="16"/>
      <c r="K57" s="16"/>
      <c r="L57" s="16"/>
      <c r="M57" s="16"/>
      <c r="N57" s="16"/>
      <c r="O57" s="16"/>
      <c r="Q57" s="16"/>
      <c r="R57" s="16"/>
      <c r="S57" s="16"/>
      <c r="T57" s="16"/>
      <c r="U57" s="16"/>
      <c r="V57" s="16"/>
      <c r="W57" s="16"/>
      <c r="X57" s="16"/>
      <c r="Y57" s="16"/>
      <c r="Z57" s="16"/>
      <c r="AA57" s="16"/>
      <c r="AB57" s="16"/>
      <c r="AC57" s="16"/>
      <c r="AD57" s="284"/>
      <c r="AE57" s="284"/>
      <c r="AF57" s="284"/>
      <c r="AG57" s="284"/>
      <c r="AH57" s="284"/>
    </row>
    <row r="58" spans="1:34" s="15" customFormat="1">
      <c r="A58" s="16"/>
      <c r="B58" s="14"/>
      <c r="C58" s="14"/>
      <c r="J58" s="16"/>
      <c r="K58" s="16"/>
      <c r="L58" s="16"/>
      <c r="M58" s="16"/>
      <c r="N58" s="16"/>
      <c r="O58" s="16"/>
      <c r="Q58" s="16"/>
      <c r="R58" s="16"/>
      <c r="S58" s="16"/>
      <c r="T58" s="16"/>
      <c r="U58" s="16"/>
      <c r="V58" s="16"/>
      <c r="W58" s="16"/>
      <c r="X58" s="16"/>
      <c r="Y58" s="16"/>
      <c r="Z58" s="16"/>
      <c r="AA58" s="16"/>
      <c r="AB58" s="16"/>
      <c r="AC58" s="16"/>
      <c r="AD58" s="284"/>
      <c r="AE58" s="284"/>
      <c r="AF58" s="284"/>
      <c r="AG58" s="284"/>
      <c r="AH58" s="284"/>
    </row>
    <row r="59" spans="1:34" s="15" customFormat="1">
      <c r="A59" s="16"/>
      <c r="B59" s="14"/>
      <c r="C59" s="14"/>
      <c r="J59" s="16"/>
      <c r="K59" s="16"/>
      <c r="L59" s="16"/>
      <c r="M59" s="16"/>
      <c r="N59" s="16"/>
      <c r="O59" s="16"/>
      <c r="Q59" s="16"/>
      <c r="R59" s="16"/>
      <c r="S59" s="16"/>
      <c r="T59" s="16"/>
      <c r="U59" s="16"/>
      <c r="V59" s="16"/>
      <c r="W59" s="16"/>
      <c r="X59" s="16"/>
      <c r="Y59" s="16"/>
      <c r="Z59" s="16"/>
      <c r="AA59" s="16"/>
      <c r="AB59" s="16"/>
      <c r="AC59" s="16"/>
      <c r="AD59" s="284"/>
      <c r="AE59" s="284"/>
      <c r="AF59" s="284"/>
      <c r="AG59" s="284"/>
      <c r="AH59" s="284"/>
    </row>
    <row r="60" spans="1:34" s="15" customFormat="1">
      <c r="A60" s="16"/>
      <c r="B60" s="14"/>
      <c r="C60" s="14"/>
      <c r="J60" s="16"/>
      <c r="K60" s="16"/>
      <c r="L60" s="16"/>
      <c r="M60" s="16"/>
      <c r="N60" s="16"/>
      <c r="O60" s="16"/>
      <c r="Q60" s="16"/>
      <c r="R60" s="16"/>
      <c r="S60" s="16"/>
      <c r="T60" s="16"/>
      <c r="U60" s="16"/>
      <c r="V60" s="16"/>
      <c r="W60" s="16"/>
      <c r="X60" s="16"/>
      <c r="Y60" s="16"/>
      <c r="Z60" s="16"/>
      <c r="AA60" s="16"/>
      <c r="AB60" s="16"/>
      <c r="AC60" s="16"/>
      <c r="AD60" s="284"/>
      <c r="AE60" s="284"/>
      <c r="AF60" s="284"/>
      <c r="AG60" s="284"/>
      <c r="AH60" s="284"/>
    </row>
    <row r="61" spans="1:34" s="15" customFormat="1">
      <c r="A61" s="16"/>
      <c r="B61" s="14"/>
      <c r="C61" s="14"/>
      <c r="J61" s="16"/>
      <c r="K61" s="16"/>
      <c r="L61" s="16"/>
      <c r="M61" s="16"/>
      <c r="N61" s="16"/>
      <c r="O61" s="16"/>
      <c r="Q61" s="16"/>
      <c r="R61" s="16"/>
      <c r="S61" s="16"/>
      <c r="T61" s="16"/>
      <c r="U61" s="16"/>
      <c r="V61" s="16"/>
      <c r="W61" s="16"/>
      <c r="X61" s="16"/>
      <c r="Y61" s="16"/>
      <c r="Z61" s="16"/>
      <c r="AA61" s="16"/>
      <c r="AB61" s="16"/>
      <c r="AC61" s="16"/>
      <c r="AD61" s="284"/>
      <c r="AE61" s="284"/>
      <c r="AF61" s="284"/>
      <c r="AG61" s="284"/>
      <c r="AH61" s="284"/>
    </row>
    <row r="62" spans="1:34" s="15" customFormat="1">
      <c r="A62" s="16"/>
      <c r="B62" s="14"/>
      <c r="C62" s="14"/>
      <c r="J62" s="16"/>
      <c r="K62" s="16"/>
      <c r="L62" s="16"/>
      <c r="M62" s="16"/>
      <c r="N62" s="16"/>
      <c r="O62" s="16"/>
      <c r="Q62" s="16"/>
      <c r="R62" s="16"/>
      <c r="S62" s="16"/>
      <c r="T62" s="16"/>
      <c r="U62" s="16"/>
      <c r="V62" s="16"/>
      <c r="W62" s="16"/>
      <c r="X62" s="16"/>
      <c r="Y62" s="16"/>
      <c r="Z62" s="16"/>
      <c r="AA62" s="16"/>
      <c r="AB62" s="16"/>
      <c r="AC62" s="16"/>
      <c r="AD62" s="284"/>
      <c r="AE62" s="284"/>
      <c r="AF62" s="284"/>
      <c r="AG62" s="284"/>
      <c r="AH62" s="284"/>
    </row>
    <row r="63" spans="1:34" s="15" customFormat="1">
      <c r="A63" s="16"/>
      <c r="B63" s="14"/>
      <c r="C63" s="14"/>
      <c r="J63" s="16"/>
      <c r="K63" s="16"/>
      <c r="L63" s="16"/>
      <c r="M63" s="16"/>
      <c r="N63" s="16"/>
      <c r="O63" s="16"/>
      <c r="Q63" s="16"/>
      <c r="R63" s="16"/>
      <c r="S63" s="16"/>
      <c r="T63" s="16"/>
      <c r="U63" s="16"/>
      <c r="V63" s="16"/>
      <c r="W63" s="16"/>
      <c r="X63" s="16"/>
      <c r="Y63" s="16"/>
      <c r="Z63" s="16"/>
      <c r="AA63" s="16"/>
      <c r="AB63" s="16"/>
      <c r="AC63" s="16"/>
      <c r="AD63" s="284"/>
      <c r="AE63" s="284"/>
      <c r="AF63" s="284"/>
      <c r="AG63" s="284"/>
      <c r="AH63" s="284"/>
    </row>
    <row r="64" spans="1:34" s="15" customFormat="1">
      <c r="A64" s="16"/>
      <c r="B64" s="14"/>
      <c r="C64" s="14"/>
      <c r="J64" s="16"/>
      <c r="K64" s="16"/>
      <c r="L64" s="16"/>
      <c r="M64" s="16"/>
      <c r="N64" s="16"/>
      <c r="O64" s="16"/>
      <c r="Q64" s="16"/>
      <c r="R64" s="16"/>
      <c r="S64" s="16"/>
      <c r="T64" s="16"/>
      <c r="U64" s="16"/>
      <c r="V64" s="16"/>
      <c r="W64" s="16"/>
      <c r="X64" s="16"/>
      <c r="Y64" s="16"/>
      <c r="Z64" s="16"/>
      <c r="AA64" s="16"/>
      <c r="AB64" s="16"/>
      <c r="AC64" s="16"/>
      <c r="AD64" s="284"/>
      <c r="AE64" s="284"/>
      <c r="AF64" s="284"/>
      <c r="AG64" s="284"/>
      <c r="AH64" s="284"/>
    </row>
    <row r="65" spans="1:34" s="15" customFormat="1">
      <c r="A65" s="16"/>
      <c r="B65" s="14"/>
      <c r="C65" s="14"/>
      <c r="J65" s="16"/>
      <c r="K65" s="16"/>
      <c r="L65" s="16"/>
      <c r="M65" s="16"/>
      <c r="N65" s="16"/>
      <c r="O65" s="16"/>
      <c r="Q65" s="16"/>
      <c r="R65" s="16"/>
      <c r="S65" s="16"/>
      <c r="T65" s="16"/>
      <c r="U65" s="16"/>
      <c r="V65" s="16"/>
      <c r="W65" s="16"/>
      <c r="X65" s="16"/>
      <c r="Y65" s="16"/>
      <c r="Z65" s="16"/>
      <c r="AA65" s="16"/>
      <c r="AB65" s="16"/>
      <c r="AC65" s="16"/>
      <c r="AD65" s="284"/>
      <c r="AE65" s="284"/>
      <c r="AF65" s="284"/>
      <c r="AG65" s="284"/>
      <c r="AH65" s="284"/>
    </row>
    <row r="66" spans="1:34" s="15" customFormat="1">
      <c r="A66" s="16"/>
      <c r="B66" s="14"/>
      <c r="C66" s="14"/>
      <c r="J66" s="16"/>
      <c r="K66" s="16"/>
      <c r="L66" s="16"/>
      <c r="M66" s="16"/>
      <c r="N66" s="16"/>
      <c r="O66" s="16"/>
      <c r="Q66" s="16"/>
      <c r="R66" s="16"/>
      <c r="S66" s="16"/>
      <c r="T66" s="16"/>
      <c r="U66" s="16"/>
      <c r="V66" s="16"/>
      <c r="W66" s="16"/>
      <c r="X66" s="16"/>
      <c r="Y66" s="16"/>
      <c r="Z66" s="16"/>
      <c r="AA66" s="16"/>
      <c r="AB66" s="16"/>
      <c r="AC66" s="16"/>
      <c r="AD66" s="284"/>
      <c r="AE66" s="284"/>
      <c r="AF66" s="284"/>
      <c r="AG66" s="284"/>
      <c r="AH66" s="284"/>
    </row>
    <row r="67" spans="1:34" s="15" customFormat="1">
      <c r="A67" s="16"/>
      <c r="B67" s="14"/>
      <c r="C67" s="14"/>
      <c r="J67" s="16"/>
      <c r="K67" s="16"/>
      <c r="L67" s="16"/>
      <c r="M67" s="16"/>
      <c r="N67" s="16"/>
      <c r="O67" s="16"/>
      <c r="Q67" s="16"/>
      <c r="R67" s="16"/>
      <c r="S67" s="16"/>
      <c r="T67" s="16"/>
      <c r="U67" s="16"/>
      <c r="V67" s="16"/>
      <c r="W67" s="16"/>
      <c r="X67" s="16"/>
      <c r="Y67" s="16"/>
      <c r="Z67" s="16"/>
      <c r="AA67" s="16"/>
      <c r="AB67" s="16"/>
      <c r="AC67" s="16"/>
      <c r="AD67" s="284"/>
      <c r="AE67" s="284"/>
      <c r="AF67" s="284"/>
      <c r="AG67" s="284"/>
      <c r="AH67" s="284"/>
    </row>
    <row r="68" spans="1:34" s="15" customFormat="1">
      <c r="A68" s="16"/>
      <c r="B68" s="14"/>
      <c r="C68" s="14"/>
      <c r="J68" s="16"/>
      <c r="K68" s="16"/>
      <c r="L68" s="16"/>
      <c r="M68" s="16"/>
      <c r="N68" s="16"/>
      <c r="O68" s="16"/>
      <c r="Q68" s="16"/>
      <c r="R68" s="16"/>
      <c r="S68" s="16"/>
      <c r="T68" s="16"/>
      <c r="U68" s="16"/>
      <c r="V68" s="16"/>
      <c r="W68" s="16"/>
      <c r="X68" s="16"/>
      <c r="Y68" s="16"/>
      <c r="Z68" s="16"/>
      <c r="AA68" s="16"/>
      <c r="AB68" s="16"/>
      <c r="AC68" s="16"/>
      <c r="AD68" s="284"/>
      <c r="AE68" s="284"/>
      <c r="AF68" s="284"/>
      <c r="AG68" s="284"/>
      <c r="AH68" s="284"/>
    </row>
    <row r="69" spans="1:34" s="15" customFormat="1">
      <c r="A69" s="16"/>
      <c r="B69" s="14"/>
      <c r="C69" s="14"/>
      <c r="J69" s="16"/>
      <c r="K69" s="16"/>
      <c r="L69" s="16"/>
      <c r="M69" s="16"/>
      <c r="N69" s="16"/>
      <c r="O69" s="16"/>
      <c r="Q69" s="16"/>
      <c r="R69" s="16"/>
      <c r="S69" s="16"/>
      <c r="T69" s="16"/>
      <c r="U69" s="16"/>
      <c r="V69" s="16"/>
      <c r="W69" s="16"/>
      <c r="X69" s="16"/>
      <c r="Y69" s="16"/>
      <c r="Z69" s="16"/>
      <c r="AA69" s="16"/>
      <c r="AB69" s="16"/>
      <c r="AC69" s="16"/>
      <c r="AD69" s="284"/>
      <c r="AE69" s="284"/>
      <c r="AF69" s="284"/>
      <c r="AG69" s="284"/>
      <c r="AH69" s="284"/>
    </row>
    <row r="70" spans="1:34" s="15" customFormat="1">
      <c r="A70" s="16"/>
      <c r="B70" s="14"/>
      <c r="C70" s="14"/>
      <c r="J70" s="16"/>
      <c r="K70" s="16"/>
      <c r="L70" s="16"/>
      <c r="M70" s="16"/>
      <c r="N70" s="16"/>
      <c r="O70" s="16"/>
      <c r="Q70" s="16"/>
      <c r="R70" s="16"/>
      <c r="S70" s="16"/>
      <c r="T70" s="16"/>
      <c r="U70" s="16"/>
      <c r="V70" s="16"/>
      <c r="W70" s="16"/>
      <c r="X70" s="16"/>
      <c r="Y70" s="16"/>
      <c r="Z70" s="16"/>
      <c r="AA70" s="16"/>
      <c r="AB70" s="16"/>
      <c r="AC70" s="16"/>
      <c r="AD70" s="284"/>
      <c r="AE70" s="284"/>
      <c r="AF70" s="284"/>
      <c r="AG70" s="284"/>
      <c r="AH70" s="284"/>
    </row>
    <row r="71" spans="1:34" s="15" customFormat="1">
      <c r="A71" s="16"/>
      <c r="B71" s="14"/>
      <c r="C71" s="14"/>
      <c r="J71" s="16"/>
      <c r="K71" s="16"/>
      <c r="L71" s="16"/>
      <c r="M71" s="16"/>
      <c r="N71" s="16"/>
      <c r="O71" s="16"/>
      <c r="Q71" s="16"/>
      <c r="R71" s="16"/>
      <c r="S71" s="16"/>
      <c r="T71" s="16"/>
      <c r="U71" s="16"/>
      <c r="V71" s="16"/>
      <c r="W71" s="16"/>
      <c r="X71" s="16"/>
      <c r="Y71" s="16"/>
      <c r="Z71" s="16"/>
      <c r="AA71" s="16"/>
      <c r="AB71" s="16"/>
      <c r="AC71" s="16"/>
      <c r="AD71" s="284"/>
      <c r="AE71" s="284"/>
      <c r="AF71" s="284"/>
      <c r="AG71" s="284"/>
      <c r="AH71" s="284"/>
    </row>
    <row r="72" spans="1:34" s="15" customFormat="1">
      <c r="A72" s="16"/>
      <c r="B72" s="14"/>
      <c r="C72" s="14"/>
      <c r="J72" s="16"/>
      <c r="K72" s="16"/>
      <c r="L72" s="16"/>
      <c r="M72" s="16"/>
      <c r="N72" s="16"/>
      <c r="O72" s="16"/>
      <c r="Q72" s="16"/>
      <c r="R72" s="16"/>
      <c r="S72" s="16"/>
      <c r="T72" s="16"/>
      <c r="U72" s="16"/>
      <c r="V72" s="16"/>
      <c r="W72" s="16"/>
      <c r="X72" s="16"/>
      <c r="Y72" s="16"/>
      <c r="Z72" s="16"/>
      <c r="AA72" s="16"/>
      <c r="AB72" s="16"/>
      <c r="AC72" s="16"/>
      <c r="AD72" s="284"/>
      <c r="AE72" s="284"/>
      <c r="AF72" s="284"/>
      <c r="AG72" s="284"/>
      <c r="AH72" s="284"/>
    </row>
    <row r="73" spans="1:34" s="15" customFormat="1">
      <c r="A73" s="16"/>
      <c r="B73" s="14"/>
      <c r="C73" s="14"/>
      <c r="J73" s="16"/>
      <c r="K73" s="16"/>
      <c r="L73" s="16"/>
      <c r="M73" s="16"/>
      <c r="N73" s="16"/>
      <c r="O73" s="16"/>
      <c r="Q73" s="16"/>
      <c r="R73" s="16"/>
      <c r="S73" s="16"/>
      <c r="T73" s="16"/>
      <c r="U73" s="16"/>
      <c r="V73" s="16"/>
      <c r="W73" s="16"/>
      <c r="X73" s="16"/>
      <c r="Y73" s="16"/>
      <c r="Z73" s="16"/>
      <c r="AA73" s="16"/>
      <c r="AB73" s="16"/>
      <c r="AC73" s="16"/>
      <c r="AD73" s="284"/>
      <c r="AE73" s="284"/>
      <c r="AF73" s="284"/>
      <c r="AG73" s="284"/>
      <c r="AH73" s="284"/>
    </row>
    <row r="74" spans="1:34" s="15" customFormat="1">
      <c r="A74" s="16"/>
      <c r="B74" s="14"/>
      <c r="C74" s="14"/>
      <c r="J74" s="16"/>
      <c r="K74" s="16"/>
      <c r="L74" s="16"/>
      <c r="M74" s="16"/>
      <c r="N74" s="16"/>
      <c r="O74" s="16"/>
      <c r="Q74" s="16"/>
      <c r="R74" s="16"/>
      <c r="S74" s="16"/>
      <c r="T74" s="16"/>
      <c r="U74" s="16"/>
      <c r="V74" s="16"/>
      <c r="W74" s="16"/>
      <c r="X74" s="16"/>
      <c r="Y74" s="16"/>
      <c r="Z74" s="16"/>
      <c r="AA74" s="16"/>
      <c r="AB74" s="16"/>
      <c r="AC74" s="16"/>
      <c r="AD74" s="284"/>
      <c r="AE74" s="284"/>
      <c r="AF74" s="284"/>
      <c r="AG74" s="284"/>
      <c r="AH74" s="284"/>
    </row>
    <row r="75" spans="1:34" s="15" customFormat="1">
      <c r="A75" s="16"/>
      <c r="B75" s="14"/>
      <c r="C75" s="14"/>
      <c r="J75" s="16"/>
      <c r="K75" s="16"/>
      <c r="L75" s="16"/>
      <c r="M75" s="16"/>
      <c r="N75" s="16"/>
      <c r="O75" s="16"/>
      <c r="Q75" s="16"/>
      <c r="R75" s="16"/>
      <c r="S75" s="16"/>
      <c r="T75" s="16"/>
      <c r="U75" s="16"/>
      <c r="V75" s="16"/>
      <c r="W75" s="16"/>
      <c r="X75" s="16"/>
      <c r="Y75" s="16"/>
      <c r="Z75" s="16"/>
      <c r="AA75" s="16"/>
      <c r="AB75" s="16"/>
      <c r="AC75" s="16"/>
      <c r="AD75" s="284"/>
      <c r="AE75" s="284"/>
      <c r="AF75" s="284"/>
      <c r="AG75" s="284"/>
      <c r="AH75" s="284"/>
    </row>
    <row r="76" spans="1:34" s="15" customFormat="1">
      <c r="A76" s="16"/>
      <c r="B76" s="14"/>
      <c r="C76" s="14"/>
      <c r="J76" s="16"/>
      <c r="K76" s="16"/>
      <c r="L76" s="16"/>
      <c r="M76" s="16"/>
      <c r="N76" s="16"/>
      <c r="O76" s="16"/>
      <c r="Q76" s="16"/>
      <c r="R76" s="16"/>
      <c r="S76" s="16"/>
      <c r="T76" s="16"/>
      <c r="U76" s="16"/>
      <c r="V76" s="16"/>
      <c r="W76" s="16"/>
      <c r="X76" s="16"/>
      <c r="Y76" s="16"/>
      <c r="Z76" s="16"/>
      <c r="AA76" s="16"/>
      <c r="AB76" s="16"/>
      <c r="AC76" s="16"/>
      <c r="AD76" s="284"/>
      <c r="AE76" s="284"/>
      <c r="AF76" s="284"/>
      <c r="AG76" s="284"/>
      <c r="AH76" s="284"/>
    </row>
  </sheetData>
  <mergeCells count="77">
    <mergeCell ref="AJ12:AJ13"/>
    <mergeCell ref="AK12:AK13"/>
    <mergeCell ref="AL12:AL13"/>
    <mergeCell ref="M12:O12"/>
    <mergeCell ref="M20:O20"/>
    <mergeCell ref="R12:W12"/>
    <mergeCell ref="X12:X13"/>
    <mergeCell ref="AD12:AH12"/>
    <mergeCell ref="Y12:AC12"/>
    <mergeCell ref="M28:O28"/>
    <mergeCell ref="Y28:AC28"/>
    <mergeCell ref="Q12:Q13"/>
    <mergeCell ref="P12:P13"/>
    <mergeCell ref="P20:P21"/>
    <mergeCell ref="P28:P29"/>
    <mergeCell ref="J2:K2"/>
    <mergeCell ref="L2:M2"/>
    <mergeCell ref="N2:O2"/>
    <mergeCell ref="J3:K3"/>
    <mergeCell ref="L3:M3"/>
    <mergeCell ref="N3:O3"/>
    <mergeCell ref="K28:L28"/>
    <mergeCell ref="J20:J21"/>
    <mergeCell ref="K20:L20"/>
    <mergeCell ref="D15:F15"/>
    <mergeCell ref="D16:F16"/>
    <mergeCell ref="G15:I15"/>
    <mergeCell ref="G16:I16"/>
    <mergeCell ref="G21:I21"/>
    <mergeCell ref="B20:B21"/>
    <mergeCell ref="C20:C21"/>
    <mergeCell ref="B28:B29"/>
    <mergeCell ref="C28:C29"/>
    <mergeCell ref="J28:J29"/>
    <mergeCell ref="D23:F23"/>
    <mergeCell ref="D24:F24"/>
    <mergeCell ref="D20:I20"/>
    <mergeCell ref="D21:F21"/>
    <mergeCell ref="D28:I28"/>
    <mergeCell ref="B12:B13"/>
    <mergeCell ref="C12:C13"/>
    <mergeCell ref="J12:J13"/>
    <mergeCell ref="K12:L12"/>
    <mergeCell ref="D13:F13"/>
    <mergeCell ref="G13:I13"/>
    <mergeCell ref="D12:I12"/>
    <mergeCell ref="AL28:AL29"/>
    <mergeCell ref="Q20:Q21"/>
    <mergeCell ref="Q28:Q29"/>
    <mergeCell ref="AD20:AH20"/>
    <mergeCell ref="AJ20:AJ21"/>
    <mergeCell ref="AJ28:AJ29"/>
    <mergeCell ref="AD28:AH28"/>
    <mergeCell ref="R20:W20"/>
    <mergeCell ref="X20:X21"/>
    <mergeCell ref="Y20:AC20"/>
    <mergeCell ref="R28:W28"/>
    <mergeCell ref="AK28:AK29"/>
    <mergeCell ref="X28:X29"/>
    <mergeCell ref="AK20:AK21"/>
    <mergeCell ref="AL20:AL21"/>
    <mergeCell ref="G32:I32"/>
    <mergeCell ref="D31:F31"/>
    <mergeCell ref="D32:F32"/>
    <mergeCell ref="B2:B3"/>
    <mergeCell ref="C2:C3"/>
    <mergeCell ref="D2:E2"/>
    <mergeCell ref="F2:G2"/>
    <mergeCell ref="H2:I2"/>
    <mergeCell ref="D3:E3"/>
    <mergeCell ref="F3:G3"/>
    <mergeCell ref="H3:I3"/>
    <mergeCell ref="D29:F29"/>
    <mergeCell ref="G29:I29"/>
    <mergeCell ref="G23:I23"/>
    <mergeCell ref="G24:I24"/>
    <mergeCell ref="G31:I31"/>
  </mergeCells>
  <phoneticPr fontId="13" type="noConversion"/>
  <dataValidations count="12">
    <dataValidation type="list" allowBlank="1" showInputMessage="1" showErrorMessage="1" sqref="AI15:AI16 AI31:AI32 AI23:AI24">
      <formula1>DQ</formula1>
    </dataValidation>
    <dataValidation type="list" allowBlank="1" showInputMessage="1" showErrorMessage="1" sqref="J14:J16 G17:I19 G25:I27 J30:J32 J22:J24">
      <formula1>NK</formula1>
    </dataValidation>
    <dataValidation type="list" allowBlank="1" showInputMessage="1" showErrorMessage="1" sqref="D31:D32">
      <formula1>Aggregate</formula1>
    </dataValidation>
    <dataValidation type="list" allowBlank="1" showInputMessage="1" showErrorMessage="1" sqref="D15:D19 E17:F19">
      <formula1>AFOLU_Livestock</formula1>
    </dataValidation>
    <dataValidation type="list" allowBlank="1" showInputMessage="1" showErrorMessage="1" sqref="D25:F27">
      <formula1>Land_Use</formula1>
    </dataValidation>
    <dataValidation type="list" allowBlank="1" showInputMessage="1" showErrorMessage="1" sqref="P15:P16 P31:P32 P23:P24">
      <formula1>Gases</formula1>
    </dataValidation>
    <dataValidation type="list" allowBlank="1" showInputMessage="1" showErrorMessage="1" sqref="AK23:AK24 AK31:AK32 AK15:AK16">
      <formula1>DataSource</formula1>
    </dataValidation>
    <dataValidation type="list" allowBlank="1" showInputMessage="1" showErrorMessage="1" sqref="Q15:Q16 Q31:Q32 Q23:Q24">
      <formula1>EmissionFactor</formula1>
    </dataValidation>
    <dataValidation type="list" allowBlank="1" showInputMessage="1" showErrorMessage="1" sqref="X15:X16 X23:X24 X31:X32">
      <formula1>Tick</formula1>
    </dataValidation>
    <dataValidation type="list" allowBlank="1" showInputMessage="1" showErrorMessage="1" sqref="D23:D24">
      <formula1>AFOLU_Land</formula1>
    </dataValidation>
    <dataValidation type="list" allowBlank="1" showInputMessage="1" showErrorMessage="1" sqref="N15:N16 N23:N24 N31:N32">
      <formula1>Conversion_factor_to</formula1>
    </dataValidation>
    <dataValidation type="list" allowBlank="1" showInputMessage="1" showErrorMessage="1" sqref="M15:M16 M23:M24 M31:M32">
      <formula1>Conversion_factor_from</formula1>
    </dataValidation>
  </dataValidations>
  <hyperlinks>
    <hyperlink ref="F2" location="'City information'!A1" display="Set-up"/>
    <hyperlink ref="G2" location="'City information'!A1" display="'City information'!A1"/>
    <hyperlink ref="L2" location="Results!A1" display="Results"/>
    <hyperlink ref="M2" location="Results!A1" display="Results!A1"/>
    <hyperlink ref="J2" location="Calculators!A1" display="Calculators"/>
    <hyperlink ref="K2" location="Calculators!A1" display="Calculators!A1"/>
    <hyperlink ref="N2" location="Analysis!A1" display="Analysis"/>
    <hyperlink ref="O2" location="Analysis!A1" display="Analysis!A1"/>
    <hyperlink ref="H2" location="Inventory!A1" display="Inventory"/>
    <hyperlink ref="I2" location="Inventory!A1" display="Inventory!A1"/>
    <hyperlink ref="D3" location="'I - Stationary'!A1" display="Stationary"/>
    <hyperlink ref="E3" location="'I - Stationary'!A1" display="'I - Stationary'!A1"/>
    <hyperlink ref="F3" location="'II - Transport'!A1" display="Transportation"/>
    <hyperlink ref="G3" location="'II - Transport'!A1" display="'II - Transport'!A1"/>
    <hyperlink ref="H3" location="'III - Waste'!A1" display="Waste"/>
    <hyperlink ref="I3" location="'III - Waste'!A1" display="'III - Waste'!A1"/>
    <hyperlink ref="J3" location="'IV - IPPU'!A1" display="IPPU"/>
    <hyperlink ref="K3" location="'IV - IPPU'!A1" display="'IV - IPPU'!A1"/>
    <hyperlink ref="N3" location="'VI - Other scope 3'!A1" display="Scope 3"/>
    <hyperlink ref="O3" location="'VI - Other scope 3'!A1" display="'VI - Other scope 3'!A1"/>
    <hyperlink ref="D2" location="Home!A1" display="Introduction"/>
    <hyperlink ref="E2" location="Home!A1" display="Home!A1"/>
  </hyperlinks>
  <printOptions verticalCentered="1"/>
  <pageMargins left="0.15748031496062992" right="0.15748031496062992" top="0.15748031496062992" bottom="0.15748031496062992" header="0.30000000000000004" footer="0.15748031496062992"/>
  <pageSetup paperSize="9" scale="29" orientation="landscape" horizontalDpi="4294967292" verticalDpi="4294967292"/>
  <drawing r:id="rId1"/>
  <extLst>
    <ext xmlns:mx="http://schemas.microsoft.com/office/mac/excel/2008/main" uri="{64002731-A6B0-56B0-2670-7721B7C09600}">
      <mx:PLV Mode="0" OnePage="0" WScale="29"/>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theme="3" tint="0.79998168889431442"/>
    <outlinePr summaryBelow="0" summaryRight="0"/>
    <pageSetUpPr autoPageBreaks="0" fitToPage="1"/>
  </sheetPr>
  <dimension ref="A1:CN89"/>
  <sheetViews>
    <sheetView showGridLines="0" showRowColHeaders="0" workbookViewId="0">
      <selection activeCell="J2" sqref="J2:K2"/>
    </sheetView>
  </sheetViews>
  <sheetFormatPr baseColWidth="10" defaultColWidth="0" defaultRowHeight="15" x14ac:dyDescent="0"/>
  <cols>
    <col min="1" max="1" width="4.6640625" customWidth="1"/>
    <col min="2" max="3" width="12.83203125" style="5" customWidth="1"/>
    <col min="4" max="9" width="12.83203125" customWidth="1"/>
    <col min="10" max="10" width="12.83203125" style="6" customWidth="1"/>
    <col min="11" max="15" width="12.83203125" customWidth="1"/>
    <col min="16" max="17" width="24.6640625" customWidth="1"/>
    <col min="18" max="18" width="12.6640625" customWidth="1"/>
    <col min="19" max="21" width="12.1640625" customWidth="1"/>
    <col min="22" max="23" width="12.33203125" customWidth="1"/>
    <col min="24" max="24" width="24.83203125" customWidth="1"/>
    <col min="25" max="29" width="12.33203125" customWidth="1"/>
    <col min="30" max="34" width="12.33203125" style="280" customWidth="1"/>
    <col min="35" max="35" width="12.83203125" customWidth="1"/>
    <col min="36" max="38" width="71.83203125" customWidth="1"/>
    <col min="39" max="39" width="4.83203125" style="15" customWidth="1"/>
    <col min="40" max="67" width="0" style="15" hidden="1" customWidth="1"/>
    <col min="68" max="92" width="0" hidden="1" customWidth="1"/>
    <col min="93" max="16384" width="10.83203125" hidden="1"/>
  </cols>
  <sheetData>
    <row r="1" spans="1:67" s="498" customFormat="1">
      <c r="T1" s="499"/>
      <c r="U1" s="499"/>
    </row>
    <row r="2" spans="1:67" s="464" customFormat="1" ht="31" customHeight="1">
      <c r="A2" s="494"/>
      <c r="B2" s="1817" t="s">
        <v>1965</v>
      </c>
      <c r="C2" s="1819">
        <v>400</v>
      </c>
      <c r="D2" s="1849" t="s">
        <v>1555</v>
      </c>
      <c r="E2" s="1850"/>
      <c r="F2" s="1849" t="s">
        <v>1563</v>
      </c>
      <c r="G2" s="1850"/>
      <c r="H2" s="1847" t="s">
        <v>794</v>
      </c>
      <c r="I2" s="2103"/>
      <c r="J2" s="1849" t="s">
        <v>1570</v>
      </c>
      <c r="K2" s="1850"/>
      <c r="L2" s="1849" t="s">
        <v>1564</v>
      </c>
      <c r="M2" s="1850"/>
      <c r="N2" s="1849" t="s">
        <v>1602</v>
      </c>
      <c r="O2" s="1850"/>
      <c r="P2" s="494"/>
      <c r="Q2" s="494"/>
      <c r="R2" s="494"/>
      <c r="S2" s="494"/>
      <c r="T2" s="494"/>
      <c r="U2" s="494"/>
      <c r="V2" s="494"/>
      <c r="W2" s="494"/>
      <c r="X2" s="494"/>
      <c r="Y2" s="494"/>
      <c r="Z2" s="494"/>
      <c r="AA2" s="494"/>
      <c r="AB2" s="494"/>
      <c r="AC2" s="494"/>
      <c r="AD2" s="494"/>
      <c r="AE2" s="494"/>
      <c r="AF2" s="494"/>
      <c r="AG2" s="494"/>
      <c r="AH2" s="494"/>
      <c r="AI2" s="494"/>
      <c r="AJ2" s="494"/>
      <c r="AK2" s="494"/>
      <c r="AL2" s="494"/>
      <c r="AM2" s="494"/>
    </row>
    <row r="3" spans="1:67" s="464" customFormat="1" ht="31" customHeight="1">
      <c r="A3" s="494"/>
      <c r="B3" s="1818"/>
      <c r="C3" s="1820"/>
      <c r="D3" s="1843" t="s">
        <v>270</v>
      </c>
      <c r="E3" s="1844"/>
      <c r="F3" s="1843" t="s">
        <v>760</v>
      </c>
      <c r="G3" s="1844"/>
      <c r="H3" s="1843" t="s">
        <v>761</v>
      </c>
      <c r="I3" s="1844"/>
      <c r="J3" s="1843" t="s">
        <v>208</v>
      </c>
      <c r="K3" s="1844"/>
      <c r="L3" s="1843" t="s">
        <v>209</v>
      </c>
      <c r="M3" s="1844"/>
      <c r="N3" s="1847" t="s">
        <v>3</v>
      </c>
      <c r="O3" s="2103"/>
      <c r="P3" s="494"/>
      <c r="Q3" s="494"/>
      <c r="R3" s="494"/>
      <c r="S3" s="494"/>
      <c r="T3" s="494"/>
      <c r="U3" s="494"/>
      <c r="V3" s="494"/>
      <c r="W3" s="494"/>
      <c r="X3" s="494"/>
      <c r="Y3" s="494"/>
      <c r="Z3" s="494"/>
      <c r="AA3" s="494"/>
      <c r="AB3" s="494"/>
      <c r="AC3" s="494"/>
      <c r="AD3" s="494"/>
      <c r="AE3" s="494"/>
      <c r="AF3" s="494"/>
      <c r="AG3" s="494"/>
      <c r="AH3" s="494"/>
      <c r="AI3" s="494"/>
      <c r="AJ3" s="494"/>
      <c r="AK3" s="494"/>
      <c r="AL3" s="494"/>
      <c r="AM3" s="494"/>
    </row>
    <row r="4" spans="1:67" s="494" customFormat="1" ht="15" customHeight="1">
      <c r="B4" s="492"/>
      <c r="C4" s="495"/>
      <c r="D4" s="497"/>
      <c r="E4" s="497"/>
      <c r="F4" s="497"/>
      <c r="G4" s="497"/>
      <c r="H4" s="497"/>
      <c r="I4" s="497"/>
      <c r="J4" s="497"/>
      <c r="K4" s="497"/>
      <c r="L4" s="497"/>
      <c r="M4" s="497"/>
      <c r="N4" s="496"/>
      <c r="O4" s="496"/>
      <c r="P4" s="496"/>
      <c r="Q4" s="496"/>
      <c r="R4" s="496"/>
      <c r="S4" s="496"/>
    </row>
    <row r="5" spans="1:67" s="668" customFormat="1" ht="31" customHeight="1">
      <c r="K5" s="303"/>
      <c r="L5" s="303"/>
      <c r="M5" s="303"/>
      <c r="N5" s="303"/>
      <c r="O5" s="303"/>
      <c r="P5" s="303"/>
      <c r="Q5" s="303"/>
      <c r="R5" s="303"/>
      <c r="S5" s="303"/>
      <c r="T5" s="303"/>
      <c r="U5" s="303"/>
      <c r="W5" s="670"/>
      <c r="X5" s="670"/>
      <c r="Y5" s="670"/>
    </row>
    <row r="6" spans="1:67" s="29" customFormat="1" ht="31" customHeight="1" thickBot="1">
      <c r="A6" s="2682"/>
      <c r="B6" s="491" t="s">
        <v>252</v>
      </c>
      <c r="C6" s="466"/>
      <c r="D6" s="466"/>
      <c r="E6" s="466"/>
      <c r="F6" s="466"/>
      <c r="G6" s="466"/>
      <c r="H6" s="466"/>
      <c r="I6" s="466"/>
      <c r="J6" s="466"/>
      <c r="K6" s="466"/>
      <c r="L6" s="466"/>
      <c r="M6" s="466"/>
      <c r="N6" s="466"/>
      <c r="O6" s="466"/>
      <c r="P6" s="466"/>
      <c r="Q6" s="663"/>
      <c r="R6" s="663"/>
      <c r="S6" s="663"/>
      <c r="T6" s="663"/>
      <c r="U6" s="663"/>
      <c r="V6" s="663"/>
      <c r="W6" s="663"/>
      <c r="X6" s="663"/>
      <c r="Y6" s="468"/>
      <c r="Z6" s="468"/>
      <c r="AA6" s="468"/>
      <c r="AB6" s="468"/>
      <c r="AC6" s="468"/>
      <c r="AD6" s="468"/>
      <c r="AE6" s="468"/>
      <c r="AF6" s="468"/>
      <c r="AG6" s="468"/>
      <c r="AH6" s="468"/>
      <c r="AI6" s="468"/>
      <c r="AJ6" s="468"/>
      <c r="AK6" s="663"/>
      <c r="AL6" s="468"/>
    </row>
    <row r="7" spans="1:67" s="15" customFormat="1" ht="16" thickTop="1">
      <c r="B7" s="14"/>
      <c r="C7" s="14"/>
      <c r="J7" s="16"/>
      <c r="K7" s="242"/>
      <c r="L7" s="242"/>
      <c r="M7" s="242"/>
      <c r="N7" s="242"/>
      <c r="O7" s="242"/>
      <c r="Q7" s="242"/>
      <c r="R7" s="242"/>
      <c r="S7" s="27"/>
      <c r="T7" s="27"/>
      <c r="U7" s="27"/>
      <c r="X7" s="27"/>
      <c r="Y7" s="27"/>
      <c r="Z7" s="27"/>
      <c r="AA7" s="27"/>
      <c r="AD7" s="284"/>
      <c r="AE7" s="284"/>
      <c r="AF7" s="284"/>
      <c r="AG7" s="284"/>
      <c r="AH7" s="284"/>
      <c r="AJ7" s="254"/>
      <c r="AK7" s="254"/>
      <c r="AL7" s="258"/>
    </row>
    <row r="8" spans="1:67" s="15" customFormat="1" ht="18">
      <c r="B8" s="29" t="s">
        <v>980</v>
      </c>
      <c r="C8" s="14"/>
      <c r="J8" s="16"/>
      <c r="K8" s="635"/>
      <c r="L8" s="635"/>
      <c r="M8" s="635"/>
      <c r="N8" s="635"/>
      <c r="O8" s="635"/>
    </row>
    <row r="9" spans="1:67" s="15" customFormat="1">
      <c r="B9" s="14"/>
      <c r="C9" s="14"/>
      <c r="J9" s="16"/>
      <c r="K9" s="635"/>
      <c r="L9" s="635"/>
      <c r="M9" s="635"/>
      <c r="N9" s="635"/>
      <c r="O9" s="635"/>
    </row>
    <row r="10" spans="1:67" s="21" customFormat="1" ht="18">
      <c r="B10" s="465" t="s">
        <v>253</v>
      </c>
      <c r="C10" s="635"/>
      <c r="D10" s="18"/>
      <c r="E10" s="18"/>
      <c r="F10" s="18"/>
      <c r="G10" s="18"/>
      <c r="H10" s="18"/>
      <c r="I10" s="18"/>
      <c r="J10" s="18"/>
      <c r="K10" s="18"/>
      <c r="L10" s="18"/>
      <c r="M10" s="18"/>
      <c r="N10" s="19"/>
      <c r="O10" s="635"/>
      <c r="P10" s="635"/>
      <c r="Q10" s="635"/>
      <c r="R10" s="635"/>
      <c r="S10" s="635"/>
      <c r="T10" s="635"/>
      <c r="U10" s="27"/>
      <c r="V10" s="28"/>
      <c r="W10" s="28"/>
      <c r="X10" s="28"/>
      <c r="Y10" s="19"/>
      <c r="Z10" s="19"/>
      <c r="AA10" s="254"/>
    </row>
    <row r="11" spans="1:67" s="15" customFormat="1">
      <c r="B11" s="14"/>
      <c r="C11" s="14"/>
      <c r="J11" s="16"/>
      <c r="K11" s="18"/>
      <c r="L11" s="18"/>
      <c r="M11" s="18"/>
      <c r="N11" s="18"/>
      <c r="O11" s="18"/>
      <c r="X11" s="18"/>
      <c r="Y11" s="18"/>
      <c r="Z11" s="18"/>
      <c r="AA11" s="18"/>
      <c r="AD11" s="284"/>
      <c r="AE11" s="284"/>
      <c r="AF11" s="284"/>
      <c r="AG11" s="284"/>
      <c r="AH11" s="284"/>
      <c r="AJ11" s="254"/>
      <c r="AK11" s="254"/>
      <c r="AL11" s="20"/>
    </row>
    <row r="12" spans="1:67" s="5" customFormat="1" ht="16" customHeight="1">
      <c r="A12" s="14"/>
      <c r="B12" s="2065" t="s">
        <v>37</v>
      </c>
      <c r="C12" s="2065" t="s">
        <v>38</v>
      </c>
      <c r="D12" s="2095" t="s">
        <v>242</v>
      </c>
      <c r="E12" s="2106"/>
      <c r="F12" s="2106"/>
      <c r="G12" s="2106"/>
      <c r="H12" s="2106"/>
      <c r="I12" s="2096"/>
      <c r="J12" s="2066" t="s">
        <v>297</v>
      </c>
      <c r="K12" s="2095" t="s">
        <v>169</v>
      </c>
      <c r="L12" s="2096"/>
      <c r="M12" s="2098" t="s">
        <v>841</v>
      </c>
      <c r="N12" s="2099"/>
      <c r="O12" s="2100"/>
      <c r="P12" s="2066" t="s">
        <v>302</v>
      </c>
      <c r="Q12" s="2087" t="s">
        <v>782</v>
      </c>
      <c r="R12" s="2125" t="s">
        <v>782</v>
      </c>
      <c r="S12" s="2063"/>
      <c r="T12" s="2063"/>
      <c r="U12" s="2063"/>
      <c r="V12" s="2063"/>
      <c r="W12" s="2064"/>
      <c r="X12" s="2093" t="s">
        <v>928</v>
      </c>
      <c r="Y12" s="2118" t="s">
        <v>934</v>
      </c>
      <c r="Z12" s="2119"/>
      <c r="AA12" s="2119"/>
      <c r="AB12" s="2119"/>
      <c r="AC12" s="2120"/>
      <c r="AD12" s="2097" t="s">
        <v>289</v>
      </c>
      <c r="AE12" s="2097"/>
      <c r="AF12" s="2097"/>
      <c r="AG12" s="2097"/>
      <c r="AH12" s="2097"/>
      <c r="AI12" s="895" t="s">
        <v>41</v>
      </c>
      <c r="AJ12" s="2075" t="s">
        <v>937</v>
      </c>
      <c r="AK12" s="2093" t="s">
        <v>723</v>
      </c>
      <c r="AL12" s="2087" t="s">
        <v>826</v>
      </c>
      <c r="AM12" s="14"/>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c r="BM12" s="14"/>
      <c r="BN12" s="14"/>
      <c r="BO12" s="14"/>
    </row>
    <row r="13" spans="1:67" s="5" customFormat="1" ht="17">
      <c r="A13" s="14"/>
      <c r="B13" s="2065"/>
      <c r="C13" s="2065"/>
      <c r="D13" s="2114" t="s">
        <v>243</v>
      </c>
      <c r="E13" s="2115"/>
      <c r="F13" s="2116"/>
      <c r="G13" s="2127" t="s">
        <v>241</v>
      </c>
      <c r="H13" s="2128"/>
      <c r="I13" s="2129"/>
      <c r="J13" s="2065"/>
      <c r="K13" s="636" t="s">
        <v>170</v>
      </c>
      <c r="L13" s="636" t="s">
        <v>171</v>
      </c>
      <c r="M13" s="659" t="s">
        <v>813</v>
      </c>
      <c r="N13" s="659" t="s">
        <v>814</v>
      </c>
      <c r="O13" s="659" t="s">
        <v>927</v>
      </c>
      <c r="P13" s="2065"/>
      <c r="Q13" s="2088"/>
      <c r="R13" s="659" t="s">
        <v>171</v>
      </c>
      <c r="S13" s="659" t="s">
        <v>929</v>
      </c>
      <c r="T13" s="659" t="s">
        <v>930</v>
      </c>
      <c r="U13" s="659" t="s">
        <v>931</v>
      </c>
      <c r="V13" s="659" t="s">
        <v>932</v>
      </c>
      <c r="W13" s="659" t="s">
        <v>933</v>
      </c>
      <c r="X13" s="2094"/>
      <c r="Y13" s="661" t="s">
        <v>929</v>
      </c>
      <c r="Z13" s="661" t="s">
        <v>930</v>
      </c>
      <c r="AA13" s="661" t="s">
        <v>931</v>
      </c>
      <c r="AB13" s="661" t="s">
        <v>932</v>
      </c>
      <c r="AC13" s="661" t="s">
        <v>933</v>
      </c>
      <c r="AD13" s="662" t="s">
        <v>290</v>
      </c>
      <c r="AE13" s="662" t="s">
        <v>291</v>
      </c>
      <c r="AF13" s="662" t="s">
        <v>292</v>
      </c>
      <c r="AG13" s="662" t="s">
        <v>293</v>
      </c>
      <c r="AH13" s="662" t="s">
        <v>294</v>
      </c>
      <c r="AI13" s="636" t="s">
        <v>44</v>
      </c>
      <c r="AJ13" s="2075"/>
      <c r="AK13" s="2094"/>
      <c r="AL13" s="2088"/>
      <c r="AM13" s="14"/>
      <c r="AN13" s="14"/>
      <c r="AO13" s="14"/>
      <c r="AP13" s="14"/>
      <c r="AQ13" s="14"/>
      <c r="AR13" s="14"/>
      <c r="AS13" s="14"/>
      <c r="AT13" s="14"/>
      <c r="AU13" s="14"/>
      <c r="AV13" s="14"/>
      <c r="AW13" s="14"/>
      <c r="AX13" s="14"/>
      <c r="AY13" s="14"/>
      <c r="AZ13" s="14"/>
      <c r="BA13" s="14"/>
      <c r="BB13" s="14"/>
      <c r="BC13" s="14"/>
      <c r="BD13" s="14"/>
      <c r="BE13" s="14"/>
      <c r="BF13" s="14"/>
      <c r="BG13" s="14"/>
      <c r="BH13" s="14"/>
      <c r="BI13" s="14"/>
      <c r="BJ13" s="14"/>
      <c r="BK13" s="14"/>
      <c r="BL13" s="14"/>
      <c r="BM13" s="14"/>
      <c r="BN13" s="14"/>
      <c r="BO13" s="14"/>
    </row>
    <row r="14" spans="1:67">
      <c r="B14" s="114" t="s">
        <v>161</v>
      </c>
      <c r="C14" s="769">
        <v>3</v>
      </c>
      <c r="D14" s="770" t="s">
        <v>162</v>
      </c>
      <c r="E14" s="771"/>
      <c r="F14" s="771"/>
      <c r="G14" s="772"/>
      <c r="H14" s="772"/>
      <c r="I14" s="773"/>
      <c r="J14" s="117"/>
      <c r="K14" s="115"/>
      <c r="L14" s="116"/>
      <c r="M14" s="116"/>
      <c r="N14" s="116"/>
      <c r="O14" s="116"/>
      <c r="P14" s="116"/>
      <c r="Q14" s="116"/>
      <c r="R14" s="116"/>
      <c r="S14" s="116"/>
      <c r="T14" s="116"/>
      <c r="U14" s="116"/>
      <c r="V14" s="116"/>
      <c r="W14" s="116"/>
      <c r="X14" s="116"/>
      <c r="Y14" s="117"/>
      <c r="Z14" s="117"/>
      <c r="AA14" s="117"/>
      <c r="AB14" s="117"/>
      <c r="AC14" s="117"/>
      <c r="AD14" s="288"/>
      <c r="AE14" s="288"/>
      <c r="AF14" s="288"/>
      <c r="AG14" s="288"/>
      <c r="AH14" s="288"/>
      <c r="AI14" s="117"/>
      <c r="AJ14" s="768" t="s">
        <v>988</v>
      </c>
      <c r="AK14" s="792"/>
      <c r="AL14" s="793"/>
    </row>
    <row r="15" spans="1:67" s="15" customFormat="1">
      <c r="B15" s="56" t="s">
        <v>161</v>
      </c>
      <c r="C15" s="56">
        <v>3</v>
      </c>
      <c r="D15" s="2079" t="s">
        <v>629</v>
      </c>
      <c r="E15" s="2080"/>
      <c r="F15" s="2081"/>
      <c r="G15" s="2072" t="s">
        <v>183</v>
      </c>
      <c r="H15" s="2073"/>
      <c r="I15" s="2074"/>
      <c r="J15" s="56"/>
      <c r="K15" s="58"/>
      <c r="L15" s="58"/>
      <c r="M15" s="58"/>
      <c r="N15" s="58"/>
      <c r="O15" s="221" t="str">
        <f t="array" ref="O15">IFERROR(INDEX('Conversion factors_2'!$B$10:$CY$111,MATCH(M15,'Conversion factors_2'!$B$10:$B$111,FALSE),HLOOKUP(N15,'Conversion factors_2'!$B$8:$CY$9,2,FALSE)),"")</f>
        <v/>
      </c>
      <c r="P15" s="58" t="s">
        <v>309</v>
      </c>
      <c r="Q15" s="56"/>
      <c r="R15" s="221" t="str">
        <f>IFERROR(CONCATENATE("tCO2e/",VLOOKUP($Q15,'Emission factors'!$D:$J,7,FALSE)),"")</f>
        <v/>
      </c>
      <c r="S15" s="221" t="str">
        <f>IFERROR(VLOOKUP($Q15,'Emission factors'!$D:$X,10,FALSE),"")</f>
        <v/>
      </c>
      <c r="T15" s="221" t="str">
        <f>IFERROR(VLOOKUP($Q15,'Emission factors'!$D:$X,12,FALSE),"")</f>
        <v/>
      </c>
      <c r="U15" s="221" t="str">
        <f>IFERROR(VLOOKUP($Q15,'Emission factors'!$D:$X,14,FALSE),"")</f>
        <v/>
      </c>
      <c r="V15" s="221" t="str">
        <f>IFERROR(VLOOKUP($Q15,'Emission factors'!$D:$X,16,FALSE),"")</f>
        <v/>
      </c>
      <c r="W15" s="221" t="str">
        <f>IFERROR(VLOOKUP($Q15,'Emission factors'!$D:$X,18,FALSE),"")</f>
        <v/>
      </c>
      <c r="X15" s="58" t="s">
        <v>982</v>
      </c>
      <c r="Y15" s="58">
        <v>150000</v>
      </c>
      <c r="Z15" s="58">
        <v>10000</v>
      </c>
      <c r="AA15" s="58">
        <v>8000</v>
      </c>
      <c r="AB15" s="58"/>
      <c r="AC15" s="58"/>
      <c r="AD15" s="275">
        <f t="shared" ref="AD15:AF16" si="0">IFERROR(IF(AND($Q15="",$X15=""),"",IF($Q15="",IF(Y15=0,"-",Y15),IF(S15=0,"0",$K15*IF($O15="",1,$O15)*S15))),"-")</f>
        <v>150000</v>
      </c>
      <c r="AE15" s="275">
        <f t="shared" si="0"/>
        <v>10000</v>
      </c>
      <c r="AF15" s="275">
        <f t="shared" si="0"/>
        <v>8000</v>
      </c>
      <c r="AG15" s="275">
        <f>IFERROR(IF(AND($Q15="",$X15=""),"",IF($Q15="",IF(AB15="",SUM(AD15:AF15),IF(AB15=0,"0",AB15)),IF($V15="",SUM($AD15:$AF15),IF($V15=0,"0",$K15*IF($O15="",1,$O15)*$V15)))),"-")</f>
        <v>168000</v>
      </c>
      <c r="AH15" s="275" t="str">
        <f>IFERROR(IF(AND($Q15="",$X15=""),"",IF($Q15="",IF(AC15=0,"-",AC15),IF(W15=0,"0",$K15*IF($O15="",1,$O15)*W15))),"-")</f>
        <v>-</v>
      </c>
      <c r="AI15" s="72" t="s">
        <v>179</v>
      </c>
      <c r="AJ15" s="225" t="s">
        <v>2620</v>
      </c>
      <c r="AK15" s="473"/>
      <c r="AL15" s="268"/>
    </row>
    <row r="16" spans="1:67" s="15" customFormat="1" ht="15" customHeight="1">
      <c r="A16" s="16"/>
      <c r="B16" s="56" t="s">
        <v>161</v>
      </c>
      <c r="C16" s="56">
        <v>3</v>
      </c>
      <c r="D16" s="2060"/>
      <c r="E16" s="2061"/>
      <c r="F16" s="2062"/>
      <c r="G16" s="2069"/>
      <c r="H16" s="2070"/>
      <c r="I16" s="2071"/>
      <c r="J16" s="56"/>
      <c r="K16" s="56"/>
      <c r="L16" s="56"/>
      <c r="M16" s="58"/>
      <c r="N16" s="58"/>
      <c r="O16" s="221" t="str">
        <f t="array" ref="O16">IFERROR(INDEX('Conversion factors_2'!$B$10:$CY$111,MATCH(M16,'Conversion factors_2'!$B$10:$B$111,FALSE),HLOOKUP(N16,'Conversion factors_2'!$B$8:$CY$9,2,FALSE)),"")</f>
        <v/>
      </c>
      <c r="P16" s="58"/>
      <c r="Q16" s="56"/>
      <c r="R16" s="221" t="str">
        <f>IFERROR(CONCATENATE("tCO2e/",VLOOKUP($Q16,'Emission factors'!$D:$J,7,FALSE)),"")</f>
        <v/>
      </c>
      <c r="S16" s="221" t="str">
        <f>IFERROR(VLOOKUP($Q16,'Emission factors'!$D:$X,10,FALSE),"")</f>
        <v/>
      </c>
      <c r="T16" s="221" t="str">
        <f>IFERROR(VLOOKUP($Q16,'Emission factors'!$D:$X,12,FALSE),"")</f>
        <v/>
      </c>
      <c r="U16" s="221" t="str">
        <f>IFERROR(VLOOKUP($Q16,'Emission factors'!$D:$X,14,FALSE),"")</f>
        <v/>
      </c>
      <c r="V16" s="221" t="str">
        <f>IFERROR(VLOOKUP($Q16,'Emission factors'!$D:$X,16,FALSE),"")</f>
        <v/>
      </c>
      <c r="W16" s="221" t="str">
        <f>IFERROR(VLOOKUP($Q16,'Emission factors'!$D:$X,18,FALSE),"")</f>
        <v/>
      </c>
      <c r="X16" s="56"/>
      <c r="Y16" s="58"/>
      <c r="Z16" s="58"/>
      <c r="AA16" s="58"/>
      <c r="AB16" s="58"/>
      <c r="AC16" s="58"/>
      <c r="AD16" s="472" t="str">
        <f t="shared" si="0"/>
        <v/>
      </c>
      <c r="AE16" s="472" t="str">
        <f t="shared" si="0"/>
        <v/>
      </c>
      <c r="AF16" s="472" t="str">
        <f t="shared" si="0"/>
        <v/>
      </c>
      <c r="AG16" s="472" t="str">
        <f>IFERROR(IF(AND($Q16="",$X16=""),"",IF($Q16="",IF(AB16="",SUM(AD16:AF16),IF(AB16=0,"0",AB16)),IF($V16="",SUM($AD16:$AF16),IF($V16=0,"0",$K16*IF($O16="",1,$O16)*$V16)))),"-")</f>
        <v/>
      </c>
      <c r="AH16" s="472" t="str">
        <f>IFERROR(IF(AND($Q16="",$X16=""),"",IF($Q16="",IF(AC16=0,"-",AC16),IF(W16=0,"0",$K16*IF($O16="",1,$O16)*W16))),"-")</f>
        <v/>
      </c>
      <c r="AI16" s="72"/>
      <c r="AJ16" s="225"/>
      <c r="AK16" s="473"/>
      <c r="AL16" s="268"/>
    </row>
    <row r="17" spans="2:34" s="15" customFormat="1">
      <c r="B17" s="14"/>
      <c r="C17" s="14"/>
      <c r="J17" s="16"/>
      <c r="AD17" s="284"/>
      <c r="AE17" s="284"/>
      <c r="AF17" s="284"/>
      <c r="AG17" s="284"/>
      <c r="AH17" s="284"/>
    </row>
    <row r="18" spans="2:34" s="15" customFormat="1">
      <c r="J18" s="16"/>
      <c r="S18"/>
      <c r="T18"/>
      <c r="U18"/>
      <c r="V18"/>
      <c r="W18"/>
      <c r="X18"/>
      <c r="Y18"/>
      <c r="Z18"/>
      <c r="AA18"/>
      <c r="AD18" s="284"/>
      <c r="AE18" s="284"/>
      <c r="AF18" s="284"/>
      <c r="AG18" s="284"/>
      <c r="AH18" s="284"/>
    </row>
    <row r="19" spans="2:34" s="15" customFormat="1">
      <c r="B19" s="14"/>
      <c r="C19" s="14"/>
      <c r="J19" s="16"/>
      <c r="S19"/>
      <c r="T19"/>
      <c r="U19"/>
      <c r="V19"/>
      <c r="W19"/>
      <c r="X19"/>
      <c r="Y19"/>
      <c r="Z19"/>
      <c r="AA19"/>
      <c r="AD19" s="280"/>
      <c r="AE19" s="280"/>
      <c r="AF19" s="280"/>
      <c r="AG19" s="280"/>
      <c r="AH19" s="280"/>
    </row>
    <row r="20" spans="2:34" s="15" customFormat="1">
      <c r="B20" s="14"/>
      <c r="C20" s="14"/>
      <c r="J20" s="16"/>
      <c r="S20"/>
      <c r="T20"/>
      <c r="U20"/>
      <c r="V20"/>
      <c r="W20"/>
      <c r="X20"/>
      <c r="Y20"/>
      <c r="Z20"/>
      <c r="AA20"/>
      <c r="AD20" s="280"/>
      <c r="AE20" s="280"/>
      <c r="AF20" s="280"/>
      <c r="AG20" s="280"/>
      <c r="AH20" s="280"/>
    </row>
    <row r="21" spans="2:34" s="15" customFormat="1">
      <c r="B21" s="14"/>
      <c r="C21" s="14"/>
      <c r="J21" s="16"/>
      <c r="S21"/>
      <c r="T21"/>
      <c r="U21"/>
      <c r="V21"/>
      <c r="W21"/>
      <c r="X21"/>
      <c r="Y21"/>
      <c r="Z21"/>
      <c r="AA21"/>
      <c r="AD21" s="280"/>
      <c r="AE21" s="280"/>
      <c r="AF21" s="280"/>
      <c r="AG21" s="280"/>
      <c r="AH21" s="280"/>
    </row>
    <row r="22" spans="2:34" s="15" customFormat="1">
      <c r="B22" s="14"/>
      <c r="C22" s="14"/>
      <c r="J22" s="16"/>
      <c r="S22"/>
      <c r="T22"/>
      <c r="U22"/>
      <c r="V22"/>
      <c r="W22"/>
      <c r="X22"/>
      <c r="Y22"/>
      <c r="Z22"/>
      <c r="AA22"/>
      <c r="AD22" s="280"/>
      <c r="AE22" s="280"/>
      <c r="AF22" s="280"/>
      <c r="AG22" s="280"/>
      <c r="AH22" s="280"/>
    </row>
    <row r="23" spans="2:34" s="15" customFormat="1">
      <c r="B23" s="14"/>
      <c r="C23" s="14"/>
      <c r="J23" s="16"/>
      <c r="S23"/>
      <c r="T23"/>
      <c r="U23"/>
      <c r="V23"/>
      <c r="W23"/>
      <c r="X23"/>
      <c r="Y23"/>
      <c r="Z23"/>
      <c r="AA23"/>
      <c r="AD23" s="280"/>
      <c r="AE23" s="280"/>
      <c r="AF23" s="280"/>
      <c r="AG23" s="280"/>
      <c r="AH23" s="280"/>
    </row>
    <row r="24" spans="2:34" s="15" customFormat="1">
      <c r="B24" s="14"/>
      <c r="C24" s="14"/>
      <c r="J24" s="16"/>
      <c r="S24"/>
      <c r="T24"/>
      <c r="U24"/>
      <c r="V24"/>
      <c r="W24"/>
      <c r="X24"/>
      <c r="Y24"/>
      <c r="Z24"/>
      <c r="AA24"/>
      <c r="AD24" s="280"/>
      <c r="AE24" s="280"/>
      <c r="AF24" s="280"/>
      <c r="AG24" s="280"/>
      <c r="AH24" s="280"/>
    </row>
    <row r="25" spans="2:34" s="15" customFormat="1">
      <c r="B25" s="14"/>
      <c r="C25" s="14"/>
      <c r="J25" s="16"/>
      <c r="S25"/>
      <c r="T25"/>
      <c r="U25"/>
      <c r="V25"/>
      <c r="W25"/>
      <c r="X25"/>
      <c r="Y25"/>
      <c r="Z25"/>
      <c r="AA25"/>
      <c r="AD25" s="280"/>
      <c r="AE25" s="280"/>
      <c r="AF25" s="280"/>
      <c r="AG25" s="280"/>
      <c r="AH25" s="280"/>
    </row>
    <row r="26" spans="2:34" s="15" customFormat="1">
      <c r="B26" s="14"/>
      <c r="C26" s="14"/>
      <c r="J26" s="16"/>
      <c r="S26"/>
      <c r="T26"/>
      <c r="U26"/>
      <c r="V26"/>
      <c r="W26"/>
      <c r="X26"/>
      <c r="Y26"/>
      <c r="Z26"/>
      <c r="AA26"/>
      <c r="AD26" s="284"/>
      <c r="AE26" s="284"/>
      <c r="AF26" s="284"/>
      <c r="AG26" s="284"/>
      <c r="AH26" s="284"/>
    </row>
    <row r="27" spans="2:34" s="15" customFormat="1">
      <c r="B27" s="14"/>
      <c r="C27" s="14"/>
      <c r="J27" s="16"/>
      <c r="S27"/>
      <c r="T27"/>
      <c r="U27"/>
      <c r="V27"/>
      <c r="W27"/>
      <c r="X27"/>
      <c r="Y27"/>
      <c r="Z27"/>
      <c r="AA27"/>
      <c r="AD27" s="284"/>
      <c r="AE27" s="284"/>
      <c r="AF27" s="284"/>
      <c r="AG27" s="284"/>
      <c r="AH27" s="284"/>
    </row>
    <row r="28" spans="2:34" s="15" customFormat="1">
      <c r="B28" s="14"/>
      <c r="C28" s="14"/>
      <c r="J28" s="16"/>
      <c r="AD28" s="284"/>
      <c r="AE28" s="284"/>
      <c r="AF28" s="284"/>
      <c r="AG28" s="284"/>
      <c r="AH28" s="284"/>
    </row>
    <row r="29" spans="2:34" s="15" customFormat="1">
      <c r="B29" s="14"/>
      <c r="C29" s="14"/>
      <c r="J29" s="16"/>
      <c r="AD29" s="284"/>
      <c r="AE29" s="284"/>
      <c r="AF29" s="284"/>
      <c r="AG29" s="284"/>
      <c r="AH29" s="284"/>
    </row>
    <row r="30" spans="2:34" s="15" customFormat="1">
      <c r="B30" s="14"/>
      <c r="C30" s="14"/>
      <c r="J30" s="16"/>
      <c r="AD30" s="284"/>
      <c r="AE30" s="284"/>
      <c r="AF30" s="284"/>
      <c r="AG30" s="284"/>
      <c r="AH30" s="284"/>
    </row>
    <row r="31" spans="2:34" s="15" customFormat="1">
      <c r="B31" s="14"/>
      <c r="C31" s="14"/>
      <c r="J31" s="16"/>
      <c r="AD31" s="284"/>
      <c r="AE31" s="284"/>
      <c r="AF31" s="284"/>
      <c r="AG31" s="284"/>
      <c r="AH31" s="284"/>
    </row>
    <row r="32" spans="2:34" s="15" customFormat="1">
      <c r="B32" s="14"/>
      <c r="C32" s="14"/>
      <c r="J32" s="16"/>
      <c r="AD32" s="284"/>
      <c r="AE32" s="284"/>
      <c r="AF32" s="284"/>
      <c r="AG32" s="284"/>
      <c r="AH32" s="284"/>
    </row>
    <row r="33" spans="2:34" s="15" customFormat="1">
      <c r="B33" s="14"/>
      <c r="C33" s="14"/>
      <c r="J33" s="16"/>
      <c r="AD33" s="284"/>
      <c r="AE33" s="284"/>
      <c r="AF33" s="284"/>
      <c r="AG33" s="284"/>
      <c r="AH33" s="284"/>
    </row>
    <row r="34" spans="2:34" s="15" customFormat="1">
      <c r="B34" s="14"/>
      <c r="C34" s="14"/>
      <c r="J34" s="16"/>
      <c r="AD34" s="284"/>
      <c r="AE34" s="284"/>
      <c r="AF34" s="284"/>
      <c r="AG34" s="284"/>
      <c r="AH34" s="284"/>
    </row>
    <row r="35" spans="2:34" s="15" customFormat="1">
      <c r="B35" s="14"/>
      <c r="C35" s="14"/>
      <c r="J35" s="16"/>
      <c r="AD35" s="284"/>
      <c r="AE35" s="284"/>
      <c r="AF35" s="284"/>
      <c r="AG35" s="284"/>
      <c r="AH35" s="284"/>
    </row>
    <row r="36" spans="2:34" s="15" customFormat="1">
      <c r="B36" s="14"/>
      <c r="C36" s="14"/>
      <c r="J36" s="16"/>
      <c r="AD36" s="284"/>
      <c r="AE36" s="284"/>
      <c r="AF36" s="284"/>
      <c r="AG36" s="284"/>
      <c r="AH36" s="284"/>
    </row>
    <row r="37" spans="2:34" s="15" customFormat="1">
      <c r="B37" s="14"/>
      <c r="C37" s="14"/>
      <c r="J37" s="16"/>
      <c r="AD37" s="284"/>
      <c r="AE37" s="284"/>
      <c r="AF37" s="284"/>
      <c r="AG37" s="284"/>
      <c r="AH37" s="284"/>
    </row>
    <row r="38" spans="2:34" s="15" customFormat="1">
      <c r="B38" s="14"/>
      <c r="C38" s="14"/>
      <c r="J38" s="16"/>
      <c r="AD38" s="284"/>
      <c r="AE38" s="284"/>
      <c r="AF38" s="284"/>
      <c r="AG38" s="284"/>
      <c r="AH38" s="284"/>
    </row>
    <row r="39" spans="2:34" s="15" customFormat="1">
      <c r="B39" s="14"/>
      <c r="C39" s="14"/>
      <c r="J39" s="16"/>
      <c r="AD39" s="284"/>
      <c r="AE39" s="284"/>
      <c r="AF39" s="284"/>
      <c r="AG39" s="284"/>
      <c r="AH39" s="284"/>
    </row>
    <row r="40" spans="2:34" s="15" customFormat="1">
      <c r="B40" s="14"/>
      <c r="C40" s="14"/>
      <c r="J40" s="16"/>
      <c r="AD40" s="284"/>
      <c r="AE40" s="284"/>
      <c r="AF40" s="284"/>
      <c r="AG40" s="284"/>
      <c r="AH40" s="284"/>
    </row>
    <row r="41" spans="2:34" s="15" customFormat="1">
      <c r="B41" s="14"/>
      <c r="C41" s="14"/>
      <c r="J41" s="16"/>
      <c r="AD41" s="284"/>
      <c r="AE41" s="284"/>
      <c r="AF41" s="284"/>
      <c r="AG41" s="284"/>
      <c r="AH41" s="284"/>
    </row>
    <row r="42" spans="2:34" s="15" customFormat="1">
      <c r="B42" s="14"/>
      <c r="C42" s="14"/>
      <c r="J42" s="16"/>
      <c r="AD42" s="284"/>
      <c r="AE42" s="284"/>
      <c r="AF42" s="284"/>
      <c r="AG42" s="284"/>
      <c r="AH42" s="284"/>
    </row>
    <row r="43" spans="2:34" s="15" customFormat="1">
      <c r="B43" s="14"/>
      <c r="C43" s="14"/>
      <c r="J43" s="16"/>
      <c r="AD43" s="284"/>
      <c r="AE43" s="284"/>
      <c r="AF43" s="284"/>
      <c r="AG43" s="284"/>
      <c r="AH43" s="284"/>
    </row>
    <row r="44" spans="2:34" s="15" customFormat="1">
      <c r="B44" s="14"/>
      <c r="C44" s="14"/>
      <c r="J44" s="16"/>
      <c r="AD44" s="284"/>
      <c r="AE44" s="284"/>
      <c r="AF44" s="284"/>
      <c r="AG44" s="284"/>
      <c r="AH44" s="284"/>
    </row>
    <row r="45" spans="2:34" s="15" customFormat="1">
      <c r="B45" s="14"/>
      <c r="C45" s="14"/>
      <c r="J45" s="16"/>
      <c r="AD45" s="284"/>
      <c r="AE45" s="284"/>
      <c r="AF45" s="284"/>
      <c r="AG45" s="284"/>
      <c r="AH45" s="284"/>
    </row>
    <row r="46" spans="2:34" s="15" customFormat="1">
      <c r="B46" s="14"/>
      <c r="C46" s="14"/>
      <c r="J46" s="16"/>
      <c r="AD46" s="284"/>
      <c r="AE46" s="284"/>
      <c r="AF46" s="284"/>
      <c r="AG46" s="284"/>
      <c r="AH46" s="284"/>
    </row>
    <row r="47" spans="2:34" s="15" customFormat="1">
      <c r="B47" s="14"/>
      <c r="C47" s="14"/>
      <c r="J47" s="16"/>
      <c r="AD47" s="284"/>
      <c r="AE47" s="284"/>
      <c r="AF47" s="284"/>
      <c r="AG47" s="284"/>
      <c r="AH47" s="284"/>
    </row>
    <row r="48" spans="2:34" s="15" customFormat="1">
      <c r="B48" s="14"/>
      <c r="C48" s="14"/>
      <c r="J48" s="16"/>
      <c r="AD48" s="284"/>
      <c r="AE48" s="284"/>
      <c r="AF48" s="284"/>
      <c r="AG48" s="284"/>
      <c r="AH48" s="284"/>
    </row>
    <row r="49" spans="2:34" s="15" customFormat="1">
      <c r="B49" s="14"/>
      <c r="C49" s="14"/>
      <c r="J49" s="16"/>
      <c r="AD49" s="284"/>
      <c r="AE49" s="284"/>
      <c r="AF49" s="284"/>
      <c r="AG49" s="284"/>
      <c r="AH49" s="284"/>
    </row>
    <row r="50" spans="2:34" s="15" customFormat="1">
      <c r="B50" s="14"/>
      <c r="C50" s="14"/>
      <c r="J50" s="16"/>
      <c r="AD50" s="284"/>
      <c r="AE50" s="284"/>
      <c r="AF50" s="284"/>
      <c r="AG50" s="284"/>
      <c r="AH50" s="284"/>
    </row>
    <row r="51" spans="2:34" s="15" customFormat="1">
      <c r="B51" s="14"/>
      <c r="C51" s="14"/>
      <c r="J51" s="16"/>
      <c r="AD51" s="284"/>
      <c r="AE51" s="284"/>
      <c r="AF51" s="284"/>
      <c r="AG51" s="284"/>
      <c r="AH51" s="284"/>
    </row>
    <row r="52" spans="2:34" s="15" customFormat="1">
      <c r="B52" s="14"/>
      <c r="C52" s="14"/>
      <c r="J52" s="16"/>
      <c r="AD52" s="284"/>
      <c r="AE52" s="284"/>
      <c r="AF52" s="284"/>
      <c r="AG52" s="284"/>
      <c r="AH52" s="284"/>
    </row>
    <row r="53" spans="2:34" s="15" customFormat="1">
      <c r="B53" s="14"/>
      <c r="C53" s="14"/>
      <c r="J53" s="16"/>
      <c r="AD53" s="284"/>
      <c r="AE53" s="284"/>
      <c r="AF53" s="284"/>
      <c r="AG53" s="284"/>
      <c r="AH53" s="284"/>
    </row>
    <row r="54" spans="2:34" s="15" customFormat="1">
      <c r="B54" s="14"/>
      <c r="C54" s="14"/>
      <c r="J54" s="16"/>
      <c r="AD54" s="284"/>
      <c r="AE54" s="284"/>
      <c r="AF54" s="284"/>
      <c r="AG54" s="284"/>
      <c r="AH54" s="284"/>
    </row>
    <row r="55" spans="2:34" s="15" customFormat="1">
      <c r="B55" s="14"/>
      <c r="C55" s="14"/>
      <c r="J55" s="16"/>
      <c r="AD55" s="284"/>
      <c r="AE55" s="284"/>
      <c r="AF55" s="284"/>
      <c r="AG55" s="284"/>
      <c r="AH55" s="284"/>
    </row>
    <row r="56" spans="2:34" s="15" customFormat="1">
      <c r="B56" s="14"/>
      <c r="C56" s="14"/>
      <c r="J56" s="16"/>
      <c r="AD56" s="284"/>
      <c r="AE56" s="284"/>
      <c r="AF56" s="284"/>
      <c r="AG56" s="284"/>
      <c r="AH56" s="284"/>
    </row>
    <row r="57" spans="2:34" s="15" customFormat="1">
      <c r="B57" s="14"/>
      <c r="C57" s="14"/>
      <c r="J57" s="16"/>
      <c r="AD57" s="284"/>
      <c r="AE57" s="284"/>
      <c r="AF57" s="284"/>
      <c r="AG57" s="284"/>
      <c r="AH57" s="284"/>
    </row>
    <row r="58" spans="2:34" s="15" customFormat="1">
      <c r="B58" s="14"/>
      <c r="C58" s="14"/>
      <c r="J58" s="16"/>
      <c r="AD58" s="284"/>
      <c r="AE58" s="284"/>
      <c r="AF58" s="284"/>
      <c r="AG58" s="284"/>
      <c r="AH58" s="284"/>
    </row>
    <row r="59" spans="2:34" s="15" customFormat="1">
      <c r="B59" s="14"/>
      <c r="C59" s="14"/>
      <c r="J59" s="16"/>
      <c r="AD59" s="284"/>
      <c r="AE59" s="284"/>
      <c r="AF59" s="284"/>
      <c r="AG59" s="284"/>
      <c r="AH59" s="284"/>
    </row>
    <row r="60" spans="2:34" s="15" customFormat="1">
      <c r="B60" s="14"/>
      <c r="C60" s="14"/>
      <c r="J60" s="16"/>
      <c r="AD60" s="284"/>
      <c r="AE60" s="284"/>
      <c r="AF60" s="284"/>
      <c r="AG60" s="284"/>
      <c r="AH60" s="284"/>
    </row>
    <row r="61" spans="2:34" s="15" customFormat="1">
      <c r="B61" s="14"/>
      <c r="C61" s="14"/>
      <c r="J61" s="16"/>
      <c r="AD61" s="284"/>
      <c r="AE61" s="284"/>
      <c r="AF61" s="284"/>
      <c r="AG61" s="284"/>
      <c r="AH61" s="284"/>
    </row>
    <row r="62" spans="2:34" s="15" customFormat="1">
      <c r="B62" s="14"/>
      <c r="C62" s="14"/>
      <c r="J62" s="16"/>
      <c r="AD62" s="284"/>
      <c r="AE62" s="284"/>
      <c r="AF62" s="284"/>
      <c r="AG62" s="284"/>
      <c r="AH62" s="284"/>
    </row>
    <row r="63" spans="2:34" s="15" customFormat="1">
      <c r="B63" s="14"/>
      <c r="C63" s="14"/>
      <c r="J63" s="16"/>
      <c r="AD63" s="284"/>
      <c r="AE63" s="284"/>
      <c r="AF63" s="284"/>
      <c r="AG63" s="284"/>
      <c r="AH63" s="284"/>
    </row>
    <row r="64" spans="2:34" s="15" customFormat="1">
      <c r="B64" s="14"/>
      <c r="C64" s="14"/>
      <c r="J64" s="16"/>
      <c r="AD64" s="284"/>
      <c r="AE64" s="284"/>
      <c r="AF64" s="284"/>
      <c r="AG64" s="284"/>
      <c r="AH64" s="284"/>
    </row>
    <row r="65" spans="2:34" s="15" customFormat="1">
      <c r="B65" s="14"/>
      <c r="C65" s="14"/>
      <c r="J65" s="16"/>
      <c r="AD65" s="284"/>
      <c r="AE65" s="284"/>
      <c r="AF65" s="284"/>
      <c r="AG65" s="284"/>
      <c r="AH65" s="284"/>
    </row>
    <row r="66" spans="2:34" s="15" customFormat="1">
      <c r="B66" s="14"/>
      <c r="C66" s="14"/>
      <c r="J66" s="16"/>
      <c r="AD66" s="284"/>
      <c r="AE66" s="284"/>
      <c r="AF66" s="284"/>
      <c r="AG66" s="284"/>
      <c r="AH66" s="284"/>
    </row>
    <row r="67" spans="2:34" s="15" customFormat="1">
      <c r="B67" s="14"/>
      <c r="C67" s="14"/>
      <c r="J67" s="16"/>
      <c r="AD67" s="284"/>
      <c r="AE67" s="284"/>
      <c r="AF67" s="284"/>
      <c r="AG67" s="284"/>
      <c r="AH67" s="284"/>
    </row>
    <row r="68" spans="2:34" s="15" customFormat="1">
      <c r="B68" s="14"/>
      <c r="C68" s="14"/>
      <c r="J68" s="16"/>
      <c r="AD68" s="284"/>
      <c r="AE68" s="284"/>
      <c r="AF68" s="284"/>
      <c r="AG68" s="284"/>
      <c r="AH68" s="284"/>
    </row>
    <row r="69" spans="2:34" s="15" customFormat="1">
      <c r="B69" s="14"/>
      <c r="C69" s="14"/>
      <c r="J69" s="16"/>
      <c r="AD69" s="284"/>
      <c r="AE69" s="284"/>
      <c r="AF69" s="284"/>
      <c r="AG69" s="284"/>
      <c r="AH69" s="284"/>
    </row>
    <row r="70" spans="2:34" s="15" customFormat="1">
      <c r="B70" s="14"/>
      <c r="C70" s="14"/>
      <c r="J70" s="16"/>
      <c r="AD70" s="284"/>
      <c r="AE70" s="284"/>
      <c r="AF70" s="284"/>
      <c r="AG70" s="284"/>
      <c r="AH70" s="284"/>
    </row>
    <row r="71" spans="2:34" s="15" customFormat="1">
      <c r="B71" s="14"/>
      <c r="C71" s="14"/>
      <c r="J71" s="16"/>
      <c r="AD71" s="284"/>
      <c r="AE71" s="284"/>
      <c r="AF71" s="284"/>
      <c r="AG71" s="284"/>
      <c r="AH71" s="284"/>
    </row>
    <row r="72" spans="2:34" s="15" customFormat="1">
      <c r="B72" s="14"/>
      <c r="C72" s="14"/>
      <c r="J72" s="16"/>
      <c r="AD72" s="284"/>
      <c r="AE72" s="284"/>
      <c r="AF72" s="284"/>
      <c r="AG72" s="284"/>
      <c r="AH72" s="284"/>
    </row>
    <row r="73" spans="2:34" s="15" customFormat="1">
      <c r="B73" s="14"/>
      <c r="C73" s="14"/>
      <c r="J73" s="16"/>
      <c r="AD73" s="284"/>
      <c r="AE73" s="284"/>
      <c r="AF73" s="284"/>
      <c r="AG73" s="284"/>
      <c r="AH73" s="284"/>
    </row>
    <row r="74" spans="2:34" s="15" customFormat="1">
      <c r="B74" s="14"/>
      <c r="C74" s="14"/>
      <c r="J74" s="16"/>
      <c r="AD74" s="284"/>
      <c r="AE74" s="284"/>
      <c r="AF74" s="284"/>
      <c r="AG74" s="284"/>
      <c r="AH74" s="284"/>
    </row>
    <row r="75" spans="2:34" s="15" customFormat="1">
      <c r="B75" s="14"/>
      <c r="C75" s="14"/>
      <c r="J75" s="16"/>
      <c r="AD75" s="284"/>
      <c r="AE75" s="284"/>
      <c r="AF75" s="284"/>
      <c r="AG75" s="284"/>
      <c r="AH75" s="284"/>
    </row>
    <row r="76" spans="2:34" s="15" customFormat="1">
      <c r="B76" s="14"/>
      <c r="C76" s="14"/>
      <c r="J76" s="16"/>
      <c r="AD76" s="284"/>
      <c r="AE76" s="284"/>
      <c r="AF76" s="284"/>
      <c r="AG76" s="284"/>
      <c r="AH76" s="284"/>
    </row>
    <row r="77" spans="2:34" s="15" customFormat="1">
      <c r="B77" s="14"/>
      <c r="C77" s="14"/>
      <c r="J77" s="16"/>
      <c r="AD77" s="284"/>
      <c r="AE77" s="284"/>
      <c r="AF77" s="284"/>
      <c r="AG77" s="284"/>
      <c r="AH77" s="284"/>
    </row>
    <row r="78" spans="2:34" s="15" customFormat="1">
      <c r="B78" s="14"/>
      <c r="C78" s="14"/>
      <c r="J78" s="16"/>
      <c r="AD78" s="284"/>
      <c r="AE78" s="284"/>
      <c r="AF78" s="284"/>
      <c r="AG78" s="284"/>
      <c r="AH78" s="284"/>
    </row>
    <row r="79" spans="2:34" s="15" customFormat="1">
      <c r="B79" s="14"/>
      <c r="C79" s="14"/>
      <c r="J79" s="16"/>
      <c r="AD79" s="284"/>
      <c r="AE79" s="284"/>
      <c r="AF79" s="284"/>
      <c r="AG79" s="284"/>
      <c r="AH79" s="284"/>
    </row>
    <row r="80" spans="2:34" s="15" customFormat="1">
      <c r="B80" s="14"/>
      <c r="C80" s="14"/>
      <c r="J80" s="16"/>
      <c r="AD80" s="284"/>
      <c r="AE80" s="284"/>
      <c r="AF80" s="284"/>
      <c r="AG80" s="284"/>
      <c r="AH80" s="284"/>
    </row>
    <row r="81" spans="2:34" s="15" customFormat="1">
      <c r="B81" s="14"/>
      <c r="C81" s="14"/>
      <c r="J81" s="16"/>
      <c r="AD81" s="284"/>
      <c r="AE81" s="284"/>
      <c r="AF81" s="284"/>
      <c r="AG81" s="284"/>
      <c r="AH81" s="284"/>
    </row>
    <row r="82" spans="2:34">
      <c r="S82" s="15"/>
      <c r="T82" s="15"/>
      <c r="U82" s="15"/>
      <c r="V82" s="15"/>
      <c r="W82" s="15"/>
      <c r="AD82" s="284"/>
      <c r="AE82" s="284"/>
      <c r="AF82" s="284"/>
      <c r="AG82" s="284"/>
      <c r="AH82" s="284"/>
    </row>
    <row r="83" spans="2:34">
      <c r="S83" s="15"/>
      <c r="T83" s="15"/>
      <c r="U83" s="15"/>
      <c r="V83" s="15"/>
      <c r="W83" s="15"/>
      <c r="AD83" s="284"/>
      <c r="AE83" s="284"/>
      <c r="AF83" s="284"/>
      <c r="AG83" s="284"/>
      <c r="AH83" s="284"/>
    </row>
    <row r="84" spans="2:34">
      <c r="S84" s="15"/>
      <c r="T84" s="15"/>
      <c r="U84" s="15"/>
      <c r="V84" s="15"/>
      <c r="W84" s="15"/>
      <c r="AD84" s="284"/>
      <c r="AE84" s="284"/>
      <c r="AF84" s="284"/>
      <c r="AG84" s="284"/>
      <c r="AH84" s="284"/>
    </row>
    <row r="85" spans="2:34">
      <c r="S85" s="15"/>
      <c r="T85" s="15"/>
      <c r="U85" s="15"/>
      <c r="V85" s="15"/>
      <c r="W85" s="15"/>
      <c r="AD85" s="284"/>
      <c r="AE85" s="284"/>
      <c r="AF85" s="284"/>
      <c r="AG85" s="284"/>
      <c r="AH85" s="284"/>
    </row>
    <row r="86" spans="2:34">
      <c r="S86" s="15"/>
      <c r="T86" s="15"/>
      <c r="U86" s="15"/>
      <c r="V86" s="15"/>
      <c r="W86" s="15"/>
      <c r="AD86" s="284"/>
      <c r="AE86" s="284"/>
      <c r="AF86" s="284"/>
      <c r="AG86" s="284"/>
      <c r="AH86" s="284"/>
    </row>
    <row r="87" spans="2:34">
      <c r="S87" s="15"/>
      <c r="T87" s="15"/>
      <c r="U87" s="15"/>
      <c r="V87" s="15"/>
      <c r="W87" s="15"/>
      <c r="AD87" s="284"/>
      <c r="AE87" s="284"/>
      <c r="AF87" s="284"/>
      <c r="AG87" s="284"/>
      <c r="AH87" s="284"/>
    </row>
    <row r="88" spans="2:34">
      <c r="S88" s="15"/>
      <c r="T88" s="15"/>
      <c r="U88" s="15"/>
      <c r="V88" s="15"/>
      <c r="W88" s="15"/>
      <c r="AD88" s="284"/>
      <c r="AE88" s="284"/>
      <c r="AF88" s="284"/>
      <c r="AG88" s="284"/>
      <c r="AH88" s="284"/>
    </row>
    <row r="89" spans="2:34">
      <c r="S89" s="15"/>
      <c r="T89" s="15"/>
      <c r="U89" s="15"/>
      <c r="V89" s="15"/>
      <c r="W89" s="15"/>
      <c r="AD89" s="284"/>
      <c r="AE89" s="284"/>
      <c r="AF89" s="284"/>
      <c r="AG89" s="284"/>
      <c r="AH89" s="284"/>
    </row>
  </sheetData>
  <mergeCells count="35">
    <mergeCell ref="AD12:AH12"/>
    <mergeCell ref="R12:W12"/>
    <mergeCell ref="AK12:AK13"/>
    <mergeCell ref="AL12:AL13"/>
    <mergeCell ref="Q12:Q13"/>
    <mergeCell ref="Y12:AC12"/>
    <mergeCell ref="AJ12:AJ13"/>
    <mergeCell ref="X12:X13"/>
    <mergeCell ref="J2:K2"/>
    <mergeCell ref="L2:M2"/>
    <mergeCell ref="N2:O2"/>
    <mergeCell ref="J3:K3"/>
    <mergeCell ref="L3:M3"/>
    <mergeCell ref="N3:O3"/>
    <mergeCell ref="M12:O12"/>
    <mergeCell ref="P12:P13"/>
    <mergeCell ref="B12:B13"/>
    <mergeCell ref="C12:C13"/>
    <mergeCell ref="J12:J13"/>
    <mergeCell ref="K12:L12"/>
    <mergeCell ref="D13:F13"/>
    <mergeCell ref="G13:I13"/>
    <mergeCell ref="D12:I12"/>
    <mergeCell ref="D15:F15"/>
    <mergeCell ref="D16:F16"/>
    <mergeCell ref="G15:I15"/>
    <mergeCell ref="G16:I16"/>
    <mergeCell ref="B2:B3"/>
    <mergeCell ref="C2:C3"/>
    <mergeCell ref="D2:E2"/>
    <mergeCell ref="F2:G2"/>
    <mergeCell ref="H2:I2"/>
    <mergeCell ref="D3:E3"/>
    <mergeCell ref="F3:G3"/>
    <mergeCell ref="H3:I3"/>
  </mergeCells>
  <phoneticPr fontId="13" type="noConversion"/>
  <dataValidations count="9">
    <dataValidation type="list" allowBlank="1" showInputMessage="1" showErrorMessage="1" sqref="D15:D16">
      <formula1>SCOPE3</formula1>
    </dataValidation>
    <dataValidation type="list" allowBlank="1" showInputMessage="1" showErrorMessage="1" sqref="J14:J16">
      <formula1>NK</formula1>
    </dataValidation>
    <dataValidation type="list" allowBlank="1" showInputMessage="1" showErrorMessage="1" sqref="AI15:AI16">
      <formula1>DQ</formula1>
    </dataValidation>
    <dataValidation type="list" allowBlank="1" showInputMessage="1" showErrorMessage="1" sqref="P15:P16">
      <formula1>Gases</formula1>
    </dataValidation>
    <dataValidation type="list" allowBlank="1" showInputMessage="1" showErrorMessage="1" sqref="AK14:AK16">
      <formula1>DataSource</formula1>
    </dataValidation>
    <dataValidation type="list" allowBlank="1" showInputMessage="1" showErrorMessage="1" sqref="Q15:Q16">
      <formula1>EmissionFactor</formula1>
    </dataValidation>
    <dataValidation type="list" allowBlank="1" showInputMessage="1" showErrorMessage="1" sqref="X15:X16">
      <formula1>Tick</formula1>
    </dataValidation>
    <dataValidation type="list" allowBlank="1" showInputMessage="1" showErrorMessage="1" sqref="N15:N16">
      <formula1>Conversion_factor_to</formula1>
    </dataValidation>
    <dataValidation type="list" allowBlank="1" showInputMessage="1" showErrorMessage="1" sqref="M15:M16">
      <formula1>Conversion_factor_from</formula1>
    </dataValidation>
  </dataValidations>
  <hyperlinks>
    <hyperlink ref="F2" location="'City information'!A1" display="Set-up"/>
    <hyperlink ref="G2" location="'City information'!A1" display="'City information'!A1"/>
    <hyperlink ref="L2" location="Results!A1" display="Results"/>
    <hyperlink ref="M2" location="Results!A1" display="Results!A1"/>
    <hyperlink ref="J2" location="Calculators!A1" display="Calculators"/>
    <hyperlink ref="K2" location="Calculators!A1" display="Calculators!A1"/>
    <hyperlink ref="N2" location="Analysis!A1" display="Analysis"/>
    <hyperlink ref="O2" location="Analysis!A1" display="Analysis!A1"/>
    <hyperlink ref="H2" location="Inventory!A1" display="Inventory"/>
    <hyperlink ref="I2" location="Inventory!A1" display="Inventory!A1"/>
    <hyperlink ref="D3" location="'I - Stationary'!A1" display="Stationary"/>
    <hyperlink ref="E3" location="'I - Stationary'!A1" display="'I - Stationary'!A1"/>
    <hyperlink ref="F3" location="'II - Transport'!A1" display="Transportation"/>
    <hyperlink ref="G3" location="'II - Transport'!A1" display="'II - Transport'!A1"/>
    <hyperlink ref="H3" location="'III - Waste'!A1" display="Waste"/>
    <hyperlink ref="I3" location="'III - Waste'!A1" display="'III - Waste'!A1"/>
    <hyperlink ref="J3" location="'IV - IPPU'!A1" display="IPPU"/>
    <hyperlink ref="K3" location="'IV - IPPU'!A1" display="'IV - IPPU'!A1"/>
    <hyperlink ref="L3" location="'V - AFOLU'!A1" display="AFOLU"/>
    <hyperlink ref="M3" location="'V - AFOLU'!A1" display="'V - AFOLU'!A1"/>
    <hyperlink ref="D2" location="Home!A1" display="Introduction"/>
    <hyperlink ref="E2" location="Home!A1" display="Home!A1"/>
  </hyperlinks>
  <printOptions verticalCentered="1"/>
  <pageMargins left="0.15748031496062992" right="0.15748031496062992" top="0.15748031496062992" bottom="0.15748031496062992" header="0.15748031496062992" footer="0.15748031496062992"/>
  <pageSetup paperSize="9" scale="29" orientation="landscape" horizontalDpi="4294967292" verticalDpi="4294967292"/>
  <drawing r:id="rId1"/>
  <extLst>
    <ext xmlns:mx="http://schemas.microsoft.com/office/mac/excel/2008/main" uri="{64002731-A6B0-56B0-2670-7721B7C09600}">
      <mx:PLV Mode="0" OnePage="0" WScale="3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enableFormatConditionsCalculation="0">
    <tabColor theme="4"/>
    <outlinePr summaryBelow="0"/>
    <pageSetUpPr fitToPage="1"/>
  </sheetPr>
  <dimension ref="A1:Y32"/>
  <sheetViews>
    <sheetView showRowColHeaders="0" workbookViewId="0">
      <selection activeCell="D3" sqref="D3:E3"/>
    </sheetView>
  </sheetViews>
  <sheetFormatPr baseColWidth="10" defaultColWidth="0" defaultRowHeight="15" customHeight="1" zeroHeight="1" x14ac:dyDescent="0"/>
  <cols>
    <col min="1" max="1" width="4.83203125" style="31" customWidth="1"/>
    <col min="2" max="2" width="12.83203125" style="32" customWidth="1"/>
    <col min="3" max="8" width="12.83203125" style="33" customWidth="1"/>
    <col min="9" max="11" width="12.83203125" style="34" customWidth="1"/>
    <col min="12" max="15" width="12.83203125" style="31" customWidth="1"/>
    <col min="16" max="16" width="4.83203125" style="15" customWidth="1"/>
    <col min="17" max="20" width="10.83203125" style="31" hidden="1" customWidth="1"/>
    <col min="21" max="25" width="10.83203125" style="26" hidden="1" customWidth="1"/>
    <col min="26" max="45" width="10.83203125" style="31" hidden="1" customWidth="1"/>
    <col min="46" max="16384" width="10.83203125" style="31" hidden="1"/>
  </cols>
  <sheetData>
    <row r="1" spans="1:25" s="498" customFormat="1">
      <c r="P1" s="499"/>
      <c r="Q1" s="499"/>
      <c r="R1" s="499"/>
      <c r="S1" s="500"/>
      <c r="T1" s="500"/>
      <c r="U1" s="500"/>
    </row>
    <row r="2" spans="1:25" s="464" customFormat="1" ht="31" customHeight="1">
      <c r="A2" s="494"/>
      <c r="B2" s="1817" t="s">
        <v>1965</v>
      </c>
      <c r="C2" s="1819">
        <v>400</v>
      </c>
      <c r="D2" s="1849" t="s">
        <v>1555</v>
      </c>
      <c r="E2" s="1850"/>
      <c r="F2" s="1849" t="s">
        <v>1563</v>
      </c>
      <c r="G2" s="1850"/>
      <c r="H2" s="1849" t="s">
        <v>794</v>
      </c>
      <c r="I2" s="1850"/>
      <c r="J2" s="1849" t="s">
        <v>1570</v>
      </c>
      <c r="K2" s="1850"/>
      <c r="L2" s="1847" t="s">
        <v>1564</v>
      </c>
      <c r="M2" s="1848"/>
      <c r="N2" s="1849" t="s">
        <v>1602</v>
      </c>
      <c r="O2" s="1850"/>
      <c r="P2" s="494"/>
    </row>
    <row r="3" spans="1:25" s="464" customFormat="1" ht="31" customHeight="1">
      <c r="A3" s="494"/>
      <c r="B3" s="1818"/>
      <c r="C3" s="1820"/>
      <c r="D3" s="1843" t="s">
        <v>1567</v>
      </c>
      <c r="E3" s="1844"/>
      <c r="F3" s="1843" t="s">
        <v>1584</v>
      </c>
      <c r="G3" s="1844"/>
      <c r="H3" s="1843" t="s">
        <v>1568</v>
      </c>
      <c r="I3" s="1844"/>
      <c r="J3" s="1843" t="s">
        <v>1569</v>
      </c>
      <c r="K3" s="1844"/>
      <c r="L3" s="2135" t="s">
        <v>1962</v>
      </c>
      <c r="M3" s="2136"/>
      <c r="N3" s="1843" t="s">
        <v>1019</v>
      </c>
      <c r="O3" s="1844"/>
      <c r="P3" s="494"/>
    </row>
    <row r="4" spans="1:25" s="494" customFormat="1" ht="15" customHeight="1">
      <c r="B4" s="492"/>
      <c r="C4" s="495"/>
      <c r="D4" s="497"/>
      <c r="E4" s="497"/>
      <c r="F4" s="497"/>
      <c r="G4" s="497"/>
      <c r="H4" s="497"/>
      <c r="I4" s="497"/>
      <c r="J4" s="496"/>
      <c r="K4" s="496"/>
      <c r="L4" s="496"/>
      <c r="M4" s="496"/>
      <c r="N4" s="496"/>
      <c r="O4" s="496"/>
    </row>
    <row r="5" spans="1:25" ht="31" customHeight="1">
      <c r="P5" s="31"/>
    </row>
    <row r="6" spans="1:25" s="29" customFormat="1" ht="31" customHeight="1" thickBot="1">
      <c r="A6" s="31"/>
      <c r="B6" s="491" t="s">
        <v>1647</v>
      </c>
      <c r="C6" s="466"/>
      <c r="D6" s="466"/>
      <c r="E6" s="466"/>
      <c r="F6" s="466"/>
      <c r="G6" s="466"/>
      <c r="H6" s="466"/>
      <c r="I6" s="467"/>
      <c r="J6" s="467"/>
      <c r="K6" s="467"/>
      <c r="L6" s="468"/>
      <c r="M6" s="468"/>
      <c r="N6" s="468"/>
      <c r="O6" s="468"/>
      <c r="U6" s="234"/>
      <c r="V6" s="234"/>
      <c r="W6" s="234"/>
      <c r="X6" s="234"/>
      <c r="Y6" s="234"/>
    </row>
    <row r="7" spans="1:25" s="29" customFormat="1" ht="15" customHeight="1" thickTop="1">
      <c r="B7" s="229"/>
      <c r="C7" s="230"/>
      <c r="D7" s="230"/>
      <c r="E7" s="230"/>
      <c r="F7" s="230"/>
      <c r="G7" s="230"/>
      <c r="H7" s="230"/>
      <c r="I7" s="30"/>
      <c r="J7" s="30"/>
      <c r="K7" s="30"/>
      <c r="U7" s="234"/>
      <c r="V7" s="234"/>
      <c r="W7" s="234"/>
      <c r="X7" s="234"/>
      <c r="Y7" s="234"/>
    </row>
    <row r="8" spans="1:25" s="29" customFormat="1" ht="54" customHeight="1">
      <c r="B8" s="1861" t="s">
        <v>2542</v>
      </c>
      <c r="C8" s="1861"/>
      <c r="D8" s="1861"/>
      <c r="E8" s="1861"/>
      <c r="F8" s="1861"/>
      <c r="G8" s="1861"/>
      <c r="H8" s="1861"/>
      <c r="I8" s="1861"/>
      <c r="J8" s="1861"/>
      <c r="K8" s="1861"/>
      <c r="L8" s="1861"/>
      <c r="M8" s="1861"/>
      <c r="N8" s="1861"/>
      <c r="O8" s="1861"/>
      <c r="U8" s="234"/>
      <c r="V8" s="234"/>
      <c r="W8" s="234"/>
      <c r="X8" s="234"/>
      <c r="Y8" s="234"/>
    </row>
    <row r="9" spans="1:25" s="29" customFormat="1" ht="15" customHeight="1">
      <c r="B9" s="229"/>
      <c r="C9" s="230"/>
      <c r="D9" s="230"/>
      <c r="E9" s="230"/>
      <c r="F9" s="230"/>
      <c r="G9" s="230"/>
      <c r="H9" s="230"/>
      <c r="I9" s="30"/>
      <c r="J9" s="30"/>
      <c r="K9" s="30"/>
      <c r="U9" s="234"/>
      <c r="V9" s="234"/>
      <c r="W9" s="234"/>
      <c r="X9" s="234"/>
      <c r="Y9" s="234"/>
    </row>
    <row r="10" spans="1:25" ht="100" customHeight="1">
      <c r="B10" s="2139" t="s">
        <v>1567</v>
      </c>
      <c r="C10" s="2140"/>
      <c r="D10" s="2130" t="s">
        <v>2006</v>
      </c>
      <c r="E10" s="2131"/>
      <c r="F10" s="2131"/>
      <c r="G10" s="2132"/>
      <c r="I10" s="2139" t="s">
        <v>1584</v>
      </c>
      <c r="J10" s="2140"/>
      <c r="K10" s="2130" t="s">
        <v>2604</v>
      </c>
      <c r="L10" s="2131"/>
      <c r="M10" s="2131"/>
      <c r="N10" s="2132"/>
    </row>
    <row r="11" spans="1:25" s="26" customFormat="1" ht="30" customHeight="1">
      <c r="F11" s="595"/>
      <c r="J11" s="595"/>
      <c r="K11" s="595"/>
      <c r="L11" s="29"/>
      <c r="M11" s="29"/>
      <c r="N11" s="29"/>
      <c r="P11" s="22"/>
    </row>
    <row r="12" spans="1:25" ht="100" customHeight="1">
      <c r="B12" s="2139" t="s">
        <v>1568</v>
      </c>
      <c r="C12" s="2140"/>
      <c r="D12" s="2130" t="s">
        <v>2605</v>
      </c>
      <c r="E12" s="2131"/>
      <c r="F12" s="2131"/>
      <c r="G12" s="2132"/>
      <c r="I12" s="2139" t="s">
        <v>1569</v>
      </c>
      <c r="J12" s="2140"/>
      <c r="K12" s="2130" t="s">
        <v>2431</v>
      </c>
      <c r="L12" s="2137"/>
      <c r="M12" s="2137"/>
      <c r="N12" s="2138"/>
    </row>
    <row r="13" spans="1:25" ht="31" customHeight="1">
      <c r="B13" s="31"/>
      <c r="C13" s="31"/>
      <c r="D13" s="2133"/>
      <c r="E13" s="2134"/>
      <c r="I13" s="2133"/>
      <c r="J13" s="2134"/>
      <c r="K13" s="1162"/>
      <c r="L13" s="26"/>
      <c r="M13" s="595"/>
      <c r="N13" s="595"/>
      <c r="O13" s="26"/>
    </row>
    <row r="14" spans="1:25" s="15" customFormat="1" ht="100" customHeight="1">
      <c r="B14" s="2139" t="s">
        <v>1962</v>
      </c>
      <c r="C14" s="2140"/>
      <c r="D14" s="2130" t="s">
        <v>2417</v>
      </c>
      <c r="E14" s="2131"/>
      <c r="F14" s="2131"/>
      <c r="G14" s="2132"/>
      <c r="I14" s="2139" t="s">
        <v>1019</v>
      </c>
      <c r="J14" s="2140"/>
      <c r="K14" s="2130" t="s">
        <v>1995</v>
      </c>
      <c r="L14" s="2131"/>
      <c r="M14" s="2131"/>
      <c r="N14" s="2132"/>
    </row>
    <row r="15" spans="1:25" s="15" customFormat="1" ht="31" customHeight="1"/>
    <row r="16" spans="1:25" s="15" customFormat="1" ht="15" hidden="1" customHeight="1"/>
    <row r="17" spans="16:16" s="15" customFormat="1" ht="15" hidden="1" customHeight="1"/>
    <row r="18" spans="16:16" s="15" customFormat="1" ht="15" hidden="1" customHeight="1"/>
    <row r="19" spans="16:16" s="15" customFormat="1" ht="15" hidden="1" customHeight="1"/>
    <row r="20" spans="16:16" s="15" customFormat="1" ht="15" hidden="1" customHeight="1"/>
    <row r="21" spans="16:16" s="15" customFormat="1" ht="15" hidden="1" customHeight="1"/>
    <row r="22" spans="16:16" s="15" customFormat="1" ht="15" hidden="1" customHeight="1"/>
    <row r="23" spans="16:16" s="15" customFormat="1" ht="15" hidden="1" customHeight="1"/>
    <row r="24" spans="16:16" s="15" customFormat="1" ht="15" hidden="1" customHeight="1"/>
    <row r="25" spans="16:16" s="15" customFormat="1" ht="15" hidden="1" customHeight="1"/>
    <row r="26" spans="16:16" s="15" customFormat="1" ht="15" hidden="1" customHeight="1"/>
    <row r="27" spans="16:16" s="15" customFormat="1" ht="15" hidden="1" customHeight="1"/>
    <row r="28" spans="16:16" s="15" customFormat="1" ht="15" hidden="1" customHeight="1"/>
    <row r="29" spans="16:16" s="15" customFormat="1" ht="16" hidden="1" customHeight="1"/>
    <row r="30" spans="16:16" s="15" customFormat="1" ht="15" hidden="1" customHeight="1"/>
    <row r="31" spans="16:16" s="15" customFormat="1" ht="15" hidden="1" customHeight="1"/>
    <row r="32" spans="16:16" ht="30" hidden="1" customHeight="1">
      <c r="P32" s="31"/>
    </row>
  </sheetData>
  <mergeCells count="29">
    <mergeCell ref="K14:N14"/>
    <mergeCell ref="D13:E13"/>
    <mergeCell ref="I13:J13"/>
    <mergeCell ref="L3:M3"/>
    <mergeCell ref="K10:N10"/>
    <mergeCell ref="K12:N12"/>
    <mergeCell ref="B8:O8"/>
    <mergeCell ref="B14:C14"/>
    <mergeCell ref="D14:G14"/>
    <mergeCell ref="B10:C10"/>
    <mergeCell ref="D10:G10"/>
    <mergeCell ref="I10:J10"/>
    <mergeCell ref="B12:C12"/>
    <mergeCell ref="D12:G12"/>
    <mergeCell ref="I12:J12"/>
    <mergeCell ref="I14:J14"/>
    <mergeCell ref="B2:B3"/>
    <mergeCell ref="C2:C3"/>
    <mergeCell ref="L2:M2"/>
    <mergeCell ref="N2:O2"/>
    <mergeCell ref="D3:E3"/>
    <mergeCell ref="F3:G3"/>
    <mergeCell ref="H3:I3"/>
    <mergeCell ref="J3:K3"/>
    <mergeCell ref="D2:E2"/>
    <mergeCell ref="F2:G2"/>
    <mergeCell ref="H2:I2"/>
    <mergeCell ref="J2:K2"/>
    <mergeCell ref="N3:O3"/>
  </mergeCells>
  <hyperlinks>
    <hyperlink ref="F2" location="'City information'!A1" display="Set-up"/>
    <hyperlink ref="G2" location="'City information'!A1" display="'City information'!A1"/>
    <hyperlink ref="H2" location="Inventory!A1" display="Inventory"/>
    <hyperlink ref="I2" location="Inventory!A1" display="Inventory!A1"/>
    <hyperlink ref="J2" location="Calculators!A1" display="Calculators"/>
    <hyperlink ref="K2" location="Calculators!A1" display="Calculators!A1"/>
    <hyperlink ref="L2" location="Summary!A1" display="Results"/>
    <hyperlink ref="M2" location="Summary!A1" display="Summary!A1"/>
    <hyperlink ref="N2" location="Analysis!A1" display="Analysis"/>
    <hyperlink ref="O2" location="Analysis!A1" display="Analysis!A1"/>
    <hyperlink ref="F3" location="Graphs!A1" display="Graphs"/>
    <hyperlink ref="G3" location="Graphs!A1" display="Graphs!A1"/>
    <hyperlink ref="H3" location="Overview!A1" display="Overview"/>
    <hyperlink ref="I3" location="Overview!A1" display="Overview!A1"/>
    <hyperlink ref="J3" location="Report!A1" display="Report"/>
    <hyperlink ref="K3" location="Report!A1" display="Report!A1"/>
    <hyperlink ref="D3" location="Summary!A1" display="Summary"/>
    <hyperlink ref="E3" location="Summary!A1" display="Summary!A1"/>
    <hyperlink ref="N3" location="'Net emissions'!A1" display="Net emissions"/>
    <hyperlink ref="O3" location="'Net emissions'!A1" display="'Net emissions'!A1"/>
    <hyperlink ref="D2" location="Home!A1" display="Introduction"/>
    <hyperlink ref="E2" location="Home!A1" display="Home!A1"/>
    <hyperlink ref="L3" location="Audit!A1" display="Audit"/>
    <hyperlink ref="B10" location="Summary!A1" display="Summary"/>
    <hyperlink ref="C10" location="Summary!A1" display="Summary!A1"/>
    <hyperlink ref="B12" location="Overview!A1" display="Overview"/>
    <hyperlink ref="C12" location="Overview!A1" display="Overview!A1"/>
    <hyperlink ref="I10" location="Graphs!A1" display="Graphs"/>
    <hyperlink ref="J10" location="Graphs!A1" display="Graphs!A1"/>
    <hyperlink ref="I12" location="Report!A1" display="Report"/>
    <hyperlink ref="J12" location="Report!A1" display="Report!A1"/>
    <hyperlink ref="B14" location="Audit!A1" display="Self check"/>
    <hyperlink ref="C14" location="Audit!A1" display="Audit!A1"/>
    <hyperlink ref="I14" location="'Net emissions'!A1" display="Net emissions"/>
    <hyperlink ref="J14" location="'Net emissions'!A1" display="'Net emissions'!A1"/>
  </hyperlinks>
  <pageMargins left="0.25" right="0.25" top="0.75" bottom="0.75" header="0.3" footer="0.3"/>
  <pageSetup paperSize="9" scale="10" orientation="portrait" horizontalDpi="4294967292" verticalDpi="4294967292"/>
  <headerFooter>
    <oddHeader>&amp;CTable 4.1</oddHeader>
  </headerFooter>
  <drawing r:id="rId1"/>
  <extLst>
    <ext xmlns:mx="http://schemas.microsoft.com/office/mac/excel/2008/main" uri="{64002731-A6B0-56B0-2670-7721B7C09600}">
      <mx:PLV Mode="0" OnePage="0" WScale="71"/>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theme="3"/>
    <outlinePr summaryBelow="0"/>
    <pageSetUpPr autoPageBreaks="0" fitToPage="1"/>
  </sheetPr>
  <dimension ref="A1:CK278"/>
  <sheetViews>
    <sheetView showRowColHeaders="0" showZeros="0" workbookViewId="0">
      <selection activeCell="F3" sqref="F3:G3"/>
    </sheetView>
  </sheetViews>
  <sheetFormatPr baseColWidth="10" defaultColWidth="0" defaultRowHeight="15" zeroHeight="1" x14ac:dyDescent="0"/>
  <cols>
    <col min="1" max="1" width="4.83203125" style="169" customWidth="1"/>
    <col min="2" max="2" width="12.83203125" style="187" customWidth="1"/>
    <col min="3" max="10" width="12.83203125" style="183" customWidth="1"/>
    <col min="11" max="14" width="12.83203125" style="169" customWidth="1"/>
    <col min="15" max="15" width="12.83203125" style="182" customWidth="1"/>
    <col min="16" max="16" width="4.83203125" style="182" customWidth="1"/>
    <col min="17" max="19" width="10.83203125" style="182" hidden="1" customWidth="1"/>
    <col min="20" max="59" width="0" style="182" hidden="1" customWidth="1"/>
    <col min="60" max="89" width="0" style="183" hidden="1" customWidth="1"/>
    <col min="90" max="16384" width="10.83203125" style="183" hidden="1"/>
  </cols>
  <sheetData>
    <row r="1" spans="1:89" s="498" customFormat="1"/>
    <row r="2" spans="1:89" s="464" customFormat="1" ht="31" customHeight="1">
      <c r="A2" s="494"/>
      <c r="B2" s="1817" t="s">
        <v>1965</v>
      </c>
      <c r="C2" s="1819">
        <v>400</v>
      </c>
      <c r="D2" s="1849" t="s">
        <v>1555</v>
      </c>
      <c r="E2" s="1850"/>
      <c r="F2" s="1849" t="s">
        <v>1563</v>
      </c>
      <c r="G2" s="1850"/>
      <c r="H2" s="1849" t="s">
        <v>794</v>
      </c>
      <c r="I2" s="1850"/>
      <c r="J2" s="1849" t="s">
        <v>1570</v>
      </c>
      <c r="K2" s="1850"/>
      <c r="L2" s="2047" t="s">
        <v>1564</v>
      </c>
      <c r="M2" s="2033"/>
      <c r="N2" s="1849" t="s">
        <v>1602</v>
      </c>
      <c r="O2" s="1850"/>
      <c r="P2" s="494"/>
      <c r="Q2" s="494"/>
      <c r="R2" s="494"/>
      <c r="S2" s="494"/>
      <c r="T2" s="494"/>
      <c r="U2" s="494"/>
      <c r="V2" s="494"/>
      <c r="W2" s="494"/>
      <c r="X2" s="494"/>
      <c r="Y2" s="494"/>
      <c r="Z2" s="494"/>
      <c r="AA2" s="494"/>
      <c r="AB2" s="494"/>
      <c r="AC2" s="494"/>
      <c r="AD2" s="494"/>
      <c r="AE2" s="494"/>
      <c r="AF2" s="494"/>
      <c r="AG2" s="494"/>
      <c r="AH2" s="494"/>
      <c r="AI2" s="494"/>
      <c r="AJ2" s="494"/>
      <c r="AK2" s="494"/>
      <c r="AL2" s="494"/>
      <c r="AM2" s="494"/>
      <c r="AN2" s="494"/>
      <c r="AO2" s="494"/>
      <c r="AP2" s="494"/>
      <c r="AQ2" s="494"/>
      <c r="AR2" s="494"/>
      <c r="AS2" s="494"/>
      <c r="AT2" s="494"/>
      <c r="AU2" s="494"/>
      <c r="AV2" s="494"/>
      <c r="AW2" s="494"/>
      <c r="AX2" s="494"/>
      <c r="AY2" s="494"/>
      <c r="AZ2" s="494"/>
      <c r="BA2" s="494"/>
      <c r="BB2" s="494"/>
      <c r="BC2" s="494"/>
      <c r="BD2" s="494"/>
      <c r="BE2" s="494"/>
      <c r="BF2" s="494"/>
      <c r="BG2" s="494"/>
      <c r="BH2" s="494"/>
      <c r="BI2" s="494"/>
      <c r="BJ2" s="494"/>
      <c r="BK2" s="494"/>
      <c r="BL2" s="494"/>
      <c r="BM2" s="494"/>
      <c r="BN2" s="494"/>
      <c r="BO2" s="494"/>
      <c r="BP2" s="494"/>
      <c r="BQ2" s="494"/>
      <c r="BR2" s="494"/>
      <c r="BS2" s="494"/>
      <c r="BT2" s="494"/>
      <c r="BU2" s="494"/>
      <c r="BV2" s="494"/>
      <c r="BW2" s="494"/>
      <c r="BX2" s="494"/>
      <c r="BY2" s="494"/>
      <c r="BZ2" s="494"/>
      <c r="CA2" s="494"/>
      <c r="CB2" s="494"/>
      <c r="CC2" s="494"/>
      <c r="CD2" s="494"/>
      <c r="CE2" s="494"/>
      <c r="CF2" s="494"/>
      <c r="CG2" s="494"/>
      <c r="CH2" s="494"/>
      <c r="CI2" s="494"/>
      <c r="CJ2" s="494"/>
      <c r="CK2" s="494"/>
    </row>
    <row r="3" spans="1:89" s="464" customFormat="1" ht="31" customHeight="1">
      <c r="A3" s="494"/>
      <c r="B3" s="1818"/>
      <c r="C3" s="1820"/>
      <c r="D3" s="1847" t="s">
        <v>1567</v>
      </c>
      <c r="E3" s="1848"/>
      <c r="F3" s="1843" t="s">
        <v>1584</v>
      </c>
      <c r="G3" s="1844"/>
      <c r="H3" s="1843" t="s">
        <v>1568</v>
      </c>
      <c r="I3" s="1844"/>
      <c r="J3" s="1843" t="s">
        <v>1569</v>
      </c>
      <c r="K3" s="1844"/>
      <c r="L3" s="2135" t="s">
        <v>1962</v>
      </c>
      <c r="M3" s="2136"/>
      <c r="N3" s="1843" t="s">
        <v>1019</v>
      </c>
      <c r="O3" s="1844"/>
      <c r="P3" s="494"/>
      <c r="Q3" s="494"/>
      <c r="R3" s="494"/>
      <c r="S3" s="494"/>
      <c r="T3" s="494"/>
      <c r="U3" s="494"/>
      <c r="V3" s="494"/>
      <c r="W3" s="494"/>
      <c r="X3" s="494"/>
      <c r="Y3" s="494"/>
      <c r="Z3" s="494"/>
      <c r="AA3" s="494"/>
      <c r="AB3" s="494"/>
      <c r="AC3" s="494"/>
      <c r="AD3" s="494"/>
      <c r="AE3" s="494"/>
      <c r="AF3" s="494"/>
      <c r="AG3" s="494"/>
      <c r="AH3" s="494"/>
      <c r="AI3" s="494"/>
      <c r="AJ3" s="494"/>
      <c r="AK3" s="494"/>
      <c r="AL3" s="494"/>
      <c r="AM3" s="494"/>
      <c r="AN3" s="494"/>
      <c r="AO3" s="494"/>
      <c r="AP3" s="494"/>
      <c r="AQ3" s="494"/>
      <c r="AR3" s="494"/>
      <c r="AS3" s="494"/>
      <c r="AT3" s="494"/>
      <c r="AU3" s="494"/>
      <c r="AV3" s="494"/>
      <c r="AW3" s="494"/>
      <c r="AX3" s="494"/>
      <c r="AY3" s="494"/>
      <c r="AZ3" s="494"/>
      <c r="BA3" s="494"/>
      <c r="BB3" s="494"/>
      <c r="BC3" s="494"/>
      <c r="BD3" s="494"/>
      <c r="BE3" s="494"/>
      <c r="BF3" s="494"/>
      <c r="BG3" s="494"/>
      <c r="BH3" s="494"/>
      <c r="BI3" s="494"/>
      <c r="BJ3" s="494"/>
      <c r="BK3" s="494"/>
      <c r="BL3" s="494"/>
      <c r="BM3" s="494"/>
      <c r="BN3" s="494"/>
      <c r="BO3" s="494"/>
      <c r="BP3" s="494"/>
      <c r="BQ3" s="494"/>
      <c r="BR3" s="494"/>
      <c r="BS3" s="494"/>
      <c r="BT3" s="494"/>
      <c r="BU3" s="494"/>
      <c r="BV3" s="494"/>
      <c r="BW3" s="494"/>
      <c r="BX3" s="494"/>
      <c r="BY3" s="494"/>
      <c r="BZ3" s="494"/>
      <c r="CA3" s="494"/>
      <c r="CB3" s="494"/>
      <c r="CC3" s="494"/>
      <c r="CD3" s="494"/>
      <c r="CE3" s="494"/>
      <c r="CF3" s="494"/>
      <c r="CG3" s="494"/>
      <c r="CH3" s="494"/>
      <c r="CI3" s="494"/>
      <c r="CJ3" s="494"/>
      <c r="CK3" s="494"/>
    </row>
    <row r="4" spans="1:89" s="494" customFormat="1" ht="15" customHeight="1">
      <c r="B4" s="492"/>
      <c r="C4" s="495"/>
      <c r="D4" s="497"/>
      <c r="E4" s="497"/>
      <c r="F4" s="497"/>
      <c r="G4" s="497"/>
      <c r="H4" s="497"/>
      <c r="I4" s="497"/>
      <c r="J4" s="497"/>
      <c r="K4" s="497"/>
      <c r="L4" s="496"/>
      <c r="M4" s="496"/>
      <c r="N4" s="496"/>
      <c r="O4" s="496"/>
    </row>
    <row r="5" spans="1:89" s="15" customFormat="1" ht="31" customHeight="1">
      <c r="O5" s="169"/>
      <c r="P5" s="169"/>
      <c r="Q5" s="182"/>
      <c r="R5" s="182"/>
      <c r="S5" s="182"/>
      <c r="T5" s="182"/>
      <c r="U5" s="182"/>
      <c r="V5" s="182"/>
      <c r="W5" s="182"/>
      <c r="X5" s="182"/>
      <c r="Y5" s="182"/>
      <c r="Z5" s="182"/>
      <c r="AA5" s="182"/>
      <c r="AB5" s="182"/>
      <c r="AC5" s="182"/>
      <c r="AD5" s="182"/>
      <c r="AE5" s="182"/>
      <c r="AF5" s="182"/>
      <c r="AG5" s="182"/>
      <c r="AH5" s="182"/>
      <c r="AI5" s="182"/>
      <c r="AJ5" s="182"/>
      <c r="AK5" s="182"/>
      <c r="AL5" s="182"/>
      <c r="AM5" s="182"/>
      <c r="AN5" s="182"/>
      <c r="AO5" s="182"/>
      <c r="AP5" s="182"/>
      <c r="AQ5" s="182"/>
      <c r="AR5" s="182"/>
      <c r="AS5" s="182"/>
      <c r="AT5" s="182"/>
      <c r="AU5" s="182"/>
      <c r="AV5" s="182"/>
      <c r="AW5" s="182"/>
      <c r="AX5" s="182"/>
      <c r="AY5" s="182"/>
      <c r="AZ5" s="182"/>
      <c r="BA5" s="182"/>
      <c r="BB5" s="182"/>
      <c r="BC5" s="182"/>
      <c r="BD5" s="182"/>
      <c r="BE5" s="182"/>
      <c r="BF5" s="182"/>
      <c r="BG5" s="182"/>
    </row>
    <row r="6" spans="1:89" s="515" customFormat="1" ht="31" customHeight="1" collapsed="1" thickBot="1">
      <c r="A6" s="15"/>
      <c r="B6" s="491" t="s">
        <v>1588</v>
      </c>
      <c r="C6" s="516"/>
      <c r="D6" s="516"/>
      <c r="E6" s="516"/>
      <c r="F6" s="516"/>
      <c r="G6" s="516"/>
      <c r="H6" s="516"/>
      <c r="I6" s="517"/>
      <c r="J6" s="517"/>
      <c r="K6" s="517"/>
      <c r="L6" s="518"/>
      <c r="M6" s="518"/>
      <c r="N6" s="518"/>
      <c r="O6" s="518"/>
      <c r="P6" s="169"/>
      <c r="Q6" s="182"/>
      <c r="R6" s="182"/>
      <c r="S6" s="182"/>
      <c r="T6" s="182"/>
      <c r="U6" s="182"/>
      <c r="V6" s="182"/>
      <c r="W6" s="182"/>
      <c r="X6" s="182"/>
      <c r="Y6" s="182"/>
      <c r="Z6" s="182"/>
      <c r="AA6" s="182"/>
      <c r="AB6" s="182"/>
      <c r="AC6" s="182"/>
      <c r="AD6" s="182"/>
      <c r="AE6" s="182"/>
      <c r="AF6" s="182"/>
      <c r="AG6" s="182"/>
      <c r="AH6" s="182"/>
      <c r="AI6" s="182"/>
      <c r="AJ6" s="182"/>
      <c r="AK6" s="182"/>
      <c r="AL6" s="182"/>
      <c r="AM6" s="182"/>
      <c r="AN6" s="182"/>
      <c r="AO6" s="182"/>
      <c r="AP6" s="182"/>
      <c r="AQ6" s="182"/>
      <c r="AR6" s="182"/>
      <c r="AS6" s="182"/>
      <c r="AT6" s="182"/>
      <c r="AU6" s="182"/>
      <c r="AV6" s="182"/>
      <c r="AW6" s="182"/>
      <c r="AX6" s="182"/>
      <c r="AY6" s="182"/>
      <c r="AZ6" s="182"/>
      <c r="BA6" s="182"/>
      <c r="BB6" s="182"/>
      <c r="BC6" s="182"/>
      <c r="BD6" s="182"/>
      <c r="BE6" s="182"/>
      <c r="BF6" s="182"/>
      <c r="BG6" s="182"/>
    </row>
    <row r="7" spans="1:89" s="515" customFormat="1" ht="15" customHeight="1" thickTop="1">
      <c r="B7" s="519"/>
      <c r="C7" s="520"/>
      <c r="D7" s="520"/>
      <c r="E7" s="520"/>
      <c r="F7" s="520"/>
      <c r="G7" s="520"/>
      <c r="H7" s="520"/>
      <c r="I7" s="521"/>
      <c r="J7" s="521"/>
      <c r="K7" s="521"/>
      <c r="L7" s="522"/>
      <c r="M7" s="522"/>
      <c r="N7" s="15"/>
      <c r="O7" s="169"/>
      <c r="P7" s="169"/>
      <c r="Q7" s="182"/>
      <c r="R7" s="182"/>
      <c r="S7" s="182"/>
      <c r="T7" s="182"/>
      <c r="U7" s="182"/>
      <c r="V7" s="182"/>
      <c r="W7" s="182"/>
      <c r="X7" s="182"/>
      <c r="Y7" s="182"/>
      <c r="Z7" s="182"/>
      <c r="AA7" s="182"/>
      <c r="AB7" s="182"/>
      <c r="AC7" s="182"/>
      <c r="AD7" s="182"/>
      <c r="AE7" s="182"/>
      <c r="AF7" s="182"/>
      <c r="AG7" s="182"/>
      <c r="AH7" s="182"/>
      <c r="AI7" s="182"/>
      <c r="AJ7" s="182"/>
      <c r="AK7" s="182"/>
      <c r="AL7" s="182"/>
      <c r="AM7" s="182"/>
      <c r="AN7" s="182"/>
      <c r="AO7" s="182"/>
      <c r="AP7" s="182"/>
      <c r="AQ7" s="182"/>
      <c r="AR7" s="182"/>
      <c r="AS7" s="182"/>
      <c r="AT7" s="182"/>
      <c r="AU7" s="182"/>
      <c r="AV7" s="182"/>
      <c r="AW7" s="182"/>
      <c r="AX7" s="182"/>
      <c r="AY7" s="182"/>
      <c r="AZ7" s="182"/>
      <c r="BA7" s="182"/>
      <c r="BB7" s="182"/>
      <c r="BC7" s="182"/>
      <c r="BD7" s="182"/>
      <c r="BE7" s="182"/>
      <c r="BF7" s="182"/>
      <c r="BG7" s="182"/>
    </row>
    <row r="8" spans="1:89" s="607" customFormat="1" ht="18" customHeight="1">
      <c r="B8" s="604" t="s">
        <v>752</v>
      </c>
      <c r="C8" s="605"/>
      <c r="D8" s="605" t="str">
        <f>IF('City information'!E11="",'City information'!E10,CONCATENATE('City information'!E10,", ",'City information'!E11))</f>
        <v>Atlantis, Gondwana</v>
      </c>
      <c r="E8" s="605"/>
      <c r="F8" s="608"/>
      <c r="G8" s="608"/>
      <c r="H8" s="608"/>
      <c r="I8" s="604" t="s">
        <v>753</v>
      </c>
      <c r="J8" s="609"/>
      <c r="K8" s="1553">
        <f>Overview!K8</f>
        <v>4000000</v>
      </c>
      <c r="L8" s="610"/>
      <c r="M8" s="610"/>
      <c r="O8" s="611"/>
      <c r="P8" s="611"/>
      <c r="Q8" s="612"/>
      <c r="R8" s="612"/>
      <c r="S8" s="612"/>
      <c r="T8" s="612"/>
      <c r="U8" s="612"/>
      <c r="V8" s="612"/>
      <c r="W8" s="612"/>
      <c r="X8" s="612"/>
      <c r="Y8" s="612"/>
      <c r="Z8" s="612"/>
      <c r="AA8" s="612"/>
      <c r="AB8" s="612"/>
      <c r="AC8" s="612"/>
      <c r="AD8" s="612"/>
      <c r="AE8" s="612"/>
      <c r="AF8" s="612"/>
      <c r="AG8" s="612"/>
      <c r="AH8" s="612"/>
      <c r="AI8" s="612"/>
      <c r="AJ8" s="612"/>
      <c r="AK8" s="612"/>
      <c r="AL8" s="612"/>
      <c r="AM8" s="612"/>
      <c r="AN8" s="612"/>
      <c r="AO8" s="612"/>
      <c r="AP8" s="612"/>
      <c r="AQ8" s="612"/>
      <c r="AR8" s="612"/>
      <c r="AS8" s="612"/>
      <c r="AT8" s="612"/>
      <c r="AU8" s="612"/>
      <c r="AV8" s="612"/>
      <c r="AW8" s="612"/>
      <c r="AX8" s="612"/>
      <c r="AY8" s="612"/>
      <c r="AZ8" s="612"/>
      <c r="BA8" s="612"/>
      <c r="BB8" s="612"/>
      <c r="BC8" s="612"/>
      <c r="BD8" s="612"/>
      <c r="BE8" s="612"/>
      <c r="BF8" s="612"/>
      <c r="BG8" s="612"/>
    </row>
    <row r="9" spans="1:89" s="607" customFormat="1" ht="18" customHeight="1">
      <c r="B9" s="604" t="s">
        <v>751</v>
      </c>
      <c r="C9" s="605"/>
      <c r="D9" s="605" t="str">
        <f>Overview!D9</f>
        <v>BASIC</v>
      </c>
      <c r="E9" s="605"/>
      <c r="F9" s="608"/>
      <c r="G9" s="608"/>
      <c r="H9" s="608"/>
      <c r="I9" s="604" t="s">
        <v>755</v>
      </c>
      <c r="J9" s="609"/>
      <c r="K9" s="1553">
        <f>Overview!K9</f>
        <v>1000</v>
      </c>
      <c r="L9" s="610"/>
      <c r="M9" s="610"/>
      <c r="O9" s="611"/>
      <c r="P9" s="611"/>
      <c r="Q9" s="612"/>
      <c r="R9" s="612"/>
      <c r="S9" s="612"/>
      <c r="T9" s="612"/>
      <c r="U9" s="612"/>
      <c r="V9" s="612"/>
      <c r="W9" s="612"/>
      <c r="X9" s="612"/>
      <c r="Y9" s="612"/>
      <c r="Z9" s="612"/>
      <c r="AA9" s="612"/>
      <c r="AB9" s="612"/>
      <c r="AC9" s="612"/>
      <c r="AD9" s="612"/>
      <c r="AE9" s="612"/>
      <c r="AF9" s="612"/>
      <c r="AG9" s="612"/>
      <c r="AH9" s="612"/>
      <c r="AI9" s="612"/>
      <c r="AJ9" s="612"/>
      <c r="AK9" s="612"/>
      <c r="AL9" s="612"/>
      <c r="AM9" s="612"/>
      <c r="AN9" s="612"/>
      <c r="AO9" s="612"/>
      <c r="AP9" s="612"/>
      <c r="AQ9" s="612"/>
      <c r="AR9" s="612"/>
      <c r="AS9" s="612"/>
      <c r="AT9" s="612"/>
      <c r="AU9" s="612"/>
      <c r="AV9" s="612"/>
      <c r="AW9" s="612"/>
      <c r="AX9" s="612"/>
      <c r="AY9" s="612"/>
      <c r="AZ9" s="612"/>
      <c r="BA9" s="612"/>
      <c r="BB9" s="612"/>
      <c r="BC9" s="612"/>
      <c r="BD9" s="612"/>
      <c r="BE9" s="612"/>
      <c r="BF9" s="612"/>
      <c r="BG9" s="612"/>
    </row>
    <row r="10" spans="1:89" s="607" customFormat="1" ht="18" customHeight="1">
      <c r="B10" s="606" t="s">
        <v>750</v>
      </c>
      <c r="C10" s="605"/>
      <c r="D10" s="605">
        <f>'City information'!E13</f>
        <v>2014</v>
      </c>
      <c r="E10" s="605"/>
      <c r="F10" s="608"/>
      <c r="G10" s="608"/>
      <c r="H10" s="608"/>
      <c r="I10" s="604" t="s">
        <v>2506</v>
      </c>
      <c r="J10" s="609"/>
      <c r="K10" s="1553">
        <f>Overview!K10</f>
        <v>200000</v>
      </c>
      <c r="L10" s="610"/>
      <c r="M10" s="610"/>
      <c r="O10" s="611"/>
      <c r="P10" s="611"/>
      <c r="Q10" s="612"/>
      <c r="R10" s="612"/>
      <c r="S10" s="612"/>
      <c r="T10" s="612"/>
      <c r="U10" s="612"/>
      <c r="V10" s="612"/>
      <c r="W10" s="612"/>
      <c r="X10" s="612"/>
      <c r="Y10" s="612"/>
      <c r="Z10" s="612"/>
      <c r="AA10" s="612"/>
      <c r="AB10" s="612"/>
      <c r="AC10" s="612"/>
      <c r="AD10" s="612"/>
      <c r="AE10" s="612"/>
      <c r="AF10" s="612"/>
      <c r="AG10" s="612"/>
      <c r="AH10" s="612"/>
      <c r="AI10" s="612"/>
      <c r="AJ10" s="612"/>
      <c r="AK10" s="612"/>
      <c r="AL10" s="612"/>
      <c r="AM10" s="612"/>
      <c r="AN10" s="612"/>
      <c r="AO10" s="612"/>
      <c r="AP10" s="612"/>
      <c r="AQ10" s="612"/>
      <c r="AR10" s="612"/>
      <c r="AS10" s="612"/>
      <c r="AT10" s="612"/>
      <c r="AU10" s="612"/>
      <c r="AV10" s="612"/>
      <c r="AW10" s="612"/>
      <c r="AX10" s="612"/>
      <c r="AY10" s="612"/>
      <c r="AZ10" s="612"/>
      <c r="BA10" s="612"/>
      <c r="BB10" s="612"/>
      <c r="BC10" s="612"/>
      <c r="BD10" s="612"/>
      <c r="BE10" s="612"/>
      <c r="BF10" s="612"/>
      <c r="BG10" s="612"/>
    </row>
    <row r="11" spans="1:89" s="515" customFormat="1" ht="15" customHeight="1">
      <c r="B11" s="519"/>
      <c r="C11" s="520"/>
      <c r="D11" s="520"/>
      <c r="E11" s="520"/>
      <c r="F11" s="520"/>
      <c r="G11" s="520"/>
      <c r="H11" s="520"/>
      <c r="I11" s="521"/>
      <c r="J11" s="521"/>
      <c r="K11" s="521"/>
      <c r="L11" s="522"/>
      <c r="M11" s="522"/>
      <c r="N11" s="15"/>
      <c r="O11" s="169"/>
      <c r="P11" s="169"/>
      <c r="Q11" s="182"/>
      <c r="R11" s="182"/>
      <c r="S11" s="182"/>
      <c r="T11" s="182"/>
      <c r="U11" s="182"/>
      <c r="V11" s="182"/>
      <c r="W11" s="182"/>
      <c r="X11" s="182"/>
      <c r="Y11" s="182"/>
      <c r="Z11" s="182"/>
      <c r="AA11" s="182"/>
      <c r="AB11" s="182"/>
      <c r="AC11" s="182"/>
      <c r="AD11" s="182"/>
      <c r="AE11" s="182"/>
      <c r="AF11" s="182"/>
      <c r="AG11" s="182"/>
      <c r="AH11" s="182"/>
      <c r="AI11" s="182"/>
      <c r="AJ11" s="182"/>
      <c r="AK11" s="182"/>
      <c r="AL11" s="182"/>
      <c r="AM11" s="182"/>
      <c r="AN11" s="182"/>
      <c r="AO11" s="182"/>
      <c r="AP11" s="182"/>
      <c r="AQ11" s="182"/>
      <c r="AR11" s="182"/>
      <c r="AS11" s="182"/>
      <c r="AT11" s="182"/>
      <c r="AU11" s="182"/>
      <c r="AV11" s="182"/>
      <c r="AW11" s="182"/>
      <c r="AX11" s="182"/>
      <c r="AY11" s="182"/>
      <c r="AZ11" s="182"/>
      <c r="BA11" s="182"/>
      <c r="BB11" s="182"/>
      <c r="BC11" s="182"/>
      <c r="BD11" s="182"/>
      <c r="BE11" s="182"/>
      <c r="BF11" s="182"/>
      <c r="BG11" s="182"/>
    </row>
    <row r="12" spans="1:89" s="515" customFormat="1" ht="50" customHeight="1">
      <c r="B12" s="2685" t="s">
        <v>2731</v>
      </c>
      <c r="C12" s="2159" t="s">
        <v>172</v>
      </c>
      <c r="D12" s="2158"/>
      <c r="E12" s="2152" t="s">
        <v>1</v>
      </c>
      <c r="F12" s="2152"/>
      <c r="G12" s="2146" t="s">
        <v>2</v>
      </c>
      <c r="H12" s="2153"/>
      <c r="I12" s="2146" t="s">
        <v>3</v>
      </c>
      <c r="J12" s="2057"/>
      <c r="K12" s="521"/>
      <c r="L12" s="522"/>
      <c r="M12" s="522"/>
      <c r="N12" s="15"/>
      <c r="O12" s="169"/>
      <c r="P12" s="169"/>
      <c r="Q12" s="182"/>
      <c r="R12" s="182"/>
      <c r="S12" s="182"/>
      <c r="T12" s="182"/>
      <c r="U12" s="182"/>
      <c r="V12" s="182"/>
      <c r="W12" s="182"/>
      <c r="X12" s="182"/>
      <c r="Y12" s="182"/>
      <c r="Z12" s="182"/>
      <c r="AA12" s="182"/>
      <c r="AB12" s="182"/>
      <c r="AC12" s="182"/>
      <c r="AD12" s="182"/>
      <c r="AE12" s="182"/>
      <c r="AF12" s="182"/>
      <c r="AG12" s="182"/>
      <c r="AH12" s="182"/>
      <c r="AI12" s="182"/>
      <c r="AJ12" s="182"/>
      <c r="AK12" s="182"/>
      <c r="AL12" s="182"/>
      <c r="AM12" s="182"/>
      <c r="AN12" s="182"/>
      <c r="AO12" s="182"/>
      <c r="AP12" s="182"/>
      <c r="AQ12" s="182"/>
      <c r="AR12" s="182"/>
      <c r="AS12" s="182"/>
      <c r="AT12" s="182"/>
      <c r="AU12" s="182"/>
      <c r="AV12" s="182"/>
      <c r="AW12" s="182"/>
      <c r="AX12" s="182"/>
      <c r="AY12" s="182"/>
      <c r="AZ12" s="182"/>
      <c r="BA12" s="182"/>
      <c r="BB12" s="182"/>
      <c r="BC12" s="182"/>
      <c r="BD12" s="182"/>
      <c r="BE12" s="182"/>
      <c r="BF12" s="182"/>
      <c r="BG12" s="182"/>
    </row>
    <row r="13" spans="1:89" s="515" customFormat="1" ht="50" customHeight="1">
      <c r="B13" s="593"/>
      <c r="C13" s="2151" t="s">
        <v>270</v>
      </c>
      <c r="D13" s="2151"/>
      <c r="E13" s="2147">
        <f>IF(C12="Please select","X",IF(C12="","X",Overview!H14))</f>
        <v>1778267.3614382397</v>
      </c>
      <c r="F13" s="2148"/>
      <c r="G13" s="2147">
        <f>IF(C12="Please select","X",IF(C12="","X",Overview!I14))</f>
        <v>2786281.5331000001</v>
      </c>
      <c r="H13" s="2148"/>
      <c r="I13" s="2147" t="str">
        <f>IF(C12="BASIC+",Overview!J14,IF(C12="BASIC+ Other scope 3",Overview!J14,"X"))</f>
        <v>X</v>
      </c>
      <c r="J13" s="2148"/>
      <c r="K13" s="521"/>
      <c r="L13" s="522"/>
      <c r="M13" s="522"/>
      <c r="N13" s="15"/>
      <c r="O13" s="169"/>
      <c r="P13" s="600">
        <f>SUM(E18:J18)</f>
        <v>0</v>
      </c>
      <c r="Q13" s="182"/>
      <c r="R13" s="182"/>
      <c r="S13" s="182"/>
      <c r="T13" s="182"/>
      <c r="U13" s="182"/>
      <c r="V13" s="182"/>
      <c r="W13" s="182"/>
      <c r="X13" s="182"/>
      <c r="Y13" s="182"/>
      <c r="Z13" s="182"/>
      <c r="AA13" s="182"/>
      <c r="AB13" s="182"/>
      <c r="AC13" s="182"/>
      <c r="AD13" s="182"/>
      <c r="AE13" s="182"/>
      <c r="AF13" s="182"/>
      <c r="AG13" s="182"/>
      <c r="AH13" s="182"/>
      <c r="AI13" s="182"/>
      <c r="AJ13" s="182"/>
      <c r="AK13" s="182"/>
      <c r="AL13" s="182"/>
      <c r="AM13" s="182"/>
      <c r="AN13" s="182"/>
      <c r="AO13" s="182"/>
      <c r="AP13" s="182"/>
      <c r="AQ13" s="182"/>
      <c r="AR13" s="182"/>
      <c r="AS13" s="182"/>
      <c r="AT13" s="182"/>
      <c r="AU13" s="182"/>
      <c r="AV13" s="182"/>
      <c r="AW13" s="182"/>
      <c r="AX13" s="182"/>
      <c r="AY13" s="182"/>
      <c r="AZ13" s="182"/>
      <c r="BA13" s="182"/>
      <c r="BB13" s="182"/>
      <c r="BC13" s="182"/>
      <c r="BD13" s="182"/>
      <c r="BE13" s="182"/>
      <c r="BF13" s="182"/>
      <c r="BG13" s="182"/>
    </row>
    <row r="14" spans="1:89" s="515" customFormat="1" ht="50" customHeight="1">
      <c r="B14" s="593"/>
      <c r="C14" s="2141" t="s">
        <v>760</v>
      </c>
      <c r="D14" s="2142"/>
      <c r="E14" s="2147">
        <f>IF(C12="Please select","X",IF(C12="","X",Overview!H16))</f>
        <v>3399629.61607179</v>
      </c>
      <c r="F14" s="2148"/>
      <c r="G14" s="2147">
        <f>IF(C12="Please select","X",IF(C12="","X",Overview!I16))</f>
        <v>273104.54521759995</v>
      </c>
      <c r="H14" s="2148"/>
      <c r="I14" s="2147" t="str">
        <f>IF(C12="BASIC+",Overview!J16,IF(C12="BASIC+ Other scope 3",Overview!J16,"X"))</f>
        <v>X</v>
      </c>
      <c r="J14" s="2148"/>
      <c r="K14" s="521"/>
      <c r="L14" s="522"/>
      <c r="M14" s="522"/>
      <c r="N14" s="15"/>
      <c r="O14" s="169"/>
      <c r="P14" s="600">
        <f>SUM(E17:J17)</f>
        <v>0</v>
      </c>
      <c r="Q14" s="182"/>
      <c r="R14" s="182"/>
      <c r="S14" s="182"/>
      <c r="T14" s="182"/>
      <c r="U14" s="182"/>
      <c r="V14" s="182"/>
      <c r="W14" s="182"/>
      <c r="X14" s="182"/>
      <c r="Y14" s="182"/>
      <c r="Z14" s="182"/>
      <c r="AA14" s="182"/>
      <c r="AB14" s="182"/>
      <c r="AC14" s="182"/>
      <c r="AD14" s="182"/>
      <c r="AE14" s="182"/>
      <c r="AF14" s="182"/>
      <c r="AG14" s="182"/>
      <c r="AH14" s="182"/>
      <c r="AI14" s="182"/>
      <c r="AJ14" s="182"/>
      <c r="AK14" s="182"/>
      <c r="AL14" s="182"/>
      <c r="AM14" s="182"/>
      <c r="AN14" s="182"/>
      <c r="AO14" s="182"/>
      <c r="AP14" s="182"/>
      <c r="AQ14" s="182"/>
      <c r="AR14" s="182"/>
      <c r="AS14" s="182"/>
      <c r="AT14" s="182"/>
      <c r="AU14" s="182"/>
      <c r="AV14" s="182"/>
      <c r="AW14" s="182"/>
      <c r="AX14" s="182"/>
      <c r="AY14" s="182"/>
      <c r="AZ14" s="182"/>
      <c r="BA14" s="182"/>
      <c r="BB14" s="182"/>
      <c r="BC14" s="182"/>
      <c r="BD14" s="182"/>
      <c r="BE14" s="182"/>
      <c r="BF14" s="182"/>
      <c r="BG14" s="182"/>
    </row>
    <row r="15" spans="1:89" s="515" customFormat="1" ht="50" customHeight="1">
      <c r="B15" s="593"/>
      <c r="C15" s="2145" t="s">
        <v>761</v>
      </c>
      <c r="D15" s="2145"/>
      <c r="E15" s="2147">
        <f>IF(C12="Please select","X",IF(C12="","X",Overview!H17))</f>
        <v>317152</v>
      </c>
      <c r="F15" s="2148"/>
      <c r="G15" s="597"/>
      <c r="H15" s="598"/>
      <c r="I15" s="2147">
        <f>IF(C12="Please select","X",IF(C12="","X",Overview!J17))</f>
        <v>187424.66</v>
      </c>
      <c r="J15" s="2148"/>
      <c r="K15" s="521"/>
      <c r="L15" s="522"/>
      <c r="M15" s="599"/>
      <c r="N15" s="599"/>
      <c r="O15" s="169"/>
      <c r="P15" s="600">
        <f>SUM(E16:J16)</f>
        <v>0</v>
      </c>
      <c r="Q15" s="182"/>
      <c r="R15" s="182"/>
      <c r="S15" s="182"/>
      <c r="T15" s="182"/>
      <c r="U15" s="182"/>
      <c r="V15" s="182"/>
      <c r="W15" s="182"/>
      <c r="X15" s="182"/>
      <c r="Y15" s="182"/>
      <c r="Z15" s="182"/>
      <c r="AA15" s="182"/>
      <c r="AB15" s="182"/>
      <c r="AC15" s="182"/>
      <c r="AD15" s="182"/>
      <c r="AE15" s="182"/>
      <c r="AF15" s="182"/>
      <c r="AG15" s="182"/>
      <c r="AH15" s="182"/>
      <c r="AI15" s="182"/>
      <c r="AJ15" s="182"/>
      <c r="AK15" s="182"/>
      <c r="AL15" s="182"/>
      <c r="AM15" s="182"/>
      <c r="AN15" s="182"/>
      <c r="AO15" s="182"/>
      <c r="AP15" s="182"/>
      <c r="AQ15" s="182"/>
      <c r="AR15" s="182"/>
      <c r="AS15" s="182"/>
      <c r="AT15" s="182"/>
      <c r="AU15" s="182"/>
      <c r="AV15" s="182"/>
      <c r="AW15" s="182"/>
      <c r="AX15" s="182"/>
      <c r="AY15" s="182"/>
      <c r="AZ15" s="182"/>
      <c r="BA15" s="182"/>
      <c r="BB15" s="182"/>
      <c r="BC15" s="182"/>
      <c r="BD15" s="182"/>
      <c r="BE15" s="182"/>
      <c r="BF15" s="182"/>
      <c r="BG15" s="182"/>
    </row>
    <row r="16" spans="1:89" s="515" customFormat="1" ht="50" customHeight="1">
      <c r="B16" s="593"/>
      <c r="C16" s="2141" t="s">
        <v>208</v>
      </c>
      <c r="D16" s="2142"/>
      <c r="E16" s="2147" t="str">
        <f>IF(C12="BASIC+",Overview!H19,IF(C12="BASIC+ Other scope 3",Overview!H19,"X"))</f>
        <v>X</v>
      </c>
      <c r="F16" s="2148"/>
      <c r="G16" s="2149"/>
      <c r="H16" s="2150"/>
      <c r="I16" s="2149"/>
      <c r="J16" s="2150"/>
      <c r="K16" s="521"/>
      <c r="L16" s="522"/>
      <c r="M16" s="599"/>
      <c r="N16" s="599"/>
      <c r="O16" s="169"/>
      <c r="P16" s="600">
        <f>SUM(E15:J15)</f>
        <v>504576.66000000003</v>
      </c>
      <c r="Q16" s="182"/>
      <c r="R16" s="182"/>
      <c r="S16" s="182"/>
      <c r="T16" s="182"/>
      <c r="U16" s="182"/>
      <c r="V16" s="182"/>
      <c r="W16" s="182"/>
      <c r="X16" s="182"/>
      <c r="Y16" s="182"/>
      <c r="Z16" s="182"/>
      <c r="AA16" s="182"/>
      <c r="AB16" s="182"/>
      <c r="AC16" s="182"/>
      <c r="AD16" s="182"/>
      <c r="AE16" s="182"/>
      <c r="AF16" s="182"/>
      <c r="AG16" s="182"/>
      <c r="AH16" s="182"/>
      <c r="AI16" s="182"/>
      <c r="AJ16" s="182"/>
      <c r="AK16" s="182"/>
      <c r="AL16" s="182"/>
      <c r="AM16" s="182"/>
      <c r="AN16" s="182"/>
      <c r="AO16" s="182"/>
      <c r="AP16" s="182"/>
      <c r="AQ16" s="182"/>
      <c r="AR16" s="182"/>
      <c r="AS16" s="182"/>
      <c r="AT16" s="182"/>
      <c r="AU16" s="182"/>
      <c r="AV16" s="182"/>
      <c r="AW16" s="182"/>
      <c r="AX16" s="182"/>
      <c r="AY16" s="182"/>
      <c r="AZ16" s="182"/>
      <c r="BA16" s="182"/>
      <c r="BB16" s="182"/>
      <c r="BC16" s="182"/>
      <c r="BD16" s="182"/>
      <c r="BE16" s="182"/>
      <c r="BF16" s="182"/>
      <c r="BG16" s="182"/>
    </row>
    <row r="17" spans="2:59" s="515" customFormat="1" ht="50" customHeight="1">
      <c r="B17" s="593"/>
      <c r="C17" s="2143" t="s">
        <v>209</v>
      </c>
      <c r="D17" s="2144"/>
      <c r="E17" s="2147" t="str">
        <f>IF(C12="BASIC+",Overview!H20,IF(C12="BASIC+ Other scope 3",Overview!H20,"X"))</f>
        <v>X</v>
      </c>
      <c r="F17" s="2148"/>
      <c r="G17" s="2149"/>
      <c r="H17" s="2150"/>
      <c r="I17" s="2149"/>
      <c r="J17" s="2150"/>
      <c r="K17" s="521"/>
      <c r="L17" s="522"/>
      <c r="M17" s="522"/>
      <c r="N17" s="15"/>
      <c r="O17" s="169"/>
      <c r="P17" s="600">
        <f>SUM(E14:J14)</f>
        <v>3672734.1612893902</v>
      </c>
      <c r="Q17" s="182"/>
      <c r="R17" s="182"/>
      <c r="S17" s="182"/>
      <c r="T17" s="182"/>
      <c r="U17" s="182"/>
      <c r="V17" s="182"/>
      <c r="W17" s="182"/>
      <c r="X17" s="182"/>
      <c r="Y17" s="182"/>
      <c r="Z17" s="182"/>
      <c r="AA17" s="182"/>
      <c r="AB17" s="182"/>
      <c r="AC17" s="182"/>
      <c r="AD17" s="182"/>
      <c r="AE17" s="182"/>
      <c r="AF17" s="182"/>
      <c r="AG17" s="182"/>
      <c r="AH17" s="182"/>
      <c r="AI17" s="182"/>
      <c r="AJ17" s="182"/>
      <c r="AK17" s="182"/>
      <c r="AL17" s="182"/>
      <c r="AM17" s="182"/>
      <c r="AN17" s="182"/>
      <c r="AO17" s="182"/>
      <c r="AP17" s="182"/>
      <c r="AQ17" s="182"/>
      <c r="AR17" s="182"/>
      <c r="AS17" s="182"/>
      <c r="AT17" s="182"/>
      <c r="AU17" s="182"/>
      <c r="AV17" s="182"/>
      <c r="AW17" s="182"/>
      <c r="AX17" s="182"/>
      <c r="AY17" s="182"/>
      <c r="AZ17" s="182"/>
      <c r="BA17" s="182"/>
      <c r="BB17" s="182"/>
      <c r="BC17" s="182"/>
      <c r="BD17" s="182"/>
      <c r="BE17" s="182"/>
      <c r="BF17" s="182"/>
      <c r="BG17" s="182"/>
    </row>
    <row r="18" spans="2:59" s="515" customFormat="1" ht="50" customHeight="1">
      <c r="B18" s="593"/>
      <c r="C18" s="2145" t="s">
        <v>162</v>
      </c>
      <c r="D18" s="2145"/>
      <c r="E18" s="2149"/>
      <c r="F18" s="2150"/>
      <c r="G18" s="2149"/>
      <c r="H18" s="2150"/>
      <c r="I18" s="2147" t="str">
        <f>IF(C12="BASIC+ Other scope 3",Overview!J21,"X")</f>
        <v>X</v>
      </c>
      <c r="J18" s="2148"/>
      <c r="K18" s="521"/>
      <c r="L18" s="522"/>
      <c r="M18" s="522"/>
      <c r="N18" s="15"/>
      <c r="O18" s="169"/>
      <c r="P18" s="600">
        <f>SUM(E13:J13)</f>
        <v>4564548.8945382396</v>
      </c>
      <c r="Q18" s="182"/>
      <c r="R18" s="182"/>
      <c r="S18" s="182"/>
      <c r="T18" s="182"/>
      <c r="U18" s="182"/>
      <c r="V18" s="182"/>
      <c r="W18" s="182"/>
      <c r="X18" s="182"/>
      <c r="Y18" s="182"/>
      <c r="Z18" s="182"/>
      <c r="AA18" s="182"/>
      <c r="AB18" s="182"/>
      <c r="AC18" s="182"/>
      <c r="AD18" s="182"/>
      <c r="AE18" s="182"/>
      <c r="AF18" s="182"/>
      <c r="AG18" s="182"/>
      <c r="AH18" s="182"/>
      <c r="AI18" s="182"/>
      <c r="AJ18" s="182"/>
      <c r="AK18" s="182"/>
      <c r="AL18" s="182"/>
      <c r="AM18" s="182"/>
      <c r="AN18" s="182"/>
      <c r="AO18" s="182"/>
      <c r="AP18" s="182"/>
      <c r="AQ18" s="182"/>
      <c r="AR18" s="182"/>
      <c r="AS18" s="182"/>
      <c r="AT18" s="182"/>
      <c r="AU18" s="182"/>
      <c r="AV18" s="182"/>
      <c r="AW18" s="182"/>
      <c r="AX18" s="182"/>
      <c r="AY18" s="182"/>
      <c r="AZ18" s="182"/>
      <c r="BA18" s="182"/>
      <c r="BB18" s="182"/>
      <c r="BC18" s="182"/>
      <c r="BD18" s="182"/>
      <c r="BE18" s="182"/>
      <c r="BF18" s="182"/>
      <c r="BG18" s="182"/>
    </row>
    <row r="19" spans="2:59" s="515" customFormat="1" ht="50" customHeight="1">
      <c r="B19" s="593"/>
      <c r="C19" s="2154" t="s">
        <v>684</v>
      </c>
      <c r="D19" s="2155"/>
      <c r="E19" s="2147">
        <f>IF(C12="BASIC",(E13+G13+E14+G14+E15+I15),IF(C12="BASIC+",(E13+G13+I13+E14+G14+I14+E15+I15+E16+E17),IF(C12="BASIC+ Other scope 3",(E13+G13+I13+E14+G14+I14+E15+I15+E16+E17+I18),"X")))</f>
        <v>8741859.715827629</v>
      </c>
      <c r="F19" s="2156"/>
      <c r="G19" s="2156"/>
      <c r="H19" s="2156"/>
      <c r="I19" s="2156"/>
      <c r="J19" s="2157"/>
      <c r="K19" s="521"/>
      <c r="L19" s="522"/>
      <c r="M19" s="522"/>
      <c r="N19" s="15"/>
      <c r="O19" s="169"/>
      <c r="P19" s="169"/>
      <c r="Q19" s="182"/>
      <c r="R19" s="182"/>
      <c r="S19" s="182"/>
      <c r="T19" s="182"/>
      <c r="U19" s="182"/>
      <c r="V19" s="182"/>
      <c r="W19" s="182"/>
      <c r="X19" s="182"/>
      <c r="Y19" s="182"/>
      <c r="Z19" s="182"/>
      <c r="AA19" s="182"/>
      <c r="AB19" s="182"/>
      <c r="AC19" s="182"/>
      <c r="AD19" s="182"/>
      <c r="AE19" s="182"/>
      <c r="AF19" s="182"/>
      <c r="AG19" s="182"/>
      <c r="AH19" s="182"/>
      <c r="AI19" s="182"/>
      <c r="AJ19" s="182"/>
      <c r="AK19" s="182"/>
      <c r="AL19" s="182"/>
      <c r="AM19" s="182"/>
      <c r="AN19" s="182"/>
      <c r="AO19" s="182"/>
      <c r="AP19" s="182"/>
      <c r="AQ19" s="182"/>
      <c r="AR19" s="182"/>
      <c r="AS19" s="182"/>
      <c r="AT19" s="182"/>
      <c r="AU19" s="182"/>
      <c r="AV19" s="182"/>
      <c r="AW19" s="182"/>
      <c r="AX19" s="182"/>
      <c r="AY19" s="182"/>
      <c r="AZ19" s="182"/>
      <c r="BA19" s="182"/>
      <c r="BB19" s="182"/>
      <c r="BC19" s="182"/>
      <c r="BD19" s="182"/>
      <c r="BE19" s="182"/>
      <c r="BF19" s="182"/>
      <c r="BG19" s="182"/>
    </row>
    <row r="20" spans="2:59" s="515" customFormat="1" ht="31" customHeight="1">
      <c r="B20" s="519"/>
      <c r="C20" s="520"/>
      <c r="D20" s="520"/>
      <c r="E20" s="520"/>
      <c r="F20" s="520"/>
      <c r="G20" s="520"/>
      <c r="H20" s="520"/>
      <c r="I20" s="520"/>
      <c r="J20" s="520"/>
      <c r="K20" s="521"/>
      <c r="L20" s="522"/>
      <c r="M20" s="522"/>
      <c r="N20" s="15"/>
      <c r="O20" s="169"/>
      <c r="P20" s="169"/>
      <c r="Q20" s="182"/>
      <c r="R20" s="182"/>
      <c r="S20" s="182"/>
      <c r="T20" s="182"/>
      <c r="U20" s="182"/>
      <c r="V20" s="182"/>
      <c r="W20" s="182"/>
      <c r="X20" s="182"/>
      <c r="Y20" s="182"/>
      <c r="Z20" s="182"/>
      <c r="AA20" s="182"/>
      <c r="AB20" s="182"/>
      <c r="AC20" s="182"/>
      <c r="AD20" s="182"/>
      <c r="AE20" s="182"/>
      <c r="AF20" s="182"/>
      <c r="AG20" s="182"/>
      <c r="AH20" s="182"/>
      <c r="AI20" s="182"/>
      <c r="AJ20" s="182"/>
      <c r="AK20" s="182"/>
      <c r="AL20" s="182"/>
      <c r="AM20" s="182"/>
      <c r="AN20" s="182"/>
      <c r="AO20" s="182"/>
      <c r="AP20" s="182"/>
      <c r="AQ20" s="182"/>
      <c r="AR20" s="182"/>
      <c r="AS20" s="182"/>
      <c r="AT20" s="182"/>
      <c r="AU20" s="182"/>
      <c r="AV20" s="182"/>
      <c r="AW20" s="182"/>
      <c r="AX20" s="182"/>
      <c r="AY20" s="182"/>
      <c r="AZ20" s="182"/>
      <c r="BA20" s="182"/>
      <c r="BB20" s="182"/>
      <c r="BC20" s="182"/>
      <c r="BD20" s="182"/>
      <c r="BE20" s="182"/>
      <c r="BF20" s="182"/>
      <c r="BG20" s="182"/>
    </row>
    <row r="21" spans="2:59" s="515" customFormat="1" ht="50" customHeight="1">
      <c r="B21" s="519"/>
      <c r="C21" s="2159" t="s">
        <v>2545</v>
      </c>
      <c r="D21" s="2160"/>
      <c r="E21" s="2152" t="s">
        <v>1618</v>
      </c>
      <c r="F21" s="2152"/>
      <c r="G21" s="2161" t="s">
        <v>1638</v>
      </c>
      <c r="H21" s="2162"/>
      <c r="I21" s="2161" t="s">
        <v>2544</v>
      </c>
      <c r="J21" s="2059"/>
      <c r="K21" s="521"/>
      <c r="L21" s="522"/>
      <c r="M21" s="522"/>
      <c r="N21" s="15"/>
      <c r="O21" s="169"/>
      <c r="P21" s="169"/>
      <c r="Q21" s="169"/>
      <c r="R21" s="169"/>
      <c r="S21" s="169"/>
      <c r="T21" s="169"/>
      <c r="U21" s="169"/>
      <c r="V21" s="169"/>
      <c r="W21" s="169"/>
      <c r="X21" s="169"/>
      <c r="Y21" s="169"/>
      <c r="Z21" s="169"/>
      <c r="AA21" s="169"/>
      <c r="AB21" s="169"/>
      <c r="AC21" s="169"/>
      <c r="AD21" s="169"/>
      <c r="AE21" s="169"/>
      <c r="AF21" s="169"/>
      <c r="AG21" s="169"/>
      <c r="AH21" s="169"/>
      <c r="AI21" s="169"/>
      <c r="AJ21" s="169"/>
      <c r="AK21" s="169"/>
      <c r="AL21" s="169"/>
      <c r="AM21" s="169"/>
      <c r="AN21" s="169"/>
      <c r="AO21" s="169"/>
      <c r="AP21" s="169"/>
      <c r="AQ21" s="169"/>
      <c r="AR21" s="169"/>
      <c r="AS21" s="169"/>
      <c r="AT21" s="169"/>
      <c r="AU21" s="169"/>
      <c r="AV21" s="169"/>
      <c r="AW21" s="169"/>
      <c r="AX21" s="169"/>
      <c r="AY21" s="169"/>
      <c r="AZ21" s="169"/>
      <c r="BA21" s="169"/>
      <c r="BB21" s="169"/>
      <c r="BC21" s="169"/>
      <c r="BD21" s="169"/>
      <c r="BE21" s="169"/>
      <c r="BF21" s="169"/>
      <c r="BG21" s="169"/>
    </row>
    <row r="22" spans="2:59" s="15" customFormat="1" ht="50" customHeight="1">
      <c r="C22" s="2154" t="s">
        <v>2543</v>
      </c>
      <c r="D22" s="2155"/>
      <c r="E22" s="2163">
        <f>IFERROR(E19/K8,"X")</f>
        <v>2.185464928956907</v>
      </c>
      <c r="F22" s="2164"/>
      <c r="G22" s="2147">
        <f>IFERROR(E19/K9,"X")</f>
        <v>8741.8597158276298</v>
      </c>
      <c r="H22" s="2157"/>
      <c r="I22" s="2147">
        <f>IFERROR(E19/K10,"X")</f>
        <v>43.709298579138142</v>
      </c>
      <c r="J22" s="2157"/>
    </row>
    <row r="23" spans="2:59" s="15" customFormat="1" ht="31" customHeight="1"/>
    <row r="24" spans="2:59" s="15" customFormat="1" ht="31" hidden="1" customHeight="1"/>
    <row r="25" spans="2:59" customFormat="1" ht="19" hidden="1" customHeight="1"/>
    <row r="26" spans="2:59" customFormat="1" ht="19" hidden="1" customHeight="1"/>
    <row r="27" spans="2:59" customFormat="1" ht="19" hidden="1" customHeight="1"/>
    <row r="28" spans="2:59" customFormat="1" ht="19" hidden="1" customHeight="1"/>
    <row r="29" spans="2:59" customFormat="1" ht="19" hidden="1" customHeight="1"/>
    <row r="30" spans="2:59" customFormat="1" ht="19" hidden="1" customHeight="1"/>
    <row r="31" spans="2:59" customFormat="1" ht="19" hidden="1" customHeight="1"/>
    <row r="32" spans="2:59" customFormat="1" ht="19" hidden="1" customHeight="1"/>
    <row r="33" customFormat="1" ht="19" hidden="1" customHeight="1"/>
    <row r="34" customFormat="1" ht="19" hidden="1" customHeight="1"/>
    <row r="35" customFormat="1" ht="31" hidden="1" customHeight="1"/>
    <row r="36" customFormat="1" ht="15" hidden="1" customHeight="1"/>
    <row r="37" customFormat="1" ht="19" hidden="1" customHeight="1"/>
    <row r="38" customFormat="1" ht="19" hidden="1" customHeight="1"/>
    <row r="39" customFormat="1" ht="19" hidden="1" customHeight="1"/>
    <row r="40" customFormat="1" ht="19" hidden="1" customHeight="1"/>
    <row r="41" customFormat="1" ht="19" hidden="1" customHeight="1"/>
    <row r="42" customFormat="1" ht="19" hidden="1" customHeight="1"/>
    <row r="43" customFormat="1" ht="19" hidden="1" customHeight="1"/>
    <row r="44" customFormat="1" ht="19" hidden="1" customHeight="1"/>
    <row r="45" customFormat="1" ht="19" hidden="1" customHeight="1"/>
    <row r="46" customFormat="1" ht="19" hidden="1" customHeight="1"/>
    <row r="47" customFormat="1" ht="19" hidden="1" customHeight="1"/>
    <row r="48" customFormat="1" ht="19" hidden="1" customHeight="1"/>
    <row r="49" customFormat="1" ht="19" hidden="1" customHeight="1"/>
    <row r="50" customFormat="1" ht="19" hidden="1" customHeight="1"/>
    <row r="51" customFormat="1" ht="19" hidden="1" customHeight="1"/>
    <row r="52" customFormat="1" ht="19" hidden="1" customHeight="1"/>
    <row r="53" customFormat="1" ht="19" hidden="1" customHeight="1"/>
    <row r="54" customFormat="1" ht="19" hidden="1" customHeight="1"/>
    <row r="55" customFormat="1" ht="19" hidden="1" customHeight="1"/>
    <row r="56" customFormat="1" ht="19" hidden="1" customHeight="1"/>
    <row r="57" customFormat="1" ht="19" hidden="1" customHeight="1"/>
    <row r="58" customFormat="1" ht="19" hidden="1" customHeight="1"/>
    <row r="59" customFormat="1" ht="19" hidden="1" customHeight="1"/>
    <row r="60" customFormat="1" ht="19" hidden="1" customHeight="1"/>
    <row r="61" customFormat="1" ht="19" hidden="1" customHeight="1"/>
    <row r="62" customFormat="1" ht="19" hidden="1" customHeight="1"/>
    <row r="63" customFormat="1" ht="19" hidden="1" customHeight="1"/>
    <row r="64" customFormat="1" ht="19" hidden="1" customHeight="1"/>
    <row r="65" customFormat="1" ht="19" hidden="1" customHeight="1"/>
    <row r="66" customFormat="1" ht="19" hidden="1" customHeight="1"/>
    <row r="67" customFormat="1" ht="19" hidden="1" customHeight="1"/>
    <row r="68" customFormat="1" ht="19" hidden="1" customHeight="1" collapsed="1"/>
    <row r="69" customFormat="1" ht="19" hidden="1" customHeight="1" collapsed="1"/>
    <row r="70" customFormat="1" ht="19" hidden="1" customHeight="1"/>
    <row r="71" customFormat="1" ht="19" hidden="1" customHeight="1"/>
    <row r="72" customFormat="1" ht="19" hidden="1" customHeight="1" collapsed="1"/>
    <row r="73" customFormat="1" ht="19" hidden="1" customHeight="1" collapsed="1"/>
    <row r="74" customFormat="1" ht="19" hidden="1" customHeight="1"/>
    <row r="75" customFormat="1" ht="19" hidden="1" customHeight="1"/>
    <row r="76" customFormat="1" ht="19" hidden="1" customHeight="1"/>
    <row r="77" customFormat="1" ht="19" hidden="1" customHeight="1"/>
    <row r="78" customFormat="1" ht="31" hidden="1" customHeight="1"/>
    <row r="79" customFormat="1" hidden="1"/>
    <row r="80" customFormat="1" ht="31" hidden="1" customHeight="1"/>
    <row r="81" customFormat="1" ht="30" hidden="1" customHeight="1"/>
    <row r="82" customFormat="1" ht="20" hidden="1" customHeight="1"/>
    <row r="83" customFormat="1" ht="20" hidden="1" customHeight="1"/>
    <row r="84" customFormat="1" ht="20" hidden="1" customHeight="1"/>
    <row r="85" customFormat="1" ht="20" hidden="1" customHeight="1"/>
    <row r="86" customFormat="1" ht="20" hidden="1" customHeight="1"/>
    <row r="87" customFormat="1" ht="20" hidden="1" customHeight="1"/>
    <row r="88" customFormat="1" ht="20" hidden="1" customHeight="1"/>
    <row r="89" customFormat="1" ht="20" hidden="1" customHeight="1"/>
    <row r="90" customFormat="1" ht="20" hidden="1" customHeight="1"/>
    <row r="91" customFormat="1" ht="20" hidden="1" customHeight="1"/>
    <row r="92" customFormat="1" ht="20" hidden="1" customHeight="1"/>
    <row r="93" customFormat="1" ht="20" hidden="1" customHeight="1"/>
    <row r="94" customFormat="1" ht="20" hidden="1" customHeight="1"/>
    <row r="95" customFormat="1" ht="20" hidden="1" customHeight="1"/>
    <row r="96" customFormat="1" ht="20" hidden="1" customHeight="1"/>
    <row r="97" customFormat="1" ht="20" hidden="1" customHeight="1"/>
    <row r="98" customFormat="1" ht="20" hidden="1" customHeight="1"/>
    <row r="99" customFormat="1" ht="20" hidden="1" customHeight="1"/>
    <row r="100" customFormat="1" ht="20" hidden="1" customHeight="1"/>
    <row r="101" customFormat="1" ht="20" hidden="1" customHeight="1"/>
    <row r="102" customFormat="1" ht="20" hidden="1" customHeight="1"/>
    <row r="103" customFormat="1" ht="20" hidden="1" customHeight="1"/>
    <row r="104" customFormat="1" ht="20" hidden="1" customHeight="1"/>
    <row r="105" customFormat="1" ht="20" hidden="1" customHeight="1"/>
    <row r="106" customFormat="1" ht="20" hidden="1" customHeight="1"/>
    <row r="107" customFormat="1" ht="20" hidden="1" customHeight="1"/>
    <row r="108" customFormat="1" ht="20" hidden="1" customHeight="1"/>
    <row r="109" customFormat="1" ht="20" hidden="1" customHeight="1"/>
    <row r="110" customFormat="1" ht="20" hidden="1" customHeight="1"/>
    <row r="111" customFormat="1" ht="20" hidden="1" customHeight="1"/>
    <row r="112" customFormat="1" ht="20" hidden="1" customHeight="1"/>
    <row r="113" customFormat="1" ht="20" hidden="1" customHeight="1"/>
    <row r="114" customFormat="1" ht="20" hidden="1" customHeight="1"/>
    <row r="115" customFormat="1" ht="20" hidden="1" customHeight="1"/>
    <row r="116" customFormat="1" ht="20" hidden="1" customHeight="1"/>
    <row r="117" customFormat="1" ht="20" hidden="1" customHeight="1"/>
    <row r="118" customFormat="1" ht="20" hidden="1" customHeight="1"/>
    <row r="119" customFormat="1" ht="20" hidden="1" customHeight="1"/>
    <row r="120" customFormat="1" ht="20" hidden="1" customHeight="1"/>
    <row r="121" customFormat="1" ht="20" hidden="1" customHeight="1"/>
    <row r="122" customFormat="1" ht="20" hidden="1" customHeight="1"/>
    <row r="123" customFormat="1" ht="20" hidden="1" customHeight="1"/>
    <row r="124" customFormat="1" ht="20" hidden="1" customHeight="1"/>
    <row r="125" customFormat="1" ht="20" hidden="1" customHeight="1"/>
    <row r="126" customFormat="1" ht="20" hidden="1" customHeight="1"/>
    <row r="127" customFormat="1" ht="20" hidden="1" customHeight="1"/>
    <row r="128" customFormat="1" ht="20" hidden="1" customHeight="1"/>
    <row r="129" customFormat="1" ht="20" hidden="1" customHeight="1"/>
    <row r="130" customFormat="1" ht="20" hidden="1" customHeight="1"/>
    <row r="131" customFormat="1" ht="20" hidden="1" customHeight="1"/>
    <row r="132" customFormat="1" ht="20" hidden="1" customHeight="1"/>
    <row r="133" customFormat="1" ht="20" hidden="1" customHeight="1"/>
    <row r="134" customFormat="1" ht="20" hidden="1" customHeight="1"/>
    <row r="135" customFormat="1" ht="20" hidden="1" customHeight="1"/>
    <row r="136" customFormat="1" ht="20" hidden="1" customHeight="1"/>
    <row r="137" customFormat="1" ht="20" hidden="1" customHeight="1"/>
    <row r="138" customFormat="1" ht="20" hidden="1" customHeight="1"/>
    <row r="139" customFormat="1" ht="20" hidden="1" customHeight="1"/>
    <row r="140" customFormat="1" ht="20" hidden="1" customHeight="1"/>
    <row r="141" customFormat="1" ht="20" hidden="1" customHeight="1"/>
    <row r="142" customFormat="1" hidden="1"/>
    <row r="143" customFormat="1" hidden="1"/>
    <row r="144" customFormat="1" hidden="1"/>
    <row r="145" customFormat="1" hidden="1"/>
    <row r="146" customFormat="1" hidden="1"/>
    <row r="147" customFormat="1" hidden="1"/>
    <row r="148" customFormat="1" hidden="1"/>
    <row r="149" customFormat="1" hidden="1"/>
    <row r="150" customFormat="1" hidden="1"/>
    <row r="151" customFormat="1" hidden="1"/>
    <row r="152" customFormat="1" hidden="1"/>
    <row r="153" customFormat="1" hidden="1"/>
    <row r="154" customFormat="1" hidden="1"/>
    <row r="155" customFormat="1" hidden="1"/>
    <row r="156" customFormat="1" hidden="1"/>
    <row r="157" customFormat="1" hidden="1"/>
    <row r="158" customFormat="1" hidden="1"/>
    <row r="159" customFormat="1" hidden="1"/>
    <row r="160" customFormat="1" hidden="1"/>
    <row r="161" customFormat="1" hidden="1"/>
    <row r="162" customFormat="1" hidden="1"/>
    <row r="163" customFormat="1" hidden="1"/>
    <row r="164" customFormat="1" hidden="1"/>
    <row r="165" customFormat="1" hidden="1"/>
    <row r="166" customFormat="1" hidden="1"/>
    <row r="167" customFormat="1" hidden="1"/>
    <row r="168" customFormat="1" hidden="1"/>
    <row r="169" customFormat="1" hidden="1"/>
    <row r="170" customFormat="1" hidden="1"/>
    <row r="171" customFormat="1" hidden="1"/>
    <row r="172" customFormat="1" hidden="1"/>
    <row r="173" customFormat="1" hidden="1"/>
    <row r="174" customFormat="1" hidden="1"/>
    <row r="175" customFormat="1" hidden="1"/>
    <row r="176" customFormat="1" hidden="1"/>
    <row r="177" spans="2:2" customFormat="1" hidden="1"/>
    <row r="178" spans="2:2" customFormat="1" hidden="1"/>
    <row r="179" spans="2:2" customFormat="1" hidden="1"/>
    <row r="180" spans="2:2" customFormat="1" hidden="1"/>
    <row r="181" spans="2:2" customFormat="1" hidden="1"/>
    <row r="182" spans="2:2" customFormat="1" hidden="1"/>
    <row r="183" spans="2:2" customFormat="1" hidden="1"/>
    <row r="184" spans="2:2" customFormat="1" hidden="1"/>
    <row r="185" spans="2:2" customFormat="1" hidden="1"/>
    <row r="186" spans="2:2" customFormat="1" hidden="1"/>
    <row r="187" spans="2:2" customFormat="1" hidden="1"/>
    <row r="188" spans="2:2" customFormat="1" hidden="1"/>
    <row r="189" spans="2:2" customFormat="1" hidden="1"/>
    <row r="190" spans="2:2" s="182" customFormat="1" hidden="1">
      <c r="B190" s="186"/>
    </row>
    <row r="191" spans="2:2" s="182" customFormat="1" hidden="1">
      <c r="B191" s="186"/>
    </row>
    <row r="192" spans="2:2" s="182" customFormat="1" hidden="1">
      <c r="B192" s="186"/>
    </row>
    <row r="193" spans="2:2" s="182" customFormat="1" hidden="1">
      <c r="B193" s="186"/>
    </row>
    <row r="194" spans="2:2" s="182" customFormat="1" hidden="1">
      <c r="B194" s="186"/>
    </row>
    <row r="195" spans="2:2" s="182" customFormat="1" hidden="1">
      <c r="B195" s="186"/>
    </row>
    <row r="196" spans="2:2" s="182" customFormat="1" hidden="1">
      <c r="B196" s="186"/>
    </row>
    <row r="197" spans="2:2" s="182" customFormat="1" hidden="1">
      <c r="B197" s="186"/>
    </row>
    <row r="198" spans="2:2" s="182" customFormat="1" hidden="1">
      <c r="B198" s="186"/>
    </row>
    <row r="199" spans="2:2" s="182" customFormat="1" hidden="1">
      <c r="B199" s="186"/>
    </row>
    <row r="200" spans="2:2" s="182" customFormat="1" hidden="1">
      <c r="B200" s="186"/>
    </row>
    <row r="201" spans="2:2" s="182" customFormat="1" hidden="1">
      <c r="B201" s="186"/>
    </row>
    <row r="202" spans="2:2" s="182" customFormat="1" hidden="1">
      <c r="B202" s="186"/>
    </row>
    <row r="203" spans="2:2" s="182" customFormat="1" hidden="1">
      <c r="B203" s="186"/>
    </row>
    <row r="204" spans="2:2" s="182" customFormat="1" hidden="1">
      <c r="B204" s="186"/>
    </row>
    <row r="205" spans="2:2" s="182" customFormat="1" hidden="1">
      <c r="B205" s="186"/>
    </row>
    <row r="206" spans="2:2" s="182" customFormat="1" hidden="1">
      <c r="B206" s="186"/>
    </row>
    <row r="207" spans="2:2" s="182" customFormat="1" hidden="1">
      <c r="B207" s="186"/>
    </row>
    <row r="208" spans="2:2" s="182" customFormat="1" hidden="1">
      <c r="B208" s="186"/>
    </row>
    <row r="209" spans="1:59" s="182" customFormat="1" hidden="1">
      <c r="B209" s="186"/>
    </row>
    <row r="210" spans="1:59" s="182" customFormat="1" hidden="1">
      <c r="B210" s="186"/>
    </row>
    <row r="211" spans="1:59" s="182" customFormat="1" hidden="1">
      <c r="B211" s="186"/>
    </row>
    <row r="212" spans="1:59" s="182" customFormat="1" hidden="1">
      <c r="B212" s="186"/>
    </row>
    <row r="213" spans="1:59" hidden="1">
      <c r="A213" s="183"/>
      <c r="B213" s="170"/>
      <c r="C213" s="169"/>
      <c r="D213" s="169"/>
      <c r="E213" s="169"/>
      <c r="F213" s="169"/>
      <c r="G213" s="169"/>
      <c r="H213" s="169"/>
      <c r="I213" s="169"/>
      <c r="J213" s="169"/>
      <c r="K213" s="183"/>
      <c r="L213" s="183"/>
      <c r="M213" s="183"/>
      <c r="N213" s="183"/>
      <c r="O213" s="183"/>
      <c r="P213" s="183"/>
      <c r="Q213" s="183"/>
      <c r="R213" s="183"/>
      <c r="S213" s="183"/>
      <c r="T213" s="183"/>
      <c r="BD213" s="183"/>
      <c r="BE213" s="183"/>
      <c r="BF213" s="183"/>
      <c r="BG213" s="183"/>
    </row>
    <row r="214" spans="1:59" hidden="1">
      <c r="A214" s="183"/>
      <c r="B214" s="170"/>
      <c r="C214" s="169"/>
      <c r="D214" s="169"/>
      <c r="E214" s="169"/>
      <c r="F214" s="169"/>
      <c r="G214" s="169"/>
      <c r="H214" s="169"/>
      <c r="I214" s="169"/>
      <c r="J214" s="169"/>
      <c r="K214" s="183"/>
      <c r="L214" s="183"/>
      <c r="M214" s="183"/>
      <c r="N214" s="183"/>
      <c r="O214" s="183"/>
      <c r="P214" s="183"/>
      <c r="Q214" s="183"/>
      <c r="R214" s="183"/>
      <c r="S214" s="183"/>
      <c r="T214" s="183"/>
      <c r="BD214" s="183"/>
      <c r="BE214" s="183"/>
      <c r="BF214" s="183"/>
      <c r="BG214" s="183"/>
    </row>
    <row r="215" spans="1:59" hidden="1">
      <c r="A215" s="183"/>
      <c r="B215" s="170"/>
      <c r="C215" s="169"/>
      <c r="D215" s="169"/>
      <c r="E215" s="169"/>
      <c r="F215" s="169"/>
      <c r="G215" s="169"/>
      <c r="H215" s="169"/>
      <c r="I215" s="169"/>
      <c r="J215" s="169"/>
      <c r="K215" s="183"/>
      <c r="L215" s="183"/>
      <c r="M215" s="183"/>
      <c r="N215" s="183"/>
      <c r="O215" s="183"/>
      <c r="P215" s="183"/>
      <c r="Q215" s="183"/>
      <c r="R215" s="183"/>
      <c r="S215" s="183"/>
      <c r="T215" s="183"/>
      <c r="BD215" s="183"/>
      <c r="BE215" s="183"/>
      <c r="BF215" s="183"/>
      <c r="BG215" s="183"/>
    </row>
    <row r="216" spans="1:59" hidden="1">
      <c r="A216" s="183"/>
      <c r="B216" s="170"/>
      <c r="C216" s="169"/>
      <c r="D216" s="169"/>
      <c r="E216" s="169"/>
      <c r="F216" s="169"/>
      <c r="G216" s="169"/>
      <c r="H216" s="169"/>
      <c r="I216" s="169"/>
      <c r="J216" s="169"/>
      <c r="K216" s="183"/>
      <c r="L216" s="183"/>
      <c r="M216" s="183"/>
      <c r="N216" s="183"/>
      <c r="O216" s="183"/>
      <c r="P216" s="183"/>
      <c r="Q216" s="183"/>
      <c r="R216" s="183"/>
      <c r="S216" s="183"/>
      <c r="T216" s="183"/>
      <c r="BD216" s="183"/>
      <c r="BE216" s="183"/>
      <c r="BF216" s="183"/>
      <c r="BG216" s="183"/>
    </row>
    <row r="217" spans="1:59" hidden="1">
      <c r="A217" s="183"/>
      <c r="B217" s="170"/>
      <c r="C217" s="169"/>
      <c r="D217" s="169"/>
      <c r="E217" s="169"/>
      <c r="F217" s="169"/>
      <c r="G217" s="169"/>
      <c r="H217" s="169"/>
      <c r="I217" s="169"/>
      <c r="J217" s="169"/>
      <c r="K217" s="183"/>
      <c r="L217" s="183"/>
      <c r="M217" s="183"/>
      <c r="N217" s="183"/>
      <c r="O217" s="183"/>
      <c r="P217" s="183"/>
      <c r="Q217" s="183"/>
      <c r="R217" s="183"/>
      <c r="S217" s="183"/>
      <c r="T217" s="183"/>
      <c r="BD217" s="183"/>
      <c r="BE217" s="183"/>
      <c r="BF217" s="183"/>
      <c r="BG217" s="183"/>
    </row>
    <row r="218" spans="1:59" hidden="1">
      <c r="A218" s="183"/>
      <c r="B218" s="170"/>
      <c r="C218" s="169"/>
      <c r="D218" s="169"/>
      <c r="E218" s="169"/>
      <c r="F218" s="169"/>
      <c r="G218" s="169"/>
      <c r="H218" s="169"/>
      <c r="I218" s="169"/>
      <c r="J218" s="169"/>
      <c r="K218" s="183"/>
      <c r="L218" s="183"/>
      <c r="M218" s="183"/>
      <c r="N218" s="183"/>
      <c r="O218" s="183"/>
      <c r="P218" s="183"/>
      <c r="Q218" s="183"/>
      <c r="R218" s="183"/>
      <c r="S218" s="183"/>
      <c r="T218" s="183"/>
      <c r="BD218" s="183"/>
      <c r="BE218" s="183"/>
      <c r="BF218" s="183"/>
      <c r="BG218" s="183"/>
    </row>
    <row r="219" spans="1:59" hidden="1">
      <c r="A219" s="183"/>
      <c r="B219" s="170"/>
      <c r="C219" s="169"/>
      <c r="D219" s="169"/>
      <c r="E219" s="169"/>
      <c r="F219" s="169"/>
      <c r="G219" s="169"/>
      <c r="H219" s="169"/>
      <c r="I219" s="169"/>
      <c r="J219" s="169"/>
      <c r="K219" s="183"/>
      <c r="L219" s="183"/>
      <c r="M219" s="183"/>
      <c r="N219" s="183"/>
      <c r="O219" s="183"/>
      <c r="P219" s="183"/>
      <c r="Q219" s="183"/>
      <c r="R219" s="183"/>
      <c r="S219" s="183"/>
      <c r="T219" s="183"/>
      <c r="BD219" s="183"/>
      <c r="BE219" s="183"/>
      <c r="BF219" s="183"/>
      <c r="BG219" s="183"/>
    </row>
    <row r="220" spans="1:59" hidden="1">
      <c r="A220" s="183"/>
      <c r="B220" s="170"/>
      <c r="C220" s="169"/>
      <c r="D220" s="169"/>
      <c r="E220" s="169"/>
      <c r="F220" s="169"/>
      <c r="G220" s="169"/>
      <c r="H220" s="169"/>
      <c r="I220" s="169"/>
      <c r="J220" s="169"/>
      <c r="K220" s="183"/>
      <c r="L220" s="183"/>
      <c r="M220" s="183"/>
      <c r="N220" s="183"/>
      <c r="O220" s="183"/>
      <c r="P220" s="183"/>
      <c r="Q220" s="183"/>
      <c r="R220" s="183"/>
      <c r="S220" s="183"/>
      <c r="T220" s="183"/>
      <c r="BD220" s="183"/>
      <c r="BE220" s="183"/>
      <c r="BF220" s="183"/>
      <c r="BG220" s="183"/>
    </row>
    <row r="221" spans="1:59" hidden="1">
      <c r="A221" s="183"/>
      <c r="B221" s="170"/>
      <c r="C221" s="169"/>
      <c r="D221" s="169"/>
      <c r="E221" s="169"/>
      <c r="F221" s="169"/>
      <c r="G221" s="169"/>
      <c r="H221" s="169"/>
      <c r="I221" s="169"/>
      <c r="J221" s="169"/>
      <c r="K221" s="183"/>
      <c r="L221" s="183"/>
      <c r="M221" s="183"/>
      <c r="N221" s="183"/>
      <c r="O221" s="183"/>
      <c r="P221" s="183"/>
      <c r="Q221" s="183"/>
      <c r="R221" s="183"/>
      <c r="S221" s="183"/>
      <c r="T221" s="183"/>
      <c r="BD221" s="183"/>
      <c r="BE221" s="183"/>
      <c r="BF221" s="183"/>
      <c r="BG221" s="183"/>
    </row>
    <row r="222" spans="1:59" hidden="1">
      <c r="A222" s="183"/>
      <c r="B222" s="170"/>
      <c r="C222" s="169"/>
      <c r="D222" s="169"/>
      <c r="E222" s="169"/>
      <c r="F222" s="169"/>
      <c r="G222" s="169"/>
      <c r="H222" s="169"/>
      <c r="I222" s="169"/>
      <c r="J222" s="169"/>
      <c r="K222" s="183"/>
      <c r="L222" s="183"/>
      <c r="M222" s="183"/>
      <c r="N222" s="183"/>
      <c r="O222" s="183"/>
      <c r="P222" s="183"/>
      <c r="Q222" s="183"/>
      <c r="R222" s="183"/>
      <c r="S222" s="183"/>
      <c r="T222" s="183"/>
      <c r="BD222" s="183"/>
      <c r="BE222" s="183"/>
      <c r="BF222" s="183"/>
      <c r="BG222" s="183"/>
    </row>
    <row r="223" spans="1:59" hidden="1">
      <c r="A223" s="183"/>
      <c r="B223" s="170"/>
      <c r="C223" s="169"/>
      <c r="D223" s="169"/>
      <c r="E223" s="169"/>
      <c r="F223" s="169"/>
      <c r="G223" s="169"/>
      <c r="H223" s="169"/>
      <c r="I223" s="169"/>
      <c r="J223" s="169"/>
      <c r="K223" s="183"/>
      <c r="L223" s="183"/>
      <c r="M223" s="183"/>
      <c r="N223" s="183"/>
      <c r="O223" s="183"/>
      <c r="P223" s="183"/>
      <c r="Q223" s="183"/>
      <c r="R223" s="183"/>
      <c r="S223" s="183"/>
      <c r="T223" s="183"/>
      <c r="BD223" s="183"/>
      <c r="BE223" s="183"/>
      <c r="BF223" s="183"/>
      <c r="BG223" s="183"/>
    </row>
    <row r="224" spans="1:59" hidden="1">
      <c r="A224" s="183"/>
      <c r="B224" s="170"/>
      <c r="C224" s="169"/>
      <c r="D224" s="169"/>
      <c r="E224" s="169"/>
      <c r="F224" s="169"/>
      <c r="G224" s="169"/>
      <c r="H224" s="169"/>
      <c r="I224" s="169"/>
      <c r="J224" s="169"/>
      <c r="K224" s="183"/>
      <c r="L224" s="183"/>
      <c r="M224" s="183"/>
      <c r="N224" s="183"/>
      <c r="O224" s="183"/>
      <c r="P224" s="183"/>
      <c r="Q224" s="183"/>
      <c r="R224" s="183"/>
      <c r="S224" s="183"/>
      <c r="T224" s="183"/>
      <c r="BD224" s="183"/>
      <c r="BE224" s="183"/>
      <c r="BF224" s="183"/>
      <c r="BG224" s="183"/>
    </row>
    <row r="225" spans="1:59" hidden="1">
      <c r="A225" s="183"/>
      <c r="B225" s="170"/>
      <c r="C225" s="169"/>
      <c r="D225" s="169"/>
      <c r="E225" s="169"/>
      <c r="F225" s="169"/>
      <c r="G225" s="169"/>
      <c r="H225" s="169"/>
      <c r="I225" s="169"/>
      <c r="J225" s="169"/>
      <c r="K225" s="183"/>
      <c r="L225" s="183"/>
      <c r="M225" s="183"/>
      <c r="N225" s="183"/>
      <c r="O225" s="183"/>
      <c r="P225" s="183"/>
      <c r="Q225" s="183"/>
      <c r="R225" s="183"/>
      <c r="S225" s="183"/>
      <c r="T225" s="183"/>
      <c r="BD225" s="183"/>
      <c r="BE225" s="183"/>
      <c r="BF225" s="183"/>
      <c r="BG225" s="183"/>
    </row>
    <row r="226" spans="1:59" hidden="1">
      <c r="A226" s="183"/>
      <c r="B226" s="170"/>
      <c r="C226" s="169"/>
      <c r="D226" s="169"/>
      <c r="E226" s="169"/>
      <c r="F226" s="169"/>
      <c r="G226" s="169"/>
      <c r="H226" s="169"/>
      <c r="I226" s="169"/>
      <c r="J226" s="169"/>
      <c r="K226" s="183"/>
      <c r="L226" s="183"/>
      <c r="M226" s="183"/>
      <c r="N226" s="183"/>
      <c r="O226" s="183"/>
      <c r="P226" s="183"/>
      <c r="Q226" s="183"/>
      <c r="R226" s="183"/>
      <c r="S226" s="183"/>
      <c r="T226" s="183"/>
      <c r="BD226" s="183"/>
      <c r="BE226" s="183"/>
      <c r="BF226" s="183"/>
      <c r="BG226" s="183"/>
    </row>
    <row r="227" spans="1:59" hidden="1">
      <c r="A227" s="183"/>
      <c r="B227" s="170"/>
      <c r="C227" s="169"/>
      <c r="D227" s="169"/>
      <c r="E227" s="169"/>
      <c r="F227" s="169"/>
      <c r="G227" s="169"/>
      <c r="H227" s="169"/>
      <c r="I227" s="169"/>
      <c r="J227" s="169"/>
      <c r="K227" s="183"/>
      <c r="L227" s="183"/>
      <c r="M227" s="183"/>
      <c r="N227" s="183"/>
      <c r="O227" s="183"/>
      <c r="P227" s="183"/>
      <c r="Q227" s="183"/>
      <c r="R227" s="183"/>
      <c r="S227" s="183"/>
      <c r="T227" s="183"/>
      <c r="BD227" s="183"/>
      <c r="BE227" s="183"/>
      <c r="BF227" s="183"/>
      <c r="BG227" s="183"/>
    </row>
    <row r="228" spans="1:59" hidden="1">
      <c r="A228" s="183"/>
      <c r="B228" s="170"/>
      <c r="C228" s="169"/>
      <c r="D228" s="169"/>
      <c r="E228" s="169"/>
      <c r="F228" s="169"/>
      <c r="G228" s="169"/>
      <c r="H228" s="169"/>
      <c r="I228" s="169"/>
      <c r="J228" s="169"/>
      <c r="K228" s="183"/>
      <c r="L228" s="183"/>
      <c r="M228" s="183"/>
      <c r="N228" s="183"/>
      <c r="O228" s="183"/>
      <c r="P228" s="183"/>
      <c r="Q228" s="183"/>
      <c r="R228" s="183"/>
      <c r="S228" s="183"/>
      <c r="T228" s="183"/>
      <c r="BD228" s="183"/>
      <c r="BE228" s="183"/>
      <c r="BF228" s="183"/>
      <c r="BG228" s="183"/>
    </row>
    <row r="229" spans="1:59" hidden="1">
      <c r="A229" s="183"/>
      <c r="B229" s="170"/>
      <c r="C229" s="169"/>
      <c r="D229" s="169"/>
      <c r="E229" s="169"/>
      <c r="F229" s="169"/>
      <c r="G229" s="169"/>
      <c r="H229" s="169"/>
      <c r="I229" s="169"/>
      <c r="J229" s="169"/>
      <c r="K229" s="183"/>
      <c r="L229" s="183"/>
      <c r="M229" s="183"/>
      <c r="N229" s="183"/>
      <c r="O229" s="183"/>
      <c r="P229" s="183"/>
      <c r="Q229" s="183"/>
      <c r="R229" s="183"/>
      <c r="S229" s="183"/>
      <c r="T229" s="183"/>
      <c r="BD229" s="183"/>
      <c r="BE229" s="183"/>
      <c r="BF229" s="183"/>
      <c r="BG229" s="183"/>
    </row>
    <row r="230" spans="1:59" hidden="1">
      <c r="A230" s="183"/>
      <c r="B230" s="170"/>
      <c r="C230" s="169"/>
      <c r="D230" s="169"/>
      <c r="E230" s="169"/>
      <c r="F230" s="169"/>
      <c r="G230" s="169"/>
      <c r="H230" s="169"/>
      <c r="I230" s="169"/>
      <c r="J230" s="169"/>
      <c r="K230" s="183"/>
      <c r="L230" s="183"/>
      <c r="M230" s="183"/>
      <c r="N230" s="183"/>
      <c r="O230" s="183"/>
      <c r="P230" s="183"/>
      <c r="Q230" s="183"/>
      <c r="R230" s="183"/>
      <c r="S230" s="183"/>
      <c r="T230" s="183"/>
      <c r="BD230" s="183"/>
      <c r="BE230" s="183"/>
      <c r="BF230" s="183"/>
      <c r="BG230" s="183"/>
    </row>
    <row r="231" spans="1:59" hidden="1">
      <c r="A231" s="183"/>
      <c r="B231" s="170"/>
      <c r="C231" s="169"/>
      <c r="D231" s="169"/>
      <c r="E231" s="169"/>
      <c r="F231" s="169"/>
      <c r="G231" s="169"/>
      <c r="H231" s="169"/>
      <c r="I231" s="169"/>
      <c r="J231" s="169"/>
      <c r="K231" s="183"/>
      <c r="L231" s="183"/>
      <c r="M231" s="183"/>
      <c r="N231" s="183"/>
      <c r="O231" s="183"/>
      <c r="P231" s="183"/>
      <c r="Q231" s="183"/>
      <c r="R231" s="183"/>
      <c r="S231" s="183"/>
      <c r="T231" s="183"/>
      <c r="BD231" s="183"/>
      <c r="BE231" s="183"/>
      <c r="BF231" s="183"/>
      <c r="BG231" s="183"/>
    </row>
    <row r="232" spans="1:59" hidden="1">
      <c r="A232" s="183"/>
      <c r="B232" s="170"/>
      <c r="C232" s="169"/>
      <c r="D232" s="169"/>
      <c r="E232" s="169"/>
      <c r="F232" s="169"/>
      <c r="G232" s="169"/>
      <c r="H232" s="169"/>
      <c r="I232" s="169"/>
      <c r="J232" s="169"/>
      <c r="K232" s="183"/>
      <c r="L232" s="183"/>
      <c r="M232" s="183"/>
      <c r="N232" s="183"/>
      <c r="O232" s="183"/>
      <c r="P232" s="183"/>
      <c r="Q232" s="183"/>
      <c r="R232" s="183"/>
      <c r="S232" s="183"/>
      <c r="T232" s="183"/>
      <c r="BD232" s="183"/>
      <c r="BE232" s="183"/>
      <c r="BF232" s="183"/>
      <c r="BG232" s="183"/>
    </row>
    <row r="233" spans="1:59" hidden="1">
      <c r="A233" s="183"/>
      <c r="B233" s="170"/>
      <c r="C233" s="169"/>
      <c r="D233" s="169"/>
      <c r="E233" s="169"/>
      <c r="F233" s="169"/>
      <c r="G233" s="169"/>
      <c r="H233" s="169"/>
      <c r="I233" s="169"/>
      <c r="J233" s="169"/>
      <c r="K233" s="183"/>
      <c r="L233" s="183"/>
      <c r="M233" s="183"/>
      <c r="N233" s="183"/>
      <c r="O233" s="183"/>
      <c r="P233" s="183"/>
      <c r="Q233" s="183"/>
      <c r="R233" s="183"/>
      <c r="S233" s="183"/>
      <c r="T233" s="183"/>
      <c r="BD233" s="183"/>
      <c r="BE233" s="183"/>
      <c r="BF233" s="183"/>
      <c r="BG233" s="183"/>
    </row>
    <row r="234" spans="1:59" hidden="1">
      <c r="A234" s="183"/>
      <c r="B234" s="170"/>
      <c r="C234" s="169"/>
      <c r="D234" s="169"/>
      <c r="E234" s="169"/>
      <c r="F234" s="169"/>
      <c r="G234" s="169"/>
      <c r="H234" s="169"/>
      <c r="I234" s="169"/>
      <c r="J234" s="169"/>
      <c r="K234" s="183"/>
      <c r="L234" s="183"/>
      <c r="M234" s="183"/>
      <c r="N234" s="183"/>
      <c r="O234" s="183"/>
      <c r="P234" s="183"/>
      <c r="Q234" s="183"/>
      <c r="R234" s="183"/>
      <c r="S234" s="183"/>
      <c r="T234" s="183"/>
      <c r="BD234" s="183"/>
      <c r="BE234" s="183"/>
      <c r="BF234" s="183"/>
      <c r="BG234" s="183"/>
    </row>
    <row r="235" spans="1:59" hidden="1">
      <c r="A235" s="183"/>
      <c r="B235" s="170"/>
      <c r="C235" s="169"/>
      <c r="D235" s="169"/>
      <c r="E235" s="169"/>
      <c r="F235" s="169"/>
      <c r="G235" s="169"/>
      <c r="H235" s="169"/>
      <c r="I235" s="169"/>
      <c r="J235" s="169"/>
      <c r="K235" s="183"/>
      <c r="L235" s="183"/>
      <c r="M235" s="183"/>
      <c r="N235" s="183"/>
      <c r="O235" s="183"/>
      <c r="P235" s="183"/>
      <c r="Q235" s="183"/>
      <c r="R235" s="183"/>
      <c r="S235" s="183"/>
      <c r="T235" s="183"/>
      <c r="BD235" s="183"/>
      <c r="BE235" s="183"/>
      <c r="BF235" s="183"/>
      <c r="BG235" s="183"/>
    </row>
    <row r="236" spans="1:59" hidden="1">
      <c r="A236" s="183"/>
      <c r="B236" s="170"/>
      <c r="C236" s="169"/>
      <c r="D236" s="169"/>
      <c r="E236" s="169"/>
      <c r="F236" s="169"/>
      <c r="G236" s="169"/>
      <c r="H236" s="169"/>
      <c r="I236" s="169"/>
      <c r="J236" s="169"/>
      <c r="K236" s="183"/>
      <c r="L236" s="183"/>
      <c r="M236" s="183"/>
      <c r="N236" s="183"/>
      <c r="O236" s="183"/>
      <c r="P236" s="183"/>
      <c r="Q236" s="183"/>
      <c r="R236" s="183"/>
      <c r="S236" s="183"/>
      <c r="T236" s="183"/>
      <c r="BD236" s="183"/>
      <c r="BE236" s="183"/>
      <c r="BF236" s="183"/>
      <c r="BG236" s="183"/>
    </row>
    <row r="237" spans="1:59" hidden="1">
      <c r="A237" s="183"/>
      <c r="B237" s="170"/>
      <c r="C237" s="169"/>
      <c r="D237" s="169"/>
      <c r="E237" s="169"/>
      <c r="F237" s="169"/>
      <c r="G237" s="169"/>
      <c r="H237" s="169"/>
      <c r="I237" s="169"/>
      <c r="J237" s="169"/>
      <c r="K237" s="183"/>
      <c r="L237" s="183"/>
      <c r="M237" s="183"/>
      <c r="N237" s="183"/>
      <c r="O237" s="183"/>
      <c r="P237" s="183"/>
      <c r="Q237" s="183"/>
      <c r="R237" s="183"/>
      <c r="S237" s="183"/>
      <c r="T237" s="183"/>
      <c r="BD237" s="183"/>
      <c r="BE237" s="183"/>
      <c r="BF237" s="183"/>
      <c r="BG237" s="183"/>
    </row>
    <row r="238" spans="1:59" hidden="1">
      <c r="A238" s="183"/>
      <c r="B238" s="170"/>
      <c r="C238" s="169"/>
      <c r="D238" s="169"/>
      <c r="E238" s="169"/>
      <c r="F238" s="169"/>
      <c r="G238" s="169"/>
      <c r="H238" s="169"/>
      <c r="I238" s="169"/>
      <c r="J238" s="169"/>
      <c r="K238" s="183"/>
      <c r="L238" s="183"/>
      <c r="M238" s="183"/>
      <c r="N238" s="183"/>
      <c r="O238" s="183"/>
      <c r="P238" s="183"/>
      <c r="Q238" s="183"/>
      <c r="R238" s="183"/>
      <c r="S238" s="183"/>
      <c r="T238" s="183"/>
      <c r="BD238" s="183"/>
      <c r="BE238" s="183"/>
      <c r="BF238" s="183"/>
      <c r="BG238" s="183"/>
    </row>
    <row r="239" spans="1:59" hidden="1">
      <c r="A239" s="183"/>
      <c r="B239" s="170"/>
      <c r="C239" s="169"/>
      <c r="D239" s="169"/>
      <c r="E239" s="169"/>
      <c r="F239" s="169"/>
      <c r="G239" s="169"/>
      <c r="H239" s="169"/>
      <c r="I239" s="169"/>
      <c r="J239" s="169"/>
      <c r="K239" s="183"/>
      <c r="L239" s="183"/>
      <c r="M239" s="183"/>
      <c r="N239" s="183"/>
      <c r="O239" s="183"/>
      <c r="P239" s="183"/>
      <c r="Q239" s="183"/>
      <c r="R239" s="183"/>
      <c r="S239" s="183"/>
      <c r="T239" s="183"/>
      <c r="BD239" s="183"/>
      <c r="BE239" s="183"/>
      <c r="BF239" s="183"/>
      <c r="BG239" s="183"/>
    </row>
    <row r="240" spans="1:59" hidden="1">
      <c r="A240" s="183"/>
      <c r="B240" s="170"/>
      <c r="C240" s="169"/>
      <c r="D240" s="169"/>
      <c r="E240" s="169"/>
      <c r="F240" s="169"/>
      <c r="G240" s="169"/>
      <c r="H240" s="169"/>
      <c r="I240" s="169"/>
      <c r="J240" s="169"/>
      <c r="K240" s="183"/>
      <c r="L240" s="183"/>
      <c r="M240" s="183"/>
      <c r="N240" s="183"/>
      <c r="O240" s="183"/>
      <c r="P240" s="183"/>
      <c r="Q240" s="183"/>
      <c r="R240" s="183"/>
      <c r="S240" s="183"/>
      <c r="T240" s="183"/>
      <c r="BD240" s="183"/>
      <c r="BE240" s="183"/>
      <c r="BF240" s="183"/>
      <c r="BG240" s="183"/>
    </row>
    <row r="241" spans="1:59" hidden="1">
      <c r="A241" s="183"/>
      <c r="B241" s="170"/>
      <c r="C241" s="169"/>
      <c r="D241" s="169"/>
      <c r="E241" s="169"/>
      <c r="F241" s="169"/>
      <c r="G241" s="169"/>
      <c r="H241" s="169"/>
      <c r="I241" s="169"/>
      <c r="J241" s="169"/>
      <c r="K241" s="183"/>
      <c r="L241" s="183"/>
      <c r="M241" s="183"/>
      <c r="N241" s="183"/>
      <c r="O241" s="183"/>
      <c r="P241" s="183"/>
      <c r="Q241" s="183"/>
      <c r="R241" s="183"/>
      <c r="S241" s="183"/>
      <c r="T241" s="183"/>
      <c r="BD241" s="183"/>
      <c r="BE241" s="183"/>
      <c r="BF241" s="183"/>
      <c r="BG241" s="183"/>
    </row>
    <row r="242" spans="1:59" hidden="1">
      <c r="A242" s="183"/>
      <c r="B242" s="170"/>
      <c r="C242" s="169"/>
      <c r="D242" s="169"/>
      <c r="E242" s="169"/>
      <c r="F242" s="169"/>
      <c r="G242" s="169"/>
      <c r="H242" s="169"/>
      <c r="I242" s="169"/>
      <c r="J242" s="169"/>
      <c r="K242" s="183"/>
      <c r="L242" s="183"/>
      <c r="M242" s="183"/>
      <c r="N242" s="183"/>
      <c r="O242" s="183"/>
      <c r="P242" s="183"/>
      <c r="Q242" s="183"/>
      <c r="R242" s="183"/>
      <c r="S242" s="183"/>
      <c r="T242" s="183"/>
      <c r="BD242" s="183"/>
      <c r="BE242" s="183"/>
      <c r="BF242" s="183"/>
      <c r="BG242" s="183"/>
    </row>
    <row r="243" spans="1:59" hidden="1">
      <c r="A243" s="183"/>
      <c r="B243" s="170"/>
      <c r="C243" s="169"/>
      <c r="D243" s="169"/>
      <c r="E243" s="169"/>
      <c r="F243" s="169"/>
      <c r="G243" s="169"/>
      <c r="H243" s="169"/>
      <c r="I243" s="169"/>
      <c r="J243" s="169"/>
      <c r="K243" s="183"/>
      <c r="L243" s="183"/>
      <c r="M243" s="183"/>
      <c r="N243" s="183"/>
      <c r="O243" s="183"/>
      <c r="P243" s="183"/>
      <c r="Q243" s="183"/>
      <c r="R243" s="183"/>
      <c r="S243" s="183"/>
      <c r="T243" s="183"/>
      <c r="BD243" s="183"/>
      <c r="BE243" s="183"/>
      <c r="BF243" s="183"/>
      <c r="BG243" s="183"/>
    </row>
    <row r="244" spans="1:59" hidden="1">
      <c r="A244" s="183"/>
      <c r="B244" s="170"/>
      <c r="C244" s="169"/>
      <c r="D244" s="169"/>
      <c r="E244" s="169"/>
      <c r="F244" s="169"/>
      <c r="G244" s="169"/>
      <c r="H244" s="169"/>
      <c r="I244" s="169"/>
      <c r="J244" s="169"/>
      <c r="K244" s="183"/>
      <c r="L244" s="183"/>
      <c r="M244" s="183"/>
      <c r="N244" s="183"/>
      <c r="O244" s="183"/>
      <c r="P244" s="183"/>
      <c r="Q244" s="183"/>
      <c r="R244" s="183"/>
      <c r="S244" s="183"/>
      <c r="T244" s="183"/>
      <c r="BD244" s="183"/>
      <c r="BE244" s="183"/>
      <c r="BF244" s="183"/>
      <c r="BG244" s="183"/>
    </row>
    <row r="245" spans="1:59" hidden="1">
      <c r="A245" s="183"/>
      <c r="B245" s="170"/>
      <c r="C245" s="169"/>
      <c r="D245" s="169"/>
      <c r="E245" s="169"/>
      <c r="F245" s="169"/>
      <c r="G245" s="169"/>
      <c r="H245" s="169"/>
      <c r="I245" s="169"/>
      <c r="J245" s="169"/>
      <c r="K245" s="183"/>
      <c r="L245" s="183"/>
      <c r="M245" s="183"/>
      <c r="N245" s="183"/>
      <c r="O245" s="183"/>
      <c r="P245" s="183"/>
      <c r="Q245" s="183"/>
      <c r="R245" s="183"/>
      <c r="S245" s="183"/>
      <c r="T245" s="183"/>
      <c r="BD245" s="183"/>
      <c r="BE245" s="183"/>
      <c r="BF245" s="183"/>
      <c r="BG245" s="183"/>
    </row>
    <row r="246" spans="1:59" hidden="1">
      <c r="A246" s="183"/>
      <c r="B246" s="170"/>
      <c r="C246" s="169"/>
      <c r="D246" s="169"/>
      <c r="E246" s="169"/>
      <c r="F246" s="169"/>
      <c r="G246" s="169"/>
      <c r="H246" s="169"/>
      <c r="I246" s="169"/>
      <c r="J246" s="169"/>
      <c r="K246" s="183"/>
      <c r="L246" s="183"/>
      <c r="M246" s="183"/>
      <c r="N246" s="183"/>
      <c r="O246" s="183"/>
      <c r="P246" s="183"/>
      <c r="Q246" s="183"/>
      <c r="R246" s="183"/>
      <c r="S246" s="183"/>
      <c r="T246" s="183"/>
      <c r="BD246" s="183"/>
      <c r="BE246" s="183"/>
      <c r="BF246" s="183"/>
      <c r="BG246" s="183"/>
    </row>
    <row r="247" spans="1:59" hidden="1">
      <c r="A247" s="183"/>
      <c r="B247" s="170"/>
      <c r="C247" s="169"/>
      <c r="D247" s="169"/>
      <c r="E247" s="169"/>
      <c r="F247" s="169"/>
      <c r="G247" s="169"/>
      <c r="H247" s="169"/>
      <c r="I247" s="169"/>
      <c r="J247" s="169"/>
      <c r="K247" s="183"/>
      <c r="L247" s="183"/>
      <c r="M247" s="183"/>
      <c r="N247" s="183"/>
      <c r="O247" s="183"/>
      <c r="P247" s="183"/>
      <c r="Q247" s="183"/>
      <c r="R247" s="183"/>
      <c r="S247" s="183"/>
      <c r="T247" s="183"/>
      <c r="BD247" s="183"/>
      <c r="BE247" s="183"/>
      <c r="BF247" s="183"/>
      <c r="BG247" s="183"/>
    </row>
    <row r="248" spans="1:59" hidden="1">
      <c r="A248" s="183"/>
      <c r="B248" s="170"/>
      <c r="C248" s="169"/>
      <c r="D248" s="169"/>
      <c r="E248" s="169"/>
      <c r="F248" s="169"/>
      <c r="G248" s="169"/>
      <c r="H248" s="169"/>
      <c r="I248" s="169"/>
      <c r="J248" s="169"/>
      <c r="K248" s="183"/>
      <c r="L248" s="183"/>
      <c r="M248" s="183"/>
      <c r="N248" s="183"/>
      <c r="O248" s="183"/>
      <c r="P248" s="183"/>
      <c r="Q248" s="183"/>
      <c r="R248" s="183"/>
      <c r="S248" s="183"/>
      <c r="T248" s="183"/>
      <c r="BD248" s="183"/>
      <c r="BE248" s="183"/>
      <c r="BF248" s="183"/>
      <c r="BG248" s="183"/>
    </row>
    <row r="249" spans="1:59" hidden="1">
      <c r="A249" s="183"/>
      <c r="B249" s="170"/>
      <c r="C249" s="169"/>
      <c r="D249" s="169"/>
      <c r="E249" s="169"/>
      <c r="F249" s="169"/>
      <c r="G249" s="169"/>
      <c r="H249" s="169"/>
      <c r="I249" s="169"/>
      <c r="J249" s="169"/>
      <c r="K249" s="183"/>
      <c r="L249" s="183"/>
      <c r="M249" s="183"/>
      <c r="N249" s="183"/>
      <c r="O249" s="183"/>
      <c r="P249" s="183"/>
      <c r="Q249" s="183"/>
      <c r="R249" s="183"/>
      <c r="S249" s="183"/>
      <c r="T249" s="183"/>
      <c r="BD249" s="183"/>
      <c r="BE249" s="183"/>
      <c r="BF249" s="183"/>
      <c r="BG249" s="183"/>
    </row>
    <row r="250" spans="1:59" hidden="1">
      <c r="A250" s="183"/>
      <c r="B250" s="170"/>
      <c r="C250" s="169"/>
      <c r="D250" s="169"/>
      <c r="E250" s="169"/>
      <c r="F250" s="169"/>
      <c r="G250" s="169"/>
      <c r="H250" s="169"/>
      <c r="I250" s="169"/>
      <c r="J250" s="169"/>
      <c r="K250" s="183"/>
      <c r="L250" s="183"/>
      <c r="M250" s="183"/>
      <c r="N250" s="183"/>
      <c r="O250" s="183"/>
      <c r="P250" s="183"/>
      <c r="Q250" s="183"/>
      <c r="R250" s="183"/>
      <c r="S250" s="183"/>
      <c r="T250" s="183"/>
      <c r="BD250" s="183"/>
      <c r="BE250" s="183"/>
      <c r="BF250" s="183"/>
      <c r="BG250" s="183"/>
    </row>
    <row r="251" spans="1:59" hidden="1">
      <c r="A251" s="183"/>
      <c r="B251" s="170"/>
      <c r="C251" s="169"/>
      <c r="D251" s="169"/>
      <c r="E251" s="169"/>
      <c r="F251" s="169"/>
      <c r="G251" s="169"/>
      <c r="H251" s="169"/>
      <c r="I251" s="169"/>
      <c r="J251" s="169"/>
      <c r="K251" s="183"/>
      <c r="L251" s="183"/>
      <c r="M251" s="183"/>
      <c r="N251" s="183"/>
      <c r="O251" s="183"/>
      <c r="P251" s="183"/>
      <c r="Q251" s="183"/>
      <c r="R251" s="183"/>
      <c r="S251" s="183"/>
      <c r="T251" s="183"/>
      <c r="BD251" s="183"/>
      <c r="BE251" s="183"/>
      <c r="BF251" s="183"/>
      <c r="BG251" s="183"/>
    </row>
    <row r="252" spans="1:59" hidden="1">
      <c r="A252" s="183"/>
      <c r="B252" s="170"/>
      <c r="C252" s="169"/>
      <c r="D252" s="169"/>
      <c r="E252" s="169"/>
      <c r="F252" s="169"/>
      <c r="G252" s="169"/>
      <c r="H252" s="169"/>
      <c r="I252" s="169"/>
      <c r="J252" s="169"/>
      <c r="K252" s="183"/>
      <c r="L252" s="183"/>
      <c r="M252" s="183"/>
      <c r="N252" s="183"/>
      <c r="O252" s="183"/>
      <c r="P252" s="183"/>
      <c r="Q252" s="183"/>
      <c r="R252" s="183"/>
      <c r="S252" s="183"/>
      <c r="T252" s="183"/>
      <c r="BD252" s="183"/>
      <c r="BE252" s="183"/>
      <c r="BF252" s="183"/>
      <c r="BG252" s="183"/>
    </row>
    <row r="253" spans="1:59" hidden="1">
      <c r="A253" s="183"/>
      <c r="B253" s="170"/>
      <c r="C253" s="169"/>
      <c r="D253" s="169"/>
      <c r="E253" s="169"/>
      <c r="F253" s="169"/>
      <c r="G253" s="169"/>
      <c r="H253" s="169"/>
      <c r="I253" s="169"/>
      <c r="J253" s="169"/>
      <c r="K253" s="183"/>
      <c r="L253" s="183"/>
      <c r="M253" s="183"/>
      <c r="N253" s="183"/>
      <c r="O253" s="183"/>
      <c r="P253" s="183"/>
      <c r="Q253" s="183"/>
      <c r="R253" s="183"/>
      <c r="S253" s="183"/>
      <c r="T253" s="183"/>
      <c r="BD253" s="183"/>
      <c r="BE253" s="183"/>
      <c r="BF253" s="183"/>
      <c r="BG253" s="183"/>
    </row>
    <row r="254" spans="1:59" hidden="1">
      <c r="A254" s="183"/>
      <c r="B254" s="170"/>
      <c r="C254" s="169"/>
      <c r="D254" s="169"/>
      <c r="E254" s="169"/>
      <c r="F254" s="169"/>
      <c r="G254" s="169"/>
      <c r="H254" s="169"/>
      <c r="I254" s="169"/>
      <c r="J254" s="169"/>
      <c r="K254" s="183"/>
      <c r="L254" s="183"/>
      <c r="M254" s="183"/>
      <c r="N254" s="183"/>
      <c r="O254" s="183"/>
      <c r="P254" s="183"/>
      <c r="Q254" s="183"/>
      <c r="R254" s="183"/>
      <c r="S254" s="183"/>
      <c r="T254" s="183"/>
      <c r="BD254" s="183"/>
      <c r="BE254" s="183"/>
      <c r="BF254" s="183"/>
      <c r="BG254" s="183"/>
    </row>
    <row r="255" spans="1:59" hidden="1">
      <c r="A255" s="183"/>
      <c r="B255" s="170"/>
      <c r="C255" s="169"/>
      <c r="D255" s="169"/>
      <c r="E255" s="169"/>
      <c r="F255" s="169"/>
      <c r="G255" s="169"/>
      <c r="H255" s="169"/>
      <c r="I255" s="169"/>
      <c r="J255" s="169"/>
      <c r="K255" s="183"/>
      <c r="L255" s="183"/>
      <c r="M255" s="183"/>
      <c r="N255" s="183"/>
      <c r="O255" s="183"/>
      <c r="P255" s="183"/>
      <c r="Q255" s="183"/>
      <c r="R255" s="183"/>
      <c r="S255" s="183"/>
      <c r="T255" s="183"/>
      <c r="BD255" s="183"/>
      <c r="BE255" s="183"/>
      <c r="BF255" s="183"/>
      <c r="BG255" s="183"/>
    </row>
    <row r="256" spans="1:59" hidden="1">
      <c r="A256" s="183"/>
      <c r="B256" s="170"/>
      <c r="C256" s="169"/>
      <c r="D256" s="169"/>
      <c r="E256" s="169"/>
      <c r="F256" s="169"/>
      <c r="G256" s="169"/>
      <c r="H256" s="169"/>
      <c r="I256" s="169"/>
      <c r="J256" s="169"/>
      <c r="K256" s="183"/>
      <c r="L256" s="183"/>
      <c r="M256" s="183"/>
      <c r="N256" s="183"/>
      <c r="O256" s="183"/>
      <c r="P256" s="183"/>
      <c r="Q256" s="183"/>
      <c r="R256" s="183"/>
      <c r="S256" s="183"/>
      <c r="T256" s="183"/>
      <c r="BD256" s="183"/>
      <c r="BE256" s="183"/>
      <c r="BF256" s="183"/>
      <c r="BG256" s="183"/>
    </row>
    <row r="257" spans="1:59" hidden="1">
      <c r="A257" s="183"/>
      <c r="B257" s="170"/>
      <c r="C257" s="169"/>
      <c r="D257" s="169"/>
      <c r="E257" s="169"/>
      <c r="F257" s="169"/>
      <c r="G257" s="169"/>
      <c r="H257" s="169"/>
      <c r="I257" s="169"/>
      <c r="J257" s="169"/>
      <c r="K257" s="183"/>
      <c r="L257" s="183"/>
      <c r="M257" s="183"/>
      <c r="N257" s="183"/>
      <c r="O257" s="183"/>
      <c r="P257" s="183"/>
      <c r="Q257" s="183"/>
      <c r="R257" s="183"/>
      <c r="S257" s="183"/>
      <c r="T257" s="183"/>
      <c r="BD257" s="183"/>
      <c r="BE257" s="183"/>
      <c r="BF257" s="183"/>
      <c r="BG257" s="183"/>
    </row>
    <row r="258" spans="1:59" hidden="1">
      <c r="A258" s="183"/>
      <c r="B258" s="170"/>
      <c r="C258" s="169"/>
      <c r="D258" s="169"/>
      <c r="E258" s="169"/>
      <c r="F258" s="169"/>
      <c r="G258" s="169"/>
      <c r="H258" s="169"/>
      <c r="I258" s="169"/>
      <c r="J258" s="169"/>
      <c r="K258" s="183"/>
      <c r="L258" s="183"/>
      <c r="M258" s="183"/>
      <c r="N258" s="183"/>
      <c r="O258" s="183"/>
      <c r="P258" s="183"/>
      <c r="Q258" s="183"/>
      <c r="R258" s="183"/>
      <c r="S258" s="183"/>
      <c r="T258" s="183"/>
      <c r="BD258" s="183"/>
      <c r="BE258" s="183"/>
      <c r="BF258" s="183"/>
      <c r="BG258" s="183"/>
    </row>
    <row r="259" spans="1:59" hidden="1">
      <c r="A259" s="183"/>
      <c r="B259" s="170"/>
      <c r="C259" s="169"/>
      <c r="D259" s="169"/>
      <c r="E259" s="169"/>
      <c r="F259" s="169"/>
      <c r="G259" s="169"/>
      <c r="H259" s="169"/>
      <c r="I259" s="169"/>
      <c r="J259" s="169"/>
      <c r="K259" s="183"/>
      <c r="L259" s="183"/>
      <c r="M259" s="183"/>
      <c r="N259" s="183"/>
      <c r="O259" s="183"/>
      <c r="P259" s="183"/>
      <c r="Q259" s="183"/>
      <c r="R259" s="183"/>
      <c r="S259" s="183"/>
      <c r="T259" s="183"/>
      <c r="BD259" s="183"/>
      <c r="BE259" s="183"/>
      <c r="BF259" s="183"/>
      <c r="BG259" s="183"/>
    </row>
    <row r="260" spans="1:59" hidden="1">
      <c r="A260" s="183"/>
      <c r="B260" s="170"/>
      <c r="C260" s="169"/>
      <c r="D260" s="169"/>
      <c r="E260" s="169"/>
      <c r="F260" s="169"/>
      <c r="G260" s="169"/>
      <c r="H260" s="169"/>
      <c r="I260" s="169"/>
      <c r="J260" s="169"/>
      <c r="K260" s="183"/>
      <c r="L260" s="183"/>
      <c r="M260" s="183"/>
      <c r="N260" s="183"/>
      <c r="O260" s="183"/>
      <c r="P260" s="183"/>
      <c r="Q260" s="183"/>
      <c r="R260" s="183"/>
      <c r="S260" s="183"/>
      <c r="T260" s="183"/>
      <c r="BD260" s="183"/>
      <c r="BE260" s="183"/>
      <c r="BF260" s="183"/>
      <c r="BG260" s="183"/>
    </row>
    <row r="261" spans="1:59" hidden="1">
      <c r="A261" s="183"/>
      <c r="B261" s="170"/>
      <c r="C261" s="169"/>
      <c r="D261" s="169"/>
      <c r="E261" s="169"/>
      <c r="F261" s="169"/>
      <c r="G261" s="169"/>
      <c r="H261" s="169"/>
      <c r="I261" s="169"/>
      <c r="J261" s="169"/>
      <c r="K261" s="183"/>
      <c r="L261" s="183"/>
      <c r="M261" s="183"/>
      <c r="N261" s="183"/>
      <c r="O261" s="183"/>
      <c r="P261" s="183"/>
      <c r="Q261" s="183"/>
      <c r="R261" s="183"/>
      <c r="S261" s="183"/>
      <c r="T261" s="183"/>
      <c r="BD261" s="183"/>
      <c r="BE261" s="183"/>
      <c r="BF261" s="183"/>
      <c r="BG261" s="183"/>
    </row>
    <row r="262" spans="1:59" hidden="1">
      <c r="A262" s="183"/>
      <c r="B262" s="170"/>
      <c r="C262" s="169"/>
      <c r="D262" s="169"/>
      <c r="E262" s="169"/>
      <c r="F262" s="169"/>
      <c r="G262" s="169"/>
      <c r="H262" s="169"/>
      <c r="I262" s="169"/>
      <c r="J262" s="169"/>
      <c r="K262" s="183"/>
      <c r="L262" s="183"/>
      <c r="M262" s="183"/>
      <c r="N262" s="183"/>
      <c r="O262" s="183"/>
      <c r="P262" s="183"/>
      <c r="Q262" s="183"/>
      <c r="R262" s="183"/>
      <c r="S262" s="183"/>
      <c r="T262" s="183"/>
      <c r="BD262" s="183"/>
      <c r="BE262" s="183"/>
      <c r="BF262" s="183"/>
      <c r="BG262" s="183"/>
    </row>
    <row r="263" spans="1:59" hidden="1">
      <c r="A263" s="183"/>
      <c r="B263" s="170"/>
      <c r="C263" s="169"/>
      <c r="D263" s="169"/>
      <c r="E263" s="169"/>
      <c r="F263" s="169"/>
      <c r="G263" s="169"/>
      <c r="H263" s="169"/>
      <c r="I263" s="169"/>
      <c r="J263" s="169"/>
      <c r="K263" s="183"/>
      <c r="L263" s="183"/>
      <c r="M263" s="183"/>
      <c r="N263" s="183"/>
      <c r="O263" s="183"/>
      <c r="P263" s="183"/>
      <c r="Q263" s="183"/>
      <c r="R263" s="183"/>
      <c r="S263" s="183"/>
      <c r="T263" s="183"/>
      <c r="BD263" s="183"/>
      <c r="BE263" s="183"/>
      <c r="BF263" s="183"/>
      <c r="BG263" s="183"/>
    </row>
    <row r="264" spans="1:59" hidden="1">
      <c r="A264" s="183"/>
      <c r="B264" s="170"/>
      <c r="C264" s="169"/>
      <c r="D264" s="169"/>
      <c r="E264" s="169"/>
      <c r="F264" s="169"/>
      <c r="G264" s="169"/>
      <c r="H264" s="169"/>
      <c r="I264" s="169"/>
      <c r="J264" s="169"/>
      <c r="K264" s="183"/>
      <c r="L264" s="183"/>
      <c r="M264" s="183"/>
      <c r="N264" s="183"/>
      <c r="O264" s="183"/>
      <c r="P264" s="183"/>
      <c r="Q264" s="183"/>
      <c r="R264" s="183"/>
      <c r="S264" s="183"/>
      <c r="T264" s="183"/>
      <c r="BD264" s="183"/>
      <c r="BE264" s="183"/>
      <c r="BF264" s="183"/>
      <c r="BG264" s="183"/>
    </row>
    <row r="265" spans="1:59" hidden="1">
      <c r="A265" s="183"/>
      <c r="B265" s="170"/>
      <c r="C265" s="169"/>
      <c r="D265" s="169"/>
      <c r="E265" s="169"/>
      <c r="F265" s="169"/>
      <c r="G265" s="169"/>
      <c r="H265" s="169"/>
      <c r="I265" s="169"/>
      <c r="J265" s="169"/>
      <c r="K265" s="183"/>
      <c r="L265" s="183"/>
      <c r="M265" s="183"/>
      <c r="N265" s="183"/>
      <c r="O265" s="183"/>
      <c r="P265" s="183"/>
      <c r="Q265" s="183"/>
      <c r="R265" s="183"/>
      <c r="S265" s="183"/>
      <c r="T265" s="183"/>
      <c r="BD265" s="183"/>
      <c r="BE265" s="183"/>
      <c r="BF265" s="183"/>
      <c r="BG265" s="183"/>
    </row>
    <row r="266" spans="1:59" hidden="1">
      <c r="A266" s="183"/>
      <c r="B266" s="170"/>
      <c r="C266" s="169"/>
      <c r="D266" s="169"/>
      <c r="E266" s="169"/>
      <c r="F266" s="169"/>
      <c r="G266" s="169"/>
      <c r="H266" s="169"/>
      <c r="I266" s="169"/>
      <c r="J266" s="169"/>
      <c r="K266" s="183"/>
      <c r="L266" s="183"/>
      <c r="M266" s="183"/>
      <c r="N266" s="183"/>
      <c r="O266" s="183"/>
      <c r="P266" s="183"/>
      <c r="Q266" s="183"/>
      <c r="R266" s="183"/>
      <c r="S266" s="183"/>
      <c r="T266" s="183"/>
      <c r="BD266" s="183"/>
      <c r="BE266" s="183"/>
      <c r="BF266" s="183"/>
      <c r="BG266" s="183"/>
    </row>
    <row r="267" spans="1:59" hidden="1">
      <c r="A267" s="183"/>
      <c r="B267" s="170"/>
      <c r="C267" s="169"/>
      <c r="D267" s="169"/>
      <c r="E267" s="169"/>
      <c r="F267" s="169"/>
      <c r="G267" s="169"/>
      <c r="H267" s="169"/>
      <c r="I267" s="169"/>
      <c r="J267" s="169"/>
      <c r="K267" s="183"/>
      <c r="L267" s="183"/>
      <c r="M267" s="183"/>
      <c r="N267" s="183"/>
      <c r="O267" s="183"/>
      <c r="P267" s="183"/>
      <c r="Q267" s="183"/>
      <c r="R267" s="183"/>
      <c r="S267" s="183"/>
      <c r="T267" s="183"/>
      <c r="BD267" s="183"/>
      <c r="BE267" s="183"/>
      <c r="BF267" s="183"/>
      <c r="BG267" s="183"/>
    </row>
    <row r="268" spans="1:59" hidden="1">
      <c r="A268" s="183"/>
      <c r="B268" s="170"/>
      <c r="C268" s="169"/>
      <c r="D268" s="169"/>
      <c r="E268" s="169"/>
      <c r="F268" s="169"/>
      <c r="G268" s="169"/>
      <c r="H268" s="169"/>
      <c r="I268" s="169"/>
      <c r="J268" s="169"/>
      <c r="K268" s="183"/>
      <c r="L268" s="183"/>
      <c r="M268" s="183"/>
      <c r="N268" s="183"/>
      <c r="O268" s="183"/>
      <c r="P268" s="183"/>
      <c r="Q268" s="183"/>
      <c r="R268" s="183"/>
      <c r="S268" s="183"/>
      <c r="T268" s="183"/>
      <c r="BD268" s="183"/>
      <c r="BE268" s="183"/>
      <c r="BF268" s="183"/>
      <c r="BG268" s="183"/>
    </row>
    <row r="269" spans="1:59" hidden="1">
      <c r="A269" s="183"/>
      <c r="B269" s="170"/>
      <c r="C269" s="169"/>
      <c r="D269" s="169"/>
      <c r="E269" s="169"/>
      <c r="F269" s="169"/>
      <c r="G269" s="169"/>
      <c r="H269" s="169"/>
      <c r="I269" s="169"/>
      <c r="J269" s="169"/>
      <c r="K269" s="183"/>
      <c r="L269" s="183"/>
      <c r="M269" s="183"/>
      <c r="N269" s="183"/>
      <c r="O269" s="183"/>
      <c r="P269" s="183"/>
      <c r="Q269" s="183"/>
      <c r="R269" s="183"/>
      <c r="S269" s="183"/>
      <c r="T269" s="183"/>
      <c r="BD269" s="183"/>
      <c r="BE269" s="183"/>
      <c r="BF269" s="183"/>
      <c r="BG269" s="183"/>
    </row>
    <row r="270" spans="1:59" hidden="1">
      <c r="A270" s="183"/>
      <c r="B270" s="170"/>
      <c r="C270" s="169"/>
      <c r="D270" s="169"/>
      <c r="E270" s="169"/>
      <c r="F270" s="169"/>
      <c r="G270" s="169"/>
      <c r="H270" s="169"/>
      <c r="I270" s="169"/>
      <c r="J270" s="169"/>
      <c r="K270" s="183"/>
      <c r="L270" s="183"/>
      <c r="M270" s="183"/>
      <c r="N270" s="183"/>
      <c r="O270" s="183"/>
      <c r="P270" s="183"/>
      <c r="Q270" s="183"/>
      <c r="R270" s="183"/>
      <c r="S270" s="183"/>
      <c r="T270" s="183"/>
      <c r="BD270" s="183"/>
      <c r="BE270" s="183"/>
      <c r="BF270" s="183"/>
      <c r="BG270" s="183"/>
    </row>
    <row r="271" spans="1:59" hidden="1">
      <c r="A271" s="183"/>
      <c r="B271" s="170"/>
      <c r="C271" s="169"/>
      <c r="D271" s="169"/>
      <c r="E271" s="169"/>
      <c r="F271" s="169"/>
      <c r="G271" s="169"/>
      <c r="H271" s="169"/>
      <c r="I271" s="169"/>
      <c r="J271" s="169"/>
      <c r="K271" s="183"/>
      <c r="L271" s="183"/>
      <c r="M271" s="183"/>
      <c r="N271" s="183"/>
      <c r="O271" s="183"/>
      <c r="P271" s="183"/>
      <c r="Q271" s="183"/>
      <c r="R271" s="183"/>
      <c r="S271" s="183"/>
      <c r="T271" s="183"/>
      <c r="BD271" s="183"/>
      <c r="BE271" s="183"/>
      <c r="BF271" s="183"/>
      <c r="BG271" s="183"/>
    </row>
    <row r="272" spans="1:59" hidden="1">
      <c r="A272" s="183"/>
      <c r="B272" s="170"/>
      <c r="C272" s="169"/>
      <c r="D272" s="169"/>
      <c r="E272" s="169"/>
      <c r="F272" s="169"/>
      <c r="G272" s="169"/>
      <c r="H272" s="169"/>
      <c r="I272" s="169"/>
      <c r="J272" s="169"/>
      <c r="K272" s="183"/>
      <c r="L272" s="183"/>
      <c r="M272" s="183"/>
      <c r="N272" s="183"/>
      <c r="O272" s="183"/>
      <c r="P272" s="183"/>
      <c r="Q272" s="183"/>
      <c r="R272" s="183"/>
      <c r="S272" s="183"/>
      <c r="T272" s="183"/>
      <c r="BD272" s="183"/>
      <c r="BE272" s="183"/>
      <c r="BF272" s="183"/>
      <c r="BG272" s="183"/>
    </row>
    <row r="273" spans="1:59" hidden="1">
      <c r="A273" s="183"/>
      <c r="B273" s="170"/>
      <c r="C273" s="169"/>
      <c r="D273" s="169"/>
      <c r="E273" s="169"/>
      <c r="F273" s="169"/>
      <c r="G273" s="169"/>
      <c r="H273" s="169"/>
      <c r="I273" s="169"/>
      <c r="J273" s="169"/>
      <c r="K273" s="183"/>
      <c r="L273" s="183"/>
      <c r="M273" s="183"/>
      <c r="N273" s="183"/>
      <c r="O273" s="183"/>
      <c r="P273" s="183"/>
      <c r="Q273" s="183"/>
      <c r="R273" s="183"/>
      <c r="S273" s="183"/>
      <c r="T273" s="183"/>
      <c r="BD273" s="183"/>
      <c r="BE273" s="183"/>
      <c r="BF273" s="183"/>
      <c r="BG273" s="183"/>
    </row>
    <row r="274" spans="1:59" hidden="1">
      <c r="A274" s="183"/>
      <c r="B274" s="170"/>
      <c r="C274" s="169"/>
      <c r="D274" s="169"/>
      <c r="E274" s="169"/>
      <c r="F274" s="169"/>
      <c r="G274" s="169"/>
      <c r="H274" s="169"/>
      <c r="I274" s="169"/>
      <c r="J274" s="169"/>
      <c r="K274" s="183"/>
      <c r="L274" s="183"/>
      <c r="M274" s="183"/>
      <c r="N274" s="183"/>
      <c r="O274" s="183"/>
      <c r="P274" s="183"/>
      <c r="Q274" s="183"/>
      <c r="R274" s="183"/>
      <c r="S274" s="183"/>
      <c r="T274" s="183"/>
      <c r="BD274" s="183"/>
      <c r="BE274" s="183"/>
      <c r="BF274" s="183"/>
      <c r="BG274" s="183"/>
    </row>
    <row r="275" spans="1:59" hidden="1">
      <c r="A275" s="183"/>
      <c r="B275" s="170"/>
      <c r="C275" s="169"/>
      <c r="D275" s="169"/>
      <c r="E275" s="169"/>
      <c r="F275" s="169"/>
      <c r="G275" s="169"/>
      <c r="H275" s="169"/>
      <c r="I275" s="169"/>
      <c r="J275" s="169"/>
      <c r="K275" s="183"/>
      <c r="L275" s="183"/>
      <c r="M275" s="183"/>
      <c r="N275" s="183"/>
      <c r="O275" s="183"/>
      <c r="P275" s="183"/>
      <c r="Q275" s="183"/>
      <c r="R275" s="183"/>
      <c r="S275" s="183"/>
      <c r="T275" s="183"/>
      <c r="BD275" s="183"/>
      <c r="BE275" s="183"/>
      <c r="BF275" s="183"/>
      <c r="BG275" s="183"/>
    </row>
    <row r="276" spans="1:59" hidden="1">
      <c r="A276" s="183"/>
      <c r="B276" s="170"/>
      <c r="C276" s="169"/>
      <c r="D276" s="169"/>
      <c r="E276" s="169"/>
      <c r="F276" s="169"/>
      <c r="G276" s="169"/>
      <c r="H276" s="169"/>
      <c r="I276" s="169"/>
      <c r="J276" s="169"/>
      <c r="K276" s="183"/>
      <c r="L276" s="183"/>
      <c r="M276" s="183"/>
      <c r="N276" s="183"/>
      <c r="O276" s="183"/>
      <c r="P276" s="183"/>
      <c r="Q276" s="183"/>
      <c r="R276" s="183"/>
      <c r="S276" s="183"/>
      <c r="T276" s="183"/>
      <c r="BD276" s="183"/>
      <c r="BE276" s="183"/>
      <c r="BF276" s="183"/>
      <c r="BG276" s="183"/>
    </row>
    <row r="277" spans="1:59" hidden="1">
      <c r="A277" s="183"/>
      <c r="B277" s="170"/>
      <c r="C277" s="169"/>
      <c r="D277" s="169"/>
      <c r="E277" s="169"/>
      <c r="F277" s="169"/>
      <c r="G277" s="169"/>
      <c r="H277" s="169"/>
      <c r="I277" s="169"/>
      <c r="J277" s="169"/>
      <c r="K277" s="183"/>
      <c r="L277" s="183"/>
      <c r="M277" s="183"/>
      <c r="N277" s="183"/>
      <c r="O277" s="183"/>
      <c r="P277" s="183"/>
      <c r="Q277" s="183"/>
      <c r="R277" s="183"/>
      <c r="S277" s="183"/>
      <c r="T277" s="183"/>
      <c r="BD277" s="183"/>
      <c r="BE277" s="183"/>
      <c r="BF277" s="183"/>
      <c r="BG277" s="183"/>
    </row>
    <row r="278" spans="1:59" hidden="1"/>
  </sheetData>
  <sheetProtection selectLockedCells="1"/>
  <mergeCells count="51">
    <mergeCell ref="C21:D21"/>
    <mergeCell ref="E21:F21"/>
    <mergeCell ref="G21:H21"/>
    <mergeCell ref="I21:J21"/>
    <mergeCell ref="C22:D22"/>
    <mergeCell ref="E22:F22"/>
    <mergeCell ref="G22:H22"/>
    <mergeCell ref="I22:J22"/>
    <mergeCell ref="C19:D19"/>
    <mergeCell ref="E19:J19"/>
    <mergeCell ref="B2:B3"/>
    <mergeCell ref="D2:E2"/>
    <mergeCell ref="F2:G2"/>
    <mergeCell ref="H2:I2"/>
    <mergeCell ref="J2:K2"/>
    <mergeCell ref="E14:F14"/>
    <mergeCell ref="E13:F13"/>
    <mergeCell ref="G13:H13"/>
    <mergeCell ref="I13:J13"/>
    <mergeCell ref="I18:J18"/>
    <mergeCell ref="G18:H18"/>
    <mergeCell ref="E18:F18"/>
    <mergeCell ref="C12:D12"/>
    <mergeCell ref="I14:J14"/>
    <mergeCell ref="G12:H12"/>
    <mergeCell ref="C15:D15"/>
    <mergeCell ref="N2:O2"/>
    <mergeCell ref="D3:E3"/>
    <mergeCell ref="F3:G3"/>
    <mergeCell ref="H3:I3"/>
    <mergeCell ref="J3:K3"/>
    <mergeCell ref="L2:M2"/>
    <mergeCell ref="L3:M3"/>
    <mergeCell ref="N3:O3"/>
    <mergeCell ref="C2:C3"/>
    <mergeCell ref="C16:D16"/>
    <mergeCell ref="C17:D17"/>
    <mergeCell ref="C18:D18"/>
    <mergeCell ref="I12:J12"/>
    <mergeCell ref="E16:F16"/>
    <mergeCell ref="E17:F17"/>
    <mergeCell ref="E15:F15"/>
    <mergeCell ref="G14:H14"/>
    <mergeCell ref="I15:J15"/>
    <mergeCell ref="I16:J16"/>
    <mergeCell ref="G16:H16"/>
    <mergeCell ref="G17:H17"/>
    <mergeCell ref="I17:J17"/>
    <mergeCell ref="C13:D13"/>
    <mergeCell ref="C14:D14"/>
    <mergeCell ref="E12:F12"/>
  </mergeCells>
  <conditionalFormatting sqref="E13:J18">
    <cfRule type="cellIs" dxfId="569" priority="3" operator="equal">
      <formula>"X"</formula>
    </cfRule>
  </conditionalFormatting>
  <conditionalFormatting sqref="E19">
    <cfRule type="cellIs" dxfId="568" priority="2" operator="equal">
      <formula>"X"</formula>
    </cfRule>
  </conditionalFormatting>
  <conditionalFormatting sqref="E22:J22">
    <cfRule type="cellIs" dxfId="567" priority="1" operator="equal">
      <formula>"X"</formula>
    </cfRule>
  </conditionalFormatting>
  <dataValidations count="1">
    <dataValidation type="list" allowBlank="1" showInputMessage="1" showErrorMessage="1" sqref="C12">
      <formula1>Inventory</formula1>
    </dataValidation>
  </dataValidations>
  <hyperlinks>
    <hyperlink ref="F3" location="Graphs!A1" display="Graphs"/>
    <hyperlink ref="G3" location="Graphs!A1" display="Graphs!A1"/>
    <hyperlink ref="F2" location="'City information'!A1" display="Set-up"/>
    <hyperlink ref="G2" location="'City information'!A1" display="'City information'!A1"/>
    <hyperlink ref="H2" location="Inventory!A1" display="Inventory"/>
    <hyperlink ref="I2" location="Inventory!A1" display="Inventory!A1"/>
    <hyperlink ref="H3" location="Overview!A1" display="Overview"/>
    <hyperlink ref="I3" location="Overview!A1" display="Overview!A1"/>
    <hyperlink ref="J2" location="Calculators!A1" display="Calculators"/>
    <hyperlink ref="K2" location="Calculators!A1" display="Calculators!A1"/>
    <hyperlink ref="J3" location="Report!A1" display="Report"/>
    <hyperlink ref="K3" location="Report!A1" display="Report!A1"/>
    <hyperlink ref="N2" location="Analysis!A1" display="Analysis"/>
    <hyperlink ref="O2" location="Analysis!A1" display="Analysis!A1"/>
    <hyperlink ref="L2" location="Results!A1" display="Results"/>
    <hyperlink ref="M2" location="Results!A1" display="Results!A1"/>
    <hyperlink ref="N3" location="'Net emissions'!A1" display="Net emissions"/>
    <hyperlink ref="O3" location="'Net emissions'!A1" display="'Net emissions'!A1"/>
    <hyperlink ref="D2" location="Home!A1" display="Introduction"/>
    <hyperlink ref="E2" location="Home!A1" display="Home!A1"/>
    <hyperlink ref="L3" location="Audit!A1" display="Audit"/>
  </hyperlinks>
  <printOptions horizontalCentered="1" verticalCentered="1"/>
  <pageMargins left="0.16" right="0.16" top="0.2" bottom="0.08" header="0.19" footer="0.12000000000000001"/>
  <pageSetup paperSize="9" scale="66" fitToHeight="2" orientation="portrait" horizontalDpi="4294967292" verticalDpi="4294967292"/>
  <ignoredErrors>
    <ignoredError sqref="P13:P18" emptyCellReference="1"/>
  </ignoredErrors>
  <drawing r:id="rId1"/>
  <extLst>
    <ext xmlns:mx="http://schemas.microsoft.com/office/mac/excel/2008/main" uri="{64002731-A6B0-56B0-2670-7721B7C09600}">
      <mx:PLV Mode="0" OnePage="0" WScale="67"/>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theme="3"/>
    <outlinePr summaryBelow="0"/>
    <pageSetUpPr autoPageBreaks="0" fitToPage="1"/>
  </sheetPr>
  <dimension ref="A1:BK231"/>
  <sheetViews>
    <sheetView showRowColHeaders="0" showZeros="0" workbookViewId="0">
      <selection activeCell="H3" sqref="H3:I3"/>
    </sheetView>
  </sheetViews>
  <sheetFormatPr baseColWidth="10" defaultColWidth="0" defaultRowHeight="15" zeroHeight="1" x14ac:dyDescent="0"/>
  <cols>
    <col min="1" max="1" width="4.83203125" style="169" customWidth="1"/>
    <col min="2" max="2" width="12.83203125" style="187" customWidth="1"/>
    <col min="3" max="10" width="12.83203125" style="183" customWidth="1"/>
    <col min="11" max="13" width="12.83203125" style="169" customWidth="1"/>
    <col min="14" max="14" width="4.33203125" style="169" customWidth="1"/>
    <col min="15" max="18" width="4.33203125" style="1351" customWidth="1"/>
    <col min="19" max="19" width="4.33203125" style="1353" customWidth="1"/>
    <col min="20" max="20" width="4.83203125" style="1353" customWidth="1"/>
    <col min="21" max="63" width="10.83203125" style="1353" hidden="1" customWidth="1"/>
    <col min="64" max="16384" width="10.83203125" style="1354" hidden="1"/>
  </cols>
  <sheetData>
    <row r="1" spans="1:63" s="498" customFormat="1">
      <c r="S1" s="570"/>
      <c r="T1" s="570"/>
      <c r="U1" s="570"/>
      <c r="V1" s="570"/>
      <c r="W1" s="570"/>
      <c r="X1" s="570"/>
      <c r="Y1" s="570"/>
    </row>
    <row r="2" spans="1:63" s="464" customFormat="1" ht="31" customHeight="1">
      <c r="A2" s="494"/>
      <c r="B2" s="1817" t="s">
        <v>1965</v>
      </c>
      <c r="C2" s="1819">
        <v>400</v>
      </c>
      <c r="D2" s="1849" t="s">
        <v>1555</v>
      </c>
      <c r="E2" s="1850"/>
      <c r="F2" s="1849" t="s">
        <v>1563</v>
      </c>
      <c r="G2" s="1850"/>
      <c r="H2" s="1849" t="s">
        <v>794</v>
      </c>
      <c r="I2" s="1850"/>
      <c r="J2" s="1849" t="s">
        <v>1570</v>
      </c>
      <c r="K2" s="1850"/>
      <c r="L2" s="2047" t="s">
        <v>1564</v>
      </c>
      <c r="M2" s="2033"/>
      <c r="N2" s="1849" t="s">
        <v>1602</v>
      </c>
      <c r="O2" s="2011"/>
      <c r="P2" s="2011"/>
      <c r="Q2" s="2011"/>
      <c r="R2" s="2011"/>
      <c r="S2" s="1850"/>
      <c r="T2" s="571"/>
      <c r="U2" s="571"/>
      <c r="V2" s="571"/>
      <c r="W2" s="571"/>
      <c r="X2" s="571"/>
      <c r="Y2" s="571"/>
      <c r="Z2" s="494"/>
    </row>
    <row r="3" spans="1:63" s="464" customFormat="1" ht="31" customHeight="1">
      <c r="A3" s="494"/>
      <c r="B3" s="1818"/>
      <c r="C3" s="1820"/>
      <c r="D3" s="1843" t="s">
        <v>1567</v>
      </c>
      <c r="E3" s="1844"/>
      <c r="F3" s="1847" t="s">
        <v>1584</v>
      </c>
      <c r="G3" s="1848"/>
      <c r="H3" s="1843" t="s">
        <v>1568</v>
      </c>
      <c r="I3" s="1844"/>
      <c r="J3" s="1843" t="s">
        <v>1569</v>
      </c>
      <c r="K3" s="1844"/>
      <c r="L3" s="2135" t="s">
        <v>1962</v>
      </c>
      <c r="M3" s="2136"/>
      <c r="N3" s="1843" t="s">
        <v>1019</v>
      </c>
      <c r="O3" s="2027"/>
      <c r="P3" s="2027"/>
      <c r="Q3" s="2027"/>
      <c r="R3" s="2027"/>
      <c r="S3" s="1844"/>
      <c r="T3" s="571"/>
      <c r="U3" s="571"/>
      <c r="V3" s="571"/>
      <c r="W3" s="571"/>
      <c r="X3" s="571"/>
      <c r="Y3" s="571"/>
      <c r="Z3" s="494"/>
    </row>
    <row r="4" spans="1:63" s="494" customFormat="1" ht="15" customHeight="1">
      <c r="B4" s="492"/>
      <c r="C4" s="495"/>
      <c r="D4" s="497"/>
      <c r="E4" s="497"/>
      <c r="F4" s="497"/>
      <c r="G4" s="497"/>
      <c r="H4" s="497"/>
      <c r="I4" s="497"/>
      <c r="J4" s="497"/>
      <c r="K4" s="497"/>
      <c r="L4" s="496"/>
      <c r="M4" s="496"/>
      <c r="N4" s="496"/>
      <c r="O4" s="496"/>
      <c r="P4" s="496"/>
      <c r="Q4" s="496"/>
      <c r="R4" s="496"/>
      <c r="S4" s="572"/>
      <c r="T4" s="571"/>
      <c r="U4" s="571"/>
      <c r="V4" s="571"/>
      <c r="W4" s="571"/>
      <c r="X4" s="571"/>
      <c r="Y4" s="571"/>
    </row>
    <row r="5" spans="1:63" s="15" customFormat="1" ht="31" customHeight="1">
      <c r="S5" s="576"/>
      <c r="T5" s="576"/>
      <c r="U5" s="576"/>
      <c r="V5" s="576"/>
      <c r="W5" s="576"/>
      <c r="X5" s="573"/>
      <c r="Y5" s="573"/>
      <c r="Z5" s="182"/>
      <c r="AA5" s="182"/>
      <c r="AB5" s="182"/>
      <c r="AC5" s="182"/>
      <c r="AD5" s="182"/>
      <c r="AE5" s="182"/>
      <c r="AF5" s="182"/>
      <c r="AG5" s="182"/>
      <c r="AH5" s="182"/>
      <c r="AI5" s="182"/>
      <c r="AJ5" s="182"/>
      <c r="AK5" s="182"/>
      <c r="AL5" s="182"/>
      <c r="AM5" s="182"/>
      <c r="AN5" s="182"/>
      <c r="AO5" s="182"/>
      <c r="AP5" s="182"/>
    </row>
    <row r="6" spans="1:63" s="169" customFormat="1" ht="31" customHeight="1" thickBot="1">
      <c r="A6" s="866"/>
      <c r="B6" s="491" t="s">
        <v>1589</v>
      </c>
      <c r="C6" s="516"/>
      <c r="D6" s="516"/>
      <c r="E6" s="516"/>
      <c r="F6" s="516"/>
      <c r="G6" s="516"/>
      <c r="H6" s="516"/>
      <c r="I6" s="517"/>
      <c r="J6" s="517"/>
      <c r="K6" s="517"/>
      <c r="L6" s="518"/>
      <c r="M6" s="518"/>
      <c r="N6" s="518"/>
      <c r="O6" s="518"/>
      <c r="P6" s="518"/>
      <c r="Q6" s="518"/>
      <c r="R6" s="518"/>
      <c r="S6" s="518"/>
      <c r="T6" s="576"/>
      <c r="U6" s="576"/>
      <c r="V6" s="576"/>
      <c r="W6" s="576"/>
      <c r="X6" s="573"/>
      <c r="Y6" s="573"/>
      <c r="Z6" s="182"/>
      <c r="AA6" s="182"/>
      <c r="AB6" s="182"/>
      <c r="AC6" s="182"/>
      <c r="AD6" s="182"/>
      <c r="AE6" s="182"/>
      <c r="AF6" s="182"/>
      <c r="AG6" s="182"/>
      <c r="AH6" s="182"/>
      <c r="AI6" s="182"/>
      <c r="AJ6" s="182"/>
      <c r="AK6" s="182"/>
      <c r="AL6" s="182"/>
      <c r="AM6" s="182"/>
      <c r="AN6" s="182"/>
      <c r="AO6" s="182"/>
      <c r="AP6" s="182"/>
      <c r="AQ6" s="182"/>
      <c r="AR6" s="182"/>
      <c r="AS6" s="182"/>
      <c r="AT6" s="182"/>
      <c r="AU6" s="182"/>
      <c r="AV6" s="182"/>
      <c r="AW6" s="182"/>
      <c r="AX6" s="182"/>
      <c r="AY6" s="182"/>
      <c r="AZ6" s="182"/>
      <c r="BA6" s="182"/>
      <c r="BB6" s="182"/>
      <c r="BC6" s="182"/>
      <c r="BD6" s="182"/>
      <c r="BE6" s="182"/>
      <c r="BF6" s="182"/>
      <c r="BG6" s="182"/>
      <c r="BH6" s="182"/>
      <c r="BI6" s="182"/>
      <c r="BJ6" s="182"/>
      <c r="BK6" s="182"/>
    </row>
    <row r="7" spans="1:63" s="515" customFormat="1" ht="15" customHeight="1" thickTop="1">
      <c r="B7" s="519"/>
      <c r="C7" s="520"/>
      <c r="D7" s="520"/>
      <c r="E7" s="520"/>
      <c r="F7" s="520"/>
      <c r="G7" s="520"/>
      <c r="H7" s="520"/>
      <c r="I7" s="521"/>
      <c r="J7" s="521"/>
      <c r="K7" s="521"/>
      <c r="L7" s="522"/>
      <c r="M7" s="522"/>
      <c r="N7" s="15"/>
      <c r="O7" s="169"/>
      <c r="P7" s="169"/>
      <c r="T7" s="576"/>
      <c r="U7" s="182"/>
      <c r="V7" s="182"/>
      <c r="W7" s="182"/>
      <c r="X7" s="182"/>
      <c r="Y7" s="182"/>
      <c r="Z7" s="182"/>
      <c r="AA7" s="182"/>
      <c r="AB7" s="182"/>
      <c r="AC7" s="182"/>
      <c r="AD7" s="182"/>
      <c r="AE7" s="182"/>
      <c r="AF7" s="182"/>
      <c r="AG7" s="182"/>
      <c r="AH7" s="182"/>
      <c r="AI7" s="182"/>
      <c r="AJ7" s="182"/>
      <c r="AK7" s="182"/>
      <c r="AL7" s="182"/>
      <c r="AM7" s="182"/>
      <c r="AN7" s="182"/>
      <c r="AO7" s="182"/>
      <c r="AP7" s="182"/>
      <c r="AQ7" s="182"/>
      <c r="AR7" s="182"/>
      <c r="AS7" s="182"/>
      <c r="AT7" s="182"/>
      <c r="AU7" s="182"/>
      <c r="AV7" s="182"/>
      <c r="AW7" s="182"/>
      <c r="AX7" s="182"/>
      <c r="AY7" s="182"/>
      <c r="AZ7" s="182"/>
      <c r="BA7" s="182"/>
      <c r="BB7" s="182"/>
      <c r="BC7" s="182"/>
      <c r="BD7" s="182"/>
      <c r="BE7" s="182"/>
      <c r="BF7" s="182"/>
      <c r="BG7" s="182"/>
    </row>
    <row r="8" spans="1:63" s="607" customFormat="1" ht="18" customHeight="1">
      <c r="B8" s="604" t="s">
        <v>752</v>
      </c>
      <c r="C8" s="605"/>
      <c r="D8" s="605" t="str">
        <f>IF('City information'!E11="",'City information'!E10,CONCATENATE('City information'!E10,", ",'City information'!E11))</f>
        <v>Atlantis, Gondwana</v>
      </c>
      <c r="E8" s="605"/>
      <c r="F8" s="608"/>
      <c r="G8" s="608"/>
      <c r="H8" s="608"/>
      <c r="I8" s="609"/>
      <c r="J8" s="609"/>
      <c r="K8" s="609"/>
      <c r="L8" s="610"/>
      <c r="M8" s="610"/>
      <c r="O8" s="611"/>
      <c r="P8" s="611"/>
      <c r="Q8" s="2168" t="s">
        <v>1994</v>
      </c>
      <c r="R8" s="2169"/>
      <c r="S8" s="2170"/>
      <c r="T8" s="576"/>
      <c r="U8" s="612"/>
      <c r="V8" s="612"/>
      <c r="W8" s="612"/>
      <c r="X8" s="612"/>
      <c r="Y8" s="612"/>
      <c r="Z8" s="612"/>
      <c r="AA8" s="612"/>
      <c r="AB8" s="612"/>
      <c r="AC8" s="612"/>
      <c r="AD8" s="612"/>
      <c r="AE8" s="612"/>
      <c r="AF8" s="612"/>
      <c r="AG8" s="612"/>
      <c r="AH8" s="612"/>
      <c r="AI8" s="612"/>
      <c r="AJ8" s="612"/>
      <c r="AK8" s="612"/>
      <c r="AL8" s="612"/>
      <c r="AM8" s="612"/>
      <c r="AN8" s="612"/>
      <c r="AO8" s="612"/>
      <c r="AP8" s="612"/>
      <c r="AQ8" s="612"/>
      <c r="AR8" s="612"/>
      <c r="AS8" s="612"/>
      <c r="AT8" s="612"/>
      <c r="AU8" s="612"/>
      <c r="AV8" s="612"/>
      <c r="AW8" s="612"/>
      <c r="AX8" s="612"/>
      <c r="AY8" s="612"/>
      <c r="AZ8" s="612"/>
      <c r="BA8" s="612"/>
      <c r="BB8" s="612"/>
      <c r="BC8" s="612"/>
      <c r="BD8" s="612"/>
      <c r="BE8" s="612"/>
      <c r="BF8" s="612"/>
      <c r="BG8" s="612"/>
    </row>
    <row r="9" spans="1:63" s="607" customFormat="1" ht="18" customHeight="1">
      <c r="B9" s="606" t="s">
        <v>750</v>
      </c>
      <c r="C9" s="605"/>
      <c r="D9" s="605">
        <f>'City information'!E13</f>
        <v>2014</v>
      </c>
      <c r="E9" s="605"/>
      <c r="F9" s="608"/>
      <c r="G9" s="608"/>
      <c r="H9" s="608"/>
      <c r="I9" s="609"/>
      <c r="J9" s="609"/>
      <c r="K9" s="609"/>
      <c r="L9" s="610"/>
      <c r="M9" s="610"/>
      <c r="O9" s="611"/>
      <c r="P9" s="611"/>
      <c r="Q9" s="2171"/>
      <c r="R9" s="2172"/>
      <c r="S9" s="2173"/>
      <c r="T9" s="576"/>
      <c r="U9" s="612"/>
      <c r="V9" s="612"/>
      <c r="W9" s="612"/>
      <c r="X9" s="612"/>
      <c r="Y9" s="612"/>
      <c r="Z9" s="612"/>
      <c r="AA9" s="612"/>
      <c r="AB9" s="612"/>
      <c r="AC9" s="612"/>
      <c r="AD9" s="612"/>
      <c r="AE9" s="612"/>
      <c r="AF9" s="612"/>
      <c r="AG9" s="612"/>
      <c r="AH9" s="612"/>
      <c r="AI9" s="612"/>
      <c r="AJ9" s="612"/>
      <c r="AK9" s="612"/>
      <c r="AL9" s="612"/>
      <c r="AM9" s="612"/>
      <c r="AN9" s="612"/>
      <c r="AO9" s="612"/>
      <c r="AP9" s="612"/>
      <c r="AQ9" s="612"/>
      <c r="AR9" s="612"/>
      <c r="AS9" s="612"/>
      <c r="AT9" s="612"/>
      <c r="AU9" s="612"/>
      <c r="AV9" s="612"/>
      <c r="AW9" s="612"/>
      <c r="AX9" s="612"/>
      <c r="AY9" s="612"/>
      <c r="AZ9" s="612"/>
      <c r="BA9" s="612"/>
      <c r="BB9" s="612"/>
      <c r="BC9" s="612"/>
      <c r="BD9" s="612"/>
      <c r="BE9" s="612"/>
      <c r="BF9" s="612"/>
      <c r="BG9" s="612"/>
    </row>
    <row r="10" spans="1:63" s="515" customFormat="1" ht="15" customHeight="1">
      <c r="B10" s="519"/>
      <c r="C10" s="520"/>
      <c r="D10" s="520"/>
      <c r="E10" s="520"/>
      <c r="F10" s="520"/>
      <c r="G10" s="520"/>
      <c r="H10" s="520"/>
      <c r="I10" s="521"/>
      <c r="J10" s="521"/>
      <c r="K10" s="521"/>
      <c r="L10" s="522"/>
      <c r="M10" s="522"/>
      <c r="N10" s="15"/>
      <c r="O10" s="169"/>
      <c r="P10" s="169"/>
      <c r="Q10" s="169"/>
      <c r="R10" s="169"/>
      <c r="S10" s="169"/>
      <c r="T10" s="576"/>
      <c r="U10" s="182"/>
      <c r="V10" s="182"/>
      <c r="W10" s="182"/>
      <c r="X10" s="182"/>
      <c r="Y10" s="182"/>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2"/>
      <c r="AW10" s="182"/>
      <c r="AX10" s="182"/>
      <c r="AY10" s="182"/>
      <c r="AZ10" s="182"/>
      <c r="BA10" s="182"/>
      <c r="BB10" s="182"/>
      <c r="BC10" s="182"/>
      <c r="BD10" s="182"/>
      <c r="BE10" s="182"/>
      <c r="BF10" s="182"/>
      <c r="BG10" s="182"/>
    </row>
    <row r="11" spans="1:63" s="192" customFormat="1" ht="20" customHeight="1">
      <c r="A11" s="178"/>
      <c r="B11" s="526" t="s">
        <v>1582</v>
      </c>
      <c r="C11" s="526"/>
      <c r="D11" s="526" t="s">
        <v>172</v>
      </c>
      <c r="E11" s="526"/>
      <c r="F11" s="526"/>
      <c r="G11" s="526" t="s">
        <v>173</v>
      </c>
      <c r="H11" s="526"/>
      <c r="I11" s="526"/>
      <c r="J11" s="526" t="s">
        <v>1583</v>
      </c>
      <c r="K11" s="526"/>
      <c r="L11" s="526"/>
      <c r="M11" s="526"/>
      <c r="N11" s="190"/>
      <c r="O11" s="577"/>
      <c r="P11" s="577" t="s">
        <v>172</v>
      </c>
      <c r="Q11" s="577" t="s">
        <v>173</v>
      </c>
      <c r="R11" s="577" t="s">
        <v>763</v>
      </c>
      <c r="S11" s="577"/>
      <c r="T11" s="578"/>
      <c r="U11" s="576"/>
      <c r="V11" s="576"/>
      <c r="W11" s="576"/>
      <c r="X11" s="574"/>
      <c r="Y11" s="574"/>
    </row>
    <row r="12" spans="1:63" s="197" customFormat="1" ht="20" customHeight="1">
      <c r="A12" s="179"/>
      <c r="B12" s="525"/>
      <c r="C12" s="525"/>
      <c r="D12" s="525"/>
      <c r="E12" s="525"/>
      <c r="F12" s="525"/>
      <c r="G12" s="525"/>
      <c r="H12" s="525"/>
      <c r="I12" s="525"/>
      <c r="J12" s="525"/>
      <c r="K12" s="193"/>
      <c r="L12" s="193"/>
      <c r="M12" s="193"/>
      <c r="N12" s="193"/>
      <c r="O12" s="579"/>
      <c r="P12" s="580" t="str">
        <f>CONCATENATE(P20," mtCO2e")</f>
        <v>8742000 mtCO2e</v>
      </c>
      <c r="Q12" s="580" t="str">
        <f>CONCATENATE(Q20," mtCO2e")</f>
        <v>8967000 mtCO2e</v>
      </c>
      <c r="R12" s="580" t="str">
        <f>CONCATENATE(R20," mtCO2e")</f>
        <v>9135000 mtCO2e</v>
      </c>
      <c r="S12" s="578"/>
      <c r="T12" s="578"/>
      <c r="U12" s="576"/>
      <c r="V12" s="576"/>
      <c r="W12" s="576"/>
      <c r="X12" s="575"/>
      <c r="Y12" s="575"/>
    </row>
    <row r="13" spans="1:63" s="182" customFormat="1" ht="20" customHeight="1">
      <c r="A13" s="43"/>
      <c r="B13" s="170"/>
      <c r="C13" s="169"/>
      <c r="D13" s="169"/>
      <c r="E13" s="169"/>
      <c r="F13" s="169"/>
      <c r="G13" s="169"/>
      <c r="H13" s="169"/>
      <c r="I13" s="169"/>
      <c r="J13" s="169"/>
      <c r="K13" s="169"/>
      <c r="L13" s="169"/>
      <c r="M13" s="169"/>
      <c r="N13" s="169"/>
      <c r="O13" s="578" t="s">
        <v>759</v>
      </c>
      <c r="P13" s="580">
        <f>Overview!K14</f>
        <v>4564548.8945382396</v>
      </c>
      <c r="Q13" s="580">
        <f>Overview!L14</f>
        <v>4564548.8945382396</v>
      </c>
      <c r="R13" s="580">
        <f>Overview!M14</f>
        <v>4564548.8945382396</v>
      </c>
      <c r="S13" s="578">
        <v>0</v>
      </c>
      <c r="T13" s="578"/>
      <c r="U13" s="576"/>
      <c r="V13" s="576"/>
      <c r="W13" s="576"/>
      <c r="X13" s="573"/>
      <c r="Y13" s="573"/>
    </row>
    <row r="14" spans="1:63" s="182" customFormat="1" ht="20" customHeight="1">
      <c r="A14" s="43"/>
      <c r="B14" s="170"/>
      <c r="C14" s="169"/>
      <c r="D14" s="169"/>
      <c r="E14" s="169"/>
      <c r="F14" s="169"/>
      <c r="G14" s="169"/>
      <c r="H14" s="169"/>
      <c r="I14" s="169"/>
      <c r="J14" s="169"/>
      <c r="K14" s="169"/>
      <c r="L14" s="169"/>
      <c r="M14" s="169"/>
      <c r="N14" s="169"/>
      <c r="O14" s="578" t="s">
        <v>760</v>
      </c>
      <c r="P14" s="580">
        <f>Overview!K16</f>
        <v>3672734.1612893902</v>
      </c>
      <c r="Q14" s="580">
        <f>Overview!L16</f>
        <v>3672734.1612893902</v>
      </c>
      <c r="R14" s="580">
        <f>Overview!M16</f>
        <v>3672734.1612893902</v>
      </c>
      <c r="S14" s="578">
        <v>0</v>
      </c>
      <c r="T14" s="578"/>
      <c r="U14" s="576"/>
      <c r="V14" s="576"/>
      <c r="W14" s="576"/>
      <c r="X14" s="573"/>
      <c r="Y14" s="573"/>
    </row>
    <row r="15" spans="1:63" s="182" customFormat="1" ht="20" customHeight="1">
      <c r="A15" s="43"/>
      <c r="B15" s="170"/>
      <c r="C15" s="169"/>
      <c r="D15" s="169"/>
      <c r="E15" s="169"/>
      <c r="F15" s="169"/>
      <c r="G15" s="169"/>
      <c r="H15" s="169"/>
      <c r="I15" s="169"/>
      <c r="J15" s="169"/>
      <c r="K15" s="169"/>
      <c r="L15" s="169"/>
      <c r="M15" s="169"/>
      <c r="N15" s="169"/>
      <c r="O15" s="578" t="s">
        <v>761</v>
      </c>
      <c r="P15" s="580">
        <f>Overview!K17</f>
        <v>504576.66000000003</v>
      </c>
      <c r="Q15" s="580">
        <f>Overview!L17</f>
        <v>504576.66000000003</v>
      </c>
      <c r="R15" s="580">
        <f>Overview!M17</f>
        <v>504576.66000000003</v>
      </c>
      <c r="S15" s="578">
        <v>0</v>
      </c>
      <c r="T15" s="578"/>
      <c r="U15" s="576"/>
      <c r="V15" s="576"/>
      <c r="W15" s="576"/>
      <c r="X15" s="573"/>
      <c r="Y15" s="573"/>
    </row>
    <row r="16" spans="1:63" s="182" customFormat="1" ht="20" customHeight="1">
      <c r="A16" s="43"/>
      <c r="B16" s="170"/>
      <c r="C16" s="169"/>
      <c r="D16" s="169"/>
      <c r="E16" s="169"/>
      <c r="F16" s="169"/>
      <c r="G16" s="169"/>
      <c r="H16" s="169"/>
      <c r="I16" s="169"/>
      <c r="J16" s="169"/>
      <c r="K16" s="169"/>
      <c r="L16" s="169"/>
      <c r="M16" s="169"/>
      <c r="N16" s="169"/>
      <c r="O16" s="578" t="s">
        <v>208</v>
      </c>
      <c r="P16" s="578"/>
      <c r="Q16" s="580">
        <f>Overview!L19</f>
        <v>75000</v>
      </c>
      <c r="R16" s="580">
        <f>Overview!M19</f>
        <v>75000</v>
      </c>
      <c r="S16" s="578">
        <v>0</v>
      </c>
      <c r="T16" s="578"/>
      <c r="U16" s="576"/>
      <c r="V16" s="576"/>
      <c r="W16" s="576"/>
      <c r="X16" s="573"/>
      <c r="Y16" s="573"/>
    </row>
    <row r="17" spans="1:63" s="182" customFormat="1" ht="20" customHeight="1">
      <c r="A17" s="43"/>
      <c r="B17" s="170"/>
      <c r="C17" s="169"/>
      <c r="D17" s="169"/>
      <c r="E17" s="169"/>
      <c r="F17" s="169"/>
      <c r="G17" s="169"/>
      <c r="H17" s="169"/>
      <c r="I17" s="169"/>
      <c r="J17" s="169"/>
      <c r="K17" s="169"/>
      <c r="L17" s="169"/>
      <c r="M17" s="169"/>
      <c r="N17" s="169"/>
      <c r="O17" s="578" t="s">
        <v>209</v>
      </c>
      <c r="P17" s="578"/>
      <c r="Q17" s="580">
        <f>Overview!L20</f>
        <v>150000</v>
      </c>
      <c r="R17" s="580">
        <f>Overview!M20</f>
        <v>150000</v>
      </c>
      <c r="S17" s="578">
        <v>0</v>
      </c>
      <c r="T17" s="578"/>
      <c r="U17" s="576"/>
      <c r="V17" s="576"/>
      <c r="W17" s="576"/>
      <c r="X17" s="573"/>
      <c r="Y17" s="573"/>
    </row>
    <row r="18" spans="1:63" s="182" customFormat="1" ht="20" customHeight="1">
      <c r="A18" s="43"/>
      <c r="B18" s="170"/>
      <c r="C18" s="169"/>
      <c r="D18" s="169"/>
      <c r="E18" s="169"/>
      <c r="F18" s="169"/>
      <c r="G18" s="169"/>
      <c r="H18" s="169"/>
      <c r="I18" s="169"/>
      <c r="J18" s="169"/>
      <c r="K18" s="169"/>
      <c r="L18" s="169"/>
      <c r="M18" s="169"/>
      <c r="N18" s="169"/>
      <c r="O18" s="578" t="s">
        <v>762</v>
      </c>
      <c r="P18" s="578"/>
      <c r="Q18" s="578"/>
      <c r="R18" s="580">
        <f>Overview!M21</f>
        <v>168000</v>
      </c>
      <c r="S18" s="578">
        <v>0</v>
      </c>
      <c r="T18" s="578"/>
      <c r="U18" s="576"/>
      <c r="V18" s="576"/>
      <c r="W18" s="576"/>
      <c r="X18" s="573"/>
      <c r="Y18" s="573"/>
    </row>
    <row r="19" spans="1:63" s="182" customFormat="1" ht="20" customHeight="1">
      <c r="A19" s="43"/>
      <c r="B19" s="170"/>
      <c r="C19" s="169"/>
      <c r="D19" s="169"/>
      <c r="E19" s="169"/>
      <c r="F19" s="169"/>
      <c r="G19" s="169"/>
      <c r="H19" s="169"/>
      <c r="I19" s="169"/>
      <c r="J19" s="169"/>
      <c r="K19" s="169"/>
      <c r="L19" s="169"/>
      <c r="M19" s="169"/>
      <c r="N19" s="169"/>
      <c r="O19" s="578" t="s">
        <v>684</v>
      </c>
      <c r="P19" s="580">
        <f>SUM(P13:P18)</f>
        <v>8741859.715827629</v>
      </c>
      <c r="Q19" s="580">
        <f>SUM(Q13:Q18)</f>
        <v>8966859.715827629</v>
      </c>
      <c r="R19" s="580">
        <f>SUM(R13:R18)</f>
        <v>9134859.715827629</v>
      </c>
      <c r="S19" s="578">
        <v>0</v>
      </c>
      <c r="T19" s="578"/>
      <c r="U19" s="576"/>
      <c r="V19" s="576"/>
      <c r="W19" s="576"/>
      <c r="X19" s="573"/>
      <c r="Y19" s="573"/>
    </row>
    <row r="20" spans="1:63" s="182" customFormat="1" ht="20" customHeight="1">
      <c r="A20" s="43"/>
      <c r="B20" s="170"/>
      <c r="C20" s="169"/>
      <c r="D20" s="169"/>
      <c r="E20" s="169"/>
      <c r="F20" s="169"/>
      <c r="G20" s="169"/>
      <c r="H20" s="169"/>
      <c r="I20" s="169"/>
      <c r="J20" s="169"/>
      <c r="K20" s="169"/>
      <c r="L20" s="169"/>
      <c r="M20" s="169"/>
      <c r="N20" s="169"/>
      <c r="O20" s="578"/>
      <c r="P20" s="580">
        <f>ROUND(P19,-3)</f>
        <v>8742000</v>
      </c>
      <c r="Q20" s="580">
        <f>ROUND(Q19,-3)</f>
        <v>8967000</v>
      </c>
      <c r="R20" s="580">
        <f>ROUND(R19,-3)</f>
        <v>9135000</v>
      </c>
      <c r="S20" s="578"/>
      <c r="T20" s="578"/>
      <c r="U20" s="576"/>
      <c r="V20" s="576"/>
      <c r="W20" s="576"/>
      <c r="X20" s="573"/>
      <c r="Y20" s="573"/>
    </row>
    <row r="21" spans="1:63" s="182" customFormat="1" ht="20" customHeight="1">
      <c r="A21" s="43"/>
      <c r="B21" s="170"/>
      <c r="C21" s="169"/>
      <c r="D21" s="169"/>
      <c r="E21" s="169"/>
      <c r="F21" s="169"/>
      <c r="G21" s="169"/>
      <c r="H21" s="169"/>
      <c r="I21" s="169"/>
      <c r="J21" s="169"/>
      <c r="K21" s="169"/>
      <c r="L21" s="169"/>
      <c r="M21" s="169"/>
      <c r="N21" s="169"/>
      <c r="O21" s="578"/>
      <c r="P21" s="578"/>
      <c r="Q21" s="578"/>
      <c r="R21" s="578"/>
      <c r="S21" s="578"/>
      <c r="T21" s="578"/>
      <c r="U21" s="576"/>
      <c r="V21" s="576"/>
      <c r="W21" s="576"/>
      <c r="X21" s="573"/>
      <c r="Y21" s="573"/>
    </row>
    <row r="22" spans="1:63" s="182" customFormat="1" ht="20" customHeight="1">
      <c r="A22" s="43"/>
      <c r="B22" s="170"/>
      <c r="C22" s="169"/>
      <c r="D22" s="169"/>
      <c r="E22" s="169"/>
      <c r="F22" s="169"/>
      <c r="G22" s="169"/>
      <c r="H22" s="169"/>
      <c r="I22" s="169"/>
      <c r="J22" s="169"/>
      <c r="K22" s="169"/>
      <c r="L22" s="169"/>
      <c r="M22" s="169"/>
      <c r="N22" s="169"/>
      <c r="O22" s="578"/>
      <c r="P22" s="578"/>
      <c r="Q22" s="578"/>
      <c r="R22" s="578"/>
      <c r="S22" s="578"/>
      <c r="T22" s="578"/>
      <c r="U22" s="576"/>
      <c r="V22" s="576"/>
      <c r="W22" s="576"/>
      <c r="X22" s="573"/>
      <c r="Y22" s="573"/>
    </row>
    <row r="23" spans="1:63" s="182" customFormat="1" ht="20" customHeight="1">
      <c r="A23" s="43"/>
      <c r="B23" s="170"/>
      <c r="C23" s="169"/>
      <c r="D23" s="169"/>
      <c r="E23" s="169"/>
      <c r="F23" s="169"/>
      <c r="G23" s="169"/>
      <c r="H23" s="169"/>
      <c r="I23" s="169"/>
      <c r="J23" s="169"/>
      <c r="K23" s="169"/>
      <c r="L23" s="169"/>
      <c r="M23" s="169"/>
      <c r="N23" s="169"/>
      <c r="O23" s="578"/>
      <c r="P23" s="578"/>
      <c r="Q23" s="578"/>
      <c r="R23" s="578"/>
      <c r="S23" s="578"/>
      <c r="T23" s="578"/>
      <c r="U23" s="576"/>
      <c r="V23" s="576"/>
      <c r="W23" s="576"/>
      <c r="X23" s="573"/>
      <c r="Y23" s="573"/>
    </row>
    <row r="24" spans="1:63" s="182" customFormat="1" ht="20" customHeight="1">
      <c r="A24" s="43"/>
      <c r="B24" s="170"/>
      <c r="C24" s="169"/>
      <c r="D24" s="169"/>
      <c r="E24" s="169"/>
      <c r="F24" s="169"/>
      <c r="G24" s="169"/>
      <c r="H24" s="169"/>
      <c r="I24" s="169"/>
      <c r="J24" s="169"/>
      <c r="K24" s="169"/>
      <c r="L24" s="169"/>
      <c r="M24" s="169"/>
      <c r="N24" s="169"/>
      <c r="O24" s="578"/>
      <c r="P24" s="578"/>
      <c r="Q24" s="578"/>
      <c r="R24" s="578"/>
      <c r="S24" s="578"/>
      <c r="T24" s="578"/>
      <c r="U24" s="576"/>
      <c r="V24" s="576"/>
      <c r="W24" s="576"/>
      <c r="X24" s="573"/>
      <c r="Y24" s="573"/>
    </row>
    <row r="25" spans="1:63" s="1352" customFormat="1" ht="20" customHeight="1">
      <c r="A25" s="43"/>
      <c r="B25" s="2165" t="s">
        <v>2438</v>
      </c>
      <c r="C25" s="2165"/>
      <c r="D25" s="2165"/>
      <c r="E25" s="2165"/>
      <c r="F25" s="2165"/>
      <c r="G25" s="2165"/>
      <c r="H25" s="2165"/>
      <c r="I25" s="2165"/>
      <c r="J25" s="2165"/>
      <c r="K25" s="2165"/>
      <c r="L25" s="2165"/>
      <c r="M25" s="2165"/>
      <c r="N25" s="190"/>
      <c r="O25" s="1350"/>
      <c r="P25" s="1350"/>
      <c r="Q25" s="1350"/>
      <c r="R25" s="1350"/>
      <c r="S25" s="1350"/>
      <c r="T25" s="1351"/>
      <c r="U25" s="1351"/>
      <c r="V25" s="1351"/>
      <c r="W25" s="1351"/>
    </row>
    <row r="26" spans="1:63" s="1351" customFormat="1" ht="20" customHeight="1">
      <c r="A26" s="43"/>
      <c r="B26" s="170"/>
      <c r="C26" s="169"/>
      <c r="D26" s="169"/>
      <c r="E26" s="169"/>
      <c r="F26" s="169"/>
      <c r="G26" s="169"/>
      <c r="H26" s="169"/>
      <c r="I26" s="169"/>
      <c r="J26" s="169"/>
      <c r="K26" s="169"/>
      <c r="L26" s="169"/>
      <c r="M26" s="169"/>
      <c r="N26" s="169"/>
      <c r="O26" s="578"/>
      <c r="P26" s="578" t="s">
        <v>1</v>
      </c>
      <c r="Q26" s="578" t="s">
        <v>2</v>
      </c>
      <c r="R26" s="578" t="s">
        <v>3</v>
      </c>
      <c r="S26" s="578"/>
      <c r="X26" s="1353"/>
      <c r="Y26" s="1353"/>
      <c r="Z26" s="1353"/>
      <c r="AA26" s="1353"/>
      <c r="AB26" s="1353"/>
      <c r="AC26" s="1353"/>
      <c r="AD26" s="1353"/>
      <c r="AE26" s="1353"/>
      <c r="AF26" s="1353"/>
      <c r="AG26" s="1353"/>
      <c r="AH26" s="1353"/>
      <c r="AI26" s="1353"/>
      <c r="AJ26" s="1353"/>
      <c r="AK26" s="1353"/>
      <c r="AL26" s="1353"/>
      <c r="AM26" s="1353"/>
      <c r="AN26" s="1353"/>
      <c r="AO26" s="1353"/>
      <c r="AP26" s="1353"/>
      <c r="AQ26" s="1353"/>
      <c r="AR26" s="1353"/>
      <c r="AS26" s="1353"/>
      <c r="AT26" s="1353"/>
      <c r="AU26" s="1353"/>
      <c r="AV26" s="1353"/>
      <c r="AW26" s="1353"/>
      <c r="AX26" s="1353"/>
      <c r="AY26" s="1353"/>
      <c r="AZ26" s="1353"/>
      <c r="BA26" s="1353"/>
      <c r="BB26" s="1353"/>
      <c r="BC26" s="1353"/>
      <c r="BD26" s="1353"/>
      <c r="BE26" s="1353"/>
      <c r="BF26" s="1353"/>
      <c r="BG26" s="1353"/>
      <c r="BH26" s="1353"/>
      <c r="BI26" s="1353"/>
      <c r="BJ26" s="1353"/>
      <c r="BK26" s="1353"/>
    </row>
    <row r="27" spans="1:63" s="1351" customFormat="1" ht="20" customHeight="1">
      <c r="A27" s="43"/>
      <c r="B27" s="170"/>
      <c r="C27" s="169"/>
      <c r="D27" s="169"/>
      <c r="E27" s="169"/>
      <c r="F27" s="169"/>
      <c r="G27" s="169"/>
      <c r="H27" s="169"/>
      <c r="I27" s="169"/>
      <c r="J27" s="169"/>
      <c r="K27" s="169"/>
      <c r="L27" s="169"/>
      <c r="M27" s="169"/>
      <c r="N27" s="169"/>
      <c r="O27" s="578" t="s">
        <v>765</v>
      </c>
      <c r="P27" s="580">
        <f>IFERROR(Overview!J27/1000000,0)</f>
        <v>0.79049823643500006</v>
      </c>
      <c r="Q27" s="580">
        <f>IFERROR(Overview!K27/1000000,0)</f>
        <v>1.2139834125000002</v>
      </c>
      <c r="R27" s="580">
        <f>IFERROR(Overview!L27/1000000,0)</f>
        <v>0</v>
      </c>
      <c r="S27" s="578"/>
      <c r="X27" s="1353"/>
      <c r="Y27" s="1353"/>
      <c r="Z27" s="1353"/>
      <c r="AA27" s="1353"/>
      <c r="AB27" s="1353"/>
      <c r="AC27" s="1353"/>
      <c r="AD27" s="1353"/>
      <c r="AE27" s="1353"/>
      <c r="AF27" s="1353"/>
      <c r="AG27" s="1353"/>
      <c r="AH27" s="1353"/>
      <c r="AI27" s="1353"/>
      <c r="AJ27" s="1353"/>
      <c r="AK27" s="1353"/>
      <c r="AL27" s="1353"/>
      <c r="AM27" s="1353"/>
      <c r="AN27" s="1353"/>
      <c r="AO27" s="1353"/>
      <c r="AP27" s="1353"/>
      <c r="AQ27" s="1353"/>
      <c r="AR27" s="1353"/>
      <c r="AS27" s="1353"/>
      <c r="AT27" s="1353"/>
      <c r="AU27" s="1353"/>
      <c r="AV27" s="1353"/>
      <c r="AW27" s="1353"/>
      <c r="AX27" s="1353"/>
      <c r="AY27" s="1353"/>
      <c r="AZ27" s="1353"/>
      <c r="BA27" s="1353"/>
      <c r="BB27" s="1353"/>
      <c r="BC27" s="1353"/>
      <c r="BD27" s="1353"/>
      <c r="BE27" s="1353"/>
      <c r="BF27" s="1353"/>
      <c r="BG27" s="1353"/>
      <c r="BH27" s="1353"/>
      <c r="BI27" s="1353"/>
      <c r="BJ27" s="1353"/>
      <c r="BK27" s="1353"/>
    </row>
    <row r="28" spans="1:63" s="1351" customFormat="1" ht="20" customHeight="1">
      <c r="A28" s="43"/>
      <c r="B28" s="170"/>
      <c r="C28" s="169"/>
      <c r="D28" s="169"/>
      <c r="E28" s="169"/>
      <c r="F28" s="169"/>
      <c r="G28" s="169"/>
      <c r="H28" s="169"/>
      <c r="I28" s="169"/>
      <c r="J28" s="169"/>
      <c r="K28" s="169"/>
      <c r="L28" s="169"/>
      <c r="M28" s="169"/>
      <c r="N28" s="169"/>
      <c r="O28" s="578" t="s">
        <v>766</v>
      </c>
      <c r="P28" s="580">
        <f>IFERROR(Overview!J28/1000000,0)</f>
        <v>0.97620000000000007</v>
      </c>
      <c r="Q28" s="580">
        <f>IFERROR(Overview!K28/1000000,0)</f>
        <v>1.5722981206</v>
      </c>
      <c r="R28" s="580">
        <f>IFERROR(Overview!L28/1000000,0)</f>
        <v>0</v>
      </c>
      <c r="S28" s="578"/>
      <c r="X28" s="1353"/>
      <c r="Y28" s="1353"/>
      <c r="Z28" s="1353"/>
      <c r="AA28" s="1353"/>
      <c r="AB28" s="1353"/>
      <c r="AC28" s="1353"/>
      <c r="AD28" s="1353"/>
      <c r="AE28" s="1353"/>
      <c r="AF28" s="1353"/>
      <c r="AG28" s="1353"/>
      <c r="AH28" s="1353"/>
      <c r="AI28" s="1353"/>
      <c r="AJ28" s="1353"/>
      <c r="AK28" s="1353"/>
      <c r="AL28" s="1353"/>
      <c r="AM28" s="1353"/>
      <c r="AN28" s="1353"/>
      <c r="AO28" s="1353"/>
      <c r="AP28" s="1353"/>
      <c r="AQ28" s="1353"/>
      <c r="AR28" s="1353"/>
      <c r="AS28" s="1353"/>
      <c r="AT28" s="1353"/>
      <c r="AU28" s="1353"/>
      <c r="AV28" s="1353"/>
      <c r="AW28" s="1353"/>
      <c r="AX28" s="1353"/>
      <c r="AY28" s="1353"/>
      <c r="AZ28" s="1353"/>
      <c r="BA28" s="1353"/>
      <c r="BB28" s="1353"/>
      <c r="BC28" s="1353"/>
      <c r="BD28" s="1353"/>
      <c r="BE28" s="1353"/>
      <c r="BF28" s="1353"/>
      <c r="BG28" s="1353"/>
      <c r="BH28" s="1353"/>
      <c r="BI28" s="1353"/>
      <c r="BJ28" s="1353"/>
      <c r="BK28" s="1353"/>
    </row>
    <row r="29" spans="1:63" s="1351" customFormat="1" ht="20" customHeight="1">
      <c r="A29" s="43"/>
      <c r="B29" s="170"/>
      <c r="C29" s="169"/>
      <c r="D29" s="169"/>
      <c r="E29" s="169"/>
      <c r="F29" s="169"/>
      <c r="G29" s="169"/>
      <c r="H29" s="169"/>
      <c r="I29" s="169"/>
      <c r="J29" s="169"/>
      <c r="K29" s="169"/>
      <c r="L29" s="169"/>
      <c r="M29" s="169"/>
      <c r="N29" s="169"/>
      <c r="O29" s="578" t="s">
        <v>767</v>
      </c>
      <c r="P29" s="580">
        <f>IFERROR(Overview!J29/1000000,0)</f>
        <v>0</v>
      </c>
      <c r="Q29" s="580">
        <f>IFERROR(Overview!K29/1000000,0)</f>
        <v>0</v>
      </c>
      <c r="R29" s="580">
        <f>IFERROR(Overview!L29/1000000,0)</f>
        <v>0</v>
      </c>
      <c r="S29" s="578"/>
      <c r="X29" s="1353"/>
      <c r="Y29" s="1353"/>
      <c r="Z29" s="1353"/>
      <c r="AA29" s="1353"/>
      <c r="AB29" s="1353"/>
      <c r="AC29" s="1353"/>
      <c r="AD29" s="1353"/>
      <c r="AE29" s="1353"/>
      <c r="AF29" s="1353"/>
      <c r="AG29" s="1353"/>
      <c r="AH29" s="1353"/>
      <c r="AI29" s="1353"/>
      <c r="AJ29" s="1353"/>
      <c r="AK29" s="1353"/>
      <c r="AL29" s="1353"/>
      <c r="AM29" s="1353"/>
      <c r="AN29" s="1353"/>
      <c r="AO29" s="1353"/>
      <c r="AP29" s="1353"/>
      <c r="AQ29" s="1353"/>
      <c r="AR29" s="1353"/>
      <c r="AS29" s="1353"/>
      <c r="AT29" s="1353"/>
      <c r="AU29" s="1353"/>
      <c r="AV29" s="1353"/>
      <c r="AW29" s="1353"/>
      <c r="AX29" s="1353"/>
      <c r="AY29" s="1353"/>
      <c r="AZ29" s="1353"/>
      <c r="BA29" s="1353"/>
      <c r="BB29" s="1353"/>
      <c r="BC29" s="1353"/>
      <c r="BD29" s="1353"/>
      <c r="BE29" s="1353"/>
      <c r="BF29" s="1353"/>
      <c r="BG29" s="1353"/>
      <c r="BH29" s="1353"/>
      <c r="BI29" s="1353"/>
      <c r="BJ29" s="1353"/>
      <c r="BK29" s="1353"/>
    </row>
    <row r="30" spans="1:63" s="1351" customFormat="1" ht="20" customHeight="1">
      <c r="A30" s="43"/>
      <c r="B30" s="170"/>
      <c r="C30" s="169"/>
      <c r="D30" s="169"/>
      <c r="E30" s="169"/>
      <c r="F30" s="169"/>
      <c r="G30" s="169"/>
      <c r="H30" s="169"/>
      <c r="I30" s="169"/>
      <c r="J30" s="169"/>
      <c r="K30" s="169"/>
      <c r="L30" s="169"/>
      <c r="M30" s="169"/>
      <c r="N30" s="169"/>
      <c r="O30" s="578" t="s">
        <v>9</v>
      </c>
      <c r="P30" s="580">
        <f>IFERROR(Overview!J30/1000000,0)</f>
        <v>0</v>
      </c>
      <c r="Q30" s="580">
        <f>IFERROR(Overview!K30/1000000,0)</f>
        <v>0</v>
      </c>
      <c r="R30" s="580">
        <f>IFERROR(Overview!L30/1000000,0)</f>
        <v>0</v>
      </c>
      <c r="S30" s="578"/>
      <c r="X30" s="1353"/>
      <c r="Y30" s="1353"/>
      <c r="Z30" s="1353"/>
      <c r="AA30" s="1353"/>
      <c r="AB30" s="1353"/>
      <c r="AC30" s="1353"/>
      <c r="AD30" s="1353"/>
      <c r="AE30" s="1353"/>
      <c r="AF30" s="1353"/>
      <c r="AG30" s="1353"/>
      <c r="AH30" s="1353"/>
      <c r="AI30" s="1353"/>
      <c r="AJ30" s="1353"/>
      <c r="AK30" s="1353"/>
      <c r="AL30" s="1353"/>
      <c r="AM30" s="1353"/>
      <c r="AN30" s="1353"/>
      <c r="AO30" s="1353"/>
      <c r="AP30" s="1353"/>
      <c r="AQ30" s="1353"/>
      <c r="AR30" s="1353"/>
      <c r="AS30" s="1353"/>
      <c r="AT30" s="1353"/>
      <c r="AU30" s="1353"/>
      <c r="AV30" s="1353"/>
      <c r="AW30" s="1353"/>
      <c r="AX30" s="1353"/>
      <c r="AY30" s="1353"/>
      <c r="AZ30" s="1353"/>
      <c r="BA30" s="1353"/>
      <c r="BB30" s="1353"/>
      <c r="BC30" s="1353"/>
      <c r="BD30" s="1353"/>
      <c r="BE30" s="1353"/>
      <c r="BF30" s="1353"/>
      <c r="BG30" s="1353"/>
      <c r="BH30" s="1353"/>
      <c r="BI30" s="1353"/>
      <c r="BJ30" s="1353"/>
      <c r="BK30" s="1353"/>
    </row>
    <row r="31" spans="1:63" s="1351" customFormat="1" ht="20" customHeight="1">
      <c r="A31" s="43"/>
      <c r="B31" s="170"/>
      <c r="C31" s="169"/>
      <c r="D31" s="169"/>
      <c r="E31" s="169"/>
      <c r="F31" s="169"/>
      <c r="G31" s="169"/>
      <c r="H31" s="169"/>
      <c r="I31" s="169"/>
      <c r="J31" s="169"/>
      <c r="K31" s="169"/>
      <c r="L31" s="169"/>
      <c r="M31" s="169"/>
      <c r="N31" s="169"/>
      <c r="O31" s="578" t="s">
        <v>768</v>
      </c>
      <c r="P31" s="580">
        <f>IFERROR(Overview!J32/1000000,0)</f>
        <v>0</v>
      </c>
      <c r="Q31" s="580">
        <f>IFERROR(Overview!K32/1000000,0)</f>
        <v>0</v>
      </c>
      <c r="R31" s="580">
        <f>IFERROR(Overview!L32/1000000,0)</f>
        <v>0</v>
      </c>
      <c r="S31" s="578"/>
      <c r="X31" s="1353"/>
      <c r="Y31" s="1353"/>
      <c r="Z31" s="1353"/>
      <c r="AA31" s="1353"/>
      <c r="AB31" s="1353"/>
      <c r="AC31" s="1353"/>
      <c r="AD31" s="1353"/>
      <c r="AE31" s="1353"/>
      <c r="AF31" s="1353"/>
      <c r="AG31" s="1353"/>
      <c r="AH31" s="1353"/>
      <c r="AI31" s="1353"/>
      <c r="AJ31" s="1353"/>
      <c r="AK31" s="1353"/>
      <c r="AL31" s="1353"/>
      <c r="AM31" s="1353"/>
      <c r="AN31" s="1353"/>
      <c r="AO31" s="1353"/>
      <c r="AP31" s="1353"/>
      <c r="AQ31" s="1353"/>
      <c r="AR31" s="1353"/>
      <c r="AS31" s="1353"/>
      <c r="AT31" s="1353"/>
      <c r="AU31" s="1353"/>
      <c r="AV31" s="1353"/>
      <c r="AW31" s="1353"/>
      <c r="AX31" s="1353"/>
      <c r="AY31" s="1353"/>
      <c r="AZ31" s="1353"/>
      <c r="BA31" s="1353"/>
      <c r="BB31" s="1353"/>
      <c r="BC31" s="1353"/>
      <c r="BD31" s="1353"/>
      <c r="BE31" s="1353"/>
      <c r="BF31" s="1353"/>
      <c r="BG31" s="1353"/>
      <c r="BH31" s="1353"/>
      <c r="BI31" s="1353"/>
      <c r="BJ31" s="1353"/>
      <c r="BK31" s="1353"/>
    </row>
    <row r="32" spans="1:63" s="1351" customFormat="1" ht="20" customHeight="1">
      <c r="A32" s="43"/>
      <c r="B32" s="170"/>
      <c r="C32" s="169"/>
      <c r="D32" s="169"/>
      <c r="E32" s="169"/>
      <c r="F32" s="169"/>
      <c r="G32" s="169"/>
      <c r="H32" s="169"/>
      <c r="I32" s="169"/>
      <c r="J32" s="169"/>
      <c r="K32" s="169"/>
      <c r="L32" s="169"/>
      <c r="M32" s="169"/>
      <c r="N32" s="169"/>
      <c r="O32" s="578" t="s">
        <v>12</v>
      </c>
      <c r="P32" s="580">
        <f>IFERROR(Overview!J33/1000000,0)</f>
        <v>0</v>
      </c>
      <c r="Q32" s="580">
        <f>IFERROR(Overview!K33/1000000,0)</f>
        <v>0</v>
      </c>
      <c r="R32" s="580">
        <f>IFERROR(Overview!L33/1000000,0)</f>
        <v>0</v>
      </c>
      <c r="S32" s="578"/>
      <c r="X32" s="1353"/>
      <c r="Y32" s="1353"/>
      <c r="Z32" s="1353"/>
      <c r="AA32" s="1353"/>
      <c r="AB32" s="1353"/>
      <c r="AC32" s="1353"/>
      <c r="AD32" s="1353"/>
      <c r="AE32" s="1353"/>
      <c r="AF32" s="1353"/>
      <c r="AG32" s="1353"/>
      <c r="AH32" s="1353"/>
      <c r="AI32" s="1353"/>
      <c r="AJ32" s="1353"/>
      <c r="AK32" s="1353"/>
      <c r="AL32" s="1353"/>
      <c r="AM32" s="1353"/>
      <c r="AN32" s="1353"/>
      <c r="AO32" s="1353"/>
      <c r="AP32" s="1353"/>
      <c r="AQ32" s="1353"/>
      <c r="AR32" s="1353"/>
      <c r="AS32" s="1353"/>
      <c r="AT32" s="1353"/>
      <c r="AU32" s="1353"/>
      <c r="AV32" s="1353"/>
      <c r="AW32" s="1353"/>
      <c r="AX32" s="1353"/>
      <c r="AY32" s="1353"/>
      <c r="AZ32" s="1353"/>
      <c r="BA32" s="1353"/>
      <c r="BB32" s="1353"/>
      <c r="BC32" s="1353"/>
      <c r="BD32" s="1353"/>
      <c r="BE32" s="1353"/>
      <c r="BF32" s="1353"/>
      <c r="BG32" s="1353"/>
      <c r="BH32" s="1353"/>
      <c r="BI32" s="1353"/>
      <c r="BJ32" s="1353"/>
      <c r="BK32" s="1353"/>
    </row>
    <row r="33" spans="1:63" s="1351" customFormat="1" ht="20" customHeight="1">
      <c r="A33" s="43"/>
      <c r="B33" s="170"/>
      <c r="C33" s="169"/>
      <c r="D33" s="169"/>
      <c r="E33" s="169"/>
      <c r="F33" s="169"/>
      <c r="G33" s="169"/>
      <c r="H33" s="169"/>
      <c r="I33" s="169"/>
      <c r="J33" s="169"/>
      <c r="K33" s="169"/>
      <c r="L33" s="169"/>
      <c r="M33" s="169"/>
      <c r="N33" s="169"/>
      <c r="O33" s="578" t="s">
        <v>769</v>
      </c>
      <c r="P33" s="580">
        <f>IFERROR(Overview!J34/1000000,0)</f>
        <v>0</v>
      </c>
      <c r="Q33" s="580"/>
      <c r="R33" s="580"/>
      <c r="S33" s="578"/>
      <c r="X33" s="1353"/>
      <c r="Y33" s="1353"/>
      <c r="Z33" s="1353"/>
      <c r="AA33" s="1353"/>
      <c r="AB33" s="1353"/>
      <c r="AC33" s="1353"/>
      <c r="AD33" s="1353"/>
      <c r="AE33" s="1353"/>
      <c r="AF33" s="1353"/>
      <c r="AG33" s="1353"/>
      <c r="AH33" s="1353"/>
      <c r="AI33" s="1353"/>
      <c r="AJ33" s="1353"/>
      <c r="AK33" s="1353"/>
      <c r="AL33" s="1353"/>
      <c r="AM33" s="1353"/>
      <c r="AN33" s="1353"/>
      <c r="AO33" s="1353"/>
      <c r="AP33" s="1353"/>
      <c r="AQ33" s="1353"/>
      <c r="AR33" s="1353"/>
      <c r="AS33" s="1353"/>
      <c r="AT33" s="1353"/>
      <c r="AU33" s="1353"/>
      <c r="AV33" s="1353"/>
      <c r="AW33" s="1353"/>
      <c r="AX33" s="1353"/>
      <c r="AY33" s="1353"/>
      <c r="AZ33" s="1353"/>
      <c r="BA33" s="1353"/>
      <c r="BB33" s="1353"/>
      <c r="BC33" s="1353"/>
      <c r="BD33" s="1353"/>
      <c r="BE33" s="1353"/>
      <c r="BF33" s="1353"/>
      <c r="BG33" s="1353"/>
      <c r="BH33" s="1353"/>
      <c r="BI33" s="1353"/>
      <c r="BJ33" s="1353"/>
      <c r="BK33" s="1353"/>
    </row>
    <row r="34" spans="1:63" ht="20" customHeight="1">
      <c r="A34" s="43"/>
      <c r="B34" s="170"/>
      <c r="C34" s="169"/>
      <c r="D34" s="169"/>
      <c r="E34" s="169"/>
      <c r="F34" s="169"/>
      <c r="G34" s="169"/>
      <c r="H34" s="169"/>
      <c r="I34" s="169"/>
      <c r="J34" s="169"/>
      <c r="O34" s="578" t="s">
        <v>770</v>
      </c>
      <c r="P34" s="580">
        <f>IFERROR(Overview!J35/1000000,0)</f>
        <v>1.1569125003239355E-2</v>
      </c>
      <c r="Q34" s="580"/>
      <c r="R34" s="580"/>
      <c r="S34" s="578"/>
      <c r="T34" s="1351"/>
      <c r="U34" s="1351"/>
      <c r="V34" s="1351"/>
      <c r="W34" s="1351"/>
    </row>
    <row r="35" spans="1:63" ht="20" customHeight="1">
      <c r="A35" s="43"/>
      <c r="B35" s="170"/>
      <c r="C35" s="169"/>
      <c r="D35" s="169"/>
      <c r="E35" s="169"/>
      <c r="F35" s="169"/>
      <c r="G35" s="169"/>
      <c r="H35" s="169"/>
      <c r="I35" s="169"/>
      <c r="J35" s="169"/>
      <c r="O35" s="578" t="s">
        <v>16</v>
      </c>
      <c r="P35" s="580">
        <f>IFERROR(Overview!J38/1000000,0)</f>
        <v>2.7910989412951999</v>
      </c>
      <c r="Q35" s="580">
        <f>IFERROR(Overview!K38/1000000,0)</f>
        <v>0</v>
      </c>
      <c r="R35" s="580">
        <f>IFERROR(Overview!L38/1000000,0)</f>
        <v>0</v>
      </c>
      <c r="S35" s="578"/>
      <c r="T35" s="1351"/>
      <c r="U35" s="1351"/>
      <c r="V35" s="1351"/>
      <c r="W35" s="1351"/>
    </row>
    <row r="36" spans="1:63" ht="20" customHeight="1">
      <c r="A36" s="43"/>
      <c r="B36" s="170"/>
      <c r="C36" s="169"/>
      <c r="D36" s="169"/>
      <c r="E36" s="169"/>
      <c r="F36" s="169"/>
      <c r="G36" s="169"/>
      <c r="H36" s="169"/>
      <c r="I36" s="169"/>
      <c r="J36" s="169"/>
      <c r="O36" s="578" t="s">
        <v>17</v>
      </c>
      <c r="P36" s="580">
        <f>IFERROR(Overview!J39/1000000,0)</f>
        <v>0.58827217892479999</v>
      </c>
      <c r="Q36" s="580">
        <f>IFERROR(Overview!K39/1000000,0)</f>
        <v>0.27310454521759997</v>
      </c>
      <c r="R36" s="580">
        <f>IFERROR(Overview!L39/1000000,0)</f>
        <v>0</v>
      </c>
      <c r="S36" s="578"/>
      <c r="T36" s="1351"/>
      <c r="U36" s="1351"/>
      <c r="V36" s="1351"/>
      <c r="W36" s="1351"/>
    </row>
    <row r="37" spans="1:63" ht="20" customHeight="1">
      <c r="A37" s="43"/>
      <c r="B37" s="170"/>
      <c r="C37" s="169"/>
      <c r="D37" s="169"/>
      <c r="E37" s="169"/>
      <c r="F37" s="169"/>
      <c r="G37" s="169"/>
      <c r="H37" s="169"/>
      <c r="I37" s="169"/>
      <c r="J37" s="169"/>
      <c r="O37" s="578" t="s">
        <v>771</v>
      </c>
      <c r="P37" s="580">
        <f>IFERROR(Overview!J40/1000000,"")</f>
        <v>2.0258495851789848E-2</v>
      </c>
      <c r="Q37" s="580" t="str">
        <f>IFERROR(Overview!K40/1000000,"")</f>
        <v/>
      </c>
      <c r="R37" s="580" t="str">
        <f>IFERROR(Overview!L40/1000000,"")</f>
        <v/>
      </c>
      <c r="S37" s="578"/>
      <c r="T37" s="1351"/>
      <c r="U37" s="1351"/>
      <c r="V37" s="1351"/>
      <c r="W37" s="1351"/>
    </row>
    <row r="38" spans="1:63" ht="20" customHeight="1">
      <c r="A38" s="43"/>
      <c r="B38" s="170"/>
      <c r="C38" s="169"/>
      <c r="D38" s="169"/>
      <c r="E38" s="169"/>
      <c r="F38" s="169"/>
      <c r="G38" s="169"/>
      <c r="H38" s="169"/>
      <c r="I38" s="169"/>
      <c r="J38" s="169"/>
      <c r="O38" s="578" t="s">
        <v>19</v>
      </c>
      <c r="P38" s="580" t="str">
        <f>IFERROR(Overview!J41/1000000,"")</f>
        <v/>
      </c>
      <c r="Q38" s="580" t="str">
        <f>IFERROR(Overview!K41/1000000,"")</f>
        <v/>
      </c>
      <c r="R38" s="580" t="str">
        <f>IFERROR(Overview!L41/1000000,"")</f>
        <v/>
      </c>
      <c r="S38" s="578"/>
      <c r="T38" s="1351"/>
      <c r="U38" s="1351"/>
      <c r="V38" s="1351"/>
      <c r="W38" s="1351"/>
    </row>
    <row r="39" spans="1:63" ht="20" customHeight="1">
      <c r="A39" s="43"/>
      <c r="B39" s="170"/>
      <c r="C39" s="169"/>
      <c r="D39" s="169"/>
      <c r="E39" s="169"/>
      <c r="F39" s="169"/>
      <c r="G39" s="169"/>
      <c r="H39" s="169"/>
      <c r="I39" s="169"/>
      <c r="J39" s="169"/>
      <c r="O39" s="578" t="s">
        <v>20</v>
      </c>
      <c r="P39" s="580">
        <f>IFERROR(Overview!J42/1000000,0)</f>
        <v>0</v>
      </c>
      <c r="Q39" s="580">
        <f>IFERROR(Overview!K42/1000000,0)</f>
        <v>0</v>
      </c>
      <c r="R39" s="580">
        <f>IFERROR(Overview!L42/1000000,0)</f>
        <v>0</v>
      </c>
      <c r="S39" s="578"/>
      <c r="T39" s="1351"/>
      <c r="U39" s="1351"/>
      <c r="V39" s="1351"/>
      <c r="W39" s="1351"/>
    </row>
    <row r="40" spans="1:63" ht="20" customHeight="1">
      <c r="A40" s="43"/>
      <c r="B40" s="170"/>
      <c r="C40" s="169"/>
      <c r="D40" s="169"/>
      <c r="E40" s="169"/>
      <c r="F40" s="169"/>
      <c r="G40" s="169"/>
      <c r="H40" s="169"/>
      <c r="I40" s="169"/>
      <c r="J40" s="169"/>
      <c r="O40" s="578" t="s">
        <v>772</v>
      </c>
      <c r="P40" s="580">
        <f>IFERROR(Overview!J45/1000000,0)</f>
        <v>0.3</v>
      </c>
      <c r="Q40" s="580"/>
      <c r="R40" s="580">
        <f>IFERROR(Overview!L45/1000000,0)</f>
        <v>0</v>
      </c>
      <c r="S40" s="578"/>
      <c r="T40" s="1351"/>
      <c r="U40" s="1351"/>
      <c r="V40" s="1351"/>
      <c r="W40" s="1351"/>
    </row>
    <row r="41" spans="1:63" ht="20" customHeight="1">
      <c r="A41" s="43"/>
      <c r="B41" s="170"/>
      <c r="C41" s="169"/>
      <c r="D41" s="169"/>
      <c r="E41" s="169"/>
      <c r="F41" s="169"/>
      <c r="G41" s="169"/>
      <c r="H41" s="169"/>
      <c r="I41" s="169"/>
      <c r="J41" s="169"/>
      <c r="O41" s="578" t="s">
        <v>773</v>
      </c>
      <c r="P41" s="580">
        <f>IFERROR(Overview!J46/1000000,0)</f>
        <v>1.7152000000000001E-2</v>
      </c>
      <c r="Q41" s="580"/>
      <c r="R41" s="580">
        <f>IFERROR(Overview!L46/1000000,0)</f>
        <v>3.4304000000000001E-2</v>
      </c>
      <c r="S41" s="578"/>
      <c r="T41" s="1351"/>
      <c r="U41" s="1351"/>
      <c r="V41" s="1351"/>
      <c r="W41" s="1351"/>
    </row>
    <row r="42" spans="1:63" ht="20" customHeight="1">
      <c r="A42" s="43"/>
      <c r="B42" s="170"/>
      <c r="C42" s="169"/>
      <c r="D42" s="169"/>
      <c r="E42" s="169"/>
      <c r="F42" s="169"/>
      <c r="G42" s="169"/>
      <c r="H42" s="169"/>
      <c r="I42" s="169"/>
      <c r="J42" s="169"/>
      <c r="O42" s="578" t="s">
        <v>774</v>
      </c>
      <c r="P42" s="580">
        <f>IFERROR(Overview!J47/1000000,0)</f>
        <v>0</v>
      </c>
      <c r="Q42" s="580"/>
      <c r="R42" s="580">
        <f>IFERROR(Overview!L47/1000000,0)</f>
        <v>0</v>
      </c>
      <c r="S42" s="578"/>
      <c r="T42" s="1351"/>
      <c r="U42" s="1351"/>
      <c r="V42" s="1351"/>
      <c r="W42" s="1351"/>
      <c r="BH42" s="1354"/>
      <c r="BI42" s="1354"/>
      <c r="BJ42" s="1354"/>
      <c r="BK42" s="1354"/>
    </row>
    <row r="43" spans="1:63" ht="20" customHeight="1">
      <c r="A43" s="43"/>
      <c r="B43" s="170"/>
      <c r="C43" s="169"/>
      <c r="D43" s="169"/>
      <c r="E43" s="169"/>
      <c r="F43" s="169"/>
      <c r="G43" s="169"/>
      <c r="H43" s="169"/>
      <c r="I43" s="169"/>
      <c r="J43" s="169"/>
      <c r="O43" s="578" t="s">
        <v>775</v>
      </c>
      <c r="P43" s="580">
        <f>IFERROR(Overview!J48/1000000,0)</f>
        <v>0</v>
      </c>
      <c r="Q43" s="580"/>
      <c r="R43" s="580">
        <f>IFERROR(Overview!L48/1000000,0)</f>
        <v>0.15312065999999999</v>
      </c>
      <c r="S43" s="578"/>
      <c r="T43" s="1351"/>
      <c r="U43" s="1351"/>
      <c r="V43" s="1351"/>
      <c r="W43" s="1351"/>
      <c r="BH43" s="1354"/>
      <c r="BI43" s="1354"/>
      <c r="BJ43" s="1354"/>
      <c r="BK43" s="1354"/>
    </row>
    <row r="44" spans="1:63" ht="20" customHeight="1">
      <c r="A44" s="43"/>
      <c r="B44" s="170"/>
      <c r="C44" s="169"/>
      <c r="D44" s="169"/>
      <c r="E44" s="169"/>
      <c r="F44" s="169"/>
      <c r="G44" s="169"/>
      <c r="H44" s="169"/>
      <c r="I44" s="169"/>
      <c r="J44" s="169"/>
      <c r="O44" s="580" t="s">
        <v>30</v>
      </c>
      <c r="P44" s="580">
        <f>IFERROR(Overview!J55/1000000,0)</f>
        <v>0</v>
      </c>
      <c r="Q44" s="580"/>
      <c r="R44" s="580"/>
      <c r="S44" s="578"/>
      <c r="T44" s="1351"/>
      <c r="U44" s="1351"/>
      <c r="V44" s="1351"/>
      <c r="W44" s="1351"/>
      <c r="BH44" s="1354"/>
      <c r="BI44" s="1354"/>
      <c r="BJ44" s="1354"/>
      <c r="BK44" s="1354"/>
    </row>
    <row r="45" spans="1:63" ht="20" customHeight="1">
      <c r="A45" s="43"/>
      <c r="B45" s="170"/>
      <c r="C45" s="169"/>
      <c r="D45" s="169"/>
      <c r="E45" s="169"/>
      <c r="F45" s="169"/>
      <c r="G45" s="169"/>
      <c r="H45" s="169"/>
      <c r="I45" s="169"/>
      <c r="J45" s="169"/>
      <c r="O45" s="580" t="s">
        <v>31</v>
      </c>
      <c r="P45" s="580">
        <f>IFERROR(Overview!J56/1000000,"")</f>
        <v>7.4999999999999997E-2</v>
      </c>
      <c r="Q45" s="580"/>
      <c r="R45" s="580"/>
      <c r="S45" s="578"/>
      <c r="T45" s="1351"/>
      <c r="U45" s="1351"/>
      <c r="V45" s="1351"/>
      <c r="W45" s="1351"/>
      <c r="BH45" s="1354"/>
      <c r="BI45" s="1354"/>
      <c r="BJ45" s="1354"/>
      <c r="BK45" s="1354"/>
    </row>
    <row r="46" spans="1:63" ht="20" customHeight="1">
      <c r="A46" s="43"/>
      <c r="B46" s="170"/>
      <c r="C46" s="169"/>
      <c r="D46" s="169"/>
      <c r="E46" s="169"/>
      <c r="F46" s="169"/>
      <c r="G46" s="169"/>
      <c r="H46" s="169"/>
      <c r="I46" s="169"/>
      <c r="J46" s="169"/>
      <c r="O46" s="580" t="s">
        <v>32</v>
      </c>
      <c r="P46" s="580">
        <f>IFERROR(Overview!J59/1000000,0)</f>
        <v>0.15</v>
      </c>
      <c r="Q46" s="580"/>
      <c r="R46" s="580"/>
      <c r="S46" s="578"/>
      <c r="T46" s="1351"/>
      <c r="U46" s="1351"/>
      <c r="V46" s="1351"/>
      <c r="W46" s="1351"/>
      <c r="BH46" s="1354"/>
      <c r="BI46" s="1354"/>
      <c r="BJ46" s="1354"/>
      <c r="BK46" s="1354"/>
    </row>
    <row r="47" spans="1:63" ht="20" customHeight="1">
      <c r="A47" s="43"/>
      <c r="B47" s="170"/>
      <c r="C47" s="169"/>
      <c r="D47" s="169"/>
      <c r="E47" s="169"/>
      <c r="F47" s="169"/>
      <c r="G47" s="169"/>
      <c r="H47" s="169"/>
      <c r="I47" s="169"/>
      <c r="J47" s="169"/>
      <c r="O47" s="580" t="s">
        <v>33</v>
      </c>
      <c r="P47" s="580">
        <f>IFERROR(Overview!J60/1000000,0)</f>
        <v>0</v>
      </c>
      <c r="Q47" s="580"/>
      <c r="R47" s="580"/>
      <c r="S47" s="578"/>
      <c r="T47" s="1351"/>
      <c r="U47" s="1351"/>
      <c r="V47" s="1351"/>
      <c r="W47" s="1351"/>
      <c r="BH47" s="1354"/>
      <c r="BI47" s="1354"/>
      <c r="BJ47" s="1354"/>
      <c r="BK47" s="1354"/>
    </row>
    <row r="48" spans="1:63" ht="20" customHeight="1">
      <c r="A48" s="43"/>
      <c r="B48" s="170"/>
      <c r="C48" s="2167" t="s">
        <v>1705</v>
      </c>
      <c r="D48" s="2167"/>
      <c r="E48" s="2167"/>
      <c r="F48" s="2167"/>
      <c r="G48" s="2167"/>
      <c r="H48" s="2167"/>
      <c r="I48" s="2167"/>
      <c r="J48" s="2167"/>
      <c r="K48" s="2167"/>
      <c r="L48" s="2167"/>
      <c r="M48" s="2167"/>
      <c r="O48" s="580" t="s">
        <v>213</v>
      </c>
      <c r="P48" s="580">
        <f>IFERROR(Overview!J61/1000000,0)</f>
        <v>0</v>
      </c>
      <c r="Q48" s="580"/>
      <c r="R48" s="580"/>
      <c r="S48" s="578"/>
      <c r="T48" s="1351"/>
      <c r="U48" s="1351"/>
      <c r="V48" s="1351"/>
      <c r="W48" s="1351"/>
      <c r="BH48" s="1354"/>
      <c r="BI48" s="1354"/>
      <c r="BJ48" s="1354"/>
      <c r="BK48" s="1354"/>
    </row>
    <row r="49" spans="1:63" ht="20" customHeight="1">
      <c r="A49" s="43"/>
      <c r="B49" s="170"/>
      <c r="C49" s="169"/>
      <c r="D49" s="169"/>
      <c r="E49" s="169"/>
      <c r="F49" s="169"/>
      <c r="G49" s="169"/>
      <c r="H49" s="169"/>
      <c r="I49" s="169"/>
      <c r="J49" s="169"/>
      <c r="O49" s="580"/>
      <c r="P49" s="580"/>
      <c r="Q49" s="580"/>
      <c r="R49" s="580"/>
      <c r="S49" s="578"/>
      <c r="T49" s="1351"/>
      <c r="U49" s="1351"/>
      <c r="V49" s="1351"/>
      <c r="W49" s="1351"/>
      <c r="BH49" s="1354"/>
      <c r="BI49" s="1354"/>
      <c r="BJ49" s="1354"/>
      <c r="BK49" s="1354"/>
    </row>
    <row r="50" spans="1:63" s="1352" customFormat="1" ht="20" customHeight="1">
      <c r="A50" s="43"/>
      <c r="B50" s="2165" t="s">
        <v>2439</v>
      </c>
      <c r="C50" s="2165"/>
      <c r="D50" s="2165"/>
      <c r="E50" s="2165"/>
      <c r="F50" s="2165"/>
      <c r="G50" s="2165"/>
      <c r="H50" s="2165"/>
      <c r="I50" s="2165"/>
      <c r="J50" s="2165"/>
      <c r="K50" s="2165"/>
      <c r="L50" s="2165"/>
      <c r="M50" s="2165"/>
      <c r="N50" s="190"/>
      <c r="O50" s="577"/>
      <c r="P50" s="578" t="s">
        <v>2435</v>
      </c>
      <c r="Q50" s="578" t="s">
        <v>2436</v>
      </c>
      <c r="R50" s="578" t="s">
        <v>2437</v>
      </c>
      <c r="S50" s="577"/>
      <c r="T50" s="1351"/>
      <c r="U50" s="1351"/>
      <c r="V50" s="1351"/>
      <c r="W50" s="1351"/>
    </row>
    <row r="51" spans="1:63" ht="20" customHeight="1">
      <c r="A51" s="43"/>
      <c r="B51" s="170"/>
      <c r="C51" s="169"/>
      <c r="D51" s="169"/>
      <c r="E51" s="169"/>
      <c r="F51" s="169"/>
      <c r="G51" s="169"/>
      <c r="H51" s="169"/>
      <c r="I51" s="169"/>
      <c r="J51" s="169"/>
      <c r="O51" s="580" t="s">
        <v>174</v>
      </c>
      <c r="P51" s="580">
        <f>Q20/1000000</f>
        <v>8.9670000000000005</v>
      </c>
      <c r="Q51" s="580"/>
      <c r="R51" s="580"/>
      <c r="S51" s="578"/>
      <c r="T51" s="1351"/>
      <c r="U51" s="1351"/>
      <c r="V51" s="1351"/>
      <c r="W51" s="1351"/>
      <c r="BH51" s="1354"/>
      <c r="BI51" s="1354"/>
      <c r="BJ51" s="1354"/>
      <c r="BK51" s="1354"/>
    </row>
    <row r="52" spans="1:63" ht="20" customHeight="1">
      <c r="A52" s="43"/>
      <c r="B52" s="170"/>
      <c r="C52" s="169"/>
      <c r="D52" s="169"/>
      <c r="E52" s="169"/>
      <c r="F52" s="169"/>
      <c r="G52" s="169"/>
      <c r="H52" s="169"/>
      <c r="I52" s="169"/>
      <c r="J52" s="169"/>
      <c r="O52" s="578" t="s">
        <v>765</v>
      </c>
      <c r="P52" s="580"/>
      <c r="Q52" s="580">
        <f>P51-R52</f>
        <v>6.9625183510650004</v>
      </c>
      <c r="R52" s="580">
        <f t="shared" ref="R52:R73" si="0">SUM(P27:R27)</f>
        <v>2.0044816489350001</v>
      </c>
      <c r="S52" s="578"/>
      <c r="T52" s="1351"/>
      <c r="U52" s="1351"/>
      <c r="V52" s="1351"/>
      <c r="W52" s="1351"/>
      <c r="BH52" s="1354"/>
      <c r="BI52" s="1354"/>
      <c r="BJ52" s="1354"/>
      <c r="BK52" s="1354"/>
    </row>
    <row r="53" spans="1:63" ht="20" customHeight="1">
      <c r="A53" s="43"/>
      <c r="B53" s="170"/>
      <c r="C53" s="169"/>
      <c r="D53" s="169"/>
      <c r="E53" s="169"/>
      <c r="F53" s="169"/>
      <c r="G53" s="169"/>
      <c r="H53" s="169"/>
      <c r="I53" s="169"/>
      <c r="J53" s="169"/>
      <c r="O53" s="578" t="s">
        <v>766</v>
      </c>
      <c r="P53" s="580"/>
      <c r="Q53" s="580">
        <f t="shared" ref="Q53:Q73" si="1">Q52-R53</f>
        <v>4.4140202304650007</v>
      </c>
      <c r="R53" s="580">
        <f t="shared" si="0"/>
        <v>2.5484981206000001</v>
      </c>
      <c r="S53" s="578"/>
      <c r="T53" s="1351"/>
      <c r="U53" s="1351"/>
      <c r="V53" s="1351"/>
      <c r="W53" s="1351"/>
      <c r="BH53" s="1354"/>
      <c r="BI53" s="1354"/>
      <c r="BJ53" s="1354"/>
      <c r="BK53" s="1354"/>
    </row>
    <row r="54" spans="1:63" ht="20" customHeight="1">
      <c r="A54" s="43"/>
      <c r="B54" s="170"/>
      <c r="C54" s="169"/>
      <c r="D54" s="169"/>
      <c r="E54" s="169"/>
      <c r="F54" s="169"/>
      <c r="G54" s="169"/>
      <c r="H54" s="169"/>
      <c r="I54" s="169"/>
      <c r="J54" s="169"/>
      <c r="O54" s="578" t="s">
        <v>767</v>
      </c>
      <c r="P54" s="580"/>
      <c r="Q54" s="580">
        <f t="shared" si="1"/>
        <v>4.4140202304650007</v>
      </c>
      <c r="R54" s="580">
        <f t="shared" si="0"/>
        <v>0</v>
      </c>
      <c r="S54" s="578"/>
      <c r="T54" s="1351"/>
      <c r="U54" s="1351"/>
      <c r="V54" s="1351"/>
      <c r="W54" s="1351"/>
      <c r="BH54" s="1354"/>
      <c r="BI54" s="1354"/>
      <c r="BJ54" s="1354"/>
      <c r="BK54" s="1354"/>
    </row>
    <row r="55" spans="1:63" ht="20" customHeight="1">
      <c r="A55" s="43"/>
      <c r="B55" s="170"/>
      <c r="C55" s="169"/>
      <c r="D55" s="169"/>
      <c r="E55" s="169"/>
      <c r="F55" s="169"/>
      <c r="G55" s="169"/>
      <c r="H55" s="169"/>
      <c r="I55" s="169"/>
      <c r="J55" s="169"/>
      <c r="O55" s="578" t="s">
        <v>9</v>
      </c>
      <c r="P55" s="580"/>
      <c r="Q55" s="580">
        <f t="shared" si="1"/>
        <v>4.4140202304650007</v>
      </c>
      <c r="R55" s="580">
        <f t="shared" si="0"/>
        <v>0</v>
      </c>
      <c r="S55" s="578"/>
      <c r="T55" s="1351"/>
      <c r="U55" s="1351"/>
      <c r="V55" s="1351"/>
      <c r="W55" s="1351"/>
      <c r="BH55" s="1354"/>
      <c r="BI55" s="1354"/>
      <c r="BJ55" s="1354"/>
      <c r="BK55" s="1354"/>
    </row>
    <row r="56" spans="1:63" ht="20" customHeight="1">
      <c r="A56" s="43"/>
      <c r="B56" s="170"/>
      <c r="C56" s="169"/>
      <c r="D56" s="169"/>
      <c r="E56" s="169"/>
      <c r="F56" s="169"/>
      <c r="G56" s="169"/>
      <c r="H56" s="169"/>
      <c r="I56" s="169"/>
      <c r="J56" s="169"/>
      <c r="O56" s="578" t="s">
        <v>768</v>
      </c>
      <c r="P56" s="580"/>
      <c r="Q56" s="580">
        <f t="shared" si="1"/>
        <v>4.4140202304650007</v>
      </c>
      <c r="R56" s="580">
        <f t="shared" si="0"/>
        <v>0</v>
      </c>
      <c r="S56" s="578"/>
      <c r="T56" s="1351"/>
      <c r="U56" s="1351"/>
      <c r="V56" s="1351"/>
      <c r="W56" s="1351"/>
      <c r="BH56" s="1354"/>
      <c r="BI56" s="1354"/>
      <c r="BJ56" s="1354"/>
      <c r="BK56" s="1354"/>
    </row>
    <row r="57" spans="1:63" ht="20" customHeight="1">
      <c r="A57" s="43"/>
      <c r="B57" s="170"/>
      <c r="C57" s="169"/>
      <c r="D57" s="169"/>
      <c r="E57" s="169"/>
      <c r="F57" s="169"/>
      <c r="G57" s="169"/>
      <c r="H57" s="169"/>
      <c r="I57" s="169"/>
      <c r="J57" s="169"/>
      <c r="O57" s="578" t="s">
        <v>12</v>
      </c>
      <c r="P57" s="580"/>
      <c r="Q57" s="580">
        <f t="shared" si="1"/>
        <v>4.4140202304650007</v>
      </c>
      <c r="R57" s="580">
        <f t="shared" si="0"/>
        <v>0</v>
      </c>
      <c r="S57" s="578"/>
      <c r="T57" s="1351"/>
      <c r="U57" s="1351"/>
      <c r="V57" s="1351"/>
      <c r="W57" s="1351"/>
      <c r="BH57" s="1354"/>
      <c r="BI57" s="1354"/>
      <c r="BJ57" s="1354"/>
      <c r="BK57" s="1354"/>
    </row>
    <row r="58" spans="1:63" ht="20" customHeight="1">
      <c r="A58" s="43"/>
      <c r="B58" s="170"/>
      <c r="C58" s="169"/>
      <c r="D58" s="169"/>
      <c r="E58" s="169"/>
      <c r="F58" s="169"/>
      <c r="G58" s="169"/>
      <c r="H58" s="169"/>
      <c r="I58" s="169"/>
      <c r="J58" s="169"/>
      <c r="O58" s="578" t="s">
        <v>769</v>
      </c>
      <c r="P58" s="580"/>
      <c r="Q58" s="580">
        <f t="shared" si="1"/>
        <v>4.4140202304650007</v>
      </c>
      <c r="R58" s="580">
        <f t="shared" si="0"/>
        <v>0</v>
      </c>
      <c r="S58" s="578"/>
      <c r="T58" s="1351"/>
      <c r="U58" s="1351"/>
      <c r="V58" s="1351"/>
      <c r="W58" s="1351"/>
      <c r="BH58" s="1354"/>
      <c r="BI58" s="1354"/>
      <c r="BJ58" s="1354"/>
      <c r="BK58" s="1354"/>
    </row>
    <row r="59" spans="1:63" ht="20" customHeight="1">
      <c r="A59" s="43"/>
      <c r="B59" s="170"/>
      <c r="C59" s="169"/>
      <c r="D59" s="169"/>
      <c r="E59" s="169"/>
      <c r="F59" s="169"/>
      <c r="G59" s="169"/>
      <c r="H59" s="169"/>
      <c r="I59" s="169"/>
      <c r="J59" s="169"/>
      <c r="O59" s="578" t="s">
        <v>770</v>
      </c>
      <c r="P59" s="580"/>
      <c r="Q59" s="580">
        <f t="shared" si="1"/>
        <v>4.4024511054617612</v>
      </c>
      <c r="R59" s="580">
        <f t="shared" si="0"/>
        <v>1.1569125003239355E-2</v>
      </c>
      <c r="S59" s="578"/>
      <c r="T59" s="1351"/>
      <c r="U59" s="1351"/>
      <c r="V59" s="1351"/>
      <c r="W59" s="1351"/>
      <c r="BH59" s="1354"/>
      <c r="BI59" s="1354"/>
      <c r="BJ59" s="1354"/>
      <c r="BK59" s="1354"/>
    </row>
    <row r="60" spans="1:63" ht="20" customHeight="1">
      <c r="A60" s="43"/>
      <c r="B60" s="170"/>
      <c r="C60" s="169"/>
      <c r="D60" s="169"/>
      <c r="E60" s="169"/>
      <c r="F60" s="169"/>
      <c r="G60" s="169"/>
      <c r="H60" s="169"/>
      <c r="I60" s="169"/>
      <c r="J60" s="169"/>
      <c r="O60" s="578" t="s">
        <v>16</v>
      </c>
      <c r="P60" s="580"/>
      <c r="Q60" s="580">
        <f t="shared" si="1"/>
        <v>1.6113521641665614</v>
      </c>
      <c r="R60" s="580">
        <f t="shared" si="0"/>
        <v>2.7910989412951999</v>
      </c>
      <c r="S60" s="578"/>
      <c r="T60" s="1351"/>
      <c r="U60" s="1351"/>
      <c r="V60" s="1351"/>
      <c r="W60" s="1351"/>
      <c r="BH60" s="1354"/>
      <c r="BI60" s="1354"/>
      <c r="BJ60" s="1354"/>
      <c r="BK60" s="1354"/>
    </row>
    <row r="61" spans="1:63" ht="20" customHeight="1">
      <c r="A61" s="43"/>
      <c r="B61" s="170"/>
      <c r="C61" s="169"/>
      <c r="D61" s="169"/>
      <c r="E61" s="169"/>
      <c r="F61" s="169"/>
      <c r="G61" s="169"/>
      <c r="H61" s="169"/>
      <c r="I61" s="169"/>
      <c r="J61" s="169"/>
      <c r="O61" s="578" t="s">
        <v>17</v>
      </c>
      <c r="P61" s="580"/>
      <c r="Q61" s="580">
        <f t="shared" si="1"/>
        <v>0.74997544002416139</v>
      </c>
      <c r="R61" s="580">
        <f t="shared" si="0"/>
        <v>0.86137672414239996</v>
      </c>
      <c r="S61" s="578"/>
      <c r="T61" s="1351"/>
      <c r="U61" s="1351"/>
      <c r="V61" s="1351"/>
      <c r="W61" s="1351"/>
      <c r="BH61" s="1354"/>
      <c r="BI61" s="1354"/>
      <c r="BJ61" s="1354"/>
      <c r="BK61" s="1354"/>
    </row>
    <row r="62" spans="1:63" ht="20" customHeight="1">
      <c r="A62" s="43"/>
      <c r="B62" s="170"/>
      <c r="C62" s="169"/>
      <c r="D62" s="169"/>
      <c r="E62" s="169"/>
      <c r="F62" s="169"/>
      <c r="G62" s="169"/>
      <c r="H62" s="169"/>
      <c r="I62" s="169"/>
      <c r="J62" s="169"/>
      <c r="O62" s="578" t="s">
        <v>771</v>
      </c>
      <c r="P62" s="580"/>
      <c r="Q62" s="580">
        <f t="shared" si="1"/>
        <v>0.72971694417237154</v>
      </c>
      <c r="R62" s="580">
        <f t="shared" si="0"/>
        <v>2.0258495851789848E-2</v>
      </c>
      <c r="S62" s="578"/>
      <c r="T62" s="1351"/>
      <c r="U62" s="1351"/>
      <c r="V62" s="1351"/>
      <c r="W62" s="1351"/>
      <c r="BH62" s="1354"/>
      <c r="BI62" s="1354"/>
      <c r="BJ62" s="1354"/>
      <c r="BK62" s="1354"/>
    </row>
    <row r="63" spans="1:63" ht="20" customHeight="1">
      <c r="A63" s="43"/>
      <c r="B63" s="170"/>
      <c r="C63" s="169"/>
      <c r="D63" s="169"/>
      <c r="E63" s="169"/>
      <c r="F63" s="169"/>
      <c r="G63" s="169"/>
      <c r="H63" s="169"/>
      <c r="I63" s="169"/>
      <c r="J63" s="169"/>
      <c r="O63" s="578" t="s">
        <v>19</v>
      </c>
      <c r="P63" s="580"/>
      <c r="Q63" s="580">
        <f t="shared" si="1"/>
        <v>0.72971694417237154</v>
      </c>
      <c r="R63" s="580">
        <f t="shared" si="0"/>
        <v>0</v>
      </c>
      <c r="S63" s="578"/>
      <c r="T63" s="1351"/>
      <c r="U63" s="1351"/>
      <c r="V63" s="1351"/>
      <c r="W63" s="1351"/>
      <c r="BH63" s="1354"/>
      <c r="BI63" s="1354"/>
      <c r="BJ63" s="1354"/>
      <c r="BK63" s="1354"/>
    </row>
    <row r="64" spans="1:63" ht="20" customHeight="1">
      <c r="A64" s="43"/>
      <c r="B64" s="170"/>
      <c r="C64" s="169"/>
      <c r="D64" s="169"/>
      <c r="E64" s="169"/>
      <c r="F64" s="169"/>
      <c r="G64" s="169"/>
      <c r="H64" s="169"/>
      <c r="I64" s="169"/>
      <c r="J64" s="169"/>
      <c r="O64" s="578" t="s">
        <v>20</v>
      </c>
      <c r="P64" s="580"/>
      <c r="Q64" s="580">
        <f t="shared" si="1"/>
        <v>0.72971694417237154</v>
      </c>
      <c r="R64" s="580">
        <f t="shared" si="0"/>
        <v>0</v>
      </c>
      <c r="S64" s="578"/>
      <c r="T64" s="1351"/>
      <c r="U64" s="1351"/>
      <c r="V64" s="1351"/>
      <c r="W64" s="1351"/>
      <c r="BH64" s="1354"/>
      <c r="BI64" s="1354"/>
      <c r="BJ64" s="1354"/>
      <c r="BK64" s="1354"/>
    </row>
    <row r="65" spans="1:63" ht="20" customHeight="1">
      <c r="A65" s="43"/>
      <c r="B65" s="170"/>
      <c r="C65" s="169"/>
      <c r="D65" s="169"/>
      <c r="E65" s="169"/>
      <c r="F65" s="169"/>
      <c r="G65" s="169"/>
      <c r="H65" s="169"/>
      <c r="I65" s="169"/>
      <c r="J65" s="169"/>
      <c r="O65" s="578" t="s">
        <v>772</v>
      </c>
      <c r="P65" s="580"/>
      <c r="Q65" s="580">
        <f t="shared" si="1"/>
        <v>0.42971694417237155</v>
      </c>
      <c r="R65" s="580">
        <f t="shared" si="0"/>
        <v>0.3</v>
      </c>
      <c r="S65" s="578"/>
      <c r="T65" s="1351"/>
      <c r="U65" s="1351"/>
      <c r="V65" s="1351"/>
      <c r="W65" s="1351"/>
      <c r="BH65" s="1354"/>
      <c r="BI65" s="1354"/>
      <c r="BJ65" s="1354"/>
      <c r="BK65" s="1354"/>
    </row>
    <row r="66" spans="1:63" ht="20" customHeight="1">
      <c r="A66" s="43"/>
      <c r="B66" s="170"/>
      <c r="C66" s="169"/>
      <c r="D66" s="169"/>
      <c r="E66" s="169"/>
      <c r="F66" s="169"/>
      <c r="G66" s="169"/>
      <c r="H66" s="169"/>
      <c r="I66" s="169"/>
      <c r="J66" s="169"/>
      <c r="O66" s="578" t="s">
        <v>773</v>
      </c>
      <c r="P66" s="580"/>
      <c r="Q66" s="580">
        <f t="shared" si="1"/>
        <v>0.37826094417237155</v>
      </c>
      <c r="R66" s="580">
        <f t="shared" si="0"/>
        <v>5.1456000000000002E-2</v>
      </c>
      <c r="S66" s="578"/>
      <c r="T66" s="1351"/>
      <c r="U66" s="1351"/>
      <c r="V66" s="1351"/>
      <c r="W66" s="1351"/>
      <c r="BH66" s="1354"/>
      <c r="BI66" s="1354"/>
      <c r="BJ66" s="1354"/>
      <c r="BK66" s="1354"/>
    </row>
    <row r="67" spans="1:63" ht="20" customHeight="1">
      <c r="A67" s="43"/>
      <c r="B67" s="170"/>
      <c r="C67" s="169"/>
      <c r="D67" s="169"/>
      <c r="E67" s="169"/>
      <c r="F67" s="169"/>
      <c r="G67" s="169"/>
      <c r="H67" s="169"/>
      <c r="I67" s="169"/>
      <c r="J67" s="169"/>
      <c r="O67" s="578" t="s">
        <v>774</v>
      </c>
      <c r="P67" s="580"/>
      <c r="Q67" s="580">
        <f t="shared" si="1"/>
        <v>0.37826094417237155</v>
      </c>
      <c r="R67" s="580">
        <f t="shared" si="0"/>
        <v>0</v>
      </c>
      <c r="S67" s="578"/>
      <c r="T67" s="1351"/>
      <c r="U67" s="1351"/>
      <c r="V67" s="1351"/>
      <c r="W67" s="1351"/>
      <c r="BH67" s="1354"/>
      <c r="BI67" s="1354"/>
      <c r="BJ67" s="1354"/>
      <c r="BK67" s="1354"/>
    </row>
    <row r="68" spans="1:63" ht="20" customHeight="1">
      <c r="A68" s="43"/>
      <c r="B68" s="170"/>
      <c r="C68" s="169"/>
      <c r="D68" s="169"/>
      <c r="E68" s="169"/>
      <c r="F68" s="169"/>
      <c r="G68" s="169"/>
      <c r="H68" s="169"/>
      <c r="I68" s="169"/>
      <c r="J68" s="169"/>
      <c r="O68" s="578" t="s">
        <v>775</v>
      </c>
      <c r="P68" s="580"/>
      <c r="Q68" s="580">
        <f t="shared" si="1"/>
        <v>0.22514028417237156</v>
      </c>
      <c r="R68" s="580">
        <f t="shared" si="0"/>
        <v>0.15312065999999999</v>
      </c>
      <c r="S68" s="578"/>
      <c r="T68" s="1351"/>
      <c r="U68" s="1351"/>
      <c r="V68" s="1351"/>
      <c r="W68" s="1351"/>
      <c r="BH68" s="1354"/>
      <c r="BI68" s="1354"/>
      <c r="BJ68" s="1354"/>
      <c r="BK68" s="1354"/>
    </row>
    <row r="69" spans="1:63" ht="20" customHeight="1">
      <c r="A69" s="43"/>
      <c r="B69" s="170"/>
      <c r="C69" s="169"/>
      <c r="D69" s="169"/>
      <c r="E69" s="169"/>
      <c r="F69" s="169"/>
      <c r="G69" s="169"/>
      <c r="H69" s="169"/>
      <c r="I69" s="169"/>
      <c r="J69" s="169"/>
      <c r="O69" s="580" t="s">
        <v>30</v>
      </c>
      <c r="P69" s="580"/>
      <c r="Q69" s="580">
        <f t="shared" si="1"/>
        <v>0.22514028417237156</v>
      </c>
      <c r="R69" s="580">
        <f t="shared" si="0"/>
        <v>0</v>
      </c>
      <c r="S69" s="578"/>
      <c r="T69" s="1351"/>
      <c r="U69" s="1351"/>
      <c r="V69" s="1351"/>
      <c r="W69" s="1351"/>
      <c r="BH69" s="1354"/>
      <c r="BI69" s="1354"/>
      <c r="BJ69" s="1354"/>
      <c r="BK69" s="1354"/>
    </row>
    <row r="70" spans="1:63" ht="20" customHeight="1">
      <c r="A70" s="43"/>
      <c r="B70" s="170"/>
      <c r="C70" s="169"/>
      <c r="D70" s="169"/>
      <c r="E70" s="169"/>
      <c r="F70" s="169"/>
      <c r="G70" s="169"/>
      <c r="H70" s="169"/>
      <c r="I70" s="169"/>
      <c r="J70" s="169"/>
      <c r="O70" s="580" t="s">
        <v>31</v>
      </c>
      <c r="P70" s="580"/>
      <c r="Q70" s="580">
        <f t="shared" si="1"/>
        <v>0.15014028417237157</v>
      </c>
      <c r="R70" s="580">
        <f t="shared" si="0"/>
        <v>7.4999999999999997E-2</v>
      </c>
      <c r="S70" s="578"/>
      <c r="T70" s="1351"/>
      <c r="U70" s="1351"/>
      <c r="V70" s="1351"/>
      <c r="W70" s="1351"/>
      <c r="BH70" s="1354"/>
      <c r="BI70" s="1354"/>
      <c r="BJ70" s="1354"/>
      <c r="BK70" s="1354"/>
    </row>
    <row r="71" spans="1:63" ht="20" customHeight="1">
      <c r="A71" s="43"/>
      <c r="B71" s="170"/>
      <c r="C71" s="169"/>
      <c r="D71" s="169"/>
      <c r="E71" s="169"/>
      <c r="F71" s="169"/>
      <c r="G71" s="169"/>
      <c r="H71" s="169"/>
      <c r="I71" s="169"/>
      <c r="J71" s="169"/>
      <c r="O71" s="580" t="s">
        <v>32</v>
      </c>
      <c r="P71" s="580"/>
      <c r="Q71" s="580">
        <f t="shared" si="1"/>
        <v>1.4028417237157975E-4</v>
      </c>
      <c r="R71" s="580">
        <f t="shared" si="0"/>
        <v>0.15</v>
      </c>
      <c r="S71" s="578"/>
      <c r="T71" s="1351"/>
      <c r="U71" s="1351"/>
      <c r="V71" s="1351"/>
      <c r="W71" s="1351"/>
      <c r="BH71" s="1354"/>
      <c r="BI71" s="1354"/>
      <c r="BJ71" s="1354"/>
      <c r="BK71" s="1354"/>
    </row>
    <row r="72" spans="1:63" ht="20" customHeight="1">
      <c r="A72" s="43"/>
      <c r="B72" s="170"/>
      <c r="C72" s="169"/>
      <c r="D72" s="169"/>
      <c r="E72" s="169"/>
      <c r="F72" s="169"/>
      <c r="G72" s="169"/>
      <c r="H72" s="169"/>
      <c r="I72" s="169"/>
      <c r="J72" s="169"/>
      <c r="O72" s="580" t="s">
        <v>33</v>
      </c>
      <c r="P72" s="580"/>
      <c r="Q72" s="580">
        <f t="shared" si="1"/>
        <v>1.4028417237157975E-4</v>
      </c>
      <c r="R72" s="580">
        <f t="shared" si="0"/>
        <v>0</v>
      </c>
      <c r="S72" s="578"/>
      <c r="T72" s="1351"/>
      <c r="U72" s="1351"/>
      <c r="V72" s="1351"/>
      <c r="W72" s="1351"/>
      <c r="BH72" s="1354"/>
      <c r="BI72" s="1354"/>
      <c r="BJ72" s="1354"/>
      <c r="BK72" s="1354"/>
    </row>
    <row r="73" spans="1:63" ht="20" customHeight="1">
      <c r="A73" s="43"/>
      <c r="B73" s="170"/>
      <c r="C73" s="2167" t="s">
        <v>1705</v>
      </c>
      <c r="D73" s="2167"/>
      <c r="E73" s="2167"/>
      <c r="F73" s="2167"/>
      <c r="G73" s="2167"/>
      <c r="H73" s="2167"/>
      <c r="I73" s="2167"/>
      <c r="J73" s="2167"/>
      <c r="K73" s="2167"/>
      <c r="L73" s="2167"/>
      <c r="M73" s="2167"/>
      <c r="O73" s="580" t="s">
        <v>213</v>
      </c>
      <c r="P73" s="580"/>
      <c r="Q73" s="580">
        <f t="shared" si="1"/>
        <v>1.4028417237157975E-4</v>
      </c>
      <c r="R73" s="580">
        <f t="shared" si="0"/>
        <v>0</v>
      </c>
      <c r="S73" s="578"/>
      <c r="T73" s="1351"/>
      <c r="U73" s="1351"/>
      <c r="V73" s="1351"/>
      <c r="W73" s="1351"/>
      <c r="BH73" s="1354"/>
      <c r="BI73" s="1354"/>
      <c r="BJ73" s="1354"/>
      <c r="BK73" s="1354"/>
    </row>
    <row r="74" spans="1:63" ht="20" customHeight="1">
      <c r="A74" s="43"/>
      <c r="B74" s="170"/>
      <c r="C74" s="169"/>
      <c r="D74" s="169"/>
      <c r="E74" s="169"/>
      <c r="F74" s="169"/>
      <c r="G74" s="169"/>
      <c r="H74" s="169"/>
      <c r="I74" s="169"/>
      <c r="J74" s="169"/>
      <c r="O74" s="580"/>
      <c r="P74" s="580"/>
      <c r="Q74" s="580"/>
      <c r="R74" s="580"/>
      <c r="S74" s="578"/>
      <c r="T74" s="1351"/>
      <c r="U74" s="1351"/>
      <c r="V74" s="1351"/>
      <c r="W74" s="1351"/>
      <c r="BH74" s="1354"/>
      <c r="BI74" s="1354"/>
      <c r="BJ74" s="1354"/>
      <c r="BK74" s="1354"/>
    </row>
    <row r="75" spans="1:63" ht="20" customHeight="1">
      <c r="A75" s="43"/>
      <c r="B75" s="2166" t="s">
        <v>777</v>
      </c>
      <c r="C75" s="2166"/>
      <c r="D75" s="2166"/>
      <c r="E75" s="2166"/>
      <c r="F75" s="2166"/>
      <c r="G75" s="2166"/>
      <c r="H75" s="2166"/>
      <c r="I75" s="2166"/>
      <c r="J75" s="2166"/>
      <c r="K75" s="2166"/>
      <c r="L75" s="2166"/>
      <c r="M75" s="2166"/>
      <c r="O75" s="578"/>
      <c r="P75" s="578"/>
      <c r="Q75" s="578"/>
      <c r="R75" s="578"/>
      <c r="S75" s="578"/>
      <c r="T75" s="1351"/>
      <c r="U75" s="1351"/>
      <c r="V75" s="1351"/>
      <c r="W75" s="1351"/>
      <c r="BH75" s="1354"/>
      <c r="BI75" s="1354"/>
      <c r="BJ75" s="1354"/>
      <c r="BK75" s="1354"/>
    </row>
    <row r="76" spans="1:63" ht="20" customHeight="1">
      <c r="A76" s="43"/>
      <c r="B76" s="170"/>
      <c r="C76" s="169"/>
      <c r="D76" s="169"/>
      <c r="E76" s="169"/>
      <c r="F76" s="169"/>
      <c r="G76" s="169"/>
      <c r="H76" s="169"/>
      <c r="I76" s="169"/>
      <c r="J76" s="169"/>
      <c r="O76" s="578"/>
      <c r="P76" s="578" t="s">
        <v>172</v>
      </c>
      <c r="Q76" s="578" t="s">
        <v>779</v>
      </c>
      <c r="R76" s="578" t="s">
        <v>778</v>
      </c>
      <c r="S76" s="578" t="s">
        <v>762</v>
      </c>
      <c r="T76" s="1351"/>
      <c r="U76" s="1351"/>
      <c r="V76" s="1351"/>
      <c r="W76" s="1351"/>
      <c r="BH76" s="1354"/>
      <c r="BI76" s="1354"/>
      <c r="BJ76" s="1354"/>
      <c r="BK76" s="1354"/>
    </row>
    <row r="77" spans="1:63" ht="20" customHeight="1">
      <c r="A77" s="43"/>
      <c r="B77" s="170"/>
      <c r="C77" s="169"/>
      <c r="D77" s="169"/>
      <c r="E77" s="169"/>
      <c r="F77" s="169"/>
      <c r="G77" s="169"/>
      <c r="H77" s="169"/>
      <c r="I77" s="169"/>
      <c r="J77" s="169"/>
      <c r="O77" s="578" t="s">
        <v>1</v>
      </c>
      <c r="P77" s="580">
        <f>(Overview!H14+Overview!H16+Overview!H17)/1000000</f>
        <v>5.4950489775100291</v>
      </c>
      <c r="Q77" s="580">
        <f>(Overview!H19+Overview!H20)/1000000</f>
        <v>0.22500000000000001</v>
      </c>
      <c r="R77" s="580" t="e">
        <f>(Overview!H15+Overview!H18)/1000000</f>
        <v>#VALUE!</v>
      </c>
      <c r="S77" s="578"/>
      <c r="T77" s="1351"/>
      <c r="U77" s="1351"/>
      <c r="V77" s="1351"/>
      <c r="W77" s="1351"/>
      <c r="BH77" s="1354"/>
      <c r="BI77" s="1354"/>
      <c r="BJ77" s="1354"/>
      <c r="BK77" s="1354"/>
    </row>
    <row r="78" spans="1:63" ht="20" customHeight="1">
      <c r="A78" s="43"/>
      <c r="B78" s="170"/>
      <c r="C78" s="169"/>
      <c r="D78" s="169"/>
      <c r="E78" s="169"/>
      <c r="F78" s="169"/>
      <c r="G78" s="169"/>
      <c r="H78" s="169"/>
      <c r="I78" s="169"/>
      <c r="J78" s="169"/>
      <c r="O78" s="578" t="s">
        <v>2</v>
      </c>
      <c r="P78" s="580">
        <f>(Overview!I14+Overview!I16)/1000000</f>
        <v>3.0593860783176003</v>
      </c>
      <c r="Q78" s="578"/>
      <c r="R78" s="578"/>
      <c r="S78" s="578"/>
      <c r="T78" s="1351"/>
      <c r="U78" s="1351"/>
      <c r="V78" s="1351"/>
      <c r="W78" s="1351"/>
      <c r="BH78" s="1354"/>
      <c r="BI78" s="1354"/>
      <c r="BJ78" s="1354"/>
      <c r="BK78" s="1354"/>
    </row>
    <row r="79" spans="1:63" ht="20" customHeight="1">
      <c r="A79" s="43"/>
      <c r="B79" s="170"/>
      <c r="C79" s="169"/>
      <c r="D79" s="169"/>
      <c r="E79" s="169"/>
      <c r="F79" s="169"/>
      <c r="G79" s="169"/>
      <c r="H79" s="169"/>
      <c r="I79" s="169"/>
      <c r="J79" s="169"/>
      <c r="O79" s="578" t="s">
        <v>3</v>
      </c>
      <c r="P79" s="580">
        <f>Overview!J17/1000000</f>
        <v>0.18742465999999999</v>
      </c>
      <c r="Q79" s="580">
        <f>(Overview!J14+Overview!J16)/1000000</f>
        <v>0</v>
      </c>
      <c r="R79" s="578"/>
      <c r="S79" s="580">
        <f>Overview!J21/1000000</f>
        <v>0.16800000000000001</v>
      </c>
      <c r="T79" s="1351"/>
      <c r="U79" s="1351"/>
      <c r="V79" s="1351"/>
      <c r="W79" s="1351"/>
      <c r="BH79" s="1354"/>
      <c r="BI79" s="1354"/>
      <c r="BJ79" s="1354"/>
      <c r="BK79" s="1354"/>
    </row>
    <row r="80" spans="1:63" ht="20" customHeight="1">
      <c r="A80" s="43"/>
      <c r="B80" s="170"/>
      <c r="C80" s="169"/>
      <c r="D80" s="169"/>
      <c r="E80" s="169"/>
      <c r="F80" s="169"/>
      <c r="G80" s="169"/>
      <c r="H80" s="169"/>
      <c r="I80" s="169"/>
      <c r="J80" s="169"/>
      <c r="O80" s="578"/>
      <c r="P80" s="578"/>
      <c r="Q80" s="578"/>
      <c r="R80" s="578"/>
      <c r="S80" s="578"/>
      <c r="T80" s="1351"/>
      <c r="U80" s="1351"/>
      <c r="V80" s="1351"/>
      <c r="W80" s="1351"/>
      <c r="BH80" s="1354"/>
      <c r="BI80" s="1354"/>
      <c r="BJ80" s="1354"/>
      <c r="BK80" s="1354"/>
    </row>
    <row r="81" spans="1:63" ht="20" customHeight="1">
      <c r="A81" s="43"/>
      <c r="B81" s="170"/>
      <c r="C81" s="169"/>
      <c r="D81" s="169"/>
      <c r="E81" s="169"/>
      <c r="F81" s="169"/>
      <c r="G81" s="169"/>
      <c r="H81" s="169"/>
      <c r="I81" s="169"/>
      <c r="J81" s="169"/>
      <c r="O81" s="578"/>
      <c r="P81" s="578"/>
      <c r="Q81" s="578"/>
      <c r="R81" s="578"/>
      <c r="S81" s="578"/>
      <c r="T81" s="1351"/>
      <c r="U81" s="1351"/>
      <c r="V81" s="1351"/>
      <c r="W81" s="1351"/>
      <c r="BH81" s="1354"/>
      <c r="BI81" s="1354"/>
      <c r="BJ81" s="1354"/>
      <c r="BK81" s="1354"/>
    </row>
    <row r="82" spans="1:63" ht="20" customHeight="1">
      <c r="A82" s="43"/>
      <c r="B82" s="170"/>
      <c r="C82" s="169"/>
      <c r="D82" s="169"/>
      <c r="E82" s="169"/>
      <c r="F82" s="169"/>
      <c r="G82" s="169"/>
      <c r="H82" s="169"/>
      <c r="I82" s="169"/>
      <c r="J82" s="169"/>
      <c r="O82" s="578"/>
      <c r="P82" s="578"/>
      <c r="Q82" s="578"/>
      <c r="R82" s="578"/>
      <c r="S82" s="578"/>
      <c r="T82" s="1351"/>
      <c r="U82" s="1351"/>
      <c r="V82" s="1351"/>
      <c r="W82" s="1351"/>
      <c r="BH82" s="1354"/>
      <c r="BI82" s="1354"/>
      <c r="BJ82" s="1354"/>
      <c r="BK82" s="1354"/>
    </row>
    <row r="83" spans="1:63" ht="20" customHeight="1">
      <c r="A83" s="43"/>
      <c r="B83" s="170"/>
      <c r="C83" s="169"/>
      <c r="D83" s="169"/>
      <c r="E83" s="169"/>
      <c r="F83" s="169"/>
      <c r="G83" s="169"/>
      <c r="H83" s="169"/>
      <c r="I83" s="169"/>
      <c r="J83" s="169"/>
      <c r="O83" s="578"/>
      <c r="P83" s="578"/>
      <c r="Q83" s="578"/>
      <c r="R83" s="578"/>
      <c r="S83" s="578"/>
      <c r="T83" s="1351"/>
      <c r="U83" s="1351"/>
      <c r="V83" s="1351"/>
      <c r="W83" s="1351"/>
      <c r="BH83" s="1354"/>
      <c r="BI83" s="1354"/>
      <c r="BJ83" s="1354"/>
      <c r="BK83" s="1354"/>
    </row>
    <row r="84" spans="1:63" ht="20" customHeight="1">
      <c r="A84" s="43"/>
      <c r="B84" s="170"/>
      <c r="C84" s="169"/>
      <c r="D84" s="169"/>
      <c r="E84" s="169"/>
      <c r="F84" s="169"/>
      <c r="G84" s="169"/>
      <c r="H84" s="169"/>
      <c r="I84" s="169"/>
      <c r="J84" s="169"/>
      <c r="O84" s="578"/>
      <c r="P84" s="578"/>
      <c r="Q84" s="578"/>
      <c r="R84" s="578"/>
      <c r="S84" s="578"/>
      <c r="T84" s="1351"/>
      <c r="U84" s="1351"/>
      <c r="V84" s="1351"/>
      <c r="W84" s="1351"/>
      <c r="BH84" s="1354"/>
      <c r="BI84" s="1354"/>
      <c r="BJ84" s="1354"/>
      <c r="BK84" s="1354"/>
    </row>
    <row r="85" spans="1:63" ht="20" customHeight="1">
      <c r="A85" s="43"/>
      <c r="B85" s="170"/>
      <c r="C85" s="169"/>
      <c r="D85" s="169"/>
      <c r="E85" s="169"/>
      <c r="F85" s="169"/>
      <c r="G85" s="169"/>
      <c r="H85" s="169"/>
      <c r="I85" s="169"/>
      <c r="J85" s="169"/>
      <c r="O85" s="578"/>
      <c r="P85" s="578"/>
      <c r="Q85" s="578"/>
      <c r="R85" s="578"/>
      <c r="S85" s="578"/>
      <c r="T85" s="1351"/>
      <c r="U85" s="1351"/>
      <c r="V85" s="1351"/>
      <c r="W85" s="1351"/>
      <c r="BH85" s="1354"/>
      <c r="BI85" s="1354"/>
      <c r="BJ85" s="1354"/>
      <c r="BK85" s="1354"/>
    </row>
    <row r="86" spans="1:63" ht="20" customHeight="1">
      <c r="A86" s="43"/>
      <c r="B86" s="170"/>
      <c r="C86" s="169"/>
      <c r="D86" s="169"/>
      <c r="E86" s="169"/>
      <c r="F86" s="169"/>
      <c r="G86" s="169"/>
      <c r="H86" s="169"/>
      <c r="I86" s="169"/>
      <c r="J86" s="169"/>
      <c r="O86" s="578"/>
      <c r="P86" s="578"/>
      <c r="Q86" s="578"/>
      <c r="R86" s="578"/>
      <c r="S86" s="578"/>
      <c r="T86" s="1351"/>
      <c r="U86" s="1351"/>
      <c r="V86" s="1351"/>
      <c r="W86" s="1351"/>
      <c r="BH86" s="1354"/>
      <c r="BI86" s="1354"/>
      <c r="BJ86" s="1354"/>
      <c r="BK86" s="1354"/>
    </row>
    <row r="87" spans="1:63" ht="20" customHeight="1">
      <c r="A87" s="43"/>
      <c r="B87" s="170"/>
      <c r="C87" s="169"/>
      <c r="D87" s="169"/>
      <c r="E87" s="169"/>
      <c r="F87" s="169"/>
      <c r="G87" s="169"/>
      <c r="H87" s="169"/>
      <c r="I87" s="169"/>
      <c r="J87" s="169"/>
      <c r="O87" s="578"/>
      <c r="P87" s="578"/>
      <c r="Q87" s="578"/>
      <c r="R87" s="578"/>
      <c r="S87" s="578"/>
      <c r="T87" s="1351"/>
      <c r="U87" s="1351"/>
      <c r="V87" s="1351"/>
      <c r="W87" s="1351"/>
      <c r="BH87" s="1354"/>
      <c r="BI87" s="1354"/>
      <c r="BJ87" s="1354"/>
      <c r="BK87" s="1354"/>
    </row>
    <row r="88" spans="1:63" ht="20" customHeight="1">
      <c r="A88" s="43"/>
      <c r="B88" s="170"/>
      <c r="C88" s="169"/>
      <c r="D88" s="169"/>
      <c r="E88" s="169"/>
      <c r="F88" s="169"/>
      <c r="G88" s="169"/>
      <c r="H88" s="169"/>
      <c r="I88" s="169"/>
      <c r="J88" s="169"/>
      <c r="O88" s="578"/>
      <c r="P88" s="578"/>
      <c r="Q88" s="578"/>
      <c r="R88" s="578"/>
      <c r="S88" s="578"/>
      <c r="T88" s="1351"/>
      <c r="U88" s="1351"/>
      <c r="V88" s="1351"/>
      <c r="W88" s="1351"/>
      <c r="BH88" s="1354"/>
      <c r="BI88" s="1354"/>
      <c r="BJ88" s="1354"/>
      <c r="BK88" s="1354"/>
    </row>
    <row r="89" spans="1:63" ht="20" customHeight="1">
      <c r="A89" s="43"/>
      <c r="B89" s="170"/>
      <c r="C89" s="169"/>
      <c r="D89" s="169"/>
      <c r="E89" s="169"/>
      <c r="F89" s="169"/>
      <c r="G89" s="169"/>
      <c r="H89" s="169"/>
      <c r="I89" s="169"/>
      <c r="J89" s="169"/>
      <c r="O89" s="578"/>
      <c r="P89" s="578"/>
      <c r="Q89" s="578"/>
      <c r="R89" s="578"/>
      <c r="S89" s="578"/>
      <c r="T89" s="1351"/>
      <c r="U89" s="1351"/>
      <c r="V89" s="1351"/>
      <c r="W89" s="1351"/>
      <c r="BH89" s="1354"/>
      <c r="BI89" s="1354"/>
      <c r="BJ89" s="1354"/>
      <c r="BK89" s="1354"/>
    </row>
    <row r="90" spans="1:63" ht="20" customHeight="1">
      <c r="A90" s="43"/>
      <c r="B90" s="170"/>
      <c r="C90" s="169"/>
      <c r="D90" s="169"/>
      <c r="E90" s="169"/>
      <c r="F90" s="169"/>
      <c r="G90" s="169"/>
      <c r="H90" s="169"/>
      <c r="I90" s="169"/>
      <c r="J90" s="169"/>
      <c r="S90" s="1351"/>
      <c r="T90" s="1351"/>
      <c r="U90" s="1351"/>
      <c r="V90" s="1351"/>
      <c r="W90" s="1351"/>
      <c r="BH90" s="1354"/>
      <c r="BI90" s="1354"/>
      <c r="BJ90" s="1354"/>
      <c r="BK90" s="1354"/>
    </row>
    <row r="91" spans="1:63" s="1351" customFormat="1" ht="20" customHeight="1">
      <c r="A91" s="43"/>
      <c r="B91" s="170"/>
      <c r="C91" s="169"/>
      <c r="D91" s="169"/>
      <c r="E91" s="169"/>
      <c r="F91" s="169"/>
      <c r="G91" s="169"/>
      <c r="H91" s="169"/>
      <c r="I91" s="169"/>
      <c r="J91" s="169"/>
      <c r="K91" s="169"/>
      <c r="L91" s="169"/>
      <c r="M91" s="169"/>
      <c r="N91" s="169"/>
      <c r="X91" s="1353"/>
      <c r="Y91" s="1353"/>
      <c r="Z91" s="1353"/>
      <c r="AA91" s="1353"/>
      <c r="AB91" s="1353"/>
      <c r="AC91" s="1353"/>
      <c r="AD91" s="1353"/>
      <c r="AE91" s="1353"/>
      <c r="AF91" s="1353"/>
      <c r="AG91" s="1353"/>
      <c r="AH91" s="1353"/>
      <c r="AI91" s="1353"/>
      <c r="AJ91" s="1353"/>
      <c r="AK91" s="1353"/>
      <c r="AL91" s="1353"/>
      <c r="AM91" s="1353"/>
      <c r="AN91" s="1353"/>
      <c r="AO91" s="1353"/>
      <c r="AP91" s="1353"/>
      <c r="AQ91" s="1353"/>
      <c r="AR91" s="1353"/>
      <c r="AS91" s="1353"/>
      <c r="AT91" s="1353"/>
      <c r="AU91" s="1353"/>
      <c r="AV91" s="1353"/>
      <c r="AW91" s="1353"/>
      <c r="AX91" s="1353"/>
      <c r="AY91" s="1353"/>
      <c r="AZ91" s="1353"/>
      <c r="BA91" s="1353"/>
      <c r="BB91" s="1353"/>
      <c r="BC91" s="1353"/>
      <c r="BD91" s="1353"/>
      <c r="BE91" s="1353"/>
      <c r="BF91" s="1353"/>
      <c r="BG91" s="1353"/>
    </row>
    <row r="92" spans="1:63" s="1353" customFormat="1" ht="20" hidden="1" customHeight="1">
      <c r="A92" s="182"/>
      <c r="B92" s="186"/>
      <c r="C92" s="182"/>
      <c r="D92" s="182"/>
      <c r="E92" s="182"/>
      <c r="F92" s="182"/>
      <c r="G92" s="182"/>
      <c r="H92" s="182"/>
      <c r="I92" s="182"/>
      <c r="J92" s="182"/>
      <c r="K92" s="182"/>
      <c r="L92" s="182"/>
      <c r="M92" s="182"/>
      <c r="N92" s="182"/>
    </row>
    <row r="93" spans="1:63" s="1353" customFormat="1" ht="20" hidden="1" customHeight="1">
      <c r="A93" s="182"/>
      <c r="B93" s="186"/>
      <c r="C93" s="182"/>
      <c r="D93" s="182"/>
      <c r="E93" s="182"/>
      <c r="F93" s="182"/>
      <c r="G93" s="182"/>
      <c r="H93" s="182"/>
      <c r="I93" s="182"/>
      <c r="J93" s="182"/>
      <c r="K93" s="182"/>
      <c r="L93" s="182"/>
      <c r="M93" s="182"/>
      <c r="N93" s="182"/>
    </row>
    <row r="94" spans="1:63" s="1353" customFormat="1" ht="20" hidden="1" customHeight="1">
      <c r="A94" s="182"/>
      <c r="B94" s="186"/>
      <c r="C94" s="182"/>
      <c r="D94" s="182"/>
      <c r="E94" s="182"/>
      <c r="F94" s="182"/>
      <c r="G94" s="182"/>
      <c r="H94" s="182"/>
      <c r="I94" s="182"/>
      <c r="J94" s="182"/>
      <c r="K94" s="182"/>
      <c r="L94" s="182"/>
      <c r="M94" s="182"/>
      <c r="N94" s="182"/>
    </row>
    <row r="95" spans="1:63" s="1353" customFormat="1" ht="20" hidden="1" customHeight="1">
      <c r="A95" s="182"/>
      <c r="B95" s="186"/>
      <c r="C95" s="182"/>
      <c r="D95" s="182"/>
      <c r="E95" s="182"/>
      <c r="F95" s="182"/>
      <c r="G95" s="182"/>
      <c r="H95" s="182"/>
      <c r="I95" s="182"/>
      <c r="J95" s="182"/>
      <c r="K95" s="182"/>
      <c r="L95" s="182"/>
      <c r="M95" s="182"/>
      <c r="N95" s="182"/>
    </row>
    <row r="96" spans="1:63" s="1353" customFormat="1" hidden="1">
      <c r="A96" s="182"/>
      <c r="B96" s="186"/>
      <c r="C96" s="182"/>
      <c r="D96" s="182"/>
      <c r="E96" s="182"/>
      <c r="F96" s="182"/>
      <c r="G96" s="182"/>
      <c r="H96" s="182"/>
      <c r="I96" s="182"/>
      <c r="J96" s="182"/>
      <c r="K96" s="182"/>
      <c r="L96" s="182"/>
      <c r="M96" s="182"/>
      <c r="N96" s="182"/>
    </row>
    <row r="97" spans="1:14" s="1353" customFormat="1" hidden="1">
      <c r="A97" s="182"/>
      <c r="B97" s="186"/>
      <c r="C97" s="182"/>
      <c r="D97" s="182"/>
      <c r="E97" s="182"/>
      <c r="F97" s="182"/>
      <c r="G97" s="182"/>
      <c r="H97" s="182"/>
      <c r="I97" s="182"/>
      <c r="J97" s="182"/>
      <c r="K97" s="182"/>
      <c r="L97" s="182"/>
      <c r="M97" s="182"/>
      <c r="N97" s="182"/>
    </row>
    <row r="98" spans="1:14" s="1353" customFormat="1" hidden="1">
      <c r="A98" s="182"/>
      <c r="B98" s="186"/>
      <c r="C98" s="182"/>
      <c r="D98" s="182"/>
      <c r="E98" s="182"/>
      <c r="F98" s="182"/>
      <c r="G98" s="182"/>
      <c r="H98" s="182"/>
      <c r="I98" s="182"/>
      <c r="J98" s="182"/>
      <c r="K98" s="182"/>
      <c r="L98" s="182"/>
      <c r="M98" s="182"/>
      <c r="N98" s="182"/>
    </row>
    <row r="99" spans="1:14" s="1353" customFormat="1" hidden="1">
      <c r="A99" s="182"/>
      <c r="B99" s="186"/>
      <c r="C99" s="182"/>
      <c r="D99" s="182"/>
      <c r="E99" s="182"/>
      <c r="F99" s="182"/>
      <c r="G99" s="182"/>
      <c r="H99" s="182"/>
      <c r="I99" s="182"/>
      <c r="J99" s="182"/>
      <c r="K99" s="182"/>
      <c r="L99" s="182"/>
      <c r="M99" s="182"/>
      <c r="N99" s="182"/>
    </row>
    <row r="100" spans="1:14" s="1353" customFormat="1" hidden="1">
      <c r="A100" s="182"/>
      <c r="B100" s="186"/>
      <c r="C100" s="182"/>
      <c r="D100" s="182"/>
      <c r="E100" s="182"/>
      <c r="F100" s="182"/>
      <c r="G100" s="182"/>
      <c r="H100" s="182"/>
      <c r="I100" s="182"/>
      <c r="J100" s="182"/>
      <c r="K100" s="182"/>
      <c r="L100" s="182"/>
      <c r="M100" s="182"/>
      <c r="N100" s="182"/>
    </row>
    <row r="101" spans="1:14" s="1353" customFormat="1" hidden="1">
      <c r="A101" s="182"/>
      <c r="B101" s="186"/>
      <c r="C101" s="182"/>
      <c r="D101" s="182"/>
      <c r="E101" s="182"/>
      <c r="F101" s="182"/>
      <c r="G101" s="182"/>
      <c r="H101" s="182"/>
      <c r="I101" s="182"/>
      <c r="J101" s="182"/>
      <c r="K101" s="182"/>
      <c r="L101" s="182"/>
      <c r="M101" s="182"/>
      <c r="N101" s="182"/>
    </row>
    <row r="102" spans="1:14" s="1353" customFormat="1" hidden="1">
      <c r="A102" s="182"/>
      <c r="B102" s="186"/>
      <c r="C102" s="182"/>
      <c r="D102" s="182"/>
      <c r="E102" s="182"/>
      <c r="F102" s="182"/>
      <c r="G102" s="182"/>
      <c r="H102" s="182"/>
      <c r="I102" s="182"/>
      <c r="J102" s="182"/>
      <c r="K102" s="182"/>
      <c r="L102" s="182"/>
      <c r="M102" s="182"/>
      <c r="N102" s="182"/>
    </row>
    <row r="103" spans="1:14" s="1353" customFormat="1" hidden="1">
      <c r="A103" s="182"/>
      <c r="B103" s="186"/>
      <c r="C103" s="182"/>
      <c r="D103" s="182"/>
      <c r="E103" s="182"/>
      <c r="F103" s="182"/>
      <c r="G103" s="182"/>
      <c r="H103" s="182"/>
      <c r="I103" s="182"/>
      <c r="J103" s="182"/>
      <c r="K103" s="182"/>
      <c r="L103" s="182"/>
      <c r="M103" s="182"/>
      <c r="N103" s="182"/>
    </row>
    <row r="104" spans="1:14" s="1353" customFormat="1" hidden="1">
      <c r="A104" s="182"/>
      <c r="B104" s="186"/>
      <c r="C104" s="182"/>
      <c r="D104" s="182"/>
      <c r="E104" s="182"/>
      <c r="F104" s="182"/>
      <c r="G104" s="182"/>
      <c r="H104" s="182"/>
      <c r="I104" s="182"/>
      <c r="J104" s="182"/>
      <c r="K104" s="182"/>
      <c r="L104" s="182"/>
      <c r="M104" s="182"/>
      <c r="N104" s="182"/>
    </row>
    <row r="105" spans="1:14" s="1353" customFormat="1" hidden="1">
      <c r="A105" s="182"/>
      <c r="B105" s="186"/>
      <c r="C105" s="182"/>
      <c r="D105" s="182"/>
      <c r="E105" s="182"/>
      <c r="F105" s="182"/>
      <c r="G105" s="182"/>
      <c r="H105" s="182"/>
      <c r="I105" s="182"/>
      <c r="J105" s="182"/>
      <c r="K105" s="182"/>
      <c r="L105" s="182"/>
      <c r="M105" s="182"/>
      <c r="N105" s="182"/>
    </row>
    <row r="106" spans="1:14" s="1353" customFormat="1" hidden="1">
      <c r="A106" s="182"/>
      <c r="B106" s="186"/>
      <c r="C106" s="182"/>
      <c r="D106" s="182"/>
      <c r="E106" s="182"/>
      <c r="F106" s="182"/>
      <c r="G106" s="182"/>
      <c r="H106" s="182"/>
      <c r="I106" s="182"/>
      <c r="J106" s="182"/>
      <c r="K106" s="182"/>
      <c r="L106" s="182"/>
      <c r="M106" s="182"/>
      <c r="N106" s="182"/>
    </row>
    <row r="107" spans="1:14" s="1353" customFormat="1" hidden="1">
      <c r="A107" s="182"/>
      <c r="B107" s="186"/>
      <c r="C107" s="182"/>
      <c r="D107" s="182"/>
      <c r="E107" s="182"/>
      <c r="F107" s="182"/>
      <c r="G107" s="182"/>
      <c r="H107" s="182"/>
      <c r="I107" s="182"/>
      <c r="J107" s="182"/>
      <c r="K107" s="182"/>
      <c r="L107" s="182"/>
      <c r="M107" s="182"/>
      <c r="N107" s="182"/>
    </row>
    <row r="108" spans="1:14" s="1353" customFormat="1" hidden="1">
      <c r="A108" s="182"/>
      <c r="B108" s="186"/>
      <c r="C108" s="182"/>
      <c r="D108" s="182"/>
      <c r="E108" s="182"/>
      <c r="F108" s="182"/>
      <c r="G108" s="182"/>
      <c r="H108" s="182"/>
      <c r="I108" s="182"/>
      <c r="J108" s="182"/>
      <c r="K108" s="182"/>
      <c r="L108" s="182"/>
      <c r="M108" s="182"/>
      <c r="N108" s="182"/>
    </row>
    <row r="109" spans="1:14" s="1353" customFormat="1" hidden="1">
      <c r="A109" s="182"/>
      <c r="B109" s="186"/>
      <c r="C109" s="182"/>
      <c r="D109" s="182"/>
      <c r="E109" s="182"/>
      <c r="F109" s="182"/>
      <c r="G109" s="182"/>
      <c r="H109" s="182"/>
      <c r="I109" s="182"/>
      <c r="J109" s="182"/>
      <c r="K109" s="182"/>
      <c r="L109" s="182"/>
      <c r="M109" s="182"/>
      <c r="N109" s="182"/>
    </row>
    <row r="110" spans="1:14" s="1353" customFormat="1" hidden="1">
      <c r="A110" s="182"/>
      <c r="B110" s="186"/>
      <c r="C110" s="182"/>
      <c r="D110" s="182"/>
      <c r="E110" s="182"/>
      <c r="F110" s="182"/>
      <c r="G110" s="182"/>
      <c r="H110" s="182"/>
      <c r="I110" s="182"/>
      <c r="J110" s="182"/>
      <c r="K110" s="182"/>
      <c r="L110" s="182"/>
      <c r="M110" s="182"/>
      <c r="N110" s="182"/>
    </row>
    <row r="111" spans="1:14" s="1353" customFormat="1" hidden="1">
      <c r="A111" s="182"/>
      <c r="B111" s="186"/>
      <c r="C111" s="182"/>
      <c r="D111" s="182"/>
      <c r="E111" s="182"/>
      <c r="F111" s="182"/>
      <c r="G111" s="182"/>
      <c r="H111" s="182"/>
      <c r="I111" s="182"/>
      <c r="J111" s="182"/>
      <c r="K111" s="182"/>
      <c r="L111" s="182"/>
      <c r="M111" s="182"/>
      <c r="N111" s="182"/>
    </row>
    <row r="112" spans="1:14" s="1353" customFormat="1" hidden="1">
      <c r="A112" s="182"/>
      <c r="B112" s="186"/>
      <c r="C112" s="182"/>
      <c r="D112" s="182"/>
      <c r="E112" s="182"/>
      <c r="F112" s="182"/>
      <c r="G112" s="182"/>
      <c r="H112" s="182"/>
      <c r="I112" s="182"/>
      <c r="J112" s="182"/>
      <c r="K112" s="182"/>
      <c r="L112" s="182"/>
      <c r="M112" s="182"/>
      <c r="N112" s="182"/>
    </row>
    <row r="113" spans="1:14" s="1353" customFormat="1" hidden="1">
      <c r="A113" s="182"/>
      <c r="B113" s="186"/>
      <c r="C113" s="182"/>
      <c r="D113" s="182"/>
      <c r="E113" s="182"/>
      <c r="F113" s="182"/>
      <c r="G113" s="182"/>
      <c r="H113" s="182"/>
      <c r="I113" s="182"/>
      <c r="J113" s="182"/>
      <c r="K113" s="182"/>
      <c r="L113" s="182"/>
      <c r="M113" s="182"/>
      <c r="N113" s="182"/>
    </row>
    <row r="114" spans="1:14" s="1353" customFormat="1" hidden="1">
      <c r="A114" s="182"/>
      <c r="B114" s="186"/>
      <c r="C114" s="182"/>
      <c r="D114" s="182"/>
      <c r="E114" s="182"/>
      <c r="F114" s="182"/>
      <c r="G114" s="182"/>
      <c r="H114" s="182"/>
      <c r="I114" s="182"/>
      <c r="J114" s="182"/>
      <c r="K114" s="182"/>
      <c r="L114" s="182"/>
      <c r="M114" s="182"/>
      <c r="N114" s="182"/>
    </row>
    <row r="115" spans="1:14" s="1353" customFormat="1" hidden="1">
      <c r="A115" s="182"/>
      <c r="B115" s="186"/>
      <c r="C115" s="182"/>
      <c r="D115" s="182"/>
      <c r="E115" s="182"/>
      <c r="F115" s="182"/>
      <c r="G115" s="182"/>
      <c r="H115" s="182"/>
      <c r="I115" s="182"/>
      <c r="J115" s="182"/>
      <c r="K115" s="182"/>
      <c r="L115" s="182"/>
      <c r="M115" s="182"/>
      <c r="N115" s="182"/>
    </row>
    <row r="116" spans="1:14" s="1353" customFormat="1" hidden="1">
      <c r="A116" s="182"/>
      <c r="B116" s="186"/>
      <c r="C116" s="182"/>
      <c r="D116" s="182"/>
      <c r="E116" s="182"/>
      <c r="F116" s="182"/>
      <c r="G116" s="182"/>
      <c r="H116" s="182"/>
      <c r="I116" s="182"/>
      <c r="J116" s="182"/>
      <c r="K116" s="182"/>
      <c r="L116" s="182"/>
      <c r="M116" s="182"/>
      <c r="N116" s="182"/>
    </row>
    <row r="117" spans="1:14" s="1353" customFormat="1" hidden="1">
      <c r="A117" s="182"/>
      <c r="B117" s="186"/>
      <c r="C117" s="182"/>
      <c r="D117" s="182"/>
      <c r="E117" s="182"/>
      <c r="F117" s="182"/>
      <c r="G117" s="182"/>
      <c r="H117" s="182"/>
      <c r="I117" s="182"/>
      <c r="J117" s="182"/>
      <c r="K117" s="182"/>
      <c r="L117" s="182"/>
      <c r="M117" s="182"/>
      <c r="N117" s="182"/>
    </row>
    <row r="118" spans="1:14" s="1353" customFormat="1" hidden="1">
      <c r="A118" s="182"/>
      <c r="B118" s="186"/>
      <c r="C118" s="182"/>
      <c r="D118" s="182"/>
      <c r="E118" s="182"/>
      <c r="F118" s="182"/>
      <c r="G118" s="182"/>
      <c r="H118" s="182"/>
      <c r="I118" s="182"/>
      <c r="J118" s="182"/>
      <c r="K118" s="182"/>
      <c r="L118" s="182"/>
      <c r="M118" s="182"/>
      <c r="N118" s="182"/>
    </row>
    <row r="119" spans="1:14" s="1353" customFormat="1" hidden="1">
      <c r="A119" s="182"/>
      <c r="B119" s="186"/>
      <c r="C119" s="182"/>
      <c r="D119" s="182"/>
      <c r="E119" s="182"/>
      <c r="F119" s="182"/>
      <c r="G119" s="182"/>
      <c r="H119" s="182"/>
      <c r="I119" s="182"/>
      <c r="J119" s="182"/>
      <c r="K119" s="182"/>
      <c r="L119" s="182"/>
      <c r="M119" s="182"/>
      <c r="N119" s="182"/>
    </row>
    <row r="120" spans="1:14" s="1353" customFormat="1" hidden="1">
      <c r="A120" s="182"/>
      <c r="B120" s="186"/>
      <c r="C120" s="182"/>
      <c r="D120" s="182"/>
      <c r="E120" s="182"/>
      <c r="F120" s="182"/>
      <c r="G120" s="182"/>
      <c r="H120" s="182"/>
      <c r="I120" s="182"/>
      <c r="J120" s="182"/>
      <c r="K120" s="182"/>
      <c r="L120" s="182"/>
      <c r="M120" s="182"/>
      <c r="N120" s="182"/>
    </row>
    <row r="121" spans="1:14" s="1353" customFormat="1" hidden="1">
      <c r="A121" s="182"/>
      <c r="B121" s="186"/>
      <c r="C121" s="182"/>
      <c r="D121" s="182"/>
      <c r="E121" s="182"/>
      <c r="F121" s="182"/>
      <c r="G121" s="182"/>
      <c r="H121" s="182"/>
      <c r="I121" s="182"/>
      <c r="J121" s="182"/>
      <c r="K121" s="182"/>
      <c r="L121" s="182"/>
      <c r="M121" s="182"/>
      <c r="N121" s="182"/>
    </row>
    <row r="122" spans="1:14" s="1353" customFormat="1" hidden="1">
      <c r="A122" s="182"/>
      <c r="B122" s="186"/>
      <c r="C122" s="182"/>
      <c r="D122" s="182"/>
      <c r="E122" s="182"/>
      <c r="F122" s="182"/>
      <c r="G122" s="182"/>
      <c r="H122" s="182"/>
      <c r="I122" s="182"/>
      <c r="J122" s="182"/>
      <c r="K122" s="182"/>
      <c r="L122" s="182"/>
      <c r="M122" s="182"/>
      <c r="N122" s="182"/>
    </row>
    <row r="123" spans="1:14" s="1353" customFormat="1" hidden="1">
      <c r="A123" s="182"/>
      <c r="B123" s="186"/>
      <c r="C123" s="182"/>
      <c r="D123" s="182"/>
      <c r="E123" s="182"/>
      <c r="F123" s="182"/>
      <c r="G123" s="182"/>
      <c r="H123" s="182"/>
      <c r="I123" s="182"/>
      <c r="J123" s="182"/>
      <c r="K123" s="182"/>
      <c r="L123" s="182"/>
      <c r="M123" s="182"/>
      <c r="N123" s="182"/>
    </row>
    <row r="124" spans="1:14" s="1353" customFormat="1" hidden="1">
      <c r="A124" s="182"/>
      <c r="B124" s="186"/>
      <c r="C124" s="182"/>
      <c r="D124" s="182"/>
      <c r="E124" s="182"/>
      <c r="F124" s="182"/>
      <c r="G124" s="182"/>
      <c r="H124" s="182"/>
      <c r="I124" s="182"/>
      <c r="J124" s="182"/>
      <c r="K124" s="182"/>
      <c r="L124" s="182"/>
      <c r="M124" s="182"/>
      <c r="N124" s="182"/>
    </row>
    <row r="125" spans="1:14" s="1353" customFormat="1" hidden="1">
      <c r="A125" s="182"/>
      <c r="B125" s="186"/>
      <c r="C125" s="182"/>
      <c r="D125" s="182"/>
      <c r="E125" s="182"/>
      <c r="F125" s="182"/>
      <c r="G125" s="182"/>
      <c r="H125" s="182"/>
      <c r="I125" s="182"/>
      <c r="J125" s="182"/>
      <c r="K125" s="182"/>
      <c r="L125" s="182"/>
      <c r="M125" s="182"/>
      <c r="N125" s="182"/>
    </row>
    <row r="126" spans="1:14" s="1353" customFormat="1" hidden="1">
      <c r="A126" s="182"/>
      <c r="B126" s="186"/>
      <c r="C126" s="182"/>
      <c r="D126" s="182"/>
      <c r="E126" s="182"/>
      <c r="F126" s="182"/>
      <c r="G126" s="182"/>
      <c r="H126" s="182"/>
      <c r="I126" s="182"/>
      <c r="J126" s="182"/>
      <c r="K126" s="182"/>
      <c r="L126" s="182"/>
      <c r="M126" s="182"/>
      <c r="N126" s="182"/>
    </row>
    <row r="127" spans="1:14" s="1353" customFormat="1" hidden="1">
      <c r="A127" s="182"/>
      <c r="B127" s="186"/>
      <c r="C127" s="182"/>
      <c r="D127" s="182"/>
      <c r="E127" s="182"/>
      <c r="F127" s="182"/>
      <c r="G127" s="182"/>
      <c r="H127" s="182"/>
      <c r="I127" s="182"/>
      <c r="J127" s="182"/>
      <c r="K127" s="182"/>
      <c r="L127" s="182"/>
      <c r="M127" s="182"/>
      <c r="N127" s="182"/>
    </row>
    <row r="128" spans="1:14" s="1353" customFormat="1" hidden="1">
      <c r="A128" s="182"/>
      <c r="B128" s="186"/>
      <c r="C128" s="182"/>
      <c r="D128" s="182"/>
      <c r="E128" s="182"/>
      <c r="F128" s="182"/>
      <c r="G128" s="182"/>
      <c r="H128" s="182"/>
      <c r="I128" s="182"/>
      <c r="J128" s="182"/>
      <c r="K128" s="182"/>
      <c r="L128" s="182"/>
      <c r="M128" s="182"/>
      <c r="N128" s="182"/>
    </row>
    <row r="129" spans="1:14" s="1353" customFormat="1" hidden="1">
      <c r="A129" s="182"/>
      <c r="B129" s="186"/>
      <c r="C129" s="182"/>
      <c r="D129" s="182"/>
      <c r="E129" s="182"/>
      <c r="F129" s="182"/>
      <c r="G129" s="182"/>
      <c r="H129" s="182"/>
      <c r="I129" s="182"/>
      <c r="J129" s="182"/>
      <c r="K129" s="182"/>
      <c r="L129" s="182"/>
      <c r="M129" s="182"/>
      <c r="N129" s="182"/>
    </row>
    <row r="130" spans="1:14" s="1353" customFormat="1" hidden="1">
      <c r="A130" s="182"/>
      <c r="B130" s="186"/>
      <c r="C130" s="182"/>
      <c r="D130" s="182"/>
      <c r="E130" s="182"/>
      <c r="F130" s="182"/>
      <c r="G130" s="182"/>
      <c r="H130" s="182"/>
      <c r="I130" s="182"/>
      <c r="J130" s="182"/>
      <c r="K130" s="182"/>
      <c r="L130" s="182"/>
      <c r="M130" s="182"/>
      <c r="N130" s="182"/>
    </row>
    <row r="131" spans="1:14" s="1353" customFormat="1" hidden="1">
      <c r="A131" s="182"/>
      <c r="B131" s="186"/>
      <c r="C131" s="182"/>
      <c r="D131" s="182"/>
      <c r="E131" s="182"/>
      <c r="F131" s="182"/>
      <c r="G131" s="182"/>
      <c r="H131" s="182"/>
      <c r="I131" s="182"/>
      <c r="J131" s="182"/>
      <c r="K131" s="182"/>
      <c r="L131" s="182"/>
      <c r="M131" s="182"/>
      <c r="N131" s="182"/>
    </row>
    <row r="132" spans="1:14" s="1353" customFormat="1" hidden="1">
      <c r="A132" s="182"/>
      <c r="B132" s="186"/>
      <c r="C132" s="182"/>
      <c r="D132" s="182"/>
      <c r="E132" s="182"/>
      <c r="F132" s="182"/>
      <c r="G132" s="182"/>
      <c r="H132" s="182"/>
      <c r="I132" s="182"/>
      <c r="J132" s="182"/>
      <c r="K132" s="182"/>
      <c r="L132" s="182"/>
      <c r="M132" s="182"/>
      <c r="N132" s="182"/>
    </row>
    <row r="133" spans="1:14" s="1353" customFormat="1" hidden="1">
      <c r="A133" s="182"/>
      <c r="B133" s="186"/>
      <c r="C133" s="182"/>
      <c r="D133" s="182"/>
      <c r="E133" s="182"/>
      <c r="F133" s="182"/>
      <c r="G133" s="182"/>
      <c r="H133" s="182"/>
      <c r="I133" s="182"/>
      <c r="J133" s="182"/>
      <c r="K133" s="182"/>
      <c r="L133" s="182"/>
      <c r="M133" s="182"/>
      <c r="N133" s="182"/>
    </row>
    <row r="134" spans="1:14" s="1353" customFormat="1" hidden="1">
      <c r="A134" s="182"/>
      <c r="B134" s="186"/>
      <c r="C134" s="182"/>
      <c r="D134" s="182"/>
      <c r="E134" s="182"/>
      <c r="F134" s="182"/>
      <c r="G134" s="182"/>
      <c r="H134" s="182"/>
      <c r="I134" s="182"/>
      <c r="J134" s="182"/>
      <c r="K134" s="182"/>
      <c r="L134" s="182"/>
      <c r="M134" s="182"/>
      <c r="N134" s="182"/>
    </row>
    <row r="135" spans="1:14" s="1353" customFormat="1" hidden="1">
      <c r="A135" s="182"/>
      <c r="B135" s="186"/>
      <c r="C135" s="182"/>
      <c r="D135" s="182"/>
      <c r="E135" s="182"/>
      <c r="F135" s="182"/>
      <c r="G135" s="182"/>
      <c r="H135" s="182"/>
      <c r="I135" s="182"/>
      <c r="J135" s="182"/>
      <c r="K135" s="182"/>
      <c r="L135" s="182"/>
      <c r="M135" s="182"/>
      <c r="N135" s="182"/>
    </row>
    <row r="136" spans="1:14" s="1353" customFormat="1" hidden="1">
      <c r="A136" s="182"/>
      <c r="B136" s="186"/>
      <c r="C136" s="182"/>
      <c r="D136" s="182"/>
      <c r="E136" s="182"/>
      <c r="F136" s="182"/>
      <c r="G136" s="182"/>
      <c r="H136" s="182"/>
      <c r="I136" s="182"/>
      <c r="J136" s="182"/>
      <c r="K136" s="182"/>
      <c r="L136" s="182"/>
      <c r="M136" s="182"/>
      <c r="N136" s="182"/>
    </row>
    <row r="137" spans="1:14" s="1353" customFormat="1" hidden="1">
      <c r="A137" s="182"/>
      <c r="B137" s="186"/>
      <c r="C137" s="182"/>
      <c r="D137" s="182"/>
      <c r="E137" s="182"/>
      <c r="F137" s="182"/>
      <c r="G137" s="182"/>
      <c r="H137" s="182"/>
      <c r="I137" s="182"/>
      <c r="J137" s="182"/>
      <c r="K137" s="182"/>
      <c r="L137" s="182"/>
      <c r="M137" s="182"/>
      <c r="N137" s="182"/>
    </row>
    <row r="138" spans="1:14" s="1353" customFormat="1" hidden="1">
      <c r="A138" s="182"/>
      <c r="B138" s="186"/>
      <c r="C138" s="182"/>
      <c r="D138" s="182"/>
      <c r="E138" s="182"/>
      <c r="F138" s="182"/>
      <c r="G138" s="182"/>
      <c r="H138" s="182"/>
      <c r="I138" s="182"/>
      <c r="J138" s="182"/>
      <c r="K138" s="182"/>
      <c r="L138" s="182"/>
      <c r="M138" s="182"/>
      <c r="N138" s="182"/>
    </row>
    <row r="139" spans="1:14" s="1353" customFormat="1" hidden="1">
      <c r="A139" s="182"/>
      <c r="B139" s="186"/>
      <c r="C139" s="182"/>
      <c r="D139" s="182"/>
      <c r="E139" s="182"/>
      <c r="F139" s="182"/>
      <c r="G139" s="182"/>
      <c r="H139" s="182"/>
      <c r="I139" s="182"/>
      <c r="J139" s="182"/>
      <c r="K139" s="182"/>
      <c r="L139" s="182"/>
      <c r="M139" s="182"/>
      <c r="N139" s="182"/>
    </row>
    <row r="140" spans="1:14" s="1353" customFormat="1" hidden="1">
      <c r="A140" s="182"/>
      <c r="B140" s="186"/>
      <c r="C140" s="182"/>
      <c r="D140" s="182"/>
      <c r="E140" s="182"/>
      <c r="F140" s="182"/>
      <c r="G140" s="182"/>
      <c r="H140" s="182"/>
      <c r="I140" s="182"/>
      <c r="J140" s="182"/>
      <c r="K140" s="182"/>
      <c r="L140" s="182"/>
      <c r="M140" s="182"/>
      <c r="N140" s="182"/>
    </row>
    <row r="141" spans="1:14" s="1353" customFormat="1" hidden="1">
      <c r="A141" s="182"/>
      <c r="B141" s="186"/>
      <c r="C141" s="182"/>
      <c r="D141" s="182"/>
      <c r="E141" s="182"/>
      <c r="F141" s="182"/>
      <c r="G141" s="182"/>
      <c r="H141" s="182"/>
      <c r="I141" s="182"/>
      <c r="J141" s="182"/>
      <c r="K141" s="182"/>
      <c r="L141" s="182"/>
      <c r="M141" s="182"/>
      <c r="N141" s="182"/>
    </row>
    <row r="142" spans="1:14" s="1353" customFormat="1" hidden="1">
      <c r="A142" s="182"/>
      <c r="B142" s="186"/>
      <c r="C142" s="182"/>
      <c r="D142" s="182"/>
      <c r="E142" s="182"/>
      <c r="F142" s="182"/>
      <c r="G142" s="182"/>
      <c r="H142" s="182"/>
      <c r="I142" s="182"/>
      <c r="J142" s="182"/>
      <c r="K142" s="182"/>
      <c r="L142" s="182"/>
      <c r="M142" s="182"/>
      <c r="N142" s="182"/>
    </row>
    <row r="143" spans="1:14" s="1353" customFormat="1" hidden="1">
      <c r="A143" s="182"/>
      <c r="B143" s="186"/>
      <c r="C143" s="182"/>
      <c r="D143" s="182"/>
      <c r="E143" s="182"/>
      <c r="F143" s="182"/>
      <c r="G143" s="182"/>
      <c r="H143" s="182"/>
      <c r="I143" s="182"/>
      <c r="J143" s="182"/>
      <c r="K143" s="182"/>
      <c r="L143" s="182"/>
      <c r="M143" s="182"/>
      <c r="N143" s="182"/>
    </row>
    <row r="144" spans="1:14" s="1353" customFormat="1" hidden="1">
      <c r="A144" s="182"/>
      <c r="B144" s="186"/>
      <c r="C144" s="182"/>
      <c r="D144" s="182"/>
      <c r="E144" s="182"/>
      <c r="F144" s="182"/>
      <c r="G144" s="182"/>
      <c r="H144" s="182"/>
      <c r="I144" s="182"/>
      <c r="J144" s="182"/>
      <c r="K144" s="182"/>
      <c r="L144" s="182"/>
      <c r="M144" s="182"/>
      <c r="N144" s="182"/>
    </row>
    <row r="145" spans="1:14" s="1353" customFormat="1" hidden="1">
      <c r="A145" s="182"/>
      <c r="B145" s="186"/>
      <c r="C145" s="182"/>
      <c r="D145" s="182"/>
      <c r="E145" s="182"/>
      <c r="F145" s="182"/>
      <c r="G145" s="182"/>
      <c r="H145" s="182"/>
      <c r="I145" s="182"/>
      <c r="J145" s="182"/>
      <c r="K145" s="182"/>
      <c r="L145" s="182"/>
      <c r="M145" s="182"/>
      <c r="N145" s="182"/>
    </row>
    <row r="146" spans="1:14" s="1353" customFormat="1" hidden="1">
      <c r="A146" s="182"/>
      <c r="B146" s="186"/>
      <c r="C146" s="182"/>
      <c r="D146" s="182"/>
      <c r="E146" s="182"/>
      <c r="F146" s="182"/>
      <c r="G146" s="182"/>
      <c r="H146" s="182"/>
      <c r="I146" s="182"/>
      <c r="J146" s="182"/>
      <c r="K146" s="182"/>
      <c r="L146" s="182"/>
      <c r="M146" s="182"/>
      <c r="N146" s="182"/>
    </row>
    <row r="147" spans="1:14" s="1353" customFormat="1" hidden="1">
      <c r="A147" s="182"/>
      <c r="B147" s="186"/>
      <c r="C147" s="182"/>
      <c r="D147" s="182"/>
      <c r="E147" s="182"/>
      <c r="F147" s="182"/>
      <c r="G147" s="182"/>
      <c r="H147" s="182"/>
      <c r="I147" s="182"/>
      <c r="J147" s="182"/>
      <c r="K147" s="182"/>
      <c r="L147" s="182"/>
      <c r="M147" s="182"/>
      <c r="N147" s="182"/>
    </row>
    <row r="148" spans="1:14" s="1353" customFormat="1" hidden="1">
      <c r="A148" s="182"/>
      <c r="B148" s="186"/>
      <c r="C148" s="182"/>
      <c r="D148" s="182"/>
      <c r="E148" s="182"/>
      <c r="F148" s="182"/>
      <c r="G148" s="182"/>
      <c r="H148" s="182"/>
      <c r="I148" s="182"/>
      <c r="J148" s="182"/>
      <c r="K148" s="182"/>
      <c r="L148" s="182"/>
      <c r="M148" s="182"/>
      <c r="N148" s="182"/>
    </row>
    <row r="149" spans="1:14" s="1353" customFormat="1" hidden="1">
      <c r="A149" s="182"/>
      <c r="B149" s="186"/>
      <c r="C149" s="182"/>
      <c r="D149" s="182"/>
      <c r="E149" s="182"/>
      <c r="F149" s="182"/>
      <c r="G149" s="182"/>
      <c r="H149" s="182"/>
      <c r="I149" s="182"/>
      <c r="J149" s="182"/>
      <c r="K149" s="182"/>
      <c r="L149" s="182"/>
      <c r="M149" s="182"/>
      <c r="N149" s="182"/>
    </row>
    <row r="150" spans="1:14" s="1353" customFormat="1" hidden="1">
      <c r="A150" s="182"/>
      <c r="B150" s="186"/>
      <c r="C150" s="182"/>
      <c r="D150" s="182"/>
      <c r="E150" s="182"/>
      <c r="F150" s="182"/>
      <c r="G150" s="182"/>
      <c r="H150" s="182"/>
      <c r="I150" s="182"/>
      <c r="J150" s="182"/>
      <c r="K150" s="182"/>
      <c r="L150" s="182"/>
      <c r="M150" s="182"/>
      <c r="N150" s="182"/>
    </row>
    <row r="151" spans="1:14" s="1353" customFormat="1" hidden="1">
      <c r="A151" s="182"/>
      <c r="B151" s="186"/>
      <c r="C151" s="182"/>
      <c r="D151" s="182"/>
      <c r="E151" s="182"/>
      <c r="F151" s="182"/>
      <c r="G151" s="182"/>
      <c r="H151" s="182"/>
      <c r="I151" s="182"/>
      <c r="J151" s="182"/>
      <c r="K151" s="182"/>
      <c r="L151" s="182"/>
      <c r="M151" s="182"/>
      <c r="N151" s="182"/>
    </row>
    <row r="152" spans="1:14" s="1353" customFormat="1" hidden="1">
      <c r="A152" s="182"/>
      <c r="B152" s="186"/>
      <c r="C152" s="182"/>
      <c r="D152" s="182"/>
      <c r="E152" s="182"/>
      <c r="F152" s="182"/>
      <c r="G152" s="182"/>
      <c r="H152" s="182"/>
      <c r="I152" s="182"/>
      <c r="J152" s="182"/>
      <c r="K152" s="182"/>
      <c r="L152" s="182"/>
      <c r="M152" s="182"/>
      <c r="N152" s="182"/>
    </row>
    <row r="153" spans="1:14" s="1353" customFormat="1" hidden="1">
      <c r="A153" s="182"/>
      <c r="B153" s="186"/>
      <c r="C153" s="182"/>
      <c r="D153" s="182"/>
      <c r="E153" s="182"/>
      <c r="F153" s="182"/>
      <c r="G153" s="182"/>
      <c r="H153" s="182"/>
      <c r="I153" s="182"/>
      <c r="J153" s="182"/>
      <c r="K153" s="182"/>
      <c r="L153" s="182"/>
      <c r="M153" s="182"/>
      <c r="N153" s="182"/>
    </row>
    <row r="154" spans="1:14" s="1353" customFormat="1" hidden="1">
      <c r="A154" s="182"/>
      <c r="B154" s="186"/>
      <c r="C154" s="182"/>
      <c r="D154" s="182"/>
      <c r="E154" s="182"/>
      <c r="F154" s="182"/>
      <c r="G154" s="182"/>
      <c r="H154" s="182"/>
      <c r="I154" s="182"/>
      <c r="J154" s="182"/>
      <c r="K154" s="182"/>
      <c r="L154" s="182"/>
      <c r="M154" s="182"/>
      <c r="N154" s="182"/>
    </row>
    <row r="155" spans="1:14" s="1353" customFormat="1" hidden="1">
      <c r="A155" s="182"/>
      <c r="B155" s="186"/>
      <c r="C155" s="182"/>
      <c r="D155" s="182"/>
      <c r="E155" s="182"/>
      <c r="F155" s="182"/>
      <c r="G155" s="182"/>
      <c r="H155" s="182"/>
      <c r="I155" s="182"/>
      <c r="J155" s="182"/>
      <c r="K155" s="182"/>
      <c r="L155" s="182"/>
      <c r="M155" s="182"/>
      <c r="N155" s="182"/>
    </row>
    <row r="156" spans="1:14" s="1353" customFormat="1" hidden="1">
      <c r="A156" s="182"/>
      <c r="B156" s="186"/>
      <c r="C156" s="182"/>
      <c r="D156" s="182"/>
      <c r="E156" s="182"/>
      <c r="F156" s="182"/>
      <c r="G156" s="182"/>
      <c r="H156" s="182"/>
      <c r="I156" s="182"/>
      <c r="J156" s="182"/>
      <c r="K156" s="182"/>
      <c r="L156" s="182"/>
      <c r="M156" s="182"/>
      <c r="N156" s="182"/>
    </row>
    <row r="157" spans="1:14" s="1353" customFormat="1" hidden="1">
      <c r="A157" s="182"/>
      <c r="B157" s="186"/>
      <c r="C157" s="182"/>
      <c r="D157" s="182"/>
      <c r="E157" s="182"/>
      <c r="F157" s="182"/>
      <c r="G157" s="182"/>
      <c r="H157" s="182"/>
      <c r="I157" s="182"/>
      <c r="J157" s="182"/>
      <c r="K157" s="182"/>
      <c r="L157" s="182"/>
      <c r="M157" s="182"/>
      <c r="N157" s="182"/>
    </row>
    <row r="158" spans="1:14" s="1353" customFormat="1" hidden="1">
      <c r="A158" s="182"/>
      <c r="B158" s="186"/>
      <c r="C158" s="182"/>
      <c r="D158" s="182"/>
      <c r="E158" s="182"/>
      <c r="F158" s="182"/>
      <c r="G158" s="182"/>
      <c r="H158" s="182"/>
      <c r="I158" s="182"/>
      <c r="J158" s="182"/>
      <c r="K158" s="182"/>
      <c r="L158" s="182"/>
      <c r="M158" s="182"/>
      <c r="N158" s="182"/>
    </row>
    <row r="159" spans="1:14" s="1353" customFormat="1" hidden="1">
      <c r="A159" s="182"/>
      <c r="B159" s="186"/>
      <c r="C159" s="182"/>
      <c r="D159" s="182"/>
      <c r="E159" s="182"/>
      <c r="F159" s="182"/>
      <c r="G159" s="182"/>
      <c r="H159" s="182"/>
      <c r="I159" s="182"/>
      <c r="J159" s="182"/>
      <c r="K159" s="182"/>
      <c r="L159" s="182"/>
      <c r="M159" s="182"/>
      <c r="N159" s="182"/>
    </row>
    <row r="160" spans="1:14" s="1353" customFormat="1" hidden="1">
      <c r="A160" s="182"/>
      <c r="B160" s="186"/>
      <c r="C160" s="182"/>
      <c r="D160" s="182"/>
      <c r="E160" s="182"/>
      <c r="F160" s="182"/>
      <c r="G160" s="182"/>
      <c r="H160" s="182"/>
      <c r="I160" s="182"/>
      <c r="J160" s="182"/>
      <c r="K160" s="182"/>
      <c r="L160" s="182"/>
      <c r="M160" s="182"/>
      <c r="N160" s="182"/>
    </row>
    <row r="161" spans="1:63" s="1353" customFormat="1" hidden="1">
      <c r="A161" s="182"/>
      <c r="B161" s="186"/>
      <c r="C161" s="182"/>
      <c r="D161" s="182"/>
      <c r="E161" s="182"/>
      <c r="F161" s="182"/>
      <c r="G161" s="182"/>
      <c r="H161" s="182"/>
      <c r="I161" s="182"/>
      <c r="J161" s="182"/>
      <c r="K161" s="182"/>
      <c r="L161" s="182"/>
      <c r="M161" s="182"/>
      <c r="N161" s="182"/>
    </row>
    <row r="162" spans="1:63" s="1353" customFormat="1" hidden="1">
      <c r="A162" s="182"/>
      <c r="B162" s="186"/>
      <c r="C162" s="182"/>
      <c r="D162" s="182"/>
      <c r="E162" s="182"/>
      <c r="F162" s="182"/>
      <c r="G162" s="182"/>
      <c r="H162" s="182"/>
      <c r="I162" s="182"/>
      <c r="J162" s="182"/>
      <c r="K162" s="182"/>
      <c r="L162" s="182"/>
      <c r="M162" s="182"/>
      <c r="N162" s="182"/>
    </row>
    <row r="163" spans="1:63" s="1353" customFormat="1" hidden="1">
      <c r="A163" s="182"/>
      <c r="B163" s="186"/>
      <c r="C163" s="182"/>
      <c r="D163" s="182"/>
      <c r="E163" s="182"/>
      <c r="F163" s="182"/>
      <c r="G163" s="182"/>
      <c r="H163" s="182"/>
      <c r="I163" s="182"/>
      <c r="J163" s="182"/>
      <c r="K163" s="182"/>
      <c r="L163" s="182"/>
      <c r="M163" s="182"/>
      <c r="N163" s="182"/>
    </row>
    <row r="164" spans="1:63" s="1353" customFormat="1" hidden="1">
      <c r="A164" s="182"/>
      <c r="B164" s="186"/>
      <c r="C164" s="182"/>
      <c r="D164" s="182"/>
      <c r="E164" s="182"/>
      <c r="F164" s="182"/>
      <c r="G164" s="182"/>
      <c r="H164" s="182"/>
      <c r="I164" s="182"/>
      <c r="J164" s="182"/>
      <c r="K164" s="182"/>
      <c r="L164" s="182"/>
      <c r="M164" s="182"/>
      <c r="N164" s="182"/>
    </row>
    <row r="165" spans="1:63" s="1353" customFormat="1" hidden="1">
      <c r="A165" s="182"/>
      <c r="B165" s="186"/>
      <c r="C165" s="182"/>
      <c r="D165" s="182"/>
      <c r="E165" s="182"/>
      <c r="F165" s="182"/>
      <c r="G165" s="182"/>
      <c r="H165" s="182"/>
      <c r="I165" s="182"/>
      <c r="J165" s="182"/>
      <c r="K165" s="182"/>
      <c r="L165" s="182"/>
      <c r="M165" s="182"/>
      <c r="N165" s="182"/>
    </row>
    <row r="166" spans="1:63" s="1353" customFormat="1" hidden="1">
      <c r="A166" s="182"/>
      <c r="B166" s="186"/>
      <c r="C166" s="182"/>
      <c r="D166" s="182"/>
      <c r="E166" s="182"/>
      <c r="F166" s="182"/>
      <c r="G166" s="182"/>
      <c r="H166" s="182"/>
      <c r="I166" s="182"/>
      <c r="J166" s="182"/>
      <c r="K166" s="182"/>
      <c r="L166" s="182"/>
      <c r="M166" s="182"/>
      <c r="N166" s="182"/>
    </row>
    <row r="167" spans="1:63" hidden="1">
      <c r="A167" s="183"/>
      <c r="B167" s="170"/>
      <c r="C167" s="169"/>
      <c r="D167" s="169"/>
      <c r="E167" s="169"/>
      <c r="F167" s="169"/>
      <c r="G167" s="169"/>
      <c r="H167" s="169"/>
      <c r="I167" s="169"/>
      <c r="J167" s="169"/>
      <c r="K167" s="183"/>
      <c r="L167" s="183"/>
      <c r="M167" s="183"/>
      <c r="N167" s="183"/>
      <c r="O167" s="1354"/>
      <c r="P167" s="1354"/>
      <c r="Q167" s="1354"/>
      <c r="R167" s="1354"/>
      <c r="S167" s="1354"/>
      <c r="T167" s="1354"/>
      <c r="U167" s="1354"/>
      <c r="V167" s="1354"/>
      <c r="W167" s="1354"/>
      <c r="X167" s="1354"/>
      <c r="BH167" s="1354"/>
      <c r="BI167" s="1354"/>
      <c r="BJ167" s="1354"/>
      <c r="BK167" s="1354"/>
    </row>
    <row r="168" spans="1:63" hidden="1">
      <c r="A168" s="183"/>
      <c r="B168" s="170"/>
      <c r="C168" s="169"/>
      <c r="D168" s="169"/>
      <c r="E168" s="169"/>
      <c r="F168" s="169"/>
      <c r="G168" s="169"/>
      <c r="H168" s="169"/>
      <c r="I168" s="169"/>
      <c r="J168" s="169"/>
      <c r="K168" s="183"/>
      <c r="L168" s="183"/>
      <c r="M168" s="183"/>
      <c r="N168" s="183"/>
      <c r="O168" s="1354"/>
      <c r="P168" s="1354"/>
      <c r="Q168" s="1354"/>
      <c r="R168" s="1354"/>
      <c r="S168" s="1354"/>
      <c r="T168" s="1354"/>
      <c r="U168" s="1354"/>
      <c r="V168" s="1354"/>
      <c r="W168" s="1354"/>
      <c r="X168" s="1354"/>
      <c r="BH168" s="1354"/>
      <c r="BI168" s="1354"/>
      <c r="BJ168" s="1354"/>
      <c r="BK168" s="1354"/>
    </row>
    <row r="169" spans="1:63" hidden="1">
      <c r="A169" s="183"/>
      <c r="B169" s="170"/>
      <c r="C169" s="169"/>
      <c r="D169" s="169"/>
      <c r="E169" s="169"/>
      <c r="F169" s="169"/>
      <c r="G169" s="169"/>
      <c r="H169" s="169"/>
      <c r="I169" s="169"/>
      <c r="J169" s="169"/>
      <c r="K169" s="183"/>
      <c r="L169" s="183"/>
      <c r="M169" s="183"/>
      <c r="N169" s="183"/>
      <c r="O169" s="1354"/>
      <c r="P169" s="1354"/>
      <c r="Q169" s="1354"/>
      <c r="R169" s="1354"/>
      <c r="S169" s="1354"/>
      <c r="T169" s="1354"/>
      <c r="U169" s="1354"/>
      <c r="V169" s="1354"/>
      <c r="W169" s="1354"/>
      <c r="X169" s="1354"/>
      <c r="BH169" s="1354"/>
      <c r="BI169" s="1354"/>
      <c r="BJ169" s="1354"/>
      <c r="BK169" s="1354"/>
    </row>
    <row r="170" spans="1:63" hidden="1">
      <c r="A170" s="183"/>
      <c r="B170" s="170"/>
      <c r="C170" s="169"/>
      <c r="D170" s="169"/>
      <c r="E170" s="169"/>
      <c r="F170" s="169"/>
      <c r="G170" s="169"/>
      <c r="H170" s="169"/>
      <c r="I170" s="169"/>
      <c r="J170" s="169"/>
      <c r="K170" s="183"/>
      <c r="L170" s="183"/>
      <c r="M170" s="183"/>
      <c r="N170" s="183"/>
      <c r="O170" s="1354"/>
      <c r="P170" s="1354"/>
      <c r="Q170" s="1354"/>
      <c r="R170" s="1354"/>
      <c r="S170" s="1354"/>
      <c r="T170" s="1354"/>
      <c r="U170" s="1354"/>
      <c r="V170" s="1354"/>
      <c r="W170" s="1354"/>
      <c r="X170" s="1354"/>
      <c r="BH170" s="1354"/>
      <c r="BI170" s="1354"/>
      <c r="BJ170" s="1354"/>
      <c r="BK170" s="1354"/>
    </row>
    <row r="171" spans="1:63" hidden="1">
      <c r="A171" s="183"/>
      <c r="B171" s="170"/>
      <c r="C171" s="169"/>
      <c r="D171" s="169"/>
      <c r="E171" s="169"/>
      <c r="F171" s="169"/>
      <c r="G171" s="169"/>
      <c r="H171" s="169"/>
      <c r="I171" s="169"/>
      <c r="J171" s="169"/>
      <c r="K171" s="183"/>
      <c r="L171" s="183"/>
      <c r="M171" s="183"/>
      <c r="N171" s="183"/>
      <c r="O171" s="1354"/>
      <c r="P171" s="1354"/>
      <c r="Q171" s="1354"/>
      <c r="R171" s="1354"/>
      <c r="S171" s="1354"/>
      <c r="T171" s="1354"/>
      <c r="U171" s="1354"/>
      <c r="V171" s="1354"/>
      <c r="W171" s="1354"/>
      <c r="X171" s="1354"/>
      <c r="BH171" s="1354"/>
      <c r="BI171" s="1354"/>
      <c r="BJ171" s="1354"/>
      <c r="BK171" s="1354"/>
    </row>
    <row r="172" spans="1:63" hidden="1">
      <c r="A172" s="183"/>
      <c r="B172" s="170"/>
      <c r="C172" s="169"/>
      <c r="D172" s="169"/>
      <c r="E172" s="169"/>
      <c r="F172" s="169"/>
      <c r="G172" s="169"/>
      <c r="H172" s="169"/>
      <c r="I172" s="169"/>
      <c r="J172" s="169"/>
      <c r="K172" s="183"/>
      <c r="L172" s="183"/>
      <c r="M172" s="183"/>
      <c r="N172" s="183"/>
      <c r="O172" s="1354"/>
      <c r="P172" s="1354"/>
      <c r="Q172" s="1354"/>
      <c r="R172" s="1354"/>
      <c r="S172" s="1354"/>
      <c r="T172" s="1354"/>
      <c r="U172" s="1354"/>
      <c r="V172" s="1354"/>
      <c r="W172" s="1354"/>
      <c r="X172" s="1354"/>
      <c r="BH172" s="1354"/>
      <c r="BI172" s="1354"/>
      <c r="BJ172" s="1354"/>
      <c r="BK172" s="1354"/>
    </row>
    <row r="173" spans="1:63" hidden="1">
      <c r="A173" s="183"/>
      <c r="B173" s="170"/>
      <c r="C173" s="169"/>
      <c r="D173" s="169"/>
      <c r="E173" s="169"/>
      <c r="F173" s="169"/>
      <c r="G173" s="169"/>
      <c r="H173" s="169"/>
      <c r="I173" s="169"/>
      <c r="J173" s="169"/>
      <c r="K173" s="183"/>
      <c r="L173" s="183"/>
      <c r="M173" s="183"/>
      <c r="N173" s="183"/>
      <c r="O173" s="1354"/>
      <c r="P173" s="1354"/>
      <c r="Q173" s="1354"/>
      <c r="R173" s="1354"/>
      <c r="S173" s="1354"/>
      <c r="T173" s="1354"/>
      <c r="U173" s="1354"/>
      <c r="V173" s="1354"/>
      <c r="W173" s="1354"/>
      <c r="X173" s="1354"/>
      <c r="BH173" s="1354"/>
      <c r="BI173" s="1354"/>
      <c r="BJ173" s="1354"/>
      <c r="BK173" s="1354"/>
    </row>
    <row r="174" spans="1:63" hidden="1">
      <c r="A174" s="183"/>
      <c r="B174" s="170"/>
      <c r="C174" s="169"/>
      <c r="D174" s="169"/>
      <c r="E174" s="169"/>
      <c r="F174" s="169"/>
      <c r="G174" s="169"/>
      <c r="H174" s="169"/>
      <c r="I174" s="169"/>
      <c r="J174" s="169"/>
      <c r="K174" s="183"/>
      <c r="L174" s="183"/>
      <c r="M174" s="183"/>
      <c r="N174" s="183"/>
      <c r="O174" s="1354"/>
      <c r="P174" s="1354"/>
      <c r="Q174" s="1354"/>
      <c r="R174" s="1354"/>
      <c r="S174" s="1354"/>
      <c r="T174" s="1354"/>
      <c r="U174" s="1354"/>
      <c r="V174" s="1354"/>
      <c r="W174" s="1354"/>
      <c r="X174" s="1354"/>
      <c r="BH174" s="1354"/>
      <c r="BI174" s="1354"/>
      <c r="BJ174" s="1354"/>
      <c r="BK174" s="1354"/>
    </row>
    <row r="175" spans="1:63" hidden="1">
      <c r="A175" s="183"/>
      <c r="B175" s="170"/>
      <c r="C175" s="169"/>
      <c r="D175" s="169"/>
      <c r="E175" s="169"/>
      <c r="F175" s="169"/>
      <c r="G175" s="169"/>
      <c r="H175" s="169"/>
      <c r="I175" s="169"/>
      <c r="J175" s="169"/>
      <c r="K175" s="183"/>
      <c r="L175" s="183"/>
      <c r="M175" s="183"/>
      <c r="N175" s="183"/>
      <c r="O175" s="1354"/>
      <c r="P175" s="1354"/>
      <c r="Q175" s="1354"/>
      <c r="R175" s="1354"/>
      <c r="S175" s="1354"/>
      <c r="T175" s="1354"/>
      <c r="U175" s="1354"/>
      <c r="V175" s="1354"/>
      <c r="W175" s="1354"/>
      <c r="X175" s="1354"/>
      <c r="BH175" s="1354"/>
      <c r="BI175" s="1354"/>
      <c r="BJ175" s="1354"/>
      <c r="BK175" s="1354"/>
    </row>
    <row r="176" spans="1:63" hidden="1">
      <c r="A176" s="183"/>
      <c r="B176" s="170"/>
      <c r="C176" s="169"/>
      <c r="D176" s="169"/>
      <c r="E176" s="169"/>
      <c r="F176" s="169"/>
      <c r="G176" s="169"/>
      <c r="H176" s="169"/>
      <c r="I176" s="169"/>
      <c r="J176" s="169"/>
      <c r="K176" s="183"/>
      <c r="L176" s="183"/>
      <c r="M176" s="183"/>
      <c r="N176" s="183"/>
      <c r="O176" s="1354"/>
      <c r="P176" s="1354"/>
      <c r="Q176" s="1354"/>
      <c r="R176" s="1354"/>
      <c r="S176" s="1354"/>
      <c r="T176" s="1354"/>
      <c r="U176" s="1354"/>
      <c r="V176" s="1354"/>
      <c r="W176" s="1354"/>
      <c r="X176" s="1354"/>
      <c r="BH176" s="1354"/>
      <c r="BI176" s="1354"/>
      <c r="BJ176" s="1354"/>
      <c r="BK176" s="1354"/>
    </row>
    <row r="177" spans="1:63" hidden="1">
      <c r="A177" s="183"/>
      <c r="B177" s="170"/>
      <c r="C177" s="169"/>
      <c r="D177" s="169"/>
      <c r="E177" s="169"/>
      <c r="F177" s="169"/>
      <c r="G177" s="169"/>
      <c r="H177" s="169"/>
      <c r="I177" s="169"/>
      <c r="J177" s="169"/>
      <c r="K177" s="183"/>
      <c r="L177" s="183"/>
      <c r="M177" s="183"/>
      <c r="N177" s="183"/>
      <c r="O177" s="1354"/>
      <c r="P177" s="1354"/>
      <c r="Q177" s="1354"/>
      <c r="R177" s="1354"/>
      <c r="S177" s="1354"/>
      <c r="T177" s="1354"/>
      <c r="U177" s="1354"/>
      <c r="V177" s="1354"/>
      <c r="W177" s="1354"/>
      <c r="X177" s="1354"/>
      <c r="BH177" s="1354"/>
      <c r="BI177" s="1354"/>
      <c r="BJ177" s="1354"/>
      <c r="BK177" s="1354"/>
    </row>
    <row r="178" spans="1:63" hidden="1">
      <c r="A178" s="183"/>
      <c r="B178" s="170"/>
      <c r="C178" s="169"/>
      <c r="D178" s="169"/>
      <c r="E178" s="169"/>
      <c r="F178" s="169"/>
      <c r="G178" s="169"/>
      <c r="H178" s="169"/>
      <c r="I178" s="169"/>
      <c r="J178" s="169"/>
      <c r="K178" s="183"/>
      <c r="L178" s="183"/>
      <c r="M178" s="183"/>
      <c r="N178" s="183"/>
      <c r="O178" s="1354"/>
      <c r="P178" s="1354"/>
      <c r="Q178" s="1354"/>
      <c r="R178" s="1354"/>
      <c r="S178" s="1354"/>
      <c r="T178" s="1354"/>
      <c r="U178" s="1354"/>
      <c r="V178" s="1354"/>
      <c r="W178" s="1354"/>
      <c r="X178" s="1354"/>
      <c r="BH178" s="1354"/>
      <c r="BI178" s="1354"/>
      <c r="BJ178" s="1354"/>
      <c r="BK178" s="1354"/>
    </row>
    <row r="179" spans="1:63" hidden="1">
      <c r="A179" s="183"/>
      <c r="B179" s="170"/>
      <c r="C179" s="169"/>
      <c r="D179" s="169"/>
      <c r="E179" s="169"/>
      <c r="F179" s="169"/>
      <c r="G179" s="169"/>
      <c r="H179" s="169"/>
      <c r="I179" s="169"/>
      <c r="J179" s="169"/>
      <c r="K179" s="183"/>
      <c r="L179" s="183"/>
      <c r="M179" s="183"/>
      <c r="N179" s="183"/>
      <c r="O179" s="1354"/>
      <c r="P179" s="1354"/>
      <c r="Q179" s="1354"/>
      <c r="R179" s="1354"/>
      <c r="S179" s="1354"/>
      <c r="T179" s="1354"/>
      <c r="U179" s="1354"/>
      <c r="V179" s="1354"/>
      <c r="W179" s="1354"/>
      <c r="X179" s="1354"/>
      <c r="BH179" s="1354"/>
      <c r="BI179" s="1354"/>
      <c r="BJ179" s="1354"/>
      <c r="BK179" s="1354"/>
    </row>
    <row r="180" spans="1:63" hidden="1">
      <c r="A180" s="183"/>
      <c r="B180" s="170"/>
      <c r="C180" s="169"/>
      <c r="D180" s="169"/>
      <c r="E180" s="169"/>
      <c r="F180" s="169"/>
      <c r="G180" s="169"/>
      <c r="H180" s="169"/>
      <c r="I180" s="169"/>
      <c r="J180" s="169"/>
      <c r="K180" s="183"/>
      <c r="L180" s="183"/>
      <c r="M180" s="183"/>
      <c r="N180" s="183"/>
      <c r="O180" s="1354"/>
      <c r="P180" s="1354"/>
      <c r="Q180" s="1354"/>
      <c r="R180" s="1354"/>
      <c r="S180" s="1354"/>
      <c r="T180" s="1354"/>
      <c r="U180" s="1354"/>
      <c r="V180" s="1354"/>
      <c r="W180" s="1354"/>
      <c r="X180" s="1354"/>
      <c r="BH180" s="1354"/>
      <c r="BI180" s="1354"/>
      <c r="BJ180" s="1354"/>
      <c r="BK180" s="1354"/>
    </row>
    <row r="181" spans="1:63" hidden="1">
      <c r="A181" s="183"/>
      <c r="B181" s="170"/>
      <c r="C181" s="169"/>
      <c r="D181" s="169"/>
      <c r="E181" s="169"/>
      <c r="F181" s="169"/>
      <c r="G181" s="169"/>
      <c r="H181" s="169"/>
      <c r="I181" s="169"/>
      <c r="J181" s="169"/>
      <c r="K181" s="183"/>
      <c r="L181" s="183"/>
      <c r="M181" s="183"/>
      <c r="N181" s="183"/>
      <c r="O181" s="1354"/>
      <c r="P181" s="1354"/>
      <c r="Q181" s="1354"/>
      <c r="R181" s="1354"/>
      <c r="S181" s="1354"/>
      <c r="T181" s="1354"/>
      <c r="U181" s="1354"/>
      <c r="V181" s="1354"/>
      <c r="W181" s="1354"/>
      <c r="X181" s="1354"/>
      <c r="BH181" s="1354"/>
      <c r="BI181" s="1354"/>
      <c r="BJ181" s="1354"/>
      <c r="BK181" s="1354"/>
    </row>
    <row r="182" spans="1:63" hidden="1">
      <c r="A182" s="183"/>
      <c r="B182" s="170"/>
      <c r="C182" s="169"/>
      <c r="D182" s="169"/>
      <c r="E182" s="169"/>
      <c r="F182" s="169"/>
      <c r="G182" s="169"/>
      <c r="H182" s="169"/>
      <c r="I182" s="169"/>
      <c r="J182" s="169"/>
      <c r="K182" s="183"/>
      <c r="L182" s="183"/>
      <c r="M182" s="183"/>
      <c r="N182" s="183"/>
      <c r="O182" s="1354"/>
      <c r="P182" s="1354"/>
      <c r="Q182" s="1354"/>
      <c r="R182" s="1354"/>
      <c r="S182" s="1354"/>
      <c r="T182" s="1354"/>
      <c r="U182" s="1354"/>
      <c r="V182" s="1354"/>
      <c r="W182" s="1354"/>
      <c r="X182" s="1354"/>
      <c r="BH182" s="1354"/>
      <c r="BI182" s="1354"/>
      <c r="BJ182" s="1354"/>
      <c r="BK182" s="1354"/>
    </row>
    <row r="183" spans="1:63" hidden="1">
      <c r="A183" s="183"/>
      <c r="B183" s="170"/>
      <c r="C183" s="169"/>
      <c r="D183" s="169"/>
      <c r="E183" s="169"/>
      <c r="F183" s="169"/>
      <c r="G183" s="169"/>
      <c r="H183" s="169"/>
      <c r="I183" s="169"/>
      <c r="J183" s="169"/>
      <c r="K183" s="183"/>
      <c r="L183" s="183"/>
      <c r="M183" s="183"/>
      <c r="N183" s="183"/>
      <c r="O183" s="1354"/>
      <c r="P183" s="1354"/>
      <c r="Q183" s="1354"/>
      <c r="R183" s="1354"/>
      <c r="S183" s="1354"/>
      <c r="T183" s="1354"/>
      <c r="U183" s="1354"/>
      <c r="V183" s="1354"/>
      <c r="W183" s="1354"/>
      <c r="X183" s="1354"/>
      <c r="BH183" s="1354"/>
      <c r="BI183" s="1354"/>
      <c r="BJ183" s="1354"/>
      <c r="BK183" s="1354"/>
    </row>
    <row r="184" spans="1:63" hidden="1">
      <c r="A184" s="183"/>
      <c r="B184" s="170"/>
      <c r="C184" s="169"/>
      <c r="D184" s="169"/>
      <c r="E184" s="169"/>
      <c r="F184" s="169"/>
      <c r="G184" s="169"/>
      <c r="H184" s="169"/>
      <c r="I184" s="169"/>
      <c r="J184" s="169"/>
      <c r="K184" s="183"/>
      <c r="L184" s="183"/>
      <c r="M184" s="183"/>
      <c r="N184" s="183"/>
      <c r="O184" s="1354"/>
      <c r="P184" s="1354"/>
      <c r="Q184" s="1354"/>
      <c r="R184" s="1354"/>
      <c r="S184" s="1354"/>
      <c r="T184" s="1354"/>
      <c r="U184" s="1354"/>
      <c r="V184" s="1354"/>
      <c r="W184" s="1354"/>
      <c r="X184" s="1354"/>
      <c r="BH184" s="1354"/>
      <c r="BI184" s="1354"/>
      <c r="BJ184" s="1354"/>
      <c r="BK184" s="1354"/>
    </row>
    <row r="185" spans="1:63" hidden="1">
      <c r="A185" s="183"/>
      <c r="B185" s="170"/>
      <c r="C185" s="169"/>
      <c r="D185" s="169"/>
      <c r="E185" s="169"/>
      <c r="F185" s="169"/>
      <c r="G185" s="169"/>
      <c r="H185" s="169"/>
      <c r="I185" s="169"/>
      <c r="J185" s="169"/>
      <c r="K185" s="183"/>
      <c r="L185" s="183"/>
      <c r="M185" s="183"/>
      <c r="N185" s="183"/>
      <c r="O185" s="1354"/>
      <c r="P185" s="1354"/>
      <c r="Q185" s="1354"/>
      <c r="R185" s="1354"/>
      <c r="S185" s="1354"/>
      <c r="T185" s="1354"/>
      <c r="U185" s="1354"/>
      <c r="V185" s="1354"/>
      <c r="W185" s="1354"/>
      <c r="X185" s="1354"/>
      <c r="BH185" s="1354"/>
      <c r="BI185" s="1354"/>
      <c r="BJ185" s="1354"/>
      <c r="BK185" s="1354"/>
    </row>
    <row r="186" spans="1:63" hidden="1">
      <c r="A186" s="183"/>
      <c r="B186" s="170"/>
      <c r="C186" s="169"/>
      <c r="D186" s="169"/>
      <c r="E186" s="169"/>
      <c r="F186" s="169"/>
      <c r="G186" s="169"/>
      <c r="H186" s="169"/>
      <c r="I186" s="169"/>
      <c r="J186" s="169"/>
      <c r="K186" s="183"/>
      <c r="L186" s="183"/>
      <c r="M186" s="183"/>
      <c r="N186" s="183"/>
      <c r="O186" s="1354"/>
      <c r="P186" s="1354"/>
      <c r="Q186" s="1354"/>
      <c r="R186" s="1354"/>
      <c r="S186" s="1354"/>
      <c r="T186" s="1354"/>
      <c r="U186" s="1354"/>
      <c r="V186" s="1354"/>
      <c r="W186" s="1354"/>
      <c r="X186" s="1354"/>
      <c r="BH186" s="1354"/>
      <c r="BI186" s="1354"/>
      <c r="BJ186" s="1354"/>
      <c r="BK186" s="1354"/>
    </row>
    <row r="187" spans="1:63" hidden="1">
      <c r="A187" s="183"/>
      <c r="B187" s="170"/>
      <c r="C187" s="169"/>
      <c r="D187" s="169"/>
      <c r="E187" s="169"/>
      <c r="F187" s="169"/>
      <c r="G187" s="169"/>
      <c r="H187" s="169"/>
      <c r="I187" s="169"/>
      <c r="J187" s="169"/>
      <c r="K187" s="183"/>
      <c r="L187" s="183"/>
      <c r="M187" s="183"/>
      <c r="N187" s="183"/>
      <c r="O187" s="1354"/>
      <c r="P187" s="1354"/>
      <c r="Q187" s="1354"/>
      <c r="R187" s="1354"/>
      <c r="S187" s="1354"/>
      <c r="T187" s="1354"/>
      <c r="U187" s="1354"/>
      <c r="V187" s="1354"/>
      <c r="W187" s="1354"/>
      <c r="X187" s="1354"/>
      <c r="BH187" s="1354"/>
      <c r="BI187" s="1354"/>
      <c r="BJ187" s="1354"/>
      <c r="BK187" s="1354"/>
    </row>
    <row r="188" spans="1:63" hidden="1">
      <c r="A188" s="183"/>
      <c r="B188" s="170"/>
      <c r="C188" s="169"/>
      <c r="D188" s="169"/>
      <c r="E188" s="169"/>
      <c r="F188" s="169"/>
      <c r="G188" s="169"/>
      <c r="H188" s="169"/>
      <c r="I188" s="169"/>
      <c r="J188" s="169"/>
      <c r="K188" s="183"/>
      <c r="L188" s="183"/>
      <c r="M188" s="183"/>
      <c r="N188" s="183"/>
      <c r="O188" s="1354"/>
      <c r="P188" s="1354"/>
      <c r="Q188" s="1354"/>
      <c r="R188" s="1354"/>
      <c r="S188" s="1354"/>
      <c r="T188" s="1354"/>
      <c r="U188" s="1354"/>
      <c r="V188" s="1354"/>
      <c r="W188" s="1354"/>
      <c r="X188" s="1354"/>
      <c r="BH188" s="1354"/>
      <c r="BI188" s="1354"/>
      <c r="BJ188" s="1354"/>
      <c r="BK188" s="1354"/>
    </row>
    <row r="189" spans="1:63" hidden="1">
      <c r="A189" s="183"/>
      <c r="B189" s="170"/>
      <c r="C189" s="169"/>
      <c r="D189" s="169"/>
      <c r="E189" s="169"/>
      <c r="F189" s="169"/>
      <c r="G189" s="169"/>
      <c r="H189" s="169"/>
      <c r="I189" s="169"/>
      <c r="J189" s="169"/>
      <c r="K189" s="183"/>
      <c r="L189" s="183"/>
      <c r="M189" s="183"/>
      <c r="N189" s="183"/>
      <c r="O189" s="1354"/>
      <c r="P189" s="1354"/>
      <c r="Q189" s="1354"/>
      <c r="R189" s="1354"/>
      <c r="S189" s="1354"/>
      <c r="T189" s="1354"/>
      <c r="U189" s="1354"/>
      <c r="V189" s="1354"/>
      <c r="W189" s="1354"/>
      <c r="X189" s="1354"/>
      <c r="BH189" s="1354"/>
      <c r="BI189" s="1354"/>
      <c r="BJ189" s="1354"/>
      <c r="BK189" s="1354"/>
    </row>
    <row r="190" spans="1:63" hidden="1">
      <c r="A190" s="183"/>
      <c r="B190" s="170"/>
      <c r="C190" s="169"/>
      <c r="D190" s="169"/>
      <c r="E190" s="169"/>
      <c r="F190" s="169"/>
      <c r="G190" s="169"/>
      <c r="H190" s="169"/>
      <c r="I190" s="169"/>
      <c r="J190" s="169"/>
      <c r="K190" s="183"/>
      <c r="L190" s="183"/>
      <c r="M190" s="183"/>
      <c r="N190" s="183"/>
      <c r="O190" s="1354"/>
      <c r="P190" s="1354"/>
      <c r="Q190" s="1354"/>
      <c r="R190" s="1354"/>
      <c r="S190" s="1354"/>
      <c r="T190" s="1354"/>
      <c r="U190" s="1354"/>
      <c r="V190" s="1354"/>
      <c r="W190" s="1354"/>
      <c r="X190" s="1354"/>
      <c r="BH190" s="1354"/>
      <c r="BI190" s="1354"/>
      <c r="BJ190" s="1354"/>
      <c r="BK190" s="1354"/>
    </row>
    <row r="191" spans="1:63" hidden="1">
      <c r="A191" s="183"/>
      <c r="B191" s="170"/>
      <c r="C191" s="169"/>
      <c r="D191" s="169"/>
      <c r="E191" s="169"/>
      <c r="F191" s="169"/>
      <c r="G191" s="169"/>
      <c r="H191" s="169"/>
      <c r="I191" s="169"/>
      <c r="J191" s="169"/>
      <c r="K191" s="183"/>
      <c r="L191" s="183"/>
      <c r="M191" s="183"/>
      <c r="N191" s="183"/>
      <c r="O191" s="1354"/>
      <c r="P191" s="1354"/>
      <c r="Q191" s="1354"/>
      <c r="R191" s="1354"/>
      <c r="S191" s="1354"/>
      <c r="T191" s="1354"/>
      <c r="U191" s="1354"/>
      <c r="V191" s="1354"/>
      <c r="W191" s="1354"/>
      <c r="X191" s="1354"/>
      <c r="BH191" s="1354"/>
      <c r="BI191" s="1354"/>
      <c r="BJ191" s="1354"/>
      <c r="BK191" s="1354"/>
    </row>
    <row r="192" spans="1:63" hidden="1">
      <c r="A192" s="183"/>
      <c r="B192" s="170"/>
      <c r="C192" s="169"/>
      <c r="D192" s="169"/>
      <c r="E192" s="169"/>
      <c r="F192" s="169"/>
      <c r="G192" s="169"/>
      <c r="H192" s="169"/>
      <c r="I192" s="169"/>
      <c r="J192" s="169"/>
      <c r="K192" s="183"/>
      <c r="L192" s="183"/>
      <c r="M192" s="183"/>
      <c r="N192" s="183"/>
      <c r="O192" s="1354"/>
      <c r="P192" s="1354"/>
      <c r="Q192" s="1354"/>
      <c r="R192" s="1354"/>
      <c r="S192" s="1354"/>
      <c r="T192" s="1354"/>
      <c r="U192" s="1354"/>
      <c r="V192" s="1354"/>
      <c r="W192" s="1354"/>
      <c r="X192" s="1354"/>
      <c r="BH192" s="1354"/>
      <c r="BI192" s="1354"/>
      <c r="BJ192" s="1354"/>
      <c r="BK192" s="1354"/>
    </row>
    <row r="193" spans="1:63" hidden="1">
      <c r="A193" s="183"/>
      <c r="B193" s="170"/>
      <c r="C193" s="169"/>
      <c r="D193" s="169"/>
      <c r="E193" s="169"/>
      <c r="F193" s="169"/>
      <c r="G193" s="169"/>
      <c r="H193" s="169"/>
      <c r="I193" s="169"/>
      <c r="J193" s="169"/>
      <c r="K193" s="183"/>
      <c r="L193" s="183"/>
      <c r="M193" s="183"/>
      <c r="N193" s="183"/>
      <c r="O193" s="1354"/>
      <c r="P193" s="1354"/>
      <c r="Q193" s="1354"/>
      <c r="R193" s="1354"/>
      <c r="S193" s="1354"/>
      <c r="T193" s="1354"/>
      <c r="U193" s="1354"/>
      <c r="V193" s="1354"/>
      <c r="W193" s="1354"/>
      <c r="X193" s="1354"/>
      <c r="BH193" s="1354"/>
      <c r="BI193" s="1354"/>
      <c r="BJ193" s="1354"/>
      <c r="BK193" s="1354"/>
    </row>
    <row r="194" spans="1:63" hidden="1">
      <c r="A194" s="183"/>
      <c r="B194" s="170"/>
      <c r="C194" s="169"/>
      <c r="D194" s="169"/>
      <c r="E194" s="169"/>
      <c r="F194" s="169"/>
      <c r="G194" s="169"/>
      <c r="H194" s="169"/>
      <c r="I194" s="169"/>
      <c r="J194" s="169"/>
      <c r="K194" s="183"/>
      <c r="L194" s="183"/>
      <c r="M194" s="183"/>
      <c r="N194" s="183"/>
      <c r="O194" s="1354"/>
      <c r="P194" s="1354"/>
      <c r="Q194" s="1354"/>
      <c r="R194" s="1354"/>
      <c r="S194" s="1354"/>
      <c r="T194" s="1354"/>
      <c r="U194" s="1354"/>
      <c r="V194" s="1354"/>
      <c r="W194" s="1354"/>
      <c r="X194" s="1354"/>
      <c r="BH194" s="1354"/>
      <c r="BI194" s="1354"/>
      <c r="BJ194" s="1354"/>
      <c r="BK194" s="1354"/>
    </row>
    <row r="195" spans="1:63" hidden="1">
      <c r="A195" s="183"/>
      <c r="B195" s="170"/>
      <c r="C195" s="169"/>
      <c r="D195" s="169"/>
      <c r="E195" s="169"/>
      <c r="F195" s="169"/>
      <c r="G195" s="169"/>
      <c r="H195" s="169"/>
      <c r="I195" s="169"/>
      <c r="J195" s="169"/>
      <c r="K195" s="183"/>
      <c r="L195" s="183"/>
      <c r="M195" s="183"/>
      <c r="N195" s="183"/>
      <c r="O195" s="1354"/>
      <c r="P195" s="1354"/>
      <c r="Q195" s="1354"/>
      <c r="R195" s="1354"/>
      <c r="S195" s="1354"/>
      <c r="T195" s="1354"/>
      <c r="U195" s="1354"/>
      <c r="V195" s="1354"/>
      <c r="W195" s="1354"/>
      <c r="X195" s="1354"/>
      <c r="BH195" s="1354"/>
      <c r="BI195" s="1354"/>
      <c r="BJ195" s="1354"/>
      <c r="BK195" s="1354"/>
    </row>
    <row r="196" spans="1:63" hidden="1">
      <c r="A196" s="183"/>
      <c r="B196" s="170"/>
      <c r="C196" s="169"/>
      <c r="D196" s="169"/>
      <c r="E196" s="169"/>
      <c r="F196" s="169"/>
      <c r="G196" s="169"/>
      <c r="H196" s="169"/>
      <c r="I196" s="169"/>
      <c r="J196" s="169"/>
      <c r="K196" s="183"/>
      <c r="L196" s="183"/>
      <c r="M196" s="183"/>
      <c r="N196" s="183"/>
      <c r="O196" s="1354"/>
      <c r="P196" s="1354"/>
      <c r="Q196" s="1354"/>
      <c r="R196" s="1354"/>
      <c r="S196" s="1354"/>
      <c r="T196" s="1354"/>
      <c r="U196" s="1354"/>
      <c r="V196" s="1354"/>
      <c r="W196" s="1354"/>
      <c r="X196" s="1354"/>
      <c r="BH196" s="1354"/>
      <c r="BI196" s="1354"/>
      <c r="BJ196" s="1354"/>
      <c r="BK196" s="1354"/>
    </row>
    <row r="197" spans="1:63" hidden="1">
      <c r="A197" s="183"/>
      <c r="B197" s="170"/>
      <c r="C197" s="169"/>
      <c r="D197" s="169"/>
      <c r="E197" s="169"/>
      <c r="F197" s="169"/>
      <c r="G197" s="169"/>
      <c r="H197" s="169"/>
      <c r="I197" s="169"/>
      <c r="J197" s="169"/>
      <c r="K197" s="183"/>
      <c r="L197" s="183"/>
      <c r="M197" s="183"/>
      <c r="N197" s="183"/>
      <c r="O197" s="1354"/>
      <c r="P197" s="1354"/>
      <c r="Q197" s="1354"/>
      <c r="R197" s="1354"/>
      <c r="S197" s="1354"/>
      <c r="T197" s="1354"/>
      <c r="U197" s="1354"/>
      <c r="V197" s="1354"/>
      <c r="W197" s="1354"/>
      <c r="X197" s="1354"/>
      <c r="BH197" s="1354"/>
      <c r="BI197" s="1354"/>
      <c r="BJ197" s="1354"/>
      <c r="BK197" s="1354"/>
    </row>
    <row r="198" spans="1:63" hidden="1">
      <c r="A198" s="183"/>
      <c r="B198" s="170"/>
      <c r="C198" s="169"/>
      <c r="D198" s="169"/>
      <c r="E198" s="169"/>
      <c r="F198" s="169"/>
      <c r="G198" s="169"/>
      <c r="H198" s="169"/>
      <c r="I198" s="169"/>
      <c r="J198" s="169"/>
      <c r="K198" s="183"/>
      <c r="L198" s="183"/>
      <c r="M198" s="183"/>
      <c r="N198" s="183"/>
      <c r="O198" s="1354"/>
      <c r="P198" s="1354"/>
      <c r="Q198" s="1354"/>
      <c r="R198" s="1354"/>
      <c r="S198" s="1354"/>
      <c r="T198" s="1354"/>
      <c r="U198" s="1354"/>
      <c r="V198" s="1354"/>
      <c r="W198" s="1354"/>
      <c r="X198" s="1354"/>
      <c r="BH198" s="1354"/>
      <c r="BI198" s="1354"/>
      <c r="BJ198" s="1354"/>
      <c r="BK198" s="1354"/>
    </row>
    <row r="199" spans="1:63" hidden="1">
      <c r="A199" s="183"/>
      <c r="B199" s="170"/>
      <c r="C199" s="169"/>
      <c r="D199" s="169"/>
      <c r="E199" s="169"/>
      <c r="F199" s="169"/>
      <c r="G199" s="169"/>
      <c r="H199" s="169"/>
      <c r="I199" s="169"/>
      <c r="J199" s="169"/>
      <c r="K199" s="183"/>
      <c r="L199" s="183"/>
      <c r="M199" s="183"/>
      <c r="N199" s="183"/>
      <c r="O199" s="1354"/>
      <c r="P199" s="1354"/>
      <c r="Q199" s="1354"/>
      <c r="R199" s="1354"/>
      <c r="S199" s="1354"/>
      <c r="T199" s="1354"/>
      <c r="U199" s="1354"/>
      <c r="V199" s="1354"/>
      <c r="W199" s="1354"/>
      <c r="X199" s="1354"/>
      <c r="BH199" s="1354"/>
      <c r="BI199" s="1354"/>
      <c r="BJ199" s="1354"/>
      <c r="BK199" s="1354"/>
    </row>
    <row r="200" spans="1:63" hidden="1">
      <c r="A200" s="183"/>
      <c r="B200" s="170"/>
      <c r="C200" s="169"/>
      <c r="D200" s="169"/>
      <c r="E200" s="169"/>
      <c r="F200" s="169"/>
      <c r="G200" s="169"/>
      <c r="H200" s="169"/>
      <c r="I200" s="169"/>
      <c r="J200" s="169"/>
      <c r="K200" s="183"/>
      <c r="L200" s="183"/>
      <c r="M200" s="183"/>
      <c r="N200" s="183"/>
      <c r="O200" s="1354"/>
      <c r="P200" s="1354"/>
      <c r="Q200" s="1354"/>
      <c r="R200" s="1354"/>
      <c r="S200" s="1354"/>
      <c r="T200" s="1354"/>
      <c r="U200" s="1354"/>
      <c r="V200" s="1354"/>
      <c r="W200" s="1354"/>
      <c r="X200" s="1354"/>
      <c r="BH200" s="1354"/>
      <c r="BI200" s="1354"/>
      <c r="BJ200" s="1354"/>
      <c r="BK200" s="1354"/>
    </row>
    <row r="201" spans="1:63" hidden="1">
      <c r="A201" s="183"/>
      <c r="B201" s="170"/>
      <c r="C201" s="169"/>
      <c r="D201" s="169"/>
      <c r="E201" s="169"/>
      <c r="F201" s="169"/>
      <c r="G201" s="169"/>
      <c r="H201" s="169"/>
      <c r="I201" s="169"/>
      <c r="J201" s="169"/>
      <c r="K201" s="183"/>
      <c r="L201" s="183"/>
      <c r="M201" s="183"/>
      <c r="N201" s="183"/>
      <c r="O201" s="1354"/>
      <c r="P201" s="1354"/>
      <c r="Q201" s="1354"/>
      <c r="R201" s="1354"/>
      <c r="S201" s="1354"/>
      <c r="T201" s="1354"/>
      <c r="U201" s="1354"/>
      <c r="V201" s="1354"/>
      <c r="W201" s="1354"/>
      <c r="X201" s="1354"/>
      <c r="BH201" s="1354"/>
      <c r="BI201" s="1354"/>
      <c r="BJ201" s="1354"/>
      <c r="BK201" s="1354"/>
    </row>
    <row r="202" spans="1:63" hidden="1">
      <c r="A202" s="183"/>
      <c r="B202" s="170"/>
      <c r="C202" s="169"/>
      <c r="D202" s="169"/>
      <c r="E202" s="169"/>
      <c r="F202" s="169"/>
      <c r="G202" s="169"/>
      <c r="H202" s="169"/>
      <c r="I202" s="169"/>
      <c r="J202" s="169"/>
      <c r="K202" s="183"/>
      <c r="L202" s="183"/>
      <c r="M202" s="183"/>
      <c r="N202" s="183"/>
      <c r="O202" s="1354"/>
      <c r="P202" s="1354"/>
      <c r="Q202" s="1354"/>
      <c r="R202" s="1354"/>
      <c r="S202" s="1354"/>
      <c r="T202" s="1354"/>
      <c r="U202" s="1354"/>
      <c r="V202" s="1354"/>
      <c r="W202" s="1354"/>
      <c r="X202" s="1354"/>
      <c r="BH202" s="1354"/>
      <c r="BI202" s="1354"/>
      <c r="BJ202" s="1354"/>
      <c r="BK202" s="1354"/>
    </row>
    <row r="203" spans="1:63" hidden="1">
      <c r="A203" s="183"/>
      <c r="B203" s="170"/>
      <c r="C203" s="169"/>
      <c r="D203" s="169"/>
      <c r="E203" s="169"/>
      <c r="F203" s="169"/>
      <c r="G203" s="169"/>
      <c r="H203" s="169"/>
      <c r="I203" s="169"/>
      <c r="J203" s="169"/>
      <c r="K203" s="183"/>
      <c r="L203" s="183"/>
      <c r="M203" s="183"/>
      <c r="N203" s="183"/>
      <c r="O203" s="1354"/>
      <c r="P203" s="1354"/>
      <c r="Q203" s="1354"/>
      <c r="R203" s="1354"/>
      <c r="S203" s="1354"/>
      <c r="T203" s="1354"/>
      <c r="U203" s="1354"/>
      <c r="V203" s="1354"/>
      <c r="W203" s="1354"/>
      <c r="X203" s="1354"/>
      <c r="BH203" s="1354"/>
      <c r="BI203" s="1354"/>
      <c r="BJ203" s="1354"/>
      <c r="BK203" s="1354"/>
    </row>
    <row r="204" spans="1:63" hidden="1">
      <c r="A204" s="183"/>
      <c r="B204" s="170"/>
      <c r="C204" s="169"/>
      <c r="D204" s="169"/>
      <c r="E204" s="169"/>
      <c r="F204" s="169"/>
      <c r="G204" s="169"/>
      <c r="H204" s="169"/>
      <c r="I204" s="169"/>
      <c r="J204" s="169"/>
      <c r="K204" s="183"/>
      <c r="L204" s="183"/>
      <c r="M204" s="183"/>
      <c r="N204" s="183"/>
      <c r="O204" s="1354"/>
      <c r="P204" s="1354"/>
      <c r="Q204" s="1354"/>
      <c r="R204" s="1354"/>
      <c r="S204" s="1354"/>
      <c r="T204" s="1354"/>
      <c r="U204" s="1354"/>
      <c r="V204" s="1354"/>
      <c r="W204" s="1354"/>
      <c r="X204" s="1354"/>
      <c r="BH204" s="1354"/>
      <c r="BI204" s="1354"/>
      <c r="BJ204" s="1354"/>
      <c r="BK204" s="1354"/>
    </row>
    <row r="205" spans="1:63" hidden="1">
      <c r="A205" s="183"/>
      <c r="B205" s="170"/>
      <c r="C205" s="169"/>
      <c r="D205" s="169"/>
      <c r="E205" s="169"/>
      <c r="F205" s="169"/>
      <c r="G205" s="169"/>
      <c r="H205" s="169"/>
      <c r="I205" s="169"/>
      <c r="J205" s="169"/>
      <c r="K205" s="183"/>
      <c r="L205" s="183"/>
      <c r="M205" s="183"/>
      <c r="N205" s="183"/>
      <c r="O205" s="1354"/>
      <c r="P205" s="1354"/>
      <c r="Q205" s="1354"/>
      <c r="R205" s="1354"/>
      <c r="S205" s="1354"/>
      <c r="T205" s="1354"/>
      <c r="U205" s="1354"/>
      <c r="V205" s="1354"/>
      <c r="W205" s="1354"/>
      <c r="X205" s="1354"/>
      <c r="BH205" s="1354"/>
      <c r="BI205" s="1354"/>
      <c r="BJ205" s="1354"/>
      <c r="BK205" s="1354"/>
    </row>
    <row r="206" spans="1:63" hidden="1">
      <c r="A206" s="183"/>
      <c r="B206" s="170"/>
      <c r="C206" s="169"/>
      <c r="D206" s="169"/>
      <c r="E206" s="169"/>
      <c r="F206" s="169"/>
      <c r="G206" s="169"/>
      <c r="H206" s="169"/>
      <c r="I206" s="169"/>
      <c r="J206" s="169"/>
      <c r="K206" s="183"/>
      <c r="L206" s="183"/>
      <c r="M206" s="183"/>
      <c r="N206" s="183"/>
      <c r="O206" s="1354"/>
      <c r="P206" s="1354"/>
      <c r="Q206" s="1354"/>
      <c r="R206" s="1354"/>
      <c r="S206" s="1354"/>
      <c r="T206" s="1354"/>
      <c r="U206" s="1354"/>
      <c r="V206" s="1354"/>
      <c r="W206" s="1354"/>
      <c r="X206" s="1354"/>
      <c r="BH206" s="1354"/>
      <c r="BI206" s="1354"/>
      <c r="BJ206" s="1354"/>
      <c r="BK206" s="1354"/>
    </row>
    <row r="207" spans="1:63" hidden="1">
      <c r="A207" s="183"/>
      <c r="B207" s="170"/>
      <c r="C207" s="169"/>
      <c r="D207" s="169"/>
      <c r="E207" s="169"/>
      <c r="F207" s="169"/>
      <c r="G207" s="169"/>
      <c r="H207" s="169"/>
      <c r="I207" s="169"/>
      <c r="J207" s="169"/>
      <c r="K207" s="183"/>
      <c r="L207" s="183"/>
      <c r="M207" s="183"/>
      <c r="N207" s="183"/>
      <c r="O207" s="1354"/>
      <c r="P207" s="1354"/>
      <c r="Q207" s="1354"/>
      <c r="R207" s="1354"/>
      <c r="S207" s="1354"/>
      <c r="T207" s="1354"/>
      <c r="U207" s="1354"/>
      <c r="V207" s="1354"/>
      <c r="W207" s="1354"/>
      <c r="X207" s="1354"/>
      <c r="BH207" s="1354"/>
      <c r="BI207" s="1354"/>
      <c r="BJ207" s="1354"/>
      <c r="BK207" s="1354"/>
    </row>
    <row r="208" spans="1:63" hidden="1">
      <c r="A208" s="183"/>
      <c r="B208" s="170"/>
      <c r="C208" s="169"/>
      <c r="D208" s="169"/>
      <c r="E208" s="169"/>
      <c r="F208" s="169"/>
      <c r="G208" s="169"/>
      <c r="H208" s="169"/>
      <c r="I208" s="169"/>
      <c r="J208" s="169"/>
      <c r="K208" s="183"/>
      <c r="L208" s="183"/>
      <c r="M208" s="183"/>
      <c r="N208" s="183"/>
      <c r="O208" s="1354"/>
      <c r="P208" s="1354"/>
      <c r="Q208" s="1354"/>
      <c r="R208" s="1354"/>
      <c r="S208" s="1354"/>
      <c r="T208" s="1354"/>
      <c r="U208" s="1354"/>
      <c r="V208" s="1354"/>
      <c r="W208" s="1354"/>
      <c r="X208" s="1354"/>
      <c r="BH208" s="1354"/>
      <c r="BI208" s="1354"/>
      <c r="BJ208" s="1354"/>
      <c r="BK208" s="1354"/>
    </row>
    <row r="209" spans="1:63" hidden="1">
      <c r="A209" s="183"/>
      <c r="B209" s="170"/>
      <c r="C209" s="169"/>
      <c r="D209" s="169"/>
      <c r="E209" s="169"/>
      <c r="F209" s="169"/>
      <c r="G209" s="169"/>
      <c r="H209" s="169"/>
      <c r="I209" s="169"/>
      <c r="J209" s="169"/>
      <c r="K209" s="183"/>
      <c r="L209" s="183"/>
      <c r="M209" s="183"/>
      <c r="N209" s="183"/>
      <c r="O209" s="1354"/>
      <c r="P209" s="1354"/>
      <c r="Q209" s="1354"/>
      <c r="R209" s="1354"/>
      <c r="S209" s="1354"/>
      <c r="T209" s="1354"/>
      <c r="U209" s="1354"/>
      <c r="V209" s="1354"/>
      <c r="W209" s="1354"/>
      <c r="X209" s="1354"/>
      <c r="BH209" s="1354"/>
      <c r="BI209" s="1354"/>
      <c r="BJ209" s="1354"/>
      <c r="BK209" s="1354"/>
    </row>
    <row r="210" spans="1:63" hidden="1">
      <c r="A210" s="183"/>
      <c r="B210" s="170"/>
      <c r="C210" s="169"/>
      <c r="D210" s="169"/>
      <c r="E210" s="169"/>
      <c r="F210" s="169"/>
      <c r="G210" s="169"/>
      <c r="H210" s="169"/>
      <c r="I210" s="169"/>
      <c r="J210" s="169"/>
      <c r="K210" s="183"/>
      <c r="L210" s="183"/>
      <c r="M210" s="183"/>
      <c r="N210" s="183"/>
      <c r="O210" s="1354"/>
      <c r="P210" s="1354"/>
      <c r="Q210" s="1354"/>
      <c r="R210" s="1354"/>
      <c r="S210" s="1354"/>
      <c r="T210" s="1354"/>
      <c r="U210" s="1354"/>
      <c r="V210" s="1354"/>
      <c r="W210" s="1354"/>
      <c r="X210" s="1354"/>
      <c r="BH210" s="1354"/>
      <c r="BI210" s="1354"/>
      <c r="BJ210" s="1354"/>
      <c r="BK210" s="1354"/>
    </row>
    <row r="211" spans="1:63" hidden="1">
      <c r="A211" s="183"/>
      <c r="B211" s="170"/>
      <c r="C211" s="169"/>
      <c r="D211" s="169"/>
      <c r="E211" s="169"/>
      <c r="F211" s="169"/>
      <c r="G211" s="169"/>
      <c r="H211" s="169"/>
      <c r="I211" s="169"/>
      <c r="J211" s="169"/>
      <c r="K211" s="183"/>
      <c r="L211" s="183"/>
      <c r="M211" s="183"/>
      <c r="N211" s="183"/>
      <c r="O211" s="1354"/>
      <c r="P211" s="1354"/>
      <c r="Q211" s="1354"/>
      <c r="R211" s="1354"/>
      <c r="S211" s="1354"/>
      <c r="T211" s="1354"/>
      <c r="U211" s="1354"/>
      <c r="V211" s="1354"/>
      <c r="W211" s="1354"/>
      <c r="X211" s="1354"/>
      <c r="BH211" s="1354"/>
      <c r="BI211" s="1354"/>
      <c r="BJ211" s="1354"/>
      <c r="BK211" s="1354"/>
    </row>
    <row r="212" spans="1:63" hidden="1">
      <c r="A212" s="183"/>
      <c r="B212" s="170"/>
      <c r="C212" s="169"/>
      <c r="D212" s="169"/>
      <c r="E212" s="169"/>
      <c r="F212" s="169"/>
      <c r="G212" s="169"/>
      <c r="H212" s="169"/>
      <c r="I212" s="169"/>
      <c r="J212" s="169"/>
      <c r="K212" s="183"/>
      <c r="L212" s="183"/>
      <c r="M212" s="183"/>
      <c r="N212" s="183"/>
      <c r="O212" s="1354"/>
      <c r="P212" s="1354"/>
      <c r="Q212" s="1354"/>
      <c r="R212" s="1354"/>
      <c r="S212" s="1354"/>
      <c r="T212" s="1354"/>
      <c r="U212" s="1354"/>
      <c r="V212" s="1354"/>
      <c r="W212" s="1354"/>
      <c r="X212" s="1354"/>
      <c r="BH212" s="1354"/>
      <c r="BI212" s="1354"/>
      <c r="BJ212" s="1354"/>
      <c r="BK212" s="1354"/>
    </row>
    <row r="213" spans="1:63" hidden="1">
      <c r="A213" s="183"/>
      <c r="B213" s="170"/>
      <c r="C213" s="169"/>
      <c r="D213" s="169"/>
      <c r="E213" s="169"/>
      <c r="F213" s="169"/>
      <c r="G213" s="169"/>
      <c r="H213" s="169"/>
      <c r="I213" s="169"/>
      <c r="J213" s="169"/>
      <c r="K213" s="183"/>
      <c r="L213" s="183"/>
      <c r="M213" s="183"/>
      <c r="N213" s="183"/>
      <c r="O213" s="1354"/>
      <c r="P213" s="1354"/>
      <c r="Q213" s="1354"/>
      <c r="R213" s="1354"/>
      <c r="S213" s="1354"/>
      <c r="T213" s="1354"/>
      <c r="U213" s="1354"/>
      <c r="V213" s="1354"/>
      <c r="W213" s="1354"/>
      <c r="X213" s="1354"/>
      <c r="BH213" s="1354"/>
      <c r="BI213" s="1354"/>
      <c r="BJ213" s="1354"/>
      <c r="BK213" s="1354"/>
    </row>
    <row r="214" spans="1:63" hidden="1">
      <c r="A214" s="183"/>
      <c r="B214" s="170"/>
      <c r="C214" s="169"/>
      <c r="D214" s="169"/>
      <c r="E214" s="169"/>
      <c r="F214" s="169"/>
      <c r="G214" s="169"/>
      <c r="H214" s="169"/>
      <c r="I214" s="169"/>
      <c r="J214" s="169"/>
      <c r="K214" s="183"/>
      <c r="L214" s="183"/>
      <c r="M214" s="183"/>
      <c r="N214" s="183"/>
      <c r="O214" s="1354"/>
      <c r="P214" s="1354"/>
      <c r="Q214" s="1354"/>
      <c r="R214" s="1354"/>
      <c r="S214" s="1354"/>
      <c r="T214" s="1354"/>
      <c r="U214" s="1354"/>
      <c r="V214" s="1354"/>
      <c r="W214" s="1354"/>
      <c r="X214" s="1354"/>
      <c r="BH214" s="1354"/>
      <c r="BI214" s="1354"/>
      <c r="BJ214" s="1354"/>
      <c r="BK214" s="1354"/>
    </row>
    <row r="215" spans="1:63" hidden="1">
      <c r="A215" s="183"/>
      <c r="B215" s="170"/>
      <c r="C215" s="169"/>
      <c r="D215" s="169"/>
      <c r="E215" s="169"/>
      <c r="F215" s="169"/>
      <c r="G215" s="169"/>
      <c r="H215" s="169"/>
      <c r="I215" s="169"/>
      <c r="J215" s="169"/>
      <c r="K215" s="183"/>
      <c r="L215" s="183"/>
      <c r="M215" s="183"/>
      <c r="N215" s="183"/>
      <c r="O215" s="1354"/>
      <c r="P215" s="1354"/>
      <c r="Q215" s="1354"/>
      <c r="R215" s="1354"/>
      <c r="S215" s="1354"/>
      <c r="T215" s="1354"/>
      <c r="U215" s="1354"/>
      <c r="V215" s="1354"/>
      <c r="W215" s="1354"/>
      <c r="X215" s="1354"/>
      <c r="BH215" s="1354"/>
      <c r="BI215" s="1354"/>
      <c r="BJ215" s="1354"/>
      <c r="BK215" s="1354"/>
    </row>
    <row r="216" spans="1:63" hidden="1">
      <c r="A216" s="183"/>
      <c r="B216" s="170"/>
      <c r="C216" s="169"/>
      <c r="D216" s="169"/>
      <c r="E216" s="169"/>
      <c r="F216" s="169"/>
      <c r="G216" s="169"/>
      <c r="H216" s="169"/>
      <c r="I216" s="169"/>
      <c r="J216" s="169"/>
      <c r="K216" s="183"/>
      <c r="L216" s="183"/>
      <c r="M216" s="183"/>
      <c r="N216" s="183"/>
      <c r="O216" s="1354"/>
      <c r="P216" s="1354"/>
      <c r="Q216" s="1354"/>
      <c r="R216" s="1354"/>
      <c r="S216" s="1354"/>
      <c r="T216" s="1354"/>
      <c r="U216" s="1354"/>
      <c r="V216" s="1354"/>
      <c r="W216" s="1354"/>
      <c r="X216" s="1354"/>
      <c r="BH216" s="1354"/>
      <c r="BI216" s="1354"/>
      <c r="BJ216" s="1354"/>
      <c r="BK216" s="1354"/>
    </row>
    <row r="217" spans="1:63" hidden="1">
      <c r="A217" s="183"/>
      <c r="B217" s="170"/>
      <c r="C217" s="169"/>
      <c r="D217" s="169"/>
      <c r="E217" s="169"/>
      <c r="F217" s="169"/>
      <c r="G217" s="169"/>
      <c r="H217" s="169"/>
      <c r="I217" s="169"/>
      <c r="J217" s="169"/>
      <c r="K217" s="183"/>
      <c r="L217" s="183"/>
      <c r="M217" s="183"/>
      <c r="N217" s="183"/>
      <c r="O217" s="1354"/>
      <c r="P217" s="1354"/>
      <c r="Q217" s="1354"/>
      <c r="R217" s="1354"/>
      <c r="S217" s="1354"/>
      <c r="T217" s="1354"/>
      <c r="U217" s="1354"/>
      <c r="V217" s="1354"/>
      <c r="W217" s="1354"/>
      <c r="X217" s="1354"/>
      <c r="BH217" s="1354"/>
      <c r="BI217" s="1354"/>
      <c r="BJ217" s="1354"/>
      <c r="BK217" s="1354"/>
    </row>
    <row r="218" spans="1:63" hidden="1">
      <c r="A218" s="183"/>
      <c r="B218" s="170"/>
      <c r="C218" s="169"/>
      <c r="D218" s="169"/>
      <c r="E218" s="169"/>
      <c r="F218" s="169"/>
      <c r="G218" s="169"/>
      <c r="H218" s="169"/>
      <c r="I218" s="169"/>
      <c r="J218" s="169"/>
      <c r="K218" s="183"/>
      <c r="L218" s="183"/>
      <c r="M218" s="183"/>
      <c r="N218" s="183"/>
      <c r="O218" s="1354"/>
      <c r="P218" s="1354"/>
      <c r="Q218" s="1354"/>
      <c r="R218" s="1354"/>
      <c r="S218" s="1354"/>
      <c r="T218" s="1354"/>
      <c r="U218" s="1354"/>
      <c r="V218" s="1354"/>
      <c r="W218" s="1354"/>
      <c r="X218" s="1354"/>
      <c r="BH218" s="1354"/>
      <c r="BI218" s="1354"/>
      <c r="BJ218" s="1354"/>
      <c r="BK218" s="1354"/>
    </row>
    <row r="219" spans="1:63" hidden="1">
      <c r="A219" s="183"/>
      <c r="B219" s="170"/>
      <c r="C219" s="169"/>
      <c r="D219" s="169"/>
      <c r="E219" s="169"/>
      <c r="F219" s="169"/>
      <c r="G219" s="169"/>
      <c r="H219" s="169"/>
      <c r="I219" s="169"/>
      <c r="J219" s="169"/>
      <c r="K219" s="183"/>
      <c r="L219" s="183"/>
      <c r="M219" s="183"/>
      <c r="N219" s="183"/>
      <c r="O219" s="1354"/>
      <c r="P219" s="1354"/>
      <c r="Q219" s="1354"/>
      <c r="R219" s="1354"/>
      <c r="S219" s="1354"/>
      <c r="T219" s="1354"/>
      <c r="U219" s="1354"/>
      <c r="V219" s="1354"/>
      <c r="W219" s="1354"/>
      <c r="X219" s="1354"/>
      <c r="BH219" s="1354"/>
      <c r="BI219" s="1354"/>
      <c r="BJ219" s="1354"/>
      <c r="BK219" s="1354"/>
    </row>
    <row r="220" spans="1:63" hidden="1">
      <c r="A220" s="183"/>
      <c r="B220" s="170"/>
      <c r="C220" s="169"/>
      <c r="D220" s="169"/>
      <c r="E220" s="169"/>
      <c r="F220" s="169"/>
      <c r="G220" s="169"/>
      <c r="H220" s="169"/>
      <c r="I220" s="169"/>
      <c r="J220" s="169"/>
      <c r="K220" s="183"/>
      <c r="L220" s="183"/>
      <c r="M220" s="183"/>
      <c r="N220" s="183"/>
      <c r="O220" s="1354"/>
      <c r="P220" s="1354"/>
      <c r="Q220" s="1354"/>
      <c r="R220" s="1354"/>
      <c r="S220" s="1354"/>
      <c r="T220" s="1354"/>
      <c r="U220" s="1354"/>
      <c r="V220" s="1354"/>
      <c r="W220" s="1354"/>
      <c r="X220" s="1354"/>
      <c r="BH220" s="1354"/>
      <c r="BI220" s="1354"/>
      <c r="BJ220" s="1354"/>
      <c r="BK220" s="1354"/>
    </row>
    <row r="221" spans="1:63" hidden="1">
      <c r="A221" s="183"/>
      <c r="B221" s="170"/>
      <c r="C221" s="169"/>
      <c r="D221" s="169"/>
      <c r="E221" s="169"/>
      <c r="F221" s="169"/>
      <c r="G221" s="169"/>
      <c r="H221" s="169"/>
      <c r="I221" s="169"/>
      <c r="J221" s="169"/>
      <c r="K221" s="183"/>
      <c r="L221" s="183"/>
      <c r="M221" s="183"/>
      <c r="N221" s="183"/>
      <c r="O221" s="1354"/>
      <c r="P221" s="1354"/>
      <c r="Q221" s="1354"/>
      <c r="R221" s="1354"/>
      <c r="S221" s="1354"/>
      <c r="T221" s="1354"/>
      <c r="U221" s="1354"/>
      <c r="V221" s="1354"/>
      <c r="W221" s="1354"/>
      <c r="X221" s="1354"/>
      <c r="BH221" s="1354"/>
      <c r="BI221" s="1354"/>
      <c r="BJ221" s="1354"/>
      <c r="BK221" s="1354"/>
    </row>
    <row r="222" spans="1:63" hidden="1">
      <c r="A222" s="183"/>
      <c r="B222" s="170"/>
      <c r="C222" s="169"/>
      <c r="D222" s="169"/>
      <c r="E222" s="169"/>
      <c r="F222" s="169"/>
      <c r="G222" s="169"/>
      <c r="H222" s="169"/>
      <c r="I222" s="169"/>
      <c r="J222" s="169"/>
      <c r="K222" s="183"/>
      <c r="L222" s="183"/>
      <c r="M222" s="183"/>
      <c r="N222" s="183"/>
      <c r="O222" s="1354"/>
      <c r="P222" s="1354"/>
      <c r="Q222" s="1354"/>
      <c r="R222" s="1354"/>
      <c r="S222" s="1354"/>
      <c r="T222" s="1354"/>
      <c r="U222" s="1354"/>
      <c r="V222" s="1354"/>
      <c r="W222" s="1354"/>
      <c r="X222" s="1354"/>
      <c r="BH222" s="1354"/>
      <c r="BI222" s="1354"/>
      <c r="BJ222" s="1354"/>
      <c r="BK222" s="1354"/>
    </row>
    <row r="223" spans="1:63" hidden="1">
      <c r="A223" s="183"/>
      <c r="B223" s="170"/>
      <c r="C223" s="169"/>
      <c r="D223" s="169"/>
      <c r="E223" s="169"/>
      <c r="F223" s="169"/>
      <c r="G223" s="169"/>
      <c r="H223" s="169"/>
      <c r="I223" s="169"/>
      <c r="J223" s="169"/>
      <c r="K223" s="183"/>
      <c r="L223" s="183"/>
      <c r="M223" s="183"/>
      <c r="N223" s="183"/>
      <c r="O223" s="1354"/>
      <c r="P223" s="1354"/>
      <c r="Q223" s="1354"/>
      <c r="R223" s="1354"/>
      <c r="S223" s="1354"/>
      <c r="T223" s="1354"/>
      <c r="U223" s="1354"/>
      <c r="V223" s="1354"/>
      <c r="W223" s="1354"/>
      <c r="X223" s="1354"/>
      <c r="BH223" s="1354"/>
      <c r="BI223" s="1354"/>
      <c r="BJ223" s="1354"/>
      <c r="BK223" s="1354"/>
    </row>
    <row r="224" spans="1:63" hidden="1">
      <c r="A224" s="183"/>
      <c r="B224" s="170"/>
      <c r="C224" s="169"/>
      <c r="D224" s="169"/>
      <c r="E224" s="169"/>
      <c r="F224" s="169"/>
      <c r="G224" s="169"/>
      <c r="H224" s="169"/>
      <c r="I224" s="169"/>
      <c r="J224" s="169"/>
      <c r="K224" s="183"/>
      <c r="L224" s="183"/>
      <c r="M224" s="183"/>
      <c r="N224" s="183"/>
      <c r="O224" s="1354"/>
      <c r="P224" s="1354"/>
      <c r="Q224" s="1354"/>
      <c r="R224" s="1354"/>
      <c r="S224" s="1354"/>
      <c r="T224" s="1354"/>
      <c r="U224" s="1354"/>
      <c r="V224" s="1354"/>
      <c r="W224" s="1354"/>
      <c r="X224" s="1354"/>
      <c r="BH224" s="1354"/>
      <c r="BI224" s="1354"/>
      <c r="BJ224" s="1354"/>
      <c r="BK224" s="1354"/>
    </row>
    <row r="225" spans="1:63" hidden="1">
      <c r="A225" s="183"/>
      <c r="B225" s="170"/>
      <c r="C225" s="169"/>
      <c r="D225" s="169"/>
      <c r="E225" s="169"/>
      <c r="F225" s="169"/>
      <c r="G225" s="169"/>
      <c r="H225" s="169"/>
      <c r="I225" s="169"/>
      <c r="J225" s="169"/>
      <c r="K225" s="183"/>
      <c r="L225" s="183"/>
      <c r="M225" s="183"/>
      <c r="N225" s="183"/>
      <c r="O225" s="1354"/>
      <c r="P225" s="1354"/>
      <c r="Q225" s="1354"/>
      <c r="R225" s="1354"/>
      <c r="S225" s="1354"/>
      <c r="T225" s="1354"/>
      <c r="U225" s="1354"/>
      <c r="V225" s="1354"/>
      <c r="W225" s="1354"/>
      <c r="X225" s="1354"/>
      <c r="BH225" s="1354"/>
      <c r="BI225" s="1354"/>
      <c r="BJ225" s="1354"/>
      <c r="BK225" s="1354"/>
    </row>
    <row r="226" spans="1:63" hidden="1">
      <c r="A226" s="183"/>
      <c r="B226" s="170"/>
      <c r="C226" s="169"/>
      <c r="D226" s="169"/>
      <c r="E226" s="169"/>
      <c r="F226" s="169"/>
      <c r="G226" s="169"/>
      <c r="H226" s="169"/>
      <c r="I226" s="169"/>
      <c r="J226" s="169"/>
      <c r="K226" s="183"/>
      <c r="L226" s="183"/>
      <c r="M226" s="183"/>
      <c r="N226" s="183"/>
      <c r="O226" s="1354"/>
      <c r="P226" s="1354"/>
      <c r="Q226" s="1354"/>
      <c r="R226" s="1354"/>
      <c r="S226" s="1354"/>
      <c r="T226" s="1354"/>
      <c r="U226" s="1354"/>
      <c r="V226" s="1354"/>
      <c r="W226" s="1354"/>
      <c r="X226" s="1354"/>
      <c r="BH226" s="1354"/>
      <c r="BI226" s="1354"/>
      <c r="BJ226" s="1354"/>
      <c r="BK226" s="1354"/>
    </row>
    <row r="227" spans="1:63" hidden="1">
      <c r="A227" s="183"/>
      <c r="B227" s="170"/>
      <c r="C227" s="169"/>
      <c r="D227" s="169"/>
      <c r="E227" s="169"/>
      <c r="F227" s="169"/>
      <c r="G227" s="169"/>
      <c r="H227" s="169"/>
      <c r="I227" s="169"/>
      <c r="J227" s="169"/>
      <c r="K227" s="183"/>
      <c r="L227" s="183"/>
      <c r="M227" s="183"/>
      <c r="N227" s="183"/>
      <c r="O227" s="1354"/>
      <c r="P227" s="1354"/>
      <c r="Q227" s="1354"/>
      <c r="R227" s="1354"/>
      <c r="S227" s="1354"/>
      <c r="T227" s="1354"/>
      <c r="U227" s="1354"/>
      <c r="V227" s="1354"/>
      <c r="W227" s="1354"/>
      <c r="X227" s="1354"/>
      <c r="BH227" s="1354"/>
      <c r="BI227" s="1354"/>
      <c r="BJ227" s="1354"/>
      <c r="BK227" s="1354"/>
    </row>
    <row r="228" spans="1:63" hidden="1">
      <c r="A228" s="183"/>
      <c r="B228" s="170"/>
      <c r="C228" s="169"/>
      <c r="D228" s="169"/>
      <c r="E228" s="169"/>
      <c r="F228" s="169"/>
      <c r="G228" s="169"/>
      <c r="H228" s="169"/>
      <c r="I228" s="169"/>
      <c r="J228" s="169"/>
      <c r="K228" s="183"/>
      <c r="L228" s="183"/>
      <c r="M228" s="183"/>
      <c r="N228" s="183"/>
      <c r="O228" s="1354"/>
      <c r="P228" s="1354"/>
      <c r="Q228" s="1354"/>
      <c r="R228" s="1354"/>
      <c r="S228" s="1354"/>
      <c r="T228" s="1354"/>
      <c r="U228" s="1354"/>
      <c r="V228" s="1354"/>
      <c r="W228" s="1354"/>
      <c r="X228" s="1354"/>
      <c r="BH228" s="1354"/>
      <c r="BI228" s="1354"/>
      <c r="BJ228" s="1354"/>
      <c r="BK228" s="1354"/>
    </row>
    <row r="229" spans="1:63" hidden="1">
      <c r="A229" s="183"/>
      <c r="B229" s="170"/>
      <c r="C229" s="169"/>
      <c r="D229" s="169"/>
      <c r="E229" s="169"/>
      <c r="F229" s="169"/>
      <c r="G229" s="169"/>
      <c r="H229" s="169"/>
      <c r="I229" s="169"/>
      <c r="J229" s="169"/>
      <c r="K229" s="183"/>
      <c r="L229" s="183"/>
      <c r="M229" s="183"/>
      <c r="N229" s="183"/>
      <c r="O229" s="1354"/>
      <c r="P229" s="1354"/>
      <c r="Q229" s="1354"/>
      <c r="R229" s="1354"/>
      <c r="S229" s="1354"/>
      <c r="T229" s="1354"/>
      <c r="U229" s="1354"/>
      <c r="V229" s="1354"/>
      <c r="W229" s="1354"/>
      <c r="X229" s="1354"/>
      <c r="BH229" s="1354"/>
      <c r="BI229" s="1354"/>
      <c r="BJ229" s="1354"/>
      <c r="BK229" s="1354"/>
    </row>
    <row r="230" spans="1:63" hidden="1">
      <c r="A230" s="183"/>
      <c r="B230" s="170"/>
      <c r="C230" s="169"/>
      <c r="D230" s="169"/>
      <c r="E230" s="169"/>
      <c r="F230" s="169"/>
      <c r="G230" s="169"/>
      <c r="H230" s="169"/>
      <c r="I230" s="169"/>
      <c r="J230" s="169"/>
      <c r="K230" s="183"/>
      <c r="L230" s="183"/>
      <c r="M230" s="183"/>
      <c r="N230" s="183"/>
      <c r="O230" s="1354"/>
      <c r="P230" s="1354"/>
      <c r="Q230" s="1354"/>
      <c r="R230" s="1354"/>
      <c r="S230" s="1354"/>
      <c r="T230" s="1354"/>
      <c r="U230" s="1354"/>
      <c r="V230" s="1354"/>
      <c r="W230" s="1354"/>
      <c r="X230" s="1354"/>
      <c r="BH230" s="1354"/>
      <c r="BI230" s="1354"/>
      <c r="BJ230" s="1354"/>
      <c r="BK230" s="1354"/>
    </row>
    <row r="231" spans="1:63" hidden="1">
      <c r="A231" s="183"/>
      <c r="B231" s="170"/>
      <c r="C231" s="169"/>
      <c r="D231" s="169"/>
      <c r="E231" s="169"/>
      <c r="F231" s="169"/>
      <c r="G231" s="169"/>
      <c r="H231" s="169"/>
      <c r="I231" s="169"/>
      <c r="J231" s="169"/>
      <c r="K231" s="183"/>
      <c r="L231" s="183"/>
      <c r="M231" s="183"/>
      <c r="N231" s="183"/>
      <c r="O231" s="1354"/>
      <c r="P231" s="1354"/>
      <c r="Q231" s="1354"/>
      <c r="R231" s="1354"/>
      <c r="S231" s="1354"/>
      <c r="T231" s="1354"/>
      <c r="U231" s="1354"/>
      <c r="V231" s="1354"/>
      <c r="W231" s="1354"/>
      <c r="X231" s="1354"/>
      <c r="BH231" s="1354"/>
      <c r="BI231" s="1354"/>
      <c r="BJ231" s="1354"/>
      <c r="BK231" s="1354"/>
    </row>
  </sheetData>
  <sheetProtection selectLockedCells="1"/>
  <mergeCells count="20">
    <mergeCell ref="Q8:S9"/>
    <mergeCell ref="N3:S3"/>
    <mergeCell ref="N2:S2"/>
    <mergeCell ref="D3:E3"/>
    <mergeCell ref="F3:G3"/>
    <mergeCell ref="H3:I3"/>
    <mergeCell ref="J3:K3"/>
    <mergeCell ref="L2:M2"/>
    <mergeCell ref="D2:E2"/>
    <mergeCell ref="F2:G2"/>
    <mergeCell ref="H2:I2"/>
    <mergeCell ref="J2:K2"/>
    <mergeCell ref="L3:M3"/>
    <mergeCell ref="B25:M25"/>
    <mergeCell ref="C2:C3"/>
    <mergeCell ref="B75:M75"/>
    <mergeCell ref="B2:B3"/>
    <mergeCell ref="C48:M48"/>
    <mergeCell ref="B50:M50"/>
    <mergeCell ref="C73:M73"/>
  </mergeCells>
  <hyperlinks>
    <hyperlink ref="F2" location="'City information'!A1" display="Set-up"/>
    <hyperlink ref="G2" location="'City information'!A1" display="'City information'!A1"/>
    <hyperlink ref="H2" location="Inventory!A1" display="Inventory"/>
    <hyperlink ref="I2" location="Inventory!A1" display="Inventory!A1"/>
    <hyperlink ref="H3" location="Overview!A1" display="Overview"/>
    <hyperlink ref="I3" location="Overview!A1" display="Overview!A1"/>
    <hyperlink ref="D3" location="Summary!A1" display="Summary"/>
    <hyperlink ref="E3" location="Summary!A1" display="Summary!A1"/>
    <hyperlink ref="J2" location="Calculators!A1" display="Calculators"/>
    <hyperlink ref="K2" location="Calculators!A1" display="Calculators!A1"/>
    <hyperlink ref="J3" location="Report!A1" display="Report"/>
    <hyperlink ref="K3" location="Report!A1" display="Report!A1"/>
    <hyperlink ref="N2" location="Analysis!A1" display="Analysis"/>
    <hyperlink ref="O2" location="Analysis!A1" display="Analysis!A1"/>
    <hyperlink ref="P2" location="Analysis!A1" display="Analysis!A1"/>
    <hyperlink ref="Q2" location="Analysis!A1" display="Analysis!A1"/>
    <hyperlink ref="R2" location="Analysis!A1" display="Analysis!A1"/>
    <hyperlink ref="S2" location="Analysis!A1" display="Analysis!A1"/>
    <hyperlink ref="L2" location="Results!A1" display="Results"/>
    <hyperlink ref="M2" location="Results!A1" display="Results!A1"/>
    <hyperlink ref="N3" location="'Net emissions'!A1" display="Net emissions"/>
    <hyperlink ref="D2" location="Home!A1" display="Introduction"/>
    <hyperlink ref="E2" location="Home!A1" display="Home!A1"/>
    <hyperlink ref="L3" location="Audit!A1" display="Audit"/>
  </hyperlinks>
  <printOptions horizontalCentered="1" verticalCentered="1"/>
  <pageMargins left="0.16" right="0.16" top="0.2" bottom="0.08" header="0.19" footer="0.12000000000000001"/>
  <pageSetup paperSize="9" scale="66" fitToHeight="2" orientation="portrait" horizontalDpi="4294967292" verticalDpi="4294967292"/>
  <ignoredErrors>
    <ignoredError sqref="P19:Q19 R58:S73" emptyCellReference="1"/>
    <ignoredError sqref="P75:S80 Q40 S31 S32 S33 Q34:S34 S35 S36 S37 S38 S39 P49:S49 Q45:S45 Q46:S46 Q47:S47 Q48:S48 Q44:S44 Q43 S43 Q42 S42 Q41 S41 S40" evalError="1"/>
  </ignoredErrors>
  <drawing r:id="rId1"/>
  <extLst>
    <ext xmlns:mx="http://schemas.microsoft.com/office/mac/excel/2008/main" uri="{64002731-A6B0-56B0-2670-7721B7C09600}">
      <mx:PLV Mode="0" OnePage="0" WScale="67"/>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tabColor theme="3"/>
    <outlinePr summaryBelow="0"/>
    <pageSetUpPr autoPageBreaks="0" fitToPage="1"/>
  </sheetPr>
  <dimension ref="A1:CK264"/>
  <sheetViews>
    <sheetView showRowColHeaders="0" showZeros="0" workbookViewId="0">
      <selection activeCell="J3" sqref="J3:K3"/>
    </sheetView>
  </sheetViews>
  <sheetFormatPr baseColWidth="10" defaultColWidth="0" defaultRowHeight="15" zeroHeight="1" x14ac:dyDescent="0"/>
  <cols>
    <col min="1" max="1" width="4.83203125" style="169" customWidth="1"/>
    <col min="2" max="2" width="12.83203125" style="187" customWidth="1"/>
    <col min="3" max="10" width="12.83203125" style="183" customWidth="1"/>
    <col min="11" max="14" width="12.83203125" style="169" customWidth="1"/>
    <col min="15" max="15" width="12.83203125" style="182" customWidth="1"/>
    <col min="16" max="16" width="4.83203125" style="182" customWidth="1"/>
    <col min="17" max="19" width="10.83203125" style="182" hidden="1" customWidth="1"/>
    <col min="20" max="59" width="0" style="182" hidden="1" customWidth="1"/>
    <col min="60" max="89" width="0" style="183" hidden="1" customWidth="1"/>
    <col min="90" max="16384" width="10.83203125" style="183" hidden="1"/>
  </cols>
  <sheetData>
    <row r="1" spans="1:89" s="498" customFormat="1"/>
    <row r="2" spans="1:89" s="464" customFormat="1" ht="31" customHeight="1">
      <c r="A2" s="494"/>
      <c r="B2" s="1817" t="s">
        <v>1965</v>
      </c>
      <c r="C2" s="1819">
        <v>400</v>
      </c>
      <c r="D2" s="1849" t="s">
        <v>1555</v>
      </c>
      <c r="E2" s="1850"/>
      <c r="F2" s="1849" t="s">
        <v>1563</v>
      </c>
      <c r="G2" s="1850"/>
      <c r="H2" s="1849" t="s">
        <v>794</v>
      </c>
      <c r="I2" s="1850"/>
      <c r="J2" s="1849" t="s">
        <v>1570</v>
      </c>
      <c r="K2" s="1850"/>
      <c r="L2" s="2047" t="s">
        <v>1564</v>
      </c>
      <c r="M2" s="2033"/>
      <c r="N2" s="2199" t="s">
        <v>1602</v>
      </c>
      <c r="O2" s="2200"/>
      <c r="P2" s="494"/>
      <c r="Q2" s="494"/>
      <c r="R2" s="494"/>
      <c r="S2" s="494"/>
      <c r="T2" s="494"/>
      <c r="U2" s="494"/>
      <c r="V2" s="494"/>
      <c r="W2" s="494"/>
      <c r="X2" s="494"/>
      <c r="Y2" s="494"/>
      <c r="Z2" s="494"/>
      <c r="AA2" s="494"/>
      <c r="AB2" s="494"/>
      <c r="AC2" s="494"/>
      <c r="AD2" s="494"/>
      <c r="AE2" s="494"/>
      <c r="AF2" s="494"/>
      <c r="AG2" s="494"/>
      <c r="AH2" s="494"/>
      <c r="AI2" s="494"/>
      <c r="AJ2" s="494"/>
      <c r="AK2" s="494"/>
      <c r="AL2" s="494"/>
      <c r="AM2" s="494"/>
      <c r="AN2" s="494"/>
      <c r="AO2" s="494"/>
      <c r="AP2" s="494"/>
      <c r="AQ2" s="494"/>
      <c r="AR2" s="494"/>
      <c r="AS2" s="494"/>
      <c r="AT2" s="494"/>
      <c r="AU2" s="494"/>
      <c r="AV2" s="494"/>
      <c r="AW2" s="494"/>
      <c r="AX2" s="494"/>
      <c r="AY2" s="494"/>
      <c r="AZ2" s="494"/>
      <c r="BA2" s="494"/>
      <c r="BB2" s="494"/>
      <c r="BC2" s="494"/>
      <c r="BD2" s="494"/>
      <c r="BE2" s="494"/>
      <c r="BF2" s="494"/>
      <c r="BG2" s="494"/>
      <c r="BH2" s="494"/>
      <c r="BI2" s="494"/>
      <c r="BJ2" s="494"/>
      <c r="BK2" s="494"/>
      <c r="BL2" s="494"/>
      <c r="BM2" s="494"/>
      <c r="BN2" s="494"/>
      <c r="BO2" s="494"/>
      <c r="BP2" s="494"/>
      <c r="BQ2" s="494"/>
      <c r="BR2" s="494"/>
      <c r="BS2" s="494"/>
      <c r="BT2" s="494"/>
      <c r="BU2" s="494"/>
      <c r="BV2" s="494"/>
      <c r="BW2" s="494"/>
      <c r="BX2" s="494"/>
      <c r="BY2" s="494"/>
      <c r="BZ2" s="494"/>
      <c r="CA2" s="494"/>
      <c r="CB2" s="494"/>
      <c r="CC2" s="494"/>
      <c r="CD2" s="494"/>
      <c r="CE2" s="494"/>
      <c r="CF2" s="494"/>
      <c r="CG2" s="494"/>
      <c r="CH2" s="494"/>
      <c r="CI2" s="494"/>
      <c r="CJ2" s="494"/>
      <c r="CK2" s="494"/>
    </row>
    <row r="3" spans="1:89" s="464" customFormat="1" ht="31" customHeight="1">
      <c r="A3" s="494"/>
      <c r="B3" s="1818"/>
      <c r="C3" s="1820"/>
      <c r="D3" s="1843" t="s">
        <v>1567</v>
      </c>
      <c r="E3" s="1844"/>
      <c r="F3" s="1843" t="s">
        <v>1584</v>
      </c>
      <c r="G3" s="1844"/>
      <c r="H3" s="1847" t="s">
        <v>1568</v>
      </c>
      <c r="I3" s="1848"/>
      <c r="J3" s="1843" t="s">
        <v>1569</v>
      </c>
      <c r="K3" s="1844"/>
      <c r="L3" s="2135" t="s">
        <v>1962</v>
      </c>
      <c r="M3" s="2136"/>
      <c r="N3" s="1843" t="s">
        <v>1019</v>
      </c>
      <c r="O3" s="1844"/>
      <c r="P3" s="494"/>
      <c r="Q3" s="494"/>
      <c r="R3" s="494"/>
      <c r="S3" s="494"/>
      <c r="T3" s="494"/>
      <c r="U3" s="494"/>
      <c r="V3" s="494"/>
      <c r="W3" s="494"/>
      <c r="X3" s="494"/>
      <c r="Y3" s="494"/>
      <c r="Z3" s="494"/>
      <c r="AA3" s="494"/>
      <c r="AB3" s="494"/>
      <c r="AC3" s="494"/>
      <c r="AD3" s="494"/>
      <c r="AE3" s="494"/>
      <c r="AF3" s="494"/>
      <c r="AG3" s="494"/>
      <c r="AH3" s="494"/>
      <c r="AI3" s="494"/>
      <c r="AJ3" s="494"/>
      <c r="AK3" s="494"/>
      <c r="AL3" s="494"/>
      <c r="AM3" s="494"/>
      <c r="AN3" s="494"/>
      <c r="AO3" s="494"/>
      <c r="AP3" s="494"/>
      <c r="AQ3" s="494"/>
      <c r="AR3" s="494"/>
      <c r="AS3" s="494"/>
      <c r="AT3" s="494"/>
      <c r="AU3" s="494"/>
      <c r="AV3" s="494"/>
      <c r="AW3" s="494"/>
      <c r="AX3" s="494"/>
      <c r="AY3" s="494"/>
      <c r="AZ3" s="494"/>
      <c r="BA3" s="494"/>
      <c r="BB3" s="494"/>
      <c r="BC3" s="494"/>
      <c r="BD3" s="494"/>
      <c r="BE3" s="494"/>
      <c r="BF3" s="494"/>
      <c r="BG3" s="494"/>
      <c r="BH3" s="494"/>
      <c r="BI3" s="494"/>
      <c r="BJ3" s="494"/>
      <c r="BK3" s="494"/>
      <c r="BL3" s="494"/>
      <c r="BM3" s="494"/>
      <c r="BN3" s="494"/>
      <c r="BO3" s="494"/>
      <c r="BP3" s="494"/>
      <c r="BQ3" s="494"/>
      <c r="BR3" s="494"/>
      <c r="BS3" s="494"/>
      <c r="BT3" s="494"/>
      <c r="BU3" s="494"/>
      <c r="BV3" s="494"/>
      <c r="BW3" s="494"/>
      <c r="BX3" s="494"/>
      <c r="BY3" s="494"/>
      <c r="BZ3" s="494"/>
      <c r="CA3" s="494"/>
      <c r="CB3" s="494"/>
      <c r="CC3" s="494"/>
      <c r="CD3" s="494"/>
      <c r="CE3" s="494"/>
      <c r="CF3" s="494"/>
      <c r="CG3" s="494"/>
      <c r="CH3" s="494"/>
      <c r="CI3" s="494"/>
      <c r="CJ3" s="494"/>
      <c r="CK3" s="494"/>
    </row>
    <row r="4" spans="1:89" s="494" customFormat="1" ht="15" customHeight="1">
      <c r="B4" s="492"/>
      <c r="C4" s="495"/>
      <c r="D4" s="497"/>
      <c r="E4" s="497"/>
      <c r="F4" s="497"/>
      <c r="G4" s="497"/>
      <c r="H4" s="497"/>
      <c r="I4" s="497"/>
      <c r="J4" s="497"/>
      <c r="K4" s="497"/>
      <c r="L4" s="496"/>
      <c r="M4" s="496"/>
      <c r="N4" s="496"/>
      <c r="O4" s="496"/>
    </row>
    <row r="5" spans="1:89" s="15" customFormat="1" ht="31" customHeight="1">
      <c r="O5" s="169"/>
      <c r="P5" s="169"/>
      <c r="Q5" s="182"/>
      <c r="R5" s="182"/>
      <c r="S5" s="182"/>
      <c r="T5" s="182"/>
      <c r="U5" s="182"/>
      <c r="V5" s="182"/>
      <c r="W5" s="182"/>
      <c r="X5" s="182"/>
      <c r="Y5" s="182"/>
      <c r="Z5" s="182"/>
      <c r="AA5" s="182"/>
      <c r="AB5" s="182"/>
      <c r="AC5" s="182"/>
      <c r="AD5" s="182"/>
      <c r="AE5" s="182"/>
      <c r="AF5" s="182"/>
      <c r="AG5" s="182"/>
      <c r="AH5" s="182"/>
      <c r="AI5" s="182"/>
      <c r="AJ5" s="182"/>
      <c r="AK5" s="182"/>
      <c r="AL5" s="182"/>
      <c r="AM5" s="182"/>
      <c r="AN5" s="182"/>
      <c r="AO5" s="182"/>
      <c r="AP5" s="182"/>
      <c r="AQ5" s="182"/>
      <c r="AR5" s="182"/>
      <c r="AS5" s="182"/>
      <c r="AT5" s="182"/>
      <c r="AU5" s="182"/>
      <c r="AV5" s="182"/>
      <c r="AW5" s="182"/>
      <c r="AX5" s="182"/>
      <c r="AY5" s="182"/>
      <c r="AZ5" s="182"/>
      <c r="BA5" s="182"/>
      <c r="BB5" s="182"/>
      <c r="BC5" s="182"/>
      <c r="BD5" s="182"/>
      <c r="BE5" s="182"/>
      <c r="BF5" s="182"/>
      <c r="BG5" s="182"/>
    </row>
    <row r="6" spans="1:89" s="975" customFormat="1" ht="31" customHeight="1" collapsed="1" thickBot="1">
      <c r="A6" s="866"/>
      <c r="B6" s="491" t="s">
        <v>1805</v>
      </c>
      <c r="C6" s="972"/>
      <c r="D6" s="972"/>
      <c r="E6" s="972"/>
      <c r="F6" s="972"/>
      <c r="G6" s="972"/>
      <c r="H6" s="972"/>
      <c r="I6" s="973"/>
      <c r="J6" s="973"/>
      <c r="K6" s="973"/>
      <c r="L6" s="972"/>
      <c r="M6" s="972"/>
      <c r="N6" s="972"/>
      <c r="O6" s="972"/>
      <c r="P6" s="974"/>
      <c r="Q6" s="184"/>
      <c r="R6" s="184"/>
      <c r="S6" s="184"/>
      <c r="T6" s="184"/>
      <c r="U6" s="184"/>
      <c r="V6" s="184"/>
      <c r="W6" s="184"/>
      <c r="X6" s="184"/>
      <c r="Y6" s="184"/>
      <c r="Z6" s="184"/>
      <c r="AA6" s="184"/>
      <c r="AB6" s="184"/>
      <c r="AC6" s="184"/>
      <c r="AD6" s="184"/>
      <c r="AE6" s="184"/>
      <c r="AF6" s="184"/>
      <c r="AG6" s="184"/>
      <c r="AH6" s="184"/>
      <c r="AI6" s="184"/>
      <c r="AJ6" s="184"/>
      <c r="AK6" s="184"/>
      <c r="AL6" s="184"/>
      <c r="AM6" s="184"/>
      <c r="AN6" s="184"/>
      <c r="AO6" s="184"/>
      <c r="AP6" s="184"/>
      <c r="AQ6" s="184"/>
      <c r="AR6" s="184"/>
      <c r="AS6" s="184"/>
      <c r="AT6" s="184"/>
      <c r="AU6" s="184"/>
      <c r="AV6" s="184"/>
      <c r="AW6" s="184"/>
      <c r="AX6" s="184"/>
      <c r="AY6" s="184"/>
      <c r="AZ6" s="184"/>
      <c r="BA6" s="184"/>
      <c r="BB6" s="184"/>
      <c r="BC6" s="184"/>
      <c r="BD6" s="184"/>
      <c r="BE6" s="184"/>
      <c r="BF6" s="184"/>
      <c r="BG6" s="184"/>
    </row>
    <row r="7" spans="1:89" s="515" customFormat="1" ht="15" customHeight="1" thickTop="1">
      <c r="B7" s="519"/>
      <c r="C7" s="520"/>
      <c r="D7" s="520"/>
      <c r="E7" s="520"/>
      <c r="F7" s="520"/>
      <c r="G7" s="520"/>
      <c r="H7" s="520"/>
      <c r="I7" s="521"/>
      <c r="J7" s="521"/>
      <c r="K7" s="521"/>
      <c r="L7" s="522"/>
      <c r="M7" s="522"/>
      <c r="N7" s="15"/>
      <c r="O7" s="169"/>
      <c r="P7" s="169"/>
      <c r="Q7" s="614"/>
      <c r="R7" s="614"/>
      <c r="S7" s="614"/>
      <c r="T7" s="614"/>
      <c r="U7" s="614"/>
      <c r="V7" s="182"/>
      <c r="W7" s="182"/>
      <c r="X7" s="182"/>
      <c r="Y7" s="182"/>
      <c r="Z7" s="182"/>
      <c r="AA7" s="182"/>
      <c r="AB7" s="182"/>
      <c r="AC7" s="182"/>
      <c r="AD7" s="182"/>
      <c r="AE7" s="182"/>
      <c r="AF7" s="182"/>
      <c r="AG7" s="182"/>
      <c r="AH7" s="182"/>
      <c r="AI7" s="182"/>
      <c r="AJ7" s="182"/>
      <c r="AK7" s="182"/>
      <c r="AL7" s="182"/>
      <c r="AM7" s="182"/>
      <c r="AN7" s="182"/>
      <c r="AO7" s="182"/>
      <c r="AP7" s="182"/>
      <c r="AQ7" s="182"/>
      <c r="AR7" s="182"/>
      <c r="AS7" s="182"/>
      <c r="AT7" s="182"/>
      <c r="AU7" s="182"/>
      <c r="AV7" s="182"/>
      <c r="AW7" s="182"/>
      <c r="AX7" s="182"/>
      <c r="AY7" s="182"/>
      <c r="AZ7" s="182"/>
      <c r="BA7" s="182"/>
      <c r="BB7" s="182"/>
      <c r="BC7" s="182"/>
      <c r="BD7" s="182"/>
      <c r="BE7" s="182"/>
      <c r="BF7" s="182"/>
      <c r="BG7" s="182"/>
    </row>
    <row r="8" spans="1:89" s="169" customFormat="1" ht="18" customHeight="1">
      <c r="A8" s="43"/>
      <c r="B8" s="167" t="s">
        <v>752</v>
      </c>
      <c r="C8" s="168"/>
      <c r="D8" s="168" t="str">
        <f>IF('City information'!E11="",'City information'!E10,CONCATENATE('City information'!E10,", ",'City information'!E11))</f>
        <v>Atlantis, Gondwana</v>
      </c>
      <c r="E8" s="168"/>
      <c r="I8" s="167" t="s">
        <v>753</v>
      </c>
      <c r="K8" s="180">
        <f>'City information'!E18</f>
        <v>4000000</v>
      </c>
      <c r="N8" s="15"/>
      <c r="O8" s="2174" t="s">
        <v>1994</v>
      </c>
      <c r="Q8" s="614"/>
      <c r="R8" s="614"/>
      <c r="S8" s="614"/>
      <c r="T8" s="614"/>
      <c r="U8" s="614"/>
      <c r="V8" s="182"/>
      <c r="W8" s="182"/>
      <c r="X8" s="182"/>
      <c r="Y8" s="182"/>
      <c r="Z8" s="182"/>
      <c r="AA8" s="182"/>
      <c r="AB8" s="182"/>
      <c r="AC8" s="182"/>
      <c r="AD8" s="182"/>
      <c r="AE8" s="182"/>
      <c r="AF8" s="182"/>
      <c r="AG8" s="182"/>
      <c r="AH8" s="182"/>
      <c r="AI8" s="182"/>
      <c r="AJ8" s="182"/>
      <c r="AK8" s="182"/>
      <c r="AL8" s="182"/>
      <c r="AM8" s="182"/>
      <c r="AN8" s="182"/>
      <c r="AO8" s="182"/>
      <c r="AP8" s="182"/>
      <c r="AQ8" s="182"/>
      <c r="AR8" s="182"/>
      <c r="AS8" s="182"/>
      <c r="AT8" s="182"/>
      <c r="AU8" s="182"/>
      <c r="AV8" s="182"/>
      <c r="AW8" s="182"/>
      <c r="AX8" s="182"/>
      <c r="AY8" s="182"/>
      <c r="AZ8" s="182"/>
      <c r="BA8" s="182"/>
      <c r="BB8" s="182"/>
      <c r="BC8" s="182"/>
      <c r="BD8" s="182"/>
      <c r="BE8" s="182"/>
      <c r="BF8" s="182"/>
      <c r="BG8" s="182"/>
    </row>
    <row r="9" spans="1:89" s="169" customFormat="1" ht="18">
      <c r="A9" s="43"/>
      <c r="B9" s="167" t="s">
        <v>2616</v>
      </c>
      <c r="C9" s="168"/>
      <c r="D9" s="168" t="str">
        <f>'City information'!E29</f>
        <v>BASIC</v>
      </c>
      <c r="E9" s="168"/>
      <c r="I9" s="167" t="s">
        <v>755</v>
      </c>
      <c r="K9" s="180">
        <f>'City information'!E17</f>
        <v>1000</v>
      </c>
      <c r="O9" s="2175"/>
      <c r="Q9" s="614"/>
      <c r="R9" s="614"/>
      <c r="S9" s="614"/>
      <c r="T9" s="614"/>
      <c r="U9" s="614"/>
      <c r="V9" s="182"/>
      <c r="W9" s="182"/>
      <c r="X9" s="182"/>
      <c r="Y9" s="182"/>
      <c r="Z9" s="182"/>
      <c r="AA9" s="182"/>
      <c r="AB9" s="182"/>
      <c r="AC9" s="182"/>
      <c r="AD9" s="182"/>
      <c r="AE9" s="182"/>
      <c r="AF9" s="182"/>
      <c r="AG9" s="182"/>
      <c r="AH9" s="182"/>
      <c r="AI9" s="182"/>
      <c r="AJ9" s="182"/>
      <c r="AK9" s="182"/>
      <c r="AL9" s="182"/>
      <c r="AM9" s="182"/>
      <c r="AN9" s="182"/>
      <c r="AO9" s="182"/>
      <c r="AP9" s="182"/>
      <c r="AQ9" s="182"/>
      <c r="AR9" s="182"/>
      <c r="AS9" s="182"/>
      <c r="AT9" s="182"/>
      <c r="AU9" s="182"/>
      <c r="AV9" s="182"/>
      <c r="AW9" s="182"/>
      <c r="AX9" s="182"/>
      <c r="AY9" s="182"/>
      <c r="AZ9" s="182"/>
      <c r="BA9" s="182"/>
      <c r="BB9" s="182"/>
      <c r="BC9" s="182"/>
      <c r="BD9" s="182"/>
      <c r="BE9" s="182"/>
      <c r="BF9" s="182"/>
      <c r="BG9" s="182"/>
    </row>
    <row r="10" spans="1:89" s="169" customFormat="1" ht="18">
      <c r="A10" s="43"/>
      <c r="B10" s="167" t="s">
        <v>750</v>
      </c>
      <c r="C10" s="168"/>
      <c r="D10" s="168">
        <f>'City information'!E13</f>
        <v>2014</v>
      </c>
      <c r="E10" s="168"/>
      <c r="I10" s="167" t="s">
        <v>2506</v>
      </c>
      <c r="K10" s="180">
        <f>'City information'!E19/1000000</f>
        <v>200000</v>
      </c>
      <c r="Q10" s="614"/>
      <c r="R10" s="614"/>
      <c r="S10" s="614"/>
      <c r="T10" s="614"/>
      <c r="U10" s="614"/>
      <c r="V10" s="182"/>
      <c r="W10" s="182"/>
      <c r="X10" s="182"/>
      <c r="Y10" s="182"/>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2"/>
      <c r="AW10" s="182"/>
      <c r="AX10" s="182"/>
      <c r="AY10" s="182"/>
      <c r="AZ10" s="182"/>
      <c r="BA10" s="182"/>
      <c r="BB10" s="182"/>
      <c r="BC10" s="182"/>
      <c r="BD10" s="182"/>
      <c r="BE10" s="182"/>
      <c r="BF10" s="182"/>
      <c r="BG10" s="182"/>
    </row>
    <row r="11" spans="1:89" s="169" customFormat="1" ht="15" customHeight="1">
      <c r="A11" s="43"/>
      <c r="B11" s="167"/>
      <c r="C11" s="168"/>
      <c r="D11" s="168"/>
      <c r="E11" s="168"/>
      <c r="F11" s="168"/>
      <c r="Q11" s="614"/>
      <c r="R11" s="614"/>
      <c r="S11" s="614"/>
      <c r="T11" s="614"/>
      <c r="U11" s="614"/>
      <c r="V11" s="182"/>
      <c r="W11" s="182"/>
      <c r="X11" s="182"/>
      <c r="Y11" s="182"/>
      <c r="Z11" s="182"/>
      <c r="AA11" s="182"/>
      <c r="AB11" s="182"/>
      <c r="AC11" s="182"/>
      <c r="AD11" s="182"/>
      <c r="AE11" s="182"/>
      <c r="AF11" s="182"/>
      <c r="AG11" s="182"/>
      <c r="AH11" s="182"/>
      <c r="AI11" s="182"/>
      <c r="AJ11" s="182"/>
      <c r="AK11" s="182"/>
      <c r="AL11" s="182"/>
      <c r="AM11" s="182"/>
      <c r="AN11" s="182"/>
      <c r="AO11" s="182"/>
      <c r="AP11" s="182"/>
      <c r="AQ11" s="182"/>
      <c r="AR11" s="182"/>
      <c r="AS11" s="182"/>
      <c r="AT11" s="182"/>
      <c r="AU11" s="182"/>
      <c r="AV11" s="182"/>
      <c r="AW11" s="182"/>
      <c r="AX11" s="182"/>
      <c r="AY11" s="182"/>
      <c r="AZ11" s="182"/>
      <c r="BA11" s="182"/>
      <c r="BB11" s="182"/>
      <c r="BC11" s="182"/>
      <c r="BD11" s="182"/>
      <c r="BE11" s="182"/>
      <c r="BF11" s="182"/>
      <c r="BG11" s="182"/>
    </row>
    <row r="12" spans="1:89" ht="19" customHeight="1">
      <c r="A12" s="43"/>
      <c r="B12" s="2185" t="s">
        <v>756</v>
      </c>
      <c r="C12" s="2186"/>
      <c r="D12" s="2186"/>
      <c r="E12" s="2186"/>
      <c r="F12" s="2186"/>
      <c r="G12" s="2186"/>
      <c r="H12" s="2197" t="s">
        <v>757</v>
      </c>
      <c r="I12" s="2197"/>
      <c r="J12" s="2197"/>
      <c r="K12" s="2197"/>
      <c r="L12" s="2197"/>
      <c r="M12" s="2198"/>
      <c r="O12" s="15"/>
      <c r="P12" s="169"/>
      <c r="Q12" s="614"/>
      <c r="R12" s="614"/>
      <c r="S12" s="614"/>
      <c r="T12" s="614"/>
      <c r="U12" s="614"/>
    </row>
    <row r="13" spans="1:89" ht="19" customHeight="1">
      <c r="A13" s="43"/>
      <c r="B13" s="2187"/>
      <c r="C13" s="2188"/>
      <c r="D13" s="2188"/>
      <c r="E13" s="2188"/>
      <c r="F13" s="2188"/>
      <c r="G13" s="2188"/>
      <c r="H13" s="503" t="s">
        <v>1</v>
      </c>
      <c r="I13" s="503" t="s">
        <v>2</v>
      </c>
      <c r="J13" s="503" t="s">
        <v>3</v>
      </c>
      <c r="K13" s="503" t="s">
        <v>172</v>
      </c>
      <c r="L13" s="503" t="s">
        <v>173</v>
      </c>
      <c r="M13" s="514" t="s">
        <v>999</v>
      </c>
      <c r="O13" s="15"/>
      <c r="P13" s="169"/>
      <c r="Q13" s="614"/>
      <c r="R13" s="614"/>
      <c r="S13" s="614"/>
      <c r="T13" s="614"/>
      <c r="U13" s="614"/>
    </row>
    <row r="14" spans="1:89" s="185" customFormat="1" ht="19" customHeight="1">
      <c r="A14" s="87"/>
      <c r="B14" s="2194" t="s">
        <v>4</v>
      </c>
      <c r="C14" s="2194"/>
      <c r="D14" s="2191" t="s">
        <v>187</v>
      </c>
      <c r="E14" s="2192"/>
      <c r="F14" s="2192"/>
      <c r="G14" s="2193"/>
      <c r="H14" s="504">
        <f>J36</f>
        <v>1778267.3614382397</v>
      </c>
      <c r="I14" s="504">
        <f>K36</f>
        <v>2786281.5331000001</v>
      </c>
      <c r="J14" s="505">
        <f>L36</f>
        <v>0</v>
      </c>
      <c r="K14" s="506">
        <f>H14+I14</f>
        <v>4564548.8945382396</v>
      </c>
      <c r="L14" s="506">
        <f>SUM(H14:J14)</f>
        <v>4564548.8945382396</v>
      </c>
      <c r="M14" s="507">
        <f>SUM(H14:J14)</f>
        <v>4564548.8945382396</v>
      </c>
      <c r="N14" s="169"/>
      <c r="O14" s="15"/>
      <c r="P14" s="169"/>
      <c r="Q14" s="614"/>
      <c r="R14" s="614"/>
      <c r="S14" s="614"/>
      <c r="T14" s="614"/>
      <c r="U14" s="614"/>
      <c r="V14" s="184"/>
      <c r="W14" s="184"/>
      <c r="X14" s="184"/>
      <c r="Y14" s="184"/>
      <c r="Z14" s="184"/>
      <c r="AA14" s="184"/>
      <c r="AB14" s="184"/>
      <c r="AC14" s="184"/>
      <c r="AD14" s="184"/>
      <c r="AE14" s="184"/>
      <c r="AF14" s="184"/>
      <c r="AG14" s="184"/>
      <c r="AH14" s="184"/>
      <c r="AI14" s="184"/>
      <c r="AJ14" s="184"/>
      <c r="AK14" s="184"/>
      <c r="AL14" s="184"/>
      <c r="AM14" s="184"/>
      <c r="AN14" s="184"/>
      <c r="AO14" s="184"/>
      <c r="AP14" s="184"/>
      <c r="AQ14" s="184"/>
      <c r="AR14" s="184"/>
      <c r="AS14" s="184"/>
      <c r="AT14" s="184"/>
      <c r="AU14" s="184"/>
      <c r="AV14" s="184"/>
      <c r="AW14" s="184"/>
      <c r="AX14" s="184"/>
      <c r="AY14" s="184"/>
      <c r="AZ14" s="184"/>
      <c r="BA14" s="184"/>
      <c r="BB14" s="184"/>
      <c r="BC14" s="184"/>
      <c r="BD14" s="184"/>
      <c r="BE14" s="184"/>
      <c r="BF14" s="184"/>
      <c r="BG14" s="184"/>
    </row>
    <row r="15" spans="1:89" s="185" customFormat="1" ht="19" customHeight="1">
      <c r="A15" s="87"/>
      <c r="B15" s="2194"/>
      <c r="C15" s="2194"/>
      <c r="D15" s="2191" t="s">
        <v>188</v>
      </c>
      <c r="E15" s="2192"/>
      <c r="F15" s="2192"/>
      <c r="G15" s="2193"/>
      <c r="H15" s="508" t="str">
        <f>IF(Report!L32="",Report!T32,"")</f>
        <v/>
      </c>
      <c r="I15" s="509"/>
      <c r="J15" s="509"/>
      <c r="K15" s="509"/>
      <c r="L15" s="509"/>
      <c r="M15" s="510"/>
      <c r="N15" s="169"/>
      <c r="O15" s="169"/>
      <c r="P15" s="169"/>
      <c r="Q15" s="614"/>
      <c r="R15" s="614"/>
      <c r="S15" s="614"/>
      <c r="T15" s="614"/>
      <c r="U15" s="614"/>
      <c r="V15" s="184"/>
      <c r="W15" s="184"/>
      <c r="X15" s="184"/>
      <c r="Y15" s="184"/>
      <c r="Z15" s="184"/>
      <c r="AA15" s="184"/>
      <c r="AB15" s="184"/>
      <c r="AC15" s="184"/>
      <c r="AD15" s="184"/>
      <c r="AE15" s="184"/>
      <c r="AF15" s="184"/>
      <c r="AG15" s="184"/>
      <c r="AH15" s="184"/>
      <c r="AI15" s="184"/>
      <c r="AJ15" s="184"/>
      <c r="AK15" s="184"/>
      <c r="AL15" s="184"/>
      <c r="AM15" s="184"/>
      <c r="AN15" s="184"/>
      <c r="AO15" s="184"/>
      <c r="AP15" s="184"/>
      <c r="AQ15" s="184"/>
      <c r="AR15" s="184"/>
      <c r="AS15" s="184"/>
      <c r="AT15" s="184"/>
      <c r="AU15" s="184"/>
      <c r="AV15" s="184"/>
      <c r="AW15" s="184"/>
      <c r="AX15" s="184"/>
      <c r="AY15" s="184"/>
      <c r="AZ15" s="184"/>
      <c r="BA15" s="184"/>
      <c r="BB15" s="184"/>
      <c r="BC15" s="184"/>
      <c r="BD15" s="184"/>
      <c r="BE15" s="184"/>
      <c r="BF15" s="184"/>
      <c r="BG15" s="184"/>
    </row>
    <row r="16" spans="1:89" s="185" customFormat="1" ht="19" customHeight="1">
      <c r="A16" s="87"/>
      <c r="B16" s="2194" t="s">
        <v>15</v>
      </c>
      <c r="C16" s="2194"/>
      <c r="D16" s="2191" t="s">
        <v>258</v>
      </c>
      <c r="E16" s="2192"/>
      <c r="F16" s="2192"/>
      <c r="G16" s="2193"/>
      <c r="H16" s="504">
        <f>J43</f>
        <v>3399629.61607179</v>
      </c>
      <c r="I16" s="504">
        <f>K43</f>
        <v>273104.54521759995</v>
      </c>
      <c r="J16" s="505">
        <f>L43</f>
        <v>0</v>
      </c>
      <c r="K16" s="506">
        <f>H16+I16</f>
        <v>3672734.1612893902</v>
      </c>
      <c r="L16" s="506">
        <f>SUM(H16:J16)</f>
        <v>3672734.1612893902</v>
      </c>
      <c r="M16" s="507">
        <f>SUM(H16:J16)</f>
        <v>3672734.1612893902</v>
      </c>
      <c r="N16" s="169"/>
      <c r="O16" s="169"/>
      <c r="P16" s="169"/>
      <c r="Q16" s="614"/>
      <c r="R16" s="614"/>
      <c r="S16" s="614"/>
      <c r="T16" s="614"/>
      <c r="U16" s="614"/>
      <c r="V16" s="184"/>
      <c r="W16" s="184"/>
      <c r="X16" s="184"/>
      <c r="Y16" s="184"/>
      <c r="Z16" s="184"/>
      <c r="AA16" s="184"/>
      <c r="AB16" s="184"/>
      <c r="AC16" s="184"/>
      <c r="AD16" s="184"/>
      <c r="AE16" s="184"/>
      <c r="AF16" s="184"/>
      <c r="AG16" s="184"/>
      <c r="AH16" s="184"/>
      <c r="AI16" s="184"/>
      <c r="AJ16" s="184"/>
      <c r="AK16" s="184"/>
      <c r="AL16" s="184"/>
      <c r="AM16" s="184"/>
      <c r="AN16" s="184"/>
      <c r="AO16" s="184"/>
      <c r="AP16" s="184"/>
      <c r="AQ16" s="184"/>
      <c r="AR16" s="184"/>
      <c r="AS16" s="184"/>
      <c r="AT16" s="184"/>
      <c r="AU16" s="184"/>
      <c r="AV16" s="184"/>
      <c r="AW16" s="184"/>
      <c r="AX16" s="184"/>
      <c r="AY16" s="184"/>
      <c r="AZ16" s="184"/>
      <c r="BA16" s="184"/>
      <c r="BB16" s="184"/>
      <c r="BC16" s="184"/>
      <c r="BD16" s="184"/>
      <c r="BE16" s="184"/>
      <c r="BF16" s="184"/>
      <c r="BG16" s="184"/>
    </row>
    <row r="17" spans="1:59" s="185" customFormat="1" ht="19" customHeight="1">
      <c r="A17" s="87"/>
      <c r="B17" s="2194" t="s">
        <v>21</v>
      </c>
      <c r="C17" s="2194"/>
      <c r="D17" s="523" t="s">
        <v>718</v>
      </c>
      <c r="E17" s="524"/>
      <c r="F17" s="524"/>
      <c r="G17" s="524"/>
      <c r="H17" s="504">
        <f>J53</f>
        <v>317152</v>
      </c>
      <c r="I17" s="509"/>
      <c r="J17" s="504">
        <f>L53</f>
        <v>187424.66</v>
      </c>
      <c r="K17" s="506">
        <f>H17+J17</f>
        <v>504576.66000000003</v>
      </c>
      <c r="L17" s="506">
        <f>H17+J17</f>
        <v>504576.66000000003</v>
      </c>
      <c r="M17" s="507">
        <f>H17+J17</f>
        <v>504576.66000000003</v>
      </c>
      <c r="N17" s="169"/>
      <c r="O17" s="169"/>
      <c r="P17" s="169"/>
      <c r="Q17" s="614"/>
      <c r="R17" s="614"/>
      <c r="S17" s="614"/>
      <c r="T17" s="614"/>
      <c r="U17" s="614"/>
      <c r="V17" s="184"/>
      <c r="W17" s="184"/>
      <c r="X17" s="184"/>
      <c r="Y17" s="184"/>
      <c r="Z17" s="184"/>
      <c r="AA17" s="184"/>
      <c r="AB17" s="184"/>
      <c r="AC17" s="184"/>
      <c r="AD17" s="184"/>
      <c r="AE17" s="184"/>
      <c r="AF17" s="184"/>
      <c r="AG17" s="184"/>
      <c r="AH17" s="184"/>
      <c r="AI17" s="184"/>
      <c r="AJ17" s="184"/>
      <c r="AK17" s="184"/>
      <c r="AL17" s="184"/>
      <c r="AM17" s="184"/>
      <c r="AN17" s="184"/>
      <c r="AO17" s="184"/>
      <c r="AP17" s="184"/>
      <c r="AQ17" s="184"/>
      <c r="AR17" s="184"/>
      <c r="AS17" s="184"/>
      <c r="AT17" s="184"/>
      <c r="AU17" s="184"/>
      <c r="AV17" s="184"/>
      <c r="AW17" s="184"/>
      <c r="AX17" s="184"/>
      <c r="AY17" s="184"/>
      <c r="AZ17" s="184"/>
      <c r="BA17" s="184"/>
      <c r="BB17" s="184"/>
      <c r="BC17" s="184"/>
      <c r="BD17" s="184"/>
      <c r="BE17" s="184"/>
      <c r="BF17" s="184"/>
      <c r="BG17" s="184"/>
    </row>
    <row r="18" spans="1:59" s="185" customFormat="1" ht="19" customHeight="1">
      <c r="A18" s="87"/>
      <c r="B18" s="2194"/>
      <c r="C18" s="2194"/>
      <c r="D18" s="2191" t="s">
        <v>997</v>
      </c>
      <c r="E18" s="2192"/>
      <c r="F18" s="2192"/>
      <c r="G18" s="2193"/>
      <c r="H18" s="508">
        <f>SUM(J49:J52)</f>
        <v>0</v>
      </c>
      <c r="I18" s="509"/>
      <c r="J18" s="509"/>
      <c r="K18" s="509"/>
      <c r="L18" s="509"/>
      <c r="M18" s="510"/>
      <c r="N18" s="169"/>
      <c r="O18" s="169"/>
      <c r="P18" s="169"/>
      <c r="Q18" s="614"/>
      <c r="R18" s="614"/>
      <c r="S18" s="614"/>
      <c r="T18" s="614"/>
      <c r="U18" s="614"/>
      <c r="V18" s="184"/>
      <c r="W18" s="184"/>
      <c r="X18" s="184"/>
      <c r="Y18" s="184"/>
      <c r="Z18" s="184"/>
      <c r="AA18" s="184"/>
      <c r="AB18" s="184"/>
      <c r="AC18" s="184"/>
      <c r="AD18" s="184"/>
      <c r="AE18" s="184"/>
      <c r="AF18" s="184"/>
      <c r="AG18" s="184"/>
      <c r="AH18" s="184"/>
      <c r="AI18" s="184"/>
      <c r="AJ18" s="184"/>
      <c r="AK18" s="184"/>
      <c r="AL18" s="184"/>
      <c r="AM18" s="184"/>
      <c r="AN18" s="184"/>
      <c r="AO18" s="184"/>
      <c r="AP18" s="184"/>
      <c r="AQ18" s="184"/>
      <c r="AR18" s="184"/>
      <c r="AS18" s="184"/>
      <c r="AT18" s="184"/>
      <c r="AU18" s="184"/>
      <c r="AV18" s="184"/>
      <c r="AW18" s="184"/>
      <c r="AX18" s="184"/>
      <c r="AY18" s="184"/>
      <c r="AZ18" s="184"/>
      <c r="BA18" s="184"/>
      <c r="BB18" s="184"/>
      <c r="BC18" s="184"/>
      <c r="BD18" s="184"/>
      <c r="BE18" s="184"/>
      <c r="BF18" s="184"/>
      <c r="BG18" s="184"/>
    </row>
    <row r="19" spans="1:59" s="185" customFormat="1" ht="19" customHeight="1">
      <c r="A19" s="87"/>
      <c r="B19" s="2194" t="s">
        <v>208</v>
      </c>
      <c r="C19" s="2194"/>
      <c r="D19" s="2191" t="s">
        <v>259</v>
      </c>
      <c r="E19" s="2192"/>
      <c r="F19" s="2192"/>
      <c r="G19" s="2193"/>
      <c r="H19" s="505">
        <f>J57</f>
        <v>75000</v>
      </c>
      <c r="I19" s="509"/>
      <c r="J19" s="509"/>
      <c r="K19" s="509"/>
      <c r="L19" s="506">
        <f>H19</f>
        <v>75000</v>
      </c>
      <c r="M19" s="507">
        <f>H19</f>
        <v>75000</v>
      </c>
      <c r="N19" s="169"/>
      <c r="O19" s="169"/>
      <c r="P19" s="169"/>
      <c r="Q19" s="614"/>
      <c r="R19" s="614"/>
      <c r="S19" s="614"/>
      <c r="T19" s="614"/>
      <c r="U19" s="614"/>
      <c r="V19" s="184"/>
      <c r="W19" s="184"/>
      <c r="X19" s="184"/>
      <c r="Y19" s="184"/>
      <c r="Z19" s="184"/>
      <c r="AA19" s="184"/>
      <c r="AB19" s="184"/>
      <c r="AC19" s="184"/>
      <c r="AD19" s="184"/>
      <c r="AE19" s="184"/>
      <c r="AF19" s="184"/>
      <c r="AG19" s="184"/>
      <c r="AH19" s="184"/>
      <c r="AI19" s="184"/>
      <c r="AJ19" s="184"/>
      <c r="AK19" s="184"/>
      <c r="AL19" s="184"/>
      <c r="AM19" s="184"/>
      <c r="AN19" s="184"/>
      <c r="AO19" s="184"/>
      <c r="AP19" s="184"/>
      <c r="AQ19" s="184"/>
      <c r="AR19" s="184"/>
      <c r="AS19" s="184"/>
      <c r="AT19" s="184"/>
      <c r="AU19" s="184"/>
      <c r="AV19" s="184"/>
      <c r="AW19" s="184"/>
      <c r="AX19" s="184"/>
      <c r="AY19" s="184"/>
      <c r="AZ19" s="184"/>
      <c r="BA19" s="184"/>
      <c r="BB19" s="184"/>
      <c r="BC19" s="184"/>
      <c r="BD19" s="184"/>
      <c r="BE19" s="184"/>
      <c r="BF19" s="184"/>
      <c r="BG19" s="184"/>
    </row>
    <row r="20" spans="1:59" s="185" customFormat="1" ht="19" customHeight="1">
      <c r="A20" s="87"/>
      <c r="B20" s="2194" t="s">
        <v>260</v>
      </c>
      <c r="C20" s="2194"/>
      <c r="D20" s="2191" t="s">
        <v>261</v>
      </c>
      <c r="E20" s="2192"/>
      <c r="F20" s="2192"/>
      <c r="G20" s="2193"/>
      <c r="H20" s="505">
        <f>J62</f>
        <v>150000</v>
      </c>
      <c r="I20" s="509"/>
      <c r="J20" s="509"/>
      <c r="K20" s="509"/>
      <c r="L20" s="506">
        <f>H20</f>
        <v>150000</v>
      </c>
      <c r="M20" s="507">
        <f>H20</f>
        <v>150000</v>
      </c>
      <c r="N20" s="169"/>
      <c r="O20" s="169"/>
      <c r="P20" s="169"/>
      <c r="Q20" s="614"/>
      <c r="R20" s="614"/>
      <c r="S20" s="614"/>
      <c r="T20" s="614"/>
      <c r="U20" s="614"/>
      <c r="V20" s="184"/>
      <c r="W20" s="184"/>
      <c r="X20" s="184"/>
      <c r="Y20" s="184"/>
      <c r="Z20" s="184"/>
      <c r="AA20" s="184"/>
      <c r="AB20" s="184"/>
      <c r="AC20" s="184"/>
      <c r="AD20" s="184"/>
      <c r="AE20" s="184"/>
      <c r="AF20" s="184"/>
      <c r="AG20" s="184"/>
      <c r="AH20" s="184"/>
      <c r="AI20" s="184"/>
      <c r="AJ20" s="184"/>
      <c r="AK20" s="184"/>
      <c r="AL20" s="184"/>
      <c r="AM20" s="184"/>
      <c r="AN20" s="184"/>
      <c r="AO20" s="184"/>
      <c r="AP20" s="184"/>
      <c r="AQ20" s="184"/>
      <c r="AR20" s="184"/>
      <c r="AS20" s="184"/>
      <c r="AT20" s="184"/>
      <c r="AU20" s="184"/>
      <c r="AV20" s="184"/>
      <c r="AW20" s="184"/>
      <c r="AX20" s="184"/>
      <c r="AY20" s="184"/>
      <c r="AZ20" s="184"/>
      <c r="BA20" s="184"/>
      <c r="BB20" s="184"/>
      <c r="BC20" s="184"/>
      <c r="BD20" s="184"/>
      <c r="BE20" s="184"/>
      <c r="BF20" s="184"/>
      <c r="BG20" s="184"/>
    </row>
    <row r="21" spans="1:59" s="185" customFormat="1" ht="19" customHeight="1">
      <c r="A21" s="87"/>
      <c r="B21" s="2194" t="s">
        <v>35</v>
      </c>
      <c r="C21" s="2194"/>
      <c r="D21" s="2191" t="s">
        <v>717</v>
      </c>
      <c r="E21" s="2192"/>
      <c r="F21" s="2192"/>
      <c r="G21" s="2193"/>
      <c r="H21" s="509"/>
      <c r="I21" s="509"/>
      <c r="J21" s="511">
        <f>IF(ISNUMBER(L64),L64,"")</f>
        <v>168000</v>
      </c>
      <c r="K21" s="509"/>
      <c r="L21" s="509"/>
      <c r="M21" s="507">
        <f>SUM(J21)</f>
        <v>168000</v>
      </c>
      <c r="N21" s="169"/>
      <c r="O21" s="169"/>
      <c r="P21" s="169"/>
      <c r="Q21" s="614"/>
      <c r="R21" s="614"/>
      <c r="S21" s="614"/>
      <c r="T21" s="614"/>
      <c r="U21" s="614"/>
      <c r="V21" s="184"/>
      <c r="W21" s="184"/>
      <c r="X21" s="184"/>
      <c r="Y21" s="184"/>
      <c r="Z21" s="184"/>
      <c r="AA21" s="184"/>
      <c r="AB21" s="184"/>
      <c r="AC21" s="184"/>
      <c r="AD21" s="184"/>
      <c r="AE21" s="184"/>
      <c r="AF21" s="184"/>
      <c r="AG21" s="184"/>
      <c r="AH21" s="184"/>
      <c r="AI21" s="184"/>
      <c r="AJ21" s="184"/>
      <c r="AK21" s="184"/>
      <c r="AL21" s="184"/>
      <c r="AM21" s="184"/>
      <c r="AN21" s="184"/>
      <c r="AO21" s="184"/>
      <c r="AP21" s="184"/>
      <c r="AQ21" s="184"/>
      <c r="AR21" s="184"/>
      <c r="AS21" s="184"/>
      <c r="AT21" s="184"/>
      <c r="AU21" s="184"/>
      <c r="AV21" s="184"/>
      <c r="AW21" s="184"/>
      <c r="AX21" s="184"/>
      <c r="AY21" s="184"/>
      <c r="AZ21" s="184"/>
      <c r="BA21" s="184"/>
      <c r="BB21" s="184"/>
      <c r="BC21" s="184"/>
      <c r="BD21" s="184"/>
      <c r="BE21" s="184"/>
      <c r="BF21" s="184"/>
      <c r="BG21" s="184"/>
    </row>
    <row r="22" spans="1:59" s="185" customFormat="1" ht="31" customHeight="1">
      <c r="A22" s="87"/>
      <c r="B22" s="2190" t="s">
        <v>684</v>
      </c>
      <c r="C22" s="2190"/>
      <c r="D22" s="2190"/>
      <c r="E22" s="2190"/>
      <c r="F22" s="2190"/>
      <c r="G22" s="2190"/>
      <c r="H22" s="512">
        <f>IF(SUM(H14:H20)=0,"All territorial emissions",SUM(H14:H20))</f>
        <v>5720048.9775100295</v>
      </c>
      <c r="I22" s="513">
        <f>IF((I14+I16)=0,"",I14+I16)</f>
        <v>3059386.0783176003</v>
      </c>
      <c r="J22" s="513">
        <f>IF((J14+J16+J17)=0,"",(J14+J16+J17))</f>
        <v>187424.66</v>
      </c>
      <c r="K22" s="512">
        <f>IF((K14+K16+K17)=0,"All BASIC emissions",(K14+K16+K17))</f>
        <v>8741859.715827629</v>
      </c>
      <c r="L22" s="512">
        <f>IF((L14+L16+L17+L19+L20)=0,"All BASIC+ emissions",(L14+L16+L17+L19+L20))</f>
        <v>8966859.715827629</v>
      </c>
      <c r="M22" s="512">
        <f>IF((M14+M16+M17+M19+M20+M21)=0,"All BASIC+ S3 emissions",(M14+M16+M17+M19+M20+M21))</f>
        <v>9134859.715827629</v>
      </c>
      <c r="N22" s="169"/>
      <c r="O22" s="169"/>
      <c r="P22" s="169"/>
      <c r="Q22" s="614"/>
      <c r="R22" s="614"/>
      <c r="S22" s="614"/>
      <c r="T22" s="614"/>
      <c r="U22" s="61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c r="BC22" s="184"/>
      <c r="BD22" s="184"/>
      <c r="BE22" s="184"/>
      <c r="BF22" s="184"/>
      <c r="BG22" s="184"/>
    </row>
    <row r="23" spans="1:59" s="169" customFormat="1" ht="15" customHeight="1">
      <c r="A23" s="43"/>
      <c r="B23" s="170"/>
      <c r="Q23" s="614"/>
      <c r="R23" s="614"/>
      <c r="S23" s="614"/>
      <c r="T23" s="614"/>
      <c r="U23" s="614"/>
      <c r="V23" s="182"/>
      <c r="W23" s="182"/>
      <c r="X23" s="182"/>
      <c r="Y23" s="182"/>
      <c r="Z23" s="182"/>
      <c r="AA23" s="182"/>
      <c r="AB23" s="182"/>
      <c r="AC23" s="182"/>
      <c r="AD23" s="182"/>
      <c r="AE23" s="182"/>
      <c r="AF23" s="182"/>
      <c r="AG23" s="182"/>
      <c r="AH23" s="182"/>
      <c r="AI23" s="182"/>
      <c r="AJ23" s="182"/>
      <c r="AK23" s="182"/>
      <c r="AL23" s="182"/>
      <c r="AM23" s="182"/>
      <c r="AN23" s="182"/>
      <c r="AO23" s="182"/>
      <c r="AP23" s="182"/>
      <c r="AQ23" s="182"/>
      <c r="AR23" s="182"/>
      <c r="AS23" s="182"/>
      <c r="AT23" s="182"/>
      <c r="AU23" s="182"/>
      <c r="AV23" s="182"/>
      <c r="AW23" s="182"/>
      <c r="AX23" s="182"/>
      <c r="AY23" s="182"/>
      <c r="AZ23" s="182"/>
      <c r="BA23" s="182"/>
      <c r="BB23" s="182"/>
      <c r="BC23" s="182"/>
      <c r="BD23" s="182"/>
      <c r="BE23" s="182"/>
      <c r="BF23" s="182"/>
      <c r="BG23" s="182"/>
    </row>
    <row r="24" spans="1:59" s="187" customFormat="1" ht="19" customHeight="1">
      <c r="A24" s="97"/>
      <c r="B24" s="2195" t="s">
        <v>37</v>
      </c>
      <c r="C24" s="2183" t="s">
        <v>39</v>
      </c>
      <c r="D24" s="2183"/>
      <c r="E24" s="2183"/>
      <c r="F24" s="2183"/>
      <c r="G24" s="2183"/>
      <c r="H24" s="2183"/>
      <c r="I24" s="2183"/>
      <c r="J24" s="2183" t="s">
        <v>720</v>
      </c>
      <c r="K24" s="2183"/>
      <c r="L24" s="2183"/>
      <c r="M24" s="2184"/>
      <c r="N24" s="169"/>
      <c r="O24" s="169"/>
      <c r="P24" s="169"/>
      <c r="Q24" s="182"/>
      <c r="R24" s="186"/>
      <c r="S24" s="186"/>
      <c r="T24" s="186"/>
      <c r="U24" s="186"/>
      <c r="V24" s="186"/>
      <c r="W24" s="186"/>
      <c r="X24" s="186"/>
      <c r="Y24" s="186"/>
      <c r="Z24" s="186"/>
      <c r="AA24" s="186"/>
      <c r="AB24" s="186"/>
      <c r="AC24" s="186"/>
      <c r="AD24" s="186"/>
      <c r="AE24" s="186"/>
      <c r="AF24" s="186"/>
      <c r="AG24" s="186"/>
      <c r="AH24" s="186"/>
      <c r="AI24" s="186"/>
      <c r="AJ24" s="186"/>
      <c r="AK24" s="186"/>
      <c r="AL24" s="186"/>
      <c r="AM24" s="186"/>
      <c r="AN24" s="186"/>
      <c r="AO24" s="186"/>
      <c r="AP24" s="186"/>
      <c r="AQ24" s="186"/>
      <c r="AR24" s="186"/>
      <c r="AS24" s="186"/>
      <c r="AT24" s="186"/>
      <c r="AU24" s="186"/>
      <c r="AV24" s="186"/>
      <c r="AW24" s="186"/>
      <c r="AX24" s="186"/>
      <c r="AY24" s="186"/>
      <c r="AZ24" s="186"/>
      <c r="BA24" s="186"/>
      <c r="BB24" s="186"/>
      <c r="BC24" s="186"/>
      <c r="BD24" s="186"/>
      <c r="BE24" s="186"/>
      <c r="BF24" s="186"/>
      <c r="BG24" s="186"/>
    </row>
    <row r="25" spans="1:59" s="187" customFormat="1" ht="19" customHeight="1">
      <c r="A25" s="97"/>
      <c r="B25" s="2196"/>
      <c r="C25" s="2189"/>
      <c r="D25" s="2189"/>
      <c r="E25" s="2189"/>
      <c r="F25" s="2189"/>
      <c r="G25" s="2189"/>
      <c r="H25" s="2189"/>
      <c r="I25" s="2189"/>
      <c r="J25" s="527" t="s">
        <v>1</v>
      </c>
      <c r="K25" s="527" t="s">
        <v>2</v>
      </c>
      <c r="L25" s="527" t="s">
        <v>3</v>
      </c>
      <c r="M25" s="528" t="s">
        <v>174</v>
      </c>
      <c r="N25" s="170"/>
      <c r="O25" s="170"/>
      <c r="P25" s="170"/>
      <c r="Q25" s="182"/>
      <c r="R25" s="186"/>
      <c r="S25" s="186"/>
      <c r="T25" s="186"/>
      <c r="U25" s="186"/>
      <c r="V25" s="186"/>
      <c r="W25" s="186"/>
      <c r="X25" s="186"/>
      <c r="Y25" s="186"/>
      <c r="Z25" s="186"/>
      <c r="AA25" s="186"/>
      <c r="AB25" s="186"/>
      <c r="AC25" s="186"/>
      <c r="AD25" s="186"/>
      <c r="AE25" s="186"/>
      <c r="AF25" s="186"/>
      <c r="AG25" s="186"/>
      <c r="AH25" s="186"/>
      <c r="AI25" s="186"/>
      <c r="AJ25" s="186"/>
      <c r="AK25" s="186"/>
      <c r="AL25" s="186"/>
      <c r="AM25" s="186"/>
      <c r="AN25" s="186"/>
      <c r="AO25" s="186"/>
      <c r="AP25" s="186"/>
      <c r="AQ25" s="186"/>
      <c r="AR25" s="186"/>
      <c r="AS25" s="186"/>
      <c r="AT25" s="186"/>
      <c r="AU25" s="186"/>
      <c r="AV25" s="186"/>
      <c r="AW25" s="186"/>
      <c r="AX25" s="186"/>
      <c r="AY25" s="186"/>
      <c r="AZ25" s="186"/>
      <c r="BA25" s="186"/>
      <c r="BB25" s="186"/>
      <c r="BC25" s="186"/>
      <c r="BD25" s="186"/>
      <c r="BE25" s="186"/>
      <c r="BF25" s="186"/>
      <c r="BG25" s="186"/>
    </row>
    <row r="26" spans="1:59" ht="19" customHeight="1">
      <c r="A26" s="43"/>
      <c r="B26" s="540" t="s">
        <v>46</v>
      </c>
      <c r="C26" s="2180" t="s">
        <v>47</v>
      </c>
      <c r="D26" s="2181"/>
      <c r="E26" s="493"/>
      <c r="F26" s="493"/>
      <c r="G26" s="561"/>
      <c r="H26" s="561"/>
      <c r="I26" s="561"/>
      <c r="J26" s="48"/>
      <c r="K26" s="48"/>
      <c r="L26" s="48"/>
      <c r="M26" s="552"/>
      <c r="O26" s="169"/>
      <c r="P26" s="169"/>
    </row>
    <row r="27" spans="1:59" ht="19" customHeight="1">
      <c r="A27" s="43"/>
      <c r="B27" s="540" t="s">
        <v>48</v>
      </c>
      <c r="C27" s="542" t="s">
        <v>5</v>
      </c>
      <c r="D27" s="543"/>
      <c r="E27" s="543"/>
      <c r="F27" s="543"/>
      <c r="G27" s="562"/>
      <c r="H27" s="562"/>
      <c r="I27" s="563"/>
      <c r="J27" s="550">
        <f>IF(Report!L17="",Report!T17,Report!L17)</f>
        <v>790498.23643500009</v>
      </c>
      <c r="K27" s="548">
        <f>IF(Report!L18="",Report!T18,Report!L18)</f>
        <v>1213983.4125000001</v>
      </c>
      <c r="L27" s="551" t="str">
        <f>IF(Report!L19="",Report!T19,Report!L19)</f>
        <v>NE</v>
      </c>
      <c r="M27" s="549">
        <f t="shared" ref="M27:M33" si="0">SUM(J27:L27)</f>
        <v>2004481.6489350002</v>
      </c>
      <c r="N27" s="1554"/>
      <c r="O27" s="1555"/>
      <c r="P27" s="169"/>
    </row>
    <row r="28" spans="1:59" ht="19" customHeight="1">
      <c r="A28" s="43"/>
      <c r="B28" s="529" t="s">
        <v>55</v>
      </c>
      <c r="C28" s="47" t="s">
        <v>56</v>
      </c>
      <c r="D28" s="173"/>
      <c r="E28" s="173"/>
      <c r="F28" s="173"/>
      <c r="G28" s="561"/>
      <c r="H28" s="561"/>
      <c r="I28" s="564"/>
      <c r="J28" s="530">
        <f>IF(Report!L21="",Report!T21,Report!L21)</f>
        <v>976200.00000000012</v>
      </c>
      <c r="K28" s="530">
        <f>IF(Report!L22="",Report!T22,Report!L22)</f>
        <v>1572298.1206</v>
      </c>
      <c r="L28" s="531" t="str">
        <f>IF(Report!L23="",Report!T23,Report!L23)</f>
        <v>NE</v>
      </c>
      <c r="M28" s="532">
        <f t="shared" si="0"/>
        <v>2548498.1206</v>
      </c>
      <c r="N28" s="1554"/>
      <c r="O28" s="1555"/>
      <c r="P28" s="169"/>
    </row>
    <row r="29" spans="1:59" ht="19" customHeight="1">
      <c r="A29" s="43"/>
      <c r="B29" s="529" t="s">
        <v>60</v>
      </c>
      <c r="C29" s="47" t="s">
        <v>8</v>
      </c>
      <c r="D29" s="173"/>
      <c r="E29" s="173"/>
      <c r="F29" s="173"/>
      <c r="G29" s="561"/>
      <c r="H29" s="561"/>
      <c r="I29" s="564"/>
      <c r="J29" s="530" t="str">
        <f>IF(Report!L25="",Report!T25,Report!L25)</f>
        <v>IE</v>
      </c>
      <c r="K29" s="530" t="str">
        <f>IF(Report!L26="",Report!T26,Report!L26)</f>
        <v>IE</v>
      </c>
      <c r="L29" s="531" t="str">
        <f>IF(Report!L27="",Report!T27,Report!L27)</f>
        <v>NE</v>
      </c>
      <c r="M29" s="532">
        <f t="shared" si="0"/>
        <v>0</v>
      </c>
      <c r="N29" s="1554"/>
      <c r="O29" s="1555"/>
      <c r="P29" s="169"/>
    </row>
    <row r="30" spans="1:59" ht="19" customHeight="1">
      <c r="A30" s="43"/>
      <c r="B30" s="529" t="s">
        <v>716</v>
      </c>
      <c r="C30" s="47" t="s">
        <v>9</v>
      </c>
      <c r="D30" s="173"/>
      <c r="E30" s="173"/>
      <c r="F30" s="173"/>
      <c r="G30" s="561"/>
      <c r="H30" s="561"/>
      <c r="I30" s="564"/>
      <c r="J30" s="530" t="str">
        <f>IF(Report!L29="",Report!T29,Report!L29)</f>
        <v>NO</v>
      </c>
      <c r="K30" s="530" t="str">
        <f>IF(Report!L30="",Report!T30,Report!L30)</f>
        <v>NO</v>
      </c>
      <c r="L30" s="531" t="str">
        <f>IF(Report!L31="",Report!T31,Report!L31)</f>
        <v>NO</v>
      </c>
      <c r="M30" s="532">
        <f t="shared" si="0"/>
        <v>0</v>
      </c>
      <c r="N30" s="1554"/>
      <c r="O30" s="1555"/>
      <c r="P30" s="169"/>
    </row>
    <row r="31" spans="1:59" ht="19" customHeight="1">
      <c r="A31" s="43"/>
      <c r="B31" s="529" t="s">
        <v>71</v>
      </c>
      <c r="C31" s="47" t="s">
        <v>10</v>
      </c>
      <c r="D31" s="173"/>
      <c r="E31" s="173"/>
      <c r="F31" s="173"/>
      <c r="G31" s="561"/>
      <c r="H31" s="561"/>
      <c r="I31" s="564"/>
      <c r="J31" s="508" t="str">
        <f>IF(Report!L32="",Report!T32,Report!L32)</f>
        <v>NO</v>
      </c>
      <c r="K31" s="509"/>
      <c r="L31" s="509"/>
      <c r="M31" s="533"/>
      <c r="N31" s="1554"/>
      <c r="O31" s="1554"/>
      <c r="P31" s="169"/>
    </row>
    <row r="32" spans="1:59" ht="19" customHeight="1">
      <c r="A32" s="43"/>
      <c r="B32" s="529" t="s">
        <v>73</v>
      </c>
      <c r="C32" s="47" t="s">
        <v>74</v>
      </c>
      <c r="D32" s="173"/>
      <c r="E32" s="173"/>
      <c r="F32" s="173"/>
      <c r="G32" s="561"/>
      <c r="H32" s="561"/>
      <c r="I32" s="564"/>
      <c r="J32" s="530" t="str">
        <f>IF(Report!L34="",Report!T34,Report!L34)</f>
        <v>NO</v>
      </c>
      <c r="K32" s="530" t="str">
        <f>IF(Report!L35="",Report!T35,Report!L35)</f>
        <v>NO</v>
      </c>
      <c r="L32" s="531" t="str">
        <f>IF(Report!L36="",Report!T36,Report!L36)</f>
        <v>NO</v>
      </c>
      <c r="M32" s="532">
        <f t="shared" si="0"/>
        <v>0</v>
      </c>
      <c r="O32" s="169"/>
      <c r="P32" s="169"/>
    </row>
    <row r="33" spans="1:59" ht="19" customHeight="1">
      <c r="A33" s="43"/>
      <c r="B33" s="529" t="s">
        <v>78</v>
      </c>
      <c r="C33" s="47" t="s">
        <v>12</v>
      </c>
      <c r="D33" s="173"/>
      <c r="E33" s="173"/>
      <c r="F33" s="173"/>
      <c r="G33" s="561"/>
      <c r="H33" s="561"/>
      <c r="I33" s="564"/>
      <c r="J33" s="530" t="str">
        <f>IF(Report!L38="",Report!T38,Report!L38)</f>
        <v>NO</v>
      </c>
      <c r="K33" s="530" t="str">
        <f>IF(Report!L39="",Report!T39,Report!L39)</f>
        <v>NO</v>
      </c>
      <c r="L33" s="531" t="str">
        <f>IF(Report!L40="",Report!T40,Report!L40)</f>
        <v>NO</v>
      </c>
      <c r="M33" s="532">
        <f t="shared" si="0"/>
        <v>0</v>
      </c>
      <c r="O33" s="169"/>
      <c r="P33" s="169"/>
    </row>
    <row r="34" spans="1:59" ht="19" customHeight="1">
      <c r="A34" s="43"/>
      <c r="B34" s="529" t="s">
        <v>82</v>
      </c>
      <c r="C34" s="47" t="s">
        <v>13</v>
      </c>
      <c r="D34" s="173"/>
      <c r="E34" s="173"/>
      <c r="F34" s="173"/>
      <c r="G34" s="561"/>
      <c r="H34" s="561"/>
      <c r="I34" s="564"/>
      <c r="J34" s="530" t="str">
        <f>IF(Report!L42="",Report!T42,Report!L42)</f>
        <v>NO</v>
      </c>
      <c r="K34" s="509"/>
      <c r="L34" s="509"/>
      <c r="M34" s="532">
        <f>SUM(J34:L34)</f>
        <v>0</v>
      </c>
      <c r="O34" s="169"/>
      <c r="P34" s="169"/>
    </row>
    <row r="35" spans="1:59" ht="19" customHeight="1">
      <c r="A35" s="43"/>
      <c r="B35" s="529" t="s">
        <v>85</v>
      </c>
      <c r="C35" s="555" t="s">
        <v>14</v>
      </c>
      <c r="D35" s="556"/>
      <c r="E35" s="556"/>
      <c r="F35" s="556"/>
      <c r="G35" s="565"/>
      <c r="H35" s="565"/>
      <c r="I35" s="566"/>
      <c r="J35" s="530">
        <f>IF(Report!L44="",Report!T44,Report!L44)</f>
        <v>11569.125003239355</v>
      </c>
      <c r="K35" s="509"/>
      <c r="L35" s="509"/>
      <c r="M35" s="532">
        <f>SUM(J35:L35)</f>
        <v>11569.125003239355</v>
      </c>
      <c r="O35" s="169"/>
      <c r="P35" s="169"/>
    </row>
    <row r="36" spans="1:59" ht="19" customHeight="1">
      <c r="A36" s="43"/>
      <c r="B36" s="553" t="s">
        <v>683</v>
      </c>
      <c r="C36" s="2178" t="s">
        <v>719</v>
      </c>
      <c r="D36" s="2179"/>
      <c r="E36" s="2179"/>
      <c r="F36" s="2179"/>
      <c r="G36" s="557"/>
      <c r="H36" s="557"/>
      <c r="I36" s="558"/>
      <c r="J36" s="554">
        <f>SUM(J27:J30)+SUM(J32:J35)</f>
        <v>1778267.3614382397</v>
      </c>
      <c r="K36" s="541">
        <f>SUM(K27:K35)</f>
        <v>2786281.5331000001</v>
      </c>
      <c r="L36" s="541">
        <f>SUM(L27:L35)</f>
        <v>0</v>
      </c>
      <c r="M36" s="541">
        <f>SUM(M27:M30)+SUM(M32:M35)</f>
        <v>4564548.8945382396</v>
      </c>
      <c r="O36" s="169"/>
      <c r="P36" s="169"/>
    </row>
    <row r="37" spans="1:59" ht="19" customHeight="1">
      <c r="A37" s="43"/>
      <c r="B37" s="540" t="s">
        <v>87</v>
      </c>
      <c r="C37" s="2203" t="s">
        <v>15</v>
      </c>
      <c r="D37" s="2204"/>
      <c r="E37" s="172"/>
      <c r="F37" s="172"/>
      <c r="G37" s="562"/>
      <c r="H37" s="562"/>
      <c r="I37" s="562"/>
      <c r="J37" s="165"/>
      <c r="K37" s="165"/>
      <c r="L37" s="165"/>
      <c r="M37" s="547"/>
      <c r="O37" s="169"/>
      <c r="P37" s="169"/>
      <c r="BD37" s="183"/>
      <c r="BE37" s="183"/>
      <c r="BF37" s="183"/>
      <c r="BG37" s="183"/>
    </row>
    <row r="38" spans="1:59" ht="19" customHeight="1">
      <c r="A38" s="43"/>
      <c r="B38" s="529" t="s">
        <v>88</v>
      </c>
      <c r="C38" s="542" t="s">
        <v>89</v>
      </c>
      <c r="D38" s="543"/>
      <c r="E38" s="543"/>
      <c r="F38" s="543"/>
      <c r="G38" s="562"/>
      <c r="H38" s="562"/>
      <c r="I38" s="563"/>
      <c r="J38" s="548">
        <f>IF(Report!L47="",Report!T47,Report!L47)</f>
        <v>2791098.9412952</v>
      </c>
      <c r="K38" s="548" t="str">
        <f>IF(Report!L48="",Report!T48,Report!L48)</f>
        <v>IE</v>
      </c>
      <c r="L38" s="544" t="str">
        <f>IF(Report!L49="",Report!T49,Report!L49)</f>
        <v>NE</v>
      </c>
      <c r="M38" s="549">
        <f>SUM(J38:L38)</f>
        <v>2791098.9412952</v>
      </c>
      <c r="O38" s="169"/>
      <c r="P38" s="169"/>
      <c r="BD38" s="183"/>
      <c r="BE38" s="183"/>
      <c r="BF38" s="183"/>
      <c r="BG38" s="183"/>
    </row>
    <row r="39" spans="1:59" ht="19" customHeight="1">
      <c r="A39" s="43"/>
      <c r="B39" s="529" t="s">
        <v>95</v>
      </c>
      <c r="C39" s="47" t="s">
        <v>17</v>
      </c>
      <c r="D39" s="173"/>
      <c r="E39" s="173"/>
      <c r="F39" s="173"/>
      <c r="G39" s="561"/>
      <c r="H39" s="561"/>
      <c r="I39" s="564"/>
      <c r="J39" s="530">
        <f>IF(Report!L51="",Report!T51,Report!L51)</f>
        <v>588272.17892480001</v>
      </c>
      <c r="K39" s="530">
        <f>IF(Report!L52="",Report!T52,Report!L52)</f>
        <v>273104.54521759995</v>
      </c>
      <c r="L39" s="535" t="str">
        <f>IF(Report!L53="",Report!T53,Report!L53)</f>
        <v>NE</v>
      </c>
      <c r="M39" s="532">
        <f>SUM(J39:L39)</f>
        <v>861376.72414239997</v>
      </c>
      <c r="O39" s="169"/>
      <c r="P39" s="169"/>
      <c r="BD39" s="183"/>
      <c r="BE39" s="183"/>
      <c r="BF39" s="183"/>
      <c r="BG39" s="183"/>
    </row>
    <row r="40" spans="1:59" ht="19" customHeight="1">
      <c r="A40" s="43"/>
      <c r="B40" s="529" t="s">
        <v>101</v>
      </c>
      <c r="C40" s="47" t="s">
        <v>18</v>
      </c>
      <c r="D40" s="173"/>
      <c r="E40" s="173"/>
      <c r="F40" s="173"/>
      <c r="G40" s="561"/>
      <c r="H40" s="561"/>
      <c r="I40" s="564"/>
      <c r="J40" s="530">
        <f>IF(Report!L55="",Report!T55,Report!L55)</f>
        <v>20258.495851789849</v>
      </c>
      <c r="K40" s="530" t="str">
        <f>IF(Report!L56="",Report!T56,Report!L56)</f>
        <v>NO</v>
      </c>
      <c r="L40" s="535" t="str">
        <f>IF(Report!L57="",Report!T57,Report!L57)</f>
        <v>NE</v>
      </c>
      <c r="M40" s="532">
        <f>SUM(J40:L40)</f>
        <v>20258.495851789849</v>
      </c>
      <c r="O40" s="169"/>
      <c r="P40" s="169"/>
      <c r="BD40" s="183"/>
      <c r="BE40" s="183"/>
      <c r="BF40" s="183"/>
      <c r="BG40" s="183"/>
    </row>
    <row r="41" spans="1:59" ht="19" customHeight="1">
      <c r="A41" s="43"/>
      <c r="B41" s="529" t="s">
        <v>107</v>
      </c>
      <c r="C41" s="47" t="s">
        <v>19</v>
      </c>
      <c r="D41" s="173"/>
      <c r="E41" s="173"/>
      <c r="F41" s="173"/>
      <c r="G41" s="561"/>
      <c r="H41" s="561"/>
      <c r="I41" s="564"/>
      <c r="J41" s="530" t="str">
        <f>IF(Report!L59="",Report!T59,Report!L59)</f>
        <v>NO</v>
      </c>
      <c r="K41" s="530" t="str">
        <f>IF(Report!L60="",Report!T60,Report!L60)</f>
        <v>NO</v>
      </c>
      <c r="L41" s="535" t="str">
        <f>IF(Report!L61="",Report!T61,Report!L61)</f>
        <v>NO</v>
      </c>
      <c r="M41" s="532">
        <f>SUM(J41:L41)</f>
        <v>0</v>
      </c>
      <c r="O41" s="169"/>
      <c r="P41" s="169"/>
      <c r="BD41" s="183"/>
      <c r="BE41" s="183"/>
      <c r="BF41" s="183"/>
      <c r="BG41" s="183"/>
    </row>
    <row r="42" spans="1:59" ht="19" customHeight="1">
      <c r="A42" s="43"/>
      <c r="B42" s="529" t="s">
        <v>113</v>
      </c>
      <c r="C42" s="47" t="s">
        <v>114</v>
      </c>
      <c r="D42" s="173"/>
      <c r="E42" s="173"/>
      <c r="F42" s="173"/>
      <c r="G42" s="561"/>
      <c r="H42" s="561"/>
      <c r="I42" s="564"/>
      <c r="J42" s="530" t="str">
        <f>IF(Report!L63="",Report!T63,Report!L63)</f>
        <v>NO</v>
      </c>
      <c r="K42" s="530" t="str">
        <f>IF(Report!L64="",Report!T64,Report!L64)</f>
        <v>NO</v>
      </c>
      <c r="L42" s="535" t="str">
        <f>IF(Report!L65="",Report!T65,Report!L65)</f>
        <v>NE</v>
      </c>
      <c r="M42" s="532">
        <f>SUM(J42:L42)</f>
        <v>0</v>
      </c>
      <c r="O42" s="169"/>
      <c r="P42" s="169"/>
      <c r="BD42" s="183"/>
      <c r="BE42" s="183"/>
      <c r="BF42" s="183"/>
      <c r="BG42" s="183"/>
    </row>
    <row r="43" spans="1:59" ht="19" customHeight="1">
      <c r="A43" s="43"/>
      <c r="B43" s="534" t="s">
        <v>683</v>
      </c>
      <c r="C43" s="2201" t="s">
        <v>719</v>
      </c>
      <c r="D43" s="2202"/>
      <c r="E43" s="2202"/>
      <c r="F43" s="2202"/>
      <c r="G43" s="559"/>
      <c r="H43" s="559"/>
      <c r="I43" s="560"/>
      <c r="J43" s="541">
        <f>SUM(J38:J42)</f>
        <v>3399629.61607179</v>
      </c>
      <c r="K43" s="541">
        <f>SUM(K38:K42)</f>
        <v>273104.54521759995</v>
      </c>
      <c r="L43" s="541">
        <f>SUM(L38:L42)</f>
        <v>0</v>
      </c>
      <c r="M43" s="541">
        <f>SUM(M38:M42)</f>
        <v>3672734.1612893902</v>
      </c>
      <c r="O43" s="169"/>
      <c r="P43" s="169"/>
      <c r="BD43" s="183"/>
      <c r="BE43" s="183"/>
      <c r="BF43" s="183"/>
      <c r="BG43" s="183"/>
    </row>
    <row r="44" spans="1:59" ht="19" customHeight="1">
      <c r="A44" s="43"/>
      <c r="B44" s="540" t="s">
        <v>119</v>
      </c>
      <c r="C44" s="2180" t="s">
        <v>120</v>
      </c>
      <c r="D44" s="2181"/>
      <c r="E44" s="493"/>
      <c r="F44" s="493"/>
      <c r="G44" s="561"/>
      <c r="H44" s="561"/>
      <c r="I44" s="561"/>
      <c r="J44" s="165"/>
      <c r="K44" s="165"/>
      <c r="L44" s="165"/>
      <c r="M44" s="547"/>
      <c r="O44" s="169"/>
      <c r="P44" s="169"/>
      <c r="BD44" s="183"/>
      <c r="BE44" s="183"/>
      <c r="BF44" s="183"/>
      <c r="BG44" s="183"/>
    </row>
    <row r="45" spans="1:59" ht="19" customHeight="1">
      <c r="A45" s="43"/>
      <c r="B45" s="529" t="s">
        <v>712</v>
      </c>
      <c r="C45" s="542" t="s">
        <v>22</v>
      </c>
      <c r="D45" s="543"/>
      <c r="E45" s="543"/>
      <c r="F45" s="543"/>
      <c r="G45" s="562"/>
      <c r="H45" s="562"/>
      <c r="I45" s="563"/>
      <c r="J45" s="548">
        <f>IF(Report!L68="",Report!T68,Report!L68)</f>
        <v>300000</v>
      </c>
      <c r="K45" s="545"/>
      <c r="L45" s="548" t="str">
        <f>IF(Report!L69="",Report!T69,Report!L69)</f>
        <v>NO</v>
      </c>
      <c r="M45" s="549">
        <f>SUM(J45:L45)</f>
        <v>300000</v>
      </c>
      <c r="O45" s="169"/>
      <c r="P45" s="169"/>
      <c r="BD45" s="183"/>
      <c r="BE45" s="183"/>
      <c r="BF45" s="183"/>
      <c r="BG45" s="183"/>
    </row>
    <row r="46" spans="1:59" ht="19" customHeight="1">
      <c r="A46" s="43"/>
      <c r="B46" s="529" t="s">
        <v>713</v>
      </c>
      <c r="C46" s="47" t="s">
        <v>24</v>
      </c>
      <c r="D46" s="173"/>
      <c r="E46" s="173"/>
      <c r="F46" s="173"/>
      <c r="G46" s="561"/>
      <c r="H46" s="561"/>
      <c r="I46" s="564"/>
      <c r="J46" s="530">
        <f>IF(Report!L72="",Report!T72,Report!L72)</f>
        <v>17152</v>
      </c>
      <c r="K46" s="509"/>
      <c r="L46" s="530">
        <f>IF(Report!L73="",Report!T73,Report!L73)</f>
        <v>34304</v>
      </c>
      <c r="M46" s="532">
        <f>SUM(J46:L46)</f>
        <v>51456</v>
      </c>
      <c r="O46" s="169"/>
      <c r="P46" s="169"/>
      <c r="BD46" s="183"/>
      <c r="BE46" s="183"/>
      <c r="BF46" s="183"/>
      <c r="BG46" s="183"/>
    </row>
    <row r="47" spans="1:59" ht="19" customHeight="1">
      <c r="A47" s="43"/>
      <c r="B47" s="529" t="s">
        <v>714</v>
      </c>
      <c r="C47" s="47" t="s">
        <v>26</v>
      </c>
      <c r="D47" s="173"/>
      <c r="E47" s="173"/>
      <c r="F47" s="173"/>
      <c r="G47" s="561"/>
      <c r="H47" s="561"/>
      <c r="I47" s="564"/>
      <c r="J47" s="530" t="str">
        <f>IF(Report!L76="",Report!T76,Report!L76)</f>
        <v>NO</v>
      </c>
      <c r="K47" s="509"/>
      <c r="L47" s="530" t="str">
        <f>IF(Report!L77="",Report!T77,Report!L77)</f>
        <v>NO</v>
      </c>
      <c r="M47" s="532">
        <f>SUM(J47:L47)</f>
        <v>0</v>
      </c>
      <c r="O47" s="169"/>
      <c r="P47" s="169"/>
      <c r="BD47" s="183"/>
      <c r="BE47" s="183"/>
      <c r="BF47" s="183"/>
      <c r="BG47" s="183"/>
    </row>
    <row r="48" spans="1:59" ht="19" customHeight="1">
      <c r="A48" s="43"/>
      <c r="B48" s="529" t="s">
        <v>715</v>
      </c>
      <c r="C48" s="47" t="s">
        <v>28</v>
      </c>
      <c r="D48" s="173"/>
      <c r="E48" s="173"/>
      <c r="F48" s="173"/>
      <c r="G48" s="561"/>
      <c r="H48" s="561"/>
      <c r="I48" s="564"/>
      <c r="J48" s="530" t="str">
        <f>IF(Report!L80="",Report!T80,Report!L80)</f>
        <v>NO</v>
      </c>
      <c r="K48" s="509"/>
      <c r="L48" s="530">
        <f>IF(Report!L81="",Report!T81,Report!L81)</f>
        <v>153120.66</v>
      </c>
      <c r="M48" s="532">
        <f>SUM(J48:L48)</f>
        <v>153120.66</v>
      </c>
      <c r="O48" s="169"/>
      <c r="P48" s="169"/>
      <c r="BD48" s="183"/>
      <c r="BE48" s="183"/>
      <c r="BF48" s="183"/>
      <c r="BG48" s="183"/>
    </row>
    <row r="49" spans="1:59" ht="19" customHeight="1">
      <c r="A49" s="43"/>
      <c r="B49" s="529" t="s">
        <v>126</v>
      </c>
      <c r="C49" s="47" t="s">
        <v>23</v>
      </c>
      <c r="D49" s="173"/>
      <c r="E49" s="173"/>
      <c r="F49" s="173"/>
      <c r="G49" s="561"/>
      <c r="H49" s="561"/>
      <c r="I49" s="564"/>
      <c r="J49" s="508" t="str">
        <f>IF(Report!L70="",Report!T70,Report!L70)</f>
        <v>NO</v>
      </c>
      <c r="K49" s="509"/>
      <c r="L49" s="509"/>
      <c r="M49" s="533"/>
      <c r="O49" s="169"/>
      <c r="P49" s="169"/>
      <c r="BD49" s="183"/>
      <c r="BE49" s="183"/>
      <c r="BF49" s="183"/>
      <c r="BG49" s="183"/>
    </row>
    <row r="50" spans="1:59" ht="19" customHeight="1">
      <c r="A50" s="43"/>
      <c r="B50" s="529" t="s">
        <v>132</v>
      </c>
      <c r="C50" s="47" t="s">
        <v>25</v>
      </c>
      <c r="D50" s="173"/>
      <c r="E50" s="173"/>
      <c r="F50" s="173"/>
      <c r="G50" s="561"/>
      <c r="H50" s="561"/>
      <c r="I50" s="564"/>
      <c r="J50" s="508" t="str">
        <f>IF(Report!L74="",Report!T74,Report!L74)</f>
        <v>NO</v>
      </c>
      <c r="K50" s="509"/>
      <c r="L50" s="509"/>
      <c r="M50" s="533"/>
      <c r="O50" s="169"/>
      <c r="P50" s="169"/>
      <c r="BD50" s="183"/>
      <c r="BE50" s="183"/>
      <c r="BF50" s="183"/>
      <c r="BG50" s="183"/>
    </row>
    <row r="51" spans="1:59" ht="19" customHeight="1">
      <c r="A51" s="43"/>
      <c r="B51" s="529" t="s">
        <v>139</v>
      </c>
      <c r="C51" s="47" t="s">
        <v>27</v>
      </c>
      <c r="D51" s="173"/>
      <c r="E51" s="173"/>
      <c r="F51" s="173"/>
      <c r="G51" s="561"/>
      <c r="H51" s="561"/>
      <c r="I51" s="564"/>
      <c r="J51" s="508" t="str">
        <f>IF(Report!L78="",Report!T78,Report!L78)</f>
        <v>NO</v>
      </c>
      <c r="K51" s="509"/>
      <c r="L51" s="509"/>
      <c r="M51" s="533"/>
      <c r="O51" s="169"/>
      <c r="P51" s="169"/>
      <c r="BD51" s="183"/>
      <c r="BE51" s="183"/>
      <c r="BF51" s="183"/>
      <c r="BG51" s="183"/>
    </row>
    <row r="52" spans="1:59" ht="19" customHeight="1">
      <c r="A52" s="43"/>
      <c r="B52" s="529" t="s">
        <v>146</v>
      </c>
      <c r="C52" s="47" t="s">
        <v>29</v>
      </c>
      <c r="D52" s="173"/>
      <c r="E52" s="173"/>
      <c r="F52" s="173"/>
      <c r="G52" s="561"/>
      <c r="H52" s="561"/>
      <c r="I52" s="564"/>
      <c r="J52" s="508" t="str">
        <f>IF(Report!L82="",Report!T82,Report!L82)</f>
        <v>NO</v>
      </c>
      <c r="K52" s="509"/>
      <c r="L52" s="509"/>
      <c r="M52" s="533"/>
      <c r="O52" s="169"/>
      <c r="P52" s="169"/>
      <c r="BD52" s="183"/>
      <c r="BE52" s="183"/>
      <c r="BF52" s="183"/>
      <c r="BG52" s="183"/>
    </row>
    <row r="53" spans="1:59" ht="19" customHeight="1">
      <c r="A53" s="43"/>
      <c r="B53" s="534" t="s">
        <v>683</v>
      </c>
      <c r="C53" s="2201" t="s">
        <v>719</v>
      </c>
      <c r="D53" s="2202"/>
      <c r="E53" s="2202"/>
      <c r="F53" s="2202"/>
      <c r="G53" s="559"/>
      <c r="H53" s="559"/>
      <c r="I53" s="560"/>
      <c r="J53" s="541">
        <f>SUM(J45:J48)</f>
        <v>317152</v>
      </c>
      <c r="K53" s="541"/>
      <c r="L53" s="541">
        <f>SUM(L45:L48)</f>
        <v>187424.66</v>
      </c>
      <c r="M53" s="541">
        <f>SUM(M45:M48)</f>
        <v>504576.66000000003</v>
      </c>
      <c r="O53" s="169"/>
      <c r="P53" s="169"/>
    </row>
    <row r="54" spans="1:59" ht="19" customHeight="1">
      <c r="A54" s="43"/>
      <c r="B54" s="540" t="s">
        <v>148</v>
      </c>
      <c r="C54" s="2180" t="s">
        <v>681</v>
      </c>
      <c r="D54" s="2181"/>
      <c r="E54" s="493"/>
      <c r="F54" s="493"/>
      <c r="G54" s="561"/>
      <c r="H54" s="561"/>
      <c r="I54" s="561"/>
      <c r="J54" s="165"/>
      <c r="K54" s="165"/>
      <c r="L54" s="165"/>
      <c r="M54" s="547"/>
      <c r="O54" s="169"/>
      <c r="P54" s="169"/>
    </row>
    <row r="55" spans="1:59" ht="19" customHeight="1" collapsed="1">
      <c r="A55" s="43"/>
      <c r="B55" s="536" t="s">
        <v>150</v>
      </c>
      <c r="C55" s="542" t="s">
        <v>151</v>
      </c>
      <c r="D55" s="543"/>
      <c r="E55" s="543"/>
      <c r="F55" s="543"/>
      <c r="G55" s="562"/>
      <c r="H55" s="562"/>
      <c r="I55" s="563"/>
      <c r="J55" s="544" t="str">
        <f>IF(Report!L84="",Report!T84,Report!L84)</f>
        <v>NO</v>
      </c>
      <c r="K55" s="545"/>
      <c r="L55" s="545"/>
      <c r="M55" s="546">
        <f>SUM(J55:L55)</f>
        <v>0</v>
      </c>
      <c r="O55" s="169"/>
      <c r="P55" s="169"/>
    </row>
    <row r="56" spans="1:59" ht="19" customHeight="1" collapsed="1">
      <c r="A56" s="43"/>
      <c r="B56" s="536" t="s">
        <v>152</v>
      </c>
      <c r="C56" s="47" t="s">
        <v>153</v>
      </c>
      <c r="D56" s="173"/>
      <c r="E56" s="173"/>
      <c r="F56" s="173"/>
      <c r="G56" s="561"/>
      <c r="H56" s="561"/>
      <c r="I56" s="564"/>
      <c r="J56" s="535">
        <f>IF(Report!L85="",Report!T85,Report!L85)</f>
        <v>75000</v>
      </c>
      <c r="K56" s="509"/>
      <c r="L56" s="509"/>
      <c r="M56" s="537">
        <f>SUM(J56:L56)</f>
        <v>75000</v>
      </c>
      <c r="O56" s="169"/>
      <c r="P56" s="169"/>
    </row>
    <row r="57" spans="1:59" ht="19" customHeight="1">
      <c r="A57" s="43"/>
      <c r="B57" s="534" t="s">
        <v>683</v>
      </c>
      <c r="C57" s="2201" t="s">
        <v>719</v>
      </c>
      <c r="D57" s="2202"/>
      <c r="E57" s="2202"/>
      <c r="F57" s="2202"/>
      <c r="G57" s="559"/>
      <c r="H57" s="559"/>
      <c r="I57" s="560"/>
      <c r="J57" s="541">
        <f>SUM(J55:J56)</f>
        <v>75000</v>
      </c>
      <c r="K57" s="567"/>
      <c r="L57" s="567"/>
      <c r="M57" s="541">
        <f>SUM(M55:M56)</f>
        <v>75000</v>
      </c>
      <c r="O57" s="169"/>
      <c r="P57" s="169"/>
    </row>
    <row r="58" spans="1:59" ht="19" customHeight="1">
      <c r="A58" s="43"/>
      <c r="B58" s="569" t="s">
        <v>154</v>
      </c>
      <c r="C58" s="2180" t="s">
        <v>682</v>
      </c>
      <c r="D58" s="2181"/>
      <c r="E58" s="493"/>
      <c r="F58" s="493"/>
      <c r="G58" s="561"/>
      <c r="H58" s="561"/>
      <c r="I58" s="561"/>
      <c r="J58" s="165"/>
      <c r="K58" s="165"/>
      <c r="L58" s="165"/>
      <c r="M58" s="547"/>
      <c r="O58" s="169"/>
      <c r="P58" s="169"/>
    </row>
    <row r="59" spans="1:59" ht="19" customHeight="1" collapsed="1">
      <c r="A59" s="43"/>
      <c r="B59" s="536" t="s">
        <v>156</v>
      </c>
      <c r="C59" s="542" t="s">
        <v>157</v>
      </c>
      <c r="D59" s="543"/>
      <c r="E59" s="543"/>
      <c r="F59" s="543"/>
      <c r="G59" s="562"/>
      <c r="H59" s="562"/>
      <c r="I59" s="563"/>
      <c r="J59" s="544">
        <f>IF(Report!L87="",Report!T87,Report!L87)</f>
        <v>150000</v>
      </c>
      <c r="K59" s="545"/>
      <c r="L59" s="545"/>
      <c r="M59" s="546">
        <f>SUM(J59:L59)</f>
        <v>150000</v>
      </c>
      <c r="O59" s="169"/>
      <c r="P59" s="169"/>
    </row>
    <row r="60" spans="1:59" ht="19" customHeight="1" collapsed="1">
      <c r="A60" s="43"/>
      <c r="B60" s="536" t="s">
        <v>167</v>
      </c>
      <c r="C60" s="47" t="s">
        <v>158</v>
      </c>
      <c r="D60" s="173"/>
      <c r="E60" s="173"/>
      <c r="F60" s="173"/>
      <c r="G60" s="561"/>
      <c r="H60" s="561"/>
      <c r="I60" s="564"/>
      <c r="J60" s="535" t="str">
        <f>IF(Report!L88="",Report!T88,Report!L88)</f>
        <v>NE</v>
      </c>
      <c r="K60" s="509"/>
      <c r="L60" s="509"/>
      <c r="M60" s="537">
        <f>SUM(J60:L60)</f>
        <v>0</v>
      </c>
      <c r="O60" s="169"/>
      <c r="P60" s="169"/>
    </row>
    <row r="61" spans="1:59" ht="19" customHeight="1">
      <c r="A61" s="43"/>
      <c r="B61" s="536" t="s">
        <v>168</v>
      </c>
      <c r="C61" s="47" t="s">
        <v>159</v>
      </c>
      <c r="D61" s="173"/>
      <c r="E61" s="173"/>
      <c r="F61" s="173"/>
      <c r="G61" s="561"/>
      <c r="H61" s="561"/>
      <c r="I61" s="564"/>
      <c r="J61" s="535" t="str">
        <f>IF(Report!L89="",Report!T89,Report!L89)</f>
        <v>NE</v>
      </c>
      <c r="K61" s="509"/>
      <c r="L61" s="509"/>
      <c r="M61" s="537">
        <f>SUM(J61:L61)</f>
        <v>0</v>
      </c>
      <c r="O61" s="169"/>
      <c r="P61" s="169"/>
    </row>
    <row r="62" spans="1:59" ht="19" customHeight="1">
      <c r="A62" s="43"/>
      <c r="B62" s="534" t="s">
        <v>683</v>
      </c>
      <c r="C62" s="2201" t="s">
        <v>719</v>
      </c>
      <c r="D62" s="2202"/>
      <c r="E62" s="2202"/>
      <c r="F62" s="2202"/>
      <c r="G62" s="559"/>
      <c r="H62" s="559"/>
      <c r="I62" s="560"/>
      <c r="J62" s="541">
        <f>SUM(J59:J61)</f>
        <v>150000</v>
      </c>
      <c r="K62" s="567"/>
      <c r="L62" s="567"/>
      <c r="M62" s="541">
        <f>SUM(M59:M61)</f>
        <v>150000</v>
      </c>
      <c r="O62" s="169"/>
      <c r="P62" s="169"/>
    </row>
    <row r="63" spans="1:59" ht="19" customHeight="1">
      <c r="A63" s="43"/>
      <c r="B63" s="540" t="s">
        <v>160</v>
      </c>
      <c r="C63" s="2180" t="s">
        <v>35</v>
      </c>
      <c r="D63" s="2181"/>
      <c r="E63" s="493"/>
      <c r="F63" s="493"/>
      <c r="G63" s="561"/>
      <c r="H63" s="561"/>
      <c r="I63" s="561"/>
      <c r="J63" s="165"/>
      <c r="K63" s="165"/>
      <c r="L63" s="165"/>
      <c r="M63" s="547"/>
      <c r="O63" s="169"/>
      <c r="P63" s="169"/>
    </row>
    <row r="64" spans="1:59" ht="19" customHeight="1">
      <c r="A64" s="43"/>
      <c r="B64" s="536" t="s">
        <v>161</v>
      </c>
      <c r="C64" s="542" t="s">
        <v>162</v>
      </c>
      <c r="D64" s="543"/>
      <c r="E64" s="543"/>
      <c r="F64" s="543"/>
      <c r="G64" s="562"/>
      <c r="H64" s="562"/>
      <c r="I64" s="563"/>
      <c r="J64" s="545"/>
      <c r="K64" s="545"/>
      <c r="L64" s="568">
        <f>IF(Report!L91="",Report!T91,Report!L91)</f>
        <v>168000</v>
      </c>
      <c r="M64" s="546">
        <f>SUM(J64:L64)</f>
        <v>168000</v>
      </c>
      <c r="O64" s="169"/>
      <c r="P64" s="169"/>
    </row>
    <row r="65" spans="1:59" s="188" customFormat="1" ht="31" customHeight="1">
      <c r="A65" s="177"/>
      <c r="B65" s="538" t="s">
        <v>684</v>
      </c>
      <c r="C65" s="2178" t="s">
        <v>719</v>
      </c>
      <c r="D65" s="2179"/>
      <c r="E65" s="2179"/>
      <c r="F65" s="2179"/>
      <c r="G65" s="557"/>
      <c r="H65" s="557"/>
      <c r="I65" s="558"/>
      <c r="J65" s="539">
        <f>J36+J43+J53+J57+J62+J64</f>
        <v>5720048.9775100295</v>
      </c>
      <c r="K65" s="539">
        <f>K36+K43+K53+K57+K62+K64</f>
        <v>3059386.0783176003</v>
      </c>
      <c r="L65" s="539">
        <f>L36+L43+L53+L57+L62+SUM(L64)</f>
        <v>355424.66000000003</v>
      </c>
      <c r="M65" s="539">
        <f>M36+M43+M53+M57+M62+M64</f>
        <v>9134859.715827629</v>
      </c>
      <c r="Q65" s="182"/>
      <c r="R65" s="189"/>
      <c r="S65" s="189"/>
      <c r="T65" s="189"/>
      <c r="U65" s="189"/>
      <c r="V65" s="189"/>
      <c r="W65" s="189"/>
      <c r="X65" s="189"/>
      <c r="Y65" s="189"/>
      <c r="Z65" s="189"/>
      <c r="AA65" s="189"/>
      <c r="AB65" s="189"/>
      <c r="AC65" s="189"/>
      <c r="AD65" s="189"/>
      <c r="AE65" s="189"/>
      <c r="AF65" s="189"/>
      <c r="AG65" s="189"/>
      <c r="AH65" s="189"/>
      <c r="AI65" s="189"/>
      <c r="AJ65" s="189"/>
      <c r="AK65" s="189"/>
      <c r="AL65" s="189"/>
      <c r="AM65" s="189"/>
      <c r="AN65" s="189"/>
      <c r="AO65" s="189"/>
      <c r="AP65" s="189"/>
      <c r="AQ65" s="189"/>
      <c r="AR65" s="189"/>
      <c r="AS65" s="189"/>
      <c r="AT65" s="189"/>
      <c r="AU65" s="189"/>
      <c r="AV65" s="189"/>
      <c r="AW65" s="189"/>
      <c r="AX65" s="189"/>
      <c r="AY65" s="189"/>
      <c r="AZ65" s="189"/>
      <c r="BA65" s="189"/>
      <c r="BB65" s="189"/>
      <c r="BC65" s="189"/>
      <c r="BD65" s="189"/>
      <c r="BE65" s="189"/>
      <c r="BF65" s="189"/>
      <c r="BG65" s="189"/>
    </row>
    <row r="66" spans="1:59" s="169" customFormat="1" ht="31" customHeight="1">
      <c r="A66" s="43"/>
      <c r="B66" s="170"/>
      <c r="Q66" s="182"/>
      <c r="R66" s="182"/>
      <c r="S66" s="182"/>
      <c r="T66" s="182"/>
      <c r="U66" s="182"/>
      <c r="V66" s="182"/>
      <c r="W66" s="182"/>
      <c r="X66" s="182"/>
      <c r="Y66" s="182"/>
      <c r="Z66" s="182"/>
      <c r="AA66" s="182"/>
      <c r="AB66" s="182"/>
      <c r="AC66" s="182"/>
      <c r="AD66" s="182"/>
      <c r="AE66" s="182"/>
      <c r="AF66" s="182"/>
      <c r="AG66" s="182"/>
      <c r="AH66" s="182"/>
      <c r="AI66" s="182"/>
      <c r="AJ66" s="182"/>
      <c r="AK66" s="182"/>
      <c r="AL66" s="182"/>
      <c r="AM66" s="182"/>
      <c r="AN66" s="182"/>
      <c r="AO66" s="182"/>
      <c r="AP66" s="182"/>
      <c r="AQ66" s="182"/>
      <c r="AR66" s="182"/>
      <c r="AS66" s="182"/>
      <c r="AT66" s="182"/>
      <c r="AU66" s="182"/>
      <c r="AV66" s="182"/>
      <c r="AW66" s="182"/>
      <c r="AX66" s="182"/>
      <c r="AY66" s="182"/>
      <c r="AZ66" s="182"/>
      <c r="BA66" s="182"/>
      <c r="BB66" s="182"/>
      <c r="BC66" s="182"/>
      <c r="BD66" s="182"/>
      <c r="BE66" s="182"/>
      <c r="BF66" s="182"/>
      <c r="BG66" s="182"/>
    </row>
    <row r="67" spans="1:59" s="182" customFormat="1" ht="31" hidden="1" customHeight="1" thickBot="1">
      <c r="A67" s="581"/>
      <c r="B67" s="582" t="s">
        <v>758</v>
      </c>
      <c r="C67" s="583"/>
      <c r="D67" s="583"/>
      <c r="E67" s="583"/>
      <c r="F67" s="583"/>
      <c r="G67" s="583"/>
      <c r="H67" s="583"/>
      <c r="I67" s="584"/>
      <c r="J67" s="584"/>
      <c r="K67" s="584"/>
      <c r="L67" s="585"/>
      <c r="M67" s="585"/>
    </row>
    <row r="68" spans="1:59" s="182" customFormat="1" ht="30" hidden="1" customHeight="1" thickTop="1">
      <c r="A68" s="581"/>
      <c r="B68" s="586"/>
    </row>
    <row r="69" spans="1:59" s="192" customFormat="1" ht="20" hidden="1" customHeight="1">
      <c r="A69" s="587"/>
      <c r="B69" s="588" t="s">
        <v>1582</v>
      </c>
      <c r="C69" s="588"/>
      <c r="D69" s="588" t="s">
        <v>172</v>
      </c>
      <c r="E69" s="588"/>
      <c r="F69" s="588"/>
      <c r="G69" s="588" t="s">
        <v>173</v>
      </c>
      <c r="H69" s="588"/>
      <c r="I69" s="588"/>
      <c r="J69" s="588" t="s">
        <v>1583</v>
      </c>
      <c r="K69" s="588"/>
      <c r="L69" s="588"/>
      <c r="M69" s="588"/>
      <c r="O69" s="191"/>
      <c r="P69" s="191" t="s">
        <v>172</v>
      </c>
      <c r="Q69" s="191" t="s">
        <v>173</v>
      </c>
      <c r="R69" s="191" t="s">
        <v>763</v>
      </c>
      <c r="S69" s="191"/>
      <c r="T69" s="191"/>
    </row>
    <row r="70" spans="1:59" s="197" customFormat="1" ht="20" hidden="1" customHeight="1">
      <c r="A70" s="589"/>
      <c r="B70" s="590"/>
      <c r="C70" s="590"/>
      <c r="D70" s="590"/>
      <c r="E70" s="590"/>
      <c r="F70" s="590"/>
      <c r="G70" s="590"/>
      <c r="H70" s="590"/>
      <c r="I70" s="590"/>
      <c r="J70" s="590"/>
      <c r="O70" s="194"/>
      <c r="P70" s="195" t="str">
        <f>CONCATENATE(P78," mtCO2e")</f>
        <v>8742000 mtCO2e</v>
      </c>
      <c r="Q70" s="195" t="str">
        <f>CONCATENATE(Q78," mtCO2e")</f>
        <v>8967000 mtCO2e</v>
      </c>
      <c r="R70" s="195" t="str">
        <f>CONCATENATE(R78," mtCO2e")</f>
        <v>9135000 mtCO2e</v>
      </c>
      <c r="S70" s="196"/>
      <c r="T70" s="194"/>
    </row>
    <row r="71" spans="1:59" s="182" customFormat="1" ht="20" hidden="1" customHeight="1">
      <c r="A71" s="581"/>
      <c r="B71" s="186"/>
      <c r="O71" s="196" t="s">
        <v>759</v>
      </c>
      <c r="P71" s="195">
        <f>K14</f>
        <v>4564548.8945382396</v>
      </c>
      <c r="Q71" s="195">
        <f>L14</f>
        <v>4564548.8945382396</v>
      </c>
      <c r="R71" s="195">
        <f>L14</f>
        <v>4564548.8945382396</v>
      </c>
      <c r="S71" s="196">
        <v>0</v>
      </c>
      <c r="T71" s="196"/>
    </row>
    <row r="72" spans="1:59" s="182" customFormat="1" ht="20" hidden="1" customHeight="1">
      <c r="A72" s="581"/>
      <c r="B72" s="186"/>
      <c r="O72" s="196" t="s">
        <v>760</v>
      </c>
      <c r="P72" s="195">
        <f>K16</f>
        <v>3672734.1612893902</v>
      </c>
      <c r="Q72" s="195">
        <f>L16</f>
        <v>3672734.1612893902</v>
      </c>
      <c r="R72" s="195">
        <f>L16</f>
        <v>3672734.1612893902</v>
      </c>
      <c r="S72" s="196">
        <v>0</v>
      </c>
      <c r="T72" s="196"/>
    </row>
    <row r="73" spans="1:59" s="182" customFormat="1" ht="20" hidden="1" customHeight="1">
      <c r="A73" s="581"/>
      <c r="B73" s="186"/>
      <c r="O73" s="196" t="s">
        <v>761</v>
      </c>
      <c r="P73" s="195">
        <f>K17</f>
        <v>504576.66000000003</v>
      </c>
      <c r="Q73" s="195">
        <f>L17</f>
        <v>504576.66000000003</v>
      </c>
      <c r="R73" s="195">
        <f>L17</f>
        <v>504576.66000000003</v>
      </c>
      <c r="S73" s="196">
        <v>0</v>
      </c>
      <c r="T73" s="196"/>
    </row>
    <row r="74" spans="1:59" s="182" customFormat="1" ht="20" hidden="1" customHeight="1">
      <c r="A74" s="581"/>
      <c r="B74" s="186"/>
      <c r="O74" s="196" t="s">
        <v>208</v>
      </c>
      <c r="P74" s="196"/>
      <c r="Q74" s="195">
        <f>L19</f>
        <v>75000</v>
      </c>
      <c r="R74" s="195">
        <f>L19</f>
        <v>75000</v>
      </c>
      <c r="S74" s="196">
        <v>0</v>
      </c>
      <c r="T74" s="196"/>
    </row>
    <row r="75" spans="1:59" s="182" customFormat="1" ht="20" hidden="1" customHeight="1">
      <c r="A75" s="581"/>
      <c r="B75" s="186"/>
      <c r="O75" s="196" t="s">
        <v>209</v>
      </c>
      <c r="P75" s="196"/>
      <c r="Q75" s="195">
        <f>L20</f>
        <v>150000</v>
      </c>
      <c r="R75" s="195">
        <f>L20</f>
        <v>150000</v>
      </c>
      <c r="S75" s="196">
        <v>0</v>
      </c>
      <c r="T75" s="196"/>
    </row>
    <row r="76" spans="1:59" s="182" customFormat="1" ht="20" hidden="1" customHeight="1">
      <c r="A76" s="581"/>
      <c r="B76" s="186"/>
      <c r="O76" s="196" t="s">
        <v>762</v>
      </c>
      <c r="P76" s="196"/>
      <c r="Q76" s="196"/>
      <c r="R76" s="195">
        <f>J21</f>
        <v>168000</v>
      </c>
      <c r="S76" s="196">
        <v>0</v>
      </c>
      <c r="T76" s="196"/>
    </row>
    <row r="77" spans="1:59" s="182" customFormat="1" ht="20" hidden="1" customHeight="1">
      <c r="A77" s="581"/>
      <c r="B77" s="186"/>
      <c r="O77" s="196" t="s">
        <v>684</v>
      </c>
      <c r="P77" s="195">
        <f>SUM(P71:P76)</f>
        <v>8741859.715827629</v>
      </c>
      <c r="Q77" s="195">
        <f>SUM(Q71:Q76)</f>
        <v>8966859.715827629</v>
      </c>
      <c r="R77" s="195">
        <f>SUM(R71:R76)</f>
        <v>9134859.715827629</v>
      </c>
      <c r="S77" s="196">
        <v>0</v>
      </c>
      <c r="T77" s="196"/>
    </row>
    <row r="78" spans="1:59" s="182" customFormat="1" ht="20" hidden="1" customHeight="1">
      <c r="A78" s="581"/>
      <c r="B78" s="186"/>
      <c r="O78" s="196"/>
      <c r="P78" s="195">
        <f>ROUND(P77,-3)</f>
        <v>8742000</v>
      </c>
      <c r="Q78" s="195">
        <f>ROUND(Q77,-3)</f>
        <v>8967000</v>
      </c>
      <c r="R78" s="195">
        <f>ROUND(R77,-3)</f>
        <v>9135000</v>
      </c>
      <c r="S78" s="196"/>
      <c r="T78" s="196"/>
    </row>
    <row r="79" spans="1:59" s="182" customFormat="1" ht="20" hidden="1" customHeight="1">
      <c r="A79" s="581"/>
      <c r="B79" s="186"/>
      <c r="O79" s="196"/>
      <c r="P79" s="196"/>
      <c r="Q79" s="196"/>
      <c r="R79" s="196"/>
      <c r="S79" s="196"/>
      <c r="T79" s="196"/>
    </row>
    <row r="80" spans="1:59" s="182" customFormat="1" ht="20" hidden="1" customHeight="1">
      <c r="A80" s="581"/>
      <c r="B80" s="186"/>
      <c r="O80" s="196"/>
      <c r="P80" s="196"/>
      <c r="Q80" s="196"/>
      <c r="R80" s="196"/>
      <c r="S80" s="196"/>
      <c r="T80" s="196"/>
    </row>
    <row r="81" spans="1:20" s="182" customFormat="1" ht="20" hidden="1" customHeight="1">
      <c r="A81" s="581"/>
      <c r="B81" s="186"/>
      <c r="O81" s="196"/>
      <c r="P81" s="196"/>
      <c r="Q81" s="196"/>
      <c r="R81" s="196"/>
      <c r="S81" s="196"/>
      <c r="T81" s="196"/>
    </row>
    <row r="82" spans="1:20" s="182" customFormat="1" ht="20" hidden="1" customHeight="1">
      <c r="A82" s="581"/>
      <c r="B82" s="186"/>
      <c r="O82" s="196"/>
      <c r="P82" s="196"/>
      <c r="Q82" s="196"/>
      <c r="R82" s="196"/>
      <c r="S82" s="196"/>
      <c r="T82" s="196"/>
    </row>
    <row r="83" spans="1:20" s="192" customFormat="1" ht="20" hidden="1" customHeight="1">
      <c r="A83" s="587"/>
      <c r="B83" s="2182" t="s">
        <v>764</v>
      </c>
      <c r="C83" s="2182"/>
      <c r="D83" s="2182"/>
      <c r="E83" s="2182"/>
      <c r="F83" s="2182"/>
      <c r="G83" s="2182"/>
      <c r="H83" s="2182"/>
      <c r="I83" s="2182"/>
      <c r="J83" s="2182"/>
      <c r="K83" s="2182"/>
      <c r="L83" s="2182"/>
      <c r="M83" s="2182"/>
      <c r="O83" s="191"/>
      <c r="P83" s="191"/>
      <c r="Q83" s="191"/>
      <c r="R83" s="191"/>
      <c r="S83" s="191"/>
      <c r="T83" s="191"/>
    </row>
    <row r="84" spans="1:20" s="182" customFormat="1" ht="20" hidden="1" customHeight="1">
      <c r="A84" s="581"/>
      <c r="B84" s="186"/>
      <c r="O84" s="196"/>
      <c r="P84" s="196" t="s">
        <v>1</v>
      </c>
      <c r="Q84" s="196" t="s">
        <v>2</v>
      </c>
      <c r="R84" s="196" t="s">
        <v>3</v>
      </c>
      <c r="S84" s="196"/>
      <c r="T84" s="196"/>
    </row>
    <row r="85" spans="1:20" s="182" customFormat="1" ht="20" hidden="1" customHeight="1">
      <c r="A85" s="581"/>
      <c r="B85" s="186"/>
      <c r="O85" s="196" t="s">
        <v>765</v>
      </c>
      <c r="P85" s="195">
        <f t="shared" ref="P85:R88" si="1">J27/1000000</f>
        <v>0.79049823643500006</v>
      </c>
      <c r="Q85" s="195">
        <f t="shared" si="1"/>
        <v>1.2139834125000002</v>
      </c>
      <c r="R85" s="195" t="e">
        <f t="shared" si="1"/>
        <v>#VALUE!</v>
      </c>
      <c r="S85" s="196"/>
      <c r="T85" s="196"/>
    </row>
    <row r="86" spans="1:20" s="182" customFormat="1" ht="20" hidden="1" customHeight="1">
      <c r="A86" s="581"/>
      <c r="B86" s="186"/>
      <c r="O86" s="196" t="s">
        <v>766</v>
      </c>
      <c r="P86" s="195">
        <f t="shared" si="1"/>
        <v>0.97620000000000007</v>
      </c>
      <c r="Q86" s="195">
        <f t="shared" si="1"/>
        <v>1.5722981206</v>
      </c>
      <c r="R86" s="195" t="e">
        <f t="shared" si="1"/>
        <v>#VALUE!</v>
      </c>
      <c r="S86" s="196"/>
      <c r="T86" s="196"/>
    </row>
    <row r="87" spans="1:20" s="182" customFormat="1" ht="20" hidden="1" customHeight="1">
      <c r="A87" s="581"/>
      <c r="B87" s="186"/>
      <c r="O87" s="196" t="s">
        <v>767</v>
      </c>
      <c r="P87" s="195" t="e">
        <f t="shared" si="1"/>
        <v>#VALUE!</v>
      </c>
      <c r="Q87" s="195" t="e">
        <f t="shared" si="1"/>
        <v>#VALUE!</v>
      </c>
      <c r="R87" s="195" t="e">
        <f t="shared" si="1"/>
        <v>#VALUE!</v>
      </c>
      <c r="S87" s="196"/>
      <c r="T87" s="196"/>
    </row>
    <row r="88" spans="1:20" s="182" customFormat="1" ht="20" hidden="1" customHeight="1">
      <c r="A88" s="581"/>
      <c r="B88" s="186"/>
      <c r="O88" s="196" t="s">
        <v>9</v>
      </c>
      <c r="P88" s="195" t="e">
        <f t="shared" si="1"/>
        <v>#VALUE!</v>
      </c>
      <c r="Q88" s="195" t="e">
        <f t="shared" si="1"/>
        <v>#VALUE!</v>
      </c>
      <c r="R88" s="195" t="e">
        <f t="shared" si="1"/>
        <v>#VALUE!</v>
      </c>
      <c r="S88" s="196"/>
      <c r="T88" s="196"/>
    </row>
    <row r="89" spans="1:20" s="182" customFormat="1" ht="20" hidden="1" customHeight="1">
      <c r="A89" s="581"/>
      <c r="B89" s="186"/>
      <c r="O89" s="196" t="s">
        <v>768</v>
      </c>
      <c r="P89" s="195" t="e">
        <f t="shared" ref="P89:R92" si="2">J32/1000000</f>
        <v>#VALUE!</v>
      </c>
      <c r="Q89" s="195" t="e">
        <f t="shared" si="2"/>
        <v>#VALUE!</v>
      </c>
      <c r="R89" s="195" t="e">
        <f t="shared" si="2"/>
        <v>#VALUE!</v>
      </c>
      <c r="S89" s="196"/>
      <c r="T89" s="196"/>
    </row>
    <row r="90" spans="1:20" s="182" customFormat="1" ht="20" hidden="1" customHeight="1">
      <c r="A90" s="581"/>
      <c r="B90" s="186"/>
      <c r="O90" s="196" t="s">
        <v>12</v>
      </c>
      <c r="P90" s="195" t="e">
        <f t="shared" si="2"/>
        <v>#VALUE!</v>
      </c>
      <c r="Q90" s="195" t="e">
        <f t="shared" si="2"/>
        <v>#VALUE!</v>
      </c>
      <c r="R90" s="195" t="e">
        <f t="shared" si="2"/>
        <v>#VALUE!</v>
      </c>
      <c r="S90" s="196"/>
      <c r="T90" s="196"/>
    </row>
    <row r="91" spans="1:20" s="182" customFormat="1" ht="20" hidden="1" customHeight="1">
      <c r="A91" s="581"/>
      <c r="B91" s="186"/>
      <c r="O91" s="196" t="s">
        <v>769</v>
      </c>
      <c r="P91" s="195" t="e">
        <f t="shared" si="2"/>
        <v>#VALUE!</v>
      </c>
      <c r="Q91" s="195">
        <f t="shared" si="2"/>
        <v>0</v>
      </c>
      <c r="R91" s="195">
        <f t="shared" si="2"/>
        <v>0</v>
      </c>
      <c r="S91" s="196"/>
      <c r="T91" s="196"/>
    </row>
    <row r="92" spans="1:20" s="182" customFormat="1" ht="20" hidden="1" customHeight="1">
      <c r="A92" s="581"/>
      <c r="B92" s="186"/>
      <c r="O92" s="196" t="s">
        <v>770</v>
      </c>
      <c r="P92" s="195">
        <f t="shared" si="2"/>
        <v>1.1569125003239355E-2</v>
      </c>
      <c r="Q92" s="195">
        <f t="shared" si="2"/>
        <v>0</v>
      </c>
      <c r="R92" s="195">
        <f t="shared" si="2"/>
        <v>0</v>
      </c>
      <c r="S92" s="196"/>
      <c r="T92" s="196"/>
    </row>
    <row r="93" spans="1:20" s="182" customFormat="1" ht="20" hidden="1" customHeight="1">
      <c r="A93" s="581"/>
      <c r="B93" s="186"/>
      <c r="O93" s="196" t="s">
        <v>16</v>
      </c>
      <c r="P93" s="195">
        <f t="shared" ref="P93:R97" si="3">J38/1000000</f>
        <v>2.7910989412951999</v>
      </c>
      <c r="Q93" s="195" t="e">
        <f t="shared" si="3"/>
        <v>#VALUE!</v>
      </c>
      <c r="R93" s="195" t="e">
        <f t="shared" si="3"/>
        <v>#VALUE!</v>
      </c>
      <c r="S93" s="196"/>
      <c r="T93" s="196"/>
    </row>
    <row r="94" spans="1:20" s="182" customFormat="1" ht="20" hidden="1" customHeight="1">
      <c r="A94" s="581"/>
      <c r="B94" s="186"/>
      <c r="O94" s="196" t="s">
        <v>17</v>
      </c>
      <c r="P94" s="195">
        <f t="shared" si="3"/>
        <v>0.58827217892479999</v>
      </c>
      <c r="Q94" s="195">
        <f t="shared" si="3"/>
        <v>0.27310454521759997</v>
      </c>
      <c r="R94" s="195" t="e">
        <f t="shared" si="3"/>
        <v>#VALUE!</v>
      </c>
      <c r="S94" s="196"/>
      <c r="T94" s="196"/>
    </row>
    <row r="95" spans="1:20" s="182" customFormat="1" ht="20" hidden="1" customHeight="1">
      <c r="A95" s="581"/>
      <c r="B95" s="186"/>
      <c r="O95" s="196" t="s">
        <v>771</v>
      </c>
      <c r="P95" s="195">
        <f t="shared" si="3"/>
        <v>2.0258495851789848E-2</v>
      </c>
      <c r="Q95" s="195" t="e">
        <f t="shared" si="3"/>
        <v>#VALUE!</v>
      </c>
      <c r="R95" s="195" t="e">
        <f t="shared" si="3"/>
        <v>#VALUE!</v>
      </c>
      <c r="S95" s="196"/>
      <c r="T95" s="196"/>
    </row>
    <row r="96" spans="1:20" s="182" customFormat="1" ht="20" hidden="1" customHeight="1">
      <c r="A96" s="581"/>
      <c r="B96" s="186"/>
      <c r="O96" s="196" t="s">
        <v>19</v>
      </c>
      <c r="P96" s="195" t="e">
        <f t="shared" si="3"/>
        <v>#VALUE!</v>
      </c>
      <c r="Q96" s="195" t="e">
        <f t="shared" si="3"/>
        <v>#VALUE!</v>
      </c>
      <c r="R96" s="195" t="e">
        <f t="shared" si="3"/>
        <v>#VALUE!</v>
      </c>
      <c r="S96" s="196"/>
      <c r="T96" s="196"/>
    </row>
    <row r="97" spans="1:20" s="182" customFormat="1" ht="20" hidden="1" customHeight="1">
      <c r="A97" s="581"/>
      <c r="B97" s="186"/>
      <c r="O97" s="196" t="s">
        <v>20</v>
      </c>
      <c r="P97" s="195" t="e">
        <f t="shared" si="3"/>
        <v>#VALUE!</v>
      </c>
      <c r="Q97" s="195" t="e">
        <f t="shared" si="3"/>
        <v>#VALUE!</v>
      </c>
      <c r="R97" s="195" t="e">
        <f t="shared" si="3"/>
        <v>#VALUE!</v>
      </c>
      <c r="S97" s="196"/>
      <c r="T97" s="196"/>
    </row>
    <row r="98" spans="1:20" s="182" customFormat="1" ht="20" hidden="1" customHeight="1">
      <c r="A98" s="581"/>
      <c r="B98" s="186"/>
      <c r="O98" s="196" t="s">
        <v>772</v>
      </c>
      <c r="P98" s="195">
        <f t="shared" ref="P98:R101" si="4">J45/1000000</f>
        <v>0.3</v>
      </c>
      <c r="Q98" s="195">
        <f t="shared" si="4"/>
        <v>0</v>
      </c>
      <c r="R98" s="195" t="e">
        <f t="shared" si="4"/>
        <v>#VALUE!</v>
      </c>
      <c r="S98" s="196"/>
      <c r="T98" s="196"/>
    </row>
    <row r="99" spans="1:20" s="182" customFormat="1" ht="20" hidden="1" customHeight="1">
      <c r="A99" s="581"/>
      <c r="B99" s="186"/>
      <c r="O99" s="196" t="s">
        <v>773</v>
      </c>
      <c r="P99" s="195">
        <f t="shared" si="4"/>
        <v>1.7152000000000001E-2</v>
      </c>
      <c r="Q99" s="195">
        <f t="shared" si="4"/>
        <v>0</v>
      </c>
      <c r="R99" s="195">
        <f t="shared" si="4"/>
        <v>3.4304000000000001E-2</v>
      </c>
      <c r="S99" s="196"/>
      <c r="T99" s="196"/>
    </row>
    <row r="100" spans="1:20" s="182" customFormat="1" ht="20" hidden="1" customHeight="1">
      <c r="A100" s="581"/>
      <c r="B100" s="186"/>
      <c r="O100" s="196" t="s">
        <v>774</v>
      </c>
      <c r="P100" s="195" t="e">
        <f t="shared" si="4"/>
        <v>#VALUE!</v>
      </c>
      <c r="Q100" s="195">
        <f t="shared" si="4"/>
        <v>0</v>
      </c>
      <c r="R100" s="195" t="e">
        <f t="shared" si="4"/>
        <v>#VALUE!</v>
      </c>
      <c r="S100" s="196"/>
      <c r="T100" s="196"/>
    </row>
    <row r="101" spans="1:20" s="182" customFormat="1" ht="20" hidden="1" customHeight="1">
      <c r="A101" s="581"/>
      <c r="B101" s="186"/>
      <c r="O101" s="196" t="s">
        <v>775</v>
      </c>
      <c r="P101" s="195" t="e">
        <f t="shared" si="4"/>
        <v>#VALUE!</v>
      </c>
      <c r="Q101" s="195">
        <f t="shared" si="4"/>
        <v>0</v>
      </c>
      <c r="R101" s="195">
        <f t="shared" si="4"/>
        <v>0.15312065999999999</v>
      </c>
      <c r="S101" s="196"/>
      <c r="T101" s="196"/>
    </row>
    <row r="102" spans="1:20" s="182" customFormat="1" ht="20" hidden="1" customHeight="1">
      <c r="A102" s="581"/>
      <c r="B102" s="186"/>
      <c r="O102" s="195" t="s">
        <v>30</v>
      </c>
      <c r="P102" s="195" t="e">
        <f t="shared" ref="P102:R103" si="5">J55/1000000</f>
        <v>#VALUE!</v>
      </c>
      <c r="Q102" s="195">
        <f t="shared" si="5"/>
        <v>0</v>
      </c>
      <c r="R102" s="195">
        <f t="shared" si="5"/>
        <v>0</v>
      </c>
      <c r="S102" s="196"/>
      <c r="T102" s="196"/>
    </row>
    <row r="103" spans="1:20" s="182" customFormat="1" ht="20" hidden="1" customHeight="1">
      <c r="A103" s="581"/>
      <c r="B103" s="186"/>
      <c r="O103" s="195" t="s">
        <v>31</v>
      </c>
      <c r="P103" s="195">
        <f t="shared" si="5"/>
        <v>7.4999999999999997E-2</v>
      </c>
      <c r="Q103" s="195">
        <f t="shared" si="5"/>
        <v>0</v>
      </c>
      <c r="R103" s="195">
        <f t="shared" si="5"/>
        <v>0</v>
      </c>
      <c r="S103" s="196"/>
      <c r="T103" s="196"/>
    </row>
    <row r="104" spans="1:20" s="182" customFormat="1" ht="20" hidden="1" customHeight="1">
      <c r="A104" s="581"/>
      <c r="B104" s="186"/>
      <c r="O104" s="195" t="s">
        <v>32</v>
      </c>
      <c r="P104" s="195">
        <f t="shared" ref="P104:R106" si="6">J59/1000000</f>
        <v>0.15</v>
      </c>
      <c r="Q104" s="195">
        <f t="shared" si="6"/>
        <v>0</v>
      </c>
      <c r="R104" s="195">
        <f t="shared" si="6"/>
        <v>0</v>
      </c>
      <c r="S104" s="196"/>
      <c r="T104" s="196"/>
    </row>
    <row r="105" spans="1:20" s="182" customFormat="1" ht="20" hidden="1" customHeight="1">
      <c r="A105" s="581"/>
      <c r="B105" s="186"/>
      <c r="O105" s="195" t="s">
        <v>33</v>
      </c>
      <c r="P105" s="195" t="e">
        <f t="shared" si="6"/>
        <v>#VALUE!</v>
      </c>
      <c r="Q105" s="195">
        <f t="shared" si="6"/>
        <v>0</v>
      </c>
      <c r="R105" s="195">
        <f t="shared" si="6"/>
        <v>0</v>
      </c>
      <c r="S105" s="196"/>
      <c r="T105" s="196"/>
    </row>
    <row r="106" spans="1:20" s="182" customFormat="1" ht="20" hidden="1" customHeight="1">
      <c r="A106" s="581"/>
      <c r="B106" s="186"/>
      <c r="C106" s="2176" t="s">
        <v>776</v>
      </c>
      <c r="D106" s="2176"/>
      <c r="E106" s="2176"/>
      <c r="F106" s="2176"/>
      <c r="G106" s="2176"/>
      <c r="H106" s="2176"/>
      <c r="I106" s="2176"/>
      <c r="J106" s="2176"/>
      <c r="O106" s="195" t="s">
        <v>213</v>
      </c>
      <c r="P106" s="195" t="e">
        <f t="shared" si="6"/>
        <v>#VALUE!</v>
      </c>
      <c r="Q106" s="195">
        <f t="shared" si="6"/>
        <v>0</v>
      </c>
      <c r="R106" s="195">
        <f t="shared" si="6"/>
        <v>0</v>
      </c>
      <c r="S106" s="196"/>
      <c r="T106" s="196"/>
    </row>
    <row r="107" spans="1:20" s="182" customFormat="1" ht="20" hidden="1" customHeight="1">
      <c r="A107" s="581"/>
      <c r="B107" s="186"/>
      <c r="O107" s="195"/>
      <c r="P107" s="195"/>
      <c r="Q107" s="195"/>
      <c r="R107" s="195"/>
      <c r="S107" s="196"/>
      <c r="T107" s="196"/>
    </row>
    <row r="108" spans="1:20" s="182" customFormat="1" ht="20" hidden="1" customHeight="1">
      <c r="A108" s="581"/>
      <c r="B108" s="2177" t="s">
        <v>777</v>
      </c>
      <c r="C108" s="2177"/>
      <c r="D108" s="2177"/>
      <c r="E108" s="2177"/>
      <c r="F108" s="2177"/>
      <c r="G108" s="2177"/>
      <c r="H108" s="2177"/>
      <c r="I108" s="2177"/>
      <c r="J108" s="2177"/>
      <c r="K108" s="2177"/>
      <c r="L108" s="2177"/>
      <c r="M108" s="2177"/>
      <c r="O108" s="196"/>
      <c r="P108" s="196"/>
      <c r="Q108" s="196"/>
      <c r="R108" s="196"/>
      <c r="S108" s="196"/>
      <c r="T108" s="196"/>
    </row>
    <row r="109" spans="1:20" s="182" customFormat="1" ht="20" hidden="1" customHeight="1">
      <c r="A109" s="581"/>
      <c r="B109" s="186"/>
      <c r="O109" s="196"/>
      <c r="P109" s="196" t="s">
        <v>172</v>
      </c>
      <c r="Q109" s="196" t="s">
        <v>779</v>
      </c>
      <c r="R109" s="196" t="s">
        <v>778</v>
      </c>
      <c r="S109" s="196" t="s">
        <v>762</v>
      </c>
      <c r="T109" s="196"/>
    </row>
    <row r="110" spans="1:20" s="182" customFormat="1" ht="20" hidden="1" customHeight="1">
      <c r="A110" s="581"/>
      <c r="B110" s="186"/>
      <c r="O110" s="196" t="s">
        <v>1</v>
      </c>
      <c r="P110" s="195">
        <f>(H14+H16+H17)/1000000</f>
        <v>5.4950489775100291</v>
      </c>
      <c r="Q110" s="195">
        <f>(H19+H20)/1000000</f>
        <v>0.22500000000000001</v>
      </c>
      <c r="R110" s="195" t="e">
        <f>(H15+H18)/1000000</f>
        <v>#VALUE!</v>
      </c>
      <c r="S110" s="196"/>
      <c r="T110" s="196"/>
    </row>
    <row r="111" spans="1:20" s="182" customFormat="1" ht="20" hidden="1" customHeight="1">
      <c r="A111" s="581"/>
      <c r="B111" s="186"/>
      <c r="O111" s="196" t="s">
        <v>2</v>
      </c>
      <c r="P111" s="195">
        <f>(I14+I16)/1000000</f>
        <v>3.0593860783176003</v>
      </c>
      <c r="Q111" s="196"/>
      <c r="R111" s="196"/>
      <c r="S111" s="196"/>
      <c r="T111" s="196"/>
    </row>
    <row r="112" spans="1:20" s="182" customFormat="1" ht="20" hidden="1" customHeight="1">
      <c r="A112" s="581"/>
      <c r="B112" s="186"/>
      <c r="O112" s="196" t="s">
        <v>3</v>
      </c>
      <c r="P112" s="195">
        <f>J17/1000000</f>
        <v>0.18742465999999999</v>
      </c>
      <c r="Q112" s="195">
        <f>(J14+J16)/1000000</f>
        <v>0</v>
      </c>
      <c r="R112" s="196"/>
      <c r="S112" s="195">
        <f>J21/1000000</f>
        <v>0.16800000000000001</v>
      </c>
      <c r="T112" s="196"/>
    </row>
    <row r="113" spans="1:20" s="182" customFormat="1" ht="20" hidden="1" customHeight="1">
      <c r="A113" s="581"/>
      <c r="B113" s="186"/>
      <c r="O113" s="198"/>
      <c r="P113" s="198"/>
      <c r="Q113" s="198"/>
      <c r="R113" s="198"/>
      <c r="S113" s="198"/>
      <c r="T113" s="198"/>
    </row>
    <row r="114" spans="1:20" s="182" customFormat="1" ht="20" hidden="1" customHeight="1">
      <c r="A114" s="581"/>
      <c r="B114" s="186"/>
    </row>
    <row r="115" spans="1:20" s="182" customFormat="1" ht="20" hidden="1" customHeight="1">
      <c r="A115" s="581"/>
      <c r="B115" s="186"/>
    </row>
    <row r="116" spans="1:20" s="182" customFormat="1" ht="20" hidden="1" customHeight="1">
      <c r="A116" s="581"/>
      <c r="B116" s="186"/>
    </row>
    <row r="117" spans="1:20" s="182" customFormat="1" ht="20" hidden="1" customHeight="1">
      <c r="A117" s="581"/>
      <c r="B117" s="186"/>
    </row>
    <row r="118" spans="1:20" s="182" customFormat="1" ht="20" hidden="1" customHeight="1">
      <c r="A118" s="581"/>
      <c r="B118" s="186"/>
    </row>
    <row r="119" spans="1:20" s="182" customFormat="1" ht="20" hidden="1" customHeight="1">
      <c r="A119" s="581"/>
      <c r="B119" s="186"/>
    </row>
    <row r="120" spans="1:20" s="182" customFormat="1" ht="20" hidden="1" customHeight="1">
      <c r="A120" s="581"/>
      <c r="B120" s="186"/>
    </row>
    <row r="121" spans="1:20" s="182" customFormat="1" ht="20" hidden="1" customHeight="1">
      <c r="A121" s="581"/>
      <c r="B121" s="186"/>
    </row>
    <row r="122" spans="1:20" s="182" customFormat="1" ht="20" hidden="1" customHeight="1">
      <c r="A122" s="581"/>
      <c r="B122" s="186"/>
    </row>
    <row r="123" spans="1:20" s="182" customFormat="1" ht="20" hidden="1" customHeight="1">
      <c r="A123" s="581"/>
      <c r="B123" s="186"/>
    </row>
    <row r="124" spans="1:20" s="182" customFormat="1" ht="20" hidden="1" customHeight="1">
      <c r="A124" s="581"/>
      <c r="B124" s="186"/>
    </row>
    <row r="125" spans="1:20" s="182" customFormat="1" ht="20" hidden="1" customHeight="1">
      <c r="B125" s="186"/>
    </row>
    <row r="126" spans="1:20" s="182" customFormat="1" ht="20" hidden="1" customHeight="1">
      <c r="B126" s="186"/>
    </row>
    <row r="127" spans="1:20" s="182" customFormat="1" ht="20" hidden="1" customHeight="1">
      <c r="B127" s="186"/>
    </row>
    <row r="128" spans="1:20" s="182" customFormat="1" ht="20" hidden="1" customHeight="1">
      <c r="B128" s="186"/>
    </row>
    <row r="129" spans="2:2" s="182" customFormat="1" hidden="1">
      <c r="B129" s="186"/>
    </row>
    <row r="130" spans="2:2" s="182" customFormat="1" hidden="1">
      <c r="B130" s="186"/>
    </row>
    <row r="131" spans="2:2" s="182" customFormat="1" hidden="1">
      <c r="B131" s="186"/>
    </row>
    <row r="132" spans="2:2" s="182" customFormat="1" hidden="1">
      <c r="B132" s="186"/>
    </row>
    <row r="133" spans="2:2" s="182" customFormat="1" hidden="1">
      <c r="B133" s="186"/>
    </row>
    <row r="134" spans="2:2" s="182" customFormat="1" hidden="1">
      <c r="B134" s="186"/>
    </row>
    <row r="135" spans="2:2" s="182" customFormat="1" hidden="1">
      <c r="B135" s="186"/>
    </row>
    <row r="136" spans="2:2" s="182" customFormat="1" hidden="1">
      <c r="B136" s="186"/>
    </row>
    <row r="137" spans="2:2" s="182" customFormat="1" hidden="1">
      <c r="B137" s="186"/>
    </row>
    <row r="138" spans="2:2" s="182" customFormat="1" hidden="1">
      <c r="B138" s="186"/>
    </row>
    <row r="139" spans="2:2" s="182" customFormat="1" hidden="1">
      <c r="B139" s="186"/>
    </row>
    <row r="140" spans="2:2" s="182" customFormat="1" hidden="1">
      <c r="B140" s="186"/>
    </row>
    <row r="141" spans="2:2" s="182" customFormat="1" hidden="1">
      <c r="B141" s="186"/>
    </row>
    <row r="142" spans="2:2" s="182" customFormat="1" hidden="1">
      <c r="B142" s="186"/>
    </row>
    <row r="143" spans="2:2" s="182" customFormat="1" hidden="1">
      <c r="B143" s="186"/>
    </row>
    <row r="144" spans="2:2" s="182" customFormat="1" hidden="1">
      <c r="B144" s="186"/>
    </row>
    <row r="145" spans="2:2" s="182" customFormat="1" hidden="1">
      <c r="B145" s="186"/>
    </row>
    <row r="146" spans="2:2" s="182" customFormat="1" hidden="1">
      <c r="B146" s="186"/>
    </row>
    <row r="147" spans="2:2" s="182" customFormat="1" hidden="1">
      <c r="B147" s="186"/>
    </row>
    <row r="148" spans="2:2" s="182" customFormat="1" hidden="1">
      <c r="B148" s="186"/>
    </row>
    <row r="149" spans="2:2" s="182" customFormat="1" hidden="1">
      <c r="B149" s="186"/>
    </row>
    <row r="150" spans="2:2" s="182" customFormat="1" hidden="1">
      <c r="B150" s="186"/>
    </row>
    <row r="151" spans="2:2" s="182" customFormat="1" hidden="1">
      <c r="B151" s="186"/>
    </row>
    <row r="152" spans="2:2" s="182" customFormat="1" hidden="1">
      <c r="B152" s="186"/>
    </row>
    <row r="153" spans="2:2" s="182" customFormat="1" hidden="1">
      <c r="B153" s="186"/>
    </row>
    <row r="154" spans="2:2" s="182" customFormat="1" hidden="1">
      <c r="B154" s="186"/>
    </row>
    <row r="155" spans="2:2" s="182" customFormat="1" hidden="1">
      <c r="B155" s="186"/>
    </row>
    <row r="156" spans="2:2" s="182" customFormat="1" hidden="1">
      <c r="B156" s="186"/>
    </row>
    <row r="157" spans="2:2" s="182" customFormat="1" hidden="1">
      <c r="B157" s="186"/>
    </row>
    <row r="158" spans="2:2" s="182" customFormat="1" hidden="1">
      <c r="B158" s="186"/>
    </row>
    <row r="159" spans="2:2" s="182" customFormat="1" hidden="1">
      <c r="B159" s="186"/>
    </row>
    <row r="160" spans="2:2" s="182" customFormat="1" hidden="1">
      <c r="B160" s="186"/>
    </row>
    <row r="161" spans="2:2" s="182" customFormat="1" hidden="1">
      <c r="B161" s="186"/>
    </row>
    <row r="162" spans="2:2" s="182" customFormat="1" hidden="1">
      <c r="B162" s="186"/>
    </row>
    <row r="163" spans="2:2" s="182" customFormat="1" hidden="1">
      <c r="B163" s="186"/>
    </row>
    <row r="164" spans="2:2" s="182" customFormat="1" hidden="1">
      <c r="B164" s="186"/>
    </row>
    <row r="165" spans="2:2" s="182" customFormat="1" hidden="1">
      <c r="B165" s="186"/>
    </row>
    <row r="166" spans="2:2" s="182" customFormat="1" hidden="1">
      <c r="B166" s="186"/>
    </row>
    <row r="167" spans="2:2" s="182" customFormat="1" hidden="1">
      <c r="B167" s="186"/>
    </row>
    <row r="168" spans="2:2" s="182" customFormat="1" hidden="1">
      <c r="B168" s="186"/>
    </row>
    <row r="169" spans="2:2" s="182" customFormat="1" hidden="1">
      <c r="B169" s="186"/>
    </row>
    <row r="170" spans="2:2" s="182" customFormat="1" hidden="1">
      <c r="B170" s="186"/>
    </row>
    <row r="171" spans="2:2" s="182" customFormat="1" hidden="1">
      <c r="B171" s="186"/>
    </row>
    <row r="172" spans="2:2" s="182" customFormat="1" hidden="1">
      <c r="B172" s="186"/>
    </row>
    <row r="173" spans="2:2" s="182" customFormat="1" hidden="1">
      <c r="B173" s="186"/>
    </row>
    <row r="174" spans="2:2" s="182" customFormat="1" hidden="1">
      <c r="B174" s="186"/>
    </row>
    <row r="175" spans="2:2" s="182" customFormat="1" hidden="1">
      <c r="B175" s="186"/>
    </row>
    <row r="176" spans="2:2" s="182" customFormat="1" hidden="1">
      <c r="B176" s="186"/>
    </row>
    <row r="177" spans="2:2" s="182" customFormat="1" hidden="1">
      <c r="B177" s="186"/>
    </row>
    <row r="178" spans="2:2" s="182" customFormat="1" hidden="1">
      <c r="B178" s="186"/>
    </row>
    <row r="179" spans="2:2" s="182" customFormat="1" hidden="1">
      <c r="B179" s="186"/>
    </row>
    <row r="180" spans="2:2" s="182" customFormat="1" hidden="1">
      <c r="B180" s="186"/>
    </row>
    <row r="181" spans="2:2" s="182" customFormat="1" hidden="1">
      <c r="B181" s="186"/>
    </row>
    <row r="182" spans="2:2" s="182" customFormat="1" hidden="1">
      <c r="B182" s="186"/>
    </row>
    <row r="183" spans="2:2" s="182" customFormat="1" hidden="1">
      <c r="B183" s="186"/>
    </row>
    <row r="184" spans="2:2" s="182" customFormat="1" hidden="1">
      <c r="B184" s="186"/>
    </row>
    <row r="185" spans="2:2" s="182" customFormat="1" hidden="1">
      <c r="B185" s="186"/>
    </row>
    <row r="186" spans="2:2" s="182" customFormat="1" hidden="1">
      <c r="B186" s="186"/>
    </row>
    <row r="187" spans="2:2" s="182" customFormat="1" hidden="1">
      <c r="B187" s="186"/>
    </row>
    <row r="188" spans="2:2" s="182" customFormat="1" hidden="1">
      <c r="B188" s="186"/>
    </row>
    <row r="189" spans="2:2" s="182" customFormat="1" hidden="1">
      <c r="B189" s="186"/>
    </row>
    <row r="190" spans="2:2" s="182" customFormat="1" hidden="1">
      <c r="B190" s="186"/>
    </row>
    <row r="191" spans="2:2" s="182" customFormat="1" hidden="1">
      <c r="B191" s="186"/>
    </row>
    <row r="192" spans="2:2" s="182" customFormat="1" hidden="1">
      <c r="B192" s="186"/>
    </row>
    <row r="193" spans="1:59" s="182" customFormat="1" hidden="1">
      <c r="B193" s="186"/>
    </row>
    <row r="194" spans="1:59" s="182" customFormat="1" hidden="1">
      <c r="B194" s="186"/>
    </row>
    <row r="195" spans="1:59" s="182" customFormat="1" hidden="1">
      <c r="B195" s="186"/>
    </row>
    <row r="196" spans="1:59" s="182" customFormat="1" hidden="1">
      <c r="B196" s="186"/>
    </row>
    <row r="197" spans="1:59" s="182" customFormat="1" hidden="1">
      <c r="B197" s="186"/>
    </row>
    <row r="198" spans="1:59" s="182" customFormat="1" hidden="1">
      <c r="B198" s="186"/>
    </row>
    <row r="199" spans="1:59" s="182" customFormat="1" hidden="1">
      <c r="B199" s="186"/>
    </row>
    <row r="200" spans="1:59" hidden="1">
      <c r="A200" s="183"/>
      <c r="B200" s="170"/>
      <c r="C200" s="169"/>
      <c r="D200" s="169"/>
      <c r="E200" s="169"/>
      <c r="F200" s="169"/>
      <c r="G200" s="169"/>
      <c r="H200" s="169"/>
      <c r="I200" s="169"/>
      <c r="J200" s="169"/>
      <c r="K200" s="183"/>
      <c r="L200" s="183"/>
      <c r="M200" s="183"/>
      <c r="N200" s="183"/>
      <c r="O200" s="183"/>
      <c r="P200" s="183"/>
      <c r="Q200" s="183"/>
      <c r="R200" s="183"/>
      <c r="S200" s="183"/>
      <c r="T200" s="183"/>
      <c r="BD200" s="183"/>
      <c r="BE200" s="183"/>
      <c r="BF200" s="183"/>
      <c r="BG200" s="183"/>
    </row>
    <row r="201" spans="1:59" hidden="1">
      <c r="A201" s="183"/>
      <c r="B201" s="170"/>
      <c r="C201" s="169"/>
      <c r="D201" s="169"/>
      <c r="E201" s="169"/>
      <c r="F201" s="169"/>
      <c r="G201" s="169"/>
      <c r="H201" s="169"/>
      <c r="I201" s="169"/>
      <c r="J201" s="169"/>
      <c r="K201" s="183"/>
      <c r="L201" s="183"/>
      <c r="M201" s="183"/>
      <c r="N201" s="183"/>
      <c r="O201" s="183"/>
      <c r="P201" s="183"/>
      <c r="Q201" s="183"/>
      <c r="R201" s="183"/>
      <c r="S201" s="183"/>
      <c r="T201" s="183"/>
      <c r="BD201" s="183"/>
      <c r="BE201" s="183"/>
      <c r="BF201" s="183"/>
      <c r="BG201" s="183"/>
    </row>
    <row r="202" spans="1:59" hidden="1">
      <c r="A202" s="183"/>
      <c r="B202" s="170"/>
      <c r="C202" s="169"/>
      <c r="D202" s="169"/>
      <c r="E202" s="169"/>
      <c r="F202" s="169"/>
      <c r="G202" s="169"/>
      <c r="H202" s="169"/>
      <c r="I202" s="169"/>
      <c r="J202" s="169"/>
      <c r="K202" s="183"/>
      <c r="L202" s="183"/>
      <c r="M202" s="183"/>
      <c r="N202" s="183"/>
      <c r="O202" s="183"/>
      <c r="P202" s="183"/>
      <c r="Q202" s="183"/>
      <c r="R202" s="183"/>
      <c r="S202" s="183"/>
      <c r="T202" s="183"/>
      <c r="BD202" s="183"/>
      <c r="BE202" s="183"/>
      <c r="BF202" s="183"/>
      <c r="BG202" s="183"/>
    </row>
    <row r="203" spans="1:59" hidden="1">
      <c r="A203" s="183"/>
      <c r="B203" s="170"/>
      <c r="C203" s="169"/>
      <c r="D203" s="169"/>
      <c r="E203" s="169"/>
      <c r="F203" s="169"/>
      <c r="G203" s="169"/>
      <c r="H203" s="169"/>
      <c r="I203" s="169"/>
      <c r="J203" s="169"/>
      <c r="K203" s="183"/>
      <c r="L203" s="183"/>
      <c r="M203" s="183"/>
      <c r="N203" s="183"/>
      <c r="O203" s="183"/>
      <c r="P203" s="183"/>
      <c r="Q203" s="183"/>
      <c r="R203" s="183"/>
      <c r="S203" s="183"/>
      <c r="T203" s="183"/>
      <c r="BD203" s="183"/>
      <c r="BE203" s="183"/>
      <c r="BF203" s="183"/>
      <c r="BG203" s="183"/>
    </row>
    <row r="204" spans="1:59" hidden="1">
      <c r="A204" s="183"/>
      <c r="B204" s="170"/>
      <c r="C204" s="169"/>
      <c r="D204" s="169"/>
      <c r="E204" s="169"/>
      <c r="F204" s="169"/>
      <c r="G204" s="169"/>
      <c r="H204" s="169"/>
      <c r="I204" s="169"/>
      <c r="J204" s="169"/>
      <c r="K204" s="183"/>
      <c r="L204" s="183"/>
      <c r="M204" s="183"/>
      <c r="N204" s="183"/>
      <c r="O204" s="183"/>
      <c r="P204" s="183"/>
      <c r="Q204" s="183"/>
      <c r="R204" s="183"/>
      <c r="S204" s="183"/>
      <c r="T204" s="183"/>
      <c r="BD204" s="183"/>
      <c r="BE204" s="183"/>
      <c r="BF204" s="183"/>
      <c r="BG204" s="183"/>
    </row>
    <row r="205" spans="1:59" hidden="1">
      <c r="A205" s="183"/>
      <c r="B205" s="170"/>
      <c r="C205" s="169"/>
      <c r="D205" s="169"/>
      <c r="E205" s="169"/>
      <c r="F205" s="169"/>
      <c r="G205" s="169"/>
      <c r="H205" s="169"/>
      <c r="I205" s="169"/>
      <c r="J205" s="169"/>
      <c r="K205" s="183"/>
      <c r="L205" s="183"/>
      <c r="M205" s="183"/>
      <c r="N205" s="183"/>
      <c r="O205" s="183"/>
      <c r="P205" s="183"/>
      <c r="Q205" s="183"/>
      <c r="R205" s="183"/>
      <c r="S205" s="183"/>
      <c r="T205" s="183"/>
      <c r="BD205" s="183"/>
      <c r="BE205" s="183"/>
      <c r="BF205" s="183"/>
      <c r="BG205" s="183"/>
    </row>
    <row r="206" spans="1:59" hidden="1">
      <c r="A206" s="183"/>
      <c r="B206" s="170"/>
      <c r="C206" s="169"/>
      <c r="D206" s="169"/>
      <c r="E206" s="169"/>
      <c r="F206" s="169"/>
      <c r="G206" s="169"/>
      <c r="H206" s="169"/>
      <c r="I206" s="169"/>
      <c r="J206" s="169"/>
      <c r="K206" s="183"/>
      <c r="L206" s="183"/>
      <c r="M206" s="183"/>
      <c r="N206" s="183"/>
      <c r="O206" s="183"/>
      <c r="P206" s="183"/>
      <c r="Q206" s="183"/>
      <c r="R206" s="183"/>
      <c r="S206" s="183"/>
      <c r="T206" s="183"/>
      <c r="BD206" s="183"/>
      <c r="BE206" s="183"/>
      <c r="BF206" s="183"/>
      <c r="BG206" s="183"/>
    </row>
    <row r="207" spans="1:59" hidden="1">
      <c r="A207" s="183"/>
      <c r="B207" s="170"/>
      <c r="C207" s="169"/>
      <c r="D207" s="169"/>
      <c r="E207" s="169"/>
      <c r="F207" s="169"/>
      <c r="G207" s="169"/>
      <c r="H207" s="169"/>
      <c r="I207" s="169"/>
      <c r="J207" s="169"/>
      <c r="K207" s="183"/>
      <c r="L207" s="183"/>
      <c r="M207" s="183"/>
      <c r="N207" s="183"/>
      <c r="O207" s="183"/>
      <c r="P207" s="183"/>
      <c r="Q207" s="183"/>
      <c r="R207" s="183"/>
      <c r="S207" s="183"/>
      <c r="T207" s="183"/>
      <c r="BD207" s="183"/>
      <c r="BE207" s="183"/>
      <c r="BF207" s="183"/>
      <c r="BG207" s="183"/>
    </row>
    <row r="208" spans="1:59" hidden="1">
      <c r="A208" s="183"/>
      <c r="B208" s="170"/>
      <c r="C208" s="169"/>
      <c r="D208" s="169"/>
      <c r="E208" s="169"/>
      <c r="F208" s="169"/>
      <c r="G208" s="169"/>
      <c r="H208" s="169"/>
      <c r="I208" s="169"/>
      <c r="J208" s="169"/>
      <c r="K208" s="183"/>
      <c r="L208" s="183"/>
      <c r="M208" s="183"/>
      <c r="N208" s="183"/>
      <c r="O208" s="183"/>
      <c r="P208" s="183"/>
      <c r="Q208" s="183"/>
      <c r="R208" s="183"/>
      <c r="S208" s="183"/>
      <c r="T208" s="183"/>
      <c r="BD208" s="183"/>
      <c r="BE208" s="183"/>
      <c r="BF208" s="183"/>
      <c r="BG208" s="183"/>
    </row>
    <row r="209" spans="1:59" hidden="1">
      <c r="A209" s="183"/>
      <c r="B209" s="170"/>
      <c r="C209" s="169"/>
      <c r="D209" s="169"/>
      <c r="E209" s="169"/>
      <c r="F209" s="169"/>
      <c r="G209" s="169"/>
      <c r="H209" s="169"/>
      <c r="I209" s="169"/>
      <c r="J209" s="169"/>
      <c r="K209" s="183"/>
      <c r="L209" s="183"/>
      <c r="M209" s="183"/>
      <c r="N209" s="183"/>
      <c r="O209" s="183"/>
      <c r="P209" s="183"/>
      <c r="Q209" s="183"/>
      <c r="R209" s="183"/>
      <c r="S209" s="183"/>
      <c r="T209" s="183"/>
      <c r="BD209" s="183"/>
      <c r="BE209" s="183"/>
      <c r="BF209" s="183"/>
      <c r="BG209" s="183"/>
    </row>
    <row r="210" spans="1:59" hidden="1">
      <c r="A210" s="183"/>
      <c r="B210" s="170"/>
      <c r="C210" s="169"/>
      <c r="D210" s="169"/>
      <c r="E210" s="169"/>
      <c r="F210" s="169"/>
      <c r="G210" s="169"/>
      <c r="H210" s="169"/>
      <c r="I210" s="169"/>
      <c r="J210" s="169"/>
      <c r="K210" s="183"/>
      <c r="L210" s="183"/>
      <c r="M210" s="183"/>
      <c r="N210" s="183"/>
      <c r="O210" s="183"/>
      <c r="P210" s="183"/>
      <c r="Q210" s="183"/>
      <c r="R210" s="183"/>
      <c r="S210" s="183"/>
      <c r="T210" s="183"/>
      <c r="BD210" s="183"/>
      <c r="BE210" s="183"/>
      <c r="BF210" s="183"/>
      <c r="BG210" s="183"/>
    </row>
    <row r="211" spans="1:59" hidden="1">
      <c r="A211" s="183"/>
      <c r="B211" s="170"/>
      <c r="C211" s="169"/>
      <c r="D211" s="169"/>
      <c r="E211" s="169"/>
      <c r="F211" s="169"/>
      <c r="G211" s="169"/>
      <c r="H211" s="169"/>
      <c r="I211" s="169"/>
      <c r="J211" s="169"/>
      <c r="K211" s="183"/>
      <c r="L211" s="183"/>
      <c r="M211" s="183"/>
      <c r="N211" s="183"/>
      <c r="O211" s="183"/>
      <c r="P211" s="183"/>
      <c r="Q211" s="183"/>
      <c r="R211" s="183"/>
      <c r="S211" s="183"/>
      <c r="T211" s="183"/>
      <c r="BD211" s="183"/>
      <c r="BE211" s="183"/>
      <c r="BF211" s="183"/>
      <c r="BG211" s="183"/>
    </row>
    <row r="212" spans="1:59" hidden="1">
      <c r="A212" s="183"/>
      <c r="B212" s="170"/>
      <c r="C212" s="169"/>
      <c r="D212" s="169"/>
      <c r="E212" s="169"/>
      <c r="F212" s="169"/>
      <c r="G212" s="169"/>
      <c r="H212" s="169"/>
      <c r="I212" s="169"/>
      <c r="J212" s="169"/>
      <c r="K212" s="183"/>
      <c r="L212" s="183"/>
      <c r="M212" s="183"/>
      <c r="N212" s="183"/>
      <c r="O212" s="183"/>
      <c r="P212" s="183"/>
      <c r="Q212" s="183"/>
      <c r="R212" s="183"/>
      <c r="S212" s="183"/>
      <c r="T212" s="183"/>
      <c r="BD212" s="183"/>
      <c r="BE212" s="183"/>
      <c r="BF212" s="183"/>
      <c r="BG212" s="183"/>
    </row>
    <row r="213" spans="1:59" hidden="1">
      <c r="A213" s="183"/>
      <c r="B213" s="170"/>
      <c r="C213" s="169"/>
      <c r="D213" s="169"/>
      <c r="E213" s="169"/>
      <c r="F213" s="169"/>
      <c r="G213" s="169"/>
      <c r="H213" s="169"/>
      <c r="I213" s="169"/>
      <c r="J213" s="169"/>
      <c r="K213" s="183"/>
      <c r="L213" s="183"/>
      <c r="M213" s="183"/>
      <c r="N213" s="183"/>
      <c r="O213" s="183"/>
      <c r="P213" s="183"/>
      <c r="Q213" s="183"/>
      <c r="R213" s="183"/>
      <c r="S213" s="183"/>
      <c r="T213" s="183"/>
      <c r="BD213" s="183"/>
      <c r="BE213" s="183"/>
      <c r="BF213" s="183"/>
      <c r="BG213" s="183"/>
    </row>
    <row r="214" spans="1:59" hidden="1">
      <c r="A214" s="183"/>
      <c r="B214" s="170"/>
      <c r="C214" s="169"/>
      <c r="D214" s="169"/>
      <c r="E214" s="169"/>
      <c r="F214" s="169"/>
      <c r="G214" s="169"/>
      <c r="H214" s="169"/>
      <c r="I214" s="169"/>
      <c r="J214" s="169"/>
      <c r="K214" s="183"/>
      <c r="L214" s="183"/>
      <c r="M214" s="183"/>
      <c r="N214" s="183"/>
      <c r="O214" s="183"/>
      <c r="P214" s="183"/>
      <c r="Q214" s="183"/>
      <c r="R214" s="183"/>
      <c r="S214" s="183"/>
      <c r="T214" s="183"/>
      <c r="BD214" s="183"/>
      <c r="BE214" s="183"/>
      <c r="BF214" s="183"/>
      <c r="BG214" s="183"/>
    </row>
    <row r="215" spans="1:59" hidden="1">
      <c r="A215" s="183"/>
      <c r="B215" s="170"/>
      <c r="C215" s="169"/>
      <c r="D215" s="169"/>
      <c r="E215" s="169"/>
      <c r="F215" s="169"/>
      <c r="G215" s="169"/>
      <c r="H215" s="169"/>
      <c r="I215" s="169"/>
      <c r="J215" s="169"/>
      <c r="K215" s="183"/>
      <c r="L215" s="183"/>
      <c r="M215" s="183"/>
      <c r="N215" s="183"/>
      <c r="O215" s="183"/>
      <c r="P215" s="183"/>
      <c r="Q215" s="183"/>
      <c r="R215" s="183"/>
      <c r="S215" s="183"/>
      <c r="T215" s="183"/>
      <c r="BD215" s="183"/>
      <c r="BE215" s="183"/>
      <c r="BF215" s="183"/>
      <c r="BG215" s="183"/>
    </row>
    <row r="216" spans="1:59" hidden="1">
      <c r="A216" s="183"/>
      <c r="B216" s="170"/>
      <c r="C216" s="169"/>
      <c r="D216" s="169"/>
      <c r="E216" s="169"/>
      <c r="F216" s="169"/>
      <c r="G216" s="169"/>
      <c r="H216" s="169"/>
      <c r="I216" s="169"/>
      <c r="J216" s="169"/>
      <c r="K216" s="183"/>
      <c r="L216" s="183"/>
      <c r="M216" s="183"/>
      <c r="N216" s="183"/>
      <c r="O216" s="183"/>
      <c r="P216" s="183"/>
      <c r="Q216" s="183"/>
      <c r="R216" s="183"/>
      <c r="S216" s="183"/>
      <c r="T216" s="183"/>
      <c r="BD216" s="183"/>
      <c r="BE216" s="183"/>
      <c r="BF216" s="183"/>
      <c r="BG216" s="183"/>
    </row>
    <row r="217" spans="1:59" hidden="1">
      <c r="A217" s="183"/>
      <c r="B217" s="170"/>
      <c r="C217" s="169"/>
      <c r="D217" s="169"/>
      <c r="E217" s="169"/>
      <c r="F217" s="169"/>
      <c r="G217" s="169"/>
      <c r="H217" s="169"/>
      <c r="I217" s="169"/>
      <c r="J217" s="169"/>
      <c r="K217" s="183"/>
      <c r="L217" s="183"/>
      <c r="M217" s="183"/>
      <c r="N217" s="183"/>
      <c r="O217" s="183"/>
      <c r="P217" s="183"/>
      <c r="Q217" s="183"/>
      <c r="R217" s="183"/>
      <c r="S217" s="183"/>
      <c r="T217" s="183"/>
      <c r="BD217" s="183"/>
      <c r="BE217" s="183"/>
      <c r="BF217" s="183"/>
      <c r="BG217" s="183"/>
    </row>
    <row r="218" spans="1:59" hidden="1">
      <c r="A218" s="183"/>
      <c r="B218" s="170"/>
      <c r="C218" s="169"/>
      <c r="D218" s="169"/>
      <c r="E218" s="169"/>
      <c r="F218" s="169"/>
      <c r="G218" s="169"/>
      <c r="H218" s="169"/>
      <c r="I218" s="169"/>
      <c r="J218" s="169"/>
      <c r="K218" s="183"/>
      <c r="L218" s="183"/>
      <c r="M218" s="183"/>
      <c r="N218" s="183"/>
      <c r="O218" s="183"/>
      <c r="P218" s="183"/>
      <c r="Q218" s="183"/>
      <c r="R218" s="183"/>
      <c r="S218" s="183"/>
      <c r="T218" s="183"/>
      <c r="BD218" s="183"/>
      <c r="BE218" s="183"/>
      <c r="BF218" s="183"/>
      <c r="BG218" s="183"/>
    </row>
    <row r="219" spans="1:59" hidden="1">
      <c r="A219" s="183"/>
      <c r="B219" s="170"/>
      <c r="C219" s="169"/>
      <c r="D219" s="169"/>
      <c r="E219" s="169"/>
      <c r="F219" s="169"/>
      <c r="G219" s="169"/>
      <c r="H219" s="169"/>
      <c r="I219" s="169"/>
      <c r="J219" s="169"/>
      <c r="K219" s="183"/>
      <c r="L219" s="183"/>
      <c r="M219" s="183"/>
      <c r="N219" s="183"/>
      <c r="O219" s="183"/>
      <c r="P219" s="183"/>
      <c r="Q219" s="183"/>
      <c r="R219" s="183"/>
      <c r="S219" s="183"/>
      <c r="T219" s="183"/>
      <c r="BD219" s="183"/>
      <c r="BE219" s="183"/>
      <c r="BF219" s="183"/>
      <c r="BG219" s="183"/>
    </row>
    <row r="220" spans="1:59" hidden="1">
      <c r="A220" s="183"/>
      <c r="B220" s="170"/>
      <c r="C220" s="169"/>
      <c r="D220" s="169"/>
      <c r="E220" s="169"/>
      <c r="F220" s="169"/>
      <c r="G220" s="169"/>
      <c r="H220" s="169"/>
      <c r="I220" s="169"/>
      <c r="J220" s="169"/>
      <c r="K220" s="183"/>
      <c r="L220" s="183"/>
      <c r="M220" s="183"/>
      <c r="N220" s="183"/>
      <c r="O220" s="183"/>
      <c r="P220" s="183"/>
      <c r="Q220" s="183"/>
      <c r="R220" s="183"/>
      <c r="S220" s="183"/>
      <c r="T220" s="183"/>
      <c r="BD220" s="183"/>
      <c r="BE220" s="183"/>
      <c r="BF220" s="183"/>
      <c r="BG220" s="183"/>
    </row>
    <row r="221" spans="1:59" hidden="1">
      <c r="A221" s="183"/>
      <c r="B221" s="170"/>
      <c r="C221" s="169"/>
      <c r="D221" s="169"/>
      <c r="E221" s="169"/>
      <c r="F221" s="169"/>
      <c r="G221" s="169"/>
      <c r="H221" s="169"/>
      <c r="I221" s="169"/>
      <c r="J221" s="169"/>
      <c r="K221" s="183"/>
      <c r="L221" s="183"/>
      <c r="M221" s="183"/>
      <c r="N221" s="183"/>
      <c r="O221" s="183"/>
      <c r="P221" s="183"/>
      <c r="Q221" s="183"/>
      <c r="R221" s="183"/>
      <c r="S221" s="183"/>
      <c r="T221" s="183"/>
      <c r="BD221" s="183"/>
      <c r="BE221" s="183"/>
      <c r="BF221" s="183"/>
      <c r="BG221" s="183"/>
    </row>
    <row r="222" spans="1:59" hidden="1">
      <c r="A222" s="183"/>
      <c r="B222" s="170"/>
      <c r="C222" s="169"/>
      <c r="D222" s="169"/>
      <c r="E222" s="169"/>
      <c r="F222" s="169"/>
      <c r="G222" s="169"/>
      <c r="H222" s="169"/>
      <c r="I222" s="169"/>
      <c r="J222" s="169"/>
      <c r="K222" s="183"/>
      <c r="L222" s="183"/>
      <c r="M222" s="183"/>
      <c r="N222" s="183"/>
      <c r="O222" s="183"/>
      <c r="P222" s="183"/>
      <c r="Q222" s="183"/>
      <c r="R222" s="183"/>
      <c r="S222" s="183"/>
      <c r="T222" s="183"/>
      <c r="BD222" s="183"/>
      <c r="BE222" s="183"/>
      <c r="BF222" s="183"/>
      <c r="BG222" s="183"/>
    </row>
    <row r="223" spans="1:59" hidden="1">
      <c r="A223" s="183"/>
      <c r="B223" s="170"/>
      <c r="C223" s="169"/>
      <c r="D223" s="169"/>
      <c r="E223" s="169"/>
      <c r="F223" s="169"/>
      <c r="G223" s="169"/>
      <c r="H223" s="169"/>
      <c r="I223" s="169"/>
      <c r="J223" s="169"/>
      <c r="K223" s="183"/>
      <c r="L223" s="183"/>
      <c r="M223" s="183"/>
      <c r="N223" s="183"/>
      <c r="O223" s="183"/>
      <c r="P223" s="183"/>
      <c r="Q223" s="183"/>
      <c r="R223" s="183"/>
      <c r="S223" s="183"/>
      <c r="T223" s="183"/>
      <c r="BD223" s="183"/>
      <c r="BE223" s="183"/>
      <c r="BF223" s="183"/>
      <c r="BG223" s="183"/>
    </row>
    <row r="224" spans="1:59" hidden="1">
      <c r="A224" s="183"/>
      <c r="B224" s="170"/>
      <c r="C224" s="169"/>
      <c r="D224" s="169"/>
      <c r="E224" s="169"/>
      <c r="F224" s="169"/>
      <c r="G224" s="169"/>
      <c r="H224" s="169"/>
      <c r="I224" s="169"/>
      <c r="J224" s="169"/>
      <c r="K224" s="183"/>
      <c r="L224" s="183"/>
      <c r="M224" s="183"/>
      <c r="N224" s="183"/>
      <c r="O224" s="183"/>
      <c r="P224" s="183"/>
      <c r="Q224" s="183"/>
      <c r="R224" s="183"/>
      <c r="S224" s="183"/>
      <c r="T224" s="183"/>
      <c r="BD224" s="183"/>
      <c r="BE224" s="183"/>
      <c r="BF224" s="183"/>
      <c r="BG224" s="183"/>
    </row>
    <row r="225" spans="1:59" hidden="1">
      <c r="A225" s="183"/>
      <c r="B225" s="170"/>
      <c r="C225" s="169"/>
      <c r="D225" s="169"/>
      <c r="E225" s="169"/>
      <c r="F225" s="169"/>
      <c r="G225" s="169"/>
      <c r="H225" s="169"/>
      <c r="I225" s="169"/>
      <c r="J225" s="169"/>
      <c r="K225" s="183"/>
      <c r="L225" s="183"/>
      <c r="M225" s="183"/>
      <c r="N225" s="183"/>
      <c r="O225" s="183"/>
      <c r="P225" s="183"/>
      <c r="Q225" s="183"/>
      <c r="R225" s="183"/>
      <c r="S225" s="183"/>
      <c r="T225" s="183"/>
      <c r="BD225" s="183"/>
      <c r="BE225" s="183"/>
      <c r="BF225" s="183"/>
      <c r="BG225" s="183"/>
    </row>
    <row r="226" spans="1:59" hidden="1">
      <c r="A226" s="183"/>
      <c r="B226" s="170"/>
      <c r="C226" s="169"/>
      <c r="D226" s="169"/>
      <c r="E226" s="169"/>
      <c r="F226" s="169"/>
      <c r="G226" s="169"/>
      <c r="H226" s="169"/>
      <c r="I226" s="169"/>
      <c r="J226" s="169"/>
      <c r="K226" s="183"/>
      <c r="L226" s="183"/>
      <c r="M226" s="183"/>
      <c r="N226" s="183"/>
      <c r="O226" s="183"/>
      <c r="P226" s="183"/>
      <c r="Q226" s="183"/>
      <c r="R226" s="183"/>
      <c r="S226" s="183"/>
      <c r="T226" s="183"/>
      <c r="BD226" s="183"/>
      <c r="BE226" s="183"/>
      <c r="BF226" s="183"/>
      <c r="BG226" s="183"/>
    </row>
    <row r="227" spans="1:59" hidden="1">
      <c r="A227" s="183"/>
      <c r="B227" s="170"/>
      <c r="C227" s="169"/>
      <c r="D227" s="169"/>
      <c r="E227" s="169"/>
      <c r="F227" s="169"/>
      <c r="G227" s="169"/>
      <c r="H227" s="169"/>
      <c r="I227" s="169"/>
      <c r="J227" s="169"/>
      <c r="K227" s="183"/>
      <c r="L227" s="183"/>
      <c r="M227" s="183"/>
      <c r="N227" s="183"/>
      <c r="O227" s="183"/>
      <c r="P227" s="183"/>
      <c r="Q227" s="183"/>
      <c r="R227" s="183"/>
      <c r="S227" s="183"/>
      <c r="T227" s="183"/>
      <c r="BD227" s="183"/>
      <c r="BE227" s="183"/>
      <c r="BF227" s="183"/>
      <c r="BG227" s="183"/>
    </row>
    <row r="228" spans="1:59" hidden="1">
      <c r="A228" s="183"/>
      <c r="B228" s="170"/>
      <c r="C228" s="169"/>
      <c r="D228" s="169"/>
      <c r="E228" s="169"/>
      <c r="F228" s="169"/>
      <c r="G228" s="169"/>
      <c r="H228" s="169"/>
      <c r="I228" s="169"/>
      <c r="J228" s="169"/>
      <c r="K228" s="183"/>
      <c r="L228" s="183"/>
      <c r="M228" s="183"/>
      <c r="N228" s="183"/>
      <c r="O228" s="183"/>
      <c r="P228" s="183"/>
      <c r="Q228" s="183"/>
      <c r="R228" s="183"/>
      <c r="S228" s="183"/>
      <c r="T228" s="183"/>
      <c r="BD228" s="183"/>
      <c r="BE228" s="183"/>
      <c r="BF228" s="183"/>
      <c r="BG228" s="183"/>
    </row>
    <row r="229" spans="1:59" hidden="1">
      <c r="A229" s="183"/>
      <c r="B229" s="170"/>
      <c r="C229" s="169"/>
      <c r="D229" s="169"/>
      <c r="E229" s="169"/>
      <c r="F229" s="169"/>
      <c r="G229" s="169"/>
      <c r="H229" s="169"/>
      <c r="I229" s="169"/>
      <c r="J229" s="169"/>
      <c r="K229" s="183"/>
      <c r="L229" s="183"/>
      <c r="M229" s="183"/>
      <c r="N229" s="183"/>
      <c r="O229" s="183"/>
      <c r="P229" s="183"/>
      <c r="Q229" s="183"/>
      <c r="R229" s="183"/>
      <c r="S229" s="183"/>
      <c r="T229" s="183"/>
      <c r="BD229" s="183"/>
      <c r="BE229" s="183"/>
      <c r="BF229" s="183"/>
      <c r="BG229" s="183"/>
    </row>
    <row r="230" spans="1:59" hidden="1">
      <c r="A230" s="183"/>
      <c r="B230" s="170"/>
      <c r="C230" s="169"/>
      <c r="D230" s="169"/>
      <c r="E230" s="169"/>
      <c r="F230" s="169"/>
      <c r="G230" s="169"/>
      <c r="H230" s="169"/>
      <c r="I230" s="169"/>
      <c r="J230" s="169"/>
      <c r="K230" s="183"/>
      <c r="L230" s="183"/>
      <c r="M230" s="183"/>
      <c r="N230" s="183"/>
      <c r="O230" s="183"/>
      <c r="P230" s="183"/>
      <c r="Q230" s="183"/>
      <c r="R230" s="183"/>
      <c r="S230" s="183"/>
      <c r="T230" s="183"/>
      <c r="BD230" s="183"/>
      <c r="BE230" s="183"/>
      <c r="BF230" s="183"/>
      <c r="BG230" s="183"/>
    </row>
    <row r="231" spans="1:59" hidden="1">
      <c r="A231" s="183"/>
      <c r="B231" s="170"/>
      <c r="C231" s="169"/>
      <c r="D231" s="169"/>
      <c r="E231" s="169"/>
      <c r="F231" s="169"/>
      <c r="G231" s="169"/>
      <c r="H231" s="169"/>
      <c r="I231" s="169"/>
      <c r="J231" s="169"/>
      <c r="K231" s="183"/>
      <c r="L231" s="183"/>
      <c r="M231" s="183"/>
      <c r="N231" s="183"/>
      <c r="O231" s="183"/>
      <c r="P231" s="183"/>
      <c r="Q231" s="183"/>
      <c r="R231" s="183"/>
      <c r="S231" s="183"/>
      <c r="T231" s="183"/>
      <c r="BD231" s="183"/>
      <c r="BE231" s="183"/>
      <c r="BF231" s="183"/>
      <c r="BG231" s="183"/>
    </row>
    <row r="232" spans="1:59" hidden="1">
      <c r="A232" s="183"/>
      <c r="B232" s="170"/>
      <c r="C232" s="169"/>
      <c r="D232" s="169"/>
      <c r="E232" s="169"/>
      <c r="F232" s="169"/>
      <c r="G232" s="169"/>
      <c r="H232" s="169"/>
      <c r="I232" s="169"/>
      <c r="J232" s="169"/>
      <c r="K232" s="183"/>
      <c r="L232" s="183"/>
      <c r="M232" s="183"/>
      <c r="N232" s="183"/>
      <c r="O232" s="183"/>
      <c r="P232" s="183"/>
      <c r="Q232" s="183"/>
      <c r="R232" s="183"/>
      <c r="S232" s="183"/>
      <c r="T232" s="183"/>
      <c r="BD232" s="183"/>
      <c r="BE232" s="183"/>
      <c r="BF232" s="183"/>
      <c r="BG232" s="183"/>
    </row>
    <row r="233" spans="1:59" hidden="1">
      <c r="A233" s="183"/>
      <c r="B233" s="170"/>
      <c r="C233" s="169"/>
      <c r="D233" s="169"/>
      <c r="E233" s="169"/>
      <c r="F233" s="169"/>
      <c r="G233" s="169"/>
      <c r="H233" s="169"/>
      <c r="I233" s="169"/>
      <c r="J233" s="169"/>
      <c r="K233" s="183"/>
      <c r="L233" s="183"/>
      <c r="M233" s="183"/>
      <c r="N233" s="183"/>
      <c r="O233" s="183"/>
      <c r="P233" s="183"/>
      <c r="Q233" s="183"/>
      <c r="R233" s="183"/>
      <c r="S233" s="183"/>
      <c r="T233" s="183"/>
      <c r="BD233" s="183"/>
      <c r="BE233" s="183"/>
      <c r="BF233" s="183"/>
      <c r="BG233" s="183"/>
    </row>
    <row r="234" spans="1:59" hidden="1">
      <c r="A234" s="183"/>
      <c r="B234" s="170"/>
      <c r="C234" s="169"/>
      <c r="D234" s="169"/>
      <c r="E234" s="169"/>
      <c r="F234" s="169"/>
      <c r="G234" s="169"/>
      <c r="H234" s="169"/>
      <c r="I234" s="169"/>
      <c r="J234" s="169"/>
      <c r="K234" s="183"/>
      <c r="L234" s="183"/>
      <c r="M234" s="183"/>
      <c r="N234" s="183"/>
      <c r="O234" s="183"/>
      <c r="P234" s="183"/>
      <c r="Q234" s="183"/>
      <c r="R234" s="183"/>
      <c r="S234" s="183"/>
      <c r="T234" s="183"/>
      <c r="BD234" s="183"/>
      <c r="BE234" s="183"/>
      <c r="BF234" s="183"/>
      <c r="BG234" s="183"/>
    </row>
    <row r="235" spans="1:59" hidden="1">
      <c r="A235" s="183"/>
      <c r="B235" s="170"/>
      <c r="C235" s="169"/>
      <c r="D235" s="169"/>
      <c r="E235" s="169"/>
      <c r="F235" s="169"/>
      <c r="G235" s="169"/>
      <c r="H235" s="169"/>
      <c r="I235" s="169"/>
      <c r="J235" s="169"/>
      <c r="K235" s="183"/>
      <c r="L235" s="183"/>
      <c r="M235" s="183"/>
      <c r="N235" s="183"/>
      <c r="O235" s="183"/>
      <c r="P235" s="183"/>
      <c r="Q235" s="183"/>
      <c r="R235" s="183"/>
      <c r="S235" s="183"/>
      <c r="T235" s="183"/>
      <c r="BD235" s="183"/>
      <c r="BE235" s="183"/>
      <c r="BF235" s="183"/>
      <c r="BG235" s="183"/>
    </row>
    <row r="236" spans="1:59" hidden="1">
      <c r="A236" s="183"/>
      <c r="B236" s="170"/>
      <c r="C236" s="169"/>
      <c r="D236" s="169"/>
      <c r="E236" s="169"/>
      <c r="F236" s="169"/>
      <c r="G236" s="169"/>
      <c r="H236" s="169"/>
      <c r="I236" s="169"/>
      <c r="J236" s="169"/>
      <c r="K236" s="183"/>
      <c r="L236" s="183"/>
      <c r="M236" s="183"/>
      <c r="N236" s="183"/>
      <c r="O236" s="183"/>
      <c r="P236" s="183"/>
      <c r="Q236" s="183"/>
      <c r="R236" s="183"/>
      <c r="S236" s="183"/>
      <c r="T236" s="183"/>
      <c r="BD236" s="183"/>
      <c r="BE236" s="183"/>
      <c r="BF236" s="183"/>
      <c r="BG236" s="183"/>
    </row>
    <row r="237" spans="1:59" hidden="1">
      <c r="A237" s="183"/>
      <c r="B237" s="170"/>
      <c r="C237" s="169"/>
      <c r="D237" s="169"/>
      <c r="E237" s="169"/>
      <c r="F237" s="169"/>
      <c r="G237" s="169"/>
      <c r="H237" s="169"/>
      <c r="I237" s="169"/>
      <c r="J237" s="169"/>
      <c r="K237" s="183"/>
      <c r="L237" s="183"/>
      <c r="M237" s="183"/>
      <c r="N237" s="183"/>
      <c r="O237" s="183"/>
      <c r="P237" s="183"/>
      <c r="Q237" s="183"/>
      <c r="R237" s="183"/>
      <c r="S237" s="183"/>
      <c r="T237" s="183"/>
      <c r="BD237" s="183"/>
      <c r="BE237" s="183"/>
      <c r="BF237" s="183"/>
      <c r="BG237" s="183"/>
    </row>
    <row r="238" spans="1:59" hidden="1">
      <c r="A238" s="183"/>
      <c r="B238" s="170"/>
      <c r="C238" s="169"/>
      <c r="D238" s="169"/>
      <c r="E238" s="169"/>
      <c r="F238" s="169"/>
      <c r="G238" s="169"/>
      <c r="H238" s="169"/>
      <c r="I238" s="169"/>
      <c r="J238" s="169"/>
      <c r="K238" s="183"/>
      <c r="L238" s="183"/>
      <c r="M238" s="183"/>
      <c r="N238" s="183"/>
      <c r="O238" s="183"/>
      <c r="P238" s="183"/>
      <c r="Q238" s="183"/>
      <c r="R238" s="183"/>
      <c r="S238" s="183"/>
      <c r="T238" s="183"/>
      <c r="BD238" s="183"/>
      <c r="BE238" s="183"/>
      <c r="BF238" s="183"/>
      <c r="BG238" s="183"/>
    </row>
    <row r="239" spans="1:59" hidden="1">
      <c r="A239" s="183"/>
      <c r="B239" s="170"/>
      <c r="C239" s="169"/>
      <c r="D239" s="169"/>
      <c r="E239" s="169"/>
      <c r="F239" s="169"/>
      <c r="G239" s="169"/>
      <c r="H239" s="169"/>
      <c r="I239" s="169"/>
      <c r="J239" s="169"/>
      <c r="K239" s="183"/>
      <c r="L239" s="183"/>
      <c r="M239" s="183"/>
      <c r="N239" s="183"/>
      <c r="O239" s="183"/>
      <c r="P239" s="183"/>
      <c r="Q239" s="183"/>
      <c r="R239" s="183"/>
      <c r="S239" s="183"/>
      <c r="T239" s="183"/>
      <c r="BD239" s="183"/>
      <c r="BE239" s="183"/>
      <c r="BF239" s="183"/>
      <c r="BG239" s="183"/>
    </row>
    <row r="240" spans="1:59" hidden="1">
      <c r="A240" s="183"/>
      <c r="B240" s="170"/>
      <c r="C240" s="169"/>
      <c r="D240" s="169"/>
      <c r="E240" s="169"/>
      <c r="F240" s="169"/>
      <c r="G240" s="169"/>
      <c r="H240" s="169"/>
      <c r="I240" s="169"/>
      <c r="J240" s="169"/>
      <c r="K240" s="183"/>
      <c r="L240" s="183"/>
      <c r="M240" s="183"/>
      <c r="N240" s="183"/>
      <c r="O240" s="183"/>
      <c r="P240" s="183"/>
      <c r="Q240" s="183"/>
      <c r="R240" s="183"/>
      <c r="S240" s="183"/>
      <c r="T240" s="183"/>
      <c r="BD240" s="183"/>
      <c r="BE240" s="183"/>
      <c r="BF240" s="183"/>
      <c r="BG240" s="183"/>
    </row>
    <row r="241" spans="1:59" hidden="1">
      <c r="A241" s="183"/>
      <c r="B241" s="170"/>
      <c r="C241" s="169"/>
      <c r="D241" s="169"/>
      <c r="E241" s="169"/>
      <c r="F241" s="169"/>
      <c r="G241" s="169"/>
      <c r="H241" s="169"/>
      <c r="I241" s="169"/>
      <c r="J241" s="169"/>
      <c r="K241" s="183"/>
      <c r="L241" s="183"/>
      <c r="M241" s="183"/>
      <c r="N241" s="183"/>
      <c r="O241" s="183"/>
      <c r="P241" s="183"/>
      <c r="Q241" s="183"/>
      <c r="R241" s="183"/>
      <c r="S241" s="183"/>
      <c r="T241" s="183"/>
      <c r="BD241" s="183"/>
      <c r="BE241" s="183"/>
      <c r="BF241" s="183"/>
      <c r="BG241" s="183"/>
    </row>
    <row r="242" spans="1:59" hidden="1">
      <c r="A242" s="183"/>
      <c r="B242" s="170"/>
      <c r="C242" s="169"/>
      <c r="D242" s="169"/>
      <c r="E242" s="169"/>
      <c r="F242" s="169"/>
      <c r="G242" s="169"/>
      <c r="H242" s="169"/>
      <c r="I242" s="169"/>
      <c r="J242" s="169"/>
      <c r="K242" s="183"/>
      <c r="L242" s="183"/>
      <c r="M242" s="183"/>
      <c r="N242" s="183"/>
      <c r="O242" s="183"/>
      <c r="P242" s="183"/>
      <c r="Q242" s="183"/>
      <c r="R242" s="183"/>
      <c r="S242" s="183"/>
      <c r="T242" s="183"/>
      <c r="BD242" s="183"/>
      <c r="BE242" s="183"/>
      <c r="BF242" s="183"/>
      <c r="BG242" s="183"/>
    </row>
    <row r="243" spans="1:59" hidden="1">
      <c r="A243" s="183"/>
      <c r="B243" s="170"/>
      <c r="C243" s="169"/>
      <c r="D243" s="169"/>
      <c r="E243" s="169"/>
      <c r="F243" s="169"/>
      <c r="G243" s="169"/>
      <c r="H243" s="169"/>
      <c r="I243" s="169"/>
      <c r="J243" s="169"/>
      <c r="K243" s="183"/>
      <c r="L243" s="183"/>
      <c r="M243" s="183"/>
      <c r="N243" s="183"/>
      <c r="O243" s="183"/>
      <c r="P243" s="183"/>
      <c r="Q243" s="183"/>
      <c r="R243" s="183"/>
      <c r="S243" s="183"/>
      <c r="T243" s="183"/>
      <c r="BD243" s="183"/>
      <c r="BE243" s="183"/>
      <c r="BF243" s="183"/>
      <c r="BG243" s="183"/>
    </row>
    <row r="244" spans="1:59" hidden="1">
      <c r="A244" s="183"/>
      <c r="B244" s="170"/>
      <c r="C244" s="169"/>
      <c r="D244" s="169"/>
      <c r="E244" s="169"/>
      <c r="F244" s="169"/>
      <c r="G244" s="169"/>
      <c r="H244" s="169"/>
      <c r="I244" s="169"/>
      <c r="J244" s="169"/>
      <c r="K244" s="183"/>
      <c r="L244" s="183"/>
      <c r="M244" s="183"/>
      <c r="N244" s="183"/>
      <c r="O244" s="183"/>
      <c r="P244" s="183"/>
      <c r="Q244" s="183"/>
      <c r="R244" s="183"/>
      <c r="S244" s="183"/>
      <c r="T244" s="183"/>
      <c r="BD244" s="183"/>
      <c r="BE244" s="183"/>
      <c r="BF244" s="183"/>
      <c r="BG244" s="183"/>
    </row>
    <row r="245" spans="1:59" hidden="1">
      <c r="A245" s="183"/>
      <c r="B245" s="170"/>
      <c r="C245" s="169"/>
      <c r="D245" s="169"/>
      <c r="E245" s="169"/>
      <c r="F245" s="169"/>
      <c r="G245" s="169"/>
      <c r="H245" s="169"/>
      <c r="I245" s="169"/>
      <c r="J245" s="169"/>
      <c r="K245" s="183"/>
      <c r="L245" s="183"/>
      <c r="M245" s="183"/>
      <c r="N245" s="183"/>
      <c r="O245" s="183"/>
      <c r="P245" s="183"/>
      <c r="Q245" s="183"/>
      <c r="R245" s="183"/>
      <c r="S245" s="183"/>
      <c r="T245" s="183"/>
      <c r="BD245" s="183"/>
      <c r="BE245" s="183"/>
      <c r="BF245" s="183"/>
      <c r="BG245" s="183"/>
    </row>
    <row r="246" spans="1:59" hidden="1">
      <c r="A246" s="183"/>
      <c r="B246" s="170"/>
      <c r="C246" s="169"/>
      <c r="D246" s="169"/>
      <c r="E246" s="169"/>
      <c r="F246" s="169"/>
      <c r="G246" s="169"/>
      <c r="H246" s="169"/>
      <c r="I246" s="169"/>
      <c r="J246" s="169"/>
      <c r="K246" s="183"/>
      <c r="L246" s="183"/>
      <c r="M246" s="183"/>
      <c r="N246" s="183"/>
      <c r="O246" s="183"/>
      <c r="P246" s="183"/>
      <c r="Q246" s="183"/>
      <c r="R246" s="183"/>
      <c r="S246" s="183"/>
      <c r="T246" s="183"/>
      <c r="BD246" s="183"/>
      <c r="BE246" s="183"/>
      <c r="BF246" s="183"/>
      <c r="BG246" s="183"/>
    </row>
    <row r="247" spans="1:59" hidden="1">
      <c r="A247" s="183"/>
      <c r="B247" s="170"/>
      <c r="C247" s="169"/>
      <c r="D247" s="169"/>
      <c r="E247" s="169"/>
      <c r="F247" s="169"/>
      <c r="G247" s="169"/>
      <c r="H247" s="169"/>
      <c r="I247" s="169"/>
      <c r="J247" s="169"/>
      <c r="K247" s="183"/>
      <c r="L247" s="183"/>
      <c r="M247" s="183"/>
      <c r="N247" s="183"/>
      <c r="O247" s="183"/>
      <c r="P247" s="183"/>
      <c r="Q247" s="183"/>
      <c r="R247" s="183"/>
      <c r="S247" s="183"/>
      <c r="T247" s="183"/>
      <c r="BD247" s="183"/>
      <c r="BE247" s="183"/>
      <c r="BF247" s="183"/>
      <c r="BG247" s="183"/>
    </row>
    <row r="248" spans="1:59" hidden="1">
      <c r="A248" s="183"/>
      <c r="B248" s="170"/>
      <c r="C248" s="169"/>
      <c r="D248" s="169"/>
      <c r="E248" s="169"/>
      <c r="F248" s="169"/>
      <c r="G248" s="169"/>
      <c r="H248" s="169"/>
      <c r="I248" s="169"/>
      <c r="J248" s="169"/>
      <c r="K248" s="183"/>
      <c r="L248" s="183"/>
      <c r="M248" s="183"/>
      <c r="N248" s="183"/>
      <c r="O248" s="183"/>
      <c r="P248" s="183"/>
      <c r="Q248" s="183"/>
      <c r="R248" s="183"/>
      <c r="S248" s="183"/>
      <c r="T248" s="183"/>
      <c r="BD248" s="183"/>
      <c r="BE248" s="183"/>
      <c r="BF248" s="183"/>
      <c r="BG248" s="183"/>
    </row>
    <row r="249" spans="1:59" hidden="1">
      <c r="A249" s="183"/>
      <c r="B249" s="170"/>
      <c r="C249" s="169"/>
      <c r="D249" s="169"/>
      <c r="E249" s="169"/>
      <c r="F249" s="169"/>
      <c r="G249" s="169"/>
      <c r="H249" s="169"/>
      <c r="I249" s="169"/>
      <c r="J249" s="169"/>
      <c r="K249" s="183"/>
      <c r="L249" s="183"/>
      <c r="M249" s="183"/>
      <c r="N249" s="183"/>
      <c r="O249" s="183"/>
      <c r="P249" s="183"/>
      <c r="Q249" s="183"/>
      <c r="R249" s="183"/>
      <c r="S249" s="183"/>
      <c r="T249" s="183"/>
      <c r="BD249" s="183"/>
      <c r="BE249" s="183"/>
      <c r="BF249" s="183"/>
      <c r="BG249" s="183"/>
    </row>
    <row r="250" spans="1:59" hidden="1">
      <c r="A250" s="183"/>
      <c r="B250" s="170"/>
      <c r="C250" s="169"/>
      <c r="D250" s="169"/>
      <c r="E250" s="169"/>
      <c r="F250" s="169"/>
      <c r="G250" s="169"/>
      <c r="H250" s="169"/>
      <c r="I250" s="169"/>
      <c r="J250" s="169"/>
      <c r="K250" s="183"/>
      <c r="L250" s="183"/>
      <c r="M250" s="183"/>
      <c r="N250" s="183"/>
      <c r="O250" s="183"/>
      <c r="P250" s="183"/>
      <c r="Q250" s="183"/>
      <c r="R250" s="183"/>
      <c r="S250" s="183"/>
      <c r="T250" s="183"/>
      <c r="BD250" s="183"/>
      <c r="BE250" s="183"/>
      <c r="BF250" s="183"/>
      <c r="BG250" s="183"/>
    </row>
    <row r="251" spans="1:59" hidden="1">
      <c r="A251" s="183"/>
      <c r="B251" s="170"/>
      <c r="C251" s="169"/>
      <c r="D251" s="169"/>
      <c r="E251" s="169"/>
      <c r="F251" s="169"/>
      <c r="G251" s="169"/>
      <c r="H251" s="169"/>
      <c r="I251" s="169"/>
      <c r="J251" s="169"/>
      <c r="K251" s="183"/>
      <c r="L251" s="183"/>
      <c r="M251" s="183"/>
      <c r="N251" s="183"/>
      <c r="O251" s="183"/>
      <c r="P251" s="183"/>
      <c r="Q251" s="183"/>
      <c r="R251" s="183"/>
      <c r="S251" s="183"/>
      <c r="T251" s="183"/>
      <c r="BD251" s="183"/>
      <c r="BE251" s="183"/>
      <c r="BF251" s="183"/>
      <c r="BG251" s="183"/>
    </row>
    <row r="252" spans="1:59" hidden="1">
      <c r="A252" s="183"/>
      <c r="B252" s="170"/>
      <c r="C252" s="169"/>
      <c r="D252" s="169"/>
      <c r="E252" s="169"/>
      <c r="F252" s="169"/>
      <c r="G252" s="169"/>
      <c r="H252" s="169"/>
      <c r="I252" s="169"/>
      <c r="J252" s="169"/>
      <c r="K252" s="183"/>
      <c r="L252" s="183"/>
      <c r="M252" s="183"/>
      <c r="N252" s="183"/>
      <c r="O252" s="183"/>
      <c r="P252" s="183"/>
      <c r="Q252" s="183"/>
      <c r="R252" s="183"/>
      <c r="S252" s="183"/>
      <c r="T252" s="183"/>
      <c r="BD252" s="183"/>
      <c r="BE252" s="183"/>
      <c r="BF252" s="183"/>
      <c r="BG252" s="183"/>
    </row>
    <row r="253" spans="1:59" hidden="1">
      <c r="A253" s="183"/>
      <c r="B253" s="170"/>
      <c r="C253" s="169"/>
      <c r="D253" s="169"/>
      <c r="E253" s="169"/>
      <c r="F253" s="169"/>
      <c r="G253" s="169"/>
      <c r="H253" s="169"/>
      <c r="I253" s="169"/>
      <c r="J253" s="169"/>
      <c r="K253" s="183"/>
      <c r="L253" s="183"/>
      <c r="M253" s="183"/>
      <c r="N253" s="183"/>
      <c r="O253" s="183"/>
      <c r="P253" s="183"/>
      <c r="Q253" s="183"/>
      <c r="R253" s="183"/>
      <c r="S253" s="183"/>
      <c r="T253" s="183"/>
      <c r="BD253" s="183"/>
      <c r="BE253" s="183"/>
      <c r="BF253" s="183"/>
      <c r="BG253" s="183"/>
    </row>
    <row r="254" spans="1:59" hidden="1">
      <c r="A254" s="183"/>
      <c r="B254" s="170"/>
      <c r="C254" s="169"/>
      <c r="D254" s="169"/>
      <c r="E254" s="169"/>
      <c r="F254" s="169"/>
      <c r="G254" s="169"/>
      <c r="H254" s="169"/>
      <c r="I254" s="169"/>
      <c r="J254" s="169"/>
      <c r="K254" s="183"/>
      <c r="L254" s="183"/>
      <c r="M254" s="183"/>
      <c r="N254" s="183"/>
      <c r="O254" s="183"/>
      <c r="P254" s="183"/>
      <c r="Q254" s="183"/>
      <c r="R254" s="183"/>
      <c r="S254" s="183"/>
      <c r="T254" s="183"/>
      <c r="BD254" s="183"/>
      <c r="BE254" s="183"/>
      <c r="BF254" s="183"/>
      <c r="BG254" s="183"/>
    </row>
    <row r="255" spans="1:59" hidden="1">
      <c r="A255" s="183"/>
      <c r="B255" s="170"/>
      <c r="C255" s="169"/>
      <c r="D255" s="169"/>
      <c r="E255" s="169"/>
      <c r="F255" s="169"/>
      <c r="G255" s="169"/>
      <c r="H255" s="169"/>
      <c r="I255" s="169"/>
      <c r="J255" s="169"/>
      <c r="K255" s="183"/>
      <c r="L255" s="183"/>
      <c r="M255" s="183"/>
      <c r="N255" s="183"/>
      <c r="O255" s="183"/>
      <c r="P255" s="183"/>
      <c r="Q255" s="183"/>
      <c r="R255" s="183"/>
      <c r="S255" s="183"/>
      <c r="T255" s="183"/>
      <c r="BD255" s="183"/>
      <c r="BE255" s="183"/>
      <c r="BF255" s="183"/>
      <c r="BG255" s="183"/>
    </row>
    <row r="256" spans="1:59" hidden="1">
      <c r="A256" s="183"/>
      <c r="B256" s="170"/>
      <c r="C256" s="169"/>
      <c r="D256" s="169"/>
      <c r="E256" s="169"/>
      <c r="F256" s="169"/>
      <c r="G256" s="169"/>
      <c r="H256" s="169"/>
      <c r="I256" s="169"/>
      <c r="J256" s="169"/>
      <c r="K256" s="183"/>
      <c r="L256" s="183"/>
      <c r="M256" s="183"/>
      <c r="N256" s="183"/>
      <c r="O256" s="183"/>
      <c r="P256" s="183"/>
      <c r="Q256" s="183"/>
      <c r="R256" s="183"/>
      <c r="S256" s="183"/>
      <c r="T256" s="183"/>
      <c r="BD256" s="183"/>
      <c r="BE256" s="183"/>
      <c r="BF256" s="183"/>
      <c r="BG256" s="183"/>
    </row>
    <row r="257" spans="1:59" hidden="1">
      <c r="A257" s="183"/>
      <c r="B257" s="170"/>
      <c r="C257" s="169"/>
      <c r="D257" s="169"/>
      <c r="E257" s="169"/>
      <c r="F257" s="169"/>
      <c r="G257" s="169"/>
      <c r="H257" s="169"/>
      <c r="I257" s="169"/>
      <c r="J257" s="169"/>
      <c r="K257" s="183"/>
      <c r="L257" s="183"/>
      <c r="M257" s="183"/>
      <c r="N257" s="183"/>
      <c r="O257" s="183"/>
      <c r="P257" s="183"/>
      <c r="Q257" s="183"/>
      <c r="R257" s="183"/>
      <c r="S257" s="183"/>
      <c r="T257" s="183"/>
      <c r="BD257" s="183"/>
      <c r="BE257" s="183"/>
      <c r="BF257" s="183"/>
      <c r="BG257" s="183"/>
    </row>
    <row r="258" spans="1:59" hidden="1">
      <c r="A258" s="183"/>
      <c r="B258" s="170"/>
      <c r="C258" s="169"/>
      <c r="D258" s="169"/>
      <c r="E258" s="169"/>
      <c r="F258" s="169"/>
      <c r="G258" s="169"/>
      <c r="H258" s="169"/>
      <c r="I258" s="169"/>
      <c r="J258" s="169"/>
      <c r="K258" s="183"/>
      <c r="L258" s="183"/>
      <c r="M258" s="183"/>
      <c r="N258" s="183"/>
      <c r="O258" s="183"/>
      <c r="P258" s="183"/>
      <c r="Q258" s="183"/>
      <c r="R258" s="183"/>
      <c r="S258" s="183"/>
      <c r="T258" s="183"/>
      <c r="BD258" s="183"/>
      <c r="BE258" s="183"/>
      <c r="BF258" s="183"/>
      <c r="BG258" s="183"/>
    </row>
    <row r="259" spans="1:59" hidden="1">
      <c r="A259" s="183"/>
      <c r="B259" s="170"/>
      <c r="C259" s="169"/>
      <c r="D259" s="169"/>
      <c r="E259" s="169"/>
      <c r="F259" s="169"/>
      <c r="G259" s="169"/>
      <c r="H259" s="169"/>
      <c r="I259" s="169"/>
      <c r="J259" s="169"/>
      <c r="K259" s="183"/>
      <c r="L259" s="183"/>
      <c r="M259" s="183"/>
      <c r="N259" s="183"/>
      <c r="O259" s="183"/>
      <c r="P259" s="183"/>
      <c r="Q259" s="183"/>
      <c r="R259" s="183"/>
      <c r="S259" s="183"/>
      <c r="T259" s="183"/>
      <c r="BD259" s="183"/>
      <c r="BE259" s="183"/>
      <c r="BF259" s="183"/>
      <c r="BG259" s="183"/>
    </row>
    <row r="260" spans="1:59" hidden="1">
      <c r="A260" s="183"/>
      <c r="B260" s="170"/>
      <c r="C260" s="169"/>
      <c r="D260" s="169"/>
      <c r="E260" s="169"/>
      <c r="F260" s="169"/>
      <c r="G260" s="169"/>
      <c r="H260" s="169"/>
      <c r="I260" s="169"/>
      <c r="J260" s="169"/>
      <c r="K260" s="183"/>
      <c r="L260" s="183"/>
      <c r="M260" s="183"/>
      <c r="N260" s="183"/>
      <c r="O260" s="183"/>
      <c r="P260" s="183"/>
      <c r="Q260" s="183"/>
      <c r="R260" s="183"/>
      <c r="S260" s="183"/>
      <c r="T260" s="183"/>
      <c r="BD260" s="183"/>
      <c r="BE260" s="183"/>
      <c r="BF260" s="183"/>
      <c r="BG260" s="183"/>
    </row>
    <row r="261" spans="1:59" hidden="1">
      <c r="A261" s="183"/>
      <c r="B261" s="170"/>
      <c r="C261" s="169"/>
      <c r="D261" s="169"/>
      <c r="E261" s="169"/>
      <c r="F261" s="169"/>
      <c r="G261" s="169"/>
      <c r="H261" s="169"/>
      <c r="I261" s="169"/>
      <c r="J261" s="169"/>
      <c r="K261" s="183"/>
      <c r="L261" s="183"/>
      <c r="M261" s="183"/>
      <c r="N261" s="183"/>
      <c r="O261" s="183"/>
      <c r="P261" s="183"/>
      <c r="Q261" s="183"/>
      <c r="R261" s="183"/>
      <c r="S261" s="183"/>
      <c r="T261" s="183"/>
      <c r="BD261" s="183"/>
      <c r="BE261" s="183"/>
      <c r="BF261" s="183"/>
      <c r="BG261" s="183"/>
    </row>
    <row r="262" spans="1:59" hidden="1">
      <c r="A262" s="183"/>
      <c r="B262" s="170"/>
      <c r="C262" s="169"/>
      <c r="D262" s="169"/>
      <c r="E262" s="169"/>
      <c r="F262" s="169"/>
      <c r="G262" s="169"/>
      <c r="H262" s="169"/>
      <c r="I262" s="169"/>
      <c r="J262" s="169"/>
      <c r="K262" s="183"/>
      <c r="L262" s="183"/>
      <c r="M262" s="183"/>
      <c r="N262" s="183"/>
      <c r="O262" s="183"/>
      <c r="P262" s="183"/>
      <c r="Q262" s="183"/>
      <c r="R262" s="183"/>
      <c r="S262" s="183"/>
      <c r="T262" s="183"/>
      <c r="BD262" s="183"/>
      <c r="BE262" s="183"/>
      <c r="BF262" s="183"/>
      <c r="BG262" s="183"/>
    </row>
    <row r="263" spans="1:59" hidden="1">
      <c r="A263" s="183"/>
      <c r="B263" s="170"/>
      <c r="C263" s="169"/>
      <c r="D263" s="169"/>
      <c r="E263" s="169"/>
      <c r="F263" s="169"/>
      <c r="G263" s="169"/>
      <c r="H263" s="169"/>
      <c r="I263" s="169"/>
      <c r="J263" s="169"/>
      <c r="K263" s="183"/>
      <c r="L263" s="183"/>
      <c r="M263" s="183"/>
      <c r="N263" s="183"/>
      <c r="O263" s="183"/>
      <c r="P263" s="183"/>
      <c r="Q263" s="183"/>
      <c r="R263" s="183"/>
      <c r="S263" s="183"/>
      <c r="T263" s="183"/>
      <c r="BD263" s="183"/>
      <c r="BE263" s="183"/>
      <c r="BF263" s="183"/>
      <c r="BG263" s="183"/>
    </row>
    <row r="264" spans="1:59" hidden="1">
      <c r="A264" s="183"/>
      <c r="B264" s="170"/>
      <c r="C264" s="169"/>
      <c r="D264" s="169"/>
      <c r="E264" s="169"/>
      <c r="F264" s="169"/>
      <c r="G264" s="169"/>
      <c r="H264" s="169"/>
      <c r="I264" s="169"/>
      <c r="J264" s="169"/>
      <c r="K264" s="183"/>
      <c r="L264" s="183"/>
      <c r="M264" s="183"/>
      <c r="N264" s="183"/>
      <c r="O264" s="183"/>
      <c r="P264" s="183"/>
      <c r="Q264" s="183"/>
      <c r="R264" s="183"/>
      <c r="S264" s="183"/>
      <c r="T264" s="183"/>
      <c r="BD264" s="183"/>
      <c r="BE264" s="183"/>
      <c r="BF264" s="183"/>
      <c r="BG264" s="183"/>
    </row>
  </sheetData>
  <sheetProtection selectLockedCells="1"/>
  <mergeCells count="49">
    <mergeCell ref="C43:F43"/>
    <mergeCell ref="C57:F57"/>
    <mergeCell ref="C53:F53"/>
    <mergeCell ref="C62:F62"/>
    <mergeCell ref="D16:G16"/>
    <mergeCell ref="D18:G18"/>
    <mergeCell ref="D19:G19"/>
    <mergeCell ref="D20:G20"/>
    <mergeCell ref="D21:G21"/>
    <mergeCell ref="C37:D37"/>
    <mergeCell ref="C44:D44"/>
    <mergeCell ref="C54:D54"/>
    <mergeCell ref="C36:F36"/>
    <mergeCell ref="C26:D26"/>
    <mergeCell ref="L2:M2"/>
    <mergeCell ref="N2:O2"/>
    <mergeCell ref="D3:E3"/>
    <mergeCell ref="F3:G3"/>
    <mergeCell ref="J3:K3"/>
    <mergeCell ref="H3:I3"/>
    <mergeCell ref="L3:M3"/>
    <mergeCell ref="N3:O3"/>
    <mergeCell ref="B2:B3"/>
    <mergeCell ref="D2:E2"/>
    <mergeCell ref="F2:G2"/>
    <mergeCell ref="H2:I2"/>
    <mergeCell ref="J2:K2"/>
    <mergeCell ref="C2:C3"/>
    <mergeCell ref="B14:C15"/>
    <mergeCell ref="B16:C16"/>
    <mergeCell ref="B17:C18"/>
    <mergeCell ref="B19:C19"/>
    <mergeCell ref="H12:M12"/>
    <mergeCell ref="O8:O9"/>
    <mergeCell ref="C106:J106"/>
    <mergeCell ref="B108:M108"/>
    <mergeCell ref="C65:F65"/>
    <mergeCell ref="C58:D58"/>
    <mergeCell ref="C63:D63"/>
    <mergeCell ref="B83:M83"/>
    <mergeCell ref="J24:M24"/>
    <mergeCell ref="B12:G13"/>
    <mergeCell ref="C24:I25"/>
    <mergeCell ref="B22:G22"/>
    <mergeCell ref="D14:G14"/>
    <mergeCell ref="D15:G15"/>
    <mergeCell ref="B20:C20"/>
    <mergeCell ref="B21:C21"/>
    <mergeCell ref="B24:B25"/>
  </mergeCells>
  <phoneticPr fontId="13" type="noConversion"/>
  <hyperlinks>
    <hyperlink ref="F3" location="Graphs!A1" display="Graphs"/>
    <hyperlink ref="G3" location="Graphs!A1" display="Graphs!A1"/>
    <hyperlink ref="F2" location="'City information'!A1" display="Set-up"/>
    <hyperlink ref="G2" location="'City information'!A1" display="'City information'!A1"/>
    <hyperlink ref="H2" location="Inventory!A1" display="Inventory"/>
    <hyperlink ref="I2" location="Inventory!A1" display="Inventory!A1"/>
    <hyperlink ref="D3" location="Summary!A1" display="Summary"/>
    <hyperlink ref="E3" location="Summary!A1" display="Summary!A1"/>
    <hyperlink ref="J2" location="Calculators!A1" display="Calculators"/>
    <hyperlink ref="K2" location="Calculators!A1" display="Calculators!A1"/>
    <hyperlink ref="J3" location="Report!A1" display="Report"/>
    <hyperlink ref="K3" location="Report!A1" display="Report!A1"/>
    <hyperlink ref="N2" location="Analysis!A1" display="Analysis"/>
    <hyperlink ref="L2" location="Results!A1" display="Results"/>
    <hyperlink ref="M2" location="Results!A1" display="Results!A1"/>
    <hyperlink ref="N3" location="'Net emissions'!A1" display="Net emissions"/>
    <hyperlink ref="O3" location="'Net emissions'!A1" display="'Net emissions'!A1"/>
    <hyperlink ref="D2" location="Home!A1" display="Introduction"/>
    <hyperlink ref="E2" location="Home!A1" display="Home!A1"/>
    <hyperlink ref="L3" location="Audit!A1" display="Audit"/>
  </hyperlinks>
  <printOptions horizontalCentered="1" verticalCentered="1"/>
  <pageMargins left="0.16" right="0.16" top="0.2" bottom="0.08" header="0.19" footer="0.12000000000000001"/>
  <pageSetup paperSize="9" scale="66" fitToHeight="2" orientation="portrait" horizontalDpi="4294967292" verticalDpi="4294967292"/>
  <ignoredErrors>
    <ignoredError sqref="D10:G10 E8:G8 E9:G9" emptyCellReference="1"/>
  </ignoredErrors>
  <drawing r:id="rId1"/>
  <extLst>
    <ext xmlns:mx="http://schemas.microsoft.com/office/mac/excel/2008/main" uri="{64002731-A6B0-56B0-2670-7721B7C09600}">
      <mx:PLV Mode="0" OnePage="0" WScale="67"/>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theme="3"/>
    <outlinePr summaryBelow="0"/>
    <pageSetUpPr autoPageBreaks="0"/>
  </sheetPr>
  <dimension ref="A1:CR119"/>
  <sheetViews>
    <sheetView showGridLines="0" showRowColHeaders="0" showZeros="0" workbookViewId="0">
      <selection activeCell="L3" sqref="L3:M3"/>
    </sheetView>
  </sheetViews>
  <sheetFormatPr baseColWidth="10" defaultColWidth="0" defaultRowHeight="15" zeroHeight="1" x14ac:dyDescent="0"/>
  <cols>
    <col min="1" max="1" width="4.83203125" style="40" customWidth="1"/>
    <col min="2" max="3" width="12.83203125" style="45" customWidth="1"/>
    <col min="4" max="11" width="12.83203125" style="42" customWidth="1"/>
    <col min="12" max="12" width="12.83203125" style="161" customWidth="1"/>
    <col min="13" max="21" width="12.83203125" style="42" customWidth="1"/>
    <col min="22" max="22" width="71.83203125" style="42" customWidth="1"/>
    <col min="23" max="23" width="4.83203125" style="40" customWidth="1"/>
    <col min="24" max="31" width="0" style="40" hidden="1" customWidth="1"/>
    <col min="32" max="96" width="0" style="42" hidden="1" customWidth="1"/>
    <col min="97" max="16384" width="10.83203125" style="42" hidden="1"/>
  </cols>
  <sheetData>
    <row r="1" spans="1:96" s="498" customFormat="1"/>
    <row r="2" spans="1:96" s="464" customFormat="1" ht="31" customHeight="1">
      <c r="A2" s="494"/>
      <c r="B2" s="1817" t="s">
        <v>1965</v>
      </c>
      <c r="C2" s="631"/>
      <c r="D2" s="2205" t="s">
        <v>1555</v>
      </c>
      <c r="E2" s="2206"/>
      <c r="F2" s="1849" t="s">
        <v>1563</v>
      </c>
      <c r="G2" s="1850"/>
      <c r="H2" s="1849" t="s">
        <v>794</v>
      </c>
      <c r="I2" s="1850"/>
      <c r="J2" s="1849" t="s">
        <v>1570</v>
      </c>
      <c r="K2" s="1850"/>
      <c r="L2" s="2047" t="s">
        <v>1564</v>
      </c>
      <c r="M2" s="2033"/>
      <c r="N2" s="2199" t="s">
        <v>1602</v>
      </c>
      <c r="O2" s="2200"/>
      <c r="P2" s="498"/>
      <c r="Q2" s="498"/>
      <c r="R2" s="498"/>
      <c r="S2" s="498"/>
      <c r="T2" s="498"/>
      <c r="U2" s="498"/>
      <c r="V2" s="498"/>
      <c r="W2" s="494"/>
      <c r="X2" s="494"/>
      <c r="Y2" s="494"/>
      <c r="Z2" s="494"/>
      <c r="AA2" s="494"/>
      <c r="AB2" s="494"/>
      <c r="AC2" s="494"/>
      <c r="AD2" s="494"/>
      <c r="AE2" s="494"/>
      <c r="AF2" s="494"/>
      <c r="AG2" s="494"/>
      <c r="AH2" s="494"/>
      <c r="AI2" s="494"/>
      <c r="AJ2" s="494"/>
      <c r="AK2" s="494"/>
      <c r="AL2" s="494"/>
      <c r="AM2" s="494"/>
      <c r="AN2" s="494"/>
      <c r="AO2" s="494"/>
      <c r="AP2" s="494"/>
      <c r="AQ2" s="494"/>
      <c r="AR2" s="494"/>
      <c r="AS2" s="494"/>
      <c r="AT2" s="494"/>
      <c r="AU2" s="494"/>
      <c r="AV2" s="494"/>
      <c r="AW2" s="494"/>
      <c r="AX2" s="494"/>
      <c r="AY2" s="494"/>
      <c r="AZ2" s="494"/>
      <c r="BA2" s="494"/>
      <c r="BB2" s="494"/>
      <c r="BC2" s="494"/>
      <c r="BD2" s="494"/>
      <c r="BE2" s="494"/>
      <c r="BF2" s="494"/>
      <c r="BG2" s="494"/>
      <c r="BH2" s="494"/>
      <c r="BI2" s="494"/>
      <c r="BJ2" s="494"/>
      <c r="BK2" s="494"/>
      <c r="BL2" s="494"/>
      <c r="BM2" s="494"/>
      <c r="BN2" s="494"/>
      <c r="BO2" s="494"/>
      <c r="BP2" s="494"/>
      <c r="BQ2" s="494"/>
      <c r="BR2" s="494"/>
      <c r="BS2" s="494"/>
      <c r="BT2" s="494"/>
      <c r="BU2" s="494"/>
      <c r="BV2" s="494"/>
      <c r="BW2" s="494"/>
      <c r="BX2" s="494"/>
      <c r="BY2" s="494"/>
      <c r="BZ2" s="494"/>
      <c r="CA2" s="494"/>
      <c r="CB2" s="494"/>
      <c r="CC2" s="494"/>
      <c r="CD2" s="494"/>
      <c r="CE2" s="494"/>
      <c r="CF2" s="494"/>
      <c r="CG2" s="494"/>
      <c r="CH2" s="494"/>
      <c r="CI2" s="494"/>
      <c r="CJ2" s="494"/>
      <c r="CK2" s="494"/>
      <c r="CL2" s="494"/>
      <c r="CM2" s="494"/>
      <c r="CN2" s="494"/>
      <c r="CO2" s="494"/>
      <c r="CP2" s="494"/>
      <c r="CQ2" s="494"/>
      <c r="CR2" s="494"/>
    </row>
    <row r="3" spans="1:96" s="464" customFormat="1" ht="31" customHeight="1">
      <c r="A3" s="494"/>
      <c r="B3" s="1818"/>
      <c r="C3" s="632"/>
      <c r="D3" s="1843" t="s">
        <v>1567</v>
      </c>
      <c r="E3" s="2027"/>
      <c r="F3" s="1843" t="s">
        <v>1584</v>
      </c>
      <c r="G3" s="1844"/>
      <c r="H3" s="1843" t="s">
        <v>1568</v>
      </c>
      <c r="I3" s="1844"/>
      <c r="J3" s="1847" t="s">
        <v>1569</v>
      </c>
      <c r="K3" s="1848"/>
      <c r="L3" s="2135" t="s">
        <v>1962</v>
      </c>
      <c r="M3" s="2136"/>
      <c r="N3" s="1843" t="s">
        <v>1019</v>
      </c>
      <c r="O3" s="1844"/>
      <c r="P3" s="498"/>
      <c r="Q3" s="498"/>
      <c r="R3" s="498"/>
      <c r="S3" s="498"/>
      <c r="T3" s="498"/>
      <c r="U3" s="498"/>
      <c r="V3" s="498"/>
      <c r="W3" s="494"/>
      <c r="X3" s="494"/>
      <c r="Y3" s="494"/>
      <c r="Z3" s="494"/>
      <c r="AA3" s="494"/>
      <c r="AB3" s="494"/>
      <c r="AC3" s="494"/>
      <c r="AD3" s="494"/>
      <c r="AE3" s="494"/>
      <c r="AF3" s="494"/>
      <c r="AG3" s="494"/>
      <c r="AH3" s="494"/>
      <c r="AI3" s="494"/>
      <c r="AJ3" s="494"/>
      <c r="AK3" s="494"/>
      <c r="AL3" s="494"/>
      <c r="AM3" s="494"/>
      <c r="AN3" s="494"/>
      <c r="AO3" s="494"/>
      <c r="AP3" s="494"/>
      <c r="AQ3" s="494"/>
      <c r="AR3" s="494"/>
      <c r="AS3" s="494"/>
      <c r="AT3" s="494"/>
      <c r="AU3" s="494"/>
      <c r="AV3" s="494"/>
      <c r="AW3" s="494"/>
      <c r="AX3" s="494"/>
      <c r="AY3" s="494"/>
      <c r="AZ3" s="494"/>
      <c r="BA3" s="494"/>
      <c r="BB3" s="494"/>
      <c r="BC3" s="494"/>
      <c r="BD3" s="494"/>
      <c r="BE3" s="494"/>
      <c r="BF3" s="494"/>
      <c r="BG3" s="494"/>
      <c r="BH3" s="494"/>
      <c r="BI3" s="494"/>
      <c r="BJ3" s="494"/>
      <c r="BK3" s="494"/>
      <c r="BL3" s="494"/>
      <c r="BM3" s="494"/>
      <c r="BN3" s="494"/>
      <c r="BO3" s="494"/>
      <c r="BP3" s="494"/>
      <c r="BQ3" s="494"/>
      <c r="BR3" s="494"/>
      <c r="BS3" s="494"/>
      <c r="BT3" s="494"/>
      <c r="BU3" s="494"/>
      <c r="BV3" s="494"/>
      <c r="BW3" s="494"/>
      <c r="BX3" s="494"/>
      <c r="BY3" s="494"/>
      <c r="BZ3" s="494"/>
      <c r="CA3" s="494"/>
      <c r="CB3" s="494"/>
      <c r="CC3" s="494"/>
      <c r="CD3" s="494"/>
      <c r="CE3" s="494"/>
      <c r="CF3" s="494"/>
      <c r="CG3" s="494"/>
      <c r="CH3" s="494"/>
      <c r="CI3" s="494"/>
      <c r="CJ3" s="494"/>
      <c r="CK3" s="494"/>
      <c r="CL3" s="494"/>
      <c r="CM3" s="494"/>
      <c r="CN3" s="494"/>
      <c r="CO3" s="494"/>
      <c r="CP3" s="494"/>
      <c r="CQ3" s="494"/>
      <c r="CR3" s="494"/>
    </row>
    <row r="4" spans="1:96" s="494" customFormat="1" ht="15" customHeight="1">
      <c r="B4" s="492"/>
      <c r="C4" s="495"/>
      <c r="D4" s="497"/>
      <c r="E4" s="497"/>
      <c r="F4" s="497"/>
      <c r="G4" s="497"/>
      <c r="H4" s="497"/>
      <c r="I4" s="497"/>
      <c r="J4" s="497"/>
      <c r="K4" s="497"/>
      <c r="L4" s="497"/>
      <c r="M4" s="497"/>
      <c r="N4" s="497"/>
      <c r="O4" s="497"/>
      <c r="P4" s="497"/>
      <c r="Q4" s="497"/>
      <c r="R4" s="497"/>
      <c r="S4" s="496"/>
      <c r="T4" s="496"/>
      <c r="U4" s="496"/>
      <c r="V4" s="496"/>
    </row>
    <row r="5" spans="1:96" s="15" customFormat="1" ht="31" customHeight="1">
      <c r="B5" s="630"/>
      <c r="O5" s="169"/>
      <c r="P5" s="169"/>
      <c r="Q5" s="169"/>
      <c r="R5" s="169"/>
      <c r="S5" s="169"/>
      <c r="T5" s="169"/>
      <c r="U5" s="169"/>
      <c r="V5" s="169"/>
      <c r="W5" s="169"/>
      <c r="X5" s="169"/>
      <c r="Y5" s="169"/>
      <c r="Z5" s="169"/>
      <c r="AA5" s="169"/>
      <c r="AB5" s="169"/>
      <c r="AC5" s="169"/>
      <c r="AD5" s="169"/>
      <c r="AE5" s="169"/>
      <c r="AF5" s="169"/>
      <c r="AG5" s="169"/>
      <c r="AH5" s="169"/>
      <c r="AI5" s="169"/>
      <c r="AJ5" s="169"/>
      <c r="AK5" s="169"/>
      <c r="AL5" s="169"/>
      <c r="AM5" s="169"/>
      <c r="AN5" s="169"/>
      <c r="AO5" s="169"/>
      <c r="AP5" s="169"/>
      <c r="AQ5" s="169"/>
      <c r="AR5" s="169"/>
      <c r="AS5" s="169"/>
      <c r="AT5" s="169"/>
      <c r="AU5" s="169"/>
      <c r="AV5" s="169"/>
      <c r="AW5" s="169"/>
      <c r="AX5" s="169"/>
      <c r="AY5" s="169"/>
      <c r="AZ5" s="169"/>
      <c r="BA5" s="169"/>
      <c r="BB5" s="169"/>
      <c r="BC5" s="169"/>
      <c r="BD5" s="169"/>
      <c r="BE5" s="169"/>
      <c r="BF5" s="169"/>
      <c r="BG5" s="169"/>
    </row>
    <row r="6" spans="1:96" s="515" customFormat="1" ht="31" customHeight="1" collapsed="1" thickBot="1">
      <c r="A6" s="866"/>
      <c r="B6" s="491" t="s">
        <v>1796</v>
      </c>
      <c r="C6" s="516"/>
      <c r="D6" s="516"/>
      <c r="E6" s="516"/>
      <c r="F6" s="516"/>
      <c r="G6" s="516"/>
      <c r="H6" s="516"/>
      <c r="I6" s="517"/>
      <c r="J6" s="517"/>
      <c r="K6" s="517"/>
      <c r="L6" s="518"/>
      <c r="M6" s="518"/>
      <c r="N6" s="518"/>
      <c r="O6" s="518"/>
      <c r="P6" s="518"/>
      <c r="Q6" s="518"/>
      <c r="R6" s="518"/>
      <c r="S6" s="518"/>
      <c r="T6" s="518"/>
      <c r="U6" s="518"/>
      <c r="V6" s="518"/>
      <c r="W6" s="169"/>
      <c r="X6" s="169"/>
      <c r="Y6" s="169"/>
      <c r="Z6" s="169"/>
      <c r="AA6" s="169"/>
      <c r="AB6" s="169"/>
      <c r="AC6" s="169"/>
      <c r="AD6" s="169"/>
      <c r="AE6" s="169"/>
      <c r="AF6" s="169"/>
      <c r="AG6" s="169"/>
      <c r="AH6" s="169"/>
      <c r="AI6" s="169"/>
      <c r="AJ6" s="169"/>
      <c r="AK6" s="169"/>
      <c r="AL6" s="169"/>
      <c r="AM6" s="169"/>
      <c r="AN6" s="169"/>
      <c r="AO6" s="169"/>
      <c r="AP6" s="169"/>
      <c r="AQ6" s="169"/>
      <c r="AR6" s="169"/>
      <c r="AS6" s="169"/>
      <c r="AT6" s="169"/>
      <c r="AU6" s="169"/>
      <c r="AV6" s="169"/>
      <c r="AW6" s="169"/>
      <c r="AX6" s="169"/>
      <c r="AY6" s="169"/>
      <c r="AZ6" s="169"/>
      <c r="BA6" s="169"/>
      <c r="BB6" s="169"/>
      <c r="BC6" s="169"/>
      <c r="BD6" s="169"/>
      <c r="BE6" s="169"/>
      <c r="BF6" s="169"/>
      <c r="BG6" s="169"/>
    </row>
    <row r="7" spans="1:96" s="89" customFormat="1" ht="16" thickTop="1">
      <c r="B7" s="41"/>
      <c r="C7" s="41"/>
      <c r="L7" s="159"/>
    </row>
    <row r="8" spans="1:96" s="40" customFormat="1" ht="18">
      <c r="B8" s="150" t="s">
        <v>752</v>
      </c>
      <c r="C8" s="129"/>
      <c r="D8" s="125" t="str">
        <f>IF('City information'!E11="",'City information'!E10,CONCATENATE('City information'!E10,", ",'City information'!E11))</f>
        <v>Atlantis, Gondwana</v>
      </c>
      <c r="E8" s="125"/>
      <c r="F8" s="125"/>
      <c r="G8" s="125"/>
      <c r="H8" s="125"/>
      <c r="I8" s="125"/>
      <c r="J8" s="125"/>
      <c r="K8" s="125"/>
      <c r="L8" s="160"/>
      <c r="M8" s="129"/>
      <c r="N8" s="129"/>
      <c r="O8" s="129"/>
      <c r="P8" s="129"/>
      <c r="Q8" s="129"/>
      <c r="R8" s="129"/>
      <c r="S8" s="129"/>
      <c r="T8" s="129"/>
      <c r="U8" s="129"/>
    </row>
    <row r="9" spans="1:96" s="40" customFormat="1" ht="18">
      <c r="B9" s="150" t="s">
        <v>751</v>
      </c>
      <c r="C9" s="129"/>
      <c r="D9" s="168" t="str">
        <f>'City information'!E14</f>
        <v>Combination of administrative divisions</v>
      </c>
      <c r="E9" s="168"/>
      <c r="F9" s="168"/>
      <c r="G9" s="168"/>
      <c r="H9" s="168"/>
      <c r="I9" s="168"/>
      <c r="J9" s="168"/>
      <c r="K9" s="168"/>
      <c r="L9" s="160"/>
      <c r="M9" s="129"/>
      <c r="N9" s="129"/>
      <c r="O9" s="129"/>
      <c r="P9" s="129"/>
      <c r="Q9" s="129"/>
      <c r="R9" s="129"/>
      <c r="S9" s="129"/>
      <c r="T9" s="129"/>
      <c r="U9" s="129"/>
    </row>
    <row r="10" spans="1:96" s="40" customFormat="1" ht="18">
      <c r="B10" s="150" t="s">
        <v>750</v>
      </c>
      <c r="C10" s="129"/>
      <c r="D10" s="168">
        <f>'City information'!E13</f>
        <v>2014</v>
      </c>
      <c r="E10" s="168"/>
      <c r="F10" s="168"/>
      <c r="G10" s="168"/>
      <c r="H10" s="168"/>
      <c r="I10" s="168"/>
      <c r="J10" s="168"/>
      <c r="K10" s="168"/>
      <c r="L10" s="160"/>
      <c r="M10" s="129"/>
      <c r="N10" s="129"/>
      <c r="O10" s="129"/>
      <c r="P10" s="129"/>
      <c r="Q10" s="129"/>
      <c r="R10" s="129"/>
      <c r="S10" s="129"/>
      <c r="T10" s="129"/>
      <c r="U10" s="129"/>
    </row>
    <row r="11" spans="1:96" s="40" customFormat="1">
      <c r="B11" s="149"/>
      <c r="C11" s="149"/>
      <c r="D11" s="129"/>
      <c r="E11" s="129"/>
      <c r="F11" s="129"/>
      <c r="G11" s="129"/>
      <c r="H11" s="129"/>
      <c r="I11" s="129"/>
      <c r="J11" s="129"/>
      <c r="K11" s="129"/>
      <c r="L11" s="160"/>
      <c r="M11" s="129"/>
      <c r="N11" s="129"/>
      <c r="O11" s="129"/>
      <c r="P11" s="129"/>
      <c r="Q11" s="129"/>
      <c r="R11" s="129"/>
      <c r="S11" s="129"/>
      <c r="T11" s="129"/>
      <c r="U11" s="129"/>
    </row>
    <row r="12" spans="1:96" s="98" customFormat="1" ht="17" customHeight="1">
      <c r="A12" s="97"/>
      <c r="B12" s="2209" t="s">
        <v>37</v>
      </c>
      <c r="C12" s="2211" t="s">
        <v>38</v>
      </c>
      <c r="D12" s="2211" t="s">
        <v>39</v>
      </c>
      <c r="E12" s="2211"/>
      <c r="F12" s="2211"/>
      <c r="G12" s="2211"/>
      <c r="H12" s="2211"/>
      <c r="I12" s="2211"/>
      <c r="J12" s="2211"/>
      <c r="K12" s="2211"/>
      <c r="L12" s="2213" t="s">
        <v>297</v>
      </c>
      <c r="M12" s="2211" t="s">
        <v>289</v>
      </c>
      <c r="N12" s="2211"/>
      <c r="O12" s="2211"/>
      <c r="P12" s="2211"/>
      <c r="Q12" s="2211"/>
      <c r="R12" s="2211"/>
      <c r="S12" s="2211"/>
      <c r="T12" s="2211"/>
      <c r="U12" s="2211"/>
      <c r="V12" s="2207" t="s">
        <v>1774</v>
      </c>
      <c r="W12" s="97"/>
      <c r="X12" s="97"/>
      <c r="Y12" s="97"/>
      <c r="Z12" s="97"/>
      <c r="AA12" s="97"/>
      <c r="AB12" s="97"/>
      <c r="AC12" s="97"/>
      <c r="AD12" s="97"/>
      <c r="AE12" s="97"/>
    </row>
    <row r="13" spans="1:96" s="98" customFormat="1" ht="17">
      <c r="A13" s="97"/>
      <c r="B13" s="2210"/>
      <c r="C13" s="2212"/>
      <c r="D13" s="2212"/>
      <c r="E13" s="2212"/>
      <c r="F13" s="2212"/>
      <c r="G13" s="2212"/>
      <c r="H13" s="2212"/>
      <c r="I13" s="2212"/>
      <c r="J13" s="2212"/>
      <c r="K13" s="2212"/>
      <c r="L13" s="2212"/>
      <c r="M13" s="725" t="s">
        <v>290</v>
      </c>
      <c r="N13" s="725" t="s">
        <v>291</v>
      </c>
      <c r="O13" s="725" t="s">
        <v>292</v>
      </c>
      <c r="P13" s="725" t="s">
        <v>43</v>
      </c>
      <c r="Q13" s="725" t="s">
        <v>42</v>
      </c>
      <c r="R13" s="725" t="s">
        <v>299</v>
      </c>
      <c r="S13" s="725" t="s">
        <v>300</v>
      </c>
      <c r="T13" s="725" t="s">
        <v>293</v>
      </c>
      <c r="U13" s="725" t="s">
        <v>294</v>
      </c>
      <c r="V13" s="2208"/>
      <c r="W13" s="97"/>
      <c r="X13" s="97"/>
      <c r="Y13" s="97"/>
      <c r="Z13" s="97"/>
      <c r="AA13" s="97"/>
      <c r="AB13" s="97"/>
      <c r="AC13" s="97"/>
      <c r="AD13" s="97"/>
      <c r="AE13" s="97"/>
    </row>
    <row r="14" spans="1:96" s="97" customFormat="1" ht="16" hidden="1" thickBot="1">
      <c r="B14" s="710"/>
      <c r="C14" s="211"/>
      <c r="D14" s="211"/>
      <c r="E14" s="212"/>
      <c r="F14" s="212"/>
      <c r="G14" s="212"/>
      <c r="H14" s="212"/>
      <c r="I14" s="212"/>
      <c r="J14" s="212"/>
      <c r="K14" s="212"/>
      <c r="L14" s="212"/>
      <c r="M14" s="212"/>
      <c r="N14" s="212"/>
      <c r="O14" s="212"/>
      <c r="P14" s="212"/>
      <c r="Q14" s="212"/>
      <c r="R14" s="212"/>
      <c r="S14" s="212"/>
      <c r="T14" s="212"/>
      <c r="U14" s="724"/>
      <c r="V14" s="711"/>
    </row>
    <row r="15" spans="1:96" s="44" customFormat="1">
      <c r="A15" s="43"/>
      <c r="B15" s="46" t="s">
        <v>46</v>
      </c>
      <c r="C15" s="719"/>
      <c r="D15" s="47" t="s">
        <v>47</v>
      </c>
      <c r="E15" s="173"/>
      <c r="F15" s="173"/>
      <c r="G15" s="173"/>
      <c r="H15" s="173"/>
      <c r="I15" s="173"/>
      <c r="J15" s="173"/>
      <c r="K15" s="173"/>
      <c r="L15" s="48"/>
      <c r="M15" s="48"/>
      <c r="N15" s="48"/>
      <c r="O15" s="48"/>
      <c r="P15" s="48"/>
      <c r="Q15" s="48"/>
      <c r="R15" s="48"/>
      <c r="S15" s="48"/>
      <c r="T15" s="48"/>
      <c r="U15" s="552"/>
      <c r="V15" s="712"/>
      <c r="W15" s="43"/>
      <c r="X15" s="43"/>
      <c r="Y15" s="43"/>
      <c r="Z15" s="43"/>
      <c r="AA15" s="43"/>
      <c r="AB15" s="43"/>
      <c r="AC15" s="43"/>
      <c r="AD15" s="43"/>
      <c r="AE15" s="43"/>
    </row>
    <row r="16" spans="1:96" s="44" customFormat="1">
      <c r="A16" s="43"/>
      <c r="B16" s="46" t="s">
        <v>48</v>
      </c>
      <c r="C16" s="46"/>
      <c r="D16" s="555" t="s">
        <v>5</v>
      </c>
      <c r="E16" s="556"/>
      <c r="F16" s="556"/>
      <c r="G16" s="556"/>
      <c r="H16" s="556"/>
      <c r="I16" s="556"/>
      <c r="J16" s="556"/>
      <c r="K16" s="556"/>
      <c r="L16" s="48"/>
      <c r="M16" s="48"/>
      <c r="N16" s="48"/>
      <c r="O16" s="48"/>
      <c r="P16" s="48"/>
      <c r="Q16" s="48"/>
      <c r="R16" s="48"/>
      <c r="S16" s="48"/>
      <c r="T16" s="48"/>
      <c r="U16" s="552"/>
      <c r="V16" s="712"/>
      <c r="W16" s="43"/>
      <c r="X16" s="43"/>
      <c r="Y16" s="43"/>
      <c r="Z16" s="43"/>
      <c r="AA16" s="43"/>
      <c r="AB16" s="43"/>
      <c r="AC16" s="43"/>
      <c r="AD16" s="43"/>
      <c r="AE16" s="43"/>
    </row>
    <row r="17" spans="1:31" s="44" customFormat="1" collapsed="1">
      <c r="A17" s="43"/>
      <c r="B17" s="90" t="s">
        <v>49</v>
      </c>
      <c r="C17" s="843">
        <v>1</v>
      </c>
      <c r="D17" s="845" t="s">
        <v>50</v>
      </c>
      <c r="E17" s="846"/>
      <c r="F17" s="846"/>
      <c r="G17" s="846"/>
      <c r="H17" s="846"/>
      <c r="I17" s="846"/>
      <c r="J17" s="846"/>
      <c r="K17" s="847"/>
      <c r="L17" s="844" t="str">
        <f>IF(VLOOKUP($B17,'I - Stationary'!$B:$J,9,FALSE)="","",VLOOKUP($B17,'I - Stationary'!$B:$J,9,FALSE))</f>
        <v/>
      </c>
      <c r="M17" s="162">
        <f>SUMIF('I - Stationary'!$B:$B,$B17,'I - Stationary'!AF:AF)</f>
        <v>774037.5969</v>
      </c>
      <c r="N17" s="162">
        <f>SUMIF('I - Stationary'!$B:$B,$B17,'I - Stationary'!AG:AG)</f>
        <v>11265.012920000001</v>
      </c>
      <c r="O17" s="162">
        <f>SUMIF('I - Stationary'!$B:$B,$B17,'I - Stationary'!AH:AH)</f>
        <v>5195.6266150000001</v>
      </c>
      <c r="P17" s="163"/>
      <c r="Q17" s="163"/>
      <c r="R17" s="163"/>
      <c r="S17" s="163"/>
      <c r="T17" s="162">
        <f>SUMIF('I - Stationary'!$B:$B,$B17,'I - Stationary'!AI:AI)</f>
        <v>790498.23643500009</v>
      </c>
      <c r="U17" s="162">
        <f>SUMIF('I - Stationary'!$B:$B,$B17,'I - Stationary'!AJ:AJ)</f>
        <v>144660</v>
      </c>
      <c r="V17" s="720" t="str">
        <f>IF(VLOOKUP($B17,'I - Stationary'!$B:$AL,32,FALSE)="","",VLOOKUP($B17,'I - Stationary'!$B:$AL,32,FALSE))</f>
        <v/>
      </c>
      <c r="W17" s="43"/>
      <c r="X17" s="43"/>
      <c r="Y17" s="43"/>
      <c r="Z17" s="43"/>
      <c r="AA17" s="43"/>
      <c r="AB17" s="43"/>
      <c r="AC17" s="43"/>
      <c r="AD17" s="43"/>
      <c r="AE17" s="43"/>
    </row>
    <row r="18" spans="1:31" s="44" customFormat="1" collapsed="1">
      <c r="A18" s="43"/>
      <c r="B18" s="90" t="s">
        <v>51</v>
      </c>
      <c r="C18" s="90">
        <v>2</v>
      </c>
      <c r="D18" s="845" t="s">
        <v>52</v>
      </c>
      <c r="E18" s="846"/>
      <c r="F18" s="846"/>
      <c r="G18" s="846"/>
      <c r="H18" s="846"/>
      <c r="I18" s="846"/>
      <c r="J18" s="846"/>
      <c r="K18" s="847"/>
      <c r="L18" s="844" t="str">
        <f>IF(VLOOKUP($B18,'I - Stationary'!$B:$J,9,FALSE)="","",VLOOKUP($B18,'I - Stationary'!$B:$J,9,FALSE))</f>
        <v/>
      </c>
      <c r="M18" s="162">
        <f>SUMIF('I - Stationary'!$B:$B,$B18,'I - Stationary'!AF:AF)</f>
        <v>1204050</v>
      </c>
      <c r="N18" s="162">
        <f>SUMIF('I - Stationary'!$B:$B,$B18,'I - Stationary'!AG:AG)</f>
        <v>903.03749999999991</v>
      </c>
      <c r="O18" s="162">
        <f>SUMIF('I - Stationary'!$B:$B,$B18,'I - Stationary'!AH:AH)</f>
        <v>9030.375</v>
      </c>
      <c r="P18" s="163"/>
      <c r="Q18" s="163"/>
      <c r="R18" s="163"/>
      <c r="S18" s="163"/>
      <c r="T18" s="162">
        <f>SUMIF('I - Stationary'!$B:$B,$B18,'I - Stationary'!AI:AI)</f>
        <v>1213983.4125000001</v>
      </c>
      <c r="U18" s="162">
        <f>SUMIF('I - Stationary'!$B:$B,$B18,'I - Stationary'!AJ:AJ)</f>
        <v>0</v>
      </c>
      <c r="V18" s="720" t="str">
        <f>IF(VLOOKUP($B18,'I - Stationary'!$B:$AL,32,FALSE)="","",VLOOKUP($B18,'I - Stationary'!$B:$AL,32,FALSE))</f>
        <v/>
      </c>
      <c r="W18" s="43"/>
      <c r="X18" s="43"/>
      <c r="Y18" s="43"/>
      <c r="Z18" s="43"/>
      <c r="AA18" s="43"/>
      <c r="AB18" s="43"/>
      <c r="AC18" s="43"/>
      <c r="AD18" s="43"/>
      <c r="AE18" s="43"/>
    </row>
    <row r="19" spans="1:31" s="44" customFormat="1" collapsed="1">
      <c r="A19" s="43"/>
      <c r="B19" s="92" t="s">
        <v>53</v>
      </c>
      <c r="C19" s="92">
        <v>3</v>
      </c>
      <c r="D19" s="849" t="s">
        <v>54</v>
      </c>
      <c r="E19" s="850"/>
      <c r="F19" s="850"/>
      <c r="G19" s="850"/>
      <c r="H19" s="850"/>
      <c r="I19" s="850"/>
      <c r="J19" s="850"/>
      <c r="K19" s="851"/>
      <c r="L19" s="164" t="str">
        <f>IF(VLOOKUP($B19,'I - Stationary'!$B:$J,9,FALSE)="","",VLOOKUP($B19,'I - Stationary'!$B:$J,9,FALSE))</f>
        <v>NE</v>
      </c>
      <c r="M19" s="164">
        <f>SUMIF('I - Stationary'!$B:$B,$B19,'I - Stationary'!AF:AF)</f>
        <v>3000000</v>
      </c>
      <c r="N19" s="164">
        <f>SUMIF('I - Stationary'!$B:$B,$B19,'I - Stationary'!AG:AG)</f>
        <v>0</v>
      </c>
      <c r="O19" s="164">
        <f>SUMIF('I - Stationary'!$B:$B,$B19,'I - Stationary'!AH:AH)</f>
        <v>0</v>
      </c>
      <c r="P19" s="163"/>
      <c r="Q19" s="163"/>
      <c r="R19" s="163"/>
      <c r="S19" s="163"/>
      <c r="T19" s="164">
        <f>SUMIF('I - Stationary'!$B:$B,$B19,'I - Stationary'!AI:AI)</f>
        <v>3000000</v>
      </c>
      <c r="U19" s="164">
        <f>SUMIF('I - Stationary'!$B:$B,$B19,'I - Stationary'!AJ:AJ)</f>
        <v>0</v>
      </c>
      <c r="V19" s="721" t="str">
        <f>IF(VLOOKUP($B19,'I - Stationary'!$B:$AL,32,FALSE)="","",VLOOKUP($B19,'I - Stationary'!$B:$AL,32,FALSE))</f>
        <v/>
      </c>
      <c r="W19" s="43"/>
      <c r="X19" s="43"/>
      <c r="Y19" s="43"/>
      <c r="Z19" s="43"/>
      <c r="AA19" s="43"/>
      <c r="AB19" s="43"/>
      <c r="AC19" s="43"/>
      <c r="AD19" s="43"/>
      <c r="AE19" s="43"/>
    </row>
    <row r="20" spans="1:31" s="44" customFormat="1">
      <c r="A20" s="43"/>
      <c r="B20" s="46" t="s">
        <v>55</v>
      </c>
      <c r="C20" s="46"/>
      <c r="D20" s="47" t="s">
        <v>56</v>
      </c>
      <c r="E20" s="173"/>
      <c r="F20" s="173"/>
      <c r="G20" s="173"/>
      <c r="H20" s="173"/>
      <c r="I20" s="173"/>
      <c r="J20" s="173"/>
      <c r="K20" s="173"/>
      <c r="L20" s="48"/>
      <c r="M20" s="165"/>
      <c r="N20" s="165"/>
      <c r="O20" s="165"/>
      <c r="P20" s="165"/>
      <c r="Q20" s="165"/>
      <c r="R20" s="165"/>
      <c r="S20" s="165"/>
      <c r="T20" s="165"/>
      <c r="U20" s="547"/>
      <c r="V20" s="713"/>
      <c r="W20" s="43"/>
      <c r="X20" s="43"/>
      <c r="Y20" s="43"/>
      <c r="Z20" s="43"/>
      <c r="AA20" s="43"/>
      <c r="AB20" s="43"/>
      <c r="AC20" s="43"/>
      <c r="AD20" s="43"/>
      <c r="AE20" s="43"/>
    </row>
    <row r="21" spans="1:31" s="44" customFormat="1" collapsed="1">
      <c r="A21" s="43"/>
      <c r="B21" s="90" t="s">
        <v>57</v>
      </c>
      <c r="C21" s="90">
        <v>1</v>
      </c>
      <c r="D21" s="845" t="s">
        <v>50</v>
      </c>
      <c r="E21" s="846"/>
      <c r="F21" s="846"/>
      <c r="G21" s="846"/>
      <c r="H21" s="846"/>
      <c r="I21" s="846"/>
      <c r="J21" s="846"/>
      <c r="K21" s="847"/>
      <c r="L21" s="844" t="str">
        <f>IF(VLOOKUP($B21,'I - Stationary'!$B:$J,9,FALSE)="","",VLOOKUP($B21,'I - Stationary'!$B:$J,9,FALSE))</f>
        <v/>
      </c>
      <c r="M21" s="162">
        <f>SUMIF('I - Stationary'!$B:$B,$B21,'I - Stationary'!AF:AF)</f>
        <v>964400</v>
      </c>
      <c r="N21" s="162">
        <f>SUMIF('I - Stationary'!$B:$B,$B21,'I - Stationary'!AG:AG)</f>
        <v>6000</v>
      </c>
      <c r="O21" s="162">
        <f>SUMIF('I - Stationary'!$B:$B,$B21,'I - Stationary'!AH:AH)</f>
        <v>5799.9999999999991</v>
      </c>
      <c r="P21" s="163"/>
      <c r="Q21" s="163"/>
      <c r="R21" s="163"/>
      <c r="S21" s="163"/>
      <c r="T21" s="162">
        <f>SUMIF('I - Stationary'!$B:$B,$B21,'I - Stationary'!AI:AI)</f>
        <v>976200.00000000012</v>
      </c>
      <c r="U21" s="162">
        <f>SUMIF('I - Stationary'!$B:$B,$B21,'I - Stationary'!AJ:AJ)</f>
        <v>192880</v>
      </c>
      <c r="V21" s="720" t="str">
        <f>IF(VLOOKUP($B21,'I - Stationary'!$B:$AL,32,FALSE)="","",VLOOKUP($B21,'I - Stationary'!$B:$AL,32,FALSE))</f>
        <v/>
      </c>
      <c r="W21" s="43"/>
      <c r="X21" s="43"/>
      <c r="Y21" s="43"/>
      <c r="Z21" s="43"/>
      <c r="AA21" s="43"/>
      <c r="AB21" s="43"/>
      <c r="AC21" s="43"/>
      <c r="AD21" s="43"/>
      <c r="AE21" s="43"/>
    </row>
    <row r="22" spans="1:31" s="44" customFormat="1" collapsed="1">
      <c r="A22" s="43"/>
      <c r="B22" s="90" t="s">
        <v>58</v>
      </c>
      <c r="C22" s="90">
        <v>2</v>
      </c>
      <c r="D22" s="845" t="s">
        <v>52</v>
      </c>
      <c r="E22" s="846"/>
      <c r="F22" s="846"/>
      <c r="G22" s="846"/>
      <c r="H22" s="846"/>
      <c r="I22" s="846"/>
      <c r="J22" s="846"/>
      <c r="K22" s="847"/>
      <c r="L22" s="844" t="str">
        <f>IF(VLOOKUP($B22,'I - Stationary'!$B:$J,9,FALSE)="","",VLOOKUP($B22,'I - Stationary'!$B:$J,9,FALSE))</f>
        <v/>
      </c>
      <c r="M22" s="162">
        <f>SUMIF('I - Stationary'!$B:$B,$B22,'I - Stationary'!AF:AF)</f>
        <v>1559432.8</v>
      </c>
      <c r="N22" s="162">
        <f>SUMIF('I - Stationary'!$B:$B,$B22,'I - Stationary'!AG:AG)</f>
        <v>1169.5745999999999</v>
      </c>
      <c r="O22" s="162">
        <f>SUMIF('I - Stationary'!$B:$B,$B22,'I - Stationary'!AH:AH)</f>
        <v>11695.746000000001</v>
      </c>
      <c r="P22" s="163"/>
      <c r="Q22" s="163"/>
      <c r="R22" s="163"/>
      <c r="S22" s="163"/>
      <c r="T22" s="162">
        <f>SUMIF('I - Stationary'!$B:$B,$B22,'I - Stationary'!AI:AI)</f>
        <v>1572298.1206</v>
      </c>
      <c r="U22" s="162">
        <f>SUMIF('I - Stationary'!$B:$B,$B22,'I - Stationary'!AJ:AJ)</f>
        <v>0</v>
      </c>
      <c r="V22" s="720" t="str">
        <f>IF(VLOOKUP($B22,'I - Stationary'!$B:$AL,32,FALSE)="","",VLOOKUP($B22,'I - Stationary'!$B:$AL,32,FALSE))</f>
        <v/>
      </c>
      <c r="W22" s="43"/>
      <c r="X22" s="43"/>
      <c r="Y22" s="43"/>
      <c r="Z22" s="43"/>
      <c r="AA22" s="43"/>
      <c r="AB22" s="43"/>
      <c r="AC22" s="43"/>
      <c r="AD22" s="43"/>
      <c r="AE22" s="43"/>
    </row>
    <row r="23" spans="1:31" s="44" customFormat="1" collapsed="1">
      <c r="A23" s="43"/>
      <c r="B23" s="93" t="s">
        <v>59</v>
      </c>
      <c r="C23" s="93">
        <v>3</v>
      </c>
      <c r="D23" s="849" t="s">
        <v>54</v>
      </c>
      <c r="E23" s="850"/>
      <c r="F23" s="850"/>
      <c r="G23" s="850"/>
      <c r="H23" s="850"/>
      <c r="I23" s="850"/>
      <c r="J23" s="850"/>
      <c r="K23" s="851"/>
      <c r="L23" s="164" t="str">
        <f>IF(VLOOKUP($B23,'I - Stationary'!$B:$J,9,FALSE)="","",VLOOKUP($B23,'I - Stationary'!$B:$J,9,FALSE))</f>
        <v>NE</v>
      </c>
      <c r="M23" s="164">
        <f>SUMIF('I - Stationary'!$B:$B,$B23,'I - Stationary'!AF:AF)</f>
        <v>0</v>
      </c>
      <c r="N23" s="164">
        <f>SUMIF('I - Stationary'!$B:$B,$B23,'I - Stationary'!AG:AG)</f>
        <v>0</v>
      </c>
      <c r="O23" s="164">
        <f>SUMIF('I - Stationary'!$B:$B,$B23,'I - Stationary'!AH:AH)</f>
        <v>0</v>
      </c>
      <c r="P23" s="163"/>
      <c r="Q23" s="163"/>
      <c r="R23" s="163"/>
      <c r="S23" s="163"/>
      <c r="T23" s="164">
        <f>SUMIF('I - Stationary'!$B:$B,$B23,'I - Stationary'!AI:AI)</f>
        <v>0</v>
      </c>
      <c r="U23" s="164">
        <f>SUMIF('I - Stationary'!$B:$B,$B23,'I - Stationary'!AJ:AJ)</f>
        <v>0</v>
      </c>
      <c r="V23" s="721" t="str">
        <f>IF(VLOOKUP($B23,'I - Stationary'!$B:$AL,32,FALSE)="","",VLOOKUP($B23,'I - Stationary'!$B:$AL,32,FALSE))</f>
        <v/>
      </c>
      <c r="W23" s="43"/>
      <c r="X23" s="43"/>
      <c r="Y23" s="43"/>
      <c r="Z23" s="43"/>
      <c r="AA23" s="43"/>
      <c r="AB23" s="43"/>
      <c r="AC23" s="43"/>
      <c r="AD23" s="43"/>
      <c r="AE23" s="43"/>
    </row>
    <row r="24" spans="1:31" s="44" customFormat="1">
      <c r="A24" s="43"/>
      <c r="B24" s="46" t="s">
        <v>60</v>
      </c>
      <c r="C24" s="46"/>
      <c r="D24" s="47" t="s">
        <v>8</v>
      </c>
      <c r="E24" s="173"/>
      <c r="F24" s="173"/>
      <c r="G24" s="173"/>
      <c r="H24" s="173"/>
      <c r="I24" s="173"/>
      <c r="J24" s="173"/>
      <c r="K24" s="173"/>
      <c r="L24" s="48"/>
      <c r="M24" s="165"/>
      <c r="N24" s="165"/>
      <c r="O24" s="165"/>
      <c r="P24" s="165"/>
      <c r="Q24" s="165"/>
      <c r="R24" s="165"/>
      <c r="S24" s="165"/>
      <c r="T24" s="165"/>
      <c r="U24" s="547"/>
      <c r="V24" s="713"/>
      <c r="W24" s="43"/>
      <c r="X24" s="43"/>
      <c r="Y24" s="43"/>
      <c r="Z24" s="43"/>
      <c r="AA24" s="43"/>
      <c r="AB24" s="43"/>
      <c r="AC24" s="43"/>
      <c r="AD24" s="43"/>
      <c r="AE24" s="43"/>
    </row>
    <row r="25" spans="1:31" s="44" customFormat="1" collapsed="1">
      <c r="A25" s="43"/>
      <c r="B25" s="90" t="s">
        <v>61</v>
      </c>
      <c r="C25" s="90">
        <v>1</v>
      </c>
      <c r="D25" s="845" t="s">
        <v>50</v>
      </c>
      <c r="E25" s="846"/>
      <c r="F25" s="846"/>
      <c r="G25" s="846"/>
      <c r="H25" s="846"/>
      <c r="I25" s="846"/>
      <c r="J25" s="846"/>
      <c r="K25" s="847"/>
      <c r="L25" s="844" t="str">
        <f>IF(VLOOKUP($B25,'I - Stationary'!$B:$J,9,FALSE)="","",VLOOKUP($B25,'I - Stationary'!$B:$J,9,FALSE))</f>
        <v>IE</v>
      </c>
      <c r="M25" s="162">
        <f>SUMIF('I - Stationary'!$B:$B,$B25,'I - Stationary'!AF:AF)</f>
        <v>0</v>
      </c>
      <c r="N25" s="162">
        <f>SUMIF('I - Stationary'!$B:$B,$B25,'I - Stationary'!AG:AG)</f>
        <v>0</v>
      </c>
      <c r="O25" s="162">
        <f>SUMIF('I - Stationary'!$B:$B,$B25,'I - Stationary'!AH:AH)</f>
        <v>0</v>
      </c>
      <c r="P25" s="163"/>
      <c r="Q25" s="163"/>
      <c r="R25" s="163"/>
      <c r="S25" s="163"/>
      <c r="T25" s="162">
        <f>SUMIF('I - Stationary'!$B:$B,$B25,'I - Stationary'!AI:AI)</f>
        <v>0</v>
      </c>
      <c r="U25" s="162">
        <f>SUMIF('I - Stationary'!$B:$B,$B25,'I - Stationary'!AJ:AJ)</f>
        <v>0</v>
      </c>
      <c r="V25" s="720" t="str">
        <f>IF(VLOOKUP($B25,'I - Stationary'!$B:$AL,32,FALSE)="","",VLOOKUP($B25,'I - Stationary'!$B:$AL,32,FALSE))</f>
        <v/>
      </c>
      <c r="W25" s="43"/>
      <c r="X25" s="43"/>
      <c r="Y25" s="43"/>
      <c r="Z25" s="43"/>
      <c r="AA25" s="43"/>
      <c r="AB25" s="43"/>
      <c r="AC25" s="43"/>
      <c r="AD25" s="43"/>
      <c r="AE25" s="43"/>
    </row>
    <row r="26" spans="1:31" s="44" customFormat="1" collapsed="1">
      <c r="A26" s="43"/>
      <c r="B26" s="90" t="s">
        <v>62</v>
      </c>
      <c r="C26" s="90">
        <v>2</v>
      </c>
      <c r="D26" s="845" t="s">
        <v>52</v>
      </c>
      <c r="E26" s="846"/>
      <c r="F26" s="846"/>
      <c r="G26" s="846"/>
      <c r="H26" s="846"/>
      <c r="I26" s="846"/>
      <c r="J26" s="846"/>
      <c r="K26" s="847"/>
      <c r="L26" s="844" t="str">
        <f>IF(VLOOKUP($B26,'I - Stationary'!$B:$J,9,FALSE)="","",VLOOKUP($B26,'I - Stationary'!$B:$J,9,FALSE))</f>
        <v>IE</v>
      </c>
      <c r="M26" s="162">
        <f>SUMIF('I - Stationary'!$B:$B,$B26,'I - Stationary'!AF:AF)</f>
        <v>0</v>
      </c>
      <c r="N26" s="162">
        <f>SUMIF('I - Stationary'!$B:$B,$B26,'I - Stationary'!AG:AG)</f>
        <v>0</v>
      </c>
      <c r="O26" s="162">
        <f>SUMIF('I - Stationary'!$B:$B,$B26,'I - Stationary'!AH:AH)</f>
        <v>0</v>
      </c>
      <c r="P26" s="163"/>
      <c r="Q26" s="163"/>
      <c r="R26" s="163"/>
      <c r="S26" s="163"/>
      <c r="T26" s="162">
        <f>SUMIF('I - Stationary'!$B:$B,$B26,'I - Stationary'!AI:AI)</f>
        <v>0</v>
      </c>
      <c r="U26" s="162">
        <f>SUMIF('I - Stationary'!$B:$B,$B26,'I - Stationary'!AJ:AJ)</f>
        <v>0</v>
      </c>
      <c r="V26" s="720" t="str">
        <f>IF(VLOOKUP($B26,'I - Stationary'!$B:$AL,32,FALSE)="","",VLOOKUP($B26,'I - Stationary'!$B:$AL,32,FALSE))</f>
        <v/>
      </c>
      <c r="W26" s="43"/>
      <c r="X26" s="43"/>
      <c r="Y26" s="43"/>
      <c r="Z26" s="43"/>
      <c r="AA26" s="43"/>
      <c r="AB26" s="43"/>
      <c r="AC26" s="43"/>
      <c r="AD26" s="43"/>
      <c r="AE26" s="43"/>
    </row>
    <row r="27" spans="1:31" s="44" customFormat="1" collapsed="1">
      <c r="A27" s="43"/>
      <c r="B27" s="93" t="s">
        <v>63</v>
      </c>
      <c r="C27" s="93">
        <v>3</v>
      </c>
      <c r="D27" s="849" t="s">
        <v>54</v>
      </c>
      <c r="E27" s="850"/>
      <c r="F27" s="850"/>
      <c r="G27" s="850"/>
      <c r="H27" s="850"/>
      <c r="I27" s="850"/>
      <c r="J27" s="850"/>
      <c r="K27" s="851"/>
      <c r="L27" s="164" t="str">
        <f>IF(VLOOKUP($B27,'I - Stationary'!$B:$J,9,FALSE)="","",VLOOKUP($B27,'I - Stationary'!$B:$J,9,FALSE))</f>
        <v>NE</v>
      </c>
      <c r="M27" s="164">
        <f>SUMIF('I - Stationary'!$B:$B,$B27,'I - Stationary'!AF:AF)</f>
        <v>0</v>
      </c>
      <c r="N27" s="164">
        <f>SUMIF('I - Stationary'!$B:$B,$B27,'I - Stationary'!AG:AG)</f>
        <v>0</v>
      </c>
      <c r="O27" s="164">
        <f>SUMIF('I - Stationary'!$B:$B,$B27,'I - Stationary'!AH:AH)</f>
        <v>0</v>
      </c>
      <c r="P27" s="163"/>
      <c r="Q27" s="163"/>
      <c r="R27" s="163"/>
      <c r="S27" s="163"/>
      <c r="T27" s="164">
        <f>SUMIF('I - Stationary'!$B:$B,$B27,'I - Stationary'!AI:AI)</f>
        <v>0</v>
      </c>
      <c r="U27" s="164">
        <f>SUMIF('I - Stationary'!$B:$B,$B27,'I - Stationary'!AJ:AJ)</f>
        <v>0</v>
      </c>
      <c r="V27" s="721" t="str">
        <f>IF(VLOOKUP($B27,'I - Stationary'!$B:$AL,32,FALSE)="","",VLOOKUP($B27,'I - Stationary'!$B:$AL,32,FALSE))</f>
        <v/>
      </c>
      <c r="W27" s="43"/>
      <c r="X27" s="43"/>
      <c r="Y27" s="43"/>
      <c r="Z27" s="43"/>
      <c r="AA27" s="43"/>
      <c r="AB27" s="43"/>
      <c r="AC27" s="43"/>
      <c r="AD27" s="43"/>
      <c r="AE27" s="43"/>
    </row>
    <row r="28" spans="1:31" s="44" customFormat="1">
      <c r="A28" s="43"/>
      <c r="B28" s="46" t="s">
        <v>64</v>
      </c>
      <c r="C28" s="46"/>
      <c r="D28" s="47" t="s">
        <v>9</v>
      </c>
      <c r="E28" s="173"/>
      <c r="F28" s="173"/>
      <c r="G28" s="173"/>
      <c r="H28" s="173"/>
      <c r="I28" s="173"/>
      <c r="J28" s="173"/>
      <c r="K28" s="173"/>
      <c r="L28" s="48"/>
      <c r="M28" s="165"/>
      <c r="N28" s="165"/>
      <c r="O28" s="165"/>
      <c r="P28" s="165"/>
      <c r="Q28" s="165"/>
      <c r="R28" s="165"/>
      <c r="S28" s="165"/>
      <c r="T28" s="165"/>
      <c r="U28" s="547"/>
      <c r="V28" s="713"/>
      <c r="W28" s="43"/>
      <c r="X28" s="43"/>
      <c r="Y28" s="43"/>
      <c r="Z28" s="43"/>
      <c r="AA28" s="43"/>
      <c r="AB28" s="43"/>
      <c r="AC28" s="43"/>
      <c r="AD28" s="43"/>
      <c r="AE28" s="43"/>
    </row>
    <row r="29" spans="1:31" s="44" customFormat="1" collapsed="1">
      <c r="A29" s="43"/>
      <c r="B29" s="90" t="s">
        <v>65</v>
      </c>
      <c r="C29" s="90">
        <v>1</v>
      </c>
      <c r="D29" s="845" t="s">
        <v>66</v>
      </c>
      <c r="E29" s="846"/>
      <c r="F29" s="846"/>
      <c r="G29" s="846"/>
      <c r="H29" s="846"/>
      <c r="I29" s="846"/>
      <c r="J29" s="846"/>
      <c r="K29" s="847"/>
      <c r="L29" s="844" t="str">
        <f>IF(VLOOKUP($B29,'I - Stationary'!$B:$J,9,FALSE)="","",VLOOKUP($B29,'I - Stationary'!$B:$J,9,FALSE))</f>
        <v>NO</v>
      </c>
      <c r="M29" s="162">
        <f>SUMIF('I - Stationary'!$B:$B,$B29,'I - Stationary'!AF:AF)</f>
        <v>0</v>
      </c>
      <c r="N29" s="162">
        <f>SUMIF('I - Stationary'!$B:$B,$B29,'I - Stationary'!AG:AG)</f>
        <v>0</v>
      </c>
      <c r="O29" s="162">
        <f>SUMIF('I - Stationary'!$B:$B,$B29,'I - Stationary'!AH:AH)</f>
        <v>0</v>
      </c>
      <c r="P29" s="163"/>
      <c r="Q29" s="163"/>
      <c r="R29" s="163"/>
      <c r="S29" s="163"/>
      <c r="T29" s="162">
        <f>SUMIF('I - Stationary'!$B:$B,$B29,'I - Stationary'!AI:AI)</f>
        <v>0</v>
      </c>
      <c r="U29" s="162">
        <f>SUMIF('I - Stationary'!$B:$B,$B29,'I - Stationary'!AJ:AJ)</f>
        <v>0</v>
      </c>
      <c r="V29" s="720" t="str">
        <f>IF(VLOOKUP($B29,'I - Stationary'!$B:$AL,32,FALSE)="","",VLOOKUP($B29,'I - Stationary'!$B:$AL,32,FALSE))</f>
        <v/>
      </c>
      <c r="W29" s="43"/>
      <c r="X29" s="43"/>
      <c r="Y29" s="43"/>
      <c r="Z29" s="43"/>
      <c r="AA29" s="43"/>
      <c r="AB29" s="43"/>
      <c r="AC29" s="43"/>
      <c r="AD29" s="43"/>
      <c r="AE29" s="43"/>
    </row>
    <row r="30" spans="1:31" s="44" customFormat="1" collapsed="1">
      <c r="A30" s="43"/>
      <c r="B30" s="90" t="s">
        <v>67</v>
      </c>
      <c r="C30" s="90">
        <v>2</v>
      </c>
      <c r="D30" s="845" t="s">
        <v>68</v>
      </c>
      <c r="E30" s="846"/>
      <c r="F30" s="846"/>
      <c r="G30" s="846"/>
      <c r="H30" s="846"/>
      <c r="I30" s="846"/>
      <c r="J30" s="846"/>
      <c r="K30" s="847"/>
      <c r="L30" s="844" t="str">
        <f>IF(VLOOKUP($B30,'I - Stationary'!$B:$J,9,FALSE)="","",VLOOKUP($B30,'I - Stationary'!$B:$J,9,FALSE))</f>
        <v>NO</v>
      </c>
      <c r="M30" s="162">
        <f>SUMIF('I - Stationary'!$B:$B,$B30,'I - Stationary'!AF:AF)</f>
        <v>0</v>
      </c>
      <c r="N30" s="162">
        <f>SUMIF('I - Stationary'!$B:$B,$B30,'I - Stationary'!AG:AG)</f>
        <v>0</v>
      </c>
      <c r="O30" s="162">
        <f>SUMIF('I - Stationary'!$B:$B,$B30,'I - Stationary'!AH:AH)</f>
        <v>0</v>
      </c>
      <c r="P30" s="163"/>
      <c r="Q30" s="163"/>
      <c r="R30" s="163"/>
      <c r="S30" s="163"/>
      <c r="T30" s="162">
        <f>SUMIF('I - Stationary'!$B:$B,$B30,'I - Stationary'!AI:AI)</f>
        <v>0</v>
      </c>
      <c r="U30" s="162">
        <f>SUMIF('I - Stationary'!$B:$B,$B30,'I - Stationary'!AJ:AJ)</f>
        <v>0</v>
      </c>
      <c r="V30" s="720" t="str">
        <f>IF(VLOOKUP($B30,'I - Stationary'!$B:$AL,32,FALSE)="","",VLOOKUP($B30,'I - Stationary'!$B:$AL,32,FALSE))</f>
        <v/>
      </c>
      <c r="W30" s="43"/>
      <c r="X30" s="43"/>
      <c r="Y30" s="43"/>
      <c r="Z30" s="43"/>
      <c r="AA30" s="43"/>
      <c r="AB30" s="43"/>
      <c r="AC30" s="43"/>
      <c r="AD30" s="43"/>
      <c r="AE30" s="43"/>
    </row>
    <row r="31" spans="1:31" s="44" customFormat="1" collapsed="1">
      <c r="A31" s="43"/>
      <c r="B31" s="93" t="s">
        <v>69</v>
      </c>
      <c r="C31" s="93">
        <v>3</v>
      </c>
      <c r="D31" s="853" t="s">
        <v>70</v>
      </c>
      <c r="E31" s="854"/>
      <c r="F31" s="854"/>
      <c r="G31" s="854"/>
      <c r="H31" s="854"/>
      <c r="I31" s="854"/>
      <c r="J31" s="854"/>
      <c r="K31" s="855"/>
      <c r="L31" s="164" t="str">
        <f>IF(VLOOKUP($B31,'I - Stationary'!$B:$J,9,FALSE)="","",VLOOKUP($B31,'I - Stationary'!$B:$J,9,FALSE))</f>
        <v>NO</v>
      </c>
      <c r="M31" s="164">
        <f>SUMIF('I - Stationary'!$B:$B,$B31,'I - Stationary'!AF:AF)</f>
        <v>0</v>
      </c>
      <c r="N31" s="164">
        <f>SUMIF('I - Stationary'!$B:$B,$B31,'I - Stationary'!AG:AG)</f>
        <v>0</v>
      </c>
      <c r="O31" s="164">
        <f>SUMIF('I - Stationary'!$B:$B,$B31,'I - Stationary'!AH:AH)</f>
        <v>0</v>
      </c>
      <c r="P31" s="163"/>
      <c r="Q31" s="163"/>
      <c r="R31" s="163"/>
      <c r="S31" s="163"/>
      <c r="T31" s="164">
        <f>SUMIF('I - Stationary'!$B:$B,$B31,'I - Stationary'!AI:AI)</f>
        <v>0</v>
      </c>
      <c r="U31" s="164">
        <f>SUMIF('I - Stationary'!$B:$B,$B31,'I - Stationary'!AJ:AJ)</f>
        <v>0</v>
      </c>
      <c r="V31" s="721" t="str">
        <f>IF(VLOOKUP($B31,'I - Stationary'!$B:$AL,32,FALSE)="","",VLOOKUP($B31,'I - Stationary'!$B:$AL,32,FALSE))</f>
        <v/>
      </c>
      <c r="W31" s="43"/>
      <c r="X31" s="43"/>
      <c r="Y31" s="43"/>
      <c r="Z31" s="43"/>
      <c r="AA31" s="43"/>
      <c r="AB31" s="43"/>
      <c r="AC31" s="43"/>
      <c r="AD31" s="43"/>
      <c r="AE31" s="43"/>
    </row>
    <row r="32" spans="1:31" s="44" customFormat="1" collapsed="1">
      <c r="A32" s="43"/>
      <c r="B32" s="94" t="s">
        <v>71</v>
      </c>
      <c r="C32" s="852">
        <v>1</v>
      </c>
      <c r="D32" s="856" t="s">
        <v>72</v>
      </c>
      <c r="E32" s="857"/>
      <c r="F32" s="857"/>
      <c r="G32" s="857"/>
      <c r="H32" s="857"/>
      <c r="I32" s="857"/>
      <c r="J32" s="857"/>
      <c r="K32" s="858"/>
      <c r="L32" s="166" t="str">
        <f>IF(VLOOKUP($B32,'I - Stationary'!$B:$J,9,FALSE)="","",VLOOKUP($B32,'I - Stationary'!$B:$J,9,FALSE))</f>
        <v>NO</v>
      </c>
      <c r="M32" s="166">
        <f>SUMIF('I - Stationary'!$B:$B,$B32,'I - Stationary'!AF:AF)</f>
        <v>2000000</v>
      </c>
      <c r="N32" s="166">
        <f>SUMIF('I - Stationary'!$B:$B,$B32,'I - Stationary'!AG:AG)</f>
        <v>0</v>
      </c>
      <c r="O32" s="166">
        <f>SUMIF('I - Stationary'!$B:$B,$B32,'I - Stationary'!AH:AH)</f>
        <v>0</v>
      </c>
      <c r="P32" s="163"/>
      <c r="Q32" s="163"/>
      <c r="R32" s="163"/>
      <c r="S32" s="163"/>
      <c r="T32" s="166">
        <f>SUMIF('I - Stationary'!$B:$B,$B32,'I - Stationary'!AI:AI)</f>
        <v>2000000</v>
      </c>
      <c r="U32" s="166">
        <f>SUMIF('I - Stationary'!$B:$B,$B32,'I - Stationary'!AJ:AJ)</f>
        <v>0</v>
      </c>
      <c r="V32" s="722" t="str">
        <f>IF(VLOOKUP($B32,'I - Stationary'!$B:$AL,32,FALSE)="","",VLOOKUP($B32,'I - Stationary'!$B:$AL,32,FALSE))</f>
        <v/>
      </c>
      <c r="W32" s="43"/>
      <c r="X32" s="43"/>
      <c r="Y32" s="43"/>
      <c r="Z32" s="43"/>
      <c r="AA32" s="43"/>
      <c r="AB32" s="43"/>
      <c r="AC32" s="43"/>
      <c r="AD32" s="43"/>
      <c r="AE32" s="43"/>
    </row>
    <row r="33" spans="1:31" s="44" customFormat="1">
      <c r="A33" s="43"/>
      <c r="B33" s="46" t="s">
        <v>73</v>
      </c>
      <c r="C33" s="46"/>
      <c r="D33" s="542" t="s">
        <v>74</v>
      </c>
      <c r="E33" s="543"/>
      <c r="F33" s="543"/>
      <c r="G33" s="543"/>
      <c r="H33" s="543"/>
      <c r="I33" s="543"/>
      <c r="J33" s="543"/>
      <c r="K33" s="543"/>
      <c r="L33" s="48"/>
      <c r="M33" s="165"/>
      <c r="N33" s="165"/>
      <c r="O33" s="165"/>
      <c r="P33" s="165"/>
      <c r="Q33" s="165"/>
      <c r="R33" s="165"/>
      <c r="S33" s="165"/>
      <c r="T33" s="165"/>
      <c r="U33" s="547"/>
      <c r="V33" s="713"/>
      <c r="W33" s="43"/>
      <c r="X33" s="43"/>
      <c r="Y33" s="43"/>
      <c r="Z33" s="43"/>
      <c r="AA33" s="43"/>
      <c r="AB33" s="43"/>
      <c r="AC33" s="43"/>
      <c r="AD33" s="43"/>
      <c r="AE33" s="43"/>
    </row>
    <row r="34" spans="1:31" s="44" customFormat="1" collapsed="1">
      <c r="A34" s="43"/>
      <c r="B34" s="90" t="s">
        <v>75</v>
      </c>
      <c r="C34" s="90">
        <v>1</v>
      </c>
      <c r="D34" s="845" t="s">
        <v>50</v>
      </c>
      <c r="E34" s="846"/>
      <c r="F34" s="846"/>
      <c r="G34" s="846"/>
      <c r="H34" s="846"/>
      <c r="I34" s="846"/>
      <c r="J34" s="846"/>
      <c r="K34" s="847"/>
      <c r="L34" s="844" t="str">
        <f>IF(VLOOKUP($B34,'I - Stationary'!$B:$J,9,FALSE)="","",VLOOKUP($B34,'I - Stationary'!$B:$J,9,FALSE))</f>
        <v>NO</v>
      </c>
      <c r="M34" s="162">
        <f>SUMIF('I - Stationary'!$B:$B,$B34,'I - Stationary'!AF:AF)</f>
        <v>0</v>
      </c>
      <c r="N34" s="162">
        <f>SUMIF('I - Stationary'!$B:$B,$B34,'I - Stationary'!AG:AG)</f>
        <v>0</v>
      </c>
      <c r="O34" s="162">
        <f>SUMIF('I - Stationary'!$B:$B,$B34,'I - Stationary'!AH:AH)</f>
        <v>0</v>
      </c>
      <c r="P34" s="163"/>
      <c r="Q34" s="163"/>
      <c r="R34" s="163"/>
      <c r="S34" s="163"/>
      <c r="T34" s="162">
        <f>SUMIF('I - Stationary'!$B:$B,$B34,'I - Stationary'!AI:AI)</f>
        <v>0</v>
      </c>
      <c r="U34" s="162">
        <f>SUMIF('I - Stationary'!$B:$B,$B34,'I - Stationary'!AJ:AJ)</f>
        <v>0</v>
      </c>
      <c r="V34" s="720" t="str">
        <f>IF(VLOOKUP($B34,'I - Stationary'!$B:$AL,32,FALSE)="","",VLOOKUP($B34,'I - Stationary'!$B:$AL,32,FALSE))</f>
        <v/>
      </c>
      <c r="W34" s="43"/>
      <c r="X34" s="43"/>
      <c r="Y34" s="43"/>
      <c r="Z34" s="43"/>
      <c r="AA34" s="43"/>
      <c r="AB34" s="43"/>
      <c r="AC34" s="43"/>
      <c r="AD34" s="43"/>
      <c r="AE34" s="43"/>
    </row>
    <row r="35" spans="1:31" s="44" customFormat="1" collapsed="1">
      <c r="A35" s="43"/>
      <c r="B35" s="90" t="s">
        <v>76</v>
      </c>
      <c r="C35" s="90">
        <v>2</v>
      </c>
      <c r="D35" s="845" t="s">
        <v>52</v>
      </c>
      <c r="E35" s="846"/>
      <c r="F35" s="846"/>
      <c r="G35" s="846"/>
      <c r="H35" s="846"/>
      <c r="I35" s="846"/>
      <c r="J35" s="846"/>
      <c r="K35" s="847"/>
      <c r="L35" s="844" t="str">
        <f>IF(VLOOKUP($B35,'I - Stationary'!$B:$J,9,FALSE)="","",VLOOKUP($B35,'I - Stationary'!$B:$J,9,FALSE))</f>
        <v>NO</v>
      </c>
      <c r="M35" s="162">
        <f>SUMIF('I - Stationary'!$B:$B,$B35,'I - Stationary'!AF:AF)</f>
        <v>0</v>
      </c>
      <c r="N35" s="162">
        <f>SUMIF('I - Stationary'!$B:$B,$B35,'I - Stationary'!AG:AG)</f>
        <v>0</v>
      </c>
      <c r="O35" s="162">
        <f>SUMIF('I - Stationary'!$B:$B,$B35,'I - Stationary'!AH:AH)</f>
        <v>0</v>
      </c>
      <c r="P35" s="163"/>
      <c r="Q35" s="163"/>
      <c r="R35" s="163"/>
      <c r="S35" s="163"/>
      <c r="T35" s="162">
        <f>SUMIF('I - Stationary'!$B:$B,$B35,'I - Stationary'!AI:AI)</f>
        <v>0</v>
      </c>
      <c r="U35" s="162">
        <f>SUMIF('I - Stationary'!$B:$B,$B35,'I - Stationary'!AJ:AJ)</f>
        <v>0</v>
      </c>
      <c r="V35" s="720" t="str">
        <f>IF(VLOOKUP($B35,'I - Stationary'!$B:$AL,32,FALSE)="","",VLOOKUP($B35,'I - Stationary'!$B:$AL,32,FALSE))</f>
        <v/>
      </c>
      <c r="W35" s="43"/>
      <c r="X35" s="43"/>
      <c r="Y35" s="43"/>
      <c r="Z35" s="43"/>
      <c r="AA35" s="43"/>
      <c r="AB35" s="43"/>
      <c r="AC35" s="43"/>
      <c r="AD35" s="43"/>
      <c r="AE35" s="43"/>
    </row>
    <row r="36" spans="1:31" s="44" customFormat="1" collapsed="1">
      <c r="A36" s="43"/>
      <c r="B36" s="93" t="s">
        <v>77</v>
      </c>
      <c r="C36" s="93">
        <v>3</v>
      </c>
      <c r="D36" s="849" t="s">
        <v>295</v>
      </c>
      <c r="E36" s="850"/>
      <c r="F36" s="850"/>
      <c r="G36" s="850"/>
      <c r="H36" s="850"/>
      <c r="I36" s="850"/>
      <c r="J36" s="850"/>
      <c r="K36" s="851"/>
      <c r="L36" s="164" t="str">
        <f>IF(VLOOKUP($B36,'I - Stationary'!$B:$J,9,FALSE)="","",VLOOKUP($B36,'I - Stationary'!$B:$J,9,FALSE))</f>
        <v>NO</v>
      </c>
      <c r="M36" s="164">
        <f>SUMIF('I - Stationary'!$B:$B,$B36,'I - Stationary'!AF:AF)</f>
        <v>0</v>
      </c>
      <c r="N36" s="164">
        <f>SUMIF('I - Stationary'!$B:$B,$B36,'I - Stationary'!AG:AG)</f>
        <v>0</v>
      </c>
      <c r="O36" s="164">
        <f>SUMIF('I - Stationary'!$B:$B,$B36,'I - Stationary'!AH:AH)</f>
        <v>0</v>
      </c>
      <c r="P36" s="163"/>
      <c r="Q36" s="163"/>
      <c r="R36" s="163"/>
      <c r="S36" s="163"/>
      <c r="T36" s="164">
        <f>SUMIF('I - Stationary'!$B:$B,$B36,'I - Stationary'!AI:AI)</f>
        <v>0</v>
      </c>
      <c r="U36" s="164">
        <f>SUMIF('I - Stationary'!$B:$B,$B36,'I - Stationary'!AJ:AJ)</f>
        <v>0</v>
      </c>
      <c r="V36" s="721" t="str">
        <f>IF(VLOOKUP($B36,'I - Stationary'!$B:$AL,32,FALSE)="","",VLOOKUP($B36,'I - Stationary'!$B:$AL,32,FALSE))</f>
        <v/>
      </c>
      <c r="W36" s="43"/>
      <c r="X36" s="43"/>
      <c r="Y36" s="43"/>
      <c r="Z36" s="43"/>
      <c r="AA36" s="43"/>
      <c r="AB36" s="43"/>
      <c r="AC36" s="43"/>
      <c r="AD36" s="43"/>
      <c r="AE36" s="43"/>
    </row>
    <row r="37" spans="1:31" s="44" customFormat="1">
      <c r="A37" s="43"/>
      <c r="B37" s="46" t="s">
        <v>78</v>
      </c>
      <c r="C37" s="46"/>
      <c r="D37" s="47" t="s">
        <v>12</v>
      </c>
      <c r="E37" s="173"/>
      <c r="F37" s="173"/>
      <c r="G37" s="173"/>
      <c r="H37" s="173"/>
      <c r="I37" s="173"/>
      <c r="J37" s="173"/>
      <c r="K37" s="173"/>
      <c r="L37" s="48"/>
      <c r="M37" s="165"/>
      <c r="N37" s="165"/>
      <c r="O37" s="165"/>
      <c r="P37" s="165"/>
      <c r="Q37" s="165"/>
      <c r="R37" s="165"/>
      <c r="S37" s="165"/>
      <c r="T37" s="165"/>
      <c r="U37" s="547"/>
      <c r="V37" s="713"/>
      <c r="W37" s="43"/>
      <c r="X37" s="43"/>
      <c r="Y37" s="43"/>
      <c r="Z37" s="43"/>
      <c r="AA37" s="43"/>
      <c r="AB37" s="43"/>
      <c r="AC37" s="43"/>
      <c r="AD37" s="43"/>
      <c r="AE37" s="43"/>
    </row>
    <row r="38" spans="1:31" s="44" customFormat="1" collapsed="1">
      <c r="A38" s="43"/>
      <c r="B38" s="90" t="s">
        <v>79</v>
      </c>
      <c r="C38" s="90">
        <v>1</v>
      </c>
      <c r="D38" s="845" t="s">
        <v>50</v>
      </c>
      <c r="E38" s="846"/>
      <c r="F38" s="846"/>
      <c r="G38" s="846"/>
      <c r="H38" s="846"/>
      <c r="I38" s="846"/>
      <c r="J38" s="846"/>
      <c r="K38" s="847"/>
      <c r="L38" s="844" t="str">
        <f>IF(VLOOKUP($B38,'I - Stationary'!$B:$J,9,FALSE)="","",VLOOKUP($B38,'I - Stationary'!$B:$J,9,FALSE))</f>
        <v>NO</v>
      </c>
      <c r="M38" s="162">
        <f>SUMIF('I - Stationary'!$B:$B,$B38,'I - Stationary'!AF:AF)</f>
        <v>0</v>
      </c>
      <c r="N38" s="162">
        <f>SUMIF('I - Stationary'!$B:$B,$B38,'I - Stationary'!AG:AG)</f>
        <v>0</v>
      </c>
      <c r="O38" s="162">
        <f>SUMIF('I - Stationary'!$B:$B,$B38,'I - Stationary'!AH:AH)</f>
        <v>0</v>
      </c>
      <c r="P38" s="163"/>
      <c r="Q38" s="163"/>
      <c r="R38" s="163"/>
      <c r="S38" s="163"/>
      <c r="T38" s="162">
        <f>SUMIF('I - Stationary'!$B:$B,$B38,'I - Stationary'!AI:AI)</f>
        <v>0</v>
      </c>
      <c r="U38" s="162">
        <f>SUMIF('I - Stationary'!$B:$B,$B38,'I - Stationary'!AJ:AJ)</f>
        <v>0</v>
      </c>
      <c r="V38" s="720" t="str">
        <f>IF(VLOOKUP($B38,'I - Stationary'!$B:$AL,32,FALSE)="","",VLOOKUP($B38,'I - Stationary'!$B:$AL,32,FALSE))</f>
        <v/>
      </c>
      <c r="W38" s="43"/>
      <c r="X38" s="43"/>
      <c r="Y38" s="43"/>
      <c r="Z38" s="43"/>
      <c r="AA38" s="43"/>
      <c r="AB38" s="43"/>
      <c r="AC38" s="43"/>
      <c r="AD38" s="43"/>
      <c r="AE38" s="43"/>
    </row>
    <row r="39" spans="1:31" s="44" customFormat="1" collapsed="1">
      <c r="A39" s="43"/>
      <c r="B39" s="90" t="s">
        <v>80</v>
      </c>
      <c r="C39" s="90">
        <v>2</v>
      </c>
      <c r="D39" s="845" t="s">
        <v>52</v>
      </c>
      <c r="E39" s="846"/>
      <c r="F39" s="846"/>
      <c r="G39" s="846"/>
      <c r="H39" s="846"/>
      <c r="I39" s="846"/>
      <c r="J39" s="846"/>
      <c r="K39" s="847"/>
      <c r="L39" s="844" t="str">
        <f>IF(VLOOKUP($B39,'I - Stationary'!$B:$J,9,FALSE)="","",VLOOKUP($B39,'I - Stationary'!$B:$J,9,FALSE))</f>
        <v>NO</v>
      </c>
      <c r="M39" s="162">
        <f>SUMIF('I - Stationary'!$B:$B,$B39,'I - Stationary'!AF:AF)</f>
        <v>0</v>
      </c>
      <c r="N39" s="162">
        <f>SUMIF('I - Stationary'!$B:$B,$B39,'I - Stationary'!AG:AG)</f>
        <v>0</v>
      </c>
      <c r="O39" s="162">
        <f>SUMIF('I - Stationary'!$B:$B,$B39,'I - Stationary'!AH:AH)</f>
        <v>0</v>
      </c>
      <c r="P39" s="163"/>
      <c r="Q39" s="163"/>
      <c r="R39" s="163"/>
      <c r="S39" s="163"/>
      <c r="T39" s="162">
        <f>SUMIF('I - Stationary'!$B:$B,$B39,'I - Stationary'!AI:AI)</f>
        <v>0</v>
      </c>
      <c r="U39" s="162">
        <f>SUMIF('I - Stationary'!$B:$B,$B39,'I - Stationary'!AJ:AJ)</f>
        <v>0</v>
      </c>
      <c r="V39" s="720" t="str">
        <f>IF(VLOOKUP($B39,'I - Stationary'!$B:$AL,32,FALSE)="","",VLOOKUP($B39,'I - Stationary'!$B:$AL,32,FALSE))</f>
        <v/>
      </c>
      <c r="W39" s="43"/>
      <c r="X39" s="43"/>
      <c r="Y39" s="43"/>
      <c r="Z39" s="43"/>
      <c r="AA39" s="43"/>
      <c r="AB39" s="43"/>
      <c r="AC39" s="43"/>
      <c r="AD39" s="43"/>
      <c r="AE39" s="43"/>
    </row>
    <row r="40" spans="1:31" s="44" customFormat="1" collapsed="1">
      <c r="A40" s="43"/>
      <c r="B40" s="93" t="s">
        <v>81</v>
      </c>
      <c r="C40" s="93">
        <v>3</v>
      </c>
      <c r="D40" s="849" t="s">
        <v>296</v>
      </c>
      <c r="E40" s="850"/>
      <c r="F40" s="850"/>
      <c r="G40" s="850"/>
      <c r="H40" s="850"/>
      <c r="I40" s="850"/>
      <c r="J40" s="850"/>
      <c r="K40" s="851"/>
      <c r="L40" s="164" t="str">
        <f>IF(VLOOKUP($B40,'I - Stationary'!$B:$J,9,FALSE)="","",VLOOKUP($B40,'I - Stationary'!$B:$J,9,FALSE))</f>
        <v>NO</v>
      </c>
      <c r="M40" s="164">
        <f>SUMIF('I - Stationary'!$B:$B,$B40,'I - Stationary'!AF:AF)</f>
        <v>0</v>
      </c>
      <c r="N40" s="164">
        <f>SUMIF('I - Stationary'!$B:$B,$B40,'I - Stationary'!AG:AG)</f>
        <v>0</v>
      </c>
      <c r="O40" s="164">
        <f>SUMIF('I - Stationary'!$B:$B,$B40,'I - Stationary'!AH:AH)</f>
        <v>0</v>
      </c>
      <c r="P40" s="163"/>
      <c r="Q40" s="163"/>
      <c r="R40" s="163"/>
      <c r="S40" s="163"/>
      <c r="T40" s="164">
        <f>SUMIF('I - Stationary'!$B:$B,$B40,'I - Stationary'!AI:AI)</f>
        <v>0</v>
      </c>
      <c r="U40" s="164">
        <f>SUMIF('I - Stationary'!$B:$B,$B40,'I - Stationary'!AJ:AJ)</f>
        <v>0</v>
      </c>
      <c r="V40" s="721" t="str">
        <f>IF(VLOOKUP($B40,'I - Stationary'!$B:$AL,32,FALSE)="","",VLOOKUP($B40,'I - Stationary'!$B:$AL,32,FALSE))</f>
        <v/>
      </c>
      <c r="W40" s="43"/>
      <c r="X40" s="43"/>
      <c r="Y40" s="43"/>
      <c r="Z40" s="43"/>
      <c r="AA40" s="43"/>
      <c r="AB40" s="43"/>
      <c r="AC40" s="43"/>
      <c r="AD40" s="43"/>
      <c r="AE40" s="43"/>
    </row>
    <row r="41" spans="1:31" s="44" customFormat="1">
      <c r="A41" s="43"/>
      <c r="B41" s="46" t="s">
        <v>82</v>
      </c>
      <c r="C41" s="213">
        <v>1</v>
      </c>
      <c r="D41" s="47" t="s">
        <v>13</v>
      </c>
      <c r="E41" s="173"/>
      <c r="F41" s="173"/>
      <c r="G41" s="173"/>
      <c r="H41" s="173"/>
      <c r="I41" s="173"/>
      <c r="J41" s="173"/>
      <c r="K41" s="173"/>
      <c r="L41" s="48"/>
      <c r="M41" s="165"/>
      <c r="N41" s="165"/>
      <c r="O41" s="165"/>
      <c r="P41" s="165"/>
      <c r="Q41" s="165"/>
      <c r="R41" s="165"/>
      <c r="S41" s="165"/>
      <c r="T41" s="165"/>
      <c r="U41" s="547"/>
      <c r="V41" s="713"/>
      <c r="W41" s="43"/>
      <c r="X41" s="43"/>
      <c r="Y41" s="43"/>
      <c r="Z41" s="43"/>
      <c r="AA41" s="43"/>
      <c r="AB41" s="43"/>
      <c r="AC41" s="43"/>
      <c r="AD41" s="43"/>
      <c r="AE41" s="43"/>
    </row>
    <row r="42" spans="1:31" s="44" customFormat="1" collapsed="1">
      <c r="A42" s="43"/>
      <c r="B42" s="90" t="s">
        <v>83</v>
      </c>
      <c r="C42" s="90">
        <v>1</v>
      </c>
      <c r="D42" s="845" t="s">
        <v>829</v>
      </c>
      <c r="E42" s="846"/>
      <c r="F42" s="846"/>
      <c r="G42" s="846"/>
      <c r="H42" s="846"/>
      <c r="I42" s="846"/>
      <c r="J42" s="846"/>
      <c r="K42" s="847"/>
      <c r="L42" s="844" t="str">
        <f>IF(VLOOKUP($B42,'I - Stationary'!$B:$J,9,FALSE)="","",VLOOKUP($B42,'I - Stationary'!$B:$J,9,FALSE))</f>
        <v>NO</v>
      </c>
      <c r="M42" s="162">
        <f>SUMIF('I - Stationary'!$B:$B,$B42,'I - Stationary'!AF:AF)</f>
        <v>0</v>
      </c>
      <c r="N42" s="162">
        <f>SUMIF('I - Stationary'!$B:$B,$B42,'I - Stationary'!AG:AG)</f>
        <v>0</v>
      </c>
      <c r="O42" s="162">
        <f>SUMIF('I - Stationary'!$B:$B,$B42,'I - Stationary'!AH:AH)</f>
        <v>0</v>
      </c>
      <c r="P42" s="163"/>
      <c r="Q42" s="163"/>
      <c r="R42" s="163"/>
      <c r="S42" s="163"/>
      <c r="T42" s="162">
        <f>SUMIF('I - Stationary'!$B:$B,$B42,'I - Stationary'!AI:AI)</f>
        <v>0</v>
      </c>
      <c r="U42" s="162">
        <f>SUMIF('I - Stationary'!$B:$B,$B42,'I - Stationary'!AJ:AJ)</f>
        <v>0</v>
      </c>
      <c r="V42" s="720" t="str">
        <f>IF(VLOOKUP($B42,'I - Stationary'!$B:$AL,32,FALSE)="","",VLOOKUP($B42,'I - Stationary'!$B:$AL,32,FALSE))</f>
        <v/>
      </c>
      <c r="W42" s="43"/>
      <c r="X42" s="43"/>
      <c r="Y42" s="43"/>
      <c r="Z42" s="43"/>
      <c r="AA42" s="43"/>
      <c r="AB42" s="43"/>
      <c r="AC42" s="43"/>
      <c r="AD42" s="43"/>
      <c r="AE42" s="43"/>
    </row>
    <row r="43" spans="1:31" s="44" customFormat="1">
      <c r="A43" s="43"/>
      <c r="B43" s="46" t="s">
        <v>85</v>
      </c>
      <c r="C43" s="213">
        <v>1</v>
      </c>
      <c r="D43" s="47" t="s">
        <v>14</v>
      </c>
      <c r="E43" s="173"/>
      <c r="F43" s="173"/>
      <c r="G43" s="173"/>
      <c r="H43" s="173"/>
      <c r="I43" s="173"/>
      <c r="J43" s="173"/>
      <c r="K43" s="173"/>
      <c r="L43" s="48"/>
      <c r="M43" s="165"/>
      <c r="N43" s="165"/>
      <c r="O43" s="165"/>
      <c r="P43" s="165"/>
      <c r="Q43" s="165"/>
      <c r="R43" s="165"/>
      <c r="S43" s="165"/>
      <c r="T43" s="165"/>
      <c r="U43" s="547"/>
      <c r="V43" s="713"/>
      <c r="W43" s="43"/>
      <c r="X43" s="43"/>
      <c r="Y43" s="43"/>
      <c r="Z43" s="43"/>
      <c r="AA43" s="43"/>
      <c r="AB43" s="43"/>
      <c r="AC43" s="43"/>
      <c r="AD43" s="43"/>
      <c r="AE43" s="43"/>
    </row>
    <row r="44" spans="1:31" s="44" customFormat="1" collapsed="1">
      <c r="A44" s="43"/>
      <c r="B44" s="90" t="s">
        <v>86</v>
      </c>
      <c r="C44" s="90">
        <v>1</v>
      </c>
      <c r="D44" s="845" t="s">
        <v>827</v>
      </c>
      <c r="E44" s="846"/>
      <c r="F44" s="846"/>
      <c r="G44" s="846"/>
      <c r="H44" s="846"/>
      <c r="I44" s="846"/>
      <c r="J44" s="846"/>
      <c r="K44" s="847"/>
      <c r="L44" s="844" t="str">
        <f>IF(VLOOKUP($B44,'I - Stationary'!$B:$J,9,FALSE)="","",VLOOKUP($B44,'I - Stationary'!$B:$J,9,FALSE))</f>
        <v/>
      </c>
      <c r="M44" s="162">
        <f>SUMIF('I - Stationary'!$B:$B,$B44,'I - Stationary'!AF:AF)</f>
        <v>19.125000005354998</v>
      </c>
      <c r="N44" s="162">
        <f>SUMIF('I - Stationary'!$B:$B,$B44,'I - Stationary'!AG:AG)</f>
        <v>11550.000003233999</v>
      </c>
      <c r="O44" s="162">
        <f>SUMIF('I - Stationary'!$B:$B,$B44,'I - Stationary'!AH:AH)</f>
        <v>0</v>
      </c>
      <c r="P44" s="163"/>
      <c r="Q44" s="163"/>
      <c r="R44" s="163"/>
      <c r="S44" s="163"/>
      <c r="T44" s="162">
        <f>SUMIF('I - Stationary'!$B:$B,$B44,'I - Stationary'!AI:AI)</f>
        <v>11569.125003239355</v>
      </c>
      <c r="U44" s="162">
        <f>SUMIF('I - Stationary'!$B:$B,$B44,'I - Stationary'!AJ:AJ)</f>
        <v>0</v>
      </c>
      <c r="V44" s="720" t="str">
        <f>IF(VLOOKUP($B44,'I - Stationary'!$B:$AL,32,FALSE)="","",VLOOKUP($B44,'I - Stationary'!$B:$AL,32,FALSE))</f>
        <v/>
      </c>
      <c r="W44" s="43"/>
      <c r="X44" s="43"/>
      <c r="Y44" s="43"/>
      <c r="Z44" s="43"/>
      <c r="AA44" s="43"/>
      <c r="AB44" s="43"/>
      <c r="AC44" s="43"/>
      <c r="AD44" s="43"/>
      <c r="AE44" s="43"/>
    </row>
    <row r="45" spans="1:31" s="44" customFormat="1">
      <c r="A45" s="43"/>
      <c r="B45" s="46" t="s">
        <v>87</v>
      </c>
      <c r="C45" s="46"/>
      <c r="D45" s="47" t="s">
        <v>15</v>
      </c>
      <c r="E45" s="173"/>
      <c r="F45" s="173"/>
      <c r="G45" s="173"/>
      <c r="H45" s="173"/>
      <c r="I45" s="173"/>
      <c r="J45" s="173"/>
      <c r="K45" s="173"/>
      <c r="L45" s="48"/>
      <c r="M45" s="165"/>
      <c r="N45" s="165"/>
      <c r="O45" s="165"/>
      <c r="P45" s="165"/>
      <c r="Q45" s="165"/>
      <c r="R45" s="165"/>
      <c r="S45" s="165"/>
      <c r="T45" s="165"/>
      <c r="U45" s="547"/>
      <c r="V45" s="713"/>
      <c r="W45" s="43"/>
      <c r="X45" s="43"/>
      <c r="Y45" s="43"/>
      <c r="Z45" s="43"/>
      <c r="AA45" s="43"/>
      <c r="AB45" s="43"/>
      <c r="AC45" s="43"/>
      <c r="AD45" s="43"/>
      <c r="AE45" s="43"/>
    </row>
    <row r="46" spans="1:31" s="44" customFormat="1">
      <c r="A46" s="43"/>
      <c r="B46" s="46" t="s">
        <v>88</v>
      </c>
      <c r="C46" s="46"/>
      <c r="D46" s="47" t="s">
        <v>89</v>
      </c>
      <c r="E46" s="173"/>
      <c r="F46" s="173"/>
      <c r="G46" s="173"/>
      <c r="H46" s="173"/>
      <c r="I46" s="173"/>
      <c r="J46" s="173"/>
      <c r="K46" s="173"/>
      <c r="L46" s="48"/>
      <c r="M46" s="165"/>
      <c r="N46" s="165"/>
      <c r="O46" s="165"/>
      <c r="P46" s="165"/>
      <c r="Q46" s="165"/>
      <c r="R46" s="165"/>
      <c r="S46" s="165"/>
      <c r="T46" s="165"/>
      <c r="U46" s="547"/>
      <c r="V46" s="713"/>
      <c r="W46" s="43"/>
      <c r="X46" s="43"/>
      <c r="Y46" s="43"/>
      <c r="Z46" s="43"/>
      <c r="AA46" s="43"/>
      <c r="AB46" s="43"/>
      <c r="AC46" s="43"/>
      <c r="AD46" s="43"/>
      <c r="AE46" s="43"/>
    </row>
    <row r="47" spans="1:31" s="44" customFormat="1">
      <c r="A47" s="43"/>
      <c r="B47" s="90" t="s">
        <v>90</v>
      </c>
      <c r="C47" s="90">
        <v>1</v>
      </c>
      <c r="D47" s="845" t="s">
        <v>91</v>
      </c>
      <c r="E47" s="846"/>
      <c r="F47" s="846"/>
      <c r="G47" s="846"/>
      <c r="H47" s="846"/>
      <c r="I47" s="846"/>
      <c r="J47" s="846"/>
      <c r="K47" s="847"/>
      <c r="L47" s="91" t="str">
        <f>IF(VLOOKUP(B47,'II - Transport'!$B:$L,11,FALSE)="","",VLOOKUP(B47,'II - Transport'!$B:$L,11,FALSE))</f>
        <v/>
      </c>
      <c r="M47" s="162">
        <f>SUMIF('II - Transport'!$B:$B,$B47,'II - Transport'!AH:AH)</f>
        <v>2773342.7988999998</v>
      </c>
      <c r="N47" s="162">
        <f>SUMIF('II - Transport'!$B:$B,$B47,'II - Transport'!AI:AI)</f>
        <v>2072.4743552</v>
      </c>
      <c r="O47" s="162">
        <f>SUMIF('II - Transport'!$B:$B,$B47,'II - Transport'!AJ:AJ)</f>
        <v>15683.66804</v>
      </c>
      <c r="P47" s="163"/>
      <c r="Q47" s="163"/>
      <c r="R47" s="163"/>
      <c r="S47" s="163"/>
      <c r="T47" s="162">
        <f>SUMIF('II - Transport'!$B:$B,$B47,'II - Transport'!AK:AK)</f>
        <v>2791098.9412952</v>
      </c>
      <c r="U47" s="162">
        <f>SUMIF('II - Transport'!$B:$B,$B47,'II - Transport'!AL:AL)</f>
        <v>0</v>
      </c>
      <c r="V47" s="720" t="str">
        <f>IF(VLOOKUP($B47,'II - Transport'!$B:$AN,33,FALSE)="","",VLOOKUP($B47,'II - Transport'!$B:$AN,33,FALSE))</f>
        <v/>
      </c>
      <c r="W47" s="43"/>
      <c r="X47" s="43"/>
      <c r="Y47" s="43"/>
      <c r="Z47" s="43"/>
      <c r="AA47" s="43"/>
      <c r="AB47" s="43"/>
      <c r="AC47" s="43"/>
      <c r="AD47" s="43"/>
      <c r="AE47" s="43"/>
    </row>
    <row r="48" spans="1:31" s="44" customFormat="1">
      <c r="A48" s="43"/>
      <c r="B48" s="90" t="s">
        <v>92</v>
      </c>
      <c r="C48" s="90">
        <v>2</v>
      </c>
      <c r="D48" s="845" t="s">
        <v>93</v>
      </c>
      <c r="E48" s="846"/>
      <c r="F48" s="846"/>
      <c r="G48" s="846"/>
      <c r="H48" s="846"/>
      <c r="I48" s="846"/>
      <c r="J48" s="846"/>
      <c r="K48" s="847"/>
      <c r="L48" s="91" t="str">
        <f>IF(VLOOKUP(B48,'II - Transport'!$B:$L,11,FALSE)="","",VLOOKUP(B48,'II - Transport'!$B:$L,11,FALSE))</f>
        <v>IE</v>
      </c>
      <c r="M48" s="162">
        <f>SUMIF('II - Transport'!$B:$B,$B48,'II - Transport'!AH:AH)</f>
        <v>0</v>
      </c>
      <c r="N48" s="162">
        <f>SUMIF('II - Transport'!$B:$B,$B48,'II - Transport'!AI:AI)</f>
        <v>0</v>
      </c>
      <c r="O48" s="162">
        <f>SUMIF('II - Transport'!$B:$B,$B48,'II - Transport'!AJ:AJ)</f>
        <v>0</v>
      </c>
      <c r="P48" s="163"/>
      <c r="Q48" s="163"/>
      <c r="R48" s="163"/>
      <c r="S48" s="163"/>
      <c r="T48" s="162">
        <f>SUMIF('II - Transport'!$B:$B,$B48,'II - Transport'!AK:AK)</f>
        <v>0</v>
      </c>
      <c r="U48" s="162">
        <f>SUMIF('II - Transport'!$B:$B,$B48,'II - Transport'!AL:AL)</f>
        <v>0</v>
      </c>
      <c r="V48" s="720" t="str">
        <f>IF(VLOOKUP($B48,'II - Transport'!$B:$AN,33,FALSE)="","",VLOOKUP($B48,'II - Transport'!$B:$AN,33,FALSE))</f>
        <v/>
      </c>
      <c r="W48" s="43"/>
      <c r="X48" s="43"/>
      <c r="Y48" s="43"/>
      <c r="Z48" s="43"/>
      <c r="AA48" s="43"/>
      <c r="AB48" s="43"/>
      <c r="AC48" s="43"/>
      <c r="AD48" s="43"/>
      <c r="AE48" s="43"/>
    </row>
    <row r="49" spans="1:31" s="44" customFormat="1">
      <c r="A49" s="43"/>
      <c r="B49" s="93" t="s">
        <v>94</v>
      </c>
      <c r="C49" s="93">
        <v>3</v>
      </c>
      <c r="D49" s="849" t="s">
        <v>828</v>
      </c>
      <c r="E49" s="850"/>
      <c r="F49" s="850"/>
      <c r="G49" s="850"/>
      <c r="H49" s="850"/>
      <c r="I49" s="850"/>
      <c r="J49" s="850"/>
      <c r="K49" s="851"/>
      <c r="L49" s="164" t="str">
        <f>IF(VLOOKUP(B49,'II - Transport'!$B:$L,11,FALSE)="","",VLOOKUP(B49,'II - Transport'!$B:$L,11,FALSE))</f>
        <v>NE</v>
      </c>
      <c r="M49" s="164">
        <f>SUMIF('II - Transport'!$B:$B,$B49,'II - Transport'!AH:AH)</f>
        <v>0</v>
      </c>
      <c r="N49" s="164">
        <f>SUMIF('II - Transport'!$B:$B,$B49,'II - Transport'!AI:AI)</f>
        <v>0</v>
      </c>
      <c r="O49" s="164">
        <f>SUMIF('II - Transport'!$B:$B,$B49,'II - Transport'!AJ:AJ)</f>
        <v>0</v>
      </c>
      <c r="P49" s="163"/>
      <c r="Q49" s="163"/>
      <c r="R49" s="163"/>
      <c r="S49" s="163"/>
      <c r="T49" s="164">
        <f>SUMIF('II - Transport'!$B:$B,$B49,'II - Transport'!AK:AK)</f>
        <v>0</v>
      </c>
      <c r="U49" s="164">
        <f>SUMIF('II - Transport'!$B:$B,$B49,'II - Transport'!AL:AL)</f>
        <v>0</v>
      </c>
      <c r="V49" s="721" t="str">
        <f>IF(VLOOKUP($B49,'II - Transport'!$B:$AN,33,FALSE)="","",VLOOKUP($B49,'II - Transport'!$B:$AN,33,FALSE))</f>
        <v/>
      </c>
      <c r="W49" s="43"/>
      <c r="X49" s="43"/>
      <c r="Y49" s="43"/>
      <c r="Z49" s="43"/>
      <c r="AA49" s="43"/>
      <c r="AB49" s="43"/>
      <c r="AC49" s="43"/>
      <c r="AD49" s="43"/>
      <c r="AE49" s="43"/>
    </row>
    <row r="50" spans="1:31" s="44" customFormat="1">
      <c r="A50" s="43"/>
      <c r="B50" s="46" t="s">
        <v>95</v>
      </c>
      <c r="C50" s="46"/>
      <c r="D50" s="47" t="s">
        <v>17</v>
      </c>
      <c r="E50" s="173"/>
      <c r="F50" s="173"/>
      <c r="G50" s="173"/>
      <c r="H50" s="173"/>
      <c r="I50" s="173"/>
      <c r="J50" s="173"/>
      <c r="K50" s="173"/>
      <c r="L50" s="48"/>
      <c r="M50" s="165"/>
      <c r="N50" s="165"/>
      <c r="O50" s="165"/>
      <c r="P50" s="165"/>
      <c r="Q50" s="165"/>
      <c r="R50" s="165"/>
      <c r="S50" s="165"/>
      <c r="T50" s="165"/>
      <c r="U50" s="547"/>
      <c r="V50" s="713"/>
      <c r="W50" s="43"/>
      <c r="X50" s="43"/>
      <c r="Y50" s="43"/>
      <c r="Z50" s="43"/>
      <c r="AA50" s="43"/>
      <c r="AB50" s="43"/>
      <c r="AC50" s="43"/>
      <c r="AD50" s="43"/>
      <c r="AE50" s="43"/>
    </row>
    <row r="51" spans="1:31" s="44" customFormat="1" collapsed="1">
      <c r="A51" s="43"/>
      <c r="B51" s="90" t="s">
        <v>96</v>
      </c>
      <c r="C51" s="90">
        <v>1</v>
      </c>
      <c r="D51" s="845" t="s">
        <v>97</v>
      </c>
      <c r="E51" s="846"/>
      <c r="F51" s="846"/>
      <c r="G51" s="846"/>
      <c r="H51" s="846"/>
      <c r="I51" s="846"/>
      <c r="J51" s="846"/>
      <c r="K51" s="847"/>
      <c r="L51" s="91" t="str">
        <f>IF(VLOOKUP(B51,'II - Transport'!$B:$L,11,FALSE)="","",VLOOKUP(B51,'II - Transport'!$B:$L,11,FALSE))</f>
        <v/>
      </c>
      <c r="M51" s="162">
        <f>SUMIF('II - Transport'!$B:$B,$B51,'II - Transport'!AH:AH)</f>
        <v>583418.14</v>
      </c>
      <c r="N51" s="162">
        <f>SUMIF('II - Transport'!$B:$B,$B51,'II - Transport'!AI:AI)</f>
        <v>186.69380480000001</v>
      </c>
      <c r="O51" s="162">
        <f>SUMIF('II - Transport'!$B:$B,$B51,'II - Transport'!AJ:AJ)</f>
        <v>4667.3451200000009</v>
      </c>
      <c r="P51" s="163"/>
      <c r="Q51" s="163"/>
      <c r="R51" s="163"/>
      <c r="S51" s="163"/>
      <c r="T51" s="162">
        <f>SUMIF('II - Transport'!$B:$B,$B51,'II - Transport'!AK:AK)</f>
        <v>588272.17892480001</v>
      </c>
      <c r="U51" s="162">
        <f>SUMIF('II - Transport'!$B:$B,$B51,'II - Transport'!AL:AL)</f>
        <v>0</v>
      </c>
      <c r="V51" s="720" t="str">
        <f>IF(VLOOKUP($B51,'II - Transport'!$B:$AN,33,FALSE)="","",VLOOKUP($B51,'II - Transport'!$B:$AN,33,FALSE))</f>
        <v/>
      </c>
      <c r="W51" s="43"/>
      <c r="X51" s="43"/>
      <c r="Y51" s="43"/>
      <c r="Z51" s="43"/>
      <c r="AA51" s="43"/>
      <c r="AB51" s="43"/>
      <c r="AC51" s="43"/>
      <c r="AD51" s="43"/>
      <c r="AE51" s="43"/>
    </row>
    <row r="52" spans="1:31" s="44" customFormat="1" collapsed="1">
      <c r="A52" s="43"/>
      <c r="B52" s="90" t="s">
        <v>98</v>
      </c>
      <c r="C52" s="90">
        <v>2</v>
      </c>
      <c r="D52" s="845" t="s">
        <v>99</v>
      </c>
      <c r="E52" s="846"/>
      <c r="F52" s="846"/>
      <c r="G52" s="846"/>
      <c r="H52" s="846"/>
      <c r="I52" s="846"/>
      <c r="J52" s="846"/>
      <c r="K52" s="847"/>
      <c r="L52" s="91" t="str">
        <f>IF(VLOOKUP(B52,'II - Transport'!$B:$L,11,FALSE)="","",VLOOKUP(B52,'II - Transport'!$B:$L,11,FALSE))</f>
        <v/>
      </c>
      <c r="M52" s="162">
        <f>SUMIF('II - Transport'!$B:$B,$B52,'II - Transport'!AH:AH)</f>
        <v>270869.8688</v>
      </c>
      <c r="N52" s="162">
        <f>SUMIF('II - Transport'!$B:$B,$B52,'II - Transport'!AI:AI)</f>
        <v>203.15240159999999</v>
      </c>
      <c r="O52" s="162">
        <f>SUMIF('II - Transport'!$B:$B,$B52,'II - Transport'!AJ:AJ)</f>
        <v>2031.5240160000001</v>
      </c>
      <c r="P52" s="163"/>
      <c r="Q52" s="163"/>
      <c r="R52" s="163"/>
      <c r="S52" s="163"/>
      <c r="T52" s="162">
        <f>SUMIF('II - Transport'!$B:$B,$B52,'II - Transport'!AK:AK)</f>
        <v>273104.54521759995</v>
      </c>
      <c r="U52" s="162">
        <f>SUMIF('II - Transport'!$B:$B,$B52,'II - Transport'!AL:AL)</f>
        <v>0</v>
      </c>
      <c r="V52" s="720" t="str">
        <f>IF(VLOOKUP($B52,'II - Transport'!$B:$AN,33,FALSE)="","",VLOOKUP($B52,'II - Transport'!$B:$AN,33,FALSE))</f>
        <v/>
      </c>
      <c r="W52" s="43"/>
      <c r="X52" s="43"/>
      <c r="Y52" s="43"/>
      <c r="Z52" s="43"/>
      <c r="AA52" s="43"/>
      <c r="AB52" s="43"/>
      <c r="AC52" s="43"/>
      <c r="AD52" s="43"/>
      <c r="AE52" s="43"/>
    </row>
    <row r="53" spans="1:31" s="44" customFormat="1" collapsed="1">
      <c r="A53" s="43"/>
      <c r="B53" s="93" t="s">
        <v>100</v>
      </c>
      <c r="C53" s="93">
        <v>3</v>
      </c>
      <c r="D53" s="849" t="s">
        <v>828</v>
      </c>
      <c r="E53" s="850"/>
      <c r="F53" s="850"/>
      <c r="G53" s="850"/>
      <c r="H53" s="850"/>
      <c r="I53" s="850"/>
      <c r="J53" s="850"/>
      <c r="K53" s="851"/>
      <c r="L53" s="164" t="str">
        <f>IF(VLOOKUP(B53,'II - Transport'!$B:$L,11,FALSE)="","",VLOOKUP(B53,'II - Transport'!$B:$L,11,FALSE))</f>
        <v>NE</v>
      </c>
      <c r="M53" s="164">
        <f>SUMIF('II - Transport'!$B:$B,$B53,'II - Transport'!AH:AH)</f>
        <v>0</v>
      </c>
      <c r="N53" s="164">
        <f>SUMIF('II - Transport'!$B:$B,$B53,'II - Transport'!AI:AI)</f>
        <v>0</v>
      </c>
      <c r="O53" s="164">
        <f>SUMIF('II - Transport'!$B:$B,$B53,'II - Transport'!AJ:AJ)</f>
        <v>0</v>
      </c>
      <c r="P53" s="163"/>
      <c r="Q53" s="163"/>
      <c r="R53" s="163"/>
      <c r="S53" s="163"/>
      <c r="T53" s="164">
        <f>SUMIF('II - Transport'!$B:$B,$B53,'II - Transport'!AK:AK)</f>
        <v>0</v>
      </c>
      <c r="U53" s="164">
        <f>SUMIF('II - Transport'!$B:$B,$B53,'II - Transport'!AL:AL)</f>
        <v>0</v>
      </c>
      <c r="V53" s="721" t="str">
        <f>IF(VLOOKUP($B53,'II - Transport'!$B:$AN,33,FALSE)="","",VLOOKUP($B53,'II - Transport'!$B:$AN,33,FALSE))</f>
        <v/>
      </c>
      <c r="W53" s="43"/>
      <c r="X53" s="43"/>
      <c r="Y53" s="43"/>
      <c r="Z53" s="43"/>
      <c r="AA53" s="43"/>
      <c r="AB53" s="43"/>
      <c r="AC53" s="43"/>
      <c r="AD53" s="43"/>
      <c r="AE53" s="43"/>
    </row>
    <row r="54" spans="1:31" s="44" customFormat="1">
      <c r="A54" s="43"/>
      <c r="B54" s="46" t="s">
        <v>101</v>
      </c>
      <c r="C54" s="46"/>
      <c r="D54" s="47" t="s">
        <v>18</v>
      </c>
      <c r="E54" s="173"/>
      <c r="F54" s="173"/>
      <c r="G54" s="173"/>
      <c r="H54" s="173"/>
      <c r="I54" s="173"/>
      <c r="J54" s="173"/>
      <c r="K54" s="173"/>
      <c r="L54" s="48"/>
      <c r="M54" s="165"/>
      <c r="N54" s="165"/>
      <c r="O54" s="165"/>
      <c r="P54" s="165"/>
      <c r="Q54" s="165"/>
      <c r="R54" s="165"/>
      <c r="S54" s="165"/>
      <c r="T54" s="165"/>
      <c r="U54" s="547"/>
      <c r="V54" s="713"/>
      <c r="W54" s="43"/>
      <c r="X54" s="43"/>
      <c r="Y54" s="43"/>
      <c r="Z54" s="43"/>
      <c r="AA54" s="43"/>
      <c r="AB54" s="43"/>
      <c r="AC54" s="43"/>
      <c r="AD54" s="43"/>
      <c r="AE54" s="43"/>
    </row>
    <row r="55" spans="1:31" s="44" customFormat="1">
      <c r="A55" s="43"/>
      <c r="B55" s="90" t="s">
        <v>102</v>
      </c>
      <c r="C55" s="90">
        <v>1</v>
      </c>
      <c r="D55" s="845" t="s">
        <v>103</v>
      </c>
      <c r="E55" s="846"/>
      <c r="F55" s="846"/>
      <c r="G55" s="846"/>
      <c r="H55" s="846"/>
      <c r="I55" s="846"/>
      <c r="J55" s="846"/>
      <c r="K55" s="847"/>
      <c r="L55" s="91" t="str">
        <f>IF(VLOOKUP(B55,'II - Transport'!$B:$L,11,FALSE)="","",VLOOKUP(B55,'II - Transport'!$B:$L,11,FALSE))</f>
        <v/>
      </c>
      <c r="M55" s="162">
        <f>SUMIF('II - Transport'!$B:$B,$B55,'II - Transport'!AH:AH)</f>
        <v>18856.28122283745</v>
      </c>
      <c r="N55" s="162">
        <f>SUMIF('II - Transport'!$B:$B,$B55,'II - Transport'!AI:AI)</f>
        <v>17.527682861904999</v>
      </c>
      <c r="O55" s="162">
        <f>SUMIF('II - Transport'!$B:$B,$B55,'II - Transport'!AJ:AJ)</f>
        <v>1384.6869460904948</v>
      </c>
      <c r="P55" s="163"/>
      <c r="Q55" s="163"/>
      <c r="R55" s="163"/>
      <c r="S55" s="163"/>
      <c r="T55" s="162">
        <f>SUMIF('II - Transport'!$B:$B,$B55,'II - Transport'!AK:AK)</f>
        <v>20258.495851789849</v>
      </c>
      <c r="U55" s="162">
        <f>SUMIF('II - Transport'!$B:$B,$B55,'II - Transport'!AL:AL)</f>
        <v>0</v>
      </c>
      <c r="V55" s="720" t="str">
        <f>IF(VLOOKUP($B55,'II - Transport'!$B:$AN,33,FALSE)="","",VLOOKUP($B55,'II - Transport'!$B:$AN,33,FALSE))</f>
        <v/>
      </c>
      <c r="W55" s="43"/>
      <c r="X55" s="43"/>
      <c r="Y55" s="43"/>
      <c r="Z55" s="43"/>
      <c r="AA55" s="43"/>
      <c r="AB55" s="43"/>
      <c r="AC55" s="43"/>
      <c r="AD55" s="43"/>
      <c r="AE55" s="43"/>
    </row>
    <row r="56" spans="1:31" s="44" customFormat="1">
      <c r="A56" s="43"/>
      <c r="B56" s="90" t="s">
        <v>104</v>
      </c>
      <c r="C56" s="90">
        <v>2</v>
      </c>
      <c r="D56" s="845" t="s">
        <v>105</v>
      </c>
      <c r="E56" s="846"/>
      <c r="F56" s="846"/>
      <c r="G56" s="846"/>
      <c r="H56" s="846"/>
      <c r="I56" s="846"/>
      <c r="J56" s="846"/>
      <c r="K56" s="847"/>
      <c r="L56" s="91" t="str">
        <f>IF(VLOOKUP(B56,'II - Transport'!$B:$L,11,FALSE)="","",VLOOKUP(B56,'II - Transport'!$B:$L,11,FALSE))</f>
        <v>NO</v>
      </c>
      <c r="M56" s="162">
        <f>SUMIF('II - Transport'!$B:$B,$B56,'II - Transport'!AH:AH)</f>
        <v>0</v>
      </c>
      <c r="N56" s="162">
        <f>SUMIF('II - Transport'!$B:$B,$B56,'II - Transport'!AI:AI)</f>
        <v>0</v>
      </c>
      <c r="O56" s="162">
        <f>SUMIF('II - Transport'!$B:$B,$B56,'II - Transport'!AJ:AJ)</f>
        <v>0</v>
      </c>
      <c r="P56" s="163"/>
      <c r="Q56" s="163"/>
      <c r="R56" s="163"/>
      <c r="S56" s="163"/>
      <c r="T56" s="162">
        <f>SUMIF('II - Transport'!$B:$B,$B56,'II - Transport'!AK:AK)</f>
        <v>0</v>
      </c>
      <c r="U56" s="162">
        <f>SUMIF('II - Transport'!$B:$B,$B56,'II - Transport'!AL:AL)</f>
        <v>0</v>
      </c>
      <c r="V56" s="720" t="str">
        <f>IF(VLOOKUP($B56,'II - Transport'!$B:$AN,33,FALSE)="","",VLOOKUP($B56,'II - Transport'!$B:$AN,33,FALSE))</f>
        <v/>
      </c>
      <c r="W56" s="43"/>
      <c r="X56" s="43"/>
      <c r="Y56" s="43"/>
      <c r="Z56" s="43"/>
      <c r="AA56" s="43"/>
      <c r="AB56" s="43"/>
      <c r="AC56" s="43"/>
      <c r="AD56" s="43"/>
      <c r="AE56" s="43"/>
    </row>
    <row r="57" spans="1:31" s="44" customFormat="1">
      <c r="A57" s="43"/>
      <c r="B57" s="93" t="s">
        <v>106</v>
      </c>
      <c r="C57" s="93">
        <v>3</v>
      </c>
      <c r="D57" s="849" t="s">
        <v>828</v>
      </c>
      <c r="E57" s="850"/>
      <c r="F57" s="850"/>
      <c r="G57" s="850"/>
      <c r="H57" s="850"/>
      <c r="I57" s="850"/>
      <c r="J57" s="850"/>
      <c r="K57" s="851"/>
      <c r="L57" s="164" t="str">
        <f>IF(VLOOKUP(B57,'II - Transport'!$B:$L,11,FALSE)="","",VLOOKUP(B57,'II - Transport'!$B:$L,11,FALSE))</f>
        <v>NE</v>
      </c>
      <c r="M57" s="164">
        <f>SUMIF('II - Transport'!$B:$B,$B57,'II - Transport'!AH:AH)</f>
        <v>0</v>
      </c>
      <c r="N57" s="164">
        <f>SUMIF('II - Transport'!$B:$B,$B57,'II - Transport'!AI:AI)</f>
        <v>0</v>
      </c>
      <c r="O57" s="164">
        <f>SUMIF('II - Transport'!$B:$B,$B57,'II - Transport'!AJ:AJ)</f>
        <v>0</v>
      </c>
      <c r="P57" s="163"/>
      <c r="Q57" s="163"/>
      <c r="R57" s="163"/>
      <c r="S57" s="163"/>
      <c r="T57" s="164">
        <f>SUMIF('II - Transport'!$B:$B,$B57,'II - Transport'!AK:AK)</f>
        <v>0</v>
      </c>
      <c r="U57" s="164">
        <f>SUMIF('II - Transport'!$B:$B,$B57,'II - Transport'!AL:AL)</f>
        <v>0</v>
      </c>
      <c r="V57" s="721" t="str">
        <f>IF(VLOOKUP($B57,'II - Transport'!$B:$AN,33,FALSE)="","",VLOOKUP($B57,'II - Transport'!$B:$AN,33,FALSE))</f>
        <v/>
      </c>
      <c r="W57" s="43"/>
      <c r="X57" s="43"/>
      <c r="Y57" s="43"/>
      <c r="Z57" s="43"/>
      <c r="AA57" s="43"/>
      <c r="AB57" s="43"/>
      <c r="AC57" s="43"/>
      <c r="AD57" s="43"/>
      <c r="AE57" s="43"/>
    </row>
    <row r="58" spans="1:31" s="44" customFormat="1">
      <c r="A58" s="43"/>
      <c r="B58" s="46" t="s">
        <v>107</v>
      </c>
      <c r="C58" s="46"/>
      <c r="D58" s="47" t="s">
        <v>19</v>
      </c>
      <c r="E58" s="173"/>
      <c r="F58" s="173"/>
      <c r="G58" s="173"/>
      <c r="H58" s="173"/>
      <c r="I58" s="173"/>
      <c r="J58" s="173"/>
      <c r="K58" s="173"/>
      <c r="L58" s="48"/>
      <c r="M58" s="165"/>
      <c r="N58" s="165"/>
      <c r="O58" s="165"/>
      <c r="P58" s="165"/>
      <c r="Q58" s="165"/>
      <c r="R58" s="165"/>
      <c r="S58" s="165"/>
      <c r="T58" s="165"/>
      <c r="U58" s="547"/>
      <c r="V58" s="713"/>
      <c r="W58" s="43"/>
      <c r="X58" s="43"/>
      <c r="Y58" s="43"/>
      <c r="Z58" s="43"/>
      <c r="AA58" s="43"/>
      <c r="AB58" s="43"/>
      <c r="AC58" s="43"/>
      <c r="AD58" s="43"/>
      <c r="AE58" s="43"/>
    </row>
    <row r="59" spans="1:31" s="44" customFormat="1">
      <c r="A59" s="43"/>
      <c r="B59" s="90" t="s">
        <v>108</v>
      </c>
      <c r="C59" s="90">
        <v>1</v>
      </c>
      <c r="D59" s="845" t="s">
        <v>109</v>
      </c>
      <c r="E59" s="846"/>
      <c r="F59" s="846"/>
      <c r="G59" s="846"/>
      <c r="H59" s="846"/>
      <c r="I59" s="846"/>
      <c r="J59" s="846"/>
      <c r="K59" s="847"/>
      <c r="L59" s="91" t="str">
        <f>IF(VLOOKUP(B59,'II - Transport'!$B:$L,11,FALSE)="","",VLOOKUP(B59,'II - Transport'!$B:$L,11,FALSE))</f>
        <v>NO</v>
      </c>
      <c r="M59" s="162">
        <f>SUMIF('II - Transport'!$B:$B,$B59,'II - Transport'!AH:AH)</f>
        <v>0</v>
      </c>
      <c r="N59" s="162">
        <f>SUMIF('II - Transport'!$B:$B,$B59,'II - Transport'!AI:AI)</f>
        <v>0</v>
      </c>
      <c r="O59" s="162">
        <f>SUMIF('II - Transport'!$B:$B,$B59,'II - Transport'!AJ:AJ)</f>
        <v>0</v>
      </c>
      <c r="P59" s="163"/>
      <c r="Q59" s="163"/>
      <c r="R59" s="163"/>
      <c r="S59" s="163"/>
      <c r="T59" s="162">
        <f>SUMIF('II - Transport'!$B:$B,$B59,'II - Transport'!AK:AK)</f>
        <v>0</v>
      </c>
      <c r="U59" s="162">
        <f>SUMIF('II - Transport'!$B:$B,$B59,'II - Transport'!AL:AL)</f>
        <v>0</v>
      </c>
      <c r="V59" s="720" t="str">
        <f>IF(VLOOKUP($B59,'II - Transport'!$B:$AN,33,FALSE)="","",VLOOKUP($B59,'II - Transport'!$B:$AN,33,FALSE))</f>
        <v/>
      </c>
      <c r="W59" s="43"/>
      <c r="X59" s="43"/>
      <c r="Y59" s="43"/>
      <c r="Z59" s="43"/>
      <c r="AA59" s="43"/>
      <c r="AB59" s="43"/>
      <c r="AC59" s="43"/>
      <c r="AD59" s="43"/>
      <c r="AE59" s="43"/>
    </row>
    <row r="60" spans="1:31" s="44" customFormat="1">
      <c r="A60" s="43"/>
      <c r="B60" s="90" t="s">
        <v>110</v>
      </c>
      <c r="C60" s="90">
        <v>2</v>
      </c>
      <c r="D60" s="845" t="s">
        <v>111</v>
      </c>
      <c r="E60" s="846"/>
      <c r="F60" s="846"/>
      <c r="G60" s="846"/>
      <c r="H60" s="846"/>
      <c r="I60" s="846"/>
      <c r="J60" s="846"/>
      <c r="K60" s="847"/>
      <c r="L60" s="91" t="str">
        <f>IF(VLOOKUP(B60,'II - Transport'!$B:$L,11,FALSE)="","",VLOOKUP(B60,'II - Transport'!$B:$L,11,FALSE))</f>
        <v>NO</v>
      </c>
      <c r="M60" s="162">
        <f>SUMIF('II - Transport'!$B:$B,$B60,'II - Transport'!AH:AH)</f>
        <v>0</v>
      </c>
      <c r="N60" s="162">
        <f>SUMIF('II - Transport'!$B:$B,$B60,'II - Transport'!AI:AI)</f>
        <v>0</v>
      </c>
      <c r="O60" s="162">
        <f>SUMIF('II - Transport'!$B:$B,$B60,'II - Transport'!AJ:AJ)</f>
        <v>0</v>
      </c>
      <c r="P60" s="163"/>
      <c r="Q60" s="163"/>
      <c r="R60" s="163"/>
      <c r="S60" s="163"/>
      <c r="T60" s="162">
        <f>SUMIF('II - Transport'!$B:$B,$B60,'II - Transport'!AK:AK)</f>
        <v>0</v>
      </c>
      <c r="U60" s="162">
        <f>SUMIF('II - Transport'!$B:$B,$B60,'II - Transport'!AL:AL)</f>
        <v>0</v>
      </c>
      <c r="V60" s="720" t="str">
        <f>IF(VLOOKUP($B60,'II - Transport'!$B:$AN,33,FALSE)="","",VLOOKUP($B60,'II - Transport'!$B:$AN,33,FALSE))</f>
        <v/>
      </c>
      <c r="W60" s="43"/>
      <c r="X60" s="43"/>
      <c r="Y60" s="43"/>
      <c r="Z60" s="43"/>
      <c r="AA60" s="43"/>
      <c r="AB60" s="43"/>
      <c r="AC60" s="43"/>
      <c r="AD60" s="43"/>
      <c r="AE60" s="43"/>
    </row>
    <row r="61" spans="1:31" s="44" customFormat="1">
      <c r="A61" s="43"/>
      <c r="B61" s="93" t="s">
        <v>112</v>
      </c>
      <c r="C61" s="93">
        <v>3</v>
      </c>
      <c r="D61" s="849" t="s">
        <v>828</v>
      </c>
      <c r="E61" s="850"/>
      <c r="F61" s="850"/>
      <c r="G61" s="850"/>
      <c r="H61" s="850"/>
      <c r="I61" s="850"/>
      <c r="J61" s="850"/>
      <c r="K61" s="851"/>
      <c r="L61" s="164" t="str">
        <f>IF(VLOOKUP(B61,'II - Transport'!$B:$L,11,FALSE)="","",VLOOKUP(B61,'II - Transport'!$B:$L,11,FALSE))</f>
        <v>NO</v>
      </c>
      <c r="M61" s="164">
        <f>SUMIF('II - Transport'!$B:$B,$B61,'II - Transport'!AH:AH)</f>
        <v>0</v>
      </c>
      <c r="N61" s="164">
        <f>SUMIF('II - Transport'!$B:$B,$B61,'II - Transport'!AI:AI)</f>
        <v>0</v>
      </c>
      <c r="O61" s="164">
        <f>SUMIF('II - Transport'!$B:$B,$B61,'II - Transport'!AJ:AJ)</f>
        <v>0</v>
      </c>
      <c r="P61" s="163"/>
      <c r="Q61" s="163"/>
      <c r="R61" s="163"/>
      <c r="S61" s="163"/>
      <c r="T61" s="164">
        <f>SUMIF('II - Transport'!$B:$B,$B61,'II - Transport'!AK:AK)</f>
        <v>0</v>
      </c>
      <c r="U61" s="164">
        <f>SUMIF('II - Transport'!$B:$B,$B61,'II - Transport'!AL:AL)</f>
        <v>0</v>
      </c>
      <c r="V61" s="721" t="str">
        <f>IF(VLOOKUP($B61,'II - Transport'!$B:$AN,33,FALSE)="","",VLOOKUP($B61,'II - Transport'!$B:$AN,33,FALSE))</f>
        <v/>
      </c>
      <c r="W61" s="43"/>
      <c r="X61" s="43"/>
      <c r="Y61" s="43"/>
      <c r="Z61" s="43"/>
      <c r="AA61" s="43"/>
      <c r="AB61" s="43"/>
      <c r="AC61" s="43"/>
      <c r="AD61" s="43"/>
      <c r="AE61" s="43"/>
    </row>
    <row r="62" spans="1:31" s="44" customFormat="1">
      <c r="A62" s="43"/>
      <c r="B62" s="46" t="s">
        <v>113</v>
      </c>
      <c r="C62" s="46"/>
      <c r="D62" s="47" t="s">
        <v>114</v>
      </c>
      <c r="E62" s="173"/>
      <c r="F62" s="173"/>
      <c r="G62" s="173"/>
      <c r="H62" s="173"/>
      <c r="I62" s="173"/>
      <c r="J62" s="173"/>
      <c r="K62" s="173"/>
      <c r="L62" s="48"/>
      <c r="M62" s="165"/>
      <c r="N62" s="165"/>
      <c r="O62" s="165"/>
      <c r="P62" s="165"/>
      <c r="Q62" s="165"/>
      <c r="R62" s="165"/>
      <c r="S62" s="165"/>
      <c r="T62" s="165"/>
      <c r="U62" s="547"/>
      <c r="V62" s="713"/>
      <c r="W62" s="43"/>
      <c r="X62" s="43"/>
      <c r="Y62" s="43"/>
      <c r="Z62" s="43"/>
      <c r="AA62" s="43"/>
      <c r="AB62" s="43"/>
      <c r="AC62" s="43"/>
      <c r="AD62" s="43"/>
      <c r="AE62" s="43"/>
    </row>
    <row r="63" spans="1:31" s="44" customFormat="1">
      <c r="A63" s="43"/>
      <c r="B63" s="90" t="s">
        <v>115</v>
      </c>
      <c r="C63" s="90">
        <v>1</v>
      </c>
      <c r="D63" s="845" t="s">
        <v>116</v>
      </c>
      <c r="E63" s="846"/>
      <c r="F63" s="846"/>
      <c r="G63" s="846"/>
      <c r="H63" s="846"/>
      <c r="I63" s="846"/>
      <c r="J63" s="846"/>
      <c r="K63" s="847"/>
      <c r="L63" s="91" t="str">
        <f>IF(VLOOKUP(B63,'II - Transport'!$B:$L,11,FALSE)="","",VLOOKUP(B63,'II - Transport'!$B:$L,11,FALSE))</f>
        <v>NO</v>
      </c>
      <c r="M63" s="162">
        <f>SUMIF('II - Transport'!$B:$B,$B63,'II - Transport'!AH:AH)</f>
        <v>0</v>
      </c>
      <c r="N63" s="162">
        <f>SUMIF('II - Transport'!$B:$B,$B63,'II - Transport'!AI:AI)</f>
        <v>0</v>
      </c>
      <c r="O63" s="162">
        <f>SUMIF('II - Transport'!$B:$B,$B63,'II - Transport'!AJ:AJ)</f>
        <v>0</v>
      </c>
      <c r="P63" s="163"/>
      <c r="Q63" s="163"/>
      <c r="R63" s="163"/>
      <c r="S63" s="163"/>
      <c r="T63" s="162">
        <f>SUMIF('II - Transport'!$B:$B,$B63,'II - Transport'!AK:AK)</f>
        <v>0</v>
      </c>
      <c r="U63" s="162">
        <f>SUMIF('II - Transport'!$B:$B,$B63,'II - Transport'!AL:AL)</f>
        <v>0</v>
      </c>
      <c r="V63" s="720" t="str">
        <f>IF(VLOOKUP($B63,'II - Transport'!$B:$AN,33,FALSE)="","",VLOOKUP($B63,'II - Transport'!$B:$AN,33,FALSE))</f>
        <v/>
      </c>
      <c r="W63" s="43"/>
      <c r="X63" s="43"/>
      <c r="Y63" s="43"/>
      <c r="Z63" s="43"/>
      <c r="AA63" s="43"/>
      <c r="AB63" s="43"/>
      <c r="AC63" s="43"/>
      <c r="AD63" s="43"/>
      <c r="AE63" s="43"/>
    </row>
    <row r="64" spans="1:31" s="44" customFormat="1">
      <c r="A64" s="43"/>
      <c r="B64" s="90" t="s">
        <v>117</v>
      </c>
      <c r="C64" s="90">
        <v>2</v>
      </c>
      <c r="D64" s="845" t="s">
        <v>118</v>
      </c>
      <c r="E64" s="846"/>
      <c r="F64" s="846"/>
      <c r="G64" s="846"/>
      <c r="H64" s="846"/>
      <c r="I64" s="846"/>
      <c r="J64" s="846"/>
      <c r="K64" s="847"/>
      <c r="L64" s="91" t="str">
        <f>IF(VLOOKUP(B64,'II - Transport'!$B:$L,11,FALSE)="","",VLOOKUP(B64,'II - Transport'!$B:$L,11,FALSE))</f>
        <v>NO</v>
      </c>
      <c r="M64" s="162">
        <f>SUMIF('II - Transport'!$B:$B,$B64,'II - Transport'!AH:AH)</f>
        <v>0</v>
      </c>
      <c r="N64" s="162">
        <f>SUMIF('II - Transport'!$B:$B,$B64,'II - Transport'!AI:AI)</f>
        <v>0</v>
      </c>
      <c r="O64" s="162">
        <f>SUMIF('II - Transport'!$B:$B,$B64,'II - Transport'!AJ:AJ)</f>
        <v>0</v>
      </c>
      <c r="P64" s="163"/>
      <c r="Q64" s="163"/>
      <c r="R64" s="163"/>
      <c r="S64" s="163"/>
      <c r="T64" s="162">
        <f>SUMIF('II - Transport'!$B:$B,$B64,'II - Transport'!AK:AK)</f>
        <v>0</v>
      </c>
      <c r="U64" s="162">
        <f>SUMIF('II - Transport'!$B:$B,$B64,'II - Transport'!AL:AL)</f>
        <v>0</v>
      </c>
      <c r="V64" s="720" t="str">
        <f>IF(VLOOKUP($B64,'II - Transport'!$B:$AN,33,FALSE)="","",VLOOKUP($B64,'II - Transport'!$B:$AN,33,FALSE))</f>
        <v/>
      </c>
      <c r="W64" s="43"/>
      <c r="X64" s="43"/>
      <c r="Y64" s="43"/>
      <c r="Z64" s="43"/>
      <c r="AA64" s="43"/>
      <c r="AB64" s="43"/>
      <c r="AC64" s="43"/>
      <c r="AD64" s="43"/>
      <c r="AE64" s="43"/>
    </row>
    <row r="65" spans="1:31" s="44" customFormat="1">
      <c r="A65" s="43"/>
      <c r="B65" s="93" t="s">
        <v>623</v>
      </c>
      <c r="C65" s="93">
        <v>3</v>
      </c>
      <c r="D65" s="849" t="s">
        <v>828</v>
      </c>
      <c r="E65" s="850"/>
      <c r="F65" s="850"/>
      <c r="G65" s="850"/>
      <c r="H65" s="850"/>
      <c r="I65" s="850"/>
      <c r="J65" s="850"/>
      <c r="K65" s="851"/>
      <c r="L65" s="164" t="str">
        <f>IF(VLOOKUP(B65,'II - Transport'!$B:$L,11,FALSE)="","",VLOOKUP(B65,'II - Transport'!$B:$L,11,FALSE))</f>
        <v>NE</v>
      </c>
      <c r="M65" s="164">
        <f>SUMIF('II - Transport'!$B:$B,$B65,'II - Transport'!AH:AH)</f>
        <v>0</v>
      </c>
      <c r="N65" s="164">
        <f>SUMIF('II - Transport'!$B:$B,$B65,'II - Transport'!AI:AI)</f>
        <v>0</v>
      </c>
      <c r="O65" s="164">
        <f>SUMIF('II - Transport'!$B:$B,$B65,'II - Transport'!AJ:AJ)</f>
        <v>0</v>
      </c>
      <c r="P65" s="163"/>
      <c r="Q65" s="163"/>
      <c r="R65" s="163"/>
      <c r="S65" s="163"/>
      <c r="T65" s="164">
        <f>SUMIF('II - Transport'!$B:$B,$B65,'II - Transport'!AK:AK)</f>
        <v>0</v>
      </c>
      <c r="U65" s="164">
        <f>SUMIF('II - Transport'!$B:$B,$B65,'II - Transport'!AL:AL)</f>
        <v>0</v>
      </c>
      <c r="V65" s="721" t="str">
        <f>IF(VLOOKUP($B65,'II - Transport'!$B:$AN,33,FALSE)="","",VLOOKUP($B65,'II - Transport'!$B:$AN,33,FALSE))</f>
        <v/>
      </c>
      <c r="W65" s="43"/>
      <c r="X65" s="43"/>
      <c r="Y65" s="43"/>
      <c r="Z65" s="43"/>
      <c r="AA65" s="43"/>
      <c r="AB65" s="43"/>
      <c r="AC65" s="43"/>
      <c r="AD65" s="43"/>
      <c r="AE65" s="43"/>
    </row>
    <row r="66" spans="1:31" s="44" customFormat="1">
      <c r="A66" s="43"/>
      <c r="B66" s="46" t="s">
        <v>119</v>
      </c>
      <c r="C66" s="46"/>
      <c r="D66" s="47" t="s">
        <v>120</v>
      </c>
      <c r="E66" s="173"/>
      <c r="F66" s="173"/>
      <c r="G66" s="173"/>
      <c r="H66" s="173"/>
      <c r="I66" s="173"/>
      <c r="J66" s="173"/>
      <c r="K66" s="173"/>
      <c r="L66" s="48"/>
      <c r="M66" s="165"/>
      <c r="N66" s="165"/>
      <c r="O66" s="165"/>
      <c r="P66" s="165"/>
      <c r="Q66" s="165"/>
      <c r="R66" s="165"/>
      <c r="S66" s="165"/>
      <c r="T66" s="165"/>
      <c r="U66" s="547"/>
      <c r="V66" s="713"/>
      <c r="W66" s="43"/>
      <c r="X66" s="43"/>
      <c r="Y66" s="43"/>
      <c r="Z66" s="43"/>
      <c r="AA66" s="43"/>
      <c r="AB66" s="43"/>
      <c r="AC66" s="43"/>
      <c r="AD66" s="43"/>
      <c r="AE66" s="43"/>
    </row>
    <row r="67" spans="1:31" s="44" customFormat="1">
      <c r="A67" s="43"/>
      <c r="B67" s="46" t="s">
        <v>163</v>
      </c>
      <c r="C67" s="46"/>
      <c r="D67" s="47" t="s">
        <v>121</v>
      </c>
      <c r="E67" s="173"/>
      <c r="F67" s="173"/>
      <c r="G67" s="173"/>
      <c r="H67" s="173"/>
      <c r="I67" s="173"/>
      <c r="J67" s="173"/>
      <c r="K67" s="173"/>
      <c r="L67" s="48"/>
      <c r="M67" s="165"/>
      <c r="N67" s="165"/>
      <c r="O67" s="165"/>
      <c r="P67" s="165"/>
      <c r="Q67" s="165"/>
      <c r="R67" s="165"/>
      <c r="S67" s="165"/>
      <c r="T67" s="165"/>
      <c r="U67" s="547"/>
      <c r="V67" s="713"/>
      <c r="W67" s="43"/>
      <c r="X67" s="43"/>
      <c r="Y67" s="43"/>
      <c r="Z67" s="43"/>
      <c r="AA67" s="43"/>
      <c r="AB67" s="43"/>
      <c r="AC67" s="43"/>
      <c r="AD67" s="43"/>
      <c r="AE67" s="43"/>
    </row>
    <row r="68" spans="1:31" s="44" customFormat="1">
      <c r="A68" s="43"/>
      <c r="B68" s="90" t="s">
        <v>122</v>
      </c>
      <c r="C68" s="90">
        <v>1</v>
      </c>
      <c r="D68" s="845" t="s">
        <v>123</v>
      </c>
      <c r="E68" s="846"/>
      <c r="F68" s="846"/>
      <c r="G68" s="846"/>
      <c r="H68" s="846"/>
      <c r="I68" s="846"/>
      <c r="J68" s="846"/>
      <c r="K68" s="847"/>
      <c r="L68" s="91" t="str">
        <f>IF(VLOOKUP(B68,'III - Waste'!$B:$L,11,FALSE)="","",VLOOKUP(B68,'III - Waste'!$B:$L,11,FALSE))</f>
        <v/>
      </c>
      <c r="M68" s="162">
        <f>SUMIF('III - Waste'!$B:$B,$B68,'III - Waste'!AF:AF)</f>
        <v>0</v>
      </c>
      <c r="N68" s="162">
        <f>SUMIF('III - Waste'!$B:$B,$B68,'III - Waste'!AG:AG)</f>
        <v>300000</v>
      </c>
      <c r="O68" s="162">
        <f>SUMIF('III - Waste'!$B:$B,$B68,'III - Waste'!AH:AH)</f>
        <v>0</v>
      </c>
      <c r="P68" s="163"/>
      <c r="Q68" s="163"/>
      <c r="R68" s="163"/>
      <c r="S68" s="163"/>
      <c r="T68" s="162">
        <f>SUMIF('III - Waste'!$B:$B,$B68,'III - Waste'!AI:AI)</f>
        <v>300000</v>
      </c>
      <c r="U68" s="162">
        <f>SUMIF('III - Waste'!$B:$B,$B68,'III - Waste'!AJ:AJ)</f>
        <v>120000</v>
      </c>
      <c r="V68" s="720" t="str">
        <f>IF(VLOOKUP($B68,'III - Waste'!$B:$AL,33,FALSE)="","",VLOOKUP($B68,'III - Waste'!$B:$AL,33,FALSE))</f>
        <v/>
      </c>
      <c r="W68" s="43"/>
      <c r="X68" s="43"/>
      <c r="Y68" s="43"/>
      <c r="Z68" s="43"/>
      <c r="AA68" s="43"/>
      <c r="AB68" s="43"/>
      <c r="AC68" s="43"/>
      <c r="AD68" s="43"/>
      <c r="AE68" s="43"/>
    </row>
    <row r="69" spans="1:31" s="44" customFormat="1" collapsed="1">
      <c r="A69" s="43"/>
      <c r="B69" s="90" t="s">
        <v>124</v>
      </c>
      <c r="C69" s="90">
        <v>3</v>
      </c>
      <c r="D69" s="845" t="s">
        <v>125</v>
      </c>
      <c r="E69" s="846"/>
      <c r="F69" s="846"/>
      <c r="G69" s="846"/>
      <c r="H69" s="846"/>
      <c r="I69" s="846"/>
      <c r="J69" s="846"/>
      <c r="K69" s="847"/>
      <c r="L69" s="91" t="str">
        <f>IF(VLOOKUP(B69,'III - Waste'!$B:$L,11,FALSE)="","",VLOOKUP(B69,'III - Waste'!$B:$L,11,FALSE))</f>
        <v>NO</v>
      </c>
      <c r="M69" s="162">
        <f>SUMIF('III - Waste'!$B:$B,$B69,'III - Waste'!AF:AF)</f>
        <v>0</v>
      </c>
      <c r="N69" s="162">
        <f>SUMIF('III - Waste'!$B:$B,$B69,'III - Waste'!AG:AG)</f>
        <v>0</v>
      </c>
      <c r="O69" s="162">
        <f>SUMIF('III - Waste'!$B:$B,$B69,'III - Waste'!AH:AH)</f>
        <v>0</v>
      </c>
      <c r="P69" s="163"/>
      <c r="Q69" s="163"/>
      <c r="R69" s="163"/>
      <c r="S69" s="163"/>
      <c r="T69" s="162">
        <f>SUMIF('III - Waste'!$B:$B,$B69,'III - Waste'!AI:AI)</f>
        <v>0</v>
      </c>
      <c r="U69" s="162">
        <f>SUMIF('III - Waste'!$B:$B,$B69,'III - Waste'!AJ:AJ)</f>
        <v>0</v>
      </c>
      <c r="V69" s="720" t="str">
        <f>IF(VLOOKUP($B69,'III - Waste'!$B:$AL,33,FALSE)="","",VLOOKUP($B69,'III - Waste'!$B:$AL,33,FALSE))</f>
        <v/>
      </c>
      <c r="W69" s="43"/>
      <c r="X69" s="43"/>
      <c r="Y69" s="43"/>
      <c r="Z69" s="43"/>
      <c r="AA69" s="43"/>
      <c r="AB69" s="43"/>
      <c r="AC69" s="43"/>
      <c r="AD69" s="43"/>
      <c r="AE69" s="43"/>
    </row>
    <row r="70" spans="1:31" s="44" customFormat="1" collapsed="1">
      <c r="A70" s="43"/>
      <c r="B70" s="94" t="s">
        <v>126</v>
      </c>
      <c r="C70" s="94">
        <v>1</v>
      </c>
      <c r="D70" s="856" t="s">
        <v>127</v>
      </c>
      <c r="E70" s="857"/>
      <c r="F70" s="857"/>
      <c r="G70" s="857"/>
      <c r="H70" s="857"/>
      <c r="I70" s="857"/>
      <c r="J70" s="857"/>
      <c r="K70" s="858"/>
      <c r="L70" s="166" t="str">
        <f>IF(VLOOKUP(B70,'III - Waste'!$B:$L,11,FALSE)="","",VLOOKUP(B70,'III - Waste'!$B:$L,11,FALSE))</f>
        <v>NO</v>
      </c>
      <c r="M70" s="166">
        <f>SUMIF('III - Waste'!$B:$B,$B70,'III - Waste'!AF:AF)</f>
        <v>0</v>
      </c>
      <c r="N70" s="166">
        <f>SUMIF('III - Waste'!$B:$B,$B70,'III - Waste'!AG:AG)</f>
        <v>0</v>
      </c>
      <c r="O70" s="166">
        <f>SUMIF('III - Waste'!$B:$B,$B70,'III - Waste'!AH:AH)</f>
        <v>0</v>
      </c>
      <c r="P70" s="163"/>
      <c r="Q70" s="163"/>
      <c r="R70" s="163"/>
      <c r="S70" s="163"/>
      <c r="T70" s="166">
        <f>SUMIF('III - Waste'!$B:$B,$B70,'III - Waste'!AI:AI)</f>
        <v>0</v>
      </c>
      <c r="U70" s="166">
        <f>SUMIF('III - Waste'!$B:$B,$B70,'III - Waste'!AJ:AJ)</f>
        <v>0</v>
      </c>
      <c r="V70" s="722" t="str">
        <f>IF(VLOOKUP($B70,'III - Waste'!$B:$AL,33,FALSE)="","",VLOOKUP($B70,'III - Waste'!$B:$AL,33,FALSE))</f>
        <v/>
      </c>
      <c r="W70" s="43"/>
      <c r="X70" s="43"/>
      <c r="Y70" s="43"/>
      <c r="Z70" s="43"/>
      <c r="AA70" s="43"/>
      <c r="AB70" s="43"/>
      <c r="AC70" s="43"/>
      <c r="AD70" s="43"/>
      <c r="AE70" s="43"/>
    </row>
    <row r="71" spans="1:31" s="44" customFormat="1">
      <c r="A71" s="43"/>
      <c r="B71" s="46" t="s">
        <v>164</v>
      </c>
      <c r="C71" s="46"/>
      <c r="D71" s="47" t="s">
        <v>128</v>
      </c>
      <c r="E71" s="173"/>
      <c r="F71" s="173"/>
      <c r="G71" s="173"/>
      <c r="H71" s="173"/>
      <c r="I71" s="173"/>
      <c r="J71" s="173"/>
      <c r="K71" s="173"/>
      <c r="L71" s="48"/>
      <c r="M71" s="165"/>
      <c r="N71" s="165"/>
      <c r="O71" s="165"/>
      <c r="P71" s="165"/>
      <c r="Q71" s="165"/>
      <c r="R71" s="165"/>
      <c r="S71" s="165"/>
      <c r="T71" s="165"/>
      <c r="U71" s="547"/>
      <c r="V71" s="713"/>
      <c r="W71" s="43"/>
      <c r="X71" s="43"/>
      <c r="Y71" s="43"/>
      <c r="Z71" s="43"/>
      <c r="AA71" s="43"/>
      <c r="AB71" s="43"/>
      <c r="AC71" s="43"/>
      <c r="AD71" s="43"/>
      <c r="AE71" s="43"/>
    </row>
    <row r="72" spans="1:31" s="44" customFormat="1" collapsed="1">
      <c r="A72" s="43"/>
      <c r="B72" s="96" t="s">
        <v>129</v>
      </c>
      <c r="C72" s="96">
        <v>1</v>
      </c>
      <c r="D72" s="845" t="s">
        <v>298</v>
      </c>
      <c r="E72" s="846"/>
      <c r="F72" s="846"/>
      <c r="G72" s="846"/>
      <c r="H72" s="846"/>
      <c r="I72" s="846"/>
      <c r="J72" s="846"/>
      <c r="K72" s="847"/>
      <c r="L72" s="91" t="str">
        <f>IF(VLOOKUP(B72,'III - Waste'!$B:$L,11,FALSE)="","",VLOOKUP(B72,'III - Waste'!$B:$L,11,FALSE))</f>
        <v/>
      </c>
      <c r="M72" s="162">
        <f>SUMIF('III - Waste'!$B:$B,$B72,'III - Waste'!AF:AF)</f>
        <v>0</v>
      </c>
      <c r="N72" s="162">
        <f>SUMIF('III - Waste'!$B:$B,$B72,'III - Waste'!AG:AG)</f>
        <v>10000</v>
      </c>
      <c r="O72" s="162">
        <f>SUMIF('III - Waste'!$B:$B,$B72,'III - Waste'!AH:AH)</f>
        <v>7151.9999999999991</v>
      </c>
      <c r="P72" s="163"/>
      <c r="Q72" s="163"/>
      <c r="R72" s="163"/>
      <c r="S72" s="163"/>
      <c r="T72" s="162">
        <f>SUMIF('III - Waste'!$B:$B,$B72,'III - Waste'!AI:AI)</f>
        <v>17152</v>
      </c>
      <c r="U72" s="162">
        <f>SUMIF('III - Waste'!$B:$B,$B72,'III - Waste'!AJ:AJ)</f>
        <v>0</v>
      </c>
      <c r="V72" s="720" t="str">
        <f>IF(VLOOKUP($B72,'III - Waste'!$B:$AL,33,FALSE)="","",VLOOKUP($B72,'III - Waste'!$B:$AL,33,FALSE))</f>
        <v/>
      </c>
      <c r="W72" s="43"/>
      <c r="X72" s="43"/>
      <c r="Y72" s="43"/>
      <c r="Z72" s="43"/>
      <c r="AA72" s="43"/>
      <c r="AB72" s="43"/>
      <c r="AC72" s="43"/>
      <c r="AD72" s="43"/>
      <c r="AE72" s="43"/>
    </row>
    <row r="73" spans="1:31" s="44" customFormat="1" collapsed="1">
      <c r="A73" s="43"/>
      <c r="B73" s="96" t="s">
        <v>130</v>
      </c>
      <c r="C73" s="96">
        <v>3</v>
      </c>
      <c r="D73" s="845" t="s">
        <v>131</v>
      </c>
      <c r="E73" s="846"/>
      <c r="F73" s="846"/>
      <c r="G73" s="846"/>
      <c r="H73" s="846"/>
      <c r="I73" s="846"/>
      <c r="J73" s="846"/>
      <c r="K73" s="847"/>
      <c r="L73" s="91" t="str">
        <f>IF(VLOOKUP(B73,'III - Waste'!$B:$L,11,FALSE)="","",VLOOKUP(B73,'III - Waste'!$B:$L,11,FALSE))</f>
        <v/>
      </c>
      <c r="M73" s="162">
        <f>SUMIF('III - Waste'!$B:$B,$B73,'III - Waste'!AF:AF)</f>
        <v>0</v>
      </c>
      <c r="N73" s="162">
        <f>SUMIF('III - Waste'!$B:$B,$B73,'III - Waste'!AG:AG)</f>
        <v>20000</v>
      </c>
      <c r="O73" s="162">
        <f>SUMIF('III - Waste'!$B:$B,$B73,'III - Waste'!AH:AH)</f>
        <v>14303.999999999998</v>
      </c>
      <c r="P73" s="163"/>
      <c r="Q73" s="163"/>
      <c r="R73" s="163"/>
      <c r="S73" s="163"/>
      <c r="T73" s="162">
        <f>SUMIF('III - Waste'!$B:$B,$B73,'III - Waste'!AI:AI)</f>
        <v>34304</v>
      </c>
      <c r="U73" s="162">
        <f>SUMIF('III - Waste'!$B:$B,$B73,'III - Waste'!AJ:AJ)</f>
        <v>0</v>
      </c>
      <c r="V73" s="720" t="str">
        <f>IF(VLOOKUP($B73,'III - Waste'!$B:$AL,33,FALSE)="","",VLOOKUP($B73,'III - Waste'!$B:$AL,33,FALSE))</f>
        <v/>
      </c>
      <c r="W73" s="43"/>
      <c r="X73" s="43"/>
      <c r="Y73" s="43"/>
      <c r="Z73" s="43"/>
      <c r="AA73" s="43"/>
      <c r="AB73" s="43"/>
      <c r="AC73" s="43"/>
      <c r="AD73" s="43"/>
      <c r="AE73" s="43"/>
    </row>
    <row r="74" spans="1:31" s="44" customFormat="1" collapsed="1">
      <c r="A74" s="43"/>
      <c r="B74" s="94" t="s">
        <v>132</v>
      </c>
      <c r="C74" s="94">
        <v>1</v>
      </c>
      <c r="D74" s="856" t="s">
        <v>133</v>
      </c>
      <c r="E74" s="857"/>
      <c r="F74" s="857"/>
      <c r="G74" s="857"/>
      <c r="H74" s="857"/>
      <c r="I74" s="857"/>
      <c r="J74" s="857"/>
      <c r="K74" s="858"/>
      <c r="L74" s="166" t="str">
        <f>IF(VLOOKUP(B74,'III - Waste'!$B:$L,11,FALSE)="","",VLOOKUP(B74,'III - Waste'!$B:$L,11,FALSE))</f>
        <v>NO</v>
      </c>
      <c r="M74" s="166">
        <f>SUMIF('III - Waste'!$B:$B,$B74,'III - Waste'!AF:AF)</f>
        <v>0</v>
      </c>
      <c r="N74" s="166">
        <f>SUMIF('III - Waste'!$B:$B,$B74,'III - Waste'!AG:AG)</f>
        <v>0</v>
      </c>
      <c r="O74" s="166">
        <f>SUMIF('III - Waste'!$B:$B,$B74,'III - Waste'!AH:AH)</f>
        <v>0</v>
      </c>
      <c r="P74" s="163"/>
      <c r="Q74" s="163"/>
      <c r="R74" s="163"/>
      <c r="S74" s="163"/>
      <c r="T74" s="166">
        <f>SUMIF('III - Waste'!$B:$B,$B74,'III - Waste'!AI:AI)</f>
        <v>0</v>
      </c>
      <c r="U74" s="166">
        <f>SUMIF('III - Waste'!$B:$B,$B74,'III - Waste'!AJ:AJ)</f>
        <v>0</v>
      </c>
      <c r="V74" s="722" t="str">
        <f>IF(VLOOKUP($B74,'III - Waste'!$B:$AL,33,FALSE)="","",VLOOKUP($B74,'III - Waste'!$B:$AL,33,FALSE))</f>
        <v/>
      </c>
      <c r="W74" s="43"/>
      <c r="X74" s="43"/>
      <c r="Y74" s="43"/>
      <c r="Z74" s="43"/>
      <c r="AA74" s="43"/>
      <c r="AB74" s="43"/>
      <c r="AC74" s="43"/>
      <c r="AD74" s="43"/>
      <c r="AE74" s="43"/>
    </row>
    <row r="75" spans="1:31" s="44" customFormat="1">
      <c r="A75" s="43"/>
      <c r="B75" s="46" t="s">
        <v>165</v>
      </c>
      <c r="C75" s="46"/>
      <c r="D75" s="47" t="s">
        <v>134</v>
      </c>
      <c r="E75" s="173"/>
      <c r="F75" s="173"/>
      <c r="G75" s="173"/>
      <c r="H75" s="173"/>
      <c r="I75" s="173"/>
      <c r="J75" s="173"/>
      <c r="K75" s="173"/>
      <c r="L75" s="48"/>
      <c r="M75" s="165"/>
      <c r="N75" s="165"/>
      <c r="O75" s="165"/>
      <c r="P75" s="165"/>
      <c r="Q75" s="165"/>
      <c r="R75" s="165"/>
      <c r="S75" s="165"/>
      <c r="T75" s="165"/>
      <c r="U75" s="547"/>
      <c r="V75" s="713"/>
      <c r="W75" s="43"/>
      <c r="X75" s="43"/>
      <c r="Y75" s="43"/>
      <c r="Z75" s="43"/>
      <c r="AA75" s="43"/>
      <c r="AB75" s="43"/>
      <c r="AC75" s="43"/>
      <c r="AD75" s="43"/>
      <c r="AE75" s="43"/>
    </row>
    <row r="76" spans="1:31" s="44" customFormat="1" collapsed="1">
      <c r="A76" s="43"/>
      <c r="B76" s="90" t="s">
        <v>135</v>
      </c>
      <c r="C76" s="90">
        <v>1</v>
      </c>
      <c r="D76" s="845" t="s">
        <v>136</v>
      </c>
      <c r="E76" s="846"/>
      <c r="F76" s="846"/>
      <c r="G76" s="846"/>
      <c r="H76" s="846"/>
      <c r="I76" s="846"/>
      <c r="J76" s="846"/>
      <c r="K76" s="847"/>
      <c r="L76" s="91" t="str">
        <f>IF(VLOOKUP(B76,'III - Waste'!$B:$L,11,FALSE)="","",VLOOKUP(B76,'III - Waste'!$B:$L,11,FALSE))</f>
        <v>NO</v>
      </c>
      <c r="M76" s="162">
        <f>SUMIF('III - Waste'!$B:$B,$B76,'III - Waste'!AF:AF)</f>
        <v>0</v>
      </c>
      <c r="N76" s="162">
        <f>SUMIF('III - Waste'!$B:$B,$B76,'III - Waste'!AG:AG)</f>
        <v>0</v>
      </c>
      <c r="O76" s="162">
        <f>SUMIF('III - Waste'!$B:$B,$B76,'III - Waste'!AH:AH)</f>
        <v>0</v>
      </c>
      <c r="P76" s="163"/>
      <c r="Q76" s="163"/>
      <c r="R76" s="163"/>
      <c r="S76" s="163"/>
      <c r="T76" s="162">
        <f>SUMIF('III - Waste'!$B:$B,$B76,'III - Waste'!AI:AI)</f>
        <v>0</v>
      </c>
      <c r="U76" s="162">
        <f>SUMIF('III - Waste'!$B:$B,$B76,'III - Waste'!AJ:AJ)</f>
        <v>0</v>
      </c>
      <c r="V76" s="720" t="str">
        <f>IF(VLOOKUP($B76,'III - Waste'!$B:$AL,33,FALSE)="","",VLOOKUP($B76,'III - Waste'!$B:$AL,33,FALSE))</f>
        <v/>
      </c>
      <c r="W76" s="43"/>
      <c r="X76" s="43"/>
      <c r="Y76" s="43"/>
      <c r="Z76" s="43"/>
      <c r="AA76" s="43"/>
      <c r="AB76" s="43"/>
      <c r="AC76" s="43"/>
      <c r="AD76" s="43"/>
      <c r="AE76" s="43"/>
    </row>
    <row r="77" spans="1:31" s="44" customFormat="1" collapsed="1">
      <c r="A77" s="43"/>
      <c r="B77" s="90" t="s">
        <v>137</v>
      </c>
      <c r="C77" s="90">
        <v>3</v>
      </c>
      <c r="D77" s="845" t="s">
        <v>138</v>
      </c>
      <c r="E77" s="846"/>
      <c r="F77" s="846"/>
      <c r="G77" s="846"/>
      <c r="H77" s="846"/>
      <c r="I77" s="846"/>
      <c r="J77" s="846"/>
      <c r="K77" s="847"/>
      <c r="L77" s="91" t="str">
        <f>IF(VLOOKUP(B77,'III - Waste'!$B:$L,11,FALSE)="","",VLOOKUP(B77,'III - Waste'!$B:$L,11,FALSE))</f>
        <v>NO</v>
      </c>
      <c r="M77" s="162">
        <f>SUMIF('III - Waste'!$B:$B,$B77,'III - Waste'!AF:AF)</f>
        <v>0</v>
      </c>
      <c r="N77" s="162">
        <f>SUMIF('III - Waste'!$B:$B,$B77,'III - Waste'!AG:AG)</f>
        <v>0</v>
      </c>
      <c r="O77" s="162">
        <f>SUMIF('III - Waste'!$B:$B,$B77,'III - Waste'!AH:AH)</f>
        <v>0</v>
      </c>
      <c r="P77" s="163"/>
      <c r="Q77" s="163"/>
      <c r="R77" s="163"/>
      <c r="S77" s="163"/>
      <c r="T77" s="162">
        <f>SUMIF('III - Waste'!$B:$B,$B77,'III - Waste'!AI:AI)</f>
        <v>0</v>
      </c>
      <c r="U77" s="162">
        <f>SUMIF('III - Waste'!$B:$B,$B77,'III - Waste'!AJ:AJ)</f>
        <v>0</v>
      </c>
      <c r="V77" s="720" t="str">
        <f>IF(VLOOKUP($B77,'III - Waste'!$B:$AL,33,FALSE)="","",VLOOKUP($B77,'III - Waste'!$B:$AL,33,FALSE))</f>
        <v/>
      </c>
      <c r="W77" s="43"/>
      <c r="X77" s="43"/>
      <c r="Y77" s="43"/>
      <c r="Z77" s="43"/>
      <c r="AA77" s="43"/>
      <c r="AB77" s="43"/>
      <c r="AC77" s="43"/>
      <c r="AD77" s="43"/>
      <c r="AE77" s="43"/>
    </row>
    <row r="78" spans="1:31" s="44" customFormat="1" collapsed="1">
      <c r="A78" s="43"/>
      <c r="B78" s="94" t="s">
        <v>139</v>
      </c>
      <c r="C78" s="94">
        <v>1</v>
      </c>
      <c r="D78" s="856" t="s">
        <v>140</v>
      </c>
      <c r="E78" s="857"/>
      <c r="F78" s="857"/>
      <c r="G78" s="857"/>
      <c r="H78" s="857"/>
      <c r="I78" s="857"/>
      <c r="J78" s="857"/>
      <c r="K78" s="858"/>
      <c r="L78" s="166" t="str">
        <f>IF(VLOOKUP(B78,'III - Waste'!$B:$L,11,FALSE)="","",VLOOKUP(B78,'III - Waste'!$B:$L,11,FALSE))</f>
        <v>NO</v>
      </c>
      <c r="M78" s="166">
        <f>SUMIF('III - Waste'!$B:$B,$B78,'III - Waste'!AF:AF)</f>
        <v>0</v>
      </c>
      <c r="N78" s="166">
        <f>SUMIF('III - Waste'!$B:$B,$B78,'III - Waste'!AG:AG)</f>
        <v>0</v>
      </c>
      <c r="O78" s="166">
        <f>SUMIF('III - Waste'!$B:$B,$B78,'III - Waste'!AH:AH)</f>
        <v>0</v>
      </c>
      <c r="P78" s="163"/>
      <c r="Q78" s="163"/>
      <c r="R78" s="163"/>
      <c r="S78" s="163"/>
      <c r="T78" s="166">
        <f>SUMIF('III - Waste'!$B:$B,$B78,'III - Waste'!AI:AI)</f>
        <v>0</v>
      </c>
      <c r="U78" s="166">
        <f>SUMIF('III - Waste'!$B:$B,$B78,'III - Waste'!AJ:AJ)</f>
        <v>0</v>
      </c>
      <c r="V78" s="722" t="str">
        <f>IF(VLOOKUP($B78,'III - Waste'!$B:$AL,33,FALSE)="","",VLOOKUP($B78,'III - Waste'!$B:$AL,33,FALSE))</f>
        <v/>
      </c>
      <c r="W78" s="43"/>
      <c r="X78" s="43"/>
      <c r="Y78" s="43"/>
      <c r="Z78" s="43"/>
      <c r="AA78" s="43"/>
      <c r="AB78" s="43"/>
      <c r="AC78" s="43"/>
      <c r="AD78" s="43"/>
      <c r="AE78" s="43"/>
    </row>
    <row r="79" spans="1:31" s="44" customFormat="1">
      <c r="A79" s="43"/>
      <c r="B79" s="46" t="s">
        <v>166</v>
      </c>
      <c r="C79" s="46"/>
      <c r="D79" s="47" t="s">
        <v>141</v>
      </c>
      <c r="E79" s="173"/>
      <c r="F79" s="173"/>
      <c r="G79" s="173"/>
      <c r="H79" s="173"/>
      <c r="I79" s="173"/>
      <c r="J79" s="173"/>
      <c r="K79" s="173"/>
      <c r="L79" s="48"/>
      <c r="M79" s="165"/>
      <c r="N79" s="165"/>
      <c r="O79" s="165"/>
      <c r="P79" s="165"/>
      <c r="Q79" s="165"/>
      <c r="R79" s="165"/>
      <c r="S79" s="165"/>
      <c r="T79" s="165"/>
      <c r="U79" s="547"/>
      <c r="V79" s="713"/>
      <c r="W79" s="43"/>
      <c r="X79" s="43"/>
      <c r="Y79" s="43"/>
      <c r="Z79" s="43"/>
      <c r="AA79" s="43"/>
      <c r="AB79" s="43"/>
      <c r="AC79" s="43"/>
      <c r="AD79" s="43"/>
      <c r="AE79" s="43"/>
    </row>
    <row r="80" spans="1:31" s="44" customFormat="1" collapsed="1">
      <c r="A80" s="43"/>
      <c r="B80" s="90" t="s">
        <v>142</v>
      </c>
      <c r="C80" s="90">
        <v>1</v>
      </c>
      <c r="D80" s="845" t="s">
        <v>143</v>
      </c>
      <c r="E80" s="846"/>
      <c r="F80" s="846"/>
      <c r="G80" s="846"/>
      <c r="H80" s="846"/>
      <c r="I80" s="846"/>
      <c r="J80" s="846"/>
      <c r="K80" s="847"/>
      <c r="L80" s="91" t="str">
        <f>IF(VLOOKUP(B80,'III - Waste'!$B:$L,11,FALSE)="","",VLOOKUP(B80,'III - Waste'!$B:$L,11,FALSE))</f>
        <v>NO</v>
      </c>
      <c r="M80" s="162">
        <f>SUMIF('III - Waste'!$B:$B,$B80,'III - Waste'!AF:AF)</f>
        <v>0</v>
      </c>
      <c r="N80" s="162">
        <f>SUMIF('III - Waste'!$B:$B,$B80,'III - Waste'!AG:AG)</f>
        <v>0</v>
      </c>
      <c r="O80" s="162">
        <f>SUMIF('III - Waste'!$B:$B,$B80,'III - Waste'!AH:AH)</f>
        <v>0</v>
      </c>
      <c r="P80" s="163"/>
      <c r="Q80" s="163"/>
      <c r="R80" s="163"/>
      <c r="S80" s="163"/>
      <c r="T80" s="162">
        <f>SUMIF('III - Waste'!$B:$B,$B80,'III - Waste'!AI:AI)</f>
        <v>0</v>
      </c>
      <c r="U80" s="162">
        <f>SUMIF('III - Waste'!$B:$B,$B80,'III - Waste'!AJ:AJ)</f>
        <v>0</v>
      </c>
      <c r="V80" s="720" t="str">
        <f>IF(VLOOKUP($B80,'III - Waste'!$B:$AL,33,FALSE)="","",VLOOKUP($B80,'III - Waste'!$B:$AL,33,FALSE))</f>
        <v/>
      </c>
      <c r="W80" s="43"/>
      <c r="X80" s="43"/>
      <c r="Y80" s="43"/>
      <c r="Z80" s="43"/>
      <c r="AA80" s="43"/>
      <c r="AB80" s="43"/>
      <c r="AC80" s="43"/>
      <c r="AD80" s="43"/>
      <c r="AE80" s="43"/>
    </row>
    <row r="81" spans="1:31" s="44" customFormat="1" collapsed="1">
      <c r="A81" s="43"/>
      <c r="B81" s="90" t="s">
        <v>144</v>
      </c>
      <c r="C81" s="90">
        <v>3</v>
      </c>
      <c r="D81" s="845" t="s">
        <v>145</v>
      </c>
      <c r="E81" s="846"/>
      <c r="F81" s="846"/>
      <c r="G81" s="846"/>
      <c r="H81" s="846"/>
      <c r="I81" s="846"/>
      <c r="J81" s="846"/>
      <c r="K81" s="847"/>
      <c r="L81" s="91" t="str">
        <f>IF(VLOOKUP(B81,'III - Waste'!$B:$L,11,FALSE)="","",VLOOKUP(B81,'III - Waste'!$B:$L,11,FALSE))</f>
        <v/>
      </c>
      <c r="M81" s="162">
        <f>SUMIF('III - Waste'!$B:$B,$B81,'III - Waste'!AF:AF)</f>
        <v>0</v>
      </c>
      <c r="N81" s="162">
        <f>SUMIF('III - Waste'!$B:$B,$B81,'III - Waste'!AG:AG)</f>
        <v>57788.5</v>
      </c>
      <c r="O81" s="162">
        <f>SUMIF('III - Waste'!$B:$B,$B81,'III - Waste'!AH:AH)</f>
        <v>95332.160000000003</v>
      </c>
      <c r="P81" s="163"/>
      <c r="Q81" s="163"/>
      <c r="R81" s="163"/>
      <c r="S81" s="163"/>
      <c r="T81" s="162">
        <f>SUMIF('III - Waste'!$B:$B,$B81,'III - Waste'!AI:AI)</f>
        <v>153120.66</v>
      </c>
      <c r="U81" s="162">
        <f>SUMIF('III - Waste'!$B:$B,$B81,'III - Waste'!AJ:AJ)</f>
        <v>0</v>
      </c>
      <c r="V81" s="720" t="str">
        <f>IF(VLOOKUP($B81,'III - Waste'!$B:$AL,33,FALSE)="","",VLOOKUP($B81,'III - Waste'!$B:$AL,33,FALSE))</f>
        <v/>
      </c>
      <c r="W81" s="43"/>
      <c r="X81" s="43"/>
      <c r="Y81" s="43"/>
      <c r="Z81" s="43"/>
      <c r="AA81" s="43"/>
      <c r="AB81" s="43"/>
      <c r="AC81" s="43"/>
      <c r="AD81" s="43"/>
      <c r="AE81" s="43"/>
    </row>
    <row r="82" spans="1:31" s="44" customFormat="1" collapsed="1">
      <c r="A82" s="43"/>
      <c r="B82" s="94" t="s">
        <v>146</v>
      </c>
      <c r="C82" s="94">
        <v>1</v>
      </c>
      <c r="D82" s="856" t="s">
        <v>147</v>
      </c>
      <c r="E82" s="857"/>
      <c r="F82" s="857"/>
      <c r="G82" s="857"/>
      <c r="H82" s="857"/>
      <c r="I82" s="857"/>
      <c r="J82" s="857"/>
      <c r="K82" s="858"/>
      <c r="L82" s="166" t="str">
        <f>IF(VLOOKUP(B82,'III - Waste'!$B:$L,11,FALSE)="","",VLOOKUP(B82,'III - Waste'!$B:$L,11,FALSE))</f>
        <v>NO</v>
      </c>
      <c r="M82" s="166">
        <f>SUMIF('III - Waste'!$B:$B,$B82,'III - Waste'!AF:AF)</f>
        <v>0</v>
      </c>
      <c r="N82" s="166">
        <f>SUMIF('III - Waste'!$B:$B,$B82,'III - Waste'!AG:AG)</f>
        <v>0</v>
      </c>
      <c r="O82" s="166">
        <f>SUMIF('III - Waste'!$B:$B,$B82,'III - Waste'!AH:AH)</f>
        <v>0</v>
      </c>
      <c r="P82" s="163"/>
      <c r="Q82" s="163"/>
      <c r="R82" s="163"/>
      <c r="S82" s="163"/>
      <c r="T82" s="166">
        <f>SUMIF('III - Waste'!$B:$B,$B82,'III - Waste'!AI:AI)</f>
        <v>0</v>
      </c>
      <c r="U82" s="166">
        <f>SUMIF('III - Waste'!$B:$B,$B82,'III - Waste'!AJ:AJ)</f>
        <v>0</v>
      </c>
      <c r="V82" s="722" t="str">
        <f>IF(VLOOKUP($B82,'III - Waste'!$B:$AL,33,FALSE)="","",VLOOKUP($B82,'III - Waste'!$B:$AL,33,FALSE))</f>
        <v/>
      </c>
      <c r="W82" s="43"/>
      <c r="X82" s="43"/>
      <c r="Y82" s="43"/>
      <c r="Z82" s="43"/>
      <c r="AA82" s="43"/>
      <c r="AB82" s="43"/>
      <c r="AC82" s="43"/>
      <c r="AD82" s="43"/>
      <c r="AE82" s="43"/>
    </row>
    <row r="83" spans="1:31" s="44" customFormat="1">
      <c r="A83" s="43"/>
      <c r="B83" s="46" t="s">
        <v>148</v>
      </c>
      <c r="C83" s="213">
        <v>1</v>
      </c>
      <c r="D83" s="47" t="s">
        <v>149</v>
      </c>
      <c r="E83" s="173"/>
      <c r="F83" s="173"/>
      <c r="G83" s="173"/>
      <c r="H83" s="173"/>
      <c r="I83" s="173"/>
      <c r="J83" s="173"/>
      <c r="K83" s="173"/>
      <c r="L83" s="48"/>
      <c r="M83" s="165"/>
      <c r="N83" s="165"/>
      <c r="O83" s="165"/>
      <c r="P83" s="165"/>
      <c r="Q83" s="165"/>
      <c r="R83" s="165"/>
      <c r="S83" s="165"/>
      <c r="T83" s="165"/>
      <c r="U83" s="547"/>
      <c r="V83" s="713"/>
      <c r="W83" s="43"/>
      <c r="X83" s="43"/>
      <c r="Y83" s="43"/>
      <c r="Z83" s="43"/>
      <c r="AA83" s="43"/>
      <c r="AB83" s="43"/>
      <c r="AC83" s="43"/>
      <c r="AD83" s="43"/>
      <c r="AE83" s="43"/>
    </row>
    <row r="84" spans="1:31" s="44" customFormat="1" collapsed="1">
      <c r="A84" s="43"/>
      <c r="B84" s="93" t="s">
        <v>150</v>
      </c>
      <c r="C84" s="93">
        <v>1</v>
      </c>
      <c r="D84" s="849" t="s">
        <v>151</v>
      </c>
      <c r="E84" s="850"/>
      <c r="F84" s="850"/>
      <c r="G84" s="850"/>
      <c r="H84" s="850"/>
      <c r="I84" s="850"/>
      <c r="J84" s="850"/>
      <c r="K84" s="851"/>
      <c r="L84" s="95" t="str">
        <f>IF(VLOOKUP(B84,'IV - IPPU'!$B:$J,9,FALSE)="","",VLOOKUP(B84,'IV - IPPU'!$B:$J,9,FALSE))</f>
        <v>NO</v>
      </c>
      <c r="M84" s="164">
        <f>SUMIF('IV - IPPU'!$B:$B,$B84,'IV - IPPU'!AX:AX)</f>
        <v>0</v>
      </c>
      <c r="N84" s="164">
        <f>SUMIF('IV - IPPU'!$B:$B,$B84,'IV - IPPU'!AY:AY)</f>
        <v>0</v>
      </c>
      <c r="O84" s="164">
        <f>SUMIF('IV - IPPU'!$B:$B,$B84,'IV - IPPU'!AZ:AZ)</f>
        <v>0</v>
      </c>
      <c r="P84" s="164">
        <f>SUMIF('IV - IPPU'!$B:$B,$B84,'IV - IPPU'!BA:BA)</f>
        <v>0</v>
      </c>
      <c r="Q84" s="164">
        <f>SUMIF('IV - IPPU'!$B:$B,$B84,'IV - IPPU'!BB:BB)</f>
        <v>0</v>
      </c>
      <c r="R84" s="164">
        <f>SUMIF('IV - IPPU'!$B:$B,$B84,'IV - IPPU'!BC:BC)</f>
        <v>0</v>
      </c>
      <c r="S84" s="164">
        <f>SUMIF('IV - IPPU'!$B:$B,$B84,'IV - IPPU'!BD:BD)</f>
        <v>0</v>
      </c>
      <c r="T84" s="164">
        <f>SUMIF('IV - IPPU'!$B:$B,$B84,'IV - IPPU'!BE:BE)</f>
        <v>0</v>
      </c>
      <c r="U84" s="164">
        <f>SUMIF('IV - IPPU'!$B:$B,$B84,'IV - IPPU'!BF:BF)</f>
        <v>0</v>
      </c>
      <c r="V84" s="721" t="str">
        <f>IF(VLOOKUP($B84,'IV - IPPU'!$B:$BH,56,FALSE)="","",VLOOKUP($B84,'IV - IPPU'!$B:$BH,56,FALSE))</f>
        <v/>
      </c>
      <c r="W84" s="43"/>
      <c r="X84" s="43"/>
      <c r="Y84" s="43"/>
      <c r="Z84" s="43"/>
      <c r="AA84" s="43"/>
      <c r="AB84" s="43"/>
      <c r="AC84" s="43"/>
      <c r="AD84" s="43"/>
      <c r="AE84" s="43"/>
    </row>
    <row r="85" spans="1:31" s="44" customFormat="1" collapsed="1">
      <c r="A85" s="43"/>
      <c r="B85" s="93" t="s">
        <v>152</v>
      </c>
      <c r="C85" s="93">
        <v>1</v>
      </c>
      <c r="D85" s="849" t="s">
        <v>153</v>
      </c>
      <c r="E85" s="850"/>
      <c r="F85" s="850"/>
      <c r="G85" s="850"/>
      <c r="H85" s="850"/>
      <c r="I85" s="850"/>
      <c r="J85" s="850"/>
      <c r="K85" s="851"/>
      <c r="L85" s="95" t="str">
        <f>IF(VLOOKUP(B85,'IV - IPPU'!$B:$J,9,FALSE)="","",VLOOKUP(B85,'IV - IPPU'!$B:$J,9,FALSE))</f>
        <v/>
      </c>
      <c r="M85" s="164">
        <f>SUMIF('IV - IPPU'!$B:$B,$B85,'IV - IPPU'!AX:AX)</f>
        <v>0</v>
      </c>
      <c r="N85" s="164">
        <f>SUMIF('IV - IPPU'!$B:$B,$B85,'IV - IPPU'!AY:AY)</f>
        <v>0</v>
      </c>
      <c r="O85" s="164">
        <f>SUMIF('IV - IPPU'!$B:$B,$B85,'IV - IPPU'!AZ:AZ)</f>
        <v>0</v>
      </c>
      <c r="P85" s="164">
        <f>SUMIF('IV - IPPU'!$B:$B,$B85,'IV - IPPU'!BA:BA)</f>
        <v>0</v>
      </c>
      <c r="Q85" s="164">
        <f>SUMIF('IV - IPPU'!$B:$B,$B85,'IV - IPPU'!BB:BB)</f>
        <v>0</v>
      </c>
      <c r="R85" s="164">
        <f>SUMIF('IV - IPPU'!$B:$B,$B85,'IV - IPPU'!BC:BC)</f>
        <v>0</v>
      </c>
      <c r="S85" s="164">
        <f>SUMIF('IV - IPPU'!$B:$B,$B85,'IV - IPPU'!BD:BD)</f>
        <v>0</v>
      </c>
      <c r="T85" s="164">
        <f>SUMIF('IV - IPPU'!$B:$B,$B85,'IV - IPPU'!BE:BE)</f>
        <v>75000</v>
      </c>
      <c r="U85" s="164">
        <f>SUMIF('IV - IPPU'!$B:$B,$B85,'IV - IPPU'!BF:BF)</f>
        <v>0</v>
      </c>
      <c r="V85" s="721" t="str">
        <f>IF(VLOOKUP($B85,'IV - IPPU'!$B:$BH,56,FALSE)="","",VLOOKUP($B85,'IV - IPPU'!$B:$BH,56,FALSE))</f>
        <v/>
      </c>
      <c r="W85" s="43"/>
      <c r="X85" s="43"/>
      <c r="Y85" s="43"/>
      <c r="Z85" s="43"/>
      <c r="AA85" s="43"/>
      <c r="AB85" s="43"/>
      <c r="AC85" s="43"/>
      <c r="AD85" s="43"/>
      <c r="AE85" s="43"/>
    </row>
    <row r="86" spans="1:31" s="44" customFormat="1">
      <c r="A86" s="43"/>
      <c r="B86" s="46" t="s">
        <v>154</v>
      </c>
      <c r="C86" s="213">
        <v>1</v>
      </c>
      <c r="D86" s="47" t="s">
        <v>155</v>
      </c>
      <c r="E86" s="173"/>
      <c r="F86" s="173"/>
      <c r="G86" s="173"/>
      <c r="H86" s="173"/>
      <c r="I86" s="173"/>
      <c r="J86" s="173"/>
      <c r="K86" s="173"/>
      <c r="L86" s="48"/>
      <c r="M86" s="165"/>
      <c r="N86" s="165"/>
      <c r="O86" s="165"/>
      <c r="P86" s="165"/>
      <c r="Q86" s="165"/>
      <c r="R86" s="165"/>
      <c r="S86" s="165"/>
      <c r="T86" s="165"/>
      <c r="U86" s="547"/>
      <c r="V86" s="713"/>
      <c r="W86" s="43"/>
      <c r="X86" s="43"/>
      <c r="Y86" s="43"/>
      <c r="Z86" s="43"/>
      <c r="AA86" s="43"/>
      <c r="AB86" s="43"/>
      <c r="AC86" s="43"/>
      <c r="AD86" s="43"/>
      <c r="AE86" s="43"/>
    </row>
    <row r="87" spans="1:31" s="44" customFormat="1" collapsed="1">
      <c r="A87" s="43"/>
      <c r="B87" s="93" t="s">
        <v>156</v>
      </c>
      <c r="C87" s="93">
        <v>1</v>
      </c>
      <c r="D87" s="849" t="s">
        <v>157</v>
      </c>
      <c r="E87" s="850"/>
      <c r="F87" s="850"/>
      <c r="G87" s="850"/>
      <c r="H87" s="850"/>
      <c r="I87" s="850"/>
      <c r="J87" s="850"/>
      <c r="K87" s="851"/>
      <c r="L87" s="95" t="str">
        <f>IF(VLOOKUP(B87,'V - AFOLU'!$B:$J,9,FALSE)="","",VLOOKUP(B87,'V - AFOLU'!$B:$J,9,FALSE))</f>
        <v/>
      </c>
      <c r="M87" s="164">
        <f>SUMIF('V - AFOLU'!$B:$B,$B87,'V - AFOLU'!AD:AD)</f>
        <v>150000</v>
      </c>
      <c r="N87" s="164">
        <f>SUMIF('V - AFOLU'!$B:$B,$B87,'V - AFOLU'!AE:AE)</f>
        <v>0</v>
      </c>
      <c r="O87" s="164">
        <f>SUMIF('V - AFOLU'!$B:$B,$B87,'V - AFOLU'!AF:AF)</f>
        <v>0</v>
      </c>
      <c r="P87" s="163"/>
      <c r="Q87" s="163"/>
      <c r="R87" s="163"/>
      <c r="S87" s="163"/>
      <c r="T87" s="164">
        <f>SUMIF('V - AFOLU'!$B:$B,$B87,'V - AFOLU'!AG:AG)</f>
        <v>150000</v>
      </c>
      <c r="U87" s="164">
        <f>SUMIF('V - AFOLU'!$B:$B,$B87,'V - AFOLU'!AH:AH)</f>
        <v>0</v>
      </c>
      <c r="V87" s="721" t="str">
        <f>IF(VLOOKUP($B87,'V - AFOLU'!$B:$AJ,32,FALSE)="","",VLOOKUP($B87,'V - AFOLU'!$B:$AJ,32,FALSE))</f>
        <v/>
      </c>
      <c r="W87" s="43"/>
      <c r="X87" s="43"/>
      <c r="Y87" s="43"/>
      <c r="Z87" s="43"/>
      <c r="AA87" s="43"/>
      <c r="AB87" s="43"/>
      <c r="AC87" s="43"/>
      <c r="AD87" s="43"/>
      <c r="AE87" s="43"/>
    </row>
    <row r="88" spans="1:31" s="44" customFormat="1" collapsed="1">
      <c r="A88" s="43"/>
      <c r="B88" s="93" t="s">
        <v>167</v>
      </c>
      <c r="C88" s="93">
        <v>1</v>
      </c>
      <c r="D88" s="849" t="s">
        <v>158</v>
      </c>
      <c r="E88" s="850"/>
      <c r="F88" s="850"/>
      <c r="G88" s="850"/>
      <c r="H88" s="850"/>
      <c r="I88" s="850"/>
      <c r="J88" s="850"/>
      <c r="K88" s="851"/>
      <c r="L88" s="95" t="str">
        <f>IF(VLOOKUP(B88,'V - AFOLU'!$B:$J,9,FALSE)="","",VLOOKUP(B88,'V - AFOLU'!$B:$J,9,FALSE))</f>
        <v>NE</v>
      </c>
      <c r="M88" s="164">
        <f>SUMIF('V - AFOLU'!$B:$B,$B88,'V - AFOLU'!AD:AD)</f>
        <v>0</v>
      </c>
      <c r="N88" s="164">
        <f>SUMIF('V - AFOLU'!$B:$B,$B88,'V - AFOLU'!AE:AE)</f>
        <v>0</v>
      </c>
      <c r="O88" s="164">
        <f>SUMIF('V - AFOLU'!$B:$B,$B88,'V - AFOLU'!AF:AF)</f>
        <v>0</v>
      </c>
      <c r="P88" s="163"/>
      <c r="Q88" s="163"/>
      <c r="R88" s="163"/>
      <c r="S88" s="163"/>
      <c r="T88" s="164">
        <f>SUMIF('V - AFOLU'!$B:$B,$B88,'V - AFOLU'!AG:AG)</f>
        <v>0</v>
      </c>
      <c r="U88" s="164">
        <f>SUMIF('V - AFOLU'!$B:$B,$B88,'V - AFOLU'!AH:AH)</f>
        <v>0</v>
      </c>
      <c r="V88" s="721" t="str">
        <f>IF(VLOOKUP($B88,'V - AFOLU'!$B:$AJ,32,FALSE)="","",VLOOKUP($B88,'V - AFOLU'!$B:$AJ,32,FALSE))</f>
        <v/>
      </c>
      <c r="W88" s="43"/>
      <c r="X88" s="43"/>
      <c r="Y88" s="43"/>
      <c r="Z88" s="43"/>
      <c r="AA88" s="43"/>
      <c r="AB88" s="43"/>
      <c r="AC88" s="43"/>
      <c r="AD88" s="43"/>
      <c r="AE88" s="43"/>
    </row>
    <row r="89" spans="1:31" s="44" customFormat="1">
      <c r="A89" s="43"/>
      <c r="B89" s="93" t="s">
        <v>168</v>
      </c>
      <c r="C89" s="848">
        <v>1</v>
      </c>
      <c r="D89" s="849" t="s">
        <v>159</v>
      </c>
      <c r="E89" s="850"/>
      <c r="F89" s="850"/>
      <c r="G89" s="850"/>
      <c r="H89" s="850"/>
      <c r="I89" s="850"/>
      <c r="J89" s="850"/>
      <c r="K89" s="851"/>
      <c r="L89" s="95" t="str">
        <f>IF(VLOOKUP(B89,'V - AFOLU'!$B:$J,9,FALSE)="","",VLOOKUP(B89,'V - AFOLU'!$B:$J,9,FALSE))</f>
        <v>NE</v>
      </c>
      <c r="M89" s="164">
        <f>SUMIF('V - AFOLU'!$B:$B,$B89,'V - AFOLU'!AD:AD)</f>
        <v>0</v>
      </c>
      <c r="N89" s="164">
        <f>SUMIF('V - AFOLU'!$B:$B,$B89,'V - AFOLU'!AE:AE)</f>
        <v>0</v>
      </c>
      <c r="O89" s="164">
        <f>SUMIF('V - AFOLU'!$B:$B,$B89,'V - AFOLU'!AF:AF)</f>
        <v>0</v>
      </c>
      <c r="P89" s="163"/>
      <c r="Q89" s="163"/>
      <c r="R89" s="163"/>
      <c r="S89" s="163"/>
      <c r="T89" s="164">
        <f>SUMIF('V - AFOLU'!$B:$B,$B89,'V - AFOLU'!AG:AG)</f>
        <v>0</v>
      </c>
      <c r="U89" s="164">
        <f>SUMIF('V - AFOLU'!$B:$B,$B89,'V - AFOLU'!AH:AH)</f>
        <v>0</v>
      </c>
      <c r="V89" s="721" t="str">
        <f>IF(VLOOKUP($B89,'V - AFOLU'!$B:$AJ,32,FALSE)="","",VLOOKUP($B89,'V - AFOLU'!$B:$AJ,32,FALSE))</f>
        <v/>
      </c>
      <c r="W89" s="43"/>
      <c r="X89" s="43"/>
      <c r="Y89" s="43"/>
      <c r="Z89" s="43"/>
      <c r="AA89" s="43"/>
      <c r="AB89" s="43"/>
      <c r="AC89" s="43"/>
      <c r="AD89" s="43"/>
      <c r="AE89" s="43"/>
    </row>
    <row r="90" spans="1:31" s="44" customFormat="1">
      <c r="A90" s="43"/>
      <c r="B90" s="46" t="s">
        <v>160</v>
      </c>
      <c r="C90" s="213">
        <v>3</v>
      </c>
      <c r="D90" s="542" t="s">
        <v>35</v>
      </c>
      <c r="E90" s="543"/>
      <c r="F90" s="543"/>
      <c r="G90" s="543"/>
      <c r="H90" s="543"/>
      <c r="I90" s="543"/>
      <c r="J90" s="543"/>
      <c r="K90" s="543"/>
      <c r="L90" s="48"/>
      <c r="M90" s="165"/>
      <c r="N90" s="165"/>
      <c r="O90" s="165"/>
      <c r="P90" s="165"/>
      <c r="Q90" s="165"/>
      <c r="R90" s="165"/>
      <c r="S90" s="165"/>
      <c r="T90" s="165"/>
      <c r="U90" s="547"/>
      <c r="V90" s="713"/>
      <c r="W90" s="43"/>
      <c r="X90" s="43"/>
      <c r="Y90" s="43"/>
      <c r="Z90" s="43"/>
      <c r="AA90" s="43"/>
      <c r="AB90" s="43"/>
      <c r="AC90" s="43"/>
      <c r="AD90" s="43"/>
      <c r="AE90" s="43"/>
    </row>
    <row r="91" spans="1:31" s="44" customFormat="1" collapsed="1">
      <c r="A91" s="43"/>
      <c r="B91" s="714" t="s">
        <v>161</v>
      </c>
      <c r="C91" s="714">
        <v>3</v>
      </c>
      <c r="D91" s="715" t="s">
        <v>162</v>
      </c>
      <c r="E91" s="715"/>
      <c r="F91" s="715"/>
      <c r="G91" s="715"/>
      <c r="H91" s="715"/>
      <c r="I91" s="715"/>
      <c r="J91" s="715"/>
      <c r="K91" s="715"/>
      <c r="L91" s="716" t="str">
        <f>IF(VLOOKUP(B91,'VI - Other scope 3'!$B:$J,9,FALSE)="","",VLOOKUP(B91,'VI - Other scope 3'!$B:$J,9,FALSE))</f>
        <v/>
      </c>
      <c r="M91" s="717">
        <f>SUMIF('VI - Other scope 3'!$B:$B,$B91,'VI - Other scope 3'!AD:AD)</f>
        <v>150000</v>
      </c>
      <c r="N91" s="717">
        <f>SUMIF('VI - Other scope 3'!$B:$B,$B91,'VI - Other scope 3'!AE:AE)</f>
        <v>10000</v>
      </c>
      <c r="O91" s="717">
        <f>SUMIF('VI - Other scope 3'!$B:$B,$B91,'VI - Other scope 3'!AF:AF)</f>
        <v>8000</v>
      </c>
      <c r="P91" s="718" t="e">
        <f>SUMIF('VI - Other scope 3'!$B:$B,$B91,'VI - Other scope 3'!#REF!)</f>
        <v>#REF!</v>
      </c>
      <c r="Q91" s="718" t="e">
        <f>SUMIF('VI - Other scope 3'!$B:$B,$B91,'VI - Other scope 3'!#REF!)</f>
        <v>#REF!</v>
      </c>
      <c r="R91" s="718" t="e">
        <f>SUMIF('VI - Other scope 3'!$B:$B,$B91,'VI - Other scope 3'!#REF!)</f>
        <v>#REF!</v>
      </c>
      <c r="S91" s="718" t="e">
        <f>SUMIF('VI - Other scope 3'!$B:$B,$B91,'VI - Other scope 3'!#REF!)</f>
        <v>#REF!</v>
      </c>
      <c r="T91" s="717">
        <f>SUMIF('VI - Other scope 3'!$B:$B,$B91,'VI - Other scope 3'!AG:AG)</f>
        <v>168000</v>
      </c>
      <c r="U91" s="717">
        <f>SUMIF('VI - Other scope 3'!$B:$B,$B91,'VI - Other scope 3'!AH:AH)</f>
        <v>0</v>
      </c>
      <c r="V91" s="723" t="e">
        <f>IF(VLOOKUP($B91,'VI - Other scope 3'!$B:$AJ,59,FALSE)="","",VLOOKUP($B91,'VI - Other scope 3'!$B:$AJ,59,FALSE))</f>
        <v>#REF!</v>
      </c>
      <c r="W91" s="43"/>
      <c r="X91" s="43"/>
      <c r="Y91" s="43"/>
      <c r="Z91" s="43"/>
      <c r="AA91" s="43"/>
      <c r="AB91" s="43"/>
      <c r="AC91" s="43"/>
      <c r="AD91" s="43"/>
      <c r="AE91" s="43"/>
    </row>
    <row r="92" spans="1:31" s="43" customFormat="1" ht="31" customHeight="1">
      <c r="B92" s="97"/>
      <c r="C92" s="97"/>
      <c r="L92" s="88"/>
    </row>
    <row r="93" spans="1:31" s="43" customFormat="1" hidden="1">
      <c r="B93" s="97"/>
      <c r="C93" s="97"/>
      <c r="L93" s="88"/>
    </row>
    <row r="94" spans="1:31" s="43" customFormat="1" hidden="1">
      <c r="B94" s="97"/>
      <c r="C94" s="97"/>
      <c r="L94" s="88"/>
    </row>
    <row r="95" spans="1:31" s="40" customFormat="1" hidden="1">
      <c r="B95" s="41"/>
      <c r="C95" s="41"/>
      <c r="L95" s="158"/>
    </row>
    <row r="96" spans="1:31" s="40" customFormat="1" hidden="1">
      <c r="B96" s="41"/>
      <c r="C96" s="41"/>
      <c r="L96" s="158"/>
    </row>
    <row r="97" spans="2:12" s="40" customFormat="1" hidden="1">
      <c r="B97" s="41"/>
      <c r="C97" s="41"/>
      <c r="L97" s="158"/>
    </row>
    <row r="98" spans="2:12" s="40" customFormat="1" hidden="1">
      <c r="B98" s="41"/>
      <c r="C98" s="41"/>
      <c r="L98" s="158"/>
    </row>
    <row r="99" spans="2:12" s="40" customFormat="1" hidden="1">
      <c r="B99" s="41"/>
      <c r="C99" s="41"/>
      <c r="L99" s="158"/>
    </row>
    <row r="100" spans="2:12" s="40" customFormat="1" hidden="1">
      <c r="B100" s="41"/>
      <c r="C100" s="41"/>
      <c r="L100" s="158"/>
    </row>
    <row r="101" spans="2:12" s="40" customFormat="1" hidden="1">
      <c r="B101" s="41"/>
      <c r="C101" s="41"/>
      <c r="L101" s="158"/>
    </row>
    <row r="102" spans="2:12" s="40" customFormat="1" hidden="1">
      <c r="B102" s="41"/>
      <c r="C102" s="41"/>
      <c r="L102" s="158"/>
    </row>
    <row r="103" spans="2:12" s="40" customFormat="1" hidden="1">
      <c r="B103" s="41"/>
      <c r="C103" s="41"/>
      <c r="L103" s="158"/>
    </row>
    <row r="104" spans="2:12" s="40" customFormat="1" hidden="1">
      <c r="B104" s="41"/>
      <c r="C104" s="41"/>
      <c r="L104" s="158"/>
    </row>
    <row r="105" spans="2:12" s="40" customFormat="1" hidden="1">
      <c r="B105" s="41"/>
      <c r="C105" s="41"/>
      <c r="L105" s="158"/>
    </row>
    <row r="106" spans="2:12" s="40" customFormat="1" hidden="1">
      <c r="B106" s="41"/>
      <c r="C106" s="41"/>
      <c r="L106" s="158"/>
    </row>
    <row r="107" spans="2:12" s="40" customFormat="1" hidden="1">
      <c r="B107" s="41"/>
      <c r="C107" s="41"/>
      <c r="L107" s="158"/>
    </row>
    <row r="108" spans="2:12" s="40" customFormat="1" hidden="1">
      <c r="B108" s="41"/>
      <c r="C108" s="41"/>
      <c r="L108" s="158"/>
    </row>
    <row r="109" spans="2:12" s="40" customFormat="1" hidden="1">
      <c r="B109" s="41"/>
      <c r="C109" s="41"/>
      <c r="L109" s="158"/>
    </row>
    <row r="110" spans="2:12" s="40" customFormat="1" hidden="1">
      <c r="B110" s="41"/>
      <c r="C110" s="41"/>
      <c r="L110" s="158"/>
    </row>
    <row r="111" spans="2:12" s="40" customFormat="1" hidden="1">
      <c r="B111" s="41"/>
      <c r="C111" s="41"/>
      <c r="L111" s="158"/>
    </row>
    <row r="112" spans="2:12" s="40" customFormat="1" hidden="1">
      <c r="B112" s="41"/>
      <c r="C112" s="41"/>
      <c r="L112" s="158"/>
    </row>
    <row r="113" spans="2:12" s="40" customFormat="1" hidden="1">
      <c r="B113" s="41"/>
      <c r="C113" s="41"/>
      <c r="L113" s="158"/>
    </row>
    <row r="114" spans="2:12" s="40" customFormat="1" hidden="1">
      <c r="B114" s="41"/>
      <c r="C114" s="41"/>
      <c r="L114" s="158"/>
    </row>
    <row r="115" spans="2:12" s="40" customFormat="1" hidden="1">
      <c r="B115" s="41"/>
      <c r="C115" s="41"/>
      <c r="L115" s="158"/>
    </row>
    <row r="116" spans="2:12" s="40" customFormat="1" hidden="1">
      <c r="B116" s="41"/>
      <c r="C116" s="41"/>
      <c r="L116" s="158"/>
    </row>
    <row r="117" spans="2:12" s="40" customFormat="1" hidden="1">
      <c r="B117" s="41"/>
      <c r="C117" s="41"/>
      <c r="L117" s="158"/>
    </row>
    <row r="118" spans="2:12" s="40" customFormat="1" hidden="1">
      <c r="B118" s="41"/>
      <c r="C118" s="41"/>
      <c r="L118" s="158"/>
    </row>
    <row r="119" spans="2:12" s="40" customFormat="1" hidden="1">
      <c r="B119" s="41"/>
      <c r="C119" s="41"/>
      <c r="L119" s="158"/>
    </row>
  </sheetData>
  <sheetProtection selectLockedCells="1" selectUnlockedCells="1"/>
  <mergeCells count="19">
    <mergeCell ref="V12:V13"/>
    <mergeCell ref="B12:B13"/>
    <mergeCell ref="C12:C13"/>
    <mergeCell ref="M12:U12"/>
    <mergeCell ref="L12:L13"/>
    <mergeCell ref="D12:K13"/>
    <mergeCell ref="B2:B3"/>
    <mergeCell ref="J2:K2"/>
    <mergeCell ref="L2:M2"/>
    <mergeCell ref="N2:O2"/>
    <mergeCell ref="J3:K3"/>
    <mergeCell ref="L3:M3"/>
    <mergeCell ref="D2:E2"/>
    <mergeCell ref="D3:E3"/>
    <mergeCell ref="F2:G2"/>
    <mergeCell ref="H2:I2"/>
    <mergeCell ref="N3:O3"/>
    <mergeCell ref="F3:G3"/>
    <mergeCell ref="H3:I3"/>
  </mergeCells>
  <phoneticPr fontId="13" type="noConversion"/>
  <hyperlinks>
    <hyperlink ref="F3" location="Graphs!A1" display="Graphs"/>
    <hyperlink ref="F2" location="'City information'!A1" display="Set-up"/>
    <hyperlink ref="H2" location="Inventory!A1" display="Inventory"/>
    <hyperlink ref="D3" location="Summary!A1" display="Summary"/>
    <hyperlink ref="J2" location="Calculators!A1" display="Calculators"/>
    <hyperlink ref="K2" location="Calculators!A1" display="Calculators!A1"/>
    <hyperlink ref="J3" location="Report!A1" display="Report"/>
    <hyperlink ref="K3" location="Report!A1" display="Report!A1"/>
    <hyperlink ref="N2" location="Analysis!A1" display="Analysis"/>
    <hyperlink ref="L2" location="Results!A1" display="Results"/>
    <hyperlink ref="M2" location="Results!A1" display="Results!A1"/>
    <hyperlink ref="H3" location="Overview!A1" display="Overview"/>
    <hyperlink ref="I3" location="Overview!A1" display="Overview!A1"/>
    <hyperlink ref="N3" location="'Net emissions'!A1" display="Net emissions"/>
    <hyperlink ref="O3" location="'Net emissions'!A1" display="'Net emissions'!A1"/>
    <hyperlink ref="D2" location="Home!A1" display="Introduction"/>
    <hyperlink ref="L3" location="Audit!A1" display="Audit"/>
  </hyperlinks>
  <pageMargins left="0.16" right="0.16" top="0.16" bottom="0.16" header="0.16" footer="0.16"/>
  <pageSetup paperSize="9" scale="50" fitToWidth="2" fitToHeight="2" orientation="landscape" horizontalDpi="4294967292" verticalDpi="4294967292"/>
  <drawing r:id="rId1"/>
  <extLst>
    <ext xmlns:mx="http://schemas.microsoft.com/office/mac/excel/2008/main" uri="{64002731-A6B0-56B0-2670-7721B7C09600}">
      <mx:PLV Mode="0" OnePage="0" WScale="50"/>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enableFormatConditionsCalculation="0">
    <tabColor theme="4"/>
    <outlinePr summaryBelow="0"/>
    <pageSetUpPr fitToPage="1"/>
  </sheetPr>
  <dimension ref="A1:Y121"/>
  <sheetViews>
    <sheetView showRowColHeaders="0" workbookViewId="0">
      <selection activeCell="N3" sqref="N3:O3"/>
    </sheetView>
  </sheetViews>
  <sheetFormatPr baseColWidth="10" defaultColWidth="0" defaultRowHeight="15" customHeight="1" zeroHeight="1" x14ac:dyDescent="0"/>
  <cols>
    <col min="1" max="1" width="4.83203125" style="31" customWidth="1"/>
    <col min="2" max="2" width="12.83203125" style="32" customWidth="1"/>
    <col min="3" max="8" width="12.83203125" style="33" customWidth="1"/>
    <col min="9" max="11" width="12.83203125" style="34" customWidth="1"/>
    <col min="12" max="15" width="12.83203125" style="31" customWidth="1"/>
    <col min="16" max="16" width="4.83203125" style="15" customWidth="1"/>
    <col min="17" max="20" width="10.83203125" style="31" hidden="1" customWidth="1"/>
    <col min="21" max="25" width="10.83203125" style="26" hidden="1" customWidth="1"/>
    <col min="26" max="45" width="10.83203125" style="31" hidden="1" customWidth="1"/>
    <col min="46" max="16384" width="10.83203125" style="31" hidden="1"/>
  </cols>
  <sheetData>
    <row r="1" spans="1:25" s="498" customFormat="1">
      <c r="P1" s="499"/>
      <c r="Q1" s="499"/>
      <c r="R1" s="499"/>
      <c r="S1" s="500"/>
      <c r="T1" s="500"/>
      <c r="U1" s="500"/>
    </row>
    <row r="2" spans="1:25" s="464" customFormat="1" ht="31" customHeight="1">
      <c r="A2" s="494"/>
      <c r="B2" s="1817" t="s">
        <v>1965</v>
      </c>
      <c r="C2" s="1819">
        <v>400</v>
      </c>
      <c r="D2" s="1849" t="s">
        <v>1555</v>
      </c>
      <c r="E2" s="1850"/>
      <c r="F2" s="1849" t="s">
        <v>1563</v>
      </c>
      <c r="G2" s="1850"/>
      <c r="H2" s="1849" t="s">
        <v>794</v>
      </c>
      <c r="I2" s="1850"/>
      <c r="J2" s="1849" t="s">
        <v>1570</v>
      </c>
      <c r="K2" s="1850"/>
      <c r="L2" s="1847" t="s">
        <v>1564</v>
      </c>
      <c r="M2" s="1848"/>
      <c r="N2" s="1849" t="s">
        <v>1602</v>
      </c>
      <c r="O2" s="1850"/>
      <c r="P2" s="494"/>
    </row>
    <row r="3" spans="1:25" s="464" customFormat="1" ht="31" customHeight="1">
      <c r="A3" s="494"/>
      <c r="B3" s="1818"/>
      <c r="C3" s="1820"/>
      <c r="D3" s="1843" t="s">
        <v>1567</v>
      </c>
      <c r="E3" s="1844"/>
      <c r="F3" s="1843" t="s">
        <v>1584</v>
      </c>
      <c r="G3" s="1844"/>
      <c r="H3" s="1843" t="s">
        <v>1568</v>
      </c>
      <c r="I3" s="1844"/>
      <c r="J3" s="1843" t="s">
        <v>1569</v>
      </c>
      <c r="K3" s="1844"/>
      <c r="L3" s="1847" t="s">
        <v>1962</v>
      </c>
      <c r="M3" s="1848"/>
      <c r="N3" s="1843" t="s">
        <v>1019</v>
      </c>
      <c r="O3" s="1844"/>
      <c r="P3" s="494"/>
    </row>
    <row r="4" spans="1:25" s="494" customFormat="1" ht="15" customHeight="1">
      <c r="B4" s="492"/>
      <c r="C4" s="495"/>
      <c r="D4" s="497"/>
      <c r="E4" s="497"/>
      <c r="F4" s="497"/>
      <c r="G4" s="497"/>
      <c r="H4" s="497"/>
      <c r="I4" s="497"/>
      <c r="J4" s="496"/>
      <c r="K4" s="496"/>
      <c r="L4" s="496"/>
      <c r="M4" s="496"/>
      <c r="N4" s="496"/>
      <c r="O4" s="496"/>
    </row>
    <row r="5" spans="1:25" ht="31" customHeight="1">
      <c r="P5" s="31"/>
    </row>
    <row r="6" spans="1:25" s="978" customFormat="1" ht="31" customHeight="1" thickBot="1">
      <c r="A6" s="1192"/>
      <c r="B6" s="491" t="s">
        <v>1917</v>
      </c>
      <c r="C6" s="976"/>
      <c r="D6" s="976"/>
      <c r="E6" s="976"/>
      <c r="F6" s="976"/>
      <c r="G6" s="976"/>
      <c r="H6" s="976"/>
      <c r="I6" s="977"/>
      <c r="J6" s="977"/>
      <c r="K6" s="977"/>
      <c r="L6" s="976"/>
      <c r="M6" s="976"/>
      <c r="N6" s="976"/>
      <c r="O6" s="976"/>
      <c r="U6" s="979"/>
      <c r="V6" s="979"/>
      <c r="W6" s="979"/>
      <c r="X6" s="979"/>
      <c r="Y6" s="979"/>
    </row>
    <row r="7" spans="1:25" s="29" customFormat="1" ht="15" customHeight="1" thickTop="1">
      <c r="B7" s="229"/>
      <c r="C7" s="230"/>
      <c r="D7" s="230"/>
      <c r="E7" s="230"/>
      <c r="F7" s="230"/>
      <c r="G7" s="230"/>
      <c r="H7" s="230"/>
      <c r="I7" s="30"/>
      <c r="J7" s="30"/>
      <c r="K7" s="30"/>
      <c r="U7" s="234"/>
      <c r="V7" s="234"/>
      <c r="W7" s="234"/>
      <c r="X7" s="234"/>
      <c r="Y7" s="234"/>
    </row>
    <row r="8" spans="1:25" s="29" customFormat="1" ht="15" customHeight="1">
      <c r="B8" s="229"/>
      <c r="C8" s="1327" t="s">
        <v>2021</v>
      </c>
      <c r="D8" s="230"/>
      <c r="E8" s="230"/>
      <c r="F8" s="230"/>
      <c r="G8" s="230"/>
      <c r="H8" s="230"/>
      <c r="I8" s="30"/>
      <c r="J8" s="30"/>
      <c r="K8" s="30"/>
      <c r="U8" s="234"/>
      <c r="V8" s="234"/>
      <c r="W8" s="234"/>
      <c r="X8" s="234"/>
      <c r="Y8" s="234"/>
    </row>
    <row r="9" spans="1:25" s="29" customFormat="1" ht="15" customHeight="1">
      <c r="B9" s="229"/>
      <c r="C9" s="1328"/>
      <c r="D9" s="230"/>
      <c r="E9" s="230"/>
      <c r="F9" s="230"/>
      <c r="G9" s="230"/>
      <c r="H9" s="230"/>
      <c r="I9" s="30"/>
      <c r="J9" s="30"/>
      <c r="K9" s="30"/>
      <c r="U9" s="234"/>
      <c r="V9" s="234"/>
      <c r="W9" s="234"/>
      <c r="X9" s="234"/>
      <c r="Y9" s="234"/>
    </row>
    <row r="10" spans="1:25" s="29" customFormat="1" ht="15" customHeight="1">
      <c r="B10" s="229"/>
      <c r="C10" s="1327" t="s">
        <v>2647</v>
      </c>
      <c r="D10" s="230"/>
      <c r="E10" s="230"/>
      <c r="F10" s="230"/>
      <c r="G10" s="230"/>
      <c r="H10" s="230"/>
      <c r="I10" s="30"/>
      <c r="J10" s="30"/>
      <c r="K10" s="30"/>
      <c r="U10" s="234"/>
      <c r="V10" s="234"/>
      <c r="W10" s="234"/>
      <c r="X10" s="234"/>
      <c r="Y10" s="234"/>
    </row>
    <row r="11" spans="1:25" s="15" customFormat="1" ht="15" customHeight="1">
      <c r="B11" s="1355"/>
    </row>
    <row r="12" spans="1:25" s="15" customFormat="1" ht="31" customHeight="1">
      <c r="B12" s="2228" t="s">
        <v>2434</v>
      </c>
      <c r="C12" s="2229"/>
      <c r="D12" s="2229"/>
      <c r="E12" s="2229" t="s">
        <v>241</v>
      </c>
      <c r="F12" s="2229"/>
      <c r="G12" s="2229"/>
      <c r="H12" s="2229" t="s">
        <v>1039</v>
      </c>
      <c r="I12" s="2229"/>
      <c r="J12" s="2229"/>
      <c r="K12" s="1323" t="s">
        <v>2443</v>
      </c>
      <c r="L12" s="2214" t="s">
        <v>2433</v>
      </c>
      <c r="M12" s="2215"/>
      <c r="N12" s="2215"/>
      <c r="O12" s="1335" t="s">
        <v>2443</v>
      </c>
    </row>
    <row r="13" spans="1:25" s="205" customFormat="1" ht="31" customHeight="1">
      <c r="B13" s="2222" t="s">
        <v>288</v>
      </c>
      <c r="C13" s="2223"/>
      <c r="D13" s="2224"/>
      <c r="E13" s="2225"/>
      <c r="F13" s="2226"/>
      <c r="G13" s="2227"/>
      <c r="H13" s="2225"/>
      <c r="I13" s="2226"/>
      <c r="J13" s="2227"/>
      <c r="K13" s="1324"/>
      <c r="L13" s="1332"/>
      <c r="M13" s="1333"/>
      <c r="N13" s="1334"/>
      <c r="O13" s="1324"/>
    </row>
    <row r="14" spans="1:25" s="205" customFormat="1" ht="15" customHeight="1">
      <c r="B14" s="2222" t="s">
        <v>2359</v>
      </c>
      <c r="C14" s="2223"/>
      <c r="D14" s="2224"/>
      <c r="E14" s="2225"/>
      <c r="F14" s="2226"/>
      <c r="G14" s="2227"/>
      <c r="H14" s="2225"/>
      <c r="I14" s="2226"/>
      <c r="J14" s="2227"/>
      <c r="K14" s="1324"/>
      <c r="L14" s="1332"/>
      <c r="M14" s="1333"/>
      <c r="N14" s="1334"/>
      <c r="O14" s="1324"/>
    </row>
    <row r="15" spans="1:25" s="205" customFormat="1" ht="15" customHeight="1">
      <c r="B15" s="2216" t="s">
        <v>2360</v>
      </c>
      <c r="C15" s="2217"/>
      <c r="D15" s="2218"/>
      <c r="E15" s="2219"/>
      <c r="F15" s="2220"/>
      <c r="G15" s="2221"/>
      <c r="H15" s="2219"/>
      <c r="I15" s="2220"/>
      <c r="J15" s="2220"/>
      <c r="K15" s="1326"/>
      <c r="L15" s="1329"/>
      <c r="M15" s="1330"/>
      <c r="N15" s="1331"/>
      <c r="O15" s="1326"/>
    </row>
    <row r="16" spans="1:25" s="205" customFormat="1" ht="15" customHeight="1">
      <c r="B16" s="2216" t="s">
        <v>2361</v>
      </c>
      <c r="C16" s="2217"/>
      <c r="D16" s="2218"/>
      <c r="E16" s="2219"/>
      <c r="F16" s="2220"/>
      <c r="G16" s="2221"/>
      <c r="H16" s="2219"/>
      <c r="I16" s="2220"/>
      <c r="J16" s="2220"/>
      <c r="K16" s="1326"/>
      <c r="L16" s="1329"/>
      <c r="M16" s="1330"/>
      <c r="N16" s="1331"/>
      <c r="O16" s="1326"/>
    </row>
    <row r="17" spans="2:15" s="205" customFormat="1" ht="15" customHeight="1">
      <c r="B17" s="2216" t="s">
        <v>2362</v>
      </c>
      <c r="C17" s="2217"/>
      <c r="D17" s="2218"/>
      <c r="E17" s="2219"/>
      <c r="F17" s="2220"/>
      <c r="G17" s="2221"/>
      <c r="H17" s="2219"/>
      <c r="I17" s="2220"/>
      <c r="J17" s="2220"/>
      <c r="K17" s="1326"/>
      <c r="L17" s="1329"/>
      <c r="M17" s="1330"/>
      <c r="N17" s="1331"/>
      <c r="O17" s="1326"/>
    </row>
    <row r="18" spans="2:15" s="205" customFormat="1" ht="15" customHeight="1">
      <c r="B18" s="2216" t="s">
        <v>2008</v>
      </c>
      <c r="C18" s="2217"/>
      <c r="D18" s="2218"/>
      <c r="E18" s="2219"/>
      <c r="F18" s="2220"/>
      <c r="G18" s="2221"/>
      <c r="H18" s="2219"/>
      <c r="I18" s="2220"/>
      <c r="J18" s="2220"/>
      <c r="K18" s="1326"/>
      <c r="L18" s="1329"/>
      <c r="M18" s="1330"/>
      <c r="N18" s="1331"/>
      <c r="O18" s="1326"/>
    </row>
    <row r="19" spans="2:15" s="205" customFormat="1" ht="15" customHeight="1">
      <c r="B19" s="2216" t="s">
        <v>2363</v>
      </c>
      <c r="C19" s="2217"/>
      <c r="D19" s="2218"/>
      <c r="E19" s="2219"/>
      <c r="F19" s="2220"/>
      <c r="G19" s="2221"/>
      <c r="H19" s="2219"/>
      <c r="I19" s="2220"/>
      <c r="J19" s="2220"/>
      <c r="K19" s="1326"/>
      <c r="L19" s="1329"/>
      <c r="M19" s="1330"/>
      <c r="N19" s="1331"/>
      <c r="O19" s="1326"/>
    </row>
    <row r="20" spans="2:15" s="205" customFormat="1" ht="15" customHeight="1">
      <c r="B20" s="2216" t="s">
        <v>2364</v>
      </c>
      <c r="C20" s="2217"/>
      <c r="D20" s="2218"/>
      <c r="E20" s="2219"/>
      <c r="F20" s="2220"/>
      <c r="G20" s="2221"/>
      <c r="H20" s="2219"/>
      <c r="I20" s="2220"/>
      <c r="J20" s="2220"/>
      <c r="K20" s="1326"/>
      <c r="L20" s="1329"/>
      <c r="M20" s="1330"/>
      <c r="N20" s="1331"/>
      <c r="O20" s="1326"/>
    </row>
    <row r="21" spans="2:15" s="205" customFormat="1" ht="15" customHeight="1">
      <c r="B21" s="2216" t="s">
        <v>2365</v>
      </c>
      <c r="C21" s="2217"/>
      <c r="D21" s="2218"/>
      <c r="E21" s="2219"/>
      <c r="F21" s="2220"/>
      <c r="G21" s="2221"/>
      <c r="H21" s="2219"/>
      <c r="I21" s="2220"/>
      <c r="J21" s="2220"/>
      <c r="K21" s="1326"/>
      <c r="L21" s="1329"/>
      <c r="M21" s="1330"/>
      <c r="N21" s="1331"/>
      <c r="O21" s="1326"/>
    </row>
    <row r="22" spans="2:15" s="205" customFormat="1" ht="15" customHeight="1">
      <c r="B22" s="2216" t="s">
        <v>621</v>
      </c>
      <c r="C22" s="2217"/>
      <c r="D22" s="2218"/>
      <c r="E22" s="2219"/>
      <c r="F22" s="2220"/>
      <c r="G22" s="2221"/>
      <c r="H22" s="2219"/>
      <c r="I22" s="2220"/>
      <c r="J22" s="2220"/>
      <c r="K22" s="1326"/>
      <c r="L22" s="1329"/>
      <c r="M22" s="1330"/>
      <c r="N22" s="1331"/>
      <c r="O22" s="1326"/>
    </row>
    <row r="23" spans="2:15" s="205" customFormat="1" ht="15" customHeight="1">
      <c r="B23" s="2216" t="s">
        <v>2003</v>
      </c>
      <c r="C23" s="2217"/>
      <c r="D23" s="2218"/>
      <c r="E23" s="2219"/>
      <c r="F23" s="2220"/>
      <c r="G23" s="2221"/>
      <c r="H23" s="2219"/>
      <c r="I23" s="2220"/>
      <c r="J23" s="2220"/>
      <c r="K23" s="1326"/>
      <c r="L23" s="1329"/>
      <c r="M23" s="1330"/>
      <c r="N23" s="1331"/>
      <c r="O23" s="1326"/>
    </row>
    <row r="24" spans="2:15" s="205" customFormat="1" ht="15" customHeight="1">
      <c r="B24" s="2222" t="s">
        <v>2366</v>
      </c>
      <c r="C24" s="2223"/>
      <c r="D24" s="2224"/>
      <c r="E24" s="2225"/>
      <c r="F24" s="2226"/>
      <c r="G24" s="2227"/>
      <c r="H24" s="2225"/>
      <c r="I24" s="2226"/>
      <c r="J24" s="2227"/>
      <c r="K24" s="1325"/>
      <c r="L24" s="1332"/>
      <c r="M24" s="1333"/>
      <c r="N24" s="1334"/>
      <c r="O24" s="1325"/>
    </row>
    <row r="25" spans="2:15" s="205" customFormat="1" ht="15" customHeight="1">
      <c r="B25" s="2216" t="s">
        <v>2367</v>
      </c>
      <c r="C25" s="2217"/>
      <c r="D25" s="2218"/>
      <c r="E25" s="2219"/>
      <c r="F25" s="2220"/>
      <c r="G25" s="2221"/>
      <c r="H25" s="2219"/>
      <c r="I25" s="2220"/>
      <c r="J25" s="2221"/>
      <c r="K25" s="1326"/>
      <c r="L25" s="1329"/>
      <c r="M25" s="1330"/>
      <c r="N25" s="1331"/>
      <c r="O25" s="1326"/>
    </row>
    <row r="26" spans="2:15" s="205" customFormat="1" ht="15" customHeight="1">
      <c r="B26" s="2216" t="s">
        <v>2368</v>
      </c>
      <c r="C26" s="2217"/>
      <c r="D26" s="2218"/>
      <c r="E26" s="2219"/>
      <c r="F26" s="2220"/>
      <c r="G26" s="2221"/>
      <c r="H26" s="2219"/>
      <c r="I26" s="2220"/>
      <c r="J26" s="2221"/>
      <c r="K26" s="1326"/>
      <c r="L26" s="1329"/>
      <c r="M26" s="1330"/>
      <c r="N26" s="1331"/>
      <c r="O26" s="1326"/>
    </row>
    <row r="27" spans="2:15" s="205" customFormat="1" ht="15" customHeight="1">
      <c r="B27" s="2216" t="s">
        <v>2369</v>
      </c>
      <c r="C27" s="2217"/>
      <c r="D27" s="2218"/>
      <c r="E27" s="2219"/>
      <c r="F27" s="2220"/>
      <c r="G27" s="2221"/>
      <c r="H27" s="2219"/>
      <c r="I27" s="2220"/>
      <c r="J27" s="2221"/>
      <c r="K27" s="1326"/>
      <c r="L27" s="1329"/>
      <c r="M27" s="1330"/>
      <c r="N27" s="1331"/>
      <c r="O27" s="1326"/>
    </row>
    <row r="28" spans="2:15" s="205" customFormat="1" ht="15" customHeight="1">
      <c r="B28" s="2216" t="s">
        <v>2370</v>
      </c>
      <c r="C28" s="2217"/>
      <c r="D28" s="2218"/>
      <c r="E28" s="2219"/>
      <c r="F28" s="2220"/>
      <c r="G28" s="2221"/>
      <c r="H28" s="2219"/>
      <c r="I28" s="2220"/>
      <c r="J28" s="2221"/>
      <c r="K28" s="1326"/>
      <c r="L28" s="1329"/>
      <c r="M28" s="1330"/>
      <c r="N28" s="1331"/>
      <c r="O28" s="1326"/>
    </row>
    <row r="29" spans="2:15" s="205" customFormat="1" ht="15" customHeight="1">
      <c r="B29" s="2216" t="s">
        <v>2371</v>
      </c>
      <c r="C29" s="2217"/>
      <c r="D29" s="2218"/>
      <c r="E29" s="2219"/>
      <c r="F29" s="2220"/>
      <c r="G29" s="2221"/>
      <c r="H29" s="2219"/>
      <c r="I29" s="2220"/>
      <c r="J29" s="2221"/>
      <c r="K29" s="1326"/>
      <c r="L29" s="1329"/>
      <c r="M29" s="1330"/>
      <c r="N29" s="1331"/>
      <c r="O29" s="1326"/>
    </row>
    <row r="30" spans="2:15" s="205" customFormat="1" ht="15" customHeight="1">
      <c r="B30" s="2216" t="s">
        <v>2372</v>
      </c>
      <c r="C30" s="2217"/>
      <c r="D30" s="2218"/>
      <c r="E30" s="2219"/>
      <c r="F30" s="2220"/>
      <c r="G30" s="2221"/>
      <c r="H30" s="2219"/>
      <c r="I30" s="2220"/>
      <c r="J30" s="2221"/>
      <c r="K30" s="1326"/>
      <c r="L30" s="1329"/>
      <c r="M30" s="1330"/>
      <c r="N30" s="1331"/>
      <c r="O30" s="1326"/>
    </row>
    <row r="31" spans="2:15" s="205" customFormat="1" ht="15" customHeight="1">
      <c r="B31" s="2216" t="s">
        <v>2373</v>
      </c>
      <c r="C31" s="2217"/>
      <c r="D31" s="2218"/>
      <c r="E31" s="2219"/>
      <c r="F31" s="2220"/>
      <c r="G31" s="2221"/>
      <c r="H31" s="2219"/>
      <c r="I31" s="2220"/>
      <c r="J31" s="2221"/>
      <c r="K31" s="1326"/>
      <c r="L31" s="1329"/>
      <c r="M31" s="1330"/>
      <c r="N31" s="1331"/>
      <c r="O31" s="1326"/>
    </row>
    <row r="32" spans="2:15" s="205" customFormat="1" ht="15" customHeight="1">
      <c r="B32" s="2216" t="s">
        <v>859</v>
      </c>
      <c r="C32" s="2217"/>
      <c r="D32" s="2218"/>
      <c r="E32" s="2219"/>
      <c r="F32" s="2220"/>
      <c r="G32" s="2221"/>
      <c r="H32" s="2219"/>
      <c r="I32" s="2220"/>
      <c r="J32" s="2221"/>
      <c r="K32" s="1326"/>
      <c r="L32" s="1329"/>
      <c r="M32" s="1330"/>
      <c r="N32" s="1331"/>
      <c r="O32" s="1326"/>
    </row>
    <row r="33" spans="2:15" s="205" customFormat="1" ht="15" customHeight="1">
      <c r="B33" s="2222" t="s">
        <v>2374</v>
      </c>
      <c r="C33" s="2223"/>
      <c r="D33" s="2224"/>
      <c r="E33" s="2225"/>
      <c r="F33" s="2226"/>
      <c r="G33" s="2227"/>
      <c r="H33" s="2225"/>
      <c r="I33" s="2226"/>
      <c r="J33" s="2227"/>
      <c r="K33" s="1324"/>
      <c r="L33" s="1332"/>
      <c r="M33" s="1333"/>
      <c r="N33" s="1334"/>
      <c r="O33" s="1324"/>
    </row>
    <row r="34" spans="2:15" s="205" customFormat="1" ht="15" customHeight="1">
      <c r="B34" s="2216" t="s">
        <v>834</v>
      </c>
      <c r="C34" s="2217"/>
      <c r="D34" s="2218"/>
      <c r="E34" s="2219"/>
      <c r="F34" s="2220"/>
      <c r="G34" s="2221"/>
      <c r="H34" s="2219"/>
      <c r="I34" s="2220"/>
      <c r="J34" s="2221"/>
      <c r="K34" s="1326"/>
      <c r="L34" s="1329"/>
      <c r="M34" s="1330"/>
      <c r="N34" s="1331"/>
      <c r="O34" s="1326"/>
    </row>
    <row r="35" spans="2:15" s="205" customFormat="1" ht="15" customHeight="1">
      <c r="B35" s="2216" t="s">
        <v>835</v>
      </c>
      <c r="C35" s="2217"/>
      <c r="D35" s="2218"/>
      <c r="E35" s="2219"/>
      <c r="F35" s="2220"/>
      <c r="G35" s="2221"/>
      <c r="H35" s="2219"/>
      <c r="I35" s="2220"/>
      <c r="J35" s="2221"/>
      <c r="K35" s="1326"/>
      <c r="L35" s="1329"/>
      <c r="M35" s="1330"/>
      <c r="N35" s="1331"/>
      <c r="O35" s="1326"/>
    </row>
    <row r="36" spans="2:15" s="205" customFormat="1" ht="15" customHeight="1">
      <c r="B36" s="2216" t="s">
        <v>832</v>
      </c>
      <c r="C36" s="2217"/>
      <c r="D36" s="2218"/>
      <c r="E36" s="2219"/>
      <c r="F36" s="2220"/>
      <c r="G36" s="2221"/>
      <c r="H36" s="2219"/>
      <c r="I36" s="2220"/>
      <c r="J36" s="2221"/>
      <c r="K36" s="1326"/>
      <c r="L36" s="1329"/>
      <c r="M36" s="1330"/>
      <c r="N36" s="1331"/>
      <c r="O36" s="1326"/>
    </row>
    <row r="37" spans="2:15" s="205" customFormat="1" ht="15" customHeight="1">
      <c r="B37" s="2216" t="s">
        <v>833</v>
      </c>
      <c r="C37" s="2217"/>
      <c r="D37" s="2218"/>
      <c r="E37" s="2219"/>
      <c r="F37" s="2220"/>
      <c r="G37" s="2221"/>
      <c r="H37" s="2219"/>
      <c r="I37" s="2220"/>
      <c r="J37" s="2221"/>
      <c r="K37" s="1326"/>
      <c r="L37" s="1329"/>
      <c r="M37" s="1330"/>
      <c r="N37" s="1331"/>
      <c r="O37" s="1326"/>
    </row>
    <row r="38" spans="2:15" s="205" customFormat="1" ht="15" customHeight="1">
      <c r="B38" s="2216" t="s">
        <v>2375</v>
      </c>
      <c r="C38" s="2217"/>
      <c r="D38" s="2218"/>
      <c r="E38" s="2219"/>
      <c r="F38" s="2220"/>
      <c r="G38" s="2221"/>
      <c r="H38" s="2219"/>
      <c r="I38" s="2220"/>
      <c r="J38" s="2221"/>
      <c r="K38" s="1326"/>
      <c r="L38" s="1329"/>
      <c r="M38" s="1330"/>
      <c r="N38" s="1331"/>
      <c r="O38" s="1326"/>
    </row>
    <row r="39" spans="2:15" s="205" customFormat="1" ht="15" customHeight="1">
      <c r="B39" s="2216" t="s">
        <v>2376</v>
      </c>
      <c r="C39" s="2217"/>
      <c r="D39" s="2218"/>
      <c r="E39" s="2219"/>
      <c r="F39" s="2220"/>
      <c r="G39" s="2221"/>
      <c r="H39" s="2219"/>
      <c r="I39" s="2220"/>
      <c r="J39" s="2221"/>
      <c r="K39" s="1326"/>
      <c r="L39" s="1329"/>
      <c r="M39" s="1330"/>
      <c r="N39" s="1331"/>
      <c r="O39" s="1326"/>
    </row>
    <row r="40" spans="2:15" s="205" customFormat="1" ht="15" customHeight="1">
      <c r="B40" s="2222" t="s">
        <v>2377</v>
      </c>
      <c r="C40" s="2223"/>
      <c r="D40" s="2224"/>
      <c r="E40" s="2225"/>
      <c r="F40" s="2226"/>
      <c r="G40" s="2227"/>
      <c r="H40" s="2225"/>
      <c r="I40" s="2226"/>
      <c r="J40" s="2227"/>
      <c r="K40" s="1324"/>
      <c r="L40" s="1332"/>
      <c r="M40" s="1333"/>
      <c r="N40" s="1334"/>
      <c r="O40" s="1324"/>
    </row>
    <row r="41" spans="2:15" s="205" customFormat="1" ht="15" customHeight="1">
      <c r="B41" s="2216" t="s">
        <v>2378</v>
      </c>
      <c r="C41" s="2217"/>
      <c r="D41" s="2218"/>
      <c r="E41" s="2219"/>
      <c r="F41" s="2220"/>
      <c r="G41" s="2221"/>
      <c r="H41" s="2219"/>
      <c r="I41" s="2220"/>
      <c r="J41" s="2221"/>
      <c r="K41" s="1326"/>
      <c r="L41" s="1329"/>
      <c r="M41" s="1330"/>
      <c r="N41" s="1331"/>
      <c r="O41" s="1326"/>
    </row>
    <row r="42" spans="2:15" s="205" customFormat="1" ht="15" customHeight="1">
      <c r="B42" s="2216" t="s">
        <v>2379</v>
      </c>
      <c r="C42" s="2217"/>
      <c r="D42" s="2218"/>
      <c r="E42" s="2219"/>
      <c r="F42" s="2220"/>
      <c r="G42" s="2221"/>
      <c r="H42" s="2219"/>
      <c r="I42" s="2220"/>
      <c r="J42" s="2221"/>
      <c r="K42" s="1326"/>
      <c r="L42" s="1329"/>
      <c r="M42" s="1330"/>
      <c r="N42" s="1331"/>
      <c r="O42" s="1326"/>
    </row>
    <row r="43" spans="2:15" s="205" customFormat="1" ht="15" customHeight="1">
      <c r="B43" s="2216" t="s">
        <v>2380</v>
      </c>
      <c r="C43" s="2217"/>
      <c r="D43" s="2218"/>
      <c r="E43" s="2219"/>
      <c r="F43" s="2220"/>
      <c r="G43" s="2221"/>
      <c r="H43" s="2219"/>
      <c r="I43" s="2220"/>
      <c r="J43" s="2221"/>
      <c r="K43" s="1326"/>
      <c r="L43" s="1329"/>
      <c r="M43" s="1330"/>
      <c r="N43" s="1331"/>
      <c r="O43" s="1326"/>
    </row>
    <row r="44" spans="2:15" s="205" customFormat="1" ht="31" customHeight="1">
      <c r="B44" s="2222" t="s">
        <v>721</v>
      </c>
      <c r="C44" s="2223"/>
      <c r="D44" s="2224"/>
      <c r="E44" s="2225"/>
      <c r="F44" s="2226"/>
      <c r="G44" s="2227"/>
      <c r="H44" s="2225"/>
      <c r="I44" s="2226"/>
      <c r="J44" s="2227"/>
      <c r="K44" s="1324"/>
      <c r="L44" s="1332"/>
      <c r="M44" s="1333"/>
      <c r="N44" s="1334"/>
      <c r="O44" s="1324"/>
    </row>
    <row r="45" spans="2:15" s="205" customFormat="1" ht="15" customHeight="1">
      <c r="B45" s="2216" t="s">
        <v>2381</v>
      </c>
      <c r="C45" s="2217"/>
      <c r="D45" s="2218"/>
      <c r="E45" s="2219"/>
      <c r="F45" s="2220"/>
      <c r="G45" s="2221"/>
      <c r="H45" s="2219"/>
      <c r="I45" s="2220"/>
      <c r="J45" s="2221"/>
      <c r="K45" s="1326"/>
      <c r="L45" s="1329"/>
      <c r="M45" s="1330"/>
      <c r="N45" s="1331"/>
      <c r="O45" s="1326"/>
    </row>
    <row r="46" spans="2:15" s="205" customFormat="1" ht="31" customHeight="1">
      <c r="B46" s="2222" t="s">
        <v>727</v>
      </c>
      <c r="C46" s="2223"/>
      <c r="D46" s="2224"/>
      <c r="E46" s="2225"/>
      <c r="F46" s="2226"/>
      <c r="G46" s="2227"/>
      <c r="H46" s="2225"/>
      <c r="I46" s="2226"/>
      <c r="J46" s="2227"/>
      <c r="K46" s="1324"/>
      <c r="L46" s="1332"/>
      <c r="M46" s="1333"/>
      <c r="N46" s="1334"/>
      <c r="O46" s="1324"/>
    </row>
    <row r="47" spans="2:15" s="205" customFormat="1" ht="15" customHeight="1">
      <c r="B47" s="2216" t="s">
        <v>919</v>
      </c>
      <c r="C47" s="2217"/>
      <c r="D47" s="2218"/>
      <c r="E47" s="2219"/>
      <c r="F47" s="2220"/>
      <c r="G47" s="2221"/>
      <c r="H47" s="2219"/>
      <c r="I47" s="2220"/>
      <c r="J47" s="2221"/>
      <c r="K47" s="1326"/>
      <c r="L47" s="1329"/>
      <c r="M47" s="1330"/>
      <c r="N47" s="1331"/>
      <c r="O47" s="1326"/>
    </row>
    <row r="48" spans="2:15" s="205" customFormat="1" ht="15" customHeight="1">
      <c r="B48" s="2216" t="s">
        <v>780</v>
      </c>
      <c r="C48" s="2217"/>
      <c r="D48" s="2218"/>
      <c r="E48" s="2219"/>
      <c r="F48" s="2220"/>
      <c r="G48" s="2221"/>
      <c r="H48" s="2219"/>
      <c r="I48" s="2220"/>
      <c r="J48" s="2221"/>
      <c r="K48" s="1326"/>
      <c r="L48" s="1329"/>
      <c r="M48" s="1330"/>
      <c r="N48" s="1331"/>
      <c r="O48" s="1326"/>
    </row>
    <row r="49" spans="2:15" s="205" customFormat="1" ht="15" customHeight="1">
      <c r="B49" s="2216" t="s">
        <v>171</v>
      </c>
      <c r="C49" s="2217"/>
      <c r="D49" s="2218"/>
      <c r="E49" s="2219"/>
      <c r="F49" s="2220"/>
      <c r="G49" s="2221"/>
      <c r="H49" s="2219"/>
      <c r="I49" s="2220"/>
      <c r="J49" s="2221"/>
      <c r="K49" s="1326"/>
      <c r="L49" s="1329"/>
      <c r="M49" s="1330"/>
      <c r="N49" s="1331"/>
      <c r="O49" s="1326"/>
    </row>
    <row r="50" spans="2:15" s="205" customFormat="1" ht="15" customHeight="1">
      <c r="B50" s="2216" t="s">
        <v>747</v>
      </c>
      <c r="C50" s="2217"/>
      <c r="D50" s="2218"/>
      <c r="E50" s="2219"/>
      <c r="F50" s="2220"/>
      <c r="G50" s="2221"/>
      <c r="H50" s="2219"/>
      <c r="I50" s="2220"/>
      <c r="J50" s="2221"/>
      <c r="K50" s="1326"/>
      <c r="L50" s="1329"/>
      <c r="M50" s="1330"/>
      <c r="N50" s="1331"/>
      <c r="O50" s="1326"/>
    </row>
    <row r="51" spans="2:15" s="205" customFormat="1" ht="15" customHeight="1">
      <c r="B51" s="2216" t="s">
        <v>2382</v>
      </c>
      <c r="C51" s="2217"/>
      <c r="D51" s="2218"/>
      <c r="E51" s="2219"/>
      <c r="F51" s="2220"/>
      <c r="G51" s="2221"/>
      <c r="H51" s="2219"/>
      <c r="I51" s="2220"/>
      <c r="J51" s="2221"/>
      <c r="K51" s="1326"/>
      <c r="L51" s="1329"/>
      <c r="M51" s="1330"/>
      <c r="N51" s="1331"/>
      <c r="O51" s="1326"/>
    </row>
    <row r="52" spans="2:15" s="205" customFormat="1" ht="31" customHeight="1">
      <c r="B52" s="2222" t="s">
        <v>2383</v>
      </c>
      <c r="C52" s="2223"/>
      <c r="D52" s="2224"/>
      <c r="E52" s="2225"/>
      <c r="F52" s="2226"/>
      <c r="G52" s="2227"/>
      <c r="H52" s="2225"/>
      <c r="I52" s="2226"/>
      <c r="J52" s="2227"/>
      <c r="K52" s="1324"/>
      <c r="L52" s="1332"/>
      <c r="M52" s="1333"/>
      <c r="N52" s="1334"/>
      <c r="O52" s="1324"/>
    </row>
    <row r="53" spans="2:15" s="205" customFormat="1" ht="15" customHeight="1">
      <c r="B53" s="2216" t="s">
        <v>2384</v>
      </c>
      <c r="C53" s="2217"/>
      <c r="D53" s="2218"/>
      <c r="E53" s="2219"/>
      <c r="F53" s="2220"/>
      <c r="G53" s="2221"/>
      <c r="H53" s="2219"/>
      <c r="I53" s="2220"/>
      <c r="J53" s="2221"/>
      <c r="K53" s="1326"/>
      <c r="L53" s="1329"/>
      <c r="M53" s="1330"/>
      <c r="N53" s="1331"/>
      <c r="O53" s="1326"/>
    </row>
    <row r="54" spans="2:15" s="205" customFormat="1" ht="15" customHeight="1">
      <c r="B54" s="2216" t="s">
        <v>2385</v>
      </c>
      <c r="C54" s="2217"/>
      <c r="D54" s="2218"/>
      <c r="E54" s="2219"/>
      <c r="F54" s="2220"/>
      <c r="G54" s="2221"/>
      <c r="H54" s="2219"/>
      <c r="I54" s="2220"/>
      <c r="J54" s="2221"/>
      <c r="K54" s="1326"/>
      <c r="L54" s="1329"/>
      <c r="M54" s="1330"/>
      <c r="N54" s="1331"/>
      <c r="O54" s="1326"/>
    </row>
    <row r="55" spans="2:15" s="205" customFormat="1" ht="15" customHeight="1">
      <c r="B55" s="2216" t="s">
        <v>2386</v>
      </c>
      <c r="C55" s="2217"/>
      <c r="D55" s="2218"/>
      <c r="E55" s="2219"/>
      <c r="F55" s="2220"/>
      <c r="G55" s="2221"/>
      <c r="H55" s="2219"/>
      <c r="I55" s="2220"/>
      <c r="J55" s="2221"/>
      <c r="K55" s="1326"/>
      <c r="L55" s="1329"/>
      <c r="M55" s="1330"/>
      <c r="N55" s="1331"/>
      <c r="O55" s="1326"/>
    </row>
    <row r="56" spans="2:15" s="205" customFormat="1" ht="15" customHeight="1">
      <c r="B56" s="2216" t="s">
        <v>2387</v>
      </c>
      <c r="C56" s="2217"/>
      <c r="D56" s="2218"/>
      <c r="E56" s="2219"/>
      <c r="F56" s="2220"/>
      <c r="G56" s="2221"/>
      <c r="H56" s="2219"/>
      <c r="I56" s="2220"/>
      <c r="J56" s="2221"/>
      <c r="K56" s="1326"/>
      <c r="L56" s="1329"/>
      <c r="M56" s="1330"/>
      <c r="N56" s="1331"/>
      <c r="O56" s="1326"/>
    </row>
    <row r="57" spans="2:15" s="205" customFormat="1" ht="15" customHeight="1">
      <c r="B57" s="2216" t="s">
        <v>2388</v>
      </c>
      <c r="C57" s="2217"/>
      <c r="D57" s="2218"/>
      <c r="E57" s="2219"/>
      <c r="F57" s="2220"/>
      <c r="G57" s="2221"/>
      <c r="H57" s="2219"/>
      <c r="I57" s="2220"/>
      <c r="J57" s="2221"/>
      <c r="K57" s="1326"/>
      <c r="L57" s="1329"/>
      <c r="M57" s="1330"/>
      <c r="N57" s="1331"/>
      <c r="O57" s="1326"/>
    </row>
    <row r="58" spans="2:15" s="205" customFormat="1" ht="15" customHeight="1">
      <c r="B58" s="2216" t="s">
        <v>2389</v>
      </c>
      <c r="C58" s="2217"/>
      <c r="D58" s="2218"/>
      <c r="E58" s="2219"/>
      <c r="F58" s="2220"/>
      <c r="G58" s="2221"/>
      <c r="H58" s="2219"/>
      <c r="I58" s="2220"/>
      <c r="J58" s="2221"/>
      <c r="K58" s="1326"/>
      <c r="L58" s="1329"/>
      <c r="M58" s="1330"/>
      <c r="N58" s="1331"/>
      <c r="O58" s="1326"/>
    </row>
    <row r="59" spans="2:15" s="205" customFormat="1" ht="15" customHeight="1">
      <c r="B59" s="2216" t="s">
        <v>2390</v>
      </c>
      <c r="C59" s="2217"/>
      <c r="D59" s="2218"/>
      <c r="E59" s="2219"/>
      <c r="F59" s="2220"/>
      <c r="G59" s="2221"/>
      <c r="H59" s="2219"/>
      <c r="I59" s="2220"/>
      <c r="J59" s="2221"/>
      <c r="K59" s="1326"/>
      <c r="L59" s="1329"/>
      <c r="M59" s="1330"/>
      <c r="N59" s="1331"/>
      <c r="O59" s="1326"/>
    </row>
    <row r="60" spans="2:15" s="205" customFormat="1" ht="15" customHeight="1">
      <c r="B60" s="2216" t="s">
        <v>2391</v>
      </c>
      <c r="C60" s="2217"/>
      <c r="D60" s="2218"/>
      <c r="E60" s="2219"/>
      <c r="F60" s="2220"/>
      <c r="G60" s="2221"/>
      <c r="H60" s="2219"/>
      <c r="I60" s="2220"/>
      <c r="J60" s="2221"/>
      <c r="K60" s="1326"/>
      <c r="L60" s="1329"/>
      <c r="M60" s="1330"/>
      <c r="N60" s="1331"/>
      <c r="O60" s="1326"/>
    </row>
    <row r="61" spans="2:15" s="205" customFormat="1" ht="15" customHeight="1">
      <c r="B61" s="2216" t="s">
        <v>2392</v>
      </c>
      <c r="C61" s="2217"/>
      <c r="D61" s="2218"/>
      <c r="E61" s="2219"/>
      <c r="F61" s="2220"/>
      <c r="G61" s="2221"/>
      <c r="H61" s="2219"/>
      <c r="I61" s="2220"/>
      <c r="J61" s="2221"/>
      <c r="K61" s="1326"/>
      <c r="L61" s="1329"/>
      <c r="M61" s="1330"/>
      <c r="N61" s="1331"/>
      <c r="O61" s="1326"/>
    </row>
    <row r="62" spans="2:15" s="205" customFormat="1" ht="15" customHeight="1">
      <c r="B62" s="2216" t="s">
        <v>1566</v>
      </c>
      <c r="C62" s="2217"/>
      <c r="D62" s="2218"/>
      <c r="E62" s="2219"/>
      <c r="F62" s="2220"/>
      <c r="G62" s="2221"/>
      <c r="H62" s="2219"/>
      <c r="I62" s="2220"/>
      <c r="J62" s="2221"/>
      <c r="K62" s="1326"/>
      <c r="L62" s="1329"/>
      <c r="M62" s="1330"/>
      <c r="N62" s="1331"/>
      <c r="O62" s="1326"/>
    </row>
    <row r="63" spans="2:15" s="205" customFormat="1" ht="31" customHeight="1">
      <c r="B63" s="2222" t="s">
        <v>2393</v>
      </c>
      <c r="C63" s="2223"/>
      <c r="D63" s="2224"/>
      <c r="E63" s="2225"/>
      <c r="F63" s="2226"/>
      <c r="G63" s="2227"/>
      <c r="H63" s="2225"/>
      <c r="I63" s="2226"/>
      <c r="J63" s="2227"/>
      <c r="K63" s="1325"/>
      <c r="L63" s="1332"/>
      <c r="M63" s="1333"/>
      <c r="N63" s="1334"/>
      <c r="O63" s="1325"/>
    </row>
    <row r="64" spans="2:15" s="205" customFormat="1" ht="15" customHeight="1">
      <c r="B64" s="2216" t="s">
        <v>2381</v>
      </c>
      <c r="C64" s="2217"/>
      <c r="D64" s="2218"/>
      <c r="E64" s="2219"/>
      <c r="F64" s="2220"/>
      <c r="G64" s="2221"/>
      <c r="H64" s="2219"/>
      <c r="I64" s="2220"/>
      <c r="J64" s="2221"/>
      <c r="K64" s="1326"/>
      <c r="L64" s="1329"/>
      <c r="M64" s="1330"/>
      <c r="N64" s="1331"/>
      <c r="O64" s="1326"/>
    </row>
    <row r="65" spans="2:15" s="205" customFormat="1" ht="15" customHeight="1">
      <c r="B65" s="2216" t="s">
        <v>2394</v>
      </c>
      <c r="C65" s="2217"/>
      <c r="D65" s="2218"/>
      <c r="E65" s="2219"/>
      <c r="F65" s="2220"/>
      <c r="G65" s="2221"/>
      <c r="H65" s="2219"/>
      <c r="I65" s="2220"/>
      <c r="J65" s="2221"/>
      <c r="K65" s="1326"/>
      <c r="L65" s="1329"/>
      <c r="M65" s="1330"/>
      <c r="N65" s="1331"/>
      <c r="O65" s="1326"/>
    </row>
    <row r="66" spans="2:15" s="205" customFormat="1" ht="15" customHeight="1">
      <c r="B66" s="2216"/>
      <c r="C66" s="2217"/>
      <c r="D66" s="2218"/>
      <c r="E66" s="2219"/>
      <c r="F66" s="2220"/>
      <c r="G66" s="2221"/>
      <c r="H66" s="2219"/>
      <c r="I66" s="2220"/>
      <c r="J66" s="2221"/>
      <c r="K66" s="1326"/>
      <c r="L66" s="1329"/>
      <c r="M66" s="1330"/>
      <c r="N66" s="1331"/>
      <c r="O66" s="1326"/>
    </row>
    <row r="67" spans="2:15" s="205" customFormat="1" ht="15" customHeight="1">
      <c r="B67" s="2216" t="s">
        <v>2395</v>
      </c>
      <c r="C67" s="2217"/>
      <c r="D67" s="2218"/>
      <c r="E67" s="2219"/>
      <c r="F67" s="2220"/>
      <c r="G67" s="2221"/>
      <c r="H67" s="2219"/>
      <c r="I67" s="2220"/>
      <c r="J67" s="2221"/>
      <c r="K67" s="1326"/>
      <c r="L67" s="1329"/>
      <c r="M67" s="1330"/>
      <c r="N67" s="1331"/>
      <c r="O67" s="1326"/>
    </row>
    <row r="68" spans="2:15" s="205" customFormat="1" ht="15" customHeight="1">
      <c r="B68" s="2216"/>
      <c r="C68" s="2217"/>
      <c r="D68" s="2218"/>
      <c r="E68" s="2219"/>
      <c r="F68" s="2220"/>
      <c r="G68" s="2221"/>
      <c r="H68" s="2219"/>
      <c r="I68" s="2220"/>
      <c r="J68" s="2221"/>
      <c r="K68" s="1326"/>
      <c r="L68" s="1329"/>
      <c r="M68" s="1330"/>
      <c r="N68" s="1331"/>
      <c r="O68" s="1326"/>
    </row>
    <row r="69" spans="2:15" s="205" customFormat="1" ht="15" customHeight="1">
      <c r="B69" s="2216" t="s">
        <v>2396</v>
      </c>
      <c r="C69" s="2217"/>
      <c r="D69" s="2218"/>
      <c r="E69" s="2219"/>
      <c r="F69" s="2220"/>
      <c r="G69" s="2221"/>
      <c r="H69" s="2219"/>
      <c r="I69" s="2220"/>
      <c r="J69" s="2221"/>
      <c r="K69" s="1326"/>
      <c r="L69" s="1329"/>
      <c r="M69" s="1330"/>
      <c r="N69" s="1331"/>
      <c r="O69" s="1326"/>
    </row>
    <row r="70" spans="2:15" s="205" customFormat="1" ht="15" customHeight="1">
      <c r="B70" s="2216"/>
      <c r="C70" s="2217"/>
      <c r="D70" s="2218"/>
      <c r="E70" s="2219"/>
      <c r="F70" s="2220"/>
      <c r="G70" s="2221"/>
      <c r="H70" s="2219"/>
      <c r="I70" s="2220"/>
      <c r="J70" s="2221"/>
      <c r="K70" s="1326"/>
      <c r="L70" s="1329"/>
      <c r="M70" s="1330"/>
      <c r="N70" s="1331"/>
      <c r="O70" s="1326"/>
    </row>
    <row r="71" spans="2:15" s="205" customFormat="1" ht="15" customHeight="1">
      <c r="B71" s="2216" t="s">
        <v>2397</v>
      </c>
      <c r="C71" s="2217"/>
      <c r="D71" s="2218"/>
      <c r="E71" s="2219"/>
      <c r="F71" s="2220"/>
      <c r="G71" s="2221"/>
      <c r="H71" s="2219"/>
      <c r="I71" s="2220"/>
      <c r="J71" s="2221"/>
      <c r="K71" s="1326"/>
      <c r="L71" s="1329"/>
      <c r="M71" s="1330"/>
      <c r="N71" s="1331"/>
      <c r="O71" s="1326"/>
    </row>
    <row r="72" spans="2:15" s="205" customFormat="1" ht="15" customHeight="1">
      <c r="B72" s="2216"/>
      <c r="C72" s="2217"/>
      <c r="D72" s="2218"/>
      <c r="E72" s="2219"/>
      <c r="F72" s="2220"/>
      <c r="G72" s="2221"/>
      <c r="H72" s="2219"/>
      <c r="I72" s="2220"/>
      <c r="J72" s="2221"/>
      <c r="K72" s="1326"/>
      <c r="L72" s="1329"/>
      <c r="M72" s="1330"/>
      <c r="N72" s="1331"/>
      <c r="O72" s="1326"/>
    </row>
    <row r="73" spans="2:15" s="205" customFormat="1" ht="15" customHeight="1">
      <c r="B73" s="2216" t="s">
        <v>2398</v>
      </c>
      <c r="C73" s="2217"/>
      <c r="D73" s="2218"/>
      <c r="E73" s="2219"/>
      <c r="F73" s="2220"/>
      <c r="G73" s="2221"/>
      <c r="H73" s="2219"/>
      <c r="I73" s="2220"/>
      <c r="J73" s="2221"/>
      <c r="K73" s="1326"/>
      <c r="L73" s="1329"/>
      <c r="M73" s="1330"/>
      <c r="N73" s="1331"/>
      <c r="O73" s="1326"/>
    </row>
    <row r="74" spans="2:15" s="205" customFormat="1" ht="15" customHeight="1">
      <c r="B74" s="2216"/>
      <c r="C74" s="2217"/>
      <c r="D74" s="2218"/>
      <c r="E74" s="2219"/>
      <c r="F74" s="2220"/>
      <c r="G74" s="2221"/>
      <c r="H74" s="2219"/>
      <c r="I74" s="2220"/>
      <c r="J74" s="2221"/>
      <c r="K74" s="1326"/>
      <c r="L74" s="1329"/>
      <c r="M74" s="1330"/>
      <c r="N74" s="1331"/>
      <c r="O74" s="1326"/>
    </row>
    <row r="75" spans="2:15" s="205" customFormat="1" ht="15" customHeight="1">
      <c r="B75" s="2216" t="s">
        <v>2399</v>
      </c>
      <c r="C75" s="2217"/>
      <c r="D75" s="2218"/>
      <c r="E75" s="2219"/>
      <c r="F75" s="2220"/>
      <c r="G75" s="2221"/>
      <c r="H75" s="2219"/>
      <c r="I75" s="2220"/>
      <c r="J75" s="2221"/>
      <c r="K75" s="1326"/>
      <c r="L75" s="1329"/>
      <c r="M75" s="1330"/>
      <c r="N75" s="1331"/>
      <c r="O75" s="1326"/>
    </row>
    <row r="76" spans="2:15" s="205" customFormat="1" ht="15" customHeight="1">
      <c r="B76" s="2216"/>
      <c r="C76" s="2217"/>
      <c r="D76" s="2218"/>
      <c r="E76" s="2219"/>
      <c r="F76" s="2220"/>
      <c r="G76" s="2221"/>
      <c r="H76" s="2219"/>
      <c r="I76" s="2220"/>
      <c r="J76" s="2221"/>
      <c r="K76" s="1326"/>
      <c r="L76" s="1329"/>
      <c r="M76" s="1330"/>
      <c r="N76" s="1331"/>
      <c r="O76" s="1326"/>
    </row>
    <row r="77" spans="2:15" s="205" customFormat="1" ht="15" customHeight="1">
      <c r="B77" s="2216" t="s">
        <v>2400</v>
      </c>
      <c r="C77" s="2217"/>
      <c r="D77" s="2218"/>
      <c r="E77" s="2219"/>
      <c r="F77" s="2220"/>
      <c r="G77" s="2221"/>
      <c r="H77" s="2219"/>
      <c r="I77" s="2220"/>
      <c r="J77" s="2221"/>
      <c r="K77" s="1326"/>
      <c r="L77" s="1329"/>
      <c r="M77" s="1330"/>
      <c r="N77" s="1331"/>
      <c r="O77" s="1326"/>
    </row>
    <row r="78" spans="2:15" s="205" customFormat="1" ht="15" customHeight="1">
      <c r="B78" s="2216"/>
      <c r="C78" s="2217"/>
      <c r="D78" s="2218"/>
      <c r="E78" s="2219"/>
      <c r="F78" s="2220"/>
      <c r="G78" s="2221"/>
      <c r="H78" s="2219"/>
      <c r="I78" s="2220"/>
      <c r="J78" s="2221"/>
      <c r="K78" s="1326"/>
      <c r="L78" s="1329"/>
      <c r="M78" s="1330"/>
      <c r="N78" s="1331"/>
      <c r="O78" s="1326"/>
    </row>
    <row r="79" spans="2:15" s="205" customFormat="1" ht="15" customHeight="1">
      <c r="B79" s="2216" t="s">
        <v>2401</v>
      </c>
      <c r="C79" s="2217"/>
      <c r="D79" s="2218"/>
      <c r="E79" s="2219"/>
      <c r="F79" s="2220"/>
      <c r="G79" s="2221"/>
      <c r="H79" s="2219"/>
      <c r="I79" s="2220"/>
      <c r="J79" s="2221"/>
      <c r="K79" s="1326"/>
      <c r="L79" s="1329"/>
      <c r="M79" s="1330"/>
      <c r="N79" s="1331"/>
      <c r="O79" s="1326"/>
    </row>
    <row r="80" spans="2:15" s="205" customFormat="1" ht="15" customHeight="1">
      <c r="B80" s="2216"/>
      <c r="C80" s="2217"/>
      <c r="D80" s="2218"/>
      <c r="E80" s="2219"/>
      <c r="F80" s="2220"/>
      <c r="G80" s="2221"/>
      <c r="H80" s="2219"/>
      <c r="I80" s="2220"/>
      <c r="J80" s="2221"/>
      <c r="K80" s="1326"/>
      <c r="L80" s="1329"/>
      <c r="M80" s="1330"/>
      <c r="N80" s="1331"/>
      <c r="O80" s="1326"/>
    </row>
    <row r="81" spans="2:15" s="205" customFormat="1" ht="31" customHeight="1">
      <c r="B81" s="2222" t="s">
        <v>2402</v>
      </c>
      <c r="C81" s="2223"/>
      <c r="D81" s="2224"/>
      <c r="E81" s="2225"/>
      <c r="F81" s="2226"/>
      <c r="G81" s="2227"/>
      <c r="H81" s="2225"/>
      <c r="I81" s="2226"/>
      <c r="J81" s="2227"/>
      <c r="K81" s="1325"/>
      <c r="L81" s="1332"/>
      <c r="M81" s="1333"/>
      <c r="N81" s="1334"/>
      <c r="O81" s="1325"/>
    </row>
    <row r="82" spans="2:15" s="205" customFormat="1" ht="15" customHeight="1">
      <c r="B82" s="2216" t="s">
        <v>2381</v>
      </c>
      <c r="C82" s="2217"/>
      <c r="D82" s="2218"/>
      <c r="E82" s="2219"/>
      <c r="F82" s="2220"/>
      <c r="G82" s="2221"/>
      <c r="H82" s="2219"/>
      <c r="I82" s="2220"/>
      <c r="J82" s="2221"/>
      <c r="K82" s="1326"/>
      <c r="L82" s="1329"/>
      <c r="M82" s="1330"/>
      <c r="N82" s="1331"/>
      <c r="O82" s="1326"/>
    </row>
    <row r="83" spans="2:15" s="205" customFormat="1" ht="15" customHeight="1">
      <c r="B83" s="2216" t="s">
        <v>2403</v>
      </c>
      <c r="C83" s="2217"/>
      <c r="D83" s="2218"/>
      <c r="E83" s="2219"/>
      <c r="F83" s="2220"/>
      <c r="G83" s="2221"/>
      <c r="H83" s="2219"/>
      <c r="I83" s="2220"/>
      <c r="J83" s="2221"/>
      <c r="K83" s="1326"/>
      <c r="L83" s="1329"/>
      <c r="M83" s="1330"/>
      <c r="N83" s="1331"/>
      <c r="O83" s="1326"/>
    </row>
    <row r="84" spans="2:15" s="205" customFormat="1" ht="15" customHeight="1">
      <c r="B84" s="2216"/>
      <c r="C84" s="2217"/>
      <c r="D84" s="2218"/>
      <c r="E84" s="2219"/>
      <c r="F84" s="2220"/>
      <c r="G84" s="2221"/>
      <c r="H84" s="2219"/>
      <c r="I84" s="2220"/>
      <c r="J84" s="2221"/>
      <c r="K84" s="1326"/>
      <c r="L84" s="1329"/>
      <c r="M84" s="1330"/>
      <c r="N84" s="1331"/>
      <c r="O84" s="1326"/>
    </row>
    <row r="85" spans="2:15" s="205" customFormat="1" ht="15" customHeight="1">
      <c r="B85" s="2216"/>
      <c r="C85" s="2217"/>
      <c r="D85" s="2218"/>
      <c r="E85" s="2219"/>
      <c r="F85" s="2220"/>
      <c r="G85" s="2221"/>
      <c r="H85" s="2219"/>
      <c r="I85" s="2220"/>
      <c r="J85" s="2221"/>
      <c r="K85" s="1326"/>
      <c r="L85" s="1329"/>
      <c r="M85" s="1330"/>
      <c r="N85" s="1331"/>
      <c r="O85" s="1326"/>
    </row>
    <row r="86" spans="2:15" s="205" customFormat="1" ht="15" customHeight="1">
      <c r="B86" s="2216" t="s">
        <v>2404</v>
      </c>
      <c r="C86" s="2217"/>
      <c r="D86" s="2218"/>
      <c r="E86" s="2219"/>
      <c r="F86" s="2220"/>
      <c r="G86" s="2221"/>
      <c r="H86" s="2219"/>
      <c r="I86" s="2220"/>
      <c r="J86" s="2221"/>
      <c r="K86" s="1326"/>
      <c r="L86" s="1329"/>
      <c r="M86" s="1330"/>
      <c r="N86" s="1331"/>
      <c r="O86" s="1326"/>
    </row>
    <row r="87" spans="2:15" s="205" customFormat="1" ht="15" customHeight="1">
      <c r="B87" s="2216"/>
      <c r="C87" s="2217"/>
      <c r="D87" s="2218"/>
      <c r="E87" s="2219"/>
      <c r="F87" s="2220"/>
      <c r="G87" s="2221"/>
      <c r="H87" s="2219"/>
      <c r="I87" s="2220"/>
      <c r="J87" s="2221"/>
      <c r="K87" s="1326"/>
      <c r="L87" s="1329"/>
      <c r="M87" s="1330"/>
      <c r="N87" s="1331"/>
      <c r="O87" s="1326"/>
    </row>
    <row r="88" spans="2:15" s="205" customFormat="1" ht="15" customHeight="1">
      <c r="B88" s="2216"/>
      <c r="C88" s="2217"/>
      <c r="D88" s="2218"/>
      <c r="E88" s="2219"/>
      <c r="F88" s="2220"/>
      <c r="G88" s="2221"/>
      <c r="H88" s="2219"/>
      <c r="I88" s="2220"/>
      <c r="J88" s="2221"/>
      <c r="K88" s="1326"/>
      <c r="L88" s="1329"/>
      <c r="M88" s="1330"/>
      <c r="N88" s="1331"/>
      <c r="O88" s="1326"/>
    </row>
    <row r="89" spans="2:15" s="205" customFormat="1" ht="15" customHeight="1">
      <c r="B89" s="2216" t="s">
        <v>2405</v>
      </c>
      <c r="C89" s="2217"/>
      <c r="D89" s="2218"/>
      <c r="E89" s="2219"/>
      <c r="F89" s="2220"/>
      <c r="G89" s="2221"/>
      <c r="H89" s="2219"/>
      <c r="I89" s="2220"/>
      <c r="J89" s="2221"/>
      <c r="K89" s="1326"/>
      <c r="L89" s="1329"/>
      <c r="M89" s="1330"/>
      <c r="N89" s="1331"/>
      <c r="O89" s="1326"/>
    </row>
    <row r="90" spans="2:15" s="205" customFormat="1" ht="15" customHeight="1">
      <c r="B90" s="2216"/>
      <c r="C90" s="2217"/>
      <c r="D90" s="2218"/>
      <c r="E90" s="2219"/>
      <c r="F90" s="2220"/>
      <c r="G90" s="2221"/>
      <c r="H90" s="2219"/>
      <c r="I90" s="2220"/>
      <c r="J90" s="2221"/>
      <c r="K90" s="1326"/>
      <c r="L90" s="1329"/>
      <c r="M90" s="1330"/>
      <c r="N90" s="1331"/>
      <c r="O90" s="1326"/>
    </row>
    <row r="91" spans="2:15" s="205" customFormat="1" ht="15" customHeight="1">
      <c r="B91" s="2216"/>
      <c r="C91" s="2217"/>
      <c r="D91" s="2218"/>
      <c r="E91" s="2219"/>
      <c r="F91" s="2220"/>
      <c r="G91" s="2221"/>
      <c r="H91" s="2219"/>
      <c r="I91" s="2220"/>
      <c r="J91" s="2221"/>
      <c r="K91" s="1326"/>
      <c r="L91" s="1329"/>
      <c r="M91" s="1330"/>
      <c r="N91" s="1331"/>
      <c r="O91" s="1326"/>
    </row>
    <row r="92" spans="2:15" s="205" customFormat="1" ht="15" customHeight="1">
      <c r="B92" s="2216" t="s">
        <v>2406</v>
      </c>
      <c r="C92" s="2217"/>
      <c r="D92" s="2218"/>
      <c r="E92" s="2219"/>
      <c r="F92" s="2220"/>
      <c r="G92" s="2221"/>
      <c r="H92" s="2219"/>
      <c r="I92" s="2220"/>
      <c r="J92" s="2221"/>
      <c r="K92" s="1326"/>
      <c r="L92" s="1329"/>
      <c r="M92" s="1330"/>
      <c r="N92" s="1331"/>
      <c r="O92" s="1326"/>
    </row>
    <row r="93" spans="2:15" s="205" customFormat="1" ht="15" customHeight="1">
      <c r="B93" s="2216"/>
      <c r="C93" s="2217"/>
      <c r="D93" s="2218"/>
      <c r="E93" s="2219"/>
      <c r="F93" s="2220"/>
      <c r="G93" s="2221"/>
      <c r="H93" s="2219"/>
      <c r="I93" s="2220"/>
      <c r="J93" s="2221"/>
      <c r="K93" s="1326"/>
      <c r="L93" s="1329"/>
      <c r="M93" s="1330"/>
      <c r="N93" s="1331"/>
      <c r="O93" s="1326"/>
    </row>
    <row r="94" spans="2:15" s="205" customFormat="1" ht="15" customHeight="1">
      <c r="B94" s="2216"/>
      <c r="C94" s="2217"/>
      <c r="D94" s="2218"/>
      <c r="E94" s="2219"/>
      <c r="F94" s="2220"/>
      <c r="G94" s="2221"/>
      <c r="H94" s="2219"/>
      <c r="I94" s="2220"/>
      <c r="J94" s="2221"/>
      <c r="K94" s="1326"/>
      <c r="L94" s="1329"/>
      <c r="M94" s="1330"/>
      <c r="N94" s="1331"/>
      <c r="O94" s="1326"/>
    </row>
    <row r="95" spans="2:15" s="205" customFormat="1" ht="15" customHeight="1">
      <c r="B95" s="2216" t="s">
        <v>2407</v>
      </c>
      <c r="C95" s="2217"/>
      <c r="D95" s="2218"/>
      <c r="E95" s="2219"/>
      <c r="F95" s="2220"/>
      <c r="G95" s="2221"/>
      <c r="H95" s="2219"/>
      <c r="I95" s="2220"/>
      <c r="J95" s="2221"/>
      <c r="K95" s="1326"/>
      <c r="L95" s="1329"/>
      <c r="M95" s="1330"/>
      <c r="N95" s="1331"/>
      <c r="O95" s="1326"/>
    </row>
    <row r="96" spans="2:15" s="205" customFormat="1" ht="15" customHeight="1">
      <c r="B96" s="2216"/>
      <c r="C96" s="2217"/>
      <c r="D96" s="2218"/>
      <c r="E96" s="2219"/>
      <c r="F96" s="2220"/>
      <c r="G96" s="2221"/>
      <c r="H96" s="2219"/>
      <c r="I96" s="2220"/>
      <c r="J96" s="2221"/>
      <c r="K96" s="1326"/>
      <c r="L96" s="1329"/>
      <c r="M96" s="1330"/>
      <c r="N96" s="1331"/>
      <c r="O96" s="1326"/>
    </row>
    <row r="97" spans="2:15" s="205" customFormat="1" ht="15" customHeight="1">
      <c r="B97" s="2216"/>
      <c r="C97" s="2217"/>
      <c r="D97" s="2218"/>
      <c r="E97" s="2219"/>
      <c r="F97" s="2220"/>
      <c r="G97" s="2221"/>
      <c r="H97" s="2219"/>
      <c r="I97" s="2220"/>
      <c r="J97" s="2221"/>
      <c r="K97" s="1326"/>
      <c r="L97" s="1329"/>
      <c r="M97" s="1330"/>
      <c r="N97" s="1331"/>
      <c r="O97" s="1326"/>
    </row>
    <row r="98" spans="2:15" s="205" customFormat="1" ht="31" customHeight="1">
      <c r="B98" s="2222" t="s">
        <v>2408</v>
      </c>
      <c r="C98" s="2223"/>
      <c r="D98" s="2224"/>
      <c r="E98" s="2225"/>
      <c r="F98" s="2226"/>
      <c r="G98" s="2227"/>
      <c r="H98" s="2225"/>
      <c r="I98" s="2226"/>
      <c r="J98" s="2227"/>
      <c r="K98" s="1324"/>
      <c r="L98" s="1332"/>
      <c r="M98" s="1333"/>
      <c r="N98" s="1334"/>
      <c r="O98" s="1324"/>
    </row>
    <row r="99" spans="2:15" s="205" customFormat="1" ht="15" customHeight="1">
      <c r="B99" s="2216" t="s">
        <v>2381</v>
      </c>
      <c r="C99" s="2217"/>
      <c r="D99" s="2218"/>
      <c r="E99" s="2219"/>
      <c r="F99" s="2220"/>
      <c r="G99" s="2221"/>
      <c r="H99" s="2219"/>
      <c r="I99" s="2220"/>
      <c r="J99" s="2221"/>
      <c r="K99" s="1326"/>
      <c r="L99" s="1329"/>
      <c r="M99" s="1330"/>
      <c r="N99" s="1331"/>
      <c r="O99" s="1326"/>
    </row>
    <row r="100" spans="2:15" s="205" customFormat="1" ht="15" customHeight="1">
      <c r="B100" s="2216" t="s">
        <v>2409</v>
      </c>
      <c r="C100" s="2217"/>
      <c r="D100" s="2218"/>
      <c r="E100" s="2219"/>
      <c r="F100" s="2220"/>
      <c r="G100" s="2221"/>
      <c r="H100" s="2219"/>
      <c r="I100" s="2220"/>
      <c r="J100" s="2221"/>
      <c r="K100" s="1326"/>
      <c r="L100" s="1329"/>
      <c r="M100" s="1330"/>
      <c r="N100" s="1331"/>
      <c r="O100" s="1326"/>
    </row>
    <row r="101" spans="2:15" s="205" customFormat="1" ht="15" customHeight="1">
      <c r="B101" s="2216"/>
      <c r="C101" s="2217"/>
      <c r="D101" s="2218"/>
      <c r="E101" s="2219"/>
      <c r="F101" s="2220"/>
      <c r="G101" s="2221"/>
      <c r="H101" s="2219"/>
      <c r="I101" s="2220"/>
      <c r="J101" s="2221"/>
      <c r="K101" s="1326"/>
      <c r="L101" s="1329"/>
      <c r="M101" s="1330"/>
      <c r="N101" s="1331"/>
      <c r="O101" s="1326"/>
    </row>
    <row r="102" spans="2:15" s="205" customFormat="1" ht="15" customHeight="1">
      <c r="B102" s="2216" t="s">
        <v>2410</v>
      </c>
      <c r="C102" s="2217"/>
      <c r="D102" s="2218"/>
      <c r="E102" s="2219"/>
      <c r="F102" s="2220"/>
      <c r="G102" s="2221"/>
      <c r="H102" s="2219"/>
      <c r="I102" s="2220"/>
      <c r="J102" s="2221"/>
      <c r="K102" s="1326"/>
      <c r="L102" s="1329"/>
      <c r="M102" s="1330"/>
      <c r="N102" s="1331"/>
      <c r="O102" s="1326"/>
    </row>
    <row r="103" spans="2:15" s="205" customFormat="1" ht="15" customHeight="1">
      <c r="B103" s="2216"/>
      <c r="C103" s="2217"/>
      <c r="D103" s="2218"/>
      <c r="E103" s="2219"/>
      <c r="F103" s="2220"/>
      <c r="G103" s="2221"/>
      <c r="H103" s="2219"/>
      <c r="I103" s="2220"/>
      <c r="J103" s="2221"/>
      <c r="K103" s="1326"/>
      <c r="L103" s="1329"/>
      <c r="M103" s="1330"/>
      <c r="N103" s="1331"/>
      <c r="O103" s="1326"/>
    </row>
    <row r="104" spans="2:15" s="205" customFormat="1" ht="15" customHeight="1">
      <c r="B104" s="2216" t="s">
        <v>2411</v>
      </c>
      <c r="C104" s="2217"/>
      <c r="D104" s="2218"/>
      <c r="E104" s="2219"/>
      <c r="F104" s="2220"/>
      <c r="G104" s="2221"/>
      <c r="H104" s="2219"/>
      <c r="I104" s="2220"/>
      <c r="J104" s="2221"/>
      <c r="K104" s="1326"/>
      <c r="L104" s="1329"/>
      <c r="M104" s="1330"/>
      <c r="N104" s="1331"/>
      <c r="O104" s="1326"/>
    </row>
    <row r="105" spans="2:15" s="205" customFormat="1" ht="15" customHeight="1">
      <c r="B105" s="2216"/>
      <c r="C105" s="2217"/>
      <c r="D105" s="2218"/>
      <c r="E105" s="2219"/>
      <c r="F105" s="2220"/>
      <c r="G105" s="2221"/>
      <c r="H105" s="2219"/>
      <c r="I105" s="2220"/>
      <c r="J105" s="2221"/>
      <c r="K105" s="1326"/>
      <c r="L105" s="1329"/>
      <c r="M105" s="1330"/>
      <c r="N105" s="1331"/>
      <c r="O105" s="1326"/>
    </row>
    <row r="106" spans="2:15" s="205" customFormat="1" ht="15" customHeight="1">
      <c r="B106" s="2216" t="s">
        <v>2412</v>
      </c>
      <c r="C106" s="2217"/>
      <c r="D106" s="2218"/>
      <c r="E106" s="2219"/>
      <c r="F106" s="2220"/>
      <c r="G106" s="2221"/>
      <c r="H106" s="2219"/>
      <c r="I106" s="2220"/>
      <c r="J106" s="2221"/>
      <c r="K106" s="1326"/>
      <c r="L106" s="1329"/>
      <c r="M106" s="1330"/>
      <c r="N106" s="1331"/>
      <c r="O106" s="1326"/>
    </row>
    <row r="107" spans="2:15" s="205" customFormat="1" ht="15" customHeight="1">
      <c r="B107" s="2216"/>
      <c r="C107" s="2217"/>
      <c r="D107" s="2218"/>
      <c r="E107" s="2219"/>
      <c r="F107" s="2220"/>
      <c r="G107" s="2221"/>
      <c r="H107" s="2219"/>
      <c r="I107" s="2220"/>
      <c r="J107" s="2221"/>
      <c r="K107" s="1326"/>
      <c r="L107" s="1329"/>
      <c r="M107" s="1330"/>
      <c r="N107" s="1331"/>
      <c r="O107" s="1326"/>
    </row>
    <row r="108" spans="2:15" s="205" customFormat="1" ht="31" customHeight="1">
      <c r="B108" s="2222" t="s">
        <v>2413</v>
      </c>
      <c r="C108" s="2223"/>
      <c r="D108" s="2224"/>
      <c r="E108" s="2225"/>
      <c r="F108" s="2226"/>
      <c r="G108" s="2227"/>
      <c r="H108" s="2225"/>
      <c r="I108" s="2226"/>
      <c r="J108" s="2227"/>
      <c r="K108" s="1324"/>
      <c r="L108" s="1332"/>
      <c r="M108" s="1333"/>
      <c r="N108" s="1334"/>
      <c r="O108" s="1324"/>
    </row>
    <row r="109" spans="2:15" s="205" customFormat="1" ht="15" customHeight="1">
      <c r="B109" s="2216" t="s">
        <v>2381</v>
      </c>
      <c r="C109" s="2217"/>
      <c r="D109" s="2218"/>
      <c r="E109" s="2219"/>
      <c r="F109" s="2220"/>
      <c r="G109" s="2221"/>
      <c r="H109" s="2219"/>
      <c r="I109" s="2220"/>
      <c r="J109" s="2221"/>
      <c r="K109" s="1326"/>
      <c r="L109" s="1329"/>
      <c r="M109" s="1330"/>
      <c r="N109" s="1331"/>
      <c r="O109" s="1326"/>
    </row>
    <row r="110" spans="2:15" s="205" customFormat="1" ht="15" customHeight="1">
      <c r="B110" s="2216" t="s">
        <v>150</v>
      </c>
      <c r="C110" s="2217"/>
      <c r="D110" s="2218"/>
      <c r="E110" s="2219"/>
      <c r="F110" s="2220"/>
      <c r="G110" s="2221"/>
      <c r="H110" s="2219"/>
      <c r="I110" s="2220"/>
      <c r="J110" s="2221"/>
      <c r="K110" s="1326"/>
      <c r="L110" s="1329"/>
      <c r="M110" s="1330"/>
      <c r="N110" s="1331"/>
      <c r="O110" s="1326"/>
    </row>
    <row r="111" spans="2:15" s="205" customFormat="1" ht="15" customHeight="1">
      <c r="B111" s="2216" t="s">
        <v>152</v>
      </c>
      <c r="C111" s="2217"/>
      <c r="D111" s="2218"/>
      <c r="E111" s="2219"/>
      <c r="F111" s="2220"/>
      <c r="G111" s="2221"/>
      <c r="H111" s="2219"/>
      <c r="I111" s="2220"/>
      <c r="J111" s="2221"/>
      <c r="K111" s="1326"/>
      <c r="L111" s="1329"/>
      <c r="M111" s="1330"/>
      <c r="N111" s="1331"/>
      <c r="O111" s="1326"/>
    </row>
    <row r="112" spans="2:15" s="205" customFormat="1" ht="31" customHeight="1">
      <c r="B112" s="2222" t="s">
        <v>2414</v>
      </c>
      <c r="C112" s="2223"/>
      <c r="D112" s="2224"/>
      <c r="E112" s="2225"/>
      <c r="F112" s="2226"/>
      <c r="G112" s="2227"/>
      <c r="H112" s="2225"/>
      <c r="I112" s="2226"/>
      <c r="J112" s="2227"/>
      <c r="K112" s="1324"/>
      <c r="L112" s="1332"/>
      <c r="M112" s="1333"/>
      <c r="N112" s="1334"/>
      <c r="O112" s="1324"/>
    </row>
    <row r="113" spans="2:15" s="205" customFormat="1" ht="15" customHeight="1">
      <c r="B113" s="2216" t="s">
        <v>2381</v>
      </c>
      <c r="C113" s="2217"/>
      <c r="D113" s="2218"/>
      <c r="E113" s="2219"/>
      <c r="F113" s="2220"/>
      <c r="G113" s="2221"/>
      <c r="H113" s="2219"/>
      <c r="I113" s="2220"/>
      <c r="J113" s="2221"/>
      <c r="K113" s="1326"/>
      <c r="L113" s="1329"/>
      <c r="M113" s="1330"/>
      <c r="N113" s="1331"/>
      <c r="O113" s="1326"/>
    </row>
    <row r="114" spans="2:15" s="205" customFormat="1" ht="15" customHeight="1">
      <c r="B114" s="2216" t="s">
        <v>156</v>
      </c>
      <c r="C114" s="2217"/>
      <c r="D114" s="2218"/>
      <c r="E114" s="2219"/>
      <c r="F114" s="2220"/>
      <c r="G114" s="2221"/>
      <c r="H114" s="2219"/>
      <c r="I114" s="2220"/>
      <c r="J114" s="2221"/>
      <c r="K114" s="1326"/>
      <c r="L114" s="1329"/>
      <c r="M114" s="1330"/>
      <c r="N114" s="1331"/>
      <c r="O114" s="1326"/>
    </row>
    <row r="115" spans="2:15" s="205" customFormat="1" ht="15" customHeight="1">
      <c r="B115" s="2216" t="s">
        <v>167</v>
      </c>
      <c r="C115" s="2217"/>
      <c r="D115" s="2218"/>
      <c r="E115" s="2219"/>
      <c r="F115" s="2220"/>
      <c r="G115" s="2221"/>
      <c r="H115" s="2219"/>
      <c r="I115" s="2220"/>
      <c r="J115" s="2221"/>
      <c r="K115" s="1326"/>
      <c r="L115" s="1329"/>
      <c r="M115" s="1330"/>
      <c r="N115" s="1331"/>
      <c r="O115" s="1326"/>
    </row>
    <row r="116" spans="2:15" s="205" customFormat="1" ht="15" customHeight="1">
      <c r="B116" s="2216" t="s">
        <v>168</v>
      </c>
      <c r="C116" s="2217"/>
      <c r="D116" s="2218"/>
      <c r="E116" s="2219"/>
      <c r="F116" s="2220"/>
      <c r="G116" s="2221"/>
      <c r="H116" s="2219"/>
      <c r="I116" s="2220"/>
      <c r="J116" s="2221"/>
      <c r="K116" s="1326"/>
      <c r="L116" s="1329"/>
      <c r="M116" s="1330"/>
      <c r="N116" s="1331"/>
      <c r="O116" s="1326"/>
    </row>
    <row r="117" spans="2:15" s="205" customFormat="1" ht="31" customHeight="1">
      <c r="B117" s="2222" t="s">
        <v>2415</v>
      </c>
      <c r="C117" s="2223"/>
      <c r="D117" s="2224"/>
      <c r="E117" s="2225"/>
      <c r="F117" s="2226"/>
      <c r="G117" s="2227"/>
      <c r="H117" s="2225"/>
      <c r="I117" s="2226"/>
      <c r="J117" s="2227"/>
      <c r="K117" s="1324"/>
      <c r="L117" s="1332"/>
      <c r="M117" s="1333"/>
      <c r="N117" s="1334"/>
      <c r="O117" s="1324"/>
    </row>
    <row r="118" spans="2:15" s="205" customFormat="1" ht="15" customHeight="1">
      <c r="B118" s="2216" t="s">
        <v>2381</v>
      </c>
      <c r="C118" s="2217"/>
      <c r="D118" s="2218"/>
      <c r="E118" s="2219"/>
      <c r="F118" s="2220"/>
      <c r="G118" s="2221"/>
      <c r="H118" s="2219"/>
      <c r="I118" s="2220"/>
      <c r="J118" s="2221"/>
      <c r="K118" s="1326"/>
      <c r="L118" s="1329"/>
      <c r="M118" s="1330"/>
      <c r="N118" s="1331"/>
      <c r="O118" s="1326"/>
    </row>
    <row r="119" spans="2:15" s="205" customFormat="1" ht="15" customHeight="1">
      <c r="B119" s="2216" t="s">
        <v>2416</v>
      </c>
      <c r="C119" s="2217"/>
      <c r="D119" s="2218"/>
      <c r="E119" s="2219"/>
      <c r="F119" s="2220"/>
      <c r="G119" s="2221"/>
      <c r="H119" s="2219"/>
      <c r="I119" s="2220"/>
      <c r="J119" s="2221"/>
      <c r="K119" s="1326"/>
      <c r="L119" s="1329"/>
      <c r="M119" s="1330"/>
      <c r="N119" s="1331"/>
      <c r="O119" s="1326"/>
    </row>
    <row r="120" spans="2:15" ht="30" customHeight="1"/>
    <row r="121" spans="2:15" ht="15" customHeight="1"/>
  </sheetData>
  <mergeCells count="339">
    <mergeCell ref="B2:B3"/>
    <mergeCell ref="C2:C3"/>
    <mergeCell ref="D2:E2"/>
    <mergeCell ref="F2:G2"/>
    <mergeCell ref="H2:I2"/>
    <mergeCell ref="L2:M2"/>
    <mergeCell ref="N2:O2"/>
    <mergeCell ref="D3:E3"/>
    <mergeCell ref="F3:G3"/>
    <mergeCell ref="H3:I3"/>
    <mergeCell ref="J3:K3"/>
    <mergeCell ref="L3:M3"/>
    <mergeCell ref="N3:O3"/>
    <mergeCell ref="J2:K2"/>
    <mergeCell ref="B14:D14"/>
    <mergeCell ref="E14:G14"/>
    <mergeCell ref="H14:J14"/>
    <mergeCell ref="B15:D15"/>
    <mergeCell ref="E15:G15"/>
    <mergeCell ref="H15:J15"/>
    <mergeCell ref="B12:D12"/>
    <mergeCell ref="E12:G12"/>
    <mergeCell ref="H12:J12"/>
    <mergeCell ref="B13:D13"/>
    <mergeCell ref="E13:G13"/>
    <mergeCell ref="H13:J13"/>
    <mergeCell ref="B24:D24"/>
    <mergeCell ref="E24:G24"/>
    <mergeCell ref="H24:J24"/>
    <mergeCell ref="B33:D33"/>
    <mergeCell ref="E33:G33"/>
    <mergeCell ref="H33:J33"/>
    <mergeCell ref="B25:D25"/>
    <mergeCell ref="E25:G25"/>
    <mergeCell ref="H25:J25"/>
    <mergeCell ref="B26:D26"/>
    <mergeCell ref="E26:G26"/>
    <mergeCell ref="H26:J26"/>
    <mergeCell ref="B29:D29"/>
    <mergeCell ref="E29:G29"/>
    <mergeCell ref="H29:J29"/>
    <mergeCell ref="B30:D30"/>
    <mergeCell ref="E30:G30"/>
    <mergeCell ref="H30:J30"/>
    <mergeCell ref="B27:D27"/>
    <mergeCell ref="E27:G27"/>
    <mergeCell ref="H27:J27"/>
    <mergeCell ref="B28:D28"/>
    <mergeCell ref="E28:G28"/>
    <mergeCell ref="H28:J28"/>
    <mergeCell ref="B40:D40"/>
    <mergeCell ref="E40:G40"/>
    <mergeCell ref="H40:J40"/>
    <mergeCell ref="B41:D41"/>
    <mergeCell ref="E41:G41"/>
    <mergeCell ref="H41:J41"/>
    <mergeCell ref="B42:D42"/>
    <mergeCell ref="E42:G42"/>
    <mergeCell ref="H42:J42"/>
    <mergeCell ref="B100:D100"/>
    <mergeCell ref="E100:G100"/>
    <mergeCell ref="H100:J100"/>
    <mergeCell ref="B63:D63"/>
    <mergeCell ref="E63:G63"/>
    <mergeCell ref="H63:J63"/>
    <mergeCell ref="B81:D81"/>
    <mergeCell ref="E81:G81"/>
    <mergeCell ref="H81:J81"/>
    <mergeCell ref="B65:D65"/>
    <mergeCell ref="E65:G65"/>
    <mergeCell ref="H65:J65"/>
    <mergeCell ref="B66:D66"/>
    <mergeCell ref="E66:G66"/>
    <mergeCell ref="H66:J66"/>
    <mergeCell ref="B69:D69"/>
    <mergeCell ref="E69:G69"/>
    <mergeCell ref="H69:J69"/>
    <mergeCell ref="B67:D67"/>
    <mergeCell ref="E67:G67"/>
    <mergeCell ref="H67:J67"/>
    <mergeCell ref="B68:D68"/>
    <mergeCell ref="E68:G68"/>
    <mergeCell ref="H68:J68"/>
    <mergeCell ref="B112:D112"/>
    <mergeCell ref="E112:G112"/>
    <mergeCell ref="H112:J112"/>
    <mergeCell ref="B117:D117"/>
    <mergeCell ref="E117:G117"/>
    <mergeCell ref="H117:J117"/>
    <mergeCell ref="B113:D113"/>
    <mergeCell ref="E113:G113"/>
    <mergeCell ref="H113:J113"/>
    <mergeCell ref="B114:D114"/>
    <mergeCell ref="E114:G114"/>
    <mergeCell ref="H114:J114"/>
    <mergeCell ref="B18:D18"/>
    <mergeCell ref="E18:G18"/>
    <mergeCell ref="H18:J18"/>
    <mergeCell ref="B19:D19"/>
    <mergeCell ref="E19:G19"/>
    <mergeCell ref="H19:J19"/>
    <mergeCell ref="B16:D16"/>
    <mergeCell ref="E16:G16"/>
    <mergeCell ref="H16:J16"/>
    <mergeCell ref="B17:D17"/>
    <mergeCell ref="E17:G17"/>
    <mergeCell ref="H17:J17"/>
    <mergeCell ref="B22:D22"/>
    <mergeCell ref="E22:G22"/>
    <mergeCell ref="H22:J22"/>
    <mergeCell ref="B23:D23"/>
    <mergeCell ref="E23:G23"/>
    <mergeCell ref="H23:J23"/>
    <mergeCell ref="B20:D20"/>
    <mergeCell ref="E20:G20"/>
    <mergeCell ref="H20:J20"/>
    <mergeCell ref="B21:D21"/>
    <mergeCell ref="E21:G21"/>
    <mergeCell ref="H21:J21"/>
    <mergeCell ref="B34:D34"/>
    <mergeCell ref="E34:G34"/>
    <mergeCell ref="H34:J34"/>
    <mergeCell ref="B35:D35"/>
    <mergeCell ref="E35:G35"/>
    <mergeCell ref="H35:J35"/>
    <mergeCell ref="B31:D31"/>
    <mergeCell ref="E31:G31"/>
    <mergeCell ref="H31:J31"/>
    <mergeCell ref="B32:D32"/>
    <mergeCell ref="E32:G32"/>
    <mergeCell ref="H32:J32"/>
    <mergeCell ref="B38:D38"/>
    <mergeCell ref="E38:G38"/>
    <mergeCell ref="H38:J38"/>
    <mergeCell ref="B39:D39"/>
    <mergeCell ref="E39:G39"/>
    <mergeCell ref="H39:J39"/>
    <mergeCell ref="B36:D36"/>
    <mergeCell ref="E36:G36"/>
    <mergeCell ref="H36:J36"/>
    <mergeCell ref="B37:D37"/>
    <mergeCell ref="E37:G37"/>
    <mergeCell ref="H37:J37"/>
    <mergeCell ref="B49:D49"/>
    <mergeCell ref="E49:G49"/>
    <mergeCell ref="H49:J49"/>
    <mergeCell ref="B50:D50"/>
    <mergeCell ref="E50:G50"/>
    <mergeCell ref="H50:J50"/>
    <mergeCell ref="B43:D43"/>
    <mergeCell ref="E43:G43"/>
    <mergeCell ref="H43:J43"/>
    <mergeCell ref="B45:D45"/>
    <mergeCell ref="E45:G45"/>
    <mergeCell ref="H45:J45"/>
    <mergeCell ref="B46:D46"/>
    <mergeCell ref="E46:G46"/>
    <mergeCell ref="H46:J46"/>
    <mergeCell ref="B47:D47"/>
    <mergeCell ref="E47:G47"/>
    <mergeCell ref="H47:J47"/>
    <mergeCell ref="B48:D48"/>
    <mergeCell ref="E48:G48"/>
    <mergeCell ref="H48:J48"/>
    <mergeCell ref="B44:D44"/>
    <mergeCell ref="E44:G44"/>
    <mergeCell ref="H44:J44"/>
    <mergeCell ref="B51:D51"/>
    <mergeCell ref="E51:G51"/>
    <mergeCell ref="H51:J51"/>
    <mergeCell ref="B53:D53"/>
    <mergeCell ref="E53:G53"/>
    <mergeCell ref="H53:J53"/>
    <mergeCell ref="B52:D52"/>
    <mergeCell ref="E52:G52"/>
    <mergeCell ref="H52:J52"/>
    <mergeCell ref="B56:D56"/>
    <mergeCell ref="E56:G56"/>
    <mergeCell ref="H56:J56"/>
    <mergeCell ref="B57:D57"/>
    <mergeCell ref="E57:G57"/>
    <mergeCell ref="H57:J57"/>
    <mergeCell ref="B54:D54"/>
    <mergeCell ref="E54:G54"/>
    <mergeCell ref="H54:J54"/>
    <mergeCell ref="B55:D55"/>
    <mergeCell ref="E55:G55"/>
    <mergeCell ref="H55:J55"/>
    <mergeCell ref="B60:D60"/>
    <mergeCell ref="E60:G60"/>
    <mergeCell ref="H60:J60"/>
    <mergeCell ref="B61:D61"/>
    <mergeCell ref="E61:G61"/>
    <mergeCell ref="H61:J61"/>
    <mergeCell ref="B58:D58"/>
    <mergeCell ref="E58:G58"/>
    <mergeCell ref="H58:J58"/>
    <mergeCell ref="B59:D59"/>
    <mergeCell ref="E59:G59"/>
    <mergeCell ref="H59:J59"/>
    <mergeCell ref="B62:D62"/>
    <mergeCell ref="E62:G62"/>
    <mergeCell ref="H62:J62"/>
    <mergeCell ref="B64:D64"/>
    <mergeCell ref="E64:G64"/>
    <mergeCell ref="H64:J64"/>
    <mergeCell ref="B71:D71"/>
    <mergeCell ref="E71:G71"/>
    <mergeCell ref="H71:J71"/>
    <mergeCell ref="B72:D72"/>
    <mergeCell ref="E72:G72"/>
    <mergeCell ref="H72:J72"/>
    <mergeCell ref="B70:D70"/>
    <mergeCell ref="E70:G70"/>
    <mergeCell ref="H70:J70"/>
    <mergeCell ref="B75:D75"/>
    <mergeCell ref="E75:G75"/>
    <mergeCell ref="H75:J75"/>
    <mergeCell ref="B76:D76"/>
    <mergeCell ref="E76:G76"/>
    <mergeCell ref="H76:J76"/>
    <mergeCell ref="B73:D73"/>
    <mergeCell ref="E73:G73"/>
    <mergeCell ref="H73:J73"/>
    <mergeCell ref="B74:D74"/>
    <mergeCell ref="E74:G74"/>
    <mergeCell ref="H74:J74"/>
    <mergeCell ref="B79:D79"/>
    <mergeCell ref="E79:G79"/>
    <mergeCell ref="H79:J79"/>
    <mergeCell ref="B80:D80"/>
    <mergeCell ref="E80:G80"/>
    <mergeCell ref="H80:J80"/>
    <mergeCell ref="B77:D77"/>
    <mergeCell ref="E77:G77"/>
    <mergeCell ref="H77:J77"/>
    <mergeCell ref="B78:D78"/>
    <mergeCell ref="E78:G78"/>
    <mergeCell ref="H78:J78"/>
    <mergeCell ref="B84:D84"/>
    <mergeCell ref="E84:G84"/>
    <mergeCell ref="H84:J84"/>
    <mergeCell ref="B85:D85"/>
    <mergeCell ref="E85:G85"/>
    <mergeCell ref="H85:J85"/>
    <mergeCell ref="B82:D82"/>
    <mergeCell ref="E82:G82"/>
    <mergeCell ref="H82:J82"/>
    <mergeCell ref="B83:D83"/>
    <mergeCell ref="E83:G83"/>
    <mergeCell ref="H83:J83"/>
    <mergeCell ref="B88:D88"/>
    <mergeCell ref="E88:G88"/>
    <mergeCell ref="H88:J88"/>
    <mergeCell ref="B89:D89"/>
    <mergeCell ref="E89:G89"/>
    <mergeCell ref="H89:J89"/>
    <mergeCell ref="B86:D86"/>
    <mergeCell ref="E86:G86"/>
    <mergeCell ref="H86:J86"/>
    <mergeCell ref="B87:D87"/>
    <mergeCell ref="E87:G87"/>
    <mergeCell ref="H87:J87"/>
    <mergeCell ref="B92:D92"/>
    <mergeCell ref="E92:G92"/>
    <mergeCell ref="H92:J92"/>
    <mergeCell ref="B93:D93"/>
    <mergeCell ref="E93:G93"/>
    <mergeCell ref="H93:J93"/>
    <mergeCell ref="B90:D90"/>
    <mergeCell ref="E90:G90"/>
    <mergeCell ref="H90:J90"/>
    <mergeCell ref="B91:D91"/>
    <mergeCell ref="E91:G91"/>
    <mergeCell ref="H91:J91"/>
    <mergeCell ref="B99:D99"/>
    <mergeCell ref="E99:G99"/>
    <mergeCell ref="H99:J99"/>
    <mergeCell ref="B94:D94"/>
    <mergeCell ref="E94:G94"/>
    <mergeCell ref="H94:J94"/>
    <mergeCell ref="B95:D95"/>
    <mergeCell ref="E95:G95"/>
    <mergeCell ref="H95:J95"/>
    <mergeCell ref="B96:D96"/>
    <mergeCell ref="E96:G96"/>
    <mergeCell ref="H96:J96"/>
    <mergeCell ref="B97:D97"/>
    <mergeCell ref="E97:G97"/>
    <mergeCell ref="H97:J97"/>
    <mergeCell ref="B98:D98"/>
    <mergeCell ref="E98:G98"/>
    <mergeCell ref="H98:J98"/>
    <mergeCell ref="B103:D103"/>
    <mergeCell ref="E103:G103"/>
    <mergeCell ref="H103:J103"/>
    <mergeCell ref="B104:D104"/>
    <mergeCell ref="E104:G104"/>
    <mergeCell ref="H104:J104"/>
    <mergeCell ref="B101:D101"/>
    <mergeCell ref="E101:G101"/>
    <mergeCell ref="H101:J101"/>
    <mergeCell ref="B102:D102"/>
    <mergeCell ref="E102:G102"/>
    <mergeCell ref="H102:J102"/>
    <mergeCell ref="H109:J109"/>
    <mergeCell ref="B108:D108"/>
    <mergeCell ref="E108:G108"/>
    <mergeCell ref="H108:J108"/>
    <mergeCell ref="B105:D105"/>
    <mergeCell ref="E105:G105"/>
    <mergeCell ref="H105:J105"/>
    <mergeCell ref="B106:D106"/>
    <mergeCell ref="E106:G106"/>
    <mergeCell ref="H106:J106"/>
    <mergeCell ref="L12:N12"/>
    <mergeCell ref="B118:D118"/>
    <mergeCell ref="E118:G118"/>
    <mergeCell ref="H118:J118"/>
    <mergeCell ref="B119:D119"/>
    <mergeCell ref="E119:G119"/>
    <mergeCell ref="H119:J119"/>
    <mergeCell ref="B115:D115"/>
    <mergeCell ref="E115:G115"/>
    <mergeCell ref="H115:J115"/>
    <mergeCell ref="B116:D116"/>
    <mergeCell ref="E116:G116"/>
    <mergeCell ref="H116:J116"/>
    <mergeCell ref="B110:D110"/>
    <mergeCell ref="E110:G110"/>
    <mergeCell ref="H110:J110"/>
    <mergeCell ref="B111:D111"/>
    <mergeCell ref="E111:G111"/>
    <mergeCell ref="H111:J111"/>
    <mergeCell ref="B107:D107"/>
    <mergeCell ref="E107:G107"/>
    <mergeCell ref="H107:J107"/>
    <mergeCell ref="B109:D109"/>
    <mergeCell ref="E109:G109"/>
  </mergeCells>
  <conditionalFormatting sqref="K15">
    <cfRule type="containsText" dxfId="566" priority="517" operator="containsText" text="Yes">
      <formula>NOT(ISERROR(SEARCH("Yes",K15)))</formula>
    </cfRule>
    <cfRule type="containsText" dxfId="565" priority="518" operator="containsText" text="No">
      <formula>NOT(ISERROR(SEARCH("No",K15)))</formula>
    </cfRule>
  </conditionalFormatting>
  <conditionalFormatting sqref="K16">
    <cfRule type="containsText" dxfId="564" priority="515" operator="containsText" text="Yes">
      <formula>NOT(ISERROR(SEARCH("Yes",K16)))</formula>
    </cfRule>
    <cfRule type="containsText" dxfId="563" priority="516" operator="containsText" text="No">
      <formula>NOT(ISERROR(SEARCH("No",K16)))</formula>
    </cfRule>
  </conditionalFormatting>
  <conditionalFormatting sqref="K17">
    <cfRule type="containsText" dxfId="562" priority="513" operator="containsText" text="Yes">
      <formula>NOT(ISERROR(SEARCH("Yes",K17)))</formula>
    </cfRule>
    <cfRule type="containsText" dxfId="561" priority="514" operator="containsText" text="No">
      <formula>NOT(ISERROR(SEARCH("No",K17)))</formula>
    </cfRule>
  </conditionalFormatting>
  <conditionalFormatting sqref="K18">
    <cfRule type="containsText" dxfId="560" priority="511" operator="containsText" text="Yes">
      <formula>NOT(ISERROR(SEARCH("Yes",K18)))</formula>
    </cfRule>
    <cfRule type="containsText" dxfId="559" priority="512" operator="containsText" text="No">
      <formula>NOT(ISERROR(SEARCH("No",K18)))</formula>
    </cfRule>
  </conditionalFormatting>
  <conditionalFormatting sqref="K19">
    <cfRule type="containsText" dxfId="558" priority="509" operator="containsText" text="Yes">
      <formula>NOT(ISERROR(SEARCH("Yes",K19)))</formula>
    </cfRule>
    <cfRule type="containsText" dxfId="557" priority="510" operator="containsText" text="No">
      <formula>NOT(ISERROR(SEARCH("No",K19)))</formula>
    </cfRule>
  </conditionalFormatting>
  <conditionalFormatting sqref="K20">
    <cfRule type="containsText" dxfId="556" priority="507" operator="containsText" text="Yes">
      <formula>NOT(ISERROR(SEARCH("Yes",K20)))</formula>
    </cfRule>
    <cfRule type="containsText" dxfId="555" priority="508" operator="containsText" text="No">
      <formula>NOT(ISERROR(SEARCH("No",K20)))</formula>
    </cfRule>
  </conditionalFormatting>
  <conditionalFormatting sqref="K21">
    <cfRule type="containsText" dxfId="554" priority="505" operator="containsText" text="Yes">
      <formula>NOT(ISERROR(SEARCH("Yes",K21)))</formula>
    </cfRule>
    <cfRule type="containsText" dxfId="553" priority="506" operator="containsText" text="No">
      <formula>NOT(ISERROR(SEARCH("No",K21)))</formula>
    </cfRule>
  </conditionalFormatting>
  <conditionalFormatting sqref="K22">
    <cfRule type="containsText" dxfId="552" priority="503" operator="containsText" text="Yes">
      <formula>NOT(ISERROR(SEARCH("Yes",K22)))</formula>
    </cfRule>
    <cfRule type="containsText" dxfId="551" priority="504" operator="containsText" text="No">
      <formula>NOT(ISERROR(SEARCH("No",K22)))</formula>
    </cfRule>
  </conditionalFormatting>
  <conditionalFormatting sqref="K23">
    <cfRule type="containsText" dxfId="550" priority="501" operator="containsText" text="Yes">
      <formula>NOT(ISERROR(SEARCH("Yes",K23)))</formula>
    </cfRule>
    <cfRule type="containsText" dxfId="549" priority="502" operator="containsText" text="No">
      <formula>NOT(ISERROR(SEARCH("No",K23)))</formula>
    </cfRule>
  </conditionalFormatting>
  <conditionalFormatting sqref="O106">
    <cfRule type="containsText" dxfId="548" priority="27" operator="containsText" text="Yes">
      <formula>NOT(ISERROR(SEARCH("Yes",O106)))</formula>
    </cfRule>
    <cfRule type="containsText" dxfId="547" priority="28" operator="containsText" text="No">
      <formula>NOT(ISERROR(SEARCH("No",O106)))</formula>
    </cfRule>
  </conditionalFormatting>
  <conditionalFormatting sqref="O107">
    <cfRule type="containsText" dxfId="546" priority="25" operator="containsText" text="Yes">
      <formula>NOT(ISERROR(SEARCH("Yes",O107)))</formula>
    </cfRule>
    <cfRule type="containsText" dxfId="545" priority="26" operator="containsText" text="No">
      <formula>NOT(ISERROR(SEARCH("No",O107)))</formula>
    </cfRule>
  </conditionalFormatting>
  <conditionalFormatting sqref="O109">
    <cfRule type="containsText" dxfId="544" priority="23" operator="containsText" text="Yes">
      <formula>NOT(ISERROR(SEARCH("Yes",O109)))</formula>
    </cfRule>
    <cfRule type="containsText" dxfId="543" priority="24" operator="containsText" text="No">
      <formula>NOT(ISERROR(SEARCH("No",O109)))</formula>
    </cfRule>
  </conditionalFormatting>
  <conditionalFormatting sqref="O110">
    <cfRule type="containsText" dxfId="542" priority="21" operator="containsText" text="Yes">
      <formula>NOT(ISERROR(SEARCH("Yes",O110)))</formula>
    </cfRule>
    <cfRule type="containsText" dxfId="541" priority="22" operator="containsText" text="No">
      <formula>NOT(ISERROR(SEARCH("No",O110)))</formula>
    </cfRule>
  </conditionalFormatting>
  <conditionalFormatting sqref="O111">
    <cfRule type="containsText" dxfId="540" priority="19" operator="containsText" text="Yes">
      <formula>NOT(ISERROR(SEARCH("Yes",O111)))</formula>
    </cfRule>
    <cfRule type="containsText" dxfId="539" priority="20" operator="containsText" text="No">
      <formula>NOT(ISERROR(SEARCH("No",O111)))</formula>
    </cfRule>
  </conditionalFormatting>
  <conditionalFormatting sqref="O113">
    <cfRule type="containsText" dxfId="538" priority="17" operator="containsText" text="Yes">
      <formula>NOT(ISERROR(SEARCH("Yes",O113)))</formula>
    </cfRule>
    <cfRule type="containsText" dxfId="537" priority="18" operator="containsText" text="No">
      <formula>NOT(ISERROR(SEARCH("No",O113)))</formula>
    </cfRule>
  </conditionalFormatting>
  <conditionalFormatting sqref="O114">
    <cfRule type="containsText" dxfId="536" priority="15" operator="containsText" text="Yes">
      <formula>NOT(ISERROR(SEARCH("Yes",O114)))</formula>
    </cfRule>
    <cfRule type="containsText" dxfId="535" priority="16" operator="containsText" text="No">
      <formula>NOT(ISERROR(SEARCH("No",O114)))</formula>
    </cfRule>
  </conditionalFormatting>
  <conditionalFormatting sqref="O115">
    <cfRule type="containsText" dxfId="534" priority="13" operator="containsText" text="Yes">
      <formula>NOT(ISERROR(SEARCH("Yes",O115)))</formula>
    </cfRule>
    <cfRule type="containsText" dxfId="533" priority="14" operator="containsText" text="No">
      <formula>NOT(ISERROR(SEARCH("No",O115)))</formula>
    </cfRule>
  </conditionalFormatting>
  <conditionalFormatting sqref="O105">
    <cfRule type="containsText" dxfId="532" priority="29" operator="containsText" text="Yes">
      <formula>NOT(ISERROR(SEARCH("Yes",O105)))</formula>
    </cfRule>
    <cfRule type="containsText" dxfId="531" priority="30" operator="containsText" text="No">
      <formula>NOT(ISERROR(SEARCH("No",O105)))</formula>
    </cfRule>
  </conditionalFormatting>
  <conditionalFormatting sqref="K25">
    <cfRule type="containsText" dxfId="530" priority="471" operator="containsText" text="Yes">
      <formula>NOT(ISERROR(SEARCH("Yes",K25)))</formula>
    </cfRule>
    <cfRule type="containsText" dxfId="529" priority="472" operator="containsText" text="No">
      <formula>NOT(ISERROR(SEARCH("No",K25)))</formula>
    </cfRule>
  </conditionalFormatting>
  <conditionalFormatting sqref="K26">
    <cfRule type="containsText" dxfId="528" priority="469" operator="containsText" text="Yes">
      <formula>NOT(ISERROR(SEARCH("Yes",K26)))</formula>
    </cfRule>
    <cfRule type="containsText" dxfId="527" priority="470" operator="containsText" text="No">
      <formula>NOT(ISERROR(SEARCH("No",K26)))</formula>
    </cfRule>
  </conditionalFormatting>
  <conditionalFormatting sqref="K27">
    <cfRule type="containsText" dxfId="526" priority="467" operator="containsText" text="Yes">
      <formula>NOT(ISERROR(SEARCH("Yes",K27)))</formula>
    </cfRule>
    <cfRule type="containsText" dxfId="525" priority="468" operator="containsText" text="No">
      <formula>NOT(ISERROR(SEARCH("No",K27)))</formula>
    </cfRule>
  </conditionalFormatting>
  <conditionalFormatting sqref="K28">
    <cfRule type="containsText" dxfId="524" priority="465" operator="containsText" text="Yes">
      <formula>NOT(ISERROR(SEARCH("Yes",K28)))</formula>
    </cfRule>
    <cfRule type="containsText" dxfId="523" priority="466" operator="containsText" text="No">
      <formula>NOT(ISERROR(SEARCH("No",K28)))</formula>
    </cfRule>
  </conditionalFormatting>
  <conditionalFormatting sqref="K29">
    <cfRule type="containsText" dxfId="522" priority="463" operator="containsText" text="Yes">
      <formula>NOT(ISERROR(SEARCH("Yes",K29)))</formula>
    </cfRule>
    <cfRule type="containsText" dxfId="521" priority="464" operator="containsText" text="No">
      <formula>NOT(ISERROR(SEARCH("No",K29)))</formula>
    </cfRule>
  </conditionalFormatting>
  <conditionalFormatting sqref="K30">
    <cfRule type="containsText" dxfId="520" priority="461" operator="containsText" text="Yes">
      <formula>NOT(ISERROR(SEARCH("Yes",K30)))</formula>
    </cfRule>
    <cfRule type="containsText" dxfId="519" priority="462" operator="containsText" text="No">
      <formula>NOT(ISERROR(SEARCH("No",K30)))</formula>
    </cfRule>
  </conditionalFormatting>
  <conditionalFormatting sqref="K31">
    <cfRule type="containsText" dxfId="518" priority="459" operator="containsText" text="Yes">
      <formula>NOT(ISERROR(SEARCH("Yes",K31)))</formula>
    </cfRule>
    <cfRule type="containsText" dxfId="517" priority="460" operator="containsText" text="No">
      <formula>NOT(ISERROR(SEARCH("No",K31)))</formula>
    </cfRule>
  </conditionalFormatting>
  <conditionalFormatting sqref="K32">
    <cfRule type="containsText" dxfId="516" priority="457" operator="containsText" text="Yes">
      <formula>NOT(ISERROR(SEARCH("Yes",K32)))</formula>
    </cfRule>
    <cfRule type="containsText" dxfId="515" priority="458" operator="containsText" text="No">
      <formula>NOT(ISERROR(SEARCH("No",K32)))</formula>
    </cfRule>
  </conditionalFormatting>
  <conditionalFormatting sqref="K34">
    <cfRule type="containsText" dxfId="514" priority="453" operator="containsText" text="Yes">
      <formula>NOT(ISERROR(SEARCH("Yes",K34)))</formula>
    </cfRule>
    <cfRule type="containsText" dxfId="513" priority="454" operator="containsText" text="No">
      <formula>NOT(ISERROR(SEARCH("No",K34)))</formula>
    </cfRule>
  </conditionalFormatting>
  <conditionalFormatting sqref="K35">
    <cfRule type="containsText" dxfId="512" priority="451" operator="containsText" text="Yes">
      <formula>NOT(ISERROR(SEARCH("Yes",K35)))</formula>
    </cfRule>
    <cfRule type="containsText" dxfId="511" priority="452" operator="containsText" text="No">
      <formula>NOT(ISERROR(SEARCH("No",K35)))</formula>
    </cfRule>
  </conditionalFormatting>
  <conditionalFormatting sqref="K36">
    <cfRule type="containsText" dxfId="510" priority="449" operator="containsText" text="Yes">
      <formula>NOT(ISERROR(SEARCH("Yes",K36)))</formula>
    </cfRule>
    <cfRule type="containsText" dxfId="509" priority="450" operator="containsText" text="No">
      <formula>NOT(ISERROR(SEARCH("No",K36)))</formula>
    </cfRule>
  </conditionalFormatting>
  <conditionalFormatting sqref="K37">
    <cfRule type="containsText" dxfId="508" priority="447" operator="containsText" text="Yes">
      <formula>NOT(ISERROR(SEARCH("Yes",K37)))</formula>
    </cfRule>
    <cfRule type="containsText" dxfId="507" priority="448" operator="containsText" text="No">
      <formula>NOT(ISERROR(SEARCH("No",K37)))</formula>
    </cfRule>
  </conditionalFormatting>
  <conditionalFormatting sqref="K38">
    <cfRule type="containsText" dxfId="506" priority="445" operator="containsText" text="Yes">
      <formula>NOT(ISERROR(SEARCH("Yes",K38)))</formula>
    </cfRule>
    <cfRule type="containsText" dxfId="505" priority="446" operator="containsText" text="No">
      <formula>NOT(ISERROR(SEARCH("No",K38)))</formula>
    </cfRule>
  </conditionalFormatting>
  <conditionalFormatting sqref="K39">
    <cfRule type="containsText" dxfId="504" priority="443" operator="containsText" text="Yes">
      <formula>NOT(ISERROR(SEARCH("Yes",K39)))</formula>
    </cfRule>
    <cfRule type="containsText" dxfId="503" priority="444" operator="containsText" text="No">
      <formula>NOT(ISERROR(SEARCH("No",K39)))</formula>
    </cfRule>
  </conditionalFormatting>
  <conditionalFormatting sqref="K41">
    <cfRule type="containsText" dxfId="502" priority="439" operator="containsText" text="Yes">
      <formula>NOT(ISERROR(SEARCH("Yes",K41)))</formula>
    </cfRule>
    <cfRule type="containsText" dxfId="501" priority="440" operator="containsText" text="No">
      <formula>NOT(ISERROR(SEARCH("No",K41)))</formula>
    </cfRule>
  </conditionalFormatting>
  <conditionalFormatting sqref="K42">
    <cfRule type="containsText" dxfId="500" priority="437" operator="containsText" text="Yes">
      <formula>NOT(ISERROR(SEARCH("Yes",K42)))</formula>
    </cfRule>
    <cfRule type="containsText" dxfId="499" priority="438" operator="containsText" text="No">
      <formula>NOT(ISERROR(SEARCH("No",K42)))</formula>
    </cfRule>
  </conditionalFormatting>
  <conditionalFormatting sqref="K43">
    <cfRule type="containsText" dxfId="498" priority="435" operator="containsText" text="Yes">
      <formula>NOT(ISERROR(SEARCH("Yes",K43)))</formula>
    </cfRule>
    <cfRule type="containsText" dxfId="497" priority="436" operator="containsText" text="No">
      <formula>NOT(ISERROR(SEARCH("No",K43)))</formula>
    </cfRule>
  </conditionalFormatting>
  <conditionalFormatting sqref="O116">
    <cfRule type="containsText" dxfId="496" priority="11" operator="containsText" text="Yes">
      <formula>NOT(ISERROR(SEARCH("Yes",O116)))</formula>
    </cfRule>
    <cfRule type="containsText" dxfId="495" priority="12" operator="containsText" text="No">
      <formula>NOT(ISERROR(SEARCH("No",O116)))</formula>
    </cfRule>
  </conditionalFormatting>
  <conditionalFormatting sqref="O118">
    <cfRule type="containsText" dxfId="494" priority="9" operator="containsText" text="Yes">
      <formula>NOT(ISERROR(SEARCH("Yes",O118)))</formula>
    </cfRule>
    <cfRule type="containsText" dxfId="493" priority="10" operator="containsText" text="No">
      <formula>NOT(ISERROR(SEARCH("No",O118)))</formula>
    </cfRule>
  </conditionalFormatting>
  <conditionalFormatting sqref="O119">
    <cfRule type="containsText" dxfId="492" priority="7" operator="containsText" text="Yes">
      <formula>NOT(ISERROR(SEARCH("Yes",O119)))</formula>
    </cfRule>
    <cfRule type="containsText" dxfId="491" priority="8" operator="containsText" text="No">
      <formula>NOT(ISERROR(SEARCH("No",O119)))</formula>
    </cfRule>
  </conditionalFormatting>
  <conditionalFormatting sqref="O100">
    <cfRule type="containsText" dxfId="490" priority="5" operator="containsText" text="Yes">
      <formula>NOT(ISERROR(SEARCH("Yes",O100)))</formula>
    </cfRule>
    <cfRule type="containsText" dxfId="489" priority="6" operator="containsText" text="No">
      <formula>NOT(ISERROR(SEARCH("No",O100)))</formula>
    </cfRule>
  </conditionalFormatting>
  <conditionalFormatting sqref="O82">
    <cfRule type="containsText" dxfId="488" priority="3" operator="containsText" text="Yes">
      <formula>NOT(ISERROR(SEARCH("Yes",O82)))</formula>
    </cfRule>
    <cfRule type="containsText" dxfId="487" priority="4" operator="containsText" text="No">
      <formula>NOT(ISERROR(SEARCH("No",O82)))</formula>
    </cfRule>
  </conditionalFormatting>
  <conditionalFormatting sqref="O53">
    <cfRule type="containsText" dxfId="486" priority="1" operator="containsText" text="Yes">
      <formula>NOT(ISERROR(SEARCH("Yes",O53)))</formula>
    </cfRule>
    <cfRule type="containsText" dxfId="485" priority="2" operator="containsText" text="No">
      <formula>NOT(ISERROR(SEARCH("No",O53)))</formula>
    </cfRule>
  </conditionalFormatting>
  <conditionalFormatting sqref="K101">
    <cfRule type="containsText" dxfId="484" priority="231" operator="containsText" text="Yes">
      <formula>NOT(ISERROR(SEARCH("Yes",K101)))</formula>
    </cfRule>
    <cfRule type="containsText" dxfId="483" priority="232" operator="containsText" text="No">
      <formula>NOT(ISERROR(SEARCH("No",K101)))</formula>
    </cfRule>
  </conditionalFormatting>
  <conditionalFormatting sqref="K45">
    <cfRule type="containsText" dxfId="482" priority="415" operator="containsText" text="Yes">
      <formula>NOT(ISERROR(SEARCH("Yes",K45)))</formula>
    </cfRule>
    <cfRule type="containsText" dxfId="481" priority="416" operator="containsText" text="No">
      <formula>NOT(ISERROR(SEARCH("No",K45)))</formula>
    </cfRule>
  </conditionalFormatting>
  <conditionalFormatting sqref="K103">
    <cfRule type="containsText" dxfId="480" priority="227" operator="containsText" text="Yes">
      <formula>NOT(ISERROR(SEARCH("Yes",K103)))</formula>
    </cfRule>
    <cfRule type="containsText" dxfId="479" priority="228" operator="containsText" text="No">
      <formula>NOT(ISERROR(SEARCH("No",K103)))</formula>
    </cfRule>
  </conditionalFormatting>
  <conditionalFormatting sqref="K47">
    <cfRule type="containsText" dxfId="478" priority="411" operator="containsText" text="Yes">
      <formula>NOT(ISERROR(SEARCH("Yes",K47)))</formula>
    </cfRule>
    <cfRule type="containsText" dxfId="477" priority="412" operator="containsText" text="No">
      <formula>NOT(ISERROR(SEARCH("No",K47)))</formula>
    </cfRule>
  </conditionalFormatting>
  <conditionalFormatting sqref="K48">
    <cfRule type="containsText" dxfId="476" priority="409" operator="containsText" text="Yes">
      <formula>NOT(ISERROR(SEARCH("Yes",K48)))</formula>
    </cfRule>
    <cfRule type="containsText" dxfId="475" priority="410" operator="containsText" text="No">
      <formula>NOT(ISERROR(SEARCH("No",K48)))</formula>
    </cfRule>
  </conditionalFormatting>
  <conditionalFormatting sqref="K49">
    <cfRule type="containsText" dxfId="474" priority="407" operator="containsText" text="Yes">
      <formula>NOT(ISERROR(SEARCH("Yes",K49)))</formula>
    </cfRule>
    <cfRule type="containsText" dxfId="473" priority="408" operator="containsText" text="No">
      <formula>NOT(ISERROR(SEARCH("No",K49)))</formula>
    </cfRule>
  </conditionalFormatting>
  <conditionalFormatting sqref="K50">
    <cfRule type="containsText" dxfId="472" priority="405" operator="containsText" text="Yes">
      <formula>NOT(ISERROR(SEARCH("Yes",K50)))</formula>
    </cfRule>
    <cfRule type="containsText" dxfId="471" priority="406" operator="containsText" text="No">
      <formula>NOT(ISERROR(SEARCH("No",K50)))</formula>
    </cfRule>
  </conditionalFormatting>
  <conditionalFormatting sqref="K51">
    <cfRule type="containsText" dxfId="470" priority="403" operator="containsText" text="Yes">
      <formula>NOT(ISERROR(SEARCH("Yes",K51)))</formula>
    </cfRule>
    <cfRule type="containsText" dxfId="469" priority="404" operator="containsText" text="No">
      <formula>NOT(ISERROR(SEARCH("No",K51)))</formula>
    </cfRule>
  </conditionalFormatting>
  <conditionalFormatting sqref="K111">
    <cfRule type="containsText" dxfId="468" priority="211" operator="containsText" text="Yes">
      <formula>NOT(ISERROR(SEARCH("Yes",K111)))</formula>
    </cfRule>
    <cfRule type="containsText" dxfId="467" priority="212" operator="containsText" text="No">
      <formula>NOT(ISERROR(SEARCH("No",K111)))</formula>
    </cfRule>
  </conditionalFormatting>
  <conditionalFormatting sqref="K54">
    <cfRule type="containsText" dxfId="466" priority="399" operator="containsText" text="Yes">
      <formula>NOT(ISERROR(SEARCH("Yes",K54)))</formula>
    </cfRule>
    <cfRule type="containsText" dxfId="465" priority="400" operator="containsText" text="No">
      <formula>NOT(ISERROR(SEARCH("No",K54)))</formula>
    </cfRule>
  </conditionalFormatting>
  <conditionalFormatting sqref="K55">
    <cfRule type="containsText" dxfId="464" priority="397" operator="containsText" text="Yes">
      <formula>NOT(ISERROR(SEARCH("Yes",K55)))</formula>
    </cfRule>
    <cfRule type="containsText" dxfId="463" priority="398" operator="containsText" text="No">
      <formula>NOT(ISERROR(SEARCH("No",K55)))</formula>
    </cfRule>
  </conditionalFormatting>
  <conditionalFormatting sqref="K56">
    <cfRule type="containsText" dxfId="462" priority="395" operator="containsText" text="Yes">
      <formula>NOT(ISERROR(SEARCH("Yes",K56)))</formula>
    </cfRule>
    <cfRule type="containsText" dxfId="461" priority="396" operator="containsText" text="No">
      <formula>NOT(ISERROR(SEARCH("No",K56)))</formula>
    </cfRule>
  </conditionalFormatting>
  <conditionalFormatting sqref="K57">
    <cfRule type="containsText" dxfId="460" priority="393" operator="containsText" text="Yes">
      <formula>NOT(ISERROR(SEARCH("Yes",K57)))</formula>
    </cfRule>
    <cfRule type="containsText" dxfId="459" priority="394" operator="containsText" text="No">
      <formula>NOT(ISERROR(SEARCH("No",K57)))</formula>
    </cfRule>
  </conditionalFormatting>
  <conditionalFormatting sqref="K58">
    <cfRule type="containsText" dxfId="458" priority="391" operator="containsText" text="Yes">
      <formula>NOT(ISERROR(SEARCH("Yes",K58)))</formula>
    </cfRule>
    <cfRule type="containsText" dxfId="457" priority="392" operator="containsText" text="No">
      <formula>NOT(ISERROR(SEARCH("No",K58)))</formula>
    </cfRule>
  </conditionalFormatting>
  <conditionalFormatting sqref="K59">
    <cfRule type="containsText" dxfId="456" priority="389" operator="containsText" text="Yes">
      <formula>NOT(ISERROR(SEARCH("Yes",K59)))</formula>
    </cfRule>
    <cfRule type="containsText" dxfId="455" priority="390" operator="containsText" text="No">
      <formula>NOT(ISERROR(SEARCH("No",K59)))</formula>
    </cfRule>
  </conditionalFormatting>
  <conditionalFormatting sqref="K60">
    <cfRule type="containsText" dxfId="454" priority="387" operator="containsText" text="Yes">
      <formula>NOT(ISERROR(SEARCH("Yes",K60)))</formula>
    </cfRule>
    <cfRule type="containsText" dxfId="453" priority="388" operator="containsText" text="No">
      <formula>NOT(ISERROR(SEARCH("No",K60)))</formula>
    </cfRule>
  </conditionalFormatting>
  <conditionalFormatting sqref="K61">
    <cfRule type="containsText" dxfId="452" priority="385" operator="containsText" text="Yes">
      <formula>NOT(ISERROR(SEARCH("Yes",K61)))</formula>
    </cfRule>
    <cfRule type="containsText" dxfId="451" priority="386" operator="containsText" text="No">
      <formula>NOT(ISERROR(SEARCH("No",K61)))</formula>
    </cfRule>
  </conditionalFormatting>
  <conditionalFormatting sqref="K62">
    <cfRule type="containsText" dxfId="450" priority="383" operator="containsText" text="Yes">
      <formula>NOT(ISERROR(SEARCH("Yes",K62)))</formula>
    </cfRule>
    <cfRule type="containsText" dxfId="449" priority="384" operator="containsText" text="No">
      <formula>NOT(ISERROR(SEARCH("No",K62)))</formula>
    </cfRule>
  </conditionalFormatting>
  <conditionalFormatting sqref="K82">
    <cfRule type="containsText" dxfId="448" priority="191" operator="containsText" text="Yes">
      <formula>NOT(ISERROR(SEARCH("Yes",K82)))</formula>
    </cfRule>
    <cfRule type="containsText" dxfId="447" priority="192" operator="containsText" text="No">
      <formula>NOT(ISERROR(SEARCH("No",K82)))</formula>
    </cfRule>
  </conditionalFormatting>
  <conditionalFormatting sqref="K64">
    <cfRule type="containsText" dxfId="446" priority="379" operator="containsText" text="Yes">
      <formula>NOT(ISERROR(SEARCH("Yes",K64)))</formula>
    </cfRule>
    <cfRule type="containsText" dxfId="445" priority="380" operator="containsText" text="No">
      <formula>NOT(ISERROR(SEARCH("No",K64)))</formula>
    </cfRule>
  </conditionalFormatting>
  <conditionalFormatting sqref="K65">
    <cfRule type="containsText" dxfId="444" priority="377" operator="containsText" text="Yes">
      <formula>NOT(ISERROR(SEARCH("Yes",K65)))</formula>
    </cfRule>
    <cfRule type="containsText" dxfId="443" priority="378" operator="containsText" text="No">
      <formula>NOT(ISERROR(SEARCH("No",K65)))</formula>
    </cfRule>
  </conditionalFormatting>
  <conditionalFormatting sqref="K66">
    <cfRule type="containsText" dxfId="442" priority="375" operator="containsText" text="Yes">
      <formula>NOT(ISERROR(SEARCH("Yes",K66)))</formula>
    </cfRule>
    <cfRule type="containsText" dxfId="441" priority="376" operator="containsText" text="No">
      <formula>NOT(ISERROR(SEARCH("No",K66)))</formula>
    </cfRule>
  </conditionalFormatting>
  <conditionalFormatting sqref="K67">
    <cfRule type="containsText" dxfId="440" priority="373" operator="containsText" text="Yes">
      <formula>NOT(ISERROR(SEARCH("Yes",K67)))</formula>
    </cfRule>
    <cfRule type="containsText" dxfId="439" priority="374" operator="containsText" text="No">
      <formula>NOT(ISERROR(SEARCH("No",K67)))</formula>
    </cfRule>
  </conditionalFormatting>
  <conditionalFormatting sqref="K68">
    <cfRule type="containsText" dxfId="438" priority="371" operator="containsText" text="Yes">
      <formula>NOT(ISERROR(SEARCH("Yes",K68)))</formula>
    </cfRule>
    <cfRule type="containsText" dxfId="437" priority="372" operator="containsText" text="No">
      <formula>NOT(ISERROR(SEARCH("No",K68)))</formula>
    </cfRule>
  </conditionalFormatting>
  <conditionalFormatting sqref="K69">
    <cfRule type="containsText" dxfId="436" priority="369" operator="containsText" text="Yes">
      <formula>NOT(ISERROR(SEARCH("Yes",K69)))</formula>
    </cfRule>
    <cfRule type="containsText" dxfId="435" priority="370" operator="containsText" text="No">
      <formula>NOT(ISERROR(SEARCH("No",K69)))</formula>
    </cfRule>
  </conditionalFormatting>
  <conditionalFormatting sqref="K70">
    <cfRule type="containsText" dxfId="434" priority="367" operator="containsText" text="Yes">
      <formula>NOT(ISERROR(SEARCH("Yes",K70)))</formula>
    </cfRule>
    <cfRule type="containsText" dxfId="433" priority="368" operator="containsText" text="No">
      <formula>NOT(ISERROR(SEARCH("No",K70)))</formula>
    </cfRule>
  </conditionalFormatting>
  <conditionalFormatting sqref="K71">
    <cfRule type="containsText" dxfId="432" priority="365" operator="containsText" text="Yes">
      <formula>NOT(ISERROR(SEARCH("Yes",K71)))</formula>
    </cfRule>
    <cfRule type="containsText" dxfId="431" priority="366" operator="containsText" text="No">
      <formula>NOT(ISERROR(SEARCH("No",K71)))</formula>
    </cfRule>
  </conditionalFormatting>
  <conditionalFormatting sqref="K72">
    <cfRule type="containsText" dxfId="430" priority="363" operator="containsText" text="Yes">
      <formula>NOT(ISERROR(SEARCH("Yes",K72)))</formula>
    </cfRule>
    <cfRule type="containsText" dxfId="429" priority="364" operator="containsText" text="No">
      <formula>NOT(ISERROR(SEARCH("No",K72)))</formula>
    </cfRule>
  </conditionalFormatting>
  <conditionalFormatting sqref="K73">
    <cfRule type="containsText" dxfId="428" priority="361" operator="containsText" text="Yes">
      <formula>NOT(ISERROR(SEARCH("Yes",K73)))</formula>
    </cfRule>
    <cfRule type="containsText" dxfId="427" priority="362" operator="containsText" text="No">
      <formula>NOT(ISERROR(SEARCH("No",K73)))</formula>
    </cfRule>
  </conditionalFormatting>
  <conditionalFormatting sqref="K74">
    <cfRule type="containsText" dxfId="426" priority="359" operator="containsText" text="Yes">
      <formula>NOT(ISERROR(SEARCH("Yes",K74)))</formula>
    </cfRule>
    <cfRule type="containsText" dxfId="425" priority="360" operator="containsText" text="No">
      <formula>NOT(ISERROR(SEARCH("No",K74)))</formula>
    </cfRule>
  </conditionalFormatting>
  <conditionalFormatting sqref="K75">
    <cfRule type="containsText" dxfId="424" priority="357" operator="containsText" text="Yes">
      <formula>NOT(ISERROR(SEARCH("Yes",K75)))</formula>
    </cfRule>
    <cfRule type="containsText" dxfId="423" priority="358" operator="containsText" text="No">
      <formula>NOT(ISERROR(SEARCH("No",K75)))</formula>
    </cfRule>
  </conditionalFormatting>
  <conditionalFormatting sqref="K76">
    <cfRule type="containsText" dxfId="422" priority="355" operator="containsText" text="Yes">
      <formula>NOT(ISERROR(SEARCH("Yes",K76)))</formula>
    </cfRule>
    <cfRule type="containsText" dxfId="421" priority="356" operator="containsText" text="No">
      <formula>NOT(ISERROR(SEARCH("No",K76)))</formula>
    </cfRule>
  </conditionalFormatting>
  <conditionalFormatting sqref="K77">
    <cfRule type="containsText" dxfId="420" priority="353" operator="containsText" text="Yes">
      <formula>NOT(ISERROR(SEARCH("Yes",K77)))</formula>
    </cfRule>
    <cfRule type="containsText" dxfId="419" priority="354" operator="containsText" text="No">
      <formula>NOT(ISERROR(SEARCH("No",K77)))</formula>
    </cfRule>
  </conditionalFormatting>
  <conditionalFormatting sqref="K78">
    <cfRule type="containsText" dxfId="418" priority="351" operator="containsText" text="Yes">
      <formula>NOT(ISERROR(SEARCH("Yes",K78)))</formula>
    </cfRule>
    <cfRule type="containsText" dxfId="417" priority="352" operator="containsText" text="No">
      <formula>NOT(ISERROR(SEARCH("No",K78)))</formula>
    </cfRule>
  </conditionalFormatting>
  <conditionalFormatting sqref="K79">
    <cfRule type="containsText" dxfId="416" priority="349" operator="containsText" text="Yes">
      <formula>NOT(ISERROR(SEARCH("Yes",K79)))</formula>
    </cfRule>
    <cfRule type="containsText" dxfId="415" priority="350" operator="containsText" text="No">
      <formula>NOT(ISERROR(SEARCH("No",K79)))</formula>
    </cfRule>
  </conditionalFormatting>
  <conditionalFormatting sqref="K80">
    <cfRule type="containsText" dxfId="414" priority="347" operator="containsText" text="Yes">
      <formula>NOT(ISERROR(SEARCH("Yes",K80)))</formula>
    </cfRule>
    <cfRule type="containsText" dxfId="413" priority="348" operator="containsText" text="No">
      <formula>NOT(ISERROR(SEARCH("No",K80)))</formula>
    </cfRule>
  </conditionalFormatting>
  <conditionalFormatting sqref="O32">
    <cfRule type="containsText" dxfId="412" priority="153" operator="containsText" text="Yes">
      <formula>NOT(ISERROR(SEARCH("Yes",O32)))</formula>
    </cfRule>
    <cfRule type="containsText" dxfId="411" priority="154" operator="containsText" text="No">
      <formula>NOT(ISERROR(SEARCH("No",O32)))</formula>
    </cfRule>
  </conditionalFormatting>
  <conditionalFormatting sqref="K83">
    <cfRule type="containsText" dxfId="410" priority="343" operator="containsText" text="Yes">
      <formula>NOT(ISERROR(SEARCH("Yes",K83)))</formula>
    </cfRule>
    <cfRule type="containsText" dxfId="409" priority="344" operator="containsText" text="No">
      <formula>NOT(ISERROR(SEARCH("No",K83)))</formula>
    </cfRule>
  </conditionalFormatting>
  <conditionalFormatting sqref="K84">
    <cfRule type="containsText" dxfId="408" priority="341" operator="containsText" text="Yes">
      <formula>NOT(ISERROR(SEARCH("Yes",K84)))</formula>
    </cfRule>
    <cfRule type="containsText" dxfId="407" priority="342" operator="containsText" text="No">
      <formula>NOT(ISERROR(SEARCH("No",K84)))</formula>
    </cfRule>
  </conditionalFormatting>
  <conditionalFormatting sqref="K85">
    <cfRule type="containsText" dxfId="406" priority="339" operator="containsText" text="Yes">
      <formula>NOT(ISERROR(SEARCH("Yes",K85)))</formula>
    </cfRule>
    <cfRule type="containsText" dxfId="405" priority="340" operator="containsText" text="No">
      <formula>NOT(ISERROR(SEARCH("No",K85)))</formula>
    </cfRule>
  </conditionalFormatting>
  <conditionalFormatting sqref="K86">
    <cfRule type="containsText" dxfId="404" priority="337" operator="containsText" text="Yes">
      <formula>NOT(ISERROR(SEARCH("Yes",K86)))</formula>
    </cfRule>
    <cfRule type="containsText" dxfId="403" priority="338" operator="containsText" text="No">
      <formula>NOT(ISERROR(SEARCH("No",K86)))</formula>
    </cfRule>
  </conditionalFormatting>
  <conditionalFormatting sqref="K87">
    <cfRule type="containsText" dxfId="402" priority="335" operator="containsText" text="Yes">
      <formula>NOT(ISERROR(SEARCH("Yes",K87)))</formula>
    </cfRule>
    <cfRule type="containsText" dxfId="401" priority="336" operator="containsText" text="No">
      <formula>NOT(ISERROR(SEARCH("No",K87)))</formula>
    </cfRule>
  </conditionalFormatting>
  <conditionalFormatting sqref="K88">
    <cfRule type="containsText" dxfId="400" priority="333" operator="containsText" text="Yes">
      <formula>NOT(ISERROR(SEARCH("Yes",K88)))</formula>
    </cfRule>
    <cfRule type="containsText" dxfId="399" priority="334" operator="containsText" text="No">
      <formula>NOT(ISERROR(SEARCH("No",K88)))</formula>
    </cfRule>
  </conditionalFormatting>
  <conditionalFormatting sqref="K89">
    <cfRule type="containsText" dxfId="398" priority="331" operator="containsText" text="Yes">
      <formula>NOT(ISERROR(SEARCH("Yes",K89)))</formula>
    </cfRule>
    <cfRule type="containsText" dxfId="397" priority="332" operator="containsText" text="No">
      <formula>NOT(ISERROR(SEARCH("No",K89)))</formula>
    </cfRule>
  </conditionalFormatting>
  <conditionalFormatting sqref="K90">
    <cfRule type="containsText" dxfId="396" priority="305" operator="containsText" text="Yes">
      <formula>NOT(ISERROR(SEARCH("Yes",K90)))</formula>
    </cfRule>
    <cfRule type="containsText" dxfId="395" priority="306" operator="containsText" text="No">
      <formula>NOT(ISERROR(SEARCH("No",K90)))</formula>
    </cfRule>
  </conditionalFormatting>
  <conditionalFormatting sqref="O91">
    <cfRule type="containsText" dxfId="394" priority="53" operator="containsText" text="Yes">
      <formula>NOT(ISERROR(SEARCH("Yes",O91)))</formula>
    </cfRule>
    <cfRule type="containsText" dxfId="393" priority="54" operator="containsText" text="No">
      <formula>NOT(ISERROR(SEARCH("No",O91)))</formula>
    </cfRule>
  </conditionalFormatting>
  <conditionalFormatting sqref="O92">
    <cfRule type="containsText" dxfId="392" priority="51" operator="containsText" text="Yes">
      <formula>NOT(ISERROR(SEARCH("Yes",O92)))</formula>
    </cfRule>
    <cfRule type="containsText" dxfId="391" priority="52" operator="containsText" text="No">
      <formula>NOT(ISERROR(SEARCH("No",O92)))</formula>
    </cfRule>
  </conditionalFormatting>
  <conditionalFormatting sqref="O93">
    <cfRule type="containsText" dxfId="390" priority="49" operator="containsText" text="Yes">
      <formula>NOT(ISERROR(SEARCH("Yes",O93)))</formula>
    </cfRule>
    <cfRule type="containsText" dxfId="389" priority="50" operator="containsText" text="No">
      <formula>NOT(ISERROR(SEARCH("No",O93)))</formula>
    </cfRule>
  </conditionalFormatting>
  <conditionalFormatting sqref="O94">
    <cfRule type="containsText" dxfId="388" priority="47" operator="containsText" text="Yes">
      <formula>NOT(ISERROR(SEARCH("Yes",O94)))</formula>
    </cfRule>
    <cfRule type="containsText" dxfId="387" priority="48" operator="containsText" text="No">
      <formula>NOT(ISERROR(SEARCH("No",O94)))</formula>
    </cfRule>
  </conditionalFormatting>
  <conditionalFormatting sqref="O95">
    <cfRule type="containsText" dxfId="386" priority="45" operator="containsText" text="Yes">
      <formula>NOT(ISERROR(SEARCH("Yes",O95)))</formula>
    </cfRule>
    <cfRule type="containsText" dxfId="385" priority="46" operator="containsText" text="No">
      <formula>NOT(ISERROR(SEARCH("No",O95)))</formula>
    </cfRule>
  </conditionalFormatting>
  <conditionalFormatting sqref="O96">
    <cfRule type="containsText" dxfId="384" priority="43" operator="containsText" text="Yes">
      <formula>NOT(ISERROR(SEARCH("Yes",O96)))</formula>
    </cfRule>
    <cfRule type="containsText" dxfId="383" priority="44" operator="containsText" text="No">
      <formula>NOT(ISERROR(SEARCH("No",O96)))</formula>
    </cfRule>
  </conditionalFormatting>
  <conditionalFormatting sqref="O97">
    <cfRule type="containsText" dxfId="382" priority="41" operator="containsText" text="Yes">
      <formula>NOT(ISERROR(SEARCH("Yes",O97)))</formula>
    </cfRule>
    <cfRule type="containsText" dxfId="381" priority="42" operator="containsText" text="No">
      <formula>NOT(ISERROR(SEARCH("No",O97)))</formula>
    </cfRule>
  </conditionalFormatting>
  <conditionalFormatting sqref="O99">
    <cfRule type="containsText" dxfId="380" priority="39" operator="containsText" text="Yes">
      <formula>NOT(ISERROR(SEARCH("Yes",O99)))</formula>
    </cfRule>
    <cfRule type="containsText" dxfId="379" priority="40" operator="containsText" text="No">
      <formula>NOT(ISERROR(SEARCH("No",O99)))</formula>
    </cfRule>
  </conditionalFormatting>
  <conditionalFormatting sqref="O101">
    <cfRule type="containsText" dxfId="378" priority="37" operator="containsText" text="Yes">
      <formula>NOT(ISERROR(SEARCH("Yes",O101)))</formula>
    </cfRule>
    <cfRule type="containsText" dxfId="377" priority="38" operator="containsText" text="No">
      <formula>NOT(ISERROR(SEARCH("No",O101)))</formula>
    </cfRule>
  </conditionalFormatting>
  <conditionalFormatting sqref="O102">
    <cfRule type="containsText" dxfId="376" priority="35" operator="containsText" text="Yes">
      <formula>NOT(ISERROR(SEARCH("Yes",O102)))</formula>
    </cfRule>
    <cfRule type="containsText" dxfId="375" priority="36" operator="containsText" text="No">
      <formula>NOT(ISERROR(SEARCH("No",O102)))</formula>
    </cfRule>
  </conditionalFormatting>
  <conditionalFormatting sqref="O103">
    <cfRule type="containsText" dxfId="374" priority="33" operator="containsText" text="Yes">
      <formula>NOT(ISERROR(SEARCH("Yes",O103)))</formula>
    </cfRule>
    <cfRule type="containsText" dxfId="373" priority="34" operator="containsText" text="No">
      <formula>NOT(ISERROR(SEARCH("No",O103)))</formula>
    </cfRule>
  </conditionalFormatting>
  <conditionalFormatting sqref="O104">
    <cfRule type="containsText" dxfId="372" priority="31" operator="containsText" text="Yes">
      <formula>NOT(ISERROR(SEARCH("Yes",O104)))</formula>
    </cfRule>
    <cfRule type="containsText" dxfId="371" priority="32" operator="containsText" text="No">
      <formula>NOT(ISERROR(SEARCH("No",O104)))</formula>
    </cfRule>
  </conditionalFormatting>
  <conditionalFormatting sqref="K91">
    <cfRule type="containsText" dxfId="370" priority="249" operator="containsText" text="Yes">
      <formula>NOT(ISERROR(SEARCH("Yes",K91)))</formula>
    </cfRule>
    <cfRule type="containsText" dxfId="369" priority="250" operator="containsText" text="No">
      <formula>NOT(ISERROR(SEARCH("No",K91)))</formula>
    </cfRule>
  </conditionalFormatting>
  <conditionalFormatting sqref="K92">
    <cfRule type="containsText" dxfId="368" priority="247" operator="containsText" text="Yes">
      <formula>NOT(ISERROR(SEARCH("Yes",K92)))</formula>
    </cfRule>
    <cfRule type="containsText" dxfId="367" priority="248" operator="containsText" text="No">
      <formula>NOT(ISERROR(SEARCH("No",K92)))</formula>
    </cfRule>
  </conditionalFormatting>
  <conditionalFormatting sqref="K93">
    <cfRule type="containsText" dxfId="366" priority="245" operator="containsText" text="Yes">
      <formula>NOT(ISERROR(SEARCH("Yes",K93)))</formula>
    </cfRule>
    <cfRule type="containsText" dxfId="365" priority="246" operator="containsText" text="No">
      <formula>NOT(ISERROR(SEARCH("No",K93)))</formula>
    </cfRule>
  </conditionalFormatting>
  <conditionalFormatting sqref="K94">
    <cfRule type="containsText" dxfId="364" priority="243" operator="containsText" text="Yes">
      <formula>NOT(ISERROR(SEARCH("Yes",K94)))</formula>
    </cfRule>
    <cfRule type="containsText" dxfId="363" priority="244" operator="containsText" text="No">
      <formula>NOT(ISERROR(SEARCH("No",K94)))</formula>
    </cfRule>
  </conditionalFormatting>
  <conditionalFormatting sqref="K95">
    <cfRule type="containsText" dxfId="362" priority="241" operator="containsText" text="Yes">
      <formula>NOT(ISERROR(SEARCH("Yes",K95)))</formula>
    </cfRule>
    <cfRule type="containsText" dxfId="361" priority="242" operator="containsText" text="No">
      <formula>NOT(ISERROR(SEARCH("No",K95)))</formula>
    </cfRule>
  </conditionalFormatting>
  <conditionalFormatting sqref="K96">
    <cfRule type="containsText" dxfId="360" priority="239" operator="containsText" text="Yes">
      <formula>NOT(ISERROR(SEARCH("Yes",K96)))</formula>
    </cfRule>
    <cfRule type="containsText" dxfId="359" priority="240" operator="containsText" text="No">
      <formula>NOT(ISERROR(SEARCH("No",K96)))</formula>
    </cfRule>
  </conditionalFormatting>
  <conditionalFormatting sqref="K97">
    <cfRule type="containsText" dxfId="358" priority="237" operator="containsText" text="Yes">
      <formula>NOT(ISERROR(SEARCH("Yes",K97)))</formula>
    </cfRule>
    <cfRule type="containsText" dxfId="357" priority="238" operator="containsText" text="No">
      <formula>NOT(ISERROR(SEARCH("No",K97)))</formula>
    </cfRule>
  </conditionalFormatting>
  <conditionalFormatting sqref="K99">
    <cfRule type="containsText" dxfId="356" priority="233" operator="containsText" text="Yes">
      <formula>NOT(ISERROR(SEARCH("Yes",K99)))</formula>
    </cfRule>
    <cfRule type="containsText" dxfId="355" priority="234" operator="containsText" text="No">
      <formula>NOT(ISERROR(SEARCH("No",K99)))</formula>
    </cfRule>
  </conditionalFormatting>
  <conditionalFormatting sqref="K102">
    <cfRule type="containsText" dxfId="354" priority="229" operator="containsText" text="Yes">
      <formula>NOT(ISERROR(SEARCH("Yes",K102)))</formula>
    </cfRule>
    <cfRule type="containsText" dxfId="353" priority="230" operator="containsText" text="No">
      <formula>NOT(ISERROR(SEARCH("No",K102)))</formula>
    </cfRule>
  </conditionalFormatting>
  <conditionalFormatting sqref="K104">
    <cfRule type="containsText" dxfId="352" priority="225" operator="containsText" text="Yes">
      <formula>NOT(ISERROR(SEARCH("Yes",K104)))</formula>
    </cfRule>
    <cfRule type="containsText" dxfId="351" priority="226" operator="containsText" text="No">
      <formula>NOT(ISERROR(SEARCH("No",K104)))</formula>
    </cfRule>
  </conditionalFormatting>
  <conditionalFormatting sqref="K105">
    <cfRule type="containsText" dxfId="350" priority="223" operator="containsText" text="Yes">
      <formula>NOT(ISERROR(SEARCH("Yes",K105)))</formula>
    </cfRule>
    <cfRule type="containsText" dxfId="349" priority="224" operator="containsText" text="No">
      <formula>NOT(ISERROR(SEARCH("No",K105)))</formula>
    </cfRule>
  </conditionalFormatting>
  <conditionalFormatting sqref="K106">
    <cfRule type="containsText" dxfId="348" priority="221" operator="containsText" text="Yes">
      <formula>NOT(ISERROR(SEARCH("Yes",K106)))</formula>
    </cfRule>
    <cfRule type="containsText" dxfId="347" priority="222" operator="containsText" text="No">
      <formula>NOT(ISERROR(SEARCH("No",K106)))</formula>
    </cfRule>
  </conditionalFormatting>
  <conditionalFormatting sqref="K107">
    <cfRule type="containsText" dxfId="346" priority="219" operator="containsText" text="Yes">
      <formula>NOT(ISERROR(SEARCH("Yes",K107)))</formula>
    </cfRule>
    <cfRule type="containsText" dxfId="345" priority="220" operator="containsText" text="No">
      <formula>NOT(ISERROR(SEARCH("No",K107)))</formula>
    </cfRule>
  </conditionalFormatting>
  <conditionalFormatting sqref="K109">
    <cfRule type="containsText" dxfId="344" priority="215" operator="containsText" text="Yes">
      <formula>NOT(ISERROR(SEARCH("Yes",K109)))</formula>
    </cfRule>
    <cfRule type="containsText" dxfId="343" priority="216" operator="containsText" text="No">
      <formula>NOT(ISERROR(SEARCH("No",K109)))</formula>
    </cfRule>
  </conditionalFormatting>
  <conditionalFormatting sqref="K110">
    <cfRule type="containsText" dxfId="342" priority="213" operator="containsText" text="Yes">
      <formula>NOT(ISERROR(SEARCH("Yes",K110)))</formula>
    </cfRule>
    <cfRule type="containsText" dxfId="341" priority="214" operator="containsText" text="No">
      <formula>NOT(ISERROR(SEARCH("No",K110)))</formula>
    </cfRule>
  </conditionalFormatting>
  <conditionalFormatting sqref="K113">
    <cfRule type="containsText" dxfId="340" priority="207" operator="containsText" text="Yes">
      <formula>NOT(ISERROR(SEARCH("Yes",K113)))</formula>
    </cfRule>
    <cfRule type="containsText" dxfId="339" priority="208" operator="containsText" text="No">
      <formula>NOT(ISERROR(SEARCH("No",K113)))</formula>
    </cfRule>
  </conditionalFormatting>
  <conditionalFormatting sqref="K114">
    <cfRule type="containsText" dxfId="338" priority="205" operator="containsText" text="Yes">
      <formula>NOT(ISERROR(SEARCH("Yes",K114)))</formula>
    </cfRule>
    <cfRule type="containsText" dxfId="337" priority="206" operator="containsText" text="No">
      <formula>NOT(ISERROR(SEARCH("No",K114)))</formula>
    </cfRule>
  </conditionalFormatting>
  <conditionalFormatting sqref="K115">
    <cfRule type="containsText" dxfId="336" priority="203" operator="containsText" text="Yes">
      <formula>NOT(ISERROR(SEARCH("Yes",K115)))</formula>
    </cfRule>
    <cfRule type="containsText" dxfId="335" priority="204" operator="containsText" text="No">
      <formula>NOT(ISERROR(SEARCH("No",K115)))</formula>
    </cfRule>
  </conditionalFormatting>
  <conditionalFormatting sqref="K116">
    <cfRule type="containsText" dxfId="334" priority="201" operator="containsText" text="Yes">
      <formula>NOT(ISERROR(SEARCH("Yes",K116)))</formula>
    </cfRule>
    <cfRule type="containsText" dxfId="333" priority="202" operator="containsText" text="No">
      <formula>NOT(ISERROR(SEARCH("No",K116)))</formula>
    </cfRule>
  </conditionalFormatting>
  <conditionalFormatting sqref="K118">
    <cfRule type="containsText" dxfId="332" priority="197" operator="containsText" text="Yes">
      <formula>NOT(ISERROR(SEARCH("Yes",K118)))</formula>
    </cfRule>
    <cfRule type="containsText" dxfId="331" priority="198" operator="containsText" text="No">
      <formula>NOT(ISERROR(SEARCH("No",K118)))</formula>
    </cfRule>
  </conditionalFormatting>
  <conditionalFormatting sqref="K119">
    <cfRule type="containsText" dxfId="330" priority="195" operator="containsText" text="Yes">
      <formula>NOT(ISERROR(SEARCH("Yes",K119)))</formula>
    </cfRule>
    <cfRule type="containsText" dxfId="329" priority="196" operator="containsText" text="No">
      <formula>NOT(ISERROR(SEARCH("No",K119)))</formula>
    </cfRule>
  </conditionalFormatting>
  <conditionalFormatting sqref="K100">
    <cfRule type="containsText" dxfId="328" priority="193" operator="containsText" text="Yes">
      <formula>NOT(ISERROR(SEARCH("Yes",K100)))</formula>
    </cfRule>
    <cfRule type="containsText" dxfId="327" priority="194" operator="containsText" text="No">
      <formula>NOT(ISERROR(SEARCH("No",K100)))</formula>
    </cfRule>
  </conditionalFormatting>
  <conditionalFormatting sqref="K53">
    <cfRule type="containsText" dxfId="326" priority="187" operator="containsText" text="Yes">
      <formula>NOT(ISERROR(SEARCH("Yes",K53)))</formula>
    </cfRule>
    <cfRule type="containsText" dxfId="325" priority="188" operator="containsText" text="No">
      <formula>NOT(ISERROR(SEARCH("No",K53)))</formula>
    </cfRule>
  </conditionalFormatting>
  <conditionalFormatting sqref="O15">
    <cfRule type="containsText" dxfId="324" priority="185" operator="containsText" text="Yes">
      <formula>NOT(ISERROR(SEARCH("Yes",O15)))</formula>
    </cfRule>
    <cfRule type="containsText" dxfId="323" priority="186" operator="containsText" text="No">
      <formula>NOT(ISERROR(SEARCH("No",O15)))</formula>
    </cfRule>
  </conditionalFormatting>
  <conditionalFormatting sqref="O16">
    <cfRule type="containsText" dxfId="322" priority="183" operator="containsText" text="Yes">
      <formula>NOT(ISERROR(SEARCH("Yes",O16)))</formula>
    </cfRule>
    <cfRule type="containsText" dxfId="321" priority="184" operator="containsText" text="No">
      <formula>NOT(ISERROR(SEARCH("No",O16)))</formula>
    </cfRule>
  </conditionalFormatting>
  <conditionalFormatting sqref="O17">
    <cfRule type="containsText" dxfId="320" priority="181" operator="containsText" text="Yes">
      <formula>NOT(ISERROR(SEARCH("Yes",O17)))</formula>
    </cfRule>
    <cfRule type="containsText" dxfId="319" priority="182" operator="containsText" text="No">
      <formula>NOT(ISERROR(SEARCH("No",O17)))</formula>
    </cfRule>
  </conditionalFormatting>
  <conditionalFormatting sqref="O18">
    <cfRule type="containsText" dxfId="318" priority="179" operator="containsText" text="Yes">
      <formula>NOT(ISERROR(SEARCH("Yes",O18)))</formula>
    </cfRule>
    <cfRule type="containsText" dxfId="317" priority="180" operator="containsText" text="No">
      <formula>NOT(ISERROR(SEARCH("No",O18)))</formula>
    </cfRule>
  </conditionalFormatting>
  <conditionalFormatting sqref="O19">
    <cfRule type="containsText" dxfId="316" priority="177" operator="containsText" text="Yes">
      <formula>NOT(ISERROR(SEARCH("Yes",O19)))</formula>
    </cfRule>
    <cfRule type="containsText" dxfId="315" priority="178" operator="containsText" text="No">
      <formula>NOT(ISERROR(SEARCH("No",O19)))</formula>
    </cfRule>
  </conditionalFormatting>
  <conditionalFormatting sqref="O20">
    <cfRule type="containsText" dxfId="314" priority="175" operator="containsText" text="Yes">
      <formula>NOT(ISERROR(SEARCH("Yes",O20)))</formula>
    </cfRule>
    <cfRule type="containsText" dxfId="313" priority="176" operator="containsText" text="No">
      <formula>NOT(ISERROR(SEARCH("No",O20)))</formula>
    </cfRule>
  </conditionalFormatting>
  <conditionalFormatting sqref="O21">
    <cfRule type="containsText" dxfId="312" priority="173" operator="containsText" text="Yes">
      <formula>NOT(ISERROR(SEARCH("Yes",O21)))</formula>
    </cfRule>
    <cfRule type="containsText" dxfId="311" priority="174" operator="containsText" text="No">
      <formula>NOT(ISERROR(SEARCH("No",O21)))</formula>
    </cfRule>
  </conditionalFormatting>
  <conditionalFormatting sqref="O22">
    <cfRule type="containsText" dxfId="310" priority="171" operator="containsText" text="Yes">
      <formula>NOT(ISERROR(SEARCH("Yes",O22)))</formula>
    </cfRule>
    <cfRule type="containsText" dxfId="309" priority="172" operator="containsText" text="No">
      <formula>NOT(ISERROR(SEARCH("No",O22)))</formula>
    </cfRule>
  </conditionalFormatting>
  <conditionalFormatting sqref="O23">
    <cfRule type="containsText" dxfId="308" priority="169" operator="containsText" text="Yes">
      <formula>NOT(ISERROR(SEARCH("Yes",O23)))</formula>
    </cfRule>
    <cfRule type="containsText" dxfId="307" priority="170" operator="containsText" text="No">
      <formula>NOT(ISERROR(SEARCH("No",O23)))</formula>
    </cfRule>
  </conditionalFormatting>
  <conditionalFormatting sqref="O25">
    <cfRule type="containsText" dxfId="306" priority="167" operator="containsText" text="Yes">
      <formula>NOT(ISERROR(SEARCH("Yes",O25)))</formula>
    </cfRule>
    <cfRule type="containsText" dxfId="305" priority="168" operator="containsText" text="No">
      <formula>NOT(ISERROR(SEARCH("No",O25)))</formula>
    </cfRule>
  </conditionalFormatting>
  <conditionalFormatting sqref="O26">
    <cfRule type="containsText" dxfId="304" priority="165" operator="containsText" text="Yes">
      <formula>NOT(ISERROR(SEARCH("Yes",O26)))</formula>
    </cfRule>
    <cfRule type="containsText" dxfId="303" priority="166" operator="containsText" text="No">
      <formula>NOT(ISERROR(SEARCH("No",O26)))</formula>
    </cfRule>
  </conditionalFormatting>
  <conditionalFormatting sqref="O27">
    <cfRule type="containsText" dxfId="302" priority="163" operator="containsText" text="Yes">
      <formula>NOT(ISERROR(SEARCH("Yes",O27)))</formula>
    </cfRule>
    <cfRule type="containsText" dxfId="301" priority="164" operator="containsText" text="No">
      <formula>NOT(ISERROR(SEARCH("No",O27)))</formula>
    </cfRule>
  </conditionalFormatting>
  <conditionalFormatting sqref="O28">
    <cfRule type="containsText" dxfId="300" priority="161" operator="containsText" text="Yes">
      <formula>NOT(ISERROR(SEARCH("Yes",O28)))</formula>
    </cfRule>
    <cfRule type="containsText" dxfId="299" priority="162" operator="containsText" text="No">
      <formula>NOT(ISERROR(SEARCH("No",O28)))</formula>
    </cfRule>
  </conditionalFormatting>
  <conditionalFormatting sqref="O29">
    <cfRule type="containsText" dxfId="298" priority="159" operator="containsText" text="Yes">
      <formula>NOT(ISERROR(SEARCH("Yes",O29)))</formula>
    </cfRule>
    <cfRule type="containsText" dxfId="297" priority="160" operator="containsText" text="No">
      <formula>NOT(ISERROR(SEARCH("No",O29)))</formula>
    </cfRule>
  </conditionalFormatting>
  <conditionalFormatting sqref="O30">
    <cfRule type="containsText" dxfId="296" priority="157" operator="containsText" text="Yes">
      <formula>NOT(ISERROR(SEARCH("Yes",O30)))</formula>
    </cfRule>
    <cfRule type="containsText" dxfId="295" priority="158" operator="containsText" text="No">
      <formula>NOT(ISERROR(SEARCH("No",O30)))</formula>
    </cfRule>
  </conditionalFormatting>
  <conditionalFormatting sqref="O31">
    <cfRule type="containsText" dxfId="294" priority="155" operator="containsText" text="Yes">
      <formula>NOT(ISERROR(SEARCH("Yes",O31)))</formula>
    </cfRule>
    <cfRule type="containsText" dxfId="293" priority="156" operator="containsText" text="No">
      <formula>NOT(ISERROR(SEARCH("No",O31)))</formula>
    </cfRule>
  </conditionalFormatting>
  <conditionalFormatting sqref="O34">
    <cfRule type="containsText" dxfId="292" priority="151" operator="containsText" text="Yes">
      <formula>NOT(ISERROR(SEARCH("Yes",O34)))</formula>
    </cfRule>
    <cfRule type="containsText" dxfId="291" priority="152" operator="containsText" text="No">
      <formula>NOT(ISERROR(SEARCH("No",O34)))</formula>
    </cfRule>
  </conditionalFormatting>
  <conditionalFormatting sqref="O35">
    <cfRule type="containsText" dxfId="290" priority="149" operator="containsText" text="Yes">
      <formula>NOT(ISERROR(SEARCH("Yes",O35)))</formula>
    </cfRule>
    <cfRule type="containsText" dxfId="289" priority="150" operator="containsText" text="No">
      <formula>NOT(ISERROR(SEARCH("No",O35)))</formula>
    </cfRule>
  </conditionalFormatting>
  <conditionalFormatting sqref="O36">
    <cfRule type="containsText" dxfId="288" priority="147" operator="containsText" text="Yes">
      <formula>NOT(ISERROR(SEARCH("Yes",O36)))</formula>
    </cfRule>
    <cfRule type="containsText" dxfId="287" priority="148" operator="containsText" text="No">
      <formula>NOT(ISERROR(SEARCH("No",O36)))</formula>
    </cfRule>
  </conditionalFormatting>
  <conditionalFormatting sqref="O37">
    <cfRule type="containsText" dxfId="286" priority="145" operator="containsText" text="Yes">
      <formula>NOT(ISERROR(SEARCH("Yes",O37)))</formula>
    </cfRule>
    <cfRule type="containsText" dxfId="285" priority="146" operator="containsText" text="No">
      <formula>NOT(ISERROR(SEARCH("No",O37)))</formula>
    </cfRule>
  </conditionalFormatting>
  <conditionalFormatting sqref="O38">
    <cfRule type="containsText" dxfId="284" priority="143" operator="containsText" text="Yes">
      <formula>NOT(ISERROR(SEARCH("Yes",O38)))</formula>
    </cfRule>
    <cfRule type="containsText" dxfId="283" priority="144" operator="containsText" text="No">
      <formula>NOT(ISERROR(SEARCH("No",O38)))</formula>
    </cfRule>
  </conditionalFormatting>
  <conditionalFormatting sqref="O39">
    <cfRule type="containsText" dxfId="282" priority="141" operator="containsText" text="Yes">
      <formula>NOT(ISERROR(SEARCH("Yes",O39)))</formula>
    </cfRule>
    <cfRule type="containsText" dxfId="281" priority="142" operator="containsText" text="No">
      <formula>NOT(ISERROR(SEARCH("No",O39)))</formula>
    </cfRule>
  </conditionalFormatting>
  <conditionalFormatting sqref="O41">
    <cfRule type="containsText" dxfId="280" priority="139" operator="containsText" text="Yes">
      <formula>NOT(ISERROR(SEARCH("Yes",O41)))</formula>
    </cfRule>
    <cfRule type="containsText" dxfId="279" priority="140" operator="containsText" text="No">
      <formula>NOT(ISERROR(SEARCH("No",O41)))</formula>
    </cfRule>
  </conditionalFormatting>
  <conditionalFormatting sqref="O42">
    <cfRule type="containsText" dxfId="278" priority="137" operator="containsText" text="Yes">
      <formula>NOT(ISERROR(SEARCH("Yes",O42)))</formula>
    </cfRule>
    <cfRule type="containsText" dxfId="277" priority="138" operator="containsText" text="No">
      <formula>NOT(ISERROR(SEARCH("No",O42)))</formula>
    </cfRule>
  </conditionalFormatting>
  <conditionalFormatting sqref="O43">
    <cfRule type="containsText" dxfId="276" priority="135" operator="containsText" text="Yes">
      <formula>NOT(ISERROR(SEARCH("Yes",O43)))</formula>
    </cfRule>
    <cfRule type="containsText" dxfId="275" priority="136" operator="containsText" text="No">
      <formula>NOT(ISERROR(SEARCH("No",O43)))</formula>
    </cfRule>
  </conditionalFormatting>
  <conditionalFormatting sqref="O45">
    <cfRule type="containsText" dxfId="274" priority="133" operator="containsText" text="Yes">
      <formula>NOT(ISERROR(SEARCH("Yes",O45)))</formula>
    </cfRule>
    <cfRule type="containsText" dxfId="273" priority="134" operator="containsText" text="No">
      <formula>NOT(ISERROR(SEARCH("No",O45)))</formula>
    </cfRule>
  </conditionalFormatting>
  <conditionalFormatting sqref="O47">
    <cfRule type="containsText" dxfId="272" priority="131" operator="containsText" text="Yes">
      <formula>NOT(ISERROR(SEARCH("Yes",O47)))</formula>
    </cfRule>
    <cfRule type="containsText" dxfId="271" priority="132" operator="containsText" text="No">
      <formula>NOT(ISERROR(SEARCH("No",O47)))</formula>
    </cfRule>
  </conditionalFormatting>
  <conditionalFormatting sqref="O48">
    <cfRule type="containsText" dxfId="270" priority="129" operator="containsText" text="Yes">
      <formula>NOT(ISERROR(SEARCH("Yes",O48)))</formula>
    </cfRule>
    <cfRule type="containsText" dxfId="269" priority="130" operator="containsText" text="No">
      <formula>NOT(ISERROR(SEARCH("No",O48)))</formula>
    </cfRule>
  </conditionalFormatting>
  <conditionalFormatting sqref="O49">
    <cfRule type="containsText" dxfId="268" priority="127" operator="containsText" text="Yes">
      <formula>NOT(ISERROR(SEARCH("Yes",O49)))</formula>
    </cfRule>
    <cfRule type="containsText" dxfId="267" priority="128" operator="containsText" text="No">
      <formula>NOT(ISERROR(SEARCH("No",O49)))</formula>
    </cfRule>
  </conditionalFormatting>
  <conditionalFormatting sqref="O50">
    <cfRule type="containsText" dxfId="266" priority="125" operator="containsText" text="Yes">
      <formula>NOT(ISERROR(SEARCH("Yes",O50)))</formula>
    </cfRule>
    <cfRule type="containsText" dxfId="265" priority="126" operator="containsText" text="No">
      <formula>NOT(ISERROR(SEARCH("No",O50)))</formula>
    </cfRule>
  </conditionalFormatting>
  <conditionalFormatting sqref="O51">
    <cfRule type="containsText" dxfId="264" priority="123" operator="containsText" text="Yes">
      <formula>NOT(ISERROR(SEARCH("Yes",O51)))</formula>
    </cfRule>
    <cfRule type="containsText" dxfId="263" priority="124" operator="containsText" text="No">
      <formula>NOT(ISERROR(SEARCH("No",O51)))</formula>
    </cfRule>
  </conditionalFormatting>
  <conditionalFormatting sqref="O54">
    <cfRule type="containsText" dxfId="262" priority="121" operator="containsText" text="Yes">
      <formula>NOT(ISERROR(SEARCH("Yes",O54)))</formula>
    </cfRule>
    <cfRule type="containsText" dxfId="261" priority="122" operator="containsText" text="No">
      <formula>NOT(ISERROR(SEARCH("No",O54)))</formula>
    </cfRule>
  </conditionalFormatting>
  <conditionalFormatting sqref="O55">
    <cfRule type="containsText" dxfId="260" priority="119" operator="containsText" text="Yes">
      <formula>NOT(ISERROR(SEARCH("Yes",O55)))</formula>
    </cfRule>
    <cfRule type="containsText" dxfId="259" priority="120" operator="containsText" text="No">
      <formula>NOT(ISERROR(SEARCH("No",O55)))</formula>
    </cfRule>
  </conditionalFormatting>
  <conditionalFormatting sqref="O56">
    <cfRule type="containsText" dxfId="258" priority="117" operator="containsText" text="Yes">
      <formula>NOT(ISERROR(SEARCH("Yes",O56)))</formula>
    </cfRule>
    <cfRule type="containsText" dxfId="257" priority="118" operator="containsText" text="No">
      <formula>NOT(ISERROR(SEARCH("No",O56)))</formula>
    </cfRule>
  </conditionalFormatting>
  <conditionalFormatting sqref="O57">
    <cfRule type="containsText" dxfId="256" priority="115" operator="containsText" text="Yes">
      <formula>NOT(ISERROR(SEARCH("Yes",O57)))</formula>
    </cfRule>
    <cfRule type="containsText" dxfId="255" priority="116" operator="containsText" text="No">
      <formula>NOT(ISERROR(SEARCH("No",O57)))</formula>
    </cfRule>
  </conditionalFormatting>
  <conditionalFormatting sqref="O58">
    <cfRule type="containsText" dxfId="254" priority="113" operator="containsText" text="Yes">
      <formula>NOT(ISERROR(SEARCH("Yes",O58)))</formula>
    </cfRule>
    <cfRule type="containsText" dxfId="253" priority="114" operator="containsText" text="No">
      <formula>NOT(ISERROR(SEARCH("No",O58)))</formula>
    </cfRule>
  </conditionalFormatting>
  <conditionalFormatting sqref="O59">
    <cfRule type="containsText" dxfId="252" priority="111" operator="containsText" text="Yes">
      <formula>NOT(ISERROR(SEARCH("Yes",O59)))</formula>
    </cfRule>
    <cfRule type="containsText" dxfId="251" priority="112" operator="containsText" text="No">
      <formula>NOT(ISERROR(SEARCH("No",O59)))</formula>
    </cfRule>
  </conditionalFormatting>
  <conditionalFormatting sqref="O60">
    <cfRule type="containsText" dxfId="250" priority="109" operator="containsText" text="Yes">
      <formula>NOT(ISERROR(SEARCH("Yes",O60)))</formula>
    </cfRule>
    <cfRule type="containsText" dxfId="249" priority="110" operator="containsText" text="No">
      <formula>NOT(ISERROR(SEARCH("No",O60)))</formula>
    </cfRule>
  </conditionalFormatting>
  <conditionalFormatting sqref="O61">
    <cfRule type="containsText" dxfId="248" priority="107" operator="containsText" text="Yes">
      <formula>NOT(ISERROR(SEARCH("Yes",O61)))</formula>
    </cfRule>
    <cfRule type="containsText" dxfId="247" priority="108" operator="containsText" text="No">
      <formula>NOT(ISERROR(SEARCH("No",O61)))</formula>
    </cfRule>
  </conditionalFormatting>
  <conditionalFormatting sqref="O62">
    <cfRule type="containsText" dxfId="246" priority="105" operator="containsText" text="Yes">
      <formula>NOT(ISERROR(SEARCH("Yes",O62)))</formula>
    </cfRule>
    <cfRule type="containsText" dxfId="245" priority="106" operator="containsText" text="No">
      <formula>NOT(ISERROR(SEARCH("No",O62)))</formula>
    </cfRule>
  </conditionalFormatting>
  <conditionalFormatting sqref="O64">
    <cfRule type="containsText" dxfId="244" priority="103" operator="containsText" text="Yes">
      <formula>NOT(ISERROR(SEARCH("Yes",O64)))</formula>
    </cfRule>
    <cfRule type="containsText" dxfId="243" priority="104" operator="containsText" text="No">
      <formula>NOT(ISERROR(SEARCH("No",O64)))</formula>
    </cfRule>
  </conditionalFormatting>
  <conditionalFormatting sqref="O65">
    <cfRule type="containsText" dxfId="242" priority="101" operator="containsText" text="Yes">
      <formula>NOT(ISERROR(SEARCH("Yes",O65)))</formula>
    </cfRule>
    <cfRule type="containsText" dxfId="241" priority="102" operator="containsText" text="No">
      <formula>NOT(ISERROR(SEARCH("No",O65)))</formula>
    </cfRule>
  </conditionalFormatting>
  <conditionalFormatting sqref="O66">
    <cfRule type="containsText" dxfId="240" priority="99" operator="containsText" text="Yes">
      <formula>NOT(ISERROR(SEARCH("Yes",O66)))</formula>
    </cfRule>
    <cfRule type="containsText" dxfId="239" priority="100" operator="containsText" text="No">
      <formula>NOT(ISERROR(SEARCH("No",O66)))</formula>
    </cfRule>
  </conditionalFormatting>
  <conditionalFormatting sqref="O67">
    <cfRule type="containsText" dxfId="238" priority="97" operator="containsText" text="Yes">
      <formula>NOT(ISERROR(SEARCH("Yes",O67)))</formula>
    </cfRule>
    <cfRule type="containsText" dxfId="237" priority="98" operator="containsText" text="No">
      <formula>NOT(ISERROR(SEARCH("No",O67)))</formula>
    </cfRule>
  </conditionalFormatting>
  <conditionalFormatting sqref="O68">
    <cfRule type="containsText" dxfId="236" priority="95" operator="containsText" text="Yes">
      <formula>NOT(ISERROR(SEARCH("Yes",O68)))</formula>
    </cfRule>
    <cfRule type="containsText" dxfId="235" priority="96" operator="containsText" text="No">
      <formula>NOT(ISERROR(SEARCH("No",O68)))</formula>
    </cfRule>
  </conditionalFormatting>
  <conditionalFormatting sqref="O69">
    <cfRule type="containsText" dxfId="234" priority="93" operator="containsText" text="Yes">
      <formula>NOT(ISERROR(SEARCH("Yes",O69)))</formula>
    </cfRule>
    <cfRule type="containsText" dxfId="233" priority="94" operator="containsText" text="No">
      <formula>NOT(ISERROR(SEARCH("No",O69)))</formula>
    </cfRule>
  </conditionalFormatting>
  <conditionalFormatting sqref="O70">
    <cfRule type="containsText" dxfId="232" priority="91" operator="containsText" text="Yes">
      <formula>NOT(ISERROR(SEARCH("Yes",O70)))</formula>
    </cfRule>
    <cfRule type="containsText" dxfId="231" priority="92" operator="containsText" text="No">
      <formula>NOT(ISERROR(SEARCH("No",O70)))</formula>
    </cfRule>
  </conditionalFormatting>
  <conditionalFormatting sqref="O71">
    <cfRule type="containsText" dxfId="230" priority="89" operator="containsText" text="Yes">
      <formula>NOT(ISERROR(SEARCH("Yes",O71)))</formula>
    </cfRule>
    <cfRule type="containsText" dxfId="229" priority="90" operator="containsText" text="No">
      <formula>NOT(ISERROR(SEARCH("No",O71)))</formula>
    </cfRule>
  </conditionalFormatting>
  <conditionalFormatting sqref="O72">
    <cfRule type="containsText" dxfId="228" priority="87" operator="containsText" text="Yes">
      <formula>NOT(ISERROR(SEARCH("Yes",O72)))</formula>
    </cfRule>
    <cfRule type="containsText" dxfId="227" priority="88" operator="containsText" text="No">
      <formula>NOT(ISERROR(SEARCH("No",O72)))</formula>
    </cfRule>
  </conditionalFormatting>
  <conditionalFormatting sqref="O73">
    <cfRule type="containsText" dxfId="226" priority="85" operator="containsText" text="Yes">
      <formula>NOT(ISERROR(SEARCH("Yes",O73)))</formula>
    </cfRule>
    <cfRule type="containsText" dxfId="225" priority="86" operator="containsText" text="No">
      <formula>NOT(ISERROR(SEARCH("No",O73)))</formula>
    </cfRule>
  </conditionalFormatting>
  <conditionalFormatting sqref="O74">
    <cfRule type="containsText" dxfId="224" priority="83" operator="containsText" text="Yes">
      <formula>NOT(ISERROR(SEARCH("Yes",O74)))</formula>
    </cfRule>
    <cfRule type="containsText" dxfId="223" priority="84" operator="containsText" text="No">
      <formula>NOT(ISERROR(SEARCH("No",O74)))</formula>
    </cfRule>
  </conditionalFormatting>
  <conditionalFormatting sqref="O75">
    <cfRule type="containsText" dxfId="222" priority="81" operator="containsText" text="Yes">
      <formula>NOT(ISERROR(SEARCH("Yes",O75)))</formula>
    </cfRule>
    <cfRule type="containsText" dxfId="221" priority="82" operator="containsText" text="No">
      <formula>NOT(ISERROR(SEARCH("No",O75)))</formula>
    </cfRule>
  </conditionalFormatting>
  <conditionalFormatting sqref="O76">
    <cfRule type="containsText" dxfId="220" priority="79" operator="containsText" text="Yes">
      <formula>NOT(ISERROR(SEARCH("Yes",O76)))</formula>
    </cfRule>
    <cfRule type="containsText" dxfId="219" priority="80" operator="containsText" text="No">
      <formula>NOT(ISERROR(SEARCH("No",O76)))</formula>
    </cfRule>
  </conditionalFormatting>
  <conditionalFormatting sqref="O77">
    <cfRule type="containsText" dxfId="218" priority="77" operator="containsText" text="Yes">
      <formula>NOT(ISERROR(SEARCH("Yes",O77)))</formula>
    </cfRule>
    <cfRule type="containsText" dxfId="217" priority="78" operator="containsText" text="No">
      <formula>NOT(ISERROR(SEARCH("No",O77)))</formula>
    </cfRule>
  </conditionalFormatting>
  <conditionalFormatting sqref="O78">
    <cfRule type="containsText" dxfId="216" priority="75" operator="containsText" text="Yes">
      <formula>NOT(ISERROR(SEARCH("Yes",O78)))</formula>
    </cfRule>
    <cfRule type="containsText" dxfId="215" priority="76" operator="containsText" text="No">
      <formula>NOT(ISERROR(SEARCH("No",O78)))</formula>
    </cfRule>
  </conditionalFormatting>
  <conditionalFormatting sqref="O79">
    <cfRule type="containsText" dxfId="214" priority="73" operator="containsText" text="Yes">
      <formula>NOT(ISERROR(SEARCH("Yes",O79)))</formula>
    </cfRule>
    <cfRule type="containsText" dxfId="213" priority="74" operator="containsText" text="No">
      <formula>NOT(ISERROR(SEARCH("No",O79)))</formula>
    </cfRule>
  </conditionalFormatting>
  <conditionalFormatting sqref="O80">
    <cfRule type="containsText" dxfId="212" priority="71" operator="containsText" text="Yes">
      <formula>NOT(ISERROR(SEARCH("Yes",O80)))</formula>
    </cfRule>
    <cfRule type="containsText" dxfId="211" priority="72" operator="containsText" text="No">
      <formula>NOT(ISERROR(SEARCH("No",O80)))</formula>
    </cfRule>
  </conditionalFormatting>
  <conditionalFormatting sqref="O83">
    <cfRule type="containsText" dxfId="210" priority="69" operator="containsText" text="Yes">
      <formula>NOT(ISERROR(SEARCH("Yes",O83)))</formula>
    </cfRule>
    <cfRule type="containsText" dxfId="209" priority="70" operator="containsText" text="No">
      <formula>NOT(ISERROR(SEARCH("No",O83)))</formula>
    </cfRule>
  </conditionalFormatting>
  <conditionalFormatting sqref="O84">
    <cfRule type="containsText" dxfId="208" priority="67" operator="containsText" text="Yes">
      <formula>NOT(ISERROR(SEARCH("Yes",O84)))</formula>
    </cfRule>
    <cfRule type="containsText" dxfId="207" priority="68" operator="containsText" text="No">
      <formula>NOT(ISERROR(SEARCH("No",O84)))</formula>
    </cfRule>
  </conditionalFormatting>
  <conditionalFormatting sqref="O85">
    <cfRule type="containsText" dxfId="206" priority="65" operator="containsText" text="Yes">
      <formula>NOT(ISERROR(SEARCH("Yes",O85)))</formula>
    </cfRule>
    <cfRule type="containsText" dxfId="205" priority="66" operator="containsText" text="No">
      <formula>NOT(ISERROR(SEARCH("No",O85)))</formula>
    </cfRule>
  </conditionalFormatting>
  <conditionalFormatting sqref="O86">
    <cfRule type="containsText" dxfId="204" priority="63" operator="containsText" text="Yes">
      <formula>NOT(ISERROR(SEARCH("Yes",O86)))</formula>
    </cfRule>
    <cfRule type="containsText" dxfId="203" priority="64" operator="containsText" text="No">
      <formula>NOT(ISERROR(SEARCH("No",O86)))</formula>
    </cfRule>
  </conditionalFormatting>
  <conditionalFormatting sqref="O87">
    <cfRule type="containsText" dxfId="202" priority="61" operator="containsText" text="Yes">
      <formula>NOT(ISERROR(SEARCH("Yes",O87)))</formula>
    </cfRule>
    <cfRule type="containsText" dxfId="201" priority="62" operator="containsText" text="No">
      <formula>NOT(ISERROR(SEARCH("No",O87)))</formula>
    </cfRule>
  </conditionalFormatting>
  <conditionalFormatting sqref="O88">
    <cfRule type="containsText" dxfId="200" priority="59" operator="containsText" text="Yes">
      <formula>NOT(ISERROR(SEARCH("Yes",O88)))</formula>
    </cfRule>
    <cfRule type="containsText" dxfId="199" priority="60" operator="containsText" text="No">
      <formula>NOT(ISERROR(SEARCH("No",O88)))</formula>
    </cfRule>
  </conditionalFormatting>
  <conditionalFormatting sqref="O89">
    <cfRule type="containsText" dxfId="198" priority="57" operator="containsText" text="Yes">
      <formula>NOT(ISERROR(SEARCH("Yes",O89)))</formula>
    </cfRule>
    <cfRule type="containsText" dxfId="197" priority="58" operator="containsText" text="No">
      <formula>NOT(ISERROR(SEARCH("No",O89)))</formula>
    </cfRule>
  </conditionalFormatting>
  <conditionalFormatting sqref="O90">
    <cfRule type="containsText" dxfId="196" priority="55" operator="containsText" text="Yes">
      <formula>NOT(ISERROR(SEARCH("Yes",O90)))</formula>
    </cfRule>
    <cfRule type="containsText" dxfId="195" priority="56" operator="containsText" text="No">
      <formula>NOT(ISERROR(SEARCH("No",O90)))</formula>
    </cfRule>
  </conditionalFormatting>
  <hyperlinks>
    <hyperlink ref="F2" location="'City information'!A1" display="Set-up"/>
    <hyperlink ref="G2" location="'City information'!A1" display="'City information'!A1"/>
    <hyperlink ref="H2" location="Inventory!A1" display="Inventory"/>
    <hyperlink ref="I2" location="Inventory!A1" display="Inventory!A1"/>
    <hyperlink ref="J2" location="Calculators!A1" display="Calculators"/>
    <hyperlink ref="K2" location="Calculators!A1" display="Calculators!A1"/>
    <hyperlink ref="L2" location="Summary!A1" display="Results"/>
    <hyperlink ref="M2" location="Summary!A1" display="Summary!A1"/>
    <hyperlink ref="N2" location="Analysis!A1" display="Analysis"/>
    <hyperlink ref="O2" location="Analysis!A1" display="Analysis!A1"/>
    <hyperlink ref="F3" location="Graphs!A1" display="Graphs"/>
    <hyperlink ref="G3" location="Graphs!A1" display="Graphs!A1"/>
    <hyperlink ref="H3" location="Overview!A1" display="Overview"/>
    <hyperlink ref="I3" location="Overview!A1" display="Overview!A1"/>
    <hyperlink ref="J3" location="Report!A1" display="Report"/>
    <hyperlink ref="K3" location="Report!A1" display="Report!A1"/>
    <hyperlink ref="D3" location="Summary!A1" display="Summary"/>
    <hyperlink ref="E3" location="Summary!A1" display="Summary!A1"/>
    <hyperlink ref="N3" location="'Net emissions'!A1" display="Net emissions"/>
    <hyperlink ref="O3" location="'Net emissions'!A1" display="'Net emissions'!A1"/>
    <hyperlink ref="D2" location="Home!A1" display="Introduction"/>
    <hyperlink ref="E2" location="Home!A1" display="Home!A1"/>
  </hyperlinks>
  <pageMargins left="0.25" right="0.25" top="0.75" bottom="0.75" header="0.3" footer="0.3"/>
  <pageSetup paperSize="9" scale="10" orientation="portrait" horizontalDpi="4294967292" verticalDpi="4294967292"/>
  <headerFooter>
    <oddHeader>&amp;CTable 4.1</oddHeader>
  </headerFooter>
  <drawing r:id="rId1"/>
  <extLst>
    <ext xmlns:mx="http://schemas.microsoft.com/office/mac/excel/2008/main" uri="{64002731-A6B0-56B0-2670-7721B7C09600}">
      <mx:PLV Mode="0" OnePage="0" WScale="71"/>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enableFormatConditionsCalculation="0">
    <tabColor theme="3"/>
    <outlinePr summaryBelow="0"/>
    <pageSetUpPr autoPageBreaks="0" fitToPage="1"/>
  </sheetPr>
  <dimension ref="A1:CK259"/>
  <sheetViews>
    <sheetView showRowColHeaders="0" showZeros="0" workbookViewId="0">
      <selection activeCell="N2" sqref="N2:O2"/>
    </sheetView>
  </sheetViews>
  <sheetFormatPr baseColWidth="10" defaultColWidth="0" defaultRowHeight="15" zeroHeight="1" x14ac:dyDescent="0"/>
  <cols>
    <col min="1" max="1" width="4.83203125" style="169" customWidth="1"/>
    <col min="2" max="2" width="12.83203125" style="187" customWidth="1"/>
    <col min="3" max="10" width="12.83203125" style="183" customWidth="1"/>
    <col min="11" max="14" width="12.83203125" style="169" customWidth="1"/>
    <col min="15" max="15" width="12.83203125" style="182" customWidth="1"/>
    <col min="16" max="16" width="4.83203125" style="182" customWidth="1"/>
    <col min="17" max="19" width="10.83203125" style="182" hidden="1" customWidth="1"/>
    <col min="20" max="59" width="0" style="182" hidden="1" customWidth="1"/>
    <col min="60" max="89" width="0" style="183" hidden="1" customWidth="1"/>
    <col min="90" max="16384" width="10.83203125" style="183" hidden="1"/>
  </cols>
  <sheetData>
    <row r="1" spans="1:89" s="498" customFormat="1"/>
    <row r="2" spans="1:89" s="464" customFormat="1" ht="31" customHeight="1">
      <c r="A2" s="494"/>
      <c r="B2" s="1817" t="s">
        <v>1965</v>
      </c>
      <c r="C2" s="1819">
        <v>400</v>
      </c>
      <c r="D2" s="1849" t="s">
        <v>1555</v>
      </c>
      <c r="E2" s="1850"/>
      <c r="F2" s="1849" t="s">
        <v>1563</v>
      </c>
      <c r="G2" s="1850"/>
      <c r="H2" s="1849" t="s">
        <v>794</v>
      </c>
      <c r="I2" s="1850"/>
      <c r="J2" s="1849" t="s">
        <v>1570</v>
      </c>
      <c r="K2" s="1850"/>
      <c r="L2" s="2047" t="s">
        <v>1564</v>
      </c>
      <c r="M2" s="2033"/>
      <c r="N2" s="2199" t="s">
        <v>1602</v>
      </c>
      <c r="O2" s="2200"/>
      <c r="P2" s="494"/>
      <c r="Q2" s="494"/>
      <c r="R2" s="494"/>
      <c r="S2" s="494"/>
      <c r="T2" s="494"/>
      <c r="U2" s="494"/>
      <c r="V2" s="494"/>
      <c r="W2" s="494"/>
      <c r="X2" s="494"/>
      <c r="Y2" s="494"/>
      <c r="Z2" s="494"/>
      <c r="AA2" s="494"/>
      <c r="AB2" s="494"/>
      <c r="AC2" s="494"/>
      <c r="AD2" s="494"/>
      <c r="AE2" s="494"/>
      <c r="AF2" s="494"/>
      <c r="AG2" s="494"/>
      <c r="AH2" s="494"/>
      <c r="AI2" s="494"/>
      <c r="AJ2" s="494"/>
      <c r="AK2" s="494"/>
      <c r="AL2" s="494"/>
      <c r="AM2" s="494"/>
      <c r="AN2" s="494"/>
      <c r="AO2" s="494"/>
      <c r="AP2" s="494"/>
      <c r="AQ2" s="494"/>
      <c r="AR2" s="494"/>
      <c r="AS2" s="494"/>
      <c r="AT2" s="494"/>
      <c r="AU2" s="494"/>
      <c r="AV2" s="494"/>
      <c r="AW2" s="494"/>
      <c r="AX2" s="494"/>
      <c r="AY2" s="494"/>
      <c r="AZ2" s="494"/>
      <c r="BA2" s="494"/>
      <c r="BB2" s="494"/>
      <c r="BC2" s="494"/>
      <c r="BD2" s="494"/>
      <c r="BE2" s="494"/>
      <c r="BF2" s="494"/>
      <c r="BG2" s="494"/>
      <c r="BH2" s="494"/>
      <c r="BI2" s="494"/>
      <c r="BJ2" s="494"/>
      <c r="BK2" s="494"/>
      <c r="BL2" s="494"/>
      <c r="BM2" s="494"/>
      <c r="BN2" s="494"/>
      <c r="BO2" s="494"/>
      <c r="BP2" s="494"/>
      <c r="BQ2" s="494"/>
      <c r="BR2" s="494"/>
      <c r="BS2" s="494"/>
      <c r="BT2" s="494"/>
      <c r="BU2" s="494"/>
      <c r="BV2" s="494"/>
      <c r="BW2" s="494"/>
      <c r="BX2" s="494"/>
      <c r="BY2" s="494"/>
      <c r="BZ2" s="494"/>
      <c r="CA2" s="494"/>
      <c r="CB2" s="494"/>
      <c r="CC2" s="494"/>
      <c r="CD2" s="494"/>
      <c r="CE2" s="494"/>
      <c r="CF2" s="494"/>
      <c r="CG2" s="494"/>
      <c r="CH2" s="494"/>
      <c r="CI2" s="494"/>
      <c r="CJ2" s="494"/>
      <c r="CK2" s="494"/>
    </row>
    <row r="3" spans="1:89" s="464" customFormat="1" ht="31" customHeight="1">
      <c r="A3" s="494"/>
      <c r="B3" s="1818"/>
      <c r="C3" s="1820"/>
      <c r="D3" s="1843" t="s">
        <v>1567</v>
      </c>
      <c r="E3" s="1844"/>
      <c r="F3" s="1843" t="s">
        <v>1584</v>
      </c>
      <c r="G3" s="1844"/>
      <c r="H3" s="1843" t="s">
        <v>1568</v>
      </c>
      <c r="I3" s="1844"/>
      <c r="J3" s="1843" t="s">
        <v>1569</v>
      </c>
      <c r="K3" s="1844"/>
      <c r="L3" s="2135" t="s">
        <v>1962</v>
      </c>
      <c r="M3" s="2136"/>
      <c r="N3" s="1847" t="s">
        <v>1019</v>
      </c>
      <c r="O3" s="1848"/>
      <c r="P3" s="494"/>
      <c r="Q3" s="494"/>
      <c r="R3" s="494"/>
      <c r="S3" s="494"/>
      <c r="T3" s="494"/>
      <c r="U3" s="494"/>
      <c r="V3" s="494"/>
      <c r="W3" s="494"/>
      <c r="X3" s="494"/>
      <c r="Y3" s="494"/>
      <c r="Z3" s="494"/>
      <c r="AA3" s="494"/>
      <c r="AB3" s="494"/>
      <c r="AC3" s="494"/>
      <c r="AD3" s="494"/>
      <c r="AE3" s="494"/>
      <c r="AF3" s="494"/>
      <c r="AG3" s="494"/>
      <c r="AH3" s="494"/>
      <c r="AI3" s="494"/>
      <c r="AJ3" s="494"/>
      <c r="AK3" s="494"/>
      <c r="AL3" s="494"/>
      <c r="AM3" s="494"/>
      <c r="AN3" s="494"/>
      <c r="AO3" s="494"/>
      <c r="AP3" s="494"/>
      <c r="AQ3" s="494"/>
      <c r="AR3" s="494"/>
      <c r="AS3" s="494"/>
      <c r="AT3" s="494"/>
      <c r="AU3" s="494"/>
      <c r="AV3" s="494"/>
      <c r="AW3" s="494"/>
      <c r="AX3" s="494"/>
      <c r="AY3" s="494"/>
      <c r="AZ3" s="494"/>
      <c r="BA3" s="494"/>
      <c r="BB3" s="494"/>
      <c r="BC3" s="494"/>
      <c r="BD3" s="494"/>
      <c r="BE3" s="494"/>
      <c r="BF3" s="494"/>
      <c r="BG3" s="494"/>
      <c r="BH3" s="494"/>
      <c r="BI3" s="494"/>
      <c r="BJ3" s="494"/>
      <c r="BK3" s="494"/>
      <c r="BL3" s="494"/>
      <c r="BM3" s="494"/>
      <c r="BN3" s="494"/>
      <c r="BO3" s="494"/>
      <c r="BP3" s="494"/>
      <c r="BQ3" s="494"/>
      <c r="BR3" s="494"/>
      <c r="BS3" s="494"/>
      <c r="BT3" s="494"/>
      <c r="BU3" s="494"/>
      <c r="BV3" s="494"/>
      <c r="BW3" s="494"/>
      <c r="BX3" s="494"/>
      <c r="BY3" s="494"/>
      <c r="BZ3" s="494"/>
      <c r="CA3" s="494"/>
      <c r="CB3" s="494"/>
      <c r="CC3" s="494"/>
      <c r="CD3" s="494"/>
      <c r="CE3" s="494"/>
      <c r="CF3" s="494"/>
      <c r="CG3" s="494"/>
      <c r="CH3" s="494"/>
      <c r="CI3" s="494"/>
      <c r="CJ3" s="494"/>
      <c r="CK3" s="494"/>
    </row>
    <row r="4" spans="1:89" s="494" customFormat="1" ht="15" customHeight="1">
      <c r="B4" s="492"/>
      <c r="C4" s="495"/>
      <c r="D4" s="497"/>
      <c r="E4" s="497"/>
      <c r="F4" s="497"/>
      <c r="G4" s="497"/>
      <c r="H4" s="497"/>
      <c r="I4" s="497"/>
      <c r="J4" s="497"/>
      <c r="K4" s="497"/>
      <c r="L4" s="496"/>
      <c r="M4" s="496"/>
      <c r="N4" s="496"/>
      <c r="O4" s="496"/>
    </row>
    <row r="5" spans="1:89" s="15" customFormat="1" ht="31" customHeight="1">
      <c r="O5" s="169"/>
      <c r="P5" s="169"/>
      <c r="Q5" s="182"/>
      <c r="R5" s="182"/>
      <c r="S5" s="182"/>
      <c r="T5" s="182"/>
      <c r="U5" s="182"/>
      <c r="V5" s="182"/>
      <c r="W5" s="182"/>
      <c r="X5" s="182"/>
      <c r="Y5" s="182"/>
      <c r="Z5" s="182"/>
      <c r="AA5" s="182"/>
      <c r="AB5" s="182"/>
      <c r="AC5" s="182"/>
      <c r="AD5" s="182"/>
      <c r="AE5" s="182"/>
      <c r="AF5" s="182"/>
      <c r="AG5" s="182"/>
      <c r="AH5" s="182"/>
      <c r="AI5" s="182"/>
      <c r="AJ5" s="182"/>
      <c r="AK5" s="182"/>
      <c r="AL5" s="182"/>
      <c r="AM5" s="182"/>
      <c r="AN5" s="182"/>
      <c r="AO5" s="182"/>
      <c r="AP5" s="182"/>
      <c r="AQ5" s="182"/>
      <c r="AR5" s="182"/>
      <c r="AS5" s="182"/>
      <c r="AT5" s="182"/>
      <c r="AU5" s="182"/>
      <c r="AV5" s="182"/>
      <c r="AW5" s="182"/>
      <c r="AX5" s="182"/>
      <c r="AY5" s="182"/>
      <c r="AZ5" s="182"/>
      <c r="BA5" s="182"/>
      <c r="BB5" s="182"/>
      <c r="BC5" s="182"/>
      <c r="BD5" s="182"/>
      <c r="BE5" s="182"/>
      <c r="BF5" s="182"/>
      <c r="BG5" s="182"/>
    </row>
    <row r="6" spans="1:89" s="205" customFormat="1" ht="31" customHeight="1" thickBot="1">
      <c r="A6" s="15"/>
      <c r="B6" s="491" t="s">
        <v>1800</v>
      </c>
      <c r="C6" s="976"/>
      <c r="D6" s="976"/>
      <c r="E6" s="976"/>
      <c r="F6" s="976"/>
      <c r="G6" s="976"/>
      <c r="H6" s="976"/>
      <c r="I6" s="977"/>
      <c r="J6" s="977"/>
      <c r="K6" s="977"/>
      <c r="L6" s="976"/>
      <c r="M6" s="976"/>
      <c r="N6" s="976"/>
      <c r="O6" s="976"/>
    </row>
    <row r="7" spans="1:89" s="205" customFormat="1" ht="16" thickTop="1"/>
    <row r="8" spans="1:89" s="978" customFormat="1" ht="35" customHeight="1">
      <c r="B8" s="1872" t="s">
        <v>2432</v>
      </c>
      <c r="C8" s="1872"/>
      <c r="D8" s="1872"/>
      <c r="E8" s="1872"/>
      <c r="F8" s="1872"/>
      <c r="G8" s="1872"/>
      <c r="H8" s="1872"/>
      <c r="I8" s="1872"/>
      <c r="J8" s="1872"/>
      <c r="K8" s="1872"/>
      <c r="L8" s="1872"/>
      <c r="M8" s="1872"/>
      <c r="N8" s="1872"/>
      <c r="O8" s="1872"/>
    </row>
    <row r="9" spans="1:89" s="205" customFormat="1"/>
    <row r="10" spans="1:89" s="727" customFormat="1" ht="18">
      <c r="B10" s="728" t="s">
        <v>1629</v>
      </c>
      <c r="C10" s="729"/>
      <c r="D10" s="729"/>
      <c r="E10" s="729"/>
      <c r="F10" s="729"/>
      <c r="G10" s="729"/>
      <c r="H10" s="729"/>
      <c r="I10" s="730"/>
      <c r="J10" s="730"/>
      <c r="K10" s="730"/>
      <c r="L10" s="234"/>
      <c r="M10" s="234"/>
      <c r="N10" s="234"/>
      <c r="O10" s="234"/>
    </row>
    <row r="11" spans="1:89" s="205" customFormat="1">
      <c r="B11" s="206"/>
    </row>
    <row r="12" spans="1:89" s="978" customFormat="1" ht="36" customHeight="1">
      <c r="B12" s="1857" t="s">
        <v>1803</v>
      </c>
      <c r="C12" s="1857"/>
      <c r="D12" s="1857"/>
      <c r="E12" s="1857"/>
      <c r="F12" s="1857"/>
      <c r="G12" s="1857"/>
      <c r="H12" s="1857"/>
      <c r="I12" s="1857"/>
      <c r="J12" s="1857"/>
      <c r="K12" s="1857"/>
      <c r="L12" s="1857"/>
      <c r="M12" s="1857"/>
      <c r="N12" s="1857"/>
      <c r="O12" s="1857"/>
    </row>
    <row r="13" spans="1:89" s="205" customFormat="1">
      <c r="B13" s="206"/>
    </row>
    <row r="14" spans="1:89" s="208" customFormat="1" ht="15" customHeight="1">
      <c r="A14" s="207"/>
      <c r="B14" s="2242" t="s">
        <v>821</v>
      </c>
      <c r="C14" s="2234"/>
      <c r="D14" s="2234"/>
      <c r="E14" s="2234"/>
      <c r="F14" s="2234" t="s">
        <v>1648</v>
      </c>
      <c r="G14" s="2234"/>
      <c r="H14" s="2234" t="s">
        <v>782</v>
      </c>
      <c r="I14" s="2234"/>
      <c r="J14" s="2230" t="s">
        <v>924</v>
      </c>
      <c r="K14" s="2237" t="s">
        <v>1634</v>
      </c>
      <c r="L14" s="630"/>
      <c r="M14" s="207"/>
      <c r="N14" s="207"/>
      <c r="O14" s="630"/>
      <c r="P14" s="207"/>
      <c r="Q14" s="207"/>
      <c r="R14" s="207"/>
      <c r="S14" s="207"/>
      <c r="T14" s="207"/>
      <c r="U14" s="207"/>
      <c r="V14" s="207"/>
      <c r="W14" s="207"/>
      <c r="X14" s="207"/>
      <c r="Y14" s="207"/>
      <c r="Z14" s="207"/>
      <c r="AA14" s="207"/>
      <c r="AB14" s="207"/>
      <c r="AC14" s="207"/>
      <c r="AD14" s="207"/>
      <c r="AE14" s="207"/>
      <c r="AF14" s="207"/>
      <c r="AG14" s="207"/>
      <c r="AH14" s="207"/>
      <c r="AI14" s="207"/>
      <c r="AJ14" s="207"/>
    </row>
    <row r="15" spans="1:89" s="208" customFormat="1">
      <c r="A15" s="207"/>
      <c r="B15" s="2243"/>
      <c r="C15" s="2244"/>
      <c r="D15" s="2244"/>
      <c r="E15" s="2244"/>
      <c r="F15" s="899" t="s">
        <v>170</v>
      </c>
      <c r="G15" s="899" t="s">
        <v>171</v>
      </c>
      <c r="H15" s="899" t="s">
        <v>170</v>
      </c>
      <c r="I15" s="899" t="s">
        <v>171</v>
      </c>
      <c r="J15" s="2241"/>
      <c r="K15" s="2245"/>
      <c r="L15" s="207"/>
      <c r="M15" s="207"/>
      <c r="N15" s="207"/>
      <c r="O15" s="207"/>
      <c r="P15" s="207"/>
      <c r="Q15" s="207"/>
      <c r="R15" s="207"/>
      <c r="S15" s="207"/>
      <c r="T15" s="207"/>
      <c r="U15" s="207"/>
      <c r="V15" s="207"/>
      <c r="W15" s="207"/>
      <c r="X15" s="207"/>
      <c r="Y15" s="207"/>
      <c r="Z15" s="207"/>
      <c r="AA15" s="207"/>
      <c r="AB15" s="207"/>
      <c r="AC15" s="207"/>
      <c r="AD15" s="207"/>
      <c r="AE15" s="207"/>
      <c r="AF15" s="207"/>
      <c r="AG15" s="207"/>
      <c r="AH15" s="207"/>
      <c r="AI15" s="207"/>
      <c r="AJ15" s="207"/>
    </row>
    <row r="16" spans="1:89" s="209" customFormat="1">
      <c r="B16" s="2246"/>
      <c r="C16" s="2247"/>
      <c r="D16" s="2247"/>
      <c r="E16" s="2247"/>
      <c r="F16" s="2247"/>
      <c r="G16" s="2247"/>
      <c r="H16" s="2247"/>
      <c r="I16" s="2247"/>
      <c r="J16" s="2247"/>
      <c r="K16" s="2248"/>
      <c r="L16" s="205"/>
      <c r="M16" s="205"/>
      <c r="N16" s="205"/>
      <c r="O16" s="205"/>
      <c r="P16" s="205"/>
      <c r="Q16" s="205"/>
      <c r="R16" s="205"/>
      <c r="S16" s="205"/>
      <c r="T16" s="205"/>
      <c r="U16" s="205"/>
      <c r="V16" s="205"/>
      <c r="W16" s="205"/>
      <c r="X16" s="205"/>
      <c r="Y16" s="205"/>
      <c r="Z16" s="205"/>
      <c r="AA16" s="205"/>
      <c r="AB16" s="205"/>
      <c r="AC16" s="205"/>
      <c r="AD16" s="205"/>
      <c r="AE16" s="205"/>
      <c r="AF16" s="205"/>
      <c r="AG16" s="205"/>
      <c r="AH16" s="205"/>
      <c r="AI16" s="205"/>
      <c r="AJ16" s="205"/>
    </row>
    <row r="17" spans="2:15" s="205" customFormat="1">
      <c r="B17" s="2232"/>
      <c r="C17" s="2232"/>
      <c r="D17" s="2232"/>
      <c r="E17" s="2232"/>
      <c r="F17" s="210"/>
      <c r="G17" s="210"/>
      <c r="H17" s="210"/>
      <c r="I17" s="210"/>
      <c r="J17" s="210"/>
      <c r="K17" s="898"/>
    </row>
    <row r="18" spans="2:15" s="205" customFormat="1">
      <c r="B18" s="2232"/>
      <c r="C18" s="2232"/>
      <c r="D18" s="2232"/>
      <c r="E18" s="2232"/>
      <c r="F18" s="210"/>
      <c r="G18" s="210"/>
      <c r="H18" s="210"/>
      <c r="I18" s="210"/>
      <c r="J18" s="210"/>
      <c r="K18" s="898"/>
    </row>
    <row r="19" spans="2:15" s="205" customFormat="1">
      <c r="B19" s="2232"/>
      <c r="C19" s="2232"/>
      <c r="D19" s="2232"/>
      <c r="E19" s="2232"/>
      <c r="F19" s="210"/>
      <c r="G19" s="210"/>
      <c r="H19" s="210"/>
      <c r="I19" s="210"/>
      <c r="J19" s="210"/>
      <c r="K19" s="898"/>
    </row>
    <row r="20" spans="2:15" s="205" customFormat="1">
      <c r="B20" s="2232"/>
      <c r="C20" s="2232"/>
      <c r="D20" s="2232"/>
      <c r="E20" s="2232"/>
      <c r="F20" s="210"/>
      <c r="G20" s="210"/>
      <c r="H20" s="210"/>
      <c r="I20" s="210"/>
      <c r="J20" s="210"/>
      <c r="K20" s="898"/>
    </row>
    <row r="21" spans="2:15" s="205" customFormat="1">
      <c r="B21" s="2232"/>
      <c r="C21" s="2232"/>
      <c r="D21" s="2232"/>
      <c r="E21" s="2232"/>
      <c r="F21" s="210"/>
      <c r="G21" s="210"/>
      <c r="H21" s="210"/>
      <c r="I21" s="210"/>
      <c r="J21" s="210"/>
      <c r="K21" s="898"/>
    </row>
    <row r="22" spans="2:15" s="205" customFormat="1">
      <c r="B22" s="2232"/>
      <c r="C22" s="2232"/>
      <c r="D22" s="2232"/>
      <c r="E22" s="2232"/>
      <c r="F22" s="210"/>
      <c r="G22" s="210"/>
      <c r="H22" s="210"/>
      <c r="I22" s="210"/>
      <c r="J22" s="210"/>
      <c r="K22" s="898"/>
    </row>
    <row r="23" spans="2:15" s="205" customFormat="1">
      <c r="B23" s="2233" t="s">
        <v>817</v>
      </c>
      <c r="C23" s="2233"/>
      <c r="D23" s="2233"/>
      <c r="E23" s="2233"/>
      <c r="F23" s="2233"/>
      <c r="G23" s="2233"/>
      <c r="H23" s="2233"/>
      <c r="I23" s="2233"/>
      <c r="J23" s="210">
        <f>IF(SUM(J17:J22)=0,0,SUM(J17:J22))</f>
        <v>0</v>
      </c>
      <c r="K23" s="939"/>
    </row>
    <row r="24" spans="2:15" s="205" customFormat="1"/>
    <row r="25" spans="2:15" s="727" customFormat="1" ht="18">
      <c r="B25" s="728" t="s">
        <v>1630</v>
      </c>
      <c r="C25" s="729"/>
      <c r="D25" s="729"/>
      <c r="E25" s="729"/>
      <c r="F25" s="729"/>
      <c r="G25" s="729"/>
      <c r="H25" s="729"/>
      <c r="I25" s="730"/>
      <c r="J25" s="730"/>
      <c r="K25" s="730"/>
      <c r="L25" s="234"/>
      <c r="M25" s="234"/>
      <c r="N25" s="234"/>
      <c r="O25" s="234"/>
    </row>
    <row r="26" spans="2:15" s="205" customFormat="1"/>
    <row r="27" spans="2:15" s="978" customFormat="1" ht="36" customHeight="1">
      <c r="B27" s="1873" t="s">
        <v>1920</v>
      </c>
      <c r="C27" s="1873"/>
      <c r="D27" s="1873"/>
      <c r="E27" s="1873"/>
      <c r="F27" s="1873"/>
      <c r="G27" s="1873"/>
      <c r="H27" s="1873"/>
      <c r="I27" s="1873"/>
      <c r="J27" s="1873"/>
      <c r="K27" s="1873"/>
      <c r="L27" s="1873"/>
      <c r="M27" s="1873"/>
      <c r="N27" s="1873"/>
      <c r="O27" s="1873"/>
    </row>
    <row r="28" spans="2:15" s="205" customFormat="1"/>
    <row r="29" spans="2:15" s="205" customFormat="1" ht="15" customHeight="1">
      <c r="B29" s="2235" t="s">
        <v>818</v>
      </c>
      <c r="C29" s="2236"/>
      <c r="D29" s="2236"/>
      <c r="E29" s="2236"/>
      <c r="F29" s="2230" t="s">
        <v>924</v>
      </c>
      <c r="G29" s="2237" t="s">
        <v>1634</v>
      </c>
      <c r="I29" s="2235" t="s">
        <v>819</v>
      </c>
      <c r="J29" s="2236"/>
      <c r="K29" s="2236"/>
      <c r="L29" s="2236"/>
      <c r="M29" s="2230" t="s">
        <v>924</v>
      </c>
      <c r="N29" s="2237" t="s">
        <v>1634</v>
      </c>
    </row>
    <row r="30" spans="2:15" s="205" customFormat="1" ht="16" customHeight="1">
      <c r="B30" s="2235"/>
      <c r="C30" s="2236"/>
      <c r="D30" s="2236"/>
      <c r="E30" s="2236"/>
      <c r="F30" s="2231"/>
      <c r="G30" s="2238"/>
      <c r="I30" s="2235"/>
      <c r="J30" s="2236"/>
      <c r="K30" s="2236"/>
      <c r="L30" s="2236"/>
      <c r="M30" s="2231"/>
      <c r="N30" s="2238"/>
    </row>
    <row r="31" spans="2:15" s="205" customFormat="1">
      <c r="B31" s="2255"/>
      <c r="C31" s="2256"/>
      <c r="D31" s="2256"/>
      <c r="E31" s="2256"/>
      <c r="F31" s="2256"/>
      <c r="G31" s="2257"/>
      <c r="I31" s="2255"/>
      <c r="J31" s="2256"/>
      <c r="K31" s="2256"/>
      <c r="L31" s="2256"/>
      <c r="M31" s="2256"/>
      <c r="N31" s="2257"/>
    </row>
    <row r="32" spans="2:15" s="205" customFormat="1">
      <c r="B32" s="2232"/>
      <c r="C32" s="2232"/>
      <c r="D32" s="2232"/>
      <c r="E32" s="2232"/>
      <c r="F32" s="210"/>
      <c r="G32" s="898"/>
      <c r="I32" s="2232"/>
      <c r="J32" s="2232"/>
      <c r="K32" s="2232"/>
      <c r="L32" s="2232"/>
      <c r="M32" s="210"/>
      <c r="N32" s="898"/>
    </row>
    <row r="33" spans="1:36" s="205" customFormat="1">
      <c r="B33" s="2232"/>
      <c r="C33" s="2232"/>
      <c r="D33" s="2232"/>
      <c r="E33" s="2232"/>
      <c r="F33" s="210"/>
      <c r="G33" s="898"/>
      <c r="I33" s="2232"/>
      <c r="J33" s="2232"/>
      <c r="K33" s="2232"/>
      <c r="L33" s="2232"/>
      <c r="M33" s="210"/>
      <c r="N33" s="898"/>
    </row>
    <row r="34" spans="1:36" s="209" customFormat="1">
      <c r="B34" s="2232"/>
      <c r="C34" s="2232"/>
      <c r="D34" s="2232"/>
      <c r="E34" s="2232"/>
      <c r="F34" s="860"/>
      <c r="G34" s="898"/>
      <c r="H34" s="205"/>
      <c r="I34" s="2232"/>
      <c r="J34" s="2232"/>
      <c r="K34" s="2232"/>
      <c r="L34" s="2232"/>
      <c r="M34" s="860"/>
      <c r="N34" s="898"/>
      <c r="O34" s="205"/>
      <c r="P34" s="205"/>
      <c r="Q34" s="205"/>
      <c r="R34" s="205"/>
      <c r="S34" s="205"/>
      <c r="T34" s="205"/>
      <c r="U34" s="205"/>
      <c r="V34" s="205"/>
      <c r="W34" s="205"/>
      <c r="X34" s="205"/>
      <c r="Y34" s="205"/>
      <c r="Z34" s="205"/>
      <c r="AA34" s="205"/>
      <c r="AB34" s="205"/>
      <c r="AC34" s="205"/>
      <c r="AD34" s="205"/>
      <c r="AE34" s="205"/>
      <c r="AF34" s="205"/>
      <c r="AG34" s="205"/>
      <c r="AH34" s="205"/>
      <c r="AI34" s="205"/>
      <c r="AJ34" s="205"/>
    </row>
    <row r="35" spans="1:36" s="205" customFormat="1">
      <c r="B35" s="2232"/>
      <c r="C35" s="2232"/>
      <c r="D35" s="2232"/>
      <c r="E35" s="2232"/>
      <c r="F35" s="210"/>
      <c r="G35" s="898"/>
      <c r="I35" s="2232"/>
      <c r="J35" s="2232"/>
      <c r="K35" s="2232"/>
      <c r="L35" s="2232"/>
      <c r="M35" s="210"/>
      <c r="N35" s="898"/>
    </row>
    <row r="36" spans="1:36" s="209" customFormat="1">
      <c r="B36" s="2232"/>
      <c r="C36" s="2232"/>
      <c r="D36" s="2232"/>
      <c r="E36" s="2232"/>
      <c r="F36" s="860"/>
      <c r="G36" s="898"/>
      <c r="H36" s="205"/>
      <c r="I36" s="2232"/>
      <c r="J36" s="2232"/>
      <c r="K36" s="2232"/>
      <c r="L36" s="2232"/>
      <c r="M36" s="860"/>
      <c r="N36" s="898"/>
      <c r="O36" s="205"/>
      <c r="P36" s="205"/>
      <c r="Q36" s="205"/>
      <c r="R36" s="205"/>
      <c r="S36" s="205"/>
      <c r="T36" s="205"/>
      <c r="U36" s="205"/>
      <c r="V36" s="205"/>
      <c r="W36" s="205"/>
      <c r="X36" s="205"/>
      <c r="Y36" s="205"/>
      <c r="Z36" s="205"/>
      <c r="AA36" s="205"/>
      <c r="AB36" s="205"/>
      <c r="AC36" s="205"/>
      <c r="AD36" s="205"/>
      <c r="AE36" s="205"/>
      <c r="AF36" s="205"/>
      <c r="AG36" s="205"/>
      <c r="AH36" s="205"/>
      <c r="AI36" s="205"/>
      <c r="AJ36" s="205"/>
    </row>
    <row r="37" spans="1:36" s="205" customFormat="1">
      <c r="B37" s="2232"/>
      <c r="C37" s="2232"/>
      <c r="D37" s="2232"/>
      <c r="E37" s="2232"/>
      <c r="F37" s="210"/>
      <c r="G37" s="898"/>
      <c r="I37" s="2232"/>
      <c r="J37" s="2232"/>
      <c r="K37" s="2232"/>
      <c r="L37" s="2232"/>
      <c r="M37" s="210"/>
      <c r="N37" s="898"/>
    </row>
    <row r="38" spans="1:36" s="209" customFormat="1">
      <c r="A38" s="205"/>
      <c r="B38" s="2233" t="s">
        <v>1011</v>
      </c>
      <c r="C38" s="2233"/>
      <c r="D38" s="2233"/>
      <c r="E38" s="2233"/>
      <c r="F38" s="210">
        <f>IF(SUM(F32:F37)=0,0,SUM(F32:F37))</f>
        <v>0</v>
      </c>
      <c r="G38" s="939"/>
      <c r="H38" s="205"/>
      <c r="I38" s="2233" t="s">
        <v>1012</v>
      </c>
      <c r="J38" s="2233"/>
      <c r="K38" s="2233"/>
      <c r="L38" s="2233"/>
      <c r="M38" s="210">
        <f>IF(SUM(M32:M35)=0,0,SUM(M32:M35))</f>
        <v>0</v>
      </c>
      <c r="N38" s="939"/>
      <c r="O38" s="205"/>
      <c r="P38" s="205"/>
      <c r="Q38" s="205"/>
      <c r="R38" s="205"/>
      <c r="S38" s="205"/>
      <c r="T38" s="205"/>
      <c r="U38" s="205"/>
      <c r="V38" s="205"/>
      <c r="W38" s="205"/>
      <c r="X38" s="205"/>
      <c r="Y38" s="205"/>
      <c r="Z38" s="205"/>
      <c r="AA38" s="205"/>
      <c r="AB38" s="205"/>
      <c r="AC38" s="205"/>
      <c r="AD38" s="205"/>
      <c r="AE38" s="205"/>
      <c r="AF38" s="205"/>
      <c r="AG38" s="205"/>
      <c r="AH38" s="205"/>
      <c r="AI38" s="205"/>
      <c r="AJ38" s="205"/>
    </row>
    <row r="39" spans="1:36" s="205" customFormat="1"/>
    <row r="40" spans="1:36" s="727" customFormat="1" ht="18">
      <c r="B40" s="728" t="s">
        <v>1631</v>
      </c>
      <c r="C40" s="729"/>
      <c r="D40" s="729"/>
      <c r="E40" s="729"/>
      <c r="F40" s="729"/>
      <c r="G40" s="729"/>
      <c r="H40" s="729"/>
      <c r="I40" s="730"/>
      <c r="J40" s="730"/>
      <c r="K40" s="730"/>
      <c r="L40" s="234"/>
      <c r="M40" s="234"/>
      <c r="N40" s="234"/>
      <c r="O40" s="234"/>
    </row>
    <row r="41" spans="1:36" s="205" customFormat="1"/>
    <row r="42" spans="1:36" s="978" customFormat="1" ht="54" customHeight="1">
      <c r="B42" s="1873" t="s">
        <v>1921</v>
      </c>
      <c r="C42" s="2240"/>
      <c r="D42" s="2240"/>
      <c r="E42" s="2240"/>
      <c r="F42" s="2240"/>
      <c r="G42" s="2240"/>
      <c r="H42" s="2240"/>
      <c r="I42" s="2240"/>
      <c r="J42" s="2240"/>
      <c r="K42" s="2240"/>
      <c r="L42" s="2240"/>
      <c r="M42" s="2240"/>
      <c r="N42" s="2240"/>
      <c r="O42" s="2240"/>
    </row>
    <row r="43" spans="1:36" s="205" customFormat="1"/>
    <row r="44" spans="1:36" s="208" customFormat="1" ht="16" customHeight="1">
      <c r="A44" s="207"/>
      <c r="B44" s="2242" t="s">
        <v>820</v>
      </c>
      <c r="C44" s="2234" t="s">
        <v>1781</v>
      </c>
      <c r="D44" s="2234"/>
      <c r="E44" s="2234" t="s">
        <v>1783</v>
      </c>
      <c r="F44" s="2234" t="s">
        <v>1784</v>
      </c>
      <c r="G44" s="2234" t="s">
        <v>1013</v>
      </c>
      <c r="H44" s="2234" t="s">
        <v>782</v>
      </c>
      <c r="I44" s="2234"/>
      <c r="J44" s="2234" t="s">
        <v>1014</v>
      </c>
      <c r="K44" s="2230" t="s">
        <v>924</v>
      </c>
      <c r="L44" s="2237" t="s">
        <v>1634</v>
      </c>
      <c r="M44" s="207"/>
      <c r="N44" s="207"/>
      <c r="O44" s="207"/>
      <c r="P44" s="207"/>
      <c r="Q44" s="207"/>
      <c r="R44" s="207"/>
      <c r="S44" s="207"/>
      <c r="T44" s="207"/>
      <c r="U44" s="207"/>
      <c r="V44" s="207"/>
      <c r="W44" s="207"/>
      <c r="X44" s="207"/>
      <c r="Y44" s="207"/>
      <c r="Z44" s="207"/>
      <c r="AA44" s="207"/>
      <c r="AB44" s="207"/>
      <c r="AC44" s="207"/>
      <c r="AD44" s="207"/>
      <c r="AE44" s="207"/>
      <c r="AF44" s="207"/>
      <c r="AG44" s="207"/>
      <c r="AH44" s="207"/>
      <c r="AI44" s="207"/>
      <c r="AJ44" s="207"/>
    </row>
    <row r="45" spans="1:36" s="208" customFormat="1">
      <c r="A45" s="207"/>
      <c r="B45" s="2254"/>
      <c r="C45" s="940" t="s">
        <v>170</v>
      </c>
      <c r="D45" s="940" t="s">
        <v>171</v>
      </c>
      <c r="E45" s="2239"/>
      <c r="F45" s="2239"/>
      <c r="G45" s="2239"/>
      <c r="H45" s="940" t="s">
        <v>170</v>
      </c>
      <c r="I45" s="940" t="s">
        <v>171</v>
      </c>
      <c r="J45" s="2239"/>
      <c r="K45" s="2231"/>
      <c r="L45" s="2238"/>
      <c r="M45" s="207"/>
      <c r="N45" s="207"/>
      <c r="O45" s="207"/>
      <c r="P45" s="207"/>
      <c r="Q45" s="207"/>
      <c r="R45" s="207"/>
      <c r="S45" s="207"/>
      <c r="T45" s="207"/>
      <c r="U45" s="207"/>
      <c r="V45" s="207"/>
      <c r="W45" s="207"/>
      <c r="X45" s="207"/>
      <c r="Y45" s="207"/>
      <c r="Z45" s="207"/>
      <c r="AA45" s="207"/>
      <c r="AB45" s="207"/>
      <c r="AC45" s="207"/>
      <c r="AD45" s="207"/>
      <c r="AE45" s="207"/>
      <c r="AF45" s="207"/>
      <c r="AG45" s="207"/>
      <c r="AH45" s="207"/>
      <c r="AI45" s="207"/>
      <c r="AJ45" s="207"/>
    </row>
    <row r="46" spans="1:36" s="209" customFormat="1">
      <c r="B46" s="935"/>
      <c r="C46" s="938"/>
      <c r="D46" s="938"/>
      <c r="E46" s="936"/>
      <c r="F46" s="936"/>
      <c r="G46" s="936"/>
      <c r="H46" s="936"/>
      <c r="I46" s="936"/>
      <c r="J46" s="936"/>
      <c r="K46" s="936"/>
      <c r="L46" s="937"/>
      <c r="M46" s="205"/>
      <c r="N46" s="205"/>
      <c r="O46" s="205"/>
      <c r="P46" s="205"/>
      <c r="Q46" s="205"/>
      <c r="R46" s="205"/>
      <c r="S46" s="205"/>
      <c r="T46" s="205"/>
      <c r="U46" s="205"/>
      <c r="V46" s="205"/>
      <c r="W46" s="205"/>
      <c r="X46" s="205"/>
      <c r="Y46" s="205"/>
      <c r="Z46" s="205"/>
      <c r="AA46" s="205"/>
      <c r="AB46" s="205"/>
      <c r="AC46" s="205"/>
      <c r="AD46" s="205"/>
      <c r="AE46" s="205"/>
      <c r="AF46" s="205"/>
      <c r="AG46" s="205"/>
      <c r="AH46" s="205"/>
      <c r="AI46" s="205"/>
      <c r="AJ46" s="205"/>
    </row>
    <row r="47" spans="1:36" s="205" customFormat="1">
      <c r="B47" s="941" t="s">
        <v>2709</v>
      </c>
      <c r="C47" s="942">
        <v>3000000</v>
      </c>
      <c r="D47" s="943" t="s">
        <v>921</v>
      </c>
      <c r="E47" s="943" t="s">
        <v>798</v>
      </c>
      <c r="F47" s="951">
        <v>1</v>
      </c>
      <c r="G47" s="943"/>
      <c r="H47" s="944">
        <v>0.5</v>
      </c>
      <c r="I47" s="945" t="s">
        <v>2710</v>
      </c>
      <c r="J47" s="946"/>
      <c r="K47" s="947">
        <f>IF(ISNUMBER(F47),F47*C47*H47-J47,C47*H47-J47)</f>
        <v>1500000</v>
      </c>
      <c r="L47" s="859" t="s">
        <v>759</v>
      </c>
    </row>
    <row r="48" spans="1:36" s="205" customFormat="1">
      <c r="B48" s="859"/>
      <c r="C48" s="305"/>
      <c r="D48" s="210"/>
      <c r="E48" s="943"/>
      <c r="F48" s="952"/>
      <c r="G48" s="210"/>
      <c r="H48" s="306"/>
      <c r="I48" s="304"/>
      <c r="J48" s="307"/>
      <c r="K48" s="862">
        <f>IF(ISNUMBER(F48),F48*C48*H48-J48,C48*H48-J48)</f>
        <v>0</v>
      </c>
      <c r="L48" s="859"/>
    </row>
    <row r="49" spans="1:59" s="205" customFormat="1">
      <c r="B49" s="859"/>
      <c r="C49" s="305"/>
      <c r="D49" s="210"/>
      <c r="E49" s="943"/>
      <c r="F49" s="952"/>
      <c r="G49" s="210"/>
      <c r="H49" s="306"/>
      <c r="I49" s="304"/>
      <c r="J49" s="307"/>
      <c r="K49" s="862"/>
      <c r="L49" s="859"/>
    </row>
    <row r="50" spans="1:59" s="205" customFormat="1">
      <c r="B50" s="859"/>
      <c r="C50" s="305"/>
      <c r="D50" s="210"/>
      <c r="E50" s="943"/>
      <c r="F50" s="952"/>
      <c r="G50" s="210"/>
      <c r="H50" s="306"/>
      <c r="I50" s="304"/>
      <c r="J50" s="307"/>
      <c r="K50" s="862"/>
      <c r="L50" s="859"/>
    </row>
    <row r="51" spans="1:59" s="205" customFormat="1">
      <c r="B51" s="863"/>
      <c r="C51" s="308"/>
      <c r="D51" s="210"/>
      <c r="E51" s="943"/>
      <c r="F51" s="952"/>
      <c r="G51" s="210"/>
      <c r="H51" s="306"/>
      <c r="I51" s="304"/>
      <c r="J51" s="307"/>
      <c r="K51" s="862">
        <f>IF(ISNUMBER(F51),F51*C51*H51-J51,C51*H51-J51)</f>
        <v>0</v>
      </c>
      <c r="L51" s="859"/>
    </row>
    <row r="52" spans="1:59" s="205" customFormat="1">
      <c r="B52" s="863"/>
      <c r="C52" s="308"/>
      <c r="D52" s="210"/>
      <c r="E52" s="943"/>
      <c r="F52" s="953"/>
      <c r="G52" s="210"/>
      <c r="H52" s="309"/>
      <c r="I52" s="210"/>
      <c r="J52" s="210"/>
      <c r="K52" s="862">
        <f>IF(ISNUMBER(F52),F52*C52*H52-J52,C52*H52-J52)</f>
        <v>0</v>
      </c>
      <c r="L52" s="859"/>
    </row>
    <row r="53" spans="1:59" s="205" customFormat="1">
      <c r="B53" s="861" t="s">
        <v>1015</v>
      </c>
      <c r="C53" s="864"/>
      <c r="D53" s="864"/>
      <c r="E53" s="865"/>
      <c r="F53" s="864"/>
      <c r="G53" s="864"/>
      <c r="H53" s="864"/>
      <c r="I53" s="864"/>
      <c r="J53" s="865"/>
      <c r="K53" s="862">
        <f>IF(SUM(K47:K52)=0,0,SUM(K47:K52))</f>
        <v>1500000</v>
      </c>
      <c r="L53" s="939"/>
    </row>
    <row r="54" spans="1:59" s="205" customFormat="1" ht="19" customHeight="1"/>
    <row r="55" spans="1:59" s="205" customFormat="1" ht="31" customHeight="1" thickBot="1">
      <c r="B55" s="491" t="s">
        <v>1804</v>
      </c>
      <c r="C55" s="976"/>
      <c r="D55" s="976"/>
      <c r="E55" s="976"/>
      <c r="F55" s="976"/>
      <c r="G55" s="976"/>
      <c r="H55" s="976"/>
      <c r="I55" s="977"/>
      <c r="J55" s="977"/>
      <c r="K55" s="977"/>
      <c r="L55" s="976"/>
      <c r="M55" s="976"/>
      <c r="N55" s="976"/>
      <c r="O55" s="976"/>
    </row>
    <row r="56" spans="1:59" s="515" customFormat="1" ht="15" customHeight="1" thickTop="1">
      <c r="B56" s="519"/>
      <c r="C56" s="520"/>
      <c r="D56" s="520"/>
      <c r="E56" s="520"/>
      <c r="F56" s="520"/>
      <c r="G56" s="520"/>
      <c r="H56" s="520"/>
      <c r="I56" s="521"/>
      <c r="J56" s="521"/>
      <c r="K56" s="521"/>
      <c r="L56" s="522"/>
      <c r="M56" s="522"/>
      <c r="N56" s="15"/>
      <c r="O56" s="169"/>
      <c r="P56" s="169"/>
      <c r="Q56" s="205"/>
      <c r="R56" s="205"/>
      <c r="S56" s="205"/>
      <c r="T56" s="205"/>
      <c r="U56" s="205"/>
      <c r="V56" s="182"/>
      <c r="W56" s="182"/>
      <c r="X56" s="182"/>
      <c r="Y56" s="182"/>
      <c r="Z56" s="182"/>
      <c r="AA56" s="182"/>
      <c r="AB56" s="182"/>
      <c r="AC56" s="182"/>
      <c r="AD56" s="182"/>
      <c r="AE56" s="182"/>
      <c r="AF56" s="182"/>
      <c r="AG56" s="182"/>
      <c r="AH56" s="182"/>
      <c r="AI56" s="182"/>
      <c r="AJ56" s="182"/>
      <c r="AK56" s="182"/>
      <c r="AL56" s="182"/>
      <c r="AM56" s="182"/>
      <c r="AN56" s="182"/>
      <c r="AO56" s="182"/>
      <c r="AP56" s="182"/>
      <c r="AQ56" s="182"/>
      <c r="AR56" s="182"/>
      <c r="AS56" s="182"/>
      <c r="AT56" s="182"/>
      <c r="AU56" s="182"/>
      <c r="AV56" s="182"/>
      <c r="AW56" s="182"/>
      <c r="AX56" s="182"/>
      <c r="AY56" s="182"/>
      <c r="AZ56" s="182"/>
      <c r="BA56" s="182"/>
      <c r="BB56" s="182"/>
      <c r="BC56" s="182"/>
      <c r="BD56" s="182"/>
      <c r="BE56" s="182"/>
      <c r="BF56" s="182"/>
      <c r="BG56" s="182"/>
    </row>
    <row r="57" spans="1:59" s="169" customFormat="1" ht="18">
      <c r="A57" s="43"/>
      <c r="B57" s="167" t="s">
        <v>752</v>
      </c>
      <c r="C57" s="168"/>
      <c r="D57" s="168" t="str">
        <f>IF('City information'!E11="",'City information'!E10,CONCATENATE('City information'!E10,", ",'City information'!E11))</f>
        <v>Atlantis, Gondwana</v>
      </c>
      <c r="E57" s="168"/>
      <c r="H57" s="167" t="s">
        <v>753</v>
      </c>
      <c r="I57" s="167"/>
      <c r="J57" s="180">
        <f>'City information'!E18</f>
        <v>4000000</v>
      </c>
      <c r="N57" s="15"/>
      <c r="O57" s="15"/>
      <c r="Q57" s="205"/>
      <c r="R57" s="205"/>
      <c r="S57" s="205"/>
      <c r="T57" s="205"/>
      <c r="U57" s="205"/>
      <c r="V57" s="182"/>
      <c r="W57" s="182"/>
      <c r="X57" s="182"/>
      <c r="Y57" s="182"/>
      <c r="Z57" s="182"/>
      <c r="AA57" s="182"/>
      <c r="AB57" s="182"/>
      <c r="AC57" s="182"/>
      <c r="AD57" s="182"/>
      <c r="AE57" s="182"/>
      <c r="AF57" s="182"/>
      <c r="AG57" s="182"/>
      <c r="AH57" s="182"/>
      <c r="AI57" s="182"/>
      <c r="AJ57" s="182"/>
      <c r="AK57" s="182"/>
      <c r="AL57" s="182"/>
      <c r="AM57" s="182"/>
      <c r="AN57" s="182"/>
      <c r="AO57" s="182"/>
      <c r="AP57" s="182"/>
      <c r="AQ57" s="182"/>
      <c r="AR57" s="182"/>
      <c r="AS57" s="182"/>
      <c r="AT57" s="182"/>
      <c r="AU57" s="182"/>
      <c r="AV57" s="182"/>
      <c r="AW57" s="182"/>
      <c r="AX57" s="182"/>
      <c r="AY57" s="182"/>
      <c r="AZ57" s="182"/>
      <c r="BA57" s="182"/>
      <c r="BB57" s="182"/>
      <c r="BC57" s="182"/>
      <c r="BD57" s="182"/>
      <c r="BE57" s="182"/>
      <c r="BF57" s="182"/>
      <c r="BG57" s="182"/>
    </row>
    <row r="58" spans="1:59" s="169" customFormat="1" ht="18">
      <c r="A58" s="43"/>
      <c r="B58" s="167" t="s">
        <v>751</v>
      </c>
      <c r="C58" s="168"/>
      <c r="D58" s="168" t="str">
        <f>'City information'!E14</f>
        <v>Combination of administrative divisions</v>
      </c>
      <c r="E58" s="168"/>
      <c r="H58" s="167" t="s">
        <v>755</v>
      </c>
      <c r="I58" s="167"/>
      <c r="J58" s="180">
        <f>'City information'!E17</f>
        <v>1000</v>
      </c>
      <c r="Q58" s="205"/>
      <c r="R58" s="205"/>
      <c r="S58" s="205"/>
      <c r="T58" s="205"/>
      <c r="U58" s="205"/>
      <c r="V58" s="182"/>
      <c r="W58" s="182"/>
      <c r="X58" s="182"/>
      <c r="Y58" s="182"/>
      <c r="Z58" s="182"/>
      <c r="AA58" s="182"/>
      <c r="AB58" s="182"/>
      <c r="AC58" s="182"/>
      <c r="AD58" s="182"/>
      <c r="AE58" s="182"/>
      <c r="AF58" s="182"/>
      <c r="AG58" s="182"/>
      <c r="AH58" s="182"/>
      <c r="AI58" s="182"/>
      <c r="AJ58" s="182"/>
      <c r="AK58" s="182"/>
      <c r="AL58" s="182"/>
      <c r="AM58" s="182"/>
      <c r="AN58" s="182"/>
      <c r="AO58" s="182"/>
      <c r="AP58" s="182"/>
      <c r="AQ58" s="182"/>
      <c r="AR58" s="182"/>
      <c r="AS58" s="182"/>
      <c r="AT58" s="182"/>
      <c r="AU58" s="182"/>
      <c r="AV58" s="182"/>
      <c r="AW58" s="182"/>
      <c r="AX58" s="182"/>
      <c r="AY58" s="182"/>
      <c r="AZ58" s="182"/>
      <c r="BA58" s="182"/>
      <c r="BB58" s="182"/>
      <c r="BC58" s="182"/>
      <c r="BD58" s="182"/>
      <c r="BE58" s="182"/>
      <c r="BF58" s="182"/>
      <c r="BG58" s="182"/>
    </row>
    <row r="59" spans="1:59" s="169" customFormat="1" ht="18">
      <c r="A59" s="43"/>
      <c r="B59" s="167" t="s">
        <v>750</v>
      </c>
      <c r="C59" s="168"/>
      <c r="D59" s="168">
        <f>'City information'!E13</f>
        <v>2014</v>
      </c>
      <c r="E59" s="168"/>
      <c r="H59" s="167" t="s">
        <v>754</v>
      </c>
      <c r="I59" s="167"/>
      <c r="J59" s="181">
        <f>'City information'!E19/1000000000</f>
        <v>200</v>
      </c>
      <c r="Q59" s="205"/>
      <c r="R59" s="205"/>
      <c r="S59" s="205"/>
      <c r="T59" s="205"/>
      <c r="U59" s="205"/>
      <c r="V59" s="182"/>
      <c r="W59" s="182"/>
      <c r="X59" s="182"/>
      <c r="Y59" s="182"/>
      <c r="Z59" s="182"/>
      <c r="AA59" s="182"/>
      <c r="AB59" s="182"/>
      <c r="AC59" s="182"/>
      <c r="AD59" s="182"/>
      <c r="AE59" s="182"/>
      <c r="AF59" s="182"/>
      <c r="AG59" s="182"/>
      <c r="AH59" s="182"/>
      <c r="AI59" s="182"/>
      <c r="AJ59" s="182"/>
      <c r="AK59" s="182"/>
      <c r="AL59" s="182"/>
      <c r="AM59" s="182"/>
      <c r="AN59" s="182"/>
      <c r="AO59" s="182"/>
      <c r="AP59" s="182"/>
      <c r="AQ59" s="182"/>
      <c r="AR59" s="182"/>
      <c r="AS59" s="182"/>
      <c r="AT59" s="182"/>
      <c r="AU59" s="182"/>
      <c r="AV59" s="182"/>
      <c r="AW59" s="182"/>
      <c r="AX59" s="182"/>
      <c r="AY59" s="182"/>
      <c r="AZ59" s="182"/>
      <c r="BA59" s="182"/>
      <c r="BB59" s="182"/>
      <c r="BC59" s="182"/>
      <c r="BD59" s="182"/>
      <c r="BE59" s="182"/>
      <c r="BF59" s="182"/>
      <c r="BG59" s="182"/>
    </row>
    <row r="60" spans="1:59" s="169" customFormat="1" ht="15" customHeight="1">
      <c r="A60" s="43"/>
      <c r="B60" s="167"/>
      <c r="C60" s="168"/>
      <c r="D60" s="168"/>
      <c r="E60" s="168"/>
      <c r="F60" s="168"/>
      <c r="Q60" s="205"/>
      <c r="R60" s="205"/>
      <c r="S60" s="205"/>
      <c r="T60" s="205"/>
      <c r="U60" s="205"/>
      <c r="V60" s="182"/>
      <c r="W60" s="182"/>
      <c r="X60" s="182"/>
      <c r="Y60" s="182"/>
      <c r="Z60" s="182"/>
      <c r="AA60" s="182"/>
      <c r="AB60" s="182"/>
      <c r="AC60" s="182"/>
      <c r="AD60" s="182"/>
      <c r="AE60" s="182"/>
      <c r="AF60" s="182"/>
      <c r="AG60" s="182"/>
      <c r="AH60" s="182"/>
      <c r="AI60" s="182"/>
      <c r="AJ60" s="182"/>
      <c r="AK60" s="182"/>
      <c r="AL60" s="182"/>
      <c r="AM60" s="182"/>
      <c r="AN60" s="182"/>
      <c r="AO60" s="182"/>
      <c r="AP60" s="182"/>
      <c r="AQ60" s="182"/>
      <c r="AR60" s="182"/>
      <c r="AS60" s="182"/>
      <c r="AT60" s="182"/>
      <c r="AU60" s="182"/>
      <c r="AV60" s="182"/>
      <c r="AW60" s="182"/>
      <c r="AX60" s="182"/>
      <c r="AY60" s="182"/>
      <c r="AZ60" s="182"/>
      <c r="BA60" s="182"/>
      <c r="BB60" s="182"/>
      <c r="BC60" s="182"/>
      <c r="BD60" s="182"/>
      <c r="BE60" s="182"/>
      <c r="BF60" s="182"/>
      <c r="BG60" s="182"/>
    </row>
    <row r="61" spans="1:59" ht="19" customHeight="1">
      <c r="A61" s="43"/>
      <c r="B61" s="2185" t="s">
        <v>756</v>
      </c>
      <c r="C61" s="2186"/>
      <c r="D61" s="2186"/>
      <c r="E61" s="2186"/>
      <c r="F61" s="2186"/>
      <c r="G61" s="2186"/>
      <c r="H61" s="2253" t="s">
        <v>757</v>
      </c>
      <c r="I61" s="2249"/>
      <c r="J61" s="2249"/>
      <c r="K61" s="2251" t="s">
        <v>1633</v>
      </c>
      <c r="L61" s="2249" t="s">
        <v>1632</v>
      </c>
      <c r="M61" s="2249"/>
      <c r="N61" s="2250"/>
      <c r="O61" s="169"/>
      <c r="P61" s="169"/>
      <c r="Q61" s="205"/>
      <c r="R61" s="205"/>
      <c r="S61" s="205"/>
      <c r="T61" s="205"/>
      <c r="U61" s="205"/>
    </row>
    <row r="62" spans="1:59" ht="19" customHeight="1">
      <c r="A62" s="43"/>
      <c r="B62" s="2187"/>
      <c r="C62" s="2188"/>
      <c r="D62" s="2188"/>
      <c r="E62" s="2188"/>
      <c r="F62" s="2188"/>
      <c r="G62" s="2188"/>
      <c r="H62" s="503" t="s">
        <v>1</v>
      </c>
      <c r="I62" s="503" t="s">
        <v>2</v>
      </c>
      <c r="J62" s="503" t="s">
        <v>3</v>
      </c>
      <c r="K62" s="2252"/>
      <c r="L62" s="503" t="s">
        <v>172</v>
      </c>
      <c r="M62" s="503" t="s">
        <v>173</v>
      </c>
      <c r="N62" s="514" t="s">
        <v>999</v>
      </c>
      <c r="O62" s="169"/>
      <c r="P62" s="169"/>
      <c r="Q62" s="205"/>
      <c r="R62" s="205"/>
      <c r="S62" s="205"/>
      <c r="T62" s="205"/>
      <c r="U62" s="205"/>
    </row>
    <row r="63" spans="1:59" s="185" customFormat="1" ht="19" customHeight="1">
      <c r="A63" s="87"/>
      <c r="B63" s="2194" t="s">
        <v>4</v>
      </c>
      <c r="C63" s="2194"/>
      <c r="D63" s="2191" t="s">
        <v>187</v>
      </c>
      <c r="E63" s="2192"/>
      <c r="F63" s="2192"/>
      <c r="G63" s="2193"/>
      <c r="H63" s="504">
        <f>Overview!H14</f>
        <v>1778267.3614382397</v>
      </c>
      <c r="I63" s="504">
        <f>Overview!I14</f>
        <v>2786281.5331000001</v>
      </c>
      <c r="J63" s="948">
        <f>Overview!J14</f>
        <v>0</v>
      </c>
      <c r="K63" s="954">
        <f>SUMIF(K17:K22,B63,J17:J22)+SUMIF(N32:N37,B63,M32:M37)+SUMIF(L47:L52,B63,K47:K52)</f>
        <v>1500000</v>
      </c>
      <c r="L63" s="627">
        <f>H63+I63-K63</f>
        <v>3064548.8945382396</v>
      </c>
      <c r="M63" s="506">
        <f>SUM(H63:J63)-K63</f>
        <v>3064548.8945382396</v>
      </c>
      <c r="N63" s="507">
        <f>SUM(H63:J63)-K63</f>
        <v>3064548.8945382396</v>
      </c>
      <c r="O63" s="169"/>
      <c r="P63" s="169"/>
      <c r="Q63" s="205"/>
      <c r="R63" s="205"/>
      <c r="S63" s="205"/>
      <c r="T63" s="205"/>
      <c r="U63" s="205"/>
      <c r="V63" s="184"/>
      <c r="W63" s="184"/>
      <c r="X63" s="184"/>
      <c r="Y63" s="184"/>
      <c r="Z63" s="184"/>
      <c r="AA63" s="184"/>
      <c r="AB63" s="184"/>
      <c r="AC63" s="184"/>
      <c r="AD63" s="184"/>
      <c r="AE63" s="184"/>
      <c r="AF63" s="184"/>
      <c r="AG63" s="184"/>
      <c r="AH63" s="184"/>
      <c r="AI63" s="184"/>
      <c r="AJ63" s="184"/>
      <c r="AK63" s="184"/>
      <c r="AL63" s="184"/>
      <c r="AM63" s="184"/>
      <c r="AN63" s="184"/>
      <c r="AO63" s="184"/>
      <c r="AP63" s="184"/>
      <c r="AQ63" s="184"/>
      <c r="AR63" s="184"/>
      <c r="AS63" s="184"/>
      <c r="AT63" s="184"/>
      <c r="AU63" s="184"/>
      <c r="AV63" s="184"/>
      <c r="AW63" s="184"/>
      <c r="AX63" s="184"/>
      <c r="AY63" s="184"/>
      <c r="AZ63" s="184"/>
      <c r="BA63" s="184"/>
      <c r="BB63" s="184"/>
      <c r="BC63" s="184"/>
      <c r="BD63" s="184"/>
      <c r="BE63" s="184"/>
      <c r="BF63" s="184"/>
      <c r="BG63" s="184"/>
    </row>
    <row r="64" spans="1:59" s="185" customFormat="1" ht="19" customHeight="1">
      <c r="A64" s="87"/>
      <c r="B64" s="2194"/>
      <c r="C64" s="2194"/>
      <c r="D64" s="2191" t="s">
        <v>188</v>
      </c>
      <c r="E64" s="2192"/>
      <c r="F64" s="2192"/>
      <c r="G64" s="2193"/>
      <c r="H64" s="949" t="str">
        <f>Overview!H15</f>
        <v/>
      </c>
      <c r="I64" s="509"/>
      <c r="J64" s="625"/>
      <c r="K64" s="955"/>
      <c r="L64" s="628"/>
      <c r="M64" s="509"/>
      <c r="N64" s="510"/>
      <c r="O64" s="169"/>
      <c r="P64" s="169"/>
      <c r="Q64" s="205"/>
      <c r="R64" s="205"/>
      <c r="S64" s="205"/>
      <c r="T64" s="205"/>
      <c r="U64" s="205"/>
      <c r="V64" s="184"/>
      <c r="W64" s="184"/>
      <c r="X64" s="184"/>
      <c r="Y64" s="184"/>
      <c r="Z64" s="184"/>
      <c r="AA64" s="184"/>
      <c r="AB64" s="184"/>
      <c r="AC64" s="184"/>
      <c r="AD64" s="184"/>
      <c r="AE64" s="184"/>
      <c r="AF64" s="184"/>
      <c r="AG64" s="184"/>
      <c r="AH64" s="184"/>
      <c r="AI64" s="184"/>
      <c r="AJ64" s="184"/>
      <c r="AK64" s="184"/>
      <c r="AL64" s="184"/>
      <c r="AM64" s="184"/>
      <c r="AN64" s="184"/>
      <c r="AO64" s="184"/>
      <c r="AP64" s="184"/>
      <c r="AQ64" s="184"/>
      <c r="AR64" s="184"/>
      <c r="AS64" s="184"/>
      <c r="AT64" s="184"/>
      <c r="AU64" s="184"/>
      <c r="AV64" s="184"/>
      <c r="AW64" s="184"/>
      <c r="AX64" s="184"/>
      <c r="AY64" s="184"/>
      <c r="AZ64" s="184"/>
      <c r="BA64" s="184"/>
      <c r="BB64" s="184"/>
      <c r="BC64" s="184"/>
      <c r="BD64" s="184"/>
      <c r="BE64" s="184"/>
      <c r="BF64" s="184"/>
      <c r="BG64" s="184"/>
    </row>
    <row r="65" spans="1:59" s="185" customFormat="1" ht="19" customHeight="1">
      <c r="A65" s="87"/>
      <c r="B65" s="2194" t="s">
        <v>15</v>
      </c>
      <c r="C65" s="2194"/>
      <c r="D65" s="2191" t="s">
        <v>258</v>
      </c>
      <c r="E65" s="2192"/>
      <c r="F65" s="2192"/>
      <c r="G65" s="2193"/>
      <c r="H65" s="504">
        <f>Overview!H16</f>
        <v>3399629.61607179</v>
      </c>
      <c r="I65" s="504">
        <f>Overview!I16</f>
        <v>273104.54521759995</v>
      </c>
      <c r="J65" s="948">
        <f>Overview!J16</f>
        <v>0</v>
      </c>
      <c r="K65" s="954">
        <f>SUMIF(K17:K22,B65,J17:J22)+SUMIF(N32:N37,B65,M32:M37)+SUMIF(L47:L52,B65,K47:K52)</f>
        <v>0</v>
      </c>
      <c r="L65" s="627">
        <f>H65+I65-K65</f>
        <v>3672734.1612893902</v>
      </c>
      <c r="M65" s="506">
        <f>SUM(H65:J65)-K65</f>
        <v>3672734.1612893902</v>
      </c>
      <c r="N65" s="507">
        <f>SUM(H65:J65)-K65</f>
        <v>3672734.1612893902</v>
      </c>
      <c r="O65" s="169"/>
      <c r="P65" s="169"/>
      <c r="Q65" s="205"/>
      <c r="R65" s="205"/>
      <c r="S65" s="205"/>
      <c r="T65" s="205"/>
      <c r="U65" s="205"/>
      <c r="V65" s="184"/>
      <c r="W65" s="184"/>
      <c r="X65" s="184"/>
      <c r="Y65" s="184"/>
      <c r="Z65" s="184"/>
      <c r="AA65" s="184"/>
      <c r="AB65" s="184"/>
      <c r="AC65" s="184"/>
      <c r="AD65" s="184"/>
      <c r="AE65" s="184"/>
      <c r="AF65" s="184"/>
      <c r="AG65" s="184"/>
      <c r="AH65" s="184"/>
      <c r="AI65" s="184"/>
      <c r="AJ65" s="184"/>
      <c r="AK65" s="184"/>
      <c r="AL65" s="184"/>
      <c r="AM65" s="184"/>
      <c r="AN65" s="184"/>
      <c r="AO65" s="184"/>
      <c r="AP65" s="184"/>
      <c r="AQ65" s="184"/>
      <c r="AR65" s="184"/>
      <c r="AS65" s="184"/>
      <c r="AT65" s="184"/>
      <c r="AU65" s="184"/>
      <c r="AV65" s="184"/>
      <c r="AW65" s="184"/>
      <c r="AX65" s="184"/>
      <c r="AY65" s="184"/>
      <c r="AZ65" s="184"/>
      <c r="BA65" s="184"/>
      <c r="BB65" s="184"/>
      <c r="BC65" s="184"/>
      <c r="BD65" s="184"/>
      <c r="BE65" s="184"/>
      <c r="BF65" s="184"/>
      <c r="BG65" s="184"/>
    </row>
    <row r="66" spans="1:59" s="185" customFormat="1" ht="19" customHeight="1">
      <c r="A66" s="87"/>
      <c r="B66" s="2194" t="s">
        <v>21</v>
      </c>
      <c r="C66" s="2194"/>
      <c r="D66" s="523" t="s">
        <v>718</v>
      </c>
      <c r="E66" s="524"/>
      <c r="F66" s="524"/>
      <c r="G66" s="524"/>
      <c r="H66" s="504">
        <f>Overview!H17</f>
        <v>317152</v>
      </c>
      <c r="I66" s="509"/>
      <c r="J66" s="504">
        <f>Overview!J17</f>
        <v>187424.66</v>
      </c>
      <c r="K66" s="954">
        <f>SUMIF(K17:K22,B66,J17:J22)+SUMIF(N32:N37,B66,M32:M37)+SUMIF(L47:L52,B66,K47:K52)</f>
        <v>0</v>
      </c>
      <c r="L66" s="627">
        <f>H66+J66-K66</f>
        <v>504576.66000000003</v>
      </c>
      <c r="M66" s="506">
        <f>H66+J66-K66</f>
        <v>504576.66000000003</v>
      </c>
      <c r="N66" s="507">
        <f>H66+J66-K66</f>
        <v>504576.66000000003</v>
      </c>
      <c r="O66" s="169"/>
      <c r="P66" s="169"/>
      <c r="Q66" s="205"/>
      <c r="R66" s="205"/>
      <c r="S66" s="205"/>
      <c r="T66" s="205"/>
      <c r="U66" s="205"/>
      <c r="V66" s="184"/>
      <c r="W66" s="184"/>
      <c r="X66" s="184"/>
      <c r="Y66" s="184"/>
      <c r="Z66" s="184"/>
      <c r="AA66" s="184"/>
      <c r="AB66" s="184"/>
      <c r="AC66" s="184"/>
      <c r="AD66" s="184"/>
      <c r="AE66" s="184"/>
      <c r="AF66" s="184"/>
      <c r="AG66" s="184"/>
      <c r="AH66" s="184"/>
      <c r="AI66" s="184"/>
      <c r="AJ66" s="184"/>
      <c r="AK66" s="184"/>
      <c r="AL66" s="184"/>
      <c r="AM66" s="184"/>
      <c r="AN66" s="184"/>
      <c r="AO66" s="184"/>
      <c r="AP66" s="184"/>
      <c r="AQ66" s="184"/>
      <c r="AR66" s="184"/>
      <c r="AS66" s="184"/>
      <c r="AT66" s="184"/>
      <c r="AU66" s="184"/>
      <c r="AV66" s="184"/>
      <c r="AW66" s="184"/>
      <c r="AX66" s="184"/>
      <c r="AY66" s="184"/>
      <c r="AZ66" s="184"/>
      <c r="BA66" s="184"/>
      <c r="BB66" s="184"/>
      <c r="BC66" s="184"/>
      <c r="BD66" s="184"/>
      <c r="BE66" s="184"/>
      <c r="BF66" s="184"/>
      <c r="BG66" s="184"/>
    </row>
    <row r="67" spans="1:59" s="185" customFormat="1" ht="19" customHeight="1">
      <c r="A67" s="87"/>
      <c r="B67" s="2194"/>
      <c r="C67" s="2194"/>
      <c r="D67" s="2191" t="s">
        <v>997</v>
      </c>
      <c r="E67" s="2192"/>
      <c r="F67" s="2192"/>
      <c r="G67" s="2193"/>
      <c r="H67" s="949">
        <f>Overview!H18</f>
        <v>0</v>
      </c>
      <c r="I67" s="509"/>
      <c r="J67" s="625"/>
      <c r="K67" s="955"/>
      <c r="L67" s="628"/>
      <c r="M67" s="509"/>
      <c r="N67" s="510"/>
      <c r="O67" s="169"/>
      <c r="P67" s="169"/>
      <c r="Q67" s="205"/>
      <c r="R67" s="205"/>
      <c r="S67" s="205"/>
      <c r="T67" s="205"/>
      <c r="U67" s="205"/>
      <c r="V67" s="184"/>
      <c r="W67" s="184"/>
      <c r="X67" s="184"/>
      <c r="Y67" s="184"/>
      <c r="Z67" s="184"/>
      <c r="AA67" s="184"/>
      <c r="AB67" s="184"/>
      <c r="AC67" s="184"/>
      <c r="AD67" s="184"/>
      <c r="AE67" s="184"/>
      <c r="AF67" s="184"/>
      <c r="AG67" s="184"/>
      <c r="AH67" s="184"/>
      <c r="AI67" s="184"/>
      <c r="AJ67" s="184"/>
      <c r="AK67" s="184"/>
      <c r="AL67" s="184"/>
      <c r="AM67" s="184"/>
      <c r="AN67" s="184"/>
      <c r="AO67" s="184"/>
      <c r="AP67" s="184"/>
      <c r="AQ67" s="184"/>
      <c r="AR67" s="184"/>
      <c r="AS67" s="184"/>
      <c r="AT67" s="184"/>
      <c r="AU67" s="184"/>
      <c r="AV67" s="184"/>
      <c r="AW67" s="184"/>
      <c r="AX67" s="184"/>
      <c r="AY67" s="184"/>
      <c r="AZ67" s="184"/>
      <c r="BA67" s="184"/>
      <c r="BB67" s="184"/>
      <c r="BC67" s="184"/>
      <c r="BD67" s="184"/>
      <c r="BE67" s="184"/>
      <c r="BF67" s="184"/>
      <c r="BG67" s="184"/>
    </row>
    <row r="68" spans="1:59" s="185" customFormat="1" ht="19" customHeight="1">
      <c r="A68" s="87"/>
      <c r="B68" s="2194" t="s">
        <v>208</v>
      </c>
      <c r="C68" s="2194"/>
      <c r="D68" s="2191" t="s">
        <v>259</v>
      </c>
      <c r="E68" s="2192"/>
      <c r="F68" s="2192"/>
      <c r="G68" s="2193"/>
      <c r="H68" s="948">
        <f>Overview!H19</f>
        <v>75000</v>
      </c>
      <c r="I68" s="509"/>
      <c r="J68" s="625"/>
      <c r="K68" s="954">
        <f>SUMIF(K17:K22,B68,J17:J22)+SUMIF(N32:N37,B68,M32:M37)+SUMIF(L47:L52,B68,K47:K52)</f>
        <v>0</v>
      </c>
      <c r="L68" s="628"/>
      <c r="M68" s="506">
        <f>H68-K68</f>
        <v>75000</v>
      </c>
      <c r="N68" s="507">
        <f>H68-K68</f>
        <v>75000</v>
      </c>
      <c r="O68" s="169"/>
      <c r="P68" s="169"/>
      <c r="Q68" s="205"/>
      <c r="R68" s="205"/>
      <c r="S68" s="205"/>
      <c r="T68" s="205"/>
      <c r="U68" s="205"/>
      <c r="V68" s="184"/>
      <c r="W68" s="184"/>
      <c r="X68" s="184"/>
      <c r="Y68" s="184"/>
      <c r="Z68" s="184"/>
      <c r="AA68" s="184"/>
      <c r="AB68" s="184"/>
      <c r="AC68" s="184"/>
      <c r="AD68" s="184"/>
      <c r="AE68" s="184"/>
      <c r="AF68" s="184"/>
      <c r="AG68" s="184"/>
      <c r="AH68" s="184"/>
      <c r="AI68" s="184"/>
      <c r="AJ68" s="184"/>
      <c r="AK68" s="184"/>
      <c r="AL68" s="184"/>
      <c r="AM68" s="184"/>
      <c r="AN68" s="184"/>
      <c r="AO68" s="184"/>
      <c r="AP68" s="184"/>
      <c r="AQ68" s="184"/>
      <c r="AR68" s="184"/>
      <c r="AS68" s="184"/>
      <c r="AT68" s="184"/>
      <c r="AU68" s="184"/>
      <c r="AV68" s="184"/>
      <c r="AW68" s="184"/>
      <c r="AX68" s="184"/>
      <c r="AY68" s="184"/>
      <c r="AZ68" s="184"/>
      <c r="BA68" s="184"/>
      <c r="BB68" s="184"/>
      <c r="BC68" s="184"/>
      <c r="BD68" s="184"/>
      <c r="BE68" s="184"/>
      <c r="BF68" s="184"/>
      <c r="BG68" s="184"/>
    </row>
    <row r="69" spans="1:59" s="185" customFormat="1" ht="19" customHeight="1">
      <c r="A69" s="87"/>
      <c r="B69" s="2194" t="s">
        <v>260</v>
      </c>
      <c r="C69" s="2194"/>
      <c r="D69" s="2191" t="s">
        <v>261</v>
      </c>
      <c r="E69" s="2192"/>
      <c r="F69" s="2192"/>
      <c r="G69" s="2193"/>
      <c r="H69" s="948">
        <f>Overview!H20</f>
        <v>150000</v>
      </c>
      <c r="I69" s="509"/>
      <c r="J69" s="625"/>
      <c r="K69" s="954">
        <f>SUMIF(K17:K22,B69,J17:J22)+SUMIF(N32:N37,B69,M32:M37)+SUMIF(L47:L52,B69,K47:K52)</f>
        <v>0</v>
      </c>
      <c r="L69" s="628"/>
      <c r="M69" s="506">
        <f>H69-K69</f>
        <v>150000</v>
      </c>
      <c r="N69" s="507">
        <f>H69-K69</f>
        <v>150000</v>
      </c>
      <c r="O69" s="169"/>
      <c r="P69" s="169"/>
      <c r="Q69" s="205"/>
      <c r="R69" s="205"/>
      <c r="S69" s="205"/>
      <c r="T69" s="205"/>
      <c r="U69" s="205"/>
      <c r="V69" s="184"/>
      <c r="W69" s="184"/>
      <c r="X69" s="184"/>
      <c r="Y69" s="184"/>
      <c r="Z69" s="184"/>
      <c r="AA69" s="184"/>
      <c r="AB69" s="184"/>
      <c r="AC69" s="184"/>
      <c r="AD69" s="184"/>
      <c r="AE69" s="184"/>
      <c r="AF69" s="184"/>
      <c r="AG69" s="184"/>
      <c r="AH69" s="184"/>
      <c r="AI69" s="184"/>
      <c r="AJ69" s="184"/>
      <c r="AK69" s="184"/>
      <c r="AL69" s="184"/>
      <c r="AM69" s="184"/>
      <c r="AN69" s="184"/>
      <c r="AO69" s="184"/>
      <c r="AP69" s="184"/>
      <c r="AQ69" s="184"/>
      <c r="AR69" s="184"/>
      <c r="AS69" s="184"/>
      <c r="AT69" s="184"/>
      <c r="AU69" s="184"/>
      <c r="AV69" s="184"/>
      <c r="AW69" s="184"/>
      <c r="AX69" s="184"/>
      <c r="AY69" s="184"/>
      <c r="AZ69" s="184"/>
      <c r="BA69" s="184"/>
      <c r="BB69" s="184"/>
      <c r="BC69" s="184"/>
      <c r="BD69" s="184"/>
      <c r="BE69" s="184"/>
      <c r="BF69" s="184"/>
      <c r="BG69" s="184"/>
    </row>
    <row r="70" spans="1:59" s="185" customFormat="1" ht="19" customHeight="1">
      <c r="A70" s="87"/>
      <c r="B70" s="2194" t="s">
        <v>35</v>
      </c>
      <c r="C70" s="2194"/>
      <c r="D70" s="2191" t="s">
        <v>717</v>
      </c>
      <c r="E70" s="2192"/>
      <c r="F70" s="2192"/>
      <c r="G70" s="2193"/>
      <c r="H70" s="509"/>
      <c r="I70" s="509"/>
      <c r="J70" s="950">
        <f>Overview!J21</f>
        <v>168000</v>
      </c>
      <c r="K70" s="954">
        <f>SUMIF(K17:K22,B70,J17:J22)+SUMIF(N32:N37,B70,M32:M37)+SUMIF(L47:L52,B70,K47:K52)</f>
        <v>0</v>
      </c>
      <c r="L70" s="628"/>
      <c r="M70" s="509"/>
      <c r="N70" s="507">
        <f>SUM(J70)-K70</f>
        <v>168000</v>
      </c>
      <c r="O70" s="169"/>
      <c r="P70" s="169"/>
      <c r="Q70" s="205"/>
      <c r="R70" s="205"/>
      <c r="S70" s="205"/>
      <c r="T70" s="205"/>
      <c r="U70" s="205"/>
      <c r="V70" s="184"/>
      <c r="W70" s="184"/>
      <c r="X70" s="184"/>
      <c r="Y70" s="184"/>
      <c r="Z70" s="184"/>
      <c r="AA70" s="184"/>
      <c r="AB70" s="184"/>
      <c r="AC70" s="184"/>
      <c r="AD70" s="184"/>
      <c r="AE70" s="184"/>
      <c r="AF70" s="184"/>
      <c r="AG70" s="184"/>
      <c r="AH70" s="184"/>
      <c r="AI70" s="184"/>
      <c r="AJ70" s="184"/>
      <c r="AK70" s="184"/>
      <c r="AL70" s="184"/>
      <c r="AM70" s="184"/>
      <c r="AN70" s="184"/>
      <c r="AO70" s="184"/>
      <c r="AP70" s="184"/>
      <c r="AQ70" s="184"/>
      <c r="AR70" s="184"/>
      <c r="AS70" s="184"/>
      <c r="AT70" s="184"/>
      <c r="AU70" s="184"/>
      <c r="AV70" s="184"/>
      <c r="AW70" s="184"/>
      <c r="AX70" s="184"/>
      <c r="AY70" s="184"/>
      <c r="AZ70" s="184"/>
      <c r="BA70" s="184"/>
      <c r="BB70" s="184"/>
      <c r="BC70" s="184"/>
      <c r="BD70" s="184"/>
      <c r="BE70" s="184"/>
      <c r="BF70" s="184"/>
      <c r="BG70" s="184"/>
    </row>
    <row r="71" spans="1:59" s="185" customFormat="1" ht="31" customHeight="1">
      <c r="A71" s="87"/>
      <c r="B71" s="2190" t="s">
        <v>684</v>
      </c>
      <c r="C71" s="2190"/>
      <c r="D71" s="2190"/>
      <c r="E71" s="2190"/>
      <c r="F71" s="2190"/>
      <c r="G71" s="2190"/>
      <c r="H71" s="512">
        <f>IF(SUM(H63:H69)=0,"All territorial emissions",SUM(H63:H69))</f>
        <v>5720048.9775100295</v>
      </c>
      <c r="I71" s="513">
        <f>IF((I63+I65)=0,"",I63+I65)</f>
        <v>3059386.0783176003</v>
      </c>
      <c r="J71" s="626">
        <f>IF((J63+J65+J66)=0,"",(J63+J65+J66))</f>
        <v>187424.66</v>
      </c>
      <c r="K71" s="956">
        <f>IF((K63+K65+K66+K68+K69+K70)=0,"Total reductions",(K63+K65+K66+K68+K69+K70))</f>
        <v>1500000</v>
      </c>
      <c r="L71" s="629">
        <f>IF((L63+L65+L66)=0,"All BASIC emissions",(L63+L65+L66))</f>
        <v>7241859.7158276299</v>
      </c>
      <c r="M71" s="512">
        <f>IF((M63+M65+M66+M68+M69)=0,"All BASIC+ emissions",(M63+M65+M66+M68+M69))</f>
        <v>7466859.7158276299</v>
      </c>
      <c r="N71" s="512">
        <f>IF((N63+N65+N66+N68+N69+N70)=0,"All BASIC+ S3 emissions",(N63+N65+N66+N68+N69+N70))</f>
        <v>7634859.7158276299</v>
      </c>
      <c r="O71" s="169"/>
      <c r="P71" s="169"/>
      <c r="Q71" s="205"/>
      <c r="R71" s="205"/>
      <c r="S71" s="205"/>
      <c r="T71" s="205"/>
      <c r="U71" s="205"/>
      <c r="V71" s="184"/>
      <c r="W71" s="184"/>
      <c r="X71" s="184"/>
      <c r="Y71" s="184"/>
      <c r="Z71" s="184"/>
      <c r="AA71" s="184"/>
      <c r="AB71" s="184"/>
      <c r="AC71" s="184"/>
      <c r="AD71" s="184"/>
      <c r="AE71" s="184"/>
      <c r="AF71" s="184"/>
      <c r="AG71" s="184"/>
      <c r="AH71" s="184"/>
      <c r="AI71" s="184"/>
      <c r="AJ71" s="184"/>
      <c r="AK71" s="184"/>
      <c r="AL71" s="184"/>
      <c r="AM71" s="184"/>
      <c r="AN71" s="184"/>
      <c r="AO71" s="184"/>
      <c r="AP71" s="184"/>
      <c r="AQ71" s="184"/>
      <c r="AR71" s="184"/>
      <c r="AS71" s="184"/>
      <c r="AT71" s="184"/>
      <c r="AU71" s="184"/>
      <c r="AV71" s="184"/>
      <c r="AW71" s="184"/>
      <c r="AX71" s="184"/>
      <c r="AY71" s="184"/>
      <c r="AZ71" s="184"/>
      <c r="BA71" s="184"/>
      <c r="BB71" s="184"/>
      <c r="BC71" s="184"/>
      <c r="BD71" s="184"/>
      <c r="BE71" s="184"/>
      <c r="BF71" s="184"/>
      <c r="BG71" s="184"/>
    </row>
    <row r="72" spans="1:59" s="15" customFormat="1" ht="20" customHeight="1">
      <c r="Q72" s="205"/>
      <c r="R72" s="205"/>
      <c r="S72" s="205"/>
      <c r="T72" s="205"/>
      <c r="U72" s="205"/>
    </row>
    <row r="73" spans="1:59" customFormat="1" ht="20" hidden="1" customHeight="1">
      <c r="Q73" s="205"/>
      <c r="R73" s="205"/>
      <c r="S73" s="205"/>
      <c r="T73" s="205"/>
      <c r="U73" s="205"/>
    </row>
    <row r="74" spans="1:59" customFormat="1" ht="20" hidden="1" customHeight="1">
      <c r="Q74" s="205"/>
      <c r="R74" s="205"/>
      <c r="S74" s="205"/>
      <c r="T74" s="205"/>
      <c r="U74" s="205"/>
    </row>
    <row r="75" spans="1:59" customFormat="1" ht="20" hidden="1" customHeight="1"/>
    <row r="76" spans="1:59" customFormat="1" ht="20" hidden="1" customHeight="1"/>
    <row r="77" spans="1:59" customFormat="1" ht="20" hidden="1" customHeight="1"/>
    <row r="78" spans="1:59" customFormat="1" ht="20" hidden="1" customHeight="1"/>
    <row r="79" spans="1:59" customFormat="1" ht="20" hidden="1" customHeight="1"/>
    <row r="80" spans="1:59" customFormat="1" ht="20" hidden="1" customHeight="1"/>
    <row r="81" customFormat="1" ht="20" hidden="1" customHeight="1"/>
    <row r="82" customFormat="1" ht="20" hidden="1" customHeight="1"/>
    <row r="83" customFormat="1" ht="20" hidden="1" customHeight="1"/>
    <row r="84" customFormat="1" ht="20" hidden="1" customHeight="1"/>
    <row r="85" customFormat="1" ht="20" hidden="1" customHeight="1"/>
    <row r="86" customFormat="1" ht="20" hidden="1" customHeight="1"/>
    <row r="87" customFormat="1" ht="20" hidden="1" customHeight="1"/>
    <row r="88" customFormat="1" ht="20" hidden="1" customHeight="1"/>
    <row r="89" customFormat="1" ht="20" hidden="1" customHeight="1"/>
    <row r="90" customFormat="1" ht="20" hidden="1" customHeight="1"/>
    <row r="91" customFormat="1" ht="20" hidden="1" customHeight="1"/>
    <row r="92" customFormat="1" ht="20" hidden="1" customHeight="1"/>
    <row r="93" customFormat="1" ht="20" hidden="1" customHeight="1"/>
    <row r="94" customFormat="1" ht="20" hidden="1" customHeight="1"/>
    <row r="95" customFormat="1" ht="20" hidden="1" customHeight="1"/>
    <row r="96" customFormat="1" ht="20" hidden="1" customHeight="1"/>
    <row r="97" customFormat="1" ht="20" hidden="1" customHeight="1"/>
    <row r="98" customFormat="1" ht="20" hidden="1" customHeight="1"/>
    <row r="99" customFormat="1" ht="20" hidden="1" customHeight="1"/>
    <row r="100" customFormat="1" ht="20" hidden="1" customHeight="1"/>
    <row r="101" customFormat="1" ht="20" hidden="1" customHeight="1"/>
    <row r="102" customFormat="1" ht="20" hidden="1" customHeight="1"/>
    <row r="103" customFormat="1" ht="20" hidden="1" customHeight="1"/>
    <row r="104" customFormat="1" ht="20" hidden="1" customHeight="1"/>
    <row r="105" customFormat="1" ht="20" hidden="1" customHeight="1"/>
    <row r="106" customFormat="1" ht="20" hidden="1" customHeight="1"/>
    <row r="107" customFormat="1" ht="20" hidden="1" customHeight="1"/>
    <row r="108" customFormat="1" ht="20" hidden="1" customHeight="1"/>
    <row r="109" customFormat="1" ht="20" hidden="1" customHeight="1"/>
    <row r="110" customFormat="1" ht="20" hidden="1" customHeight="1"/>
    <row r="111" customFormat="1" ht="20" hidden="1" customHeight="1"/>
    <row r="112" customFormat="1" ht="20" hidden="1" customHeight="1"/>
    <row r="113" spans="2:2" customFormat="1" ht="20" hidden="1" customHeight="1"/>
    <row r="114" spans="2:2" customFormat="1" ht="20" hidden="1" customHeight="1"/>
    <row r="115" spans="2:2" customFormat="1" hidden="1"/>
    <row r="116" spans="2:2" customFormat="1" hidden="1"/>
    <row r="117" spans="2:2" customFormat="1" hidden="1"/>
    <row r="118" spans="2:2" customFormat="1" hidden="1"/>
    <row r="119" spans="2:2" customFormat="1" hidden="1"/>
    <row r="120" spans="2:2" customFormat="1" hidden="1"/>
    <row r="121" spans="2:2" customFormat="1" hidden="1"/>
    <row r="122" spans="2:2" customFormat="1" hidden="1"/>
    <row r="123" spans="2:2" customFormat="1" hidden="1"/>
    <row r="124" spans="2:2" customFormat="1" hidden="1"/>
    <row r="125" spans="2:2" customFormat="1" ht="44" hidden="1" customHeight="1"/>
    <row r="126" spans="2:2" customFormat="1" hidden="1"/>
    <row r="127" spans="2:2" s="182" customFormat="1" hidden="1">
      <c r="B127" s="186"/>
    </row>
    <row r="128" spans="2:2" s="182" customFormat="1" hidden="1">
      <c r="B128" s="186"/>
    </row>
    <row r="129" spans="2:2" s="182" customFormat="1" hidden="1">
      <c r="B129" s="186"/>
    </row>
    <row r="130" spans="2:2" s="182" customFormat="1" hidden="1">
      <c r="B130" s="186"/>
    </row>
    <row r="131" spans="2:2" s="182" customFormat="1" hidden="1">
      <c r="B131" s="186"/>
    </row>
    <row r="132" spans="2:2" s="182" customFormat="1" hidden="1">
      <c r="B132" s="186"/>
    </row>
    <row r="133" spans="2:2" s="182" customFormat="1" hidden="1">
      <c r="B133" s="186"/>
    </row>
    <row r="134" spans="2:2" s="182" customFormat="1" hidden="1">
      <c r="B134" s="186"/>
    </row>
    <row r="135" spans="2:2" s="182" customFormat="1" hidden="1">
      <c r="B135" s="186"/>
    </row>
    <row r="136" spans="2:2" s="182" customFormat="1" hidden="1">
      <c r="B136" s="186"/>
    </row>
    <row r="137" spans="2:2" s="182" customFormat="1" hidden="1">
      <c r="B137" s="186"/>
    </row>
    <row r="138" spans="2:2" s="182" customFormat="1" hidden="1">
      <c r="B138" s="186"/>
    </row>
    <row r="139" spans="2:2" s="182" customFormat="1" hidden="1">
      <c r="B139" s="186"/>
    </row>
    <row r="140" spans="2:2" s="182" customFormat="1" hidden="1">
      <c r="B140" s="186"/>
    </row>
    <row r="141" spans="2:2" s="182" customFormat="1" hidden="1">
      <c r="B141" s="186"/>
    </row>
    <row r="142" spans="2:2" s="182" customFormat="1" hidden="1">
      <c r="B142" s="186"/>
    </row>
    <row r="143" spans="2:2" s="182" customFormat="1" hidden="1">
      <c r="B143" s="186"/>
    </row>
    <row r="144" spans="2:2" s="182" customFormat="1" hidden="1">
      <c r="B144" s="186"/>
    </row>
    <row r="145" spans="2:2" s="182" customFormat="1" hidden="1">
      <c r="B145" s="186"/>
    </row>
    <row r="146" spans="2:2" s="182" customFormat="1" hidden="1">
      <c r="B146" s="186"/>
    </row>
    <row r="147" spans="2:2" s="182" customFormat="1" hidden="1">
      <c r="B147" s="186"/>
    </row>
    <row r="148" spans="2:2" s="182" customFormat="1" hidden="1">
      <c r="B148" s="186"/>
    </row>
    <row r="149" spans="2:2" s="182" customFormat="1" hidden="1">
      <c r="B149" s="186"/>
    </row>
    <row r="150" spans="2:2" s="182" customFormat="1" hidden="1">
      <c r="B150" s="186"/>
    </row>
    <row r="151" spans="2:2" s="182" customFormat="1" hidden="1">
      <c r="B151" s="186"/>
    </row>
    <row r="152" spans="2:2" s="182" customFormat="1" hidden="1">
      <c r="B152" s="186"/>
    </row>
    <row r="153" spans="2:2" s="182" customFormat="1" hidden="1">
      <c r="B153" s="186"/>
    </row>
    <row r="154" spans="2:2" s="182" customFormat="1" hidden="1">
      <c r="B154" s="186"/>
    </row>
    <row r="155" spans="2:2" s="182" customFormat="1" hidden="1">
      <c r="B155" s="186"/>
    </row>
    <row r="156" spans="2:2" s="182" customFormat="1" hidden="1">
      <c r="B156" s="186"/>
    </row>
    <row r="157" spans="2:2" s="182" customFormat="1" hidden="1">
      <c r="B157" s="186"/>
    </row>
    <row r="158" spans="2:2" s="182" customFormat="1" hidden="1">
      <c r="B158" s="186"/>
    </row>
    <row r="159" spans="2:2" s="182" customFormat="1" hidden="1">
      <c r="B159" s="186"/>
    </row>
    <row r="160" spans="2:2" s="182" customFormat="1" hidden="1">
      <c r="B160" s="186"/>
    </row>
    <row r="161" spans="2:2" s="182" customFormat="1" hidden="1">
      <c r="B161" s="186"/>
    </row>
    <row r="162" spans="2:2" s="182" customFormat="1" hidden="1">
      <c r="B162" s="186"/>
    </row>
    <row r="163" spans="2:2" s="182" customFormat="1" hidden="1">
      <c r="B163" s="186"/>
    </row>
    <row r="164" spans="2:2" s="182" customFormat="1" hidden="1">
      <c r="B164" s="186"/>
    </row>
    <row r="165" spans="2:2" s="182" customFormat="1" hidden="1">
      <c r="B165" s="186"/>
    </row>
    <row r="166" spans="2:2" s="182" customFormat="1" hidden="1">
      <c r="B166" s="186"/>
    </row>
    <row r="167" spans="2:2" s="182" customFormat="1" hidden="1">
      <c r="B167" s="186"/>
    </row>
    <row r="168" spans="2:2" s="182" customFormat="1" hidden="1">
      <c r="B168" s="186"/>
    </row>
    <row r="169" spans="2:2" s="182" customFormat="1" hidden="1">
      <c r="B169" s="186"/>
    </row>
    <row r="170" spans="2:2" s="182" customFormat="1" hidden="1">
      <c r="B170" s="186"/>
    </row>
    <row r="171" spans="2:2" s="182" customFormat="1" hidden="1">
      <c r="B171" s="186"/>
    </row>
    <row r="172" spans="2:2" s="182" customFormat="1" hidden="1">
      <c r="B172" s="186"/>
    </row>
    <row r="173" spans="2:2" s="182" customFormat="1" hidden="1">
      <c r="B173" s="186"/>
    </row>
    <row r="174" spans="2:2" s="182" customFormat="1" hidden="1">
      <c r="B174" s="186"/>
    </row>
    <row r="175" spans="2:2" s="182" customFormat="1" hidden="1">
      <c r="B175" s="186"/>
    </row>
    <row r="176" spans="2:2" s="182" customFormat="1" hidden="1">
      <c r="B176" s="186"/>
    </row>
    <row r="177" spans="1:59" s="182" customFormat="1" hidden="1">
      <c r="B177" s="186"/>
    </row>
    <row r="178" spans="1:59" s="182" customFormat="1" hidden="1">
      <c r="B178" s="186"/>
    </row>
    <row r="179" spans="1:59" s="182" customFormat="1" hidden="1">
      <c r="B179" s="186"/>
    </row>
    <row r="180" spans="1:59" s="182" customFormat="1" hidden="1">
      <c r="B180" s="186"/>
    </row>
    <row r="181" spans="1:59" s="182" customFormat="1" hidden="1">
      <c r="B181" s="186"/>
    </row>
    <row r="182" spans="1:59" s="182" customFormat="1" hidden="1">
      <c r="B182" s="186"/>
    </row>
    <row r="183" spans="1:59" s="182" customFormat="1" hidden="1">
      <c r="B183" s="186"/>
    </row>
    <row r="184" spans="1:59" s="182" customFormat="1" hidden="1">
      <c r="B184" s="186"/>
    </row>
    <row r="185" spans="1:59" s="182" customFormat="1" hidden="1">
      <c r="B185" s="186"/>
    </row>
    <row r="186" spans="1:59" hidden="1">
      <c r="A186" s="183"/>
      <c r="B186" s="170"/>
      <c r="C186" s="169"/>
      <c r="D186" s="169"/>
      <c r="E186" s="169"/>
      <c r="F186" s="169"/>
      <c r="G186" s="169"/>
      <c r="H186" s="169"/>
      <c r="I186" s="169"/>
      <c r="J186" s="169"/>
      <c r="K186" s="183"/>
      <c r="L186" s="183"/>
      <c r="M186" s="183"/>
      <c r="N186" s="183"/>
      <c r="O186" s="183"/>
      <c r="P186" s="183"/>
      <c r="Q186" s="183"/>
      <c r="R186" s="183"/>
      <c r="S186" s="183"/>
      <c r="T186" s="183"/>
      <c r="BD186" s="183"/>
      <c r="BE186" s="183"/>
      <c r="BF186" s="183"/>
      <c r="BG186" s="183"/>
    </row>
    <row r="187" spans="1:59" hidden="1">
      <c r="A187" s="183"/>
      <c r="B187" s="170"/>
      <c r="C187" s="169"/>
      <c r="D187" s="169"/>
      <c r="E187" s="169"/>
      <c r="F187" s="169"/>
      <c r="G187" s="169"/>
      <c r="H187" s="169"/>
      <c r="I187" s="169"/>
      <c r="J187" s="169"/>
      <c r="K187" s="183"/>
      <c r="L187" s="183"/>
      <c r="M187" s="183"/>
      <c r="N187" s="183"/>
      <c r="O187" s="183"/>
      <c r="P187" s="183"/>
      <c r="Q187" s="183"/>
      <c r="R187" s="183"/>
      <c r="S187" s="183"/>
      <c r="T187" s="183"/>
      <c r="BD187" s="183"/>
      <c r="BE187" s="183"/>
      <c r="BF187" s="183"/>
      <c r="BG187" s="183"/>
    </row>
    <row r="188" spans="1:59" hidden="1">
      <c r="A188" s="183"/>
      <c r="B188" s="170"/>
      <c r="C188" s="169"/>
      <c r="D188" s="169"/>
      <c r="E188" s="169"/>
      <c r="F188" s="169"/>
      <c r="G188" s="169"/>
      <c r="H188" s="169"/>
      <c r="I188" s="169"/>
      <c r="J188" s="169"/>
      <c r="K188" s="183"/>
      <c r="L188" s="183"/>
      <c r="M188" s="183"/>
      <c r="N188" s="183"/>
      <c r="O188" s="183"/>
      <c r="P188" s="183"/>
      <c r="Q188" s="183"/>
      <c r="R188" s="183"/>
      <c r="S188" s="183"/>
      <c r="T188" s="183"/>
      <c r="BD188" s="183"/>
      <c r="BE188" s="183"/>
      <c r="BF188" s="183"/>
      <c r="BG188" s="183"/>
    </row>
    <row r="189" spans="1:59" hidden="1">
      <c r="A189" s="183"/>
      <c r="B189" s="170"/>
      <c r="C189" s="169"/>
      <c r="D189" s="169"/>
      <c r="E189" s="169"/>
      <c r="F189" s="169"/>
      <c r="G189" s="169"/>
      <c r="H189" s="169"/>
      <c r="I189" s="169"/>
      <c r="J189" s="169"/>
      <c r="K189" s="183"/>
      <c r="L189" s="183"/>
      <c r="M189" s="183"/>
      <c r="N189" s="183"/>
      <c r="O189" s="183"/>
      <c r="P189" s="183"/>
      <c r="Q189" s="183"/>
      <c r="R189" s="183"/>
      <c r="S189" s="183"/>
      <c r="T189" s="183"/>
      <c r="BD189" s="183"/>
      <c r="BE189" s="183"/>
      <c r="BF189" s="183"/>
      <c r="BG189" s="183"/>
    </row>
    <row r="190" spans="1:59" hidden="1">
      <c r="A190" s="183"/>
      <c r="B190" s="170"/>
      <c r="C190" s="169"/>
      <c r="D190" s="169"/>
      <c r="E190" s="169"/>
      <c r="F190" s="169"/>
      <c r="G190" s="169"/>
      <c r="H190" s="169"/>
      <c r="I190" s="169"/>
      <c r="J190" s="169"/>
      <c r="K190" s="183"/>
      <c r="L190" s="183"/>
      <c r="M190" s="183"/>
      <c r="N190" s="183"/>
      <c r="O190" s="183"/>
      <c r="P190" s="183"/>
      <c r="Q190" s="183"/>
      <c r="R190" s="183"/>
      <c r="S190" s="183"/>
      <c r="T190" s="183"/>
      <c r="BD190" s="183"/>
      <c r="BE190" s="183"/>
      <c r="BF190" s="183"/>
      <c r="BG190" s="183"/>
    </row>
    <row r="191" spans="1:59" hidden="1">
      <c r="A191" s="183"/>
      <c r="B191" s="170"/>
      <c r="C191" s="169"/>
      <c r="D191" s="169"/>
      <c r="E191" s="169"/>
      <c r="F191" s="169"/>
      <c r="G191" s="169"/>
      <c r="H191" s="169"/>
      <c r="I191" s="169"/>
      <c r="J191" s="169"/>
      <c r="K191" s="183"/>
      <c r="L191" s="183"/>
      <c r="M191" s="183"/>
      <c r="N191" s="183"/>
      <c r="O191" s="183"/>
      <c r="P191" s="183"/>
      <c r="Q191" s="183"/>
      <c r="R191" s="183"/>
      <c r="S191" s="183"/>
      <c r="T191" s="183"/>
      <c r="BD191" s="183"/>
      <c r="BE191" s="183"/>
      <c r="BF191" s="183"/>
      <c r="BG191" s="183"/>
    </row>
    <row r="192" spans="1:59" hidden="1">
      <c r="A192" s="183"/>
      <c r="B192" s="170"/>
      <c r="C192" s="169"/>
      <c r="D192" s="169"/>
      <c r="E192" s="169"/>
      <c r="F192" s="169"/>
      <c r="G192" s="169"/>
      <c r="H192" s="169"/>
      <c r="I192" s="169"/>
      <c r="J192" s="169"/>
      <c r="K192" s="183"/>
      <c r="L192" s="183"/>
      <c r="M192" s="183"/>
      <c r="N192" s="183"/>
      <c r="O192" s="183"/>
      <c r="P192" s="183"/>
      <c r="Q192" s="183"/>
      <c r="R192" s="183"/>
      <c r="S192" s="183"/>
      <c r="T192" s="183"/>
      <c r="BD192" s="183"/>
      <c r="BE192" s="183"/>
      <c r="BF192" s="183"/>
      <c r="BG192" s="183"/>
    </row>
    <row r="193" spans="1:59" hidden="1">
      <c r="A193" s="183"/>
      <c r="B193" s="170"/>
      <c r="C193" s="169"/>
      <c r="D193" s="169"/>
      <c r="E193" s="169"/>
      <c r="F193" s="169"/>
      <c r="G193" s="169"/>
      <c r="H193" s="169"/>
      <c r="I193" s="169"/>
      <c r="J193" s="169"/>
      <c r="K193" s="183"/>
      <c r="L193" s="183"/>
      <c r="M193" s="183"/>
      <c r="N193" s="183"/>
      <c r="O193" s="183"/>
      <c r="P193" s="183"/>
      <c r="Q193" s="183"/>
      <c r="R193" s="183"/>
      <c r="S193" s="183"/>
      <c r="T193" s="183"/>
      <c r="BD193" s="183"/>
      <c r="BE193" s="183"/>
      <c r="BF193" s="183"/>
      <c r="BG193" s="183"/>
    </row>
    <row r="194" spans="1:59" hidden="1">
      <c r="A194" s="183"/>
      <c r="B194" s="170"/>
      <c r="C194" s="169"/>
      <c r="D194" s="169"/>
      <c r="E194" s="169"/>
      <c r="F194" s="169"/>
      <c r="G194" s="169"/>
      <c r="H194" s="169"/>
      <c r="I194" s="169"/>
      <c r="J194" s="169"/>
      <c r="K194" s="183"/>
      <c r="L194" s="183"/>
      <c r="M194" s="183"/>
      <c r="N194" s="183"/>
      <c r="O194" s="183"/>
      <c r="P194" s="183"/>
      <c r="Q194" s="183"/>
      <c r="R194" s="183"/>
      <c r="S194" s="183"/>
      <c r="T194" s="183"/>
      <c r="BD194" s="183"/>
      <c r="BE194" s="183"/>
      <c r="BF194" s="183"/>
      <c r="BG194" s="183"/>
    </row>
    <row r="195" spans="1:59" hidden="1">
      <c r="A195" s="183"/>
      <c r="B195" s="170"/>
      <c r="C195" s="169"/>
      <c r="D195" s="169"/>
      <c r="E195" s="169"/>
      <c r="F195" s="169"/>
      <c r="G195" s="169"/>
      <c r="H195" s="169"/>
      <c r="I195" s="169"/>
      <c r="J195" s="169"/>
      <c r="K195" s="183"/>
      <c r="L195" s="183"/>
      <c r="M195" s="183"/>
      <c r="N195" s="183"/>
      <c r="O195" s="183"/>
      <c r="P195" s="183"/>
      <c r="Q195" s="183"/>
      <c r="R195" s="183"/>
      <c r="S195" s="183"/>
      <c r="T195" s="183"/>
      <c r="BD195" s="183"/>
      <c r="BE195" s="183"/>
      <c r="BF195" s="183"/>
      <c r="BG195" s="183"/>
    </row>
    <row r="196" spans="1:59" hidden="1">
      <c r="A196" s="183"/>
      <c r="B196" s="170"/>
      <c r="C196" s="169"/>
      <c r="D196" s="169"/>
      <c r="E196" s="169"/>
      <c r="F196" s="169"/>
      <c r="G196" s="169"/>
      <c r="H196" s="169"/>
      <c r="I196" s="169"/>
      <c r="J196" s="169"/>
      <c r="K196" s="183"/>
      <c r="L196" s="183"/>
      <c r="M196" s="183"/>
      <c r="N196" s="183"/>
      <c r="O196" s="183"/>
      <c r="P196" s="183"/>
      <c r="Q196" s="183"/>
      <c r="R196" s="183"/>
      <c r="S196" s="183"/>
      <c r="T196" s="183"/>
      <c r="BD196" s="183"/>
      <c r="BE196" s="183"/>
      <c r="BF196" s="183"/>
      <c r="BG196" s="183"/>
    </row>
    <row r="197" spans="1:59" hidden="1">
      <c r="A197" s="183"/>
      <c r="B197" s="170"/>
      <c r="C197" s="169"/>
      <c r="D197" s="169"/>
      <c r="E197" s="169"/>
      <c r="F197" s="169"/>
      <c r="G197" s="169"/>
      <c r="H197" s="169"/>
      <c r="I197" s="169"/>
      <c r="J197" s="169"/>
      <c r="K197" s="183"/>
      <c r="L197" s="183"/>
      <c r="M197" s="183"/>
      <c r="N197" s="183"/>
      <c r="O197" s="183"/>
      <c r="P197" s="183"/>
      <c r="Q197" s="183"/>
      <c r="R197" s="183"/>
      <c r="S197" s="183"/>
      <c r="T197" s="183"/>
      <c r="BD197" s="183"/>
      <c r="BE197" s="183"/>
      <c r="BF197" s="183"/>
      <c r="BG197" s="183"/>
    </row>
    <row r="198" spans="1:59" hidden="1">
      <c r="A198" s="183"/>
      <c r="B198" s="170"/>
      <c r="C198" s="169"/>
      <c r="D198" s="169"/>
      <c r="E198" s="169"/>
      <c r="F198" s="169"/>
      <c r="G198" s="169"/>
      <c r="H198" s="169"/>
      <c r="I198" s="169"/>
      <c r="J198" s="169"/>
      <c r="K198" s="183"/>
      <c r="L198" s="183"/>
      <c r="M198" s="183"/>
      <c r="N198" s="183"/>
      <c r="O198" s="183"/>
      <c r="P198" s="183"/>
      <c r="Q198" s="183"/>
      <c r="R198" s="183"/>
      <c r="S198" s="183"/>
      <c r="T198" s="183"/>
      <c r="BD198" s="183"/>
      <c r="BE198" s="183"/>
      <c r="BF198" s="183"/>
      <c r="BG198" s="183"/>
    </row>
    <row r="199" spans="1:59" hidden="1">
      <c r="A199" s="183"/>
      <c r="B199" s="170"/>
      <c r="C199" s="169"/>
      <c r="D199" s="169"/>
      <c r="E199" s="169"/>
      <c r="F199" s="169"/>
      <c r="G199" s="169"/>
      <c r="H199" s="169"/>
      <c r="I199" s="169"/>
      <c r="J199" s="169"/>
      <c r="K199" s="183"/>
      <c r="L199" s="183"/>
      <c r="M199" s="183"/>
      <c r="N199" s="183"/>
      <c r="O199" s="183"/>
      <c r="P199" s="183"/>
      <c r="Q199" s="183"/>
      <c r="R199" s="183"/>
      <c r="S199" s="183"/>
      <c r="T199" s="183"/>
      <c r="BD199" s="183"/>
      <c r="BE199" s="183"/>
      <c r="BF199" s="183"/>
      <c r="BG199" s="183"/>
    </row>
    <row r="200" spans="1:59" hidden="1">
      <c r="A200" s="183"/>
      <c r="B200" s="170"/>
      <c r="C200" s="169"/>
      <c r="D200" s="169"/>
      <c r="E200" s="169"/>
      <c r="F200" s="169"/>
      <c r="G200" s="169"/>
      <c r="H200" s="169"/>
      <c r="I200" s="169"/>
      <c r="J200" s="169"/>
      <c r="K200" s="183"/>
      <c r="L200" s="183"/>
      <c r="M200" s="183"/>
      <c r="N200" s="183"/>
      <c r="O200" s="183"/>
      <c r="P200" s="183"/>
      <c r="Q200" s="183"/>
      <c r="R200" s="183"/>
      <c r="S200" s="183"/>
      <c r="T200" s="183"/>
      <c r="BD200" s="183"/>
      <c r="BE200" s="183"/>
      <c r="BF200" s="183"/>
      <c r="BG200" s="183"/>
    </row>
    <row r="201" spans="1:59" hidden="1">
      <c r="A201" s="183"/>
      <c r="B201" s="170"/>
      <c r="C201" s="169"/>
      <c r="D201" s="169"/>
      <c r="E201" s="169"/>
      <c r="F201" s="169"/>
      <c r="G201" s="169"/>
      <c r="H201" s="169"/>
      <c r="I201" s="169"/>
      <c r="J201" s="169"/>
      <c r="K201" s="183"/>
      <c r="L201" s="183"/>
      <c r="M201" s="183"/>
      <c r="N201" s="183"/>
      <c r="O201" s="183"/>
      <c r="P201" s="183"/>
      <c r="Q201" s="183"/>
      <c r="R201" s="183"/>
      <c r="S201" s="183"/>
      <c r="T201" s="183"/>
      <c r="BD201" s="183"/>
      <c r="BE201" s="183"/>
      <c r="BF201" s="183"/>
      <c r="BG201" s="183"/>
    </row>
    <row r="202" spans="1:59" hidden="1">
      <c r="A202" s="183"/>
      <c r="B202" s="170"/>
      <c r="C202" s="169"/>
      <c r="D202" s="169"/>
      <c r="E202" s="169"/>
      <c r="F202" s="169"/>
      <c r="G202" s="169"/>
      <c r="H202" s="169"/>
      <c r="I202" s="169"/>
      <c r="J202" s="169"/>
      <c r="K202" s="183"/>
      <c r="L202" s="183"/>
      <c r="M202" s="183"/>
      <c r="N202" s="183"/>
      <c r="O202" s="183"/>
      <c r="P202" s="183"/>
      <c r="Q202" s="183"/>
      <c r="R202" s="183"/>
      <c r="S202" s="183"/>
      <c r="T202" s="183"/>
      <c r="BD202" s="183"/>
      <c r="BE202" s="183"/>
      <c r="BF202" s="183"/>
      <c r="BG202" s="183"/>
    </row>
    <row r="203" spans="1:59" hidden="1">
      <c r="A203" s="183"/>
      <c r="B203" s="170"/>
      <c r="C203" s="169"/>
      <c r="D203" s="169"/>
      <c r="E203" s="169"/>
      <c r="F203" s="169"/>
      <c r="G203" s="169"/>
      <c r="H203" s="169"/>
      <c r="I203" s="169"/>
      <c r="J203" s="169"/>
      <c r="K203" s="183"/>
      <c r="L203" s="183"/>
      <c r="M203" s="183"/>
      <c r="N203" s="183"/>
      <c r="O203" s="183"/>
      <c r="P203" s="183"/>
      <c r="Q203" s="183"/>
      <c r="R203" s="183"/>
      <c r="S203" s="183"/>
      <c r="T203" s="183"/>
      <c r="BD203" s="183"/>
      <c r="BE203" s="183"/>
      <c r="BF203" s="183"/>
      <c r="BG203" s="183"/>
    </row>
    <row r="204" spans="1:59" hidden="1">
      <c r="A204" s="183"/>
      <c r="B204" s="170"/>
      <c r="C204" s="169"/>
      <c r="D204" s="169"/>
      <c r="E204" s="169"/>
      <c r="F204" s="169"/>
      <c r="G204" s="169"/>
      <c r="H204" s="169"/>
      <c r="I204" s="169"/>
      <c r="J204" s="169"/>
      <c r="K204" s="183"/>
      <c r="L204" s="183"/>
      <c r="M204" s="183"/>
      <c r="N204" s="183"/>
      <c r="O204" s="183"/>
      <c r="P204" s="183"/>
      <c r="Q204" s="183"/>
      <c r="R204" s="183"/>
      <c r="S204" s="183"/>
      <c r="T204" s="183"/>
      <c r="BD204" s="183"/>
      <c r="BE204" s="183"/>
      <c r="BF204" s="183"/>
      <c r="BG204" s="183"/>
    </row>
    <row r="205" spans="1:59" hidden="1">
      <c r="A205" s="183"/>
      <c r="B205" s="170"/>
      <c r="C205" s="169"/>
      <c r="D205" s="169"/>
      <c r="E205" s="169"/>
      <c r="F205" s="169"/>
      <c r="G205" s="169"/>
      <c r="H205" s="169"/>
      <c r="I205" s="169"/>
      <c r="J205" s="169"/>
      <c r="K205" s="183"/>
      <c r="L205" s="183"/>
      <c r="M205" s="183"/>
      <c r="N205" s="183"/>
      <c r="O205" s="183"/>
      <c r="P205" s="183"/>
      <c r="Q205" s="183"/>
      <c r="R205" s="183"/>
      <c r="S205" s="183"/>
      <c r="T205" s="183"/>
      <c r="BD205" s="183"/>
      <c r="BE205" s="183"/>
      <c r="BF205" s="183"/>
      <c r="BG205" s="183"/>
    </row>
    <row r="206" spans="1:59" hidden="1">
      <c r="A206" s="183"/>
      <c r="B206" s="170"/>
      <c r="C206" s="169"/>
      <c r="D206" s="169"/>
      <c r="E206" s="169"/>
      <c r="F206" s="169"/>
      <c r="G206" s="169"/>
      <c r="H206" s="169"/>
      <c r="I206" s="169"/>
      <c r="J206" s="169"/>
      <c r="K206" s="183"/>
      <c r="L206" s="183"/>
      <c r="M206" s="183"/>
      <c r="N206" s="183"/>
      <c r="O206" s="183"/>
      <c r="P206" s="183"/>
      <c r="Q206" s="183"/>
      <c r="R206" s="183"/>
      <c r="S206" s="183"/>
      <c r="T206" s="183"/>
      <c r="BD206" s="183"/>
      <c r="BE206" s="183"/>
      <c r="BF206" s="183"/>
      <c r="BG206" s="183"/>
    </row>
    <row r="207" spans="1:59" hidden="1">
      <c r="A207" s="183"/>
      <c r="B207" s="170"/>
      <c r="C207" s="169"/>
      <c r="D207" s="169"/>
      <c r="E207" s="169"/>
      <c r="F207" s="169"/>
      <c r="G207" s="169"/>
      <c r="H207" s="169"/>
      <c r="I207" s="169"/>
      <c r="J207" s="169"/>
      <c r="K207" s="183"/>
      <c r="L207" s="183"/>
      <c r="M207" s="183"/>
      <c r="N207" s="183"/>
      <c r="O207" s="183"/>
      <c r="P207" s="183"/>
      <c r="Q207" s="183"/>
      <c r="R207" s="183"/>
      <c r="S207" s="183"/>
      <c r="T207" s="183"/>
      <c r="BD207" s="183"/>
      <c r="BE207" s="183"/>
      <c r="BF207" s="183"/>
      <c r="BG207" s="183"/>
    </row>
    <row r="208" spans="1:59" hidden="1">
      <c r="A208" s="183"/>
      <c r="B208" s="170"/>
      <c r="C208" s="169"/>
      <c r="D208" s="169"/>
      <c r="E208" s="169"/>
      <c r="F208" s="169"/>
      <c r="G208" s="169"/>
      <c r="H208" s="169"/>
      <c r="I208" s="169"/>
      <c r="J208" s="169"/>
      <c r="K208" s="183"/>
      <c r="L208" s="183"/>
      <c r="M208" s="183"/>
      <c r="N208" s="183"/>
      <c r="O208" s="183"/>
      <c r="P208" s="183"/>
      <c r="Q208" s="183"/>
      <c r="R208" s="183"/>
      <c r="S208" s="183"/>
      <c r="T208" s="183"/>
      <c r="BD208" s="183"/>
      <c r="BE208" s="183"/>
      <c r="BF208" s="183"/>
      <c r="BG208" s="183"/>
    </row>
    <row r="209" spans="1:59" hidden="1">
      <c r="A209" s="183"/>
      <c r="B209" s="170"/>
      <c r="C209" s="169"/>
      <c r="D209" s="169"/>
      <c r="E209" s="169"/>
      <c r="F209" s="169"/>
      <c r="G209" s="169"/>
      <c r="H209" s="169"/>
      <c r="I209" s="169"/>
      <c r="J209" s="169"/>
      <c r="K209" s="183"/>
      <c r="L209" s="183"/>
      <c r="M209" s="183"/>
      <c r="N209" s="183"/>
      <c r="O209" s="183"/>
      <c r="P209" s="183"/>
      <c r="Q209" s="183"/>
      <c r="R209" s="183"/>
      <c r="S209" s="183"/>
      <c r="T209" s="183"/>
      <c r="BD209" s="183"/>
      <c r="BE209" s="183"/>
      <c r="BF209" s="183"/>
      <c r="BG209" s="183"/>
    </row>
    <row r="210" spans="1:59" hidden="1">
      <c r="A210" s="183"/>
      <c r="B210" s="170"/>
      <c r="C210" s="169"/>
      <c r="D210" s="169"/>
      <c r="E210" s="169"/>
      <c r="F210" s="169"/>
      <c r="G210" s="169"/>
      <c r="H210" s="169"/>
      <c r="I210" s="169"/>
      <c r="J210" s="169"/>
      <c r="K210" s="183"/>
      <c r="L210" s="183"/>
      <c r="M210" s="183"/>
      <c r="N210" s="183"/>
      <c r="O210" s="183"/>
      <c r="P210" s="183"/>
      <c r="Q210" s="183"/>
      <c r="R210" s="183"/>
      <c r="S210" s="183"/>
      <c r="T210" s="183"/>
      <c r="BD210" s="183"/>
      <c r="BE210" s="183"/>
      <c r="BF210" s="183"/>
      <c r="BG210" s="183"/>
    </row>
    <row r="211" spans="1:59" hidden="1">
      <c r="A211" s="183"/>
      <c r="B211" s="170"/>
      <c r="C211" s="169"/>
      <c r="D211" s="169"/>
      <c r="E211" s="169"/>
      <c r="F211" s="169"/>
      <c r="G211" s="169"/>
      <c r="H211" s="169"/>
      <c r="I211" s="169"/>
      <c r="J211" s="169"/>
      <c r="K211" s="183"/>
      <c r="L211" s="183"/>
      <c r="M211" s="183"/>
      <c r="N211" s="183"/>
      <c r="O211" s="183"/>
      <c r="P211" s="183"/>
      <c r="Q211" s="183"/>
      <c r="R211" s="183"/>
      <c r="S211" s="183"/>
      <c r="T211" s="183"/>
      <c r="BD211" s="183"/>
      <c r="BE211" s="183"/>
      <c r="BF211" s="183"/>
      <c r="BG211" s="183"/>
    </row>
    <row r="212" spans="1:59" hidden="1">
      <c r="A212" s="183"/>
      <c r="B212" s="170"/>
      <c r="C212" s="169"/>
      <c r="D212" s="169"/>
      <c r="E212" s="169"/>
      <c r="F212" s="169"/>
      <c r="G212" s="169"/>
      <c r="H212" s="169"/>
      <c r="I212" s="169"/>
      <c r="J212" s="169"/>
      <c r="K212" s="183"/>
      <c r="L212" s="183"/>
      <c r="M212" s="183"/>
      <c r="N212" s="183"/>
      <c r="O212" s="183"/>
      <c r="P212" s="183"/>
      <c r="Q212" s="183"/>
      <c r="R212" s="183"/>
      <c r="S212" s="183"/>
      <c r="T212" s="183"/>
      <c r="BD212" s="183"/>
      <c r="BE212" s="183"/>
      <c r="BF212" s="183"/>
      <c r="BG212" s="183"/>
    </row>
    <row r="213" spans="1:59" hidden="1">
      <c r="A213" s="183"/>
      <c r="B213" s="170"/>
      <c r="C213" s="169"/>
      <c r="D213" s="169"/>
      <c r="E213" s="169"/>
      <c r="F213" s="169"/>
      <c r="G213" s="169"/>
      <c r="H213" s="169"/>
      <c r="I213" s="169"/>
      <c r="J213" s="169"/>
      <c r="K213" s="183"/>
      <c r="L213" s="183"/>
      <c r="M213" s="183"/>
      <c r="N213" s="183"/>
      <c r="O213" s="183"/>
      <c r="P213" s="183"/>
      <c r="Q213" s="183"/>
      <c r="R213" s="183"/>
      <c r="S213" s="183"/>
      <c r="T213" s="183"/>
      <c r="BD213" s="183"/>
      <c r="BE213" s="183"/>
      <c r="BF213" s="183"/>
      <c r="BG213" s="183"/>
    </row>
    <row r="214" spans="1:59" hidden="1">
      <c r="A214" s="183"/>
      <c r="B214" s="170"/>
      <c r="C214" s="169"/>
      <c r="D214" s="169"/>
      <c r="E214" s="169"/>
      <c r="F214" s="169"/>
      <c r="G214" s="169"/>
      <c r="H214" s="169"/>
      <c r="I214" s="169"/>
      <c r="J214" s="169"/>
      <c r="K214" s="183"/>
      <c r="L214" s="183"/>
      <c r="M214" s="183"/>
      <c r="N214" s="183"/>
      <c r="O214" s="183"/>
      <c r="P214" s="183"/>
      <c r="Q214" s="183"/>
      <c r="R214" s="183"/>
      <c r="S214" s="183"/>
      <c r="T214" s="183"/>
      <c r="BD214" s="183"/>
      <c r="BE214" s="183"/>
      <c r="BF214" s="183"/>
      <c r="BG214" s="183"/>
    </row>
    <row r="215" spans="1:59" hidden="1">
      <c r="A215" s="183"/>
      <c r="B215" s="170"/>
      <c r="C215" s="169"/>
      <c r="D215" s="169"/>
      <c r="E215" s="169"/>
      <c r="F215" s="169"/>
      <c r="G215" s="169"/>
      <c r="H215" s="169"/>
      <c r="I215" s="169"/>
      <c r="J215" s="169"/>
      <c r="K215" s="183"/>
      <c r="L215" s="183"/>
      <c r="M215" s="183"/>
      <c r="N215" s="183"/>
      <c r="O215" s="183"/>
      <c r="P215" s="183"/>
      <c r="Q215" s="183"/>
      <c r="R215" s="183"/>
      <c r="S215" s="183"/>
      <c r="T215" s="183"/>
      <c r="BD215" s="183"/>
      <c r="BE215" s="183"/>
      <c r="BF215" s="183"/>
      <c r="BG215" s="183"/>
    </row>
    <row r="216" spans="1:59" hidden="1">
      <c r="A216" s="183"/>
      <c r="B216" s="170"/>
      <c r="C216" s="169"/>
      <c r="D216" s="169"/>
      <c r="E216" s="169"/>
      <c r="F216" s="169"/>
      <c r="G216" s="169"/>
      <c r="H216" s="169"/>
      <c r="I216" s="169"/>
      <c r="J216" s="169"/>
      <c r="K216" s="183"/>
      <c r="L216" s="183"/>
      <c r="M216" s="183"/>
      <c r="N216" s="183"/>
      <c r="O216" s="183"/>
      <c r="P216" s="183"/>
      <c r="Q216" s="183"/>
      <c r="R216" s="183"/>
      <c r="S216" s="183"/>
      <c r="T216" s="183"/>
      <c r="BD216" s="183"/>
      <c r="BE216" s="183"/>
      <c r="BF216" s="183"/>
      <c r="BG216" s="183"/>
    </row>
    <row r="217" spans="1:59" hidden="1">
      <c r="A217" s="183"/>
      <c r="B217" s="170"/>
      <c r="C217" s="169"/>
      <c r="D217" s="169"/>
      <c r="E217" s="169"/>
      <c r="F217" s="169"/>
      <c r="G217" s="169"/>
      <c r="H217" s="169"/>
      <c r="I217" s="169"/>
      <c r="J217" s="169"/>
      <c r="K217" s="183"/>
      <c r="L217" s="183"/>
      <c r="M217" s="183"/>
      <c r="N217" s="183"/>
      <c r="O217" s="183"/>
      <c r="P217" s="183"/>
      <c r="Q217" s="183"/>
      <c r="R217" s="183"/>
      <c r="S217" s="183"/>
      <c r="T217" s="183"/>
      <c r="BD217" s="183"/>
      <c r="BE217" s="183"/>
      <c r="BF217" s="183"/>
      <c r="BG217" s="183"/>
    </row>
    <row r="218" spans="1:59" hidden="1">
      <c r="A218" s="183"/>
      <c r="B218" s="170"/>
      <c r="C218" s="169"/>
      <c r="D218" s="169"/>
      <c r="E218" s="169"/>
      <c r="F218" s="169"/>
      <c r="G218" s="169"/>
      <c r="H218" s="169"/>
      <c r="I218" s="169"/>
      <c r="J218" s="169"/>
      <c r="K218" s="183"/>
      <c r="L218" s="183"/>
      <c r="M218" s="183"/>
      <c r="N218" s="183"/>
      <c r="O218" s="183"/>
      <c r="P218" s="183"/>
      <c r="Q218" s="183"/>
      <c r="R218" s="183"/>
      <c r="S218" s="183"/>
      <c r="T218" s="183"/>
      <c r="BD218" s="183"/>
      <c r="BE218" s="183"/>
      <c r="BF218" s="183"/>
      <c r="BG218" s="183"/>
    </row>
    <row r="219" spans="1:59" hidden="1">
      <c r="A219" s="183"/>
      <c r="B219" s="170"/>
      <c r="C219" s="169"/>
      <c r="D219" s="169"/>
      <c r="E219" s="169"/>
      <c r="F219" s="169"/>
      <c r="G219" s="169"/>
      <c r="H219" s="169"/>
      <c r="I219" s="169"/>
      <c r="J219" s="169"/>
      <c r="K219" s="183"/>
      <c r="L219" s="183"/>
      <c r="M219" s="183"/>
      <c r="N219" s="183"/>
      <c r="O219" s="183"/>
      <c r="P219" s="183"/>
      <c r="Q219" s="183"/>
      <c r="R219" s="183"/>
      <c r="S219" s="183"/>
      <c r="T219" s="183"/>
      <c r="BD219" s="183"/>
      <c r="BE219" s="183"/>
      <c r="BF219" s="183"/>
      <c r="BG219" s="183"/>
    </row>
    <row r="220" spans="1:59" hidden="1">
      <c r="A220" s="183"/>
      <c r="B220" s="170"/>
      <c r="C220" s="169"/>
      <c r="D220" s="169"/>
      <c r="E220" s="169"/>
      <c r="F220" s="169"/>
      <c r="G220" s="169"/>
      <c r="H220" s="169"/>
      <c r="I220" s="169"/>
      <c r="J220" s="169"/>
      <c r="K220" s="183"/>
      <c r="L220" s="183"/>
      <c r="M220" s="183"/>
      <c r="N220" s="183"/>
      <c r="O220" s="183"/>
      <c r="P220" s="183"/>
      <c r="Q220" s="183"/>
      <c r="R220" s="183"/>
      <c r="S220" s="183"/>
      <c r="T220" s="183"/>
      <c r="BD220" s="183"/>
      <c r="BE220" s="183"/>
      <c r="BF220" s="183"/>
      <c r="BG220" s="183"/>
    </row>
    <row r="221" spans="1:59" hidden="1">
      <c r="A221" s="183"/>
      <c r="B221" s="170"/>
      <c r="C221" s="169"/>
      <c r="D221" s="169"/>
      <c r="E221" s="169"/>
      <c r="F221" s="169"/>
      <c r="G221" s="169"/>
      <c r="H221" s="169"/>
      <c r="I221" s="169"/>
      <c r="J221" s="169"/>
      <c r="K221" s="183"/>
      <c r="L221" s="183"/>
      <c r="M221" s="183"/>
      <c r="N221" s="183"/>
      <c r="O221" s="183"/>
      <c r="P221" s="183"/>
      <c r="Q221" s="183"/>
      <c r="R221" s="183"/>
      <c r="S221" s="183"/>
      <c r="T221" s="183"/>
      <c r="BD221" s="183"/>
      <c r="BE221" s="183"/>
      <c r="BF221" s="183"/>
      <c r="BG221" s="183"/>
    </row>
    <row r="222" spans="1:59" hidden="1">
      <c r="A222" s="183"/>
      <c r="B222" s="170"/>
      <c r="C222" s="169"/>
      <c r="D222" s="169"/>
      <c r="E222" s="169"/>
      <c r="F222" s="169"/>
      <c r="G222" s="169"/>
      <c r="H222" s="169"/>
      <c r="I222" s="169"/>
      <c r="J222" s="169"/>
      <c r="K222" s="183"/>
      <c r="L222" s="183"/>
      <c r="M222" s="183"/>
      <c r="N222" s="183"/>
      <c r="O222" s="183"/>
      <c r="P222" s="183"/>
      <c r="Q222" s="183"/>
      <c r="R222" s="183"/>
      <c r="S222" s="183"/>
      <c r="T222" s="183"/>
      <c r="BD222" s="183"/>
      <c r="BE222" s="183"/>
      <c r="BF222" s="183"/>
      <c r="BG222" s="183"/>
    </row>
    <row r="223" spans="1:59" hidden="1">
      <c r="A223" s="183"/>
      <c r="B223" s="170"/>
      <c r="C223" s="169"/>
      <c r="D223" s="169"/>
      <c r="E223" s="169"/>
      <c r="F223" s="169"/>
      <c r="G223" s="169"/>
      <c r="H223" s="169"/>
      <c r="I223" s="169"/>
      <c r="J223" s="169"/>
      <c r="K223" s="183"/>
      <c r="L223" s="183"/>
      <c r="M223" s="183"/>
      <c r="N223" s="183"/>
      <c r="O223" s="183"/>
      <c r="P223" s="183"/>
      <c r="Q223" s="183"/>
      <c r="R223" s="183"/>
      <c r="S223" s="183"/>
      <c r="T223" s="183"/>
      <c r="BD223" s="183"/>
      <c r="BE223" s="183"/>
      <c r="BF223" s="183"/>
      <c r="BG223" s="183"/>
    </row>
    <row r="224" spans="1:59" hidden="1">
      <c r="A224" s="183"/>
      <c r="B224" s="170"/>
      <c r="C224" s="169"/>
      <c r="D224" s="169"/>
      <c r="E224" s="169"/>
      <c r="F224" s="169"/>
      <c r="G224" s="169"/>
      <c r="H224" s="169"/>
      <c r="I224" s="169"/>
      <c r="J224" s="169"/>
      <c r="K224" s="183"/>
      <c r="L224" s="183"/>
      <c r="M224" s="183"/>
      <c r="N224" s="183"/>
      <c r="O224" s="183"/>
      <c r="P224" s="183"/>
      <c r="Q224" s="183"/>
      <c r="R224" s="183"/>
      <c r="S224" s="183"/>
      <c r="T224" s="183"/>
      <c r="BD224" s="183"/>
      <c r="BE224" s="183"/>
      <c r="BF224" s="183"/>
      <c r="BG224" s="183"/>
    </row>
    <row r="225" spans="1:59" hidden="1">
      <c r="A225" s="183"/>
      <c r="B225" s="170"/>
      <c r="C225" s="169"/>
      <c r="D225" s="169"/>
      <c r="E225" s="169"/>
      <c r="F225" s="169"/>
      <c r="G225" s="169"/>
      <c r="H225" s="169"/>
      <c r="I225" s="169"/>
      <c r="J225" s="169"/>
      <c r="K225" s="183"/>
      <c r="L225" s="183"/>
      <c r="M225" s="183"/>
      <c r="N225" s="183"/>
      <c r="O225" s="183"/>
      <c r="P225" s="183"/>
      <c r="Q225" s="183"/>
      <c r="R225" s="183"/>
      <c r="S225" s="183"/>
      <c r="T225" s="183"/>
      <c r="BD225" s="183"/>
      <c r="BE225" s="183"/>
      <c r="BF225" s="183"/>
      <c r="BG225" s="183"/>
    </row>
    <row r="226" spans="1:59" hidden="1">
      <c r="A226" s="183"/>
      <c r="B226" s="170"/>
      <c r="C226" s="169"/>
      <c r="D226" s="169"/>
      <c r="E226" s="169"/>
      <c r="F226" s="169"/>
      <c r="G226" s="169"/>
      <c r="H226" s="169"/>
      <c r="I226" s="169"/>
      <c r="J226" s="169"/>
      <c r="K226" s="183"/>
      <c r="L226" s="183"/>
      <c r="M226" s="183"/>
      <c r="N226" s="183"/>
      <c r="O226" s="183"/>
      <c r="P226" s="183"/>
      <c r="Q226" s="183"/>
      <c r="R226" s="183"/>
      <c r="S226" s="183"/>
      <c r="T226" s="183"/>
      <c r="BD226" s="183"/>
      <c r="BE226" s="183"/>
      <c r="BF226" s="183"/>
      <c r="BG226" s="183"/>
    </row>
    <row r="227" spans="1:59" hidden="1">
      <c r="A227" s="183"/>
      <c r="B227" s="170"/>
      <c r="C227" s="169"/>
      <c r="D227" s="169"/>
      <c r="E227" s="169"/>
      <c r="F227" s="169"/>
      <c r="G227" s="169"/>
      <c r="H227" s="169"/>
      <c r="I227" s="169"/>
      <c r="J227" s="169"/>
      <c r="K227" s="183"/>
      <c r="L227" s="183"/>
      <c r="M227" s="183"/>
      <c r="N227" s="183"/>
      <c r="O227" s="183"/>
      <c r="P227" s="183"/>
      <c r="Q227" s="183"/>
      <c r="R227" s="183"/>
      <c r="S227" s="183"/>
      <c r="T227" s="183"/>
      <c r="BD227" s="183"/>
      <c r="BE227" s="183"/>
      <c r="BF227" s="183"/>
      <c r="BG227" s="183"/>
    </row>
    <row r="228" spans="1:59" hidden="1">
      <c r="A228" s="183"/>
      <c r="B228" s="170"/>
      <c r="C228" s="169"/>
      <c r="D228" s="169"/>
      <c r="E228" s="169"/>
      <c r="F228" s="169"/>
      <c r="G228" s="169"/>
      <c r="H228" s="169"/>
      <c r="I228" s="169"/>
      <c r="J228" s="169"/>
      <c r="K228" s="183"/>
      <c r="L228" s="183"/>
      <c r="M228" s="183"/>
      <c r="N228" s="183"/>
      <c r="O228" s="183"/>
      <c r="P228" s="183"/>
      <c r="Q228" s="183"/>
      <c r="R228" s="183"/>
      <c r="S228" s="183"/>
      <c r="T228" s="183"/>
      <c r="BD228" s="183"/>
      <c r="BE228" s="183"/>
      <c r="BF228" s="183"/>
      <c r="BG228" s="183"/>
    </row>
    <row r="229" spans="1:59" hidden="1">
      <c r="A229" s="183"/>
      <c r="B229" s="170"/>
      <c r="C229" s="169"/>
      <c r="D229" s="169"/>
      <c r="E229" s="169"/>
      <c r="F229" s="169"/>
      <c r="G229" s="169"/>
      <c r="H229" s="169"/>
      <c r="I229" s="169"/>
      <c r="J229" s="169"/>
      <c r="K229" s="183"/>
      <c r="L229" s="183"/>
      <c r="M229" s="183"/>
      <c r="N229" s="183"/>
      <c r="O229" s="183"/>
      <c r="P229" s="183"/>
      <c r="Q229" s="183"/>
      <c r="R229" s="183"/>
      <c r="S229" s="183"/>
      <c r="T229" s="183"/>
      <c r="BD229" s="183"/>
      <c r="BE229" s="183"/>
      <c r="BF229" s="183"/>
      <c r="BG229" s="183"/>
    </row>
    <row r="230" spans="1:59" hidden="1">
      <c r="A230" s="183"/>
      <c r="B230" s="170"/>
      <c r="C230" s="169"/>
      <c r="D230" s="169"/>
      <c r="E230" s="169"/>
      <c r="F230" s="169"/>
      <c r="G230" s="169"/>
      <c r="H230" s="169"/>
      <c r="I230" s="169"/>
      <c r="J230" s="169"/>
      <c r="K230" s="183"/>
      <c r="L230" s="183"/>
      <c r="M230" s="183"/>
      <c r="N230" s="183"/>
      <c r="O230" s="183"/>
      <c r="P230" s="183"/>
      <c r="Q230" s="183"/>
      <c r="R230" s="183"/>
      <c r="S230" s="183"/>
      <c r="T230" s="183"/>
      <c r="BD230" s="183"/>
      <c r="BE230" s="183"/>
      <c r="BF230" s="183"/>
      <c r="BG230" s="183"/>
    </row>
    <row r="231" spans="1:59" hidden="1">
      <c r="A231" s="183"/>
      <c r="B231" s="170"/>
      <c r="C231" s="169"/>
      <c r="D231" s="169"/>
      <c r="E231" s="169"/>
      <c r="F231" s="169"/>
      <c r="G231" s="169"/>
      <c r="H231" s="169"/>
      <c r="I231" s="169"/>
      <c r="J231" s="169"/>
      <c r="K231" s="183"/>
      <c r="L231" s="183"/>
      <c r="M231" s="183"/>
      <c r="N231" s="183"/>
      <c r="O231" s="183"/>
      <c r="P231" s="183"/>
      <c r="Q231" s="183"/>
      <c r="R231" s="183"/>
      <c r="S231" s="183"/>
      <c r="T231" s="183"/>
      <c r="BD231" s="183"/>
      <c r="BE231" s="183"/>
      <c r="BF231" s="183"/>
      <c r="BG231" s="183"/>
    </row>
    <row r="232" spans="1:59" hidden="1">
      <c r="A232" s="183"/>
      <c r="B232" s="170"/>
      <c r="C232" s="169"/>
      <c r="D232" s="169"/>
      <c r="E232" s="169"/>
      <c r="F232" s="169"/>
      <c r="G232" s="169"/>
      <c r="H232" s="169"/>
      <c r="I232" s="169"/>
      <c r="J232" s="169"/>
      <c r="K232" s="183"/>
      <c r="L232" s="183"/>
      <c r="M232" s="183"/>
      <c r="N232" s="183"/>
      <c r="O232" s="183"/>
      <c r="P232" s="183"/>
      <c r="Q232" s="183"/>
      <c r="R232" s="183"/>
      <c r="S232" s="183"/>
      <c r="T232" s="183"/>
      <c r="BD232" s="183"/>
      <c r="BE232" s="183"/>
      <c r="BF232" s="183"/>
      <c r="BG232" s="183"/>
    </row>
    <row r="233" spans="1:59" hidden="1">
      <c r="A233" s="183"/>
      <c r="B233" s="170"/>
      <c r="C233" s="169"/>
      <c r="D233" s="169"/>
      <c r="E233" s="169"/>
      <c r="F233" s="169"/>
      <c r="G233" s="169"/>
      <c r="H233" s="169"/>
      <c r="I233" s="169"/>
      <c r="J233" s="169"/>
      <c r="K233" s="183"/>
      <c r="L233" s="183"/>
      <c r="M233" s="183"/>
      <c r="N233" s="183"/>
      <c r="O233" s="183"/>
      <c r="P233" s="183"/>
      <c r="Q233" s="183"/>
      <c r="R233" s="183"/>
      <c r="S233" s="183"/>
      <c r="T233" s="183"/>
      <c r="BD233" s="183"/>
      <c r="BE233" s="183"/>
      <c r="BF233" s="183"/>
      <c r="BG233" s="183"/>
    </row>
    <row r="234" spans="1:59" hidden="1">
      <c r="A234" s="183"/>
      <c r="B234" s="170"/>
      <c r="C234" s="169"/>
      <c r="D234" s="169"/>
      <c r="E234" s="169"/>
      <c r="F234" s="169"/>
      <c r="G234" s="169"/>
      <c r="H234" s="169"/>
      <c r="I234" s="169"/>
      <c r="J234" s="169"/>
      <c r="K234" s="183"/>
      <c r="L234" s="183"/>
      <c r="M234" s="183"/>
      <c r="N234" s="183"/>
      <c r="O234" s="183"/>
      <c r="P234" s="183"/>
      <c r="Q234" s="183"/>
      <c r="R234" s="183"/>
      <c r="S234" s="183"/>
      <c r="T234" s="183"/>
      <c r="BD234" s="183"/>
      <c r="BE234" s="183"/>
      <c r="BF234" s="183"/>
      <c r="BG234" s="183"/>
    </row>
    <row r="235" spans="1:59" hidden="1">
      <c r="A235" s="183"/>
      <c r="B235" s="170"/>
      <c r="C235" s="169"/>
      <c r="D235" s="169"/>
      <c r="E235" s="169"/>
      <c r="F235" s="169"/>
      <c r="G235" s="169"/>
      <c r="H235" s="169"/>
      <c r="I235" s="169"/>
      <c r="J235" s="169"/>
      <c r="K235" s="183"/>
      <c r="L235" s="183"/>
      <c r="M235" s="183"/>
      <c r="N235" s="183"/>
      <c r="O235" s="183"/>
      <c r="P235" s="183"/>
      <c r="Q235" s="183"/>
      <c r="R235" s="183"/>
      <c r="S235" s="183"/>
      <c r="T235" s="183"/>
      <c r="BD235" s="183"/>
      <c r="BE235" s="183"/>
      <c r="BF235" s="183"/>
      <c r="BG235" s="183"/>
    </row>
    <row r="236" spans="1:59" hidden="1">
      <c r="A236" s="183"/>
      <c r="B236" s="170"/>
      <c r="C236" s="169"/>
      <c r="D236" s="169"/>
      <c r="E236" s="169"/>
      <c r="F236" s="169"/>
      <c r="G236" s="169"/>
      <c r="H236" s="169"/>
      <c r="I236" s="169"/>
      <c r="J236" s="169"/>
      <c r="K236" s="183"/>
      <c r="L236" s="183"/>
      <c r="M236" s="183"/>
      <c r="N236" s="183"/>
      <c r="O236" s="183"/>
      <c r="P236" s="183"/>
      <c r="Q236" s="183"/>
      <c r="R236" s="183"/>
      <c r="S236" s="183"/>
      <c r="T236" s="183"/>
      <c r="BD236" s="183"/>
      <c r="BE236" s="183"/>
      <c r="BF236" s="183"/>
      <c r="BG236" s="183"/>
    </row>
    <row r="237" spans="1:59" hidden="1">
      <c r="A237" s="183"/>
      <c r="B237" s="170"/>
      <c r="C237" s="169"/>
      <c r="D237" s="169"/>
      <c r="E237" s="169"/>
      <c r="F237" s="169"/>
      <c r="G237" s="169"/>
      <c r="H237" s="169"/>
      <c r="I237" s="169"/>
      <c r="J237" s="169"/>
      <c r="K237" s="183"/>
      <c r="L237" s="183"/>
      <c r="M237" s="183"/>
      <c r="N237" s="183"/>
      <c r="O237" s="183"/>
      <c r="P237" s="183"/>
      <c r="Q237" s="183"/>
      <c r="R237" s="183"/>
      <c r="S237" s="183"/>
      <c r="T237" s="183"/>
      <c r="BD237" s="183"/>
      <c r="BE237" s="183"/>
      <c r="BF237" s="183"/>
      <c r="BG237" s="183"/>
    </row>
    <row r="238" spans="1:59" hidden="1">
      <c r="A238" s="183"/>
      <c r="B238" s="170"/>
      <c r="C238" s="169"/>
      <c r="D238" s="169"/>
      <c r="E238" s="169"/>
      <c r="F238" s="169"/>
      <c r="G238" s="169"/>
      <c r="H238" s="169"/>
      <c r="I238" s="169"/>
      <c r="J238" s="169"/>
      <c r="K238" s="183"/>
      <c r="L238" s="183"/>
      <c r="M238" s="183"/>
      <c r="N238" s="183"/>
      <c r="O238" s="183"/>
      <c r="P238" s="183"/>
      <c r="Q238" s="183"/>
      <c r="R238" s="183"/>
      <c r="S238" s="183"/>
      <c r="T238" s="183"/>
      <c r="BD238" s="183"/>
      <c r="BE238" s="183"/>
      <c r="BF238" s="183"/>
      <c r="BG238" s="183"/>
    </row>
    <row r="239" spans="1:59" hidden="1">
      <c r="A239" s="183"/>
      <c r="B239" s="170"/>
      <c r="C239" s="169"/>
      <c r="D239" s="169"/>
      <c r="E239" s="169"/>
      <c r="F239" s="169"/>
      <c r="G239" s="169"/>
      <c r="H239" s="169"/>
      <c r="I239" s="169"/>
      <c r="J239" s="169"/>
      <c r="K239" s="183"/>
      <c r="L239" s="183"/>
      <c r="M239" s="183"/>
      <c r="N239" s="183"/>
      <c r="O239" s="183"/>
      <c r="P239" s="183"/>
      <c r="Q239" s="183"/>
      <c r="R239" s="183"/>
      <c r="S239" s="183"/>
      <c r="T239" s="183"/>
      <c r="BD239" s="183"/>
      <c r="BE239" s="183"/>
      <c r="BF239" s="183"/>
      <c r="BG239" s="183"/>
    </row>
    <row r="240" spans="1:59" hidden="1">
      <c r="A240" s="183"/>
      <c r="B240" s="170"/>
      <c r="C240" s="169"/>
      <c r="D240" s="169"/>
      <c r="E240" s="169"/>
      <c r="F240" s="169"/>
      <c r="G240" s="169"/>
      <c r="H240" s="169"/>
      <c r="I240" s="169"/>
      <c r="J240" s="169"/>
      <c r="K240" s="183"/>
      <c r="L240" s="183"/>
      <c r="M240" s="183"/>
      <c r="N240" s="183"/>
      <c r="O240" s="183"/>
      <c r="P240" s="183"/>
      <c r="Q240" s="183"/>
      <c r="R240" s="183"/>
      <c r="S240" s="183"/>
      <c r="T240" s="183"/>
      <c r="BD240" s="183"/>
      <c r="BE240" s="183"/>
      <c r="BF240" s="183"/>
      <c r="BG240" s="183"/>
    </row>
    <row r="241" spans="1:59" hidden="1">
      <c r="A241" s="183"/>
      <c r="B241" s="170"/>
      <c r="C241" s="169"/>
      <c r="D241" s="169"/>
      <c r="E241" s="169"/>
      <c r="F241" s="169"/>
      <c r="G241" s="169"/>
      <c r="H241" s="169"/>
      <c r="I241" s="169"/>
      <c r="J241" s="169"/>
      <c r="K241" s="183"/>
      <c r="L241" s="183"/>
      <c r="M241" s="183"/>
      <c r="N241" s="183"/>
      <c r="O241" s="183"/>
      <c r="P241" s="183"/>
      <c r="Q241" s="183"/>
      <c r="R241" s="183"/>
      <c r="S241" s="183"/>
      <c r="T241" s="183"/>
      <c r="BD241" s="183"/>
      <c r="BE241" s="183"/>
      <c r="BF241" s="183"/>
      <c r="BG241" s="183"/>
    </row>
    <row r="242" spans="1:59" hidden="1">
      <c r="A242" s="183"/>
      <c r="B242" s="170"/>
      <c r="C242" s="169"/>
      <c r="D242" s="169"/>
      <c r="E242" s="169"/>
      <c r="F242" s="169"/>
      <c r="G242" s="169"/>
      <c r="H242" s="169"/>
      <c r="I242" s="169"/>
      <c r="J242" s="169"/>
      <c r="K242" s="183"/>
      <c r="L242" s="183"/>
      <c r="M242" s="183"/>
      <c r="N242" s="183"/>
      <c r="O242" s="183"/>
      <c r="P242" s="183"/>
      <c r="Q242" s="183"/>
      <c r="R242" s="183"/>
      <c r="S242" s="183"/>
      <c r="T242" s="183"/>
      <c r="BD242" s="183"/>
      <c r="BE242" s="183"/>
      <c r="BF242" s="183"/>
      <c r="BG242" s="183"/>
    </row>
    <row r="243" spans="1:59" hidden="1">
      <c r="A243" s="183"/>
      <c r="B243" s="170"/>
      <c r="C243" s="169"/>
      <c r="D243" s="169"/>
      <c r="E243" s="169"/>
      <c r="F243" s="169"/>
      <c r="G243" s="169"/>
      <c r="H243" s="169"/>
      <c r="I243" s="169"/>
      <c r="J243" s="169"/>
      <c r="K243" s="183"/>
      <c r="L243" s="183"/>
      <c r="M243" s="183"/>
      <c r="N243" s="183"/>
      <c r="O243" s="183"/>
      <c r="P243" s="183"/>
      <c r="Q243" s="183"/>
      <c r="R243" s="183"/>
      <c r="S243" s="183"/>
      <c r="T243" s="183"/>
      <c r="BD243" s="183"/>
      <c r="BE243" s="183"/>
      <c r="BF243" s="183"/>
      <c r="BG243" s="183"/>
    </row>
    <row r="244" spans="1:59" hidden="1">
      <c r="A244" s="183"/>
      <c r="B244" s="170"/>
      <c r="C244" s="169"/>
      <c r="D244" s="169"/>
      <c r="E244" s="169"/>
      <c r="F244" s="169"/>
      <c r="G244" s="169"/>
      <c r="H244" s="169"/>
      <c r="I244" s="169"/>
      <c r="J244" s="169"/>
      <c r="K244" s="183"/>
      <c r="L244" s="183"/>
      <c r="M244" s="183"/>
      <c r="N244" s="183"/>
      <c r="O244" s="183"/>
      <c r="P244" s="183"/>
      <c r="Q244" s="183"/>
      <c r="R244" s="183"/>
      <c r="S244" s="183"/>
      <c r="T244" s="183"/>
      <c r="BD244" s="183"/>
      <c r="BE244" s="183"/>
      <c r="BF244" s="183"/>
      <c r="BG244" s="183"/>
    </row>
    <row r="245" spans="1:59" hidden="1">
      <c r="A245" s="183"/>
      <c r="B245" s="170"/>
      <c r="C245" s="169"/>
      <c r="D245" s="169"/>
      <c r="E245" s="169"/>
      <c r="F245" s="169"/>
      <c r="G245" s="169"/>
      <c r="H245" s="169"/>
      <c r="I245" s="169"/>
      <c r="J245" s="169"/>
      <c r="K245" s="183"/>
      <c r="L245" s="183"/>
      <c r="M245" s="183"/>
      <c r="N245" s="183"/>
      <c r="O245" s="183"/>
      <c r="P245" s="183"/>
      <c r="Q245" s="183"/>
      <c r="R245" s="183"/>
      <c r="S245" s="183"/>
      <c r="T245" s="183"/>
      <c r="BD245" s="183"/>
      <c r="BE245" s="183"/>
      <c r="BF245" s="183"/>
      <c r="BG245" s="183"/>
    </row>
    <row r="246" spans="1:59" hidden="1">
      <c r="A246" s="183"/>
      <c r="B246" s="170"/>
      <c r="C246" s="169"/>
      <c r="D246" s="169"/>
      <c r="E246" s="169"/>
      <c r="F246" s="169"/>
      <c r="G246" s="169"/>
      <c r="H246" s="169"/>
      <c r="I246" s="169"/>
      <c r="J246" s="169"/>
      <c r="K246" s="183"/>
      <c r="L246" s="183"/>
      <c r="M246" s="183"/>
      <c r="N246" s="183"/>
      <c r="O246" s="183"/>
      <c r="P246" s="183"/>
      <c r="Q246" s="183"/>
      <c r="R246" s="183"/>
      <c r="S246" s="183"/>
      <c r="T246" s="183"/>
      <c r="BD246" s="183"/>
      <c r="BE246" s="183"/>
      <c r="BF246" s="183"/>
      <c r="BG246" s="183"/>
    </row>
    <row r="247" spans="1:59" hidden="1">
      <c r="A247" s="183"/>
      <c r="B247" s="170"/>
      <c r="C247" s="169"/>
      <c r="D247" s="169"/>
      <c r="E247" s="169"/>
      <c r="F247" s="169"/>
      <c r="G247" s="169"/>
      <c r="H247" s="169"/>
      <c r="I247" s="169"/>
      <c r="J247" s="169"/>
      <c r="K247" s="183"/>
      <c r="L247" s="183"/>
      <c r="M247" s="183"/>
      <c r="N247" s="183"/>
      <c r="O247" s="183"/>
      <c r="P247" s="183"/>
      <c r="Q247" s="183"/>
      <c r="R247" s="183"/>
      <c r="S247" s="183"/>
      <c r="T247" s="183"/>
      <c r="BD247" s="183"/>
      <c r="BE247" s="183"/>
      <c r="BF247" s="183"/>
      <c r="BG247" s="183"/>
    </row>
    <row r="248" spans="1:59" hidden="1">
      <c r="A248" s="183"/>
      <c r="B248" s="170"/>
      <c r="C248" s="169"/>
      <c r="D248" s="169"/>
      <c r="E248" s="169"/>
      <c r="F248" s="169"/>
      <c r="G248" s="169"/>
      <c r="H248" s="169"/>
      <c r="I248" s="169"/>
      <c r="J248" s="169"/>
      <c r="K248" s="183"/>
      <c r="L248" s="183"/>
      <c r="M248" s="183"/>
      <c r="N248" s="183"/>
      <c r="O248" s="183"/>
      <c r="P248" s="183"/>
      <c r="Q248" s="183"/>
      <c r="R248" s="183"/>
      <c r="S248" s="183"/>
      <c r="T248" s="183"/>
      <c r="BD248" s="183"/>
      <c r="BE248" s="183"/>
      <c r="BF248" s="183"/>
      <c r="BG248" s="183"/>
    </row>
    <row r="249" spans="1:59" hidden="1">
      <c r="A249" s="183"/>
      <c r="B249" s="170"/>
      <c r="C249" s="169"/>
      <c r="D249" s="169"/>
      <c r="E249" s="169"/>
      <c r="F249" s="169"/>
      <c r="G249" s="169"/>
      <c r="H249" s="169"/>
      <c r="I249" s="169"/>
      <c r="J249" s="169"/>
      <c r="K249" s="183"/>
      <c r="L249" s="183"/>
      <c r="M249" s="183"/>
      <c r="N249" s="183"/>
      <c r="O249" s="183"/>
      <c r="P249" s="183"/>
      <c r="Q249" s="183"/>
      <c r="R249" s="183"/>
      <c r="S249" s="183"/>
      <c r="T249" s="183"/>
      <c r="BD249" s="183"/>
      <c r="BE249" s="183"/>
      <c r="BF249" s="183"/>
      <c r="BG249" s="183"/>
    </row>
    <row r="250" spans="1:59" hidden="1">
      <c r="A250" s="183"/>
      <c r="B250" s="170"/>
      <c r="C250" s="169"/>
      <c r="D250" s="169"/>
      <c r="E250" s="169"/>
      <c r="F250" s="169"/>
      <c r="G250" s="169"/>
      <c r="H250" s="169"/>
      <c r="I250" s="169"/>
      <c r="J250" s="169"/>
      <c r="K250" s="183"/>
      <c r="L250" s="183"/>
      <c r="M250" s="183"/>
      <c r="N250" s="183"/>
      <c r="O250" s="183"/>
      <c r="P250" s="183"/>
      <c r="Q250" s="183"/>
      <c r="R250" s="183"/>
      <c r="S250" s="183"/>
      <c r="T250" s="183"/>
      <c r="BD250" s="183"/>
      <c r="BE250" s="183"/>
      <c r="BF250" s="183"/>
      <c r="BG250" s="183"/>
    </row>
    <row r="251" spans="1:59" hidden="1"/>
    <row r="252" spans="1:59" hidden="1"/>
    <row r="253" spans="1:59" hidden="1"/>
    <row r="254" spans="1:59" hidden="1"/>
    <row r="255" spans="1:59" hidden="1"/>
    <row r="256" spans="1:59" hidden="1"/>
    <row r="257" hidden="1"/>
    <row r="258" hidden="1"/>
    <row r="259" hidden="1"/>
  </sheetData>
  <sheetProtection selectLockedCells="1"/>
  <mergeCells count="80">
    <mergeCell ref="B33:E33"/>
    <mergeCell ref="B31:G31"/>
    <mergeCell ref="I31:N31"/>
    <mergeCell ref="B71:G71"/>
    <mergeCell ref="B68:C68"/>
    <mergeCell ref="D68:G68"/>
    <mergeCell ref="B69:C69"/>
    <mergeCell ref="D69:G69"/>
    <mergeCell ref="B70:C70"/>
    <mergeCell ref="D70:G70"/>
    <mergeCell ref="B66:C67"/>
    <mergeCell ref="D67:G67"/>
    <mergeCell ref="B61:G62"/>
    <mergeCell ref="B63:C64"/>
    <mergeCell ref="D63:G63"/>
    <mergeCell ref="D64:G64"/>
    <mergeCell ref="F2:G2"/>
    <mergeCell ref="H2:I2"/>
    <mergeCell ref="L61:N61"/>
    <mergeCell ref="K61:K62"/>
    <mergeCell ref="B65:C65"/>
    <mergeCell ref="D65:G65"/>
    <mergeCell ref="H61:J61"/>
    <mergeCell ref="B44:B45"/>
    <mergeCell ref="C44:D44"/>
    <mergeCell ref="E44:E45"/>
    <mergeCell ref="B2:B3"/>
    <mergeCell ref="D2:E2"/>
    <mergeCell ref="B20:E20"/>
    <mergeCell ref="B21:E21"/>
    <mergeCell ref="B35:E35"/>
    <mergeCell ref="B8:O8"/>
    <mergeCell ref="H3:I3"/>
    <mergeCell ref="J3:K3"/>
    <mergeCell ref="L3:M3"/>
    <mergeCell ref="L2:M2"/>
    <mergeCell ref="N3:O3"/>
    <mergeCell ref="I33:L33"/>
    <mergeCell ref="J2:K2"/>
    <mergeCell ref="J14:J15"/>
    <mergeCell ref="B17:E17"/>
    <mergeCell ref="B29:E30"/>
    <mergeCell ref="F29:F30"/>
    <mergeCell ref="B14:E15"/>
    <mergeCell ref="C2:C3"/>
    <mergeCell ref="I32:L32"/>
    <mergeCell ref="B32:E32"/>
    <mergeCell ref="K14:K15"/>
    <mergeCell ref="B16:K16"/>
    <mergeCell ref="B12:O12"/>
    <mergeCell ref="N2:O2"/>
    <mergeCell ref="D3:E3"/>
    <mergeCell ref="F3:G3"/>
    <mergeCell ref="G44:G45"/>
    <mergeCell ref="H44:I44"/>
    <mergeCell ref="L44:L45"/>
    <mergeCell ref="B34:E34"/>
    <mergeCell ref="I36:L36"/>
    <mergeCell ref="I37:L37"/>
    <mergeCell ref="J44:J45"/>
    <mergeCell ref="K44:K45"/>
    <mergeCell ref="I38:L38"/>
    <mergeCell ref="F44:F45"/>
    <mergeCell ref="B36:E36"/>
    <mergeCell ref="B42:O42"/>
    <mergeCell ref="B37:E37"/>
    <mergeCell ref="I34:L34"/>
    <mergeCell ref="I35:L35"/>
    <mergeCell ref="B38:E38"/>
    <mergeCell ref="M29:M30"/>
    <mergeCell ref="B27:O27"/>
    <mergeCell ref="B22:E22"/>
    <mergeCell ref="B23:I23"/>
    <mergeCell ref="F14:G14"/>
    <mergeCell ref="H14:I14"/>
    <mergeCell ref="I29:L30"/>
    <mergeCell ref="N29:N30"/>
    <mergeCell ref="G29:G30"/>
    <mergeCell ref="B18:E18"/>
    <mergeCell ref="B19:E19"/>
  </mergeCells>
  <conditionalFormatting sqref="K47:K52">
    <cfRule type="cellIs" dxfId="194" priority="1" operator="equal">
      <formula>0</formula>
    </cfRule>
  </conditionalFormatting>
  <dataValidations count="2">
    <dataValidation type="list" allowBlank="1" showInputMessage="1" showErrorMessage="1" sqref="L47:L52 K17:K22 N32:N37 G32:G37">
      <formula1>Sector</formula1>
    </dataValidation>
    <dataValidation type="list" allowBlank="1" showInputMessage="1" showErrorMessage="1" sqref="E47:E52">
      <formula1>Yesno</formula1>
    </dataValidation>
  </dataValidations>
  <hyperlinks>
    <hyperlink ref="F3" location="Graphs!A1" display="Graphs"/>
    <hyperlink ref="G3" location="Graphs!A1" display="Graphs!A1"/>
    <hyperlink ref="F2" location="'City information'!A1" display="Set-up"/>
    <hyperlink ref="G2" location="'City information'!A1" display="'City information'!A1"/>
    <hyperlink ref="H2" location="Inventory!A1" display="Inventory"/>
    <hyperlink ref="I2" location="Inventory!A1" display="Inventory!A1"/>
    <hyperlink ref="D3" location="Summary!A1" display="Summary"/>
    <hyperlink ref="E3" location="Summary!A1" display="Summary!A1"/>
    <hyperlink ref="J2" location="Calculators!A1" display="Calculators"/>
    <hyperlink ref="K2" location="Calculators!A1" display="Calculators!A1"/>
    <hyperlink ref="H3" location="Overview!A1" display="Overview"/>
    <hyperlink ref="I3" location="Overview!A1" display="Overview!A1"/>
    <hyperlink ref="J3" location="Report!A1" display="Report"/>
    <hyperlink ref="K3" location="Report!A1" display="Report!A1"/>
    <hyperlink ref="N2" location="Analysis!A1" display="Analysis"/>
    <hyperlink ref="L2" location="Results!A1" display="Results"/>
    <hyperlink ref="M2" location="Results!A1" display="Results!A1"/>
    <hyperlink ref="D2" location="Home!A1" display="Introduction"/>
    <hyperlink ref="E2" location="Home!A1" display="Home!A1"/>
    <hyperlink ref="L3" location="Audit!A1" display="Audit"/>
  </hyperlinks>
  <printOptions horizontalCentered="1" verticalCentered="1"/>
  <pageMargins left="0.16" right="0.16" top="0.2" bottom="0.08" header="0.19" footer="0.12000000000000001"/>
  <pageSetup paperSize="9" scale="66" fitToHeight="2" orientation="portrait" horizontalDpi="4294967292" verticalDpi="4294967292"/>
  <drawing r:id="rId1"/>
  <extLst>
    <ext xmlns:mx="http://schemas.microsoft.com/office/mac/excel/2008/main" uri="{64002731-A6B0-56B0-2670-7721B7C09600}">
      <mx:PLV Mode="0" OnePage="0" WScale="67"/>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A1:XFD287"/>
  <sheetViews>
    <sheetView showRowColHeaders="0" workbookViewId="0">
      <selection activeCell="H3" sqref="H3:I3"/>
    </sheetView>
  </sheetViews>
  <sheetFormatPr baseColWidth="10" defaultColWidth="0" defaultRowHeight="15" zeroHeight="1" x14ac:dyDescent="0"/>
  <cols>
    <col min="1" max="1" width="4.83203125" style="15" customWidth="1"/>
    <col min="2" max="16" width="12.83203125" style="15" customWidth="1"/>
    <col min="17" max="28" width="10.83203125" style="15" customWidth="1"/>
    <col min="29" max="29" width="4.83203125" style="15" customWidth="1"/>
    <col min="30" max="86" width="0" style="15" hidden="1" customWidth="1"/>
    <col min="87" max="16384" width="10.83203125" style="15" hidden="1"/>
  </cols>
  <sheetData>
    <row r="1" spans="1:16384" s="498" customFormat="1">
      <c r="P1" s="499"/>
      <c r="Q1" s="499"/>
      <c r="R1" s="499"/>
      <c r="S1" s="500"/>
      <c r="T1" s="500"/>
      <c r="U1" s="500"/>
    </row>
    <row r="2" spans="1:16384" s="464" customFormat="1" ht="31" customHeight="1">
      <c r="A2" s="494"/>
      <c r="B2" s="1817" t="s">
        <v>1965</v>
      </c>
      <c r="C2" s="1819">
        <v>400</v>
      </c>
      <c r="D2" s="1849" t="s">
        <v>1555</v>
      </c>
      <c r="E2" s="1850"/>
      <c r="F2" s="1849" t="s">
        <v>1563</v>
      </c>
      <c r="G2" s="1850"/>
      <c r="H2" s="1849" t="s">
        <v>794</v>
      </c>
      <c r="I2" s="1850"/>
      <c r="J2" s="2047" t="s">
        <v>1570</v>
      </c>
      <c r="K2" s="2033"/>
      <c r="L2" s="1849" t="s">
        <v>1564</v>
      </c>
      <c r="M2" s="1850"/>
      <c r="N2" s="1849" t="s">
        <v>1602</v>
      </c>
      <c r="O2" s="1850"/>
      <c r="P2" s="494"/>
      <c r="Q2" s="494"/>
      <c r="R2" s="494"/>
      <c r="S2" s="494"/>
      <c r="T2" s="494"/>
      <c r="U2" s="494"/>
      <c r="V2" s="494"/>
      <c r="W2" s="494"/>
      <c r="X2" s="494"/>
      <c r="Y2" s="494"/>
      <c r="Z2" s="494"/>
      <c r="AA2" s="494"/>
      <c r="AB2" s="494"/>
      <c r="AC2" s="494"/>
      <c r="AD2" s="494"/>
      <c r="AE2" s="494"/>
      <c r="AF2" s="494"/>
      <c r="AG2" s="494"/>
      <c r="AH2" s="494"/>
      <c r="AI2" s="494"/>
      <c r="AJ2" s="494"/>
      <c r="AK2" s="494"/>
      <c r="AL2" s="494"/>
      <c r="AM2" s="494"/>
      <c r="AN2" s="494"/>
      <c r="AO2" s="494"/>
      <c r="AP2" s="494"/>
      <c r="AQ2" s="494"/>
      <c r="AR2" s="494"/>
      <c r="AS2" s="494"/>
      <c r="AT2" s="494"/>
      <c r="AU2" s="494"/>
      <c r="AV2" s="494"/>
      <c r="AW2" s="494"/>
      <c r="AX2" s="494"/>
      <c r="AY2" s="494"/>
      <c r="AZ2" s="494"/>
      <c r="BA2" s="494"/>
      <c r="BB2" s="494"/>
      <c r="BC2" s="494"/>
      <c r="BD2" s="494"/>
      <c r="BE2" s="494"/>
      <c r="BF2" s="494"/>
      <c r="BG2" s="494"/>
      <c r="BH2" s="494"/>
      <c r="BI2" s="494"/>
      <c r="BJ2" s="494"/>
      <c r="BK2" s="494"/>
      <c r="BL2" s="494"/>
      <c r="BM2" s="494"/>
      <c r="BN2" s="494"/>
      <c r="BO2" s="494"/>
      <c r="BP2" s="494"/>
      <c r="BQ2" s="494"/>
      <c r="BR2" s="494"/>
      <c r="BS2" s="494"/>
      <c r="BT2" s="494"/>
      <c r="BU2" s="494"/>
      <c r="BV2" s="494"/>
      <c r="BW2" s="494"/>
      <c r="BX2" s="494"/>
      <c r="BY2" s="494"/>
      <c r="BZ2" s="494"/>
      <c r="CA2" s="494"/>
      <c r="CB2" s="494"/>
      <c r="CC2" s="494"/>
      <c r="CD2" s="494"/>
      <c r="CE2" s="494"/>
      <c r="CF2" s="494"/>
      <c r="CG2" s="494"/>
      <c r="CH2" s="494"/>
      <c r="CI2" s="494"/>
      <c r="CJ2" s="494"/>
      <c r="CK2" s="494"/>
      <c r="CL2" s="494"/>
      <c r="CM2" s="494"/>
      <c r="CN2" s="494"/>
      <c r="CO2" s="494"/>
      <c r="CP2" s="494"/>
      <c r="CQ2" s="494"/>
      <c r="CR2" s="494"/>
      <c r="CS2" s="494"/>
      <c r="CT2" s="494"/>
      <c r="CU2" s="494"/>
      <c r="CV2" s="494"/>
      <c r="CW2" s="494"/>
      <c r="CX2" s="494"/>
      <c r="CY2" s="494"/>
      <c r="CZ2" s="494"/>
      <c r="DA2" s="494"/>
      <c r="DB2" s="494"/>
      <c r="DC2" s="494"/>
      <c r="DD2" s="494"/>
      <c r="DE2" s="494"/>
      <c r="DF2" s="494"/>
      <c r="DG2" s="494"/>
      <c r="DH2" s="494"/>
      <c r="DI2" s="494"/>
      <c r="DJ2" s="494"/>
      <c r="DK2" s="494"/>
      <c r="DL2" s="494"/>
      <c r="DM2" s="494"/>
      <c r="DN2" s="494"/>
      <c r="DO2" s="494"/>
      <c r="DP2" s="494"/>
      <c r="DQ2" s="494"/>
      <c r="DR2" s="494"/>
      <c r="DS2" s="494"/>
      <c r="DT2" s="494"/>
      <c r="DU2" s="494"/>
      <c r="DV2" s="494"/>
      <c r="DW2" s="494"/>
      <c r="DX2" s="494"/>
      <c r="DY2" s="494"/>
      <c r="DZ2" s="494"/>
      <c r="EA2" s="494"/>
      <c r="EB2" s="494"/>
      <c r="EC2" s="494"/>
      <c r="ED2" s="494"/>
      <c r="EE2" s="494"/>
      <c r="EF2" s="494"/>
      <c r="EG2" s="494"/>
      <c r="EH2" s="494"/>
      <c r="EI2" s="494"/>
      <c r="EJ2" s="494"/>
      <c r="EK2" s="494"/>
      <c r="EL2" s="494"/>
      <c r="EM2" s="494"/>
      <c r="EN2" s="494"/>
      <c r="EO2" s="494"/>
      <c r="EP2" s="494"/>
      <c r="EQ2" s="494"/>
      <c r="ER2" s="494"/>
      <c r="ES2" s="494"/>
      <c r="ET2" s="494"/>
      <c r="EU2" s="494"/>
      <c r="EV2" s="494"/>
      <c r="EW2" s="494"/>
      <c r="EX2" s="494"/>
      <c r="EY2" s="494"/>
      <c r="EZ2" s="494"/>
      <c r="FA2" s="494"/>
      <c r="FB2" s="494"/>
      <c r="FC2" s="494"/>
      <c r="FD2" s="494"/>
      <c r="FE2" s="494"/>
      <c r="FF2" s="494"/>
      <c r="FG2" s="494"/>
      <c r="FH2" s="494"/>
      <c r="FI2" s="494"/>
      <c r="FJ2" s="494"/>
      <c r="FK2" s="494"/>
      <c r="FL2" s="494"/>
      <c r="FM2" s="494"/>
      <c r="FN2" s="494"/>
      <c r="FO2" s="494"/>
      <c r="FP2" s="494"/>
      <c r="FQ2" s="494"/>
      <c r="FR2" s="494"/>
      <c r="FS2" s="494"/>
      <c r="FT2" s="494"/>
      <c r="FU2" s="494"/>
      <c r="FV2" s="494"/>
      <c r="FW2" s="494"/>
      <c r="FX2" s="494"/>
      <c r="FY2" s="494"/>
      <c r="FZ2" s="494"/>
      <c r="GA2" s="494"/>
      <c r="GB2" s="494"/>
      <c r="GC2" s="494"/>
      <c r="GD2" s="494"/>
      <c r="GE2" s="494"/>
      <c r="GF2" s="494"/>
      <c r="GG2" s="494"/>
      <c r="GH2" s="494"/>
      <c r="GI2" s="494"/>
      <c r="GJ2" s="494"/>
      <c r="GK2" s="494"/>
      <c r="GL2" s="494"/>
      <c r="GM2" s="494"/>
      <c r="GN2" s="494"/>
      <c r="GO2" s="494"/>
      <c r="GP2" s="494"/>
      <c r="GQ2" s="494"/>
      <c r="GR2" s="494"/>
      <c r="GS2" s="494"/>
      <c r="GT2" s="494"/>
      <c r="GU2" s="494"/>
      <c r="GV2" s="494"/>
      <c r="GW2" s="494"/>
      <c r="GX2" s="494"/>
      <c r="GY2" s="494"/>
      <c r="GZ2" s="494"/>
      <c r="HA2" s="494"/>
      <c r="HB2" s="494"/>
      <c r="HC2" s="494"/>
      <c r="HD2" s="494"/>
      <c r="HE2" s="494"/>
      <c r="HF2" s="494"/>
      <c r="HG2" s="494"/>
      <c r="HH2" s="494"/>
      <c r="HI2" s="494"/>
      <c r="HJ2" s="494"/>
      <c r="HK2" s="494"/>
      <c r="HL2" s="494"/>
      <c r="HM2" s="494"/>
      <c r="HN2" s="494"/>
      <c r="HO2" s="494"/>
      <c r="HP2" s="494"/>
      <c r="HQ2" s="494"/>
      <c r="HR2" s="494"/>
      <c r="HS2" s="494"/>
      <c r="HT2" s="494"/>
      <c r="HU2" s="494"/>
      <c r="HV2" s="494"/>
      <c r="HW2" s="494"/>
      <c r="HX2" s="494"/>
      <c r="HY2" s="494"/>
      <c r="HZ2" s="494"/>
      <c r="IA2" s="494"/>
      <c r="IB2" s="494"/>
      <c r="IC2" s="494"/>
      <c r="ID2" s="494"/>
      <c r="IE2" s="494"/>
      <c r="IF2" s="494"/>
      <c r="IG2" s="494"/>
      <c r="IH2" s="494"/>
      <c r="II2" s="494"/>
      <c r="IJ2" s="494"/>
      <c r="IK2" s="494"/>
      <c r="IL2" s="494"/>
      <c r="IM2" s="494"/>
      <c r="IN2" s="494"/>
      <c r="IO2" s="494"/>
      <c r="IP2" s="494"/>
      <c r="IQ2" s="494"/>
      <c r="IR2" s="494"/>
      <c r="IS2" s="494"/>
      <c r="IT2" s="494"/>
      <c r="IU2" s="494"/>
      <c r="IV2" s="494"/>
      <c r="IW2" s="494"/>
      <c r="IX2" s="494"/>
      <c r="IY2" s="494"/>
      <c r="IZ2" s="494"/>
      <c r="JA2" s="494"/>
      <c r="JB2" s="494"/>
      <c r="JC2" s="494"/>
      <c r="JD2" s="494"/>
      <c r="JE2" s="494"/>
      <c r="JF2" s="494"/>
      <c r="JG2" s="494"/>
      <c r="JH2" s="494"/>
      <c r="JI2" s="494"/>
      <c r="JJ2" s="494"/>
      <c r="JK2" s="494"/>
      <c r="JL2" s="494"/>
      <c r="JM2" s="494"/>
      <c r="JN2" s="494"/>
      <c r="JO2" s="494"/>
      <c r="JP2" s="494"/>
      <c r="JQ2" s="494"/>
      <c r="JR2" s="494"/>
      <c r="JS2" s="494"/>
      <c r="JT2" s="494"/>
      <c r="JU2" s="494"/>
      <c r="JV2" s="494"/>
      <c r="JW2" s="494"/>
      <c r="JX2" s="494"/>
      <c r="JY2" s="494"/>
      <c r="JZ2" s="494"/>
      <c r="KA2" s="494"/>
      <c r="KB2" s="494"/>
      <c r="KC2" s="494"/>
      <c r="KD2" s="494"/>
      <c r="KE2" s="494"/>
      <c r="KF2" s="494"/>
      <c r="KG2" s="494"/>
      <c r="KH2" s="494"/>
      <c r="KI2" s="494"/>
      <c r="KJ2" s="494"/>
      <c r="KK2" s="494"/>
      <c r="KL2" s="494"/>
      <c r="KM2" s="494"/>
      <c r="KN2" s="494"/>
      <c r="KO2" s="494"/>
      <c r="KP2" s="494"/>
      <c r="KQ2" s="494"/>
      <c r="KR2" s="494"/>
      <c r="KS2" s="494"/>
      <c r="KT2" s="494"/>
      <c r="KU2" s="494"/>
      <c r="KV2" s="494"/>
      <c r="KW2" s="494"/>
      <c r="KX2" s="494"/>
      <c r="KY2" s="494"/>
      <c r="KZ2" s="494"/>
      <c r="LA2" s="494"/>
      <c r="LB2" s="494"/>
      <c r="LC2" s="494"/>
      <c r="LD2" s="494"/>
      <c r="LE2" s="494"/>
      <c r="LF2" s="494"/>
      <c r="LG2" s="494"/>
      <c r="LH2" s="494"/>
      <c r="LI2" s="494"/>
      <c r="LJ2" s="494"/>
      <c r="LK2" s="494"/>
      <c r="LL2" s="494"/>
      <c r="LM2" s="494"/>
      <c r="LN2" s="494"/>
      <c r="LO2" s="494"/>
      <c r="LP2" s="494"/>
      <c r="LQ2" s="494"/>
      <c r="LR2" s="494"/>
      <c r="LS2" s="494"/>
      <c r="LT2" s="494"/>
      <c r="LU2" s="494"/>
      <c r="LV2" s="494"/>
      <c r="LW2" s="494"/>
      <c r="LX2" s="494"/>
      <c r="LY2" s="494"/>
      <c r="LZ2" s="494"/>
      <c r="MA2" s="494"/>
      <c r="MB2" s="494"/>
      <c r="MC2" s="494"/>
      <c r="MD2" s="494"/>
      <c r="ME2" s="494"/>
      <c r="MF2" s="494"/>
      <c r="MG2" s="494"/>
      <c r="MH2" s="494"/>
      <c r="MI2" s="494"/>
      <c r="MJ2" s="494"/>
      <c r="MK2" s="494"/>
      <c r="ML2" s="494"/>
      <c r="MM2" s="494"/>
      <c r="MN2" s="494"/>
      <c r="MO2" s="494"/>
      <c r="MP2" s="494"/>
      <c r="MQ2" s="494"/>
      <c r="MR2" s="494"/>
      <c r="MS2" s="494"/>
      <c r="MT2" s="494"/>
      <c r="MU2" s="494"/>
      <c r="MV2" s="494"/>
      <c r="MW2" s="494"/>
      <c r="MX2" s="494"/>
      <c r="MY2" s="494"/>
      <c r="MZ2" s="494"/>
      <c r="NA2" s="494"/>
      <c r="NB2" s="494"/>
      <c r="NC2" s="494"/>
      <c r="ND2" s="494"/>
      <c r="NE2" s="494"/>
      <c r="NF2" s="494"/>
      <c r="NG2" s="494"/>
      <c r="NH2" s="494"/>
      <c r="NI2" s="494"/>
      <c r="NJ2" s="494"/>
      <c r="NK2" s="494"/>
      <c r="NL2" s="494"/>
      <c r="NM2" s="494"/>
      <c r="NN2" s="494"/>
      <c r="NO2" s="494"/>
      <c r="NP2" s="494"/>
      <c r="NQ2" s="494"/>
      <c r="NR2" s="494"/>
      <c r="NS2" s="494"/>
      <c r="NT2" s="494"/>
      <c r="NU2" s="494"/>
      <c r="NV2" s="494"/>
      <c r="NW2" s="494"/>
      <c r="NX2" s="494"/>
      <c r="NY2" s="494"/>
      <c r="NZ2" s="494"/>
      <c r="OA2" s="494"/>
      <c r="OB2" s="494"/>
      <c r="OC2" s="494"/>
      <c r="OD2" s="494"/>
      <c r="OE2" s="494"/>
      <c r="OF2" s="494"/>
      <c r="OG2" s="494"/>
      <c r="OH2" s="494"/>
      <c r="OI2" s="494"/>
      <c r="OJ2" s="494"/>
      <c r="OK2" s="494"/>
      <c r="OL2" s="494"/>
      <c r="OM2" s="494"/>
      <c r="ON2" s="494"/>
      <c r="OO2" s="494"/>
      <c r="OP2" s="494"/>
      <c r="OQ2" s="494"/>
      <c r="OR2" s="494"/>
      <c r="OS2" s="494"/>
      <c r="OT2" s="494"/>
      <c r="OU2" s="494"/>
      <c r="OV2" s="494"/>
      <c r="OW2" s="494"/>
      <c r="OX2" s="494"/>
      <c r="OY2" s="494"/>
      <c r="OZ2" s="494"/>
      <c r="PA2" s="494"/>
      <c r="PB2" s="494"/>
      <c r="PC2" s="494"/>
      <c r="PD2" s="494"/>
      <c r="PE2" s="494"/>
      <c r="PF2" s="494"/>
      <c r="PG2" s="494"/>
      <c r="PH2" s="494"/>
      <c r="PI2" s="494"/>
      <c r="PJ2" s="494"/>
      <c r="PK2" s="494"/>
      <c r="PL2" s="494"/>
      <c r="PM2" s="494"/>
      <c r="PN2" s="494"/>
      <c r="PO2" s="494"/>
      <c r="PP2" s="494"/>
      <c r="PQ2" s="494"/>
      <c r="PR2" s="494"/>
      <c r="PS2" s="494"/>
      <c r="PT2" s="494"/>
      <c r="PU2" s="494"/>
      <c r="PV2" s="494"/>
      <c r="PW2" s="494"/>
      <c r="PX2" s="494"/>
      <c r="PY2" s="494"/>
      <c r="PZ2" s="494"/>
      <c r="QA2" s="494"/>
      <c r="QB2" s="494"/>
      <c r="QC2" s="494"/>
      <c r="QD2" s="494"/>
      <c r="QE2" s="494"/>
      <c r="QF2" s="494"/>
      <c r="QG2" s="494"/>
      <c r="QH2" s="494"/>
      <c r="QI2" s="494"/>
      <c r="QJ2" s="494"/>
      <c r="QK2" s="494"/>
      <c r="QL2" s="494"/>
      <c r="QM2" s="494"/>
      <c r="QN2" s="494"/>
      <c r="QO2" s="494"/>
      <c r="QP2" s="494"/>
      <c r="QQ2" s="494"/>
      <c r="QR2" s="494"/>
      <c r="QS2" s="494"/>
      <c r="QT2" s="494"/>
      <c r="QU2" s="494"/>
      <c r="QV2" s="494"/>
      <c r="QW2" s="494"/>
      <c r="QX2" s="494"/>
      <c r="QY2" s="494"/>
      <c r="QZ2" s="494"/>
      <c r="RA2" s="494"/>
      <c r="RB2" s="494"/>
      <c r="RC2" s="494"/>
      <c r="RD2" s="494"/>
      <c r="RE2" s="494"/>
      <c r="RF2" s="494"/>
      <c r="RG2" s="494"/>
      <c r="RH2" s="494"/>
      <c r="RI2" s="494"/>
      <c r="RJ2" s="494"/>
      <c r="RK2" s="494"/>
      <c r="RL2" s="494"/>
      <c r="RM2" s="494"/>
      <c r="RN2" s="494"/>
      <c r="RO2" s="494"/>
      <c r="RP2" s="494"/>
      <c r="RQ2" s="494"/>
      <c r="RR2" s="494"/>
      <c r="RS2" s="494"/>
      <c r="RT2" s="494"/>
      <c r="RU2" s="494"/>
      <c r="RV2" s="494"/>
      <c r="RW2" s="494"/>
      <c r="RX2" s="494"/>
      <c r="RY2" s="494"/>
      <c r="RZ2" s="494"/>
      <c r="SA2" s="494"/>
      <c r="SB2" s="494"/>
      <c r="SC2" s="494"/>
      <c r="SD2" s="494"/>
      <c r="SE2" s="494"/>
      <c r="SF2" s="494"/>
      <c r="SG2" s="494"/>
      <c r="SH2" s="494"/>
      <c r="SI2" s="494"/>
      <c r="SJ2" s="494"/>
      <c r="SK2" s="494"/>
      <c r="SL2" s="494"/>
      <c r="SM2" s="494"/>
      <c r="SN2" s="494"/>
      <c r="SO2" s="494"/>
      <c r="SP2" s="494"/>
      <c r="SQ2" s="494"/>
      <c r="SR2" s="494"/>
      <c r="SS2" s="494"/>
      <c r="ST2" s="494"/>
      <c r="SU2" s="494"/>
      <c r="SV2" s="494"/>
      <c r="SW2" s="494"/>
      <c r="SX2" s="494"/>
      <c r="SY2" s="494"/>
      <c r="SZ2" s="494"/>
      <c r="TA2" s="494"/>
      <c r="TB2" s="494"/>
      <c r="TC2" s="494"/>
      <c r="TD2" s="494"/>
      <c r="TE2" s="494"/>
      <c r="TF2" s="494"/>
      <c r="TG2" s="494"/>
      <c r="TH2" s="494"/>
      <c r="TI2" s="494"/>
      <c r="TJ2" s="494"/>
      <c r="TK2" s="494"/>
      <c r="TL2" s="494"/>
      <c r="TM2" s="494"/>
      <c r="TN2" s="494"/>
      <c r="TO2" s="494"/>
      <c r="TP2" s="494"/>
      <c r="TQ2" s="494"/>
      <c r="TR2" s="494"/>
      <c r="TS2" s="494"/>
      <c r="TT2" s="494"/>
      <c r="TU2" s="494"/>
      <c r="TV2" s="494"/>
      <c r="TW2" s="494"/>
      <c r="TX2" s="494"/>
      <c r="TY2" s="494"/>
      <c r="TZ2" s="494"/>
      <c r="UA2" s="494"/>
      <c r="UB2" s="494"/>
      <c r="UC2" s="494"/>
      <c r="UD2" s="494"/>
      <c r="UE2" s="494"/>
      <c r="UF2" s="494"/>
      <c r="UG2" s="494"/>
      <c r="UH2" s="494"/>
      <c r="UI2" s="494"/>
      <c r="UJ2" s="494"/>
      <c r="UK2" s="494"/>
      <c r="UL2" s="494"/>
      <c r="UM2" s="494"/>
      <c r="UN2" s="494"/>
      <c r="UO2" s="494"/>
      <c r="UP2" s="494"/>
      <c r="UQ2" s="494"/>
      <c r="UR2" s="494"/>
      <c r="US2" s="494"/>
      <c r="UT2" s="494"/>
      <c r="UU2" s="494"/>
      <c r="UV2" s="494"/>
      <c r="UW2" s="494"/>
      <c r="UX2" s="494"/>
      <c r="UY2" s="494"/>
      <c r="UZ2" s="494"/>
      <c r="VA2" s="494"/>
      <c r="VB2" s="494"/>
      <c r="VC2" s="494"/>
      <c r="VD2" s="494"/>
      <c r="VE2" s="494"/>
      <c r="VF2" s="494"/>
      <c r="VG2" s="494"/>
      <c r="VH2" s="494"/>
      <c r="VI2" s="494"/>
      <c r="VJ2" s="494"/>
      <c r="VK2" s="494"/>
      <c r="VL2" s="494"/>
      <c r="VM2" s="494"/>
      <c r="VN2" s="494"/>
      <c r="VO2" s="494"/>
      <c r="VP2" s="494"/>
      <c r="VQ2" s="494"/>
      <c r="VR2" s="494"/>
      <c r="VS2" s="494"/>
      <c r="VT2" s="494"/>
      <c r="VU2" s="494"/>
      <c r="VV2" s="494"/>
      <c r="VW2" s="494"/>
      <c r="VX2" s="494"/>
      <c r="VY2" s="494"/>
      <c r="VZ2" s="494"/>
      <c r="WA2" s="494"/>
      <c r="WB2" s="494"/>
      <c r="WC2" s="494"/>
      <c r="WD2" s="494"/>
      <c r="WE2" s="494"/>
      <c r="WF2" s="494"/>
      <c r="WG2" s="494"/>
      <c r="WH2" s="494"/>
      <c r="WI2" s="494"/>
      <c r="WJ2" s="494"/>
      <c r="WK2" s="494"/>
      <c r="WL2" s="494"/>
      <c r="WM2" s="494"/>
      <c r="WN2" s="494"/>
      <c r="WO2" s="494"/>
      <c r="WP2" s="494"/>
      <c r="WQ2" s="494"/>
      <c r="WR2" s="494"/>
      <c r="WS2" s="494"/>
      <c r="WT2" s="494"/>
      <c r="WU2" s="494"/>
      <c r="WV2" s="494"/>
      <c r="WW2" s="494"/>
      <c r="WX2" s="494"/>
      <c r="WY2" s="494"/>
      <c r="WZ2" s="494"/>
      <c r="XA2" s="494"/>
      <c r="XB2" s="494"/>
      <c r="XC2" s="494"/>
      <c r="XD2" s="494"/>
      <c r="XE2" s="494"/>
      <c r="XF2" s="494"/>
      <c r="XG2" s="494"/>
      <c r="XH2" s="494"/>
      <c r="XI2" s="494"/>
      <c r="XJ2" s="494"/>
      <c r="XK2" s="494"/>
      <c r="XL2" s="494"/>
      <c r="XM2" s="494"/>
      <c r="XN2" s="494"/>
      <c r="XO2" s="494"/>
      <c r="XP2" s="494"/>
      <c r="XQ2" s="494"/>
      <c r="XR2" s="494"/>
      <c r="XS2" s="494"/>
      <c r="XT2" s="494"/>
      <c r="XU2" s="494"/>
      <c r="XV2" s="494"/>
      <c r="XW2" s="494"/>
      <c r="XX2" s="494"/>
      <c r="XY2" s="494"/>
      <c r="XZ2" s="494"/>
      <c r="YA2" s="494"/>
      <c r="YB2" s="494"/>
      <c r="YC2" s="494"/>
      <c r="YD2" s="494"/>
      <c r="YE2" s="494"/>
      <c r="YF2" s="494"/>
      <c r="YG2" s="494"/>
      <c r="YH2" s="494"/>
      <c r="YI2" s="494"/>
      <c r="YJ2" s="494"/>
      <c r="YK2" s="494"/>
      <c r="YL2" s="494"/>
      <c r="YM2" s="494"/>
      <c r="YN2" s="494"/>
      <c r="YO2" s="494"/>
      <c r="YP2" s="494"/>
      <c r="YQ2" s="494"/>
      <c r="YR2" s="494"/>
      <c r="YS2" s="494"/>
      <c r="YT2" s="494"/>
      <c r="YU2" s="494"/>
      <c r="YV2" s="494"/>
      <c r="YW2" s="494"/>
      <c r="YX2" s="494"/>
      <c r="YY2" s="494"/>
      <c r="YZ2" s="494"/>
      <c r="ZA2" s="494"/>
      <c r="ZB2" s="494"/>
      <c r="ZC2" s="494"/>
      <c r="ZD2" s="494"/>
      <c r="ZE2" s="494"/>
      <c r="ZF2" s="494"/>
      <c r="ZG2" s="494"/>
      <c r="ZH2" s="494"/>
      <c r="ZI2" s="494"/>
      <c r="ZJ2" s="494"/>
      <c r="ZK2" s="494"/>
      <c r="ZL2" s="494"/>
      <c r="ZM2" s="494"/>
      <c r="ZN2" s="494"/>
      <c r="ZO2" s="494"/>
      <c r="ZP2" s="494"/>
      <c r="ZQ2" s="494"/>
      <c r="ZR2" s="494"/>
      <c r="ZS2" s="494"/>
      <c r="ZT2" s="494"/>
      <c r="ZU2" s="494"/>
      <c r="ZV2" s="494"/>
      <c r="ZW2" s="494"/>
      <c r="ZX2" s="494"/>
      <c r="ZY2" s="494"/>
      <c r="ZZ2" s="494"/>
      <c r="AAA2" s="494"/>
      <c r="AAB2" s="494"/>
      <c r="AAC2" s="494"/>
      <c r="AAD2" s="494"/>
      <c r="AAE2" s="494"/>
      <c r="AAF2" s="494"/>
      <c r="AAG2" s="494"/>
      <c r="AAH2" s="494"/>
      <c r="AAI2" s="494"/>
      <c r="AAJ2" s="494"/>
      <c r="AAK2" s="494"/>
      <c r="AAL2" s="494"/>
      <c r="AAM2" s="494"/>
      <c r="AAN2" s="494"/>
      <c r="AAO2" s="494"/>
      <c r="AAP2" s="494"/>
      <c r="AAQ2" s="494"/>
      <c r="AAR2" s="494"/>
      <c r="AAS2" s="494"/>
      <c r="AAT2" s="494"/>
      <c r="AAU2" s="494"/>
      <c r="AAV2" s="494"/>
      <c r="AAW2" s="494"/>
      <c r="AAX2" s="494"/>
      <c r="AAY2" s="494"/>
      <c r="AAZ2" s="494"/>
      <c r="ABA2" s="494"/>
      <c r="ABB2" s="494"/>
      <c r="ABC2" s="494"/>
      <c r="ABD2" s="494"/>
      <c r="ABE2" s="494"/>
      <c r="ABF2" s="494"/>
      <c r="ABG2" s="494"/>
      <c r="ABH2" s="494"/>
      <c r="ABI2" s="494"/>
      <c r="ABJ2" s="494"/>
      <c r="ABK2" s="494"/>
      <c r="ABL2" s="494"/>
      <c r="ABM2" s="494"/>
      <c r="ABN2" s="494"/>
      <c r="ABO2" s="494"/>
      <c r="ABP2" s="494"/>
      <c r="ABQ2" s="494"/>
      <c r="ABR2" s="494"/>
      <c r="ABS2" s="494"/>
      <c r="ABT2" s="494"/>
      <c r="ABU2" s="494"/>
      <c r="ABV2" s="494"/>
      <c r="ABW2" s="494"/>
      <c r="ABX2" s="494"/>
      <c r="ABY2" s="494"/>
      <c r="ABZ2" s="494"/>
      <c r="ACA2" s="494"/>
      <c r="ACB2" s="494"/>
      <c r="ACC2" s="494"/>
      <c r="ACD2" s="494"/>
      <c r="ACE2" s="494"/>
      <c r="ACF2" s="494"/>
      <c r="ACG2" s="494"/>
      <c r="ACH2" s="494"/>
      <c r="ACI2" s="494"/>
      <c r="ACJ2" s="494"/>
      <c r="ACK2" s="494"/>
      <c r="ACL2" s="494"/>
      <c r="ACM2" s="494"/>
      <c r="ACN2" s="494"/>
      <c r="ACO2" s="494"/>
      <c r="ACP2" s="494"/>
      <c r="ACQ2" s="494"/>
      <c r="ACR2" s="494"/>
      <c r="ACS2" s="494"/>
      <c r="ACT2" s="494"/>
      <c r="ACU2" s="494"/>
      <c r="ACV2" s="494"/>
      <c r="ACW2" s="494"/>
      <c r="ACX2" s="494"/>
      <c r="ACY2" s="494"/>
      <c r="ACZ2" s="494"/>
      <c r="ADA2" s="494"/>
      <c r="ADB2" s="494"/>
      <c r="ADC2" s="494"/>
      <c r="ADD2" s="494"/>
      <c r="ADE2" s="494"/>
      <c r="ADF2" s="494"/>
      <c r="ADG2" s="494"/>
      <c r="ADH2" s="494"/>
      <c r="ADI2" s="494"/>
      <c r="ADJ2" s="494"/>
      <c r="ADK2" s="494"/>
      <c r="ADL2" s="494"/>
      <c r="ADM2" s="494"/>
      <c r="ADN2" s="494"/>
      <c r="ADO2" s="494"/>
      <c r="ADP2" s="494"/>
      <c r="ADQ2" s="494"/>
      <c r="ADR2" s="494"/>
      <c r="ADS2" s="494"/>
      <c r="ADT2" s="494"/>
      <c r="ADU2" s="494"/>
      <c r="ADV2" s="494"/>
      <c r="ADW2" s="494"/>
      <c r="ADX2" s="494"/>
      <c r="ADY2" s="494"/>
      <c r="ADZ2" s="494"/>
      <c r="AEA2" s="494"/>
      <c r="AEB2" s="494"/>
      <c r="AEC2" s="494"/>
      <c r="AED2" s="494"/>
      <c r="AEE2" s="494"/>
      <c r="AEF2" s="494"/>
      <c r="AEG2" s="494"/>
      <c r="AEH2" s="494"/>
      <c r="AEI2" s="494"/>
      <c r="AEJ2" s="494"/>
      <c r="AEK2" s="494"/>
      <c r="AEL2" s="494"/>
      <c r="AEM2" s="494"/>
      <c r="AEN2" s="494"/>
      <c r="AEO2" s="494"/>
      <c r="AEP2" s="494"/>
      <c r="AEQ2" s="494"/>
      <c r="AER2" s="494"/>
      <c r="AES2" s="494"/>
      <c r="AET2" s="494"/>
      <c r="AEU2" s="494"/>
      <c r="AEV2" s="494"/>
      <c r="AEW2" s="494"/>
      <c r="AEX2" s="494"/>
      <c r="AEY2" s="494"/>
      <c r="AEZ2" s="494"/>
      <c r="AFA2" s="494"/>
      <c r="AFB2" s="494"/>
      <c r="AFC2" s="494"/>
      <c r="AFD2" s="494"/>
      <c r="AFE2" s="494"/>
      <c r="AFF2" s="494"/>
      <c r="AFG2" s="494"/>
      <c r="AFH2" s="494"/>
      <c r="AFI2" s="494"/>
      <c r="AFJ2" s="494"/>
      <c r="AFK2" s="494"/>
      <c r="AFL2" s="494"/>
      <c r="AFM2" s="494"/>
      <c r="AFN2" s="494"/>
      <c r="AFO2" s="494"/>
      <c r="AFP2" s="494"/>
      <c r="AFQ2" s="494"/>
      <c r="AFR2" s="494"/>
      <c r="AFS2" s="494"/>
      <c r="AFT2" s="494"/>
      <c r="AFU2" s="494"/>
      <c r="AFV2" s="494"/>
      <c r="AFW2" s="494"/>
      <c r="AFX2" s="494"/>
      <c r="AFY2" s="494"/>
      <c r="AFZ2" s="494"/>
      <c r="AGA2" s="494"/>
      <c r="AGB2" s="494"/>
      <c r="AGC2" s="494"/>
      <c r="AGD2" s="494"/>
      <c r="AGE2" s="494"/>
      <c r="AGF2" s="494"/>
      <c r="AGG2" s="494"/>
      <c r="AGH2" s="494"/>
      <c r="AGI2" s="494"/>
      <c r="AGJ2" s="494"/>
      <c r="AGK2" s="494"/>
      <c r="AGL2" s="494"/>
      <c r="AGM2" s="494"/>
      <c r="AGN2" s="494"/>
      <c r="AGO2" s="494"/>
      <c r="AGP2" s="494"/>
      <c r="AGQ2" s="494"/>
      <c r="AGR2" s="494"/>
      <c r="AGS2" s="494"/>
      <c r="AGT2" s="494"/>
      <c r="AGU2" s="494"/>
      <c r="AGV2" s="494"/>
      <c r="AGW2" s="494"/>
      <c r="AGX2" s="494"/>
      <c r="AGY2" s="494"/>
      <c r="AGZ2" s="494"/>
      <c r="AHA2" s="494"/>
      <c r="AHB2" s="494"/>
      <c r="AHC2" s="494"/>
      <c r="AHD2" s="494"/>
      <c r="AHE2" s="494"/>
      <c r="AHF2" s="494"/>
      <c r="AHG2" s="494"/>
      <c r="AHH2" s="494"/>
      <c r="AHI2" s="494"/>
      <c r="AHJ2" s="494"/>
      <c r="AHK2" s="494"/>
      <c r="AHL2" s="494"/>
      <c r="AHM2" s="494"/>
      <c r="AHN2" s="494"/>
      <c r="AHO2" s="494"/>
      <c r="AHP2" s="494"/>
      <c r="AHQ2" s="494"/>
      <c r="AHR2" s="494"/>
      <c r="AHS2" s="494"/>
      <c r="AHT2" s="494"/>
      <c r="AHU2" s="494"/>
      <c r="AHV2" s="494"/>
      <c r="AHW2" s="494"/>
      <c r="AHX2" s="494"/>
      <c r="AHY2" s="494"/>
      <c r="AHZ2" s="494"/>
      <c r="AIA2" s="494"/>
      <c r="AIB2" s="494"/>
      <c r="AIC2" s="494"/>
      <c r="AID2" s="494"/>
      <c r="AIE2" s="494"/>
      <c r="AIF2" s="494"/>
      <c r="AIG2" s="494"/>
      <c r="AIH2" s="494"/>
      <c r="AII2" s="494"/>
      <c r="AIJ2" s="494"/>
      <c r="AIK2" s="494"/>
      <c r="AIL2" s="494"/>
      <c r="AIM2" s="494"/>
      <c r="AIN2" s="494"/>
      <c r="AIO2" s="494"/>
      <c r="AIP2" s="494"/>
      <c r="AIQ2" s="494"/>
      <c r="AIR2" s="494"/>
      <c r="AIS2" s="494"/>
      <c r="AIT2" s="494"/>
      <c r="AIU2" s="494"/>
      <c r="AIV2" s="494"/>
      <c r="AIW2" s="494"/>
      <c r="AIX2" s="494"/>
      <c r="AIY2" s="494"/>
      <c r="AIZ2" s="494"/>
      <c r="AJA2" s="494"/>
      <c r="AJB2" s="494"/>
      <c r="AJC2" s="494"/>
      <c r="AJD2" s="494"/>
      <c r="AJE2" s="494"/>
      <c r="AJF2" s="494"/>
      <c r="AJG2" s="494"/>
      <c r="AJH2" s="494"/>
      <c r="AJI2" s="494"/>
      <c r="AJJ2" s="494"/>
      <c r="AJK2" s="494"/>
      <c r="AJL2" s="494"/>
      <c r="AJM2" s="494"/>
      <c r="AJN2" s="494"/>
      <c r="AJO2" s="494"/>
      <c r="AJP2" s="494"/>
      <c r="AJQ2" s="494"/>
      <c r="AJR2" s="494"/>
      <c r="AJS2" s="494"/>
      <c r="AJT2" s="494"/>
      <c r="AJU2" s="494"/>
      <c r="AJV2" s="494"/>
      <c r="AJW2" s="494"/>
      <c r="AJX2" s="494"/>
      <c r="AJY2" s="494"/>
      <c r="AJZ2" s="494"/>
      <c r="AKA2" s="494"/>
      <c r="AKB2" s="494"/>
      <c r="AKC2" s="494"/>
      <c r="AKD2" s="494"/>
      <c r="AKE2" s="494"/>
      <c r="AKF2" s="494"/>
      <c r="AKG2" s="494"/>
      <c r="AKH2" s="494"/>
      <c r="AKI2" s="494"/>
      <c r="AKJ2" s="494"/>
      <c r="AKK2" s="494"/>
      <c r="AKL2" s="494"/>
      <c r="AKM2" s="494"/>
      <c r="AKN2" s="494"/>
      <c r="AKO2" s="494"/>
      <c r="AKP2" s="494"/>
      <c r="AKQ2" s="494"/>
      <c r="AKR2" s="494"/>
      <c r="AKS2" s="494"/>
      <c r="AKT2" s="494"/>
      <c r="AKU2" s="494"/>
      <c r="AKV2" s="494"/>
      <c r="AKW2" s="494"/>
      <c r="AKX2" s="494"/>
      <c r="AKY2" s="494"/>
      <c r="AKZ2" s="494"/>
      <c r="ALA2" s="494"/>
      <c r="ALB2" s="494"/>
      <c r="ALC2" s="494"/>
      <c r="ALD2" s="494"/>
      <c r="ALE2" s="494"/>
      <c r="ALF2" s="494"/>
      <c r="ALG2" s="494"/>
      <c r="ALH2" s="494"/>
      <c r="ALI2" s="494"/>
      <c r="ALJ2" s="494"/>
      <c r="ALK2" s="494"/>
      <c r="ALL2" s="494"/>
      <c r="ALM2" s="494"/>
      <c r="ALN2" s="494"/>
      <c r="ALO2" s="494"/>
      <c r="ALP2" s="494"/>
      <c r="ALQ2" s="494"/>
      <c r="ALR2" s="494"/>
      <c r="ALS2" s="494"/>
      <c r="ALT2" s="494"/>
      <c r="ALU2" s="494"/>
      <c r="ALV2" s="494"/>
      <c r="ALW2" s="494"/>
      <c r="ALX2" s="494"/>
      <c r="ALY2" s="494"/>
      <c r="ALZ2" s="494"/>
      <c r="AMA2" s="494"/>
      <c r="AMB2" s="494"/>
      <c r="AMC2" s="494"/>
      <c r="AMD2" s="494"/>
      <c r="AME2" s="494"/>
      <c r="AMF2" s="494"/>
      <c r="AMG2" s="494"/>
      <c r="AMH2" s="494"/>
      <c r="AMI2" s="494"/>
      <c r="AMJ2" s="494"/>
      <c r="AMK2" s="494"/>
      <c r="AML2" s="494"/>
      <c r="AMM2" s="494"/>
      <c r="AMN2" s="494"/>
      <c r="AMO2" s="494"/>
      <c r="AMP2" s="494"/>
      <c r="AMQ2" s="494"/>
      <c r="AMR2" s="494"/>
      <c r="AMS2" s="494"/>
      <c r="AMT2" s="494"/>
      <c r="AMU2" s="494"/>
      <c r="AMV2" s="494"/>
      <c r="AMW2" s="494"/>
      <c r="AMX2" s="494"/>
      <c r="AMY2" s="494"/>
      <c r="AMZ2" s="494"/>
      <c r="ANA2" s="494"/>
      <c r="ANB2" s="494"/>
      <c r="ANC2" s="494"/>
      <c r="AND2" s="494"/>
      <c r="ANE2" s="494"/>
      <c r="ANF2" s="494"/>
      <c r="ANG2" s="494"/>
      <c r="ANH2" s="494"/>
      <c r="ANI2" s="494"/>
      <c r="ANJ2" s="494"/>
      <c r="ANK2" s="494"/>
      <c r="ANL2" s="494"/>
      <c r="ANM2" s="494"/>
      <c r="ANN2" s="494"/>
      <c r="ANO2" s="494"/>
      <c r="ANP2" s="494"/>
      <c r="ANQ2" s="494"/>
      <c r="ANR2" s="494"/>
      <c r="ANS2" s="494"/>
      <c r="ANT2" s="494"/>
      <c r="ANU2" s="494"/>
      <c r="ANV2" s="494"/>
      <c r="ANW2" s="494"/>
      <c r="ANX2" s="494"/>
      <c r="ANY2" s="494"/>
      <c r="ANZ2" s="494"/>
      <c r="AOA2" s="494"/>
      <c r="AOB2" s="494"/>
      <c r="AOC2" s="494"/>
      <c r="AOD2" s="494"/>
      <c r="AOE2" s="494"/>
      <c r="AOF2" s="494"/>
      <c r="AOG2" s="494"/>
      <c r="AOH2" s="494"/>
      <c r="AOI2" s="494"/>
      <c r="AOJ2" s="494"/>
      <c r="AOK2" s="494"/>
      <c r="AOL2" s="494"/>
      <c r="AOM2" s="494"/>
      <c r="AON2" s="494"/>
      <c r="AOO2" s="494"/>
      <c r="AOP2" s="494"/>
      <c r="AOQ2" s="494"/>
      <c r="AOR2" s="494"/>
      <c r="AOS2" s="494"/>
      <c r="AOT2" s="494"/>
      <c r="AOU2" s="494"/>
      <c r="AOV2" s="494"/>
      <c r="AOW2" s="494"/>
      <c r="AOX2" s="494"/>
      <c r="AOY2" s="494"/>
      <c r="AOZ2" s="494"/>
      <c r="APA2" s="494"/>
      <c r="APB2" s="494"/>
      <c r="APC2" s="494"/>
      <c r="APD2" s="494"/>
      <c r="APE2" s="494"/>
      <c r="APF2" s="494"/>
      <c r="APG2" s="494"/>
      <c r="APH2" s="494"/>
      <c r="API2" s="494"/>
      <c r="APJ2" s="494"/>
      <c r="APK2" s="494"/>
      <c r="APL2" s="494"/>
      <c r="APM2" s="494"/>
      <c r="APN2" s="494"/>
      <c r="APO2" s="494"/>
      <c r="APP2" s="494"/>
      <c r="APQ2" s="494"/>
      <c r="APR2" s="494"/>
      <c r="APS2" s="494"/>
      <c r="APT2" s="494"/>
      <c r="APU2" s="494"/>
      <c r="APV2" s="494"/>
      <c r="APW2" s="494"/>
      <c r="APX2" s="494"/>
      <c r="APY2" s="494"/>
      <c r="APZ2" s="494"/>
      <c r="AQA2" s="494"/>
      <c r="AQB2" s="494"/>
      <c r="AQC2" s="494"/>
      <c r="AQD2" s="494"/>
      <c r="AQE2" s="494"/>
      <c r="AQF2" s="494"/>
      <c r="AQG2" s="494"/>
      <c r="AQH2" s="494"/>
      <c r="AQI2" s="494"/>
      <c r="AQJ2" s="494"/>
      <c r="AQK2" s="494"/>
      <c r="AQL2" s="494"/>
      <c r="AQM2" s="494"/>
      <c r="AQN2" s="494"/>
      <c r="AQO2" s="494"/>
      <c r="AQP2" s="494"/>
      <c r="AQQ2" s="494"/>
      <c r="AQR2" s="494"/>
      <c r="AQS2" s="494"/>
      <c r="AQT2" s="494"/>
      <c r="AQU2" s="494"/>
      <c r="AQV2" s="494"/>
      <c r="AQW2" s="494"/>
      <c r="AQX2" s="494"/>
      <c r="AQY2" s="494"/>
      <c r="AQZ2" s="494"/>
      <c r="ARA2" s="494"/>
      <c r="ARB2" s="494"/>
      <c r="ARC2" s="494"/>
      <c r="ARD2" s="494"/>
      <c r="ARE2" s="494"/>
      <c r="ARF2" s="494"/>
      <c r="ARG2" s="494"/>
      <c r="ARH2" s="494"/>
      <c r="ARI2" s="494"/>
      <c r="ARJ2" s="494"/>
      <c r="ARK2" s="494"/>
      <c r="ARL2" s="494"/>
      <c r="ARM2" s="494"/>
      <c r="ARN2" s="494"/>
      <c r="ARO2" s="494"/>
      <c r="ARP2" s="494"/>
      <c r="ARQ2" s="494"/>
      <c r="ARR2" s="494"/>
      <c r="ARS2" s="494"/>
      <c r="ART2" s="494"/>
      <c r="ARU2" s="494"/>
      <c r="ARV2" s="494"/>
      <c r="ARW2" s="494"/>
      <c r="ARX2" s="494"/>
      <c r="ARY2" s="494"/>
      <c r="ARZ2" s="494"/>
      <c r="ASA2" s="494"/>
      <c r="ASB2" s="494"/>
      <c r="ASC2" s="494"/>
      <c r="ASD2" s="494"/>
      <c r="ASE2" s="494"/>
      <c r="ASF2" s="494"/>
      <c r="ASG2" s="494"/>
      <c r="ASH2" s="494"/>
      <c r="ASI2" s="494"/>
      <c r="ASJ2" s="494"/>
      <c r="ASK2" s="494"/>
      <c r="ASL2" s="494"/>
      <c r="ASM2" s="494"/>
      <c r="ASN2" s="494"/>
      <c r="ASO2" s="494"/>
      <c r="ASP2" s="494"/>
      <c r="ASQ2" s="494"/>
      <c r="ASR2" s="494"/>
      <c r="ASS2" s="494"/>
      <c r="AST2" s="494"/>
      <c r="ASU2" s="494"/>
      <c r="ASV2" s="494"/>
      <c r="ASW2" s="494"/>
      <c r="ASX2" s="494"/>
      <c r="ASY2" s="494"/>
      <c r="ASZ2" s="494"/>
      <c r="ATA2" s="494"/>
      <c r="ATB2" s="494"/>
      <c r="ATC2" s="494"/>
      <c r="ATD2" s="494"/>
      <c r="ATE2" s="494"/>
      <c r="ATF2" s="494"/>
      <c r="ATG2" s="494"/>
      <c r="ATH2" s="494"/>
      <c r="ATI2" s="494"/>
      <c r="ATJ2" s="494"/>
      <c r="ATK2" s="494"/>
      <c r="ATL2" s="494"/>
      <c r="ATM2" s="494"/>
      <c r="ATN2" s="494"/>
      <c r="ATO2" s="494"/>
      <c r="ATP2" s="494"/>
      <c r="ATQ2" s="494"/>
      <c r="ATR2" s="494"/>
      <c r="ATS2" s="494"/>
      <c r="ATT2" s="494"/>
      <c r="ATU2" s="494"/>
      <c r="ATV2" s="494"/>
      <c r="ATW2" s="494"/>
      <c r="ATX2" s="494"/>
      <c r="ATY2" s="494"/>
      <c r="ATZ2" s="494"/>
      <c r="AUA2" s="494"/>
      <c r="AUB2" s="494"/>
      <c r="AUC2" s="494"/>
      <c r="AUD2" s="494"/>
      <c r="AUE2" s="494"/>
      <c r="AUF2" s="494"/>
      <c r="AUG2" s="494"/>
      <c r="AUH2" s="494"/>
      <c r="AUI2" s="494"/>
      <c r="AUJ2" s="494"/>
      <c r="AUK2" s="494"/>
      <c r="AUL2" s="494"/>
      <c r="AUM2" s="494"/>
      <c r="AUN2" s="494"/>
      <c r="AUO2" s="494"/>
      <c r="AUP2" s="494"/>
      <c r="AUQ2" s="494"/>
      <c r="AUR2" s="494"/>
      <c r="AUS2" s="494"/>
      <c r="AUT2" s="494"/>
      <c r="AUU2" s="494"/>
      <c r="AUV2" s="494"/>
      <c r="AUW2" s="494"/>
      <c r="AUX2" s="494"/>
      <c r="AUY2" s="494"/>
      <c r="AUZ2" s="494"/>
      <c r="AVA2" s="494"/>
      <c r="AVB2" s="494"/>
      <c r="AVC2" s="494"/>
      <c r="AVD2" s="494"/>
      <c r="AVE2" s="494"/>
      <c r="AVF2" s="494"/>
      <c r="AVG2" s="494"/>
      <c r="AVH2" s="494"/>
      <c r="AVI2" s="494"/>
      <c r="AVJ2" s="494"/>
      <c r="AVK2" s="494"/>
      <c r="AVL2" s="494"/>
      <c r="AVM2" s="494"/>
      <c r="AVN2" s="494"/>
      <c r="AVO2" s="494"/>
      <c r="AVP2" s="494"/>
      <c r="AVQ2" s="494"/>
      <c r="AVR2" s="494"/>
      <c r="AVS2" s="494"/>
      <c r="AVT2" s="494"/>
      <c r="AVU2" s="494"/>
      <c r="AVV2" s="494"/>
      <c r="AVW2" s="494"/>
      <c r="AVX2" s="494"/>
      <c r="AVY2" s="494"/>
      <c r="AVZ2" s="494"/>
      <c r="AWA2" s="494"/>
      <c r="AWB2" s="494"/>
      <c r="AWC2" s="494"/>
      <c r="AWD2" s="494"/>
      <c r="AWE2" s="494"/>
      <c r="AWF2" s="494"/>
      <c r="AWG2" s="494"/>
      <c r="AWH2" s="494"/>
      <c r="AWI2" s="494"/>
      <c r="AWJ2" s="494"/>
      <c r="AWK2" s="494"/>
      <c r="AWL2" s="494"/>
      <c r="AWM2" s="494"/>
      <c r="AWN2" s="494"/>
      <c r="AWO2" s="494"/>
      <c r="AWP2" s="494"/>
      <c r="AWQ2" s="494"/>
      <c r="AWR2" s="494"/>
      <c r="AWS2" s="494"/>
      <c r="AWT2" s="494"/>
      <c r="AWU2" s="494"/>
      <c r="AWV2" s="494"/>
      <c r="AWW2" s="494"/>
      <c r="AWX2" s="494"/>
      <c r="AWY2" s="494"/>
      <c r="AWZ2" s="494"/>
      <c r="AXA2" s="494"/>
      <c r="AXB2" s="494"/>
      <c r="AXC2" s="494"/>
      <c r="AXD2" s="494"/>
      <c r="AXE2" s="494"/>
      <c r="AXF2" s="494"/>
      <c r="AXG2" s="494"/>
      <c r="AXH2" s="494"/>
      <c r="AXI2" s="494"/>
      <c r="AXJ2" s="494"/>
      <c r="AXK2" s="494"/>
      <c r="AXL2" s="494"/>
      <c r="AXM2" s="494"/>
      <c r="AXN2" s="494"/>
      <c r="AXO2" s="494"/>
      <c r="AXP2" s="494"/>
      <c r="AXQ2" s="494"/>
      <c r="AXR2" s="494"/>
      <c r="AXS2" s="494"/>
      <c r="AXT2" s="494"/>
      <c r="AXU2" s="494"/>
      <c r="AXV2" s="494"/>
      <c r="AXW2" s="494"/>
      <c r="AXX2" s="494"/>
      <c r="AXY2" s="494"/>
      <c r="AXZ2" s="494"/>
      <c r="AYA2" s="494"/>
      <c r="AYB2" s="494"/>
      <c r="AYC2" s="494"/>
      <c r="AYD2" s="494"/>
      <c r="AYE2" s="494"/>
      <c r="AYF2" s="494"/>
      <c r="AYG2" s="494"/>
      <c r="AYH2" s="494"/>
      <c r="AYI2" s="494"/>
      <c r="AYJ2" s="494"/>
      <c r="AYK2" s="494"/>
      <c r="AYL2" s="494"/>
      <c r="AYM2" s="494"/>
      <c r="AYN2" s="494"/>
      <c r="AYO2" s="494"/>
      <c r="AYP2" s="494"/>
      <c r="AYQ2" s="494"/>
      <c r="AYR2" s="494"/>
      <c r="AYS2" s="494"/>
      <c r="AYT2" s="494"/>
      <c r="AYU2" s="494"/>
      <c r="AYV2" s="494"/>
      <c r="AYW2" s="494"/>
      <c r="AYX2" s="494"/>
      <c r="AYY2" s="494"/>
      <c r="AYZ2" s="494"/>
      <c r="AZA2" s="494"/>
      <c r="AZB2" s="494"/>
      <c r="AZC2" s="494"/>
      <c r="AZD2" s="494"/>
      <c r="AZE2" s="494"/>
      <c r="AZF2" s="494"/>
      <c r="AZG2" s="494"/>
      <c r="AZH2" s="494"/>
      <c r="AZI2" s="494"/>
      <c r="AZJ2" s="494"/>
      <c r="AZK2" s="494"/>
      <c r="AZL2" s="494"/>
      <c r="AZM2" s="494"/>
      <c r="AZN2" s="494"/>
      <c r="AZO2" s="494"/>
      <c r="AZP2" s="494"/>
      <c r="AZQ2" s="494"/>
      <c r="AZR2" s="494"/>
      <c r="AZS2" s="494"/>
      <c r="AZT2" s="494"/>
      <c r="AZU2" s="494"/>
      <c r="AZV2" s="494"/>
      <c r="AZW2" s="494"/>
      <c r="AZX2" s="494"/>
      <c r="AZY2" s="494"/>
      <c r="AZZ2" s="494"/>
      <c r="BAA2" s="494"/>
      <c r="BAB2" s="494"/>
      <c r="BAC2" s="494"/>
      <c r="BAD2" s="494"/>
      <c r="BAE2" s="494"/>
      <c r="BAF2" s="494"/>
      <c r="BAG2" s="494"/>
      <c r="BAH2" s="494"/>
      <c r="BAI2" s="494"/>
      <c r="BAJ2" s="494"/>
      <c r="BAK2" s="494"/>
      <c r="BAL2" s="494"/>
      <c r="BAM2" s="494"/>
      <c r="BAN2" s="494"/>
      <c r="BAO2" s="494"/>
      <c r="BAP2" s="494"/>
      <c r="BAQ2" s="494"/>
      <c r="BAR2" s="494"/>
      <c r="BAS2" s="494"/>
      <c r="BAT2" s="494"/>
      <c r="BAU2" s="494"/>
      <c r="BAV2" s="494"/>
      <c r="BAW2" s="494"/>
      <c r="BAX2" s="494"/>
      <c r="BAY2" s="494"/>
      <c r="BAZ2" s="494"/>
      <c r="BBA2" s="494"/>
      <c r="BBB2" s="494"/>
      <c r="BBC2" s="494"/>
      <c r="BBD2" s="494"/>
      <c r="BBE2" s="494"/>
      <c r="BBF2" s="494"/>
      <c r="BBG2" s="494"/>
      <c r="BBH2" s="494"/>
      <c r="BBI2" s="494"/>
      <c r="BBJ2" s="494"/>
      <c r="BBK2" s="494"/>
      <c r="BBL2" s="494"/>
      <c r="BBM2" s="494"/>
      <c r="BBN2" s="494"/>
      <c r="BBO2" s="494"/>
      <c r="BBP2" s="494"/>
      <c r="BBQ2" s="494"/>
      <c r="BBR2" s="494"/>
      <c r="BBS2" s="494"/>
      <c r="BBT2" s="494"/>
      <c r="BBU2" s="494"/>
      <c r="BBV2" s="494"/>
      <c r="BBW2" s="494"/>
      <c r="BBX2" s="494"/>
      <c r="BBY2" s="494"/>
      <c r="BBZ2" s="494"/>
      <c r="BCA2" s="494"/>
      <c r="BCB2" s="494"/>
      <c r="BCC2" s="494"/>
      <c r="BCD2" s="494"/>
      <c r="BCE2" s="494"/>
      <c r="BCF2" s="494"/>
      <c r="BCG2" s="494"/>
      <c r="BCH2" s="494"/>
      <c r="BCI2" s="494"/>
      <c r="BCJ2" s="494"/>
      <c r="BCK2" s="494"/>
      <c r="BCL2" s="494"/>
      <c r="BCM2" s="494"/>
      <c r="BCN2" s="494"/>
      <c r="BCO2" s="494"/>
      <c r="BCP2" s="494"/>
      <c r="BCQ2" s="494"/>
      <c r="BCR2" s="494"/>
      <c r="BCS2" s="494"/>
      <c r="BCT2" s="494"/>
      <c r="BCU2" s="494"/>
      <c r="BCV2" s="494"/>
      <c r="BCW2" s="494"/>
      <c r="BCX2" s="494"/>
      <c r="BCY2" s="494"/>
      <c r="BCZ2" s="494"/>
      <c r="BDA2" s="494"/>
      <c r="BDB2" s="494"/>
      <c r="BDC2" s="494"/>
      <c r="BDD2" s="494"/>
      <c r="BDE2" s="494"/>
      <c r="BDF2" s="494"/>
      <c r="BDG2" s="494"/>
      <c r="BDH2" s="494"/>
      <c r="BDI2" s="494"/>
      <c r="BDJ2" s="494"/>
      <c r="BDK2" s="494"/>
      <c r="BDL2" s="494"/>
      <c r="BDM2" s="494"/>
      <c r="BDN2" s="494"/>
      <c r="BDO2" s="494"/>
      <c r="BDP2" s="494"/>
      <c r="BDQ2" s="494"/>
      <c r="BDR2" s="494"/>
      <c r="BDS2" s="494"/>
      <c r="BDT2" s="494"/>
      <c r="BDU2" s="494"/>
      <c r="BDV2" s="494"/>
      <c r="BDW2" s="494"/>
      <c r="BDX2" s="494"/>
      <c r="BDY2" s="494"/>
      <c r="BDZ2" s="494"/>
      <c r="BEA2" s="494"/>
      <c r="BEB2" s="494"/>
      <c r="BEC2" s="494"/>
      <c r="BED2" s="494"/>
      <c r="BEE2" s="494"/>
      <c r="BEF2" s="494"/>
      <c r="BEG2" s="494"/>
      <c r="BEH2" s="494"/>
      <c r="BEI2" s="494"/>
      <c r="BEJ2" s="494"/>
      <c r="BEK2" s="494"/>
      <c r="BEL2" s="494"/>
      <c r="BEM2" s="494"/>
      <c r="BEN2" s="494"/>
      <c r="BEO2" s="494"/>
      <c r="BEP2" s="494"/>
      <c r="BEQ2" s="494"/>
      <c r="BER2" s="494"/>
      <c r="BES2" s="494"/>
      <c r="BET2" s="494"/>
      <c r="BEU2" s="494"/>
      <c r="BEV2" s="494"/>
      <c r="BEW2" s="494"/>
      <c r="BEX2" s="494"/>
      <c r="BEY2" s="494"/>
      <c r="BEZ2" s="494"/>
      <c r="BFA2" s="494"/>
      <c r="BFB2" s="494"/>
      <c r="BFC2" s="494"/>
      <c r="BFD2" s="494"/>
      <c r="BFE2" s="494"/>
      <c r="BFF2" s="494"/>
      <c r="BFG2" s="494"/>
      <c r="BFH2" s="494"/>
      <c r="BFI2" s="494"/>
      <c r="BFJ2" s="494"/>
      <c r="BFK2" s="494"/>
      <c r="BFL2" s="494"/>
      <c r="BFM2" s="494"/>
      <c r="BFN2" s="494"/>
      <c r="BFO2" s="494"/>
      <c r="BFP2" s="494"/>
      <c r="BFQ2" s="494"/>
      <c r="BFR2" s="494"/>
      <c r="BFS2" s="494"/>
      <c r="BFT2" s="494"/>
      <c r="BFU2" s="494"/>
      <c r="BFV2" s="494"/>
      <c r="BFW2" s="494"/>
      <c r="BFX2" s="494"/>
      <c r="BFY2" s="494"/>
      <c r="BFZ2" s="494"/>
      <c r="BGA2" s="494"/>
      <c r="BGB2" s="494"/>
      <c r="BGC2" s="494"/>
      <c r="BGD2" s="494"/>
      <c r="BGE2" s="494"/>
      <c r="BGF2" s="494"/>
      <c r="BGG2" s="494"/>
      <c r="BGH2" s="494"/>
      <c r="BGI2" s="494"/>
      <c r="BGJ2" s="494"/>
      <c r="BGK2" s="494"/>
      <c r="BGL2" s="494"/>
      <c r="BGM2" s="494"/>
      <c r="BGN2" s="494"/>
      <c r="BGO2" s="494"/>
      <c r="BGP2" s="494"/>
      <c r="BGQ2" s="494"/>
      <c r="BGR2" s="494"/>
      <c r="BGS2" s="494"/>
      <c r="BGT2" s="494"/>
      <c r="BGU2" s="494"/>
      <c r="BGV2" s="494"/>
      <c r="BGW2" s="494"/>
      <c r="BGX2" s="494"/>
      <c r="BGY2" s="494"/>
      <c r="BGZ2" s="494"/>
      <c r="BHA2" s="494"/>
      <c r="BHB2" s="494"/>
      <c r="BHC2" s="494"/>
      <c r="BHD2" s="494"/>
      <c r="BHE2" s="494"/>
      <c r="BHF2" s="494"/>
      <c r="BHG2" s="494"/>
      <c r="BHH2" s="494"/>
      <c r="BHI2" s="494"/>
      <c r="BHJ2" s="494"/>
      <c r="BHK2" s="494"/>
      <c r="BHL2" s="494"/>
      <c r="BHM2" s="494"/>
      <c r="BHN2" s="494"/>
      <c r="BHO2" s="494"/>
      <c r="BHP2" s="494"/>
      <c r="BHQ2" s="494"/>
      <c r="BHR2" s="494"/>
      <c r="BHS2" s="494"/>
      <c r="BHT2" s="494"/>
      <c r="BHU2" s="494"/>
      <c r="BHV2" s="494"/>
      <c r="BHW2" s="494"/>
      <c r="BHX2" s="494"/>
      <c r="BHY2" s="494"/>
      <c r="BHZ2" s="494"/>
      <c r="BIA2" s="494"/>
      <c r="BIB2" s="494"/>
      <c r="BIC2" s="494"/>
      <c r="BID2" s="494"/>
      <c r="BIE2" s="494"/>
      <c r="BIF2" s="494"/>
      <c r="BIG2" s="494"/>
      <c r="BIH2" s="494"/>
      <c r="BII2" s="494"/>
      <c r="BIJ2" s="494"/>
      <c r="BIK2" s="494"/>
      <c r="BIL2" s="494"/>
      <c r="BIM2" s="494"/>
      <c r="BIN2" s="494"/>
      <c r="BIO2" s="494"/>
      <c r="BIP2" s="494"/>
      <c r="BIQ2" s="494"/>
      <c r="BIR2" s="494"/>
      <c r="BIS2" s="494"/>
      <c r="BIT2" s="494"/>
      <c r="BIU2" s="494"/>
      <c r="BIV2" s="494"/>
      <c r="BIW2" s="494"/>
      <c r="BIX2" s="494"/>
      <c r="BIY2" s="494"/>
      <c r="BIZ2" s="494"/>
      <c r="BJA2" s="494"/>
      <c r="BJB2" s="494"/>
      <c r="BJC2" s="494"/>
      <c r="BJD2" s="494"/>
      <c r="BJE2" s="494"/>
      <c r="BJF2" s="494"/>
      <c r="BJG2" s="494"/>
      <c r="BJH2" s="494"/>
      <c r="BJI2" s="494"/>
      <c r="BJJ2" s="494"/>
      <c r="BJK2" s="494"/>
      <c r="BJL2" s="494"/>
      <c r="BJM2" s="494"/>
      <c r="BJN2" s="494"/>
      <c r="BJO2" s="494"/>
      <c r="BJP2" s="494"/>
      <c r="BJQ2" s="494"/>
      <c r="BJR2" s="494"/>
      <c r="BJS2" s="494"/>
      <c r="BJT2" s="494"/>
      <c r="BJU2" s="494"/>
      <c r="BJV2" s="494"/>
      <c r="BJW2" s="494"/>
      <c r="BJX2" s="494"/>
      <c r="BJY2" s="494"/>
      <c r="BJZ2" s="494"/>
      <c r="BKA2" s="494"/>
      <c r="BKB2" s="494"/>
      <c r="BKC2" s="494"/>
      <c r="BKD2" s="494"/>
      <c r="BKE2" s="494"/>
      <c r="BKF2" s="494"/>
      <c r="BKG2" s="494"/>
      <c r="BKH2" s="494"/>
      <c r="BKI2" s="494"/>
      <c r="BKJ2" s="494"/>
      <c r="BKK2" s="494"/>
      <c r="BKL2" s="494"/>
      <c r="BKM2" s="494"/>
      <c r="BKN2" s="494"/>
      <c r="BKO2" s="494"/>
      <c r="BKP2" s="494"/>
      <c r="BKQ2" s="494"/>
      <c r="BKR2" s="494"/>
      <c r="BKS2" s="494"/>
      <c r="BKT2" s="494"/>
      <c r="BKU2" s="494"/>
      <c r="BKV2" s="494"/>
      <c r="BKW2" s="494"/>
      <c r="BKX2" s="494"/>
      <c r="BKY2" s="494"/>
      <c r="BKZ2" s="494"/>
      <c r="BLA2" s="494"/>
      <c r="BLB2" s="494"/>
      <c r="BLC2" s="494"/>
      <c r="BLD2" s="494"/>
      <c r="BLE2" s="494"/>
      <c r="BLF2" s="494"/>
      <c r="BLG2" s="494"/>
      <c r="BLH2" s="494"/>
      <c r="BLI2" s="494"/>
      <c r="BLJ2" s="494"/>
      <c r="BLK2" s="494"/>
      <c r="BLL2" s="494"/>
      <c r="BLM2" s="494"/>
      <c r="BLN2" s="494"/>
      <c r="BLO2" s="494"/>
      <c r="BLP2" s="494"/>
      <c r="BLQ2" s="494"/>
      <c r="BLR2" s="494"/>
      <c r="BLS2" s="494"/>
      <c r="BLT2" s="494"/>
      <c r="BLU2" s="494"/>
      <c r="BLV2" s="494"/>
      <c r="BLW2" s="494"/>
      <c r="BLX2" s="494"/>
      <c r="BLY2" s="494"/>
      <c r="BLZ2" s="494"/>
      <c r="BMA2" s="494"/>
      <c r="BMB2" s="494"/>
      <c r="BMC2" s="494"/>
      <c r="BMD2" s="494"/>
      <c r="BME2" s="494"/>
      <c r="BMF2" s="494"/>
      <c r="BMG2" s="494"/>
      <c r="BMH2" s="494"/>
      <c r="BMI2" s="494"/>
      <c r="BMJ2" s="494"/>
      <c r="BMK2" s="494"/>
      <c r="BML2" s="494"/>
      <c r="BMM2" s="494"/>
      <c r="BMN2" s="494"/>
      <c r="BMO2" s="494"/>
      <c r="BMP2" s="494"/>
      <c r="BMQ2" s="494"/>
      <c r="BMR2" s="494"/>
      <c r="BMS2" s="494"/>
      <c r="BMT2" s="494"/>
      <c r="BMU2" s="494"/>
      <c r="BMV2" s="494"/>
      <c r="BMW2" s="494"/>
      <c r="BMX2" s="494"/>
      <c r="BMY2" s="494"/>
      <c r="BMZ2" s="494"/>
      <c r="BNA2" s="494"/>
      <c r="BNB2" s="494"/>
      <c r="BNC2" s="494"/>
      <c r="BND2" s="494"/>
      <c r="BNE2" s="494"/>
      <c r="BNF2" s="494"/>
      <c r="BNG2" s="494"/>
      <c r="BNH2" s="494"/>
      <c r="BNI2" s="494"/>
      <c r="BNJ2" s="494"/>
      <c r="BNK2" s="494"/>
      <c r="BNL2" s="494"/>
      <c r="BNM2" s="494"/>
      <c r="BNN2" s="494"/>
      <c r="BNO2" s="494"/>
      <c r="BNP2" s="494"/>
      <c r="BNQ2" s="494"/>
      <c r="BNR2" s="494"/>
      <c r="BNS2" s="494"/>
      <c r="BNT2" s="494"/>
      <c r="BNU2" s="494"/>
      <c r="BNV2" s="494"/>
      <c r="BNW2" s="494"/>
      <c r="BNX2" s="494"/>
      <c r="BNY2" s="494"/>
      <c r="BNZ2" s="494"/>
      <c r="BOA2" s="494"/>
      <c r="BOB2" s="494"/>
      <c r="BOC2" s="494"/>
      <c r="BOD2" s="494"/>
      <c r="BOE2" s="494"/>
      <c r="BOF2" s="494"/>
      <c r="BOG2" s="494"/>
      <c r="BOH2" s="494"/>
      <c r="BOI2" s="494"/>
      <c r="BOJ2" s="494"/>
      <c r="BOK2" s="494"/>
      <c r="BOL2" s="494"/>
      <c r="BOM2" s="494"/>
      <c r="BON2" s="494"/>
      <c r="BOO2" s="494"/>
      <c r="BOP2" s="494"/>
      <c r="BOQ2" s="494"/>
      <c r="BOR2" s="494"/>
      <c r="BOS2" s="494"/>
      <c r="BOT2" s="494"/>
      <c r="BOU2" s="494"/>
      <c r="BOV2" s="494"/>
      <c r="BOW2" s="494"/>
      <c r="BOX2" s="494"/>
      <c r="BOY2" s="494"/>
      <c r="BOZ2" s="494"/>
      <c r="BPA2" s="494"/>
      <c r="BPB2" s="494"/>
      <c r="BPC2" s="494"/>
      <c r="BPD2" s="494"/>
      <c r="BPE2" s="494"/>
      <c r="BPF2" s="494"/>
      <c r="BPG2" s="494"/>
      <c r="BPH2" s="494"/>
      <c r="BPI2" s="494"/>
      <c r="BPJ2" s="494"/>
      <c r="BPK2" s="494"/>
      <c r="BPL2" s="494"/>
      <c r="BPM2" s="494"/>
      <c r="BPN2" s="494"/>
      <c r="BPO2" s="494"/>
      <c r="BPP2" s="494"/>
      <c r="BPQ2" s="494"/>
      <c r="BPR2" s="494"/>
      <c r="BPS2" s="494"/>
      <c r="BPT2" s="494"/>
      <c r="BPU2" s="494"/>
      <c r="BPV2" s="494"/>
      <c r="BPW2" s="494"/>
      <c r="BPX2" s="494"/>
      <c r="BPY2" s="494"/>
      <c r="BPZ2" s="494"/>
      <c r="BQA2" s="494"/>
      <c r="BQB2" s="494"/>
      <c r="BQC2" s="494"/>
      <c r="BQD2" s="494"/>
      <c r="BQE2" s="494"/>
      <c r="BQF2" s="494"/>
      <c r="BQG2" s="494"/>
      <c r="BQH2" s="494"/>
      <c r="BQI2" s="494"/>
      <c r="BQJ2" s="494"/>
      <c r="BQK2" s="494"/>
      <c r="BQL2" s="494"/>
      <c r="BQM2" s="494"/>
      <c r="BQN2" s="494"/>
      <c r="BQO2" s="494"/>
      <c r="BQP2" s="494"/>
      <c r="BQQ2" s="494"/>
      <c r="BQR2" s="494"/>
      <c r="BQS2" s="494"/>
      <c r="BQT2" s="494"/>
      <c r="BQU2" s="494"/>
      <c r="BQV2" s="494"/>
      <c r="BQW2" s="494"/>
      <c r="BQX2" s="494"/>
      <c r="BQY2" s="494"/>
      <c r="BQZ2" s="494"/>
      <c r="BRA2" s="494"/>
      <c r="BRB2" s="494"/>
      <c r="BRC2" s="494"/>
      <c r="BRD2" s="494"/>
      <c r="BRE2" s="494"/>
      <c r="BRF2" s="494"/>
      <c r="BRG2" s="494"/>
      <c r="BRH2" s="494"/>
      <c r="BRI2" s="494"/>
      <c r="BRJ2" s="494"/>
      <c r="BRK2" s="494"/>
      <c r="BRL2" s="494"/>
      <c r="BRM2" s="494"/>
      <c r="BRN2" s="494"/>
      <c r="BRO2" s="494"/>
      <c r="BRP2" s="494"/>
      <c r="BRQ2" s="494"/>
      <c r="BRR2" s="494"/>
      <c r="BRS2" s="494"/>
      <c r="BRT2" s="494"/>
      <c r="BRU2" s="494"/>
      <c r="BRV2" s="494"/>
      <c r="BRW2" s="494"/>
      <c r="BRX2" s="494"/>
      <c r="BRY2" s="494"/>
      <c r="BRZ2" s="494"/>
      <c r="BSA2" s="494"/>
      <c r="BSB2" s="494"/>
      <c r="BSC2" s="494"/>
      <c r="BSD2" s="494"/>
      <c r="BSE2" s="494"/>
      <c r="BSF2" s="494"/>
      <c r="BSG2" s="494"/>
      <c r="BSH2" s="494"/>
      <c r="BSI2" s="494"/>
      <c r="BSJ2" s="494"/>
      <c r="BSK2" s="494"/>
      <c r="BSL2" s="494"/>
      <c r="BSM2" s="494"/>
      <c r="BSN2" s="494"/>
      <c r="BSO2" s="494"/>
      <c r="BSP2" s="494"/>
      <c r="BSQ2" s="494"/>
      <c r="BSR2" s="494"/>
      <c r="BSS2" s="494"/>
      <c r="BST2" s="494"/>
      <c r="BSU2" s="494"/>
      <c r="BSV2" s="494"/>
      <c r="BSW2" s="494"/>
      <c r="BSX2" s="494"/>
      <c r="BSY2" s="494"/>
      <c r="BSZ2" s="494"/>
      <c r="BTA2" s="494"/>
      <c r="BTB2" s="494"/>
      <c r="BTC2" s="494"/>
      <c r="BTD2" s="494"/>
      <c r="BTE2" s="494"/>
      <c r="BTF2" s="494"/>
      <c r="BTG2" s="494"/>
      <c r="BTH2" s="494"/>
      <c r="BTI2" s="494"/>
      <c r="BTJ2" s="494"/>
      <c r="BTK2" s="494"/>
      <c r="BTL2" s="494"/>
      <c r="BTM2" s="494"/>
      <c r="BTN2" s="494"/>
      <c r="BTO2" s="494"/>
      <c r="BTP2" s="494"/>
      <c r="BTQ2" s="494"/>
      <c r="BTR2" s="494"/>
      <c r="BTS2" s="494"/>
      <c r="BTT2" s="494"/>
      <c r="BTU2" s="494"/>
      <c r="BTV2" s="494"/>
      <c r="BTW2" s="494"/>
      <c r="BTX2" s="494"/>
      <c r="BTY2" s="494"/>
      <c r="BTZ2" s="494"/>
      <c r="BUA2" s="494"/>
      <c r="BUB2" s="494"/>
      <c r="BUC2" s="494"/>
      <c r="BUD2" s="494"/>
      <c r="BUE2" s="494"/>
      <c r="BUF2" s="494"/>
      <c r="BUG2" s="494"/>
      <c r="BUH2" s="494"/>
      <c r="BUI2" s="494"/>
      <c r="BUJ2" s="494"/>
      <c r="BUK2" s="494"/>
      <c r="BUL2" s="494"/>
      <c r="BUM2" s="494"/>
      <c r="BUN2" s="494"/>
      <c r="BUO2" s="494"/>
      <c r="BUP2" s="494"/>
      <c r="BUQ2" s="494"/>
      <c r="BUR2" s="494"/>
      <c r="BUS2" s="494"/>
      <c r="BUT2" s="494"/>
      <c r="BUU2" s="494"/>
      <c r="BUV2" s="494"/>
      <c r="BUW2" s="494"/>
      <c r="BUX2" s="494"/>
      <c r="BUY2" s="494"/>
      <c r="BUZ2" s="494"/>
      <c r="BVA2" s="494"/>
      <c r="BVB2" s="494"/>
      <c r="BVC2" s="494"/>
      <c r="BVD2" s="494"/>
      <c r="BVE2" s="494"/>
      <c r="BVF2" s="494"/>
      <c r="BVG2" s="494"/>
      <c r="BVH2" s="494"/>
      <c r="BVI2" s="494"/>
      <c r="BVJ2" s="494"/>
      <c r="BVK2" s="494"/>
      <c r="BVL2" s="494"/>
      <c r="BVM2" s="494"/>
      <c r="BVN2" s="494"/>
      <c r="BVO2" s="494"/>
      <c r="BVP2" s="494"/>
      <c r="BVQ2" s="494"/>
      <c r="BVR2" s="494"/>
      <c r="BVS2" s="494"/>
      <c r="BVT2" s="494"/>
      <c r="BVU2" s="494"/>
      <c r="BVV2" s="494"/>
      <c r="BVW2" s="494"/>
      <c r="BVX2" s="494"/>
      <c r="BVY2" s="494"/>
      <c r="BVZ2" s="494"/>
      <c r="BWA2" s="494"/>
      <c r="BWB2" s="494"/>
      <c r="BWC2" s="494"/>
      <c r="BWD2" s="494"/>
      <c r="BWE2" s="494"/>
      <c r="BWF2" s="494"/>
      <c r="BWG2" s="494"/>
      <c r="BWH2" s="494"/>
      <c r="BWI2" s="494"/>
      <c r="BWJ2" s="494"/>
      <c r="BWK2" s="494"/>
      <c r="BWL2" s="494"/>
      <c r="BWM2" s="494"/>
      <c r="BWN2" s="494"/>
      <c r="BWO2" s="494"/>
      <c r="BWP2" s="494"/>
      <c r="BWQ2" s="494"/>
      <c r="BWR2" s="494"/>
      <c r="BWS2" s="494"/>
      <c r="BWT2" s="494"/>
      <c r="BWU2" s="494"/>
      <c r="BWV2" s="494"/>
      <c r="BWW2" s="494"/>
      <c r="BWX2" s="494"/>
      <c r="BWY2" s="494"/>
      <c r="BWZ2" s="494"/>
      <c r="BXA2" s="494"/>
      <c r="BXB2" s="494"/>
      <c r="BXC2" s="494"/>
      <c r="BXD2" s="494"/>
      <c r="BXE2" s="494"/>
      <c r="BXF2" s="494"/>
      <c r="BXG2" s="494"/>
      <c r="BXH2" s="494"/>
      <c r="BXI2" s="494"/>
      <c r="BXJ2" s="494"/>
      <c r="BXK2" s="494"/>
      <c r="BXL2" s="494"/>
      <c r="BXM2" s="494"/>
      <c r="BXN2" s="494"/>
      <c r="BXO2" s="494"/>
      <c r="BXP2" s="494"/>
      <c r="BXQ2" s="494"/>
      <c r="BXR2" s="494"/>
      <c r="BXS2" s="494"/>
      <c r="BXT2" s="494"/>
      <c r="BXU2" s="494"/>
      <c r="BXV2" s="494"/>
      <c r="BXW2" s="494"/>
      <c r="BXX2" s="494"/>
      <c r="BXY2" s="494"/>
      <c r="BXZ2" s="494"/>
      <c r="BYA2" s="494"/>
      <c r="BYB2" s="494"/>
      <c r="BYC2" s="494"/>
      <c r="BYD2" s="494"/>
      <c r="BYE2" s="494"/>
      <c r="BYF2" s="494"/>
      <c r="BYG2" s="494"/>
      <c r="BYH2" s="494"/>
      <c r="BYI2" s="494"/>
      <c r="BYJ2" s="494"/>
      <c r="BYK2" s="494"/>
      <c r="BYL2" s="494"/>
      <c r="BYM2" s="494"/>
      <c r="BYN2" s="494"/>
      <c r="BYO2" s="494"/>
      <c r="BYP2" s="494"/>
      <c r="BYQ2" s="494"/>
      <c r="BYR2" s="494"/>
      <c r="BYS2" s="494"/>
      <c r="BYT2" s="494"/>
      <c r="BYU2" s="494"/>
      <c r="BYV2" s="494"/>
      <c r="BYW2" s="494"/>
      <c r="BYX2" s="494"/>
      <c r="BYY2" s="494"/>
      <c r="BYZ2" s="494"/>
      <c r="BZA2" s="494"/>
      <c r="BZB2" s="494"/>
      <c r="BZC2" s="494"/>
      <c r="BZD2" s="494"/>
      <c r="BZE2" s="494"/>
      <c r="BZF2" s="494"/>
      <c r="BZG2" s="494"/>
      <c r="BZH2" s="494"/>
      <c r="BZI2" s="494"/>
      <c r="BZJ2" s="494"/>
      <c r="BZK2" s="494"/>
      <c r="BZL2" s="494"/>
      <c r="BZM2" s="494"/>
      <c r="BZN2" s="494"/>
      <c r="BZO2" s="494"/>
      <c r="BZP2" s="494"/>
      <c r="BZQ2" s="494"/>
      <c r="BZR2" s="494"/>
      <c r="BZS2" s="494"/>
      <c r="BZT2" s="494"/>
      <c r="BZU2" s="494"/>
      <c r="BZV2" s="494"/>
      <c r="BZW2" s="494"/>
      <c r="BZX2" s="494"/>
      <c r="BZY2" s="494"/>
      <c r="BZZ2" s="494"/>
      <c r="CAA2" s="494"/>
      <c r="CAB2" s="494"/>
      <c r="CAC2" s="494"/>
      <c r="CAD2" s="494"/>
      <c r="CAE2" s="494"/>
      <c r="CAF2" s="494"/>
      <c r="CAG2" s="494"/>
      <c r="CAH2" s="494"/>
      <c r="CAI2" s="494"/>
      <c r="CAJ2" s="494"/>
      <c r="CAK2" s="494"/>
      <c r="CAL2" s="494"/>
      <c r="CAM2" s="494"/>
      <c r="CAN2" s="494"/>
      <c r="CAO2" s="494"/>
      <c r="CAP2" s="494"/>
      <c r="CAQ2" s="494"/>
      <c r="CAR2" s="494"/>
      <c r="CAS2" s="494"/>
      <c r="CAT2" s="494"/>
      <c r="CAU2" s="494"/>
      <c r="CAV2" s="494"/>
      <c r="CAW2" s="494"/>
      <c r="CAX2" s="494"/>
      <c r="CAY2" s="494"/>
      <c r="CAZ2" s="494"/>
      <c r="CBA2" s="494"/>
      <c r="CBB2" s="494"/>
      <c r="CBC2" s="494"/>
      <c r="CBD2" s="494"/>
      <c r="CBE2" s="494"/>
      <c r="CBF2" s="494"/>
      <c r="CBG2" s="494"/>
      <c r="CBH2" s="494"/>
      <c r="CBI2" s="494"/>
      <c r="CBJ2" s="494"/>
      <c r="CBK2" s="494"/>
      <c r="CBL2" s="494"/>
      <c r="CBM2" s="494"/>
      <c r="CBN2" s="494"/>
      <c r="CBO2" s="494"/>
      <c r="CBP2" s="494"/>
      <c r="CBQ2" s="494"/>
      <c r="CBR2" s="494"/>
      <c r="CBS2" s="494"/>
      <c r="CBT2" s="494"/>
      <c r="CBU2" s="494"/>
      <c r="CBV2" s="494"/>
      <c r="CBW2" s="494"/>
      <c r="CBX2" s="494"/>
      <c r="CBY2" s="494"/>
      <c r="CBZ2" s="494"/>
      <c r="CCA2" s="494"/>
      <c r="CCB2" s="494"/>
      <c r="CCC2" s="494"/>
      <c r="CCD2" s="494"/>
      <c r="CCE2" s="494"/>
      <c r="CCF2" s="494"/>
      <c r="CCG2" s="494"/>
      <c r="CCH2" s="494"/>
      <c r="CCI2" s="494"/>
      <c r="CCJ2" s="494"/>
      <c r="CCK2" s="494"/>
      <c r="CCL2" s="494"/>
      <c r="CCM2" s="494"/>
      <c r="CCN2" s="494"/>
      <c r="CCO2" s="494"/>
      <c r="CCP2" s="494"/>
      <c r="CCQ2" s="494"/>
      <c r="CCR2" s="494"/>
      <c r="CCS2" s="494"/>
      <c r="CCT2" s="494"/>
      <c r="CCU2" s="494"/>
      <c r="CCV2" s="494"/>
      <c r="CCW2" s="494"/>
      <c r="CCX2" s="494"/>
      <c r="CCY2" s="494"/>
      <c r="CCZ2" s="494"/>
      <c r="CDA2" s="494"/>
      <c r="CDB2" s="494"/>
      <c r="CDC2" s="494"/>
      <c r="CDD2" s="494"/>
      <c r="CDE2" s="494"/>
      <c r="CDF2" s="494"/>
      <c r="CDG2" s="494"/>
      <c r="CDH2" s="494"/>
      <c r="CDI2" s="494"/>
      <c r="CDJ2" s="494"/>
      <c r="CDK2" s="494"/>
      <c r="CDL2" s="494"/>
      <c r="CDM2" s="494"/>
      <c r="CDN2" s="494"/>
      <c r="CDO2" s="494"/>
      <c r="CDP2" s="494"/>
      <c r="CDQ2" s="494"/>
      <c r="CDR2" s="494"/>
      <c r="CDS2" s="494"/>
      <c r="CDT2" s="494"/>
      <c r="CDU2" s="494"/>
      <c r="CDV2" s="494"/>
      <c r="CDW2" s="494"/>
      <c r="CDX2" s="494"/>
      <c r="CDY2" s="494"/>
      <c r="CDZ2" s="494"/>
      <c r="CEA2" s="494"/>
      <c r="CEB2" s="494"/>
      <c r="CEC2" s="494"/>
      <c r="CED2" s="494"/>
      <c r="CEE2" s="494"/>
      <c r="CEF2" s="494"/>
      <c r="CEG2" s="494"/>
      <c r="CEH2" s="494"/>
      <c r="CEI2" s="494"/>
      <c r="CEJ2" s="494"/>
      <c r="CEK2" s="494"/>
      <c r="CEL2" s="494"/>
      <c r="CEM2" s="494"/>
      <c r="CEN2" s="494"/>
      <c r="CEO2" s="494"/>
      <c r="CEP2" s="494"/>
      <c r="CEQ2" s="494"/>
      <c r="CER2" s="494"/>
      <c r="CES2" s="494"/>
      <c r="CET2" s="494"/>
      <c r="CEU2" s="494"/>
      <c r="CEV2" s="494"/>
      <c r="CEW2" s="494"/>
      <c r="CEX2" s="494"/>
      <c r="CEY2" s="494"/>
      <c r="CEZ2" s="494"/>
      <c r="CFA2" s="494"/>
      <c r="CFB2" s="494"/>
      <c r="CFC2" s="494"/>
      <c r="CFD2" s="494"/>
      <c r="CFE2" s="494"/>
      <c r="CFF2" s="494"/>
      <c r="CFG2" s="494"/>
      <c r="CFH2" s="494"/>
      <c r="CFI2" s="494"/>
      <c r="CFJ2" s="494"/>
      <c r="CFK2" s="494"/>
      <c r="CFL2" s="494"/>
      <c r="CFM2" s="494"/>
      <c r="CFN2" s="494"/>
      <c r="CFO2" s="494"/>
      <c r="CFP2" s="494"/>
      <c r="CFQ2" s="494"/>
      <c r="CFR2" s="494"/>
      <c r="CFS2" s="494"/>
      <c r="CFT2" s="494"/>
      <c r="CFU2" s="494"/>
      <c r="CFV2" s="494"/>
      <c r="CFW2" s="494"/>
      <c r="CFX2" s="494"/>
      <c r="CFY2" s="494"/>
      <c r="CFZ2" s="494"/>
      <c r="CGA2" s="494"/>
      <c r="CGB2" s="494"/>
      <c r="CGC2" s="494"/>
      <c r="CGD2" s="494"/>
      <c r="CGE2" s="494"/>
      <c r="CGF2" s="494"/>
      <c r="CGG2" s="494"/>
      <c r="CGH2" s="494"/>
      <c r="CGI2" s="494"/>
      <c r="CGJ2" s="494"/>
      <c r="CGK2" s="494"/>
      <c r="CGL2" s="494"/>
      <c r="CGM2" s="494"/>
      <c r="CGN2" s="494"/>
      <c r="CGO2" s="494"/>
      <c r="CGP2" s="494"/>
      <c r="CGQ2" s="494"/>
      <c r="CGR2" s="494"/>
      <c r="CGS2" s="494"/>
      <c r="CGT2" s="494"/>
      <c r="CGU2" s="494"/>
      <c r="CGV2" s="494"/>
      <c r="CGW2" s="494"/>
      <c r="CGX2" s="494"/>
      <c r="CGY2" s="494"/>
      <c r="CGZ2" s="494"/>
      <c r="CHA2" s="494"/>
      <c r="CHB2" s="494"/>
      <c r="CHC2" s="494"/>
      <c r="CHD2" s="494"/>
      <c r="CHE2" s="494"/>
      <c r="CHF2" s="494"/>
      <c r="CHG2" s="494"/>
      <c r="CHH2" s="494"/>
      <c r="CHI2" s="494"/>
      <c r="CHJ2" s="494"/>
      <c r="CHK2" s="494"/>
      <c r="CHL2" s="494"/>
      <c r="CHM2" s="494"/>
      <c r="CHN2" s="494"/>
      <c r="CHO2" s="494"/>
      <c r="CHP2" s="494"/>
      <c r="CHQ2" s="494"/>
      <c r="CHR2" s="494"/>
      <c r="CHS2" s="494"/>
      <c r="CHT2" s="494"/>
      <c r="CHU2" s="494"/>
      <c r="CHV2" s="494"/>
      <c r="CHW2" s="494"/>
      <c r="CHX2" s="494"/>
      <c r="CHY2" s="494"/>
      <c r="CHZ2" s="494"/>
      <c r="CIA2" s="494"/>
      <c r="CIB2" s="494"/>
      <c r="CIC2" s="494"/>
      <c r="CID2" s="494"/>
      <c r="CIE2" s="494"/>
      <c r="CIF2" s="494"/>
      <c r="CIG2" s="494"/>
      <c r="CIH2" s="494"/>
      <c r="CII2" s="494"/>
      <c r="CIJ2" s="494"/>
      <c r="CIK2" s="494"/>
      <c r="CIL2" s="494"/>
      <c r="CIM2" s="494"/>
      <c r="CIN2" s="494"/>
      <c r="CIO2" s="494"/>
      <c r="CIP2" s="494"/>
      <c r="CIQ2" s="494"/>
      <c r="CIR2" s="494"/>
      <c r="CIS2" s="494"/>
      <c r="CIT2" s="494"/>
      <c r="CIU2" s="494"/>
      <c r="CIV2" s="494"/>
      <c r="CIW2" s="494"/>
      <c r="CIX2" s="494"/>
      <c r="CIY2" s="494"/>
      <c r="CIZ2" s="494"/>
      <c r="CJA2" s="494"/>
      <c r="CJB2" s="494"/>
      <c r="CJC2" s="494"/>
      <c r="CJD2" s="494"/>
      <c r="CJE2" s="494"/>
      <c r="CJF2" s="494"/>
      <c r="CJG2" s="494"/>
      <c r="CJH2" s="494"/>
      <c r="CJI2" s="494"/>
      <c r="CJJ2" s="494"/>
      <c r="CJK2" s="494"/>
      <c r="CJL2" s="494"/>
      <c r="CJM2" s="494"/>
      <c r="CJN2" s="494"/>
      <c r="CJO2" s="494"/>
      <c r="CJP2" s="494"/>
      <c r="CJQ2" s="494"/>
      <c r="CJR2" s="494"/>
      <c r="CJS2" s="494"/>
      <c r="CJT2" s="494"/>
      <c r="CJU2" s="494"/>
      <c r="CJV2" s="494"/>
      <c r="CJW2" s="494"/>
      <c r="CJX2" s="494"/>
      <c r="CJY2" s="494"/>
      <c r="CJZ2" s="494"/>
      <c r="CKA2" s="494"/>
      <c r="CKB2" s="494"/>
      <c r="CKC2" s="494"/>
      <c r="CKD2" s="494"/>
      <c r="CKE2" s="494"/>
      <c r="CKF2" s="494"/>
      <c r="CKG2" s="494"/>
      <c r="CKH2" s="494"/>
      <c r="CKI2" s="494"/>
      <c r="CKJ2" s="494"/>
      <c r="CKK2" s="494"/>
      <c r="CKL2" s="494"/>
      <c r="CKM2" s="494"/>
      <c r="CKN2" s="494"/>
      <c r="CKO2" s="494"/>
      <c r="CKP2" s="494"/>
      <c r="CKQ2" s="494"/>
      <c r="CKR2" s="494"/>
      <c r="CKS2" s="494"/>
      <c r="CKT2" s="494"/>
      <c r="CKU2" s="494"/>
      <c r="CKV2" s="494"/>
      <c r="CKW2" s="494"/>
      <c r="CKX2" s="494"/>
      <c r="CKY2" s="494"/>
      <c r="CKZ2" s="494"/>
      <c r="CLA2" s="494"/>
      <c r="CLB2" s="494"/>
      <c r="CLC2" s="494"/>
      <c r="CLD2" s="494"/>
      <c r="CLE2" s="494"/>
      <c r="CLF2" s="494"/>
      <c r="CLG2" s="494"/>
      <c r="CLH2" s="494"/>
      <c r="CLI2" s="494"/>
      <c r="CLJ2" s="494"/>
      <c r="CLK2" s="494"/>
      <c r="CLL2" s="494"/>
      <c r="CLM2" s="494"/>
      <c r="CLN2" s="494"/>
      <c r="CLO2" s="494"/>
      <c r="CLP2" s="494"/>
      <c r="CLQ2" s="494"/>
      <c r="CLR2" s="494"/>
      <c r="CLS2" s="494"/>
      <c r="CLT2" s="494"/>
      <c r="CLU2" s="494"/>
      <c r="CLV2" s="494"/>
      <c r="CLW2" s="494"/>
      <c r="CLX2" s="494"/>
      <c r="CLY2" s="494"/>
      <c r="CLZ2" s="494"/>
      <c r="CMA2" s="494"/>
      <c r="CMB2" s="494"/>
      <c r="CMC2" s="494"/>
      <c r="CMD2" s="494"/>
      <c r="CME2" s="494"/>
      <c r="CMF2" s="494"/>
      <c r="CMG2" s="494"/>
      <c r="CMH2" s="494"/>
      <c r="CMI2" s="494"/>
      <c r="CMJ2" s="494"/>
      <c r="CMK2" s="494"/>
      <c r="CML2" s="494"/>
      <c r="CMM2" s="494"/>
      <c r="CMN2" s="494"/>
      <c r="CMO2" s="494"/>
      <c r="CMP2" s="494"/>
      <c r="CMQ2" s="494"/>
      <c r="CMR2" s="494"/>
      <c r="CMS2" s="494"/>
      <c r="CMT2" s="494"/>
      <c r="CMU2" s="494"/>
      <c r="CMV2" s="494"/>
      <c r="CMW2" s="494"/>
      <c r="CMX2" s="494"/>
      <c r="CMY2" s="494"/>
      <c r="CMZ2" s="494"/>
      <c r="CNA2" s="494"/>
      <c r="CNB2" s="494"/>
      <c r="CNC2" s="494"/>
      <c r="CND2" s="494"/>
      <c r="CNE2" s="494"/>
      <c r="CNF2" s="494"/>
      <c r="CNG2" s="494"/>
      <c r="CNH2" s="494"/>
      <c r="CNI2" s="494"/>
      <c r="CNJ2" s="494"/>
      <c r="CNK2" s="494"/>
      <c r="CNL2" s="494"/>
      <c r="CNM2" s="494"/>
      <c r="CNN2" s="494"/>
      <c r="CNO2" s="494"/>
      <c r="CNP2" s="494"/>
      <c r="CNQ2" s="494"/>
      <c r="CNR2" s="494"/>
      <c r="CNS2" s="494"/>
      <c r="CNT2" s="494"/>
      <c r="CNU2" s="494"/>
      <c r="CNV2" s="494"/>
      <c r="CNW2" s="494"/>
      <c r="CNX2" s="494"/>
      <c r="CNY2" s="494"/>
      <c r="CNZ2" s="494"/>
      <c r="COA2" s="494"/>
      <c r="COB2" s="494"/>
      <c r="COC2" s="494"/>
      <c r="COD2" s="494"/>
      <c r="COE2" s="494"/>
      <c r="COF2" s="494"/>
      <c r="COG2" s="494"/>
      <c r="COH2" s="494"/>
      <c r="COI2" s="494"/>
      <c r="COJ2" s="494"/>
      <c r="COK2" s="494"/>
      <c r="COL2" s="494"/>
      <c r="COM2" s="494"/>
      <c r="CON2" s="494"/>
      <c r="COO2" s="494"/>
      <c r="COP2" s="494"/>
      <c r="COQ2" s="494"/>
      <c r="COR2" s="494"/>
      <c r="COS2" s="494"/>
      <c r="COT2" s="494"/>
      <c r="COU2" s="494"/>
      <c r="COV2" s="494"/>
      <c r="COW2" s="494"/>
      <c r="COX2" s="494"/>
      <c r="COY2" s="494"/>
      <c r="COZ2" s="494"/>
      <c r="CPA2" s="494"/>
      <c r="CPB2" s="494"/>
      <c r="CPC2" s="494"/>
      <c r="CPD2" s="494"/>
      <c r="CPE2" s="494"/>
      <c r="CPF2" s="494"/>
      <c r="CPG2" s="494"/>
      <c r="CPH2" s="494"/>
      <c r="CPI2" s="494"/>
      <c r="CPJ2" s="494"/>
      <c r="CPK2" s="494"/>
      <c r="CPL2" s="494"/>
      <c r="CPM2" s="494"/>
      <c r="CPN2" s="494"/>
      <c r="CPO2" s="494"/>
      <c r="CPP2" s="494"/>
      <c r="CPQ2" s="494"/>
      <c r="CPR2" s="494"/>
      <c r="CPS2" s="494"/>
      <c r="CPT2" s="494"/>
      <c r="CPU2" s="494"/>
      <c r="CPV2" s="494"/>
      <c r="CPW2" s="494"/>
      <c r="CPX2" s="494"/>
      <c r="CPY2" s="494"/>
      <c r="CPZ2" s="494"/>
      <c r="CQA2" s="494"/>
      <c r="CQB2" s="494"/>
      <c r="CQC2" s="494"/>
      <c r="CQD2" s="494"/>
      <c r="CQE2" s="494"/>
      <c r="CQF2" s="494"/>
      <c r="CQG2" s="494"/>
      <c r="CQH2" s="494"/>
      <c r="CQI2" s="494"/>
      <c r="CQJ2" s="494"/>
      <c r="CQK2" s="494"/>
      <c r="CQL2" s="494"/>
      <c r="CQM2" s="494"/>
      <c r="CQN2" s="494"/>
      <c r="CQO2" s="494"/>
      <c r="CQP2" s="494"/>
      <c r="CQQ2" s="494"/>
      <c r="CQR2" s="494"/>
      <c r="CQS2" s="494"/>
      <c r="CQT2" s="494"/>
      <c r="CQU2" s="494"/>
      <c r="CQV2" s="494"/>
      <c r="CQW2" s="494"/>
      <c r="CQX2" s="494"/>
      <c r="CQY2" s="494"/>
      <c r="CQZ2" s="494"/>
      <c r="CRA2" s="494"/>
      <c r="CRB2" s="494"/>
      <c r="CRC2" s="494"/>
      <c r="CRD2" s="494"/>
      <c r="CRE2" s="494"/>
      <c r="CRF2" s="494"/>
      <c r="CRG2" s="494"/>
      <c r="CRH2" s="494"/>
      <c r="CRI2" s="494"/>
      <c r="CRJ2" s="494"/>
      <c r="CRK2" s="494"/>
      <c r="CRL2" s="494"/>
      <c r="CRM2" s="494"/>
      <c r="CRN2" s="494"/>
      <c r="CRO2" s="494"/>
      <c r="CRP2" s="494"/>
      <c r="CRQ2" s="494"/>
      <c r="CRR2" s="494"/>
      <c r="CRS2" s="494"/>
      <c r="CRT2" s="494"/>
      <c r="CRU2" s="494"/>
      <c r="CRV2" s="494"/>
      <c r="CRW2" s="494"/>
      <c r="CRX2" s="494"/>
      <c r="CRY2" s="494"/>
      <c r="CRZ2" s="494"/>
      <c r="CSA2" s="494"/>
      <c r="CSB2" s="494"/>
      <c r="CSC2" s="494"/>
      <c r="CSD2" s="494"/>
      <c r="CSE2" s="494"/>
      <c r="CSF2" s="494"/>
      <c r="CSG2" s="494"/>
      <c r="CSH2" s="494"/>
      <c r="CSI2" s="494"/>
      <c r="CSJ2" s="494"/>
      <c r="CSK2" s="494"/>
      <c r="CSL2" s="494"/>
      <c r="CSM2" s="494"/>
      <c r="CSN2" s="494"/>
      <c r="CSO2" s="494"/>
      <c r="CSP2" s="494"/>
      <c r="CSQ2" s="494"/>
      <c r="CSR2" s="494"/>
      <c r="CSS2" s="494"/>
      <c r="CST2" s="494"/>
      <c r="CSU2" s="494"/>
      <c r="CSV2" s="494"/>
      <c r="CSW2" s="494"/>
      <c r="CSX2" s="494"/>
      <c r="CSY2" s="494"/>
      <c r="CSZ2" s="494"/>
      <c r="CTA2" s="494"/>
      <c r="CTB2" s="494"/>
      <c r="CTC2" s="494"/>
      <c r="CTD2" s="494"/>
      <c r="CTE2" s="494"/>
      <c r="CTF2" s="494"/>
      <c r="CTG2" s="494"/>
      <c r="CTH2" s="494"/>
      <c r="CTI2" s="494"/>
      <c r="CTJ2" s="494"/>
      <c r="CTK2" s="494"/>
      <c r="CTL2" s="494"/>
      <c r="CTM2" s="494"/>
      <c r="CTN2" s="494"/>
      <c r="CTO2" s="494"/>
      <c r="CTP2" s="494"/>
      <c r="CTQ2" s="494"/>
      <c r="CTR2" s="494"/>
      <c r="CTS2" s="494"/>
      <c r="CTT2" s="494"/>
      <c r="CTU2" s="494"/>
      <c r="CTV2" s="494"/>
      <c r="CTW2" s="494"/>
      <c r="CTX2" s="494"/>
      <c r="CTY2" s="494"/>
      <c r="CTZ2" s="494"/>
      <c r="CUA2" s="494"/>
      <c r="CUB2" s="494"/>
      <c r="CUC2" s="494"/>
      <c r="CUD2" s="494"/>
      <c r="CUE2" s="494"/>
      <c r="CUF2" s="494"/>
      <c r="CUG2" s="494"/>
      <c r="CUH2" s="494"/>
      <c r="CUI2" s="494"/>
      <c r="CUJ2" s="494"/>
      <c r="CUK2" s="494"/>
      <c r="CUL2" s="494"/>
      <c r="CUM2" s="494"/>
      <c r="CUN2" s="494"/>
      <c r="CUO2" s="494"/>
      <c r="CUP2" s="494"/>
      <c r="CUQ2" s="494"/>
      <c r="CUR2" s="494"/>
      <c r="CUS2" s="494"/>
      <c r="CUT2" s="494"/>
      <c r="CUU2" s="494"/>
      <c r="CUV2" s="494"/>
      <c r="CUW2" s="494"/>
      <c r="CUX2" s="494"/>
      <c r="CUY2" s="494"/>
      <c r="CUZ2" s="494"/>
      <c r="CVA2" s="494"/>
      <c r="CVB2" s="494"/>
      <c r="CVC2" s="494"/>
      <c r="CVD2" s="494"/>
      <c r="CVE2" s="494"/>
      <c r="CVF2" s="494"/>
      <c r="CVG2" s="494"/>
      <c r="CVH2" s="494"/>
      <c r="CVI2" s="494"/>
      <c r="CVJ2" s="494"/>
      <c r="CVK2" s="494"/>
      <c r="CVL2" s="494"/>
      <c r="CVM2" s="494"/>
      <c r="CVN2" s="494"/>
      <c r="CVO2" s="494"/>
      <c r="CVP2" s="494"/>
      <c r="CVQ2" s="494"/>
      <c r="CVR2" s="494"/>
      <c r="CVS2" s="494"/>
      <c r="CVT2" s="494"/>
      <c r="CVU2" s="494"/>
      <c r="CVV2" s="494"/>
      <c r="CVW2" s="494"/>
      <c r="CVX2" s="494"/>
      <c r="CVY2" s="494"/>
      <c r="CVZ2" s="494"/>
      <c r="CWA2" s="494"/>
      <c r="CWB2" s="494"/>
      <c r="CWC2" s="494"/>
      <c r="CWD2" s="494"/>
      <c r="CWE2" s="494"/>
      <c r="CWF2" s="494"/>
      <c r="CWG2" s="494"/>
      <c r="CWH2" s="494"/>
      <c r="CWI2" s="494"/>
      <c r="CWJ2" s="494"/>
      <c r="CWK2" s="494"/>
      <c r="CWL2" s="494"/>
      <c r="CWM2" s="494"/>
      <c r="CWN2" s="494"/>
      <c r="CWO2" s="494"/>
      <c r="CWP2" s="494"/>
      <c r="CWQ2" s="494"/>
      <c r="CWR2" s="494"/>
      <c r="CWS2" s="494"/>
      <c r="CWT2" s="494"/>
      <c r="CWU2" s="494"/>
      <c r="CWV2" s="494"/>
      <c r="CWW2" s="494"/>
      <c r="CWX2" s="494"/>
      <c r="CWY2" s="494"/>
      <c r="CWZ2" s="494"/>
      <c r="CXA2" s="494"/>
      <c r="CXB2" s="494"/>
      <c r="CXC2" s="494"/>
      <c r="CXD2" s="494"/>
      <c r="CXE2" s="494"/>
      <c r="CXF2" s="494"/>
      <c r="CXG2" s="494"/>
      <c r="CXH2" s="494"/>
      <c r="CXI2" s="494"/>
      <c r="CXJ2" s="494"/>
      <c r="CXK2" s="494"/>
      <c r="CXL2" s="494"/>
      <c r="CXM2" s="494"/>
      <c r="CXN2" s="494"/>
      <c r="CXO2" s="494"/>
      <c r="CXP2" s="494"/>
      <c r="CXQ2" s="494"/>
      <c r="CXR2" s="494"/>
      <c r="CXS2" s="494"/>
      <c r="CXT2" s="494"/>
      <c r="CXU2" s="494"/>
      <c r="CXV2" s="494"/>
      <c r="CXW2" s="494"/>
      <c r="CXX2" s="494"/>
      <c r="CXY2" s="494"/>
      <c r="CXZ2" s="494"/>
      <c r="CYA2" s="494"/>
      <c r="CYB2" s="494"/>
      <c r="CYC2" s="494"/>
      <c r="CYD2" s="494"/>
      <c r="CYE2" s="494"/>
      <c r="CYF2" s="494"/>
      <c r="CYG2" s="494"/>
      <c r="CYH2" s="494"/>
      <c r="CYI2" s="494"/>
      <c r="CYJ2" s="494"/>
      <c r="CYK2" s="494"/>
      <c r="CYL2" s="494"/>
      <c r="CYM2" s="494"/>
      <c r="CYN2" s="494"/>
      <c r="CYO2" s="494"/>
      <c r="CYP2" s="494"/>
      <c r="CYQ2" s="494"/>
      <c r="CYR2" s="494"/>
      <c r="CYS2" s="494"/>
      <c r="CYT2" s="494"/>
      <c r="CYU2" s="494"/>
      <c r="CYV2" s="494"/>
      <c r="CYW2" s="494"/>
      <c r="CYX2" s="494"/>
      <c r="CYY2" s="494"/>
      <c r="CYZ2" s="494"/>
      <c r="CZA2" s="494"/>
      <c r="CZB2" s="494"/>
      <c r="CZC2" s="494"/>
      <c r="CZD2" s="494"/>
      <c r="CZE2" s="494"/>
      <c r="CZF2" s="494"/>
      <c r="CZG2" s="494"/>
      <c r="CZH2" s="494"/>
      <c r="CZI2" s="494"/>
      <c r="CZJ2" s="494"/>
      <c r="CZK2" s="494"/>
      <c r="CZL2" s="494"/>
      <c r="CZM2" s="494"/>
      <c r="CZN2" s="494"/>
      <c r="CZO2" s="494"/>
      <c r="CZP2" s="494"/>
      <c r="CZQ2" s="494"/>
      <c r="CZR2" s="494"/>
      <c r="CZS2" s="494"/>
      <c r="CZT2" s="494"/>
      <c r="CZU2" s="494"/>
      <c r="CZV2" s="494"/>
      <c r="CZW2" s="494"/>
      <c r="CZX2" s="494"/>
      <c r="CZY2" s="494"/>
      <c r="CZZ2" s="494"/>
      <c r="DAA2" s="494"/>
      <c r="DAB2" s="494"/>
      <c r="DAC2" s="494"/>
      <c r="DAD2" s="494"/>
      <c r="DAE2" s="494"/>
      <c r="DAF2" s="494"/>
      <c r="DAG2" s="494"/>
      <c r="DAH2" s="494"/>
      <c r="DAI2" s="494"/>
      <c r="DAJ2" s="494"/>
      <c r="DAK2" s="494"/>
      <c r="DAL2" s="494"/>
      <c r="DAM2" s="494"/>
      <c r="DAN2" s="494"/>
      <c r="DAO2" s="494"/>
      <c r="DAP2" s="494"/>
      <c r="DAQ2" s="494"/>
      <c r="DAR2" s="494"/>
      <c r="DAS2" s="494"/>
      <c r="DAT2" s="494"/>
      <c r="DAU2" s="494"/>
      <c r="DAV2" s="494"/>
      <c r="DAW2" s="494"/>
      <c r="DAX2" s="494"/>
      <c r="DAY2" s="494"/>
      <c r="DAZ2" s="494"/>
      <c r="DBA2" s="494"/>
      <c r="DBB2" s="494"/>
      <c r="DBC2" s="494"/>
      <c r="DBD2" s="494"/>
      <c r="DBE2" s="494"/>
      <c r="DBF2" s="494"/>
      <c r="DBG2" s="494"/>
      <c r="DBH2" s="494"/>
      <c r="DBI2" s="494"/>
      <c r="DBJ2" s="494"/>
      <c r="DBK2" s="494"/>
      <c r="DBL2" s="494"/>
      <c r="DBM2" s="494"/>
      <c r="DBN2" s="494"/>
      <c r="DBO2" s="494"/>
      <c r="DBP2" s="494"/>
      <c r="DBQ2" s="494"/>
      <c r="DBR2" s="494"/>
      <c r="DBS2" s="494"/>
      <c r="DBT2" s="494"/>
      <c r="DBU2" s="494"/>
      <c r="DBV2" s="494"/>
      <c r="DBW2" s="494"/>
      <c r="DBX2" s="494"/>
      <c r="DBY2" s="494"/>
      <c r="DBZ2" s="494"/>
      <c r="DCA2" s="494"/>
      <c r="DCB2" s="494"/>
      <c r="DCC2" s="494"/>
      <c r="DCD2" s="494"/>
      <c r="DCE2" s="494"/>
      <c r="DCF2" s="494"/>
      <c r="DCG2" s="494"/>
      <c r="DCH2" s="494"/>
      <c r="DCI2" s="494"/>
      <c r="DCJ2" s="494"/>
      <c r="DCK2" s="494"/>
      <c r="DCL2" s="494"/>
      <c r="DCM2" s="494"/>
      <c r="DCN2" s="494"/>
      <c r="DCO2" s="494"/>
      <c r="DCP2" s="494"/>
      <c r="DCQ2" s="494"/>
      <c r="DCR2" s="494"/>
      <c r="DCS2" s="494"/>
      <c r="DCT2" s="494"/>
      <c r="DCU2" s="494"/>
      <c r="DCV2" s="494"/>
      <c r="DCW2" s="494"/>
      <c r="DCX2" s="494"/>
      <c r="DCY2" s="494"/>
      <c r="DCZ2" s="494"/>
      <c r="DDA2" s="494"/>
      <c r="DDB2" s="494"/>
      <c r="DDC2" s="494"/>
      <c r="DDD2" s="494"/>
      <c r="DDE2" s="494"/>
      <c r="DDF2" s="494"/>
      <c r="DDG2" s="494"/>
      <c r="DDH2" s="494"/>
      <c r="DDI2" s="494"/>
      <c r="DDJ2" s="494"/>
      <c r="DDK2" s="494"/>
      <c r="DDL2" s="494"/>
      <c r="DDM2" s="494"/>
      <c r="DDN2" s="494"/>
      <c r="DDO2" s="494"/>
      <c r="DDP2" s="494"/>
      <c r="DDQ2" s="494"/>
      <c r="DDR2" s="494"/>
      <c r="DDS2" s="494"/>
      <c r="DDT2" s="494"/>
      <c r="DDU2" s="494"/>
      <c r="DDV2" s="494"/>
      <c r="DDW2" s="494"/>
      <c r="DDX2" s="494"/>
      <c r="DDY2" s="494"/>
      <c r="DDZ2" s="494"/>
      <c r="DEA2" s="494"/>
      <c r="DEB2" s="494"/>
      <c r="DEC2" s="494"/>
      <c r="DED2" s="494"/>
      <c r="DEE2" s="494"/>
      <c r="DEF2" s="494"/>
      <c r="DEG2" s="494"/>
      <c r="DEH2" s="494"/>
      <c r="DEI2" s="494"/>
      <c r="DEJ2" s="494"/>
      <c r="DEK2" s="494"/>
      <c r="DEL2" s="494"/>
      <c r="DEM2" s="494"/>
      <c r="DEN2" s="494"/>
      <c r="DEO2" s="494"/>
      <c r="DEP2" s="494"/>
      <c r="DEQ2" s="494"/>
      <c r="DER2" s="494"/>
      <c r="DES2" s="494"/>
      <c r="DET2" s="494"/>
      <c r="DEU2" s="494"/>
      <c r="DEV2" s="494"/>
      <c r="DEW2" s="494"/>
      <c r="DEX2" s="494"/>
      <c r="DEY2" s="494"/>
      <c r="DEZ2" s="494"/>
      <c r="DFA2" s="494"/>
      <c r="DFB2" s="494"/>
      <c r="DFC2" s="494"/>
      <c r="DFD2" s="494"/>
      <c r="DFE2" s="494"/>
      <c r="DFF2" s="494"/>
      <c r="DFG2" s="494"/>
      <c r="DFH2" s="494"/>
      <c r="DFI2" s="494"/>
      <c r="DFJ2" s="494"/>
      <c r="DFK2" s="494"/>
      <c r="DFL2" s="494"/>
      <c r="DFM2" s="494"/>
      <c r="DFN2" s="494"/>
      <c r="DFO2" s="494"/>
      <c r="DFP2" s="494"/>
      <c r="DFQ2" s="494"/>
      <c r="DFR2" s="494"/>
      <c r="DFS2" s="494"/>
      <c r="DFT2" s="494"/>
      <c r="DFU2" s="494"/>
      <c r="DFV2" s="494"/>
      <c r="DFW2" s="494"/>
      <c r="DFX2" s="494"/>
      <c r="DFY2" s="494"/>
      <c r="DFZ2" s="494"/>
      <c r="DGA2" s="494"/>
      <c r="DGB2" s="494"/>
      <c r="DGC2" s="494"/>
      <c r="DGD2" s="494"/>
      <c r="DGE2" s="494"/>
      <c r="DGF2" s="494"/>
      <c r="DGG2" s="494"/>
      <c r="DGH2" s="494"/>
      <c r="DGI2" s="494"/>
      <c r="DGJ2" s="494"/>
      <c r="DGK2" s="494"/>
      <c r="DGL2" s="494"/>
      <c r="DGM2" s="494"/>
      <c r="DGN2" s="494"/>
      <c r="DGO2" s="494"/>
      <c r="DGP2" s="494"/>
      <c r="DGQ2" s="494"/>
      <c r="DGR2" s="494"/>
      <c r="DGS2" s="494"/>
      <c r="DGT2" s="494"/>
      <c r="DGU2" s="494"/>
      <c r="DGV2" s="494"/>
      <c r="DGW2" s="494"/>
      <c r="DGX2" s="494"/>
      <c r="DGY2" s="494"/>
      <c r="DGZ2" s="494"/>
      <c r="DHA2" s="494"/>
      <c r="DHB2" s="494"/>
      <c r="DHC2" s="494"/>
      <c r="DHD2" s="494"/>
      <c r="DHE2" s="494"/>
      <c r="DHF2" s="494"/>
      <c r="DHG2" s="494"/>
      <c r="DHH2" s="494"/>
      <c r="DHI2" s="494"/>
      <c r="DHJ2" s="494"/>
      <c r="DHK2" s="494"/>
      <c r="DHL2" s="494"/>
      <c r="DHM2" s="494"/>
      <c r="DHN2" s="494"/>
      <c r="DHO2" s="494"/>
      <c r="DHP2" s="494"/>
      <c r="DHQ2" s="494"/>
      <c r="DHR2" s="494"/>
      <c r="DHS2" s="494"/>
      <c r="DHT2" s="494"/>
      <c r="DHU2" s="494"/>
      <c r="DHV2" s="494"/>
      <c r="DHW2" s="494"/>
      <c r="DHX2" s="494"/>
      <c r="DHY2" s="494"/>
      <c r="DHZ2" s="494"/>
      <c r="DIA2" s="494"/>
      <c r="DIB2" s="494"/>
      <c r="DIC2" s="494"/>
      <c r="DID2" s="494"/>
      <c r="DIE2" s="494"/>
      <c r="DIF2" s="494"/>
      <c r="DIG2" s="494"/>
      <c r="DIH2" s="494"/>
      <c r="DII2" s="494"/>
      <c r="DIJ2" s="494"/>
      <c r="DIK2" s="494"/>
      <c r="DIL2" s="494"/>
      <c r="DIM2" s="494"/>
      <c r="DIN2" s="494"/>
      <c r="DIO2" s="494"/>
      <c r="DIP2" s="494"/>
      <c r="DIQ2" s="494"/>
      <c r="DIR2" s="494"/>
      <c r="DIS2" s="494"/>
      <c r="DIT2" s="494"/>
      <c r="DIU2" s="494"/>
      <c r="DIV2" s="494"/>
      <c r="DIW2" s="494"/>
      <c r="DIX2" s="494"/>
      <c r="DIY2" s="494"/>
      <c r="DIZ2" s="494"/>
      <c r="DJA2" s="494"/>
      <c r="DJB2" s="494"/>
      <c r="DJC2" s="494"/>
      <c r="DJD2" s="494"/>
      <c r="DJE2" s="494"/>
      <c r="DJF2" s="494"/>
      <c r="DJG2" s="494"/>
      <c r="DJH2" s="494"/>
      <c r="DJI2" s="494"/>
      <c r="DJJ2" s="494"/>
      <c r="DJK2" s="494"/>
      <c r="DJL2" s="494"/>
      <c r="DJM2" s="494"/>
      <c r="DJN2" s="494"/>
      <c r="DJO2" s="494"/>
      <c r="DJP2" s="494"/>
      <c r="DJQ2" s="494"/>
      <c r="DJR2" s="494"/>
      <c r="DJS2" s="494"/>
      <c r="DJT2" s="494"/>
      <c r="DJU2" s="494"/>
      <c r="DJV2" s="494"/>
      <c r="DJW2" s="494"/>
      <c r="DJX2" s="494"/>
      <c r="DJY2" s="494"/>
      <c r="DJZ2" s="494"/>
      <c r="DKA2" s="494"/>
      <c r="DKB2" s="494"/>
      <c r="DKC2" s="494"/>
      <c r="DKD2" s="494"/>
      <c r="DKE2" s="494"/>
      <c r="DKF2" s="494"/>
      <c r="DKG2" s="494"/>
      <c r="DKH2" s="494"/>
      <c r="DKI2" s="494"/>
      <c r="DKJ2" s="494"/>
      <c r="DKK2" s="494"/>
      <c r="DKL2" s="494"/>
      <c r="DKM2" s="494"/>
      <c r="DKN2" s="494"/>
      <c r="DKO2" s="494"/>
      <c r="DKP2" s="494"/>
      <c r="DKQ2" s="494"/>
      <c r="DKR2" s="494"/>
      <c r="DKS2" s="494"/>
      <c r="DKT2" s="494"/>
      <c r="DKU2" s="494"/>
      <c r="DKV2" s="494"/>
      <c r="DKW2" s="494"/>
      <c r="DKX2" s="494"/>
      <c r="DKY2" s="494"/>
      <c r="DKZ2" s="494"/>
      <c r="DLA2" s="494"/>
      <c r="DLB2" s="494"/>
      <c r="DLC2" s="494"/>
      <c r="DLD2" s="494"/>
      <c r="DLE2" s="494"/>
      <c r="DLF2" s="494"/>
      <c r="DLG2" s="494"/>
      <c r="DLH2" s="494"/>
      <c r="DLI2" s="494"/>
      <c r="DLJ2" s="494"/>
      <c r="DLK2" s="494"/>
      <c r="DLL2" s="494"/>
      <c r="DLM2" s="494"/>
      <c r="DLN2" s="494"/>
      <c r="DLO2" s="494"/>
      <c r="DLP2" s="494"/>
      <c r="DLQ2" s="494"/>
      <c r="DLR2" s="494"/>
      <c r="DLS2" s="494"/>
      <c r="DLT2" s="494"/>
      <c r="DLU2" s="494"/>
      <c r="DLV2" s="494"/>
      <c r="DLW2" s="494"/>
      <c r="DLX2" s="494"/>
      <c r="DLY2" s="494"/>
      <c r="DLZ2" s="494"/>
      <c r="DMA2" s="494"/>
      <c r="DMB2" s="494"/>
      <c r="DMC2" s="494"/>
      <c r="DMD2" s="494"/>
      <c r="DME2" s="494"/>
      <c r="DMF2" s="494"/>
      <c r="DMG2" s="494"/>
      <c r="DMH2" s="494"/>
      <c r="DMI2" s="494"/>
      <c r="DMJ2" s="494"/>
      <c r="DMK2" s="494"/>
      <c r="DML2" s="494"/>
      <c r="DMM2" s="494"/>
      <c r="DMN2" s="494"/>
      <c r="DMO2" s="494"/>
      <c r="DMP2" s="494"/>
      <c r="DMQ2" s="494"/>
      <c r="DMR2" s="494"/>
      <c r="DMS2" s="494"/>
      <c r="DMT2" s="494"/>
      <c r="DMU2" s="494"/>
      <c r="DMV2" s="494"/>
      <c r="DMW2" s="494"/>
      <c r="DMX2" s="494"/>
      <c r="DMY2" s="494"/>
      <c r="DMZ2" s="494"/>
      <c r="DNA2" s="494"/>
      <c r="DNB2" s="494"/>
      <c r="DNC2" s="494"/>
      <c r="DND2" s="494"/>
      <c r="DNE2" s="494"/>
      <c r="DNF2" s="494"/>
      <c r="DNG2" s="494"/>
      <c r="DNH2" s="494"/>
      <c r="DNI2" s="494"/>
      <c r="DNJ2" s="494"/>
      <c r="DNK2" s="494"/>
      <c r="DNL2" s="494"/>
      <c r="DNM2" s="494"/>
      <c r="DNN2" s="494"/>
      <c r="DNO2" s="494"/>
      <c r="DNP2" s="494"/>
      <c r="DNQ2" s="494"/>
      <c r="DNR2" s="494"/>
      <c r="DNS2" s="494"/>
      <c r="DNT2" s="494"/>
      <c r="DNU2" s="494"/>
      <c r="DNV2" s="494"/>
      <c r="DNW2" s="494"/>
      <c r="DNX2" s="494"/>
      <c r="DNY2" s="494"/>
      <c r="DNZ2" s="494"/>
      <c r="DOA2" s="494"/>
      <c r="DOB2" s="494"/>
      <c r="DOC2" s="494"/>
      <c r="DOD2" s="494"/>
      <c r="DOE2" s="494"/>
      <c r="DOF2" s="494"/>
      <c r="DOG2" s="494"/>
      <c r="DOH2" s="494"/>
      <c r="DOI2" s="494"/>
      <c r="DOJ2" s="494"/>
      <c r="DOK2" s="494"/>
      <c r="DOL2" s="494"/>
      <c r="DOM2" s="494"/>
      <c r="DON2" s="494"/>
      <c r="DOO2" s="494"/>
      <c r="DOP2" s="494"/>
      <c r="DOQ2" s="494"/>
      <c r="DOR2" s="494"/>
      <c r="DOS2" s="494"/>
      <c r="DOT2" s="494"/>
      <c r="DOU2" s="494"/>
      <c r="DOV2" s="494"/>
      <c r="DOW2" s="494"/>
      <c r="DOX2" s="494"/>
      <c r="DOY2" s="494"/>
      <c r="DOZ2" s="494"/>
      <c r="DPA2" s="494"/>
      <c r="DPB2" s="494"/>
      <c r="DPC2" s="494"/>
      <c r="DPD2" s="494"/>
      <c r="DPE2" s="494"/>
      <c r="DPF2" s="494"/>
      <c r="DPG2" s="494"/>
      <c r="DPH2" s="494"/>
      <c r="DPI2" s="494"/>
      <c r="DPJ2" s="494"/>
      <c r="DPK2" s="494"/>
      <c r="DPL2" s="494"/>
      <c r="DPM2" s="494"/>
      <c r="DPN2" s="494"/>
      <c r="DPO2" s="494"/>
      <c r="DPP2" s="494"/>
      <c r="DPQ2" s="494"/>
      <c r="DPR2" s="494"/>
      <c r="DPS2" s="494"/>
      <c r="DPT2" s="494"/>
      <c r="DPU2" s="494"/>
      <c r="DPV2" s="494"/>
      <c r="DPW2" s="494"/>
      <c r="DPX2" s="494"/>
      <c r="DPY2" s="494"/>
      <c r="DPZ2" s="494"/>
      <c r="DQA2" s="494"/>
      <c r="DQB2" s="494"/>
      <c r="DQC2" s="494"/>
      <c r="DQD2" s="494"/>
      <c r="DQE2" s="494"/>
      <c r="DQF2" s="494"/>
      <c r="DQG2" s="494"/>
      <c r="DQH2" s="494"/>
      <c r="DQI2" s="494"/>
      <c r="DQJ2" s="494"/>
      <c r="DQK2" s="494"/>
      <c r="DQL2" s="494"/>
      <c r="DQM2" s="494"/>
      <c r="DQN2" s="494"/>
      <c r="DQO2" s="494"/>
      <c r="DQP2" s="494"/>
      <c r="DQQ2" s="494"/>
      <c r="DQR2" s="494"/>
      <c r="DQS2" s="494"/>
      <c r="DQT2" s="494"/>
      <c r="DQU2" s="494"/>
      <c r="DQV2" s="494"/>
      <c r="DQW2" s="494"/>
      <c r="DQX2" s="494"/>
      <c r="DQY2" s="494"/>
      <c r="DQZ2" s="494"/>
      <c r="DRA2" s="494"/>
      <c r="DRB2" s="494"/>
      <c r="DRC2" s="494"/>
      <c r="DRD2" s="494"/>
      <c r="DRE2" s="494"/>
      <c r="DRF2" s="494"/>
      <c r="DRG2" s="494"/>
      <c r="DRH2" s="494"/>
      <c r="DRI2" s="494"/>
      <c r="DRJ2" s="494"/>
      <c r="DRK2" s="494"/>
      <c r="DRL2" s="494"/>
      <c r="DRM2" s="494"/>
      <c r="DRN2" s="494"/>
      <c r="DRO2" s="494"/>
      <c r="DRP2" s="494"/>
      <c r="DRQ2" s="494"/>
      <c r="DRR2" s="494"/>
      <c r="DRS2" s="494"/>
      <c r="DRT2" s="494"/>
      <c r="DRU2" s="494"/>
      <c r="DRV2" s="494"/>
      <c r="DRW2" s="494"/>
      <c r="DRX2" s="494"/>
      <c r="DRY2" s="494"/>
      <c r="DRZ2" s="494"/>
      <c r="DSA2" s="494"/>
      <c r="DSB2" s="494"/>
      <c r="DSC2" s="494"/>
      <c r="DSD2" s="494"/>
      <c r="DSE2" s="494"/>
      <c r="DSF2" s="494"/>
      <c r="DSG2" s="494"/>
      <c r="DSH2" s="494"/>
      <c r="DSI2" s="494"/>
      <c r="DSJ2" s="494"/>
      <c r="DSK2" s="494"/>
      <c r="DSL2" s="494"/>
      <c r="DSM2" s="494"/>
      <c r="DSN2" s="494"/>
      <c r="DSO2" s="494"/>
      <c r="DSP2" s="494"/>
      <c r="DSQ2" s="494"/>
      <c r="DSR2" s="494"/>
      <c r="DSS2" s="494"/>
      <c r="DST2" s="494"/>
      <c r="DSU2" s="494"/>
      <c r="DSV2" s="494"/>
      <c r="DSW2" s="494"/>
      <c r="DSX2" s="494"/>
      <c r="DSY2" s="494"/>
      <c r="DSZ2" s="494"/>
      <c r="DTA2" s="494"/>
      <c r="DTB2" s="494"/>
      <c r="DTC2" s="494"/>
      <c r="DTD2" s="494"/>
      <c r="DTE2" s="494"/>
      <c r="DTF2" s="494"/>
      <c r="DTG2" s="494"/>
      <c r="DTH2" s="494"/>
      <c r="DTI2" s="494"/>
      <c r="DTJ2" s="494"/>
      <c r="DTK2" s="494"/>
      <c r="DTL2" s="494"/>
      <c r="DTM2" s="494"/>
      <c r="DTN2" s="494"/>
      <c r="DTO2" s="494"/>
      <c r="DTP2" s="494"/>
      <c r="DTQ2" s="494"/>
      <c r="DTR2" s="494"/>
      <c r="DTS2" s="494"/>
      <c r="DTT2" s="494"/>
      <c r="DTU2" s="494"/>
      <c r="DTV2" s="494"/>
      <c r="DTW2" s="494"/>
      <c r="DTX2" s="494"/>
      <c r="DTY2" s="494"/>
      <c r="DTZ2" s="494"/>
      <c r="DUA2" s="494"/>
      <c r="DUB2" s="494"/>
      <c r="DUC2" s="494"/>
      <c r="DUD2" s="494"/>
      <c r="DUE2" s="494"/>
      <c r="DUF2" s="494"/>
      <c r="DUG2" s="494"/>
      <c r="DUH2" s="494"/>
      <c r="DUI2" s="494"/>
      <c r="DUJ2" s="494"/>
      <c r="DUK2" s="494"/>
      <c r="DUL2" s="494"/>
      <c r="DUM2" s="494"/>
      <c r="DUN2" s="494"/>
      <c r="DUO2" s="494"/>
      <c r="DUP2" s="494"/>
      <c r="DUQ2" s="494"/>
      <c r="DUR2" s="494"/>
      <c r="DUS2" s="494"/>
      <c r="DUT2" s="494"/>
      <c r="DUU2" s="494"/>
      <c r="DUV2" s="494"/>
      <c r="DUW2" s="494"/>
      <c r="DUX2" s="494"/>
      <c r="DUY2" s="494"/>
      <c r="DUZ2" s="494"/>
      <c r="DVA2" s="494"/>
      <c r="DVB2" s="494"/>
      <c r="DVC2" s="494"/>
      <c r="DVD2" s="494"/>
      <c r="DVE2" s="494"/>
      <c r="DVF2" s="494"/>
      <c r="DVG2" s="494"/>
      <c r="DVH2" s="494"/>
      <c r="DVI2" s="494"/>
      <c r="DVJ2" s="494"/>
      <c r="DVK2" s="494"/>
      <c r="DVL2" s="494"/>
      <c r="DVM2" s="494"/>
      <c r="DVN2" s="494"/>
      <c r="DVO2" s="494"/>
      <c r="DVP2" s="494"/>
      <c r="DVQ2" s="494"/>
      <c r="DVR2" s="494"/>
      <c r="DVS2" s="494"/>
      <c r="DVT2" s="494"/>
      <c r="DVU2" s="494"/>
      <c r="DVV2" s="494"/>
      <c r="DVW2" s="494"/>
      <c r="DVX2" s="494"/>
      <c r="DVY2" s="494"/>
      <c r="DVZ2" s="494"/>
      <c r="DWA2" s="494"/>
      <c r="DWB2" s="494"/>
      <c r="DWC2" s="494"/>
      <c r="DWD2" s="494"/>
      <c r="DWE2" s="494"/>
      <c r="DWF2" s="494"/>
      <c r="DWG2" s="494"/>
      <c r="DWH2" s="494"/>
      <c r="DWI2" s="494"/>
      <c r="DWJ2" s="494"/>
      <c r="DWK2" s="494"/>
      <c r="DWL2" s="494"/>
      <c r="DWM2" s="494"/>
      <c r="DWN2" s="494"/>
      <c r="DWO2" s="494"/>
      <c r="DWP2" s="494"/>
      <c r="DWQ2" s="494"/>
      <c r="DWR2" s="494"/>
      <c r="DWS2" s="494"/>
      <c r="DWT2" s="494"/>
      <c r="DWU2" s="494"/>
      <c r="DWV2" s="494"/>
      <c r="DWW2" s="494"/>
      <c r="DWX2" s="494"/>
      <c r="DWY2" s="494"/>
      <c r="DWZ2" s="494"/>
      <c r="DXA2" s="494"/>
      <c r="DXB2" s="494"/>
      <c r="DXC2" s="494"/>
      <c r="DXD2" s="494"/>
      <c r="DXE2" s="494"/>
      <c r="DXF2" s="494"/>
      <c r="DXG2" s="494"/>
      <c r="DXH2" s="494"/>
      <c r="DXI2" s="494"/>
      <c r="DXJ2" s="494"/>
      <c r="DXK2" s="494"/>
      <c r="DXL2" s="494"/>
      <c r="DXM2" s="494"/>
      <c r="DXN2" s="494"/>
      <c r="DXO2" s="494"/>
      <c r="DXP2" s="494"/>
      <c r="DXQ2" s="494"/>
      <c r="DXR2" s="494"/>
      <c r="DXS2" s="494"/>
      <c r="DXT2" s="494"/>
      <c r="DXU2" s="494"/>
      <c r="DXV2" s="494"/>
      <c r="DXW2" s="494"/>
      <c r="DXX2" s="494"/>
      <c r="DXY2" s="494"/>
      <c r="DXZ2" s="494"/>
      <c r="DYA2" s="494"/>
      <c r="DYB2" s="494"/>
      <c r="DYC2" s="494"/>
      <c r="DYD2" s="494"/>
      <c r="DYE2" s="494"/>
      <c r="DYF2" s="494"/>
      <c r="DYG2" s="494"/>
      <c r="DYH2" s="494"/>
      <c r="DYI2" s="494"/>
      <c r="DYJ2" s="494"/>
      <c r="DYK2" s="494"/>
      <c r="DYL2" s="494"/>
      <c r="DYM2" s="494"/>
      <c r="DYN2" s="494"/>
      <c r="DYO2" s="494"/>
      <c r="DYP2" s="494"/>
      <c r="DYQ2" s="494"/>
      <c r="DYR2" s="494"/>
      <c r="DYS2" s="494"/>
      <c r="DYT2" s="494"/>
      <c r="DYU2" s="494"/>
      <c r="DYV2" s="494"/>
      <c r="DYW2" s="494"/>
      <c r="DYX2" s="494"/>
      <c r="DYY2" s="494"/>
      <c r="DYZ2" s="494"/>
      <c r="DZA2" s="494"/>
      <c r="DZB2" s="494"/>
      <c r="DZC2" s="494"/>
      <c r="DZD2" s="494"/>
      <c r="DZE2" s="494"/>
      <c r="DZF2" s="494"/>
      <c r="DZG2" s="494"/>
      <c r="DZH2" s="494"/>
      <c r="DZI2" s="494"/>
      <c r="DZJ2" s="494"/>
      <c r="DZK2" s="494"/>
      <c r="DZL2" s="494"/>
      <c r="DZM2" s="494"/>
      <c r="DZN2" s="494"/>
      <c r="DZO2" s="494"/>
      <c r="DZP2" s="494"/>
      <c r="DZQ2" s="494"/>
      <c r="DZR2" s="494"/>
      <c r="DZS2" s="494"/>
      <c r="DZT2" s="494"/>
      <c r="DZU2" s="494"/>
      <c r="DZV2" s="494"/>
      <c r="DZW2" s="494"/>
      <c r="DZX2" s="494"/>
      <c r="DZY2" s="494"/>
      <c r="DZZ2" s="494"/>
      <c r="EAA2" s="494"/>
      <c r="EAB2" s="494"/>
      <c r="EAC2" s="494"/>
      <c r="EAD2" s="494"/>
      <c r="EAE2" s="494"/>
      <c r="EAF2" s="494"/>
      <c r="EAG2" s="494"/>
      <c r="EAH2" s="494"/>
      <c r="EAI2" s="494"/>
      <c r="EAJ2" s="494"/>
      <c r="EAK2" s="494"/>
      <c r="EAL2" s="494"/>
      <c r="EAM2" s="494"/>
      <c r="EAN2" s="494"/>
      <c r="EAO2" s="494"/>
      <c r="EAP2" s="494"/>
      <c r="EAQ2" s="494"/>
      <c r="EAR2" s="494"/>
      <c r="EAS2" s="494"/>
      <c r="EAT2" s="494"/>
      <c r="EAU2" s="494"/>
      <c r="EAV2" s="494"/>
      <c r="EAW2" s="494"/>
      <c r="EAX2" s="494"/>
      <c r="EAY2" s="494"/>
      <c r="EAZ2" s="494"/>
      <c r="EBA2" s="494"/>
      <c r="EBB2" s="494"/>
      <c r="EBC2" s="494"/>
      <c r="EBD2" s="494"/>
      <c r="EBE2" s="494"/>
      <c r="EBF2" s="494"/>
      <c r="EBG2" s="494"/>
      <c r="EBH2" s="494"/>
      <c r="EBI2" s="494"/>
      <c r="EBJ2" s="494"/>
      <c r="EBK2" s="494"/>
      <c r="EBL2" s="494"/>
      <c r="EBM2" s="494"/>
      <c r="EBN2" s="494"/>
      <c r="EBO2" s="494"/>
      <c r="EBP2" s="494"/>
      <c r="EBQ2" s="494"/>
      <c r="EBR2" s="494"/>
      <c r="EBS2" s="494"/>
      <c r="EBT2" s="494"/>
      <c r="EBU2" s="494"/>
      <c r="EBV2" s="494"/>
      <c r="EBW2" s="494"/>
      <c r="EBX2" s="494"/>
      <c r="EBY2" s="494"/>
      <c r="EBZ2" s="494"/>
      <c r="ECA2" s="494"/>
      <c r="ECB2" s="494"/>
      <c r="ECC2" s="494"/>
      <c r="ECD2" s="494"/>
      <c r="ECE2" s="494"/>
      <c r="ECF2" s="494"/>
      <c r="ECG2" s="494"/>
      <c r="ECH2" s="494"/>
      <c r="ECI2" s="494"/>
      <c r="ECJ2" s="494"/>
      <c r="ECK2" s="494"/>
      <c r="ECL2" s="494"/>
      <c r="ECM2" s="494"/>
      <c r="ECN2" s="494"/>
      <c r="ECO2" s="494"/>
      <c r="ECP2" s="494"/>
      <c r="ECQ2" s="494"/>
      <c r="ECR2" s="494"/>
      <c r="ECS2" s="494"/>
      <c r="ECT2" s="494"/>
      <c r="ECU2" s="494"/>
      <c r="ECV2" s="494"/>
      <c r="ECW2" s="494"/>
      <c r="ECX2" s="494"/>
      <c r="ECY2" s="494"/>
      <c r="ECZ2" s="494"/>
      <c r="EDA2" s="494"/>
      <c r="EDB2" s="494"/>
      <c r="EDC2" s="494"/>
      <c r="EDD2" s="494"/>
      <c r="EDE2" s="494"/>
      <c r="EDF2" s="494"/>
      <c r="EDG2" s="494"/>
      <c r="EDH2" s="494"/>
      <c r="EDI2" s="494"/>
      <c r="EDJ2" s="494"/>
      <c r="EDK2" s="494"/>
      <c r="EDL2" s="494"/>
      <c r="EDM2" s="494"/>
      <c r="EDN2" s="494"/>
      <c r="EDO2" s="494"/>
      <c r="EDP2" s="494"/>
      <c r="EDQ2" s="494"/>
      <c r="EDR2" s="494"/>
      <c r="EDS2" s="494"/>
      <c r="EDT2" s="494"/>
      <c r="EDU2" s="494"/>
      <c r="EDV2" s="494"/>
      <c r="EDW2" s="494"/>
      <c r="EDX2" s="494"/>
      <c r="EDY2" s="494"/>
      <c r="EDZ2" s="494"/>
      <c r="EEA2" s="494"/>
      <c r="EEB2" s="494"/>
      <c r="EEC2" s="494"/>
      <c r="EED2" s="494"/>
      <c r="EEE2" s="494"/>
      <c r="EEF2" s="494"/>
      <c r="EEG2" s="494"/>
      <c r="EEH2" s="494"/>
      <c r="EEI2" s="494"/>
      <c r="EEJ2" s="494"/>
      <c r="EEK2" s="494"/>
      <c r="EEL2" s="494"/>
      <c r="EEM2" s="494"/>
      <c r="EEN2" s="494"/>
      <c r="EEO2" s="494"/>
      <c r="EEP2" s="494"/>
      <c r="EEQ2" s="494"/>
      <c r="EER2" s="494"/>
      <c r="EES2" s="494"/>
      <c r="EET2" s="494"/>
      <c r="EEU2" s="494"/>
      <c r="EEV2" s="494"/>
      <c r="EEW2" s="494"/>
      <c r="EEX2" s="494"/>
      <c r="EEY2" s="494"/>
      <c r="EEZ2" s="494"/>
      <c r="EFA2" s="494"/>
      <c r="EFB2" s="494"/>
      <c r="EFC2" s="494"/>
      <c r="EFD2" s="494"/>
      <c r="EFE2" s="494"/>
      <c r="EFF2" s="494"/>
      <c r="EFG2" s="494"/>
      <c r="EFH2" s="494"/>
      <c r="EFI2" s="494"/>
      <c r="EFJ2" s="494"/>
      <c r="EFK2" s="494"/>
      <c r="EFL2" s="494"/>
      <c r="EFM2" s="494"/>
      <c r="EFN2" s="494"/>
      <c r="EFO2" s="494"/>
      <c r="EFP2" s="494"/>
      <c r="EFQ2" s="494"/>
      <c r="EFR2" s="494"/>
      <c r="EFS2" s="494"/>
      <c r="EFT2" s="494"/>
      <c r="EFU2" s="494"/>
      <c r="EFV2" s="494"/>
      <c r="EFW2" s="494"/>
      <c r="EFX2" s="494"/>
      <c r="EFY2" s="494"/>
      <c r="EFZ2" s="494"/>
      <c r="EGA2" s="494"/>
      <c r="EGB2" s="494"/>
      <c r="EGC2" s="494"/>
      <c r="EGD2" s="494"/>
      <c r="EGE2" s="494"/>
      <c r="EGF2" s="494"/>
      <c r="EGG2" s="494"/>
      <c r="EGH2" s="494"/>
      <c r="EGI2" s="494"/>
      <c r="EGJ2" s="494"/>
      <c r="EGK2" s="494"/>
      <c r="EGL2" s="494"/>
      <c r="EGM2" s="494"/>
      <c r="EGN2" s="494"/>
      <c r="EGO2" s="494"/>
      <c r="EGP2" s="494"/>
      <c r="EGQ2" s="494"/>
      <c r="EGR2" s="494"/>
      <c r="EGS2" s="494"/>
      <c r="EGT2" s="494"/>
      <c r="EGU2" s="494"/>
      <c r="EGV2" s="494"/>
      <c r="EGW2" s="494"/>
      <c r="EGX2" s="494"/>
      <c r="EGY2" s="494"/>
      <c r="EGZ2" s="494"/>
      <c r="EHA2" s="494"/>
      <c r="EHB2" s="494"/>
      <c r="EHC2" s="494"/>
      <c r="EHD2" s="494"/>
      <c r="EHE2" s="494"/>
      <c r="EHF2" s="494"/>
      <c r="EHG2" s="494"/>
      <c r="EHH2" s="494"/>
      <c r="EHI2" s="494"/>
      <c r="EHJ2" s="494"/>
      <c r="EHK2" s="494"/>
      <c r="EHL2" s="494"/>
      <c r="EHM2" s="494"/>
      <c r="EHN2" s="494"/>
      <c r="EHO2" s="494"/>
      <c r="EHP2" s="494"/>
      <c r="EHQ2" s="494"/>
      <c r="EHR2" s="494"/>
      <c r="EHS2" s="494"/>
      <c r="EHT2" s="494"/>
      <c r="EHU2" s="494"/>
      <c r="EHV2" s="494"/>
      <c r="EHW2" s="494"/>
      <c r="EHX2" s="494"/>
      <c r="EHY2" s="494"/>
      <c r="EHZ2" s="494"/>
      <c r="EIA2" s="494"/>
      <c r="EIB2" s="494"/>
      <c r="EIC2" s="494"/>
      <c r="EID2" s="494"/>
      <c r="EIE2" s="494"/>
      <c r="EIF2" s="494"/>
      <c r="EIG2" s="494"/>
      <c r="EIH2" s="494"/>
      <c r="EII2" s="494"/>
      <c r="EIJ2" s="494"/>
      <c r="EIK2" s="494"/>
      <c r="EIL2" s="494"/>
      <c r="EIM2" s="494"/>
      <c r="EIN2" s="494"/>
      <c r="EIO2" s="494"/>
      <c r="EIP2" s="494"/>
      <c r="EIQ2" s="494"/>
      <c r="EIR2" s="494"/>
      <c r="EIS2" s="494"/>
      <c r="EIT2" s="494"/>
      <c r="EIU2" s="494"/>
      <c r="EIV2" s="494"/>
      <c r="EIW2" s="494"/>
      <c r="EIX2" s="494"/>
      <c r="EIY2" s="494"/>
      <c r="EIZ2" s="494"/>
      <c r="EJA2" s="494"/>
      <c r="EJB2" s="494"/>
      <c r="EJC2" s="494"/>
      <c r="EJD2" s="494"/>
      <c r="EJE2" s="494"/>
      <c r="EJF2" s="494"/>
      <c r="EJG2" s="494"/>
      <c r="EJH2" s="494"/>
      <c r="EJI2" s="494"/>
      <c r="EJJ2" s="494"/>
      <c r="EJK2" s="494"/>
      <c r="EJL2" s="494"/>
      <c r="EJM2" s="494"/>
      <c r="EJN2" s="494"/>
      <c r="EJO2" s="494"/>
      <c r="EJP2" s="494"/>
      <c r="EJQ2" s="494"/>
      <c r="EJR2" s="494"/>
      <c r="EJS2" s="494"/>
      <c r="EJT2" s="494"/>
      <c r="EJU2" s="494"/>
      <c r="EJV2" s="494"/>
      <c r="EJW2" s="494"/>
      <c r="EJX2" s="494"/>
      <c r="EJY2" s="494"/>
      <c r="EJZ2" s="494"/>
      <c r="EKA2" s="494"/>
      <c r="EKB2" s="494"/>
      <c r="EKC2" s="494"/>
      <c r="EKD2" s="494"/>
      <c r="EKE2" s="494"/>
      <c r="EKF2" s="494"/>
      <c r="EKG2" s="494"/>
      <c r="EKH2" s="494"/>
      <c r="EKI2" s="494"/>
      <c r="EKJ2" s="494"/>
      <c r="EKK2" s="494"/>
      <c r="EKL2" s="494"/>
      <c r="EKM2" s="494"/>
      <c r="EKN2" s="494"/>
      <c r="EKO2" s="494"/>
      <c r="EKP2" s="494"/>
      <c r="EKQ2" s="494"/>
      <c r="EKR2" s="494"/>
      <c r="EKS2" s="494"/>
      <c r="EKT2" s="494"/>
      <c r="EKU2" s="494"/>
      <c r="EKV2" s="494"/>
      <c r="EKW2" s="494"/>
      <c r="EKX2" s="494"/>
      <c r="EKY2" s="494"/>
      <c r="EKZ2" s="494"/>
      <c r="ELA2" s="494"/>
      <c r="ELB2" s="494"/>
      <c r="ELC2" s="494"/>
      <c r="ELD2" s="494"/>
      <c r="ELE2" s="494"/>
      <c r="ELF2" s="494"/>
      <c r="ELG2" s="494"/>
      <c r="ELH2" s="494"/>
      <c r="ELI2" s="494"/>
      <c r="ELJ2" s="494"/>
      <c r="ELK2" s="494"/>
      <c r="ELL2" s="494"/>
      <c r="ELM2" s="494"/>
      <c r="ELN2" s="494"/>
      <c r="ELO2" s="494"/>
      <c r="ELP2" s="494"/>
      <c r="ELQ2" s="494"/>
      <c r="ELR2" s="494"/>
      <c r="ELS2" s="494"/>
      <c r="ELT2" s="494"/>
      <c r="ELU2" s="494"/>
      <c r="ELV2" s="494"/>
      <c r="ELW2" s="494"/>
      <c r="ELX2" s="494"/>
      <c r="ELY2" s="494"/>
      <c r="ELZ2" s="494"/>
      <c r="EMA2" s="494"/>
      <c r="EMB2" s="494"/>
      <c r="EMC2" s="494"/>
      <c r="EMD2" s="494"/>
      <c r="EME2" s="494"/>
      <c r="EMF2" s="494"/>
      <c r="EMG2" s="494"/>
      <c r="EMH2" s="494"/>
      <c r="EMI2" s="494"/>
      <c r="EMJ2" s="494"/>
      <c r="EMK2" s="494"/>
      <c r="EML2" s="494"/>
      <c r="EMM2" s="494"/>
      <c r="EMN2" s="494"/>
      <c r="EMO2" s="494"/>
      <c r="EMP2" s="494"/>
      <c r="EMQ2" s="494"/>
      <c r="EMR2" s="494"/>
      <c r="EMS2" s="494"/>
      <c r="EMT2" s="494"/>
      <c r="EMU2" s="494"/>
      <c r="EMV2" s="494"/>
      <c r="EMW2" s="494"/>
      <c r="EMX2" s="494"/>
      <c r="EMY2" s="494"/>
      <c r="EMZ2" s="494"/>
      <c r="ENA2" s="494"/>
      <c r="ENB2" s="494"/>
      <c r="ENC2" s="494"/>
      <c r="END2" s="494"/>
      <c r="ENE2" s="494"/>
      <c r="ENF2" s="494"/>
      <c r="ENG2" s="494"/>
      <c r="ENH2" s="494"/>
      <c r="ENI2" s="494"/>
      <c r="ENJ2" s="494"/>
      <c r="ENK2" s="494"/>
      <c r="ENL2" s="494"/>
      <c r="ENM2" s="494"/>
      <c r="ENN2" s="494"/>
      <c r="ENO2" s="494"/>
      <c r="ENP2" s="494"/>
      <c r="ENQ2" s="494"/>
      <c r="ENR2" s="494"/>
      <c r="ENS2" s="494"/>
      <c r="ENT2" s="494"/>
      <c r="ENU2" s="494"/>
      <c r="ENV2" s="494"/>
      <c r="ENW2" s="494"/>
      <c r="ENX2" s="494"/>
      <c r="ENY2" s="494"/>
      <c r="ENZ2" s="494"/>
      <c r="EOA2" s="494"/>
      <c r="EOB2" s="494"/>
      <c r="EOC2" s="494"/>
      <c r="EOD2" s="494"/>
      <c r="EOE2" s="494"/>
      <c r="EOF2" s="494"/>
      <c r="EOG2" s="494"/>
      <c r="EOH2" s="494"/>
      <c r="EOI2" s="494"/>
      <c r="EOJ2" s="494"/>
      <c r="EOK2" s="494"/>
      <c r="EOL2" s="494"/>
      <c r="EOM2" s="494"/>
      <c r="EON2" s="494"/>
      <c r="EOO2" s="494"/>
      <c r="EOP2" s="494"/>
      <c r="EOQ2" s="494"/>
      <c r="EOR2" s="494"/>
      <c r="EOS2" s="494"/>
      <c r="EOT2" s="494"/>
      <c r="EOU2" s="494"/>
      <c r="EOV2" s="494"/>
      <c r="EOW2" s="494"/>
      <c r="EOX2" s="494"/>
      <c r="EOY2" s="494"/>
      <c r="EOZ2" s="494"/>
      <c r="EPA2" s="494"/>
      <c r="EPB2" s="494"/>
      <c r="EPC2" s="494"/>
      <c r="EPD2" s="494"/>
      <c r="EPE2" s="494"/>
      <c r="EPF2" s="494"/>
      <c r="EPG2" s="494"/>
      <c r="EPH2" s="494"/>
      <c r="EPI2" s="494"/>
      <c r="EPJ2" s="494"/>
      <c r="EPK2" s="494"/>
      <c r="EPL2" s="494"/>
      <c r="EPM2" s="494"/>
      <c r="EPN2" s="494"/>
      <c r="EPO2" s="494"/>
      <c r="EPP2" s="494"/>
      <c r="EPQ2" s="494"/>
      <c r="EPR2" s="494"/>
      <c r="EPS2" s="494"/>
      <c r="EPT2" s="494"/>
      <c r="EPU2" s="494"/>
      <c r="EPV2" s="494"/>
      <c r="EPW2" s="494"/>
      <c r="EPX2" s="494"/>
      <c r="EPY2" s="494"/>
      <c r="EPZ2" s="494"/>
      <c r="EQA2" s="494"/>
      <c r="EQB2" s="494"/>
      <c r="EQC2" s="494"/>
      <c r="EQD2" s="494"/>
      <c r="EQE2" s="494"/>
      <c r="EQF2" s="494"/>
      <c r="EQG2" s="494"/>
      <c r="EQH2" s="494"/>
      <c r="EQI2" s="494"/>
      <c r="EQJ2" s="494"/>
      <c r="EQK2" s="494"/>
      <c r="EQL2" s="494"/>
      <c r="EQM2" s="494"/>
      <c r="EQN2" s="494"/>
      <c r="EQO2" s="494"/>
      <c r="EQP2" s="494"/>
      <c r="EQQ2" s="494"/>
      <c r="EQR2" s="494"/>
      <c r="EQS2" s="494"/>
      <c r="EQT2" s="494"/>
      <c r="EQU2" s="494"/>
      <c r="EQV2" s="494"/>
      <c r="EQW2" s="494"/>
      <c r="EQX2" s="494"/>
      <c r="EQY2" s="494"/>
      <c r="EQZ2" s="494"/>
      <c r="ERA2" s="494"/>
      <c r="ERB2" s="494"/>
      <c r="ERC2" s="494"/>
      <c r="ERD2" s="494"/>
      <c r="ERE2" s="494"/>
      <c r="ERF2" s="494"/>
      <c r="ERG2" s="494"/>
      <c r="ERH2" s="494"/>
      <c r="ERI2" s="494"/>
      <c r="ERJ2" s="494"/>
      <c r="ERK2" s="494"/>
      <c r="ERL2" s="494"/>
      <c r="ERM2" s="494"/>
      <c r="ERN2" s="494"/>
      <c r="ERO2" s="494"/>
      <c r="ERP2" s="494"/>
      <c r="ERQ2" s="494"/>
      <c r="ERR2" s="494"/>
      <c r="ERS2" s="494"/>
      <c r="ERT2" s="494"/>
      <c r="ERU2" s="494"/>
      <c r="ERV2" s="494"/>
      <c r="ERW2" s="494"/>
      <c r="ERX2" s="494"/>
      <c r="ERY2" s="494"/>
      <c r="ERZ2" s="494"/>
      <c r="ESA2" s="494"/>
      <c r="ESB2" s="494"/>
      <c r="ESC2" s="494"/>
      <c r="ESD2" s="494"/>
      <c r="ESE2" s="494"/>
      <c r="ESF2" s="494"/>
      <c r="ESG2" s="494"/>
      <c r="ESH2" s="494"/>
      <c r="ESI2" s="494"/>
      <c r="ESJ2" s="494"/>
      <c r="ESK2" s="494"/>
      <c r="ESL2" s="494"/>
      <c r="ESM2" s="494"/>
      <c r="ESN2" s="494"/>
      <c r="ESO2" s="494"/>
      <c r="ESP2" s="494"/>
      <c r="ESQ2" s="494"/>
      <c r="ESR2" s="494"/>
      <c r="ESS2" s="494"/>
      <c r="EST2" s="494"/>
      <c r="ESU2" s="494"/>
      <c r="ESV2" s="494"/>
      <c r="ESW2" s="494"/>
      <c r="ESX2" s="494"/>
      <c r="ESY2" s="494"/>
      <c r="ESZ2" s="494"/>
      <c r="ETA2" s="494"/>
      <c r="ETB2" s="494"/>
      <c r="ETC2" s="494"/>
      <c r="ETD2" s="494"/>
      <c r="ETE2" s="494"/>
      <c r="ETF2" s="494"/>
      <c r="ETG2" s="494"/>
      <c r="ETH2" s="494"/>
      <c r="ETI2" s="494"/>
      <c r="ETJ2" s="494"/>
      <c r="ETK2" s="494"/>
      <c r="ETL2" s="494"/>
      <c r="ETM2" s="494"/>
      <c r="ETN2" s="494"/>
      <c r="ETO2" s="494"/>
      <c r="ETP2" s="494"/>
      <c r="ETQ2" s="494"/>
      <c r="ETR2" s="494"/>
      <c r="ETS2" s="494"/>
      <c r="ETT2" s="494"/>
      <c r="ETU2" s="494"/>
      <c r="ETV2" s="494"/>
      <c r="ETW2" s="494"/>
      <c r="ETX2" s="494"/>
      <c r="ETY2" s="494"/>
      <c r="ETZ2" s="494"/>
      <c r="EUA2" s="494"/>
      <c r="EUB2" s="494"/>
      <c r="EUC2" s="494"/>
      <c r="EUD2" s="494"/>
      <c r="EUE2" s="494"/>
      <c r="EUF2" s="494"/>
      <c r="EUG2" s="494"/>
      <c r="EUH2" s="494"/>
      <c r="EUI2" s="494"/>
      <c r="EUJ2" s="494"/>
      <c r="EUK2" s="494"/>
      <c r="EUL2" s="494"/>
      <c r="EUM2" s="494"/>
      <c r="EUN2" s="494"/>
      <c r="EUO2" s="494"/>
      <c r="EUP2" s="494"/>
      <c r="EUQ2" s="494"/>
      <c r="EUR2" s="494"/>
      <c r="EUS2" s="494"/>
      <c r="EUT2" s="494"/>
      <c r="EUU2" s="494"/>
      <c r="EUV2" s="494"/>
      <c r="EUW2" s="494"/>
      <c r="EUX2" s="494"/>
      <c r="EUY2" s="494"/>
      <c r="EUZ2" s="494"/>
      <c r="EVA2" s="494"/>
      <c r="EVB2" s="494"/>
      <c r="EVC2" s="494"/>
      <c r="EVD2" s="494"/>
      <c r="EVE2" s="494"/>
      <c r="EVF2" s="494"/>
      <c r="EVG2" s="494"/>
      <c r="EVH2" s="494"/>
      <c r="EVI2" s="494"/>
      <c r="EVJ2" s="494"/>
      <c r="EVK2" s="494"/>
      <c r="EVL2" s="494"/>
      <c r="EVM2" s="494"/>
      <c r="EVN2" s="494"/>
      <c r="EVO2" s="494"/>
      <c r="EVP2" s="494"/>
      <c r="EVQ2" s="494"/>
      <c r="EVR2" s="494"/>
      <c r="EVS2" s="494"/>
      <c r="EVT2" s="494"/>
      <c r="EVU2" s="494"/>
      <c r="EVV2" s="494"/>
      <c r="EVW2" s="494"/>
      <c r="EVX2" s="494"/>
      <c r="EVY2" s="494"/>
      <c r="EVZ2" s="494"/>
      <c r="EWA2" s="494"/>
      <c r="EWB2" s="494"/>
      <c r="EWC2" s="494"/>
      <c r="EWD2" s="494"/>
      <c r="EWE2" s="494"/>
      <c r="EWF2" s="494"/>
      <c r="EWG2" s="494"/>
      <c r="EWH2" s="494"/>
      <c r="EWI2" s="494"/>
      <c r="EWJ2" s="494"/>
      <c r="EWK2" s="494"/>
      <c r="EWL2" s="494"/>
      <c r="EWM2" s="494"/>
      <c r="EWN2" s="494"/>
      <c r="EWO2" s="494"/>
      <c r="EWP2" s="494"/>
      <c r="EWQ2" s="494"/>
      <c r="EWR2" s="494"/>
      <c r="EWS2" s="494"/>
      <c r="EWT2" s="494"/>
      <c r="EWU2" s="494"/>
      <c r="EWV2" s="494"/>
      <c r="EWW2" s="494"/>
      <c r="EWX2" s="494"/>
      <c r="EWY2" s="494"/>
      <c r="EWZ2" s="494"/>
      <c r="EXA2" s="494"/>
      <c r="EXB2" s="494"/>
      <c r="EXC2" s="494"/>
      <c r="EXD2" s="494"/>
      <c r="EXE2" s="494"/>
      <c r="EXF2" s="494"/>
      <c r="EXG2" s="494"/>
      <c r="EXH2" s="494"/>
      <c r="EXI2" s="494"/>
      <c r="EXJ2" s="494"/>
      <c r="EXK2" s="494"/>
      <c r="EXL2" s="494"/>
      <c r="EXM2" s="494"/>
      <c r="EXN2" s="494"/>
      <c r="EXO2" s="494"/>
      <c r="EXP2" s="494"/>
      <c r="EXQ2" s="494"/>
      <c r="EXR2" s="494"/>
      <c r="EXS2" s="494"/>
      <c r="EXT2" s="494"/>
      <c r="EXU2" s="494"/>
      <c r="EXV2" s="494"/>
      <c r="EXW2" s="494"/>
      <c r="EXX2" s="494"/>
      <c r="EXY2" s="494"/>
      <c r="EXZ2" s="494"/>
      <c r="EYA2" s="494"/>
      <c r="EYB2" s="494"/>
      <c r="EYC2" s="494"/>
      <c r="EYD2" s="494"/>
      <c r="EYE2" s="494"/>
      <c r="EYF2" s="494"/>
      <c r="EYG2" s="494"/>
      <c r="EYH2" s="494"/>
      <c r="EYI2" s="494"/>
      <c r="EYJ2" s="494"/>
      <c r="EYK2" s="494"/>
      <c r="EYL2" s="494"/>
      <c r="EYM2" s="494"/>
      <c r="EYN2" s="494"/>
      <c r="EYO2" s="494"/>
      <c r="EYP2" s="494"/>
      <c r="EYQ2" s="494"/>
      <c r="EYR2" s="494"/>
      <c r="EYS2" s="494"/>
      <c r="EYT2" s="494"/>
      <c r="EYU2" s="494"/>
      <c r="EYV2" s="494"/>
      <c r="EYW2" s="494"/>
      <c r="EYX2" s="494"/>
      <c r="EYY2" s="494"/>
      <c r="EYZ2" s="494"/>
      <c r="EZA2" s="494"/>
      <c r="EZB2" s="494"/>
      <c r="EZC2" s="494"/>
      <c r="EZD2" s="494"/>
      <c r="EZE2" s="494"/>
      <c r="EZF2" s="494"/>
      <c r="EZG2" s="494"/>
      <c r="EZH2" s="494"/>
      <c r="EZI2" s="494"/>
      <c r="EZJ2" s="494"/>
      <c r="EZK2" s="494"/>
      <c r="EZL2" s="494"/>
      <c r="EZM2" s="494"/>
      <c r="EZN2" s="494"/>
      <c r="EZO2" s="494"/>
      <c r="EZP2" s="494"/>
      <c r="EZQ2" s="494"/>
      <c r="EZR2" s="494"/>
      <c r="EZS2" s="494"/>
      <c r="EZT2" s="494"/>
      <c r="EZU2" s="494"/>
      <c r="EZV2" s="494"/>
      <c r="EZW2" s="494"/>
      <c r="EZX2" s="494"/>
      <c r="EZY2" s="494"/>
      <c r="EZZ2" s="494"/>
      <c r="FAA2" s="494"/>
      <c r="FAB2" s="494"/>
      <c r="FAC2" s="494"/>
      <c r="FAD2" s="494"/>
      <c r="FAE2" s="494"/>
      <c r="FAF2" s="494"/>
      <c r="FAG2" s="494"/>
      <c r="FAH2" s="494"/>
      <c r="FAI2" s="494"/>
      <c r="FAJ2" s="494"/>
      <c r="FAK2" s="494"/>
      <c r="FAL2" s="494"/>
      <c r="FAM2" s="494"/>
      <c r="FAN2" s="494"/>
      <c r="FAO2" s="494"/>
      <c r="FAP2" s="494"/>
      <c r="FAQ2" s="494"/>
      <c r="FAR2" s="494"/>
      <c r="FAS2" s="494"/>
      <c r="FAT2" s="494"/>
      <c r="FAU2" s="494"/>
      <c r="FAV2" s="494"/>
      <c r="FAW2" s="494"/>
      <c r="FAX2" s="494"/>
      <c r="FAY2" s="494"/>
      <c r="FAZ2" s="494"/>
      <c r="FBA2" s="494"/>
      <c r="FBB2" s="494"/>
      <c r="FBC2" s="494"/>
      <c r="FBD2" s="494"/>
      <c r="FBE2" s="494"/>
      <c r="FBF2" s="494"/>
      <c r="FBG2" s="494"/>
      <c r="FBH2" s="494"/>
      <c r="FBI2" s="494"/>
      <c r="FBJ2" s="494"/>
      <c r="FBK2" s="494"/>
      <c r="FBL2" s="494"/>
      <c r="FBM2" s="494"/>
      <c r="FBN2" s="494"/>
      <c r="FBO2" s="494"/>
      <c r="FBP2" s="494"/>
      <c r="FBQ2" s="494"/>
      <c r="FBR2" s="494"/>
      <c r="FBS2" s="494"/>
      <c r="FBT2" s="494"/>
      <c r="FBU2" s="494"/>
      <c r="FBV2" s="494"/>
      <c r="FBW2" s="494"/>
      <c r="FBX2" s="494"/>
      <c r="FBY2" s="494"/>
      <c r="FBZ2" s="494"/>
      <c r="FCA2" s="494"/>
      <c r="FCB2" s="494"/>
      <c r="FCC2" s="494"/>
      <c r="FCD2" s="494"/>
      <c r="FCE2" s="494"/>
      <c r="FCF2" s="494"/>
      <c r="FCG2" s="494"/>
      <c r="FCH2" s="494"/>
      <c r="FCI2" s="494"/>
      <c r="FCJ2" s="494"/>
      <c r="FCK2" s="494"/>
      <c r="FCL2" s="494"/>
      <c r="FCM2" s="494"/>
      <c r="FCN2" s="494"/>
      <c r="FCO2" s="494"/>
      <c r="FCP2" s="494"/>
      <c r="FCQ2" s="494"/>
      <c r="FCR2" s="494"/>
      <c r="FCS2" s="494"/>
      <c r="FCT2" s="494"/>
      <c r="FCU2" s="494"/>
      <c r="FCV2" s="494"/>
      <c r="FCW2" s="494"/>
      <c r="FCX2" s="494"/>
      <c r="FCY2" s="494"/>
      <c r="FCZ2" s="494"/>
      <c r="FDA2" s="494"/>
      <c r="FDB2" s="494"/>
      <c r="FDC2" s="494"/>
      <c r="FDD2" s="494"/>
      <c r="FDE2" s="494"/>
      <c r="FDF2" s="494"/>
      <c r="FDG2" s="494"/>
      <c r="FDH2" s="494"/>
      <c r="FDI2" s="494"/>
      <c r="FDJ2" s="494"/>
      <c r="FDK2" s="494"/>
      <c r="FDL2" s="494"/>
      <c r="FDM2" s="494"/>
      <c r="FDN2" s="494"/>
      <c r="FDO2" s="494"/>
      <c r="FDP2" s="494"/>
      <c r="FDQ2" s="494"/>
      <c r="FDR2" s="494"/>
      <c r="FDS2" s="494"/>
      <c r="FDT2" s="494"/>
      <c r="FDU2" s="494"/>
      <c r="FDV2" s="494"/>
      <c r="FDW2" s="494"/>
      <c r="FDX2" s="494"/>
      <c r="FDY2" s="494"/>
      <c r="FDZ2" s="494"/>
      <c r="FEA2" s="494"/>
      <c r="FEB2" s="494"/>
      <c r="FEC2" s="494"/>
      <c r="FED2" s="494"/>
      <c r="FEE2" s="494"/>
      <c r="FEF2" s="494"/>
      <c r="FEG2" s="494"/>
      <c r="FEH2" s="494"/>
      <c r="FEI2" s="494"/>
      <c r="FEJ2" s="494"/>
      <c r="FEK2" s="494"/>
      <c r="FEL2" s="494"/>
      <c r="FEM2" s="494"/>
      <c r="FEN2" s="494"/>
      <c r="FEO2" s="494"/>
      <c r="FEP2" s="494"/>
      <c r="FEQ2" s="494"/>
      <c r="FER2" s="494"/>
      <c r="FES2" s="494"/>
      <c r="FET2" s="494"/>
      <c r="FEU2" s="494"/>
      <c r="FEV2" s="494"/>
      <c r="FEW2" s="494"/>
      <c r="FEX2" s="494"/>
      <c r="FEY2" s="494"/>
      <c r="FEZ2" s="494"/>
      <c r="FFA2" s="494"/>
      <c r="FFB2" s="494"/>
      <c r="FFC2" s="494"/>
      <c r="FFD2" s="494"/>
      <c r="FFE2" s="494"/>
      <c r="FFF2" s="494"/>
      <c r="FFG2" s="494"/>
      <c r="FFH2" s="494"/>
      <c r="FFI2" s="494"/>
      <c r="FFJ2" s="494"/>
      <c r="FFK2" s="494"/>
      <c r="FFL2" s="494"/>
      <c r="FFM2" s="494"/>
      <c r="FFN2" s="494"/>
      <c r="FFO2" s="494"/>
      <c r="FFP2" s="494"/>
      <c r="FFQ2" s="494"/>
      <c r="FFR2" s="494"/>
      <c r="FFS2" s="494"/>
      <c r="FFT2" s="494"/>
      <c r="FFU2" s="494"/>
      <c r="FFV2" s="494"/>
      <c r="FFW2" s="494"/>
      <c r="FFX2" s="494"/>
      <c r="FFY2" s="494"/>
      <c r="FFZ2" s="494"/>
      <c r="FGA2" s="494"/>
      <c r="FGB2" s="494"/>
      <c r="FGC2" s="494"/>
      <c r="FGD2" s="494"/>
      <c r="FGE2" s="494"/>
      <c r="FGF2" s="494"/>
      <c r="FGG2" s="494"/>
      <c r="FGH2" s="494"/>
      <c r="FGI2" s="494"/>
      <c r="FGJ2" s="494"/>
      <c r="FGK2" s="494"/>
      <c r="FGL2" s="494"/>
      <c r="FGM2" s="494"/>
      <c r="FGN2" s="494"/>
      <c r="FGO2" s="494"/>
      <c r="FGP2" s="494"/>
      <c r="FGQ2" s="494"/>
      <c r="FGR2" s="494"/>
      <c r="FGS2" s="494"/>
      <c r="FGT2" s="494"/>
      <c r="FGU2" s="494"/>
      <c r="FGV2" s="494"/>
      <c r="FGW2" s="494"/>
      <c r="FGX2" s="494"/>
      <c r="FGY2" s="494"/>
      <c r="FGZ2" s="494"/>
      <c r="FHA2" s="494"/>
      <c r="FHB2" s="494"/>
      <c r="FHC2" s="494"/>
      <c r="FHD2" s="494"/>
      <c r="FHE2" s="494"/>
      <c r="FHF2" s="494"/>
      <c r="FHG2" s="494"/>
      <c r="FHH2" s="494"/>
      <c r="FHI2" s="494"/>
      <c r="FHJ2" s="494"/>
      <c r="FHK2" s="494"/>
      <c r="FHL2" s="494"/>
      <c r="FHM2" s="494"/>
      <c r="FHN2" s="494"/>
      <c r="FHO2" s="494"/>
      <c r="FHP2" s="494"/>
      <c r="FHQ2" s="494"/>
      <c r="FHR2" s="494"/>
      <c r="FHS2" s="494"/>
      <c r="FHT2" s="494"/>
      <c r="FHU2" s="494"/>
      <c r="FHV2" s="494"/>
      <c r="FHW2" s="494"/>
      <c r="FHX2" s="494"/>
      <c r="FHY2" s="494"/>
      <c r="FHZ2" s="494"/>
      <c r="FIA2" s="494"/>
      <c r="FIB2" s="494"/>
      <c r="FIC2" s="494"/>
      <c r="FID2" s="494"/>
      <c r="FIE2" s="494"/>
      <c r="FIF2" s="494"/>
      <c r="FIG2" s="494"/>
      <c r="FIH2" s="494"/>
      <c r="FII2" s="494"/>
      <c r="FIJ2" s="494"/>
      <c r="FIK2" s="494"/>
      <c r="FIL2" s="494"/>
      <c r="FIM2" s="494"/>
      <c r="FIN2" s="494"/>
      <c r="FIO2" s="494"/>
      <c r="FIP2" s="494"/>
      <c r="FIQ2" s="494"/>
      <c r="FIR2" s="494"/>
      <c r="FIS2" s="494"/>
      <c r="FIT2" s="494"/>
      <c r="FIU2" s="494"/>
      <c r="FIV2" s="494"/>
      <c r="FIW2" s="494"/>
      <c r="FIX2" s="494"/>
      <c r="FIY2" s="494"/>
      <c r="FIZ2" s="494"/>
      <c r="FJA2" s="494"/>
      <c r="FJB2" s="494"/>
      <c r="FJC2" s="494"/>
      <c r="FJD2" s="494"/>
      <c r="FJE2" s="494"/>
      <c r="FJF2" s="494"/>
      <c r="FJG2" s="494"/>
      <c r="FJH2" s="494"/>
      <c r="FJI2" s="494"/>
      <c r="FJJ2" s="494"/>
      <c r="FJK2" s="494"/>
      <c r="FJL2" s="494"/>
      <c r="FJM2" s="494"/>
      <c r="FJN2" s="494"/>
      <c r="FJO2" s="494"/>
      <c r="FJP2" s="494"/>
      <c r="FJQ2" s="494"/>
      <c r="FJR2" s="494"/>
      <c r="FJS2" s="494"/>
      <c r="FJT2" s="494"/>
      <c r="FJU2" s="494"/>
      <c r="FJV2" s="494"/>
      <c r="FJW2" s="494"/>
      <c r="FJX2" s="494"/>
      <c r="FJY2" s="494"/>
      <c r="FJZ2" s="494"/>
      <c r="FKA2" s="494"/>
      <c r="FKB2" s="494"/>
      <c r="FKC2" s="494"/>
      <c r="FKD2" s="494"/>
      <c r="FKE2" s="494"/>
      <c r="FKF2" s="494"/>
      <c r="FKG2" s="494"/>
      <c r="FKH2" s="494"/>
      <c r="FKI2" s="494"/>
      <c r="FKJ2" s="494"/>
      <c r="FKK2" s="494"/>
      <c r="FKL2" s="494"/>
      <c r="FKM2" s="494"/>
      <c r="FKN2" s="494"/>
      <c r="FKO2" s="494"/>
      <c r="FKP2" s="494"/>
      <c r="FKQ2" s="494"/>
      <c r="FKR2" s="494"/>
      <c r="FKS2" s="494"/>
      <c r="FKT2" s="494"/>
      <c r="FKU2" s="494"/>
      <c r="FKV2" s="494"/>
      <c r="FKW2" s="494"/>
      <c r="FKX2" s="494"/>
      <c r="FKY2" s="494"/>
      <c r="FKZ2" s="494"/>
      <c r="FLA2" s="494"/>
      <c r="FLB2" s="494"/>
      <c r="FLC2" s="494"/>
      <c r="FLD2" s="494"/>
      <c r="FLE2" s="494"/>
      <c r="FLF2" s="494"/>
      <c r="FLG2" s="494"/>
      <c r="FLH2" s="494"/>
      <c r="FLI2" s="494"/>
      <c r="FLJ2" s="494"/>
      <c r="FLK2" s="494"/>
      <c r="FLL2" s="494"/>
      <c r="FLM2" s="494"/>
      <c r="FLN2" s="494"/>
      <c r="FLO2" s="494"/>
      <c r="FLP2" s="494"/>
      <c r="FLQ2" s="494"/>
      <c r="FLR2" s="494"/>
      <c r="FLS2" s="494"/>
      <c r="FLT2" s="494"/>
      <c r="FLU2" s="494"/>
      <c r="FLV2" s="494"/>
      <c r="FLW2" s="494"/>
      <c r="FLX2" s="494"/>
      <c r="FLY2" s="494"/>
      <c r="FLZ2" s="494"/>
      <c r="FMA2" s="494"/>
      <c r="FMB2" s="494"/>
      <c r="FMC2" s="494"/>
      <c r="FMD2" s="494"/>
      <c r="FME2" s="494"/>
      <c r="FMF2" s="494"/>
      <c r="FMG2" s="494"/>
      <c r="FMH2" s="494"/>
      <c r="FMI2" s="494"/>
      <c r="FMJ2" s="494"/>
      <c r="FMK2" s="494"/>
      <c r="FML2" s="494"/>
      <c r="FMM2" s="494"/>
      <c r="FMN2" s="494"/>
      <c r="FMO2" s="494"/>
      <c r="FMP2" s="494"/>
      <c r="FMQ2" s="494"/>
      <c r="FMR2" s="494"/>
      <c r="FMS2" s="494"/>
      <c r="FMT2" s="494"/>
      <c r="FMU2" s="494"/>
      <c r="FMV2" s="494"/>
      <c r="FMW2" s="494"/>
      <c r="FMX2" s="494"/>
      <c r="FMY2" s="494"/>
      <c r="FMZ2" s="494"/>
      <c r="FNA2" s="494"/>
      <c r="FNB2" s="494"/>
      <c r="FNC2" s="494"/>
      <c r="FND2" s="494"/>
      <c r="FNE2" s="494"/>
      <c r="FNF2" s="494"/>
      <c r="FNG2" s="494"/>
      <c r="FNH2" s="494"/>
      <c r="FNI2" s="494"/>
      <c r="FNJ2" s="494"/>
      <c r="FNK2" s="494"/>
      <c r="FNL2" s="494"/>
      <c r="FNM2" s="494"/>
      <c r="FNN2" s="494"/>
      <c r="FNO2" s="494"/>
      <c r="FNP2" s="494"/>
      <c r="FNQ2" s="494"/>
      <c r="FNR2" s="494"/>
      <c r="FNS2" s="494"/>
      <c r="FNT2" s="494"/>
      <c r="FNU2" s="494"/>
      <c r="FNV2" s="494"/>
      <c r="FNW2" s="494"/>
      <c r="FNX2" s="494"/>
      <c r="FNY2" s="494"/>
      <c r="FNZ2" s="494"/>
      <c r="FOA2" s="494"/>
      <c r="FOB2" s="494"/>
      <c r="FOC2" s="494"/>
      <c r="FOD2" s="494"/>
      <c r="FOE2" s="494"/>
      <c r="FOF2" s="494"/>
      <c r="FOG2" s="494"/>
      <c r="FOH2" s="494"/>
      <c r="FOI2" s="494"/>
      <c r="FOJ2" s="494"/>
      <c r="FOK2" s="494"/>
      <c r="FOL2" s="494"/>
      <c r="FOM2" s="494"/>
      <c r="FON2" s="494"/>
      <c r="FOO2" s="494"/>
      <c r="FOP2" s="494"/>
      <c r="FOQ2" s="494"/>
      <c r="FOR2" s="494"/>
      <c r="FOS2" s="494"/>
      <c r="FOT2" s="494"/>
      <c r="FOU2" s="494"/>
      <c r="FOV2" s="494"/>
      <c r="FOW2" s="494"/>
      <c r="FOX2" s="494"/>
      <c r="FOY2" s="494"/>
      <c r="FOZ2" s="494"/>
      <c r="FPA2" s="494"/>
      <c r="FPB2" s="494"/>
      <c r="FPC2" s="494"/>
      <c r="FPD2" s="494"/>
      <c r="FPE2" s="494"/>
      <c r="FPF2" s="494"/>
      <c r="FPG2" s="494"/>
      <c r="FPH2" s="494"/>
      <c r="FPI2" s="494"/>
      <c r="FPJ2" s="494"/>
      <c r="FPK2" s="494"/>
      <c r="FPL2" s="494"/>
      <c r="FPM2" s="494"/>
      <c r="FPN2" s="494"/>
      <c r="FPO2" s="494"/>
      <c r="FPP2" s="494"/>
      <c r="FPQ2" s="494"/>
      <c r="FPR2" s="494"/>
      <c r="FPS2" s="494"/>
      <c r="FPT2" s="494"/>
      <c r="FPU2" s="494"/>
      <c r="FPV2" s="494"/>
      <c r="FPW2" s="494"/>
      <c r="FPX2" s="494"/>
      <c r="FPY2" s="494"/>
      <c r="FPZ2" s="494"/>
      <c r="FQA2" s="494"/>
      <c r="FQB2" s="494"/>
      <c r="FQC2" s="494"/>
      <c r="FQD2" s="494"/>
      <c r="FQE2" s="494"/>
      <c r="FQF2" s="494"/>
      <c r="FQG2" s="494"/>
      <c r="FQH2" s="494"/>
      <c r="FQI2" s="494"/>
      <c r="FQJ2" s="494"/>
      <c r="FQK2" s="494"/>
      <c r="FQL2" s="494"/>
      <c r="FQM2" s="494"/>
      <c r="FQN2" s="494"/>
      <c r="FQO2" s="494"/>
      <c r="FQP2" s="494"/>
      <c r="FQQ2" s="494"/>
      <c r="FQR2" s="494"/>
      <c r="FQS2" s="494"/>
      <c r="FQT2" s="494"/>
      <c r="FQU2" s="494"/>
      <c r="FQV2" s="494"/>
      <c r="FQW2" s="494"/>
      <c r="FQX2" s="494"/>
      <c r="FQY2" s="494"/>
      <c r="FQZ2" s="494"/>
      <c r="FRA2" s="494"/>
      <c r="FRB2" s="494"/>
      <c r="FRC2" s="494"/>
      <c r="FRD2" s="494"/>
      <c r="FRE2" s="494"/>
      <c r="FRF2" s="494"/>
      <c r="FRG2" s="494"/>
      <c r="FRH2" s="494"/>
      <c r="FRI2" s="494"/>
      <c r="FRJ2" s="494"/>
      <c r="FRK2" s="494"/>
      <c r="FRL2" s="494"/>
      <c r="FRM2" s="494"/>
      <c r="FRN2" s="494"/>
      <c r="FRO2" s="494"/>
      <c r="FRP2" s="494"/>
      <c r="FRQ2" s="494"/>
      <c r="FRR2" s="494"/>
      <c r="FRS2" s="494"/>
      <c r="FRT2" s="494"/>
      <c r="FRU2" s="494"/>
      <c r="FRV2" s="494"/>
      <c r="FRW2" s="494"/>
      <c r="FRX2" s="494"/>
      <c r="FRY2" s="494"/>
      <c r="FRZ2" s="494"/>
      <c r="FSA2" s="494"/>
      <c r="FSB2" s="494"/>
      <c r="FSC2" s="494"/>
      <c r="FSD2" s="494"/>
      <c r="FSE2" s="494"/>
      <c r="FSF2" s="494"/>
      <c r="FSG2" s="494"/>
      <c r="FSH2" s="494"/>
      <c r="FSI2" s="494"/>
      <c r="FSJ2" s="494"/>
      <c r="FSK2" s="494"/>
      <c r="FSL2" s="494"/>
      <c r="FSM2" s="494"/>
      <c r="FSN2" s="494"/>
      <c r="FSO2" s="494"/>
      <c r="FSP2" s="494"/>
      <c r="FSQ2" s="494"/>
      <c r="FSR2" s="494"/>
      <c r="FSS2" s="494"/>
      <c r="FST2" s="494"/>
      <c r="FSU2" s="494"/>
      <c r="FSV2" s="494"/>
      <c r="FSW2" s="494"/>
      <c r="FSX2" s="494"/>
      <c r="FSY2" s="494"/>
      <c r="FSZ2" s="494"/>
      <c r="FTA2" s="494"/>
      <c r="FTB2" s="494"/>
      <c r="FTC2" s="494"/>
      <c r="FTD2" s="494"/>
      <c r="FTE2" s="494"/>
      <c r="FTF2" s="494"/>
      <c r="FTG2" s="494"/>
      <c r="FTH2" s="494"/>
      <c r="FTI2" s="494"/>
      <c r="FTJ2" s="494"/>
      <c r="FTK2" s="494"/>
      <c r="FTL2" s="494"/>
      <c r="FTM2" s="494"/>
      <c r="FTN2" s="494"/>
      <c r="FTO2" s="494"/>
      <c r="FTP2" s="494"/>
      <c r="FTQ2" s="494"/>
      <c r="FTR2" s="494"/>
      <c r="FTS2" s="494"/>
      <c r="FTT2" s="494"/>
      <c r="FTU2" s="494"/>
      <c r="FTV2" s="494"/>
      <c r="FTW2" s="494"/>
      <c r="FTX2" s="494"/>
      <c r="FTY2" s="494"/>
      <c r="FTZ2" s="494"/>
      <c r="FUA2" s="494"/>
      <c r="FUB2" s="494"/>
      <c r="FUC2" s="494"/>
      <c r="FUD2" s="494"/>
      <c r="FUE2" s="494"/>
      <c r="FUF2" s="494"/>
      <c r="FUG2" s="494"/>
      <c r="FUH2" s="494"/>
      <c r="FUI2" s="494"/>
      <c r="FUJ2" s="494"/>
      <c r="FUK2" s="494"/>
      <c r="FUL2" s="494"/>
      <c r="FUM2" s="494"/>
      <c r="FUN2" s="494"/>
      <c r="FUO2" s="494"/>
      <c r="FUP2" s="494"/>
      <c r="FUQ2" s="494"/>
      <c r="FUR2" s="494"/>
      <c r="FUS2" s="494"/>
      <c r="FUT2" s="494"/>
      <c r="FUU2" s="494"/>
      <c r="FUV2" s="494"/>
      <c r="FUW2" s="494"/>
      <c r="FUX2" s="494"/>
      <c r="FUY2" s="494"/>
      <c r="FUZ2" s="494"/>
      <c r="FVA2" s="494"/>
      <c r="FVB2" s="494"/>
      <c r="FVC2" s="494"/>
      <c r="FVD2" s="494"/>
      <c r="FVE2" s="494"/>
      <c r="FVF2" s="494"/>
      <c r="FVG2" s="494"/>
      <c r="FVH2" s="494"/>
      <c r="FVI2" s="494"/>
      <c r="FVJ2" s="494"/>
      <c r="FVK2" s="494"/>
      <c r="FVL2" s="494"/>
      <c r="FVM2" s="494"/>
      <c r="FVN2" s="494"/>
      <c r="FVO2" s="494"/>
      <c r="FVP2" s="494"/>
      <c r="FVQ2" s="494"/>
      <c r="FVR2" s="494"/>
      <c r="FVS2" s="494"/>
      <c r="FVT2" s="494"/>
      <c r="FVU2" s="494"/>
      <c r="FVV2" s="494"/>
      <c r="FVW2" s="494"/>
      <c r="FVX2" s="494"/>
      <c r="FVY2" s="494"/>
      <c r="FVZ2" s="494"/>
      <c r="FWA2" s="494"/>
      <c r="FWB2" s="494"/>
      <c r="FWC2" s="494"/>
      <c r="FWD2" s="494"/>
      <c r="FWE2" s="494"/>
      <c r="FWF2" s="494"/>
      <c r="FWG2" s="494"/>
      <c r="FWH2" s="494"/>
      <c r="FWI2" s="494"/>
      <c r="FWJ2" s="494"/>
      <c r="FWK2" s="494"/>
      <c r="FWL2" s="494"/>
      <c r="FWM2" s="494"/>
      <c r="FWN2" s="494"/>
      <c r="FWO2" s="494"/>
      <c r="FWP2" s="494"/>
      <c r="FWQ2" s="494"/>
      <c r="FWR2" s="494"/>
      <c r="FWS2" s="494"/>
      <c r="FWT2" s="494"/>
      <c r="FWU2" s="494"/>
      <c r="FWV2" s="494"/>
      <c r="FWW2" s="494"/>
      <c r="FWX2" s="494"/>
      <c r="FWY2" s="494"/>
      <c r="FWZ2" s="494"/>
      <c r="FXA2" s="494"/>
      <c r="FXB2" s="494"/>
      <c r="FXC2" s="494"/>
      <c r="FXD2" s="494"/>
      <c r="FXE2" s="494"/>
      <c r="FXF2" s="494"/>
      <c r="FXG2" s="494"/>
      <c r="FXH2" s="494"/>
      <c r="FXI2" s="494"/>
      <c r="FXJ2" s="494"/>
      <c r="FXK2" s="494"/>
      <c r="FXL2" s="494"/>
      <c r="FXM2" s="494"/>
      <c r="FXN2" s="494"/>
      <c r="FXO2" s="494"/>
      <c r="FXP2" s="494"/>
      <c r="FXQ2" s="494"/>
      <c r="FXR2" s="494"/>
      <c r="FXS2" s="494"/>
      <c r="FXT2" s="494"/>
      <c r="FXU2" s="494"/>
      <c r="FXV2" s="494"/>
      <c r="FXW2" s="494"/>
      <c r="FXX2" s="494"/>
      <c r="FXY2" s="494"/>
      <c r="FXZ2" s="494"/>
      <c r="FYA2" s="494"/>
      <c r="FYB2" s="494"/>
      <c r="FYC2" s="494"/>
      <c r="FYD2" s="494"/>
      <c r="FYE2" s="494"/>
      <c r="FYF2" s="494"/>
      <c r="FYG2" s="494"/>
      <c r="FYH2" s="494"/>
      <c r="FYI2" s="494"/>
      <c r="FYJ2" s="494"/>
      <c r="FYK2" s="494"/>
      <c r="FYL2" s="494"/>
      <c r="FYM2" s="494"/>
      <c r="FYN2" s="494"/>
      <c r="FYO2" s="494"/>
      <c r="FYP2" s="494"/>
      <c r="FYQ2" s="494"/>
      <c r="FYR2" s="494"/>
      <c r="FYS2" s="494"/>
      <c r="FYT2" s="494"/>
      <c r="FYU2" s="494"/>
      <c r="FYV2" s="494"/>
      <c r="FYW2" s="494"/>
      <c r="FYX2" s="494"/>
      <c r="FYY2" s="494"/>
      <c r="FYZ2" s="494"/>
      <c r="FZA2" s="494"/>
      <c r="FZB2" s="494"/>
      <c r="FZC2" s="494"/>
      <c r="FZD2" s="494"/>
      <c r="FZE2" s="494"/>
      <c r="FZF2" s="494"/>
      <c r="FZG2" s="494"/>
      <c r="FZH2" s="494"/>
      <c r="FZI2" s="494"/>
      <c r="FZJ2" s="494"/>
      <c r="FZK2" s="494"/>
      <c r="FZL2" s="494"/>
      <c r="FZM2" s="494"/>
      <c r="FZN2" s="494"/>
      <c r="FZO2" s="494"/>
      <c r="FZP2" s="494"/>
      <c r="FZQ2" s="494"/>
      <c r="FZR2" s="494"/>
      <c r="FZS2" s="494"/>
      <c r="FZT2" s="494"/>
      <c r="FZU2" s="494"/>
      <c r="FZV2" s="494"/>
      <c r="FZW2" s="494"/>
      <c r="FZX2" s="494"/>
      <c r="FZY2" s="494"/>
      <c r="FZZ2" s="494"/>
      <c r="GAA2" s="494"/>
      <c r="GAB2" s="494"/>
      <c r="GAC2" s="494"/>
      <c r="GAD2" s="494"/>
      <c r="GAE2" s="494"/>
      <c r="GAF2" s="494"/>
      <c r="GAG2" s="494"/>
      <c r="GAH2" s="494"/>
      <c r="GAI2" s="494"/>
      <c r="GAJ2" s="494"/>
      <c r="GAK2" s="494"/>
      <c r="GAL2" s="494"/>
      <c r="GAM2" s="494"/>
      <c r="GAN2" s="494"/>
      <c r="GAO2" s="494"/>
      <c r="GAP2" s="494"/>
      <c r="GAQ2" s="494"/>
      <c r="GAR2" s="494"/>
      <c r="GAS2" s="494"/>
      <c r="GAT2" s="494"/>
      <c r="GAU2" s="494"/>
      <c r="GAV2" s="494"/>
      <c r="GAW2" s="494"/>
      <c r="GAX2" s="494"/>
      <c r="GAY2" s="494"/>
      <c r="GAZ2" s="494"/>
      <c r="GBA2" s="494"/>
      <c r="GBB2" s="494"/>
      <c r="GBC2" s="494"/>
      <c r="GBD2" s="494"/>
      <c r="GBE2" s="494"/>
      <c r="GBF2" s="494"/>
      <c r="GBG2" s="494"/>
      <c r="GBH2" s="494"/>
      <c r="GBI2" s="494"/>
      <c r="GBJ2" s="494"/>
      <c r="GBK2" s="494"/>
      <c r="GBL2" s="494"/>
      <c r="GBM2" s="494"/>
      <c r="GBN2" s="494"/>
      <c r="GBO2" s="494"/>
      <c r="GBP2" s="494"/>
      <c r="GBQ2" s="494"/>
      <c r="GBR2" s="494"/>
      <c r="GBS2" s="494"/>
      <c r="GBT2" s="494"/>
      <c r="GBU2" s="494"/>
      <c r="GBV2" s="494"/>
      <c r="GBW2" s="494"/>
      <c r="GBX2" s="494"/>
      <c r="GBY2" s="494"/>
      <c r="GBZ2" s="494"/>
      <c r="GCA2" s="494"/>
      <c r="GCB2" s="494"/>
      <c r="GCC2" s="494"/>
      <c r="GCD2" s="494"/>
      <c r="GCE2" s="494"/>
      <c r="GCF2" s="494"/>
      <c r="GCG2" s="494"/>
      <c r="GCH2" s="494"/>
      <c r="GCI2" s="494"/>
      <c r="GCJ2" s="494"/>
      <c r="GCK2" s="494"/>
      <c r="GCL2" s="494"/>
      <c r="GCM2" s="494"/>
      <c r="GCN2" s="494"/>
      <c r="GCO2" s="494"/>
      <c r="GCP2" s="494"/>
      <c r="GCQ2" s="494"/>
      <c r="GCR2" s="494"/>
      <c r="GCS2" s="494"/>
      <c r="GCT2" s="494"/>
      <c r="GCU2" s="494"/>
      <c r="GCV2" s="494"/>
      <c r="GCW2" s="494"/>
      <c r="GCX2" s="494"/>
      <c r="GCY2" s="494"/>
      <c r="GCZ2" s="494"/>
      <c r="GDA2" s="494"/>
      <c r="GDB2" s="494"/>
      <c r="GDC2" s="494"/>
      <c r="GDD2" s="494"/>
      <c r="GDE2" s="494"/>
      <c r="GDF2" s="494"/>
      <c r="GDG2" s="494"/>
      <c r="GDH2" s="494"/>
      <c r="GDI2" s="494"/>
      <c r="GDJ2" s="494"/>
      <c r="GDK2" s="494"/>
      <c r="GDL2" s="494"/>
      <c r="GDM2" s="494"/>
      <c r="GDN2" s="494"/>
      <c r="GDO2" s="494"/>
      <c r="GDP2" s="494"/>
      <c r="GDQ2" s="494"/>
      <c r="GDR2" s="494"/>
      <c r="GDS2" s="494"/>
      <c r="GDT2" s="494"/>
      <c r="GDU2" s="494"/>
      <c r="GDV2" s="494"/>
      <c r="GDW2" s="494"/>
      <c r="GDX2" s="494"/>
      <c r="GDY2" s="494"/>
      <c r="GDZ2" s="494"/>
      <c r="GEA2" s="494"/>
      <c r="GEB2" s="494"/>
      <c r="GEC2" s="494"/>
      <c r="GED2" s="494"/>
      <c r="GEE2" s="494"/>
      <c r="GEF2" s="494"/>
      <c r="GEG2" s="494"/>
      <c r="GEH2" s="494"/>
      <c r="GEI2" s="494"/>
      <c r="GEJ2" s="494"/>
      <c r="GEK2" s="494"/>
      <c r="GEL2" s="494"/>
      <c r="GEM2" s="494"/>
      <c r="GEN2" s="494"/>
      <c r="GEO2" s="494"/>
      <c r="GEP2" s="494"/>
      <c r="GEQ2" s="494"/>
      <c r="GER2" s="494"/>
      <c r="GES2" s="494"/>
      <c r="GET2" s="494"/>
      <c r="GEU2" s="494"/>
      <c r="GEV2" s="494"/>
      <c r="GEW2" s="494"/>
      <c r="GEX2" s="494"/>
      <c r="GEY2" s="494"/>
      <c r="GEZ2" s="494"/>
      <c r="GFA2" s="494"/>
      <c r="GFB2" s="494"/>
      <c r="GFC2" s="494"/>
      <c r="GFD2" s="494"/>
      <c r="GFE2" s="494"/>
      <c r="GFF2" s="494"/>
      <c r="GFG2" s="494"/>
      <c r="GFH2" s="494"/>
      <c r="GFI2" s="494"/>
      <c r="GFJ2" s="494"/>
      <c r="GFK2" s="494"/>
      <c r="GFL2" s="494"/>
      <c r="GFM2" s="494"/>
      <c r="GFN2" s="494"/>
      <c r="GFO2" s="494"/>
      <c r="GFP2" s="494"/>
      <c r="GFQ2" s="494"/>
      <c r="GFR2" s="494"/>
      <c r="GFS2" s="494"/>
      <c r="GFT2" s="494"/>
      <c r="GFU2" s="494"/>
      <c r="GFV2" s="494"/>
      <c r="GFW2" s="494"/>
      <c r="GFX2" s="494"/>
      <c r="GFY2" s="494"/>
      <c r="GFZ2" s="494"/>
      <c r="GGA2" s="494"/>
      <c r="GGB2" s="494"/>
      <c r="GGC2" s="494"/>
      <c r="GGD2" s="494"/>
      <c r="GGE2" s="494"/>
      <c r="GGF2" s="494"/>
      <c r="GGG2" s="494"/>
      <c r="GGH2" s="494"/>
      <c r="GGI2" s="494"/>
      <c r="GGJ2" s="494"/>
      <c r="GGK2" s="494"/>
      <c r="GGL2" s="494"/>
      <c r="GGM2" s="494"/>
      <c r="GGN2" s="494"/>
      <c r="GGO2" s="494"/>
      <c r="GGP2" s="494"/>
      <c r="GGQ2" s="494"/>
      <c r="GGR2" s="494"/>
      <c r="GGS2" s="494"/>
      <c r="GGT2" s="494"/>
      <c r="GGU2" s="494"/>
      <c r="GGV2" s="494"/>
      <c r="GGW2" s="494"/>
      <c r="GGX2" s="494"/>
      <c r="GGY2" s="494"/>
      <c r="GGZ2" s="494"/>
      <c r="GHA2" s="494"/>
      <c r="GHB2" s="494"/>
      <c r="GHC2" s="494"/>
      <c r="GHD2" s="494"/>
      <c r="GHE2" s="494"/>
      <c r="GHF2" s="494"/>
      <c r="GHG2" s="494"/>
      <c r="GHH2" s="494"/>
      <c r="GHI2" s="494"/>
      <c r="GHJ2" s="494"/>
      <c r="GHK2" s="494"/>
      <c r="GHL2" s="494"/>
      <c r="GHM2" s="494"/>
      <c r="GHN2" s="494"/>
      <c r="GHO2" s="494"/>
      <c r="GHP2" s="494"/>
      <c r="GHQ2" s="494"/>
      <c r="GHR2" s="494"/>
      <c r="GHS2" s="494"/>
      <c r="GHT2" s="494"/>
      <c r="GHU2" s="494"/>
      <c r="GHV2" s="494"/>
      <c r="GHW2" s="494"/>
      <c r="GHX2" s="494"/>
      <c r="GHY2" s="494"/>
      <c r="GHZ2" s="494"/>
      <c r="GIA2" s="494"/>
      <c r="GIB2" s="494"/>
      <c r="GIC2" s="494"/>
      <c r="GID2" s="494"/>
      <c r="GIE2" s="494"/>
      <c r="GIF2" s="494"/>
      <c r="GIG2" s="494"/>
      <c r="GIH2" s="494"/>
      <c r="GII2" s="494"/>
      <c r="GIJ2" s="494"/>
      <c r="GIK2" s="494"/>
      <c r="GIL2" s="494"/>
      <c r="GIM2" s="494"/>
      <c r="GIN2" s="494"/>
      <c r="GIO2" s="494"/>
      <c r="GIP2" s="494"/>
      <c r="GIQ2" s="494"/>
      <c r="GIR2" s="494"/>
      <c r="GIS2" s="494"/>
      <c r="GIT2" s="494"/>
      <c r="GIU2" s="494"/>
      <c r="GIV2" s="494"/>
      <c r="GIW2" s="494"/>
      <c r="GIX2" s="494"/>
      <c r="GIY2" s="494"/>
      <c r="GIZ2" s="494"/>
      <c r="GJA2" s="494"/>
      <c r="GJB2" s="494"/>
      <c r="GJC2" s="494"/>
      <c r="GJD2" s="494"/>
      <c r="GJE2" s="494"/>
      <c r="GJF2" s="494"/>
      <c r="GJG2" s="494"/>
      <c r="GJH2" s="494"/>
      <c r="GJI2" s="494"/>
      <c r="GJJ2" s="494"/>
      <c r="GJK2" s="494"/>
      <c r="GJL2" s="494"/>
      <c r="GJM2" s="494"/>
      <c r="GJN2" s="494"/>
      <c r="GJO2" s="494"/>
      <c r="GJP2" s="494"/>
      <c r="GJQ2" s="494"/>
      <c r="GJR2" s="494"/>
      <c r="GJS2" s="494"/>
      <c r="GJT2" s="494"/>
      <c r="GJU2" s="494"/>
      <c r="GJV2" s="494"/>
      <c r="GJW2" s="494"/>
      <c r="GJX2" s="494"/>
      <c r="GJY2" s="494"/>
      <c r="GJZ2" s="494"/>
      <c r="GKA2" s="494"/>
      <c r="GKB2" s="494"/>
      <c r="GKC2" s="494"/>
      <c r="GKD2" s="494"/>
      <c r="GKE2" s="494"/>
      <c r="GKF2" s="494"/>
      <c r="GKG2" s="494"/>
      <c r="GKH2" s="494"/>
      <c r="GKI2" s="494"/>
      <c r="GKJ2" s="494"/>
      <c r="GKK2" s="494"/>
      <c r="GKL2" s="494"/>
      <c r="GKM2" s="494"/>
      <c r="GKN2" s="494"/>
      <c r="GKO2" s="494"/>
      <c r="GKP2" s="494"/>
      <c r="GKQ2" s="494"/>
      <c r="GKR2" s="494"/>
      <c r="GKS2" s="494"/>
      <c r="GKT2" s="494"/>
      <c r="GKU2" s="494"/>
      <c r="GKV2" s="494"/>
      <c r="GKW2" s="494"/>
      <c r="GKX2" s="494"/>
      <c r="GKY2" s="494"/>
      <c r="GKZ2" s="494"/>
      <c r="GLA2" s="494"/>
      <c r="GLB2" s="494"/>
      <c r="GLC2" s="494"/>
      <c r="GLD2" s="494"/>
      <c r="GLE2" s="494"/>
      <c r="GLF2" s="494"/>
      <c r="GLG2" s="494"/>
      <c r="GLH2" s="494"/>
      <c r="GLI2" s="494"/>
      <c r="GLJ2" s="494"/>
      <c r="GLK2" s="494"/>
      <c r="GLL2" s="494"/>
      <c r="GLM2" s="494"/>
      <c r="GLN2" s="494"/>
      <c r="GLO2" s="494"/>
      <c r="GLP2" s="494"/>
      <c r="GLQ2" s="494"/>
      <c r="GLR2" s="494"/>
      <c r="GLS2" s="494"/>
      <c r="GLT2" s="494"/>
      <c r="GLU2" s="494"/>
      <c r="GLV2" s="494"/>
      <c r="GLW2" s="494"/>
      <c r="GLX2" s="494"/>
      <c r="GLY2" s="494"/>
      <c r="GLZ2" s="494"/>
      <c r="GMA2" s="494"/>
      <c r="GMB2" s="494"/>
      <c r="GMC2" s="494"/>
      <c r="GMD2" s="494"/>
      <c r="GME2" s="494"/>
      <c r="GMF2" s="494"/>
      <c r="GMG2" s="494"/>
      <c r="GMH2" s="494"/>
      <c r="GMI2" s="494"/>
      <c r="GMJ2" s="494"/>
      <c r="GMK2" s="494"/>
      <c r="GML2" s="494"/>
      <c r="GMM2" s="494"/>
      <c r="GMN2" s="494"/>
      <c r="GMO2" s="494"/>
      <c r="GMP2" s="494"/>
      <c r="GMQ2" s="494"/>
      <c r="GMR2" s="494"/>
      <c r="GMS2" s="494"/>
      <c r="GMT2" s="494"/>
      <c r="GMU2" s="494"/>
      <c r="GMV2" s="494"/>
      <c r="GMW2" s="494"/>
      <c r="GMX2" s="494"/>
      <c r="GMY2" s="494"/>
      <c r="GMZ2" s="494"/>
      <c r="GNA2" s="494"/>
      <c r="GNB2" s="494"/>
      <c r="GNC2" s="494"/>
      <c r="GND2" s="494"/>
      <c r="GNE2" s="494"/>
      <c r="GNF2" s="494"/>
      <c r="GNG2" s="494"/>
      <c r="GNH2" s="494"/>
      <c r="GNI2" s="494"/>
      <c r="GNJ2" s="494"/>
      <c r="GNK2" s="494"/>
      <c r="GNL2" s="494"/>
      <c r="GNM2" s="494"/>
      <c r="GNN2" s="494"/>
      <c r="GNO2" s="494"/>
      <c r="GNP2" s="494"/>
      <c r="GNQ2" s="494"/>
      <c r="GNR2" s="494"/>
      <c r="GNS2" s="494"/>
      <c r="GNT2" s="494"/>
      <c r="GNU2" s="494"/>
      <c r="GNV2" s="494"/>
      <c r="GNW2" s="494"/>
      <c r="GNX2" s="494"/>
      <c r="GNY2" s="494"/>
      <c r="GNZ2" s="494"/>
      <c r="GOA2" s="494"/>
      <c r="GOB2" s="494"/>
      <c r="GOC2" s="494"/>
      <c r="GOD2" s="494"/>
      <c r="GOE2" s="494"/>
      <c r="GOF2" s="494"/>
      <c r="GOG2" s="494"/>
      <c r="GOH2" s="494"/>
      <c r="GOI2" s="494"/>
      <c r="GOJ2" s="494"/>
      <c r="GOK2" s="494"/>
      <c r="GOL2" s="494"/>
      <c r="GOM2" s="494"/>
      <c r="GON2" s="494"/>
      <c r="GOO2" s="494"/>
      <c r="GOP2" s="494"/>
      <c r="GOQ2" s="494"/>
      <c r="GOR2" s="494"/>
      <c r="GOS2" s="494"/>
      <c r="GOT2" s="494"/>
      <c r="GOU2" s="494"/>
      <c r="GOV2" s="494"/>
      <c r="GOW2" s="494"/>
      <c r="GOX2" s="494"/>
      <c r="GOY2" s="494"/>
      <c r="GOZ2" s="494"/>
      <c r="GPA2" s="494"/>
      <c r="GPB2" s="494"/>
      <c r="GPC2" s="494"/>
      <c r="GPD2" s="494"/>
      <c r="GPE2" s="494"/>
      <c r="GPF2" s="494"/>
      <c r="GPG2" s="494"/>
      <c r="GPH2" s="494"/>
      <c r="GPI2" s="494"/>
      <c r="GPJ2" s="494"/>
      <c r="GPK2" s="494"/>
      <c r="GPL2" s="494"/>
      <c r="GPM2" s="494"/>
      <c r="GPN2" s="494"/>
      <c r="GPO2" s="494"/>
      <c r="GPP2" s="494"/>
      <c r="GPQ2" s="494"/>
      <c r="GPR2" s="494"/>
      <c r="GPS2" s="494"/>
      <c r="GPT2" s="494"/>
      <c r="GPU2" s="494"/>
      <c r="GPV2" s="494"/>
      <c r="GPW2" s="494"/>
      <c r="GPX2" s="494"/>
      <c r="GPY2" s="494"/>
      <c r="GPZ2" s="494"/>
      <c r="GQA2" s="494"/>
      <c r="GQB2" s="494"/>
      <c r="GQC2" s="494"/>
      <c r="GQD2" s="494"/>
      <c r="GQE2" s="494"/>
      <c r="GQF2" s="494"/>
      <c r="GQG2" s="494"/>
      <c r="GQH2" s="494"/>
      <c r="GQI2" s="494"/>
      <c r="GQJ2" s="494"/>
      <c r="GQK2" s="494"/>
      <c r="GQL2" s="494"/>
      <c r="GQM2" s="494"/>
      <c r="GQN2" s="494"/>
      <c r="GQO2" s="494"/>
      <c r="GQP2" s="494"/>
      <c r="GQQ2" s="494"/>
      <c r="GQR2" s="494"/>
      <c r="GQS2" s="494"/>
      <c r="GQT2" s="494"/>
      <c r="GQU2" s="494"/>
      <c r="GQV2" s="494"/>
      <c r="GQW2" s="494"/>
      <c r="GQX2" s="494"/>
      <c r="GQY2" s="494"/>
      <c r="GQZ2" s="494"/>
      <c r="GRA2" s="494"/>
      <c r="GRB2" s="494"/>
      <c r="GRC2" s="494"/>
      <c r="GRD2" s="494"/>
      <c r="GRE2" s="494"/>
      <c r="GRF2" s="494"/>
      <c r="GRG2" s="494"/>
      <c r="GRH2" s="494"/>
      <c r="GRI2" s="494"/>
      <c r="GRJ2" s="494"/>
      <c r="GRK2" s="494"/>
      <c r="GRL2" s="494"/>
      <c r="GRM2" s="494"/>
      <c r="GRN2" s="494"/>
      <c r="GRO2" s="494"/>
      <c r="GRP2" s="494"/>
      <c r="GRQ2" s="494"/>
      <c r="GRR2" s="494"/>
      <c r="GRS2" s="494"/>
      <c r="GRT2" s="494"/>
      <c r="GRU2" s="494"/>
      <c r="GRV2" s="494"/>
      <c r="GRW2" s="494"/>
      <c r="GRX2" s="494"/>
      <c r="GRY2" s="494"/>
      <c r="GRZ2" s="494"/>
      <c r="GSA2" s="494"/>
      <c r="GSB2" s="494"/>
      <c r="GSC2" s="494"/>
      <c r="GSD2" s="494"/>
      <c r="GSE2" s="494"/>
      <c r="GSF2" s="494"/>
      <c r="GSG2" s="494"/>
      <c r="GSH2" s="494"/>
      <c r="GSI2" s="494"/>
      <c r="GSJ2" s="494"/>
      <c r="GSK2" s="494"/>
      <c r="GSL2" s="494"/>
      <c r="GSM2" s="494"/>
      <c r="GSN2" s="494"/>
      <c r="GSO2" s="494"/>
      <c r="GSP2" s="494"/>
      <c r="GSQ2" s="494"/>
      <c r="GSR2" s="494"/>
      <c r="GSS2" s="494"/>
      <c r="GST2" s="494"/>
      <c r="GSU2" s="494"/>
      <c r="GSV2" s="494"/>
      <c r="GSW2" s="494"/>
      <c r="GSX2" s="494"/>
      <c r="GSY2" s="494"/>
      <c r="GSZ2" s="494"/>
      <c r="GTA2" s="494"/>
      <c r="GTB2" s="494"/>
      <c r="GTC2" s="494"/>
      <c r="GTD2" s="494"/>
      <c r="GTE2" s="494"/>
      <c r="GTF2" s="494"/>
      <c r="GTG2" s="494"/>
      <c r="GTH2" s="494"/>
      <c r="GTI2" s="494"/>
      <c r="GTJ2" s="494"/>
      <c r="GTK2" s="494"/>
      <c r="GTL2" s="494"/>
      <c r="GTM2" s="494"/>
      <c r="GTN2" s="494"/>
      <c r="GTO2" s="494"/>
      <c r="GTP2" s="494"/>
      <c r="GTQ2" s="494"/>
      <c r="GTR2" s="494"/>
      <c r="GTS2" s="494"/>
      <c r="GTT2" s="494"/>
      <c r="GTU2" s="494"/>
      <c r="GTV2" s="494"/>
      <c r="GTW2" s="494"/>
      <c r="GTX2" s="494"/>
      <c r="GTY2" s="494"/>
      <c r="GTZ2" s="494"/>
      <c r="GUA2" s="494"/>
      <c r="GUB2" s="494"/>
      <c r="GUC2" s="494"/>
      <c r="GUD2" s="494"/>
      <c r="GUE2" s="494"/>
      <c r="GUF2" s="494"/>
      <c r="GUG2" s="494"/>
      <c r="GUH2" s="494"/>
      <c r="GUI2" s="494"/>
      <c r="GUJ2" s="494"/>
      <c r="GUK2" s="494"/>
      <c r="GUL2" s="494"/>
      <c r="GUM2" s="494"/>
      <c r="GUN2" s="494"/>
      <c r="GUO2" s="494"/>
      <c r="GUP2" s="494"/>
      <c r="GUQ2" s="494"/>
      <c r="GUR2" s="494"/>
      <c r="GUS2" s="494"/>
      <c r="GUT2" s="494"/>
      <c r="GUU2" s="494"/>
      <c r="GUV2" s="494"/>
      <c r="GUW2" s="494"/>
      <c r="GUX2" s="494"/>
      <c r="GUY2" s="494"/>
      <c r="GUZ2" s="494"/>
      <c r="GVA2" s="494"/>
      <c r="GVB2" s="494"/>
      <c r="GVC2" s="494"/>
      <c r="GVD2" s="494"/>
      <c r="GVE2" s="494"/>
      <c r="GVF2" s="494"/>
      <c r="GVG2" s="494"/>
      <c r="GVH2" s="494"/>
      <c r="GVI2" s="494"/>
      <c r="GVJ2" s="494"/>
      <c r="GVK2" s="494"/>
      <c r="GVL2" s="494"/>
      <c r="GVM2" s="494"/>
      <c r="GVN2" s="494"/>
      <c r="GVO2" s="494"/>
      <c r="GVP2" s="494"/>
      <c r="GVQ2" s="494"/>
      <c r="GVR2" s="494"/>
      <c r="GVS2" s="494"/>
      <c r="GVT2" s="494"/>
      <c r="GVU2" s="494"/>
      <c r="GVV2" s="494"/>
      <c r="GVW2" s="494"/>
      <c r="GVX2" s="494"/>
      <c r="GVY2" s="494"/>
      <c r="GVZ2" s="494"/>
      <c r="GWA2" s="494"/>
      <c r="GWB2" s="494"/>
      <c r="GWC2" s="494"/>
      <c r="GWD2" s="494"/>
      <c r="GWE2" s="494"/>
      <c r="GWF2" s="494"/>
      <c r="GWG2" s="494"/>
      <c r="GWH2" s="494"/>
      <c r="GWI2" s="494"/>
      <c r="GWJ2" s="494"/>
      <c r="GWK2" s="494"/>
      <c r="GWL2" s="494"/>
      <c r="GWM2" s="494"/>
      <c r="GWN2" s="494"/>
      <c r="GWO2" s="494"/>
      <c r="GWP2" s="494"/>
      <c r="GWQ2" s="494"/>
      <c r="GWR2" s="494"/>
      <c r="GWS2" s="494"/>
      <c r="GWT2" s="494"/>
      <c r="GWU2" s="494"/>
      <c r="GWV2" s="494"/>
      <c r="GWW2" s="494"/>
      <c r="GWX2" s="494"/>
      <c r="GWY2" s="494"/>
      <c r="GWZ2" s="494"/>
      <c r="GXA2" s="494"/>
      <c r="GXB2" s="494"/>
      <c r="GXC2" s="494"/>
      <c r="GXD2" s="494"/>
      <c r="GXE2" s="494"/>
      <c r="GXF2" s="494"/>
      <c r="GXG2" s="494"/>
      <c r="GXH2" s="494"/>
      <c r="GXI2" s="494"/>
      <c r="GXJ2" s="494"/>
      <c r="GXK2" s="494"/>
      <c r="GXL2" s="494"/>
      <c r="GXM2" s="494"/>
      <c r="GXN2" s="494"/>
      <c r="GXO2" s="494"/>
      <c r="GXP2" s="494"/>
      <c r="GXQ2" s="494"/>
      <c r="GXR2" s="494"/>
      <c r="GXS2" s="494"/>
      <c r="GXT2" s="494"/>
      <c r="GXU2" s="494"/>
      <c r="GXV2" s="494"/>
      <c r="GXW2" s="494"/>
      <c r="GXX2" s="494"/>
      <c r="GXY2" s="494"/>
      <c r="GXZ2" s="494"/>
      <c r="GYA2" s="494"/>
      <c r="GYB2" s="494"/>
      <c r="GYC2" s="494"/>
      <c r="GYD2" s="494"/>
      <c r="GYE2" s="494"/>
      <c r="GYF2" s="494"/>
      <c r="GYG2" s="494"/>
      <c r="GYH2" s="494"/>
      <c r="GYI2" s="494"/>
      <c r="GYJ2" s="494"/>
      <c r="GYK2" s="494"/>
      <c r="GYL2" s="494"/>
      <c r="GYM2" s="494"/>
      <c r="GYN2" s="494"/>
      <c r="GYO2" s="494"/>
      <c r="GYP2" s="494"/>
      <c r="GYQ2" s="494"/>
      <c r="GYR2" s="494"/>
      <c r="GYS2" s="494"/>
      <c r="GYT2" s="494"/>
      <c r="GYU2" s="494"/>
      <c r="GYV2" s="494"/>
      <c r="GYW2" s="494"/>
      <c r="GYX2" s="494"/>
      <c r="GYY2" s="494"/>
      <c r="GYZ2" s="494"/>
      <c r="GZA2" s="494"/>
      <c r="GZB2" s="494"/>
      <c r="GZC2" s="494"/>
      <c r="GZD2" s="494"/>
      <c r="GZE2" s="494"/>
      <c r="GZF2" s="494"/>
      <c r="GZG2" s="494"/>
      <c r="GZH2" s="494"/>
      <c r="GZI2" s="494"/>
      <c r="GZJ2" s="494"/>
      <c r="GZK2" s="494"/>
      <c r="GZL2" s="494"/>
      <c r="GZM2" s="494"/>
      <c r="GZN2" s="494"/>
      <c r="GZO2" s="494"/>
      <c r="GZP2" s="494"/>
      <c r="GZQ2" s="494"/>
      <c r="GZR2" s="494"/>
      <c r="GZS2" s="494"/>
      <c r="GZT2" s="494"/>
      <c r="GZU2" s="494"/>
      <c r="GZV2" s="494"/>
      <c r="GZW2" s="494"/>
      <c r="GZX2" s="494"/>
      <c r="GZY2" s="494"/>
      <c r="GZZ2" s="494"/>
      <c r="HAA2" s="494"/>
      <c r="HAB2" s="494"/>
      <c r="HAC2" s="494"/>
      <c r="HAD2" s="494"/>
      <c r="HAE2" s="494"/>
      <c r="HAF2" s="494"/>
      <c r="HAG2" s="494"/>
      <c r="HAH2" s="494"/>
      <c r="HAI2" s="494"/>
      <c r="HAJ2" s="494"/>
      <c r="HAK2" s="494"/>
      <c r="HAL2" s="494"/>
      <c r="HAM2" s="494"/>
      <c r="HAN2" s="494"/>
      <c r="HAO2" s="494"/>
      <c r="HAP2" s="494"/>
      <c r="HAQ2" s="494"/>
      <c r="HAR2" s="494"/>
      <c r="HAS2" s="494"/>
      <c r="HAT2" s="494"/>
      <c r="HAU2" s="494"/>
      <c r="HAV2" s="494"/>
      <c r="HAW2" s="494"/>
      <c r="HAX2" s="494"/>
      <c r="HAY2" s="494"/>
      <c r="HAZ2" s="494"/>
      <c r="HBA2" s="494"/>
      <c r="HBB2" s="494"/>
      <c r="HBC2" s="494"/>
      <c r="HBD2" s="494"/>
      <c r="HBE2" s="494"/>
      <c r="HBF2" s="494"/>
      <c r="HBG2" s="494"/>
      <c r="HBH2" s="494"/>
      <c r="HBI2" s="494"/>
      <c r="HBJ2" s="494"/>
      <c r="HBK2" s="494"/>
      <c r="HBL2" s="494"/>
      <c r="HBM2" s="494"/>
      <c r="HBN2" s="494"/>
      <c r="HBO2" s="494"/>
      <c r="HBP2" s="494"/>
      <c r="HBQ2" s="494"/>
      <c r="HBR2" s="494"/>
      <c r="HBS2" s="494"/>
      <c r="HBT2" s="494"/>
      <c r="HBU2" s="494"/>
      <c r="HBV2" s="494"/>
      <c r="HBW2" s="494"/>
      <c r="HBX2" s="494"/>
      <c r="HBY2" s="494"/>
      <c r="HBZ2" s="494"/>
      <c r="HCA2" s="494"/>
      <c r="HCB2" s="494"/>
      <c r="HCC2" s="494"/>
      <c r="HCD2" s="494"/>
      <c r="HCE2" s="494"/>
      <c r="HCF2" s="494"/>
      <c r="HCG2" s="494"/>
      <c r="HCH2" s="494"/>
      <c r="HCI2" s="494"/>
      <c r="HCJ2" s="494"/>
      <c r="HCK2" s="494"/>
      <c r="HCL2" s="494"/>
      <c r="HCM2" s="494"/>
      <c r="HCN2" s="494"/>
      <c r="HCO2" s="494"/>
      <c r="HCP2" s="494"/>
      <c r="HCQ2" s="494"/>
      <c r="HCR2" s="494"/>
      <c r="HCS2" s="494"/>
      <c r="HCT2" s="494"/>
      <c r="HCU2" s="494"/>
      <c r="HCV2" s="494"/>
      <c r="HCW2" s="494"/>
      <c r="HCX2" s="494"/>
      <c r="HCY2" s="494"/>
      <c r="HCZ2" s="494"/>
      <c r="HDA2" s="494"/>
      <c r="HDB2" s="494"/>
      <c r="HDC2" s="494"/>
      <c r="HDD2" s="494"/>
      <c r="HDE2" s="494"/>
      <c r="HDF2" s="494"/>
      <c r="HDG2" s="494"/>
      <c r="HDH2" s="494"/>
      <c r="HDI2" s="494"/>
      <c r="HDJ2" s="494"/>
      <c r="HDK2" s="494"/>
      <c r="HDL2" s="494"/>
      <c r="HDM2" s="494"/>
      <c r="HDN2" s="494"/>
      <c r="HDO2" s="494"/>
      <c r="HDP2" s="494"/>
      <c r="HDQ2" s="494"/>
      <c r="HDR2" s="494"/>
      <c r="HDS2" s="494"/>
      <c r="HDT2" s="494"/>
      <c r="HDU2" s="494"/>
      <c r="HDV2" s="494"/>
      <c r="HDW2" s="494"/>
      <c r="HDX2" s="494"/>
      <c r="HDY2" s="494"/>
      <c r="HDZ2" s="494"/>
      <c r="HEA2" s="494"/>
      <c r="HEB2" s="494"/>
      <c r="HEC2" s="494"/>
      <c r="HED2" s="494"/>
      <c r="HEE2" s="494"/>
      <c r="HEF2" s="494"/>
      <c r="HEG2" s="494"/>
      <c r="HEH2" s="494"/>
      <c r="HEI2" s="494"/>
      <c r="HEJ2" s="494"/>
      <c r="HEK2" s="494"/>
      <c r="HEL2" s="494"/>
      <c r="HEM2" s="494"/>
      <c r="HEN2" s="494"/>
      <c r="HEO2" s="494"/>
      <c r="HEP2" s="494"/>
      <c r="HEQ2" s="494"/>
      <c r="HER2" s="494"/>
      <c r="HES2" s="494"/>
      <c r="HET2" s="494"/>
      <c r="HEU2" s="494"/>
      <c r="HEV2" s="494"/>
      <c r="HEW2" s="494"/>
      <c r="HEX2" s="494"/>
      <c r="HEY2" s="494"/>
      <c r="HEZ2" s="494"/>
      <c r="HFA2" s="494"/>
      <c r="HFB2" s="494"/>
      <c r="HFC2" s="494"/>
      <c r="HFD2" s="494"/>
      <c r="HFE2" s="494"/>
      <c r="HFF2" s="494"/>
      <c r="HFG2" s="494"/>
      <c r="HFH2" s="494"/>
      <c r="HFI2" s="494"/>
      <c r="HFJ2" s="494"/>
      <c r="HFK2" s="494"/>
      <c r="HFL2" s="494"/>
      <c r="HFM2" s="494"/>
      <c r="HFN2" s="494"/>
      <c r="HFO2" s="494"/>
      <c r="HFP2" s="494"/>
      <c r="HFQ2" s="494"/>
      <c r="HFR2" s="494"/>
      <c r="HFS2" s="494"/>
      <c r="HFT2" s="494"/>
      <c r="HFU2" s="494"/>
      <c r="HFV2" s="494"/>
      <c r="HFW2" s="494"/>
      <c r="HFX2" s="494"/>
      <c r="HFY2" s="494"/>
      <c r="HFZ2" s="494"/>
      <c r="HGA2" s="494"/>
      <c r="HGB2" s="494"/>
      <c r="HGC2" s="494"/>
      <c r="HGD2" s="494"/>
      <c r="HGE2" s="494"/>
      <c r="HGF2" s="494"/>
      <c r="HGG2" s="494"/>
      <c r="HGH2" s="494"/>
      <c r="HGI2" s="494"/>
      <c r="HGJ2" s="494"/>
      <c r="HGK2" s="494"/>
      <c r="HGL2" s="494"/>
      <c r="HGM2" s="494"/>
      <c r="HGN2" s="494"/>
      <c r="HGO2" s="494"/>
      <c r="HGP2" s="494"/>
      <c r="HGQ2" s="494"/>
      <c r="HGR2" s="494"/>
      <c r="HGS2" s="494"/>
      <c r="HGT2" s="494"/>
      <c r="HGU2" s="494"/>
      <c r="HGV2" s="494"/>
      <c r="HGW2" s="494"/>
      <c r="HGX2" s="494"/>
      <c r="HGY2" s="494"/>
      <c r="HGZ2" s="494"/>
      <c r="HHA2" s="494"/>
      <c r="HHB2" s="494"/>
      <c r="HHC2" s="494"/>
      <c r="HHD2" s="494"/>
      <c r="HHE2" s="494"/>
      <c r="HHF2" s="494"/>
      <c r="HHG2" s="494"/>
      <c r="HHH2" s="494"/>
      <c r="HHI2" s="494"/>
      <c r="HHJ2" s="494"/>
      <c r="HHK2" s="494"/>
      <c r="HHL2" s="494"/>
      <c r="HHM2" s="494"/>
      <c r="HHN2" s="494"/>
      <c r="HHO2" s="494"/>
      <c r="HHP2" s="494"/>
      <c r="HHQ2" s="494"/>
      <c r="HHR2" s="494"/>
      <c r="HHS2" s="494"/>
      <c r="HHT2" s="494"/>
      <c r="HHU2" s="494"/>
      <c r="HHV2" s="494"/>
      <c r="HHW2" s="494"/>
      <c r="HHX2" s="494"/>
      <c r="HHY2" s="494"/>
      <c r="HHZ2" s="494"/>
      <c r="HIA2" s="494"/>
      <c r="HIB2" s="494"/>
      <c r="HIC2" s="494"/>
      <c r="HID2" s="494"/>
      <c r="HIE2" s="494"/>
      <c r="HIF2" s="494"/>
      <c r="HIG2" s="494"/>
      <c r="HIH2" s="494"/>
      <c r="HII2" s="494"/>
      <c r="HIJ2" s="494"/>
      <c r="HIK2" s="494"/>
      <c r="HIL2" s="494"/>
      <c r="HIM2" s="494"/>
      <c r="HIN2" s="494"/>
      <c r="HIO2" s="494"/>
      <c r="HIP2" s="494"/>
      <c r="HIQ2" s="494"/>
      <c r="HIR2" s="494"/>
      <c r="HIS2" s="494"/>
      <c r="HIT2" s="494"/>
      <c r="HIU2" s="494"/>
      <c r="HIV2" s="494"/>
      <c r="HIW2" s="494"/>
      <c r="HIX2" s="494"/>
      <c r="HIY2" s="494"/>
      <c r="HIZ2" s="494"/>
      <c r="HJA2" s="494"/>
      <c r="HJB2" s="494"/>
      <c r="HJC2" s="494"/>
      <c r="HJD2" s="494"/>
      <c r="HJE2" s="494"/>
      <c r="HJF2" s="494"/>
      <c r="HJG2" s="494"/>
      <c r="HJH2" s="494"/>
      <c r="HJI2" s="494"/>
      <c r="HJJ2" s="494"/>
      <c r="HJK2" s="494"/>
      <c r="HJL2" s="494"/>
      <c r="HJM2" s="494"/>
      <c r="HJN2" s="494"/>
      <c r="HJO2" s="494"/>
      <c r="HJP2" s="494"/>
      <c r="HJQ2" s="494"/>
      <c r="HJR2" s="494"/>
      <c r="HJS2" s="494"/>
      <c r="HJT2" s="494"/>
      <c r="HJU2" s="494"/>
      <c r="HJV2" s="494"/>
      <c r="HJW2" s="494"/>
      <c r="HJX2" s="494"/>
      <c r="HJY2" s="494"/>
      <c r="HJZ2" s="494"/>
      <c r="HKA2" s="494"/>
      <c r="HKB2" s="494"/>
      <c r="HKC2" s="494"/>
      <c r="HKD2" s="494"/>
      <c r="HKE2" s="494"/>
      <c r="HKF2" s="494"/>
      <c r="HKG2" s="494"/>
      <c r="HKH2" s="494"/>
      <c r="HKI2" s="494"/>
      <c r="HKJ2" s="494"/>
      <c r="HKK2" s="494"/>
      <c r="HKL2" s="494"/>
      <c r="HKM2" s="494"/>
      <c r="HKN2" s="494"/>
      <c r="HKO2" s="494"/>
      <c r="HKP2" s="494"/>
      <c r="HKQ2" s="494"/>
      <c r="HKR2" s="494"/>
      <c r="HKS2" s="494"/>
      <c r="HKT2" s="494"/>
      <c r="HKU2" s="494"/>
      <c r="HKV2" s="494"/>
      <c r="HKW2" s="494"/>
      <c r="HKX2" s="494"/>
      <c r="HKY2" s="494"/>
      <c r="HKZ2" s="494"/>
      <c r="HLA2" s="494"/>
      <c r="HLB2" s="494"/>
      <c r="HLC2" s="494"/>
      <c r="HLD2" s="494"/>
      <c r="HLE2" s="494"/>
      <c r="HLF2" s="494"/>
      <c r="HLG2" s="494"/>
      <c r="HLH2" s="494"/>
      <c r="HLI2" s="494"/>
      <c r="HLJ2" s="494"/>
      <c r="HLK2" s="494"/>
      <c r="HLL2" s="494"/>
      <c r="HLM2" s="494"/>
      <c r="HLN2" s="494"/>
      <c r="HLO2" s="494"/>
      <c r="HLP2" s="494"/>
      <c r="HLQ2" s="494"/>
      <c r="HLR2" s="494"/>
      <c r="HLS2" s="494"/>
      <c r="HLT2" s="494"/>
      <c r="HLU2" s="494"/>
      <c r="HLV2" s="494"/>
      <c r="HLW2" s="494"/>
      <c r="HLX2" s="494"/>
      <c r="HLY2" s="494"/>
      <c r="HLZ2" s="494"/>
      <c r="HMA2" s="494"/>
      <c r="HMB2" s="494"/>
      <c r="HMC2" s="494"/>
      <c r="HMD2" s="494"/>
      <c r="HME2" s="494"/>
      <c r="HMF2" s="494"/>
      <c r="HMG2" s="494"/>
      <c r="HMH2" s="494"/>
      <c r="HMI2" s="494"/>
      <c r="HMJ2" s="494"/>
      <c r="HMK2" s="494"/>
      <c r="HML2" s="494"/>
      <c r="HMM2" s="494"/>
      <c r="HMN2" s="494"/>
      <c r="HMO2" s="494"/>
      <c r="HMP2" s="494"/>
      <c r="HMQ2" s="494"/>
      <c r="HMR2" s="494"/>
      <c r="HMS2" s="494"/>
      <c r="HMT2" s="494"/>
      <c r="HMU2" s="494"/>
      <c r="HMV2" s="494"/>
      <c r="HMW2" s="494"/>
      <c r="HMX2" s="494"/>
      <c r="HMY2" s="494"/>
      <c r="HMZ2" s="494"/>
      <c r="HNA2" s="494"/>
      <c r="HNB2" s="494"/>
      <c r="HNC2" s="494"/>
      <c r="HND2" s="494"/>
      <c r="HNE2" s="494"/>
      <c r="HNF2" s="494"/>
      <c r="HNG2" s="494"/>
      <c r="HNH2" s="494"/>
      <c r="HNI2" s="494"/>
      <c r="HNJ2" s="494"/>
      <c r="HNK2" s="494"/>
      <c r="HNL2" s="494"/>
      <c r="HNM2" s="494"/>
      <c r="HNN2" s="494"/>
      <c r="HNO2" s="494"/>
      <c r="HNP2" s="494"/>
      <c r="HNQ2" s="494"/>
      <c r="HNR2" s="494"/>
      <c r="HNS2" s="494"/>
      <c r="HNT2" s="494"/>
      <c r="HNU2" s="494"/>
      <c r="HNV2" s="494"/>
      <c r="HNW2" s="494"/>
      <c r="HNX2" s="494"/>
      <c r="HNY2" s="494"/>
      <c r="HNZ2" s="494"/>
      <c r="HOA2" s="494"/>
      <c r="HOB2" s="494"/>
      <c r="HOC2" s="494"/>
      <c r="HOD2" s="494"/>
      <c r="HOE2" s="494"/>
      <c r="HOF2" s="494"/>
      <c r="HOG2" s="494"/>
      <c r="HOH2" s="494"/>
      <c r="HOI2" s="494"/>
      <c r="HOJ2" s="494"/>
      <c r="HOK2" s="494"/>
      <c r="HOL2" s="494"/>
      <c r="HOM2" s="494"/>
      <c r="HON2" s="494"/>
      <c r="HOO2" s="494"/>
      <c r="HOP2" s="494"/>
      <c r="HOQ2" s="494"/>
      <c r="HOR2" s="494"/>
      <c r="HOS2" s="494"/>
      <c r="HOT2" s="494"/>
      <c r="HOU2" s="494"/>
      <c r="HOV2" s="494"/>
      <c r="HOW2" s="494"/>
      <c r="HOX2" s="494"/>
      <c r="HOY2" s="494"/>
      <c r="HOZ2" s="494"/>
      <c r="HPA2" s="494"/>
      <c r="HPB2" s="494"/>
      <c r="HPC2" s="494"/>
      <c r="HPD2" s="494"/>
      <c r="HPE2" s="494"/>
      <c r="HPF2" s="494"/>
      <c r="HPG2" s="494"/>
      <c r="HPH2" s="494"/>
      <c r="HPI2" s="494"/>
      <c r="HPJ2" s="494"/>
      <c r="HPK2" s="494"/>
      <c r="HPL2" s="494"/>
      <c r="HPM2" s="494"/>
      <c r="HPN2" s="494"/>
      <c r="HPO2" s="494"/>
      <c r="HPP2" s="494"/>
      <c r="HPQ2" s="494"/>
      <c r="HPR2" s="494"/>
      <c r="HPS2" s="494"/>
      <c r="HPT2" s="494"/>
      <c r="HPU2" s="494"/>
      <c r="HPV2" s="494"/>
      <c r="HPW2" s="494"/>
      <c r="HPX2" s="494"/>
      <c r="HPY2" s="494"/>
      <c r="HPZ2" s="494"/>
      <c r="HQA2" s="494"/>
      <c r="HQB2" s="494"/>
      <c r="HQC2" s="494"/>
      <c r="HQD2" s="494"/>
      <c r="HQE2" s="494"/>
      <c r="HQF2" s="494"/>
      <c r="HQG2" s="494"/>
      <c r="HQH2" s="494"/>
      <c r="HQI2" s="494"/>
      <c r="HQJ2" s="494"/>
      <c r="HQK2" s="494"/>
      <c r="HQL2" s="494"/>
      <c r="HQM2" s="494"/>
      <c r="HQN2" s="494"/>
      <c r="HQO2" s="494"/>
      <c r="HQP2" s="494"/>
      <c r="HQQ2" s="494"/>
      <c r="HQR2" s="494"/>
      <c r="HQS2" s="494"/>
      <c r="HQT2" s="494"/>
      <c r="HQU2" s="494"/>
      <c r="HQV2" s="494"/>
      <c r="HQW2" s="494"/>
      <c r="HQX2" s="494"/>
      <c r="HQY2" s="494"/>
      <c r="HQZ2" s="494"/>
      <c r="HRA2" s="494"/>
      <c r="HRB2" s="494"/>
      <c r="HRC2" s="494"/>
      <c r="HRD2" s="494"/>
      <c r="HRE2" s="494"/>
      <c r="HRF2" s="494"/>
      <c r="HRG2" s="494"/>
      <c r="HRH2" s="494"/>
      <c r="HRI2" s="494"/>
      <c r="HRJ2" s="494"/>
      <c r="HRK2" s="494"/>
      <c r="HRL2" s="494"/>
      <c r="HRM2" s="494"/>
      <c r="HRN2" s="494"/>
      <c r="HRO2" s="494"/>
      <c r="HRP2" s="494"/>
      <c r="HRQ2" s="494"/>
      <c r="HRR2" s="494"/>
      <c r="HRS2" s="494"/>
      <c r="HRT2" s="494"/>
      <c r="HRU2" s="494"/>
      <c r="HRV2" s="494"/>
      <c r="HRW2" s="494"/>
      <c r="HRX2" s="494"/>
      <c r="HRY2" s="494"/>
      <c r="HRZ2" s="494"/>
      <c r="HSA2" s="494"/>
      <c r="HSB2" s="494"/>
      <c r="HSC2" s="494"/>
      <c r="HSD2" s="494"/>
      <c r="HSE2" s="494"/>
      <c r="HSF2" s="494"/>
      <c r="HSG2" s="494"/>
      <c r="HSH2" s="494"/>
      <c r="HSI2" s="494"/>
      <c r="HSJ2" s="494"/>
      <c r="HSK2" s="494"/>
      <c r="HSL2" s="494"/>
      <c r="HSM2" s="494"/>
      <c r="HSN2" s="494"/>
      <c r="HSO2" s="494"/>
      <c r="HSP2" s="494"/>
      <c r="HSQ2" s="494"/>
      <c r="HSR2" s="494"/>
      <c r="HSS2" s="494"/>
      <c r="HST2" s="494"/>
      <c r="HSU2" s="494"/>
      <c r="HSV2" s="494"/>
      <c r="HSW2" s="494"/>
      <c r="HSX2" s="494"/>
      <c r="HSY2" s="494"/>
      <c r="HSZ2" s="494"/>
      <c r="HTA2" s="494"/>
      <c r="HTB2" s="494"/>
      <c r="HTC2" s="494"/>
      <c r="HTD2" s="494"/>
      <c r="HTE2" s="494"/>
      <c r="HTF2" s="494"/>
      <c r="HTG2" s="494"/>
      <c r="HTH2" s="494"/>
      <c r="HTI2" s="494"/>
      <c r="HTJ2" s="494"/>
      <c r="HTK2" s="494"/>
      <c r="HTL2" s="494"/>
      <c r="HTM2" s="494"/>
      <c r="HTN2" s="494"/>
      <c r="HTO2" s="494"/>
      <c r="HTP2" s="494"/>
      <c r="HTQ2" s="494"/>
      <c r="HTR2" s="494"/>
      <c r="HTS2" s="494"/>
      <c r="HTT2" s="494"/>
      <c r="HTU2" s="494"/>
      <c r="HTV2" s="494"/>
      <c r="HTW2" s="494"/>
      <c r="HTX2" s="494"/>
      <c r="HTY2" s="494"/>
      <c r="HTZ2" s="494"/>
      <c r="HUA2" s="494"/>
      <c r="HUB2" s="494"/>
      <c r="HUC2" s="494"/>
      <c r="HUD2" s="494"/>
      <c r="HUE2" s="494"/>
      <c r="HUF2" s="494"/>
      <c r="HUG2" s="494"/>
      <c r="HUH2" s="494"/>
      <c r="HUI2" s="494"/>
      <c r="HUJ2" s="494"/>
      <c r="HUK2" s="494"/>
      <c r="HUL2" s="494"/>
      <c r="HUM2" s="494"/>
      <c r="HUN2" s="494"/>
      <c r="HUO2" s="494"/>
      <c r="HUP2" s="494"/>
      <c r="HUQ2" s="494"/>
      <c r="HUR2" s="494"/>
      <c r="HUS2" s="494"/>
      <c r="HUT2" s="494"/>
      <c r="HUU2" s="494"/>
      <c r="HUV2" s="494"/>
      <c r="HUW2" s="494"/>
      <c r="HUX2" s="494"/>
      <c r="HUY2" s="494"/>
      <c r="HUZ2" s="494"/>
      <c r="HVA2" s="494"/>
      <c r="HVB2" s="494"/>
      <c r="HVC2" s="494"/>
      <c r="HVD2" s="494"/>
      <c r="HVE2" s="494"/>
      <c r="HVF2" s="494"/>
      <c r="HVG2" s="494"/>
      <c r="HVH2" s="494"/>
      <c r="HVI2" s="494"/>
      <c r="HVJ2" s="494"/>
      <c r="HVK2" s="494"/>
      <c r="HVL2" s="494"/>
      <c r="HVM2" s="494"/>
      <c r="HVN2" s="494"/>
      <c r="HVO2" s="494"/>
      <c r="HVP2" s="494"/>
      <c r="HVQ2" s="494"/>
      <c r="HVR2" s="494"/>
      <c r="HVS2" s="494"/>
      <c r="HVT2" s="494"/>
      <c r="HVU2" s="494"/>
      <c r="HVV2" s="494"/>
      <c r="HVW2" s="494"/>
      <c r="HVX2" s="494"/>
      <c r="HVY2" s="494"/>
      <c r="HVZ2" s="494"/>
      <c r="HWA2" s="494"/>
      <c r="HWB2" s="494"/>
      <c r="HWC2" s="494"/>
      <c r="HWD2" s="494"/>
      <c r="HWE2" s="494"/>
      <c r="HWF2" s="494"/>
      <c r="HWG2" s="494"/>
      <c r="HWH2" s="494"/>
      <c r="HWI2" s="494"/>
      <c r="HWJ2" s="494"/>
      <c r="HWK2" s="494"/>
      <c r="HWL2" s="494"/>
      <c r="HWM2" s="494"/>
      <c r="HWN2" s="494"/>
      <c r="HWO2" s="494"/>
      <c r="HWP2" s="494"/>
      <c r="HWQ2" s="494"/>
      <c r="HWR2" s="494"/>
      <c r="HWS2" s="494"/>
      <c r="HWT2" s="494"/>
      <c r="HWU2" s="494"/>
      <c r="HWV2" s="494"/>
      <c r="HWW2" s="494"/>
      <c r="HWX2" s="494"/>
      <c r="HWY2" s="494"/>
      <c r="HWZ2" s="494"/>
      <c r="HXA2" s="494"/>
      <c r="HXB2" s="494"/>
      <c r="HXC2" s="494"/>
      <c r="HXD2" s="494"/>
      <c r="HXE2" s="494"/>
      <c r="HXF2" s="494"/>
      <c r="HXG2" s="494"/>
      <c r="HXH2" s="494"/>
      <c r="HXI2" s="494"/>
      <c r="HXJ2" s="494"/>
      <c r="HXK2" s="494"/>
      <c r="HXL2" s="494"/>
      <c r="HXM2" s="494"/>
      <c r="HXN2" s="494"/>
      <c r="HXO2" s="494"/>
      <c r="HXP2" s="494"/>
      <c r="HXQ2" s="494"/>
      <c r="HXR2" s="494"/>
      <c r="HXS2" s="494"/>
      <c r="HXT2" s="494"/>
      <c r="HXU2" s="494"/>
      <c r="HXV2" s="494"/>
      <c r="HXW2" s="494"/>
      <c r="HXX2" s="494"/>
      <c r="HXY2" s="494"/>
      <c r="HXZ2" s="494"/>
      <c r="HYA2" s="494"/>
      <c r="HYB2" s="494"/>
      <c r="HYC2" s="494"/>
      <c r="HYD2" s="494"/>
      <c r="HYE2" s="494"/>
      <c r="HYF2" s="494"/>
      <c r="HYG2" s="494"/>
      <c r="HYH2" s="494"/>
      <c r="HYI2" s="494"/>
      <c r="HYJ2" s="494"/>
      <c r="HYK2" s="494"/>
      <c r="HYL2" s="494"/>
      <c r="HYM2" s="494"/>
      <c r="HYN2" s="494"/>
      <c r="HYO2" s="494"/>
      <c r="HYP2" s="494"/>
      <c r="HYQ2" s="494"/>
      <c r="HYR2" s="494"/>
      <c r="HYS2" s="494"/>
      <c r="HYT2" s="494"/>
      <c r="HYU2" s="494"/>
      <c r="HYV2" s="494"/>
      <c r="HYW2" s="494"/>
      <c r="HYX2" s="494"/>
      <c r="HYY2" s="494"/>
      <c r="HYZ2" s="494"/>
      <c r="HZA2" s="494"/>
      <c r="HZB2" s="494"/>
      <c r="HZC2" s="494"/>
      <c r="HZD2" s="494"/>
      <c r="HZE2" s="494"/>
      <c r="HZF2" s="494"/>
      <c r="HZG2" s="494"/>
      <c r="HZH2" s="494"/>
      <c r="HZI2" s="494"/>
      <c r="HZJ2" s="494"/>
      <c r="HZK2" s="494"/>
      <c r="HZL2" s="494"/>
      <c r="HZM2" s="494"/>
      <c r="HZN2" s="494"/>
      <c r="HZO2" s="494"/>
      <c r="HZP2" s="494"/>
      <c r="HZQ2" s="494"/>
      <c r="HZR2" s="494"/>
      <c r="HZS2" s="494"/>
      <c r="HZT2" s="494"/>
      <c r="HZU2" s="494"/>
      <c r="HZV2" s="494"/>
      <c r="HZW2" s="494"/>
      <c r="HZX2" s="494"/>
      <c r="HZY2" s="494"/>
      <c r="HZZ2" s="494"/>
      <c r="IAA2" s="494"/>
      <c r="IAB2" s="494"/>
      <c r="IAC2" s="494"/>
      <c r="IAD2" s="494"/>
      <c r="IAE2" s="494"/>
      <c r="IAF2" s="494"/>
      <c r="IAG2" s="494"/>
      <c r="IAH2" s="494"/>
      <c r="IAI2" s="494"/>
      <c r="IAJ2" s="494"/>
      <c r="IAK2" s="494"/>
      <c r="IAL2" s="494"/>
      <c r="IAM2" s="494"/>
      <c r="IAN2" s="494"/>
      <c r="IAO2" s="494"/>
      <c r="IAP2" s="494"/>
      <c r="IAQ2" s="494"/>
      <c r="IAR2" s="494"/>
      <c r="IAS2" s="494"/>
      <c r="IAT2" s="494"/>
      <c r="IAU2" s="494"/>
      <c r="IAV2" s="494"/>
      <c r="IAW2" s="494"/>
      <c r="IAX2" s="494"/>
      <c r="IAY2" s="494"/>
      <c r="IAZ2" s="494"/>
      <c r="IBA2" s="494"/>
      <c r="IBB2" s="494"/>
      <c r="IBC2" s="494"/>
      <c r="IBD2" s="494"/>
      <c r="IBE2" s="494"/>
      <c r="IBF2" s="494"/>
      <c r="IBG2" s="494"/>
      <c r="IBH2" s="494"/>
      <c r="IBI2" s="494"/>
      <c r="IBJ2" s="494"/>
      <c r="IBK2" s="494"/>
      <c r="IBL2" s="494"/>
      <c r="IBM2" s="494"/>
      <c r="IBN2" s="494"/>
      <c r="IBO2" s="494"/>
      <c r="IBP2" s="494"/>
      <c r="IBQ2" s="494"/>
      <c r="IBR2" s="494"/>
      <c r="IBS2" s="494"/>
      <c r="IBT2" s="494"/>
      <c r="IBU2" s="494"/>
      <c r="IBV2" s="494"/>
      <c r="IBW2" s="494"/>
      <c r="IBX2" s="494"/>
      <c r="IBY2" s="494"/>
      <c r="IBZ2" s="494"/>
      <c r="ICA2" s="494"/>
      <c r="ICB2" s="494"/>
      <c r="ICC2" s="494"/>
      <c r="ICD2" s="494"/>
      <c r="ICE2" s="494"/>
      <c r="ICF2" s="494"/>
      <c r="ICG2" s="494"/>
      <c r="ICH2" s="494"/>
      <c r="ICI2" s="494"/>
      <c r="ICJ2" s="494"/>
      <c r="ICK2" s="494"/>
      <c r="ICL2" s="494"/>
      <c r="ICM2" s="494"/>
      <c r="ICN2" s="494"/>
      <c r="ICO2" s="494"/>
      <c r="ICP2" s="494"/>
      <c r="ICQ2" s="494"/>
      <c r="ICR2" s="494"/>
      <c r="ICS2" s="494"/>
      <c r="ICT2" s="494"/>
      <c r="ICU2" s="494"/>
      <c r="ICV2" s="494"/>
      <c r="ICW2" s="494"/>
      <c r="ICX2" s="494"/>
      <c r="ICY2" s="494"/>
      <c r="ICZ2" s="494"/>
      <c r="IDA2" s="494"/>
      <c r="IDB2" s="494"/>
      <c r="IDC2" s="494"/>
      <c r="IDD2" s="494"/>
      <c r="IDE2" s="494"/>
      <c r="IDF2" s="494"/>
      <c r="IDG2" s="494"/>
      <c r="IDH2" s="494"/>
      <c r="IDI2" s="494"/>
      <c r="IDJ2" s="494"/>
      <c r="IDK2" s="494"/>
      <c r="IDL2" s="494"/>
      <c r="IDM2" s="494"/>
      <c r="IDN2" s="494"/>
      <c r="IDO2" s="494"/>
      <c r="IDP2" s="494"/>
      <c r="IDQ2" s="494"/>
      <c r="IDR2" s="494"/>
      <c r="IDS2" s="494"/>
      <c r="IDT2" s="494"/>
      <c r="IDU2" s="494"/>
      <c r="IDV2" s="494"/>
      <c r="IDW2" s="494"/>
      <c r="IDX2" s="494"/>
      <c r="IDY2" s="494"/>
      <c r="IDZ2" s="494"/>
      <c r="IEA2" s="494"/>
      <c r="IEB2" s="494"/>
      <c r="IEC2" s="494"/>
      <c r="IED2" s="494"/>
      <c r="IEE2" s="494"/>
      <c r="IEF2" s="494"/>
      <c r="IEG2" s="494"/>
      <c r="IEH2" s="494"/>
      <c r="IEI2" s="494"/>
      <c r="IEJ2" s="494"/>
      <c r="IEK2" s="494"/>
      <c r="IEL2" s="494"/>
      <c r="IEM2" s="494"/>
      <c r="IEN2" s="494"/>
      <c r="IEO2" s="494"/>
      <c r="IEP2" s="494"/>
      <c r="IEQ2" s="494"/>
      <c r="IER2" s="494"/>
      <c r="IES2" s="494"/>
      <c r="IET2" s="494"/>
      <c r="IEU2" s="494"/>
      <c r="IEV2" s="494"/>
      <c r="IEW2" s="494"/>
      <c r="IEX2" s="494"/>
      <c r="IEY2" s="494"/>
      <c r="IEZ2" s="494"/>
      <c r="IFA2" s="494"/>
      <c r="IFB2" s="494"/>
      <c r="IFC2" s="494"/>
      <c r="IFD2" s="494"/>
      <c r="IFE2" s="494"/>
      <c r="IFF2" s="494"/>
      <c r="IFG2" s="494"/>
      <c r="IFH2" s="494"/>
      <c r="IFI2" s="494"/>
      <c r="IFJ2" s="494"/>
      <c r="IFK2" s="494"/>
      <c r="IFL2" s="494"/>
      <c r="IFM2" s="494"/>
      <c r="IFN2" s="494"/>
      <c r="IFO2" s="494"/>
      <c r="IFP2" s="494"/>
      <c r="IFQ2" s="494"/>
      <c r="IFR2" s="494"/>
      <c r="IFS2" s="494"/>
      <c r="IFT2" s="494"/>
      <c r="IFU2" s="494"/>
      <c r="IFV2" s="494"/>
      <c r="IFW2" s="494"/>
      <c r="IFX2" s="494"/>
      <c r="IFY2" s="494"/>
      <c r="IFZ2" s="494"/>
      <c r="IGA2" s="494"/>
      <c r="IGB2" s="494"/>
      <c r="IGC2" s="494"/>
      <c r="IGD2" s="494"/>
      <c r="IGE2" s="494"/>
      <c r="IGF2" s="494"/>
      <c r="IGG2" s="494"/>
      <c r="IGH2" s="494"/>
      <c r="IGI2" s="494"/>
      <c r="IGJ2" s="494"/>
      <c r="IGK2" s="494"/>
      <c r="IGL2" s="494"/>
      <c r="IGM2" s="494"/>
      <c r="IGN2" s="494"/>
      <c r="IGO2" s="494"/>
      <c r="IGP2" s="494"/>
      <c r="IGQ2" s="494"/>
      <c r="IGR2" s="494"/>
      <c r="IGS2" s="494"/>
      <c r="IGT2" s="494"/>
      <c r="IGU2" s="494"/>
      <c r="IGV2" s="494"/>
      <c r="IGW2" s="494"/>
      <c r="IGX2" s="494"/>
      <c r="IGY2" s="494"/>
      <c r="IGZ2" s="494"/>
      <c r="IHA2" s="494"/>
      <c r="IHB2" s="494"/>
      <c r="IHC2" s="494"/>
      <c r="IHD2" s="494"/>
      <c r="IHE2" s="494"/>
      <c r="IHF2" s="494"/>
      <c r="IHG2" s="494"/>
      <c r="IHH2" s="494"/>
      <c r="IHI2" s="494"/>
      <c r="IHJ2" s="494"/>
      <c r="IHK2" s="494"/>
      <c r="IHL2" s="494"/>
      <c r="IHM2" s="494"/>
      <c r="IHN2" s="494"/>
      <c r="IHO2" s="494"/>
      <c r="IHP2" s="494"/>
      <c r="IHQ2" s="494"/>
      <c r="IHR2" s="494"/>
      <c r="IHS2" s="494"/>
      <c r="IHT2" s="494"/>
      <c r="IHU2" s="494"/>
      <c r="IHV2" s="494"/>
      <c r="IHW2" s="494"/>
      <c r="IHX2" s="494"/>
      <c r="IHY2" s="494"/>
      <c r="IHZ2" s="494"/>
      <c r="IIA2" s="494"/>
      <c r="IIB2" s="494"/>
      <c r="IIC2" s="494"/>
      <c r="IID2" s="494"/>
      <c r="IIE2" s="494"/>
      <c r="IIF2" s="494"/>
      <c r="IIG2" s="494"/>
      <c r="IIH2" s="494"/>
      <c r="III2" s="494"/>
      <c r="IIJ2" s="494"/>
      <c r="IIK2" s="494"/>
      <c r="IIL2" s="494"/>
      <c r="IIM2" s="494"/>
      <c r="IIN2" s="494"/>
      <c r="IIO2" s="494"/>
      <c r="IIP2" s="494"/>
      <c r="IIQ2" s="494"/>
      <c r="IIR2" s="494"/>
      <c r="IIS2" s="494"/>
      <c r="IIT2" s="494"/>
      <c r="IIU2" s="494"/>
      <c r="IIV2" s="494"/>
      <c r="IIW2" s="494"/>
      <c r="IIX2" s="494"/>
      <c r="IIY2" s="494"/>
      <c r="IIZ2" s="494"/>
      <c r="IJA2" s="494"/>
      <c r="IJB2" s="494"/>
      <c r="IJC2" s="494"/>
      <c r="IJD2" s="494"/>
      <c r="IJE2" s="494"/>
      <c r="IJF2" s="494"/>
      <c r="IJG2" s="494"/>
      <c r="IJH2" s="494"/>
      <c r="IJI2" s="494"/>
      <c r="IJJ2" s="494"/>
      <c r="IJK2" s="494"/>
      <c r="IJL2" s="494"/>
      <c r="IJM2" s="494"/>
      <c r="IJN2" s="494"/>
      <c r="IJO2" s="494"/>
      <c r="IJP2" s="494"/>
      <c r="IJQ2" s="494"/>
      <c r="IJR2" s="494"/>
      <c r="IJS2" s="494"/>
      <c r="IJT2" s="494"/>
      <c r="IJU2" s="494"/>
      <c r="IJV2" s="494"/>
      <c r="IJW2" s="494"/>
      <c r="IJX2" s="494"/>
      <c r="IJY2" s="494"/>
      <c r="IJZ2" s="494"/>
      <c r="IKA2" s="494"/>
      <c r="IKB2" s="494"/>
      <c r="IKC2" s="494"/>
      <c r="IKD2" s="494"/>
      <c r="IKE2" s="494"/>
      <c r="IKF2" s="494"/>
      <c r="IKG2" s="494"/>
      <c r="IKH2" s="494"/>
      <c r="IKI2" s="494"/>
      <c r="IKJ2" s="494"/>
      <c r="IKK2" s="494"/>
      <c r="IKL2" s="494"/>
      <c r="IKM2" s="494"/>
      <c r="IKN2" s="494"/>
      <c r="IKO2" s="494"/>
      <c r="IKP2" s="494"/>
      <c r="IKQ2" s="494"/>
      <c r="IKR2" s="494"/>
      <c r="IKS2" s="494"/>
      <c r="IKT2" s="494"/>
      <c r="IKU2" s="494"/>
      <c r="IKV2" s="494"/>
      <c r="IKW2" s="494"/>
      <c r="IKX2" s="494"/>
      <c r="IKY2" s="494"/>
      <c r="IKZ2" s="494"/>
      <c r="ILA2" s="494"/>
      <c r="ILB2" s="494"/>
      <c r="ILC2" s="494"/>
      <c r="ILD2" s="494"/>
      <c r="ILE2" s="494"/>
      <c r="ILF2" s="494"/>
      <c r="ILG2" s="494"/>
      <c r="ILH2" s="494"/>
      <c r="ILI2" s="494"/>
      <c r="ILJ2" s="494"/>
      <c r="ILK2" s="494"/>
      <c r="ILL2" s="494"/>
      <c r="ILM2" s="494"/>
      <c r="ILN2" s="494"/>
      <c r="ILO2" s="494"/>
      <c r="ILP2" s="494"/>
      <c r="ILQ2" s="494"/>
      <c r="ILR2" s="494"/>
      <c r="ILS2" s="494"/>
      <c r="ILT2" s="494"/>
      <c r="ILU2" s="494"/>
      <c r="ILV2" s="494"/>
      <c r="ILW2" s="494"/>
      <c r="ILX2" s="494"/>
      <c r="ILY2" s="494"/>
      <c r="ILZ2" s="494"/>
      <c r="IMA2" s="494"/>
      <c r="IMB2" s="494"/>
      <c r="IMC2" s="494"/>
      <c r="IMD2" s="494"/>
      <c r="IME2" s="494"/>
      <c r="IMF2" s="494"/>
      <c r="IMG2" s="494"/>
      <c r="IMH2" s="494"/>
      <c r="IMI2" s="494"/>
      <c r="IMJ2" s="494"/>
      <c r="IMK2" s="494"/>
      <c r="IML2" s="494"/>
      <c r="IMM2" s="494"/>
      <c r="IMN2" s="494"/>
      <c r="IMO2" s="494"/>
      <c r="IMP2" s="494"/>
      <c r="IMQ2" s="494"/>
      <c r="IMR2" s="494"/>
      <c r="IMS2" s="494"/>
      <c r="IMT2" s="494"/>
      <c r="IMU2" s="494"/>
      <c r="IMV2" s="494"/>
      <c r="IMW2" s="494"/>
      <c r="IMX2" s="494"/>
      <c r="IMY2" s="494"/>
      <c r="IMZ2" s="494"/>
      <c r="INA2" s="494"/>
      <c r="INB2" s="494"/>
      <c r="INC2" s="494"/>
      <c r="IND2" s="494"/>
      <c r="INE2" s="494"/>
      <c r="INF2" s="494"/>
      <c r="ING2" s="494"/>
      <c r="INH2" s="494"/>
      <c r="INI2" s="494"/>
      <c r="INJ2" s="494"/>
      <c r="INK2" s="494"/>
      <c r="INL2" s="494"/>
      <c r="INM2" s="494"/>
      <c r="INN2" s="494"/>
      <c r="INO2" s="494"/>
      <c r="INP2" s="494"/>
      <c r="INQ2" s="494"/>
      <c r="INR2" s="494"/>
      <c r="INS2" s="494"/>
      <c r="INT2" s="494"/>
      <c r="INU2" s="494"/>
      <c r="INV2" s="494"/>
      <c r="INW2" s="494"/>
      <c r="INX2" s="494"/>
      <c r="INY2" s="494"/>
      <c r="INZ2" s="494"/>
      <c r="IOA2" s="494"/>
      <c r="IOB2" s="494"/>
      <c r="IOC2" s="494"/>
      <c r="IOD2" s="494"/>
      <c r="IOE2" s="494"/>
      <c r="IOF2" s="494"/>
      <c r="IOG2" s="494"/>
      <c r="IOH2" s="494"/>
      <c r="IOI2" s="494"/>
      <c r="IOJ2" s="494"/>
      <c r="IOK2" s="494"/>
      <c r="IOL2" s="494"/>
      <c r="IOM2" s="494"/>
      <c r="ION2" s="494"/>
      <c r="IOO2" s="494"/>
      <c r="IOP2" s="494"/>
      <c r="IOQ2" s="494"/>
      <c r="IOR2" s="494"/>
      <c r="IOS2" s="494"/>
      <c r="IOT2" s="494"/>
      <c r="IOU2" s="494"/>
      <c r="IOV2" s="494"/>
      <c r="IOW2" s="494"/>
      <c r="IOX2" s="494"/>
      <c r="IOY2" s="494"/>
      <c r="IOZ2" s="494"/>
      <c r="IPA2" s="494"/>
      <c r="IPB2" s="494"/>
      <c r="IPC2" s="494"/>
      <c r="IPD2" s="494"/>
      <c r="IPE2" s="494"/>
      <c r="IPF2" s="494"/>
      <c r="IPG2" s="494"/>
      <c r="IPH2" s="494"/>
      <c r="IPI2" s="494"/>
      <c r="IPJ2" s="494"/>
      <c r="IPK2" s="494"/>
      <c r="IPL2" s="494"/>
      <c r="IPM2" s="494"/>
      <c r="IPN2" s="494"/>
      <c r="IPO2" s="494"/>
      <c r="IPP2" s="494"/>
      <c r="IPQ2" s="494"/>
      <c r="IPR2" s="494"/>
      <c r="IPS2" s="494"/>
      <c r="IPT2" s="494"/>
      <c r="IPU2" s="494"/>
      <c r="IPV2" s="494"/>
      <c r="IPW2" s="494"/>
      <c r="IPX2" s="494"/>
      <c r="IPY2" s="494"/>
      <c r="IPZ2" s="494"/>
      <c r="IQA2" s="494"/>
      <c r="IQB2" s="494"/>
      <c r="IQC2" s="494"/>
      <c r="IQD2" s="494"/>
      <c r="IQE2" s="494"/>
      <c r="IQF2" s="494"/>
      <c r="IQG2" s="494"/>
      <c r="IQH2" s="494"/>
      <c r="IQI2" s="494"/>
      <c r="IQJ2" s="494"/>
      <c r="IQK2" s="494"/>
      <c r="IQL2" s="494"/>
      <c r="IQM2" s="494"/>
      <c r="IQN2" s="494"/>
      <c r="IQO2" s="494"/>
      <c r="IQP2" s="494"/>
      <c r="IQQ2" s="494"/>
      <c r="IQR2" s="494"/>
      <c r="IQS2" s="494"/>
      <c r="IQT2" s="494"/>
      <c r="IQU2" s="494"/>
      <c r="IQV2" s="494"/>
      <c r="IQW2" s="494"/>
      <c r="IQX2" s="494"/>
      <c r="IQY2" s="494"/>
      <c r="IQZ2" s="494"/>
      <c r="IRA2" s="494"/>
      <c r="IRB2" s="494"/>
      <c r="IRC2" s="494"/>
      <c r="IRD2" s="494"/>
      <c r="IRE2" s="494"/>
      <c r="IRF2" s="494"/>
      <c r="IRG2" s="494"/>
      <c r="IRH2" s="494"/>
      <c r="IRI2" s="494"/>
      <c r="IRJ2" s="494"/>
      <c r="IRK2" s="494"/>
      <c r="IRL2" s="494"/>
      <c r="IRM2" s="494"/>
      <c r="IRN2" s="494"/>
      <c r="IRO2" s="494"/>
      <c r="IRP2" s="494"/>
      <c r="IRQ2" s="494"/>
      <c r="IRR2" s="494"/>
      <c r="IRS2" s="494"/>
      <c r="IRT2" s="494"/>
      <c r="IRU2" s="494"/>
      <c r="IRV2" s="494"/>
      <c r="IRW2" s="494"/>
      <c r="IRX2" s="494"/>
      <c r="IRY2" s="494"/>
      <c r="IRZ2" s="494"/>
      <c r="ISA2" s="494"/>
      <c r="ISB2" s="494"/>
      <c r="ISC2" s="494"/>
      <c r="ISD2" s="494"/>
      <c r="ISE2" s="494"/>
      <c r="ISF2" s="494"/>
      <c r="ISG2" s="494"/>
      <c r="ISH2" s="494"/>
      <c r="ISI2" s="494"/>
      <c r="ISJ2" s="494"/>
      <c r="ISK2" s="494"/>
      <c r="ISL2" s="494"/>
      <c r="ISM2" s="494"/>
      <c r="ISN2" s="494"/>
      <c r="ISO2" s="494"/>
      <c r="ISP2" s="494"/>
      <c r="ISQ2" s="494"/>
      <c r="ISR2" s="494"/>
      <c r="ISS2" s="494"/>
      <c r="IST2" s="494"/>
      <c r="ISU2" s="494"/>
      <c r="ISV2" s="494"/>
      <c r="ISW2" s="494"/>
      <c r="ISX2" s="494"/>
      <c r="ISY2" s="494"/>
      <c r="ISZ2" s="494"/>
      <c r="ITA2" s="494"/>
      <c r="ITB2" s="494"/>
      <c r="ITC2" s="494"/>
      <c r="ITD2" s="494"/>
      <c r="ITE2" s="494"/>
      <c r="ITF2" s="494"/>
      <c r="ITG2" s="494"/>
      <c r="ITH2" s="494"/>
      <c r="ITI2" s="494"/>
      <c r="ITJ2" s="494"/>
      <c r="ITK2" s="494"/>
      <c r="ITL2" s="494"/>
      <c r="ITM2" s="494"/>
      <c r="ITN2" s="494"/>
      <c r="ITO2" s="494"/>
      <c r="ITP2" s="494"/>
      <c r="ITQ2" s="494"/>
      <c r="ITR2" s="494"/>
      <c r="ITS2" s="494"/>
      <c r="ITT2" s="494"/>
      <c r="ITU2" s="494"/>
      <c r="ITV2" s="494"/>
      <c r="ITW2" s="494"/>
      <c r="ITX2" s="494"/>
      <c r="ITY2" s="494"/>
      <c r="ITZ2" s="494"/>
      <c r="IUA2" s="494"/>
      <c r="IUB2" s="494"/>
      <c r="IUC2" s="494"/>
      <c r="IUD2" s="494"/>
      <c r="IUE2" s="494"/>
      <c r="IUF2" s="494"/>
      <c r="IUG2" s="494"/>
      <c r="IUH2" s="494"/>
      <c r="IUI2" s="494"/>
      <c r="IUJ2" s="494"/>
      <c r="IUK2" s="494"/>
      <c r="IUL2" s="494"/>
      <c r="IUM2" s="494"/>
      <c r="IUN2" s="494"/>
      <c r="IUO2" s="494"/>
      <c r="IUP2" s="494"/>
      <c r="IUQ2" s="494"/>
      <c r="IUR2" s="494"/>
      <c r="IUS2" s="494"/>
      <c r="IUT2" s="494"/>
      <c r="IUU2" s="494"/>
      <c r="IUV2" s="494"/>
      <c r="IUW2" s="494"/>
      <c r="IUX2" s="494"/>
      <c r="IUY2" s="494"/>
      <c r="IUZ2" s="494"/>
      <c r="IVA2" s="494"/>
      <c r="IVB2" s="494"/>
      <c r="IVC2" s="494"/>
      <c r="IVD2" s="494"/>
      <c r="IVE2" s="494"/>
      <c r="IVF2" s="494"/>
      <c r="IVG2" s="494"/>
      <c r="IVH2" s="494"/>
      <c r="IVI2" s="494"/>
      <c r="IVJ2" s="494"/>
      <c r="IVK2" s="494"/>
      <c r="IVL2" s="494"/>
      <c r="IVM2" s="494"/>
      <c r="IVN2" s="494"/>
      <c r="IVO2" s="494"/>
      <c r="IVP2" s="494"/>
      <c r="IVQ2" s="494"/>
      <c r="IVR2" s="494"/>
      <c r="IVS2" s="494"/>
      <c r="IVT2" s="494"/>
      <c r="IVU2" s="494"/>
      <c r="IVV2" s="494"/>
      <c r="IVW2" s="494"/>
      <c r="IVX2" s="494"/>
      <c r="IVY2" s="494"/>
      <c r="IVZ2" s="494"/>
      <c r="IWA2" s="494"/>
      <c r="IWB2" s="494"/>
      <c r="IWC2" s="494"/>
      <c r="IWD2" s="494"/>
      <c r="IWE2" s="494"/>
      <c r="IWF2" s="494"/>
      <c r="IWG2" s="494"/>
      <c r="IWH2" s="494"/>
      <c r="IWI2" s="494"/>
      <c r="IWJ2" s="494"/>
      <c r="IWK2" s="494"/>
      <c r="IWL2" s="494"/>
      <c r="IWM2" s="494"/>
      <c r="IWN2" s="494"/>
      <c r="IWO2" s="494"/>
      <c r="IWP2" s="494"/>
      <c r="IWQ2" s="494"/>
      <c r="IWR2" s="494"/>
      <c r="IWS2" s="494"/>
      <c r="IWT2" s="494"/>
      <c r="IWU2" s="494"/>
      <c r="IWV2" s="494"/>
      <c r="IWW2" s="494"/>
      <c r="IWX2" s="494"/>
      <c r="IWY2" s="494"/>
      <c r="IWZ2" s="494"/>
      <c r="IXA2" s="494"/>
      <c r="IXB2" s="494"/>
      <c r="IXC2" s="494"/>
      <c r="IXD2" s="494"/>
      <c r="IXE2" s="494"/>
      <c r="IXF2" s="494"/>
      <c r="IXG2" s="494"/>
      <c r="IXH2" s="494"/>
      <c r="IXI2" s="494"/>
      <c r="IXJ2" s="494"/>
      <c r="IXK2" s="494"/>
      <c r="IXL2" s="494"/>
      <c r="IXM2" s="494"/>
      <c r="IXN2" s="494"/>
      <c r="IXO2" s="494"/>
      <c r="IXP2" s="494"/>
      <c r="IXQ2" s="494"/>
      <c r="IXR2" s="494"/>
      <c r="IXS2" s="494"/>
      <c r="IXT2" s="494"/>
      <c r="IXU2" s="494"/>
      <c r="IXV2" s="494"/>
      <c r="IXW2" s="494"/>
      <c r="IXX2" s="494"/>
      <c r="IXY2" s="494"/>
      <c r="IXZ2" s="494"/>
      <c r="IYA2" s="494"/>
      <c r="IYB2" s="494"/>
      <c r="IYC2" s="494"/>
      <c r="IYD2" s="494"/>
      <c r="IYE2" s="494"/>
      <c r="IYF2" s="494"/>
      <c r="IYG2" s="494"/>
      <c r="IYH2" s="494"/>
      <c r="IYI2" s="494"/>
      <c r="IYJ2" s="494"/>
      <c r="IYK2" s="494"/>
      <c r="IYL2" s="494"/>
      <c r="IYM2" s="494"/>
      <c r="IYN2" s="494"/>
      <c r="IYO2" s="494"/>
      <c r="IYP2" s="494"/>
      <c r="IYQ2" s="494"/>
      <c r="IYR2" s="494"/>
      <c r="IYS2" s="494"/>
      <c r="IYT2" s="494"/>
      <c r="IYU2" s="494"/>
      <c r="IYV2" s="494"/>
      <c r="IYW2" s="494"/>
      <c r="IYX2" s="494"/>
      <c r="IYY2" s="494"/>
      <c r="IYZ2" s="494"/>
      <c r="IZA2" s="494"/>
      <c r="IZB2" s="494"/>
      <c r="IZC2" s="494"/>
      <c r="IZD2" s="494"/>
      <c r="IZE2" s="494"/>
      <c r="IZF2" s="494"/>
      <c r="IZG2" s="494"/>
      <c r="IZH2" s="494"/>
      <c r="IZI2" s="494"/>
      <c r="IZJ2" s="494"/>
      <c r="IZK2" s="494"/>
      <c r="IZL2" s="494"/>
      <c r="IZM2" s="494"/>
      <c r="IZN2" s="494"/>
      <c r="IZO2" s="494"/>
      <c r="IZP2" s="494"/>
      <c r="IZQ2" s="494"/>
      <c r="IZR2" s="494"/>
      <c r="IZS2" s="494"/>
      <c r="IZT2" s="494"/>
      <c r="IZU2" s="494"/>
      <c r="IZV2" s="494"/>
      <c r="IZW2" s="494"/>
      <c r="IZX2" s="494"/>
      <c r="IZY2" s="494"/>
      <c r="IZZ2" s="494"/>
      <c r="JAA2" s="494"/>
      <c r="JAB2" s="494"/>
      <c r="JAC2" s="494"/>
      <c r="JAD2" s="494"/>
      <c r="JAE2" s="494"/>
      <c r="JAF2" s="494"/>
      <c r="JAG2" s="494"/>
      <c r="JAH2" s="494"/>
      <c r="JAI2" s="494"/>
      <c r="JAJ2" s="494"/>
      <c r="JAK2" s="494"/>
      <c r="JAL2" s="494"/>
      <c r="JAM2" s="494"/>
      <c r="JAN2" s="494"/>
      <c r="JAO2" s="494"/>
      <c r="JAP2" s="494"/>
      <c r="JAQ2" s="494"/>
      <c r="JAR2" s="494"/>
      <c r="JAS2" s="494"/>
      <c r="JAT2" s="494"/>
      <c r="JAU2" s="494"/>
      <c r="JAV2" s="494"/>
      <c r="JAW2" s="494"/>
      <c r="JAX2" s="494"/>
      <c r="JAY2" s="494"/>
      <c r="JAZ2" s="494"/>
      <c r="JBA2" s="494"/>
      <c r="JBB2" s="494"/>
      <c r="JBC2" s="494"/>
      <c r="JBD2" s="494"/>
      <c r="JBE2" s="494"/>
      <c r="JBF2" s="494"/>
      <c r="JBG2" s="494"/>
      <c r="JBH2" s="494"/>
      <c r="JBI2" s="494"/>
      <c r="JBJ2" s="494"/>
      <c r="JBK2" s="494"/>
      <c r="JBL2" s="494"/>
      <c r="JBM2" s="494"/>
      <c r="JBN2" s="494"/>
      <c r="JBO2" s="494"/>
      <c r="JBP2" s="494"/>
      <c r="JBQ2" s="494"/>
      <c r="JBR2" s="494"/>
      <c r="JBS2" s="494"/>
      <c r="JBT2" s="494"/>
      <c r="JBU2" s="494"/>
      <c r="JBV2" s="494"/>
      <c r="JBW2" s="494"/>
      <c r="JBX2" s="494"/>
      <c r="JBY2" s="494"/>
      <c r="JBZ2" s="494"/>
      <c r="JCA2" s="494"/>
      <c r="JCB2" s="494"/>
      <c r="JCC2" s="494"/>
      <c r="JCD2" s="494"/>
      <c r="JCE2" s="494"/>
      <c r="JCF2" s="494"/>
      <c r="JCG2" s="494"/>
      <c r="JCH2" s="494"/>
      <c r="JCI2" s="494"/>
      <c r="JCJ2" s="494"/>
      <c r="JCK2" s="494"/>
      <c r="JCL2" s="494"/>
      <c r="JCM2" s="494"/>
      <c r="JCN2" s="494"/>
      <c r="JCO2" s="494"/>
      <c r="JCP2" s="494"/>
      <c r="JCQ2" s="494"/>
      <c r="JCR2" s="494"/>
      <c r="JCS2" s="494"/>
      <c r="JCT2" s="494"/>
      <c r="JCU2" s="494"/>
      <c r="JCV2" s="494"/>
      <c r="JCW2" s="494"/>
      <c r="JCX2" s="494"/>
      <c r="JCY2" s="494"/>
      <c r="JCZ2" s="494"/>
      <c r="JDA2" s="494"/>
      <c r="JDB2" s="494"/>
      <c r="JDC2" s="494"/>
      <c r="JDD2" s="494"/>
      <c r="JDE2" s="494"/>
      <c r="JDF2" s="494"/>
      <c r="JDG2" s="494"/>
      <c r="JDH2" s="494"/>
      <c r="JDI2" s="494"/>
      <c r="JDJ2" s="494"/>
      <c r="JDK2" s="494"/>
      <c r="JDL2" s="494"/>
      <c r="JDM2" s="494"/>
      <c r="JDN2" s="494"/>
      <c r="JDO2" s="494"/>
      <c r="JDP2" s="494"/>
      <c r="JDQ2" s="494"/>
      <c r="JDR2" s="494"/>
      <c r="JDS2" s="494"/>
      <c r="JDT2" s="494"/>
      <c r="JDU2" s="494"/>
      <c r="JDV2" s="494"/>
      <c r="JDW2" s="494"/>
      <c r="JDX2" s="494"/>
      <c r="JDY2" s="494"/>
      <c r="JDZ2" s="494"/>
      <c r="JEA2" s="494"/>
      <c r="JEB2" s="494"/>
      <c r="JEC2" s="494"/>
      <c r="JED2" s="494"/>
      <c r="JEE2" s="494"/>
      <c r="JEF2" s="494"/>
      <c r="JEG2" s="494"/>
      <c r="JEH2" s="494"/>
      <c r="JEI2" s="494"/>
      <c r="JEJ2" s="494"/>
      <c r="JEK2" s="494"/>
      <c r="JEL2" s="494"/>
      <c r="JEM2" s="494"/>
      <c r="JEN2" s="494"/>
      <c r="JEO2" s="494"/>
      <c r="JEP2" s="494"/>
      <c r="JEQ2" s="494"/>
      <c r="JER2" s="494"/>
      <c r="JES2" s="494"/>
      <c r="JET2" s="494"/>
      <c r="JEU2" s="494"/>
      <c r="JEV2" s="494"/>
      <c r="JEW2" s="494"/>
      <c r="JEX2" s="494"/>
      <c r="JEY2" s="494"/>
      <c r="JEZ2" s="494"/>
      <c r="JFA2" s="494"/>
      <c r="JFB2" s="494"/>
      <c r="JFC2" s="494"/>
      <c r="JFD2" s="494"/>
      <c r="JFE2" s="494"/>
      <c r="JFF2" s="494"/>
      <c r="JFG2" s="494"/>
      <c r="JFH2" s="494"/>
      <c r="JFI2" s="494"/>
      <c r="JFJ2" s="494"/>
      <c r="JFK2" s="494"/>
      <c r="JFL2" s="494"/>
      <c r="JFM2" s="494"/>
      <c r="JFN2" s="494"/>
      <c r="JFO2" s="494"/>
      <c r="JFP2" s="494"/>
      <c r="JFQ2" s="494"/>
      <c r="JFR2" s="494"/>
      <c r="JFS2" s="494"/>
      <c r="JFT2" s="494"/>
      <c r="JFU2" s="494"/>
      <c r="JFV2" s="494"/>
      <c r="JFW2" s="494"/>
      <c r="JFX2" s="494"/>
      <c r="JFY2" s="494"/>
      <c r="JFZ2" s="494"/>
      <c r="JGA2" s="494"/>
      <c r="JGB2" s="494"/>
      <c r="JGC2" s="494"/>
      <c r="JGD2" s="494"/>
      <c r="JGE2" s="494"/>
      <c r="JGF2" s="494"/>
      <c r="JGG2" s="494"/>
      <c r="JGH2" s="494"/>
      <c r="JGI2" s="494"/>
      <c r="JGJ2" s="494"/>
      <c r="JGK2" s="494"/>
      <c r="JGL2" s="494"/>
      <c r="JGM2" s="494"/>
      <c r="JGN2" s="494"/>
      <c r="JGO2" s="494"/>
      <c r="JGP2" s="494"/>
      <c r="JGQ2" s="494"/>
      <c r="JGR2" s="494"/>
      <c r="JGS2" s="494"/>
      <c r="JGT2" s="494"/>
      <c r="JGU2" s="494"/>
      <c r="JGV2" s="494"/>
      <c r="JGW2" s="494"/>
      <c r="JGX2" s="494"/>
      <c r="JGY2" s="494"/>
      <c r="JGZ2" s="494"/>
      <c r="JHA2" s="494"/>
      <c r="JHB2" s="494"/>
      <c r="JHC2" s="494"/>
      <c r="JHD2" s="494"/>
      <c r="JHE2" s="494"/>
      <c r="JHF2" s="494"/>
      <c r="JHG2" s="494"/>
      <c r="JHH2" s="494"/>
      <c r="JHI2" s="494"/>
      <c r="JHJ2" s="494"/>
      <c r="JHK2" s="494"/>
      <c r="JHL2" s="494"/>
      <c r="JHM2" s="494"/>
      <c r="JHN2" s="494"/>
      <c r="JHO2" s="494"/>
      <c r="JHP2" s="494"/>
      <c r="JHQ2" s="494"/>
      <c r="JHR2" s="494"/>
      <c r="JHS2" s="494"/>
      <c r="JHT2" s="494"/>
      <c r="JHU2" s="494"/>
      <c r="JHV2" s="494"/>
      <c r="JHW2" s="494"/>
      <c r="JHX2" s="494"/>
      <c r="JHY2" s="494"/>
      <c r="JHZ2" s="494"/>
      <c r="JIA2" s="494"/>
      <c r="JIB2" s="494"/>
      <c r="JIC2" s="494"/>
      <c r="JID2" s="494"/>
      <c r="JIE2" s="494"/>
      <c r="JIF2" s="494"/>
      <c r="JIG2" s="494"/>
      <c r="JIH2" s="494"/>
      <c r="JII2" s="494"/>
      <c r="JIJ2" s="494"/>
      <c r="JIK2" s="494"/>
      <c r="JIL2" s="494"/>
      <c r="JIM2" s="494"/>
      <c r="JIN2" s="494"/>
      <c r="JIO2" s="494"/>
      <c r="JIP2" s="494"/>
      <c r="JIQ2" s="494"/>
      <c r="JIR2" s="494"/>
      <c r="JIS2" s="494"/>
      <c r="JIT2" s="494"/>
      <c r="JIU2" s="494"/>
      <c r="JIV2" s="494"/>
      <c r="JIW2" s="494"/>
      <c r="JIX2" s="494"/>
      <c r="JIY2" s="494"/>
      <c r="JIZ2" s="494"/>
      <c r="JJA2" s="494"/>
      <c r="JJB2" s="494"/>
      <c r="JJC2" s="494"/>
      <c r="JJD2" s="494"/>
      <c r="JJE2" s="494"/>
      <c r="JJF2" s="494"/>
      <c r="JJG2" s="494"/>
      <c r="JJH2" s="494"/>
      <c r="JJI2" s="494"/>
      <c r="JJJ2" s="494"/>
      <c r="JJK2" s="494"/>
      <c r="JJL2" s="494"/>
      <c r="JJM2" s="494"/>
      <c r="JJN2" s="494"/>
      <c r="JJO2" s="494"/>
      <c r="JJP2" s="494"/>
      <c r="JJQ2" s="494"/>
      <c r="JJR2" s="494"/>
      <c r="JJS2" s="494"/>
      <c r="JJT2" s="494"/>
      <c r="JJU2" s="494"/>
      <c r="JJV2" s="494"/>
      <c r="JJW2" s="494"/>
      <c r="JJX2" s="494"/>
      <c r="JJY2" s="494"/>
      <c r="JJZ2" s="494"/>
      <c r="JKA2" s="494"/>
      <c r="JKB2" s="494"/>
      <c r="JKC2" s="494"/>
      <c r="JKD2" s="494"/>
      <c r="JKE2" s="494"/>
      <c r="JKF2" s="494"/>
      <c r="JKG2" s="494"/>
      <c r="JKH2" s="494"/>
      <c r="JKI2" s="494"/>
      <c r="JKJ2" s="494"/>
      <c r="JKK2" s="494"/>
      <c r="JKL2" s="494"/>
      <c r="JKM2" s="494"/>
      <c r="JKN2" s="494"/>
      <c r="JKO2" s="494"/>
      <c r="JKP2" s="494"/>
      <c r="JKQ2" s="494"/>
      <c r="JKR2" s="494"/>
      <c r="JKS2" s="494"/>
      <c r="JKT2" s="494"/>
      <c r="JKU2" s="494"/>
      <c r="JKV2" s="494"/>
      <c r="JKW2" s="494"/>
      <c r="JKX2" s="494"/>
      <c r="JKY2" s="494"/>
      <c r="JKZ2" s="494"/>
      <c r="JLA2" s="494"/>
      <c r="JLB2" s="494"/>
      <c r="JLC2" s="494"/>
      <c r="JLD2" s="494"/>
      <c r="JLE2" s="494"/>
      <c r="JLF2" s="494"/>
      <c r="JLG2" s="494"/>
      <c r="JLH2" s="494"/>
      <c r="JLI2" s="494"/>
      <c r="JLJ2" s="494"/>
      <c r="JLK2" s="494"/>
      <c r="JLL2" s="494"/>
      <c r="JLM2" s="494"/>
      <c r="JLN2" s="494"/>
      <c r="JLO2" s="494"/>
      <c r="JLP2" s="494"/>
      <c r="JLQ2" s="494"/>
      <c r="JLR2" s="494"/>
      <c r="JLS2" s="494"/>
      <c r="JLT2" s="494"/>
      <c r="JLU2" s="494"/>
      <c r="JLV2" s="494"/>
      <c r="JLW2" s="494"/>
      <c r="JLX2" s="494"/>
      <c r="JLY2" s="494"/>
      <c r="JLZ2" s="494"/>
      <c r="JMA2" s="494"/>
      <c r="JMB2" s="494"/>
      <c r="JMC2" s="494"/>
      <c r="JMD2" s="494"/>
      <c r="JME2" s="494"/>
      <c r="JMF2" s="494"/>
      <c r="JMG2" s="494"/>
      <c r="JMH2" s="494"/>
      <c r="JMI2" s="494"/>
      <c r="JMJ2" s="494"/>
      <c r="JMK2" s="494"/>
      <c r="JML2" s="494"/>
      <c r="JMM2" s="494"/>
      <c r="JMN2" s="494"/>
      <c r="JMO2" s="494"/>
      <c r="JMP2" s="494"/>
      <c r="JMQ2" s="494"/>
      <c r="JMR2" s="494"/>
      <c r="JMS2" s="494"/>
      <c r="JMT2" s="494"/>
      <c r="JMU2" s="494"/>
      <c r="JMV2" s="494"/>
      <c r="JMW2" s="494"/>
      <c r="JMX2" s="494"/>
      <c r="JMY2" s="494"/>
      <c r="JMZ2" s="494"/>
      <c r="JNA2" s="494"/>
      <c r="JNB2" s="494"/>
      <c r="JNC2" s="494"/>
      <c r="JND2" s="494"/>
      <c r="JNE2" s="494"/>
      <c r="JNF2" s="494"/>
      <c r="JNG2" s="494"/>
      <c r="JNH2" s="494"/>
      <c r="JNI2" s="494"/>
      <c r="JNJ2" s="494"/>
      <c r="JNK2" s="494"/>
      <c r="JNL2" s="494"/>
      <c r="JNM2" s="494"/>
      <c r="JNN2" s="494"/>
      <c r="JNO2" s="494"/>
      <c r="JNP2" s="494"/>
      <c r="JNQ2" s="494"/>
      <c r="JNR2" s="494"/>
      <c r="JNS2" s="494"/>
      <c r="JNT2" s="494"/>
      <c r="JNU2" s="494"/>
      <c r="JNV2" s="494"/>
      <c r="JNW2" s="494"/>
      <c r="JNX2" s="494"/>
      <c r="JNY2" s="494"/>
      <c r="JNZ2" s="494"/>
      <c r="JOA2" s="494"/>
      <c r="JOB2" s="494"/>
      <c r="JOC2" s="494"/>
      <c r="JOD2" s="494"/>
      <c r="JOE2" s="494"/>
      <c r="JOF2" s="494"/>
      <c r="JOG2" s="494"/>
      <c r="JOH2" s="494"/>
      <c r="JOI2" s="494"/>
      <c r="JOJ2" s="494"/>
      <c r="JOK2" s="494"/>
      <c r="JOL2" s="494"/>
      <c r="JOM2" s="494"/>
      <c r="JON2" s="494"/>
      <c r="JOO2" s="494"/>
      <c r="JOP2" s="494"/>
      <c r="JOQ2" s="494"/>
      <c r="JOR2" s="494"/>
      <c r="JOS2" s="494"/>
      <c r="JOT2" s="494"/>
      <c r="JOU2" s="494"/>
      <c r="JOV2" s="494"/>
      <c r="JOW2" s="494"/>
      <c r="JOX2" s="494"/>
      <c r="JOY2" s="494"/>
      <c r="JOZ2" s="494"/>
      <c r="JPA2" s="494"/>
      <c r="JPB2" s="494"/>
      <c r="JPC2" s="494"/>
      <c r="JPD2" s="494"/>
      <c r="JPE2" s="494"/>
      <c r="JPF2" s="494"/>
      <c r="JPG2" s="494"/>
      <c r="JPH2" s="494"/>
      <c r="JPI2" s="494"/>
      <c r="JPJ2" s="494"/>
      <c r="JPK2" s="494"/>
      <c r="JPL2" s="494"/>
      <c r="JPM2" s="494"/>
      <c r="JPN2" s="494"/>
      <c r="JPO2" s="494"/>
      <c r="JPP2" s="494"/>
      <c r="JPQ2" s="494"/>
      <c r="JPR2" s="494"/>
      <c r="JPS2" s="494"/>
      <c r="JPT2" s="494"/>
      <c r="JPU2" s="494"/>
      <c r="JPV2" s="494"/>
      <c r="JPW2" s="494"/>
      <c r="JPX2" s="494"/>
      <c r="JPY2" s="494"/>
      <c r="JPZ2" s="494"/>
      <c r="JQA2" s="494"/>
      <c r="JQB2" s="494"/>
      <c r="JQC2" s="494"/>
      <c r="JQD2" s="494"/>
      <c r="JQE2" s="494"/>
      <c r="JQF2" s="494"/>
      <c r="JQG2" s="494"/>
      <c r="JQH2" s="494"/>
      <c r="JQI2" s="494"/>
      <c r="JQJ2" s="494"/>
      <c r="JQK2" s="494"/>
      <c r="JQL2" s="494"/>
      <c r="JQM2" s="494"/>
      <c r="JQN2" s="494"/>
      <c r="JQO2" s="494"/>
      <c r="JQP2" s="494"/>
      <c r="JQQ2" s="494"/>
      <c r="JQR2" s="494"/>
      <c r="JQS2" s="494"/>
      <c r="JQT2" s="494"/>
      <c r="JQU2" s="494"/>
      <c r="JQV2" s="494"/>
      <c r="JQW2" s="494"/>
      <c r="JQX2" s="494"/>
      <c r="JQY2" s="494"/>
      <c r="JQZ2" s="494"/>
      <c r="JRA2" s="494"/>
      <c r="JRB2" s="494"/>
      <c r="JRC2" s="494"/>
      <c r="JRD2" s="494"/>
      <c r="JRE2" s="494"/>
      <c r="JRF2" s="494"/>
      <c r="JRG2" s="494"/>
      <c r="JRH2" s="494"/>
      <c r="JRI2" s="494"/>
      <c r="JRJ2" s="494"/>
      <c r="JRK2" s="494"/>
      <c r="JRL2" s="494"/>
      <c r="JRM2" s="494"/>
      <c r="JRN2" s="494"/>
      <c r="JRO2" s="494"/>
      <c r="JRP2" s="494"/>
      <c r="JRQ2" s="494"/>
      <c r="JRR2" s="494"/>
      <c r="JRS2" s="494"/>
      <c r="JRT2" s="494"/>
      <c r="JRU2" s="494"/>
      <c r="JRV2" s="494"/>
      <c r="JRW2" s="494"/>
      <c r="JRX2" s="494"/>
      <c r="JRY2" s="494"/>
      <c r="JRZ2" s="494"/>
      <c r="JSA2" s="494"/>
      <c r="JSB2" s="494"/>
      <c r="JSC2" s="494"/>
      <c r="JSD2" s="494"/>
      <c r="JSE2" s="494"/>
      <c r="JSF2" s="494"/>
      <c r="JSG2" s="494"/>
      <c r="JSH2" s="494"/>
      <c r="JSI2" s="494"/>
      <c r="JSJ2" s="494"/>
      <c r="JSK2" s="494"/>
      <c r="JSL2" s="494"/>
      <c r="JSM2" s="494"/>
      <c r="JSN2" s="494"/>
      <c r="JSO2" s="494"/>
      <c r="JSP2" s="494"/>
      <c r="JSQ2" s="494"/>
      <c r="JSR2" s="494"/>
      <c r="JSS2" s="494"/>
      <c r="JST2" s="494"/>
      <c r="JSU2" s="494"/>
      <c r="JSV2" s="494"/>
      <c r="JSW2" s="494"/>
      <c r="JSX2" s="494"/>
      <c r="JSY2" s="494"/>
      <c r="JSZ2" s="494"/>
      <c r="JTA2" s="494"/>
      <c r="JTB2" s="494"/>
      <c r="JTC2" s="494"/>
      <c r="JTD2" s="494"/>
      <c r="JTE2" s="494"/>
      <c r="JTF2" s="494"/>
      <c r="JTG2" s="494"/>
      <c r="JTH2" s="494"/>
      <c r="JTI2" s="494"/>
      <c r="JTJ2" s="494"/>
      <c r="JTK2" s="494"/>
      <c r="JTL2" s="494"/>
      <c r="JTM2" s="494"/>
      <c r="JTN2" s="494"/>
      <c r="JTO2" s="494"/>
      <c r="JTP2" s="494"/>
      <c r="JTQ2" s="494"/>
      <c r="JTR2" s="494"/>
      <c r="JTS2" s="494"/>
      <c r="JTT2" s="494"/>
      <c r="JTU2" s="494"/>
      <c r="JTV2" s="494"/>
      <c r="JTW2" s="494"/>
      <c r="JTX2" s="494"/>
      <c r="JTY2" s="494"/>
      <c r="JTZ2" s="494"/>
      <c r="JUA2" s="494"/>
      <c r="JUB2" s="494"/>
      <c r="JUC2" s="494"/>
      <c r="JUD2" s="494"/>
      <c r="JUE2" s="494"/>
      <c r="JUF2" s="494"/>
      <c r="JUG2" s="494"/>
      <c r="JUH2" s="494"/>
      <c r="JUI2" s="494"/>
      <c r="JUJ2" s="494"/>
      <c r="JUK2" s="494"/>
      <c r="JUL2" s="494"/>
      <c r="JUM2" s="494"/>
      <c r="JUN2" s="494"/>
      <c r="JUO2" s="494"/>
      <c r="JUP2" s="494"/>
      <c r="JUQ2" s="494"/>
      <c r="JUR2" s="494"/>
      <c r="JUS2" s="494"/>
      <c r="JUT2" s="494"/>
      <c r="JUU2" s="494"/>
      <c r="JUV2" s="494"/>
      <c r="JUW2" s="494"/>
      <c r="JUX2" s="494"/>
      <c r="JUY2" s="494"/>
      <c r="JUZ2" s="494"/>
      <c r="JVA2" s="494"/>
      <c r="JVB2" s="494"/>
      <c r="JVC2" s="494"/>
      <c r="JVD2" s="494"/>
      <c r="JVE2" s="494"/>
      <c r="JVF2" s="494"/>
      <c r="JVG2" s="494"/>
      <c r="JVH2" s="494"/>
      <c r="JVI2" s="494"/>
      <c r="JVJ2" s="494"/>
      <c r="JVK2" s="494"/>
      <c r="JVL2" s="494"/>
      <c r="JVM2" s="494"/>
      <c r="JVN2" s="494"/>
      <c r="JVO2" s="494"/>
      <c r="JVP2" s="494"/>
      <c r="JVQ2" s="494"/>
      <c r="JVR2" s="494"/>
      <c r="JVS2" s="494"/>
      <c r="JVT2" s="494"/>
      <c r="JVU2" s="494"/>
      <c r="JVV2" s="494"/>
      <c r="JVW2" s="494"/>
      <c r="JVX2" s="494"/>
      <c r="JVY2" s="494"/>
      <c r="JVZ2" s="494"/>
      <c r="JWA2" s="494"/>
      <c r="JWB2" s="494"/>
      <c r="JWC2" s="494"/>
      <c r="JWD2" s="494"/>
      <c r="JWE2" s="494"/>
      <c r="JWF2" s="494"/>
      <c r="JWG2" s="494"/>
      <c r="JWH2" s="494"/>
      <c r="JWI2" s="494"/>
      <c r="JWJ2" s="494"/>
      <c r="JWK2" s="494"/>
      <c r="JWL2" s="494"/>
      <c r="JWM2" s="494"/>
      <c r="JWN2" s="494"/>
      <c r="JWO2" s="494"/>
      <c r="JWP2" s="494"/>
      <c r="JWQ2" s="494"/>
      <c r="JWR2" s="494"/>
      <c r="JWS2" s="494"/>
      <c r="JWT2" s="494"/>
      <c r="JWU2" s="494"/>
      <c r="JWV2" s="494"/>
      <c r="JWW2" s="494"/>
      <c r="JWX2" s="494"/>
      <c r="JWY2" s="494"/>
      <c r="JWZ2" s="494"/>
      <c r="JXA2" s="494"/>
      <c r="JXB2" s="494"/>
      <c r="JXC2" s="494"/>
      <c r="JXD2" s="494"/>
      <c r="JXE2" s="494"/>
      <c r="JXF2" s="494"/>
      <c r="JXG2" s="494"/>
      <c r="JXH2" s="494"/>
      <c r="JXI2" s="494"/>
      <c r="JXJ2" s="494"/>
      <c r="JXK2" s="494"/>
      <c r="JXL2" s="494"/>
      <c r="JXM2" s="494"/>
      <c r="JXN2" s="494"/>
      <c r="JXO2" s="494"/>
      <c r="JXP2" s="494"/>
      <c r="JXQ2" s="494"/>
      <c r="JXR2" s="494"/>
      <c r="JXS2" s="494"/>
      <c r="JXT2" s="494"/>
      <c r="JXU2" s="494"/>
      <c r="JXV2" s="494"/>
      <c r="JXW2" s="494"/>
      <c r="JXX2" s="494"/>
      <c r="JXY2" s="494"/>
      <c r="JXZ2" s="494"/>
      <c r="JYA2" s="494"/>
      <c r="JYB2" s="494"/>
      <c r="JYC2" s="494"/>
      <c r="JYD2" s="494"/>
      <c r="JYE2" s="494"/>
      <c r="JYF2" s="494"/>
      <c r="JYG2" s="494"/>
      <c r="JYH2" s="494"/>
      <c r="JYI2" s="494"/>
      <c r="JYJ2" s="494"/>
      <c r="JYK2" s="494"/>
      <c r="JYL2" s="494"/>
      <c r="JYM2" s="494"/>
      <c r="JYN2" s="494"/>
      <c r="JYO2" s="494"/>
      <c r="JYP2" s="494"/>
      <c r="JYQ2" s="494"/>
      <c r="JYR2" s="494"/>
      <c r="JYS2" s="494"/>
      <c r="JYT2" s="494"/>
      <c r="JYU2" s="494"/>
      <c r="JYV2" s="494"/>
      <c r="JYW2" s="494"/>
      <c r="JYX2" s="494"/>
      <c r="JYY2" s="494"/>
      <c r="JYZ2" s="494"/>
      <c r="JZA2" s="494"/>
      <c r="JZB2" s="494"/>
      <c r="JZC2" s="494"/>
      <c r="JZD2" s="494"/>
      <c r="JZE2" s="494"/>
      <c r="JZF2" s="494"/>
      <c r="JZG2" s="494"/>
      <c r="JZH2" s="494"/>
      <c r="JZI2" s="494"/>
      <c r="JZJ2" s="494"/>
      <c r="JZK2" s="494"/>
      <c r="JZL2" s="494"/>
      <c r="JZM2" s="494"/>
      <c r="JZN2" s="494"/>
      <c r="JZO2" s="494"/>
      <c r="JZP2" s="494"/>
      <c r="JZQ2" s="494"/>
      <c r="JZR2" s="494"/>
      <c r="JZS2" s="494"/>
      <c r="JZT2" s="494"/>
      <c r="JZU2" s="494"/>
      <c r="JZV2" s="494"/>
      <c r="JZW2" s="494"/>
      <c r="JZX2" s="494"/>
      <c r="JZY2" s="494"/>
      <c r="JZZ2" s="494"/>
      <c r="KAA2" s="494"/>
      <c r="KAB2" s="494"/>
      <c r="KAC2" s="494"/>
      <c r="KAD2" s="494"/>
      <c r="KAE2" s="494"/>
      <c r="KAF2" s="494"/>
      <c r="KAG2" s="494"/>
      <c r="KAH2" s="494"/>
      <c r="KAI2" s="494"/>
      <c r="KAJ2" s="494"/>
      <c r="KAK2" s="494"/>
      <c r="KAL2" s="494"/>
      <c r="KAM2" s="494"/>
      <c r="KAN2" s="494"/>
      <c r="KAO2" s="494"/>
      <c r="KAP2" s="494"/>
      <c r="KAQ2" s="494"/>
      <c r="KAR2" s="494"/>
      <c r="KAS2" s="494"/>
      <c r="KAT2" s="494"/>
      <c r="KAU2" s="494"/>
      <c r="KAV2" s="494"/>
      <c r="KAW2" s="494"/>
      <c r="KAX2" s="494"/>
      <c r="KAY2" s="494"/>
      <c r="KAZ2" s="494"/>
      <c r="KBA2" s="494"/>
      <c r="KBB2" s="494"/>
      <c r="KBC2" s="494"/>
      <c r="KBD2" s="494"/>
      <c r="KBE2" s="494"/>
      <c r="KBF2" s="494"/>
      <c r="KBG2" s="494"/>
      <c r="KBH2" s="494"/>
      <c r="KBI2" s="494"/>
      <c r="KBJ2" s="494"/>
      <c r="KBK2" s="494"/>
      <c r="KBL2" s="494"/>
      <c r="KBM2" s="494"/>
      <c r="KBN2" s="494"/>
      <c r="KBO2" s="494"/>
      <c r="KBP2" s="494"/>
      <c r="KBQ2" s="494"/>
      <c r="KBR2" s="494"/>
      <c r="KBS2" s="494"/>
      <c r="KBT2" s="494"/>
      <c r="KBU2" s="494"/>
      <c r="KBV2" s="494"/>
      <c r="KBW2" s="494"/>
      <c r="KBX2" s="494"/>
      <c r="KBY2" s="494"/>
      <c r="KBZ2" s="494"/>
      <c r="KCA2" s="494"/>
      <c r="KCB2" s="494"/>
      <c r="KCC2" s="494"/>
      <c r="KCD2" s="494"/>
      <c r="KCE2" s="494"/>
      <c r="KCF2" s="494"/>
      <c r="KCG2" s="494"/>
      <c r="KCH2" s="494"/>
      <c r="KCI2" s="494"/>
      <c r="KCJ2" s="494"/>
      <c r="KCK2" s="494"/>
      <c r="KCL2" s="494"/>
      <c r="KCM2" s="494"/>
      <c r="KCN2" s="494"/>
      <c r="KCO2" s="494"/>
      <c r="KCP2" s="494"/>
      <c r="KCQ2" s="494"/>
      <c r="KCR2" s="494"/>
      <c r="KCS2" s="494"/>
      <c r="KCT2" s="494"/>
      <c r="KCU2" s="494"/>
      <c r="KCV2" s="494"/>
      <c r="KCW2" s="494"/>
      <c r="KCX2" s="494"/>
      <c r="KCY2" s="494"/>
      <c r="KCZ2" s="494"/>
      <c r="KDA2" s="494"/>
      <c r="KDB2" s="494"/>
      <c r="KDC2" s="494"/>
      <c r="KDD2" s="494"/>
      <c r="KDE2" s="494"/>
      <c r="KDF2" s="494"/>
      <c r="KDG2" s="494"/>
      <c r="KDH2" s="494"/>
      <c r="KDI2" s="494"/>
      <c r="KDJ2" s="494"/>
      <c r="KDK2" s="494"/>
      <c r="KDL2" s="494"/>
      <c r="KDM2" s="494"/>
      <c r="KDN2" s="494"/>
      <c r="KDO2" s="494"/>
      <c r="KDP2" s="494"/>
      <c r="KDQ2" s="494"/>
      <c r="KDR2" s="494"/>
      <c r="KDS2" s="494"/>
      <c r="KDT2" s="494"/>
      <c r="KDU2" s="494"/>
      <c r="KDV2" s="494"/>
      <c r="KDW2" s="494"/>
      <c r="KDX2" s="494"/>
      <c r="KDY2" s="494"/>
      <c r="KDZ2" s="494"/>
      <c r="KEA2" s="494"/>
      <c r="KEB2" s="494"/>
      <c r="KEC2" s="494"/>
      <c r="KED2" s="494"/>
      <c r="KEE2" s="494"/>
      <c r="KEF2" s="494"/>
      <c r="KEG2" s="494"/>
      <c r="KEH2" s="494"/>
      <c r="KEI2" s="494"/>
      <c r="KEJ2" s="494"/>
      <c r="KEK2" s="494"/>
      <c r="KEL2" s="494"/>
      <c r="KEM2" s="494"/>
      <c r="KEN2" s="494"/>
      <c r="KEO2" s="494"/>
      <c r="KEP2" s="494"/>
      <c r="KEQ2" s="494"/>
      <c r="KER2" s="494"/>
      <c r="KES2" s="494"/>
      <c r="KET2" s="494"/>
      <c r="KEU2" s="494"/>
      <c r="KEV2" s="494"/>
      <c r="KEW2" s="494"/>
      <c r="KEX2" s="494"/>
      <c r="KEY2" s="494"/>
      <c r="KEZ2" s="494"/>
      <c r="KFA2" s="494"/>
      <c r="KFB2" s="494"/>
      <c r="KFC2" s="494"/>
      <c r="KFD2" s="494"/>
      <c r="KFE2" s="494"/>
      <c r="KFF2" s="494"/>
      <c r="KFG2" s="494"/>
      <c r="KFH2" s="494"/>
      <c r="KFI2" s="494"/>
      <c r="KFJ2" s="494"/>
      <c r="KFK2" s="494"/>
      <c r="KFL2" s="494"/>
      <c r="KFM2" s="494"/>
      <c r="KFN2" s="494"/>
      <c r="KFO2" s="494"/>
      <c r="KFP2" s="494"/>
      <c r="KFQ2" s="494"/>
      <c r="KFR2" s="494"/>
      <c r="KFS2" s="494"/>
      <c r="KFT2" s="494"/>
      <c r="KFU2" s="494"/>
      <c r="KFV2" s="494"/>
      <c r="KFW2" s="494"/>
      <c r="KFX2" s="494"/>
      <c r="KFY2" s="494"/>
      <c r="KFZ2" s="494"/>
      <c r="KGA2" s="494"/>
      <c r="KGB2" s="494"/>
      <c r="KGC2" s="494"/>
      <c r="KGD2" s="494"/>
      <c r="KGE2" s="494"/>
      <c r="KGF2" s="494"/>
      <c r="KGG2" s="494"/>
      <c r="KGH2" s="494"/>
      <c r="KGI2" s="494"/>
      <c r="KGJ2" s="494"/>
      <c r="KGK2" s="494"/>
      <c r="KGL2" s="494"/>
      <c r="KGM2" s="494"/>
      <c r="KGN2" s="494"/>
      <c r="KGO2" s="494"/>
      <c r="KGP2" s="494"/>
      <c r="KGQ2" s="494"/>
      <c r="KGR2" s="494"/>
      <c r="KGS2" s="494"/>
      <c r="KGT2" s="494"/>
      <c r="KGU2" s="494"/>
      <c r="KGV2" s="494"/>
      <c r="KGW2" s="494"/>
      <c r="KGX2" s="494"/>
      <c r="KGY2" s="494"/>
      <c r="KGZ2" s="494"/>
      <c r="KHA2" s="494"/>
      <c r="KHB2" s="494"/>
      <c r="KHC2" s="494"/>
      <c r="KHD2" s="494"/>
      <c r="KHE2" s="494"/>
      <c r="KHF2" s="494"/>
      <c r="KHG2" s="494"/>
      <c r="KHH2" s="494"/>
      <c r="KHI2" s="494"/>
      <c r="KHJ2" s="494"/>
      <c r="KHK2" s="494"/>
      <c r="KHL2" s="494"/>
      <c r="KHM2" s="494"/>
      <c r="KHN2" s="494"/>
      <c r="KHO2" s="494"/>
      <c r="KHP2" s="494"/>
      <c r="KHQ2" s="494"/>
      <c r="KHR2" s="494"/>
      <c r="KHS2" s="494"/>
      <c r="KHT2" s="494"/>
      <c r="KHU2" s="494"/>
      <c r="KHV2" s="494"/>
      <c r="KHW2" s="494"/>
      <c r="KHX2" s="494"/>
      <c r="KHY2" s="494"/>
      <c r="KHZ2" s="494"/>
      <c r="KIA2" s="494"/>
      <c r="KIB2" s="494"/>
      <c r="KIC2" s="494"/>
      <c r="KID2" s="494"/>
      <c r="KIE2" s="494"/>
      <c r="KIF2" s="494"/>
      <c r="KIG2" s="494"/>
      <c r="KIH2" s="494"/>
      <c r="KII2" s="494"/>
      <c r="KIJ2" s="494"/>
      <c r="KIK2" s="494"/>
      <c r="KIL2" s="494"/>
      <c r="KIM2" s="494"/>
      <c r="KIN2" s="494"/>
      <c r="KIO2" s="494"/>
      <c r="KIP2" s="494"/>
      <c r="KIQ2" s="494"/>
      <c r="KIR2" s="494"/>
      <c r="KIS2" s="494"/>
      <c r="KIT2" s="494"/>
      <c r="KIU2" s="494"/>
      <c r="KIV2" s="494"/>
      <c r="KIW2" s="494"/>
      <c r="KIX2" s="494"/>
      <c r="KIY2" s="494"/>
      <c r="KIZ2" s="494"/>
      <c r="KJA2" s="494"/>
      <c r="KJB2" s="494"/>
      <c r="KJC2" s="494"/>
      <c r="KJD2" s="494"/>
      <c r="KJE2" s="494"/>
      <c r="KJF2" s="494"/>
      <c r="KJG2" s="494"/>
      <c r="KJH2" s="494"/>
      <c r="KJI2" s="494"/>
      <c r="KJJ2" s="494"/>
      <c r="KJK2" s="494"/>
      <c r="KJL2" s="494"/>
      <c r="KJM2" s="494"/>
      <c r="KJN2" s="494"/>
      <c r="KJO2" s="494"/>
      <c r="KJP2" s="494"/>
      <c r="KJQ2" s="494"/>
      <c r="KJR2" s="494"/>
      <c r="KJS2" s="494"/>
      <c r="KJT2" s="494"/>
      <c r="KJU2" s="494"/>
      <c r="KJV2" s="494"/>
      <c r="KJW2" s="494"/>
      <c r="KJX2" s="494"/>
      <c r="KJY2" s="494"/>
      <c r="KJZ2" s="494"/>
      <c r="KKA2" s="494"/>
      <c r="KKB2" s="494"/>
      <c r="KKC2" s="494"/>
      <c r="KKD2" s="494"/>
      <c r="KKE2" s="494"/>
      <c r="KKF2" s="494"/>
      <c r="KKG2" s="494"/>
      <c r="KKH2" s="494"/>
      <c r="KKI2" s="494"/>
      <c r="KKJ2" s="494"/>
      <c r="KKK2" s="494"/>
      <c r="KKL2" s="494"/>
      <c r="KKM2" s="494"/>
      <c r="KKN2" s="494"/>
      <c r="KKO2" s="494"/>
      <c r="KKP2" s="494"/>
      <c r="KKQ2" s="494"/>
      <c r="KKR2" s="494"/>
      <c r="KKS2" s="494"/>
      <c r="KKT2" s="494"/>
      <c r="KKU2" s="494"/>
      <c r="KKV2" s="494"/>
      <c r="KKW2" s="494"/>
      <c r="KKX2" s="494"/>
      <c r="KKY2" s="494"/>
      <c r="KKZ2" s="494"/>
      <c r="KLA2" s="494"/>
      <c r="KLB2" s="494"/>
      <c r="KLC2" s="494"/>
      <c r="KLD2" s="494"/>
      <c r="KLE2" s="494"/>
      <c r="KLF2" s="494"/>
      <c r="KLG2" s="494"/>
      <c r="KLH2" s="494"/>
      <c r="KLI2" s="494"/>
      <c r="KLJ2" s="494"/>
      <c r="KLK2" s="494"/>
      <c r="KLL2" s="494"/>
      <c r="KLM2" s="494"/>
      <c r="KLN2" s="494"/>
      <c r="KLO2" s="494"/>
      <c r="KLP2" s="494"/>
      <c r="KLQ2" s="494"/>
      <c r="KLR2" s="494"/>
      <c r="KLS2" s="494"/>
      <c r="KLT2" s="494"/>
      <c r="KLU2" s="494"/>
      <c r="KLV2" s="494"/>
      <c r="KLW2" s="494"/>
      <c r="KLX2" s="494"/>
      <c r="KLY2" s="494"/>
      <c r="KLZ2" s="494"/>
      <c r="KMA2" s="494"/>
      <c r="KMB2" s="494"/>
      <c r="KMC2" s="494"/>
      <c r="KMD2" s="494"/>
      <c r="KME2" s="494"/>
      <c r="KMF2" s="494"/>
      <c r="KMG2" s="494"/>
      <c r="KMH2" s="494"/>
      <c r="KMI2" s="494"/>
      <c r="KMJ2" s="494"/>
      <c r="KMK2" s="494"/>
      <c r="KML2" s="494"/>
      <c r="KMM2" s="494"/>
      <c r="KMN2" s="494"/>
      <c r="KMO2" s="494"/>
      <c r="KMP2" s="494"/>
      <c r="KMQ2" s="494"/>
      <c r="KMR2" s="494"/>
      <c r="KMS2" s="494"/>
      <c r="KMT2" s="494"/>
      <c r="KMU2" s="494"/>
      <c r="KMV2" s="494"/>
      <c r="KMW2" s="494"/>
      <c r="KMX2" s="494"/>
      <c r="KMY2" s="494"/>
      <c r="KMZ2" s="494"/>
      <c r="KNA2" s="494"/>
      <c r="KNB2" s="494"/>
      <c r="KNC2" s="494"/>
      <c r="KND2" s="494"/>
      <c r="KNE2" s="494"/>
      <c r="KNF2" s="494"/>
      <c r="KNG2" s="494"/>
      <c r="KNH2" s="494"/>
      <c r="KNI2" s="494"/>
      <c r="KNJ2" s="494"/>
      <c r="KNK2" s="494"/>
      <c r="KNL2" s="494"/>
      <c r="KNM2" s="494"/>
      <c r="KNN2" s="494"/>
      <c r="KNO2" s="494"/>
      <c r="KNP2" s="494"/>
      <c r="KNQ2" s="494"/>
      <c r="KNR2" s="494"/>
      <c r="KNS2" s="494"/>
      <c r="KNT2" s="494"/>
      <c r="KNU2" s="494"/>
      <c r="KNV2" s="494"/>
      <c r="KNW2" s="494"/>
      <c r="KNX2" s="494"/>
      <c r="KNY2" s="494"/>
      <c r="KNZ2" s="494"/>
      <c r="KOA2" s="494"/>
      <c r="KOB2" s="494"/>
      <c r="KOC2" s="494"/>
      <c r="KOD2" s="494"/>
      <c r="KOE2" s="494"/>
      <c r="KOF2" s="494"/>
      <c r="KOG2" s="494"/>
      <c r="KOH2" s="494"/>
      <c r="KOI2" s="494"/>
      <c r="KOJ2" s="494"/>
      <c r="KOK2" s="494"/>
      <c r="KOL2" s="494"/>
      <c r="KOM2" s="494"/>
      <c r="KON2" s="494"/>
      <c r="KOO2" s="494"/>
      <c r="KOP2" s="494"/>
      <c r="KOQ2" s="494"/>
      <c r="KOR2" s="494"/>
      <c r="KOS2" s="494"/>
      <c r="KOT2" s="494"/>
      <c r="KOU2" s="494"/>
      <c r="KOV2" s="494"/>
      <c r="KOW2" s="494"/>
      <c r="KOX2" s="494"/>
      <c r="KOY2" s="494"/>
      <c r="KOZ2" s="494"/>
      <c r="KPA2" s="494"/>
      <c r="KPB2" s="494"/>
      <c r="KPC2" s="494"/>
      <c r="KPD2" s="494"/>
      <c r="KPE2" s="494"/>
      <c r="KPF2" s="494"/>
      <c r="KPG2" s="494"/>
      <c r="KPH2" s="494"/>
      <c r="KPI2" s="494"/>
      <c r="KPJ2" s="494"/>
      <c r="KPK2" s="494"/>
      <c r="KPL2" s="494"/>
      <c r="KPM2" s="494"/>
      <c r="KPN2" s="494"/>
      <c r="KPO2" s="494"/>
      <c r="KPP2" s="494"/>
      <c r="KPQ2" s="494"/>
      <c r="KPR2" s="494"/>
      <c r="KPS2" s="494"/>
      <c r="KPT2" s="494"/>
      <c r="KPU2" s="494"/>
      <c r="KPV2" s="494"/>
      <c r="KPW2" s="494"/>
      <c r="KPX2" s="494"/>
      <c r="KPY2" s="494"/>
      <c r="KPZ2" s="494"/>
      <c r="KQA2" s="494"/>
      <c r="KQB2" s="494"/>
      <c r="KQC2" s="494"/>
      <c r="KQD2" s="494"/>
      <c r="KQE2" s="494"/>
      <c r="KQF2" s="494"/>
      <c r="KQG2" s="494"/>
      <c r="KQH2" s="494"/>
      <c r="KQI2" s="494"/>
      <c r="KQJ2" s="494"/>
      <c r="KQK2" s="494"/>
      <c r="KQL2" s="494"/>
      <c r="KQM2" s="494"/>
      <c r="KQN2" s="494"/>
      <c r="KQO2" s="494"/>
      <c r="KQP2" s="494"/>
      <c r="KQQ2" s="494"/>
      <c r="KQR2" s="494"/>
      <c r="KQS2" s="494"/>
      <c r="KQT2" s="494"/>
      <c r="KQU2" s="494"/>
      <c r="KQV2" s="494"/>
      <c r="KQW2" s="494"/>
      <c r="KQX2" s="494"/>
      <c r="KQY2" s="494"/>
      <c r="KQZ2" s="494"/>
      <c r="KRA2" s="494"/>
      <c r="KRB2" s="494"/>
      <c r="KRC2" s="494"/>
      <c r="KRD2" s="494"/>
      <c r="KRE2" s="494"/>
      <c r="KRF2" s="494"/>
      <c r="KRG2" s="494"/>
      <c r="KRH2" s="494"/>
      <c r="KRI2" s="494"/>
      <c r="KRJ2" s="494"/>
      <c r="KRK2" s="494"/>
      <c r="KRL2" s="494"/>
      <c r="KRM2" s="494"/>
      <c r="KRN2" s="494"/>
      <c r="KRO2" s="494"/>
      <c r="KRP2" s="494"/>
      <c r="KRQ2" s="494"/>
      <c r="KRR2" s="494"/>
      <c r="KRS2" s="494"/>
      <c r="KRT2" s="494"/>
      <c r="KRU2" s="494"/>
      <c r="KRV2" s="494"/>
      <c r="KRW2" s="494"/>
      <c r="KRX2" s="494"/>
      <c r="KRY2" s="494"/>
      <c r="KRZ2" s="494"/>
      <c r="KSA2" s="494"/>
      <c r="KSB2" s="494"/>
      <c r="KSC2" s="494"/>
      <c r="KSD2" s="494"/>
      <c r="KSE2" s="494"/>
      <c r="KSF2" s="494"/>
      <c r="KSG2" s="494"/>
      <c r="KSH2" s="494"/>
      <c r="KSI2" s="494"/>
      <c r="KSJ2" s="494"/>
      <c r="KSK2" s="494"/>
      <c r="KSL2" s="494"/>
      <c r="KSM2" s="494"/>
      <c r="KSN2" s="494"/>
      <c r="KSO2" s="494"/>
      <c r="KSP2" s="494"/>
      <c r="KSQ2" s="494"/>
      <c r="KSR2" s="494"/>
      <c r="KSS2" s="494"/>
      <c r="KST2" s="494"/>
      <c r="KSU2" s="494"/>
      <c r="KSV2" s="494"/>
      <c r="KSW2" s="494"/>
      <c r="KSX2" s="494"/>
      <c r="KSY2" s="494"/>
      <c r="KSZ2" s="494"/>
      <c r="KTA2" s="494"/>
      <c r="KTB2" s="494"/>
      <c r="KTC2" s="494"/>
      <c r="KTD2" s="494"/>
      <c r="KTE2" s="494"/>
      <c r="KTF2" s="494"/>
      <c r="KTG2" s="494"/>
      <c r="KTH2" s="494"/>
      <c r="KTI2" s="494"/>
      <c r="KTJ2" s="494"/>
      <c r="KTK2" s="494"/>
      <c r="KTL2" s="494"/>
      <c r="KTM2" s="494"/>
      <c r="KTN2" s="494"/>
      <c r="KTO2" s="494"/>
      <c r="KTP2" s="494"/>
      <c r="KTQ2" s="494"/>
      <c r="KTR2" s="494"/>
      <c r="KTS2" s="494"/>
      <c r="KTT2" s="494"/>
      <c r="KTU2" s="494"/>
      <c r="KTV2" s="494"/>
      <c r="KTW2" s="494"/>
      <c r="KTX2" s="494"/>
      <c r="KTY2" s="494"/>
      <c r="KTZ2" s="494"/>
      <c r="KUA2" s="494"/>
      <c r="KUB2" s="494"/>
      <c r="KUC2" s="494"/>
      <c r="KUD2" s="494"/>
      <c r="KUE2" s="494"/>
      <c r="KUF2" s="494"/>
      <c r="KUG2" s="494"/>
      <c r="KUH2" s="494"/>
      <c r="KUI2" s="494"/>
      <c r="KUJ2" s="494"/>
      <c r="KUK2" s="494"/>
      <c r="KUL2" s="494"/>
      <c r="KUM2" s="494"/>
      <c r="KUN2" s="494"/>
      <c r="KUO2" s="494"/>
      <c r="KUP2" s="494"/>
      <c r="KUQ2" s="494"/>
      <c r="KUR2" s="494"/>
      <c r="KUS2" s="494"/>
      <c r="KUT2" s="494"/>
      <c r="KUU2" s="494"/>
      <c r="KUV2" s="494"/>
      <c r="KUW2" s="494"/>
      <c r="KUX2" s="494"/>
      <c r="KUY2" s="494"/>
      <c r="KUZ2" s="494"/>
      <c r="KVA2" s="494"/>
      <c r="KVB2" s="494"/>
      <c r="KVC2" s="494"/>
      <c r="KVD2" s="494"/>
      <c r="KVE2" s="494"/>
      <c r="KVF2" s="494"/>
      <c r="KVG2" s="494"/>
      <c r="KVH2" s="494"/>
      <c r="KVI2" s="494"/>
      <c r="KVJ2" s="494"/>
      <c r="KVK2" s="494"/>
      <c r="KVL2" s="494"/>
      <c r="KVM2" s="494"/>
      <c r="KVN2" s="494"/>
      <c r="KVO2" s="494"/>
      <c r="KVP2" s="494"/>
      <c r="KVQ2" s="494"/>
      <c r="KVR2" s="494"/>
      <c r="KVS2" s="494"/>
      <c r="KVT2" s="494"/>
      <c r="KVU2" s="494"/>
      <c r="KVV2" s="494"/>
      <c r="KVW2" s="494"/>
      <c r="KVX2" s="494"/>
      <c r="KVY2" s="494"/>
      <c r="KVZ2" s="494"/>
      <c r="KWA2" s="494"/>
      <c r="KWB2" s="494"/>
      <c r="KWC2" s="494"/>
      <c r="KWD2" s="494"/>
      <c r="KWE2" s="494"/>
      <c r="KWF2" s="494"/>
      <c r="KWG2" s="494"/>
      <c r="KWH2" s="494"/>
      <c r="KWI2" s="494"/>
      <c r="KWJ2" s="494"/>
      <c r="KWK2" s="494"/>
      <c r="KWL2" s="494"/>
      <c r="KWM2" s="494"/>
      <c r="KWN2" s="494"/>
      <c r="KWO2" s="494"/>
      <c r="KWP2" s="494"/>
      <c r="KWQ2" s="494"/>
      <c r="KWR2" s="494"/>
      <c r="KWS2" s="494"/>
      <c r="KWT2" s="494"/>
      <c r="KWU2" s="494"/>
      <c r="KWV2" s="494"/>
      <c r="KWW2" s="494"/>
      <c r="KWX2" s="494"/>
      <c r="KWY2" s="494"/>
      <c r="KWZ2" s="494"/>
      <c r="KXA2" s="494"/>
      <c r="KXB2" s="494"/>
      <c r="KXC2" s="494"/>
      <c r="KXD2" s="494"/>
      <c r="KXE2" s="494"/>
      <c r="KXF2" s="494"/>
      <c r="KXG2" s="494"/>
      <c r="KXH2" s="494"/>
      <c r="KXI2" s="494"/>
      <c r="KXJ2" s="494"/>
      <c r="KXK2" s="494"/>
      <c r="KXL2" s="494"/>
      <c r="KXM2" s="494"/>
      <c r="KXN2" s="494"/>
      <c r="KXO2" s="494"/>
      <c r="KXP2" s="494"/>
      <c r="KXQ2" s="494"/>
      <c r="KXR2" s="494"/>
      <c r="KXS2" s="494"/>
      <c r="KXT2" s="494"/>
      <c r="KXU2" s="494"/>
      <c r="KXV2" s="494"/>
      <c r="KXW2" s="494"/>
      <c r="KXX2" s="494"/>
      <c r="KXY2" s="494"/>
      <c r="KXZ2" s="494"/>
      <c r="KYA2" s="494"/>
      <c r="KYB2" s="494"/>
      <c r="KYC2" s="494"/>
      <c r="KYD2" s="494"/>
      <c r="KYE2" s="494"/>
      <c r="KYF2" s="494"/>
      <c r="KYG2" s="494"/>
      <c r="KYH2" s="494"/>
      <c r="KYI2" s="494"/>
      <c r="KYJ2" s="494"/>
      <c r="KYK2" s="494"/>
      <c r="KYL2" s="494"/>
      <c r="KYM2" s="494"/>
      <c r="KYN2" s="494"/>
      <c r="KYO2" s="494"/>
      <c r="KYP2" s="494"/>
      <c r="KYQ2" s="494"/>
      <c r="KYR2" s="494"/>
      <c r="KYS2" s="494"/>
      <c r="KYT2" s="494"/>
      <c r="KYU2" s="494"/>
      <c r="KYV2" s="494"/>
      <c r="KYW2" s="494"/>
      <c r="KYX2" s="494"/>
      <c r="KYY2" s="494"/>
      <c r="KYZ2" s="494"/>
      <c r="KZA2" s="494"/>
      <c r="KZB2" s="494"/>
      <c r="KZC2" s="494"/>
      <c r="KZD2" s="494"/>
      <c r="KZE2" s="494"/>
      <c r="KZF2" s="494"/>
      <c r="KZG2" s="494"/>
      <c r="KZH2" s="494"/>
      <c r="KZI2" s="494"/>
      <c r="KZJ2" s="494"/>
      <c r="KZK2" s="494"/>
      <c r="KZL2" s="494"/>
      <c r="KZM2" s="494"/>
      <c r="KZN2" s="494"/>
      <c r="KZO2" s="494"/>
      <c r="KZP2" s="494"/>
      <c r="KZQ2" s="494"/>
      <c r="KZR2" s="494"/>
      <c r="KZS2" s="494"/>
      <c r="KZT2" s="494"/>
      <c r="KZU2" s="494"/>
      <c r="KZV2" s="494"/>
      <c r="KZW2" s="494"/>
      <c r="KZX2" s="494"/>
      <c r="KZY2" s="494"/>
      <c r="KZZ2" s="494"/>
      <c r="LAA2" s="494"/>
      <c r="LAB2" s="494"/>
      <c r="LAC2" s="494"/>
      <c r="LAD2" s="494"/>
      <c r="LAE2" s="494"/>
      <c r="LAF2" s="494"/>
      <c r="LAG2" s="494"/>
      <c r="LAH2" s="494"/>
      <c r="LAI2" s="494"/>
      <c r="LAJ2" s="494"/>
      <c r="LAK2" s="494"/>
      <c r="LAL2" s="494"/>
      <c r="LAM2" s="494"/>
      <c r="LAN2" s="494"/>
      <c r="LAO2" s="494"/>
      <c r="LAP2" s="494"/>
      <c r="LAQ2" s="494"/>
      <c r="LAR2" s="494"/>
      <c r="LAS2" s="494"/>
      <c r="LAT2" s="494"/>
      <c r="LAU2" s="494"/>
      <c r="LAV2" s="494"/>
      <c r="LAW2" s="494"/>
      <c r="LAX2" s="494"/>
      <c r="LAY2" s="494"/>
      <c r="LAZ2" s="494"/>
      <c r="LBA2" s="494"/>
      <c r="LBB2" s="494"/>
      <c r="LBC2" s="494"/>
      <c r="LBD2" s="494"/>
      <c r="LBE2" s="494"/>
      <c r="LBF2" s="494"/>
      <c r="LBG2" s="494"/>
      <c r="LBH2" s="494"/>
      <c r="LBI2" s="494"/>
      <c r="LBJ2" s="494"/>
      <c r="LBK2" s="494"/>
      <c r="LBL2" s="494"/>
      <c r="LBM2" s="494"/>
      <c r="LBN2" s="494"/>
      <c r="LBO2" s="494"/>
      <c r="LBP2" s="494"/>
      <c r="LBQ2" s="494"/>
      <c r="LBR2" s="494"/>
      <c r="LBS2" s="494"/>
      <c r="LBT2" s="494"/>
      <c r="LBU2" s="494"/>
      <c r="LBV2" s="494"/>
      <c r="LBW2" s="494"/>
      <c r="LBX2" s="494"/>
      <c r="LBY2" s="494"/>
      <c r="LBZ2" s="494"/>
      <c r="LCA2" s="494"/>
      <c r="LCB2" s="494"/>
      <c r="LCC2" s="494"/>
      <c r="LCD2" s="494"/>
      <c r="LCE2" s="494"/>
      <c r="LCF2" s="494"/>
      <c r="LCG2" s="494"/>
      <c r="LCH2" s="494"/>
      <c r="LCI2" s="494"/>
      <c r="LCJ2" s="494"/>
      <c r="LCK2" s="494"/>
      <c r="LCL2" s="494"/>
      <c r="LCM2" s="494"/>
      <c r="LCN2" s="494"/>
      <c r="LCO2" s="494"/>
      <c r="LCP2" s="494"/>
      <c r="LCQ2" s="494"/>
      <c r="LCR2" s="494"/>
      <c r="LCS2" s="494"/>
      <c r="LCT2" s="494"/>
      <c r="LCU2" s="494"/>
      <c r="LCV2" s="494"/>
      <c r="LCW2" s="494"/>
      <c r="LCX2" s="494"/>
      <c r="LCY2" s="494"/>
      <c r="LCZ2" s="494"/>
      <c r="LDA2" s="494"/>
      <c r="LDB2" s="494"/>
      <c r="LDC2" s="494"/>
      <c r="LDD2" s="494"/>
      <c r="LDE2" s="494"/>
      <c r="LDF2" s="494"/>
      <c r="LDG2" s="494"/>
      <c r="LDH2" s="494"/>
      <c r="LDI2" s="494"/>
      <c r="LDJ2" s="494"/>
      <c r="LDK2" s="494"/>
      <c r="LDL2" s="494"/>
      <c r="LDM2" s="494"/>
      <c r="LDN2" s="494"/>
      <c r="LDO2" s="494"/>
      <c r="LDP2" s="494"/>
      <c r="LDQ2" s="494"/>
      <c r="LDR2" s="494"/>
      <c r="LDS2" s="494"/>
      <c r="LDT2" s="494"/>
      <c r="LDU2" s="494"/>
      <c r="LDV2" s="494"/>
      <c r="LDW2" s="494"/>
      <c r="LDX2" s="494"/>
      <c r="LDY2" s="494"/>
      <c r="LDZ2" s="494"/>
      <c r="LEA2" s="494"/>
      <c r="LEB2" s="494"/>
      <c r="LEC2" s="494"/>
      <c r="LED2" s="494"/>
      <c r="LEE2" s="494"/>
      <c r="LEF2" s="494"/>
      <c r="LEG2" s="494"/>
      <c r="LEH2" s="494"/>
      <c r="LEI2" s="494"/>
      <c r="LEJ2" s="494"/>
      <c r="LEK2" s="494"/>
      <c r="LEL2" s="494"/>
      <c r="LEM2" s="494"/>
      <c r="LEN2" s="494"/>
      <c r="LEO2" s="494"/>
      <c r="LEP2" s="494"/>
      <c r="LEQ2" s="494"/>
      <c r="LER2" s="494"/>
      <c r="LES2" s="494"/>
      <c r="LET2" s="494"/>
      <c r="LEU2" s="494"/>
      <c r="LEV2" s="494"/>
      <c r="LEW2" s="494"/>
      <c r="LEX2" s="494"/>
      <c r="LEY2" s="494"/>
      <c r="LEZ2" s="494"/>
      <c r="LFA2" s="494"/>
      <c r="LFB2" s="494"/>
      <c r="LFC2" s="494"/>
      <c r="LFD2" s="494"/>
      <c r="LFE2" s="494"/>
      <c r="LFF2" s="494"/>
      <c r="LFG2" s="494"/>
      <c r="LFH2" s="494"/>
      <c r="LFI2" s="494"/>
      <c r="LFJ2" s="494"/>
      <c r="LFK2" s="494"/>
      <c r="LFL2" s="494"/>
      <c r="LFM2" s="494"/>
      <c r="LFN2" s="494"/>
      <c r="LFO2" s="494"/>
      <c r="LFP2" s="494"/>
      <c r="LFQ2" s="494"/>
      <c r="LFR2" s="494"/>
      <c r="LFS2" s="494"/>
      <c r="LFT2" s="494"/>
      <c r="LFU2" s="494"/>
      <c r="LFV2" s="494"/>
      <c r="LFW2" s="494"/>
      <c r="LFX2" s="494"/>
      <c r="LFY2" s="494"/>
      <c r="LFZ2" s="494"/>
      <c r="LGA2" s="494"/>
      <c r="LGB2" s="494"/>
      <c r="LGC2" s="494"/>
      <c r="LGD2" s="494"/>
      <c r="LGE2" s="494"/>
      <c r="LGF2" s="494"/>
      <c r="LGG2" s="494"/>
      <c r="LGH2" s="494"/>
      <c r="LGI2" s="494"/>
      <c r="LGJ2" s="494"/>
      <c r="LGK2" s="494"/>
      <c r="LGL2" s="494"/>
      <c r="LGM2" s="494"/>
      <c r="LGN2" s="494"/>
      <c r="LGO2" s="494"/>
      <c r="LGP2" s="494"/>
      <c r="LGQ2" s="494"/>
      <c r="LGR2" s="494"/>
      <c r="LGS2" s="494"/>
      <c r="LGT2" s="494"/>
      <c r="LGU2" s="494"/>
      <c r="LGV2" s="494"/>
      <c r="LGW2" s="494"/>
      <c r="LGX2" s="494"/>
      <c r="LGY2" s="494"/>
      <c r="LGZ2" s="494"/>
      <c r="LHA2" s="494"/>
      <c r="LHB2" s="494"/>
      <c r="LHC2" s="494"/>
      <c r="LHD2" s="494"/>
      <c r="LHE2" s="494"/>
      <c r="LHF2" s="494"/>
      <c r="LHG2" s="494"/>
      <c r="LHH2" s="494"/>
      <c r="LHI2" s="494"/>
      <c r="LHJ2" s="494"/>
      <c r="LHK2" s="494"/>
      <c r="LHL2" s="494"/>
      <c r="LHM2" s="494"/>
      <c r="LHN2" s="494"/>
      <c r="LHO2" s="494"/>
      <c r="LHP2" s="494"/>
      <c r="LHQ2" s="494"/>
      <c r="LHR2" s="494"/>
      <c r="LHS2" s="494"/>
      <c r="LHT2" s="494"/>
      <c r="LHU2" s="494"/>
      <c r="LHV2" s="494"/>
      <c r="LHW2" s="494"/>
      <c r="LHX2" s="494"/>
      <c r="LHY2" s="494"/>
      <c r="LHZ2" s="494"/>
      <c r="LIA2" s="494"/>
      <c r="LIB2" s="494"/>
      <c r="LIC2" s="494"/>
      <c r="LID2" s="494"/>
      <c r="LIE2" s="494"/>
      <c r="LIF2" s="494"/>
      <c r="LIG2" s="494"/>
      <c r="LIH2" s="494"/>
      <c r="LII2" s="494"/>
      <c r="LIJ2" s="494"/>
      <c r="LIK2" s="494"/>
      <c r="LIL2" s="494"/>
      <c r="LIM2" s="494"/>
      <c r="LIN2" s="494"/>
      <c r="LIO2" s="494"/>
      <c r="LIP2" s="494"/>
      <c r="LIQ2" s="494"/>
      <c r="LIR2" s="494"/>
      <c r="LIS2" s="494"/>
      <c r="LIT2" s="494"/>
      <c r="LIU2" s="494"/>
      <c r="LIV2" s="494"/>
      <c r="LIW2" s="494"/>
      <c r="LIX2" s="494"/>
      <c r="LIY2" s="494"/>
      <c r="LIZ2" s="494"/>
      <c r="LJA2" s="494"/>
      <c r="LJB2" s="494"/>
      <c r="LJC2" s="494"/>
      <c r="LJD2" s="494"/>
      <c r="LJE2" s="494"/>
      <c r="LJF2" s="494"/>
      <c r="LJG2" s="494"/>
      <c r="LJH2" s="494"/>
      <c r="LJI2" s="494"/>
      <c r="LJJ2" s="494"/>
      <c r="LJK2" s="494"/>
      <c r="LJL2" s="494"/>
      <c r="LJM2" s="494"/>
      <c r="LJN2" s="494"/>
      <c r="LJO2" s="494"/>
      <c r="LJP2" s="494"/>
      <c r="LJQ2" s="494"/>
      <c r="LJR2" s="494"/>
      <c r="LJS2" s="494"/>
      <c r="LJT2" s="494"/>
      <c r="LJU2" s="494"/>
      <c r="LJV2" s="494"/>
      <c r="LJW2" s="494"/>
      <c r="LJX2" s="494"/>
      <c r="LJY2" s="494"/>
      <c r="LJZ2" s="494"/>
      <c r="LKA2" s="494"/>
      <c r="LKB2" s="494"/>
      <c r="LKC2" s="494"/>
      <c r="LKD2" s="494"/>
      <c r="LKE2" s="494"/>
      <c r="LKF2" s="494"/>
      <c r="LKG2" s="494"/>
      <c r="LKH2" s="494"/>
      <c r="LKI2" s="494"/>
      <c r="LKJ2" s="494"/>
      <c r="LKK2" s="494"/>
      <c r="LKL2" s="494"/>
      <c r="LKM2" s="494"/>
      <c r="LKN2" s="494"/>
      <c r="LKO2" s="494"/>
      <c r="LKP2" s="494"/>
      <c r="LKQ2" s="494"/>
      <c r="LKR2" s="494"/>
      <c r="LKS2" s="494"/>
      <c r="LKT2" s="494"/>
      <c r="LKU2" s="494"/>
      <c r="LKV2" s="494"/>
      <c r="LKW2" s="494"/>
      <c r="LKX2" s="494"/>
      <c r="LKY2" s="494"/>
      <c r="LKZ2" s="494"/>
      <c r="LLA2" s="494"/>
      <c r="LLB2" s="494"/>
      <c r="LLC2" s="494"/>
      <c r="LLD2" s="494"/>
      <c r="LLE2" s="494"/>
      <c r="LLF2" s="494"/>
      <c r="LLG2" s="494"/>
      <c r="LLH2" s="494"/>
      <c r="LLI2" s="494"/>
      <c r="LLJ2" s="494"/>
      <c r="LLK2" s="494"/>
      <c r="LLL2" s="494"/>
      <c r="LLM2" s="494"/>
      <c r="LLN2" s="494"/>
      <c r="LLO2" s="494"/>
      <c r="LLP2" s="494"/>
      <c r="LLQ2" s="494"/>
      <c r="LLR2" s="494"/>
      <c r="LLS2" s="494"/>
      <c r="LLT2" s="494"/>
      <c r="LLU2" s="494"/>
      <c r="LLV2" s="494"/>
      <c r="LLW2" s="494"/>
      <c r="LLX2" s="494"/>
      <c r="LLY2" s="494"/>
      <c r="LLZ2" s="494"/>
      <c r="LMA2" s="494"/>
      <c r="LMB2" s="494"/>
      <c r="LMC2" s="494"/>
      <c r="LMD2" s="494"/>
      <c r="LME2" s="494"/>
      <c r="LMF2" s="494"/>
      <c r="LMG2" s="494"/>
      <c r="LMH2" s="494"/>
      <c r="LMI2" s="494"/>
      <c r="LMJ2" s="494"/>
      <c r="LMK2" s="494"/>
      <c r="LML2" s="494"/>
      <c r="LMM2" s="494"/>
      <c r="LMN2" s="494"/>
      <c r="LMO2" s="494"/>
      <c r="LMP2" s="494"/>
      <c r="LMQ2" s="494"/>
      <c r="LMR2" s="494"/>
      <c r="LMS2" s="494"/>
      <c r="LMT2" s="494"/>
      <c r="LMU2" s="494"/>
      <c r="LMV2" s="494"/>
      <c r="LMW2" s="494"/>
      <c r="LMX2" s="494"/>
      <c r="LMY2" s="494"/>
      <c r="LMZ2" s="494"/>
      <c r="LNA2" s="494"/>
      <c r="LNB2" s="494"/>
      <c r="LNC2" s="494"/>
      <c r="LND2" s="494"/>
      <c r="LNE2" s="494"/>
      <c r="LNF2" s="494"/>
      <c r="LNG2" s="494"/>
      <c r="LNH2" s="494"/>
      <c r="LNI2" s="494"/>
      <c r="LNJ2" s="494"/>
      <c r="LNK2" s="494"/>
      <c r="LNL2" s="494"/>
      <c r="LNM2" s="494"/>
      <c r="LNN2" s="494"/>
      <c r="LNO2" s="494"/>
      <c r="LNP2" s="494"/>
      <c r="LNQ2" s="494"/>
      <c r="LNR2" s="494"/>
      <c r="LNS2" s="494"/>
      <c r="LNT2" s="494"/>
      <c r="LNU2" s="494"/>
      <c r="LNV2" s="494"/>
      <c r="LNW2" s="494"/>
      <c r="LNX2" s="494"/>
      <c r="LNY2" s="494"/>
      <c r="LNZ2" s="494"/>
      <c r="LOA2" s="494"/>
      <c r="LOB2" s="494"/>
      <c r="LOC2" s="494"/>
      <c r="LOD2" s="494"/>
      <c r="LOE2" s="494"/>
      <c r="LOF2" s="494"/>
      <c r="LOG2" s="494"/>
      <c r="LOH2" s="494"/>
      <c r="LOI2" s="494"/>
      <c r="LOJ2" s="494"/>
      <c r="LOK2" s="494"/>
      <c r="LOL2" s="494"/>
      <c r="LOM2" s="494"/>
      <c r="LON2" s="494"/>
      <c r="LOO2" s="494"/>
      <c r="LOP2" s="494"/>
      <c r="LOQ2" s="494"/>
      <c r="LOR2" s="494"/>
      <c r="LOS2" s="494"/>
      <c r="LOT2" s="494"/>
      <c r="LOU2" s="494"/>
      <c r="LOV2" s="494"/>
      <c r="LOW2" s="494"/>
      <c r="LOX2" s="494"/>
      <c r="LOY2" s="494"/>
      <c r="LOZ2" s="494"/>
      <c r="LPA2" s="494"/>
      <c r="LPB2" s="494"/>
      <c r="LPC2" s="494"/>
      <c r="LPD2" s="494"/>
      <c r="LPE2" s="494"/>
      <c r="LPF2" s="494"/>
      <c r="LPG2" s="494"/>
      <c r="LPH2" s="494"/>
      <c r="LPI2" s="494"/>
      <c r="LPJ2" s="494"/>
      <c r="LPK2" s="494"/>
      <c r="LPL2" s="494"/>
      <c r="LPM2" s="494"/>
      <c r="LPN2" s="494"/>
      <c r="LPO2" s="494"/>
      <c r="LPP2" s="494"/>
      <c r="LPQ2" s="494"/>
      <c r="LPR2" s="494"/>
      <c r="LPS2" s="494"/>
      <c r="LPT2" s="494"/>
      <c r="LPU2" s="494"/>
      <c r="LPV2" s="494"/>
      <c r="LPW2" s="494"/>
      <c r="LPX2" s="494"/>
      <c r="LPY2" s="494"/>
      <c r="LPZ2" s="494"/>
      <c r="LQA2" s="494"/>
      <c r="LQB2" s="494"/>
      <c r="LQC2" s="494"/>
      <c r="LQD2" s="494"/>
      <c r="LQE2" s="494"/>
      <c r="LQF2" s="494"/>
      <c r="LQG2" s="494"/>
      <c r="LQH2" s="494"/>
      <c r="LQI2" s="494"/>
      <c r="LQJ2" s="494"/>
      <c r="LQK2" s="494"/>
      <c r="LQL2" s="494"/>
      <c r="LQM2" s="494"/>
      <c r="LQN2" s="494"/>
      <c r="LQO2" s="494"/>
      <c r="LQP2" s="494"/>
      <c r="LQQ2" s="494"/>
      <c r="LQR2" s="494"/>
      <c r="LQS2" s="494"/>
      <c r="LQT2" s="494"/>
      <c r="LQU2" s="494"/>
      <c r="LQV2" s="494"/>
      <c r="LQW2" s="494"/>
      <c r="LQX2" s="494"/>
      <c r="LQY2" s="494"/>
      <c r="LQZ2" s="494"/>
      <c r="LRA2" s="494"/>
      <c r="LRB2" s="494"/>
      <c r="LRC2" s="494"/>
      <c r="LRD2" s="494"/>
      <c r="LRE2" s="494"/>
      <c r="LRF2" s="494"/>
      <c r="LRG2" s="494"/>
      <c r="LRH2" s="494"/>
      <c r="LRI2" s="494"/>
      <c r="LRJ2" s="494"/>
      <c r="LRK2" s="494"/>
      <c r="LRL2" s="494"/>
      <c r="LRM2" s="494"/>
      <c r="LRN2" s="494"/>
      <c r="LRO2" s="494"/>
      <c r="LRP2" s="494"/>
      <c r="LRQ2" s="494"/>
      <c r="LRR2" s="494"/>
      <c r="LRS2" s="494"/>
      <c r="LRT2" s="494"/>
      <c r="LRU2" s="494"/>
      <c r="LRV2" s="494"/>
      <c r="LRW2" s="494"/>
      <c r="LRX2" s="494"/>
      <c r="LRY2" s="494"/>
      <c r="LRZ2" s="494"/>
      <c r="LSA2" s="494"/>
      <c r="LSB2" s="494"/>
      <c r="LSC2" s="494"/>
      <c r="LSD2" s="494"/>
      <c r="LSE2" s="494"/>
      <c r="LSF2" s="494"/>
      <c r="LSG2" s="494"/>
      <c r="LSH2" s="494"/>
      <c r="LSI2" s="494"/>
      <c r="LSJ2" s="494"/>
      <c r="LSK2" s="494"/>
      <c r="LSL2" s="494"/>
      <c r="LSM2" s="494"/>
      <c r="LSN2" s="494"/>
      <c r="LSO2" s="494"/>
      <c r="LSP2" s="494"/>
      <c r="LSQ2" s="494"/>
      <c r="LSR2" s="494"/>
      <c r="LSS2" s="494"/>
      <c r="LST2" s="494"/>
      <c r="LSU2" s="494"/>
      <c r="LSV2" s="494"/>
      <c r="LSW2" s="494"/>
      <c r="LSX2" s="494"/>
      <c r="LSY2" s="494"/>
      <c r="LSZ2" s="494"/>
      <c r="LTA2" s="494"/>
      <c r="LTB2" s="494"/>
      <c r="LTC2" s="494"/>
      <c r="LTD2" s="494"/>
      <c r="LTE2" s="494"/>
      <c r="LTF2" s="494"/>
      <c r="LTG2" s="494"/>
      <c r="LTH2" s="494"/>
      <c r="LTI2" s="494"/>
      <c r="LTJ2" s="494"/>
      <c r="LTK2" s="494"/>
      <c r="LTL2" s="494"/>
      <c r="LTM2" s="494"/>
      <c r="LTN2" s="494"/>
      <c r="LTO2" s="494"/>
      <c r="LTP2" s="494"/>
      <c r="LTQ2" s="494"/>
      <c r="LTR2" s="494"/>
      <c r="LTS2" s="494"/>
      <c r="LTT2" s="494"/>
      <c r="LTU2" s="494"/>
      <c r="LTV2" s="494"/>
      <c r="LTW2" s="494"/>
      <c r="LTX2" s="494"/>
      <c r="LTY2" s="494"/>
      <c r="LTZ2" s="494"/>
      <c r="LUA2" s="494"/>
      <c r="LUB2" s="494"/>
      <c r="LUC2" s="494"/>
      <c r="LUD2" s="494"/>
      <c r="LUE2" s="494"/>
      <c r="LUF2" s="494"/>
      <c r="LUG2" s="494"/>
      <c r="LUH2" s="494"/>
      <c r="LUI2" s="494"/>
      <c r="LUJ2" s="494"/>
      <c r="LUK2" s="494"/>
      <c r="LUL2" s="494"/>
      <c r="LUM2" s="494"/>
      <c r="LUN2" s="494"/>
      <c r="LUO2" s="494"/>
      <c r="LUP2" s="494"/>
      <c r="LUQ2" s="494"/>
      <c r="LUR2" s="494"/>
      <c r="LUS2" s="494"/>
      <c r="LUT2" s="494"/>
      <c r="LUU2" s="494"/>
      <c r="LUV2" s="494"/>
      <c r="LUW2" s="494"/>
      <c r="LUX2" s="494"/>
      <c r="LUY2" s="494"/>
      <c r="LUZ2" s="494"/>
      <c r="LVA2" s="494"/>
      <c r="LVB2" s="494"/>
      <c r="LVC2" s="494"/>
      <c r="LVD2" s="494"/>
      <c r="LVE2" s="494"/>
      <c r="LVF2" s="494"/>
      <c r="LVG2" s="494"/>
      <c r="LVH2" s="494"/>
      <c r="LVI2" s="494"/>
      <c r="LVJ2" s="494"/>
      <c r="LVK2" s="494"/>
      <c r="LVL2" s="494"/>
      <c r="LVM2" s="494"/>
      <c r="LVN2" s="494"/>
      <c r="LVO2" s="494"/>
      <c r="LVP2" s="494"/>
      <c r="LVQ2" s="494"/>
      <c r="LVR2" s="494"/>
      <c r="LVS2" s="494"/>
      <c r="LVT2" s="494"/>
      <c r="LVU2" s="494"/>
      <c r="LVV2" s="494"/>
      <c r="LVW2" s="494"/>
      <c r="LVX2" s="494"/>
      <c r="LVY2" s="494"/>
      <c r="LVZ2" s="494"/>
      <c r="LWA2" s="494"/>
      <c r="LWB2" s="494"/>
      <c r="LWC2" s="494"/>
      <c r="LWD2" s="494"/>
      <c r="LWE2" s="494"/>
      <c r="LWF2" s="494"/>
      <c r="LWG2" s="494"/>
      <c r="LWH2" s="494"/>
      <c r="LWI2" s="494"/>
      <c r="LWJ2" s="494"/>
      <c r="LWK2" s="494"/>
      <c r="LWL2" s="494"/>
      <c r="LWM2" s="494"/>
      <c r="LWN2" s="494"/>
      <c r="LWO2" s="494"/>
      <c r="LWP2" s="494"/>
      <c r="LWQ2" s="494"/>
      <c r="LWR2" s="494"/>
      <c r="LWS2" s="494"/>
      <c r="LWT2" s="494"/>
      <c r="LWU2" s="494"/>
      <c r="LWV2" s="494"/>
      <c r="LWW2" s="494"/>
      <c r="LWX2" s="494"/>
      <c r="LWY2" s="494"/>
      <c r="LWZ2" s="494"/>
      <c r="LXA2" s="494"/>
      <c r="LXB2" s="494"/>
      <c r="LXC2" s="494"/>
      <c r="LXD2" s="494"/>
      <c r="LXE2" s="494"/>
      <c r="LXF2" s="494"/>
      <c r="LXG2" s="494"/>
      <c r="LXH2" s="494"/>
      <c r="LXI2" s="494"/>
      <c r="LXJ2" s="494"/>
      <c r="LXK2" s="494"/>
      <c r="LXL2" s="494"/>
      <c r="LXM2" s="494"/>
      <c r="LXN2" s="494"/>
      <c r="LXO2" s="494"/>
      <c r="LXP2" s="494"/>
      <c r="LXQ2" s="494"/>
      <c r="LXR2" s="494"/>
      <c r="LXS2" s="494"/>
      <c r="LXT2" s="494"/>
      <c r="LXU2" s="494"/>
      <c r="LXV2" s="494"/>
      <c r="LXW2" s="494"/>
      <c r="LXX2" s="494"/>
      <c r="LXY2" s="494"/>
      <c r="LXZ2" s="494"/>
      <c r="LYA2" s="494"/>
      <c r="LYB2" s="494"/>
      <c r="LYC2" s="494"/>
      <c r="LYD2" s="494"/>
      <c r="LYE2" s="494"/>
      <c r="LYF2" s="494"/>
      <c r="LYG2" s="494"/>
      <c r="LYH2" s="494"/>
      <c r="LYI2" s="494"/>
      <c r="LYJ2" s="494"/>
      <c r="LYK2" s="494"/>
      <c r="LYL2" s="494"/>
      <c r="LYM2" s="494"/>
      <c r="LYN2" s="494"/>
      <c r="LYO2" s="494"/>
      <c r="LYP2" s="494"/>
      <c r="LYQ2" s="494"/>
      <c r="LYR2" s="494"/>
      <c r="LYS2" s="494"/>
      <c r="LYT2" s="494"/>
      <c r="LYU2" s="494"/>
      <c r="LYV2" s="494"/>
      <c r="LYW2" s="494"/>
      <c r="LYX2" s="494"/>
      <c r="LYY2" s="494"/>
      <c r="LYZ2" s="494"/>
      <c r="LZA2" s="494"/>
      <c r="LZB2" s="494"/>
      <c r="LZC2" s="494"/>
      <c r="LZD2" s="494"/>
      <c r="LZE2" s="494"/>
      <c r="LZF2" s="494"/>
      <c r="LZG2" s="494"/>
      <c r="LZH2" s="494"/>
      <c r="LZI2" s="494"/>
      <c r="LZJ2" s="494"/>
      <c r="LZK2" s="494"/>
      <c r="LZL2" s="494"/>
      <c r="LZM2" s="494"/>
      <c r="LZN2" s="494"/>
      <c r="LZO2" s="494"/>
      <c r="LZP2" s="494"/>
      <c r="LZQ2" s="494"/>
      <c r="LZR2" s="494"/>
      <c r="LZS2" s="494"/>
      <c r="LZT2" s="494"/>
      <c r="LZU2" s="494"/>
      <c r="LZV2" s="494"/>
      <c r="LZW2" s="494"/>
      <c r="LZX2" s="494"/>
      <c r="LZY2" s="494"/>
      <c r="LZZ2" s="494"/>
      <c r="MAA2" s="494"/>
      <c r="MAB2" s="494"/>
      <c r="MAC2" s="494"/>
      <c r="MAD2" s="494"/>
      <c r="MAE2" s="494"/>
      <c r="MAF2" s="494"/>
      <c r="MAG2" s="494"/>
      <c r="MAH2" s="494"/>
      <c r="MAI2" s="494"/>
      <c r="MAJ2" s="494"/>
      <c r="MAK2" s="494"/>
      <c r="MAL2" s="494"/>
      <c r="MAM2" s="494"/>
      <c r="MAN2" s="494"/>
      <c r="MAO2" s="494"/>
      <c r="MAP2" s="494"/>
      <c r="MAQ2" s="494"/>
      <c r="MAR2" s="494"/>
      <c r="MAS2" s="494"/>
      <c r="MAT2" s="494"/>
      <c r="MAU2" s="494"/>
      <c r="MAV2" s="494"/>
      <c r="MAW2" s="494"/>
      <c r="MAX2" s="494"/>
      <c r="MAY2" s="494"/>
      <c r="MAZ2" s="494"/>
      <c r="MBA2" s="494"/>
      <c r="MBB2" s="494"/>
      <c r="MBC2" s="494"/>
      <c r="MBD2" s="494"/>
      <c r="MBE2" s="494"/>
      <c r="MBF2" s="494"/>
      <c r="MBG2" s="494"/>
      <c r="MBH2" s="494"/>
      <c r="MBI2" s="494"/>
      <c r="MBJ2" s="494"/>
      <c r="MBK2" s="494"/>
      <c r="MBL2" s="494"/>
      <c r="MBM2" s="494"/>
      <c r="MBN2" s="494"/>
      <c r="MBO2" s="494"/>
      <c r="MBP2" s="494"/>
      <c r="MBQ2" s="494"/>
      <c r="MBR2" s="494"/>
      <c r="MBS2" s="494"/>
      <c r="MBT2" s="494"/>
      <c r="MBU2" s="494"/>
      <c r="MBV2" s="494"/>
      <c r="MBW2" s="494"/>
      <c r="MBX2" s="494"/>
      <c r="MBY2" s="494"/>
      <c r="MBZ2" s="494"/>
      <c r="MCA2" s="494"/>
      <c r="MCB2" s="494"/>
      <c r="MCC2" s="494"/>
      <c r="MCD2" s="494"/>
      <c r="MCE2" s="494"/>
      <c r="MCF2" s="494"/>
      <c r="MCG2" s="494"/>
      <c r="MCH2" s="494"/>
      <c r="MCI2" s="494"/>
      <c r="MCJ2" s="494"/>
      <c r="MCK2" s="494"/>
      <c r="MCL2" s="494"/>
      <c r="MCM2" s="494"/>
      <c r="MCN2" s="494"/>
      <c r="MCO2" s="494"/>
      <c r="MCP2" s="494"/>
      <c r="MCQ2" s="494"/>
      <c r="MCR2" s="494"/>
      <c r="MCS2" s="494"/>
      <c r="MCT2" s="494"/>
      <c r="MCU2" s="494"/>
      <c r="MCV2" s="494"/>
      <c r="MCW2" s="494"/>
      <c r="MCX2" s="494"/>
      <c r="MCY2" s="494"/>
      <c r="MCZ2" s="494"/>
      <c r="MDA2" s="494"/>
      <c r="MDB2" s="494"/>
      <c r="MDC2" s="494"/>
      <c r="MDD2" s="494"/>
      <c r="MDE2" s="494"/>
      <c r="MDF2" s="494"/>
      <c r="MDG2" s="494"/>
      <c r="MDH2" s="494"/>
      <c r="MDI2" s="494"/>
      <c r="MDJ2" s="494"/>
      <c r="MDK2" s="494"/>
      <c r="MDL2" s="494"/>
      <c r="MDM2" s="494"/>
      <c r="MDN2" s="494"/>
      <c r="MDO2" s="494"/>
      <c r="MDP2" s="494"/>
      <c r="MDQ2" s="494"/>
      <c r="MDR2" s="494"/>
      <c r="MDS2" s="494"/>
      <c r="MDT2" s="494"/>
      <c r="MDU2" s="494"/>
      <c r="MDV2" s="494"/>
      <c r="MDW2" s="494"/>
      <c r="MDX2" s="494"/>
      <c r="MDY2" s="494"/>
      <c r="MDZ2" s="494"/>
      <c r="MEA2" s="494"/>
      <c r="MEB2" s="494"/>
      <c r="MEC2" s="494"/>
      <c r="MED2" s="494"/>
      <c r="MEE2" s="494"/>
      <c r="MEF2" s="494"/>
      <c r="MEG2" s="494"/>
      <c r="MEH2" s="494"/>
      <c r="MEI2" s="494"/>
      <c r="MEJ2" s="494"/>
      <c r="MEK2" s="494"/>
      <c r="MEL2" s="494"/>
      <c r="MEM2" s="494"/>
      <c r="MEN2" s="494"/>
      <c r="MEO2" s="494"/>
      <c r="MEP2" s="494"/>
      <c r="MEQ2" s="494"/>
      <c r="MER2" s="494"/>
      <c r="MES2" s="494"/>
      <c r="MET2" s="494"/>
      <c r="MEU2" s="494"/>
      <c r="MEV2" s="494"/>
      <c r="MEW2" s="494"/>
      <c r="MEX2" s="494"/>
      <c r="MEY2" s="494"/>
      <c r="MEZ2" s="494"/>
      <c r="MFA2" s="494"/>
      <c r="MFB2" s="494"/>
      <c r="MFC2" s="494"/>
      <c r="MFD2" s="494"/>
      <c r="MFE2" s="494"/>
      <c r="MFF2" s="494"/>
      <c r="MFG2" s="494"/>
      <c r="MFH2" s="494"/>
      <c r="MFI2" s="494"/>
      <c r="MFJ2" s="494"/>
      <c r="MFK2" s="494"/>
      <c r="MFL2" s="494"/>
      <c r="MFM2" s="494"/>
      <c r="MFN2" s="494"/>
      <c r="MFO2" s="494"/>
      <c r="MFP2" s="494"/>
      <c r="MFQ2" s="494"/>
      <c r="MFR2" s="494"/>
      <c r="MFS2" s="494"/>
      <c r="MFT2" s="494"/>
      <c r="MFU2" s="494"/>
      <c r="MFV2" s="494"/>
      <c r="MFW2" s="494"/>
      <c r="MFX2" s="494"/>
      <c r="MFY2" s="494"/>
      <c r="MFZ2" s="494"/>
      <c r="MGA2" s="494"/>
      <c r="MGB2" s="494"/>
      <c r="MGC2" s="494"/>
      <c r="MGD2" s="494"/>
      <c r="MGE2" s="494"/>
      <c r="MGF2" s="494"/>
      <c r="MGG2" s="494"/>
      <c r="MGH2" s="494"/>
      <c r="MGI2" s="494"/>
      <c r="MGJ2" s="494"/>
      <c r="MGK2" s="494"/>
      <c r="MGL2" s="494"/>
      <c r="MGM2" s="494"/>
      <c r="MGN2" s="494"/>
      <c r="MGO2" s="494"/>
      <c r="MGP2" s="494"/>
      <c r="MGQ2" s="494"/>
      <c r="MGR2" s="494"/>
      <c r="MGS2" s="494"/>
      <c r="MGT2" s="494"/>
      <c r="MGU2" s="494"/>
      <c r="MGV2" s="494"/>
      <c r="MGW2" s="494"/>
      <c r="MGX2" s="494"/>
      <c r="MGY2" s="494"/>
      <c r="MGZ2" s="494"/>
      <c r="MHA2" s="494"/>
      <c r="MHB2" s="494"/>
      <c r="MHC2" s="494"/>
      <c r="MHD2" s="494"/>
      <c r="MHE2" s="494"/>
      <c r="MHF2" s="494"/>
      <c r="MHG2" s="494"/>
      <c r="MHH2" s="494"/>
      <c r="MHI2" s="494"/>
      <c r="MHJ2" s="494"/>
      <c r="MHK2" s="494"/>
      <c r="MHL2" s="494"/>
      <c r="MHM2" s="494"/>
      <c r="MHN2" s="494"/>
      <c r="MHO2" s="494"/>
      <c r="MHP2" s="494"/>
      <c r="MHQ2" s="494"/>
      <c r="MHR2" s="494"/>
      <c r="MHS2" s="494"/>
      <c r="MHT2" s="494"/>
      <c r="MHU2" s="494"/>
      <c r="MHV2" s="494"/>
      <c r="MHW2" s="494"/>
      <c r="MHX2" s="494"/>
      <c r="MHY2" s="494"/>
      <c r="MHZ2" s="494"/>
      <c r="MIA2" s="494"/>
      <c r="MIB2" s="494"/>
      <c r="MIC2" s="494"/>
      <c r="MID2" s="494"/>
      <c r="MIE2" s="494"/>
      <c r="MIF2" s="494"/>
      <c r="MIG2" s="494"/>
      <c r="MIH2" s="494"/>
      <c r="MII2" s="494"/>
      <c r="MIJ2" s="494"/>
      <c r="MIK2" s="494"/>
      <c r="MIL2" s="494"/>
      <c r="MIM2" s="494"/>
      <c r="MIN2" s="494"/>
      <c r="MIO2" s="494"/>
      <c r="MIP2" s="494"/>
      <c r="MIQ2" s="494"/>
      <c r="MIR2" s="494"/>
      <c r="MIS2" s="494"/>
      <c r="MIT2" s="494"/>
      <c r="MIU2" s="494"/>
      <c r="MIV2" s="494"/>
      <c r="MIW2" s="494"/>
      <c r="MIX2" s="494"/>
      <c r="MIY2" s="494"/>
      <c r="MIZ2" s="494"/>
      <c r="MJA2" s="494"/>
      <c r="MJB2" s="494"/>
      <c r="MJC2" s="494"/>
      <c r="MJD2" s="494"/>
      <c r="MJE2" s="494"/>
      <c r="MJF2" s="494"/>
      <c r="MJG2" s="494"/>
      <c r="MJH2" s="494"/>
      <c r="MJI2" s="494"/>
      <c r="MJJ2" s="494"/>
      <c r="MJK2" s="494"/>
      <c r="MJL2" s="494"/>
      <c r="MJM2" s="494"/>
      <c r="MJN2" s="494"/>
      <c r="MJO2" s="494"/>
      <c r="MJP2" s="494"/>
      <c r="MJQ2" s="494"/>
      <c r="MJR2" s="494"/>
      <c r="MJS2" s="494"/>
      <c r="MJT2" s="494"/>
      <c r="MJU2" s="494"/>
      <c r="MJV2" s="494"/>
      <c r="MJW2" s="494"/>
      <c r="MJX2" s="494"/>
      <c r="MJY2" s="494"/>
      <c r="MJZ2" s="494"/>
      <c r="MKA2" s="494"/>
      <c r="MKB2" s="494"/>
      <c r="MKC2" s="494"/>
      <c r="MKD2" s="494"/>
      <c r="MKE2" s="494"/>
      <c r="MKF2" s="494"/>
      <c r="MKG2" s="494"/>
      <c r="MKH2" s="494"/>
      <c r="MKI2" s="494"/>
      <c r="MKJ2" s="494"/>
      <c r="MKK2" s="494"/>
      <c r="MKL2" s="494"/>
      <c r="MKM2" s="494"/>
      <c r="MKN2" s="494"/>
      <c r="MKO2" s="494"/>
      <c r="MKP2" s="494"/>
      <c r="MKQ2" s="494"/>
      <c r="MKR2" s="494"/>
      <c r="MKS2" s="494"/>
      <c r="MKT2" s="494"/>
      <c r="MKU2" s="494"/>
      <c r="MKV2" s="494"/>
      <c r="MKW2" s="494"/>
      <c r="MKX2" s="494"/>
      <c r="MKY2" s="494"/>
      <c r="MKZ2" s="494"/>
      <c r="MLA2" s="494"/>
      <c r="MLB2" s="494"/>
      <c r="MLC2" s="494"/>
      <c r="MLD2" s="494"/>
      <c r="MLE2" s="494"/>
      <c r="MLF2" s="494"/>
      <c r="MLG2" s="494"/>
      <c r="MLH2" s="494"/>
      <c r="MLI2" s="494"/>
      <c r="MLJ2" s="494"/>
      <c r="MLK2" s="494"/>
      <c r="MLL2" s="494"/>
      <c r="MLM2" s="494"/>
      <c r="MLN2" s="494"/>
      <c r="MLO2" s="494"/>
      <c r="MLP2" s="494"/>
      <c r="MLQ2" s="494"/>
      <c r="MLR2" s="494"/>
      <c r="MLS2" s="494"/>
      <c r="MLT2" s="494"/>
      <c r="MLU2" s="494"/>
      <c r="MLV2" s="494"/>
      <c r="MLW2" s="494"/>
      <c r="MLX2" s="494"/>
      <c r="MLY2" s="494"/>
      <c r="MLZ2" s="494"/>
      <c r="MMA2" s="494"/>
      <c r="MMB2" s="494"/>
      <c r="MMC2" s="494"/>
      <c r="MMD2" s="494"/>
      <c r="MME2" s="494"/>
      <c r="MMF2" s="494"/>
      <c r="MMG2" s="494"/>
      <c r="MMH2" s="494"/>
      <c r="MMI2" s="494"/>
      <c r="MMJ2" s="494"/>
      <c r="MMK2" s="494"/>
      <c r="MML2" s="494"/>
      <c r="MMM2" s="494"/>
      <c r="MMN2" s="494"/>
      <c r="MMO2" s="494"/>
      <c r="MMP2" s="494"/>
      <c r="MMQ2" s="494"/>
      <c r="MMR2" s="494"/>
      <c r="MMS2" s="494"/>
      <c r="MMT2" s="494"/>
      <c r="MMU2" s="494"/>
      <c r="MMV2" s="494"/>
      <c r="MMW2" s="494"/>
      <c r="MMX2" s="494"/>
      <c r="MMY2" s="494"/>
      <c r="MMZ2" s="494"/>
      <c r="MNA2" s="494"/>
      <c r="MNB2" s="494"/>
      <c r="MNC2" s="494"/>
      <c r="MND2" s="494"/>
      <c r="MNE2" s="494"/>
      <c r="MNF2" s="494"/>
      <c r="MNG2" s="494"/>
      <c r="MNH2" s="494"/>
      <c r="MNI2" s="494"/>
      <c r="MNJ2" s="494"/>
      <c r="MNK2" s="494"/>
      <c r="MNL2" s="494"/>
      <c r="MNM2" s="494"/>
      <c r="MNN2" s="494"/>
      <c r="MNO2" s="494"/>
      <c r="MNP2" s="494"/>
      <c r="MNQ2" s="494"/>
      <c r="MNR2" s="494"/>
      <c r="MNS2" s="494"/>
      <c r="MNT2" s="494"/>
      <c r="MNU2" s="494"/>
      <c r="MNV2" s="494"/>
      <c r="MNW2" s="494"/>
      <c r="MNX2" s="494"/>
      <c r="MNY2" s="494"/>
      <c r="MNZ2" s="494"/>
      <c r="MOA2" s="494"/>
      <c r="MOB2" s="494"/>
      <c r="MOC2" s="494"/>
      <c r="MOD2" s="494"/>
      <c r="MOE2" s="494"/>
      <c r="MOF2" s="494"/>
      <c r="MOG2" s="494"/>
      <c r="MOH2" s="494"/>
      <c r="MOI2" s="494"/>
      <c r="MOJ2" s="494"/>
      <c r="MOK2" s="494"/>
      <c r="MOL2" s="494"/>
      <c r="MOM2" s="494"/>
      <c r="MON2" s="494"/>
      <c r="MOO2" s="494"/>
      <c r="MOP2" s="494"/>
      <c r="MOQ2" s="494"/>
      <c r="MOR2" s="494"/>
      <c r="MOS2" s="494"/>
      <c r="MOT2" s="494"/>
      <c r="MOU2" s="494"/>
      <c r="MOV2" s="494"/>
      <c r="MOW2" s="494"/>
      <c r="MOX2" s="494"/>
      <c r="MOY2" s="494"/>
      <c r="MOZ2" s="494"/>
      <c r="MPA2" s="494"/>
      <c r="MPB2" s="494"/>
      <c r="MPC2" s="494"/>
      <c r="MPD2" s="494"/>
      <c r="MPE2" s="494"/>
      <c r="MPF2" s="494"/>
      <c r="MPG2" s="494"/>
      <c r="MPH2" s="494"/>
      <c r="MPI2" s="494"/>
      <c r="MPJ2" s="494"/>
      <c r="MPK2" s="494"/>
      <c r="MPL2" s="494"/>
      <c r="MPM2" s="494"/>
      <c r="MPN2" s="494"/>
      <c r="MPO2" s="494"/>
      <c r="MPP2" s="494"/>
      <c r="MPQ2" s="494"/>
      <c r="MPR2" s="494"/>
      <c r="MPS2" s="494"/>
      <c r="MPT2" s="494"/>
      <c r="MPU2" s="494"/>
      <c r="MPV2" s="494"/>
      <c r="MPW2" s="494"/>
      <c r="MPX2" s="494"/>
      <c r="MPY2" s="494"/>
      <c r="MPZ2" s="494"/>
      <c r="MQA2" s="494"/>
      <c r="MQB2" s="494"/>
      <c r="MQC2" s="494"/>
      <c r="MQD2" s="494"/>
      <c r="MQE2" s="494"/>
      <c r="MQF2" s="494"/>
      <c r="MQG2" s="494"/>
      <c r="MQH2" s="494"/>
      <c r="MQI2" s="494"/>
      <c r="MQJ2" s="494"/>
      <c r="MQK2" s="494"/>
      <c r="MQL2" s="494"/>
      <c r="MQM2" s="494"/>
      <c r="MQN2" s="494"/>
      <c r="MQO2" s="494"/>
      <c r="MQP2" s="494"/>
      <c r="MQQ2" s="494"/>
      <c r="MQR2" s="494"/>
      <c r="MQS2" s="494"/>
      <c r="MQT2" s="494"/>
      <c r="MQU2" s="494"/>
      <c r="MQV2" s="494"/>
      <c r="MQW2" s="494"/>
      <c r="MQX2" s="494"/>
      <c r="MQY2" s="494"/>
      <c r="MQZ2" s="494"/>
      <c r="MRA2" s="494"/>
      <c r="MRB2" s="494"/>
      <c r="MRC2" s="494"/>
      <c r="MRD2" s="494"/>
      <c r="MRE2" s="494"/>
      <c r="MRF2" s="494"/>
      <c r="MRG2" s="494"/>
      <c r="MRH2" s="494"/>
      <c r="MRI2" s="494"/>
      <c r="MRJ2" s="494"/>
      <c r="MRK2" s="494"/>
      <c r="MRL2" s="494"/>
      <c r="MRM2" s="494"/>
      <c r="MRN2" s="494"/>
      <c r="MRO2" s="494"/>
      <c r="MRP2" s="494"/>
      <c r="MRQ2" s="494"/>
      <c r="MRR2" s="494"/>
      <c r="MRS2" s="494"/>
      <c r="MRT2" s="494"/>
      <c r="MRU2" s="494"/>
      <c r="MRV2" s="494"/>
      <c r="MRW2" s="494"/>
      <c r="MRX2" s="494"/>
      <c r="MRY2" s="494"/>
      <c r="MRZ2" s="494"/>
      <c r="MSA2" s="494"/>
      <c r="MSB2" s="494"/>
      <c r="MSC2" s="494"/>
      <c r="MSD2" s="494"/>
      <c r="MSE2" s="494"/>
      <c r="MSF2" s="494"/>
      <c r="MSG2" s="494"/>
      <c r="MSH2" s="494"/>
      <c r="MSI2" s="494"/>
      <c r="MSJ2" s="494"/>
      <c r="MSK2" s="494"/>
      <c r="MSL2" s="494"/>
      <c r="MSM2" s="494"/>
      <c r="MSN2" s="494"/>
      <c r="MSO2" s="494"/>
      <c r="MSP2" s="494"/>
      <c r="MSQ2" s="494"/>
      <c r="MSR2" s="494"/>
      <c r="MSS2" s="494"/>
      <c r="MST2" s="494"/>
      <c r="MSU2" s="494"/>
      <c r="MSV2" s="494"/>
      <c r="MSW2" s="494"/>
      <c r="MSX2" s="494"/>
      <c r="MSY2" s="494"/>
      <c r="MSZ2" s="494"/>
      <c r="MTA2" s="494"/>
      <c r="MTB2" s="494"/>
      <c r="MTC2" s="494"/>
      <c r="MTD2" s="494"/>
      <c r="MTE2" s="494"/>
      <c r="MTF2" s="494"/>
      <c r="MTG2" s="494"/>
      <c r="MTH2" s="494"/>
      <c r="MTI2" s="494"/>
      <c r="MTJ2" s="494"/>
      <c r="MTK2" s="494"/>
      <c r="MTL2" s="494"/>
      <c r="MTM2" s="494"/>
      <c r="MTN2" s="494"/>
      <c r="MTO2" s="494"/>
      <c r="MTP2" s="494"/>
      <c r="MTQ2" s="494"/>
      <c r="MTR2" s="494"/>
      <c r="MTS2" s="494"/>
      <c r="MTT2" s="494"/>
      <c r="MTU2" s="494"/>
      <c r="MTV2" s="494"/>
      <c r="MTW2" s="494"/>
      <c r="MTX2" s="494"/>
      <c r="MTY2" s="494"/>
      <c r="MTZ2" s="494"/>
      <c r="MUA2" s="494"/>
      <c r="MUB2" s="494"/>
      <c r="MUC2" s="494"/>
      <c r="MUD2" s="494"/>
      <c r="MUE2" s="494"/>
      <c r="MUF2" s="494"/>
      <c r="MUG2" s="494"/>
      <c r="MUH2" s="494"/>
      <c r="MUI2" s="494"/>
      <c r="MUJ2" s="494"/>
      <c r="MUK2" s="494"/>
      <c r="MUL2" s="494"/>
      <c r="MUM2" s="494"/>
      <c r="MUN2" s="494"/>
      <c r="MUO2" s="494"/>
      <c r="MUP2" s="494"/>
      <c r="MUQ2" s="494"/>
      <c r="MUR2" s="494"/>
      <c r="MUS2" s="494"/>
      <c r="MUT2" s="494"/>
      <c r="MUU2" s="494"/>
      <c r="MUV2" s="494"/>
      <c r="MUW2" s="494"/>
      <c r="MUX2" s="494"/>
      <c r="MUY2" s="494"/>
      <c r="MUZ2" s="494"/>
      <c r="MVA2" s="494"/>
      <c r="MVB2" s="494"/>
      <c r="MVC2" s="494"/>
      <c r="MVD2" s="494"/>
      <c r="MVE2" s="494"/>
      <c r="MVF2" s="494"/>
      <c r="MVG2" s="494"/>
      <c r="MVH2" s="494"/>
      <c r="MVI2" s="494"/>
      <c r="MVJ2" s="494"/>
      <c r="MVK2" s="494"/>
      <c r="MVL2" s="494"/>
      <c r="MVM2" s="494"/>
      <c r="MVN2" s="494"/>
      <c r="MVO2" s="494"/>
      <c r="MVP2" s="494"/>
      <c r="MVQ2" s="494"/>
      <c r="MVR2" s="494"/>
      <c r="MVS2" s="494"/>
      <c r="MVT2" s="494"/>
      <c r="MVU2" s="494"/>
      <c r="MVV2" s="494"/>
      <c r="MVW2" s="494"/>
      <c r="MVX2" s="494"/>
      <c r="MVY2" s="494"/>
      <c r="MVZ2" s="494"/>
      <c r="MWA2" s="494"/>
      <c r="MWB2" s="494"/>
      <c r="MWC2" s="494"/>
      <c r="MWD2" s="494"/>
      <c r="MWE2" s="494"/>
      <c r="MWF2" s="494"/>
      <c r="MWG2" s="494"/>
      <c r="MWH2" s="494"/>
      <c r="MWI2" s="494"/>
      <c r="MWJ2" s="494"/>
      <c r="MWK2" s="494"/>
      <c r="MWL2" s="494"/>
      <c r="MWM2" s="494"/>
      <c r="MWN2" s="494"/>
      <c r="MWO2" s="494"/>
      <c r="MWP2" s="494"/>
      <c r="MWQ2" s="494"/>
      <c r="MWR2" s="494"/>
      <c r="MWS2" s="494"/>
      <c r="MWT2" s="494"/>
      <c r="MWU2" s="494"/>
      <c r="MWV2" s="494"/>
      <c r="MWW2" s="494"/>
      <c r="MWX2" s="494"/>
      <c r="MWY2" s="494"/>
      <c r="MWZ2" s="494"/>
      <c r="MXA2" s="494"/>
      <c r="MXB2" s="494"/>
      <c r="MXC2" s="494"/>
      <c r="MXD2" s="494"/>
      <c r="MXE2" s="494"/>
      <c r="MXF2" s="494"/>
      <c r="MXG2" s="494"/>
      <c r="MXH2" s="494"/>
      <c r="MXI2" s="494"/>
      <c r="MXJ2" s="494"/>
      <c r="MXK2" s="494"/>
      <c r="MXL2" s="494"/>
      <c r="MXM2" s="494"/>
      <c r="MXN2" s="494"/>
      <c r="MXO2" s="494"/>
      <c r="MXP2" s="494"/>
      <c r="MXQ2" s="494"/>
      <c r="MXR2" s="494"/>
      <c r="MXS2" s="494"/>
      <c r="MXT2" s="494"/>
      <c r="MXU2" s="494"/>
      <c r="MXV2" s="494"/>
      <c r="MXW2" s="494"/>
      <c r="MXX2" s="494"/>
      <c r="MXY2" s="494"/>
      <c r="MXZ2" s="494"/>
      <c r="MYA2" s="494"/>
      <c r="MYB2" s="494"/>
      <c r="MYC2" s="494"/>
      <c r="MYD2" s="494"/>
      <c r="MYE2" s="494"/>
      <c r="MYF2" s="494"/>
      <c r="MYG2" s="494"/>
      <c r="MYH2" s="494"/>
      <c r="MYI2" s="494"/>
      <c r="MYJ2" s="494"/>
      <c r="MYK2" s="494"/>
      <c r="MYL2" s="494"/>
      <c r="MYM2" s="494"/>
      <c r="MYN2" s="494"/>
      <c r="MYO2" s="494"/>
      <c r="MYP2" s="494"/>
      <c r="MYQ2" s="494"/>
      <c r="MYR2" s="494"/>
      <c r="MYS2" s="494"/>
      <c r="MYT2" s="494"/>
      <c r="MYU2" s="494"/>
      <c r="MYV2" s="494"/>
      <c r="MYW2" s="494"/>
      <c r="MYX2" s="494"/>
      <c r="MYY2" s="494"/>
      <c r="MYZ2" s="494"/>
      <c r="MZA2" s="494"/>
      <c r="MZB2" s="494"/>
      <c r="MZC2" s="494"/>
      <c r="MZD2" s="494"/>
      <c r="MZE2" s="494"/>
      <c r="MZF2" s="494"/>
      <c r="MZG2" s="494"/>
      <c r="MZH2" s="494"/>
      <c r="MZI2" s="494"/>
      <c r="MZJ2" s="494"/>
      <c r="MZK2" s="494"/>
      <c r="MZL2" s="494"/>
      <c r="MZM2" s="494"/>
      <c r="MZN2" s="494"/>
      <c r="MZO2" s="494"/>
      <c r="MZP2" s="494"/>
      <c r="MZQ2" s="494"/>
      <c r="MZR2" s="494"/>
      <c r="MZS2" s="494"/>
      <c r="MZT2" s="494"/>
      <c r="MZU2" s="494"/>
      <c r="MZV2" s="494"/>
      <c r="MZW2" s="494"/>
      <c r="MZX2" s="494"/>
      <c r="MZY2" s="494"/>
      <c r="MZZ2" s="494"/>
      <c r="NAA2" s="494"/>
      <c r="NAB2" s="494"/>
      <c r="NAC2" s="494"/>
      <c r="NAD2" s="494"/>
      <c r="NAE2" s="494"/>
      <c r="NAF2" s="494"/>
      <c r="NAG2" s="494"/>
      <c r="NAH2" s="494"/>
      <c r="NAI2" s="494"/>
      <c r="NAJ2" s="494"/>
      <c r="NAK2" s="494"/>
      <c r="NAL2" s="494"/>
      <c r="NAM2" s="494"/>
      <c r="NAN2" s="494"/>
      <c r="NAO2" s="494"/>
      <c r="NAP2" s="494"/>
      <c r="NAQ2" s="494"/>
      <c r="NAR2" s="494"/>
      <c r="NAS2" s="494"/>
      <c r="NAT2" s="494"/>
      <c r="NAU2" s="494"/>
      <c r="NAV2" s="494"/>
      <c r="NAW2" s="494"/>
      <c r="NAX2" s="494"/>
      <c r="NAY2" s="494"/>
      <c r="NAZ2" s="494"/>
      <c r="NBA2" s="494"/>
      <c r="NBB2" s="494"/>
      <c r="NBC2" s="494"/>
      <c r="NBD2" s="494"/>
      <c r="NBE2" s="494"/>
      <c r="NBF2" s="494"/>
      <c r="NBG2" s="494"/>
      <c r="NBH2" s="494"/>
      <c r="NBI2" s="494"/>
      <c r="NBJ2" s="494"/>
      <c r="NBK2" s="494"/>
      <c r="NBL2" s="494"/>
      <c r="NBM2" s="494"/>
      <c r="NBN2" s="494"/>
      <c r="NBO2" s="494"/>
      <c r="NBP2" s="494"/>
      <c r="NBQ2" s="494"/>
      <c r="NBR2" s="494"/>
      <c r="NBS2" s="494"/>
      <c r="NBT2" s="494"/>
      <c r="NBU2" s="494"/>
      <c r="NBV2" s="494"/>
      <c r="NBW2" s="494"/>
      <c r="NBX2" s="494"/>
      <c r="NBY2" s="494"/>
      <c r="NBZ2" s="494"/>
      <c r="NCA2" s="494"/>
      <c r="NCB2" s="494"/>
      <c r="NCC2" s="494"/>
      <c r="NCD2" s="494"/>
      <c r="NCE2" s="494"/>
      <c r="NCF2" s="494"/>
      <c r="NCG2" s="494"/>
      <c r="NCH2" s="494"/>
      <c r="NCI2" s="494"/>
      <c r="NCJ2" s="494"/>
      <c r="NCK2" s="494"/>
      <c r="NCL2" s="494"/>
      <c r="NCM2" s="494"/>
      <c r="NCN2" s="494"/>
      <c r="NCO2" s="494"/>
      <c r="NCP2" s="494"/>
      <c r="NCQ2" s="494"/>
      <c r="NCR2" s="494"/>
      <c r="NCS2" s="494"/>
      <c r="NCT2" s="494"/>
      <c r="NCU2" s="494"/>
      <c r="NCV2" s="494"/>
      <c r="NCW2" s="494"/>
      <c r="NCX2" s="494"/>
      <c r="NCY2" s="494"/>
      <c r="NCZ2" s="494"/>
      <c r="NDA2" s="494"/>
      <c r="NDB2" s="494"/>
      <c r="NDC2" s="494"/>
      <c r="NDD2" s="494"/>
      <c r="NDE2" s="494"/>
      <c r="NDF2" s="494"/>
      <c r="NDG2" s="494"/>
      <c r="NDH2" s="494"/>
      <c r="NDI2" s="494"/>
      <c r="NDJ2" s="494"/>
      <c r="NDK2" s="494"/>
      <c r="NDL2" s="494"/>
      <c r="NDM2" s="494"/>
      <c r="NDN2" s="494"/>
      <c r="NDO2" s="494"/>
      <c r="NDP2" s="494"/>
      <c r="NDQ2" s="494"/>
      <c r="NDR2" s="494"/>
      <c r="NDS2" s="494"/>
      <c r="NDT2" s="494"/>
      <c r="NDU2" s="494"/>
      <c r="NDV2" s="494"/>
      <c r="NDW2" s="494"/>
      <c r="NDX2" s="494"/>
      <c r="NDY2" s="494"/>
      <c r="NDZ2" s="494"/>
      <c r="NEA2" s="494"/>
      <c r="NEB2" s="494"/>
      <c r="NEC2" s="494"/>
      <c r="NED2" s="494"/>
      <c r="NEE2" s="494"/>
      <c r="NEF2" s="494"/>
      <c r="NEG2" s="494"/>
      <c r="NEH2" s="494"/>
      <c r="NEI2" s="494"/>
      <c r="NEJ2" s="494"/>
      <c r="NEK2" s="494"/>
      <c r="NEL2" s="494"/>
      <c r="NEM2" s="494"/>
      <c r="NEN2" s="494"/>
      <c r="NEO2" s="494"/>
      <c r="NEP2" s="494"/>
      <c r="NEQ2" s="494"/>
      <c r="NER2" s="494"/>
      <c r="NES2" s="494"/>
      <c r="NET2" s="494"/>
      <c r="NEU2" s="494"/>
      <c r="NEV2" s="494"/>
      <c r="NEW2" s="494"/>
      <c r="NEX2" s="494"/>
      <c r="NEY2" s="494"/>
      <c r="NEZ2" s="494"/>
      <c r="NFA2" s="494"/>
      <c r="NFB2" s="494"/>
      <c r="NFC2" s="494"/>
      <c r="NFD2" s="494"/>
      <c r="NFE2" s="494"/>
      <c r="NFF2" s="494"/>
      <c r="NFG2" s="494"/>
      <c r="NFH2" s="494"/>
      <c r="NFI2" s="494"/>
      <c r="NFJ2" s="494"/>
      <c r="NFK2" s="494"/>
      <c r="NFL2" s="494"/>
      <c r="NFM2" s="494"/>
      <c r="NFN2" s="494"/>
      <c r="NFO2" s="494"/>
      <c r="NFP2" s="494"/>
      <c r="NFQ2" s="494"/>
      <c r="NFR2" s="494"/>
      <c r="NFS2" s="494"/>
      <c r="NFT2" s="494"/>
      <c r="NFU2" s="494"/>
      <c r="NFV2" s="494"/>
      <c r="NFW2" s="494"/>
      <c r="NFX2" s="494"/>
      <c r="NFY2" s="494"/>
      <c r="NFZ2" s="494"/>
      <c r="NGA2" s="494"/>
      <c r="NGB2" s="494"/>
      <c r="NGC2" s="494"/>
      <c r="NGD2" s="494"/>
      <c r="NGE2" s="494"/>
      <c r="NGF2" s="494"/>
      <c r="NGG2" s="494"/>
      <c r="NGH2" s="494"/>
      <c r="NGI2" s="494"/>
      <c r="NGJ2" s="494"/>
      <c r="NGK2" s="494"/>
      <c r="NGL2" s="494"/>
      <c r="NGM2" s="494"/>
      <c r="NGN2" s="494"/>
      <c r="NGO2" s="494"/>
      <c r="NGP2" s="494"/>
      <c r="NGQ2" s="494"/>
      <c r="NGR2" s="494"/>
      <c r="NGS2" s="494"/>
      <c r="NGT2" s="494"/>
      <c r="NGU2" s="494"/>
      <c r="NGV2" s="494"/>
      <c r="NGW2" s="494"/>
      <c r="NGX2" s="494"/>
      <c r="NGY2" s="494"/>
      <c r="NGZ2" s="494"/>
      <c r="NHA2" s="494"/>
      <c r="NHB2" s="494"/>
      <c r="NHC2" s="494"/>
      <c r="NHD2" s="494"/>
      <c r="NHE2" s="494"/>
      <c r="NHF2" s="494"/>
      <c r="NHG2" s="494"/>
      <c r="NHH2" s="494"/>
      <c r="NHI2" s="494"/>
      <c r="NHJ2" s="494"/>
      <c r="NHK2" s="494"/>
      <c r="NHL2" s="494"/>
      <c r="NHM2" s="494"/>
      <c r="NHN2" s="494"/>
      <c r="NHO2" s="494"/>
      <c r="NHP2" s="494"/>
      <c r="NHQ2" s="494"/>
      <c r="NHR2" s="494"/>
      <c r="NHS2" s="494"/>
      <c r="NHT2" s="494"/>
      <c r="NHU2" s="494"/>
      <c r="NHV2" s="494"/>
      <c r="NHW2" s="494"/>
      <c r="NHX2" s="494"/>
      <c r="NHY2" s="494"/>
      <c r="NHZ2" s="494"/>
      <c r="NIA2" s="494"/>
      <c r="NIB2" s="494"/>
      <c r="NIC2" s="494"/>
      <c r="NID2" s="494"/>
      <c r="NIE2" s="494"/>
      <c r="NIF2" s="494"/>
      <c r="NIG2" s="494"/>
      <c r="NIH2" s="494"/>
      <c r="NII2" s="494"/>
      <c r="NIJ2" s="494"/>
      <c r="NIK2" s="494"/>
      <c r="NIL2" s="494"/>
      <c r="NIM2" s="494"/>
      <c r="NIN2" s="494"/>
      <c r="NIO2" s="494"/>
      <c r="NIP2" s="494"/>
      <c r="NIQ2" s="494"/>
      <c r="NIR2" s="494"/>
      <c r="NIS2" s="494"/>
      <c r="NIT2" s="494"/>
      <c r="NIU2" s="494"/>
      <c r="NIV2" s="494"/>
      <c r="NIW2" s="494"/>
      <c r="NIX2" s="494"/>
      <c r="NIY2" s="494"/>
      <c r="NIZ2" s="494"/>
      <c r="NJA2" s="494"/>
      <c r="NJB2" s="494"/>
      <c r="NJC2" s="494"/>
      <c r="NJD2" s="494"/>
      <c r="NJE2" s="494"/>
      <c r="NJF2" s="494"/>
      <c r="NJG2" s="494"/>
      <c r="NJH2" s="494"/>
      <c r="NJI2" s="494"/>
      <c r="NJJ2" s="494"/>
      <c r="NJK2" s="494"/>
      <c r="NJL2" s="494"/>
      <c r="NJM2" s="494"/>
      <c r="NJN2" s="494"/>
      <c r="NJO2" s="494"/>
      <c r="NJP2" s="494"/>
      <c r="NJQ2" s="494"/>
      <c r="NJR2" s="494"/>
      <c r="NJS2" s="494"/>
      <c r="NJT2" s="494"/>
      <c r="NJU2" s="494"/>
      <c r="NJV2" s="494"/>
      <c r="NJW2" s="494"/>
      <c r="NJX2" s="494"/>
      <c r="NJY2" s="494"/>
      <c r="NJZ2" s="494"/>
      <c r="NKA2" s="494"/>
      <c r="NKB2" s="494"/>
      <c r="NKC2" s="494"/>
      <c r="NKD2" s="494"/>
      <c r="NKE2" s="494"/>
      <c r="NKF2" s="494"/>
      <c r="NKG2" s="494"/>
      <c r="NKH2" s="494"/>
      <c r="NKI2" s="494"/>
      <c r="NKJ2" s="494"/>
      <c r="NKK2" s="494"/>
      <c r="NKL2" s="494"/>
      <c r="NKM2" s="494"/>
      <c r="NKN2" s="494"/>
      <c r="NKO2" s="494"/>
      <c r="NKP2" s="494"/>
      <c r="NKQ2" s="494"/>
      <c r="NKR2" s="494"/>
      <c r="NKS2" s="494"/>
      <c r="NKT2" s="494"/>
      <c r="NKU2" s="494"/>
      <c r="NKV2" s="494"/>
      <c r="NKW2" s="494"/>
      <c r="NKX2" s="494"/>
      <c r="NKY2" s="494"/>
      <c r="NKZ2" s="494"/>
      <c r="NLA2" s="494"/>
      <c r="NLB2" s="494"/>
      <c r="NLC2" s="494"/>
      <c r="NLD2" s="494"/>
      <c r="NLE2" s="494"/>
      <c r="NLF2" s="494"/>
      <c r="NLG2" s="494"/>
      <c r="NLH2" s="494"/>
      <c r="NLI2" s="494"/>
      <c r="NLJ2" s="494"/>
      <c r="NLK2" s="494"/>
      <c r="NLL2" s="494"/>
      <c r="NLM2" s="494"/>
      <c r="NLN2" s="494"/>
      <c r="NLO2" s="494"/>
      <c r="NLP2" s="494"/>
      <c r="NLQ2" s="494"/>
      <c r="NLR2" s="494"/>
      <c r="NLS2" s="494"/>
      <c r="NLT2" s="494"/>
      <c r="NLU2" s="494"/>
      <c r="NLV2" s="494"/>
      <c r="NLW2" s="494"/>
      <c r="NLX2" s="494"/>
      <c r="NLY2" s="494"/>
      <c r="NLZ2" s="494"/>
      <c r="NMA2" s="494"/>
      <c r="NMB2" s="494"/>
      <c r="NMC2" s="494"/>
      <c r="NMD2" s="494"/>
      <c r="NME2" s="494"/>
      <c r="NMF2" s="494"/>
      <c r="NMG2" s="494"/>
      <c r="NMH2" s="494"/>
      <c r="NMI2" s="494"/>
      <c r="NMJ2" s="494"/>
      <c r="NMK2" s="494"/>
      <c r="NML2" s="494"/>
      <c r="NMM2" s="494"/>
      <c r="NMN2" s="494"/>
      <c r="NMO2" s="494"/>
      <c r="NMP2" s="494"/>
      <c r="NMQ2" s="494"/>
      <c r="NMR2" s="494"/>
      <c r="NMS2" s="494"/>
      <c r="NMT2" s="494"/>
      <c r="NMU2" s="494"/>
      <c r="NMV2" s="494"/>
      <c r="NMW2" s="494"/>
      <c r="NMX2" s="494"/>
      <c r="NMY2" s="494"/>
      <c r="NMZ2" s="494"/>
      <c r="NNA2" s="494"/>
      <c r="NNB2" s="494"/>
      <c r="NNC2" s="494"/>
      <c r="NND2" s="494"/>
      <c r="NNE2" s="494"/>
      <c r="NNF2" s="494"/>
      <c r="NNG2" s="494"/>
      <c r="NNH2" s="494"/>
      <c r="NNI2" s="494"/>
      <c r="NNJ2" s="494"/>
      <c r="NNK2" s="494"/>
      <c r="NNL2" s="494"/>
      <c r="NNM2" s="494"/>
      <c r="NNN2" s="494"/>
      <c r="NNO2" s="494"/>
      <c r="NNP2" s="494"/>
      <c r="NNQ2" s="494"/>
      <c r="NNR2" s="494"/>
      <c r="NNS2" s="494"/>
      <c r="NNT2" s="494"/>
      <c r="NNU2" s="494"/>
      <c r="NNV2" s="494"/>
      <c r="NNW2" s="494"/>
      <c r="NNX2" s="494"/>
      <c r="NNY2" s="494"/>
      <c r="NNZ2" s="494"/>
      <c r="NOA2" s="494"/>
      <c r="NOB2" s="494"/>
      <c r="NOC2" s="494"/>
      <c r="NOD2" s="494"/>
      <c r="NOE2" s="494"/>
      <c r="NOF2" s="494"/>
      <c r="NOG2" s="494"/>
      <c r="NOH2" s="494"/>
      <c r="NOI2" s="494"/>
      <c r="NOJ2" s="494"/>
      <c r="NOK2" s="494"/>
      <c r="NOL2" s="494"/>
      <c r="NOM2" s="494"/>
      <c r="NON2" s="494"/>
      <c r="NOO2" s="494"/>
      <c r="NOP2" s="494"/>
      <c r="NOQ2" s="494"/>
      <c r="NOR2" s="494"/>
      <c r="NOS2" s="494"/>
      <c r="NOT2" s="494"/>
      <c r="NOU2" s="494"/>
      <c r="NOV2" s="494"/>
      <c r="NOW2" s="494"/>
      <c r="NOX2" s="494"/>
      <c r="NOY2" s="494"/>
      <c r="NOZ2" s="494"/>
      <c r="NPA2" s="494"/>
      <c r="NPB2" s="494"/>
      <c r="NPC2" s="494"/>
      <c r="NPD2" s="494"/>
      <c r="NPE2" s="494"/>
      <c r="NPF2" s="494"/>
      <c r="NPG2" s="494"/>
      <c r="NPH2" s="494"/>
      <c r="NPI2" s="494"/>
      <c r="NPJ2" s="494"/>
      <c r="NPK2" s="494"/>
      <c r="NPL2" s="494"/>
      <c r="NPM2" s="494"/>
      <c r="NPN2" s="494"/>
      <c r="NPO2" s="494"/>
      <c r="NPP2" s="494"/>
      <c r="NPQ2" s="494"/>
      <c r="NPR2" s="494"/>
      <c r="NPS2" s="494"/>
      <c r="NPT2" s="494"/>
      <c r="NPU2" s="494"/>
      <c r="NPV2" s="494"/>
      <c r="NPW2" s="494"/>
      <c r="NPX2" s="494"/>
      <c r="NPY2" s="494"/>
      <c r="NPZ2" s="494"/>
      <c r="NQA2" s="494"/>
      <c r="NQB2" s="494"/>
      <c r="NQC2" s="494"/>
      <c r="NQD2" s="494"/>
      <c r="NQE2" s="494"/>
      <c r="NQF2" s="494"/>
      <c r="NQG2" s="494"/>
      <c r="NQH2" s="494"/>
      <c r="NQI2" s="494"/>
      <c r="NQJ2" s="494"/>
      <c r="NQK2" s="494"/>
      <c r="NQL2" s="494"/>
      <c r="NQM2" s="494"/>
      <c r="NQN2" s="494"/>
      <c r="NQO2" s="494"/>
      <c r="NQP2" s="494"/>
      <c r="NQQ2" s="494"/>
      <c r="NQR2" s="494"/>
      <c r="NQS2" s="494"/>
      <c r="NQT2" s="494"/>
      <c r="NQU2" s="494"/>
      <c r="NQV2" s="494"/>
      <c r="NQW2" s="494"/>
      <c r="NQX2" s="494"/>
      <c r="NQY2" s="494"/>
      <c r="NQZ2" s="494"/>
      <c r="NRA2" s="494"/>
      <c r="NRB2" s="494"/>
      <c r="NRC2" s="494"/>
      <c r="NRD2" s="494"/>
      <c r="NRE2" s="494"/>
      <c r="NRF2" s="494"/>
      <c r="NRG2" s="494"/>
      <c r="NRH2" s="494"/>
      <c r="NRI2" s="494"/>
      <c r="NRJ2" s="494"/>
      <c r="NRK2" s="494"/>
      <c r="NRL2" s="494"/>
      <c r="NRM2" s="494"/>
      <c r="NRN2" s="494"/>
      <c r="NRO2" s="494"/>
      <c r="NRP2" s="494"/>
      <c r="NRQ2" s="494"/>
      <c r="NRR2" s="494"/>
      <c r="NRS2" s="494"/>
      <c r="NRT2" s="494"/>
      <c r="NRU2" s="494"/>
      <c r="NRV2" s="494"/>
      <c r="NRW2" s="494"/>
      <c r="NRX2" s="494"/>
      <c r="NRY2" s="494"/>
      <c r="NRZ2" s="494"/>
      <c r="NSA2" s="494"/>
      <c r="NSB2" s="494"/>
      <c r="NSC2" s="494"/>
      <c r="NSD2" s="494"/>
      <c r="NSE2" s="494"/>
      <c r="NSF2" s="494"/>
      <c r="NSG2" s="494"/>
      <c r="NSH2" s="494"/>
      <c r="NSI2" s="494"/>
      <c r="NSJ2" s="494"/>
      <c r="NSK2" s="494"/>
      <c r="NSL2" s="494"/>
      <c r="NSM2" s="494"/>
      <c r="NSN2" s="494"/>
      <c r="NSO2" s="494"/>
      <c r="NSP2" s="494"/>
      <c r="NSQ2" s="494"/>
      <c r="NSR2" s="494"/>
      <c r="NSS2" s="494"/>
      <c r="NST2" s="494"/>
      <c r="NSU2" s="494"/>
      <c r="NSV2" s="494"/>
      <c r="NSW2" s="494"/>
      <c r="NSX2" s="494"/>
      <c r="NSY2" s="494"/>
      <c r="NSZ2" s="494"/>
      <c r="NTA2" s="494"/>
      <c r="NTB2" s="494"/>
      <c r="NTC2" s="494"/>
      <c r="NTD2" s="494"/>
      <c r="NTE2" s="494"/>
      <c r="NTF2" s="494"/>
      <c r="NTG2" s="494"/>
      <c r="NTH2" s="494"/>
      <c r="NTI2" s="494"/>
      <c r="NTJ2" s="494"/>
      <c r="NTK2" s="494"/>
      <c r="NTL2" s="494"/>
      <c r="NTM2" s="494"/>
      <c r="NTN2" s="494"/>
      <c r="NTO2" s="494"/>
      <c r="NTP2" s="494"/>
      <c r="NTQ2" s="494"/>
      <c r="NTR2" s="494"/>
      <c r="NTS2" s="494"/>
      <c r="NTT2" s="494"/>
      <c r="NTU2" s="494"/>
      <c r="NTV2" s="494"/>
      <c r="NTW2" s="494"/>
      <c r="NTX2" s="494"/>
      <c r="NTY2" s="494"/>
      <c r="NTZ2" s="494"/>
      <c r="NUA2" s="494"/>
      <c r="NUB2" s="494"/>
      <c r="NUC2" s="494"/>
      <c r="NUD2" s="494"/>
      <c r="NUE2" s="494"/>
      <c r="NUF2" s="494"/>
      <c r="NUG2" s="494"/>
      <c r="NUH2" s="494"/>
      <c r="NUI2" s="494"/>
      <c r="NUJ2" s="494"/>
      <c r="NUK2" s="494"/>
      <c r="NUL2" s="494"/>
      <c r="NUM2" s="494"/>
      <c r="NUN2" s="494"/>
      <c r="NUO2" s="494"/>
      <c r="NUP2" s="494"/>
      <c r="NUQ2" s="494"/>
      <c r="NUR2" s="494"/>
      <c r="NUS2" s="494"/>
      <c r="NUT2" s="494"/>
      <c r="NUU2" s="494"/>
      <c r="NUV2" s="494"/>
      <c r="NUW2" s="494"/>
      <c r="NUX2" s="494"/>
      <c r="NUY2" s="494"/>
      <c r="NUZ2" s="494"/>
      <c r="NVA2" s="494"/>
      <c r="NVB2" s="494"/>
      <c r="NVC2" s="494"/>
      <c r="NVD2" s="494"/>
      <c r="NVE2" s="494"/>
      <c r="NVF2" s="494"/>
      <c r="NVG2" s="494"/>
      <c r="NVH2" s="494"/>
      <c r="NVI2" s="494"/>
      <c r="NVJ2" s="494"/>
      <c r="NVK2" s="494"/>
      <c r="NVL2" s="494"/>
      <c r="NVM2" s="494"/>
      <c r="NVN2" s="494"/>
      <c r="NVO2" s="494"/>
      <c r="NVP2" s="494"/>
      <c r="NVQ2" s="494"/>
      <c r="NVR2" s="494"/>
      <c r="NVS2" s="494"/>
      <c r="NVT2" s="494"/>
      <c r="NVU2" s="494"/>
      <c r="NVV2" s="494"/>
      <c r="NVW2" s="494"/>
      <c r="NVX2" s="494"/>
      <c r="NVY2" s="494"/>
      <c r="NVZ2" s="494"/>
      <c r="NWA2" s="494"/>
      <c r="NWB2" s="494"/>
      <c r="NWC2" s="494"/>
      <c r="NWD2" s="494"/>
      <c r="NWE2" s="494"/>
      <c r="NWF2" s="494"/>
      <c r="NWG2" s="494"/>
      <c r="NWH2" s="494"/>
      <c r="NWI2" s="494"/>
      <c r="NWJ2" s="494"/>
      <c r="NWK2" s="494"/>
      <c r="NWL2" s="494"/>
      <c r="NWM2" s="494"/>
      <c r="NWN2" s="494"/>
      <c r="NWO2" s="494"/>
      <c r="NWP2" s="494"/>
      <c r="NWQ2" s="494"/>
      <c r="NWR2" s="494"/>
      <c r="NWS2" s="494"/>
      <c r="NWT2" s="494"/>
      <c r="NWU2" s="494"/>
      <c r="NWV2" s="494"/>
      <c r="NWW2" s="494"/>
      <c r="NWX2" s="494"/>
      <c r="NWY2" s="494"/>
      <c r="NWZ2" s="494"/>
      <c r="NXA2" s="494"/>
      <c r="NXB2" s="494"/>
      <c r="NXC2" s="494"/>
      <c r="NXD2" s="494"/>
      <c r="NXE2" s="494"/>
      <c r="NXF2" s="494"/>
      <c r="NXG2" s="494"/>
      <c r="NXH2" s="494"/>
      <c r="NXI2" s="494"/>
      <c r="NXJ2" s="494"/>
      <c r="NXK2" s="494"/>
      <c r="NXL2" s="494"/>
      <c r="NXM2" s="494"/>
      <c r="NXN2" s="494"/>
      <c r="NXO2" s="494"/>
      <c r="NXP2" s="494"/>
      <c r="NXQ2" s="494"/>
      <c r="NXR2" s="494"/>
      <c r="NXS2" s="494"/>
      <c r="NXT2" s="494"/>
      <c r="NXU2" s="494"/>
      <c r="NXV2" s="494"/>
      <c r="NXW2" s="494"/>
      <c r="NXX2" s="494"/>
      <c r="NXY2" s="494"/>
      <c r="NXZ2" s="494"/>
      <c r="NYA2" s="494"/>
      <c r="NYB2" s="494"/>
      <c r="NYC2" s="494"/>
      <c r="NYD2" s="494"/>
      <c r="NYE2" s="494"/>
      <c r="NYF2" s="494"/>
      <c r="NYG2" s="494"/>
      <c r="NYH2" s="494"/>
      <c r="NYI2" s="494"/>
      <c r="NYJ2" s="494"/>
      <c r="NYK2" s="494"/>
      <c r="NYL2" s="494"/>
      <c r="NYM2" s="494"/>
      <c r="NYN2" s="494"/>
      <c r="NYO2" s="494"/>
      <c r="NYP2" s="494"/>
      <c r="NYQ2" s="494"/>
      <c r="NYR2" s="494"/>
      <c r="NYS2" s="494"/>
      <c r="NYT2" s="494"/>
      <c r="NYU2" s="494"/>
      <c r="NYV2" s="494"/>
      <c r="NYW2" s="494"/>
      <c r="NYX2" s="494"/>
      <c r="NYY2" s="494"/>
      <c r="NYZ2" s="494"/>
      <c r="NZA2" s="494"/>
      <c r="NZB2" s="494"/>
      <c r="NZC2" s="494"/>
      <c r="NZD2" s="494"/>
      <c r="NZE2" s="494"/>
      <c r="NZF2" s="494"/>
      <c r="NZG2" s="494"/>
      <c r="NZH2" s="494"/>
      <c r="NZI2" s="494"/>
      <c r="NZJ2" s="494"/>
      <c r="NZK2" s="494"/>
      <c r="NZL2" s="494"/>
      <c r="NZM2" s="494"/>
      <c r="NZN2" s="494"/>
      <c r="NZO2" s="494"/>
      <c r="NZP2" s="494"/>
      <c r="NZQ2" s="494"/>
      <c r="NZR2" s="494"/>
      <c r="NZS2" s="494"/>
      <c r="NZT2" s="494"/>
      <c r="NZU2" s="494"/>
      <c r="NZV2" s="494"/>
      <c r="NZW2" s="494"/>
      <c r="NZX2" s="494"/>
      <c r="NZY2" s="494"/>
      <c r="NZZ2" s="494"/>
      <c r="OAA2" s="494"/>
      <c r="OAB2" s="494"/>
      <c r="OAC2" s="494"/>
      <c r="OAD2" s="494"/>
      <c r="OAE2" s="494"/>
      <c r="OAF2" s="494"/>
      <c r="OAG2" s="494"/>
      <c r="OAH2" s="494"/>
      <c r="OAI2" s="494"/>
      <c r="OAJ2" s="494"/>
      <c r="OAK2" s="494"/>
      <c r="OAL2" s="494"/>
      <c r="OAM2" s="494"/>
      <c r="OAN2" s="494"/>
      <c r="OAO2" s="494"/>
      <c r="OAP2" s="494"/>
      <c r="OAQ2" s="494"/>
      <c r="OAR2" s="494"/>
      <c r="OAS2" s="494"/>
      <c r="OAT2" s="494"/>
      <c r="OAU2" s="494"/>
      <c r="OAV2" s="494"/>
      <c r="OAW2" s="494"/>
      <c r="OAX2" s="494"/>
      <c r="OAY2" s="494"/>
      <c r="OAZ2" s="494"/>
      <c r="OBA2" s="494"/>
      <c r="OBB2" s="494"/>
      <c r="OBC2" s="494"/>
      <c r="OBD2" s="494"/>
      <c r="OBE2" s="494"/>
      <c r="OBF2" s="494"/>
      <c r="OBG2" s="494"/>
      <c r="OBH2" s="494"/>
      <c r="OBI2" s="494"/>
      <c r="OBJ2" s="494"/>
      <c r="OBK2" s="494"/>
      <c r="OBL2" s="494"/>
      <c r="OBM2" s="494"/>
      <c r="OBN2" s="494"/>
      <c r="OBO2" s="494"/>
      <c r="OBP2" s="494"/>
      <c r="OBQ2" s="494"/>
      <c r="OBR2" s="494"/>
      <c r="OBS2" s="494"/>
      <c r="OBT2" s="494"/>
      <c r="OBU2" s="494"/>
      <c r="OBV2" s="494"/>
      <c r="OBW2" s="494"/>
      <c r="OBX2" s="494"/>
      <c r="OBY2" s="494"/>
      <c r="OBZ2" s="494"/>
      <c r="OCA2" s="494"/>
      <c r="OCB2" s="494"/>
      <c r="OCC2" s="494"/>
      <c r="OCD2" s="494"/>
      <c r="OCE2" s="494"/>
      <c r="OCF2" s="494"/>
      <c r="OCG2" s="494"/>
      <c r="OCH2" s="494"/>
      <c r="OCI2" s="494"/>
      <c r="OCJ2" s="494"/>
      <c r="OCK2" s="494"/>
      <c r="OCL2" s="494"/>
      <c r="OCM2" s="494"/>
      <c r="OCN2" s="494"/>
      <c r="OCO2" s="494"/>
      <c r="OCP2" s="494"/>
      <c r="OCQ2" s="494"/>
      <c r="OCR2" s="494"/>
      <c r="OCS2" s="494"/>
      <c r="OCT2" s="494"/>
      <c r="OCU2" s="494"/>
      <c r="OCV2" s="494"/>
      <c r="OCW2" s="494"/>
      <c r="OCX2" s="494"/>
      <c r="OCY2" s="494"/>
      <c r="OCZ2" s="494"/>
      <c r="ODA2" s="494"/>
      <c r="ODB2" s="494"/>
      <c r="ODC2" s="494"/>
      <c r="ODD2" s="494"/>
      <c r="ODE2" s="494"/>
      <c r="ODF2" s="494"/>
      <c r="ODG2" s="494"/>
      <c r="ODH2" s="494"/>
      <c r="ODI2" s="494"/>
      <c r="ODJ2" s="494"/>
      <c r="ODK2" s="494"/>
      <c r="ODL2" s="494"/>
      <c r="ODM2" s="494"/>
      <c r="ODN2" s="494"/>
      <c r="ODO2" s="494"/>
      <c r="ODP2" s="494"/>
      <c r="ODQ2" s="494"/>
      <c r="ODR2" s="494"/>
      <c r="ODS2" s="494"/>
      <c r="ODT2" s="494"/>
      <c r="ODU2" s="494"/>
      <c r="ODV2" s="494"/>
      <c r="ODW2" s="494"/>
      <c r="ODX2" s="494"/>
      <c r="ODY2" s="494"/>
      <c r="ODZ2" s="494"/>
      <c r="OEA2" s="494"/>
      <c r="OEB2" s="494"/>
      <c r="OEC2" s="494"/>
      <c r="OED2" s="494"/>
      <c r="OEE2" s="494"/>
      <c r="OEF2" s="494"/>
      <c r="OEG2" s="494"/>
      <c r="OEH2" s="494"/>
      <c r="OEI2" s="494"/>
      <c r="OEJ2" s="494"/>
      <c r="OEK2" s="494"/>
      <c r="OEL2" s="494"/>
      <c r="OEM2" s="494"/>
      <c r="OEN2" s="494"/>
      <c r="OEO2" s="494"/>
      <c r="OEP2" s="494"/>
      <c r="OEQ2" s="494"/>
      <c r="OER2" s="494"/>
      <c r="OES2" s="494"/>
      <c r="OET2" s="494"/>
      <c r="OEU2" s="494"/>
      <c r="OEV2" s="494"/>
      <c r="OEW2" s="494"/>
      <c r="OEX2" s="494"/>
      <c r="OEY2" s="494"/>
      <c r="OEZ2" s="494"/>
      <c r="OFA2" s="494"/>
      <c r="OFB2" s="494"/>
      <c r="OFC2" s="494"/>
      <c r="OFD2" s="494"/>
      <c r="OFE2" s="494"/>
      <c r="OFF2" s="494"/>
      <c r="OFG2" s="494"/>
      <c r="OFH2" s="494"/>
      <c r="OFI2" s="494"/>
      <c r="OFJ2" s="494"/>
      <c r="OFK2" s="494"/>
      <c r="OFL2" s="494"/>
      <c r="OFM2" s="494"/>
      <c r="OFN2" s="494"/>
      <c r="OFO2" s="494"/>
      <c r="OFP2" s="494"/>
      <c r="OFQ2" s="494"/>
      <c r="OFR2" s="494"/>
      <c r="OFS2" s="494"/>
      <c r="OFT2" s="494"/>
      <c r="OFU2" s="494"/>
      <c r="OFV2" s="494"/>
      <c r="OFW2" s="494"/>
      <c r="OFX2" s="494"/>
      <c r="OFY2" s="494"/>
      <c r="OFZ2" s="494"/>
      <c r="OGA2" s="494"/>
      <c r="OGB2" s="494"/>
      <c r="OGC2" s="494"/>
      <c r="OGD2" s="494"/>
      <c r="OGE2" s="494"/>
      <c r="OGF2" s="494"/>
      <c r="OGG2" s="494"/>
      <c r="OGH2" s="494"/>
      <c r="OGI2" s="494"/>
      <c r="OGJ2" s="494"/>
      <c r="OGK2" s="494"/>
      <c r="OGL2" s="494"/>
      <c r="OGM2" s="494"/>
      <c r="OGN2" s="494"/>
      <c r="OGO2" s="494"/>
      <c r="OGP2" s="494"/>
      <c r="OGQ2" s="494"/>
      <c r="OGR2" s="494"/>
      <c r="OGS2" s="494"/>
      <c r="OGT2" s="494"/>
      <c r="OGU2" s="494"/>
      <c r="OGV2" s="494"/>
      <c r="OGW2" s="494"/>
      <c r="OGX2" s="494"/>
      <c r="OGY2" s="494"/>
      <c r="OGZ2" s="494"/>
      <c r="OHA2" s="494"/>
      <c r="OHB2" s="494"/>
      <c r="OHC2" s="494"/>
      <c r="OHD2" s="494"/>
      <c r="OHE2" s="494"/>
      <c r="OHF2" s="494"/>
      <c r="OHG2" s="494"/>
      <c r="OHH2" s="494"/>
      <c r="OHI2" s="494"/>
      <c r="OHJ2" s="494"/>
      <c r="OHK2" s="494"/>
      <c r="OHL2" s="494"/>
      <c r="OHM2" s="494"/>
      <c r="OHN2" s="494"/>
      <c r="OHO2" s="494"/>
      <c r="OHP2" s="494"/>
      <c r="OHQ2" s="494"/>
      <c r="OHR2" s="494"/>
      <c r="OHS2" s="494"/>
      <c r="OHT2" s="494"/>
      <c r="OHU2" s="494"/>
      <c r="OHV2" s="494"/>
      <c r="OHW2" s="494"/>
      <c r="OHX2" s="494"/>
      <c r="OHY2" s="494"/>
      <c r="OHZ2" s="494"/>
      <c r="OIA2" s="494"/>
      <c r="OIB2" s="494"/>
      <c r="OIC2" s="494"/>
      <c r="OID2" s="494"/>
      <c r="OIE2" s="494"/>
      <c r="OIF2" s="494"/>
      <c r="OIG2" s="494"/>
      <c r="OIH2" s="494"/>
      <c r="OII2" s="494"/>
      <c r="OIJ2" s="494"/>
      <c r="OIK2" s="494"/>
      <c r="OIL2" s="494"/>
      <c r="OIM2" s="494"/>
      <c r="OIN2" s="494"/>
      <c r="OIO2" s="494"/>
      <c r="OIP2" s="494"/>
      <c r="OIQ2" s="494"/>
      <c r="OIR2" s="494"/>
      <c r="OIS2" s="494"/>
      <c r="OIT2" s="494"/>
      <c r="OIU2" s="494"/>
      <c r="OIV2" s="494"/>
      <c r="OIW2" s="494"/>
      <c r="OIX2" s="494"/>
      <c r="OIY2" s="494"/>
      <c r="OIZ2" s="494"/>
      <c r="OJA2" s="494"/>
      <c r="OJB2" s="494"/>
      <c r="OJC2" s="494"/>
      <c r="OJD2" s="494"/>
      <c r="OJE2" s="494"/>
      <c r="OJF2" s="494"/>
      <c r="OJG2" s="494"/>
      <c r="OJH2" s="494"/>
      <c r="OJI2" s="494"/>
      <c r="OJJ2" s="494"/>
      <c r="OJK2" s="494"/>
      <c r="OJL2" s="494"/>
      <c r="OJM2" s="494"/>
      <c r="OJN2" s="494"/>
      <c r="OJO2" s="494"/>
      <c r="OJP2" s="494"/>
      <c r="OJQ2" s="494"/>
      <c r="OJR2" s="494"/>
      <c r="OJS2" s="494"/>
      <c r="OJT2" s="494"/>
      <c r="OJU2" s="494"/>
      <c r="OJV2" s="494"/>
      <c r="OJW2" s="494"/>
      <c r="OJX2" s="494"/>
      <c r="OJY2" s="494"/>
      <c r="OJZ2" s="494"/>
      <c r="OKA2" s="494"/>
      <c r="OKB2" s="494"/>
      <c r="OKC2" s="494"/>
      <c r="OKD2" s="494"/>
      <c r="OKE2" s="494"/>
      <c r="OKF2" s="494"/>
      <c r="OKG2" s="494"/>
      <c r="OKH2" s="494"/>
      <c r="OKI2" s="494"/>
      <c r="OKJ2" s="494"/>
      <c r="OKK2" s="494"/>
      <c r="OKL2" s="494"/>
      <c r="OKM2" s="494"/>
      <c r="OKN2" s="494"/>
      <c r="OKO2" s="494"/>
      <c r="OKP2" s="494"/>
      <c r="OKQ2" s="494"/>
      <c r="OKR2" s="494"/>
      <c r="OKS2" s="494"/>
      <c r="OKT2" s="494"/>
      <c r="OKU2" s="494"/>
      <c r="OKV2" s="494"/>
      <c r="OKW2" s="494"/>
      <c r="OKX2" s="494"/>
      <c r="OKY2" s="494"/>
      <c r="OKZ2" s="494"/>
      <c r="OLA2" s="494"/>
      <c r="OLB2" s="494"/>
      <c r="OLC2" s="494"/>
      <c r="OLD2" s="494"/>
      <c r="OLE2" s="494"/>
      <c r="OLF2" s="494"/>
      <c r="OLG2" s="494"/>
      <c r="OLH2" s="494"/>
      <c r="OLI2" s="494"/>
      <c r="OLJ2" s="494"/>
      <c r="OLK2" s="494"/>
      <c r="OLL2" s="494"/>
      <c r="OLM2" s="494"/>
      <c r="OLN2" s="494"/>
      <c r="OLO2" s="494"/>
      <c r="OLP2" s="494"/>
      <c r="OLQ2" s="494"/>
      <c r="OLR2" s="494"/>
      <c r="OLS2" s="494"/>
      <c r="OLT2" s="494"/>
      <c r="OLU2" s="494"/>
      <c r="OLV2" s="494"/>
      <c r="OLW2" s="494"/>
      <c r="OLX2" s="494"/>
      <c r="OLY2" s="494"/>
      <c r="OLZ2" s="494"/>
      <c r="OMA2" s="494"/>
      <c r="OMB2" s="494"/>
      <c r="OMC2" s="494"/>
      <c r="OMD2" s="494"/>
      <c r="OME2" s="494"/>
      <c r="OMF2" s="494"/>
      <c r="OMG2" s="494"/>
      <c r="OMH2" s="494"/>
      <c r="OMI2" s="494"/>
      <c r="OMJ2" s="494"/>
      <c r="OMK2" s="494"/>
      <c r="OML2" s="494"/>
      <c r="OMM2" s="494"/>
      <c r="OMN2" s="494"/>
      <c r="OMO2" s="494"/>
      <c r="OMP2" s="494"/>
      <c r="OMQ2" s="494"/>
      <c r="OMR2" s="494"/>
      <c r="OMS2" s="494"/>
      <c r="OMT2" s="494"/>
      <c r="OMU2" s="494"/>
      <c r="OMV2" s="494"/>
      <c r="OMW2" s="494"/>
      <c r="OMX2" s="494"/>
      <c r="OMY2" s="494"/>
      <c r="OMZ2" s="494"/>
      <c r="ONA2" s="494"/>
      <c r="ONB2" s="494"/>
      <c r="ONC2" s="494"/>
      <c r="OND2" s="494"/>
      <c r="ONE2" s="494"/>
      <c r="ONF2" s="494"/>
      <c r="ONG2" s="494"/>
      <c r="ONH2" s="494"/>
      <c r="ONI2" s="494"/>
      <c r="ONJ2" s="494"/>
      <c r="ONK2" s="494"/>
      <c r="ONL2" s="494"/>
      <c r="ONM2" s="494"/>
      <c r="ONN2" s="494"/>
      <c r="ONO2" s="494"/>
      <c r="ONP2" s="494"/>
      <c r="ONQ2" s="494"/>
      <c r="ONR2" s="494"/>
      <c r="ONS2" s="494"/>
      <c r="ONT2" s="494"/>
      <c r="ONU2" s="494"/>
      <c r="ONV2" s="494"/>
      <c r="ONW2" s="494"/>
      <c r="ONX2" s="494"/>
      <c r="ONY2" s="494"/>
      <c r="ONZ2" s="494"/>
      <c r="OOA2" s="494"/>
      <c r="OOB2" s="494"/>
      <c r="OOC2" s="494"/>
      <c r="OOD2" s="494"/>
      <c r="OOE2" s="494"/>
      <c r="OOF2" s="494"/>
      <c r="OOG2" s="494"/>
      <c r="OOH2" s="494"/>
      <c r="OOI2" s="494"/>
      <c r="OOJ2" s="494"/>
      <c r="OOK2" s="494"/>
      <c r="OOL2" s="494"/>
      <c r="OOM2" s="494"/>
      <c r="OON2" s="494"/>
      <c r="OOO2" s="494"/>
      <c r="OOP2" s="494"/>
      <c r="OOQ2" s="494"/>
      <c r="OOR2" s="494"/>
      <c r="OOS2" s="494"/>
      <c r="OOT2" s="494"/>
      <c r="OOU2" s="494"/>
      <c r="OOV2" s="494"/>
      <c r="OOW2" s="494"/>
      <c r="OOX2" s="494"/>
      <c r="OOY2" s="494"/>
      <c r="OOZ2" s="494"/>
      <c r="OPA2" s="494"/>
      <c r="OPB2" s="494"/>
      <c r="OPC2" s="494"/>
      <c r="OPD2" s="494"/>
      <c r="OPE2" s="494"/>
      <c r="OPF2" s="494"/>
      <c r="OPG2" s="494"/>
      <c r="OPH2" s="494"/>
      <c r="OPI2" s="494"/>
      <c r="OPJ2" s="494"/>
      <c r="OPK2" s="494"/>
      <c r="OPL2" s="494"/>
      <c r="OPM2" s="494"/>
      <c r="OPN2" s="494"/>
      <c r="OPO2" s="494"/>
      <c r="OPP2" s="494"/>
      <c r="OPQ2" s="494"/>
      <c r="OPR2" s="494"/>
      <c r="OPS2" s="494"/>
      <c r="OPT2" s="494"/>
      <c r="OPU2" s="494"/>
      <c r="OPV2" s="494"/>
      <c r="OPW2" s="494"/>
      <c r="OPX2" s="494"/>
      <c r="OPY2" s="494"/>
      <c r="OPZ2" s="494"/>
      <c r="OQA2" s="494"/>
      <c r="OQB2" s="494"/>
      <c r="OQC2" s="494"/>
      <c r="OQD2" s="494"/>
      <c r="OQE2" s="494"/>
      <c r="OQF2" s="494"/>
      <c r="OQG2" s="494"/>
      <c r="OQH2" s="494"/>
      <c r="OQI2" s="494"/>
      <c r="OQJ2" s="494"/>
      <c r="OQK2" s="494"/>
      <c r="OQL2" s="494"/>
      <c r="OQM2" s="494"/>
      <c r="OQN2" s="494"/>
      <c r="OQO2" s="494"/>
      <c r="OQP2" s="494"/>
      <c r="OQQ2" s="494"/>
      <c r="OQR2" s="494"/>
      <c r="OQS2" s="494"/>
      <c r="OQT2" s="494"/>
      <c r="OQU2" s="494"/>
      <c r="OQV2" s="494"/>
      <c r="OQW2" s="494"/>
      <c r="OQX2" s="494"/>
      <c r="OQY2" s="494"/>
      <c r="OQZ2" s="494"/>
      <c r="ORA2" s="494"/>
      <c r="ORB2" s="494"/>
      <c r="ORC2" s="494"/>
      <c r="ORD2" s="494"/>
      <c r="ORE2" s="494"/>
      <c r="ORF2" s="494"/>
      <c r="ORG2" s="494"/>
      <c r="ORH2" s="494"/>
      <c r="ORI2" s="494"/>
      <c r="ORJ2" s="494"/>
      <c r="ORK2" s="494"/>
      <c r="ORL2" s="494"/>
      <c r="ORM2" s="494"/>
      <c r="ORN2" s="494"/>
      <c r="ORO2" s="494"/>
      <c r="ORP2" s="494"/>
      <c r="ORQ2" s="494"/>
      <c r="ORR2" s="494"/>
      <c r="ORS2" s="494"/>
      <c r="ORT2" s="494"/>
      <c r="ORU2" s="494"/>
      <c r="ORV2" s="494"/>
      <c r="ORW2" s="494"/>
      <c r="ORX2" s="494"/>
      <c r="ORY2" s="494"/>
      <c r="ORZ2" s="494"/>
      <c r="OSA2" s="494"/>
      <c r="OSB2" s="494"/>
      <c r="OSC2" s="494"/>
      <c r="OSD2" s="494"/>
      <c r="OSE2" s="494"/>
      <c r="OSF2" s="494"/>
      <c r="OSG2" s="494"/>
      <c r="OSH2" s="494"/>
      <c r="OSI2" s="494"/>
      <c r="OSJ2" s="494"/>
      <c r="OSK2" s="494"/>
      <c r="OSL2" s="494"/>
      <c r="OSM2" s="494"/>
      <c r="OSN2" s="494"/>
      <c r="OSO2" s="494"/>
      <c r="OSP2" s="494"/>
      <c r="OSQ2" s="494"/>
      <c r="OSR2" s="494"/>
      <c r="OSS2" s="494"/>
      <c r="OST2" s="494"/>
      <c r="OSU2" s="494"/>
      <c r="OSV2" s="494"/>
      <c r="OSW2" s="494"/>
      <c r="OSX2" s="494"/>
      <c r="OSY2" s="494"/>
      <c r="OSZ2" s="494"/>
      <c r="OTA2" s="494"/>
      <c r="OTB2" s="494"/>
      <c r="OTC2" s="494"/>
      <c r="OTD2" s="494"/>
      <c r="OTE2" s="494"/>
      <c r="OTF2" s="494"/>
      <c r="OTG2" s="494"/>
      <c r="OTH2" s="494"/>
      <c r="OTI2" s="494"/>
      <c r="OTJ2" s="494"/>
      <c r="OTK2" s="494"/>
      <c r="OTL2" s="494"/>
      <c r="OTM2" s="494"/>
      <c r="OTN2" s="494"/>
      <c r="OTO2" s="494"/>
      <c r="OTP2" s="494"/>
      <c r="OTQ2" s="494"/>
      <c r="OTR2" s="494"/>
      <c r="OTS2" s="494"/>
      <c r="OTT2" s="494"/>
      <c r="OTU2" s="494"/>
      <c r="OTV2" s="494"/>
      <c r="OTW2" s="494"/>
      <c r="OTX2" s="494"/>
      <c r="OTY2" s="494"/>
      <c r="OTZ2" s="494"/>
      <c r="OUA2" s="494"/>
      <c r="OUB2" s="494"/>
      <c r="OUC2" s="494"/>
      <c r="OUD2" s="494"/>
      <c r="OUE2" s="494"/>
      <c r="OUF2" s="494"/>
      <c r="OUG2" s="494"/>
      <c r="OUH2" s="494"/>
      <c r="OUI2" s="494"/>
      <c r="OUJ2" s="494"/>
      <c r="OUK2" s="494"/>
      <c r="OUL2" s="494"/>
      <c r="OUM2" s="494"/>
      <c r="OUN2" s="494"/>
      <c r="OUO2" s="494"/>
      <c r="OUP2" s="494"/>
      <c r="OUQ2" s="494"/>
      <c r="OUR2" s="494"/>
      <c r="OUS2" s="494"/>
      <c r="OUT2" s="494"/>
      <c r="OUU2" s="494"/>
      <c r="OUV2" s="494"/>
      <c r="OUW2" s="494"/>
      <c r="OUX2" s="494"/>
      <c r="OUY2" s="494"/>
      <c r="OUZ2" s="494"/>
      <c r="OVA2" s="494"/>
      <c r="OVB2" s="494"/>
      <c r="OVC2" s="494"/>
      <c r="OVD2" s="494"/>
      <c r="OVE2" s="494"/>
      <c r="OVF2" s="494"/>
      <c r="OVG2" s="494"/>
      <c r="OVH2" s="494"/>
      <c r="OVI2" s="494"/>
      <c r="OVJ2" s="494"/>
      <c r="OVK2" s="494"/>
      <c r="OVL2" s="494"/>
      <c r="OVM2" s="494"/>
      <c r="OVN2" s="494"/>
      <c r="OVO2" s="494"/>
      <c r="OVP2" s="494"/>
      <c r="OVQ2" s="494"/>
      <c r="OVR2" s="494"/>
      <c r="OVS2" s="494"/>
      <c r="OVT2" s="494"/>
      <c r="OVU2" s="494"/>
      <c r="OVV2" s="494"/>
      <c r="OVW2" s="494"/>
      <c r="OVX2" s="494"/>
      <c r="OVY2" s="494"/>
      <c r="OVZ2" s="494"/>
      <c r="OWA2" s="494"/>
      <c r="OWB2" s="494"/>
      <c r="OWC2" s="494"/>
      <c r="OWD2" s="494"/>
      <c r="OWE2" s="494"/>
      <c r="OWF2" s="494"/>
      <c r="OWG2" s="494"/>
      <c r="OWH2" s="494"/>
      <c r="OWI2" s="494"/>
      <c r="OWJ2" s="494"/>
      <c r="OWK2" s="494"/>
      <c r="OWL2" s="494"/>
      <c r="OWM2" s="494"/>
      <c r="OWN2" s="494"/>
      <c r="OWO2" s="494"/>
      <c r="OWP2" s="494"/>
      <c r="OWQ2" s="494"/>
      <c r="OWR2" s="494"/>
      <c r="OWS2" s="494"/>
      <c r="OWT2" s="494"/>
      <c r="OWU2" s="494"/>
      <c r="OWV2" s="494"/>
      <c r="OWW2" s="494"/>
      <c r="OWX2" s="494"/>
      <c r="OWY2" s="494"/>
      <c r="OWZ2" s="494"/>
      <c r="OXA2" s="494"/>
      <c r="OXB2" s="494"/>
      <c r="OXC2" s="494"/>
      <c r="OXD2" s="494"/>
      <c r="OXE2" s="494"/>
      <c r="OXF2" s="494"/>
      <c r="OXG2" s="494"/>
      <c r="OXH2" s="494"/>
      <c r="OXI2" s="494"/>
      <c r="OXJ2" s="494"/>
      <c r="OXK2" s="494"/>
      <c r="OXL2" s="494"/>
      <c r="OXM2" s="494"/>
      <c r="OXN2" s="494"/>
      <c r="OXO2" s="494"/>
      <c r="OXP2" s="494"/>
      <c r="OXQ2" s="494"/>
      <c r="OXR2" s="494"/>
      <c r="OXS2" s="494"/>
      <c r="OXT2" s="494"/>
      <c r="OXU2" s="494"/>
      <c r="OXV2" s="494"/>
      <c r="OXW2" s="494"/>
      <c r="OXX2" s="494"/>
      <c r="OXY2" s="494"/>
      <c r="OXZ2" s="494"/>
      <c r="OYA2" s="494"/>
      <c r="OYB2" s="494"/>
      <c r="OYC2" s="494"/>
      <c r="OYD2" s="494"/>
      <c r="OYE2" s="494"/>
      <c r="OYF2" s="494"/>
      <c r="OYG2" s="494"/>
      <c r="OYH2" s="494"/>
      <c r="OYI2" s="494"/>
      <c r="OYJ2" s="494"/>
      <c r="OYK2" s="494"/>
      <c r="OYL2" s="494"/>
      <c r="OYM2" s="494"/>
      <c r="OYN2" s="494"/>
      <c r="OYO2" s="494"/>
      <c r="OYP2" s="494"/>
      <c r="OYQ2" s="494"/>
      <c r="OYR2" s="494"/>
      <c r="OYS2" s="494"/>
      <c r="OYT2" s="494"/>
      <c r="OYU2" s="494"/>
      <c r="OYV2" s="494"/>
      <c r="OYW2" s="494"/>
      <c r="OYX2" s="494"/>
      <c r="OYY2" s="494"/>
      <c r="OYZ2" s="494"/>
      <c r="OZA2" s="494"/>
      <c r="OZB2" s="494"/>
      <c r="OZC2" s="494"/>
      <c r="OZD2" s="494"/>
      <c r="OZE2" s="494"/>
      <c r="OZF2" s="494"/>
      <c r="OZG2" s="494"/>
      <c r="OZH2" s="494"/>
      <c r="OZI2" s="494"/>
      <c r="OZJ2" s="494"/>
      <c r="OZK2" s="494"/>
      <c r="OZL2" s="494"/>
      <c r="OZM2" s="494"/>
      <c r="OZN2" s="494"/>
      <c r="OZO2" s="494"/>
      <c r="OZP2" s="494"/>
      <c r="OZQ2" s="494"/>
      <c r="OZR2" s="494"/>
      <c r="OZS2" s="494"/>
      <c r="OZT2" s="494"/>
      <c r="OZU2" s="494"/>
      <c r="OZV2" s="494"/>
      <c r="OZW2" s="494"/>
      <c r="OZX2" s="494"/>
      <c r="OZY2" s="494"/>
      <c r="OZZ2" s="494"/>
      <c r="PAA2" s="494"/>
      <c r="PAB2" s="494"/>
      <c r="PAC2" s="494"/>
      <c r="PAD2" s="494"/>
      <c r="PAE2" s="494"/>
      <c r="PAF2" s="494"/>
      <c r="PAG2" s="494"/>
      <c r="PAH2" s="494"/>
      <c r="PAI2" s="494"/>
      <c r="PAJ2" s="494"/>
      <c r="PAK2" s="494"/>
      <c r="PAL2" s="494"/>
      <c r="PAM2" s="494"/>
      <c r="PAN2" s="494"/>
      <c r="PAO2" s="494"/>
      <c r="PAP2" s="494"/>
      <c r="PAQ2" s="494"/>
      <c r="PAR2" s="494"/>
      <c r="PAS2" s="494"/>
      <c r="PAT2" s="494"/>
      <c r="PAU2" s="494"/>
      <c r="PAV2" s="494"/>
      <c r="PAW2" s="494"/>
      <c r="PAX2" s="494"/>
      <c r="PAY2" s="494"/>
      <c r="PAZ2" s="494"/>
      <c r="PBA2" s="494"/>
      <c r="PBB2" s="494"/>
      <c r="PBC2" s="494"/>
      <c r="PBD2" s="494"/>
      <c r="PBE2" s="494"/>
      <c r="PBF2" s="494"/>
      <c r="PBG2" s="494"/>
      <c r="PBH2" s="494"/>
      <c r="PBI2" s="494"/>
      <c r="PBJ2" s="494"/>
      <c r="PBK2" s="494"/>
      <c r="PBL2" s="494"/>
      <c r="PBM2" s="494"/>
      <c r="PBN2" s="494"/>
      <c r="PBO2" s="494"/>
      <c r="PBP2" s="494"/>
      <c r="PBQ2" s="494"/>
      <c r="PBR2" s="494"/>
      <c r="PBS2" s="494"/>
      <c r="PBT2" s="494"/>
      <c r="PBU2" s="494"/>
      <c r="PBV2" s="494"/>
      <c r="PBW2" s="494"/>
      <c r="PBX2" s="494"/>
      <c r="PBY2" s="494"/>
      <c r="PBZ2" s="494"/>
      <c r="PCA2" s="494"/>
      <c r="PCB2" s="494"/>
      <c r="PCC2" s="494"/>
      <c r="PCD2" s="494"/>
      <c r="PCE2" s="494"/>
      <c r="PCF2" s="494"/>
      <c r="PCG2" s="494"/>
      <c r="PCH2" s="494"/>
      <c r="PCI2" s="494"/>
      <c r="PCJ2" s="494"/>
      <c r="PCK2" s="494"/>
      <c r="PCL2" s="494"/>
      <c r="PCM2" s="494"/>
      <c r="PCN2" s="494"/>
      <c r="PCO2" s="494"/>
      <c r="PCP2" s="494"/>
      <c r="PCQ2" s="494"/>
      <c r="PCR2" s="494"/>
      <c r="PCS2" s="494"/>
      <c r="PCT2" s="494"/>
      <c r="PCU2" s="494"/>
      <c r="PCV2" s="494"/>
      <c r="PCW2" s="494"/>
      <c r="PCX2" s="494"/>
      <c r="PCY2" s="494"/>
      <c r="PCZ2" s="494"/>
      <c r="PDA2" s="494"/>
      <c r="PDB2" s="494"/>
      <c r="PDC2" s="494"/>
      <c r="PDD2" s="494"/>
      <c r="PDE2" s="494"/>
      <c r="PDF2" s="494"/>
      <c r="PDG2" s="494"/>
      <c r="PDH2" s="494"/>
      <c r="PDI2" s="494"/>
      <c r="PDJ2" s="494"/>
      <c r="PDK2" s="494"/>
      <c r="PDL2" s="494"/>
      <c r="PDM2" s="494"/>
      <c r="PDN2" s="494"/>
      <c r="PDO2" s="494"/>
      <c r="PDP2" s="494"/>
      <c r="PDQ2" s="494"/>
      <c r="PDR2" s="494"/>
      <c r="PDS2" s="494"/>
      <c r="PDT2" s="494"/>
      <c r="PDU2" s="494"/>
      <c r="PDV2" s="494"/>
      <c r="PDW2" s="494"/>
      <c r="PDX2" s="494"/>
      <c r="PDY2" s="494"/>
      <c r="PDZ2" s="494"/>
      <c r="PEA2" s="494"/>
      <c r="PEB2" s="494"/>
      <c r="PEC2" s="494"/>
      <c r="PED2" s="494"/>
      <c r="PEE2" s="494"/>
      <c r="PEF2" s="494"/>
      <c r="PEG2" s="494"/>
      <c r="PEH2" s="494"/>
      <c r="PEI2" s="494"/>
      <c r="PEJ2" s="494"/>
      <c r="PEK2" s="494"/>
      <c r="PEL2" s="494"/>
      <c r="PEM2" s="494"/>
      <c r="PEN2" s="494"/>
      <c r="PEO2" s="494"/>
      <c r="PEP2" s="494"/>
      <c r="PEQ2" s="494"/>
      <c r="PER2" s="494"/>
      <c r="PES2" s="494"/>
      <c r="PET2" s="494"/>
      <c r="PEU2" s="494"/>
      <c r="PEV2" s="494"/>
      <c r="PEW2" s="494"/>
      <c r="PEX2" s="494"/>
      <c r="PEY2" s="494"/>
      <c r="PEZ2" s="494"/>
      <c r="PFA2" s="494"/>
      <c r="PFB2" s="494"/>
      <c r="PFC2" s="494"/>
      <c r="PFD2" s="494"/>
      <c r="PFE2" s="494"/>
      <c r="PFF2" s="494"/>
      <c r="PFG2" s="494"/>
      <c r="PFH2" s="494"/>
      <c r="PFI2" s="494"/>
      <c r="PFJ2" s="494"/>
      <c r="PFK2" s="494"/>
      <c r="PFL2" s="494"/>
      <c r="PFM2" s="494"/>
      <c r="PFN2" s="494"/>
      <c r="PFO2" s="494"/>
      <c r="PFP2" s="494"/>
      <c r="PFQ2" s="494"/>
      <c r="PFR2" s="494"/>
      <c r="PFS2" s="494"/>
      <c r="PFT2" s="494"/>
      <c r="PFU2" s="494"/>
      <c r="PFV2" s="494"/>
      <c r="PFW2" s="494"/>
      <c r="PFX2" s="494"/>
      <c r="PFY2" s="494"/>
      <c r="PFZ2" s="494"/>
      <c r="PGA2" s="494"/>
      <c r="PGB2" s="494"/>
      <c r="PGC2" s="494"/>
      <c r="PGD2" s="494"/>
      <c r="PGE2" s="494"/>
      <c r="PGF2" s="494"/>
      <c r="PGG2" s="494"/>
      <c r="PGH2" s="494"/>
      <c r="PGI2" s="494"/>
      <c r="PGJ2" s="494"/>
      <c r="PGK2" s="494"/>
      <c r="PGL2" s="494"/>
      <c r="PGM2" s="494"/>
      <c r="PGN2" s="494"/>
      <c r="PGO2" s="494"/>
      <c r="PGP2" s="494"/>
      <c r="PGQ2" s="494"/>
      <c r="PGR2" s="494"/>
      <c r="PGS2" s="494"/>
      <c r="PGT2" s="494"/>
      <c r="PGU2" s="494"/>
      <c r="PGV2" s="494"/>
      <c r="PGW2" s="494"/>
      <c r="PGX2" s="494"/>
      <c r="PGY2" s="494"/>
      <c r="PGZ2" s="494"/>
      <c r="PHA2" s="494"/>
      <c r="PHB2" s="494"/>
      <c r="PHC2" s="494"/>
      <c r="PHD2" s="494"/>
      <c r="PHE2" s="494"/>
      <c r="PHF2" s="494"/>
      <c r="PHG2" s="494"/>
      <c r="PHH2" s="494"/>
      <c r="PHI2" s="494"/>
      <c r="PHJ2" s="494"/>
      <c r="PHK2" s="494"/>
      <c r="PHL2" s="494"/>
      <c r="PHM2" s="494"/>
      <c r="PHN2" s="494"/>
      <c r="PHO2" s="494"/>
      <c r="PHP2" s="494"/>
      <c r="PHQ2" s="494"/>
      <c r="PHR2" s="494"/>
      <c r="PHS2" s="494"/>
      <c r="PHT2" s="494"/>
      <c r="PHU2" s="494"/>
      <c r="PHV2" s="494"/>
      <c r="PHW2" s="494"/>
      <c r="PHX2" s="494"/>
      <c r="PHY2" s="494"/>
      <c r="PHZ2" s="494"/>
      <c r="PIA2" s="494"/>
      <c r="PIB2" s="494"/>
      <c r="PIC2" s="494"/>
      <c r="PID2" s="494"/>
      <c r="PIE2" s="494"/>
      <c r="PIF2" s="494"/>
      <c r="PIG2" s="494"/>
      <c r="PIH2" s="494"/>
      <c r="PII2" s="494"/>
      <c r="PIJ2" s="494"/>
      <c r="PIK2" s="494"/>
      <c r="PIL2" s="494"/>
      <c r="PIM2" s="494"/>
      <c r="PIN2" s="494"/>
      <c r="PIO2" s="494"/>
      <c r="PIP2" s="494"/>
      <c r="PIQ2" s="494"/>
      <c r="PIR2" s="494"/>
      <c r="PIS2" s="494"/>
      <c r="PIT2" s="494"/>
      <c r="PIU2" s="494"/>
      <c r="PIV2" s="494"/>
      <c r="PIW2" s="494"/>
      <c r="PIX2" s="494"/>
      <c r="PIY2" s="494"/>
      <c r="PIZ2" s="494"/>
      <c r="PJA2" s="494"/>
      <c r="PJB2" s="494"/>
      <c r="PJC2" s="494"/>
      <c r="PJD2" s="494"/>
      <c r="PJE2" s="494"/>
      <c r="PJF2" s="494"/>
      <c r="PJG2" s="494"/>
      <c r="PJH2" s="494"/>
      <c r="PJI2" s="494"/>
      <c r="PJJ2" s="494"/>
      <c r="PJK2" s="494"/>
      <c r="PJL2" s="494"/>
      <c r="PJM2" s="494"/>
      <c r="PJN2" s="494"/>
      <c r="PJO2" s="494"/>
      <c r="PJP2" s="494"/>
      <c r="PJQ2" s="494"/>
      <c r="PJR2" s="494"/>
      <c r="PJS2" s="494"/>
      <c r="PJT2" s="494"/>
      <c r="PJU2" s="494"/>
      <c r="PJV2" s="494"/>
      <c r="PJW2" s="494"/>
      <c r="PJX2" s="494"/>
      <c r="PJY2" s="494"/>
      <c r="PJZ2" s="494"/>
      <c r="PKA2" s="494"/>
      <c r="PKB2" s="494"/>
      <c r="PKC2" s="494"/>
      <c r="PKD2" s="494"/>
      <c r="PKE2" s="494"/>
      <c r="PKF2" s="494"/>
      <c r="PKG2" s="494"/>
      <c r="PKH2" s="494"/>
      <c r="PKI2" s="494"/>
      <c r="PKJ2" s="494"/>
      <c r="PKK2" s="494"/>
      <c r="PKL2" s="494"/>
      <c r="PKM2" s="494"/>
      <c r="PKN2" s="494"/>
      <c r="PKO2" s="494"/>
      <c r="PKP2" s="494"/>
      <c r="PKQ2" s="494"/>
      <c r="PKR2" s="494"/>
      <c r="PKS2" s="494"/>
      <c r="PKT2" s="494"/>
      <c r="PKU2" s="494"/>
      <c r="PKV2" s="494"/>
      <c r="PKW2" s="494"/>
      <c r="PKX2" s="494"/>
      <c r="PKY2" s="494"/>
      <c r="PKZ2" s="494"/>
      <c r="PLA2" s="494"/>
      <c r="PLB2" s="494"/>
      <c r="PLC2" s="494"/>
      <c r="PLD2" s="494"/>
      <c r="PLE2" s="494"/>
      <c r="PLF2" s="494"/>
      <c r="PLG2" s="494"/>
      <c r="PLH2" s="494"/>
      <c r="PLI2" s="494"/>
      <c r="PLJ2" s="494"/>
      <c r="PLK2" s="494"/>
      <c r="PLL2" s="494"/>
      <c r="PLM2" s="494"/>
      <c r="PLN2" s="494"/>
      <c r="PLO2" s="494"/>
      <c r="PLP2" s="494"/>
      <c r="PLQ2" s="494"/>
      <c r="PLR2" s="494"/>
      <c r="PLS2" s="494"/>
      <c r="PLT2" s="494"/>
      <c r="PLU2" s="494"/>
      <c r="PLV2" s="494"/>
      <c r="PLW2" s="494"/>
      <c r="PLX2" s="494"/>
      <c r="PLY2" s="494"/>
      <c r="PLZ2" s="494"/>
      <c r="PMA2" s="494"/>
      <c r="PMB2" s="494"/>
      <c r="PMC2" s="494"/>
      <c r="PMD2" s="494"/>
      <c r="PME2" s="494"/>
      <c r="PMF2" s="494"/>
      <c r="PMG2" s="494"/>
      <c r="PMH2" s="494"/>
      <c r="PMI2" s="494"/>
      <c r="PMJ2" s="494"/>
      <c r="PMK2" s="494"/>
      <c r="PML2" s="494"/>
      <c r="PMM2" s="494"/>
      <c r="PMN2" s="494"/>
      <c r="PMO2" s="494"/>
      <c r="PMP2" s="494"/>
      <c r="PMQ2" s="494"/>
      <c r="PMR2" s="494"/>
      <c r="PMS2" s="494"/>
      <c r="PMT2" s="494"/>
      <c r="PMU2" s="494"/>
      <c r="PMV2" s="494"/>
      <c r="PMW2" s="494"/>
      <c r="PMX2" s="494"/>
      <c r="PMY2" s="494"/>
      <c r="PMZ2" s="494"/>
      <c r="PNA2" s="494"/>
      <c r="PNB2" s="494"/>
      <c r="PNC2" s="494"/>
      <c r="PND2" s="494"/>
      <c r="PNE2" s="494"/>
      <c r="PNF2" s="494"/>
      <c r="PNG2" s="494"/>
      <c r="PNH2" s="494"/>
      <c r="PNI2" s="494"/>
      <c r="PNJ2" s="494"/>
      <c r="PNK2" s="494"/>
      <c r="PNL2" s="494"/>
      <c r="PNM2" s="494"/>
      <c r="PNN2" s="494"/>
      <c r="PNO2" s="494"/>
      <c r="PNP2" s="494"/>
      <c r="PNQ2" s="494"/>
      <c r="PNR2" s="494"/>
      <c r="PNS2" s="494"/>
      <c r="PNT2" s="494"/>
      <c r="PNU2" s="494"/>
      <c r="PNV2" s="494"/>
      <c r="PNW2" s="494"/>
      <c r="PNX2" s="494"/>
      <c r="PNY2" s="494"/>
      <c r="PNZ2" s="494"/>
      <c r="POA2" s="494"/>
      <c r="POB2" s="494"/>
      <c r="POC2" s="494"/>
      <c r="POD2" s="494"/>
      <c r="POE2" s="494"/>
      <c r="POF2" s="494"/>
      <c r="POG2" s="494"/>
      <c r="POH2" s="494"/>
      <c r="POI2" s="494"/>
      <c r="POJ2" s="494"/>
      <c r="POK2" s="494"/>
      <c r="POL2" s="494"/>
      <c r="POM2" s="494"/>
      <c r="PON2" s="494"/>
      <c r="POO2" s="494"/>
      <c r="POP2" s="494"/>
      <c r="POQ2" s="494"/>
      <c r="POR2" s="494"/>
      <c r="POS2" s="494"/>
      <c r="POT2" s="494"/>
      <c r="POU2" s="494"/>
      <c r="POV2" s="494"/>
      <c r="POW2" s="494"/>
      <c r="POX2" s="494"/>
      <c r="POY2" s="494"/>
      <c r="POZ2" s="494"/>
      <c r="PPA2" s="494"/>
      <c r="PPB2" s="494"/>
      <c r="PPC2" s="494"/>
      <c r="PPD2" s="494"/>
      <c r="PPE2" s="494"/>
      <c r="PPF2" s="494"/>
      <c r="PPG2" s="494"/>
      <c r="PPH2" s="494"/>
      <c r="PPI2" s="494"/>
      <c r="PPJ2" s="494"/>
      <c r="PPK2" s="494"/>
      <c r="PPL2" s="494"/>
      <c r="PPM2" s="494"/>
      <c r="PPN2" s="494"/>
      <c r="PPO2" s="494"/>
      <c r="PPP2" s="494"/>
      <c r="PPQ2" s="494"/>
      <c r="PPR2" s="494"/>
      <c r="PPS2" s="494"/>
      <c r="PPT2" s="494"/>
      <c r="PPU2" s="494"/>
      <c r="PPV2" s="494"/>
      <c r="PPW2" s="494"/>
      <c r="PPX2" s="494"/>
      <c r="PPY2" s="494"/>
      <c r="PPZ2" s="494"/>
      <c r="PQA2" s="494"/>
      <c r="PQB2" s="494"/>
      <c r="PQC2" s="494"/>
      <c r="PQD2" s="494"/>
      <c r="PQE2" s="494"/>
      <c r="PQF2" s="494"/>
      <c r="PQG2" s="494"/>
      <c r="PQH2" s="494"/>
      <c r="PQI2" s="494"/>
      <c r="PQJ2" s="494"/>
      <c r="PQK2" s="494"/>
      <c r="PQL2" s="494"/>
      <c r="PQM2" s="494"/>
      <c r="PQN2" s="494"/>
      <c r="PQO2" s="494"/>
      <c r="PQP2" s="494"/>
      <c r="PQQ2" s="494"/>
      <c r="PQR2" s="494"/>
      <c r="PQS2" s="494"/>
      <c r="PQT2" s="494"/>
      <c r="PQU2" s="494"/>
      <c r="PQV2" s="494"/>
      <c r="PQW2" s="494"/>
      <c r="PQX2" s="494"/>
      <c r="PQY2" s="494"/>
      <c r="PQZ2" s="494"/>
      <c r="PRA2" s="494"/>
      <c r="PRB2" s="494"/>
      <c r="PRC2" s="494"/>
      <c r="PRD2" s="494"/>
      <c r="PRE2" s="494"/>
      <c r="PRF2" s="494"/>
      <c r="PRG2" s="494"/>
      <c r="PRH2" s="494"/>
      <c r="PRI2" s="494"/>
      <c r="PRJ2" s="494"/>
      <c r="PRK2" s="494"/>
      <c r="PRL2" s="494"/>
      <c r="PRM2" s="494"/>
      <c r="PRN2" s="494"/>
      <c r="PRO2" s="494"/>
      <c r="PRP2" s="494"/>
      <c r="PRQ2" s="494"/>
      <c r="PRR2" s="494"/>
      <c r="PRS2" s="494"/>
      <c r="PRT2" s="494"/>
      <c r="PRU2" s="494"/>
      <c r="PRV2" s="494"/>
      <c r="PRW2" s="494"/>
      <c r="PRX2" s="494"/>
      <c r="PRY2" s="494"/>
      <c r="PRZ2" s="494"/>
      <c r="PSA2" s="494"/>
      <c r="PSB2" s="494"/>
      <c r="PSC2" s="494"/>
      <c r="PSD2" s="494"/>
      <c r="PSE2" s="494"/>
      <c r="PSF2" s="494"/>
      <c r="PSG2" s="494"/>
      <c r="PSH2" s="494"/>
      <c r="PSI2" s="494"/>
      <c r="PSJ2" s="494"/>
      <c r="PSK2" s="494"/>
      <c r="PSL2" s="494"/>
      <c r="PSM2" s="494"/>
      <c r="PSN2" s="494"/>
      <c r="PSO2" s="494"/>
      <c r="PSP2" s="494"/>
      <c r="PSQ2" s="494"/>
      <c r="PSR2" s="494"/>
      <c r="PSS2" s="494"/>
      <c r="PST2" s="494"/>
      <c r="PSU2" s="494"/>
      <c r="PSV2" s="494"/>
      <c r="PSW2" s="494"/>
      <c r="PSX2" s="494"/>
      <c r="PSY2" s="494"/>
      <c r="PSZ2" s="494"/>
      <c r="PTA2" s="494"/>
      <c r="PTB2" s="494"/>
      <c r="PTC2" s="494"/>
      <c r="PTD2" s="494"/>
      <c r="PTE2" s="494"/>
      <c r="PTF2" s="494"/>
      <c r="PTG2" s="494"/>
      <c r="PTH2" s="494"/>
      <c r="PTI2" s="494"/>
      <c r="PTJ2" s="494"/>
      <c r="PTK2" s="494"/>
      <c r="PTL2" s="494"/>
      <c r="PTM2" s="494"/>
      <c r="PTN2" s="494"/>
      <c r="PTO2" s="494"/>
      <c r="PTP2" s="494"/>
      <c r="PTQ2" s="494"/>
      <c r="PTR2" s="494"/>
      <c r="PTS2" s="494"/>
      <c r="PTT2" s="494"/>
      <c r="PTU2" s="494"/>
      <c r="PTV2" s="494"/>
      <c r="PTW2" s="494"/>
      <c r="PTX2" s="494"/>
      <c r="PTY2" s="494"/>
      <c r="PTZ2" s="494"/>
      <c r="PUA2" s="494"/>
      <c r="PUB2" s="494"/>
      <c r="PUC2" s="494"/>
      <c r="PUD2" s="494"/>
      <c r="PUE2" s="494"/>
      <c r="PUF2" s="494"/>
      <c r="PUG2" s="494"/>
      <c r="PUH2" s="494"/>
      <c r="PUI2" s="494"/>
      <c r="PUJ2" s="494"/>
      <c r="PUK2" s="494"/>
      <c r="PUL2" s="494"/>
      <c r="PUM2" s="494"/>
      <c r="PUN2" s="494"/>
      <c r="PUO2" s="494"/>
      <c r="PUP2" s="494"/>
      <c r="PUQ2" s="494"/>
      <c r="PUR2" s="494"/>
      <c r="PUS2" s="494"/>
      <c r="PUT2" s="494"/>
      <c r="PUU2" s="494"/>
      <c r="PUV2" s="494"/>
      <c r="PUW2" s="494"/>
      <c r="PUX2" s="494"/>
      <c r="PUY2" s="494"/>
      <c r="PUZ2" s="494"/>
      <c r="PVA2" s="494"/>
      <c r="PVB2" s="494"/>
      <c r="PVC2" s="494"/>
      <c r="PVD2" s="494"/>
      <c r="PVE2" s="494"/>
      <c r="PVF2" s="494"/>
      <c r="PVG2" s="494"/>
      <c r="PVH2" s="494"/>
      <c r="PVI2" s="494"/>
      <c r="PVJ2" s="494"/>
      <c r="PVK2" s="494"/>
      <c r="PVL2" s="494"/>
      <c r="PVM2" s="494"/>
      <c r="PVN2" s="494"/>
      <c r="PVO2" s="494"/>
      <c r="PVP2" s="494"/>
      <c r="PVQ2" s="494"/>
      <c r="PVR2" s="494"/>
      <c r="PVS2" s="494"/>
      <c r="PVT2" s="494"/>
      <c r="PVU2" s="494"/>
      <c r="PVV2" s="494"/>
      <c r="PVW2" s="494"/>
      <c r="PVX2" s="494"/>
      <c r="PVY2" s="494"/>
      <c r="PVZ2" s="494"/>
      <c r="PWA2" s="494"/>
      <c r="PWB2" s="494"/>
      <c r="PWC2" s="494"/>
      <c r="PWD2" s="494"/>
      <c r="PWE2" s="494"/>
      <c r="PWF2" s="494"/>
      <c r="PWG2" s="494"/>
      <c r="PWH2" s="494"/>
      <c r="PWI2" s="494"/>
      <c r="PWJ2" s="494"/>
      <c r="PWK2" s="494"/>
      <c r="PWL2" s="494"/>
      <c r="PWM2" s="494"/>
      <c r="PWN2" s="494"/>
      <c r="PWO2" s="494"/>
      <c r="PWP2" s="494"/>
      <c r="PWQ2" s="494"/>
      <c r="PWR2" s="494"/>
      <c r="PWS2" s="494"/>
      <c r="PWT2" s="494"/>
      <c r="PWU2" s="494"/>
      <c r="PWV2" s="494"/>
      <c r="PWW2" s="494"/>
      <c r="PWX2" s="494"/>
      <c r="PWY2" s="494"/>
      <c r="PWZ2" s="494"/>
      <c r="PXA2" s="494"/>
      <c r="PXB2" s="494"/>
      <c r="PXC2" s="494"/>
      <c r="PXD2" s="494"/>
      <c r="PXE2" s="494"/>
      <c r="PXF2" s="494"/>
      <c r="PXG2" s="494"/>
      <c r="PXH2" s="494"/>
      <c r="PXI2" s="494"/>
      <c r="PXJ2" s="494"/>
      <c r="PXK2" s="494"/>
      <c r="PXL2" s="494"/>
      <c r="PXM2" s="494"/>
      <c r="PXN2" s="494"/>
      <c r="PXO2" s="494"/>
      <c r="PXP2" s="494"/>
      <c r="PXQ2" s="494"/>
      <c r="PXR2" s="494"/>
      <c r="PXS2" s="494"/>
      <c r="PXT2" s="494"/>
      <c r="PXU2" s="494"/>
      <c r="PXV2" s="494"/>
      <c r="PXW2" s="494"/>
      <c r="PXX2" s="494"/>
      <c r="PXY2" s="494"/>
      <c r="PXZ2" s="494"/>
      <c r="PYA2" s="494"/>
      <c r="PYB2" s="494"/>
      <c r="PYC2" s="494"/>
      <c r="PYD2" s="494"/>
      <c r="PYE2" s="494"/>
      <c r="PYF2" s="494"/>
      <c r="PYG2" s="494"/>
      <c r="PYH2" s="494"/>
      <c r="PYI2" s="494"/>
      <c r="PYJ2" s="494"/>
      <c r="PYK2" s="494"/>
      <c r="PYL2" s="494"/>
      <c r="PYM2" s="494"/>
      <c r="PYN2" s="494"/>
      <c r="PYO2" s="494"/>
      <c r="PYP2" s="494"/>
      <c r="PYQ2" s="494"/>
      <c r="PYR2" s="494"/>
      <c r="PYS2" s="494"/>
      <c r="PYT2" s="494"/>
      <c r="PYU2" s="494"/>
      <c r="PYV2" s="494"/>
      <c r="PYW2" s="494"/>
      <c r="PYX2" s="494"/>
      <c r="PYY2" s="494"/>
      <c r="PYZ2" s="494"/>
      <c r="PZA2" s="494"/>
      <c r="PZB2" s="494"/>
      <c r="PZC2" s="494"/>
      <c r="PZD2" s="494"/>
      <c r="PZE2" s="494"/>
      <c r="PZF2" s="494"/>
      <c r="PZG2" s="494"/>
      <c r="PZH2" s="494"/>
      <c r="PZI2" s="494"/>
      <c r="PZJ2" s="494"/>
      <c r="PZK2" s="494"/>
      <c r="PZL2" s="494"/>
      <c r="PZM2" s="494"/>
      <c r="PZN2" s="494"/>
      <c r="PZO2" s="494"/>
      <c r="PZP2" s="494"/>
      <c r="PZQ2" s="494"/>
      <c r="PZR2" s="494"/>
      <c r="PZS2" s="494"/>
      <c r="PZT2" s="494"/>
      <c r="PZU2" s="494"/>
      <c r="PZV2" s="494"/>
      <c r="PZW2" s="494"/>
      <c r="PZX2" s="494"/>
      <c r="PZY2" s="494"/>
      <c r="PZZ2" s="494"/>
      <c r="QAA2" s="494"/>
      <c r="QAB2" s="494"/>
      <c r="QAC2" s="494"/>
      <c r="QAD2" s="494"/>
      <c r="QAE2" s="494"/>
      <c r="QAF2" s="494"/>
      <c r="QAG2" s="494"/>
      <c r="QAH2" s="494"/>
      <c r="QAI2" s="494"/>
      <c r="QAJ2" s="494"/>
      <c r="QAK2" s="494"/>
      <c r="QAL2" s="494"/>
      <c r="QAM2" s="494"/>
      <c r="QAN2" s="494"/>
      <c r="QAO2" s="494"/>
      <c r="QAP2" s="494"/>
      <c r="QAQ2" s="494"/>
      <c r="QAR2" s="494"/>
      <c r="QAS2" s="494"/>
      <c r="QAT2" s="494"/>
      <c r="QAU2" s="494"/>
      <c r="QAV2" s="494"/>
      <c r="QAW2" s="494"/>
      <c r="QAX2" s="494"/>
      <c r="QAY2" s="494"/>
      <c r="QAZ2" s="494"/>
      <c r="QBA2" s="494"/>
      <c r="QBB2" s="494"/>
      <c r="QBC2" s="494"/>
      <c r="QBD2" s="494"/>
      <c r="QBE2" s="494"/>
      <c r="QBF2" s="494"/>
      <c r="QBG2" s="494"/>
      <c r="QBH2" s="494"/>
      <c r="QBI2" s="494"/>
      <c r="QBJ2" s="494"/>
      <c r="QBK2" s="494"/>
      <c r="QBL2" s="494"/>
      <c r="QBM2" s="494"/>
      <c r="QBN2" s="494"/>
      <c r="QBO2" s="494"/>
      <c r="QBP2" s="494"/>
      <c r="QBQ2" s="494"/>
      <c r="QBR2" s="494"/>
      <c r="QBS2" s="494"/>
      <c r="QBT2" s="494"/>
      <c r="QBU2" s="494"/>
      <c r="QBV2" s="494"/>
      <c r="QBW2" s="494"/>
      <c r="QBX2" s="494"/>
      <c r="QBY2" s="494"/>
      <c r="QBZ2" s="494"/>
      <c r="QCA2" s="494"/>
      <c r="QCB2" s="494"/>
      <c r="QCC2" s="494"/>
      <c r="QCD2" s="494"/>
      <c r="QCE2" s="494"/>
      <c r="QCF2" s="494"/>
      <c r="QCG2" s="494"/>
      <c r="QCH2" s="494"/>
      <c r="QCI2" s="494"/>
      <c r="QCJ2" s="494"/>
      <c r="QCK2" s="494"/>
      <c r="QCL2" s="494"/>
      <c r="QCM2" s="494"/>
      <c r="QCN2" s="494"/>
      <c r="QCO2" s="494"/>
      <c r="QCP2" s="494"/>
      <c r="QCQ2" s="494"/>
      <c r="QCR2" s="494"/>
      <c r="QCS2" s="494"/>
      <c r="QCT2" s="494"/>
      <c r="QCU2" s="494"/>
      <c r="QCV2" s="494"/>
      <c r="QCW2" s="494"/>
      <c r="QCX2" s="494"/>
      <c r="QCY2" s="494"/>
      <c r="QCZ2" s="494"/>
      <c r="QDA2" s="494"/>
      <c r="QDB2" s="494"/>
      <c r="QDC2" s="494"/>
      <c r="QDD2" s="494"/>
      <c r="QDE2" s="494"/>
      <c r="QDF2" s="494"/>
      <c r="QDG2" s="494"/>
      <c r="QDH2" s="494"/>
      <c r="QDI2" s="494"/>
      <c r="QDJ2" s="494"/>
      <c r="QDK2" s="494"/>
      <c r="QDL2" s="494"/>
      <c r="QDM2" s="494"/>
      <c r="QDN2" s="494"/>
      <c r="QDO2" s="494"/>
      <c r="QDP2" s="494"/>
      <c r="QDQ2" s="494"/>
      <c r="QDR2" s="494"/>
      <c r="QDS2" s="494"/>
      <c r="QDT2" s="494"/>
      <c r="QDU2" s="494"/>
      <c r="QDV2" s="494"/>
      <c r="QDW2" s="494"/>
      <c r="QDX2" s="494"/>
      <c r="QDY2" s="494"/>
      <c r="QDZ2" s="494"/>
      <c r="QEA2" s="494"/>
      <c r="QEB2" s="494"/>
      <c r="QEC2" s="494"/>
      <c r="QED2" s="494"/>
      <c r="QEE2" s="494"/>
      <c r="QEF2" s="494"/>
      <c r="QEG2" s="494"/>
      <c r="QEH2" s="494"/>
      <c r="QEI2" s="494"/>
      <c r="QEJ2" s="494"/>
      <c r="QEK2" s="494"/>
      <c r="QEL2" s="494"/>
      <c r="QEM2" s="494"/>
      <c r="QEN2" s="494"/>
      <c r="QEO2" s="494"/>
      <c r="QEP2" s="494"/>
      <c r="QEQ2" s="494"/>
      <c r="QER2" s="494"/>
      <c r="QES2" s="494"/>
      <c r="QET2" s="494"/>
      <c r="QEU2" s="494"/>
      <c r="QEV2" s="494"/>
      <c r="QEW2" s="494"/>
      <c r="QEX2" s="494"/>
      <c r="QEY2" s="494"/>
      <c r="QEZ2" s="494"/>
      <c r="QFA2" s="494"/>
      <c r="QFB2" s="494"/>
      <c r="QFC2" s="494"/>
      <c r="QFD2" s="494"/>
      <c r="QFE2" s="494"/>
      <c r="QFF2" s="494"/>
      <c r="QFG2" s="494"/>
      <c r="QFH2" s="494"/>
      <c r="QFI2" s="494"/>
      <c r="QFJ2" s="494"/>
      <c r="QFK2" s="494"/>
      <c r="QFL2" s="494"/>
      <c r="QFM2" s="494"/>
      <c r="QFN2" s="494"/>
      <c r="QFO2" s="494"/>
      <c r="QFP2" s="494"/>
      <c r="QFQ2" s="494"/>
      <c r="QFR2" s="494"/>
      <c r="QFS2" s="494"/>
      <c r="QFT2" s="494"/>
      <c r="QFU2" s="494"/>
      <c r="QFV2" s="494"/>
      <c r="QFW2" s="494"/>
      <c r="QFX2" s="494"/>
      <c r="QFY2" s="494"/>
      <c r="QFZ2" s="494"/>
      <c r="QGA2" s="494"/>
      <c r="QGB2" s="494"/>
      <c r="QGC2" s="494"/>
      <c r="QGD2" s="494"/>
      <c r="QGE2" s="494"/>
      <c r="QGF2" s="494"/>
      <c r="QGG2" s="494"/>
      <c r="QGH2" s="494"/>
      <c r="QGI2" s="494"/>
      <c r="QGJ2" s="494"/>
      <c r="QGK2" s="494"/>
      <c r="QGL2" s="494"/>
      <c r="QGM2" s="494"/>
      <c r="QGN2" s="494"/>
      <c r="QGO2" s="494"/>
      <c r="QGP2" s="494"/>
      <c r="QGQ2" s="494"/>
      <c r="QGR2" s="494"/>
      <c r="QGS2" s="494"/>
      <c r="QGT2" s="494"/>
      <c r="QGU2" s="494"/>
      <c r="QGV2" s="494"/>
      <c r="QGW2" s="494"/>
      <c r="QGX2" s="494"/>
      <c r="QGY2" s="494"/>
      <c r="QGZ2" s="494"/>
      <c r="QHA2" s="494"/>
      <c r="QHB2" s="494"/>
      <c r="QHC2" s="494"/>
      <c r="QHD2" s="494"/>
      <c r="QHE2" s="494"/>
      <c r="QHF2" s="494"/>
      <c r="QHG2" s="494"/>
      <c r="QHH2" s="494"/>
      <c r="QHI2" s="494"/>
      <c r="QHJ2" s="494"/>
      <c r="QHK2" s="494"/>
      <c r="QHL2" s="494"/>
      <c r="QHM2" s="494"/>
      <c r="QHN2" s="494"/>
      <c r="QHO2" s="494"/>
      <c r="QHP2" s="494"/>
      <c r="QHQ2" s="494"/>
      <c r="QHR2" s="494"/>
      <c r="QHS2" s="494"/>
      <c r="QHT2" s="494"/>
      <c r="QHU2" s="494"/>
      <c r="QHV2" s="494"/>
      <c r="QHW2" s="494"/>
      <c r="QHX2" s="494"/>
      <c r="QHY2" s="494"/>
      <c r="QHZ2" s="494"/>
      <c r="QIA2" s="494"/>
      <c r="QIB2" s="494"/>
      <c r="QIC2" s="494"/>
      <c r="QID2" s="494"/>
      <c r="QIE2" s="494"/>
      <c r="QIF2" s="494"/>
      <c r="QIG2" s="494"/>
      <c r="QIH2" s="494"/>
      <c r="QII2" s="494"/>
      <c r="QIJ2" s="494"/>
      <c r="QIK2" s="494"/>
      <c r="QIL2" s="494"/>
      <c r="QIM2" s="494"/>
      <c r="QIN2" s="494"/>
      <c r="QIO2" s="494"/>
      <c r="QIP2" s="494"/>
      <c r="QIQ2" s="494"/>
      <c r="QIR2" s="494"/>
      <c r="QIS2" s="494"/>
      <c r="QIT2" s="494"/>
      <c r="QIU2" s="494"/>
      <c r="QIV2" s="494"/>
      <c r="QIW2" s="494"/>
      <c r="QIX2" s="494"/>
      <c r="QIY2" s="494"/>
      <c r="QIZ2" s="494"/>
      <c r="QJA2" s="494"/>
      <c r="QJB2" s="494"/>
      <c r="QJC2" s="494"/>
      <c r="QJD2" s="494"/>
      <c r="QJE2" s="494"/>
      <c r="QJF2" s="494"/>
      <c r="QJG2" s="494"/>
      <c r="QJH2" s="494"/>
      <c r="QJI2" s="494"/>
      <c r="QJJ2" s="494"/>
      <c r="QJK2" s="494"/>
      <c r="QJL2" s="494"/>
      <c r="QJM2" s="494"/>
      <c r="QJN2" s="494"/>
      <c r="QJO2" s="494"/>
      <c r="QJP2" s="494"/>
      <c r="QJQ2" s="494"/>
      <c r="QJR2" s="494"/>
      <c r="QJS2" s="494"/>
      <c r="QJT2" s="494"/>
      <c r="QJU2" s="494"/>
      <c r="QJV2" s="494"/>
      <c r="QJW2" s="494"/>
      <c r="QJX2" s="494"/>
      <c r="QJY2" s="494"/>
      <c r="QJZ2" s="494"/>
      <c r="QKA2" s="494"/>
      <c r="QKB2" s="494"/>
      <c r="QKC2" s="494"/>
      <c r="QKD2" s="494"/>
      <c r="QKE2" s="494"/>
      <c r="QKF2" s="494"/>
      <c r="QKG2" s="494"/>
      <c r="QKH2" s="494"/>
      <c r="QKI2" s="494"/>
      <c r="QKJ2" s="494"/>
      <c r="QKK2" s="494"/>
      <c r="QKL2" s="494"/>
      <c r="QKM2" s="494"/>
      <c r="QKN2" s="494"/>
      <c r="QKO2" s="494"/>
      <c r="QKP2" s="494"/>
      <c r="QKQ2" s="494"/>
      <c r="QKR2" s="494"/>
      <c r="QKS2" s="494"/>
      <c r="QKT2" s="494"/>
      <c r="QKU2" s="494"/>
      <c r="QKV2" s="494"/>
      <c r="QKW2" s="494"/>
      <c r="QKX2" s="494"/>
      <c r="QKY2" s="494"/>
      <c r="QKZ2" s="494"/>
      <c r="QLA2" s="494"/>
      <c r="QLB2" s="494"/>
      <c r="QLC2" s="494"/>
      <c r="QLD2" s="494"/>
      <c r="QLE2" s="494"/>
      <c r="QLF2" s="494"/>
      <c r="QLG2" s="494"/>
      <c r="QLH2" s="494"/>
      <c r="QLI2" s="494"/>
      <c r="QLJ2" s="494"/>
      <c r="QLK2" s="494"/>
      <c r="QLL2" s="494"/>
      <c r="QLM2" s="494"/>
      <c r="QLN2" s="494"/>
      <c r="QLO2" s="494"/>
      <c r="QLP2" s="494"/>
      <c r="QLQ2" s="494"/>
      <c r="QLR2" s="494"/>
      <c r="QLS2" s="494"/>
      <c r="QLT2" s="494"/>
      <c r="QLU2" s="494"/>
      <c r="QLV2" s="494"/>
      <c r="QLW2" s="494"/>
      <c r="QLX2" s="494"/>
      <c r="QLY2" s="494"/>
      <c r="QLZ2" s="494"/>
      <c r="QMA2" s="494"/>
      <c r="QMB2" s="494"/>
      <c r="QMC2" s="494"/>
      <c r="QMD2" s="494"/>
      <c r="QME2" s="494"/>
      <c r="QMF2" s="494"/>
      <c r="QMG2" s="494"/>
      <c r="QMH2" s="494"/>
      <c r="QMI2" s="494"/>
      <c r="QMJ2" s="494"/>
      <c r="QMK2" s="494"/>
      <c r="QML2" s="494"/>
      <c r="QMM2" s="494"/>
      <c r="QMN2" s="494"/>
      <c r="QMO2" s="494"/>
      <c r="QMP2" s="494"/>
      <c r="QMQ2" s="494"/>
      <c r="QMR2" s="494"/>
      <c r="QMS2" s="494"/>
      <c r="QMT2" s="494"/>
      <c r="QMU2" s="494"/>
      <c r="QMV2" s="494"/>
      <c r="QMW2" s="494"/>
      <c r="QMX2" s="494"/>
      <c r="QMY2" s="494"/>
      <c r="QMZ2" s="494"/>
      <c r="QNA2" s="494"/>
      <c r="QNB2" s="494"/>
      <c r="QNC2" s="494"/>
      <c r="QND2" s="494"/>
      <c r="QNE2" s="494"/>
      <c r="QNF2" s="494"/>
      <c r="QNG2" s="494"/>
      <c r="QNH2" s="494"/>
      <c r="QNI2" s="494"/>
      <c r="QNJ2" s="494"/>
      <c r="QNK2" s="494"/>
      <c r="QNL2" s="494"/>
      <c r="QNM2" s="494"/>
      <c r="QNN2" s="494"/>
      <c r="QNO2" s="494"/>
      <c r="QNP2" s="494"/>
      <c r="QNQ2" s="494"/>
      <c r="QNR2" s="494"/>
      <c r="QNS2" s="494"/>
      <c r="QNT2" s="494"/>
      <c r="QNU2" s="494"/>
      <c r="QNV2" s="494"/>
      <c r="QNW2" s="494"/>
      <c r="QNX2" s="494"/>
      <c r="QNY2" s="494"/>
      <c r="QNZ2" s="494"/>
      <c r="QOA2" s="494"/>
      <c r="QOB2" s="494"/>
      <c r="QOC2" s="494"/>
      <c r="QOD2" s="494"/>
      <c r="QOE2" s="494"/>
      <c r="QOF2" s="494"/>
      <c r="QOG2" s="494"/>
      <c r="QOH2" s="494"/>
      <c r="QOI2" s="494"/>
      <c r="QOJ2" s="494"/>
      <c r="QOK2" s="494"/>
      <c r="QOL2" s="494"/>
      <c r="QOM2" s="494"/>
      <c r="QON2" s="494"/>
      <c r="QOO2" s="494"/>
      <c r="QOP2" s="494"/>
      <c r="QOQ2" s="494"/>
      <c r="QOR2" s="494"/>
      <c r="QOS2" s="494"/>
      <c r="QOT2" s="494"/>
      <c r="QOU2" s="494"/>
      <c r="QOV2" s="494"/>
      <c r="QOW2" s="494"/>
      <c r="QOX2" s="494"/>
      <c r="QOY2" s="494"/>
      <c r="QOZ2" s="494"/>
      <c r="QPA2" s="494"/>
      <c r="QPB2" s="494"/>
      <c r="QPC2" s="494"/>
      <c r="QPD2" s="494"/>
      <c r="QPE2" s="494"/>
      <c r="QPF2" s="494"/>
      <c r="QPG2" s="494"/>
      <c r="QPH2" s="494"/>
      <c r="QPI2" s="494"/>
      <c r="QPJ2" s="494"/>
      <c r="QPK2" s="494"/>
      <c r="QPL2" s="494"/>
      <c r="QPM2" s="494"/>
      <c r="QPN2" s="494"/>
      <c r="QPO2" s="494"/>
      <c r="QPP2" s="494"/>
      <c r="QPQ2" s="494"/>
      <c r="QPR2" s="494"/>
      <c r="QPS2" s="494"/>
      <c r="QPT2" s="494"/>
      <c r="QPU2" s="494"/>
      <c r="QPV2" s="494"/>
      <c r="QPW2" s="494"/>
      <c r="QPX2" s="494"/>
      <c r="QPY2" s="494"/>
      <c r="QPZ2" s="494"/>
      <c r="QQA2" s="494"/>
      <c r="QQB2" s="494"/>
      <c r="QQC2" s="494"/>
      <c r="QQD2" s="494"/>
      <c r="QQE2" s="494"/>
      <c r="QQF2" s="494"/>
      <c r="QQG2" s="494"/>
      <c r="QQH2" s="494"/>
      <c r="QQI2" s="494"/>
      <c r="QQJ2" s="494"/>
      <c r="QQK2" s="494"/>
      <c r="QQL2" s="494"/>
      <c r="QQM2" s="494"/>
      <c r="QQN2" s="494"/>
      <c r="QQO2" s="494"/>
      <c r="QQP2" s="494"/>
      <c r="QQQ2" s="494"/>
      <c r="QQR2" s="494"/>
      <c r="QQS2" s="494"/>
      <c r="QQT2" s="494"/>
      <c r="QQU2" s="494"/>
      <c r="QQV2" s="494"/>
      <c r="QQW2" s="494"/>
      <c r="QQX2" s="494"/>
      <c r="QQY2" s="494"/>
      <c r="QQZ2" s="494"/>
      <c r="QRA2" s="494"/>
      <c r="QRB2" s="494"/>
      <c r="QRC2" s="494"/>
      <c r="QRD2" s="494"/>
      <c r="QRE2" s="494"/>
      <c r="QRF2" s="494"/>
      <c r="QRG2" s="494"/>
      <c r="QRH2" s="494"/>
      <c r="QRI2" s="494"/>
      <c r="QRJ2" s="494"/>
      <c r="QRK2" s="494"/>
      <c r="QRL2" s="494"/>
      <c r="QRM2" s="494"/>
      <c r="QRN2" s="494"/>
      <c r="QRO2" s="494"/>
      <c r="QRP2" s="494"/>
      <c r="QRQ2" s="494"/>
      <c r="QRR2" s="494"/>
      <c r="QRS2" s="494"/>
      <c r="QRT2" s="494"/>
      <c r="QRU2" s="494"/>
      <c r="QRV2" s="494"/>
      <c r="QRW2" s="494"/>
      <c r="QRX2" s="494"/>
      <c r="QRY2" s="494"/>
      <c r="QRZ2" s="494"/>
      <c r="QSA2" s="494"/>
      <c r="QSB2" s="494"/>
      <c r="QSC2" s="494"/>
      <c r="QSD2" s="494"/>
      <c r="QSE2" s="494"/>
      <c r="QSF2" s="494"/>
      <c r="QSG2" s="494"/>
      <c r="QSH2" s="494"/>
      <c r="QSI2" s="494"/>
      <c r="QSJ2" s="494"/>
      <c r="QSK2" s="494"/>
      <c r="QSL2" s="494"/>
      <c r="QSM2" s="494"/>
      <c r="QSN2" s="494"/>
      <c r="QSO2" s="494"/>
      <c r="QSP2" s="494"/>
      <c r="QSQ2" s="494"/>
      <c r="QSR2" s="494"/>
      <c r="QSS2" s="494"/>
      <c r="QST2" s="494"/>
      <c r="QSU2" s="494"/>
      <c r="QSV2" s="494"/>
      <c r="QSW2" s="494"/>
      <c r="QSX2" s="494"/>
      <c r="QSY2" s="494"/>
      <c r="QSZ2" s="494"/>
      <c r="QTA2" s="494"/>
      <c r="QTB2" s="494"/>
      <c r="QTC2" s="494"/>
      <c r="QTD2" s="494"/>
      <c r="QTE2" s="494"/>
      <c r="QTF2" s="494"/>
      <c r="QTG2" s="494"/>
      <c r="QTH2" s="494"/>
      <c r="QTI2" s="494"/>
      <c r="QTJ2" s="494"/>
      <c r="QTK2" s="494"/>
      <c r="QTL2" s="494"/>
      <c r="QTM2" s="494"/>
      <c r="QTN2" s="494"/>
      <c r="QTO2" s="494"/>
      <c r="QTP2" s="494"/>
      <c r="QTQ2" s="494"/>
      <c r="QTR2" s="494"/>
      <c r="QTS2" s="494"/>
      <c r="QTT2" s="494"/>
      <c r="QTU2" s="494"/>
      <c r="QTV2" s="494"/>
      <c r="QTW2" s="494"/>
      <c r="QTX2" s="494"/>
      <c r="QTY2" s="494"/>
      <c r="QTZ2" s="494"/>
      <c r="QUA2" s="494"/>
      <c r="QUB2" s="494"/>
      <c r="QUC2" s="494"/>
      <c r="QUD2" s="494"/>
      <c r="QUE2" s="494"/>
      <c r="QUF2" s="494"/>
      <c r="QUG2" s="494"/>
      <c r="QUH2" s="494"/>
      <c r="QUI2" s="494"/>
      <c r="QUJ2" s="494"/>
      <c r="QUK2" s="494"/>
      <c r="QUL2" s="494"/>
      <c r="QUM2" s="494"/>
      <c r="QUN2" s="494"/>
      <c r="QUO2" s="494"/>
      <c r="QUP2" s="494"/>
      <c r="QUQ2" s="494"/>
      <c r="QUR2" s="494"/>
      <c r="QUS2" s="494"/>
      <c r="QUT2" s="494"/>
      <c r="QUU2" s="494"/>
      <c r="QUV2" s="494"/>
      <c r="QUW2" s="494"/>
      <c r="QUX2" s="494"/>
      <c r="QUY2" s="494"/>
      <c r="QUZ2" s="494"/>
      <c r="QVA2" s="494"/>
      <c r="QVB2" s="494"/>
      <c r="QVC2" s="494"/>
      <c r="QVD2" s="494"/>
      <c r="QVE2" s="494"/>
      <c r="QVF2" s="494"/>
      <c r="QVG2" s="494"/>
      <c r="QVH2" s="494"/>
      <c r="QVI2" s="494"/>
      <c r="QVJ2" s="494"/>
      <c r="QVK2" s="494"/>
      <c r="QVL2" s="494"/>
      <c r="QVM2" s="494"/>
      <c r="QVN2" s="494"/>
      <c r="QVO2" s="494"/>
      <c r="QVP2" s="494"/>
      <c r="QVQ2" s="494"/>
      <c r="QVR2" s="494"/>
      <c r="QVS2" s="494"/>
      <c r="QVT2" s="494"/>
      <c r="QVU2" s="494"/>
      <c r="QVV2" s="494"/>
      <c r="QVW2" s="494"/>
      <c r="QVX2" s="494"/>
      <c r="QVY2" s="494"/>
      <c r="QVZ2" s="494"/>
      <c r="QWA2" s="494"/>
      <c r="QWB2" s="494"/>
      <c r="QWC2" s="494"/>
      <c r="QWD2" s="494"/>
      <c r="QWE2" s="494"/>
      <c r="QWF2" s="494"/>
      <c r="QWG2" s="494"/>
      <c r="QWH2" s="494"/>
      <c r="QWI2" s="494"/>
      <c r="QWJ2" s="494"/>
      <c r="QWK2" s="494"/>
      <c r="QWL2" s="494"/>
      <c r="QWM2" s="494"/>
      <c r="QWN2" s="494"/>
      <c r="QWO2" s="494"/>
      <c r="QWP2" s="494"/>
      <c r="QWQ2" s="494"/>
      <c r="QWR2" s="494"/>
      <c r="QWS2" s="494"/>
      <c r="QWT2" s="494"/>
      <c r="QWU2" s="494"/>
      <c r="QWV2" s="494"/>
      <c r="QWW2" s="494"/>
      <c r="QWX2" s="494"/>
      <c r="QWY2" s="494"/>
      <c r="QWZ2" s="494"/>
      <c r="QXA2" s="494"/>
      <c r="QXB2" s="494"/>
      <c r="QXC2" s="494"/>
      <c r="QXD2" s="494"/>
      <c r="QXE2" s="494"/>
      <c r="QXF2" s="494"/>
      <c r="QXG2" s="494"/>
      <c r="QXH2" s="494"/>
      <c r="QXI2" s="494"/>
      <c r="QXJ2" s="494"/>
      <c r="QXK2" s="494"/>
      <c r="QXL2" s="494"/>
      <c r="QXM2" s="494"/>
      <c r="QXN2" s="494"/>
      <c r="QXO2" s="494"/>
      <c r="QXP2" s="494"/>
      <c r="QXQ2" s="494"/>
      <c r="QXR2" s="494"/>
      <c r="QXS2" s="494"/>
      <c r="QXT2" s="494"/>
      <c r="QXU2" s="494"/>
      <c r="QXV2" s="494"/>
      <c r="QXW2" s="494"/>
      <c r="QXX2" s="494"/>
      <c r="QXY2" s="494"/>
      <c r="QXZ2" s="494"/>
      <c r="QYA2" s="494"/>
      <c r="QYB2" s="494"/>
      <c r="QYC2" s="494"/>
      <c r="QYD2" s="494"/>
      <c r="QYE2" s="494"/>
      <c r="QYF2" s="494"/>
      <c r="QYG2" s="494"/>
      <c r="QYH2" s="494"/>
      <c r="QYI2" s="494"/>
      <c r="QYJ2" s="494"/>
      <c r="QYK2" s="494"/>
      <c r="QYL2" s="494"/>
      <c r="QYM2" s="494"/>
      <c r="QYN2" s="494"/>
      <c r="QYO2" s="494"/>
      <c r="QYP2" s="494"/>
      <c r="QYQ2" s="494"/>
      <c r="QYR2" s="494"/>
      <c r="QYS2" s="494"/>
      <c r="QYT2" s="494"/>
      <c r="QYU2" s="494"/>
      <c r="QYV2" s="494"/>
      <c r="QYW2" s="494"/>
      <c r="QYX2" s="494"/>
      <c r="QYY2" s="494"/>
      <c r="QYZ2" s="494"/>
      <c r="QZA2" s="494"/>
      <c r="QZB2" s="494"/>
      <c r="QZC2" s="494"/>
      <c r="QZD2" s="494"/>
      <c r="QZE2" s="494"/>
      <c r="QZF2" s="494"/>
      <c r="QZG2" s="494"/>
      <c r="QZH2" s="494"/>
      <c r="QZI2" s="494"/>
      <c r="QZJ2" s="494"/>
      <c r="QZK2" s="494"/>
      <c r="QZL2" s="494"/>
      <c r="QZM2" s="494"/>
      <c r="QZN2" s="494"/>
      <c r="QZO2" s="494"/>
      <c r="QZP2" s="494"/>
      <c r="QZQ2" s="494"/>
      <c r="QZR2" s="494"/>
      <c r="QZS2" s="494"/>
      <c r="QZT2" s="494"/>
      <c r="QZU2" s="494"/>
      <c r="QZV2" s="494"/>
      <c r="QZW2" s="494"/>
      <c r="QZX2" s="494"/>
      <c r="QZY2" s="494"/>
      <c r="QZZ2" s="494"/>
      <c r="RAA2" s="494"/>
      <c r="RAB2" s="494"/>
      <c r="RAC2" s="494"/>
      <c r="RAD2" s="494"/>
      <c r="RAE2" s="494"/>
      <c r="RAF2" s="494"/>
      <c r="RAG2" s="494"/>
      <c r="RAH2" s="494"/>
      <c r="RAI2" s="494"/>
      <c r="RAJ2" s="494"/>
      <c r="RAK2" s="494"/>
      <c r="RAL2" s="494"/>
      <c r="RAM2" s="494"/>
      <c r="RAN2" s="494"/>
      <c r="RAO2" s="494"/>
      <c r="RAP2" s="494"/>
      <c r="RAQ2" s="494"/>
      <c r="RAR2" s="494"/>
      <c r="RAS2" s="494"/>
      <c r="RAT2" s="494"/>
      <c r="RAU2" s="494"/>
      <c r="RAV2" s="494"/>
      <c r="RAW2" s="494"/>
      <c r="RAX2" s="494"/>
      <c r="RAY2" s="494"/>
      <c r="RAZ2" s="494"/>
      <c r="RBA2" s="494"/>
      <c r="RBB2" s="494"/>
      <c r="RBC2" s="494"/>
      <c r="RBD2" s="494"/>
      <c r="RBE2" s="494"/>
      <c r="RBF2" s="494"/>
      <c r="RBG2" s="494"/>
      <c r="RBH2" s="494"/>
      <c r="RBI2" s="494"/>
      <c r="RBJ2" s="494"/>
      <c r="RBK2" s="494"/>
      <c r="RBL2" s="494"/>
      <c r="RBM2" s="494"/>
      <c r="RBN2" s="494"/>
      <c r="RBO2" s="494"/>
      <c r="RBP2" s="494"/>
      <c r="RBQ2" s="494"/>
      <c r="RBR2" s="494"/>
      <c r="RBS2" s="494"/>
      <c r="RBT2" s="494"/>
      <c r="RBU2" s="494"/>
      <c r="RBV2" s="494"/>
      <c r="RBW2" s="494"/>
      <c r="RBX2" s="494"/>
      <c r="RBY2" s="494"/>
      <c r="RBZ2" s="494"/>
      <c r="RCA2" s="494"/>
      <c r="RCB2" s="494"/>
      <c r="RCC2" s="494"/>
      <c r="RCD2" s="494"/>
      <c r="RCE2" s="494"/>
      <c r="RCF2" s="494"/>
      <c r="RCG2" s="494"/>
      <c r="RCH2" s="494"/>
      <c r="RCI2" s="494"/>
      <c r="RCJ2" s="494"/>
      <c r="RCK2" s="494"/>
      <c r="RCL2" s="494"/>
      <c r="RCM2" s="494"/>
      <c r="RCN2" s="494"/>
      <c r="RCO2" s="494"/>
      <c r="RCP2" s="494"/>
      <c r="RCQ2" s="494"/>
      <c r="RCR2" s="494"/>
      <c r="RCS2" s="494"/>
      <c r="RCT2" s="494"/>
      <c r="RCU2" s="494"/>
      <c r="RCV2" s="494"/>
      <c r="RCW2" s="494"/>
      <c r="RCX2" s="494"/>
      <c r="RCY2" s="494"/>
      <c r="RCZ2" s="494"/>
      <c r="RDA2" s="494"/>
      <c r="RDB2" s="494"/>
      <c r="RDC2" s="494"/>
      <c r="RDD2" s="494"/>
      <c r="RDE2" s="494"/>
      <c r="RDF2" s="494"/>
      <c r="RDG2" s="494"/>
      <c r="RDH2" s="494"/>
      <c r="RDI2" s="494"/>
      <c r="RDJ2" s="494"/>
      <c r="RDK2" s="494"/>
      <c r="RDL2" s="494"/>
      <c r="RDM2" s="494"/>
      <c r="RDN2" s="494"/>
      <c r="RDO2" s="494"/>
      <c r="RDP2" s="494"/>
      <c r="RDQ2" s="494"/>
      <c r="RDR2" s="494"/>
      <c r="RDS2" s="494"/>
      <c r="RDT2" s="494"/>
      <c r="RDU2" s="494"/>
      <c r="RDV2" s="494"/>
      <c r="RDW2" s="494"/>
      <c r="RDX2" s="494"/>
      <c r="RDY2" s="494"/>
      <c r="RDZ2" s="494"/>
      <c r="REA2" s="494"/>
      <c r="REB2" s="494"/>
      <c r="REC2" s="494"/>
      <c r="RED2" s="494"/>
      <c r="REE2" s="494"/>
      <c r="REF2" s="494"/>
      <c r="REG2" s="494"/>
      <c r="REH2" s="494"/>
      <c r="REI2" s="494"/>
      <c r="REJ2" s="494"/>
      <c r="REK2" s="494"/>
      <c r="REL2" s="494"/>
      <c r="REM2" s="494"/>
      <c r="REN2" s="494"/>
      <c r="REO2" s="494"/>
      <c r="REP2" s="494"/>
      <c r="REQ2" s="494"/>
      <c r="RER2" s="494"/>
      <c r="RES2" s="494"/>
      <c r="RET2" s="494"/>
      <c r="REU2" s="494"/>
      <c r="REV2" s="494"/>
      <c r="REW2" s="494"/>
      <c r="REX2" s="494"/>
      <c r="REY2" s="494"/>
      <c r="REZ2" s="494"/>
      <c r="RFA2" s="494"/>
      <c r="RFB2" s="494"/>
      <c r="RFC2" s="494"/>
      <c r="RFD2" s="494"/>
      <c r="RFE2" s="494"/>
      <c r="RFF2" s="494"/>
      <c r="RFG2" s="494"/>
      <c r="RFH2" s="494"/>
      <c r="RFI2" s="494"/>
      <c r="RFJ2" s="494"/>
      <c r="RFK2" s="494"/>
      <c r="RFL2" s="494"/>
      <c r="RFM2" s="494"/>
      <c r="RFN2" s="494"/>
      <c r="RFO2" s="494"/>
      <c r="RFP2" s="494"/>
      <c r="RFQ2" s="494"/>
      <c r="RFR2" s="494"/>
      <c r="RFS2" s="494"/>
      <c r="RFT2" s="494"/>
      <c r="RFU2" s="494"/>
      <c r="RFV2" s="494"/>
      <c r="RFW2" s="494"/>
      <c r="RFX2" s="494"/>
      <c r="RFY2" s="494"/>
      <c r="RFZ2" s="494"/>
      <c r="RGA2" s="494"/>
      <c r="RGB2" s="494"/>
      <c r="RGC2" s="494"/>
      <c r="RGD2" s="494"/>
      <c r="RGE2" s="494"/>
      <c r="RGF2" s="494"/>
      <c r="RGG2" s="494"/>
      <c r="RGH2" s="494"/>
      <c r="RGI2" s="494"/>
      <c r="RGJ2" s="494"/>
      <c r="RGK2" s="494"/>
      <c r="RGL2" s="494"/>
      <c r="RGM2" s="494"/>
      <c r="RGN2" s="494"/>
      <c r="RGO2" s="494"/>
      <c r="RGP2" s="494"/>
      <c r="RGQ2" s="494"/>
      <c r="RGR2" s="494"/>
      <c r="RGS2" s="494"/>
      <c r="RGT2" s="494"/>
      <c r="RGU2" s="494"/>
      <c r="RGV2" s="494"/>
      <c r="RGW2" s="494"/>
      <c r="RGX2" s="494"/>
      <c r="RGY2" s="494"/>
      <c r="RGZ2" s="494"/>
      <c r="RHA2" s="494"/>
      <c r="RHB2" s="494"/>
      <c r="RHC2" s="494"/>
      <c r="RHD2" s="494"/>
      <c r="RHE2" s="494"/>
      <c r="RHF2" s="494"/>
      <c r="RHG2" s="494"/>
      <c r="RHH2" s="494"/>
      <c r="RHI2" s="494"/>
      <c r="RHJ2" s="494"/>
      <c r="RHK2" s="494"/>
      <c r="RHL2" s="494"/>
      <c r="RHM2" s="494"/>
      <c r="RHN2" s="494"/>
      <c r="RHO2" s="494"/>
      <c r="RHP2" s="494"/>
      <c r="RHQ2" s="494"/>
      <c r="RHR2" s="494"/>
      <c r="RHS2" s="494"/>
      <c r="RHT2" s="494"/>
      <c r="RHU2" s="494"/>
      <c r="RHV2" s="494"/>
      <c r="RHW2" s="494"/>
      <c r="RHX2" s="494"/>
      <c r="RHY2" s="494"/>
      <c r="RHZ2" s="494"/>
      <c r="RIA2" s="494"/>
      <c r="RIB2" s="494"/>
      <c r="RIC2" s="494"/>
      <c r="RID2" s="494"/>
      <c r="RIE2" s="494"/>
      <c r="RIF2" s="494"/>
      <c r="RIG2" s="494"/>
      <c r="RIH2" s="494"/>
      <c r="RII2" s="494"/>
      <c r="RIJ2" s="494"/>
      <c r="RIK2" s="494"/>
      <c r="RIL2" s="494"/>
      <c r="RIM2" s="494"/>
      <c r="RIN2" s="494"/>
      <c r="RIO2" s="494"/>
      <c r="RIP2" s="494"/>
      <c r="RIQ2" s="494"/>
      <c r="RIR2" s="494"/>
      <c r="RIS2" s="494"/>
      <c r="RIT2" s="494"/>
      <c r="RIU2" s="494"/>
      <c r="RIV2" s="494"/>
      <c r="RIW2" s="494"/>
      <c r="RIX2" s="494"/>
      <c r="RIY2" s="494"/>
      <c r="RIZ2" s="494"/>
      <c r="RJA2" s="494"/>
      <c r="RJB2" s="494"/>
      <c r="RJC2" s="494"/>
      <c r="RJD2" s="494"/>
      <c r="RJE2" s="494"/>
      <c r="RJF2" s="494"/>
      <c r="RJG2" s="494"/>
      <c r="RJH2" s="494"/>
      <c r="RJI2" s="494"/>
      <c r="RJJ2" s="494"/>
      <c r="RJK2" s="494"/>
      <c r="RJL2" s="494"/>
      <c r="RJM2" s="494"/>
      <c r="RJN2" s="494"/>
      <c r="RJO2" s="494"/>
      <c r="RJP2" s="494"/>
      <c r="RJQ2" s="494"/>
      <c r="RJR2" s="494"/>
      <c r="RJS2" s="494"/>
      <c r="RJT2" s="494"/>
      <c r="RJU2" s="494"/>
      <c r="RJV2" s="494"/>
      <c r="RJW2" s="494"/>
      <c r="RJX2" s="494"/>
      <c r="RJY2" s="494"/>
      <c r="RJZ2" s="494"/>
      <c r="RKA2" s="494"/>
      <c r="RKB2" s="494"/>
      <c r="RKC2" s="494"/>
      <c r="RKD2" s="494"/>
      <c r="RKE2" s="494"/>
      <c r="RKF2" s="494"/>
      <c r="RKG2" s="494"/>
      <c r="RKH2" s="494"/>
      <c r="RKI2" s="494"/>
      <c r="RKJ2" s="494"/>
      <c r="RKK2" s="494"/>
      <c r="RKL2" s="494"/>
      <c r="RKM2" s="494"/>
      <c r="RKN2" s="494"/>
      <c r="RKO2" s="494"/>
      <c r="RKP2" s="494"/>
      <c r="RKQ2" s="494"/>
      <c r="RKR2" s="494"/>
      <c r="RKS2" s="494"/>
      <c r="RKT2" s="494"/>
      <c r="RKU2" s="494"/>
      <c r="RKV2" s="494"/>
      <c r="RKW2" s="494"/>
      <c r="RKX2" s="494"/>
      <c r="RKY2" s="494"/>
      <c r="RKZ2" s="494"/>
      <c r="RLA2" s="494"/>
      <c r="RLB2" s="494"/>
      <c r="RLC2" s="494"/>
      <c r="RLD2" s="494"/>
      <c r="RLE2" s="494"/>
      <c r="RLF2" s="494"/>
      <c r="RLG2" s="494"/>
      <c r="RLH2" s="494"/>
      <c r="RLI2" s="494"/>
      <c r="RLJ2" s="494"/>
      <c r="RLK2" s="494"/>
      <c r="RLL2" s="494"/>
      <c r="RLM2" s="494"/>
      <c r="RLN2" s="494"/>
      <c r="RLO2" s="494"/>
      <c r="RLP2" s="494"/>
      <c r="RLQ2" s="494"/>
      <c r="RLR2" s="494"/>
      <c r="RLS2" s="494"/>
      <c r="RLT2" s="494"/>
      <c r="RLU2" s="494"/>
      <c r="RLV2" s="494"/>
      <c r="RLW2" s="494"/>
      <c r="RLX2" s="494"/>
      <c r="RLY2" s="494"/>
      <c r="RLZ2" s="494"/>
      <c r="RMA2" s="494"/>
      <c r="RMB2" s="494"/>
      <c r="RMC2" s="494"/>
      <c r="RMD2" s="494"/>
      <c r="RME2" s="494"/>
      <c r="RMF2" s="494"/>
      <c r="RMG2" s="494"/>
      <c r="RMH2" s="494"/>
      <c r="RMI2" s="494"/>
      <c r="RMJ2" s="494"/>
      <c r="RMK2" s="494"/>
      <c r="RML2" s="494"/>
      <c r="RMM2" s="494"/>
      <c r="RMN2" s="494"/>
      <c r="RMO2" s="494"/>
      <c r="RMP2" s="494"/>
      <c r="RMQ2" s="494"/>
      <c r="RMR2" s="494"/>
      <c r="RMS2" s="494"/>
      <c r="RMT2" s="494"/>
      <c r="RMU2" s="494"/>
      <c r="RMV2" s="494"/>
      <c r="RMW2" s="494"/>
      <c r="RMX2" s="494"/>
      <c r="RMY2" s="494"/>
      <c r="RMZ2" s="494"/>
      <c r="RNA2" s="494"/>
      <c r="RNB2" s="494"/>
      <c r="RNC2" s="494"/>
      <c r="RND2" s="494"/>
      <c r="RNE2" s="494"/>
      <c r="RNF2" s="494"/>
      <c r="RNG2" s="494"/>
      <c r="RNH2" s="494"/>
      <c r="RNI2" s="494"/>
      <c r="RNJ2" s="494"/>
      <c r="RNK2" s="494"/>
      <c r="RNL2" s="494"/>
      <c r="RNM2" s="494"/>
      <c r="RNN2" s="494"/>
      <c r="RNO2" s="494"/>
      <c r="RNP2" s="494"/>
      <c r="RNQ2" s="494"/>
      <c r="RNR2" s="494"/>
      <c r="RNS2" s="494"/>
      <c r="RNT2" s="494"/>
      <c r="RNU2" s="494"/>
      <c r="RNV2" s="494"/>
      <c r="RNW2" s="494"/>
      <c r="RNX2" s="494"/>
      <c r="RNY2" s="494"/>
      <c r="RNZ2" s="494"/>
      <c r="ROA2" s="494"/>
      <c r="ROB2" s="494"/>
      <c r="ROC2" s="494"/>
      <c r="ROD2" s="494"/>
      <c r="ROE2" s="494"/>
      <c r="ROF2" s="494"/>
      <c r="ROG2" s="494"/>
      <c r="ROH2" s="494"/>
      <c r="ROI2" s="494"/>
      <c r="ROJ2" s="494"/>
      <c r="ROK2" s="494"/>
      <c r="ROL2" s="494"/>
      <c r="ROM2" s="494"/>
      <c r="RON2" s="494"/>
      <c r="ROO2" s="494"/>
      <c r="ROP2" s="494"/>
      <c r="ROQ2" s="494"/>
      <c r="ROR2" s="494"/>
      <c r="ROS2" s="494"/>
      <c r="ROT2" s="494"/>
      <c r="ROU2" s="494"/>
      <c r="ROV2" s="494"/>
      <c r="ROW2" s="494"/>
      <c r="ROX2" s="494"/>
      <c r="ROY2" s="494"/>
      <c r="ROZ2" s="494"/>
      <c r="RPA2" s="494"/>
      <c r="RPB2" s="494"/>
      <c r="RPC2" s="494"/>
      <c r="RPD2" s="494"/>
      <c r="RPE2" s="494"/>
      <c r="RPF2" s="494"/>
      <c r="RPG2" s="494"/>
      <c r="RPH2" s="494"/>
      <c r="RPI2" s="494"/>
      <c r="RPJ2" s="494"/>
      <c r="RPK2" s="494"/>
      <c r="RPL2" s="494"/>
      <c r="RPM2" s="494"/>
      <c r="RPN2" s="494"/>
      <c r="RPO2" s="494"/>
      <c r="RPP2" s="494"/>
      <c r="RPQ2" s="494"/>
      <c r="RPR2" s="494"/>
      <c r="RPS2" s="494"/>
      <c r="RPT2" s="494"/>
      <c r="RPU2" s="494"/>
      <c r="RPV2" s="494"/>
      <c r="RPW2" s="494"/>
      <c r="RPX2" s="494"/>
      <c r="RPY2" s="494"/>
      <c r="RPZ2" s="494"/>
      <c r="RQA2" s="494"/>
      <c r="RQB2" s="494"/>
      <c r="RQC2" s="494"/>
      <c r="RQD2" s="494"/>
      <c r="RQE2" s="494"/>
      <c r="RQF2" s="494"/>
      <c r="RQG2" s="494"/>
      <c r="RQH2" s="494"/>
      <c r="RQI2" s="494"/>
      <c r="RQJ2" s="494"/>
      <c r="RQK2" s="494"/>
      <c r="RQL2" s="494"/>
      <c r="RQM2" s="494"/>
      <c r="RQN2" s="494"/>
      <c r="RQO2" s="494"/>
      <c r="RQP2" s="494"/>
      <c r="RQQ2" s="494"/>
      <c r="RQR2" s="494"/>
      <c r="RQS2" s="494"/>
      <c r="RQT2" s="494"/>
      <c r="RQU2" s="494"/>
      <c r="RQV2" s="494"/>
      <c r="RQW2" s="494"/>
      <c r="RQX2" s="494"/>
      <c r="RQY2" s="494"/>
      <c r="RQZ2" s="494"/>
      <c r="RRA2" s="494"/>
      <c r="RRB2" s="494"/>
      <c r="RRC2" s="494"/>
      <c r="RRD2" s="494"/>
      <c r="RRE2" s="494"/>
      <c r="RRF2" s="494"/>
      <c r="RRG2" s="494"/>
      <c r="RRH2" s="494"/>
      <c r="RRI2" s="494"/>
      <c r="RRJ2" s="494"/>
      <c r="RRK2" s="494"/>
      <c r="RRL2" s="494"/>
      <c r="RRM2" s="494"/>
      <c r="RRN2" s="494"/>
      <c r="RRO2" s="494"/>
      <c r="RRP2" s="494"/>
      <c r="RRQ2" s="494"/>
      <c r="RRR2" s="494"/>
      <c r="RRS2" s="494"/>
      <c r="RRT2" s="494"/>
      <c r="RRU2" s="494"/>
      <c r="RRV2" s="494"/>
      <c r="RRW2" s="494"/>
      <c r="RRX2" s="494"/>
      <c r="RRY2" s="494"/>
      <c r="RRZ2" s="494"/>
      <c r="RSA2" s="494"/>
      <c r="RSB2" s="494"/>
      <c r="RSC2" s="494"/>
      <c r="RSD2" s="494"/>
      <c r="RSE2" s="494"/>
      <c r="RSF2" s="494"/>
      <c r="RSG2" s="494"/>
      <c r="RSH2" s="494"/>
      <c r="RSI2" s="494"/>
      <c r="RSJ2" s="494"/>
      <c r="RSK2" s="494"/>
      <c r="RSL2" s="494"/>
      <c r="RSM2" s="494"/>
      <c r="RSN2" s="494"/>
      <c r="RSO2" s="494"/>
      <c r="RSP2" s="494"/>
      <c r="RSQ2" s="494"/>
      <c r="RSR2" s="494"/>
      <c r="RSS2" s="494"/>
      <c r="RST2" s="494"/>
      <c r="RSU2" s="494"/>
      <c r="RSV2" s="494"/>
      <c r="RSW2" s="494"/>
      <c r="RSX2" s="494"/>
      <c r="RSY2" s="494"/>
      <c r="RSZ2" s="494"/>
      <c r="RTA2" s="494"/>
      <c r="RTB2" s="494"/>
      <c r="RTC2" s="494"/>
      <c r="RTD2" s="494"/>
      <c r="RTE2" s="494"/>
      <c r="RTF2" s="494"/>
      <c r="RTG2" s="494"/>
      <c r="RTH2" s="494"/>
      <c r="RTI2" s="494"/>
      <c r="RTJ2" s="494"/>
      <c r="RTK2" s="494"/>
      <c r="RTL2" s="494"/>
      <c r="RTM2" s="494"/>
      <c r="RTN2" s="494"/>
      <c r="RTO2" s="494"/>
      <c r="RTP2" s="494"/>
      <c r="RTQ2" s="494"/>
      <c r="RTR2" s="494"/>
      <c r="RTS2" s="494"/>
      <c r="RTT2" s="494"/>
      <c r="RTU2" s="494"/>
      <c r="RTV2" s="494"/>
      <c r="RTW2" s="494"/>
      <c r="RTX2" s="494"/>
      <c r="RTY2" s="494"/>
      <c r="RTZ2" s="494"/>
      <c r="RUA2" s="494"/>
      <c r="RUB2" s="494"/>
      <c r="RUC2" s="494"/>
      <c r="RUD2" s="494"/>
      <c r="RUE2" s="494"/>
      <c r="RUF2" s="494"/>
      <c r="RUG2" s="494"/>
      <c r="RUH2" s="494"/>
      <c r="RUI2" s="494"/>
      <c r="RUJ2" s="494"/>
      <c r="RUK2" s="494"/>
      <c r="RUL2" s="494"/>
      <c r="RUM2" s="494"/>
      <c r="RUN2" s="494"/>
      <c r="RUO2" s="494"/>
      <c r="RUP2" s="494"/>
      <c r="RUQ2" s="494"/>
      <c r="RUR2" s="494"/>
      <c r="RUS2" s="494"/>
      <c r="RUT2" s="494"/>
      <c r="RUU2" s="494"/>
      <c r="RUV2" s="494"/>
      <c r="RUW2" s="494"/>
      <c r="RUX2" s="494"/>
      <c r="RUY2" s="494"/>
      <c r="RUZ2" s="494"/>
      <c r="RVA2" s="494"/>
      <c r="RVB2" s="494"/>
      <c r="RVC2" s="494"/>
      <c r="RVD2" s="494"/>
      <c r="RVE2" s="494"/>
      <c r="RVF2" s="494"/>
      <c r="RVG2" s="494"/>
      <c r="RVH2" s="494"/>
      <c r="RVI2" s="494"/>
      <c r="RVJ2" s="494"/>
      <c r="RVK2" s="494"/>
      <c r="RVL2" s="494"/>
      <c r="RVM2" s="494"/>
      <c r="RVN2" s="494"/>
      <c r="RVO2" s="494"/>
      <c r="RVP2" s="494"/>
      <c r="RVQ2" s="494"/>
      <c r="RVR2" s="494"/>
      <c r="RVS2" s="494"/>
      <c r="RVT2" s="494"/>
      <c r="RVU2" s="494"/>
      <c r="RVV2" s="494"/>
      <c r="RVW2" s="494"/>
      <c r="RVX2" s="494"/>
      <c r="RVY2" s="494"/>
      <c r="RVZ2" s="494"/>
      <c r="RWA2" s="494"/>
      <c r="RWB2" s="494"/>
      <c r="RWC2" s="494"/>
      <c r="RWD2" s="494"/>
      <c r="RWE2" s="494"/>
      <c r="RWF2" s="494"/>
      <c r="RWG2" s="494"/>
      <c r="RWH2" s="494"/>
      <c r="RWI2" s="494"/>
      <c r="RWJ2" s="494"/>
      <c r="RWK2" s="494"/>
      <c r="RWL2" s="494"/>
      <c r="RWM2" s="494"/>
      <c r="RWN2" s="494"/>
      <c r="RWO2" s="494"/>
      <c r="RWP2" s="494"/>
      <c r="RWQ2" s="494"/>
      <c r="RWR2" s="494"/>
      <c r="RWS2" s="494"/>
      <c r="RWT2" s="494"/>
      <c r="RWU2" s="494"/>
      <c r="RWV2" s="494"/>
      <c r="RWW2" s="494"/>
      <c r="RWX2" s="494"/>
      <c r="RWY2" s="494"/>
      <c r="RWZ2" s="494"/>
      <c r="RXA2" s="494"/>
      <c r="RXB2" s="494"/>
      <c r="RXC2" s="494"/>
      <c r="RXD2" s="494"/>
      <c r="RXE2" s="494"/>
      <c r="RXF2" s="494"/>
      <c r="RXG2" s="494"/>
      <c r="RXH2" s="494"/>
      <c r="RXI2" s="494"/>
      <c r="RXJ2" s="494"/>
      <c r="RXK2" s="494"/>
      <c r="RXL2" s="494"/>
      <c r="RXM2" s="494"/>
      <c r="RXN2" s="494"/>
      <c r="RXO2" s="494"/>
      <c r="RXP2" s="494"/>
      <c r="RXQ2" s="494"/>
      <c r="RXR2" s="494"/>
      <c r="RXS2" s="494"/>
      <c r="RXT2" s="494"/>
      <c r="RXU2" s="494"/>
      <c r="RXV2" s="494"/>
      <c r="RXW2" s="494"/>
      <c r="RXX2" s="494"/>
      <c r="RXY2" s="494"/>
      <c r="RXZ2" s="494"/>
      <c r="RYA2" s="494"/>
      <c r="RYB2" s="494"/>
      <c r="RYC2" s="494"/>
      <c r="RYD2" s="494"/>
      <c r="RYE2" s="494"/>
      <c r="RYF2" s="494"/>
      <c r="RYG2" s="494"/>
      <c r="RYH2" s="494"/>
      <c r="RYI2" s="494"/>
      <c r="RYJ2" s="494"/>
      <c r="RYK2" s="494"/>
      <c r="RYL2" s="494"/>
      <c r="RYM2" s="494"/>
      <c r="RYN2" s="494"/>
      <c r="RYO2" s="494"/>
      <c r="RYP2" s="494"/>
      <c r="RYQ2" s="494"/>
      <c r="RYR2" s="494"/>
      <c r="RYS2" s="494"/>
      <c r="RYT2" s="494"/>
      <c r="RYU2" s="494"/>
      <c r="RYV2" s="494"/>
      <c r="RYW2" s="494"/>
      <c r="RYX2" s="494"/>
      <c r="RYY2" s="494"/>
      <c r="RYZ2" s="494"/>
      <c r="RZA2" s="494"/>
      <c r="RZB2" s="494"/>
      <c r="RZC2" s="494"/>
      <c r="RZD2" s="494"/>
      <c r="RZE2" s="494"/>
      <c r="RZF2" s="494"/>
      <c r="RZG2" s="494"/>
      <c r="RZH2" s="494"/>
      <c r="RZI2" s="494"/>
      <c r="RZJ2" s="494"/>
      <c r="RZK2" s="494"/>
      <c r="RZL2" s="494"/>
      <c r="RZM2" s="494"/>
      <c r="RZN2" s="494"/>
      <c r="RZO2" s="494"/>
      <c r="RZP2" s="494"/>
      <c r="RZQ2" s="494"/>
      <c r="RZR2" s="494"/>
      <c r="RZS2" s="494"/>
      <c r="RZT2" s="494"/>
      <c r="RZU2" s="494"/>
      <c r="RZV2" s="494"/>
      <c r="RZW2" s="494"/>
      <c r="RZX2" s="494"/>
      <c r="RZY2" s="494"/>
      <c r="RZZ2" s="494"/>
      <c r="SAA2" s="494"/>
      <c r="SAB2" s="494"/>
      <c r="SAC2" s="494"/>
      <c r="SAD2" s="494"/>
      <c r="SAE2" s="494"/>
      <c r="SAF2" s="494"/>
      <c r="SAG2" s="494"/>
      <c r="SAH2" s="494"/>
      <c r="SAI2" s="494"/>
      <c r="SAJ2" s="494"/>
      <c r="SAK2" s="494"/>
      <c r="SAL2" s="494"/>
      <c r="SAM2" s="494"/>
      <c r="SAN2" s="494"/>
      <c r="SAO2" s="494"/>
      <c r="SAP2" s="494"/>
      <c r="SAQ2" s="494"/>
      <c r="SAR2" s="494"/>
      <c r="SAS2" s="494"/>
      <c r="SAT2" s="494"/>
      <c r="SAU2" s="494"/>
      <c r="SAV2" s="494"/>
      <c r="SAW2" s="494"/>
      <c r="SAX2" s="494"/>
      <c r="SAY2" s="494"/>
      <c r="SAZ2" s="494"/>
      <c r="SBA2" s="494"/>
      <c r="SBB2" s="494"/>
      <c r="SBC2" s="494"/>
      <c r="SBD2" s="494"/>
      <c r="SBE2" s="494"/>
      <c r="SBF2" s="494"/>
      <c r="SBG2" s="494"/>
      <c r="SBH2" s="494"/>
      <c r="SBI2" s="494"/>
      <c r="SBJ2" s="494"/>
      <c r="SBK2" s="494"/>
      <c r="SBL2" s="494"/>
      <c r="SBM2" s="494"/>
      <c r="SBN2" s="494"/>
      <c r="SBO2" s="494"/>
      <c r="SBP2" s="494"/>
      <c r="SBQ2" s="494"/>
      <c r="SBR2" s="494"/>
      <c r="SBS2" s="494"/>
      <c r="SBT2" s="494"/>
      <c r="SBU2" s="494"/>
      <c r="SBV2" s="494"/>
      <c r="SBW2" s="494"/>
      <c r="SBX2" s="494"/>
      <c r="SBY2" s="494"/>
      <c r="SBZ2" s="494"/>
      <c r="SCA2" s="494"/>
      <c r="SCB2" s="494"/>
      <c r="SCC2" s="494"/>
      <c r="SCD2" s="494"/>
      <c r="SCE2" s="494"/>
      <c r="SCF2" s="494"/>
      <c r="SCG2" s="494"/>
      <c r="SCH2" s="494"/>
      <c r="SCI2" s="494"/>
      <c r="SCJ2" s="494"/>
      <c r="SCK2" s="494"/>
      <c r="SCL2" s="494"/>
      <c r="SCM2" s="494"/>
      <c r="SCN2" s="494"/>
      <c r="SCO2" s="494"/>
      <c r="SCP2" s="494"/>
      <c r="SCQ2" s="494"/>
      <c r="SCR2" s="494"/>
      <c r="SCS2" s="494"/>
      <c r="SCT2" s="494"/>
      <c r="SCU2" s="494"/>
      <c r="SCV2" s="494"/>
      <c r="SCW2" s="494"/>
      <c r="SCX2" s="494"/>
      <c r="SCY2" s="494"/>
      <c r="SCZ2" s="494"/>
      <c r="SDA2" s="494"/>
      <c r="SDB2" s="494"/>
      <c r="SDC2" s="494"/>
      <c r="SDD2" s="494"/>
      <c r="SDE2" s="494"/>
      <c r="SDF2" s="494"/>
      <c r="SDG2" s="494"/>
      <c r="SDH2" s="494"/>
      <c r="SDI2" s="494"/>
      <c r="SDJ2" s="494"/>
      <c r="SDK2" s="494"/>
      <c r="SDL2" s="494"/>
      <c r="SDM2" s="494"/>
      <c r="SDN2" s="494"/>
      <c r="SDO2" s="494"/>
      <c r="SDP2" s="494"/>
      <c r="SDQ2" s="494"/>
      <c r="SDR2" s="494"/>
      <c r="SDS2" s="494"/>
      <c r="SDT2" s="494"/>
      <c r="SDU2" s="494"/>
      <c r="SDV2" s="494"/>
      <c r="SDW2" s="494"/>
      <c r="SDX2" s="494"/>
      <c r="SDY2" s="494"/>
      <c r="SDZ2" s="494"/>
      <c r="SEA2" s="494"/>
      <c r="SEB2" s="494"/>
      <c r="SEC2" s="494"/>
      <c r="SED2" s="494"/>
      <c r="SEE2" s="494"/>
      <c r="SEF2" s="494"/>
      <c r="SEG2" s="494"/>
      <c r="SEH2" s="494"/>
      <c r="SEI2" s="494"/>
      <c r="SEJ2" s="494"/>
      <c r="SEK2" s="494"/>
      <c r="SEL2" s="494"/>
      <c r="SEM2" s="494"/>
      <c r="SEN2" s="494"/>
      <c r="SEO2" s="494"/>
      <c r="SEP2" s="494"/>
      <c r="SEQ2" s="494"/>
      <c r="SER2" s="494"/>
      <c r="SES2" s="494"/>
      <c r="SET2" s="494"/>
      <c r="SEU2" s="494"/>
      <c r="SEV2" s="494"/>
      <c r="SEW2" s="494"/>
      <c r="SEX2" s="494"/>
      <c r="SEY2" s="494"/>
      <c r="SEZ2" s="494"/>
      <c r="SFA2" s="494"/>
      <c r="SFB2" s="494"/>
      <c r="SFC2" s="494"/>
      <c r="SFD2" s="494"/>
      <c r="SFE2" s="494"/>
      <c r="SFF2" s="494"/>
      <c r="SFG2" s="494"/>
      <c r="SFH2" s="494"/>
      <c r="SFI2" s="494"/>
      <c r="SFJ2" s="494"/>
      <c r="SFK2" s="494"/>
      <c r="SFL2" s="494"/>
      <c r="SFM2" s="494"/>
      <c r="SFN2" s="494"/>
      <c r="SFO2" s="494"/>
      <c r="SFP2" s="494"/>
      <c r="SFQ2" s="494"/>
      <c r="SFR2" s="494"/>
      <c r="SFS2" s="494"/>
      <c r="SFT2" s="494"/>
      <c r="SFU2" s="494"/>
      <c r="SFV2" s="494"/>
      <c r="SFW2" s="494"/>
      <c r="SFX2" s="494"/>
      <c r="SFY2" s="494"/>
      <c r="SFZ2" s="494"/>
      <c r="SGA2" s="494"/>
      <c r="SGB2" s="494"/>
      <c r="SGC2" s="494"/>
      <c r="SGD2" s="494"/>
      <c r="SGE2" s="494"/>
      <c r="SGF2" s="494"/>
      <c r="SGG2" s="494"/>
      <c r="SGH2" s="494"/>
      <c r="SGI2" s="494"/>
      <c r="SGJ2" s="494"/>
      <c r="SGK2" s="494"/>
      <c r="SGL2" s="494"/>
      <c r="SGM2" s="494"/>
      <c r="SGN2" s="494"/>
      <c r="SGO2" s="494"/>
      <c r="SGP2" s="494"/>
      <c r="SGQ2" s="494"/>
      <c r="SGR2" s="494"/>
      <c r="SGS2" s="494"/>
      <c r="SGT2" s="494"/>
      <c r="SGU2" s="494"/>
      <c r="SGV2" s="494"/>
      <c r="SGW2" s="494"/>
      <c r="SGX2" s="494"/>
      <c r="SGY2" s="494"/>
      <c r="SGZ2" s="494"/>
      <c r="SHA2" s="494"/>
      <c r="SHB2" s="494"/>
      <c r="SHC2" s="494"/>
      <c r="SHD2" s="494"/>
      <c r="SHE2" s="494"/>
      <c r="SHF2" s="494"/>
      <c r="SHG2" s="494"/>
      <c r="SHH2" s="494"/>
      <c r="SHI2" s="494"/>
      <c r="SHJ2" s="494"/>
      <c r="SHK2" s="494"/>
      <c r="SHL2" s="494"/>
      <c r="SHM2" s="494"/>
      <c r="SHN2" s="494"/>
      <c r="SHO2" s="494"/>
      <c r="SHP2" s="494"/>
      <c r="SHQ2" s="494"/>
      <c r="SHR2" s="494"/>
      <c r="SHS2" s="494"/>
      <c r="SHT2" s="494"/>
      <c r="SHU2" s="494"/>
      <c r="SHV2" s="494"/>
      <c r="SHW2" s="494"/>
      <c r="SHX2" s="494"/>
      <c r="SHY2" s="494"/>
      <c r="SHZ2" s="494"/>
      <c r="SIA2" s="494"/>
      <c r="SIB2" s="494"/>
      <c r="SIC2" s="494"/>
      <c r="SID2" s="494"/>
      <c r="SIE2" s="494"/>
      <c r="SIF2" s="494"/>
      <c r="SIG2" s="494"/>
      <c r="SIH2" s="494"/>
      <c r="SII2" s="494"/>
      <c r="SIJ2" s="494"/>
      <c r="SIK2" s="494"/>
      <c r="SIL2" s="494"/>
      <c r="SIM2" s="494"/>
      <c r="SIN2" s="494"/>
      <c r="SIO2" s="494"/>
      <c r="SIP2" s="494"/>
      <c r="SIQ2" s="494"/>
      <c r="SIR2" s="494"/>
      <c r="SIS2" s="494"/>
      <c r="SIT2" s="494"/>
      <c r="SIU2" s="494"/>
      <c r="SIV2" s="494"/>
      <c r="SIW2" s="494"/>
      <c r="SIX2" s="494"/>
      <c r="SIY2" s="494"/>
      <c r="SIZ2" s="494"/>
      <c r="SJA2" s="494"/>
      <c r="SJB2" s="494"/>
      <c r="SJC2" s="494"/>
      <c r="SJD2" s="494"/>
      <c r="SJE2" s="494"/>
      <c r="SJF2" s="494"/>
      <c r="SJG2" s="494"/>
      <c r="SJH2" s="494"/>
      <c r="SJI2" s="494"/>
      <c r="SJJ2" s="494"/>
      <c r="SJK2" s="494"/>
      <c r="SJL2" s="494"/>
      <c r="SJM2" s="494"/>
      <c r="SJN2" s="494"/>
      <c r="SJO2" s="494"/>
      <c r="SJP2" s="494"/>
      <c r="SJQ2" s="494"/>
      <c r="SJR2" s="494"/>
      <c r="SJS2" s="494"/>
      <c r="SJT2" s="494"/>
      <c r="SJU2" s="494"/>
      <c r="SJV2" s="494"/>
      <c r="SJW2" s="494"/>
      <c r="SJX2" s="494"/>
      <c r="SJY2" s="494"/>
      <c r="SJZ2" s="494"/>
      <c r="SKA2" s="494"/>
      <c r="SKB2" s="494"/>
      <c r="SKC2" s="494"/>
      <c r="SKD2" s="494"/>
      <c r="SKE2" s="494"/>
      <c r="SKF2" s="494"/>
      <c r="SKG2" s="494"/>
      <c r="SKH2" s="494"/>
      <c r="SKI2" s="494"/>
      <c r="SKJ2" s="494"/>
      <c r="SKK2" s="494"/>
      <c r="SKL2" s="494"/>
      <c r="SKM2" s="494"/>
      <c r="SKN2" s="494"/>
      <c r="SKO2" s="494"/>
      <c r="SKP2" s="494"/>
      <c r="SKQ2" s="494"/>
      <c r="SKR2" s="494"/>
      <c r="SKS2" s="494"/>
      <c r="SKT2" s="494"/>
      <c r="SKU2" s="494"/>
      <c r="SKV2" s="494"/>
      <c r="SKW2" s="494"/>
      <c r="SKX2" s="494"/>
      <c r="SKY2" s="494"/>
      <c r="SKZ2" s="494"/>
      <c r="SLA2" s="494"/>
      <c r="SLB2" s="494"/>
      <c r="SLC2" s="494"/>
      <c r="SLD2" s="494"/>
      <c r="SLE2" s="494"/>
      <c r="SLF2" s="494"/>
      <c r="SLG2" s="494"/>
      <c r="SLH2" s="494"/>
      <c r="SLI2" s="494"/>
      <c r="SLJ2" s="494"/>
      <c r="SLK2" s="494"/>
      <c r="SLL2" s="494"/>
      <c r="SLM2" s="494"/>
      <c r="SLN2" s="494"/>
      <c r="SLO2" s="494"/>
      <c r="SLP2" s="494"/>
      <c r="SLQ2" s="494"/>
      <c r="SLR2" s="494"/>
      <c r="SLS2" s="494"/>
      <c r="SLT2" s="494"/>
      <c r="SLU2" s="494"/>
      <c r="SLV2" s="494"/>
      <c r="SLW2" s="494"/>
      <c r="SLX2" s="494"/>
      <c r="SLY2" s="494"/>
      <c r="SLZ2" s="494"/>
      <c r="SMA2" s="494"/>
      <c r="SMB2" s="494"/>
      <c r="SMC2" s="494"/>
      <c r="SMD2" s="494"/>
      <c r="SME2" s="494"/>
      <c r="SMF2" s="494"/>
      <c r="SMG2" s="494"/>
      <c r="SMH2" s="494"/>
      <c r="SMI2" s="494"/>
      <c r="SMJ2" s="494"/>
      <c r="SMK2" s="494"/>
      <c r="SML2" s="494"/>
      <c r="SMM2" s="494"/>
      <c r="SMN2" s="494"/>
      <c r="SMO2" s="494"/>
      <c r="SMP2" s="494"/>
      <c r="SMQ2" s="494"/>
      <c r="SMR2" s="494"/>
      <c r="SMS2" s="494"/>
      <c r="SMT2" s="494"/>
      <c r="SMU2" s="494"/>
      <c r="SMV2" s="494"/>
      <c r="SMW2" s="494"/>
      <c r="SMX2" s="494"/>
      <c r="SMY2" s="494"/>
      <c r="SMZ2" s="494"/>
      <c r="SNA2" s="494"/>
      <c r="SNB2" s="494"/>
      <c r="SNC2" s="494"/>
      <c r="SND2" s="494"/>
      <c r="SNE2" s="494"/>
      <c r="SNF2" s="494"/>
      <c r="SNG2" s="494"/>
      <c r="SNH2" s="494"/>
      <c r="SNI2" s="494"/>
      <c r="SNJ2" s="494"/>
      <c r="SNK2" s="494"/>
      <c r="SNL2" s="494"/>
      <c r="SNM2" s="494"/>
      <c r="SNN2" s="494"/>
      <c r="SNO2" s="494"/>
      <c r="SNP2" s="494"/>
      <c r="SNQ2" s="494"/>
      <c r="SNR2" s="494"/>
      <c r="SNS2" s="494"/>
      <c r="SNT2" s="494"/>
      <c r="SNU2" s="494"/>
      <c r="SNV2" s="494"/>
      <c r="SNW2" s="494"/>
      <c r="SNX2" s="494"/>
      <c r="SNY2" s="494"/>
      <c r="SNZ2" s="494"/>
      <c r="SOA2" s="494"/>
      <c r="SOB2" s="494"/>
      <c r="SOC2" s="494"/>
      <c r="SOD2" s="494"/>
      <c r="SOE2" s="494"/>
      <c r="SOF2" s="494"/>
      <c r="SOG2" s="494"/>
      <c r="SOH2" s="494"/>
      <c r="SOI2" s="494"/>
      <c r="SOJ2" s="494"/>
      <c r="SOK2" s="494"/>
      <c r="SOL2" s="494"/>
      <c r="SOM2" s="494"/>
      <c r="SON2" s="494"/>
      <c r="SOO2" s="494"/>
      <c r="SOP2" s="494"/>
      <c r="SOQ2" s="494"/>
      <c r="SOR2" s="494"/>
      <c r="SOS2" s="494"/>
      <c r="SOT2" s="494"/>
      <c r="SOU2" s="494"/>
      <c r="SOV2" s="494"/>
      <c r="SOW2" s="494"/>
      <c r="SOX2" s="494"/>
      <c r="SOY2" s="494"/>
      <c r="SOZ2" s="494"/>
      <c r="SPA2" s="494"/>
      <c r="SPB2" s="494"/>
      <c r="SPC2" s="494"/>
      <c r="SPD2" s="494"/>
      <c r="SPE2" s="494"/>
      <c r="SPF2" s="494"/>
      <c r="SPG2" s="494"/>
      <c r="SPH2" s="494"/>
      <c r="SPI2" s="494"/>
      <c r="SPJ2" s="494"/>
      <c r="SPK2" s="494"/>
      <c r="SPL2" s="494"/>
      <c r="SPM2" s="494"/>
      <c r="SPN2" s="494"/>
      <c r="SPO2" s="494"/>
      <c r="SPP2" s="494"/>
      <c r="SPQ2" s="494"/>
      <c r="SPR2" s="494"/>
      <c r="SPS2" s="494"/>
      <c r="SPT2" s="494"/>
      <c r="SPU2" s="494"/>
      <c r="SPV2" s="494"/>
      <c r="SPW2" s="494"/>
      <c r="SPX2" s="494"/>
      <c r="SPY2" s="494"/>
      <c r="SPZ2" s="494"/>
      <c r="SQA2" s="494"/>
      <c r="SQB2" s="494"/>
      <c r="SQC2" s="494"/>
      <c r="SQD2" s="494"/>
      <c r="SQE2" s="494"/>
      <c r="SQF2" s="494"/>
      <c r="SQG2" s="494"/>
      <c r="SQH2" s="494"/>
      <c r="SQI2" s="494"/>
      <c r="SQJ2" s="494"/>
      <c r="SQK2" s="494"/>
      <c r="SQL2" s="494"/>
      <c r="SQM2" s="494"/>
      <c r="SQN2" s="494"/>
      <c r="SQO2" s="494"/>
      <c r="SQP2" s="494"/>
      <c r="SQQ2" s="494"/>
      <c r="SQR2" s="494"/>
      <c r="SQS2" s="494"/>
      <c r="SQT2" s="494"/>
      <c r="SQU2" s="494"/>
      <c r="SQV2" s="494"/>
      <c r="SQW2" s="494"/>
      <c r="SQX2" s="494"/>
      <c r="SQY2" s="494"/>
      <c r="SQZ2" s="494"/>
      <c r="SRA2" s="494"/>
      <c r="SRB2" s="494"/>
      <c r="SRC2" s="494"/>
      <c r="SRD2" s="494"/>
      <c r="SRE2" s="494"/>
      <c r="SRF2" s="494"/>
      <c r="SRG2" s="494"/>
      <c r="SRH2" s="494"/>
      <c r="SRI2" s="494"/>
      <c r="SRJ2" s="494"/>
      <c r="SRK2" s="494"/>
      <c r="SRL2" s="494"/>
      <c r="SRM2" s="494"/>
      <c r="SRN2" s="494"/>
      <c r="SRO2" s="494"/>
      <c r="SRP2" s="494"/>
      <c r="SRQ2" s="494"/>
      <c r="SRR2" s="494"/>
      <c r="SRS2" s="494"/>
      <c r="SRT2" s="494"/>
      <c r="SRU2" s="494"/>
      <c r="SRV2" s="494"/>
      <c r="SRW2" s="494"/>
      <c r="SRX2" s="494"/>
      <c r="SRY2" s="494"/>
      <c r="SRZ2" s="494"/>
      <c r="SSA2" s="494"/>
      <c r="SSB2" s="494"/>
      <c r="SSC2" s="494"/>
      <c r="SSD2" s="494"/>
      <c r="SSE2" s="494"/>
      <c r="SSF2" s="494"/>
      <c r="SSG2" s="494"/>
      <c r="SSH2" s="494"/>
      <c r="SSI2" s="494"/>
      <c r="SSJ2" s="494"/>
      <c r="SSK2" s="494"/>
      <c r="SSL2" s="494"/>
      <c r="SSM2" s="494"/>
      <c r="SSN2" s="494"/>
      <c r="SSO2" s="494"/>
      <c r="SSP2" s="494"/>
      <c r="SSQ2" s="494"/>
      <c r="SSR2" s="494"/>
      <c r="SSS2" s="494"/>
      <c r="SST2" s="494"/>
      <c r="SSU2" s="494"/>
      <c r="SSV2" s="494"/>
      <c r="SSW2" s="494"/>
      <c r="SSX2" s="494"/>
      <c r="SSY2" s="494"/>
      <c r="SSZ2" s="494"/>
      <c r="STA2" s="494"/>
      <c r="STB2" s="494"/>
      <c r="STC2" s="494"/>
      <c r="STD2" s="494"/>
      <c r="STE2" s="494"/>
      <c r="STF2" s="494"/>
      <c r="STG2" s="494"/>
      <c r="STH2" s="494"/>
      <c r="STI2" s="494"/>
      <c r="STJ2" s="494"/>
      <c r="STK2" s="494"/>
      <c r="STL2" s="494"/>
      <c r="STM2" s="494"/>
      <c r="STN2" s="494"/>
      <c r="STO2" s="494"/>
      <c r="STP2" s="494"/>
      <c r="STQ2" s="494"/>
      <c r="STR2" s="494"/>
      <c r="STS2" s="494"/>
      <c r="STT2" s="494"/>
      <c r="STU2" s="494"/>
      <c r="STV2" s="494"/>
      <c r="STW2" s="494"/>
      <c r="STX2" s="494"/>
      <c r="STY2" s="494"/>
      <c r="STZ2" s="494"/>
      <c r="SUA2" s="494"/>
      <c r="SUB2" s="494"/>
      <c r="SUC2" s="494"/>
      <c r="SUD2" s="494"/>
      <c r="SUE2" s="494"/>
      <c r="SUF2" s="494"/>
      <c r="SUG2" s="494"/>
      <c r="SUH2" s="494"/>
      <c r="SUI2" s="494"/>
      <c r="SUJ2" s="494"/>
      <c r="SUK2" s="494"/>
      <c r="SUL2" s="494"/>
      <c r="SUM2" s="494"/>
      <c r="SUN2" s="494"/>
      <c r="SUO2" s="494"/>
      <c r="SUP2" s="494"/>
      <c r="SUQ2" s="494"/>
      <c r="SUR2" s="494"/>
      <c r="SUS2" s="494"/>
      <c r="SUT2" s="494"/>
      <c r="SUU2" s="494"/>
      <c r="SUV2" s="494"/>
      <c r="SUW2" s="494"/>
      <c r="SUX2" s="494"/>
      <c r="SUY2" s="494"/>
      <c r="SUZ2" s="494"/>
      <c r="SVA2" s="494"/>
      <c r="SVB2" s="494"/>
      <c r="SVC2" s="494"/>
      <c r="SVD2" s="494"/>
      <c r="SVE2" s="494"/>
      <c r="SVF2" s="494"/>
      <c r="SVG2" s="494"/>
      <c r="SVH2" s="494"/>
      <c r="SVI2" s="494"/>
      <c r="SVJ2" s="494"/>
      <c r="SVK2" s="494"/>
      <c r="SVL2" s="494"/>
      <c r="SVM2" s="494"/>
      <c r="SVN2" s="494"/>
      <c r="SVO2" s="494"/>
      <c r="SVP2" s="494"/>
      <c r="SVQ2" s="494"/>
      <c r="SVR2" s="494"/>
      <c r="SVS2" s="494"/>
      <c r="SVT2" s="494"/>
      <c r="SVU2" s="494"/>
      <c r="SVV2" s="494"/>
      <c r="SVW2" s="494"/>
      <c r="SVX2" s="494"/>
      <c r="SVY2" s="494"/>
      <c r="SVZ2" s="494"/>
      <c r="SWA2" s="494"/>
      <c r="SWB2" s="494"/>
      <c r="SWC2" s="494"/>
      <c r="SWD2" s="494"/>
      <c r="SWE2" s="494"/>
      <c r="SWF2" s="494"/>
      <c r="SWG2" s="494"/>
      <c r="SWH2" s="494"/>
      <c r="SWI2" s="494"/>
      <c r="SWJ2" s="494"/>
      <c r="SWK2" s="494"/>
      <c r="SWL2" s="494"/>
      <c r="SWM2" s="494"/>
      <c r="SWN2" s="494"/>
      <c r="SWO2" s="494"/>
      <c r="SWP2" s="494"/>
      <c r="SWQ2" s="494"/>
      <c r="SWR2" s="494"/>
      <c r="SWS2" s="494"/>
      <c r="SWT2" s="494"/>
      <c r="SWU2" s="494"/>
      <c r="SWV2" s="494"/>
      <c r="SWW2" s="494"/>
      <c r="SWX2" s="494"/>
      <c r="SWY2" s="494"/>
      <c r="SWZ2" s="494"/>
      <c r="SXA2" s="494"/>
      <c r="SXB2" s="494"/>
      <c r="SXC2" s="494"/>
      <c r="SXD2" s="494"/>
      <c r="SXE2" s="494"/>
      <c r="SXF2" s="494"/>
      <c r="SXG2" s="494"/>
      <c r="SXH2" s="494"/>
      <c r="SXI2" s="494"/>
      <c r="SXJ2" s="494"/>
      <c r="SXK2" s="494"/>
      <c r="SXL2" s="494"/>
      <c r="SXM2" s="494"/>
      <c r="SXN2" s="494"/>
      <c r="SXO2" s="494"/>
      <c r="SXP2" s="494"/>
      <c r="SXQ2" s="494"/>
      <c r="SXR2" s="494"/>
      <c r="SXS2" s="494"/>
      <c r="SXT2" s="494"/>
      <c r="SXU2" s="494"/>
      <c r="SXV2" s="494"/>
      <c r="SXW2" s="494"/>
      <c r="SXX2" s="494"/>
      <c r="SXY2" s="494"/>
      <c r="SXZ2" s="494"/>
      <c r="SYA2" s="494"/>
      <c r="SYB2" s="494"/>
      <c r="SYC2" s="494"/>
      <c r="SYD2" s="494"/>
      <c r="SYE2" s="494"/>
      <c r="SYF2" s="494"/>
      <c r="SYG2" s="494"/>
      <c r="SYH2" s="494"/>
      <c r="SYI2" s="494"/>
      <c r="SYJ2" s="494"/>
      <c r="SYK2" s="494"/>
      <c r="SYL2" s="494"/>
      <c r="SYM2" s="494"/>
      <c r="SYN2" s="494"/>
      <c r="SYO2" s="494"/>
      <c r="SYP2" s="494"/>
      <c r="SYQ2" s="494"/>
      <c r="SYR2" s="494"/>
      <c r="SYS2" s="494"/>
      <c r="SYT2" s="494"/>
      <c r="SYU2" s="494"/>
      <c r="SYV2" s="494"/>
      <c r="SYW2" s="494"/>
      <c r="SYX2" s="494"/>
      <c r="SYY2" s="494"/>
      <c r="SYZ2" s="494"/>
      <c r="SZA2" s="494"/>
      <c r="SZB2" s="494"/>
      <c r="SZC2" s="494"/>
      <c r="SZD2" s="494"/>
      <c r="SZE2" s="494"/>
      <c r="SZF2" s="494"/>
      <c r="SZG2" s="494"/>
      <c r="SZH2" s="494"/>
      <c r="SZI2" s="494"/>
      <c r="SZJ2" s="494"/>
      <c r="SZK2" s="494"/>
      <c r="SZL2" s="494"/>
      <c r="SZM2" s="494"/>
      <c r="SZN2" s="494"/>
      <c r="SZO2" s="494"/>
      <c r="SZP2" s="494"/>
      <c r="SZQ2" s="494"/>
      <c r="SZR2" s="494"/>
      <c r="SZS2" s="494"/>
      <c r="SZT2" s="494"/>
      <c r="SZU2" s="494"/>
      <c r="SZV2" s="494"/>
      <c r="SZW2" s="494"/>
      <c r="SZX2" s="494"/>
      <c r="SZY2" s="494"/>
      <c r="SZZ2" s="494"/>
      <c r="TAA2" s="494"/>
      <c r="TAB2" s="494"/>
      <c r="TAC2" s="494"/>
      <c r="TAD2" s="494"/>
      <c r="TAE2" s="494"/>
      <c r="TAF2" s="494"/>
      <c r="TAG2" s="494"/>
      <c r="TAH2" s="494"/>
      <c r="TAI2" s="494"/>
      <c r="TAJ2" s="494"/>
      <c r="TAK2" s="494"/>
      <c r="TAL2" s="494"/>
      <c r="TAM2" s="494"/>
      <c r="TAN2" s="494"/>
      <c r="TAO2" s="494"/>
      <c r="TAP2" s="494"/>
      <c r="TAQ2" s="494"/>
      <c r="TAR2" s="494"/>
      <c r="TAS2" s="494"/>
      <c r="TAT2" s="494"/>
      <c r="TAU2" s="494"/>
      <c r="TAV2" s="494"/>
      <c r="TAW2" s="494"/>
      <c r="TAX2" s="494"/>
      <c r="TAY2" s="494"/>
      <c r="TAZ2" s="494"/>
      <c r="TBA2" s="494"/>
      <c r="TBB2" s="494"/>
      <c r="TBC2" s="494"/>
      <c r="TBD2" s="494"/>
      <c r="TBE2" s="494"/>
      <c r="TBF2" s="494"/>
      <c r="TBG2" s="494"/>
      <c r="TBH2" s="494"/>
      <c r="TBI2" s="494"/>
      <c r="TBJ2" s="494"/>
      <c r="TBK2" s="494"/>
      <c r="TBL2" s="494"/>
      <c r="TBM2" s="494"/>
      <c r="TBN2" s="494"/>
      <c r="TBO2" s="494"/>
      <c r="TBP2" s="494"/>
      <c r="TBQ2" s="494"/>
      <c r="TBR2" s="494"/>
      <c r="TBS2" s="494"/>
      <c r="TBT2" s="494"/>
      <c r="TBU2" s="494"/>
      <c r="TBV2" s="494"/>
      <c r="TBW2" s="494"/>
      <c r="TBX2" s="494"/>
      <c r="TBY2" s="494"/>
      <c r="TBZ2" s="494"/>
      <c r="TCA2" s="494"/>
      <c r="TCB2" s="494"/>
      <c r="TCC2" s="494"/>
      <c r="TCD2" s="494"/>
      <c r="TCE2" s="494"/>
      <c r="TCF2" s="494"/>
      <c r="TCG2" s="494"/>
      <c r="TCH2" s="494"/>
      <c r="TCI2" s="494"/>
      <c r="TCJ2" s="494"/>
      <c r="TCK2" s="494"/>
      <c r="TCL2" s="494"/>
      <c r="TCM2" s="494"/>
      <c r="TCN2" s="494"/>
      <c r="TCO2" s="494"/>
      <c r="TCP2" s="494"/>
      <c r="TCQ2" s="494"/>
      <c r="TCR2" s="494"/>
      <c r="TCS2" s="494"/>
      <c r="TCT2" s="494"/>
      <c r="TCU2" s="494"/>
      <c r="TCV2" s="494"/>
      <c r="TCW2" s="494"/>
      <c r="TCX2" s="494"/>
      <c r="TCY2" s="494"/>
      <c r="TCZ2" s="494"/>
      <c r="TDA2" s="494"/>
      <c r="TDB2" s="494"/>
      <c r="TDC2" s="494"/>
      <c r="TDD2" s="494"/>
      <c r="TDE2" s="494"/>
      <c r="TDF2" s="494"/>
      <c r="TDG2" s="494"/>
      <c r="TDH2" s="494"/>
      <c r="TDI2" s="494"/>
      <c r="TDJ2" s="494"/>
      <c r="TDK2" s="494"/>
      <c r="TDL2" s="494"/>
      <c r="TDM2" s="494"/>
      <c r="TDN2" s="494"/>
      <c r="TDO2" s="494"/>
      <c r="TDP2" s="494"/>
      <c r="TDQ2" s="494"/>
      <c r="TDR2" s="494"/>
      <c r="TDS2" s="494"/>
      <c r="TDT2" s="494"/>
      <c r="TDU2" s="494"/>
      <c r="TDV2" s="494"/>
      <c r="TDW2" s="494"/>
      <c r="TDX2" s="494"/>
      <c r="TDY2" s="494"/>
      <c r="TDZ2" s="494"/>
      <c r="TEA2" s="494"/>
      <c r="TEB2" s="494"/>
      <c r="TEC2" s="494"/>
      <c r="TED2" s="494"/>
      <c r="TEE2" s="494"/>
      <c r="TEF2" s="494"/>
      <c r="TEG2" s="494"/>
      <c r="TEH2" s="494"/>
      <c r="TEI2" s="494"/>
      <c r="TEJ2" s="494"/>
      <c r="TEK2" s="494"/>
      <c r="TEL2" s="494"/>
      <c r="TEM2" s="494"/>
      <c r="TEN2" s="494"/>
      <c r="TEO2" s="494"/>
      <c r="TEP2" s="494"/>
      <c r="TEQ2" s="494"/>
      <c r="TER2" s="494"/>
      <c r="TES2" s="494"/>
      <c r="TET2" s="494"/>
      <c r="TEU2" s="494"/>
      <c r="TEV2" s="494"/>
      <c r="TEW2" s="494"/>
      <c r="TEX2" s="494"/>
      <c r="TEY2" s="494"/>
      <c r="TEZ2" s="494"/>
      <c r="TFA2" s="494"/>
      <c r="TFB2" s="494"/>
      <c r="TFC2" s="494"/>
      <c r="TFD2" s="494"/>
      <c r="TFE2" s="494"/>
      <c r="TFF2" s="494"/>
      <c r="TFG2" s="494"/>
      <c r="TFH2" s="494"/>
      <c r="TFI2" s="494"/>
      <c r="TFJ2" s="494"/>
      <c r="TFK2" s="494"/>
      <c r="TFL2" s="494"/>
      <c r="TFM2" s="494"/>
      <c r="TFN2" s="494"/>
      <c r="TFO2" s="494"/>
      <c r="TFP2" s="494"/>
      <c r="TFQ2" s="494"/>
      <c r="TFR2" s="494"/>
      <c r="TFS2" s="494"/>
      <c r="TFT2" s="494"/>
      <c r="TFU2" s="494"/>
      <c r="TFV2" s="494"/>
      <c r="TFW2" s="494"/>
      <c r="TFX2" s="494"/>
      <c r="TFY2" s="494"/>
      <c r="TFZ2" s="494"/>
      <c r="TGA2" s="494"/>
      <c r="TGB2" s="494"/>
      <c r="TGC2" s="494"/>
      <c r="TGD2" s="494"/>
      <c r="TGE2" s="494"/>
      <c r="TGF2" s="494"/>
      <c r="TGG2" s="494"/>
      <c r="TGH2" s="494"/>
      <c r="TGI2" s="494"/>
      <c r="TGJ2" s="494"/>
      <c r="TGK2" s="494"/>
      <c r="TGL2" s="494"/>
      <c r="TGM2" s="494"/>
      <c r="TGN2" s="494"/>
      <c r="TGO2" s="494"/>
      <c r="TGP2" s="494"/>
      <c r="TGQ2" s="494"/>
      <c r="TGR2" s="494"/>
      <c r="TGS2" s="494"/>
      <c r="TGT2" s="494"/>
      <c r="TGU2" s="494"/>
      <c r="TGV2" s="494"/>
      <c r="TGW2" s="494"/>
      <c r="TGX2" s="494"/>
      <c r="TGY2" s="494"/>
      <c r="TGZ2" s="494"/>
      <c r="THA2" s="494"/>
      <c r="THB2" s="494"/>
      <c r="THC2" s="494"/>
      <c r="THD2" s="494"/>
      <c r="THE2" s="494"/>
      <c r="THF2" s="494"/>
      <c r="THG2" s="494"/>
      <c r="THH2" s="494"/>
      <c r="THI2" s="494"/>
      <c r="THJ2" s="494"/>
      <c r="THK2" s="494"/>
      <c r="THL2" s="494"/>
      <c r="THM2" s="494"/>
      <c r="THN2" s="494"/>
      <c r="THO2" s="494"/>
      <c r="THP2" s="494"/>
      <c r="THQ2" s="494"/>
      <c r="THR2" s="494"/>
      <c r="THS2" s="494"/>
      <c r="THT2" s="494"/>
      <c r="THU2" s="494"/>
      <c r="THV2" s="494"/>
      <c r="THW2" s="494"/>
      <c r="THX2" s="494"/>
      <c r="THY2" s="494"/>
      <c r="THZ2" s="494"/>
      <c r="TIA2" s="494"/>
      <c r="TIB2" s="494"/>
      <c r="TIC2" s="494"/>
      <c r="TID2" s="494"/>
      <c r="TIE2" s="494"/>
      <c r="TIF2" s="494"/>
      <c r="TIG2" s="494"/>
      <c r="TIH2" s="494"/>
      <c r="TII2" s="494"/>
      <c r="TIJ2" s="494"/>
      <c r="TIK2" s="494"/>
      <c r="TIL2" s="494"/>
      <c r="TIM2" s="494"/>
      <c r="TIN2" s="494"/>
      <c r="TIO2" s="494"/>
      <c r="TIP2" s="494"/>
      <c r="TIQ2" s="494"/>
      <c r="TIR2" s="494"/>
      <c r="TIS2" s="494"/>
      <c r="TIT2" s="494"/>
      <c r="TIU2" s="494"/>
      <c r="TIV2" s="494"/>
      <c r="TIW2" s="494"/>
      <c r="TIX2" s="494"/>
      <c r="TIY2" s="494"/>
      <c r="TIZ2" s="494"/>
      <c r="TJA2" s="494"/>
      <c r="TJB2" s="494"/>
      <c r="TJC2" s="494"/>
      <c r="TJD2" s="494"/>
      <c r="TJE2" s="494"/>
      <c r="TJF2" s="494"/>
      <c r="TJG2" s="494"/>
      <c r="TJH2" s="494"/>
      <c r="TJI2" s="494"/>
      <c r="TJJ2" s="494"/>
      <c r="TJK2" s="494"/>
      <c r="TJL2" s="494"/>
      <c r="TJM2" s="494"/>
      <c r="TJN2" s="494"/>
      <c r="TJO2" s="494"/>
      <c r="TJP2" s="494"/>
      <c r="TJQ2" s="494"/>
      <c r="TJR2" s="494"/>
      <c r="TJS2" s="494"/>
      <c r="TJT2" s="494"/>
      <c r="TJU2" s="494"/>
      <c r="TJV2" s="494"/>
      <c r="TJW2" s="494"/>
      <c r="TJX2" s="494"/>
      <c r="TJY2" s="494"/>
      <c r="TJZ2" s="494"/>
      <c r="TKA2" s="494"/>
      <c r="TKB2" s="494"/>
      <c r="TKC2" s="494"/>
      <c r="TKD2" s="494"/>
      <c r="TKE2" s="494"/>
      <c r="TKF2" s="494"/>
      <c r="TKG2" s="494"/>
      <c r="TKH2" s="494"/>
      <c r="TKI2" s="494"/>
      <c r="TKJ2" s="494"/>
      <c r="TKK2" s="494"/>
      <c r="TKL2" s="494"/>
      <c r="TKM2" s="494"/>
      <c r="TKN2" s="494"/>
      <c r="TKO2" s="494"/>
      <c r="TKP2" s="494"/>
      <c r="TKQ2" s="494"/>
      <c r="TKR2" s="494"/>
      <c r="TKS2" s="494"/>
      <c r="TKT2" s="494"/>
      <c r="TKU2" s="494"/>
      <c r="TKV2" s="494"/>
      <c r="TKW2" s="494"/>
      <c r="TKX2" s="494"/>
      <c r="TKY2" s="494"/>
      <c r="TKZ2" s="494"/>
      <c r="TLA2" s="494"/>
      <c r="TLB2" s="494"/>
      <c r="TLC2" s="494"/>
      <c r="TLD2" s="494"/>
      <c r="TLE2" s="494"/>
      <c r="TLF2" s="494"/>
      <c r="TLG2" s="494"/>
      <c r="TLH2" s="494"/>
      <c r="TLI2" s="494"/>
      <c r="TLJ2" s="494"/>
      <c r="TLK2" s="494"/>
      <c r="TLL2" s="494"/>
      <c r="TLM2" s="494"/>
      <c r="TLN2" s="494"/>
      <c r="TLO2" s="494"/>
      <c r="TLP2" s="494"/>
      <c r="TLQ2" s="494"/>
      <c r="TLR2" s="494"/>
      <c r="TLS2" s="494"/>
      <c r="TLT2" s="494"/>
      <c r="TLU2" s="494"/>
      <c r="TLV2" s="494"/>
      <c r="TLW2" s="494"/>
      <c r="TLX2" s="494"/>
      <c r="TLY2" s="494"/>
      <c r="TLZ2" s="494"/>
      <c r="TMA2" s="494"/>
      <c r="TMB2" s="494"/>
      <c r="TMC2" s="494"/>
      <c r="TMD2" s="494"/>
      <c r="TME2" s="494"/>
      <c r="TMF2" s="494"/>
      <c r="TMG2" s="494"/>
      <c r="TMH2" s="494"/>
      <c r="TMI2" s="494"/>
      <c r="TMJ2" s="494"/>
      <c r="TMK2" s="494"/>
      <c r="TML2" s="494"/>
      <c r="TMM2" s="494"/>
      <c r="TMN2" s="494"/>
      <c r="TMO2" s="494"/>
      <c r="TMP2" s="494"/>
      <c r="TMQ2" s="494"/>
      <c r="TMR2" s="494"/>
      <c r="TMS2" s="494"/>
      <c r="TMT2" s="494"/>
      <c r="TMU2" s="494"/>
      <c r="TMV2" s="494"/>
      <c r="TMW2" s="494"/>
      <c r="TMX2" s="494"/>
      <c r="TMY2" s="494"/>
      <c r="TMZ2" s="494"/>
      <c r="TNA2" s="494"/>
      <c r="TNB2" s="494"/>
      <c r="TNC2" s="494"/>
      <c r="TND2" s="494"/>
      <c r="TNE2" s="494"/>
      <c r="TNF2" s="494"/>
      <c r="TNG2" s="494"/>
      <c r="TNH2" s="494"/>
      <c r="TNI2" s="494"/>
      <c r="TNJ2" s="494"/>
      <c r="TNK2" s="494"/>
      <c r="TNL2" s="494"/>
      <c r="TNM2" s="494"/>
      <c r="TNN2" s="494"/>
      <c r="TNO2" s="494"/>
      <c r="TNP2" s="494"/>
      <c r="TNQ2" s="494"/>
      <c r="TNR2" s="494"/>
      <c r="TNS2" s="494"/>
      <c r="TNT2" s="494"/>
      <c r="TNU2" s="494"/>
      <c r="TNV2" s="494"/>
      <c r="TNW2" s="494"/>
      <c r="TNX2" s="494"/>
      <c r="TNY2" s="494"/>
      <c r="TNZ2" s="494"/>
      <c r="TOA2" s="494"/>
      <c r="TOB2" s="494"/>
      <c r="TOC2" s="494"/>
      <c r="TOD2" s="494"/>
      <c r="TOE2" s="494"/>
      <c r="TOF2" s="494"/>
      <c r="TOG2" s="494"/>
      <c r="TOH2" s="494"/>
      <c r="TOI2" s="494"/>
      <c r="TOJ2" s="494"/>
      <c r="TOK2" s="494"/>
      <c r="TOL2" s="494"/>
      <c r="TOM2" s="494"/>
      <c r="TON2" s="494"/>
      <c r="TOO2" s="494"/>
      <c r="TOP2" s="494"/>
      <c r="TOQ2" s="494"/>
      <c r="TOR2" s="494"/>
      <c r="TOS2" s="494"/>
      <c r="TOT2" s="494"/>
      <c r="TOU2" s="494"/>
      <c r="TOV2" s="494"/>
      <c r="TOW2" s="494"/>
      <c r="TOX2" s="494"/>
      <c r="TOY2" s="494"/>
      <c r="TOZ2" s="494"/>
      <c r="TPA2" s="494"/>
      <c r="TPB2" s="494"/>
      <c r="TPC2" s="494"/>
      <c r="TPD2" s="494"/>
      <c r="TPE2" s="494"/>
      <c r="TPF2" s="494"/>
      <c r="TPG2" s="494"/>
      <c r="TPH2" s="494"/>
      <c r="TPI2" s="494"/>
      <c r="TPJ2" s="494"/>
      <c r="TPK2" s="494"/>
      <c r="TPL2" s="494"/>
      <c r="TPM2" s="494"/>
      <c r="TPN2" s="494"/>
      <c r="TPO2" s="494"/>
      <c r="TPP2" s="494"/>
      <c r="TPQ2" s="494"/>
      <c r="TPR2" s="494"/>
      <c r="TPS2" s="494"/>
      <c r="TPT2" s="494"/>
      <c r="TPU2" s="494"/>
      <c r="TPV2" s="494"/>
      <c r="TPW2" s="494"/>
      <c r="TPX2" s="494"/>
      <c r="TPY2" s="494"/>
      <c r="TPZ2" s="494"/>
      <c r="TQA2" s="494"/>
      <c r="TQB2" s="494"/>
      <c r="TQC2" s="494"/>
      <c r="TQD2" s="494"/>
      <c r="TQE2" s="494"/>
      <c r="TQF2" s="494"/>
      <c r="TQG2" s="494"/>
      <c r="TQH2" s="494"/>
      <c r="TQI2" s="494"/>
      <c r="TQJ2" s="494"/>
      <c r="TQK2" s="494"/>
      <c r="TQL2" s="494"/>
      <c r="TQM2" s="494"/>
      <c r="TQN2" s="494"/>
      <c r="TQO2" s="494"/>
      <c r="TQP2" s="494"/>
      <c r="TQQ2" s="494"/>
      <c r="TQR2" s="494"/>
      <c r="TQS2" s="494"/>
      <c r="TQT2" s="494"/>
      <c r="TQU2" s="494"/>
      <c r="TQV2" s="494"/>
      <c r="TQW2" s="494"/>
      <c r="TQX2" s="494"/>
      <c r="TQY2" s="494"/>
      <c r="TQZ2" s="494"/>
      <c r="TRA2" s="494"/>
      <c r="TRB2" s="494"/>
      <c r="TRC2" s="494"/>
      <c r="TRD2" s="494"/>
      <c r="TRE2" s="494"/>
      <c r="TRF2" s="494"/>
      <c r="TRG2" s="494"/>
      <c r="TRH2" s="494"/>
      <c r="TRI2" s="494"/>
      <c r="TRJ2" s="494"/>
      <c r="TRK2" s="494"/>
      <c r="TRL2" s="494"/>
      <c r="TRM2" s="494"/>
      <c r="TRN2" s="494"/>
      <c r="TRO2" s="494"/>
      <c r="TRP2" s="494"/>
      <c r="TRQ2" s="494"/>
      <c r="TRR2" s="494"/>
      <c r="TRS2" s="494"/>
      <c r="TRT2" s="494"/>
      <c r="TRU2" s="494"/>
      <c r="TRV2" s="494"/>
      <c r="TRW2" s="494"/>
      <c r="TRX2" s="494"/>
      <c r="TRY2" s="494"/>
      <c r="TRZ2" s="494"/>
      <c r="TSA2" s="494"/>
      <c r="TSB2" s="494"/>
      <c r="TSC2" s="494"/>
      <c r="TSD2" s="494"/>
      <c r="TSE2" s="494"/>
      <c r="TSF2" s="494"/>
      <c r="TSG2" s="494"/>
      <c r="TSH2" s="494"/>
      <c r="TSI2" s="494"/>
      <c r="TSJ2" s="494"/>
      <c r="TSK2" s="494"/>
      <c r="TSL2" s="494"/>
      <c r="TSM2" s="494"/>
      <c r="TSN2" s="494"/>
      <c r="TSO2" s="494"/>
      <c r="TSP2" s="494"/>
      <c r="TSQ2" s="494"/>
      <c r="TSR2" s="494"/>
      <c r="TSS2" s="494"/>
      <c r="TST2" s="494"/>
      <c r="TSU2" s="494"/>
      <c r="TSV2" s="494"/>
      <c r="TSW2" s="494"/>
      <c r="TSX2" s="494"/>
      <c r="TSY2" s="494"/>
      <c r="TSZ2" s="494"/>
      <c r="TTA2" s="494"/>
      <c r="TTB2" s="494"/>
      <c r="TTC2" s="494"/>
      <c r="TTD2" s="494"/>
      <c r="TTE2" s="494"/>
      <c r="TTF2" s="494"/>
      <c r="TTG2" s="494"/>
      <c r="TTH2" s="494"/>
      <c r="TTI2" s="494"/>
      <c r="TTJ2" s="494"/>
      <c r="TTK2" s="494"/>
      <c r="TTL2" s="494"/>
      <c r="TTM2" s="494"/>
      <c r="TTN2" s="494"/>
      <c r="TTO2" s="494"/>
      <c r="TTP2" s="494"/>
      <c r="TTQ2" s="494"/>
      <c r="TTR2" s="494"/>
      <c r="TTS2" s="494"/>
      <c r="TTT2" s="494"/>
      <c r="TTU2" s="494"/>
      <c r="TTV2" s="494"/>
      <c r="TTW2" s="494"/>
      <c r="TTX2" s="494"/>
      <c r="TTY2" s="494"/>
      <c r="TTZ2" s="494"/>
      <c r="TUA2" s="494"/>
      <c r="TUB2" s="494"/>
      <c r="TUC2" s="494"/>
      <c r="TUD2" s="494"/>
      <c r="TUE2" s="494"/>
      <c r="TUF2" s="494"/>
      <c r="TUG2" s="494"/>
      <c r="TUH2" s="494"/>
      <c r="TUI2" s="494"/>
      <c r="TUJ2" s="494"/>
      <c r="TUK2" s="494"/>
      <c r="TUL2" s="494"/>
      <c r="TUM2" s="494"/>
      <c r="TUN2" s="494"/>
      <c r="TUO2" s="494"/>
      <c r="TUP2" s="494"/>
      <c r="TUQ2" s="494"/>
      <c r="TUR2" s="494"/>
      <c r="TUS2" s="494"/>
      <c r="TUT2" s="494"/>
      <c r="TUU2" s="494"/>
      <c r="TUV2" s="494"/>
      <c r="TUW2" s="494"/>
      <c r="TUX2" s="494"/>
      <c r="TUY2" s="494"/>
      <c r="TUZ2" s="494"/>
      <c r="TVA2" s="494"/>
      <c r="TVB2" s="494"/>
      <c r="TVC2" s="494"/>
      <c r="TVD2" s="494"/>
      <c r="TVE2" s="494"/>
      <c r="TVF2" s="494"/>
      <c r="TVG2" s="494"/>
      <c r="TVH2" s="494"/>
      <c r="TVI2" s="494"/>
      <c r="TVJ2" s="494"/>
      <c r="TVK2" s="494"/>
      <c r="TVL2" s="494"/>
      <c r="TVM2" s="494"/>
      <c r="TVN2" s="494"/>
      <c r="TVO2" s="494"/>
      <c r="TVP2" s="494"/>
      <c r="TVQ2" s="494"/>
      <c r="TVR2" s="494"/>
      <c r="TVS2" s="494"/>
      <c r="TVT2" s="494"/>
      <c r="TVU2" s="494"/>
      <c r="TVV2" s="494"/>
      <c r="TVW2" s="494"/>
      <c r="TVX2" s="494"/>
      <c r="TVY2" s="494"/>
      <c r="TVZ2" s="494"/>
      <c r="TWA2" s="494"/>
      <c r="TWB2" s="494"/>
      <c r="TWC2" s="494"/>
      <c r="TWD2" s="494"/>
      <c r="TWE2" s="494"/>
      <c r="TWF2" s="494"/>
      <c r="TWG2" s="494"/>
      <c r="TWH2" s="494"/>
      <c r="TWI2" s="494"/>
      <c r="TWJ2" s="494"/>
      <c r="TWK2" s="494"/>
      <c r="TWL2" s="494"/>
      <c r="TWM2" s="494"/>
      <c r="TWN2" s="494"/>
      <c r="TWO2" s="494"/>
      <c r="TWP2" s="494"/>
      <c r="TWQ2" s="494"/>
      <c r="TWR2" s="494"/>
      <c r="TWS2" s="494"/>
      <c r="TWT2" s="494"/>
      <c r="TWU2" s="494"/>
      <c r="TWV2" s="494"/>
      <c r="TWW2" s="494"/>
      <c r="TWX2" s="494"/>
      <c r="TWY2" s="494"/>
      <c r="TWZ2" s="494"/>
      <c r="TXA2" s="494"/>
      <c r="TXB2" s="494"/>
      <c r="TXC2" s="494"/>
      <c r="TXD2" s="494"/>
      <c r="TXE2" s="494"/>
      <c r="TXF2" s="494"/>
      <c r="TXG2" s="494"/>
      <c r="TXH2" s="494"/>
      <c r="TXI2" s="494"/>
      <c r="TXJ2" s="494"/>
      <c r="TXK2" s="494"/>
      <c r="TXL2" s="494"/>
      <c r="TXM2" s="494"/>
      <c r="TXN2" s="494"/>
      <c r="TXO2" s="494"/>
      <c r="TXP2" s="494"/>
      <c r="TXQ2" s="494"/>
      <c r="TXR2" s="494"/>
      <c r="TXS2" s="494"/>
      <c r="TXT2" s="494"/>
      <c r="TXU2" s="494"/>
      <c r="TXV2" s="494"/>
      <c r="TXW2" s="494"/>
      <c r="TXX2" s="494"/>
      <c r="TXY2" s="494"/>
      <c r="TXZ2" s="494"/>
      <c r="TYA2" s="494"/>
      <c r="TYB2" s="494"/>
      <c r="TYC2" s="494"/>
      <c r="TYD2" s="494"/>
      <c r="TYE2" s="494"/>
      <c r="TYF2" s="494"/>
      <c r="TYG2" s="494"/>
      <c r="TYH2" s="494"/>
      <c r="TYI2" s="494"/>
      <c r="TYJ2" s="494"/>
      <c r="TYK2" s="494"/>
      <c r="TYL2" s="494"/>
      <c r="TYM2" s="494"/>
      <c r="TYN2" s="494"/>
      <c r="TYO2" s="494"/>
      <c r="TYP2" s="494"/>
      <c r="TYQ2" s="494"/>
      <c r="TYR2" s="494"/>
      <c r="TYS2" s="494"/>
      <c r="TYT2" s="494"/>
      <c r="TYU2" s="494"/>
      <c r="TYV2" s="494"/>
      <c r="TYW2" s="494"/>
      <c r="TYX2" s="494"/>
      <c r="TYY2" s="494"/>
      <c r="TYZ2" s="494"/>
      <c r="TZA2" s="494"/>
      <c r="TZB2" s="494"/>
      <c r="TZC2" s="494"/>
      <c r="TZD2" s="494"/>
      <c r="TZE2" s="494"/>
      <c r="TZF2" s="494"/>
      <c r="TZG2" s="494"/>
      <c r="TZH2" s="494"/>
      <c r="TZI2" s="494"/>
      <c r="TZJ2" s="494"/>
      <c r="TZK2" s="494"/>
      <c r="TZL2" s="494"/>
      <c r="TZM2" s="494"/>
      <c r="TZN2" s="494"/>
      <c r="TZO2" s="494"/>
      <c r="TZP2" s="494"/>
      <c r="TZQ2" s="494"/>
      <c r="TZR2" s="494"/>
      <c r="TZS2" s="494"/>
      <c r="TZT2" s="494"/>
      <c r="TZU2" s="494"/>
      <c r="TZV2" s="494"/>
      <c r="TZW2" s="494"/>
      <c r="TZX2" s="494"/>
      <c r="TZY2" s="494"/>
      <c r="TZZ2" s="494"/>
      <c r="UAA2" s="494"/>
      <c r="UAB2" s="494"/>
      <c r="UAC2" s="494"/>
      <c r="UAD2" s="494"/>
      <c r="UAE2" s="494"/>
      <c r="UAF2" s="494"/>
      <c r="UAG2" s="494"/>
      <c r="UAH2" s="494"/>
      <c r="UAI2" s="494"/>
      <c r="UAJ2" s="494"/>
      <c r="UAK2" s="494"/>
      <c r="UAL2" s="494"/>
      <c r="UAM2" s="494"/>
      <c r="UAN2" s="494"/>
      <c r="UAO2" s="494"/>
      <c r="UAP2" s="494"/>
      <c r="UAQ2" s="494"/>
      <c r="UAR2" s="494"/>
      <c r="UAS2" s="494"/>
      <c r="UAT2" s="494"/>
      <c r="UAU2" s="494"/>
      <c r="UAV2" s="494"/>
      <c r="UAW2" s="494"/>
      <c r="UAX2" s="494"/>
      <c r="UAY2" s="494"/>
      <c r="UAZ2" s="494"/>
      <c r="UBA2" s="494"/>
      <c r="UBB2" s="494"/>
      <c r="UBC2" s="494"/>
      <c r="UBD2" s="494"/>
      <c r="UBE2" s="494"/>
      <c r="UBF2" s="494"/>
      <c r="UBG2" s="494"/>
      <c r="UBH2" s="494"/>
      <c r="UBI2" s="494"/>
      <c r="UBJ2" s="494"/>
      <c r="UBK2" s="494"/>
      <c r="UBL2" s="494"/>
      <c r="UBM2" s="494"/>
      <c r="UBN2" s="494"/>
      <c r="UBO2" s="494"/>
      <c r="UBP2" s="494"/>
      <c r="UBQ2" s="494"/>
      <c r="UBR2" s="494"/>
      <c r="UBS2" s="494"/>
      <c r="UBT2" s="494"/>
      <c r="UBU2" s="494"/>
      <c r="UBV2" s="494"/>
      <c r="UBW2" s="494"/>
      <c r="UBX2" s="494"/>
      <c r="UBY2" s="494"/>
      <c r="UBZ2" s="494"/>
      <c r="UCA2" s="494"/>
      <c r="UCB2" s="494"/>
      <c r="UCC2" s="494"/>
      <c r="UCD2" s="494"/>
      <c r="UCE2" s="494"/>
      <c r="UCF2" s="494"/>
      <c r="UCG2" s="494"/>
      <c r="UCH2" s="494"/>
      <c r="UCI2" s="494"/>
      <c r="UCJ2" s="494"/>
      <c r="UCK2" s="494"/>
      <c r="UCL2" s="494"/>
      <c r="UCM2" s="494"/>
      <c r="UCN2" s="494"/>
      <c r="UCO2" s="494"/>
      <c r="UCP2" s="494"/>
      <c r="UCQ2" s="494"/>
      <c r="UCR2" s="494"/>
      <c r="UCS2" s="494"/>
      <c r="UCT2" s="494"/>
      <c r="UCU2" s="494"/>
      <c r="UCV2" s="494"/>
      <c r="UCW2" s="494"/>
      <c r="UCX2" s="494"/>
      <c r="UCY2" s="494"/>
      <c r="UCZ2" s="494"/>
      <c r="UDA2" s="494"/>
      <c r="UDB2" s="494"/>
      <c r="UDC2" s="494"/>
      <c r="UDD2" s="494"/>
      <c r="UDE2" s="494"/>
      <c r="UDF2" s="494"/>
      <c r="UDG2" s="494"/>
      <c r="UDH2" s="494"/>
      <c r="UDI2" s="494"/>
      <c r="UDJ2" s="494"/>
      <c r="UDK2" s="494"/>
      <c r="UDL2" s="494"/>
      <c r="UDM2" s="494"/>
      <c r="UDN2" s="494"/>
      <c r="UDO2" s="494"/>
      <c r="UDP2" s="494"/>
      <c r="UDQ2" s="494"/>
      <c r="UDR2" s="494"/>
      <c r="UDS2" s="494"/>
      <c r="UDT2" s="494"/>
      <c r="UDU2" s="494"/>
      <c r="UDV2" s="494"/>
      <c r="UDW2" s="494"/>
      <c r="UDX2" s="494"/>
      <c r="UDY2" s="494"/>
      <c r="UDZ2" s="494"/>
      <c r="UEA2" s="494"/>
      <c r="UEB2" s="494"/>
      <c r="UEC2" s="494"/>
      <c r="UED2" s="494"/>
      <c r="UEE2" s="494"/>
      <c r="UEF2" s="494"/>
      <c r="UEG2" s="494"/>
      <c r="UEH2" s="494"/>
      <c r="UEI2" s="494"/>
      <c r="UEJ2" s="494"/>
      <c r="UEK2" s="494"/>
      <c r="UEL2" s="494"/>
      <c r="UEM2" s="494"/>
      <c r="UEN2" s="494"/>
      <c r="UEO2" s="494"/>
      <c r="UEP2" s="494"/>
      <c r="UEQ2" s="494"/>
      <c r="UER2" s="494"/>
      <c r="UES2" s="494"/>
      <c r="UET2" s="494"/>
      <c r="UEU2" s="494"/>
      <c r="UEV2" s="494"/>
      <c r="UEW2" s="494"/>
      <c r="UEX2" s="494"/>
      <c r="UEY2" s="494"/>
      <c r="UEZ2" s="494"/>
      <c r="UFA2" s="494"/>
      <c r="UFB2" s="494"/>
      <c r="UFC2" s="494"/>
      <c r="UFD2" s="494"/>
      <c r="UFE2" s="494"/>
      <c r="UFF2" s="494"/>
      <c r="UFG2" s="494"/>
      <c r="UFH2" s="494"/>
      <c r="UFI2" s="494"/>
      <c r="UFJ2" s="494"/>
      <c r="UFK2" s="494"/>
      <c r="UFL2" s="494"/>
      <c r="UFM2" s="494"/>
      <c r="UFN2" s="494"/>
      <c r="UFO2" s="494"/>
      <c r="UFP2" s="494"/>
      <c r="UFQ2" s="494"/>
      <c r="UFR2" s="494"/>
      <c r="UFS2" s="494"/>
      <c r="UFT2" s="494"/>
      <c r="UFU2" s="494"/>
      <c r="UFV2" s="494"/>
      <c r="UFW2" s="494"/>
      <c r="UFX2" s="494"/>
      <c r="UFY2" s="494"/>
      <c r="UFZ2" s="494"/>
      <c r="UGA2" s="494"/>
      <c r="UGB2" s="494"/>
      <c r="UGC2" s="494"/>
      <c r="UGD2" s="494"/>
      <c r="UGE2" s="494"/>
      <c r="UGF2" s="494"/>
      <c r="UGG2" s="494"/>
      <c r="UGH2" s="494"/>
      <c r="UGI2" s="494"/>
      <c r="UGJ2" s="494"/>
      <c r="UGK2" s="494"/>
      <c r="UGL2" s="494"/>
      <c r="UGM2" s="494"/>
      <c r="UGN2" s="494"/>
      <c r="UGO2" s="494"/>
      <c r="UGP2" s="494"/>
      <c r="UGQ2" s="494"/>
      <c r="UGR2" s="494"/>
      <c r="UGS2" s="494"/>
      <c r="UGT2" s="494"/>
      <c r="UGU2" s="494"/>
      <c r="UGV2" s="494"/>
      <c r="UGW2" s="494"/>
      <c r="UGX2" s="494"/>
      <c r="UGY2" s="494"/>
      <c r="UGZ2" s="494"/>
      <c r="UHA2" s="494"/>
      <c r="UHB2" s="494"/>
      <c r="UHC2" s="494"/>
      <c r="UHD2" s="494"/>
      <c r="UHE2" s="494"/>
      <c r="UHF2" s="494"/>
      <c r="UHG2" s="494"/>
      <c r="UHH2" s="494"/>
      <c r="UHI2" s="494"/>
      <c r="UHJ2" s="494"/>
      <c r="UHK2" s="494"/>
      <c r="UHL2" s="494"/>
      <c r="UHM2" s="494"/>
      <c r="UHN2" s="494"/>
      <c r="UHO2" s="494"/>
      <c r="UHP2" s="494"/>
      <c r="UHQ2" s="494"/>
      <c r="UHR2" s="494"/>
      <c r="UHS2" s="494"/>
      <c r="UHT2" s="494"/>
      <c r="UHU2" s="494"/>
      <c r="UHV2" s="494"/>
      <c r="UHW2" s="494"/>
      <c r="UHX2" s="494"/>
      <c r="UHY2" s="494"/>
      <c r="UHZ2" s="494"/>
      <c r="UIA2" s="494"/>
      <c r="UIB2" s="494"/>
      <c r="UIC2" s="494"/>
      <c r="UID2" s="494"/>
      <c r="UIE2" s="494"/>
      <c r="UIF2" s="494"/>
      <c r="UIG2" s="494"/>
      <c r="UIH2" s="494"/>
      <c r="UII2" s="494"/>
      <c r="UIJ2" s="494"/>
      <c r="UIK2" s="494"/>
      <c r="UIL2" s="494"/>
      <c r="UIM2" s="494"/>
      <c r="UIN2" s="494"/>
      <c r="UIO2" s="494"/>
      <c r="UIP2" s="494"/>
      <c r="UIQ2" s="494"/>
      <c r="UIR2" s="494"/>
      <c r="UIS2" s="494"/>
      <c r="UIT2" s="494"/>
      <c r="UIU2" s="494"/>
      <c r="UIV2" s="494"/>
      <c r="UIW2" s="494"/>
      <c r="UIX2" s="494"/>
      <c r="UIY2" s="494"/>
      <c r="UIZ2" s="494"/>
      <c r="UJA2" s="494"/>
      <c r="UJB2" s="494"/>
      <c r="UJC2" s="494"/>
      <c r="UJD2" s="494"/>
      <c r="UJE2" s="494"/>
      <c r="UJF2" s="494"/>
      <c r="UJG2" s="494"/>
      <c r="UJH2" s="494"/>
      <c r="UJI2" s="494"/>
      <c r="UJJ2" s="494"/>
      <c r="UJK2" s="494"/>
      <c r="UJL2" s="494"/>
      <c r="UJM2" s="494"/>
      <c r="UJN2" s="494"/>
      <c r="UJO2" s="494"/>
      <c r="UJP2" s="494"/>
      <c r="UJQ2" s="494"/>
      <c r="UJR2" s="494"/>
      <c r="UJS2" s="494"/>
      <c r="UJT2" s="494"/>
      <c r="UJU2" s="494"/>
      <c r="UJV2" s="494"/>
      <c r="UJW2" s="494"/>
      <c r="UJX2" s="494"/>
      <c r="UJY2" s="494"/>
      <c r="UJZ2" s="494"/>
      <c r="UKA2" s="494"/>
      <c r="UKB2" s="494"/>
      <c r="UKC2" s="494"/>
      <c r="UKD2" s="494"/>
      <c r="UKE2" s="494"/>
      <c r="UKF2" s="494"/>
      <c r="UKG2" s="494"/>
      <c r="UKH2" s="494"/>
      <c r="UKI2" s="494"/>
      <c r="UKJ2" s="494"/>
      <c r="UKK2" s="494"/>
      <c r="UKL2" s="494"/>
      <c r="UKM2" s="494"/>
      <c r="UKN2" s="494"/>
      <c r="UKO2" s="494"/>
      <c r="UKP2" s="494"/>
      <c r="UKQ2" s="494"/>
      <c r="UKR2" s="494"/>
      <c r="UKS2" s="494"/>
      <c r="UKT2" s="494"/>
      <c r="UKU2" s="494"/>
      <c r="UKV2" s="494"/>
      <c r="UKW2" s="494"/>
      <c r="UKX2" s="494"/>
      <c r="UKY2" s="494"/>
      <c r="UKZ2" s="494"/>
      <c r="ULA2" s="494"/>
      <c r="ULB2" s="494"/>
      <c r="ULC2" s="494"/>
      <c r="ULD2" s="494"/>
      <c r="ULE2" s="494"/>
      <c r="ULF2" s="494"/>
      <c r="ULG2" s="494"/>
      <c r="ULH2" s="494"/>
      <c r="ULI2" s="494"/>
      <c r="ULJ2" s="494"/>
      <c r="ULK2" s="494"/>
      <c r="ULL2" s="494"/>
      <c r="ULM2" s="494"/>
      <c r="ULN2" s="494"/>
      <c r="ULO2" s="494"/>
      <c r="ULP2" s="494"/>
      <c r="ULQ2" s="494"/>
      <c r="ULR2" s="494"/>
      <c r="ULS2" s="494"/>
      <c r="ULT2" s="494"/>
      <c r="ULU2" s="494"/>
      <c r="ULV2" s="494"/>
      <c r="ULW2" s="494"/>
      <c r="ULX2" s="494"/>
      <c r="ULY2" s="494"/>
      <c r="ULZ2" s="494"/>
      <c r="UMA2" s="494"/>
      <c r="UMB2" s="494"/>
      <c r="UMC2" s="494"/>
      <c r="UMD2" s="494"/>
      <c r="UME2" s="494"/>
      <c r="UMF2" s="494"/>
      <c r="UMG2" s="494"/>
      <c r="UMH2" s="494"/>
      <c r="UMI2" s="494"/>
      <c r="UMJ2" s="494"/>
      <c r="UMK2" s="494"/>
      <c r="UML2" s="494"/>
      <c r="UMM2" s="494"/>
      <c r="UMN2" s="494"/>
      <c r="UMO2" s="494"/>
      <c r="UMP2" s="494"/>
      <c r="UMQ2" s="494"/>
      <c r="UMR2" s="494"/>
      <c r="UMS2" s="494"/>
      <c r="UMT2" s="494"/>
      <c r="UMU2" s="494"/>
      <c r="UMV2" s="494"/>
      <c r="UMW2" s="494"/>
      <c r="UMX2" s="494"/>
      <c r="UMY2" s="494"/>
      <c r="UMZ2" s="494"/>
      <c r="UNA2" s="494"/>
      <c r="UNB2" s="494"/>
      <c r="UNC2" s="494"/>
      <c r="UND2" s="494"/>
      <c r="UNE2" s="494"/>
      <c r="UNF2" s="494"/>
      <c r="UNG2" s="494"/>
      <c r="UNH2" s="494"/>
      <c r="UNI2" s="494"/>
      <c r="UNJ2" s="494"/>
      <c r="UNK2" s="494"/>
      <c r="UNL2" s="494"/>
      <c r="UNM2" s="494"/>
      <c r="UNN2" s="494"/>
      <c r="UNO2" s="494"/>
      <c r="UNP2" s="494"/>
      <c r="UNQ2" s="494"/>
      <c r="UNR2" s="494"/>
      <c r="UNS2" s="494"/>
      <c r="UNT2" s="494"/>
      <c r="UNU2" s="494"/>
      <c r="UNV2" s="494"/>
      <c r="UNW2" s="494"/>
      <c r="UNX2" s="494"/>
      <c r="UNY2" s="494"/>
      <c r="UNZ2" s="494"/>
      <c r="UOA2" s="494"/>
      <c r="UOB2" s="494"/>
      <c r="UOC2" s="494"/>
      <c r="UOD2" s="494"/>
      <c r="UOE2" s="494"/>
      <c r="UOF2" s="494"/>
      <c r="UOG2" s="494"/>
      <c r="UOH2" s="494"/>
      <c r="UOI2" s="494"/>
      <c r="UOJ2" s="494"/>
      <c r="UOK2" s="494"/>
      <c r="UOL2" s="494"/>
      <c r="UOM2" s="494"/>
      <c r="UON2" s="494"/>
      <c r="UOO2" s="494"/>
      <c r="UOP2" s="494"/>
      <c r="UOQ2" s="494"/>
      <c r="UOR2" s="494"/>
      <c r="UOS2" s="494"/>
      <c r="UOT2" s="494"/>
      <c r="UOU2" s="494"/>
      <c r="UOV2" s="494"/>
      <c r="UOW2" s="494"/>
      <c r="UOX2" s="494"/>
      <c r="UOY2" s="494"/>
      <c r="UOZ2" s="494"/>
      <c r="UPA2" s="494"/>
      <c r="UPB2" s="494"/>
      <c r="UPC2" s="494"/>
      <c r="UPD2" s="494"/>
      <c r="UPE2" s="494"/>
      <c r="UPF2" s="494"/>
      <c r="UPG2" s="494"/>
      <c r="UPH2" s="494"/>
      <c r="UPI2" s="494"/>
      <c r="UPJ2" s="494"/>
      <c r="UPK2" s="494"/>
      <c r="UPL2" s="494"/>
      <c r="UPM2" s="494"/>
      <c r="UPN2" s="494"/>
      <c r="UPO2" s="494"/>
      <c r="UPP2" s="494"/>
      <c r="UPQ2" s="494"/>
      <c r="UPR2" s="494"/>
      <c r="UPS2" s="494"/>
      <c r="UPT2" s="494"/>
      <c r="UPU2" s="494"/>
      <c r="UPV2" s="494"/>
      <c r="UPW2" s="494"/>
      <c r="UPX2" s="494"/>
      <c r="UPY2" s="494"/>
      <c r="UPZ2" s="494"/>
      <c r="UQA2" s="494"/>
      <c r="UQB2" s="494"/>
      <c r="UQC2" s="494"/>
      <c r="UQD2" s="494"/>
      <c r="UQE2" s="494"/>
      <c r="UQF2" s="494"/>
      <c r="UQG2" s="494"/>
      <c r="UQH2" s="494"/>
      <c r="UQI2" s="494"/>
      <c r="UQJ2" s="494"/>
      <c r="UQK2" s="494"/>
      <c r="UQL2" s="494"/>
      <c r="UQM2" s="494"/>
      <c r="UQN2" s="494"/>
      <c r="UQO2" s="494"/>
      <c r="UQP2" s="494"/>
      <c r="UQQ2" s="494"/>
      <c r="UQR2" s="494"/>
      <c r="UQS2" s="494"/>
      <c r="UQT2" s="494"/>
      <c r="UQU2" s="494"/>
      <c r="UQV2" s="494"/>
      <c r="UQW2" s="494"/>
      <c r="UQX2" s="494"/>
      <c r="UQY2" s="494"/>
      <c r="UQZ2" s="494"/>
      <c r="URA2" s="494"/>
      <c r="URB2" s="494"/>
      <c r="URC2" s="494"/>
      <c r="URD2" s="494"/>
      <c r="URE2" s="494"/>
      <c r="URF2" s="494"/>
      <c r="URG2" s="494"/>
      <c r="URH2" s="494"/>
      <c r="URI2" s="494"/>
      <c r="URJ2" s="494"/>
      <c r="URK2" s="494"/>
      <c r="URL2" s="494"/>
      <c r="URM2" s="494"/>
      <c r="URN2" s="494"/>
      <c r="URO2" s="494"/>
      <c r="URP2" s="494"/>
      <c r="URQ2" s="494"/>
      <c r="URR2" s="494"/>
      <c r="URS2" s="494"/>
      <c r="URT2" s="494"/>
      <c r="URU2" s="494"/>
      <c r="URV2" s="494"/>
      <c r="URW2" s="494"/>
      <c r="URX2" s="494"/>
      <c r="URY2" s="494"/>
      <c r="URZ2" s="494"/>
      <c r="USA2" s="494"/>
      <c r="USB2" s="494"/>
      <c r="USC2" s="494"/>
      <c r="USD2" s="494"/>
      <c r="USE2" s="494"/>
      <c r="USF2" s="494"/>
      <c r="USG2" s="494"/>
      <c r="USH2" s="494"/>
      <c r="USI2" s="494"/>
      <c r="USJ2" s="494"/>
      <c r="USK2" s="494"/>
      <c r="USL2" s="494"/>
      <c r="USM2" s="494"/>
      <c r="USN2" s="494"/>
      <c r="USO2" s="494"/>
      <c r="USP2" s="494"/>
      <c r="USQ2" s="494"/>
      <c r="USR2" s="494"/>
      <c r="USS2" s="494"/>
      <c r="UST2" s="494"/>
      <c r="USU2" s="494"/>
      <c r="USV2" s="494"/>
      <c r="USW2" s="494"/>
      <c r="USX2" s="494"/>
      <c r="USY2" s="494"/>
      <c r="USZ2" s="494"/>
      <c r="UTA2" s="494"/>
      <c r="UTB2" s="494"/>
      <c r="UTC2" s="494"/>
      <c r="UTD2" s="494"/>
      <c r="UTE2" s="494"/>
      <c r="UTF2" s="494"/>
      <c r="UTG2" s="494"/>
      <c r="UTH2" s="494"/>
      <c r="UTI2" s="494"/>
      <c r="UTJ2" s="494"/>
      <c r="UTK2" s="494"/>
      <c r="UTL2" s="494"/>
      <c r="UTM2" s="494"/>
      <c r="UTN2" s="494"/>
      <c r="UTO2" s="494"/>
      <c r="UTP2" s="494"/>
      <c r="UTQ2" s="494"/>
      <c r="UTR2" s="494"/>
      <c r="UTS2" s="494"/>
      <c r="UTT2" s="494"/>
      <c r="UTU2" s="494"/>
      <c r="UTV2" s="494"/>
      <c r="UTW2" s="494"/>
      <c r="UTX2" s="494"/>
      <c r="UTY2" s="494"/>
      <c r="UTZ2" s="494"/>
      <c r="UUA2" s="494"/>
      <c r="UUB2" s="494"/>
      <c r="UUC2" s="494"/>
      <c r="UUD2" s="494"/>
      <c r="UUE2" s="494"/>
      <c r="UUF2" s="494"/>
      <c r="UUG2" s="494"/>
      <c r="UUH2" s="494"/>
      <c r="UUI2" s="494"/>
      <c r="UUJ2" s="494"/>
      <c r="UUK2" s="494"/>
      <c r="UUL2" s="494"/>
      <c r="UUM2" s="494"/>
      <c r="UUN2" s="494"/>
      <c r="UUO2" s="494"/>
      <c r="UUP2" s="494"/>
      <c r="UUQ2" s="494"/>
      <c r="UUR2" s="494"/>
      <c r="UUS2" s="494"/>
      <c r="UUT2" s="494"/>
      <c r="UUU2" s="494"/>
      <c r="UUV2" s="494"/>
      <c r="UUW2" s="494"/>
      <c r="UUX2" s="494"/>
      <c r="UUY2" s="494"/>
      <c r="UUZ2" s="494"/>
      <c r="UVA2" s="494"/>
      <c r="UVB2" s="494"/>
      <c r="UVC2" s="494"/>
      <c r="UVD2" s="494"/>
      <c r="UVE2" s="494"/>
      <c r="UVF2" s="494"/>
      <c r="UVG2" s="494"/>
      <c r="UVH2" s="494"/>
      <c r="UVI2" s="494"/>
      <c r="UVJ2" s="494"/>
      <c r="UVK2" s="494"/>
      <c r="UVL2" s="494"/>
      <c r="UVM2" s="494"/>
      <c r="UVN2" s="494"/>
      <c r="UVO2" s="494"/>
      <c r="UVP2" s="494"/>
      <c r="UVQ2" s="494"/>
      <c r="UVR2" s="494"/>
      <c r="UVS2" s="494"/>
      <c r="UVT2" s="494"/>
      <c r="UVU2" s="494"/>
      <c r="UVV2" s="494"/>
      <c r="UVW2" s="494"/>
      <c r="UVX2" s="494"/>
      <c r="UVY2" s="494"/>
      <c r="UVZ2" s="494"/>
      <c r="UWA2" s="494"/>
      <c r="UWB2" s="494"/>
      <c r="UWC2" s="494"/>
      <c r="UWD2" s="494"/>
      <c r="UWE2" s="494"/>
      <c r="UWF2" s="494"/>
      <c r="UWG2" s="494"/>
      <c r="UWH2" s="494"/>
      <c r="UWI2" s="494"/>
      <c r="UWJ2" s="494"/>
      <c r="UWK2" s="494"/>
      <c r="UWL2" s="494"/>
      <c r="UWM2" s="494"/>
      <c r="UWN2" s="494"/>
      <c r="UWO2" s="494"/>
      <c r="UWP2" s="494"/>
      <c r="UWQ2" s="494"/>
      <c r="UWR2" s="494"/>
      <c r="UWS2" s="494"/>
      <c r="UWT2" s="494"/>
      <c r="UWU2" s="494"/>
      <c r="UWV2" s="494"/>
      <c r="UWW2" s="494"/>
      <c r="UWX2" s="494"/>
      <c r="UWY2" s="494"/>
      <c r="UWZ2" s="494"/>
      <c r="UXA2" s="494"/>
      <c r="UXB2" s="494"/>
      <c r="UXC2" s="494"/>
      <c r="UXD2" s="494"/>
      <c r="UXE2" s="494"/>
      <c r="UXF2" s="494"/>
      <c r="UXG2" s="494"/>
      <c r="UXH2" s="494"/>
      <c r="UXI2" s="494"/>
      <c r="UXJ2" s="494"/>
      <c r="UXK2" s="494"/>
      <c r="UXL2" s="494"/>
      <c r="UXM2" s="494"/>
      <c r="UXN2" s="494"/>
      <c r="UXO2" s="494"/>
      <c r="UXP2" s="494"/>
      <c r="UXQ2" s="494"/>
      <c r="UXR2" s="494"/>
      <c r="UXS2" s="494"/>
      <c r="UXT2" s="494"/>
      <c r="UXU2" s="494"/>
      <c r="UXV2" s="494"/>
      <c r="UXW2" s="494"/>
      <c r="UXX2" s="494"/>
      <c r="UXY2" s="494"/>
      <c r="UXZ2" s="494"/>
      <c r="UYA2" s="494"/>
      <c r="UYB2" s="494"/>
      <c r="UYC2" s="494"/>
      <c r="UYD2" s="494"/>
      <c r="UYE2" s="494"/>
      <c r="UYF2" s="494"/>
      <c r="UYG2" s="494"/>
      <c r="UYH2" s="494"/>
      <c r="UYI2" s="494"/>
      <c r="UYJ2" s="494"/>
      <c r="UYK2" s="494"/>
      <c r="UYL2" s="494"/>
      <c r="UYM2" s="494"/>
      <c r="UYN2" s="494"/>
      <c r="UYO2" s="494"/>
      <c r="UYP2" s="494"/>
      <c r="UYQ2" s="494"/>
      <c r="UYR2" s="494"/>
      <c r="UYS2" s="494"/>
      <c r="UYT2" s="494"/>
      <c r="UYU2" s="494"/>
      <c r="UYV2" s="494"/>
      <c r="UYW2" s="494"/>
      <c r="UYX2" s="494"/>
      <c r="UYY2" s="494"/>
      <c r="UYZ2" s="494"/>
      <c r="UZA2" s="494"/>
      <c r="UZB2" s="494"/>
      <c r="UZC2" s="494"/>
      <c r="UZD2" s="494"/>
      <c r="UZE2" s="494"/>
      <c r="UZF2" s="494"/>
      <c r="UZG2" s="494"/>
      <c r="UZH2" s="494"/>
      <c r="UZI2" s="494"/>
      <c r="UZJ2" s="494"/>
      <c r="UZK2" s="494"/>
      <c r="UZL2" s="494"/>
      <c r="UZM2" s="494"/>
      <c r="UZN2" s="494"/>
      <c r="UZO2" s="494"/>
      <c r="UZP2" s="494"/>
      <c r="UZQ2" s="494"/>
      <c r="UZR2" s="494"/>
      <c r="UZS2" s="494"/>
      <c r="UZT2" s="494"/>
      <c r="UZU2" s="494"/>
      <c r="UZV2" s="494"/>
      <c r="UZW2" s="494"/>
      <c r="UZX2" s="494"/>
      <c r="UZY2" s="494"/>
      <c r="UZZ2" s="494"/>
      <c r="VAA2" s="494"/>
      <c r="VAB2" s="494"/>
      <c r="VAC2" s="494"/>
      <c r="VAD2" s="494"/>
      <c r="VAE2" s="494"/>
      <c r="VAF2" s="494"/>
      <c r="VAG2" s="494"/>
      <c r="VAH2" s="494"/>
      <c r="VAI2" s="494"/>
      <c r="VAJ2" s="494"/>
      <c r="VAK2" s="494"/>
      <c r="VAL2" s="494"/>
      <c r="VAM2" s="494"/>
      <c r="VAN2" s="494"/>
      <c r="VAO2" s="494"/>
      <c r="VAP2" s="494"/>
      <c r="VAQ2" s="494"/>
      <c r="VAR2" s="494"/>
      <c r="VAS2" s="494"/>
      <c r="VAT2" s="494"/>
      <c r="VAU2" s="494"/>
      <c r="VAV2" s="494"/>
      <c r="VAW2" s="494"/>
      <c r="VAX2" s="494"/>
      <c r="VAY2" s="494"/>
      <c r="VAZ2" s="494"/>
      <c r="VBA2" s="494"/>
      <c r="VBB2" s="494"/>
      <c r="VBC2" s="494"/>
      <c r="VBD2" s="494"/>
      <c r="VBE2" s="494"/>
      <c r="VBF2" s="494"/>
      <c r="VBG2" s="494"/>
      <c r="VBH2" s="494"/>
      <c r="VBI2" s="494"/>
      <c r="VBJ2" s="494"/>
      <c r="VBK2" s="494"/>
      <c r="VBL2" s="494"/>
      <c r="VBM2" s="494"/>
      <c r="VBN2" s="494"/>
      <c r="VBO2" s="494"/>
      <c r="VBP2" s="494"/>
      <c r="VBQ2" s="494"/>
      <c r="VBR2" s="494"/>
      <c r="VBS2" s="494"/>
      <c r="VBT2" s="494"/>
      <c r="VBU2" s="494"/>
      <c r="VBV2" s="494"/>
      <c r="VBW2" s="494"/>
      <c r="VBX2" s="494"/>
      <c r="VBY2" s="494"/>
      <c r="VBZ2" s="494"/>
      <c r="VCA2" s="494"/>
      <c r="VCB2" s="494"/>
      <c r="VCC2" s="494"/>
      <c r="VCD2" s="494"/>
      <c r="VCE2" s="494"/>
      <c r="VCF2" s="494"/>
      <c r="VCG2" s="494"/>
      <c r="VCH2" s="494"/>
      <c r="VCI2" s="494"/>
      <c r="VCJ2" s="494"/>
      <c r="VCK2" s="494"/>
      <c r="VCL2" s="494"/>
      <c r="VCM2" s="494"/>
      <c r="VCN2" s="494"/>
      <c r="VCO2" s="494"/>
      <c r="VCP2" s="494"/>
      <c r="VCQ2" s="494"/>
      <c r="VCR2" s="494"/>
      <c r="VCS2" s="494"/>
      <c r="VCT2" s="494"/>
      <c r="VCU2" s="494"/>
      <c r="VCV2" s="494"/>
      <c r="VCW2" s="494"/>
      <c r="VCX2" s="494"/>
      <c r="VCY2" s="494"/>
      <c r="VCZ2" s="494"/>
      <c r="VDA2" s="494"/>
      <c r="VDB2" s="494"/>
      <c r="VDC2" s="494"/>
      <c r="VDD2" s="494"/>
      <c r="VDE2" s="494"/>
      <c r="VDF2" s="494"/>
      <c r="VDG2" s="494"/>
      <c r="VDH2" s="494"/>
      <c r="VDI2" s="494"/>
      <c r="VDJ2" s="494"/>
      <c r="VDK2" s="494"/>
      <c r="VDL2" s="494"/>
      <c r="VDM2" s="494"/>
      <c r="VDN2" s="494"/>
      <c r="VDO2" s="494"/>
      <c r="VDP2" s="494"/>
      <c r="VDQ2" s="494"/>
      <c r="VDR2" s="494"/>
      <c r="VDS2" s="494"/>
      <c r="VDT2" s="494"/>
      <c r="VDU2" s="494"/>
      <c r="VDV2" s="494"/>
      <c r="VDW2" s="494"/>
      <c r="VDX2" s="494"/>
      <c r="VDY2" s="494"/>
      <c r="VDZ2" s="494"/>
      <c r="VEA2" s="494"/>
      <c r="VEB2" s="494"/>
      <c r="VEC2" s="494"/>
      <c r="VED2" s="494"/>
      <c r="VEE2" s="494"/>
      <c r="VEF2" s="494"/>
      <c r="VEG2" s="494"/>
      <c r="VEH2" s="494"/>
      <c r="VEI2" s="494"/>
      <c r="VEJ2" s="494"/>
      <c r="VEK2" s="494"/>
      <c r="VEL2" s="494"/>
      <c r="VEM2" s="494"/>
      <c r="VEN2" s="494"/>
      <c r="VEO2" s="494"/>
      <c r="VEP2" s="494"/>
      <c r="VEQ2" s="494"/>
      <c r="VER2" s="494"/>
      <c r="VES2" s="494"/>
      <c r="VET2" s="494"/>
      <c r="VEU2" s="494"/>
      <c r="VEV2" s="494"/>
      <c r="VEW2" s="494"/>
      <c r="VEX2" s="494"/>
      <c r="VEY2" s="494"/>
      <c r="VEZ2" s="494"/>
      <c r="VFA2" s="494"/>
      <c r="VFB2" s="494"/>
      <c r="VFC2" s="494"/>
      <c r="VFD2" s="494"/>
      <c r="VFE2" s="494"/>
      <c r="VFF2" s="494"/>
      <c r="VFG2" s="494"/>
      <c r="VFH2" s="494"/>
      <c r="VFI2" s="494"/>
      <c r="VFJ2" s="494"/>
      <c r="VFK2" s="494"/>
      <c r="VFL2" s="494"/>
      <c r="VFM2" s="494"/>
      <c r="VFN2" s="494"/>
      <c r="VFO2" s="494"/>
      <c r="VFP2" s="494"/>
      <c r="VFQ2" s="494"/>
      <c r="VFR2" s="494"/>
      <c r="VFS2" s="494"/>
      <c r="VFT2" s="494"/>
      <c r="VFU2" s="494"/>
      <c r="VFV2" s="494"/>
      <c r="VFW2" s="494"/>
      <c r="VFX2" s="494"/>
      <c r="VFY2" s="494"/>
      <c r="VFZ2" s="494"/>
      <c r="VGA2" s="494"/>
      <c r="VGB2" s="494"/>
      <c r="VGC2" s="494"/>
      <c r="VGD2" s="494"/>
      <c r="VGE2" s="494"/>
      <c r="VGF2" s="494"/>
      <c r="VGG2" s="494"/>
      <c r="VGH2" s="494"/>
      <c r="VGI2" s="494"/>
      <c r="VGJ2" s="494"/>
      <c r="VGK2" s="494"/>
      <c r="VGL2" s="494"/>
      <c r="VGM2" s="494"/>
      <c r="VGN2" s="494"/>
      <c r="VGO2" s="494"/>
      <c r="VGP2" s="494"/>
      <c r="VGQ2" s="494"/>
      <c r="VGR2" s="494"/>
      <c r="VGS2" s="494"/>
      <c r="VGT2" s="494"/>
      <c r="VGU2" s="494"/>
      <c r="VGV2" s="494"/>
      <c r="VGW2" s="494"/>
      <c r="VGX2" s="494"/>
      <c r="VGY2" s="494"/>
      <c r="VGZ2" s="494"/>
      <c r="VHA2" s="494"/>
      <c r="VHB2" s="494"/>
      <c r="VHC2" s="494"/>
      <c r="VHD2" s="494"/>
      <c r="VHE2" s="494"/>
      <c r="VHF2" s="494"/>
      <c r="VHG2" s="494"/>
      <c r="VHH2" s="494"/>
      <c r="VHI2" s="494"/>
      <c r="VHJ2" s="494"/>
      <c r="VHK2" s="494"/>
      <c r="VHL2" s="494"/>
      <c r="VHM2" s="494"/>
      <c r="VHN2" s="494"/>
      <c r="VHO2" s="494"/>
      <c r="VHP2" s="494"/>
      <c r="VHQ2" s="494"/>
      <c r="VHR2" s="494"/>
      <c r="VHS2" s="494"/>
      <c r="VHT2" s="494"/>
      <c r="VHU2" s="494"/>
      <c r="VHV2" s="494"/>
      <c r="VHW2" s="494"/>
      <c r="VHX2" s="494"/>
      <c r="VHY2" s="494"/>
      <c r="VHZ2" s="494"/>
      <c r="VIA2" s="494"/>
      <c r="VIB2" s="494"/>
      <c r="VIC2" s="494"/>
      <c r="VID2" s="494"/>
      <c r="VIE2" s="494"/>
      <c r="VIF2" s="494"/>
      <c r="VIG2" s="494"/>
      <c r="VIH2" s="494"/>
      <c r="VII2" s="494"/>
      <c r="VIJ2" s="494"/>
      <c r="VIK2" s="494"/>
      <c r="VIL2" s="494"/>
      <c r="VIM2" s="494"/>
      <c r="VIN2" s="494"/>
      <c r="VIO2" s="494"/>
      <c r="VIP2" s="494"/>
      <c r="VIQ2" s="494"/>
      <c r="VIR2" s="494"/>
      <c r="VIS2" s="494"/>
      <c r="VIT2" s="494"/>
      <c r="VIU2" s="494"/>
      <c r="VIV2" s="494"/>
      <c r="VIW2" s="494"/>
      <c r="VIX2" s="494"/>
      <c r="VIY2" s="494"/>
      <c r="VIZ2" s="494"/>
      <c r="VJA2" s="494"/>
      <c r="VJB2" s="494"/>
      <c r="VJC2" s="494"/>
      <c r="VJD2" s="494"/>
      <c r="VJE2" s="494"/>
      <c r="VJF2" s="494"/>
      <c r="VJG2" s="494"/>
      <c r="VJH2" s="494"/>
      <c r="VJI2" s="494"/>
      <c r="VJJ2" s="494"/>
      <c r="VJK2" s="494"/>
      <c r="VJL2" s="494"/>
      <c r="VJM2" s="494"/>
      <c r="VJN2" s="494"/>
      <c r="VJO2" s="494"/>
      <c r="VJP2" s="494"/>
      <c r="VJQ2" s="494"/>
      <c r="VJR2" s="494"/>
      <c r="VJS2" s="494"/>
      <c r="VJT2" s="494"/>
      <c r="VJU2" s="494"/>
      <c r="VJV2" s="494"/>
      <c r="VJW2" s="494"/>
      <c r="VJX2" s="494"/>
      <c r="VJY2" s="494"/>
      <c r="VJZ2" s="494"/>
      <c r="VKA2" s="494"/>
      <c r="VKB2" s="494"/>
      <c r="VKC2" s="494"/>
      <c r="VKD2" s="494"/>
      <c r="VKE2" s="494"/>
      <c r="VKF2" s="494"/>
      <c r="VKG2" s="494"/>
      <c r="VKH2" s="494"/>
      <c r="VKI2" s="494"/>
      <c r="VKJ2" s="494"/>
      <c r="VKK2" s="494"/>
      <c r="VKL2" s="494"/>
      <c r="VKM2" s="494"/>
      <c r="VKN2" s="494"/>
      <c r="VKO2" s="494"/>
      <c r="VKP2" s="494"/>
      <c r="VKQ2" s="494"/>
      <c r="VKR2" s="494"/>
      <c r="VKS2" s="494"/>
      <c r="VKT2" s="494"/>
      <c r="VKU2" s="494"/>
      <c r="VKV2" s="494"/>
      <c r="VKW2" s="494"/>
      <c r="VKX2" s="494"/>
      <c r="VKY2" s="494"/>
      <c r="VKZ2" s="494"/>
      <c r="VLA2" s="494"/>
      <c r="VLB2" s="494"/>
      <c r="VLC2" s="494"/>
      <c r="VLD2" s="494"/>
      <c r="VLE2" s="494"/>
      <c r="VLF2" s="494"/>
      <c r="VLG2" s="494"/>
      <c r="VLH2" s="494"/>
      <c r="VLI2" s="494"/>
      <c r="VLJ2" s="494"/>
      <c r="VLK2" s="494"/>
      <c r="VLL2" s="494"/>
      <c r="VLM2" s="494"/>
      <c r="VLN2" s="494"/>
      <c r="VLO2" s="494"/>
      <c r="VLP2" s="494"/>
      <c r="VLQ2" s="494"/>
      <c r="VLR2" s="494"/>
      <c r="VLS2" s="494"/>
      <c r="VLT2" s="494"/>
      <c r="VLU2" s="494"/>
      <c r="VLV2" s="494"/>
      <c r="VLW2" s="494"/>
      <c r="VLX2" s="494"/>
      <c r="VLY2" s="494"/>
      <c r="VLZ2" s="494"/>
      <c r="VMA2" s="494"/>
      <c r="VMB2" s="494"/>
      <c r="VMC2" s="494"/>
      <c r="VMD2" s="494"/>
      <c r="VME2" s="494"/>
      <c r="VMF2" s="494"/>
      <c r="VMG2" s="494"/>
      <c r="VMH2" s="494"/>
      <c r="VMI2" s="494"/>
      <c r="VMJ2" s="494"/>
      <c r="VMK2" s="494"/>
      <c r="VML2" s="494"/>
      <c r="VMM2" s="494"/>
      <c r="VMN2" s="494"/>
      <c r="VMO2" s="494"/>
      <c r="VMP2" s="494"/>
      <c r="VMQ2" s="494"/>
      <c r="VMR2" s="494"/>
      <c r="VMS2" s="494"/>
      <c r="VMT2" s="494"/>
      <c r="VMU2" s="494"/>
      <c r="VMV2" s="494"/>
      <c r="VMW2" s="494"/>
      <c r="VMX2" s="494"/>
      <c r="VMY2" s="494"/>
      <c r="VMZ2" s="494"/>
      <c r="VNA2" s="494"/>
      <c r="VNB2" s="494"/>
      <c r="VNC2" s="494"/>
      <c r="VND2" s="494"/>
      <c r="VNE2" s="494"/>
      <c r="VNF2" s="494"/>
      <c r="VNG2" s="494"/>
      <c r="VNH2" s="494"/>
      <c r="VNI2" s="494"/>
      <c r="VNJ2" s="494"/>
      <c r="VNK2" s="494"/>
      <c r="VNL2" s="494"/>
      <c r="VNM2" s="494"/>
      <c r="VNN2" s="494"/>
      <c r="VNO2" s="494"/>
      <c r="VNP2" s="494"/>
      <c r="VNQ2" s="494"/>
      <c r="VNR2" s="494"/>
      <c r="VNS2" s="494"/>
      <c r="VNT2" s="494"/>
      <c r="VNU2" s="494"/>
      <c r="VNV2" s="494"/>
      <c r="VNW2" s="494"/>
      <c r="VNX2" s="494"/>
      <c r="VNY2" s="494"/>
      <c r="VNZ2" s="494"/>
      <c r="VOA2" s="494"/>
      <c r="VOB2" s="494"/>
      <c r="VOC2" s="494"/>
      <c r="VOD2" s="494"/>
      <c r="VOE2" s="494"/>
      <c r="VOF2" s="494"/>
      <c r="VOG2" s="494"/>
      <c r="VOH2" s="494"/>
      <c r="VOI2" s="494"/>
      <c r="VOJ2" s="494"/>
      <c r="VOK2" s="494"/>
      <c r="VOL2" s="494"/>
      <c r="VOM2" s="494"/>
      <c r="VON2" s="494"/>
      <c r="VOO2" s="494"/>
      <c r="VOP2" s="494"/>
      <c r="VOQ2" s="494"/>
      <c r="VOR2" s="494"/>
      <c r="VOS2" s="494"/>
      <c r="VOT2" s="494"/>
      <c r="VOU2" s="494"/>
      <c r="VOV2" s="494"/>
      <c r="VOW2" s="494"/>
      <c r="VOX2" s="494"/>
      <c r="VOY2" s="494"/>
      <c r="VOZ2" s="494"/>
      <c r="VPA2" s="494"/>
      <c r="VPB2" s="494"/>
      <c r="VPC2" s="494"/>
      <c r="VPD2" s="494"/>
      <c r="VPE2" s="494"/>
      <c r="VPF2" s="494"/>
      <c r="VPG2" s="494"/>
      <c r="VPH2" s="494"/>
      <c r="VPI2" s="494"/>
      <c r="VPJ2" s="494"/>
      <c r="VPK2" s="494"/>
      <c r="VPL2" s="494"/>
      <c r="VPM2" s="494"/>
      <c r="VPN2" s="494"/>
      <c r="VPO2" s="494"/>
      <c r="VPP2" s="494"/>
      <c r="VPQ2" s="494"/>
      <c r="VPR2" s="494"/>
      <c r="VPS2" s="494"/>
      <c r="VPT2" s="494"/>
      <c r="VPU2" s="494"/>
      <c r="VPV2" s="494"/>
      <c r="VPW2" s="494"/>
      <c r="VPX2" s="494"/>
      <c r="VPY2" s="494"/>
      <c r="VPZ2" s="494"/>
      <c r="VQA2" s="494"/>
      <c r="VQB2" s="494"/>
      <c r="VQC2" s="494"/>
      <c r="VQD2" s="494"/>
      <c r="VQE2" s="494"/>
      <c r="VQF2" s="494"/>
      <c r="VQG2" s="494"/>
      <c r="VQH2" s="494"/>
      <c r="VQI2" s="494"/>
      <c r="VQJ2" s="494"/>
      <c r="VQK2" s="494"/>
      <c r="VQL2" s="494"/>
      <c r="VQM2" s="494"/>
      <c r="VQN2" s="494"/>
      <c r="VQO2" s="494"/>
      <c r="VQP2" s="494"/>
      <c r="VQQ2" s="494"/>
      <c r="VQR2" s="494"/>
      <c r="VQS2" s="494"/>
      <c r="VQT2" s="494"/>
      <c r="VQU2" s="494"/>
      <c r="VQV2" s="494"/>
      <c r="VQW2" s="494"/>
      <c r="VQX2" s="494"/>
      <c r="VQY2" s="494"/>
      <c r="VQZ2" s="494"/>
      <c r="VRA2" s="494"/>
      <c r="VRB2" s="494"/>
      <c r="VRC2" s="494"/>
      <c r="VRD2" s="494"/>
      <c r="VRE2" s="494"/>
      <c r="VRF2" s="494"/>
      <c r="VRG2" s="494"/>
      <c r="VRH2" s="494"/>
      <c r="VRI2" s="494"/>
      <c r="VRJ2" s="494"/>
      <c r="VRK2" s="494"/>
      <c r="VRL2" s="494"/>
      <c r="VRM2" s="494"/>
      <c r="VRN2" s="494"/>
      <c r="VRO2" s="494"/>
      <c r="VRP2" s="494"/>
      <c r="VRQ2" s="494"/>
      <c r="VRR2" s="494"/>
      <c r="VRS2" s="494"/>
      <c r="VRT2" s="494"/>
      <c r="VRU2" s="494"/>
      <c r="VRV2" s="494"/>
      <c r="VRW2" s="494"/>
      <c r="VRX2" s="494"/>
      <c r="VRY2" s="494"/>
      <c r="VRZ2" s="494"/>
      <c r="VSA2" s="494"/>
      <c r="VSB2" s="494"/>
      <c r="VSC2" s="494"/>
      <c r="VSD2" s="494"/>
      <c r="VSE2" s="494"/>
      <c r="VSF2" s="494"/>
      <c r="VSG2" s="494"/>
      <c r="VSH2" s="494"/>
      <c r="VSI2" s="494"/>
      <c r="VSJ2" s="494"/>
      <c r="VSK2" s="494"/>
      <c r="VSL2" s="494"/>
      <c r="VSM2" s="494"/>
      <c r="VSN2" s="494"/>
      <c r="VSO2" s="494"/>
      <c r="VSP2" s="494"/>
      <c r="VSQ2" s="494"/>
      <c r="VSR2" s="494"/>
      <c r="VSS2" s="494"/>
      <c r="VST2" s="494"/>
      <c r="VSU2" s="494"/>
      <c r="VSV2" s="494"/>
      <c r="VSW2" s="494"/>
      <c r="VSX2" s="494"/>
      <c r="VSY2" s="494"/>
      <c r="VSZ2" s="494"/>
      <c r="VTA2" s="494"/>
      <c r="VTB2" s="494"/>
      <c r="VTC2" s="494"/>
      <c r="VTD2" s="494"/>
      <c r="VTE2" s="494"/>
      <c r="VTF2" s="494"/>
      <c r="VTG2" s="494"/>
      <c r="VTH2" s="494"/>
      <c r="VTI2" s="494"/>
      <c r="VTJ2" s="494"/>
      <c r="VTK2" s="494"/>
      <c r="VTL2" s="494"/>
      <c r="VTM2" s="494"/>
      <c r="VTN2" s="494"/>
      <c r="VTO2" s="494"/>
      <c r="VTP2" s="494"/>
      <c r="VTQ2" s="494"/>
      <c r="VTR2" s="494"/>
      <c r="VTS2" s="494"/>
      <c r="VTT2" s="494"/>
      <c r="VTU2" s="494"/>
      <c r="VTV2" s="494"/>
      <c r="VTW2" s="494"/>
      <c r="VTX2" s="494"/>
      <c r="VTY2" s="494"/>
      <c r="VTZ2" s="494"/>
      <c r="VUA2" s="494"/>
      <c r="VUB2" s="494"/>
      <c r="VUC2" s="494"/>
      <c r="VUD2" s="494"/>
      <c r="VUE2" s="494"/>
      <c r="VUF2" s="494"/>
      <c r="VUG2" s="494"/>
      <c r="VUH2" s="494"/>
      <c r="VUI2" s="494"/>
      <c r="VUJ2" s="494"/>
      <c r="VUK2" s="494"/>
      <c r="VUL2" s="494"/>
      <c r="VUM2" s="494"/>
      <c r="VUN2" s="494"/>
      <c r="VUO2" s="494"/>
      <c r="VUP2" s="494"/>
      <c r="VUQ2" s="494"/>
      <c r="VUR2" s="494"/>
      <c r="VUS2" s="494"/>
      <c r="VUT2" s="494"/>
      <c r="VUU2" s="494"/>
      <c r="VUV2" s="494"/>
      <c r="VUW2" s="494"/>
      <c r="VUX2" s="494"/>
      <c r="VUY2" s="494"/>
      <c r="VUZ2" s="494"/>
      <c r="VVA2" s="494"/>
      <c r="VVB2" s="494"/>
      <c r="VVC2" s="494"/>
      <c r="VVD2" s="494"/>
      <c r="VVE2" s="494"/>
      <c r="VVF2" s="494"/>
      <c r="VVG2" s="494"/>
      <c r="VVH2" s="494"/>
      <c r="VVI2" s="494"/>
      <c r="VVJ2" s="494"/>
      <c r="VVK2" s="494"/>
      <c r="VVL2" s="494"/>
      <c r="VVM2" s="494"/>
      <c r="VVN2" s="494"/>
      <c r="VVO2" s="494"/>
      <c r="VVP2" s="494"/>
      <c r="VVQ2" s="494"/>
      <c r="VVR2" s="494"/>
      <c r="VVS2" s="494"/>
      <c r="VVT2" s="494"/>
      <c r="VVU2" s="494"/>
      <c r="VVV2" s="494"/>
      <c r="VVW2" s="494"/>
      <c r="VVX2" s="494"/>
      <c r="VVY2" s="494"/>
      <c r="VVZ2" s="494"/>
      <c r="VWA2" s="494"/>
      <c r="VWB2" s="494"/>
      <c r="VWC2" s="494"/>
      <c r="VWD2" s="494"/>
      <c r="VWE2" s="494"/>
      <c r="VWF2" s="494"/>
      <c r="VWG2" s="494"/>
      <c r="VWH2" s="494"/>
      <c r="VWI2" s="494"/>
      <c r="VWJ2" s="494"/>
      <c r="VWK2" s="494"/>
      <c r="VWL2" s="494"/>
      <c r="VWM2" s="494"/>
      <c r="VWN2" s="494"/>
      <c r="VWO2" s="494"/>
      <c r="VWP2" s="494"/>
      <c r="VWQ2" s="494"/>
      <c r="VWR2" s="494"/>
      <c r="VWS2" s="494"/>
      <c r="VWT2" s="494"/>
      <c r="VWU2" s="494"/>
      <c r="VWV2" s="494"/>
      <c r="VWW2" s="494"/>
      <c r="VWX2" s="494"/>
      <c r="VWY2" s="494"/>
      <c r="VWZ2" s="494"/>
      <c r="VXA2" s="494"/>
      <c r="VXB2" s="494"/>
      <c r="VXC2" s="494"/>
      <c r="VXD2" s="494"/>
      <c r="VXE2" s="494"/>
      <c r="VXF2" s="494"/>
      <c r="VXG2" s="494"/>
      <c r="VXH2" s="494"/>
      <c r="VXI2" s="494"/>
      <c r="VXJ2" s="494"/>
      <c r="VXK2" s="494"/>
      <c r="VXL2" s="494"/>
      <c r="VXM2" s="494"/>
      <c r="VXN2" s="494"/>
      <c r="VXO2" s="494"/>
      <c r="VXP2" s="494"/>
      <c r="VXQ2" s="494"/>
      <c r="VXR2" s="494"/>
      <c r="VXS2" s="494"/>
      <c r="VXT2" s="494"/>
      <c r="VXU2" s="494"/>
      <c r="VXV2" s="494"/>
      <c r="VXW2" s="494"/>
      <c r="VXX2" s="494"/>
      <c r="VXY2" s="494"/>
      <c r="VXZ2" s="494"/>
      <c r="VYA2" s="494"/>
      <c r="VYB2" s="494"/>
      <c r="VYC2" s="494"/>
      <c r="VYD2" s="494"/>
      <c r="VYE2" s="494"/>
      <c r="VYF2" s="494"/>
      <c r="VYG2" s="494"/>
      <c r="VYH2" s="494"/>
      <c r="VYI2" s="494"/>
      <c r="VYJ2" s="494"/>
      <c r="VYK2" s="494"/>
      <c r="VYL2" s="494"/>
      <c r="VYM2" s="494"/>
      <c r="VYN2" s="494"/>
      <c r="VYO2" s="494"/>
      <c r="VYP2" s="494"/>
      <c r="VYQ2" s="494"/>
      <c r="VYR2" s="494"/>
      <c r="VYS2" s="494"/>
      <c r="VYT2" s="494"/>
      <c r="VYU2" s="494"/>
      <c r="VYV2" s="494"/>
      <c r="VYW2" s="494"/>
      <c r="VYX2" s="494"/>
      <c r="VYY2" s="494"/>
      <c r="VYZ2" s="494"/>
      <c r="VZA2" s="494"/>
      <c r="VZB2" s="494"/>
      <c r="VZC2" s="494"/>
      <c r="VZD2" s="494"/>
      <c r="VZE2" s="494"/>
      <c r="VZF2" s="494"/>
      <c r="VZG2" s="494"/>
      <c r="VZH2" s="494"/>
      <c r="VZI2" s="494"/>
      <c r="VZJ2" s="494"/>
      <c r="VZK2" s="494"/>
      <c r="VZL2" s="494"/>
      <c r="VZM2" s="494"/>
      <c r="VZN2" s="494"/>
      <c r="VZO2" s="494"/>
      <c r="VZP2" s="494"/>
      <c r="VZQ2" s="494"/>
      <c r="VZR2" s="494"/>
      <c r="VZS2" s="494"/>
      <c r="VZT2" s="494"/>
      <c r="VZU2" s="494"/>
      <c r="VZV2" s="494"/>
      <c r="VZW2" s="494"/>
      <c r="VZX2" s="494"/>
      <c r="VZY2" s="494"/>
      <c r="VZZ2" s="494"/>
      <c r="WAA2" s="494"/>
      <c r="WAB2" s="494"/>
      <c r="WAC2" s="494"/>
      <c r="WAD2" s="494"/>
      <c r="WAE2" s="494"/>
      <c r="WAF2" s="494"/>
      <c r="WAG2" s="494"/>
      <c r="WAH2" s="494"/>
      <c r="WAI2" s="494"/>
      <c r="WAJ2" s="494"/>
      <c r="WAK2" s="494"/>
      <c r="WAL2" s="494"/>
      <c r="WAM2" s="494"/>
      <c r="WAN2" s="494"/>
      <c r="WAO2" s="494"/>
      <c r="WAP2" s="494"/>
      <c r="WAQ2" s="494"/>
      <c r="WAR2" s="494"/>
      <c r="WAS2" s="494"/>
      <c r="WAT2" s="494"/>
      <c r="WAU2" s="494"/>
      <c r="WAV2" s="494"/>
      <c r="WAW2" s="494"/>
      <c r="WAX2" s="494"/>
      <c r="WAY2" s="494"/>
      <c r="WAZ2" s="494"/>
      <c r="WBA2" s="494"/>
      <c r="WBB2" s="494"/>
      <c r="WBC2" s="494"/>
      <c r="WBD2" s="494"/>
      <c r="WBE2" s="494"/>
      <c r="WBF2" s="494"/>
      <c r="WBG2" s="494"/>
      <c r="WBH2" s="494"/>
      <c r="WBI2" s="494"/>
      <c r="WBJ2" s="494"/>
      <c r="WBK2" s="494"/>
      <c r="WBL2" s="494"/>
      <c r="WBM2" s="494"/>
      <c r="WBN2" s="494"/>
      <c r="WBO2" s="494"/>
      <c r="WBP2" s="494"/>
      <c r="WBQ2" s="494"/>
      <c r="WBR2" s="494"/>
      <c r="WBS2" s="494"/>
      <c r="WBT2" s="494"/>
      <c r="WBU2" s="494"/>
      <c r="WBV2" s="494"/>
      <c r="WBW2" s="494"/>
      <c r="WBX2" s="494"/>
      <c r="WBY2" s="494"/>
      <c r="WBZ2" s="494"/>
      <c r="WCA2" s="494"/>
      <c r="WCB2" s="494"/>
      <c r="WCC2" s="494"/>
      <c r="WCD2" s="494"/>
      <c r="WCE2" s="494"/>
      <c r="WCF2" s="494"/>
      <c r="WCG2" s="494"/>
      <c r="WCH2" s="494"/>
      <c r="WCI2" s="494"/>
      <c r="WCJ2" s="494"/>
      <c r="WCK2" s="494"/>
      <c r="WCL2" s="494"/>
      <c r="WCM2" s="494"/>
      <c r="WCN2" s="494"/>
      <c r="WCO2" s="494"/>
      <c r="WCP2" s="494"/>
      <c r="WCQ2" s="494"/>
      <c r="WCR2" s="494"/>
      <c r="WCS2" s="494"/>
      <c r="WCT2" s="494"/>
      <c r="WCU2" s="494"/>
      <c r="WCV2" s="494"/>
      <c r="WCW2" s="494"/>
      <c r="WCX2" s="494"/>
      <c r="WCY2" s="494"/>
      <c r="WCZ2" s="494"/>
      <c r="WDA2" s="494"/>
      <c r="WDB2" s="494"/>
      <c r="WDC2" s="494"/>
      <c r="WDD2" s="494"/>
      <c r="WDE2" s="494"/>
      <c r="WDF2" s="494"/>
      <c r="WDG2" s="494"/>
      <c r="WDH2" s="494"/>
      <c r="WDI2" s="494"/>
      <c r="WDJ2" s="494"/>
      <c r="WDK2" s="494"/>
      <c r="WDL2" s="494"/>
      <c r="WDM2" s="494"/>
      <c r="WDN2" s="494"/>
      <c r="WDO2" s="494"/>
      <c r="WDP2" s="494"/>
      <c r="WDQ2" s="494"/>
      <c r="WDR2" s="494"/>
      <c r="WDS2" s="494"/>
      <c r="WDT2" s="494"/>
      <c r="WDU2" s="494"/>
      <c r="WDV2" s="494"/>
      <c r="WDW2" s="494"/>
      <c r="WDX2" s="494"/>
      <c r="WDY2" s="494"/>
      <c r="WDZ2" s="494"/>
      <c r="WEA2" s="494"/>
      <c r="WEB2" s="494"/>
      <c r="WEC2" s="494"/>
      <c r="WED2" s="494"/>
      <c r="WEE2" s="494"/>
      <c r="WEF2" s="494"/>
      <c r="WEG2" s="494"/>
      <c r="WEH2" s="494"/>
      <c r="WEI2" s="494"/>
      <c r="WEJ2" s="494"/>
      <c r="WEK2" s="494"/>
      <c r="WEL2" s="494"/>
      <c r="WEM2" s="494"/>
      <c r="WEN2" s="494"/>
      <c r="WEO2" s="494"/>
      <c r="WEP2" s="494"/>
      <c r="WEQ2" s="494"/>
      <c r="WER2" s="494"/>
      <c r="WES2" s="494"/>
      <c r="WET2" s="494"/>
      <c r="WEU2" s="494"/>
      <c r="WEV2" s="494"/>
      <c r="WEW2" s="494"/>
      <c r="WEX2" s="494"/>
      <c r="WEY2" s="494"/>
      <c r="WEZ2" s="494"/>
      <c r="WFA2" s="494"/>
      <c r="WFB2" s="494"/>
      <c r="WFC2" s="494"/>
      <c r="WFD2" s="494"/>
      <c r="WFE2" s="494"/>
      <c r="WFF2" s="494"/>
      <c r="WFG2" s="494"/>
      <c r="WFH2" s="494"/>
      <c r="WFI2" s="494"/>
      <c r="WFJ2" s="494"/>
      <c r="WFK2" s="494"/>
      <c r="WFL2" s="494"/>
      <c r="WFM2" s="494"/>
      <c r="WFN2" s="494"/>
      <c r="WFO2" s="494"/>
      <c r="WFP2" s="494"/>
      <c r="WFQ2" s="494"/>
      <c r="WFR2" s="494"/>
      <c r="WFS2" s="494"/>
      <c r="WFT2" s="494"/>
      <c r="WFU2" s="494"/>
      <c r="WFV2" s="494"/>
      <c r="WFW2" s="494"/>
      <c r="WFX2" s="494"/>
      <c r="WFY2" s="494"/>
      <c r="WFZ2" s="494"/>
      <c r="WGA2" s="494"/>
      <c r="WGB2" s="494"/>
      <c r="WGC2" s="494"/>
      <c r="WGD2" s="494"/>
      <c r="WGE2" s="494"/>
      <c r="WGF2" s="494"/>
      <c r="WGG2" s="494"/>
      <c r="WGH2" s="494"/>
      <c r="WGI2" s="494"/>
      <c r="WGJ2" s="494"/>
      <c r="WGK2" s="494"/>
      <c r="WGL2" s="494"/>
      <c r="WGM2" s="494"/>
      <c r="WGN2" s="494"/>
      <c r="WGO2" s="494"/>
      <c r="WGP2" s="494"/>
      <c r="WGQ2" s="494"/>
      <c r="WGR2" s="494"/>
      <c r="WGS2" s="494"/>
      <c r="WGT2" s="494"/>
      <c r="WGU2" s="494"/>
      <c r="WGV2" s="494"/>
      <c r="WGW2" s="494"/>
      <c r="WGX2" s="494"/>
      <c r="WGY2" s="494"/>
      <c r="WGZ2" s="494"/>
      <c r="WHA2" s="494"/>
      <c r="WHB2" s="494"/>
      <c r="WHC2" s="494"/>
      <c r="WHD2" s="494"/>
      <c r="WHE2" s="494"/>
      <c r="WHF2" s="494"/>
      <c r="WHG2" s="494"/>
      <c r="WHH2" s="494"/>
      <c r="WHI2" s="494"/>
      <c r="WHJ2" s="494"/>
      <c r="WHK2" s="494"/>
      <c r="WHL2" s="494"/>
      <c r="WHM2" s="494"/>
      <c r="WHN2" s="494"/>
      <c r="WHO2" s="494"/>
      <c r="WHP2" s="494"/>
      <c r="WHQ2" s="494"/>
      <c r="WHR2" s="494"/>
      <c r="WHS2" s="494"/>
      <c r="WHT2" s="494"/>
      <c r="WHU2" s="494"/>
      <c r="WHV2" s="494"/>
      <c r="WHW2" s="494"/>
      <c r="WHX2" s="494"/>
      <c r="WHY2" s="494"/>
      <c r="WHZ2" s="494"/>
      <c r="WIA2" s="494"/>
      <c r="WIB2" s="494"/>
      <c r="WIC2" s="494"/>
      <c r="WID2" s="494"/>
      <c r="WIE2" s="494"/>
      <c r="WIF2" s="494"/>
      <c r="WIG2" s="494"/>
      <c r="WIH2" s="494"/>
      <c r="WII2" s="494"/>
      <c r="WIJ2" s="494"/>
      <c r="WIK2" s="494"/>
      <c r="WIL2" s="494"/>
      <c r="WIM2" s="494"/>
      <c r="WIN2" s="494"/>
      <c r="WIO2" s="494"/>
      <c r="WIP2" s="494"/>
      <c r="WIQ2" s="494"/>
      <c r="WIR2" s="494"/>
      <c r="WIS2" s="494"/>
      <c r="WIT2" s="494"/>
      <c r="WIU2" s="494"/>
      <c r="WIV2" s="494"/>
      <c r="WIW2" s="494"/>
      <c r="WIX2" s="494"/>
      <c r="WIY2" s="494"/>
      <c r="WIZ2" s="494"/>
      <c r="WJA2" s="494"/>
      <c r="WJB2" s="494"/>
      <c r="WJC2" s="494"/>
      <c r="WJD2" s="494"/>
      <c r="WJE2" s="494"/>
      <c r="WJF2" s="494"/>
      <c r="WJG2" s="494"/>
      <c r="WJH2" s="494"/>
      <c r="WJI2" s="494"/>
      <c r="WJJ2" s="494"/>
      <c r="WJK2" s="494"/>
      <c r="WJL2" s="494"/>
      <c r="WJM2" s="494"/>
      <c r="WJN2" s="494"/>
      <c r="WJO2" s="494"/>
      <c r="WJP2" s="494"/>
      <c r="WJQ2" s="494"/>
      <c r="WJR2" s="494"/>
      <c r="WJS2" s="494"/>
      <c r="WJT2" s="494"/>
      <c r="WJU2" s="494"/>
      <c r="WJV2" s="494"/>
      <c r="WJW2" s="494"/>
      <c r="WJX2" s="494"/>
      <c r="WJY2" s="494"/>
      <c r="WJZ2" s="494"/>
      <c r="WKA2" s="494"/>
      <c r="WKB2" s="494"/>
      <c r="WKC2" s="494"/>
      <c r="WKD2" s="494"/>
      <c r="WKE2" s="494"/>
      <c r="WKF2" s="494"/>
      <c r="WKG2" s="494"/>
      <c r="WKH2" s="494"/>
      <c r="WKI2" s="494"/>
      <c r="WKJ2" s="494"/>
      <c r="WKK2" s="494"/>
      <c r="WKL2" s="494"/>
      <c r="WKM2" s="494"/>
      <c r="WKN2" s="494"/>
      <c r="WKO2" s="494"/>
      <c r="WKP2" s="494"/>
      <c r="WKQ2" s="494"/>
      <c r="WKR2" s="494"/>
      <c r="WKS2" s="494"/>
      <c r="WKT2" s="494"/>
      <c r="WKU2" s="494"/>
      <c r="WKV2" s="494"/>
      <c r="WKW2" s="494"/>
      <c r="WKX2" s="494"/>
      <c r="WKY2" s="494"/>
      <c r="WKZ2" s="494"/>
      <c r="WLA2" s="494"/>
      <c r="WLB2" s="494"/>
      <c r="WLC2" s="494"/>
      <c r="WLD2" s="494"/>
      <c r="WLE2" s="494"/>
      <c r="WLF2" s="494"/>
      <c r="WLG2" s="494"/>
      <c r="WLH2" s="494"/>
      <c r="WLI2" s="494"/>
      <c r="WLJ2" s="494"/>
      <c r="WLK2" s="494"/>
      <c r="WLL2" s="494"/>
      <c r="WLM2" s="494"/>
      <c r="WLN2" s="494"/>
      <c r="WLO2" s="494"/>
      <c r="WLP2" s="494"/>
      <c r="WLQ2" s="494"/>
      <c r="WLR2" s="494"/>
      <c r="WLS2" s="494"/>
      <c r="WLT2" s="494"/>
      <c r="WLU2" s="494"/>
      <c r="WLV2" s="494"/>
      <c r="WLW2" s="494"/>
      <c r="WLX2" s="494"/>
      <c r="WLY2" s="494"/>
      <c r="WLZ2" s="494"/>
      <c r="WMA2" s="494"/>
      <c r="WMB2" s="494"/>
      <c r="WMC2" s="494"/>
      <c r="WMD2" s="494"/>
      <c r="WME2" s="494"/>
      <c r="WMF2" s="494"/>
      <c r="WMG2" s="494"/>
      <c r="WMH2" s="494"/>
      <c r="WMI2" s="494"/>
      <c r="WMJ2" s="494"/>
      <c r="WMK2" s="494"/>
      <c r="WML2" s="494"/>
      <c r="WMM2" s="494"/>
      <c r="WMN2" s="494"/>
      <c r="WMO2" s="494"/>
      <c r="WMP2" s="494"/>
      <c r="WMQ2" s="494"/>
      <c r="WMR2" s="494"/>
      <c r="WMS2" s="494"/>
      <c r="WMT2" s="494"/>
      <c r="WMU2" s="494"/>
      <c r="WMV2" s="494"/>
      <c r="WMW2" s="494"/>
      <c r="WMX2" s="494"/>
      <c r="WMY2" s="494"/>
      <c r="WMZ2" s="494"/>
      <c r="WNA2" s="494"/>
      <c r="WNB2" s="494"/>
      <c r="WNC2" s="494"/>
      <c r="WND2" s="494"/>
      <c r="WNE2" s="494"/>
      <c r="WNF2" s="494"/>
      <c r="WNG2" s="494"/>
      <c r="WNH2" s="494"/>
      <c r="WNI2" s="494"/>
      <c r="WNJ2" s="494"/>
      <c r="WNK2" s="494"/>
      <c r="WNL2" s="494"/>
      <c r="WNM2" s="494"/>
      <c r="WNN2" s="494"/>
      <c r="WNO2" s="494"/>
      <c r="WNP2" s="494"/>
      <c r="WNQ2" s="494"/>
      <c r="WNR2" s="494"/>
      <c r="WNS2" s="494"/>
      <c r="WNT2" s="494"/>
      <c r="WNU2" s="494"/>
      <c r="WNV2" s="494"/>
      <c r="WNW2" s="494"/>
      <c r="WNX2" s="494"/>
      <c r="WNY2" s="494"/>
      <c r="WNZ2" s="494"/>
      <c r="WOA2" s="494"/>
      <c r="WOB2" s="494"/>
      <c r="WOC2" s="494"/>
      <c r="WOD2" s="494"/>
      <c r="WOE2" s="494"/>
      <c r="WOF2" s="494"/>
      <c r="WOG2" s="494"/>
      <c r="WOH2" s="494"/>
      <c r="WOI2" s="494"/>
      <c r="WOJ2" s="494"/>
      <c r="WOK2" s="494"/>
      <c r="WOL2" s="494"/>
      <c r="WOM2" s="494"/>
      <c r="WON2" s="494"/>
      <c r="WOO2" s="494"/>
      <c r="WOP2" s="494"/>
      <c r="WOQ2" s="494"/>
      <c r="WOR2" s="494"/>
      <c r="WOS2" s="494"/>
      <c r="WOT2" s="494"/>
      <c r="WOU2" s="494"/>
      <c r="WOV2" s="494"/>
      <c r="WOW2" s="494"/>
      <c r="WOX2" s="494"/>
      <c r="WOY2" s="494"/>
      <c r="WOZ2" s="494"/>
      <c r="WPA2" s="494"/>
      <c r="WPB2" s="494"/>
      <c r="WPC2" s="494"/>
      <c r="WPD2" s="494"/>
      <c r="WPE2" s="494"/>
      <c r="WPF2" s="494"/>
      <c r="WPG2" s="494"/>
      <c r="WPH2" s="494"/>
      <c r="WPI2" s="494"/>
      <c r="WPJ2" s="494"/>
      <c r="WPK2" s="494"/>
      <c r="WPL2" s="494"/>
      <c r="WPM2" s="494"/>
      <c r="WPN2" s="494"/>
      <c r="WPO2" s="494"/>
      <c r="WPP2" s="494"/>
      <c r="WPQ2" s="494"/>
      <c r="WPR2" s="494"/>
      <c r="WPS2" s="494"/>
      <c r="WPT2" s="494"/>
      <c r="WPU2" s="494"/>
      <c r="WPV2" s="494"/>
      <c r="WPW2" s="494"/>
      <c r="WPX2" s="494"/>
      <c r="WPY2" s="494"/>
      <c r="WPZ2" s="494"/>
      <c r="WQA2" s="494"/>
      <c r="WQB2" s="494"/>
      <c r="WQC2" s="494"/>
      <c r="WQD2" s="494"/>
      <c r="WQE2" s="494"/>
      <c r="WQF2" s="494"/>
      <c r="WQG2" s="494"/>
      <c r="WQH2" s="494"/>
      <c r="WQI2" s="494"/>
      <c r="WQJ2" s="494"/>
      <c r="WQK2" s="494"/>
      <c r="WQL2" s="494"/>
      <c r="WQM2" s="494"/>
      <c r="WQN2" s="494"/>
      <c r="WQO2" s="494"/>
      <c r="WQP2" s="494"/>
      <c r="WQQ2" s="494"/>
      <c r="WQR2" s="494"/>
      <c r="WQS2" s="494"/>
      <c r="WQT2" s="494"/>
      <c r="WQU2" s="494"/>
      <c r="WQV2" s="494"/>
      <c r="WQW2" s="494"/>
      <c r="WQX2" s="494"/>
      <c r="WQY2" s="494"/>
      <c r="WQZ2" s="494"/>
      <c r="WRA2" s="494"/>
      <c r="WRB2" s="494"/>
      <c r="WRC2" s="494"/>
      <c r="WRD2" s="494"/>
      <c r="WRE2" s="494"/>
      <c r="WRF2" s="494"/>
      <c r="WRG2" s="494"/>
      <c r="WRH2" s="494"/>
      <c r="WRI2" s="494"/>
      <c r="WRJ2" s="494"/>
      <c r="WRK2" s="494"/>
      <c r="WRL2" s="494"/>
      <c r="WRM2" s="494"/>
      <c r="WRN2" s="494"/>
      <c r="WRO2" s="494"/>
      <c r="WRP2" s="494"/>
      <c r="WRQ2" s="494"/>
      <c r="WRR2" s="494"/>
      <c r="WRS2" s="494"/>
      <c r="WRT2" s="494"/>
      <c r="WRU2" s="494"/>
      <c r="WRV2" s="494"/>
      <c r="WRW2" s="494"/>
      <c r="WRX2" s="494"/>
      <c r="WRY2" s="494"/>
      <c r="WRZ2" s="494"/>
      <c r="WSA2" s="494"/>
      <c r="WSB2" s="494"/>
      <c r="WSC2" s="494"/>
      <c r="WSD2" s="494"/>
      <c r="WSE2" s="494"/>
      <c r="WSF2" s="494"/>
      <c r="WSG2" s="494"/>
      <c r="WSH2" s="494"/>
      <c r="WSI2" s="494"/>
      <c r="WSJ2" s="494"/>
      <c r="WSK2" s="494"/>
      <c r="WSL2" s="494"/>
      <c r="WSM2" s="494"/>
      <c r="WSN2" s="494"/>
      <c r="WSO2" s="494"/>
      <c r="WSP2" s="494"/>
      <c r="WSQ2" s="494"/>
      <c r="WSR2" s="494"/>
      <c r="WSS2" s="494"/>
      <c r="WST2" s="494"/>
      <c r="WSU2" s="494"/>
      <c r="WSV2" s="494"/>
      <c r="WSW2" s="494"/>
      <c r="WSX2" s="494"/>
      <c r="WSY2" s="494"/>
      <c r="WSZ2" s="494"/>
      <c r="WTA2" s="494"/>
      <c r="WTB2" s="494"/>
      <c r="WTC2" s="494"/>
      <c r="WTD2" s="494"/>
      <c r="WTE2" s="494"/>
      <c r="WTF2" s="494"/>
      <c r="WTG2" s="494"/>
      <c r="WTH2" s="494"/>
      <c r="WTI2" s="494"/>
      <c r="WTJ2" s="494"/>
      <c r="WTK2" s="494"/>
      <c r="WTL2" s="494"/>
      <c r="WTM2" s="494"/>
      <c r="WTN2" s="494"/>
      <c r="WTO2" s="494"/>
      <c r="WTP2" s="494"/>
      <c r="WTQ2" s="494"/>
      <c r="WTR2" s="494"/>
      <c r="WTS2" s="494"/>
      <c r="WTT2" s="494"/>
      <c r="WTU2" s="494"/>
      <c r="WTV2" s="494"/>
      <c r="WTW2" s="494"/>
      <c r="WTX2" s="494"/>
      <c r="WTY2" s="494"/>
      <c r="WTZ2" s="494"/>
      <c r="WUA2" s="494"/>
      <c r="WUB2" s="494"/>
      <c r="WUC2" s="494"/>
      <c r="WUD2" s="494"/>
      <c r="WUE2" s="494"/>
      <c r="WUF2" s="494"/>
      <c r="WUG2" s="494"/>
      <c r="WUH2" s="494"/>
      <c r="WUI2" s="494"/>
      <c r="WUJ2" s="494"/>
      <c r="WUK2" s="494"/>
      <c r="WUL2" s="494"/>
      <c r="WUM2" s="494"/>
      <c r="WUN2" s="494"/>
      <c r="WUO2" s="494"/>
      <c r="WUP2" s="494"/>
      <c r="WUQ2" s="494"/>
      <c r="WUR2" s="494"/>
      <c r="WUS2" s="494"/>
      <c r="WUT2" s="494"/>
      <c r="WUU2" s="494"/>
      <c r="WUV2" s="494"/>
      <c r="WUW2" s="494"/>
      <c r="WUX2" s="494"/>
      <c r="WUY2" s="494"/>
      <c r="WUZ2" s="494"/>
      <c r="WVA2" s="494"/>
      <c r="WVB2" s="494"/>
      <c r="WVC2" s="494"/>
      <c r="WVD2" s="494"/>
      <c r="WVE2" s="494"/>
      <c r="WVF2" s="494"/>
      <c r="WVG2" s="494"/>
      <c r="WVH2" s="494"/>
      <c r="WVI2" s="494"/>
      <c r="WVJ2" s="494"/>
      <c r="WVK2" s="494"/>
      <c r="WVL2" s="494"/>
      <c r="WVM2" s="494"/>
      <c r="WVN2" s="494"/>
      <c r="WVO2" s="494"/>
      <c r="WVP2" s="494"/>
      <c r="WVQ2" s="494"/>
      <c r="WVR2" s="494"/>
      <c r="WVS2" s="494"/>
      <c r="WVT2" s="494"/>
      <c r="WVU2" s="494"/>
      <c r="WVV2" s="494"/>
      <c r="WVW2" s="494"/>
      <c r="WVX2" s="494"/>
      <c r="WVY2" s="494"/>
      <c r="WVZ2" s="494"/>
      <c r="WWA2" s="494"/>
      <c r="WWB2" s="494"/>
      <c r="WWC2" s="494"/>
      <c r="WWD2" s="494"/>
      <c r="WWE2" s="494"/>
      <c r="WWF2" s="494"/>
      <c r="WWG2" s="494"/>
      <c r="WWH2" s="494"/>
      <c r="WWI2" s="494"/>
      <c r="WWJ2" s="494"/>
      <c r="WWK2" s="494"/>
      <c r="WWL2" s="494"/>
      <c r="WWM2" s="494"/>
      <c r="WWN2" s="494"/>
      <c r="WWO2" s="494"/>
      <c r="WWP2" s="494"/>
      <c r="WWQ2" s="494"/>
      <c r="WWR2" s="494"/>
      <c r="WWS2" s="494"/>
      <c r="WWT2" s="494"/>
      <c r="WWU2" s="494"/>
      <c r="WWV2" s="494"/>
      <c r="WWW2" s="494"/>
      <c r="WWX2" s="494"/>
      <c r="WWY2" s="494"/>
      <c r="WWZ2" s="494"/>
      <c r="WXA2" s="494"/>
      <c r="WXB2" s="494"/>
      <c r="WXC2" s="494"/>
      <c r="WXD2" s="494"/>
      <c r="WXE2" s="494"/>
      <c r="WXF2" s="494"/>
      <c r="WXG2" s="494"/>
      <c r="WXH2" s="494"/>
      <c r="WXI2" s="494"/>
      <c r="WXJ2" s="494"/>
      <c r="WXK2" s="494"/>
      <c r="WXL2" s="494"/>
      <c r="WXM2" s="494"/>
      <c r="WXN2" s="494"/>
      <c r="WXO2" s="494"/>
      <c r="WXP2" s="494"/>
      <c r="WXQ2" s="494"/>
      <c r="WXR2" s="494"/>
      <c r="WXS2" s="494"/>
      <c r="WXT2" s="494"/>
      <c r="WXU2" s="494"/>
      <c r="WXV2" s="494"/>
      <c r="WXW2" s="494"/>
      <c r="WXX2" s="494"/>
      <c r="WXY2" s="494"/>
      <c r="WXZ2" s="494"/>
      <c r="WYA2" s="494"/>
      <c r="WYB2" s="494"/>
      <c r="WYC2" s="494"/>
      <c r="WYD2" s="494"/>
      <c r="WYE2" s="494"/>
      <c r="WYF2" s="494"/>
      <c r="WYG2" s="494"/>
      <c r="WYH2" s="494"/>
      <c r="WYI2" s="494"/>
      <c r="WYJ2" s="494"/>
      <c r="WYK2" s="494"/>
      <c r="WYL2" s="494"/>
      <c r="WYM2" s="494"/>
      <c r="WYN2" s="494"/>
      <c r="WYO2" s="494"/>
      <c r="WYP2" s="494"/>
      <c r="WYQ2" s="494"/>
      <c r="WYR2" s="494"/>
      <c r="WYS2" s="494"/>
      <c r="WYT2" s="494"/>
      <c r="WYU2" s="494"/>
      <c r="WYV2" s="494"/>
      <c r="WYW2" s="494"/>
      <c r="WYX2" s="494"/>
      <c r="WYY2" s="494"/>
      <c r="WYZ2" s="494"/>
      <c r="WZA2" s="494"/>
      <c r="WZB2" s="494"/>
      <c r="WZC2" s="494"/>
      <c r="WZD2" s="494"/>
      <c r="WZE2" s="494"/>
      <c r="WZF2" s="494"/>
      <c r="WZG2" s="494"/>
      <c r="WZH2" s="494"/>
      <c r="WZI2" s="494"/>
      <c r="WZJ2" s="494"/>
      <c r="WZK2" s="494"/>
      <c r="WZL2" s="494"/>
      <c r="WZM2" s="494"/>
      <c r="WZN2" s="494"/>
      <c r="WZO2" s="494"/>
      <c r="WZP2" s="494"/>
      <c r="WZQ2" s="494"/>
      <c r="WZR2" s="494"/>
      <c r="WZS2" s="494"/>
      <c r="WZT2" s="494"/>
      <c r="WZU2" s="494"/>
      <c r="WZV2" s="494"/>
      <c r="WZW2" s="494"/>
      <c r="WZX2" s="494"/>
      <c r="WZY2" s="494"/>
      <c r="WZZ2" s="494"/>
      <c r="XAA2" s="494"/>
      <c r="XAB2" s="494"/>
      <c r="XAC2" s="494"/>
      <c r="XAD2" s="494"/>
      <c r="XAE2" s="494"/>
      <c r="XAF2" s="494"/>
      <c r="XAG2" s="494"/>
      <c r="XAH2" s="494"/>
      <c r="XAI2" s="494"/>
      <c r="XAJ2" s="494"/>
      <c r="XAK2" s="494"/>
      <c r="XAL2" s="494"/>
      <c r="XAM2" s="494"/>
      <c r="XAN2" s="494"/>
      <c r="XAO2" s="494"/>
      <c r="XAP2" s="494"/>
      <c r="XAQ2" s="494"/>
      <c r="XAR2" s="494"/>
      <c r="XAS2" s="494"/>
      <c r="XAT2" s="494"/>
      <c r="XAU2" s="494"/>
      <c r="XAV2" s="494"/>
      <c r="XAW2" s="494"/>
      <c r="XAX2" s="494"/>
      <c r="XAY2" s="494"/>
      <c r="XAZ2" s="494"/>
      <c r="XBA2" s="494"/>
      <c r="XBB2" s="494"/>
      <c r="XBC2" s="494"/>
      <c r="XBD2" s="494"/>
      <c r="XBE2" s="494"/>
      <c r="XBF2" s="494"/>
      <c r="XBG2" s="494"/>
      <c r="XBH2" s="494"/>
      <c r="XBI2" s="494"/>
      <c r="XBJ2" s="494"/>
      <c r="XBK2" s="494"/>
      <c r="XBL2" s="494"/>
      <c r="XBM2" s="494"/>
      <c r="XBN2" s="494"/>
      <c r="XBO2" s="494"/>
      <c r="XBP2" s="494"/>
      <c r="XBQ2" s="494"/>
      <c r="XBR2" s="494"/>
      <c r="XBS2" s="494"/>
      <c r="XBT2" s="494"/>
      <c r="XBU2" s="494"/>
      <c r="XBV2" s="494"/>
      <c r="XBW2" s="494"/>
      <c r="XBX2" s="494"/>
      <c r="XBY2" s="494"/>
      <c r="XBZ2" s="494"/>
      <c r="XCA2" s="494"/>
      <c r="XCB2" s="494"/>
      <c r="XCC2" s="494"/>
      <c r="XCD2" s="494"/>
      <c r="XCE2" s="494"/>
      <c r="XCF2" s="494"/>
      <c r="XCG2" s="494"/>
      <c r="XCH2" s="494"/>
      <c r="XCI2" s="494"/>
      <c r="XCJ2" s="494"/>
      <c r="XCK2" s="494"/>
      <c r="XCL2" s="494"/>
      <c r="XCM2" s="494"/>
      <c r="XCN2" s="494"/>
      <c r="XCO2" s="494"/>
      <c r="XCP2" s="494"/>
      <c r="XCQ2" s="494"/>
      <c r="XCR2" s="494"/>
      <c r="XCS2" s="494"/>
      <c r="XCT2" s="494"/>
      <c r="XCU2" s="494"/>
      <c r="XCV2" s="494"/>
      <c r="XCW2" s="494"/>
      <c r="XCX2" s="494"/>
      <c r="XCY2" s="494"/>
      <c r="XCZ2" s="494"/>
      <c r="XDA2" s="494"/>
      <c r="XDB2" s="494"/>
      <c r="XDC2" s="494"/>
      <c r="XDD2" s="494"/>
      <c r="XDE2" s="494"/>
      <c r="XDF2" s="494"/>
      <c r="XDG2" s="494"/>
      <c r="XDH2" s="494"/>
      <c r="XDI2" s="494"/>
      <c r="XDJ2" s="494"/>
      <c r="XDK2" s="494"/>
      <c r="XDL2" s="494"/>
      <c r="XDM2" s="494"/>
      <c r="XDN2" s="494"/>
      <c r="XDO2" s="494"/>
      <c r="XDP2" s="494"/>
      <c r="XDQ2" s="494"/>
      <c r="XDR2" s="494"/>
      <c r="XDS2" s="494"/>
      <c r="XDT2" s="494"/>
      <c r="XDU2" s="494"/>
      <c r="XDV2" s="494"/>
      <c r="XDW2" s="494"/>
      <c r="XDX2" s="494"/>
      <c r="XDY2" s="494"/>
      <c r="XDZ2" s="494"/>
      <c r="XEA2" s="494"/>
      <c r="XEB2" s="494"/>
      <c r="XEC2" s="494"/>
      <c r="XED2" s="494"/>
      <c r="XEE2" s="494"/>
      <c r="XEF2" s="494"/>
      <c r="XEG2" s="494"/>
      <c r="XEH2" s="494"/>
      <c r="XEI2" s="494"/>
      <c r="XEJ2" s="494"/>
      <c r="XEK2" s="494"/>
      <c r="XEL2" s="494"/>
      <c r="XEM2" s="494"/>
      <c r="XEN2" s="494"/>
      <c r="XEO2" s="494"/>
      <c r="XEP2" s="494"/>
      <c r="XEQ2" s="494"/>
      <c r="XER2" s="494"/>
      <c r="XES2" s="494"/>
      <c r="XET2" s="494"/>
      <c r="XEU2" s="494"/>
      <c r="XEV2" s="494"/>
      <c r="XEW2" s="494"/>
      <c r="XEX2" s="494"/>
      <c r="XEY2" s="494"/>
      <c r="XEZ2" s="494"/>
      <c r="XFA2" s="494"/>
      <c r="XFB2" s="494"/>
      <c r="XFC2" s="494"/>
      <c r="XFD2" s="494"/>
    </row>
    <row r="3" spans="1:16384" s="464" customFormat="1" ht="31" customHeight="1">
      <c r="A3" s="494"/>
      <c r="B3" s="1818"/>
      <c r="C3" s="1820"/>
      <c r="D3" s="1843" t="s">
        <v>1607</v>
      </c>
      <c r="E3" s="1844"/>
      <c r="F3" s="1847" t="s">
        <v>121</v>
      </c>
      <c r="G3" s="1848"/>
      <c r="H3" s="1843" t="s">
        <v>1604</v>
      </c>
      <c r="I3" s="1844"/>
      <c r="J3" s="1843" t="s">
        <v>1605</v>
      </c>
      <c r="K3" s="1844"/>
      <c r="L3" s="1843" t="s">
        <v>775</v>
      </c>
      <c r="M3" s="1844"/>
      <c r="N3" s="496"/>
      <c r="O3" s="496"/>
      <c r="P3" s="494"/>
      <c r="Q3" s="494"/>
      <c r="R3" s="494"/>
      <c r="S3" s="494"/>
      <c r="T3" s="494"/>
      <c r="U3" s="494"/>
      <c r="V3" s="494"/>
      <c r="W3" s="494"/>
      <c r="X3" s="494"/>
      <c r="Y3" s="494"/>
      <c r="Z3" s="494"/>
      <c r="AA3" s="494"/>
      <c r="AB3" s="494"/>
      <c r="AC3" s="494"/>
      <c r="AD3" s="494"/>
      <c r="AE3" s="494"/>
      <c r="AF3" s="494"/>
      <c r="AG3" s="494"/>
      <c r="AH3" s="494"/>
      <c r="AI3" s="494"/>
      <c r="AJ3" s="494"/>
      <c r="AK3" s="494"/>
      <c r="AL3" s="494"/>
      <c r="AM3" s="494"/>
      <c r="AN3" s="494"/>
      <c r="AO3" s="494"/>
      <c r="AP3" s="494"/>
      <c r="AQ3" s="494"/>
      <c r="AR3" s="494"/>
      <c r="AS3" s="494"/>
      <c r="AT3" s="494"/>
      <c r="AU3" s="494"/>
      <c r="AV3" s="494"/>
      <c r="AW3" s="494"/>
      <c r="AX3" s="494"/>
      <c r="AY3" s="494"/>
      <c r="AZ3" s="494"/>
      <c r="BA3" s="494"/>
      <c r="BB3" s="494"/>
      <c r="BC3" s="494"/>
      <c r="BD3" s="494"/>
      <c r="BE3" s="494"/>
      <c r="BF3" s="494"/>
      <c r="BG3" s="494"/>
      <c r="BH3" s="494"/>
      <c r="BI3" s="494"/>
      <c r="BJ3" s="494"/>
      <c r="BK3" s="494"/>
      <c r="BL3" s="494"/>
      <c r="BM3" s="494"/>
      <c r="BN3" s="494"/>
      <c r="BO3" s="494"/>
      <c r="BP3" s="494"/>
      <c r="BQ3" s="494"/>
      <c r="BR3" s="494"/>
      <c r="BS3" s="494"/>
      <c r="BT3" s="494"/>
      <c r="BU3" s="494"/>
      <c r="BV3" s="494"/>
      <c r="BW3" s="494"/>
      <c r="BX3" s="494"/>
      <c r="BY3" s="494"/>
      <c r="BZ3" s="494"/>
      <c r="CA3" s="494"/>
      <c r="CB3" s="494"/>
      <c r="CC3" s="494"/>
      <c r="CD3" s="494"/>
      <c r="CE3" s="494"/>
      <c r="CF3" s="494"/>
      <c r="CG3" s="494"/>
      <c r="CH3" s="494"/>
      <c r="CI3" s="494"/>
      <c r="CJ3" s="494"/>
      <c r="CK3" s="494"/>
      <c r="CL3" s="494"/>
      <c r="CM3" s="494"/>
      <c r="CN3" s="494"/>
      <c r="CO3" s="494"/>
      <c r="CP3" s="494"/>
      <c r="CQ3" s="494"/>
      <c r="CR3" s="494"/>
      <c r="CS3" s="494"/>
      <c r="CT3" s="494"/>
      <c r="CU3" s="494"/>
      <c r="CV3" s="494"/>
      <c r="CW3" s="494"/>
      <c r="CX3" s="494"/>
      <c r="CY3" s="494"/>
      <c r="CZ3" s="494"/>
      <c r="DA3" s="494"/>
      <c r="DB3" s="494"/>
      <c r="DC3" s="494"/>
      <c r="DD3" s="494"/>
      <c r="DE3" s="494"/>
      <c r="DF3" s="494"/>
      <c r="DG3" s="494"/>
      <c r="DH3" s="494"/>
      <c r="DI3" s="494"/>
      <c r="DJ3" s="494"/>
      <c r="DK3" s="494"/>
      <c r="DL3" s="494"/>
      <c r="DM3" s="494"/>
      <c r="DN3" s="494"/>
      <c r="DO3" s="494"/>
      <c r="DP3" s="494"/>
      <c r="DQ3" s="494"/>
      <c r="DR3" s="494"/>
      <c r="DS3" s="494"/>
      <c r="DT3" s="494"/>
      <c r="DU3" s="494"/>
      <c r="DV3" s="494"/>
      <c r="DW3" s="494"/>
      <c r="DX3" s="494"/>
      <c r="DY3" s="494"/>
      <c r="DZ3" s="494"/>
      <c r="EA3" s="494"/>
      <c r="EB3" s="494"/>
      <c r="EC3" s="494"/>
      <c r="ED3" s="494"/>
      <c r="EE3" s="494"/>
      <c r="EF3" s="494"/>
      <c r="EG3" s="494"/>
      <c r="EH3" s="494"/>
      <c r="EI3" s="494"/>
      <c r="EJ3" s="494"/>
      <c r="EK3" s="494"/>
      <c r="EL3" s="494"/>
      <c r="EM3" s="494"/>
      <c r="EN3" s="494"/>
      <c r="EO3" s="494"/>
      <c r="EP3" s="494"/>
      <c r="EQ3" s="494"/>
      <c r="ER3" s="494"/>
      <c r="ES3" s="494"/>
      <c r="ET3" s="494"/>
      <c r="EU3" s="494"/>
      <c r="EV3" s="494"/>
      <c r="EW3" s="494"/>
      <c r="EX3" s="494"/>
      <c r="EY3" s="494"/>
      <c r="EZ3" s="494"/>
      <c r="FA3" s="494"/>
      <c r="FB3" s="494"/>
      <c r="FC3" s="494"/>
      <c r="FD3" s="494"/>
      <c r="FE3" s="494"/>
      <c r="FF3" s="494"/>
      <c r="FG3" s="494"/>
      <c r="FH3" s="494"/>
      <c r="FI3" s="494"/>
      <c r="FJ3" s="494"/>
      <c r="FK3" s="494"/>
      <c r="FL3" s="494"/>
      <c r="FM3" s="494"/>
      <c r="FN3" s="494"/>
      <c r="FO3" s="494"/>
      <c r="FP3" s="494"/>
      <c r="FQ3" s="494"/>
      <c r="FR3" s="494"/>
      <c r="FS3" s="494"/>
      <c r="FT3" s="494"/>
      <c r="FU3" s="494"/>
      <c r="FV3" s="494"/>
      <c r="FW3" s="494"/>
      <c r="FX3" s="494"/>
      <c r="FY3" s="494"/>
      <c r="FZ3" s="494"/>
      <c r="GA3" s="494"/>
      <c r="GB3" s="494"/>
      <c r="GC3" s="494"/>
      <c r="GD3" s="494"/>
      <c r="GE3" s="494"/>
      <c r="GF3" s="494"/>
      <c r="GG3" s="494"/>
      <c r="GH3" s="494"/>
      <c r="GI3" s="494"/>
      <c r="GJ3" s="494"/>
      <c r="GK3" s="494"/>
      <c r="GL3" s="494"/>
      <c r="GM3" s="494"/>
      <c r="GN3" s="494"/>
      <c r="GO3" s="494"/>
      <c r="GP3" s="494"/>
      <c r="GQ3" s="494"/>
      <c r="GR3" s="494"/>
      <c r="GS3" s="494"/>
      <c r="GT3" s="494"/>
      <c r="GU3" s="494"/>
      <c r="GV3" s="494"/>
      <c r="GW3" s="494"/>
      <c r="GX3" s="494"/>
      <c r="GY3" s="494"/>
      <c r="GZ3" s="494"/>
      <c r="HA3" s="494"/>
      <c r="HB3" s="494"/>
      <c r="HC3" s="494"/>
      <c r="HD3" s="494"/>
      <c r="HE3" s="494"/>
      <c r="HF3" s="494"/>
      <c r="HG3" s="494"/>
      <c r="HH3" s="494"/>
      <c r="HI3" s="494"/>
      <c r="HJ3" s="494"/>
      <c r="HK3" s="494"/>
      <c r="HL3" s="494"/>
      <c r="HM3" s="494"/>
      <c r="HN3" s="494"/>
      <c r="HO3" s="494"/>
      <c r="HP3" s="494"/>
      <c r="HQ3" s="494"/>
      <c r="HR3" s="494"/>
      <c r="HS3" s="494"/>
      <c r="HT3" s="494"/>
      <c r="HU3" s="494"/>
      <c r="HV3" s="494"/>
      <c r="HW3" s="494"/>
      <c r="HX3" s="494"/>
      <c r="HY3" s="494"/>
      <c r="HZ3" s="494"/>
      <c r="IA3" s="494"/>
      <c r="IB3" s="494"/>
      <c r="IC3" s="494"/>
      <c r="ID3" s="494"/>
      <c r="IE3" s="494"/>
      <c r="IF3" s="494"/>
      <c r="IG3" s="494"/>
      <c r="IH3" s="494"/>
      <c r="II3" s="494"/>
      <c r="IJ3" s="494"/>
      <c r="IK3" s="494"/>
      <c r="IL3" s="494"/>
      <c r="IM3" s="494"/>
      <c r="IN3" s="494"/>
      <c r="IO3" s="494"/>
      <c r="IP3" s="494"/>
      <c r="IQ3" s="494"/>
      <c r="IR3" s="494"/>
      <c r="IS3" s="494"/>
      <c r="IT3" s="494"/>
      <c r="IU3" s="494"/>
      <c r="IV3" s="494"/>
      <c r="IW3" s="494"/>
      <c r="IX3" s="494"/>
      <c r="IY3" s="494"/>
      <c r="IZ3" s="494"/>
      <c r="JA3" s="494"/>
      <c r="JB3" s="494"/>
      <c r="JC3" s="494"/>
      <c r="JD3" s="494"/>
      <c r="JE3" s="494"/>
      <c r="JF3" s="494"/>
      <c r="JG3" s="494"/>
      <c r="JH3" s="494"/>
      <c r="JI3" s="494"/>
      <c r="JJ3" s="494"/>
      <c r="JK3" s="494"/>
      <c r="JL3" s="494"/>
      <c r="JM3" s="494"/>
      <c r="JN3" s="494"/>
      <c r="JO3" s="494"/>
      <c r="JP3" s="494"/>
      <c r="JQ3" s="494"/>
      <c r="JR3" s="494"/>
      <c r="JS3" s="494"/>
      <c r="JT3" s="494"/>
      <c r="JU3" s="494"/>
      <c r="JV3" s="494"/>
      <c r="JW3" s="494"/>
      <c r="JX3" s="494"/>
      <c r="JY3" s="494"/>
      <c r="JZ3" s="494"/>
      <c r="KA3" s="494"/>
      <c r="KB3" s="494"/>
      <c r="KC3" s="494"/>
      <c r="KD3" s="494"/>
      <c r="KE3" s="494"/>
      <c r="KF3" s="494"/>
      <c r="KG3" s="494"/>
      <c r="KH3" s="494"/>
      <c r="KI3" s="494"/>
      <c r="KJ3" s="494"/>
      <c r="KK3" s="494"/>
      <c r="KL3" s="494"/>
      <c r="KM3" s="494"/>
      <c r="KN3" s="494"/>
      <c r="KO3" s="494"/>
      <c r="KP3" s="494"/>
      <c r="KQ3" s="494"/>
      <c r="KR3" s="494"/>
      <c r="KS3" s="494"/>
      <c r="KT3" s="494"/>
      <c r="KU3" s="494"/>
      <c r="KV3" s="494"/>
      <c r="KW3" s="494"/>
      <c r="KX3" s="494"/>
      <c r="KY3" s="494"/>
      <c r="KZ3" s="494"/>
      <c r="LA3" s="494"/>
      <c r="LB3" s="494"/>
      <c r="LC3" s="494"/>
      <c r="LD3" s="494"/>
      <c r="LE3" s="494"/>
      <c r="LF3" s="494"/>
      <c r="LG3" s="494"/>
      <c r="LH3" s="494"/>
      <c r="LI3" s="494"/>
      <c r="LJ3" s="494"/>
      <c r="LK3" s="494"/>
      <c r="LL3" s="494"/>
      <c r="LM3" s="494"/>
      <c r="LN3" s="494"/>
      <c r="LO3" s="494"/>
      <c r="LP3" s="494"/>
      <c r="LQ3" s="494"/>
      <c r="LR3" s="494"/>
      <c r="LS3" s="494"/>
      <c r="LT3" s="494"/>
      <c r="LU3" s="494"/>
      <c r="LV3" s="494"/>
      <c r="LW3" s="494"/>
      <c r="LX3" s="494"/>
      <c r="LY3" s="494"/>
      <c r="LZ3" s="494"/>
      <c r="MA3" s="494"/>
      <c r="MB3" s="494"/>
      <c r="MC3" s="494"/>
      <c r="MD3" s="494"/>
      <c r="ME3" s="494"/>
      <c r="MF3" s="494"/>
      <c r="MG3" s="494"/>
      <c r="MH3" s="494"/>
      <c r="MI3" s="494"/>
      <c r="MJ3" s="494"/>
      <c r="MK3" s="494"/>
      <c r="ML3" s="494"/>
      <c r="MM3" s="494"/>
      <c r="MN3" s="494"/>
      <c r="MO3" s="494"/>
      <c r="MP3" s="494"/>
      <c r="MQ3" s="494"/>
      <c r="MR3" s="494"/>
      <c r="MS3" s="494"/>
      <c r="MT3" s="494"/>
      <c r="MU3" s="494"/>
      <c r="MV3" s="494"/>
      <c r="MW3" s="494"/>
      <c r="MX3" s="494"/>
      <c r="MY3" s="494"/>
      <c r="MZ3" s="494"/>
      <c r="NA3" s="494"/>
      <c r="NB3" s="494"/>
      <c r="NC3" s="494"/>
      <c r="ND3" s="494"/>
      <c r="NE3" s="494"/>
      <c r="NF3" s="494"/>
      <c r="NG3" s="494"/>
      <c r="NH3" s="494"/>
      <c r="NI3" s="494"/>
      <c r="NJ3" s="494"/>
      <c r="NK3" s="494"/>
      <c r="NL3" s="494"/>
      <c r="NM3" s="494"/>
      <c r="NN3" s="494"/>
      <c r="NO3" s="494"/>
      <c r="NP3" s="494"/>
      <c r="NQ3" s="494"/>
      <c r="NR3" s="494"/>
      <c r="NS3" s="494"/>
      <c r="NT3" s="494"/>
      <c r="NU3" s="494"/>
      <c r="NV3" s="494"/>
      <c r="NW3" s="494"/>
      <c r="NX3" s="494"/>
      <c r="NY3" s="494"/>
      <c r="NZ3" s="494"/>
      <c r="OA3" s="494"/>
      <c r="OB3" s="494"/>
      <c r="OC3" s="494"/>
      <c r="OD3" s="494"/>
      <c r="OE3" s="494"/>
      <c r="OF3" s="494"/>
      <c r="OG3" s="494"/>
      <c r="OH3" s="494"/>
      <c r="OI3" s="494"/>
      <c r="OJ3" s="494"/>
      <c r="OK3" s="494"/>
      <c r="OL3" s="494"/>
      <c r="OM3" s="494"/>
      <c r="ON3" s="494"/>
      <c r="OO3" s="494"/>
      <c r="OP3" s="494"/>
      <c r="OQ3" s="494"/>
      <c r="OR3" s="494"/>
      <c r="OS3" s="494"/>
      <c r="OT3" s="494"/>
      <c r="OU3" s="494"/>
      <c r="OV3" s="494"/>
      <c r="OW3" s="494"/>
      <c r="OX3" s="494"/>
      <c r="OY3" s="494"/>
      <c r="OZ3" s="494"/>
      <c r="PA3" s="494"/>
      <c r="PB3" s="494"/>
      <c r="PC3" s="494"/>
      <c r="PD3" s="494"/>
      <c r="PE3" s="494"/>
      <c r="PF3" s="494"/>
      <c r="PG3" s="494"/>
      <c r="PH3" s="494"/>
      <c r="PI3" s="494"/>
      <c r="PJ3" s="494"/>
      <c r="PK3" s="494"/>
      <c r="PL3" s="494"/>
      <c r="PM3" s="494"/>
      <c r="PN3" s="494"/>
      <c r="PO3" s="494"/>
      <c r="PP3" s="494"/>
      <c r="PQ3" s="494"/>
      <c r="PR3" s="494"/>
      <c r="PS3" s="494"/>
      <c r="PT3" s="494"/>
      <c r="PU3" s="494"/>
      <c r="PV3" s="494"/>
      <c r="PW3" s="494"/>
      <c r="PX3" s="494"/>
      <c r="PY3" s="494"/>
      <c r="PZ3" s="494"/>
      <c r="QA3" s="494"/>
      <c r="QB3" s="494"/>
      <c r="QC3" s="494"/>
      <c r="QD3" s="494"/>
      <c r="QE3" s="494"/>
      <c r="QF3" s="494"/>
      <c r="QG3" s="494"/>
      <c r="QH3" s="494"/>
      <c r="QI3" s="494"/>
      <c r="QJ3" s="494"/>
      <c r="QK3" s="494"/>
      <c r="QL3" s="494"/>
      <c r="QM3" s="494"/>
      <c r="QN3" s="494"/>
      <c r="QO3" s="494"/>
      <c r="QP3" s="494"/>
      <c r="QQ3" s="494"/>
      <c r="QR3" s="494"/>
      <c r="QS3" s="494"/>
      <c r="QT3" s="494"/>
      <c r="QU3" s="494"/>
      <c r="QV3" s="494"/>
      <c r="QW3" s="494"/>
      <c r="QX3" s="494"/>
      <c r="QY3" s="494"/>
      <c r="QZ3" s="494"/>
      <c r="RA3" s="494"/>
      <c r="RB3" s="494"/>
      <c r="RC3" s="494"/>
      <c r="RD3" s="494"/>
      <c r="RE3" s="494"/>
      <c r="RF3" s="494"/>
      <c r="RG3" s="494"/>
      <c r="RH3" s="494"/>
      <c r="RI3" s="494"/>
      <c r="RJ3" s="494"/>
      <c r="RK3" s="494"/>
      <c r="RL3" s="494"/>
      <c r="RM3" s="494"/>
      <c r="RN3" s="494"/>
      <c r="RO3" s="494"/>
      <c r="RP3" s="494"/>
      <c r="RQ3" s="494"/>
      <c r="RR3" s="494"/>
      <c r="RS3" s="494"/>
      <c r="RT3" s="494"/>
      <c r="RU3" s="494"/>
      <c r="RV3" s="494"/>
      <c r="RW3" s="494"/>
      <c r="RX3" s="494"/>
      <c r="RY3" s="494"/>
      <c r="RZ3" s="494"/>
      <c r="SA3" s="494"/>
      <c r="SB3" s="494"/>
      <c r="SC3" s="494"/>
      <c r="SD3" s="494"/>
      <c r="SE3" s="494"/>
      <c r="SF3" s="494"/>
      <c r="SG3" s="494"/>
      <c r="SH3" s="494"/>
      <c r="SI3" s="494"/>
      <c r="SJ3" s="494"/>
      <c r="SK3" s="494"/>
      <c r="SL3" s="494"/>
      <c r="SM3" s="494"/>
      <c r="SN3" s="494"/>
      <c r="SO3" s="494"/>
      <c r="SP3" s="494"/>
      <c r="SQ3" s="494"/>
      <c r="SR3" s="494"/>
      <c r="SS3" s="494"/>
      <c r="ST3" s="494"/>
      <c r="SU3" s="494"/>
      <c r="SV3" s="494"/>
      <c r="SW3" s="494"/>
      <c r="SX3" s="494"/>
      <c r="SY3" s="494"/>
      <c r="SZ3" s="494"/>
      <c r="TA3" s="494"/>
      <c r="TB3" s="494"/>
      <c r="TC3" s="494"/>
      <c r="TD3" s="494"/>
      <c r="TE3" s="494"/>
      <c r="TF3" s="494"/>
      <c r="TG3" s="494"/>
      <c r="TH3" s="494"/>
      <c r="TI3" s="494"/>
      <c r="TJ3" s="494"/>
      <c r="TK3" s="494"/>
      <c r="TL3" s="494"/>
      <c r="TM3" s="494"/>
      <c r="TN3" s="494"/>
      <c r="TO3" s="494"/>
      <c r="TP3" s="494"/>
      <c r="TQ3" s="494"/>
      <c r="TR3" s="494"/>
      <c r="TS3" s="494"/>
      <c r="TT3" s="494"/>
      <c r="TU3" s="494"/>
      <c r="TV3" s="494"/>
      <c r="TW3" s="494"/>
      <c r="TX3" s="494"/>
      <c r="TY3" s="494"/>
      <c r="TZ3" s="494"/>
      <c r="UA3" s="494"/>
      <c r="UB3" s="494"/>
      <c r="UC3" s="494"/>
      <c r="UD3" s="494"/>
      <c r="UE3" s="494"/>
      <c r="UF3" s="494"/>
      <c r="UG3" s="494"/>
      <c r="UH3" s="494"/>
      <c r="UI3" s="494"/>
      <c r="UJ3" s="494"/>
      <c r="UK3" s="494"/>
      <c r="UL3" s="494"/>
      <c r="UM3" s="494"/>
      <c r="UN3" s="494"/>
      <c r="UO3" s="494"/>
      <c r="UP3" s="494"/>
      <c r="UQ3" s="494"/>
      <c r="UR3" s="494"/>
      <c r="US3" s="494"/>
      <c r="UT3" s="494"/>
      <c r="UU3" s="494"/>
      <c r="UV3" s="494"/>
      <c r="UW3" s="494"/>
      <c r="UX3" s="494"/>
      <c r="UY3" s="494"/>
      <c r="UZ3" s="494"/>
      <c r="VA3" s="494"/>
      <c r="VB3" s="494"/>
      <c r="VC3" s="494"/>
      <c r="VD3" s="494"/>
      <c r="VE3" s="494"/>
      <c r="VF3" s="494"/>
      <c r="VG3" s="494"/>
      <c r="VH3" s="494"/>
      <c r="VI3" s="494"/>
      <c r="VJ3" s="494"/>
      <c r="VK3" s="494"/>
      <c r="VL3" s="494"/>
      <c r="VM3" s="494"/>
      <c r="VN3" s="494"/>
      <c r="VO3" s="494"/>
      <c r="VP3" s="494"/>
      <c r="VQ3" s="494"/>
      <c r="VR3" s="494"/>
      <c r="VS3" s="494"/>
      <c r="VT3" s="494"/>
      <c r="VU3" s="494"/>
      <c r="VV3" s="494"/>
      <c r="VW3" s="494"/>
      <c r="VX3" s="494"/>
      <c r="VY3" s="494"/>
      <c r="VZ3" s="494"/>
      <c r="WA3" s="494"/>
      <c r="WB3" s="494"/>
      <c r="WC3" s="494"/>
      <c r="WD3" s="494"/>
      <c r="WE3" s="494"/>
      <c r="WF3" s="494"/>
      <c r="WG3" s="494"/>
      <c r="WH3" s="494"/>
      <c r="WI3" s="494"/>
      <c r="WJ3" s="494"/>
      <c r="WK3" s="494"/>
      <c r="WL3" s="494"/>
      <c r="WM3" s="494"/>
      <c r="WN3" s="494"/>
      <c r="WO3" s="494"/>
      <c r="WP3" s="494"/>
      <c r="WQ3" s="494"/>
      <c r="WR3" s="494"/>
      <c r="WS3" s="494"/>
      <c r="WT3" s="494"/>
      <c r="WU3" s="494"/>
      <c r="WV3" s="494"/>
      <c r="WW3" s="494"/>
      <c r="WX3" s="494"/>
      <c r="WY3" s="494"/>
      <c r="WZ3" s="494"/>
      <c r="XA3" s="494"/>
      <c r="XB3" s="494"/>
      <c r="XC3" s="494"/>
      <c r="XD3" s="494"/>
      <c r="XE3" s="494"/>
      <c r="XF3" s="494"/>
      <c r="XG3" s="494"/>
      <c r="XH3" s="494"/>
      <c r="XI3" s="494"/>
      <c r="XJ3" s="494"/>
      <c r="XK3" s="494"/>
      <c r="XL3" s="494"/>
      <c r="XM3" s="494"/>
      <c r="XN3" s="494"/>
      <c r="XO3" s="494"/>
      <c r="XP3" s="494"/>
      <c r="XQ3" s="494"/>
      <c r="XR3" s="494"/>
      <c r="XS3" s="494"/>
      <c r="XT3" s="494"/>
      <c r="XU3" s="494"/>
      <c r="XV3" s="494"/>
      <c r="XW3" s="494"/>
      <c r="XX3" s="494"/>
      <c r="XY3" s="494"/>
      <c r="XZ3" s="494"/>
      <c r="YA3" s="494"/>
      <c r="YB3" s="494"/>
      <c r="YC3" s="494"/>
      <c r="YD3" s="494"/>
      <c r="YE3" s="494"/>
      <c r="YF3" s="494"/>
      <c r="YG3" s="494"/>
      <c r="YH3" s="494"/>
      <c r="YI3" s="494"/>
      <c r="YJ3" s="494"/>
      <c r="YK3" s="494"/>
      <c r="YL3" s="494"/>
      <c r="YM3" s="494"/>
      <c r="YN3" s="494"/>
      <c r="YO3" s="494"/>
      <c r="YP3" s="494"/>
      <c r="YQ3" s="494"/>
      <c r="YR3" s="494"/>
      <c r="YS3" s="494"/>
      <c r="YT3" s="494"/>
      <c r="YU3" s="494"/>
      <c r="YV3" s="494"/>
      <c r="YW3" s="494"/>
      <c r="YX3" s="494"/>
      <c r="YY3" s="494"/>
      <c r="YZ3" s="494"/>
      <c r="ZA3" s="494"/>
      <c r="ZB3" s="494"/>
      <c r="ZC3" s="494"/>
      <c r="ZD3" s="494"/>
      <c r="ZE3" s="494"/>
      <c r="ZF3" s="494"/>
      <c r="ZG3" s="494"/>
      <c r="ZH3" s="494"/>
      <c r="ZI3" s="494"/>
      <c r="ZJ3" s="494"/>
      <c r="ZK3" s="494"/>
      <c r="ZL3" s="494"/>
      <c r="ZM3" s="494"/>
      <c r="ZN3" s="494"/>
      <c r="ZO3" s="494"/>
      <c r="ZP3" s="494"/>
      <c r="ZQ3" s="494"/>
      <c r="ZR3" s="494"/>
      <c r="ZS3" s="494"/>
      <c r="ZT3" s="494"/>
      <c r="ZU3" s="494"/>
      <c r="ZV3" s="494"/>
      <c r="ZW3" s="494"/>
      <c r="ZX3" s="494"/>
      <c r="ZY3" s="494"/>
      <c r="ZZ3" s="494"/>
      <c r="AAA3" s="494"/>
      <c r="AAB3" s="494"/>
      <c r="AAC3" s="494"/>
      <c r="AAD3" s="494"/>
      <c r="AAE3" s="494"/>
      <c r="AAF3" s="494"/>
      <c r="AAG3" s="494"/>
      <c r="AAH3" s="494"/>
      <c r="AAI3" s="494"/>
      <c r="AAJ3" s="494"/>
      <c r="AAK3" s="494"/>
      <c r="AAL3" s="494"/>
      <c r="AAM3" s="494"/>
      <c r="AAN3" s="494"/>
      <c r="AAO3" s="494"/>
      <c r="AAP3" s="494"/>
      <c r="AAQ3" s="494"/>
      <c r="AAR3" s="494"/>
      <c r="AAS3" s="494"/>
      <c r="AAT3" s="494"/>
      <c r="AAU3" s="494"/>
      <c r="AAV3" s="494"/>
      <c r="AAW3" s="494"/>
      <c r="AAX3" s="494"/>
      <c r="AAY3" s="494"/>
      <c r="AAZ3" s="494"/>
      <c r="ABA3" s="494"/>
      <c r="ABB3" s="494"/>
      <c r="ABC3" s="494"/>
      <c r="ABD3" s="494"/>
      <c r="ABE3" s="494"/>
      <c r="ABF3" s="494"/>
      <c r="ABG3" s="494"/>
      <c r="ABH3" s="494"/>
      <c r="ABI3" s="494"/>
      <c r="ABJ3" s="494"/>
      <c r="ABK3" s="494"/>
      <c r="ABL3" s="494"/>
      <c r="ABM3" s="494"/>
      <c r="ABN3" s="494"/>
      <c r="ABO3" s="494"/>
      <c r="ABP3" s="494"/>
      <c r="ABQ3" s="494"/>
      <c r="ABR3" s="494"/>
      <c r="ABS3" s="494"/>
      <c r="ABT3" s="494"/>
      <c r="ABU3" s="494"/>
      <c r="ABV3" s="494"/>
      <c r="ABW3" s="494"/>
      <c r="ABX3" s="494"/>
      <c r="ABY3" s="494"/>
      <c r="ABZ3" s="494"/>
      <c r="ACA3" s="494"/>
      <c r="ACB3" s="494"/>
      <c r="ACC3" s="494"/>
      <c r="ACD3" s="494"/>
      <c r="ACE3" s="494"/>
      <c r="ACF3" s="494"/>
      <c r="ACG3" s="494"/>
      <c r="ACH3" s="494"/>
      <c r="ACI3" s="494"/>
      <c r="ACJ3" s="494"/>
      <c r="ACK3" s="494"/>
      <c r="ACL3" s="494"/>
      <c r="ACM3" s="494"/>
      <c r="ACN3" s="494"/>
      <c r="ACO3" s="494"/>
      <c r="ACP3" s="494"/>
      <c r="ACQ3" s="494"/>
      <c r="ACR3" s="494"/>
      <c r="ACS3" s="494"/>
      <c r="ACT3" s="494"/>
      <c r="ACU3" s="494"/>
      <c r="ACV3" s="494"/>
      <c r="ACW3" s="494"/>
      <c r="ACX3" s="494"/>
      <c r="ACY3" s="494"/>
      <c r="ACZ3" s="494"/>
      <c r="ADA3" s="494"/>
      <c r="ADB3" s="494"/>
      <c r="ADC3" s="494"/>
      <c r="ADD3" s="494"/>
      <c r="ADE3" s="494"/>
      <c r="ADF3" s="494"/>
      <c r="ADG3" s="494"/>
      <c r="ADH3" s="494"/>
      <c r="ADI3" s="494"/>
      <c r="ADJ3" s="494"/>
      <c r="ADK3" s="494"/>
      <c r="ADL3" s="494"/>
      <c r="ADM3" s="494"/>
      <c r="ADN3" s="494"/>
      <c r="ADO3" s="494"/>
      <c r="ADP3" s="494"/>
      <c r="ADQ3" s="494"/>
      <c r="ADR3" s="494"/>
      <c r="ADS3" s="494"/>
      <c r="ADT3" s="494"/>
      <c r="ADU3" s="494"/>
      <c r="ADV3" s="494"/>
      <c r="ADW3" s="494"/>
      <c r="ADX3" s="494"/>
      <c r="ADY3" s="494"/>
      <c r="ADZ3" s="494"/>
      <c r="AEA3" s="494"/>
      <c r="AEB3" s="494"/>
      <c r="AEC3" s="494"/>
      <c r="AED3" s="494"/>
      <c r="AEE3" s="494"/>
      <c r="AEF3" s="494"/>
      <c r="AEG3" s="494"/>
      <c r="AEH3" s="494"/>
      <c r="AEI3" s="494"/>
      <c r="AEJ3" s="494"/>
      <c r="AEK3" s="494"/>
      <c r="AEL3" s="494"/>
      <c r="AEM3" s="494"/>
      <c r="AEN3" s="494"/>
      <c r="AEO3" s="494"/>
      <c r="AEP3" s="494"/>
      <c r="AEQ3" s="494"/>
      <c r="AER3" s="494"/>
      <c r="AES3" s="494"/>
      <c r="AET3" s="494"/>
      <c r="AEU3" s="494"/>
      <c r="AEV3" s="494"/>
      <c r="AEW3" s="494"/>
      <c r="AEX3" s="494"/>
      <c r="AEY3" s="494"/>
      <c r="AEZ3" s="494"/>
      <c r="AFA3" s="494"/>
      <c r="AFB3" s="494"/>
      <c r="AFC3" s="494"/>
      <c r="AFD3" s="494"/>
      <c r="AFE3" s="494"/>
      <c r="AFF3" s="494"/>
      <c r="AFG3" s="494"/>
      <c r="AFH3" s="494"/>
      <c r="AFI3" s="494"/>
      <c r="AFJ3" s="494"/>
      <c r="AFK3" s="494"/>
      <c r="AFL3" s="494"/>
      <c r="AFM3" s="494"/>
      <c r="AFN3" s="494"/>
      <c r="AFO3" s="494"/>
      <c r="AFP3" s="494"/>
      <c r="AFQ3" s="494"/>
      <c r="AFR3" s="494"/>
      <c r="AFS3" s="494"/>
      <c r="AFT3" s="494"/>
      <c r="AFU3" s="494"/>
      <c r="AFV3" s="494"/>
      <c r="AFW3" s="494"/>
      <c r="AFX3" s="494"/>
      <c r="AFY3" s="494"/>
      <c r="AFZ3" s="494"/>
      <c r="AGA3" s="494"/>
      <c r="AGB3" s="494"/>
      <c r="AGC3" s="494"/>
      <c r="AGD3" s="494"/>
      <c r="AGE3" s="494"/>
      <c r="AGF3" s="494"/>
      <c r="AGG3" s="494"/>
      <c r="AGH3" s="494"/>
      <c r="AGI3" s="494"/>
      <c r="AGJ3" s="494"/>
      <c r="AGK3" s="494"/>
      <c r="AGL3" s="494"/>
      <c r="AGM3" s="494"/>
      <c r="AGN3" s="494"/>
      <c r="AGO3" s="494"/>
      <c r="AGP3" s="494"/>
      <c r="AGQ3" s="494"/>
      <c r="AGR3" s="494"/>
      <c r="AGS3" s="494"/>
      <c r="AGT3" s="494"/>
      <c r="AGU3" s="494"/>
      <c r="AGV3" s="494"/>
      <c r="AGW3" s="494"/>
      <c r="AGX3" s="494"/>
      <c r="AGY3" s="494"/>
      <c r="AGZ3" s="494"/>
      <c r="AHA3" s="494"/>
      <c r="AHB3" s="494"/>
      <c r="AHC3" s="494"/>
      <c r="AHD3" s="494"/>
      <c r="AHE3" s="494"/>
      <c r="AHF3" s="494"/>
      <c r="AHG3" s="494"/>
      <c r="AHH3" s="494"/>
      <c r="AHI3" s="494"/>
      <c r="AHJ3" s="494"/>
      <c r="AHK3" s="494"/>
      <c r="AHL3" s="494"/>
      <c r="AHM3" s="494"/>
      <c r="AHN3" s="494"/>
      <c r="AHO3" s="494"/>
      <c r="AHP3" s="494"/>
      <c r="AHQ3" s="494"/>
      <c r="AHR3" s="494"/>
      <c r="AHS3" s="494"/>
      <c r="AHT3" s="494"/>
      <c r="AHU3" s="494"/>
      <c r="AHV3" s="494"/>
      <c r="AHW3" s="494"/>
      <c r="AHX3" s="494"/>
      <c r="AHY3" s="494"/>
      <c r="AHZ3" s="494"/>
      <c r="AIA3" s="494"/>
      <c r="AIB3" s="494"/>
      <c r="AIC3" s="494"/>
      <c r="AID3" s="494"/>
      <c r="AIE3" s="494"/>
      <c r="AIF3" s="494"/>
      <c r="AIG3" s="494"/>
      <c r="AIH3" s="494"/>
      <c r="AII3" s="494"/>
      <c r="AIJ3" s="494"/>
      <c r="AIK3" s="494"/>
      <c r="AIL3" s="494"/>
      <c r="AIM3" s="494"/>
      <c r="AIN3" s="494"/>
      <c r="AIO3" s="494"/>
      <c r="AIP3" s="494"/>
      <c r="AIQ3" s="494"/>
      <c r="AIR3" s="494"/>
      <c r="AIS3" s="494"/>
      <c r="AIT3" s="494"/>
      <c r="AIU3" s="494"/>
      <c r="AIV3" s="494"/>
      <c r="AIW3" s="494"/>
      <c r="AIX3" s="494"/>
      <c r="AIY3" s="494"/>
      <c r="AIZ3" s="494"/>
      <c r="AJA3" s="494"/>
      <c r="AJB3" s="494"/>
      <c r="AJC3" s="494"/>
      <c r="AJD3" s="494"/>
      <c r="AJE3" s="494"/>
      <c r="AJF3" s="494"/>
      <c r="AJG3" s="494"/>
      <c r="AJH3" s="494"/>
      <c r="AJI3" s="494"/>
      <c r="AJJ3" s="494"/>
      <c r="AJK3" s="494"/>
      <c r="AJL3" s="494"/>
      <c r="AJM3" s="494"/>
      <c r="AJN3" s="494"/>
      <c r="AJO3" s="494"/>
      <c r="AJP3" s="494"/>
      <c r="AJQ3" s="494"/>
      <c r="AJR3" s="494"/>
      <c r="AJS3" s="494"/>
      <c r="AJT3" s="494"/>
      <c r="AJU3" s="494"/>
      <c r="AJV3" s="494"/>
      <c r="AJW3" s="494"/>
      <c r="AJX3" s="494"/>
      <c r="AJY3" s="494"/>
      <c r="AJZ3" s="494"/>
      <c r="AKA3" s="494"/>
      <c r="AKB3" s="494"/>
      <c r="AKC3" s="494"/>
      <c r="AKD3" s="494"/>
      <c r="AKE3" s="494"/>
      <c r="AKF3" s="494"/>
      <c r="AKG3" s="494"/>
      <c r="AKH3" s="494"/>
      <c r="AKI3" s="494"/>
      <c r="AKJ3" s="494"/>
      <c r="AKK3" s="494"/>
      <c r="AKL3" s="494"/>
      <c r="AKM3" s="494"/>
      <c r="AKN3" s="494"/>
      <c r="AKO3" s="494"/>
      <c r="AKP3" s="494"/>
      <c r="AKQ3" s="494"/>
      <c r="AKR3" s="494"/>
      <c r="AKS3" s="494"/>
      <c r="AKT3" s="494"/>
      <c r="AKU3" s="494"/>
      <c r="AKV3" s="494"/>
      <c r="AKW3" s="494"/>
      <c r="AKX3" s="494"/>
      <c r="AKY3" s="494"/>
      <c r="AKZ3" s="494"/>
      <c r="ALA3" s="494"/>
      <c r="ALB3" s="494"/>
      <c r="ALC3" s="494"/>
      <c r="ALD3" s="494"/>
      <c r="ALE3" s="494"/>
      <c r="ALF3" s="494"/>
      <c r="ALG3" s="494"/>
      <c r="ALH3" s="494"/>
      <c r="ALI3" s="494"/>
      <c r="ALJ3" s="494"/>
      <c r="ALK3" s="494"/>
      <c r="ALL3" s="494"/>
      <c r="ALM3" s="494"/>
      <c r="ALN3" s="494"/>
      <c r="ALO3" s="494"/>
      <c r="ALP3" s="494"/>
      <c r="ALQ3" s="494"/>
      <c r="ALR3" s="494"/>
      <c r="ALS3" s="494"/>
      <c r="ALT3" s="494"/>
      <c r="ALU3" s="494"/>
      <c r="ALV3" s="494"/>
      <c r="ALW3" s="494"/>
      <c r="ALX3" s="494"/>
      <c r="ALY3" s="494"/>
      <c r="ALZ3" s="494"/>
      <c r="AMA3" s="494"/>
      <c r="AMB3" s="494"/>
      <c r="AMC3" s="494"/>
      <c r="AMD3" s="494"/>
      <c r="AME3" s="494"/>
      <c r="AMF3" s="494"/>
      <c r="AMG3" s="494"/>
      <c r="AMH3" s="494"/>
      <c r="AMI3" s="494"/>
      <c r="AMJ3" s="494"/>
      <c r="AMK3" s="494"/>
      <c r="AML3" s="494"/>
      <c r="AMM3" s="494"/>
      <c r="AMN3" s="494"/>
      <c r="AMO3" s="494"/>
      <c r="AMP3" s="494"/>
      <c r="AMQ3" s="494"/>
      <c r="AMR3" s="494"/>
      <c r="AMS3" s="494"/>
      <c r="AMT3" s="494"/>
      <c r="AMU3" s="494"/>
      <c r="AMV3" s="494"/>
      <c r="AMW3" s="494"/>
      <c r="AMX3" s="494"/>
      <c r="AMY3" s="494"/>
      <c r="AMZ3" s="494"/>
      <c r="ANA3" s="494"/>
      <c r="ANB3" s="494"/>
      <c r="ANC3" s="494"/>
      <c r="AND3" s="494"/>
      <c r="ANE3" s="494"/>
      <c r="ANF3" s="494"/>
      <c r="ANG3" s="494"/>
      <c r="ANH3" s="494"/>
      <c r="ANI3" s="494"/>
      <c r="ANJ3" s="494"/>
      <c r="ANK3" s="494"/>
      <c r="ANL3" s="494"/>
      <c r="ANM3" s="494"/>
      <c r="ANN3" s="494"/>
      <c r="ANO3" s="494"/>
      <c r="ANP3" s="494"/>
      <c r="ANQ3" s="494"/>
      <c r="ANR3" s="494"/>
      <c r="ANS3" s="494"/>
      <c r="ANT3" s="494"/>
      <c r="ANU3" s="494"/>
      <c r="ANV3" s="494"/>
      <c r="ANW3" s="494"/>
      <c r="ANX3" s="494"/>
      <c r="ANY3" s="494"/>
      <c r="ANZ3" s="494"/>
      <c r="AOA3" s="494"/>
      <c r="AOB3" s="494"/>
      <c r="AOC3" s="494"/>
      <c r="AOD3" s="494"/>
      <c r="AOE3" s="494"/>
      <c r="AOF3" s="494"/>
      <c r="AOG3" s="494"/>
      <c r="AOH3" s="494"/>
      <c r="AOI3" s="494"/>
      <c r="AOJ3" s="494"/>
      <c r="AOK3" s="494"/>
      <c r="AOL3" s="494"/>
      <c r="AOM3" s="494"/>
      <c r="AON3" s="494"/>
      <c r="AOO3" s="494"/>
      <c r="AOP3" s="494"/>
      <c r="AOQ3" s="494"/>
      <c r="AOR3" s="494"/>
      <c r="AOS3" s="494"/>
      <c r="AOT3" s="494"/>
      <c r="AOU3" s="494"/>
      <c r="AOV3" s="494"/>
      <c r="AOW3" s="494"/>
      <c r="AOX3" s="494"/>
      <c r="AOY3" s="494"/>
      <c r="AOZ3" s="494"/>
      <c r="APA3" s="494"/>
      <c r="APB3" s="494"/>
      <c r="APC3" s="494"/>
      <c r="APD3" s="494"/>
      <c r="APE3" s="494"/>
      <c r="APF3" s="494"/>
      <c r="APG3" s="494"/>
      <c r="APH3" s="494"/>
      <c r="API3" s="494"/>
      <c r="APJ3" s="494"/>
      <c r="APK3" s="494"/>
      <c r="APL3" s="494"/>
      <c r="APM3" s="494"/>
      <c r="APN3" s="494"/>
      <c r="APO3" s="494"/>
      <c r="APP3" s="494"/>
      <c r="APQ3" s="494"/>
      <c r="APR3" s="494"/>
      <c r="APS3" s="494"/>
      <c r="APT3" s="494"/>
      <c r="APU3" s="494"/>
      <c r="APV3" s="494"/>
      <c r="APW3" s="494"/>
      <c r="APX3" s="494"/>
      <c r="APY3" s="494"/>
      <c r="APZ3" s="494"/>
      <c r="AQA3" s="494"/>
      <c r="AQB3" s="494"/>
      <c r="AQC3" s="494"/>
      <c r="AQD3" s="494"/>
      <c r="AQE3" s="494"/>
      <c r="AQF3" s="494"/>
      <c r="AQG3" s="494"/>
      <c r="AQH3" s="494"/>
      <c r="AQI3" s="494"/>
      <c r="AQJ3" s="494"/>
      <c r="AQK3" s="494"/>
      <c r="AQL3" s="494"/>
      <c r="AQM3" s="494"/>
      <c r="AQN3" s="494"/>
      <c r="AQO3" s="494"/>
      <c r="AQP3" s="494"/>
      <c r="AQQ3" s="494"/>
      <c r="AQR3" s="494"/>
      <c r="AQS3" s="494"/>
      <c r="AQT3" s="494"/>
      <c r="AQU3" s="494"/>
      <c r="AQV3" s="494"/>
      <c r="AQW3" s="494"/>
      <c r="AQX3" s="494"/>
      <c r="AQY3" s="494"/>
      <c r="AQZ3" s="494"/>
      <c r="ARA3" s="494"/>
      <c r="ARB3" s="494"/>
      <c r="ARC3" s="494"/>
      <c r="ARD3" s="494"/>
      <c r="ARE3" s="494"/>
      <c r="ARF3" s="494"/>
      <c r="ARG3" s="494"/>
      <c r="ARH3" s="494"/>
      <c r="ARI3" s="494"/>
      <c r="ARJ3" s="494"/>
      <c r="ARK3" s="494"/>
      <c r="ARL3" s="494"/>
      <c r="ARM3" s="494"/>
      <c r="ARN3" s="494"/>
      <c r="ARO3" s="494"/>
      <c r="ARP3" s="494"/>
      <c r="ARQ3" s="494"/>
      <c r="ARR3" s="494"/>
      <c r="ARS3" s="494"/>
      <c r="ART3" s="494"/>
      <c r="ARU3" s="494"/>
      <c r="ARV3" s="494"/>
      <c r="ARW3" s="494"/>
      <c r="ARX3" s="494"/>
      <c r="ARY3" s="494"/>
      <c r="ARZ3" s="494"/>
      <c r="ASA3" s="494"/>
      <c r="ASB3" s="494"/>
      <c r="ASC3" s="494"/>
      <c r="ASD3" s="494"/>
      <c r="ASE3" s="494"/>
      <c r="ASF3" s="494"/>
      <c r="ASG3" s="494"/>
      <c r="ASH3" s="494"/>
      <c r="ASI3" s="494"/>
      <c r="ASJ3" s="494"/>
      <c r="ASK3" s="494"/>
      <c r="ASL3" s="494"/>
      <c r="ASM3" s="494"/>
      <c r="ASN3" s="494"/>
      <c r="ASO3" s="494"/>
      <c r="ASP3" s="494"/>
      <c r="ASQ3" s="494"/>
      <c r="ASR3" s="494"/>
      <c r="ASS3" s="494"/>
      <c r="AST3" s="494"/>
      <c r="ASU3" s="494"/>
      <c r="ASV3" s="494"/>
      <c r="ASW3" s="494"/>
      <c r="ASX3" s="494"/>
      <c r="ASY3" s="494"/>
      <c r="ASZ3" s="494"/>
      <c r="ATA3" s="494"/>
      <c r="ATB3" s="494"/>
      <c r="ATC3" s="494"/>
      <c r="ATD3" s="494"/>
      <c r="ATE3" s="494"/>
      <c r="ATF3" s="494"/>
      <c r="ATG3" s="494"/>
      <c r="ATH3" s="494"/>
      <c r="ATI3" s="494"/>
      <c r="ATJ3" s="494"/>
      <c r="ATK3" s="494"/>
      <c r="ATL3" s="494"/>
      <c r="ATM3" s="494"/>
      <c r="ATN3" s="494"/>
      <c r="ATO3" s="494"/>
      <c r="ATP3" s="494"/>
      <c r="ATQ3" s="494"/>
      <c r="ATR3" s="494"/>
      <c r="ATS3" s="494"/>
      <c r="ATT3" s="494"/>
      <c r="ATU3" s="494"/>
      <c r="ATV3" s="494"/>
      <c r="ATW3" s="494"/>
      <c r="ATX3" s="494"/>
      <c r="ATY3" s="494"/>
      <c r="ATZ3" s="494"/>
      <c r="AUA3" s="494"/>
      <c r="AUB3" s="494"/>
      <c r="AUC3" s="494"/>
      <c r="AUD3" s="494"/>
      <c r="AUE3" s="494"/>
      <c r="AUF3" s="494"/>
      <c r="AUG3" s="494"/>
      <c r="AUH3" s="494"/>
      <c r="AUI3" s="494"/>
      <c r="AUJ3" s="494"/>
      <c r="AUK3" s="494"/>
      <c r="AUL3" s="494"/>
      <c r="AUM3" s="494"/>
      <c r="AUN3" s="494"/>
      <c r="AUO3" s="494"/>
      <c r="AUP3" s="494"/>
      <c r="AUQ3" s="494"/>
      <c r="AUR3" s="494"/>
      <c r="AUS3" s="494"/>
      <c r="AUT3" s="494"/>
      <c r="AUU3" s="494"/>
      <c r="AUV3" s="494"/>
      <c r="AUW3" s="494"/>
      <c r="AUX3" s="494"/>
      <c r="AUY3" s="494"/>
      <c r="AUZ3" s="494"/>
      <c r="AVA3" s="494"/>
      <c r="AVB3" s="494"/>
      <c r="AVC3" s="494"/>
      <c r="AVD3" s="494"/>
      <c r="AVE3" s="494"/>
      <c r="AVF3" s="494"/>
      <c r="AVG3" s="494"/>
      <c r="AVH3" s="494"/>
      <c r="AVI3" s="494"/>
      <c r="AVJ3" s="494"/>
      <c r="AVK3" s="494"/>
      <c r="AVL3" s="494"/>
      <c r="AVM3" s="494"/>
      <c r="AVN3" s="494"/>
      <c r="AVO3" s="494"/>
      <c r="AVP3" s="494"/>
      <c r="AVQ3" s="494"/>
      <c r="AVR3" s="494"/>
      <c r="AVS3" s="494"/>
      <c r="AVT3" s="494"/>
      <c r="AVU3" s="494"/>
      <c r="AVV3" s="494"/>
      <c r="AVW3" s="494"/>
      <c r="AVX3" s="494"/>
      <c r="AVY3" s="494"/>
      <c r="AVZ3" s="494"/>
      <c r="AWA3" s="494"/>
      <c r="AWB3" s="494"/>
      <c r="AWC3" s="494"/>
      <c r="AWD3" s="494"/>
      <c r="AWE3" s="494"/>
      <c r="AWF3" s="494"/>
      <c r="AWG3" s="494"/>
      <c r="AWH3" s="494"/>
      <c r="AWI3" s="494"/>
      <c r="AWJ3" s="494"/>
      <c r="AWK3" s="494"/>
      <c r="AWL3" s="494"/>
      <c r="AWM3" s="494"/>
      <c r="AWN3" s="494"/>
      <c r="AWO3" s="494"/>
      <c r="AWP3" s="494"/>
      <c r="AWQ3" s="494"/>
      <c r="AWR3" s="494"/>
      <c r="AWS3" s="494"/>
      <c r="AWT3" s="494"/>
      <c r="AWU3" s="494"/>
      <c r="AWV3" s="494"/>
      <c r="AWW3" s="494"/>
      <c r="AWX3" s="494"/>
      <c r="AWY3" s="494"/>
      <c r="AWZ3" s="494"/>
      <c r="AXA3" s="494"/>
      <c r="AXB3" s="494"/>
      <c r="AXC3" s="494"/>
      <c r="AXD3" s="494"/>
      <c r="AXE3" s="494"/>
      <c r="AXF3" s="494"/>
      <c r="AXG3" s="494"/>
      <c r="AXH3" s="494"/>
      <c r="AXI3" s="494"/>
      <c r="AXJ3" s="494"/>
      <c r="AXK3" s="494"/>
      <c r="AXL3" s="494"/>
      <c r="AXM3" s="494"/>
      <c r="AXN3" s="494"/>
      <c r="AXO3" s="494"/>
      <c r="AXP3" s="494"/>
      <c r="AXQ3" s="494"/>
      <c r="AXR3" s="494"/>
      <c r="AXS3" s="494"/>
      <c r="AXT3" s="494"/>
      <c r="AXU3" s="494"/>
      <c r="AXV3" s="494"/>
      <c r="AXW3" s="494"/>
      <c r="AXX3" s="494"/>
      <c r="AXY3" s="494"/>
      <c r="AXZ3" s="494"/>
      <c r="AYA3" s="494"/>
      <c r="AYB3" s="494"/>
      <c r="AYC3" s="494"/>
      <c r="AYD3" s="494"/>
      <c r="AYE3" s="494"/>
      <c r="AYF3" s="494"/>
      <c r="AYG3" s="494"/>
      <c r="AYH3" s="494"/>
      <c r="AYI3" s="494"/>
      <c r="AYJ3" s="494"/>
      <c r="AYK3" s="494"/>
      <c r="AYL3" s="494"/>
      <c r="AYM3" s="494"/>
      <c r="AYN3" s="494"/>
      <c r="AYO3" s="494"/>
      <c r="AYP3" s="494"/>
      <c r="AYQ3" s="494"/>
      <c r="AYR3" s="494"/>
      <c r="AYS3" s="494"/>
      <c r="AYT3" s="494"/>
      <c r="AYU3" s="494"/>
      <c r="AYV3" s="494"/>
      <c r="AYW3" s="494"/>
      <c r="AYX3" s="494"/>
      <c r="AYY3" s="494"/>
      <c r="AYZ3" s="494"/>
      <c r="AZA3" s="494"/>
      <c r="AZB3" s="494"/>
      <c r="AZC3" s="494"/>
      <c r="AZD3" s="494"/>
      <c r="AZE3" s="494"/>
      <c r="AZF3" s="494"/>
      <c r="AZG3" s="494"/>
      <c r="AZH3" s="494"/>
      <c r="AZI3" s="494"/>
      <c r="AZJ3" s="494"/>
      <c r="AZK3" s="494"/>
      <c r="AZL3" s="494"/>
      <c r="AZM3" s="494"/>
      <c r="AZN3" s="494"/>
      <c r="AZO3" s="494"/>
      <c r="AZP3" s="494"/>
      <c r="AZQ3" s="494"/>
      <c r="AZR3" s="494"/>
      <c r="AZS3" s="494"/>
      <c r="AZT3" s="494"/>
      <c r="AZU3" s="494"/>
      <c r="AZV3" s="494"/>
      <c r="AZW3" s="494"/>
      <c r="AZX3" s="494"/>
      <c r="AZY3" s="494"/>
      <c r="AZZ3" s="494"/>
      <c r="BAA3" s="494"/>
      <c r="BAB3" s="494"/>
      <c r="BAC3" s="494"/>
      <c r="BAD3" s="494"/>
      <c r="BAE3" s="494"/>
      <c r="BAF3" s="494"/>
      <c r="BAG3" s="494"/>
      <c r="BAH3" s="494"/>
      <c r="BAI3" s="494"/>
      <c r="BAJ3" s="494"/>
      <c r="BAK3" s="494"/>
      <c r="BAL3" s="494"/>
      <c r="BAM3" s="494"/>
      <c r="BAN3" s="494"/>
      <c r="BAO3" s="494"/>
      <c r="BAP3" s="494"/>
      <c r="BAQ3" s="494"/>
      <c r="BAR3" s="494"/>
      <c r="BAS3" s="494"/>
      <c r="BAT3" s="494"/>
      <c r="BAU3" s="494"/>
      <c r="BAV3" s="494"/>
      <c r="BAW3" s="494"/>
      <c r="BAX3" s="494"/>
      <c r="BAY3" s="494"/>
      <c r="BAZ3" s="494"/>
      <c r="BBA3" s="494"/>
      <c r="BBB3" s="494"/>
      <c r="BBC3" s="494"/>
      <c r="BBD3" s="494"/>
      <c r="BBE3" s="494"/>
      <c r="BBF3" s="494"/>
      <c r="BBG3" s="494"/>
      <c r="BBH3" s="494"/>
      <c r="BBI3" s="494"/>
      <c r="BBJ3" s="494"/>
      <c r="BBK3" s="494"/>
      <c r="BBL3" s="494"/>
      <c r="BBM3" s="494"/>
      <c r="BBN3" s="494"/>
      <c r="BBO3" s="494"/>
      <c r="BBP3" s="494"/>
      <c r="BBQ3" s="494"/>
      <c r="BBR3" s="494"/>
      <c r="BBS3" s="494"/>
      <c r="BBT3" s="494"/>
      <c r="BBU3" s="494"/>
      <c r="BBV3" s="494"/>
      <c r="BBW3" s="494"/>
      <c r="BBX3" s="494"/>
      <c r="BBY3" s="494"/>
      <c r="BBZ3" s="494"/>
      <c r="BCA3" s="494"/>
      <c r="BCB3" s="494"/>
      <c r="BCC3" s="494"/>
      <c r="BCD3" s="494"/>
      <c r="BCE3" s="494"/>
      <c r="BCF3" s="494"/>
      <c r="BCG3" s="494"/>
      <c r="BCH3" s="494"/>
      <c r="BCI3" s="494"/>
      <c r="BCJ3" s="494"/>
      <c r="BCK3" s="494"/>
      <c r="BCL3" s="494"/>
      <c r="BCM3" s="494"/>
      <c r="BCN3" s="494"/>
      <c r="BCO3" s="494"/>
      <c r="BCP3" s="494"/>
      <c r="BCQ3" s="494"/>
      <c r="BCR3" s="494"/>
      <c r="BCS3" s="494"/>
      <c r="BCT3" s="494"/>
      <c r="BCU3" s="494"/>
      <c r="BCV3" s="494"/>
      <c r="BCW3" s="494"/>
      <c r="BCX3" s="494"/>
      <c r="BCY3" s="494"/>
      <c r="BCZ3" s="494"/>
      <c r="BDA3" s="494"/>
      <c r="BDB3" s="494"/>
      <c r="BDC3" s="494"/>
      <c r="BDD3" s="494"/>
      <c r="BDE3" s="494"/>
      <c r="BDF3" s="494"/>
      <c r="BDG3" s="494"/>
      <c r="BDH3" s="494"/>
      <c r="BDI3" s="494"/>
      <c r="BDJ3" s="494"/>
      <c r="BDK3" s="494"/>
      <c r="BDL3" s="494"/>
      <c r="BDM3" s="494"/>
      <c r="BDN3" s="494"/>
      <c r="BDO3" s="494"/>
      <c r="BDP3" s="494"/>
      <c r="BDQ3" s="494"/>
      <c r="BDR3" s="494"/>
      <c r="BDS3" s="494"/>
      <c r="BDT3" s="494"/>
      <c r="BDU3" s="494"/>
      <c r="BDV3" s="494"/>
      <c r="BDW3" s="494"/>
      <c r="BDX3" s="494"/>
      <c r="BDY3" s="494"/>
      <c r="BDZ3" s="494"/>
      <c r="BEA3" s="494"/>
      <c r="BEB3" s="494"/>
      <c r="BEC3" s="494"/>
      <c r="BED3" s="494"/>
      <c r="BEE3" s="494"/>
      <c r="BEF3" s="494"/>
      <c r="BEG3" s="494"/>
      <c r="BEH3" s="494"/>
      <c r="BEI3" s="494"/>
      <c r="BEJ3" s="494"/>
      <c r="BEK3" s="494"/>
      <c r="BEL3" s="494"/>
      <c r="BEM3" s="494"/>
      <c r="BEN3" s="494"/>
      <c r="BEO3" s="494"/>
      <c r="BEP3" s="494"/>
      <c r="BEQ3" s="494"/>
      <c r="BER3" s="494"/>
      <c r="BES3" s="494"/>
      <c r="BET3" s="494"/>
      <c r="BEU3" s="494"/>
      <c r="BEV3" s="494"/>
      <c r="BEW3" s="494"/>
      <c r="BEX3" s="494"/>
      <c r="BEY3" s="494"/>
      <c r="BEZ3" s="494"/>
      <c r="BFA3" s="494"/>
      <c r="BFB3" s="494"/>
      <c r="BFC3" s="494"/>
      <c r="BFD3" s="494"/>
      <c r="BFE3" s="494"/>
      <c r="BFF3" s="494"/>
      <c r="BFG3" s="494"/>
      <c r="BFH3" s="494"/>
      <c r="BFI3" s="494"/>
      <c r="BFJ3" s="494"/>
      <c r="BFK3" s="494"/>
      <c r="BFL3" s="494"/>
      <c r="BFM3" s="494"/>
      <c r="BFN3" s="494"/>
      <c r="BFO3" s="494"/>
      <c r="BFP3" s="494"/>
      <c r="BFQ3" s="494"/>
      <c r="BFR3" s="494"/>
      <c r="BFS3" s="494"/>
      <c r="BFT3" s="494"/>
      <c r="BFU3" s="494"/>
      <c r="BFV3" s="494"/>
      <c r="BFW3" s="494"/>
      <c r="BFX3" s="494"/>
      <c r="BFY3" s="494"/>
      <c r="BFZ3" s="494"/>
      <c r="BGA3" s="494"/>
      <c r="BGB3" s="494"/>
      <c r="BGC3" s="494"/>
      <c r="BGD3" s="494"/>
      <c r="BGE3" s="494"/>
      <c r="BGF3" s="494"/>
      <c r="BGG3" s="494"/>
      <c r="BGH3" s="494"/>
      <c r="BGI3" s="494"/>
      <c r="BGJ3" s="494"/>
      <c r="BGK3" s="494"/>
      <c r="BGL3" s="494"/>
      <c r="BGM3" s="494"/>
      <c r="BGN3" s="494"/>
      <c r="BGO3" s="494"/>
      <c r="BGP3" s="494"/>
      <c r="BGQ3" s="494"/>
      <c r="BGR3" s="494"/>
      <c r="BGS3" s="494"/>
      <c r="BGT3" s="494"/>
      <c r="BGU3" s="494"/>
      <c r="BGV3" s="494"/>
      <c r="BGW3" s="494"/>
      <c r="BGX3" s="494"/>
      <c r="BGY3" s="494"/>
      <c r="BGZ3" s="494"/>
      <c r="BHA3" s="494"/>
      <c r="BHB3" s="494"/>
      <c r="BHC3" s="494"/>
      <c r="BHD3" s="494"/>
      <c r="BHE3" s="494"/>
      <c r="BHF3" s="494"/>
      <c r="BHG3" s="494"/>
      <c r="BHH3" s="494"/>
      <c r="BHI3" s="494"/>
      <c r="BHJ3" s="494"/>
      <c r="BHK3" s="494"/>
      <c r="BHL3" s="494"/>
      <c r="BHM3" s="494"/>
      <c r="BHN3" s="494"/>
      <c r="BHO3" s="494"/>
      <c r="BHP3" s="494"/>
      <c r="BHQ3" s="494"/>
      <c r="BHR3" s="494"/>
      <c r="BHS3" s="494"/>
      <c r="BHT3" s="494"/>
      <c r="BHU3" s="494"/>
      <c r="BHV3" s="494"/>
      <c r="BHW3" s="494"/>
      <c r="BHX3" s="494"/>
      <c r="BHY3" s="494"/>
      <c r="BHZ3" s="494"/>
      <c r="BIA3" s="494"/>
      <c r="BIB3" s="494"/>
      <c r="BIC3" s="494"/>
      <c r="BID3" s="494"/>
      <c r="BIE3" s="494"/>
      <c r="BIF3" s="494"/>
      <c r="BIG3" s="494"/>
      <c r="BIH3" s="494"/>
      <c r="BII3" s="494"/>
      <c r="BIJ3" s="494"/>
      <c r="BIK3" s="494"/>
      <c r="BIL3" s="494"/>
      <c r="BIM3" s="494"/>
      <c r="BIN3" s="494"/>
      <c r="BIO3" s="494"/>
      <c r="BIP3" s="494"/>
      <c r="BIQ3" s="494"/>
      <c r="BIR3" s="494"/>
      <c r="BIS3" s="494"/>
      <c r="BIT3" s="494"/>
      <c r="BIU3" s="494"/>
      <c r="BIV3" s="494"/>
      <c r="BIW3" s="494"/>
      <c r="BIX3" s="494"/>
      <c r="BIY3" s="494"/>
      <c r="BIZ3" s="494"/>
      <c r="BJA3" s="494"/>
      <c r="BJB3" s="494"/>
      <c r="BJC3" s="494"/>
      <c r="BJD3" s="494"/>
      <c r="BJE3" s="494"/>
      <c r="BJF3" s="494"/>
      <c r="BJG3" s="494"/>
      <c r="BJH3" s="494"/>
      <c r="BJI3" s="494"/>
      <c r="BJJ3" s="494"/>
      <c r="BJK3" s="494"/>
      <c r="BJL3" s="494"/>
      <c r="BJM3" s="494"/>
      <c r="BJN3" s="494"/>
      <c r="BJO3" s="494"/>
      <c r="BJP3" s="494"/>
      <c r="BJQ3" s="494"/>
      <c r="BJR3" s="494"/>
      <c r="BJS3" s="494"/>
      <c r="BJT3" s="494"/>
      <c r="BJU3" s="494"/>
      <c r="BJV3" s="494"/>
      <c r="BJW3" s="494"/>
      <c r="BJX3" s="494"/>
      <c r="BJY3" s="494"/>
      <c r="BJZ3" s="494"/>
      <c r="BKA3" s="494"/>
      <c r="BKB3" s="494"/>
      <c r="BKC3" s="494"/>
      <c r="BKD3" s="494"/>
      <c r="BKE3" s="494"/>
      <c r="BKF3" s="494"/>
      <c r="BKG3" s="494"/>
      <c r="BKH3" s="494"/>
      <c r="BKI3" s="494"/>
      <c r="BKJ3" s="494"/>
      <c r="BKK3" s="494"/>
      <c r="BKL3" s="494"/>
      <c r="BKM3" s="494"/>
      <c r="BKN3" s="494"/>
      <c r="BKO3" s="494"/>
      <c r="BKP3" s="494"/>
      <c r="BKQ3" s="494"/>
      <c r="BKR3" s="494"/>
      <c r="BKS3" s="494"/>
      <c r="BKT3" s="494"/>
      <c r="BKU3" s="494"/>
      <c r="BKV3" s="494"/>
      <c r="BKW3" s="494"/>
      <c r="BKX3" s="494"/>
      <c r="BKY3" s="494"/>
      <c r="BKZ3" s="494"/>
      <c r="BLA3" s="494"/>
      <c r="BLB3" s="494"/>
      <c r="BLC3" s="494"/>
      <c r="BLD3" s="494"/>
      <c r="BLE3" s="494"/>
      <c r="BLF3" s="494"/>
      <c r="BLG3" s="494"/>
      <c r="BLH3" s="494"/>
      <c r="BLI3" s="494"/>
      <c r="BLJ3" s="494"/>
      <c r="BLK3" s="494"/>
      <c r="BLL3" s="494"/>
      <c r="BLM3" s="494"/>
      <c r="BLN3" s="494"/>
      <c r="BLO3" s="494"/>
      <c r="BLP3" s="494"/>
      <c r="BLQ3" s="494"/>
      <c r="BLR3" s="494"/>
      <c r="BLS3" s="494"/>
      <c r="BLT3" s="494"/>
      <c r="BLU3" s="494"/>
      <c r="BLV3" s="494"/>
      <c r="BLW3" s="494"/>
      <c r="BLX3" s="494"/>
      <c r="BLY3" s="494"/>
      <c r="BLZ3" s="494"/>
      <c r="BMA3" s="494"/>
      <c r="BMB3" s="494"/>
      <c r="BMC3" s="494"/>
      <c r="BMD3" s="494"/>
      <c r="BME3" s="494"/>
      <c r="BMF3" s="494"/>
      <c r="BMG3" s="494"/>
      <c r="BMH3" s="494"/>
      <c r="BMI3" s="494"/>
      <c r="BMJ3" s="494"/>
      <c r="BMK3" s="494"/>
      <c r="BML3" s="494"/>
      <c r="BMM3" s="494"/>
      <c r="BMN3" s="494"/>
      <c r="BMO3" s="494"/>
      <c r="BMP3" s="494"/>
      <c r="BMQ3" s="494"/>
      <c r="BMR3" s="494"/>
      <c r="BMS3" s="494"/>
      <c r="BMT3" s="494"/>
      <c r="BMU3" s="494"/>
      <c r="BMV3" s="494"/>
      <c r="BMW3" s="494"/>
      <c r="BMX3" s="494"/>
      <c r="BMY3" s="494"/>
      <c r="BMZ3" s="494"/>
      <c r="BNA3" s="494"/>
      <c r="BNB3" s="494"/>
      <c r="BNC3" s="494"/>
      <c r="BND3" s="494"/>
      <c r="BNE3" s="494"/>
      <c r="BNF3" s="494"/>
      <c r="BNG3" s="494"/>
      <c r="BNH3" s="494"/>
      <c r="BNI3" s="494"/>
      <c r="BNJ3" s="494"/>
      <c r="BNK3" s="494"/>
      <c r="BNL3" s="494"/>
      <c r="BNM3" s="494"/>
      <c r="BNN3" s="494"/>
      <c r="BNO3" s="494"/>
      <c r="BNP3" s="494"/>
      <c r="BNQ3" s="494"/>
      <c r="BNR3" s="494"/>
      <c r="BNS3" s="494"/>
      <c r="BNT3" s="494"/>
      <c r="BNU3" s="494"/>
      <c r="BNV3" s="494"/>
      <c r="BNW3" s="494"/>
      <c r="BNX3" s="494"/>
      <c r="BNY3" s="494"/>
      <c r="BNZ3" s="494"/>
      <c r="BOA3" s="494"/>
      <c r="BOB3" s="494"/>
      <c r="BOC3" s="494"/>
      <c r="BOD3" s="494"/>
      <c r="BOE3" s="494"/>
      <c r="BOF3" s="494"/>
      <c r="BOG3" s="494"/>
      <c r="BOH3" s="494"/>
      <c r="BOI3" s="494"/>
      <c r="BOJ3" s="494"/>
      <c r="BOK3" s="494"/>
      <c r="BOL3" s="494"/>
      <c r="BOM3" s="494"/>
      <c r="BON3" s="494"/>
      <c r="BOO3" s="494"/>
      <c r="BOP3" s="494"/>
      <c r="BOQ3" s="494"/>
      <c r="BOR3" s="494"/>
      <c r="BOS3" s="494"/>
      <c r="BOT3" s="494"/>
      <c r="BOU3" s="494"/>
      <c r="BOV3" s="494"/>
      <c r="BOW3" s="494"/>
      <c r="BOX3" s="494"/>
      <c r="BOY3" s="494"/>
      <c r="BOZ3" s="494"/>
      <c r="BPA3" s="494"/>
      <c r="BPB3" s="494"/>
      <c r="BPC3" s="494"/>
      <c r="BPD3" s="494"/>
      <c r="BPE3" s="494"/>
      <c r="BPF3" s="494"/>
      <c r="BPG3" s="494"/>
      <c r="BPH3" s="494"/>
      <c r="BPI3" s="494"/>
      <c r="BPJ3" s="494"/>
      <c r="BPK3" s="494"/>
      <c r="BPL3" s="494"/>
      <c r="BPM3" s="494"/>
      <c r="BPN3" s="494"/>
      <c r="BPO3" s="494"/>
      <c r="BPP3" s="494"/>
      <c r="BPQ3" s="494"/>
      <c r="BPR3" s="494"/>
      <c r="BPS3" s="494"/>
      <c r="BPT3" s="494"/>
      <c r="BPU3" s="494"/>
      <c r="BPV3" s="494"/>
      <c r="BPW3" s="494"/>
      <c r="BPX3" s="494"/>
      <c r="BPY3" s="494"/>
      <c r="BPZ3" s="494"/>
      <c r="BQA3" s="494"/>
      <c r="BQB3" s="494"/>
      <c r="BQC3" s="494"/>
      <c r="BQD3" s="494"/>
      <c r="BQE3" s="494"/>
      <c r="BQF3" s="494"/>
      <c r="BQG3" s="494"/>
      <c r="BQH3" s="494"/>
      <c r="BQI3" s="494"/>
      <c r="BQJ3" s="494"/>
      <c r="BQK3" s="494"/>
      <c r="BQL3" s="494"/>
      <c r="BQM3" s="494"/>
      <c r="BQN3" s="494"/>
      <c r="BQO3" s="494"/>
      <c r="BQP3" s="494"/>
      <c r="BQQ3" s="494"/>
      <c r="BQR3" s="494"/>
      <c r="BQS3" s="494"/>
      <c r="BQT3" s="494"/>
      <c r="BQU3" s="494"/>
      <c r="BQV3" s="494"/>
      <c r="BQW3" s="494"/>
      <c r="BQX3" s="494"/>
      <c r="BQY3" s="494"/>
      <c r="BQZ3" s="494"/>
      <c r="BRA3" s="494"/>
      <c r="BRB3" s="494"/>
      <c r="BRC3" s="494"/>
      <c r="BRD3" s="494"/>
      <c r="BRE3" s="494"/>
      <c r="BRF3" s="494"/>
      <c r="BRG3" s="494"/>
      <c r="BRH3" s="494"/>
      <c r="BRI3" s="494"/>
      <c r="BRJ3" s="494"/>
      <c r="BRK3" s="494"/>
      <c r="BRL3" s="494"/>
      <c r="BRM3" s="494"/>
      <c r="BRN3" s="494"/>
      <c r="BRO3" s="494"/>
      <c r="BRP3" s="494"/>
      <c r="BRQ3" s="494"/>
      <c r="BRR3" s="494"/>
      <c r="BRS3" s="494"/>
      <c r="BRT3" s="494"/>
      <c r="BRU3" s="494"/>
      <c r="BRV3" s="494"/>
      <c r="BRW3" s="494"/>
      <c r="BRX3" s="494"/>
      <c r="BRY3" s="494"/>
      <c r="BRZ3" s="494"/>
      <c r="BSA3" s="494"/>
      <c r="BSB3" s="494"/>
      <c r="BSC3" s="494"/>
      <c r="BSD3" s="494"/>
      <c r="BSE3" s="494"/>
      <c r="BSF3" s="494"/>
      <c r="BSG3" s="494"/>
      <c r="BSH3" s="494"/>
      <c r="BSI3" s="494"/>
      <c r="BSJ3" s="494"/>
      <c r="BSK3" s="494"/>
      <c r="BSL3" s="494"/>
      <c r="BSM3" s="494"/>
      <c r="BSN3" s="494"/>
      <c r="BSO3" s="494"/>
      <c r="BSP3" s="494"/>
      <c r="BSQ3" s="494"/>
      <c r="BSR3" s="494"/>
      <c r="BSS3" s="494"/>
      <c r="BST3" s="494"/>
      <c r="BSU3" s="494"/>
      <c r="BSV3" s="494"/>
      <c r="BSW3" s="494"/>
      <c r="BSX3" s="494"/>
      <c r="BSY3" s="494"/>
      <c r="BSZ3" s="494"/>
      <c r="BTA3" s="494"/>
      <c r="BTB3" s="494"/>
      <c r="BTC3" s="494"/>
      <c r="BTD3" s="494"/>
      <c r="BTE3" s="494"/>
      <c r="BTF3" s="494"/>
      <c r="BTG3" s="494"/>
      <c r="BTH3" s="494"/>
      <c r="BTI3" s="494"/>
      <c r="BTJ3" s="494"/>
      <c r="BTK3" s="494"/>
      <c r="BTL3" s="494"/>
      <c r="BTM3" s="494"/>
      <c r="BTN3" s="494"/>
      <c r="BTO3" s="494"/>
      <c r="BTP3" s="494"/>
      <c r="BTQ3" s="494"/>
      <c r="BTR3" s="494"/>
      <c r="BTS3" s="494"/>
      <c r="BTT3" s="494"/>
      <c r="BTU3" s="494"/>
      <c r="BTV3" s="494"/>
      <c r="BTW3" s="494"/>
      <c r="BTX3" s="494"/>
      <c r="BTY3" s="494"/>
      <c r="BTZ3" s="494"/>
      <c r="BUA3" s="494"/>
      <c r="BUB3" s="494"/>
      <c r="BUC3" s="494"/>
      <c r="BUD3" s="494"/>
      <c r="BUE3" s="494"/>
      <c r="BUF3" s="494"/>
      <c r="BUG3" s="494"/>
      <c r="BUH3" s="494"/>
      <c r="BUI3" s="494"/>
      <c r="BUJ3" s="494"/>
      <c r="BUK3" s="494"/>
      <c r="BUL3" s="494"/>
      <c r="BUM3" s="494"/>
      <c r="BUN3" s="494"/>
      <c r="BUO3" s="494"/>
      <c r="BUP3" s="494"/>
      <c r="BUQ3" s="494"/>
      <c r="BUR3" s="494"/>
      <c r="BUS3" s="494"/>
      <c r="BUT3" s="494"/>
      <c r="BUU3" s="494"/>
      <c r="BUV3" s="494"/>
      <c r="BUW3" s="494"/>
      <c r="BUX3" s="494"/>
      <c r="BUY3" s="494"/>
      <c r="BUZ3" s="494"/>
      <c r="BVA3" s="494"/>
      <c r="BVB3" s="494"/>
      <c r="BVC3" s="494"/>
      <c r="BVD3" s="494"/>
      <c r="BVE3" s="494"/>
      <c r="BVF3" s="494"/>
      <c r="BVG3" s="494"/>
      <c r="BVH3" s="494"/>
      <c r="BVI3" s="494"/>
      <c r="BVJ3" s="494"/>
      <c r="BVK3" s="494"/>
      <c r="BVL3" s="494"/>
      <c r="BVM3" s="494"/>
      <c r="BVN3" s="494"/>
      <c r="BVO3" s="494"/>
      <c r="BVP3" s="494"/>
      <c r="BVQ3" s="494"/>
      <c r="BVR3" s="494"/>
      <c r="BVS3" s="494"/>
      <c r="BVT3" s="494"/>
      <c r="BVU3" s="494"/>
      <c r="BVV3" s="494"/>
      <c r="BVW3" s="494"/>
      <c r="BVX3" s="494"/>
      <c r="BVY3" s="494"/>
      <c r="BVZ3" s="494"/>
      <c r="BWA3" s="494"/>
      <c r="BWB3" s="494"/>
      <c r="BWC3" s="494"/>
      <c r="BWD3" s="494"/>
      <c r="BWE3" s="494"/>
      <c r="BWF3" s="494"/>
      <c r="BWG3" s="494"/>
      <c r="BWH3" s="494"/>
      <c r="BWI3" s="494"/>
      <c r="BWJ3" s="494"/>
      <c r="BWK3" s="494"/>
      <c r="BWL3" s="494"/>
      <c r="BWM3" s="494"/>
      <c r="BWN3" s="494"/>
      <c r="BWO3" s="494"/>
      <c r="BWP3" s="494"/>
      <c r="BWQ3" s="494"/>
      <c r="BWR3" s="494"/>
      <c r="BWS3" s="494"/>
      <c r="BWT3" s="494"/>
      <c r="BWU3" s="494"/>
      <c r="BWV3" s="494"/>
      <c r="BWW3" s="494"/>
      <c r="BWX3" s="494"/>
      <c r="BWY3" s="494"/>
      <c r="BWZ3" s="494"/>
      <c r="BXA3" s="494"/>
      <c r="BXB3" s="494"/>
      <c r="BXC3" s="494"/>
      <c r="BXD3" s="494"/>
      <c r="BXE3" s="494"/>
      <c r="BXF3" s="494"/>
      <c r="BXG3" s="494"/>
      <c r="BXH3" s="494"/>
      <c r="BXI3" s="494"/>
      <c r="BXJ3" s="494"/>
      <c r="BXK3" s="494"/>
      <c r="BXL3" s="494"/>
      <c r="BXM3" s="494"/>
      <c r="BXN3" s="494"/>
      <c r="BXO3" s="494"/>
      <c r="BXP3" s="494"/>
      <c r="BXQ3" s="494"/>
      <c r="BXR3" s="494"/>
      <c r="BXS3" s="494"/>
      <c r="BXT3" s="494"/>
      <c r="BXU3" s="494"/>
      <c r="BXV3" s="494"/>
      <c r="BXW3" s="494"/>
      <c r="BXX3" s="494"/>
      <c r="BXY3" s="494"/>
      <c r="BXZ3" s="494"/>
      <c r="BYA3" s="494"/>
      <c r="BYB3" s="494"/>
      <c r="BYC3" s="494"/>
      <c r="BYD3" s="494"/>
      <c r="BYE3" s="494"/>
      <c r="BYF3" s="494"/>
      <c r="BYG3" s="494"/>
      <c r="BYH3" s="494"/>
      <c r="BYI3" s="494"/>
      <c r="BYJ3" s="494"/>
      <c r="BYK3" s="494"/>
      <c r="BYL3" s="494"/>
      <c r="BYM3" s="494"/>
      <c r="BYN3" s="494"/>
      <c r="BYO3" s="494"/>
      <c r="BYP3" s="494"/>
      <c r="BYQ3" s="494"/>
      <c r="BYR3" s="494"/>
      <c r="BYS3" s="494"/>
      <c r="BYT3" s="494"/>
      <c r="BYU3" s="494"/>
      <c r="BYV3" s="494"/>
      <c r="BYW3" s="494"/>
      <c r="BYX3" s="494"/>
      <c r="BYY3" s="494"/>
      <c r="BYZ3" s="494"/>
      <c r="BZA3" s="494"/>
      <c r="BZB3" s="494"/>
      <c r="BZC3" s="494"/>
      <c r="BZD3" s="494"/>
      <c r="BZE3" s="494"/>
      <c r="BZF3" s="494"/>
      <c r="BZG3" s="494"/>
      <c r="BZH3" s="494"/>
      <c r="BZI3" s="494"/>
      <c r="BZJ3" s="494"/>
      <c r="BZK3" s="494"/>
      <c r="BZL3" s="494"/>
      <c r="BZM3" s="494"/>
      <c r="BZN3" s="494"/>
      <c r="BZO3" s="494"/>
      <c r="BZP3" s="494"/>
      <c r="BZQ3" s="494"/>
      <c r="BZR3" s="494"/>
      <c r="BZS3" s="494"/>
      <c r="BZT3" s="494"/>
      <c r="BZU3" s="494"/>
      <c r="BZV3" s="494"/>
      <c r="BZW3" s="494"/>
      <c r="BZX3" s="494"/>
      <c r="BZY3" s="494"/>
      <c r="BZZ3" s="494"/>
      <c r="CAA3" s="494"/>
      <c r="CAB3" s="494"/>
      <c r="CAC3" s="494"/>
      <c r="CAD3" s="494"/>
      <c r="CAE3" s="494"/>
      <c r="CAF3" s="494"/>
      <c r="CAG3" s="494"/>
      <c r="CAH3" s="494"/>
      <c r="CAI3" s="494"/>
      <c r="CAJ3" s="494"/>
      <c r="CAK3" s="494"/>
      <c r="CAL3" s="494"/>
      <c r="CAM3" s="494"/>
      <c r="CAN3" s="494"/>
      <c r="CAO3" s="494"/>
      <c r="CAP3" s="494"/>
      <c r="CAQ3" s="494"/>
      <c r="CAR3" s="494"/>
      <c r="CAS3" s="494"/>
      <c r="CAT3" s="494"/>
      <c r="CAU3" s="494"/>
      <c r="CAV3" s="494"/>
      <c r="CAW3" s="494"/>
      <c r="CAX3" s="494"/>
      <c r="CAY3" s="494"/>
      <c r="CAZ3" s="494"/>
      <c r="CBA3" s="494"/>
      <c r="CBB3" s="494"/>
      <c r="CBC3" s="494"/>
      <c r="CBD3" s="494"/>
      <c r="CBE3" s="494"/>
      <c r="CBF3" s="494"/>
      <c r="CBG3" s="494"/>
      <c r="CBH3" s="494"/>
      <c r="CBI3" s="494"/>
      <c r="CBJ3" s="494"/>
      <c r="CBK3" s="494"/>
      <c r="CBL3" s="494"/>
      <c r="CBM3" s="494"/>
      <c r="CBN3" s="494"/>
      <c r="CBO3" s="494"/>
      <c r="CBP3" s="494"/>
      <c r="CBQ3" s="494"/>
      <c r="CBR3" s="494"/>
      <c r="CBS3" s="494"/>
      <c r="CBT3" s="494"/>
      <c r="CBU3" s="494"/>
      <c r="CBV3" s="494"/>
      <c r="CBW3" s="494"/>
      <c r="CBX3" s="494"/>
      <c r="CBY3" s="494"/>
      <c r="CBZ3" s="494"/>
      <c r="CCA3" s="494"/>
      <c r="CCB3" s="494"/>
      <c r="CCC3" s="494"/>
      <c r="CCD3" s="494"/>
      <c r="CCE3" s="494"/>
      <c r="CCF3" s="494"/>
      <c r="CCG3" s="494"/>
      <c r="CCH3" s="494"/>
      <c r="CCI3" s="494"/>
      <c r="CCJ3" s="494"/>
      <c r="CCK3" s="494"/>
      <c r="CCL3" s="494"/>
      <c r="CCM3" s="494"/>
      <c r="CCN3" s="494"/>
      <c r="CCO3" s="494"/>
      <c r="CCP3" s="494"/>
      <c r="CCQ3" s="494"/>
      <c r="CCR3" s="494"/>
      <c r="CCS3" s="494"/>
      <c r="CCT3" s="494"/>
      <c r="CCU3" s="494"/>
      <c r="CCV3" s="494"/>
      <c r="CCW3" s="494"/>
      <c r="CCX3" s="494"/>
      <c r="CCY3" s="494"/>
      <c r="CCZ3" s="494"/>
      <c r="CDA3" s="494"/>
      <c r="CDB3" s="494"/>
      <c r="CDC3" s="494"/>
      <c r="CDD3" s="494"/>
      <c r="CDE3" s="494"/>
      <c r="CDF3" s="494"/>
      <c r="CDG3" s="494"/>
      <c r="CDH3" s="494"/>
      <c r="CDI3" s="494"/>
      <c r="CDJ3" s="494"/>
      <c r="CDK3" s="494"/>
      <c r="CDL3" s="494"/>
      <c r="CDM3" s="494"/>
      <c r="CDN3" s="494"/>
      <c r="CDO3" s="494"/>
      <c r="CDP3" s="494"/>
      <c r="CDQ3" s="494"/>
      <c r="CDR3" s="494"/>
      <c r="CDS3" s="494"/>
      <c r="CDT3" s="494"/>
      <c r="CDU3" s="494"/>
      <c r="CDV3" s="494"/>
      <c r="CDW3" s="494"/>
      <c r="CDX3" s="494"/>
      <c r="CDY3" s="494"/>
      <c r="CDZ3" s="494"/>
      <c r="CEA3" s="494"/>
      <c r="CEB3" s="494"/>
      <c r="CEC3" s="494"/>
      <c r="CED3" s="494"/>
      <c r="CEE3" s="494"/>
      <c r="CEF3" s="494"/>
      <c r="CEG3" s="494"/>
      <c r="CEH3" s="494"/>
      <c r="CEI3" s="494"/>
      <c r="CEJ3" s="494"/>
      <c r="CEK3" s="494"/>
      <c r="CEL3" s="494"/>
      <c r="CEM3" s="494"/>
      <c r="CEN3" s="494"/>
      <c r="CEO3" s="494"/>
      <c r="CEP3" s="494"/>
      <c r="CEQ3" s="494"/>
      <c r="CER3" s="494"/>
      <c r="CES3" s="494"/>
      <c r="CET3" s="494"/>
      <c r="CEU3" s="494"/>
      <c r="CEV3" s="494"/>
      <c r="CEW3" s="494"/>
      <c r="CEX3" s="494"/>
      <c r="CEY3" s="494"/>
      <c r="CEZ3" s="494"/>
      <c r="CFA3" s="494"/>
      <c r="CFB3" s="494"/>
      <c r="CFC3" s="494"/>
      <c r="CFD3" s="494"/>
      <c r="CFE3" s="494"/>
      <c r="CFF3" s="494"/>
      <c r="CFG3" s="494"/>
      <c r="CFH3" s="494"/>
      <c r="CFI3" s="494"/>
      <c r="CFJ3" s="494"/>
      <c r="CFK3" s="494"/>
      <c r="CFL3" s="494"/>
      <c r="CFM3" s="494"/>
      <c r="CFN3" s="494"/>
      <c r="CFO3" s="494"/>
      <c r="CFP3" s="494"/>
      <c r="CFQ3" s="494"/>
      <c r="CFR3" s="494"/>
      <c r="CFS3" s="494"/>
      <c r="CFT3" s="494"/>
      <c r="CFU3" s="494"/>
      <c r="CFV3" s="494"/>
      <c r="CFW3" s="494"/>
      <c r="CFX3" s="494"/>
      <c r="CFY3" s="494"/>
      <c r="CFZ3" s="494"/>
      <c r="CGA3" s="494"/>
      <c r="CGB3" s="494"/>
      <c r="CGC3" s="494"/>
      <c r="CGD3" s="494"/>
      <c r="CGE3" s="494"/>
      <c r="CGF3" s="494"/>
      <c r="CGG3" s="494"/>
      <c r="CGH3" s="494"/>
      <c r="CGI3" s="494"/>
      <c r="CGJ3" s="494"/>
      <c r="CGK3" s="494"/>
      <c r="CGL3" s="494"/>
      <c r="CGM3" s="494"/>
      <c r="CGN3" s="494"/>
      <c r="CGO3" s="494"/>
      <c r="CGP3" s="494"/>
      <c r="CGQ3" s="494"/>
      <c r="CGR3" s="494"/>
      <c r="CGS3" s="494"/>
      <c r="CGT3" s="494"/>
      <c r="CGU3" s="494"/>
      <c r="CGV3" s="494"/>
      <c r="CGW3" s="494"/>
      <c r="CGX3" s="494"/>
      <c r="CGY3" s="494"/>
      <c r="CGZ3" s="494"/>
      <c r="CHA3" s="494"/>
      <c r="CHB3" s="494"/>
      <c r="CHC3" s="494"/>
      <c r="CHD3" s="494"/>
      <c r="CHE3" s="494"/>
      <c r="CHF3" s="494"/>
      <c r="CHG3" s="494"/>
      <c r="CHH3" s="494"/>
      <c r="CHI3" s="494"/>
      <c r="CHJ3" s="494"/>
      <c r="CHK3" s="494"/>
      <c r="CHL3" s="494"/>
      <c r="CHM3" s="494"/>
      <c r="CHN3" s="494"/>
      <c r="CHO3" s="494"/>
      <c r="CHP3" s="494"/>
      <c r="CHQ3" s="494"/>
      <c r="CHR3" s="494"/>
      <c r="CHS3" s="494"/>
      <c r="CHT3" s="494"/>
      <c r="CHU3" s="494"/>
      <c r="CHV3" s="494"/>
      <c r="CHW3" s="494"/>
      <c r="CHX3" s="494"/>
      <c r="CHY3" s="494"/>
      <c r="CHZ3" s="494"/>
      <c r="CIA3" s="494"/>
      <c r="CIB3" s="494"/>
      <c r="CIC3" s="494"/>
      <c r="CID3" s="494"/>
      <c r="CIE3" s="494"/>
      <c r="CIF3" s="494"/>
      <c r="CIG3" s="494"/>
      <c r="CIH3" s="494"/>
      <c r="CII3" s="494"/>
      <c r="CIJ3" s="494"/>
      <c r="CIK3" s="494"/>
      <c r="CIL3" s="494"/>
      <c r="CIM3" s="494"/>
      <c r="CIN3" s="494"/>
      <c r="CIO3" s="494"/>
      <c r="CIP3" s="494"/>
      <c r="CIQ3" s="494"/>
      <c r="CIR3" s="494"/>
      <c r="CIS3" s="494"/>
      <c r="CIT3" s="494"/>
      <c r="CIU3" s="494"/>
      <c r="CIV3" s="494"/>
      <c r="CIW3" s="494"/>
      <c r="CIX3" s="494"/>
      <c r="CIY3" s="494"/>
      <c r="CIZ3" s="494"/>
      <c r="CJA3" s="494"/>
      <c r="CJB3" s="494"/>
      <c r="CJC3" s="494"/>
      <c r="CJD3" s="494"/>
      <c r="CJE3" s="494"/>
      <c r="CJF3" s="494"/>
      <c r="CJG3" s="494"/>
      <c r="CJH3" s="494"/>
      <c r="CJI3" s="494"/>
      <c r="CJJ3" s="494"/>
      <c r="CJK3" s="494"/>
      <c r="CJL3" s="494"/>
      <c r="CJM3" s="494"/>
      <c r="CJN3" s="494"/>
      <c r="CJO3" s="494"/>
      <c r="CJP3" s="494"/>
      <c r="CJQ3" s="494"/>
      <c r="CJR3" s="494"/>
      <c r="CJS3" s="494"/>
      <c r="CJT3" s="494"/>
      <c r="CJU3" s="494"/>
      <c r="CJV3" s="494"/>
      <c r="CJW3" s="494"/>
      <c r="CJX3" s="494"/>
      <c r="CJY3" s="494"/>
      <c r="CJZ3" s="494"/>
      <c r="CKA3" s="494"/>
      <c r="CKB3" s="494"/>
      <c r="CKC3" s="494"/>
      <c r="CKD3" s="494"/>
      <c r="CKE3" s="494"/>
      <c r="CKF3" s="494"/>
      <c r="CKG3" s="494"/>
      <c r="CKH3" s="494"/>
      <c r="CKI3" s="494"/>
      <c r="CKJ3" s="494"/>
      <c r="CKK3" s="494"/>
      <c r="CKL3" s="494"/>
      <c r="CKM3" s="494"/>
      <c r="CKN3" s="494"/>
      <c r="CKO3" s="494"/>
      <c r="CKP3" s="494"/>
      <c r="CKQ3" s="494"/>
      <c r="CKR3" s="494"/>
      <c r="CKS3" s="494"/>
      <c r="CKT3" s="494"/>
      <c r="CKU3" s="494"/>
      <c r="CKV3" s="494"/>
      <c r="CKW3" s="494"/>
      <c r="CKX3" s="494"/>
      <c r="CKY3" s="494"/>
      <c r="CKZ3" s="494"/>
      <c r="CLA3" s="494"/>
      <c r="CLB3" s="494"/>
      <c r="CLC3" s="494"/>
      <c r="CLD3" s="494"/>
      <c r="CLE3" s="494"/>
      <c r="CLF3" s="494"/>
      <c r="CLG3" s="494"/>
      <c r="CLH3" s="494"/>
      <c r="CLI3" s="494"/>
      <c r="CLJ3" s="494"/>
      <c r="CLK3" s="494"/>
      <c r="CLL3" s="494"/>
      <c r="CLM3" s="494"/>
      <c r="CLN3" s="494"/>
      <c r="CLO3" s="494"/>
      <c r="CLP3" s="494"/>
      <c r="CLQ3" s="494"/>
      <c r="CLR3" s="494"/>
      <c r="CLS3" s="494"/>
      <c r="CLT3" s="494"/>
      <c r="CLU3" s="494"/>
      <c r="CLV3" s="494"/>
      <c r="CLW3" s="494"/>
      <c r="CLX3" s="494"/>
      <c r="CLY3" s="494"/>
      <c r="CLZ3" s="494"/>
      <c r="CMA3" s="494"/>
      <c r="CMB3" s="494"/>
      <c r="CMC3" s="494"/>
      <c r="CMD3" s="494"/>
      <c r="CME3" s="494"/>
      <c r="CMF3" s="494"/>
      <c r="CMG3" s="494"/>
      <c r="CMH3" s="494"/>
      <c r="CMI3" s="494"/>
      <c r="CMJ3" s="494"/>
      <c r="CMK3" s="494"/>
      <c r="CML3" s="494"/>
      <c r="CMM3" s="494"/>
      <c r="CMN3" s="494"/>
      <c r="CMO3" s="494"/>
      <c r="CMP3" s="494"/>
      <c r="CMQ3" s="494"/>
      <c r="CMR3" s="494"/>
      <c r="CMS3" s="494"/>
      <c r="CMT3" s="494"/>
      <c r="CMU3" s="494"/>
      <c r="CMV3" s="494"/>
      <c r="CMW3" s="494"/>
      <c r="CMX3" s="494"/>
      <c r="CMY3" s="494"/>
      <c r="CMZ3" s="494"/>
      <c r="CNA3" s="494"/>
      <c r="CNB3" s="494"/>
      <c r="CNC3" s="494"/>
      <c r="CND3" s="494"/>
      <c r="CNE3" s="494"/>
      <c r="CNF3" s="494"/>
      <c r="CNG3" s="494"/>
      <c r="CNH3" s="494"/>
      <c r="CNI3" s="494"/>
      <c r="CNJ3" s="494"/>
      <c r="CNK3" s="494"/>
      <c r="CNL3" s="494"/>
      <c r="CNM3" s="494"/>
      <c r="CNN3" s="494"/>
      <c r="CNO3" s="494"/>
      <c r="CNP3" s="494"/>
      <c r="CNQ3" s="494"/>
      <c r="CNR3" s="494"/>
      <c r="CNS3" s="494"/>
      <c r="CNT3" s="494"/>
      <c r="CNU3" s="494"/>
      <c r="CNV3" s="494"/>
      <c r="CNW3" s="494"/>
      <c r="CNX3" s="494"/>
      <c r="CNY3" s="494"/>
      <c r="CNZ3" s="494"/>
      <c r="COA3" s="494"/>
      <c r="COB3" s="494"/>
      <c r="COC3" s="494"/>
      <c r="COD3" s="494"/>
      <c r="COE3" s="494"/>
      <c r="COF3" s="494"/>
      <c r="COG3" s="494"/>
      <c r="COH3" s="494"/>
      <c r="COI3" s="494"/>
      <c r="COJ3" s="494"/>
      <c r="COK3" s="494"/>
      <c r="COL3" s="494"/>
      <c r="COM3" s="494"/>
      <c r="CON3" s="494"/>
      <c r="COO3" s="494"/>
      <c r="COP3" s="494"/>
      <c r="COQ3" s="494"/>
      <c r="COR3" s="494"/>
      <c r="COS3" s="494"/>
      <c r="COT3" s="494"/>
      <c r="COU3" s="494"/>
      <c r="COV3" s="494"/>
      <c r="COW3" s="494"/>
      <c r="COX3" s="494"/>
      <c r="COY3" s="494"/>
      <c r="COZ3" s="494"/>
      <c r="CPA3" s="494"/>
      <c r="CPB3" s="494"/>
      <c r="CPC3" s="494"/>
      <c r="CPD3" s="494"/>
      <c r="CPE3" s="494"/>
      <c r="CPF3" s="494"/>
      <c r="CPG3" s="494"/>
      <c r="CPH3" s="494"/>
      <c r="CPI3" s="494"/>
      <c r="CPJ3" s="494"/>
      <c r="CPK3" s="494"/>
      <c r="CPL3" s="494"/>
      <c r="CPM3" s="494"/>
      <c r="CPN3" s="494"/>
      <c r="CPO3" s="494"/>
      <c r="CPP3" s="494"/>
      <c r="CPQ3" s="494"/>
      <c r="CPR3" s="494"/>
      <c r="CPS3" s="494"/>
      <c r="CPT3" s="494"/>
      <c r="CPU3" s="494"/>
      <c r="CPV3" s="494"/>
      <c r="CPW3" s="494"/>
      <c r="CPX3" s="494"/>
      <c r="CPY3" s="494"/>
      <c r="CPZ3" s="494"/>
      <c r="CQA3" s="494"/>
      <c r="CQB3" s="494"/>
      <c r="CQC3" s="494"/>
      <c r="CQD3" s="494"/>
      <c r="CQE3" s="494"/>
      <c r="CQF3" s="494"/>
      <c r="CQG3" s="494"/>
      <c r="CQH3" s="494"/>
      <c r="CQI3" s="494"/>
      <c r="CQJ3" s="494"/>
      <c r="CQK3" s="494"/>
      <c r="CQL3" s="494"/>
      <c r="CQM3" s="494"/>
      <c r="CQN3" s="494"/>
      <c r="CQO3" s="494"/>
      <c r="CQP3" s="494"/>
      <c r="CQQ3" s="494"/>
      <c r="CQR3" s="494"/>
      <c r="CQS3" s="494"/>
      <c r="CQT3" s="494"/>
      <c r="CQU3" s="494"/>
      <c r="CQV3" s="494"/>
      <c r="CQW3" s="494"/>
      <c r="CQX3" s="494"/>
      <c r="CQY3" s="494"/>
      <c r="CQZ3" s="494"/>
      <c r="CRA3" s="494"/>
      <c r="CRB3" s="494"/>
      <c r="CRC3" s="494"/>
      <c r="CRD3" s="494"/>
      <c r="CRE3" s="494"/>
      <c r="CRF3" s="494"/>
      <c r="CRG3" s="494"/>
      <c r="CRH3" s="494"/>
      <c r="CRI3" s="494"/>
      <c r="CRJ3" s="494"/>
      <c r="CRK3" s="494"/>
      <c r="CRL3" s="494"/>
      <c r="CRM3" s="494"/>
      <c r="CRN3" s="494"/>
      <c r="CRO3" s="494"/>
      <c r="CRP3" s="494"/>
      <c r="CRQ3" s="494"/>
      <c r="CRR3" s="494"/>
      <c r="CRS3" s="494"/>
      <c r="CRT3" s="494"/>
      <c r="CRU3" s="494"/>
      <c r="CRV3" s="494"/>
      <c r="CRW3" s="494"/>
      <c r="CRX3" s="494"/>
      <c r="CRY3" s="494"/>
      <c r="CRZ3" s="494"/>
      <c r="CSA3" s="494"/>
      <c r="CSB3" s="494"/>
      <c r="CSC3" s="494"/>
      <c r="CSD3" s="494"/>
      <c r="CSE3" s="494"/>
      <c r="CSF3" s="494"/>
      <c r="CSG3" s="494"/>
      <c r="CSH3" s="494"/>
      <c r="CSI3" s="494"/>
      <c r="CSJ3" s="494"/>
      <c r="CSK3" s="494"/>
      <c r="CSL3" s="494"/>
      <c r="CSM3" s="494"/>
      <c r="CSN3" s="494"/>
      <c r="CSO3" s="494"/>
      <c r="CSP3" s="494"/>
      <c r="CSQ3" s="494"/>
      <c r="CSR3" s="494"/>
      <c r="CSS3" s="494"/>
      <c r="CST3" s="494"/>
      <c r="CSU3" s="494"/>
      <c r="CSV3" s="494"/>
      <c r="CSW3" s="494"/>
      <c r="CSX3" s="494"/>
      <c r="CSY3" s="494"/>
      <c r="CSZ3" s="494"/>
      <c r="CTA3" s="494"/>
      <c r="CTB3" s="494"/>
      <c r="CTC3" s="494"/>
      <c r="CTD3" s="494"/>
      <c r="CTE3" s="494"/>
      <c r="CTF3" s="494"/>
      <c r="CTG3" s="494"/>
      <c r="CTH3" s="494"/>
      <c r="CTI3" s="494"/>
      <c r="CTJ3" s="494"/>
      <c r="CTK3" s="494"/>
      <c r="CTL3" s="494"/>
      <c r="CTM3" s="494"/>
      <c r="CTN3" s="494"/>
      <c r="CTO3" s="494"/>
      <c r="CTP3" s="494"/>
      <c r="CTQ3" s="494"/>
      <c r="CTR3" s="494"/>
      <c r="CTS3" s="494"/>
      <c r="CTT3" s="494"/>
      <c r="CTU3" s="494"/>
      <c r="CTV3" s="494"/>
      <c r="CTW3" s="494"/>
      <c r="CTX3" s="494"/>
      <c r="CTY3" s="494"/>
      <c r="CTZ3" s="494"/>
      <c r="CUA3" s="494"/>
      <c r="CUB3" s="494"/>
      <c r="CUC3" s="494"/>
      <c r="CUD3" s="494"/>
      <c r="CUE3" s="494"/>
      <c r="CUF3" s="494"/>
      <c r="CUG3" s="494"/>
      <c r="CUH3" s="494"/>
      <c r="CUI3" s="494"/>
      <c r="CUJ3" s="494"/>
      <c r="CUK3" s="494"/>
      <c r="CUL3" s="494"/>
      <c r="CUM3" s="494"/>
      <c r="CUN3" s="494"/>
      <c r="CUO3" s="494"/>
      <c r="CUP3" s="494"/>
      <c r="CUQ3" s="494"/>
      <c r="CUR3" s="494"/>
      <c r="CUS3" s="494"/>
      <c r="CUT3" s="494"/>
      <c r="CUU3" s="494"/>
      <c r="CUV3" s="494"/>
      <c r="CUW3" s="494"/>
      <c r="CUX3" s="494"/>
      <c r="CUY3" s="494"/>
      <c r="CUZ3" s="494"/>
      <c r="CVA3" s="494"/>
      <c r="CVB3" s="494"/>
      <c r="CVC3" s="494"/>
      <c r="CVD3" s="494"/>
      <c r="CVE3" s="494"/>
      <c r="CVF3" s="494"/>
      <c r="CVG3" s="494"/>
      <c r="CVH3" s="494"/>
      <c r="CVI3" s="494"/>
      <c r="CVJ3" s="494"/>
      <c r="CVK3" s="494"/>
      <c r="CVL3" s="494"/>
      <c r="CVM3" s="494"/>
      <c r="CVN3" s="494"/>
      <c r="CVO3" s="494"/>
      <c r="CVP3" s="494"/>
      <c r="CVQ3" s="494"/>
      <c r="CVR3" s="494"/>
      <c r="CVS3" s="494"/>
      <c r="CVT3" s="494"/>
      <c r="CVU3" s="494"/>
      <c r="CVV3" s="494"/>
      <c r="CVW3" s="494"/>
      <c r="CVX3" s="494"/>
      <c r="CVY3" s="494"/>
      <c r="CVZ3" s="494"/>
      <c r="CWA3" s="494"/>
      <c r="CWB3" s="494"/>
      <c r="CWC3" s="494"/>
      <c r="CWD3" s="494"/>
      <c r="CWE3" s="494"/>
      <c r="CWF3" s="494"/>
      <c r="CWG3" s="494"/>
      <c r="CWH3" s="494"/>
      <c r="CWI3" s="494"/>
      <c r="CWJ3" s="494"/>
      <c r="CWK3" s="494"/>
      <c r="CWL3" s="494"/>
      <c r="CWM3" s="494"/>
      <c r="CWN3" s="494"/>
      <c r="CWO3" s="494"/>
      <c r="CWP3" s="494"/>
      <c r="CWQ3" s="494"/>
      <c r="CWR3" s="494"/>
      <c r="CWS3" s="494"/>
      <c r="CWT3" s="494"/>
      <c r="CWU3" s="494"/>
      <c r="CWV3" s="494"/>
      <c r="CWW3" s="494"/>
      <c r="CWX3" s="494"/>
      <c r="CWY3" s="494"/>
      <c r="CWZ3" s="494"/>
      <c r="CXA3" s="494"/>
      <c r="CXB3" s="494"/>
      <c r="CXC3" s="494"/>
      <c r="CXD3" s="494"/>
      <c r="CXE3" s="494"/>
      <c r="CXF3" s="494"/>
      <c r="CXG3" s="494"/>
      <c r="CXH3" s="494"/>
      <c r="CXI3" s="494"/>
      <c r="CXJ3" s="494"/>
      <c r="CXK3" s="494"/>
      <c r="CXL3" s="494"/>
      <c r="CXM3" s="494"/>
      <c r="CXN3" s="494"/>
      <c r="CXO3" s="494"/>
      <c r="CXP3" s="494"/>
      <c r="CXQ3" s="494"/>
      <c r="CXR3" s="494"/>
      <c r="CXS3" s="494"/>
      <c r="CXT3" s="494"/>
      <c r="CXU3" s="494"/>
      <c r="CXV3" s="494"/>
      <c r="CXW3" s="494"/>
      <c r="CXX3" s="494"/>
      <c r="CXY3" s="494"/>
      <c r="CXZ3" s="494"/>
      <c r="CYA3" s="494"/>
      <c r="CYB3" s="494"/>
      <c r="CYC3" s="494"/>
      <c r="CYD3" s="494"/>
      <c r="CYE3" s="494"/>
      <c r="CYF3" s="494"/>
      <c r="CYG3" s="494"/>
      <c r="CYH3" s="494"/>
      <c r="CYI3" s="494"/>
      <c r="CYJ3" s="494"/>
      <c r="CYK3" s="494"/>
      <c r="CYL3" s="494"/>
      <c r="CYM3" s="494"/>
      <c r="CYN3" s="494"/>
      <c r="CYO3" s="494"/>
      <c r="CYP3" s="494"/>
      <c r="CYQ3" s="494"/>
      <c r="CYR3" s="494"/>
      <c r="CYS3" s="494"/>
      <c r="CYT3" s="494"/>
      <c r="CYU3" s="494"/>
      <c r="CYV3" s="494"/>
      <c r="CYW3" s="494"/>
      <c r="CYX3" s="494"/>
      <c r="CYY3" s="494"/>
      <c r="CYZ3" s="494"/>
      <c r="CZA3" s="494"/>
      <c r="CZB3" s="494"/>
      <c r="CZC3" s="494"/>
      <c r="CZD3" s="494"/>
      <c r="CZE3" s="494"/>
      <c r="CZF3" s="494"/>
      <c r="CZG3" s="494"/>
      <c r="CZH3" s="494"/>
      <c r="CZI3" s="494"/>
      <c r="CZJ3" s="494"/>
      <c r="CZK3" s="494"/>
      <c r="CZL3" s="494"/>
      <c r="CZM3" s="494"/>
      <c r="CZN3" s="494"/>
      <c r="CZO3" s="494"/>
      <c r="CZP3" s="494"/>
      <c r="CZQ3" s="494"/>
      <c r="CZR3" s="494"/>
      <c r="CZS3" s="494"/>
      <c r="CZT3" s="494"/>
      <c r="CZU3" s="494"/>
      <c r="CZV3" s="494"/>
      <c r="CZW3" s="494"/>
      <c r="CZX3" s="494"/>
      <c r="CZY3" s="494"/>
      <c r="CZZ3" s="494"/>
      <c r="DAA3" s="494"/>
      <c r="DAB3" s="494"/>
      <c r="DAC3" s="494"/>
      <c r="DAD3" s="494"/>
      <c r="DAE3" s="494"/>
      <c r="DAF3" s="494"/>
      <c r="DAG3" s="494"/>
      <c r="DAH3" s="494"/>
      <c r="DAI3" s="494"/>
      <c r="DAJ3" s="494"/>
      <c r="DAK3" s="494"/>
      <c r="DAL3" s="494"/>
      <c r="DAM3" s="494"/>
      <c r="DAN3" s="494"/>
      <c r="DAO3" s="494"/>
      <c r="DAP3" s="494"/>
      <c r="DAQ3" s="494"/>
      <c r="DAR3" s="494"/>
      <c r="DAS3" s="494"/>
      <c r="DAT3" s="494"/>
      <c r="DAU3" s="494"/>
      <c r="DAV3" s="494"/>
      <c r="DAW3" s="494"/>
      <c r="DAX3" s="494"/>
      <c r="DAY3" s="494"/>
      <c r="DAZ3" s="494"/>
      <c r="DBA3" s="494"/>
      <c r="DBB3" s="494"/>
      <c r="DBC3" s="494"/>
      <c r="DBD3" s="494"/>
      <c r="DBE3" s="494"/>
      <c r="DBF3" s="494"/>
      <c r="DBG3" s="494"/>
      <c r="DBH3" s="494"/>
      <c r="DBI3" s="494"/>
      <c r="DBJ3" s="494"/>
      <c r="DBK3" s="494"/>
      <c r="DBL3" s="494"/>
      <c r="DBM3" s="494"/>
      <c r="DBN3" s="494"/>
      <c r="DBO3" s="494"/>
      <c r="DBP3" s="494"/>
      <c r="DBQ3" s="494"/>
      <c r="DBR3" s="494"/>
      <c r="DBS3" s="494"/>
      <c r="DBT3" s="494"/>
      <c r="DBU3" s="494"/>
      <c r="DBV3" s="494"/>
      <c r="DBW3" s="494"/>
      <c r="DBX3" s="494"/>
      <c r="DBY3" s="494"/>
      <c r="DBZ3" s="494"/>
      <c r="DCA3" s="494"/>
      <c r="DCB3" s="494"/>
      <c r="DCC3" s="494"/>
      <c r="DCD3" s="494"/>
      <c r="DCE3" s="494"/>
      <c r="DCF3" s="494"/>
      <c r="DCG3" s="494"/>
      <c r="DCH3" s="494"/>
      <c r="DCI3" s="494"/>
      <c r="DCJ3" s="494"/>
      <c r="DCK3" s="494"/>
      <c r="DCL3" s="494"/>
      <c r="DCM3" s="494"/>
      <c r="DCN3" s="494"/>
      <c r="DCO3" s="494"/>
      <c r="DCP3" s="494"/>
      <c r="DCQ3" s="494"/>
      <c r="DCR3" s="494"/>
      <c r="DCS3" s="494"/>
      <c r="DCT3" s="494"/>
      <c r="DCU3" s="494"/>
      <c r="DCV3" s="494"/>
      <c r="DCW3" s="494"/>
      <c r="DCX3" s="494"/>
      <c r="DCY3" s="494"/>
      <c r="DCZ3" s="494"/>
      <c r="DDA3" s="494"/>
      <c r="DDB3" s="494"/>
      <c r="DDC3" s="494"/>
      <c r="DDD3" s="494"/>
      <c r="DDE3" s="494"/>
      <c r="DDF3" s="494"/>
      <c r="DDG3" s="494"/>
      <c r="DDH3" s="494"/>
      <c r="DDI3" s="494"/>
      <c r="DDJ3" s="494"/>
      <c r="DDK3" s="494"/>
      <c r="DDL3" s="494"/>
      <c r="DDM3" s="494"/>
      <c r="DDN3" s="494"/>
      <c r="DDO3" s="494"/>
      <c r="DDP3" s="494"/>
      <c r="DDQ3" s="494"/>
      <c r="DDR3" s="494"/>
      <c r="DDS3" s="494"/>
      <c r="DDT3" s="494"/>
      <c r="DDU3" s="494"/>
      <c r="DDV3" s="494"/>
      <c r="DDW3" s="494"/>
      <c r="DDX3" s="494"/>
      <c r="DDY3" s="494"/>
      <c r="DDZ3" s="494"/>
      <c r="DEA3" s="494"/>
      <c r="DEB3" s="494"/>
      <c r="DEC3" s="494"/>
      <c r="DED3" s="494"/>
      <c r="DEE3" s="494"/>
      <c r="DEF3" s="494"/>
      <c r="DEG3" s="494"/>
      <c r="DEH3" s="494"/>
      <c r="DEI3" s="494"/>
      <c r="DEJ3" s="494"/>
      <c r="DEK3" s="494"/>
      <c r="DEL3" s="494"/>
      <c r="DEM3" s="494"/>
      <c r="DEN3" s="494"/>
      <c r="DEO3" s="494"/>
      <c r="DEP3" s="494"/>
      <c r="DEQ3" s="494"/>
      <c r="DER3" s="494"/>
      <c r="DES3" s="494"/>
      <c r="DET3" s="494"/>
      <c r="DEU3" s="494"/>
      <c r="DEV3" s="494"/>
      <c r="DEW3" s="494"/>
      <c r="DEX3" s="494"/>
      <c r="DEY3" s="494"/>
      <c r="DEZ3" s="494"/>
      <c r="DFA3" s="494"/>
      <c r="DFB3" s="494"/>
      <c r="DFC3" s="494"/>
      <c r="DFD3" s="494"/>
      <c r="DFE3" s="494"/>
      <c r="DFF3" s="494"/>
      <c r="DFG3" s="494"/>
      <c r="DFH3" s="494"/>
      <c r="DFI3" s="494"/>
      <c r="DFJ3" s="494"/>
      <c r="DFK3" s="494"/>
      <c r="DFL3" s="494"/>
      <c r="DFM3" s="494"/>
      <c r="DFN3" s="494"/>
      <c r="DFO3" s="494"/>
      <c r="DFP3" s="494"/>
      <c r="DFQ3" s="494"/>
      <c r="DFR3" s="494"/>
      <c r="DFS3" s="494"/>
      <c r="DFT3" s="494"/>
      <c r="DFU3" s="494"/>
      <c r="DFV3" s="494"/>
      <c r="DFW3" s="494"/>
      <c r="DFX3" s="494"/>
      <c r="DFY3" s="494"/>
      <c r="DFZ3" s="494"/>
      <c r="DGA3" s="494"/>
      <c r="DGB3" s="494"/>
      <c r="DGC3" s="494"/>
      <c r="DGD3" s="494"/>
      <c r="DGE3" s="494"/>
      <c r="DGF3" s="494"/>
      <c r="DGG3" s="494"/>
      <c r="DGH3" s="494"/>
      <c r="DGI3" s="494"/>
      <c r="DGJ3" s="494"/>
      <c r="DGK3" s="494"/>
      <c r="DGL3" s="494"/>
      <c r="DGM3" s="494"/>
      <c r="DGN3" s="494"/>
      <c r="DGO3" s="494"/>
      <c r="DGP3" s="494"/>
      <c r="DGQ3" s="494"/>
      <c r="DGR3" s="494"/>
      <c r="DGS3" s="494"/>
      <c r="DGT3" s="494"/>
      <c r="DGU3" s="494"/>
      <c r="DGV3" s="494"/>
      <c r="DGW3" s="494"/>
      <c r="DGX3" s="494"/>
      <c r="DGY3" s="494"/>
      <c r="DGZ3" s="494"/>
      <c r="DHA3" s="494"/>
      <c r="DHB3" s="494"/>
      <c r="DHC3" s="494"/>
      <c r="DHD3" s="494"/>
      <c r="DHE3" s="494"/>
      <c r="DHF3" s="494"/>
      <c r="DHG3" s="494"/>
      <c r="DHH3" s="494"/>
      <c r="DHI3" s="494"/>
      <c r="DHJ3" s="494"/>
      <c r="DHK3" s="494"/>
      <c r="DHL3" s="494"/>
      <c r="DHM3" s="494"/>
      <c r="DHN3" s="494"/>
      <c r="DHO3" s="494"/>
      <c r="DHP3" s="494"/>
      <c r="DHQ3" s="494"/>
      <c r="DHR3" s="494"/>
      <c r="DHS3" s="494"/>
      <c r="DHT3" s="494"/>
      <c r="DHU3" s="494"/>
      <c r="DHV3" s="494"/>
      <c r="DHW3" s="494"/>
      <c r="DHX3" s="494"/>
      <c r="DHY3" s="494"/>
      <c r="DHZ3" s="494"/>
      <c r="DIA3" s="494"/>
      <c r="DIB3" s="494"/>
      <c r="DIC3" s="494"/>
      <c r="DID3" s="494"/>
      <c r="DIE3" s="494"/>
      <c r="DIF3" s="494"/>
      <c r="DIG3" s="494"/>
      <c r="DIH3" s="494"/>
      <c r="DII3" s="494"/>
      <c r="DIJ3" s="494"/>
      <c r="DIK3" s="494"/>
      <c r="DIL3" s="494"/>
      <c r="DIM3" s="494"/>
      <c r="DIN3" s="494"/>
      <c r="DIO3" s="494"/>
      <c r="DIP3" s="494"/>
      <c r="DIQ3" s="494"/>
      <c r="DIR3" s="494"/>
      <c r="DIS3" s="494"/>
      <c r="DIT3" s="494"/>
      <c r="DIU3" s="494"/>
      <c r="DIV3" s="494"/>
      <c r="DIW3" s="494"/>
      <c r="DIX3" s="494"/>
      <c r="DIY3" s="494"/>
      <c r="DIZ3" s="494"/>
      <c r="DJA3" s="494"/>
      <c r="DJB3" s="494"/>
      <c r="DJC3" s="494"/>
      <c r="DJD3" s="494"/>
      <c r="DJE3" s="494"/>
      <c r="DJF3" s="494"/>
      <c r="DJG3" s="494"/>
      <c r="DJH3" s="494"/>
      <c r="DJI3" s="494"/>
      <c r="DJJ3" s="494"/>
      <c r="DJK3" s="494"/>
      <c r="DJL3" s="494"/>
      <c r="DJM3" s="494"/>
      <c r="DJN3" s="494"/>
      <c r="DJO3" s="494"/>
      <c r="DJP3" s="494"/>
      <c r="DJQ3" s="494"/>
      <c r="DJR3" s="494"/>
      <c r="DJS3" s="494"/>
      <c r="DJT3" s="494"/>
      <c r="DJU3" s="494"/>
      <c r="DJV3" s="494"/>
      <c r="DJW3" s="494"/>
      <c r="DJX3" s="494"/>
      <c r="DJY3" s="494"/>
      <c r="DJZ3" s="494"/>
      <c r="DKA3" s="494"/>
      <c r="DKB3" s="494"/>
      <c r="DKC3" s="494"/>
      <c r="DKD3" s="494"/>
      <c r="DKE3" s="494"/>
      <c r="DKF3" s="494"/>
      <c r="DKG3" s="494"/>
      <c r="DKH3" s="494"/>
      <c r="DKI3" s="494"/>
      <c r="DKJ3" s="494"/>
      <c r="DKK3" s="494"/>
      <c r="DKL3" s="494"/>
      <c r="DKM3" s="494"/>
      <c r="DKN3" s="494"/>
      <c r="DKO3" s="494"/>
      <c r="DKP3" s="494"/>
      <c r="DKQ3" s="494"/>
      <c r="DKR3" s="494"/>
      <c r="DKS3" s="494"/>
      <c r="DKT3" s="494"/>
      <c r="DKU3" s="494"/>
      <c r="DKV3" s="494"/>
      <c r="DKW3" s="494"/>
      <c r="DKX3" s="494"/>
      <c r="DKY3" s="494"/>
      <c r="DKZ3" s="494"/>
      <c r="DLA3" s="494"/>
      <c r="DLB3" s="494"/>
      <c r="DLC3" s="494"/>
      <c r="DLD3" s="494"/>
      <c r="DLE3" s="494"/>
      <c r="DLF3" s="494"/>
      <c r="DLG3" s="494"/>
      <c r="DLH3" s="494"/>
      <c r="DLI3" s="494"/>
      <c r="DLJ3" s="494"/>
      <c r="DLK3" s="494"/>
      <c r="DLL3" s="494"/>
      <c r="DLM3" s="494"/>
      <c r="DLN3" s="494"/>
      <c r="DLO3" s="494"/>
      <c r="DLP3" s="494"/>
      <c r="DLQ3" s="494"/>
      <c r="DLR3" s="494"/>
      <c r="DLS3" s="494"/>
      <c r="DLT3" s="494"/>
      <c r="DLU3" s="494"/>
      <c r="DLV3" s="494"/>
      <c r="DLW3" s="494"/>
      <c r="DLX3" s="494"/>
      <c r="DLY3" s="494"/>
      <c r="DLZ3" s="494"/>
      <c r="DMA3" s="494"/>
      <c r="DMB3" s="494"/>
      <c r="DMC3" s="494"/>
      <c r="DMD3" s="494"/>
      <c r="DME3" s="494"/>
      <c r="DMF3" s="494"/>
      <c r="DMG3" s="494"/>
      <c r="DMH3" s="494"/>
      <c r="DMI3" s="494"/>
      <c r="DMJ3" s="494"/>
      <c r="DMK3" s="494"/>
      <c r="DML3" s="494"/>
      <c r="DMM3" s="494"/>
      <c r="DMN3" s="494"/>
      <c r="DMO3" s="494"/>
      <c r="DMP3" s="494"/>
      <c r="DMQ3" s="494"/>
      <c r="DMR3" s="494"/>
      <c r="DMS3" s="494"/>
      <c r="DMT3" s="494"/>
      <c r="DMU3" s="494"/>
      <c r="DMV3" s="494"/>
      <c r="DMW3" s="494"/>
      <c r="DMX3" s="494"/>
      <c r="DMY3" s="494"/>
      <c r="DMZ3" s="494"/>
      <c r="DNA3" s="494"/>
      <c r="DNB3" s="494"/>
      <c r="DNC3" s="494"/>
      <c r="DND3" s="494"/>
      <c r="DNE3" s="494"/>
      <c r="DNF3" s="494"/>
      <c r="DNG3" s="494"/>
      <c r="DNH3" s="494"/>
      <c r="DNI3" s="494"/>
      <c r="DNJ3" s="494"/>
      <c r="DNK3" s="494"/>
      <c r="DNL3" s="494"/>
      <c r="DNM3" s="494"/>
      <c r="DNN3" s="494"/>
      <c r="DNO3" s="494"/>
      <c r="DNP3" s="494"/>
      <c r="DNQ3" s="494"/>
      <c r="DNR3" s="494"/>
      <c r="DNS3" s="494"/>
      <c r="DNT3" s="494"/>
      <c r="DNU3" s="494"/>
      <c r="DNV3" s="494"/>
      <c r="DNW3" s="494"/>
      <c r="DNX3" s="494"/>
      <c r="DNY3" s="494"/>
      <c r="DNZ3" s="494"/>
      <c r="DOA3" s="494"/>
      <c r="DOB3" s="494"/>
      <c r="DOC3" s="494"/>
      <c r="DOD3" s="494"/>
      <c r="DOE3" s="494"/>
      <c r="DOF3" s="494"/>
      <c r="DOG3" s="494"/>
      <c r="DOH3" s="494"/>
      <c r="DOI3" s="494"/>
      <c r="DOJ3" s="494"/>
      <c r="DOK3" s="494"/>
      <c r="DOL3" s="494"/>
      <c r="DOM3" s="494"/>
      <c r="DON3" s="494"/>
      <c r="DOO3" s="494"/>
      <c r="DOP3" s="494"/>
      <c r="DOQ3" s="494"/>
      <c r="DOR3" s="494"/>
      <c r="DOS3" s="494"/>
      <c r="DOT3" s="494"/>
      <c r="DOU3" s="494"/>
      <c r="DOV3" s="494"/>
      <c r="DOW3" s="494"/>
      <c r="DOX3" s="494"/>
      <c r="DOY3" s="494"/>
      <c r="DOZ3" s="494"/>
      <c r="DPA3" s="494"/>
      <c r="DPB3" s="494"/>
      <c r="DPC3" s="494"/>
      <c r="DPD3" s="494"/>
      <c r="DPE3" s="494"/>
      <c r="DPF3" s="494"/>
      <c r="DPG3" s="494"/>
      <c r="DPH3" s="494"/>
      <c r="DPI3" s="494"/>
      <c r="DPJ3" s="494"/>
      <c r="DPK3" s="494"/>
      <c r="DPL3" s="494"/>
      <c r="DPM3" s="494"/>
      <c r="DPN3" s="494"/>
      <c r="DPO3" s="494"/>
      <c r="DPP3" s="494"/>
      <c r="DPQ3" s="494"/>
      <c r="DPR3" s="494"/>
      <c r="DPS3" s="494"/>
      <c r="DPT3" s="494"/>
      <c r="DPU3" s="494"/>
      <c r="DPV3" s="494"/>
      <c r="DPW3" s="494"/>
      <c r="DPX3" s="494"/>
      <c r="DPY3" s="494"/>
      <c r="DPZ3" s="494"/>
      <c r="DQA3" s="494"/>
      <c r="DQB3" s="494"/>
      <c r="DQC3" s="494"/>
      <c r="DQD3" s="494"/>
      <c r="DQE3" s="494"/>
      <c r="DQF3" s="494"/>
      <c r="DQG3" s="494"/>
      <c r="DQH3" s="494"/>
      <c r="DQI3" s="494"/>
      <c r="DQJ3" s="494"/>
      <c r="DQK3" s="494"/>
      <c r="DQL3" s="494"/>
      <c r="DQM3" s="494"/>
      <c r="DQN3" s="494"/>
      <c r="DQO3" s="494"/>
      <c r="DQP3" s="494"/>
      <c r="DQQ3" s="494"/>
      <c r="DQR3" s="494"/>
      <c r="DQS3" s="494"/>
      <c r="DQT3" s="494"/>
      <c r="DQU3" s="494"/>
      <c r="DQV3" s="494"/>
      <c r="DQW3" s="494"/>
      <c r="DQX3" s="494"/>
      <c r="DQY3" s="494"/>
      <c r="DQZ3" s="494"/>
      <c r="DRA3" s="494"/>
      <c r="DRB3" s="494"/>
      <c r="DRC3" s="494"/>
      <c r="DRD3" s="494"/>
      <c r="DRE3" s="494"/>
      <c r="DRF3" s="494"/>
      <c r="DRG3" s="494"/>
      <c r="DRH3" s="494"/>
      <c r="DRI3" s="494"/>
      <c r="DRJ3" s="494"/>
      <c r="DRK3" s="494"/>
      <c r="DRL3" s="494"/>
      <c r="DRM3" s="494"/>
      <c r="DRN3" s="494"/>
      <c r="DRO3" s="494"/>
      <c r="DRP3" s="494"/>
      <c r="DRQ3" s="494"/>
      <c r="DRR3" s="494"/>
      <c r="DRS3" s="494"/>
      <c r="DRT3" s="494"/>
      <c r="DRU3" s="494"/>
      <c r="DRV3" s="494"/>
      <c r="DRW3" s="494"/>
      <c r="DRX3" s="494"/>
      <c r="DRY3" s="494"/>
      <c r="DRZ3" s="494"/>
      <c r="DSA3" s="494"/>
      <c r="DSB3" s="494"/>
      <c r="DSC3" s="494"/>
      <c r="DSD3" s="494"/>
      <c r="DSE3" s="494"/>
      <c r="DSF3" s="494"/>
      <c r="DSG3" s="494"/>
      <c r="DSH3" s="494"/>
      <c r="DSI3" s="494"/>
      <c r="DSJ3" s="494"/>
      <c r="DSK3" s="494"/>
      <c r="DSL3" s="494"/>
      <c r="DSM3" s="494"/>
      <c r="DSN3" s="494"/>
      <c r="DSO3" s="494"/>
      <c r="DSP3" s="494"/>
      <c r="DSQ3" s="494"/>
      <c r="DSR3" s="494"/>
      <c r="DSS3" s="494"/>
      <c r="DST3" s="494"/>
      <c r="DSU3" s="494"/>
      <c r="DSV3" s="494"/>
      <c r="DSW3" s="494"/>
      <c r="DSX3" s="494"/>
      <c r="DSY3" s="494"/>
      <c r="DSZ3" s="494"/>
      <c r="DTA3" s="494"/>
      <c r="DTB3" s="494"/>
      <c r="DTC3" s="494"/>
      <c r="DTD3" s="494"/>
      <c r="DTE3" s="494"/>
      <c r="DTF3" s="494"/>
      <c r="DTG3" s="494"/>
      <c r="DTH3" s="494"/>
      <c r="DTI3" s="494"/>
      <c r="DTJ3" s="494"/>
      <c r="DTK3" s="494"/>
      <c r="DTL3" s="494"/>
      <c r="DTM3" s="494"/>
      <c r="DTN3" s="494"/>
      <c r="DTO3" s="494"/>
      <c r="DTP3" s="494"/>
      <c r="DTQ3" s="494"/>
      <c r="DTR3" s="494"/>
      <c r="DTS3" s="494"/>
      <c r="DTT3" s="494"/>
      <c r="DTU3" s="494"/>
      <c r="DTV3" s="494"/>
      <c r="DTW3" s="494"/>
      <c r="DTX3" s="494"/>
      <c r="DTY3" s="494"/>
      <c r="DTZ3" s="494"/>
      <c r="DUA3" s="494"/>
      <c r="DUB3" s="494"/>
      <c r="DUC3" s="494"/>
      <c r="DUD3" s="494"/>
      <c r="DUE3" s="494"/>
      <c r="DUF3" s="494"/>
      <c r="DUG3" s="494"/>
      <c r="DUH3" s="494"/>
      <c r="DUI3" s="494"/>
      <c r="DUJ3" s="494"/>
      <c r="DUK3" s="494"/>
      <c r="DUL3" s="494"/>
      <c r="DUM3" s="494"/>
      <c r="DUN3" s="494"/>
      <c r="DUO3" s="494"/>
      <c r="DUP3" s="494"/>
      <c r="DUQ3" s="494"/>
      <c r="DUR3" s="494"/>
      <c r="DUS3" s="494"/>
      <c r="DUT3" s="494"/>
      <c r="DUU3" s="494"/>
      <c r="DUV3" s="494"/>
      <c r="DUW3" s="494"/>
      <c r="DUX3" s="494"/>
      <c r="DUY3" s="494"/>
      <c r="DUZ3" s="494"/>
      <c r="DVA3" s="494"/>
      <c r="DVB3" s="494"/>
      <c r="DVC3" s="494"/>
      <c r="DVD3" s="494"/>
      <c r="DVE3" s="494"/>
      <c r="DVF3" s="494"/>
      <c r="DVG3" s="494"/>
      <c r="DVH3" s="494"/>
      <c r="DVI3" s="494"/>
      <c r="DVJ3" s="494"/>
      <c r="DVK3" s="494"/>
      <c r="DVL3" s="494"/>
      <c r="DVM3" s="494"/>
      <c r="DVN3" s="494"/>
      <c r="DVO3" s="494"/>
      <c r="DVP3" s="494"/>
      <c r="DVQ3" s="494"/>
      <c r="DVR3" s="494"/>
      <c r="DVS3" s="494"/>
      <c r="DVT3" s="494"/>
      <c r="DVU3" s="494"/>
      <c r="DVV3" s="494"/>
      <c r="DVW3" s="494"/>
      <c r="DVX3" s="494"/>
      <c r="DVY3" s="494"/>
      <c r="DVZ3" s="494"/>
      <c r="DWA3" s="494"/>
      <c r="DWB3" s="494"/>
      <c r="DWC3" s="494"/>
      <c r="DWD3" s="494"/>
      <c r="DWE3" s="494"/>
      <c r="DWF3" s="494"/>
      <c r="DWG3" s="494"/>
      <c r="DWH3" s="494"/>
      <c r="DWI3" s="494"/>
      <c r="DWJ3" s="494"/>
      <c r="DWK3" s="494"/>
      <c r="DWL3" s="494"/>
      <c r="DWM3" s="494"/>
      <c r="DWN3" s="494"/>
      <c r="DWO3" s="494"/>
      <c r="DWP3" s="494"/>
      <c r="DWQ3" s="494"/>
      <c r="DWR3" s="494"/>
      <c r="DWS3" s="494"/>
      <c r="DWT3" s="494"/>
      <c r="DWU3" s="494"/>
      <c r="DWV3" s="494"/>
      <c r="DWW3" s="494"/>
      <c r="DWX3" s="494"/>
      <c r="DWY3" s="494"/>
      <c r="DWZ3" s="494"/>
      <c r="DXA3" s="494"/>
      <c r="DXB3" s="494"/>
      <c r="DXC3" s="494"/>
      <c r="DXD3" s="494"/>
      <c r="DXE3" s="494"/>
      <c r="DXF3" s="494"/>
      <c r="DXG3" s="494"/>
      <c r="DXH3" s="494"/>
      <c r="DXI3" s="494"/>
      <c r="DXJ3" s="494"/>
      <c r="DXK3" s="494"/>
      <c r="DXL3" s="494"/>
      <c r="DXM3" s="494"/>
      <c r="DXN3" s="494"/>
      <c r="DXO3" s="494"/>
      <c r="DXP3" s="494"/>
      <c r="DXQ3" s="494"/>
      <c r="DXR3" s="494"/>
      <c r="DXS3" s="494"/>
      <c r="DXT3" s="494"/>
      <c r="DXU3" s="494"/>
      <c r="DXV3" s="494"/>
      <c r="DXW3" s="494"/>
      <c r="DXX3" s="494"/>
      <c r="DXY3" s="494"/>
      <c r="DXZ3" s="494"/>
      <c r="DYA3" s="494"/>
      <c r="DYB3" s="494"/>
      <c r="DYC3" s="494"/>
      <c r="DYD3" s="494"/>
      <c r="DYE3" s="494"/>
      <c r="DYF3" s="494"/>
      <c r="DYG3" s="494"/>
      <c r="DYH3" s="494"/>
      <c r="DYI3" s="494"/>
      <c r="DYJ3" s="494"/>
      <c r="DYK3" s="494"/>
      <c r="DYL3" s="494"/>
      <c r="DYM3" s="494"/>
      <c r="DYN3" s="494"/>
      <c r="DYO3" s="494"/>
      <c r="DYP3" s="494"/>
      <c r="DYQ3" s="494"/>
      <c r="DYR3" s="494"/>
      <c r="DYS3" s="494"/>
      <c r="DYT3" s="494"/>
      <c r="DYU3" s="494"/>
      <c r="DYV3" s="494"/>
      <c r="DYW3" s="494"/>
      <c r="DYX3" s="494"/>
      <c r="DYY3" s="494"/>
      <c r="DYZ3" s="494"/>
      <c r="DZA3" s="494"/>
      <c r="DZB3" s="494"/>
      <c r="DZC3" s="494"/>
      <c r="DZD3" s="494"/>
      <c r="DZE3" s="494"/>
      <c r="DZF3" s="494"/>
      <c r="DZG3" s="494"/>
      <c r="DZH3" s="494"/>
      <c r="DZI3" s="494"/>
      <c r="DZJ3" s="494"/>
      <c r="DZK3" s="494"/>
      <c r="DZL3" s="494"/>
      <c r="DZM3" s="494"/>
      <c r="DZN3" s="494"/>
      <c r="DZO3" s="494"/>
      <c r="DZP3" s="494"/>
      <c r="DZQ3" s="494"/>
      <c r="DZR3" s="494"/>
      <c r="DZS3" s="494"/>
      <c r="DZT3" s="494"/>
      <c r="DZU3" s="494"/>
      <c r="DZV3" s="494"/>
      <c r="DZW3" s="494"/>
      <c r="DZX3" s="494"/>
      <c r="DZY3" s="494"/>
      <c r="DZZ3" s="494"/>
      <c r="EAA3" s="494"/>
      <c r="EAB3" s="494"/>
      <c r="EAC3" s="494"/>
      <c r="EAD3" s="494"/>
      <c r="EAE3" s="494"/>
      <c r="EAF3" s="494"/>
      <c r="EAG3" s="494"/>
      <c r="EAH3" s="494"/>
      <c r="EAI3" s="494"/>
      <c r="EAJ3" s="494"/>
      <c r="EAK3" s="494"/>
      <c r="EAL3" s="494"/>
      <c r="EAM3" s="494"/>
      <c r="EAN3" s="494"/>
      <c r="EAO3" s="494"/>
      <c r="EAP3" s="494"/>
      <c r="EAQ3" s="494"/>
      <c r="EAR3" s="494"/>
      <c r="EAS3" s="494"/>
      <c r="EAT3" s="494"/>
      <c r="EAU3" s="494"/>
      <c r="EAV3" s="494"/>
      <c r="EAW3" s="494"/>
      <c r="EAX3" s="494"/>
      <c r="EAY3" s="494"/>
      <c r="EAZ3" s="494"/>
      <c r="EBA3" s="494"/>
      <c r="EBB3" s="494"/>
      <c r="EBC3" s="494"/>
      <c r="EBD3" s="494"/>
      <c r="EBE3" s="494"/>
      <c r="EBF3" s="494"/>
      <c r="EBG3" s="494"/>
      <c r="EBH3" s="494"/>
      <c r="EBI3" s="494"/>
      <c r="EBJ3" s="494"/>
      <c r="EBK3" s="494"/>
      <c r="EBL3" s="494"/>
      <c r="EBM3" s="494"/>
      <c r="EBN3" s="494"/>
      <c r="EBO3" s="494"/>
      <c r="EBP3" s="494"/>
      <c r="EBQ3" s="494"/>
      <c r="EBR3" s="494"/>
      <c r="EBS3" s="494"/>
      <c r="EBT3" s="494"/>
      <c r="EBU3" s="494"/>
      <c r="EBV3" s="494"/>
      <c r="EBW3" s="494"/>
      <c r="EBX3" s="494"/>
      <c r="EBY3" s="494"/>
      <c r="EBZ3" s="494"/>
      <c r="ECA3" s="494"/>
      <c r="ECB3" s="494"/>
      <c r="ECC3" s="494"/>
      <c r="ECD3" s="494"/>
      <c r="ECE3" s="494"/>
      <c r="ECF3" s="494"/>
      <c r="ECG3" s="494"/>
      <c r="ECH3" s="494"/>
      <c r="ECI3" s="494"/>
      <c r="ECJ3" s="494"/>
      <c r="ECK3" s="494"/>
      <c r="ECL3" s="494"/>
      <c r="ECM3" s="494"/>
      <c r="ECN3" s="494"/>
      <c r="ECO3" s="494"/>
      <c r="ECP3" s="494"/>
      <c r="ECQ3" s="494"/>
      <c r="ECR3" s="494"/>
      <c r="ECS3" s="494"/>
      <c r="ECT3" s="494"/>
      <c r="ECU3" s="494"/>
      <c r="ECV3" s="494"/>
      <c r="ECW3" s="494"/>
      <c r="ECX3" s="494"/>
      <c r="ECY3" s="494"/>
      <c r="ECZ3" s="494"/>
      <c r="EDA3" s="494"/>
      <c r="EDB3" s="494"/>
      <c r="EDC3" s="494"/>
      <c r="EDD3" s="494"/>
      <c r="EDE3" s="494"/>
      <c r="EDF3" s="494"/>
      <c r="EDG3" s="494"/>
      <c r="EDH3" s="494"/>
      <c r="EDI3" s="494"/>
      <c r="EDJ3" s="494"/>
      <c r="EDK3" s="494"/>
      <c r="EDL3" s="494"/>
      <c r="EDM3" s="494"/>
      <c r="EDN3" s="494"/>
      <c r="EDO3" s="494"/>
      <c r="EDP3" s="494"/>
      <c r="EDQ3" s="494"/>
      <c r="EDR3" s="494"/>
      <c r="EDS3" s="494"/>
      <c r="EDT3" s="494"/>
      <c r="EDU3" s="494"/>
      <c r="EDV3" s="494"/>
      <c r="EDW3" s="494"/>
      <c r="EDX3" s="494"/>
      <c r="EDY3" s="494"/>
      <c r="EDZ3" s="494"/>
      <c r="EEA3" s="494"/>
      <c r="EEB3" s="494"/>
      <c r="EEC3" s="494"/>
      <c r="EED3" s="494"/>
      <c r="EEE3" s="494"/>
      <c r="EEF3" s="494"/>
      <c r="EEG3" s="494"/>
      <c r="EEH3" s="494"/>
      <c r="EEI3" s="494"/>
      <c r="EEJ3" s="494"/>
      <c r="EEK3" s="494"/>
      <c r="EEL3" s="494"/>
      <c r="EEM3" s="494"/>
      <c r="EEN3" s="494"/>
      <c r="EEO3" s="494"/>
      <c r="EEP3" s="494"/>
      <c r="EEQ3" s="494"/>
      <c r="EER3" s="494"/>
      <c r="EES3" s="494"/>
      <c r="EET3" s="494"/>
      <c r="EEU3" s="494"/>
      <c r="EEV3" s="494"/>
      <c r="EEW3" s="494"/>
      <c r="EEX3" s="494"/>
      <c r="EEY3" s="494"/>
      <c r="EEZ3" s="494"/>
      <c r="EFA3" s="494"/>
      <c r="EFB3" s="494"/>
      <c r="EFC3" s="494"/>
      <c r="EFD3" s="494"/>
      <c r="EFE3" s="494"/>
      <c r="EFF3" s="494"/>
      <c r="EFG3" s="494"/>
      <c r="EFH3" s="494"/>
      <c r="EFI3" s="494"/>
      <c r="EFJ3" s="494"/>
      <c r="EFK3" s="494"/>
      <c r="EFL3" s="494"/>
      <c r="EFM3" s="494"/>
      <c r="EFN3" s="494"/>
      <c r="EFO3" s="494"/>
      <c r="EFP3" s="494"/>
      <c r="EFQ3" s="494"/>
      <c r="EFR3" s="494"/>
      <c r="EFS3" s="494"/>
      <c r="EFT3" s="494"/>
      <c r="EFU3" s="494"/>
      <c r="EFV3" s="494"/>
      <c r="EFW3" s="494"/>
      <c r="EFX3" s="494"/>
      <c r="EFY3" s="494"/>
      <c r="EFZ3" s="494"/>
      <c r="EGA3" s="494"/>
      <c r="EGB3" s="494"/>
      <c r="EGC3" s="494"/>
      <c r="EGD3" s="494"/>
      <c r="EGE3" s="494"/>
      <c r="EGF3" s="494"/>
      <c r="EGG3" s="494"/>
      <c r="EGH3" s="494"/>
      <c r="EGI3" s="494"/>
      <c r="EGJ3" s="494"/>
      <c r="EGK3" s="494"/>
      <c r="EGL3" s="494"/>
      <c r="EGM3" s="494"/>
      <c r="EGN3" s="494"/>
      <c r="EGO3" s="494"/>
      <c r="EGP3" s="494"/>
      <c r="EGQ3" s="494"/>
      <c r="EGR3" s="494"/>
      <c r="EGS3" s="494"/>
      <c r="EGT3" s="494"/>
      <c r="EGU3" s="494"/>
      <c r="EGV3" s="494"/>
      <c r="EGW3" s="494"/>
      <c r="EGX3" s="494"/>
      <c r="EGY3" s="494"/>
      <c r="EGZ3" s="494"/>
      <c r="EHA3" s="494"/>
      <c r="EHB3" s="494"/>
      <c r="EHC3" s="494"/>
      <c r="EHD3" s="494"/>
      <c r="EHE3" s="494"/>
      <c r="EHF3" s="494"/>
      <c r="EHG3" s="494"/>
      <c r="EHH3" s="494"/>
      <c r="EHI3" s="494"/>
      <c r="EHJ3" s="494"/>
      <c r="EHK3" s="494"/>
      <c r="EHL3" s="494"/>
      <c r="EHM3" s="494"/>
      <c r="EHN3" s="494"/>
      <c r="EHO3" s="494"/>
      <c r="EHP3" s="494"/>
      <c r="EHQ3" s="494"/>
      <c r="EHR3" s="494"/>
      <c r="EHS3" s="494"/>
      <c r="EHT3" s="494"/>
      <c r="EHU3" s="494"/>
      <c r="EHV3" s="494"/>
      <c r="EHW3" s="494"/>
      <c r="EHX3" s="494"/>
      <c r="EHY3" s="494"/>
      <c r="EHZ3" s="494"/>
      <c r="EIA3" s="494"/>
      <c r="EIB3" s="494"/>
      <c r="EIC3" s="494"/>
      <c r="EID3" s="494"/>
      <c r="EIE3" s="494"/>
      <c r="EIF3" s="494"/>
      <c r="EIG3" s="494"/>
      <c r="EIH3" s="494"/>
      <c r="EII3" s="494"/>
      <c r="EIJ3" s="494"/>
      <c r="EIK3" s="494"/>
      <c r="EIL3" s="494"/>
      <c r="EIM3" s="494"/>
      <c r="EIN3" s="494"/>
      <c r="EIO3" s="494"/>
      <c r="EIP3" s="494"/>
      <c r="EIQ3" s="494"/>
      <c r="EIR3" s="494"/>
      <c r="EIS3" s="494"/>
      <c r="EIT3" s="494"/>
      <c r="EIU3" s="494"/>
      <c r="EIV3" s="494"/>
      <c r="EIW3" s="494"/>
      <c r="EIX3" s="494"/>
      <c r="EIY3" s="494"/>
      <c r="EIZ3" s="494"/>
      <c r="EJA3" s="494"/>
      <c r="EJB3" s="494"/>
      <c r="EJC3" s="494"/>
      <c r="EJD3" s="494"/>
      <c r="EJE3" s="494"/>
      <c r="EJF3" s="494"/>
      <c r="EJG3" s="494"/>
      <c r="EJH3" s="494"/>
      <c r="EJI3" s="494"/>
      <c r="EJJ3" s="494"/>
      <c r="EJK3" s="494"/>
      <c r="EJL3" s="494"/>
      <c r="EJM3" s="494"/>
      <c r="EJN3" s="494"/>
      <c r="EJO3" s="494"/>
      <c r="EJP3" s="494"/>
      <c r="EJQ3" s="494"/>
      <c r="EJR3" s="494"/>
      <c r="EJS3" s="494"/>
      <c r="EJT3" s="494"/>
      <c r="EJU3" s="494"/>
      <c r="EJV3" s="494"/>
      <c r="EJW3" s="494"/>
      <c r="EJX3" s="494"/>
      <c r="EJY3" s="494"/>
      <c r="EJZ3" s="494"/>
      <c r="EKA3" s="494"/>
      <c r="EKB3" s="494"/>
      <c r="EKC3" s="494"/>
      <c r="EKD3" s="494"/>
      <c r="EKE3" s="494"/>
      <c r="EKF3" s="494"/>
      <c r="EKG3" s="494"/>
      <c r="EKH3" s="494"/>
      <c r="EKI3" s="494"/>
      <c r="EKJ3" s="494"/>
      <c r="EKK3" s="494"/>
      <c r="EKL3" s="494"/>
      <c r="EKM3" s="494"/>
      <c r="EKN3" s="494"/>
      <c r="EKO3" s="494"/>
      <c r="EKP3" s="494"/>
      <c r="EKQ3" s="494"/>
      <c r="EKR3" s="494"/>
      <c r="EKS3" s="494"/>
      <c r="EKT3" s="494"/>
      <c r="EKU3" s="494"/>
      <c r="EKV3" s="494"/>
      <c r="EKW3" s="494"/>
      <c r="EKX3" s="494"/>
      <c r="EKY3" s="494"/>
      <c r="EKZ3" s="494"/>
      <c r="ELA3" s="494"/>
      <c r="ELB3" s="494"/>
      <c r="ELC3" s="494"/>
      <c r="ELD3" s="494"/>
      <c r="ELE3" s="494"/>
      <c r="ELF3" s="494"/>
      <c r="ELG3" s="494"/>
      <c r="ELH3" s="494"/>
      <c r="ELI3" s="494"/>
      <c r="ELJ3" s="494"/>
      <c r="ELK3" s="494"/>
      <c r="ELL3" s="494"/>
      <c r="ELM3" s="494"/>
      <c r="ELN3" s="494"/>
      <c r="ELO3" s="494"/>
      <c r="ELP3" s="494"/>
      <c r="ELQ3" s="494"/>
      <c r="ELR3" s="494"/>
      <c r="ELS3" s="494"/>
      <c r="ELT3" s="494"/>
      <c r="ELU3" s="494"/>
      <c r="ELV3" s="494"/>
      <c r="ELW3" s="494"/>
      <c r="ELX3" s="494"/>
      <c r="ELY3" s="494"/>
      <c r="ELZ3" s="494"/>
      <c r="EMA3" s="494"/>
      <c r="EMB3" s="494"/>
      <c r="EMC3" s="494"/>
      <c r="EMD3" s="494"/>
      <c r="EME3" s="494"/>
      <c r="EMF3" s="494"/>
      <c r="EMG3" s="494"/>
      <c r="EMH3" s="494"/>
      <c r="EMI3" s="494"/>
      <c r="EMJ3" s="494"/>
      <c r="EMK3" s="494"/>
      <c r="EML3" s="494"/>
      <c r="EMM3" s="494"/>
      <c r="EMN3" s="494"/>
      <c r="EMO3" s="494"/>
      <c r="EMP3" s="494"/>
      <c r="EMQ3" s="494"/>
      <c r="EMR3" s="494"/>
      <c r="EMS3" s="494"/>
      <c r="EMT3" s="494"/>
      <c r="EMU3" s="494"/>
      <c r="EMV3" s="494"/>
      <c r="EMW3" s="494"/>
      <c r="EMX3" s="494"/>
      <c r="EMY3" s="494"/>
      <c r="EMZ3" s="494"/>
      <c r="ENA3" s="494"/>
      <c r="ENB3" s="494"/>
      <c r="ENC3" s="494"/>
      <c r="END3" s="494"/>
      <c r="ENE3" s="494"/>
      <c r="ENF3" s="494"/>
      <c r="ENG3" s="494"/>
      <c r="ENH3" s="494"/>
      <c r="ENI3" s="494"/>
      <c r="ENJ3" s="494"/>
      <c r="ENK3" s="494"/>
      <c r="ENL3" s="494"/>
      <c r="ENM3" s="494"/>
      <c r="ENN3" s="494"/>
      <c r="ENO3" s="494"/>
      <c r="ENP3" s="494"/>
      <c r="ENQ3" s="494"/>
      <c r="ENR3" s="494"/>
      <c r="ENS3" s="494"/>
      <c r="ENT3" s="494"/>
      <c r="ENU3" s="494"/>
      <c r="ENV3" s="494"/>
      <c r="ENW3" s="494"/>
      <c r="ENX3" s="494"/>
      <c r="ENY3" s="494"/>
      <c r="ENZ3" s="494"/>
      <c r="EOA3" s="494"/>
      <c r="EOB3" s="494"/>
      <c r="EOC3" s="494"/>
      <c r="EOD3" s="494"/>
      <c r="EOE3" s="494"/>
      <c r="EOF3" s="494"/>
      <c r="EOG3" s="494"/>
      <c r="EOH3" s="494"/>
      <c r="EOI3" s="494"/>
      <c r="EOJ3" s="494"/>
      <c r="EOK3" s="494"/>
      <c r="EOL3" s="494"/>
      <c r="EOM3" s="494"/>
      <c r="EON3" s="494"/>
      <c r="EOO3" s="494"/>
      <c r="EOP3" s="494"/>
      <c r="EOQ3" s="494"/>
      <c r="EOR3" s="494"/>
      <c r="EOS3" s="494"/>
      <c r="EOT3" s="494"/>
      <c r="EOU3" s="494"/>
      <c r="EOV3" s="494"/>
      <c r="EOW3" s="494"/>
      <c r="EOX3" s="494"/>
      <c r="EOY3" s="494"/>
      <c r="EOZ3" s="494"/>
      <c r="EPA3" s="494"/>
      <c r="EPB3" s="494"/>
      <c r="EPC3" s="494"/>
      <c r="EPD3" s="494"/>
      <c r="EPE3" s="494"/>
      <c r="EPF3" s="494"/>
      <c r="EPG3" s="494"/>
      <c r="EPH3" s="494"/>
      <c r="EPI3" s="494"/>
      <c r="EPJ3" s="494"/>
      <c r="EPK3" s="494"/>
      <c r="EPL3" s="494"/>
      <c r="EPM3" s="494"/>
      <c r="EPN3" s="494"/>
      <c r="EPO3" s="494"/>
      <c r="EPP3" s="494"/>
      <c r="EPQ3" s="494"/>
      <c r="EPR3" s="494"/>
      <c r="EPS3" s="494"/>
      <c r="EPT3" s="494"/>
      <c r="EPU3" s="494"/>
      <c r="EPV3" s="494"/>
      <c r="EPW3" s="494"/>
      <c r="EPX3" s="494"/>
      <c r="EPY3" s="494"/>
      <c r="EPZ3" s="494"/>
      <c r="EQA3" s="494"/>
      <c r="EQB3" s="494"/>
      <c r="EQC3" s="494"/>
      <c r="EQD3" s="494"/>
      <c r="EQE3" s="494"/>
      <c r="EQF3" s="494"/>
      <c r="EQG3" s="494"/>
      <c r="EQH3" s="494"/>
      <c r="EQI3" s="494"/>
      <c r="EQJ3" s="494"/>
      <c r="EQK3" s="494"/>
      <c r="EQL3" s="494"/>
      <c r="EQM3" s="494"/>
      <c r="EQN3" s="494"/>
      <c r="EQO3" s="494"/>
      <c r="EQP3" s="494"/>
      <c r="EQQ3" s="494"/>
      <c r="EQR3" s="494"/>
      <c r="EQS3" s="494"/>
      <c r="EQT3" s="494"/>
      <c r="EQU3" s="494"/>
      <c r="EQV3" s="494"/>
      <c r="EQW3" s="494"/>
      <c r="EQX3" s="494"/>
      <c r="EQY3" s="494"/>
      <c r="EQZ3" s="494"/>
      <c r="ERA3" s="494"/>
      <c r="ERB3" s="494"/>
      <c r="ERC3" s="494"/>
      <c r="ERD3" s="494"/>
      <c r="ERE3" s="494"/>
      <c r="ERF3" s="494"/>
      <c r="ERG3" s="494"/>
      <c r="ERH3" s="494"/>
      <c r="ERI3" s="494"/>
      <c r="ERJ3" s="494"/>
      <c r="ERK3" s="494"/>
      <c r="ERL3" s="494"/>
      <c r="ERM3" s="494"/>
      <c r="ERN3" s="494"/>
      <c r="ERO3" s="494"/>
      <c r="ERP3" s="494"/>
      <c r="ERQ3" s="494"/>
      <c r="ERR3" s="494"/>
      <c r="ERS3" s="494"/>
      <c r="ERT3" s="494"/>
      <c r="ERU3" s="494"/>
      <c r="ERV3" s="494"/>
      <c r="ERW3" s="494"/>
      <c r="ERX3" s="494"/>
      <c r="ERY3" s="494"/>
      <c r="ERZ3" s="494"/>
      <c r="ESA3" s="494"/>
      <c r="ESB3" s="494"/>
      <c r="ESC3" s="494"/>
      <c r="ESD3" s="494"/>
      <c r="ESE3" s="494"/>
      <c r="ESF3" s="494"/>
      <c r="ESG3" s="494"/>
      <c r="ESH3" s="494"/>
      <c r="ESI3" s="494"/>
      <c r="ESJ3" s="494"/>
      <c r="ESK3" s="494"/>
      <c r="ESL3" s="494"/>
      <c r="ESM3" s="494"/>
      <c r="ESN3" s="494"/>
      <c r="ESO3" s="494"/>
      <c r="ESP3" s="494"/>
      <c r="ESQ3" s="494"/>
      <c r="ESR3" s="494"/>
      <c r="ESS3" s="494"/>
      <c r="EST3" s="494"/>
      <c r="ESU3" s="494"/>
      <c r="ESV3" s="494"/>
      <c r="ESW3" s="494"/>
      <c r="ESX3" s="494"/>
      <c r="ESY3" s="494"/>
      <c r="ESZ3" s="494"/>
      <c r="ETA3" s="494"/>
      <c r="ETB3" s="494"/>
      <c r="ETC3" s="494"/>
      <c r="ETD3" s="494"/>
      <c r="ETE3" s="494"/>
      <c r="ETF3" s="494"/>
      <c r="ETG3" s="494"/>
      <c r="ETH3" s="494"/>
      <c r="ETI3" s="494"/>
      <c r="ETJ3" s="494"/>
      <c r="ETK3" s="494"/>
      <c r="ETL3" s="494"/>
      <c r="ETM3" s="494"/>
      <c r="ETN3" s="494"/>
      <c r="ETO3" s="494"/>
      <c r="ETP3" s="494"/>
      <c r="ETQ3" s="494"/>
      <c r="ETR3" s="494"/>
      <c r="ETS3" s="494"/>
      <c r="ETT3" s="494"/>
      <c r="ETU3" s="494"/>
      <c r="ETV3" s="494"/>
      <c r="ETW3" s="494"/>
      <c r="ETX3" s="494"/>
      <c r="ETY3" s="494"/>
      <c r="ETZ3" s="494"/>
      <c r="EUA3" s="494"/>
      <c r="EUB3" s="494"/>
      <c r="EUC3" s="494"/>
      <c r="EUD3" s="494"/>
      <c r="EUE3" s="494"/>
      <c r="EUF3" s="494"/>
      <c r="EUG3" s="494"/>
      <c r="EUH3" s="494"/>
      <c r="EUI3" s="494"/>
      <c r="EUJ3" s="494"/>
      <c r="EUK3" s="494"/>
      <c r="EUL3" s="494"/>
      <c r="EUM3" s="494"/>
      <c r="EUN3" s="494"/>
      <c r="EUO3" s="494"/>
      <c r="EUP3" s="494"/>
      <c r="EUQ3" s="494"/>
      <c r="EUR3" s="494"/>
      <c r="EUS3" s="494"/>
      <c r="EUT3" s="494"/>
      <c r="EUU3" s="494"/>
      <c r="EUV3" s="494"/>
      <c r="EUW3" s="494"/>
      <c r="EUX3" s="494"/>
      <c r="EUY3" s="494"/>
      <c r="EUZ3" s="494"/>
      <c r="EVA3" s="494"/>
      <c r="EVB3" s="494"/>
      <c r="EVC3" s="494"/>
      <c r="EVD3" s="494"/>
      <c r="EVE3" s="494"/>
      <c r="EVF3" s="494"/>
      <c r="EVG3" s="494"/>
      <c r="EVH3" s="494"/>
      <c r="EVI3" s="494"/>
      <c r="EVJ3" s="494"/>
      <c r="EVK3" s="494"/>
      <c r="EVL3" s="494"/>
      <c r="EVM3" s="494"/>
      <c r="EVN3" s="494"/>
      <c r="EVO3" s="494"/>
      <c r="EVP3" s="494"/>
      <c r="EVQ3" s="494"/>
      <c r="EVR3" s="494"/>
      <c r="EVS3" s="494"/>
      <c r="EVT3" s="494"/>
      <c r="EVU3" s="494"/>
      <c r="EVV3" s="494"/>
      <c r="EVW3" s="494"/>
      <c r="EVX3" s="494"/>
      <c r="EVY3" s="494"/>
      <c r="EVZ3" s="494"/>
      <c r="EWA3" s="494"/>
      <c r="EWB3" s="494"/>
      <c r="EWC3" s="494"/>
      <c r="EWD3" s="494"/>
      <c r="EWE3" s="494"/>
      <c r="EWF3" s="494"/>
      <c r="EWG3" s="494"/>
      <c r="EWH3" s="494"/>
      <c r="EWI3" s="494"/>
      <c r="EWJ3" s="494"/>
      <c r="EWK3" s="494"/>
      <c r="EWL3" s="494"/>
      <c r="EWM3" s="494"/>
      <c r="EWN3" s="494"/>
      <c r="EWO3" s="494"/>
      <c r="EWP3" s="494"/>
      <c r="EWQ3" s="494"/>
      <c r="EWR3" s="494"/>
      <c r="EWS3" s="494"/>
      <c r="EWT3" s="494"/>
      <c r="EWU3" s="494"/>
      <c r="EWV3" s="494"/>
      <c r="EWW3" s="494"/>
      <c r="EWX3" s="494"/>
      <c r="EWY3" s="494"/>
      <c r="EWZ3" s="494"/>
      <c r="EXA3" s="494"/>
      <c r="EXB3" s="494"/>
      <c r="EXC3" s="494"/>
      <c r="EXD3" s="494"/>
      <c r="EXE3" s="494"/>
      <c r="EXF3" s="494"/>
      <c r="EXG3" s="494"/>
      <c r="EXH3" s="494"/>
      <c r="EXI3" s="494"/>
      <c r="EXJ3" s="494"/>
      <c r="EXK3" s="494"/>
      <c r="EXL3" s="494"/>
      <c r="EXM3" s="494"/>
      <c r="EXN3" s="494"/>
      <c r="EXO3" s="494"/>
      <c r="EXP3" s="494"/>
      <c r="EXQ3" s="494"/>
      <c r="EXR3" s="494"/>
      <c r="EXS3" s="494"/>
      <c r="EXT3" s="494"/>
      <c r="EXU3" s="494"/>
      <c r="EXV3" s="494"/>
      <c r="EXW3" s="494"/>
      <c r="EXX3" s="494"/>
      <c r="EXY3" s="494"/>
      <c r="EXZ3" s="494"/>
      <c r="EYA3" s="494"/>
      <c r="EYB3" s="494"/>
      <c r="EYC3" s="494"/>
      <c r="EYD3" s="494"/>
      <c r="EYE3" s="494"/>
      <c r="EYF3" s="494"/>
      <c r="EYG3" s="494"/>
      <c r="EYH3" s="494"/>
      <c r="EYI3" s="494"/>
      <c r="EYJ3" s="494"/>
      <c r="EYK3" s="494"/>
      <c r="EYL3" s="494"/>
      <c r="EYM3" s="494"/>
      <c r="EYN3" s="494"/>
      <c r="EYO3" s="494"/>
      <c r="EYP3" s="494"/>
      <c r="EYQ3" s="494"/>
      <c r="EYR3" s="494"/>
      <c r="EYS3" s="494"/>
      <c r="EYT3" s="494"/>
      <c r="EYU3" s="494"/>
      <c r="EYV3" s="494"/>
      <c r="EYW3" s="494"/>
      <c r="EYX3" s="494"/>
      <c r="EYY3" s="494"/>
      <c r="EYZ3" s="494"/>
      <c r="EZA3" s="494"/>
      <c r="EZB3" s="494"/>
      <c r="EZC3" s="494"/>
      <c r="EZD3" s="494"/>
      <c r="EZE3" s="494"/>
      <c r="EZF3" s="494"/>
      <c r="EZG3" s="494"/>
      <c r="EZH3" s="494"/>
      <c r="EZI3" s="494"/>
      <c r="EZJ3" s="494"/>
      <c r="EZK3" s="494"/>
      <c r="EZL3" s="494"/>
      <c r="EZM3" s="494"/>
      <c r="EZN3" s="494"/>
      <c r="EZO3" s="494"/>
      <c r="EZP3" s="494"/>
      <c r="EZQ3" s="494"/>
      <c r="EZR3" s="494"/>
      <c r="EZS3" s="494"/>
      <c r="EZT3" s="494"/>
      <c r="EZU3" s="494"/>
      <c r="EZV3" s="494"/>
      <c r="EZW3" s="494"/>
      <c r="EZX3" s="494"/>
      <c r="EZY3" s="494"/>
      <c r="EZZ3" s="494"/>
      <c r="FAA3" s="494"/>
      <c r="FAB3" s="494"/>
      <c r="FAC3" s="494"/>
      <c r="FAD3" s="494"/>
      <c r="FAE3" s="494"/>
      <c r="FAF3" s="494"/>
      <c r="FAG3" s="494"/>
      <c r="FAH3" s="494"/>
      <c r="FAI3" s="494"/>
      <c r="FAJ3" s="494"/>
      <c r="FAK3" s="494"/>
      <c r="FAL3" s="494"/>
      <c r="FAM3" s="494"/>
      <c r="FAN3" s="494"/>
      <c r="FAO3" s="494"/>
      <c r="FAP3" s="494"/>
      <c r="FAQ3" s="494"/>
      <c r="FAR3" s="494"/>
      <c r="FAS3" s="494"/>
      <c r="FAT3" s="494"/>
      <c r="FAU3" s="494"/>
      <c r="FAV3" s="494"/>
      <c r="FAW3" s="494"/>
      <c r="FAX3" s="494"/>
      <c r="FAY3" s="494"/>
      <c r="FAZ3" s="494"/>
      <c r="FBA3" s="494"/>
      <c r="FBB3" s="494"/>
      <c r="FBC3" s="494"/>
      <c r="FBD3" s="494"/>
      <c r="FBE3" s="494"/>
      <c r="FBF3" s="494"/>
      <c r="FBG3" s="494"/>
      <c r="FBH3" s="494"/>
      <c r="FBI3" s="494"/>
      <c r="FBJ3" s="494"/>
      <c r="FBK3" s="494"/>
      <c r="FBL3" s="494"/>
      <c r="FBM3" s="494"/>
      <c r="FBN3" s="494"/>
      <c r="FBO3" s="494"/>
      <c r="FBP3" s="494"/>
      <c r="FBQ3" s="494"/>
      <c r="FBR3" s="494"/>
      <c r="FBS3" s="494"/>
      <c r="FBT3" s="494"/>
      <c r="FBU3" s="494"/>
      <c r="FBV3" s="494"/>
      <c r="FBW3" s="494"/>
      <c r="FBX3" s="494"/>
      <c r="FBY3" s="494"/>
      <c r="FBZ3" s="494"/>
      <c r="FCA3" s="494"/>
      <c r="FCB3" s="494"/>
      <c r="FCC3" s="494"/>
      <c r="FCD3" s="494"/>
      <c r="FCE3" s="494"/>
      <c r="FCF3" s="494"/>
      <c r="FCG3" s="494"/>
      <c r="FCH3" s="494"/>
      <c r="FCI3" s="494"/>
      <c r="FCJ3" s="494"/>
      <c r="FCK3" s="494"/>
      <c r="FCL3" s="494"/>
      <c r="FCM3" s="494"/>
      <c r="FCN3" s="494"/>
      <c r="FCO3" s="494"/>
      <c r="FCP3" s="494"/>
      <c r="FCQ3" s="494"/>
      <c r="FCR3" s="494"/>
      <c r="FCS3" s="494"/>
      <c r="FCT3" s="494"/>
      <c r="FCU3" s="494"/>
      <c r="FCV3" s="494"/>
      <c r="FCW3" s="494"/>
      <c r="FCX3" s="494"/>
      <c r="FCY3" s="494"/>
      <c r="FCZ3" s="494"/>
      <c r="FDA3" s="494"/>
      <c r="FDB3" s="494"/>
      <c r="FDC3" s="494"/>
      <c r="FDD3" s="494"/>
      <c r="FDE3" s="494"/>
      <c r="FDF3" s="494"/>
      <c r="FDG3" s="494"/>
      <c r="FDH3" s="494"/>
      <c r="FDI3" s="494"/>
      <c r="FDJ3" s="494"/>
      <c r="FDK3" s="494"/>
      <c r="FDL3" s="494"/>
      <c r="FDM3" s="494"/>
      <c r="FDN3" s="494"/>
      <c r="FDO3" s="494"/>
      <c r="FDP3" s="494"/>
      <c r="FDQ3" s="494"/>
      <c r="FDR3" s="494"/>
      <c r="FDS3" s="494"/>
      <c r="FDT3" s="494"/>
      <c r="FDU3" s="494"/>
      <c r="FDV3" s="494"/>
      <c r="FDW3" s="494"/>
      <c r="FDX3" s="494"/>
      <c r="FDY3" s="494"/>
      <c r="FDZ3" s="494"/>
      <c r="FEA3" s="494"/>
      <c r="FEB3" s="494"/>
      <c r="FEC3" s="494"/>
      <c r="FED3" s="494"/>
      <c r="FEE3" s="494"/>
      <c r="FEF3" s="494"/>
      <c r="FEG3" s="494"/>
      <c r="FEH3" s="494"/>
      <c r="FEI3" s="494"/>
      <c r="FEJ3" s="494"/>
      <c r="FEK3" s="494"/>
      <c r="FEL3" s="494"/>
      <c r="FEM3" s="494"/>
      <c r="FEN3" s="494"/>
      <c r="FEO3" s="494"/>
      <c r="FEP3" s="494"/>
      <c r="FEQ3" s="494"/>
      <c r="FER3" s="494"/>
      <c r="FES3" s="494"/>
      <c r="FET3" s="494"/>
      <c r="FEU3" s="494"/>
      <c r="FEV3" s="494"/>
      <c r="FEW3" s="494"/>
      <c r="FEX3" s="494"/>
      <c r="FEY3" s="494"/>
      <c r="FEZ3" s="494"/>
      <c r="FFA3" s="494"/>
      <c r="FFB3" s="494"/>
      <c r="FFC3" s="494"/>
      <c r="FFD3" s="494"/>
      <c r="FFE3" s="494"/>
      <c r="FFF3" s="494"/>
      <c r="FFG3" s="494"/>
      <c r="FFH3" s="494"/>
      <c r="FFI3" s="494"/>
      <c r="FFJ3" s="494"/>
      <c r="FFK3" s="494"/>
      <c r="FFL3" s="494"/>
      <c r="FFM3" s="494"/>
      <c r="FFN3" s="494"/>
      <c r="FFO3" s="494"/>
      <c r="FFP3" s="494"/>
      <c r="FFQ3" s="494"/>
      <c r="FFR3" s="494"/>
      <c r="FFS3" s="494"/>
      <c r="FFT3" s="494"/>
      <c r="FFU3" s="494"/>
      <c r="FFV3" s="494"/>
      <c r="FFW3" s="494"/>
      <c r="FFX3" s="494"/>
      <c r="FFY3" s="494"/>
      <c r="FFZ3" s="494"/>
      <c r="FGA3" s="494"/>
      <c r="FGB3" s="494"/>
      <c r="FGC3" s="494"/>
      <c r="FGD3" s="494"/>
      <c r="FGE3" s="494"/>
      <c r="FGF3" s="494"/>
      <c r="FGG3" s="494"/>
      <c r="FGH3" s="494"/>
      <c r="FGI3" s="494"/>
      <c r="FGJ3" s="494"/>
      <c r="FGK3" s="494"/>
      <c r="FGL3" s="494"/>
      <c r="FGM3" s="494"/>
      <c r="FGN3" s="494"/>
      <c r="FGO3" s="494"/>
      <c r="FGP3" s="494"/>
      <c r="FGQ3" s="494"/>
      <c r="FGR3" s="494"/>
      <c r="FGS3" s="494"/>
      <c r="FGT3" s="494"/>
      <c r="FGU3" s="494"/>
      <c r="FGV3" s="494"/>
      <c r="FGW3" s="494"/>
      <c r="FGX3" s="494"/>
      <c r="FGY3" s="494"/>
      <c r="FGZ3" s="494"/>
      <c r="FHA3" s="494"/>
      <c r="FHB3" s="494"/>
      <c r="FHC3" s="494"/>
      <c r="FHD3" s="494"/>
      <c r="FHE3" s="494"/>
      <c r="FHF3" s="494"/>
      <c r="FHG3" s="494"/>
      <c r="FHH3" s="494"/>
      <c r="FHI3" s="494"/>
      <c r="FHJ3" s="494"/>
      <c r="FHK3" s="494"/>
      <c r="FHL3" s="494"/>
      <c r="FHM3" s="494"/>
      <c r="FHN3" s="494"/>
      <c r="FHO3" s="494"/>
      <c r="FHP3" s="494"/>
      <c r="FHQ3" s="494"/>
      <c r="FHR3" s="494"/>
      <c r="FHS3" s="494"/>
      <c r="FHT3" s="494"/>
      <c r="FHU3" s="494"/>
      <c r="FHV3" s="494"/>
      <c r="FHW3" s="494"/>
      <c r="FHX3" s="494"/>
      <c r="FHY3" s="494"/>
      <c r="FHZ3" s="494"/>
      <c r="FIA3" s="494"/>
      <c r="FIB3" s="494"/>
      <c r="FIC3" s="494"/>
      <c r="FID3" s="494"/>
      <c r="FIE3" s="494"/>
      <c r="FIF3" s="494"/>
      <c r="FIG3" s="494"/>
      <c r="FIH3" s="494"/>
      <c r="FII3" s="494"/>
      <c r="FIJ3" s="494"/>
      <c r="FIK3" s="494"/>
      <c r="FIL3" s="494"/>
      <c r="FIM3" s="494"/>
      <c r="FIN3" s="494"/>
      <c r="FIO3" s="494"/>
      <c r="FIP3" s="494"/>
      <c r="FIQ3" s="494"/>
      <c r="FIR3" s="494"/>
      <c r="FIS3" s="494"/>
      <c r="FIT3" s="494"/>
      <c r="FIU3" s="494"/>
      <c r="FIV3" s="494"/>
      <c r="FIW3" s="494"/>
      <c r="FIX3" s="494"/>
      <c r="FIY3" s="494"/>
      <c r="FIZ3" s="494"/>
      <c r="FJA3" s="494"/>
      <c r="FJB3" s="494"/>
      <c r="FJC3" s="494"/>
      <c r="FJD3" s="494"/>
      <c r="FJE3" s="494"/>
      <c r="FJF3" s="494"/>
      <c r="FJG3" s="494"/>
      <c r="FJH3" s="494"/>
      <c r="FJI3" s="494"/>
      <c r="FJJ3" s="494"/>
      <c r="FJK3" s="494"/>
      <c r="FJL3" s="494"/>
      <c r="FJM3" s="494"/>
      <c r="FJN3" s="494"/>
      <c r="FJO3" s="494"/>
      <c r="FJP3" s="494"/>
      <c r="FJQ3" s="494"/>
      <c r="FJR3" s="494"/>
      <c r="FJS3" s="494"/>
      <c r="FJT3" s="494"/>
      <c r="FJU3" s="494"/>
      <c r="FJV3" s="494"/>
      <c r="FJW3" s="494"/>
      <c r="FJX3" s="494"/>
      <c r="FJY3" s="494"/>
      <c r="FJZ3" s="494"/>
      <c r="FKA3" s="494"/>
      <c r="FKB3" s="494"/>
      <c r="FKC3" s="494"/>
      <c r="FKD3" s="494"/>
      <c r="FKE3" s="494"/>
      <c r="FKF3" s="494"/>
      <c r="FKG3" s="494"/>
      <c r="FKH3" s="494"/>
      <c r="FKI3" s="494"/>
      <c r="FKJ3" s="494"/>
      <c r="FKK3" s="494"/>
      <c r="FKL3" s="494"/>
      <c r="FKM3" s="494"/>
      <c r="FKN3" s="494"/>
      <c r="FKO3" s="494"/>
      <c r="FKP3" s="494"/>
      <c r="FKQ3" s="494"/>
      <c r="FKR3" s="494"/>
      <c r="FKS3" s="494"/>
      <c r="FKT3" s="494"/>
      <c r="FKU3" s="494"/>
      <c r="FKV3" s="494"/>
      <c r="FKW3" s="494"/>
      <c r="FKX3" s="494"/>
      <c r="FKY3" s="494"/>
      <c r="FKZ3" s="494"/>
      <c r="FLA3" s="494"/>
      <c r="FLB3" s="494"/>
      <c r="FLC3" s="494"/>
      <c r="FLD3" s="494"/>
      <c r="FLE3" s="494"/>
      <c r="FLF3" s="494"/>
      <c r="FLG3" s="494"/>
      <c r="FLH3" s="494"/>
      <c r="FLI3" s="494"/>
      <c r="FLJ3" s="494"/>
      <c r="FLK3" s="494"/>
      <c r="FLL3" s="494"/>
      <c r="FLM3" s="494"/>
      <c r="FLN3" s="494"/>
      <c r="FLO3" s="494"/>
      <c r="FLP3" s="494"/>
      <c r="FLQ3" s="494"/>
      <c r="FLR3" s="494"/>
      <c r="FLS3" s="494"/>
      <c r="FLT3" s="494"/>
      <c r="FLU3" s="494"/>
      <c r="FLV3" s="494"/>
      <c r="FLW3" s="494"/>
      <c r="FLX3" s="494"/>
      <c r="FLY3" s="494"/>
      <c r="FLZ3" s="494"/>
      <c r="FMA3" s="494"/>
      <c r="FMB3" s="494"/>
      <c r="FMC3" s="494"/>
      <c r="FMD3" s="494"/>
      <c r="FME3" s="494"/>
      <c r="FMF3" s="494"/>
      <c r="FMG3" s="494"/>
      <c r="FMH3" s="494"/>
      <c r="FMI3" s="494"/>
      <c r="FMJ3" s="494"/>
      <c r="FMK3" s="494"/>
      <c r="FML3" s="494"/>
      <c r="FMM3" s="494"/>
      <c r="FMN3" s="494"/>
      <c r="FMO3" s="494"/>
      <c r="FMP3" s="494"/>
      <c r="FMQ3" s="494"/>
      <c r="FMR3" s="494"/>
      <c r="FMS3" s="494"/>
      <c r="FMT3" s="494"/>
      <c r="FMU3" s="494"/>
      <c r="FMV3" s="494"/>
      <c r="FMW3" s="494"/>
      <c r="FMX3" s="494"/>
      <c r="FMY3" s="494"/>
      <c r="FMZ3" s="494"/>
      <c r="FNA3" s="494"/>
      <c r="FNB3" s="494"/>
      <c r="FNC3" s="494"/>
      <c r="FND3" s="494"/>
      <c r="FNE3" s="494"/>
      <c r="FNF3" s="494"/>
      <c r="FNG3" s="494"/>
      <c r="FNH3" s="494"/>
      <c r="FNI3" s="494"/>
      <c r="FNJ3" s="494"/>
      <c r="FNK3" s="494"/>
      <c r="FNL3" s="494"/>
      <c r="FNM3" s="494"/>
      <c r="FNN3" s="494"/>
      <c r="FNO3" s="494"/>
      <c r="FNP3" s="494"/>
      <c r="FNQ3" s="494"/>
      <c r="FNR3" s="494"/>
      <c r="FNS3" s="494"/>
      <c r="FNT3" s="494"/>
      <c r="FNU3" s="494"/>
      <c r="FNV3" s="494"/>
      <c r="FNW3" s="494"/>
      <c r="FNX3" s="494"/>
      <c r="FNY3" s="494"/>
      <c r="FNZ3" s="494"/>
      <c r="FOA3" s="494"/>
      <c r="FOB3" s="494"/>
      <c r="FOC3" s="494"/>
      <c r="FOD3" s="494"/>
      <c r="FOE3" s="494"/>
      <c r="FOF3" s="494"/>
      <c r="FOG3" s="494"/>
      <c r="FOH3" s="494"/>
      <c r="FOI3" s="494"/>
      <c r="FOJ3" s="494"/>
      <c r="FOK3" s="494"/>
      <c r="FOL3" s="494"/>
      <c r="FOM3" s="494"/>
      <c r="FON3" s="494"/>
      <c r="FOO3" s="494"/>
      <c r="FOP3" s="494"/>
      <c r="FOQ3" s="494"/>
      <c r="FOR3" s="494"/>
      <c r="FOS3" s="494"/>
      <c r="FOT3" s="494"/>
      <c r="FOU3" s="494"/>
      <c r="FOV3" s="494"/>
      <c r="FOW3" s="494"/>
      <c r="FOX3" s="494"/>
      <c r="FOY3" s="494"/>
      <c r="FOZ3" s="494"/>
      <c r="FPA3" s="494"/>
      <c r="FPB3" s="494"/>
      <c r="FPC3" s="494"/>
      <c r="FPD3" s="494"/>
      <c r="FPE3" s="494"/>
      <c r="FPF3" s="494"/>
      <c r="FPG3" s="494"/>
      <c r="FPH3" s="494"/>
      <c r="FPI3" s="494"/>
      <c r="FPJ3" s="494"/>
      <c r="FPK3" s="494"/>
      <c r="FPL3" s="494"/>
      <c r="FPM3" s="494"/>
      <c r="FPN3" s="494"/>
      <c r="FPO3" s="494"/>
      <c r="FPP3" s="494"/>
      <c r="FPQ3" s="494"/>
      <c r="FPR3" s="494"/>
      <c r="FPS3" s="494"/>
      <c r="FPT3" s="494"/>
      <c r="FPU3" s="494"/>
      <c r="FPV3" s="494"/>
      <c r="FPW3" s="494"/>
      <c r="FPX3" s="494"/>
      <c r="FPY3" s="494"/>
      <c r="FPZ3" s="494"/>
      <c r="FQA3" s="494"/>
      <c r="FQB3" s="494"/>
      <c r="FQC3" s="494"/>
      <c r="FQD3" s="494"/>
      <c r="FQE3" s="494"/>
      <c r="FQF3" s="494"/>
      <c r="FQG3" s="494"/>
      <c r="FQH3" s="494"/>
      <c r="FQI3" s="494"/>
      <c r="FQJ3" s="494"/>
      <c r="FQK3" s="494"/>
      <c r="FQL3" s="494"/>
      <c r="FQM3" s="494"/>
      <c r="FQN3" s="494"/>
      <c r="FQO3" s="494"/>
      <c r="FQP3" s="494"/>
      <c r="FQQ3" s="494"/>
      <c r="FQR3" s="494"/>
      <c r="FQS3" s="494"/>
      <c r="FQT3" s="494"/>
      <c r="FQU3" s="494"/>
      <c r="FQV3" s="494"/>
      <c r="FQW3" s="494"/>
      <c r="FQX3" s="494"/>
      <c r="FQY3" s="494"/>
      <c r="FQZ3" s="494"/>
      <c r="FRA3" s="494"/>
      <c r="FRB3" s="494"/>
      <c r="FRC3" s="494"/>
      <c r="FRD3" s="494"/>
      <c r="FRE3" s="494"/>
      <c r="FRF3" s="494"/>
      <c r="FRG3" s="494"/>
      <c r="FRH3" s="494"/>
      <c r="FRI3" s="494"/>
      <c r="FRJ3" s="494"/>
      <c r="FRK3" s="494"/>
      <c r="FRL3" s="494"/>
      <c r="FRM3" s="494"/>
      <c r="FRN3" s="494"/>
      <c r="FRO3" s="494"/>
      <c r="FRP3" s="494"/>
      <c r="FRQ3" s="494"/>
      <c r="FRR3" s="494"/>
      <c r="FRS3" s="494"/>
      <c r="FRT3" s="494"/>
      <c r="FRU3" s="494"/>
      <c r="FRV3" s="494"/>
      <c r="FRW3" s="494"/>
      <c r="FRX3" s="494"/>
      <c r="FRY3" s="494"/>
      <c r="FRZ3" s="494"/>
      <c r="FSA3" s="494"/>
      <c r="FSB3" s="494"/>
      <c r="FSC3" s="494"/>
      <c r="FSD3" s="494"/>
      <c r="FSE3" s="494"/>
      <c r="FSF3" s="494"/>
      <c r="FSG3" s="494"/>
      <c r="FSH3" s="494"/>
      <c r="FSI3" s="494"/>
      <c r="FSJ3" s="494"/>
      <c r="FSK3" s="494"/>
      <c r="FSL3" s="494"/>
      <c r="FSM3" s="494"/>
      <c r="FSN3" s="494"/>
      <c r="FSO3" s="494"/>
      <c r="FSP3" s="494"/>
      <c r="FSQ3" s="494"/>
      <c r="FSR3" s="494"/>
      <c r="FSS3" s="494"/>
      <c r="FST3" s="494"/>
      <c r="FSU3" s="494"/>
      <c r="FSV3" s="494"/>
      <c r="FSW3" s="494"/>
      <c r="FSX3" s="494"/>
      <c r="FSY3" s="494"/>
      <c r="FSZ3" s="494"/>
      <c r="FTA3" s="494"/>
      <c r="FTB3" s="494"/>
      <c r="FTC3" s="494"/>
      <c r="FTD3" s="494"/>
      <c r="FTE3" s="494"/>
      <c r="FTF3" s="494"/>
      <c r="FTG3" s="494"/>
      <c r="FTH3" s="494"/>
      <c r="FTI3" s="494"/>
      <c r="FTJ3" s="494"/>
      <c r="FTK3" s="494"/>
      <c r="FTL3" s="494"/>
      <c r="FTM3" s="494"/>
      <c r="FTN3" s="494"/>
      <c r="FTO3" s="494"/>
      <c r="FTP3" s="494"/>
      <c r="FTQ3" s="494"/>
      <c r="FTR3" s="494"/>
      <c r="FTS3" s="494"/>
      <c r="FTT3" s="494"/>
      <c r="FTU3" s="494"/>
      <c r="FTV3" s="494"/>
      <c r="FTW3" s="494"/>
      <c r="FTX3" s="494"/>
      <c r="FTY3" s="494"/>
      <c r="FTZ3" s="494"/>
      <c r="FUA3" s="494"/>
      <c r="FUB3" s="494"/>
      <c r="FUC3" s="494"/>
      <c r="FUD3" s="494"/>
      <c r="FUE3" s="494"/>
      <c r="FUF3" s="494"/>
      <c r="FUG3" s="494"/>
      <c r="FUH3" s="494"/>
      <c r="FUI3" s="494"/>
      <c r="FUJ3" s="494"/>
      <c r="FUK3" s="494"/>
      <c r="FUL3" s="494"/>
      <c r="FUM3" s="494"/>
      <c r="FUN3" s="494"/>
      <c r="FUO3" s="494"/>
      <c r="FUP3" s="494"/>
      <c r="FUQ3" s="494"/>
      <c r="FUR3" s="494"/>
      <c r="FUS3" s="494"/>
      <c r="FUT3" s="494"/>
      <c r="FUU3" s="494"/>
      <c r="FUV3" s="494"/>
      <c r="FUW3" s="494"/>
      <c r="FUX3" s="494"/>
      <c r="FUY3" s="494"/>
      <c r="FUZ3" s="494"/>
      <c r="FVA3" s="494"/>
      <c r="FVB3" s="494"/>
      <c r="FVC3" s="494"/>
      <c r="FVD3" s="494"/>
      <c r="FVE3" s="494"/>
      <c r="FVF3" s="494"/>
      <c r="FVG3" s="494"/>
      <c r="FVH3" s="494"/>
      <c r="FVI3" s="494"/>
      <c r="FVJ3" s="494"/>
      <c r="FVK3" s="494"/>
      <c r="FVL3" s="494"/>
      <c r="FVM3" s="494"/>
      <c r="FVN3" s="494"/>
      <c r="FVO3" s="494"/>
      <c r="FVP3" s="494"/>
      <c r="FVQ3" s="494"/>
      <c r="FVR3" s="494"/>
      <c r="FVS3" s="494"/>
      <c r="FVT3" s="494"/>
      <c r="FVU3" s="494"/>
      <c r="FVV3" s="494"/>
      <c r="FVW3" s="494"/>
      <c r="FVX3" s="494"/>
      <c r="FVY3" s="494"/>
      <c r="FVZ3" s="494"/>
      <c r="FWA3" s="494"/>
      <c r="FWB3" s="494"/>
      <c r="FWC3" s="494"/>
      <c r="FWD3" s="494"/>
      <c r="FWE3" s="494"/>
      <c r="FWF3" s="494"/>
      <c r="FWG3" s="494"/>
      <c r="FWH3" s="494"/>
      <c r="FWI3" s="494"/>
      <c r="FWJ3" s="494"/>
      <c r="FWK3" s="494"/>
      <c r="FWL3" s="494"/>
      <c r="FWM3" s="494"/>
      <c r="FWN3" s="494"/>
      <c r="FWO3" s="494"/>
      <c r="FWP3" s="494"/>
      <c r="FWQ3" s="494"/>
      <c r="FWR3" s="494"/>
      <c r="FWS3" s="494"/>
      <c r="FWT3" s="494"/>
      <c r="FWU3" s="494"/>
      <c r="FWV3" s="494"/>
      <c r="FWW3" s="494"/>
      <c r="FWX3" s="494"/>
      <c r="FWY3" s="494"/>
      <c r="FWZ3" s="494"/>
      <c r="FXA3" s="494"/>
      <c r="FXB3" s="494"/>
      <c r="FXC3" s="494"/>
      <c r="FXD3" s="494"/>
      <c r="FXE3" s="494"/>
      <c r="FXF3" s="494"/>
      <c r="FXG3" s="494"/>
      <c r="FXH3" s="494"/>
      <c r="FXI3" s="494"/>
      <c r="FXJ3" s="494"/>
      <c r="FXK3" s="494"/>
      <c r="FXL3" s="494"/>
      <c r="FXM3" s="494"/>
      <c r="FXN3" s="494"/>
      <c r="FXO3" s="494"/>
      <c r="FXP3" s="494"/>
      <c r="FXQ3" s="494"/>
      <c r="FXR3" s="494"/>
      <c r="FXS3" s="494"/>
      <c r="FXT3" s="494"/>
      <c r="FXU3" s="494"/>
      <c r="FXV3" s="494"/>
      <c r="FXW3" s="494"/>
      <c r="FXX3" s="494"/>
      <c r="FXY3" s="494"/>
      <c r="FXZ3" s="494"/>
      <c r="FYA3" s="494"/>
      <c r="FYB3" s="494"/>
      <c r="FYC3" s="494"/>
      <c r="FYD3" s="494"/>
      <c r="FYE3" s="494"/>
      <c r="FYF3" s="494"/>
      <c r="FYG3" s="494"/>
      <c r="FYH3" s="494"/>
      <c r="FYI3" s="494"/>
      <c r="FYJ3" s="494"/>
      <c r="FYK3" s="494"/>
      <c r="FYL3" s="494"/>
      <c r="FYM3" s="494"/>
      <c r="FYN3" s="494"/>
      <c r="FYO3" s="494"/>
      <c r="FYP3" s="494"/>
      <c r="FYQ3" s="494"/>
      <c r="FYR3" s="494"/>
      <c r="FYS3" s="494"/>
      <c r="FYT3" s="494"/>
      <c r="FYU3" s="494"/>
      <c r="FYV3" s="494"/>
      <c r="FYW3" s="494"/>
      <c r="FYX3" s="494"/>
      <c r="FYY3" s="494"/>
      <c r="FYZ3" s="494"/>
      <c r="FZA3" s="494"/>
      <c r="FZB3" s="494"/>
      <c r="FZC3" s="494"/>
      <c r="FZD3" s="494"/>
      <c r="FZE3" s="494"/>
      <c r="FZF3" s="494"/>
      <c r="FZG3" s="494"/>
      <c r="FZH3" s="494"/>
      <c r="FZI3" s="494"/>
      <c r="FZJ3" s="494"/>
      <c r="FZK3" s="494"/>
      <c r="FZL3" s="494"/>
      <c r="FZM3" s="494"/>
      <c r="FZN3" s="494"/>
      <c r="FZO3" s="494"/>
      <c r="FZP3" s="494"/>
      <c r="FZQ3" s="494"/>
      <c r="FZR3" s="494"/>
      <c r="FZS3" s="494"/>
      <c r="FZT3" s="494"/>
      <c r="FZU3" s="494"/>
      <c r="FZV3" s="494"/>
      <c r="FZW3" s="494"/>
      <c r="FZX3" s="494"/>
      <c r="FZY3" s="494"/>
      <c r="FZZ3" s="494"/>
      <c r="GAA3" s="494"/>
      <c r="GAB3" s="494"/>
      <c r="GAC3" s="494"/>
      <c r="GAD3" s="494"/>
      <c r="GAE3" s="494"/>
      <c r="GAF3" s="494"/>
      <c r="GAG3" s="494"/>
      <c r="GAH3" s="494"/>
      <c r="GAI3" s="494"/>
      <c r="GAJ3" s="494"/>
      <c r="GAK3" s="494"/>
      <c r="GAL3" s="494"/>
      <c r="GAM3" s="494"/>
      <c r="GAN3" s="494"/>
      <c r="GAO3" s="494"/>
      <c r="GAP3" s="494"/>
      <c r="GAQ3" s="494"/>
      <c r="GAR3" s="494"/>
      <c r="GAS3" s="494"/>
      <c r="GAT3" s="494"/>
      <c r="GAU3" s="494"/>
      <c r="GAV3" s="494"/>
      <c r="GAW3" s="494"/>
      <c r="GAX3" s="494"/>
      <c r="GAY3" s="494"/>
      <c r="GAZ3" s="494"/>
      <c r="GBA3" s="494"/>
      <c r="GBB3" s="494"/>
      <c r="GBC3" s="494"/>
      <c r="GBD3" s="494"/>
      <c r="GBE3" s="494"/>
      <c r="GBF3" s="494"/>
      <c r="GBG3" s="494"/>
      <c r="GBH3" s="494"/>
      <c r="GBI3" s="494"/>
      <c r="GBJ3" s="494"/>
      <c r="GBK3" s="494"/>
      <c r="GBL3" s="494"/>
      <c r="GBM3" s="494"/>
      <c r="GBN3" s="494"/>
      <c r="GBO3" s="494"/>
      <c r="GBP3" s="494"/>
      <c r="GBQ3" s="494"/>
      <c r="GBR3" s="494"/>
      <c r="GBS3" s="494"/>
      <c r="GBT3" s="494"/>
      <c r="GBU3" s="494"/>
      <c r="GBV3" s="494"/>
      <c r="GBW3" s="494"/>
      <c r="GBX3" s="494"/>
      <c r="GBY3" s="494"/>
      <c r="GBZ3" s="494"/>
      <c r="GCA3" s="494"/>
      <c r="GCB3" s="494"/>
      <c r="GCC3" s="494"/>
      <c r="GCD3" s="494"/>
      <c r="GCE3" s="494"/>
      <c r="GCF3" s="494"/>
      <c r="GCG3" s="494"/>
      <c r="GCH3" s="494"/>
      <c r="GCI3" s="494"/>
      <c r="GCJ3" s="494"/>
      <c r="GCK3" s="494"/>
      <c r="GCL3" s="494"/>
      <c r="GCM3" s="494"/>
      <c r="GCN3" s="494"/>
      <c r="GCO3" s="494"/>
      <c r="GCP3" s="494"/>
      <c r="GCQ3" s="494"/>
      <c r="GCR3" s="494"/>
      <c r="GCS3" s="494"/>
      <c r="GCT3" s="494"/>
      <c r="GCU3" s="494"/>
      <c r="GCV3" s="494"/>
      <c r="GCW3" s="494"/>
      <c r="GCX3" s="494"/>
      <c r="GCY3" s="494"/>
      <c r="GCZ3" s="494"/>
      <c r="GDA3" s="494"/>
      <c r="GDB3" s="494"/>
      <c r="GDC3" s="494"/>
      <c r="GDD3" s="494"/>
      <c r="GDE3" s="494"/>
      <c r="GDF3" s="494"/>
      <c r="GDG3" s="494"/>
      <c r="GDH3" s="494"/>
      <c r="GDI3" s="494"/>
      <c r="GDJ3" s="494"/>
      <c r="GDK3" s="494"/>
      <c r="GDL3" s="494"/>
      <c r="GDM3" s="494"/>
      <c r="GDN3" s="494"/>
      <c r="GDO3" s="494"/>
      <c r="GDP3" s="494"/>
      <c r="GDQ3" s="494"/>
      <c r="GDR3" s="494"/>
      <c r="GDS3" s="494"/>
      <c r="GDT3" s="494"/>
      <c r="GDU3" s="494"/>
      <c r="GDV3" s="494"/>
      <c r="GDW3" s="494"/>
      <c r="GDX3" s="494"/>
      <c r="GDY3" s="494"/>
      <c r="GDZ3" s="494"/>
      <c r="GEA3" s="494"/>
      <c r="GEB3" s="494"/>
      <c r="GEC3" s="494"/>
      <c r="GED3" s="494"/>
      <c r="GEE3" s="494"/>
      <c r="GEF3" s="494"/>
      <c r="GEG3" s="494"/>
      <c r="GEH3" s="494"/>
      <c r="GEI3" s="494"/>
      <c r="GEJ3" s="494"/>
      <c r="GEK3" s="494"/>
      <c r="GEL3" s="494"/>
      <c r="GEM3" s="494"/>
      <c r="GEN3" s="494"/>
      <c r="GEO3" s="494"/>
      <c r="GEP3" s="494"/>
      <c r="GEQ3" s="494"/>
      <c r="GER3" s="494"/>
      <c r="GES3" s="494"/>
      <c r="GET3" s="494"/>
      <c r="GEU3" s="494"/>
      <c r="GEV3" s="494"/>
      <c r="GEW3" s="494"/>
      <c r="GEX3" s="494"/>
      <c r="GEY3" s="494"/>
      <c r="GEZ3" s="494"/>
      <c r="GFA3" s="494"/>
      <c r="GFB3" s="494"/>
      <c r="GFC3" s="494"/>
      <c r="GFD3" s="494"/>
      <c r="GFE3" s="494"/>
      <c r="GFF3" s="494"/>
      <c r="GFG3" s="494"/>
      <c r="GFH3" s="494"/>
      <c r="GFI3" s="494"/>
      <c r="GFJ3" s="494"/>
      <c r="GFK3" s="494"/>
      <c r="GFL3" s="494"/>
      <c r="GFM3" s="494"/>
      <c r="GFN3" s="494"/>
      <c r="GFO3" s="494"/>
      <c r="GFP3" s="494"/>
      <c r="GFQ3" s="494"/>
      <c r="GFR3" s="494"/>
      <c r="GFS3" s="494"/>
      <c r="GFT3" s="494"/>
      <c r="GFU3" s="494"/>
      <c r="GFV3" s="494"/>
      <c r="GFW3" s="494"/>
      <c r="GFX3" s="494"/>
      <c r="GFY3" s="494"/>
      <c r="GFZ3" s="494"/>
      <c r="GGA3" s="494"/>
      <c r="GGB3" s="494"/>
      <c r="GGC3" s="494"/>
      <c r="GGD3" s="494"/>
      <c r="GGE3" s="494"/>
      <c r="GGF3" s="494"/>
      <c r="GGG3" s="494"/>
      <c r="GGH3" s="494"/>
      <c r="GGI3" s="494"/>
      <c r="GGJ3" s="494"/>
      <c r="GGK3" s="494"/>
      <c r="GGL3" s="494"/>
      <c r="GGM3" s="494"/>
      <c r="GGN3" s="494"/>
      <c r="GGO3" s="494"/>
      <c r="GGP3" s="494"/>
      <c r="GGQ3" s="494"/>
      <c r="GGR3" s="494"/>
      <c r="GGS3" s="494"/>
      <c r="GGT3" s="494"/>
      <c r="GGU3" s="494"/>
      <c r="GGV3" s="494"/>
      <c r="GGW3" s="494"/>
      <c r="GGX3" s="494"/>
      <c r="GGY3" s="494"/>
      <c r="GGZ3" s="494"/>
      <c r="GHA3" s="494"/>
      <c r="GHB3" s="494"/>
      <c r="GHC3" s="494"/>
      <c r="GHD3" s="494"/>
      <c r="GHE3" s="494"/>
      <c r="GHF3" s="494"/>
      <c r="GHG3" s="494"/>
      <c r="GHH3" s="494"/>
      <c r="GHI3" s="494"/>
      <c r="GHJ3" s="494"/>
      <c r="GHK3" s="494"/>
      <c r="GHL3" s="494"/>
      <c r="GHM3" s="494"/>
      <c r="GHN3" s="494"/>
      <c r="GHO3" s="494"/>
      <c r="GHP3" s="494"/>
      <c r="GHQ3" s="494"/>
      <c r="GHR3" s="494"/>
      <c r="GHS3" s="494"/>
      <c r="GHT3" s="494"/>
      <c r="GHU3" s="494"/>
      <c r="GHV3" s="494"/>
      <c r="GHW3" s="494"/>
      <c r="GHX3" s="494"/>
      <c r="GHY3" s="494"/>
      <c r="GHZ3" s="494"/>
      <c r="GIA3" s="494"/>
      <c r="GIB3" s="494"/>
      <c r="GIC3" s="494"/>
      <c r="GID3" s="494"/>
      <c r="GIE3" s="494"/>
      <c r="GIF3" s="494"/>
      <c r="GIG3" s="494"/>
      <c r="GIH3" s="494"/>
      <c r="GII3" s="494"/>
      <c r="GIJ3" s="494"/>
      <c r="GIK3" s="494"/>
      <c r="GIL3" s="494"/>
      <c r="GIM3" s="494"/>
      <c r="GIN3" s="494"/>
      <c r="GIO3" s="494"/>
      <c r="GIP3" s="494"/>
      <c r="GIQ3" s="494"/>
      <c r="GIR3" s="494"/>
      <c r="GIS3" s="494"/>
      <c r="GIT3" s="494"/>
      <c r="GIU3" s="494"/>
      <c r="GIV3" s="494"/>
      <c r="GIW3" s="494"/>
      <c r="GIX3" s="494"/>
      <c r="GIY3" s="494"/>
      <c r="GIZ3" s="494"/>
      <c r="GJA3" s="494"/>
      <c r="GJB3" s="494"/>
      <c r="GJC3" s="494"/>
      <c r="GJD3" s="494"/>
      <c r="GJE3" s="494"/>
      <c r="GJF3" s="494"/>
      <c r="GJG3" s="494"/>
      <c r="GJH3" s="494"/>
      <c r="GJI3" s="494"/>
      <c r="GJJ3" s="494"/>
      <c r="GJK3" s="494"/>
      <c r="GJL3" s="494"/>
      <c r="GJM3" s="494"/>
      <c r="GJN3" s="494"/>
      <c r="GJO3" s="494"/>
      <c r="GJP3" s="494"/>
      <c r="GJQ3" s="494"/>
      <c r="GJR3" s="494"/>
      <c r="GJS3" s="494"/>
      <c r="GJT3" s="494"/>
      <c r="GJU3" s="494"/>
      <c r="GJV3" s="494"/>
      <c r="GJW3" s="494"/>
      <c r="GJX3" s="494"/>
      <c r="GJY3" s="494"/>
      <c r="GJZ3" s="494"/>
      <c r="GKA3" s="494"/>
      <c r="GKB3" s="494"/>
      <c r="GKC3" s="494"/>
      <c r="GKD3" s="494"/>
      <c r="GKE3" s="494"/>
      <c r="GKF3" s="494"/>
      <c r="GKG3" s="494"/>
      <c r="GKH3" s="494"/>
      <c r="GKI3" s="494"/>
      <c r="GKJ3" s="494"/>
      <c r="GKK3" s="494"/>
      <c r="GKL3" s="494"/>
      <c r="GKM3" s="494"/>
      <c r="GKN3" s="494"/>
      <c r="GKO3" s="494"/>
      <c r="GKP3" s="494"/>
      <c r="GKQ3" s="494"/>
      <c r="GKR3" s="494"/>
      <c r="GKS3" s="494"/>
      <c r="GKT3" s="494"/>
      <c r="GKU3" s="494"/>
      <c r="GKV3" s="494"/>
      <c r="GKW3" s="494"/>
      <c r="GKX3" s="494"/>
      <c r="GKY3" s="494"/>
      <c r="GKZ3" s="494"/>
      <c r="GLA3" s="494"/>
      <c r="GLB3" s="494"/>
      <c r="GLC3" s="494"/>
      <c r="GLD3" s="494"/>
      <c r="GLE3" s="494"/>
      <c r="GLF3" s="494"/>
      <c r="GLG3" s="494"/>
      <c r="GLH3" s="494"/>
      <c r="GLI3" s="494"/>
      <c r="GLJ3" s="494"/>
      <c r="GLK3" s="494"/>
      <c r="GLL3" s="494"/>
      <c r="GLM3" s="494"/>
      <c r="GLN3" s="494"/>
      <c r="GLO3" s="494"/>
      <c r="GLP3" s="494"/>
      <c r="GLQ3" s="494"/>
      <c r="GLR3" s="494"/>
      <c r="GLS3" s="494"/>
      <c r="GLT3" s="494"/>
      <c r="GLU3" s="494"/>
      <c r="GLV3" s="494"/>
      <c r="GLW3" s="494"/>
      <c r="GLX3" s="494"/>
      <c r="GLY3" s="494"/>
      <c r="GLZ3" s="494"/>
      <c r="GMA3" s="494"/>
      <c r="GMB3" s="494"/>
      <c r="GMC3" s="494"/>
      <c r="GMD3" s="494"/>
      <c r="GME3" s="494"/>
      <c r="GMF3" s="494"/>
      <c r="GMG3" s="494"/>
      <c r="GMH3" s="494"/>
      <c r="GMI3" s="494"/>
      <c r="GMJ3" s="494"/>
      <c r="GMK3" s="494"/>
      <c r="GML3" s="494"/>
      <c r="GMM3" s="494"/>
      <c r="GMN3" s="494"/>
      <c r="GMO3" s="494"/>
      <c r="GMP3" s="494"/>
      <c r="GMQ3" s="494"/>
      <c r="GMR3" s="494"/>
      <c r="GMS3" s="494"/>
      <c r="GMT3" s="494"/>
      <c r="GMU3" s="494"/>
      <c r="GMV3" s="494"/>
      <c r="GMW3" s="494"/>
      <c r="GMX3" s="494"/>
      <c r="GMY3" s="494"/>
      <c r="GMZ3" s="494"/>
      <c r="GNA3" s="494"/>
      <c r="GNB3" s="494"/>
      <c r="GNC3" s="494"/>
      <c r="GND3" s="494"/>
      <c r="GNE3" s="494"/>
      <c r="GNF3" s="494"/>
      <c r="GNG3" s="494"/>
      <c r="GNH3" s="494"/>
      <c r="GNI3" s="494"/>
      <c r="GNJ3" s="494"/>
      <c r="GNK3" s="494"/>
      <c r="GNL3" s="494"/>
      <c r="GNM3" s="494"/>
      <c r="GNN3" s="494"/>
      <c r="GNO3" s="494"/>
      <c r="GNP3" s="494"/>
      <c r="GNQ3" s="494"/>
      <c r="GNR3" s="494"/>
      <c r="GNS3" s="494"/>
      <c r="GNT3" s="494"/>
      <c r="GNU3" s="494"/>
      <c r="GNV3" s="494"/>
      <c r="GNW3" s="494"/>
      <c r="GNX3" s="494"/>
      <c r="GNY3" s="494"/>
      <c r="GNZ3" s="494"/>
      <c r="GOA3" s="494"/>
      <c r="GOB3" s="494"/>
      <c r="GOC3" s="494"/>
      <c r="GOD3" s="494"/>
      <c r="GOE3" s="494"/>
      <c r="GOF3" s="494"/>
      <c r="GOG3" s="494"/>
      <c r="GOH3" s="494"/>
      <c r="GOI3" s="494"/>
      <c r="GOJ3" s="494"/>
      <c r="GOK3" s="494"/>
      <c r="GOL3" s="494"/>
      <c r="GOM3" s="494"/>
      <c r="GON3" s="494"/>
      <c r="GOO3" s="494"/>
      <c r="GOP3" s="494"/>
      <c r="GOQ3" s="494"/>
      <c r="GOR3" s="494"/>
      <c r="GOS3" s="494"/>
      <c r="GOT3" s="494"/>
      <c r="GOU3" s="494"/>
      <c r="GOV3" s="494"/>
      <c r="GOW3" s="494"/>
      <c r="GOX3" s="494"/>
      <c r="GOY3" s="494"/>
      <c r="GOZ3" s="494"/>
      <c r="GPA3" s="494"/>
      <c r="GPB3" s="494"/>
      <c r="GPC3" s="494"/>
      <c r="GPD3" s="494"/>
      <c r="GPE3" s="494"/>
      <c r="GPF3" s="494"/>
      <c r="GPG3" s="494"/>
      <c r="GPH3" s="494"/>
      <c r="GPI3" s="494"/>
      <c r="GPJ3" s="494"/>
      <c r="GPK3" s="494"/>
      <c r="GPL3" s="494"/>
      <c r="GPM3" s="494"/>
      <c r="GPN3" s="494"/>
      <c r="GPO3" s="494"/>
      <c r="GPP3" s="494"/>
      <c r="GPQ3" s="494"/>
      <c r="GPR3" s="494"/>
      <c r="GPS3" s="494"/>
      <c r="GPT3" s="494"/>
      <c r="GPU3" s="494"/>
      <c r="GPV3" s="494"/>
      <c r="GPW3" s="494"/>
      <c r="GPX3" s="494"/>
      <c r="GPY3" s="494"/>
      <c r="GPZ3" s="494"/>
      <c r="GQA3" s="494"/>
      <c r="GQB3" s="494"/>
      <c r="GQC3" s="494"/>
      <c r="GQD3" s="494"/>
      <c r="GQE3" s="494"/>
      <c r="GQF3" s="494"/>
      <c r="GQG3" s="494"/>
      <c r="GQH3" s="494"/>
      <c r="GQI3" s="494"/>
      <c r="GQJ3" s="494"/>
      <c r="GQK3" s="494"/>
      <c r="GQL3" s="494"/>
      <c r="GQM3" s="494"/>
      <c r="GQN3" s="494"/>
      <c r="GQO3" s="494"/>
      <c r="GQP3" s="494"/>
      <c r="GQQ3" s="494"/>
      <c r="GQR3" s="494"/>
      <c r="GQS3" s="494"/>
      <c r="GQT3" s="494"/>
      <c r="GQU3" s="494"/>
      <c r="GQV3" s="494"/>
      <c r="GQW3" s="494"/>
      <c r="GQX3" s="494"/>
      <c r="GQY3" s="494"/>
      <c r="GQZ3" s="494"/>
      <c r="GRA3" s="494"/>
      <c r="GRB3" s="494"/>
      <c r="GRC3" s="494"/>
      <c r="GRD3" s="494"/>
      <c r="GRE3" s="494"/>
      <c r="GRF3" s="494"/>
      <c r="GRG3" s="494"/>
      <c r="GRH3" s="494"/>
      <c r="GRI3" s="494"/>
      <c r="GRJ3" s="494"/>
      <c r="GRK3" s="494"/>
      <c r="GRL3" s="494"/>
      <c r="GRM3" s="494"/>
      <c r="GRN3" s="494"/>
      <c r="GRO3" s="494"/>
      <c r="GRP3" s="494"/>
      <c r="GRQ3" s="494"/>
      <c r="GRR3" s="494"/>
      <c r="GRS3" s="494"/>
      <c r="GRT3" s="494"/>
      <c r="GRU3" s="494"/>
      <c r="GRV3" s="494"/>
      <c r="GRW3" s="494"/>
      <c r="GRX3" s="494"/>
      <c r="GRY3" s="494"/>
      <c r="GRZ3" s="494"/>
      <c r="GSA3" s="494"/>
      <c r="GSB3" s="494"/>
      <c r="GSC3" s="494"/>
      <c r="GSD3" s="494"/>
      <c r="GSE3" s="494"/>
      <c r="GSF3" s="494"/>
      <c r="GSG3" s="494"/>
      <c r="GSH3" s="494"/>
      <c r="GSI3" s="494"/>
      <c r="GSJ3" s="494"/>
      <c r="GSK3" s="494"/>
      <c r="GSL3" s="494"/>
      <c r="GSM3" s="494"/>
      <c r="GSN3" s="494"/>
      <c r="GSO3" s="494"/>
      <c r="GSP3" s="494"/>
      <c r="GSQ3" s="494"/>
      <c r="GSR3" s="494"/>
      <c r="GSS3" s="494"/>
      <c r="GST3" s="494"/>
      <c r="GSU3" s="494"/>
      <c r="GSV3" s="494"/>
      <c r="GSW3" s="494"/>
      <c r="GSX3" s="494"/>
      <c r="GSY3" s="494"/>
      <c r="GSZ3" s="494"/>
      <c r="GTA3" s="494"/>
      <c r="GTB3" s="494"/>
      <c r="GTC3" s="494"/>
      <c r="GTD3" s="494"/>
      <c r="GTE3" s="494"/>
      <c r="GTF3" s="494"/>
      <c r="GTG3" s="494"/>
      <c r="GTH3" s="494"/>
      <c r="GTI3" s="494"/>
      <c r="GTJ3" s="494"/>
      <c r="GTK3" s="494"/>
      <c r="GTL3" s="494"/>
      <c r="GTM3" s="494"/>
      <c r="GTN3" s="494"/>
      <c r="GTO3" s="494"/>
      <c r="GTP3" s="494"/>
      <c r="GTQ3" s="494"/>
      <c r="GTR3" s="494"/>
      <c r="GTS3" s="494"/>
      <c r="GTT3" s="494"/>
      <c r="GTU3" s="494"/>
      <c r="GTV3" s="494"/>
      <c r="GTW3" s="494"/>
      <c r="GTX3" s="494"/>
      <c r="GTY3" s="494"/>
      <c r="GTZ3" s="494"/>
      <c r="GUA3" s="494"/>
      <c r="GUB3" s="494"/>
      <c r="GUC3" s="494"/>
      <c r="GUD3" s="494"/>
      <c r="GUE3" s="494"/>
      <c r="GUF3" s="494"/>
      <c r="GUG3" s="494"/>
      <c r="GUH3" s="494"/>
      <c r="GUI3" s="494"/>
      <c r="GUJ3" s="494"/>
      <c r="GUK3" s="494"/>
      <c r="GUL3" s="494"/>
      <c r="GUM3" s="494"/>
      <c r="GUN3" s="494"/>
      <c r="GUO3" s="494"/>
      <c r="GUP3" s="494"/>
      <c r="GUQ3" s="494"/>
      <c r="GUR3" s="494"/>
      <c r="GUS3" s="494"/>
      <c r="GUT3" s="494"/>
      <c r="GUU3" s="494"/>
      <c r="GUV3" s="494"/>
      <c r="GUW3" s="494"/>
      <c r="GUX3" s="494"/>
      <c r="GUY3" s="494"/>
      <c r="GUZ3" s="494"/>
      <c r="GVA3" s="494"/>
      <c r="GVB3" s="494"/>
      <c r="GVC3" s="494"/>
      <c r="GVD3" s="494"/>
      <c r="GVE3" s="494"/>
      <c r="GVF3" s="494"/>
      <c r="GVG3" s="494"/>
      <c r="GVH3" s="494"/>
      <c r="GVI3" s="494"/>
      <c r="GVJ3" s="494"/>
      <c r="GVK3" s="494"/>
      <c r="GVL3" s="494"/>
      <c r="GVM3" s="494"/>
      <c r="GVN3" s="494"/>
      <c r="GVO3" s="494"/>
      <c r="GVP3" s="494"/>
      <c r="GVQ3" s="494"/>
      <c r="GVR3" s="494"/>
      <c r="GVS3" s="494"/>
      <c r="GVT3" s="494"/>
      <c r="GVU3" s="494"/>
      <c r="GVV3" s="494"/>
      <c r="GVW3" s="494"/>
      <c r="GVX3" s="494"/>
      <c r="GVY3" s="494"/>
      <c r="GVZ3" s="494"/>
      <c r="GWA3" s="494"/>
      <c r="GWB3" s="494"/>
      <c r="GWC3" s="494"/>
      <c r="GWD3" s="494"/>
      <c r="GWE3" s="494"/>
      <c r="GWF3" s="494"/>
      <c r="GWG3" s="494"/>
      <c r="GWH3" s="494"/>
      <c r="GWI3" s="494"/>
      <c r="GWJ3" s="494"/>
      <c r="GWK3" s="494"/>
      <c r="GWL3" s="494"/>
      <c r="GWM3" s="494"/>
      <c r="GWN3" s="494"/>
      <c r="GWO3" s="494"/>
      <c r="GWP3" s="494"/>
      <c r="GWQ3" s="494"/>
      <c r="GWR3" s="494"/>
      <c r="GWS3" s="494"/>
      <c r="GWT3" s="494"/>
      <c r="GWU3" s="494"/>
      <c r="GWV3" s="494"/>
      <c r="GWW3" s="494"/>
      <c r="GWX3" s="494"/>
      <c r="GWY3" s="494"/>
      <c r="GWZ3" s="494"/>
      <c r="GXA3" s="494"/>
      <c r="GXB3" s="494"/>
      <c r="GXC3" s="494"/>
      <c r="GXD3" s="494"/>
      <c r="GXE3" s="494"/>
      <c r="GXF3" s="494"/>
      <c r="GXG3" s="494"/>
      <c r="GXH3" s="494"/>
      <c r="GXI3" s="494"/>
      <c r="GXJ3" s="494"/>
      <c r="GXK3" s="494"/>
      <c r="GXL3" s="494"/>
      <c r="GXM3" s="494"/>
      <c r="GXN3" s="494"/>
      <c r="GXO3" s="494"/>
      <c r="GXP3" s="494"/>
      <c r="GXQ3" s="494"/>
      <c r="GXR3" s="494"/>
      <c r="GXS3" s="494"/>
      <c r="GXT3" s="494"/>
      <c r="GXU3" s="494"/>
      <c r="GXV3" s="494"/>
      <c r="GXW3" s="494"/>
      <c r="GXX3" s="494"/>
      <c r="GXY3" s="494"/>
      <c r="GXZ3" s="494"/>
      <c r="GYA3" s="494"/>
      <c r="GYB3" s="494"/>
      <c r="GYC3" s="494"/>
      <c r="GYD3" s="494"/>
      <c r="GYE3" s="494"/>
      <c r="GYF3" s="494"/>
      <c r="GYG3" s="494"/>
      <c r="GYH3" s="494"/>
      <c r="GYI3" s="494"/>
      <c r="GYJ3" s="494"/>
      <c r="GYK3" s="494"/>
      <c r="GYL3" s="494"/>
      <c r="GYM3" s="494"/>
      <c r="GYN3" s="494"/>
      <c r="GYO3" s="494"/>
      <c r="GYP3" s="494"/>
      <c r="GYQ3" s="494"/>
      <c r="GYR3" s="494"/>
      <c r="GYS3" s="494"/>
      <c r="GYT3" s="494"/>
      <c r="GYU3" s="494"/>
      <c r="GYV3" s="494"/>
      <c r="GYW3" s="494"/>
      <c r="GYX3" s="494"/>
      <c r="GYY3" s="494"/>
      <c r="GYZ3" s="494"/>
      <c r="GZA3" s="494"/>
      <c r="GZB3" s="494"/>
      <c r="GZC3" s="494"/>
      <c r="GZD3" s="494"/>
      <c r="GZE3" s="494"/>
      <c r="GZF3" s="494"/>
      <c r="GZG3" s="494"/>
      <c r="GZH3" s="494"/>
      <c r="GZI3" s="494"/>
      <c r="GZJ3" s="494"/>
      <c r="GZK3" s="494"/>
      <c r="GZL3" s="494"/>
      <c r="GZM3" s="494"/>
      <c r="GZN3" s="494"/>
      <c r="GZO3" s="494"/>
      <c r="GZP3" s="494"/>
      <c r="GZQ3" s="494"/>
      <c r="GZR3" s="494"/>
      <c r="GZS3" s="494"/>
      <c r="GZT3" s="494"/>
      <c r="GZU3" s="494"/>
      <c r="GZV3" s="494"/>
      <c r="GZW3" s="494"/>
      <c r="GZX3" s="494"/>
      <c r="GZY3" s="494"/>
      <c r="GZZ3" s="494"/>
      <c r="HAA3" s="494"/>
      <c r="HAB3" s="494"/>
      <c r="HAC3" s="494"/>
      <c r="HAD3" s="494"/>
      <c r="HAE3" s="494"/>
      <c r="HAF3" s="494"/>
      <c r="HAG3" s="494"/>
      <c r="HAH3" s="494"/>
      <c r="HAI3" s="494"/>
      <c r="HAJ3" s="494"/>
      <c r="HAK3" s="494"/>
      <c r="HAL3" s="494"/>
      <c r="HAM3" s="494"/>
      <c r="HAN3" s="494"/>
      <c r="HAO3" s="494"/>
      <c r="HAP3" s="494"/>
      <c r="HAQ3" s="494"/>
      <c r="HAR3" s="494"/>
      <c r="HAS3" s="494"/>
      <c r="HAT3" s="494"/>
      <c r="HAU3" s="494"/>
      <c r="HAV3" s="494"/>
      <c r="HAW3" s="494"/>
      <c r="HAX3" s="494"/>
      <c r="HAY3" s="494"/>
      <c r="HAZ3" s="494"/>
      <c r="HBA3" s="494"/>
      <c r="HBB3" s="494"/>
      <c r="HBC3" s="494"/>
      <c r="HBD3" s="494"/>
      <c r="HBE3" s="494"/>
      <c r="HBF3" s="494"/>
      <c r="HBG3" s="494"/>
      <c r="HBH3" s="494"/>
      <c r="HBI3" s="494"/>
      <c r="HBJ3" s="494"/>
      <c r="HBK3" s="494"/>
      <c r="HBL3" s="494"/>
      <c r="HBM3" s="494"/>
      <c r="HBN3" s="494"/>
      <c r="HBO3" s="494"/>
      <c r="HBP3" s="494"/>
      <c r="HBQ3" s="494"/>
      <c r="HBR3" s="494"/>
      <c r="HBS3" s="494"/>
      <c r="HBT3" s="494"/>
      <c r="HBU3" s="494"/>
      <c r="HBV3" s="494"/>
      <c r="HBW3" s="494"/>
      <c r="HBX3" s="494"/>
      <c r="HBY3" s="494"/>
      <c r="HBZ3" s="494"/>
      <c r="HCA3" s="494"/>
      <c r="HCB3" s="494"/>
      <c r="HCC3" s="494"/>
      <c r="HCD3" s="494"/>
      <c r="HCE3" s="494"/>
      <c r="HCF3" s="494"/>
      <c r="HCG3" s="494"/>
      <c r="HCH3" s="494"/>
      <c r="HCI3" s="494"/>
      <c r="HCJ3" s="494"/>
      <c r="HCK3" s="494"/>
      <c r="HCL3" s="494"/>
      <c r="HCM3" s="494"/>
      <c r="HCN3" s="494"/>
      <c r="HCO3" s="494"/>
      <c r="HCP3" s="494"/>
      <c r="HCQ3" s="494"/>
      <c r="HCR3" s="494"/>
      <c r="HCS3" s="494"/>
      <c r="HCT3" s="494"/>
      <c r="HCU3" s="494"/>
      <c r="HCV3" s="494"/>
      <c r="HCW3" s="494"/>
      <c r="HCX3" s="494"/>
      <c r="HCY3" s="494"/>
      <c r="HCZ3" s="494"/>
      <c r="HDA3" s="494"/>
      <c r="HDB3" s="494"/>
      <c r="HDC3" s="494"/>
      <c r="HDD3" s="494"/>
      <c r="HDE3" s="494"/>
      <c r="HDF3" s="494"/>
      <c r="HDG3" s="494"/>
      <c r="HDH3" s="494"/>
      <c r="HDI3" s="494"/>
      <c r="HDJ3" s="494"/>
      <c r="HDK3" s="494"/>
      <c r="HDL3" s="494"/>
      <c r="HDM3" s="494"/>
      <c r="HDN3" s="494"/>
      <c r="HDO3" s="494"/>
      <c r="HDP3" s="494"/>
      <c r="HDQ3" s="494"/>
      <c r="HDR3" s="494"/>
      <c r="HDS3" s="494"/>
      <c r="HDT3" s="494"/>
      <c r="HDU3" s="494"/>
      <c r="HDV3" s="494"/>
      <c r="HDW3" s="494"/>
      <c r="HDX3" s="494"/>
      <c r="HDY3" s="494"/>
      <c r="HDZ3" s="494"/>
      <c r="HEA3" s="494"/>
      <c r="HEB3" s="494"/>
      <c r="HEC3" s="494"/>
      <c r="HED3" s="494"/>
      <c r="HEE3" s="494"/>
      <c r="HEF3" s="494"/>
      <c r="HEG3" s="494"/>
      <c r="HEH3" s="494"/>
      <c r="HEI3" s="494"/>
      <c r="HEJ3" s="494"/>
      <c r="HEK3" s="494"/>
      <c r="HEL3" s="494"/>
      <c r="HEM3" s="494"/>
      <c r="HEN3" s="494"/>
      <c r="HEO3" s="494"/>
      <c r="HEP3" s="494"/>
      <c r="HEQ3" s="494"/>
      <c r="HER3" s="494"/>
      <c r="HES3" s="494"/>
      <c r="HET3" s="494"/>
      <c r="HEU3" s="494"/>
      <c r="HEV3" s="494"/>
      <c r="HEW3" s="494"/>
      <c r="HEX3" s="494"/>
      <c r="HEY3" s="494"/>
      <c r="HEZ3" s="494"/>
      <c r="HFA3" s="494"/>
      <c r="HFB3" s="494"/>
      <c r="HFC3" s="494"/>
      <c r="HFD3" s="494"/>
      <c r="HFE3" s="494"/>
      <c r="HFF3" s="494"/>
      <c r="HFG3" s="494"/>
      <c r="HFH3" s="494"/>
      <c r="HFI3" s="494"/>
      <c r="HFJ3" s="494"/>
      <c r="HFK3" s="494"/>
      <c r="HFL3" s="494"/>
      <c r="HFM3" s="494"/>
      <c r="HFN3" s="494"/>
      <c r="HFO3" s="494"/>
      <c r="HFP3" s="494"/>
      <c r="HFQ3" s="494"/>
      <c r="HFR3" s="494"/>
      <c r="HFS3" s="494"/>
      <c r="HFT3" s="494"/>
      <c r="HFU3" s="494"/>
      <c r="HFV3" s="494"/>
      <c r="HFW3" s="494"/>
      <c r="HFX3" s="494"/>
      <c r="HFY3" s="494"/>
      <c r="HFZ3" s="494"/>
      <c r="HGA3" s="494"/>
      <c r="HGB3" s="494"/>
      <c r="HGC3" s="494"/>
      <c r="HGD3" s="494"/>
      <c r="HGE3" s="494"/>
      <c r="HGF3" s="494"/>
      <c r="HGG3" s="494"/>
      <c r="HGH3" s="494"/>
      <c r="HGI3" s="494"/>
      <c r="HGJ3" s="494"/>
      <c r="HGK3" s="494"/>
      <c r="HGL3" s="494"/>
      <c r="HGM3" s="494"/>
      <c r="HGN3" s="494"/>
      <c r="HGO3" s="494"/>
      <c r="HGP3" s="494"/>
      <c r="HGQ3" s="494"/>
      <c r="HGR3" s="494"/>
      <c r="HGS3" s="494"/>
      <c r="HGT3" s="494"/>
      <c r="HGU3" s="494"/>
      <c r="HGV3" s="494"/>
      <c r="HGW3" s="494"/>
      <c r="HGX3" s="494"/>
      <c r="HGY3" s="494"/>
      <c r="HGZ3" s="494"/>
      <c r="HHA3" s="494"/>
      <c r="HHB3" s="494"/>
      <c r="HHC3" s="494"/>
      <c r="HHD3" s="494"/>
      <c r="HHE3" s="494"/>
      <c r="HHF3" s="494"/>
      <c r="HHG3" s="494"/>
      <c r="HHH3" s="494"/>
      <c r="HHI3" s="494"/>
      <c r="HHJ3" s="494"/>
      <c r="HHK3" s="494"/>
      <c r="HHL3" s="494"/>
      <c r="HHM3" s="494"/>
      <c r="HHN3" s="494"/>
      <c r="HHO3" s="494"/>
      <c r="HHP3" s="494"/>
      <c r="HHQ3" s="494"/>
      <c r="HHR3" s="494"/>
      <c r="HHS3" s="494"/>
      <c r="HHT3" s="494"/>
      <c r="HHU3" s="494"/>
      <c r="HHV3" s="494"/>
      <c r="HHW3" s="494"/>
      <c r="HHX3" s="494"/>
      <c r="HHY3" s="494"/>
      <c r="HHZ3" s="494"/>
      <c r="HIA3" s="494"/>
      <c r="HIB3" s="494"/>
      <c r="HIC3" s="494"/>
      <c r="HID3" s="494"/>
      <c r="HIE3" s="494"/>
      <c r="HIF3" s="494"/>
      <c r="HIG3" s="494"/>
      <c r="HIH3" s="494"/>
      <c r="HII3" s="494"/>
      <c r="HIJ3" s="494"/>
      <c r="HIK3" s="494"/>
      <c r="HIL3" s="494"/>
      <c r="HIM3" s="494"/>
      <c r="HIN3" s="494"/>
      <c r="HIO3" s="494"/>
      <c r="HIP3" s="494"/>
      <c r="HIQ3" s="494"/>
      <c r="HIR3" s="494"/>
      <c r="HIS3" s="494"/>
      <c r="HIT3" s="494"/>
      <c r="HIU3" s="494"/>
      <c r="HIV3" s="494"/>
      <c r="HIW3" s="494"/>
      <c r="HIX3" s="494"/>
      <c r="HIY3" s="494"/>
      <c r="HIZ3" s="494"/>
      <c r="HJA3" s="494"/>
      <c r="HJB3" s="494"/>
      <c r="HJC3" s="494"/>
      <c r="HJD3" s="494"/>
      <c r="HJE3" s="494"/>
      <c r="HJF3" s="494"/>
      <c r="HJG3" s="494"/>
      <c r="HJH3" s="494"/>
      <c r="HJI3" s="494"/>
      <c r="HJJ3" s="494"/>
      <c r="HJK3" s="494"/>
      <c r="HJL3" s="494"/>
      <c r="HJM3" s="494"/>
      <c r="HJN3" s="494"/>
      <c r="HJO3" s="494"/>
      <c r="HJP3" s="494"/>
      <c r="HJQ3" s="494"/>
      <c r="HJR3" s="494"/>
      <c r="HJS3" s="494"/>
      <c r="HJT3" s="494"/>
      <c r="HJU3" s="494"/>
      <c r="HJV3" s="494"/>
      <c r="HJW3" s="494"/>
      <c r="HJX3" s="494"/>
      <c r="HJY3" s="494"/>
      <c r="HJZ3" s="494"/>
      <c r="HKA3" s="494"/>
      <c r="HKB3" s="494"/>
      <c r="HKC3" s="494"/>
      <c r="HKD3" s="494"/>
      <c r="HKE3" s="494"/>
      <c r="HKF3" s="494"/>
      <c r="HKG3" s="494"/>
      <c r="HKH3" s="494"/>
      <c r="HKI3" s="494"/>
      <c r="HKJ3" s="494"/>
      <c r="HKK3" s="494"/>
      <c r="HKL3" s="494"/>
      <c r="HKM3" s="494"/>
      <c r="HKN3" s="494"/>
      <c r="HKO3" s="494"/>
      <c r="HKP3" s="494"/>
      <c r="HKQ3" s="494"/>
      <c r="HKR3" s="494"/>
      <c r="HKS3" s="494"/>
      <c r="HKT3" s="494"/>
      <c r="HKU3" s="494"/>
      <c r="HKV3" s="494"/>
      <c r="HKW3" s="494"/>
      <c r="HKX3" s="494"/>
      <c r="HKY3" s="494"/>
      <c r="HKZ3" s="494"/>
      <c r="HLA3" s="494"/>
      <c r="HLB3" s="494"/>
      <c r="HLC3" s="494"/>
      <c r="HLD3" s="494"/>
      <c r="HLE3" s="494"/>
      <c r="HLF3" s="494"/>
      <c r="HLG3" s="494"/>
      <c r="HLH3" s="494"/>
      <c r="HLI3" s="494"/>
      <c r="HLJ3" s="494"/>
      <c r="HLK3" s="494"/>
      <c r="HLL3" s="494"/>
      <c r="HLM3" s="494"/>
      <c r="HLN3" s="494"/>
      <c r="HLO3" s="494"/>
      <c r="HLP3" s="494"/>
      <c r="HLQ3" s="494"/>
      <c r="HLR3" s="494"/>
      <c r="HLS3" s="494"/>
      <c r="HLT3" s="494"/>
      <c r="HLU3" s="494"/>
      <c r="HLV3" s="494"/>
      <c r="HLW3" s="494"/>
      <c r="HLX3" s="494"/>
      <c r="HLY3" s="494"/>
      <c r="HLZ3" s="494"/>
      <c r="HMA3" s="494"/>
      <c r="HMB3" s="494"/>
      <c r="HMC3" s="494"/>
      <c r="HMD3" s="494"/>
      <c r="HME3" s="494"/>
      <c r="HMF3" s="494"/>
      <c r="HMG3" s="494"/>
      <c r="HMH3" s="494"/>
      <c r="HMI3" s="494"/>
      <c r="HMJ3" s="494"/>
      <c r="HMK3" s="494"/>
      <c r="HML3" s="494"/>
      <c r="HMM3" s="494"/>
      <c r="HMN3" s="494"/>
      <c r="HMO3" s="494"/>
      <c r="HMP3" s="494"/>
      <c r="HMQ3" s="494"/>
      <c r="HMR3" s="494"/>
      <c r="HMS3" s="494"/>
      <c r="HMT3" s="494"/>
      <c r="HMU3" s="494"/>
      <c r="HMV3" s="494"/>
      <c r="HMW3" s="494"/>
      <c r="HMX3" s="494"/>
      <c r="HMY3" s="494"/>
      <c r="HMZ3" s="494"/>
      <c r="HNA3" s="494"/>
      <c r="HNB3" s="494"/>
      <c r="HNC3" s="494"/>
      <c r="HND3" s="494"/>
      <c r="HNE3" s="494"/>
      <c r="HNF3" s="494"/>
      <c r="HNG3" s="494"/>
      <c r="HNH3" s="494"/>
      <c r="HNI3" s="494"/>
      <c r="HNJ3" s="494"/>
      <c r="HNK3" s="494"/>
      <c r="HNL3" s="494"/>
      <c r="HNM3" s="494"/>
      <c r="HNN3" s="494"/>
      <c r="HNO3" s="494"/>
      <c r="HNP3" s="494"/>
      <c r="HNQ3" s="494"/>
      <c r="HNR3" s="494"/>
      <c r="HNS3" s="494"/>
      <c r="HNT3" s="494"/>
      <c r="HNU3" s="494"/>
      <c r="HNV3" s="494"/>
      <c r="HNW3" s="494"/>
      <c r="HNX3" s="494"/>
      <c r="HNY3" s="494"/>
      <c r="HNZ3" s="494"/>
      <c r="HOA3" s="494"/>
      <c r="HOB3" s="494"/>
      <c r="HOC3" s="494"/>
      <c r="HOD3" s="494"/>
      <c r="HOE3" s="494"/>
      <c r="HOF3" s="494"/>
      <c r="HOG3" s="494"/>
      <c r="HOH3" s="494"/>
      <c r="HOI3" s="494"/>
      <c r="HOJ3" s="494"/>
      <c r="HOK3" s="494"/>
      <c r="HOL3" s="494"/>
      <c r="HOM3" s="494"/>
      <c r="HON3" s="494"/>
      <c r="HOO3" s="494"/>
      <c r="HOP3" s="494"/>
      <c r="HOQ3" s="494"/>
      <c r="HOR3" s="494"/>
      <c r="HOS3" s="494"/>
      <c r="HOT3" s="494"/>
      <c r="HOU3" s="494"/>
      <c r="HOV3" s="494"/>
      <c r="HOW3" s="494"/>
      <c r="HOX3" s="494"/>
      <c r="HOY3" s="494"/>
      <c r="HOZ3" s="494"/>
      <c r="HPA3" s="494"/>
      <c r="HPB3" s="494"/>
      <c r="HPC3" s="494"/>
      <c r="HPD3" s="494"/>
      <c r="HPE3" s="494"/>
      <c r="HPF3" s="494"/>
      <c r="HPG3" s="494"/>
      <c r="HPH3" s="494"/>
      <c r="HPI3" s="494"/>
      <c r="HPJ3" s="494"/>
      <c r="HPK3" s="494"/>
      <c r="HPL3" s="494"/>
      <c r="HPM3" s="494"/>
      <c r="HPN3" s="494"/>
      <c r="HPO3" s="494"/>
      <c r="HPP3" s="494"/>
      <c r="HPQ3" s="494"/>
      <c r="HPR3" s="494"/>
      <c r="HPS3" s="494"/>
      <c r="HPT3" s="494"/>
      <c r="HPU3" s="494"/>
      <c r="HPV3" s="494"/>
      <c r="HPW3" s="494"/>
      <c r="HPX3" s="494"/>
      <c r="HPY3" s="494"/>
      <c r="HPZ3" s="494"/>
      <c r="HQA3" s="494"/>
      <c r="HQB3" s="494"/>
      <c r="HQC3" s="494"/>
      <c r="HQD3" s="494"/>
      <c r="HQE3" s="494"/>
      <c r="HQF3" s="494"/>
      <c r="HQG3" s="494"/>
      <c r="HQH3" s="494"/>
      <c r="HQI3" s="494"/>
      <c r="HQJ3" s="494"/>
      <c r="HQK3" s="494"/>
      <c r="HQL3" s="494"/>
      <c r="HQM3" s="494"/>
      <c r="HQN3" s="494"/>
      <c r="HQO3" s="494"/>
      <c r="HQP3" s="494"/>
      <c r="HQQ3" s="494"/>
      <c r="HQR3" s="494"/>
      <c r="HQS3" s="494"/>
      <c r="HQT3" s="494"/>
      <c r="HQU3" s="494"/>
      <c r="HQV3" s="494"/>
      <c r="HQW3" s="494"/>
      <c r="HQX3" s="494"/>
      <c r="HQY3" s="494"/>
      <c r="HQZ3" s="494"/>
      <c r="HRA3" s="494"/>
      <c r="HRB3" s="494"/>
      <c r="HRC3" s="494"/>
      <c r="HRD3" s="494"/>
      <c r="HRE3" s="494"/>
      <c r="HRF3" s="494"/>
      <c r="HRG3" s="494"/>
      <c r="HRH3" s="494"/>
      <c r="HRI3" s="494"/>
      <c r="HRJ3" s="494"/>
      <c r="HRK3" s="494"/>
      <c r="HRL3" s="494"/>
      <c r="HRM3" s="494"/>
      <c r="HRN3" s="494"/>
      <c r="HRO3" s="494"/>
      <c r="HRP3" s="494"/>
      <c r="HRQ3" s="494"/>
      <c r="HRR3" s="494"/>
      <c r="HRS3" s="494"/>
      <c r="HRT3" s="494"/>
      <c r="HRU3" s="494"/>
      <c r="HRV3" s="494"/>
      <c r="HRW3" s="494"/>
      <c r="HRX3" s="494"/>
      <c r="HRY3" s="494"/>
      <c r="HRZ3" s="494"/>
      <c r="HSA3" s="494"/>
      <c r="HSB3" s="494"/>
      <c r="HSC3" s="494"/>
      <c r="HSD3" s="494"/>
      <c r="HSE3" s="494"/>
      <c r="HSF3" s="494"/>
      <c r="HSG3" s="494"/>
      <c r="HSH3" s="494"/>
      <c r="HSI3" s="494"/>
      <c r="HSJ3" s="494"/>
      <c r="HSK3" s="494"/>
      <c r="HSL3" s="494"/>
      <c r="HSM3" s="494"/>
      <c r="HSN3" s="494"/>
      <c r="HSO3" s="494"/>
      <c r="HSP3" s="494"/>
      <c r="HSQ3" s="494"/>
      <c r="HSR3" s="494"/>
      <c r="HSS3" s="494"/>
      <c r="HST3" s="494"/>
      <c r="HSU3" s="494"/>
      <c r="HSV3" s="494"/>
      <c r="HSW3" s="494"/>
      <c r="HSX3" s="494"/>
      <c r="HSY3" s="494"/>
      <c r="HSZ3" s="494"/>
      <c r="HTA3" s="494"/>
      <c r="HTB3" s="494"/>
      <c r="HTC3" s="494"/>
      <c r="HTD3" s="494"/>
      <c r="HTE3" s="494"/>
      <c r="HTF3" s="494"/>
      <c r="HTG3" s="494"/>
      <c r="HTH3" s="494"/>
      <c r="HTI3" s="494"/>
      <c r="HTJ3" s="494"/>
      <c r="HTK3" s="494"/>
      <c r="HTL3" s="494"/>
      <c r="HTM3" s="494"/>
      <c r="HTN3" s="494"/>
      <c r="HTO3" s="494"/>
      <c r="HTP3" s="494"/>
      <c r="HTQ3" s="494"/>
      <c r="HTR3" s="494"/>
      <c r="HTS3" s="494"/>
      <c r="HTT3" s="494"/>
      <c r="HTU3" s="494"/>
      <c r="HTV3" s="494"/>
      <c r="HTW3" s="494"/>
      <c r="HTX3" s="494"/>
      <c r="HTY3" s="494"/>
      <c r="HTZ3" s="494"/>
      <c r="HUA3" s="494"/>
      <c r="HUB3" s="494"/>
      <c r="HUC3" s="494"/>
      <c r="HUD3" s="494"/>
      <c r="HUE3" s="494"/>
      <c r="HUF3" s="494"/>
      <c r="HUG3" s="494"/>
      <c r="HUH3" s="494"/>
      <c r="HUI3" s="494"/>
      <c r="HUJ3" s="494"/>
      <c r="HUK3" s="494"/>
      <c r="HUL3" s="494"/>
      <c r="HUM3" s="494"/>
      <c r="HUN3" s="494"/>
      <c r="HUO3" s="494"/>
      <c r="HUP3" s="494"/>
      <c r="HUQ3" s="494"/>
      <c r="HUR3" s="494"/>
      <c r="HUS3" s="494"/>
      <c r="HUT3" s="494"/>
      <c r="HUU3" s="494"/>
      <c r="HUV3" s="494"/>
      <c r="HUW3" s="494"/>
      <c r="HUX3" s="494"/>
      <c r="HUY3" s="494"/>
      <c r="HUZ3" s="494"/>
      <c r="HVA3" s="494"/>
      <c r="HVB3" s="494"/>
      <c r="HVC3" s="494"/>
      <c r="HVD3" s="494"/>
      <c r="HVE3" s="494"/>
      <c r="HVF3" s="494"/>
      <c r="HVG3" s="494"/>
      <c r="HVH3" s="494"/>
      <c r="HVI3" s="494"/>
      <c r="HVJ3" s="494"/>
      <c r="HVK3" s="494"/>
      <c r="HVL3" s="494"/>
      <c r="HVM3" s="494"/>
      <c r="HVN3" s="494"/>
      <c r="HVO3" s="494"/>
      <c r="HVP3" s="494"/>
      <c r="HVQ3" s="494"/>
      <c r="HVR3" s="494"/>
      <c r="HVS3" s="494"/>
      <c r="HVT3" s="494"/>
      <c r="HVU3" s="494"/>
      <c r="HVV3" s="494"/>
      <c r="HVW3" s="494"/>
      <c r="HVX3" s="494"/>
      <c r="HVY3" s="494"/>
      <c r="HVZ3" s="494"/>
      <c r="HWA3" s="494"/>
      <c r="HWB3" s="494"/>
      <c r="HWC3" s="494"/>
      <c r="HWD3" s="494"/>
      <c r="HWE3" s="494"/>
      <c r="HWF3" s="494"/>
      <c r="HWG3" s="494"/>
      <c r="HWH3" s="494"/>
      <c r="HWI3" s="494"/>
      <c r="HWJ3" s="494"/>
      <c r="HWK3" s="494"/>
      <c r="HWL3" s="494"/>
      <c r="HWM3" s="494"/>
      <c r="HWN3" s="494"/>
      <c r="HWO3" s="494"/>
      <c r="HWP3" s="494"/>
      <c r="HWQ3" s="494"/>
      <c r="HWR3" s="494"/>
      <c r="HWS3" s="494"/>
      <c r="HWT3" s="494"/>
      <c r="HWU3" s="494"/>
      <c r="HWV3" s="494"/>
      <c r="HWW3" s="494"/>
      <c r="HWX3" s="494"/>
      <c r="HWY3" s="494"/>
      <c r="HWZ3" s="494"/>
      <c r="HXA3" s="494"/>
      <c r="HXB3" s="494"/>
      <c r="HXC3" s="494"/>
      <c r="HXD3" s="494"/>
      <c r="HXE3" s="494"/>
      <c r="HXF3" s="494"/>
      <c r="HXG3" s="494"/>
      <c r="HXH3" s="494"/>
      <c r="HXI3" s="494"/>
      <c r="HXJ3" s="494"/>
      <c r="HXK3" s="494"/>
      <c r="HXL3" s="494"/>
      <c r="HXM3" s="494"/>
      <c r="HXN3" s="494"/>
      <c r="HXO3" s="494"/>
      <c r="HXP3" s="494"/>
      <c r="HXQ3" s="494"/>
      <c r="HXR3" s="494"/>
      <c r="HXS3" s="494"/>
      <c r="HXT3" s="494"/>
      <c r="HXU3" s="494"/>
      <c r="HXV3" s="494"/>
      <c r="HXW3" s="494"/>
      <c r="HXX3" s="494"/>
      <c r="HXY3" s="494"/>
      <c r="HXZ3" s="494"/>
      <c r="HYA3" s="494"/>
      <c r="HYB3" s="494"/>
      <c r="HYC3" s="494"/>
      <c r="HYD3" s="494"/>
      <c r="HYE3" s="494"/>
      <c r="HYF3" s="494"/>
      <c r="HYG3" s="494"/>
      <c r="HYH3" s="494"/>
      <c r="HYI3" s="494"/>
      <c r="HYJ3" s="494"/>
      <c r="HYK3" s="494"/>
      <c r="HYL3" s="494"/>
      <c r="HYM3" s="494"/>
      <c r="HYN3" s="494"/>
      <c r="HYO3" s="494"/>
      <c r="HYP3" s="494"/>
      <c r="HYQ3" s="494"/>
      <c r="HYR3" s="494"/>
      <c r="HYS3" s="494"/>
      <c r="HYT3" s="494"/>
      <c r="HYU3" s="494"/>
      <c r="HYV3" s="494"/>
      <c r="HYW3" s="494"/>
      <c r="HYX3" s="494"/>
      <c r="HYY3" s="494"/>
      <c r="HYZ3" s="494"/>
      <c r="HZA3" s="494"/>
      <c r="HZB3" s="494"/>
      <c r="HZC3" s="494"/>
      <c r="HZD3" s="494"/>
      <c r="HZE3" s="494"/>
      <c r="HZF3" s="494"/>
      <c r="HZG3" s="494"/>
      <c r="HZH3" s="494"/>
      <c r="HZI3" s="494"/>
      <c r="HZJ3" s="494"/>
      <c r="HZK3" s="494"/>
      <c r="HZL3" s="494"/>
      <c r="HZM3" s="494"/>
      <c r="HZN3" s="494"/>
      <c r="HZO3" s="494"/>
      <c r="HZP3" s="494"/>
      <c r="HZQ3" s="494"/>
      <c r="HZR3" s="494"/>
      <c r="HZS3" s="494"/>
      <c r="HZT3" s="494"/>
      <c r="HZU3" s="494"/>
      <c r="HZV3" s="494"/>
      <c r="HZW3" s="494"/>
      <c r="HZX3" s="494"/>
      <c r="HZY3" s="494"/>
      <c r="HZZ3" s="494"/>
      <c r="IAA3" s="494"/>
      <c r="IAB3" s="494"/>
      <c r="IAC3" s="494"/>
      <c r="IAD3" s="494"/>
      <c r="IAE3" s="494"/>
      <c r="IAF3" s="494"/>
      <c r="IAG3" s="494"/>
      <c r="IAH3" s="494"/>
      <c r="IAI3" s="494"/>
      <c r="IAJ3" s="494"/>
      <c r="IAK3" s="494"/>
      <c r="IAL3" s="494"/>
      <c r="IAM3" s="494"/>
      <c r="IAN3" s="494"/>
      <c r="IAO3" s="494"/>
      <c r="IAP3" s="494"/>
      <c r="IAQ3" s="494"/>
      <c r="IAR3" s="494"/>
      <c r="IAS3" s="494"/>
      <c r="IAT3" s="494"/>
      <c r="IAU3" s="494"/>
      <c r="IAV3" s="494"/>
      <c r="IAW3" s="494"/>
      <c r="IAX3" s="494"/>
      <c r="IAY3" s="494"/>
      <c r="IAZ3" s="494"/>
      <c r="IBA3" s="494"/>
      <c r="IBB3" s="494"/>
      <c r="IBC3" s="494"/>
      <c r="IBD3" s="494"/>
      <c r="IBE3" s="494"/>
      <c r="IBF3" s="494"/>
      <c r="IBG3" s="494"/>
      <c r="IBH3" s="494"/>
      <c r="IBI3" s="494"/>
      <c r="IBJ3" s="494"/>
      <c r="IBK3" s="494"/>
      <c r="IBL3" s="494"/>
      <c r="IBM3" s="494"/>
      <c r="IBN3" s="494"/>
      <c r="IBO3" s="494"/>
      <c r="IBP3" s="494"/>
      <c r="IBQ3" s="494"/>
      <c r="IBR3" s="494"/>
      <c r="IBS3" s="494"/>
      <c r="IBT3" s="494"/>
      <c r="IBU3" s="494"/>
      <c r="IBV3" s="494"/>
      <c r="IBW3" s="494"/>
      <c r="IBX3" s="494"/>
      <c r="IBY3" s="494"/>
      <c r="IBZ3" s="494"/>
      <c r="ICA3" s="494"/>
      <c r="ICB3" s="494"/>
      <c r="ICC3" s="494"/>
      <c r="ICD3" s="494"/>
      <c r="ICE3" s="494"/>
      <c r="ICF3" s="494"/>
      <c r="ICG3" s="494"/>
      <c r="ICH3" s="494"/>
      <c r="ICI3" s="494"/>
      <c r="ICJ3" s="494"/>
      <c r="ICK3" s="494"/>
      <c r="ICL3" s="494"/>
      <c r="ICM3" s="494"/>
      <c r="ICN3" s="494"/>
      <c r="ICO3" s="494"/>
      <c r="ICP3" s="494"/>
      <c r="ICQ3" s="494"/>
      <c r="ICR3" s="494"/>
      <c r="ICS3" s="494"/>
      <c r="ICT3" s="494"/>
      <c r="ICU3" s="494"/>
      <c r="ICV3" s="494"/>
      <c r="ICW3" s="494"/>
      <c r="ICX3" s="494"/>
      <c r="ICY3" s="494"/>
      <c r="ICZ3" s="494"/>
      <c r="IDA3" s="494"/>
      <c r="IDB3" s="494"/>
      <c r="IDC3" s="494"/>
      <c r="IDD3" s="494"/>
      <c r="IDE3" s="494"/>
      <c r="IDF3" s="494"/>
      <c r="IDG3" s="494"/>
      <c r="IDH3" s="494"/>
      <c r="IDI3" s="494"/>
      <c r="IDJ3" s="494"/>
      <c r="IDK3" s="494"/>
      <c r="IDL3" s="494"/>
      <c r="IDM3" s="494"/>
      <c r="IDN3" s="494"/>
      <c r="IDO3" s="494"/>
      <c r="IDP3" s="494"/>
      <c r="IDQ3" s="494"/>
      <c r="IDR3" s="494"/>
      <c r="IDS3" s="494"/>
      <c r="IDT3" s="494"/>
      <c r="IDU3" s="494"/>
      <c r="IDV3" s="494"/>
      <c r="IDW3" s="494"/>
      <c r="IDX3" s="494"/>
      <c r="IDY3" s="494"/>
      <c r="IDZ3" s="494"/>
      <c r="IEA3" s="494"/>
      <c r="IEB3" s="494"/>
      <c r="IEC3" s="494"/>
      <c r="IED3" s="494"/>
      <c r="IEE3" s="494"/>
      <c r="IEF3" s="494"/>
      <c r="IEG3" s="494"/>
      <c r="IEH3" s="494"/>
      <c r="IEI3" s="494"/>
      <c r="IEJ3" s="494"/>
      <c r="IEK3" s="494"/>
      <c r="IEL3" s="494"/>
      <c r="IEM3" s="494"/>
      <c r="IEN3" s="494"/>
      <c r="IEO3" s="494"/>
      <c r="IEP3" s="494"/>
      <c r="IEQ3" s="494"/>
      <c r="IER3" s="494"/>
      <c r="IES3" s="494"/>
      <c r="IET3" s="494"/>
      <c r="IEU3" s="494"/>
      <c r="IEV3" s="494"/>
      <c r="IEW3" s="494"/>
      <c r="IEX3" s="494"/>
      <c r="IEY3" s="494"/>
      <c r="IEZ3" s="494"/>
      <c r="IFA3" s="494"/>
      <c r="IFB3" s="494"/>
      <c r="IFC3" s="494"/>
      <c r="IFD3" s="494"/>
      <c r="IFE3" s="494"/>
      <c r="IFF3" s="494"/>
      <c r="IFG3" s="494"/>
      <c r="IFH3" s="494"/>
      <c r="IFI3" s="494"/>
      <c r="IFJ3" s="494"/>
      <c r="IFK3" s="494"/>
      <c r="IFL3" s="494"/>
      <c r="IFM3" s="494"/>
      <c r="IFN3" s="494"/>
      <c r="IFO3" s="494"/>
      <c r="IFP3" s="494"/>
      <c r="IFQ3" s="494"/>
      <c r="IFR3" s="494"/>
      <c r="IFS3" s="494"/>
      <c r="IFT3" s="494"/>
      <c r="IFU3" s="494"/>
      <c r="IFV3" s="494"/>
      <c r="IFW3" s="494"/>
      <c r="IFX3" s="494"/>
      <c r="IFY3" s="494"/>
      <c r="IFZ3" s="494"/>
      <c r="IGA3" s="494"/>
      <c r="IGB3" s="494"/>
      <c r="IGC3" s="494"/>
      <c r="IGD3" s="494"/>
      <c r="IGE3" s="494"/>
      <c r="IGF3" s="494"/>
      <c r="IGG3" s="494"/>
      <c r="IGH3" s="494"/>
      <c r="IGI3" s="494"/>
      <c r="IGJ3" s="494"/>
      <c r="IGK3" s="494"/>
      <c r="IGL3" s="494"/>
      <c r="IGM3" s="494"/>
      <c r="IGN3" s="494"/>
      <c r="IGO3" s="494"/>
      <c r="IGP3" s="494"/>
      <c r="IGQ3" s="494"/>
      <c r="IGR3" s="494"/>
      <c r="IGS3" s="494"/>
      <c r="IGT3" s="494"/>
      <c r="IGU3" s="494"/>
      <c r="IGV3" s="494"/>
      <c r="IGW3" s="494"/>
      <c r="IGX3" s="494"/>
      <c r="IGY3" s="494"/>
      <c r="IGZ3" s="494"/>
      <c r="IHA3" s="494"/>
      <c r="IHB3" s="494"/>
      <c r="IHC3" s="494"/>
      <c r="IHD3" s="494"/>
      <c r="IHE3" s="494"/>
      <c r="IHF3" s="494"/>
      <c r="IHG3" s="494"/>
      <c r="IHH3" s="494"/>
      <c r="IHI3" s="494"/>
      <c r="IHJ3" s="494"/>
      <c r="IHK3" s="494"/>
      <c r="IHL3" s="494"/>
      <c r="IHM3" s="494"/>
      <c r="IHN3" s="494"/>
      <c r="IHO3" s="494"/>
      <c r="IHP3" s="494"/>
      <c r="IHQ3" s="494"/>
      <c r="IHR3" s="494"/>
      <c r="IHS3" s="494"/>
      <c r="IHT3" s="494"/>
      <c r="IHU3" s="494"/>
      <c r="IHV3" s="494"/>
      <c r="IHW3" s="494"/>
      <c r="IHX3" s="494"/>
      <c r="IHY3" s="494"/>
      <c r="IHZ3" s="494"/>
      <c r="IIA3" s="494"/>
      <c r="IIB3" s="494"/>
      <c r="IIC3" s="494"/>
      <c r="IID3" s="494"/>
      <c r="IIE3" s="494"/>
      <c r="IIF3" s="494"/>
      <c r="IIG3" s="494"/>
      <c r="IIH3" s="494"/>
      <c r="III3" s="494"/>
      <c r="IIJ3" s="494"/>
      <c r="IIK3" s="494"/>
      <c r="IIL3" s="494"/>
      <c r="IIM3" s="494"/>
      <c r="IIN3" s="494"/>
      <c r="IIO3" s="494"/>
      <c r="IIP3" s="494"/>
      <c r="IIQ3" s="494"/>
      <c r="IIR3" s="494"/>
      <c r="IIS3" s="494"/>
      <c r="IIT3" s="494"/>
      <c r="IIU3" s="494"/>
      <c r="IIV3" s="494"/>
      <c r="IIW3" s="494"/>
      <c r="IIX3" s="494"/>
      <c r="IIY3" s="494"/>
      <c r="IIZ3" s="494"/>
      <c r="IJA3" s="494"/>
      <c r="IJB3" s="494"/>
      <c r="IJC3" s="494"/>
      <c r="IJD3" s="494"/>
      <c r="IJE3" s="494"/>
      <c r="IJF3" s="494"/>
      <c r="IJG3" s="494"/>
      <c r="IJH3" s="494"/>
      <c r="IJI3" s="494"/>
      <c r="IJJ3" s="494"/>
      <c r="IJK3" s="494"/>
      <c r="IJL3" s="494"/>
      <c r="IJM3" s="494"/>
      <c r="IJN3" s="494"/>
      <c r="IJO3" s="494"/>
      <c r="IJP3" s="494"/>
      <c r="IJQ3" s="494"/>
      <c r="IJR3" s="494"/>
      <c r="IJS3" s="494"/>
      <c r="IJT3" s="494"/>
      <c r="IJU3" s="494"/>
      <c r="IJV3" s="494"/>
      <c r="IJW3" s="494"/>
      <c r="IJX3" s="494"/>
      <c r="IJY3" s="494"/>
      <c r="IJZ3" s="494"/>
      <c r="IKA3" s="494"/>
      <c r="IKB3" s="494"/>
      <c r="IKC3" s="494"/>
      <c r="IKD3" s="494"/>
      <c r="IKE3" s="494"/>
      <c r="IKF3" s="494"/>
      <c r="IKG3" s="494"/>
      <c r="IKH3" s="494"/>
      <c r="IKI3" s="494"/>
      <c r="IKJ3" s="494"/>
      <c r="IKK3" s="494"/>
      <c r="IKL3" s="494"/>
      <c r="IKM3" s="494"/>
      <c r="IKN3" s="494"/>
      <c r="IKO3" s="494"/>
      <c r="IKP3" s="494"/>
      <c r="IKQ3" s="494"/>
      <c r="IKR3" s="494"/>
      <c r="IKS3" s="494"/>
      <c r="IKT3" s="494"/>
      <c r="IKU3" s="494"/>
      <c r="IKV3" s="494"/>
      <c r="IKW3" s="494"/>
      <c r="IKX3" s="494"/>
      <c r="IKY3" s="494"/>
      <c r="IKZ3" s="494"/>
      <c r="ILA3" s="494"/>
      <c r="ILB3" s="494"/>
      <c r="ILC3" s="494"/>
      <c r="ILD3" s="494"/>
      <c r="ILE3" s="494"/>
      <c r="ILF3" s="494"/>
      <c r="ILG3" s="494"/>
      <c r="ILH3" s="494"/>
      <c r="ILI3" s="494"/>
      <c r="ILJ3" s="494"/>
      <c r="ILK3" s="494"/>
      <c r="ILL3" s="494"/>
      <c r="ILM3" s="494"/>
      <c r="ILN3" s="494"/>
      <c r="ILO3" s="494"/>
      <c r="ILP3" s="494"/>
      <c r="ILQ3" s="494"/>
      <c r="ILR3" s="494"/>
      <c r="ILS3" s="494"/>
      <c r="ILT3" s="494"/>
      <c r="ILU3" s="494"/>
      <c r="ILV3" s="494"/>
      <c r="ILW3" s="494"/>
      <c r="ILX3" s="494"/>
      <c r="ILY3" s="494"/>
      <c r="ILZ3" s="494"/>
      <c r="IMA3" s="494"/>
      <c r="IMB3" s="494"/>
      <c r="IMC3" s="494"/>
      <c r="IMD3" s="494"/>
      <c r="IME3" s="494"/>
      <c r="IMF3" s="494"/>
      <c r="IMG3" s="494"/>
      <c r="IMH3" s="494"/>
      <c r="IMI3" s="494"/>
      <c r="IMJ3" s="494"/>
      <c r="IMK3" s="494"/>
      <c r="IML3" s="494"/>
      <c r="IMM3" s="494"/>
      <c r="IMN3" s="494"/>
      <c r="IMO3" s="494"/>
      <c r="IMP3" s="494"/>
      <c r="IMQ3" s="494"/>
      <c r="IMR3" s="494"/>
      <c r="IMS3" s="494"/>
      <c r="IMT3" s="494"/>
      <c r="IMU3" s="494"/>
      <c r="IMV3" s="494"/>
      <c r="IMW3" s="494"/>
      <c r="IMX3" s="494"/>
      <c r="IMY3" s="494"/>
      <c r="IMZ3" s="494"/>
      <c r="INA3" s="494"/>
      <c r="INB3" s="494"/>
      <c r="INC3" s="494"/>
      <c r="IND3" s="494"/>
      <c r="INE3" s="494"/>
      <c r="INF3" s="494"/>
      <c r="ING3" s="494"/>
      <c r="INH3" s="494"/>
      <c r="INI3" s="494"/>
      <c r="INJ3" s="494"/>
      <c r="INK3" s="494"/>
      <c r="INL3" s="494"/>
      <c r="INM3" s="494"/>
      <c r="INN3" s="494"/>
      <c r="INO3" s="494"/>
      <c r="INP3" s="494"/>
      <c r="INQ3" s="494"/>
      <c r="INR3" s="494"/>
      <c r="INS3" s="494"/>
      <c r="INT3" s="494"/>
      <c r="INU3" s="494"/>
      <c r="INV3" s="494"/>
      <c r="INW3" s="494"/>
      <c r="INX3" s="494"/>
      <c r="INY3" s="494"/>
      <c r="INZ3" s="494"/>
      <c r="IOA3" s="494"/>
      <c r="IOB3" s="494"/>
      <c r="IOC3" s="494"/>
      <c r="IOD3" s="494"/>
      <c r="IOE3" s="494"/>
      <c r="IOF3" s="494"/>
      <c r="IOG3" s="494"/>
      <c r="IOH3" s="494"/>
      <c r="IOI3" s="494"/>
      <c r="IOJ3" s="494"/>
      <c r="IOK3" s="494"/>
      <c r="IOL3" s="494"/>
      <c r="IOM3" s="494"/>
      <c r="ION3" s="494"/>
      <c r="IOO3" s="494"/>
      <c r="IOP3" s="494"/>
      <c r="IOQ3" s="494"/>
      <c r="IOR3" s="494"/>
      <c r="IOS3" s="494"/>
      <c r="IOT3" s="494"/>
      <c r="IOU3" s="494"/>
      <c r="IOV3" s="494"/>
      <c r="IOW3" s="494"/>
      <c r="IOX3" s="494"/>
      <c r="IOY3" s="494"/>
      <c r="IOZ3" s="494"/>
      <c r="IPA3" s="494"/>
      <c r="IPB3" s="494"/>
      <c r="IPC3" s="494"/>
      <c r="IPD3" s="494"/>
      <c r="IPE3" s="494"/>
      <c r="IPF3" s="494"/>
      <c r="IPG3" s="494"/>
      <c r="IPH3" s="494"/>
      <c r="IPI3" s="494"/>
      <c r="IPJ3" s="494"/>
      <c r="IPK3" s="494"/>
      <c r="IPL3" s="494"/>
      <c r="IPM3" s="494"/>
      <c r="IPN3" s="494"/>
      <c r="IPO3" s="494"/>
      <c r="IPP3" s="494"/>
      <c r="IPQ3" s="494"/>
      <c r="IPR3" s="494"/>
      <c r="IPS3" s="494"/>
      <c r="IPT3" s="494"/>
      <c r="IPU3" s="494"/>
      <c r="IPV3" s="494"/>
      <c r="IPW3" s="494"/>
      <c r="IPX3" s="494"/>
      <c r="IPY3" s="494"/>
      <c r="IPZ3" s="494"/>
      <c r="IQA3" s="494"/>
      <c r="IQB3" s="494"/>
      <c r="IQC3" s="494"/>
      <c r="IQD3" s="494"/>
      <c r="IQE3" s="494"/>
      <c r="IQF3" s="494"/>
      <c r="IQG3" s="494"/>
      <c r="IQH3" s="494"/>
      <c r="IQI3" s="494"/>
      <c r="IQJ3" s="494"/>
      <c r="IQK3" s="494"/>
      <c r="IQL3" s="494"/>
      <c r="IQM3" s="494"/>
      <c r="IQN3" s="494"/>
      <c r="IQO3" s="494"/>
      <c r="IQP3" s="494"/>
      <c r="IQQ3" s="494"/>
      <c r="IQR3" s="494"/>
      <c r="IQS3" s="494"/>
      <c r="IQT3" s="494"/>
      <c r="IQU3" s="494"/>
      <c r="IQV3" s="494"/>
      <c r="IQW3" s="494"/>
      <c r="IQX3" s="494"/>
      <c r="IQY3" s="494"/>
      <c r="IQZ3" s="494"/>
      <c r="IRA3" s="494"/>
      <c r="IRB3" s="494"/>
      <c r="IRC3" s="494"/>
      <c r="IRD3" s="494"/>
      <c r="IRE3" s="494"/>
      <c r="IRF3" s="494"/>
      <c r="IRG3" s="494"/>
      <c r="IRH3" s="494"/>
      <c r="IRI3" s="494"/>
      <c r="IRJ3" s="494"/>
      <c r="IRK3" s="494"/>
      <c r="IRL3" s="494"/>
      <c r="IRM3" s="494"/>
      <c r="IRN3" s="494"/>
      <c r="IRO3" s="494"/>
      <c r="IRP3" s="494"/>
      <c r="IRQ3" s="494"/>
      <c r="IRR3" s="494"/>
      <c r="IRS3" s="494"/>
      <c r="IRT3" s="494"/>
      <c r="IRU3" s="494"/>
      <c r="IRV3" s="494"/>
      <c r="IRW3" s="494"/>
      <c r="IRX3" s="494"/>
      <c r="IRY3" s="494"/>
      <c r="IRZ3" s="494"/>
      <c r="ISA3" s="494"/>
      <c r="ISB3" s="494"/>
      <c r="ISC3" s="494"/>
      <c r="ISD3" s="494"/>
      <c r="ISE3" s="494"/>
      <c r="ISF3" s="494"/>
      <c r="ISG3" s="494"/>
      <c r="ISH3" s="494"/>
      <c r="ISI3" s="494"/>
      <c r="ISJ3" s="494"/>
      <c r="ISK3" s="494"/>
      <c r="ISL3" s="494"/>
      <c r="ISM3" s="494"/>
      <c r="ISN3" s="494"/>
      <c r="ISO3" s="494"/>
      <c r="ISP3" s="494"/>
      <c r="ISQ3" s="494"/>
      <c r="ISR3" s="494"/>
      <c r="ISS3" s="494"/>
      <c r="IST3" s="494"/>
      <c r="ISU3" s="494"/>
      <c r="ISV3" s="494"/>
      <c r="ISW3" s="494"/>
      <c r="ISX3" s="494"/>
      <c r="ISY3" s="494"/>
      <c r="ISZ3" s="494"/>
      <c r="ITA3" s="494"/>
      <c r="ITB3" s="494"/>
      <c r="ITC3" s="494"/>
      <c r="ITD3" s="494"/>
      <c r="ITE3" s="494"/>
      <c r="ITF3" s="494"/>
      <c r="ITG3" s="494"/>
      <c r="ITH3" s="494"/>
      <c r="ITI3" s="494"/>
      <c r="ITJ3" s="494"/>
      <c r="ITK3" s="494"/>
      <c r="ITL3" s="494"/>
      <c r="ITM3" s="494"/>
      <c r="ITN3" s="494"/>
      <c r="ITO3" s="494"/>
      <c r="ITP3" s="494"/>
      <c r="ITQ3" s="494"/>
      <c r="ITR3" s="494"/>
      <c r="ITS3" s="494"/>
      <c r="ITT3" s="494"/>
      <c r="ITU3" s="494"/>
      <c r="ITV3" s="494"/>
      <c r="ITW3" s="494"/>
      <c r="ITX3" s="494"/>
      <c r="ITY3" s="494"/>
      <c r="ITZ3" s="494"/>
      <c r="IUA3" s="494"/>
      <c r="IUB3" s="494"/>
      <c r="IUC3" s="494"/>
      <c r="IUD3" s="494"/>
      <c r="IUE3" s="494"/>
      <c r="IUF3" s="494"/>
      <c r="IUG3" s="494"/>
      <c r="IUH3" s="494"/>
      <c r="IUI3" s="494"/>
      <c r="IUJ3" s="494"/>
      <c r="IUK3" s="494"/>
      <c r="IUL3" s="494"/>
      <c r="IUM3" s="494"/>
      <c r="IUN3" s="494"/>
      <c r="IUO3" s="494"/>
      <c r="IUP3" s="494"/>
      <c r="IUQ3" s="494"/>
      <c r="IUR3" s="494"/>
      <c r="IUS3" s="494"/>
      <c r="IUT3" s="494"/>
      <c r="IUU3" s="494"/>
      <c r="IUV3" s="494"/>
      <c r="IUW3" s="494"/>
      <c r="IUX3" s="494"/>
      <c r="IUY3" s="494"/>
      <c r="IUZ3" s="494"/>
      <c r="IVA3" s="494"/>
      <c r="IVB3" s="494"/>
      <c r="IVC3" s="494"/>
      <c r="IVD3" s="494"/>
      <c r="IVE3" s="494"/>
      <c r="IVF3" s="494"/>
      <c r="IVG3" s="494"/>
      <c r="IVH3" s="494"/>
      <c r="IVI3" s="494"/>
      <c r="IVJ3" s="494"/>
      <c r="IVK3" s="494"/>
      <c r="IVL3" s="494"/>
      <c r="IVM3" s="494"/>
      <c r="IVN3" s="494"/>
      <c r="IVO3" s="494"/>
      <c r="IVP3" s="494"/>
      <c r="IVQ3" s="494"/>
      <c r="IVR3" s="494"/>
      <c r="IVS3" s="494"/>
      <c r="IVT3" s="494"/>
      <c r="IVU3" s="494"/>
      <c r="IVV3" s="494"/>
      <c r="IVW3" s="494"/>
      <c r="IVX3" s="494"/>
      <c r="IVY3" s="494"/>
      <c r="IVZ3" s="494"/>
      <c r="IWA3" s="494"/>
      <c r="IWB3" s="494"/>
      <c r="IWC3" s="494"/>
      <c r="IWD3" s="494"/>
      <c r="IWE3" s="494"/>
      <c r="IWF3" s="494"/>
      <c r="IWG3" s="494"/>
      <c r="IWH3" s="494"/>
      <c r="IWI3" s="494"/>
      <c r="IWJ3" s="494"/>
      <c r="IWK3" s="494"/>
      <c r="IWL3" s="494"/>
      <c r="IWM3" s="494"/>
      <c r="IWN3" s="494"/>
      <c r="IWO3" s="494"/>
      <c r="IWP3" s="494"/>
      <c r="IWQ3" s="494"/>
      <c r="IWR3" s="494"/>
      <c r="IWS3" s="494"/>
      <c r="IWT3" s="494"/>
      <c r="IWU3" s="494"/>
      <c r="IWV3" s="494"/>
      <c r="IWW3" s="494"/>
      <c r="IWX3" s="494"/>
      <c r="IWY3" s="494"/>
      <c r="IWZ3" s="494"/>
      <c r="IXA3" s="494"/>
      <c r="IXB3" s="494"/>
      <c r="IXC3" s="494"/>
      <c r="IXD3" s="494"/>
      <c r="IXE3" s="494"/>
      <c r="IXF3" s="494"/>
      <c r="IXG3" s="494"/>
      <c r="IXH3" s="494"/>
      <c r="IXI3" s="494"/>
      <c r="IXJ3" s="494"/>
      <c r="IXK3" s="494"/>
      <c r="IXL3" s="494"/>
      <c r="IXM3" s="494"/>
      <c r="IXN3" s="494"/>
      <c r="IXO3" s="494"/>
      <c r="IXP3" s="494"/>
      <c r="IXQ3" s="494"/>
      <c r="IXR3" s="494"/>
      <c r="IXS3" s="494"/>
      <c r="IXT3" s="494"/>
      <c r="IXU3" s="494"/>
      <c r="IXV3" s="494"/>
      <c r="IXW3" s="494"/>
      <c r="IXX3" s="494"/>
      <c r="IXY3" s="494"/>
      <c r="IXZ3" s="494"/>
      <c r="IYA3" s="494"/>
      <c r="IYB3" s="494"/>
      <c r="IYC3" s="494"/>
      <c r="IYD3" s="494"/>
      <c r="IYE3" s="494"/>
      <c r="IYF3" s="494"/>
      <c r="IYG3" s="494"/>
      <c r="IYH3" s="494"/>
      <c r="IYI3" s="494"/>
      <c r="IYJ3" s="494"/>
      <c r="IYK3" s="494"/>
      <c r="IYL3" s="494"/>
      <c r="IYM3" s="494"/>
      <c r="IYN3" s="494"/>
      <c r="IYO3" s="494"/>
      <c r="IYP3" s="494"/>
      <c r="IYQ3" s="494"/>
      <c r="IYR3" s="494"/>
      <c r="IYS3" s="494"/>
      <c r="IYT3" s="494"/>
      <c r="IYU3" s="494"/>
      <c r="IYV3" s="494"/>
      <c r="IYW3" s="494"/>
      <c r="IYX3" s="494"/>
      <c r="IYY3" s="494"/>
      <c r="IYZ3" s="494"/>
      <c r="IZA3" s="494"/>
      <c r="IZB3" s="494"/>
      <c r="IZC3" s="494"/>
      <c r="IZD3" s="494"/>
      <c r="IZE3" s="494"/>
      <c r="IZF3" s="494"/>
      <c r="IZG3" s="494"/>
      <c r="IZH3" s="494"/>
      <c r="IZI3" s="494"/>
      <c r="IZJ3" s="494"/>
      <c r="IZK3" s="494"/>
      <c r="IZL3" s="494"/>
      <c r="IZM3" s="494"/>
      <c r="IZN3" s="494"/>
      <c r="IZO3" s="494"/>
      <c r="IZP3" s="494"/>
      <c r="IZQ3" s="494"/>
      <c r="IZR3" s="494"/>
      <c r="IZS3" s="494"/>
      <c r="IZT3" s="494"/>
      <c r="IZU3" s="494"/>
      <c r="IZV3" s="494"/>
      <c r="IZW3" s="494"/>
      <c r="IZX3" s="494"/>
      <c r="IZY3" s="494"/>
      <c r="IZZ3" s="494"/>
      <c r="JAA3" s="494"/>
      <c r="JAB3" s="494"/>
      <c r="JAC3" s="494"/>
      <c r="JAD3" s="494"/>
      <c r="JAE3" s="494"/>
      <c r="JAF3" s="494"/>
      <c r="JAG3" s="494"/>
      <c r="JAH3" s="494"/>
      <c r="JAI3" s="494"/>
      <c r="JAJ3" s="494"/>
      <c r="JAK3" s="494"/>
      <c r="JAL3" s="494"/>
      <c r="JAM3" s="494"/>
      <c r="JAN3" s="494"/>
      <c r="JAO3" s="494"/>
      <c r="JAP3" s="494"/>
      <c r="JAQ3" s="494"/>
      <c r="JAR3" s="494"/>
      <c r="JAS3" s="494"/>
      <c r="JAT3" s="494"/>
      <c r="JAU3" s="494"/>
      <c r="JAV3" s="494"/>
      <c r="JAW3" s="494"/>
      <c r="JAX3" s="494"/>
      <c r="JAY3" s="494"/>
      <c r="JAZ3" s="494"/>
      <c r="JBA3" s="494"/>
      <c r="JBB3" s="494"/>
      <c r="JBC3" s="494"/>
      <c r="JBD3" s="494"/>
      <c r="JBE3" s="494"/>
      <c r="JBF3" s="494"/>
      <c r="JBG3" s="494"/>
      <c r="JBH3" s="494"/>
      <c r="JBI3" s="494"/>
      <c r="JBJ3" s="494"/>
      <c r="JBK3" s="494"/>
      <c r="JBL3" s="494"/>
      <c r="JBM3" s="494"/>
      <c r="JBN3" s="494"/>
      <c r="JBO3" s="494"/>
      <c r="JBP3" s="494"/>
      <c r="JBQ3" s="494"/>
      <c r="JBR3" s="494"/>
      <c r="JBS3" s="494"/>
      <c r="JBT3" s="494"/>
      <c r="JBU3" s="494"/>
      <c r="JBV3" s="494"/>
      <c r="JBW3" s="494"/>
      <c r="JBX3" s="494"/>
      <c r="JBY3" s="494"/>
      <c r="JBZ3" s="494"/>
      <c r="JCA3" s="494"/>
      <c r="JCB3" s="494"/>
      <c r="JCC3" s="494"/>
      <c r="JCD3" s="494"/>
      <c r="JCE3" s="494"/>
      <c r="JCF3" s="494"/>
      <c r="JCG3" s="494"/>
      <c r="JCH3" s="494"/>
      <c r="JCI3" s="494"/>
      <c r="JCJ3" s="494"/>
      <c r="JCK3" s="494"/>
      <c r="JCL3" s="494"/>
      <c r="JCM3" s="494"/>
      <c r="JCN3" s="494"/>
      <c r="JCO3" s="494"/>
      <c r="JCP3" s="494"/>
      <c r="JCQ3" s="494"/>
      <c r="JCR3" s="494"/>
      <c r="JCS3" s="494"/>
      <c r="JCT3" s="494"/>
      <c r="JCU3" s="494"/>
      <c r="JCV3" s="494"/>
      <c r="JCW3" s="494"/>
      <c r="JCX3" s="494"/>
      <c r="JCY3" s="494"/>
      <c r="JCZ3" s="494"/>
      <c r="JDA3" s="494"/>
      <c r="JDB3" s="494"/>
      <c r="JDC3" s="494"/>
      <c r="JDD3" s="494"/>
      <c r="JDE3" s="494"/>
      <c r="JDF3" s="494"/>
      <c r="JDG3" s="494"/>
      <c r="JDH3" s="494"/>
      <c r="JDI3" s="494"/>
      <c r="JDJ3" s="494"/>
      <c r="JDK3" s="494"/>
      <c r="JDL3" s="494"/>
      <c r="JDM3" s="494"/>
      <c r="JDN3" s="494"/>
      <c r="JDO3" s="494"/>
      <c r="JDP3" s="494"/>
      <c r="JDQ3" s="494"/>
      <c r="JDR3" s="494"/>
      <c r="JDS3" s="494"/>
      <c r="JDT3" s="494"/>
      <c r="JDU3" s="494"/>
      <c r="JDV3" s="494"/>
      <c r="JDW3" s="494"/>
      <c r="JDX3" s="494"/>
      <c r="JDY3" s="494"/>
      <c r="JDZ3" s="494"/>
      <c r="JEA3" s="494"/>
      <c r="JEB3" s="494"/>
      <c r="JEC3" s="494"/>
      <c r="JED3" s="494"/>
      <c r="JEE3" s="494"/>
      <c r="JEF3" s="494"/>
      <c r="JEG3" s="494"/>
      <c r="JEH3" s="494"/>
      <c r="JEI3" s="494"/>
      <c r="JEJ3" s="494"/>
      <c r="JEK3" s="494"/>
      <c r="JEL3" s="494"/>
      <c r="JEM3" s="494"/>
      <c r="JEN3" s="494"/>
      <c r="JEO3" s="494"/>
      <c r="JEP3" s="494"/>
      <c r="JEQ3" s="494"/>
      <c r="JER3" s="494"/>
      <c r="JES3" s="494"/>
      <c r="JET3" s="494"/>
      <c r="JEU3" s="494"/>
      <c r="JEV3" s="494"/>
      <c r="JEW3" s="494"/>
      <c r="JEX3" s="494"/>
      <c r="JEY3" s="494"/>
      <c r="JEZ3" s="494"/>
      <c r="JFA3" s="494"/>
      <c r="JFB3" s="494"/>
      <c r="JFC3" s="494"/>
      <c r="JFD3" s="494"/>
      <c r="JFE3" s="494"/>
      <c r="JFF3" s="494"/>
      <c r="JFG3" s="494"/>
      <c r="JFH3" s="494"/>
      <c r="JFI3" s="494"/>
      <c r="JFJ3" s="494"/>
      <c r="JFK3" s="494"/>
      <c r="JFL3" s="494"/>
      <c r="JFM3" s="494"/>
      <c r="JFN3" s="494"/>
      <c r="JFO3" s="494"/>
      <c r="JFP3" s="494"/>
      <c r="JFQ3" s="494"/>
      <c r="JFR3" s="494"/>
      <c r="JFS3" s="494"/>
      <c r="JFT3" s="494"/>
      <c r="JFU3" s="494"/>
      <c r="JFV3" s="494"/>
      <c r="JFW3" s="494"/>
      <c r="JFX3" s="494"/>
      <c r="JFY3" s="494"/>
      <c r="JFZ3" s="494"/>
      <c r="JGA3" s="494"/>
      <c r="JGB3" s="494"/>
      <c r="JGC3" s="494"/>
      <c r="JGD3" s="494"/>
      <c r="JGE3" s="494"/>
      <c r="JGF3" s="494"/>
      <c r="JGG3" s="494"/>
      <c r="JGH3" s="494"/>
      <c r="JGI3" s="494"/>
      <c r="JGJ3" s="494"/>
      <c r="JGK3" s="494"/>
      <c r="JGL3" s="494"/>
      <c r="JGM3" s="494"/>
      <c r="JGN3" s="494"/>
      <c r="JGO3" s="494"/>
      <c r="JGP3" s="494"/>
      <c r="JGQ3" s="494"/>
      <c r="JGR3" s="494"/>
      <c r="JGS3" s="494"/>
      <c r="JGT3" s="494"/>
      <c r="JGU3" s="494"/>
      <c r="JGV3" s="494"/>
      <c r="JGW3" s="494"/>
      <c r="JGX3" s="494"/>
      <c r="JGY3" s="494"/>
      <c r="JGZ3" s="494"/>
      <c r="JHA3" s="494"/>
      <c r="JHB3" s="494"/>
      <c r="JHC3" s="494"/>
      <c r="JHD3" s="494"/>
      <c r="JHE3" s="494"/>
      <c r="JHF3" s="494"/>
      <c r="JHG3" s="494"/>
      <c r="JHH3" s="494"/>
      <c r="JHI3" s="494"/>
      <c r="JHJ3" s="494"/>
      <c r="JHK3" s="494"/>
      <c r="JHL3" s="494"/>
      <c r="JHM3" s="494"/>
      <c r="JHN3" s="494"/>
      <c r="JHO3" s="494"/>
      <c r="JHP3" s="494"/>
      <c r="JHQ3" s="494"/>
      <c r="JHR3" s="494"/>
      <c r="JHS3" s="494"/>
      <c r="JHT3" s="494"/>
      <c r="JHU3" s="494"/>
      <c r="JHV3" s="494"/>
      <c r="JHW3" s="494"/>
      <c r="JHX3" s="494"/>
      <c r="JHY3" s="494"/>
      <c r="JHZ3" s="494"/>
      <c r="JIA3" s="494"/>
      <c r="JIB3" s="494"/>
      <c r="JIC3" s="494"/>
      <c r="JID3" s="494"/>
      <c r="JIE3" s="494"/>
      <c r="JIF3" s="494"/>
      <c r="JIG3" s="494"/>
      <c r="JIH3" s="494"/>
      <c r="JII3" s="494"/>
      <c r="JIJ3" s="494"/>
      <c r="JIK3" s="494"/>
      <c r="JIL3" s="494"/>
      <c r="JIM3" s="494"/>
      <c r="JIN3" s="494"/>
      <c r="JIO3" s="494"/>
      <c r="JIP3" s="494"/>
      <c r="JIQ3" s="494"/>
      <c r="JIR3" s="494"/>
      <c r="JIS3" s="494"/>
      <c r="JIT3" s="494"/>
      <c r="JIU3" s="494"/>
      <c r="JIV3" s="494"/>
      <c r="JIW3" s="494"/>
      <c r="JIX3" s="494"/>
      <c r="JIY3" s="494"/>
      <c r="JIZ3" s="494"/>
      <c r="JJA3" s="494"/>
      <c r="JJB3" s="494"/>
      <c r="JJC3" s="494"/>
      <c r="JJD3" s="494"/>
      <c r="JJE3" s="494"/>
      <c r="JJF3" s="494"/>
      <c r="JJG3" s="494"/>
      <c r="JJH3" s="494"/>
      <c r="JJI3" s="494"/>
      <c r="JJJ3" s="494"/>
      <c r="JJK3" s="494"/>
      <c r="JJL3" s="494"/>
      <c r="JJM3" s="494"/>
      <c r="JJN3" s="494"/>
      <c r="JJO3" s="494"/>
      <c r="JJP3" s="494"/>
      <c r="JJQ3" s="494"/>
      <c r="JJR3" s="494"/>
      <c r="JJS3" s="494"/>
      <c r="JJT3" s="494"/>
      <c r="JJU3" s="494"/>
      <c r="JJV3" s="494"/>
      <c r="JJW3" s="494"/>
      <c r="JJX3" s="494"/>
      <c r="JJY3" s="494"/>
      <c r="JJZ3" s="494"/>
      <c r="JKA3" s="494"/>
      <c r="JKB3" s="494"/>
      <c r="JKC3" s="494"/>
      <c r="JKD3" s="494"/>
      <c r="JKE3" s="494"/>
      <c r="JKF3" s="494"/>
      <c r="JKG3" s="494"/>
      <c r="JKH3" s="494"/>
      <c r="JKI3" s="494"/>
      <c r="JKJ3" s="494"/>
      <c r="JKK3" s="494"/>
      <c r="JKL3" s="494"/>
      <c r="JKM3" s="494"/>
      <c r="JKN3" s="494"/>
      <c r="JKO3" s="494"/>
      <c r="JKP3" s="494"/>
      <c r="JKQ3" s="494"/>
      <c r="JKR3" s="494"/>
      <c r="JKS3" s="494"/>
      <c r="JKT3" s="494"/>
      <c r="JKU3" s="494"/>
      <c r="JKV3" s="494"/>
      <c r="JKW3" s="494"/>
      <c r="JKX3" s="494"/>
      <c r="JKY3" s="494"/>
      <c r="JKZ3" s="494"/>
      <c r="JLA3" s="494"/>
      <c r="JLB3" s="494"/>
      <c r="JLC3" s="494"/>
      <c r="JLD3" s="494"/>
      <c r="JLE3" s="494"/>
      <c r="JLF3" s="494"/>
      <c r="JLG3" s="494"/>
      <c r="JLH3" s="494"/>
      <c r="JLI3" s="494"/>
      <c r="JLJ3" s="494"/>
      <c r="JLK3" s="494"/>
      <c r="JLL3" s="494"/>
      <c r="JLM3" s="494"/>
      <c r="JLN3" s="494"/>
      <c r="JLO3" s="494"/>
      <c r="JLP3" s="494"/>
      <c r="JLQ3" s="494"/>
      <c r="JLR3" s="494"/>
      <c r="JLS3" s="494"/>
      <c r="JLT3" s="494"/>
      <c r="JLU3" s="494"/>
      <c r="JLV3" s="494"/>
      <c r="JLW3" s="494"/>
      <c r="JLX3" s="494"/>
      <c r="JLY3" s="494"/>
      <c r="JLZ3" s="494"/>
      <c r="JMA3" s="494"/>
      <c r="JMB3" s="494"/>
      <c r="JMC3" s="494"/>
      <c r="JMD3" s="494"/>
      <c r="JME3" s="494"/>
      <c r="JMF3" s="494"/>
      <c r="JMG3" s="494"/>
      <c r="JMH3" s="494"/>
      <c r="JMI3" s="494"/>
      <c r="JMJ3" s="494"/>
      <c r="JMK3" s="494"/>
      <c r="JML3" s="494"/>
      <c r="JMM3" s="494"/>
      <c r="JMN3" s="494"/>
      <c r="JMO3" s="494"/>
      <c r="JMP3" s="494"/>
      <c r="JMQ3" s="494"/>
      <c r="JMR3" s="494"/>
      <c r="JMS3" s="494"/>
      <c r="JMT3" s="494"/>
      <c r="JMU3" s="494"/>
      <c r="JMV3" s="494"/>
      <c r="JMW3" s="494"/>
      <c r="JMX3" s="494"/>
      <c r="JMY3" s="494"/>
      <c r="JMZ3" s="494"/>
      <c r="JNA3" s="494"/>
      <c r="JNB3" s="494"/>
      <c r="JNC3" s="494"/>
      <c r="JND3" s="494"/>
      <c r="JNE3" s="494"/>
      <c r="JNF3" s="494"/>
      <c r="JNG3" s="494"/>
      <c r="JNH3" s="494"/>
      <c r="JNI3" s="494"/>
      <c r="JNJ3" s="494"/>
      <c r="JNK3" s="494"/>
      <c r="JNL3" s="494"/>
      <c r="JNM3" s="494"/>
      <c r="JNN3" s="494"/>
      <c r="JNO3" s="494"/>
      <c r="JNP3" s="494"/>
      <c r="JNQ3" s="494"/>
      <c r="JNR3" s="494"/>
      <c r="JNS3" s="494"/>
      <c r="JNT3" s="494"/>
      <c r="JNU3" s="494"/>
      <c r="JNV3" s="494"/>
      <c r="JNW3" s="494"/>
      <c r="JNX3" s="494"/>
      <c r="JNY3" s="494"/>
      <c r="JNZ3" s="494"/>
      <c r="JOA3" s="494"/>
      <c r="JOB3" s="494"/>
      <c r="JOC3" s="494"/>
      <c r="JOD3" s="494"/>
      <c r="JOE3" s="494"/>
      <c r="JOF3" s="494"/>
      <c r="JOG3" s="494"/>
      <c r="JOH3" s="494"/>
      <c r="JOI3" s="494"/>
      <c r="JOJ3" s="494"/>
      <c r="JOK3" s="494"/>
      <c r="JOL3" s="494"/>
      <c r="JOM3" s="494"/>
      <c r="JON3" s="494"/>
      <c r="JOO3" s="494"/>
      <c r="JOP3" s="494"/>
      <c r="JOQ3" s="494"/>
      <c r="JOR3" s="494"/>
      <c r="JOS3" s="494"/>
      <c r="JOT3" s="494"/>
      <c r="JOU3" s="494"/>
      <c r="JOV3" s="494"/>
      <c r="JOW3" s="494"/>
      <c r="JOX3" s="494"/>
      <c r="JOY3" s="494"/>
      <c r="JOZ3" s="494"/>
      <c r="JPA3" s="494"/>
      <c r="JPB3" s="494"/>
      <c r="JPC3" s="494"/>
      <c r="JPD3" s="494"/>
      <c r="JPE3" s="494"/>
      <c r="JPF3" s="494"/>
      <c r="JPG3" s="494"/>
      <c r="JPH3" s="494"/>
      <c r="JPI3" s="494"/>
      <c r="JPJ3" s="494"/>
      <c r="JPK3" s="494"/>
      <c r="JPL3" s="494"/>
      <c r="JPM3" s="494"/>
      <c r="JPN3" s="494"/>
      <c r="JPO3" s="494"/>
      <c r="JPP3" s="494"/>
      <c r="JPQ3" s="494"/>
      <c r="JPR3" s="494"/>
      <c r="JPS3" s="494"/>
      <c r="JPT3" s="494"/>
      <c r="JPU3" s="494"/>
      <c r="JPV3" s="494"/>
      <c r="JPW3" s="494"/>
      <c r="JPX3" s="494"/>
      <c r="JPY3" s="494"/>
      <c r="JPZ3" s="494"/>
      <c r="JQA3" s="494"/>
      <c r="JQB3" s="494"/>
      <c r="JQC3" s="494"/>
      <c r="JQD3" s="494"/>
      <c r="JQE3" s="494"/>
      <c r="JQF3" s="494"/>
      <c r="JQG3" s="494"/>
      <c r="JQH3" s="494"/>
      <c r="JQI3" s="494"/>
      <c r="JQJ3" s="494"/>
      <c r="JQK3" s="494"/>
      <c r="JQL3" s="494"/>
      <c r="JQM3" s="494"/>
      <c r="JQN3" s="494"/>
      <c r="JQO3" s="494"/>
      <c r="JQP3" s="494"/>
      <c r="JQQ3" s="494"/>
      <c r="JQR3" s="494"/>
      <c r="JQS3" s="494"/>
      <c r="JQT3" s="494"/>
      <c r="JQU3" s="494"/>
      <c r="JQV3" s="494"/>
      <c r="JQW3" s="494"/>
      <c r="JQX3" s="494"/>
      <c r="JQY3" s="494"/>
      <c r="JQZ3" s="494"/>
      <c r="JRA3" s="494"/>
      <c r="JRB3" s="494"/>
      <c r="JRC3" s="494"/>
      <c r="JRD3" s="494"/>
      <c r="JRE3" s="494"/>
      <c r="JRF3" s="494"/>
      <c r="JRG3" s="494"/>
      <c r="JRH3" s="494"/>
      <c r="JRI3" s="494"/>
      <c r="JRJ3" s="494"/>
      <c r="JRK3" s="494"/>
      <c r="JRL3" s="494"/>
      <c r="JRM3" s="494"/>
      <c r="JRN3" s="494"/>
      <c r="JRO3" s="494"/>
      <c r="JRP3" s="494"/>
      <c r="JRQ3" s="494"/>
      <c r="JRR3" s="494"/>
      <c r="JRS3" s="494"/>
      <c r="JRT3" s="494"/>
      <c r="JRU3" s="494"/>
      <c r="JRV3" s="494"/>
      <c r="JRW3" s="494"/>
      <c r="JRX3" s="494"/>
      <c r="JRY3" s="494"/>
      <c r="JRZ3" s="494"/>
      <c r="JSA3" s="494"/>
      <c r="JSB3" s="494"/>
      <c r="JSC3" s="494"/>
      <c r="JSD3" s="494"/>
      <c r="JSE3" s="494"/>
      <c r="JSF3" s="494"/>
      <c r="JSG3" s="494"/>
      <c r="JSH3" s="494"/>
      <c r="JSI3" s="494"/>
      <c r="JSJ3" s="494"/>
      <c r="JSK3" s="494"/>
      <c r="JSL3" s="494"/>
      <c r="JSM3" s="494"/>
      <c r="JSN3" s="494"/>
      <c r="JSO3" s="494"/>
      <c r="JSP3" s="494"/>
      <c r="JSQ3" s="494"/>
      <c r="JSR3" s="494"/>
      <c r="JSS3" s="494"/>
      <c r="JST3" s="494"/>
      <c r="JSU3" s="494"/>
      <c r="JSV3" s="494"/>
      <c r="JSW3" s="494"/>
      <c r="JSX3" s="494"/>
      <c r="JSY3" s="494"/>
      <c r="JSZ3" s="494"/>
      <c r="JTA3" s="494"/>
      <c r="JTB3" s="494"/>
      <c r="JTC3" s="494"/>
      <c r="JTD3" s="494"/>
      <c r="JTE3" s="494"/>
      <c r="JTF3" s="494"/>
      <c r="JTG3" s="494"/>
      <c r="JTH3" s="494"/>
      <c r="JTI3" s="494"/>
      <c r="JTJ3" s="494"/>
      <c r="JTK3" s="494"/>
      <c r="JTL3" s="494"/>
      <c r="JTM3" s="494"/>
      <c r="JTN3" s="494"/>
      <c r="JTO3" s="494"/>
      <c r="JTP3" s="494"/>
      <c r="JTQ3" s="494"/>
      <c r="JTR3" s="494"/>
      <c r="JTS3" s="494"/>
      <c r="JTT3" s="494"/>
      <c r="JTU3" s="494"/>
      <c r="JTV3" s="494"/>
      <c r="JTW3" s="494"/>
      <c r="JTX3" s="494"/>
      <c r="JTY3" s="494"/>
      <c r="JTZ3" s="494"/>
      <c r="JUA3" s="494"/>
      <c r="JUB3" s="494"/>
      <c r="JUC3" s="494"/>
      <c r="JUD3" s="494"/>
      <c r="JUE3" s="494"/>
      <c r="JUF3" s="494"/>
      <c r="JUG3" s="494"/>
      <c r="JUH3" s="494"/>
      <c r="JUI3" s="494"/>
      <c r="JUJ3" s="494"/>
      <c r="JUK3" s="494"/>
      <c r="JUL3" s="494"/>
      <c r="JUM3" s="494"/>
      <c r="JUN3" s="494"/>
      <c r="JUO3" s="494"/>
      <c r="JUP3" s="494"/>
      <c r="JUQ3" s="494"/>
      <c r="JUR3" s="494"/>
      <c r="JUS3" s="494"/>
      <c r="JUT3" s="494"/>
      <c r="JUU3" s="494"/>
      <c r="JUV3" s="494"/>
      <c r="JUW3" s="494"/>
      <c r="JUX3" s="494"/>
      <c r="JUY3" s="494"/>
      <c r="JUZ3" s="494"/>
      <c r="JVA3" s="494"/>
      <c r="JVB3" s="494"/>
      <c r="JVC3" s="494"/>
      <c r="JVD3" s="494"/>
      <c r="JVE3" s="494"/>
      <c r="JVF3" s="494"/>
      <c r="JVG3" s="494"/>
      <c r="JVH3" s="494"/>
      <c r="JVI3" s="494"/>
      <c r="JVJ3" s="494"/>
      <c r="JVK3" s="494"/>
      <c r="JVL3" s="494"/>
      <c r="JVM3" s="494"/>
      <c r="JVN3" s="494"/>
      <c r="JVO3" s="494"/>
      <c r="JVP3" s="494"/>
      <c r="JVQ3" s="494"/>
      <c r="JVR3" s="494"/>
      <c r="JVS3" s="494"/>
      <c r="JVT3" s="494"/>
      <c r="JVU3" s="494"/>
      <c r="JVV3" s="494"/>
      <c r="JVW3" s="494"/>
      <c r="JVX3" s="494"/>
      <c r="JVY3" s="494"/>
      <c r="JVZ3" s="494"/>
      <c r="JWA3" s="494"/>
      <c r="JWB3" s="494"/>
      <c r="JWC3" s="494"/>
      <c r="JWD3" s="494"/>
      <c r="JWE3" s="494"/>
      <c r="JWF3" s="494"/>
      <c r="JWG3" s="494"/>
      <c r="JWH3" s="494"/>
      <c r="JWI3" s="494"/>
      <c r="JWJ3" s="494"/>
      <c r="JWK3" s="494"/>
      <c r="JWL3" s="494"/>
      <c r="JWM3" s="494"/>
      <c r="JWN3" s="494"/>
      <c r="JWO3" s="494"/>
      <c r="JWP3" s="494"/>
      <c r="JWQ3" s="494"/>
      <c r="JWR3" s="494"/>
      <c r="JWS3" s="494"/>
      <c r="JWT3" s="494"/>
      <c r="JWU3" s="494"/>
      <c r="JWV3" s="494"/>
      <c r="JWW3" s="494"/>
      <c r="JWX3" s="494"/>
      <c r="JWY3" s="494"/>
      <c r="JWZ3" s="494"/>
      <c r="JXA3" s="494"/>
      <c r="JXB3" s="494"/>
      <c r="JXC3" s="494"/>
      <c r="JXD3" s="494"/>
      <c r="JXE3" s="494"/>
      <c r="JXF3" s="494"/>
      <c r="JXG3" s="494"/>
      <c r="JXH3" s="494"/>
      <c r="JXI3" s="494"/>
      <c r="JXJ3" s="494"/>
      <c r="JXK3" s="494"/>
      <c r="JXL3" s="494"/>
      <c r="JXM3" s="494"/>
      <c r="JXN3" s="494"/>
      <c r="JXO3" s="494"/>
      <c r="JXP3" s="494"/>
      <c r="JXQ3" s="494"/>
      <c r="JXR3" s="494"/>
      <c r="JXS3" s="494"/>
      <c r="JXT3" s="494"/>
      <c r="JXU3" s="494"/>
      <c r="JXV3" s="494"/>
      <c r="JXW3" s="494"/>
      <c r="JXX3" s="494"/>
      <c r="JXY3" s="494"/>
      <c r="JXZ3" s="494"/>
      <c r="JYA3" s="494"/>
      <c r="JYB3" s="494"/>
      <c r="JYC3" s="494"/>
      <c r="JYD3" s="494"/>
      <c r="JYE3" s="494"/>
      <c r="JYF3" s="494"/>
      <c r="JYG3" s="494"/>
      <c r="JYH3" s="494"/>
      <c r="JYI3" s="494"/>
      <c r="JYJ3" s="494"/>
      <c r="JYK3" s="494"/>
      <c r="JYL3" s="494"/>
      <c r="JYM3" s="494"/>
      <c r="JYN3" s="494"/>
      <c r="JYO3" s="494"/>
      <c r="JYP3" s="494"/>
      <c r="JYQ3" s="494"/>
      <c r="JYR3" s="494"/>
      <c r="JYS3" s="494"/>
      <c r="JYT3" s="494"/>
      <c r="JYU3" s="494"/>
      <c r="JYV3" s="494"/>
      <c r="JYW3" s="494"/>
      <c r="JYX3" s="494"/>
      <c r="JYY3" s="494"/>
      <c r="JYZ3" s="494"/>
      <c r="JZA3" s="494"/>
      <c r="JZB3" s="494"/>
      <c r="JZC3" s="494"/>
      <c r="JZD3" s="494"/>
      <c r="JZE3" s="494"/>
      <c r="JZF3" s="494"/>
      <c r="JZG3" s="494"/>
      <c r="JZH3" s="494"/>
      <c r="JZI3" s="494"/>
      <c r="JZJ3" s="494"/>
      <c r="JZK3" s="494"/>
      <c r="JZL3" s="494"/>
      <c r="JZM3" s="494"/>
      <c r="JZN3" s="494"/>
      <c r="JZO3" s="494"/>
      <c r="JZP3" s="494"/>
      <c r="JZQ3" s="494"/>
      <c r="JZR3" s="494"/>
      <c r="JZS3" s="494"/>
      <c r="JZT3" s="494"/>
      <c r="JZU3" s="494"/>
      <c r="JZV3" s="494"/>
      <c r="JZW3" s="494"/>
      <c r="JZX3" s="494"/>
      <c r="JZY3" s="494"/>
      <c r="JZZ3" s="494"/>
      <c r="KAA3" s="494"/>
      <c r="KAB3" s="494"/>
      <c r="KAC3" s="494"/>
      <c r="KAD3" s="494"/>
      <c r="KAE3" s="494"/>
      <c r="KAF3" s="494"/>
      <c r="KAG3" s="494"/>
      <c r="KAH3" s="494"/>
      <c r="KAI3" s="494"/>
      <c r="KAJ3" s="494"/>
      <c r="KAK3" s="494"/>
      <c r="KAL3" s="494"/>
      <c r="KAM3" s="494"/>
      <c r="KAN3" s="494"/>
      <c r="KAO3" s="494"/>
      <c r="KAP3" s="494"/>
      <c r="KAQ3" s="494"/>
      <c r="KAR3" s="494"/>
      <c r="KAS3" s="494"/>
      <c r="KAT3" s="494"/>
      <c r="KAU3" s="494"/>
      <c r="KAV3" s="494"/>
      <c r="KAW3" s="494"/>
      <c r="KAX3" s="494"/>
      <c r="KAY3" s="494"/>
      <c r="KAZ3" s="494"/>
      <c r="KBA3" s="494"/>
      <c r="KBB3" s="494"/>
      <c r="KBC3" s="494"/>
      <c r="KBD3" s="494"/>
      <c r="KBE3" s="494"/>
      <c r="KBF3" s="494"/>
      <c r="KBG3" s="494"/>
      <c r="KBH3" s="494"/>
      <c r="KBI3" s="494"/>
      <c r="KBJ3" s="494"/>
      <c r="KBK3" s="494"/>
      <c r="KBL3" s="494"/>
      <c r="KBM3" s="494"/>
      <c r="KBN3" s="494"/>
      <c r="KBO3" s="494"/>
      <c r="KBP3" s="494"/>
      <c r="KBQ3" s="494"/>
      <c r="KBR3" s="494"/>
      <c r="KBS3" s="494"/>
      <c r="KBT3" s="494"/>
      <c r="KBU3" s="494"/>
      <c r="KBV3" s="494"/>
      <c r="KBW3" s="494"/>
      <c r="KBX3" s="494"/>
      <c r="KBY3" s="494"/>
      <c r="KBZ3" s="494"/>
      <c r="KCA3" s="494"/>
      <c r="KCB3" s="494"/>
      <c r="KCC3" s="494"/>
      <c r="KCD3" s="494"/>
      <c r="KCE3" s="494"/>
      <c r="KCF3" s="494"/>
      <c r="KCG3" s="494"/>
      <c r="KCH3" s="494"/>
      <c r="KCI3" s="494"/>
      <c r="KCJ3" s="494"/>
      <c r="KCK3" s="494"/>
      <c r="KCL3" s="494"/>
      <c r="KCM3" s="494"/>
      <c r="KCN3" s="494"/>
      <c r="KCO3" s="494"/>
      <c r="KCP3" s="494"/>
      <c r="KCQ3" s="494"/>
      <c r="KCR3" s="494"/>
      <c r="KCS3" s="494"/>
      <c r="KCT3" s="494"/>
      <c r="KCU3" s="494"/>
      <c r="KCV3" s="494"/>
      <c r="KCW3" s="494"/>
      <c r="KCX3" s="494"/>
      <c r="KCY3" s="494"/>
      <c r="KCZ3" s="494"/>
      <c r="KDA3" s="494"/>
      <c r="KDB3" s="494"/>
      <c r="KDC3" s="494"/>
      <c r="KDD3" s="494"/>
      <c r="KDE3" s="494"/>
      <c r="KDF3" s="494"/>
      <c r="KDG3" s="494"/>
      <c r="KDH3" s="494"/>
      <c r="KDI3" s="494"/>
      <c r="KDJ3" s="494"/>
      <c r="KDK3" s="494"/>
      <c r="KDL3" s="494"/>
      <c r="KDM3" s="494"/>
      <c r="KDN3" s="494"/>
      <c r="KDO3" s="494"/>
      <c r="KDP3" s="494"/>
      <c r="KDQ3" s="494"/>
      <c r="KDR3" s="494"/>
      <c r="KDS3" s="494"/>
      <c r="KDT3" s="494"/>
      <c r="KDU3" s="494"/>
      <c r="KDV3" s="494"/>
      <c r="KDW3" s="494"/>
      <c r="KDX3" s="494"/>
      <c r="KDY3" s="494"/>
      <c r="KDZ3" s="494"/>
      <c r="KEA3" s="494"/>
      <c r="KEB3" s="494"/>
      <c r="KEC3" s="494"/>
      <c r="KED3" s="494"/>
      <c r="KEE3" s="494"/>
      <c r="KEF3" s="494"/>
      <c r="KEG3" s="494"/>
      <c r="KEH3" s="494"/>
      <c r="KEI3" s="494"/>
      <c r="KEJ3" s="494"/>
      <c r="KEK3" s="494"/>
      <c r="KEL3" s="494"/>
      <c r="KEM3" s="494"/>
      <c r="KEN3" s="494"/>
      <c r="KEO3" s="494"/>
      <c r="KEP3" s="494"/>
      <c r="KEQ3" s="494"/>
      <c r="KER3" s="494"/>
      <c r="KES3" s="494"/>
      <c r="KET3" s="494"/>
      <c r="KEU3" s="494"/>
      <c r="KEV3" s="494"/>
      <c r="KEW3" s="494"/>
      <c r="KEX3" s="494"/>
      <c r="KEY3" s="494"/>
      <c r="KEZ3" s="494"/>
      <c r="KFA3" s="494"/>
      <c r="KFB3" s="494"/>
      <c r="KFC3" s="494"/>
      <c r="KFD3" s="494"/>
      <c r="KFE3" s="494"/>
      <c r="KFF3" s="494"/>
      <c r="KFG3" s="494"/>
      <c r="KFH3" s="494"/>
      <c r="KFI3" s="494"/>
      <c r="KFJ3" s="494"/>
      <c r="KFK3" s="494"/>
      <c r="KFL3" s="494"/>
      <c r="KFM3" s="494"/>
      <c r="KFN3" s="494"/>
      <c r="KFO3" s="494"/>
      <c r="KFP3" s="494"/>
      <c r="KFQ3" s="494"/>
      <c r="KFR3" s="494"/>
      <c r="KFS3" s="494"/>
      <c r="KFT3" s="494"/>
      <c r="KFU3" s="494"/>
      <c r="KFV3" s="494"/>
      <c r="KFW3" s="494"/>
      <c r="KFX3" s="494"/>
      <c r="KFY3" s="494"/>
      <c r="KFZ3" s="494"/>
      <c r="KGA3" s="494"/>
      <c r="KGB3" s="494"/>
      <c r="KGC3" s="494"/>
      <c r="KGD3" s="494"/>
      <c r="KGE3" s="494"/>
      <c r="KGF3" s="494"/>
      <c r="KGG3" s="494"/>
      <c r="KGH3" s="494"/>
      <c r="KGI3" s="494"/>
      <c r="KGJ3" s="494"/>
      <c r="KGK3" s="494"/>
      <c r="KGL3" s="494"/>
      <c r="KGM3" s="494"/>
      <c r="KGN3" s="494"/>
      <c r="KGO3" s="494"/>
      <c r="KGP3" s="494"/>
      <c r="KGQ3" s="494"/>
      <c r="KGR3" s="494"/>
      <c r="KGS3" s="494"/>
      <c r="KGT3" s="494"/>
      <c r="KGU3" s="494"/>
      <c r="KGV3" s="494"/>
      <c r="KGW3" s="494"/>
      <c r="KGX3" s="494"/>
      <c r="KGY3" s="494"/>
      <c r="KGZ3" s="494"/>
      <c r="KHA3" s="494"/>
      <c r="KHB3" s="494"/>
      <c r="KHC3" s="494"/>
      <c r="KHD3" s="494"/>
      <c r="KHE3" s="494"/>
      <c r="KHF3" s="494"/>
      <c r="KHG3" s="494"/>
      <c r="KHH3" s="494"/>
      <c r="KHI3" s="494"/>
      <c r="KHJ3" s="494"/>
      <c r="KHK3" s="494"/>
      <c r="KHL3" s="494"/>
      <c r="KHM3" s="494"/>
      <c r="KHN3" s="494"/>
      <c r="KHO3" s="494"/>
      <c r="KHP3" s="494"/>
      <c r="KHQ3" s="494"/>
      <c r="KHR3" s="494"/>
      <c r="KHS3" s="494"/>
      <c r="KHT3" s="494"/>
      <c r="KHU3" s="494"/>
      <c r="KHV3" s="494"/>
      <c r="KHW3" s="494"/>
      <c r="KHX3" s="494"/>
      <c r="KHY3" s="494"/>
      <c r="KHZ3" s="494"/>
      <c r="KIA3" s="494"/>
      <c r="KIB3" s="494"/>
      <c r="KIC3" s="494"/>
      <c r="KID3" s="494"/>
      <c r="KIE3" s="494"/>
      <c r="KIF3" s="494"/>
      <c r="KIG3" s="494"/>
      <c r="KIH3" s="494"/>
      <c r="KII3" s="494"/>
      <c r="KIJ3" s="494"/>
      <c r="KIK3" s="494"/>
      <c r="KIL3" s="494"/>
      <c r="KIM3" s="494"/>
      <c r="KIN3" s="494"/>
      <c r="KIO3" s="494"/>
      <c r="KIP3" s="494"/>
      <c r="KIQ3" s="494"/>
      <c r="KIR3" s="494"/>
      <c r="KIS3" s="494"/>
      <c r="KIT3" s="494"/>
      <c r="KIU3" s="494"/>
      <c r="KIV3" s="494"/>
      <c r="KIW3" s="494"/>
      <c r="KIX3" s="494"/>
      <c r="KIY3" s="494"/>
      <c r="KIZ3" s="494"/>
      <c r="KJA3" s="494"/>
      <c r="KJB3" s="494"/>
      <c r="KJC3" s="494"/>
      <c r="KJD3" s="494"/>
      <c r="KJE3" s="494"/>
      <c r="KJF3" s="494"/>
      <c r="KJG3" s="494"/>
      <c r="KJH3" s="494"/>
      <c r="KJI3" s="494"/>
      <c r="KJJ3" s="494"/>
      <c r="KJK3" s="494"/>
      <c r="KJL3" s="494"/>
      <c r="KJM3" s="494"/>
      <c r="KJN3" s="494"/>
      <c r="KJO3" s="494"/>
      <c r="KJP3" s="494"/>
      <c r="KJQ3" s="494"/>
      <c r="KJR3" s="494"/>
      <c r="KJS3" s="494"/>
      <c r="KJT3" s="494"/>
      <c r="KJU3" s="494"/>
      <c r="KJV3" s="494"/>
      <c r="KJW3" s="494"/>
      <c r="KJX3" s="494"/>
      <c r="KJY3" s="494"/>
      <c r="KJZ3" s="494"/>
      <c r="KKA3" s="494"/>
      <c r="KKB3" s="494"/>
      <c r="KKC3" s="494"/>
      <c r="KKD3" s="494"/>
      <c r="KKE3" s="494"/>
      <c r="KKF3" s="494"/>
      <c r="KKG3" s="494"/>
      <c r="KKH3" s="494"/>
      <c r="KKI3" s="494"/>
      <c r="KKJ3" s="494"/>
      <c r="KKK3" s="494"/>
      <c r="KKL3" s="494"/>
      <c r="KKM3" s="494"/>
      <c r="KKN3" s="494"/>
      <c r="KKO3" s="494"/>
      <c r="KKP3" s="494"/>
      <c r="KKQ3" s="494"/>
      <c r="KKR3" s="494"/>
      <c r="KKS3" s="494"/>
      <c r="KKT3" s="494"/>
      <c r="KKU3" s="494"/>
      <c r="KKV3" s="494"/>
      <c r="KKW3" s="494"/>
      <c r="KKX3" s="494"/>
      <c r="KKY3" s="494"/>
      <c r="KKZ3" s="494"/>
      <c r="KLA3" s="494"/>
      <c r="KLB3" s="494"/>
      <c r="KLC3" s="494"/>
      <c r="KLD3" s="494"/>
      <c r="KLE3" s="494"/>
      <c r="KLF3" s="494"/>
      <c r="KLG3" s="494"/>
      <c r="KLH3" s="494"/>
      <c r="KLI3" s="494"/>
      <c r="KLJ3" s="494"/>
      <c r="KLK3" s="494"/>
      <c r="KLL3" s="494"/>
      <c r="KLM3" s="494"/>
      <c r="KLN3" s="494"/>
      <c r="KLO3" s="494"/>
      <c r="KLP3" s="494"/>
      <c r="KLQ3" s="494"/>
      <c r="KLR3" s="494"/>
      <c r="KLS3" s="494"/>
      <c r="KLT3" s="494"/>
      <c r="KLU3" s="494"/>
      <c r="KLV3" s="494"/>
      <c r="KLW3" s="494"/>
      <c r="KLX3" s="494"/>
      <c r="KLY3" s="494"/>
      <c r="KLZ3" s="494"/>
      <c r="KMA3" s="494"/>
      <c r="KMB3" s="494"/>
      <c r="KMC3" s="494"/>
      <c r="KMD3" s="494"/>
      <c r="KME3" s="494"/>
      <c r="KMF3" s="494"/>
      <c r="KMG3" s="494"/>
      <c r="KMH3" s="494"/>
      <c r="KMI3" s="494"/>
      <c r="KMJ3" s="494"/>
      <c r="KMK3" s="494"/>
      <c r="KML3" s="494"/>
      <c r="KMM3" s="494"/>
      <c r="KMN3" s="494"/>
      <c r="KMO3" s="494"/>
      <c r="KMP3" s="494"/>
      <c r="KMQ3" s="494"/>
      <c r="KMR3" s="494"/>
      <c r="KMS3" s="494"/>
      <c r="KMT3" s="494"/>
      <c r="KMU3" s="494"/>
      <c r="KMV3" s="494"/>
      <c r="KMW3" s="494"/>
      <c r="KMX3" s="494"/>
      <c r="KMY3" s="494"/>
      <c r="KMZ3" s="494"/>
      <c r="KNA3" s="494"/>
      <c r="KNB3" s="494"/>
      <c r="KNC3" s="494"/>
      <c r="KND3" s="494"/>
      <c r="KNE3" s="494"/>
      <c r="KNF3" s="494"/>
      <c r="KNG3" s="494"/>
      <c r="KNH3" s="494"/>
      <c r="KNI3" s="494"/>
      <c r="KNJ3" s="494"/>
      <c r="KNK3" s="494"/>
      <c r="KNL3" s="494"/>
      <c r="KNM3" s="494"/>
      <c r="KNN3" s="494"/>
      <c r="KNO3" s="494"/>
      <c r="KNP3" s="494"/>
      <c r="KNQ3" s="494"/>
      <c r="KNR3" s="494"/>
      <c r="KNS3" s="494"/>
      <c r="KNT3" s="494"/>
      <c r="KNU3" s="494"/>
      <c r="KNV3" s="494"/>
      <c r="KNW3" s="494"/>
      <c r="KNX3" s="494"/>
      <c r="KNY3" s="494"/>
      <c r="KNZ3" s="494"/>
      <c r="KOA3" s="494"/>
      <c r="KOB3" s="494"/>
      <c r="KOC3" s="494"/>
      <c r="KOD3" s="494"/>
      <c r="KOE3" s="494"/>
      <c r="KOF3" s="494"/>
      <c r="KOG3" s="494"/>
      <c r="KOH3" s="494"/>
      <c r="KOI3" s="494"/>
      <c r="KOJ3" s="494"/>
      <c r="KOK3" s="494"/>
      <c r="KOL3" s="494"/>
      <c r="KOM3" s="494"/>
      <c r="KON3" s="494"/>
      <c r="KOO3" s="494"/>
      <c r="KOP3" s="494"/>
      <c r="KOQ3" s="494"/>
      <c r="KOR3" s="494"/>
      <c r="KOS3" s="494"/>
      <c r="KOT3" s="494"/>
      <c r="KOU3" s="494"/>
      <c r="KOV3" s="494"/>
      <c r="KOW3" s="494"/>
      <c r="KOX3" s="494"/>
      <c r="KOY3" s="494"/>
      <c r="KOZ3" s="494"/>
      <c r="KPA3" s="494"/>
      <c r="KPB3" s="494"/>
      <c r="KPC3" s="494"/>
      <c r="KPD3" s="494"/>
      <c r="KPE3" s="494"/>
      <c r="KPF3" s="494"/>
      <c r="KPG3" s="494"/>
      <c r="KPH3" s="494"/>
      <c r="KPI3" s="494"/>
      <c r="KPJ3" s="494"/>
      <c r="KPK3" s="494"/>
      <c r="KPL3" s="494"/>
      <c r="KPM3" s="494"/>
      <c r="KPN3" s="494"/>
      <c r="KPO3" s="494"/>
      <c r="KPP3" s="494"/>
      <c r="KPQ3" s="494"/>
      <c r="KPR3" s="494"/>
      <c r="KPS3" s="494"/>
      <c r="KPT3" s="494"/>
      <c r="KPU3" s="494"/>
      <c r="KPV3" s="494"/>
      <c r="KPW3" s="494"/>
      <c r="KPX3" s="494"/>
      <c r="KPY3" s="494"/>
      <c r="KPZ3" s="494"/>
      <c r="KQA3" s="494"/>
      <c r="KQB3" s="494"/>
      <c r="KQC3" s="494"/>
      <c r="KQD3" s="494"/>
      <c r="KQE3" s="494"/>
      <c r="KQF3" s="494"/>
      <c r="KQG3" s="494"/>
      <c r="KQH3" s="494"/>
      <c r="KQI3" s="494"/>
      <c r="KQJ3" s="494"/>
      <c r="KQK3" s="494"/>
      <c r="KQL3" s="494"/>
      <c r="KQM3" s="494"/>
      <c r="KQN3" s="494"/>
      <c r="KQO3" s="494"/>
      <c r="KQP3" s="494"/>
      <c r="KQQ3" s="494"/>
      <c r="KQR3" s="494"/>
      <c r="KQS3" s="494"/>
      <c r="KQT3" s="494"/>
      <c r="KQU3" s="494"/>
      <c r="KQV3" s="494"/>
      <c r="KQW3" s="494"/>
      <c r="KQX3" s="494"/>
      <c r="KQY3" s="494"/>
      <c r="KQZ3" s="494"/>
      <c r="KRA3" s="494"/>
      <c r="KRB3" s="494"/>
      <c r="KRC3" s="494"/>
      <c r="KRD3" s="494"/>
      <c r="KRE3" s="494"/>
      <c r="KRF3" s="494"/>
      <c r="KRG3" s="494"/>
      <c r="KRH3" s="494"/>
      <c r="KRI3" s="494"/>
      <c r="KRJ3" s="494"/>
      <c r="KRK3" s="494"/>
      <c r="KRL3" s="494"/>
      <c r="KRM3" s="494"/>
      <c r="KRN3" s="494"/>
      <c r="KRO3" s="494"/>
      <c r="KRP3" s="494"/>
      <c r="KRQ3" s="494"/>
      <c r="KRR3" s="494"/>
      <c r="KRS3" s="494"/>
      <c r="KRT3" s="494"/>
      <c r="KRU3" s="494"/>
      <c r="KRV3" s="494"/>
      <c r="KRW3" s="494"/>
      <c r="KRX3" s="494"/>
      <c r="KRY3" s="494"/>
      <c r="KRZ3" s="494"/>
      <c r="KSA3" s="494"/>
      <c r="KSB3" s="494"/>
      <c r="KSC3" s="494"/>
      <c r="KSD3" s="494"/>
      <c r="KSE3" s="494"/>
      <c r="KSF3" s="494"/>
      <c r="KSG3" s="494"/>
      <c r="KSH3" s="494"/>
      <c r="KSI3" s="494"/>
      <c r="KSJ3" s="494"/>
      <c r="KSK3" s="494"/>
      <c r="KSL3" s="494"/>
      <c r="KSM3" s="494"/>
      <c r="KSN3" s="494"/>
      <c r="KSO3" s="494"/>
      <c r="KSP3" s="494"/>
      <c r="KSQ3" s="494"/>
      <c r="KSR3" s="494"/>
      <c r="KSS3" s="494"/>
      <c r="KST3" s="494"/>
      <c r="KSU3" s="494"/>
      <c r="KSV3" s="494"/>
      <c r="KSW3" s="494"/>
      <c r="KSX3" s="494"/>
      <c r="KSY3" s="494"/>
      <c r="KSZ3" s="494"/>
      <c r="KTA3" s="494"/>
      <c r="KTB3" s="494"/>
      <c r="KTC3" s="494"/>
      <c r="KTD3" s="494"/>
      <c r="KTE3" s="494"/>
      <c r="KTF3" s="494"/>
      <c r="KTG3" s="494"/>
      <c r="KTH3" s="494"/>
      <c r="KTI3" s="494"/>
      <c r="KTJ3" s="494"/>
      <c r="KTK3" s="494"/>
      <c r="KTL3" s="494"/>
      <c r="KTM3" s="494"/>
      <c r="KTN3" s="494"/>
      <c r="KTO3" s="494"/>
      <c r="KTP3" s="494"/>
      <c r="KTQ3" s="494"/>
      <c r="KTR3" s="494"/>
      <c r="KTS3" s="494"/>
      <c r="KTT3" s="494"/>
      <c r="KTU3" s="494"/>
      <c r="KTV3" s="494"/>
      <c r="KTW3" s="494"/>
      <c r="KTX3" s="494"/>
      <c r="KTY3" s="494"/>
      <c r="KTZ3" s="494"/>
      <c r="KUA3" s="494"/>
      <c r="KUB3" s="494"/>
      <c r="KUC3" s="494"/>
      <c r="KUD3" s="494"/>
      <c r="KUE3" s="494"/>
      <c r="KUF3" s="494"/>
      <c r="KUG3" s="494"/>
      <c r="KUH3" s="494"/>
      <c r="KUI3" s="494"/>
      <c r="KUJ3" s="494"/>
      <c r="KUK3" s="494"/>
      <c r="KUL3" s="494"/>
      <c r="KUM3" s="494"/>
      <c r="KUN3" s="494"/>
      <c r="KUO3" s="494"/>
      <c r="KUP3" s="494"/>
      <c r="KUQ3" s="494"/>
      <c r="KUR3" s="494"/>
      <c r="KUS3" s="494"/>
      <c r="KUT3" s="494"/>
      <c r="KUU3" s="494"/>
      <c r="KUV3" s="494"/>
      <c r="KUW3" s="494"/>
      <c r="KUX3" s="494"/>
      <c r="KUY3" s="494"/>
      <c r="KUZ3" s="494"/>
      <c r="KVA3" s="494"/>
      <c r="KVB3" s="494"/>
      <c r="KVC3" s="494"/>
      <c r="KVD3" s="494"/>
      <c r="KVE3" s="494"/>
      <c r="KVF3" s="494"/>
      <c r="KVG3" s="494"/>
      <c r="KVH3" s="494"/>
      <c r="KVI3" s="494"/>
      <c r="KVJ3" s="494"/>
      <c r="KVK3" s="494"/>
      <c r="KVL3" s="494"/>
      <c r="KVM3" s="494"/>
      <c r="KVN3" s="494"/>
      <c r="KVO3" s="494"/>
      <c r="KVP3" s="494"/>
      <c r="KVQ3" s="494"/>
      <c r="KVR3" s="494"/>
      <c r="KVS3" s="494"/>
      <c r="KVT3" s="494"/>
      <c r="KVU3" s="494"/>
      <c r="KVV3" s="494"/>
      <c r="KVW3" s="494"/>
      <c r="KVX3" s="494"/>
      <c r="KVY3" s="494"/>
      <c r="KVZ3" s="494"/>
      <c r="KWA3" s="494"/>
      <c r="KWB3" s="494"/>
      <c r="KWC3" s="494"/>
      <c r="KWD3" s="494"/>
      <c r="KWE3" s="494"/>
      <c r="KWF3" s="494"/>
      <c r="KWG3" s="494"/>
      <c r="KWH3" s="494"/>
      <c r="KWI3" s="494"/>
      <c r="KWJ3" s="494"/>
      <c r="KWK3" s="494"/>
      <c r="KWL3" s="494"/>
      <c r="KWM3" s="494"/>
      <c r="KWN3" s="494"/>
      <c r="KWO3" s="494"/>
      <c r="KWP3" s="494"/>
      <c r="KWQ3" s="494"/>
      <c r="KWR3" s="494"/>
      <c r="KWS3" s="494"/>
      <c r="KWT3" s="494"/>
      <c r="KWU3" s="494"/>
      <c r="KWV3" s="494"/>
      <c r="KWW3" s="494"/>
      <c r="KWX3" s="494"/>
      <c r="KWY3" s="494"/>
      <c r="KWZ3" s="494"/>
      <c r="KXA3" s="494"/>
      <c r="KXB3" s="494"/>
      <c r="KXC3" s="494"/>
      <c r="KXD3" s="494"/>
      <c r="KXE3" s="494"/>
      <c r="KXF3" s="494"/>
      <c r="KXG3" s="494"/>
      <c r="KXH3" s="494"/>
      <c r="KXI3" s="494"/>
      <c r="KXJ3" s="494"/>
      <c r="KXK3" s="494"/>
      <c r="KXL3" s="494"/>
      <c r="KXM3" s="494"/>
      <c r="KXN3" s="494"/>
      <c r="KXO3" s="494"/>
      <c r="KXP3" s="494"/>
      <c r="KXQ3" s="494"/>
      <c r="KXR3" s="494"/>
      <c r="KXS3" s="494"/>
      <c r="KXT3" s="494"/>
      <c r="KXU3" s="494"/>
      <c r="KXV3" s="494"/>
      <c r="KXW3" s="494"/>
      <c r="KXX3" s="494"/>
      <c r="KXY3" s="494"/>
      <c r="KXZ3" s="494"/>
      <c r="KYA3" s="494"/>
      <c r="KYB3" s="494"/>
      <c r="KYC3" s="494"/>
      <c r="KYD3" s="494"/>
      <c r="KYE3" s="494"/>
      <c r="KYF3" s="494"/>
      <c r="KYG3" s="494"/>
      <c r="KYH3" s="494"/>
      <c r="KYI3" s="494"/>
      <c r="KYJ3" s="494"/>
      <c r="KYK3" s="494"/>
      <c r="KYL3" s="494"/>
      <c r="KYM3" s="494"/>
      <c r="KYN3" s="494"/>
      <c r="KYO3" s="494"/>
      <c r="KYP3" s="494"/>
      <c r="KYQ3" s="494"/>
      <c r="KYR3" s="494"/>
      <c r="KYS3" s="494"/>
      <c r="KYT3" s="494"/>
      <c r="KYU3" s="494"/>
      <c r="KYV3" s="494"/>
      <c r="KYW3" s="494"/>
      <c r="KYX3" s="494"/>
      <c r="KYY3" s="494"/>
      <c r="KYZ3" s="494"/>
      <c r="KZA3" s="494"/>
      <c r="KZB3" s="494"/>
      <c r="KZC3" s="494"/>
      <c r="KZD3" s="494"/>
      <c r="KZE3" s="494"/>
      <c r="KZF3" s="494"/>
      <c r="KZG3" s="494"/>
      <c r="KZH3" s="494"/>
      <c r="KZI3" s="494"/>
      <c r="KZJ3" s="494"/>
      <c r="KZK3" s="494"/>
      <c r="KZL3" s="494"/>
      <c r="KZM3" s="494"/>
      <c r="KZN3" s="494"/>
      <c r="KZO3" s="494"/>
      <c r="KZP3" s="494"/>
      <c r="KZQ3" s="494"/>
      <c r="KZR3" s="494"/>
      <c r="KZS3" s="494"/>
      <c r="KZT3" s="494"/>
      <c r="KZU3" s="494"/>
      <c r="KZV3" s="494"/>
      <c r="KZW3" s="494"/>
      <c r="KZX3" s="494"/>
      <c r="KZY3" s="494"/>
      <c r="KZZ3" s="494"/>
      <c r="LAA3" s="494"/>
      <c r="LAB3" s="494"/>
      <c r="LAC3" s="494"/>
      <c r="LAD3" s="494"/>
      <c r="LAE3" s="494"/>
      <c r="LAF3" s="494"/>
      <c r="LAG3" s="494"/>
      <c r="LAH3" s="494"/>
      <c r="LAI3" s="494"/>
      <c r="LAJ3" s="494"/>
      <c r="LAK3" s="494"/>
      <c r="LAL3" s="494"/>
      <c r="LAM3" s="494"/>
      <c r="LAN3" s="494"/>
      <c r="LAO3" s="494"/>
      <c r="LAP3" s="494"/>
      <c r="LAQ3" s="494"/>
      <c r="LAR3" s="494"/>
      <c r="LAS3" s="494"/>
      <c r="LAT3" s="494"/>
      <c r="LAU3" s="494"/>
      <c r="LAV3" s="494"/>
      <c r="LAW3" s="494"/>
      <c r="LAX3" s="494"/>
      <c r="LAY3" s="494"/>
      <c r="LAZ3" s="494"/>
      <c r="LBA3" s="494"/>
      <c r="LBB3" s="494"/>
      <c r="LBC3" s="494"/>
      <c r="LBD3" s="494"/>
      <c r="LBE3" s="494"/>
      <c r="LBF3" s="494"/>
      <c r="LBG3" s="494"/>
      <c r="LBH3" s="494"/>
      <c r="LBI3" s="494"/>
      <c r="LBJ3" s="494"/>
      <c r="LBK3" s="494"/>
      <c r="LBL3" s="494"/>
      <c r="LBM3" s="494"/>
      <c r="LBN3" s="494"/>
      <c r="LBO3" s="494"/>
      <c r="LBP3" s="494"/>
      <c r="LBQ3" s="494"/>
      <c r="LBR3" s="494"/>
      <c r="LBS3" s="494"/>
      <c r="LBT3" s="494"/>
      <c r="LBU3" s="494"/>
      <c r="LBV3" s="494"/>
      <c r="LBW3" s="494"/>
      <c r="LBX3" s="494"/>
      <c r="LBY3" s="494"/>
      <c r="LBZ3" s="494"/>
      <c r="LCA3" s="494"/>
      <c r="LCB3" s="494"/>
      <c r="LCC3" s="494"/>
      <c r="LCD3" s="494"/>
      <c r="LCE3" s="494"/>
      <c r="LCF3" s="494"/>
      <c r="LCG3" s="494"/>
      <c r="LCH3" s="494"/>
      <c r="LCI3" s="494"/>
      <c r="LCJ3" s="494"/>
      <c r="LCK3" s="494"/>
      <c r="LCL3" s="494"/>
      <c r="LCM3" s="494"/>
      <c r="LCN3" s="494"/>
      <c r="LCO3" s="494"/>
      <c r="LCP3" s="494"/>
      <c r="LCQ3" s="494"/>
      <c r="LCR3" s="494"/>
      <c r="LCS3" s="494"/>
      <c r="LCT3" s="494"/>
      <c r="LCU3" s="494"/>
      <c r="LCV3" s="494"/>
      <c r="LCW3" s="494"/>
      <c r="LCX3" s="494"/>
      <c r="LCY3" s="494"/>
      <c r="LCZ3" s="494"/>
      <c r="LDA3" s="494"/>
      <c r="LDB3" s="494"/>
      <c r="LDC3" s="494"/>
      <c r="LDD3" s="494"/>
      <c r="LDE3" s="494"/>
      <c r="LDF3" s="494"/>
      <c r="LDG3" s="494"/>
      <c r="LDH3" s="494"/>
      <c r="LDI3" s="494"/>
      <c r="LDJ3" s="494"/>
      <c r="LDK3" s="494"/>
      <c r="LDL3" s="494"/>
      <c r="LDM3" s="494"/>
      <c r="LDN3" s="494"/>
      <c r="LDO3" s="494"/>
      <c r="LDP3" s="494"/>
      <c r="LDQ3" s="494"/>
      <c r="LDR3" s="494"/>
      <c r="LDS3" s="494"/>
      <c r="LDT3" s="494"/>
      <c r="LDU3" s="494"/>
      <c r="LDV3" s="494"/>
      <c r="LDW3" s="494"/>
      <c r="LDX3" s="494"/>
      <c r="LDY3" s="494"/>
      <c r="LDZ3" s="494"/>
      <c r="LEA3" s="494"/>
      <c r="LEB3" s="494"/>
      <c r="LEC3" s="494"/>
      <c r="LED3" s="494"/>
      <c r="LEE3" s="494"/>
      <c r="LEF3" s="494"/>
      <c r="LEG3" s="494"/>
      <c r="LEH3" s="494"/>
      <c r="LEI3" s="494"/>
      <c r="LEJ3" s="494"/>
      <c r="LEK3" s="494"/>
      <c r="LEL3" s="494"/>
      <c r="LEM3" s="494"/>
      <c r="LEN3" s="494"/>
      <c r="LEO3" s="494"/>
      <c r="LEP3" s="494"/>
      <c r="LEQ3" s="494"/>
      <c r="LER3" s="494"/>
      <c r="LES3" s="494"/>
      <c r="LET3" s="494"/>
      <c r="LEU3" s="494"/>
      <c r="LEV3" s="494"/>
      <c r="LEW3" s="494"/>
      <c r="LEX3" s="494"/>
      <c r="LEY3" s="494"/>
      <c r="LEZ3" s="494"/>
      <c r="LFA3" s="494"/>
      <c r="LFB3" s="494"/>
      <c r="LFC3" s="494"/>
      <c r="LFD3" s="494"/>
      <c r="LFE3" s="494"/>
      <c r="LFF3" s="494"/>
      <c r="LFG3" s="494"/>
      <c r="LFH3" s="494"/>
      <c r="LFI3" s="494"/>
      <c r="LFJ3" s="494"/>
      <c r="LFK3" s="494"/>
      <c r="LFL3" s="494"/>
      <c r="LFM3" s="494"/>
      <c r="LFN3" s="494"/>
      <c r="LFO3" s="494"/>
      <c r="LFP3" s="494"/>
      <c r="LFQ3" s="494"/>
      <c r="LFR3" s="494"/>
      <c r="LFS3" s="494"/>
      <c r="LFT3" s="494"/>
      <c r="LFU3" s="494"/>
      <c r="LFV3" s="494"/>
      <c r="LFW3" s="494"/>
      <c r="LFX3" s="494"/>
      <c r="LFY3" s="494"/>
      <c r="LFZ3" s="494"/>
      <c r="LGA3" s="494"/>
      <c r="LGB3" s="494"/>
      <c r="LGC3" s="494"/>
      <c r="LGD3" s="494"/>
      <c r="LGE3" s="494"/>
      <c r="LGF3" s="494"/>
      <c r="LGG3" s="494"/>
      <c r="LGH3" s="494"/>
      <c r="LGI3" s="494"/>
      <c r="LGJ3" s="494"/>
      <c r="LGK3" s="494"/>
      <c r="LGL3" s="494"/>
      <c r="LGM3" s="494"/>
      <c r="LGN3" s="494"/>
      <c r="LGO3" s="494"/>
      <c r="LGP3" s="494"/>
      <c r="LGQ3" s="494"/>
      <c r="LGR3" s="494"/>
      <c r="LGS3" s="494"/>
      <c r="LGT3" s="494"/>
      <c r="LGU3" s="494"/>
      <c r="LGV3" s="494"/>
      <c r="LGW3" s="494"/>
      <c r="LGX3" s="494"/>
      <c r="LGY3" s="494"/>
      <c r="LGZ3" s="494"/>
      <c r="LHA3" s="494"/>
      <c r="LHB3" s="494"/>
      <c r="LHC3" s="494"/>
      <c r="LHD3" s="494"/>
      <c r="LHE3" s="494"/>
      <c r="LHF3" s="494"/>
      <c r="LHG3" s="494"/>
      <c r="LHH3" s="494"/>
      <c r="LHI3" s="494"/>
      <c r="LHJ3" s="494"/>
      <c r="LHK3" s="494"/>
      <c r="LHL3" s="494"/>
      <c r="LHM3" s="494"/>
      <c r="LHN3" s="494"/>
      <c r="LHO3" s="494"/>
      <c r="LHP3" s="494"/>
      <c r="LHQ3" s="494"/>
      <c r="LHR3" s="494"/>
      <c r="LHS3" s="494"/>
      <c r="LHT3" s="494"/>
      <c r="LHU3" s="494"/>
      <c r="LHV3" s="494"/>
      <c r="LHW3" s="494"/>
      <c r="LHX3" s="494"/>
      <c r="LHY3" s="494"/>
      <c r="LHZ3" s="494"/>
      <c r="LIA3" s="494"/>
      <c r="LIB3" s="494"/>
      <c r="LIC3" s="494"/>
      <c r="LID3" s="494"/>
      <c r="LIE3" s="494"/>
      <c r="LIF3" s="494"/>
      <c r="LIG3" s="494"/>
      <c r="LIH3" s="494"/>
      <c r="LII3" s="494"/>
      <c r="LIJ3" s="494"/>
      <c r="LIK3" s="494"/>
      <c r="LIL3" s="494"/>
      <c r="LIM3" s="494"/>
      <c r="LIN3" s="494"/>
      <c r="LIO3" s="494"/>
      <c r="LIP3" s="494"/>
      <c r="LIQ3" s="494"/>
      <c r="LIR3" s="494"/>
      <c r="LIS3" s="494"/>
      <c r="LIT3" s="494"/>
      <c r="LIU3" s="494"/>
      <c r="LIV3" s="494"/>
      <c r="LIW3" s="494"/>
      <c r="LIX3" s="494"/>
      <c r="LIY3" s="494"/>
      <c r="LIZ3" s="494"/>
      <c r="LJA3" s="494"/>
      <c r="LJB3" s="494"/>
      <c r="LJC3" s="494"/>
      <c r="LJD3" s="494"/>
      <c r="LJE3" s="494"/>
      <c r="LJF3" s="494"/>
      <c r="LJG3" s="494"/>
      <c r="LJH3" s="494"/>
      <c r="LJI3" s="494"/>
      <c r="LJJ3" s="494"/>
      <c r="LJK3" s="494"/>
      <c r="LJL3" s="494"/>
      <c r="LJM3" s="494"/>
      <c r="LJN3" s="494"/>
      <c r="LJO3" s="494"/>
      <c r="LJP3" s="494"/>
      <c r="LJQ3" s="494"/>
      <c r="LJR3" s="494"/>
      <c r="LJS3" s="494"/>
      <c r="LJT3" s="494"/>
      <c r="LJU3" s="494"/>
      <c r="LJV3" s="494"/>
      <c r="LJW3" s="494"/>
      <c r="LJX3" s="494"/>
      <c r="LJY3" s="494"/>
      <c r="LJZ3" s="494"/>
      <c r="LKA3" s="494"/>
      <c r="LKB3" s="494"/>
      <c r="LKC3" s="494"/>
      <c r="LKD3" s="494"/>
      <c r="LKE3" s="494"/>
      <c r="LKF3" s="494"/>
      <c r="LKG3" s="494"/>
      <c r="LKH3" s="494"/>
      <c r="LKI3" s="494"/>
      <c r="LKJ3" s="494"/>
      <c r="LKK3" s="494"/>
      <c r="LKL3" s="494"/>
      <c r="LKM3" s="494"/>
      <c r="LKN3" s="494"/>
      <c r="LKO3" s="494"/>
      <c r="LKP3" s="494"/>
      <c r="LKQ3" s="494"/>
      <c r="LKR3" s="494"/>
      <c r="LKS3" s="494"/>
      <c r="LKT3" s="494"/>
      <c r="LKU3" s="494"/>
      <c r="LKV3" s="494"/>
      <c r="LKW3" s="494"/>
      <c r="LKX3" s="494"/>
      <c r="LKY3" s="494"/>
      <c r="LKZ3" s="494"/>
      <c r="LLA3" s="494"/>
      <c r="LLB3" s="494"/>
      <c r="LLC3" s="494"/>
      <c r="LLD3" s="494"/>
      <c r="LLE3" s="494"/>
      <c r="LLF3" s="494"/>
      <c r="LLG3" s="494"/>
      <c r="LLH3" s="494"/>
      <c r="LLI3" s="494"/>
      <c r="LLJ3" s="494"/>
      <c r="LLK3" s="494"/>
      <c r="LLL3" s="494"/>
      <c r="LLM3" s="494"/>
      <c r="LLN3" s="494"/>
      <c r="LLO3" s="494"/>
      <c r="LLP3" s="494"/>
      <c r="LLQ3" s="494"/>
      <c r="LLR3" s="494"/>
      <c r="LLS3" s="494"/>
      <c r="LLT3" s="494"/>
      <c r="LLU3" s="494"/>
      <c r="LLV3" s="494"/>
      <c r="LLW3" s="494"/>
      <c r="LLX3" s="494"/>
      <c r="LLY3" s="494"/>
      <c r="LLZ3" s="494"/>
      <c r="LMA3" s="494"/>
      <c r="LMB3" s="494"/>
      <c r="LMC3" s="494"/>
      <c r="LMD3" s="494"/>
      <c r="LME3" s="494"/>
      <c r="LMF3" s="494"/>
      <c r="LMG3" s="494"/>
      <c r="LMH3" s="494"/>
      <c r="LMI3" s="494"/>
      <c r="LMJ3" s="494"/>
      <c r="LMK3" s="494"/>
      <c r="LML3" s="494"/>
      <c r="LMM3" s="494"/>
      <c r="LMN3" s="494"/>
      <c r="LMO3" s="494"/>
      <c r="LMP3" s="494"/>
      <c r="LMQ3" s="494"/>
      <c r="LMR3" s="494"/>
      <c r="LMS3" s="494"/>
      <c r="LMT3" s="494"/>
      <c r="LMU3" s="494"/>
      <c r="LMV3" s="494"/>
      <c r="LMW3" s="494"/>
      <c r="LMX3" s="494"/>
      <c r="LMY3" s="494"/>
      <c r="LMZ3" s="494"/>
      <c r="LNA3" s="494"/>
      <c r="LNB3" s="494"/>
      <c r="LNC3" s="494"/>
      <c r="LND3" s="494"/>
      <c r="LNE3" s="494"/>
      <c r="LNF3" s="494"/>
      <c r="LNG3" s="494"/>
      <c r="LNH3" s="494"/>
      <c r="LNI3" s="494"/>
      <c r="LNJ3" s="494"/>
      <c r="LNK3" s="494"/>
      <c r="LNL3" s="494"/>
      <c r="LNM3" s="494"/>
      <c r="LNN3" s="494"/>
      <c r="LNO3" s="494"/>
      <c r="LNP3" s="494"/>
      <c r="LNQ3" s="494"/>
      <c r="LNR3" s="494"/>
      <c r="LNS3" s="494"/>
      <c r="LNT3" s="494"/>
      <c r="LNU3" s="494"/>
      <c r="LNV3" s="494"/>
      <c r="LNW3" s="494"/>
      <c r="LNX3" s="494"/>
      <c r="LNY3" s="494"/>
      <c r="LNZ3" s="494"/>
      <c r="LOA3" s="494"/>
      <c r="LOB3" s="494"/>
      <c r="LOC3" s="494"/>
      <c r="LOD3" s="494"/>
      <c r="LOE3" s="494"/>
      <c r="LOF3" s="494"/>
      <c r="LOG3" s="494"/>
      <c r="LOH3" s="494"/>
      <c r="LOI3" s="494"/>
      <c r="LOJ3" s="494"/>
      <c r="LOK3" s="494"/>
      <c r="LOL3" s="494"/>
      <c r="LOM3" s="494"/>
      <c r="LON3" s="494"/>
      <c r="LOO3" s="494"/>
      <c r="LOP3" s="494"/>
      <c r="LOQ3" s="494"/>
      <c r="LOR3" s="494"/>
      <c r="LOS3" s="494"/>
      <c r="LOT3" s="494"/>
      <c r="LOU3" s="494"/>
      <c r="LOV3" s="494"/>
      <c r="LOW3" s="494"/>
      <c r="LOX3" s="494"/>
      <c r="LOY3" s="494"/>
      <c r="LOZ3" s="494"/>
      <c r="LPA3" s="494"/>
      <c r="LPB3" s="494"/>
      <c r="LPC3" s="494"/>
      <c r="LPD3" s="494"/>
      <c r="LPE3" s="494"/>
      <c r="LPF3" s="494"/>
      <c r="LPG3" s="494"/>
      <c r="LPH3" s="494"/>
      <c r="LPI3" s="494"/>
      <c r="LPJ3" s="494"/>
      <c r="LPK3" s="494"/>
      <c r="LPL3" s="494"/>
      <c r="LPM3" s="494"/>
      <c r="LPN3" s="494"/>
      <c r="LPO3" s="494"/>
      <c r="LPP3" s="494"/>
      <c r="LPQ3" s="494"/>
      <c r="LPR3" s="494"/>
      <c r="LPS3" s="494"/>
      <c r="LPT3" s="494"/>
      <c r="LPU3" s="494"/>
      <c r="LPV3" s="494"/>
      <c r="LPW3" s="494"/>
      <c r="LPX3" s="494"/>
      <c r="LPY3" s="494"/>
      <c r="LPZ3" s="494"/>
      <c r="LQA3" s="494"/>
      <c r="LQB3" s="494"/>
      <c r="LQC3" s="494"/>
      <c r="LQD3" s="494"/>
      <c r="LQE3" s="494"/>
      <c r="LQF3" s="494"/>
      <c r="LQG3" s="494"/>
      <c r="LQH3" s="494"/>
      <c r="LQI3" s="494"/>
      <c r="LQJ3" s="494"/>
      <c r="LQK3" s="494"/>
      <c r="LQL3" s="494"/>
      <c r="LQM3" s="494"/>
      <c r="LQN3" s="494"/>
      <c r="LQO3" s="494"/>
      <c r="LQP3" s="494"/>
      <c r="LQQ3" s="494"/>
      <c r="LQR3" s="494"/>
      <c r="LQS3" s="494"/>
      <c r="LQT3" s="494"/>
      <c r="LQU3" s="494"/>
      <c r="LQV3" s="494"/>
      <c r="LQW3" s="494"/>
      <c r="LQX3" s="494"/>
      <c r="LQY3" s="494"/>
      <c r="LQZ3" s="494"/>
      <c r="LRA3" s="494"/>
      <c r="LRB3" s="494"/>
      <c r="LRC3" s="494"/>
      <c r="LRD3" s="494"/>
      <c r="LRE3" s="494"/>
      <c r="LRF3" s="494"/>
      <c r="LRG3" s="494"/>
      <c r="LRH3" s="494"/>
      <c r="LRI3" s="494"/>
      <c r="LRJ3" s="494"/>
      <c r="LRK3" s="494"/>
      <c r="LRL3" s="494"/>
      <c r="LRM3" s="494"/>
      <c r="LRN3" s="494"/>
      <c r="LRO3" s="494"/>
      <c r="LRP3" s="494"/>
      <c r="LRQ3" s="494"/>
      <c r="LRR3" s="494"/>
      <c r="LRS3" s="494"/>
      <c r="LRT3" s="494"/>
      <c r="LRU3" s="494"/>
      <c r="LRV3" s="494"/>
      <c r="LRW3" s="494"/>
      <c r="LRX3" s="494"/>
      <c r="LRY3" s="494"/>
      <c r="LRZ3" s="494"/>
      <c r="LSA3" s="494"/>
      <c r="LSB3" s="494"/>
      <c r="LSC3" s="494"/>
      <c r="LSD3" s="494"/>
      <c r="LSE3" s="494"/>
      <c r="LSF3" s="494"/>
      <c r="LSG3" s="494"/>
      <c r="LSH3" s="494"/>
      <c r="LSI3" s="494"/>
      <c r="LSJ3" s="494"/>
      <c r="LSK3" s="494"/>
      <c r="LSL3" s="494"/>
      <c r="LSM3" s="494"/>
      <c r="LSN3" s="494"/>
      <c r="LSO3" s="494"/>
      <c r="LSP3" s="494"/>
      <c r="LSQ3" s="494"/>
      <c r="LSR3" s="494"/>
      <c r="LSS3" s="494"/>
      <c r="LST3" s="494"/>
      <c r="LSU3" s="494"/>
      <c r="LSV3" s="494"/>
      <c r="LSW3" s="494"/>
      <c r="LSX3" s="494"/>
      <c r="LSY3" s="494"/>
      <c r="LSZ3" s="494"/>
      <c r="LTA3" s="494"/>
      <c r="LTB3" s="494"/>
      <c r="LTC3" s="494"/>
      <c r="LTD3" s="494"/>
      <c r="LTE3" s="494"/>
      <c r="LTF3" s="494"/>
      <c r="LTG3" s="494"/>
      <c r="LTH3" s="494"/>
      <c r="LTI3" s="494"/>
      <c r="LTJ3" s="494"/>
      <c r="LTK3" s="494"/>
      <c r="LTL3" s="494"/>
      <c r="LTM3" s="494"/>
      <c r="LTN3" s="494"/>
      <c r="LTO3" s="494"/>
      <c r="LTP3" s="494"/>
      <c r="LTQ3" s="494"/>
      <c r="LTR3" s="494"/>
      <c r="LTS3" s="494"/>
      <c r="LTT3" s="494"/>
      <c r="LTU3" s="494"/>
      <c r="LTV3" s="494"/>
      <c r="LTW3" s="494"/>
      <c r="LTX3" s="494"/>
      <c r="LTY3" s="494"/>
      <c r="LTZ3" s="494"/>
      <c r="LUA3" s="494"/>
      <c r="LUB3" s="494"/>
      <c r="LUC3" s="494"/>
      <c r="LUD3" s="494"/>
      <c r="LUE3" s="494"/>
      <c r="LUF3" s="494"/>
      <c r="LUG3" s="494"/>
      <c r="LUH3" s="494"/>
      <c r="LUI3" s="494"/>
      <c r="LUJ3" s="494"/>
      <c r="LUK3" s="494"/>
      <c r="LUL3" s="494"/>
      <c r="LUM3" s="494"/>
      <c r="LUN3" s="494"/>
      <c r="LUO3" s="494"/>
      <c r="LUP3" s="494"/>
      <c r="LUQ3" s="494"/>
      <c r="LUR3" s="494"/>
      <c r="LUS3" s="494"/>
      <c r="LUT3" s="494"/>
      <c r="LUU3" s="494"/>
      <c r="LUV3" s="494"/>
      <c r="LUW3" s="494"/>
      <c r="LUX3" s="494"/>
      <c r="LUY3" s="494"/>
      <c r="LUZ3" s="494"/>
      <c r="LVA3" s="494"/>
      <c r="LVB3" s="494"/>
      <c r="LVC3" s="494"/>
      <c r="LVD3" s="494"/>
      <c r="LVE3" s="494"/>
      <c r="LVF3" s="494"/>
      <c r="LVG3" s="494"/>
      <c r="LVH3" s="494"/>
      <c r="LVI3" s="494"/>
      <c r="LVJ3" s="494"/>
      <c r="LVK3" s="494"/>
      <c r="LVL3" s="494"/>
      <c r="LVM3" s="494"/>
      <c r="LVN3" s="494"/>
      <c r="LVO3" s="494"/>
      <c r="LVP3" s="494"/>
      <c r="LVQ3" s="494"/>
      <c r="LVR3" s="494"/>
      <c r="LVS3" s="494"/>
      <c r="LVT3" s="494"/>
      <c r="LVU3" s="494"/>
      <c r="LVV3" s="494"/>
      <c r="LVW3" s="494"/>
      <c r="LVX3" s="494"/>
      <c r="LVY3" s="494"/>
      <c r="LVZ3" s="494"/>
      <c r="LWA3" s="494"/>
      <c r="LWB3" s="494"/>
      <c r="LWC3" s="494"/>
      <c r="LWD3" s="494"/>
      <c r="LWE3" s="494"/>
      <c r="LWF3" s="494"/>
      <c r="LWG3" s="494"/>
      <c r="LWH3" s="494"/>
      <c r="LWI3" s="494"/>
      <c r="LWJ3" s="494"/>
      <c r="LWK3" s="494"/>
      <c r="LWL3" s="494"/>
      <c r="LWM3" s="494"/>
      <c r="LWN3" s="494"/>
      <c r="LWO3" s="494"/>
      <c r="LWP3" s="494"/>
      <c r="LWQ3" s="494"/>
      <c r="LWR3" s="494"/>
      <c r="LWS3" s="494"/>
      <c r="LWT3" s="494"/>
      <c r="LWU3" s="494"/>
      <c r="LWV3" s="494"/>
      <c r="LWW3" s="494"/>
      <c r="LWX3" s="494"/>
      <c r="LWY3" s="494"/>
      <c r="LWZ3" s="494"/>
      <c r="LXA3" s="494"/>
      <c r="LXB3" s="494"/>
      <c r="LXC3" s="494"/>
      <c r="LXD3" s="494"/>
      <c r="LXE3" s="494"/>
      <c r="LXF3" s="494"/>
      <c r="LXG3" s="494"/>
      <c r="LXH3" s="494"/>
      <c r="LXI3" s="494"/>
      <c r="LXJ3" s="494"/>
      <c r="LXK3" s="494"/>
      <c r="LXL3" s="494"/>
      <c r="LXM3" s="494"/>
      <c r="LXN3" s="494"/>
      <c r="LXO3" s="494"/>
      <c r="LXP3" s="494"/>
      <c r="LXQ3" s="494"/>
      <c r="LXR3" s="494"/>
      <c r="LXS3" s="494"/>
      <c r="LXT3" s="494"/>
      <c r="LXU3" s="494"/>
      <c r="LXV3" s="494"/>
      <c r="LXW3" s="494"/>
      <c r="LXX3" s="494"/>
      <c r="LXY3" s="494"/>
      <c r="LXZ3" s="494"/>
      <c r="LYA3" s="494"/>
      <c r="LYB3" s="494"/>
      <c r="LYC3" s="494"/>
      <c r="LYD3" s="494"/>
      <c r="LYE3" s="494"/>
      <c r="LYF3" s="494"/>
      <c r="LYG3" s="494"/>
      <c r="LYH3" s="494"/>
      <c r="LYI3" s="494"/>
      <c r="LYJ3" s="494"/>
      <c r="LYK3" s="494"/>
      <c r="LYL3" s="494"/>
      <c r="LYM3" s="494"/>
      <c r="LYN3" s="494"/>
      <c r="LYO3" s="494"/>
      <c r="LYP3" s="494"/>
      <c r="LYQ3" s="494"/>
      <c r="LYR3" s="494"/>
      <c r="LYS3" s="494"/>
      <c r="LYT3" s="494"/>
      <c r="LYU3" s="494"/>
      <c r="LYV3" s="494"/>
      <c r="LYW3" s="494"/>
      <c r="LYX3" s="494"/>
      <c r="LYY3" s="494"/>
      <c r="LYZ3" s="494"/>
      <c r="LZA3" s="494"/>
      <c r="LZB3" s="494"/>
      <c r="LZC3" s="494"/>
      <c r="LZD3" s="494"/>
      <c r="LZE3" s="494"/>
      <c r="LZF3" s="494"/>
      <c r="LZG3" s="494"/>
      <c r="LZH3" s="494"/>
      <c r="LZI3" s="494"/>
      <c r="LZJ3" s="494"/>
      <c r="LZK3" s="494"/>
      <c r="LZL3" s="494"/>
      <c r="LZM3" s="494"/>
      <c r="LZN3" s="494"/>
      <c r="LZO3" s="494"/>
      <c r="LZP3" s="494"/>
      <c r="LZQ3" s="494"/>
      <c r="LZR3" s="494"/>
      <c r="LZS3" s="494"/>
      <c r="LZT3" s="494"/>
      <c r="LZU3" s="494"/>
      <c r="LZV3" s="494"/>
      <c r="LZW3" s="494"/>
      <c r="LZX3" s="494"/>
      <c r="LZY3" s="494"/>
      <c r="LZZ3" s="494"/>
      <c r="MAA3" s="494"/>
      <c r="MAB3" s="494"/>
      <c r="MAC3" s="494"/>
      <c r="MAD3" s="494"/>
      <c r="MAE3" s="494"/>
      <c r="MAF3" s="494"/>
      <c r="MAG3" s="494"/>
      <c r="MAH3" s="494"/>
      <c r="MAI3" s="494"/>
      <c r="MAJ3" s="494"/>
      <c r="MAK3" s="494"/>
      <c r="MAL3" s="494"/>
      <c r="MAM3" s="494"/>
      <c r="MAN3" s="494"/>
      <c r="MAO3" s="494"/>
      <c r="MAP3" s="494"/>
      <c r="MAQ3" s="494"/>
      <c r="MAR3" s="494"/>
      <c r="MAS3" s="494"/>
      <c r="MAT3" s="494"/>
      <c r="MAU3" s="494"/>
      <c r="MAV3" s="494"/>
      <c r="MAW3" s="494"/>
      <c r="MAX3" s="494"/>
      <c r="MAY3" s="494"/>
      <c r="MAZ3" s="494"/>
      <c r="MBA3" s="494"/>
      <c r="MBB3" s="494"/>
      <c r="MBC3" s="494"/>
      <c r="MBD3" s="494"/>
      <c r="MBE3" s="494"/>
      <c r="MBF3" s="494"/>
      <c r="MBG3" s="494"/>
      <c r="MBH3" s="494"/>
      <c r="MBI3" s="494"/>
      <c r="MBJ3" s="494"/>
      <c r="MBK3" s="494"/>
      <c r="MBL3" s="494"/>
      <c r="MBM3" s="494"/>
      <c r="MBN3" s="494"/>
      <c r="MBO3" s="494"/>
      <c r="MBP3" s="494"/>
      <c r="MBQ3" s="494"/>
      <c r="MBR3" s="494"/>
      <c r="MBS3" s="494"/>
      <c r="MBT3" s="494"/>
      <c r="MBU3" s="494"/>
      <c r="MBV3" s="494"/>
      <c r="MBW3" s="494"/>
      <c r="MBX3" s="494"/>
      <c r="MBY3" s="494"/>
      <c r="MBZ3" s="494"/>
      <c r="MCA3" s="494"/>
      <c r="MCB3" s="494"/>
      <c r="MCC3" s="494"/>
      <c r="MCD3" s="494"/>
      <c r="MCE3" s="494"/>
      <c r="MCF3" s="494"/>
      <c r="MCG3" s="494"/>
      <c r="MCH3" s="494"/>
      <c r="MCI3" s="494"/>
      <c r="MCJ3" s="494"/>
      <c r="MCK3" s="494"/>
      <c r="MCL3" s="494"/>
      <c r="MCM3" s="494"/>
      <c r="MCN3" s="494"/>
      <c r="MCO3" s="494"/>
      <c r="MCP3" s="494"/>
      <c r="MCQ3" s="494"/>
      <c r="MCR3" s="494"/>
      <c r="MCS3" s="494"/>
      <c r="MCT3" s="494"/>
      <c r="MCU3" s="494"/>
      <c r="MCV3" s="494"/>
      <c r="MCW3" s="494"/>
      <c r="MCX3" s="494"/>
      <c r="MCY3" s="494"/>
      <c r="MCZ3" s="494"/>
      <c r="MDA3" s="494"/>
      <c r="MDB3" s="494"/>
      <c r="MDC3" s="494"/>
      <c r="MDD3" s="494"/>
      <c r="MDE3" s="494"/>
      <c r="MDF3" s="494"/>
      <c r="MDG3" s="494"/>
      <c r="MDH3" s="494"/>
      <c r="MDI3" s="494"/>
      <c r="MDJ3" s="494"/>
      <c r="MDK3" s="494"/>
      <c r="MDL3" s="494"/>
      <c r="MDM3" s="494"/>
      <c r="MDN3" s="494"/>
      <c r="MDO3" s="494"/>
      <c r="MDP3" s="494"/>
      <c r="MDQ3" s="494"/>
      <c r="MDR3" s="494"/>
      <c r="MDS3" s="494"/>
      <c r="MDT3" s="494"/>
      <c r="MDU3" s="494"/>
      <c r="MDV3" s="494"/>
      <c r="MDW3" s="494"/>
      <c r="MDX3" s="494"/>
      <c r="MDY3" s="494"/>
      <c r="MDZ3" s="494"/>
      <c r="MEA3" s="494"/>
      <c r="MEB3" s="494"/>
      <c r="MEC3" s="494"/>
      <c r="MED3" s="494"/>
      <c r="MEE3" s="494"/>
      <c r="MEF3" s="494"/>
      <c r="MEG3" s="494"/>
      <c r="MEH3" s="494"/>
      <c r="MEI3" s="494"/>
      <c r="MEJ3" s="494"/>
      <c r="MEK3" s="494"/>
      <c r="MEL3" s="494"/>
      <c r="MEM3" s="494"/>
      <c r="MEN3" s="494"/>
      <c r="MEO3" s="494"/>
      <c r="MEP3" s="494"/>
      <c r="MEQ3" s="494"/>
      <c r="MER3" s="494"/>
      <c r="MES3" s="494"/>
      <c r="MET3" s="494"/>
      <c r="MEU3" s="494"/>
      <c r="MEV3" s="494"/>
      <c r="MEW3" s="494"/>
      <c r="MEX3" s="494"/>
      <c r="MEY3" s="494"/>
      <c r="MEZ3" s="494"/>
      <c r="MFA3" s="494"/>
      <c r="MFB3" s="494"/>
      <c r="MFC3" s="494"/>
      <c r="MFD3" s="494"/>
      <c r="MFE3" s="494"/>
      <c r="MFF3" s="494"/>
      <c r="MFG3" s="494"/>
      <c r="MFH3" s="494"/>
      <c r="MFI3" s="494"/>
      <c r="MFJ3" s="494"/>
      <c r="MFK3" s="494"/>
      <c r="MFL3" s="494"/>
      <c r="MFM3" s="494"/>
      <c r="MFN3" s="494"/>
      <c r="MFO3" s="494"/>
      <c r="MFP3" s="494"/>
      <c r="MFQ3" s="494"/>
      <c r="MFR3" s="494"/>
      <c r="MFS3" s="494"/>
      <c r="MFT3" s="494"/>
      <c r="MFU3" s="494"/>
      <c r="MFV3" s="494"/>
      <c r="MFW3" s="494"/>
      <c r="MFX3" s="494"/>
      <c r="MFY3" s="494"/>
      <c r="MFZ3" s="494"/>
      <c r="MGA3" s="494"/>
      <c r="MGB3" s="494"/>
      <c r="MGC3" s="494"/>
      <c r="MGD3" s="494"/>
      <c r="MGE3" s="494"/>
      <c r="MGF3" s="494"/>
      <c r="MGG3" s="494"/>
      <c r="MGH3" s="494"/>
      <c r="MGI3" s="494"/>
      <c r="MGJ3" s="494"/>
      <c r="MGK3" s="494"/>
      <c r="MGL3" s="494"/>
      <c r="MGM3" s="494"/>
      <c r="MGN3" s="494"/>
      <c r="MGO3" s="494"/>
      <c r="MGP3" s="494"/>
      <c r="MGQ3" s="494"/>
      <c r="MGR3" s="494"/>
      <c r="MGS3" s="494"/>
      <c r="MGT3" s="494"/>
      <c r="MGU3" s="494"/>
      <c r="MGV3" s="494"/>
      <c r="MGW3" s="494"/>
      <c r="MGX3" s="494"/>
      <c r="MGY3" s="494"/>
      <c r="MGZ3" s="494"/>
      <c r="MHA3" s="494"/>
      <c r="MHB3" s="494"/>
      <c r="MHC3" s="494"/>
      <c r="MHD3" s="494"/>
      <c r="MHE3" s="494"/>
      <c r="MHF3" s="494"/>
      <c r="MHG3" s="494"/>
      <c r="MHH3" s="494"/>
      <c r="MHI3" s="494"/>
      <c r="MHJ3" s="494"/>
      <c r="MHK3" s="494"/>
      <c r="MHL3" s="494"/>
      <c r="MHM3" s="494"/>
      <c r="MHN3" s="494"/>
      <c r="MHO3" s="494"/>
      <c r="MHP3" s="494"/>
      <c r="MHQ3" s="494"/>
      <c r="MHR3" s="494"/>
      <c r="MHS3" s="494"/>
      <c r="MHT3" s="494"/>
      <c r="MHU3" s="494"/>
      <c r="MHV3" s="494"/>
      <c r="MHW3" s="494"/>
      <c r="MHX3" s="494"/>
      <c r="MHY3" s="494"/>
      <c r="MHZ3" s="494"/>
      <c r="MIA3" s="494"/>
      <c r="MIB3" s="494"/>
      <c r="MIC3" s="494"/>
      <c r="MID3" s="494"/>
      <c r="MIE3" s="494"/>
      <c r="MIF3" s="494"/>
      <c r="MIG3" s="494"/>
      <c r="MIH3" s="494"/>
      <c r="MII3" s="494"/>
      <c r="MIJ3" s="494"/>
      <c r="MIK3" s="494"/>
      <c r="MIL3" s="494"/>
      <c r="MIM3" s="494"/>
      <c r="MIN3" s="494"/>
      <c r="MIO3" s="494"/>
      <c r="MIP3" s="494"/>
      <c r="MIQ3" s="494"/>
      <c r="MIR3" s="494"/>
      <c r="MIS3" s="494"/>
      <c r="MIT3" s="494"/>
      <c r="MIU3" s="494"/>
      <c r="MIV3" s="494"/>
      <c r="MIW3" s="494"/>
      <c r="MIX3" s="494"/>
      <c r="MIY3" s="494"/>
      <c r="MIZ3" s="494"/>
      <c r="MJA3" s="494"/>
      <c r="MJB3" s="494"/>
      <c r="MJC3" s="494"/>
      <c r="MJD3" s="494"/>
      <c r="MJE3" s="494"/>
      <c r="MJF3" s="494"/>
      <c r="MJG3" s="494"/>
      <c r="MJH3" s="494"/>
      <c r="MJI3" s="494"/>
      <c r="MJJ3" s="494"/>
      <c r="MJK3" s="494"/>
      <c r="MJL3" s="494"/>
      <c r="MJM3" s="494"/>
      <c r="MJN3" s="494"/>
      <c r="MJO3" s="494"/>
      <c r="MJP3" s="494"/>
      <c r="MJQ3" s="494"/>
      <c r="MJR3" s="494"/>
      <c r="MJS3" s="494"/>
      <c r="MJT3" s="494"/>
      <c r="MJU3" s="494"/>
      <c r="MJV3" s="494"/>
      <c r="MJW3" s="494"/>
      <c r="MJX3" s="494"/>
      <c r="MJY3" s="494"/>
      <c r="MJZ3" s="494"/>
      <c r="MKA3" s="494"/>
      <c r="MKB3" s="494"/>
      <c r="MKC3" s="494"/>
      <c r="MKD3" s="494"/>
      <c r="MKE3" s="494"/>
      <c r="MKF3" s="494"/>
      <c r="MKG3" s="494"/>
      <c r="MKH3" s="494"/>
      <c r="MKI3" s="494"/>
      <c r="MKJ3" s="494"/>
      <c r="MKK3" s="494"/>
      <c r="MKL3" s="494"/>
      <c r="MKM3" s="494"/>
      <c r="MKN3" s="494"/>
      <c r="MKO3" s="494"/>
      <c r="MKP3" s="494"/>
      <c r="MKQ3" s="494"/>
      <c r="MKR3" s="494"/>
      <c r="MKS3" s="494"/>
      <c r="MKT3" s="494"/>
      <c r="MKU3" s="494"/>
      <c r="MKV3" s="494"/>
      <c r="MKW3" s="494"/>
      <c r="MKX3" s="494"/>
      <c r="MKY3" s="494"/>
      <c r="MKZ3" s="494"/>
      <c r="MLA3" s="494"/>
      <c r="MLB3" s="494"/>
      <c r="MLC3" s="494"/>
      <c r="MLD3" s="494"/>
      <c r="MLE3" s="494"/>
      <c r="MLF3" s="494"/>
      <c r="MLG3" s="494"/>
      <c r="MLH3" s="494"/>
      <c r="MLI3" s="494"/>
      <c r="MLJ3" s="494"/>
      <c r="MLK3" s="494"/>
      <c r="MLL3" s="494"/>
      <c r="MLM3" s="494"/>
      <c r="MLN3" s="494"/>
      <c r="MLO3" s="494"/>
      <c r="MLP3" s="494"/>
      <c r="MLQ3" s="494"/>
      <c r="MLR3" s="494"/>
      <c r="MLS3" s="494"/>
      <c r="MLT3" s="494"/>
      <c r="MLU3" s="494"/>
      <c r="MLV3" s="494"/>
      <c r="MLW3" s="494"/>
      <c r="MLX3" s="494"/>
      <c r="MLY3" s="494"/>
      <c r="MLZ3" s="494"/>
      <c r="MMA3" s="494"/>
      <c r="MMB3" s="494"/>
      <c r="MMC3" s="494"/>
      <c r="MMD3" s="494"/>
      <c r="MME3" s="494"/>
      <c r="MMF3" s="494"/>
      <c r="MMG3" s="494"/>
      <c r="MMH3" s="494"/>
      <c r="MMI3" s="494"/>
      <c r="MMJ3" s="494"/>
      <c r="MMK3" s="494"/>
      <c r="MML3" s="494"/>
      <c r="MMM3" s="494"/>
      <c r="MMN3" s="494"/>
      <c r="MMO3" s="494"/>
      <c r="MMP3" s="494"/>
      <c r="MMQ3" s="494"/>
      <c r="MMR3" s="494"/>
      <c r="MMS3" s="494"/>
      <c r="MMT3" s="494"/>
      <c r="MMU3" s="494"/>
      <c r="MMV3" s="494"/>
      <c r="MMW3" s="494"/>
      <c r="MMX3" s="494"/>
      <c r="MMY3" s="494"/>
      <c r="MMZ3" s="494"/>
      <c r="MNA3" s="494"/>
      <c r="MNB3" s="494"/>
      <c r="MNC3" s="494"/>
      <c r="MND3" s="494"/>
      <c r="MNE3" s="494"/>
      <c r="MNF3" s="494"/>
      <c r="MNG3" s="494"/>
      <c r="MNH3" s="494"/>
      <c r="MNI3" s="494"/>
      <c r="MNJ3" s="494"/>
      <c r="MNK3" s="494"/>
      <c r="MNL3" s="494"/>
      <c r="MNM3" s="494"/>
      <c r="MNN3" s="494"/>
      <c r="MNO3" s="494"/>
      <c r="MNP3" s="494"/>
      <c r="MNQ3" s="494"/>
      <c r="MNR3" s="494"/>
      <c r="MNS3" s="494"/>
      <c r="MNT3" s="494"/>
      <c r="MNU3" s="494"/>
      <c r="MNV3" s="494"/>
      <c r="MNW3" s="494"/>
      <c r="MNX3" s="494"/>
      <c r="MNY3" s="494"/>
      <c r="MNZ3" s="494"/>
      <c r="MOA3" s="494"/>
      <c r="MOB3" s="494"/>
      <c r="MOC3" s="494"/>
      <c r="MOD3" s="494"/>
      <c r="MOE3" s="494"/>
      <c r="MOF3" s="494"/>
      <c r="MOG3" s="494"/>
      <c r="MOH3" s="494"/>
      <c r="MOI3" s="494"/>
      <c r="MOJ3" s="494"/>
      <c r="MOK3" s="494"/>
      <c r="MOL3" s="494"/>
      <c r="MOM3" s="494"/>
      <c r="MON3" s="494"/>
      <c r="MOO3" s="494"/>
      <c r="MOP3" s="494"/>
      <c r="MOQ3" s="494"/>
      <c r="MOR3" s="494"/>
      <c r="MOS3" s="494"/>
      <c r="MOT3" s="494"/>
      <c r="MOU3" s="494"/>
      <c r="MOV3" s="494"/>
      <c r="MOW3" s="494"/>
      <c r="MOX3" s="494"/>
      <c r="MOY3" s="494"/>
      <c r="MOZ3" s="494"/>
      <c r="MPA3" s="494"/>
      <c r="MPB3" s="494"/>
      <c r="MPC3" s="494"/>
      <c r="MPD3" s="494"/>
      <c r="MPE3" s="494"/>
      <c r="MPF3" s="494"/>
      <c r="MPG3" s="494"/>
      <c r="MPH3" s="494"/>
      <c r="MPI3" s="494"/>
      <c r="MPJ3" s="494"/>
      <c r="MPK3" s="494"/>
      <c r="MPL3" s="494"/>
      <c r="MPM3" s="494"/>
      <c r="MPN3" s="494"/>
      <c r="MPO3" s="494"/>
      <c r="MPP3" s="494"/>
      <c r="MPQ3" s="494"/>
      <c r="MPR3" s="494"/>
      <c r="MPS3" s="494"/>
      <c r="MPT3" s="494"/>
      <c r="MPU3" s="494"/>
      <c r="MPV3" s="494"/>
      <c r="MPW3" s="494"/>
      <c r="MPX3" s="494"/>
      <c r="MPY3" s="494"/>
      <c r="MPZ3" s="494"/>
      <c r="MQA3" s="494"/>
      <c r="MQB3" s="494"/>
      <c r="MQC3" s="494"/>
      <c r="MQD3" s="494"/>
      <c r="MQE3" s="494"/>
      <c r="MQF3" s="494"/>
      <c r="MQG3" s="494"/>
      <c r="MQH3" s="494"/>
      <c r="MQI3" s="494"/>
      <c r="MQJ3" s="494"/>
      <c r="MQK3" s="494"/>
      <c r="MQL3" s="494"/>
      <c r="MQM3" s="494"/>
      <c r="MQN3" s="494"/>
      <c r="MQO3" s="494"/>
      <c r="MQP3" s="494"/>
      <c r="MQQ3" s="494"/>
      <c r="MQR3" s="494"/>
      <c r="MQS3" s="494"/>
      <c r="MQT3" s="494"/>
      <c r="MQU3" s="494"/>
      <c r="MQV3" s="494"/>
      <c r="MQW3" s="494"/>
      <c r="MQX3" s="494"/>
      <c r="MQY3" s="494"/>
      <c r="MQZ3" s="494"/>
      <c r="MRA3" s="494"/>
      <c r="MRB3" s="494"/>
      <c r="MRC3" s="494"/>
      <c r="MRD3" s="494"/>
      <c r="MRE3" s="494"/>
      <c r="MRF3" s="494"/>
      <c r="MRG3" s="494"/>
      <c r="MRH3" s="494"/>
      <c r="MRI3" s="494"/>
      <c r="MRJ3" s="494"/>
      <c r="MRK3" s="494"/>
      <c r="MRL3" s="494"/>
      <c r="MRM3" s="494"/>
      <c r="MRN3" s="494"/>
      <c r="MRO3" s="494"/>
      <c r="MRP3" s="494"/>
      <c r="MRQ3" s="494"/>
      <c r="MRR3" s="494"/>
      <c r="MRS3" s="494"/>
      <c r="MRT3" s="494"/>
      <c r="MRU3" s="494"/>
      <c r="MRV3" s="494"/>
      <c r="MRW3" s="494"/>
      <c r="MRX3" s="494"/>
      <c r="MRY3" s="494"/>
      <c r="MRZ3" s="494"/>
      <c r="MSA3" s="494"/>
      <c r="MSB3" s="494"/>
      <c r="MSC3" s="494"/>
      <c r="MSD3" s="494"/>
      <c r="MSE3" s="494"/>
      <c r="MSF3" s="494"/>
      <c r="MSG3" s="494"/>
      <c r="MSH3" s="494"/>
      <c r="MSI3" s="494"/>
      <c r="MSJ3" s="494"/>
      <c r="MSK3" s="494"/>
      <c r="MSL3" s="494"/>
      <c r="MSM3" s="494"/>
      <c r="MSN3" s="494"/>
      <c r="MSO3" s="494"/>
      <c r="MSP3" s="494"/>
      <c r="MSQ3" s="494"/>
      <c r="MSR3" s="494"/>
      <c r="MSS3" s="494"/>
      <c r="MST3" s="494"/>
      <c r="MSU3" s="494"/>
      <c r="MSV3" s="494"/>
      <c r="MSW3" s="494"/>
      <c r="MSX3" s="494"/>
      <c r="MSY3" s="494"/>
      <c r="MSZ3" s="494"/>
      <c r="MTA3" s="494"/>
      <c r="MTB3" s="494"/>
      <c r="MTC3" s="494"/>
      <c r="MTD3" s="494"/>
      <c r="MTE3" s="494"/>
      <c r="MTF3" s="494"/>
      <c r="MTG3" s="494"/>
      <c r="MTH3" s="494"/>
      <c r="MTI3" s="494"/>
      <c r="MTJ3" s="494"/>
      <c r="MTK3" s="494"/>
      <c r="MTL3" s="494"/>
      <c r="MTM3" s="494"/>
      <c r="MTN3" s="494"/>
      <c r="MTO3" s="494"/>
      <c r="MTP3" s="494"/>
      <c r="MTQ3" s="494"/>
      <c r="MTR3" s="494"/>
      <c r="MTS3" s="494"/>
      <c r="MTT3" s="494"/>
      <c r="MTU3" s="494"/>
      <c r="MTV3" s="494"/>
      <c r="MTW3" s="494"/>
      <c r="MTX3" s="494"/>
      <c r="MTY3" s="494"/>
      <c r="MTZ3" s="494"/>
      <c r="MUA3" s="494"/>
      <c r="MUB3" s="494"/>
      <c r="MUC3" s="494"/>
      <c r="MUD3" s="494"/>
      <c r="MUE3" s="494"/>
      <c r="MUF3" s="494"/>
      <c r="MUG3" s="494"/>
      <c r="MUH3" s="494"/>
      <c r="MUI3" s="494"/>
      <c r="MUJ3" s="494"/>
      <c r="MUK3" s="494"/>
      <c r="MUL3" s="494"/>
      <c r="MUM3" s="494"/>
      <c r="MUN3" s="494"/>
      <c r="MUO3" s="494"/>
      <c r="MUP3" s="494"/>
      <c r="MUQ3" s="494"/>
      <c r="MUR3" s="494"/>
      <c r="MUS3" s="494"/>
      <c r="MUT3" s="494"/>
      <c r="MUU3" s="494"/>
      <c r="MUV3" s="494"/>
      <c r="MUW3" s="494"/>
      <c r="MUX3" s="494"/>
      <c r="MUY3" s="494"/>
      <c r="MUZ3" s="494"/>
      <c r="MVA3" s="494"/>
      <c r="MVB3" s="494"/>
      <c r="MVC3" s="494"/>
      <c r="MVD3" s="494"/>
      <c r="MVE3" s="494"/>
      <c r="MVF3" s="494"/>
      <c r="MVG3" s="494"/>
      <c r="MVH3" s="494"/>
      <c r="MVI3" s="494"/>
      <c r="MVJ3" s="494"/>
      <c r="MVK3" s="494"/>
      <c r="MVL3" s="494"/>
      <c r="MVM3" s="494"/>
      <c r="MVN3" s="494"/>
      <c r="MVO3" s="494"/>
      <c r="MVP3" s="494"/>
      <c r="MVQ3" s="494"/>
      <c r="MVR3" s="494"/>
      <c r="MVS3" s="494"/>
      <c r="MVT3" s="494"/>
      <c r="MVU3" s="494"/>
      <c r="MVV3" s="494"/>
      <c r="MVW3" s="494"/>
      <c r="MVX3" s="494"/>
      <c r="MVY3" s="494"/>
      <c r="MVZ3" s="494"/>
      <c r="MWA3" s="494"/>
      <c r="MWB3" s="494"/>
      <c r="MWC3" s="494"/>
      <c r="MWD3" s="494"/>
      <c r="MWE3" s="494"/>
      <c r="MWF3" s="494"/>
      <c r="MWG3" s="494"/>
      <c r="MWH3" s="494"/>
      <c r="MWI3" s="494"/>
      <c r="MWJ3" s="494"/>
      <c r="MWK3" s="494"/>
      <c r="MWL3" s="494"/>
      <c r="MWM3" s="494"/>
      <c r="MWN3" s="494"/>
      <c r="MWO3" s="494"/>
      <c r="MWP3" s="494"/>
      <c r="MWQ3" s="494"/>
      <c r="MWR3" s="494"/>
      <c r="MWS3" s="494"/>
      <c r="MWT3" s="494"/>
      <c r="MWU3" s="494"/>
      <c r="MWV3" s="494"/>
      <c r="MWW3" s="494"/>
      <c r="MWX3" s="494"/>
      <c r="MWY3" s="494"/>
      <c r="MWZ3" s="494"/>
      <c r="MXA3" s="494"/>
      <c r="MXB3" s="494"/>
      <c r="MXC3" s="494"/>
      <c r="MXD3" s="494"/>
      <c r="MXE3" s="494"/>
      <c r="MXF3" s="494"/>
      <c r="MXG3" s="494"/>
      <c r="MXH3" s="494"/>
      <c r="MXI3" s="494"/>
      <c r="MXJ3" s="494"/>
      <c r="MXK3" s="494"/>
      <c r="MXL3" s="494"/>
      <c r="MXM3" s="494"/>
      <c r="MXN3" s="494"/>
      <c r="MXO3" s="494"/>
      <c r="MXP3" s="494"/>
      <c r="MXQ3" s="494"/>
      <c r="MXR3" s="494"/>
      <c r="MXS3" s="494"/>
      <c r="MXT3" s="494"/>
      <c r="MXU3" s="494"/>
      <c r="MXV3" s="494"/>
      <c r="MXW3" s="494"/>
      <c r="MXX3" s="494"/>
      <c r="MXY3" s="494"/>
      <c r="MXZ3" s="494"/>
      <c r="MYA3" s="494"/>
      <c r="MYB3" s="494"/>
      <c r="MYC3" s="494"/>
      <c r="MYD3" s="494"/>
      <c r="MYE3" s="494"/>
      <c r="MYF3" s="494"/>
      <c r="MYG3" s="494"/>
      <c r="MYH3" s="494"/>
      <c r="MYI3" s="494"/>
      <c r="MYJ3" s="494"/>
      <c r="MYK3" s="494"/>
      <c r="MYL3" s="494"/>
      <c r="MYM3" s="494"/>
      <c r="MYN3" s="494"/>
      <c r="MYO3" s="494"/>
      <c r="MYP3" s="494"/>
      <c r="MYQ3" s="494"/>
      <c r="MYR3" s="494"/>
      <c r="MYS3" s="494"/>
      <c r="MYT3" s="494"/>
      <c r="MYU3" s="494"/>
      <c r="MYV3" s="494"/>
      <c r="MYW3" s="494"/>
      <c r="MYX3" s="494"/>
      <c r="MYY3" s="494"/>
      <c r="MYZ3" s="494"/>
      <c r="MZA3" s="494"/>
      <c r="MZB3" s="494"/>
      <c r="MZC3" s="494"/>
      <c r="MZD3" s="494"/>
      <c r="MZE3" s="494"/>
      <c r="MZF3" s="494"/>
      <c r="MZG3" s="494"/>
      <c r="MZH3" s="494"/>
      <c r="MZI3" s="494"/>
      <c r="MZJ3" s="494"/>
      <c r="MZK3" s="494"/>
      <c r="MZL3" s="494"/>
      <c r="MZM3" s="494"/>
      <c r="MZN3" s="494"/>
      <c r="MZO3" s="494"/>
      <c r="MZP3" s="494"/>
      <c r="MZQ3" s="494"/>
      <c r="MZR3" s="494"/>
      <c r="MZS3" s="494"/>
      <c r="MZT3" s="494"/>
      <c r="MZU3" s="494"/>
      <c r="MZV3" s="494"/>
      <c r="MZW3" s="494"/>
      <c r="MZX3" s="494"/>
      <c r="MZY3" s="494"/>
      <c r="MZZ3" s="494"/>
      <c r="NAA3" s="494"/>
      <c r="NAB3" s="494"/>
      <c r="NAC3" s="494"/>
      <c r="NAD3" s="494"/>
      <c r="NAE3" s="494"/>
      <c r="NAF3" s="494"/>
      <c r="NAG3" s="494"/>
      <c r="NAH3" s="494"/>
      <c r="NAI3" s="494"/>
      <c r="NAJ3" s="494"/>
      <c r="NAK3" s="494"/>
      <c r="NAL3" s="494"/>
      <c r="NAM3" s="494"/>
      <c r="NAN3" s="494"/>
      <c r="NAO3" s="494"/>
      <c r="NAP3" s="494"/>
      <c r="NAQ3" s="494"/>
      <c r="NAR3" s="494"/>
      <c r="NAS3" s="494"/>
      <c r="NAT3" s="494"/>
      <c r="NAU3" s="494"/>
      <c r="NAV3" s="494"/>
      <c r="NAW3" s="494"/>
      <c r="NAX3" s="494"/>
      <c r="NAY3" s="494"/>
      <c r="NAZ3" s="494"/>
      <c r="NBA3" s="494"/>
      <c r="NBB3" s="494"/>
      <c r="NBC3" s="494"/>
      <c r="NBD3" s="494"/>
      <c r="NBE3" s="494"/>
      <c r="NBF3" s="494"/>
      <c r="NBG3" s="494"/>
      <c r="NBH3" s="494"/>
      <c r="NBI3" s="494"/>
      <c r="NBJ3" s="494"/>
      <c r="NBK3" s="494"/>
      <c r="NBL3" s="494"/>
      <c r="NBM3" s="494"/>
      <c r="NBN3" s="494"/>
      <c r="NBO3" s="494"/>
      <c r="NBP3" s="494"/>
      <c r="NBQ3" s="494"/>
      <c r="NBR3" s="494"/>
      <c r="NBS3" s="494"/>
      <c r="NBT3" s="494"/>
      <c r="NBU3" s="494"/>
      <c r="NBV3" s="494"/>
      <c r="NBW3" s="494"/>
      <c r="NBX3" s="494"/>
      <c r="NBY3" s="494"/>
      <c r="NBZ3" s="494"/>
      <c r="NCA3" s="494"/>
      <c r="NCB3" s="494"/>
      <c r="NCC3" s="494"/>
      <c r="NCD3" s="494"/>
      <c r="NCE3" s="494"/>
      <c r="NCF3" s="494"/>
      <c r="NCG3" s="494"/>
      <c r="NCH3" s="494"/>
      <c r="NCI3" s="494"/>
      <c r="NCJ3" s="494"/>
      <c r="NCK3" s="494"/>
      <c r="NCL3" s="494"/>
      <c r="NCM3" s="494"/>
      <c r="NCN3" s="494"/>
      <c r="NCO3" s="494"/>
      <c r="NCP3" s="494"/>
      <c r="NCQ3" s="494"/>
      <c r="NCR3" s="494"/>
      <c r="NCS3" s="494"/>
      <c r="NCT3" s="494"/>
      <c r="NCU3" s="494"/>
      <c r="NCV3" s="494"/>
      <c r="NCW3" s="494"/>
      <c r="NCX3" s="494"/>
      <c r="NCY3" s="494"/>
      <c r="NCZ3" s="494"/>
      <c r="NDA3" s="494"/>
      <c r="NDB3" s="494"/>
      <c r="NDC3" s="494"/>
      <c r="NDD3" s="494"/>
      <c r="NDE3" s="494"/>
      <c r="NDF3" s="494"/>
      <c r="NDG3" s="494"/>
      <c r="NDH3" s="494"/>
      <c r="NDI3" s="494"/>
      <c r="NDJ3" s="494"/>
      <c r="NDK3" s="494"/>
      <c r="NDL3" s="494"/>
      <c r="NDM3" s="494"/>
      <c r="NDN3" s="494"/>
      <c r="NDO3" s="494"/>
      <c r="NDP3" s="494"/>
      <c r="NDQ3" s="494"/>
      <c r="NDR3" s="494"/>
      <c r="NDS3" s="494"/>
      <c r="NDT3" s="494"/>
      <c r="NDU3" s="494"/>
      <c r="NDV3" s="494"/>
      <c r="NDW3" s="494"/>
      <c r="NDX3" s="494"/>
      <c r="NDY3" s="494"/>
      <c r="NDZ3" s="494"/>
      <c r="NEA3" s="494"/>
      <c r="NEB3" s="494"/>
      <c r="NEC3" s="494"/>
      <c r="NED3" s="494"/>
      <c r="NEE3" s="494"/>
      <c r="NEF3" s="494"/>
      <c r="NEG3" s="494"/>
      <c r="NEH3" s="494"/>
      <c r="NEI3" s="494"/>
      <c r="NEJ3" s="494"/>
      <c r="NEK3" s="494"/>
      <c r="NEL3" s="494"/>
      <c r="NEM3" s="494"/>
      <c r="NEN3" s="494"/>
      <c r="NEO3" s="494"/>
      <c r="NEP3" s="494"/>
      <c r="NEQ3" s="494"/>
      <c r="NER3" s="494"/>
      <c r="NES3" s="494"/>
      <c r="NET3" s="494"/>
      <c r="NEU3" s="494"/>
      <c r="NEV3" s="494"/>
      <c r="NEW3" s="494"/>
      <c r="NEX3" s="494"/>
      <c r="NEY3" s="494"/>
      <c r="NEZ3" s="494"/>
      <c r="NFA3" s="494"/>
      <c r="NFB3" s="494"/>
      <c r="NFC3" s="494"/>
      <c r="NFD3" s="494"/>
      <c r="NFE3" s="494"/>
      <c r="NFF3" s="494"/>
      <c r="NFG3" s="494"/>
      <c r="NFH3" s="494"/>
      <c r="NFI3" s="494"/>
      <c r="NFJ3" s="494"/>
      <c r="NFK3" s="494"/>
      <c r="NFL3" s="494"/>
      <c r="NFM3" s="494"/>
      <c r="NFN3" s="494"/>
      <c r="NFO3" s="494"/>
      <c r="NFP3" s="494"/>
      <c r="NFQ3" s="494"/>
      <c r="NFR3" s="494"/>
      <c r="NFS3" s="494"/>
      <c r="NFT3" s="494"/>
      <c r="NFU3" s="494"/>
      <c r="NFV3" s="494"/>
      <c r="NFW3" s="494"/>
      <c r="NFX3" s="494"/>
      <c r="NFY3" s="494"/>
      <c r="NFZ3" s="494"/>
      <c r="NGA3" s="494"/>
      <c r="NGB3" s="494"/>
      <c r="NGC3" s="494"/>
      <c r="NGD3" s="494"/>
      <c r="NGE3" s="494"/>
      <c r="NGF3" s="494"/>
      <c r="NGG3" s="494"/>
      <c r="NGH3" s="494"/>
      <c r="NGI3" s="494"/>
      <c r="NGJ3" s="494"/>
      <c r="NGK3" s="494"/>
      <c r="NGL3" s="494"/>
      <c r="NGM3" s="494"/>
      <c r="NGN3" s="494"/>
      <c r="NGO3" s="494"/>
      <c r="NGP3" s="494"/>
      <c r="NGQ3" s="494"/>
      <c r="NGR3" s="494"/>
      <c r="NGS3" s="494"/>
      <c r="NGT3" s="494"/>
      <c r="NGU3" s="494"/>
      <c r="NGV3" s="494"/>
      <c r="NGW3" s="494"/>
      <c r="NGX3" s="494"/>
      <c r="NGY3" s="494"/>
      <c r="NGZ3" s="494"/>
      <c r="NHA3" s="494"/>
      <c r="NHB3" s="494"/>
      <c r="NHC3" s="494"/>
      <c r="NHD3" s="494"/>
      <c r="NHE3" s="494"/>
      <c r="NHF3" s="494"/>
      <c r="NHG3" s="494"/>
      <c r="NHH3" s="494"/>
      <c r="NHI3" s="494"/>
      <c r="NHJ3" s="494"/>
      <c r="NHK3" s="494"/>
      <c r="NHL3" s="494"/>
      <c r="NHM3" s="494"/>
      <c r="NHN3" s="494"/>
      <c r="NHO3" s="494"/>
      <c r="NHP3" s="494"/>
      <c r="NHQ3" s="494"/>
      <c r="NHR3" s="494"/>
      <c r="NHS3" s="494"/>
      <c r="NHT3" s="494"/>
      <c r="NHU3" s="494"/>
      <c r="NHV3" s="494"/>
      <c r="NHW3" s="494"/>
      <c r="NHX3" s="494"/>
      <c r="NHY3" s="494"/>
      <c r="NHZ3" s="494"/>
      <c r="NIA3" s="494"/>
      <c r="NIB3" s="494"/>
      <c r="NIC3" s="494"/>
      <c r="NID3" s="494"/>
      <c r="NIE3" s="494"/>
      <c r="NIF3" s="494"/>
      <c r="NIG3" s="494"/>
      <c r="NIH3" s="494"/>
      <c r="NII3" s="494"/>
      <c r="NIJ3" s="494"/>
      <c r="NIK3" s="494"/>
      <c r="NIL3" s="494"/>
      <c r="NIM3" s="494"/>
      <c r="NIN3" s="494"/>
      <c r="NIO3" s="494"/>
      <c r="NIP3" s="494"/>
      <c r="NIQ3" s="494"/>
      <c r="NIR3" s="494"/>
      <c r="NIS3" s="494"/>
      <c r="NIT3" s="494"/>
      <c r="NIU3" s="494"/>
      <c r="NIV3" s="494"/>
      <c r="NIW3" s="494"/>
      <c r="NIX3" s="494"/>
      <c r="NIY3" s="494"/>
      <c r="NIZ3" s="494"/>
      <c r="NJA3" s="494"/>
      <c r="NJB3" s="494"/>
      <c r="NJC3" s="494"/>
      <c r="NJD3" s="494"/>
      <c r="NJE3" s="494"/>
      <c r="NJF3" s="494"/>
      <c r="NJG3" s="494"/>
      <c r="NJH3" s="494"/>
      <c r="NJI3" s="494"/>
      <c r="NJJ3" s="494"/>
      <c r="NJK3" s="494"/>
      <c r="NJL3" s="494"/>
      <c r="NJM3" s="494"/>
      <c r="NJN3" s="494"/>
      <c r="NJO3" s="494"/>
      <c r="NJP3" s="494"/>
      <c r="NJQ3" s="494"/>
      <c r="NJR3" s="494"/>
      <c r="NJS3" s="494"/>
      <c r="NJT3" s="494"/>
      <c r="NJU3" s="494"/>
      <c r="NJV3" s="494"/>
      <c r="NJW3" s="494"/>
      <c r="NJX3" s="494"/>
      <c r="NJY3" s="494"/>
      <c r="NJZ3" s="494"/>
      <c r="NKA3" s="494"/>
      <c r="NKB3" s="494"/>
      <c r="NKC3" s="494"/>
      <c r="NKD3" s="494"/>
      <c r="NKE3" s="494"/>
      <c r="NKF3" s="494"/>
      <c r="NKG3" s="494"/>
      <c r="NKH3" s="494"/>
      <c r="NKI3" s="494"/>
      <c r="NKJ3" s="494"/>
      <c r="NKK3" s="494"/>
      <c r="NKL3" s="494"/>
      <c r="NKM3" s="494"/>
      <c r="NKN3" s="494"/>
      <c r="NKO3" s="494"/>
      <c r="NKP3" s="494"/>
      <c r="NKQ3" s="494"/>
      <c r="NKR3" s="494"/>
      <c r="NKS3" s="494"/>
      <c r="NKT3" s="494"/>
      <c r="NKU3" s="494"/>
      <c r="NKV3" s="494"/>
      <c r="NKW3" s="494"/>
      <c r="NKX3" s="494"/>
      <c r="NKY3" s="494"/>
      <c r="NKZ3" s="494"/>
      <c r="NLA3" s="494"/>
      <c r="NLB3" s="494"/>
      <c r="NLC3" s="494"/>
      <c r="NLD3" s="494"/>
      <c r="NLE3" s="494"/>
      <c r="NLF3" s="494"/>
      <c r="NLG3" s="494"/>
      <c r="NLH3" s="494"/>
      <c r="NLI3" s="494"/>
      <c r="NLJ3" s="494"/>
      <c r="NLK3" s="494"/>
      <c r="NLL3" s="494"/>
      <c r="NLM3" s="494"/>
      <c r="NLN3" s="494"/>
      <c r="NLO3" s="494"/>
      <c r="NLP3" s="494"/>
      <c r="NLQ3" s="494"/>
      <c r="NLR3" s="494"/>
      <c r="NLS3" s="494"/>
      <c r="NLT3" s="494"/>
      <c r="NLU3" s="494"/>
      <c r="NLV3" s="494"/>
      <c r="NLW3" s="494"/>
      <c r="NLX3" s="494"/>
      <c r="NLY3" s="494"/>
      <c r="NLZ3" s="494"/>
      <c r="NMA3" s="494"/>
      <c r="NMB3" s="494"/>
      <c r="NMC3" s="494"/>
      <c r="NMD3" s="494"/>
      <c r="NME3" s="494"/>
      <c r="NMF3" s="494"/>
      <c r="NMG3" s="494"/>
      <c r="NMH3" s="494"/>
      <c r="NMI3" s="494"/>
      <c r="NMJ3" s="494"/>
      <c r="NMK3" s="494"/>
      <c r="NML3" s="494"/>
      <c r="NMM3" s="494"/>
      <c r="NMN3" s="494"/>
      <c r="NMO3" s="494"/>
      <c r="NMP3" s="494"/>
      <c r="NMQ3" s="494"/>
      <c r="NMR3" s="494"/>
      <c r="NMS3" s="494"/>
      <c r="NMT3" s="494"/>
      <c r="NMU3" s="494"/>
      <c r="NMV3" s="494"/>
      <c r="NMW3" s="494"/>
      <c r="NMX3" s="494"/>
      <c r="NMY3" s="494"/>
      <c r="NMZ3" s="494"/>
      <c r="NNA3" s="494"/>
      <c r="NNB3" s="494"/>
      <c r="NNC3" s="494"/>
      <c r="NND3" s="494"/>
      <c r="NNE3" s="494"/>
      <c r="NNF3" s="494"/>
      <c r="NNG3" s="494"/>
      <c r="NNH3" s="494"/>
      <c r="NNI3" s="494"/>
      <c r="NNJ3" s="494"/>
      <c r="NNK3" s="494"/>
      <c r="NNL3" s="494"/>
      <c r="NNM3" s="494"/>
      <c r="NNN3" s="494"/>
      <c r="NNO3" s="494"/>
      <c r="NNP3" s="494"/>
      <c r="NNQ3" s="494"/>
      <c r="NNR3" s="494"/>
      <c r="NNS3" s="494"/>
      <c r="NNT3" s="494"/>
      <c r="NNU3" s="494"/>
      <c r="NNV3" s="494"/>
      <c r="NNW3" s="494"/>
      <c r="NNX3" s="494"/>
      <c r="NNY3" s="494"/>
      <c r="NNZ3" s="494"/>
      <c r="NOA3" s="494"/>
      <c r="NOB3" s="494"/>
      <c r="NOC3" s="494"/>
      <c r="NOD3" s="494"/>
      <c r="NOE3" s="494"/>
      <c r="NOF3" s="494"/>
      <c r="NOG3" s="494"/>
      <c r="NOH3" s="494"/>
      <c r="NOI3" s="494"/>
      <c r="NOJ3" s="494"/>
      <c r="NOK3" s="494"/>
      <c r="NOL3" s="494"/>
      <c r="NOM3" s="494"/>
      <c r="NON3" s="494"/>
      <c r="NOO3" s="494"/>
      <c r="NOP3" s="494"/>
      <c r="NOQ3" s="494"/>
      <c r="NOR3" s="494"/>
      <c r="NOS3" s="494"/>
      <c r="NOT3" s="494"/>
      <c r="NOU3" s="494"/>
      <c r="NOV3" s="494"/>
      <c r="NOW3" s="494"/>
      <c r="NOX3" s="494"/>
      <c r="NOY3" s="494"/>
      <c r="NOZ3" s="494"/>
      <c r="NPA3" s="494"/>
      <c r="NPB3" s="494"/>
      <c r="NPC3" s="494"/>
      <c r="NPD3" s="494"/>
      <c r="NPE3" s="494"/>
      <c r="NPF3" s="494"/>
      <c r="NPG3" s="494"/>
      <c r="NPH3" s="494"/>
      <c r="NPI3" s="494"/>
      <c r="NPJ3" s="494"/>
      <c r="NPK3" s="494"/>
      <c r="NPL3" s="494"/>
      <c r="NPM3" s="494"/>
      <c r="NPN3" s="494"/>
      <c r="NPO3" s="494"/>
      <c r="NPP3" s="494"/>
      <c r="NPQ3" s="494"/>
      <c r="NPR3" s="494"/>
      <c r="NPS3" s="494"/>
      <c r="NPT3" s="494"/>
      <c r="NPU3" s="494"/>
      <c r="NPV3" s="494"/>
      <c r="NPW3" s="494"/>
      <c r="NPX3" s="494"/>
      <c r="NPY3" s="494"/>
      <c r="NPZ3" s="494"/>
      <c r="NQA3" s="494"/>
      <c r="NQB3" s="494"/>
      <c r="NQC3" s="494"/>
      <c r="NQD3" s="494"/>
      <c r="NQE3" s="494"/>
      <c r="NQF3" s="494"/>
      <c r="NQG3" s="494"/>
      <c r="NQH3" s="494"/>
      <c r="NQI3" s="494"/>
      <c r="NQJ3" s="494"/>
      <c r="NQK3" s="494"/>
      <c r="NQL3" s="494"/>
      <c r="NQM3" s="494"/>
      <c r="NQN3" s="494"/>
      <c r="NQO3" s="494"/>
      <c r="NQP3" s="494"/>
      <c r="NQQ3" s="494"/>
      <c r="NQR3" s="494"/>
      <c r="NQS3" s="494"/>
      <c r="NQT3" s="494"/>
      <c r="NQU3" s="494"/>
      <c r="NQV3" s="494"/>
      <c r="NQW3" s="494"/>
      <c r="NQX3" s="494"/>
      <c r="NQY3" s="494"/>
      <c r="NQZ3" s="494"/>
      <c r="NRA3" s="494"/>
      <c r="NRB3" s="494"/>
      <c r="NRC3" s="494"/>
      <c r="NRD3" s="494"/>
      <c r="NRE3" s="494"/>
      <c r="NRF3" s="494"/>
      <c r="NRG3" s="494"/>
      <c r="NRH3" s="494"/>
      <c r="NRI3" s="494"/>
      <c r="NRJ3" s="494"/>
      <c r="NRK3" s="494"/>
      <c r="NRL3" s="494"/>
      <c r="NRM3" s="494"/>
      <c r="NRN3" s="494"/>
      <c r="NRO3" s="494"/>
      <c r="NRP3" s="494"/>
      <c r="NRQ3" s="494"/>
      <c r="NRR3" s="494"/>
      <c r="NRS3" s="494"/>
      <c r="NRT3" s="494"/>
      <c r="NRU3" s="494"/>
      <c r="NRV3" s="494"/>
      <c r="NRW3" s="494"/>
      <c r="NRX3" s="494"/>
      <c r="NRY3" s="494"/>
      <c r="NRZ3" s="494"/>
      <c r="NSA3" s="494"/>
      <c r="NSB3" s="494"/>
      <c r="NSC3" s="494"/>
      <c r="NSD3" s="494"/>
      <c r="NSE3" s="494"/>
      <c r="NSF3" s="494"/>
      <c r="NSG3" s="494"/>
      <c r="NSH3" s="494"/>
      <c r="NSI3" s="494"/>
      <c r="NSJ3" s="494"/>
      <c r="NSK3" s="494"/>
      <c r="NSL3" s="494"/>
      <c r="NSM3" s="494"/>
      <c r="NSN3" s="494"/>
      <c r="NSO3" s="494"/>
      <c r="NSP3" s="494"/>
      <c r="NSQ3" s="494"/>
      <c r="NSR3" s="494"/>
      <c r="NSS3" s="494"/>
      <c r="NST3" s="494"/>
      <c r="NSU3" s="494"/>
      <c r="NSV3" s="494"/>
      <c r="NSW3" s="494"/>
      <c r="NSX3" s="494"/>
      <c r="NSY3" s="494"/>
      <c r="NSZ3" s="494"/>
      <c r="NTA3" s="494"/>
      <c r="NTB3" s="494"/>
      <c r="NTC3" s="494"/>
      <c r="NTD3" s="494"/>
      <c r="NTE3" s="494"/>
      <c r="NTF3" s="494"/>
      <c r="NTG3" s="494"/>
      <c r="NTH3" s="494"/>
      <c r="NTI3" s="494"/>
      <c r="NTJ3" s="494"/>
      <c r="NTK3" s="494"/>
      <c r="NTL3" s="494"/>
      <c r="NTM3" s="494"/>
      <c r="NTN3" s="494"/>
      <c r="NTO3" s="494"/>
      <c r="NTP3" s="494"/>
      <c r="NTQ3" s="494"/>
      <c r="NTR3" s="494"/>
      <c r="NTS3" s="494"/>
      <c r="NTT3" s="494"/>
      <c r="NTU3" s="494"/>
      <c r="NTV3" s="494"/>
      <c r="NTW3" s="494"/>
      <c r="NTX3" s="494"/>
      <c r="NTY3" s="494"/>
      <c r="NTZ3" s="494"/>
      <c r="NUA3" s="494"/>
      <c r="NUB3" s="494"/>
      <c r="NUC3" s="494"/>
      <c r="NUD3" s="494"/>
      <c r="NUE3" s="494"/>
      <c r="NUF3" s="494"/>
      <c r="NUG3" s="494"/>
      <c r="NUH3" s="494"/>
      <c r="NUI3" s="494"/>
      <c r="NUJ3" s="494"/>
      <c r="NUK3" s="494"/>
      <c r="NUL3" s="494"/>
      <c r="NUM3" s="494"/>
      <c r="NUN3" s="494"/>
      <c r="NUO3" s="494"/>
      <c r="NUP3" s="494"/>
      <c r="NUQ3" s="494"/>
      <c r="NUR3" s="494"/>
      <c r="NUS3" s="494"/>
      <c r="NUT3" s="494"/>
      <c r="NUU3" s="494"/>
      <c r="NUV3" s="494"/>
      <c r="NUW3" s="494"/>
      <c r="NUX3" s="494"/>
      <c r="NUY3" s="494"/>
      <c r="NUZ3" s="494"/>
      <c r="NVA3" s="494"/>
      <c r="NVB3" s="494"/>
      <c r="NVC3" s="494"/>
      <c r="NVD3" s="494"/>
      <c r="NVE3" s="494"/>
      <c r="NVF3" s="494"/>
      <c r="NVG3" s="494"/>
      <c r="NVH3" s="494"/>
      <c r="NVI3" s="494"/>
      <c r="NVJ3" s="494"/>
      <c r="NVK3" s="494"/>
      <c r="NVL3" s="494"/>
      <c r="NVM3" s="494"/>
      <c r="NVN3" s="494"/>
      <c r="NVO3" s="494"/>
      <c r="NVP3" s="494"/>
      <c r="NVQ3" s="494"/>
      <c r="NVR3" s="494"/>
      <c r="NVS3" s="494"/>
      <c r="NVT3" s="494"/>
      <c r="NVU3" s="494"/>
      <c r="NVV3" s="494"/>
      <c r="NVW3" s="494"/>
      <c r="NVX3" s="494"/>
      <c r="NVY3" s="494"/>
      <c r="NVZ3" s="494"/>
      <c r="NWA3" s="494"/>
      <c r="NWB3" s="494"/>
      <c r="NWC3" s="494"/>
      <c r="NWD3" s="494"/>
      <c r="NWE3" s="494"/>
      <c r="NWF3" s="494"/>
      <c r="NWG3" s="494"/>
      <c r="NWH3" s="494"/>
      <c r="NWI3" s="494"/>
      <c r="NWJ3" s="494"/>
      <c r="NWK3" s="494"/>
      <c r="NWL3" s="494"/>
      <c r="NWM3" s="494"/>
      <c r="NWN3" s="494"/>
      <c r="NWO3" s="494"/>
      <c r="NWP3" s="494"/>
      <c r="NWQ3" s="494"/>
      <c r="NWR3" s="494"/>
      <c r="NWS3" s="494"/>
      <c r="NWT3" s="494"/>
      <c r="NWU3" s="494"/>
      <c r="NWV3" s="494"/>
      <c r="NWW3" s="494"/>
      <c r="NWX3" s="494"/>
      <c r="NWY3" s="494"/>
      <c r="NWZ3" s="494"/>
      <c r="NXA3" s="494"/>
      <c r="NXB3" s="494"/>
      <c r="NXC3" s="494"/>
      <c r="NXD3" s="494"/>
      <c r="NXE3" s="494"/>
      <c r="NXF3" s="494"/>
      <c r="NXG3" s="494"/>
      <c r="NXH3" s="494"/>
      <c r="NXI3" s="494"/>
      <c r="NXJ3" s="494"/>
      <c r="NXK3" s="494"/>
      <c r="NXL3" s="494"/>
      <c r="NXM3" s="494"/>
      <c r="NXN3" s="494"/>
      <c r="NXO3" s="494"/>
      <c r="NXP3" s="494"/>
      <c r="NXQ3" s="494"/>
      <c r="NXR3" s="494"/>
      <c r="NXS3" s="494"/>
      <c r="NXT3" s="494"/>
      <c r="NXU3" s="494"/>
      <c r="NXV3" s="494"/>
      <c r="NXW3" s="494"/>
      <c r="NXX3" s="494"/>
      <c r="NXY3" s="494"/>
      <c r="NXZ3" s="494"/>
      <c r="NYA3" s="494"/>
      <c r="NYB3" s="494"/>
      <c r="NYC3" s="494"/>
      <c r="NYD3" s="494"/>
      <c r="NYE3" s="494"/>
      <c r="NYF3" s="494"/>
      <c r="NYG3" s="494"/>
      <c r="NYH3" s="494"/>
      <c r="NYI3" s="494"/>
      <c r="NYJ3" s="494"/>
      <c r="NYK3" s="494"/>
      <c r="NYL3" s="494"/>
      <c r="NYM3" s="494"/>
      <c r="NYN3" s="494"/>
      <c r="NYO3" s="494"/>
      <c r="NYP3" s="494"/>
      <c r="NYQ3" s="494"/>
      <c r="NYR3" s="494"/>
      <c r="NYS3" s="494"/>
      <c r="NYT3" s="494"/>
      <c r="NYU3" s="494"/>
      <c r="NYV3" s="494"/>
      <c r="NYW3" s="494"/>
      <c r="NYX3" s="494"/>
      <c r="NYY3" s="494"/>
      <c r="NYZ3" s="494"/>
      <c r="NZA3" s="494"/>
      <c r="NZB3" s="494"/>
      <c r="NZC3" s="494"/>
      <c r="NZD3" s="494"/>
      <c r="NZE3" s="494"/>
      <c r="NZF3" s="494"/>
      <c r="NZG3" s="494"/>
      <c r="NZH3" s="494"/>
      <c r="NZI3" s="494"/>
      <c r="NZJ3" s="494"/>
      <c r="NZK3" s="494"/>
      <c r="NZL3" s="494"/>
      <c r="NZM3" s="494"/>
      <c r="NZN3" s="494"/>
      <c r="NZO3" s="494"/>
      <c r="NZP3" s="494"/>
      <c r="NZQ3" s="494"/>
      <c r="NZR3" s="494"/>
      <c r="NZS3" s="494"/>
      <c r="NZT3" s="494"/>
      <c r="NZU3" s="494"/>
      <c r="NZV3" s="494"/>
      <c r="NZW3" s="494"/>
      <c r="NZX3" s="494"/>
      <c r="NZY3" s="494"/>
      <c r="NZZ3" s="494"/>
      <c r="OAA3" s="494"/>
      <c r="OAB3" s="494"/>
      <c r="OAC3" s="494"/>
      <c r="OAD3" s="494"/>
      <c r="OAE3" s="494"/>
      <c r="OAF3" s="494"/>
      <c r="OAG3" s="494"/>
      <c r="OAH3" s="494"/>
      <c r="OAI3" s="494"/>
      <c r="OAJ3" s="494"/>
      <c r="OAK3" s="494"/>
      <c r="OAL3" s="494"/>
      <c r="OAM3" s="494"/>
      <c r="OAN3" s="494"/>
      <c r="OAO3" s="494"/>
      <c r="OAP3" s="494"/>
      <c r="OAQ3" s="494"/>
      <c r="OAR3" s="494"/>
      <c r="OAS3" s="494"/>
      <c r="OAT3" s="494"/>
      <c r="OAU3" s="494"/>
      <c r="OAV3" s="494"/>
      <c r="OAW3" s="494"/>
      <c r="OAX3" s="494"/>
      <c r="OAY3" s="494"/>
      <c r="OAZ3" s="494"/>
      <c r="OBA3" s="494"/>
      <c r="OBB3" s="494"/>
      <c r="OBC3" s="494"/>
      <c r="OBD3" s="494"/>
      <c r="OBE3" s="494"/>
      <c r="OBF3" s="494"/>
      <c r="OBG3" s="494"/>
      <c r="OBH3" s="494"/>
      <c r="OBI3" s="494"/>
      <c r="OBJ3" s="494"/>
      <c r="OBK3" s="494"/>
      <c r="OBL3" s="494"/>
      <c r="OBM3" s="494"/>
      <c r="OBN3" s="494"/>
      <c r="OBO3" s="494"/>
      <c r="OBP3" s="494"/>
      <c r="OBQ3" s="494"/>
      <c r="OBR3" s="494"/>
      <c r="OBS3" s="494"/>
      <c r="OBT3" s="494"/>
      <c r="OBU3" s="494"/>
      <c r="OBV3" s="494"/>
      <c r="OBW3" s="494"/>
      <c r="OBX3" s="494"/>
      <c r="OBY3" s="494"/>
      <c r="OBZ3" s="494"/>
      <c r="OCA3" s="494"/>
      <c r="OCB3" s="494"/>
      <c r="OCC3" s="494"/>
      <c r="OCD3" s="494"/>
      <c r="OCE3" s="494"/>
      <c r="OCF3" s="494"/>
      <c r="OCG3" s="494"/>
      <c r="OCH3" s="494"/>
      <c r="OCI3" s="494"/>
      <c r="OCJ3" s="494"/>
      <c r="OCK3" s="494"/>
      <c r="OCL3" s="494"/>
      <c r="OCM3" s="494"/>
      <c r="OCN3" s="494"/>
      <c r="OCO3" s="494"/>
      <c r="OCP3" s="494"/>
      <c r="OCQ3" s="494"/>
      <c r="OCR3" s="494"/>
      <c r="OCS3" s="494"/>
      <c r="OCT3" s="494"/>
      <c r="OCU3" s="494"/>
      <c r="OCV3" s="494"/>
      <c r="OCW3" s="494"/>
      <c r="OCX3" s="494"/>
      <c r="OCY3" s="494"/>
      <c r="OCZ3" s="494"/>
      <c r="ODA3" s="494"/>
      <c r="ODB3" s="494"/>
      <c r="ODC3" s="494"/>
      <c r="ODD3" s="494"/>
      <c r="ODE3" s="494"/>
      <c r="ODF3" s="494"/>
      <c r="ODG3" s="494"/>
      <c r="ODH3" s="494"/>
      <c r="ODI3" s="494"/>
      <c r="ODJ3" s="494"/>
      <c r="ODK3" s="494"/>
      <c r="ODL3" s="494"/>
      <c r="ODM3" s="494"/>
      <c r="ODN3" s="494"/>
      <c r="ODO3" s="494"/>
      <c r="ODP3" s="494"/>
      <c r="ODQ3" s="494"/>
      <c r="ODR3" s="494"/>
      <c r="ODS3" s="494"/>
      <c r="ODT3" s="494"/>
      <c r="ODU3" s="494"/>
      <c r="ODV3" s="494"/>
      <c r="ODW3" s="494"/>
      <c r="ODX3" s="494"/>
      <c r="ODY3" s="494"/>
      <c r="ODZ3" s="494"/>
      <c r="OEA3" s="494"/>
      <c r="OEB3" s="494"/>
      <c r="OEC3" s="494"/>
      <c r="OED3" s="494"/>
      <c r="OEE3" s="494"/>
      <c r="OEF3" s="494"/>
      <c r="OEG3" s="494"/>
      <c r="OEH3" s="494"/>
      <c r="OEI3" s="494"/>
      <c r="OEJ3" s="494"/>
      <c r="OEK3" s="494"/>
      <c r="OEL3" s="494"/>
      <c r="OEM3" s="494"/>
      <c r="OEN3" s="494"/>
      <c r="OEO3" s="494"/>
      <c r="OEP3" s="494"/>
      <c r="OEQ3" s="494"/>
      <c r="OER3" s="494"/>
      <c r="OES3" s="494"/>
      <c r="OET3" s="494"/>
      <c r="OEU3" s="494"/>
      <c r="OEV3" s="494"/>
      <c r="OEW3" s="494"/>
      <c r="OEX3" s="494"/>
      <c r="OEY3" s="494"/>
      <c r="OEZ3" s="494"/>
      <c r="OFA3" s="494"/>
      <c r="OFB3" s="494"/>
      <c r="OFC3" s="494"/>
      <c r="OFD3" s="494"/>
      <c r="OFE3" s="494"/>
      <c r="OFF3" s="494"/>
      <c r="OFG3" s="494"/>
      <c r="OFH3" s="494"/>
      <c r="OFI3" s="494"/>
      <c r="OFJ3" s="494"/>
      <c r="OFK3" s="494"/>
      <c r="OFL3" s="494"/>
      <c r="OFM3" s="494"/>
      <c r="OFN3" s="494"/>
      <c r="OFO3" s="494"/>
      <c r="OFP3" s="494"/>
      <c r="OFQ3" s="494"/>
      <c r="OFR3" s="494"/>
      <c r="OFS3" s="494"/>
      <c r="OFT3" s="494"/>
      <c r="OFU3" s="494"/>
      <c r="OFV3" s="494"/>
      <c r="OFW3" s="494"/>
      <c r="OFX3" s="494"/>
      <c r="OFY3" s="494"/>
      <c r="OFZ3" s="494"/>
      <c r="OGA3" s="494"/>
      <c r="OGB3" s="494"/>
      <c r="OGC3" s="494"/>
      <c r="OGD3" s="494"/>
      <c r="OGE3" s="494"/>
      <c r="OGF3" s="494"/>
      <c r="OGG3" s="494"/>
      <c r="OGH3" s="494"/>
      <c r="OGI3" s="494"/>
      <c r="OGJ3" s="494"/>
      <c r="OGK3" s="494"/>
      <c r="OGL3" s="494"/>
      <c r="OGM3" s="494"/>
      <c r="OGN3" s="494"/>
      <c r="OGO3" s="494"/>
      <c r="OGP3" s="494"/>
      <c r="OGQ3" s="494"/>
      <c r="OGR3" s="494"/>
      <c r="OGS3" s="494"/>
      <c r="OGT3" s="494"/>
      <c r="OGU3" s="494"/>
      <c r="OGV3" s="494"/>
      <c r="OGW3" s="494"/>
      <c r="OGX3" s="494"/>
      <c r="OGY3" s="494"/>
      <c r="OGZ3" s="494"/>
      <c r="OHA3" s="494"/>
      <c r="OHB3" s="494"/>
      <c r="OHC3" s="494"/>
      <c r="OHD3" s="494"/>
      <c r="OHE3" s="494"/>
      <c r="OHF3" s="494"/>
      <c r="OHG3" s="494"/>
      <c r="OHH3" s="494"/>
      <c r="OHI3" s="494"/>
      <c r="OHJ3" s="494"/>
      <c r="OHK3" s="494"/>
      <c r="OHL3" s="494"/>
      <c r="OHM3" s="494"/>
      <c r="OHN3" s="494"/>
      <c r="OHO3" s="494"/>
      <c r="OHP3" s="494"/>
      <c r="OHQ3" s="494"/>
      <c r="OHR3" s="494"/>
      <c r="OHS3" s="494"/>
      <c r="OHT3" s="494"/>
      <c r="OHU3" s="494"/>
      <c r="OHV3" s="494"/>
      <c r="OHW3" s="494"/>
      <c r="OHX3" s="494"/>
      <c r="OHY3" s="494"/>
      <c r="OHZ3" s="494"/>
      <c r="OIA3" s="494"/>
      <c r="OIB3" s="494"/>
      <c r="OIC3" s="494"/>
      <c r="OID3" s="494"/>
      <c r="OIE3" s="494"/>
      <c r="OIF3" s="494"/>
      <c r="OIG3" s="494"/>
      <c r="OIH3" s="494"/>
      <c r="OII3" s="494"/>
      <c r="OIJ3" s="494"/>
      <c r="OIK3" s="494"/>
      <c r="OIL3" s="494"/>
      <c r="OIM3" s="494"/>
      <c r="OIN3" s="494"/>
      <c r="OIO3" s="494"/>
      <c r="OIP3" s="494"/>
      <c r="OIQ3" s="494"/>
      <c r="OIR3" s="494"/>
      <c r="OIS3" s="494"/>
      <c r="OIT3" s="494"/>
      <c r="OIU3" s="494"/>
      <c r="OIV3" s="494"/>
      <c r="OIW3" s="494"/>
      <c r="OIX3" s="494"/>
      <c r="OIY3" s="494"/>
      <c r="OIZ3" s="494"/>
      <c r="OJA3" s="494"/>
      <c r="OJB3" s="494"/>
      <c r="OJC3" s="494"/>
      <c r="OJD3" s="494"/>
      <c r="OJE3" s="494"/>
      <c r="OJF3" s="494"/>
      <c r="OJG3" s="494"/>
      <c r="OJH3" s="494"/>
      <c r="OJI3" s="494"/>
      <c r="OJJ3" s="494"/>
      <c r="OJK3" s="494"/>
      <c r="OJL3" s="494"/>
      <c r="OJM3" s="494"/>
      <c r="OJN3" s="494"/>
      <c r="OJO3" s="494"/>
      <c r="OJP3" s="494"/>
      <c r="OJQ3" s="494"/>
      <c r="OJR3" s="494"/>
      <c r="OJS3" s="494"/>
      <c r="OJT3" s="494"/>
      <c r="OJU3" s="494"/>
      <c r="OJV3" s="494"/>
      <c r="OJW3" s="494"/>
      <c r="OJX3" s="494"/>
      <c r="OJY3" s="494"/>
      <c r="OJZ3" s="494"/>
      <c r="OKA3" s="494"/>
      <c r="OKB3" s="494"/>
      <c r="OKC3" s="494"/>
      <c r="OKD3" s="494"/>
      <c r="OKE3" s="494"/>
      <c r="OKF3" s="494"/>
      <c r="OKG3" s="494"/>
      <c r="OKH3" s="494"/>
      <c r="OKI3" s="494"/>
      <c r="OKJ3" s="494"/>
      <c r="OKK3" s="494"/>
      <c r="OKL3" s="494"/>
      <c r="OKM3" s="494"/>
      <c r="OKN3" s="494"/>
      <c r="OKO3" s="494"/>
      <c r="OKP3" s="494"/>
      <c r="OKQ3" s="494"/>
      <c r="OKR3" s="494"/>
      <c r="OKS3" s="494"/>
      <c r="OKT3" s="494"/>
      <c r="OKU3" s="494"/>
      <c r="OKV3" s="494"/>
      <c r="OKW3" s="494"/>
      <c r="OKX3" s="494"/>
      <c r="OKY3" s="494"/>
      <c r="OKZ3" s="494"/>
      <c r="OLA3" s="494"/>
      <c r="OLB3" s="494"/>
      <c r="OLC3" s="494"/>
      <c r="OLD3" s="494"/>
      <c r="OLE3" s="494"/>
      <c r="OLF3" s="494"/>
      <c r="OLG3" s="494"/>
      <c r="OLH3" s="494"/>
      <c r="OLI3" s="494"/>
      <c r="OLJ3" s="494"/>
      <c r="OLK3" s="494"/>
      <c r="OLL3" s="494"/>
      <c r="OLM3" s="494"/>
      <c r="OLN3" s="494"/>
      <c r="OLO3" s="494"/>
      <c r="OLP3" s="494"/>
      <c r="OLQ3" s="494"/>
      <c r="OLR3" s="494"/>
      <c r="OLS3" s="494"/>
      <c r="OLT3" s="494"/>
      <c r="OLU3" s="494"/>
      <c r="OLV3" s="494"/>
      <c r="OLW3" s="494"/>
      <c r="OLX3" s="494"/>
      <c r="OLY3" s="494"/>
      <c r="OLZ3" s="494"/>
      <c r="OMA3" s="494"/>
      <c r="OMB3" s="494"/>
      <c r="OMC3" s="494"/>
      <c r="OMD3" s="494"/>
      <c r="OME3" s="494"/>
      <c r="OMF3" s="494"/>
      <c r="OMG3" s="494"/>
      <c r="OMH3" s="494"/>
      <c r="OMI3" s="494"/>
      <c r="OMJ3" s="494"/>
      <c r="OMK3" s="494"/>
      <c r="OML3" s="494"/>
      <c r="OMM3" s="494"/>
      <c r="OMN3" s="494"/>
      <c r="OMO3" s="494"/>
      <c r="OMP3" s="494"/>
      <c r="OMQ3" s="494"/>
      <c r="OMR3" s="494"/>
      <c r="OMS3" s="494"/>
      <c r="OMT3" s="494"/>
      <c r="OMU3" s="494"/>
      <c r="OMV3" s="494"/>
      <c r="OMW3" s="494"/>
      <c r="OMX3" s="494"/>
      <c r="OMY3" s="494"/>
      <c r="OMZ3" s="494"/>
      <c r="ONA3" s="494"/>
      <c r="ONB3" s="494"/>
      <c r="ONC3" s="494"/>
      <c r="OND3" s="494"/>
      <c r="ONE3" s="494"/>
      <c r="ONF3" s="494"/>
      <c r="ONG3" s="494"/>
      <c r="ONH3" s="494"/>
      <c r="ONI3" s="494"/>
      <c r="ONJ3" s="494"/>
      <c r="ONK3" s="494"/>
      <c r="ONL3" s="494"/>
      <c r="ONM3" s="494"/>
      <c r="ONN3" s="494"/>
      <c r="ONO3" s="494"/>
      <c r="ONP3" s="494"/>
      <c r="ONQ3" s="494"/>
      <c r="ONR3" s="494"/>
      <c r="ONS3" s="494"/>
      <c r="ONT3" s="494"/>
      <c r="ONU3" s="494"/>
      <c r="ONV3" s="494"/>
      <c r="ONW3" s="494"/>
      <c r="ONX3" s="494"/>
      <c r="ONY3" s="494"/>
      <c r="ONZ3" s="494"/>
      <c r="OOA3" s="494"/>
      <c r="OOB3" s="494"/>
      <c r="OOC3" s="494"/>
      <c r="OOD3" s="494"/>
      <c r="OOE3" s="494"/>
      <c r="OOF3" s="494"/>
      <c r="OOG3" s="494"/>
      <c r="OOH3" s="494"/>
      <c r="OOI3" s="494"/>
      <c r="OOJ3" s="494"/>
      <c r="OOK3" s="494"/>
      <c r="OOL3" s="494"/>
      <c r="OOM3" s="494"/>
      <c r="OON3" s="494"/>
      <c r="OOO3" s="494"/>
      <c r="OOP3" s="494"/>
      <c r="OOQ3" s="494"/>
      <c r="OOR3" s="494"/>
      <c r="OOS3" s="494"/>
      <c r="OOT3" s="494"/>
      <c r="OOU3" s="494"/>
      <c r="OOV3" s="494"/>
      <c r="OOW3" s="494"/>
      <c r="OOX3" s="494"/>
      <c r="OOY3" s="494"/>
      <c r="OOZ3" s="494"/>
      <c r="OPA3" s="494"/>
      <c r="OPB3" s="494"/>
      <c r="OPC3" s="494"/>
      <c r="OPD3" s="494"/>
      <c r="OPE3" s="494"/>
      <c r="OPF3" s="494"/>
      <c r="OPG3" s="494"/>
      <c r="OPH3" s="494"/>
      <c r="OPI3" s="494"/>
      <c r="OPJ3" s="494"/>
      <c r="OPK3" s="494"/>
      <c r="OPL3" s="494"/>
      <c r="OPM3" s="494"/>
      <c r="OPN3" s="494"/>
      <c r="OPO3" s="494"/>
      <c r="OPP3" s="494"/>
      <c r="OPQ3" s="494"/>
      <c r="OPR3" s="494"/>
      <c r="OPS3" s="494"/>
      <c r="OPT3" s="494"/>
      <c r="OPU3" s="494"/>
      <c r="OPV3" s="494"/>
      <c r="OPW3" s="494"/>
      <c r="OPX3" s="494"/>
      <c r="OPY3" s="494"/>
      <c r="OPZ3" s="494"/>
      <c r="OQA3" s="494"/>
      <c r="OQB3" s="494"/>
      <c r="OQC3" s="494"/>
      <c r="OQD3" s="494"/>
      <c r="OQE3" s="494"/>
      <c r="OQF3" s="494"/>
      <c r="OQG3" s="494"/>
      <c r="OQH3" s="494"/>
      <c r="OQI3" s="494"/>
      <c r="OQJ3" s="494"/>
      <c r="OQK3" s="494"/>
      <c r="OQL3" s="494"/>
      <c r="OQM3" s="494"/>
      <c r="OQN3" s="494"/>
      <c r="OQO3" s="494"/>
      <c r="OQP3" s="494"/>
      <c r="OQQ3" s="494"/>
      <c r="OQR3" s="494"/>
      <c r="OQS3" s="494"/>
      <c r="OQT3" s="494"/>
      <c r="OQU3" s="494"/>
      <c r="OQV3" s="494"/>
      <c r="OQW3" s="494"/>
      <c r="OQX3" s="494"/>
      <c r="OQY3" s="494"/>
      <c r="OQZ3" s="494"/>
      <c r="ORA3" s="494"/>
      <c r="ORB3" s="494"/>
      <c r="ORC3" s="494"/>
      <c r="ORD3" s="494"/>
      <c r="ORE3" s="494"/>
      <c r="ORF3" s="494"/>
      <c r="ORG3" s="494"/>
      <c r="ORH3" s="494"/>
      <c r="ORI3" s="494"/>
      <c r="ORJ3" s="494"/>
      <c r="ORK3" s="494"/>
      <c r="ORL3" s="494"/>
      <c r="ORM3" s="494"/>
      <c r="ORN3" s="494"/>
      <c r="ORO3" s="494"/>
      <c r="ORP3" s="494"/>
      <c r="ORQ3" s="494"/>
      <c r="ORR3" s="494"/>
      <c r="ORS3" s="494"/>
      <c r="ORT3" s="494"/>
      <c r="ORU3" s="494"/>
      <c r="ORV3" s="494"/>
      <c r="ORW3" s="494"/>
      <c r="ORX3" s="494"/>
      <c r="ORY3" s="494"/>
      <c r="ORZ3" s="494"/>
      <c r="OSA3" s="494"/>
      <c r="OSB3" s="494"/>
      <c r="OSC3" s="494"/>
      <c r="OSD3" s="494"/>
      <c r="OSE3" s="494"/>
      <c r="OSF3" s="494"/>
      <c r="OSG3" s="494"/>
      <c r="OSH3" s="494"/>
      <c r="OSI3" s="494"/>
      <c r="OSJ3" s="494"/>
      <c r="OSK3" s="494"/>
      <c r="OSL3" s="494"/>
      <c r="OSM3" s="494"/>
      <c r="OSN3" s="494"/>
      <c r="OSO3" s="494"/>
      <c r="OSP3" s="494"/>
      <c r="OSQ3" s="494"/>
      <c r="OSR3" s="494"/>
      <c r="OSS3" s="494"/>
      <c r="OST3" s="494"/>
      <c r="OSU3" s="494"/>
      <c r="OSV3" s="494"/>
      <c r="OSW3" s="494"/>
      <c r="OSX3" s="494"/>
      <c r="OSY3" s="494"/>
      <c r="OSZ3" s="494"/>
      <c r="OTA3" s="494"/>
      <c r="OTB3" s="494"/>
      <c r="OTC3" s="494"/>
      <c r="OTD3" s="494"/>
      <c r="OTE3" s="494"/>
      <c r="OTF3" s="494"/>
      <c r="OTG3" s="494"/>
      <c r="OTH3" s="494"/>
      <c r="OTI3" s="494"/>
      <c r="OTJ3" s="494"/>
      <c r="OTK3" s="494"/>
      <c r="OTL3" s="494"/>
      <c r="OTM3" s="494"/>
      <c r="OTN3" s="494"/>
      <c r="OTO3" s="494"/>
      <c r="OTP3" s="494"/>
      <c r="OTQ3" s="494"/>
      <c r="OTR3" s="494"/>
      <c r="OTS3" s="494"/>
      <c r="OTT3" s="494"/>
      <c r="OTU3" s="494"/>
      <c r="OTV3" s="494"/>
      <c r="OTW3" s="494"/>
      <c r="OTX3" s="494"/>
      <c r="OTY3" s="494"/>
      <c r="OTZ3" s="494"/>
      <c r="OUA3" s="494"/>
      <c r="OUB3" s="494"/>
      <c r="OUC3" s="494"/>
      <c r="OUD3" s="494"/>
      <c r="OUE3" s="494"/>
      <c r="OUF3" s="494"/>
      <c r="OUG3" s="494"/>
      <c r="OUH3" s="494"/>
      <c r="OUI3" s="494"/>
      <c r="OUJ3" s="494"/>
      <c r="OUK3" s="494"/>
      <c r="OUL3" s="494"/>
      <c r="OUM3" s="494"/>
      <c r="OUN3" s="494"/>
      <c r="OUO3" s="494"/>
      <c r="OUP3" s="494"/>
      <c r="OUQ3" s="494"/>
      <c r="OUR3" s="494"/>
      <c r="OUS3" s="494"/>
      <c r="OUT3" s="494"/>
      <c r="OUU3" s="494"/>
      <c r="OUV3" s="494"/>
      <c r="OUW3" s="494"/>
      <c r="OUX3" s="494"/>
      <c r="OUY3" s="494"/>
      <c r="OUZ3" s="494"/>
      <c r="OVA3" s="494"/>
      <c r="OVB3" s="494"/>
      <c r="OVC3" s="494"/>
      <c r="OVD3" s="494"/>
      <c r="OVE3" s="494"/>
      <c r="OVF3" s="494"/>
      <c r="OVG3" s="494"/>
      <c r="OVH3" s="494"/>
      <c r="OVI3" s="494"/>
      <c r="OVJ3" s="494"/>
      <c r="OVK3" s="494"/>
      <c r="OVL3" s="494"/>
      <c r="OVM3" s="494"/>
      <c r="OVN3" s="494"/>
      <c r="OVO3" s="494"/>
      <c r="OVP3" s="494"/>
      <c r="OVQ3" s="494"/>
      <c r="OVR3" s="494"/>
      <c r="OVS3" s="494"/>
      <c r="OVT3" s="494"/>
      <c r="OVU3" s="494"/>
      <c r="OVV3" s="494"/>
      <c r="OVW3" s="494"/>
      <c r="OVX3" s="494"/>
      <c r="OVY3" s="494"/>
      <c r="OVZ3" s="494"/>
      <c r="OWA3" s="494"/>
      <c r="OWB3" s="494"/>
      <c r="OWC3" s="494"/>
      <c r="OWD3" s="494"/>
      <c r="OWE3" s="494"/>
      <c r="OWF3" s="494"/>
      <c r="OWG3" s="494"/>
      <c r="OWH3" s="494"/>
      <c r="OWI3" s="494"/>
      <c r="OWJ3" s="494"/>
      <c r="OWK3" s="494"/>
      <c r="OWL3" s="494"/>
      <c r="OWM3" s="494"/>
      <c r="OWN3" s="494"/>
      <c r="OWO3" s="494"/>
      <c r="OWP3" s="494"/>
      <c r="OWQ3" s="494"/>
      <c r="OWR3" s="494"/>
      <c r="OWS3" s="494"/>
      <c r="OWT3" s="494"/>
      <c r="OWU3" s="494"/>
      <c r="OWV3" s="494"/>
      <c r="OWW3" s="494"/>
      <c r="OWX3" s="494"/>
      <c r="OWY3" s="494"/>
      <c r="OWZ3" s="494"/>
      <c r="OXA3" s="494"/>
      <c r="OXB3" s="494"/>
      <c r="OXC3" s="494"/>
      <c r="OXD3" s="494"/>
      <c r="OXE3" s="494"/>
      <c r="OXF3" s="494"/>
      <c r="OXG3" s="494"/>
      <c r="OXH3" s="494"/>
      <c r="OXI3" s="494"/>
      <c r="OXJ3" s="494"/>
      <c r="OXK3" s="494"/>
      <c r="OXL3" s="494"/>
      <c r="OXM3" s="494"/>
      <c r="OXN3" s="494"/>
      <c r="OXO3" s="494"/>
      <c r="OXP3" s="494"/>
      <c r="OXQ3" s="494"/>
      <c r="OXR3" s="494"/>
      <c r="OXS3" s="494"/>
      <c r="OXT3" s="494"/>
      <c r="OXU3" s="494"/>
      <c r="OXV3" s="494"/>
      <c r="OXW3" s="494"/>
      <c r="OXX3" s="494"/>
      <c r="OXY3" s="494"/>
      <c r="OXZ3" s="494"/>
      <c r="OYA3" s="494"/>
      <c r="OYB3" s="494"/>
      <c r="OYC3" s="494"/>
      <c r="OYD3" s="494"/>
      <c r="OYE3" s="494"/>
      <c r="OYF3" s="494"/>
      <c r="OYG3" s="494"/>
      <c r="OYH3" s="494"/>
      <c r="OYI3" s="494"/>
      <c r="OYJ3" s="494"/>
      <c r="OYK3" s="494"/>
      <c r="OYL3" s="494"/>
      <c r="OYM3" s="494"/>
      <c r="OYN3" s="494"/>
      <c r="OYO3" s="494"/>
      <c r="OYP3" s="494"/>
      <c r="OYQ3" s="494"/>
      <c r="OYR3" s="494"/>
      <c r="OYS3" s="494"/>
      <c r="OYT3" s="494"/>
      <c r="OYU3" s="494"/>
      <c r="OYV3" s="494"/>
      <c r="OYW3" s="494"/>
      <c r="OYX3" s="494"/>
      <c r="OYY3" s="494"/>
      <c r="OYZ3" s="494"/>
      <c r="OZA3" s="494"/>
      <c r="OZB3" s="494"/>
      <c r="OZC3" s="494"/>
      <c r="OZD3" s="494"/>
      <c r="OZE3" s="494"/>
      <c r="OZF3" s="494"/>
      <c r="OZG3" s="494"/>
      <c r="OZH3" s="494"/>
      <c r="OZI3" s="494"/>
      <c r="OZJ3" s="494"/>
      <c r="OZK3" s="494"/>
      <c r="OZL3" s="494"/>
      <c r="OZM3" s="494"/>
      <c r="OZN3" s="494"/>
      <c r="OZO3" s="494"/>
      <c r="OZP3" s="494"/>
      <c r="OZQ3" s="494"/>
      <c r="OZR3" s="494"/>
      <c r="OZS3" s="494"/>
      <c r="OZT3" s="494"/>
      <c r="OZU3" s="494"/>
      <c r="OZV3" s="494"/>
      <c r="OZW3" s="494"/>
      <c r="OZX3" s="494"/>
      <c r="OZY3" s="494"/>
      <c r="OZZ3" s="494"/>
      <c r="PAA3" s="494"/>
      <c r="PAB3" s="494"/>
      <c r="PAC3" s="494"/>
      <c r="PAD3" s="494"/>
      <c r="PAE3" s="494"/>
      <c r="PAF3" s="494"/>
      <c r="PAG3" s="494"/>
      <c r="PAH3" s="494"/>
      <c r="PAI3" s="494"/>
      <c r="PAJ3" s="494"/>
      <c r="PAK3" s="494"/>
      <c r="PAL3" s="494"/>
      <c r="PAM3" s="494"/>
      <c r="PAN3" s="494"/>
      <c r="PAO3" s="494"/>
      <c r="PAP3" s="494"/>
      <c r="PAQ3" s="494"/>
      <c r="PAR3" s="494"/>
      <c r="PAS3" s="494"/>
      <c r="PAT3" s="494"/>
      <c r="PAU3" s="494"/>
      <c r="PAV3" s="494"/>
      <c r="PAW3" s="494"/>
      <c r="PAX3" s="494"/>
      <c r="PAY3" s="494"/>
      <c r="PAZ3" s="494"/>
      <c r="PBA3" s="494"/>
      <c r="PBB3" s="494"/>
      <c r="PBC3" s="494"/>
      <c r="PBD3" s="494"/>
      <c r="PBE3" s="494"/>
      <c r="PBF3" s="494"/>
      <c r="PBG3" s="494"/>
      <c r="PBH3" s="494"/>
      <c r="PBI3" s="494"/>
      <c r="PBJ3" s="494"/>
      <c r="PBK3" s="494"/>
      <c r="PBL3" s="494"/>
      <c r="PBM3" s="494"/>
      <c r="PBN3" s="494"/>
      <c r="PBO3" s="494"/>
      <c r="PBP3" s="494"/>
      <c r="PBQ3" s="494"/>
      <c r="PBR3" s="494"/>
      <c r="PBS3" s="494"/>
      <c r="PBT3" s="494"/>
      <c r="PBU3" s="494"/>
      <c r="PBV3" s="494"/>
      <c r="PBW3" s="494"/>
      <c r="PBX3" s="494"/>
      <c r="PBY3" s="494"/>
      <c r="PBZ3" s="494"/>
      <c r="PCA3" s="494"/>
      <c r="PCB3" s="494"/>
      <c r="PCC3" s="494"/>
      <c r="PCD3" s="494"/>
      <c r="PCE3" s="494"/>
      <c r="PCF3" s="494"/>
      <c r="PCG3" s="494"/>
      <c r="PCH3" s="494"/>
      <c r="PCI3" s="494"/>
      <c r="PCJ3" s="494"/>
      <c r="PCK3" s="494"/>
      <c r="PCL3" s="494"/>
      <c r="PCM3" s="494"/>
      <c r="PCN3" s="494"/>
      <c r="PCO3" s="494"/>
      <c r="PCP3" s="494"/>
      <c r="PCQ3" s="494"/>
      <c r="PCR3" s="494"/>
      <c r="PCS3" s="494"/>
      <c r="PCT3" s="494"/>
      <c r="PCU3" s="494"/>
      <c r="PCV3" s="494"/>
      <c r="PCW3" s="494"/>
      <c r="PCX3" s="494"/>
      <c r="PCY3" s="494"/>
      <c r="PCZ3" s="494"/>
      <c r="PDA3" s="494"/>
      <c r="PDB3" s="494"/>
      <c r="PDC3" s="494"/>
      <c r="PDD3" s="494"/>
      <c r="PDE3" s="494"/>
      <c r="PDF3" s="494"/>
      <c r="PDG3" s="494"/>
      <c r="PDH3" s="494"/>
      <c r="PDI3" s="494"/>
      <c r="PDJ3" s="494"/>
      <c r="PDK3" s="494"/>
      <c r="PDL3" s="494"/>
      <c r="PDM3" s="494"/>
      <c r="PDN3" s="494"/>
      <c r="PDO3" s="494"/>
      <c r="PDP3" s="494"/>
      <c r="PDQ3" s="494"/>
      <c r="PDR3" s="494"/>
      <c r="PDS3" s="494"/>
      <c r="PDT3" s="494"/>
      <c r="PDU3" s="494"/>
      <c r="PDV3" s="494"/>
      <c r="PDW3" s="494"/>
      <c r="PDX3" s="494"/>
      <c r="PDY3" s="494"/>
      <c r="PDZ3" s="494"/>
      <c r="PEA3" s="494"/>
      <c r="PEB3" s="494"/>
      <c r="PEC3" s="494"/>
      <c r="PED3" s="494"/>
      <c r="PEE3" s="494"/>
      <c r="PEF3" s="494"/>
      <c r="PEG3" s="494"/>
      <c r="PEH3" s="494"/>
      <c r="PEI3" s="494"/>
      <c r="PEJ3" s="494"/>
      <c r="PEK3" s="494"/>
      <c r="PEL3" s="494"/>
      <c r="PEM3" s="494"/>
      <c r="PEN3" s="494"/>
      <c r="PEO3" s="494"/>
      <c r="PEP3" s="494"/>
      <c r="PEQ3" s="494"/>
      <c r="PER3" s="494"/>
      <c r="PES3" s="494"/>
      <c r="PET3" s="494"/>
      <c r="PEU3" s="494"/>
      <c r="PEV3" s="494"/>
      <c r="PEW3" s="494"/>
      <c r="PEX3" s="494"/>
      <c r="PEY3" s="494"/>
      <c r="PEZ3" s="494"/>
      <c r="PFA3" s="494"/>
      <c r="PFB3" s="494"/>
      <c r="PFC3" s="494"/>
      <c r="PFD3" s="494"/>
      <c r="PFE3" s="494"/>
      <c r="PFF3" s="494"/>
      <c r="PFG3" s="494"/>
      <c r="PFH3" s="494"/>
      <c r="PFI3" s="494"/>
      <c r="PFJ3" s="494"/>
      <c r="PFK3" s="494"/>
      <c r="PFL3" s="494"/>
      <c r="PFM3" s="494"/>
      <c r="PFN3" s="494"/>
      <c r="PFO3" s="494"/>
      <c r="PFP3" s="494"/>
      <c r="PFQ3" s="494"/>
      <c r="PFR3" s="494"/>
      <c r="PFS3" s="494"/>
      <c r="PFT3" s="494"/>
      <c r="PFU3" s="494"/>
      <c r="PFV3" s="494"/>
      <c r="PFW3" s="494"/>
      <c r="PFX3" s="494"/>
      <c r="PFY3" s="494"/>
      <c r="PFZ3" s="494"/>
      <c r="PGA3" s="494"/>
      <c r="PGB3" s="494"/>
      <c r="PGC3" s="494"/>
      <c r="PGD3" s="494"/>
      <c r="PGE3" s="494"/>
      <c r="PGF3" s="494"/>
      <c r="PGG3" s="494"/>
      <c r="PGH3" s="494"/>
      <c r="PGI3" s="494"/>
      <c r="PGJ3" s="494"/>
      <c r="PGK3" s="494"/>
      <c r="PGL3" s="494"/>
      <c r="PGM3" s="494"/>
      <c r="PGN3" s="494"/>
      <c r="PGO3" s="494"/>
      <c r="PGP3" s="494"/>
      <c r="PGQ3" s="494"/>
      <c r="PGR3" s="494"/>
      <c r="PGS3" s="494"/>
      <c r="PGT3" s="494"/>
      <c r="PGU3" s="494"/>
      <c r="PGV3" s="494"/>
      <c r="PGW3" s="494"/>
      <c r="PGX3" s="494"/>
      <c r="PGY3" s="494"/>
      <c r="PGZ3" s="494"/>
      <c r="PHA3" s="494"/>
      <c r="PHB3" s="494"/>
      <c r="PHC3" s="494"/>
      <c r="PHD3" s="494"/>
      <c r="PHE3" s="494"/>
      <c r="PHF3" s="494"/>
      <c r="PHG3" s="494"/>
      <c r="PHH3" s="494"/>
      <c r="PHI3" s="494"/>
      <c r="PHJ3" s="494"/>
      <c r="PHK3" s="494"/>
      <c r="PHL3" s="494"/>
      <c r="PHM3" s="494"/>
      <c r="PHN3" s="494"/>
      <c r="PHO3" s="494"/>
      <c r="PHP3" s="494"/>
      <c r="PHQ3" s="494"/>
      <c r="PHR3" s="494"/>
      <c r="PHS3" s="494"/>
      <c r="PHT3" s="494"/>
      <c r="PHU3" s="494"/>
      <c r="PHV3" s="494"/>
      <c r="PHW3" s="494"/>
      <c r="PHX3" s="494"/>
      <c r="PHY3" s="494"/>
      <c r="PHZ3" s="494"/>
      <c r="PIA3" s="494"/>
      <c r="PIB3" s="494"/>
      <c r="PIC3" s="494"/>
      <c r="PID3" s="494"/>
      <c r="PIE3" s="494"/>
      <c r="PIF3" s="494"/>
      <c r="PIG3" s="494"/>
      <c r="PIH3" s="494"/>
      <c r="PII3" s="494"/>
      <c r="PIJ3" s="494"/>
      <c r="PIK3" s="494"/>
      <c r="PIL3" s="494"/>
      <c r="PIM3" s="494"/>
      <c r="PIN3" s="494"/>
      <c r="PIO3" s="494"/>
      <c r="PIP3" s="494"/>
      <c r="PIQ3" s="494"/>
      <c r="PIR3" s="494"/>
      <c r="PIS3" s="494"/>
      <c r="PIT3" s="494"/>
      <c r="PIU3" s="494"/>
      <c r="PIV3" s="494"/>
      <c r="PIW3" s="494"/>
      <c r="PIX3" s="494"/>
      <c r="PIY3" s="494"/>
      <c r="PIZ3" s="494"/>
      <c r="PJA3" s="494"/>
      <c r="PJB3" s="494"/>
      <c r="PJC3" s="494"/>
      <c r="PJD3" s="494"/>
      <c r="PJE3" s="494"/>
      <c r="PJF3" s="494"/>
      <c r="PJG3" s="494"/>
      <c r="PJH3" s="494"/>
      <c r="PJI3" s="494"/>
      <c r="PJJ3" s="494"/>
      <c r="PJK3" s="494"/>
      <c r="PJL3" s="494"/>
      <c r="PJM3" s="494"/>
      <c r="PJN3" s="494"/>
      <c r="PJO3" s="494"/>
      <c r="PJP3" s="494"/>
      <c r="PJQ3" s="494"/>
      <c r="PJR3" s="494"/>
      <c r="PJS3" s="494"/>
      <c r="PJT3" s="494"/>
      <c r="PJU3" s="494"/>
      <c r="PJV3" s="494"/>
      <c r="PJW3" s="494"/>
      <c r="PJX3" s="494"/>
      <c r="PJY3" s="494"/>
      <c r="PJZ3" s="494"/>
      <c r="PKA3" s="494"/>
      <c r="PKB3" s="494"/>
      <c r="PKC3" s="494"/>
      <c r="PKD3" s="494"/>
      <c r="PKE3" s="494"/>
      <c r="PKF3" s="494"/>
      <c r="PKG3" s="494"/>
      <c r="PKH3" s="494"/>
      <c r="PKI3" s="494"/>
      <c r="PKJ3" s="494"/>
      <c r="PKK3" s="494"/>
      <c r="PKL3" s="494"/>
      <c r="PKM3" s="494"/>
      <c r="PKN3" s="494"/>
      <c r="PKO3" s="494"/>
      <c r="PKP3" s="494"/>
      <c r="PKQ3" s="494"/>
      <c r="PKR3" s="494"/>
      <c r="PKS3" s="494"/>
      <c r="PKT3" s="494"/>
      <c r="PKU3" s="494"/>
      <c r="PKV3" s="494"/>
      <c r="PKW3" s="494"/>
      <c r="PKX3" s="494"/>
      <c r="PKY3" s="494"/>
      <c r="PKZ3" s="494"/>
      <c r="PLA3" s="494"/>
      <c r="PLB3" s="494"/>
      <c r="PLC3" s="494"/>
      <c r="PLD3" s="494"/>
      <c r="PLE3" s="494"/>
      <c r="PLF3" s="494"/>
      <c r="PLG3" s="494"/>
      <c r="PLH3" s="494"/>
      <c r="PLI3" s="494"/>
      <c r="PLJ3" s="494"/>
      <c r="PLK3" s="494"/>
      <c r="PLL3" s="494"/>
      <c r="PLM3" s="494"/>
      <c r="PLN3" s="494"/>
      <c r="PLO3" s="494"/>
      <c r="PLP3" s="494"/>
      <c r="PLQ3" s="494"/>
      <c r="PLR3" s="494"/>
      <c r="PLS3" s="494"/>
      <c r="PLT3" s="494"/>
      <c r="PLU3" s="494"/>
      <c r="PLV3" s="494"/>
      <c r="PLW3" s="494"/>
      <c r="PLX3" s="494"/>
      <c r="PLY3" s="494"/>
      <c r="PLZ3" s="494"/>
      <c r="PMA3" s="494"/>
      <c r="PMB3" s="494"/>
      <c r="PMC3" s="494"/>
      <c r="PMD3" s="494"/>
      <c r="PME3" s="494"/>
      <c r="PMF3" s="494"/>
      <c r="PMG3" s="494"/>
      <c r="PMH3" s="494"/>
      <c r="PMI3" s="494"/>
      <c r="PMJ3" s="494"/>
      <c r="PMK3" s="494"/>
      <c r="PML3" s="494"/>
      <c r="PMM3" s="494"/>
      <c r="PMN3" s="494"/>
      <c r="PMO3" s="494"/>
      <c r="PMP3" s="494"/>
      <c r="PMQ3" s="494"/>
      <c r="PMR3" s="494"/>
      <c r="PMS3" s="494"/>
      <c r="PMT3" s="494"/>
      <c r="PMU3" s="494"/>
      <c r="PMV3" s="494"/>
      <c r="PMW3" s="494"/>
      <c r="PMX3" s="494"/>
      <c r="PMY3" s="494"/>
      <c r="PMZ3" s="494"/>
      <c r="PNA3" s="494"/>
      <c r="PNB3" s="494"/>
      <c r="PNC3" s="494"/>
      <c r="PND3" s="494"/>
      <c r="PNE3" s="494"/>
      <c r="PNF3" s="494"/>
      <c r="PNG3" s="494"/>
      <c r="PNH3" s="494"/>
      <c r="PNI3" s="494"/>
      <c r="PNJ3" s="494"/>
      <c r="PNK3" s="494"/>
      <c r="PNL3" s="494"/>
      <c r="PNM3" s="494"/>
      <c r="PNN3" s="494"/>
      <c r="PNO3" s="494"/>
      <c r="PNP3" s="494"/>
      <c r="PNQ3" s="494"/>
      <c r="PNR3" s="494"/>
      <c r="PNS3" s="494"/>
      <c r="PNT3" s="494"/>
      <c r="PNU3" s="494"/>
      <c r="PNV3" s="494"/>
      <c r="PNW3" s="494"/>
      <c r="PNX3" s="494"/>
      <c r="PNY3" s="494"/>
      <c r="PNZ3" s="494"/>
      <c r="POA3" s="494"/>
      <c r="POB3" s="494"/>
      <c r="POC3" s="494"/>
      <c r="POD3" s="494"/>
      <c r="POE3" s="494"/>
      <c r="POF3" s="494"/>
      <c r="POG3" s="494"/>
      <c r="POH3" s="494"/>
      <c r="POI3" s="494"/>
      <c r="POJ3" s="494"/>
      <c r="POK3" s="494"/>
      <c r="POL3" s="494"/>
      <c r="POM3" s="494"/>
      <c r="PON3" s="494"/>
      <c r="POO3" s="494"/>
      <c r="POP3" s="494"/>
      <c r="POQ3" s="494"/>
      <c r="POR3" s="494"/>
      <c r="POS3" s="494"/>
      <c r="POT3" s="494"/>
      <c r="POU3" s="494"/>
      <c r="POV3" s="494"/>
      <c r="POW3" s="494"/>
      <c r="POX3" s="494"/>
      <c r="POY3" s="494"/>
      <c r="POZ3" s="494"/>
      <c r="PPA3" s="494"/>
      <c r="PPB3" s="494"/>
      <c r="PPC3" s="494"/>
      <c r="PPD3" s="494"/>
      <c r="PPE3" s="494"/>
      <c r="PPF3" s="494"/>
      <c r="PPG3" s="494"/>
      <c r="PPH3" s="494"/>
      <c r="PPI3" s="494"/>
      <c r="PPJ3" s="494"/>
      <c r="PPK3" s="494"/>
      <c r="PPL3" s="494"/>
      <c r="PPM3" s="494"/>
      <c r="PPN3" s="494"/>
      <c r="PPO3" s="494"/>
      <c r="PPP3" s="494"/>
      <c r="PPQ3" s="494"/>
      <c r="PPR3" s="494"/>
      <c r="PPS3" s="494"/>
      <c r="PPT3" s="494"/>
      <c r="PPU3" s="494"/>
      <c r="PPV3" s="494"/>
      <c r="PPW3" s="494"/>
      <c r="PPX3" s="494"/>
      <c r="PPY3" s="494"/>
      <c r="PPZ3" s="494"/>
      <c r="PQA3" s="494"/>
      <c r="PQB3" s="494"/>
      <c r="PQC3" s="494"/>
      <c r="PQD3" s="494"/>
      <c r="PQE3" s="494"/>
      <c r="PQF3" s="494"/>
      <c r="PQG3" s="494"/>
      <c r="PQH3" s="494"/>
      <c r="PQI3" s="494"/>
      <c r="PQJ3" s="494"/>
      <c r="PQK3" s="494"/>
      <c r="PQL3" s="494"/>
      <c r="PQM3" s="494"/>
      <c r="PQN3" s="494"/>
      <c r="PQO3" s="494"/>
      <c r="PQP3" s="494"/>
      <c r="PQQ3" s="494"/>
      <c r="PQR3" s="494"/>
      <c r="PQS3" s="494"/>
      <c r="PQT3" s="494"/>
      <c r="PQU3" s="494"/>
      <c r="PQV3" s="494"/>
      <c r="PQW3" s="494"/>
      <c r="PQX3" s="494"/>
      <c r="PQY3" s="494"/>
      <c r="PQZ3" s="494"/>
      <c r="PRA3" s="494"/>
      <c r="PRB3" s="494"/>
      <c r="PRC3" s="494"/>
      <c r="PRD3" s="494"/>
      <c r="PRE3" s="494"/>
      <c r="PRF3" s="494"/>
      <c r="PRG3" s="494"/>
      <c r="PRH3" s="494"/>
      <c r="PRI3" s="494"/>
      <c r="PRJ3" s="494"/>
      <c r="PRK3" s="494"/>
      <c r="PRL3" s="494"/>
      <c r="PRM3" s="494"/>
      <c r="PRN3" s="494"/>
      <c r="PRO3" s="494"/>
      <c r="PRP3" s="494"/>
      <c r="PRQ3" s="494"/>
      <c r="PRR3" s="494"/>
      <c r="PRS3" s="494"/>
      <c r="PRT3" s="494"/>
      <c r="PRU3" s="494"/>
      <c r="PRV3" s="494"/>
      <c r="PRW3" s="494"/>
      <c r="PRX3" s="494"/>
      <c r="PRY3" s="494"/>
      <c r="PRZ3" s="494"/>
      <c r="PSA3" s="494"/>
      <c r="PSB3" s="494"/>
      <c r="PSC3" s="494"/>
      <c r="PSD3" s="494"/>
      <c r="PSE3" s="494"/>
      <c r="PSF3" s="494"/>
      <c r="PSG3" s="494"/>
      <c r="PSH3" s="494"/>
      <c r="PSI3" s="494"/>
      <c r="PSJ3" s="494"/>
      <c r="PSK3" s="494"/>
      <c r="PSL3" s="494"/>
      <c r="PSM3" s="494"/>
      <c r="PSN3" s="494"/>
      <c r="PSO3" s="494"/>
      <c r="PSP3" s="494"/>
      <c r="PSQ3" s="494"/>
      <c r="PSR3" s="494"/>
      <c r="PSS3" s="494"/>
      <c r="PST3" s="494"/>
      <c r="PSU3" s="494"/>
      <c r="PSV3" s="494"/>
      <c r="PSW3" s="494"/>
      <c r="PSX3" s="494"/>
      <c r="PSY3" s="494"/>
      <c r="PSZ3" s="494"/>
      <c r="PTA3" s="494"/>
      <c r="PTB3" s="494"/>
      <c r="PTC3" s="494"/>
      <c r="PTD3" s="494"/>
      <c r="PTE3" s="494"/>
      <c r="PTF3" s="494"/>
      <c r="PTG3" s="494"/>
      <c r="PTH3" s="494"/>
      <c r="PTI3" s="494"/>
      <c r="PTJ3" s="494"/>
      <c r="PTK3" s="494"/>
      <c r="PTL3" s="494"/>
      <c r="PTM3" s="494"/>
      <c r="PTN3" s="494"/>
      <c r="PTO3" s="494"/>
      <c r="PTP3" s="494"/>
      <c r="PTQ3" s="494"/>
      <c r="PTR3" s="494"/>
      <c r="PTS3" s="494"/>
      <c r="PTT3" s="494"/>
      <c r="PTU3" s="494"/>
      <c r="PTV3" s="494"/>
      <c r="PTW3" s="494"/>
      <c r="PTX3" s="494"/>
      <c r="PTY3" s="494"/>
      <c r="PTZ3" s="494"/>
      <c r="PUA3" s="494"/>
      <c r="PUB3" s="494"/>
      <c r="PUC3" s="494"/>
      <c r="PUD3" s="494"/>
      <c r="PUE3" s="494"/>
      <c r="PUF3" s="494"/>
      <c r="PUG3" s="494"/>
      <c r="PUH3" s="494"/>
      <c r="PUI3" s="494"/>
      <c r="PUJ3" s="494"/>
      <c r="PUK3" s="494"/>
      <c r="PUL3" s="494"/>
      <c r="PUM3" s="494"/>
      <c r="PUN3" s="494"/>
      <c r="PUO3" s="494"/>
      <c r="PUP3" s="494"/>
      <c r="PUQ3" s="494"/>
      <c r="PUR3" s="494"/>
      <c r="PUS3" s="494"/>
      <c r="PUT3" s="494"/>
      <c r="PUU3" s="494"/>
      <c r="PUV3" s="494"/>
      <c r="PUW3" s="494"/>
      <c r="PUX3" s="494"/>
      <c r="PUY3" s="494"/>
      <c r="PUZ3" s="494"/>
      <c r="PVA3" s="494"/>
      <c r="PVB3" s="494"/>
      <c r="PVC3" s="494"/>
      <c r="PVD3" s="494"/>
      <c r="PVE3" s="494"/>
      <c r="PVF3" s="494"/>
      <c r="PVG3" s="494"/>
      <c r="PVH3" s="494"/>
      <c r="PVI3" s="494"/>
      <c r="PVJ3" s="494"/>
      <c r="PVK3" s="494"/>
      <c r="PVL3" s="494"/>
      <c r="PVM3" s="494"/>
      <c r="PVN3" s="494"/>
      <c r="PVO3" s="494"/>
      <c r="PVP3" s="494"/>
      <c r="PVQ3" s="494"/>
      <c r="PVR3" s="494"/>
      <c r="PVS3" s="494"/>
      <c r="PVT3" s="494"/>
      <c r="PVU3" s="494"/>
      <c r="PVV3" s="494"/>
      <c r="PVW3" s="494"/>
      <c r="PVX3" s="494"/>
      <c r="PVY3" s="494"/>
      <c r="PVZ3" s="494"/>
      <c r="PWA3" s="494"/>
      <c r="PWB3" s="494"/>
      <c r="PWC3" s="494"/>
      <c r="PWD3" s="494"/>
      <c r="PWE3" s="494"/>
      <c r="PWF3" s="494"/>
      <c r="PWG3" s="494"/>
      <c r="PWH3" s="494"/>
      <c r="PWI3" s="494"/>
      <c r="PWJ3" s="494"/>
      <c r="PWK3" s="494"/>
      <c r="PWL3" s="494"/>
      <c r="PWM3" s="494"/>
      <c r="PWN3" s="494"/>
      <c r="PWO3" s="494"/>
      <c r="PWP3" s="494"/>
      <c r="PWQ3" s="494"/>
      <c r="PWR3" s="494"/>
      <c r="PWS3" s="494"/>
      <c r="PWT3" s="494"/>
      <c r="PWU3" s="494"/>
      <c r="PWV3" s="494"/>
      <c r="PWW3" s="494"/>
      <c r="PWX3" s="494"/>
      <c r="PWY3" s="494"/>
      <c r="PWZ3" s="494"/>
      <c r="PXA3" s="494"/>
      <c r="PXB3" s="494"/>
      <c r="PXC3" s="494"/>
      <c r="PXD3" s="494"/>
      <c r="PXE3" s="494"/>
      <c r="PXF3" s="494"/>
      <c r="PXG3" s="494"/>
      <c r="PXH3" s="494"/>
      <c r="PXI3" s="494"/>
      <c r="PXJ3" s="494"/>
      <c r="PXK3" s="494"/>
      <c r="PXL3" s="494"/>
      <c r="PXM3" s="494"/>
      <c r="PXN3" s="494"/>
      <c r="PXO3" s="494"/>
      <c r="PXP3" s="494"/>
      <c r="PXQ3" s="494"/>
      <c r="PXR3" s="494"/>
      <c r="PXS3" s="494"/>
      <c r="PXT3" s="494"/>
      <c r="PXU3" s="494"/>
      <c r="PXV3" s="494"/>
      <c r="PXW3" s="494"/>
      <c r="PXX3" s="494"/>
      <c r="PXY3" s="494"/>
      <c r="PXZ3" s="494"/>
      <c r="PYA3" s="494"/>
      <c r="PYB3" s="494"/>
      <c r="PYC3" s="494"/>
      <c r="PYD3" s="494"/>
      <c r="PYE3" s="494"/>
      <c r="PYF3" s="494"/>
      <c r="PYG3" s="494"/>
      <c r="PYH3" s="494"/>
      <c r="PYI3" s="494"/>
      <c r="PYJ3" s="494"/>
      <c r="PYK3" s="494"/>
      <c r="PYL3" s="494"/>
      <c r="PYM3" s="494"/>
      <c r="PYN3" s="494"/>
      <c r="PYO3" s="494"/>
      <c r="PYP3" s="494"/>
      <c r="PYQ3" s="494"/>
      <c r="PYR3" s="494"/>
      <c r="PYS3" s="494"/>
      <c r="PYT3" s="494"/>
      <c r="PYU3" s="494"/>
      <c r="PYV3" s="494"/>
      <c r="PYW3" s="494"/>
      <c r="PYX3" s="494"/>
      <c r="PYY3" s="494"/>
      <c r="PYZ3" s="494"/>
      <c r="PZA3" s="494"/>
      <c r="PZB3" s="494"/>
      <c r="PZC3" s="494"/>
      <c r="PZD3" s="494"/>
      <c r="PZE3" s="494"/>
      <c r="PZF3" s="494"/>
      <c r="PZG3" s="494"/>
      <c r="PZH3" s="494"/>
      <c r="PZI3" s="494"/>
      <c r="PZJ3" s="494"/>
      <c r="PZK3" s="494"/>
      <c r="PZL3" s="494"/>
      <c r="PZM3" s="494"/>
      <c r="PZN3" s="494"/>
      <c r="PZO3" s="494"/>
      <c r="PZP3" s="494"/>
      <c r="PZQ3" s="494"/>
      <c r="PZR3" s="494"/>
      <c r="PZS3" s="494"/>
      <c r="PZT3" s="494"/>
      <c r="PZU3" s="494"/>
      <c r="PZV3" s="494"/>
      <c r="PZW3" s="494"/>
      <c r="PZX3" s="494"/>
      <c r="PZY3" s="494"/>
      <c r="PZZ3" s="494"/>
      <c r="QAA3" s="494"/>
      <c r="QAB3" s="494"/>
      <c r="QAC3" s="494"/>
      <c r="QAD3" s="494"/>
      <c r="QAE3" s="494"/>
      <c r="QAF3" s="494"/>
      <c r="QAG3" s="494"/>
      <c r="QAH3" s="494"/>
      <c r="QAI3" s="494"/>
      <c r="QAJ3" s="494"/>
      <c r="QAK3" s="494"/>
      <c r="QAL3" s="494"/>
      <c r="QAM3" s="494"/>
      <c r="QAN3" s="494"/>
      <c r="QAO3" s="494"/>
      <c r="QAP3" s="494"/>
      <c r="QAQ3" s="494"/>
      <c r="QAR3" s="494"/>
      <c r="QAS3" s="494"/>
      <c r="QAT3" s="494"/>
      <c r="QAU3" s="494"/>
      <c r="QAV3" s="494"/>
      <c r="QAW3" s="494"/>
      <c r="QAX3" s="494"/>
      <c r="QAY3" s="494"/>
      <c r="QAZ3" s="494"/>
      <c r="QBA3" s="494"/>
      <c r="QBB3" s="494"/>
      <c r="QBC3" s="494"/>
      <c r="QBD3" s="494"/>
      <c r="QBE3" s="494"/>
      <c r="QBF3" s="494"/>
      <c r="QBG3" s="494"/>
      <c r="QBH3" s="494"/>
      <c r="QBI3" s="494"/>
      <c r="QBJ3" s="494"/>
      <c r="QBK3" s="494"/>
      <c r="QBL3" s="494"/>
      <c r="QBM3" s="494"/>
      <c r="QBN3" s="494"/>
      <c r="QBO3" s="494"/>
      <c r="QBP3" s="494"/>
      <c r="QBQ3" s="494"/>
      <c r="QBR3" s="494"/>
      <c r="QBS3" s="494"/>
      <c r="QBT3" s="494"/>
      <c r="QBU3" s="494"/>
      <c r="QBV3" s="494"/>
      <c r="QBW3" s="494"/>
      <c r="QBX3" s="494"/>
      <c r="QBY3" s="494"/>
      <c r="QBZ3" s="494"/>
      <c r="QCA3" s="494"/>
      <c r="QCB3" s="494"/>
      <c r="QCC3" s="494"/>
      <c r="QCD3" s="494"/>
      <c r="QCE3" s="494"/>
      <c r="QCF3" s="494"/>
      <c r="QCG3" s="494"/>
      <c r="QCH3" s="494"/>
      <c r="QCI3" s="494"/>
      <c r="QCJ3" s="494"/>
      <c r="QCK3" s="494"/>
      <c r="QCL3" s="494"/>
      <c r="QCM3" s="494"/>
      <c r="QCN3" s="494"/>
      <c r="QCO3" s="494"/>
      <c r="QCP3" s="494"/>
      <c r="QCQ3" s="494"/>
      <c r="QCR3" s="494"/>
      <c r="QCS3" s="494"/>
      <c r="QCT3" s="494"/>
      <c r="QCU3" s="494"/>
      <c r="QCV3" s="494"/>
      <c r="QCW3" s="494"/>
      <c r="QCX3" s="494"/>
      <c r="QCY3" s="494"/>
      <c r="QCZ3" s="494"/>
      <c r="QDA3" s="494"/>
      <c r="QDB3" s="494"/>
      <c r="QDC3" s="494"/>
      <c r="QDD3" s="494"/>
      <c r="QDE3" s="494"/>
      <c r="QDF3" s="494"/>
      <c r="QDG3" s="494"/>
      <c r="QDH3" s="494"/>
      <c r="QDI3" s="494"/>
      <c r="QDJ3" s="494"/>
      <c r="QDK3" s="494"/>
      <c r="QDL3" s="494"/>
      <c r="QDM3" s="494"/>
      <c r="QDN3" s="494"/>
      <c r="QDO3" s="494"/>
      <c r="QDP3" s="494"/>
      <c r="QDQ3" s="494"/>
      <c r="QDR3" s="494"/>
      <c r="QDS3" s="494"/>
      <c r="QDT3" s="494"/>
      <c r="QDU3" s="494"/>
      <c r="QDV3" s="494"/>
      <c r="QDW3" s="494"/>
      <c r="QDX3" s="494"/>
      <c r="QDY3" s="494"/>
      <c r="QDZ3" s="494"/>
      <c r="QEA3" s="494"/>
      <c r="QEB3" s="494"/>
      <c r="QEC3" s="494"/>
      <c r="QED3" s="494"/>
      <c r="QEE3" s="494"/>
      <c r="QEF3" s="494"/>
      <c r="QEG3" s="494"/>
      <c r="QEH3" s="494"/>
      <c r="QEI3" s="494"/>
      <c r="QEJ3" s="494"/>
      <c r="QEK3" s="494"/>
      <c r="QEL3" s="494"/>
      <c r="QEM3" s="494"/>
      <c r="QEN3" s="494"/>
      <c r="QEO3" s="494"/>
      <c r="QEP3" s="494"/>
      <c r="QEQ3" s="494"/>
      <c r="QER3" s="494"/>
      <c r="QES3" s="494"/>
      <c r="QET3" s="494"/>
      <c r="QEU3" s="494"/>
      <c r="QEV3" s="494"/>
      <c r="QEW3" s="494"/>
      <c r="QEX3" s="494"/>
      <c r="QEY3" s="494"/>
      <c r="QEZ3" s="494"/>
      <c r="QFA3" s="494"/>
      <c r="QFB3" s="494"/>
      <c r="QFC3" s="494"/>
      <c r="QFD3" s="494"/>
      <c r="QFE3" s="494"/>
      <c r="QFF3" s="494"/>
      <c r="QFG3" s="494"/>
      <c r="QFH3" s="494"/>
      <c r="QFI3" s="494"/>
      <c r="QFJ3" s="494"/>
      <c r="QFK3" s="494"/>
      <c r="QFL3" s="494"/>
      <c r="QFM3" s="494"/>
      <c r="QFN3" s="494"/>
      <c r="QFO3" s="494"/>
      <c r="QFP3" s="494"/>
      <c r="QFQ3" s="494"/>
      <c r="QFR3" s="494"/>
      <c r="QFS3" s="494"/>
      <c r="QFT3" s="494"/>
      <c r="QFU3" s="494"/>
      <c r="QFV3" s="494"/>
      <c r="QFW3" s="494"/>
      <c r="QFX3" s="494"/>
      <c r="QFY3" s="494"/>
      <c r="QFZ3" s="494"/>
      <c r="QGA3" s="494"/>
      <c r="QGB3" s="494"/>
      <c r="QGC3" s="494"/>
      <c r="QGD3" s="494"/>
      <c r="QGE3" s="494"/>
      <c r="QGF3" s="494"/>
      <c r="QGG3" s="494"/>
      <c r="QGH3" s="494"/>
      <c r="QGI3" s="494"/>
      <c r="QGJ3" s="494"/>
      <c r="QGK3" s="494"/>
      <c r="QGL3" s="494"/>
      <c r="QGM3" s="494"/>
      <c r="QGN3" s="494"/>
      <c r="QGO3" s="494"/>
      <c r="QGP3" s="494"/>
      <c r="QGQ3" s="494"/>
      <c r="QGR3" s="494"/>
      <c r="QGS3" s="494"/>
      <c r="QGT3" s="494"/>
      <c r="QGU3" s="494"/>
      <c r="QGV3" s="494"/>
      <c r="QGW3" s="494"/>
      <c r="QGX3" s="494"/>
      <c r="QGY3" s="494"/>
      <c r="QGZ3" s="494"/>
      <c r="QHA3" s="494"/>
      <c r="QHB3" s="494"/>
      <c r="QHC3" s="494"/>
      <c r="QHD3" s="494"/>
      <c r="QHE3" s="494"/>
      <c r="QHF3" s="494"/>
      <c r="QHG3" s="494"/>
      <c r="QHH3" s="494"/>
      <c r="QHI3" s="494"/>
      <c r="QHJ3" s="494"/>
      <c r="QHK3" s="494"/>
      <c r="QHL3" s="494"/>
      <c r="QHM3" s="494"/>
      <c r="QHN3" s="494"/>
      <c r="QHO3" s="494"/>
      <c r="QHP3" s="494"/>
      <c r="QHQ3" s="494"/>
      <c r="QHR3" s="494"/>
      <c r="QHS3" s="494"/>
      <c r="QHT3" s="494"/>
      <c r="QHU3" s="494"/>
      <c r="QHV3" s="494"/>
      <c r="QHW3" s="494"/>
      <c r="QHX3" s="494"/>
      <c r="QHY3" s="494"/>
      <c r="QHZ3" s="494"/>
      <c r="QIA3" s="494"/>
      <c r="QIB3" s="494"/>
      <c r="QIC3" s="494"/>
      <c r="QID3" s="494"/>
      <c r="QIE3" s="494"/>
      <c r="QIF3" s="494"/>
      <c r="QIG3" s="494"/>
      <c r="QIH3" s="494"/>
      <c r="QII3" s="494"/>
      <c r="QIJ3" s="494"/>
      <c r="QIK3" s="494"/>
      <c r="QIL3" s="494"/>
      <c r="QIM3" s="494"/>
      <c r="QIN3" s="494"/>
      <c r="QIO3" s="494"/>
      <c r="QIP3" s="494"/>
      <c r="QIQ3" s="494"/>
      <c r="QIR3" s="494"/>
      <c r="QIS3" s="494"/>
      <c r="QIT3" s="494"/>
      <c r="QIU3" s="494"/>
      <c r="QIV3" s="494"/>
      <c r="QIW3" s="494"/>
      <c r="QIX3" s="494"/>
      <c r="QIY3" s="494"/>
      <c r="QIZ3" s="494"/>
      <c r="QJA3" s="494"/>
      <c r="QJB3" s="494"/>
      <c r="QJC3" s="494"/>
      <c r="QJD3" s="494"/>
      <c r="QJE3" s="494"/>
      <c r="QJF3" s="494"/>
      <c r="QJG3" s="494"/>
      <c r="QJH3" s="494"/>
      <c r="QJI3" s="494"/>
      <c r="QJJ3" s="494"/>
      <c r="QJK3" s="494"/>
      <c r="QJL3" s="494"/>
      <c r="QJM3" s="494"/>
      <c r="QJN3" s="494"/>
      <c r="QJO3" s="494"/>
      <c r="QJP3" s="494"/>
      <c r="QJQ3" s="494"/>
      <c r="QJR3" s="494"/>
      <c r="QJS3" s="494"/>
      <c r="QJT3" s="494"/>
      <c r="QJU3" s="494"/>
      <c r="QJV3" s="494"/>
      <c r="QJW3" s="494"/>
      <c r="QJX3" s="494"/>
      <c r="QJY3" s="494"/>
      <c r="QJZ3" s="494"/>
      <c r="QKA3" s="494"/>
      <c r="QKB3" s="494"/>
      <c r="QKC3" s="494"/>
      <c r="QKD3" s="494"/>
      <c r="QKE3" s="494"/>
      <c r="QKF3" s="494"/>
      <c r="QKG3" s="494"/>
      <c r="QKH3" s="494"/>
      <c r="QKI3" s="494"/>
      <c r="QKJ3" s="494"/>
      <c r="QKK3" s="494"/>
      <c r="QKL3" s="494"/>
      <c r="QKM3" s="494"/>
      <c r="QKN3" s="494"/>
      <c r="QKO3" s="494"/>
      <c r="QKP3" s="494"/>
      <c r="QKQ3" s="494"/>
      <c r="QKR3" s="494"/>
      <c r="QKS3" s="494"/>
      <c r="QKT3" s="494"/>
      <c r="QKU3" s="494"/>
      <c r="QKV3" s="494"/>
      <c r="QKW3" s="494"/>
      <c r="QKX3" s="494"/>
      <c r="QKY3" s="494"/>
      <c r="QKZ3" s="494"/>
      <c r="QLA3" s="494"/>
      <c r="QLB3" s="494"/>
      <c r="QLC3" s="494"/>
      <c r="QLD3" s="494"/>
      <c r="QLE3" s="494"/>
      <c r="QLF3" s="494"/>
      <c r="QLG3" s="494"/>
      <c r="QLH3" s="494"/>
      <c r="QLI3" s="494"/>
      <c r="QLJ3" s="494"/>
      <c r="QLK3" s="494"/>
      <c r="QLL3" s="494"/>
      <c r="QLM3" s="494"/>
      <c r="QLN3" s="494"/>
      <c r="QLO3" s="494"/>
      <c r="QLP3" s="494"/>
      <c r="QLQ3" s="494"/>
      <c r="QLR3" s="494"/>
      <c r="QLS3" s="494"/>
      <c r="QLT3" s="494"/>
      <c r="QLU3" s="494"/>
      <c r="QLV3" s="494"/>
      <c r="QLW3" s="494"/>
      <c r="QLX3" s="494"/>
      <c r="QLY3" s="494"/>
      <c r="QLZ3" s="494"/>
      <c r="QMA3" s="494"/>
      <c r="QMB3" s="494"/>
      <c r="QMC3" s="494"/>
      <c r="QMD3" s="494"/>
      <c r="QME3" s="494"/>
      <c r="QMF3" s="494"/>
      <c r="QMG3" s="494"/>
      <c r="QMH3" s="494"/>
      <c r="QMI3" s="494"/>
      <c r="QMJ3" s="494"/>
      <c r="QMK3" s="494"/>
      <c r="QML3" s="494"/>
      <c r="QMM3" s="494"/>
      <c r="QMN3" s="494"/>
      <c r="QMO3" s="494"/>
      <c r="QMP3" s="494"/>
      <c r="QMQ3" s="494"/>
      <c r="QMR3" s="494"/>
      <c r="QMS3" s="494"/>
      <c r="QMT3" s="494"/>
      <c r="QMU3" s="494"/>
      <c r="QMV3" s="494"/>
      <c r="QMW3" s="494"/>
      <c r="QMX3" s="494"/>
      <c r="QMY3" s="494"/>
      <c r="QMZ3" s="494"/>
      <c r="QNA3" s="494"/>
      <c r="QNB3" s="494"/>
      <c r="QNC3" s="494"/>
      <c r="QND3" s="494"/>
      <c r="QNE3" s="494"/>
      <c r="QNF3" s="494"/>
      <c r="QNG3" s="494"/>
      <c r="QNH3" s="494"/>
      <c r="QNI3" s="494"/>
      <c r="QNJ3" s="494"/>
      <c r="QNK3" s="494"/>
      <c r="QNL3" s="494"/>
      <c r="QNM3" s="494"/>
      <c r="QNN3" s="494"/>
      <c r="QNO3" s="494"/>
      <c r="QNP3" s="494"/>
      <c r="QNQ3" s="494"/>
      <c r="QNR3" s="494"/>
      <c r="QNS3" s="494"/>
      <c r="QNT3" s="494"/>
      <c r="QNU3" s="494"/>
      <c r="QNV3" s="494"/>
      <c r="QNW3" s="494"/>
      <c r="QNX3" s="494"/>
      <c r="QNY3" s="494"/>
      <c r="QNZ3" s="494"/>
      <c r="QOA3" s="494"/>
      <c r="QOB3" s="494"/>
      <c r="QOC3" s="494"/>
      <c r="QOD3" s="494"/>
      <c r="QOE3" s="494"/>
      <c r="QOF3" s="494"/>
      <c r="QOG3" s="494"/>
      <c r="QOH3" s="494"/>
      <c r="QOI3" s="494"/>
      <c r="QOJ3" s="494"/>
      <c r="QOK3" s="494"/>
      <c r="QOL3" s="494"/>
      <c r="QOM3" s="494"/>
      <c r="QON3" s="494"/>
      <c r="QOO3" s="494"/>
      <c r="QOP3" s="494"/>
      <c r="QOQ3" s="494"/>
      <c r="QOR3" s="494"/>
      <c r="QOS3" s="494"/>
      <c r="QOT3" s="494"/>
      <c r="QOU3" s="494"/>
      <c r="QOV3" s="494"/>
      <c r="QOW3" s="494"/>
      <c r="QOX3" s="494"/>
      <c r="QOY3" s="494"/>
      <c r="QOZ3" s="494"/>
      <c r="QPA3" s="494"/>
      <c r="QPB3" s="494"/>
      <c r="QPC3" s="494"/>
      <c r="QPD3" s="494"/>
      <c r="QPE3" s="494"/>
      <c r="QPF3" s="494"/>
      <c r="QPG3" s="494"/>
      <c r="QPH3" s="494"/>
      <c r="QPI3" s="494"/>
      <c r="QPJ3" s="494"/>
      <c r="QPK3" s="494"/>
      <c r="QPL3" s="494"/>
      <c r="QPM3" s="494"/>
      <c r="QPN3" s="494"/>
      <c r="QPO3" s="494"/>
      <c r="QPP3" s="494"/>
      <c r="QPQ3" s="494"/>
      <c r="QPR3" s="494"/>
      <c r="QPS3" s="494"/>
      <c r="QPT3" s="494"/>
      <c r="QPU3" s="494"/>
      <c r="QPV3" s="494"/>
      <c r="QPW3" s="494"/>
      <c r="QPX3" s="494"/>
      <c r="QPY3" s="494"/>
      <c r="QPZ3" s="494"/>
      <c r="QQA3" s="494"/>
      <c r="QQB3" s="494"/>
      <c r="QQC3" s="494"/>
      <c r="QQD3" s="494"/>
      <c r="QQE3" s="494"/>
      <c r="QQF3" s="494"/>
      <c r="QQG3" s="494"/>
      <c r="QQH3" s="494"/>
      <c r="QQI3" s="494"/>
      <c r="QQJ3" s="494"/>
      <c r="QQK3" s="494"/>
      <c r="QQL3" s="494"/>
      <c r="QQM3" s="494"/>
      <c r="QQN3" s="494"/>
      <c r="QQO3" s="494"/>
      <c r="QQP3" s="494"/>
      <c r="QQQ3" s="494"/>
      <c r="QQR3" s="494"/>
      <c r="QQS3" s="494"/>
      <c r="QQT3" s="494"/>
      <c r="QQU3" s="494"/>
      <c r="QQV3" s="494"/>
      <c r="QQW3" s="494"/>
      <c r="QQX3" s="494"/>
      <c r="QQY3" s="494"/>
      <c r="QQZ3" s="494"/>
      <c r="QRA3" s="494"/>
      <c r="QRB3" s="494"/>
      <c r="QRC3" s="494"/>
      <c r="QRD3" s="494"/>
      <c r="QRE3" s="494"/>
      <c r="QRF3" s="494"/>
      <c r="QRG3" s="494"/>
      <c r="QRH3" s="494"/>
      <c r="QRI3" s="494"/>
      <c r="QRJ3" s="494"/>
      <c r="QRK3" s="494"/>
      <c r="QRL3" s="494"/>
      <c r="QRM3" s="494"/>
      <c r="QRN3" s="494"/>
      <c r="QRO3" s="494"/>
      <c r="QRP3" s="494"/>
      <c r="QRQ3" s="494"/>
      <c r="QRR3" s="494"/>
      <c r="QRS3" s="494"/>
      <c r="QRT3" s="494"/>
      <c r="QRU3" s="494"/>
      <c r="QRV3" s="494"/>
      <c r="QRW3" s="494"/>
      <c r="QRX3" s="494"/>
      <c r="QRY3" s="494"/>
      <c r="QRZ3" s="494"/>
      <c r="QSA3" s="494"/>
      <c r="QSB3" s="494"/>
      <c r="QSC3" s="494"/>
      <c r="QSD3" s="494"/>
      <c r="QSE3" s="494"/>
      <c r="QSF3" s="494"/>
      <c r="QSG3" s="494"/>
      <c r="QSH3" s="494"/>
      <c r="QSI3" s="494"/>
      <c r="QSJ3" s="494"/>
      <c r="QSK3" s="494"/>
      <c r="QSL3" s="494"/>
      <c r="QSM3" s="494"/>
      <c r="QSN3" s="494"/>
      <c r="QSO3" s="494"/>
      <c r="QSP3" s="494"/>
      <c r="QSQ3" s="494"/>
      <c r="QSR3" s="494"/>
      <c r="QSS3" s="494"/>
      <c r="QST3" s="494"/>
      <c r="QSU3" s="494"/>
      <c r="QSV3" s="494"/>
      <c r="QSW3" s="494"/>
      <c r="QSX3" s="494"/>
      <c r="QSY3" s="494"/>
      <c r="QSZ3" s="494"/>
      <c r="QTA3" s="494"/>
      <c r="QTB3" s="494"/>
      <c r="QTC3" s="494"/>
      <c r="QTD3" s="494"/>
      <c r="QTE3" s="494"/>
      <c r="QTF3" s="494"/>
      <c r="QTG3" s="494"/>
      <c r="QTH3" s="494"/>
      <c r="QTI3" s="494"/>
      <c r="QTJ3" s="494"/>
      <c r="QTK3" s="494"/>
      <c r="QTL3" s="494"/>
      <c r="QTM3" s="494"/>
      <c r="QTN3" s="494"/>
      <c r="QTO3" s="494"/>
      <c r="QTP3" s="494"/>
      <c r="QTQ3" s="494"/>
      <c r="QTR3" s="494"/>
      <c r="QTS3" s="494"/>
      <c r="QTT3" s="494"/>
      <c r="QTU3" s="494"/>
      <c r="QTV3" s="494"/>
      <c r="QTW3" s="494"/>
      <c r="QTX3" s="494"/>
      <c r="QTY3" s="494"/>
      <c r="QTZ3" s="494"/>
      <c r="QUA3" s="494"/>
      <c r="QUB3" s="494"/>
      <c r="QUC3" s="494"/>
      <c r="QUD3" s="494"/>
      <c r="QUE3" s="494"/>
      <c r="QUF3" s="494"/>
      <c r="QUG3" s="494"/>
      <c r="QUH3" s="494"/>
      <c r="QUI3" s="494"/>
      <c r="QUJ3" s="494"/>
      <c r="QUK3" s="494"/>
      <c r="QUL3" s="494"/>
      <c r="QUM3" s="494"/>
      <c r="QUN3" s="494"/>
      <c r="QUO3" s="494"/>
      <c r="QUP3" s="494"/>
      <c r="QUQ3" s="494"/>
      <c r="QUR3" s="494"/>
      <c r="QUS3" s="494"/>
      <c r="QUT3" s="494"/>
      <c r="QUU3" s="494"/>
      <c r="QUV3" s="494"/>
      <c r="QUW3" s="494"/>
      <c r="QUX3" s="494"/>
      <c r="QUY3" s="494"/>
      <c r="QUZ3" s="494"/>
      <c r="QVA3" s="494"/>
      <c r="QVB3" s="494"/>
      <c r="QVC3" s="494"/>
      <c r="QVD3" s="494"/>
      <c r="QVE3" s="494"/>
      <c r="QVF3" s="494"/>
      <c r="QVG3" s="494"/>
      <c r="QVH3" s="494"/>
      <c r="QVI3" s="494"/>
      <c r="QVJ3" s="494"/>
      <c r="QVK3" s="494"/>
      <c r="QVL3" s="494"/>
      <c r="QVM3" s="494"/>
      <c r="QVN3" s="494"/>
      <c r="QVO3" s="494"/>
      <c r="QVP3" s="494"/>
      <c r="QVQ3" s="494"/>
      <c r="QVR3" s="494"/>
      <c r="QVS3" s="494"/>
      <c r="QVT3" s="494"/>
      <c r="QVU3" s="494"/>
      <c r="QVV3" s="494"/>
      <c r="QVW3" s="494"/>
      <c r="QVX3" s="494"/>
      <c r="QVY3" s="494"/>
      <c r="QVZ3" s="494"/>
      <c r="QWA3" s="494"/>
      <c r="QWB3" s="494"/>
      <c r="QWC3" s="494"/>
      <c r="QWD3" s="494"/>
      <c r="QWE3" s="494"/>
      <c r="QWF3" s="494"/>
      <c r="QWG3" s="494"/>
      <c r="QWH3" s="494"/>
      <c r="QWI3" s="494"/>
      <c r="QWJ3" s="494"/>
      <c r="QWK3" s="494"/>
      <c r="QWL3" s="494"/>
      <c r="QWM3" s="494"/>
      <c r="QWN3" s="494"/>
      <c r="QWO3" s="494"/>
      <c r="QWP3" s="494"/>
      <c r="QWQ3" s="494"/>
      <c r="QWR3" s="494"/>
      <c r="QWS3" s="494"/>
      <c r="QWT3" s="494"/>
      <c r="QWU3" s="494"/>
      <c r="QWV3" s="494"/>
      <c r="QWW3" s="494"/>
      <c r="QWX3" s="494"/>
      <c r="QWY3" s="494"/>
      <c r="QWZ3" s="494"/>
      <c r="QXA3" s="494"/>
      <c r="QXB3" s="494"/>
      <c r="QXC3" s="494"/>
      <c r="QXD3" s="494"/>
      <c r="QXE3" s="494"/>
      <c r="QXF3" s="494"/>
      <c r="QXG3" s="494"/>
      <c r="QXH3" s="494"/>
      <c r="QXI3" s="494"/>
      <c r="QXJ3" s="494"/>
      <c r="QXK3" s="494"/>
      <c r="QXL3" s="494"/>
      <c r="QXM3" s="494"/>
      <c r="QXN3" s="494"/>
      <c r="QXO3" s="494"/>
      <c r="QXP3" s="494"/>
      <c r="QXQ3" s="494"/>
      <c r="QXR3" s="494"/>
      <c r="QXS3" s="494"/>
      <c r="QXT3" s="494"/>
      <c r="QXU3" s="494"/>
      <c r="QXV3" s="494"/>
      <c r="QXW3" s="494"/>
      <c r="QXX3" s="494"/>
      <c r="QXY3" s="494"/>
      <c r="QXZ3" s="494"/>
      <c r="QYA3" s="494"/>
      <c r="QYB3" s="494"/>
      <c r="QYC3" s="494"/>
      <c r="QYD3" s="494"/>
      <c r="QYE3" s="494"/>
      <c r="QYF3" s="494"/>
      <c r="QYG3" s="494"/>
      <c r="QYH3" s="494"/>
      <c r="QYI3" s="494"/>
      <c r="QYJ3" s="494"/>
      <c r="QYK3" s="494"/>
      <c r="QYL3" s="494"/>
      <c r="QYM3" s="494"/>
      <c r="QYN3" s="494"/>
      <c r="QYO3" s="494"/>
      <c r="QYP3" s="494"/>
      <c r="QYQ3" s="494"/>
      <c r="QYR3" s="494"/>
      <c r="QYS3" s="494"/>
      <c r="QYT3" s="494"/>
      <c r="QYU3" s="494"/>
      <c r="QYV3" s="494"/>
      <c r="QYW3" s="494"/>
      <c r="QYX3" s="494"/>
      <c r="QYY3" s="494"/>
      <c r="QYZ3" s="494"/>
      <c r="QZA3" s="494"/>
      <c r="QZB3" s="494"/>
      <c r="QZC3" s="494"/>
      <c r="QZD3" s="494"/>
      <c r="QZE3" s="494"/>
      <c r="QZF3" s="494"/>
      <c r="QZG3" s="494"/>
      <c r="QZH3" s="494"/>
      <c r="QZI3" s="494"/>
      <c r="QZJ3" s="494"/>
      <c r="QZK3" s="494"/>
      <c r="QZL3" s="494"/>
      <c r="QZM3" s="494"/>
      <c r="QZN3" s="494"/>
      <c r="QZO3" s="494"/>
      <c r="QZP3" s="494"/>
      <c r="QZQ3" s="494"/>
      <c r="QZR3" s="494"/>
      <c r="QZS3" s="494"/>
      <c r="QZT3" s="494"/>
      <c r="QZU3" s="494"/>
      <c r="QZV3" s="494"/>
      <c r="QZW3" s="494"/>
      <c r="QZX3" s="494"/>
      <c r="QZY3" s="494"/>
      <c r="QZZ3" s="494"/>
      <c r="RAA3" s="494"/>
      <c r="RAB3" s="494"/>
      <c r="RAC3" s="494"/>
      <c r="RAD3" s="494"/>
      <c r="RAE3" s="494"/>
      <c r="RAF3" s="494"/>
      <c r="RAG3" s="494"/>
      <c r="RAH3" s="494"/>
      <c r="RAI3" s="494"/>
      <c r="RAJ3" s="494"/>
      <c r="RAK3" s="494"/>
      <c r="RAL3" s="494"/>
      <c r="RAM3" s="494"/>
      <c r="RAN3" s="494"/>
      <c r="RAO3" s="494"/>
      <c r="RAP3" s="494"/>
      <c r="RAQ3" s="494"/>
      <c r="RAR3" s="494"/>
      <c r="RAS3" s="494"/>
      <c r="RAT3" s="494"/>
      <c r="RAU3" s="494"/>
      <c r="RAV3" s="494"/>
      <c r="RAW3" s="494"/>
      <c r="RAX3" s="494"/>
      <c r="RAY3" s="494"/>
      <c r="RAZ3" s="494"/>
      <c r="RBA3" s="494"/>
      <c r="RBB3" s="494"/>
      <c r="RBC3" s="494"/>
      <c r="RBD3" s="494"/>
      <c r="RBE3" s="494"/>
      <c r="RBF3" s="494"/>
      <c r="RBG3" s="494"/>
      <c r="RBH3" s="494"/>
      <c r="RBI3" s="494"/>
      <c r="RBJ3" s="494"/>
      <c r="RBK3" s="494"/>
      <c r="RBL3" s="494"/>
      <c r="RBM3" s="494"/>
      <c r="RBN3" s="494"/>
      <c r="RBO3" s="494"/>
      <c r="RBP3" s="494"/>
      <c r="RBQ3" s="494"/>
      <c r="RBR3" s="494"/>
      <c r="RBS3" s="494"/>
      <c r="RBT3" s="494"/>
      <c r="RBU3" s="494"/>
      <c r="RBV3" s="494"/>
      <c r="RBW3" s="494"/>
      <c r="RBX3" s="494"/>
      <c r="RBY3" s="494"/>
      <c r="RBZ3" s="494"/>
      <c r="RCA3" s="494"/>
      <c r="RCB3" s="494"/>
      <c r="RCC3" s="494"/>
      <c r="RCD3" s="494"/>
      <c r="RCE3" s="494"/>
      <c r="RCF3" s="494"/>
      <c r="RCG3" s="494"/>
      <c r="RCH3" s="494"/>
      <c r="RCI3" s="494"/>
      <c r="RCJ3" s="494"/>
      <c r="RCK3" s="494"/>
      <c r="RCL3" s="494"/>
      <c r="RCM3" s="494"/>
      <c r="RCN3" s="494"/>
      <c r="RCO3" s="494"/>
      <c r="RCP3" s="494"/>
      <c r="RCQ3" s="494"/>
      <c r="RCR3" s="494"/>
      <c r="RCS3" s="494"/>
      <c r="RCT3" s="494"/>
      <c r="RCU3" s="494"/>
      <c r="RCV3" s="494"/>
      <c r="RCW3" s="494"/>
      <c r="RCX3" s="494"/>
      <c r="RCY3" s="494"/>
      <c r="RCZ3" s="494"/>
      <c r="RDA3" s="494"/>
      <c r="RDB3" s="494"/>
      <c r="RDC3" s="494"/>
      <c r="RDD3" s="494"/>
      <c r="RDE3" s="494"/>
      <c r="RDF3" s="494"/>
      <c r="RDG3" s="494"/>
      <c r="RDH3" s="494"/>
      <c r="RDI3" s="494"/>
      <c r="RDJ3" s="494"/>
      <c r="RDK3" s="494"/>
      <c r="RDL3" s="494"/>
      <c r="RDM3" s="494"/>
      <c r="RDN3" s="494"/>
      <c r="RDO3" s="494"/>
      <c r="RDP3" s="494"/>
      <c r="RDQ3" s="494"/>
      <c r="RDR3" s="494"/>
      <c r="RDS3" s="494"/>
      <c r="RDT3" s="494"/>
      <c r="RDU3" s="494"/>
      <c r="RDV3" s="494"/>
      <c r="RDW3" s="494"/>
      <c r="RDX3" s="494"/>
      <c r="RDY3" s="494"/>
      <c r="RDZ3" s="494"/>
      <c r="REA3" s="494"/>
      <c r="REB3" s="494"/>
      <c r="REC3" s="494"/>
      <c r="RED3" s="494"/>
      <c r="REE3" s="494"/>
      <c r="REF3" s="494"/>
      <c r="REG3" s="494"/>
      <c r="REH3" s="494"/>
      <c r="REI3" s="494"/>
      <c r="REJ3" s="494"/>
      <c r="REK3" s="494"/>
      <c r="REL3" s="494"/>
      <c r="REM3" s="494"/>
      <c r="REN3" s="494"/>
      <c r="REO3" s="494"/>
      <c r="REP3" s="494"/>
      <c r="REQ3" s="494"/>
      <c r="RER3" s="494"/>
      <c r="RES3" s="494"/>
      <c r="RET3" s="494"/>
      <c r="REU3" s="494"/>
      <c r="REV3" s="494"/>
      <c r="REW3" s="494"/>
      <c r="REX3" s="494"/>
      <c r="REY3" s="494"/>
      <c r="REZ3" s="494"/>
      <c r="RFA3" s="494"/>
      <c r="RFB3" s="494"/>
      <c r="RFC3" s="494"/>
      <c r="RFD3" s="494"/>
      <c r="RFE3" s="494"/>
      <c r="RFF3" s="494"/>
      <c r="RFG3" s="494"/>
      <c r="RFH3" s="494"/>
      <c r="RFI3" s="494"/>
      <c r="RFJ3" s="494"/>
      <c r="RFK3" s="494"/>
      <c r="RFL3" s="494"/>
      <c r="RFM3" s="494"/>
      <c r="RFN3" s="494"/>
      <c r="RFO3" s="494"/>
      <c r="RFP3" s="494"/>
      <c r="RFQ3" s="494"/>
      <c r="RFR3" s="494"/>
      <c r="RFS3" s="494"/>
      <c r="RFT3" s="494"/>
      <c r="RFU3" s="494"/>
      <c r="RFV3" s="494"/>
      <c r="RFW3" s="494"/>
      <c r="RFX3" s="494"/>
      <c r="RFY3" s="494"/>
      <c r="RFZ3" s="494"/>
      <c r="RGA3" s="494"/>
      <c r="RGB3" s="494"/>
      <c r="RGC3" s="494"/>
      <c r="RGD3" s="494"/>
      <c r="RGE3" s="494"/>
      <c r="RGF3" s="494"/>
      <c r="RGG3" s="494"/>
      <c r="RGH3" s="494"/>
      <c r="RGI3" s="494"/>
      <c r="RGJ3" s="494"/>
      <c r="RGK3" s="494"/>
      <c r="RGL3" s="494"/>
      <c r="RGM3" s="494"/>
      <c r="RGN3" s="494"/>
      <c r="RGO3" s="494"/>
      <c r="RGP3" s="494"/>
      <c r="RGQ3" s="494"/>
      <c r="RGR3" s="494"/>
      <c r="RGS3" s="494"/>
      <c r="RGT3" s="494"/>
      <c r="RGU3" s="494"/>
      <c r="RGV3" s="494"/>
      <c r="RGW3" s="494"/>
      <c r="RGX3" s="494"/>
      <c r="RGY3" s="494"/>
      <c r="RGZ3" s="494"/>
      <c r="RHA3" s="494"/>
      <c r="RHB3" s="494"/>
      <c r="RHC3" s="494"/>
      <c r="RHD3" s="494"/>
      <c r="RHE3" s="494"/>
      <c r="RHF3" s="494"/>
      <c r="RHG3" s="494"/>
      <c r="RHH3" s="494"/>
      <c r="RHI3" s="494"/>
      <c r="RHJ3" s="494"/>
      <c r="RHK3" s="494"/>
      <c r="RHL3" s="494"/>
      <c r="RHM3" s="494"/>
      <c r="RHN3" s="494"/>
      <c r="RHO3" s="494"/>
      <c r="RHP3" s="494"/>
      <c r="RHQ3" s="494"/>
      <c r="RHR3" s="494"/>
      <c r="RHS3" s="494"/>
      <c r="RHT3" s="494"/>
      <c r="RHU3" s="494"/>
      <c r="RHV3" s="494"/>
      <c r="RHW3" s="494"/>
      <c r="RHX3" s="494"/>
      <c r="RHY3" s="494"/>
      <c r="RHZ3" s="494"/>
      <c r="RIA3" s="494"/>
      <c r="RIB3" s="494"/>
      <c r="RIC3" s="494"/>
      <c r="RID3" s="494"/>
      <c r="RIE3" s="494"/>
      <c r="RIF3" s="494"/>
      <c r="RIG3" s="494"/>
      <c r="RIH3" s="494"/>
      <c r="RII3" s="494"/>
      <c r="RIJ3" s="494"/>
      <c r="RIK3" s="494"/>
      <c r="RIL3" s="494"/>
      <c r="RIM3" s="494"/>
      <c r="RIN3" s="494"/>
      <c r="RIO3" s="494"/>
      <c r="RIP3" s="494"/>
      <c r="RIQ3" s="494"/>
      <c r="RIR3" s="494"/>
      <c r="RIS3" s="494"/>
      <c r="RIT3" s="494"/>
      <c r="RIU3" s="494"/>
      <c r="RIV3" s="494"/>
      <c r="RIW3" s="494"/>
      <c r="RIX3" s="494"/>
      <c r="RIY3" s="494"/>
      <c r="RIZ3" s="494"/>
      <c r="RJA3" s="494"/>
      <c r="RJB3" s="494"/>
      <c r="RJC3" s="494"/>
      <c r="RJD3" s="494"/>
      <c r="RJE3" s="494"/>
      <c r="RJF3" s="494"/>
      <c r="RJG3" s="494"/>
      <c r="RJH3" s="494"/>
      <c r="RJI3" s="494"/>
      <c r="RJJ3" s="494"/>
      <c r="RJK3" s="494"/>
      <c r="RJL3" s="494"/>
      <c r="RJM3" s="494"/>
      <c r="RJN3" s="494"/>
      <c r="RJO3" s="494"/>
      <c r="RJP3" s="494"/>
      <c r="RJQ3" s="494"/>
      <c r="RJR3" s="494"/>
      <c r="RJS3" s="494"/>
      <c r="RJT3" s="494"/>
      <c r="RJU3" s="494"/>
      <c r="RJV3" s="494"/>
      <c r="RJW3" s="494"/>
      <c r="RJX3" s="494"/>
      <c r="RJY3" s="494"/>
      <c r="RJZ3" s="494"/>
      <c r="RKA3" s="494"/>
      <c r="RKB3" s="494"/>
      <c r="RKC3" s="494"/>
      <c r="RKD3" s="494"/>
      <c r="RKE3" s="494"/>
      <c r="RKF3" s="494"/>
      <c r="RKG3" s="494"/>
      <c r="RKH3" s="494"/>
      <c r="RKI3" s="494"/>
      <c r="RKJ3" s="494"/>
      <c r="RKK3" s="494"/>
      <c r="RKL3" s="494"/>
      <c r="RKM3" s="494"/>
      <c r="RKN3" s="494"/>
      <c r="RKO3" s="494"/>
      <c r="RKP3" s="494"/>
      <c r="RKQ3" s="494"/>
      <c r="RKR3" s="494"/>
      <c r="RKS3" s="494"/>
      <c r="RKT3" s="494"/>
      <c r="RKU3" s="494"/>
      <c r="RKV3" s="494"/>
      <c r="RKW3" s="494"/>
      <c r="RKX3" s="494"/>
      <c r="RKY3" s="494"/>
      <c r="RKZ3" s="494"/>
      <c r="RLA3" s="494"/>
      <c r="RLB3" s="494"/>
      <c r="RLC3" s="494"/>
      <c r="RLD3" s="494"/>
      <c r="RLE3" s="494"/>
      <c r="RLF3" s="494"/>
      <c r="RLG3" s="494"/>
      <c r="RLH3" s="494"/>
      <c r="RLI3" s="494"/>
      <c r="RLJ3" s="494"/>
      <c r="RLK3" s="494"/>
      <c r="RLL3" s="494"/>
      <c r="RLM3" s="494"/>
      <c r="RLN3" s="494"/>
      <c r="RLO3" s="494"/>
      <c r="RLP3" s="494"/>
      <c r="RLQ3" s="494"/>
      <c r="RLR3" s="494"/>
      <c r="RLS3" s="494"/>
      <c r="RLT3" s="494"/>
      <c r="RLU3" s="494"/>
      <c r="RLV3" s="494"/>
      <c r="RLW3" s="494"/>
      <c r="RLX3" s="494"/>
      <c r="RLY3" s="494"/>
      <c r="RLZ3" s="494"/>
      <c r="RMA3" s="494"/>
      <c r="RMB3" s="494"/>
      <c r="RMC3" s="494"/>
      <c r="RMD3" s="494"/>
      <c r="RME3" s="494"/>
      <c r="RMF3" s="494"/>
      <c r="RMG3" s="494"/>
      <c r="RMH3" s="494"/>
      <c r="RMI3" s="494"/>
      <c r="RMJ3" s="494"/>
      <c r="RMK3" s="494"/>
      <c r="RML3" s="494"/>
      <c r="RMM3" s="494"/>
      <c r="RMN3" s="494"/>
      <c r="RMO3" s="494"/>
      <c r="RMP3" s="494"/>
      <c r="RMQ3" s="494"/>
      <c r="RMR3" s="494"/>
      <c r="RMS3" s="494"/>
      <c r="RMT3" s="494"/>
      <c r="RMU3" s="494"/>
      <c r="RMV3" s="494"/>
      <c r="RMW3" s="494"/>
      <c r="RMX3" s="494"/>
      <c r="RMY3" s="494"/>
      <c r="RMZ3" s="494"/>
      <c r="RNA3" s="494"/>
      <c r="RNB3" s="494"/>
      <c r="RNC3" s="494"/>
      <c r="RND3" s="494"/>
      <c r="RNE3" s="494"/>
      <c r="RNF3" s="494"/>
      <c r="RNG3" s="494"/>
      <c r="RNH3" s="494"/>
      <c r="RNI3" s="494"/>
      <c r="RNJ3" s="494"/>
      <c r="RNK3" s="494"/>
      <c r="RNL3" s="494"/>
      <c r="RNM3" s="494"/>
      <c r="RNN3" s="494"/>
      <c r="RNO3" s="494"/>
      <c r="RNP3" s="494"/>
      <c r="RNQ3" s="494"/>
      <c r="RNR3" s="494"/>
      <c r="RNS3" s="494"/>
      <c r="RNT3" s="494"/>
      <c r="RNU3" s="494"/>
      <c r="RNV3" s="494"/>
      <c r="RNW3" s="494"/>
      <c r="RNX3" s="494"/>
      <c r="RNY3" s="494"/>
      <c r="RNZ3" s="494"/>
      <c r="ROA3" s="494"/>
      <c r="ROB3" s="494"/>
      <c r="ROC3" s="494"/>
      <c r="ROD3" s="494"/>
      <c r="ROE3" s="494"/>
      <c r="ROF3" s="494"/>
      <c r="ROG3" s="494"/>
      <c r="ROH3" s="494"/>
      <c r="ROI3" s="494"/>
      <c r="ROJ3" s="494"/>
      <c r="ROK3" s="494"/>
      <c r="ROL3" s="494"/>
      <c r="ROM3" s="494"/>
      <c r="RON3" s="494"/>
      <c r="ROO3" s="494"/>
      <c r="ROP3" s="494"/>
      <c r="ROQ3" s="494"/>
      <c r="ROR3" s="494"/>
      <c r="ROS3" s="494"/>
      <c r="ROT3" s="494"/>
      <c r="ROU3" s="494"/>
      <c r="ROV3" s="494"/>
      <c r="ROW3" s="494"/>
      <c r="ROX3" s="494"/>
      <c r="ROY3" s="494"/>
      <c r="ROZ3" s="494"/>
      <c r="RPA3" s="494"/>
      <c r="RPB3" s="494"/>
      <c r="RPC3" s="494"/>
      <c r="RPD3" s="494"/>
      <c r="RPE3" s="494"/>
      <c r="RPF3" s="494"/>
      <c r="RPG3" s="494"/>
      <c r="RPH3" s="494"/>
      <c r="RPI3" s="494"/>
      <c r="RPJ3" s="494"/>
      <c r="RPK3" s="494"/>
      <c r="RPL3" s="494"/>
      <c r="RPM3" s="494"/>
      <c r="RPN3" s="494"/>
      <c r="RPO3" s="494"/>
      <c r="RPP3" s="494"/>
      <c r="RPQ3" s="494"/>
      <c r="RPR3" s="494"/>
      <c r="RPS3" s="494"/>
      <c r="RPT3" s="494"/>
      <c r="RPU3" s="494"/>
      <c r="RPV3" s="494"/>
      <c r="RPW3" s="494"/>
      <c r="RPX3" s="494"/>
      <c r="RPY3" s="494"/>
      <c r="RPZ3" s="494"/>
      <c r="RQA3" s="494"/>
      <c r="RQB3" s="494"/>
      <c r="RQC3" s="494"/>
      <c r="RQD3" s="494"/>
      <c r="RQE3" s="494"/>
      <c r="RQF3" s="494"/>
      <c r="RQG3" s="494"/>
      <c r="RQH3" s="494"/>
      <c r="RQI3" s="494"/>
      <c r="RQJ3" s="494"/>
      <c r="RQK3" s="494"/>
      <c r="RQL3" s="494"/>
      <c r="RQM3" s="494"/>
      <c r="RQN3" s="494"/>
      <c r="RQO3" s="494"/>
      <c r="RQP3" s="494"/>
      <c r="RQQ3" s="494"/>
      <c r="RQR3" s="494"/>
      <c r="RQS3" s="494"/>
      <c r="RQT3" s="494"/>
      <c r="RQU3" s="494"/>
      <c r="RQV3" s="494"/>
      <c r="RQW3" s="494"/>
      <c r="RQX3" s="494"/>
      <c r="RQY3" s="494"/>
      <c r="RQZ3" s="494"/>
      <c r="RRA3" s="494"/>
      <c r="RRB3" s="494"/>
      <c r="RRC3" s="494"/>
      <c r="RRD3" s="494"/>
      <c r="RRE3" s="494"/>
      <c r="RRF3" s="494"/>
      <c r="RRG3" s="494"/>
      <c r="RRH3" s="494"/>
      <c r="RRI3" s="494"/>
      <c r="RRJ3" s="494"/>
      <c r="RRK3" s="494"/>
      <c r="RRL3" s="494"/>
      <c r="RRM3" s="494"/>
      <c r="RRN3" s="494"/>
      <c r="RRO3" s="494"/>
      <c r="RRP3" s="494"/>
      <c r="RRQ3" s="494"/>
      <c r="RRR3" s="494"/>
      <c r="RRS3" s="494"/>
      <c r="RRT3" s="494"/>
      <c r="RRU3" s="494"/>
      <c r="RRV3" s="494"/>
      <c r="RRW3" s="494"/>
      <c r="RRX3" s="494"/>
      <c r="RRY3" s="494"/>
      <c r="RRZ3" s="494"/>
      <c r="RSA3" s="494"/>
      <c r="RSB3" s="494"/>
      <c r="RSC3" s="494"/>
      <c r="RSD3" s="494"/>
      <c r="RSE3" s="494"/>
      <c r="RSF3" s="494"/>
      <c r="RSG3" s="494"/>
      <c r="RSH3" s="494"/>
      <c r="RSI3" s="494"/>
      <c r="RSJ3" s="494"/>
      <c r="RSK3" s="494"/>
      <c r="RSL3" s="494"/>
      <c r="RSM3" s="494"/>
      <c r="RSN3" s="494"/>
      <c r="RSO3" s="494"/>
      <c r="RSP3" s="494"/>
      <c r="RSQ3" s="494"/>
      <c r="RSR3" s="494"/>
      <c r="RSS3" s="494"/>
      <c r="RST3" s="494"/>
      <c r="RSU3" s="494"/>
      <c r="RSV3" s="494"/>
      <c r="RSW3" s="494"/>
      <c r="RSX3" s="494"/>
      <c r="RSY3" s="494"/>
      <c r="RSZ3" s="494"/>
      <c r="RTA3" s="494"/>
      <c r="RTB3" s="494"/>
      <c r="RTC3" s="494"/>
      <c r="RTD3" s="494"/>
      <c r="RTE3" s="494"/>
      <c r="RTF3" s="494"/>
      <c r="RTG3" s="494"/>
      <c r="RTH3" s="494"/>
      <c r="RTI3" s="494"/>
      <c r="RTJ3" s="494"/>
      <c r="RTK3" s="494"/>
      <c r="RTL3" s="494"/>
      <c r="RTM3" s="494"/>
      <c r="RTN3" s="494"/>
      <c r="RTO3" s="494"/>
      <c r="RTP3" s="494"/>
      <c r="RTQ3" s="494"/>
      <c r="RTR3" s="494"/>
      <c r="RTS3" s="494"/>
      <c r="RTT3" s="494"/>
      <c r="RTU3" s="494"/>
      <c r="RTV3" s="494"/>
      <c r="RTW3" s="494"/>
      <c r="RTX3" s="494"/>
      <c r="RTY3" s="494"/>
      <c r="RTZ3" s="494"/>
      <c r="RUA3" s="494"/>
      <c r="RUB3" s="494"/>
      <c r="RUC3" s="494"/>
      <c r="RUD3" s="494"/>
      <c r="RUE3" s="494"/>
      <c r="RUF3" s="494"/>
      <c r="RUG3" s="494"/>
      <c r="RUH3" s="494"/>
      <c r="RUI3" s="494"/>
      <c r="RUJ3" s="494"/>
      <c r="RUK3" s="494"/>
      <c r="RUL3" s="494"/>
      <c r="RUM3" s="494"/>
      <c r="RUN3" s="494"/>
      <c r="RUO3" s="494"/>
      <c r="RUP3" s="494"/>
      <c r="RUQ3" s="494"/>
      <c r="RUR3" s="494"/>
      <c r="RUS3" s="494"/>
      <c r="RUT3" s="494"/>
      <c r="RUU3" s="494"/>
      <c r="RUV3" s="494"/>
      <c r="RUW3" s="494"/>
      <c r="RUX3" s="494"/>
      <c r="RUY3" s="494"/>
      <c r="RUZ3" s="494"/>
      <c r="RVA3" s="494"/>
      <c r="RVB3" s="494"/>
      <c r="RVC3" s="494"/>
      <c r="RVD3" s="494"/>
      <c r="RVE3" s="494"/>
      <c r="RVF3" s="494"/>
      <c r="RVG3" s="494"/>
      <c r="RVH3" s="494"/>
      <c r="RVI3" s="494"/>
      <c r="RVJ3" s="494"/>
      <c r="RVK3" s="494"/>
      <c r="RVL3" s="494"/>
      <c r="RVM3" s="494"/>
      <c r="RVN3" s="494"/>
      <c r="RVO3" s="494"/>
      <c r="RVP3" s="494"/>
      <c r="RVQ3" s="494"/>
      <c r="RVR3" s="494"/>
      <c r="RVS3" s="494"/>
      <c r="RVT3" s="494"/>
      <c r="RVU3" s="494"/>
      <c r="RVV3" s="494"/>
      <c r="RVW3" s="494"/>
      <c r="RVX3" s="494"/>
      <c r="RVY3" s="494"/>
      <c r="RVZ3" s="494"/>
      <c r="RWA3" s="494"/>
      <c r="RWB3" s="494"/>
      <c r="RWC3" s="494"/>
      <c r="RWD3" s="494"/>
      <c r="RWE3" s="494"/>
      <c r="RWF3" s="494"/>
      <c r="RWG3" s="494"/>
      <c r="RWH3" s="494"/>
      <c r="RWI3" s="494"/>
      <c r="RWJ3" s="494"/>
      <c r="RWK3" s="494"/>
      <c r="RWL3" s="494"/>
      <c r="RWM3" s="494"/>
      <c r="RWN3" s="494"/>
      <c r="RWO3" s="494"/>
      <c r="RWP3" s="494"/>
      <c r="RWQ3" s="494"/>
      <c r="RWR3" s="494"/>
      <c r="RWS3" s="494"/>
      <c r="RWT3" s="494"/>
      <c r="RWU3" s="494"/>
      <c r="RWV3" s="494"/>
      <c r="RWW3" s="494"/>
      <c r="RWX3" s="494"/>
      <c r="RWY3" s="494"/>
      <c r="RWZ3" s="494"/>
      <c r="RXA3" s="494"/>
      <c r="RXB3" s="494"/>
      <c r="RXC3" s="494"/>
      <c r="RXD3" s="494"/>
      <c r="RXE3" s="494"/>
      <c r="RXF3" s="494"/>
      <c r="RXG3" s="494"/>
      <c r="RXH3" s="494"/>
      <c r="RXI3" s="494"/>
      <c r="RXJ3" s="494"/>
      <c r="RXK3" s="494"/>
      <c r="RXL3" s="494"/>
      <c r="RXM3" s="494"/>
      <c r="RXN3" s="494"/>
      <c r="RXO3" s="494"/>
      <c r="RXP3" s="494"/>
      <c r="RXQ3" s="494"/>
      <c r="RXR3" s="494"/>
      <c r="RXS3" s="494"/>
      <c r="RXT3" s="494"/>
      <c r="RXU3" s="494"/>
      <c r="RXV3" s="494"/>
      <c r="RXW3" s="494"/>
      <c r="RXX3" s="494"/>
      <c r="RXY3" s="494"/>
      <c r="RXZ3" s="494"/>
      <c r="RYA3" s="494"/>
      <c r="RYB3" s="494"/>
      <c r="RYC3" s="494"/>
      <c r="RYD3" s="494"/>
      <c r="RYE3" s="494"/>
      <c r="RYF3" s="494"/>
      <c r="RYG3" s="494"/>
      <c r="RYH3" s="494"/>
      <c r="RYI3" s="494"/>
      <c r="RYJ3" s="494"/>
      <c r="RYK3" s="494"/>
      <c r="RYL3" s="494"/>
      <c r="RYM3" s="494"/>
      <c r="RYN3" s="494"/>
      <c r="RYO3" s="494"/>
      <c r="RYP3" s="494"/>
      <c r="RYQ3" s="494"/>
      <c r="RYR3" s="494"/>
      <c r="RYS3" s="494"/>
      <c r="RYT3" s="494"/>
      <c r="RYU3" s="494"/>
      <c r="RYV3" s="494"/>
      <c r="RYW3" s="494"/>
      <c r="RYX3" s="494"/>
      <c r="RYY3" s="494"/>
      <c r="RYZ3" s="494"/>
      <c r="RZA3" s="494"/>
      <c r="RZB3" s="494"/>
      <c r="RZC3" s="494"/>
      <c r="RZD3" s="494"/>
      <c r="RZE3" s="494"/>
      <c r="RZF3" s="494"/>
      <c r="RZG3" s="494"/>
      <c r="RZH3" s="494"/>
      <c r="RZI3" s="494"/>
      <c r="RZJ3" s="494"/>
      <c r="RZK3" s="494"/>
      <c r="RZL3" s="494"/>
      <c r="RZM3" s="494"/>
      <c r="RZN3" s="494"/>
      <c r="RZO3" s="494"/>
      <c r="RZP3" s="494"/>
      <c r="RZQ3" s="494"/>
      <c r="RZR3" s="494"/>
      <c r="RZS3" s="494"/>
      <c r="RZT3" s="494"/>
      <c r="RZU3" s="494"/>
      <c r="RZV3" s="494"/>
      <c r="RZW3" s="494"/>
      <c r="RZX3" s="494"/>
      <c r="RZY3" s="494"/>
      <c r="RZZ3" s="494"/>
      <c r="SAA3" s="494"/>
      <c r="SAB3" s="494"/>
      <c r="SAC3" s="494"/>
      <c r="SAD3" s="494"/>
      <c r="SAE3" s="494"/>
      <c r="SAF3" s="494"/>
      <c r="SAG3" s="494"/>
      <c r="SAH3" s="494"/>
      <c r="SAI3" s="494"/>
      <c r="SAJ3" s="494"/>
      <c r="SAK3" s="494"/>
      <c r="SAL3" s="494"/>
      <c r="SAM3" s="494"/>
      <c r="SAN3" s="494"/>
      <c r="SAO3" s="494"/>
      <c r="SAP3" s="494"/>
      <c r="SAQ3" s="494"/>
      <c r="SAR3" s="494"/>
      <c r="SAS3" s="494"/>
      <c r="SAT3" s="494"/>
      <c r="SAU3" s="494"/>
      <c r="SAV3" s="494"/>
      <c r="SAW3" s="494"/>
      <c r="SAX3" s="494"/>
      <c r="SAY3" s="494"/>
      <c r="SAZ3" s="494"/>
      <c r="SBA3" s="494"/>
      <c r="SBB3" s="494"/>
      <c r="SBC3" s="494"/>
      <c r="SBD3" s="494"/>
      <c r="SBE3" s="494"/>
      <c r="SBF3" s="494"/>
      <c r="SBG3" s="494"/>
      <c r="SBH3" s="494"/>
      <c r="SBI3" s="494"/>
      <c r="SBJ3" s="494"/>
      <c r="SBK3" s="494"/>
      <c r="SBL3" s="494"/>
      <c r="SBM3" s="494"/>
      <c r="SBN3" s="494"/>
      <c r="SBO3" s="494"/>
      <c r="SBP3" s="494"/>
      <c r="SBQ3" s="494"/>
      <c r="SBR3" s="494"/>
      <c r="SBS3" s="494"/>
      <c r="SBT3" s="494"/>
      <c r="SBU3" s="494"/>
      <c r="SBV3" s="494"/>
      <c r="SBW3" s="494"/>
      <c r="SBX3" s="494"/>
      <c r="SBY3" s="494"/>
      <c r="SBZ3" s="494"/>
      <c r="SCA3" s="494"/>
      <c r="SCB3" s="494"/>
      <c r="SCC3" s="494"/>
      <c r="SCD3" s="494"/>
      <c r="SCE3" s="494"/>
      <c r="SCF3" s="494"/>
      <c r="SCG3" s="494"/>
      <c r="SCH3" s="494"/>
      <c r="SCI3" s="494"/>
      <c r="SCJ3" s="494"/>
      <c r="SCK3" s="494"/>
      <c r="SCL3" s="494"/>
      <c r="SCM3" s="494"/>
      <c r="SCN3" s="494"/>
      <c r="SCO3" s="494"/>
      <c r="SCP3" s="494"/>
      <c r="SCQ3" s="494"/>
      <c r="SCR3" s="494"/>
      <c r="SCS3" s="494"/>
      <c r="SCT3" s="494"/>
      <c r="SCU3" s="494"/>
      <c r="SCV3" s="494"/>
      <c r="SCW3" s="494"/>
      <c r="SCX3" s="494"/>
      <c r="SCY3" s="494"/>
      <c r="SCZ3" s="494"/>
      <c r="SDA3" s="494"/>
      <c r="SDB3" s="494"/>
      <c r="SDC3" s="494"/>
      <c r="SDD3" s="494"/>
      <c r="SDE3" s="494"/>
      <c r="SDF3" s="494"/>
      <c r="SDG3" s="494"/>
      <c r="SDH3" s="494"/>
      <c r="SDI3" s="494"/>
      <c r="SDJ3" s="494"/>
      <c r="SDK3" s="494"/>
      <c r="SDL3" s="494"/>
      <c r="SDM3" s="494"/>
      <c r="SDN3" s="494"/>
      <c r="SDO3" s="494"/>
      <c r="SDP3" s="494"/>
      <c r="SDQ3" s="494"/>
      <c r="SDR3" s="494"/>
      <c r="SDS3" s="494"/>
      <c r="SDT3" s="494"/>
      <c r="SDU3" s="494"/>
      <c r="SDV3" s="494"/>
      <c r="SDW3" s="494"/>
      <c r="SDX3" s="494"/>
      <c r="SDY3" s="494"/>
      <c r="SDZ3" s="494"/>
      <c r="SEA3" s="494"/>
      <c r="SEB3" s="494"/>
      <c r="SEC3" s="494"/>
      <c r="SED3" s="494"/>
      <c r="SEE3" s="494"/>
      <c r="SEF3" s="494"/>
      <c r="SEG3" s="494"/>
      <c r="SEH3" s="494"/>
      <c r="SEI3" s="494"/>
      <c r="SEJ3" s="494"/>
      <c r="SEK3" s="494"/>
      <c r="SEL3" s="494"/>
      <c r="SEM3" s="494"/>
      <c r="SEN3" s="494"/>
      <c r="SEO3" s="494"/>
      <c r="SEP3" s="494"/>
      <c r="SEQ3" s="494"/>
      <c r="SER3" s="494"/>
      <c r="SES3" s="494"/>
      <c r="SET3" s="494"/>
      <c r="SEU3" s="494"/>
      <c r="SEV3" s="494"/>
      <c r="SEW3" s="494"/>
      <c r="SEX3" s="494"/>
      <c r="SEY3" s="494"/>
      <c r="SEZ3" s="494"/>
      <c r="SFA3" s="494"/>
      <c r="SFB3" s="494"/>
      <c r="SFC3" s="494"/>
      <c r="SFD3" s="494"/>
      <c r="SFE3" s="494"/>
      <c r="SFF3" s="494"/>
      <c r="SFG3" s="494"/>
      <c r="SFH3" s="494"/>
      <c r="SFI3" s="494"/>
      <c r="SFJ3" s="494"/>
      <c r="SFK3" s="494"/>
      <c r="SFL3" s="494"/>
      <c r="SFM3" s="494"/>
      <c r="SFN3" s="494"/>
      <c r="SFO3" s="494"/>
      <c r="SFP3" s="494"/>
      <c r="SFQ3" s="494"/>
      <c r="SFR3" s="494"/>
      <c r="SFS3" s="494"/>
      <c r="SFT3" s="494"/>
      <c r="SFU3" s="494"/>
      <c r="SFV3" s="494"/>
      <c r="SFW3" s="494"/>
      <c r="SFX3" s="494"/>
      <c r="SFY3" s="494"/>
      <c r="SFZ3" s="494"/>
      <c r="SGA3" s="494"/>
      <c r="SGB3" s="494"/>
      <c r="SGC3" s="494"/>
      <c r="SGD3" s="494"/>
      <c r="SGE3" s="494"/>
      <c r="SGF3" s="494"/>
      <c r="SGG3" s="494"/>
      <c r="SGH3" s="494"/>
      <c r="SGI3" s="494"/>
      <c r="SGJ3" s="494"/>
      <c r="SGK3" s="494"/>
      <c r="SGL3" s="494"/>
      <c r="SGM3" s="494"/>
      <c r="SGN3" s="494"/>
      <c r="SGO3" s="494"/>
      <c r="SGP3" s="494"/>
      <c r="SGQ3" s="494"/>
      <c r="SGR3" s="494"/>
      <c r="SGS3" s="494"/>
      <c r="SGT3" s="494"/>
      <c r="SGU3" s="494"/>
      <c r="SGV3" s="494"/>
      <c r="SGW3" s="494"/>
      <c r="SGX3" s="494"/>
      <c r="SGY3" s="494"/>
      <c r="SGZ3" s="494"/>
      <c r="SHA3" s="494"/>
      <c r="SHB3" s="494"/>
      <c r="SHC3" s="494"/>
      <c r="SHD3" s="494"/>
      <c r="SHE3" s="494"/>
      <c r="SHF3" s="494"/>
      <c r="SHG3" s="494"/>
      <c r="SHH3" s="494"/>
      <c r="SHI3" s="494"/>
      <c r="SHJ3" s="494"/>
      <c r="SHK3" s="494"/>
      <c r="SHL3" s="494"/>
      <c r="SHM3" s="494"/>
      <c r="SHN3" s="494"/>
      <c r="SHO3" s="494"/>
      <c r="SHP3" s="494"/>
      <c r="SHQ3" s="494"/>
      <c r="SHR3" s="494"/>
      <c r="SHS3" s="494"/>
      <c r="SHT3" s="494"/>
      <c r="SHU3" s="494"/>
      <c r="SHV3" s="494"/>
      <c r="SHW3" s="494"/>
      <c r="SHX3" s="494"/>
      <c r="SHY3" s="494"/>
      <c r="SHZ3" s="494"/>
      <c r="SIA3" s="494"/>
      <c r="SIB3" s="494"/>
      <c r="SIC3" s="494"/>
      <c r="SID3" s="494"/>
      <c r="SIE3" s="494"/>
      <c r="SIF3" s="494"/>
      <c r="SIG3" s="494"/>
      <c r="SIH3" s="494"/>
      <c r="SII3" s="494"/>
      <c r="SIJ3" s="494"/>
      <c r="SIK3" s="494"/>
      <c r="SIL3" s="494"/>
      <c r="SIM3" s="494"/>
      <c r="SIN3" s="494"/>
      <c r="SIO3" s="494"/>
      <c r="SIP3" s="494"/>
      <c r="SIQ3" s="494"/>
      <c r="SIR3" s="494"/>
      <c r="SIS3" s="494"/>
      <c r="SIT3" s="494"/>
      <c r="SIU3" s="494"/>
      <c r="SIV3" s="494"/>
      <c r="SIW3" s="494"/>
      <c r="SIX3" s="494"/>
      <c r="SIY3" s="494"/>
      <c r="SIZ3" s="494"/>
      <c r="SJA3" s="494"/>
      <c r="SJB3" s="494"/>
      <c r="SJC3" s="494"/>
      <c r="SJD3" s="494"/>
      <c r="SJE3" s="494"/>
      <c r="SJF3" s="494"/>
      <c r="SJG3" s="494"/>
      <c r="SJH3" s="494"/>
      <c r="SJI3" s="494"/>
      <c r="SJJ3" s="494"/>
      <c r="SJK3" s="494"/>
      <c r="SJL3" s="494"/>
      <c r="SJM3" s="494"/>
      <c r="SJN3" s="494"/>
      <c r="SJO3" s="494"/>
      <c r="SJP3" s="494"/>
      <c r="SJQ3" s="494"/>
      <c r="SJR3" s="494"/>
      <c r="SJS3" s="494"/>
      <c r="SJT3" s="494"/>
      <c r="SJU3" s="494"/>
      <c r="SJV3" s="494"/>
      <c r="SJW3" s="494"/>
      <c r="SJX3" s="494"/>
      <c r="SJY3" s="494"/>
      <c r="SJZ3" s="494"/>
      <c r="SKA3" s="494"/>
      <c r="SKB3" s="494"/>
      <c r="SKC3" s="494"/>
      <c r="SKD3" s="494"/>
      <c r="SKE3" s="494"/>
      <c r="SKF3" s="494"/>
      <c r="SKG3" s="494"/>
      <c r="SKH3" s="494"/>
      <c r="SKI3" s="494"/>
      <c r="SKJ3" s="494"/>
      <c r="SKK3" s="494"/>
      <c r="SKL3" s="494"/>
      <c r="SKM3" s="494"/>
      <c r="SKN3" s="494"/>
      <c r="SKO3" s="494"/>
      <c r="SKP3" s="494"/>
      <c r="SKQ3" s="494"/>
      <c r="SKR3" s="494"/>
      <c r="SKS3" s="494"/>
      <c r="SKT3" s="494"/>
      <c r="SKU3" s="494"/>
      <c r="SKV3" s="494"/>
      <c r="SKW3" s="494"/>
      <c r="SKX3" s="494"/>
      <c r="SKY3" s="494"/>
      <c r="SKZ3" s="494"/>
      <c r="SLA3" s="494"/>
      <c r="SLB3" s="494"/>
      <c r="SLC3" s="494"/>
      <c r="SLD3" s="494"/>
      <c r="SLE3" s="494"/>
      <c r="SLF3" s="494"/>
      <c r="SLG3" s="494"/>
      <c r="SLH3" s="494"/>
      <c r="SLI3" s="494"/>
      <c r="SLJ3" s="494"/>
      <c r="SLK3" s="494"/>
      <c r="SLL3" s="494"/>
      <c r="SLM3" s="494"/>
      <c r="SLN3" s="494"/>
      <c r="SLO3" s="494"/>
      <c r="SLP3" s="494"/>
      <c r="SLQ3" s="494"/>
      <c r="SLR3" s="494"/>
      <c r="SLS3" s="494"/>
      <c r="SLT3" s="494"/>
      <c r="SLU3" s="494"/>
      <c r="SLV3" s="494"/>
      <c r="SLW3" s="494"/>
      <c r="SLX3" s="494"/>
      <c r="SLY3" s="494"/>
      <c r="SLZ3" s="494"/>
      <c r="SMA3" s="494"/>
      <c r="SMB3" s="494"/>
      <c r="SMC3" s="494"/>
      <c r="SMD3" s="494"/>
      <c r="SME3" s="494"/>
      <c r="SMF3" s="494"/>
      <c r="SMG3" s="494"/>
      <c r="SMH3" s="494"/>
      <c r="SMI3" s="494"/>
      <c r="SMJ3" s="494"/>
      <c r="SMK3" s="494"/>
      <c r="SML3" s="494"/>
      <c r="SMM3" s="494"/>
      <c r="SMN3" s="494"/>
      <c r="SMO3" s="494"/>
      <c r="SMP3" s="494"/>
      <c r="SMQ3" s="494"/>
      <c r="SMR3" s="494"/>
      <c r="SMS3" s="494"/>
      <c r="SMT3" s="494"/>
      <c r="SMU3" s="494"/>
      <c r="SMV3" s="494"/>
      <c r="SMW3" s="494"/>
      <c r="SMX3" s="494"/>
      <c r="SMY3" s="494"/>
      <c r="SMZ3" s="494"/>
      <c r="SNA3" s="494"/>
      <c r="SNB3" s="494"/>
      <c r="SNC3" s="494"/>
      <c r="SND3" s="494"/>
      <c r="SNE3" s="494"/>
      <c r="SNF3" s="494"/>
      <c r="SNG3" s="494"/>
      <c r="SNH3" s="494"/>
      <c r="SNI3" s="494"/>
      <c r="SNJ3" s="494"/>
      <c r="SNK3" s="494"/>
      <c r="SNL3" s="494"/>
      <c r="SNM3" s="494"/>
      <c r="SNN3" s="494"/>
      <c r="SNO3" s="494"/>
      <c r="SNP3" s="494"/>
      <c r="SNQ3" s="494"/>
      <c r="SNR3" s="494"/>
      <c r="SNS3" s="494"/>
      <c r="SNT3" s="494"/>
      <c r="SNU3" s="494"/>
      <c r="SNV3" s="494"/>
      <c r="SNW3" s="494"/>
      <c r="SNX3" s="494"/>
      <c r="SNY3" s="494"/>
      <c r="SNZ3" s="494"/>
      <c r="SOA3" s="494"/>
      <c r="SOB3" s="494"/>
      <c r="SOC3" s="494"/>
      <c r="SOD3" s="494"/>
      <c r="SOE3" s="494"/>
      <c r="SOF3" s="494"/>
      <c r="SOG3" s="494"/>
      <c r="SOH3" s="494"/>
      <c r="SOI3" s="494"/>
      <c r="SOJ3" s="494"/>
      <c r="SOK3" s="494"/>
      <c r="SOL3" s="494"/>
      <c r="SOM3" s="494"/>
      <c r="SON3" s="494"/>
      <c r="SOO3" s="494"/>
      <c r="SOP3" s="494"/>
      <c r="SOQ3" s="494"/>
      <c r="SOR3" s="494"/>
      <c r="SOS3" s="494"/>
      <c r="SOT3" s="494"/>
      <c r="SOU3" s="494"/>
      <c r="SOV3" s="494"/>
      <c r="SOW3" s="494"/>
      <c r="SOX3" s="494"/>
      <c r="SOY3" s="494"/>
      <c r="SOZ3" s="494"/>
      <c r="SPA3" s="494"/>
      <c r="SPB3" s="494"/>
      <c r="SPC3" s="494"/>
      <c r="SPD3" s="494"/>
      <c r="SPE3" s="494"/>
      <c r="SPF3" s="494"/>
      <c r="SPG3" s="494"/>
      <c r="SPH3" s="494"/>
      <c r="SPI3" s="494"/>
      <c r="SPJ3" s="494"/>
      <c r="SPK3" s="494"/>
      <c r="SPL3" s="494"/>
      <c r="SPM3" s="494"/>
      <c r="SPN3" s="494"/>
      <c r="SPO3" s="494"/>
      <c r="SPP3" s="494"/>
      <c r="SPQ3" s="494"/>
      <c r="SPR3" s="494"/>
      <c r="SPS3" s="494"/>
      <c r="SPT3" s="494"/>
      <c r="SPU3" s="494"/>
      <c r="SPV3" s="494"/>
      <c r="SPW3" s="494"/>
      <c r="SPX3" s="494"/>
      <c r="SPY3" s="494"/>
      <c r="SPZ3" s="494"/>
      <c r="SQA3" s="494"/>
      <c r="SQB3" s="494"/>
      <c r="SQC3" s="494"/>
      <c r="SQD3" s="494"/>
      <c r="SQE3" s="494"/>
      <c r="SQF3" s="494"/>
      <c r="SQG3" s="494"/>
      <c r="SQH3" s="494"/>
      <c r="SQI3" s="494"/>
      <c r="SQJ3" s="494"/>
      <c r="SQK3" s="494"/>
      <c r="SQL3" s="494"/>
      <c r="SQM3" s="494"/>
      <c r="SQN3" s="494"/>
      <c r="SQO3" s="494"/>
      <c r="SQP3" s="494"/>
      <c r="SQQ3" s="494"/>
      <c r="SQR3" s="494"/>
      <c r="SQS3" s="494"/>
      <c r="SQT3" s="494"/>
      <c r="SQU3" s="494"/>
      <c r="SQV3" s="494"/>
      <c r="SQW3" s="494"/>
      <c r="SQX3" s="494"/>
      <c r="SQY3" s="494"/>
      <c r="SQZ3" s="494"/>
      <c r="SRA3" s="494"/>
      <c r="SRB3" s="494"/>
      <c r="SRC3" s="494"/>
      <c r="SRD3" s="494"/>
      <c r="SRE3" s="494"/>
      <c r="SRF3" s="494"/>
      <c r="SRG3" s="494"/>
      <c r="SRH3" s="494"/>
      <c r="SRI3" s="494"/>
      <c r="SRJ3" s="494"/>
      <c r="SRK3" s="494"/>
      <c r="SRL3" s="494"/>
      <c r="SRM3" s="494"/>
      <c r="SRN3" s="494"/>
      <c r="SRO3" s="494"/>
      <c r="SRP3" s="494"/>
      <c r="SRQ3" s="494"/>
      <c r="SRR3" s="494"/>
      <c r="SRS3" s="494"/>
      <c r="SRT3" s="494"/>
      <c r="SRU3" s="494"/>
      <c r="SRV3" s="494"/>
      <c r="SRW3" s="494"/>
      <c r="SRX3" s="494"/>
      <c r="SRY3" s="494"/>
      <c r="SRZ3" s="494"/>
      <c r="SSA3" s="494"/>
      <c r="SSB3" s="494"/>
      <c r="SSC3" s="494"/>
      <c r="SSD3" s="494"/>
      <c r="SSE3" s="494"/>
      <c r="SSF3" s="494"/>
      <c r="SSG3" s="494"/>
      <c r="SSH3" s="494"/>
      <c r="SSI3" s="494"/>
      <c r="SSJ3" s="494"/>
      <c r="SSK3" s="494"/>
      <c r="SSL3" s="494"/>
      <c r="SSM3" s="494"/>
      <c r="SSN3" s="494"/>
      <c r="SSO3" s="494"/>
      <c r="SSP3" s="494"/>
      <c r="SSQ3" s="494"/>
      <c r="SSR3" s="494"/>
      <c r="SSS3" s="494"/>
      <c r="SST3" s="494"/>
      <c r="SSU3" s="494"/>
      <c r="SSV3" s="494"/>
      <c r="SSW3" s="494"/>
      <c r="SSX3" s="494"/>
      <c r="SSY3" s="494"/>
      <c r="SSZ3" s="494"/>
      <c r="STA3" s="494"/>
      <c r="STB3" s="494"/>
      <c r="STC3" s="494"/>
      <c r="STD3" s="494"/>
      <c r="STE3" s="494"/>
      <c r="STF3" s="494"/>
      <c r="STG3" s="494"/>
      <c r="STH3" s="494"/>
      <c r="STI3" s="494"/>
      <c r="STJ3" s="494"/>
      <c r="STK3" s="494"/>
      <c r="STL3" s="494"/>
      <c r="STM3" s="494"/>
      <c r="STN3" s="494"/>
      <c r="STO3" s="494"/>
      <c r="STP3" s="494"/>
      <c r="STQ3" s="494"/>
      <c r="STR3" s="494"/>
      <c r="STS3" s="494"/>
      <c r="STT3" s="494"/>
      <c r="STU3" s="494"/>
      <c r="STV3" s="494"/>
      <c r="STW3" s="494"/>
      <c r="STX3" s="494"/>
      <c r="STY3" s="494"/>
      <c r="STZ3" s="494"/>
      <c r="SUA3" s="494"/>
      <c r="SUB3" s="494"/>
      <c r="SUC3" s="494"/>
      <c r="SUD3" s="494"/>
      <c r="SUE3" s="494"/>
      <c r="SUF3" s="494"/>
      <c r="SUG3" s="494"/>
      <c r="SUH3" s="494"/>
      <c r="SUI3" s="494"/>
      <c r="SUJ3" s="494"/>
      <c r="SUK3" s="494"/>
      <c r="SUL3" s="494"/>
      <c r="SUM3" s="494"/>
      <c r="SUN3" s="494"/>
      <c r="SUO3" s="494"/>
      <c r="SUP3" s="494"/>
      <c r="SUQ3" s="494"/>
      <c r="SUR3" s="494"/>
      <c r="SUS3" s="494"/>
      <c r="SUT3" s="494"/>
      <c r="SUU3" s="494"/>
      <c r="SUV3" s="494"/>
      <c r="SUW3" s="494"/>
      <c r="SUX3" s="494"/>
      <c r="SUY3" s="494"/>
      <c r="SUZ3" s="494"/>
      <c r="SVA3" s="494"/>
      <c r="SVB3" s="494"/>
      <c r="SVC3" s="494"/>
      <c r="SVD3" s="494"/>
      <c r="SVE3" s="494"/>
      <c r="SVF3" s="494"/>
      <c r="SVG3" s="494"/>
      <c r="SVH3" s="494"/>
      <c r="SVI3" s="494"/>
      <c r="SVJ3" s="494"/>
      <c r="SVK3" s="494"/>
      <c r="SVL3" s="494"/>
      <c r="SVM3" s="494"/>
      <c r="SVN3" s="494"/>
      <c r="SVO3" s="494"/>
      <c r="SVP3" s="494"/>
      <c r="SVQ3" s="494"/>
      <c r="SVR3" s="494"/>
      <c r="SVS3" s="494"/>
      <c r="SVT3" s="494"/>
      <c r="SVU3" s="494"/>
      <c r="SVV3" s="494"/>
      <c r="SVW3" s="494"/>
      <c r="SVX3" s="494"/>
      <c r="SVY3" s="494"/>
      <c r="SVZ3" s="494"/>
      <c r="SWA3" s="494"/>
      <c r="SWB3" s="494"/>
      <c r="SWC3" s="494"/>
      <c r="SWD3" s="494"/>
      <c r="SWE3" s="494"/>
      <c r="SWF3" s="494"/>
      <c r="SWG3" s="494"/>
      <c r="SWH3" s="494"/>
      <c r="SWI3" s="494"/>
      <c r="SWJ3" s="494"/>
      <c r="SWK3" s="494"/>
      <c r="SWL3" s="494"/>
      <c r="SWM3" s="494"/>
      <c r="SWN3" s="494"/>
      <c r="SWO3" s="494"/>
      <c r="SWP3" s="494"/>
      <c r="SWQ3" s="494"/>
      <c r="SWR3" s="494"/>
      <c r="SWS3" s="494"/>
      <c r="SWT3" s="494"/>
      <c r="SWU3" s="494"/>
      <c r="SWV3" s="494"/>
      <c r="SWW3" s="494"/>
      <c r="SWX3" s="494"/>
      <c r="SWY3" s="494"/>
      <c r="SWZ3" s="494"/>
      <c r="SXA3" s="494"/>
      <c r="SXB3" s="494"/>
      <c r="SXC3" s="494"/>
      <c r="SXD3" s="494"/>
      <c r="SXE3" s="494"/>
      <c r="SXF3" s="494"/>
      <c r="SXG3" s="494"/>
      <c r="SXH3" s="494"/>
      <c r="SXI3" s="494"/>
      <c r="SXJ3" s="494"/>
      <c r="SXK3" s="494"/>
      <c r="SXL3" s="494"/>
      <c r="SXM3" s="494"/>
      <c r="SXN3" s="494"/>
      <c r="SXO3" s="494"/>
      <c r="SXP3" s="494"/>
      <c r="SXQ3" s="494"/>
      <c r="SXR3" s="494"/>
      <c r="SXS3" s="494"/>
      <c r="SXT3" s="494"/>
      <c r="SXU3" s="494"/>
      <c r="SXV3" s="494"/>
      <c r="SXW3" s="494"/>
      <c r="SXX3" s="494"/>
      <c r="SXY3" s="494"/>
      <c r="SXZ3" s="494"/>
      <c r="SYA3" s="494"/>
      <c r="SYB3" s="494"/>
      <c r="SYC3" s="494"/>
      <c r="SYD3" s="494"/>
      <c r="SYE3" s="494"/>
      <c r="SYF3" s="494"/>
      <c r="SYG3" s="494"/>
      <c r="SYH3" s="494"/>
      <c r="SYI3" s="494"/>
      <c r="SYJ3" s="494"/>
      <c r="SYK3" s="494"/>
      <c r="SYL3" s="494"/>
      <c r="SYM3" s="494"/>
      <c r="SYN3" s="494"/>
      <c r="SYO3" s="494"/>
      <c r="SYP3" s="494"/>
      <c r="SYQ3" s="494"/>
      <c r="SYR3" s="494"/>
      <c r="SYS3" s="494"/>
      <c r="SYT3" s="494"/>
      <c r="SYU3" s="494"/>
      <c r="SYV3" s="494"/>
      <c r="SYW3" s="494"/>
      <c r="SYX3" s="494"/>
      <c r="SYY3" s="494"/>
      <c r="SYZ3" s="494"/>
      <c r="SZA3" s="494"/>
      <c r="SZB3" s="494"/>
      <c r="SZC3" s="494"/>
      <c r="SZD3" s="494"/>
      <c r="SZE3" s="494"/>
      <c r="SZF3" s="494"/>
      <c r="SZG3" s="494"/>
      <c r="SZH3" s="494"/>
      <c r="SZI3" s="494"/>
      <c r="SZJ3" s="494"/>
      <c r="SZK3" s="494"/>
      <c r="SZL3" s="494"/>
      <c r="SZM3" s="494"/>
      <c r="SZN3" s="494"/>
      <c r="SZO3" s="494"/>
      <c r="SZP3" s="494"/>
      <c r="SZQ3" s="494"/>
      <c r="SZR3" s="494"/>
      <c r="SZS3" s="494"/>
      <c r="SZT3" s="494"/>
      <c r="SZU3" s="494"/>
      <c r="SZV3" s="494"/>
      <c r="SZW3" s="494"/>
      <c r="SZX3" s="494"/>
      <c r="SZY3" s="494"/>
      <c r="SZZ3" s="494"/>
      <c r="TAA3" s="494"/>
      <c r="TAB3" s="494"/>
      <c r="TAC3" s="494"/>
      <c r="TAD3" s="494"/>
      <c r="TAE3" s="494"/>
      <c r="TAF3" s="494"/>
      <c r="TAG3" s="494"/>
      <c r="TAH3" s="494"/>
      <c r="TAI3" s="494"/>
      <c r="TAJ3" s="494"/>
      <c r="TAK3" s="494"/>
      <c r="TAL3" s="494"/>
      <c r="TAM3" s="494"/>
      <c r="TAN3" s="494"/>
      <c r="TAO3" s="494"/>
      <c r="TAP3" s="494"/>
      <c r="TAQ3" s="494"/>
      <c r="TAR3" s="494"/>
      <c r="TAS3" s="494"/>
      <c r="TAT3" s="494"/>
      <c r="TAU3" s="494"/>
      <c r="TAV3" s="494"/>
      <c r="TAW3" s="494"/>
      <c r="TAX3" s="494"/>
      <c r="TAY3" s="494"/>
      <c r="TAZ3" s="494"/>
      <c r="TBA3" s="494"/>
      <c r="TBB3" s="494"/>
      <c r="TBC3" s="494"/>
      <c r="TBD3" s="494"/>
      <c r="TBE3" s="494"/>
      <c r="TBF3" s="494"/>
      <c r="TBG3" s="494"/>
      <c r="TBH3" s="494"/>
      <c r="TBI3" s="494"/>
      <c r="TBJ3" s="494"/>
      <c r="TBK3" s="494"/>
      <c r="TBL3" s="494"/>
      <c r="TBM3" s="494"/>
      <c r="TBN3" s="494"/>
      <c r="TBO3" s="494"/>
      <c r="TBP3" s="494"/>
      <c r="TBQ3" s="494"/>
      <c r="TBR3" s="494"/>
      <c r="TBS3" s="494"/>
      <c r="TBT3" s="494"/>
      <c r="TBU3" s="494"/>
      <c r="TBV3" s="494"/>
      <c r="TBW3" s="494"/>
      <c r="TBX3" s="494"/>
      <c r="TBY3" s="494"/>
      <c r="TBZ3" s="494"/>
      <c r="TCA3" s="494"/>
      <c r="TCB3" s="494"/>
      <c r="TCC3" s="494"/>
      <c r="TCD3" s="494"/>
      <c r="TCE3" s="494"/>
      <c r="TCF3" s="494"/>
      <c r="TCG3" s="494"/>
      <c r="TCH3" s="494"/>
      <c r="TCI3" s="494"/>
      <c r="TCJ3" s="494"/>
      <c r="TCK3" s="494"/>
      <c r="TCL3" s="494"/>
      <c r="TCM3" s="494"/>
      <c r="TCN3" s="494"/>
      <c r="TCO3" s="494"/>
      <c r="TCP3" s="494"/>
      <c r="TCQ3" s="494"/>
      <c r="TCR3" s="494"/>
      <c r="TCS3" s="494"/>
      <c r="TCT3" s="494"/>
      <c r="TCU3" s="494"/>
      <c r="TCV3" s="494"/>
      <c r="TCW3" s="494"/>
      <c r="TCX3" s="494"/>
      <c r="TCY3" s="494"/>
      <c r="TCZ3" s="494"/>
      <c r="TDA3" s="494"/>
      <c r="TDB3" s="494"/>
      <c r="TDC3" s="494"/>
      <c r="TDD3" s="494"/>
      <c r="TDE3" s="494"/>
      <c r="TDF3" s="494"/>
      <c r="TDG3" s="494"/>
      <c r="TDH3" s="494"/>
      <c r="TDI3" s="494"/>
      <c r="TDJ3" s="494"/>
      <c r="TDK3" s="494"/>
      <c r="TDL3" s="494"/>
      <c r="TDM3" s="494"/>
      <c r="TDN3" s="494"/>
      <c r="TDO3" s="494"/>
      <c r="TDP3" s="494"/>
      <c r="TDQ3" s="494"/>
      <c r="TDR3" s="494"/>
      <c r="TDS3" s="494"/>
      <c r="TDT3" s="494"/>
      <c r="TDU3" s="494"/>
      <c r="TDV3" s="494"/>
      <c r="TDW3" s="494"/>
      <c r="TDX3" s="494"/>
      <c r="TDY3" s="494"/>
      <c r="TDZ3" s="494"/>
      <c r="TEA3" s="494"/>
      <c r="TEB3" s="494"/>
      <c r="TEC3" s="494"/>
      <c r="TED3" s="494"/>
      <c r="TEE3" s="494"/>
      <c r="TEF3" s="494"/>
      <c r="TEG3" s="494"/>
      <c r="TEH3" s="494"/>
      <c r="TEI3" s="494"/>
      <c r="TEJ3" s="494"/>
      <c r="TEK3" s="494"/>
      <c r="TEL3" s="494"/>
      <c r="TEM3" s="494"/>
      <c r="TEN3" s="494"/>
      <c r="TEO3" s="494"/>
      <c r="TEP3" s="494"/>
      <c r="TEQ3" s="494"/>
      <c r="TER3" s="494"/>
      <c r="TES3" s="494"/>
      <c r="TET3" s="494"/>
      <c r="TEU3" s="494"/>
      <c r="TEV3" s="494"/>
      <c r="TEW3" s="494"/>
      <c r="TEX3" s="494"/>
      <c r="TEY3" s="494"/>
      <c r="TEZ3" s="494"/>
      <c r="TFA3" s="494"/>
      <c r="TFB3" s="494"/>
      <c r="TFC3" s="494"/>
      <c r="TFD3" s="494"/>
      <c r="TFE3" s="494"/>
      <c r="TFF3" s="494"/>
      <c r="TFG3" s="494"/>
      <c r="TFH3" s="494"/>
      <c r="TFI3" s="494"/>
      <c r="TFJ3" s="494"/>
      <c r="TFK3" s="494"/>
      <c r="TFL3" s="494"/>
      <c r="TFM3" s="494"/>
      <c r="TFN3" s="494"/>
      <c r="TFO3" s="494"/>
      <c r="TFP3" s="494"/>
      <c r="TFQ3" s="494"/>
      <c r="TFR3" s="494"/>
      <c r="TFS3" s="494"/>
      <c r="TFT3" s="494"/>
      <c r="TFU3" s="494"/>
      <c r="TFV3" s="494"/>
      <c r="TFW3" s="494"/>
      <c r="TFX3" s="494"/>
      <c r="TFY3" s="494"/>
      <c r="TFZ3" s="494"/>
      <c r="TGA3" s="494"/>
      <c r="TGB3" s="494"/>
      <c r="TGC3" s="494"/>
      <c r="TGD3" s="494"/>
      <c r="TGE3" s="494"/>
      <c r="TGF3" s="494"/>
      <c r="TGG3" s="494"/>
      <c r="TGH3" s="494"/>
      <c r="TGI3" s="494"/>
      <c r="TGJ3" s="494"/>
      <c r="TGK3" s="494"/>
      <c r="TGL3" s="494"/>
      <c r="TGM3" s="494"/>
      <c r="TGN3" s="494"/>
      <c r="TGO3" s="494"/>
      <c r="TGP3" s="494"/>
      <c r="TGQ3" s="494"/>
      <c r="TGR3" s="494"/>
      <c r="TGS3" s="494"/>
      <c r="TGT3" s="494"/>
      <c r="TGU3" s="494"/>
      <c r="TGV3" s="494"/>
      <c r="TGW3" s="494"/>
      <c r="TGX3" s="494"/>
      <c r="TGY3" s="494"/>
      <c r="TGZ3" s="494"/>
      <c r="THA3" s="494"/>
      <c r="THB3" s="494"/>
      <c r="THC3" s="494"/>
      <c r="THD3" s="494"/>
      <c r="THE3" s="494"/>
      <c r="THF3" s="494"/>
      <c r="THG3" s="494"/>
      <c r="THH3" s="494"/>
      <c r="THI3" s="494"/>
      <c r="THJ3" s="494"/>
      <c r="THK3" s="494"/>
      <c r="THL3" s="494"/>
      <c r="THM3" s="494"/>
      <c r="THN3" s="494"/>
      <c r="THO3" s="494"/>
      <c r="THP3" s="494"/>
      <c r="THQ3" s="494"/>
      <c r="THR3" s="494"/>
      <c r="THS3" s="494"/>
      <c r="THT3" s="494"/>
      <c r="THU3" s="494"/>
      <c r="THV3" s="494"/>
      <c r="THW3" s="494"/>
      <c r="THX3" s="494"/>
      <c r="THY3" s="494"/>
      <c r="THZ3" s="494"/>
      <c r="TIA3" s="494"/>
      <c r="TIB3" s="494"/>
      <c r="TIC3" s="494"/>
      <c r="TID3" s="494"/>
      <c r="TIE3" s="494"/>
      <c r="TIF3" s="494"/>
      <c r="TIG3" s="494"/>
      <c r="TIH3" s="494"/>
      <c r="TII3" s="494"/>
      <c r="TIJ3" s="494"/>
      <c r="TIK3" s="494"/>
      <c r="TIL3" s="494"/>
      <c r="TIM3" s="494"/>
      <c r="TIN3" s="494"/>
      <c r="TIO3" s="494"/>
      <c r="TIP3" s="494"/>
      <c r="TIQ3" s="494"/>
      <c r="TIR3" s="494"/>
      <c r="TIS3" s="494"/>
      <c r="TIT3" s="494"/>
      <c r="TIU3" s="494"/>
      <c r="TIV3" s="494"/>
      <c r="TIW3" s="494"/>
      <c r="TIX3" s="494"/>
      <c r="TIY3" s="494"/>
      <c r="TIZ3" s="494"/>
      <c r="TJA3" s="494"/>
      <c r="TJB3" s="494"/>
      <c r="TJC3" s="494"/>
      <c r="TJD3" s="494"/>
      <c r="TJE3" s="494"/>
      <c r="TJF3" s="494"/>
      <c r="TJG3" s="494"/>
      <c r="TJH3" s="494"/>
      <c r="TJI3" s="494"/>
      <c r="TJJ3" s="494"/>
      <c r="TJK3" s="494"/>
      <c r="TJL3" s="494"/>
      <c r="TJM3" s="494"/>
      <c r="TJN3" s="494"/>
      <c r="TJO3" s="494"/>
      <c r="TJP3" s="494"/>
      <c r="TJQ3" s="494"/>
      <c r="TJR3" s="494"/>
      <c r="TJS3" s="494"/>
      <c r="TJT3" s="494"/>
      <c r="TJU3" s="494"/>
      <c r="TJV3" s="494"/>
      <c r="TJW3" s="494"/>
      <c r="TJX3" s="494"/>
      <c r="TJY3" s="494"/>
      <c r="TJZ3" s="494"/>
      <c r="TKA3" s="494"/>
      <c r="TKB3" s="494"/>
      <c r="TKC3" s="494"/>
      <c r="TKD3" s="494"/>
      <c r="TKE3" s="494"/>
      <c r="TKF3" s="494"/>
      <c r="TKG3" s="494"/>
      <c r="TKH3" s="494"/>
      <c r="TKI3" s="494"/>
      <c r="TKJ3" s="494"/>
      <c r="TKK3" s="494"/>
      <c r="TKL3" s="494"/>
      <c r="TKM3" s="494"/>
      <c r="TKN3" s="494"/>
      <c r="TKO3" s="494"/>
      <c r="TKP3" s="494"/>
      <c r="TKQ3" s="494"/>
      <c r="TKR3" s="494"/>
      <c r="TKS3" s="494"/>
      <c r="TKT3" s="494"/>
      <c r="TKU3" s="494"/>
      <c r="TKV3" s="494"/>
      <c r="TKW3" s="494"/>
      <c r="TKX3" s="494"/>
      <c r="TKY3" s="494"/>
      <c r="TKZ3" s="494"/>
      <c r="TLA3" s="494"/>
      <c r="TLB3" s="494"/>
      <c r="TLC3" s="494"/>
      <c r="TLD3" s="494"/>
      <c r="TLE3" s="494"/>
      <c r="TLF3" s="494"/>
      <c r="TLG3" s="494"/>
      <c r="TLH3" s="494"/>
      <c r="TLI3" s="494"/>
      <c r="TLJ3" s="494"/>
      <c r="TLK3" s="494"/>
      <c r="TLL3" s="494"/>
      <c r="TLM3" s="494"/>
      <c r="TLN3" s="494"/>
      <c r="TLO3" s="494"/>
      <c r="TLP3" s="494"/>
      <c r="TLQ3" s="494"/>
      <c r="TLR3" s="494"/>
      <c r="TLS3" s="494"/>
      <c r="TLT3" s="494"/>
      <c r="TLU3" s="494"/>
      <c r="TLV3" s="494"/>
      <c r="TLW3" s="494"/>
      <c r="TLX3" s="494"/>
      <c r="TLY3" s="494"/>
      <c r="TLZ3" s="494"/>
      <c r="TMA3" s="494"/>
      <c r="TMB3" s="494"/>
      <c r="TMC3" s="494"/>
      <c r="TMD3" s="494"/>
      <c r="TME3" s="494"/>
      <c r="TMF3" s="494"/>
      <c r="TMG3" s="494"/>
      <c r="TMH3" s="494"/>
      <c r="TMI3" s="494"/>
      <c r="TMJ3" s="494"/>
      <c r="TMK3" s="494"/>
      <c r="TML3" s="494"/>
      <c r="TMM3" s="494"/>
      <c r="TMN3" s="494"/>
      <c r="TMO3" s="494"/>
      <c r="TMP3" s="494"/>
      <c r="TMQ3" s="494"/>
      <c r="TMR3" s="494"/>
      <c r="TMS3" s="494"/>
      <c r="TMT3" s="494"/>
      <c r="TMU3" s="494"/>
      <c r="TMV3" s="494"/>
      <c r="TMW3" s="494"/>
      <c r="TMX3" s="494"/>
      <c r="TMY3" s="494"/>
      <c r="TMZ3" s="494"/>
      <c r="TNA3" s="494"/>
      <c r="TNB3" s="494"/>
      <c r="TNC3" s="494"/>
      <c r="TND3" s="494"/>
      <c r="TNE3" s="494"/>
      <c r="TNF3" s="494"/>
      <c r="TNG3" s="494"/>
      <c r="TNH3" s="494"/>
      <c r="TNI3" s="494"/>
      <c r="TNJ3" s="494"/>
      <c r="TNK3" s="494"/>
      <c r="TNL3" s="494"/>
      <c r="TNM3" s="494"/>
      <c r="TNN3" s="494"/>
      <c r="TNO3" s="494"/>
      <c r="TNP3" s="494"/>
      <c r="TNQ3" s="494"/>
      <c r="TNR3" s="494"/>
      <c r="TNS3" s="494"/>
      <c r="TNT3" s="494"/>
      <c r="TNU3" s="494"/>
      <c r="TNV3" s="494"/>
      <c r="TNW3" s="494"/>
      <c r="TNX3" s="494"/>
      <c r="TNY3" s="494"/>
      <c r="TNZ3" s="494"/>
      <c r="TOA3" s="494"/>
      <c r="TOB3" s="494"/>
      <c r="TOC3" s="494"/>
      <c r="TOD3" s="494"/>
      <c r="TOE3" s="494"/>
      <c r="TOF3" s="494"/>
      <c r="TOG3" s="494"/>
      <c r="TOH3" s="494"/>
      <c r="TOI3" s="494"/>
      <c r="TOJ3" s="494"/>
      <c r="TOK3" s="494"/>
      <c r="TOL3" s="494"/>
      <c r="TOM3" s="494"/>
      <c r="TON3" s="494"/>
      <c r="TOO3" s="494"/>
      <c r="TOP3" s="494"/>
      <c r="TOQ3" s="494"/>
      <c r="TOR3" s="494"/>
      <c r="TOS3" s="494"/>
      <c r="TOT3" s="494"/>
      <c r="TOU3" s="494"/>
      <c r="TOV3" s="494"/>
      <c r="TOW3" s="494"/>
      <c r="TOX3" s="494"/>
      <c r="TOY3" s="494"/>
      <c r="TOZ3" s="494"/>
      <c r="TPA3" s="494"/>
      <c r="TPB3" s="494"/>
      <c r="TPC3" s="494"/>
      <c r="TPD3" s="494"/>
      <c r="TPE3" s="494"/>
      <c r="TPF3" s="494"/>
      <c r="TPG3" s="494"/>
      <c r="TPH3" s="494"/>
      <c r="TPI3" s="494"/>
      <c r="TPJ3" s="494"/>
      <c r="TPK3" s="494"/>
      <c r="TPL3" s="494"/>
      <c r="TPM3" s="494"/>
      <c r="TPN3" s="494"/>
      <c r="TPO3" s="494"/>
      <c r="TPP3" s="494"/>
      <c r="TPQ3" s="494"/>
      <c r="TPR3" s="494"/>
      <c r="TPS3" s="494"/>
      <c r="TPT3" s="494"/>
      <c r="TPU3" s="494"/>
      <c r="TPV3" s="494"/>
      <c r="TPW3" s="494"/>
      <c r="TPX3" s="494"/>
      <c r="TPY3" s="494"/>
      <c r="TPZ3" s="494"/>
      <c r="TQA3" s="494"/>
      <c r="TQB3" s="494"/>
      <c r="TQC3" s="494"/>
      <c r="TQD3" s="494"/>
      <c r="TQE3" s="494"/>
      <c r="TQF3" s="494"/>
      <c r="TQG3" s="494"/>
      <c r="TQH3" s="494"/>
      <c r="TQI3" s="494"/>
      <c r="TQJ3" s="494"/>
      <c r="TQK3" s="494"/>
      <c r="TQL3" s="494"/>
      <c r="TQM3" s="494"/>
      <c r="TQN3" s="494"/>
      <c r="TQO3" s="494"/>
      <c r="TQP3" s="494"/>
      <c r="TQQ3" s="494"/>
      <c r="TQR3" s="494"/>
      <c r="TQS3" s="494"/>
      <c r="TQT3" s="494"/>
      <c r="TQU3" s="494"/>
      <c r="TQV3" s="494"/>
      <c r="TQW3" s="494"/>
      <c r="TQX3" s="494"/>
      <c r="TQY3" s="494"/>
      <c r="TQZ3" s="494"/>
      <c r="TRA3" s="494"/>
      <c r="TRB3" s="494"/>
      <c r="TRC3" s="494"/>
      <c r="TRD3" s="494"/>
      <c r="TRE3" s="494"/>
      <c r="TRF3" s="494"/>
      <c r="TRG3" s="494"/>
      <c r="TRH3" s="494"/>
      <c r="TRI3" s="494"/>
      <c r="TRJ3" s="494"/>
      <c r="TRK3" s="494"/>
      <c r="TRL3" s="494"/>
      <c r="TRM3" s="494"/>
      <c r="TRN3" s="494"/>
      <c r="TRO3" s="494"/>
      <c r="TRP3" s="494"/>
      <c r="TRQ3" s="494"/>
      <c r="TRR3" s="494"/>
      <c r="TRS3" s="494"/>
      <c r="TRT3" s="494"/>
      <c r="TRU3" s="494"/>
      <c r="TRV3" s="494"/>
      <c r="TRW3" s="494"/>
      <c r="TRX3" s="494"/>
      <c r="TRY3" s="494"/>
      <c r="TRZ3" s="494"/>
      <c r="TSA3" s="494"/>
      <c r="TSB3" s="494"/>
      <c r="TSC3" s="494"/>
      <c r="TSD3" s="494"/>
      <c r="TSE3" s="494"/>
      <c r="TSF3" s="494"/>
      <c r="TSG3" s="494"/>
      <c r="TSH3" s="494"/>
      <c r="TSI3" s="494"/>
      <c r="TSJ3" s="494"/>
      <c r="TSK3" s="494"/>
      <c r="TSL3" s="494"/>
      <c r="TSM3" s="494"/>
      <c r="TSN3" s="494"/>
      <c r="TSO3" s="494"/>
      <c r="TSP3" s="494"/>
      <c r="TSQ3" s="494"/>
      <c r="TSR3" s="494"/>
      <c r="TSS3" s="494"/>
      <c r="TST3" s="494"/>
      <c r="TSU3" s="494"/>
      <c r="TSV3" s="494"/>
      <c r="TSW3" s="494"/>
      <c r="TSX3" s="494"/>
      <c r="TSY3" s="494"/>
      <c r="TSZ3" s="494"/>
      <c r="TTA3" s="494"/>
      <c r="TTB3" s="494"/>
      <c r="TTC3" s="494"/>
      <c r="TTD3" s="494"/>
      <c r="TTE3" s="494"/>
      <c r="TTF3" s="494"/>
      <c r="TTG3" s="494"/>
      <c r="TTH3" s="494"/>
      <c r="TTI3" s="494"/>
      <c r="TTJ3" s="494"/>
      <c r="TTK3" s="494"/>
      <c r="TTL3" s="494"/>
      <c r="TTM3" s="494"/>
      <c r="TTN3" s="494"/>
      <c r="TTO3" s="494"/>
      <c r="TTP3" s="494"/>
      <c r="TTQ3" s="494"/>
      <c r="TTR3" s="494"/>
      <c r="TTS3" s="494"/>
      <c r="TTT3" s="494"/>
      <c r="TTU3" s="494"/>
      <c r="TTV3" s="494"/>
      <c r="TTW3" s="494"/>
      <c r="TTX3" s="494"/>
      <c r="TTY3" s="494"/>
      <c r="TTZ3" s="494"/>
      <c r="TUA3" s="494"/>
      <c r="TUB3" s="494"/>
      <c r="TUC3" s="494"/>
      <c r="TUD3" s="494"/>
      <c r="TUE3" s="494"/>
      <c r="TUF3" s="494"/>
      <c r="TUG3" s="494"/>
      <c r="TUH3" s="494"/>
      <c r="TUI3" s="494"/>
      <c r="TUJ3" s="494"/>
      <c r="TUK3" s="494"/>
      <c r="TUL3" s="494"/>
      <c r="TUM3" s="494"/>
      <c r="TUN3" s="494"/>
      <c r="TUO3" s="494"/>
      <c r="TUP3" s="494"/>
      <c r="TUQ3" s="494"/>
      <c r="TUR3" s="494"/>
      <c r="TUS3" s="494"/>
      <c r="TUT3" s="494"/>
      <c r="TUU3" s="494"/>
      <c r="TUV3" s="494"/>
      <c r="TUW3" s="494"/>
      <c r="TUX3" s="494"/>
      <c r="TUY3" s="494"/>
      <c r="TUZ3" s="494"/>
      <c r="TVA3" s="494"/>
      <c r="TVB3" s="494"/>
      <c r="TVC3" s="494"/>
      <c r="TVD3" s="494"/>
      <c r="TVE3" s="494"/>
      <c r="TVF3" s="494"/>
      <c r="TVG3" s="494"/>
      <c r="TVH3" s="494"/>
      <c r="TVI3" s="494"/>
      <c r="TVJ3" s="494"/>
      <c r="TVK3" s="494"/>
      <c r="TVL3" s="494"/>
      <c r="TVM3" s="494"/>
      <c r="TVN3" s="494"/>
      <c r="TVO3" s="494"/>
      <c r="TVP3" s="494"/>
      <c r="TVQ3" s="494"/>
      <c r="TVR3" s="494"/>
      <c r="TVS3" s="494"/>
      <c r="TVT3" s="494"/>
      <c r="TVU3" s="494"/>
      <c r="TVV3" s="494"/>
      <c r="TVW3" s="494"/>
      <c r="TVX3" s="494"/>
      <c r="TVY3" s="494"/>
      <c r="TVZ3" s="494"/>
      <c r="TWA3" s="494"/>
      <c r="TWB3" s="494"/>
      <c r="TWC3" s="494"/>
      <c r="TWD3" s="494"/>
      <c r="TWE3" s="494"/>
      <c r="TWF3" s="494"/>
      <c r="TWG3" s="494"/>
      <c r="TWH3" s="494"/>
      <c r="TWI3" s="494"/>
      <c r="TWJ3" s="494"/>
      <c r="TWK3" s="494"/>
      <c r="TWL3" s="494"/>
      <c r="TWM3" s="494"/>
      <c r="TWN3" s="494"/>
      <c r="TWO3" s="494"/>
      <c r="TWP3" s="494"/>
      <c r="TWQ3" s="494"/>
      <c r="TWR3" s="494"/>
      <c r="TWS3" s="494"/>
      <c r="TWT3" s="494"/>
      <c r="TWU3" s="494"/>
      <c r="TWV3" s="494"/>
      <c r="TWW3" s="494"/>
      <c r="TWX3" s="494"/>
      <c r="TWY3" s="494"/>
      <c r="TWZ3" s="494"/>
      <c r="TXA3" s="494"/>
      <c r="TXB3" s="494"/>
      <c r="TXC3" s="494"/>
      <c r="TXD3" s="494"/>
      <c r="TXE3" s="494"/>
      <c r="TXF3" s="494"/>
      <c r="TXG3" s="494"/>
      <c r="TXH3" s="494"/>
      <c r="TXI3" s="494"/>
      <c r="TXJ3" s="494"/>
      <c r="TXK3" s="494"/>
      <c r="TXL3" s="494"/>
      <c r="TXM3" s="494"/>
      <c r="TXN3" s="494"/>
      <c r="TXO3" s="494"/>
      <c r="TXP3" s="494"/>
      <c r="TXQ3" s="494"/>
      <c r="TXR3" s="494"/>
      <c r="TXS3" s="494"/>
      <c r="TXT3" s="494"/>
      <c r="TXU3" s="494"/>
      <c r="TXV3" s="494"/>
      <c r="TXW3" s="494"/>
      <c r="TXX3" s="494"/>
      <c r="TXY3" s="494"/>
      <c r="TXZ3" s="494"/>
      <c r="TYA3" s="494"/>
      <c r="TYB3" s="494"/>
      <c r="TYC3" s="494"/>
      <c r="TYD3" s="494"/>
      <c r="TYE3" s="494"/>
      <c r="TYF3" s="494"/>
      <c r="TYG3" s="494"/>
      <c r="TYH3" s="494"/>
      <c r="TYI3" s="494"/>
      <c r="TYJ3" s="494"/>
      <c r="TYK3" s="494"/>
      <c r="TYL3" s="494"/>
      <c r="TYM3" s="494"/>
      <c r="TYN3" s="494"/>
      <c r="TYO3" s="494"/>
      <c r="TYP3" s="494"/>
      <c r="TYQ3" s="494"/>
      <c r="TYR3" s="494"/>
      <c r="TYS3" s="494"/>
      <c r="TYT3" s="494"/>
      <c r="TYU3" s="494"/>
      <c r="TYV3" s="494"/>
      <c r="TYW3" s="494"/>
      <c r="TYX3" s="494"/>
      <c r="TYY3" s="494"/>
      <c r="TYZ3" s="494"/>
      <c r="TZA3" s="494"/>
      <c r="TZB3" s="494"/>
      <c r="TZC3" s="494"/>
      <c r="TZD3" s="494"/>
      <c r="TZE3" s="494"/>
      <c r="TZF3" s="494"/>
      <c r="TZG3" s="494"/>
      <c r="TZH3" s="494"/>
      <c r="TZI3" s="494"/>
      <c r="TZJ3" s="494"/>
      <c r="TZK3" s="494"/>
      <c r="TZL3" s="494"/>
      <c r="TZM3" s="494"/>
      <c r="TZN3" s="494"/>
      <c r="TZO3" s="494"/>
      <c r="TZP3" s="494"/>
      <c r="TZQ3" s="494"/>
      <c r="TZR3" s="494"/>
      <c r="TZS3" s="494"/>
      <c r="TZT3" s="494"/>
      <c r="TZU3" s="494"/>
      <c r="TZV3" s="494"/>
      <c r="TZW3" s="494"/>
      <c r="TZX3" s="494"/>
      <c r="TZY3" s="494"/>
      <c r="TZZ3" s="494"/>
      <c r="UAA3" s="494"/>
      <c r="UAB3" s="494"/>
      <c r="UAC3" s="494"/>
      <c r="UAD3" s="494"/>
      <c r="UAE3" s="494"/>
      <c r="UAF3" s="494"/>
      <c r="UAG3" s="494"/>
      <c r="UAH3" s="494"/>
      <c r="UAI3" s="494"/>
      <c r="UAJ3" s="494"/>
      <c r="UAK3" s="494"/>
      <c r="UAL3" s="494"/>
      <c r="UAM3" s="494"/>
      <c r="UAN3" s="494"/>
      <c r="UAO3" s="494"/>
      <c r="UAP3" s="494"/>
      <c r="UAQ3" s="494"/>
      <c r="UAR3" s="494"/>
      <c r="UAS3" s="494"/>
      <c r="UAT3" s="494"/>
      <c r="UAU3" s="494"/>
      <c r="UAV3" s="494"/>
      <c r="UAW3" s="494"/>
      <c r="UAX3" s="494"/>
      <c r="UAY3" s="494"/>
      <c r="UAZ3" s="494"/>
      <c r="UBA3" s="494"/>
      <c r="UBB3" s="494"/>
      <c r="UBC3" s="494"/>
      <c r="UBD3" s="494"/>
      <c r="UBE3" s="494"/>
      <c r="UBF3" s="494"/>
      <c r="UBG3" s="494"/>
      <c r="UBH3" s="494"/>
      <c r="UBI3" s="494"/>
      <c r="UBJ3" s="494"/>
      <c r="UBK3" s="494"/>
      <c r="UBL3" s="494"/>
      <c r="UBM3" s="494"/>
      <c r="UBN3" s="494"/>
      <c r="UBO3" s="494"/>
      <c r="UBP3" s="494"/>
      <c r="UBQ3" s="494"/>
      <c r="UBR3" s="494"/>
      <c r="UBS3" s="494"/>
      <c r="UBT3" s="494"/>
      <c r="UBU3" s="494"/>
      <c r="UBV3" s="494"/>
      <c r="UBW3" s="494"/>
      <c r="UBX3" s="494"/>
      <c r="UBY3" s="494"/>
      <c r="UBZ3" s="494"/>
      <c r="UCA3" s="494"/>
      <c r="UCB3" s="494"/>
      <c r="UCC3" s="494"/>
      <c r="UCD3" s="494"/>
      <c r="UCE3" s="494"/>
      <c r="UCF3" s="494"/>
      <c r="UCG3" s="494"/>
      <c r="UCH3" s="494"/>
      <c r="UCI3" s="494"/>
      <c r="UCJ3" s="494"/>
      <c r="UCK3" s="494"/>
      <c r="UCL3" s="494"/>
      <c r="UCM3" s="494"/>
      <c r="UCN3" s="494"/>
      <c r="UCO3" s="494"/>
      <c r="UCP3" s="494"/>
      <c r="UCQ3" s="494"/>
      <c r="UCR3" s="494"/>
      <c r="UCS3" s="494"/>
      <c r="UCT3" s="494"/>
      <c r="UCU3" s="494"/>
      <c r="UCV3" s="494"/>
      <c r="UCW3" s="494"/>
      <c r="UCX3" s="494"/>
      <c r="UCY3" s="494"/>
      <c r="UCZ3" s="494"/>
      <c r="UDA3" s="494"/>
      <c r="UDB3" s="494"/>
      <c r="UDC3" s="494"/>
      <c r="UDD3" s="494"/>
      <c r="UDE3" s="494"/>
      <c r="UDF3" s="494"/>
      <c r="UDG3" s="494"/>
      <c r="UDH3" s="494"/>
      <c r="UDI3" s="494"/>
      <c r="UDJ3" s="494"/>
      <c r="UDK3" s="494"/>
      <c r="UDL3" s="494"/>
      <c r="UDM3" s="494"/>
      <c r="UDN3" s="494"/>
      <c r="UDO3" s="494"/>
      <c r="UDP3" s="494"/>
      <c r="UDQ3" s="494"/>
      <c r="UDR3" s="494"/>
      <c r="UDS3" s="494"/>
      <c r="UDT3" s="494"/>
      <c r="UDU3" s="494"/>
      <c r="UDV3" s="494"/>
      <c r="UDW3" s="494"/>
      <c r="UDX3" s="494"/>
      <c r="UDY3" s="494"/>
      <c r="UDZ3" s="494"/>
      <c r="UEA3" s="494"/>
      <c r="UEB3" s="494"/>
      <c r="UEC3" s="494"/>
      <c r="UED3" s="494"/>
      <c r="UEE3" s="494"/>
      <c r="UEF3" s="494"/>
      <c r="UEG3" s="494"/>
      <c r="UEH3" s="494"/>
      <c r="UEI3" s="494"/>
      <c r="UEJ3" s="494"/>
      <c r="UEK3" s="494"/>
      <c r="UEL3" s="494"/>
      <c r="UEM3" s="494"/>
      <c r="UEN3" s="494"/>
      <c r="UEO3" s="494"/>
      <c r="UEP3" s="494"/>
      <c r="UEQ3" s="494"/>
      <c r="UER3" s="494"/>
      <c r="UES3" s="494"/>
      <c r="UET3" s="494"/>
      <c r="UEU3" s="494"/>
      <c r="UEV3" s="494"/>
      <c r="UEW3" s="494"/>
      <c r="UEX3" s="494"/>
      <c r="UEY3" s="494"/>
      <c r="UEZ3" s="494"/>
      <c r="UFA3" s="494"/>
      <c r="UFB3" s="494"/>
      <c r="UFC3" s="494"/>
      <c r="UFD3" s="494"/>
      <c r="UFE3" s="494"/>
      <c r="UFF3" s="494"/>
      <c r="UFG3" s="494"/>
      <c r="UFH3" s="494"/>
      <c r="UFI3" s="494"/>
      <c r="UFJ3" s="494"/>
      <c r="UFK3" s="494"/>
      <c r="UFL3" s="494"/>
      <c r="UFM3" s="494"/>
      <c r="UFN3" s="494"/>
      <c r="UFO3" s="494"/>
      <c r="UFP3" s="494"/>
      <c r="UFQ3" s="494"/>
      <c r="UFR3" s="494"/>
      <c r="UFS3" s="494"/>
      <c r="UFT3" s="494"/>
      <c r="UFU3" s="494"/>
      <c r="UFV3" s="494"/>
      <c r="UFW3" s="494"/>
      <c r="UFX3" s="494"/>
      <c r="UFY3" s="494"/>
      <c r="UFZ3" s="494"/>
      <c r="UGA3" s="494"/>
      <c r="UGB3" s="494"/>
      <c r="UGC3" s="494"/>
      <c r="UGD3" s="494"/>
      <c r="UGE3" s="494"/>
      <c r="UGF3" s="494"/>
      <c r="UGG3" s="494"/>
      <c r="UGH3" s="494"/>
      <c r="UGI3" s="494"/>
      <c r="UGJ3" s="494"/>
      <c r="UGK3" s="494"/>
      <c r="UGL3" s="494"/>
      <c r="UGM3" s="494"/>
      <c r="UGN3" s="494"/>
      <c r="UGO3" s="494"/>
      <c r="UGP3" s="494"/>
      <c r="UGQ3" s="494"/>
      <c r="UGR3" s="494"/>
      <c r="UGS3" s="494"/>
      <c r="UGT3" s="494"/>
      <c r="UGU3" s="494"/>
      <c r="UGV3" s="494"/>
      <c r="UGW3" s="494"/>
      <c r="UGX3" s="494"/>
      <c r="UGY3" s="494"/>
      <c r="UGZ3" s="494"/>
      <c r="UHA3" s="494"/>
      <c r="UHB3" s="494"/>
      <c r="UHC3" s="494"/>
      <c r="UHD3" s="494"/>
      <c r="UHE3" s="494"/>
      <c r="UHF3" s="494"/>
      <c r="UHG3" s="494"/>
      <c r="UHH3" s="494"/>
      <c r="UHI3" s="494"/>
      <c r="UHJ3" s="494"/>
      <c r="UHK3" s="494"/>
      <c r="UHL3" s="494"/>
      <c r="UHM3" s="494"/>
      <c r="UHN3" s="494"/>
      <c r="UHO3" s="494"/>
      <c r="UHP3" s="494"/>
      <c r="UHQ3" s="494"/>
      <c r="UHR3" s="494"/>
      <c r="UHS3" s="494"/>
      <c r="UHT3" s="494"/>
      <c r="UHU3" s="494"/>
      <c r="UHV3" s="494"/>
      <c r="UHW3" s="494"/>
      <c r="UHX3" s="494"/>
      <c r="UHY3" s="494"/>
      <c r="UHZ3" s="494"/>
      <c r="UIA3" s="494"/>
      <c r="UIB3" s="494"/>
      <c r="UIC3" s="494"/>
      <c r="UID3" s="494"/>
      <c r="UIE3" s="494"/>
      <c r="UIF3" s="494"/>
      <c r="UIG3" s="494"/>
      <c r="UIH3" s="494"/>
      <c r="UII3" s="494"/>
      <c r="UIJ3" s="494"/>
      <c r="UIK3" s="494"/>
      <c r="UIL3" s="494"/>
      <c r="UIM3" s="494"/>
      <c r="UIN3" s="494"/>
      <c r="UIO3" s="494"/>
      <c r="UIP3" s="494"/>
      <c r="UIQ3" s="494"/>
      <c r="UIR3" s="494"/>
      <c r="UIS3" s="494"/>
      <c r="UIT3" s="494"/>
      <c r="UIU3" s="494"/>
      <c r="UIV3" s="494"/>
      <c r="UIW3" s="494"/>
      <c r="UIX3" s="494"/>
      <c r="UIY3" s="494"/>
      <c r="UIZ3" s="494"/>
      <c r="UJA3" s="494"/>
      <c r="UJB3" s="494"/>
      <c r="UJC3" s="494"/>
      <c r="UJD3" s="494"/>
      <c r="UJE3" s="494"/>
      <c r="UJF3" s="494"/>
      <c r="UJG3" s="494"/>
      <c r="UJH3" s="494"/>
      <c r="UJI3" s="494"/>
      <c r="UJJ3" s="494"/>
      <c r="UJK3" s="494"/>
      <c r="UJL3" s="494"/>
      <c r="UJM3" s="494"/>
      <c r="UJN3" s="494"/>
      <c r="UJO3" s="494"/>
      <c r="UJP3" s="494"/>
      <c r="UJQ3" s="494"/>
      <c r="UJR3" s="494"/>
      <c r="UJS3" s="494"/>
      <c r="UJT3" s="494"/>
      <c r="UJU3" s="494"/>
      <c r="UJV3" s="494"/>
      <c r="UJW3" s="494"/>
      <c r="UJX3" s="494"/>
      <c r="UJY3" s="494"/>
      <c r="UJZ3" s="494"/>
      <c r="UKA3" s="494"/>
      <c r="UKB3" s="494"/>
      <c r="UKC3" s="494"/>
      <c r="UKD3" s="494"/>
      <c r="UKE3" s="494"/>
      <c r="UKF3" s="494"/>
      <c r="UKG3" s="494"/>
      <c r="UKH3" s="494"/>
      <c r="UKI3" s="494"/>
      <c r="UKJ3" s="494"/>
      <c r="UKK3" s="494"/>
      <c r="UKL3" s="494"/>
      <c r="UKM3" s="494"/>
      <c r="UKN3" s="494"/>
      <c r="UKO3" s="494"/>
      <c r="UKP3" s="494"/>
      <c r="UKQ3" s="494"/>
      <c r="UKR3" s="494"/>
      <c r="UKS3" s="494"/>
      <c r="UKT3" s="494"/>
      <c r="UKU3" s="494"/>
      <c r="UKV3" s="494"/>
      <c r="UKW3" s="494"/>
      <c r="UKX3" s="494"/>
      <c r="UKY3" s="494"/>
      <c r="UKZ3" s="494"/>
      <c r="ULA3" s="494"/>
      <c r="ULB3" s="494"/>
      <c r="ULC3" s="494"/>
      <c r="ULD3" s="494"/>
      <c r="ULE3" s="494"/>
      <c r="ULF3" s="494"/>
      <c r="ULG3" s="494"/>
      <c r="ULH3" s="494"/>
      <c r="ULI3" s="494"/>
      <c r="ULJ3" s="494"/>
      <c r="ULK3" s="494"/>
      <c r="ULL3" s="494"/>
      <c r="ULM3" s="494"/>
      <c r="ULN3" s="494"/>
      <c r="ULO3" s="494"/>
      <c r="ULP3" s="494"/>
      <c r="ULQ3" s="494"/>
      <c r="ULR3" s="494"/>
      <c r="ULS3" s="494"/>
      <c r="ULT3" s="494"/>
      <c r="ULU3" s="494"/>
      <c r="ULV3" s="494"/>
      <c r="ULW3" s="494"/>
      <c r="ULX3" s="494"/>
      <c r="ULY3" s="494"/>
      <c r="ULZ3" s="494"/>
      <c r="UMA3" s="494"/>
      <c r="UMB3" s="494"/>
      <c r="UMC3" s="494"/>
      <c r="UMD3" s="494"/>
      <c r="UME3" s="494"/>
      <c r="UMF3" s="494"/>
      <c r="UMG3" s="494"/>
      <c r="UMH3" s="494"/>
      <c r="UMI3" s="494"/>
      <c r="UMJ3" s="494"/>
      <c r="UMK3" s="494"/>
      <c r="UML3" s="494"/>
      <c r="UMM3" s="494"/>
      <c r="UMN3" s="494"/>
      <c r="UMO3" s="494"/>
      <c r="UMP3" s="494"/>
      <c r="UMQ3" s="494"/>
      <c r="UMR3" s="494"/>
      <c r="UMS3" s="494"/>
      <c r="UMT3" s="494"/>
      <c r="UMU3" s="494"/>
      <c r="UMV3" s="494"/>
      <c r="UMW3" s="494"/>
      <c r="UMX3" s="494"/>
      <c r="UMY3" s="494"/>
      <c r="UMZ3" s="494"/>
      <c r="UNA3" s="494"/>
      <c r="UNB3" s="494"/>
      <c r="UNC3" s="494"/>
      <c r="UND3" s="494"/>
      <c r="UNE3" s="494"/>
      <c r="UNF3" s="494"/>
      <c r="UNG3" s="494"/>
      <c r="UNH3" s="494"/>
      <c r="UNI3" s="494"/>
      <c r="UNJ3" s="494"/>
      <c r="UNK3" s="494"/>
      <c r="UNL3" s="494"/>
      <c r="UNM3" s="494"/>
      <c r="UNN3" s="494"/>
      <c r="UNO3" s="494"/>
      <c r="UNP3" s="494"/>
      <c r="UNQ3" s="494"/>
      <c r="UNR3" s="494"/>
      <c r="UNS3" s="494"/>
      <c r="UNT3" s="494"/>
      <c r="UNU3" s="494"/>
      <c r="UNV3" s="494"/>
      <c r="UNW3" s="494"/>
      <c r="UNX3" s="494"/>
      <c r="UNY3" s="494"/>
      <c r="UNZ3" s="494"/>
      <c r="UOA3" s="494"/>
      <c r="UOB3" s="494"/>
      <c r="UOC3" s="494"/>
      <c r="UOD3" s="494"/>
      <c r="UOE3" s="494"/>
      <c r="UOF3" s="494"/>
      <c r="UOG3" s="494"/>
      <c r="UOH3" s="494"/>
      <c r="UOI3" s="494"/>
      <c r="UOJ3" s="494"/>
      <c r="UOK3" s="494"/>
      <c r="UOL3" s="494"/>
      <c r="UOM3" s="494"/>
      <c r="UON3" s="494"/>
      <c r="UOO3" s="494"/>
      <c r="UOP3" s="494"/>
      <c r="UOQ3" s="494"/>
      <c r="UOR3" s="494"/>
      <c r="UOS3" s="494"/>
      <c r="UOT3" s="494"/>
      <c r="UOU3" s="494"/>
      <c r="UOV3" s="494"/>
      <c r="UOW3" s="494"/>
      <c r="UOX3" s="494"/>
      <c r="UOY3" s="494"/>
      <c r="UOZ3" s="494"/>
      <c r="UPA3" s="494"/>
      <c r="UPB3" s="494"/>
      <c r="UPC3" s="494"/>
      <c r="UPD3" s="494"/>
      <c r="UPE3" s="494"/>
      <c r="UPF3" s="494"/>
      <c r="UPG3" s="494"/>
      <c r="UPH3" s="494"/>
      <c r="UPI3" s="494"/>
      <c r="UPJ3" s="494"/>
      <c r="UPK3" s="494"/>
      <c r="UPL3" s="494"/>
      <c r="UPM3" s="494"/>
      <c r="UPN3" s="494"/>
      <c r="UPO3" s="494"/>
      <c r="UPP3" s="494"/>
      <c r="UPQ3" s="494"/>
      <c r="UPR3" s="494"/>
      <c r="UPS3" s="494"/>
      <c r="UPT3" s="494"/>
      <c r="UPU3" s="494"/>
      <c r="UPV3" s="494"/>
      <c r="UPW3" s="494"/>
      <c r="UPX3" s="494"/>
      <c r="UPY3" s="494"/>
      <c r="UPZ3" s="494"/>
      <c r="UQA3" s="494"/>
      <c r="UQB3" s="494"/>
      <c r="UQC3" s="494"/>
      <c r="UQD3" s="494"/>
      <c r="UQE3" s="494"/>
      <c r="UQF3" s="494"/>
      <c r="UQG3" s="494"/>
      <c r="UQH3" s="494"/>
      <c r="UQI3" s="494"/>
      <c r="UQJ3" s="494"/>
      <c r="UQK3" s="494"/>
      <c r="UQL3" s="494"/>
      <c r="UQM3" s="494"/>
      <c r="UQN3" s="494"/>
      <c r="UQO3" s="494"/>
      <c r="UQP3" s="494"/>
      <c r="UQQ3" s="494"/>
      <c r="UQR3" s="494"/>
      <c r="UQS3" s="494"/>
      <c r="UQT3" s="494"/>
      <c r="UQU3" s="494"/>
      <c r="UQV3" s="494"/>
      <c r="UQW3" s="494"/>
      <c r="UQX3" s="494"/>
      <c r="UQY3" s="494"/>
      <c r="UQZ3" s="494"/>
      <c r="URA3" s="494"/>
      <c r="URB3" s="494"/>
      <c r="URC3" s="494"/>
      <c r="URD3" s="494"/>
      <c r="URE3" s="494"/>
      <c r="URF3" s="494"/>
      <c r="URG3" s="494"/>
      <c r="URH3" s="494"/>
      <c r="URI3" s="494"/>
      <c r="URJ3" s="494"/>
      <c r="URK3" s="494"/>
      <c r="URL3" s="494"/>
      <c r="URM3" s="494"/>
      <c r="URN3" s="494"/>
      <c r="URO3" s="494"/>
      <c r="URP3" s="494"/>
      <c r="URQ3" s="494"/>
      <c r="URR3" s="494"/>
      <c r="URS3" s="494"/>
      <c r="URT3" s="494"/>
      <c r="URU3" s="494"/>
      <c r="URV3" s="494"/>
      <c r="URW3" s="494"/>
      <c r="URX3" s="494"/>
      <c r="URY3" s="494"/>
      <c r="URZ3" s="494"/>
      <c r="USA3" s="494"/>
      <c r="USB3" s="494"/>
      <c r="USC3" s="494"/>
      <c r="USD3" s="494"/>
      <c r="USE3" s="494"/>
      <c r="USF3" s="494"/>
      <c r="USG3" s="494"/>
      <c r="USH3" s="494"/>
      <c r="USI3" s="494"/>
      <c r="USJ3" s="494"/>
      <c r="USK3" s="494"/>
      <c r="USL3" s="494"/>
      <c r="USM3" s="494"/>
      <c r="USN3" s="494"/>
      <c r="USO3" s="494"/>
      <c r="USP3" s="494"/>
      <c r="USQ3" s="494"/>
      <c r="USR3" s="494"/>
      <c r="USS3" s="494"/>
      <c r="UST3" s="494"/>
      <c r="USU3" s="494"/>
      <c r="USV3" s="494"/>
      <c r="USW3" s="494"/>
      <c r="USX3" s="494"/>
      <c r="USY3" s="494"/>
      <c r="USZ3" s="494"/>
      <c r="UTA3" s="494"/>
      <c r="UTB3" s="494"/>
      <c r="UTC3" s="494"/>
      <c r="UTD3" s="494"/>
      <c r="UTE3" s="494"/>
      <c r="UTF3" s="494"/>
      <c r="UTG3" s="494"/>
      <c r="UTH3" s="494"/>
      <c r="UTI3" s="494"/>
      <c r="UTJ3" s="494"/>
      <c r="UTK3" s="494"/>
      <c r="UTL3" s="494"/>
      <c r="UTM3" s="494"/>
      <c r="UTN3" s="494"/>
      <c r="UTO3" s="494"/>
      <c r="UTP3" s="494"/>
      <c r="UTQ3" s="494"/>
      <c r="UTR3" s="494"/>
      <c r="UTS3" s="494"/>
      <c r="UTT3" s="494"/>
      <c r="UTU3" s="494"/>
      <c r="UTV3" s="494"/>
      <c r="UTW3" s="494"/>
      <c r="UTX3" s="494"/>
      <c r="UTY3" s="494"/>
      <c r="UTZ3" s="494"/>
      <c r="UUA3" s="494"/>
      <c r="UUB3" s="494"/>
      <c r="UUC3" s="494"/>
      <c r="UUD3" s="494"/>
      <c r="UUE3" s="494"/>
      <c r="UUF3" s="494"/>
      <c r="UUG3" s="494"/>
      <c r="UUH3" s="494"/>
      <c r="UUI3" s="494"/>
      <c r="UUJ3" s="494"/>
      <c r="UUK3" s="494"/>
      <c r="UUL3" s="494"/>
      <c r="UUM3" s="494"/>
      <c r="UUN3" s="494"/>
      <c r="UUO3" s="494"/>
      <c r="UUP3" s="494"/>
      <c r="UUQ3" s="494"/>
      <c r="UUR3" s="494"/>
      <c r="UUS3" s="494"/>
      <c r="UUT3" s="494"/>
      <c r="UUU3" s="494"/>
      <c r="UUV3" s="494"/>
      <c r="UUW3" s="494"/>
      <c r="UUX3" s="494"/>
      <c r="UUY3" s="494"/>
      <c r="UUZ3" s="494"/>
      <c r="UVA3" s="494"/>
      <c r="UVB3" s="494"/>
      <c r="UVC3" s="494"/>
      <c r="UVD3" s="494"/>
      <c r="UVE3" s="494"/>
      <c r="UVF3" s="494"/>
      <c r="UVG3" s="494"/>
      <c r="UVH3" s="494"/>
      <c r="UVI3" s="494"/>
      <c r="UVJ3" s="494"/>
      <c r="UVK3" s="494"/>
      <c r="UVL3" s="494"/>
      <c r="UVM3" s="494"/>
      <c r="UVN3" s="494"/>
      <c r="UVO3" s="494"/>
      <c r="UVP3" s="494"/>
      <c r="UVQ3" s="494"/>
      <c r="UVR3" s="494"/>
      <c r="UVS3" s="494"/>
      <c r="UVT3" s="494"/>
      <c r="UVU3" s="494"/>
      <c r="UVV3" s="494"/>
      <c r="UVW3" s="494"/>
      <c r="UVX3" s="494"/>
      <c r="UVY3" s="494"/>
      <c r="UVZ3" s="494"/>
      <c r="UWA3" s="494"/>
      <c r="UWB3" s="494"/>
      <c r="UWC3" s="494"/>
      <c r="UWD3" s="494"/>
      <c r="UWE3" s="494"/>
      <c r="UWF3" s="494"/>
      <c r="UWG3" s="494"/>
      <c r="UWH3" s="494"/>
      <c r="UWI3" s="494"/>
      <c r="UWJ3" s="494"/>
      <c r="UWK3" s="494"/>
      <c r="UWL3" s="494"/>
      <c r="UWM3" s="494"/>
      <c r="UWN3" s="494"/>
      <c r="UWO3" s="494"/>
      <c r="UWP3" s="494"/>
      <c r="UWQ3" s="494"/>
      <c r="UWR3" s="494"/>
      <c r="UWS3" s="494"/>
      <c r="UWT3" s="494"/>
      <c r="UWU3" s="494"/>
      <c r="UWV3" s="494"/>
      <c r="UWW3" s="494"/>
      <c r="UWX3" s="494"/>
      <c r="UWY3" s="494"/>
      <c r="UWZ3" s="494"/>
      <c r="UXA3" s="494"/>
      <c r="UXB3" s="494"/>
      <c r="UXC3" s="494"/>
      <c r="UXD3" s="494"/>
      <c r="UXE3" s="494"/>
      <c r="UXF3" s="494"/>
      <c r="UXG3" s="494"/>
      <c r="UXH3" s="494"/>
      <c r="UXI3" s="494"/>
      <c r="UXJ3" s="494"/>
      <c r="UXK3" s="494"/>
      <c r="UXL3" s="494"/>
      <c r="UXM3" s="494"/>
      <c r="UXN3" s="494"/>
      <c r="UXO3" s="494"/>
      <c r="UXP3" s="494"/>
      <c r="UXQ3" s="494"/>
      <c r="UXR3" s="494"/>
      <c r="UXS3" s="494"/>
      <c r="UXT3" s="494"/>
      <c r="UXU3" s="494"/>
      <c r="UXV3" s="494"/>
      <c r="UXW3" s="494"/>
      <c r="UXX3" s="494"/>
      <c r="UXY3" s="494"/>
      <c r="UXZ3" s="494"/>
      <c r="UYA3" s="494"/>
      <c r="UYB3" s="494"/>
      <c r="UYC3" s="494"/>
      <c r="UYD3" s="494"/>
      <c r="UYE3" s="494"/>
      <c r="UYF3" s="494"/>
      <c r="UYG3" s="494"/>
      <c r="UYH3" s="494"/>
      <c r="UYI3" s="494"/>
      <c r="UYJ3" s="494"/>
      <c r="UYK3" s="494"/>
      <c r="UYL3" s="494"/>
      <c r="UYM3" s="494"/>
      <c r="UYN3" s="494"/>
      <c r="UYO3" s="494"/>
      <c r="UYP3" s="494"/>
      <c r="UYQ3" s="494"/>
      <c r="UYR3" s="494"/>
      <c r="UYS3" s="494"/>
      <c r="UYT3" s="494"/>
      <c r="UYU3" s="494"/>
      <c r="UYV3" s="494"/>
      <c r="UYW3" s="494"/>
      <c r="UYX3" s="494"/>
      <c r="UYY3" s="494"/>
      <c r="UYZ3" s="494"/>
      <c r="UZA3" s="494"/>
      <c r="UZB3" s="494"/>
      <c r="UZC3" s="494"/>
      <c r="UZD3" s="494"/>
      <c r="UZE3" s="494"/>
      <c r="UZF3" s="494"/>
      <c r="UZG3" s="494"/>
      <c r="UZH3" s="494"/>
      <c r="UZI3" s="494"/>
      <c r="UZJ3" s="494"/>
      <c r="UZK3" s="494"/>
      <c r="UZL3" s="494"/>
      <c r="UZM3" s="494"/>
      <c r="UZN3" s="494"/>
      <c r="UZO3" s="494"/>
      <c r="UZP3" s="494"/>
      <c r="UZQ3" s="494"/>
      <c r="UZR3" s="494"/>
      <c r="UZS3" s="494"/>
      <c r="UZT3" s="494"/>
      <c r="UZU3" s="494"/>
      <c r="UZV3" s="494"/>
      <c r="UZW3" s="494"/>
      <c r="UZX3" s="494"/>
      <c r="UZY3" s="494"/>
      <c r="UZZ3" s="494"/>
      <c r="VAA3" s="494"/>
      <c r="VAB3" s="494"/>
      <c r="VAC3" s="494"/>
      <c r="VAD3" s="494"/>
      <c r="VAE3" s="494"/>
      <c r="VAF3" s="494"/>
      <c r="VAG3" s="494"/>
      <c r="VAH3" s="494"/>
      <c r="VAI3" s="494"/>
      <c r="VAJ3" s="494"/>
      <c r="VAK3" s="494"/>
      <c r="VAL3" s="494"/>
      <c r="VAM3" s="494"/>
      <c r="VAN3" s="494"/>
      <c r="VAO3" s="494"/>
      <c r="VAP3" s="494"/>
      <c r="VAQ3" s="494"/>
      <c r="VAR3" s="494"/>
      <c r="VAS3" s="494"/>
      <c r="VAT3" s="494"/>
      <c r="VAU3" s="494"/>
      <c r="VAV3" s="494"/>
      <c r="VAW3" s="494"/>
      <c r="VAX3" s="494"/>
      <c r="VAY3" s="494"/>
      <c r="VAZ3" s="494"/>
      <c r="VBA3" s="494"/>
      <c r="VBB3" s="494"/>
      <c r="VBC3" s="494"/>
      <c r="VBD3" s="494"/>
      <c r="VBE3" s="494"/>
      <c r="VBF3" s="494"/>
      <c r="VBG3" s="494"/>
      <c r="VBH3" s="494"/>
      <c r="VBI3" s="494"/>
      <c r="VBJ3" s="494"/>
      <c r="VBK3" s="494"/>
      <c r="VBL3" s="494"/>
      <c r="VBM3" s="494"/>
      <c r="VBN3" s="494"/>
      <c r="VBO3" s="494"/>
      <c r="VBP3" s="494"/>
      <c r="VBQ3" s="494"/>
      <c r="VBR3" s="494"/>
      <c r="VBS3" s="494"/>
      <c r="VBT3" s="494"/>
      <c r="VBU3" s="494"/>
      <c r="VBV3" s="494"/>
      <c r="VBW3" s="494"/>
      <c r="VBX3" s="494"/>
      <c r="VBY3" s="494"/>
      <c r="VBZ3" s="494"/>
      <c r="VCA3" s="494"/>
      <c r="VCB3" s="494"/>
      <c r="VCC3" s="494"/>
      <c r="VCD3" s="494"/>
      <c r="VCE3" s="494"/>
      <c r="VCF3" s="494"/>
      <c r="VCG3" s="494"/>
      <c r="VCH3" s="494"/>
      <c r="VCI3" s="494"/>
      <c r="VCJ3" s="494"/>
      <c r="VCK3" s="494"/>
      <c r="VCL3" s="494"/>
      <c r="VCM3" s="494"/>
      <c r="VCN3" s="494"/>
      <c r="VCO3" s="494"/>
      <c r="VCP3" s="494"/>
      <c r="VCQ3" s="494"/>
      <c r="VCR3" s="494"/>
      <c r="VCS3" s="494"/>
      <c r="VCT3" s="494"/>
      <c r="VCU3" s="494"/>
      <c r="VCV3" s="494"/>
      <c r="VCW3" s="494"/>
      <c r="VCX3" s="494"/>
      <c r="VCY3" s="494"/>
      <c r="VCZ3" s="494"/>
      <c r="VDA3" s="494"/>
      <c r="VDB3" s="494"/>
      <c r="VDC3" s="494"/>
      <c r="VDD3" s="494"/>
      <c r="VDE3" s="494"/>
      <c r="VDF3" s="494"/>
      <c r="VDG3" s="494"/>
      <c r="VDH3" s="494"/>
      <c r="VDI3" s="494"/>
      <c r="VDJ3" s="494"/>
      <c r="VDK3" s="494"/>
      <c r="VDL3" s="494"/>
      <c r="VDM3" s="494"/>
      <c r="VDN3" s="494"/>
      <c r="VDO3" s="494"/>
      <c r="VDP3" s="494"/>
      <c r="VDQ3" s="494"/>
      <c r="VDR3" s="494"/>
      <c r="VDS3" s="494"/>
      <c r="VDT3" s="494"/>
      <c r="VDU3" s="494"/>
      <c r="VDV3" s="494"/>
      <c r="VDW3" s="494"/>
      <c r="VDX3" s="494"/>
      <c r="VDY3" s="494"/>
      <c r="VDZ3" s="494"/>
      <c r="VEA3" s="494"/>
      <c r="VEB3" s="494"/>
      <c r="VEC3" s="494"/>
      <c r="VED3" s="494"/>
      <c r="VEE3" s="494"/>
      <c r="VEF3" s="494"/>
      <c r="VEG3" s="494"/>
      <c r="VEH3" s="494"/>
      <c r="VEI3" s="494"/>
      <c r="VEJ3" s="494"/>
      <c r="VEK3" s="494"/>
      <c r="VEL3" s="494"/>
      <c r="VEM3" s="494"/>
      <c r="VEN3" s="494"/>
      <c r="VEO3" s="494"/>
      <c r="VEP3" s="494"/>
      <c r="VEQ3" s="494"/>
      <c r="VER3" s="494"/>
      <c r="VES3" s="494"/>
      <c r="VET3" s="494"/>
      <c r="VEU3" s="494"/>
      <c r="VEV3" s="494"/>
      <c r="VEW3" s="494"/>
      <c r="VEX3" s="494"/>
      <c r="VEY3" s="494"/>
      <c r="VEZ3" s="494"/>
      <c r="VFA3" s="494"/>
      <c r="VFB3" s="494"/>
      <c r="VFC3" s="494"/>
      <c r="VFD3" s="494"/>
      <c r="VFE3" s="494"/>
      <c r="VFF3" s="494"/>
      <c r="VFG3" s="494"/>
      <c r="VFH3" s="494"/>
      <c r="VFI3" s="494"/>
      <c r="VFJ3" s="494"/>
      <c r="VFK3" s="494"/>
      <c r="VFL3" s="494"/>
      <c r="VFM3" s="494"/>
      <c r="VFN3" s="494"/>
      <c r="VFO3" s="494"/>
      <c r="VFP3" s="494"/>
      <c r="VFQ3" s="494"/>
      <c r="VFR3" s="494"/>
      <c r="VFS3" s="494"/>
      <c r="VFT3" s="494"/>
      <c r="VFU3" s="494"/>
      <c r="VFV3" s="494"/>
      <c r="VFW3" s="494"/>
      <c r="VFX3" s="494"/>
      <c r="VFY3" s="494"/>
      <c r="VFZ3" s="494"/>
      <c r="VGA3" s="494"/>
      <c r="VGB3" s="494"/>
      <c r="VGC3" s="494"/>
      <c r="VGD3" s="494"/>
      <c r="VGE3" s="494"/>
      <c r="VGF3" s="494"/>
      <c r="VGG3" s="494"/>
      <c r="VGH3" s="494"/>
      <c r="VGI3" s="494"/>
      <c r="VGJ3" s="494"/>
      <c r="VGK3" s="494"/>
      <c r="VGL3" s="494"/>
      <c r="VGM3" s="494"/>
      <c r="VGN3" s="494"/>
      <c r="VGO3" s="494"/>
      <c r="VGP3" s="494"/>
      <c r="VGQ3" s="494"/>
      <c r="VGR3" s="494"/>
      <c r="VGS3" s="494"/>
      <c r="VGT3" s="494"/>
      <c r="VGU3" s="494"/>
      <c r="VGV3" s="494"/>
      <c r="VGW3" s="494"/>
      <c r="VGX3" s="494"/>
      <c r="VGY3" s="494"/>
      <c r="VGZ3" s="494"/>
      <c r="VHA3" s="494"/>
      <c r="VHB3" s="494"/>
      <c r="VHC3" s="494"/>
      <c r="VHD3" s="494"/>
      <c r="VHE3" s="494"/>
      <c r="VHF3" s="494"/>
      <c r="VHG3" s="494"/>
      <c r="VHH3" s="494"/>
      <c r="VHI3" s="494"/>
      <c r="VHJ3" s="494"/>
      <c r="VHK3" s="494"/>
      <c r="VHL3" s="494"/>
      <c r="VHM3" s="494"/>
      <c r="VHN3" s="494"/>
      <c r="VHO3" s="494"/>
      <c r="VHP3" s="494"/>
      <c r="VHQ3" s="494"/>
      <c r="VHR3" s="494"/>
      <c r="VHS3" s="494"/>
      <c r="VHT3" s="494"/>
      <c r="VHU3" s="494"/>
      <c r="VHV3" s="494"/>
      <c r="VHW3" s="494"/>
      <c r="VHX3" s="494"/>
      <c r="VHY3" s="494"/>
      <c r="VHZ3" s="494"/>
      <c r="VIA3" s="494"/>
      <c r="VIB3" s="494"/>
      <c r="VIC3" s="494"/>
      <c r="VID3" s="494"/>
      <c r="VIE3" s="494"/>
      <c r="VIF3" s="494"/>
      <c r="VIG3" s="494"/>
      <c r="VIH3" s="494"/>
      <c r="VII3" s="494"/>
      <c r="VIJ3" s="494"/>
      <c r="VIK3" s="494"/>
      <c r="VIL3" s="494"/>
      <c r="VIM3" s="494"/>
      <c r="VIN3" s="494"/>
      <c r="VIO3" s="494"/>
      <c r="VIP3" s="494"/>
      <c r="VIQ3" s="494"/>
      <c r="VIR3" s="494"/>
      <c r="VIS3" s="494"/>
      <c r="VIT3" s="494"/>
      <c r="VIU3" s="494"/>
      <c r="VIV3" s="494"/>
      <c r="VIW3" s="494"/>
      <c r="VIX3" s="494"/>
      <c r="VIY3" s="494"/>
      <c r="VIZ3" s="494"/>
      <c r="VJA3" s="494"/>
      <c r="VJB3" s="494"/>
      <c r="VJC3" s="494"/>
      <c r="VJD3" s="494"/>
      <c r="VJE3" s="494"/>
      <c r="VJF3" s="494"/>
      <c r="VJG3" s="494"/>
      <c r="VJH3" s="494"/>
      <c r="VJI3" s="494"/>
      <c r="VJJ3" s="494"/>
      <c r="VJK3" s="494"/>
      <c r="VJL3" s="494"/>
      <c r="VJM3" s="494"/>
      <c r="VJN3" s="494"/>
      <c r="VJO3" s="494"/>
      <c r="VJP3" s="494"/>
      <c r="VJQ3" s="494"/>
      <c r="VJR3" s="494"/>
      <c r="VJS3" s="494"/>
      <c r="VJT3" s="494"/>
      <c r="VJU3" s="494"/>
      <c r="VJV3" s="494"/>
      <c r="VJW3" s="494"/>
      <c r="VJX3" s="494"/>
      <c r="VJY3" s="494"/>
      <c r="VJZ3" s="494"/>
      <c r="VKA3" s="494"/>
      <c r="VKB3" s="494"/>
      <c r="VKC3" s="494"/>
      <c r="VKD3" s="494"/>
      <c r="VKE3" s="494"/>
      <c r="VKF3" s="494"/>
      <c r="VKG3" s="494"/>
      <c r="VKH3" s="494"/>
      <c r="VKI3" s="494"/>
      <c r="VKJ3" s="494"/>
      <c r="VKK3" s="494"/>
      <c r="VKL3" s="494"/>
      <c r="VKM3" s="494"/>
      <c r="VKN3" s="494"/>
      <c r="VKO3" s="494"/>
      <c r="VKP3" s="494"/>
      <c r="VKQ3" s="494"/>
      <c r="VKR3" s="494"/>
      <c r="VKS3" s="494"/>
      <c r="VKT3" s="494"/>
      <c r="VKU3" s="494"/>
      <c r="VKV3" s="494"/>
      <c r="VKW3" s="494"/>
      <c r="VKX3" s="494"/>
      <c r="VKY3" s="494"/>
      <c r="VKZ3" s="494"/>
      <c r="VLA3" s="494"/>
      <c r="VLB3" s="494"/>
      <c r="VLC3" s="494"/>
      <c r="VLD3" s="494"/>
      <c r="VLE3" s="494"/>
      <c r="VLF3" s="494"/>
      <c r="VLG3" s="494"/>
      <c r="VLH3" s="494"/>
      <c r="VLI3" s="494"/>
      <c r="VLJ3" s="494"/>
      <c r="VLK3" s="494"/>
      <c r="VLL3" s="494"/>
      <c r="VLM3" s="494"/>
      <c r="VLN3" s="494"/>
      <c r="VLO3" s="494"/>
      <c r="VLP3" s="494"/>
      <c r="VLQ3" s="494"/>
      <c r="VLR3" s="494"/>
      <c r="VLS3" s="494"/>
      <c r="VLT3" s="494"/>
      <c r="VLU3" s="494"/>
      <c r="VLV3" s="494"/>
      <c r="VLW3" s="494"/>
      <c r="VLX3" s="494"/>
      <c r="VLY3" s="494"/>
      <c r="VLZ3" s="494"/>
      <c r="VMA3" s="494"/>
      <c r="VMB3" s="494"/>
      <c r="VMC3" s="494"/>
      <c r="VMD3" s="494"/>
      <c r="VME3" s="494"/>
      <c r="VMF3" s="494"/>
      <c r="VMG3" s="494"/>
      <c r="VMH3" s="494"/>
      <c r="VMI3" s="494"/>
      <c r="VMJ3" s="494"/>
      <c r="VMK3" s="494"/>
      <c r="VML3" s="494"/>
      <c r="VMM3" s="494"/>
      <c r="VMN3" s="494"/>
      <c r="VMO3" s="494"/>
      <c r="VMP3" s="494"/>
      <c r="VMQ3" s="494"/>
      <c r="VMR3" s="494"/>
      <c r="VMS3" s="494"/>
      <c r="VMT3" s="494"/>
      <c r="VMU3" s="494"/>
      <c r="VMV3" s="494"/>
      <c r="VMW3" s="494"/>
      <c r="VMX3" s="494"/>
      <c r="VMY3" s="494"/>
      <c r="VMZ3" s="494"/>
      <c r="VNA3" s="494"/>
      <c r="VNB3" s="494"/>
      <c r="VNC3" s="494"/>
      <c r="VND3" s="494"/>
      <c r="VNE3" s="494"/>
      <c r="VNF3" s="494"/>
      <c r="VNG3" s="494"/>
      <c r="VNH3" s="494"/>
      <c r="VNI3" s="494"/>
      <c r="VNJ3" s="494"/>
      <c r="VNK3" s="494"/>
      <c r="VNL3" s="494"/>
      <c r="VNM3" s="494"/>
      <c r="VNN3" s="494"/>
      <c r="VNO3" s="494"/>
      <c r="VNP3" s="494"/>
      <c r="VNQ3" s="494"/>
      <c r="VNR3" s="494"/>
      <c r="VNS3" s="494"/>
      <c r="VNT3" s="494"/>
      <c r="VNU3" s="494"/>
      <c r="VNV3" s="494"/>
      <c r="VNW3" s="494"/>
      <c r="VNX3" s="494"/>
      <c r="VNY3" s="494"/>
      <c r="VNZ3" s="494"/>
      <c r="VOA3" s="494"/>
      <c r="VOB3" s="494"/>
      <c r="VOC3" s="494"/>
      <c r="VOD3" s="494"/>
      <c r="VOE3" s="494"/>
      <c r="VOF3" s="494"/>
      <c r="VOG3" s="494"/>
      <c r="VOH3" s="494"/>
      <c r="VOI3" s="494"/>
      <c r="VOJ3" s="494"/>
      <c r="VOK3" s="494"/>
      <c r="VOL3" s="494"/>
      <c r="VOM3" s="494"/>
      <c r="VON3" s="494"/>
      <c r="VOO3" s="494"/>
      <c r="VOP3" s="494"/>
      <c r="VOQ3" s="494"/>
      <c r="VOR3" s="494"/>
      <c r="VOS3" s="494"/>
      <c r="VOT3" s="494"/>
      <c r="VOU3" s="494"/>
      <c r="VOV3" s="494"/>
      <c r="VOW3" s="494"/>
      <c r="VOX3" s="494"/>
      <c r="VOY3" s="494"/>
      <c r="VOZ3" s="494"/>
      <c r="VPA3" s="494"/>
      <c r="VPB3" s="494"/>
      <c r="VPC3" s="494"/>
      <c r="VPD3" s="494"/>
      <c r="VPE3" s="494"/>
      <c r="VPF3" s="494"/>
      <c r="VPG3" s="494"/>
      <c r="VPH3" s="494"/>
      <c r="VPI3" s="494"/>
      <c r="VPJ3" s="494"/>
      <c r="VPK3" s="494"/>
      <c r="VPL3" s="494"/>
      <c r="VPM3" s="494"/>
      <c r="VPN3" s="494"/>
      <c r="VPO3" s="494"/>
      <c r="VPP3" s="494"/>
      <c r="VPQ3" s="494"/>
      <c r="VPR3" s="494"/>
      <c r="VPS3" s="494"/>
      <c r="VPT3" s="494"/>
      <c r="VPU3" s="494"/>
      <c r="VPV3" s="494"/>
      <c r="VPW3" s="494"/>
      <c r="VPX3" s="494"/>
      <c r="VPY3" s="494"/>
      <c r="VPZ3" s="494"/>
      <c r="VQA3" s="494"/>
      <c r="VQB3" s="494"/>
      <c r="VQC3" s="494"/>
      <c r="VQD3" s="494"/>
      <c r="VQE3" s="494"/>
      <c r="VQF3" s="494"/>
      <c r="VQG3" s="494"/>
      <c r="VQH3" s="494"/>
      <c r="VQI3" s="494"/>
      <c r="VQJ3" s="494"/>
      <c r="VQK3" s="494"/>
      <c r="VQL3" s="494"/>
      <c r="VQM3" s="494"/>
      <c r="VQN3" s="494"/>
      <c r="VQO3" s="494"/>
      <c r="VQP3" s="494"/>
      <c r="VQQ3" s="494"/>
      <c r="VQR3" s="494"/>
      <c r="VQS3" s="494"/>
      <c r="VQT3" s="494"/>
      <c r="VQU3" s="494"/>
      <c r="VQV3" s="494"/>
      <c r="VQW3" s="494"/>
      <c r="VQX3" s="494"/>
      <c r="VQY3" s="494"/>
      <c r="VQZ3" s="494"/>
      <c r="VRA3" s="494"/>
      <c r="VRB3" s="494"/>
      <c r="VRC3" s="494"/>
      <c r="VRD3" s="494"/>
      <c r="VRE3" s="494"/>
      <c r="VRF3" s="494"/>
      <c r="VRG3" s="494"/>
      <c r="VRH3" s="494"/>
      <c r="VRI3" s="494"/>
      <c r="VRJ3" s="494"/>
      <c r="VRK3" s="494"/>
      <c r="VRL3" s="494"/>
      <c r="VRM3" s="494"/>
      <c r="VRN3" s="494"/>
      <c r="VRO3" s="494"/>
      <c r="VRP3" s="494"/>
      <c r="VRQ3" s="494"/>
      <c r="VRR3" s="494"/>
      <c r="VRS3" s="494"/>
      <c r="VRT3" s="494"/>
      <c r="VRU3" s="494"/>
      <c r="VRV3" s="494"/>
      <c r="VRW3" s="494"/>
      <c r="VRX3" s="494"/>
      <c r="VRY3" s="494"/>
      <c r="VRZ3" s="494"/>
      <c r="VSA3" s="494"/>
      <c r="VSB3" s="494"/>
      <c r="VSC3" s="494"/>
      <c r="VSD3" s="494"/>
      <c r="VSE3" s="494"/>
      <c r="VSF3" s="494"/>
      <c r="VSG3" s="494"/>
      <c r="VSH3" s="494"/>
      <c r="VSI3" s="494"/>
      <c r="VSJ3" s="494"/>
      <c r="VSK3" s="494"/>
      <c r="VSL3" s="494"/>
      <c r="VSM3" s="494"/>
      <c r="VSN3" s="494"/>
      <c r="VSO3" s="494"/>
      <c r="VSP3" s="494"/>
      <c r="VSQ3" s="494"/>
      <c r="VSR3" s="494"/>
      <c r="VSS3" s="494"/>
      <c r="VST3" s="494"/>
      <c r="VSU3" s="494"/>
      <c r="VSV3" s="494"/>
      <c r="VSW3" s="494"/>
      <c r="VSX3" s="494"/>
      <c r="VSY3" s="494"/>
      <c r="VSZ3" s="494"/>
      <c r="VTA3" s="494"/>
      <c r="VTB3" s="494"/>
      <c r="VTC3" s="494"/>
      <c r="VTD3" s="494"/>
      <c r="VTE3" s="494"/>
      <c r="VTF3" s="494"/>
      <c r="VTG3" s="494"/>
      <c r="VTH3" s="494"/>
      <c r="VTI3" s="494"/>
      <c r="VTJ3" s="494"/>
      <c r="VTK3" s="494"/>
      <c r="VTL3" s="494"/>
      <c r="VTM3" s="494"/>
      <c r="VTN3" s="494"/>
      <c r="VTO3" s="494"/>
      <c r="VTP3" s="494"/>
      <c r="VTQ3" s="494"/>
      <c r="VTR3" s="494"/>
      <c r="VTS3" s="494"/>
      <c r="VTT3" s="494"/>
      <c r="VTU3" s="494"/>
      <c r="VTV3" s="494"/>
      <c r="VTW3" s="494"/>
      <c r="VTX3" s="494"/>
      <c r="VTY3" s="494"/>
      <c r="VTZ3" s="494"/>
      <c r="VUA3" s="494"/>
      <c r="VUB3" s="494"/>
      <c r="VUC3" s="494"/>
      <c r="VUD3" s="494"/>
      <c r="VUE3" s="494"/>
      <c r="VUF3" s="494"/>
      <c r="VUG3" s="494"/>
      <c r="VUH3" s="494"/>
      <c r="VUI3" s="494"/>
      <c r="VUJ3" s="494"/>
      <c r="VUK3" s="494"/>
      <c r="VUL3" s="494"/>
      <c r="VUM3" s="494"/>
      <c r="VUN3" s="494"/>
      <c r="VUO3" s="494"/>
      <c r="VUP3" s="494"/>
      <c r="VUQ3" s="494"/>
      <c r="VUR3" s="494"/>
      <c r="VUS3" s="494"/>
      <c r="VUT3" s="494"/>
      <c r="VUU3" s="494"/>
      <c r="VUV3" s="494"/>
      <c r="VUW3" s="494"/>
      <c r="VUX3" s="494"/>
      <c r="VUY3" s="494"/>
      <c r="VUZ3" s="494"/>
      <c r="VVA3" s="494"/>
      <c r="VVB3" s="494"/>
      <c r="VVC3" s="494"/>
      <c r="VVD3" s="494"/>
      <c r="VVE3" s="494"/>
      <c r="VVF3" s="494"/>
      <c r="VVG3" s="494"/>
      <c r="VVH3" s="494"/>
      <c r="VVI3" s="494"/>
      <c r="VVJ3" s="494"/>
      <c r="VVK3" s="494"/>
      <c r="VVL3" s="494"/>
      <c r="VVM3" s="494"/>
      <c r="VVN3" s="494"/>
      <c r="VVO3" s="494"/>
      <c r="VVP3" s="494"/>
      <c r="VVQ3" s="494"/>
      <c r="VVR3" s="494"/>
      <c r="VVS3" s="494"/>
      <c r="VVT3" s="494"/>
      <c r="VVU3" s="494"/>
      <c r="VVV3" s="494"/>
      <c r="VVW3" s="494"/>
      <c r="VVX3" s="494"/>
      <c r="VVY3" s="494"/>
      <c r="VVZ3" s="494"/>
      <c r="VWA3" s="494"/>
      <c r="VWB3" s="494"/>
      <c r="VWC3" s="494"/>
      <c r="VWD3" s="494"/>
      <c r="VWE3" s="494"/>
      <c r="VWF3" s="494"/>
      <c r="VWG3" s="494"/>
      <c r="VWH3" s="494"/>
      <c r="VWI3" s="494"/>
      <c r="VWJ3" s="494"/>
      <c r="VWK3" s="494"/>
      <c r="VWL3" s="494"/>
      <c r="VWM3" s="494"/>
      <c r="VWN3" s="494"/>
      <c r="VWO3" s="494"/>
      <c r="VWP3" s="494"/>
      <c r="VWQ3" s="494"/>
      <c r="VWR3" s="494"/>
      <c r="VWS3" s="494"/>
      <c r="VWT3" s="494"/>
      <c r="VWU3" s="494"/>
      <c r="VWV3" s="494"/>
      <c r="VWW3" s="494"/>
      <c r="VWX3" s="494"/>
      <c r="VWY3" s="494"/>
      <c r="VWZ3" s="494"/>
      <c r="VXA3" s="494"/>
      <c r="VXB3" s="494"/>
      <c r="VXC3" s="494"/>
      <c r="VXD3" s="494"/>
      <c r="VXE3" s="494"/>
      <c r="VXF3" s="494"/>
      <c r="VXG3" s="494"/>
      <c r="VXH3" s="494"/>
      <c r="VXI3" s="494"/>
      <c r="VXJ3" s="494"/>
      <c r="VXK3" s="494"/>
      <c r="VXL3" s="494"/>
      <c r="VXM3" s="494"/>
      <c r="VXN3" s="494"/>
      <c r="VXO3" s="494"/>
      <c r="VXP3" s="494"/>
      <c r="VXQ3" s="494"/>
      <c r="VXR3" s="494"/>
      <c r="VXS3" s="494"/>
      <c r="VXT3" s="494"/>
      <c r="VXU3" s="494"/>
      <c r="VXV3" s="494"/>
      <c r="VXW3" s="494"/>
      <c r="VXX3" s="494"/>
      <c r="VXY3" s="494"/>
      <c r="VXZ3" s="494"/>
      <c r="VYA3" s="494"/>
      <c r="VYB3" s="494"/>
      <c r="VYC3" s="494"/>
      <c r="VYD3" s="494"/>
      <c r="VYE3" s="494"/>
      <c r="VYF3" s="494"/>
      <c r="VYG3" s="494"/>
      <c r="VYH3" s="494"/>
      <c r="VYI3" s="494"/>
      <c r="VYJ3" s="494"/>
      <c r="VYK3" s="494"/>
      <c r="VYL3" s="494"/>
      <c r="VYM3" s="494"/>
      <c r="VYN3" s="494"/>
      <c r="VYO3" s="494"/>
      <c r="VYP3" s="494"/>
      <c r="VYQ3" s="494"/>
      <c r="VYR3" s="494"/>
      <c r="VYS3" s="494"/>
      <c r="VYT3" s="494"/>
      <c r="VYU3" s="494"/>
      <c r="VYV3" s="494"/>
      <c r="VYW3" s="494"/>
      <c r="VYX3" s="494"/>
      <c r="VYY3" s="494"/>
      <c r="VYZ3" s="494"/>
      <c r="VZA3" s="494"/>
      <c r="VZB3" s="494"/>
      <c r="VZC3" s="494"/>
      <c r="VZD3" s="494"/>
      <c r="VZE3" s="494"/>
      <c r="VZF3" s="494"/>
      <c r="VZG3" s="494"/>
      <c r="VZH3" s="494"/>
      <c r="VZI3" s="494"/>
      <c r="VZJ3" s="494"/>
      <c r="VZK3" s="494"/>
      <c r="VZL3" s="494"/>
      <c r="VZM3" s="494"/>
      <c r="VZN3" s="494"/>
      <c r="VZO3" s="494"/>
      <c r="VZP3" s="494"/>
      <c r="VZQ3" s="494"/>
      <c r="VZR3" s="494"/>
      <c r="VZS3" s="494"/>
      <c r="VZT3" s="494"/>
      <c r="VZU3" s="494"/>
      <c r="VZV3" s="494"/>
      <c r="VZW3" s="494"/>
      <c r="VZX3" s="494"/>
      <c r="VZY3" s="494"/>
      <c r="VZZ3" s="494"/>
      <c r="WAA3" s="494"/>
      <c r="WAB3" s="494"/>
      <c r="WAC3" s="494"/>
      <c r="WAD3" s="494"/>
      <c r="WAE3" s="494"/>
      <c r="WAF3" s="494"/>
      <c r="WAG3" s="494"/>
      <c r="WAH3" s="494"/>
      <c r="WAI3" s="494"/>
      <c r="WAJ3" s="494"/>
      <c r="WAK3" s="494"/>
      <c r="WAL3" s="494"/>
      <c r="WAM3" s="494"/>
      <c r="WAN3" s="494"/>
      <c r="WAO3" s="494"/>
      <c r="WAP3" s="494"/>
      <c r="WAQ3" s="494"/>
      <c r="WAR3" s="494"/>
      <c r="WAS3" s="494"/>
      <c r="WAT3" s="494"/>
      <c r="WAU3" s="494"/>
      <c r="WAV3" s="494"/>
      <c r="WAW3" s="494"/>
      <c r="WAX3" s="494"/>
      <c r="WAY3" s="494"/>
      <c r="WAZ3" s="494"/>
      <c r="WBA3" s="494"/>
      <c r="WBB3" s="494"/>
      <c r="WBC3" s="494"/>
      <c r="WBD3" s="494"/>
      <c r="WBE3" s="494"/>
      <c r="WBF3" s="494"/>
      <c r="WBG3" s="494"/>
      <c r="WBH3" s="494"/>
      <c r="WBI3" s="494"/>
      <c r="WBJ3" s="494"/>
      <c r="WBK3" s="494"/>
      <c r="WBL3" s="494"/>
      <c r="WBM3" s="494"/>
      <c r="WBN3" s="494"/>
      <c r="WBO3" s="494"/>
      <c r="WBP3" s="494"/>
      <c r="WBQ3" s="494"/>
      <c r="WBR3" s="494"/>
      <c r="WBS3" s="494"/>
      <c r="WBT3" s="494"/>
      <c r="WBU3" s="494"/>
      <c r="WBV3" s="494"/>
      <c r="WBW3" s="494"/>
      <c r="WBX3" s="494"/>
      <c r="WBY3" s="494"/>
      <c r="WBZ3" s="494"/>
      <c r="WCA3" s="494"/>
      <c r="WCB3" s="494"/>
      <c r="WCC3" s="494"/>
      <c r="WCD3" s="494"/>
      <c r="WCE3" s="494"/>
      <c r="WCF3" s="494"/>
      <c r="WCG3" s="494"/>
      <c r="WCH3" s="494"/>
      <c r="WCI3" s="494"/>
      <c r="WCJ3" s="494"/>
      <c r="WCK3" s="494"/>
      <c r="WCL3" s="494"/>
      <c r="WCM3" s="494"/>
      <c r="WCN3" s="494"/>
      <c r="WCO3" s="494"/>
      <c r="WCP3" s="494"/>
      <c r="WCQ3" s="494"/>
      <c r="WCR3" s="494"/>
      <c r="WCS3" s="494"/>
      <c r="WCT3" s="494"/>
      <c r="WCU3" s="494"/>
      <c r="WCV3" s="494"/>
      <c r="WCW3" s="494"/>
      <c r="WCX3" s="494"/>
      <c r="WCY3" s="494"/>
      <c r="WCZ3" s="494"/>
      <c r="WDA3" s="494"/>
      <c r="WDB3" s="494"/>
      <c r="WDC3" s="494"/>
      <c r="WDD3" s="494"/>
      <c r="WDE3" s="494"/>
      <c r="WDF3" s="494"/>
      <c r="WDG3" s="494"/>
      <c r="WDH3" s="494"/>
      <c r="WDI3" s="494"/>
      <c r="WDJ3" s="494"/>
      <c r="WDK3" s="494"/>
      <c r="WDL3" s="494"/>
      <c r="WDM3" s="494"/>
      <c r="WDN3" s="494"/>
      <c r="WDO3" s="494"/>
      <c r="WDP3" s="494"/>
      <c r="WDQ3" s="494"/>
      <c r="WDR3" s="494"/>
      <c r="WDS3" s="494"/>
      <c r="WDT3" s="494"/>
      <c r="WDU3" s="494"/>
      <c r="WDV3" s="494"/>
      <c r="WDW3" s="494"/>
      <c r="WDX3" s="494"/>
      <c r="WDY3" s="494"/>
      <c r="WDZ3" s="494"/>
      <c r="WEA3" s="494"/>
      <c r="WEB3" s="494"/>
      <c r="WEC3" s="494"/>
      <c r="WED3" s="494"/>
      <c r="WEE3" s="494"/>
      <c r="WEF3" s="494"/>
      <c r="WEG3" s="494"/>
      <c r="WEH3" s="494"/>
      <c r="WEI3" s="494"/>
      <c r="WEJ3" s="494"/>
      <c r="WEK3" s="494"/>
      <c r="WEL3" s="494"/>
      <c r="WEM3" s="494"/>
      <c r="WEN3" s="494"/>
      <c r="WEO3" s="494"/>
      <c r="WEP3" s="494"/>
      <c r="WEQ3" s="494"/>
      <c r="WER3" s="494"/>
      <c r="WES3" s="494"/>
      <c r="WET3" s="494"/>
      <c r="WEU3" s="494"/>
      <c r="WEV3" s="494"/>
      <c r="WEW3" s="494"/>
      <c r="WEX3" s="494"/>
      <c r="WEY3" s="494"/>
      <c r="WEZ3" s="494"/>
      <c r="WFA3" s="494"/>
      <c r="WFB3" s="494"/>
      <c r="WFC3" s="494"/>
      <c r="WFD3" s="494"/>
      <c r="WFE3" s="494"/>
      <c r="WFF3" s="494"/>
      <c r="WFG3" s="494"/>
      <c r="WFH3" s="494"/>
      <c r="WFI3" s="494"/>
      <c r="WFJ3" s="494"/>
      <c r="WFK3" s="494"/>
      <c r="WFL3" s="494"/>
      <c r="WFM3" s="494"/>
      <c r="WFN3" s="494"/>
      <c r="WFO3" s="494"/>
      <c r="WFP3" s="494"/>
      <c r="WFQ3" s="494"/>
      <c r="WFR3" s="494"/>
      <c r="WFS3" s="494"/>
      <c r="WFT3" s="494"/>
      <c r="WFU3" s="494"/>
      <c r="WFV3" s="494"/>
      <c r="WFW3" s="494"/>
      <c r="WFX3" s="494"/>
      <c r="WFY3" s="494"/>
      <c r="WFZ3" s="494"/>
      <c r="WGA3" s="494"/>
      <c r="WGB3" s="494"/>
      <c r="WGC3" s="494"/>
      <c r="WGD3" s="494"/>
      <c r="WGE3" s="494"/>
      <c r="WGF3" s="494"/>
      <c r="WGG3" s="494"/>
      <c r="WGH3" s="494"/>
      <c r="WGI3" s="494"/>
      <c r="WGJ3" s="494"/>
      <c r="WGK3" s="494"/>
      <c r="WGL3" s="494"/>
      <c r="WGM3" s="494"/>
      <c r="WGN3" s="494"/>
      <c r="WGO3" s="494"/>
      <c r="WGP3" s="494"/>
      <c r="WGQ3" s="494"/>
      <c r="WGR3" s="494"/>
      <c r="WGS3" s="494"/>
      <c r="WGT3" s="494"/>
      <c r="WGU3" s="494"/>
      <c r="WGV3" s="494"/>
      <c r="WGW3" s="494"/>
      <c r="WGX3" s="494"/>
      <c r="WGY3" s="494"/>
      <c r="WGZ3" s="494"/>
      <c r="WHA3" s="494"/>
      <c r="WHB3" s="494"/>
      <c r="WHC3" s="494"/>
      <c r="WHD3" s="494"/>
      <c r="WHE3" s="494"/>
      <c r="WHF3" s="494"/>
      <c r="WHG3" s="494"/>
      <c r="WHH3" s="494"/>
      <c r="WHI3" s="494"/>
      <c r="WHJ3" s="494"/>
      <c r="WHK3" s="494"/>
      <c r="WHL3" s="494"/>
      <c r="WHM3" s="494"/>
      <c r="WHN3" s="494"/>
      <c r="WHO3" s="494"/>
      <c r="WHP3" s="494"/>
      <c r="WHQ3" s="494"/>
      <c r="WHR3" s="494"/>
      <c r="WHS3" s="494"/>
      <c r="WHT3" s="494"/>
      <c r="WHU3" s="494"/>
      <c r="WHV3" s="494"/>
      <c r="WHW3" s="494"/>
      <c r="WHX3" s="494"/>
      <c r="WHY3" s="494"/>
      <c r="WHZ3" s="494"/>
      <c r="WIA3" s="494"/>
      <c r="WIB3" s="494"/>
      <c r="WIC3" s="494"/>
      <c r="WID3" s="494"/>
      <c r="WIE3" s="494"/>
      <c r="WIF3" s="494"/>
      <c r="WIG3" s="494"/>
      <c r="WIH3" s="494"/>
      <c r="WII3" s="494"/>
      <c r="WIJ3" s="494"/>
      <c r="WIK3" s="494"/>
      <c r="WIL3" s="494"/>
      <c r="WIM3" s="494"/>
      <c r="WIN3" s="494"/>
      <c r="WIO3" s="494"/>
      <c r="WIP3" s="494"/>
      <c r="WIQ3" s="494"/>
      <c r="WIR3" s="494"/>
      <c r="WIS3" s="494"/>
      <c r="WIT3" s="494"/>
      <c r="WIU3" s="494"/>
      <c r="WIV3" s="494"/>
      <c r="WIW3" s="494"/>
      <c r="WIX3" s="494"/>
      <c r="WIY3" s="494"/>
      <c r="WIZ3" s="494"/>
      <c r="WJA3" s="494"/>
      <c r="WJB3" s="494"/>
      <c r="WJC3" s="494"/>
      <c r="WJD3" s="494"/>
      <c r="WJE3" s="494"/>
      <c r="WJF3" s="494"/>
      <c r="WJG3" s="494"/>
      <c r="WJH3" s="494"/>
      <c r="WJI3" s="494"/>
      <c r="WJJ3" s="494"/>
      <c r="WJK3" s="494"/>
      <c r="WJL3" s="494"/>
      <c r="WJM3" s="494"/>
      <c r="WJN3" s="494"/>
      <c r="WJO3" s="494"/>
      <c r="WJP3" s="494"/>
      <c r="WJQ3" s="494"/>
      <c r="WJR3" s="494"/>
      <c r="WJS3" s="494"/>
      <c r="WJT3" s="494"/>
      <c r="WJU3" s="494"/>
      <c r="WJV3" s="494"/>
      <c r="WJW3" s="494"/>
      <c r="WJX3" s="494"/>
      <c r="WJY3" s="494"/>
      <c r="WJZ3" s="494"/>
      <c r="WKA3" s="494"/>
      <c r="WKB3" s="494"/>
      <c r="WKC3" s="494"/>
      <c r="WKD3" s="494"/>
      <c r="WKE3" s="494"/>
      <c r="WKF3" s="494"/>
      <c r="WKG3" s="494"/>
      <c r="WKH3" s="494"/>
      <c r="WKI3" s="494"/>
      <c r="WKJ3" s="494"/>
      <c r="WKK3" s="494"/>
      <c r="WKL3" s="494"/>
      <c r="WKM3" s="494"/>
      <c r="WKN3" s="494"/>
      <c r="WKO3" s="494"/>
      <c r="WKP3" s="494"/>
      <c r="WKQ3" s="494"/>
      <c r="WKR3" s="494"/>
      <c r="WKS3" s="494"/>
      <c r="WKT3" s="494"/>
      <c r="WKU3" s="494"/>
      <c r="WKV3" s="494"/>
      <c r="WKW3" s="494"/>
      <c r="WKX3" s="494"/>
      <c r="WKY3" s="494"/>
      <c r="WKZ3" s="494"/>
      <c r="WLA3" s="494"/>
      <c r="WLB3" s="494"/>
      <c r="WLC3" s="494"/>
      <c r="WLD3" s="494"/>
      <c r="WLE3" s="494"/>
      <c r="WLF3" s="494"/>
      <c r="WLG3" s="494"/>
      <c r="WLH3" s="494"/>
      <c r="WLI3" s="494"/>
      <c r="WLJ3" s="494"/>
      <c r="WLK3" s="494"/>
      <c r="WLL3" s="494"/>
      <c r="WLM3" s="494"/>
      <c r="WLN3" s="494"/>
      <c r="WLO3" s="494"/>
      <c r="WLP3" s="494"/>
      <c r="WLQ3" s="494"/>
      <c r="WLR3" s="494"/>
      <c r="WLS3" s="494"/>
      <c r="WLT3" s="494"/>
      <c r="WLU3" s="494"/>
      <c r="WLV3" s="494"/>
      <c r="WLW3" s="494"/>
      <c r="WLX3" s="494"/>
      <c r="WLY3" s="494"/>
      <c r="WLZ3" s="494"/>
      <c r="WMA3" s="494"/>
      <c r="WMB3" s="494"/>
      <c r="WMC3" s="494"/>
      <c r="WMD3" s="494"/>
      <c r="WME3" s="494"/>
      <c r="WMF3" s="494"/>
      <c r="WMG3" s="494"/>
      <c r="WMH3" s="494"/>
      <c r="WMI3" s="494"/>
      <c r="WMJ3" s="494"/>
      <c r="WMK3" s="494"/>
      <c r="WML3" s="494"/>
      <c r="WMM3" s="494"/>
      <c r="WMN3" s="494"/>
      <c r="WMO3" s="494"/>
      <c r="WMP3" s="494"/>
      <c r="WMQ3" s="494"/>
      <c r="WMR3" s="494"/>
      <c r="WMS3" s="494"/>
      <c r="WMT3" s="494"/>
      <c r="WMU3" s="494"/>
      <c r="WMV3" s="494"/>
      <c r="WMW3" s="494"/>
      <c r="WMX3" s="494"/>
      <c r="WMY3" s="494"/>
      <c r="WMZ3" s="494"/>
      <c r="WNA3" s="494"/>
      <c r="WNB3" s="494"/>
      <c r="WNC3" s="494"/>
      <c r="WND3" s="494"/>
      <c r="WNE3" s="494"/>
      <c r="WNF3" s="494"/>
      <c r="WNG3" s="494"/>
      <c r="WNH3" s="494"/>
      <c r="WNI3" s="494"/>
      <c r="WNJ3" s="494"/>
      <c r="WNK3" s="494"/>
      <c r="WNL3" s="494"/>
      <c r="WNM3" s="494"/>
      <c r="WNN3" s="494"/>
      <c r="WNO3" s="494"/>
      <c r="WNP3" s="494"/>
      <c r="WNQ3" s="494"/>
      <c r="WNR3" s="494"/>
      <c r="WNS3" s="494"/>
      <c r="WNT3" s="494"/>
      <c r="WNU3" s="494"/>
      <c r="WNV3" s="494"/>
      <c r="WNW3" s="494"/>
      <c r="WNX3" s="494"/>
      <c r="WNY3" s="494"/>
      <c r="WNZ3" s="494"/>
      <c r="WOA3" s="494"/>
      <c r="WOB3" s="494"/>
      <c r="WOC3" s="494"/>
      <c r="WOD3" s="494"/>
      <c r="WOE3" s="494"/>
      <c r="WOF3" s="494"/>
      <c r="WOG3" s="494"/>
      <c r="WOH3" s="494"/>
      <c r="WOI3" s="494"/>
      <c r="WOJ3" s="494"/>
      <c r="WOK3" s="494"/>
      <c r="WOL3" s="494"/>
      <c r="WOM3" s="494"/>
      <c r="WON3" s="494"/>
      <c r="WOO3" s="494"/>
      <c r="WOP3" s="494"/>
      <c r="WOQ3" s="494"/>
      <c r="WOR3" s="494"/>
      <c r="WOS3" s="494"/>
      <c r="WOT3" s="494"/>
      <c r="WOU3" s="494"/>
      <c r="WOV3" s="494"/>
      <c r="WOW3" s="494"/>
      <c r="WOX3" s="494"/>
      <c r="WOY3" s="494"/>
      <c r="WOZ3" s="494"/>
      <c r="WPA3" s="494"/>
      <c r="WPB3" s="494"/>
      <c r="WPC3" s="494"/>
      <c r="WPD3" s="494"/>
      <c r="WPE3" s="494"/>
      <c r="WPF3" s="494"/>
      <c r="WPG3" s="494"/>
      <c r="WPH3" s="494"/>
      <c r="WPI3" s="494"/>
      <c r="WPJ3" s="494"/>
      <c r="WPK3" s="494"/>
      <c r="WPL3" s="494"/>
      <c r="WPM3" s="494"/>
      <c r="WPN3" s="494"/>
      <c r="WPO3" s="494"/>
      <c r="WPP3" s="494"/>
      <c r="WPQ3" s="494"/>
      <c r="WPR3" s="494"/>
      <c r="WPS3" s="494"/>
      <c r="WPT3" s="494"/>
      <c r="WPU3" s="494"/>
      <c r="WPV3" s="494"/>
      <c r="WPW3" s="494"/>
      <c r="WPX3" s="494"/>
      <c r="WPY3" s="494"/>
      <c r="WPZ3" s="494"/>
      <c r="WQA3" s="494"/>
      <c r="WQB3" s="494"/>
      <c r="WQC3" s="494"/>
      <c r="WQD3" s="494"/>
      <c r="WQE3" s="494"/>
      <c r="WQF3" s="494"/>
      <c r="WQG3" s="494"/>
      <c r="WQH3" s="494"/>
      <c r="WQI3" s="494"/>
      <c r="WQJ3" s="494"/>
      <c r="WQK3" s="494"/>
      <c r="WQL3" s="494"/>
      <c r="WQM3" s="494"/>
      <c r="WQN3" s="494"/>
      <c r="WQO3" s="494"/>
      <c r="WQP3" s="494"/>
      <c r="WQQ3" s="494"/>
      <c r="WQR3" s="494"/>
      <c r="WQS3" s="494"/>
      <c r="WQT3" s="494"/>
      <c r="WQU3" s="494"/>
      <c r="WQV3" s="494"/>
      <c r="WQW3" s="494"/>
      <c r="WQX3" s="494"/>
      <c r="WQY3" s="494"/>
      <c r="WQZ3" s="494"/>
      <c r="WRA3" s="494"/>
      <c r="WRB3" s="494"/>
      <c r="WRC3" s="494"/>
      <c r="WRD3" s="494"/>
      <c r="WRE3" s="494"/>
      <c r="WRF3" s="494"/>
      <c r="WRG3" s="494"/>
      <c r="WRH3" s="494"/>
      <c r="WRI3" s="494"/>
      <c r="WRJ3" s="494"/>
      <c r="WRK3" s="494"/>
      <c r="WRL3" s="494"/>
      <c r="WRM3" s="494"/>
      <c r="WRN3" s="494"/>
      <c r="WRO3" s="494"/>
      <c r="WRP3" s="494"/>
      <c r="WRQ3" s="494"/>
      <c r="WRR3" s="494"/>
      <c r="WRS3" s="494"/>
      <c r="WRT3" s="494"/>
      <c r="WRU3" s="494"/>
      <c r="WRV3" s="494"/>
      <c r="WRW3" s="494"/>
      <c r="WRX3" s="494"/>
      <c r="WRY3" s="494"/>
      <c r="WRZ3" s="494"/>
      <c r="WSA3" s="494"/>
      <c r="WSB3" s="494"/>
      <c r="WSC3" s="494"/>
      <c r="WSD3" s="494"/>
      <c r="WSE3" s="494"/>
      <c r="WSF3" s="494"/>
      <c r="WSG3" s="494"/>
      <c r="WSH3" s="494"/>
      <c r="WSI3" s="494"/>
      <c r="WSJ3" s="494"/>
      <c r="WSK3" s="494"/>
      <c r="WSL3" s="494"/>
      <c r="WSM3" s="494"/>
      <c r="WSN3" s="494"/>
      <c r="WSO3" s="494"/>
      <c r="WSP3" s="494"/>
      <c r="WSQ3" s="494"/>
      <c r="WSR3" s="494"/>
      <c r="WSS3" s="494"/>
      <c r="WST3" s="494"/>
      <c r="WSU3" s="494"/>
      <c r="WSV3" s="494"/>
      <c r="WSW3" s="494"/>
      <c r="WSX3" s="494"/>
      <c r="WSY3" s="494"/>
      <c r="WSZ3" s="494"/>
      <c r="WTA3" s="494"/>
      <c r="WTB3" s="494"/>
      <c r="WTC3" s="494"/>
      <c r="WTD3" s="494"/>
      <c r="WTE3" s="494"/>
      <c r="WTF3" s="494"/>
      <c r="WTG3" s="494"/>
      <c r="WTH3" s="494"/>
      <c r="WTI3" s="494"/>
      <c r="WTJ3" s="494"/>
      <c r="WTK3" s="494"/>
      <c r="WTL3" s="494"/>
      <c r="WTM3" s="494"/>
      <c r="WTN3" s="494"/>
      <c r="WTO3" s="494"/>
      <c r="WTP3" s="494"/>
      <c r="WTQ3" s="494"/>
      <c r="WTR3" s="494"/>
      <c r="WTS3" s="494"/>
      <c r="WTT3" s="494"/>
      <c r="WTU3" s="494"/>
      <c r="WTV3" s="494"/>
      <c r="WTW3" s="494"/>
      <c r="WTX3" s="494"/>
      <c r="WTY3" s="494"/>
      <c r="WTZ3" s="494"/>
      <c r="WUA3" s="494"/>
      <c r="WUB3" s="494"/>
      <c r="WUC3" s="494"/>
      <c r="WUD3" s="494"/>
      <c r="WUE3" s="494"/>
      <c r="WUF3" s="494"/>
      <c r="WUG3" s="494"/>
      <c r="WUH3" s="494"/>
      <c r="WUI3" s="494"/>
      <c r="WUJ3" s="494"/>
      <c r="WUK3" s="494"/>
      <c r="WUL3" s="494"/>
      <c r="WUM3" s="494"/>
      <c r="WUN3" s="494"/>
      <c r="WUO3" s="494"/>
      <c r="WUP3" s="494"/>
      <c r="WUQ3" s="494"/>
      <c r="WUR3" s="494"/>
      <c r="WUS3" s="494"/>
      <c r="WUT3" s="494"/>
      <c r="WUU3" s="494"/>
      <c r="WUV3" s="494"/>
      <c r="WUW3" s="494"/>
      <c r="WUX3" s="494"/>
      <c r="WUY3" s="494"/>
      <c r="WUZ3" s="494"/>
      <c r="WVA3" s="494"/>
      <c r="WVB3" s="494"/>
      <c r="WVC3" s="494"/>
      <c r="WVD3" s="494"/>
      <c r="WVE3" s="494"/>
      <c r="WVF3" s="494"/>
      <c r="WVG3" s="494"/>
      <c r="WVH3" s="494"/>
      <c r="WVI3" s="494"/>
      <c r="WVJ3" s="494"/>
      <c r="WVK3" s="494"/>
      <c r="WVL3" s="494"/>
      <c r="WVM3" s="494"/>
      <c r="WVN3" s="494"/>
      <c r="WVO3" s="494"/>
      <c r="WVP3" s="494"/>
      <c r="WVQ3" s="494"/>
      <c r="WVR3" s="494"/>
      <c r="WVS3" s="494"/>
      <c r="WVT3" s="494"/>
      <c r="WVU3" s="494"/>
      <c r="WVV3" s="494"/>
      <c r="WVW3" s="494"/>
      <c r="WVX3" s="494"/>
      <c r="WVY3" s="494"/>
      <c r="WVZ3" s="494"/>
      <c r="WWA3" s="494"/>
      <c r="WWB3" s="494"/>
      <c r="WWC3" s="494"/>
      <c r="WWD3" s="494"/>
      <c r="WWE3" s="494"/>
      <c r="WWF3" s="494"/>
      <c r="WWG3" s="494"/>
      <c r="WWH3" s="494"/>
      <c r="WWI3" s="494"/>
      <c r="WWJ3" s="494"/>
      <c r="WWK3" s="494"/>
      <c r="WWL3" s="494"/>
      <c r="WWM3" s="494"/>
      <c r="WWN3" s="494"/>
      <c r="WWO3" s="494"/>
      <c r="WWP3" s="494"/>
      <c r="WWQ3" s="494"/>
      <c r="WWR3" s="494"/>
      <c r="WWS3" s="494"/>
      <c r="WWT3" s="494"/>
      <c r="WWU3" s="494"/>
      <c r="WWV3" s="494"/>
      <c r="WWW3" s="494"/>
      <c r="WWX3" s="494"/>
      <c r="WWY3" s="494"/>
      <c r="WWZ3" s="494"/>
      <c r="WXA3" s="494"/>
      <c r="WXB3" s="494"/>
      <c r="WXC3" s="494"/>
      <c r="WXD3" s="494"/>
      <c r="WXE3" s="494"/>
      <c r="WXF3" s="494"/>
      <c r="WXG3" s="494"/>
      <c r="WXH3" s="494"/>
      <c r="WXI3" s="494"/>
      <c r="WXJ3" s="494"/>
      <c r="WXK3" s="494"/>
      <c r="WXL3" s="494"/>
      <c r="WXM3" s="494"/>
      <c r="WXN3" s="494"/>
      <c r="WXO3" s="494"/>
      <c r="WXP3" s="494"/>
      <c r="WXQ3" s="494"/>
      <c r="WXR3" s="494"/>
      <c r="WXS3" s="494"/>
      <c r="WXT3" s="494"/>
      <c r="WXU3" s="494"/>
      <c r="WXV3" s="494"/>
      <c r="WXW3" s="494"/>
      <c r="WXX3" s="494"/>
      <c r="WXY3" s="494"/>
      <c r="WXZ3" s="494"/>
      <c r="WYA3" s="494"/>
      <c r="WYB3" s="494"/>
      <c r="WYC3" s="494"/>
      <c r="WYD3" s="494"/>
      <c r="WYE3" s="494"/>
      <c r="WYF3" s="494"/>
      <c r="WYG3" s="494"/>
      <c r="WYH3" s="494"/>
      <c r="WYI3" s="494"/>
      <c r="WYJ3" s="494"/>
      <c r="WYK3" s="494"/>
      <c r="WYL3" s="494"/>
      <c r="WYM3" s="494"/>
      <c r="WYN3" s="494"/>
      <c r="WYO3" s="494"/>
      <c r="WYP3" s="494"/>
      <c r="WYQ3" s="494"/>
      <c r="WYR3" s="494"/>
      <c r="WYS3" s="494"/>
      <c r="WYT3" s="494"/>
      <c r="WYU3" s="494"/>
      <c r="WYV3" s="494"/>
      <c r="WYW3" s="494"/>
      <c r="WYX3" s="494"/>
      <c r="WYY3" s="494"/>
      <c r="WYZ3" s="494"/>
      <c r="WZA3" s="494"/>
      <c r="WZB3" s="494"/>
      <c r="WZC3" s="494"/>
      <c r="WZD3" s="494"/>
      <c r="WZE3" s="494"/>
      <c r="WZF3" s="494"/>
      <c r="WZG3" s="494"/>
      <c r="WZH3" s="494"/>
      <c r="WZI3" s="494"/>
      <c r="WZJ3" s="494"/>
      <c r="WZK3" s="494"/>
      <c r="WZL3" s="494"/>
      <c r="WZM3" s="494"/>
      <c r="WZN3" s="494"/>
      <c r="WZO3" s="494"/>
      <c r="WZP3" s="494"/>
      <c r="WZQ3" s="494"/>
      <c r="WZR3" s="494"/>
      <c r="WZS3" s="494"/>
      <c r="WZT3" s="494"/>
      <c r="WZU3" s="494"/>
      <c r="WZV3" s="494"/>
      <c r="WZW3" s="494"/>
      <c r="WZX3" s="494"/>
      <c r="WZY3" s="494"/>
      <c r="WZZ3" s="494"/>
      <c r="XAA3" s="494"/>
      <c r="XAB3" s="494"/>
      <c r="XAC3" s="494"/>
      <c r="XAD3" s="494"/>
      <c r="XAE3" s="494"/>
      <c r="XAF3" s="494"/>
      <c r="XAG3" s="494"/>
      <c r="XAH3" s="494"/>
      <c r="XAI3" s="494"/>
      <c r="XAJ3" s="494"/>
      <c r="XAK3" s="494"/>
      <c r="XAL3" s="494"/>
      <c r="XAM3" s="494"/>
      <c r="XAN3" s="494"/>
      <c r="XAO3" s="494"/>
      <c r="XAP3" s="494"/>
      <c r="XAQ3" s="494"/>
      <c r="XAR3" s="494"/>
      <c r="XAS3" s="494"/>
      <c r="XAT3" s="494"/>
      <c r="XAU3" s="494"/>
      <c r="XAV3" s="494"/>
      <c r="XAW3" s="494"/>
      <c r="XAX3" s="494"/>
      <c r="XAY3" s="494"/>
      <c r="XAZ3" s="494"/>
      <c r="XBA3" s="494"/>
      <c r="XBB3" s="494"/>
      <c r="XBC3" s="494"/>
      <c r="XBD3" s="494"/>
      <c r="XBE3" s="494"/>
      <c r="XBF3" s="494"/>
      <c r="XBG3" s="494"/>
      <c r="XBH3" s="494"/>
      <c r="XBI3" s="494"/>
      <c r="XBJ3" s="494"/>
      <c r="XBK3" s="494"/>
      <c r="XBL3" s="494"/>
      <c r="XBM3" s="494"/>
      <c r="XBN3" s="494"/>
      <c r="XBO3" s="494"/>
      <c r="XBP3" s="494"/>
      <c r="XBQ3" s="494"/>
      <c r="XBR3" s="494"/>
      <c r="XBS3" s="494"/>
      <c r="XBT3" s="494"/>
      <c r="XBU3" s="494"/>
      <c r="XBV3" s="494"/>
      <c r="XBW3" s="494"/>
      <c r="XBX3" s="494"/>
      <c r="XBY3" s="494"/>
      <c r="XBZ3" s="494"/>
      <c r="XCA3" s="494"/>
      <c r="XCB3" s="494"/>
      <c r="XCC3" s="494"/>
      <c r="XCD3" s="494"/>
      <c r="XCE3" s="494"/>
      <c r="XCF3" s="494"/>
      <c r="XCG3" s="494"/>
      <c r="XCH3" s="494"/>
      <c r="XCI3" s="494"/>
      <c r="XCJ3" s="494"/>
      <c r="XCK3" s="494"/>
      <c r="XCL3" s="494"/>
      <c r="XCM3" s="494"/>
      <c r="XCN3" s="494"/>
      <c r="XCO3" s="494"/>
      <c r="XCP3" s="494"/>
      <c r="XCQ3" s="494"/>
      <c r="XCR3" s="494"/>
      <c r="XCS3" s="494"/>
      <c r="XCT3" s="494"/>
      <c r="XCU3" s="494"/>
      <c r="XCV3" s="494"/>
      <c r="XCW3" s="494"/>
      <c r="XCX3" s="494"/>
      <c r="XCY3" s="494"/>
      <c r="XCZ3" s="494"/>
      <c r="XDA3" s="494"/>
      <c r="XDB3" s="494"/>
      <c r="XDC3" s="494"/>
      <c r="XDD3" s="494"/>
      <c r="XDE3" s="494"/>
      <c r="XDF3" s="494"/>
      <c r="XDG3" s="494"/>
      <c r="XDH3" s="494"/>
      <c r="XDI3" s="494"/>
      <c r="XDJ3" s="494"/>
      <c r="XDK3" s="494"/>
      <c r="XDL3" s="494"/>
      <c r="XDM3" s="494"/>
      <c r="XDN3" s="494"/>
      <c r="XDO3" s="494"/>
      <c r="XDP3" s="494"/>
      <c r="XDQ3" s="494"/>
      <c r="XDR3" s="494"/>
      <c r="XDS3" s="494"/>
      <c r="XDT3" s="494"/>
      <c r="XDU3" s="494"/>
      <c r="XDV3" s="494"/>
      <c r="XDW3" s="494"/>
      <c r="XDX3" s="494"/>
      <c r="XDY3" s="494"/>
      <c r="XDZ3" s="494"/>
      <c r="XEA3" s="494"/>
      <c r="XEB3" s="494"/>
      <c r="XEC3" s="494"/>
      <c r="XED3" s="494"/>
      <c r="XEE3" s="494"/>
      <c r="XEF3" s="494"/>
      <c r="XEG3" s="494"/>
      <c r="XEH3" s="494"/>
      <c r="XEI3" s="494"/>
      <c r="XEJ3" s="494"/>
      <c r="XEK3" s="494"/>
      <c r="XEL3" s="494"/>
      <c r="XEM3" s="494"/>
      <c r="XEN3" s="494"/>
      <c r="XEO3" s="494"/>
      <c r="XEP3" s="494"/>
      <c r="XEQ3" s="494"/>
      <c r="XER3" s="494"/>
      <c r="XES3" s="494"/>
      <c r="XET3" s="494"/>
      <c r="XEU3" s="494"/>
      <c r="XEV3" s="494"/>
      <c r="XEW3" s="494"/>
      <c r="XEX3" s="494"/>
      <c r="XEY3" s="494"/>
      <c r="XEZ3" s="494"/>
      <c r="XFA3" s="494"/>
      <c r="XFB3" s="494"/>
      <c r="XFC3" s="494"/>
      <c r="XFD3" s="494"/>
    </row>
    <row r="4" spans="1:16384" s="494" customFormat="1" ht="15" customHeight="1">
      <c r="B4" s="492"/>
      <c r="C4" s="495"/>
      <c r="D4" s="497"/>
      <c r="E4" s="497"/>
      <c r="F4" s="497"/>
      <c r="G4" s="497"/>
      <c r="H4" s="497"/>
      <c r="I4" s="497"/>
      <c r="J4" s="496"/>
      <c r="K4" s="496"/>
      <c r="L4" s="496"/>
      <c r="M4" s="496"/>
      <c r="N4" s="496"/>
      <c r="O4" s="496"/>
    </row>
    <row r="5" spans="1:16384" ht="31" customHeight="1">
      <c r="B5" s="332"/>
      <c r="C5" s="332"/>
      <c r="D5" s="332"/>
    </row>
    <row r="6" spans="1:16384" s="29" customFormat="1" ht="31" customHeight="1" thickBot="1">
      <c r="A6" s="866"/>
      <c r="B6" s="491" t="s">
        <v>1687</v>
      </c>
      <c r="C6" s="466"/>
      <c r="D6" s="466"/>
      <c r="E6" s="466"/>
      <c r="F6" s="466"/>
      <c r="G6" s="466"/>
      <c r="H6" s="466"/>
      <c r="I6" s="467"/>
      <c r="J6" s="467"/>
      <c r="K6" s="467"/>
      <c r="L6" s="468"/>
      <c r="M6" s="468"/>
      <c r="N6" s="468"/>
      <c r="O6" s="468"/>
      <c r="P6" s="468"/>
      <c r="Q6" s="468"/>
      <c r="R6" s="468"/>
      <c r="S6" s="468"/>
      <c r="T6" s="468"/>
      <c r="U6" s="468"/>
      <c r="V6" s="468"/>
      <c r="W6" s="468"/>
      <c r="X6" s="468"/>
      <c r="Y6" s="468"/>
      <c r="Z6" s="468"/>
      <c r="AA6" s="468"/>
      <c r="AB6" s="468"/>
    </row>
    <row r="7" spans="1:16384" ht="15" customHeight="1" thickTop="1"/>
    <row r="8" spans="1:16384" s="29" customFormat="1" ht="18" customHeight="1">
      <c r="B8" s="1144" t="s">
        <v>2442</v>
      </c>
      <c r="C8" s="1296"/>
      <c r="D8" s="1296"/>
      <c r="E8" s="1296"/>
      <c r="F8" s="1296"/>
      <c r="G8" s="1296"/>
    </row>
    <row r="9" spans="1:16384" s="29" customFormat="1" ht="18" customHeight="1">
      <c r="B9" s="1142" t="s">
        <v>1961</v>
      </c>
      <c r="C9" s="1143"/>
      <c r="D9" s="1143"/>
      <c r="E9" s="1143"/>
      <c r="F9" s="1143"/>
      <c r="G9" s="1143"/>
    </row>
    <row r="10" spans="1:16384" ht="15" customHeight="1">
      <c r="B10" s="437"/>
      <c r="C10" s="408"/>
      <c r="D10" s="408"/>
      <c r="E10" s="408"/>
      <c r="F10" s="408"/>
      <c r="G10" s="408"/>
    </row>
    <row r="11" spans="1:16384" ht="15" customHeight="1">
      <c r="B11" s="465" t="s">
        <v>1817</v>
      </c>
      <c r="C11" s="408"/>
      <c r="D11" s="408"/>
      <c r="E11" s="408"/>
      <c r="F11" s="408"/>
      <c r="G11" s="408"/>
    </row>
    <row r="12" spans="1:16384" ht="15" customHeight="1">
      <c r="B12" s="408"/>
      <c r="C12" s="408"/>
      <c r="D12" s="408"/>
      <c r="E12" s="408"/>
      <c r="F12" s="408"/>
      <c r="G12" s="408"/>
    </row>
    <row r="13" spans="1:16384" ht="31" customHeight="1">
      <c r="B13" s="1164" t="s">
        <v>1649</v>
      </c>
      <c r="C13" s="1207" t="s">
        <v>2352</v>
      </c>
      <c r="D13" s="1085"/>
      <c r="E13" s="1085"/>
      <c r="F13" s="1085"/>
      <c r="G13" s="1085"/>
      <c r="H13" s="1086"/>
      <c r="I13" s="1086"/>
      <c r="J13" s="1086"/>
      <c r="K13" s="1086"/>
      <c r="L13" s="1086"/>
      <c r="M13" s="1086"/>
      <c r="N13" s="1086"/>
      <c r="O13" s="1087"/>
    </row>
    <row r="14" spans="1:16384" ht="31" customHeight="1">
      <c r="B14" s="889" t="s">
        <v>1650</v>
      </c>
      <c r="C14" s="1207" t="s">
        <v>2032</v>
      </c>
      <c r="D14" s="1085"/>
      <c r="E14" s="1085"/>
      <c r="F14" s="1085"/>
      <c r="G14" s="1085"/>
      <c r="H14" s="1086"/>
      <c r="I14" s="1086"/>
      <c r="J14" s="1086"/>
      <c r="K14" s="1086"/>
      <c r="L14" s="1086"/>
      <c r="M14" s="1086"/>
      <c r="N14" s="1086"/>
      <c r="O14" s="1087"/>
    </row>
    <row r="15" spans="1:16384" ht="31" customHeight="1">
      <c r="B15" s="889" t="s">
        <v>1651</v>
      </c>
      <c r="C15" s="1207" t="s">
        <v>2033</v>
      </c>
      <c r="D15" s="1085"/>
      <c r="E15" s="1085"/>
      <c r="F15" s="1085"/>
      <c r="G15" s="1085"/>
      <c r="H15" s="1086"/>
      <c r="I15" s="1086"/>
      <c r="J15" s="1086"/>
      <c r="K15" s="1086"/>
      <c r="L15" s="1086"/>
      <c r="M15" s="1086"/>
      <c r="N15" s="1086"/>
      <c r="O15" s="1087"/>
    </row>
    <row r="16" spans="1:16384" ht="31" customHeight="1">
      <c r="B16" s="889" t="s">
        <v>1652</v>
      </c>
      <c r="C16" s="1207" t="s">
        <v>2353</v>
      </c>
      <c r="D16" s="1085"/>
      <c r="E16" s="1085"/>
      <c r="F16" s="1085"/>
      <c r="G16" s="1085"/>
      <c r="H16" s="1086"/>
      <c r="I16" s="1086"/>
      <c r="J16" s="1086"/>
      <c r="K16" s="1086"/>
      <c r="L16" s="1086"/>
      <c r="M16" s="1086"/>
      <c r="N16" s="1086"/>
      <c r="O16" s="1087"/>
    </row>
    <row r="17" spans="1:86" ht="31" customHeight="1">
      <c r="B17" s="1297" t="s">
        <v>1653</v>
      </c>
      <c r="C17" s="1207" t="s">
        <v>2354</v>
      </c>
      <c r="D17" s="1085"/>
      <c r="E17" s="1085"/>
      <c r="F17" s="1085"/>
      <c r="G17" s="1085"/>
      <c r="H17" s="1086"/>
      <c r="I17" s="1086"/>
      <c r="J17" s="1086"/>
      <c r="K17" s="1086"/>
      <c r="L17" s="1086"/>
      <c r="M17" s="1086"/>
      <c r="N17" s="1086"/>
      <c r="O17" s="1087"/>
    </row>
    <row r="18" spans="1:86" ht="31" customHeight="1">
      <c r="B18" s="891" t="s">
        <v>1983</v>
      </c>
      <c r="C18" s="1207" t="s">
        <v>2355</v>
      </c>
      <c r="D18" s="1085"/>
      <c r="E18" s="1085"/>
      <c r="F18" s="1085"/>
      <c r="G18" s="1085"/>
      <c r="H18" s="1086"/>
      <c r="I18" s="1086"/>
      <c r="J18" s="1086"/>
      <c r="K18" s="1086"/>
      <c r="L18" s="1086"/>
      <c r="M18" s="1086"/>
      <c r="N18" s="1086"/>
      <c r="O18" s="1087"/>
    </row>
    <row r="19" spans="1:86"/>
    <row r="20" spans="1:86" s="29" customFormat="1" ht="15" customHeight="1">
      <c r="B20" s="465" t="s">
        <v>1818</v>
      </c>
      <c r="C20" s="229"/>
      <c r="D20" s="229"/>
      <c r="E20" s="230"/>
      <c r="F20" s="229"/>
      <c r="G20" s="229"/>
      <c r="H20" s="465"/>
      <c r="I20" s="232"/>
      <c r="J20" s="232"/>
      <c r="K20" s="30"/>
      <c r="U20" s="234"/>
      <c r="V20" s="234"/>
      <c r="W20" s="234"/>
      <c r="X20" s="234"/>
      <c r="Y20" s="234"/>
    </row>
    <row r="21" spans="1:86" customFormat="1" ht="15" customHeight="1">
      <c r="A21" s="15"/>
      <c r="B21" s="317"/>
      <c r="C21" s="317"/>
      <c r="D21" s="900"/>
      <c r="E21" s="900"/>
      <c r="F21" s="900"/>
      <c r="G21" s="15"/>
      <c r="H21" s="15"/>
      <c r="I21" s="15"/>
      <c r="J21" s="15"/>
      <c r="K21" s="15"/>
      <c r="L21" s="15"/>
      <c r="M21" s="15"/>
      <c r="N21" s="15"/>
      <c r="O21" s="15"/>
      <c r="P21" s="15"/>
      <c r="Q21" s="15"/>
      <c r="R21" s="15"/>
      <c r="S21" s="15"/>
      <c r="T21" s="15"/>
      <c r="U21" s="15"/>
      <c r="V21" s="15"/>
      <c r="W21" s="15"/>
      <c r="X21" s="15"/>
      <c r="Y21" s="15"/>
      <c r="Z21" s="15"/>
      <c r="AA21" s="15"/>
      <c r="AB21" s="15"/>
      <c r="AC21" s="15"/>
      <c r="AD21" s="15"/>
      <c r="AE21" s="15"/>
      <c r="AF21" s="15"/>
      <c r="AG21" s="15"/>
      <c r="AH21" s="15"/>
      <c r="AI21" s="15"/>
      <c r="AJ21" s="15"/>
      <c r="AK21" s="15"/>
      <c r="AL21" s="15"/>
      <c r="AM21" s="15"/>
      <c r="AN21" s="15"/>
      <c r="AO21" s="15"/>
      <c r="AP21" s="15"/>
      <c r="AQ21" s="15"/>
      <c r="AR21" s="15"/>
      <c r="AS21" s="15"/>
      <c r="AT21" s="15"/>
      <c r="AU21" s="15"/>
      <c r="AV21" s="15"/>
      <c r="AW21" s="15"/>
      <c r="AX21" s="15"/>
      <c r="AY21" s="15"/>
      <c r="AZ21" s="15"/>
      <c r="BA21" s="15"/>
      <c r="BB21" s="15"/>
      <c r="BC21" s="15"/>
      <c r="BD21" s="15"/>
      <c r="BE21" s="15"/>
      <c r="BF21" s="15"/>
      <c r="BG21" s="15"/>
      <c r="BH21" s="15"/>
      <c r="BI21" s="15"/>
      <c r="BJ21" s="15"/>
      <c r="BK21" s="15"/>
      <c r="BL21" s="15"/>
      <c r="BM21" s="15"/>
      <c r="BN21" s="15"/>
      <c r="BO21" s="15"/>
      <c r="BP21" s="15"/>
      <c r="BQ21" s="15"/>
      <c r="BR21" s="15"/>
      <c r="BS21" s="15"/>
      <c r="BT21" s="15"/>
      <c r="BU21" s="15"/>
      <c r="BV21" s="15"/>
      <c r="BW21" s="15"/>
      <c r="BX21" s="15"/>
      <c r="BY21" s="15"/>
      <c r="BZ21" s="15"/>
      <c r="CA21" s="15"/>
      <c r="CB21" s="15"/>
      <c r="CC21" s="15"/>
      <c r="CD21" s="15"/>
      <c r="CE21" s="15"/>
      <c r="CF21" s="15"/>
      <c r="CG21" s="15"/>
      <c r="CH21" s="15"/>
    </row>
    <row r="22" spans="1:86" customFormat="1" ht="15" customHeight="1">
      <c r="A22" s="15"/>
      <c r="B22" s="2267" t="s">
        <v>1007</v>
      </c>
      <c r="C22" s="2268"/>
      <c r="D22" s="2268"/>
      <c r="E22" s="2268"/>
      <c r="F22" s="2268" t="s">
        <v>1023</v>
      </c>
      <c r="G22" s="2268"/>
      <c r="H22" s="2268" t="s">
        <v>1024</v>
      </c>
      <c r="I22" s="2351"/>
      <c r="J22" s="15"/>
      <c r="K22" s="15"/>
      <c r="L22" s="15"/>
      <c r="M22" s="15"/>
      <c r="N22" s="15"/>
      <c r="O22" s="15"/>
      <c r="P22" s="15"/>
      <c r="Q22" s="15"/>
      <c r="R22" s="15"/>
      <c r="S22" s="15"/>
      <c r="T22" s="15"/>
      <c r="U22" s="15"/>
      <c r="V22" s="15"/>
      <c r="W22" s="15"/>
      <c r="X22" s="15"/>
      <c r="Y22" s="15"/>
      <c r="Z22" s="15"/>
      <c r="AA22" s="15"/>
      <c r="AB22" s="15"/>
      <c r="AC22" s="15"/>
      <c r="AD22" s="15"/>
      <c r="AE22" s="15"/>
      <c r="AF22" s="15"/>
      <c r="AG22" s="15"/>
      <c r="AH22" s="15"/>
      <c r="AI22" s="15"/>
      <c r="AJ22" s="15"/>
      <c r="AK22" s="15"/>
      <c r="AL22" s="15"/>
      <c r="AM22" s="15"/>
      <c r="AN22" s="15"/>
      <c r="AO22" s="15"/>
      <c r="AP22" s="15"/>
      <c r="AQ22" s="15"/>
      <c r="AR22" s="15"/>
      <c r="AS22" s="15"/>
      <c r="AT22" s="15"/>
      <c r="AU22" s="15"/>
      <c r="AV22" s="15"/>
      <c r="AW22" s="15"/>
      <c r="AX22" s="15"/>
      <c r="AY22" s="15"/>
      <c r="AZ22" s="15"/>
      <c r="BA22" s="15"/>
      <c r="BB22" s="15"/>
      <c r="BC22" s="15"/>
      <c r="BD22" s="15"/>
      <c r="BE22" s="15"/>
      <c r="BF22" s="15"/>
      <c r="BG22" s="15"/>
      <c r="BH22" s="15"/>
      <c r="BI22" s="15"/>
      <c r="BJ22" s="15"/>
      <c r="BK22" s="15"/>
      <c r="BL22" s="15"/>
      <c r="BM22" s="15"/>
      <c r="BN22" s="15"/>
      <c r="BO22" s="15"/>
      <c r="BP22" s="15"/>
      <c r="BQ22" s="15"/>
      <c r="BR22" s="15"/>
      <c r="BS22" s="15"/>
      <c r="BT22" s="15"/>
      <c r="BU22" s="15"/>
      <c r="BV22" s="15"/>
      <c r="BW22" s="15"/>
      <c r="BX22" s="15"/>
      <c r="BY22" s="15"/>
      <c r="BZ22" s="15"/>
      <c r="CA22" s="15"/>
      <c r="CB22" s="15"/>
      <c r="CC22" s="15"/>
      <c r="CD22" s="15"/>
      <c r="CE22" s="15"/>
      <c r="CF22" s="15"/>
      <c r="CG22" s="15"/>
      <c r="CH22" s="15"/>
    </row>
    <row r="23" spans="1:86" customFormat="1" ht="15" customHeight="1">
      <c r="A23" s="15"/>
      <c r="B23" s="2269"/>
      <c r="C23" s="2270"/>
      <c r="D23" s="2270"/>
      <c r="E23" s="2270"/>
      <c r="F23" s="2270"/>
      <c r="G23" s="2270"/>
      <c r="H23" s="2270"/>
      <c r="I23" s="2352"/>
      <c r="J23" s="15"/>
      <c r="K23" s="15"/>
      <c r="L23" s="15"/>
      <c r="M23" s="15"/>
      <c r="N23" s="15"/>
      <c r="O23" s="15"/>
      <c r="P23" s="15"/>
      <c r="Q23" s="15"/>
      <c r="R23" s="15"/>
      <c r="S23" s="15"/>
      <c r="T23" s="15"/>
      <c r="U23" s="15"/>
      <c r="V23" s="15"/>
      <c r="W23" s="15"/>
      <c r="X23" s="15"/>
      <c r="Y23" s="15"/>
      <c r="Z23" s="15"/>
      <c r="AA23" s="15"/>
      <c r="AB23" s="15"/>
      <c r="AC23" s="15"/>
      <c r="AD23" s="15"/>
      <c r="AE23" s="15"/>
      <c r="AF23" s="15"/>
      <c r="AG23" s="15"/>
      <c r="AH23" s="15"/>
      <c r="AI23" s="15"/>
      <c r="AJ23" s="15"/>
      <c r="AK23" s="15"/>
      <c r="AL23" s="15"/>
      <c r="AM23" s="15"/>
      <c r="AN23" s="15"/>
      <c r="AO23" s="15"/>
      <c r="AP23" s="15"/>
      <c r="AQ23" s="15"/>
      <c r="AR23" s="15"/>
      <c r="AS23" s="15"/>
      <c r="AT23" s="15"/>
      <c r="AU23" s="15"/>
      <c r="AV23" s="15"/>
      <c r="AW23" s="15"/>
      <c r="AX23" s="15"/>
      <c r="AY23" s="15"/>
      <c r="AZ23" s="15"/>
      <c r="BA23" s="15"/>
      <c r="BB23" s="15"/>
      <c r="BC23" s="15"/>
      <c r="BD23" s="15"/>
      <c r="BE23" s="15"/>
      <c r="BF23" s="15"/>
      <c r="BG23" s="15"/>
      <c r="BH23" s="15"/>
      <c r="BI23" s="15"/>
      <c r="BJ23" s="15"/>
      <c r="BK23" s="15"/>
      <c r="BL23" s="15"/>
      <c r="BM23" s="15"/>
      <c r="BN23" s="15"/>
      <c r="BO23" s="15"/>
      <c r="BP23" s="15"/>
      <c r="BQ23" s="15"/>
      <c r="BR23" s="15"/>
      <c r="BS23" s="15"/>
      <c r="BT23" s="15"/>
      <c r="BU23" s="15"/>
      <c r="BV23" s="15"/>
      <c r="BW23" s="15"/>
      <c r="BX23" s="15"/>
      <c r="BY23" s="15"/>
      <c r="BZ23" s="15"/>
      <c r="CA23" s="15"/>
      <c r="CB23" s="15"/>
      <c r="CC23" s="15"/>
      <c r="CD23" s="15"/>
      <c r="CE23" s="15"/>
      <c r="CF23" s="15"/>
      <c r="CG23" s="15"/>
      <c r="CH23" s="15"/>
    </row>
    <row r="24" spans="1:86" customFormat="1" ht="31" customHeight="1">
      <c r="A24" s="15"/>
      <c r="B24" s="1208" t="s">
        <v>1025</v>
      </c>
      <c r="C24" s="1209"/>
      <c r="D24" s="1252"/>
      <c r="E24" s="1252"/>
      <c r="F24" s="2271" t="str">
        <f>'City information'!E10</f>
        <v>Atlantis</v>
      </c>
      <c r="G24" s="2271"/>
      <c r="H24" s="2353"/>
      <c r="I24" s="2353"/>
      <c r="J24" s="15"/>
      <c r="K24" s="15"/>
      <c r="L24" s="15"/>
      <c r="M24" s="15"/>
      <c r="N24" s="15"/>
      <c r="O24" s="15"/>
      <c r="P24" s="15"/>
      <c r="Q24" s="15"/>
      <c r="R24" s="15"/>
      <c r="S24" s="15"/>
      <c r="T24" s="15"/>
      <c r="U24" s="15"/>
      <c r="V24" s="15"/>
      <c r="W24" s="15"/>
      <c r="X24" s="15"/>
      <c r="Y24" s="15"/>
      <c r="Z24" s="15"/>
      <c r="AA24" s="15"/>
      <c r="AB24" s="15"/>
      <c r="AC24" s="15"/>
      <c r="AD24" s="15"/>
      <c r="AE24" s="15"/>
      <c r="AF24" s="15"/>
      <c r="AG24" s="15"/>
      <c r="AH24" s="15"/>
      <c r="AI24" s="15"/>
      <c r="AJ24" s="15"/>
      <c r="AK24" s="15"/>
      <c r="AL24" s="15"/>
      <c r="AM24" s="15"/>
      <c r="AN24" s="15"/>
      <c r="AO24" s="15"/>
      <c r="AP24" s="15"/>
      <c r="AQ24" s="15"/>
      <c r="AR24" s="15"/>
      <c r="AS24" s="15"/>
      <c r="AT24" s="15"/>
      <c r="AU24" s="15"/>
      <c r="AV24" s="15"/>
      <c r="AW24" s="15"/>
      <c r="AX24" s="15"/>
      <c r="AY24" s="15"/>
      <c r="AZ24" s="15"/>
      <c r="BA24" s="15"/>
      <c r="BB24" s="15"/>
      <c r="BC24" s="15"/>
      <c r="BD24" s="15"/>
      <c r="BE24" s="15"/>
      <c r="BF24" s="15"/>
      <c r="BG24" s="15"/>
      <c r="BH24" s="15"/>
      <c r="BI24" s="15"/>
      <c r="BJ24" s="15"/>
      <c r="BK24" s="15"/>
      <c r="BL24" s="15"/>
      <c r="BM24" s="15"/>
      <c r="BN24" s="15"/>
      <c r="BO24" s="15"/>
      <c r="BP24" s="15"/>
      <c r="BQ24" s="15"/>
      <c r="BR24" s="15"/>
      <c r="BS24" s="15"/>
      <c r="BT24" s="15"/>
      <c r="BU24" s="15"/>
      <c r="BV24" s="15"/>
      <c r="BW24" s="15"/>
      <c r="BX24" s="15"/>
      <c r="BY24" s="15"/>
      <c r="BZ24" s="15"/>
      <c r="CA24" s="15"/>
      <c r="CB24" s="15"/>
      <c r="CC24" s="15"/>
      <c r="CD24" s="15"/>
      <c r="CE24" s="15"/>
      <c r="CF24" s="15"/>
      <c r="CG24" s="15"/>
      <c r="CH24" s="15"/>
    </row>
    <row r="25" spans="1:86" customFormat="1" ht="31" customHeight="1">
      <c r="A25" s="15"/>
      <c r="B25" s="1208" t="s">
        <v>620</v>
      </c>
      <c r="C25" s="1209"/>
      <c r="D25" s="1252"/>
      <c r="E25" s="1252"/>
      <c r="F25" s="2271" t="str">
        <f>'City information'!E11</f>
        <v>Gondwana</v>
      </c>
      <c r="G25" s="2271"/>
      <c r="H25" s="2353"/>
      <c r="I25" s="2353"/>
      <c r="J25" s="15"/>
      <c r="K25" s="15"/>
      <c r="L25" s="15"/>
      <c r="M25" s="15"/>
      <c r="N25" s="15"/>
      <c r="O25" s="15"/>
      <c r="P25" s="15"/>
      <c r="Q25" s="15"/>
      <c r="R25" s="15"/>
      <c r="S25" s="15"/>
      <c r="T25" s="15"/>
      <c r="U25" s="15"/>
      <c r="V25" s="15"/>
      <c r="W25" s="15"/>
      <c r="X25" s="15"/>
      <c r="Y25" s="15"/>
      <c r="Z25" s="15"/>
      <c r="AA25" s="15"/>
      <c r="AB25" s="15"/>
      <c r="AC25" s="15"/>
      <c r="AD25" s="15"/>
      <c r="AE25" s="15"/>
      <c r="AF25" s="15"/>
      <c r="AG25" s="15"/>
      <c r="AH25" s="15"/>
      <c r="AI25" s="15"/>
      <c r="AJ25" s="15"/>
      <c r="AK25" s="15"/>
      <c r="AL25" s="15"/>
      <c r="AM25" s="15"/>
      <c r="AN25" s="15"/>
      <c r="AO25" s="15"/>
      <c r="AP25" s="15"/>
      <c r="AQ25" s="15"/>
      <c r="AR25" s="15"/>
      <c r="AS25" s="15"/>
      <c r="AT25" s="15"/>
      <c r="AU25" s="15"/>
      <c r="AV25" s="15"/>
      <c r="AW25" s="15"/>
      <c r="AX25" s="15"/>
      <c r="AY25" s="15"/>
      <c r="AZ25" s="15"/>
      <c r="BA25" s="15"/>
      <c r="BB25" s="15"/>
      <c r="BC25" s="15"/>
      <c r="BD25" s="15"/>
      <c r="BE25" s="15"/>
      <c r="BF25" s="15"/>
      <c r="BG25" s="15"/>
      <c r="BH25" s="15"/>
      <c r="BI25" s="15"/>
      <c r="BJ25" s="15"/>
      <c r="BK25" s="15"/>
      <c r="BL25" s="15"/>
      <c r="BM25" s="15"/>
      <c r="BN25" s="15"/>
      <c r="BO25" s="15"/>
      <c r="BP25" s="15"/>
      <c r="BQ25" s="15"/>
      <c r="BR25" s="15"/>
      <c r="BS25" s="15"/>
      <c r="BT25" s="15"/>
      <c r="BU25" s="15"/>
      <c r="BV25" s="15"/>
      <c r="BW25" s="15"/>
      <c r="BX25" s="15"/>
      <c r="BY25" s="15"/>
      <c r="BZ25" s="15"/>
      <c r="CA25" s="15"/>
      <c r="CB25" s="15"/>
      <c r="CC25" s="15"/>
      <c r="CD25" s="15"/>
      <c r="CE25" s="15"/>
      <c r="CF25" s="15"/>
      <c r="CG25" s="15"/>
      <c r="CH25" s="15"/>
    </row>
    <row r="26" spans="1:86" customFormat="1" ht="31" customHeight="1">
      <c r="A26" s="15"/>
      <c r="B26" s="1208" t="s">
        <v>1117</v>
      </c>
      <c r="C26" s="1209"/>
      <c r="D26" s="1252"/>
      <c r="E26" s="1252"/>
      <c r="F26" s="2272" t="s">
        <v>2167</v>
      </c>
      <c r="G26" s="2273"/>
      <c r="H26" s="2353" t="s">
        <v>1028</v>
      </c>
      <c r="I26" s="2353"/>
      <c r="J26" s="15"/>
      <c r="K26" s="15"/>
      <c r="L26" s="15"/>
      <c r="M26" s="15"/>
      <c r="N26" s="15"/>
      <c r="O26" s="15"/>
      <c r="P26" s="15"/>
      <c r="Q26" s="15"/>
      <c r="R26" s="15"/>
      <c r="S26" s="15"/>
      <c r="T26" s="15"/>
      <c r="U26" s="15"/>
      <c r="V26" s="15"/>
      <c r="W26" s="15"/>
      <c r="X26" s="15"/>
      <c r="Y26" s="15"/>
      <c r="Z26" s="15"/>
      <c r="AA26" s="15"/>
      <c r="AB26" s="15"/>
      <c r="AC26" s="15"/>
      <c r="AD26" s="15"/>
      <c r="AE26" s="15"/>
      <c r="AF26" s="15"/>
      <c r="AG26" s="15"/>
      <c r="AH26" s="15"/>
      <c r="AI26" s="15"/>
      <c r="AJ26" s="15"/>
      <c r="AK26" s="15"/>
      <c r="AL26" s="15"/>
      <c r="AM26" s="15"/>
      <c r="AN26" s="15"/>
      <c r="AO26" s="15"/>
      <c r="AP26" s="15"/>
      <c r="AQ26" s="15"/>
      <c r="AR26" s="15"/>
      <c r="AS26" s="15"/>
      <c r="AT26" s="15"/>
      <c r="AU26" s="15"/>
      <c r="AV26" s="15"/>
      <c r="AW26" s="15"/>
      <c r="AX26" s="15"/>
      <c r="AY26" s="15"/>
      <c r="AZ26" s="15"/>
      <c r="BA26" s="15"/>
      <c r="BB26" s="15"/>
      <c r="BC26" s="15"/>
      <c r="BD26" s="15"/>
      <c r="BE26" s="15"/>
      <c r="BF26" s="15"/>
      <c r="BG26" s="15"/>
      <c r="BH26" s="15"/>
      <c r="BI26" s="15"/>
      <c r="BJ26" s="15"/>
      <c r="BK26" s="15"/>
      <c r="BL26" s="15"/>
      <c r="BM26" s="15"/>
      <c r="BN26" s="15"/>
      <c r="BO26" s="15"/>
      <c r="BP26" s="15"/>
      <c r="BQ26" s="15"/>
      <c r="BR26" s="15"/>
      <c r="BS26" s="15"/>
      <c r="BT26" s="15"/>
      <c r="BU26" s="15"/>
      <c r="BV26" s="15"/>
      <c r="BW26" s="15"/>
      <c r="BX26" s="15"/>
      <c r="BY26" s="15"/>
      <c r="BZ26" s="15"/>
      <c r="CA26" s="15"/>
      <c r="CB26" s="15"/>
      <c r="CC26" s="15"/>
      <c r="CD26" s="15"/>
      <c r="CE26" s="15"/>
      <c r="CF26" s="15"/>
      <c r="CG26" s="15"/>
      <c r="CH26" s="15"/>
    </row>
    <row r="27" spans="1:86" customFormat="1" ht="31" customHeight="1">
      <c r="A27" s="15"/>
      <c r="B27" s="1208" t="s">
        <v>2168</v>
      </c>
      <c r="C27" s="1209"/>
      <c r="D27" s="1252"/>
      <c r="E27" s="1252"/>
      <c r="F27" s="2272" t="s">
        <v>1141</v>
      </c>
      <c r="G27" s="2273"/>
      <c r="H27" s="2353" t="s">
        <v>1028</v>
      </c>
      <c r="I27" s="2353"/>
      <c r="J27" s="15"/>
      <c r="K27" s="15"/>
      <c r="L27" s="15"/>
      <c r="M27" s="15"/>
      <c r="N27" s="15"/>
      <c r="O27" s="15"/>
      <c r="P27" s="15"/>
      <c r="Q27" s="15"/>
      <c r="R27" s="15"/>
      <c r="S27" s="15"/>
      <c r="T27" s="15"/>
      <c r="U27" s="15"/>
      <c r="V27" s="15"/>
      <c r="W27" s="15"/>
      <c r="X27" s="15"/>
      <c r="Y27" s="15"/>
      <c r="Z27" s="15"/>
      <c r="AA27" s="15"/>
      <c r="AB27" s="15"/>
      <c r="AC27" s="15"/>
      <c r="AD27" s="15"/>
      <c r="AE27" s="15"/>
      <c r="AF27" s="15"/>
      <c r="AG27" s="15"/>
      <c r="AH27" s="15"/>
      <c r="AI27" s="15"/>
      <c r="AJ27" s="15"/>
      <c r="AK27" s="15"/>
      <c r="AL27" s="15"/>
      <c r="AM27" s="15"/>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BN27" s="15"/>
      <c r="BO27" s="15"/>
      <c r="BP27" s="15"/>
      <c r="BQ27" s="15"/>
      <c r="BR27" s="15"/>
      <c r="BS27" s="15"/>
      <c r="BT27" s="15"/>
      <c r="BU27" s="15"/>
      <c r="BV27" s="15"/>
      <c r="BW27" s="15"/>
      <c r="BX27" s="15"/>
      <c r="BY27" s="15"/>
      <c r="BZ27" s="15"/>
      <c r="CA27" s="15"/>
      <c r="CB27" s="15"/>
      <c r="CC27" s="15"/>
      <c r="CD27" s="15"/>
      <c r="CE27" s="15"/>
      <c r="CF27" s="15"/>
      <c r="CG27" s="15"/>
      <c r="CH27" s="15"/>
    </row>
    <row r="28" spans="1:86" customFormat="1" ht="31" customHeight="1">
      <c r="A28" s="15"/>
      <c r="B28" s="1208" t="s">
        <v>2169</v>
      </c>
      <c r="C28" s="1209"/>
      <c r="D28" s="1252"/>
      <c r="E28" s="1252"/>
      <c r="F28" s="2272" t="s">
        <v>2170</v>
      </c>
      <c r="G28" s="2273"/>
      <c r="H28" s="2353" t="s">
        <v>1028</v>
      </c>
      <c r="I28" s="2353"/>
      <c r="J28" s="15"/>
      <c r="K28" s="15"/>
      <c r="L28" s="15"/>
      <c r="M28" s="15"/>
      <c r="N28" s="15"/>
      <c r="O28" s="15"/>
      <c r="P28" s="15"/>
      <c r="Q28" s="15"/>
      <c r="R28" s="15"/>
      <c r="S28" s="15"/>
      <c r="T28" s="15"/>
      <c r="U28" s="15"/>
      <c r="V28" s="15"/>
      <c r="W28" s="15"/>
      <c r="X28" s="15"/>
      <c r="Y28" s="15"/>
      <c r="Z28" s="15"/>
      <c r="AA28" s="15"/>
      <c r="AB28" s="15"/>
      <c r="AC28" s="15"/>
      <c r="AD28" s="15"/>
      <c r="AE28" s="15"/>
      <c r="AF28" s="15"/>
      <c r="AG28" s="15"/>
      <c r="AH28" s="15"/>
      <c r="AI28" s="15"/>
      <c r="AJ28" s="15"/>
      <c r="AK28" s="15"/>
      <c r="AL28" s="15"/>
      <c r="AM28" s="15"/>
      <c r="AN28" s="15"/>
      <c r="AO28" s="15"/>
      <c r="AP28" s="15"/>
      <c r="AQ28" s="15"/>
      <c r="AR28" s="15"/>
      <c r="AS28" s="15"/>
      <c r="AT28" s="15"/>
      <c r="AU28" s="15"/>
      <c r="AV28" s="15"/>
      <c r="AW28" s="15"/>
      <c r="AX28" s="15"/>
      <c r="AY28" s="15"/>
      <c r="AZ28" s="15"/>
      <c r="BA28" s="15"/>
      <c r="BB28" s="15"/>
      <c r="BC28" s="15"/>
      <c r="BD28" s="15"/>
      <c r="BE28" s="15"/>
      <c r="BF28" s="15"/>
      <c r="BG28" s="15"/>
      <c r="BH28" s="15"/>
      <c r="BI28" s="15"/>
      <c r="BJ28" s="15"/>
      <c r="BK28" s="15"/>
      <c r="BL28" s="15"/>
      <c r="BM28" s="15"/>
      <c r="BN28" s="15"/>
      <c r="BO28" s="15"/>
      <c r="BP28" s="15"/>
      <c r="BQ28" s="15"/>
      <c r="BR28" s="15"/>
      <c r="BS28" s="15"/>
      <c r="BT28" s="15"/>
      <c r="BU28" s="15"/>
      <c r="BV28" s="15"/>
      <c r="BW28" s="15"/>
      <c r="BX28" s="15"/>
      <c r="BY28" s="15"/>
      <c r="BZ28" s="15"/>
      <c r="CA28" s="15"/>
      <c r="CB28" s="15"/>
      <c r="CC28" s="15"/>
      <c r="CD28" s="15"/>
      <c r="CE28" s="15"/>
      <c r="CF28" s="15"/>
      <c r="CG28" s="15"/>
      <c r="CH28" s="15"/>
    </row>
    <row r="29" spans="1:86" customFormat="1" ht="31" customHeight="1">
      <c r="A29" s="15"/>
      <c r="B29" s="1208" t="s">
        <v>2171</v>
      </c>
      <c r="C29" s="1209"/>
      <c r="D29" s="1252"/>
      <c r="E29" s="1252"/>
      <c r="F29" s="2331">
        <v>160692</v>
      </c>
      <c r="G29" s="2332"/>
      <c r="H29" s="2356" t="s">
        <v>1778</v>
      </c>
      <c r="I29" s="2357"/>
      <c r="J29" s="15"/>
      <c r="K29" s="15"/>
      <c r="L29" s="15"/>
      <c r="M29" s="15"/>
      <c r="N29" s="15"/>
      <c r="O29" s="15"/>
      <c r="P29" s="15"/>
      <c r="Q29" s="15"/>
      <c r="R29" s="15"/>
      <c r="S29" s="15"/>
      <c r="T29" s="15"/>
      <c r="U29" s="15"/>
      <c r="V29" s="15"/>
      <c r="W29" s="15"/>
      <c r="X29" s="15"/>
      <c r="Y29" s="15"/>
      <c r="Z29" s="15"/>
      <c r="AA29" s="15"/>
      <c r="AB29" s="15"/>
      <c r="AC29" s="15"/>
      <c r="AD29" s="15"/>
      <c r="AE29" s="15"/>
      <c r="AF29" s="15"/>
      <c r="AG29" s="15"/>
      <c r="AH29" s="15"/>
      <c r="AI29" s="15"/>
      <c r="AJ29" s="15"/>
      <c r="AK29" s="15"/>
      <c r="AL29" s="15"/>
      <c r="AM29" s="15"/>
      <c r="AN29" s="15"/>
      <c r="AO29" s="15"/>
      <c r="AP29" s="15"/>
      <c r="AQ29" s="15"/>
      <c r="AR29" s="15"/>
      <c r="AS29" s="15"/>
      <c r="AT29" s="15"/>
      <c r="AU29" s="15"/>
      <c r="AV29" s="15"/>
      <c r="AW29" s="15"/>
      <c r="AX29" s="15"/>
      <c r="AY29" s="15"/>
      <c r="AZ29" s="15"/>
      <c r="BA29" s="15"/>
      <c r="BB29" s="15"/>
      <c r="BC29" s="15"/>
      <c r="BD29" s="15"/>
      <c r="BE29" s="15"/>
      <c r="BF29" s="15"/>
      <c r="BG29" s="15"/>
      <c r="BH29" s="15"/>
      <c r="BI29" s="15"/>
      <c r="BJ29" s="15"/>
      <c r="BK29" s="15"/>
      <c r="BL29" s="15"/>
      <c r="BM29" s="15"/>
      <c r="BN29" s="15"/>
      <c r="BO29" s="15"/>
      <c r="BP29" s="15"/>
      <c r="BQ29" s="15"/>
      <c r="BR29" s="15"/>
      <c r="BS29" s="15"/>
      <c r="BT29" s="15"/>
      <c r="BU29" s="15"/>
      <c r="BV29" s="15"/>
      <c r="BW29" s="15"/>
      <c r="BX29" s="15"/>
      <c r="BY29" s="15"/>
      <c r="BZ29" s="15"/>
      <c r="CA29" s="15"/>
      <c r="CB29" s="15"/>
      <c r="CC29" s="15"/>
      <c r="CD29" s="15"/>
      <c r="CE29" s="15"/>
      <c r="CF29" s="15"/>
      <c r="CG29" s="15"/>
      <c r="CH29" s="15"/>
    </row>
    <row r="30" spans="1:86" customFormat="1" ht="31" customHeight="1">
      <c r="A30" s="15"/>
      <c r="B30" s="1208" t="s">
        <v>2172</v>
      </c>
      <c r="C30" s="1209"/>
      <c r="D30" s="1252"/>
      <c r="E30" s="1252"/>
      <c r="F30" s="2272">
        <v>100000</v>
      </c>
      <c r="G30" s="2273"/>
      <c r="H30" s="2356" t="s">
        <v>1778</v>
      </c>
      <c r="I30" s="2357"/>
      <c r="J30" s="15"/>
      <c r="K30" s="15"/>
      <c r="L30" s="15"/>
      <c r="M30" s="15"/>
      <c r="N30" s="15"/>
      <c r="O30" s="15"/>
      <c r="P30" s="15"/>
      <c r="Q30" s="15"/>
      <c r="R30" s="15"/>
      <c r="S30" s="15"/>
      <c r="T30" s="15"/>
      <c r="U30" s="15"/>
      <c r="V30" s="15"/>
      <c r="W30" s="15"/>
      <c r="X30" s="15"/>
      <c r="Y30" s="15"/>
      <c r="Z30" s="15"/>
      <c r="AA30" s="15"/>
      <c r="AB30" s="15"/>
      <c r="AC30" s="15"/>
      <c r="AD30" s="15"/>
      <c r="AE30" s="15"/>
      <c r="AF30" s="15"/>
      <c r="AG30" s="15"/>
      <c r="AH30" s="15"/>
      <c r="AI30" s="15"/>
      <c r="AJ30" s="15"/>
      <c r="AK30" s="15"/>
      <c r="AL30" s="15"/>
      <c r="AM30" s="15"/>
      <c r="AN30" s="15"/>
      <c r="AO30" s="15"/>
      <c r="AP30" s="15"/>
      <c r="AQ30" s="15"/>
      <c r="AR30" s="15"/>
      <c r="AS30" s="15"/>
      <c r="AT30" s="15"/>
      <c r="AU30" s="15"/>
      <c r="AV30" s="15"/>
      <c r="AW30" s="15"/>
      <c r="AX30" s="15"/>
      <c r="AY30" s="15"/>
      <c r="AZ30" s="15"/>
      <c r="BA30" s="15"/>
      <c r="BB30" s="15"/>
      <c r="BC30" s="15"/>
      <c r="BD30" s="15"/>
      <c r="BE30" s="15"/>
      <c r="BF30" s="15"/>
      <c r="BG30" s="15"/>
      <c r="BH30" s="15"/>
      <c r="BI30" s="15"/>
      <c r="BJ30" s="15"/>
      <c r="BK30" s="15"/>
      <c r="BL30" s="15"/>
      <c r="BM30" s="15"/>
      <c r="BN30" s="15"/>
      <c r="BO30" s="15"/>
      <c r="BP30" s="15"/>
      <c r="BQ30" s="15"/>
      <c r="BR30" s="15"/>
      <c r="BS30" s="15"/>
      <c r="BT30" s="15"/>
      <c r="BU30" s="15"/>
      <c r="BV30" s="15"/>
      <c r="BW30" s="15"/>
      <c r="BX30" s="15"/>
      <c r="BY30" s="15"/>
      <c r="BZ30" s="15"/>
      <c r="CA30" s="15"/>
      <c r="CB30" s="15"/>
      <c r="CC30" s="15"/>
      <c r="CD30" s="15"/>
      <c r="CE30" s="15"/>
      <c r="CF30" s="15"/>
      <c r="CG30" s="15"/>
      <c r="CH30" s="15"/>
    </row>
    <row r="31" spans="1:86" customFormat="1" ht="31" customHeight="1">
      <c r="A31" s="15"/>
      <c r="B31" s="1208" t="s">
        <v>2173</v>
      </c>
      <c r="C31" s="1209"/>
      <c r="D31" s="1252"/>
      <c r="E31" s="1252"/>
      <c r="F31" s="2333">
        <f>IF(ISBLANK('[6]City information'!C11),"",('[6]City information'!C11))</f>
        <v>2015</v>
      </c>
      <c r="G31" s="2334"/>
      <c r="H31" s="2353"/>
      <c r="I31" s="2353"/>
      <c r="J31" s="15"/>
      <c r="K31" s="15"/>
      <c r="L31" s="15"/>
      <c r="M31" s="15"/>
      <c r="N31" s="15"/>
      <c r="O31" s="15"/>
      <c r="P31" s="15"/>
      <c r="Q31" s="15"/>
      <c r="R31" s="15"/>
      <c r="S31" s="15"/>
      <c r="T31" s="15"/>
      <c r="U31" s="15"/>
      <c r="V31" s="15"/>
      <c r="W31" s="15"/>
      <c r="X31" s="15"/>
      <c r="Y31" s="15"/>
      <c r="Z31" s="15"/>
      <c r="AA31" s="15"/>
      <c r="AB31" s="15"/>
      <c r="AC31" s="15"/>
      <c r="AD31" s="15"/>
      <c r="AE31" s="15"/>
      <c r="AF31" s="15"/>
      <c r="AG31" s="15"/>
      <c r="AH31" s="15"/>
      <c r="AI31" s="15"/>
      <c r="AJ31" s="15"/>
      <c r="AK31" s="15"/>
      <c r="AL31" s="15"/>
      <c r="AM31" s="15"/>
      <c r="AN31" s="15"/>
      <c r="AO31" s="15"/>
      <c r="AP31" s="15"/>
      <c r="AQ31" s="15"/>
      <c r="AR31" s="15"/>
      <c r="AS31" s="15"/>
      <c r="AT31" s="15"/>
      <c r="AU31" s="15"/>
      <c r="AV31" s="15"/>
      <c r="AW31" s="15"/>
      <c r="AX31" s="15"/>
      <c r="AY31" s="15"/>
      <c r="AZ31" s="15"/>
      <c r="BA31" s="15"/>
      <c r="BB31" s="15"/>
      <c r="BC31" s="15"/>
      <c r="BD31" s="15"/>
      <c r="BE31" s="15"/>
      <c r="BF31" s="15"/>
      <c r="BG31" s="15"/>
      <c r="BH31" s="15"/>
      <c r="BI31" s="15"/>
      <c r="BJ31" s="15"/>
      <c r="BK31" s="15"/>
      <c r="BL31" s="15"/>
      <c r="BM31" s="15"/>
      <c r="BN31" s="15"/>
      <c r="BO31" s="15"/>
      <c r="BP31" s="15"/>
      <c r="BQ31" s="15"/>
      <c r="BR31" s="15"/>
      <c r="BS31" s="15"/>
      <c r="BT31" s="15"/>
      <c r="BU31" s="15"/>
      <c r="BV31" s="15"/>
      <c r="BW31" s="15"/>
      <c r="BX31" s="15"/>
      <c r="BY31" s="15"/>
      <c r="BZ31" s="15"/>
      <c r="CA31" s="15"/>
      <c r="CB31" s="15"/>
      <c r="CC31" s="15"/>
      <c r="CD31" s="15"/>
      <c r="CE31" s="15"/>
      <c r="CF31" s="15"/>
      <c r="CG31" s="15"/>
      <c r="CH31" s="15"/>
    </row>
    <row r="32" spans="1:86" customFormat="1" ht="31" customHeight="1">
      <c r="A32" s="15"/>
      <c r="B32" s="1208" t="s">
        <v>2174</v>
      </c>
      <c r="C32" s="1209"/>
      <c r="D32" s="1252"/>
      <c r="E32" s="1252"/>
      <c r="F32" s="2335" t="s">
        <v>2175</v>
      </c>
      <c r="G32" s="2336"/>
      <c r="H32" s="2353" t="s">
        <v>1028</v>
      </c>
      <c r="I32" s="2353"/>
      <c r="J32" s="15"/>
      <c r="K32" s="15"/>
      <c r="L32" s="15"/>
      <c r="M32" s="15"/>
      <c r="N32" s="15"/>
      <c r="O32" s="15"/>
      <c r="P32" s="15"/>
      <c r="Q32" s="15"/>
      <c r="R32" s="15"/>
      <c r="S32" s="15"/>
      <c r="T32" s="15"/>
      <c r="U32" s="15"/>
      <c r="V32" s="15"/>
      <c r="W32" s="15"/>
      <c r="X32" s="15"/>
      <c r="Y32" s="15"/>
      <c r="Z32" s="15"/>
      <c r="AA32" s="15"/>
      <c r="AB32" s="15"/>
      <c r="AC32" s="15"/>
      <c r="AD32" s="15"/>
      <c r="AE32" s="15"/>
      <c r="AF32" s="15"/>
      <c r="AG32" s="15"/>
      <c r="AH32" s="15"/>
      <c r="AI32" s="15"/>
      <c r="AJ32" s="15"/>
      <c r="AK32" s="15"/>
      <c r="AL32" s="15"/>
      <c r="AM32" s="15"/>
      <c r="AN32" s="15"/>
      <c r="AO32" s="15"/>
      <c r="AP32" s="15"/>
      <c r="AQ32" s="15"/>
      <c r="AR32" s="15"/>
      <c r="AS32" s="15"/>
      <c r="AT32" s="15"/>
      <c r="AU32" s="15"/>
      <c r="AV32" s="15"/>
      <c r="AW32" s="15"/>
      <c r="AX32" s="15"/>
      <c r="AY32" s="15"/>
      <c r="AZ32" s="15"/>
      <c r="BA32" s="15"/>
      <c r="BB32" s="15"/>
      <c r="BC32" s="15"/>
      <c r="BD32" s="15"/>
      <c r="BE32" s="15"/>
      <c r="BF32" s="15"/>
      <c r="BG32" s="15"/>
      <c r="BH32" s="15"/>
      <c r="BI32" s="15"/>
      <c r="BJ32" s="15"/>
      <c r="BK32" s="15"/>
      <c r="BL32" s="15"/>
      <c r="BM32" s="15"/>
      <c r="BN32" s="15"/>
      <c r="BO32" s="15"/>
      <c r="BP32" s="15"/>
      <c r="BQ32" s="15"/>
      <c r="BR32" s="15"/>
      <c r="BS32" s="15"/>
      <c r="BT32" s="15"/>
      <c r="BU32" s="15"/>
      <c r="BV32" s="15"/>
      <c r="BW32" s="15"/>
      <c r="BX32" s="15"/>
      <c r="BY32" s="15"/>
      <c r="BZ32" s="15"/>
      <c r="CA32" s="15"/>
      <c r="CB32" s="15"/>
      <c r="CC32" s="15"/>
      <c r="CD32" s="15"/>
      <c r="CE32" s="15"/>
      <c r="CF32" s="15"/>
      <c r="CG32" s="15"/>
      <c r="CH32" s="15"/>
    </row>
    <row r="33" spans="1:86" customFormat="1" ht="31" customHeight="1">
      <c r="A33" s="15"/>
      <c r="B33" s="1208" t="s">
        <v>2176</v>
      </c>
      <c r="C33" s="1209"/>
      <c r="D33" s="1252"/>
      <c r="E33" s="1252"/>
      <c r="F33" s="2272">
        <v>5300000</v>
      </c>
      <c r="G33" s="2273"/>
      <c r="H33" s="2340" t="s">
        <v>1778</v>
      </c>
      <c r="I33" s="2341"/>
      <c r="J33" s="15"/>
      <c r="K33" s="15"/>
      <c r="L33" s="15"/>
      <c r="M33" s="15"/>
      <c r="N33" s="15"/>
      <c r="O33" s="15"/>
      <c r="P33" s="15"/>
      <c r="Q33" s="15"/>
      <c r="R33" s="15"/>
      <c r="S33" s="15"/>
      <c r="T33" s="15"/>
      <c r="U33" s="15"/>
      <c r="V33" s="15"/>
      <c r="W33" s="15"/>
      <c r="X33" s="15"/>
      <c r="Y33" s="15"/>
      <c r="Z33" s="15"/>
      <c r="AA33" s="15"/>
      <c r="AB33" s="15"/>
      <c r="AC33" s="15"/>
      <c r="AD33" s="15"/>
      <c r="AE33" s="15"/>
      <c r="AF33" s="15"/>
      <c r="AG33" s="15"/>
      <c r="AH33" s="15"/>
      <c r="AI33" s="15"/>
      <c r="AJ33" s="15"/>
      <c r="AK33" s="15"/>
      <c r="AL33" s="15"/>
      <c r="AM33" s="15"/>
      <c r="AN33" s="15"/>
      <c r="AO33" s="15"/>
      <c r="AP33" s="15"/>
      <c r="AQ33" s="15"/>
      <c r="AR33" s="15"/>
      <c r="AS33" s="15"/>
      <c r="AT33" s="15"/>
      <c r="AU33" s="15"/>
      <c r="AV33" s="15"/>
      <c r="AW33" s="15"/>
      <c r="AX33" s="15"/>
      <c r="AY33" s="15"/>
      <c r="AZ33" s="15"/>
      <c r="BA33" s="15"/>
      <c r="BB33" s="15"/>
      <c r="BC33" s="15"/>
      <c r="BD33" s="15"/>
      <c r="BE33" s="15"/>
      <c r="BF33" s="15"/>
      <c r="BG33" s="15"/>
      <c r="BH33" s="15"/>
      <c r="BI33" s="15"/>
      <c r="BJ33" s="15"/>
      <c r="BK33" s="15"/>
      <c r="BL33" s="15"/>
      <c r="BM33" s="15"/>
      <c r="BN33" s="15"/>
      <c r="BO33" s="15"/>
      <c r="BP33" s="15"/>
      <c r="BQ33" s="15"/>
      <c r="BR33" s="15"/>
      <c r="BS33" s="15"/>
      <c r="BT33" s="15"/>
      <c r="BU33" s="15"/>
      <c r="BV33" s="15"/>
      <c r="BW33" s="15"/>
      <c r="BX33" s="15"/>
      <c r="BY33" s="15"/>
      <c r="BZ33" s="15"/>
      <c r="CA33" s="15"/>
      <c r="CB33" s="15"/>
      <c r="CC33" s="15"/>
      <c r="CD33" s="15"/>
      <c r="CE33" s="15"/>
      <c r="CF33" s="15"/>
      <c r="CG33" s="15"/>
      <c r="CH33" s="15"/>
    </row>
    <row r="34" spans="1:86" customFormat="1" ht="31" customHeight="1">
      <c r="A34" s="15"/>
      <c r="B34" s="1208" t="s">
        <v>1035</v>
      </c>
      <c r="C34" s="1209"/>
      <c r="D34" s="1252"/>
      <c r="E34" s="1252"/>
      <c r="F34" s="2274" t="str">
        <f>IF(ISBLANK('City information'!E31),"",IF('City information'!E31="IPCC Fifth Assessment Report (2013)","5AR",IF('City information'!E31="IPCC Fourth Assessment Report (2007)","4AR",IF('City information'!E31="IPCC Third Assessment Report (2001)","3AR",IF('City information'!E31="IPCC Second Assessment Report (1995)","2AR","")))))</f>
        <v>5AR</v>
      </c>
      <c r="G34" s="2274"/>
      <c r="H34" s="2354"/>
      <c r="I34" s="2355"/>
      <c r="J34" s="15"/>
      <c r="K34" s="15"/>
      <c r="L34" s="15"/>
      <c r="M34" s="15"/>
      <c r="N34" s="15"/>
      <c r="O34" s="15"/>
      <c r="P34" s="15"/>
      <c r="Q34" s="15"/>
      <c r="R34" s="15"/>
      <c r="S34" s="15"/>
      <c r="T34" s="15"/>
      <c r="U34" s="15"/>
      <c r="V34" s="15"/>
      <c r="W34" s="15"/>
      <c r="X34" s="15"/>
      <c r="Y34" s="15"/>
      <c r="Z34" s="15"/>
      <c r="AA34" s="15"/>
      <c r="AB34" s="15"/>
      <c r="AC34" s="15"/>
      <c r="AD34" s="15"/>
      <c r="AE34" s="15"/>
      <c r="AF34" s="15"/>
      <c r="AG34" s="15"/>
      <c r="AH34" s="15"/>
      <c r="AI34" s="15"/>
      <c r="AJ34" s="15"/>
      <c r="AK34" s="15"/>
      <c r="AL34" s="15"/>
      <c r="AM34" s="15"/>
      <c r="AN34" s="15"/>
      <c r="AO34" s="15"/>
      <c r="AP34" s="15"/>
      <c r="AQ34" s="15"/>
      <c r="AR34" s="15"/>
      <c r="AS34" s="15"/>
      <c r="AT34" s="15"/>
      <c r="AU34" s="15"/>
      <c r="AV34" s="15"/>
      <c r="AW34" s="15"/>
      <c r="AX34" s="15"/>
      <c r="AY34" s="15"/>
      <c r="AZ34" s="15"/>
      <c r="BA34" s="15"/>
      <c r="BB34" s="15"/>
      <c r="BC34" s="15"/>
      <c r="BD34" s="15"/>
      <c r="BE34" s="15"/>
      <c r="BF34" s="15"/>
      <c r="BG34" s="15"/>
      <c r="BH34" s="15"/>
      <c r="BI34" s="15"/>
      <c r="BJ34" s="15"/>
      <c r="BK34" s="15"/>
      <c r="BL34" s="15"/>
      <c r="BM34" s="15"/>
      <c r="BN34" s="15"/>
      <c r="BO34" s="15"/>
      <c r="BP34" s="15"/>
      <c r="BQ34" s="15"/>
      <c r="BR34" s="15"/>
      <c r="BS34" s="15"/>
      <c r="BT34" s="15"/>
      <c r="BU34" s="15"/>
      <c r="BV34" s="15"/>
      <c r="BW34" s="15"/>
      <c r="BX34" s="15"/>
      <c r="BY34" s="15"/>
      <c r="BZ34" s="15"/>
      <c r="CA34" s="15"/>
      <c r="CB34" s="15"/>
      <c r="CC34" s="15"/>
      <c r="CD34" s="15"/>
      <c r="CE34" s="15"/>
      <c r="CF34" s="15"/>
      <c r="CG34" s="15"/>
      <c r="CH34" s="15"/>
    </row>
    <row r="35" spans="1:86" ht="13" customHeight="1">
      <c r="B35" s="332"/>
      <c r="C35" s="332"/>
      <c r="D35" s="332"/>
      <c r="E35" s="332"/>
    </row>
    <row r="36" spans="1:86" s="29" customFormat="1" ht="15" customHeight="1">
      <c r="B36" s="465" t="s">
        <v>2358</v>
      </c>
      <c r="C36" s="229"/>
      <c r="D36" s="229"/>
      <c r="E36" s="230"/>
      <c r="F36" s="229"/>
      <c r="G36" s="229"/>
      <c r="H36" s="465"/>
      <c r="I36" s="232"/>
      <c r="J36" s="15"/>
      <c r="K36" s="15"/>
      <c r="L36" s="15"/>
      <c r="M36" s="15"/>
      <c r="N36" s="15"/>
      <c r="U36" s="234"/>
      <c r="V36" s="234"/>
      <c r="W36" s="234"/>
      <c r="X36" s="234"/>
      <c r="Y36" s="234"/>
    </row>
    <row r="37" spans="1:86" ht="15" customHeight="1">
      <c r="B37" s="332"/>
      <c r="C37" s="332"/>
      <c r="D37" s="332"/>
      <c r="E37" s="332"/>
    </row>
    <row r="38" spans="1:86" customFormat="1" ht="15" customHeight="1">
      <c r="A38" s="15"/>
      <c r="B38" s="2347" t="s">
        <v>723</v>
      </c>
      <c r="C38" s="2348"/>
      <c r="D38" s="2342" t="s">
        <v>1662</v>
      </c>
      <c r="E38" s="2343"/>
      <c r="F38" s="2343"/>
      <c r="G38" s="2344"/>
      <c r="H38" s="15"/>
      <c r="I38" s="15"/>
      <c r="J38" s="15"/>
      <c r="K38" s="15"/>
      <c r="L38" s="15"/>
      <c r="M38" s="15"/>
      <c r="N38" s="15"/>
      <c r="O38" s="15"/>
      <c r="P38" s="15"/>
      <c r="Q38" s="15"/>
      <c r="R38" s="15"/>
      <c r="S38" s="15"/>
      <c r="T38" s="15"/>
      <c r="U38" s="15"/>
      <c r="V38" s="15"/>
      <c r="W38" s="15"/>
      <c r="X38" s="15"/>
      <c r="Y38" s="15"/>
      <c r="Z38" s="15"/>
      <c r="AA38" s="15"/>
      <c r="AB38" s="15"/>
      <c r="AC38" s="15"/>
      <c r="AD38" s="15"/>
      <c r="AE38" s="15"/>
      <c r="AF38" s="15"/>
      <c r="AG38" s="15"/>
      <c r="AH38" s="15"/>
      <c r="AI38" s="15"/>
      <c r="AJ38" s="15"/>
      <c r="AK38" s="15"/>
      <c r="AL38" s="15"/>
      <c r="AM38" s="15"/>
      <c r="AN38" s="15"/>
      <c r="AO38" s="15"/>
      <c r="AP38" s="15"/>
      <c r="AQ38" s="15"/>
      <c r="AR38" s="15"/>
      <c r="AS38" s="15"/>
      <c r="AT38" s="15"/>
      <c r="AU38" s="15"/>
      <c r="AV38" s="15"/>
      <c r="AW38" s="15"/>
      <c r="AX38" s="15"/>
      <c r="AY38" s="15"/>
      <c r="AZ38" s="15"/>
      <c r="BA38" s="15"/>
      <c r="BB38" s="15"/>
      <c r="BC38" s="15"/>
      <c r="BD38" s="15"/>
      <c r="BE38" s="15"/>
      <c r="BF38" s="15"/>
      <c r="BG38" s="15"/>
      <c r="BH38" s="15"/>
      <c r="BI38" s="15"/>
      <c r="BJ38" s="15"/>
      <c r="BK38" s="15"/>
      <c r="BL38" s="15"/>
      <c r="BM38" s="15"/>
      <c r="BN38" s="15"/>
      <c r="BO38" s="15"/>
      <c r="BP38" s="15"/>
      <c r="BQ38" s="15"/>
      <c r="BR38" s="15"/>
      <c r="BS38" s="15"/>
      <c r="BT38" s="15"/>
      <c r="BU38" s="15"/>
      <c r="BV38" s="15"/>
      <c r="BW38" s="15"/>
      <c r="BX38" s="15"/>
      <c r="BY38" s="15"/>
      <c r="BZ38" s="15"/>
      <c r="CA38" s="15"/>
      <c r="CB38" s="15"/>
      <c r="CC38" s="15"/>
      <c r="CD38" s="15"/>
      <c r="CE38" s="15"/>
      <c r="CF38" s="15"/>
      <c r="CG38" s="15"/>
      <c r="CH38" s="15"/>
    </row>
    <row r="39" spans="1:86" customFormat="1" ht="15" customHeight="1">
      <c r="A39" s="15"/>
      <c r="B39" s="2349"/>
      <c r="C39" s="2350"/>
      <c r="D39" s="982" t="s">
        <v>1663</v>
      </c>
      <c r="E39" s="982" t="s">
        <v>1664</v>
      </c>
      <c r="F39" s="982" t="s">
        <v>174</v>
      </c>
      <c r="G39" s="983" t="s">
        <v>2177</v>
      </c>
      <c r="H39" s="15"/>
      <c r="I39" s="15"/>
      <c r="J39" s="15"/>
      <c r="K39" s="15"/>
      <c r="L39" s="15"/>
      <c r="M39" s="15"/>
      <c r="N39" s="15"/>
      <c r="O39" s="15"/>
      <c r="P39" s="15"/>
      <c r="Q39" s="15"/>
      <c r="R39" s="15"/>
      <c r="S39" s="15"/>
      <c r="T39" s="15"/>
      <c r="U39" s="15"/>
      <c r="V39" s="15"/>
      <c r="W39" s="15"/>
      <c r="X39" s="15"/>
      <c r="Y39" s="15"/>
      <c r="Z39" s="15"/>
      <c r="AA39" s="15"/>
      <c r="AB39" s="15"/>
      <c r="AC39" s="15"/>
      <c r="AD39" s="15"/>
      <c r="AE39" s="15"/>
      <c r="AF39" s="15"/>
      <c r="AG39" s="15"/>
      <c r="AH39" s="15"/>
      <c r="AI39" s="15"/>
      <c r="AJ39" s="15"/>
      <c r="AK39" s="15"/>
      <c r="AL39" s="15"/>
      <c r="AM39" s="15"/>
      <c r="AN39" s="15"/>
      <c r="AO39" s="15"/>
      <c r="AP39" s="15"/>
      <c r="AQ39" s="15"/>
      <c r="AR39" s="15"/>
      <c r="AS39" s="15"/>
      <c r="AT39" s="15"/>
      <c r="AU39" s="15"/>
      <c r="AV39" s="15"/>
      <c r="AW39" s="15"/>
      <c r="AX39" s="15"/>
      <c r="AY39" s="15"/>
      <c r="AZ39" s="15"/>
      <c r="BA39" s="15"/>
      <c r="BB39" s="15"/>
      <c r="BC39" s="15"/>
      <c r="BD39" s="15"/>
      <c r="BE39" s="15"/>
      <c r="BF39" s="15"/>
      <c r="BG39" s="15"/>
      <c r="BH39" s="15"/>
      <c r="BI39" s="15"/>
      <c r="BJ39" s="15"/>
      <c r="BK39" s="15"/>
      <c r="BL39" s="15"/>
      <c r="BM39" s="15"/>
      <c r="BN39" s="15"/>
      <c r="BO39" s="15"/>
      <c r="BP39" s="15"/>
      <c r="BQ39" s="15"/>
      <c r="BR39" s="15"/>
      <c r="BS39" s="15"/>
      <c r="BT39" s="15"/>
      <c r="BU39" s="15"/>
      <c r="BV39" s="15"/>
      <c r="BW39" s="15"/>
      <c r="BX39" s="15"/>
      <c r="BY39" s="15"/>
      <c r="BZ39" s="15"/>
      <c r="CA39" s="15"/>
      <c r="CB39" s="15"/>
      <c r="CC39" s="15"/>
      <c r="CD39" s="15"/>
      <c r="CE39" s="15"/>
      <c r="CF39" s="15"/>
      <c r="CG39" s="15"/>
      <c r="CH39" s="15"/>
    </row>
    <row r="40" spans="1:86" customFormat="1" ht="31" customHeight="1">
      <c r="A40" s="15"/>
      <c r="B40" s="1208" t="s">
        <v>2178</v>
      </c>
      <c r="C40" s="1340"/>
      <c r="D40" s="1338">
        <f>IF(F28="Methane commitment",J106,IF(F28="First Order Decay (FOD)",P68,""))</f>
        <v>2159705.2680000002</v>
      </c>
      <c r="E40" s="1339"/>
      <c r="F40" s="1338">
        <f>IFERROR(IF(SUM(D40:E40)&gt;0,SUM(D40:E40),""),"")</f>
        <v>2159705.2680000002</v>
      </c>
      <c r="G40" s="1338"/>
      <c r="H40" s="15"/>
      <c r="I40" s="15"/>
      <c r="J40" s="15"/>
      <c r="K40" s="15"/>
      <c r="L40" s="15"/>
      <c r="M40" s="15"/>
      <c r="N40" s="15"/>
      <c r="O40" s="15"/>
      <c r="P40" s="15"/>
      <c r="Q40" s="15"/>
      <c r="R40" s="15"/>
      <c r="S40" s="15"/>
      <c r="T40" s="15"/>
      <c r="U40" s="15"/>
      <c r="V40" s="15"/>
      <c r="W40" s="15"/>
      <c r="X40" s="15"/>
      <c r="Y40" s="15"/>
      <c r="Z40" s="15"/>
      <c r="AA40" s="15"/>
      <c r="AB40" s="15"/>
      <c r="AC40" s="15"/>
      <c r="AD40" s="15"/>
      <c r="AE40" s="15"/>
      <c r="AF40" s="15"/>
      <c r="AG40" s="15"/>
      <c r="AH40" s="15"/>
      <c r="AI40" s="15"/>
      <c r="AJ40" s="15"/>
      <c r="AK40" s="15"/>
      <c r="AL40" s="15"/>
      <c r="AM40" s="15"/>
      <c r="AN40" s="15"/>
      <c r="AO40" s="15"/>
      <c r="AP40" s="15"/>
      <c r="AQ40" s="15"/>
      <c r="AR40" s="15"/>
      <c r="AS40" s="15"/>
      <c r="AT40" s="15"/>
      <c r="AU40" s="15"/>
      <c r="AV40" s="15"/>
      <c r="AW40" s="15"/>
      <c r="AX40" s="15"/>
      <c r="AY40" s="15"/>
      <c r="AZ40" s="15"/>
      <c r="BA40" s="15"/>
      <c r="BB40" s="15"/>
      <c r="BC40" s="15"/>
      <c r="BD40" s="15"/>
      <c r="BE40" s="15"/>
      <c r="BF40" s="15"/>
      <c r="BG40" s="15"/>
      <c r="BH40" s="15"/>
      <c r="BI40" s="15"/>
      <c r="BJ40" s="15"/>
      <c r="BK40" s="15"/>
      <c r="BL40" s="15"/>
      <c r="BM40" s="15"/>
      <c r="BN40" s="15"/>
      <c r="BO40" s="15"/>
      <c r="BP40" s="15"/>
      <c r="BQ40" s="15"/>
      <c r="BR40" s="15"/>
      <c r="BS40" s="15"/>
      <c r="BT40" s="15"/>
      <c r="BU40" s="15"/>
      <c r="BV40" s="15"/>
      <c r="BW40" s="15"/>
      <c r="BX40" s="15"/>
      <c r="BY40" s="15"/>
      <c r="BZ40" s="15"/>
      <c r="CA40" s="15"/>
      <c r="CB40" s="15"/>
      <c r="CC40" s="15"/>
      <c r="CD40" s="15"/>
      <c r="CE40" s="15"/>
      <c r="CF40" s="15"/>
      <c r="CG40" s="15"/>
      <c r="CH40" s="15"/>
    </row>
    <row r="41" spans="1:86" customFormat="1" ht="31" customHeight="1">
      <c r="A41" s="15"/>
      <c r="B41" s="2345" t="s">
        <v>2548</v>
      </c>
      <c r="C41" s="2346"/>
      <c r="D41" s="1338">
        <f>I133+I149</f>
        <v>5534.9729930256726</v>
      </c>
      <c r="E41" s="1338">
        <f>I157</f>
        <v>177.62407678970141</v>
      </c>
      <c r="F41" s="1338">
        <f>IFERROR(IF(SUM(D41:E41)&gt;0,SUM(D41:E41),""),"")</f>
        <v>5712.5970698153742</v>
      </c>
      <c r="G41" s="1338">
        <f>G141</f>
        <v>53371.207596371038</v>
      </c>
      <c r="H41" s="15"/>
      <c r="I41" s="15"/>
      <c r="J41" s="15"/>
      <c r="K41" s="15"/>
      <c r="L41" s="15"/>
      <c r="M41" s="15"/>
      <c r="N41" s="15"/>
      <c r="O41" s="15"/>
      <c r="P41" s="15"/>
      <c r="Q41" s="15"/>
      <c r="R41" s="15"/>
      <c r="S41" s="15"/>
      <c r="T41" s="15"/>
      <c r="U41" s="15"/>
      <c r="V41" s="15"/>
      <c r="W41" s="15"/>
      <c r="X41" s="15"/>
      <c r="Y41" s="15"/>
      <c r="Z41" s="15"/>
      <c r="AA41" s="15"/>
      <c r="AB41" s="15"/>
      <c r="AC41" s="15"/>
      <c r="AD41" s="15"/>
      <c r="AE41" s="15"/>
      <c r="AF41" s="15"/>
      <c r="AG41" s="15"/>
      <c r="AH41" s="15"/>
      <c r="AI41" s="15"/>
      <c r="AJ41" s="15"/>
      <c r="AK41" s="15"/>
      <c r="AL41" s="15"/>
      <c r="AM41" s="15"/>
      <c r="AN41" s="15"/>
      <c r="AO41" s="15"/>
      <c r="AP41" s="15"/>
      <c r="AQ41" s="15"/>
      <c r="AR41" s="15"/>
      <c r="AS41" s="15"/>
      <c r="AT41" s="15"/>
      <c r="AU41" s="15"/>
      <c r="AV41" s="15"/>
      <c r="AW41" s="15"/>
      <c r="AX41" s="15"/>
      <c r="AY41" s="15"/>
      <c r="AZ41" s="15"/>
      <c r="BA41" s="15"/>
      <c r="BB41" s="15"/>
      <c r="BC41" s="15"/>
      <c r="BD41" s="15"/>
      <c r="BE41" s="15"/>
      <c r="BF41" s="15"/>
      <c r="BG41" s="15"/>
      <c r="BH41" s="15"/>
      <c r="BI41" s="15"/>
      <c r="BJ41" s="15"/>
      <c r="BK41" s="15"/>
      <c r="BL41" s="15"/>
      <c r="BM41" s="15"/>
      <c r="BN41" s="15"/>
      <c r="BO41" s="15"/>
      <c r="BP41" s="15"/>
      <c r="BQ41" s="15"/>
      <c r="BR41" s="15"/>
      <c r="BS41" s="15"/>
      <c r="BT41" s="15"/>
      <c r="BU41" s="15"/>
      <c r="BV41" s="15"/>
      <c r="BW41" s="15"/>
      <c r="BX41" s="15"/>
      <c r="BY41" s="15"/>
      <c r="BZ41" s="15"/>
      <c r="CA41" s="15"/>
      <c r="CB41" s="15"/>
      <c r="CC41" s="15"/>
      <c r="CD41" s="15"/>
      <c r="CE41" s="15"/>
      <c r="CF41" s="15"/>
      <c r="CG41" s="15"/>
      <c r="CH41" s="15"/>
    </row>
    <row r="42" spans="1:86" customFormat="1" ht="31" customHeight="1">
      <c r="A42" s="15"/>
      <c r="B42" s="1208" t="s">
        <v>174</v>
      </c>
      <c r="C42" s="1340"/>
      <c r="D42" s="1338">
        <f>IF(SUM(D40:D41)&gt;0,SUM(D40:D41),"")</f>
        <v>2165240.2409930257</v>
      </c>
      <c r="E42" s="1338">
        <f>IF(SUM(E40:E41)&gt;0,SUM(E40:E41),"")</f>
        <v>177.62407678970141</v>
      </c>
      <c r="F42" s="1338">
        <f>IF(SUM(F40:F41)&gt;0,SUM(F40:F41),"")</f>
        <v>2165417.8650698154</v>
      </c>
      <c r="G42" s="1338">
        <f>IF(SUM(G40:G41)&gt;0,SUM(G40:G41),"")</f>
        <v>53371.207596371038</v>
      </c>
      <c r="H42" s="15"/>
      <c r="I42" s="15"/>
      <c r="J42" s="15"/>
      <c r="K42" s="15"/>
      <c r="L42" s="15"/>
      <c r="M42" s="15"/>
      <c r="N42" s="15"/>
      <c r="O42" s="15"/>
      <c r="P42" s="15"/>
      <c r="Q42" s="15"/>
      <c r="R42" s="15"/>
      <c r="S42" s="15"/>
      <c r="T42" s="15"/>
      <c r="U42" s="15"/>
      <c r="V42" s="15"/>
      <c r="W42" s="15"/>
      <c r="X42" s="15"/>
      <c r="Y42" s="15"/>
      <c r="Z42" s="15"/>
      <c r="AA42" s="15"/>
      <c r="AB42" s="15"/>
      <c r="AC42" s="15"/>
      <c r="AD42" s="15"/>
      <c r="AE42" s="15"/>
      <c r="AF42" s="15"/>
      <c r="AG42" s="15"/>
      <c r="AH42" s="15"/>
      <c r="AI42" s="15"/>
      <c r="AJ42" s="15"/>
      <c r="AK42" s="15"/>
      <c r="AL42" s="15"/>
      <c r="AM42" s="15"/>
      <c r="AN42" s="15"/>
      <c r="AO42" s="15"/>
      <c r="AP42" s="15"/>
      <c r="AQ42" s="15"/>
      <c r="AR42" s="15"/>
      <c r="AS42" s="15"/>
      <c r="AT42" s="15"/>
      <c r="AU42" s="15"/>
      <c r="AV42" s="15"/>
      <c r="AW42" s="15"/>
      <c r="AX42" s="15"/>
      <c r="AY42" s="15"/>
      <c r="AZ42" s="15"/>
      <c r="BA42" s="15"/>
      <c r="BB42" s="15"/>
      <c r="BC42" s="15"/>
      <c r="BD42" s="15"/>
      <c r="BE42" s="15"/>
      <c r="BF42" s="15"/>
      <c r="BG42" s="15"/>
      <c r="BH42" s="15"/>
      <c r="BI42" s="15"/>
      <c r="BJ42" s="15"/>
      <c r="BK42" s="15"/>
      <c r="BL42" s="15"/>
      <c r="BM42" s="15"/>
      <c r="BN42" s="15"/>
      <c r="BO42" s="15"/>
      <c r="BP42" s="15"/>
      <c r="BQ42" s="15"/>
      <c r="BR42" s="15"/>
      <c r="BS42" s="15"/>
      <c r="BT42" s="15"/>
      <c r="BU42" s="15"/>
      <c r="BV42" s="15"/>
      <c r="BW42" s="15"/>
      <c r="BX42" s="15"/>
      <c r="BY42" s="15"/>
      <c r="BZ42" s="15"/>
      <c r="CA42" s="15"/>
      <c r="CB42" s="15"/>
      <c r="CC42" s="15"/>
      <c r="CD42" s="15"/>
      <c r="CE42" s="15"/>
      <c r="CF42" s="15"/>
      <c r="CG42" s="15"/>
      <c r="CH42" s="15"/>
    </row>
    <row r="43" spans="1:86" ht="15" customHeight="1">
      <c r="B43" s="332"/>
      <c r="C43" s="332"/>
      <c r="D43" s="332"/>
      <c r="E43" s="332"/>
    </row>
    <row r="44" spans="1:86" s="29" customFormat="1" ht="15" customHeight="1">
      <c r="B44" s="465" t="s">
        <v>2586</v>
      </c>
      <c r="C44" s="229"/>
      <c r="D44" s="229"/>
      <c r="E44" s="230"/>
      <c r="F44" s="229"/>
      <c r="G44" s="229"/>
      <c r="H44" s="465"/>
      <c r="I44" s="232"/>
      <c r="J44" s="232"/>
      <c r="K44" s="30"/>
      <c r="U44" s="234"/>
      <c r="V44" s="234"/>
      <c r="W44" s="234"/>
      <c r="X44" s="234"/>
      <c r="Y44" s="234"/>
    </row>
    <row r="45" spans="1:86" ht="15" customHeight="1">
      <c r="B45" s="1321"/>
      <c r="C45" s="1243"/>
      <c r="D45" s="332"/>
      <c r="E45" s="332"/>
    </row>
    <row r="46" spans="1:86" ht="15" customHeight="1">
      <c r="B46" s="465" t="s">
        <v>1823</v>
      </c>
      <c r="C46" s="1243"/>
      <c r="D46" s="332"/>
      <c r="E46" s="332"/>
    </row>
    <row r="47" spans="1:86" ht="15" customHeight="1">
      <c r="B47" s="1321"/>
      <c r="C47" s="1243"/>
      <c r="D47" s="332"/>
      <c r="E47" s="332"/>
    </row>
    <row r="48" spans="1:86" s="1108" customFormat="1" ht="15" customHeight="1">
      <c r="B48" s="1105" t="s">
        <v>2575</v>
      </c>
      <c r="C48" s="1105"/>
      <c r="D48" s="1105"/>
      <c r="E48" s="1105"/>
      <c r="F48" s="1105"/>
      <c r="G48" s="1105"/>
      <c r="H48" s="1105"/>
      <c r="I48" s="1105" t="s">
        <v>2576</v>
      </c>
      <c r="J48" s="1105"/>
      <c r="K48" s="1105"/>
      <c r="L48" s="1105"/>
      <c r="M48" s="1105"/>
      <c r="P48" s="1105" t="s">
        <v>2186</v>
      </c>
      <c r="Q48" s="1105"/>
      <c r="R48" s="1105"/>
      <c r="S48" s="1105"/>
      <c r="U48" s="1109"/>
      <c r="V48" s="1109"/>
      <c r="W48" s="1109"/>
      <c r="X48" s="1109"/>
      <c r="Y48" s="1109"/>
    </row>
    <row r="49" spans="1:35" s="29" customFormat="1" ht="15" customHeight="1">
      <c r="B49" s="465"/>
      <c r="C49" s="229"/>
      <c r="D49" s="229"/>
      <c r="E49" s="230"/>
      <c r="F49" s="229"/>
      <c r="G49" s="229"/>
      <c r="H49" s="465"/>
      <c r="I49" s="465"/>
      <c r="J49" s="229"/>
      <c r="K49" s="229"/>
      <c r="L49" s="230"/>
      <c r="M49" s="229"/>
      <c r="P49" s="465"/>
      <c r="Q49" s="229"/>
      <c r="R49" s="229"/>
      <c r="S49" s="230"/>
      <c r="T49" s="15"/>
      <c r="U49" s="15"/>
      <c r="V49" s="234"/>
      <c r="W49" s="234"/>
      <c r="X49" s="234"/>
      <c r="Y49" s="234"/>
    </row>
    <row r="50" spans="1:35" s="205" customFormat="1" ht="31" customHeight="1">
      <c r="B50" s="1013" t="s">
        <v>1668</v>
      </c>
      <c r="C50" s="917" t="str">
        <f xml:space="preserve"> "= {Σx [MSWx *L0(x) * ((1 - e-k) * e-k (t - x))] - R(t)} * (1 - OX)"</f>
        <v>= {Σx [MSWx *L0(x) * ((1 - e-k) * e-k (t - x))] - R(t)} * (1 - OX)</v>
      </c>
      <c r="D50" s="918"/>
      <c r="E50" s="918"/>
      <c r="F50" s="1091"/>
      <c r="G50" s="930"/>
      <c r="I50" s="993" t="s">
        <v>2549</v>
      </c>
      <c r="J50" s="928" t="str">
        <f>"= MCF * DOC * DOCF * F * 16/12"</f>
        <v>= MCF * DOC * DOCF * F * 16/12</v>
      </c>
      <c r="K50" s="929"/>
      <c r="L50" s="929"/>
      <c r="M50" s="1567"/>
      <c r="N50" s="930"/>
      <c r="P50" s="993" t="s">
        <v>2187</v>
      </c>
      <c r="Q50" s="928" t="str">
        <f xml:space="preserve"> "= (0.15 x A) + (0.2 x B) + (0.4 x C) + (0.43 x D) + (0.24 x E) + (0.15 x F)"</f>
        <v>= (0.15 x A) + (0.2 x B) + (0.4 x C) + (0.43 x D) + (0.24 x E) + (0.15 x F)</v>
      </c>
      <c r="R50" s="928"/>
      <c r="S50" s="928"/>
      <c r="T50" s="1567"/>
      <c r="U50" s="930"/>
    </row>
    <row r="51" spans="1:35" s="205" customFormat="1" ht="31" customHeight="1">
      <c r="B51" s="931" t="s">
        <v>2179</v>
      </c>
      <c r="C51" s="921" t="str">
        <f>"= Landfill opening year or earliest year of historical data available"</f>
        <v>= Landfill opening year or earliest year of historical data available</v>
      </c>
      <c r="D51" s="921"/>
      <c r="E51" s="921"/>
      <c r="F51" s="1092"/>
      <c r="G51" s="922"/>
      <c r="I51" s="931" t="s">
        <v>1053</v>
      </c>
      <c r="J51" s="2361" t="str">
        <f>"= Methane correction factor based on type of landfill site for the year of deposition (managed, unmanaged, etc., fraction); Managed = 1, Unmanaged (≥5 m deep) = 0.8, Unmanaged (&lt;5 m deep) = 0.4, Uncategorized = 0.6"</f>
        <v>= Methane correction factor based on type of landfill site for the year of deposition (managed, unmanaged, etc., fraction); Managed = 1, Unmanaged (≥5 m deep) = 0.8, Unmanaged (&lt;5 m deep) = 0.4, Uncategorized = 0.6</v>
      </c>
      <c r="K51" s="2361"/>
      <c r="L51" s="2361"/>
      <c r="M51" s="2361"/>
      <c r="N51" s="2362"/>
      <c r="P51" s="1573"/>
      <c r="Q51" s="1569"/>
      <c r="R51" s="1092"/>
      <c r="S51" s="1092"/>
      <c r="T51" s="1570" t="s">
        <v>2188</v>
      </c>
      <c r="U51" s="1571" t="s">
        <v>2550</v>
      </c>
    </row>
    <row r="52" spans="1:35" s="205" customFormat="1" ht="31" customHeight="1">
      <c r="B52" s="932" t="s">
        <v>890</v>
      </c>
      <c r="C52" s="923" t="str">
        <f>"= Inventory year"</f>
        <v>= Inventory year</v>
      </c>
      <c r="D52" s="923"/>
      <c r="E52" s="923"/>
      <c r="F52" s="668"/>
      <c r="G52" s="924"/>
      <c r="I52" s="932" t="s">
        <v>2145</v>
      </c>
      <c r="J52" s="2359" t="str">
        <f>"= Degradable organic carbon in year of deposition, fraction (metric tonnes C/metric tonnes waste); GPC equation 8.1"</f>
        <v>= Degradable organic carbon in year of deposition, fraction (metric tonnes C/metric tonnes waste); GPC equation 8.1</v>
      </c>
      <c r="K52" s="2359"/>
      <c r="L52" s="2359"/>
      <c r="M52" s="2359"/>
      <c r="N52" s="2360"/>
      <c r="P52" s="1574" t="s">
        <v>2189</v>
      </c>
      <c r="Q52" s="2358" t="str">
        <f>"= Fraction of solid waste that is food"</f>
        <v>= Fraction of solid waste that is food</v>
      </c>
      <c r="R52" s="2358"/>
      <c r="S52" s="2358"/>
      <c r="T52" s="1579">
        <v>0.15</v>
      </c>
      <c r="U52" s="1577">
        <f>IF(ISBLANK($G$84), $F$84, $G$84)</f>
        <v>0.33900000000000002</v>
      </c>
    </row>
    <row r="53" spans="1:35" s="205" customFormat="1" ht="31" customHeight="1">
      <c r="B53" s="932" t="s">
        <v>2180</v>
      </c>
      <c r="C53" s="923" t="str">
        <f>"= Total municipal solid waste disposed at SWDS in year x in metric tonnes"</f>
        <v>= Total municipal solid waste disposed at SWDS in year x in metric tonnes</v>
      </c>
      <c r="D53" s="923"/>
      <c r="E53" s="923"/>
      <c r="F53" s="668"/>
      <c r="G53" s="924"/>
      <c r="I53" s="932" t="s">
        <v>2183</v>
      </c>
      <c r="J53" s="2359" t="str">
        <f>"= Fraction of DOC that is ultimately degraded (reflects the fact that some organic carbon does not degrade)"</f>
        <v>= Fraction of DOC that is ultimately degraded (reflects the fact that some organic carbon does not degrade)</v>
      </c>
      <c r="K53" s="2359"/>
      <c r="L53" s="2359"/>
      <c r="M53" s="2359"/>
      <c r="N53" s="2360"/>
      <c r="P53" s="1574" t="s">
        <v>1052</v>
      </c>
      <c r="Q53" s="2358" t="str">
        <f>"= Fraction of solid waste that is garden waste and other plant debris"</f>
        <v>= Fraction of solid waste that is garden waste and other plant debris</v>
      </c>
      <c r="R53" s="2358"/>
      <c r="S53" s="2358"/>
      <c r="T53" s="1579">
        <v>0.2</v>
      </c>
      <c r="U53" s="1577">
        <v>0</v>
      </c>
    </row>
    <row r="54" spans="1:35" s="205" customFormat="1" ht="31" customHeight="1">
      <c r="B54" s="932" t="s">
        <v>1048</v>
      </c>
      <c r="C54" s="923" t="str">
        <f xml:space="preserve"> "= Methane collected and removed (metric tonnes) in inventory year"</f>
        <v>= Methane collected and removed (metric tonnes) in inventory year</v>
      </c>
      <c r="D54" s="923"/>
      <c r="E54" s="923"/>
      <c r="F54" s="668"/>
      <c r="G54" s="924"/>
      <c r="I54" s="932" t="s">
        <v>2184</v>
      </c>
      <c r="J54" s="923" t="str">
        <f>"= Fraction of methane in landfill gas; assumed equal to 0.6"</f>
        <v>= Fraction of methane in landfill gas; assumed equal to 0.6</v>
      </c>
      <c r="K54" s="923"/>
      <c r="L54" s="923"/>
      <c r="M54" s="668"/>
      <c r="N54" s="924"/>
      <c r="P54" s="1574" t="s">
        <v>215</v>
      </c>
      <c r="Q54" s="2358" t="str">
        <f>"= Fraction of solid waste that is paper"</f>
        <v>= Fraction of solid waste that is paper</v>
      </c>
      <c r="R54" s="2358"/>
      <c r="S54" s="2358"/>
      <c r="T54" s="1579">
        <v>0.4</v>
      </c>
      <c r="U54" s="1577">
        <f>IF(ISBLANK($I$84),$H$84,$I$84)</f>
        <v>0.23200000000000001</v>
      </c>
    </row>
    <row r="55" spans="1:35" s="205" customFormat="1" ht="31" customHeight="1">
      <c r="B55" s="932" t="s">
        <v>2181</v>
      </c>
      <c r="C55" s="923" t="str">
        <f>"= Methane generation potential"</f>
        <v>= Methane generation potential</v>
      </c>
      <c r="D55" s="923"/>
      <c r="E55" s="923"/>
      <c r="F55" s="668"/>
      <c r="G55" s="924"/>
      <c r="I55" s="933" t="s">
        <v>2185</v>
      </c>
      <c r="J55" s="926" t="str">
        <f>"= Stoichiometric ratio between methane and carbon"</f>
        <v>= Stoichiometric ratio between methane and carbon</v>
      </c>
      <c r="K55" s="926"/>
      <c r="L55" s="926"/>
      <c r="M55" s="1093"/>
      <c r="N55" s="927"/>
      <c r="P55" s="1574" t="s">
        <v>2190</v>
      </c>
      <c r="Q55" s="2358" t="str">
        <f>"= Fraction of solid waste that is wood"</f>
        <v>= Fraction of solid waste that is wood</v>
      </c>
      <c r="R55" s="2358"/>
      <c r="S55" s="2358"/>
      <c r="T55" s="1579">
        <v>0.43</v>
      </c>
      <c r="U55" s="1577">
        <f>IF(ISBLANK($K$84), $J$84, $K$84)</f>
        <v>6.2E-2</v>
      </c>
    </row>
    <row r="56" spans="1:35" s="205" customFormat="1" ht="31" customHeight="1">
      <c r="B56" s="932" t="s">
        <v>913</v>
      </c>
      <c r="C56" s="2359" t="str">
        <f>"= Methane generation rate constant, which is related to the time taken for the DOC in waste to decay to half its initial mass (the half-life)"</f>
        <v>= Methane generation rate constant, which is related to the time taken for the DOC in waste to decay to half its initial mass (the half-life)</v>
      </c>
      <c r="D56" s="2359"/>
      <c r="E56" s="2359"/>
      <c r="F56" s="2359"/>
      <c r="G56" s="2360"/>
      <c r="H56" s="206"/>
      <c r="P56" s="1574" t="s">
        <v>2191</v>
      </c>
      <c r="Q56" s="2358" t="str">
        <f>"= Fraction of solid waste that is textiles"</f>
        <v>= Fraction of solid waste that is textiles</v>
      </c>
      <c r="R56" s="2358"/>
      <c r="S56" s="2358"/>
      <c r="T56" s="1579">
        <v>0.24</v>
      </c>
      <c r="U56" s="1577">
        <f>IF(ISBLANK($M$84), $L$84, $M$84)</f>
        <v>3.9E-2</v>
      </c>
    </row>
    <row r="57" spans="1:35" s="205" customFormat="1" ht="31" customHeight="1">
      <c r="B57" s="933" t="s">
        <v>2182</v>
      </c>
      <c r="C57" s="926" t="str">
        <f>"= Oxidation factor; 0.1 for well-managed landfills, 0 for unmanaged landfills"</f>
        <v>= Oxidation factor; 0.1 for well-managed landfills, 0 for unmanaged landfills</v>
      </c>
      <c r="D57" s="926"/>
      <c r="E57" s="926"/>
      <c r="F57" s="1093"/>
      <c r="G57" s="927"/>
      <c r="P57" s="1574" t="s">
        <v>2184</v>
      </c>
      <c r="Q57" s="2358" t="str">
        <f>"= Fraction of solid waste that is industrial waste"</f>
        <v>= Fraction of solid waste that is industrial waste</v>
      </c>
      <c r="R57" s="2358"/>
      <c r="S57" s="2358"/>
      <c r="T57" s="1579">
        <v>0.15</v>
      </c>
      <c r="U57" s="1577">
        <f>IF($X$84&lt;&gt;"0", $X$84, "0")</f>
        <v>0</v>
      </c>
    </row>
    <row r="58" spans="1:35" s="205" customFormat="1" ht="31" customHeight="1">
      <c r="B58" s="1021"/>
      <c r="C58" s="1021"/>
      <c r="D58" s="1021"/>
      <c r="E58" s="923"/>
      <c r="P58" s="1574"/>
      <c r="Q58" s="2358" t="str">
        <f>"= Fraction of waste that is other (assumed to be zero under IPCC Tier 1 default)"</f>
        <v>= Fraction of waste that is other (assumed to be zero under IPCC Tier 1 default)</v>
      </c>
      <c r="R58" s="2358"/>
      <c r="S58" s="2358"/>
      <c r="T58" s="1579">
        <v>0</v>
      </c>
      <c r="U58" s="1577">
        <f>1-(SUM(U52:U57))</f>
        <v>0.32799999999999996</v>
      </c>
    </row>
    <row r="59" spans="1:35" s="978" customFormat="1" ht="31" customHeight="1">
      <c r="B59" s="465"/>
      <c r="G59" s="1002"/>
      <c r="H59" s="997"/>
      <c r="I59" s="1003"/>
      <c r="J59" s="1003"/>
      <c r="K59" s="1004"/>
      <c r="P59" s="1575" t="s">
        <v>2187</v>
      </c>
      <c r="Q59" s="1576"/>
      <c r="R59" s="1572"/>
      <c r="S59" s="1572"/>
      <c r="T59" s="1580">
        <f>T$52*U$52+T$53*U$53+T$54*U$54+T$55*U$55+T$56*U$56+T$57*U$57</f>
        <v>0.17967</v>
      </c>
      <c r="U59" s="1578">
        <f>SUM(U52:U58)</f>
        <v>1</v>
      </c>
      <c r="V59" s="979"/>
      <c r="W59" s="979"/>
      <c r="X59" s="979"/>
      <c r="Y59" s="979"/>
    </row>
    <row r="60" spans="1:35" s="978" customFormat="1" ht="15" customHeight="1">
      <c r="B60" s="465" t="s">
        <v>2551</v>
      </c>
      <c r="G60" s="1002"/>
      <c r="H60" s="997"/>
      <c r="I60" s="1003"/>
      <c r="J60" s="1003"/>
      <c r="K60" s="1004"/>
      <c r="V60" s="979"/>
      <c r="W60" s="979"/>
      <c r="X60" s="979"/>
      <c r="Y60" s="979"/>
    </row>
    <row r="61" spans="1:35" s="978" customFormat="1" ht="15" customHeight="1">
      <c r="G61" s="1002"/>
      <c r="H61" s="997"/>
      <c r="I61" s="1003"/>
      <c r="J61" s="1003"/>
      <c r="K61" s="1004"/>
      <c r="V61" s="979"/>
      <c r="W61" s="979"/>
      <c r="X61" s="979"/>
      <c r="Y61" s="979"/>
    </row>
    <row r="62" spans="1:35" s="29" customFormat="1" ht="18">
      <c r="B62" s="1105" t="s">
        <v>2575</v>
      </c>
      <c r="C62" s="229"/>
      <c r="D62" s="229"/>
      <c r="E62" s="230"/>
      <c r="F62" s="229"/>
      <c r="G62" s="229"/>
      <c r="H62" s="465"/>
      <c r="I62" s="232"/>
      <c r="J62" s="232"/>
      <c r="K62" s="30"/>
      <c r="U62" s="234"/>
      <c r="V62" s="234"/>
      <c r="W62" s="234"/>
      <c r="X62" s="234"/>
      <c r="Y62" s="234"/>
    </row>
    <row r="63" spans="1:35" s="29" customFormat="1" ht="18">
      <c r="B63" s="1298"/>
      <c r="C63" s="229"/>
      <c r="D63" s="229"/>
      <c r="E63" s="230"/>
      <c r="F63" s="229"/>
      <c r="G63" s="229"/>
      <c r="H63" s="465"/>
      <c r="I63" s="232"/>
      <c r="J63" s="232"/>
      <c r="K63" s="30"/>
      <c r="U63" s="234"/>
      <c r="V63" s="234"/>
      <c r="W63" s="234"/>
      <c r="X63" s="234"/>
      <c r="Y63" s="234"/>
    </row>
    <row r="64" spans="1:35" customFormat="1" ht="16" customHeight="1">
      <c r="A64" s="15"/>
      <c r="B64" s="2363" t="s">
        <v>2553</v>
      </c>
      <c r="C64" s="2366" t="s">
        <v>2192</v>
      </c>
      <c r="D64" s="2326" t="s">
        <v>2193</v>
      </c>
      <c r="E64" s="2321"/>
      <c r="F64" s="2326" t="s">
        <v>2557</v>
      </c>
      <c r="G64" s="2321"/>
      <c r="H64" s="2326" t="s">
        <v>2194</v>
      </c>
      <c r="I64" s="2321"/>
      <c r="J64" s="2326" t="s">
        <v>2195</v>
      </c>
      <c r="K64" s="2321"/>
      <c r="L64" s="2326" t="s">
        <v>2196</v>
      </c>
      <c r="M64" s="2370"/>
      <c r="N64" s="2321"/>
      <c r="O64" s="2368" t="s">
        <v>1666</v>
      </c>
      <c r="P64" s="2369"/>
      <c r="Q64" s="15"/>
      <c r="R64" s="15"/>
      <c r="S64" s="15"/>
      <c r="T64" s="15"/>
      <c r="U64" s="15"/>
      <c r="V64" s="15"/>
      <c r="W64" s="15"/>
      <c r="X64" s="15"/>
      <c r="Y64" s="15"/>
      <c r="Z64" s="15"/>
      <c r="AA64" s="15"/>
      <c r="AB64" s="15"/>
      <c r="AC64" s="15"/>
      <c r="AD64" s="15"/>
      <c r="AE64" s="15"/>
      <c r="AF64" s="15"/>
      <c r="AG64" s="15"/>
      <c r="AH64" s="15"/>
      <c r="AI64" s="15"/>
    </row>
    <row r="65" spans="1:38" customFormat="1" ht="16" customHeight="1">
      <c r="A65" s="15"/>
      <c r="B65" s="2364"/>
      <c r="C65" s="1998"/>
      <c r="D65" s="2327"/>
      <c r="E65" s="2323"/>
      <c r="F65" s="2327"/>
      <c r="G65" s="2323"/>
      <c r="H65" s="2327"/>
      <c r="I65" s="2323"/>
      <c r="J65" s="2327"/>
      <c r="K65" s="2323"/>
      <c r="L65" s="2327"/>
      <c r="M65" s="2371"/>
      <c r="N65" s="2323"/>
      <c r="O65" s="2297" t="s">
        <v>1826</v>
      </c>
      <c r="P65" s="2299" t="s">
        <v>1827</v>
      </c>
      <c r="Q65" s="15"/>
      <c r="R65" s="15"/>
      <c r="S65" s="15"/>
      <c r="T65" s="15"/>
      <c r="U65" s="15"/>
      <c r="V65" s="15"/>
      <c r="W65" s="15"/>
      <c r="X65" s="15"/>
      <c r="Y65" s="15"/>
      <c r="Z65" s="15"/>
      <c r="AA65" s="15"/>
      <c r="AB65" s="15"/>
      <c r="AC65" s="15"/>
      <c r="AD65" s="15"/>
      <c r="AE65" s="15"/>
      <c r="AF65" s="15"/>
      <c r="AG65" s="15"/>
      <c r="AH65" s="15"/>
      <c r="AI65" s="15"/>
    </row>
    <row r="66" spans="1:38" customFormat="1" ht="16" customHeight="1">
      <c r="A66" s="15"/>
      <c r="B66" s="2365"/>
      <c r="C66" s="2367"/>
      <c r="D66" s="2328"/>
      <c r="E66" s="2325"/>
      <c r="F66" s="2328"/>
      <c r="G66" s="2325"/>
      <c r="H66" s="2328"/>
      <c r="I66" s="2325"/>
      <c r="J66" s="2328"/>
      <c r="K66" s="2325"/>
      <c r="L66" s="2328"/>
      <c r="M66" s="2372"/>
      <c r="N66" s="2325"/>
      <c r="O66" s="2298"/>
      <c r="P66" s="2300"/>
      <c r="Q66" s="15"/>
      <c r="R66" s="15"/>
      <c r="S66" s="15"/>
      <c r="T66" s="15"/>
      <c r="U66" s="15"/>
      <c r="V66" s="15"/>
      <c r="W66" s="15"/>
      <c r="X66" s="15"/>
      <c r="Y66" s="15"/>
      <c r="Z66" s="15"/>
      <c r="AA66" s="15"/>
      <c r="AB66" s="15"/>
      <c r="AC66" s="15"/>
      <c r="AD66" s="15"/>
      <c r="AE66" s="15"/>
      <c r="AF66" s="15"/>
      <c r="AG66" s="15"/>
      <c r="AH66" s="15"/>
      <c r="AI66" s="15"/>
    </row>
    <row r="67" spans="1:38" customFormat="1" ht="15.75" customHeight="1">
      <c r="A67" s="15"/>
      <c r="B67" s="1129" t="s">
        <v>2554</v>
      </c>
      <c r="C67" s="1129" t="s">
        <v>2554</v>
      </c>
      <c r="D67" s="2291" t="s">
        <v>1168</v>
      </c>
      <c r="E67" s="2292"/>
      <c r="F67" s="2291" t="s">
        <v>1168</v>
      </c>
      <c r="G67" s="2292"/>
      <c r="H67" s="2291" t="s">
        <v>1168</v>
      </c>
      <c r="I67" s="2292"/>
      <c r="J67" s="1129" t="s">
        <v>1023</v>
      </c>
      <c r="K67" s="1129" t="s">
        <v>1024</v>
      </c>
      <c r="L67" s="2291" t="s">
        <v>2554</v>
      </c>
      <c r="M67" s="2292"/>
      <c r="N67" s="1129" t="s">
        <v>1023</v>
      </c>
      <c r="O67" s="1129"/>
      <c r="P67" s="1129"/>
      <c r="Q67" s="15"/>
      <c r="R67" s="15"/>
      <c r="S67" s="15"/>
      <c r="T67" s="15"/>
      <c r="U67" s="15"/>
      <c r="V67" s="15"/>
      <c r="W67" s="15"/>
      <c r="X67" s="15"/>
      <c r="Y67" s="15"/>
      <c r="Z67" s="15"/>
      <c r="AA67" s="15"/>
      <c r="AB67" s="15"/>
      <c r="AC67" s="15"/>
      <c r="AD67" s="15"/>
      <c r="AE67" s="15"/>
      <c r="AF67" s="15"/>
      <c r="AG67" s="15"/>
      <c r="AH67" s="15"/>
      <c r="AI67" s="15"/>
    </row>
    <row r="68" spans="1:38" s="55" customFormat="1" ht="15.75" customHeight="1">
      <c r="A68" s="51"/>
      <c r="B68" s="1601">
        <v>1960</v>
      </c>
      <c r="C68" s="1601">
        <f>F31</f>
        <v>2015</v>
      </c>
      <c r="D68" s="2318">
        <f>$F$33</f>
        <v>5300000</v>
      </c>
      <c r="E68" s="2319"/>
      <c r="F68" s="2318">
        <f>$F$30</f>
        <v>100000</v>
      </c>
      <c r="G68" s="2319"/>
      <c r="H68" s="2338">
        <f>$K$76</f>
        <v>6.4681199999999994E-2</v>
      </c>
      <c r="I68" s="2339"/>
      <c r="J68" s="1602">
        <f>IF($F$32="Boreal and Temperate (MAT ≤20°C ), Dry (MAP/PET &lt; 1)",F197,IF($F$32="Boreal and Temperate (MAT ≤20°C ), Wet (MAP/PET &gt; 1)",H197,IF($F$32="Tropical (MAT &gt;20°C ), Dry (MAP &lt; 1000 mm)",J197,IF($F$32="Tropical (MAT &gt;20°C ), Moist and Wet (MAP≥ 1000 mm)",L197,""))))</f>
        <v>0.09</v>
      </c>
      <c r="K68" s="1596"/>
      <c r="L68" s="2337" t="s">
        <v>2197</v>
      </c>
      <c r="M68" s="2337"/>
      <c r="N68" s="1603">
        <f>IF($L$68="Well-managed landfill", 0.1,IF($L$68="Unmanaged landfill",0, ""))</f>
        <v>0.1</v>
      </c>
      <c r="O68" s="1787">
        <f>($D$68*H68*((1-EXP(-J68))*(EXP(-J68)*(C68-B68)))-F68)*(1-$N$68)</f>
        <v>1244806.9399606669</v>
      </c>
      <c r="P68" s="1607">
        <f>IFERROR(IF(B68="","",$O68*HLOOKUP($F$34,GWP!F11:I14,4,FALSE)),"")</f>
        <v>34854594.318898678</v>
      </c>
      <c r="Q68" s="1605"/>
      <c r="R68" s="51"/>
      <c r="S68" s="51"/>
      <c r="T68" s="51"/>
      <c r="U68" s="51"/>
      <c r="V68" s="51"/>
      <c r="W68" s="51"/>
      <c r="X68" s="51"/>
      <c r="Y68" s="51"/>
      <c r="Z68" s="51"/>
      <c r="AA68" s="51"/>
      <c r="AB68" s="51"/>
      <c r="AC68" s="51"/>
      <c r="AD68" s="51"/>
      <c r="AE68" s="51"/>
      <c r="AF68" s="51"/>
      <c r="AG68" s="51"/>
      <c r="AH68" s="51"/>
      <c r="AI68" s="51"/>
    </row>
    <row r="69" spans="1:38" ht="15.75" customHeight="1">
      <c r="B69" s="332"/>
      <c r="C69" s="332"/>
      <c r="D69" s="332"/>
      <c r="E69" s="337"/>
      <c r="L69" s="780"/>
      <c r="P69" s="1593"/>
      <c r="Q69" s="780"/>
    </row>
    <row r="70" spans="1:38" s="29" customFormat="1" ht="18">
      <c r="B70" s="1105" t="s">
        <v>2576</v>
      </c>
      <c r="C70" s="229"/>
      <c r="D70" s="229"/>
      <c r="E70" s="230"/>
      <c r="F70" s="229"/>
      <c r="G70" s="229"/>
      <c r="H70" s="465"/>
      <c r="I70" s="232"/>
      <c r="J70" s="232"/>
      <c r="K70" s="30"/>
      <c r="U70" s="234"/>
      <c r="V70" s="234"/>
      <c r="W70" s="234"/>
      <c r="X70" s="234"/>
      <c r="Y70" s="234"/>
    </row>
    <row r="71" spans="1:38" s="29" customFormat="1" ht="18">
      <c r="B71" s="465"/>
      <c r="C71" s="229"/>
      <c r="D71" s="229"/>
      <c r="E71" s="230"/>
      <c r="F71" s="229"/>
      <c r="G71" s="229"/>
      <c r="H71" s="465"/>
      <c r="I71" s="232"/>
      <c r="J71" s="232"/>
      <c r="K71" s="30"/>
      <c r="U71" s="234"/>
      <c r="V71" s="234"/>
      <c r="W71" s="234"/>
      <c r="X71" s="234"/>
      <c r="Y71" s="234"/>
    </row>
    <row r="72" spans="1:38" customFormat="1" ht="15" customHeight="1">
      <c r="A72" s="15"/>
      <c r="B72" s="2320" t="s">
        <v>2198</v>
      </c>
      <c r="C72" s="2321"/>
      <c r="D72" s="2326" t="s">
        <v>2199</v>
      </c>
      <c r="E72" s="2321"/>
      <c r="F72" s="2326" t="s">
        <v>2556</v>
      </c>
      <c r="G72" s="2321"/>
      <c r="H72" s="2326" t="s">
        <v>2200</v>
      </c>
      <c r="I72" s="2321"/>
      <c r="J72" s="2366" t="s">
        <v>2555</v>
      </c>
      <c r="K72" s="2379" t="s">
        <v>2201</v>
      </c>
      <c r="L72" s="15"/>
      <c r="M72" s="15"/>
      <c r="N72" s="15"/>
      <c r="O72" s="15"/>
      <c r="P72" s="780"/>
      <c r="Q72" s="1320"/>
      <c r="R72" s="15"/>
      <c r="S72" s="1592"/>
      <c r="T72" s="15"/>
      <c r="U72" s="15"/>
      <c r="V72" s="15"/>
      <c r="W72" s="15"/>
      <c r="X72" s="15"/>
      <c r="Y72" s="15"/>
      <c r="Z72" s="15"/>
      <c r="AA72" s="15"/>
      <c r="AB72" s="15"/>
      <c r="AC72" s="15"/>
      <c r="AD72" s="15"/>
      <c r="AE72" s="15"/>
      <c r="AF72" s="15"/>
      <c r="AG72" s="15"/>
      <c r="AH72" s="15"/>
      <c r="AI72" s="15"/>
      <c r="AJ72" s="15"/>
      <c r="AK72" s="15"/>
      <c r="AL72" s="15"/>
    </row>
    <row r="73" spans="1:38" customFormat="1">
      <c r="A73" s="15"/>
      <c r="B73" s="2322"/>
      <c r="C73" s="2323"/>
      <c r="D73" s="2327"/>
      <c r="E73" s="2323"/>
      <c r="F73" s="2327"/>
      <c r="G73" s="2323"/>
      <c r="H73" s="2327"/>
      <c r="I73" s="2323"/>
      <c r="J73" s="1998"/>
      <c r="K73" s="2380"/>
      <c r="L73" s="15"/>
      <c r="M73" s="15"/>
      <c r="N73" s="15"/>
      <c r="O73" s="15"/>
      <c r="P73" s="780"/>
      <c r="Q73" s="1320"/>
      <c r="R73" s="15"/>
      <c r="S73" s="1592"/>
      <c r="T73" s="15"/>
      <c r="U73" s="15"/>
      <c r="V73" s="15"/>
      <c r="W73" s="15"/>
      <c r="X73" s="15"/>
      <c r="Y73" s="15"/>
      <c r="Z73" s="15"/>
      <c r="AA73" s="15"/>
      <c r="AB73" s="15"/>
      <c r="AC73" s="15"/>
      <c r="AD73" s="15"/>
      <c r="AE73" s="15"/>
      <c r="AF73" s="15"/>
      <c r="AG73" s="15"/>
      <c r="AH73" s="15"/>
      <c r="AI73" s="15"/>
      <c r="AJ73" s="15"/>
      <c r="AK73" s="15"/>
      <c r="AL73" s="15"/>
    </row>
    <row r="74" spans="1:38" customFormat="1">
      <c r="A74" s="15"/>
      <c r="B74" s="2324"/>
      <c r="C74" s="2325"/>
      <c r="D74" s="2328"/>
      <c r="E74" s="2325"/>
      <c r="F74" s="2328"/>
      <c r="G74" s="2325"/>
      <c r="H74" s="2328"/>
      <c r="I74" s="2325"/>
      <c r="J74" s="2367"/>
      <c r="K74" s="2381"/>
      <c r="L74" s="15"/>
      <c r="M74" s="15"/>
      <c r="N74" s="15"/>
      <c r="O74" s="15"/>
      <c r="P74" s="780"/>
      <c r="Q74" s="1320"/>
      <c r="R74" s="15"/>
      <c r="S74" s="1592"/>
      <c r="T74" s="15"/>
      <c r="U74" s="15"/>
      <c r="V74" s="15"/>
      <c r="W74" s="15"/>
      <c r="X74" s="15"/>
      <c r="Y74" s="15"/>
      <c r="Z74" s="15"/>
      <c r="AA74" s="15"/>
      <c r="AB74" s="15"/>
      <c r="AC74" s="15"/>
      <c r="AD74" s="15"/>
      <c r="AE74" s="15"/>
      <c r="AF74" s="15"/>
      <c r="AG74" s="15"/>
      <c r="AH74" s="15"/>
      <c r="AI74" s="15"/>
      <c r="AJ74" s="15"/>
      <c r="AK74" s="15"/>
      <c r="AL74" s="15"/>
    </row>
    <row r="75" spans="1:38" customFormat="1" ht="15.75" customHeight="1">
      <c r="A75" s="15"/>
      <c r="B75" s="1129" t="s">
        <v>2554</v>
      </c>
      <c r="C75" s="1128" t="s">
        <v>1168</v>
      </c>
      <c r="D75" s="2291" t="s">
        <v>1168</v>
      </c>
      <c r="E75" s="2292"/>
      <c r="F75" s="2291" t="s">
        <v>1023</v>
      </c>
      <c r="G75" s="2292"/>
      <c r="H75" s="1129" t="s">
        <v>1023</v>
      </c>
      <c r="I75" s="1129" t="s">
        <v>1024</v>
      </c>
      <c r="J75" s="1129" t="s">
        <v>1023</v>
      </c>
      <c r="K75" s="1129"/>
      <c r="L75" s="15"/>
      <c r="M75" s="780"/>
      <c r="N75" s="1320"/>
      <c r="O75" s="15"/>
      <c r="P75" s="1320"/>
      <c r="Q75" s="15"/>
      <c r="R75" s="15"/>
      <c r="S75" s="15"/>
      <c r="T75" s="15"/>
      <c r="U75" s="15"/>
      <c r="V75" s="15"/>
      <c r="W75" s="15"/>
      <c r="X75" s="15"/>
      <c r="Y75" s="15"/>
      <c r="Z75" s="15"/>
      <c r="AA75" s="15"/>
      <c r="AB75" s="15"/>
      <c r="AC75" s="15"/>
      <c r="AD75" s="15"/>
      <c r="AE75" s="15"/>
      <c r="AF75" s="15"/>
      <c r="AG75" s="15"/>
      <c r="AH75" s="15"/>
      <c r="AI75" s="15"/>
      <c r="AJ75" s="15"/>
      <c r="AK75" s="15"/>
      <c r="AL75" s="15"/>
    </row>
    <row r="76" spans="1:38" s="55" customFormat="1" ht="15.75" customHeight="1">
      <c r="A76" s="51"/>
      <c r="B76" s="1786" t="s">
        <v>2202</v>
      </c>
      <c r="C76" s="1598">
        <f>IF($B$76="Managed",1,IF($B$76="Unmanaged (≥5 m deep)",0.8,IF($B$76="Unmanaged (&lt;5 m deep)",0.4,IF($B$76="Uncategorized",0.6))))</f>
        <v>1</v>
      </c>
      <c r="D76" s="2382">
        <f>$T$59</f>
        <v>0.17967</v>
      </c>
      <c r="E76" s="2382"/>
      <c r="F76" s="2383">
        <v>0.6</v>
      </c>
      <c r="G76" s="2383"/>
      <c r="H76" s="1599">
        <v>0.5</v>
      </c>
      <c r="I76" s="1596">
        <v>0.45</v>
      </c>
      <c r="J76" s="1599">
        <f>16/12</f>
        <v>1.3333333333333333</v>
      </c>
      <c r="K76" s="1600">
        <f>$C$76*$D$76*$F$76*(IF(ISBLANK($I$76),$H$76,$I$76))*$J$76</f>
        <v>6.4681199999999994E-2</v>
      </c>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row>
    <row r="77" spans="1:38" s="1304" customFormat="1" ht="15.75" customHeight="1">
      <c r="B77" s="1311"/>
      <c r="C77" s="1311"/>
      <c r="D77" s="1312"/>
      <c r="E77" s="1313"/>
      <c r="F77" s="1313"/>
      <c r="G77" s="1175"/>
      <c r="H77" s="1313"/>
      <c r="I77" s="1314"/>
      <c r="J77" s="1314"/>
      <c r="L77" s="1315"/>
    </row>
    <row r="78" spans="1:38" s="31" customFormat="1" ht="15.75" customHeight="1">
      <c r="B78" s="1316" t="s">
        <v>2356</v>
      </c>
      <c r="C78" s="1316"/>
      <c r="D78" s="1316"/>
      <c r="E78" s="380"/>
      <c r="G78" s="26"/>
      <c r="H78" s="1317"/>
      <c r="U78" s="1318"/>
    </row>
    <row r="79" spans="1:38" ht="15.75" customHeight="1">
      <c r="B79" s="332"/>
      <c r="C79" s="332"/>
      <c r="D79" s="332"/>
      <c r="E79" s="337"/>
      <c r="G79" s="22"/>
      <c r="H79" s="1317"/>
      <c r="I79" s="1319"/>
    </row>
    <row r="80" spans="1:38" s="29" customFormat="1" ht="15" customHeight="1">
      <c r="B80" s="1105" t="s">
        <v>2203</v>
      </c>
      <c r="C80" s="229"/>
      <c r="D80" s="229"/>
      <c r="E80" s="1604"/>
      <c r="G80" s="229"/>
      <c r="H80" s="465"/>
      <c r="I80" s="232"/>
      <c r="J80" s="232"/>
      <c r="K80" s="30"/>
      <c r="U80" s="234"/>
      <c r="V80" s="234"/>
      <c r="W80" s="234"/>
      <c r="X80" s="234"/>
      <c r="Y80" s="234"/>
    </row>
    <row r="81" spans="1:50" s="29" customFormat="1" ht="15" customHeight="1">
      <c r="B81" s="465"/>
      <c r="C81" s="229"/>
      <c r="D81" s="229"/>
      <c r="E81" s="230"/>
      <c r="F81" s="229"/>
      <c r="G81" s="229"/>
      <c r="H81" s="465"/>
      <c r="I81" s="232"/>
      <c r="J81" s="232"/>
      <c r="K81" s="30"/>
      <c r="U81" s="234"/>
      <c r="V81" s="234"/>
      <c r="W81" s="234"/>
      <c r="X81" s="234"/>
      <c r="Y81" s="234"/>
    </row>
    <row r="82" spans="1:50" customFormat="1" ht="15.75" customHeight="1">
      <c r="A82" s="15"/>
      <c r="B82" s="2320" t="s">
        <v>1117</v>
      </c>
      <c r="C82" s="2321"/>
      <c r="D82" s="2326" t="s">
        <v>2168</v>
      </c>
      <c r="E82" s="2321"/>
      <c r="F82" s="2326" t="s">
        <v>281</v>
      </c>
      <c r="G82" s="2321"/>
      <c r="H82" s="2326" t="s">
        <v>2052</v>
      </c>
      <c r="I82" s="2321"/>
      <c r="J82" s="2326" t="s">
        <v>2054</v>
      </c>
      <c r="K82" s="2321"/>
      <c r="L82" s="2326" t="s">
        <v>2053</v>
      </c>
      <c r="M82" s="2321"/>
      <c r="N82" s="2326" t="s">
        <v>2204</v>
      </c>
      <c r="O82" s="2321"/>
      <c r="P82" s="2326" t="s">
        <v>2205</v>
      </c>
      <c r="Q82" s="2321"/>
      <c r="R82" s="2326" t="s">
        <v>2059</v>
      </c>
      <c r="S82" s="2321"/>
      <c r="T82" s="2326" t="s">
        <v>2060</v>
      </c>
      <c r="U82" s="2321"/>
      <c r="V82" s="2326" t="s">
        <v>197</v>
      </c>
      <c r="W82" s="2321"/>
      <c r="X82" s="2326" t="s">
        <v>1044</v>
      </c>
      <c r="Y82" s="2385"/>
      <c r="Z82" s="15"/>
      <c r="AA82" s="15"/>
      <c r="AB82" s="15"/>
      <c r="AC82" s="15"/>
      <c r="AD82" s="15"/>
      <c r="AE82" s="15"/>
      <c r="AF82" s="15"/>
      <c r="AG82" s="15"/>
      <c r="AH82" s="15"/>
      <c r="AI82" s="15"/>
      <c r="AJ82" s="15"/>
      <c r="AK82" s="15"/>
      <c r="AL82" s="15"/>
      <c r="AM82" s="15"/>
      <c r="AN82" s="15"/>
      <c r="AO82" s="15"/>
      <c r="AP82" s="15"/>
      <c r="AQ82" s="15"/>
      <c r="AR82" s="15"/>
      <c r="AS82" s="15"/>
      <c r="AT82" s="15"/>
      <c r="AU82" s="15"/>
      <c r="AV82" s="15"/>
      <c r="AW82" s="15"/>
      <c r="AX82" s="15"/>
    </row>
    <row r="83" spans="1:50" s="5" customFormat="1" ht="15.75" customHeight="1">
      <c r="A83" s="25"/>
      <c r="B83" s="2329" t="s">
        <v>1168</v>
      </c>
      <c r="C83" s="2329"/>
      <c r="D83" s="2329" t="s">
        <v>1168</v>
      </c>
      <c r="E83" s="2329"/>
      <c r="F83" s="795" t="s">
        <v>1023</v>
      </c>
      <c r="G83" s="795" t="s">
        <v>1024</v>
      </c>
      <c r="H83" s="795" t="s">
        <v>1023</v>
      </c>
      <c r="I83" s="795" t="s">
        <v>1024</v>
      </c>
      <c r="J83" s="795" t="s">
        <v>1023</v>
      </c>
      <c r="K83" s="795" t="s">
        <v>1024</v>
      </c>
      <c r="L83" s="795" t="s">
        <v>1023</v>
      </c>
      <c r="M83" s="795" t="s">
        <v>1024</v>
      </c>
      <c r="N83" s="795" t="s">
        <v>1023</v>
      </c>
      <c r="O83" s="795" t="s">
        <v>1024</v>
      </c>
      <c r="P83" s="795" t="s">
        <v>1023</v>
      </c>
      <c r="Q83" s="795" t="s">
        <v>1024</v>
      </c>
      <c r="R83" s="795" t="s">
        <v>1023</v>
      </c>
      <c r="S83" s="795" t="s">
        <v>1024</v>
      </c>
      <c r="T83" s="795" t="s">
        <v>1023</v>
      </c>
      <c r="U83" s="795" t="s">
        <v>1024</v>
      </c>
      <c r="V83" s="795" t="s">
        <v>1023</v>
      </c>
      <c r="W83" s="795" t="s">
        <v>1024</v>
      </c>
      <c r="X83" s="2329" t="s">
        <v>1024</v>
      </c>
      <c r="Y83" s="2329"/>
      <c r="Z83" s="14"/>
      <c r="AA83" s="14"/>
      <c r="AB83" s="14"/>
      <c r="AC83" s="14"/>
      <c r="AD83" s="14"/>
      <c r="AE83" s="14"/>
      <c r="AF83" s="14"/>
      <c r="AG83" s="14"/>
      <c r="AH83" s="14"/>
      <c r="AI83" s="14"/>
      <c r="AJ83" s="14"/>
      <c r="AK83" s="14"/>
      <c r="AL83" s="14"/>
      <c r="AM83" s="14"/>
      <c r="AN83" s="14"/>
      <c r="AO83" s="14"/>
      <c r="AP83" s="14"/>
      <c r="AQ83" s="14"/>
      <c r="AR83" s="14"/>
      <c r="AS83" s="14"/>
      <c r="AT83" s="14"/>
      <c r="AU83" s="14"/>
      <c r="AV83" s="14"/>
      <c r="AW83" s="14"/>
      <c r="AX83" s="14"/>
    </row>
    <row r="84" spans="1:50" s="55" customFormat="1" ht="15.75" customHeight="1">
      <c r="A84" s="21"/>
      <c r="B84" s="2330" t="str">
        <f>IF($F$26="","Enter region",$F$26)</f>
        <v>America</v>
      </c>
      <c r="C84" s="2330"/>
      <c r="D84" s="2330" t="str">
        <f>IF($F$27="","Enter sub-region",$F$27)</f>
        <v>North America</v>
      </c>
      <c r="E84" s="2330"/>
      <c r="F84" s="1594">
        <f>IFERROR(VLOOKUP($D$84,WTOOL_MSW_composition,2,FALSE),"")</f>
        <v>0.33900000000000002</v>
      </c>
      <c r="G84" s="1595"/>
      <c r="H84" s="1594">
        <f>IFERROR(VLOOKUP($D$84,WTOOL_MSW_composition,3,FALSE),"")</f>
        <v>0.23200000000000001</v>
      </c>
      <c r="I84" s="1596"/>
      <c r="J84" s="1594">
        <f>IFERROR(VLOOKUP($D$84,WTOOL_MSW_composition,4,FALSE),"")</f>
        <v>6.2E-2</v>
      </c>
      <c r="K84" s="1596"/>
      <c r="L84" s="1594">
        <f>IFERROR(VLOOKUP($D$84,WTOOL_MSW_composition,5,FALSE),"")</f>
        <v>3.9E-2</v>
      </c>
      <c r="M84" s="1596"/>
      <c r="N84" s="1597">
        <f>IFERROR(VLOOKUP($D$84,WTOOL_MSW_composition,6,FALSE),"")</f>
        <v>1.4E-2</v>
      </c>
      <c r="O84" s="1596"/>
      <c r="P84" s="1597">
        <f>IFERROR(VLOOKUP($D$84,WTOOL_MSW_composition,7,FALSE),"")</f>
        <v>8.5000000000000006E-2</v>
      </c>
      <c r="Q84" s="1596"/>
      <c r="R84" s="1597">
        <f>IFERROR(VLOOKUP($D$84,WTOOL_MSW_composition,8,FALSE),"")</f>
        <v>4.5999999999999999E-2</v>
      </c>
      <c r="S84" s="1596"/>
      <c r="T84" s="1597">
        <f>IFERROR(VLOOKUP($D$84,WTOOL_MSW_composition,9,FALSE),"")</f>
        <v>6.5000000000000002E-2</v>
      </c>
      <c r="U84" s="1596"/>
      <c r="V84" s="1597">
        <f>IFERROR(VLOOKUP($D$84,WTOOL_MSW_composition,10,FALSE),"")</f>
        <v>9.8000000000000004E-2</v>
      </c>
      <c r="W84" s="1596"/>
      <c r="X84" s="1597">
        <v>0</v>
      </c>
      <c r="Y84" s="1596"/>
      <c r="Z84" s="51"/>
      <c r="AA84" s="51"/>
      <c r="AB84" s="51"/>
      <c r="AC84" s="51"/>
      <c r="AD84" s="51"/>
      <c r="AE84" s="51"/>
      <c r="AF84" s="51"/>
      <c r="AG84" s="51"/>
      <c r="AH84" s="51"/>
      <c r="AI84" s="51"/>
      <c r="AJ84" s="51"/>
      <c r="AK84" s="51"/>
      <c r="AL84" s="51"/>
      <c r="AM84" s="51"/>
      <c r="AN84" s="51"/>
      <c r="AO84" s="51"/>
      <c r="AP84" s="51"/>
      <c r="AQ84" s="51"/>
      <c r="AR84" s="51"/>
      <c r="AS84" s="51"/>
      <c r="AT84" s="51"/>
      <c r="AU84" s="51"/>
      <c r="AV84" s="51"/>
      <c r="AW84" s="51"/>
      <c r="AX84" s="51"/>
    </row>
    <row r="85" spans="1:50" ht="15.75" customHeight="1">
      <c r="A85" s="22"/>
      <c r="B85" s="337"/>
      <c r="C85" s="337"/>
      <c r="D85" s="337"/>
      <c r="E85" s="337"/>
      <c r="F85" s="22"/>
    </row>
    <row r="86" spans="1:50" s="29" customFormat="1" ht="15" customHeight="1">
      <c r="B86" s="465" t="s">
        <v>2585</v>
      </c>
      <c r="C86" s="229"/>
      <c r="D86" s="229"/>
      <c r="E86" s="230"/>
      <c r="F86" s="229"/>
      <c r="G86" s="229"/>
      <c r="H86" s="465"/>
      <c r="I86" s="232"/>
      <c r="J86" s="232"/>
      <c r="K86" s="30"/>
      <c r="U86" s="234"/>
      <c r="V86" s="234"/>
      <c r="W86" s="234"/>
      <c r="X86" s="234"/>
      <c r="Y86" s="234"/>
    </row>
    <row r="87" spans="1:50" ht="15.75" customHeight="1">
      <c r="B87" s="332"/>
      <c r="C87" s="332"/>
      <c r="D87" s="332"/>
      <c r="E87" s="332"/>
      <c r="G87" s="22"/>
      <c r="H87" s="22"/>
      <c r="I87" s="22"/>
      <c r="J87" s="22"/>
      <c r="K87" s="22"/>
      <c r="L87" s="22"/>
      <c r="M87" s="22"/>
    </row>
    <row r="88" spans="1:50" ht="15.75" customHeight="1">
      <c r="B88" s="465" t="s">
        <v>1823</v>
      </c>
      <c r="C88" s="332"/>
      <c r="D88" s="332"/>
      <c r="E88" s="332"/>
      <c r="G88" s="22"/>
      <c r="H88" s="22"/>
      <c r="I88" s="22"/>
      <c r="J88" s="22"/>
      <c r="K88" s="22"/>
      <c r="L88" s="22"/>
      <c r="M88" s="22"/>
    </row>
    <row r="89" spans="1:50" ht="15.75" customHeight="1">
      <c r="B89" s="332"/>
      <c r="C89" s="332"/>
      <c r="D89" s="332"/>
      <c r="E89" s="332"/>
      <c r="G89" s="22"/>
      <c r="H89" s="22"/>
      <c r="I89" s="22"/>
      <c r="J89" s="22"/>
      <c r="K89" s="22"/>
      <c r="L89" s="22"/>
      <c r="M89" s="22"/>
    </row>
    <row r="90" spans="1:50" ht="15.75" customHeight="1">
      <c r="B90" s="1105" t="s">
        <v>2577</v>
      </c>
      <c r="C90" s="332"/>
      <c r="D90" s="332"/>
      <c r="E90" s="332"/>
      <c r="G90" s="22"/>
      <c r="H90" s="1308"/>
      <c r="I90" s="1309"/>
      <c r="J90" s="1309"/>
      <c r="K90" s="1309"/>
      <c r="L90" s="1308"/>
      <c r="M90" s="22"/>
    </row>
    <row r="91" spans="1:50" ht="15.75" customHeight="1">
      <c r="B91" s="332"/>
      <c r="C91" s="332"/>
      <c r="D91" s="332"/>
      <c r="E91" s="332"/>
      <c r="G91" s="22"/>
      <c r="H91" s="1308"/>
      <c r="I91" s="1309"/>
      <c r="J91" s="1309"/>
      <c r="K91" s="1309"/>
      <c r="L91" s="1308"/>
      <c r="M91" s="22"/>
    </row>
    <row r="92" spans="1:50" s="205" customFormat="1" ht="31" customHeight="1">
      <c r="B92" s="993" t="s">
        <v>2552</v>
      </c>
      <c r="C92" s="1586" t="str">
        <f>"= MSWx x L0 x (1-frec) x (1-OX)"</f>
        <v>= MSWx x L0 x (1-frec) x (1-OX)</v>
      </c>
      <c r="D92" s="1586"/>
      <c r="E92" s="929"/>
      <c r="F92" s="1567"/>
      <c r="G92" s="930"/>
      <c r="H92" s="1322"/>
      <c r="I92" s="1322"/>
      <c r="J92" s="1581"/>
      <c r="K92" s="1322"/>
      <c r="L92" s="1322"/>
      <c r="M92" s="668"/>
    </row>
    <row r="93" spans="1:50" s="205" customFormat="1" ht="31" customHeight="1">
      <c r="B93" s="1573" t="s">
        <v>2206</v>
      </c>
      <c r="C93" s="1588" t="str">
        <f>"= Mass of solid waste sent to landfill in inventory year, measured in metric tonnes"</f>
        <v>= Mass of solid waste sent to landfill in inventory year, measured in metric tonnes</v>
      </c>
      <c r="D93" s="1569"/>
      <c r="E93" s="921"/>
      <c r="F93" s="1092"/>
      <c r="G93" s="922"/>
      <c r="H93" s="1322"/>
      <c r="I93" s="1322"/>
      <c r="J93" s="1322"/>
      <c r="K93" s="1582"/>
      <c r="L93" s="1322"/>
      <c r="M93" s="668"/>
    </row>
    <row r="94" spans="1:50" s="205" customFormat="1" ht="31" customHeight="1">
      <c r="B94" s="1574" t="s">
        <v>2207</v>
      </c>
      <c r="C94" s="1589" t="str">
        <f>"= Methane generation potential"</f>
        <v>= Methane generation potential</v>
      </c>
      <c r="D94" s="1591"/>
      <c r="E94" s="923"/>
      <c r="F94" s="668"/>
      <c r="G94" s="924"/>
      <c r="H94" s="1322"/>
      <c r="I94" s="1322"/>
      <c r="J94" s="1322"/>
      <c r="K94" s="1584"/>
      <c r="L94" s="1322"/>
      <c r="M94" s="668"/>
    </row>
    <row r="95" spans="1:50" s="205" customFormat="1" ht="31" customHeight="1">
      <c r="B95" s="1574" t="s">
        <v>2208</v>
      </c>
      <c r="C95" s="1590" t="str">
        <f>"= Fraction of methane recovered at landfill (flared or energy recovery)"</f>
        <v>= Fraction of methane recovered at landfill (flared or energy recovery)</v>
      </c>
      <c r="D95" s="1322"/>
      <c r="E95" s="923"/>
      <c r="F95" s="668"/>
      <c r="G95" s="924"/>
      <c r="H95" s="1322"/>
      <c r="I95" s="1322"/>
      <c r="J95" s="1322"/>
      <c r="K95" s="1322"/>
      <c r="L95" s="1322"/>
      <c r="M95" s="668"/>
    </row>
    <row r="96" spans="1:50" s="205" customFormat="1" ht="31" customHeight="1">
      <c r="B96" s="1575" t="s">
        <v>2182</v>
      </c>
      <c r="C96" s="926" t="str">
        <f>"= Oxidation factor; 0.1 for well-managed landfills, 0 for unmanaged landfills"</f>
        <v>= Oxidation factor; 0.1 for well-managed landfills, 0 for unmanaged landfills</v>
      </c>
      <c r="D96" s="926"/>
      <c r="E96" s="926"/>
      <c r="F96" s="1093"/>
      <c r="G96" s="927"/>
      <c r="H96" s="1322"/>
      <c r="I96" s="1322"/>
      <c r="J96" s="1322"/>
      <c r="K96" s="1585"/>
      <c r="L96" s="1322"/>
      <c r="M96" s="668"/>
    </row>
    <row r="97" spans="1:54" ht="15.75" customHeight="1">
      <c r="E97" s="332"/>
      <c r="G97" s="22"/>
      <c r="H97" s="1308"/>
      <c r="I97" s="1308"/>
      <c r="J97" s="1308"/>
      <c r="K97" s="1308"/>
      <c r="L97" s="1308"/>
      <c r="M97" s="22"/>
    </row>
    <row r="98" spans="1:54" ht="15.75" customHeight="1">
      <c r="B98" s="465" t="s">
        <v>1824</v>
      </c>
      <c r="E98" s="332"/>
      <c r="G98" s="22"/>
      <c r="H98" s="1308"/>
      <c r="I98" s="1308"/>
      <c r="J98" s="1308"/>
      <c r="K98" s="1308"/>
      <c r="L98" s="1308"/>
      <c r="M98" s="22"/>
    </row>
    <row r="99" spans="1:54" ht="15.75" customHeight="1">
      <c r="E99" s="332"/>
      <c r="G99" s="22"/>
      <c r="H99" s="1308"/>
      <c r="I99" s="1308"/>
      <c r="J99" s="1308"/>
      <c r="K99" s="1308"/>
      <c r="L99" s="1308"/>
      <c r="M99" s="22"/>
    </row>
    <row r="100" spans="1:54" ht="15.75" customHeight="1">
      <c r="B100" s="1105" t="s">
        <v>2577</v>
      </c>
      <c r="C100" s="332"/>
      <c r="D100" s="332"/>
      <c r="E100" s="332"/>
      <c r="G100" s="22"/>
      <c r="H100" s="2384"/>
      <c r="I100" s="2384"/>
      <c r="J100" s="1308"/>
      <c r="K100" s="1308"/>
      <c r="L100" s="1308"/>
      <c r="M100" s="22"/>
    </row>
    <row r="101" spans="1:54" ht="15.75" customHeight="1">
      <c r="B101" s="332"/>
      <c r="C101" s="332"/>
      <c r="D101" s="332"/>
      <c r="E101" s="332"/>
      <c r="G101" s="22"/>
      <c r="H101" s="1310"/>
      <c r="I101" s="1310"/>
      <c r="J101" s="1308"/>
      <c r="K101" s="1308"/>
      <c r="L101" s="1308"/>
      <c r="M101" s="22"/>
    </row>
    <row r="102" spans="1:54" customFormat="1" ht="15" customHeight="1">
      <c r="A102" s="15"/>
      <c r="B102" s="2373" t="s">
        <v>2574</v>
      </c>
      <c r="C102" s="2374"/>
      <c r="D102" s="2366" t="s">
        <v>2209</v>
      </c>
      <c r="E102" s="2366" t="s">
        <v>2558</v>
      </c>
      <c r="F102" s="2326" t="s">
        <v>2196</v>
      </c>
      <c r="G102" s="2370"/>
      <c r="H102" s="2321"/>
      <c r="I102" s="2368" t="s">
        <v>1666</v>
      </c>
      <c r="J102" s="2369"/>
      <c r="K102" s="26"/>
      <c r="L102" s="26"/>
      <c r="M102" s="22"/>
      <c r="N102" s="15"/>
      <c r="O102" s="15"/>
      <c r="P102" s="15"/>
      <c r="Q102" s="15"/>
      <c r="R102" s="15"/>
      <c r="S102" s="15"/>
      <c r="T102" s="15"/>
      <c r="U102" s="15"/>
      <c r="V102" s="15"/>
      <c r="W102" s="15"/>
      <c r="X102" s="15"/>
      <c r="Y102" s="15"/>
      <c r="Z102" s="15"/>
      <c r="AA102" s="15"/>
      <c r="AB102" s="15"/>
      <c r="AC102" s="15"/>
      <c r="AD102" s="15"/>
      <c r="AE102" s="15"/>
      <c r="AF102" s="15"/>
      <c r="AG102" s="15"/>
      <c r="AH102" s="15"/>
      <c r="AI102" s="15"/>
      <c r="AJ102" s="15"/>
      <c r="AK102" s="15"/>
      <c r="AL102" s="15"/>
      <c r="AM102" s="15"/>
      <c r="AN102" s="15"/>
      <c r="AO102" s="15"/>
      <c r="AP102" s="15"/>
      <c r="AQ102" s="15"/>
      <c r="AR102" s="15"/>
      <c r="AS102" s="15"/>
      <c r="AT102" s="15"/>
      <c r="AU102" s="15"/>
      <c r="AV102" s="15"/>
      <c r="AW102" s="15"/>
      <c r="AX102" s="15"/>
      <c r="AY102" s="15"/>
      <c r="AZ102" s="15"/>
      <c r="BA102" s="15"/>
      <c r="BB102" s="15"/>
    </row>
    <row r="103" spans="1:54" customFormat="1">
      <c r="A103" s="15"/>
      <c r="B103" s="2375"/>
      <c r="C103" s="2376"/>
      <c r="D103" s="1998"/>
      <c r="E103" s="1998"/>
      <c r="F103" s="2327"/>
      <c r="G103" s="2371"/>
      <c r="H103" s="2323"/>
      <c r="I103" s="2297" t="s">
        <v>1826</v>
      </c>
      <c r="J103" s="2299" t="s">
        <v>1827</v>
      </c>
      <c r="K103" s="26"/>
      <c r="L103" s="26"/>
      <c r="M103" s="22"/>
      <c r="N103" s="15"/>
      <c r="O103" s="15"/>
      <c r="P103" s="15"/>
      <c r="Q103" s="15"/>
      <c r="R103" s="15"/>
      <c r="S103" s="15"/>
      <c r="T103" s="15"/>
      <c r="U103" s="15"/>
      <c r="V103" s="15"/>
      <c r="W103" s="15"/>
      <c r="X103" s="15"/>
      <c r="Y103" s="15"/>
      <c r="Z103" s="15"/>
      <c r="AA103" s="15"/>
      <c r="AB103" s="15"/>
      <c r="AC103" s="15"/>
      <c r="AD103" s="15"/>
      <c r="AE103" s="15"/>
      <c r="AF103" s="15"/>
      <c r="AG103" s="15"/>
      <c r="AH103" s="15"/>
      <c r="AI103" s="15"/>
      <c r="AJ103" s="15"/>
      <c r="AK103" s="15"/>
      <c r="AL103" s="15"/>
      <c r="AM103" s="15"/>
      <c r="AN103" s="15"/>
      <c r="AO103" s="15"/>
      <c r="AP103" s="15"/>
      <c r="AQ103" s="15"/>
      <c r="AR103" s="15"/>
      <c r="AS103" s="15"/>
      <c r="AT103" s="15"/>
      <c r="AU103" s="15"/>
      <c r="AV103" s="15"/>
      <c r="AW103" s="15"/>
      <c r="AX103" s="15"/>
      <c r="AY103" s="15"/>
      <c r="AZ103" s="15"/>
      <c r="BA103" s="15"/>
      <c r="BB103" s="15"/>
    </row>
    <row r="104" spans="1:54" customFormat="1">
      <c r="A104" s="15"/>
      <c r="B104" s="2377"/>
      <c r="C104" s="2378"/>
      <c r="D104" s="2367"/>
      <c r="E104" s="2367"/>
      <c r="F104" s="2328"/>
      <c r="G104" s="2372"/>
      <c r="H104" s="2325"/>
      <c r="I104" s="2298"/>
      <c r="J104" s="2300"/>
      <c r="K104" s="26"/>
      <c r="L104" s="26"/>
      <c r="M104" s="22"/>
      <c r="N104" s="15"/>
      <c r="O104" s="15"/>
      <c r="P104" s="15"/>
      <c r="Q104" s="15"/>
      <c r="R104" s="15"/>
      <c r="S104" s="15"/>
      <c r="T104" s="15"/>
      <c r="U104" s="15"/>
      <c r="V104" s="15"/>
      <c r="W104" s="15"/>
      <c r="X104" s="15"/>
      <c r="Y104" s="15"/>
      <c r="Z104" s="15"/>
      <c r="AA104" s="15"/>
      <c r="AB104" s="15"/>
      <c r="AC104" s="15"/>
      <c r="AD104" s="15"/>
      <c r="AE104" s="15"/>
      <c r="AF104" s="15"/>
      <c r="AG104" s="15"/>
      <c r="AH104" s="15"/>
      <c r="AI104" s="15"/>
      <c r="AJ104" s="15"/>
      <c r="AK104" s="15"/>
      <c r="AL104" s="15"/>
      <c r="AM104" s="15"/>
      <c r="AN104" s="15"/>
      <c r="AO104" s="15"/>
      <c r="AP104" s="15"/>
      <c r="AQ104" s="15"/>
      <c r="AR104" s="15"/>
      <c r="AS104" s="15"/>
      <c r="AT104" s="15"/>
      <c r="AU104" s="15"/>
      <c r="AV104" s="15"/>
      <c r="AW104" s="15"/>
      <c r="AX104" s="15"/>
      <c r="AY104" s="15"/>
      <c r="AZ104" s="15"/>
      <c r="BA104" s="15"/>
      <c r="BB104" s="15"/>
    </row>
    <row r="105" spans="1:54" s="1" customFormat="1" ht="15.75" customHeight="1">
      <c r="A105" s="31"/>
      <c r="B105" s="2286" t="s">
        <v>1168</v>
      </c>
      <c r="C105" s="2286"/>
      <c r="D105" s="1129" t="s">
        <v>1168</v>
      </c>
      <c r="E105" s="1129" t="s">
        <v>1168</v>
      </c>
      <c r="F105" s="2286" t="s">
        <v>2554</v>
      </c>
      <c r="G105" s="2286"/>
      <c r="H105" s="1129" t="s">
        <v>1023</v>
      </c>
      <c r="I105" s="1129"/>
      <c r="J105" s="1129"/>
      <c r="K105" s="31"/>
      <c r="L105" s="31"/>
      <c r="M105" s="31"/>
      <c r="N105" s="31"/>
      <c r="O105" s="31"/>
      <c r="P105" s="31"/>
      <c r="Q105" s="31"/>
      <c r="R105" s="31"/>
      <c r="S105" s="31"/>
      <c r="T105" s="31"/>
      <c r="U105" s="31"/>
      <c r="V105" s="31"/>
      <c r="W105" s="31"/>
      <c r="X105" s="31"/>
      <c r="Y105" s="31"/>
      <c r="Z105" s="31"/>
      <c r="AA105" s="31"/>
      <c r="AB105" s="31"/>
      <c r="AC105" s="31"/>
      <c r="AD105" s="31"/>
      <c r="AE105" s="31"/>
      <c r="AF105" s="31"/>
      <c r="AG105" s="31"/>
      <c r="AH105" s="31"/>
      <c r="AI105" s="31"/>
      <c r="AJ105" s="31"/>
      <c r="AK105" s="31"/>
      <c r="AL105" s="31"/>
      <c r="AM105" s="31"/>
      <c r="AN105" s="31"/>
      <c r="AO105" s="31"/>
      <c r="AP105" s="31"/>
      <c r="AQ105" s="31"/>
      <c r="AR105" s="31"/>
      <c r="AS105" s="31"/>
      <c r="AT105" s="31"/>
      <c r="AU105" s="31"/>
      <c r="AV105" s="31"/>
      <c r="AW105" s="31"/>
      <c r="AX105" s="31"/>
      <c r="AY105" s="31"/>
      <c r="AZ105" s="31"/>
      <c r="BA105" s="31"/>
      <c r="BB105" s="31"/>
    </row>
    <row r="106" spans="1:54" customFormat="1" ht="15.75" customHeight="1">
      <c r="A106" s="15"/>
      <c r="B106" s="2288">
        <f>$F$33</f>
        <v>5300000</v>
      </c>
      <c r="C106" s="2288"/>
      <c r="D106" s="1606">
        <f>$K$76</f>
        <v>6.4681199999999994E-2</v>
      </c>
      <c r="E106" s="325">
        <v>0.75</v>
      </c>
      <c r="F106" s="2287" t="s">
        <v>2197</v>
      </c>
      <c r="G106" s="2287"/>
      <c r="H106" s="1603">
        <f>IF($L$68="Well-managed landfill", 0.1,IF($L$68="Unmanaged landfill",0, ""))</f>
        <v>0.1</v>
      </c>
      <c r="I106" s="1787">
        <f>IFERROR(IF(B106="","",(B106*D106*(1-E106)*(1-H106))),)</f>
        <v>77132.331000000006</v>
      </c>
      <c r="J106" s="1607">
        <f>IFERROR(IF(B106="","",$I106*HLOOKUP($F$34,GWP!$F$11:$I$14,4,FALSE)),"")</f>
        <v>2159705.2680000002</v>
      </c>
      <c r="K106" s="1628"/>
      <c r="L106" s="31"/>
      <c r="M106" s="15"/>
      <c r="N106" s="15"/>
      <c r="O106" s="15"/>
      <c r="P106" s="15"/>
      <c r="Q106" s="15"/>
      <c r="R106" s="15"/>
      <c r="S106" s="15"/>
      <c r="T106" s="15"/>
      <c r="U106" s="15"/>
      <c r="V106" s="15"/>
      <c r="W106" s="15"/>
      <c r="X106" s="15"/>
      <c r="Y106" s="15"/>
      <c r="Z106" s="15"/>
      <c r="AA106" s="15"/>
      <c r="AB106" s="15"/>
      <c r="AC106" s="15"/>
      <c r="AD106" s="15"/>
      <c r="AE106" s="15"/>
      <c r="AF106" s="15"/>
      <c r="AG106" s="15"/>
      <c r="AH106" s="15"/>
      <c r="AI106" s="15"/>
      <c r="AJ106" s="15"/>
      <c r="AK106" s="15"/>
      <c r="AL106" s="15"/>
      <c r="AM106" s="15"/>
      <c r="AN106" s="15"/>
      <c r="AO106" s="15"/>
      <c r="AP106" s="15"/>
      <c r="AQ106" s="15"/>
      <c r="AR106" s="15"/>
      <c r="AS106" s="15"/>
      <c r="AT106" s="15"/>
      <c r="AU106" s="15"/>
      <c r="AV106" s="15"/>
      <c r="AW106" s="15"/>
      <c r="AX106" s="15"/>
      <c r="AY106" s="15"/>
      <c r="AZ106" s="15"/>
      <c r="BA106" s="15"/>
      <c r="BB106" s="15"/>
    </row>
    <row r="107" spans="1:54" ht="15.75" customHeight="1">
      <c r="B107" s="332"/>
      <c r="C107" s="332"/>
      <c r="D107" s="332"/>
      <c r="E107" s="332"/>
    </row>
    <row r="108" spans="1:54" s="29" customFormat="1" ht="15" customHeight="1">
      <c r="B108" s="465" t="s">
        <v>2584</v>
      </c>
      <c r="C108" s="229"/>
      <c r="D108" s="229"/>
      <c r="E108" s="230"/>
      <c r="F108" s="229"/>
      <c r="G108" s="229"/>
      <c r="H108" s="465"/>
      <c r="I108" s="232"/>
      <c r="J108" s="232"/>
      <c r="K108" s="30"/>
      <c r="U108" s="234"/>
      <c r="V108" s="234"/>
      <c r="W108" s="234"/>
      <c r="X108" s="234"/>
      <c r="Y108" s="234"/>
    </row>
    <row r="109" spans="1:54" s="334" customFormat="1" ht="15.75" customHeight="1">
      <c r="A109" s="333"/>
      <c r="B109" s="1278"/>
      <c r="C109" s="1278"/>
      <c r="D109" s="1279"/>
      <c r="E109" s="1279"/>
      <c r="F109" s="1279"/>
      <c r="G109" s="1279"/>
      <c r="H109" s="1279"/>
      <c r="I109" s="332"/>
      <c r="J109" s="1280"/>
      <c r="K109" s="332"/>
      <c r="L109" s="332"/>
      <c r="M109" s="332"/>
      <c r="N109" s="332"/>
      <c r="O109" s="332"/>
      <c r="P109" s="332"/>
      <c r="Q109" s="332"/>
      <c r="R109" s="332"/>
      <c r="S109" s="332"/>
      <c r="T109" s="332"/>
      <c r="U109" s="332"/>
      <c r="V109" s="332"/>
      <c r="W109" s="1637"/>
      <c r="X109" s="1637"/>
      <c r="Y109" s="1638"/>
      <c r="Z109" s="1169"/>
      <c r="AA109" s="1169" t="s">
        <v>2258</v>
      </c>
      <c r="AB109" s="1169" t="s">
        <v>2259</v>
      </c>
    </row>
    <row r="110" spans="1:54" s="334" customFormat="1" ht="15.75" customHeight="1">
      <c r="A110" s="333"/>
      <c r="B110" s="465" t="s">
        <v>1823</v>
      </c>
      <c r="C110" s="1278"/>
      <c r="D110" s="1279"/>
      <c r="E110" s="1279"/>
      <c r="F110" s="1279"/>
      <c r="G110" s="1279"/>
      <c r="H110" s="1279"/>
      <c r="I110" s="332"/>
      <c r="J110" s="1280"/>
      <c r="K110" s="332"/>
      <c r="L110" s="332"/>
      <c r="M110" s="332"/>
      <c r="N110" s="332"/>
      <c r="O110" s="332"/>
      <c r="P110" s="332"/>
      <c r="Q110" s="332"/>
      <c r="R110" s="332"/>
      <c r="S110" s="332"/>
      <c r="T110" s="332"/>
      <c r="U110" s="332"/>
      <c r="V110" s="332"/>
      <c r="W110" s="1637"/>
      <c r="X110" s="1637"/>
      <c r="Y110" s="1638"/>
      <c r="Z110" s="1478"/>
      <c r="AA110" s="1478"/>
      <c r="AB110" s="1478"/>
    </row>
    <row r="111" spans="1:54" s="334" customFormat="1" ht="15.75" customHeight="1">
      <c r="A111" s="333"/>
      <c r="B111" s="1278"/>
      <c r="C111" s="1278"/>
      <c r="D111" s="1279"/>
      <c r="E111" s="1279"/>
      <c r="F111" s="1279"/>
      <c r="G111" s="1279"/>
      <c r="H111" s="1279"/>
      <c r="I111" s="332"/>
      <c r="J111" s="1280"/>
      <c r="K111" s="332"/>
      <c r="L111" s="332"/>
      <c r="M111" s="332"/>
      <c r="N111" s="332"/>
      <c r="O111" s="332"/>
      <c r="P111" s="332"/>
      <c r="Q111" s="332"/>
      <c r="R111" s="332"/>
      <c r="S111" s="332"/>
      <c r="T111" s="332"/>
      <c r="U111" s="332"/>
      <c r="V111" s="332"/>
      <c r="W111" s="1637"/>
      <c r="X111" s="1637"/>
      <c r="Y111" s="1638"/>
      <c r="Z111" s="1478"/>
      <c r="AA111" s="1478"/>
      <c r="AB111" s="1478"/>
    </row>
    <row r="112" spans="1:54" s="1684" customFormat="1" ht="15" customHeight="1">
      <c r="B112" s="1683" t="s">
        <v>2581</v>
      </c>
      <c r="C112" s="1683"/>
      <c r="D112" s="1683"/>
      <c r="E112" s="1683"/>
      <c r="F112" s="1683"/>
      <c r="G112" s="1683"/>
      <c r="H112" s="1683"/>
      <c r="I112" s="1683" t="s">
        <v>2578</v>
      </c>
      <c r="J112" s="1683"/>
      <c r="K112" s="1683"/>
      <c r="L112" s="1683"/>
      <c r="M112" s="1683"/>
      <c r="N112" s="1683"/>
      <c r="P112" s="1683" t="s">
        <v>2579</v>
      </c>
      <c r="Q112" s="1683"/>
      <c r="R112" s="1683"/>
      <c r="S112" s="1683"/>
      <c r="T112" s="1683"/>
      <c r="U112" s="1683"/>
      <c r="V112" s="1685"/>
      <c r="W112" s="1683" t="s">
        <v>2580</v>
      </c>
      <c r="X112" s="1683"/>
      <c r="Y112" s="1683"/>
      <c r="Z112" s="1683"/>
      <c r="AA112" s="1683" t="s">
        <v>2260</v>
      </c>
      <c r="AB112" s="1683" t="s">
        <v>2261</v>
      </c>
    </row>
    <row r="113" spans="1:28" s="29" customFormat="1" ht="15" customHeight="1">
      <c r="B113" s="465"/>
      <c r="C113" s="229"/>
      <c r="D113" s="229"/>
      <c r="E113" s="230"/>
      <c r="F113" s="229"/>
      <c r="G113" s="229"/>
      <c r="H113" s="465"/>
      <c r="I113" s="465"/>
      <c r="J113" s="229"/>
      <c r="K113" s="229"/>
      <c r="L113" s="230"/>
      <c r="M113" s="229"/>
      <c r="N113" s="229"/>
      <c r="P113" s="465"/>
      <c r="Q113" s="229"/>
      <c r="R113" s="229"/>
      <c r="S113" s="230"/>
      <c r="T113" s="229"/>
      <c r="U113" s="229"/>
      <c r="V113" s="234"/>
      <c r="W113" s="465"/>
      <c r="X113" s="229"/>
      <c r="Y113" s="229"/>
      <c r="Z113" s="230"/>
      <c r="AA113" s="229"/>
      <c r="AB113" s="229"/>
    </row>
    <row r="114" spans="1:28" s="1641" customFormat="1" ht="31" customHeight="1">
      <c r="A114" s="1639"/>
      <c r="B114" s="1662" t="s">
        <v>2210</v>
      </c>
      <c r="C114" s="1663" t="s">
        <v>2211</v>
      </c>
      <c r="D114" s="1664"/>
      <c r="E114" s="1665"/>
      <c r="F114" s="1665"/>
      <c r="G114" s="1666"/>
      <c r="H114" s="1640"/>
      <c r="I114" s="1662" t="s">
        <v>2227</v>
      </c>
      <c r="J114" s="1663" t="s">
        <v>2228</v>
      </c>
      <c r="K114" s="1664"/>
      <c r="L114" s="1665"/>
      <c r="M114" s="1665" t="s">
        <v>2229</v>
      </c>
      <c r="N114" s="1666">
        <v>2.8299999999999999E-2</v>
      </c>
      <c r="O114" s="1639"/>
      <c r="P114" s="1646" t="s">
        <v>2243</v>
      </c>
      <c r="Q114" s="1647" t="s">
        <v>2244</v>
      </c>
      <c r="R114" s="1648"/>
      <c r="S114" s="1679"/>
      <c r="T114" s="1681"/>
      <c r="U114" s="1682"/>
      <c r="V114" s="1639"/>
      <c r="W114" s="1646" t="s">
        <v>2262</v>
      </c>
      <c r="X114" s="1647"/>
      <c r="Y114" s="1648"/>
      <c r="Z114" s="1679"/>
      <c r="AA114" s="1679"/>
      <c r="AB114" s="1680"/>
    </row>
    <row r="115" spans="1:28" s="1641" customFormat="1" ht="31" customHeight="1">
      <c r="A115" s="1639"/>
      <c r="B115" s="1642" t="s">
        <v>2212</v>
      </c>
      <c r="C115" s="1649" t="s">
        <v>2213</v>
      </c>
      <c r="D115" s="1649"/>
      <c r="E115" s="1656"/>
      <c r="F115" s="1656"/>
      <c r="G115" s="1657"/>
      <c r="H115" s="1640"/>
      <c r="I115" s="1642" t="s">
        <v>2212</v>
      </c>
      <c r="J115" s="2296" t="s">
        <v>2213</v>
      </c>
      <c r="K115" s="2296"/>
      <c r="L115" s="2296"/>
      <c r="M115" s="1656" t="s">
        <v>2230</v>
      </c>
      <c r="N115" s="1657">
        <v>4.8500000000000003E-4</v>
      </c>
      <c r="O115" s="1639"/>
      <c r="P115" s="1675" t="s">
        <v>2212</v>
      </c>
      <c r="Q115" s="2296" t="s">
        <v>2245</v>
      </c>
      <c r="R115" s="2296"/>
      <c r="S115" s="1656"/>
      <c r="T115" s="1656" t="s">
        <v>2246</v>
      </c>
      <c r="U115" s="1657">
        <v>1.026E-3</v>
      </c>
      <c r="V115" s="1639"/>
      <c r="W115" s="1675" t="s">
        <v>2212</v>
      </c>
      <c r="X115" s="2296" t="s">
        <v>2245</v>
      </c>
      <c r="Y115" s="2296"/>
      <c r="Z115" s="1656"/>
      <c r="AA115" s="1656"/>
      <c r="AB115" s="1657"/>
    </row>
    <row r="116" spans="1:28" s="1641" customFormat="1" ht="31" customHeight="1">
      <c r="A116" s="1639"/>
      <c r="B116" s="1643" t="s">
        <v>2214</v>
      </c>
      <c r="C116" s="1650" t="s">
        <v>2215</v>
      </c>
      <c r="D116" s="1650"/>
      <c r="E116" s="1653"/>
      <c r="F116" s="1654"/>
      <c r="G116" s="1658"/>
      <c r="H116" s="1640"/>
      <c r="I116" s="1676" t="s">
        <v>2231</v>
      </c>
      <c r="J116" s="2294" t="s">
        <v>2232</v>
      </c>
      <c r="K116" s="2294"/>
      <c r="L116" s="1672"/>
      <c r="M116" s="1672" t="s">
        <v>2233</v>
      </c>
      <c r="N116" s="1658">
        <f>N115/N114</f>
        <v>1.7137809187279154E-2</v>
      </c>
      <c r="O116" s="1639"/>
      <c r="P116" s="1676" t="s">
        <v>2247</v>
      </c>
      <c r="Q116" s="2294" t="s">
        <v>2248</v>
      </c>
      <c r="R116" s="2294"/>
      <c r="S116" s="1653"/>
      <c r="T116" s="1653" t="s">
        <v>2249</v>
      </c>
      <c r="U116" s="1678">
        <f>U115/N114</f>
        <v>3.6254416961130742E-2</v>
      </c>
      <c r="V116" s="1639"/>
      <c r="W116" s="1676" t="s">
        <v>2247</v>
      </c>
      <c r="X116" s="2294" t="s">
        <v>2248</v>
      </c>
      <c r="Y116" s="2294"/>
      <c r="Z116" s="1653"/>
      <c r="AA116" s="1653"/>
      <c r="AB116" s="1658"/>
    </row>
    <row r="117" spans="1:28" s="1641" customFormat="1" ht="31" customHeight="1">
      <c r="A117" s="1639"/>
      <c r="B117" s="1643" t="s">
        <v>2216</v>
      </c>
      <c r="C117" s="1650" t="s">
        <v>2217</v>
      </c>
      <c r="D117" s="1650"/>
      <c r="E117" s="1653"/>
      <c r="F117" s="1653"/>
      <c r="G117" s="1658"/>
      <c r="H117" s="1640"/>
      <c r="I117" s="1676" t="s">
        <v>2234</v>
      </c>
      <c r="J117" s="2294" t="s">
        <v>2235</v>
      </c>
      <c r="K117" s="2294"/>
      <c r="L117" s="1672"/>
      <c r="M117" s="1672" t="s">
        <v>2236</v>
      </c>
      <c r="N117" s="1658">
        <v>1.05507</v>
      </c>
      <c r="O117" s="1639"/>
      <c r="P117" s="1676" t="s">
        <v>2250</v>
      </c>
      <c r="Q117" s="2294" t="s">
        <v>2251</v>
      </c>
      <c r="R117" s="2294"/>
      <c r="S117" s="1653"/>
      <c r="T117" s="1653" t="s">
        <v>2237</v>
      </c>
      <c r="U117" s="1678">
        <f>U116*N117</f>
        <v>3.8250947703180209E-2</v>
      </c>
      <c r="V117" s="1639"/>
      <c r="W117" s="1676" t="s">
        <v>2263</v>
      </c>
      <c r="X117" s="2294" t="s">
        <v>2251</v>
      </c>
      <c r="Y117" s="2294"/>
      <c r="Z117" s="1653"/>
      <c r="AA117" s="1653"/>
      <c r="AB117" s="1658"/>
    </row>
    <row r="118" spans="1:28" s="1641" customFormat="1" ht="31" customHeight="1">
      <c r="A118" s="1639"/>
      <c r="B118" s="1643" t="s">
        <v>2218</v>
      </c>
      <c r="C118" s="1650" t="s">
        <v>2219</v>
      </c>
      <c r="D118" s="1650"/>
      <c r="E118" s="1653"/>
      <c r="F118" s="1653"/>
      <c r="G118" s="1658"/>
      <c r="H118" s="1640"/>
      <c r="I118" s="1676" t="s">
        <v>2220</v>
      </c>
      <c r="J118" s="2294" t="s">
        <v>2221</v>
      </c>
      <c r="K118" s="2294"/>
      <c r="L118" s="1653"/>
      <c r="M118" s="1653" t="s">
        <v>2237</v>
      </c>
      <c r="N118" s="1658">
        <f>N116*N117</f>
        <v>1.8081588339222618E-2</v>
      </c>
      <c r="O118" s="1639"/>
      <c r="P118" s="1676" t="s">
        <v>2252</v>
      </c>
      <c r="Q118" s="2294" t="s">
        <v>2253</v>
      </c>
      <c r="R118" s="2294"/>
      <c r="S118" s="1653"/>
      <c r="T118" s="1653" t="s">
        <v>2254</v>
      </c>
      <c r="U118" s="1658">
        <f>3.2*10^-3</f>
        <v>3.2000000000000002E-3</v>
      </c>
      <c r="V118" s="1639"/>
      <c r="W118" s="1676" t="s">
        <v>2264</v>
      </c>
      <c r="X118" s="2294" t="s">
        <v>2265</v>
      </c>
      <c r="Y118" s="2294"/>
      <c r="Z118" s="1653"/>
      <c r="AA118" s="1653"/>
      <c r="AB118" s="1658"/>
    </row>
    <row r="119" spans="1:28" s="1641" customFormat="1" ht="31" customHeight="1">
      <c r="A119" s="1639"/>
      <c r="B119" s="1643" t="s">
        <v>2220</v>
      </c>
      <c r="C119" s="1650" t="s">
        <v>2221</v>
      </c>
      <c r="D119" s="1650"/>
      <c r="E119" s="1653"/>
      <c r="F119" s="1653"/>
      <c r="G119" s="1658"/>
      <c r="H119" s="1640"/>
      <c r="I119" s="1676" t="s">
        <v>2238</v>
      </c>
      <c r="J119" s="2294" t="s">
        <v>2239</v>
      </c>
      <c r="K119" s="2294"/>
      <c r="L119" s="1653"/>
      <c r="M119" s="1653" t="s">
        <v>2240</v>
      </c>
      <c r="N119" s="1658">
        <v>53.06</v>
      </c>
      <c r="O119" s="1639"/>
      <c r="P119" s="1643" t="s">
        <v>2220</v>
      </c>
      <c r="Q119" s="2294" t="s">
        <v>2221</v>
      </c>
      <c r="R119" s="2294"/>
      <c r="S119" s="1653"/>
      <c r="T119" s="1653" t="s">
        <v>2255</v>
      </c>
      <c r="U119" s="1658">
        <f>U118/N117</f>
        <v>3.0329741154615335E-3</v>
      </c>
      <c r="V119" s="1639"/>
      <c r="W119" s="1643" t="s">
        <v>2220</v>
      </c>
      <c r="X119" s="2294" t="s">
        <v>2221</v>
      </c>
      <c r="Y119" s="2294"/>
      <c r="Z119" s="1653"/>
      <c r="AA119" s="1672" t="s">
        <v>2266</v>
      </c>
      <c r="AB119" s="1658">
        <f>0.63*10^-3</f>
        <v>6.3000000000000003E-4</v>
      </c>
    </row>
    <row r="120" spans="1:28" s="1641" customFormat="1" ht="31" customHeight="1">
      <c r="A120" s="1639"/>
      <c r="B120" s="1643" t="s">
        <v>2222</v>
      </c>
      <c r="C120" s="1651" t="s">
        <v>2223</v>
      </c>
      <c r="D120" s="1655"/>
      <c r="E120" s="1653"/>
      <c r="F120" s="1653"/>
      <c r="G120" s="1658"/>
      <c r="H120" s="1640"/>
      <c r="I120" s="1676"/>
      <c r="J120" s="1644"/>
      <c r="K120" s="1644"/>
      <c r="L120" s="1653"/>
      <c r="M120" s="1653"/>
      <c r="N120" s="1658"/>
      <c r="O120" s="1639"/>
      <c r="P120" s="1677" t="s">
        <v>2256</v>
      </c>
      <c r="Q120" s="2294" t="s">
        <v>2239</v>
      </c>
      <c r="R120" s="2294"/>
      <c r="S120" s="1653"/>
      <c r="T120" s="1653"/>
      <c r="U120" s="1658"/>
      <c r="V120" s="1639"/>
      <c r="W120" s="1677" t="s">
        <v>2256</v>
      </c>
      <c r="X120" s="2294" t="s">
        <v>2239</v>
      </c>
      <c r="Y120" s="2294"/>
      <c r="Z120" s="1653"/>
      <c r="AA120" s="1653" t="s">
        <v>2267</v>
      </c>
      <c r="AB120" s="1658">
        <f>AB119/N117</f>
        <v>5.9711677898148941E-4</v>
      </c>
    </row>
    <row r="121" spans="1:28" s="1641" customFormat="1" ht="31" customHeight="1">
      <c r="A121" s="1639"/>
      <c r="B121" s="1645" t="s">
        <v>2224</v>
      </c>
      <c r="C121" s="1652" t="s">
        <v>2225</v>
      </c>
      <c r="D121" s="1659"/>
      <c r="E121" s="1660"/>
      <c r="F121" s="1660"/>
      <c r="G121" s="1661"/>
      <c r="H121" s="1640"/>
      <c r="I121" s="1673"/>
      <c r="J121" s="1674"/>
      <c r="K121" s="1674"/>
      <c r="L121" s="1660"/>
      <c r="M121" s="1660" t="s">
        <v>2242</v>
      </c>
      <c r="N121" s="1661">
        <f>N119/N117</f>
        <v>50.290502051996555</v>
      </c>
      <c r="O121" s="1639"/>
      <c r="P121" s="1670" t="s">
        <v>2224</v>
      </c>
      <c r="Q121" s="2295" t="s">
        <v>2225</v>
      </c>
      <c r="R121" s="2295"/>
      <c r="S121" s="1660"/>
      <c r="T121" s="1660"/>
      <c r="U121" s="1661"/>
      <c r="V121" s="1639"/>
      <c r="W121" s="1670" t="s">
        <v>2268</v>
      </c>
      <c r="X121" s="2295" t="s">
        <v>2269</v>
      </c>
      <c r="Y121" s="2295"/>
      <c r="Z121" s="1660"/>
      <c r="AA121" s="1660"/>
      <c r="AB121" s="1661"/>
    </row>
    <row r="122" spans="1:28" s="334" customFormat="1" ht="15.75" customHeight="1">
      <c r="A122" s="332"/>
      <c r="B122" s="1299"/>
      <c r="C122" s="1474"/>
      <c r="D122" s="1300"/>
      <c r="E122" s="1478"/>
      <c r="F122" s="1478"/>
      <c r="G122" s="1478"/>
      <c r="H122" s="1478"/>
      <c r="L122" s="1478"/>
      <c r="M122" s="1478"/>
      <c r="N122" s="1478"/>
      <c r="O122" s="332"/>
      <c r="P122" s="1667"/>
      <c r="Q122" s="1667"/>
      <c r="R122" s="1667"/>
      <c r="S122" s="1478"/>
      <c r="T122" s="1478"/>
      <c r="U122" s="1478"/>
      <c r="V122" s="332"/>
      <c r="W122" s="1667"/>
      <c r="X122" s="1667"/>
      <c r="Y122" s="1667"/>
      <c r="Z122" s="1478"/>
      <c r="AA122" s="1478"/>
      <c r="AB122" s="1478"/>
    </row>
    <row r="123" spans="1:28" s="334" customFormat="1" ht="15.75" customHeight="1">
      <c r="A123" s="332"/>
      <c r="B123" s="2386" t="s">
        <v>2226</v>
      </c>
      <c r="C123" s="2386"/>
      <c r="D123" s="2386"/>
      <c r="E123" s="1169"/>
      <c r="F123" s="1169"/>
      <c r="G123" s="1169"/>
      <c r="H123" s="1169"/>
      <c r="I123" s="1669" t="s">
        <v>2241</v>
      </c>
      <c r="J123" s="1669"/>
      <c r="K123" s="1667"/>
      <c r="L123" s="332"/>
      <c r="M123" s="332"/>
      <c r="N123" s="332"/>
      <c r="O123" s="332"/>
      <c r="P123" s="1671" t="s">
        <v>2257</v>
      </c>
      <c r="Q123" s="1301"/>
      <c r="R123" s="1301"/>
      <c r="S123" s="1169"/>
      <c r="T123" s="1169"/>
      <c r="U123" s="1169"/>
      <c r="V123" s="332"/>
      <c r="W123" s="1671" t="s">
        <v>2270</v>
      </c>
      <c r="X123" s="1301"/>
      <c r="Y123" s="1301"/>
      <c r="Z123" s="1169"/>
      <c r="AA123" s="1169"/>
      <c r="AB123" s="1169"/>
    </row>
    <row r="124" spans="1:28" s="334" customFormat="1" ht="15.75" customHeight="1">
      <c r="A124" s="332"/>
      <c r="B124" s="1281"/>
      <c r="C124" s="1281"/>
      <c r="D124" s="1281"/>
      <c r="E124" s="1169"/>
      <c r="F124" s="1169"/>
      <c r="G124" s="1169"/>
      <c r="H124" s="1169"/>
      <c r="I124" s="1668"/>
      <c r="J124" s="1668"/>
      <c r="K124" s="1668"/>
      <c r="L124" s="332"/>
      <c r="M124" s="332"/>
      <c r="N124" s="332"/>
      <c r="O124" s="332"/>
      <c r="P124" s="332"/>
      <c r="Q124" s="332"/>
      <c r="R124" s="332"/>
      <c r="S124" s="332"/>
      <c r="T124" s="332"/>
      <c r="U124" s="332"/>
      <c r="V124" s="332"/>
      <c r="W124" s="332"/>
      <c r="X124" s="332"/>
      <c r="Y124" s="332"/>
      <c r="Z124" s="332"/>
      <c r="AA124" s="332"/>
      <c r="AB124" s="332"/>
    </row>
    <row r="125" spans="1:28" s="334" customFormat="1" ht="15.75" customHeight="1">
      <c r="A125" s="332"/>
      <c r="B125" s="465" t="s">
        <v>2551</v>
      </c>
      <c r="C125" s="1475"/>
      <c r="D125" s="1475"/>
      <c r="E125" s="1478"/>
      <c r="F125" s="1478"/>
      <c r="G125" s="1478"/>
      <c r="H125" s="1478"/>
      <c r="I125" s="1667"/>
      <c r="J125" s="1667"/>
      <c r="K125" s="1667"/>
      <c r="L125" s="332"/>
      <c r="M125" s="332"/>
      <c r="N125" s="332"/>
      <c r="O125" s="332"/>
      <c r="P125" s="332"/>
      <c r="Q125" s="332"/>
      <c r="R125" s="332"/>
      <c r="S125" s="332"/>
      <c r="T125" s="332"/>
      <c r="U125" s="332"/>
      <c r="V125" s="332"/>
      <c r="W125" s="332"/>
      <c r="X125" s="332"/>
      <c r="Y125" s="332"/>
      <c r="Z125" s="332"/>
      <c r="AA125" s="332"/>
      <c r="AB125" s="332"/>
    </row>
    <row r="126" spans="1:28" s="334" customFormat="1" ht="15.75" customHeight="1">
      <c r="A126" s="332"/>
      <c r="B126" s="1282"/>
      <c r="C126" s="1282"/>
      <c r="D126" s="1283"/>
      <c r="E126" s="1169"/>
      <c r="F126" s="1169"/>
      <c r="G126" s="1169"/>
      <c r="H126" s="1169"/>
      <c r="I126" s="332"/>
      <c r="J126" s="332"/>
      <c r="K126" s="332"/>
      <c r="L126" s="332"/>
      <c r="M126" s="332"/>
      <c r="N126" s="332"/>
      <c r="O126" s="332"/>
      <c r="P126" s="332"/>
      <c r="Q126" s="332"/>
      <c r="R126" s="332"/>
      <c r="S126" s="332"/>
      <c r="T126" s="332"/>
      <c r="U126" s="332"/>
      <c r="V126" s="332"/>
      <c r="W126" s="332"/>
      <c r="X126" s="332"/>
      <c r="Y126" s="332"/>
      <c r="Z126" s="332"/>
      <c r="AA126" s="332"/>
      <c r="AB126" s="332"/>
    </row>
    <row r="127" spans="1:28" s="29" customFormat="1" ht="15" customHeight="1">
      <c r="B127" s="1105" t="s">
        <v>2271</v>
      </c>
      <c r="C127" s="229"/>
      <c r="D127" s="229"/>
      <c r="E127" s="230"/>
      <c r="F127" s="229"/>
      <c r="G127" s="229"/>
      <c r="H127" s="465"/>
      <c r="I127" s="232"/>
      <c r="J127" s="232"/>
      <c r="K127" s="30"/>
      <c r="U127" s="234"/>
      <c r="V127" s="234"/>
      <c r="W127" s="234"/>
      <c r="X127" s="234"/>
      <c r="Y127" s="234"/>
    </row>
    <row r="128" spans="1:28" s="29" customFormat="1" ht="15" customHeight="1">
      <c r="B128" s="465"/>
      <c r="C128" s="229"/>
      <c r="D128" s="229"/>
      <c r="E128" s="230"/>
      <c r="F128" s="229"/>
      <c r="G128" s="229"/>
      <c r="H128" s="465"/>
      <c r="I128" s="232"/>
      <c r="J128" s="232"/>
      <c r="K128" s="30"/>
      <c r="U128" s="234"/>
      <c r="V128" s="234"/>
      <c r="W128" s="234"/>
      <c r="X128" s="234"/>
      <c r="Y128" s="234"/>
    </row>
    <row r="129" spans="1:28" s="334" customFormat="1" ht="15" customHeight="1">
      <c r="A129" s="332"/>
      <c r="B129" s="2283" t="s">
        <v>2272</v>
      </c>
      <c r="C129" s="2283" t="s">
        <v>2273</v>
      </c>
      <c r="D129" s="2283" t="s">
        <v>2274</v>
      </c>
      <c r="E129" s="2283" t="s">
        <v>2275</v>
      </c>
      <c r="F129" s="2283" t="s">
        <v>2220</v>
      </c>
      <c r="G129" s="2283" t="s">
        <v>2276</v>
      </c>
      <c r="H129" s="2301" t="s">
        <v>1666</v>
      </c>
      <c r="I129" s="2301"/>
      <c r="L129" s="332"/>
      <c r="M129" s="332"/>
      <c r="N129" s="332"/>
      <c r="O129" s="332"/>
      <c r="P129" s="332"/>
      <c r="Q129" s="332"/>
      <c r="R129" s="332"/>
      <c r="S129" s="332"/>
      <c r="T129" s="332"/>
      <c r="U129" s="332"/>
      <c r="V129" s="332"/>
      <c r="W129" s="332"/>
      <c r="X129" s="332"/>
      <c r="Y129" s="332"/>
      <c r="Z129" s="332"/>
      <c r="AA129" s="332"/>
      <c r="AB129" s="332"/>
    </row>
    <row r="130" spans="1:28" s="334" customFormat="1" ht="14">
      <c r="A130" s="332"/>
      <c r="B130" s="2284"/>
      <c r="C130" s="2284"/>
      <c r="D130" s="2284"/>
      <c r="E130" s="2284"/>
      <c r="F130" s="2284"/>
      <c r="G130" s="2284"/>
      <c r="H130" s="2297" t="s">
        <v>1826</v>
      </c>
      <c r="I130" s="2299" t="s">
        <v>1827</v>
      </c>
      <c r="L130" s="332"/>
      <c r="M130" s="332"/>
      <c r="N130" s="332"/>
      <c r="O130" s="332"/>
      <c r="P130" s="332"/>
      <c r="Q130" s="332"/>
      <c r="R130" s="332"/>
      <c r="S130" s="332"/>
      <c r="T130" s="332"/>
      <c r="U130" s="332"/>
      <c r="V130" s="332"/>
      <c r="W130" s="332"/>
      <c r="X130" s="332"/>
      <c r="Y130" s="332"/>
      <c r="Z130" s="332"/>
      <c r="AA130" s="332"/>
      <c r="AB130" s="332"/>
    </row>
    <row r="131" spans="1:28" s="334" customFormat="1" ht="14">
      <c r="A131" s="332"/>
      <c r="B131" s="2285"/>
      <c r="C131" s="2285"/>
      <c r="D131" s="2285"/>
      <c r="E131" s="2285"/>
      <c r="F131" s="2285"/>
      <c r="G131" s="2285"/>
      <c r="H131" s="2298"/>
      <c r="I131" s="2300"/>
      <c r="L131" s="332"/>
      <c r="M131" s="332"/>
      <c r="N131" s="332"/>
      <c r="O131" s="332"/>
      <c r="P131" s="332"/>
      <c r="Q131" s="332"/>
      <c r="R131" s="332"/>
      <c r="S131" s="332"/>
      <c r="T131" s="332"/>
      <c r="U131" s="332"/>
      <c r="V131" s="332"/>
      <c r="W131" s="332"/>
      <c r="X131" s="332"/>
      <c r="Y131" s="332"/>
      <c r="Z131" s="332"/>
      <c r="AA131" s="332"/>
      <c r="AB131" s="332"/>
    </row>
    <row r="132" spans="1:28" s="1636" customFormat="1" ht="15.75" customHeight="1">
      <c r="A132" s="1316"/>
      <c r="B132" s="1129" t="s">
        <v>1168</v>
      </c>
      <c r="C132" s="1129" t="s">
        <v>1024</v>
      </c>
      <c r="D132" s="1129" t="s">
        <v>1023</v>
      </c>
      <c r="E132" s="1129" t="s">
        <v>1023</v>
      </c>
      <c r="F132" s="1129" t="s">
        <v>1023</v>
      </c>
      <c r="G132" s="1129" t="s">
        <v>1023</v>
      </c>
      <c r="H132" s="1635"/>
      <c r="I132" s="1635"/>
      <c r="L132" s="1316"/>
      <c r="M132" s="1316"/>
      <c r="N132" s="1316"/>
      <c r="O132" s="1316"/>
      <c r="P132" s="1316"/>
      <c r="Q132" s="1316"/>
      <c r="R132" s="1316"/>
      <c r="S132" s="1316"/>
      <c r="T132" s="1316"/>
      <c r="U132" s="1316"/>
      <c r="V132" s="1316"/>
      <c r="W132" s="1316"/>
      <c r="X132" s="1316"/>
      <c r="Y132" s="1316"/>
      <c r="Z132" s="1316"/>
      <c r="AA132" s="1316"/>
      <c r="AB132" s="1316"/>
    </row>
    <row r="133" spans="1:28" s="334" customFormat="1" ht="15.75" customHeight="1">
      <c r="A133" s="332"/>
      <c r="B133" s="1221">
        <f>$F$29</f>
        <v>160692</v>
      </c>
      <c r="C133" s="1284">
        <v>0.5</v>
      </c>
      <c r="D133" s="325">
        <f>$G$207</f>
        <v>662</v>
      </c>
      <c r="E133" s="325">
        <f>$G$208</f>
        <v>0.99</v>
      </c>
      <c r="F133" s="325">
        <f>$G$209</f>
        <v>365.25</v>
      </c>
      <c r="G133" s="325">
        <f>$G$210</f>
        <v>9.9999999999999995E-7</v>
      </c>
      <c r="H133" s="1629">
        <f>B133*C133*D133*(1-E133)*F133*G133</f>
        <v>194.27301243000016</v>
      </c>
      <c r="I133" s="1629">
        <f>IFERROR(IF(B133="","",$H133*HLOOKUP($F$34,GWP!$F$11:$I$14,4,FALSE)),"")</f>
        <v>5439.6443480400048</v>
      </c>
      <c r="L133" s="332"/>
      <c r="M133" s="332"/>
      <c r="N133" s="332"/>
      <c r="O133" s="332"/>
      <c r="P133" s="332"/>
      <c r="Q133" s="332"/>
      <c r="R133" s="332"/>
      <c r="S133" s="332"/>
      <c r="T133" s="332"/>
      <c r="U133" s="332"/>
      <c r="V133" s="332"/>
      <c r="W133" s="332"/>
      <c r="X133" s="332"/>
      <c r="Y133" s="332"/>
      <c r="Z133" s="332"/>
      <c r="AA133" s="332"/>
      <c r="AB133" s="332"/>
    </row>
    <row r="134" spans="1:28" s="334" customFormat="1" ht="15.75" customHeight="1">
      <c r="A134" s="332"/>
      <c r="B134" s="1168"/>
      <c r="C134" s="1168"/>
      <c r="D134" s="1169"/>
      <c r="E134" s="1169"/>
      <c r="F134" s="1169"/>
      <c r="G134" s="1169"/>
      <c r="H134" s="1686"/>
      <c r="I134" s="1687"/>
      <c r="J134" s="332"/>
      <c r="K134" s="332"/>
      <c r="L134" s="332"/>
      <c r="M134" s="332"/>
      <c r="N134" s="332"/>
      <c r="O134" s="332"/>
      <c r="P134" s="332"/>
      <c r="Q134" s="332"/>
      <c r="R134" s="332"/>
      <c r="S134" s="332"/>
      <c r="T134" s="332"/>
      <c r="U134" s="332"/>
      <c r="V134" s="332"/>
      <c r="W134" s="332"/>
      <c r="X134" s="332"/>
      <c r="Y134" s="332"/>
      <c r="Z134" s="332"/>
      <c r="AA134" s="332"/>
      <c r="AB134" s="332"/>
    </row>
    <row r="135" spans="1:28" s="29" customFormat="1" ht="18">
      <c r="B135" s="1683" t="s">
        <v>2578</v>
      </c>
      <c r="C135" s="229"/>
      <c r="D135" s="229"/>
      <c r="E135" s="230"/>
      <c r="F135" s="229"/>
      <c r="G135" s="229"/>
      <c r="H135" s="1688"/>
      <c r="I135" s="1689"/>
      <c r="J135" s="232"/>
      <c r="K135" s="30"/>
      <c r="U135" s="234"/>
      <c r="V135" s="234"/>
      <c r="W135" s="234"/>
      <c r="X135" s="234"/>
      <c r="Y135" s="234"/>
    </row>
    <row r="136" spans="1:28" s="29" customFormat="1" ht="18">
      <c r="B136" s="1298"/>
      <c r="C136" s="229"/>
      <c r="D136" s="229"/>
      <c r="E136" s="230"/>
      <c r="F136" s="229"/>
      <c r="G136" s="229"/>
      <c r="H136" s="1688"/>
      <c r="I136" s="1689"/>
      <c r="J136" s="232"/>
      <c r="K136" s="30"/>
      <c r="U136" s="234"/>
      <c r="V136" s="234"/>
      <c r="W136" s="234"/>
      <c r="X136" s="234"/>
      <c r="Y136" s="234"/>
    </row>
    <row r="137" spans="1:28" s="334" customFormat="1" ht="15.75" customHeight="1">
      <c r="A137" s="332"/>
      <c r="B137" s="2283" t="s">
        <v>2566</v>
      </c>
      <c r="C137" s="2283" t="s">
        <v>2277</v>
      </c>
      <c r="D137" s="2283" t="s">
        <v>2570</v>
      </c>
      <c r="E137" s="2283" t="s">
        <v>2278</v>
      </c>
      <c r="F137" s="2283" t="s">
        <v>2239</v>
      </c>
      <c r="G137" s="2283" t="s">
        <v>2279</v>
      </c>
      <c r="H137" s="1687"/>
      <c r="I137" s="1687"/>
      <c r="J137" s="332"/>
      <c r="K137" s="332"/>
      <c r="L137" s="332"/>
      <c r="M137" s="332"/>
      <c r="N137" s="332"/>
      <c r="O137" s="332"/>
      <c r="P137" s="332"/>
      <c r="Q137" s="332"/>
      <c r="R137" s="332"/>
      <c r="S137" s="332"/>
      <c r="T137" s="332"/>
      <c r="U137" s="332"/>
      <c r="V137" s="332"/>
      <c r="W137" s="332"/>
      <c r="X137" s="332"/>
      <c r="Y137" s="332"/>
      <c r="Z137" s="332"/>
    </row>
    <row r="138" spans="1:28" s="334" customFormat="1" ht="15.75" customHeight="1">
      <c r="A138" s="332"/>
      <c r="B138" s="2284"/>
      <c r="C138" s="2284"/>
      <c r="D138" s="2284"/>
      <c r="E138" s="2284"/>
      <c r="F138" s="2284"/>
      <c r="G138" s="2284"/>
      <c r="H138" s="1687"/>
      <c r="I138" s="1687"/>
      <c r="J138" s="332"/>
      <c r="K138" s="332"/>
      <c r="L138" s="332"/>
      <c r="M138" s="332"/>
      <c r="N138" s="332"/>
      <c r="O138" s="332"/>
      <c r="P138" s="332"/>
      <c r="Q138" s="332"/>
      <c r="R138" s="332"/>
      <c r="S138" s="332"/>
      <c r="T138" s="332"/>
      <c r="U138" s="332"/>
      <c r="V138" s="332"/>
      <c r="W138" s="332"/>
      <c r="X138" s="332"/>
      <c r="Y138" s="332"/>
      <c r="Z138" s="332"/>
    </row>
    <row r="139" spans="1:28" s="334" customFormat="1" ht="15.75" customHeight="1">
      <c r="A139" s="332"/>
      <c r="B139" s="2285"/>
      <c r="C139" s="2285"/>
      <c r="D139" s="2285"/>
      <c r="E139" s="2285"/>
      <c r="F139" s="2285"/>
      <c r="G139" s="2285"/>
      <c r="H139" s="1687"/>
      <c r="I139" s="1687"/>
      <c r="J139" s="332"/>
      <c r="K139" s="332"/>
      <c r="L139" s="332"/>
      <c r="M139" s="332"/>
      <c r="N139" s="332"/>
      <c r="O139" s="332"/>
      <c r="P139" s="332"/>
      <c r="Q139" s="332"/>
      <c r="R139" s="332"/>
      <c r="S139" s="332"/>
      <c r="T139" s="332"/>
      <c r="U139" s="332"/>
      <c r="V139" s="332"/>
      <c r="W139" s="332"/>
      <c r="X139" s="332"/>
      <c r="Y139" s="332"/>
      <c r="Z139" s="332"/>
    </row>
    <row r="140" spans="1:28" s="1636" customFormat="1">
      <c r="A140" s="1316"/>
      <c r="B140" s="1129" t="s">
        <v>1168</v>
      </c>
      <c r="C140" s="1129" t="s">
        <v>1023</v>
      </c>
      <c r="D140" s="1129" t="s">
        <v>1023</v>
      </c>
      <c r="E140" s="1129" t="s">
        <v>1023</v>
      </c>
      <c r="F140" s="1129" t="s">
        <v>1023</v>
      </c>
      <c r="G140" s="1635"/>
      <c r="H140" s="1690"/>
      <c r="I140" s="1690"/>
      <c r="J140" s="1316"/>
      <c r="K140" s="1316"/>
      <c r="L140" s="1316"/>
      <c r="M140" s="1316"/>
      <c r="N140" s="1316"/>
      <c r="O140" s="1316"/>
      <c r="P140" s="1316"/>
      <c r="Q140" s="1316"/>
      <c r="R140" s="1316"/>
      <c r="S140" s="1316"/>
      <c r="T140" s="1316"/>
      <c r="U140" s="1316"/>
      <c r="V140" s="1316"/>
      <c r="W140" s="1316"/>
      <c r="X140" s="1316"/>
      <c r="Y140" s="1316"/>
      <c r="Z140" s="1316"/>
    </row>
    <row r="141" spans="1:28" s="334" customFormat="1" ht="15.75" customHeight="1">
      <c r="A141" s="332"/>
      <c r="B141" s="1221">
        <f>$F$29</f>
        <v>160692</v>
      </c>
      <c r="C141" s="1285">
        <f>$G$211</f>
        <v>1.8081588339222618E-2</v>
      </c>
      <c r="D141" s="1285">
        <f>$G$212</f>
        <v>50.290502051996555</v>
      </c>
      <c r="E141" s="796">
        <f>$G$213</f>
        <v>365.25</v>
      </c>
      <c r="F141" s="1285">
        <f>$G$214</f>
        <v>1E-3</v>
      </c>
      <c r="G141" s="1629">
        <f>B141*C141*D141*E141*F141</f>
        <v>53371.207596371038</v>
      </c>
      <c r="H141" s="1687"/>
      <c r="I141" s="1687"/>
      <c r="J141" s="332"/>
      <c r="K141" s="332"/>
      <c r="L141" s="332"/>
      <c r="M141" s="332"/>
      <c r="N141" s="332"/>
      <c r="O141" s="332"/>
      <c r="P141" s="332"/>
      <c r="Q141" s="332"/>
      <c r="R141" s="332"/>
      <c r="S141" s="332"/>
      <c r="T141" s="332"/>
      <c r="U141" s="332"/>
      <c r="V141" s="332"/>
      <c r="W141" s="332"/>
      <c r="X141" s="332"/>
      <c r="Y141" s="332"/>
      <c r="Z141" s="332"/>
    </row>
    <row r="142" spans="1:28" s="334" customFormat="1" ht="15.75" customHeight="1">
      <c r="A142" s="332"/>
      <c r="B142" s="1168"/>
      <c r="C142" s="1168"/>
      <c r="D142" s="1169"/>
      <c r="E142" s="1169"/>
      <c r="F142" s="1169"/>
      <c r="G142" s="1169"/>
      <c r="H142" s="1687"/>
      <c r="I142" s="1687"/>
      <c r="J142" s="332"/>
      <c r="K142" s="332"/>
      <c r="L142" s="332"/>
      <c r="M142" s="332"/>
      <c r="N142" s="332"/>
      <c r="O142" s="332"/>
      <c r="P142" s="332"/>
      <c r="Q142" s="332"/>
      <c r="R142" s="332"/>
      <c r="S142" s="332"/>
      <c r="T142" s="332"/>
      <c r="U142" s="332"/>
      <c r="V142" s="332"/>
      <c r="W142" s="332"/>
      <c r="X142" s="332"/>
      <c r="Y142" s="332"/>
      <c r="Z142" s="332"/>
    </row>
    <row r="143" spans="1:28" s="29" customFormat="1" ht="18">
      <c r="B143" s="1105" t="s">
        <v>2582</v>
      </c>
      <c r="C143" s="229"/>
      <c r="D143" s="229"/>
      <c r="E143" s="230"/>
      <c r="F143" s="229"/>
      <c r="G143" s="229"/>
      <c r="H143" s="1688"/>
      <c r="I143" s="1689"/>
      <c r="J143" s="232"/>
      <c r="K143" s="30"/>
      <c r="U143" s="234"/>
      <c r="V143" s="234"/>
      <c r="W143" s="234"/>
      <c r="X143" s="234"/>
      <c r="Y143" s="234"/>
    </row>
    <row r="144" spans="1:28" s="29" customFormat="1" ht="18">
      <c r="B144" s="465"/>
      <c r="C144" s="229"/>
      <c r="D144" s="229"/>
      <c r="E144" s="230"/>
      <c r="F144" s="229"/>
      <c r="G144" s="229"/>
      <c r="H144" s="1688"/>
      <c r="I144" s="1689"/>
      <c r="J144" s="232"/>
      <c r="K144" s="30"/>
      <c r="U144" s="234"/>
      <c r="V144" s="234"/>
      <c r="W144" s="234"/>
      <c r="X144" s="234"/>
      <c r="Y144" s="234"/>
    </row>
    <row r="145" spans="1:40" s="334" customFormat="1" ht="15.75" customHeight="1">
      <c r="A145" s="332"/>
      <c r="B145" s="2283" t="s">
        <v>2566</v>
      </c>
      <c r="C145" s="2283" t="s">
        <v>2273</v>
      </c>
      <c r="D145" s="2283" t="s">
        <v>2568</v>
      </c>
      <c r="E145" s="2283" t="s">
        <v>2569</v>
      </c>
      <c r="F145" s="2283" t="s">
        <v>2220</v>
      </c>
      <c r="G145" s="2283" t="s">
        <v>2238</v>
      </c>
      <c r="H145" s="2293" t="s">
        <v>1666</v>
      </c>
      <c r="I145" s="2293"/>
      <c r="J145" s="332"/>
      <c r="K145" s="332"/>
      <c r="L145" s="332"/>
      <c r="M145" s="332"/>
      <c r="N145" s="332"/>
      <c r="O145" s="332"/>
      <c r="P145" s="332"/>
      <c r="Q145" s="332"/>
      <c r="R145" s="332"/>
      <c r="S145" s="332"/>
      <c r="T145" s="332"/>
      <c r="U145" s="332"/>
      <c r="V145" s="332"/>
      <c r="W145" s="332"/>
      <c r="X145" s="332"/>
      <c r="Y145" s="332"/>
      <c r="Z145" s="332"/>
      <c r="AA145" s="332"/>
      <c r="AB145" s="332"/>
    </row>
    <row r="146" spans="1:40" s="334" customFormat="1" ht="15.75" customHeight="1">
      <c r="A146" s="332"/>
      <c r="B146" s="2284"/>
      <c r="C146" s="2284"/>
      <c r="D146" s="2284"/>
      <c r="E146" s="2284"/>
      <c r="F146" s="2284"/>
      <c r="G146" s="2284"/>
      <c r="H146" s="2305" t="s">
        <v>1826</v>
      </c>
      <c r="I146" s="2307" t="s">
        <v>1827</v>
      </c>
      <c r="J146" s="332"/>
      <c r="K146" s="332"/>
      <c r="L146" s="332"/>
      <c r="M146" s="332"/>
      <c r="N146" s="332"/>
      <c r="O146" s="332"/>
      <c r="P146" s="332"/>
      <c r="Q146" s="332"/>
      <c r="R146" s="332"/>
      <c r="S146" s="332"/>
      <c r="T146" s="332"/>
      <c r="U146" s="332"/>
      <c r="V146" s="332"/>
      <c r="W146" s="332"/>
      <c r="X146" s="332"/>
      <c r="Y146" s="332"/>
      <c r="Z146" s="332"/>
      <c r="AA146" s="332"/>
      <c r="AB146" s="332"/>
    </row>
    <row r="147" spans="1:40" s="334" customFormat="1" ht="15.75" customHeight="1">
      <c r="A147" s="332"/>
      <c r="B147" s="2285"/>
      <c r="C147" s="2285"/>
      <c r="D147" s="2285"/>
      <c r="E147" s="2285"/>
      <c r="F147" s="2285"/>
      <c r="G147" s="2285"/>
      <c r="H147" s="2306"/>
      <c r="I147" s="2308"/>
      <c r="J147" s="332"/>
      <c r="K147" s="332"/>
      <c r="L147" s="332"/>
      <c r="M147" s="332"/>
      <c r="N147" s="332"/>
      <c r="O147" s="332"/>
      <c r="P147" s="332"/>
      <c r="Q147" s="332"/>
      <c r="R147" s="332"/>
      <c r="S147" s="332"/>
      <c r="T147" s="332"/>
      <c r="U147" s="332"/>
      <c r="V147" s="332"/>
      <c r="W147" s="332"/>
      <c r="X147" s="332"/>
      <c r="Y147" s="332"/>
      <c r="Z147" s="332"/>
      <c r="AA147" s="332"/>
      <c r="AB147" s="332"/>
    </row>
    <row r="148" spans="1:40" s="1636" customFormat="1" ht="15.75" customHeight="1">
      <c r="A148" s="1316"/>
      <c r="B148" s="1129" t="s">
        <v>1168</v>
      </c>
      <c r="C148" s="1129" t="s">
        <v>1024</v>
      </c>
      <c r="D148" s="1129" t="s">
        <v>1023</v>
      </c>
      <c r="E148" s="1129" t="s">
        <v>1023</v>
      </c>
      <c r="F148" s="1129" t="s">
        <v>1023</v>
      </c>
      <c r="G148" s="1129" t="s">
        <v>1023</v>
      </c>
      <c r="H148" s="1691"/>
      <c r="I148" s="1691"/>
      <c r="J148" s="1316"/>
      <c r="K148" s="1316"/>
      <c r="L148" s="1316"/>
      <c r="M148" s="1316"/>
      <c r="N148" s="1316"/>
      <c r="O148" s="1316"/>
      <c r="P148" s="1316"/>
      <c r="Q148" s="1316"/>
      <c r="R148" s="1316"/>
      <c r="S148" s="1316"/>
      <c r="T148" s="1316"/>
      <c r="U148" s="1316"/>
      <c r="V148" s="1316"/>
      <c r="W148" s="1316"/>
      <c r="X148" s="1316"/>
      <c r="Y148" s="1316"/>
      <c r="Z148" s="1316"/>
      <c r="AA148" s="1316"/>
      <c r="AB148" s="1316"/>
    </row>
    <row r="149" spans="1:40" s="334" customFormat="1" ht="15.75" customHeight="1">
      <c r="A149" s="332"/>
      <c r="B149" s="1221">
        <f>$F$29</f>
        <v>160692</v>
      </c>
      <c r="C149" s="1284">
        <v>0.5</v>
      </c>
      <c r="D149" s="1285">
        <f>$G$215</f>
        <v>3.8250947703180209E-2</v>
      </c>
      <c r="E149" s="1286">
        <f>$G$216</f>
        <v>3.0329741154615335E-3</v>
      </c>
      <c r="F149" s="796">
        <f>$G$217</f>
        <v>365.25</v>
      </c>
      <c r="G149" s="1285">
        <f>$G$218</f>
        <v>1E-3</v>
      </c>
      <c r="H149" s="1629">
        <f>(B149*C149*D149*E149*F149*G149)</f>
        <v>3.4045944637738517</v>
      </c>
      <c r="I149" s="1629">
        <f>IFERROR(IF(B149="","",$H149*HLOOKUP($F$34,GWP!$F$11:$I$14,4,FALSE)),"")</f>
        <v>95.32864498566785</v>
      </c>
      <c r="J149" s="332"/>
      <c r="K149" s="332"/>
      <c r="L149" s="332"/>
      <c r="M149" s="332"/>
      <c r="N149" s="332"/>
      <c r="O149" s="332"/>
      <c r="P149" s="332"/>
      <c r="Q149" s="332"/>
      <c r="R149" s="332"/>
      <c r="S149" s="332"/>
      <c r="T149" s="332"/>
      <c r="U149" s="332"/>
      <c r="V149" s="332"/>
      <c r="W149" s="332"/>
      <c r="X149" s="332"/>
      <c r="Y149" s="332"/>
      <c r="Z149" s="332"/>
      <c r="AA149" s="332"/>
      <c r="AB149" s="332"/>
    </row>
    <row r="150" spans="1:40" s="334" customFormat="1" ht="15.75" customHeight="1">
      <c r="A150" s="332"/>
      <c r="B150" s="1168"/>
      <c r="C150" s="1168"/>
      <c r="D150" s="1169"/>
      <c r="E150" s="1169"/>
      <c r="F150" s="1169"/>
      <c r="G150" s="1169"/>
      <c r="H150" s="1686"/>
      <c r="I150" s="1687"/>
      <c r="J150" s="332"/>
      <c r="K150" s="332"/>
      <c r="L150" s="332"/>
      <c r="M150" s="332"/>
      <c r="N150" s="332"/>
      <c r="O150" s="332"/>
      <c r="P150" s="332"/>
      <c r="Q150" s="332"/>
      <c r="R150" s="332"/>
      <c r="S150" s="332"/>
      <c r="T150" s="332"/>
      <c r="U150" s="332"/>
      <c r="V150" s="332"/>
      <c r="W150" s="332"/>
      <c r="X150" s="332"/>
      <c r="Y150" s="332"/>
      <c r="Z150" s="332"/>
      <c r="AA150" s="332"/>
      <c r="AB150" s="332"/>
    </row>
    <row r="151" spans="1:40" s="29" customFormat="1" ht="18">
      <c r="B151" s="1683" t="s">
        <v>2583</v>
      </c>
      <c r="C151" s="229"/>
      <c r="D151" s="229"/>
      <c r="E151" s="230"/>
      <c r="F151" s="229"/>
      <c r="G151" s="229"/>
      <c r="H151" s="1688"/>
      <c r="I151" s="1689"/>
      <c r="J151" s="232"/>
      <c r="K151" s="30"/>
      <c r="U151" s="234"/>
      <c r="V151" s="234"/>
      <c r="W151" s="234"/>
      <c r="X151" s="234"/>
      <c r="Y151" s="234"/>
    </row>
    <row r="152" spans="1:40" s="29" customFormat="1" ht="18">
      <c r="B152" s="1298"/>
      <c r="C152" s="229"/>
      <c r="D152" s="229"/>
      <c r="E152" s="230"/>
      <c r="F152" s="229"/>
      <c r="G152" s="229"/>
      <c r="H152" s="1688"/>
      <c r="I152" s="1689"/>
      <c r="J152" s="232"/>
      <c r="K152" s="30"/>
      <c r="U152" s="234"/>
      <c r="V152" s="234"/>
      <c r="W152" s="234"/>
      <c r="X152" s="234"/>
      <c r="Y152" s="234"/>
    </row>
    <row r="153" spans="1:40" s="334" customFormat="1" ht="15.75" customHeight="1">
      <c r="A153" s="332"/>
      <c r="B153" s="2283" t="s">
        <v>2566</v>
      </c>
      <c r="C153" s="2315" t="s">
        <v>2571</v>
      </c>
      <c r="D153" s="2283" t="s">
        <v>2572</v>
      </c>
      <c r="E153" s="2283" t="s">
        <v>2567</v>
      </c>
      <c r="F153" s="2283" t="s">
        <v>2220</v>
      </c>
      <c r="G153" s="2283" t="s">
        <v>2238</v>
      </c>
      <c r="H153" s="2293" t="s">
        <v>1934</v>
      </c>
      <c r="I153" s="2293"/>
      <c r="J153" s="332"/>
      <c r="K153" s="332"/>
      <c r="L153" s="332"/>
      <c r="M153" s="332"/>
      <c r="N153" s="332"/>
      <c r="O153" s="332"/>
      <c r="P153" s="332"/>
      <c r="Q153" s="332"/>
      <c r="R153" s="332"/>
      <c r="S153" s="332"/>
      <c r="T153" s="332"/>
      <c r="U153" s="332"/>
      <c r="V153" s="332"/>
      <c r="W153" s="332"/>
      <c r="X153" s="332"/>
      <c r="Y153" s="332"/>
      <c r="Z153" s="332"/>
      <c r="AA153" s="332"/>
      <c r="AB153" s="332"/>
    </row>
    <row r="154" spans="1:40" s="334" customFormat="1" ht="15.75" customHeight="1">
      <c r="A154" s="332"/>
      <c r="B154" s="2284"/>
      <c r="C154" s="2316"/>
      <c r="D154" s="2284"/>
      <c r="E154" s="2284"/>
      <c r="F154" s="2284"/>
      <c r="G154" s="2284"/>
      <c r="H154" s="2305" t="s">
        <v>2594</v>
      </c>
      <c r="I154" s="2307" t="s">
        <v>1827</v>
      </c>
      <c r="J154" s="332"/>
      <c r="K154" s="332"/>
      <c r="L154" s="332"/>
      <c r="M154" s="332"/>
      <c r="N154" s="332"/>
      <c r="O154" s="332"/>
      <c r="P154" s="332"/>
      <c r="Q154" s="332"/>
      <c r="R154" s="332"/>
      <c r="S154" s="332"/>
      <c r="T154" s="332"/>
      <c r="U154" s="332"/>
      <c r="V154" s="332"/>
      <c r="W154" s="332"/>
      <c r="X154" s="332"/>
      <c r="Y154" s="332"/>
      <c r="Z154" s="332"/>
      <c r="AA154" s="332"/>
      <c r="AB154" s="332"/>
    </row>
    <row r="155" spans="1:40" s="334" customFormat="1" ht="15.75" customHeight="1">
      <c r="A155" s="332"/>
      <c r="B155" s="2285"/>
      <c r="C155" s="2317"/>
      <c r="D155" s="2285"/>
      <c r="E155" s="2285"/>
      <c r="F155" s="2285"/>
      <c r="G155" s="2285"/>
      <c r="H155" s="2306"/>
      <c r="I155" s="2308"/>
      <c r="J155" s="332"/>
      <c r="K155" s="332"/>
      <c r="L155" s="332"/>
      <c r="M155" s="332"/>
      <c r="N155" s="332"/>
      <c r="O155" s="332"/>
      <c r="P155" s="332"/>
      <c r="Q155" s="332"/>
      <c r="R155" s="332"/>
      <c r="S155" s="332"/>
      <c r="T155" s="332"/>
      <c r="U155" s="332"/>
      <c r="V155" s="332"/>
      <c r="W155" s="332"/>
      <c r="X155" s="332"/>
      <c r="Y155" s="332"/>
      <c r="Z155" s="332"/>
      <c r="AA155" s="332"/>
      <c r="AB155" s="332"/>
    </row>
    <row r="156" spans="1:40" s="1636" customFormat="1" ht="15.75" customHeight="1">
      <c r="A156" s="1316"/>
      <c r="B156" s="1129" t="s">
        <v>1168</v>
      </c>
      <c r="C156" s="1129" t="s">
        <v>1024</v>
      </c>
      <c r="D156" s="1129" t="s">
        <v>1023</v>
      </c>
      <c r="E156" s="1129" t="s">
        <v>1023</v>
      </c>
      <c r="F156" s="1129" t="s">
        <v>1023</v>
      </c>
      <c r="G156" s="1129" t="s">
        <v>1023</v>
      </c>
      <c r="H156" s="1691"/>
      <c r="I156" s="1691"/>
      <c r="J156" s="1316"/>
      <c r="K156" s="1316"/>
      <c r="L156" s="1316"/>
      <c r="M156" s="1316"/>
      <c r="N156" s="1316"/>
      <c r="O156" s="1316"/>
      <c r="P156" s="1316"/>
      <c r="Q156" s="1316"/>
      <c r="R156" s="1316"/>
      <c r="S156" s="1316"/>
      <c r="T156" s="1316"/>
      <c r="U156" s="1316"/>
      <c r="V156" s="1316"/>
      <c r="W156" s="1316"/>
      <c r="X156" s="1316"/>
      <c r="Y156" s="1316"/>
      <c r="Z156" s="1316"/>
      <c r="AA156" s="1316"/>
      <c r="AB156" s="1316"/>
    </row>
    <row r="157" spans="1:40" s="334" customFormat="1" ht="15.75" customHeight="1">
      <c r="A157" s="332"/>
      <c r="B157" s="1221">
        <f>$F$29</f>
        <v>160692</v>
      </c>
      <c r="C157" s="1284">
        <v>0.5</v>
      </c>
      <c r="D157" s="1285">
        <f>$G$219</f>
        <v>3.8250947703180209E-2</v>
      </c>
      <c r="E157" s="1286">
        <f>$G$220</f>
        <v>5.9711677898148941E-4</v>
      </c>
      <c r="F157" s="796">
        <f>$G$221</f>
        <v>365.25</v>
      </c>
      <c r="G157" s="1285">
        <f>$G$222</f>
        <v>1E-3</v>
      </c>
      <c r="H157" s="1629">
        <f>(B157*C157*D157*E157*F157*G157)</f>
        <v>0.67027953505547699</v>
      </c>
      <c r="I157" s="1629">
        <f>IFERROR(IF(B157="","",$H157*HLOOKUP($F$34,GWP!$F$11:$I$15,5,FALSE)),"")</f>
        <v>177.62407678970141</v>
      </c>
      <c r="J157" s="332"/>
      <c r="K157" s="332"/>
      <c r="L157" s="332"/>
      <c r="M157" s="332"/>
      <c r="N157" s="332"/>
      <c r="O157" s="332"/>
      <c r="P157" s="332"/>
      <c r="Q157" s="332"/>
      <c r="R157" s="332"/>
      <c r="S157" s="332"/>
      <c r="T157" s="332"/>
      <c r="U157" s="332"/>
      <c r="V157" s="332"/>
      <c r="W157" s="332"/>
      <c r="X157" s="332"/>
      <c r="Y157" s="332"/>
      <c r="Z157" s="332"/>
      <c r="AA157" s="332"/>
      <c r="AB157" s="332"/>
    </row>
    <row r="158" spans="1:40" s="334" customFormat="1" ht="15.75" customHeight="1">
      <c r="A158" s="332"/>
      <c r="B158" s="1168"/>
      <c r="C158" s="1168"/>
      <c r="D158" s="1169"/>
      <c r="E158" s="1169"/>
      <c r="F158" s="1169"/>
      <c r="G158" s="1169"/>
      <c r="H158" s="1169"/>
      <c r="I158" s="332"/>
      <c r="J158" s="332"/>
      <c r="K158" s="332"/>
      <c r="L158" s="332"/>
      <c r="M158" s="332"/>
      <c r="N158" s="332"/>
      <c r="O158" s="332"/>
      <c r="P158" s="332"/>
      <c r="Q158" s="332"/>
      <c r="R158" s="332"/>
      <c r="S158" s="332"/>
      <c r="T158" s="332"/>
      <c r="U158" s="332"/>
      <c r="V158" s="332"/>
      <c r="W158" s="332"/>
      <c r="X158" s="332"/>
      <c r="Y158" s="332"/>
      <c r="Z158" s="332"/>
      <c r="AA158" s="332"/>
      <c r="AB158" s="332"/>
    </row>
    <row r="159" spans="1:40" s="29" customFormat="1" ht="31" customHeight="1" thickBot="1">
      <c r="A159" s="332"/>
      <c r="B159" s="491" t="s">
        <v>2357</v>
      </c>
      <c r="C159" s="466"/>
      <c r="D159" s="466"/>
      <c r="E159" s="466"/>
      <c r="F159" s="466"/>
      <c r="G159" s="466"/>
      <c r="H159" s="466"/>
      <c r="I159" s="467"/>
      <c r="J159" s="467"/>
      <c r="K159" s="467"/>
      <c r="L159" s="468"/>
      <c r="M159" s="468"/>
      <c r="N159" s="468"/>
      <c r="O159" s="468"/>
      <c r="P159" s="468"/>
      <c r="Q159" s="468"/>
      <c r="R159" s="468"/>
      <c r="S159" s="468"/>
      <c r="T159" s="468"/>
      <c r="U159" s="468"/>
      <c r="V159" s="468"/>
      <c r="W159" s="468"/>
      <c r="X159" s="468"/>
      <c r="Y159" s="468"/>
      <c r="Z159" s="468"/>
      <c r="AA159" s="468"/>
      <c r="AB159" s="468"/>
      <c r="AC159" s="468"/>
      <c r="AD159" s="468"/>
      <c r="AE159" s="468"/>
      <c r="AF159" s="468"/>
      <c r="AG159" s="468"/>
      <c r="AH159" s="468"/>
      <c r="AI159" s="468"/>
      <c r="AJ159" s="468"/>
      <c r="AK159" s="468"/>
      <c r="AL159" s="468"/>
      <c r="AM159" s="468"/>
      <c r="AN159" s="468"/>
    </row>
    <row r="160" spans="1:40" s="334" customFormat="1" ht="15" customHeight="1" thickTop="1">
      <c r="A160" s="332"/>
      <c r="B160" s="333"/>
      <c r="C160" s="333"/>
      <c r="D160" s="332"/>
      <c r="E160" s="332"/>
      <c r="F160" s="332"/>
      <c r="G160" s="332"/>
      <c r="H160" s="332"/>
      <c r="I160" s="332"/>
      <c r="J160" s="332"/>
      <c r="K160" s="332"/>
      <c r="L160" s="332"/>
      <c r="M160" s="332"/>
      <c r="N160" s="332"/>
      <c r="O160" s="337"/>
      <c r="P160" s="332"/>
      <c r="Q160" s="332"/>
      <c r="R160" s="332"/>
      <c r="S160" s="332"/>
      <c r="T160" s="332"/>
      <c r="U160" s="332"/>
      <c r="V160" s="332"/>
      <c r="W160" s="332"/>
      <c r="X160" s="332"/>
      <c r="Y160" s="344"/>
      <c r="Z160" s="344"/>
      <c r="AA160" s="332"/>
      <c r="AK160" s="344"/>
    </row>
    <row r="161" spans="1:37" s="29" customFormat="1" ht="15" customHeight="1">
      <c r="B161" s="465" t="s">
        <v>2280</v>
      </c>
      <c r="C161" s="229"/>
      <c r="D161" s="229"/>
      <c r="E161" s="230"/>
      <c r="F161" s="229"/>
      <c r="G161" s="229"/>
      <c r="H161" s="465"/>
      <c r="I161" s="232"/>
      <c r="J161" s="232"/>
      <c r="K161" s="30"/>
      <c r="U161" s="234"/>
      <c r="V161" s="234"/>
      <c r="W161" s="234"/>
      <c r="X161" s="234"/>
      <c r="Y161" s="234"/>
    </row>
    <row r="162" spans="1:37" s="29" customFormat="1" ht="15" customHeight="1">
      <c r="B162" s="465"/>
      <c r="C162" s="229"/>
      <c r="D162" s="229"/>
      <c r="E162" s="230"/>
      <c r="F162" s="229"/>
      <c r="G162" s="229"/>
      <c r="H162" s="465"/>
      <c r="I162" s="232"/>
      <c r="J162" s="232"/>
      <c r="K162" s="30"/>
      <c r="U162" s="234"/>
      <c r="V162" s="234"/>
      <c r="W162" s="234"/>
      <c r="X162" s="234"/>
      <c r="Y162" s="234"/>
    </row>
    <row r="163" spans="1:37" s="334" customFormat="1" ht="15" customHeight="1">
      <c r="A163" s="332"/>
      <c r="B163" s="1479" t="s">
        <v>1117</v>
      </c>
      <c r="C163" s="1480" t="s">
        <v>2168</v>
      </c>
      <c r="D163" s="1480" t="s">
        <v>281</v>
      </c>
      <c r="E163" s="1480" t="s">
        <v>2052</v>
      </c>
      <c r="F163" s="1480" t="s">
        <v>2054</v>
      </c>
      <c r="G163" s="1480" t="s">
        <v>2053</v>
      </c>
      <c r="H163" s="1480" t="s">
        <v>2204</v>
      </c>
      <c r="I163" s="1480" t="s">
        <v>2205</v>
      </c>
      <c r="J163" s="1480" t="s">
        <v>2059</v>
      </c>
      <c r="K163" s="1480" t="s">
        <v>2060</v>
      </c>
      <c r="L163" s="1480" t="s">
        <v>197</v>
      </c>
      <c r="M163" s="332"/>
      <c r="N163" s="332"/>
      <c r="O163" s="337"/>
      <c r="P163" s="332"/>
      <c r="Q163" s="332"/>
      <c r="R163" s="332"/>
      <c r="S163" s="332"/>
      <c r="T163" s="332"/>
      <c r="U163" s="332"/>
      <c r="V163" s="332"/>
      <c r="W163" s="332"/>
      <c r="X163" s="332"/>
      <c r="Y163" s="344"/>
      <c r="Z163" s="344"/>
      <c r="AA163" s="332"/>
      <c r="AK163" s="344"/>
    </row>
    <row r="164" spans="1:37" s="334" customFormat="1" ht="15" customHeight="1">
      <c r="A164" s="332"/>
      <c r="B164" s="2280" t="s">
        <v>1127</v>
      </c>
      <c r="C164" s="350" t="s">
        <v>2281</v>
      </c>
      <c r="D164" s="1287">
        <v>0.26200000000000001</v>
      </c>
      <c r="E164" s="1288">
        <v>0.188</v>
      </c>
      <c r="F164" s="1288">
        <v>3.5000000000000003E-2</v>
      </c>
      <c r="G164" s="1288">
        <v>3.5000000000000003E-2</v>
      </c>
      <c r="H164" s="1288">
        <v>0.01</v>
      </c>
      <c r="I164" s="1288">
        <v>0.14299999999999999</v>
      </c>
      <c r="J164" s="1288">
        <v>2.7E-2</v>
      </c>
      <c r="K164" s="1288">
        <v>3.1E-2</v>
      </c>
      <c r="L164" s="1288">
        <v>7.3999999999999996E-2</v>
      </c>
      <c r="M164" s="1289">
        <f>SUM(D164:L164)</f>
        <v>0.80500000000000005</v>
      </c>
      <c r="N164" s="332"/>
      <c r="O164" s="337"/>
      <c r="P164" s="332"/>
      <c r="Q164" s="332"/>
      <c r="R164" s="332"/>
      <c r="S164" s="332"/>
      <c r="T164" s="332"/>
      <c r="U164" s="332"/>
      <c r="V164" s="332"/>
      <c r="W164" s="332"/>
      <c r="X164" s="332"/>
      <c r="Y164" s="344"/>
      <c r="Z164" s="344"/>
      <c r="AA164" s="332"/>
      <c r="AK164" s="344"/>
    </row>
    <row r="165" spans="1:37" s="334" customFormat="1" ht="15" customHeight="1">
      <c r="B165" s="2281"/>
      <c r="C165" s="350" t="s">
        <v>2282</v>
      </c>
      <c r="D165" s="1288">
        <v>0.40300000000000002</v>
      </c>
      <c r="E165" s="1288">
        <v>0.113</v>
      </c>
      <c r="F165" s="1288">
        <v>7.9000000000000001E-2</v>
      </c>
      <c r="G165" s="1288">
        <v>2.5000000000000001E-2</v>
      </c>
      <c r="H165" s="1288">
        <v>8.0000000000000002E-3</v>
      </c>
      <c r="I165" s="1288">
        <v>6.4000000000000001E-2</v>
      </c>
      <c r="J165" s="1288">
        <v>3.7999999999999999E-2</v>
      </c>
      <c r="K165" s="1288">
        <v>3.5000000000000003E-2</v>
      </c>
      <c r="L165" s="1288">
        <v>0.219</v>
      </c>
      <c r="M165" s="1289">
        <f t="shared" ref="M165:M182" si="0">SUM(D165:L165)</f>
        <v>0.98399999999999999</v>
      </c>
      <c r="N165" s="332"/>
      <c r="O165" s="337"/>
      <c r="P165" s="332"/>
      <c r="Q165" s="332"/>
      <c r="R165" s="332"/>
      <c r="S165" s="332"/>
      <c r="T165" s="332"/>
      <c r="U165" s="332"/>
      <c r="V165" s="332"/>
      <c r="W165" s="332"/>
      <c r="X165" s="332"/>
      <c r="Y165" s="344"/>
      <c r="Z165" s="344"/>
      <c r="AA165" s="332"/>
      <c r="AK165" s="344"/>
    </row>
    <row r="166" spans="1:37" s="334" customFormat="1" ht="15" customHeight="1">
      <c r="A166" s="332"/>
      <c r="B166" s="2281"/>
      <c r="C166" s="350" t="s">
        <v>2283</v>
      </c>
      <c r="D166" s="1288">
        <v>3.5000000000000003E-2</v>
      </c>
      <c r="E166" s="1288">
        <v>0.129</v>
      </c>
      <c r="F166" s="1288">
        <v>9.9000000000000005E-2</v>
      </c>
      <c r="G166" s="1288">
        <v>2.7E-2</v>
      </c>
      <c r="H166" s="1288">
        <v>8.9999999999999993E-3</v>
      </c>
      <c r="I166" s="1288">
        <v>7.1999999999999995E-2</v>
      </c>
      <c r="J166" s="1288">
        <v>3.3000000000000002E-2</v>
      </c>
      <c r="K166" s="1288">
        <v>0.04</v>
      </c>
      <c r="L166" s="1288">
        <v>0.16300000000000001</v>
      </c>
      <c r="M166" s="1289">
        <f t="shared" si="0"/>
        <v>0.60699999999999998</v>
      </c>
      <c r="N166" s="332"/>
      <c r="O166" s="337"/>
      <c r="P166" s="332"/>
      <c r="Q166" s="332"/>
      <c r="R166" s="332"/>
      <c r="S166" s="332"/>
      <c r="T166" s="332"/>
      <c r="U166" s="332"/>
      <c r="V166" s="332"/>
      <c r="W166" s="332"/>
      <c r="X166" s="332"/>
      <c r="Y166" s="344"/>
      <c r="Z166" s="344"/>
      <c r="AA166" s="332"/>
      <c r="AK166" s="344"/>
    </row>
    <row r="167" spans="1:37" s="334" customFormat="1" ht="15" customHeight="1">
      <c r="A167" s="332"/>
      <c r="B167" s="2282"/>
      <c r="C167" s="350" t="s">
        <v>2284</v>
      </c>
      <c r="D167" s="1288">
        <v>0.41099999999999998</v>
      </c>
      <c r="E167" s="1288">
        <v>0.18</v>
      </c>
      <c r="F167" s="1288">
        <v>9.8000000000000004E-2</v>
      </c>
      <c r="G167" s="1288">
        <v>2.9000000000000001E-2</v>
      </c>
      <c r="H167" s="1288">
        <v>6.0000000000000001E-3</v>
      </c>
      <c r="I167" s="1288">
        <v>6.3E-2</v>
      </c>
      <c r="J167" s="1288">
        <v>1.2999999999999999E-2</v>
      </c>
      <c r="K167" s="1288">
        <v>2.1999999999999999E-2</v>
      </c>
      <c r="L167" s="1288">
        <v>5.3999999999999999E-2</v>
      </c>
      <c r="M167" s="1289">
        <f t="shared" si="0"/>
        <v>0.876</v>
      </c>
      <c r="N167" s="332"/>
      <c r="O167" s="337"/>
      <c r="P167" s="332"/>
      <c r="Q167" s="332"/>
      <c r="R167" s="332"/>
      <c r="S167" s="332"/>
      <c r="T167" s="332"/>
      <c r="U167" s="332"/>
      <c r="V167" s="332"/>
      <c r="W167" s="332"/>
      <c r="X167" s="332"/>
      <c r="Y167" s="344"/>
      <c r="Z167" s="344"/>
      <c r="AA167" s="332"/>
      <c r="AK167" s="344"/>
    </row>
    <row r="168" spans="1:37" s="334" customFormat="1" ht="15" customHeight="1">
      <c r="A168" s="332"/>
      <c r="B168" s="2280" t="s">
        <v>1027</v>
      </c>
      <c r="C168" s="350" t="s">
        <v>2285</v>
      </c>
      <c r="D168" s="1288">
        <v>0.53900000000000003</v>
      </c>
      <c r="E168" s="1288">
        <v>7.6999999999999999E-2</v>
      </c>
      <c r="F168" s="1288">
        <v>7.0000000000000007E-2</v>
      </c>
      <c r="G168" s="1288">
        <v>1.7000000000000001E-2</v>
      </c>
      <c r="H168" s="1288">
        <v>1.0999999999999999E-2</v>
      </c>
      <c r="I168" s="1288">
        <v>5.5E-2</v>
      </c>
      <c r="J168" s="1288">
        <v>1.7999999999999999E-2</v>
      </c>
      <c r="K168" s="1288">
        <v>2.3E-2</v>
      </c>
      <c r="L168" s="1288">
        <v>0.11600000000000001</v>
      </c>
      <c r="M168" s="1289">
        <f t="shared" si="0"/>
        <v>0.92600000000000005</v>
      </c>
      <c r="N168" s="332"/>
      <c r="O168" s="337"/>
      <c r="P168" s="332"/>
      <c r="Q168" s="332"/>
      <c r="R168" s="332"/>
      <c r="S168" s="332"/>
      <c r="T168" s="332"/>
      <c r="U168" s="332"/>
      <c r="V168" s="332"/>
      <c r="W168" s="332"/>
      <c r="X168" s="332"/>
      <c r="Y168" s="344"/>
      <c r="Z168" s="344"/>
      <c r="AA168" s="332"/>
      <c r="AK168" s="344"/>
    </row>
    <row r="169" spans="1:37" s="334" customFormat="1" ht="15" customHeight="1">
      <c r="A169" s="332"/>
      <c r="B169" s="2281"/>
      <c r="C169" s="350" t="s">
        <v>2286</v>
      </c>
      <c r="D169" s="1288">
        <v>0.434</v>
      </c>
      <c r="E169" s="1288">
        <v>0.16800000000000001</v>
      </c>
      <c r="F169" s="1288">
        <v>6.5000000000000002E-2</v>
      </c>
      <c r="G169" s="1288">
        <v>2.5000000000000001E-2</v>
      </c>
      <c r="H169" s="1288"/>
      <c r="I169" s="1288">
        <v>4.4999999999999998E-2</v>
      </c>
      <c r="J169" s="1288">
        <v>3.5000000000000003E-2</v>
      </c>
      <c r="K169" s="1288">
        <v>0.02</v>
      </c>
      <c r="L169" s="1288">
        <v>1.4999999999999999E-2</v>
      </c>
      <c r="M169" s="1289">
        <f t="shared" si="0"/>
        <v>0.80700000000000016</v>
      </c>
      <c r="N169" s="332"/>
      <c r="O169" s="337"/>
      <c r="P169" s="332"/>
      <c r="Q169" s="332"/>
      <c r="R169" s="332"/>
      <c r="S169" s="332"/>
      <c r="T169" s="332"/>
      <c r="U169" s="332"/>
      <c r="V169" s="332"/>
      <c r="W169" s="332"/>
      <c r="X169" s="332"/>
      <c r="Y169" s="344"/>
      <c r="Z169" s="344"/>
      <c r="AA169" s="332"/>
      <c r="AK169" s="344"/>
    </row>
    <row r="170" spans="1:37" s="334" customFormat="1" ht="15" customHeight="1">
      <c r="A170" s="332"/>
      <c r="B170" s="2281"/>
      <c r="C170" s="350" t="s">
        <v>2287</v>
      </c>
      <c r="D170" s="1288">
        <v>0.51100000000000001</v>
      </c>
      <c r="E170" s="1288">
        <v>0.16500000000000001</v>
      </c>
      <c r="F170" s="1288">
        <v>0.02</v>
      </c>
      <c r="G170" s="1288">
        <v>2.5000000000000001E-2</v>
      </c>
      <c r="H170" s="1288"/>
      <c r="I170" s="1288">
        <v>4.4999999999999998E-2</v>
      </c>
      <c r="J170" s="1288">
        <v>3.5000000000000003E-2</v>
      </c>
      <c r="K170" s="1288">
        <v>0.02</v>
      </c>
      <c r="L170" s="1288">
        <v>1.4999999999999999E-2</v>
      </c>
      <c r="M170" s="1289">
        <f t="shared" si="0"/>
        <v>0.83600000000000019</v>
      </c>
      <c r="N170" s="332"/>
      <c r="O170" s="337"/>
      <c r="P170" s="332"/>
      <c r="Q170" s="332"/>
      <c r="R170" s="332"/>
      <c r="S170" s="332"/>
      <c r="T170" s="332"/>
      <c r="U170" s="332"/>
      <c r="V170" s="332"/>
      <c r="W170" s="332"/>
      <c r="X170" s="332"/>
      <c r="Y170" s="344"/>
      <c r="Z170" s="344"/>
      <c r="AA170" s="332"/>
      <c r="AK170" s="344"/>
    </row>
    <row r="171" spans="1:37" s="334" customFormat="1" ht="15" customHeight="1">
      <c r="A171" s="332"/>
      <c r="B171" s="2281"/>
      <c r="C171" s="350" t="s">
        <v>2288</v>
      </c>
      <c r="D171" s="1288">
        <v>0.23</v>
      </c>
      <c r="E171" s="1288">
        <v>0.25</v>
      </c>
      <c r="F171" s="1288">
        <v>0.15</v>
      </c>
      <c r="G171" s="1288"/>
      <c r="H171" s="1288"/>
      <c r="I171" s="1608"/>
      <c r="J171" s="1288"/>
      <c r="K171" s="1288"/>
      <c r="L171" s="1288"/>
      <c r="M171" s="1289">
        <f t="shared" si="0"/>
        <v>0.63</v>
      </c>
      <c r="N171" s="332"/>
      <c r="O171" s="337"/>
      <c r="P171" s="332"/>
      <c r="Q171" s="332"/>
      <c r="R171" s="332"/>
      <c r="S171" s="332"/>
      <c r="T171" s="332"/>
      <c r="U171" s="332"/>
      <c r="V171" s="332"/>
      <c r="W171" s="332"/>
      <c r="X171" s="332"/>
      <c r="Y171" s="344"/>
      <c r="Z171" s="344"/>
      <c r="AA171" s="332"/>
      <c r="AK171" s="344"/>
    </row>
    <row r="172" spans="1:37" s="334" customFormat="1" ht="15" customHeight="1">
      <c r="A172" s="332"/>
      <c r="B172" s="2282"/>
      <c r="C172" s="350" t="s">
        <v>2289</v>
      </c>
      <c r="D172" s="1288">
        <v>0.40400000000000003</v>
      </c>
      <c r="E172" s="1288">
        <v>9.8000000000000004E-2</v>
      </c>
      <c r="F172" s="1288">
        <v>4.3999999999999997E-2</v>
      </c>
      <c r="G172" s="1288">
        <v>0.01</v>
      </c>
      <c r="H172" s="1288"/>
      <c r="I172" s="1288">
        <v>0.03</v>
      </c>
      <c r="J172" s="1288">
        <v>0.01</v>
      </c>
      <c r="K172" s="1288"/>
      <c r="L172" s="1288"/>
      <c r="M172" s="1289">
        <f t="shared" si="0"/>
        <v>0.59600000000000009</v>
      </c>
      <c r="N172" s="332"/>
      <c r="O172" s="337"/>
      <c r="P172" s="332"/>
      <c r="Q172" s="332"/>
      <c r="R172" s="332"/>
      <c r="S172" s="332"/>
      <c r="T172" s="332"/>
      <c r="U172" s="332"/>
      <c r="V172" s="332"/>
      <c r="W172" s="332"/>
      <c r="X172" s="332"/>
      <c r="Y172" s="344"/>
      <c r="Z172" s="344"/>
      <c r="AA172" s="332"/>
      <c r="AK172" s="344"/>
    </row>
    <row r="173" spans="1:37" s="334" customFormat="1" ht="15" customHeight="1">
      <c r="A173" s="332"/>
      <c r="B173" s="2280" t="s">
        <v>1134</v>
      </c>
      <c r="C173" s="350" t="s">
        <v>2290</v>
      </c>
      <c r="D173" s="1288">
        <v>0.30099999999999999</v>
      </c>
      <c r="E173" s="1288">
        <v>0.218</v>
      </c>
      <c r="F173" s="1288">
        <v>7.4999999999999997E-2</v>
      </c>
      <c r="G173" s="1288">
        <v>4.7E-2</v>
      </c>
      <c r="H173" s="1288">
        <v>1.4E-2</v>
      </c>
      <c r="I173" s="1288">
        <v>6.2E-2</v>
      </c>
      <c r="J173" s="1288">
        <v>3.5999999999999997E-2</v>
      </c>
      <c r="K173" s="1288">
        <v>0.1</v>
      </c>
      <c r="L173" s="1288">
        <v>0.14599999999999999</v>
      </c>
      <c r="M173" s="1289">
        <f t="shared" si="0"/>
        <v>0.99900000000000011</v>
      </c>
      <c r="N173" s="332"/>
      <c r="O173" s="337"/>
      <c r="P173" s="332"/>
      <c r="Q173" s="332"/>
      <c r="R173" s="332"/>
      <c r="S173" s="332"/>
      <c r="T173" s="332"/>
      <c r="U173" s="332"/>
      <c r="V173" s="332"/>
      <c r="W173" s="332"/>
      <c r="X173" s="332"/>
      <c r="Y173" s="344"/>
      <c r="Z173" s="344"/>
      <c r="AA173" s="332"/>
      <c r="AK173" s="344"/>
    </row>
    <row r="174" spans="1:37" s="334" customFormat="1" ht="15" customHeight="1">
      <c r="A174" s="332"/>
      <c r="B174" s="2281"/>
      <c r="C174" s="350" t="s">
        <v>2291</v>
      </c>
      <c r="D174" s="1288">
        <v>0.23799999999999999</v>
      </c>
      <c r="E174" s="1288">
        <v>0.30599999999999999</v>
      </c>
      <c r="F174" s="1288">
        <v>0.1</v>
      </c>
      <c r="G174" s="1288">
        <v>0.02</v>
      </c>
      <c r="H174" s="1288"/>
      <c r="I174" s="1288">
        <v>0.13</v>
      </c>
      <c r="J174" s="1288">
        <v>7.0000000000000007E-2</v>
      </c>
      <c r="K174" s="1288">
        <v>0.08</v>
      </c>
      <c r="L174" s="1288"/>
      <c r="M174" s="1289">
        <f t="shared" si="0"/>
        <v>0.94400000000000006</v>
      </c>
      <c r="N174" s="332"/>
      <c r="O174" s="337"/>
      <c r="P174" s="332"/>
      <c r="Q174" s="332"/>
      <c r="R174" s="332"/>
      <c r="S174" s="332"/>
      <c r="T174" s="332"/>
      <c r="U174" s="332"/>
      <c r="V174" s="332"/>
      <c r="W174" s="332"/>
      <c r="X174" s="332"/>
      <c r="Y174" s="344"/>
      <c r="Z174" s="344"/>
      <c r="AA174" s="332"/>
      <c r="AK174" s="344"/>
    </row>
    <row r="175" spans="1:37" s="334" customFormat="1" ht="15" customHeight="1">
      <c r="A175" s="332"/>
      <c r="B175" s="2281"/>
      <c r="C175" s="350" t="s">
        <v>2292</v>
      </c>
      <c r="D175" s="1288">
        <v>0.36899999999999999</v>
      </c>
      <c r="E175" s="1288">
        <v>0.17</v>
      </c>
      <c r="F175" s="1288">
        <v>0.106</v>
      </c>
      <c r="G175" s="1288"/>
      <c r="H175" s="1288"/>
      <c r="I175" s="1288"/>
      <c r="J175" s="1288"/>
      <c r="K175" s="1288"/>
      <c r="L175" s="1288"/>
      <c r="M175" s="1289">
        <f t="shared" si="0"/>
        <v>0.64500000000000002</v>
      </c>
      <c r="N175" s="332"/>
      <c r="O175" s="337"/>
      <c r="P175" s="332"/>
      <c r="Q175" s="332"/>
      <c r="R175" s="332"/>
      <c r="S175" s="332"/>
      <c r="T175" s="332"/>
      <c r="U175" s="332"/>
      <c r="V175" s="332"/>
      <c r="W175" s="332"/>
      <c r="X175" s="332"/>
      <c r="Y175" s="344"/>
      <c r="Z175" s="344"/>
      <c r="AA175" s="332"/>
      <c r="AK175" s="344"/>
    </row>
    <row r="176" spans="1:37" s="334" customFormat="1" ht="15" customHeight="1">
      <c r="A176" s="332"/>
      <c r="B176" s="2282"/>
      <c r="C176" s="350" t="s">
        <v>2293</v>
      </c>
      <c r="D176" s="1288">
        <v>0.24199999999999999</v>
      </c>
      <c r="E176" s="1288">
        <v>0.27500000000000002</v>
      </c>
      <c r="F176" s="1288">
        <v>0.11</v>
      </c>
      <c r="G176" s="1288"/>
      <c r="H176" s="1288"/>
      <c r="I176" s="1288"/>
      <c r="J176" s="1288"/>
      <c r="K176" s="1288"/>
      <c r="L176" s="1288"/>
      <c r="M176" s="1289">
        <f t="shared" si="0"/>
        <v>0.627</v>
      </c>
      <c r="N176" s="332"/>
      <c r="O176" s="337"/>
      <c r="P176" s="332"/>
      <c r="Q176" s="332"/>
      <c r="R176" s="332"/>
      <c r="S176" s="332"/>
      <c r="T176" s="332"/>
      <c r="U176" s="332"/>
      <c r="V176" s="332"/>
      <c r="W176" s="332"/>
      <c r="X176" s="332"/>
      <c r="Y176" s="344"/>
      <c r="Z176" s="344"/>
      <c r="AA176" s="332"/>
      <c r="AK176" s="344"/>
    </row>
    <row r="177" spans="1:38" s="334" customFormat="1" ht="15" customHeight="1">
      <c r="A177" s="332"/>
      <c r="B177" s="2280" t="s">
        <v>1148</v>
      </c>
      <c r="C177" s="350" t="s">
        <v>2294</v>
      </c>
      <c r="D177" s="1288">
        <v>0.36</v>
      </c>
      <c r="E177" s="1288">
        <v>0.3</v>
      </c>
      <c r="F177" s="1288">
        <v>0.24</v>
      </c>
      <c r="G177" s="1288"/>
      <c r="H177" s="1288"/>
      <c r="I177" s="1288"/>
      <c r="J177" s="1288"/>
      <c r="K177" s="1288"/>
      <c r="L177" s="1288"/>
      <c r="M177" s="1289">
        <f t="shared" si="0"/>
        <v>0.89999999999999991</v>
      </c>
      <c r="N177" s="332"/>
      <c r="O177" s="337"/>
      <c r="P177" s="332"/>
      <c r="Q177" s="332"/>
      <c r="R177" s="332"/>
      <c r="S177" s="332"/>
      <c r="T177" s="332"/>
      <c r="U177" s="332"/>
      <c r="V177" s="332"/>
      <c r="W177" s="332"/>
      <c r="X177" s="332"/>
      <c r="Y177" s="344"/>
      <c r="Z177" s="344"/>
      <c r="AA177" s="332"/>
      <c r="AK177" s="344"/>
    </row>
    <row r="178" spans="1:38" s="334" customFormat="1" ht="15" customHeight="1">
      <c r="A178" s="332"/>
      <c r="B178" s="2282"/>
      <c r="C178" s="350" t="s">
        <v>2295</v>
      </c>
      <c r="D178" s="1288">
        <v>0.67500000000000004</v>
      </c>
      <c r="E178" s="1288">
        <v>0.06</v>
      </c>
      <c r="F178" s="1288">
        <v>2.5000000000000001E-2</v>
      </c>
      <c r="G178" s="1288"/>
      <c r="H178" s="1288"/>
      <c r="I178" s="1288"/>
      <c r="J178" s="1288"/>
      <c r="K178" s="1288"/>
      <c r="L178" s="1288"/>
      <c r="M178" s="1289">
        <f t="shared" si="0"/>
        <v>0.76000000000000012</v>
      </c>
      <c r="N178" s="332"/>
      <c r="O178" s="337"/>
      <c r="P178" s="332"/>
      <c r="Q178" s="332"/>
      <c r="R178" s="332"/>
      <c r="S178" s="332"/>
      <c r="T178" s="332"/>
      <c r="U178" s="332"/>
      <c r="V178" s="332"/>
      <c r="W178" s="332"/>
      <c r="X178" s="332"/>
      <c r="Y178" s="344"/>
      <c r="Z178" s="344"/>
      <c r="AA178" s="332"/>
      <c r="AK178" s="344"/>
    </row>
    <row r="179" spans="1:38" s="334" customFormat="1" ht="15" customHeight="1">
      <c r="A179" s="332"/>
      <c r="B179" s="2280" t="s">
        <v>2167</v>
      </c>
      <c r="C179" s="350" t="s">
        <v>1141</v>
      </c>
      <c r="D179" s="1288">
        <v>0.33900000000000002</v>
      </c>
      <c r="E179" s="1288">
        <v>0.23200000000000001</v>
      </c>
      <c r="F179" s="1288">
        <v>6.2E-2</v>
      </c>
      <c r="G179" s="1288">
        <v>3.9E-2</v>
      </c>
      <c r="H179" s="1288">
        <v>1.4E-2</v>
      </c>
      <c r="I179" s="1288">
        <v>8.5000000000000006E-2</v>
      </c>
      <c r="J179" s="1288">
        <v>4.5999999999999999E-2</v>
      </c>
      <c r="K179" s="1288">
        <v>6.5000000000000002E-2</v>
      </c>
      <c r="L179" s="1288">
        <v>9.8000000000000004E-2</v>
      </c>
      <c r="M179" s="1289">
        <f t="shared" si="0"/>
        <v>0.98000000000000009</v>
      </c>
      <c r="N179" s="332"/>
      <c r="O179" s="337"/>
      <c r="P179" s="332"/>
      <c r="Q179" s="332"/>
      <c r="R179" s="332"/>
      <c r="S179" s="332"/>
      <c r="T179" s="332"/>
      <c r="U179" s="332"/>
      <c r="V179" s="332"/>
      <c r="W179" s="332"/>
      <c r="X179" s="332"/>
      <c r="Y179" s="344"/>
      <c r="Z179" s="344"/>
      <c r="AA179" s="332"/>
      <c r="AK179" s="344"/>
    </row>
    <row r="180" spans="1:38" s="334" customFormat="1" ht="15" customHeight="1">
      <c r="A180" s="332"/>
      <c r="B180" s="2281"/>
      <c r="C180" s="350" t="s">
        <v>2296</v>
      </c>
      <c r="D180" s="1288">
        <v>0.438</v>
      </c>
      <c r="E180" s="1288">
        <v>0.13700000000000001</v>
      </c>
      <c r="F180" s="1288">
        <v>0.13500000000000001</v>
      </c>
      <c r="G180" s="1288">
        <v>2.5999999999999999E-2</v>
      </c>
      <c r="H180" s="1288">
        <v>0.01</v>
      </c>
      <c r="I180" s="1288">
        <v>6.7000000000000004E-2</v>
      </c>
      <c r="J180" s="1288">
        <v>2.5999999999999999E-2</v>
      </c>
      <c r="K180" s="1288">
        <v>3.6999999999999998E-2</v>
      </c>
      <c r="L180" s="1288">
        <v>0.123</v>
      </c>
      <c r="M180" s="1289">
        <f t="shared" si="0"/>
        <v>0.999</v>
      </c>
      <c r="N180" s="332"/>
      <c r="O180" s="337"/>
      <c r="P180" s="332"/>
      <c r="Q180" s="332"/>
      <c r="R180" s="332"/>
      <c r="S180" s="332"/>
      <c r="T180" s="332"/>
      <c r="U180" s="332"/>
      <c r="V180" s="332"/>
      <c r="W180" s="332"/>
      <c r="X180" s="332"/>
      <c r="Y180" s="344"/>
      <c r="Z180" s="344"/>
      <c r="AA180" s="332"/>
      <c r="AK180" s="344"/>
    </row>
    <row r="181" spans="1:38" s="334" customFormat="1" ht="15" customHeight="1">
      <c r="A181" s="332"/>
      <c r="B181" s="2281"/>
      <c r="C181" s="350" t="s">
        <v>2297</v>
      </c>
      <c r="D181" s="1288">
        <v>0.44900000000000001</v>
      </c>
      <c r="E181" s="1288">
        <v>0.17100000000000001</v>
      </c>
      <c r="F181" s="1288">
        <v>4.7E-2</v>
      </c>
      <c r="G181" s="1288">
        <v>2.5999999999999999E-2</v>
      </c>
      <c r="H181" s="1288">
        <v>7.0000000000000001E-3</v>
      </c>
      <c r="I181" s="1288">
        <v>0.108</v>
      </c>
      <c r="J181" s="1288">
        <v>2.9000000000000001E-2</v>
      </c>
      <c r="K181" s="1288">
        <v>3.3000000000000002E-2</v>
      </c>
      <c r="L181" s="1288">
        <v>0.13</v>
      </c>
      <c r="M181" s="1289">
        <f t="shared" si="0"/>
        <v>1</v>
      </c>
      <c r="N181" s="332"/>
      <c r="O181" s="337"/>
      <c r="P181" s="332"/>
      <c r="Q181" s="332"/>
      <c r="R181" s="332"/>
      <c r="S181" s="332"/>
      <c r="T181" s="332"/>
      <c r="U181" s="332"/>
      <c r="V181" s="332"/>
      <c r="W181" s="332"/>
      <c r="X181" s="332"/>
      <c r="Y181" s="344"/>
      <c r="Z181" s="344"/>
      <c r="AA181" s="332"/>
      <c r="AK181" s="344"/>
    </row>
    <row r="182" spans="1:38" s="334" customFormat="1" ht="15" customHeight="1">
      <c r="A182" s="332"/>
      <c r="B182" s="2282"/>
      <c r="C182" s="1238" t="s">
        <v>2298</v>
      </c>
      <c r="D182" s="1288">
        <v>0.46899999999999997</v>
      </c>
      <c r="E182" s="1288">
        <v>0.17</v>
      </c>
      <c r="F182" s="1288">
        <v>2.4E-2</v>
      </c>
      <c r="G182" s="1288">
        <v>5.0999999999999997E-2</v>
      </c>
      <c r="H182" s="1288">
        <v>1.9E-2</v>
      </c>
      <c r="I182" s="1288">
        <v>9.9000000000000005E-2</v>
      </c>
      <c r="J182" s="1288">
        <v>0.05</v>
      </c>
      <c r="K182" s="1288">
        <v>5.7000000000000002E-2</v>
      </c>
      <c r="L182" s="1288">
        <v>3.5000000000000003E-2</v>
      </c>
      <c r="M182" s="1289">
        <f t="shared" si="0"/>
        <v>0.9740000000000002</v>
      </c>
      <c r="N182" s="332"/>
      <c r="O182" s="337"/>
      <c r="P182" s="332"/>
      <c r="Q182" s="332"/>
      <c r="R182" s="332"/>
      <c r="S182" s="332"/>
      <c r="T182" s="332"/>
      <c r="U182" s="332"/>
      <c r="V182" s="332"/>
      <c r="W182" s="332"/>
      <c r="X182" s="332"/>
      <c r="Y182" s="344"/>
      <c r="Z182" s="344"/>
      <c r="AA182" s="332"/>
      <c r="AK182" s="344"/>
    </row>
    <row r="183" spans="1:38" s="334" customFormat="1" ht="15" customHeight="1">
      <c r="A183" s="332"/>
      <c r="B183" s="1302"/>
      <c r="C183" s="27"/>
      <c r="D183" s="1303"/>
      <c r="E183" s="1303"/>
      <c r="F183" s="1303"/>
      <c r="G183" s="1303"/>
      <c r="H183" s="1303"/>
      <c r="I183" s="1303"/>
      <c r="J183" s="1303"/>
      <c r="K183" s="1303"/>
      <c r="L183" s="1303"/>
      <c r="M183" s="1289"/>
      <c r="N183" s="332"/>
      <c r="O183" s="337"/>
      <c r="P183" s="332"/>
      <c r="Q183" s="332"/>
      <c r="R183" s="332"/>
      <c r="S183" s="332"/>
      <c r="T183" s="332"/>
      <c r="U183" s="332"/>
      <c r="V183" s="332"/>
      <c r="W183" s="332"/>
      <c r="X183" s="332"/>
      <c r="Y183" s="344"/>
      <c r="Z183" s="344"/>
      <c r="AA183" s="332"/>
      <c r="AK183" s="344"/>
    </row>
    <row r="184" spans="1:38" s="334" customFormat="1" ht="15" customHeight="1">
      <c r="A184" s="332"/>
      <c r="B184" s="1290" t="s">
        <v>2299</v>
      </c>
      <c r="C184" s="333"/>
      <c r="F184" s="332"/>
      <c r="G184" s="332"/>
      <c r="H184" s="332"/>
      <c r="I184" s="332"/>
      <c r="J184" s="332"/>
      <c r="K184" s="332"/>
      <c r="L184" s="332"/>
      <c r="M184" s="332"/>
      <c r="N184" s="332"/>
      <c r="O184" s="337"/>
      <c r="P184" s="332"/>
      <c r="Q184" s="332"/>
      <c r="R184" s="332"/>
      <c r="S184" s="332"/>
      <c r="T184" s="332"/>
      <c r="U184" s="332"/>
      <c r="V184" s="332"/>
      <c r="W184" s="332"/>
      <c r="X184" s="332"/>
      <c r="Y184" s="344"/>
      <c r="Z184" s="344"/>
      <c r="AA184" s="332"/>
      <c r="AK184" s="344"/>
    </row>
    <row r="185" spans="1:38" s="334" customFormat="1" ht="15" customHeight="1">
      <c r="A185" s="332"/>
      <c r="B185" s="1290" t="s">
        <v>2300</v>
      </c>
      <c r="C185" s="333"/>
      <c r="D185" s="332"/>
      <c r="E185" s="332"/>
      <c r="F185" s="332"/>
      <c r="G185" s="332"/>
      <c r="H185" s="332"/>
      <c r="I185" s="332"/>
      <c r="J185" s="332"/>
      <c r="K185" s="332"/>
      <c r="L185" s="332"/>
      <c r="M185" s="332"/>
      <c r="N185" s="332"/>
      <c r="O185" s="337"/>
      <c r="P185" s="332"/>
      <c r="Q185" s="332"/>
      <c r="R185" s="332"/>
      <c r="S185" s="332"/>
      <c r="T185" s="332"/>
      <c r="U185" s="332"/>
      <c r="V185" s="332"/>
      <c r="W185" s="332"/>
      <c r="X185" s="332"/>
      <c r="Y185" s="344"/>
      <c r="Z185" s="344"/>
      <c r="AA185" s="332"/>
      <c r="AK185" s="344"/>
    </row>
    <row r="186" spans="1:38" s="334" customFormat="1" ht="15" customHeight="1">
      <c r="A186" s="332"/>
      <c r="B186" s="1290"/>
      <c r="C186" s="333"/>
      <c r="D186" s="332"/>
      <c r="E186" s="332"/>
      <c r="F186" s="332"/>
      <c r="G186" s="332"/>
      <c r="H186" s="332"/>
      <c r="I186" s="332"/>
      <c r="J186" s="332"/>
      <c r="K186" s="332"/>
      <c r="L186" s="332"/>
      <c r="M186" s="332"/>
      <c r="N186" s="332"/>
      <c r="O186" s="337"/>
      <c r="P186" s="332"/>
      <c r="Q186" s="332"/>
      <c r="R186" s="332"/>
      <c r="S186" s="332"/>
      <c r="T186" s="332"/>
      <c r="U186" s="332"/>
      <c r="V186" s="332"/>
      <c r="W186" s="332"/>
      <c r="X186" s="332"/>
      <c r="Y186" s="344"/>
      <c r="Z186" s="344"/>
      <c r="AA186" s="332"/>
      <c r="AK186" s="344"/>
    </row>
    <row r="187" spans="1:38" s="29" customFormat="1" ht="15" customHeight="1">
      <c r="B187" s="465" t="s">
        <v>2301</v>
      </c>
      <c r="C187" s="229"/>
      <c r="D187" s="229"/>
      <c r="E187" s="230"/>
      <c r="F187" s="229"/>
      <c r="G187" s="229"/>
      <c r="H187" s="465"/>
      <c r="I187" s="232"/>
      <c r="J187" s="232"/>
      <c r="K187" s="30"/>
      <c r="U187" s="234"/>
      <c r="V187" s="234"/>
      <c r="W187" s="234"/>
      <c r="X187" s="234"/>
      <c r="Y187" s="234"/>
    </row>
    <row r="188" spans="1:38" s="29" customFormat="1" ht="15" customHeight="1">
      <c r="B188" s="465"/>
      <c r="C188" s="229"/>
      <c r="D188" s="229"/>
      <c r="E188" s="230"/>
      <c r="F188" s="229"/>
      <c r="G188" s="229"/>
      <c r="H188" s="465"/>
      <c r="I188" s="232"/>
      <c r="J188" s="232"/>
      <c r="K188" s="30"/>
      <c r="U188" s="234"/>
      <c r="V188" s="234"/>
      <c r="W188" s="234"/>
      <c r="X188" s="234"/>
      <c r="Y188" s="234"/>
    </row>
    <row r="189" spans="1:38" s="334" customFormat="1">
      <c r="A189" s="332"/>
      <c r="B189" s="2302" t="s">
        <v>2302</v>
      </c>
      <c r="C189" s="2303"/>
      <c r="D189" s="2303"/>
      <c r="E189" s="2304"/>
      <c r="F189" s="2309" t="s">
        <v>2303</v>
      </c>
      <c r="G189" s="2310"/>
      <c r="H189" s="2310"/>
      <c r="I189" s="2310"/>
      <c r="J189" s="2310"/>
      <c r="K189" s="2310"/>
      <c r="L189" s="2310"/>
      <c r="M189" s="2311"/>
      <c r="N189" s="332"/>
      <c r="O189" s="332"/>
      <c r="P189" s="337"/>
      <c r="Q189" s="332"/>
      <c r="R189" s="332"/>
      <c r="S189" s="332"/>
      <c r="T189" s="332"/>
      <c r="U189" s="332"/>
      <c r="V189" s="332"/>
      <c r="W189" s="332"/>
      <c r="X189" s="332"/>
      <c r="Y189" s="332"/>
      <c r="Z189" s="344"/>
      <c r="AA189" s="344"/>
      <c r="AB189" s="332"/>
      <c r="AL189" s="344"/>
    </row>
    <row r="190" spans="1:38" s="334" customFormat="1" ht="15" customHeight="1">
      <c r="A190" s="332"/>
      <c r="B190" s="2313"/>
      <c r="C190" s="1982"/>
      <c r="D190" s="1982"/>
      <c r="E190" s="2314"/>
      <c r="F190" s="2289" t="s">
        <v>2559</v>
      </c>
      <c r="G190" s="2312"/>
      <c r="H190" s="2312"/>
      <c r="I190" s="2290"/>
      <c r="J190" s="2289" t="s">
        <v>2560</v>
      </c>
      <c r="K190" s="2312"/>
      <c r="L190" s="2312"/>
      <c r="M190" s="2290"/>
      <c r="N190" s="332"/>
      <c r="O190" s="332"/>
      <c r="P190" s="337"/>
      <c r="Q190" s="332"/>
      <c r="R190" s="332"/>
      <c r="S190" s="332"/>
      <c r="T190" s="332"/>
      <c r="U190" s="332"/>
      <c r="V190" s="332"/>
      <c r="W190" s="332"/>
      <c r="X190" s="332"/>
      <c r="Y190" s="332"/>
      <c r="Z190" s="344"/>
      <c r="AA190" s="344"/>
      <c r="AB190" s="332"/>
      <c r="AL190" s="344"/>
    </row>
    <row r="191" spans="1:38" s="334" customFormat="1" ht="15" customHeight="1">
      <c r="A191" s="332"/>
      <c r="B191" s="2313"/>
      <c r="C191" s="1982"/>
      <c r="D191" s="1982"/>
      <c r="E191" s="2314"/>
      <c r="F191" s="2289" t="s">
        <v>2561</v>
      </c>
      <c r="G191" s="2290"/>
      <c r="H191" s="2289" t="s">
        <v>2562</v>
      </c>
      <c r="I191" s="2290"/>
      <c r="J191" s="2289" t="s">
        <v>2563</v>
      </c>
      <c r="K191" s="2290"/>
      <c r="L191" s="2289" t="s">
        <v>2564</v>
      </c>
      <c r="M191" s="2290"/>
      <c r="N191" s="332"/>
      <c r="O191" s="332"/>
      <c r="P191" s="337"/>
      <c r="Q191" s="332"/>
      <c r="R191" s="332"/>
      <c r="S191" s="332"/>
      <c r="T191" s="332"/>
      <c r="U191" s="332"/>
      <c r="V191" s="332"/>
      <c r="W191" s="332"/>
      <c r="X191" s="332"/>
      <c r="Y191" s="332"/>
      <c r="Z191" s="344"/>
      <c r="AA191" s="344"/>
      <c r="AB191" s="332"/>
      <c r="AL191" s="344"/>
    </row>
    <row r="192" spans="1:38" s="334" customFormat="1" ht="15" customHeight="1">
      <c r="A192" s="332"/>
      <c r="B192" s="1609"/>
      <c r="C192" s="1627"/>
      <c r="D192" s="1627"/>
      <c r="E192" s="1610"/>
      <c r="F192" s="1476" t="s">
        <v>1023</v>
      </c>
      <c r="G192" s="794" t="s">
        <v>1169</v>
      </c>
      <c r="H192" s="794" t="s">
        <v>1023</v>
      </c>
      <c r="I192" s="794" t="s">
        <v>1169</v>
      </c>
      <c r="J192" s="794" t="s">
        <v>1023</v>
      </c>
      <c r="K192" s="794" t="s">
        <v>1169</v>
      </c>
      <c r="L192" s="794" t="s">
        <v>1023</v>
      </c>
      <c r="M192" s="794" t="s">
        <v>1169</v>
      </c>
      <c r="N192" s="332"/>
      <c r="O192" s="332"/>
      <c r="P192" s="337"/>
      <c r="Q192" s="332"/>
      <c r="R192" s="332"/>
      <c r="S192" s="332"/>
      <c r="T192" s="332"/>
      <c r="U192" s="332"/>
      <c r="V192" s="332"/>
      <c r="W192" s="332"/>
      <c r="X192" s="332"/>
      <c r="Y192" s="332"/>
      <c r="Z192" s="344"/>
      <c r="AA192" s="344"/>
      <c r="AB192" s="332"/>
      <c r="AL192" s="344"/>
    </row>
    <row r="193" spans="1:38" s="334" customFormat="1" ht="15" customHeight="1">
      <c r="A193" s="332"/>
      <c r="B193" s="1623" t="s">
        <v>2304</v>
      </c>
      <c r="C193" s="1624"/>
      <c r="D193" s="1625" t="s">
        <v>2305</v>
      </c>
      <c r="E193" s="1626"/>
      <c r="F193" s="1291">
        <v>0.04</v>
      </c>
      <c r="G193" s="1291" t="s">
        <v>2306</v>
      </c>
      <c r="H193" s="1291">
        <v>0.06</v>
      </c>
      <c r="I193" s="1291" t="s">
        <v>2307</v>
      </c>
      <c r="J193" s="1292">
        <v>4.4999999999999998E-2</v>
      </c>
      <c r="K193" s="1291" t="s">
        <v>2308</v>
      </c>
      <c r="L193" s="1291">
        <v>7.0000000000000007E-2</v>
      </c>
      <c r="M193" s="1291" t="s">
        <v>2309</v>
      </c>
      <c r="N193" s="332"/>
      <c r="O193" s="332"/>
      <c r="P193" s="337"/>
      <c r="Q193" s="332"/>
      <c r="R193" s="332"/>
      <c r="S193" s="332"/>
      <c r="T193" s="332"/>
      <c r="U193" s="332"/>
      <c r="V193" s="332"/>
      <c r="W193" s="332"/>
      <c r="X193" s="332"/>
      <c r="Y193" s="332"/>
      <c r="Z193" s="344"/>
      <c r="AA193" s="344"/>
      <c r="AB193" s="332"/>
      <c r="AL193" s="344"/>
    </row>
    <row r="194" spans="1:38" s="334" customFormat="1" ht="15" customHeight="1">
      <c r="A194" s="332"/>
      <c r="B194" s="1613" t="s">
        <v>2304</v>
      </c>
      <c r="C194" s="1614"/>
      <c r="D194" s="1611" t="s">
        <v>2310</v>
      </c>
      <c r="E194" s="382"/>
      <c r="F194" s="1291">
        <v>0.02</v>
      </c>
      <c r="G194" s="1291" t="s">
        <v>2311</v>
      </c>
      <c r="H194" s="1291">
        <v>0.03</v>
      </c>
      <c r="I194" s="1291" t="s">
        <v>2312</v>
      </c>
      <c r="J194" s="1292">
        <v>2.5000000000000001E-2</v>
      </c>
      <c r="K194" s="1291" t="s">
        <v>2312</v>
      </c>
      <c r="L194" s="1291">
        <v>0.35</v>
      </c>
      <c r="M194" s="1291" t="s">
        <v>2306</v>
      </c>
      <c r="N194" s="332"/>
      <c r="O194" s="332"/>
      <c r="P194" s="337"/>
      <c r="Q194" s="332"/>
      <c r="R194" s="332"/>
      <c r="S194" s="332"/>
      <c r="T194" s="332"/>
      <c r="U194" s="332"/>
      <c r="V194" s="332"/>
      <c r="W194" s="332"/>
      <c r="X194" s="332"/>
      <c r="Y194" s="332"/>
      <c r="Z194" s="344"/>
      <c r="AA194" s="344"/>
      <c r="AB194" s="332"/>
      <c r="AL194" s="344"/>
    </row>
    <row r="195" spans="1:38" s="334" customFormat="1" ht="14">
      <c r="A195" s="332"/>
      <c r="B195" s="1613" t="s">
        <v>2313</v>
      </c>
      <c r="C195" s="1614"/>
      <c r="D195" s="1612" t="s">
        <v>2565</v>
      </c>
      <c r="E195" s="382"/>
      <c r="F195" s="1291">
        <v>0.05</v>
      </c>
      <c r="G195" s="1291" t="s">
        <v>2308</v>
      </c>
      <c r="H195" s="1291">
        <v>0.1</v>
      </c>
      <c r="I195" s="1291" t="s">
        <v>2314</v>
      </c>
      <c r="J195" s="1292">
        <v>6.5000000000000002E-2</v>
      </c>
      <c r="K195" s="1291" t="s">
        <v>2315</v>
      </c>
      <c r="L195" s="1291">
        <v>0.17</v>
      </c>
      <c r="M195" s="1291" t="s">
        <v>2316</v>
      </c>
      <c r="N195" s="332"/>
      <c r="O195" s="332"/>
      <c r="P195" s="337"/>
      <c r="Q195" s="332"/>
      <c r="R195" s="332"/>
      <c r="S195" s="332"/>
      <c r="T195" s="332"/>
      <c r="U195" s="332"/>
      <c r="V195" s="332"/>
      <c r="W195" s="332"/>
      <c r="X195" s="332"/>
      <c r="Y195" s="332"/>
      <c r="Z195" s="344"/>
      <c r="AA195" s="344"/>
      <c r="AB195" s="332"/>
      <c r="AL195" s="344"/>
    </row>
    <row r="196" spans="1:38" s="334" customFormat="1" ht="15" customHeight="1">
      <c r="A196" s="332"/>
      <c r="B196" s="1616" t="s">
        <v>2317</v>
      </c>
      <c r="C196" s="1617"/>
      <c r="D196" s="1616" t="s">
        <v>2318</v>
      </c>
      <c r="E196" s="1618"/>
      <c r="F196" s="1291">
        <v>0.06</v>
      </c>
      <c r="G196" s="1291" t="s">
        <v>2315</v>
      </c>
      <c r="H196" s="1291">
        <v>0.185</v>
      </c>
      <c r="I196" s="1291" t="s">
        <v>2319</v>
      </c>
      <c r="J196" s="1292">
        <v>8.5000000000000006E-2</v>
      </c>
      <c r="K196" s="1291" t="s">
        <v>2320</v>
      </c>
      <c r="L196" s="1291">
        <v>0.4</v>
      </c>
      <c r="M196" s="1291" t="s">
        <v>2321</v>
      </c>
      <c r="N196" s="332"/>
      <c r="O196" s="332"/>
      <c r="P196" s="337"/>
      <c r="Q196" s="332"/>
      <c r="R196" s="332"/>
      <c r="S196" s="332"/>
      <c r="T196" s="332"/>
      <c r="U196" s="332"/>
      <c r="V196" s="332"/>
      <c r="W196" s="332"/>
      <c r="X196" s="332"/>
      <c r="Y196" s="332"/>
      <c r="Z196" s="344"/>
      <c r="AA196" s="344"/>
      <c r="AB196" s="332"/>
      <c r="AL196" s="344"/>
    </row>
    <row r="197" spans="1:38" s="334" customFormat="1" ht="15" customHeight="1">
      <c r="A197" s="332"/>
      <c r="B197" s="2275" t="s">
        <v>2322</v>
      </c>
      <c r="C197" s="2276"/>
      <c r="D197" s="1619"/>
      <c r="E197" s="382"/>
      <c r="F197" s="1615">
        <v>0.05</v>
      </c>
      <c r="G197" s="1291" t="s">
        <v>2308</v>
      </c>
      <c r="H197" s="1291">
        <v>0.09</v>
      </c>
      <c r="I197" s="1291" t="s">
        <v>2323</v>
      </c>
      <c r="J197" s="1292">
        <v>6.5000000000000002E-2</v>
      </c>
      <c r="K197" s="1291" t="s">
        <v>2315</v>
      </c>
      <c r="L197" s="1291">
        <v>0.17</v>
      </c>
      <c r="M197" s="1291" t="s">
        <v>2316</v>
      </c>
      <c r="N197" s="332"/>
      <c r="O197" s="332"/>
      <c r="P197" s="337"/>
      <c r="Q197" s="332"/>
      <c r="R197" s="332"/>
      <c r="S197" s="332"/>
      <c r="T197" s="332"/>
      <c r="U197" s="332"/>
      <c r="V197" s="332"/>
      <c r="W197" s="332"/>
      <c r="X197" s="332"/>
      <c r="Y197" s="332"/>
      <c r="Z197" s="344"/>
      <c r="AA197" s="344"/>
      <c r="AB197" s="332"/>
      <c r="AL197" s="344"/>
    </row>
    <row r="198" spans="1:38" s="334" customFormat="1" ht="15" customHeight="1">
      <c r="A198" s="332"/>
      <c r="B198" s="333"/>
      <c r="C198" s="333"/>
      <c r="D198" s="333"/>
      <c r="E198" s="332"/>
      <c r="F198" s="332"/>
      <c r="G198" s="332"/>
      <c r="H198" s="332"/>
      <c r="I198" s="332"/>
      <c r="J198" s="332"/>
      <c r="K198" s="332"/>
      <c r="L198" s="332"/>
      <c r="M198" s="332"/>
      <c r="N198" s="332"/>
      <c r="O198" s="332"/>
      <c r="P198" s="337"/>
      <c r="Q198" s="332"/>
      <c r="R198" s="332"/>
      <c r="S198" s="332"/>
      <c r="T198" s="332"/>
      <c r="U198" s="332"/>
      <c r="V198" s="332"/>
      <c r="W198" s="332"/>
      <c r="X198" s="332"/>
      <c r="Y198" s="332"/>
      <c r="Z198" s="344"/>
      <c r="AA198" s="344"/>
      <c r="AB198" s="332"/>
      <c r="AL198" s="344"/>
    </row>
    <row r="199" spans="1:38" s="334" customFormat="1" ht="15" customHeight="1">
      <c r="A199" s="332"/>
      <c r="B199" s="1305" t="s">
        <v>2324</v>
      </c>
      <c r="C199" s="1305"/>
      <c r="D199" s="1305"/>
      <c r="E199" s="1305"/>
      <c r="F199" s="1305"/>
      <c r="G199" s="1305"/>
      <c r="H199" s="1305"/>
      <c r="I199" s="332"/>
      <c r="J199" s="332"/>
      <c r="K199" s="332"/>
      <c r="L199" s="332"/>
      <c r="M199" s="332"/>
      <c r="N199" s="332"/>
      <c r="O199" s="332"/>
      <c r="P199" s="337"/>
      <c r="Q199" s="332"/>
      <c r="R199" s="332"/>
      <c r="S199" s="332"/>
      <c r="T199" s="332"/>
      <c r="U199" s="332"/>
      <c r="V199" s="332"/>
      <c r="W199" s="332"/>
      <c r="X199" s="332"/>
      <c r="Y199" s="332"/>
      <c r="Z199" s="344"/>
      <c r="AA199" s="344"/>
      <c r="AB199" s="332"/>
      <c r="AL199" s="344"/>
    </row>
    <row r="200" spans="1:38" s="334" customFormat="1" ht="15" customHeight="1">
      <c r="A200" s="332"/>
      <c r="B200" s="1305" t="s">
        <v>2325</v>
      </c>
      <c r="C200" s="1305"/>
      <c r="D200" s="1305"/>
      <c r="E200" s="1305"/>
      <c r="F200" s="1305"/>
      <c r="G200" s="1305"/>
      <c r="H200" s="1305"/>
      <c r="I200" s="332"/>
      <c r="J200" s="332"/>
      <c r="K200" s="332"/>
      <c r="L200" s="332"/>
      <c r="M200" s="332"/>
      <c r="N200" s="332"/>
      <c r="O200" s="332"/>
      <c r="P200" s="337"/>
      <c r="Q200" s="332"/>
      <c r="R200" s="332"/>
      <c r="S200" s="332"/>
      <c r="T200" s="332"/>
      <c r="U200" s="332"/>
      <c r="V200" s="332"/>
      <c r="W200" s="332"/>
      <c r="X200" s="332"/>
      <c r="Y200" s="332"/>
      <c r="Z200" s="344"/>
      <c r="AA200" s="344"/>
      <c r="AB200" s="332"/>
      <c r="AL200" s="344"/>
    </row>
    <row r="201" spans="1:38" s="334" customFormat="1" ht="15" customHeight="1">
      <c r="A201" s="332"/>
      <c r="B201" s="1305" t="s">
        <v>2326</v>
      </c>
      <c r="C201" s="1305"/>
      <c r="D201" s="1305"/>
      <c r="E201" s="1305"/>
      <c r="F201" s="1305"/>
      <c r="G201" s="1305"/>
      <c r="H201" s="1305"/>
      <c r="I201" s="332"/>
      <c r="J201" s="332"/>
      <c r="K201" s="332"/>
      <c r="L201" s="332"/>
      <c r="M201" s="332"/>
      <c r="N201" s="332"/>
      <c r="O201" s="337"/>
      <c r="P201" s="332"/>
      <c r="Q201" s="332"/>
      <c r="R201" s="332"/>
      <c r="S201" s="332"/>
      <c r="T201" s="332"/>
      <c r="U201" s="332"/>
      <c r="V201" s="332"/>
      <c r="W201" s="332"/>
      <c r="X201" s="332"/>
      <c r="Y201" s="344"/>
      <c r="Z201" s="344"/>
      <c r="AA201" s="332"/>
      <c r="AK201" s="344"/>
    </row>
    <row r="202" spans="1:38" s="334" customFormat="1" ht="14">
      <c r="A202" s="332"/>
      <c r="B202" s="1306" t="s">
        <v>2327</v>
      </c>
      <c r="C202" s="1306"/>
      <c r="D202" s="1307"/>
      <c r="E202" s="1307"/>
      <c r="F202" s="1307"/>
      <c r="G202" s="1307"/>
      <c r="H202" s="1307"/>
      <c r="I202" s="332"/>
      <c r="J202" s="332"/>
      <c r="K202" s="332"/>
      <c r="L202" s="332"/>
      <c r="M202" s="332"/>
      <c r="N202" s="332"/>
      <c r="O202" s="337"/>
      <c r="P202" s="332"/>
      <c r="Q202" s="332"/>
      <c r="R202" s="332"/>
      <c r="S202" s="332"/>
      <c r="T202" s="332"/>
      <c r="U202" s="332"/>
      <c r="V202" s="332"/>
      <c r="W202" s="332"/>
      <c r="X202" s="332"/>
      <c r="Y202" s="344"/>
      <c r="Z202" s="344"/>
      <c r="AA202" s="332"/>
      <c r="AK202" s="344"/>
    </row>
    <row r="203" spans="1:38" s="334" customFormat="1" ht="15" customHeight="1">
      <c r="A203" s="332"/>
      <c r="B203" s="890"/>
      <c r="C203" s="890"/>
      <c r="D203" s="890"/>
      <c r="E203" s="890"/>
      <c r="F203" s="890"/>
      <c r="G203" s="890"/>
      <c r="H203" s="890"/>
      <c r="I203" s="332"/>
      <c r="J203" s="332"/>
      <c r="K203" s="332"/>
      <c r="L203" s="332"/>
      <c r="M203" s="332"/>
      <c r="N203" s="332"/>
      <c r="O203" s="337"/>
      <c r="P203" s="332"/>
      <c r="Q203" s="332"/>
      <c r="R203" s="332"/>
      <c r="S203" s="332"/>
      <c r="T203" s="332"/>
      <c r="U203" s="332"/>
      <c r="V203" s="332"/>
      <c r="W203" s="332"/>
      <c r="X203" s="332"/>
      <c r="Y203" s="344"/>
      <c r="Z203" s="344"/>
      <c r="AA203" s="332"/>
      <c r="AK203" s="344"/>
    </row>
    <row r="204" spans="1:38" s="29" customFormat="1" ht="15" customHeight="1">
      <c r="B204" s="465" t="s">
        <v>2328</v>
      </c>
      <c r="C204" s="229"/>
      <c r="D204" s="229"/>
      <c r="E204" s="230"/>
      <c r="F204" s="229"/>
      <c r="G204" s="229"/>
      <c r="H204" s="465"/>
      <c r="I204" s="232"/>
      <c r="J204" s="232"/>
      <c r="K204" s="30"/>
      <c r="U204" s="234"/>
      <c r="V204" s="234"/>
      <c r="W204" s="234"/>
      <c r="X204" s="234"/>
      <c r="Y204" s="234"/>
    </row>
    <row r="205" spans="1:38" s="29" customFormat="1" ht="15" customHeight="1">
      <c r="B205" s="465"/>
      <c r="C205" s="229"/>
      <c r="D205" s="229"/>
      <c r="E205" s="230"/>
      <c r="F205" s="229"/>
      <c r="G205" s="229"/>
      <c r="H205" s="465"/>
      <c r="I205" s="232"/>
      <c r="J205" s="232"/>
      <c r="K205" s="30"/>
      <c r="U205" s="234"/>
      <c r="V205" s="234"/>
      <c r="W205" s="234"/>
      <c r="X205" s="234"/>
      <c r="Y205" s="234"/>
    </row>
    <row r="206" spans="1:38" s="334" customFormat="1" ht="15" customHeight="1">
      <c r="A206" s="332"/>
      <c r="B206" s="1481" t="s">
        <v>2329</v>
      </c>
      <c r="C206" s="1481" t="s">
        <v>2330</v>
      </c>
      <c r="D206" s="2302" t="s">
        <v>241</v>
      </c>
      <c r="E206" s="2303"/>
      <c r="F206" s="2304"/>
      <c r="G206" s="1481" t="s">
        <v>1168</v>
      </c>
      <c r="H206" s="1218"/>
      <c r="I206" s="332"/>
      <c r="J206" s="332"/>
      <c r="K206" s="332"/>
      <c r="L206" s="332"/>
      <c r="M206" s="332"/>
      <c r="N206" s="332"/>
      <c r="O206" s="337"/>
      <c r="P206" s="332"/>
      <c r="Q206" s="332"/>
      <c r="R206" s="332"/>
      <c r="S206" s="332"/>
      <c r="T206" s="332"/>
      <c r="U206" s="332"/>
      <c r="V206" s="332"/>
      <c r="W206" s="332"/>
      <c r="X206" s="332"/>
      <c r="Y206" s="344"/>
      <c r="Z206" s="344"/>
      <c r="AA206" s="332"/>
      <c r="AK206" s="344"/>
    </row>
    <row r="207" spans="1:38" s="334" customFormat="1" ht="15" customHeight="1">
      <c r="A207" s="332"/>
      <c r="B207" s="2277" t="s">
        <v>2331</v>
      </c>
      <c r="C207" s="1621" t="s">
        <v>2332</v>
      </c>
      <c r="D207" s="1622" t="s">
        <v>2333</v>
      </c>
      <c r="E207" s="1619"/>
      <c r="F207" s="1620"/>
      <c r="G207" s="1631">
        <v>662</v>
      </c>
      <c r="H207" s="332"/>
      <c r="I207" s="332"/>
      <c r="J207" s="332"/>
      <c r="K207" s="332"/>
      <c r="L207" s="332"/>
      <c r="M207" s="332"/>
      <c r="N207" s="332"/>
      <c r="O207" s="337"/>
      <c r="P207" s="332"/>
      <c r="Q207" s="332"/>
      <c r="R207" s="332"/>
      <c r="S207" s="332"/>
      <c r="T207" s="332"/>
      <c r="U207" s="332"/>
      <c r="V207" s="332"/>
      <c r="W207" s="332"/>
      <c r="X207" s="332"/>
      <c r="Y207" s="344"/>
      <c r="Z207" s="344"/>
      <c r="AA207" s="332"/>
      <c r="AK207" s="344"/>
    </row>
    <row r="208" spans="1:38" s="334" customFormat="1" ht="15" customHeight="1">
      <c r="A208" s="332"/>
      <c r="B208" s="2278"/>
      <c r="C208" s="1293" t="s">
        <v>2218</v>
      </c>
      <c r="D208" s="1622" t="s">
        <v>2334</v>
      </c>
      <c r="E208" s="1619"/>
      <c r="F208" s="1620"/>
      <c r="G208" s="1632">
        <v>0.99</v>
      </c>
      <c r="H208" s="332"/>
      <c r="I208" s="332"/>
      <c r="J208" s="332"/>
      <c r="K208" s="332"/>
      <c r="L208" s="332"/>
      <c r="M208" s="332"/>
      <c r="N208" s="332"/>
      <c r="O208" s="337"/>
      <c r="P208" s="332"/>
      <c r="Q208" s="332"/>
      <c r="R208" s="332"/>
      <c r="S208" s="332"/>
      <c r="T208" s="332"/>
      <c r="U208" s="332"/>
      <c r="V208" s="332"/>
      <c r="W208" s="332"/>
      <c r="X208" s="332"/>
      <c r="Y208" s="344"/>
      <c r="Z208" s="344"/>
      <c r="AA208" s="332"/>
      <c r="AK208" s="344"/>
    </row>
    <row r="209" spans="1:37" s="334" customFormat="1" ht="15" customHeight="1">
      <c r="A209" s="332"/>
      <c r="B209" s="2278"/>
      <c r="C209" s="1293">
        <v>365.25</v>
      </c>
      <c r="D209" s="1622" t="s">
        <v>2335</v>
      </c>
      <c r="E209" s="1619"/>
      <c r="F209" s="1620"/>
      <c r="G209" s="1632">
        <v>365.25</v>
      </c>
      <c r="H209" s="332"/>
      <c r="I209" s="332"/>
      <c r="J209" s="332"/>
      <c r="K209" s="332"/>
      <c r="L209" s="332"/>
      <c r="M209" s="332"/>
      <c r="N209" s="332"/>
      <c r="O209" s="337"/>
      <c r="P209" s="332"/>
      <c r="Q209" s="332"/>
      <c r="R209" s="332"/>
      <c r="S209" s="332"/>
      <c r="T209" s="332"/>
      <c r="U209" s="332"/>
      <c r="V209" s="332"/>
      <c r="W209" s="332"/>
      <c r="X209" s="332"/>
      <c r="Y209" s="344"/>
      <c r="Z209" s="344"/>
      <c r="AA209" s="332"/>
      <c r="AK209" s="344"/>
    </row>
    <row r="210" spans="1:37" s="334" customFormat="1" ht="15" customHeight="1">
      <c r="A210" s="332"/>
      <c r="B210" s="2279"/>
      <c r="C210" s="1293" t="s">
        <v>2336</v>
      </c>
      <c r="D210" s="1622" t="s">
        <v>2276</v>
      </c>
      <c r="E210" s="1619"/>
      <c r="F210" s="1620"/>
      <c r="G210" s="1632">
        <f>10^-6</f>
        <v>9.9999999999999995E-7</v>
      </c>
      <c r="H210" s="332"/>
      <c r="I210" s="332"/>
      <c r="J210" s="332"/>
      <c r="K210" s="332"/>
      <c r="L210" s="332"/>
      <c r="M210" s="332"/>
      <c r="N210" s="332"/>
      <c r="O210" s="337"/>
      <c r="P210" s="332"/>
      <c r="Q210" s="332"/>
      <c r="R210" s="332"/>
      <c r="S210" s="332"/>
      <c r="T210" s="332"/>
      <c r="U210" s="332"/>
      <c r="V210" s="332"/>
      <c r="W210" s="332"/>
      <c r="X210" s="332"/>
      <c r="Y210" s="344"/>
      <c r="Z210" s="344"/>
      <c r="AA210" s="332"/>
      <c r="AK210" s="344"/>
    </row>
    <row r="211" spans="1:37" s="334" customFormat="1" ht="15" customHeight="1">
      <c r="A211" s="332"/>
      <c r="B211" s="2258" t="s">
        <v>2337</v>
      </c>
      <c r="C211" s="1294" t="s">
        <v>2338</v>
      </c>
      <c r="D211" s="1622" t="s">
        <v>2339</v>
      </c>
      <c r="E211" s="1619"/>
      <c r="F211" s="1620"/>
      <c r="G211" s="1633">
        <v>1.8081588339222618E-2</v>
      </c>
      <c r="H211" s="332"/>
      <c r="I211" s="332"/>
      <c r="J211" s="332"/>
      <c r="K211" s="332"/>
      <c r="L211" s="332"/>
      <c r="M211" s="332"/>
      <c r="N211" s="332"/>
      <c r="O211" s="337"/>
      <c r="P211" s="332"/>
      <c r="Q211" s="332"/>
      <c r="R211" s="332"/>
      <c r="S211" s="332"/>
      <c r="T211" s="332"/>
      <c r="U211" s="332"/>
      <c r="V211" s="332"/>
      <c r="W211" s="332"/>
      <c r="X211" s="332"/>
      <c r="Y211" s="344"/>
      <c r="Z211" s="344"/>
      <c r="AA211" s="332"/>
      <c r="AK211" s="344"/>
    </row>
    <row r="212" spans="1:37" s="334" customFormat="1" ht="15" customHeight="1">
      <c r="A212" s="332"/>
      <c r="B212" s="2259"/>
      <c r="C212" s="1294" t="s">
        <v>2340</v>
      </c>
      <c r="D212" s="1622" t="s">
        <v>2341</v>
      </c>
      <c r="E212" s="1619"/>
      <c r="F212" s="1620"/>
      <c r="G212" s="1634">
        <v>50.290502051996555</v>
      </c>
      <c r="H212" s="332"/>
      <c r="I212" s="332"/>
      <c r="J212" s="332"/>
      <c r="K212" s="332"/>
      <c r="L212" s="332"/>
      <c r="M212" s="332"/>
      <c r="N212" s="332"/>
      <c r="O212" s="337"/>
      <c r="P212" s="332"/>
      <c r="Q212" s="332"/>
      <c r="R212" s="332"/>
      <c r="S212" s="332"/>
      <c r="T212" s="332"/>
      <c r="U212" s="332"/>
      <c r="V212" s="332"/>
      <c r="W212" s="332"/>
      <c r="X212" s="332"/>
      <c r="Y212" s="344"/>
      <c r="Z212" s="344"/>
      <c r="AA212" s="332"/>
      <c r="AK212" s="344"/>
    </row>
    <row r="213" spans="1:37" s="334" customFormat="1" ht="15" customHeight="1">
      <c r="A213" s="332"/>
      <c r="B213" s="2259"/>
      <c r="C213" s="1294" t="s">
        <v>2220</v>
      </c>
      <c r="D213" s="1622" t="s">
        <v>2221</v>
      </c>
      <c r="E213" s="1619"/>
      <c r="F213" s="1620"/>
      <c r="G213" s="1632">
        <f>365.25</f>
        <v>365.25</v>
      </c>
      <c r="H213" s="332"/>
      <c r="I213" s="332"/>
      <c r="J213" s="332"/>
      <c r="K213" s="332"/>
      <c r="L213" s="332"/>
      <c r="M213" s="332"/>
      <c r="N213" s="332"/>
      <c r="O213" s="337"/>
      <c r="P213" s="332"/>
      <c r="Q213" s="332"/>
      <c r="R213" s="332"/>
      <c r="S213" s="332"/>
      <c r="T213" s="332"/>
      <c r="U213" s="332"/>
      <c r="V213" s="332"/>
      <c r="W213" s="332"/>
      <c r="X213" s="332"/>
      <c r="Y213" s="344"/>
      <c r="Z213" s="344"/>
      <c r="AA213" s="332"/>
      <c r="AK213" s="344"/>
    </row>
    <row r="214" spans="1:37" s="334" customFormat="1" ht="15" customHeight="1">
      <c r="A214" s="332"/>
      <c r="B214" s="2260"/>
      <c r="C214" s="1294" t="s">
        <v>2238</v>
      </c>
      <c r="D214" s="1622" t="s">
        <v>2239</v>
      </c>
      <c r="E214" s="1619"/>
      <c r="F214" s="1620"/>
      <c r="G214" s="1632">
        <f>10^-3</f>
        <v>1E-3</v>
      </c>
      <c r="H214" s="332"/>
      <c r="I214" s="332"/>
      <c r="J214" s="332"/>
      <c r="K214" s="332"/>
      <c r="L214" s="332"/>
      <c r="M214" s="332"/>
      <c r="N214" s="332"/>
      <c r="O214" s="337"/>
      <c r="P214" s="332"/>
      <c r="Q214" s="332"/>
      <c r="R214" s="332"/>
      <c r="S214" s="332"/>
      <c r="T214" s="332"/>
      <c r="U214" s="332"/>
      <c r="V214" s="332"/>
      <c r="W214" s="332"/>
      <c r="X214" s="332"/>
      <c r="Y214" s="344"/>
      <c r="Z214" s="344"/>
      <c r="AA214" s="332"/>
      <c r="AK214" s="344"/>
    </row>
    <row r="215" spans="1:37" s="334" customFormat="1" ht="15" customHeight="1">
      <c r="A215" s="332"/>
      <c r="B215" s="2261" t="s">
        <v>2342</v>
      </c>
      <c r="C215" s="1294" t="s">
        <v>2343</v>
      </c>
      <c r="D215" s="1622" t="s">
        <v>2344</v>
      </c>
      <c r="E215" s="1619"/>
      <c r="F215" s="1620"/>
      <c r="G215" s="1633">
        <v>3.8250947703180209E-2</v>
      </c>
      <c r="H215" s="332"/>
      <c r="I215" s="332"/>
      <c r="J215" s="332"/>
      <c r="K215" s="332"/>
      <c r="L215" s="332"/>
      <c r="M215" s="332"/>
      <c r="N215" s="332"/>
      <c r="O215" s="337"/>
      <c r="P215" s="332"/>
      <c r="Q215" s="332"/>
      <c r="R215" s="332"/>
      <c r="S215" s="332"/>
      <c r="T215" s="332"/>
      <c r="U215" s="332"/>
      <c r="V215" s="332"/>
      <c r="W215" s="332"/>
      <c r="X215" s="332"/>
      <c r="Y215" s="344"/>
      <c r="Z215" s="344"/>
      <c r="AA215" s="332"/>
      <c r="AK215" s="344"/>
    </row>
    <row r="216" spans="1:37" s="334" customFormat="1" ht="15" customHeight="1">
      <c r="A216" s="332"/>
      <c r="B216" s="2262"/>
      <c r="C216" s="1294" t="s">
        <v>2345</v>
      </c>
      <c r="D216" s="1622" t="s">
        <v>2346</v>
      </c>
      <c r="E216" s="1619"/>
      <c r="F216" s="1620"/>
      <c r="G216" s="1633">
        <v>3.0329741154615335E-3</v>
      </c>
      <c r="H216" s="332"/>
      <c r="I216" s="332"/>
      <c r="J216" s="332"/>
      <c r="K216" s="332"/>
      <c r="L216" s="332"/>
      <c r="M216" s="332"/>
      <c r="N216" s="332"/>
      <c r="O216" s="337"/>
      <c r="P216" s="332"/>
      <c r="Q216" s="332"/>
      <c r="R216" s="332"/>
      <c r="S216" s="332"/>
      <c r="T216" s="332"/>
      <c r="U216" s="332"/>
      <c r="V216" s="332"/>
      <c r="W216" s="332"/>
      <c r="X216" s="332"/>
      <c r="Y216" s="344"/>
      <c r="Z216" s="344"/>
      <c r="AA216" s="332"/>
      <c r="AK216" s="344"/>
    </row>
    <row r="217" spans="1:37" s="334" customFormat="1" ht="15" customHeight="1">
      <c r="A217" s="332"/>
      <c r="B217" s="2262"/>
      <c r="C217" s="1293" t="s">
        <v>2220</v>
      </c>
      <c r="D217" s="1622" t="s">
        <v>2221</v>
      </c>
      <c r="E217" s="1619"/>
      <c r="F217" s="1620"/>
      <c r="G217" s="1632">
        <v>365.25</v>
      </c>
      <c r="H217" s="332"/>
      <c r="I217" s="332"/>
      <c r="J217" s="332"/>
      <c r="K217" s="332"/>
      <c r="L217" s="332"/>
      <c r="M217" s="332"/>
      <c r="N217" s="332"/>
      <c r="O217" s="337"/>
      <c r="P217" s="332"/>
      <c r="Q217" s="332"/>
      <c r="R217" s="332"/>
      <c r="S217" s="332"/>
      <c r="T217" s="332"/>
      <c r="U217" s="332"/>
      <c r="V217" s="332"/>
      <c r="W217" s="332"/>
      <c r="X217" s="332"/>
      <c r="Y217" s="344"/>
      <c r="Z217" s="344"/>
      <c r="AA217" s="332"/>
      <c r="AK217" s="344"/>
    </row>
    <row r="218" spans="1:37" s="334" customFormat="1" ht="15" customHeight="1">
      <c r="A218" s="332"/>
      <c r="B218" s="2263"/>
      <c r="C218" s="1295" t="s">
        <v>2347</v>
      </c>
      <c r="D218" s="1622" t="s">
        <v>2239</v>
      </c>
      <c r="E218" s="1619"/>
      <c r="F218" s="1620"/>
      <c r="G218" s="1632">
        <f>10^-3</f>
        <v>1E-3</v>
      </c>
      <c r="H218" s="332"/>
      <c r="I218" s="332"/>
      <c r="J218" s="332"/>
      <c r="K218" s="332"/>
      <c r="L218" s="332"/>
      <c r="M218" s="332"/>
      <c r="N218" s="332"/>
      <c r="O218" s="337"/>
      <c r="P218" s="332"/>
      <c r="Q218" s="332"/>
      <c r="R218" s="332"/>
      <c r="S218" s="332"/>
      <c r="T218" s="332"/>
      <c r="U218" s="332"/>
      <c r="V218" s="332"/>
      <c r="W218" s="332"/>
      <c r="X218" s="332"/>
      <c r="Y218" s="344"/>
      <c r="Z218" s="344"/>
      <c r="AA218" s="332"/>
      <c r="AK218" s="344"/>
    </row>
    <row r="219" spans="1:37" s="334" customFormat="1" ht="15" customHeight="1">
      <c r="A219" s="332"/>
      <c r="B219" s="2264" t="s">
        <v>2348</v>
      </c>
      <c r="C219" s="1293" t="s">
        <v>2349</v>
      </c>
      <c r="D219" s="1622" t="s">
        <v>2573</v>
      </c>
      <c r="E219" s="1619"/>
      <c r="F219" s="1620"/>
      <c r="G219" s="1633">
        <v>3.8250947703180209E-2</v>
      </c>
      <c r="H219" s="1630"/>
      <c r="I219" s="332"/>
      <c r="J219" s="332"/>
      <c r="K219" s="332"/>
      <c r="L219" s="332"/>
      <c r="M219" s="332"/>
      <c r="N219" s="332"/>
      <c r="O219" s="337"/>
      <c r="P219" s="332"/>
      <c r="Q219" s="332"/>
      <c r="R219" s="332"/>
      <c r="S219" s="332"/>
      <c r="T219" s="332"/>
      <c r="U219" s="332"/>
      <c r="V219" s="332"/>
      <c r="W219" s="332"/>
      <c r="X219" s="332"/>
      <c r="Y219" s="344"/>
      <c r="Z219" s="344"/>
      <c r="AA219" s="332"/>
      <c r="AK219" s="344"/>
    </row>
    <row r="220" spans="1:37" s="334" customFormat="1" ht="15" customHeight="1">
      <c r="A220" s="332"/>
      <c r="B220" s="2265"/>
      <c r="C220" s="1293" t="s">
        <v>2350</v>
      </c>
      <c r="D220" s="1622" t="s">
        <v>2351</v>
      </c>
      <c r="E220" s="1619"/>
      <c r="F220" s="1620"/>
      <c r="G220" s="1633">
        <v>5.9711677898148941E-4</v>
      </c>
      <c r="H220" s="332"/>
      <c r="I220" s="332"/>
      <c r="J220" s="332"/>
      <c r="K220" s="332"/>
      <c r="L220" s="332"/>
      <c r="M220" s="332"/>
      <c r="N220" s="332"/>
      <c r="O220" s="337"/>
      <c r="P220" s="332"/>
      <c r="Q220" s="332"/>
      <c r="R220" s="332"/>
      <c r="S220" s="332"/>
      <c r="T220" s="332"/>
      <c r="U220" s="332"/>
      <c r="V220" s="332"/>
      <c r="W220" s="332"/>
      <c r="X220" s="332"/>
      <c r="Y220" s="344"/>
      <c r="Z220" s="344"/>
      <c r="AA220" s="332"/>
      <c r="AK220" s="344"/>
    </row>
    <row r="221" spans="1:37" s="334" customFormat="1" ht="15" customHeight="1">
      <c r="A221" s="332"/>
      <c r="B221" s="2265"/>
      <c r="C221" s="1293" t="s">
        <v>2220</v>
      </c>
      <c r="D221" s="1622" t="s">
        <v>2221</v>
      </c>
      <c r="E221" s="1619"/>
      <c r="F221" s="1620"/>
      <c r="G221" s="1632">
        <v>365.25</v>
      </c>
      <c r="H221" s="332"/>
      <c r="I221" s="332"/>
      <c r="J221" s="332"/>
      <c r="K221" s="332"/>
      <c r="L221" s="332"/>
      <c r="M221" s="332"/>
      <c r="N221" s="332"/>
      <c r="O221" s="337"/>
      <c r="P221" s="332"/>
      <c r="Q221" s="332"/>
      <c r="R221" s="332"/>
      <c r="S221" s="332"/>
      <c r="T221" s="332"/>
      <c r="U221" s="332"/>
      <c r="V221" s="332"/>
      <c r="W221" s="332"/>
      <c r="X221" s="332"/>
      <c r="Y221" s="344"/>
      <c r="Z221" s="344"/>
      <c r="AA221" s="332"/>
      <c r="AK221" s="344"/>
    </row>
    <row r="222" spans="1:37" s="334" customFormat="1" ht="15" customHeight="1">
      <c r="A222" s="332"/>
      <c r="B222" s="2266"/>
      <c r="C222" s="1295" t="s">
        <v>2347</v>
      </c>
      <c r="D222" s="1622" t="s">
        <v>2239</v>
      </c>
      <c r="E222" s="1619"/>
      <c r="F222" s="1620"/>
      <c r="G222" s="1632">
        <v>1E-3</v>
      </c>
      <c r="H222" s="332"/>
      <c r="I222" s="332"/>
      <c r="J222" s="332"/>
      <c r="K222" s="332"/>
      <c r="L222" s="332"/>
      <c r="M222" s="332"/>
      <c r="N222" s="332"/>
      <c r="O222" s="337"/>
      <c r="P222" s="332"/>
      <c r="Q222" s="332"/>
      <c r="R222" s="332"/>
      <c r="S222" s="332"/>
      <c r="T222" s="332"/>
      <c r="U222" s="332"/>
      <c r="V222" s="332"/>
      <c r="W222" s="332"/>
      <c r="X222" s="332"/>
      <c r="Y222" s="344"/>
      <c r="Z222" s="344"/>
      <c r="AA222" s="332"/>
      <c r="AK222" s="344"/>
    </row>
    <row r="223" spans="1:37" s="334" customFormat="1" ht="31" customHeight="1">
      <c r="A223" s="332"/>
      <c r="B223" s="333"/>
      <c r="C223" s="333"/>
      <c r="D223" s="332"/>
      <c r="E223" s="332"/>
      <c r="F223" s="332"/>
      <c r="G223" s="332"/>
      <c r="H223" s="332"/>
      <c r="I223" s="332"/>
      <c r="J223" s="332"/>
      <c r="K223" s="332"/>
      <c r="L223" s="332"/>
      <c r="M223" s="332"/>
      <c r="N223" s="332"/>
      <c r="O223" s="337"/>
      <c r="P223" s="332"/>
      <c r="Q223" s="332"/>
      <c r="R223" s="332"/>
      <c r="S223" s="332"/>
      <c r="T223" s="332"/>
      <c r="U223" s="332"/>
      <c r="V223" s="332"/>
      <c r="W223" s="332"/>
      <c r="X223" s="332"/>
      <c r="Y223" s="344"/>
      <c r="Z223" s="344"/>
      <c r="AA223" s="332"/>
      <c r="AK223" s="344"/>
    </row>
    <row r="224" spans="1:37"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sheetData>
  <mergeCells count="180">
    <mergeCell ref="B123:D123"/>
    <mergeCell ref="B137:B139"/>
    <mergeCell ref="E137:E139"/>
    <mergeCell ref="F137:F139"/>
    <mergeCell ref="G137:G139"/>
    <mergeCell ref="B129:B131"/>
    <mergeCell ref="C129:C131"/>
    <mergeCell ref="D129:D131"/>
    <mergeCell ref="E129:E131"/>
    <mergeCell ref="F129:F131"/>
    <mergeCell ref="G129:G131"/>
    <mergeCell ref="N82:O82"/>
    <mergeCell ref="P82:Q82"/>
    <mergeCell ref="R82:S82"/>
    <mergeCell ref="T82:U82"/>
    <mergeCell ref="V82:W82"/>
    <mergeCell ref="X82:Y82"/>
    <mergeCell ref="X83:Y83"/>
    <mergeCell ref="F102:H104"/>
    <mergeCell ref="I102:J102"/>
    <mergeCell ref="I103:I104"/>
    <mergeCell ref="J103:J104"/>
    <mergeCell ref="B102:C104"/>
    <mergeCell ref="D102:D104"/>
    <mergeCell ref="E102:E104"/>
    <mergeCell ref="F72:G74"/>
    <mergeCell ref="H72:I74"/>
    <mergeCell ref="J72:J74"/>
    <mergeCell ref="K72:K74"/>
    <mergeCell ref="D75:E75"/>
    <mergeCell ref="F75:G75"/>
    <mergeCell ref="D76:E76"/>
    <mergeCell ref="F76:G76"/>
    <mergeCell ref="B82:C82"/>
    <mergeCell ref="D82:E82"/>
    <mergeCell ref="F82:G82"/>
    <mergeCell ref="H82:I82"/>
    <mergeCell ref="J82:K82"/>
    <mergeCell ref="H100:I100"/>
    <mergeCell ref="C56:G56"/>
    <mergeCell ref="O65:O66"/>
    <mergeCell ref="B64:B66"/>
    <mergeCell ref="C64:C66"/>
    <mergeCell ref="D64:E66"/>
    <mergeCell ref="F64:G66"/>
    <mergeCell ref="H64:I66"/>
    <mergeCell ref="J64:K66"/>
    <mergeCell ref="P65:P66"/>
    <mergeCell ref="O64:P64"/>
    <mergeCell ref="L64:N66"/>
    <mergeCell ref="Q52:S52"/>
    <mergeCell ref="Q53:S53"/>
    <mergeCell ref="Q54:S54"/>
    <mergeCell ref="Q55:S55"/>
    <mergeCell ref="Q56:S56"/>
    <mergeCell ref="Q57:S57"/>
    <mergeCell ref="Q58:S58"/>
    <mergeCell ref="J52:N52"/>
    <mergeCell ref="J51:N51"/>
    <mergeCell ref="J53:N53"/>
    <mergeCell ref="N2:O2"/>
    <mergeCell ref="D3:E3"/>
    <mergeCell ref="F3:G3"/>
    <mergeCell ref="H3:I3"/>
    <mergeCell ref="J3:K3"/>
    <mergeCell ref="L3:M3"/>
    <mergeCell ref="J2:K2"/>
    <mergeCell ref="B38:C39"/>
    <mergeCell ref="H22:I23"/>
    <mergeCell ref="H24:I25"/>
    <mergeCell ref="H26:I26"/>
    <mergeCell ref="B2:B3"/>
    <mergeCell ref="C2:C3"/>
    <mergeCell ref="D2:E2"/>
    <mergeCell ref="F2:G2"/>
    <mergeCell ref="H2:I2"/>
    <mergeCell ref="H27:I27"/>
    <mergeCell ref="H28:I28"/>
    <mergeCell ref="H32:I32"/>
    <mergeCell ref="H34:I34"/>
    <mergeCell ref="H29:I29"/>
    <mergeCell ref="H30:I30"/>
    <mergeCell ref="H31:I31"/>
    <mergeCell ref="F26:G26"/>
    <mergeCell ref="D68:E68"/>
    <mergeCell ref="B72:C74"/>
    <mergeCell ref="D72:E74"/>
    <mergeCell ref="B83:C83"/>
    <mergeCell ref="B84:C84"/>
    <mergeCell ref="D84:E84"/>
    <mergeCell ref="D83:E83"/>
    <mergeCell ref="L82:M82"/>
    <mergeCell ref="L2:M2"/>
    <mergeCell ref="F27:G27"/>
    <mergeCell ref="F28:G28"/>
    <mergeCell ref="F29:G29"/>
    <mergeCell ref="F30:G30"/>
    <mergeCell ref="F31:G31"/>
    <mergeCell ref="F32:G32"/>
    <mergeCell ref="L67:M67"/>
    <mergeCell ref="L68:M68"/>
    <mergeCell ref="H67:I67"/>
    <mergeCell ref="F67:G67"/>
    <mergeCell ref="F68:G68"/>
    <mergeCell ref="H68:I68"/>
    <mergeCell ref="H33:I33"/>
    <mergeCell ref="D38:G38"/>
    <mergeCell ref="B41:C41"/>
    <mergeCell ref="H191:I191"/>
    <mergeCell ref="J191:K191"/>
    <mergeCell ref="B168:B172"/>
    <mergeCell ref="B173:B176"/>
    <mergeCell ref="B177:B178"/>
    <mergeCell ref="B179:B182"/>
    <mergeCell ref="D206:F206"/>
    <mergeCell ref="H146:H147"/>
    <mergeCell ref="I146:I147"/>
    <mergeCell ref="F189:M189"/>
    <mergeCell ref="F190:I190"/>
    <mergeCell ref="J190:M190"/>
    <mergeCell ref="L191:M191"/>
    <mergeCell ref="B189:E191"/>
    <mergeCell ref="H154:H155"/>
    <mergeCell ref="I154:I155"/>
    <mergeCell ref="B153:B155"/>
    <mergeCell ref="C153:C155"/>
    <mergeCell ref="D153:D155"/>
    <mergeCell ref="E153:E155"/>
    <mergeCell ref="F153:F155"/>
    <mergeCell ref="G153:G155"/>
    <mergeCell ref="B145:B147"/>
    <mergeCell ref="C145:C147"/>
    <mergeCell ref="H145:I145"/>
    <mergeCell ref="H153:I153"/>
    <mergeCell ref="X119:Y119"/>
    <mergeCell ref="X120:Y120"/>
    <mergeCell ref="X121:Y121"/>
    <mergeCell ref="X115:Y115"/>
    <mergeCell ref="X116:Y116"/>
    <mergeCell ref="X117:Y117"/>
    <mergeCell ref="X118:Y118"/>
    <mergeCell ref="Q118:R118"/>
    <mergeCell ref="Q119:R119"/>
    <mergeCell ref="Q120:R120"/>
    <mergeCell ref="Q121:R121"/>
    <mergeCell ref="J119:K119"/>
    <mergeCell ref="Q115:R115"/>
    <mergeCell ref="Q116:R116"/>
    <mergeCell ref="Q117:R117"/>
    <mergeCell ref="J116:K116"/>
    <mergeCell ref="J117:K117"/>
    <mergeCell ref="J118:K118"/>
    <mergeCell ref="H130:H131"/>
    <mergeCell ref="I130:I131"/>
    <mergeCell ref="J115:L115"/>
    <mergeCell ref="H129:I129"/>
    <mergeCell ref="B211:B214"/>
    <mergeCell ref="B215:B218"/>
    <mergeCell ref="B219:B222"/>
    <mergeCell ref="B22:E23"/>
    <mergeCell ref="F22:G23"/>
    <mergeCell ref="F24:G24"/>
    <mergeCell ref="F25:G25"/>
    <mergeCell ref="F33:G33"/>
    <mergeCell ref="F34:G34"/>
    <mergeCell ref="B197:C197"/>
    <mergeCell ref="B207:B210"/>
    <mergeCell ref="B164:B167"/>
    <mergeCell ref="C137:C139"/>
    <mergeCell ref="D137:D139"/>
    <mergeCell ref="F105:G105"/>
    <mergeCell ref="F106:G106"/>
    <mergeCell ref="B105:C105"/>
    <mergeCell ref="B106:C106"/>
    <mergeCell ref="D145:D147"/>
    <mergeCell ref="E145:E147"/>
    <mergeCell ref="F145:F147"/>
    <mergeCell ref="G145:G147"/>
    <mergeCell ref="F191:G191"/>
    <mergeCell ref="D67:E67"/>
  </mergeCells>
  <dataValidations count="6">
    <dataValidation type="list" allowBlank="1" showInputMessage="1" showErrorMessage="1" errorTitle="INVALID ENTRY" error="You must select a climate zone from the list" promptTitle="Climate zone" prompt="Please select the climate zone for your city" sqref="F32">
      <formula1>WTOOL_Climate_zone</formula1>
    </dataValidation>
    <dataValidation type="list" allowBlank="1" showInputMessage="1" showErrorMessage="1" errorTitle="INVALID" error="You must select a type of landfill from the list" promptTitle="Select landfill type" prompt="Select type of landfill for year of waste deposition" sqref="B76:B77">
      <formula1>WTOOL_Landfill_type</formula1>
    </dataValidation>
    <dataValidation type="list" allowBlank="1" showInputMessage="1" showErrorMessage="1" errorTitle="INVALID ENTRY" error="You must enter value from list" promptTitle="Landfill management level" prompt="Select landfill management level from list" sqref="L68 F106">
      <formula1>WTOOL_oxidation_factor</formula1>
    </dataValidation>
    <dataValidation type="list" allowBlank="1" showInputMessage="1" showErrorMessage="1" errorTitle="INVALID ENTRY" error="You must enter a region from the list" promptTitle="Waste region" prompt="You must enter the region" sqref="F26">
      <formula1>WTOOL_region</formula1>
    </dataValidation>
    <dataValidation type="list" allowBlank="1" showInputMessage="1" showErrorMessage="1" errorTitle="INVALID ENTRY" error="You must select sub-region from list" promptTitle="Waste sub-region" prompt="You must select sub-region from list" sqref="F27">
      <formula1>WTOOL_subregion</formula1>
    </dataValidation>
    <dataValidation type="list" showInputMessage="1" showErrorMessage="1" errorTitle="INVALID ENTRY" error="You must choose one of the accounting methods from the drop down list" promptTitle="Waste accounting method" prompt="You must choose either the first order decay (FOD) or methane commitment method" sqref="F28">
      <formula1>Waste_accountingmethod</formula1>
    </dataValidation>
  </dataValidations>
  <hyperlinks>
    <hyperlink ref="F2" location="'City information'!A1" display="Set-up"/>
    <hyperlink ref="G2" location="'City information'!A1" display="'City information'!A1"/>
    <hyperlink ref="L2" location="Summary!A1" display="Results"/>
    <hyperlink ref="M2" location="Summary!A1" display="Summary!A1"/>
    <hyperlink ref="H2" location="Inventory!A1" display="Inventory"/>
    <hyperlink ref="I2" location="Inventory!A1" display="Inventory!A1"/>
    <hyperlink ref="N2" location="Analysis!A1" display="Analysis"/>
    <hyperlink ref="O2" location="Analysis!A1" display="Analysis!A1"/>
    <hyperlink ref="J2" location="Calculators!A1" display="Calculators"/>
    <hyperlink ref="K2" location="Calculators!A1" display="Calculators!A1"/>
    <hyperlink ref="H3" location="'Biological treatment'!A1" display="Biological treatment"/>
    <hyperlink ref="I3" location="'Biological treatment'!A1" display="'Biological treatment'!A1"/>
    <hyperlink ref="J3" location="Incineration!A1" display="Incineration"/>
    <hyperlink ref="K3" location="Incineration!A1" display="Incineration!A1"/>
    <hyperlink ref="D3" location="'Fugitive gas'!A1" display="Fugitive emissions"/>
    <hyperlink ref="E3" location="'Fugitive gas'!A1" display="'Fugitive gas'!A1"/>
    <hyperlink ref="L3" location="Wastewater!A1" display="Wastewater"/>
    <hyperlink ref="M3" location="Wastewater!A1" display="Wastewater!A1"/>
    <hyperlink ref="D2" location="Home!A1" display="Introduction"/>
    <hyperlink ref="E2" location="Home!A1" display="Home!A1"/>
  </hyperlinks>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theme="4"/>
    <outlinePr summaryBelow="0"/>
    <pageSetUpPr fitToPage="1"/>
  </sheetPr>
  <dimension ref="A1:AS357"/>
  <sheetViews>
    <sheetView showRowColHeaders="0" workbookViewId="0">
      <selection activeCell="D3" sqref="D3:E3"/>
    </sheetView>
  </sheetViews>
  <sheetFormatPr baseColWidth="10" defaultColWidth="0" defaultRowHeight="15" customHeight="1" zeroHeight="1" x14ac:dyDescent="0"/>
  <cols>
    <col min="1" max="1" width="4.83203125" style="31" customWidth="1"/>
    <col min="2" max="2" width="12.83203125" style="3" customWidth="1"/>
    <col min="3" max="8" width="12.83203125" style="4" customWidth="1"/>
    <col min="9" max="11" width="12.83203125" style="2" customWidth="1"/>
    <col min="12" max="15" width="12.83203125" style="31" customWidth="1"/>
    <col min="16" max="16" width="4.83203125" customWidth="1"/>
    <col min="17" max="20" width="10.83203125" style="31" hidden="1" customWidth="1"/>
    <col min="21" max="25" width="10.83203125" style="26" hidden="1" customWidth="1"/>
    <col min="26" max="45" width="10.83203125" style="31" hidden="1" customWidth="1"/>
    <col min="46" max="16384" width="10.83203125" style="1" hidden="1"/>
  </cols>
  <sheetData>
    <row r="1" spans="1:25" s="498" customFormat="1">
      <c r="P1" s="499"/>
      <c r="Q1" s="499"/>
      <c r="R1" s="499"/>
      <c r="S1" s="500"/>
      <c r="T1" s="500"/>
      <c r="U1" s="500"/>
    </row>
    <row r="2" spans="1:25" s="464" customFormat="1" ht="31" customHeight="1">
      <c r="A2" s="494"/>
      <c r="B2" s="1817" t="s">
        <v>1965</v>
      </c>
      <c r="C2" s="1819">
        <v>400</v>
      </c>
      <c r="D2" s="1849" t="s">
        <v>1555</v>
      </c>
      <c r="E2" s="1850"/>
      <c r="F2" s="1849" t="s">
        <v>1563</v>
      </c>
      <c r="G2" s="1850"/>
      <c r="H2" s="1849" t="s">
        <v>794</v>
      </c>
      <c r="I2" s="1850"/>
      <c r="J2" s="1847" t="s">
        <v>1570</v>
      </c>
      <c r="K2" s="1848"/>
      <c r="L2" s="1849" t="s">
        <v>1564</v>
      </c>
      <c r="M2" s="1850"/>
      <c r="N2" s="1849" t="s">
        <v>1602</v>
      </c>
      <c r="O2" s="1850"/>
      <c r="P2" s="494"/>
    </row>
    <row r="3" spans="1:25" s="464" customFormat="1" ht="31" customHeight="1">
      <c r="A3" s="494"/>
      <c r="B3" s="1818"/>
      <c r="C3" s="1820"/>
      <c r="D3" s="1843" t="s">
        <v>1607</v>
      </c>
      <c r="E3" s="1844"/>
      <c r="F3" s="1843" t="s">
        <v>121</v>
      </c>
      <c r="G3" s="1844"/>
      <c r="H3" s="1843" t="s">
        <v>1604</v>
      </c>
      <c r="I3" s="1844"/>
      <c r="J3" s="1843" t="s">
        <v>1605</v>
      </c>
      <c r="K3" s="1844"/>
      <c r="L3" s="1843" t="s">
        <v>775</v>
      </c>
      <c r="M3" s="1844"/>
      <c r="N3" s="496"/>
      <c r="O3" s="496"/>
      <c r="P3" s="494"/>
    </row>
    <row r="4" spans="1:25" s="494" customFormat="1" ht="15" customHeight="1">
      <c r="B4" s="492"/>
      <c r="C4" s="495"/>
      <c r="D4" s="497"/>
      <c r="E4" s="497"/>
      <c r="F4" s="497"/>
      <c r="G4" s="497"/>
      <c r="H4" s="497"/>
      <c r="I4" s="497"/>
      <c r="J4" s="496"/>
      <c r="K4" s="496"/>
      <c r="L4" s="496"/>
      <c r="M4" s="496"/>
      <c r="N4" s="496"/>
      <c r="O4" s="496"/>
    </row>
    <row r="5" spans="1:25" s="31" customFormat="1" ht="31" customHeight="1">
      <c r="B5" s="32"/>
      <c r="C5" s="33"/>
      <c r="D5" s="33"/>
      <c r="E5" s="33"/>
      <c r="F5" s="33"/>
      <c r="G5" s="33"/>
      <c r="H5" s="33"/>
      <c r="I5" s="34"/>
      <c r="J5" s="34"/>
      <c r="K5" s="34"/>
      <c r="U5" s="26"/>
      <c r="V5" s="26"/>
      <c r="W5" s="26"/>
      <c r="X5" s="26"/>
      <c r="Y5" s="26"/>
    </row>
    <row r="6" spans="1:25" s="29" customFormat="1" ht="31" customHeight="1" thickBot="1">
      <c r="A6" s="1192"/>
      <c r="B6" s="491" t="s">
        <v>1606</v>
      </c>
      <c r="C6" s="466"/>
      <c r="D6" s="466"/>
      <c r="E6" s="466"/>
      <c r="F6" s="466"/>
      <c r="G6" s="466"/>
      <c r="H6" s="466"/>
      <c r="I6" s="467"/>
      <c r="J6" s="467"/>
      <c r="K6" s="467"/>
      <c r="L6" s="468"/>
      <c r="M6" s="468"/>
      <c r="N6" s="468"/>
      <c r="O6" s="468"/>
      <c r="U6" s="234"/>
      <c r="V6" s="234"/>
      <c r="W6" s="234"/>
      <c r="X6" s="234"/>
      <c r="Y6" s="234"/>
    </row>
    <row r="7" spans="1:25" s="29" customFormat="1" ht="15" customHeight="1" thickTop="1">
      <c r="B7" s="229"/>
      <c r="C7" s="230"/>
      <c r="D7" s="230"/>
      <c r="E7" s="230"/>
      <c r="F7" s="230"/>
      <c r="G7" s="230"/>
      <c r="H7" s="230"/>
      <c r="I7" s="30"/>
      <c r="J7" s="30"/>
      <c r="K7" s="30"/>
      <c r="U7" s="234"/>
      <c r="V7" s="234"/>
      <c r="W7" s="234"/>
      <c r="X7" s="234"/>
      <c r="Y7" s="234"/>
    </row>
    <row r="8" spans="1:25" s="29" customFormat="1" ht="56" customHeight="1">
      <c r="B8" s="2387" t="s">
        <v>2440</v>
      </c>
      <c r="C8" s="2387"/>
      <c r="D8" s="2387"/>
      <c r="E8" s="2387"/>
      <c r="F8" s="2387"/>
      <c r="G8" s="2387"/>
      <c r="H8" s="2387"/>
      <c r="I8" s="2387"/>
      <c r="J8" s="2387"/>
      <c r="K8" s="2387"/>
      <c r="L8" s="2387"/>
      <c r="M8" s="2387"/>
      <c r="N8" s="2387"/>
      <c r="O8" s="2387"/>
      <c r="U8" s="234"/>
      <c r="V8" s="234"/>
      <c r="W8" s="234"/>
      <c r="X8" s="234"/>
      <c r="Y8" s="234"/>
    </row>
    <row r="9" spans="1:25" s="29" customFormat="1" ht="31" customHeight="1">
      <c r="B9" s="229"/>
      <c r="C9" s="230"/>
      <c r="D9" s="230"/>
      <c r="E9" s="230"/>
      <c r="F9" s="230"/>
      <c r="G9" s="230"/>
      <c r="H9" s="230"/>
      <c r="I9" s="30"/>
      <c r="J9" s="30"/>
      <c r="K9" s="30"/>
      <c r="U9" s="234"/>
      <c r="V9" s="234"/>
      <c r="W9" s="234"/>
      <c r="X9" s="234"/>
      <c r="Y9" s="234"/>
    </row>
    <row r="10" spans="1:25" s="31" customFormat="1" ht="100" customHeight="1">
      <c r="B10" s="2130"/>
      <c r="C10" s="2132"/>
      <c r="D10" s="2058" t="s">
        <v>1603</v>
      </c>
      <c r="E10" s="2059"/>
      <c r="G10" s="2388"/>
      <c r="H10" s="2389"/>
      <c r="I10" s="2056" t="s">
        <v>121</v>
      </c>
      <c r="J10" s="2057"/>
      <c r="L10" s="2130"/>
      <c r="M10" s="2132"/>
      <c r="N10" s="2058" t="s">
        <v>1604</v>
      </c>
      <c r="O10" s="2059"/>
      <c r="P10" s="15"/>
      <c r="U10" s="26"/>
      <c r="V10" s="26"/>
      <c r="W10" s="26"/>
      <c r="X10" s="26"/>
      <c r="Y10" s="26"/>
    </row>
    <row r="11" spans="1:25" s="26" customFormat="1" ht="31" customHeight="1">
      <c r="F11" s="595"/>
      <c r="I11" s="595"/>
      <c r="J11" s="595"/>
      <c r="P11" s="22"/>
    </row>
    <row r="12" spans="1:25" s="31" customFormat="1" ht="100" customHeight="1">
      <c r="B12" s="2388"/>
      <c r="C12" s="2389"/>
      <c r="D12" s="2058" t="s">
        <v>1605</v>
      </c>
      <c r="E12" s="2059"/>
      <c r="G12" s="593"/>
      <c r="H12" s="594"/>
      <c r="I12" s="2058" t="s">
        <v>775</v>
      </c>
      <c r="J12" s="2059"/>
      <c r="L12" s="15"/>
      <c r="M12" s="15"/>
      <c r="N12" s="15"/>
      <c r="O12" s="15"/>
      <c r="P12" s="15"/>
      <c r="U12" s="26"/>
      <c r="V12" s="26"/>
      <c r="W12" s="26"/>
      <c r="X12" s="26"/>
      <c r="Y12" s="26"/>
    </row>
    <row r="13" spans="1:25" s="31" customFormat="1" ht="31" customHeight="1">
      <c r="D13" s="2133"/>
      <c r="E13" s="2134"/>
      <c r="F13" s="33"/>
      <c r="G13" s="33"/>
      <c r="H13" s="33"/>
      <c r="I13" s="2133"/>
      <c r="J13" s="2134"/>
      <c r="K13" s="34"/>
      <c r="L13" s="26"/>
      <c r="M13" s="595"/>
      <c r="N13" s="595"/>
      <c r="O13" s="26"/>
      <c r="P13" s="15"/>
      <c r="U13" s="26"/>
      <c r="V13" s="26"/>
      <c r="W13" s="26"/>
      <c r="X13" s="26"/>
      <c r="Y13" s="26"/>
    </row>
    <row r="14" spans="1:25" s="31" customFormat="1">
      <c r="D14" s="591"/>
      <c r="E14" s="592"/>
      <c r="F14" s="33"/>
      <c r="G14" s="33"/>
      <c r="H14" s="33"/>
      <c r="I14" s="34"/>
      <c r="J14" s="34"/>
      <c r="K14" s="34"/>
      <c r="P14" s="15"/>
      <c r="U14" s="26"/>
      <c r="V14" s="26"/>
      <c r="W14" s="26"/>
      <c r="X14" s="26"/>
      <c r="Y14" s="26"/>
    </row>
    <row r="15" spans="1:25" s="31" customFormat="1">
      <c r="B15" s="32"/>
      <c r="C15" s="33"/>
      <c r="D15" s="33"/>
      <c r="E15" s="33"/>
      <c r="F15" s="33"/>
      <c r="G15" s="33"/>
      <c r="H15" s="33"/>
      <c r="I15" s="34"/>
      <c r="J15" s="34"/>
      <c r="K15" s="34"/>
      <c r="P15" s="15"/>
      <c r="U15" s="26"/>
      <c r="V15" s="26"/>
      <c r="W15" s="26"/>
      <c r="X15" s="26"/>
      <c r="Y15" s="26"/>
    </row>
    <row r="16" spans="1:25" s="31" customFormat="1">
      <c r="B16" s="32"/>
      <c r="C16" s="33"/>
      <c r="D16" s="33"/>
      <c r="E16" s="33"/>
      <c r="F16" s="33"/>
      <c r="G16" s="33"/>
      <c r="H16" s="33"/>
      <c r="I16" s="34"/>
      <c r="J16" s="34"/>
      <c r="K16" s="34"/>
      <c r="P16" s="15"/>
      <c r="U16" s="26"/>
      <c r="V16" s="26"/>
      <c r="W16" s="26"/>
      <c r="X16" s="26"/>
      <c r="Y16" s="26"/>
    </row>
    <row r="17" spans="2:25" s="31" customFormat="1">
      <c r="B17" s="32"/>
      <c r="C17" s="33"/>
      <c r="D17" s="33"/>
      <c r="E17" s="33"/>
      <c r="F17" s="33"/>
      <c r="G17" s="33"/>
      <c r="H17" s="33"/>
      <c r="I17" s="34"/>
      <c r="J17" s="34"/>
      <c r="K17" s="34"/>
      <c r="P17" s="15"/>
      <c r="U17" s="26"/>
      <c r="V17" s="26"/>
      <c r="W17" s="26"/>
      <c r="X17" s="26"/>
      <c r="Y17" s="26"/>
    </row>
    <row r="18" spans="2:25" s="31" customFormat="1">
      <c r="B18" s="32"/>
      <c r="C18" s="33"/>
      <c r="D18" s="33"/>
      <c r="E18" s="33"/>
      <c r="F18" s="33"/>
      <c r="G18" s="33"/>
      <c r="H18" s="33"/>
      <c r="I18" s="34"/>
      <c r="J18" s="34"/>
      <c r="K18" s="34"/>
      <c r="P18" s="15"/>
      <c r="U18" s="26"/>
      <c r="V18" s="26"/>
      <c r="W18" s="26"/>
      <c r="X18" s="26"/>
      <c r="Y18" s="26"/>
    </row>
    <row r="19" spans="2:25" s="31" customFormat="1">
      <c r="B19" s="32"/>
      <c r="C19" s="33"/>
      <c r="D19" s="33"/>
      <c r="E19" s="33"/>
      <c r="F19" s="33"/>
      <c r="G19" s="33"/>
      <c r="H19" s="33"/>
      <c r="I19" s="34"/>
      <c r="J19" s="34"/>
      <c r="K19" s="34"/>
      <c r="P19" s="15"/>
      <c r="U19" s="26"/>
      <c r="V19" s="26"/>
      <c r="W19" s="26"/>
      <c r="X19" s="26"/>
      <c r="Y19" s="26"/>
    </row>
    <row r="20" spans="2:25" s="31" customFormat="1">
      <c r="B20" s="32"/>
      <c r="C20" s="33"/>
      <c r="D20" s="33"/>
      <c r="E20" s="33"/>
      <c r="F20" s="33"/>
      <c r="G20" s="33"/>
      <c r="H20" s="33"/>
      <c r="I20" s="34"/>
      <c r="J20" s="34"/>
      <c r="K20" s="34"/>
      <c r="P20" s="15"/>
      <c r="U20" s="26"/>
      <c r="V20" s="26"/>
      <c r="W20" s="26"/>
      <c r="X20" s="26"/>
      <c r="Y20" s="26"/>
    </row>
    <row r="21" spans="2:25" s="31" customFormat="1">
      <c r="B21" s="32"/>
      <c r="C21" s="33"/>
      <c r="D21" s="33"/>
      <c r="E21" s="33"/>
      <c r="F21" s="33"/>
      <c r="G21" s="33"/>
      <c r="H21" s="33"/>
      <c r="I21" s="34"/>
      <c r="J21" s="34"/>
      <c r="K21" s="34"/>
      <c r="P21" s="15"/>
      <c r="U21" s="26"/>
      <c r="V21" s="26"/>
      <c r="W21" s="26"/>
      <c r="X21" s="26"/>
      <c r="Y21" s="26"/>
    </row>
    <row r="22" spans="2:25" s="31" customFormat="1">
      <c r="B22" s="32"/>
      <c r="C22" s="33"/>
      <c r="D22" s="33"/>
      <c r="E22" s="33"/>
      <c r="F22" s="33"/>
      <c r="G22" s="33"/>
      <c r="H22" s="33"/>
      <c r="I22" s="34"/>
      <c r="J22" s="34"/>
      <c r="K22" s="34"/>
      <c r="P22" s="15"/>
      <c r="U22" s="26"/>
      <c r="V22" s="26"/>
      <c r="W22" s="26"/>
      <c r="X22" s="26"/>
      <c r="Y22" s="26"/>
    </row>
    <row r="23" spans="2:25" s="31" customFormat="1">
      <c r="B23" s="32"/>
      <c r="C23" s="33"/>
      <c r="D23" s="33"/>
      <c r="E23" s="33"/>
      <c r="F23" s="33"/>
      <c r="G23" s="33"/>
      <c r="H23" s="33"/>
      <c r="I23" s="34"/>
      <c r="J23" s="34"/>
      <c r="K23" s="34"/>
      <c r="P23" s="15"/>
      <c r="U23" s="26"/>
      <c r="V23" s="26"/>
      <c r="W23" s="26"/>
      <c r="X23" s="26"/>
      <c r="Y23" s="26"/>
    </row>
    <row r="24" spans="2:25" s="31" customFormat="1">
      <c r="B24" s="32"/>
      <c r="C24" s="33"/>
      <c r="D24" s="33"/>
      <c r="E24" s="33"/>
      <c r="F24" s="33"/>
      <c r="G24" s="33"/>
      <c r="H24" s="33"/>
      <c r="I24" s="34"/>
      <c r="J24" s="34"/>
      <c r="K24" s="34"/>
      <c r="P24" s="15"/>
      <c r="U24" s="26"/>
      <c r="V24" s="26"/>
      <c r="W24" s="26"/>
      <c r="X24" s="26"/>
      <c r="Y24" s="26"/>
    </row>
    <row r="25" spans="2:25" s="31" customFormat="1">
      <c r="B25" s="32"/>
      <c r="C25" s="33"/>
      <c r="D25" s="33"/>
      <c r="E25" s="33"/>
      <c r="F25" s="33"/>
      <c r="G25" s="33"/>
      <c r="H25" s="33"/>
      <c r="I25" s="34"/>
      <c r="J25" s="34"/>
      <c r="K25" s="34"/>
      <c r="P25" s="15"/>
      <c r="U25" s="26"/>
      <c r="V25" s="26"/>
      <c r="W25" s="26"/>
      <c r="X25" s="26"/>
      <c r="Y25" s="26"/>
    </row>
    <row r="26" spans="2:25" s="31" customFormat="1">
      <c r="B26" s="32"/>
      <c r="C26" s="33"/>
      <c r="D26" s="33"/>
      <c r="E26" s="33"/>
      <c r="F26" s="33"/>
      <c r="G26" s="33"/>
      <c r="H26" s="33"/>
      <c r="I26" s="34"/>
      <c r="J26" s="34"/>
      <c r="K26" s="34"/>
      <c r="P26" s="15"/>
      <c r="U26" s="26"/>
      <c r="V26" s="26"/>
      <c r="W26" s="26"/>
      <c r="X26" s="26"/>
      <c r="Y26" s="26"/>
    </row>
    <row r="27" spans="2:25" s="31" customFormat="1">
      <c r="B27" s="32"/>
      <c r="C27" s="33"/>
      <c r="D27" s="33"/>
      <c r="E27" s="33"/>
      <c r="F27" s="33"/>
      <c r="G27" s="33"/>
      <c r="H27" s="33"/>
      <c r="I27" s="34"/>
      <c r="J27" s="34"/>
      <c r="K27" s="34"/>
      <c r="P27" s="15"/>
      <c r="U27" s="26"/>
      <c r="V27" s="26"/>
      <c r="W27" s="26"/>
      <c r="X27" s="26"/>
      <c r="Y27" s="26"/>
    </row>
    <row r="28" spans="2:25" s="31" customFormat="1">
      <c r="B28" s="32"/>
      <c r="C28" s="33"/>
      <c r="D28" s="33"/>
      <c r="E28" s="33"/>
      <c r="F28" s="33"/>
      <c r="G28" s="33"/>
      <c r="H28" s="33"/>
      <c r="I28" s="34"/>
      <c r="J28" s="34"/>
      <c r="K28" s="34"/>
      <c r="P28" s="15"/>
      <c r="U28" s="26"/>
      <c r="V28" s="26"/>
      <c r="W28" s="26"/>
      <c r="X28" s="26"/>
      <c r="Y28" s="26"/>
    </row>
    <row r="29" spans="2:25" s="31" customFormat="1">
      <c r="B29" s="32"/>
      <c r="C29" s="33"/>
      <c r="D29" s="33"/>
      <c r="E29" s="33"/>
      <c r="F29" s="33"/>
      <c r="G29" s="33"/>
      <c r="H29" s="33"/>
      <c r="I29" s="34"/>
      <c r="J29" s="34"/>
      <c r="K29" s="34"/>
      <c r="P29" s="15"/>
      <c r="U29" s="26"/>
      <c r="V29" s="26"/>
      <c r="W29" s="26"/>
      <c r="X29" s="26"/>
      <c r="Y29" s="26"/>
    </row>
    <row r="30" spans="2:25" s="31" customFormat="1">
      <c r="B30" s="32"/>
      <c r="C30" s="33"/>
      <c r="D30" s="33"/>
      <c r="E30" s="33"/>
      <c r="F30" s="33"/>
      <c r="G30" s="33"/>
      <c r="H30" s="33"/>
      <c r="I30" s="34"/>
      <c r="J30" s="34"/>
      <c r="K30" s="34"/>
      <c r="U30" s="26"/>
      <c r="V30" s="26"/>
      <c r="W30" s="26"/>
      <c r="X30" s="26"/>
      <c r="Y30" s="26"/>
    </row>
    <row r="31" spans="2:25" s="31" customFormat="1">
      <c r="B31" s="32"/>
      <c r="C31" s="33"/>
      <c r="D31" s="33"/>
      <c r="E31" s="33"/>
      <c r="F31" s="33"/>
      <c r="G31" s="33"/>
      <c r="H31" s="33"/>
      <c r="I31" s="34"/>
      <c r="J31" s="34"/>
      <c r="K31" s="34"/>
      <c r="U31" s="26"/>
      <c r="V31" s="26"/>
      <c r="W31" s="26"/>
      <c r="X31" s="26"/>
      <c r="Y31" s="26"/>
    </row>
    <row r="32" spans="2:25" s="31" customFormat="1">
      <c r="B32" s="32"/>
      <c r="C32" s="33"/>
      <c r="D32" s="33"/>
      <c r="E32" s="33"/>
      <c r="F32" s="33"/>
      <c r="G32" s="33"/>
      <c r="H32" s="33"/>
      <c r="I32" s="34"/>
      <c r="J32" s="34"/>
      <c r="K32" s="34"/>
      <c r="U32" s="26"/>
      <c r="V32" s="26"/>
      <c r="W32" s="26"/>
      <c r="X32" s="26"/>
      <c r="Y32" s="26"/>
    </row>
    <row r="33" spans="2:25" s="31" customFormat="1">
      <c r="B33" s="32"/>
      <c r="C33" s="33"/>
      <c r="D33" s="33"/>
      <c r="E33" s="33"/>
      <c r="F33" s="33"/>
      <c r="G33" s="33"/>
      <c r="H33" s="33"/>
      <c r="I33" s="34"/>
      <c r="J33" s="34"/>
      <c r="K33" s="34"/>
      <c r="U33" s="26"/>
      <c r="V33" s="26"/>
      <c r="W33" s="26"/>
      <c r="X33" s="26"/>
      <c r="Y33" s="26"/>
    </row>
    <row r="34" spans="2:25" s="31" customFormat="1">
      <c r="B34" s="32"/>
      <c r="C34" s="33"/>
      <c r="D34" s="33"/>
      <c r="E34" s="33"/>
      <c r="F34" s="33"/>
      <c r="G34" s="33"/>
      <c r="H34" s="33"/>
      <c r="I34" s="34"/>
      <c r="J34" s="34"/>
      <c r="K34" s="34"/>
      <c r="U34" s="26"/>
      <c r="V34" s="26"/>
      <c r="W34" s="26"/>
      <c r="X34" s="26"/>
      <c r="Y34" s="26"/>
    </row>
    <row r="35" spans="2:25" s="229" customFormat="1" ht="18">
      <c r="U35" s="237"/>
      <c r="V35" s="237"/>
      <c r="W35" s="237"/>
      <c r="X35" s="237"/>
      <c r="Y35" s="237"/>
    </row>
    <row r="36" spans="2:25" s="31" customFormat="1">
      <c r="U36" s="26"/>
      <c r="V36" s="26"/>
      <c r="W36" s="26"/>
      <c r="X36" s="26"/>
      <c r="Y36" s="26"/>
    </row>
    <row r="37" spans="2:25" s="31" customFormat="1" ht="15" customHeight="1">
      <c r="U37" s="26"/>
      <c r="V37" s="26"/>
      <c r="W37" s="26"/>
      <c r="X37" s="26"/>
      <c r="Y37" s="26"/>
    </row>
    <row r="38" spans="2:25" s="31" customFormat="1">
      <c r="U38" s="26"/>
      <c r="V38" s="26"/>
      <c r="W38" s="26"/>
      <c r="X38" s="26"/>
      <c r="Y38" s="26"/>
    </row>
    <row r="39" spans="2:25" s="31" customFormat="1">
      <c r="U39" s="26"/>
      <c r="V39" s="26"/>
      <c r="W39" s="26"/>
      <c r="X39" s="26"/>
      <c r="Y39" s="26"/>
    </row>
    <row r="40" spans="2:25" s="31" customFormat="1">
      <c r="U40" s="26"/>
      <c r="V40" s="26"/>
      <c r="W40" s="26"/>
      <c r="X40" s="26"/>
      <c r="Y40" s="26"/>
    </row>
    <row r="41" spans="2:25" s="31" customFormat="1">
      <c r="U41" s="26"/>
      <c r="V41" s="26"/>
      <c r="W41" s="26"/>
      <c r="X41" s="26"/>
      <c r="Y41" s="26"/>
    </row>
    <row r="42" spans="2:25" s="31" customFormat="1">
      <c r="U42" s="26"/>
      <c r="V42" s="26"/>
      <c r="W42" s="26"/>
      <c r="X42" s="26"/>
      <c r="Y42" s="26"/>
    </row>
    <row r="43" spans="2:25" s="31" customFormat="1">
      <c r="U43" s="26"/>
      <c r="V43" s="26"/>
      <c r="W43" s="26"/>
      <c r="X43" s="26"/>
      <c r="Y43" s="26"/>
    </row>
    <row r="44" spans="2:25" s="31" customFormat="1">
      <c r="U44" s="26"/>
      <c r="V44" s="26"/>
      <c r="W44" s="26"/>
      <c r="X44" s="26"/>
      <c r="Y44" s="26"/>
    </row>
    <row r="45" spans="2:25" s="31" customFormat="1">
      <c r="B45" s="32"/>
      <c r="C45" s="33"/>
      <c r="D45" s="33"/>
      <c r="E45" s="33"/>
      <c r="F45" s="33"/>
      <c r="G45" s="33"/>
      <c r="H45" s="33"/>
      <c r="I45" s="34"/>
      <c r="J45" s="34"/>
      <c r="K45" s="34"/>
      <c r="U45" s="26"/>
      <c r="V45" s="26"/>
      <c r="W45" s="26"/>
      <c r="X45" s="26"/>
      <c r="Y45" s="26"/>
    </row>
    <row r="46" spans="2:25" s="31" customFormat="1">
      <c r="U46" s="26"/>
      <c r="V46" s="26"/>
      <c r="W46" s="26"/>
      <c r="X46" s="26"/>
      <c r="Y46" s="26"/>
    </row>
    <row r="47" spans="2:25" s="31" customFormat="1">
      <c r="U47" s="26"/>
      <c r="V47" s="26"/>
      <c r="W47" s="26"/>
      <c r="X47" s="26"/>
      <c r="Y47" s="26"/>
    </row>
    <row r="48" spans="2:25" s="31" customFormat="1">
      <c r="U48" s="26"/>
      <c r="V48" s="26"/>
      <c r="W48" s="26"/>
      <c r="X48" s="26"/>
      <c r="Y48" s="26"/>
    </row>
    <row r="49" spans="2:25" s="31" customFormat="1">
      <c r="U49" s="26"/>
      <c r="V49" s="26"/>
      <c r="W49" s="26"/>
      <c r="X49" s="26"/>
      <c r="Y49" s="26"/>
    </row>
    <row r="50" spans="2:25" s="31" customFormat="1">
      <c r="U50" s="26"/>
      <c r="V50" s="26"/>
      <c r="W50" s="26"/>
      <c r="X50" s="26"/>
      <c r="Y50" s="26"/>
    </row>
    <row r="51" spans="2:25" s="31" customFormat="1">
      <c r="B51" s="32"/>
      <c r="C51" s="33"/>
      <c r="D51" s="33"/>
      <c r="E51" s="33"/>
      <c r="F51" s="33"/>
      <c r="G51" s="33"/>
      <c r="H51" s="33"/>
      <c r="I51" s="34"/>
      <c r="J51" s="34"/>
      <c r="K51" s="34"/>
      <c r="U51" s="26"/>
      <c r="V51" s="26"/>
      <c r="W51" s="26"/>
      <c r="X51" s="26"/>
      <c r="Y51" s="26"/>
    </row>
    <row r="52" spans="2:25" s="31" customFormat="1">
      <c r="B52" s="32"/>
      <c r="C52" s="33"/>
      <c r="D52" s="33"/>
      <c r="E52" s="33"/>
      <c r="F52" s="33"/>
      <c r="G52" s="33"/>
      <c r="H52" s="33"/>
      <c r="I52" s="34"/>
      <c r="J52" s="34"/>
      <c r="K52" s="34"/>
      <c r="U52" s="26"/>
      <c r="V52" s="26"/>
      <c r="W52" s="26"/>
      <c r="X52" s="26"/>
      <c r="Y52" s="26"/>
    </row>
    <row r="53" spans="2:25" s="31" customFormat="1">
      <c r="B53" s="32"/>
      <c r="C53" s="33"/>
      <c r="D53" s="33"/>
      <c r="E53" s="33"/>
      <c r="F53" s="33"/>
      <c r="G53" s="33"/>
      <c r="H53" s="33"/>
      <c r="I53" s="34"/>
      <c r="J53" s="34"/>
      <c r="K53" s="34"/>
      <c r="U53" s="26"/>
      <c r="V53" s="26"/>
      <c r="W53" s="26"/>
      <c r="X53" s="26"/>
      <c r="Y53" s="26"/>
    </row>
    <row r="54" spans="2:25" s="31" customFormat="1">
      <c r="B54" s="32"/>
      <c r="C54" s="33"/>
      <c r="D54" s="33"/>
      <c r="E54" s="33"/>
      <c r="F54" s="33"/>
      <c r="G54" s="33"/>
      <c r="H54" s="33"/>
      <c r="I54" s="34"/>
      <c r="J54" s="34"/>
      <c r="K54" s="34"/>
      <c r="U54" s="26"/>
      <c r="V54" s="26"/>
      <c r="W54" s="26"/>
      <c r="X54" s="26"/>
      <c r="Y54" s="26"/>
    </row>
    <row r="55" spans="2:25" s="31" customFormat="1">
      <c r="B55" s="32"/>
      <c r="C55" s="33"/>
      <c r="D55" s="33"/>
      <c r="E55" s="33"/>
      <c r="F55" s="33"/>
      <c r="G55" s="33"/>
      <c r="H55" s="33"/>
      <c r="I55" s="34"/>
      <c r="J55" s="34"/>
      <c r="K55" s="34"/>
      <c r="U55" s="26"/>
      <c r="V55" s="26"/>
      <c r="W55" s="26"/>
      <c r="X55" s="26"/>
      <c r="Y55" s="26"/>
    </row>
    <row r="56" spans="2:25" s="31" customFormat="1">
      <c r="B56" s="32"/>
      <c r="C56" s="33"/>
      <c r="D56" s="33"/>
      <c r="E56" s="33"/>
      <c r="F56" s="33"/>
      <c r="G56" s="33"/>
      <c r="H56" s="33"/>
      <c r="I56" s="34"/>
      <c r="J56" s="34"/>
      <c r="K56" s="34"/>
      <c r="U56" s="26"/>
      <c r="V56" s="26"/>
      <c r="W56" s="26"/>
      <c r="X56" s="26"/>
      <c r="Y56" s="26"/>
    </row>
    <row r="57" spans="2:25" s="31" customFormat="1">
      <c r="B57" s="32"/>
      <c r="C57" s="33"/>
      <c r="D57" s="33"/>
      <c r="E57" s="33"/>
      <c r="F57" s="33"/>
      <c r="G57" s="33"/>
      <c r="H57" s="33"/>
      <c r="I57" s="34"/>
      <c r="J57" s="34"/>
      <c r="K57" s="34"/>
      <c r="U57" s="26"/>
      <c r="V57" s="26"/>
      <c r="W57" s="26"/>
      <c r="X57" s="26"/>
      <c r="Y57" s="26"/>
    </row>
    <row r="58" spans="2:25" s="31" customFormat="1">
      <c r="B58" s="32"/>
      <c r="C58" s="33"/>
      <c r="D58" s="33"/>
      <c r="E58" s="33"/>
      <c r="F58" s="33"/>
      <c r="G58" s="33"/>
      <c r="H58" s="33"/>
      <c r="I58" s="34"/>
      <c r="J58" s="34"/>
      <c r="K58" s="34"/>
      <c r="U58" s="26"/>
      <c r="V58" s="26"/>
      <c r="W58" s="26"/>
      <c r="X58" s="26"/>
      <c r="Y58" s="26"/>
    </row>
    <row r="59" spans="2:25" s="31" customFormat="1">
      <c r="B59" s="32"/>
      <c r="C59" s="33"/>
      <c r="D59" s="33"/>
      <c r="E59" s="33"/>
      <c r="F59" s="33"/>
      <c r="G59" s="33"/>
      <c r="H59" s="33"/>
      <c r="I59" s="34"/>
      <c r="J59" s="34"/>
      <c r="K59" s="34"/>
      <c r="U59" s="26"/>
      <c r="V59" s="26"/>
      <c r="W59" s="26"/>
      <c r="X59" s="26"/>
      <c r="Y59" s="26"/>
    </row>
    <row r="60" spans="2:25" s="31" customFormat="1">
      <c r="B60" s="32"/>
      <c r="C60" s="33"/>
      <c r="D60" s="33"/>
      <c r="E60" s="33"/>
      <c r="F60" s="33"/>
      <c r="G60" s="33"/>
      <c r="H60" s="33"/>
      <c r="I60" s="34"/>
      <c r="J60" s="34"/>
      <c r="K60" s="34"/>
      <c r="U60" s="26"/>
      <c r="V60" s="26"/>
      <c r="W60" s="26"/>
      <c r="X60" s="26"/>
      <c r="Y60" s="26"/>
    </row>
    <row r="61" spans="2:25" s="31" customFormat="1">
      <c r="B61" s="32"/>
      <c r="C61" s="33"/>
      <c r="D61" s="33"/>
      <c r="E61" s="33"/>
      <c r="F61" s="33"/>
      <c r="G61" s="33"/>
      <c r="H61" s="33"/>
      <c r="I61" s="34"/>
      <c r="J61" s="34"/>
      <c r="K61" s="34"/>
      <c r="U61" s="26"/>
      <c r="V61" s="26"/>
      <c r="W61" s="26"/>
      <c r="X61" s="26"/>
      <c r="Y61" s="26"/>
    </row>
    <row r="62" spans="2:25" s="31" customFormat="1">
      <c r="B62" s="32"/>
      <c r="C62" s="33"/>
      <c r="D62" s="33"/>
      <c r="E62" s="33"/>
      <c r="F62" s="33"/>
      <c r="G62" s="33"/>
      <c r="H62" s="33"/>
      <c r="I62" s="34"/>
      <c r="J62" s="34"/>
      <c r="K62" s="34"/>
      <c r="U62" s="26"/>
      <c r="V62" s="26"/>
      <c r="W62" s="26"/>
      <c r="X62" s="26"/>
      <c r="Y62" s="26"/>
    </row>
    <row r="63" spans="2:25" s="31" customFormat="1">
      <c r="B63" s="32"/>
      <c r="C63" s="33"/>
      <c r="D63" s="33"/>
      <c r="E63" s="33"/>
      <c r="F63" s="33"/>
      <c r="G63" s="33"/>
      <c r="H63" s="33"/>
      <c r="I63" s="34"/>
      <c r="J63" s="34"/>
      <c r="K63" s="34"/>
      <c r="U63" s="26"/>
      <c r="V63" s="26"/>
      <c r="W63" s="26"/>
      <c r="X63" s="26"/>
      <c r="Y63" s="26"/>
    </row>
    <row r="64" spans="2:25" s="31" customFormat="1">
      <c r="B64" s="32"/>
      <c r="C64" s="33"/>
      <c r="D64" s="33"/>
      <c r="E64" s="33"/>
      <c r="F64" s="33"/>
      <c r="G64" s="33"/>
      <c r="H64" s="33"/>
      <c r="I64" s="34"/>
      <c r="J64" s="34"/>
      <c r="K64" s="34"/>
      <c r="U64" s="26"/>
      <c r="V64" s="26"/>
      <c r="W64" s="26"/>
      <c r="X64" s="26"/>
      <c r="Y64" s="26"/>
    </row>
    <row r="65" spans="2:25" s="31" customFormat="1">
      <c r="B65" s="32"/>
      <c r="C65" s="33"/>
      <c r="D65" s="33"/>
      <c r="E65" s="33"/>
      <c r="F65" s="33"/>
      <c r="G65" s="33"/>
      <c r="H65" s="33"/>
      <c r="I65" s="34"/>
      <c r="J65" s="34"/>
      <c r="K65" s="34"/>
      <c r="U65" s="26"/>
      <c r="V65" s="26"/>
      <c r="W65" s="26"/>
      <c r="X65" s="26"/>
      <c r="Y65" s="26"/>
    </row>
    <row r="66" spans="2:25" s="31" customFormat="1">
      <c r="B66" s="32"/>
      <c r="C66" s="33"/>
      <c r="D66" s="33"/>
      <c r="E66" s="33"/>
      <c r="F66" s="33"/>
      <c r="G66" s="33"/>
      <c r="H66" s="33"/>
      <c r="I66" s="34"/>
      <c r="J66" s="34"/>
      <c r="K66" s="34"/>
      <c r="U66" s="26"/>
      <c r="V66" s="26"/>
      <c r="W66" s="26"/>
      <c r="X66" s="26"/>
      <c r="Y66" s="26"/>
    </row>
    <row r="67" spans="2:25" s="31" customFormat="1">
      <c r="B67" s="32"/>
      <c r="C67" s="33"/>
      <c r="D67" s="33"/>
      <c r="E67" s="33"/>
      <c r="F67" s="33"/>
      <c r="G67" s="33"/>
      <c r="H67" s="33"/>
      <c r="I67" s="34"/>
      <c r="J67" s="34"/>
      <c r="K67" s="34"/>
      <c r="U67" s="26"/>
      <c r="V67" s="26"/>
      <c r="W67" s="26"/>
      <c r="X67" s="26"/>
      <c r="Y67" s="26"/>
    </row>
    <row r="68" spans="2:25" s="31" customFormat="1">
      <c r="B68" s="32"/>
      <c r="C68" s="33"/>
      <c r="D68" s="33"/>
      <c r="E68" s="33"/>
      <c r="F68" s="33"/>
      <c r="G68" s="33"/>
      <c r="H68" s="33"/>
      <c r="I68" s="34"/>
      <c r="J68" s="34"/>
      <c r="K68" s="34"/>
      <c r="U68" s="26"/>
      <c r="V68" s="26"/>
      <c r="W68" s="26"/>
      <c r="X68" s="26"/>
      <c r="Y68" s="26"/>
    </row>
    <row r="69" spans="2:25" s="31" customFormat="1">
      <c r="B69" s="32"/>
      <c r="C69" s="33"/>
      <c r="D69" s="33"/>
      <c r="E69" s="33"/>
      <c r="F69" s="33"/>
      <c r="G69" s="33"/>
      <c r="H69" s="33"/>
      <c r="I69" s="34"/>
      <c r="J69" s="34"/>
      <c r="K69" s="34"/>
      <c r="U69" s="26"/>
      <c r="V69" s="26"/>
      <c r="W69" s="26"/>
      <c r="X69" s="26"/>
      <c r="Y69" s="26"/>
    </row>
    <row r="70" spans="2:25" s="31" customFormat="1">
      <c r="B70" s="32"/>
      <c r="C70" s="33"/>
      <c r="D70" s="33"/>
      <c r="E70" s="33"/>
      <c r="F70" s="33"/>
      <c r="G70" s="33"/>
      <c r="H70" s="33"/>
      <c r="I70" s="34"/>
      <c r="J70" s="34"/>
      <c r="K70" s="34"/>
      <c r="U70" s="26"/>
      <c r="V70" s="26"/>
      <c r="W70" s="26"/>
      <c r="X70" s="26"/>
      <c r="Y70" s="26"/>
    </row>
    <row r="71" spans="2:25" s="31" customFormat="1">
      <c r="B71" s="32"/>
      <c r="C71" s="33"/>
      <c r="D71" s="33"/>
      <c r="E71" s="33"/>
      <c r="F71" s="33"/>
      <c r="G71" s="33"/>
      <c r="H71" s="33"/>
      <c r="I71" s="34"/>
      <c r="J71" s="34"/>
      <c r="K71" s="34"/>
      <c r="U71" s="26"/>
      <c r="V71" s="26"/>
      <c r="W71" s="26"/>
      <c r="X71" s="26"/>
      <c r="Y71" s="26"/>
    </row>
    <row r="72" spans="2:25" s="31" customFormat="1">
      <c r="B72" s="32"/>
      <c r="C72" s="33"/>
      <c r="D72" s="33"/>
      <c r="E72" s="33"/>
      <c r="F72" s="33"/>
      <c r="G72" s="33"/>
      <c r="H72" s="33"/>
      <c r="I72" s="34"/>
      <c r="J72" s="34"/>
      <c r="K72" s="34"/>
      <c r="U72" s="26"/>
      <c r="V72" s="26"/>
      <c r="W72" s="26"/>
      <c r="X72" s="26"/>
      <c r="Y72" s="26"/>
    </row>
    <row r="73" spans="2:25" s="31" customFormat="1">
      <c r="B73" s="32"/>
      <c r="C73" s="33"/>
      <c r="D73" s="33"/>
      <c r="E73" s="33"/>
      <c r="F73" s="33"/>
      <c r="G73" s="33"/>
      <c r="H73" s="33"/>
      <c r="I73" s="34"/>
      <c r="J73" s="34"/>
      <c r="K73" s="34"/>
      <c r="U73" s="26"/>
      <c r="V73" s="26"/>
      <c r="W73" s="26"/>
      <c r="X73" s="26"/>
      <c r="Y73" s="26"/>
    </row>
    <row r="74" spans="2:25" s="31" customFormat="1">
      <c r="B74" s="32"/>
      <c r="C74" s="33"/>
      <c r="D74" s="33"/>
      <c r="E74" s="33"/>
      <c r="F74" s="33"/>
      <c r="G74" s="33"/>
      <c r="H74" s="33"/>
      <c r="I74" s="34"/>
      <c r="J74" s="34"/>
      <c r="K74" s="34"/>
      <c r="U74" s="26"/>
      <c r="V74" s="26"/>
      <c r="W74" s="26"/>
      <c r="X74" s="26"/>
      <c r="Y74" s="26"/>
    </row>
    <row r="75" spans="2:25" s="31" customFormat="1">
      <c r="B75" s="32"/>
      <c r="C75" s="33"/>
      <c r="D75" s="33"/>
      <c r="E75" s="33"/>
      <c r="F75" s="33"/>
      <c r="G75" s="33"/>
      <c r="H75" s="33"/>
      <c r="I75" s="34"/>
      <c r="J75" s="34"/>
      <c r="K75" s="34"/>
      <c r="U75" s="26"/>
      <c r="V75" s="26"/>
      <c r="W75" s="26"/>
      <c r="X75" s="26"/>
      <c r="Y75" s="26"/>
    </row>
    <row r="76" spans="2:25" s="31" customFormat="1">
      <c r="B76" s="32"/>
      <c r="C76" s="33"/>
      <c r="D76" s="33"/>
      <c r="E76" s="33"/>
      <c r="F76" s="33"/>
      <c r="G76" s="33"/>
      <c r="H76" s="33"/>
      <c r="I76" s="34"/>
      <c r="J76" s="34"/>
      <c r="K76" s="34"/>
      <c r="U76" s="26"/>
      <c r="V76" s="26"/>
      <c r="W76" s="26"/>
      <c r="X76" s="26"/>
      <c r="Y76" s="26"/>
    </row>
    <row r="77" spans="2:25" s="31" customFormat="1">
      <c r="B77" s="32"/>
      <c r="C77" s="33"/>
      <c r="D77" s="33"/>
      <c r="E77" s="33"/>
      <c r="F77" s="33"/>
      <c r="G77" s="33"/>
      <c r="H77" s="33"/>
      <c r="I77" s="34"/>
      <c r="J77" s="34"/>
      <c r="K77" s="34"/>
      <c r="U77" s="26"/>
      <c r="V77" s="26"/>
      <c r="W77" s="26"/>
      <c r="X77" s="26"/>
      <c r="Y77" s="26"/>
    </row>
    <row r="78" spans="2:25" s="31" customFormat="1">
      <c r="B78" s="32"/>
      <c r="C78" s="33"/>
      <c r="D78" s="33"/>
      <c r="E78" s="33"/>
      <c r="F78" s="33"/>
      <c r="G78" s="33"/>
      <c r="H78" s="33"/>
      <c r="I78" s="34"/>
      <c r="J78" s="34"/>
      <c r="K78" s="34"/>
      <c r="U78" s="26"/>
      <c r="V78" s="26"/>
      <c r="W78" s="26"/>
      <c r="X78" s="26"/>
      <c r="Y78" s="26"/>
    </row>
    <row r="79" spans="2:25" s="31" customFormat="1">
      <c r="B79" s="32"/>
      <c r="C79" s="33"/>
      <c r="D79" s="33"/>
      <c r="E79" s="33"/>
      <c r="F79" s="33"/>
      <c r="G79" s="33"/>
      <c r="H79" s="33"/>
      <c r="I79" s="34"/>
      <c r="J79" s="34"/>
      <c r="K79" s="34"/>
      <c r="U79" s="26"/>
      <c r="V79" s="26"/>
      <c r="W79" s="26"/>
      <c r="X79" s="26"/>
      <c r="Y79" s="26"/>
    </row>
    <row r="80" spans="2:25" s="31" customFormat="1">
      <c r="B80" s="32"/>
      <c r="C80" s="33"/>
      <c r="D80" s="33"/>
      <c r="E80" s="33"/>
      <c r="F80" s="33"/>
      <c r="G80" s="33"/>
      <c r="H80" s="33"/>
      <c r="I80" s="34"/>
      <c r="J80" s="34"/>
      <c r="K80" s="34"/>
      <c r="U80" s="26"/>
      <c r="V80" s="26"/>
      <c r="W80" s="26"/>
      <c r="X80" s="26"/>
      <c r="Y80" s="26"/>
    </row>
    <row r="81" spans="2:25" s="31" customFormat="1">
      <c r="B81" s="32"/>
      <c r="C81" s="33"/>
      <c r="D81" s="33"/>
      <c r="E81" s="33"/>
      <c r="F81" s="33"/>
      <c r="G81" s="33"/>
      <c r="H81" s="33"/>
      <c r="I81" s="34"/>
      <c r="J81" s="34"/>
      <c r="K81" s="34"/>
      <c r="U81" s="26"/>
      <c r="V81" s="26"/>
      <c r="W81" s="26"/>
      <c r="X81" s="26"/>
      <c r="Y81" s="26"/>
    </row>
    <row r="82" spans="2:25" s="31" customFormat="1">
      <c r="B82" s="32"/>
      <c r="C82" s="33"/>
      <c r="D82" s="33"/>
      <c r="E82" s="33"/>
      <c r="F82" s="33"/>
      <c r="G82" s="33"/>
      <c r="H82" s="33"/>
      <c r="I82" s="34"/>
      <c r="J82" s="34"/>
      <c r="K82" s="34"/>
      <c r="U82" s="26"/>
      <c r="V82" s="26"/>
      <c r="W82" s="26"/>
      <c r="X82" s="26"/>
      <c r="Y82" s="26"/>
    </row>
    <row r="83" spans="2:25" s="31" customFormat="1">
      <c r="B83" s="32"/>
      <c r="C83" s="33"/>
      <c r="D83" s="33"/>
      <c r="E83" s="33"/>
      <c r="F83" s="33"/>
      <c r="G83" s="33"/>
      <c r="H83" s="33"/>
      <c r="I83" s="34"/>
      <c r="J83" s="34"/>
      <c r="K83" s="34"/>
      <c r="U83" s="26"/>
      <c r="V83" s="26"/>
      <c r="W83" s="26"/>
      <c r="X83" s="26"/>
      <c r="Y83" s="26"/>
    </row>
    <row r="84" spans="2:25" s="31" customFormat="1">
      <c r="B84" s="32"/>
      <c r="C84" s="33"/>
      <c r="D84" s="33"/>
      <c r="E84" s="33"/>
      <c r="F84" s="33"/>
      <c r="G84" s="33"/>
      <c r="H84" s="33"/>
      <c r="I84" s="34"/>
      <c r="J84" s="34"/>
      <c r="K84" s="34"/>
      <c r="U84" s="26"/>
      <c r="V84" s="26"/>
      <c r="W84" s="26"/>
      <c r="X84" s="26"/>
      <c r="Y84" s="26"/>
    </row>
    <row r="85" spans="2:25" s="31" customFormat="1">
      <c r="B85" s="32"/>
      <c r="C85" s="33"/>
      <c r="D85" s="33"/>
      <c r="E85" s="33"/>
      <c r="F85" s="33"/>
      <c r="G85" s="33"/>
      <c r="H85" s="33"/>
      <c r="I85" s="34"/>
      <c r="J85" s="34"/>
      <c r="K85" s="34"/>
      <c r="U85" s="26"/>
      <c r="V85" s="26"/>
      <c r="W85" s="26"/>
      <c r="X85" s="26"/>
      <c r="Y85" s="26"/>
    </row>
    <row r="86" spans="2:25" s="31" customFormat="1">
      <c r="B86" s="32"/>
      <c r="C86" s="33"/>
      <c r="D86" s="33"/>
      <c r="E86" s="33"/>
      <c r="F86" s="33"/>
      <c r="G86" s="33"/>
      <c r="H86" s="33"/>
      <c r="I86" s="34"/>
      <c r="J86" s="34"/>
      <c r="K86" s="34"/>
      <c r="U86" s="26"/>
      <c r="V86" s="26"/>
      <c r="W86" s="26"/>
      <c r="X86" s="26"/>
      <c r="Y86" s="26"/>
    </row>
    <row r="87" spans="2:25" s="31" customFormat="1">
      <c r="B87" s="32"/>
      <c r="C87" s="33"/>
      <c r="D87" s="33"/>
      <c r="E87" s="33"/>
      <c r="F87" s="33"/>
      <c r="G87" s="33"/>
      <c r="H87" s="33"/>
      <c r="I87" s="34"/>
      <c r="J87" s="34"/>
      <c r="K87" s="34"/>
      <c r="U87" s="26"/>
      <c r="V87" s="26"/>
      <c r="W87" s="26"/>
      <c r="X87" s="26"/>
      <c r="Y87" s="26"/>
    </row>
    <row r="88" spans="2:25" s="31" customFormat="1">
      <c r="B88" s="32"/>
      <c r="C88" s="33"/>
      <c r="D88" s="33"/>
      <c r="E88" s="33"/>
      <c r="F88" s="33"/>
      <c r="G88" s="33"/>
      <c r="H88" s="33"/>
      <c r="I88" s="34"/>
      <c r="J88" s="34"/>
      <c r="K88" s="34"/>
      <c r="U88" s="26"/>
      <c r="V88" s="26"/>
      <c r="W88" s="26"/>
      <c r="X88" s="26"/>
      <c r="Y88" s="26"/>
    </row>
    <row r="89" spans="2:25" s="31" customFormat="1">
      <c r="B89" s="32"/>
      <c r="C89" s="33"/>
      <c r="D89" s="33"/>
      <c r="E89" s="33"/>
      <c r="F89" s="33"/>
      <c r="G89" s="33"/>
      <c r="H89" s="33"/>
      <c r="I89" s="34"/>
      <c r="J89" s="34"/>
      <c r="K89" s="34"/>
      <c r="U89" s="26"/>
      <c r="V89" s="26"/>
      <c r="W89" s="26"/>
      <c r="X89" s="26"/>
      <c r="Y89" s="26"/>
    </row>
    <row r="90" spans="2:25" s="31" customFormat="1">
      <c r="B90" s="32"/>
      <c r="C90" s="33"/>
      <c r="D90" s="33"/>
      <c r="E90" s="33"/>
      <c r="F90" s="33"/>
      <c r="G90" s="33"/>
      <c r="H90" s="33"/>
      <c r="I90" s="34"/>
      <c r="J90" s="34"/>
      <c r="K90" s="34"/>
      <c r="U90" s="26"/>
      <c r="V90" s="26"/>
      <c r="W90" s="26"/>
      <c r="X90" s="26"/>
      <c r="Y90" s="26"/>
    </row>
    <row r="91" spans="2:25" s="31" customFormat="1">
      <c r="B91" s="32"/>
      <c r="C91" s="33"/>
      <c r="D91" s="33"/>
      <c r="E91" s="33"/>
      <c r="F91" s="33"/>
      <c r="G91" s="33"/>
      <c r="H91" s="33"/>
      <c r="I91" s="34"/>
      <c r="J91" s="34"/>
      <c r="K91" s="34"/>
      <c r="U91" s="26"/>
      <c r="V91" s="26"/>
      <c r="W91" s="26"/>
      <c r="X91" s="26"/>
      <c r="Y91" s="26"/>
    </row>
    <row r="92" spans="2:25" s="31" customFormat="1">
      <c r="B92" s="32"/>
      <c r="C92" s="33"/>
      <c r="D92" s="33"/>
      <c r="E92" s="33"/>
      <c r="F92" s="33"/>
      <c r="G92" s="33"/>
      <c r="H92" s="33"/>
      <c r="I92" s="34"/>
      <c r="J92" s="34"/>
      <c r="K92" s="34"/>
      <c r="U92" s="26"/>
      <c r="V92" s="26"/>
      <c r="W92" s="26"/>
      <c r="X92" s="26"/>
      <c r="Y92" s="26"/>
    </row>
    <row r="93" spans="2:25" s="31" customFormat="1">
      <c r="B93" s="32"/>
      <c r="C93" s="33"/>
      <c r="D93" s="33"/>
      <c r="E93" s="33"/>
      <c r="F93" s="33"/>
      <c r="G93" s="33"/>
      <c r="H93" s="33"/>
      <c r="I93" s="34"/>
      <c r="J93" s="34"/>
      <c r="K93" s="34"/>
      <c r="U93" s="26"/>
      <c r="V93" s="26"/>
      <c r="W93" s="26"/>
      <c r="X93" s="26"/>
      <c r="Y93" s="26"/>
    </row>
    <row r="94" spans="2:25" s="31" customFormat="1">
      <c r="B94" s="32"/>
      <c r="C94" s="33"/>
      <c r="D94" s="33"/>
      <c r="E94" s="33"/>
      <c r="F94" s="33"/>
      <c r="G94" s="33"/>
      <c r="H94" s="33"/>
      <c r="I94" s="34"/>
      <c r="J94" s="34"/>
      <c r="K94" s="34"/>
      <c r="U94" s="26"/>
      <c r="V94" s="26"/>
      <c r="W94" s="26"/>
      <c r="X94" s="26"/>
      <c r="Y94" s="26"/>
    </row>
    <row r="95" spans="2:25" s="31" customFormat="1">
      <c r="B95" s="32"/>
      <c r="C95" s="33"/>
      <c r="D95" s="33"/>
      <c r="E95" s="33"/>
      <c r="F95" s="33"/>
      <c r="G95" s="33"/>
      <c r="H95" s="33"/>
      <c r="I95" s="34"/>
      <c r="J95" s="34"/>
      <c r="K95" s="34"/>
      <c r="U95" s="26"/>
      <c r="V95" s="26"/>
      <c r="W95" s="26"/>
      <c r="X95" s="26"/>
      <c r="Y95" s="26"/>
    </row>
    <row r="96" spans="2:25" s="31" customFormat="1">
      <c r="B96" s="32"/>
      <c r="C96" s="33"/>
      <c r="D96" s="33"/>
      <c r="E96" s="33"/>
      <c r="F96" s="33"/>
      <c r="G96" s="33"/>
      <c r="H96" s="33"/>
      <c r="I96" s="34"/>
      <c r="J96" s="34"/>
      <c r="K96" s="34"/>
      <c r="U96" s="26"/>
      <c r="V96" s="26"/>
      <c r="W96" s="26"/>
      <c r="X96" s="26"/>
      <c r="Y96" s="26"/>
    </row>
    <row r="97" spans="2:25" s="31" customFormat="1">
      <c r="B97" s="32"/>
      <c r="C97" s="33"/>
      <c r="D97" s="33"/>
      <c r="E97" s="33"/>
      <c r="F97" s="33"/>
      <c r="G97" s="33"/>
      <c r="H97" s="33"/>
      <c r="I97" s="34"/>
      <c r="J97" s="34"/>
      <c r="K97" s="34"/>
      <c r="U97" s="26"/>
      <c r="V97" s="26"/>
      <c r="W97" s="26"/>
      <c r="X97" s="26"/>
      <c r="Y97" s="26"/>
    </row>
    <row r="98" spans="2:25" s="31" customFormat="1">
      <c r="B98" s="32"/>
      <c r="C98" s="33"/>
      <c r="D98" s="33"/>
      <c r="E98" s="33"/>
      <c r="F98" s="33"/>
      <c r="G98" s="33"/>
      <c r="H98" s="33"/>
      <c r="I98" s="34"/>
      <c r="J98" s="34"/>
      <c r="K98" s="34"/>
      <c r="U98" s="26"/>
      <c r="V98" s="26"/>
      <c r="W98" s="26"/>
      <c r="X98" s="26"/>
      <c r="Y98" s="26"/>
    </row>
    <row r="99" spans="2:25" s="31" customFormat="1">
      <c r="B99" s="32"/>
      <c r="C99" s="33"/>
      <c r="D99" s="33"/>
      <c r="E99" s="33"/>
      <c r="F99" s="33"/>
      <c r="G99" s="33"/>
      <c r="H99" s="33"/>
      <c r="I99" s="34"/>
      <c r="J99" s="34"/>
      <c r="K99" s="34"/>
      <c r="U99" s="26"/>
      <c r="V99" s="26"/>
      <c r="W99" s="26"/>
      <c r="X99" s="26"/>
      <c r="Y99" s="26"/>
    </row>
    <row r="100" spans="2:25" s="31" customFormat="1">
      <c r="B100" s="32"/>
      <c r="C100" s="33"/>
      <c r="D100" s="33"/>
      <c r="E100" s="33"/>
      <c r="F100" s="33"/>
      <c r="G100" s="33"/>
      <c r="H100" s="33"/>
      <c r="I100" s="34"/>
      <c r="J100" s="34"/>
      <c r="K100" s="34"/>
      <c r="U100" s="26"/>
      <c r="V100" s="26"/>
      <c r="W100" s="26"/>
      <c r="X100" s="26"/>
      <c r="Y100" s="26"/>
    </row>
    <row r="101" spans="2:25" s="31" customFormat="1">
      <c r="B101" s="32"/>
      <c r="C101" s="33"/>
      <c r="D101" s="33"/>
      <c r="E101" s="33"/>
      <c r="F101" s="33"/>
      <c r="G101" s="33"/>
      <c r="H101" s="33"/>
      <c r="I101" s="34"/>
      <c r="J101" s="34"/>
      <c r="K101" s="34"/>
      <c r="U101" s="26"/>
      <c r="V101" s="26"/>
      <c r="W101" s="26"/>
      <c r="X101" s="26"/>
      <c r="Y101" s="26"/>
    </row>
    <row r="102" spans="2:25" s="31" customFormat="1">
      <c r="B102" s="32"/>
      <c r="C102" s="33"/>
      <c r="D102" s="33"/>
      <c r="E102" s="33"/>
      <c r="F102" s="33"/>
      <c r="G102" s="33"/>
      <c r="H102" s="33"/>
      <c r="I102" s="34"/>
      <c r="J102" s="34"/>
      <c r="K102" s="34"/>
      <c r="U102" s="26"/>
      <c r="V102" s="26"/>
      <c r="W102" s="26"/>
      <c r="X102" s="26"/>
      <c r="Y102" s="26"/>
    </row>
    <row r="103" spans="2:25" s="31" customFormat="1">
      <c r="B103" s="32"/>
      <c r="C103" s="33"/>
      <c r="D103" s="33"/>
      <c r="E103" s="33"/>
      <c r="F103" s="33"/>
      <c r="G103" s="33"/>
      <c r="H103" s="33"/>
      <c r="I103" s="34"/>
      <c r="J103" s="34"/>
      <c r="K103" s="34"/>
      <c r="U103" s="26"/>
      <c r="V103" s="26"/>
      <c r="W103" s="26"/>
      <c r="X103" s="26"/>
      <c r="Y103" s="26"/>
    </row>
    <row r="104" spans="2:25" s="31" customFormat="1">
      <c r="B104" s="32"/>
      <c r="C104" s="33"/>
      <c r="D104" s="33"/>
      <c r="E104" s="33"/>
      <c r="F104" s="33"/>
      <c r="G104" s="33"/>
      <c r="H104" s="33"/>
      <c r="I104" s="34"/>
      <c r="J104" s="34"/>
      <c r="K104" s="34"/>
      <c r="U104" s="26"/>
      <c r="V104" s="26"/>
      <c r="W104" s="26"/>
      <c r="X104" s="26"/>
      <c r="Y104" s="26"/>
    </row>
    <row r="105" spans="2:25" s="31" customFormat="1">
      <c r="B105" s="32"/>
      <c r="C105" s="33"/>
      <c r="D105" s="33"/>
      <c r="E105" s="33"/>
      <c r="F105" s="33"/>
      <c r="G105" s="33"/>
      <c r="H105" s="33"/>
      <c r="I105" s="34"/>
      <c r="J105" s="34"/>
      <c r="K105" s="34"/>
      <c r="U105" s="26"/>
      <c r="V105" s="26"/>
      <c r="W105" s="26"/>
      <c r="X105" s="26"/>
      <c r="Y105" s="26"/>
    </row>
    <row r="106" spans="2:25" s="31" customFormat="1">
      <c r="B106" s="32"/>
      <c r="C106" s="33"/>
      <c r="D106" s="33"/>
      <c r="E106" s="33"/>
      <c r="F106" s="33"/>
      <c r="G106" s="33"/>
      <c r="H106" s="33"/>
      <c r="I106" s="34"/>
      <c r="J106" s="34"/>
      <c r="K106" s="34"/>
      <c r="U106" s="26"/>
      <c r="V106" s="26"/>
      <c r="W106" s="26"/>
      <c r="X106" s="26"/>
      <c r="Y106" s="26"/>
    </row>
    <row r="107" spans="2:25" s="31" customFormat="1">
      <c r="B107" s="32"/>
      <c r="C107" s="33"/>
      <c r="D107" s="33"/>
      <c r="E107" s="33"/>
      <c r="F107" s="33"/>
      <c r="G107" s="33"/>
      <c r="H107" s="33"/>
      <c r="I107" s="34"/>
      <c r="J107" s="34"/>
      <c r="K107" s="34"/>
      <c r="U107" s="26"/>
      <c r="V107" s="26"/>
      <c r="W107" s="26"/>
      <c r="X107" s="26"/>
      <c r="Y107" s="26"/>
    </row>
    <row r="108" spans="2:25" s="31" customFormat="1">
      <c r="B108" s="32"/>
      <c r="C108" s="33"/>
      <c r="D108" s="33"/>
      <c r="E108" s="33"/>
      <c r="F108" s="33"/>
      <c r="G108" s="33"/>
      <c r="H108" s="33"/>
      <c r="I108" s="34"/>
      <c r="J108" s="34"/>
      <c r="K108" s="34"/>
      <c r="U108" s="26"/>
      <c r="V108" s="26"/>
      <c r="W108" s="26"/>
      <c r="X108" s="26"/>
      <c r="Y108" s="26"/>
    </row>
    <row r="109" spans="2:25" s="31" customFormat="1">
      <c r="B109" s="32"/>
      <c r="C109" s="33"/>
      <c r="D109" s="33"/>
      <c r="E109" s="33"/>
      <c r="F109" s="33"/>
      <c r="G109" s="33"/>
      <c r="H109" s="33"/>
      <c r="I109" s="34"/>
      <c r="J109" s="34"/>
      <c r="K109" s="34"/>
      <c r="U109" s="26"/>
      <c r="V109" s="26"/>
      <c r="W109" s="26"/>
      <c r="X109" s="26"/>
      <c r="Y109" s="26"/>
    </row>
    <row r="110" spans="2:25" s="31" customFormat="1">
      <c r="B110" s="32"/>
      <c r="C110" s="33"/>
      <c r="D110" s="33"/>
      <c r="E110" s="33"/>
      <c r="F110" s="33"/>
      <c r="G110" s="33"/>
      <c r="H110" s="33"/>
      <c r="I110" s="34"/>
      <c r="J110" s="34"/>
      <c r="K110" s="34"/>
      <c r="U110" s="26"/>
      <c r="V110" s="26"/>
      <c r="W110" s="26"/>
      <c r="X110" s="26"/>
      <c r="Y110" s="26"/>
    </row>
    <row r="111" spans="2:25" s="31" customFormat="1">
      <c r="B111" s="32"/>
      <c r="C111" s="33"/>
      <c r="D111" s="33"/>
      <c r="E111" s="33"/>
      <c r="F111" s="33"/>
      <c r="G111" s="33"/>
      <c r="H111" s="33"/>
      <c r="I111" s="34"/>
      <c r="J111" s="34"/>
      <c r="K111" s="34"/>
      <c r="U111" s="26"/>
      <c r="V111" s="26"/>
      <c r="W111" s="26"/>
      <c r="X111" s="26"/>
      <c r="Y111" s="26"/>
    </row>
    <row r="112" spans="2:25" s="31" customFormat="1">
      <c r="B112" s="32"/>
      <c r="C112" s="33"/>
      <c r="D112" s="33"/>
      <c r="E112" s="33"/>
      <c r="F112" s="33"/>
      <c r="G112" s="33"/>
      <c r="H112" s="33"/>
      <c r="I112" s="34"/>
      <c r="J112" s="34"/>
      <c r="K112" s="34"/>
      <c r="U112" s="26"/>
      <c r="V112" s="26"/>
      <c r="W112" s="26"/>
      <c r="X112" s="26"/>
      <c r="Y112" s="26"/>
    </row>
    <row r="113" spans="2:25" s="31" customFormat="1">
      <c r="B113" s="32"/>
      <c r="C113" s="33"/>
      <c r="D113" s="33"/>
      <c r="E113" s="33"/>
      <c r="F113" s="33"/>
      <c r="G113" s="33"/>
      <c r="H113" s="33"/>
      <c r="I113" s="34"/>
      <c r="J113" s="34"/>
      <c r="K113" s="34"/>
      <c r="U113" s="26"/>
      <c r="V113" s="26"/>
      <c r="W113" s="26"/>
      <c r="X113" s="26"/>
      <c r="Y113" s="26"/>
    </row>
    <row r="114" spans="2:25" s="31" customFormat="1">
      <c r="B114" s="32"/>
      <c r="C114" s="33"/>
      <c r="D114" s="33"/>
      <c r="E114" s="33"/>
      <c r="F114" s="33"/>
      <c r="G114" s="33"/>
      <c r="H114" s="33"/>
      <c r="I114" s="34"/>
      <c r="J114" s="34"/>
      <c r="K114" s="34"/>
      <c r="U114" s="26"/>
      <c r="V114" s="26"/>
      <c r="W114" s="26"/>
      <c r="X114" s="26"/>
      <c r="Y114" s="26"/>
    </row>
    <row r="115" spans="2:25" s="31" customFormat="1">
      <c r="B115" s="32"/>
      <c r="C115" s="33"/>
      <c r="D115" s="33"/>
      <c r="E115" s="33"/>
      <c r="F115" s="33"/>
      <c r="G115" s="33"/>
      <c r="H115" s="33"/>
      <c r="I115" s="34"/>
      <c r="J115" s="34"/>
      <c r="K115" s="34"/>
      <c r="U115" s="26"/>
      <c r="V115" s="26"/>
      <c r="W115" s="26"/>
      <c r="X115" s="26"/>
      <c r="Y115" s="26"/>
    </row>
    <row r="116" spans="2:25" s="31" customFormat="1">
      <c r="B116" s="32"/>
      <c r="C116" s="33"/>
      <c r="D116" s="33"/>
      <c r="E116" s="33"/>
      <c r="F116" s="33"/>
      <c r="G116" s="33"/>
      <c r="H116" s="33"/>
      <c r="I116" s="34"/>
      <c r="J116" s="34"/>
      <c r="K116" s="34"/>
      <c r="U116" s="26"/>
      <c r="V116" s="26"/>
      <c r="W116" s="26"/>
      <c r="X116" s="26"/>
      <c r="Y116" s="26"/>
    </row>
    <row r="117" spans="2:25" s="31" customFormat="1">
      <c r="B117" s="32"/>
      <c r="C117" s="33"/>
      <c r="D117" s="33"/>
      <c r="E117" s="33"/>
      <c r="F117" s="33"/>
      <c r="G117" s="33"/>
      <c r="H117" s="33"/>
      <c r="I117" s="34"/>
      <c r="J117" s="34"/>
      <c r="K117" s="34"/>
      <c r="U117" s="26"/>
      <c r="V117" s="26"/>
      <c r="W117" s="26"/>
      <c r="X117" s="26"/>
      <c r="Y117" s="26"/>
    </row>
    <row r="118" spans="2:25" s="31" customFormat="1">
      <c r="B118" s="32"/>
      <c r="C118" s="33"/>
      <c r="D118" s="33"/>
      <c r="E118" s="33"/>
      <c r="F118" s="33"/>
      <c r="G118" s="33"/>
      <c r="H118" s="33"/>
      <c r="I118" s="34"/>
      <c r="J118" s="34"/>
      <c r="K118" s="34"/>
      <c r="U118" s="26"/>
      <c r="V118" s="26"/>
      <c r="W118" s="26"/>
      <c r="X118" s="26"/>
      <c r="Y118" s="26"/>
    </row>
    <row r="119" spans="2:25" s="31" customFormat="1">
      <c r="B119" s="32"/>
      <c r="C119" s="33"/>
      <c r="D119" s="33"/>
      <c r="E119" s="33"/>
      <c r="F119" s="33"/>
      <c r="G119" s="33"/>
      <c r="H119" s="33"/>
      <c r="I119" s="34"/>
      <c r="J119" s="34"/>
      <c r="K119" s="34"/>
      <c r="U119" s="26"/>
      <c r="V119" s="26"/>
      <c r="W119" s="26"/>
      <c r="X119" s="26"/>
      <c r="Y119" s="26"/>
    </row>
    <row r="120" spans="2:25" s="31" customFormat="1">
      <c r="B120" s="32"/>
      <c r="C120" s="33"/>
      <c r="D120" s="33"/>
      <c r="E120" s="33"/>
      <c r="F120" s="33"/>
      <c r="G120" s="33"/>
      <c r="H120" s="33"/>
      <c r="I120" s="34"/>
      <c r="J120" s="34"/>
      <c r="K120" s="34"/>
      <c r="U120" s="26"/>
      <c r="V120" s="26"/>
      <c r="W120" s="26"/>
      <c r="X120" s="26"/>
      <c r="Y120" s="26"/>
    </row>
    <row r="121" spans="2:25" s="31" customFormat="1">
      <c r="B121" s="32"/>
      <c r="C121" s="33"/>
      <c r="D121" s="33"/>
      <c r="E121" s="33"/>
      <c r="F121" s="33"/>
      <c r="G121" s="33"/>
      <c r="H121" s="33"/>
      <c r="I121" s="34"/>
      <c r="J121" s="34"/>
      <c r="K121" s="34"/>
      <c r="U121" s="26"/>
      <c r="V121" s="26"/>
      <c r="W121" s="26"/>
      <c r="X121" s="26"/>
      <c r="Y121" s="26"/>
    </row>
    <row r="122" spans="2:25" s="31" customFormat="1">
      <c r="B122" s="32"/>
      <c r="C122" s="33"/>
      <c r="D122" s="33"/>
      <c r="E122" s="33"/>
      <c r="F122" s="33"/>
      <c r="G122" s="33"/>
      <c r="H122" s="33"/>
      <c r="I122" s="34"/>
      <c r="J122" s="34"/>
      <c r="K122" s="34"/>
      <c r="U122" s="26"/>
      <c r="V122" s="26"/>
      <c r="W122" s="26"/>
      <c r="X122" s="26"/>
      <c r="Y122" s="26"/>
    </row>
    <row r="123" spans="2:25" s="31" customFormat="1">
      <c r="B123" s="32"/>
      <c r="C123" s="33"/>
      <c r="D123" s="33"/>
      <c r="E123" s="33"/>
      <c r="F123" s="33"/>
      <c r="G123" s="33"/>
      <c r="H123" s="33"/>
      <c r="I123" s="34"/>
      <c r="J123" s="34"/>
      <c r="K123" s="34"/>
      <c r="U123" s="26"/>
      <c r="V123" s="26"/>
      <c r="W123" s="26"/>
      <c r="X123" s="26"/>
      <c r="Y123" s="26"/>
    </row>
    <row r="124" spans="2:25" s="31" customFormat="1">
      <c r="B124" s="32"/>
      <c r="C124" s="33"/>
      <c r="D124" s="33"/>
      <c r="E124" s="33"/>
      <c r="F124" s="33"/>
      <c r="G124" s="33"/>
      <c r="H124" s="33"/>
      <c r="I124" s="34"/>
      <c r="J124" s="34"/>
      <c r="K124" s="34"/>
      <c r="U124" s="26"/>
      <c r="V124" s="26"/>
      <c r="W124" s="26"/>
      <c r="X124" s="26"/>
      <c r="Y124" s="26"/>
    </row>
    <row r="125" spans="2:25" s="31" customFormat="1">
      <c r="B125" s="32"/>
      <c r="C125" s="33"/>
      <c r="D125" s="33"/>
      <c r="E125" s="33"/>
      <c r="F125" s="33"/>
      <c r="G125" s="33"/>
      <c r="H125" s="33"/>
      <c r="I125" s="34"/>
      <c r="J125" s="34"/>
      <c r="K125" s="34"/>
      <c r="U125" s="26"/>
      <c r="V125" s="26"/>
      <c r="W125" s="26"/>
      <c r="X125" s="26"/>
      <c r="Y125" s="26"/>
    </row>
    <row r="126" spans="2:25" s="31" customFormat="1">
      <c r="B126" s="32"/>
      <c r="C126" s="33"/>
      <c r="D126" s="33"/>
      <c r="E126" s="33"/>
      <c r="F126" s="33"/>
      <c r="G126" s="33"/>
      <c r="H126" s="33"/>
      <c r="I126" s="34"/>
      <c r="J126" s="34"/>
      <c r="K126" s="34"/>
      <c r="U126" s="26"/>
      <c r="V126" s="26"/>
      <c r="W126" s="26"/>
      <c r="X126" s="26"/>
      <c r="Y126" s="26"/>
    </row>
    <row r="127" spans="2:25" s="31" customFormat="1">
      <c r="B127" s="32"/>
      <c r="C127" s="33"/>
      <c r="D127" s="33"/>
      <c r="E127" s="33"/>
      <c r="F127" s="33"/>
      <c r="G127" s="33"/>
      <c r="H127" s="33"/>
      <c r="I127" s="34"/>
      <c r="J127" s="34"/>
      <c r="K127" s="34"/>
      <c r="U127" s="26"/>
      <c r="V127" s="26"/>
      <c r="W127" s="26"/>
      <c r="X127" s="26"/>
      <c r="Y127" s="26"/>
    </row>
    <row r="128" spans="2:25" s="31" customFormat="1">
      <c r="B128" s="32"/>
      <c r="C128" s="33"/>
      <c r="D128" s="33"/>
      <c r="E128" s="33"/>
      <c r="F128" s="33"/>
      <c r="G128" s="33"/>
      <c r="H128" s="33"/>
      <c r="I128" s="34"/>
      <c r="J128" s="34"/>
      <c r="K128" s="34"/>
      <c r="U128" s="26"/>
      <c r="V128" s="26"/>
      <c r="W128" s="26"/>
      <c r="X128" s="26"/>
      <c r="Y128" s="26"/>
    </row>
    <row r="129" spans="2:25" s="31" customFormat="1">
      <c r="B129" s="3"/>
      <c r="C129" s="4"/>
      <c r="D129" s="4"/>
      <c r="E129" s="4"/>
      <c r="F129" s="4"/>
      <c r="G129" s="4"/>
      <c r="H129" s="4"/>
      <c r="I129" s="2"/>
      <c r="J129" s="2"/>
      <c r="K129" s="2"/>
      <c r="P129" s="1"/>
      <c r="U129" s="26"/>
      <c r="V129" s="26"/>
      <c r="W129" s="26"/>
      <c r="X129" s="26"/>
      <c r="Y129" s="26"/>
    </row>
    <row r="130" spans="2:25" s="31" customFormat="1">
      <c r="B130" s="3"/>
      <c r="C130" s="4"/>
      <c r="D130" s="4"/>
      <c r="E130" s="4"/>
      <c r="F130" s="4"/>
      <c r="G130" s="4"/>
      <c r="H130" s="4"/>
      <c r="I130" s="2"/>
      <c r="J130" s="2"/>
      <c r="K130" s="2"/>
      <c r="P130" s="1"/>
      <c r="U130" s="26"/>
      <c r="V130" s="26"/>
      <c r="W130" s="26"/>
      <c r="X130" s="26"/>
      <c r="Y130" s="26"/>
    </row>
    <row r="131" spans="2:25" s="31" customFormat="1">
      <c r="B131" s="3"/>
      <c r="C131" s="4"/>
      <c r="D131" s="4"/>
      <c r="E131" s="4"/>
      <c r="F131" s="4"/>
      <c r="G131" s="4"/>
      <c r="H131" s="4"/>
      <c r="I131" s="2"/>
      <c r="J131" s="2"/>
      <c r="K131" s="2"/>
      <c r="P131" s="1"/>
      <c r="U131" s="26"/>
      <c r="V131" s="26"/>
      <c r="W131" s="26"/>
      <c r="X131" s="26"/>
      <c r="Y131" s="26"/>
    </row>
    <row r="132" spans="2:25" s="31" customFormat="1">
      <c r="B132" s="3"/>
      <c r="C132" s="4"/>
      <c r="D132" s="4"/>
      <c r="E132" s="4"/>
      <c r="F132" s="4"/>
      <c r="G132" s="4"/>
      <c r="H132" s="4"/>
      <c r="I132" s="2"/>
      <c r="J132" s="2"/>
      <c r="K132" s="2"/>
      <c r="P132" s="1"/>
      <c r="U132" s="26"/>
      <c r="V132" s="26"/>
      <c r="W132" s="26"/>
      <c r="X132" s="26"/>
      <c r="Y132" s="26"/>
    </row>
    <row r="133" spans="2:25" s="31" customFormat="1">
      <c r="B133" s="3"/>
      <c r="C133" s="4"/>
      <c r="D133" s="4"/>
      <c r="E133" s="4"/>
      <c r="F133" s="4"/>
      <c r="G133" s="4"/>
      <c r="H133" s="4"/>
      <c r="I133" s="2"/>
      <c r="J133" s="2"/>
      <c r="K133" s="2"/>
      <c r="P133" s="1"/>
      <c r="U133" s="26"/>
      <c r="V133" s="26"/>
      <c r="W133" s="26"/>
      <c r="X133" s="26"/>
      <c r="Y133" s="26"/>
    </row>
    <row r="134" spans="2:25" s="31" customFormat="1">
      <c r="B134" s="3"/>
      <c r="C134" s="4"/>
      <c r="D134" s="4"/>
      <c r="E134" s="4"/>
      <c r="F134" s="4"/>
      <c r="G134" s="4"/>
      <c r="H134" s="4"/>
      <c r="I134" s="2"/>
      <c r="J134" s="2"/>
      <c r="K134" s="2"/>
      <c r="P134" s="1"/>
      <c r="U134" s="26"/>
      <c r="V134" s="26"/>
      <c r="W134" s="26"/>
      <c r="X134" s="26"/>
      <c r="Y134" s="26"/>
    </row>
    <row r="135" spans="2:25" s="31" customFormat="1">
      <c r="B135" s="3"/>
      <c r="C135" s="4"/>
      <c r="D135" s="4"/>
      <c r="E135" s="4"/>
      <c r="F135" s="4"/>
      <c r="G135" s="4"/>
      <c r="H135" s="4"/>
      <c r="I135" s="2"/>
      <c r="J135" s="2"/>
      <c r="K135" s="2"/>
      <c r="P135" s="1"/>
      <c r="U135" s="26"/>
      <c r="V135" s="26"/>
      <c r="W135" s="26"/>
      <c r="X135" s="26"/>
      <c r="Y135" s="26"/>
    </row>
    <row r="136" spans="2:25" s="31" customFormat="1">
      <c r="B136" s="3"/>
      <c r="C136" s="4"/>
      <c r="D136" s="4"/>
      <c r="E136" s="4"/>
      <c r="F136" s="4"/>
      <c r="G136" s="4"/>
      <c r="H136" s="4"/>
      <c r="I136" s="2"/>
      <c r="J136" s="2"/>
      <c r="K136" s="2"/>
      <c r="P136" s="1"/>
      <c r="U136" s="26"/>
      <c r="V136" s="26"/>
      <c r="W136" s="26"/>
      <c r="X136" s="26"/>
      <c r="Y136" s="26"/>
    </row>
    <row r="137" spans="2:25" s="31" customFormat="1">
      <c r="B137" s="3"/>
      <c r="C137" s="4"/>
      <c r="D137" s="4"/>
      <c r="E137" s="4"/>
      <c r="F137" s="4"/>
      <c r="G137" s="4"/>
      <c r="H137" s="4"/>
      <c r="I137" s="2"/>
      <c r="J137" s="2"/>
      <c r="K137" s="2"/>
      <c r="P137" s="1"/>
      <c r="U137" s="26"/>
      <c r="V137" s="26"/>
      <c r="W137" s="26"/>
      <c r="X137" s="26"/>
      <c r="Y137" s="26"/>
    </row>
    <row r="138" spans="2:25" s="31" customFormat="1">
      <c r="B138" s="3"/>
      <c r="C138" s="4"/>
      <c r="D138" s="4"/>
      <c r="E138" s="4"/>
      <c r="F138" s="4"/>
      <c r="G138" s="4"/>
      <c r="H138" s="4"/>
      <c r="I138" s="2"/>
      <c r="J138" s="2"/>
      <c r="K138" s="2"/>
      <c r="P138" s="1"/>
      <c r="U138" s="26"/>
      <c r="V138" s="26"/>
      <c r="W138" s="26"/>
      <c r="X138" s="26"/>
      <c r="Y138" s="26"/>
    </row>
    <row r="139" spans="2:25" s="31" customFormat="1">
      <c r="B139" s="3"/>
      <c r="C139" s="4"/>
      <c r="D139" s="4"/>
      <c r="E139" s="4"/>
      <c r="F139" s="4"/>
      <c r="G139" s="4"/>
      <c r="H139" s="4"/>
      <c r="I139" s="2"/>
      <c r="J139" s="2"/>
      <c r="K139" s="2"/>
      <c r="P139" s="1"/>
      <c r="U139" s="26"/>
      <c r="V139" s="26"/>
      <c r="W139" s="26"/>
      <c r="X139" s="26"/>
      <c r="Y139" s="26"/>
    </row>
    <row r="140" spans="2:25" s="31" customFormat="1">
      <c r="B140" s="3"/>
      <c r="C140" s="4"/>
      <c r="D140" s="4"/>
      <c r="E140" s="4"/>
      <c r="F140" s="4"/>
      <c r="G140" s="4"/>
      <c r="H140" s="4"/>
      <c r="I140" s="2"/>
      <c r="J140" s="2"/>
      <c r="K140" s="2"/>
      <c r="P140" s="1"/>
      <c r="U140" s="26"/>
      <c r="V140" s="26"/>
      <c r="W140" s="26"/>
      <c r="X140" s="26"/>
      <c r="Y140" s="26"/>
    </row>
    <row r="141" spans="2:25" s="31" customFormat="1">
      <c r="B141" s="3"/>
      <c r="C141" s="4"/>
      <c r="D141" s="4"/>
      <c r="E141" s="4"/>
      <c r="F141" s="4"/>
      <c r="G141" s="4"/>
      <c r="H141" s="4"/>
      <c r="I141" s="2"/>
      <c r="J141" s="2"/>
      <c r="K141" s="2"/>
      <c r="P141" s="1"/>
      <c r="U141" s="26"/>
      <c r="V141" s="26"/>
      <c r="W141" s="26"/>
      <c r="X141" s="26"/>
      <c r="Y141" s="26"/>
    </row>
    <row r="142" spans="2:25" s="31" customFormat="1">
      <c r="B142" s="3"/>
      <c r="C142" s="4"/>
      <c r="D142" s="4"/>
      <c r="E142" s="4"/>
      <c r="F142" s="4"/>
      <c r="G142" s="4"/>
      <c r="H142" s="4"/>
      <c r="I142" s="2"/>
      <c r="J142" s="2"/>
      <c r="K142" s="2"/>
      <c r="P142" s="1"/>
      <c r="U142" s="26"/>
      <c r="V142" s="26"/>
      <c r="W142" s="26"/>
      <c r="X142" s="26"/>
      <c r="Y142" s="26"/>
    </row>
    <row r="143" spans="2:25" s="31" customFormat="1">
      <c r="B143" s="3"/>
      <c r="C143" s="4"/>
      <c r="D143" s="4"/>
      <c r="E143" s="4"/>
      <c r="F143" s="4"/>
      <c r="G143" s="4"/>
      <c r="H143" s="4"/>
      <c r="I143" s="2"/>
      <c r="J143" s="2"/>
      <c r="K143" s="2"/>
      <c r="P143" s="1"/>
      <c r="U143" s="26"/>
      <c r="V143" s="26"/>
      <c r="W143" s="26"/>
      <c r="X143" s="26"/>
      <c r="Y143" s="26"/>
    </row>
    <row r="144" spans="2:25" s="31" customFormat="1">
      <c r="B144" s="3"/>
      <c r="C144" s="4"/>
      <c r="D144" s="4"/>
      <c r="E144" s="4"/>
      <c r="F144" s="4"/>
      <c r="G144" s="4"/>
      <c r="H144" s="4"/>
      <c r="I144" s="2"/>
      <c r="J144" s="2"/>
      <c r="K144" s="2"/>
      <c r="P144" s="1"/>
      <c r="U144" s="26"/>
      <c r="V144" s="26"/>
      <c r="W144" s="26"/>
      <c r="X144" s="26"/>
      <c r="Y144" s="26"/>
    </row>
    <row r="145" spans="2:25" s="31" customFormat="1">
      <c r="B145" s="3"/>
      <c r="C145" s="4"/>
      <c r="D145" s="4"/>
      <c r="E145" s="4"/>
      <c r="F145" s="4"/>
      <c r="G145" s="4"/>
      <c r="H145" s="4"/>
      <c r="I145" s="2"/>
      <c r="J145" s="2"/>
      <c r="K145" s="2"/>
      <c r="P145"/>
      <c r="U145" s="26"/>
      <c r="V145" s="26"/>
      <c r="W145" s="26"/>
      <c r="X145" s="26"/>
      <c r="Y145" s="26"/>
    </row>
    <row r="146" spans="2:25" s="31" customFormat="1">
      <c r="B146" s="3"/>
      <c r="C146" s="4"/>
      <c r="D146" s="4"/>
      <c r="E146" s="4"/>
      <c r="F146" s="4"/>
      <c r="G146" s="4"/>
      <c r="H146" s="4"/>
      <c r="I146" s="2"/>
      <c r="J146" s="2"/>
      <c r="K146" s="2"/>
      <c r="P146"/>
      <c r="U146" s="26"/>
      <c r="V146" s="26"/>
      <c r="W146" s="26"/>
      <c r="X146" s="26"/>
      <c r="Y146" s="26"/>
    </row>
    <row r="147" spans="2:25" s="31" customFormat="1">
      <c r="B147" s="3"/>
      <c r="C147" s="4"/>
      <c r="D147" s="4"/>
      <c r="E147" s="4"/>
      <c r="F147" s="4"/>
      <c r="G147" s="4"/>
      <c r="H147" s="4"/>
      <c r="I147" s="2"/>
      <c r="J147" s="2"/>
      <c r="K147" s="2"/>
      <c r="P147"/>
      <c r="U147" s="26"/>
      <c r="V147" s="26"/>
      <c r="W147" s="26"/>
      <c r="X147" s="26"/>
      <c r="Y147" s="26"/>
    </row>
    <row r="148" spans="2:25" s="31" customFormat="1">
      <c r="B148" s="3"/>
      <c r="C148" s="4"/>
      <c r="D148" s="4"/>
      <c r="E148" s="4"/>
      <c r="F148" s="4"/>
      <c r="G148" s="4"/>
      <c r="H148" s="4"/>
      <c r="I148" s="2"/>
      <c r="J148" s="2"/>
      <c r="K148" s="2"/>
      <c r="P148"/>
      <c r="U148" s="26"/>
      <c r="V148" s="26"/>
      <c r="W148" s="26"/>
      <c r="X148" s="26"/>
      <c r="Y148" s="26"/>
    </row>
    <row r="149" spans="2:25" s="31" customFormat="1">
      <c r="B149" s="3"/>
      <c r="C149" s="4"/>
      <c r="D149" s="4"/>
      <c r="E149" s="4"/>
      <c r="F149" s="4"/>
      <c r="G149" s="4"/>
      <c r="H149" s="4"/>
      <c r="I149" s="2"/>
      <c r="J149" s="2"/>
      <c r="K149" s="2"/>
      <c r="P149"/>
      <c r="U149" s="26"/>
      <c r="V149" s="26"/>
      <c r="W149" s="26"/>
      <c r="X149" s="26"/>
      <c r="Y149" s="26"/>
    </row>
    <row r="150" spans="2:25" s="31" customFormat="1">
      <c r="B150" s="3"/>
      <c r="C150" s="4"/>
      <c r="D150" s="4"/>
      <c r="E150" s="4"/>
      <c r="F150" s="4"/>
      <c r="G150" s="4"/>
      <c r="H150" s="4"/>
      <c r="I150" s="2"/>
      <c r="J150" s="2"/>
      <c r="K150" s="2"/>
      <c r="P150"/>
      <c r="U150" s="26"/>
      <c r="V150" s="26"/>
      <c r="W150" s="26"/>
      <c r="X150" s="26"/>
      <c r="Y150" s="26"/>
    </row>
    <row r="151" spans="2:25" s="31" customFormat="1">
      <c r="B151" s="3"/>
      <c r="C151" s="4"/>
      <c r="D151" s="4"/>
      <c r="E151" s="4"/>
      <c r="F151" s="4"/>
      <c r="G151" s="4"/>
      <c r="H151" s="4"/>
      <c r="I151" s="2"/>
      <c r="J151" s="2"/>
      <c r="K151" s="2"/>
      <c r="P151"/>
      <c r="U151" s="26"/>
      <c r="V151" s="26"/>
      <c r="W151" s="26"/>
      <c r="X151" s="26"/>
      <c r="Y151" s="26"/>
    </row>
    <row r="152" spans="2:25" s="31" customFormat="1">
      <c r="B152" s="3"/>
      <c r="C152" s="4"/>
      <c r="D152" s="4"/>
      <c r="E152" s="4"/>
      <c r="F152" s="4"/>
      <c r="G152" s="4"/>
      <c r="H152" s="4"/>
      <c r="I152" s="2"/>
      <c r="J152" s="2"/>
      <c r="K152" s="2"/>
      <c r="P152"/>
      <c r="U152" s="26"/>
      <c r="V152" s="26"/>
      <c r="W152" s="26"/>
      <c r="X152" s="26"/>
      <c r="Y152" s="26"/>
    </row>
    <row r="153" spans="2:25" s="31" customFormat="1" ht="15" customHeight="1">
      <c r="B153" s="3"/>
      <c r="C153" s="4"/>
      <c r="D153" s="4"/>
      <c r="E153" s="4"/>
      <c r="F153" s="4"/>
      <c r="G153" s="4"/>
      <c r="H153" s="4"/>
      <c r="I153" s="2"/>
      <c r="J153" s="2"/>
      <c r="K153" s="2"/>
      <c r="P153"/>
      <c r="U153" s="26"/>
      <c r="V153" s="26"/>
      <c r="W153" s="26"/>
      <c r="X153" s="26"/>
      <c r="Y153" s="26"/>
    </row>
    <row r="154" spans="2:25" s="31" customFormat="1" ht="15" customHeight="1">
      <c r="B154" s="3"/>
      <c r="C154" s="4"/>
      <c r="D154" s="4"/>
      <c r="E154" s="4"/>
      <c r="F154" s="4"/>
      <c r="G154" s="4"/>
      <c r="H154" s="4"/>
      <c r="I154" s="2"/>
      <c r="J154" s="2"/>
      <c r="K154" s="2"/>
      <c r="P154"/>
      <c r="U154" s="26"/>
      <c r="V154" s="26"/>
      <c r="W154" s="26"/>
      <c r="X154" s="26"/>
      <c r="Y154" s="26"/>
    </row>
    <row r="155" spans="2:25" s="31" customFormat="1" ht="15" customHeight="1">
      <c r="B155" s="3"/>
      <c r="C155" s="4"/>
      <c r="D155" s="4"/>
      <c r="E155" s="4"/>
      <c r="F155" s="4"/>
      <c r="G155" s="4"/>
      <c r="H155" s="4"/>
      <c r="I155" s="2"/>
      <c r="J155" s="2"/>
      <c r="K155" s="2"/>
      <c r="P155"/>
      <c r="U155" s="26"/>
      <c r="V155" s="26"/>
      <c r="W155" s="26"/>
      <c r="X155" s="26"/>
      <c r="Y155" s="26"/>
    </row>
    <row r="156" spans="2:25" s="31" customFormat="1" ht="15" customHeight="1">
      <c r="B156" s="3"/>
      <c r="C156" s="4"/>
      <c r="D156" s="4"/>
      <c r="E156" s="4"/>
      <c r="F156" s="4"/>
      <c r="G156" s="4"/>
      <c r="H156" s="4"/>
      <c r="I156" s="2"/>
      <c r="J156" s="2"/>
      <c r="K156" s="2"/>
      <c r="P156"/>
      <c r="U156" s="26"/>
      <c r="V156" s="26"/>
      <c r="W156" s="26"/>
      <c r="X156" s="26"/>
      <c r="Y156" s="26"/>
    </row>
    <row r="157" spans="2:25" s="31" customFormat="1" ht="15" customHeight="1">
      <c r="B157" s="3"/>
      <c r="C157" s="4"/>
      <c r="D157" s="4"/>
      <c r="E157" s="4"/>
      <c r="F157" s="4"/>
      <c r="G157" s="4"/>
      <c r="H157" s="4"/>
      <c r="I157" s="2"/>
      <c r="J157" s="2"/>
      <c r="K157" s="2"/>
      <c r="P157"/>
      <c r="U157" s="26"/>
      <c r="V157" s="26"/>
      <c r="W157" s="26"/>
      <c r="X157" s="26"/>
      <c r="Y157" s="26"/>
    </row>
    <row r="158" spans="2:25" s="31" customFormat="1" ht="15" customHeight="1">
      <c r="B158" s="3"/>
      <c r="C158" s="4"/>
      <c r="D158" s="4"/>
      <c r="E158" s="4"/>
      <c r="F158" s="4"/>
      <c r="G158" s="4"/>
      <c r="H158" s="4"/>
      <c r="I158" s="2"/>
      <c r="J158" s="2"/>
      <c r="K158" s="2"/>
      <c r="P158"/>
      <c r="U158" s="26"/>
      <c r="V158" s="26"/>
      <c r="W158" s="26"/>
      <c r="X158" s="26"/>
      <c r="Y158" s="26"/>
    </row>
    <row r="159" spans="2:25" s="31" customFormat="1" ht="15" customHeight="1">
      <c r="B159" s="3"/>
      <c r="C159" s="4"/>
      <c r="D159" s="4"/>
      <c r="E159" s="4"/>
      <c r="F159" s="4"/>
      <c r="G159" s="4"/>
      <c r="H159" s="4"/>
      <c r="I159" s="2"/>
      <c r="J159" s="2"/>
      <c r="K159" s="2"/>
      <c r="P159"/>
      <c r="U159" s="26"/>
      <c r="V159" s="26"/>
      <c r="W159" s="26"/>
      <c r="X159" s="26"/>
      <c r="Y159" s="26"/>
    </row>
    <row r="160" spans="2:25" s="31" customFormat="1" ht="15" customHeight="1">
      <c r="B160" s="3"/>
      <c r="C160" s="4"/>
      <c r="D160" s="4"/>
      <c r="E160" s="4"/>
      <c r="F160" s="4"/>
      <c r="G160" s="4"/>
      <c r="H160" s="4"/>
      <c r="I160" s="2"/>
      <c r="J160" s="2"/>
      <c r="K160" s="2"/>
      <c r="P160"/>
      <c r="U160" s="26"/>
      <c r="V160" s="26"/>
      <c r="W160" s="26"/>
      <c r="X160" s="26"/>
      <c r="Y160" s="26"/>
    </row>
    <row r="161" spans="2:25" s="31" customFormat="1" ht="15" customHeight="1">
      <c r="B161" s="3"/>
      <c r="C161" s="4"/>
      <c r="D161" s="4"/>
      <c r="E161" s="4"/>
      <c r="F161" s="4"/>
      <c r="G161" s="4"/>
      <c r="H161" s="4"/>
      <c r="I161" s="2"/>
      <c r="J161" s="2"/>
      <c r="K161" s="2"/>
      <c r="P161"/>
      <c r="U161" s="26"/>
      <c r="V161" s="26"/>
      <c r="W161" s="26"/>
      <c r="X161" s="26"/>
      <c r="Y161" s="26"/>
    </row>
    <row r="162" spans="2:25" s="31" customFormat="1" ht="15" customHeight="1">
      <c r="B162" s="3"/>
      <c r="C162" s="4"/>
      <c r="D162" s="4"/>
      <c r="E162" s="4"/>
      <c r="F162" s="4"/>
      <c r="G162" s="4"/>
      <c r="H162" s="4"/>
      <c r="I162" s="2"/>
      <c r="J162" s="2"/>
      <c r="K162" s="2"/>
      <c r="P162"/>
      <c r="U162" s="26"/>
      <c r="V162" s="26"/>
      <c r="W162" s="26"/>
      <c r="X162" s="26"/>
      <c r="Y162" s="26"/>
    </row>
    <row r="163" spans="2:25" s="31" customFormat="1" ht="15" customHeight="1">
      <c r="B163" s="3"/>
      <c r="C163" s="4"/>
      <c r="D163" s="4"/>
      <c r="E163" s="4"/>
      <c r="F163" s="4"/>
      <c r="G163" s="4"/>
      <c r="H163" s="4"/>
      <c r="I163" s="2"/>
      <c r="J163" s="2"/>
      <c r="K163" s="2"/>
      <c r="P163"/>
      <c r="U163" s="26"/>
      <c r="V163" s="26"/>
      <c r="W163" s="26"/>
      <c r="X163" s="26"/>
      <c r="Y163" s="26"/>
    </row>
    <row r="164" spans="2:25" s="31" customFormat="1" ht="15" customHeight="1">
      <c r="B164" s="3"/>
      <c r="C164" s="4"/>
      <c r="D164" s="4"/>
      <c r="E164" s="4"/>
      <c r="F164" s="4"/>
      <c r="G164" s="4"/>
      <c r="H164" s="4"/>
      <c r="I164" s="2"/>
      <c r="J164" s="2"/>
      <c r="K164" s="2"/>
      <c r="P164"/>
      <c r="U164" s="26"/>
      <c r="V164" s="26"/>
      <c r="W164" s="26"/>
      <c r="X164" s="26"/>
      <c r="Y164" s="26"/>
    </row>
    <row r="165" spans="2:25" s="31" customFormat="1" ht="15" customHeight="1">
      <c r="B165" s="3"/>
      <c r="C165" s="4"/>
      <c r="D165" s="4"/>
      <c r="E165" s="4"/>
      <c r="F165" s="4"/>
      <c r="G165" s="4"/>
      <c r="H165" s="4"/>
      <c r="I165" s="2"/>
      <c r="J165" s="2"/>
      <c r="K165" s="2"/>
      <c r="P165"/>
      <c r="U165" s="26"/>
      <c r="V165" s="26"/>
      <c r="W165" s="26"/>
      <c r="X165" s="26"/>
      <c r="Y165" s="26"/>
    </row>
    <row r="166" spans="2:25" s="31" customFormat="1" ht="15" customHeight="1">
      <c r="B166" s="3"/>
      <c r="C166" s="4"/>
      <c r="D166" s="4"/>
      <c r="E166" s="4"/>
      <c r="F166" s="4"/>
      <c r="G166" s="4"/>
      <c r="H166" s="4"/>
      <c r="I166" s="2"/>
      <c r="J166" s="2"/>
      <c r="K166" s="2"/>
      <c r="P166"/>
      <c r="U166" s="26"/>
      <c r="V166" s="26"/>
      <c r="W166" s="26"/>
      <c r="X166" s="26"/>
      <c r="Y166" s="26"/>
    </row>
    <row r="167" spans="2:25" s="31" customFormat="1" ht="15" customHeight="1">
      <c r="B167" s="3"/>
      <c r="C167" s="4"/>
      <c r="D167" s="4"/>
      <c r="E167" s="4"/>
      <c r="F167" s="4"/>
      <c r="G167" s="4"/>
      <c r="H167" s="4"/>
      <c r="I167" s="2"/>
      <c r="J167" s="2"/>
      <c r="K167" s="2"/>
      <c r="P167"/>
      <c r="U167" s="26"/>
      <c r="V167" s="26"/>
      <c r="W167" s="26"/>
      <c r="X167" s="26"/>
      <c r="Y167" s="26"/>
    </row>
    <row r="168" spans="2:25" s="31" customFormat="1" ht="15" customHeight="1">
      <c r="B168" s="3"/>
      <c r="C168" s="4"/>
      <c r="D168" s="4"/>
      <c r="E168" s="4"/>
      <c r="F168" s="4"/>
      <c r="G168" s="4"/>
      <c r="H168" s="4"/>
      <c r="I168" s="2"/>
      <c r="J168" s="2"/>
      <c r="K168" s="2"/>
      <c r="P168"/>
      <c r="U168" s="26"/>
      <c r="V168" s="26"/>
      <c r="W168" s="26"/>
      <c r="X168" s="26"/>
      <c r="Y168" s="26"/>
    </row>
    <row r="169" spans="2:25" s="31" customFormat="1" ht="15" customHeight="1">
      <c r="B169" s="3"/>
      <c r="C169" s="4"/>
      <c r="D169" s="4"/>
      <c r="E169" s="4"/>
      <c r="F169" s="4"/>
      <c r="G169" s="4"/>
      <c r="H169" s="4"/>
      <c r="I169" s="2"/>
      <c r="J169" s="2"/>
      <c r="K169" s="2"/>
      <c r="P169"/>
      <c r="U169" s="26"/>
      <c r="V169" s="26"/>
      <c r="W169" s="26"/>
      <c r="X169" s="26"/>
      <c r="Y169" s="26"/>
    </row>
    <row r="170" spans="2:25" s="31" customFormat="1" ht="15" customHeight="1">
      <c r="B170" s="3"/>
      <c r="C170" s="4"/>
      <c r="D170" s="4"/>
      <c r="E170" s="4"/>
      <c r="F170" s="4"/>
      <c r="G170" s="4"/>
      <c r="H170" s="4"/>
      <c r="I170" s="2"/>
      <c r="J170" s="2"/>
      <c r="K170" s="2"/>
      <c r="P170"/>
      <c r="U170" s="26"/>
      <c r="V170" s="26"/>
      <c r="W170" s="26"/>
      <c r="X170" s="26"/>
      <c r="Y170" s="26"/>
    </row>
    <row r="171" spans="2:25" s="31" customFormat="1" ht="15" customHeight="1">
      <c r="B171" s="3"/>
      <c r="C171" s="4"/>
      <c r="D171" s="4"/>
      <c r="E171" s="4"/>
      <c r="F171" s="4"/>
      <c r="G171" s="4"/>
      <c r="H171" s="4"/>
      <c r="I171" s="2"/>
      <c r="J171" s="2"/>
      <c r="K171" s="2"/>
      <c r="P171"/>
      <c r="U171" s="26"/>
      <c r="V171" s="26"/>
      <c r="W171" s="26"/>
      <c r="X171" s="26"/>
      <c r="Y171" s="26"/>
    </row>
    <row r="172" spans="2:25" s="31" customFormat="1" ht="15" customHeight="1">
      <c r="B172" s="3"/>
      <c r="C172" s="4"/>
      <c r="D172" s="4"/>
      <c r="E172" s="4"/>
      <c r="F172" s="4"/>
      <c r="G172" s="4"/>
      <c r="H172" s="4"/>
      <c r="I172" s="2"/>
      <c r="J172" s="2"/>
      <c r="K172" s="2"/>
      <c r="P172"/>
      <c r="U172" s="26"/>
      <c r="V172" s="26"/>
      <c r="W172" s="26"/>
      <c r="X172" s="26"/>
      <c r="Y172" s="26"/>
    </row>
    <row r="173" spans="2:25" s="31" customFormat="1" ht="15" customHeight="1">
      <c r="B173" s="3"/>
      <c r="C173" s="4"/>
      <c r="D173" s="4"/>
      <c r="E173" s="4"/>
      <c r="F173" s="4"/>
      <c r="G173" s="4"/>
      <c r="H173" s="4"/>
      <c r="I173" s="2"/>
      <c r="J173" s="2"/>
      <c r="K173" s="2"/>
      <c r="P173"/>
      <c r="U173" s="26"/>
      <c r="V173" s="26"/>
      <c r="W173" s="26"/>
      <c r="X173" s="26"/>
      <c r="Y173" s="26"/>
    </row>
    <row r="174" spans="2:25" s="31" customFormat="1" ht="15" customHeight="1">
      <c r="B174" s="3"/>
      <c r="C174" s="4"/>
      <c r="D174" s="4"/>
      <c r="E174" s="4"/>
      <c r="F174" s="4"/>
      <c r="G174" s="4"/>
      <c r="H174" s="4"/>
      <c r="I174" s="2"/>
      <c r="J174" s="2"/>
      <c r="K174" s="2"/>
      <c r="P174"/>
      <c r="U174" s="26"/>
      <c r="V174" s="26"/>
      <c r="W174" s="26"/>
      <c r="X174" s="26"/>
      <c r="Y174" s="26"/>
    </row>
    <row r="175" spans="2:25" s="31" customFormat="1" ht="15" customHeight="1">
      <c r="B175" s="3"/>
      <c r="C175" s="4"/>
      <c r="D175" s="4"/>
      <c r="E175" s="4"/>
      <c r="F175" s="4"/>
      <c r="G175" s="4"/>
      <c r="H175" s="4"/>
      <c r="I175" s="2"/>
      <c r="J175" s="2"/>
      <c r="K175" s="2"/>
      <c r="P175"/>
      <c r="U175" s="26"/>
      <c r="V175" s="26"/>
      <c r="W175" s="26"/>
      <c r="X175" s="26"/>
      <c r="Y175" s="26"/>
    </row>
    <row r="176" spans="2:25" s="31" customFormat="1" ht="15" customHeight="1">
      <c r="B176" s="3"/>
      <c r="C176" s="4"/>
      <c r="D176" s="4"/>
      <c r="E176" s="4"/>
      <c r="F176" s="4"/>
      <c r="G176" s="4"/>
      <c r="H176" s="4"/>
      <c r="I176" s="2"/>
      <c r="J176" s="2"/>
      <c r="K176" s="2"/>
      <c r="P176"/>
      <c r="U176" s="26"/>
      <c r="V176" s="26"/>
      <c r="W176" s="26"/>
      <c r="X176" s="26"/>
      <c r="Y176" s="26"/>
    </row>
    <row r="177" spans="2:25" s="31" customFormat="1" ht="15" customHeight="1">
      <c r="B177" s="3"/>
      <c r="C177" s="4"/>
      <c r="D177" s="4"/>
      <c r="E177" s="4"/>
      <c r="F177" s="4"/>
      <c r="G177" s="4"/>
      <c r="H177" s="4"/>
      <c r="I177" s="2"/>
      <c r="J177" s="2"/>
      <c r="K177" s="2"/>
      <c r="P177"/>
      <c r="U177" s="26"/>
      <c r="V177" s="26"/>
      <c r="W177" s="26"/>
      <c r="X177" s="26"/>
      <c r="Y177" s="26"/>
    </row>
    <row r="178" spans="2:25" s="31" customFormat="1" ht="15" customHeight="1">
      <c r="B178" s="3"/>
      <c r="C178" s="4"/>
      <c r="D178" s="4"/>
      <c r="E178" s="4"/>
      <c r="F178" s="4"/>
      <c r="G178" s="4"/>
      <c r="H178" s="4"/>
      <c r="I178" s="2"/>
      <c r="J178" s="2"/>
      <c r="K178" s="2"/>
      <c r="P178"/>
      <c r="U178" s="26"/>
      <c r="V178" s="26"/>
      <c r="W178" s="26"/>
      <c r="X178" s="26"/>
      <c r="Y178" s="26"/>
    </row>
    <row r="179" spans="2:25" s="31" customFormat="1" ht="15" customHeight="1">
      <c r="B179" s="3"/>
      <c r="C179" s="4"/>
      <c r="D179" s="4"/>
      <c r="E179" s="4"/>
      <c r="F179" s="4"/>
      <c r="G179" s="4"/>
      <c r="H179" s="4"/>
      <c r="I179" s="2"/>
      <c r="J179" s="2"/>
      <c r="K179" s="2"/>
      <c r="P179"/>
      <c r="U179" s="26"/>
      <c r="V179" s="26"/>
      <c r="W179" s="26"/>
      <c r="X179" s="26"/>
      <c r="Y179" s="26"/>
    </row>
    <row r="180" spans="2:25" s="31" customFormat="1" ht="15" customHeight="1">
      <c r="B180" s="3"/>
      <c r="C180" s="4"/>
      <c r="D180" s="4"/>
      <c r="E180" s="4"/>
      <c r="F180" s="4"/>
      <c r="G180" s="4"/>
      <c r="H180" s="4"/>
      <c r="I180" s="2"/>
      <c r="J180" s="2"/>
      <c r="K180" s="2"/>
      <c r="P180"/>
      <c r="U180" s="26"/>
      <c r="V180" s="26"/>
      <c r="W180" s="26"/>
      <c r="X180" s="26"/>
      <c r="Y180" s="26"/>
    </row>
    <row r="181" spans="2:25" s="31" customFormat="1" ht="15" customHeight="1">
      <c r="B181" s="3"/>
      <c r="C181" s="4"/>
      <c r="D181" s="4"/>
      <c r="E181" s="4"/>
      <c r="F181" s="4"/>
      <c r="G181" s="4"/>
      <c r="H181" s="4"/>
      <c r="I181" s="2"/>
      <c r="J181" s="2"/>
      <c r="K181" s="2"/>
      <c r="P181"/>
      <c r="U181" s="26"/>
      <c r="V181" s="26"/>
      <c r="W181" s="26"/>
      <c r="X181" s="26"/>
      <c r="Y181" s="26"/>
    </row>
    <row r="182" spans="2:25" s="31" customFormat="1" ht="15" customHeight="1">
      <c r="B182" s="3"/>
      <c r="C182" s="4"/>
      <c r="D182" s="4"/>
      <c r="E182" s="4"/>
      <c r="F182" s="4"/>
      <c r="G182" s="4"/>
      <c r="H182" s="4"/>
      <c r="I182" s="2"/>
      <c r="J182" s="2"/>
      <c r="K182" s="2"/>
      <c r="P182"/>
      <c r="U182" s="26"/>
      <c r="V182" s="26"/>
      <c r="W182" s="26"/>
      <c r="X182" s="26"/>
      <c r="Y182" s="26"/>
    </row>
    <row r="183" spans="2:25" s="31" customFormat="1" ht="15" customHeight="1">
      <c r="B183" s="3"/>
      <c r="C183" s="4"/>
      <c r="D183" s="4"/>
      <c r="E183" s="4"/>
      <c r="F183" s="4"/>
      <c r="G183" s="4"/>
      <c r="H183" s="4"/>
      <c r="I183" s="2"/>
      <c r="J183" s="2"/>
      <c r="K183" s="2"/>
      <c r="P183"/>
      <c r="U183" s="26"/>
      <c r="V183" s="26"/>
      <c r="W183" s="26"/>
      <c r="X183" s="26"/>
      <c r="Y183" s="26"/>
    </row>
    <row r="184" spans="2:25" s="31" customFormat="1" ht="15" customHeight="1">
      <c r="B184" s="3"/>
      <c r="C184" s="4"/>
      <c r="D184" s="4"/>
      <c r="E184" s="4"/>
      <c r="F184" s="4"/>
      <c r="G184" s="4"/>
      <c r="H184" s="4"/>
      <c r="I184" s="2"/>
      <c r="J184" s="2"/>
      <c r="K184" s="2"/>
      <c r="P184"/>
      <c r="U184" s="26"/>
      <c r="V184" s="26"/>
      <c r="W184" s="26"/>
      <c r="X184" s="26"/>
      <c r="Y184" s="26"/>
    </row>
    <row r="185" spans="2:25" s="31" customFormat="1" ht="15" customHeight="1">
      <c r="B185" s="3"/>
      <c r="C185" s="4"/>
      <c r="D185" s="4"/>
      <c r="E185" s="4"/>
      <c r="F185" s="4"/>
      <c r="G185" s="4"/>
      <c r="H185" s="4"/>
      <c r="I185" s="2"/>
      <c r="J185" s="2"/>
      <c r="K185" s="2"/>
      <c r="P185"/>
      <c r="U185" s="26"/>
      <c r="V185" s="26"/>
      <c r="W185" s="26"/>
      <c r="X185" s="26"/>
      <c r="Y185" s="26"/>
    </row>
    <row r="186" spans="2:25" s="31" customFormat="1" ht="15" customHeight="1">
      <c r="B186" s="3"/>
      <c r="C186" s="4"/>
      <c r="D186" s="4"/>
      <c r="E186" s="4"/>
      <c r="F186" s="4"/>
      <c r="G186" s="4"/>
      <c r="H186" s="4"/>
      <c r="I186" s="2"/>
      <c r="J186" s="2"/>
      <c r="K186" s="2"/>
      <c r="P186"/>
      <c r="U186" s="26"/>
      <c r="V186" s="26"/>
      <c r="W186" s="26"/>
      <c r="X186" s="26"/>
      <c r="Y186" s="26"/>
    </row>
    <row r="187" spans="2:25" s="31" customFormat="1" ht="15" customHeight="1">
      <c r="B187" s="3"/>
      <c r="C187" s="4"/>
      <c r="D187" s="4"/>
      <c r="E187" s="4"/>
      <c r="F187" s="4"/>
      <c r="G187" s="4"/>
      <c r="H187" s="4"/>
      <c r="I187" s="2"/>
      <c r="J187" s="2"/>
      <c r="K187" s="2"/>
      <c r="P187"/>
      <c r="U187" s="26"/>
      <c r="V187" s="26"/>
      <c r="W187" s="26"/>
      <c r="X187" s="26"/>
      <c r="Y187" s="26"/>
    </row>
    <row r="188" spans="2:25" s="31" customFormat="1" ht="15" customHeight="1">
      <c r="B188" s="3"/>
      <c r="C188" s="4"/>
      <c r="D188" s="4"/>
      <c r="E188" s="4"/>
      <c r="F188" s="4"/>
      <c r="G188" s="4"/>
      <c r="H188" s="4"/>
      <c r="I188" s="2"/>
      <c r="J188" s="2"/>
      <c r="K188" s="2"/>
      <c r="P188"/>
      <c r="U188" s="26"/>
      <c r="V188" s="26"/>
      <c r="W188" s="26"/>
      <c r="X188" s="26"/>
      <c r="Y188" s="26"/>
    </row>
    <row r="189" spans="2:25" s="31" customFormat="1" ht="15" customHeight="1">
      <c r="B189" s="3"/>
      <c r="C189" s="4"/>
      <c r="D189" s="4"/>
      <c r="E189" s="4"/>
      <c r="F189" s="4"/>
      <c r="G189" s="4"/>
      <c r="H189" s="4"/>
      <c r="I189" s="2"/>
      <c r="J189" s="2"/>
      <c r="K189" s="2"/>
      <c r="P189"/>
      <c r="U189" s="26"/>
      <c r="V189" s="26"/>
      <c r="W189" s="26"/>
      <c r="X189" s="26"/>
      <c r="Y189" s="26"/>
    </row>
    <row r="190" spans="2:25" s="31" customFormat="1" ht="15" customHeight="1">
      <c r="B190" s="3"/>
      <c r="C190" s="4"/>
      <c r="D190" s="4"/>
      <c r="E190" s="4"/>
      <c r="F190" s="4"/>
      <c r="G190" s="4"/>
      <c r="H190" s="4"/>
      <c r="I190" s="2"/>
      <c r="J190" s="2"/>
      <c r="K190" s="2"/>
      <c r="P190"/>
      <c r="U190" s="26"/>
      <c r="V190" s="26"/>
      <c r="W190" s="26"/>
      <c r="X190" s="26"/>
      <c r="Y190" s="26"/>
    </row>
    <row r="191" spans="2:25" s="31" customFormat="1" ht="15" customHeight="1">
      <c r="B191" s="3"/>
      <c r="C191" s="4"/>
      <c r="D191" s="4"/>
      <c r="E191" s="4"/>
      <c r="F191" s="4"/>
      <c r="G191" s="4"/>
      <c r="H191" s="4"/>
      <c r="I191" s="2"/>
      <c r="J191" s="2"/>
      <c r="K191" s="2"/>
      <c r="P191"/>
      <c r="U191" s="26"/>
      <c r="V191" s="26"/>
      <c r="W191" s="26"/>
      <c r="X191" s="26"/>
      <c r="Y191" s="26"/>
    </row>
    <row r="192" spans="2:25" s="31" customFormat="1" ht="15" customHeight="1">
      <c r="B192" s="3"/>
      <c r="C192" s="4"/>
      <c r="D192" s="4"/>
      <c r="E192" s="4"/>
      <c r="F192" s="4"/>
      <c r="G192" s="4"/>
      <c r="H192" s="4"/>
      <c r="I192" s="2"/>
      <c r="J192" s="2"/>
      <c r="K192" s="2"/>
      <c r="P192"/>
      <c r="U192" s="26"/>
      <c r="V192" s="26"/>
      <c r="W192" s="26"/>
      <c r="X192" s="26"/>
      <c r="Y192" s="26"/>
    </row>
    <row r="193" spans="2:25" s="31" customFormat="1" ht="15" customHeight="1">
      <c r="B193" s="3"/>
      <c r="C193" s="4"/>
      <c r="D193" s="4"/>
      <c r="E193" s="4"/>
      <c r="F193" s="4"/>
      <c r="G193" s="4"/>
      <c r="H193" s="4"/>
      <c r="I193" s="2"/>
      <c r="J193" s="2"/>
      <c r="K193" s="2"/>
      <c r="P193"/>
      <c r="U193" s="26"/>
      <c r="V193" s="26"/>
      <c r="W193" s="26"/>
      <c r="X193" s="26"/>
      <c r="Y193" s="26"/>
    </row>
    <row r="194" spans="2:25" s="31" customFormat="1" ht="15" customHeight="1">
      <c r="B194" s="3"/>
      <c r="C194" s="4"/>
      <c r="D194" s="4"/>
      <c r="E194" s="4"/>
      <c r="F194" s="4"/>
      <c r="G194" s="4"/>
      <c r="H194" s="4"/>
      <c r="I194" s="2"/>
      <c r="J194" s="2"/>
      <c r="K194" s="2"/>
      <c r="P194"/>
      <c r="U194" s="26"/>
      <c r="V194" s="26"/>
      <c r="W194" s="26"/>
      <c r="X194" s="26"/>
      <c r="Y194" s="26"/>
    </row>
    <row r="195" spans="2:25" s="31" customFormat="1" ht="15" customHeight="1">
      <c r="B195" s="3"/>
      <c r="C195" s="4"/>
      <c r="D195" s="4"/>
      <c r="E195" s="4"/>
      <c r="F195" s="4"/>
      <c r="G195" s="4"/>
      <c r="H195" s="4"/>
      <c r="I195" s="2"/>
      <c r="J195" s="2"/>
      <c r="K195" s="2"/>
      <c r="P195"/>
      <c r="U195" s="26"/>
      <c r="V195" s="26"/>
      <c r="W195" s="26"/>
      <c r="X195" s="26"/>
      <c r="Y195" s="26"/>
    </row>
    <row r="196" spans="2:25" s="31" customFormat="1" ht="15" customHeight="1">
      <c r="B196" s="3"/>
      <c r="C196" s="4"/>
      <c r="D196" s="4"/>
      <c r="E196" s="4"/>
      <c r="F196" s="4"/>
      <c r="G196" s="4"/>
      <c r="H196" s="4"/>
      <c r="I196" s="2"/>
      <c r="J196" s="2"/>
      <c r="K196" s="2"/>
      <c r="P196"/>
      <c r="U196" s="26"/>
      <c r="V196" s="26"/>
      <c r="W196" s="26"/>
      <c r="X196" s="26"/>
      <c r="Y196" s="26"/>
    </row>
    <row r="197" spans="2:25" s="31" customFormat="1" ht="15" customHeight="1">
      <c r="B197" s="3"/>
      <c r="C197" s="4"/>
      <c r="D197" s="4"/>
      <c r="E197" s="4"/>
      <c r="F197" s="4"/>
      <c r="G197" s="4"/>
      <c r="H197" s="4"/>
      <c r="I197" s="2"/>
      <c r="J197" s="2"/>
      <c r="K197" s="2"/>
      <c r="P197"/>
      <c r="U197" s="26"/>
      <c r="V197" s="26"/>
      <c r="W197" s="26"/>
      <c r="X197" s="26"/>
      <c r="Y197" s="26"/>
    </row>
    <row r="198" spans="2:25" s="31" customFormat="1" ht="15" customHeight="1">
      <c r="B198" s="3"/>
      <c r="C198" s="4"/>
      <c r="D198" s="4"/>
      <c r="E198" s="4"/>
      <c r="F198" s="4"/>
      <c r="G198" s="4"/>
      <c r="H198" s="4"/>
      <c r="I198" s="2"/>
      <c r="J198" s="2"/>
      <c r="K198" s="2"/>
      <c r="P198"/>
      <c r="U198" s="26"/>
      <c r="V198" s="26"/>
      <c r="W198" s="26"/>
      <c r="X198" s="26"/>
      <c r="Y198" s="26"/>
    </row>
    <row r="199" spans="2:25" s="31" customFormat="1" ht="15" customHeight="1">
      <c r="B199" s="3"/>
      <c r="C199" s="4"/>
      <c r="D199" s="4"/>
      <c r="E199" s="4"/>
      <c r="F199" s="4"/>
      <c r="G199" s="4"/>
      <c r="H199" s="4"/>
      <c r="I199" s="2"/>
      <c r="J199" s="2"/>
      <c r="K199" s="2"/>
      <c r="P199"/>
      <c r="U199" s="26"/>
      <c r="V199" s="26"/>
      <c r="W199" s="26"/>
      <c r="X199" s="26"/>
      <c r="Y199" s="26"/>
    </row>
    <row r="200" spans="2:25" s="31" customFormat="1" ht="15" customHeight="1">
      <c r="B200" s="3"/>
      <c r="C200" s="4"/>
      <c r="D200" s="4"/>
      <c r="E200" s="4"/>
      <c r="F200" s="4"/>
      <c r="G200" s="4"/>
      <c r="H200" s="4"/>
      <c r="I200" s="2"/>
      <c r="J200" s="2"/>
      <c r="K200" s="2"/>
      <c r="P200"/>
      <c r="U200" s="26"/>
      <c r="V200" s="26"/>
      <c r="W200" s="26"/>
      <c r="X200" s="26"/>
      <c r="Y200" s="26"/>
    </row>
    <row r="201" spans="2:25" s="31" customFormat="1" ht="15" customHeight="1">
      <c r="B201" s="3"/>
      <c r="C201" s="4"/>
      <c r="D201" s="4"/>
      <c r="E201" s="4"/>
      <c r="F201" s="4"/>
      <c r="G201" s="4"/>
      <c r="H201" s="4"/>
      <c r="I201" s="2"/>
      <c r="J201" s="2"/>
      <c r="K201" s="2"/>
      <c r="P201"/>
      <c r="U201" s="26"/>
      <c r="V201" s="26"/>
      <c r="W201" s="26"/>
      <c r="X201" s="26"/>
      <c r="Y201" s="26"/>
    </row>
    <row r="202" spans="2:25" s="31" customFormat="1" ht="15" customHeight="1">
      <c r="B202" s="3"/>
      <c r="C202" s="4"/>
      <c r="D202" s="4"/>
      <c r="E202" s="4"/>
      <c r="F202" s="4"/>
      <c r="G202" s="4"/>
      <c r="H202" s="4"/>
      <c r="I202" s="2"/>
      <c r="J202" s="2"/>
      <c r="K202" s="2"/>
      <c r="P202"/>
      <c r="U202" s="26"/>
      <c r="V202" s="26"/>
      <c r="W202" s="26"/>
      <c r="X202" s="26"/>
      <c r="Y202" s="26"/>
    </row>
    <row r="203" spans="2:25" s="31" customFormat="1" ht="15" customHeight="1">
      <c r="B203" s="3"/>
      <c r="C203" s="4"/>
      <c r="D203" s="4"/>
      <c r="E203" s="4"/>
      <c r="F203" s="4"/>
      <c r="G203" s="4"/>
      <c r="H203" s="4"/>
      <c r="I203" s="2"/>
      <c r="J203" s="2"/>
      <c r="K203" s="2"/>
      <c r="P203"/>
      <c r="U203" s="26"/>
      <c r="V203" s="26"/>
      <c r="W203" s="26"/>
      <c r="X203" s="26"/>
      <c r="Y203" s="26"/>
    </row>
    <row r="204" spans="2:25" s="31" customFormat="1" ht="15" customHeight="1">
      <c r="B204" s="3"/>
      <c r="C204" s="4"/>
      <c r="D204" s="4"/>
      <c r="E204" s="4"/>
      <c r="F204" s="4"/>
      <c r="G204" s="4"/>
      <c r="H204" s="4"/>
      <c r="I204" s="2"/>
      <c r="J204" s="2"/>
      <c r="K204" s="2"/>
      <c r="P204"/>
      <c r="U204" s="26"/>
      <c r="V204" s="26"/>
      <c r="W204" s="26"/>
      <c r="X204" s="26"/>
      <c r="Y204" s="26"/>
    </row>
    <row r="205" spans="2:25" s="31" customFormat="1" ht="15" customHeight="1">
      <c r="B205" s="3"/>
      <c r="C205" s="4"/>
      <c r="D205" s="4"/>
      <c r="E205" s="4"/>
      <c r="F205" s="4"/>
      <c r="G205" s="4"/>
      <c r="H205" s="4"/>
      <c r="I205" s="2"/>
      <c r="J205" s="2"/>
      <c r="K205" s="2"/>
      <c r="P205"/>
      <c r="U205" s="26"/>
      <c r="V205" s="26"/>
      <c r="W205" s="26"/>
      <c r="X205" s="26"/>
      <c r="Y205" s="26"/>
    </row>
    <row r="206" spans="2:25" s="31" customFormat="1" ht="15" customHeight="1">
      <c r="B206" s="3"/>
      <c r="C206" s="4"/>
      <c r="D206" s="4"/>
      <c r="E206" s="4"/>
      <c r="F206" s="4"/>
      <c r="G206" s="4"/>
      <c r="H206" s="4"/>
      <c r="I206" s="2"/>
      <c r="J206" s="2"/>
      <c r="K206" s="2"/>
      <c r="P206"/>
      <c r="U206" s="26"/>
      <c r="V206" s="26"/>
      <c r="W206" s="26"/>
      <c r="X206" s="26"/>
      <c r="Y206" s="26"/>
    </row>
    <row r="207" spans="2:25" s="31" customFormat="1" ht="15" customHeight="1">
      <c r="B207" s="3"/>
      <c r="C207" s="4"/>
      <c r="D207" s="4"/>
      <c r="E207" s="4"/>
      <c r="F207" s="4"/>
      <c r="G207" s="4"/>
      <c r="H207" s="4"/>
      <c r="I207" s="2"/>
      <c r="J207" s="2"/>
      <c r="K207" s="2"/>
      <c r="P207"/>
      <c r="U207" s="26"/>
      <c r="V207" s="26"/>
      <c r="W207" s="26"/>
      <c r="X207" s="26"/>
      <c r="Y207" s="26"/>
    </row>
    <row r="208" spans="2:25" s="31" customFormat="1" ht="15" customHeight="1">
      <c r="B208" s="3"/>
      <c r="C208" s="4"/>
      <c r="D208" s="4"/>
      <c r="E208" s="4"/>
      <c r="F208" s="4"/>
      <c r="G208" s="4"/>
      <c r="H208" s="4"/>
      <c r="I208" s="2"/>
      <c r="J208" s="2"/>
      <c r="K208" s="2"/>
      <c r="P208"/>
      <c r="U208" s="26"/>
      <c r="V208" s="26"/>
      <c r="W208" s="26"/>
      <c r="X208" s="26"/>
      <c r="Y208" s="26"/>
    </row>
    <row r="209" spans="2:25" s="31" customFormat="1" ht="15" customHeight="1">
      <c r="B209" s="3"/>
      <c r="C209" s="4"/>
      <c r="D209" s="4"/>
      <c r="E209" s="4"/>
      <c r="F209" s="4"/>
      <c r="G209" s="4"/>
      <c r="H209" s="4"/>
      <c r="I209" s="2"/>
      <c r="J209" s="2"/>
      <c r="K209" s="2"/>
      <c r="P209"/>
      <c r="U209" s="26"/>
      <c r="V209" s="26"/>
      <c r="W209" s="26"/>
      <c r="X209" s="26"/>
      <c r="Y209" s="26"/>
    </row>
    <row r="210" spans="2:25" s="31" customFormat="1" ht="15" customHeight="1">
      <c r="B210" s="3"/>
      <c r="C210" s="4"/>
      <c r="D210" s="4"/>
      <c r="E210" s="4"/>
      <c r="F210" s="4"/>
      <c r="G210" s="4"/>
      <c r="H210" s="4"/>
      <c r="I210" s="2"/>
      <c r="J210" s="2"/>
      <c r="K210" s="2"/>
      <c r="P210"/>
      <c r="U210" s="26"/>
      <c r="V210" s="26"/>
      <c r="W210" s="26"/>
      <c r="X210" s="26"/>
      <c r="Y210" s="26"/>
    </row>
    <row r="211" spans="2:25" s="31" customFormat="1" ht="15" customHeight="1">
      <c r="B211" s="3"/>
      <c r="C211" s="4"/>
      <c r="D211" s="4"/>
      <c r="E211" s="4"/>
      <c r="F211" s="4"/>
      <c r="G211" s="4"/>
      <c r="H211" s="4"/>
      <c r="I211" s="2"/>
      <c r="J211" s="2"/>
      <c r="K211" s="2"/>
      <c r="P211"/>
      <c r="U211" s="26"/>
      <c r="V211" s="26"/>
      <c r="W211" s="26"/>
      <c r="X211" s="26"/>
      <c r="Y211" s="26"/>
    </row>
    <row r="212" spans="2:25" s="31" customFormat="1" ht="15" customHeight="1">
      <c r="B212" s="3"/>
      <c r="C212" s="4"/>
      <c r="D212" s="4"/>
      <c r="E212" s="4"/>
      <c r="F212" s="4"/>
      <c r="G212" s="4"/>
      <c r="H212" s="4"/>
      <c r="I212" s="2"/>
      <c r="J212" s="2"/>
      <c r="K212" s="2"/>
      <c r="P212"/>
      <c r="U212" s="26"/>
      <c r="V212" s="26"/>
      <c r="W212" s="26"/>
      <c r="X212" s="26"/>
      <c r="Y212" s="26"/>
    </row>
    <row r="213" spans="2:25" s="31" customFormat="1" ht="15" customHeight="1">
      <c r="B213" s="3"/>
      <c r="C213" s="4"/>
      <c r="D213" s="4"/>
      <c r="E213" s="4"/>
      <c r="F213" s="4"/>
      <c r="G213" s="4"/>
      <c r="H213" s="4"/>
      <c r="I213" s="2"/>
      <c r="J213" s="2"/>
      <c r="K213" s="2"/>
      <c r="P213"/>
      <c r="U213" s="26"/>
      <c r="V213" s="26"/>
      <c r="W213" s="26"/>
      <c r="X213" s="26"/>
      <c r="Y213" s="26"/>
    </row>
    <row r="214" spans="2:25" s="31" customFormat="1" ht="15" customHeight="1">
      <c r="B214" s="3"/>
      <c r="C214" s="4"/>
      <c r="D214" s="4"/>
      <c r="E214" s="4"/>
      <c r="F214" s="4"/>
      <c r="G214" s="4"/>
      <c r="H214" s="4"/>
      <c r="I214" s="2"/>
      <c r="J214" s="2"/>
      <c r="K214" s="2"/>
      <c r="P214"/>
      <c r="U214" s="26"/>
      <c r="V214" s="26"/>
      <c r="W214" s="26"/>
      <c r="X214" s="26"/>
      <c r="Y214" s="26"/>
    </row>
    <row r="215" spans="2:25" s="31" customFormat="1" ht="15" customHeight="1">
      <c r="B215" s="3"/>
      <c r="C215" s="4"/>
      <c r="D215" s="4"/>
      <c r="E215" s="4"/>
      <c r="F215" s="4"/>
      <c r="G215" s="4"/>
      <c r="H215" s="4"/>
      <c r="I215" s="2"/>
      <c r="J215" s="2"/>
      <c r="K215" s="2"/>
      <c r="P215"/>
      <c r="U215" s="26"/>
      <c r="V215" s="26"/>
      <c r="W215" s="26"/>
      <c r="X215" s="26"/>
      <c r="Y215" s="26"/>
    </row>
    <row r="216" spans="2:25" s="31" customFormat="1" ht="15" customHeight="1">
      <c r="B216" s="3"/>
      <c r="C216" s="4"/>
      <c r="D216" s="4"/>
      <c r="E216" s="4"/>
      <c r="F216" s="4"/>
      <c r="G216" s="4"/>
      <c r="H216" s="4"/>
      <c r="I216" s="2"/>
      <c r="J216" s="2"/>
      <c r="K216" s="2"/>
      <c r="P216"/>
      <c r="U216" s="26"/>
      <c r="V216" s="26"/>
      <c r="W216" s="26"/>
      <c r="X216" s="26"/>
      <c r="Y216" s="26"/>
    </row>
    <row r="217" spans="2:25" s="31" customFormat="1" ht="15" customHeight="1">
      <c r="B217" s="3"/>
      <c r="C217" s="4"/>
      <c r="D217" s="4"/>
      <c r="E217" s="4"/>
      <c r="F217" s="4"/>
      <c r="G217" s="4"/>
      <c r="H217" s="4"/>
      <c r="I217" s="2"/>
      <c r="J217" s="2"/>
      <c r="K217" s="2"/>
      <c r="P217"/>
      <c r="U217" s="26"/>
      <c r="V217" s="26"/>
      <c r="W217" s="26"/>
      <c r="X217" s="26"/>
      <c r="Y217" s="26"/>
    </row>
    <row r="218" spans="2:25" s="31" customFormat="1" ht="15" customHeight="1">
      <c r="B218" s="3"/>
      <c r="C218" s="4"/>
      <c r="D218" s="4"/>
      <c r="E218" s="4"/>
      <c r="F218" s="4"/>
      <c r="G218" s="4"/>
      <c r="H218" s="4"/>
      <c r="I218" s="2"/>
      <c r="J218" s="2"/>
      <c r="K218" s="2"/>
      <c r="P218"/>
      <c r="U218" s="26"/>
      <c r="V218" s="26"/>
      <c r="W218" s="26"/>
      <c r="X218" s="26"/>
      <c r="Y218" s="26"/>
    </row>
    <row r="219" spans="2:25" s="31" customFormat="1" ht="15" customHeight="1">
      <c r="B219" s="3"/>
      <c r="C219" s="4"/>
      <c r="D219" s="4"/>
      <c r="E219" s="4"/>
      <c r="F219" s="4"/>
      <c r="G219" s="4"/>
      <c r="H219" s="4"/>
      <c r="I219" s="2"/>
      <c r="J219" s="2"/>
      <c r="K219" s="2"/>
      <c r="P219"/>
      <c r="U219" s="26"/>
      <c r="V219" s="26"/>
      <c r="W219" s="26"/>
      <c r="X219" s="26"/>
      <c r="Y219" s="26"/>
    </row>
    <row r="220" spans="2:25" s="31" customFormat="1" ht="15" customHeight="1">
      <c r="B220" s="3"/>
      <c r="C220" s="4"/>
      <c r="D220" s="4"/>
      <c r="E220" s="4"/>
      <c r="F220" s="4"/>
      <c r="G220" s="4"/>
      <c r="H220" s="4"/>
      <c r="I220" s="2"/>
      <c r="J220" s="2"/>
      <c r="K220" s="2"/>
      <c r="P220"/>
      <c r="U220" s="26"/>
      <c r="V220" s="26"/>
      <c r="W220" s="26"/>
      <c r="X220" s="26"/>
      <c r="Y220" s="26"/>
    </row>
    <row r="221" spans="2:25" s="31" customFormat="1" ht="15" customHeight="1">
      <c r="B221" s="3"/>
      <c r="C221" s="4"/>
      <c r="D221" s="4"/>
      <c r="E221" s="4"/>
      <c r="F221" s="4"/>
      <c r="G221" s="4"/>
      <c r="H221" s="4"/>
      <c r="I221" s="2"/>
      <c r="J221" s="2"/>
      <c r="K221" s="2"/>
      <c r="P221"/>
      <c r="U221" s="26"/>
      <c r="V221" s="26"/>
      <c r="W221" s="26"/>
      <c r="X221" s="26"/>
      <c r="Y221" s="26"/>
    </row>
    <row r="222" spans="2:25" s="31" customFormat="1" ht="15" customHeight="1">
      <c r="B222" s="3"/>
      <c r="C222" s="4"/>
      <c r="D222" s="4"/>
      <c r="E222" s="4"/>
      <c r="F222" s="4"/>
      <c r="G222" s="4"/>
      <c r="H222" s="4"/>
      <c r="I222" s="2"/>
      <c r="J222" s="2"/>
      <c r="K222" s="2"/>
      <c r="P222"/>
      <c r="U222" s="26"/>
      <c r="V222" s="26"/>
      <c r="W222" s="26"/>
      <c r="X222" s="26"/>
      <c r="Y222" s="26"/>
    </row>
    <row r="223" spans="2:25" s="31" customFormat="1" ht="15" customHeight="1">
      <c r="B223" s="3"/>
      <c r="C223" s="4"/>
      <c r="D223" s="4"/>
      <c r="E223" s="4"/>
      <c r="F223" s="4"/>
      <c r="G223" s="4"/>
      <c r="H223" s="4"/>
      <c r="I223" s="2"/>
      <c r="J223" s="2"/>
      <c r="K223" s="2"/>
      <c r="P223"/>
      <c r="U223" s="26"/>
      <c r="V223" s="26"/>
      <c r="W223" s="26"/>
      <c r="X223" s="26"/>
      <c r="Y223" s="26"/>
    </row>
    <row r="224" spans="2:25" s="31" customFormat="1" ht="15" customHeight="1">
      <c r="B224" s="3"/>
      <c r="C224" s="4"/>
      <c r="D224" s="4"/>
      <c r="E224" s="4"/>
      <c r="F224" s="4"/>
      <c r="G224" s="4"/>
      <c r="H224" s="4"/>
      <c r="I224" s="2"/>
      <c r="J224" s="2"/>
      <c r="K224" s="2"/>
      <c r="P224"/>
      <c r="U224" s="26"/>
      <c r="V224" s="26"/>
      <c r="W224" s="26"/>
      <c r="X224" s="26"/>
      <c r="Y224" s="26"/>
    </row>
    <row r="225" spans="2:25" s="31" customFormat="1" ht="15" customHeight="1">
      <c r="B225" s="3"/>
      <c r="C225" s="4"/>
      <c r="D225" s="4"/>
      <c r="E225" s="4"/>
      <c r="F225" s="4"/>
      <c r="G225" s="4"/>
      <c r="H225" s="4"/>
      <c r="I225" s="2"/>
      <c r="J225" s="2"/>
      <c r="K225" s="2"/>
      <c r="P225"/>
      <c r="U225" s="26"/>
      <c r="V225" s="26"/>
      <c r="W225" s="26"/>
      <c r="X225" s="26"/>
      <c r="Y225" s="26"/>
    </row>
    <row r="226" spans="2:25" s="31" customFormat="1" ht="15" customHeight="1">
      <c r="B226" s="3"/>
      <c r="C226" s="4"/>
      <c r="D226" s="4"/>
      <c r="E226" s="4"/>
      <c r="F226" s="4"/>
      <c r="G226" s="4"/>
      <c r="H226" s="4"/>
      <c r="I226" s="2"/>
      <c r="J226" s="2"/>
      <c r="K226" s="2"/>
      <c r="P226"/>
      <c r="U226" s="26"/>
      <c r="V226" s="26"/>
      <c r="W226" s="26"/>
      <c r="X226" s="26"/>
      <c r="Y226" s="26"/>
    </row>
    <row r="227" spans="2:25" s="31" customFormat="1" ht="15" customHeight="1">
      <c r="B227" s="3"/>
      <c r="C227" s="4"/>
      <c r="D227" s="4"/>
      <c r="E227" s="4"/>
      <c r="F227" s="4"/>
      <c r="G227" s="4"/>
      <c r="H227" s="4"/>
      <c r="I227" s="2"/>
      <c r="J227" s="2"/>
      <c r="K227" s="2"/>
      <c r="P227"/>
      <c r="U227" s="26"/>
      <c r="V227" s="26"/>
      <c r="W227" s="26"/>
      <c r="X227" s="26"/>
      <c r="Y227" s="26"/>
    </row>
    <row r="228" spans="2:25" s="31" customFormat="1" ht="15" customHeight="1">
      <c r="B228" s="3"/>
      <c r="C228" s="4"/>
      <c r="D228" s="4"/>
      <c r="E228" s="4"/>
      <c r="F228" s="4"/>
      <c r="G228" s="4"/>
      <c r="H228" s="4"/>
      <c r="I228" s="2"/>
      <c r="J228" s="2"/>
      <c r="K228" s="2"/>
      <c r="P228"/>
      <c r="U228" s="26"/>
      <c r="V228" s="26"/>
      <c r="W228" s="26"/>
      <c r="X228" s="26"/>
      <c r="Y228" s="26"/>
    </row>
    <row r="229" spans="2:25" s="31" customFormat="1" ht="15" customHeight="1">
      <c r="B229" s="3"/>
      <c r="C229" s="4"/>
      <c r="D229" s="4"/>
      <c r="E229" s="4"/>
      <c r="F229" s="4"/>
      <c r="G229" s="4"/>
      <c r="H229" s="4"/>
      <c r="I229" s="2"/>
      <c r="J229" s="2"/>
      <c r="K229" s="2"/>
      <c r="P229"/>
      <c r="U229" s="26"/>
      <c r="V229" s="26"/>
      <c r="W229" s="26"/>
      <c r="X229" s="26"/>
      <c r="Y229" s="26"/>
    </row>
    <row r="230" spans="2:25" s="31" customFormat="1" ht="15" customHeight="1">
      <c r="B230" s="3"/>
      <c r="C230" s="4"/>
      <c r="D230" s="4"/>
      <c r="E230" s="4"/>
      <c r="F230" s="4"/>
      <c r="G230" s="4"/>
      <c r="H230" s="4"/>
      <c r="I230" s="2"/>
      <c r="J230" s="2"/>
      <c r="K230" s="2"/>
      <c r="P230"/>
      <c r="U230" s="26"/>
      <c r="V230" s="26"/>
      <c r="W230" s="26"/>
      <c r="X230" s="26"/>
      <c r="Y230" s="26"/>
    </row>
    <row r="231" spans="2:25" s="31" customFormat="1" ht="15" customHeight="1">
      <c r="B231" s="3"/>
      <c r="C231" s="4"/>
      <c r="D231" s="4"/>
      <c r="E231" s="4"/>
      <c r="F231" s="4"/>
      <c r="G231" s="4"/>
      <c r="H231" s="4"/>
      <c r="I231" s="2"/>
      <c r="J231" s="2"/>
      <c r="K231" s="2"/>
      <c r="P231"/>
      <c r="U231" s="26"/>
      <c r="V231" s="26"/>
      <c r="W231" s="26"/>
      <c r="X231" s="26"/>
      <c r="Y231" s="26"/>
    </row>
    <row r="232" spans="2:25" s="31" customFormat="1" ht="15" customHeight="1">
      <c r="B232" s="3"/>
      <c r="C232" s="4"/>
      <c r="D232" s="4"/>
      <c r="E232" s="4"/>
      <c r="F232" s="4"/>
      <c r="G232" s="4"/>
      <c r="H232" s="4"/>
      <c r="I232" s="2"/>
      <c r="J232" s="2"/>
      <c r="K232" s="2"/>
      <c r="P232"/>
      <c r="U232" s="26"/>
      <c r="V232" s="26"/>
      <c r="W232" s="26"/>
      <c r="X232" s="26"/>
      <c r="Y232" s="26"/>
    </row>
    <row r="233" spans="2:25" s="31" customFormat="1" ht="15" customHeight="1">
      <c r="B233" s="3"/>
      <c r="C233" s="4"/>
      <c r="D233" s="4"/>
      <c r="E233" s="4"/>
      <c r="F233" s="4"/>
      <c r="G233" s="4"/>
      <c r="H233" s="4"/>
      <c r="I233" s="2"/>
      <c r="J233" s="2"/>
      <c r="K233" s="2"/>
      <c r="P233"/>
      <c r="U233" s="26"/>
      <c r="V233" s="26"/>
      <c r="W233" s="26"/>
      <c r="X233" s="26"/>
      <c r="Y233" s="26"/>
    </row>
    <row r="234" spans="2:25" s="31" customFormat="1" ht="15" customHeight="1">
      <c r="B234" s="3"/>
      <c r="C234" s="4"/>
      <c r="D234" s="4"/>
      <c r="E234" s="4"/>
      <c r="F234" s="4"/>
      <c r="G234" s="4"/>
      <c r="H234" s="4"/>
      <c r="I234" s="2"/>
      <c r="J234" s="2"/>
      <c r="K234" s="2"/>
      <c r="P234"/>
      <c r="U234" s="26"/>
      <c r="V234" s="26"/>
      <c r="W234" s="26"/>
      <c r="X234" s="26"/>
      <c r="Y234" s="26"/>
    </row>
    <row r="235" spans="2:25" s="31" customFormat="1" ht="15" customHeight="1">
      <c r="B235" s="3"/>
      <c r="C235" s="4"/>
      <c r="D235" s="4"/>
      <c r="E235" s="4"/>
      <c r="F235" s="4"/>
      <c r="G235" s="4"/>
      <c r="H235" s="4"/>
      <c r="I235" s="2"/>
      <c r="J235" s="2"/>
      <c r="K235" s="2"/>
      <c r="P235"/>
      <c r="U235" s="26"/>
      <c r="V235" s="26"/>
      <c r="W235" s="26"/>
      <c r="X235" s="26"/>
      <c r="Y235" s="26"/>
    </row>
    <row r="236" spans="2:25" s="31" customFormat="1" ht="15" customHeight="1">
      <c r="B236" s="3"/>
      <c r="C236" s="4"/>
      <c r="D236" s="4"/>
      <c r="E236" s="4"/>
      <c r="F236" s="4"/>
      <c r="G236" s="4"/>
      <c r="H236" s="4"/>
      <c r="I236" s="2"/>
      <c r="J236" s="2"/>
      <c r="K236" s="2"/>
      <c r="P236"/>
      <c r="U236" s="26"/>
      <c r="V236" s="26"/>
      <c r="W236" s="26"/>
      <c r="X236" s="26"/>
      <c r="Y236" s="26"/>
    </row>
    <row r="237" spans="2:25" s="31" customFormat="1" ht="15" customHeight="1">
      <c r="B237" s="3"/>
      <c r="C237" s="4"/>
      <c r="D237" s="4"/>
      <c r="E237" s="4"/>
      <c r="F237" s="4"/>
      <c r="G237" s="4"/>
      <c r="H237" s="4"/>
      <c r="I237" s="2"/>
      <c r="J237" s="2"/>
      <c r="K237" s="2"/>
      <c r="P237"/>
      <c r="U237" s="26"/>
      <c r="V237" s="26"/>
      <c r="W237" s="26"/>
      <c r="X237" s="26"/>
      <c r="Y237" s="26"/>
    </row>
    <row r="238" spans="2:25" s="31" customFormat="1" ht="15" customHeight="1">
      <c r="B238" s="3"/>
      <c r="C238" s="4"/>
      <c r="D238" s="4"/>
      <c r="E238" s="4"/>
      <c r="F238" s="4"/>
      <c r="G238" s="4"/>
      <c r="H238" s="4"/>
      <c r="I238" s="2"/>
      <c r="J238" s="2"/>
      <c r="K238" s="2"/>
      <c r="P238"/>
      <c r="U238" s="26"/>
      <c r="V238" s="26"/>
      <c r="W238" s="26"/>
      <c r="X238" s="26"/>
      <c r="Y238" s="26"/>
    </row>
    <row r="239" spans="2:25" s="31" customFormat="1" ht="15" customHeight="1">
      <c r="B239" s="3"/>
      <c r="C239" s="4"/>
      <c r="D239" s="4"/>
      <c r="E239" s="4"/>
      <c r="F239" s="4"/>
      <c r="G239" s="4"/>
      <c r="H239" s="4"/>
      <c r="I239" s="2"/>
      <c r="J239" s="2"/>
      <c r="K239" s="2"/>
      <c r="P239"/>
      <c r="U239" s="26"/>
      <c r="V239" s="26"/>
      <c r="W239" s="26"/>
      <c r="X239" s="26"/>
      <c r="Y239" s="26"/>
    </row>
    <row r="240" spans="2:25" s="31" customFormat="1" ht="15" customHeight="1">
      <c r="B240" s="3"/>
      <c r="C240" s="4"/>
      <c r="D240" s="4"/>
      <c r="E240" s="4"/>
      <c r="F240" s="4"/>
      <c r="G240" s="4"/>
      <c r="H240" s="4"/>
      <c r="I240" s="2"/>
      <c r="J240" s="2"/>
      <c r="K240" s="2"/>
      <c r="P240"/>
      <c r="U240" s="26"/>
      <c r="V240" s="26"/>
      <c r="W240" s="26"/>
      <c r="X240" s="26"/>
      <c r="Y240" s="26"/>
    </row>
    <row r="241" spans="2:25" s="31" customFormat="1" ht="15" customHeight="1">
      <c r="B241" s="3"/>
      <c r="C241" s="4"/>
      <c r="D241" s="4"/>
      <c r="E241" s="4"/>
      <c r="F241" s="4"/>
      <c r="G241" s="4"/>
      <c r="H241" s="4"/>
      <c r="I241" s="2"/>
      <c r="J241" s="2"/>
      <c r="K241" s="2"/>
      <c r="P241"/>
      <c r="U241" s="26"/>
      <c r="V241" s="26"/>
      <c r="W241" s="26"/>
      <c r="X241" s="26"/>
      <c r="Y241" s="26"/>
    </row>
    <row r="242" spans="2:25" s="31" customFormat="1" ht="15" customHeight="1">
      <c r="B242" s="3"/>
      <c r="C242" s="4"/>
      <c r="D242" s="4"/>
      <c r="E242" s="4"/>
      <c r="F242" s="4"/>
      <c r="G242" s="4"/>
      <c r="H242" s="4"/>
      <c r="I242" s="2"/>
      <c r="J242" s="2"/>
      <c r="K242" s="2"/>
      <c r="P242"/>
      <c r="U242" s="26"/>
      <c r="V242" s="26"/>
      <c r="W242" s="26"/>
      <c r="X242" s="26"/>
      <c r="Y242" s="26"/>
    </row>
    <row r="243" spans="2:25" s="31" customFormat="1" ht="15" customHeight="1">
      <c r="B243" s="3"/>
      <c r="C243" s="4"/>
      <c r="D243" s="4"/>
      <c r="E243" s="4"/>
      <c r="F243" s="4"/>
      <c r="G243" s="4"/>
      <c r="H243" s="4"/>
      <c r="I243" s="2"/>
      <c r="J243" s="2"/>
      <c r="K243" s="2"/>
      <c r="P243"/>
      <c r="U243" s="26"/>
      <c r="V243" s="26"/>
      <c r="W243" s="26"/>
      <c r="X243" s="26"/>
      <c r="Y243" s="26"/>
    </row>
    <row r="244" spans="2:25" s="31" customFormat="1" ht="15" customHeight="1">
      <c r="B244" s="3"/>
      <c r="C244" s="4"/>
      <c r="D244" s="4"/>
      <c r="E244" s="4"/>
      <c r="F244" s="4"/>
      <c r="G244" s="4"/>
      <c r="H244" s="4"/>
      <c r="I244" s="2"/>
      <c r="J244" s="2"/>
      <c r="K244" s="2"/>
      <c r="P244"/>
      <c r="U244" s="26"/>
      <c r="V244" s="26"/>
      <c r="W244" s="26"/>
      <c r="X244" s="26"/>
      <c r="Y244" s="26"/>
    </row>
    <row r="245" spans="2:25" s="31" customFormat="1" ht="15" customHeight="1">
      <c r="B245" s="3"/>
      <c r="C245" s="4"/>
      <c r="D245" s="4"/>
      <c r="E245" s="4"/>
      <c r="F245" s="4"/>
      <c r="G245" s="4"/>
      <c r="H245" s="4"/>
      <c r="I245" s="2"/>
      <c r="J245" s="2"/>
      <c r="K245" s="2"/>
      <c r="P245"/>
      <c r="U245" s="26"/>
      <c r="V245" s="26"/>
      <c r="W245" s="26"/>
      <c r="X245" s="26"/>
      <c r="Y245" s="26"/>
    </row>
    <row r="246" spans="2:25" s="31" customFormat="1" ht="15" customHeight="1">
      <c r="B246" s="3"/>
      <c r="C246" s="4"/>
      <c r="D246" s="4"/>
      <c r="E246" s="4"/>
      <c r="F246" s="4"/>
      <c r="G246" s="4"/>
      <c r="H246" s="4"/>
      <c r="I246" s="2"/>
      <c r="J246" s="2"/>
      <c r="K246" s="2"/>
      <c r="P246"/>
      <c r="U246" s="26"/>
      <c r="V246" s="26"/>
      <c r="W246" s="26"/>
      <c r="X246" s="26"/>
      <c r="Y246" s="26"/>
    </row>
    <row r="247" spans="2:25" s="31" customFormat="1" ht="15" customHeight="1">
      <c r="B247" s="3"/>
      <c r="C247" s="4"/>
      <c r="D247" s="4"/>
      <c r="E247" s="4"/>
      <c r="F247" s="4"/>
      <c r="G247" s="4"/>
      <c r="H247" s="4"/>
      <c r="I247" s="2"/>
      <c r="J247" s="2"/>
      <c r="K247" s="2"/>
      <c r="P247"/>
      <c r="U247" s="26"/>
      <c r="V247" s="26"/>
      <c r="W247" s="26"/>
      <c r="X247" s="26"/>
      <c r="Y247" s="26"/>
    </row>
    <row r="248" spans="2:25" s="31" customFormat="1" ht="15" customHeight="1">
      <c r="B248" s="3"/>
      <c r="C248" s="4"/>
      <c r="D248" s="4"/>
      <c r="E248" s="4"/>
      <c r="F248" s="4"/>
      <c r="G248" s="4"/>
      <c r="H248" s="4"/>
      <c r="I248" s="2"/>
      <c r="J248" s="2"/>
      <c r="K248" s="2"/>
      <c r="P248"/>
      <c r="U248" s="26"/>
      <c r="V248" s="26"/>
      <c r="W248" s="26"/>
      <c r="X248" s="26"/>
      <c r="Y248" s="26"/>
    </row>
    <row r="249" spans="2:25" s="31" customFormat="1" ht="15" customHeight="1">
      <c r="B249" s="3"/>
      <c r="C249" s="4"/>
      <c r="D249" s="4"/>
      <c r="E249" s="4"/>
      <c r="F249" s="4"/>
      <c r="G249" s="4"/>
      <c r="H249" s="4"/>
      <c r="I249" s="2"/>
      <c r="J249" s="2"/>
      <c r="K249" s="2"/>
      <c r="P249"/>
      <c r="U249" s="26"/>
      <c r="V249" s="26"/>
      <c r="W249" s="26"/>
      <c r="X249" s="26"/>
      <c r="Y249" s="26"/>
    </row>
    <row r="250" spans="2:25" s="31" customFormat="1" ht="15" customHeight="1">
      <c r="B250" s="3"/>
      <c r="C250" s="4"/>
      <c r="D250" s="4"/>
      <c r="E250" s="4"/>
      <c r="F250" s="4"/>
      <c r="G250" s="4"/>
      <c r="H250" s="4"/>
      <c r="I250" s="2"/>
      <c r="J250" s="2"/>
      <c r="K250" s="2"/>
      <c r="P250"/>
      <c r="U250" s="26"/>
      <c r="V250" s="26"/>
      <c r="W250" s="26"/>
      <c r="X250" s="26"/>
      <c r="Y250" s="26"/>
    </row>
    <row r="251" spans="2:25" s="31" customFormat="1" ht="15" customHeight="1">
      <c r="B251" s="3"/>
      <c r="C251" s="4"/>
      <c r="D251" s="4"/>
      <c r="E251" s="4"/>
      <c r="F251" s="4"/>
      <c r="G251" s="4"/>
      <c r="H251" s="4"/>
      <c r="I251" s="2"/>
      <c r="J251" s="2"/>
      <c r="K251" s="2"/>
      <c r="P251"/>
      <c r="U251" s="26"/>
      <c r="V251" s="26"/>
      <c r="W251" s="26"/>
      <c r="X251" s="26"/>
      <c r="Y251" s="26"/>
    </row>
    <row r="252" spans="2:25" s="31" customFormat="1" ht="15" customHeight="1">
      <c r="B252" s="3"/>
      <c r="C252" s="4"/>
      <c r="D252" s="4"/>
      <c r="E252" s="4"/>
      <c r="F252" s="4"/>
      <c r="G252" s="4"/>
      <c r="H252" s="4"/>
      <c r="I252" s="2"/>
      <c r="J252" s="2"/>
      <c r="K252" s="2"/>
      <c r="P252"/>
      <c r="U252" s="26"/>
      <c r="V252" s="26"/>
      <c r="W252" s="26"/>
      <c r="X252" s="26"/>
      <c r="Y252" s="26"/>
    </row>
    <row r="253" spans="2:25" s="31" customFormat="1" ht="15" customHeight="1">
      <c r="B253" s="3"/>
      <c r="C253" s="4"/>
      <c r="D253" s="4"/>
      <c r="E253" s="4"/>
      <c r="F253" s="4"/>
      <c r="G253" s="4"/>
      <c r="H253" s="4"/>
      <c r="I253" s="2"/>
      <c r="J253" s="2"/>
      <c r="K253" s="2"/>
      <c r="P253"/>
      <c r="U253" s="26"/>
      <c r="V253" s="26"/>
      <c r="W253" s="26"/>
      <c r="X253" s="26"/>
      <c r="Y253" s="26"/>
    </row>
    <row r="254" spans="2:25" s="31" customFormat="1" ht="15" customHeight="1">
      <c r="B254" s="3"/>
      <c r="C254" s="4"/>
      <c r="D254" s="4"/>
      <c r="E254" s="4"/>
      <c r="F254" s="4"/>
      <c r="G254" s="4"/>
      <c r="H254" s="4"/>
      <c r="I254" s="2"/>
      <c r="J254" s="2"/>
      <c r="K254" s="2"/>
      <c r="P254"/>
      <c r="U254" s="26"/>
      <c r="V254" s="26"/>
      <c r="W254" s="26"/>
      <c r="X254" s="26"/>
      <c r="Y254" s="26"/>
    </row>
    <row r="255" spans="2:25" s="31" customFormat="1" ht="15" customHeight="1">
      <c r="B255" s="3"/>
      <c r="C255" s="4"/>
      <c r="D255" s="4"/>
      <c r="E255" s="4"/>
      <c r="F255" s="4"/>
      <c r="G255" s="4"/>
      <c r="H255" s="4"/>
      <c r="I255" s="2"/>
      <c r="J255" s="2"/>
      <c r="K255" s="2"/>
      <c r="P255"/>
      <c r="U255" s="26"/>
      <c r="V255" s="26"/>
      <c r="W255" s="26"/>
      <c r="X255" s="26"/>
      <c r="Y255" s="26"/>
    </row>
    <row r="256" spans="2:25" s="31" customFormat="1" ht="15" customHeight="1">
      <c r="B256" s="3"/>
      <c r="C256" s="4"/>
      <c r="D256" s="4"/>
      <c r="E256" s="4"/>
      <c r="F256" s="4"/>
      <c r="G256" s="4"/>
      <c r="H256" s="4"/>
      <c r="I256" s="2"/>
      <c r="J256" s="2"/>
      <c r="K256" s="2"/>
      <c r="P256"/>
      <c r="U256" s="26"/>
      <c r="V256" s="26"/>
      <c r="W256" s="26"/>
      <c r="X256" s="26"/>
      <c r="Y256" s="26"/>
    </row>
    <row r="257" spans="2:25" s="31" customFormat="1" ht="15" customHeight="1">
      <c r="B257" s="3"/>
      <c r="C257" s="4"/>
      <c r="D257" s="4"/>
      <c r="E257" s="4"/>
      <c r="F257" s="4"/>
      <c r="G257" s="4"/>
      <c r="H257" s="4"/>
      <c r="I257" s="2"/>
      <c r="J257" s="2"/>
      <c r="K257" s="2"/>
      <c r="P257"/>
      <c r="U257" s="26"/>
      <c r="V257" s="26"/>
      <c r="W257" s="26"/>
      <c r="X257" s="26"/>
      <c r="Y257" s="26"/>
    </row>
    <row r="258" spans="2:25" s="31" customFormat="1" ht="15" customHeight="1">
      <c r="B258" s="3"/>
      <c r="C258" s="4"/>
      <c r="D258" s="4"/>
      <c r="E258" s="4"/>
      <c r="F258" s="4"/>
      <c r="G258" s="4"/>
      <c r="H258" s="4"/>
      <c r="I258" s="2"/>
      <c r="J258" s="2"/>
      <c r="K258" s="2"/>
      <c r="P258"/>
      <c r="U258" s="26"/>
      <c r="V258" s="26"/>
      <c r="W258" s="26"/>
      <c r="X258" s="26"/>
      <c r="Y258" s="26"/>
    </row>
    <row r="259" spans="2:25" s="31" customFormat="1" ht="15" customHeight="1">
      <c r="B259" s="3"/>
      <c r="C259" s="4"/>
      <c r="D259" s="4"/>
      <c r="E259" s="4"/>
      <c r="F259" s="4"/>
      <c r="G259" s="4"/>
      <c r="H259" s="4"/>
      <c r="I259" s="2"/>
      <c r="J259" s="2"/>
      <c r="K259" s="2"/>
      <c r="P259"/>
      <c r="U259" s="26"/>
      <c r="V259" s="26"/>
      <c r="W259" s="26"/>
      <c r="X259" s="26"/>
      <c r="Y259" s="26"/>
    </row>
    <row r="260" spans="2:25" s="31" customFormat="1" ht="15" customHeight="1">
      <c r="B260" s="3"/>
      <c r="C260" s="4"/>
      <c r="D260" s="4"/>
      <c r="E260" s="4"/>
      <c r="F260" s="4"/>
      <c r="G260" s="4"/>
      <c r="H260" s="4"/>
      <c r="I260" s="2"/>
      <c r="J260" s="2"/>
      <c r="K260" s="2"/>
      <c r="P260"/>
      <c r="U260" s="26"/>
      <c r="V260" s="26"/>
      <c r="W260" s="26"/>
      <c r="X260" s="26"/>
      <c r="Y260" s="26"/>
    </row>
    <row r="261" spans="2:25" s="31" customFormat="1" ht="15" customHeight="1">
      <c r="B261" s="3"/>
      <c r="C261" s="4"/>
      <c r="D261" s="4"/>
      <c r="E261" s="4"/>
      <c r="F261" s="4"/>
      <c r="G261" s="4"/>
      <c r="H261" s="4"/>
      <c r="I261" s="2"/>
      <c r="J261" s="2"/>
      <c r="K261" s="2"/>
      <c r="P261"/>
      <c r="U261" s="26"/>
      <c r="V261" s="26"/>
      <c r="W261" s="26"/>
      <c r="X261" s="26"/>
      <c r="Y261" s="26"/>
    </row>
    <row r="262" spans="2:25" s="31" customFormat="1" ht="15" customHeight="1">
      <c r="B262" s="3"/>
      <c r="C262" s="4"/>
      <c r="D262" s="4"/>
      <c r="E262" s="4"/>
      <c r="F262" s="4"/>
      <c r="G262" s="4"/>
      <c r="H262" s="4"/>
      <c r="I262" s="2"/>
      <c r="J262" s="2"/>
      <c r="K262" s="2"/>
      <c r="P262"/>
      <c r="U262" s="26"/>
      <c r="V262" s="26"/>
      <c r="W262" s="26"/>
      <c r="X262" s="26"/>
      <c r="Y262" s="26"/>
    </row>
    <row r="263" spans="2:25" s="31" customFormat="1" ht="15" customHeight="1">
      <c r="B263" s="3"/>
      <c r="C263" s="4"/>
      <c r="D263" s="4"/>
      <c r="E263" s="4"/>
      <c r="F263" s="4"/>
      <c r="G263" s="4"/>
      <c r="H263" s="4"/>
      <c r="I263" s="2"/>
      <c r="J263" s="2"/>
      <c r="K263" s="2"/>
      <c r="P263"/>
      <c r="U263" s="26"/>
      <c r="V263" s="26"/>
      <c r="W263" s="26"/>
      <c r="X263" s="26"/>
      <c r="Y263" s="26"/>
    </row>
    <row r="264" spans="2:25" s="31" customFormat="1" ht="15" customHeight="1">
      <c r="B264" s="3"/>
      <c r="C264" s="4"/>
      <c r="D264" s="4"/>
      <c r="E264" s="4"/>
      <c r="F264" s="4"/>
      <c r="G264" s="4"/>
      <c r="H264" s="4"/>
      <c r="I264" s="2"/>
      <c r="J264" s="2"/>
      <c r="K264" s="2"/>
      <c r="P264"/>
      <c r="U264" s="26"/>
      <c r="V264" s="26"/>
      <c r="W264" s="26"/>
      <c r="X264" s="26"/>
      <c r="Y264" s="26"/>
    </row>
    <row r="265" spans="2:25" s="31" customFormat="1" ht="15" customHeight="1">
      <c r="B265" s="3"/>
      <c r="C265" s="4"/>
      <c r="D265" s="4"/>
      <c r="E265" s="4"/>
      <c r="F265" s="4"/>
      <c r="G265" s="4"/>
      <c r="H265" s="4"/>
      <c r="I265" s="2"/>
      <c r="J265" s="2"/>
      <c r="K265" s="2"/>
      <c r="P265"/>
      <c r="U265" s="26"/>
      <c r="V265" s="26"/>
      <c r="W265" s="26"/>
      <c r="X265" s="26"/>
      <c r="Y265" s="26"/>
    </row>
    <row r="266" spans="2:25" s="31" customFormat="1" ht="15" customHeight="1">
      <c r="B266" s="3"/>
      <c r="C266" s="4"/>
      <c r="D266" s="4"/>
      <c r="E266" s="4"/>
      <c r="F266" s="4"/>
      <c r="G266" s="4"/>
      <c r="H266" s="4"/>
      <c r="I266" s="2"/>
      <c r="J266" s="2"/>
      <c r="K266" s="2"/>
      <c r="P266"/>
      <c r="U266" s="26"/>
      <c r="V266" s="26"/>
      <c r="W266" s="26"/>
      <c r="X266" s="26"/>
      <c r="Y266" s="26"/>
    </row>
    <row r="267" spans="2:25" s="31" customFormat="1" ht="15" customHeight="1">
      <c r="B267" s="3"/>
      <c r="C267" s="4"/>
      <c r="D267" s="4"/>
      <c r="E267" s="4"/>
      <c r="F267" s="4"/>
      <c r="G267" s="4"/>
      <c r="H267" s="4"/>
      <c r="I267" s="2"/>
      <c r="J267" s="2"/>
      <c r="K267" s="2"/>
      <c r="P267"/>
      <c r="U267" s="26"/>
      <c r="V267" s="26"/>
      <c r="W267" s="26"/>
      <c r="X267" s="26"/>
      <c r="Y267" s="26"/>
    </row>
    <row r="268" spans="2:25" s="31" customFormat="1" ht="15" customHeight="1">
      <c r="B268" s="3"/>
      <c r="C268" s="4"/>
      <c r="D268" s="4"/>
      <c r="E268" s="4"/>
      <c r="F268" s="4"/>
      <c r="G268" s="4"/>
      <c r="H268" s="4"/>
      <c r="I268" s="2"/>
      <c r="J268" s="2"/>
      <c r="K268" s="2"/>
      <c r="P268"/>
      <c r="U268" s="26"/>
      <c r="V268" s="26"/>
      <c r="W268" s="26"/>
      <c r="X268" s="26"/>
      <c r="Y268" s="26"/>
    </row>
    <row r="269" spans="2:25" s="31" customFormat="1" ht="15" customHeight="1">
      <c r="B269" s="3"/>
      <c r="C269" s="4"/>
      <c r="D269" s="4"/>
      <c r="E269" s="4"/>
      <c r="F269" s="4"/>
      <c r="G269" s="4"/>
      <c r="H269" s="4"/>
      <c r="I269" s="2"/>
      <c r="J269" s="2"/>
      <c r="K269" s="2"/>
      <c r="P269"/>
      <c r="U269" s="26"/>
      <c r="V269" s="26"/>
      <c r="W269" s="26"/>
      <c r="X269" s="26"/>
      <c r="Y269" s="26"/>
    </row>
    <row r="270" spans="2:25" s="31" customFormat="1" ht="15" customHeight="1">
      <c r="B270" s="3"/>
      <c r="C270" s="4"/>
      <c r="D270" s="4"/>
      <c r="E270" s="4"/>
      <c r="F270" s="4"/>
      <c r="G270" s="4"/>
      <c r="H270" s="4"/>
      <c r="I270" s="2"/>
      <c r="J270" s="2"/>
      <c r="K270" s="2"/>
      <c r="P270"/>
      <c r="U270" s="26"/>
      <c r="V270" s="26"/>
      <c r="W270" s="26"/>
      <c r="X270" s="26"/>
      <c r="Y270" s="26"/>
    </row>
    <row r="271" spans="2:25" s="31" customFormat="1" ht="15" customHeight="1">
      <c r="B271" s="3"/>
      <c r="C271" s="4"/>
      <c r="D271" s="4"/>
      <c r="E271" s="4"/>
      <c r="F271" s="4"/>
      <c r="G271" s="4"/>
      <c r="H271" s="4"/>
      <c r="I271" s="2"/>
      <c r="J271" s="2"/>
      <c r="K271" s="2"/>
      <c r="P271"/>
      <c r="U271" s="26"/>
      <c r="V271" s="26"/>
      <c r="W271" s="26"/>
      <c r="X271" s="26"/>
      <c r="Y271" s="26"/>
    </row>
    <row r="272" spans="2:25" s="31" customFormat="1" ht="15" customHeight="1">
      <c r="B272" s="3"/>
      <c r="C272" s="4"/>
      <c r="D272" s="4"/>
      <c r="E272" s="4"/>
      <c r="F272" s="4"/>
      <c r="G272" s="4"/>
      <c r="H272" s="4"/>
      <c r="I272" s="2"/>
      <c r="J272" s="2"/>
      <c r="K272" s="2"/>
      <c r="P272"/>
      <c r="U272" s="26"/>
      <c r="V272" s="26"/>
      <c r="W272" s="26"/>
      <c r="X272" s="26"/>
      <c r="Y272" s="26"/>
    </row>
    <row r="273" spans="2:25" s="31" customFormat="1" ht="15" customHeight="1">
      <c r="B273" s="3"/>
      <c r="C273" s="4"/>
      <c r="D273" s="4"/>
      <c r="E273" s="4"/>
      <c r="F273" s="4"/>
      <c r="G273" s="4"/>
      <c r="H273" s="4"/>
      <c r="I273" s="2"/>
      <c r="J273" s="2"/>
      <c r="K273" s="2"/>
      <c r="P273"/>
      <c r="U273" s="26"/>
      <c r="V273" s="26"/>
      <c r="W273" s="26"/>
      <c r="X273" s="26"/>
      <c r="Y273" s="26"/>
    </row>
    <row r="274" spans="2:25" s="31" customFormat="1" ht="15" customHeight="1">
      <c r="B274" s="3"/>
      <c r="C274" s="4"/>
      <c r="D274" s="4"/>
      <c r="E274" s="4"/>
      <c r="F274" s="4"/>
      <c r="G274" s="4"/>
      <c r="H274" s="4"/>
      <c r="I274" s="2"/>
      <c r="J274" s="2"/>
      <c r="K274" s="2"/>
      <c r="P274"/>
      <c r="U274" s="26"/>
      <c r="V274" s="26"/>
      <c r="W274" s="26"/>
      <c r="X274" s="26"/>
      <c r="Y274" s="26"/>
    </row>
    <row r="275" spans="2:25" s="31" customFormat="1" ht="15" customHeight="1">
      <c r="B275" s="3"/>
      <c r="C275" s="4"/>
      <c r="D275" s="4"/>
      <c r="E275" s="4"/>
      <c r="F275" s="4"/>
      <c r="G275" s="4"/>
      <c r="H275" s="4"/>
      <c r="I275" s="2"/>
      <c r="J275" s="2"/>
      <c r="K275" s="2"/>
      <c r="P275"/>
      <c r="U275" s="26"/>
      <c r="V275" s="26"/>
      <c r="W275" s="26"/>
      <c r="X275" s="26"/>
      <c r="Y275" s="26"/>
    </row>
    <row r="276" spans="2:25" s="31" customFormat="1" ht="15" customHeight="1">
      <c r="B276" s="3"/>
      <c r="C276" s="4"/>
      <c r="D276" s="4"/>
      <c r="E276" s="4"/>
      <c r="F276" s="4"/>
      <c r="G276" s="4"/>
      <c r="H276" s="4"/>
      <c r="I276" s="2"/>
      <c r="J276" s="2"/>
      <c r="K276" s="2"/>
      <c r="P276"/>
      <c r="U276" s="26"/>
      <c r="V276" s="26"/>
      <c r="W276" s="26"/>
      <c r="X276" s="26"/>
      <c r="Y276" s="26"/>
    </row>
    <row r="277" spans="2:25" s="31" customFormat="1" ht="15" customHeight="1">
      <c r="B277" s="3"/>
      <c r="C277" s="4"/>
      <c r="D277" s="4"/>
      <c r="E277" s="4"/>
      <c r="F277" s="4"/>
      <c r="G277" s="4"/>
      <c r="H277" s="4"/>
      <c r="I277" s="2"/>
      <c r="J277" s="2"/>
      <c r="K277" s="2"/>
      <c r="P277"/>
      <c r="U277" s="26"/>
      <c r="V277" s="26"/>
      <c r="W277" s="26"/>
      <c r="X277" s="26"/>
      <c r="Y277" s="26"/>
    </row>
    <row r="278" spans="2:25" s="31" customFormat="1" ht="15" customHeight="1">
      <c r="B278" s="3"/>
      <c r="C278" s="4"/>
      <c r="D278" s="4"/>
      <c r="E278" s="4"/>
      <c r="F278" s="4"/>
      <c r="G278" s="4"/>
      <c r="H278" s="4"/>
      <c r="I278" s="2"/>
      <c r="J278" s="2"/>
      <c r="K278" s="2"/>
      <c r="P278"/>
      <c r="U278" s="26"/>
      <c r="V278" s="26"/>
      <c r="W278" s="26"/>
      <c r="X278" s="26"/>
      <c r="Y278" s="26"/>
    </row>
    <row r="279" spans="2:25" s="31" customFormat="1" ht="15" customHeight="1">
      <c r="B279" s="3"/>
      <c r="C279" s="4"/>
      <c r="D279" s="4"/>
      <c r="E279" s="4"/>
      <c r="F279" s="4"/>
      <c r="G279" s="4"/>
      <c r="H279" s="4"/>
      <c r="I279" s="2"/>
      <c r="J279" s="2"/>
      <c r="K279" s="2"/>
      <c r="P279"/>
      <c r="U279" s="26"/>
      <c r="V279" s="26"/>
      <c r="W279" s="26"/>
      <c r="X279" s="26"/>
      <c r="Y279" s="26"/>
    </row>
    <row r="280" spans="2:25" s="31" customFormat="1" ht="15" customHeight="1">
      <c r="B280" s="3"/>
      <c r="C280" s="4"/>
      <c r="D280" s="4"/>
      <c r="E280" s="4"/>
      <c r="F280" s="4"/>
      <c r="G280" s="4"/>
      <c r="H280" s="4"/>
      <c r="I280" s="2"/>
      <c r="J280" s="2"/>
      <c r="K280" s="2"/>
      <c r="P280"/>
      <c r="U280" s="26"/>
      <c r="V280" s="26"/>
      <c r="W280" s="26"/>
      <c r="X280" s="26"/>
      <c r="Y280" s="26"/>
    </row>
    <row r="281" spans="2:25" s="31" customFormat="1" ht="15" customHeight="1">
      <c r="B281" s="3"/>
      <c r="C281" s="4"/>
      <c r="D281" s="4"/>
      <c r="E281" s="4"/>
      <c r="F281" s="4"/>
      <c r="G281" s="4"/>
      <c r="H281" s="4"/>
      <c r="I281" s="2"/>
      <c r="J281" s="2"/>
      <c r="K281" s="2"/>
      <c r="P281"/>
      <c r="U281" s="26"/>
      <c r="V281" s="26"/>
      <c r="W281" s="26"/>
      <c r="X281" s="26"/>
      <c r="Y281" s="26"/>
    </row>
    <row r="282" spans="2:25" s="31" customFormat="1" ht="15" customHeight="1">
      <c r="B282" s="3"/>
      <c r="C282" s="4"/>
      <c r="D282" s="4"/>
      <c r="E282" s="4"/>
      <c r="F282" s="4"/>
      <c r="G282" s="4"/>
      <c r="H282" s="4"/>
      <c r="I282" s="2"/>
      <c r="J282" s="2"/>
      <c r="K282" s="2"/>
      <c r="P282"/>
      <c r="U282" s="26"/>
      <c r="V282" s="26"/>
      <c r="W282" s="26"/>
      <c r="X282" s="26"/>
      <c r="Y282" s="26"/>
    </row>
    <row r="283" spans="2:25" s="31" customFormat="1" ht="15" customHeight="1">
      <c r="B283" s="3"/>
      <c r="C283" s="4"/>
      <c r="D283" s="4"/>
      <c r="E283" s="4"/>
      <c r="F283" s="4"/>
      <c r="G283" s="4"/>
      <c r="H283" s="4"/>
      <c r="I283" s="2"/>
      <c r="J283" s="2"/>
      <c r="K283" s="2"/>
      <c r="P283"/>
      <c r="U283" s="26"/>
      <c r="V283" s="26"/>
      <c r="W283" s="26"/>
      <c r="X283" s="26"/>
      <c r="Y283" s="26"/>
    </row>
    <row r="284" spans="2:25" s="31" customFormat="1" ht="15" customHeight="1">
      <c r="B284" s="3"/>
      <c r="C284" s="4"/>
      <c r="D284" s="4"/>
      <c r="E284" s="4"/>
      <c r="F284" s="4"/>
      <c r="G284" s="4"/>
      <c r="H284" s="4"/>
      <c r="I284" s="2"/>
      <c r="J284" s="2"/>
      <c r="K284" s="2"/>
      <c r="P284"/>
      <c r="U284" s="26"/>
      <c r="V284" s="26"/>
      <c r="W284" s="26"/>
      <c r="X284" s="26"/>
      <c r="Y284" s="26"/>
    </row>
    <row r="285" spans="2:25" s="31" customFormat="1" ht="15" customHeight="1">
      <c r="B285" s="3"/>
      <c r="C285" s="4"/>
      <c r="D285" s="4"/>
      <c r="E285" s="4"/>
      <c r="F285" s="4"/>
      <c r="G285" s="4"/>
      <c r="H285" s="4"/>
      <c r="I285" s="2"/>
      <c r="J285" s="2"/>
      <c r="K285" s="2"/>
      <c r="P285"/>
      <c r="U285" s="26"/>
      <c r="V285" s="26"/>
      <c r="W285" s="26"/>
      <c r="X285" s="26"/>
      <c r="Y285" s="26"/>
    </row>
    <row r="286" spans="2:25" s="31" customFormat="1" ht="15" customHeight="1">
      <c r="B286" s="3"/>
      <c r="C286" s="4"/>
      <c r="D286" s="4"/>
      <c r="E286" s="4"/>
      <c r="F286" s="4"/>
      <c r="G286" s="4"/>
      <c r="H286" s="4"/>
      <c r="I286" s="2"/>
      <c r="J286" s="2"/>
      <c r="K286" s="2"/>
      <c r="P286"/>
      <c r="U286" s="26"/>
      <c r="V286" s="26"/>
      <c r="W286" s="26"/>
      <c r="X286" s="26"/>
      <c r="Y286" s="26"/>
    </row>
    <row r="287" spans="2:25" s="31" customFormat="1" ht="15" customHeight="1">
      <c r="B287" s="3"/>
      <c r="C287" s="4"/>
      <c r="D287" s="4"/>
      <c r="E287" s="4"/>
      <c r="F287" s="4"/>
      <c r="G287" s="4"/>
      <c r="H287" s="4"/>
      <c r="I287" s="2"/>
      <c r="J287" s="2"/>
      <c r="K287" s="2"/>
      <c r="P287"/>
      <c r="U287" s="26"/>
      <c r="V287" s="26"/>
      <c r="W287" s="26"/>
      <c r="X287" s="26"/>
      <c r="Y287" s="26"/>
    </row>
    <row r="288" spans="2:25" s="31" customFormat="1" ht="15" customHeight="1">
      <c r="B288" s="3"/>
      <c r="C288" s="4"/>
      <c r="D288" s="4"/>
      <c r="E288" s="4"/>
      <c r="F288" s="4"/>
      <c r="G288" s="4"/>
      <c r="H288" s="4"/>
      <c r="I288" s="2"/>
      <c r="J288" s="2"/>
      <c r="K288" s="2"/>
      <c r="P288"/>
      <c r="U288" s="26"/>
      <c r="V288" s="26"/>
      <c r="W288" s="26"/>
      <c r="X288" s="26"/>
      <c r="Y288" s="26"/>
    </row>
    <row r="289" spans="2:25" s="31" customFormat="1" ht="15" customHeight="1">
      <c r="B289" s="3"/>
      <c r="C289" s="4"/>
      <c r="D289" s="4"/>
      <c r="E289" s="4"/>
      <c r="F289" s="4"/>
      <c r="G289" s="4"/>
      <c r="H289" s="4"/>
      <c r="I289" s="2"/>
      <c r="J289" s="2"/>
      <c r="K289" s="2"/>
      <c r="P289"/>
      <c r="U289" s="26"/>
      <c r="V289" s="26"/>
      <c r="W289" s="26"/>
      <c r="X289" s="26"/>
      <c r="Y289" s="26"/>
    </row>
    <row r="290" spans="2:25" s="31" customFormat="1" ht="15" customHeight="1">
      <c r="B290" s="3"/>
      <c r="C290" s="4"/>
      <c r="D290" s="4"/>
      <c r="E290" s="4"/>
      <c r="F290" s="4"/>
      <c r="G290" s="4"/>
      <c r="H290" s="4"/>
      <c r="I290" s="2"/>
      <c r="J290" s="2"/>
      <c r="K290" s="2"/>
      <c r="P290"/>
      <c r="U290" s="26"/>
      <c r="V290" s="26"/>
      <c r="W290" s="26"/>
      <c r="X290" s="26"/>
      <c r="Y290" s="26"/>
    </row>
    <row r="291" spans="2:25" s="31" customFormat="1" ht="15" customHeight="1">
      <c r="B291" s="3"/>
      <c r="C291" s="4"/>
      <c r="D291" s="4"/>
      <c r="E291" s="4"/>
      <c r="F291" s="4"/>
      <c r="G291" s="4"/>
      <c r="H291" s="4"/>
      <c r="I291" s="2"/>
      <c r="J291" s="2"/>
      <c r="K291" s="2"/>
      <c r="P291"/>
      <c r="U291" s="26"/>
      <c r="V291" s="26"/>
      <c r="W291" s="26"/>
      <c r="X291" s="26"/>
      <c r="Y291" s="26"/>
    </row>
    <row r="292" spans="2:25" s="31" customFormat="1" ht="15" customHeight="1">
      <c r="B292" s="3"/>
      <c r="C292" s="4"/>
      <c r="D292" s="4"/>
      <c r="E292" s="4"/>
      <c r="F292" s="4"/>
      <c r="G292" s="4"/>
      <c r="H292" s="4"/>
      <c r="I292" s="2"/>
      <c r="J292" s="2"/>
      <c r="K292" s="2"/>
      <c r="P292"/>
      <c r="U292" s="26"/>
      <c r="V292" s="26"/>
      <c r="W292" s="26"/>
      <c r="X292" s="26"/>
      <c r="Y292" s="26"/>
    </row>
    <row r="293" spans="2:25" s="31" customFormat="1" ht="15" customHeight="1">
      <c r="B293" s="3"/>
      <c r="C293" s="4"/>
      <c r="D293" s="4"/>
      <c r="E293" s="4"/>
      <c r="F293" s="4"/>
      <c r="G293" s="4"/>
      <c r="H293" s="4"/>
      <c r="I293" s="2"/>
      <c r="J293" s="2"/>
      <c r="K293" s="2"/>
      <c r="P293"/>
      <c r="U293" s="26"/>
      <c r="V293" s="26"/>
      <c r="W293" s="26"/>
      <c r="X293" s="26"/>
      <c r="Y293" s="26"/>
    </row>
    <row r="294" spans="2:25" s="31" customFormat="1" ht="15" customHeight="1">
      <c r="B294" s="3"/>
      <c r="C294" s="4"/>
      <c r="D294" s="4"/>
      <c r="E294" s="4"/>
      <c r="F294" s="4"/>
      <c r="G294" s="4"/>
      <c r="H294" s="4"/>
      <c r="I294" s="2"/>
      <c r="J294" s="2"/>
      <c r="K294" s="2"/>
      <c r="P294"/>
      <c r="U294" s="26"/>
      <c r="V294" s="26"/>
      <c r="W294" s="26"/>
      <c r="X294" s="26"/>
      <c r="Y294" s="26"/>
    </row>
    <row r="295" spans="2:25" s="31" customFormat="1" ht="15" customHeight="1">
      <c r="B295" s="3"/>
      <c r="C295" s="4"/>
      <c r="D295" s="4"/>
      <c r="E295" s="4"/>
      <c r="F295" s="4"/>
      <c r="G295" s="4"/>
      <c r="H295" s="4"/>
      <c r="I295" s="2"/>
      <c r="J295" s="2"/>
      <c r="K295" s="2"/>
      <c r="P295"/>
      <c r="U295" s="26"/>
      <c r="V295" s="26"/>
      <c r="W295" s="26"/>
      <c r="X295" s="26"/>
      <c r="Y295" s="26"/>
    </row>
    <row r="296" spans="2:25" s="31" customFormat="1" ht="15" customHeight="1">
      <c r="B296" s="3"/>
      <c r="C296" s="4"/>
      <c r="D296" s="4"/>
      <c r="E296" s="4"/>
      <c r="F296" s="4"/>
      <c r="G296" s="4"/>
      <c r="H296" s="4"/>
      <c r="I296" s="2"/>
      <c r="J296" s="2"/>
      <c r="K296" s="2"/>
      <c r="P296"/>
      <c r="U296" s="26"/>
      <c r="V296" s="26"/>
      <c r="W296" s="26"/>
      <c r="X296" s="26"/>
      <c r="Y296" s="26"/>
    </row>
    <row r="297" spans="2:25" s="31" customFormat="1" ht="15" customHeight="1">
      <c r="B297" s="3"/>
      <c r="C297" s="4"/>
      <c r="D297" s="4"/>
      <c r="E297" s="4"/>
      <c r="F297" s="4"/>
      <c r="G297" s="4"/>
      <c r="H297" s="4"/>
      <c r="I297" s="2"/>
      <c r="J297" s="2"/>
      <c r="K297" s="2"/>
      <c r="P297"/>
      <c r="U297" s="26"/>
      <c r="V297" s="26"/>
      <c r="W297" s="26"/>
      <c r="X297" s="26"/>
      <c r="Y297" s="26"/>
    </row>
    <row r="298" spans="2:25" s="31" customFormat="1" ht="15" customHeight="1">
      <c r="B298" s="3"/>
      <c r="C298" s="4"/>
      <c r="D298" s="4"/>
      <c r="E298" s="4"/>
      <c r="F298" s="4"/>
      <c r="G298" s="4"/>
      <c r="H298" s="4"/>
      <c r="I298" s="2"/>
      <c r="J298" s="2"/>
      <c r="K298" s="2"/>
      <c r="P298"/>
      <c r="U298" s="26"/>
      <c r="V298" s="26"/>
      <c r="W298" s="26"/>
      <c r="X298" s="26"/>
      <c r="Y298" s="26"/>
    </row>
    <row r="299" spans="2:25" s="31" customFormat="1" ht="15" customHeight="1">
      <c r="B299" s="3"/>
      <c r="C299" s="4"/>
      <c r="D299" s="4"/>
      <c r="E299" s="4"/>
      <c r="F299" s="4"/>
      <c r="G299" s="4"/>
      <c r="H299" s="4"/>
      <c r="I299" s="2"/>
      <c r="J299" s="2"/>
      <c r="K299" s="2"/>
      <c r="P299"/>
      <c r="U299" s="26"/>
      <c r="V299" s="26"/>
      <c r="W299" s="26"/>
      <c r="X299" s="26"/>
      <c r="Y299" s="26"/>
    </row>
    <row r="300" spans="2:25" s="31" customFormat="1" ht="15" customHeight="1">
      <c r="B300" s="3"/>
      <c r="C300" s="4"/>
      <c r="D300" s="4"/>
      <c r="E300" s="4"/>
      <c r="F300" s="4"/>
      <c r="G300" s="4"/>
      <c r="H300" s="4"/>
      <c r="I300" s="2"/>
      <c r="J300" s="2"/>
      <c r="K300" s="2"/>
      <c r="P300"/>
      <c r="U300" s="26"/>
      <c r="V300" s="26"/>
      <c r="W300" s="26"/>
      <c r="X300" s="26"/>
      <c r="Y300" s="26"/>
    </row>
    <row r="301" spans="2:25" s="31" customFormat="1" ht="15" customHeight="1">
      <c r="B301" s="3"/>
      <c r="C301" s="4"/>
      <c r="D301" s="4"/>
      <c r="E301" s="4"/>
      <c r="F301" s="4"/>
      <c r="G301" s="4"/>
      <c r="H301" s="4"/>
      <c r="I301" s="2"/>
      <c r="J301" s="2"/>
      <c r="K301" s="2"/>
      <c r="P301"/>
      <c r="U301" s="26"/>
      <c r="V301" s="26"/>
      <c r="W301" s="26"/>
      <c r="X301" s="26"/>
      <c r="Y301" s="26"/>
    </row>
    <row r="302" spans="2:25" s="31" customFormat="1" ht="15" customHeight="1">
      <c r="B302" s="3"/>
      <c r="C302" s="4"/>
      <c r="D302" s="4"/>
      <c r="E302" s="4"/>
      <c r="F302" s="4"/>
      <c r="G302" s="4"/>
      <c r="H302" s="4"/>
      <c r="I302" s="2"/>
      <c r="J302" s="2"/>
      <c r="K302" s="2"/>
      <c r="P302"/>
      <c r="U302" s="26"/>
      <c r="V302" s="26"/>
      <c r="W302" s="26"/>
      <c r="X302" s="26"/>
      <c r="Y302" s="26"/>
    </row>
    <row r="303" spans="2:25" s="31" customFormat="1" ht="15" customHeight="1">
      <c r="B303" s="3"/>
      <c r="C303" s="4"/>
      <c r="D303" s="4"/>
      <c r="E303" s="4"/>
      <c r="F303" s="4"/>
      <c r="G303" s="4"/>
      <c r="H303" s="4"/>
      <c r="I303" s="2"/>
      <c r="J303" s="2"/>
      <c r="K303" s="2"/>
      <c r="P303"/>
      <c r="U303" s="26"/>
      <c r="V303" s="26"/>
      <c r="W303" s="26"/>
      <c r="X303" s="26"/>
      <c r="Y303" s="26"/>
    </row>
    <row r="304" spans="2:25" s="31" customFormat="1" ht="15" customHeight="1">
      <c r="B304" s="3"/>
      <c r="C304" s="4"/>
      <c r="D304" s="4"/>
      <c r="E304" s="4"/>
      <c r="F304" s="4"/>
      <c r="G304" s="4"/>
      <c r="H304" s="4"/>
      <c r="I304" s="2"/>
      <c r="J304" s="2"/>
      <c r="K304" s="2"/>
      <c r="P304"/>
      <c r="U304" s="26"/>
      <c r="V304" s="26"/>
      <c r="W304" s="26"/>
      <c r="X304" s="26"/>
      <c r="Y304" s="26"/>
    </row>
    <row r="305" spans="2:25" s="31" customFormat="1" ht="15" customHeight="1">
      <c r="B305" s="3"/>
      <c r="C305" s="4"/>
      <c r="D305" s="4"/>
      <c r="E305" s="4"/>
      <c r="F305" s="4"/>
      <c r="G305" s="4"/>
      <c r="H305" s="4"/>
      <c r="I305" s="2"/>
      <c r="J305" s="2"/>
      <c r="K305" s="2"/>
      <c r="P305"/>
      <c r="U305" s="26"/>
      <c r="V305" s="26"/>
      <c r="W305" s="26"/>
      <c r="X305" s="26"/>
      <c r="Y305" s="26"/>
    </row>
    <row r="306" spans="2:25" s="31" customFormat="1" ht="15" customHeight="1">
      <c r="B306" s="3"/>
      <c r="C306" s="4"/>
      <c r="D306" s="4"/>
      <c r="E306" s="4"/>
      <c r="F306" s="4"/>
      <c r="G306" s="4"/>
      <c r="H306" s="4"/>
      <c r="I306" s="2"/>
      <c r="J306" s="2"/>
      <c r="K306" s="2"/>
      <c r="P306"/>
      <c r="U306" s="26"/>
      <c r="V306" s="26"/>
      <c r="W306" s="26"/>
      <c r="X306" s="26"/>
      <c r="Y306" s="26"/>
    </row>
    <row r="307" spans="2:25" s="31" customFormat="1" ht="15" customHeight="1">
      <c r="B307" s="3"/>
      <c r="C307" s="4"/>
      <c r="D307" s="4"/>
      <c r="E307" s="4"/>
      <c r="F307" s="4"/>
      <c r="G307" s="4"/>
      <c r="H307" s="4"/>
      <c r="I307" s="2"/>
      <c r="J307" s="2"/>
      <c r="K307" s="2"/>
      <c r="P307"/>
      <c r="U307" s="26"/>
      <c r="V307" s="26"/>
      <c r="W307" s="26"/>
      <c r="X307" s="26"/>
      <c r="Y307" s="26"/>
    </row>
    <row r="308" spans="2:25" s="31" customFormat="1" ht="15" customHeight="1">
      <c r="B308" s="3"/>
      <c r="C308" s="4"/>
      <c r="D308" s="4"/>
      <c r="E308" s="4"/>
      <c r="F308" s="4"/>
      <c r="G308" s="4"/>
      <c r="H308" s="4"/>
      <c r="I308" s="2"/>
      <c r="J308" s="2"/>
      <c r="K308" s="2"/>
      <c r="P308"/>
      <c r="U308" s="26"/>
      <c r="V308" s="26"/>
      <c r="W308" s="26"/>
      <c r="X308" s="26"/>
      <c r="Y308" s="26"/>
    </row>
    <row r="309" spans="2:25" s="31" customFormat="1" ht="15" customHeight="1">
      <c r="B309" s="3"/>
      <c r="C309" s="4"/>
      <c r="D309" s="4"/>
      <c r="E309" s="4"/>
      <c r="F309" s="4"/>
      <c r="G309" s="4"/>
      <c r="H309" s="4"/>
      <c r="I309" s="2"/>
      <c r="J309" s="2"/>
      <c r="K309" s="2"/>
      <c r="P309"/>
      <c r="U309" s="26"/>
      <c r="V309" s="26"/>
      <c r="W309" s="26"/>
      <c r="X309" s="26"/>
      <c r="Y309" s="26"/>
    </row>
    <row r="310" spans="2:25" s="31" customFormat="1" ht="15" customHeight="1">
      <c r="B310" s="3"/>
      <c r="C310" s="4"/>
      <c r="D310" s="4"/>
      <c r="E310" s="4"/>
      <c r="F310" s="4"/>
      <c r="G310" s="4"/>
      <c r="H310" s="4"/>
      <c r="I310" s="2"/>
      <c r="J310" s="2"/>
      <c r="K310" s="2"/>
      <c r="P310"/>
      <c r="U310" s="26"/>
      <c r="V310" s="26"/>
      <c r="W310" s="26"/>
      <c r="X310" s="26"/>
      <c r="Y310" s="26"/>
    </row>
    <row r="311" spans="2:25" s="31" customFormat="1" ht="15" customHeight="1">
      <c r="B311" s="3"/>
      <c r="C311" s="4"/>
      <c r="D311" s="4"/>
      <c r="E311" s="4"/>
      <c r="F311" s="4"/>
      <c r="G311" s="4"/>
      <c r="H311" s="4"/>
      <c r="I311" s="2"/>
      <c r="J311" s="2"/>
      <c r="K311" s="2"/>
      <c r="P311"/>
      <c r="U311" s="26"/>
      <c r="V311" s="26"/>
      <c r="W311" s="26"/>
      <c r="X311" s="26"/>
      <c r="Y311" s="26"/>
    </row>
    <row r="312" spans="2:25" s="31" customFormat="1" ht="15" customHeight="1">
      <c r="B312" s="3"/>
      <c r="C312" s="4"/>
      <c r="D312" s="4"/>
      <c r="E312" s="4"/>
      <c r="F312" s="4"/>
      <c r="G312" s="4"/>
      <c r="H312" s="4"/>
      <c r="I312" s="2"/>
      <c r="J312" s="2"/>
      <c r="K312" s="2"/>
      <c r="P312"/>
      <c r="U312" s="26"/>
      <c r="V312" s="26"/>
      <c r="W312" s="26"/>
      <c r="X312" s="26"/>
      <c r="Y312" s="26"/>
    </row>
    <row r="313" spans="2:25" s="31" customFormat="1" ht="15" customHeight="1">
      <c r="B313" s="3"/>
      <c r="C313" s="4"/>
      <c r="D313" s="4"/>
      <c r="E313" s="4"/>
      <c r="F313" s="4"/>
      <c r="G313" s="4"/>
      <c r="H313" s="4"/>
      <c r="I313" s="2"/>
      <c r="J313" s="2"/>
      <c r="K313" s="2"/>
      <c r="P313"/>
      <c r="U313" s="26"/>
      <c r="V313" s="26"/>
      <c r="W313" s="26"/>
      <c r="X313" s="26"/>
      <c r="Y313" s="26"/>
    </row>
    <row r="314" spans="2:25" s="31" customFormat="1" ht="15" customHeight="1">
      <c r="B314" s="3"/>
      <c r="C314" s="4"/>
      <c r="D314" s="4"/>
      <c r="E314" s="4"/>
      <c r="F314" s="4"/>
      <c r="G314" s="4"/>
      <c r="H314" s="4"/>
      <c r="I314" s="2"/>
      <c r="J314" s="2"/>
      <c r="K314" s="2"/>
      <c r="P314"/>
      <c r="U314" s="26"/>
      <c r="V314" s="26"/>
      <c r="W314" s="26"/>
      <c r="X314" s="26"/>
      <c r="Y314" s="26"/>
    </row>
    <row r="315" spans="2:25" s="31" customFormat="1" ht="15" customHeight="1">
      <c r="B315" s="3"/>
      <c r="C315" s="4"/>
      <c r="D315" s="4"/>
      <c r="E315" s="4"/>
      <c r="F315" s="4"/>
      <c r="G315" s="4"/>
      <c r="H315" s="4"/>
      <c r="I315" s="2"/>
      <c r="J315" s="2"/>
      <c r="K315" s="2"/>
      <c r="P315"/>
      <c r="U315" s="26"/>
      <c r="V315" s="26"/>
      <c r="W315" s="26"/>
      <c r="X315" s="26"/>
      <c r="Y315" s="26"/>
    </row>
    <row r="316" spans="2:25" s="31" customFormat="1" ht="15" customHeight="1">
      <c r="B316" s="3"/>
      <c r="C316" s="4"/>
      <c r="D316" s="4"/>
      <c r="E316" s="4"/>
      <c r="F316" s="4"/>
      <c r="G316" s="4"/>
      <c r="H316" s="4"/>
      <c r="I316" s="2"/>
      <c r="J316" s="2"/>
      <c r="K316" s="2"/>
      <c r="P316"/>
      <c r="U316" s="26"/>
      <c r="V316" s="26"/>
      <c r="W316" s="26"/>
      <c r="X316" s="26"/>
      <c r="Y316" s="26"/>
    </row>
    <row r="317" spans="2:25" s="31" customFormat="1" ht="15" customHeight="1">
      <c r="B317" s="3"/>
      <c r="C317" s="4"/>
      <c r="D317" s="4"/>
      <c r="E317" s="4"/>
      <c r="F317" s="4"/>
      <c r="G317" s="4"/>
      <c r="H317" s="4"/>
      <c r="I317" s="2"/>
      <c r="J317" s="2"/>
      <c r="K317" s="2"/>
      <c r="P317"/>
      <c r="U317" s="26"/>
      <c r="V317" s="26"/>
      <c r="W317" s="26"/>
      <c r="X317" s="26"/>
      <c r="Y317" s="26"/>
    </row>
    <row r="318" spans="2:25" s="31" customFormat="1" ht="15" customHeight="1">
      <c r="B318" s="3"/>
      <c r="C318" s="4"/>
      <c r="D318" s="4"/>
      <c r="E318" s="4"/>
      <c r="F318" s="4"/>
      <c r="G318" s="4"/>
      <c r="H318" s="4"/>
      <c r="I318" s="2"/>
      <c r="J318" s="2"/>
      <c r="K318" s="2"/>
      <c r="P318"/>
      <c r="U318" s="26"/>
      <c r="V318" s="26"/>
      <c r="W318" s="26"/>
      <c r="X318" s="26"/>
      <c r="Y318" s="26"/>
    </row>
    <row r="319" spans="2:25" s="31" customFormat="1" ht="15" customHeight="1">
      <c r="B319" s="3"/>
      <c r="C319" s="4"/>
      <c r="D319" s="4"/>
      <c r="E319" s="4"/>
      <c r="F319" s="4"/>
      <c r="G319" s="4"/>
      <c r="H319" s="4"/>
      <c r="I319" s="2"/>
      <c r="J319" s="2"/>
      <c r="K319" s="2"/>
      <c r="P319"/>
      <c r="U319" s="26"/>
      <c r="V319" s="26"/>
      <c r="W319" s="26"/>
      <c r="X319" s="26"/>
      <c r="Y319" s="26"/>
    </row>
    <row r="320" spans="2:25" s="31" customFormat="1" ht="15" customHeight="1">
      <c r="B320" s="3"/>
      <c r="C320" s="4"/>
      <c r="D320" s="4"/>
      <c r="E320" s="4"/>
      <c r="F320" s="4"/>
      <c r="G320" s="4"/>
      <c r="H320" s="4"/>
      <c r="I320" s="2"/>
      <c r="J320" s="2"/>
      <c r="K320" s="2"/>
      <c r="P320"/>
      <c r="U320" s="26"/>
      <c r="V320" s="26"/>
      <c r="W320" s="26"/>
      <c r="X320" s="26"/>
      <c r="Y320" s="26"/>
    </row>
    <row r="321" spans="2:25" s="31" customFormat="1" ht="15" customHeight="1">
      <c r="B321" s="3"/>
      <c r="C321" s="4"/>
      <c r="D321" s="4"/>
      <c r="E321" s="4"/>
      <c r="F321" s="4"/>
      <c r="G321" s="4"/>
      <c r="H321" s="4"/>
      <c r="I321" s="2"/>
      <c r="J321" s="2"/>
      <c r="K321" s="2"/>
      <c r="P321"/>
      <c r="U321" s="26"/>
      <c r="V321" s="26"/>
      <c r="W321" s="26"/>
      <c r="X321" s="26"/>
      <c r="Y321" s="26"/>
    </row>
    <row r="322" spans="2:25" s="31" customFormat="1" ht="15" customHeight="1">
      <c r="B322" s="3"/>
      <c r="C322" s="4"/>
      <c r="D322" s="4"/>
      <c r="E322" s="4"/>
      <c r="F322" s="4"/>
      <c r="G322" s="4"/>
      <c r="H322" s="4"/>
      <c r="I322" s="2"/>
      <c r="J322" s="2"/>
      <c r="K322" s="2"/>
      <c r="P322"/>
      <c r="U322" s="26"/>
      <c r="V322" s="26"/>
      <c r="W322" s="26"/>
      <c r="X322" s="26"/>
      <c r="Y322" s="26"/>
    </row>
    <row r="323" spans="2:25" s="31" customFormat="1" ht="15" customHeight="1">
      <c r="B323" s="3"/>
      <c r="C323" s="4"/>
      <c r="D323" s="4"/>
      <c r="E323" s="4"/>
      <c r="F323" s="4"/>
      <c r="G323" s="4"/>
      <c r="H323" s="4"/>
      <c r="I323" s="2"/>
      <c r="J323" s="2"/>
      <c r="K323" s="2"/>
      <c r="P323"/>
      <c r="U323" s="26"/>
      <c r="V323" s="26"/>
      <c r="W323" s="26"/>
      <c r="X323" s="26"/>
      <c r="Y323" s="26"/>
    </row>
    <row r="324" spans="2:25" s="31" customFormat="1" ht="15" customHeight="1">
      <c r="B324" s="3"/>
      <c r="C324" s="4"/>
      <c r="D324" s="4"/>
      <c r="E324" s="4"/>
      <c r="F324" s="4"/>
      <c r="G324" s="4"/>
      <c r="H324" s="4"/>
      <c r="I324" s="2"/>
      <c r="J324" s="2"/>
      <c r="K324" s="2"/>
      <c r="P324"/>
      <c r="U324" s="26"/>
      <c r="V324" s="26"/>
      <c r="W324" s="26"/>
      <c r="X324" s="26"/>
      <c r="Y324" s="26"/>
    </row>
    <row r="325" spans="2:25" s="31" customFormat="1" ht="15" customHeight="1">
      <c r="B325" s="3"/>
      <c r="C325" s="4"/>
      <c r="D325" s="4"/>
      <c r="E325" s="4"/>
      <c r="F325" s="4"/>
      <c r="G325" s="4"/>
      <c r="H325" s="4"/>
      <c r="I325" s="2"/>
      <c r="J325" s="2"/>
      <c r="K325" s="2"/>
      <c r="P325"/>
      <c r="U325" s="26"/>
      <c r="V325" s="26"/>
      <c r="W325" s="26"/>
      <c r="X325" s="26"/>
      <c r="Y325" s="26"/>
    </row>
    <row r="326" spans="2:25" s="31" customFormat="1" ht="15" customHeight="1">
      <c r="B326" s="3"/>
      <c r="C326" s="4"/>
      <c r="D326" s="4"/>
      <c r="E326" s="4"/>
      <c r="F326" s="4"/>
      <c r="G326" s="4"/>
      <c r="H326" s="4"/>
      <c r="I326" s="2"/>
      <c r="J326" s="2"/>
      <c r="K326" s="2"/>
      <c r="P326"/>
      <c r="U326" s="26"/>
      <c r="V326" s="26"/>
      <c r="W326" s="26"/>
      <c r="X326" s="26"/>
      <c r="Y326" s="26"/>
    </row>
    <row r="327" spans="2:25" s="31" customFormat="1" ht="15" customHeight="1">
      <c r="B327" s="3"/>
      <c r="C327" s="4"/>
      <c r="D327" s="4"/>
      <c r="E327" s="4"/>
      <c r="F327" s="4"/>
      <c r="G327" s="4"/>
      <c r="H327" s="4"/>
      <c r="I327" s="2"/>
      <c r="J327" s="2"/>
      <c r="K327" s="2"/>
      <c r="P327"/>
      <c r="U327" s="26"/>
      <c r="V327" s="26"/>
      <c r="W327" s="26"/>
      <c r="X327" s="26"/>
      <c r="Y327" s="26"/>
    </row>
    <row r="328" spans="2:25" s="31" customFormat="1" ht="15" customHeight="1">
      <c r="B328" s="3"/>
      <c r="C328" s="4"/>
      <c r="D328" s="4"/>
      <c r="E328" s="4"/>
      <c r="F328" s="4"/>
      <c r="G328" s="4"/>
      <c r="H328" s="4"/>
      <c r="I328" s="2"/>
      <c r="J328" s="2"/>
      <c r="K328" s="2"/>
      <c r="P328"/>
      <c r="U328" s="26"/>
      <c r="V328" s="26"/>
      <c r="W328" s="26"/>
      <c r="X328" s="26"/>
      <c r="Y328" s="26"/>
    </row>
    <row r="329" spans="2:25" s="31" customFormat="1" ht="15" customHeight="1">
      <c r="B329" s="3"/>
      <c r="C329" s="4"/>
      <c r="D329" s="4"/>
      <c r="E329" s="4"/>
      <c r="F329" s="4"/>
      <c r="G329" s="4"/>
      <c r="H329" s="4"/>
      <c r="I329" s="2"/>
      <c r="J329" s="2"/>
      <c r="K329" s="2"/>
      <c r="P329"/>
      <c r="U329" s="26"/>
      <c r="V329" s="26"/>
      <c r="W329" s="26"/>
      <c r="X329" s="26"/>
      <c r="Y329" s="26"/>
    </row>
    <row r="330" spans="2:25" s="31" customFormat="1" ht="15" customHeight="1">
      <c r="B330" s="3"/>
      <c r="C330" s="4"/>
      <c r="D330" s="4"/>
      <c r="E330" s="4"/>
      <c r="F330" s="4"/>
      <c r="G330" s="4"/>
      <c r="H330" s="4"/>
      <c r="I330" s="2"/>
      <c r="J330" s="2"/>
      <c r="K330" s="2"/>
      <c r="P330"/>
      <c r="U330" s="26"/>
      <c r="V330" s="26"/>
      <c r="W330" s="26"/>
      <c r="X330" s="26"/>
      <c r="Y330" s="26"/>
    </row>
    <row r="331" spans="2:25" s="31" customFormat="1" ht="15" customHeight="1">
      <c r="B331" s="3"/>
      <c r="C331" s="4"/>
      <c r="D331" s="4"/>
      <c r="E331" s="4"/>
      <c r="F331" s="4"/>
      <c r="G331" s="4"/>
      <c r="H331" s="4"/>
      <c r="I331" s="2"/>
      <c r="J331" s="2"/>
      <c r="K331" s="2"/>
      <c r="P331"/>
      <c r="U331" s="26"/>
      <c r="V331" s="26"/>
      <c r="W331" s="26"/>
      <c r="X331" s="26"/>
      <c r="Y331" s="26"/>
    </row>
    <row r="332" spans="2:25" s="31" customFormat="1" ht="15" customHeight="1">
      <c r="B332" s="3"/>
      <c r="C332" s="4"/>
      <c r="D332" s="4"/>
      <c r="E332" s="4"/>
      <c r="F332" s="4"/>
      <c r="G332" s="4"/>
      <c r="H332" s="4"/>
      <c r="I332" s="2"/>
      <c r="J332" s="2"/>
      <c r="K332" s="2"/>
      <c r="P332"/>
      <c r="U332" s="26"/>
      <c r="V332" s="26"/>
      <c r="W332" s="26"/>
      <c r="X332" s="26"/>
      <c r="Y332" s="26"/>
    </row>
    <row r="333" spans="2:25" s="31" customFormat="1" ht="15" customHeight="1">
      <c r="B333" s="3"/>
      <c r="C333" s="4"/>
      <c r="D333" s="4"/>
      <c r="E333" s="4"/>
      <c r="F333" s="4"/>
      <c r="G333" s="4"/>
      <c r="H333" s="4"/>
      <c r="I333" s="2"/>
      <c r="J333" s="2"/>
      <c r="K333" s="2"/>
      <c r="P333"/>
      <c r="U333" s="26"/>
      <c r="V333" s="26"/>
      <c r="W333" s="26"/>
      <c r="X333" s="26"/>
      <c r="Y333" s="26"/>
    </row>
    <row r="334" spans="2:25" s="31" customFormat="1" ht="15" customHeight="1">
      <c r="B334" s="3"/>
      <c r="C334" s="4"/>
      <c r="D334" s="4"/>
      <c r="E334" s="4"/>
      <c r="F334" s="4"/>
      <c r="G334" s="4"/>
      <c r="H334" s="4"/>
      <c r="I334" s="2"/>
      <c r="J334" s="2"/>
      <c r="K334" s="2"/>
      <c r="P334"/>
      <c r="U334" s="26"/>
      <c r="V334" s="26"/>
      <c r="W334" s="26"/>
      <c r="X334" s="26"/>
      <c r="Y334" s="26"/>
    </row>
    <row r="335" spans="2:25" s="31" customFormat="1" ht="15" customHeight="1">
      <c r="B335" s="3"/>
      <c r="C335" s="4"/>
      <c r="D335" s="4"/>
      <c r="E335" s="4"/>
      <c r="F335" s="4"/>
      <c r="G335" s="4"/>
      <c r="H335" s="4"/>
      <c r="I335" s="2"/>
      <c r="J335" s="2"/>
      <c r="K335" s="2"/>
      <c r="P335"/>
      <c r="U335" s="26"/>
      <c r="V335" s="26"/>
      <c r="W335" s="26"/>
      <c r="X335" s="26"/>
      <c r="Y335" s="26"/>
    </row>
    <row r="336" spans="2:25" s="31" customFormat="1" ht="15" customHeight="1">
      <c r="B336" s="3"/>
      <c r="C336" s="4"/>
      <c r="D336" s="4"/>
      <c r="E336" s="4"/>
      <c r="F336" s="4"/>
      <c r="G336" s="4"/>
      <c r="H336" s="4"/>
      <c r="I336" s="2"/>
      <c r="J336" s="2"/>
      <c r="K336" s="2"/>
      <c r="P336"/>
      <c r="U336" s="26"/>
      <c r="V336" s="26"/>
      <c r="W336" s="26"/>
      <c r="X336" s="26"/>
      <c r="Y336" s="26"/>
    </row>
    <row r="337" spans="2:25" s="31" customFormat="1" ht="15" customHeight="1">
      <c r="B337" s="3"/>
      <c r="C337" s="4"/>
      <c r="D337" s="4"/>
      <c r="E337" s="4"/>
      <c r="F337" s="4"/>
      <c r="G337" s="4"/>
      <c r="H337" s="4"/>
      <c r="I337" s="2"/>
      <c r="J337" s="2"/>
      <c r="K337" s="2"/>
      <c r="P337"/>
      <c r="U337" s="26"/>
      <c r="V337" s="26"/>
      <c r="W337" s="26"/>
      <c r="X337" s="26"/>
      <c r="Y337" s="26"/>
    </row>
    <row r="338" spans="2:25" s="31" customFormat="1" ht="15" customHeight="1">
      <c r="B338" s="3"/>
      <c r="C338" s="4"/>
      <c r="D338" s="4"/>
      <c r="E338" s="4"/>
      <c r="F338" s="4"/>
      <c r="G338" s="4"/>
      <c r="H338" s="4"/>
      <c r="I338" s="2"/>
      <c r="J338" s="2"/>
      <c r="K338" s="2"/>
      <c r="P338"/>
      <c r="U338" s="26"/>
      <c r="V338" s="26"/>
      <c r="W338" s="26"/>
      <c r="X338" s="26"/>
      <c r="Y338" s="26"/>
    </row>
    <row r="339" spans="2:25" s="31" customFormat="1" ht="15" customHeight="1">
      <c r="B339" s="3"/>
      <c r="C339" s="4"/>
      <c r="D339" s="4"/>
      <c r="E339" s="4"/>
      <c r="F339" s="4"/>
      <c r="G339" s="4"/>
      <c r="H339" s="4"/>
      <c r="I339" s="2"/>
      <c r="J339" s="2"/>
      <c r="K339" s="2"/>
      <c r="P339"/>
      <c r="U339" s="26"/>
      <c r="V339" s="26"/>
      <c r="W339" s="26"/>
      <c r="X339" s="26"/>
      <c r="Y339" s="26"/>
    </row>
    <row r="340" spans="2:25" s="31" customFormat="1" ht="15" customHeight="1">
      <c r="B340" s="3"/>
      <c r="C340" s="4"/>
      <c r="D340" s="4"/>
      <c r="E340" s="4"/>
      <c r="F340" s="4"/>
      <c r="G340" s="4"/>
      <c r="H340" s="4"/>
      <c r="I340" s="2"/>
      <c r="J340" s="2"/>
      <c r="K340" s="2"/>
      <c r="P340"/>
      <c r="U340" s="26"/>
      <c r="V340" s="26"/>
      <c r="W340" s="26"/>
      <c r="X340" s="26"/>
      <c r="Y340" s="26"/>
    </row>
    <row r="341" spans="2:25" s="31" customFormat="1" ht="15" customHeight="1">
      <c r="B341" s="3"/>
      <c r="C341" s="4"/>
      <c r="D341" s="4"/>
      <c r="E341" s="4"/>
      <c r="F341" s="4"/>
      <c r="G341" s="4"/>
      <c r="H341" s="4"/>
      <c r="I341" s="2"/>
      <c r="J341" s="2"/>
      <c r="K341" s="2"/>
      <c r="P341"/>
      <c r="U341" s="26"/>
      <c r="V341" s="26"/>
      <c r="W341" s="26"/>
      <c r="X341" s="26"/>
      <c r="Y341" s="26"/>
    </row>
    <row r="342" spans="2:25" s="31" customFormat="1" ht="15" customHeight="1">
      <c r="B342" s="3"/>
      <c r="C342" s="4"/>
      <c r="D342" s="4"/>
      <c r="E342" s="4"/>
      <c r="F342" s="4"/>
      <c r="G342" s="4"/>
      <c r="H342" s="4"/>
      <c r="I342" s="2"/>
      <c r="J342" s="2"/>
      <c r="K342" s="2"/>
      <c r="P342"/>
      <c r="U342" s="26"/>
      <c r="V342" s="26"/>
      <c r="W342" s="26"/>
      <c r="X342" s="26"/>
      <c r="Y342" s="26"/>
    </row>
    <row r="343" spans="2:25" s="31" customFormat="1" ht="15" customHeight="1">
      <c r="B343" s="3"/>
      <c r="C343" s="4"/>
      <c r="D343" s="4"/>
      <c r="E343" s="4"/>
      <c r="F343" s="4"/>
      <c r="G343" s="4"/>
      <c r="H343" s="4"/>
      <c r="I343" s="2"/>
      <c r="J343" s="2"/>
      <c r="K343" s="2"/>
      <c r="P343"/>
      <c r="U343" s="26"/>
      <c r="V343" s="26"/>
      <c r="W343" s="26"/>
      <c r="X343" s="26"/>
      <c r="Y343" s="26"/>
    </row>
    <row r="344" spans="2:25" s="31" customFormat="1" ht="15" customHeight="1">
      <c r="B344" s="3"/>
      <c r="C344" s="4"/>
      <c r="D344" s="4"/>
      <c r="E344" s="4"/>
      <c r="F344" s="4"/>
      <c r="G344" s="4"/>
      <c r="H344" s="4"/>
      <c r="I344" s="2"/>
      <c r="J344" s="2"/>
      <c r="K344" s="2"/>
      <c r="P344"/>
      <c r="U344" s="26"/>
      <c r="V344" s="26"/>
      <c r="W344" s="26"/>
      <c r="X344" s="26"/>
      <c r="Y344" s="26"/>
    </row>
    <row r="345" spans="2:25" s="31" customFormat="1" ht="15" customHeight="1">
      <c r="B345" s="3"/>
      <c r="C345" s="4"/>
      <c r="D345" s="4"/>
      <c r="E345" s="4"/>
      <c r="F345" s="4"/>
      <c r="G345" s="4"/>
      <c r="H345" s="4"/>
      <c r="I345" s="2"/>
      <c r="J345" s="2"/>
      <c r="K345" s="2"/>
      <c r="P345"/>
      <c r="U345" s="26"/>
      <c r="V345" s="26"/>
      <c r="W345" s="26"/>
      <c r="X345" s="26"/>
      <c r="Y345" s="26"/>
    </row>
    <row r="346" spans="2:25" s="31" customFormat="1" ht="15" customHeight="1">
      <c r="B346" s="3"/>
      <c r="C346" s="4"/>
      <c r="D346" s="4"/>
      <c r="E346" s="4"/>
      <c r="F346" s="4"/>
      <c r="G346" s="4"/>
      <c r="H346" s="4"/>
      <c r="I346" s="2"/>
      <c r="J346" s="2"/>
      <c r="K346" s="2"/>
      <c r="P346"/>
      <c r="U346" s="26"/>
      <c r="V346" s="26"/>
      <c r="W346" s="26"/>
      <c r="X346" s="26"/>
      <c r="Y346" s="26"/>
    </row>
    <row r="347" spans="2:25" s="31" customFormat="1" ht="15" customHeight="1">
      <c r="B347" s="3"/>
      <c r="C347" s="4"/>
      <c r="D347" s="4"/>
      <c r="E347" s="4"/>
      <c r="F347" s="4"/>
      <c r="G347" s="4"/>
      <c r="H347" s="4"/>
      <c r="I347" s="2"/>
      <c r="J347" s="2"/>
      <c r="K347" s="2"/>
      <c r="P347"/>
      <c r="U347" s="26"/>
      <c r="V347" s="26"/>
      <c r="W347" s="26"/>
      <c r="X347" s="26"/>
      <c r="Y347" s="26"/>
    </row>
    <row r="348" spans="2:25" s="31" customFormat="1" ht="15" customHeight="1">
      <c r="B348" s="3"/>
      <c r="C348" s="4"/>
      <c r="D348" s="4"/>
      <c r="E348" s="4"/>
      <c r="F348" s="4"/>
      <c r="G348" s="4"/>
      <c r="H348" s="4"/>
      <c r="I348" s="2"/>
      <c r="J348" s="2"/>
      <c r="K348" s="2"/>
      <c r="P348"/>
      <c r="U348" s="26"/>
      <c r="V348" s="26"/>
      <c r="W348" s="26"/>
      <c r="X348" s="26"/>
      <c r="Y348" s="26"/>
    </row>
    <row r="349" spans="2:25" ht="15" customHeight="1"/>
    <row r="350" spans="2:25" ht="15" customHeight="1"/>
    <row r="351" spans="2:25" ht="15" customHeight="1"/>
    <row r="352" spans="2:25" ht="15" customHeight="1"/>
    <row r="353" ht="15" customHeight="1"/>
    <row r="354" ht="15" customHeight="1"/>
    <row r="355" ht="15" customHeight="1"/>
    <row r="356" ht="15" customHeight="1"/>
    <row r="357" ht="15" customHeight="1"/>
  </sheetData>
  <mergeCells count="25">
    <mergeCell ref="D13:E13"/>
    <mergeCell ref="I13:J13"/>
    <mergeCell ref="D10:E10"/>
    <mergeCell ref="I10:J10"/>
    <mergeCell ref="N10:O10"/>
    <mergeCell ref="D12:E12"/>
    <mergeCell ref="I12:J12"/>
    <mergeCell ref="L2:M2"/>
    <mergeCell ref="N2:O2"/>
    <mergeCell ref="D3:E3"/>
    <mergeCell ref="F3:G3"/>
    <mergeCell ref="H3:I3"/>
    <mergeCell ref="J3:K3"/>
    <mergeCell ref="L3:M3"/>
    <mergeCell ref="J2:K2"/>
    <mergeCell ref="B8:O8"/>
    <mergeCell ref="B10:C10"/>
    <mergeCell ref="G10:H10"/>
    <mergeCell ref="L10:M10"/>
    <mergeCell ref="B12:C12"/>
    <mergeCell ref="B2:B3"/>
    <mergeCell ref="C2:C3"/>
    <mergeCell ref="D2:E2"/>
    <mergeCell ref="F2:G2"/>
    <mergeCell ref="H2:I2"/>
  </mergeCells>
  <hyperlinks>
    <hyperlink ref="F2" location="'City information'!A1" display="Set-up"/>
    <hyperlink ref="G2" location="'City information'!A1" display="'City information'!A1"/>
    <hyperlink ref="H2" location="Inventory!A1" display="Inventory"/>
    <hyperlink ref="I2" location="Inventory!A1" display="Inventory!A1"/>
    <hyperlink ref="N2" location="Analysis!A1" display="Analysis"/>
    <hyperlink ref="O2" location="Analysis!A1" display="Analysis!A1"/>
    <hyperlink ref="L2" location="Results!A1" display="Results"/>
    <hyperlink ref="M2" location="Results!A1" display="Results!A1"/>
    <hyperlink ref="F3" location="'Solid waste disposal'!A1" display="Solid waste disposal"/>
    <hyperlink ref="G3" location="'Solid waste disposal'!A1" display="'Solid waste disposal'!A1"/>
    <hyperlink ref="H3" location="'Biological treatment'!A1" display="Biological treatment"/>
    <hyperlink ref="I3" location="'Biological treatment'!A1" display="'Biological treatment'!A1"/>
    <hyperlink ref="J3" location="Incineration!A1" display="Incineration"/>
    <hyperlink ref="K3" location="Incineration!A1" display="Incineration!A1"/>
    <hyperlink ref="L3" location="Wastewater!A1" display="Wastewater"/>
    <hyperlink ref="M3" location="Wastewater!A1" display="Wastewater!A1"/>
    <hyperlink ref="D3" location="'Fugitive gas'!A1" display="Fugitive emissions"/>
    <hyperlink ref="E3" location="'Fugitive gas'!A1" display="'Fugitive gas'!A1"/>
    <hyperlink ref="D2" location="Home!A1" display="Introduction"/>
    <hyperlink ref="E2" location="Home!A1" display="Home!A1"/>
  </hyperlinks>
  <pageMargins left="0.25" right="0.25" top="0.75" bottom="0.75" header="0.3" footer="0.3"/>
  <pageSetup paperSize="9" scale="10" orientation="portrait" horizontalDpi="4294967292" verticalDpi="4294967292"/>
  <headerFooter>
    <oddHeader>&amp;CTable 4.1</oddHeader>
  </headerFooter>
  <drawing r:id="rId1"/>
  <extLst>
    <ext xmlns:mx="http://schemas.microsoft.com/office/mac/excel/2008/main" uri="{64002731-A6B0-56B0-2670-7721B7C09600}">
      <mx:PLV Mode="0" OnePage="0" WScale="71"/>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tabColor theme="0" tint="-0.34998626667073579"/>
    <outlinePr summaryRight="0"/>
  </sheetPr>
  <dimension ref="A1:AN73"/>
  <sheetViews>
    <sheetView showRowColHeaders="0" workbookViewId="0">
      <selection activeCell="F3" sqref="F3:G3"/>
    </sheetView>
  </sheetViews>
  <sheetFormatPr baseColWidth="10" defaultColWidth="0" defaultRowHeight="15" zeroHeight="1" x14ac:dyDescent="0"/>
  <cols>
    <col min="1" max="1" width="4.83203125" style="15" customWidth="1"/>
    <col min="2" max="18" width="12.83203125" style="15" customWidth="1"/>
    <col min="19" max="19" width="4.83203125" style="15" customWidth="1"/>
    <col min="20" max="24" width="23.6640625" style="15" hidden="1" customWidth="1"/>
    <col min="25" max="40" width="0" style="15" hidden="1" customWidth="1"/>
    <col min="41" max="16384" width="8.83203125" style="15" hidden="1"/>
  </cols>
  <sheetData>
    <row r="1" spans="1:25" s="498" customFormat="1">
      <c r="P1" s="499"/>
      <c r="Q1" s="499"/>
      <c r="R1" s="499"/>
      <c r="S1" s="500"/>
      <c r="T1" s="500"/>
      <c r="U1" s="500"/>
    </row>
    <row r="2" spans="1:25" s="464" customFormat="1" ht="31" customHeight="1">
      <c r="A2" s="494"/>
      <c r="B2" s="1817" t="s">
        <v>1965</v>
      </c>
      <c r="C2" s="1819">
        <v>400</v>
      </c>
      <c r="D2" s="1849" t="s">
        <v>1555</v>
      </c>
      <c r="E2" s="1850"/>
      <c r="F2" s="1849" t="s">
        <v>1563</v>
      </c>
      <c r="G2" s="1850"/>
      <c r="H2" s="1849" t="s">
        <v>794</v>
      </c>
      <c r="I2" s="1850"/>
      <c r="J2" s="2047" t="s">
        <v>1570</v>
      </c>
      <c r="K2" s="2033"/>
      <c r="L2" s="1849" t="s">
        <v>1564</v>
      </c>
      <c r="M2" s="1850"/>
      <c r="N2" s="1849" t="s">
        <v>1602</v>
      </c>
      <c r="O2" s="1850"/>
      <c r="P2" s="494"/>
      <c r="Q2" s="494"/>
      <c r="R2" s="494"/>
      <c r="S2" s="494"/>
    </row>
    <row r="3" spans="1:25" s="464" customFormat="1" ht="31" customHeight="1">
      <c r="A3" s="494"/>
      <c r="B3" s="1818"/>
      <c r="C3" s="1820"/>
      <c r="D3" s="1847" t="s">
        <v>1607</v>
      </c>
      <c r="E3" s="1848"/>
      <c r="F3" s="1843" t="s">
        <v>121</v>
      </c>
      <c r="G3" s="1844"/>
      <c r="H3" s="1843" t="s">
        <v>1604</v>
      </c>
      <c r="I3" s="1844"/>
      <c r="J3" s="1843" t="s">
        <v>1605</v>
      </c>
      <c r="K3" s="1844"/>
      <c r="L3" s="1843" t="s">
        <v>775</v>
      </c>
      <c r="M3" s="1844"/>
      <c r="N3" s="496"/>
      <c r="O3" s="496"/>
      <c r="P3" s="494"/>
      <c r="Q3" s="494"/>
      <c r="R3" s="494"/>
      <c r="S3" s="494"/>
    </row>
    <row r="4" spans="1:25" s="494" customFormat="1" ht="15" customHeight="1">
      <c r="B4" s="492"/>
      <c r="C4" s="495"/>
      <c r="D4" s="497"/>
      <c r="E4" s="497"/>
      <c r="F4" s="497"/>
      <c r="G4" s="497"/>
      <c r="H4" s="497"/>
      <c r="I4" s="497"/>
      <c r="J4" s="496"/>
      <c r="K4" s="496"/>
      <c r="L4" s="496"/>
      <c r="M4" s="496"/>
      <c r="N4" s="496"/>
      <c r="O4" s="496"/>
    </row>
    <row r="5" spans="1:25" ht="31" customHeight="1">
      <c r="B5" s="332"/>
      <c r="C5" s="332"/>
      <c r="D5" s="332"/>
    </row>
    <row r="6" spans="1:25" s="29" customFormat="1" ht="31" customHeight="1" thickBot="1">
      <c r="A6" s="15"/>
      <c r="B6" s="491" t="s">
        <v>1732</v>
      </c>
      <c r="C6" s="466"/>
      <c r="D6" s="466"/>
      <c r="E6" s="466"/>
      <c r="F6" s="466"/>
      <c r="G6" s="466"/>
      <c r="H6" s="466"/>
      <c r="I6" s="467"/>
      <c r="J6" s="467"/>
      <c r="K6" s="467"/>
      <c r="L6" s="468"/>
      <c r="M6" s="468"/>
      <c r="N6" s="468"/>
      <c r="O6" s="468"/>
      <c r="P6" s="468"/>
      <c r="Q6" s="468"/>
      <c r="R6" s="468"/>
      <c r="U6" s="234"/>
      <c r="V6" s="234"/>
      <c r="W6" s="234"/>
      <c r="X6" s="234"/>
      <c r="Y6" s="234"/>
    </row>
    <row r="7" spans="1:25" ht="15" customHeight="1" thickTop="1">
      <c r="B7" s="314"/>
      <c r="D7" s="332"/>
    </row>
    <row r="8" spans="1:25" s="29" customFormat="1" ht="18" customHeight="1">
      <c r="B8" s="1149" t="s">
        <v>1971</v>
      </c>
      <c r="C8" s="1149"/>
      <c r="D8" s="1149"/>
      <c r="E8" s="1149"/>
      <c r="F8" s="1149"/>
      <c r="G8" s="1149"/>
      <c r="H8" s="1149"/>
      <c r="I8" s="1149"/>
      <c r="J8" s="1149"/>
    </row>
    <row r="9" spans="1:25" s="29" customFormat="1" ht="18" customHeight="1">
      <c r="B9" s="1142" t="s">
        <v>1961</v>
      </c>
      <c r="C9" s="1143"/>
      <c r="D9" s="1143"/>
      <c r="E9" s="1143"/>
      <c r="F9" s="1143"/>
      <c r="G9" s="1143"/>
    </row>
    <row r="10" spans="1:25" ht="15" customHeight="1">
      <c r="B10" s="890"/>
      <c r="C10" s="408"/>
      <c r="D10" s="408"/>
      <c r="E10" s="408"/>
      <c r="F10" s="408"/>
      <c r="G10" s="408"/>
    </row>
    <row r="11" spans="1:25" s="29" customFormat="1" ht="15" customHeight="1">
      <c r="B11" s="465" t="s">
        <v>1817</v>
      </c>
      <c r="C11" s="229"/>
      <c r="D11" s="229"/>
      <c r="E11" s="230"/>
      <c r="F11" s="229"/>
      <c r="G11" s="229"/>
      <c r="H11" s="465"/>
      <c r="I11" s="232"/>
      <c r="J11" s="232"/>
      <c r="K11" s="30"/>
      <c r="U11" s="234"/>
      <c r="V11" s="234"/>
      <c r="W11" s="234"/>
      <c r="X11" s="234"/>
      <c r="Y11" s="234"/>
    </row>
    <row r="12" spans="1:25" ht="15" customHeight="1">
      <c r="B12" s="437"/>
      <c r="C12" s="408"/>
      <c r="D12" s="408"/>
      <c r="E12" s="408"/>
      <c r="F12" s="408"/>
      <c r="G12" s="408"/>
    </row>
    <row r="13" spans="1:25" ht="31" customHeight="1">
      <c r="B13" s="888" t="s">
        <v>1649</v>
      </c>
      <c r="C13" s="1207" t="s">
        <v>2026</v>
      </c>
      <c r="D13" s="1085"/>
      <c r="E13" s="1085"/>
      <c r="F13" s="1085"/>
      <c r="G13" s="1085"/>
      <c r="H13" s="1086"/>
      <c r="I13" s="1087"/>
    </row>
    <row r="14" spans="1:25" ht="31" customHeight="1">
      <c r="B14" s="889" t="s">
        <v>1650</v>
      </c>
      <c r="C14" s="1207" t="s">
        <v>2027</v>
      </c>
      <c r="D14" s="1085"/>
      <c r="E14" s="1085"/>
      <c r="F14" s="1085"/>
      <c r="G14" s="1085"/>
      <c r="H14" s="1086"/>
      <c r="I14" s="1087"/>
    </row>
    <row r="15" spans="1:25" ht="31" customHeight="1">
      <c r="B15" s="889" t="s">
        <v>1651</v>
      </c>
      <c r="C15" s="1207" t="s">
        <v>2028</v>
      </c>
      <c r="D15" s="1085"/>
      <c r="E15" s="1085"/>
      <c r="F15" s="1085"/>
      <c r="G15" s="1085"/>
      <c r="H15" s="1086"/>
      <c r="I15" s="1087"/>
    </row>
    <row r="16" spans="1:25" ht="31" customHeight="1">
      <c r="B16" s="889" t="s">
        <v>1652</v>
      </c>
      <c r="C16" s="1207" t="s">
        <v>2029</v>
      </c>
      <c r="D16" s="1085"/>
      <c r="E16" s="1085"/>
      <c r="F16" s="1085"/>
      <c r="G16" s="1085"/>
      <c r="H16" s="1086"/>
      <c r="I16" s="1087"/>
    </row>
    <row r="17" spans="1:40" ht="31" customHeight="1">
      <c r="B17" s="891" t="s">
        <v>1653</v>
      </c>
      <c r="C17" s="1207" t="s">
        <v>2030</v>
      </c>
      <c r="D17" s="1085"/>
      <c r="E17" s="1085"/>
      <c r="F17" s="1085"/>
      <c r="G17" s="1085"/>
      <c r="H17" s="1086"/>
      <c r="I17" s="1087"/>
    </row>
    <row r="18" spans="1:40" ht="15" customHeight="1">
      <c r="B18" s="437"/>
      <c r="C18" s="408"/>
      <c r="D18" s="408"/>
      <c r="E18" s="408"/>
      <c r="F18" s="408"/>
      <c r="G18" s="408"/>
    </row>
    <row r="19" spans="1:40" s="29" customFormat="1" ht="15" customHeight="1">
      <c r="B19" s="465" t="s">
        <v>1818</v>
      </c>
      <c r="C19" s="229"/>
      <c r="D19" s="229"/>
      <c r="E19" s="230"/>
      <c r="F19" s="229"/>
      <c r="G19" s="229"/>
      <c r="H19" s="465"/>
      <c r="I19" s="232"/>
      <c r="J19" s="232"/>
      <c r="K19" s="30"/>
      <c r="U19" s="234"/>
      <c r="V19" s="234"/>
      <c r="W19" s="234"/>
      <c r="X19" s="234"/>
      <c r="Y19" s="234"/>
    </row>
    <row r="20" spans="1:40" ht="15" customHeight="1">
      <c r="B20" s="406"/>
      <c r="C20" s="406"/>
      <c r="D20" s="406"/>
      <c r="E20" s="406"/>
      <c r="F20" s="406"/>
      <c r="G20" s="406"/>
      <c r="H20" s="406"/>
      <c r="I20" s="406"/>
      <c r="J20" s="406"/>
    </row>
    <row r="21" spans="1:40" customFormat="1" ht="15" customHeight="1">
      <c r="A21" s="15"/>
      <c r="B21" s="2267" t="s">
        <v>1007</v>
      </c>
      <c r="C21" s="2268"/>
      <c r="D21" s="2268"/>
      <c r="E21" s="2268"/>
      <c r="F21" s="2268" t="s">
        <v>1023</v>
      </c>
      <c r="G21" s="2268"/>
      <c r="H21" s="2268" t="s">
        <v>1024</v>
      </c>
      <c r="I21" s="2351"/>
      <c r="J21" s="15"/>
      <c r="K21" s="15"/>
      <c r="L21" s="15"/>
      <c r="M21" s="15"/>
      <c r="N21" s="15"/>
      <c r="O21" s="15"/>
      <c r="P21" s="15"/>
      <c r="Q21" s="15"/>
      <c r="R21" s="15"/>
      <c r="S21" s="15"/>
      <c r="T21" s="15"/>
      <c r="U21" s="15"/>
      <c r="V21" s="15"/>
      <c r="W21" s="15"/>
      <c r="X21" s="15"/>
      <c r="Y21" s="15"/>
      <c r="Z21" s="15"/>
      <c r="AA21" s="15"/>
      <c r="AB21" s="15"/>
      <c r="AC21" s="15"/>
      <c r="AD21" s="15"/>
      <c r="AE21" s="15"/>
      <c r="AF21" s="15"/>
      <c r="AG21" s="15"/>
      <c r="AH21" s="15"/>
      <c r="AI21" s="15"/>
      <c r="AJ21" s="15"/>
      <c r="AK21" s="15"/>
      <c r="AL21" s="15"/>
      <c r="AM21" s="15"/>
      <c r="AN21" s="15"/>
    </row>
    <row r="22" spans="1:40" customFormat="1" ht="15" customHeight="1">
      <c r="A22" s="15"/>
      <c r="B22" s="2269"/>
      <c r="C22" s="2270"/>
      <c r="D22" s="2270"/>
      <c r="E22" s="2270"/>
      <c r="F22" s="2270"/>
      <c r="G22" s="2270"/>
      <c r="H22" s="2270"/>
      <c r="I22" s="2352"/>
      <c r="J22" s="15"/>
      <c r="K22" s="15"/>
      <c r="L22" s="15"/>
      <c r="M22" s="15"/>
      <c r="N22" s="15"/>
      <c r="O22" s="15"/>
      <c r="P22" s="15"/>
      <c r="Q22" s="15"/>
      <c r="R22" s="15"/>
      <c r="S22" s="15"/>
      <c r="T22" s="15"/>
      <c r="U22" s="15"/>
      <c r="V22" s="15"/>
      <c r="W22" s="15"/>
      <c r="X22" s="15"/>
      <c r="Y22" s="15"/>
      <c r="Z22" s="15"/>
      <c r="AA22" s="15"/>
      <c r="AB22" s="15"/>
      <c r="AC22" s="15"/>
      <c r="AD22" s="15"/>
      <c r="AE22" s="15"/>
      <c r="AF22" s="15"/>
      <c r="AG22" s="15"/>
      <c r="AH22" s="15"/>
      <c r="AI22" s="15"/>
      <c r="AJ22" s="15"/>
      <c r="AK22" s="15"/>
      <c r="AL22" s="15"/>
      <c r="AM22" s="15"/>
      <c r="AN22" s="15"/>
    </row>
    <row r="23" spans="1:40" customFormat="1" ht="31" customHeight="1">
      <c r="A23" s="15"/>
      <c r="B23" s="2395" t="s">
        <v>1025</v>
      </c>
      <c r="C23" s="2395"/>
      <c r="D23" s="2395"/>
      <c r="E23" s="2395"/>
      <c r="F23" s="2271" t="str">
        <f>'City information'!E10</f>
        <v>Atlantis</v>
      </c>
      <c r="G23" s="2271"/>
      <c r="H23" s="2391"/>
      <c r="I23" s="2392"/>
      <c r="J23" s="15"/>
      <c r="K23" s="15"/>
      <c r="L23" s="15"/>
      <c r="M23" s="15"/>
      <c r="N23" s="15"/>
      <c r="O23" s="15"/>
      <c r="P23" s="15"/>
      <c r="Q23" s="15"/>
      <c r="R23" s="15"/>
      <c r="S23" s="15"/>
      <c r="T23" s="15"/>
      <c r="U23" s="15"/>
      <c r="V23" s="15"/>
      <c r="W23" s="15"/>
      <c r="X23" s="15"/>
      <c r="Y23" s="15"/>
      <c r="Z23" s="15"/>
      <c r="AA23" s="15"/>
      <c r="AB23" s="15"/>
      <c r="AC23" s="15"/>
      <c r="AD23" s="15"/>
      <c r="AE23" s="15"/>
      <c r="AF23" s="15"/>
      <c r="AG23" s="15"/>
      <c r="AH23" s="15"/>
      <c r="AI23" s="15"/>
      <c r="AJ23" s="15"/>
      <c r="AK23" s="15"/>
      <c r="AL23" s="15"/>
      <c r="AM23" s="15"/>
      <c r="AN23" s="15"/>
    </row>
    <row r="24" spans="1:40" customFormat="1" ht="31" customHeight="1">
      <c r="A24" s="15"/>
      <c r="B24" s="2396" t="s">
        <v>620</v>
      </c>
      <c r="C24" s="2396"/>
      <c r="D24" s="2396"/>
      <c r="E24" s="2396"/>
      <c r="F24" s="2271" t="str">
        <f>'City information'!E11</f>
        <v>Gondwana</v>
      </c>
      <c r="G24" s="2271"/>
      <c r="H24" s="2393"/>
      <c r="I24" s="2394"/>
      <c r="J24" s="15"/>
      <c r="K24" s="15"/>
      <c r="L24" s="15"/>
      <c r="M24" s="15"/>
      <c r="N24" s="15"/>
      <c r="O24" s="15"/>
      <c r="P24" s="15"/>
      <c r="Q24" s="15"/>
      <c r="R24" s="15"/>
      <c r="S24" s="15"/>
      <c r="T24" s="15"/>
      <c r="U24" s="15"/>
      <c r="V24" s="15"/>
      <c r="W24" s="15"/>
      <c r="X24" s="15"/>
      <c r="Y24" s="15"/>
      <c r="Z24" s="15"/>
      <c r="AA24" s="15"/>
      <c r="AB24" s="15"/>
      <c r="AC24" s="15"/>
      <c r="AD24" s="15"/>
      <c r="AE24" s="15"/>
      <c r="AF24" s="15"/>
      <c r="AG24" s="15"/>
      <c r="AH24" s="15"/>
      <c r="AI24" s="15"/>
      <c r="AJ24" s="15"/>
      <c r="AK24" s="15"/>
      <c r="AL24" s="15"/>
      <c r="AM24" s="15"/>
      <c r="AN24" s="15"/>
    </row>
    <row r="25" spans="1:40" ht="31" customHeight="1">
      <c r="B25" s="2396" t="s">
        <v>1659</v>
      </c>
      <c r="C25" s="2396"/>
      <c r="D25" s="2396"/>
      <c r="E25" s="2396"/>
      <c r="F25" s="2390" t="s">
        <v>1436</v>
      </c>
      <c r="G25" s="2390"/>
      <c r="H25" s="2353" t="s">
        <v>1028</v>
      </c>
      <c r="I25" s="2353"/>
    </row>
    <row r="26" spans="1:40" customFormat="1" ht="31" customHeight="1">
      <c r="A26" s="15"/>
      <c r="B26" s="2396" t="s">
        <v>1035</v>
      </c>
      <c r="C26" s="2396"/>
      <c r="D26" s="2396"/>
      <c r="E26" s="2396"/>
      <c r="F26" s="2274" t="str">
        <f>IF(ISBLANK('City information'!E31),"",IF('City information'!E31="IPCC Fifth Assessment Report (2013)","5AR",IF('City information'!E31="IPCC Fourth Assessment Report (2007)","4AR",IF('City information'!E31="IPCC Third Assessment Report (2001)","3AR",IF('City information'!E31="IPCC Second Assessment Report (1995)","2AR","")))))</f>
        <v>5AR</v>
      </c>
      <c r="G26" s="2274"/>
      <c r="H26" s="2353"/>
      <c r="I26" s="2353"/>
      <c r="J26" s="15"/>
      <c r="K26" s="15"/>
      <c r="L26" s="15"/>
      <c r="M26" s="15"/>
      <c r="N26" s="15"/>
      <c r="O26" s="15"/>
      <c r="P26" s="15"/>
      <c r="Q26" s="15"/>
      <c r="R26" s="15"/>
      <c r="S26" s="15"/>
      <c r="T26" s="15"/>
      <c r="U26" s="15"/>
      <c r="V26" s="15"/>
      <c r="W26" s="15"/>
      <c r="X26" s="15"/>
      <c r="Y26" s="15"/>
      <c r="Z26" s="15"/>
      <c r="AA26" s="15"/>
      <c r="AB26" s="15"/>
      <c r="AC26" s="15"/>
      <c r="AD26" s="15"/>
      <c r="AE26" s="15"/>
      <c r="AF26" s="15"/>
      <c r="AG26" s="15"/>
      <c r="AH26" s="15"/>
      <c r="AI26" s="15"/>
      <c r="AJ26" s="15"/>
      <c r="AK26" s="15"/>
      <c r="AL26" s="15"/>
      <c r="AM26" s="15"/>
      <c r="AN26" s="15"/>
    </row>
    <row r="27" spans="1:40" ht="15" customHeight="1">
      <c r="B27" s="399"/>
      <c r="C27" s="400"/>
      <c r="D27" s="332"/>
    </row>
    <row r="28" spans="1:40" ht="15" customHeight="1">
      <c r="B28" s="998" t="s">
        <v>1819</v>
      </c>
      <c r="C28" s="400"/>
      <c r="D28" s="400"/>
      <c r="E28" s="332"/>
    </row>
    <row r="29" spans="1:40" ht="15" customHeight="1">
      <c r="B29" s="399"/>
      <c r="C29" s="400"/>
      <c r="D29" s="400"/>
      <c r="E29" s="332"/>
    </row>
    <row r="30" spans="1:40" ht="15" customHeight="1">
      <c r="B30" s="2347" t="s">
        <v>723</v>
      </c>
      <c r="C30" s="2348"/>
      <c r="D30" s="2410" t="s">
        <v>2024</v>
      </c>
      <c r="E30" s="2411"/>
      <c r="F30" s="2412"/>
    </row>
    <row r="31" spans="1:40" ht="15" customHeight="1">
      <c r="B31" s="2349"/>
      <c r="C31" s="2350"/>
      <c r="D31" s="982" t="s">
        <v>2025</v>
      </c>
      <c r="E31" s="982" t="s">
        <v>1663</v>
      </c>
      <c r="F31" s="983" t="s">
        <v>174</v>
      </c>
    </row>
    <row r="32" spans="1:40" ht="31" customHeight="1">
      <c r="B32" s="1208" t="s">
        <v>2023</v>
      </c>
      <c r="C32" s="1340"/>
      <c r="D32" s="1739">
        <f>IFERROR(IF(SUM(O41:O45)&gt;0,SUM(O41:O45),""),"")</f>
        <v>19.125000005354998</v>
      </c>
      <c r="E32" s="1739">
        <f>IFERROR(IF(SUM(Q41:Q45)&gt;0,SUM(Q41:Q45),""),"")</f>
        <v>11550.000003233999</v>
      </c>
      <c r="F32" s="1338">
        <f>IFERROR(IF(SUM(D32:E32)&gt;0,SUM(D32:E32),""),"")</f>
        <v>11569.125003239355</v>
      </c>
    </row>
    <row r="33" spans="2:25" ht="15" customHeight="1">
      <c r="B33" s="1203"/>
      <c r="C33" s="1203"/>
      <c r="D33" s="1204"/>
      <c r="E33" s="1204"/>
      <c r="F33" s="1205"/>
    </row>
    <row r="34" spans="2:25" s="29" customFormat="1" ht="15" customHeight="1">
      <c r="B34" s="465" t="s">
        <v>1830</v>
      </c>
      <c r="C34" s="229"/>
      <c r="D34" s="229"/>
      <c r="E34" s="230"/>
      <c r="F34" s="229"/>
      <c r="G34" s="229"/>
      <c r="H34" s="465"/>
      <c r="I34" s="232"/>
      <c r="J34" s="232"/>
      <c r="K34" s="30"/>
      <c r="U34" s="234"/>
      <c r="V34" s="234"/>
      <c r="W34" s="234"/>
      <c r="X34" s="234"/>
      <c r="Y34" s="234"/>
    </row>
    <row r="35" spans="2:25" ht="15" customHeight="1">
      <c r="B35" s="401"/>
      <c r="C35" s="402"/>
      <c r="D35" s="332"/>
    </row>
    <row r="36" spans="2:25" ht="15" customHeight="1">
      <c r="B36" s="465" t="s">
        <v>1824</v>
      </c>
      <c r="C36" s="402"/>
      <c r="D36" s="332"/>
    </row>
    <row r="37" spans="2:25">
      <c r="B37" s="401"/>
      <c r="C37" s="402"/>
      <c r="D37" s="332"/>
    </row>
    <row r="38" spans="2:25" ht="16.5" customHeight="1">
      <c r="B38" s="2406" t="s">
        <v>1464</v>
      </c>
      <c r="C38" s="2348" t="s">
        <v>1731</v>
      </c>
      <c r="D38" s="701"/>
      <c r="E38" s="702" t="s">
        <v>1448</v>
      </c>
      <c r="F38" s="701"/>
      <c r="G38" s="2408" t="s">
        <v>1466</v>
      </c>
      <c r="H38" s="2408"/>
      <c r="I38" s="2423" t="s">
        <v>1449</v>
      </c>
      <c r="J38" s="2423"/>
      <c r="K38" s="2422" t="s">
        <v>1468</v>
      </c>
      <c r="L38" s="2422"/>
      <c r="M38" s="2422"/>
      <c r="N38" s="2422"/>
      <c r="O38" s="703" t="s">
        <v>303</v>
      </c>
      <c r="P38" s="2348" t="s">
        <v>304</v>
      </c>
      <c r="Q38" s="2348"/>
      <c r="R38" s="704" t="s">
        <v>174</v>
      </c>
    </row>
    <row r="39" spans="2:25" ht="15" customHeight="1">
      <c r="B39" s="2407"/>
      <c r="C39" s="2350"/>
      <c r="D39" s="2405" t="s">
        <v>1463</v>
      </c>
      <c r="E39" s="2405"/>
      <c r="F39" s="709" t="s">
        <v>1465</v>
      </c>
      <c r="G39" s="2409"/>
      <c r="H39" s="2409"/>
      <c r="I39" s="705" t="s">
        <v>921</v>
      </c>
      <c r="J39" s="706" t="s">
        <v>1467</v>
      </c>
      <c r="K39" s="2409" t="s">
        <v>303</v>
      </c>
      <c r="L39" s="2409"/>
      <c r="M39" s="2409" t="s">
        <v>304</v>
      </c>
      <c r="N39" s="2409"/>
      <c r="O39" s="706" t="s">
        <v>1657</v>
      </c>
      <c r="P39" s="707" t="s">
        <v>1658</v>
      </c>
      <c r="Q39" s="707" t="s">
        <v>924</v>
      </c>
      <c r="R39" s="708" t="s">
        <v>924</v>
      </c>
    </row>
    <row r="40" spans="2:25" ht="15" customHeight="1">
      <c r="B40" s="1731" t="s">
        <v>1168</v>
      </c>
      <c r="C40" s="1731" t="s">
        <v>1168</v>
      </c>
      <c r="D40" s="1731" t="s">
        <v>1935</v>
      </c>
      <c r="E40" s="1731" t="s">
        <v>1024</v>
      </c>
      <c r="F40" s="1731" t="s">
        <v>1168</v>
      </c>
      <c r="G40" s="1732" t="s">
        <v>2595</v>
      </c>
      <c r="H40" s="1733" t="s">
        <v>1024</v>
      </c>
      <c r="I40" s="1731" t="s">
        <v>1168</v>
      </c>
      <c r="J40" s="1731" t="s">
        <v>1168</v>
      </c>
      <c r="K40" s="1732" t="s">
        <v>2596</v>
      </c>
      <c r="L40" s="1733" t="s">
        <v>1024</v>
      </c>
      <c r="M40" s="1732" t="s">
        <v>2596</v>
      </c>
      <c r="N40" s="1733" t="s">
        <v>1024</v>
      </c>
      <c r="O40" s="1731" t="s">
        <v>1168</v>
      </c>
      <c r="P40" s="1731" t="s">
        <v>1168</v>
      </c>
      <c r="Q40" s="1731" t="s">
        <v>1168</v>
      </c>
      <c r="R40" s="1731" t="s">
        <v>1168</v>
      </c>
    </row>
    <row r="41" spans="2:25" ht="30" customHeight="1">
      <c r="B41" s="1801">
        <f>'I - Stationary'!K110</f>
        <v>3500</v>
      </c>
      <c r="C41" s="438" t="s">
        <v>880</v>
      </c>
      <c r="D41" s="403">
        <v>48</v>
      </c>
      <c r="E41" s="413"/>
      <c r="F41" s="412">
        <f>IF(E41&lt;&gt;0,E41,D41)*'Conversion factors'!$I$26*1000</f>
        <v>13333.3333296</v>
      </c>
      <c r="G41" s="414">
        <v>0.7</v>
      </c>
      <c r="H41" s="415"/>
      <c r="I41" s="1776">
        <f>IF(C41="","",IF(C41="kWh",B41,IF(C41="m3","",IF(C41="MWh",B41*1000,IF(C41="GWh",B41*1000000,IF(C41="TJ",(GPC!I172*GPC!H163)*B41,IF(C41="GJ",(GPC!E163*GPC!I172*GPC!H163)*B41,IF(C41="Tonnes",B41*F41,IF(C41="MBtu",B41*GPC!I175*GPC!H163,IF(C41="MMBtu",B41*GPC!I175*GPC!H163,""))))))))))</f>
        <v>3500000000</v>
      </c>
      <c r="J41" s="416">
        <f>IFERROR(IF(B41="","",IF(C41="m3",B41,(I41/F41)/(G41/1000))),"")</f>
        <v>375000000.10499996</v>
      </c>
      <c r="K41" s="324">
        <f>IF(B41="","",IF(F25="Please select","Select development status",VLOOKUP($F$25,$B$62:$M$63,11,FALSE)))</f>
        <v>5.1E-8</v>
      </c>
      <c r="L41" s="210"/>
      <c r="M41" s="324">
        <f>IF(B41="","",IF(F25="Please select","Select development status",VLOOKUP($F$25,$B$62:$G$63,5,FALSE)))</f>
        <v>1.1000000000000001E-6</v>
      </c>
      <c r="N41" s="210"/>
      <c r="O41" s="988">
        <f>IFERROR(IF(B41="","",J41*IF(L41&lt;&gt;0,L41,K41)),"")</f>
        <v>19.125000005354998</v>
      </c>
      <c r="P41" s="988">
        <f>IFERROR(IF(B41="","",J41*IF(N41&lt;&gt;0,N41,M41)),"")</f>
        <v>412.50000011549997</v>
      </c>
      <c r="Q41" s="988">
        <f>IFERROR(IF(B41="","",P41*HLOOKUP(IF($H$26&lt;&gt;0,$H$26,$F$26),GWP!$F$11:$I$14,4,FALSE)),"")</f>
        <v>11550.000003233999</v>
      </c>
      <c r="R41" s="988">
        <f>IFERROR(IF(B41="","",O41+Q41),"")</f>
        <v>11569.125003239355</v>
      </c>
    </row>
    <row r="42" spans="2:25" ht="30" customHeight="1">
      <c r="B42" s="438"/>
      <c r="C42" s="438"/>
      <c r="D42" s="403">
        <v>48</v>
      </c>
      <c r="E42" s="413"/>
      <c r="F42" s="412">
        <f>IF(E42&lt;&gt;0,E42,D42)*'Conversion factors'!$I$26*1000</f>
        <v>13333.3333296</v>
      </c>
      <c r="G42" s="414">
        <v>0.7</v>
      </c>
      <c r="H42" s="415"/>
      <c r="I42" s="1776" t="str">
        <f>IF(C42="","",IF(C42="kWh",B42,IF(C42="m3","",IF(C42="MWh",B42*1000,IF(C42="GWh",B42*1000000,IF(C42="TJ",(GPC!I173*GPC!H164)*B42,IF(C42="GJ",(GPC!E164*GPC!I173*GPC!H164)*B42,IF(C42="Tonnes",B42*F42,IF(C42="MBtu",B42*GPC!I176*GPC!H164,IF(C42="MMBtu",B42*GPC!I176*GPC!H164,""))))))))))</f>
        <v/>
      </c>
      <c r="J42" s="416" t="str">
        <f>IFERROR(IF(B42="","",IF(C42="m3",B42,(I42/F42)/(G42/1000))),"")</f>
        <v/>
      </c>
      <c r="K42" s="324" t="str">
        <f>IF(B42="","",IF(F26="Please select","Select development status",VLOOKUP($F$25,$B$62:$M$63,11,FALSE)))</f>
        <v/>
      </c>
      <c r="L42" s="210"/>
      <c r="M42" s="324" t="str">
        <f>IF(B42="","",IF(F26="Please select","Select development status",VLOOKUP($F$25,$B$62:$G$63,5,FALSE)))</f>
        <v/>
      </c>
      <c r="N42" s="210"/>
      <c r="O42" s="988" t="str">
        <f>IFERROR(IF(B42="","",J42*IF(L42&lt;&gt;0,L42,K42)),"")</f>
        <v/>
      </c>
      <c r="P42" s="988" t="str">
        <f>IFERROR(IF(B42="","",J42*IF(N42&lt;&gt;0,N42,M42)),"")</f>
        <v/>
      </c>
      <c r="Q42" s="988" t="str">
        <f>IFERROR(IF(B42="","",P42*HLOOKUP(IF($H$26&lt;&gt;0,$H$26,$F$26),GWP!$F$11:$I$14,4,FALSE)),"")</f>
        <v/>
      </c>
      <c r="R42" s="988" t="str">
        <f>IFERROR(IF(B42="","",O42+Q42),"")</f>
        <v/>
      </c>
    </row>
    <row r="43" spans="2:25" ht="30" customHeight="1">
      <c r="B43" s="438"/>
      <c r="C43" s="438"/>
      <c r="D43" s="403">
        <v>48</v>
      </c>
      <c r="E43" s="413"/>
      <c r="F43" s="412">
        <f>IF(E43&lt;&gt;0,E43,D43)*'Conversion factors'!$I$26*1000</f>
        <v>13333.3333296</v>
      </c>
      <c r="G43" s="414">
        <v>0.7</v>
      </c>
      <c r="H43" s="415"/>
      <c r="I43" s="1776" t="str">
        <f>IF(C43="","",IF(C43="kWh",B43,IF(C43="m3","",IF(C43="MWh",B43*1000,IF(C43="GWh",B43*1000000,IF(C43="TJ",(GPC!I174*GPC!H165)*B43,IF(C43="GJ",(GPC!E165*GPC!I174*GPC!H165)*B43,IF(C43="Tonnes",B43*F43,IF(C43="MBtu",B43*GPC!I177*GPC!H165,IF(C43="MMBtu",B43*GPC!I177*GPC!H165,""))))))))))</f>
        <v/>
      </c>
      <c r="J43" s="416" t="str">
        <f>IFERROR(IF(B43="","",IF(C43="m3",B43,(I43/F43)/(G43/1000))),"")</f>
        <v/>
      </c>
      <c r="K43" s="324" t="str">
        <f>IF(B43="","",IF(F27="Please select","Select development status",VLOOKUP($F$25,$B$62:$M$63,11,FALSE)))</f>
        <v/>
      </c>
      <c r="L43" s="210"/>
      <c r="M43" s="324" t="str">
        <f>IF(B43="","",IF(F27="Please select","Select development status",VLOOKUP($F$25,$B$62:$G$63,5,FALSE)))</f>
        <v/>
      </c>
      <c r="N43" s="210"/>
      <c r="O43" s="988" t="str">
        <f>IFERROR(IF(B43="","",J43*IF(L43&lt;&gt;0,L43,K43)),"")</f>
        <v/>
      </c>
      <c r="P43" s="988" t="str">
        <f>IFERROR(IF(B43="","",J43*IF(N43&lt;&gt;0,N43,M43)),"")</f>
        <v/>
      </c>
      <c r="Q43" s="988" t="str">
        <f>IFERROR(IF(B43="","",P43*HLOOKUP(IF($H$26&lt;&gt;0,$H$26,$F$26),GWP!$F$11:$I$14,4,FALSE)),"")</f>
        <v/>
      </c>
      <c r="R43" s="988" t="str">
        <f>IFERROR(IF(B43="","",O43+Q43),"")</f>
        <v/>
      </c>
    </row>
    <row r="44" spans="2:25" ht="30" customHeight="1">
      <c r="B44" s="438"/>
      <c r="C44" s="438"/>
      <c r="D44" s="403">
        <v>48</v>
      </c>
      <c r="E44" s="413"/>
      <c r="F44" s="412">
        <f>IF(E44&lt;&gt;0,E44,D44)*'Conversion factors'!$I$26*1000</f>
        <v>13333.3333296</v>
      </c>
      <c r="G44" s="414">
        <v>0.7</v>
      </c>
      <c r="H44" s="415"/>
      <c r="I44" s="1776" t="str">
        <f>IF(C44="","",IF(C44="kWh",B44,IF(C44="m3","",IF(C44="MWh",B44*1000,IF(C44="GWh",B44*1000000,IF(C44="TJ",(GPC!I175*GPC!H166)*B44,IF(C44="GJ",(GPC!E166*GPC!I175*GPC!H166)*B44,IF(C44="Tonnes",B44*F44,IF(C44="MBtu",B44*GPC!I178*GPC!H166,IF(C44="MMBtu",B44*GPC!I178*GPC!H166,""))))))))))</f>
        <v/>
      </c>
      <c r="J44" s="416" t="str">
        <f>IFERROR(IF(B44="","",IF(C44="m3",B44,(I44/F44)/(G44/1000))),"")</f>
        <v/>
      </c>
      <c r="K44" s="324" t="str">
        <f>IF(B44="","",IF(F28="Please select","Select development status",VLOOKUP($F$25,$B$62:$M$63,11,FALSE)))</f>
        <v/>
      </c>
      <c r="L44" s="210"/>
      <c r="M44" s="324" t="str">
        <f>IF(B44="","",IF(F28="Please select","Select development status",VLOOKUP($F$25,$B$62:$G$63,5,FALSE)))</f>
        <v/>
      </c>
      <c r="N44" s="210"/>
      <c r="O44" s="988" t="str">
        <f>IFERROR(IF(B44="","",J44*IF(L44&lt;&gt;0,L44,K44)),"")</f>
        <v/>
      </c>
      <c r="P44" s="988" t="str">
        <f>IFERROR(IF(B44="","",J44*IF(N44&lt;&gt;0,N44,M44)),"")</f>
        <v/>
      </c>
      <c r="Q44" s="988" t="str">
        <f>IFERROR(IF(B44="","",P44*HLOOKUP(IF($H$26&lt;&gt;0,$H$26,$F$26),GWP!$F$11:$I$14,4,FALSE)),"")</f>
        <v/>
      </c>
      <c r="R44" s="988" t="str">
        <f>IFERROR(IF(B44="","",O44+Q44),"")</f>
        <v/>
      </c>
    </row>
    <row r="45" spans="2:25" ht="30" customHeight="1">
      <c r="B45" s="438"/>
      <c r="C45" s="438"/>
      <c r="D45" s="403">
        <v>48</v>
      </c>
      <c r="E45" s="413"/>
      <c r="F45" s="412">
        <f>IF(E45&lt;&gt;0,E45,D45)*'Conversion factors'!$I$26*1000</f>
        <v>13333.3333296</v>
      </c>
      <c r="G45" s="414">
        <v>0.7</v>
      </c>
      <c r="H45" s="415"/>
      <c r="I45" s="1776" t="str">
        <f>IF(C45="","",IF(C45="kWh",B45,IF(C45="m3","",IF(C45="MWh",B45*1000,IF(C45="GWh",B45*1000000,IF(C45="TJ",(GPC!I176*GPC!H167)*B45,IF(C45="GJ",(GPC!E167*GPC!I176*GPC!H167)*B45,IF(C45="Tonnes",B45*F45,IF(C45="MBtu",B45*GPC!I179*GPC!H167,IF(C45="MMBtu",B45*GPC!I179*GPC!H167,""))))))))))</f>
        <v/>
      </c>
      <c r="J45" s="416" t="str">
        <f>IFERROR(IF(B45="","",IF(C45="m3",B45,(I45/F45)/(G45/1000))),"")</f>
        <v/>
      </c>
      <c r="K45" s="324" t="str">
        <f>IF(B45="","",IF(F29="Please select","Select development status",VLOOKUP($F$25,$B$62:$M$63,11,FALSE)))</f>
        <v/>
      </c>
      <c r="L45" s="210"/>
      <c r="M45" s="324" t="str">
        <f>IF(B45="","",IF(F29="Please select","Select development status",VLOOKUP($F$25,$B$62:$G$63,5,FALSE)))</f>
        <v/>
      </c>
      <c r="N45" s="210"/>
      <c r="O45" s="988" t="str">
        <f>IFERROR(IF(B45="","",J45*IF(L45&lt;&gt;0,L45,K45)),"")</f>
        <v/>
      </c>
      <c r="P45" s="988" t="str">
        <f>IFERROR(IF(B45="","",J45*IF(N45&lt;&gt;0,N45,M45)),"")</f>
        <v/>
      </c>
      <c r="Q45" s="988" t="str">
        <f>IFERROR(IF(B45="","",P45*HLOOKUP(IF($H$26&lt;&gt;0,$H$26,$F$26),GWP!$F$11:$I$14,4,FALSE)),"")</f>
        <v/>
      </c>
      <c r="R45" s="988" t="str">
        <f>IFERROR(IF(B45="","",O45+Q45),"")</f>
        <v/>
      </c>
    </row>
    <row r="46" spans="2:25" ht="15" customHeight="1">
      <c r="B46" s="19"/>
      <c r="C46" s="19"/>
      <c r="D46" s="694"/>
      <c r="E46" s="693"/>
      <c r="F46" s="693"/>
      <c r="G46" s="695"/>
      <c r="H46" s="696"/>
      <c r="I46" s="697"/>
      <c r="J46" s="698"/>
      <c r="K46" s="27"/>
      <c r="L46" s="27"/>
      <c r="M46" s="27"/>
      <c r="N46" s="27"/>
      <c r="O46" s="699"/>
      <c r="P46" s="699"/>
      <c r="Q46" s="2419" t="s">
        <v>174</v>
      </c>
      <c r="R46" s="2417">
        <f>SUM(R41:R45)</f>
        <v>11569.125003239355</v>
      </c>
    </row>
    <row r="47" spans="2:25" ht="16">
      <c r="B47" s="15" t="s">
        <v>1472</v>
      </c>
      <c r="C47" s="313"/>
      <c r="D47" s="404"/>
      <c r="E47" s="405"/>
      <c r="F47" s="404"/>
      <c r="G47" s="405"/>
      <c r="H47" s="404"/>
      <c r="I47" s="22"/>
      <c r="J47" s="22"/>
      <c r="Q47" s="2420"/>
      <c r="R47" s="2418"/>
    </row>
    <row r="48" spans="2:25" ht="16">
      <c r="B48" s="15" t="s">
        <v>1832</v>
      </c>
      <c r="C48" s="313"/>
      <c r="D48" s="404"/>
      <c r="E48" s="405"/>
      <c r="F48" s="404"/>
      <c r="G48" s="405"/>
      <c r="H48" s="404"/>
      <c r="I48" s="22"/>
      <c r="J48" s="22"/>
    </row>
    <row r="49" spans="1:38" ht="16">
      <c r="B49" s="423" t="s">
        <v>1831</v>
      </c>
      <c r="C49" s="423"/>
      <c r="D49" s="423"/>
      <c r="E49" s="423"/>
      <c r="F49" s="423"/>
      <c r="G49" s="423"/>
      <c r="H49" s="423"/>
      <c r="I49" s="423"/>
      <c r="J49" s="423"/>
      <c r="Y49" s="334"/>
      <c r="Z49" s="334"/>
      <c r="AA49" s="334"/>
      <c r="AB49" s="334"/>
      <c r="AC49" s="334"/>
      <c r="AD49" s="334"/>
      <c r="AE49" s="334"/>
      <c r="AF49" s="334"/>
      <c r="AG49" s="334"/>
      <c r="AH49" s="334"/>
      <c r="AI49" s="334"/>
      <c r="AJ49" s="334"/>
      <c r="AK49" s="334"/>
      <c r="AL49" s="334"/>
    </row>
    <row r="50" spans="1:38" ht="16">
      <c r="B50" s="15" t="s">
        <v>1470</v>
      </c>
    </row>
    <row r="51" spans="1:38"/>
    <row r="52" spans="1:38" s="29" customFormat="1" ht="31" customHeight="1" thickBot="1">
      <c r="A52" s="15"/>
      <c r="B52" s="491" t="s">
        <v>1703</v>
      </c>
      <c r="C52" s="466"/>
      <c r="D52" s="466"/>
      <c r="E52" s="466"/>
      <c r="F52" s="466"/>
      <c r="G52" s="466"/>
      <c r="H52" s="466"/>
      <c r="I52" s="467"/>
      <c r="J52" s="467"/>
      <c r="K52" s="467"/>
      <c r="L52" s="468"/>
      <c r="M52" s="468"/>
      <c r="N52" s="468"/>
      <c r="O52" s="468"/>
      <c r="P52" s="468"/>
      <c r="Q52" s="468"/>
      <c r="R52" s="468"/>
      <c r="U52" s="234"/>
      <c r="V52" s="234"/>
      <c r="W52" s="234"/>
      <c r="X52" s="234"/>
      <c r="Y52" s="234"/>
    </row>
    <row r="53" spans="1:38" ht="16" thickTop="1"/>
    <row r="54" spans="1:38" s="690" customFormat="1" ht="15" customHeight="1">
      <c r="A54" s="51"/>
      <c r="B54" s="684" t="s">
        <v>1471</v>
      </c>
      <c r="C54" s="685"/>
      <c r="D54" s="686"/>
      <c r="E54" s="686"/>
      <c r="F54" s="686"/>
      <c r="G54" s="686"/>
      <c r="H54" s="686"/>
      <c r="I54" s="686"/>
      <c r="J54" s="686"/>
      <c r="K54" s="686"/>
      <c r="L54" s="686"/>
      <c r="M54" s="686"/>
      <c r="N54" s="686"/>
      <c r="O54" s="687"/>
      <c r="P54" s="686"/>
      <c r="Q54" s="686"/>
      <c r="R54" s="686"/>
      <c r="S54" s="686"/>
      <c r="T54" s="686"/>
      <c r="U54" s="686"/>
      <c r="V54" s="686"/>
      <c r="W54" s="686"/>
      <c r="X54" s="686"/>
      <c r="Y54" s="688"/>
      <c r="Z54" s="688"/>
      <c r="AA54" s="689"/>
      <c r="AK54" s="691"/>
    </row>
    <row r="55" spans="1:38">
      <c r="C55" s="25"/>
    </row>
    <row r="56" spans="1:38" s="334" customFormat="1" ht="15" customHeight="1">
      <c r="A56" s="15"/>
      <c r="B56" s="2347" t="s">
        <v>1450</v>
      </c>
      <c r="C56" s="2348"/>
      <c r="D56" s="2404" t="s">
        <v>304</v>
      </c>
      <c r="E56" s="2404"/>
      <c r="F56" s="2404"/>
      <c r="G56" s="2404"/>
      <c r="H56" s="2404"/>
      <c r="I56" s="2404"/>
      <c r="J56" s="2404" t="s">
        <v>303</v>
      </c>
      <c r="K56" s="2404"/>
      <c r="L56" s="2404"/>
      <c r="M56" s="2404"/>
      <c r="N56" s="2404"/>
      <c r="O56" s="2207"/>
      <c r="P56" s="332"/>
      <c r="Q56" s="332"/>
      <c r="R56" s="332"/>
      <c r="S56" s="332"/>
      <c r="T56" s="332"/>
      <c r="U56" s="332"/>
      <c r="V56" s="332"/>
      <c r="W56" s="332"/>
      <c r="X56" s="332"/>
      <c r="Y56" s="347"/>
      <c r="Z56" s="347"/>
      <c r="AA56" s="348"/>
      <c r="AK56" s="349"/>
    </row>
    <row r="57" spans="1:38" s="334" customFormat="1" ht="15" customHeight="1">
      <c r="A57" s="15"/>
      <c r="B57" s="2349"/>
      <c r="C57" s="2350"/>
      <c r="D57" s="2405" t="s">
        <v>1169</v>
      </c>
      <c r="E57" s="2405"/>
      <c r="F57" s="2405" t="s">
        <v>1168</v>
      </c>
      <c r="G57" s="2405"/>
      <c r="H57" s="2405" t="s">
        <v>1451</v>
      </c>
      <c r="I57" s="2405"/>
      <c r="J57" s="2405" t="s">
        <v>1169</v>
      </c>
      <c r="K57" s="2405"/>
      <c r="L57" s="2405" t="s">
        <v>1168</v>
      </c>
      <c r="M57" s="2405"/>
      <c r="N57" s="2405" t="s">
        <v>1451</v>
      </c>
      <c r="O57" s="2421"/>
      <c r="P57" s="332"/>
      <c r="Q57" s="332"/>
      <c r="R57" s="332"/>
      <c r="S57" s="332"/>
      <c r="T57" s="332"/>
      <c r="U57" s="332"/>
      <c r="V57" s="332"/>
      <c r="W57" s="332"/>
      <c r="X57" s="332"/>
      <c r="Y57" s="347"/>
      <c r="Z57" s="347"/>
      <c r="AA57" s="348"/>
      <c r="AK57" s="349"/>
    </row>
    <row r="58" spans="1:38" s="334" customFormat="1" ht="15" customHeight="1">
      <c r="A58" s="15"/>
      <c r="B58" s="2414" t="s">
        <v>1459</v>
      </c>
      <c r="C58" s="2415"/>
      <c r="D58" s="2415"/>
      <c r="E58" s="2415"/>
      <c r="F58" s="2415"/>
      <c r="G58" s="2415"/>
      <c r="H58" s="2415"/>
      <c r="I58" s="2415"/>
      <c r="J58" s="2415"/>
      <c r="K58" s="2415"/>
      <c r="L58" s="2415"/>
      <c r="M58" s="2415"/>
      <c r="N58" s="2415"/>
      <c r="O58" s="2416"/>
      <c r="P58" s="332"/>
      <c r="Q58" s="332"/>
      <c r="R58" s="332"/>
      <c r="S58" s="332"/>
      <c r="T58" s="332"/>
      <c r="U58" s="332"/>
      <c r="V58" s="332"/>
      <c r="W58" s="332"/>
      <c r="X58" s="332"/>
      <c r="Y58" s="347"/>
      <c r="Z58" s="347"/>
      <c r="AA58" s="348"/>
      <c r="AK58" s="349"/>
    </row>
    <row r="59" spans="1:38" s="334" customFormat="1" ht="15" customHeight="1">
      <c r="A59" s="15"/>
      <c r="B59" s="2401" t="s">
        <v>1436</v>
      </c>
      <c r="C59" s="2401"/>
      <c r="D59" s="2397"/>
      <c r="E59" s="2397"/>
      <c r="F59" s="2397">
        <v>1.1000000000000001E-3</v>
      </c>
      <c r="G59" s="2397"/>
      <c r="H59" s="2402" t="s">
        <v>1452</v>
      </c>
      <c r="I59" s="2402"/>
      <c r="J59" s="2402"/>
      <c r="K59" s="2402"/>
      <c r="L59" s="2397">
        <v>5.1E-5</v>
      </c>
      <c r="M59" s="2397"/>
      <c r="N59" s="2402" t="s">
        <v>1452</v>
      </c>
      <c r="O59" s="2402"/>
      <c r="P59" s="332"/>
      <c r="Q59" s="332"/>
      <c r="R59" s="332"/>
      <c r="S59" s="332"/>
      <c r="T59" s="332"/>
      <c r="U59" s="332"/>
      <c r="V59" s="332"/>
      <c r="W59" s="332"/>
      <c r="X59" s="332"/>
      <c r="Y59" s="347"/>
      <c r="Z59" s="347"/>
      <c r="AA59" s="348"/>
      <c r="AK59" s="349"/>
    </row>
    <row r="60" spans="1:38" s="334" customFormat="1" ht="15" customHeight="1">
      <c r="A60" s="15"/>
      <c r="B60" s="2401" t="s">
        <v>1461</v>
      </c>
      <c r="C60" s="2401"/>
      <c r="D60" s="2413" t="s">
        <v>1453</v>
      </c>
      <c r="E60" s="2413"/>
      <c r="F60" s="2403">
        <f>AVERAGE(0.0011, 0.0025)</f>
        <v>1.8E-3</v>
      </c>
      <c r="G60" s="2403"/>
      <c r="H60" s="2402" t="s">
        <v>1452</v>
      </c>
      <c r="I60" s="2402"/>
      <c r="J60" s="2402" t="s">
        <v>1454</v>
      </c>
      <c r="K60" s="2402"/>
      <c r="L60" s="2403">
        <f>AVERAGE(0.0000515,0.00014)</f>
        <v>9.5749999999999996E-5</v>
      </c>
      <c r="M60" s="2403"/>
      <c r="N60" s="2402" t="s">
        <v>1452</v>
      </c>
      <c r="O60" s="2402"/>
      <c r="P60" s="332"/>
      <c r="Q60" s="332"/>
      <c r="R60" s="332"/>
      <c r="S60" s="332"/>
      <c r="T60" s="332"/>
      <c r="U60" s="332"/>
      <c r="V60" s="332"/>
      <c r="W60" s="332"/>
      <c r="X60" s="332"/>
      <c r="Y60" s="347"/>
      <c r="Z60" s="347"/>
      <c r="AA60" s="348"/>
      <c r="AK60" s="349"/>
    </row>
    <row r="61" spans="1:38" s="334" customFormat="1" ht="15" customHeight="1">
      <c r="A61" s="15"/>
      <c r="B61" s="2398" t="s">
        <v>1460</v>
      </c>
      <c r="C61" s="2399"/>
      <c r="D61" s="2399"/>
      <c r="E61" s="2399"/>
      <c r="F61" s="2399"/>
      <c r="G61" s="2399"/>
      <c r="H61" s="2399"/>
      <c r="I61" s="2399"/>
      <c r="J61" s="2399"/>
      <c r="K61" s="2399"/>
      <c r="L61" s="2399"/>
      <c r="M61" s="2399"/>
      <c r="N61" s="2399"/>
      <c r="O61" s="2400"/>
      <c r="P61" s="332"/>
      <c r="Q61" s="332"/>
      <c r="R61" s="332"/>
      <c r="S61" s="332"/>
      <c r="T61" s="332"/>
      <c r="U61" s="332"/>
      <c r="V61" s="332"/>
      <c r="W61" s="332"/>
      <c r="X61" s="332"/>
      <c r="Y61" s="347"/>
      <c r="Z61" s="347"/>
      <c r="AA61" s="348"/>
      <c r="AK61" s="349"/>
    </row>
    <row r="62" spans="1:38" s="334" customFormat="1" ht="15" customHeight="1">
      <c r="A62" s="15"/>
      <c r="B62" s="2401" t="s">
        <v>1436</v>
      </c>
      <c r="C62" s="2401"/>
      <c r="D62" s="2397"/>
      <c r="E62" s="2397"/>
      <c r="F62" s="2397">
        <f>(F59/1000000)*1000</f>
        <v>1.1000000000000001E-6</v>
      </c>
      <c r="G62" s="2397"/>
      <c r="H62" s="2402" t="s">
        <v>1452</v>
      </c>
      <c r="I62" s="2402"/>
      <c r="J62" s="2402"/>
      <c r="K62" s="2402"/>
      <c r="L62" s="2397">
        <f>(L59/1000000)*1000</f>
        <v>5.1E-8</v>
      </c>
      <c r="M62" s="2397"/>
      <c r="N62" s="2402" t="s">
        <v>1452</v>
      </c>
      <c r="O62" s="2402"/>
      <c r="P62" s="332"/>
      <c r="Q62" s="332"/>
      <c r="R62" s="332"/>
      <c r="S62" s="332"/>
      <c r="T62" s="332"/>
      <c r="U62" s="332"/>
      <c r="V62" s="332"/>
      <c r="W62" s="332"/>
      <c r="X62" s="332"/>
      <c r="Y62" s="347"/>
      <c r="Z62" s="347"/>
      <c r="AA62" s="348"/>
      <c r="AK62" s="349"/>
    </row>
    <row r="63" spans="1:38" s="334" customFormat="1" ht="15" customHeight="1">
      <c r="A63" s="15"/>
      <c r="B63" s="2401" t="s">
        <v>1461</v>
      </c>
      <c r="C63" s="2401"/>
      <c r="D63" s="2413"/>
      <c r="E63" s="2413"/>
      <c r="F63" s="2397">
        <f>(F60/1000000)*1000</f>
        <v>1.7999999999999999E-6</v>
      </c>
      <c r="G63" s="2397"/>
      <c r="H63" s="2402" t="s">
        <v>1452</v>
      </c>
      <c r="I63" s="2402"/>
      <c r="J63" s="2402"/>
      <c r="K63" s="2402"/>
      <c r="L63" s="2397">
        <f>(L60/1000000)*1000</f>
        <v>9.5749999999999994E-8</v>
      </c>
      <c r="M63" s="2397"/>
      <c r="N63" s="2402" t="s">
        <v>1452</v>
      </c>
      <c r="O63" s="2402"/>
      <c r="P63" s="332"/>
      <c r="Q63" s="332"/>
      <c r="R63" s="332"/>
      <c r="S63" s="332"/>
      <c r="T63" s="332"/>
      <c r="U63" s="332"/>
      <c r="V63" s="332"/>
      <c r="W63" s="332"/>
      <c r="X63" s="332"/>
      <c r="Y63" s="347"/>
      <c r="Z63" s="347"/>
      <c r="AA63" s="348"/>
      <c r="AK63" s="349"/>
    </row>
    <row r="64" spans="1:38" s="334" customFormat="1" ht="15" customHeight="1">
      <c r="A64" s="15"/>
      <c r="C64" s="410"/>
      <c r="D64" s="411"/>
      <c r="E64" s="411"/>
      <c r="F64" s="411"/>
      <c r="G64" s="411"/>
      <c r="H64" s="411"/>
      <c r="I64" s="332"/>
      <c r="J64" s="332"/>
      <c r="K64" s="332"/>
      <c r="L64" s="332"/>
      <c r="M64" s="332"/>
      <c r="N64" s="332"/>
      <c r="O64" s="337"/>
      <c r="P64" s="332"/>
      <c r="Q64" s="332"/>
      <c r="R64" s="332"/>
      <c r="S64" s="332"/>
      <c r="T64" s="332"/>
      <c r="U64" s="332"/>
      <c r="V64" s="332"/>
      <c r="W64" s="332"/>
      <c r="X64" s="332"/>
      <c r="Y64" s="347"/>
      <c r="Z64" s="347"/>
      <c r="AA64" s="348"/>
      <c r="AK64" s="349"/>
    </row>
    <row r="65" spans="1:37" s="334" customFormat="1" ht="15" customHeight="1">
      <c r="A65" s="15"/>
      <c r="B65" s="31" t="s">
        <v>1462</v>
      </c>
      <c r="C65" s="410"/>
      <c r="D65" s="411"/>
      <c r="E65" s="411"/>
      <c r="F65" s="411"/>
      <c r="G65" s="411"/>
      <c r="H65" s="411"/>
      <c r="I65" s="332"/>
      <c r="J65" s="332"/>
      <c r="K65" s="332"/>
      <c r="L65" s="332"/>
      <c r="M65" s="332"/>
      <c r="N65" s="332"/>
      <c r="O65" s="337"/>
      <c r="P65" s="332"/>
      <c r="Q65" s="332"/>
      <c r="R65" s="332"/>
      <c r="S65" s="332"/>
      <c r="T65" s="332"/>
      <c r="U65" s="332"/>
      <c r="V65" s="332"/>
      <c r="W65" s="332"/>
      <c r="X65" s="332"/>
      <c r="Y65" s="347"/>
      <c r="Z65" s="347"/>
      <c r="AA65" s="348"/>
      <c r="AK65" s="349"/>
    </row>
    <row r="66" spans="1:37" s="334" customFormat="1" ht="31" customHeight="1">
      <c r="A66" s="15"/>
      <c r="B66" s="409"/>
      <c r="C66" s="410"/>
      <c r="D66" s="411"/>
      <c r="E66" s="332"/>
      <c r="F66" s="332"/>
      <c r="G66" s="332"/>
      <c r="H66" s="332"/>
      <c r="I66" s="332"/>
      <c r="J66" s="332"/>
      <c r="K66" s="332"/>
      <c r="L66" s="332"/>
      <c r="M66" s="332"/>
      <c r="N66" s="332"/>
      <c r="O66" s="337"/>
      <c r="P66" s="332"/>
      <c r="Q66" s="332"/>
      <c r="R66" s="332"/>
      <c r="S66" s="332"/>
      <c r="T66" s="332"/>
      <c r="U66" s="332"/>
      <c r="V66" s="332"/>
      <c r="W66" s="332"/>
      <c r="X66" s="332"/>
      <c r="Y66" s="347"/>
      <c r="Z66" s="347"/>
      <c r="AA66" s="348"/>
      <c r="AK66" s="349"/>
    </row>
    <row r="67" spans="1:37" hidden="1"/>
    <row r="68" spans="1:37" hidden="1"/>
    <row r="69" spans="1:37" hidden="1"/>
    <row r="70" spans="1:37" hidden="1"/>
    <row r="71" spans="1:37" hidden="1"/>
    <row r="72" spans="1:37" hidden="1"/>
    <row r="73" spans="1:37" hidden="1"/>
  </sheetData>
  <mergeCells count="79">
    <mergeCell ref="R46:R47"/>
    <mergeCell ref="Q46:Q47"/>
    <mergeCell ref="P38:Q38"/>
    <mergeCell ref="M39:N39"/>
    <mergeCell ref="J57:K57"/>
    <mergeCell ref="L57:M57"/>
    <mergeCell ref="J56:O56"/>
    <mergeCell ref="N57:O57"/>
    <mergeCell ref="K39:L39"/>
    <mergeCell ref="K38:N38"/>
    <mergeCell ref="I38:J38"/>
    <mergeCell ref="H63:I63"/>
    <mergeCell ref="L63:M63"/>
    <mergeCell ref="D63:E63"/>
    <mergeCell ref="F59:G59"/>
    <mergeCell ref="B58:O58"/>
    <mergeCell ref="B63:C63"/>
    <mergeCell ref="H59:I59"/>
    <mergeCell ref="H60:I60"/>
    <mergeCell ref="J62:K62"/>
    <mergeCell ref="J63:K63"/>
    <mergeCell ref="F62:G62"/>
    <mergeCell ref="F63:G63"/>
    <mergeCell ref="D60:E60"/>
    <mergeCell ref="D59:E59"/>
    <mergeCell ref="N63:O63"/>
    <mergeCell ref="L59:M59"/>
    <mergeCell ref="F26:G26"/>
    <mergeCell ref="H26:I26"/>
    <mergeCell ref="B56:C57"/>
    <mergeCell ref="D56:I56"/>
    <mergeCell ref="D57:E57"/>
    <mergeCell ref="F57:G57"/>
    <mergeCell ref="H57:I57"/>
    <mergeCell ref="B38:B39"/>
    <mergeCell ref="C38:C39"/>
    <mergeCell ref="D39:E39"/>
    <mergeCell ref="G38:H39"/>
    <mergeCell ref="B30:C31"/>
    <mergeCell ref="D30:F30"/>
    <mergeCell ref="D62:E62"/>
    <mergeCell ref="B61:O61"/>
    <mergeCell ref="B59:C59"/>
    <mergeCell ref="B60:C60"/>
    <mergeCell ref="B62:C62"/>
    <mergeCell ref="N59:O59"/>
    <mergeCell ref="J59:K59"/>
    <mergeCell ref="J60:K60"/>
    <mergeCell ref="N60:O60"/>
    <mergeCell ref="N62:O62"/>
    <mergeCell ref="L62:M62"/>
    <mergeCell ref="H62:I62"/>
    <mergeCell ref="L60:M60"/>
    <mergeCell ref="F60:G60"/>
    <mergeCell ref="J2:K2"/>
    <mergeCell ref="L2:M2"/>
    <mergeCell ref="N2:O2"/>
    <mergeCell ref="D3:E3"/>
    <mergeCell ref="F3:G3"/>
    <mergeCell ref="H3:I3"/>
    <mergeCell ref="J3:K3"/>
    <mergeCell ref="L3:M3"/>
    <mergeCell ref="B2:B3"/>
    <mergeCell ref="C2:C3"/>
    <mergeCell ref="D2:E2"/>
    <mergeCell ref="F2:G2"/>
    <mergeCell ref="H2:I2"/>
    <mergeCell ref="B21:E22"/>
    <mergeCell ref="B23:E23"/>
    <mergeCell ref="B24:E24"/>
    <mergeCell ref="B25:E25"/>
    <mergeCell ref="B26:E26"/>
    <mergeCell ref="F21:G22"/>
    <mergeCell ref="H21:I22"/>
    <mergeCell ref="F23:G23"/>
    <mergeCell ref="F24:G24"/>
    <mergeCell ref="F25:G25"/>
    <mergeCell ref="H25:I25"/>
    <mergeCell ref="H23:I24"/>
  </mergeCells>
  <dataValidations count="3">
    <dataValidation type="list" allowBlank="1" showInputMessage="1" showErrorMessage="1" sqref="C47:C48">
      <formula1>FG_units</formula1>
    </dataValidation>
    <dataValidation type="list" allowBlank="1" showInputMessage="1" showErrorMessage="1" sqref="F25">
      <formula1>FGTOOL_Development</formula1>
    </dataValidation>
    <dataValidation type="list" allowBlank="1" showInputMessage="1" showErrorMessage="1" sqref="C41:C46">
      <formula1>FGTOOL_Units</formula1>
    </dataValidation>
  </dataValidations>
  <hyperlinks>
    <hyperlink ref="F2" location="'City information'!A1" display="Set-up"/>
    <hyperlink ref="G2" location="'City information'!A1" display="'City information'!A1"/>
    <hyperlink ref="L2" location="Summary!A1" display="Results"/>
    <hyperlink ref="M2" location="Summary!A1" display="Summary!A1"/>
    <hyperlink ref="H2" location="Inventory!A1" display="Inventory"/>
    <hyperlink ref="I2" location="Inventory!A1" display="Inventory!A1"/>
    <hyperlink ref="N2" location="Analysis!A1" display="Analysis"/>
    <hyperlink ref="O2" location="Analysis!A1" display="Analysis!A1"/>
    <hyperlink ref="J2" location="Calculators!A1" display="Calculators"/>
    <hyperlink ref="K2" location="Calculators!A1" display="Calculators!A1"/>
    <hyperlink ref="F3" location="'Solid waste disposal'!A1" display="Solid waste disposal"/>
    <hyperlink ref="G3" location="'Solid waste disposal'!A1" display="'Solid waste disposal'!A1"/>
    <hyperlink ref="H3" location="'Biological treatment'!A1" display="Biological treatment"/>
    <hyperlink ref="I3" location="'Biological treatment'!A1" display="'Biological treatment'!A1"/>
    <hyperlink ref="J3" location="Incineration!A1" display="Incineration"/>
    <hyperlink ref="K3" location="Incineration!A1" display="Incineration!A1"/>
    <hyperlink ref="L3" location="Wastewater!A1" display="Wastewater"/>
    <hyperlink ref="M3" location="Wastewater!A1" display="Wastewater!A1"/>
    <hyperlink ref="D2" location="Home!A1" display="Introduction"/>
    <hyperlink ref="E2" location="Home!A1" display="Home!A1"/>
  </hyperlinks>
  <pageMargins left="0.7" right="0.7" top="0.75" bottom="0.75" header="0.3" footer="0.3"/>
  <pageSetup paperSize="9" orientation="portrait"/>
  <drawing r:id="rId1"/>
  <extLst>
    <ext xmlns:mx="http://schemas.microsoft.com/office/mac/excel/2008/main" uri="{64002731-A6B0-56B0-2670-7721B7C09600}">
      <mx:PLV Mode="0" OnePage="0" WScale="0"/>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enableFormatConditionsCalculation="0">
    <tabColor theme="0" tint="-0.34998626667073579"/>
    <outlinePr summaryRight="0"/>
  </sheetPr>
  <dimension ref="A1:AA76"/>
  <sheetViews>
    <sheetView showRowColHeaders="0" workbookViewId="0">
      <selection activeCell="J3" sqref="J3:K3"/>
    </sheetView>
  </sheetViews>
  <sheetFormatPr baseColWidth="10" defaultColWidth="8.83203125" defaultRowHeight="15" zeroHeight="1" x14ac:dyDescent="0"/>
  <cols>
    <col min="1" max="1" width="4.83203125" style="15" customWidth="1"/>
    <col min="2" max="17" width="12.83203125" style="15" customWidth="1"/>
    <col min="18" max="18" width="4.83203125" style="15" customWidth="1"/>
    <col min="19" max="19" width="23.6640625" style="1089" customWidth="1"/>
    <col min="20" max="27" width="8.83203125" style="1089"/>
  </cols>
  <sheetData>
    <row r="1" spans="1:27">
      <c r="A1" s="498"/>
      <c r="B1" s="498"/>
      <c r="C1" s="498"/>
      <c r="D1" s="498"/>
      <c r="E1" s="498"/>
      <c r="F1" s="498"/>
      <c r="G1" s="498"/>
      <c r="H1" s="498"/>
      <c r="I1" s="498"/>
      <c r="J1" s="498"/>
      <c r="K1" s="498"/>
      <c r="L1" s="498"/>
      <c r="M1" s="498"/>
      <c r="N1" s="498"/>
      <c r="O1" s="498"/>
      <c r="P1" s="499"/>
      <c r="Q1" s="499"/>
      <c r="R1" s="499"/>
    </row>
    <row r="2" spans="1:27" ht="31" customHeight="1">
      <c r="A2" s="494"/>
      <c r="B2" s="1817" t="s">
        <v>1965</v>
      </c>
      <c r="C2" s="1819">
        <v>400</v>
      </c>
      <c r="D2" s="1849" t="s">
        <v>1555</v>
      </c>
      <c r="E2" s="1850"/>
      <c r="F2" s="1849" t="s">
        <v>1563</v>
      </c>
      <c r="G2" s="1850"/>
      <c r="H2" s="1849" t="s">
        <v>794</v>
      </c>
      <c r="I2" s="1850"/>
      <c r="J2" s="2047" t="s">
        <v>1570</v>
      </c>
      <c r="K2" s="2033"/>
      <c r="L2" s="1849" t="s">
        <v>1564</v>
      </c>
      <c r="M2" s="1850"/>
      <c r="N2" s="1849" t="s">
        <v>1602</v>
      </c>
      <c r="O2" s="1850"/>
      <c r="P2" s="494"/>
      <c r="Q2" s="494"/>
      <c r="R2" s="494"/>
    </row>
    <row r="3" spans="1:27" ht="31" customHeight="1">
      <c r="A3" s="494"/>
      <c r="B3" s="1818"/>
      <c r="C3" s="1820"/>
      <c r="D3" s="1843" t="s">
        <v>1607</v>
      </c>
      <c r="E3" s="1844"/>
      <c r="F3" s="1843" t="s">
        <v>121</v>
      </c>
      <c r="G3" s="1844"/>
      <c r="H3" s="1847" t="s">
        <v>1604</v>
      </c>
      <c r="I3" s="1848"/>
      <c r="J3" s="1843" t="s">
        <v>1605</v>
      </c>
      <c r="K3" s="1844"/>
      <c r="L3" s="1843" t="s">
        <v>775</v>
      </c>
      <c r="M3" s="1844"/>
      <c r="N3" s="496"/>
      <c r="O3" s="496"/>
      <c r="P3" s="494"/>
      <c r="Q3" s="494"/>
      <c r="R3" s="494"/>
    </row>
    <row r="4" spans="1:27" ht="15" customHeight="1">
      <c r="A4" s="494"/>
      <c r="B4" s="492"/>
      <c r="C4" s="495"/>
      <c r="D4" s="497"/>
      <c r="E4" s="497"/>
      <c r="F4" s="497"/>
      <c r="G4" s="497"/>
      <c r="H4" s="497"/>
      <c r="I4" s="497"/>
      <c r="J4" s="496"/>
      <c r="K4" s="496"/>
      <c r="L4" s="496"/>
      <c r="M4" s="496"/>
      <c r="N4" s="496"/>
      <c r="O4" s="496"/>
      <c r="P4" s="494"/>
      <c r="Q4" s="494"/>
      <c r="R4" s="494"/>
    </row>
    <row r="5" spans="1:27" ht="31" customHeight="1">
      <c r="B5" s="332"/>
      <c r="C5" s="332"/>
      <c r="D5" s="332"/>
    </row>
    <row r="6" spans="1:27" ht="31" customHeight="1" thickBot="1">
      <c r="B6" s="491" t="s">
        <v>1473</v>
      </c>
      <c r="C6" s="466"/>
      <c r="D6" s="466"/>
      <c r="E6" s="466"/>
      <c r="F6" s="466"/>
      <c r="G6" s="466"/>
      <c r="H6" s="466"/>
      <c r="I6" s="467"/>
      <c r="J6" s="467"/>
      <c r="K6" s="467"/>
      <c r="L6" s="468"/>
      <c r="M6" s="468"/>
      <c r="N6" s="468"/>
      <c r="O6" s="468"/>
      <c r="P6" s="468"/>
      <c r="Q6" s="468"/>
      <c r="R6" s="29"/>
    </row>
    <row r="7" spans="1:27" ht="15" customHeight="1" thickTop="1">
      <c r="B7" s="314"/>
      <c r="E7" s="332"/>
    </row>
    <row r="8" spans="1:27" s="231" customFormat="1" ht="18" customHeight="1">
      <c r="A8" s="1108"/>
      <c r="B8" s="1144" t="s">
        <v>1969</v>
      </c>
      <c r="C8" s="1144"/>
      <c r="D8" s="1144"/>
      <c r="E8" s="1144"/>
      <c r="F8" s="1144"/>
      <c r="G8" s="1144"/>
      <c r="H8" s="1144"/>
      <c r="I8" s="1144"/>
      <c r="J8" s="1108"/>
      <c r="K8" s="1108"/>
      <c r="L8" s="1108"/>
      <c r="M8" s="1108"/>
      <c r="N8" s="1108"/>
      <c r="O8" s="1108"/>
      <c r="P8" s="1108"/>
      <c r="Q8" s="1108"/>
      <c r="R8" s="1108"/>
      <c r="S8" s="1145"/>
      <c r="T8" s="1145"/>
      <c r="U8" s="1145"/>
      <c r="V8" s="1145"/>
      <c r="W8" s="1145"/>
      <c r="X8" s="1145"/>
      <c r="Y8" s="1145"/>
      <c r="Z8" s="1145"/>
      <c r="AA8" s="1145"/>
    </row>
    <row r="9" spans="1:27" s="231" customFormat="1" ht="18" customHeight="1">
      <c r="A9" s="1108"/>
      <c r="B9" s="1142" t="s">
        <v>1961</v>
      </c>
      <c r="C9" s="1146"/>
      <c r="D9" s="1146"/>
      <c r="E9" s="1146"/>
      <c r="F9" s="1146"/>
      <c r="G9" s="1146"/>
      <c r="H9" s="1146"/>
      <c r="I9" s="1146"/>
      <c r="J9" s="1108"/>
      <c r="K9" s="1108"/>
      <c r="L9" s="1108"/>
      <c r="M9" s="1108"/>
      <c r="N9" s="1108"/>
      <c r="O9" s="1108"/>
      <c r="P9" s="1108"/>
      <c r="Q9" s="1108"/>
      <c r="R9" s="1108"/>
      <c r="S9" s="1145"/>
      <c r="T9" s="1145"/>
      <c r="U9" s="1145"/>
      <c r="V9" s="1145"/>
      <c r="W9" s="1145"/>
      <c r="X9" s="1145"/>
      <c r="Y9" s="1145"/>
      <c r="Z9" s="1145"/>
      <c r="AA9" s="1145"/>
    </row>
    <row r="10" spans="1:27" ht="15" customHeight="1">
      <c r="A10" s="37"/>
      <c r="B10" s="739"/>
      <c r="C10" s="897"/>
      <c r="D10" s="897"/>
      <c r="E10" s="897"/>
      <c r="F10" s="897"/>
      <c r="G10" s="897"/>
      <c r="H10" s="897"/>
      <c r="I10" s="897"/>
      <c r="J10" s="37"/>
      <c r="K10" s="37"/>
      <c r="L10" s="37"/>
      <c r="M10" s="37"/>
      <c r="N10" s="37"/>
      <c r="O10" s="37"/>
      <c r="P10" s="37"/>
      <c r="Q10" s="37"/>
      <c r="R10" s="37"/>
    </row>
    <row r="11" spans="1:27" ht="15" customHeight="1">
      <c r="A11" s="37"/>
      <c r="B11" s="465" t="s">
        <v>1817</v>
      </c>
      <c r="C11" s="897"/>
      <c r="D11" s="897"/>
      <c r="E11" s="897"/>
      <c r="F11" s="897"/>
      <c r="G11" s="897"/>
      <c r="H11" s="897"/>
      <c r="I11" s="897"/>
      <c r="J11" s="37"/>
      <c r="K11" s="37"/>
      <c r="L11" s="37"/>
      <c r="M11" s="37"/>
      <c r="N11" s="37"/>
      <c r="O11" s="37"/>
      <c r="P11" s="37"/>
      <c r="Q11" s="37"/>
      <c r="R11" s="37"/>
    </row>
    <row r="12" spans="1:27" ht="15" customHeight="1">
      <c r="A12" s="37"/>
      <c r="B12" s="897"/>
      <c r="C12" s="897"/>
      <c r="D12" s="897"/>
      <c r="E12" s="897"/>
      <c r="F12" s="897"/>
      <c r="G12" s="897"/>
      <c r="H12" s="897"/>
      <c r="I12" s="897"/>
      <c r="J12" s="37"/>
      <c r="K12" s="37"/>
      <c r="L12" s="37"/>
      <c r="M12" s="37"/>
      <c r="N12" s="37"/>
      <c r="O12" s="37"/>
      <c r="P12" s="37"/>
      <c r="Q12" s="37"/>
      <c r="R12" s="37"/>
    </row>
    <row r="13" spans="1:27" ht="31" customHeight="1">
      <c r="B13" s="888" t="s">
        <v>1649</v>
      </c>
      <c r="C13" s="1206" t="s">
        <v>1777</v>
      </c>
      <c r="D13" s="885"/>
      <c r="E13" s="885"/>
      <c r="F13" s="885"/>
      <c r="G13" s="885"/>
      <c r="H13" s="886"/>
      <c r="I13" s="887"/>
    </row>
    <row r="14" spans="1:27" ht="31" customHeight="1">
      <c r="B14" s="889" t="s">
        <v>1650</v>
      </c>
      <c r="C14" s="1206" t="s">
        <v>1776</v>
      </c>
      <c r="D14" s="885"/>
      <c r="E14" s="885"/>
      <c r="F14" s="885"/>
      <c r="G14" s="885"/>
      <c r="H14" s="886"/>
      <c r="I14" s="887"/>
    </row>
    <row r="15" spans="1:27" ht="31" customHeight="1">
      <c r="B15" s="889" t="s">
        <v>1651</v>
      </c>
      <c r="C15" s="1206" t="s">
        <v>1775</v>
      </c>
      <c r="D15" s="885"/>
      <c r="E15" s="885"/>
      <c r="F15" s="885"/>
      <c r="G15" s="885"/>
      <c r="H15" s="886"/>
      <c r="I15" s="887"/>
    </row>
    <row r="16" spans="1:27" ht="31" customHeight="1">
      <c r="B16" s="889" t="s">
        <v>1652</v>
      </c>
      <c r="C16" s="1206" t="s">
        <v>2031</v>
      </c>
      <c r="D16" s="885"/>
      <c r="E16" s="885"/>
      <c r="F16" s="885"/>
      <c r="G16" s="885"/>
      <c r="H16" s="886"/>
      <c r="I16" s="887"/>
    </row>
    <row r="17" spans="1:18" ht="31" customHeight="1">
      <c r="B17" s="891" t="s">
        <v>1653</v>
      </c>
      <c r="C17" s="1206" t="s">
        <v>2029</v>
      </c>
      <c r="D17" s="885"/>
      <c r="E17" s="885"/>
      <c r="F17" s="885"/>
      <c r="G17" s="885"/>
      <c r="H17" s="886"/>
      <c r="I17" s="887"/>
    </row>
    <row r="18" spans="1:18" ht="15" customHeight="1">
      <c r="B18" s="314"/>
      <c r="E18" s="332"/>
    </row>
    <row r="19" spans="1:18" ht="15" customHeight="1">
      <c r="A19" s="29"/>
      <c r="B19" s="465" t="s">
        <v>1818</v>
      </c>
      <c r="C19" s="229"/>
      <c r="D19" s="229"/>
      <c r="E19" s="230"/>
      <c r="F19" s="229"/>
      <c r="G19" s="229"/>
      <c r="H19" s="465"/>
      <c r="I19" s="232"/>
      <c r="J19" s="232"/>
      <c r="K19" s="30"/>
      <c r="L19" s="29"/>
      <c r="M19" s="29"/>
      <c r="N19" s="29"/>
      <c r="O19" s="29"/>
      <c r="P19" s="29"/>
      <c r="Q19" s="29"/>
      <c r="R19" s="29"/>
    </row>
    <row r="20" spans="1:18" ht="15" customHeight="1">
      <c r="B20" s="737"/>
      <c r="C20" s="737"/>
      <c r="D20" s="737"/>
      <c r="E20" s="737"/>
      <c r="F20" s="737"/>
      <c r="G20" s="737"/>
      <c r="H20" s="737"/>
      <c r="I20" s="737"/>
      <c r="J20" s="737"/>
    </row>
    <row r="21" spans="1:18" ht="15" customHeight="1">
      <c r="B21" s="2267" t="s">
        <v>1007</v>
      </c>
      <c r="C21" s="2268"/>
      <c r="D21" s="2268"/>
      <c r="E21" s="2268"/>
      <c r="F21" s="2268" t="s">
        <v>1023</v>
      </c>
      <c r="G21" s="2268"/>
      <c r="H21" s="2268" t="s">
        <v>1024</v>
      </c>
      <c r="I21" s="2351"/>
    </row>
    <row r="22" spans="1:18" ht="15" customHeight="1">
      <c r="B22" s="2455"/>
      <c r="C22" s="2442"/>
      <c r="D22" s="2442"/>
      <c r="E22" s="2442"/>
      <c r="F22" s="2442"/>
      <c r="G22" s="2442"/>
      <c r="H22" s="2442"/>
      <c r="I22" s="2443"/>
    </row>
    <row r="23" spans="1:18" ht="31" customHeight="1">
      <c r="B23" s="2396" t="s">
        <v>1025</v>
      </c>
      <c r="C23" s="2396"/>
      <c r="D23" s="2396"/>
      <c r="E23" s="2396"/>
      <c r="F23" s="2271" t="str">
        <f>'City information'!E10</f>
        <v>Atlantis</v>
      </c>
      <c r="G23" s="2271"/>
      <c r="H23" s="2353"/>
      <c r="I23" s="2353"/>
    </row>
    <row r="24" spans="1:18" ht="31" customHeight="1">
      <c r="B24" s="2396" t="s">
        <v>620</v>
      </c>
      <c r="C24" s="2396"/>
      <c r="D24" s="2396"/>
      <c r="E24" s="2396"/>
      <c r="F24" s="2271" t="str">
        <f>'City information'!E11</f>
        <v>Gondwana</v>
      </c>
      <c r="G24" s="2271"/>
      <c r="H24" s="2353"/>
      <c r="I24" s="2353"/>
    </row>
    <row r="25" spans="1:18" ht="31" customHeight="1">
      <c r="B25" s="2396" t="s">
        <v>1779</v>
      </c>
      <c r="C25" s="2396"/>
      <c r="D25" s="2396"/>
      <c r="E25" s="2396"/>
      <c r="F25" s="2444">
        <v>26039.830999999998</v>
      </c>
      <c r="G25" s="2444"/>
      <c r="H25" s="2353" t="s">
        <v>1778</v>
      </c>
      <c r="I25" s="2353"/>
    </row>
    <row r="26" spans="1:18" ht="31" customHeight="1">
      <c r="B26" s="2396" t="s">
        <v>1487</v>
      </c>
      <c r="C26" s="2396"/>
      <c r="D26" s="2396"/>
      <c r="E26" s="2396"/>
      <c r="F26" s="2445" t="s">
        <v>1475</v>
      </c>
      <c r="G26" s="2445"/>
      <c r="H26" s="2353" t="s">
        <v>1028</v>
      </c>
      <c r="I26" s="2353"/>
      <c r="K26" s="780"/>
    </row>
    <row r="27" spans="1:18" ht="31" customHeight="1">
      <c r="B27" s="2396" t="s">
        <v>1035</v>
      </c>
      <c r="C27" s="2396"/>
      <c r="D27" s="2396"/>
      <c r="E27" s="2396"/>
      <c r="F27" s="2274" t="str">
        <f>IF(ISBLANK('[4]City information'!C27),"",IF('[4]City information'!C27="IPCC Fifth Asessment Report (2013)","5AR",IF('[4]City information'!C27="IPCC Fourth Assessment Report (2007)","4AR",IF('[4]City information'!C27="IPCC Third Assessment Report (2001)","3AR",IF('[4]City information'!C27="IPCC Second Assessment Report (1995)","2AR","")))))</f>
        <v>4AR</v>
      </c>
      <c r="G27" s="2274"/>
      <c r="H27" s="2353"/>
      <c r="I27" s="2353"/>
      <c r="K27" s="780"/>
    </row>
    <row r="28" spans="1:18">
      <c r="B28" s="399"/>
      <c r="C28" s="400"/>
      <c r="D28" s="400"/>
      <c r="E28" s="332"/>
      <c r="K28" s="780"/>
    </row>
    <row r="29" spans="1:18" ht="18">
      <c r="B29" s="998" t="s">
        <v>1819</v>
      </c>
      <c r="C29" s="400"/>
      <c r="D29" s="400"/>
      <c r="E29" s="332"/>
      <c r="K29" s="780"/>
    </row>
    <row r="30" spans="1:18">
      <c r="B30" s="399"/>
      <c r="C30" s="400"/>
      <c r="D30" s="400"/>
      <c r="E30" s="332"/>
      <c r="K30" s="780"/>
    </row>
    <row r="31" spans="1:18" ht="17">
      <c r="B31" s="2347" t="s">
        <v>723</v>
      </c>
      <c r="C31" s="2348"/>
      <c r="D31" s="2433" t="s">
        <v>1662</v>
      </c>
      <c r="E31" s="2433"/>
      <c r="F31" s="2434"/>
      <c r="K31" s="780"/>
    </row>
    <row r="32" spans="1:18" ht="17">
      <c r="B32" s="2349"/>
      <c r="C32" s="2350"/>
      <c r="D32" s="982" t="s">
        <v>1663</v>
      </c>
      <c r="E32" s="982" t="s">
        <v>1664</v>
      </c>
      <c r="F32" s="983" t="s">
        <v>174</v>
      </c>
      <c r="K32" s="780"/>
    </row>
    <row r="33" spans="1:18" ht="31" customHeight="1">
      <c r="B33" s="1208" t="s">
        <v>278</v>
      </c>
      <c r="C33" s="1340"/>
      <c r="D33" s="1779">
        <f>IFERROR(SUMIF(B53:B57,B33,N53:N57),"")</f>
        <v>3254.9788749999998</v>
      </c>
      <c r="E33" s="1780">
        <f>IFERROR(SUMIF(B53:B57,B33,P53:P57),"")</f>
        <v>2327.9608913999996</v>
      </c>
      <c r="F33" s="1342">
        <f>IFERROR(IF(SUM(D33:E33)&gt;0,SUM(D33:E33),""),"")</f>
        <v>5582.9397663999989</v>
      </c>
      <c r="K33" s="780"/>
    </row>
    <row r="34" spans="1:18" ht="31" customHeight="1">
      <c r="B34" s="1208" t="s">
        <v>279</v>
      </c>
      <c r="C34" s="1340"/>
      <c r="D34" s="1739">
        <f>IFERROR(SUMIF(B53:B57,B34,N53:N57),"")</f>
        <v>650.99577499999998</v>
      </c>
      <c r="E34" s="1778">
        <f>IFERROR(SUMIF(B53:B57,B34,P53:P57),"")</f>
        <v>0</v>
      </c>
      <c r="F34" s="1338">
        <f>IFERROR(IF(SUM(D34:E34)&gt;0,SUM(D34:E34),""),"")</f>
        <v>650.99577499999998</v>
      </c>
      <c r="K34" s="780"/>
    </row>
    <row r="35" spans="1:18" ht="31" customHeight="1">
      <c r="B35" s="1208" t="s">
        <v>174</v>
      </c>
      <c r="C35" s="1340"/>
      <c r="D35" s="1338">
        <f>IF(SUM(D33:D34)&gt;0,SUM(D33:D34),"")</f>
        <v>3905.9746499999997</v>
      </c>
      <c r="E35" s="1338">
        <f>IF(SUM(E33:E34)&gt;0,SUM(E33:E34),"")</f>
        <v>2327.9608913999996</v>
      </c>
      <c r="F35" s="1338">
        <f>IF(SUM(D35:E35)&gt;0,SUM(D35:E35),"")</f>
        <v>6233.9355413999992</v>
      </c>
      <c r="K35" s="780"/>
    </row>
    <row r="36" spans="1:18">
      <c r="B36" s="399"/>
      <c r="C36" s="400"/>
      <c r="D36" s="400"/>
      <c r="E36" s="332"/>
      <c r="K36" s="780"/>
    </row>
    <row r="37" spans="1:18" ht="15" customHeight="1">
      <c r="A37" s="785"/>
      <c r="B37" s="465" t="s">
        <v>1822</v>
      </c>
      <c r="C37" s="465"/>
      <c r="D37" s="465"/>
      <c r="E37" s="786"/>
      <c r="F37" s="465"/>
      <c r="G37" s="465"/>
      <c r="H37" s="465"/>
      <c r="I37" s="787"/>
      <c r="J37" s="787"/>
      <c r="K37" s="788"/>
      <c r="L37" s="785"/>
      <c r="M37" s="785"/>
      <c r="N37" s="785"/>
      <c r="O37" s="785"/>
      <c r="P37" s="785"/>
      <c r="Q37" s="785"/>
      <c r="R37" s="785"/>
    </row>
    <row r="38" spans="1:18" ht="15" customHeight="1">
      <c r="A38" s="785"/>
      <c r="B38" s="465"/>
      <c r="C38" s="465"/>
      <c r="D38" s="465"/>
      <c r="E38" s="786"/>
      <c r="F38" s="465"/>
      <c r="G38" s="465"/>
      <c r="H38" s="465"/>
      <c r="I38" s="787"/>
      <c r="J38" s="787"/>
      <c r="K38" s="788"/>
      <c r="L38" s="785"/>
      <c r="M38" s="785"/>
      <c r="N38" s="785"/>
      <c r="O38" s="785"/>
      <c r="P38" s="785"/>
      <c r="Q38" s="785"/>
      <c r="R38" s="785"/>
    </row>
    <row r="39" spans="1:18" ht="15" customHeight="1">
      <c r="A39" s="785"/>
      <c r="B39" s="465" t="s">
        <v>1823</v>
      </c>
      <c r="C39" s="465"/>
      <c r="D39" s="465"/>
      <c r="E39" s="786"/>
      <c r="F39" s="465"/>
      <c r="G39" s="465"/>
      <c r="H39" s="465"/>
      <c r="I39" s="787"/>
      <c r="J39" s="787"/>
      <c r="K39" s="788"/>
      <c r="L39" s="785"/>
      <c r="M39" s="785"/>
      <c r="N39" s="785"/>
      <c r="O39" s="785"/>
      <c r="P39" s="785"/>
      <c r="Q39" s="785"/>
      <c r="R39" s="785"/>
    </row>
    <row r="40" spans="1:18" ht="15" customHeight="1">
      <c r="B40" s="333"/>
      <c r="C40" s="333"/>
      <c r="D40" s="333"/>
      <c r="E40" s="332"/>
      <c r="F40" s="332"/>
    </row>
    <row r="41" spans="1:18" ht="30" customHeight="1">
      <c r="A41" s="205"/>
      <c r="B41" s="934" t="s">
        <v>1668</v>
      </c>
      <c r="C41" s="917" t="str">
        <f>"= Σi ( Mi * EFi ) * 0,001 - Ri"</f>
        <v>= Σi ( Mi * EFi ) * 0,001 - Ri</v>
      </c>
      <c r="D41" s="917"/>
      <c r="E41" s="918"/>
      <c r="F41" s="918"/>
      <c r="G41" s="1565"/>
      <c r="I41" s="934" t="s">
        <v>1780</v>
      </c>
      <c r="J41" s="928" t="str">
        <f>"= Σi ( Mi * EFi ) * 0,001"</f>
        <v>= Σi ( Mi * EFi ) * 0,001</v>
      </c>
      <c r="K41" s="928"/>
      <c r="L41" s="929"/>
      <c r="M41" s="929"/>
      <c r="N41" s="929"/>
      <c r="O41" s="930"/>
      <c r="Q41" s="205"/>
      <c r="R41" s="205"/>
    </row>
    <row r="42" spans="1:18" ht="30" customHeight="1">
      <c r="A42" s="205"/>
      <c r="B42" s="931" t="s">
        <v>1477</v>
      </c>
      <c r="C42" s="919" t="str">
        <f>"= Mass of organic waste treated by biological treatment type i, Gg"</f>
        <v>= Mass of organic waste treated by biological treatment type i, Gg</v>
      </c>
      <c r="D42" s="920"/>
      <c r="E42" s="921"/>
      <c r="F42" s="921"/>
      <c r="G42" s="922"/>
      <c r="I42" s="931" t="s">
        <v>1477</v>
      </c>
      <c r="J42" s="921" t="str">
        <f>"= Mass of organic waste treated by biological treatment type i, Gg"</f>
        <v>= Mass of organic waste treated by biological treatment type i, Gg</v>
      </c>
      <c r="K42" s="921"/>
      <c r="L42" s="921"/>
      <c r="M42" s="921"/>
      <c r="N42" s="921"/>
      <c r="O42" s="922"/>
      <c r="Q42" s="205"/>
      <c r="R42" s="205"/>
    </row>
    <row r="43" spans="1:18" ht="30" customHeight="1">
      <c r="A43" s="205"/>
      <c r="B43" s="932" t="s">
        <v>45</v>
      </c>
      <c r="C43" s="923" t="str">
        <f>"= Emission factor for treatment i, gCH4/kg waste treated"</f>
        <v>= Emission factor for treatment i, gCH4/kg waste treated</v>
      </c>
      <c r="D43" s="923"/>
      <c r="E43" s="923"/>
      <c r="F43" s="923"/>
      <c r="G43" s="924"/>
      <c r="I43" s="932" t="s">
        <v>45</v>
      </c>
      <c r="J43" s="923" t="str">
        <f>"= Emission factor for treatment i, gN2O/kg waste treated"</f>
        <v>= Emission factor for treatment i, gN2O/kg waste treated</v>
      </c>
      <c r="K43" s="923"/>
      <c r="L43" s="923"/>
      <c r="M43" s="923"/>
      <c r="N43" s="923"/>
      <c r="O43" s="924"/>
      <c r="Q43" s="205"/>
      <c r="R43" s="205"/>
    </row>
    <row r="44" spans="1:18" ht="30" customHeight="1">
      <c r="A44" s="205"/>
      <c r="B44" s="932" t="s">
        <v>1478</v>
      </c>
      <c r="C44" s="923" t="str">
        <f>"= Composting or anaerobic digestion"</f>
        <v>= Composting or anaerobic digestion</v>
      </c>
      <c r="D44" s="923"/>
      <c r="E44" s="923"/>
      <c r="F44" s="923"/>
      <c r="G44" s="924"/>
      <c r="I44" s="933" t="s">
        <v>1478</v>
      </c>
      <c r="J44" s="926" t="str">
        <f>"= Composting or anaerobic digestion"</f>
        <v>= Composting or anaerobic digestion</v>
      </c>
      <c r="K44" s="926"/>
      <c r="L44" s="926"/>
      <c r="M44" s="926"/>
      <c r="N44" s="926"/>
      <c r="O44" s="927"/>
      <c r="Q44" s="205"/>
      <c r="R44" s="205"/>
    </row>
    <row r="45" spans="1:18" ht="30" customHeight="1">
      <c r="A45" s="205"/>
      <c r="B45" s="933" t="s">
        <v>1048</v>
      </c>
      <c r="C45" s="926" t="str">
        <f>"= Total amount of CH4 recovered, kg CH4; default 0"</f>
        <v>= Total amount of CH4 recovered, kg CH4; default 0</v>
      </c>
      <c r="D45" s="926"/>
      <c r="E45" s="926"/>
      <c r="F45" s="926"/>
      <c r="G45" s="927"/>
      <c r="H45" s="205"/>
      <c r="I45" s="205"/>
      <c r="J45" s="205"/>
      <c r="K45" s="205"/>
      <c r="L45" s="925"/>
      <c r="M45" s="205"/>
      <c r="N45" s="205"/>
      <c r="O45" s="205"/>
      <c r="Q45" s="205"/>
      <c r="R45" s="205"/>
    </row>
    <row r="46" spans="1:18" ht="15" customHeight="1">
      <c r="B46" s="333"/>
      <c r="C46" s="333"/>
      <c r="D46" s="333"/>
      <c r="E46" s="332"/>
      <c r="F46" s="332"/>
      <c r="M46" s="780"/>
    </row>
    <row r="47" spans="1:18" ht="18">
      <c r="A47" s="785"/>
      <c r="B47" s="465" t="s">
        <v>1824</v>
      </c>
      <c r="C47" s="465"/>
      <c r="D47" s="465"/>
      <c r="E47" s="786"/>
      <c r="F47" s="465"/>
      <c r="G47" s="465"/>
      <c r="H47" s="465"/>
      <c r="I47" s="787"/>
      <c r="J47" s="787"/>
      <c r="K47" s="788"/>
      <c r="L47" s="785"/>
      <c r="M47" s="785"/>
      <c r="N47" s="785"/>
      <c r="O47" s="785"/>
      <c r="P47" s="785"/>
      <c r="Q47" s="785"/>
      <c r="R47" s="785"/>
    </row>
    <row r="48" spans="1:18">
      <c r="B48" s="401"/>
      <c r="E48" s="781"/>
      <c r="F48" s="332"/>
    </row>
    <row r="49" spans="1:18" ht="16.5" customHeight="1">
      <c r="A49" s="171"/>
      <c r="B49" s="2464" t="s">
        <v>1474</v>
      </c>
      <c r="C49" s="2439"/>
      <c r="D49" s="2439"/>
      <c r="E49" s="2439" t="s">
        <v>1486</v>
      </c>
      <c r="F49" s="2439"/>
      <c r="G49" s="2433" t="s">
        <v>1682</v>
      </c>
      <c r="H49" s="2433"/>
      <c r="I49" s="2433"/>
      <c r="J49" s="2433"/>
      <c r="K49" s="2440" t="s">
        <v>1683</v>
      </c>
      <c r="L49" s="2440"/>
      <c r="M49" s="2433" t="s">
        <v>1060</v>
      </c>
      <c r="N49" s="2433"/>
      <c r="O49" s="2433"/>
      <c r="P49" s="2433"/>
      <c r="Q49" s="2434"/>
      <c r="R49" s="171"/>
    </row>
    <row r="50" spans="1:18" ht="15" customHeight="1">
      <c r="A50" s="171"/>
      <c r="B50" s="2465"/>
      <c r="C50" s="2435"/>
      <c r="D50" s="2435"/>
      <c r="E50" s="2435" t="s">
        <v>1534</v>
      </c>
      <c r="F50" s="2435" t="s">
        <v>1485</v>
      </c>
      <c r="G50" s="2435" t="s">
        <v>1684</v>
      </c>
      <c r="H50" s="2435"/>
      <c r="I50" s="2435" t="s">
        <v>1685</v>
      </c>
      <c r="J50" s="2435"/>
      <c r="K50" s="2437"/>
      <c r="L50" s="2437"/>
      <c r="M50" s="2437" t="s">
        <v>1686</v>
      </c>
      <c r="N50" s="2437"/>
      <c r="O50" s="2438" t="s">
        <v>1664</v>
      </c>
      <c r="P50" s="2438"/>
      <c r="Q50" s="980" t="s">
        <v>174</v>
      </c>
      <c r="R50" s="171"/>
    </row>
    <row r="51" spans="1:18" ht="15" customHeight="1">
      <c r="A51" s="171"/>
      <c r="B51" s="2466"/>
      <c r="C51" s="2436"/>
      <c r="D51" s="2436"/>
      <c r="E51" s="2436"/>
      <c r="F51" s="2436"/>
      <c r="G51" s="2436"/>
      <c r="H51" s="2436"/>
      <c r="I51" s="2436"/>
      <c r="J51" s="2436"/>
      <c r="K51" s="2441"/>
      <c r="L51" s="2441"/>
      <c r="M51" s="981" t="s">
        <v>1658</v>
      </c>
      <c r="N51" s="982" t="s">
        <v>924</v>
      </c>
      <c r="O51" s="982" t="s">
        <v>1806</v>
      </c>
      <c r="P51" s="982" t="s">
        <v>924</v>
      </c>
      <c r="Q51" s="983" t="s">
        <v>924</v>
      </c>
      <c r="R51" s="171"/>
    </row>
    <row r="52" spans="1:18" ht="15" customHeight="1">
      <c r="A52" s="171"/>
      <c r="B52" s="2452"/>
      <c r="C52" s="2453"/>
      <c r="D52" s="2454"/>
      <c r="E52" s="700"/>
      <c r="F52" s="700"/>
      <c r="G52" s="700" t="s">
        <v>1023</v>
      </c>
      <c r="H52" s="700" t="s">
        <v>1024</v>
      </c>
      <c r="I52" s="700" t="s">
        <v>1023</v>
      </c>
      <c r="J52" s="700" t="s">
        <v>1024</v>
      </c>
      <c r="K52" s="700" t="s">
        <v>1023</v>
      </c>
      <c r="L52" s="700" t="s">
        <v>1024</v>
      </c>
      <c r="M52" s="692"/>
      <c r="N52" s="692"/>
      <c r="O52" s="692"/>
      <c r="P52" s="692"/>
      <c r="Q52" s="692"/>
    </row>
    <row r="53" spans="1:18" ht="30" customHeight="1">
      <c r="A53" s="171"/>
      <c r="B53" s="2449" t="s">
        <v>279</v>
      </c>
      <c r="C53" s="2450"/>
      <c r="D53" s="2451"/>
      <c r="E53" s="782"/>
      <c r="F53" s="783">
        <v>0.5</v>
      </c>
      <c r="G53" s="449">
        <f>IF($B53&lt;&gt;0,VLOOKUP($B53,$B$69:$L$70,IF($F$26="Dry waste",4,IF($F$26="Wet waste",6,12)),FALSE),"")</f>
        <v>2</v>
      </c>
      <c r="H53" s="782"/>
      <c r="I53" s="450">
        <f>IF($B53&lt;&gt;0,VLOOKUP($B53,$B$69:$M$70,IF($F$26="Dry waste",8,IF($F$26="Wet waste",10,12)),FALSE),"")</f>
        <v>0</v>
      </c>
      <c r="J53" s="782"/>
      <c r="K53" s="784">
        <f>IF(B53&lt;&gt;0,0,"")</f>
        <v>0</v>
      </c>
      <c r="L53" s="782"/>
      <c r="M53" s="988">
        <f>IFERROR(IF(E53&lt;&gt;0,E53,(F53*F$25))*(IF(H53&lt;&gt;0,H53,G53)/1000)-IF(L53&lt;&gt;0,L53,K53),"")</f>
        <v>26.039831</v>
      </c>
      <c r="N53" s="988">
        <f>IFERROR(IF(M53="","",M53*HLOOKUP(IF($H$27&lt;&gt;0,$H$27,$F$27),'[4]Reference Tables'!$F$85:$I$89,4,FALSE)),"Select GWP")</f>
        <v>650.99577499999998</v>
      </c>
      <c r="O53" s="988">
        <f>IFERROR(IF(E53&lt;&gt;0,E53,(F53*F$25))*(IF(J53&lt;&gt;0,J53,I53)/1000),"")</f>
        <v>0</v>
      </c>
      <c r="P53" s="1781">
        <f>IFERROR(IF(O53="","",O53*HLOOKUP(IF($H$27&lt;&gt;0,$H$27,$F$27),'[4]Reference Tables'!$F$85:$I$89,5,FALSE)),"Select GWP")</f>
        <v>0</v>
      </c>
      <c r="Q53" s="988">
        <f>IFERROR(N53+P53,"")</f>
        <v>650.99577499999998</v>
      </c>
    </row>
    <row r="54" spans="1:18" ht="30" customHeight="1">
      <c r="A54" s="171"/>
      <c r="B54" s="2449" t="s">
        <v>278</v>
      </c>
      <c r="C54" s="2450"/>
      <c r="D54" s="2451"/>
      <c r="E54" s="782"/>
      <c r="F54" s="783">
        <v>0.5</v>
      </c>
      <c r="G54" s="449">
        <f>IF($B54&lt;&gt;0,VLOOKUP($B54,$B$69:$L$70,IF($F$26="Dry waste",4,IF($F$26="Wet waste",6,12)),FALSE),"")</f>
        <v>10</v>
      </c>
      <c r="H54" s="782"/>
      <c r="I54" s="450">
        <f>IF($B54&lt;&gt;0,VLOOKUP($B54,$B$69:$M$70,IF($F$26="Dry waste",8,IF($F$26="Wet waste",10,12)),FALSE),"")</f>
        <v>0.6</v>
      </c>
      <c r="J54" s="782"/>
      <c r="K54" s="784">
        <f>IF(B54&lt;&gt;0,0,"")</f>
        <v>0</v>
      </c>
      <c r="L54" s="782"/>
      <c r="M54" s="988">
        <f>IFERROR(IF(E54&lt;&gt;0,E54,(F54*F$25))*(IF(H54&lt;&gt;0,H54,G54)/1000)-IF(L54&lt;&gt;0,L54,K54),"")</f>
        <v>130.19915499999999</v>
      </c>
      <c r="N54" s="988">
        <f>IFERROR(IF(M54="","",M54*HLOOKUP(IF($H$27&lt;&gt;0,$H$27,$F$27),'[4]Reference Tables'!$F$85:$I$89,4,FALSE)),"Select GWP")</f>
        <v>3254.9788749999998</v>
      </c>
      <c r="O54" s="988">
        <f>IFERROR(IF(E54&lt;&gt;0,E54,(F54*F$25))*(IF(J54&lt;&gt;0,J54,I54)/1000),"")</f>
        <v>7.8119492999999984</v>
      </c>
      <c r="P54" s="1781">
        <f>IFERROR(IF(O54="","",O54*HLOOKUP(IF($H$27&lt;&gt;0,$H$27,$F$27),'[4]Reference Tables'!$F$85:$I$89,5,FALSE)),"Select GWP")</f>
        <v>2327.9608913999996</v>
      </c>
      <c r="Q54" s="988">
        <f>IFERROR(N54+P54,"")</f>
        <v>5582.9397663999989</v>
      </c>
    </row>
    <row r="55" spans="1:18" ht="30" customHeight="1">
      <c r="A55" s="171"/>
      <c r="B55" s="2449" t="s">
        <v>182</v>
      </c>
      <c r="C55" s="2450"/>
      <c r="D55" s="2451"/>
      <c r="E55" s="782"/>
      <c r="F55" s="783"/>
      <c r="G55" s="449" t="e">
        <f>IF($B55&lt;&gt;0,VLOOKUP($B55,$B$69:$L$70,IF($F$26="Dry waste",4,IF($F$26="Wet waste",6,12)),FALSE),"")</f>
        <v>#N/A</v>
      </c>
      <c r="H55" s="782"/>
      <c r="I55" s="450" t="e">
        <f>IF($B55&lt;&gt;0,VLOOKUP($B55,$B$69:$M$70,IF($F$26="Dry waste",8,IF($F$26="Wet waste",10,12)),FALSE),"")</f>
        <v>#N/A</v>
      </c>
      <c r="J55" s="782"/>
      <c r="K55" s="784">
        <f>IF(B55&lt;&gt;0,0,"")</f>
        <v>0</v>
      </c>
      <c r="L55" s="782"/>
      <c r="M55" s="988" t="str">
        <f>IFERROR(IF(E55&lt;&gt;0,E55,(F55*F$25))*(IF(H55&lt;&gt;0,H55,G55)/1000)-IF(L55&lt;&gt;0,L55,K55),"")</f>
        <v/>
      </c>
      <c r="N55" s="988" t="str">
        <f>IFERROR(IF(M55="","",M55*HLOOKUP(IF($H$27&lt;&gt;0,$H$27,$F$27),'[4]Reference Tables'!$F$85:$I$89,4,FALSE)),"Select GWP")</f>
        <v/>
      </c>
      <c r="O55" s="988" t="str">
        <f>IFERROR(IF(E55&lt;&gt;0,E55,(F55*F$25))*(IF(J55&lt;&gt;0,J55,I55)/1000),"")</f>
        <v/>
      </c>
      <c r="P55" s="1782" t="str">
        <f>IFERROR(IF(O55="","",O55*HLOOKUP(IF($H$27&lt;&gt;0,$H$27,$F$27),'[4]Reference Tables'!$F$85:$I$89,5,FALSE)),"Select GWP")</f>
        <v/>
      </c>
      <c r="Q55" s="988" t="str">
        <f>IFERROR(N55+P55,"")</f>
        <v/>
      </c>
    </row>
    <row r="56" spans="1:18" ht="30" customHeight="1">
      <c r="A56" s="171"/>
      <c r="B56" s="2449" t="s">
        <v>182</v>
      </c>
      <c r="C56" s="2450"/>
      <c r="D56" s="2451"/>
      <c r="E56" s="782"/>
      <c r="F56" s="783"/>
      <c r="G56" s="449" t="e">
        <f>IF($B56&lt;&gt;0,VLOOKUP($B56,$B$69:$L$70,IF($F$26="Dry waste",4,IF($F$26="Wet waste",6,12)),FALSE),"")</f>
        <v>#N/A</v>
      </c>
      <c r="H56" s="782"/>
      <c r="I56" s="450" t="e">
        <f>IF($B56&lt;&gt;0,VLOOKUP($B56,$B$69:$M$70,IF($F$26="Dry waste",8,IF($F$26="Wet waste",10,12)),FALSE),"")</f>
        <v>#N/A</v>
      </c>
      <c r="J56" s="782"/>
      <c r="K56" s="784">
        <f>IF(B56&lt;&gt;0,0,"")</f>
        <v>0</v>
      </c>
      <c r="L56" s="782"/>
      <c r="M56" s="988" t="str">
        <f>IFERROR(IF(E56&lt;&gt;0,E56,(F56*F$25))*(IF(H56&lt;&gt;0,H56,G56)/1000)-IF(L56&lt;&gt;0,L56,K56),"")</f>
        <v/>
      </c>
      <c r="N56" s="988" t="str">
        <f>IFERROR(IF(M56="","",M56*HLOOKUP(IF($H$27&lt;&gt;0,$H$27,$F$27),'[4]Reference Tables'!$F$85:$I$89,4,FALSE)),"Select GWP")</f>
        <v/>
      </c>
      <c r="O56" s="988" t="str">
        <f>IFERROR(IF(E56&lt;&gt;0,E56,(F56*F$25))*(IF(J56&lt;&gt;0,J56,I56)/1000),"")</f>
        <v/>
      </c>
      <c r="P56" s="1782" t="str">
        <f>IFERROR(IF(O56="","",O56*HLOOKUP(IF($H$27&lt;&gt;0,$H$27,$F$27),'[4]Reference Tables'!$F$85:$I$89,5,FALSE)),"Select GWP")</f>
        <v/>
      </c>
      <c r="Q56" s="988" t="str">
        <f>IFERROR(N56+P56,"")</f>
        <v/>
      </c>
    </row>
    <row r="57" spans="1:18" ht="30" customHeight="1">
      <c r="A57" s="171"/>
      <c r="B57" s="2449" t="s">
        <v>182</v>
      </c>
      <c r="C57" s="2450"/>
      <c r="D57" s="2451"/>
      <c r="E57" s="782"/>
      <c r="F57" s="783"/>
      <c r="G57" s="449" t="e">
        <f>IF($B57&lt;&gt;0,VLOOKUP($B57,$B$69:$L$70,IF($F$26="Dry waste",4,IF($F$26="Wet waste",6,12)),FALSE),"")</f>
        <v>#N/A</v>
      </c>
      <c r="H57" s="782"/>
      <c r="I57" s="450" t="e">
        <f>IF($B57&lt;&gt;0,VLOOKUP($B57,$B$69:$M$70,IF($F$26="Dry waste",8,IF($F$26="Wet waste",10,12)),FALSE),"")</f>
        <v>#N/A</v>
      </c>
      <c r="J57" s="782"/>
      <c r="K57" s="784">
        <f>IF(B57&lt;&gt;0,0,"")</f>
        <v>0</v>
      </c>
      <c r="L57" s="782"/>
      <c r="M57" s="988" t="str">
        <f>IFERROR(IF(E57&lt;&gt;0,E57,(F57*F$25))*(IF(H57&lt;&gt;0,H57,G57)/1000)-IF(L57&lt;&gt;0,L57,K57),"")</f>
        <v/>
      </c>
      <c r="N57" s="988" t="str">
        <f>IFERROR(IF(M57="","",M57*HLOOKUP(IF($H$27&lt;&gt;0,$H$27,$F$27),'[4]Reference Tables'!$F$85:$I$89,4,FALSE)),"Select GWP")</f>
        <v/>
      </c>
      <c r="O57" s="988" t="str">
        <f>IFERROR(IF(E57&lt;&gt;0,E57,(F57*F$25))*(IF(J57&lt;&gt;0,J57,I57)/1000),"")</f>
        <v/>
      </c>
      <c r="P57" s="1782" t="str">
        <f>IFERROR(IF(O57="","",O57*HLOOKUP(IF($H$27&lt;&gt;0,$H$27,$F$27),'[4]Reference Tables'!$F$85:$I$89,5,FALSE)),"Select GWP")</f>
        <v/>
      </c>
      <c r="Q57" s="988" t="str">
        <f>IFERROR(N57+P57,"")</f>
        <v/>
      </c>
    </row>
    <row r="58" spans="1:18">
      <c r="E58" s="419"/>
      <c r="F58" s="2427">
        <f>IF(SUM(F53:F57)&lt;&gt;0,SUM(F53:F57),"")</f>
        <v>1</v>
      </c>
      <c r="G58" s="2429" t="s">
        <v>1094</v>
      </c>
      <c r="H58" s="2430"/>
      <c r="I58" s="2430"/>
      <c r="P58" s="2425" t="s">
        <v>174</v>
      </c>
      <c r="Q58" s="2417">
        <f>SUM(Q53:Q57)</f>
        <v>6233.9355413999992</v>
      </c>
    </row>
    <row r="59" spans="1:18" ht="15" customHeight="1">
      <c r="B59" s="329"/>
      <c r="C59" s="332"/>
      <c r="D59" s="332"/>
      <c r="E59" s="332"/>
      <c r="F59" s="2428"/>
      <c r="G59" s="2431"/>
      <c r="H59" s="2432"/>
      <c r="I59" s="2432"/>
      <c r="P59" s="2426"/>
      <c r="Q59" s="2424"/>
    </row>
    <row r="60" spans="1:18" ht="15" customHeight="1">
      <c r="B60" s="329" t="s">
        <v>1525</v>
      </c>
      <c r="C60" s="332"/>
      <c r="D60" s="332"/>
      <c r="E60" s="332"/>
      <c r="F60" s="332"/>
      <c r="P60" s="303"/>
    </row>
    <row r="61" spans="1:18">
      <c r="C61" s="419"/>
      <c r="D61" s="419"/>
      <c r="E61" s="421"/>
      <c r="F61" s="420"/>
    </row>
    <row r="62" spans="1:18" ht="31" customHeight="1" thickBot="1">
      <c r="B62" s="491" t="s">
        <v>1703</v>
      </c>
      <c r="C62" s="466"/>
      <c r="D62" s="466"/>
      <c r="E62" s="466"/>
      <c r="F62" s="466"/>
      <c r="G62" s="466"/>
      <c r="H62" s="466"/>
      <c r="I62" s="467"/>
      <c r="J62" s="467"/>
      <c r="K62" s="467"/>
      <c r="L62" s="468"/>
      <c r="M62" s="468"/>
      <c r="N62" s="468"/>
      <c r="O62" s="468"/>
      <c r="P62" s="468"/>
      <c r="Q62" s="468"/>
      <c r="R62" s="29"/>
    </row>
    <row r="63" spans="1:18" ht="16" thickTop="1"/>
    <row r="64" spans="1:18" ht="15" customHeight="1">
      <c r="A64" s="984"/>
      <c r="B64" s="345" t="s">
        <v>1807</v>
      </c>
      <c r="C64" s="345"/>
      <c r="D64" s="345"/>
      <c r="E64" s="343"/>
      <c r="F64" s="343"/>
      <c r="G64" s="343"/>
      <c r="H64" s="343"/>
      <c r="I64" s="343"/>
      <c r="J64" s="343"/>
      <c r="K64" s="343"/>
      <c r="L64" s="343"/>
      <c r="M64" s="343"/>
      <c r="N64" s="343"/>
      <c r="O64" s="343"/>
      <c r="P64" s="343"/>
      <c r="Q64" s="343"/>
      <c r="R64" s="343"/>
    </row>
    <row r="65" spans="2:18">
      <c r="C65" s="25"/>
      <c r="D65" s="25"/>
    </row>
    <row r="66" spans="2:18" ht="15" customHeight="1">
      <c r="B66" s="2347" t="s">
        <v>1474</v>
      </c>
      <c r="C66" s="2348"/>
      <c r="D66" s="2348"/>
      <c r="E66" s="2439" t="s">
        <v>1680</v>
      </c>
      <c r="F66" s="2439"/>
      <c r="G66" s="2439"/>
      <c r="H66" s="2439"/>
      <c r="I66" s="2439" t="s">
        <v>1681</v>
      </c>
      <c r="J66" s="2439"/>
      <c r="K66" s="2439"/>
      <c r="L66" s="2446"/>
      <c r="M66" s="332"/>
      <c r="N66" s="332"/>
      <c r="O66" s="332"/>
      <c r="P66" s="332"/>
      <c r="Q66" s="332"/>
      <c r="R66" s="332"/>
    </row>
    <row r="67" spans="2:18" ht="15" customHeight="1">
      <c r="B67" s="2456"/>
      <c r="C67" s="2457"/>
      <c r="D67" s="2457"/>
      <c r="E67" s="2447" t="s">
        <v>1475</v>
      </c>
      <c r="F67" s="2447"/>
      <c r="G67" s="2447" t="s">
        <v>1476</v>
      </c>
      <c r="H67" s="2447"/>
      <c r="I67" s="2447" t="s">
        <v>1475</v>
      </c>
      <c r="J67" s="2447"/>
      <c r="K67" s="2447" t="s">
        <v>1476</v>
      </c>
      <c r="L67" s="2448"/>
      <c r="M67" s="332"/>
      <c r="N67" s="332"/>
      <c r="O67" s="332"/>
      <c r="P67" s="332"/>
      <c r="Q67" s="332"/>
      <c r="R67" s="332"/>
    </row>
    <row r="68" spans="2:18" ht="15" customHeight="1">
      <c r="B68" s="2461"/>
      <c r="C68" s="2462"/>
      <c r="D68" s="2463"/>
      <c r="E68" s="825" t="s">
        <v>1168</v>
      </c>
      <c r="F68" s="825" t="s">
        <v>1169</v>
      </c>
      <c r="G68" s="825" t="s">
        <v>1168</v>
      </c>
      <c r="H68" s="825" t="s">
        <v>1169</v>
      </c>
      <c r="I68" s="825" t="s">
        <v>1168</v>
      </c>
      <c r="J68" s="825" t="s">
        <v>1169</v>
      </c>
      <c r="K68" s="825" t="s">
        <v>1168</v>
      </c>
      <c r="L68" s="825" t="s">
        <v>1169</v>
      </c>
      <c r="M68" s="332"/>
      <c r="N68" s="332"/>
      <c r="O68" s="332"/>
      <c r="P68" s="332"/>
      <c r="Q68" s="332"/>
      <c r="R68" s="332"/>
    </row>
    <row r="69" spans="2:18" ht="15" customHeight="1">
      <c r="B69" s="2458" t="s">
        <v>278</v>
      </c>
      <c r="C69" s="2459"/>
      <c r="D69" s="2460"/>
      <c r="E69" s="417">
        <v>10</v>
      </c>
      <c r="F69" s="417" t="s">
        <v>1481</v>
      </c>
      <c r="G69" s="417">
        <v>4</v>
      </c>
      <c r="H69" s="417" t="s">
        <v>1482</v>
      </c>
      <c r="I69" s="418">
        <v>0.6</v>
      </c>
      <c r="J69" s="418" t="s">
        <v>1483</v>
      </c>
      <c r="K69" s="1777">
        <v>0.24</v>
      </c>
      <c r="L69" s="418" t="s">
        <v>1484</v>
      </c>
      <c r="M69" s="422" t="s">
        <v>1488</v>
      </c>
      <c r="N69" s="332"/>
      <c r="O69" s="332"/>
      <c r="P69" s="332"/>
      <c r="Q69" s="332"/>
      <c r="R69" s="332"/>
    </row>
    <row r="70" spans="2:18" ht="15" customHeight="1">
      <c r="B70" s="2458" t="s">
        <v>2634</v>
      </c>
      <c r="C70" s="2459"/>
      <c r="D70" s="2460"/>
      <c r="E70" s="417">
        <v>2</v>
      </c>
      <c r="F70" s="417" t="s">
        <v>1479</v>
      </c>
      <c r="G70" s="418">
        <v>0.8</v>
      </c>
      <c r="H70" s="417" t="s">
        <v>1480</v>
      </c>
      <c r="I70" s="796"/>
      <c r="J70" s="796"/>
      <c r="K70" s="796"/>
      <c r="L70" s="796"/>
      <c r="M70" s="422" t="s">
        <v>1488</v>
      </c>
      <c r="N70" s="332"/>
      <c r="O70" s="332"/>
      <c r="P70" s="332"/>
      <c r="Q70" s="332"/>
      <c r="R70" s="332"/>
    </row>
    <row r="71" spans="2:18" ht="30" customHeight="1">
      <c r="B71" s="31"/>
      <c r="C71" s="410"/>
      <c r="D71" s="410"/>
      <c r="E71" s="411"/>
      <c r="F71" s="411"/>
      <c r="G71" s="411"/>
      <c r="H71" s="411"/>
      <c r="I71" s="411"/>
      <c r="J71" s="411"/>
      <c r="K71" s="332"/>
      <c r="L71" s="332"/>
      <c r="M71" s="332"/>
      <c r="N71" s="332"/>
      <c r="O71" s="332"/>
      <c r="P71" s="332"/>
      <c r="Q71" s="332"/>
      <c r="R71" s="332"/>
    </row>
    <row r="72" spans="2:18" ht="15" hidden="1" customHeight="1">
      <c r="B72" s="410"/>
      <c r="C72" s="410"/>
      <c r="D72" s="410"/>
      <c r="E72" s="411"/>
      <c r="F72" s="411"/>
      <c r="G72" s="411"/>
      <c r="H72" s="411"/>
      <c r="I72" s="411"/>
      <c r="J72" s="411"/>
      <c r="K72" s="332"/>
      <c r="L72" s="332"/>
      <c r="M72" s="332"/>
      <c r="N72" s="332"/>
      <c r="O72" s="332"/>
      <c r="P72" s="332"/>
      <c r="Q72" s="332"/>
      <c r="R72" s="332"/>
    </row>
    <row r="73" spans="2:18" ht="15" hidden="1" customHeight="1">
      <c r="B73" s="409"/>
      <c r="C73" s="410"/>
      <c r="D73" s="410"/>
      <c r="E73" s="411"/>
      <c r="F73" s="332"/>
      <c r="G73" s="332"/>
      <c r="H73" s="332"/>
      <c r="I73" s="332"/>
      <c r="J73" s="332"/>
      <c r="K73" s="332"/>
      <c r="L73" s="332"/>
      <c r="M73" s="332"/>
      <c r="N73" s="332"/>
      <c r="O73" s="332"/>
      <c r="P73" s="332"/>
      <c r="Q73" s="332"/>
      <c r="R73" s="332"/>
    </row>
    <row r="74" spans="2:18" hidden="1"/>
    <row r="75" spans="2:18" hidden="1">
      <c r="E75" s="407"/>
      <c r="F75" s="407"/>
    </row>
    <row r="76" spans="2:18"/>
  </sheetData>
  <mergeCells count="63">
    <mergeCell ref="N2:O2"/>
    <mergeCell ref="D3:E3"/>
    <mergeCell ref="F3:G3"/>
    <mergeCell ref="H3:I3"/>
    <mergeCell ref="J3:K3"/>
    <mergeCell ref="L3:M3"/>
    <mergeCell ref="D2:E2"/>
    <mergeCell ref="F2:G2"/>
    <mergeCell ref="H2:I2"/>
    <mergeCell ref="B66:D67"/>
    <mergeCell ref="B69:D69"/>
    <mergeCell ref="B70:D70"/>
    <mergeCell ref="B68:D68"/>
    <mergeCell ref="B49:D51"/>
    <mergeCell ref="B53:D53"/>
    <mergeCell ref="B55:D55"/>
    <mergeCell ref="B56:D56"/>
    <mergeCell ref="B57:D57"/>
    <mergeCell ref="B2:B3"/>
    <mergeCell ref="C2:C3"/>
    <mergeCell ref="J2:K2"/>
    <mergeCell ref="L2:M2"/>
    <mergeCell ref="B54:D54"/>
    <mergeCell ref="B52:D52"/>
    <mergeCell ref="B21:E22"/>
    <mergeCell ref="B23:E23"/>
    <mergeCell ref="B24:E24"/>
    <mergeCell ref="B25:E25"/>
    <mergeCell ref="B26:E26"/>
    <mergeCell ref="B27:E27"/>
    <mergeCell ref="M49:Q49"/>
    <mergeCell ref="E50:E51"/>
    <mergeCell ref="F50:F51"/>
    <mergeCell ref="G50:H51"/>
    <mergeCell ref="E66:H66"/>
    <mergeCell ref="I66:L66"/>
    <mergeCell ref="E67:F67"/>
    <mergeCell ref="G67:H67"/>
    <mergeCell ref="I67:J67"/>
    <mergeCell ref="K67:L67"/>
    <mergeCell ref="F27:G27"/>
    <mergeCell ref="H27:I27"/>
    <mergeCell ref="H26:I26"/>
    <mergeCell ref="H25:I25"/>
    <mergeCell ref="H23:I24"/>
    <mergeCell ref="F26:G26"/>
    <mergeCell ref="H21:I22"/>
    <mergeCell ref="F21:G22"/>
    <mergeCell ref="F23:G23"/>
    <mergeCell ref="F24:G24"/>
    <mergeCell ref="F25:G25"/>
    <mergeCell ref="Q58:Q59"/>
    <mergeCell ref="P58:P59"/>
    <mergeCell ref="F58:F59"/>
    <mergeCell ref="G58:I59"/>
    <mergeCell ref="B31:C32"/>
    <mergeCell ref="D31:F31"/>
    <mergeCell ref="I50:J51"/>
    <mergeCell ref="M50:N50"/>
    <mergeCell ref="O50:P50"/>
    <mergeCell ref="E49:F49"/>
    <mergeCell ref="G49:J49"/>
    <mergeCell ref="K49:L51"/>
  </mergeCells>
  <hyperlinks>
    <hyperlink ref="F2" location="'City information'!A1" display="Set-up"/>
    <hyperlink ref="G2" location="'City information'!A1" display="'City information'!A1"/>
    <hyperlink ref="L2" location="Summary!A1" display="Results"/>
    <hyperlink ref="M2" location="Summary!A1" display="Summary!A1"/>
    <hyperlink ref="H2" location="Inventory!A1" display="Inventory"/>
    <hyperlink ref="I2" location="Inventory!A1" display="Inventory!A1"/>
    <hyperlink ref="N2" location="Analysis!A1" display="Analysis"/>
    <hyperlink ref="O2" location="Analysis!A1" display="Analysis!A1"/>
    <hyperlink ref="J2" location="Calculators!A1" display="Calculators"/>
    <hyperlink ref="K2" location="Calculators!A1" display="Calculators!A1"/>
    <hyperlink ref="L3" location="Wastewater!A1" display="Wastewater"/>
    <hyperlink ref="M3" location="Wastewater!A1" display="Wastewater!A1"/>
    <hyperlink ref="J3" location="Incineration!A1" display="Incineration"/>
    <hyperlink ref="K3" location="Incineration!A1" display="Incineration!A1"/>
    <hyperlink ref="D3" location="'Fugitive gas'!A1" display="Fugitive emissions"/>
    <hyperlink ref="E3" location="'Fugitive gas'!A1" display="'Fugitive gas'!A1"/>
    <hyperlink ref="F3" location="'Solid waste disposal'!A1" display="Solid waste disposal"/>
    <hyperlink ref="G3" location="'Solid waste disposal'!A1" display="'Solid waste disposal'!A1"/>
    <hyperlink ref="D2" location="Home!A1" display="Introduction"/>
    <hyperlink ref="E2" location="Home!A1" display="Home!A1"/>
  </hyperlinks>
  <pageMargins left="0.7" right="0.7" top="0.75" bottom="0.75" header="0.3" footer="0.3"/>
  <pageSetup paperSize="9" orientation="portrait"/>
  <ignoredErrors>
    <ignoredError sqref="D35:F35 F33:F34" emptyCellReference="1"/>
  </ignoredErrors>
  <drawing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Lists!$BT$4:$BT$6</xm:f>
          </x14:formula1>
          <xm:sqref>F26:G26</xm:sqref>
        </x14:dataValidation>
        <x14:dataValidation type="list" showInputMessage="1" showErrorMessage="1">
          <x14:formula1>
            <xm:f>Lists!$BU$3:$BU$6</xm:f>
          </x14:formula1>
          <xm:sqref>B53:D55 B57:D57</xm:sqref>
        </x14:dataValidation>
        <x14:dataValidation type="list" allowBlank="1" showInputMessage="1" showErrorMessage="1">
          <x14:formula1>
            <xm:f>Lists!$BU$3:$BU$6</xm:f>
          </x14:formula1>
          <xm:sqref>B56:D56</xm:sqref>
        </x14:dataValidation>
      </x14:dataValidations>
    </ext>
    <ext xmlns:mx="http://schemas.microsoft.com/office/mac/excel/2008/main" uri="{64002731-A6B0-56B0-2670-7721B7C09600}">
      <mx:PLV Mode="0" OnePage="0" WScale="0"/>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dimension ref="A1:AV196"/>
  <sheetViews>
    <sheetView showRowColHeaders="0" workbookViewId="0">
      <selection activeCell="L3" sqref="L3:M3"/>
    </sheetView>
  </sheetViews>
  <sheetFormatPr baseColWidth="10" defaultColWidth="0" defaultRowHeight="15" x14ac:dyDescent="0"/>
  <cols>
    <col min="1" max="1" width="4.83203125" style="15" customWidth="1"/>
    <col min="2" max="16" width="12.83203125" style="15" customWidth="1"/>
    <col min="17" max="17" width="4.83203125" style="15" customWidth="1"/>
    <col min="18" max="48" width="0" style="15" hidden="1" customWidth="1"/>
    <col min="49" max="16384" width="10.83203125" style="15" hidden="1"/>
  </cols>
  <sheetData>
    <row r="1" spans="1:48" s="498" customFormat="1">
      <c r="P1" s="499"/>
      <c r="Q1" s="499"/>
      <c r="R1" s="499"/>
      <c r="S1" s="500"/>
      <c r="T1" s="500"/>
      <c r="U1" s="500"/>
    </row>
    <row r="2" spans="1:48" s="464" customFormat="1" ht="31" customHeight="1">
      <c r="A2" s="494"/>
      <c r="B2" s="1817" t="s">
        <v>1965</v>
      </c>
      <c r="C2" s="1819">
        <v>400</v>
      </c>
      <c r="D2" s="1849" t="s">
        <v>1555</v>
      </c>
      <c r="E2" s="1850"/>
      <c r="F2" s="1849" t="s">
        <v>1563</v>
      </c>
      <c r="G2" s="1850"/>
      <c r="H2" s="1849" t="s">
        <v>794</v>
      </c>
      <c r="I2" s="1850"/>
      <c r="J2" s="2047" t="s">
        <v>1570</v>
      </c>
      <c r="K2" s="2033"/>
      <c r="L2" s="1849" t="s">
        <v>1564</v>
      </c>
      <c r="M2" s="1850"/>
      <c r="N2" s="1849" t="s">
        <v>1602</v>
      </c>
      <c r="O2" s="1850"/>
      <c r="P2" s="494"/>
      <c r="Q2" s="494"/>
      <c r="R2" s="494"/>
      <c r="S2" s="494"/>
    </row>
    <row r="3" spans="1:48" s="464" customFormat="1" ht="31" customHeight="1">
      <c r="A3" s="494"/>
      <c r="B3" s="1818"/>
      <c r="C3" s="1820"/>
      <c r="D3" s="1843" t="s">
        <v>1607</v>
      </c>
      <c r="E3" s="1844"/>
      <c r="F3" s="1843" t="s">
        <v>121</v>
      </c>
      <c r="G3" s="1844"/>
      <c r="H3" s="1843" t="s">
        <v>1604</v>
      </c>
      <c r="I3" s="1844"/>
      <c r="J3" s="1847" t="s">
        <v>1605</v>
      </c>
      <c r="K3" s="1848"/>
      <c r="L3" s="1843" t="s">
        <v>775</v>
      </c>
      <c r="M3" s="1844"/>
      <c r="N3" s="496"/>
      <c r="O3" s="496"/>
      <c r="P3" s="494"/>
      <c r="Q3" s="494"/>
      <c r="R3" s="494"/>
      <c r="S3" s="494"/>
    </row>
    <row r="4" spans="1:48" s="494" customFormat="1" ht="15" customHeight="1">
      <c r="B4" s="492"/>
      <c r="C4" s="495"/>
      <c r="D4" s="497"/>
      <c r="E4" s="497"/>
      <c r="F4" s="497"/>
      <c r="G4" s="497"/>
      <c r="H4" s="497"/>
      <c r="I4" s="497"/>
      <c r="J4" s="496"/>
      <c r="K4" s="496"/>
      <c r="L4" s="496"/>
      <c r="M4" s="496"/>
      <c r="N4" s="496"/>
      <c r="O4" s="496"/>
    </row>
    <row r="5" spans="1:48" ht="31" customHeight="1">
      <c r="B5" s="332"/>
      <c r="C5" s="332"/>
      <c r="D5" s="332"/>
    </row>
    <row r="6" spans="1:48" s="29" customFormat="1" ht="31" customHeight="1" thickBot="1">
      <c r="A6" s="866"/>
      <c r="B6" s="491" t="s">
        <v>1688</v>
      </c>
      <c r="C6" s="466"/>
      <c r="D6" s="466"/>
      <c r="E6" s="466"/>
      <c r="F6" s="466"/>
      <c r="G6" s="466"/>
      <c r="H6" s="466"/>
      <c r="I6" s="467"/>
      <c r="J6" s="467"/>
      <c r="K6" s="467"/>
      <c r="L6" s="468"/>
      <c r="M6" s="468"/>
      <c r="N6" s="468"/>
      <c r="O6" s="468"/>
      <c r="U6" s="234"/>
      <c r="V6" s="234"/>
      <c r="W6" s="234"/>
      <c r="X6" s="234"/>
      <c r="Y6" s="234"/>
    </row>
    <row r="7" spans="1:48" ht="15" customHeight="1" thickTop="1"/>
    <row r="8" spans="1:48" s="29" customFormat="1" ht="18" customHeight="1">
      <c r="B8" s="1144" t="s">
        <v>2441</v>
      </c>
      <c r="C8" s="1296"/>
      <c r="D8" s="1296"/>
      <c r="E8" s="1296"/>
      <c r="F8" s="1296"/>
      <c r="G8" s="1296"/>
    </row>
    <row r="9" spans="1:48" s="231" customFormat="1" ht="18" customHeight="1">
      <c r="A9" s="1108"/>
      <c r="B9" s="1142" t="s">
        <v>1961</v>
      </c>
      <c r="C9" s="1146"/>
      <c r="D9" s="1146"/>
      <c r="E9" s="1146"/>
      <c r="F9" s="1146"/>
      <c r="G9" s="1146"/>
      <c r="H9" s="1146"/>
      <c r="I9" s="1146"/>
      <c r="J9" s="1108"/>
      <c r="K9" s="1108"/>
      <c r="L9" s="1108"/>
      <c r="M9" s="1108"/>
      <c r="N9" s="1108"/>
      <c r="O9" s="1108"/>
      <c r="P9" s="1108"/>
      <c r="Q9" s="1108"/>
      <c r="R9" s="1108"/>
      <c r="S9" s="1108"/>
      <c r="T9" s="1108"/>
      <c r="U9" s="1108"/>
      <c r="V9" s="1108"/>
      <c r="W9" s="1108"/>
      <c r="X9" s="1108"/>
      <c r="Y9" s="1108"/>
      <c r="Z9" s="1108"/>
      <c r="AA9" s="1108"/>
      <c r="AB9" s="1108"/>
      <c r="AC9" s="1108"/>
      <c r="AD9" s="1108"/>
      <c r="AE9" s="1108"/>
      <c r="AF9" s="1108"/>
      <c r="AG9" s="1108"/>
      <c r="AH9" s="1108"/>
      <c r="AI9" s="1108"/>
      <c r="AJ9" s="1108"/>
      <c r="AK9" s="1108"/>
      <c r="AL9" s="1108"/>
      <c r="AM9" s="1108"/>
      <c r="AN9" s="1108"/>
      <c r="AO9" s="1108"/>
      <c r="AP9" s="1108"/>
      <c r="AQ9" s="1108"/>
      <c r="AR9" s="1108"/>
      <c r="AS9" s="1108"/>
      <c r="AT9" s="1108"/>
      <c r="AU9" s="1108"/>
      <c r="AV9" s="1108"/>
    </row>
    <row r="10" spans="1:48" customFormat="1" ht="15" customHeight="1">
      <c r="A10" s="37"/>
      <c r="B10" s="739"/>
      <c r="C10" s="897"/>
      <c r="D10" s="897"/>
      <c r="E10" s="897"/>
      <c r="F10" s="897"/>
      <c r="G10" s="897"/>
      <c r="H10" s="897"/>
      <c r="I10" s="89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row>
    <row r="11" spans="1:48" customFormat="1" ht="15" customHeight="1">
      <c r="A11" s="37"/>
      <c r="B11" s="465" t="s">
        <v>1817</v>
      </c>
      <c r="C11" s="897"/>
      <c r="D11" s="897"/>
      <c r="E11" s="897"/>
      <c r="F11" s="897"/>
      <c r="G11" s="897"/>
      <c r="H11" s="897"/>
      <c r="I11" s="89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row>
    <row r="12" spans="1:48" customFormat="1" ht="15" customHeight="1">
      <c r="A12" s="37"/>
      <c r="B12" s="897"/>
      <c r="C12" s="897"/>
      <c r="D12" s="897"/>
      <c r="E12" s="897"/>
      <c r="F12" s="897"/>
      <c r="G12" s="897"/>
      <c r="H12" s="897"/>
      <c r="I12" s="89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row>
    <row r="13" spans="1:48" ht="31" customHeight="1">
      <c r="B13" s="1174" t="s">
        <v>1649</v>
      </c>
      <c r="C13" s="1207" t="s">
        <v>2032</v>
      </c>
      <c r="D13" s="1085"/>
      <c r="E13" s="1085"/>
      <c r="F13" s="1085"/>
      <c r="G13" s="1085"/>
      <c r="H13" s="1086"/>
      <c r="I13" s="1086"/>
      <c r="J13" s="1086"/>
      <c r="K13" s="1086"/>
      <c r="L13" s="1086"/>
      <c r="M13" s="1086"/>
      <c r="N13" s="1086"/>
      <c r="O13" s="1087"/>
    </row>
    <row r="14" spans="1:48" ht="31" customHeight="1">
      <c r="B14" s="889" t="s">
        <v>1650</v>
      </c>
      <c r="C14" s="1207" t="s">
        <v>2033</v>
      </c>
      <c r="D14" s="1085"/>
      <c r="E14" s="1085"/>
      <c r="F14" s="1085"/>
      <c r="G14" s="1085"/>
      <c r="H14" s="1086"/>
      <c r="I14" s="1086"/>
      <c r="J14" s="1086"/>
      <c r="K14" s="1086"/>
      <c r="L14" s="1086"/>
      <c r="M14" s="1086"/>
      <c r="N14" s="1086"/>
      <c r="O14" s="1087"/>
    </row>
    <row r="15" spans="1:48" ht="31" customHeight="1">
      <c r="B15" s="889" t="s">
        <v>1651</v>
      </c>
      <c r="C15" s="1207" t="s">
        <v>2034</v>
      </c>
      <c r="D15" s="1085"/>
      <c r="E15" s="1085"/>
      <c r="F15" s="1085"/>
      <c r="G15" s="1085"/>
      <c r="H15" s="1086"/>
      <c r="I15" s="1086"/>
      <c r="J15" s="1086"/>
      <c r="K15" s="1086"/>
      <c r="L15" s="1086"/>
      <c r="M15" s="1086"/>
      <c r="N15" s="1086"/>
      <c r="O15" s="1087"/>
    </row>
    <row r="16" spans="1:48" ht="31" customHeight="1">
      <c r="B16" s="889" t="s">
        <v>1652</v>
      </c>
      <c r="C16" s="1207" t="s">
        <v>2418</v>
      </c>
      <c r="D16" s="1085"/>
      <c r="E16" s="1085"/>
      <c r="F16" s="1085"/>
      <c r="G16" s="1085"/>
      <c r="H16" s="1086"/>
      <c r="I16" s="1086"/>
      <c r="J16" s="1086"/>
      <c r="K16" s="1086"/>
      <c r="L16" s="1086"/>
      <c r="M16" s="1086"/>
      <c r="N16" s="1086"/>
      <c r="O16" s="1087"/>
    </row>
    <row r="17" spans="2:25" ht="31" customHeight="1">
      <c r="B17" s="1297" t="s">
        <v>1653</v>
      </c>
      <c r="C17" s="1207" t="s">
        <v>2035</v>
      </c>
      <c r="D17" s="1085"/>
      <c r="E17" s="1085"/>
      <c r="F17" s="1085"/>
      <c r="G17" s="1085"/>
      <c r="H17" s="1086"/>
      <c r="I17" s="1086"/>
      <c r="J17" s="1086"/>
      <c r="K17" s="1086"/>
      <c r="L17" s="1086"/>
      <c r="M17" s="1086"/>
      <c r="N17" s="1086"/>
      <c r="O17" s="1087"/>
    </row>
    <row r="18" spans="2:25" ht="31" customHeight="1">
      <c r="B18" s="891" t="s">
        <v>1983</v>
      </c>
      <c r="C18" s="1207" t="s">
        <v>2036</v>
      </c>
      <c r="D18" s="1085"/>
      <c r="E18" s="1085"/>
      <c r="F18" s="1085"/>
      <c r="G18" s="1085"/>
      <c r="H18" s="1086"/>
      <c r="I18" s="1086"/>
      <c r="J18" s="1086"/>
      <c r="K18" s="1086"/>
      <c r="L18" s="1086"/>
      <c r="M18" s="1086"/>
      <c r="N18" s="1086"/>
      <c r="O18" s="1087"/>
    </row>
    <row r="19" spans="2:25">
      <c r="B19" s="408"/>
      <c r="C19" s="408"/>
      <c r="D19" s="408"/>
      <c r="E19" s="408"/>
      <c r="F19" s="408"/>
    </row>
    <row r="20" spans="2:25" s="978" customFormat="1" ht="15" customHeight="1">
      <c r="B20" s="997" t="s">
        <v>1818</v>
      </c>
      <c r="C20" s="1002"/>
      <c r="D20" s="1002"/>
      <c r="F20" s="1002"/>
      <c r="G20" s="1002"/>
      <c r="H20" s="997"/>
      <c r="I20" s="1003"/>
      <c r="J20" s="1003"/>
      <c r="K20" s="1004"/>
      <c r="U20" s="979"/>
      <c r="V20" s="979"/>
      <c r="W20" s="979"/>
      <c r="X20" s="979"/>
      <c r="Y20" s="979"/>
    </row>
    <row r="21" spans="2:25" ht="15" customHeight="1">
      <c r="B21" s="317"/>
      <c r="C21" s="317"/>
      <c r="D21" s="900"/>
      <c r="E21" s="900"/>
      <c r="F21" s="900"/>
    </row>
    <row r="22" spans="2:25">
      <c r="B22" s="2267" t="s">
        <v>1007</v>
      </c>
      <c r="C22" s="2268"/>
      <c r="D22" s="2268"/>
      <c r="E22" s="2268"/>
      <c r="F22" s="2268" t="s">
        <v>1023</v>
      </c>
      <c r="G22" s="2268"/>
      <c r="H22" s="2268" t="s">
        <v>1024</v>
      </c>
      <c r="I22" s="2351"/>
    </row>
    <row r="23" spans="2:25">
      <c r="B23" s="2269"/>
      <c r="C23" s="2270"/>
      <c r="D23" s="2270"/>
      <c r="E23" s="2270"/>
      <c r="F23" s="2270"/>
      <c r="G23" s="2270"/>
      <c r="H23" s="2270"/>
      <c r="I23" s="2352"/>
    </row>
    <row r="24" spans="2:25" ht="31" customHeight="1">
      <c r="B24" s="1208" t="s">
        <v>1025</v>
      </c>
      <c r="C24" s="1209"/>
      <c r="D24" s="1252"/>
      <c r="E24" s="1252"/>
      <c r="F24" s="2271" t="str">
        <f>'City information'!E10</f>
        <v>Atlantis</v>
      </c>
      <c r="G24" s="2271"/>
      <c r="H24" s="1253"/>
      <c r="I24" s="1254"/>
    </row>
    <row r="25" spans="2:25" ht="31" customHeight="1">
      <c r="B25" s="1208" t="s">
        <v>620</v>
      </c>
      <c r="C25" s="1209"/>
      <c r="D25" s="1252"/>
      <c r="E25" s="1252"/>
      <c r="F25" s="2271" t="str">
        <f>'City information'!E11</f>
        <v>Gondwana</v>
      </c>
      <c r="G25" s="2271"/>
      <c r="H25" s="1255"/>
      <c r="I25" s="1256"/>
    </row>
    <row r="26" spans="2:25" ht="31" customHeight="1">
      <c r="B26" s="1208" t="s">
        <v>2166</v>
      </c>
      <c r="C26" s="1209"/>
      <c r="D26" s="1252"/>
      <c r="E26" s="1252"/>
      <c r="F26" s="2470">
        <v>100000</v>
      </c>
      <c r="G26" s="2470"/>
      <c r="H26" s="2353" t="s">
        <v>1778</v>
      </c>
      <c r="I26" s="2353"/>
    </row>
    <row r="27" spans="2:25" ht="31" customHeight="1">
      <c r="B27" s="1208" t="s">
        <v>1035</v>
      </c>
      <c r="C27" s="1209"/>
      <c r="D27" s="1252"/>
      <c r="E27" s="1252"/>
      <c r="F27" s="2274" t="str">
        <f>IF(ISBLANK('City information'!E31),"",IF('City information'!E31="IPCC Fifth Assessment Report (2013)","5AR",IF('City information'!E31="IPCC Fourth Assessment Report (2007)","4AR",IF('City information'!E31="IPCC Third Assessment Report (2001)","3AR",IF('City information'!E31="IPCC Second Assessment Report (1995)","2AR","")))))</f>
        <v>5AR</v>
      </c>
      <c r="G27" s="2274"/>
      <c r="H27" s="2354"/>
      <c r="I27" s="2355"/>
    </row>
    <row r="28" spans="2:25">
      <c r="B28" s="332"/>
      <c r="C28" s="332"/>
      <c r="D28" s="332"/>
      <c r="E28" s="332"/>
    </row>
    <row r="29" spans="2:25" s="978" customFormat="1" ht="15" customHeight="1">
      <c r="B29" s="997" t="s">
        <v>2165</v>
      </c>
      <c r="C29" s="1002"/>
      <c r="D29" s="1002"/>
      <c r="F29" s="1002"/>
      <c r="G29" s="1002"/>
      <c r="H29" s="997"/>
      <c r="I29" s="1003"/>
      <c r="J29" s="1003"/>
      <c r="K29" s="1004"/>
      <c r="U29" s="979"/>
      <c r="V29" s="979"/>
      <c r="W29" s="979"/>
      <c r="X29" s="979"/>
      <c r="Y29" s="979"/>
    </row>
    <row r="30" spans="2:25">
      <c r="B30" s="332"/>
      <c r="C30" s="332"/>
      <c r="D30" s="332"/>
    </row>
    <row r="31" spans="2:25" ht="17">
      <c r="B31" s="2347" t="s">
        <v>723</v>
      </c>
      <c r="C31" s="2348"/>
      <c r="D31" s="2433" t="s">
        <v>1662</v>
      </c>
      <c r="E31" s="2433"/>
      <c r="F31" s="2433"/>
      <c r="G31" s="2434"/>
    </row>
    <row r="32" spans="2:25" ht="17">
      <c r="B32" s="2349"/>
      <c r="C32" s="2350"/>
      <c r="D32" s="982" t="s">
        <v>290</v>
      </c>
      <c r="E32" s="982" t="s">
        <v>1663</v>
      </c>
      <c r="F32" s="982" t="s">
        <v>1664</v>
      </c>
      <c r="G32" s="708" t="s">
        <v>174</v>
      </c>
    </row>
    <row r="33" spans="2:25" ht="31" customHeight="1">
      <c r="B33" s="1343" t="s">
        <v>1605</v>
      </c>
      <c r="C33" s="1344"/>
      <c r="D33" s="1342">
        <f>SUM(P56:P70)</f>
        <v>0</v>
      </c>
      <c r="E33" s="1342">
        <f>K90</f>
        <v>560</v>
      </c>
      <c r="F33" s="1342">
        <f>J110</f>
        <v>1325</v>
      </c>
      <c r="G33" s="1342">
        <f>IFERROR(IF(SUM(D33:F33)&gt;0,SUM(D33:F33),""),"")</f>
        <v>1885</v>
      </c>
    </row>
    <row r="34" spans="2:25">
      <c r="B34" s="332"/>
      <c r="C34" s="332"/>
      <c r="D34" s="332"/>
    </row>
    <row r="35" spans="2:25" s="978" customFormat="1" ht="15" customHeight="1">
      <c r="B35" s="465" t="s">
        <v>2588</v>
      </c>
      <c r="C35" s="1002"/>
      <c r="D35" s="1002"/>
      <c r="F35" s="1002"/>
      <c r="G35" s="1002"/>
      <c r="H35" s="997"/>
      <c r="I35" s="1003"/>
      <c r="J35" s="1003"/>
      <c r="K35" s="1004"/>
      <c r="U35" s="979"/>
      <c r="V35" s="979"/>
      <c r="W35" s="979"/>
      <c r="X35" s="979"/>
      <c r="Y35" s="979"/>
    </row>
    <row r="36" spans="2:25">
      <c r="B36" s="332"/>
      <c r="C36" s="332"/>
      <c r="D36" s="332"/>
      <c r="E36" s="332"/>
    </row>
    <row r="37" spans="2:25" ht="18">
      <c r="B37" s="747" t="s">
        <v>809</v>
      </c>
      <c r="C37" s="332"/>
      <c r="D37" s="332"/>
      <c r="E37" s="332"/>
    </row>
    <row r="38" spans="2:25">
      <c r="B38" s="332"/>
      <c r="C38" s="332"/>
      <c r="D38" s="332"/>
      <c r="E38" s="332"/>
    </row>
    <row r="39" spans="2:25" s="16" customFormat="1" ht="15" customHeight="1">
      <c r="B39" s="1703" t="s">
        <v>2589</v>
      </c>
      <c r="C39" s="356"/>
      <c r="D39" s="356"/>
      <c r="E39" s="356"/>
      <c r="F39" s="356"/>
      <c r="G39" s="356"/>
      <c r="H39" s="356"/>
      <c r="I39" s="356"/>
      <c r="J39" s="356"/>
      <c r="K39" s="356"/>
      <c r="L39" s="356"/>
      <c r="M39" s="356"/>
      <c r="N39" s="356"/>
      <c r="O39" s="356"/>
      <c r="P39" s="356"/>
      <c r="Q39" s="356"/>
      <c r="R39" s="356"/>
    </row>
    <row r="40" spans="2:25" s="16" customFormat="1" ht="15" customHeight="1">
      <c r="B40" s="747"/>
      <c r="C40" s="356"/>
      <c r="D40" s="356"/>
      <c r="E40" s="356"/>
      <c r="F40" s="356"/>
      <c r="G40" s="356"/>
      <c r="H40" s="356"/>
      <c r="I40" s="356"/>
      <c r="J40" s="356"/>
      <c r="K40" s="356"/>
      <c r="L40" s="356"/>
      <c r="M40" s="356"/>
      <c r="N40" s="356"/>
      <c r="O40" s="356"/>
      <c r="P40" s="356"/>
      <c r="Q40" s="356"/>
      <c r="R40" s="356"/>
    </row>
    <row r="41" spans="2:25" ht="31" customHeight="1">
      <c r="B41" s="1702" t="s">
        <v>2037</v>
      </c>
      <c r="C41" s="1006" t="str">
        <f>"= m * Σi (WFi * dmi * Cfi * FCFi * OFi) * (44/12)"</f>
        <v>= m * Σi (WFi * dmi * Cfi * FCFi * OFi) * (44/12)</v>
      </c>
      <c r="D41" s="1007"/>
      <c r="E41" s="1007"/>
      <c r="F41" s="1701"/>
      <c r="G41" s="1008"/>
    </row>
    <row r="42" spans="2:25" ht="31" customHeight="1">
      <c r="B42" s="931" t="s">
        <v>2038</v>
      </c>
      <c r="C42" s="921" t="str">
        <f>"= Mass of waste incinerated, in tonnes"</f>
        <v>= Mass of waste incinerated, in tonnes</v>
      </c>
      <c r="D42" s="1248"/>
      <c r="E42" s="1248"/>
      <c r="F42" s="1566"/>
      <c r="G42" s="1249"/>
    </row>
    <row r="43" spans="2:25" ht="31" customHeight="1">
      <c r="B43" s="932" t="s">
        <v>2039</v>
      </c>
      <c r="C43" s="923" t="str">
        <f>"= Fraction of waste containing type i matter"</f>
        <v>= Fraction of waste containing type i matter</v>
      </c>
      <c r="D43" s="337"/>
      <c r="E43" s="337"/>
      <c r="F43" s="22"/>
      <c r="G43" s="1183"/>
    </row>
    <row r="44" spans="2:25" ht="31" customHeight="1">
      <c r="B44" s="932" t="s">
        <v>2040</v>
      </c>
      <c r="C44" s="923" t="str">
        <f>"= Dry matter content in the type i matter"</f>
        <v>= Dry matter content in the type i matter</v>
      </c>
      <c r="D44" s="337"/>
      <c r="E44" s="337"/>
      <c r="F44" s="22"/>
      <c r="G44" s="1183"/>
    </row>
    <row r="45" spans="2:25" ht="31" customHeight="1">
      <c r="B45" s="932" t="s">
        <v>2041</v>
      </c>
      <c r="C45" s="923" t="str">
        <f xml:space="preserve"> "= Fraction of carbon in the dry matter of type i matter"</f>
        <v>= Fraction of carbon in the dry matter of type i matter</v>
      </c>
      <c r="D45" s="337"/>
      <c r="E45" s="337"/>
      <c r="F45" s="22"/>
      <c r="G45" s="1183"/>
      <c r="J45" s="1250"/>
      <c r="K45" s="1250"/>
      <c r="L45" s="1250"/>
      <c r="M45" s="780"/>
    </row>
    <row r="46" spans="2:25" ht="31" customHeight="1">
      <c r="B46" s="932" t="s">
        <v>2042</v>
      </c>
      <c r="C46" s="923" t="str">
        <f xml:space="preserve"> "= Fraction of fossil carbon in the total carbon component of type i matter"</f>
        <v>= Fraction of fossil carbon in the total carbon component of type i matter</v>
      </c>
      <c r="D46" s="337"/>
      <c r="E46" s="337"/>
      <c r="F46" s="22"/>
      <c r="G46" s="1183"/>
    </row>
    <row r="47" spans="2:25" ht="31" customHeight="1">
      <c r="B47" s="932" t="s">
        <v>2043</v>
      </c>
      <c r="C47" s="923" t="str">
        <f xml:space="preserve"> "= Oxidation fraction or factor"</f>
        <v>= Oxidation fraction or factor</v>
      </c>
      <c r="D47" s="337"/>
      <c r="E47" s="337"/>
      <c r="F47" s="22"/>
      <c r="G47" s="1183"/>
    </row>
    <row r="48" spans="2:25" ht="31" customHeight="1">
      <c r="B48" s="933" t="s">
        <v>1478</v>
      </c>
      <c r="C48" s="2482" t="str">
        <f xml:space="preserve"> "= Matter type of the Solid Waste incinerated, such as paper/cardboard, textile, food waste, etc."</f>
        <v>= Matter type of the Solid Waste incinerated, such as paper/cardboard, textile, food waste, etc.</v>
      </c>
      <c r="D48" s="2482"/>
      <c r="E48" s="2482"/>
      <c r="F48" s="2482"/>
      <c r="G48" s="2492"/>
    </row>
    <row r="49" spans="2:17">
      <c r="B49" s="337"/>
      <c r="C49" s="337"/>
      <c r="D49" s="337"/>
      <c r="E49" s="337"/>
      <c r="F49" s="337"/>
      <c r="G49" s="337"/>
      <c r="H49" s="22"/>
      <c r="I49" s="22"/>
    </row>
    <row r="50" spans="2:17" ht="18">
      <c r="B50" s="747" t="s">
        <v>1824</v>
      </c>
      <c r="C50" s="337"/>
      <c r="D50" s="337"/>
      <c r="E50" s="337"/>
      <c r="F50" s="337"/>
      <c r="G50" s="337"/>
      <c r="H50" s="22"/>
      <c r="I50" s="22"/>
    </row>
    <row r="51" spans="2:17">
      <c r="B51" s="337"/>
      <c r="C51" s="337"/>
      <c r="D51" s="337"/>
      <c r="E51" s="337"/>
      <c r="F51" s="337"/>
      <c r="G51" s="337"/>
      <c r="H51" s="22"/>
      <c r="I51" s="22"/>
    </row>
    <row r="52" spans="2:17" ht="31" customHeight="1">
      <c r="B52" s="2320" t="s">
        <v>2044</v>
      </c>
      <c r="C52" s="2366" t="s">
        <v>287</v>
      </c>
      <c r="D52" s="2326" t="s">
        <v>2590</v>
      </c>
      <c r="E52" s="2321"/>
      <c r="F52" s="2326" t="s">
        <v>2591</v>
      </c>
      <c r="G52" s="2326" t="s">
        <v>2045</v>
      </c>
      <c r="H52" s="2321"/>
      <c r="I52" s="2326" t="s">
        <v>2046</v>
      </c>
      <c r="J52" s="2321"/>
      <c r="K52" s="2326" t="s">
        <v>2047</v>
      </c>
      <c r="L52" s="2321"/>
      <c r="M52" s="2326" t="s">
        <v>2048</v>
      </c>
      <c r="N52" s="2321"/>
      <c r="O52" s="2366" t="s">
        <v>2049</v>
      </c>
      <c r="P52" s="2379" t="s">
        <v>2050</v>
      </c>
      <c r="Q52" s="890"/>
    </row>
    <row r="53" spans="2:17">
      <c r="B53" s="2322"/>
      <c r="C53" s="1998"/>
      <c r="D53" s="2327"/>
      <c r="E53" s="2323"/>
      <c r="F53" s="2327"/>
      <c r="G53" s="2327"/>
      <c r="H53" s="2323"/>
      <c r="I53" s="2327"/>
      <c r="J53" s="2323"/>
      <c r="K53" s="2327"/>
      <c r="L53" s="2323"/>
      <c r="M53" s="2327"/>
      <c r="N53" s="2323"/>
      <c r="O53" s="1998"/>
      <c r="P53" s="2380"/>
      <c r="Q53" s="890"/>
    </row>
    <row r="54" spans="2:17">
      <c r="B54" s="2324"/>
      <c r="C54" s="2367"/>
      <c r="D54" s="2328"/>
      <c r="E54" s="2325"/>
      <c r="F54" s="2328"/>
      <c r="G54" s="2328"/>
      <c r="H54" s="2325"/>
      <c r="I54" s="2328"/>
      <c r="J54" s="2325"/>
      <c r="K54" s="2328"/>
      <c r="L54" s="2325"/>
      <c r="M54" s="2328"/>
      <c r="N54" s="2325"/>
      <c r="O54" s="2367"/>
      <c r="P54" s="2381"/>
      <c r="Q54" s="890"/>
    </row>
    <row r="55" spans="2:17">
      <c r="B55" s="1128" t="s">
        <v>1168</v>
      </c>
      <c r="C55" s="1128"/>
      <c r="D55" s="2291"/>
      <c r="E55" s="2292"/>
      <c r="F55" s="1128" t="s">
        <v>1168</v>
      </c>
      <c r="G55" s="1128" t="s">
        <v>1023</v>
      </c>
      <c r="H55" s="1128" t="s">
        <v>1024</v>
      </c>
      <c r="I55" s="1128" t="s">
        <v>1023</v>
      </c>
      <c r="J55" s="1128" t="s">
        <v>1024</v>
      </c>
      <c r="K55" s="1128" t="s">
        <v>1023</v>
      </c>
      <c r="L55" s="1128" t="s">
        <v>1024</v>
      </c>
      <c r="M55" s="1128" t="s">
        <v>1023</v>
      </c>
      <c r="N55" s="1128" t="s">
        <v>1024</v>
      </c>
      <c r="O55" s="1128" t="s">
        <v>1023</v>
      </c>
      <c r="P55" s="1696"/>
    </row>
    <row r="56" spans="2:17" s="205" customFormat="1" ht="31" customHeight="1">
      <c r="B56" s="2484">
        <f>$D$22</f>
        <v>0</v>
      </c>
      <c r="C56" s="2487" t="s">
        <v>2051</v>
      </c>
      <c r="D56" s="1716" t="s">
        <v>2052</v>
      </c>
      <c r="E56" s="1568"/>
      <c r="F56" s="1717">
        <v>0.4</v>
      </c>
      <c r="G56" s="1219">
        <f t="shared" ref="G56:G66" si="0">VLOOKUP(D56,$B$155:$K$166,2,FALSE)</f>
        <v>0</v>
      </c>
      <c r="H56" s="1718"/>
      <c r="I56" s="1219" t="str">
        <f t="shared" ref="I56:I66" si="1">VLOOKUP(D56,$B$155:$K$166,7,FALSE)</f>
        <v>40%-50%</v>
      </c>
      <c r="J56" s="1718"/>
      <c r="K56" s="1219" t="str">
        <f t="shared" ref="K56:K66" si="2">VLOOKUP(D56,$B$155:$K$166,9,FALSE)</f>
        <v>42%-50%</v>
      </c>
      <c r="L56" s="1718"/>
      <c r="M56" s="1219" t="e">
        <f>IF($C56&lt;&gt;0,HLOOKUP($C56,$B$111:$H$117,5,FALSE))</f>
        <v>#N/A</v>
      </c>
      <c r="N56" s="1718"/>
      <c r="O56" s="1713">
        <f>44/12</f>
        <v>3.6666666666666665</v>
      </c>
      <c r="P56" s="1788" t="str">
        <f>IFERROR($B$49*(F56*G56*I56*K56*M56)*O56,"")</f>
        <v/>
      </c>
    </row>
    <row r="57" spans="2:17" s="205" customFormat="1" ht="31" customHeight="1">
      <c r="B57" s="2485"/>
      <c r="C57" s="2488"/>
      <c r="D57" s="1716" t="s">
        <v>2053</v>
      </c>
      <c r="E57" s="1568"/>
      <c r="F57" s="1717"/>
      <c r="G57" s="1219">
        <f t="shared" si="0"/>
        <v>0</v>
      </c>
      <c r="H57" s="1718"/>
      <c r="I57" s="1219" t="str">
        <f t="shared" si="1"/>
        <v>25%-50%</v>
      </c>
      <c r="J57" s="1718"/>
      <c r="K57" s="1219" t="str">
        <f t="shared" si="2"/>
        <v>25%-50%</v>
      </c>
      <c r="L57" s="1718"/>
      <c r="M57" s="1219" t="e">
        <f>IF($C56&lt;&gt;0,HLOOKUP($C56,$B$111:$H$117,5,FALSE))</f>
        <v>#N/A</v>
      </c>
      <c r="N57" s="1718"/>
      <c r="O57" s="1713">
        <f t="shared" ref="O57:O70" si="3">44/12</f>
        <v>3.6666666666666665</v>
      </c>
      <c r="P57" s="1788" t="str">
        <f t="shared" ref="P57:P61" si="4">IFERROR($B$49*(F57*G57*I57*K57*M57)*O57,"")</f>
        <v/>
      </c>
    </row>
    <row r="58" spans="2:17" s="205" customFormat="1" ht="31" customHeight="1">
      <c r="B58" s="2485"/>
      <c r="C58" s="2488"/>
      <c r="D58" s="1716" t="s">
        <v>281</v>
      </c>
      <c r="E58" s="1568"/>
      <c r="F58" s="1717">
        <v>0.1</v>
      </c>
      <c r="G58" s="1219">
        <f t="shared" si="0"/>
        <v>0</v>
      </c>
      <c r="H58" s="1718"/>
      <c r="I58" s="1219" t="str">
        <f t="shared" si="1"/>
        <v>20%-50%</v>
      </c>
      <c r="J58" s="1718"/>
      <c r="K58" s="1219" t="str">
        <f t="shared" si="2"/>
        <v>20%-50%</v>
      </c>
      <c r="L58" s="1718"/>
      <c r="M58" s="1219" t="e">
        <f>IF($C56&lt;&gt;0,HLOOKUP($C56,$B$111:$H$117,5,FALSE))</f>
        <v>#N/A</v>
      </c>
      <c r="N58" s="1718"/>
      <c r="O58" s="1713">
        <f t="shared" si="3"/>
        <v>3.6666666666666665</v>
      </c>
      <c r="P58" s="1788" t="str">
        <f>IFERROR($B$49*(F58*G58*I58*K58*M58)*O58,"")</f>
        <v/>
      </c>
    </row>
    <row r="59" spans="2:17" s="205" customFormat="1" ht="31" customHeight="1">
      <c r="B59" s="2485"/>
      <c r="C59" s="2488"/>
      <c r="D59" s="1716" t="s">
        <v>2054</v>
      </c>
      <c r="E59" s="1568"/>
      <c r="F59" s="1717"/>
      <c r="G59" s="1219">
        <f t="shared" si="0"/>
        <v>0</v>
      </c>
      <c r="H59" s="1718"/>
      <c r="I59" s="1219" t="str">
        <f t="shared" si="1"/>
        <v>46%-54%</v>
      </c>
      <c r="J59" s="1718"/>
      <c r="K59" s="1219" t="str">
        <f t="shared" si="2"/>
        <v>46%-54%</v>
      </c>
      <c r="L59" s="1718"/>
      <c r="M59" s="1219" t="e">
        <f>IF($C56&lt;&gt;0,HLOOKUP($C56,$B$111:$H$117,5,FALSE))</f>
        <v>#N/A</v>
      </c>
      <c r="N59" s="1718"/>
      <c r="O59" s="1713">
        <f t="shared" si="3"/>
        <v>3.6666666666666665</v>
      </c>
      <c r="P59" s="1788" t="str">
        <f t="shared" si="4"/>
        <v/>
      </c>
    </row>
    <row r="60" spans="2:17" s="205" customFormat="1" ht="31" customHeight="1">
      <c r="B60" s="2485"/>
      <c r="C60" s="2488"/>
      <c r="D60" s="1716" t="s">
        <v>2055</v>
      </c>
      <c r="E60" s="1568"/>
      <c r="F60" s="1717">
        <v>0.1</v>
      </c>
      <c r="G60" s="1219">
        <f t="shared" si="0"/>
        <v>0</v>
      </c>
      <c r="H60" s="1718"/>
      <c r="I60" s="1219" t="str">
        <f t="shared" si="1"/>
        <v>45%-55%</v>
      </c>
      <c r="J60" s="1718"/>
      <c r="K60" s="1219" t="str">
        <f t="shared" si="2"/>
        <v>45%-55%</v>
      </c>
      <c r="L60" s="1718"/>
      <c r="M60" s="1219" t="e">
        <f>IF($C56&lt;&gt;0,HLOOKUP($C56,$B$111:$H$117,5,FALSE))</f>
        <v>#N/A</v>
      </c>
      <c r="N60" s="1718"/>
      <c r="O60" s="1713">
        <f t="shared" si="3"/>
        <v>3.6666666666666665</v>
      </c>
      <c r="P60" s="1788" t="str">
        <f t="shared" si="4"/>
        <v/>
      </c>
    </row>
    <row r="61" spans="2:17" s="205" customFormat="1" ht="31" customHeight="1">
      <c r="B61" s="2485"/>
      <c r="C61" s="2488"/>
      <c r="D61" s="1716" t="s">
        <v>2056</v>
      </c>
      <c r="E61" s="1568"/>
      <c r="F61" s="1717"/>
      <c r="G61" s="1219">
        <f t="shared" si="0"/>
        <v>0</v>
      </c>
      <c r="H61" s="1718"/>
      <c r="I61" s="1219" t="str">
        <f t="shared" si="1"/>
        <v>44%-80%</v>
      </c>
      <c r="J61" s="1718"/>
      <c r="K61" s="1219" t="str">
        <f t="shared" si="2"/>
        <v>54%-90%</v>
      </c>
      <c r="L61" s="1718"/>
      <c r="M61" s="1219" t="e">
        <f>IF($C56&lt;&gt;0,HLOOKUP($C56,$B$111:$H$117,5,FALSE))</f>
        <v>#N/A</v>
      </c>
      <c r="N61" s="1718"/>
      <c r="O61" s="1713">
        <f t="shared" si="3"/>
        <v>3.6666666666666665</v>
      </c>
      <c r="P61" s="1788" t="str">
        <f t="shared" si="4"/>
        <v/>
      </c>
    </row>
    <row r="62" spans="2:17" s="205" customFormat="1" ht="31" customHeight="1">
      <c r="B62" s="2485"/>
      <c r="C62" s="2488"/>
      <c r="D62" s="1716" t="s">
        <v>2057</v>
      </c>
      <c r="E62" s="1568"/>
      <c r="F62" s="1717">
        <v>0.05</v>
      </c>
      <c r="G62" s="1219">
        <f t="shared" si="0"/>
        <v>0</v>
      </c>
      <c r="H62" s="1718"/>
      <c r="I62" s="1219">
        <f t="shared" si="1"/>
        <v>0.47</v>
      </c>
      <c r="J62" s="1718"/>
      <c r="K62" s="1219">
        <f t="shared" si="2"/>
        <v>0.67</v>
      </c>
      <c r="L62" s="1718"/>
      <c r="M62" s="1219" t="e">
        <f>IF($C56&lt;&gt;0,HLOOKUP($C56,$B$111:$H$117,5,FALSE))</f>
        <v>#N/A</v>
      </c>
      <c r="N62" s="1718"/>
      <c r="O62" s="1713">
        <f t="shared" si="3"/>
        <v>3.6666666666666665</v>
      </c>
      <c r="P62" s="1788" t="str">
        <f>IFERROR($B$49*(F62*G62*I62*K62*M62)*O62,"")</f>
        <v/>
      </c>
    </row>
    <row r="63" spans="2:17" s="205" customFormat="1" ht="31" customHeight="1">
      <c r="B63" s="2485"/>
      <c r="C63" s="2488"/>
      <c r="D63" s="1716" t="s">
        <v>2058</v>
      </c>
      <c r="E63" s="1568"/>
      <c r="F63" s="1717">
        <v>0.2</v>
      </c>
      <c r="G63" s="1219" t="e">
        <f t="shared" si="0"/>
        <v>#N/A</v>
      </c>
      <c r="H63" s="1718"/>
      <c r="I63" s="1219" t="e">
        <f t="shared" si="1"/>
        <v>#N/A</v>
      </c>
      <c r="J63" s="1718"/>
      <c r="K63" s="1219" t="e">
        <f t="shared" si="2"/>
        <v>#N/A</v>
      </c>
      <c r="L63" s="1718"/>
      <c r="M63" s="1219" t="e">
        <f>IF($C56&lt;&gt;0,HLOOKUP($C56,$B$111:$H$117,5,FALSE))</f>
        <v>#N/A</v>
      </c>
      <c r="N63" s="1718"/>
      <c r="O63" s="1713">
        <f t="shared" si="3"/>
        <v>3.6666666666666665</v>
      </c>
      <c r="P63" s="1788" t="str">
        <f>IFERROR($B$49*(F63*G63*I63*K63*M63)*O63,"")</f>
        <v/>
      </c>
    </row>
    <row r="64" spans="2:17" s="205" customFormat="1" ht="31" customHeight="1">
      <c r="B64" s="2485"/>
      <c r="C64" s="2488"/>
      <c r="D64" s="1716" t="s">
        <v>2059</v>
      </c>
      <c r="E64" s="1568"/>
      <c r="F64" s="1717">
        <v>0.05</v>
      </c>
      <c r="G64" s="1219" t="e">
        <f t="shared" si="0"/>
        <v>#N/A</v>
      </c>
      <c r="H64" s="1718"/>
      <c r="I64" s="1219" t="e">
        <f t="shared" si="1"/>
        <v>#N/A</v>
      </c>
      <c r="J64" s="1718"/>
      <c r="K64" s="1219" t="e">
        <f t="shared" si="2"/>
        <v>#N/A</v>
      </c>
      <c r="L64" s="1718"/>
      <c r="M64" s="1219" t="e">
        <f>IF($C56&lt;&gt;0,HLOOKUP($C56,$B$111:$H$117,5,FALSE))</f>
        <v>#N/A</v>
      </c>
      <c r="N64" s="1718"/>
      <c r="O64" s="1713">
        <f t="shared" si="3"/>
        <v>3.6666666666666665</v>
      </c>
      <c r="P64" s="1788" t="str">
        <f>IFERROR($B$49*(F64*G64*I64*K64*M64)*O64,"")</f>
        <v/>
      </c>
    </row>
    <row r="65" spans="2:25" s="205" customFormat="1" ht="31" customHeight="1">
      <c r="B65" s="2485"/>
      <c r="C65" s="2488"/>
      <c r="D65" s="1716" t="s">
        <v>2060</v>
      </c>
      <c r="E65" s="1568"/>
      <c r="F65" s="1717"/>
      <c r="G65" s="1219" t="e">
        <f t="shared" si="0"/>
        <v>#N/A</v>
      </c>
      <c r="H65" s="1718"/>
      <c r="I65" s="1219" t="e">
        <f t="shared" si="1"/>
        <v>#N/A</v>
      </c>
      <c r="J65" s="1718"/>
      <c r="K65" s="1219" t="e">
        <f t="shared" si="2"/>
        <v>#N/A</v>
      </c>
      <c r="L65" s="1718"/>
      <c r="M65" s="1219" t="e">
        <f>IF($C56&lt;&gt;0,HLOOKUP($C56,$B$111:$H$117,5,FALSE))</f>
        <v>#N/A</v>
      </c>
      <c r="N65" s="1718"/>
      <c r="O65" s="1713">
        <f t="shared" si="3"/>
        <v>3.6666666666666665</v>
      </c>
      <c r="P65" s="1788" t="str">
        <f t="shared" ref="P65" si="5">IFERROR($B$49*(F65*G65*I65*K65*M65)*O65,"")</f>
        <v/>
      </c>
    </row>
    <row r="66" spans="2:25" s="205" customFormat="1" ht="31" customHeight="1">
      <c r="B66" s="2485"/>
      <c r="C66" s="2489"/>
      <c r="D66" s="1716" t="s">
        <v>2061</v>
      </c>
      <c r="E66" s="1568"/>
      <c r="F66" s="1717"/>
      <c r="G66" s="1219" t="e">
        <f t="shared" si="0"/>
        <v>#N/A</v>
      </c>
      <c r="H66" s="1718"/>
      <c r="I66" s="1219" t="e">
        <f t="shared" si="1"/>
        <v>#N/A</v>
      </c>
      <c r="J66" s="1718"/>
      <c r="K66" s="1219" t="e">
        <f t="shared" si="2"/>
        <v>#N/A</v>
      </c>
      <c r="L66" s="1718"/>
      <c r="M66" s="1219" t="e">
        <f>IF($C56&lt;&gt;0,HLOOKUP($C56,$B$111:$H$117,5,FALSE))</f>
        <v>#N/A</v>
      </c>
      <c r="N66" s="1718"/>
      <c r="O66" s="1713">
        <f t="shared" si="3"/>
        <v>3.6666666666666665</v>
      </c>
      <c r="P66" s="1788" t="str">
        <f>IFERROR($B$49*(F66*G66*I66*K66*M66)*O66,"")</f>
        <v/>
      </c>
    </row>
    <row r="67" spans="2:25" s="205" customFormat="1" ht="31" customHeight="1">
      <c r="B67" s="2485"/>
      <c r="C67" s="2490" t="s">
        <v>277</v>
      </c>
      <c r="D67" s="2491"/>
      <c r="E67" s="1568"/>
      <c r="F67" s="1717">
        <v>0.05</v>
      </c>
      <c r="G67" s="450" t="e">
        <f>IF($C67&lt;&gt;0,HLOOKUP($C67,$B$111:$H$117,2,FALSE))</f>
        <v>#N/A</v>
      </c>
      <c r="H67" s="1719"/>
      <c r="I67" s="1219" t="e">
        <f>IF($C67&lt;&gt;0,HLOOKUP($C67,$B$111:$H$117,3,FALSE))</f>
        <v>#N/A</v>
      </c>
      <c r="J67" s="1719"/>
      <c r="K67" s="1219" t="e">
        <f>IF($C67&lt;&gt;0,HLOOKUP($C67,$B$111:$H$117,4,FALSE))</f>
        <v>#N/A</v>
      </c>
      <c r="L67" s="1719"/>
      <c r="M67" s="1219" t="e">
        <f>IF($C67&lt;&gt;0,HLOOKUP($C67,$B$111:$H$117,5,FALSE))</f>
        <v>#N/A</v>
      </c>
      <c r="N67" s="1719"/>
      <c r="O67" s="1713">
        <f t="shared" si="3"/>
        <v>3.6666666666666665</v>
      </c>
      <c r="P67" s="1788" t="str">
        <f>IFERROR($B$49*(F67*I67*K67*M67)*O67,"")</f>
        <v/>
      </c>
    </row>
    <row r="68" spans="2:25" s="205" customFormat="1" ht="31" customHeight="1">
      <c r="B68" s="2485"/>
      <c r="C68" s="2490" t="s">
        <v>2062</v>
      </c>
      <c r="D68" s="2491"/>
      <c r="E68" s="1568"/>
      <c r="F68" s="1717">
        <v>0.05</v>
      </c>
      <c r="G68" s="450" t="e">
        <f>IF($C68&lt;&gt;0,HLOOKUP($C68,$B$111:$H$117,2,FALSE))</f>
        <v>#N/A</v>
      </c>
      <c r="H68" s="1719"/>
      <c r="I68" s="1219" t="e">
        <f>IF($C68&lt;&gt;0,HLOOKUP($C68,$B$111:$H$117,3,FALSE))</f>
        <v>#N/A</v>
      </c>
      <c r="J68" s="1719"/>
      <c r="K68" s="1219" t="e">
        <f>IF($C68&lt;&gt;0,HLOOKUP($C68,$B$111:$H$117,4,FALSE))</f>
        <v>#N/A</v>
      </c>
      <c r="L68" s="1719"/>
      <c r="M68" s="1219" t="e">
        <f>IF($C68&lt;&gt;0,HLOOKUP($C68,$B$111:$H$117,5,FALSE))</f>
        <v>#N/A</v>
      </c>
      <c r="N68" s="1719"/>
      <c r="O68" s="1713">
        <f t="shared" si="3"/>
        <v>3.6666666666666665</v>
      </c>
      <c r="P68" s="1788" t="str">
        <f t="shared" ref="P68" si="6">IFERROR($B$49*(F68*I68*K68*M68)*O68,"")</f>
        <v/>
      </c>
    </row>
    <row r="69" spans="2:25" s="205" customFormat="1" ht="31" customHeight="1">
      <c r="B69" s="2485"/>
      <c r="C69" s="2490" t="s">
        <v>2063</v>
      </c>
      <c r="D69" s="2491"/>
      <c r="E69" s="1568"/>
      <c r="F69" s="1717"/>
      <c r="G69" s="450" t="e">
        <f>IF($C69&lt;&gt;0,HLOOKUP($C69,$B$111:$H$117,2,FALSE))</f>
        <v>#N/A</v>
      </c>
      <c r="H69" s="1719"/>
      <c r="I69" s="1219" t="e">
        <f>IF($C69&lt;&gt;0,HLOOKUP($C69,$B$111:$H$117,3,FALSE))</f>
        <v>#N/A</v>
      </c>
      <c r="J69" s="1719"/>
      <c r="K69" s="1219" t="e">
        <f>IF($C69&lt;&gt;0,HLOOKUP($C69,$B$111:$H$117,4,FALSE))</f>
        <v>#N/A</v>
      </c>
      <c r="L69" s="1719"/>
      <c r="M69" s="1219" t="e">
        <f>IF($C69&lt;&gt;0,HLOOKUP($C69,$B$111:$H$117,5,FALSE))</f>
        <v>#N/A</v>
      </c>
      <c r="N69" s="1719"/>
      <c r="O69" s="1713">
        <f t="shared" si="3"/>
        <v>3.6666666666666665</v>
      </c>
      <c r="P69" s="1788" t="str">
        <f>IFERROR($B$49*(F69*I69*K69*M69)*O69,"")</f>
        <v/>
      </c>
    </row>
    <row r="70" spans="2:25" s="205" customFormat="1" ht="31" customHeight="1">
      <c r="B70" s="2486"/>
      <c r="C70" s="2490" t="s">
        <v>2064</v>
      </c>
      <c r="D70" s="2491"/>
      <c r="E70" s="1568"/>
      <c r="F70" s="1717"/>
      <c r="G70" s="450" t="e">
        <f>IF($C70&lt;&gt;0,HLOOKUP($C70,$B$111:$H$117,2,FALSE))</f>
        <v>#N/A</v>
      </c>
      <c r="H70" s="1720"/>
      <c r="I70" s="1219" t="e">
        <f>IF($C70&lt;&gt;0,HLOOKUP($C70,$B$111:$H$117,3,FALSE))</f>
        <v>#N/A</v>
      </c>
      <c r="J70" s="1720"/>
      <c r="K70" s="1219" t="e">
        <f>IF($C70&lt;&gt;0,HLOOKUP($C70,$B$111:$H$117,4,FALSE))</f>
        <v>#N/A</v>
      </c>
      <c r="L70" s="1720"/>
      <c r="M70" s="1219" t="e">
        <f>IF($C70&lt;&gt;0,HLOOKUP($C70,$B$111:$H$117,5,FALSE))</f>
        <v>#N/A</v>
      </c>
      <c r="N70" s="1720"/>
      <c r="O70" s="1713">
        <f t="shared" si="3"/>
        <v>3.6666666666666665</v>
      </c>
      <c r="P70" s="1788" t="str">
        <f>IFERROR($B$49*(F70*I70*K70*M70)*O70,"")</f>
        <v/>
      </c>
    </row>
    <row r="71" spans="2:25">
      <c r="B71" s="1246"/>
      <c r="C71" s="1220"/>
      <c r="D71" s="1246"/>
      <c r="E71" s="1246" t="str">
        <f>IF(SUM(F56:F70)&lt;1,"Total must = 100%","")</f>
        <v/>
      </c>
      <c r="F71" s="1247"/>
      <c r="I71" s="27"/>
      <c r="J71" s="1245"/>
      <c r="O71" s="2419" t="s">
        <v>174</v>
      </c>
      <c r="P71" s="2503">
        <f>SUM(P66:P70)</f>
        <v>0</v>
      </c>
    </row>
    <row r="72" spans="2:25" s="978" customFormat="1" ht="15" customHeight="1">
      <c r="B72" s="997" t="s">
        <v>2164</v>
      </c>
      <c r="C72" s="1002"/>
      <c r="D72" s="1002"/>
      <c r="F72" s="1002"/>
      <c r="G72" s="1002"/>
      <c r="H72" s="997"/>
      <c r="I72" s="1003"/>
      <c r="J72" s="1003"/>
      <c r="K72" s="1004"/>
      <c r="O72" s="2420"/>
      <c r="P72" s="2504"/>
      <c r="U72" s="979"/>
      <c r="V72" s="979"/>
      <c r="W72" s="979"/>
      <c r="X72" s="979"/>
      <c r="Y72" s="979"/>
    </row>
    <row r="73" spans="2:25">
      <c r="B73" s="332"/>
      <c r="C73" s="332"/>
      <c r="D73" s="332"/>
      <c r="E73" s="332"/>
      <c r="K73" s="332"/>
    </row>
    <row r="74" spans="2:25" ht="18">
      <c r="B74" s="747" t="s">
        <v>809</v>
      </c>
      <c r="C74" s="332"/>
      <c r="D74" s="332"/>
      <c r="E74" s="332"/>
      <c r="K74" s="332"/>
    </row>
    <row r="75" spans="2:25">
      <c r="B75" s="332"/>
      <c r="C75" s="332"/>
      <c r="D75" s="332"/>
      <c r="E75" s="332"/>
      <c r="K75" s="332"/>
    </row>
    <row r="76" spans="2:25" s="16" customFormat="1" ht="15" customHeight="1">
      <c r="B76" s="1703" t="s">
        <v>2592</v>
      </c>
      <c r="C76" s="356"/>
      <c r="D76" s="356"/>
      <c r="E76" s="356"/>
      <c r="F76" s="356"/>
      <c r="G76" s="356"/>
      <c r="H76" s="356"/>
      <c r="I76" s="356"/>
      <c r="J76" s="356"/>
      <c r="K76" s="356"/>
      <c r="L76" s="356"/>
      <c r="M76" s="356"/>
      <c r="N76" s="356"/>
      <c r="O76" s="356"/>
      <c r="P76" s="356"/>
      <c r="Q76" s="356"/>
      <c r="R76" s="356"/>
    </row>
    <row r="77" spans="2:25" s="16" customFormat="1" ht="15" customHeight="1">
      <c r="B77" s="747"/>
      <c r="C77" s="356"/>
      <c r="D77" s="356"/>
      <c r="E77" s="356"/>
      <c r="F77" s="356"/>
      <c r="G77" s="356"/>
      <c r="H77" s="356"/>
      <c r="I77" s="356"/>
      <c r="J77" s="356"/>
      <c r="K77" s="356"/>
      <c r="L77" s="356"/>
      <c r="M77" s="356"/>
      <c r="N77" s="356"/>
      <c r="O77" s="356"/>
      <c r="P77" s="356"/>
      <c r="Q77" s="356"/>
      <c r="R77" s="356"/>
    </row>
    <row r="78" spans="2:25" ht="31" customHeight="1">
      <c r="B78" s="1704" t="s">
        <v>2065</v>
      </c>
      <c r="C78" s="1697" t="s">
        <v>2066</v>
      </c>
      <c r="D78" s="1698"/>
      <c r="E78" s="1698"/>
      <c r="F78" s="1699"/>
      <c r="G78" s="1700"/>
      <c r="K78" s="332"/>
    </row>
    <row r="79" spans="2:25" ht="31" customHeight="1">
      <c r="B79" s="1705" t="s">
        <v>2067</v>
      </c>
      <c r="C79" s="1248" t="str">
        <f>"= Amount of solid waste type i incinerated or open burned, tonnes"</f>
        <v>= Amount of solid waste type i incinerated or open burned, tonnes</v>
      </c>
      <c r="D79" s="1248"/>
      <c r="E79" s="1248"/>
      <c r="F79" s="1566"/>
      <c r="G79" s="1249"/>
      <c r="K79" s="332"/>
    </row>
    <row r="80" spans="2:25" ht="31" customHeight="1">
      <c r="B80" s="1706" t="s">
        <v>2068</v>
      </c>
      <c r="C80" s="337" t="str">
        <f>"= Aggregate CH4 emission factor, g CH4/tonne waste type i"</f>
        <v>= Aggregate CH4 emission factor, g CH4/tonne waste type i</v>
      </c>
      <c r="D80" s="337"/>
      <c r="E80" s="337"/>
      <c r="F80" s="22"/>
      <c r="G80" s="1183"/>
      <c r="K80" s="332"/>
    </row>
    <row r="81" spans="2:25" ht="31" customHeight="1">
      <c r="B81" s="1707" t="s">
        <v>2069</v>
      </c>
      <c r="C81" s="337" t="str">
        <f>"= Converting factor from gCH4 to t CH4"</f>
        <v>= Converting factor from gCH4 to t CH4</v>
      </c>
      <c r="D81" s="337"/>
      <c r="E81" s="337"/>
      <c r="F81" s="22"/>
      <c r="G81" s="1183"/>
      <c r="K81" s="332"/>
    </row>
    <row r="82" spans="2:25" ht="31" customHeight="1">
      <c r="B82" s="1708" t="s">
        <v>1478</v>
      </c>
      <c r="C82" s="2481" t="str">
        <f>"= Category or type of waste incinerated/open burned, specified as follows: MSW: municipal solid waste, ISW: industrial solid waste, HW: hazardous waste, CW: clinical waste, SS: sewage sludge, others (that must be specified)"</f>
        <v>= Category or type of waste incinerated/open burned, specified as follows: MSW: municipal solid waste, ISW: industrial solid waste, HW: hazardous waste, CW: clinical waste, SS: sewage sludge, others (that must be specified)</v>
      </c>
      <c r="D82" s="2481"/>
      <c r="E82" s="2481"/>
      <c r="F82" s="2481"/>
      <c r="G82" s="1251"/>
      <c r="K82" s="332"/>
    </row>
    <row r="83" spans="2:25" ht="15" customHeight="1">
      <c r="B83" s="330"/>
      <c r="D83" s="330"/>
      <c r="E83" s="332"/>
      <c r="F83" s="332"/>
      <c r="G83" s="332"/>
      <c r="H83" s="332"/>
      <c r="I83" s="1244"/>
      <c r="J83" s="332"/>
      <c r="K83" s="332"/>
      <c r="L83" s="332"/>
      <c r="O83" s="332"/>
      <c r="P83" s="332"/>
    </row>
    <row r="84" spans="2:25" ht="15" customHeight="1">
      <c r="B84" s="747" t="s">
        <v>1824</v>
      </c>
      <c r="D84" s="330"/>
      <c r="E84" s="332"/>
      <c r="F84" s="332"/>
      <c r="G84" s="332"/>
      <c r="H84" s="332"/>
      <c r="I84" s="1244"/>
      <c r="J84" s="332"/>
      <c r="K84" s="332"/>
      <c r="L84" s="332"/>
      <c r="O84" s="332"/>
      <c r="P84" s="332"/>
    </row>
    <row r="85" spans="2:25" ht="15" customHeight="1">
      <c r="B85" s="330"/>
      <c r="D85" s="330"/>
      <c r="E85" s="332"/>
      <c r="F85" s="332"/>
      <c r="G85" s="332"/>
      <c r="H85" s="332"/>
      <c r="I85" s="1244"/>
      <c r="J85" s="332"/>
      <c r="K85" s="332"/>
      <c r="L85" s="332"/>
      <c r="O85" s="332"/>
      <c r="P85" s="332"/>
    </row>
    <row r="86" spans="2:25" ht="15" customHeight="1">
      <c r="B86" s="2483" t="s">
        <v>2044</v>
      </c>
      <c r="C86" s="2322" t="s">
        <v>2070</v>
      </c>
      <c r="D86" s="2493"/>
      <c r="E86" s="2483" t="s">
        <v>2071</v>
      </c>
      <c r="F86" s="2483"/>
      <c r="G86" s="2320" t="s">
        <v>2597</v>
      </c>
      <c r="H86" s="2385"/>
      <c r="I86" s="2315" t="s">
        <v>2072</v>
      </c>
      <c r="J86" s="2497" t="s">
        <v>2073</v>
      </c>
      <c r="K86" s="2498"/>
      <c r="L86" s="332"/>
      <c r="O86" s="332"/>
      <c r="P86" s="332"/>
    </row>
    <row r="87" spans="2:25" ht="15" customHeight="1">
      <c r="B87" s="2483"/>
      <c r="C87" s="2322"/>
      <c r="D87" s="2493"/>
      <c r="E87" s="2483"/>
      <c r="F87" s="2483"/>
      <c r="G87" s="2322"/>
      <c r="H87" s="2493"/>
      <c r="I87" s="2316"/>
      <c r="J87" s="2494" t="s">
        <v>1826</v>
      </c>
      <c r="K87" s="2494" t="s">
        <v>1827</v>
      </c>
      <c r="L87" s="332"/>
      <c r="O87" s="332"/>
      <c r="P87" s="332"/>
    </row>
    <row r="88" spans="2:25">
      <c r="B88" s="2483"/>
      <c r="C88" s="2322"/>
      <c r="D88" s="2493"/>
      <c r="E88" s="2483"/>
      <c r="F88" s="2483"/>
      <c r="G88" s="2324"/>
      <c r="H88" s="2496"/>
      <c r="I88" s="2317"/>
      <c r="J88" s="2495"/>
      <c r="K88" s="2495"/>
      <c r="L88" s="332"/>
      <c r="O88" s="332"/>
      <c r="P88" s="332"/>
    </row>
    <row r="89" spans="2:25" ht="15" customHeight="1">
      <c r="B89" s="1695" t="s">
        <v>1168</v>
      </c>
      <c r="C89" s="2291" t="s">
        <v>2554</v>
      </c>
      <c r="D89" s="2292"/>
      <c r="E89" s="2286" t="s">
        <v>2554</v>
      </c>
      <c r="F89" s="2286"/>
      <c r="G89" s="1695" t="s">
        <v>1023</v>
      </c>
      <c r="H89" s="1695" t="s">
        <v>1024</v>
      </c>
      <c r="I89" s="1695" t="s">
        <v>1023</v>
      </c>
      <c r="J89" s="1694"/>
      <c r="K89" s="1694"/>
      <c r="L89" s="332"/>
      <c r="O89" s="332"/>
      <c r="P89" s="332"/>
    </row>
    <row r="90" spans="2:25" s="205" customFormat="1" ht="31" customHeight="1">
      <c r="B90" s="1222">
        <f>$F$26</f>
        <v>100000</v>
      </c>
      <c r="C90" s="2505" t="s">
        <v>2074</v>
      </c>
      <c r="D90" s="2506"/>
      <c r="E90" s="2507" t="s">
        <v>2075</v>
      </c>
      <c r="F90" s="2507"/>
      <c r="G90" s="1025">
        <f>VLOOKUP(C90&amp;", "&amp;E90,B133:F138,5,FALSE)</f>
        <v>0.2</v>
      </c>
      <c r="H90" s="1713"/>
      <c r="I90" s="1714">
        <f>10^-3</f>
        <v>1E-3</v>
      </c>
      <c r="J90" s="1715">
        <f>($B$90*(IF($H$90&lt;&gt;0,$H$90,$G$90))*$I$90)</f>
        <v>20</v>
      </c>
      <c r="K90" s="1715">
        <f>IFERROR(IF(B90="","",$J90*HLOOKUP($F$27,GWP!$F$11:$I$14,4,FALSE)),"")</f>
        <v>560</v>
      </c>
      <c r="L90" s="1021"/>
      <c r="O90" s="1021"/>
      <c r="P90" s="1021"/>
    </row>
    <row r="91" spans="2:25" ht="18">
      <c r="B91" s="332"/>
      <c r="C91" s="332"/>
      <c r="D91" s="332"/>
      <c r="E91" s="332"/>
      <c r="F91" s="332"/>
      <c r="G91" s="332"/>
      <c r="H91" s="332"/>
      <c r="I91" s="1244"/>
      <c r="J91" s="332"/>
      <c r="K91" s="332"/>
      <c r="L91" s="332"/>
      <c r="O91" s="332"/>
      <c r="P91" s="332"/>
    </row>
    <row r="92" spans="2:25" s="1239" customFormat="1" ht="15" customHeight="1">
      <c r="B92" s="997" t="s">
        <v>2163</v>
      </c>
      <c r="C92" s="997"/>
      <c r="D92" s="997"/>
      <c r="F92" s="997"/>
      <c r="G92" s="997"/>
      <c r="H92" s="997"/>
      <c r="I92" s="1240"/>
      <c r="J92" s="1240"/>
      <c r="K92" s="1241"/>
      <c r="U92" s="1242"/>
      <c r="V92" s="1242"/>
      <c r="W92" s="1242"/>
      <c r="X92" s="1242"/>
      <c r="Y92" s="1242"/>
    </row>
    <row r="93" spans="2:25" ht="15" customHeight="1">
      <c r="B93" s="1243"/>
      <c r="C93" s="1243"/>
      <c r="D93" s="332"/>
      <c r="E93" s="332"/>
      <c r="F93" s="332"/>
      <c r="G93" s="332"/>
      <c r="H93" s="332"/>
      <c r="I93" s="332"/>
      <c r="J93" s="332"/>
      <c r="M93" s="332"/>
      <c r="N93" s="332"/>
      <c r="O93" s="332"/>
      <c r="P93" s="332"/>
      <c r="Q93" s="332"/>
    </row>
    <row r="94" spans="2:25" ht="15" customHeight="1">
      <c r="B94" s="747" t="s">
        <v>809</v>
      </c>
      <c r="C94" s="1243"/>
      <c r="D94" s="332"/>
      <c r="E94" s="332"/>
      <c r="F94" s="332"/>
      <c r="G94" s="332"/>
      <c r="H94" s="332"/>
      <c r="I94" s="332"/>
      <c r="J94" s="332"/>
      <c r="M94" s="332"/>
      <c r="N94" s="332"/>
      <c r="O94" s="332"/>
      <c r="P94" s="332"/>
      <c r="Q94" s="332"/>
    </row>
    <row r="95" spans="2:25" ht="15" customHeight="1">
      <c r="B95" s="1243"/>
      <c r="C95" s="1243"/>
      <c r="D95" s="332"/>
      <c r="E95" s="332"/>
      <c r="F95" s="332"/>
      <c r="G95" s="332"/>
      <c r="H95" s="332"/>
      <c r="I95" s="332"/>
      <c r="J95" s="332"/>
      <c r="M95" s="332"/>
      <c r="N95" s="332"/>
      <c r="O95" s="332"/>
      <c r="P95" s="332"/>
      <c r="Q95" s="332"/>
    </row>
    <row r="96" spans="2:25" s="16" customFormat="1" ht="15" customHeight="1">
      <c r="B96" s="1703" t="s">
        <v>2593</v>
      </c>
      <c r="C96" s="356"/>
      <c r="D96" s="356"/>
      <c r="E96" s="356"/>
      <c r="F96" s="356"/>
      <c r="G96" s="356"/>
      <c r="H96" s="356"/>
      <c r="I96" s="356"/>
      <c r="J96" s="356"/>
      <c r="M96" s="356"/>
      <c r="N96" s="356"/>
      <c r="O96" s="356"/>
      <c r="P96" s="356"/>
      <c r="Q96" s="356"/>
      <c r="R96" s="356"/>
    </row>
    <row r="97" spans="1:38" s="16" customFormat="1" ht="15" customHeight="1">
      <c r="B97" s="747"/>
      <c r="C97" s="356"/>
      <c r="D97" s="356"/>
      <c r="E97" s="356"/>
      <c r="F97" s="356"/>
      <c r="G97" s="356"/>
      <c r="H97" s="356"/>
      <c r="I97" s="356"/>
      <c r="J97" s="356"/>
      <c r="K97" s="356"/>
      <c r="L97" s="356"/>
      <c r="M97" s="356"/>
      <c r="N97" s="356"/>
      <c r="O97" s="356"/>
      <c r="P97" s="356"/>
      <c r="Q97" s="356"/>
      <c r="R97" s="356"/>
    </row>
    <row r="98" spans="1:38" ht="31" customHeight="1">
      <c r="B98" s="1702" t="s">
        <v>2076</v>
      </c>
      <c r="C98" s="1006" t="str">
        <f>"=Σ(IWi * EFi) * 10-6"</f>
        <v>=Σ(IWi * EFi) * 10-6</v>
      </c>
      <c r="D98" s="1698"/>
      <c r="E98" s="1698"/>
      <c r="F98" s="1699"/>
      <c r="G98" s="1709"/>
      <c r="H98" s="332"/>
      <c r="I98" s="332"/>
      <c r="J98" s="332"/>
      <c r="K98" s="332"/>
      <c r="L98" s="332"/>
      <c r="M98" s="332"/>
      <c r="N98" s="332"/>
      <c r="O98" s="332"/>
      <c r="P98" s="332"/>
      <c r="Q98" s="332"/>
    </row>
    <row r="99" spans="1:38" s="205" customFormat="1" ht="31" customHeight="1">
      <c r="B99" s="931" t="s">
        <v>2067</v>
      </c>
      <c r="C99" s="921" t="str">
        <f>"= Amount of solid waste type i incinerated or open burned, tonnes"</f>
        <v>= Amount of solid waste type i incinerated or open burned, tonnes</v>
      </c>
      <c r="D99" s="921"/>
      <c r="E99" s="921"/>
      <c r="F99" s="1092"/>
      <c r="G99" s="1710"/>
      <c r="H99" s="1021"/>
      <c r="I99" s="1021"/>
      <c r="J99" s="1021"/>
      <c r="K99" s="1021"/>
      <c r="L99" s="1021"/>
      <c r="M99" s="1021"/>
      <c r="N99" s="1021"/>
      <c r="O99" s="1021"/>
      <c r="P99" s="1021"/>
      <c r="Q99" s="1021"/>
    </row>
    <row r="100" spans="1:38" s="205" customFormat="1" ht="31" customHeight="1">
      <c r="B100" s="932" t="s">
        <v>2068</v>
      </c>
      <c r="C100" s="923" t="str">
        <f>"= Aggregate N2O emission factor, g N2O/tonne waste type i"</f>
        <v>= Aggregate N2O emission factor, g N2O/tonne waste type i</v>
      </c>
      <c r="D100" s="923"/>
      <c r="E100" s="923"/>
      <c r="F100" s="668"/>
      <c r="G100" s="1583"/>
      <c r="H100" s="1021"/>
      <c r="I100" s="1021"/>
      <c r="J100" s="1021"/>
      <c r="K100" s="1021"/>
      <c r="L100" s="1021"/>
      <c r="M100" s="1021"/>
      <c r="N100" s="1021"/>
      <c r="O100" s="1021"/>
      <c r="P100" s="1021"/>
      <c r="Q100" s="1021"/>
    </row>
    <row r="101" spans="1:38" s="205" customFormat="1" ht="31" customHeight="1">
      <c r="B101" s="1712" t="s">
        <v>2069</v>
      </c>
      <c r="C101" s="923" t="str">
        <f>"= Converting factor from gN2O to tN2O"</f>
        <v>= Converting factor from gN2O to tN2O</v>
      </c>
      <c r="D101" s="923"/>
      <c r="E101" s="923"/>
      <c r="F101" s="668"/>
      <c r="G101" s="1583"/>
      <c r="H101" s="1021"/>
      <c r="I101" s="1021"/>
      <c r="J101" s="1021"/>
      <c r="K101" s="1021"/>
      <c r="L101" s="1021"/>
      <c r="M101" s="1021"/>
      <c r="N101" s="1021"/>
      <c r="O101" s="1021"/>
      <c r="P101" s="1021"/>
      <c r="Q101" s="1021"/>
    </row>
    <row r="102" spans="1:38" s="205" customFormat="1" ht="31" customHeight="1">
      <c r="B102" s="1708" t="s">
        <v>1478</v>
      </c>
      <c r="C102" s="2482" t="str">
        <f>"= Category or type of waste incinerated, specified as follows: municipal solid waste, industrial  waste, sludge (except sewage sludge), sewage sludge"</f>
        <v>= Category or type of waste incinerated, specified as follows: municipal solid waste, industrial  waste, sludge (except sewage sludge), sewage sludge</v>
      </c>
      <c r="D102" s="2482"/>
      <c r="E102" s="2482"/>
      <c r="F102" s="2482"/>
      <c r="G102" s="1587"/>
      <c r="H102" s="1021"/>
      <c r="I102" s="1021"/>
      <c r="J102" s="1021"/>
      <c r="K102" s="1021"/>
      <c r="L102" s="1021"/>
      <c r="M102" s="1021"/>
      <c r="N102" s="1021"/>
      <c r="O102" s="1021"/>
      <c r="P102" s="1021"/>
      <c r="Q102" s="1021"/>
    </row>
    <row r="103" spans="1:38" s="205" customFormat="1" ht="15" customHeight="1">
      <c r="B103" s="1711"/>
      <c r="C103" s="1711"/>
      <c r="D103" s="1021"/>
      <c r="E103" s="1021"/>
      <c r="F103" s="1021"/>
      <c r="G103" s="1021"/>
      <c r="H103" s="1021"/>
      <c r="I103" s="1021"/>
      <c r="J103" s="1021"/>
      <c r="K103" s="1021"/>
      <c r="L103" s="1021"/>
      <c r="M103" s="1021"/>
      <c r="N103" s="1021"/>
      <c r="O103" s="1021"/>
      <c r="P103" s="1021"/>
      <c r="Q103" s="1021"/>
    </row>
    <row r="104" spans="1:38" ht="15" customHeight="1">
      <c r="B104" s="747" t="s">
        <v>1824</v>
      </c>
      <c r="C104" s="1243"/>
      <c r="D104" s="332"/>
      <c r="E104" s="332"/>
      <c r="F104" s="332"/>
      <c r="G104" s="332"/>
      <c r="H104" s="332"/>
      <c r="I104" s="332"/>
      <c r="J104" s="332"/>
      <c r="K104" s="332"/>
      <c r="L104" s="332"/>
      <c r="M104" s="332"/>
      <c r="N104" s="332"/>
      <c r="O104" s="332"/>
      <c r="P104" s="332"/>
      <c r="Q104" s="332"/>
    </row>
    <row r="105" spans="1:38" ht="15" customHeight="1">
      <c r="B105" s="1243"/>
      <c r="C105" s="1243"/>
      <c r="D105" s="332"/>
      <c r="E105" s="332"/>
      <c r="F105" s="332"/>
      <c r="G105" s="332"/>
      <c r="H105" s="332"/>
      <c r="I105" s="332"/>
      <c r="J105" s="332"/>
      <c r="K105" s="332"/>
      <c r="L105" s="332"/>
      <c r="M105" s="332"/>
      <c r="N105" s="332"/>
      <c r="O105" s="332"/>
      <c r="P105" s="332"/>
      <c r="Q105" s="332"/>
    </row>
    <row r="106" spans="1:38" ht="15" customHeight="1">
      <c r="B106" s="2483" t="s">
        <v>2044</v>
      </c>
      <c r="C106" s="2483" t="s">
        <v>2077</v>
      </c>
      <c r="D106" s="2483"/>
      <c r="E106" s="2483"/>
      <c r="F106" s="2483" t="s">
        <v>2598</v>
      </c>
      <c r="G106" s="2483"/>
      <c r="H106" s="2483" t="s">
        <v>2078</v>
      </c>
      <c r="I106" s="2293" t="s">
        <v>1934</v>
      </c>
      <c r="J106" s="2293"/>
      <c r="K106" s="332"/>
      <c r="L106" s="332"/>
      <c r="M106" s="332"/>
      <c r="N106" s="332"/>
      <c r="O106" s="332"/>
      <c r="P106" s="332"/>
      <c r="Q106" s="332"/>
    </row>
    <row r="107" spans="1:38">
      <c r="B107" s="2483"/>
      <c r="C107" s="2483"/>
      <c r="D107" s="2483"/>
      <c r="E107" s="2483"/>
      <c r="F107" s="2483"/>
      <c r="G107" s="2483"/>
      <c r="H107" s="2483"/>
      <c r="I107" s="2305" t="s">
        <v>2594</v>
      </c>
      <c r="J107" s="2307" t="s">
        <v>1827</v>
      </c>
      <c r="K107" s="332"/>
      <c r="L107" s="332"/>
      <c r="M107" s="332"/>
      <c r="N107" s="332"/>
      <c r="O107" s="332"/>
      <c r="P107" s="332"/>
      <c r="Q107" s="332"/>
    </row>
    <row r="108" spans="1:38">
      <c r="B108" s="2483"/>
      <c r="C108" s="2483"/>
      <c r="D108" s="2483"/>
      <c r="E108" s="2483"/>
      <c r="F108" s="2483"/>
      <c r="G108" s="2483"/>
      <c r="H108" s="2483"/>
      <c r="I108" s="2306"/>
      <c r="J108" s="2308"/>
      <c r="K108" s="332"/>
      <c r="L108" s="332"/>
      <c r="M108" s="332"/>
      <c r="N108" s="332"/>
      <c r="O108" s="332"/>
      <c r="P108" s="332"/>
      <c r="Q108" s="332"/>
    </row>
    <row r="109" spans="1:38">
      <c r="B109" s="795" t="s">
        <v>1168</v>
      </c>
      <c r="C109" s="2500"/>
      <c r="D109" s="2501"/>
      <c r="E109" s="2502"/>
      <c r="F109" s="795" t="s">
        <v>1023</v>
      </c>
      <c r="G109" s="795" t="s">
        <v>1024</v>
      </c>
      <c r="H109" s="795" t="s">
        <v>1023</v>
      </c>
      <c r="I109" s="1691"/>
      <c r="J109" s="1691"/>
      <c r="K109" s="332"/>
      <c r="L109" s="332"/>
      <c r="M109" s="332"/>
      <c r="N109" s="332"/>
      <c r="O109" s="332"/>
      <c r="P109" s="332"/>
      <c r="Q109" s="332"/>
    </row>
    <row r="110" spans="1:38" s="205" customFormat="1" ht="32" customHeight="1">
      <c r="B110" s="1222">
        <f>$F$26</f>
        <v>100000</v>
      </c>
      <c r="C110" s="2499" t="s">
        <v>2079</v>
      </c>
      <c r="D110" s="2499"/>
      <c r="E110" s="2499"/>
      <c r="F110" s="1222">
        <f>VLOOKUP(C110,B146:F152,5,FALSE)</f>
        <v>50</v>
      </c>
      <c r="G110" s="1713"/>
      <c r="H110" s="1714">
        <f>10^-6</f>
        <v>9.9999999999999995E-7</v>
      </c>
      <c r="I110" s="1715">
        <f>($B$110*(IF($G$110&lt;&gt;0,$G$110,$F$110))*$H$110)</f>
        <v>5</v>
      </c>
      <c r="J110" s="1715">
        <f>IFERROR(IF(B110="","",$I110*HLOOKUP($F$27,GWP!$F$11:$I$15,5,FALSE)),"")</f>
        <v>1325</v>
      </c>
      <c r="K110" s="1021"/>
      <c r="L110" s="1021"/>
      <c r="M110" s="1021"/>
      <c r="N110" s="1021"/>
      <c r="O110" s="1021"/>
      <c r="P110" s="1021"/>
      <c r="Q110" s="1021"/>
    </row>
    <row r="111" spans="1:38" ht="23">
      <c r="B111" s="1243"/>
      <c r="C111" s="1243"/>
      <c r="D111" s="332"/>
      <c r="E111" s="332"/>
      <c r="F111" s="332"/>
      <c r="G111" s="332"/>
      <c r="H111" s="332"/>
      <c r="I111" s="332"/>
      <c r="J111" s="332"/>
      <c r="K111" s="332"/>
      <c r="L111" s="332"/>
      <c r="M111" s="332"/>
      <c r="N111" s="332"/>
      <c r="O111" s="332"/>
      <c r="P111" s="332"/>
      <c r="Q111" s="332"/>
    </row>
    <row r="112" spans="1:38" customFormat="1" ht="31" customHeight="1" thickBot="1">
      <c r="A112" s="15"/>
      <c r="B112" s="491" t="s">
        <v>1703</v>
      </c>
      <c r="C112" s="466"/>
      <c r="D112" s="466"/>
      <c r="E112" s="466"/>
      <c r="F112" s="466"/>
      <c r="G112" s="466"/>
      <c r="H112" s="466"/>
      <c r="I112" s="467"/>
      <c r="J112" s="467"/>
      <c r="K112" s="467"/>
      <c r="L112" s="468"/>
      <c r="M112" s="468"/>
      <c r="N112" s="468"/>
      <c r="O112" s="468"/>
      <c r="P112" s="468"/>
      <c r="Q112" s="468"/>
      <c r="R112" s="29"/>
      <c r="S112" s="15"/>
      <c r="T112" s="15"/>
      <c r="U112" s="15"/>
      <c r="V112" s="15"/>
      <c r="W112" s="15"/>
      <c r="X112" s="15"/>
      <c r="Y112" s="15"/>
      <c r="Z112" s="15"/>
      <c r="AA112" s="15"/>
      <c r="AB112" s="15"/>
      <c r="AC112" s="15"/>
      <c r="AD112" s="15"/>
      <c r="AE112" s="15"/>
      <c r="AF112" s="15"/>
      <c r="AG112" s="15"/>
      <c r="AH112" s="15"/>
      <c r="AI112" s="15"/>
      <c r="AJ112" s="15"/>
      <c r="AK112" s="15"/>
      <c r="AL112" s="15"/>
    </row>
    <row r="113" spans="2:38" ht="15" customHeight="1" thickTop="1">
      <c r="B113" s="333"/>
      <c r="C113" s="333"/>
      <c r="D113" s="332"/>
      <c r="E113" s="332"/>
      <c r="F113" s="332"/>
      <c r="G113" s="332"/>
      <c r="H113" s="332"/>
      <c r="I113" s="332"/>
      <c r="J113" s="332"/>
      <c r="K113" s="332"/>
      <c r="L113" s="332"/>
      <c r="M113" s="332"/>
      <c r="N113" s="332"/>
      <c r="O113" s="337"/>
      <c r="P113" s="332"/>
      <c r="Q113" s="332"/>
    </row>
    <row r="114" spans="2:38" s="6" customFormat="1" ht="15" customHeight="1">
      <c r="B114" s="747" t="s">
        <v>2161</v>
      </c>
      <c r="C114" s="356"/>
      <c r="D114" s="356"/>
      <c r="E114" s="356"/>
      <c r="F114" s="356"/>
      <c r="G114" s="356"/>
      <c r="H114" s="356"/>
      <c r="I114" s="356"/>
      <c r="J114" s="356"/>
      <c r="K114" s="356"/>
      <c r="L114" s="356"/>
      <c r="M114" s="356"/>
      <c r="N114" s="356"/>
      <c r="O114" s="356"/>
      <c r="P114" s="356"/>
      <c r="Q114" s="356"/>
      <c r="R114" s="356"/>
      <c r="S114" s="16"/>
      <c r="T114" s="16"/>
      <c r="U114" s="16"/>
      <c r="V114" s="16"/>
      <c r="W114" s="16"/>
      <c r="X114" s="16"/>
      <c r="Y114" s="16"/>
      <c r="Z114" s="16"/>
      <c r="AA114" s="16"/>
      <c r="AB114" s="16"/>
      <c r="AC114" s="16"/>
      <c r="AD114" s="16"/>
      <c r="AE114" s="16"/>
      <c r="AF114" s="16"/>
      <c r="AG114" s="16"/>
      <c r="AH114" s="16"/>
      <c r="AI114" s="16"/>
      <c r="AJ114" s="16"/>
      <c r="AK114" s="16"/>
      <c r="AL114" s="16"/>
    </row>
    <row r="115" spans="2:38" ht="15" customHeight="1">
      <c r="B115" s="345"/>
      <c r="C115" s="346"/>
      <c r="D115" s="332"/>
      <c r="E115" s="332"/>
      <c r="F115" s="332"/>
      <c r="G115" s="332"/>
      <c r="H115" s="332"/>
      <c r="I115" s="332"/>
      <c r="J115" s="347"/>
      <c r="K115" s="347"/>
      <c r="L115" s="348"/>
      <c r="M115" s="334"/>
      <c r="N115" s="334"/>
      <c r="O115" s="334"/>
      <c r="P115" s="334"/>
      <c r="Q115" s="334"/>
    </row>
    <row r="116" spans="2:38" ht="30" customHeight="1">
      <c r="B116" s="2467" t="s">
        <v>2080</v>
      </c>
      <c r="C116" s="2468"/>
      <c r="D116" s="2468"/>
      <c r="E116" s="2469"/>
      <c r="F116" s="1275" t="s">
        <v>2081</v>
      </c>
      <c r="G116" s="1275" t="s">
        <v>2051</v>
      </c>
      <c r="H116" s="1275" t="s">
        <v>277</v>
      </c>
      <c r="I116" s="1275" t="s">
        <v>2062</v>
      </c>
      <c r="J116" s="1276" t="s">
        <v>2063</v>
      </c>
      <c r="K116" s="1277" t="s">
        <v>2064</v>
      </c>
    </row>
    <row r="117" spans="2:38" ht="15" customHeight="1">
      <c r="B117" s="490" t="s">
        <v>2082</v>
      </c>
      <c r="C117" s="484"/>
      <c r="D117" s="484"/>
      <c r="E117" s="484"/>
      <c r="F117" s="1273"/>
      <c r="G117" s="1274" t="s">
        <v>2083</v>
      </c>
      <c r="H117" s="1274" t="s">
        <v>1187</v>
      </c>
      <c r="I117" s="1274" t="s">
        <v>1187</v>
      </c>
      <c r="J117" s="1274" t="s">
        <v>1187</v>
      </c>
      <c r="K117" s="1274" t="s">
        <v>1187</v>
      </c>
      <c r="L117" s="347"/>
      <c r="M117" s="16"/>
      <c r="N117" s="16"/>
      <c r="O117" s="16"/>
      <c r="P117" s="16"/>
      <c r="Q117" s="16"/>
    </row>
    <row r="118" spans="2:38" ht="15" customHeight="1">
      <c r="B118" s="1096" t="s">
        <v>2084</v>
      </c>
      <c r="C118" s="1086"/>
      <c r="D118" s="1086"/>
      <c r="E118" s="1086"/>
      <c r="F118" s="1167"/>
      <c r="G118" s="1270" t="s">
        <v>2083</v>
      </c>
      <c r="H118" s="1270">
        <v>0.5</v>
      </c>
      <c r="I118" s="1270">
        <v>0.6</v>
      </c>
      <c r="J118" s="1270">
        <v>0.45</v>
      </c>
      <c r="K118" s="1270">
        <v>0.8</v>
      </c>
      <c r="L118" s="347"/>
      <c r="M118" s="16"/>
      <c r="N118" s="16"/>
      <c r="O118" s="16"/>
      <c r="P118" s="16"/>
      <c r="Q118" s="16"/>
    </row>
    <row r="119" spans="2:38" ht="15" customHeight="1">
      <c r="B119" s="1096" t="s">
        <v>2085</v>
      </c>
      <c r="C119" s="1086"/>
      <c r="D119" s="1086"/>
      <c r="E119" s="1086"/>
      <c r="F119" s="1167"/>
      <c r="G119" s="1270" t="s">
        <v>2086</v>
      </c>
      <c r="H119" s="1270">
        <v>0.9</v>
      </c>
      <c r="I119" s="1270">
        <v>0.4</v>
      </c>
      <c r="J119" s="1270">
        <v>0</v>
      </c>
      <c r="K119" s="1270">
        <v>1</v>
      </c>
      <c r="L119" s="347"/>
      <c r="M119" s="16"/>
      <c r="N119" s="16"/>
      <c r="O119" s="16"/>
      <c r="P119" s="16"/>
      <c r="Q119" s="16"/>
    </row>
    <row r="120" spans="2:38" ht="15" customHeight="1">
      <c r="B120" s="2471" t="s">
        <v>2087</v>
      </c>
      <c r="C120" s="2472"/>
      <c r="D120" s="2472"/>
      <c r="E120" s="2473"/>
      <c r="F120" s="1271" t="s">
        <v>1605</v>
      </c>
      <c r="G120" s="1270">
        <v>1</v>
      </c>
      <c r="H120" s="1270">
        <v>1</v>
      </c>
      <c r="I120" s="1270">
        <v>1</v>
      </c>
      <c r="J120" s="1270">
        <v>1</v>
      </c>
      <c r="K120" s="1270">
        <v>1</v>
      </c>
      <c r="L120" s="16"/>
      <c r="M120" s="16"/>
      <c r="N120" s="16"/>
      <c r="O120" s="16"/>
      <c r="P120" s="16"/>
      <c r="Q120" s="16"/>
    </row>
    <row r="121" spans="2:38" ht="15" customHeight="1">
      <c r="B121" s="2474"/>
      <c r="C121" s="2475"/>
      <c r="D121" s="2475"/>
      <c r="E121" s="2476"/>
      <c r="F121" s="1272" t="s">
        <v>2088</v>
      </c>
      <c r="G121" s="1270">
        <v>0.57999999999999996</v>
      </c>
      <c r="H121" s="1270" t="s">
        <v>175</v>
      </c>
      <c r="I121" s="1270" t="s">
        <v>175</v>
      </c>
      <c r="J121" s="1270" t="s">
        <v>175</v>
      </c>
      <c r="K121" s="1270" t="s">
        <v>175</v>
      </c>
      <c r="L121" s="16"/>
      <c r="M121" s="16"/>
      <c r="N121" s="16"/>
      <c r="O121" s="16"/>
      <c r="P121" s="16"/>
      <c r="Q121" s="16"/>
    </row>
    <row r="122" spans="2:38" ht="15" customHeight="1">
      <c r="B122" s="1234"/>
      <c r="F122" s="356"/>
      <c r="G122" s="356"/>
      <c r="H122" s="356"/>
      <c r="I122" s="356"/>
      <c r="J122" s="356"/>
      <c r="K122" s="356"/>
      <c r="L122" s="16"/>
      <c r="M122" s="16"/>
      <c r="N122" s="16"/>
      <c r="O122" s="16"/>
      <c r="P122" s="16"/>
      <c r="Q122" s="16"/>
    </row>
    <row r="123" spans="2:38" ht="15" customHeight="1">
      <c r="B123" s="2480" t="s">
        <v>2089</v>
      </c>
      <c r="C123" s="2480"/>
      <c r="D123" s="2480"/>
      <c r="E123" s="2480"/>
      <c r="F123" s="2480"/>
      <c r="G123" s="2480"/>
      <c r="H123" s="2480"/>
      <c r="I123" s="2480"/>
      <c r="J123" s="2480"/>
      <c r="K123" s="2480"/>
      <c r="L123" s="16"/>
      <c r="M123" s="16"/>
      <c r="N123" s="16"/>
      <c r="O123" s="16"/>
      <c r="P123" s="16"/>
      <c r="Q123" s="16"/>
    </row>
    <row r="124" spans="2:38" ht="15" customHeight="1">
      <c r="B124" s="1223" t="s">
        <v>2090</v>
      </c>
      <c r="C124" s="356"/>
      <c r="D124" s="356"/>
      <c r="E124" s="356"/>
      <c r="F124" s="356"/>
      <c r="G124" s="356"/>
      <c r="H124" s="356"/>
      <c r="I124" s="16"/>
      <c r="J124" s="16"/>
      <c r="K124" s="16"/>
      <c r="L124" s="16"/>
      <c r="M124" s="16"/>
      <c r="N124" s="16"/>
      <c r="O124" s="16"/>
      <c r="P124" s="16"/>
      <c r="Q124" s="16"/>
    </row>
    <row r="125" spans="2:38" ht="15" customHeight="1">
      <c r="B125" s="1223" t="s">
        <v>2091</v>
      </c>
      <c r="C125" s="356"/>
      <c r="D125" s="356"/>
      <c r="E125" s="356"/>
      <c r="F125" s="356"/>
      <c r="G125" s="356"/>
      <c r="H125" s="356"/>
      <c r="I125" s="16"/>
      <c r="J125" s="16"/>
      <c r="K125" s="16"/>
      <c r="L125" s="16"/>
      <c r="M125" s="16"/>
      <c r="N125" s="16"/>
      <c r="O125" s="16"/>
      <c r="P125" s="16"/>
      <c r="Q125" s="16"/>
    </row>
    <row r="126" spans="2:38" ht="15" customHeight="1">
      <c r="B126" s="1223" t="s">
        <v>2092</v>
      </c>
      <c r="C126" s="356"/>
      <c r="D126" s="356"/>
      <c r="E126" s="356"/>
      <c r="F126" s="356"/>
      <c r="G126" s="356"/>
      <c r="H126" s="356"/>
      <c r="I126" s="16"/>
      <c r="J126" s="16"/>
      <c r="K126" s="16"/>
      <c r="L126" s="16"/>
      <c r="M126" s="16"/>
      <c r="N126" s="16"/>
      <c r="O126" s="16"/>
      <c r="P126" s="16"/>
      <c r="Q126" s="16"/>
    </row>
    <row r="127" spans="2:38" ht="15" customHeight="1">
      <c r="B127" s="1223" t="s">
        <v>2093</v>
      </c>
      <c r="C127" s="356"/>
      <c r="D127" s="356"/>
      <c r="E127" s="356"/>
      <c r="F127" s="356"/>
      <c r="G127" s="356"/>
      <c r="H127" s="356"/>
      <c r="I127" s="16"/>
      <c r="J127" s="16"/>
      <c r="K127" s="16"/>
      <c r="L127" s="16"/>
      <c r="M127" s="16"/>
      <c r="N127" s="16"/>
      <c r="O127" s="16"/>
      <c r="P127" s="16"/>
      <c r="Q127" s="16"/>
    </row>
    <row r="128" spans="2:38" ht="15" customHeight="1">
      <c r="B128" s="1223" t="s">
        <v>2094</v>
      </c>
      <c r="C128" s="356"/>
      <c r="D128" s="356"/>
      <c r="E128" s="356"/>
      <c r="F128" s="356"/>
      <c r="G128" s="356"/>
      <c r="H128" s="356"/>
      <c r="I128" s="16"/>
      <c r="J128" s="16"/>
      <c r="K128" s="16"/>
      <c r="L128" s="16"/>
      <c r="M128" s="16"/>
      <c r="N128" s="16"/>
      <c r="O128" s="16"/>
      <c r="P128" s="16"/>
      <c r="Q128" s="16"/>
    </row>
    <row r="129" spans="2:18" ht="15" customHeight="1">
      <c r="B129" s="1223"/>
      <c r="C129" s="356"/>
      <c r="D129" s="356"/>
      <c r="E129" s="356"/>
      <c r="F129" s="356"/>
      <c r="G129" s="356"/>
      <c r="H129" s="356"/>
      <c r="I129" s="16"/>
      <c r="J129" s="16"/>
      <c r="K129" s="16"/>
      <c r="L129" s="16"/>
      <c r="M129" s="16"/>
      <c r="N129" s="16"/>
      <c r="O129" s="16"/>
      <c r="P129" s="16"/>
      <c r="Q129" s="16"/>
    </row>
    <row r="130" spans="2:18" s="6" customFormat="1" ht="15" customHeight="1">
      <c r="B130" s="747" t="s">
        <v>2600</v>
      </c>
      <c r="C130" s="356"/>
      <c r="D130" s="356"/>
      <c r="E130" s="356"/>
      <c r="F130" s="356"/>
      <c r="G130" s="356"/>
      <c r="H130" s="356"/>
      <c r="I130" s="356"/>
      <c r="J130" s="356"/>
      <c r="K130" s="356"/>
      <c r="L130" s="356"/>
      <c r="M130" s="356"/>
      <c r="N130" s="356"/>
      <c r="O130" s="356"/>
      <c r="P130" s="356"/>
      <c r="Q130" s="356"/>
      <c r="R130" s="356"/>
    </row>
    <row r="131" spans="2:18" ht="15" customHeight="1">
      <c r="B131" s="345"/>
      <c r="C131" s="16"/>
      <c r="D131" s="16"/>
      <c r="E131" s="16"/>
      <c r="F131" s="16"/>
      <c r="G131" s="16"/>
      <c r="H131" s="16"/>
      <c r="I131" s="16"/>
      <c r="J131" s="16"/>
      <c r="K131" s="16"/>
      <c r="L131" s="16"/>
      <c r="M131" s="16"/>
      <c r="N131" s="16"/>
      <c r="O131" s="16"/>
      <c r="P131" s="16"/>
      <c r="Q131" s="16"/>
    </row>
    <row r="132" spans="2:18" ht="30" customHeight="1">
      <c r="B132" s="2467" t="s">
        <v>2095</v>
      </c>
      <c r="C132" s="2468"/>
      <c r="D132" s="2468"/>
      <c r="E132" s="2469"/>
      <c r="F132" s="1692" t="s">
        <v>2096</v>
      </c>
      <c r="G132" s="16"/>
      <c r="H132" s="16"/>
      <c r="I132" s="16"/>
      <c r="J132" s="16"/>
      <c r="K132" s="16"/>
      <c r="L132" s="16"/>
      <c r="M132" s="16"/>
      <c r="N132" s="16"/>
      <c r="O132" s="16"/>
      <c r="P132" s="16"/>
      <c r="Q132" s="16"/>
    </row>
    <row r="133" spans="2:18" ht="15" customHeight="1">
      <c r="B133" s="1096" t="s">
        <v>2097</v>
      </c>
      <c r="C133" s="1086"/>
      <c r="D133" s="1086"/>
      <c r="E133" s="1087"/>
      <c r="F133" s="1269">
        <v>0.2</v>
      </c>
      <c r="G133" s="16"/>
      <c r="H133" s="16"/>
      <c r="I133" s="16"/>
      <c r="J133" s="16"/>
      <c r="K133" s="16"/>
      <c r="L133" s="16"/>
      <c r="M133" s="16"/>
      <c r="N133" s="16"/>
      <c r="O133" s="16"/>
      <c r="P133" s="16"/>
      <c r="Q133" s="16"/>
    </row>
    <row r="134" spans="2:18" ht="15" customHeight="1">
      <c r="B134" s="1096" t="s">
        <v>2098</v>
      </c>
      <c r="C134" s="1086"/>
      <c r="D134" s="1086"/>
      <c r="E134" s="1087"/>
      <c r="F134" s="1269">
        <v>0</v>
      </c>
      <c r="G134" s="16"/>
      <c r="H134" s="16"/>
      <c r="I134" s="16"/>
      <c r="J134" s="16"/>
      <c r="K134" s="16"/>
      <c r="L134" s="16"/>
      <c r="M134" s="16"/>
      <c r="N134" s="16"/>
      <c r="O134" s="16"/>
      <c r="P134" s="16"/>
      <c r="Q134" s="16"/>
    </row>
    <row r="135" spans="2:18" ht="15" customHeight="1">
      <c r="B135" s="1096" t="s">
        <v>2099</v>
      </c>
      <c r="C135" s="1086"/>
      <c r="D135" s="1086"/>
      <c r="E135" s="1087"/>
      <c r="F135" s="1269">
        <v>6</v>
      </c>
      <c r="G135" s="16"/>
      <c r="H135" s="16"/>
      <c r="I135" s="16"/>
      <c r="J135" s="16"/>
      <c r="K135" s="16"/>
      <c r="L135" s="16"/>
      <c r="M135" s="16"/>
      <c r="N135" s="16"/>
      <c r="O135" s="16"/>
      <c r="P135" s="16"/>
      <c r="Q135" s="16"/>
    </row>
    <row r="136" spans="2:18" ht="15" customHeight="1">
      <c r="B136" s="1096" t="s">
        <v>2100</v>
      </c>
      <c r="C136" s="1086"/>
      <c r="D136" s="1086"/>
      <c r="E136" s="1087"/>
      <c r="F136" s="1269">
        <v>188</v>
      </c>
      <c r="G136" s="16"/>
      <c r="H136" s="16"/>
      <c r="I136" s="16"/>
      <c r="J136" s="16"/>
      <c r="K136" s="16"/>
      <c r="L136" s="16"/>
      <c r="M136" s="16"/>
      <c r="N136" s="16"/>
      <c r="O136" s="16"/>
      <c r="P136" s="16"/>
      <c r="Q136" s="16"/>
    </row>
    <row r="137" spans="2:18" ht="15" customHeight="1">
      <c r="B137" s="1096" t="s">
        <v>2101</v>
      </c>
      <c r="C137" s="1086"/>
      <c r="D137" s="1086"/>
      <c r="E137" s="1087"/>
      <c r="F137" s="1269">
        <v>60</v>
      </c>
      <c r="G137" s="16"/>
      <c r="H137" s="16"/>
      <c r="I137" s="16"/>
      <c r="J137" s="16"/>
      <c r="K137" s="16"/>
      <c r="L137" s="16"/>
      <c r="M137" s="16"/>
      <c r="N137" s="16"/>
      <c r="O137" s="16"/>
      <c r="P137" s="16"/>
      <c r="Q137" s="16"/>
    </row>
    <row r="138" spans="2:18" ht="15" customHeight="1">
      <c r="B138" s="1096" t="s">
        <v>2102</v>
      </c>
      <c r="C138" s="1086"/>
      <c r="D138" s="1086"/>
      <c r="E138" s="1087"/>
      <c r="F138" s="1269">
        <v>237</v>
      </c>
      <c r="G138" s="16"/>
      <c r="H138" s="16"/>
      <c r="I138" s="16"/>
      <c r="J138" s="16"/>
      <c r="K138" s="16"/>
      <c r="L138" s="16"/>
      <c r="M138" s="16"/>
      <c r="N138" s="16"/>
      <c r="O138" s="16"/>
      <c r="P138" s="16"/>
      <c r="Q138" s="16"/>
    </row>
    <row r="139" spans="2:18" ht="15" customHeight="1">
      <c r="B139" s="219"/>
      <c r="D139" s="356"/>
      <c r="E139" s="356"/>
      <c r="F139" s="218"/>
      <c r="G139" s="16"/>
      <c r="H139" s="16"/>
      <c r="I139" s="16"/>
      <c r="J139" s="16"/>
      <c r="K139" s="16"/>
      <c r="L139" s="16"/>
      <c r="M139" s="16"/>
      <c r="N139" s="16"/>
      <c r="O139" s="16"/>
      <c r="P139" s="16"/>
      <c r="Q139" s="16"/>
    </row>
    <row r="140" spans="2:18" ht="15" customHeight="1">
      <c r="B140" s="219" t="s">
        <v>2103</v>
      </c>
      <c r="C140" s="356"/>
      <c r="D140" s="356"/>
      <c r="E140" s="356"/>
      <c r="F140" s="356"/>
      <c r="G140" s="16"/>
      <c r="H140" s="16"/>
      <c r="I140" s="16"/>
      <c r="J140" s="16"/>
      <c r="K140" s="16"/>
      <c r="L140" s="16"/>
      <c r="M140" s="16"/>
      <c r="N140" s="16"/>
      <c r="O140" s="16"/>
      <c r="P140" s="16"/>
      <c r="Q140" s="16"/>
    </row>
    <row r="141" spans="2:18" ht="15" customHeight="1">
      <c r="B141" s="219" t="s">
        <v>2104</v>
      </c>
      <c r="C141" s="356"/>
      <c r="D141" s="356"/>
      <c r="E141" s="356"/>
      <c r="F141" s="356"/>
      <c r="G141" s="16"/>
      <c r="H141" s="16"/>
      <c r="I141" s="16"/>
      <c r="J141" s="16"/>
      <c r="K141" s="16"/>
      <c r="L141" s="356"/>
      <c r="M141" s="16"/>
      <c r="N141" s="16"/>
      <c r="O141" s="16"/>
      <c r="P141" s="16"/>
      <c r="Q141" s="16"/>
    </row>
    <row r="142" spans="2:18" ht="15" customHeight="1">
      <c r="B142" s="356"/>
      <c r="C142" s="356"/>
      <c r="D142" s="356"/>
      <c r="E142" s="356"/>
      <c r="F142" s="356"/>
      <c r="G142" s="16"/>
      <c r="H142" s="16"/>
      <c r="I142" s="16"/>
      <c r="J142" s="16"/>
      <c r="K142" s="16"/>
      <c r="L142" s="356"/>
      <c r="M142" s="16"/>
      <c r="N142" s="16"/>
      <c r="O142" s="16"/>
      <c r="P142" s="16"/>
      <c r="Q142" s="16"/>
    </row>
    <row r="143" spans="2:18" s="6" customFormat="1" ht="15" customHeight="1">
      <c r="B143" s="747" t="s">
        <v>2599</v>
      </c>
      <c r="C143" s="356"/>
      <c r="D143" s="356"/>
      <c r="E143" s="356"/>
      <c r="F143" s="356"/>
      <c r="G143" s="356"/>
      <c r="H143" s="356"/>
      <c r="I143" s="356"/>
      <c r="J143" s="356"/>
      <c r="K143" s="356"/>
      <c r="L143" s="356"/>
      <c r="M143" s="356"/>
      <c r="N143" s="356"/>
      <c r="O143" s="356"/>
      <c r="P143" s="356"/>
      <c r="Q143" s="356"/>
      <c r="R143" s="356"/>
    </row>
    <row r="144" spans="2:18" ht="15" customHeight="1">
      <c r="B144" s="345"/>
      <c r="C144" s="332"/>
      <c r="D144" s="332"/>
      <c r="E144" s="332"/>
      <c r="F144" s="332"/>
      <c r="G144" s="334"/>
      <c r="H144" s="334"/>
      <c r="I144" s="334"/>
      <c r="J144" s="334"/>
      <c r="K144" s="334"/>
      <c r="L144" s="332"/>
      <c r="M144" s="332"/>
      <c r="N144" s="332"/>
      <c r="O144" s="337"/>
      <c r="P144" s="332"/>
      <c r="Q144" s="332"/>
    </row>
    <row r="145" spans="2:18" ht="30" customHeight="1">
      <c r="B145" s="2477" t="s">
        <v>2587</v>
      </c>
      <c r="C145" s="2478"/>
      <c r="D145" s="2478"/>
      <c r="E145" s="2479"/>
      <c r="F145" s="1693" t="s">
        <v>2105</v>
      </c>
      <c r="G145" s="334"/>
      <c r="H145" s="334"/>
      <c r="I145" s="334"/>
      <c r="J145" s="334"/>
      <c r="K145" s="334"/>
      <c r="L145" s="332"/>
      <c r="M145" s="332"/>
      <c r="N145" s="332"/>
      <c r="O145" s="337"/>
      <c r="P145" s="332"/>
      <c r="Q145" s="332"/>
    </row>
    <row r="146" spans="2:18" ht="15" customHeight="1">
      <c r="B146" s="1096" t="s">
        <v>2079</v>
      </c>
      <c r="C146" s="1086"/>
      <c r="D146" s="1086"/>
      <c r="E146" s="1087"/>
      <c r="F146" s="1269">
        <v>50</v>
      </c>
      <c r="G146" s="334"/>
      <c r="H146" s="334"/>
      <c r="I146" s="334"/>
      <c r="J146" s="334"/>
      <c r="K146" s="334"/>
      <c r="L146" s="332"/>
      <c r="M146" s="332"/>
      <c r="N146" s="332"/>
      <c r="O146" s="337"/>
      <c r="P146" s="332"/>
      <c r="Q146" s="332"/>
    </row>
    <row r="147" spans="2:18" ht="15" customHeight="1">
      <c r="B147" s="1096" t="s">
        <v>2106</v>
      </c>
      <c r="C147" s="1086"/>
      <c r="D147" s="1086"/>
      <c r="E147" s="1087"/>
      <c r="F147" s="1269">
        <v>60</v>
      </c>
      <c r="G147" s="334"/>
      <c r="H147" s="334"/>
      <c r="I147" s="334"/>
      <c r="J147" s="334"/>
      <c r="K147" s="334"/>
      <c r="L147" s="332"/>
      <c r="M147" s="332"/>
      <c r="N147" s="332"/>
      <c r="O147" s="337"/>
      <c r="P147" s="332"/>
      <c r="Q147" s="332"/>
    </row>
    <row r="148" spans="2:18" ht="15" customHeight="1">
      <c r="B148" s="1096" t="s">
        <v>2107</v>
      </c>
      <c r="C148" s="1086"/>
      <c r="D148" s="1086"/>
      <c r="E148" s="1087"/>
      <c r="F148" s="1269">
        <v>150</v>
      </c>
      <c r="G148" s="334"/>
      <c r="H148" s="334"/>
      <c r="I148" s="334"/>
      <c r="J148" s="334"/>
      <c r="K148" s="334"/>
      <c r="L148" s="332"/>
      <c r="M148" s="332"/>
      <c r="N148" s="332"/>
      <c r="O148" s="337"/>
      <c r="P148" s="332"/>
      <c r="Q148" s="332"/>
    </row>
    <row r="149" spans="2:18" ht="15" customHeight="1">
      <c r="B149" s="1096" t="s">
        <v>2108</v>
      </c>
      <c r="C149" s="1086"/>
      <c r="D149" s="1086"/>
      <c r="E149" s="1087"/>
      <c r="F149" s="1269">
        <v>100</v>
      </c>
      <c r="G149" s="334"/>
      <c r="H149" s="334"/>
      <c r="I149" s="334"/>
      <c r="J149" s="334"/>
      <c r="K149" s="334"/>
      <c r="L149" s="332"/>
      <c r="M149" s="332"/>
      <c r="N149" s="332"/>
      <c r="O149" s="337"/>
      <c r="P149" s="332"/>
      <c r="Q149" s="332"/>
    </row>
    <row r="150" spans="2:18" ht="15" customHeight="1">
      <c r="B150" s="1096" t="s">
        <v>2109</v>
      </c>
      <c r="C150" s="1086"/>
      <c r="D150" s="1086"/>
      <c r="E150" s="1087"/>
      <c r="F150" s="1269">
        <v>450</v>
      </c>
      <c r="G150" s="334"/>
      <c r="H150" s="334"/>
      <c r="I150" s="334"/>
      <c r="J150" s="334"/>
      <c r="K150" s="334"/>
      <c r="L150" s="332"/>
      <c r="M150" s="332"/>
      <c r="N150" s="332"/>
      <c r="O150" s="337"/>
      <c r="P150" s="332"/>
      <c r="Q150" s="332"/>
    </row>
    <row r="151" spans="2:18" ht="15" customHeight="1">
      <c r="B151" s="1096" t="s">
        <v>2110</v>
      </c>
      <c r="C151" s="1086"/>
      <c r="D151" s="1086"/>
      <c r="E151" s="1087"/>
      <c r="F151" s="1269">
        <v>990</v>
      </c>
      <c r="G151" s="334"/>
      <c r="H151" s="334"/>
      <c r="I151" s="334"/>
      <c r="J151" s="334"/>
      <c r="K151" s="334"/>
      <c r="L151" s="332"/>
      <c r="M151" s="332"/>
      <c r="N151" s="332"/>
      <c r="O151" s="337"/>
      <c r="P151" s="332"/>
      <c r="Q151" s="332"/>
    </row>
    <row r="152" spans="2:18" ht="15" customHeight="1">
      <c r="B152" s="1096" t="s">
        <v>2111</v>
      </c>
      <c r="C152" s="1086"/>
      <c r="D152" s="1086"/>
      <c r="E152" s="1087"/>
      <c r="F152" s="1269">
        <v>900</v>
      </c>
      <c r="G152" s="334"/>
      <c r="H152" s="334"/>
      <c r="I152" s="334"/>
      <c r="J152" s="334"/>
      <c r="K152" s="334"/>
      <c r="L152" s="332"/>
      <c r="M152" s="332"/>
      <c r="N152" s="332"/>
      <c r="O152" s="337"/>
      <c r="P152" s="332"/>
      <c r="Q152" s="332"/>
    </row>
    <row r="153" spans="2:18" ht="15" customHeight="1">
      <c r="B153" s="1232"/>
      <c r="D153" s="332"/>
      <c r="E153" s="332"/>
      <c r="F153" s="1233"/>
      <c r="G153" s="334"/>
      <c r="H153" s="334"/>
      <c r="I153" s="334"/>
      <c r="J153" s="334"/>
      <c r="K153" s="334"/>
      <c r="L153" s="332"/>
      <c r="M153" s="332"/>
      <c r="N153" s="332"/>
      <c r="O153" s="337"/>
      <c r="P153" s="332"/>
      <c r="Q153" s="332"/>
    </row>
    <row r="154" spans="2:18" ht="15" customHeight="1">
      <c r="B154" s="15" t="s">
        <v>2112</v>
      </c>
    </row>
    <row r="155" spans="2:18" ht="15" customHeight="1"/>
    <row r="156" spans="2:18" s="6" customFormat="1" ht="15" customHeight="1">
      <c r="B156" s="747" t="s">
        <v>2113</v>
      </c>
      <c r="C156" s="356"/>
      <c r="D156" s="356"/>
      <c r="E156" s="356"/>
      <c r="F156" s="356"/>
      <c r="G156" s="356"/>
      <c r="H156" s="356"/>
      <c r="I156" s="356"/>
      <c r="J156" s="356"/>
      <c r="K156" s="356"/>
      <c r="L156" s="356"/>
      <c r="M156" s="356"/>
      <c r="N156" s="356"/>
      <c r="O156" s="356"/>
      <c r="P156" s="356"/>
      <c r="Q156" s="356"/>
      <c r="R156" s="356"/>
    </row>
    <row r="157" spans="2:18" ht="15" customHeight="1" thickBot="1">
      <c r="B157" s="14"/>
    </row>
    <row r="158" spans="2:18" ht="15" customHeight="1">
      <c r="B158" s="1227" t="s">
        <v>2114</v>
      </c>
      <c r="C158" s="498"/>
      <c r="D158" s="1228" t="s">
        <v>2115</v>
      </c>
      <c r="E158" s="1229" t="s">
        <v>2116</v>
      </c>
      <c r="F158" s="1230"/>
      <c r="G158" s="1229" t="s">
        <v>2117</v>
      </c>
      <c r="H158" s="1230"/>
      <c r="I158" s="1229" t="s">
        <v>2084</v>
      </c>
      <c r="J158" s="1230"/>
      <c r="K158" s="1229" t="s">
        <v>2118</v>
      </c>
      <c r="L158" s="1231"/>
    </row>
    <row r="159" spans="2:18" ht="15" customHeight="1">
      <c r="B159" s="1257"/>
      <c r="C159" s="498"/>
      <c r="D159" s="1258" t="s">
        <v>1023</v>
      </c>
      <c r="E159" s="1258" t="s">
        <v>1023</v>
      </c>
      <c r="F159" s="1258" t="s">
        <v>2119</v>
      </c>
      <c r="G159" s="1258" t="s">
        <v>1023</v>
      </c>
      <c r="H159" s="1258" t="s">
        <v>1169</v>
      </c>
      <c r="I159" s="1258" t="s">
        <v>1023</v>
      </c>
      <c r="J159" s="1258" t="s">
        <v>1169</v>
      </c>
      <c r="K159" s="1258" t="s">
        <v>1023</v>
      </c>
      <c r="L159" s="1259" t="s">
        <v>1169</v>
      </c>
    </row>
    <row r="160" spans="2:18" ht="15" customHeight="1">
      <c r="B160" s="1103" t="s">
        <v>2052</v>
      </c>
      <c r="C160" s="1103"/>
      <c r="D160" s="1260">
        <v>0.9</v>
      </c>
      <c r="E160" s="1260">
        <v>0.4</v>
      </c>
      <c r="F160" s="1167" t="s">
        <v>2120</v>
      </c>
      <c r="G160" s="1261">
        <v>0.44</v>
      </c>
      <c r="H160" s="1167" t="s">
        <v>2121</v>
      </c>
      <c r="I160" s="1261">
        <v>0.46</v>
      </c>
      <c r="J160" s="1167" t="s">
        <v>2122</v>
      </c>
      <c r="K160" s="1261">
        <v>0.01</v>
      </c>
      <c r="L160" s="1167" t="s">
        <v>2123</v>
      </c>
    </row>
    <row r="161" spans="2:12" ht="15" customHeight="1">
      <c r="B161" s="1103" t="s">
        <v>2053</v>
      </c>
      <c r="C161" s="1103"/>
      <c r="D161" s="1260">
        <v>0.8</v>
      </c>
      <c r="E161" s="1260">
        <v>0.24</v>
      </c>
      <c r="F161" s="1167" t="s">
        <v>2124</v>
      </c>
      <c r="G161" s="1261">
        <v>0.3</v>
      </c>
      <c r="H161" s="1167" t="s">
        <v>2125</v>
      </c>
      <c r="I161" s="1261">
        <v>0.5</v>
      </c>
      <c r="J161" s="1167" t="s">
        <v>2125</v>
      </c>
      <c r="K161" s="1261">
        <v>0.2</v>
      </c>
      <c r="L161" s="1167" t="s">
        <v>2126</v>
      </c>
    </row>
    <row r="162" spans="2:12" ht="15" customHeight="1">
      <c r="B162" s="1103" t="s">
        <v>281</v>
      </c>
      <c r="C162" s="1103"/>
      <c r="D162" s="1260">
        <v>0.4</v>
      </c>
      <c r="E162" s="1260">
        <v>0.15</v>
      </c>
      <c r="F162" s="1167" t="s">
        <v>2127</v>
      </c>
      <c r="G162" s="1261">
        <v>0.38</v>
      </c>
      <c r="H162" s="1167" t="s">
        <v>2128</v>
      </c>
      <c r="I162" s="1261">
        <v>0.38</v>
      </c>
      <c r="J162" s="1167" t="s">
        <v>2128</v>
      </c>
      <c r="K162" s="1167">
        <v>0</v>
      </c>
      <c r="L162" s="1167">
        <v>0</v>
      </c>
    </row>
    <row r="163" spans="2:12" ht="15" customHeight="1">
      <c r="B163" s="1103" t="s">
        <v>2054</v>
      </c>
      <c r="C163" s="1103"/>
      <c r="D163" s="1260">
        <v>0.85</v>
      </c>
      <c r="E163" s="1260">
        <v>0.43</v>
      </c>
      <c r="F163" s="1167" t="s">
        <v>2129</v>
      </c>
      <c r="G163" s="1261">
        <v>0.5</v>
      </c>
      <c r="H163" s="1167" t="s">
        <v>2130</v>
      </c>
      <c r="I163" s="1261">
        <v>0.5</v>
      </c>
      <c r="J163" s="1167" t="s">
        <v>2130</v>
      </c>
      <c r="K163" s="1167">
        <v>0</v>
      </c>
      <c r="L163" s="1167">
        <v>0</v>
      </c>
    </row>
    <row r="164" spans="2:12" ht="15" customHeight="1">
      <c r="B164" s="1103" t="s">
        <v>2055</v>
      </c>
      <c r="C164" s="1103"/>
      <c r="D164" s="1260">
        <v>0.4</v>
      </c>
      <c r="E164" s="1260">
        <v>0.2</v>
      </c>
      <c r="F164" s="1167" t="s">
        <v>2131</v>
      </c>
      <c r="G164" s="1261">
        <v>0.49</v>
      </c>
      <c r="H164" s="1167" t="s">
        <v>2132</v>
      </c>
      <c r="I164" s="1261">
        <v>0.49</v>
      </c>
      <c r="J164" s="1167" t="s">
        <v>2132</v>
      </c>
      <c r="K164" s="1167">
        <v>0</v>
      </c>
      <c r="L164" s="1167">
        <v>0</v>
      </c>
    </row>
    <row r="165" spans="2:12" ht="15" customHeight="1">
      <c r="B165" s="1103" t="s">
        <v>2056</v>
      </c>
      <c r="C165" s="1103"/>
      <c r="D165" s="1260">
        <v>0.4</v>
      </c>
      <c r="E165" s="1260">
        <v>0.24</v>
      </c>
      <c r="F165" s="1167" t="s">
        <v>2127</v>
      </c>
      <c r="G165" s="1261">
        <v>0.6</v>
      </c>
      <c r="H165" s="1167" t="s">
        <v>2133</v>
      </c>
      <c r="I165" s="1261">
        <v>0.7</v>
      </c>
      <c r="J165" s="1167" t="s">
        <v>2134</v>
      </c>
      <c r="K165" s="1261">
        <v>0.1</v>
      </c>
      <c r="L165" s="1261">
        <v>0.1</v>
      </c>
    </row>
    <row r="166" spans="2:12" ht="15" customHeight="1">
      <c r="B166" s="1103" t="s">
        <v>2057</v>
      </c>
      <c r="C166" s="1103"/>
      <c r="D166" s="1260">
        <v>0.84</v>
      </c>
      <c r="E166" s="1260">
        <v>0.39</v>
      </c>
      <c r="F166" s="1261">
        <v>0.39</v>
      </c>
      <c r="G166" s="1261">
        <v>0.47</v>
      </c>
      <c r="H166" s="1261">
        <v>0.47</v>
      </c>
      <c r="I166" s="1261">
        <v>0.67</v>
      </c>
      <c r="J166" s="1261">
        <v>0.67</v>
      </c>
      <c r="K166" s="1261">
        <v>0.2</v>
      </c>
      <c r="L166" s="1261">
        <v>0.2</v>
      </c>
    </row>
    <row r="167" spans="2:12" ht="15" customHeight="1">
      <c r="B167" s="1103" t="s">
        <v>2058</v>
      </c>
      <c r="C167" s="1103"/>
      <c r="D167" s="1260">
        <v>1</v>
      </c>
      <c r="E167" s="1262">
        <v>0</v>
      </c>
      <c r="F167" s="1262">
        <v>0</v>
      </c>
      <c r="G167" s="1262">
        <v>0</v>
      </c>
      <c r="H167" s="1262">
        <v>0</v>
      </c>
      <c r="I167" s="1261">
        <v>0.75</v>
      </c>
      <c r="J167" s="1167" t="s">
        <v>2135</v>
      </c>
      <c r="K167" s="1261">
        <v>1</v>
      </c>
      <c r="L167" s="1167" t="s">
        <v>2136</v>
      </c>
    </row>
    <row r="168" spans="2:12" ht="15" customHeight="1">
      <c r="B168" s="1103" t="s">
        <v>2059</v>
      </c>
      <c r="C168" s="1103"/>
      <c r="D168" s="1260">
        <v>1</v>
      </c>
      <c r="E168" s="1262">
        <v>0</v>
      </c>
      <c r="F168" s="1262">
        <v>0</v>
      </c>
      <c r="G168" s="1262">
        <v>0</v>
      </c>
      <c r="H168" s="1262">
        <v>0</v>
      </c>
      <c r="I168" s="1262" t="s">
        <v>1187</v>
      </c>
      <c r="J168" s="1262" t="s">
        <v>1187</v>
      </c>
      <c r="K168" s="1262" t="s">
        <v>1187</v>
      </c>
      <c r="L168" s="1262" t="s">
        <v>1187</v>
      </c>
    </row>
    <row r="169" spans="2:12" ht="15" customHeight="1">
      <c r="B169" s="1103" t="s">
        <v>2060</v>
      </c>
      <c r="C169" s="1103"/>
      <c r="D169" s="1260">
        <v>1</v>
      </c>
      <c r="E169" s="1262">
        <v>0</v>
      </c>
      <c r="F169" s="1262">
        <v>0</v>
      </c>
      <c r="G169" s="1262">
        <v>0</v>
      </c>
      <c r="H169" s="1262">
        <v>0</v>
      </c>
      <c r="I169" s="1262" t="s">
        <v>1187</v>
      </c>
      <c r="J169" s="1262" t="s">
        <v>1187</v>
      </c>
      <c r="K169" s="1262" t="s">
        <v>1187</v>
      </c>
      <c r="L169" s="1262" t="s">
        <v>1187</v>
      </c>
    </row>
    <row r="170" spans="2:12" ht="15" customHeight="1">
      <c r="B170" s="1263" t="s">
        <v>2061</v>
      </c>
      <c r="C170" s="1263"/>
      <c r="D170" s="1264">
        <v>0.9</v>
      </c>
      <c r="E170" s="1265">
        <v>0</v>
      </c>
      <c r="F170" s="1265">
        <v>0</v>
      </c>
      <c r="G170" s="1265">
        <v>0</v>
      </c>
      <c r="H170" s="1265">
        <v>0</v>
      </c>
      <c r="I170" s="1266">
        <v>0.03</v>
      </c>
      <c r="J170" s="1267" t="s">
        <v>2123</v>
      </c>
      <c r="K170" s="1266">
        <v>1</v>
      </c>
      <c r="L170" s="1268" t="s">
        <v>2137</v>
      </c>
    </row>
    <row r="171" spans="2:12" s="22" customFormat="1" ht="15" customHeight="1">
      <c r="D171" s="1235"/>
      <c r="E171" s="1236"/>
      <c r="F171" s="1236"/>
      <c r="G171" s="1236"/>
      <c r="H171" s="1236"/>
      <c r="I171" s="1237"/>
      <c r="J171" s="27"/>
      <c r="K171" s="1237"/>
      <c r="L171" s="174"/>
    </row>
    <row r="172" spans="2:12" ht="15" customHeight="1">
      <c r="B172" s="15" t="s">
        <v>2138</v>
      </c>
      <c r="D172" s="1225"/>
      <c r="E172" s="1225"/>
      <c r="F172" s="1225"/>
      <c r="G172" s="1225"/>
    </row>
    <row r="173" spans="2:12" ht="15" customHeight="1">
      <c r="B173" s="15" t="s">
        <v>2139</v>
      </c>
    </row>
    <row r="174" spans="2:12" ht="15" customHeight="1">
      <c r="B174" s="15" t="s">
        <v>2140</v>
      </c>
    </row>
    <row r="175" spans="2:12" ht="15" customHeight="1">
      <c r="B175" s="15" t="s">
        <v>2141</v>
      </c>
    </row>
    <row r="176" spans="2:12" ht="15" customHeight="1">
      <c r="B176" s="15" t="s">
        <v>2142</v>
      </c>
    </row>
    <row r="177" spans="2:18" ht="15" customHeight="1">
      <c r="B177" s="15" t="s">
        <v>2143</v>
      </c>
    </row>
    <row r="178" spans="2:18" ht="15" customHeight="1"/>
    <row r="179" spans="2:18" s="6" customFormat="1" ht="15" customHeight="1">
      <c r="B179" s="747" t="s">
        <v>2144</v>
      </c>
      <c r="C179" s="356"/>
      <c r="D179" s="356"/>
      <c r="E179" s="356"/>
      <c r="F179" s="356"/>
      <c r="G179" s="356"/>
      <c r="H179" s="356"/>
      <c r="I179" s="356"/>
      <c r="J179" s="356"/>
      <c r="K179" s="356"/>
      <c r="L179" s="356"/>
      <c r="M179" s="356"/>
      <c r="N179" s="356"/>
      <c r="O179" s="356"/>
      <c r="P179" s="356"/>
      <c r="Q179" s="356"/>
      <c r="R179" s="356"/>
    </row>
    <row r="180" spans="2:18" ht="15" customHeight="1">
      <c r="B180" s="14"/>
    </row>
    <row r="181" spans="2:18" ht="15" customHeight="1">
      <c r="B181" s="2467" t="s">
        <v>1177</v>
      </c>
      <c r="C181" s="2468"/>
      <c r="D181" s="2468"/>
      <c r="E181" s="2469"/>
      <c r="F181" s="1226" t="s">
        <v>2145</v>
      </c>
      <c r="G181" s="1226" t="s">
        <v>2146</v>
      </c>
      <c r="H181" s="1226" t="s">
        <v>2147</v>
      </c>
      <c r="I181" s="1226" t="s">
        <v>2162</v>
      </c>
    </row>
    <row r="182" spans="2:18" ht="15" customHeight="1">
      <c r="B182" s="1096" t="s">
        <v>2148</v>
      </c>
      <c r="C182" s="1086"/>
      <c r="D182" s="1086"/>
      <c r="E182" s="1087"/>
      <c r="F182" s="339">
        <v>15</v>
      </c>
      <c r="G182" s="1224">
        <v>0</v>
      </c>
      <c r="H182" s="339">
        <v>15</v>
      </c>
      <c r="I182" s="339">
        <v>60</v>
      </c>
    </row>
    <row r="183" spans="2:18" ht="15" customHeight="1">
      <c r="B183" s="1096" t="s">
        <v>2149</v>
      </c>
      <c r="C183" s="1086"/>
      <c r="D183" s="1086"/>
      <c r="E183" s="1087"/>
      <c r="F183" s="1238">
        <v>24</v>
      </c>
      <c r="G183" s="339">
        <v>16</v>
      </c>
      <c r="H183" s="339">
        <v>40</v>
      </c>
      <c r="I183" s="339">
        <v>20</v>
      </c>
    </row>
    <row r="184" spans="2:18" ht="15" customHeight="1">
      <c r="B184" s="1096" t="s">
        <v>2150</v>
      </c>
      <c r="C184" s="1086"/>
      <c r="D184" s="1086"/>
      <c r="E184" s="1087"/>
      <c r="F184" s="339">
        <v>43</v>
      </c>
      <c r="G184" s="1224">
        <v>0</v>
      </c>
      <c r="H184" s="339">
        <v>43</v>
      </c>
      <c r="I184" s="339">
        <v>15</v>
      </c>
    </row>
    <row r="185" spans="2:18" ht="15" customHeight="1">
      <c r="B185" s="1096" t="s">
        <v>2151</v>
      </c>
      <c r="C185" s="1086"/>
      <c r="D185" s="1086"/>
      <c r="F185" s="339">
        <v>40</v>
      </c>
      <c r="G185" s="339">
        <v>1</v>
      </c>
      <c r="H185" s="339">
        <v>41</v>
      </c>
      <c r="I185" s="339">
        <v>10</v>
      </c>
    </row>
    <row r="186" spans="2:18" ht="15" customHeight="1">
      <c r="B186" s="1096" t="s">
        <v>2152</v>
      </c>
      <c r="C186" s="1086"/>
      <c r="D186" s="1086"/>
      <c r="E186" s="1087"/>
      <c r="F186" s="1224">
        <v>0</v>
      </c>
      <c r="G186" s="339">
        <v>80</v>
      </c>
      <c r="H186" s="339">
        <v>80</v>
      </c>
      <c r="I186" s="339">
        <v>0</v>
      </c>
    </row>
    <row r="187" spans="2:18" ht="15" customHeight="1">
      <c r="B187" s="1096" t="s">
        <v>2153</v>
      </c>
      <c r="C187" s="1086"/>
      <c r="D187" s="1086"/>
      <c r="E187" s="1087"/>
      <c r="F187" s="339" t="s">
        <v>2154</v>
      </c>
      <c r="G187" s="339">
        <v>17</v>
      </c>
      <c r="H187" s="339">
        <v>56</v>
      </c>
      <c r="I187" s="339">
        <v>16</v>
      </c>
    </row>
    <row r="188" spans="2:18" ht="15" customHeight="1">
      <c r="B188" s="1096" t="s">
        <v>2155</v>
      </c>
      <c r="C188" s="1086"/>
      <c r="D188" s="1086"/>
      <c r="E188" s="1087"/>
      <c r="F188" s="339">
        <v>4</v>
      </c>
      <c r="G188" s="339">
        <v>20</v>
      </c>
      <c r="H188" s="339">
        <v>24</v>
      </c>
      <c r="I188" s="339">
        <v>0</v>
      </c>
    </row>
    <row r="189" spans="2:18" ht="15" customHeight="1">
      <c r="B189" s="1096" t="s">
        <v>2156</v>
      </c>
      <c r="C189" s="1086"/>
      <c r="D189" s="1086"/>
      <c r="E189" s="1087"/>
      <c r="F189" s="339">
        <v>1</v>
      </c>
      <c r="G189" s="339">
        <v>3</v>
      </c>
      <c r="H189" s="339">
        <v>4</v>
      </c>
      <c r="I189" s="339">
        <v>10</v>
      </c>
    </row>
    <row r="190" spans="2:18" ht="15" customHeight="1">
      <c r="B190" s="22"/>
      <c r="F190" s="27"/>
      <c r="G190" s="27"/>
      <c r="H190" s="27"/>
      <c r="I190" s="27"/>
    </row>
    <row r="191" spans="2:18" ht="15" customHeight="1">
      <c r="B191" s="15" t="s">
        <v>2157</v>
      </c>
    </row>
    <row r="192" spans="2:18" ht="15" customHeight="1">
      <c r="B192" s="15" t="s">
        <v>2158</v>
      </c>
    </row>
    <row r="193" spans="2:6" ht="15" customHeight="1">
      <c r="B193" s="15" t="s">
        <v>2159</v>
      </c>
    </row>
    <row r="194" spans="2:6" ht="15" customHeight="1">
      <c r="B194" s="316" t="s">
        <v>2160</v>
      </c>
      <c r="C194" s="316"/>
      <c r="D194" s="316"/>
      <c r="E194" s="316"/>
      <c r="F194" s="316"/>
    </row>
    <row r="195" spans="2:6" ht="30" customHeight="1">
      <c r="B195" s="316"/>
      <c r="C195" s="316"/>
      <c r="D195" s="316"/>
      <c r="E195" s="316"/>
      <c r="F195" s="316"/>
    </row>
    <row r="196" spans="2:6" ht="15" customHeight="1"/>
  </sheetData>
  <mergeCells count="73">
    <mergeCell ref="C110:E110"/>
    <mergeCell ref="C109:E109"/>
    <mergeCell ref="O71:O72"/>
    <mergeCell ref="P71:P72"/>
    <mergeCell ref="I106:J106"/>
    <mergeCell ref="I107:I108"/>
    <mergeCell ref="J107:J108"/>
    <mergeCell ref="C106:E108"/>
    <mergeCell ref="K87:K88"/>
    <mergeCell ref="H106:H108"/>
    <mergeCell ref="C89:D89"/>
    <mergeCell ref="C90:D90"/>
    <mergeCell ref="E89:F89"/>
    <mergeCell ref="E90:F90"/>
    <mergeCell ref="C48:G48"/>
    <mergeCell ref="D55:E55"/>
    <mergeCell ref="O52:O54"/>
    <mergeCell ref="P52:P54"/>
    <mergeCell ref="B86:B88"/>
    <mergeCell ref="E86:F88"/>
    <mergeCell ref="C86:D88"/>
    <mergeCell ref="J87:J88"/>
    <mergeCell ref="G86:H88"/>
    <mergeCell ref="I86:I88"/>
    <mergeCell ref="D52:E54"/>
    <mergeCell ref="G52:H54"/>
    <mergeCell ref="I52:J54"/>
    <mergeCell ref="K52:L54"/>
    <mergeCell ref="J86:K86"/>
    <mergeCell ref="M52:N54"/>
    <mergeCell ref="H2:I2"/>
    <mergeCell ref="J2:K2"/>
    <mergeCell ref="L2:M2"/>
    <mergeCell ref="N2:O2"/>
    <mergeCell ref="D3:E3"/>
    <mergeCell ref="F3:G3"/>
    <mergeCell ref="H3:I3"/>
    <mergeCell ref="J3:K3"/>
    <mergeCell ref="L3:M3"/>
    <mergeCell ref="B31:C32"/>
    <mergeCell ref="D31:G31"/>
    <mergeCell ref="B2:B3"/>
    <mergeCell ref="C2:C3"/>
    <mergeCell ref="D2:E2"/>
    <mergeCell ref="F2:G2"/>
    <mergeCell ref="B52:B54"/>
    <mergeCell ref="C52:C54"/>
    <mergeCell ref="F52:F54"/>
    <mergeCell ref="C102:F102"/>
    <mergeCell ref="F106:G108"/>
    <mergeCell ref="B56:B70"/>
    <mergeCell ref="C56:C66"/>
    <mergeCell ref="C67:D67"/>
    <mergeCell ref="C68:D68"/>
    <mergeCell ref="C69:D69"/>
    <mergeCell ref="C70:D70"/>
    <mergeCell ref="B106:B108"/>
    <mergeCell ref="B181:E181"/>
    <mergeCell ref="B22:E23"/>
    <mergeCell ref="F22:G23"/>
    <mergeCell ref="H22:I23"/>
    <mergeCell ref="F24:G24"/>
    <mergeCell ref="F25:G25"/>
    <mergeCell ref="F26:G26"/>
    <mergeCell ref="F27:G27"/>
    <mergeCell ref="H26:I26"/>
    <mergeCell ref="H27:I27"/>
    <mergeCell ref="B120:E121"/>
    <mergeCell ref="B116:E116"/>
    <mergeCell ref="B132:E132"/>
    <mergeCell ref="B145:E145"/>
    <mergeCell ref="B123:K123"/>
    <mergeCell ref="C82:F82"/>
  </mergeCells>
  <dataValidations count="4">
    <dataValidation type="list" allowBlank="1" showInputMessage="1" showErrorMessage="1" sqref="C56 C71">
      <formula1>WINCINTOOL_Wastetype</formula1>
    </dataValidation>
    <dataValidation type="list" allowBlank="1" showInputMessage="1" showErrorMessage="1" errorTitle="Invalid entry" error="You must select a technology from the drop-down list" promptTitle="Select technology" prompt="Select technology from list" sqref="E90">
      <formula1>WINCINTOOL_technology</formula1>
    </dataValidation>
    <dataValidation type="list" allowBlank="1" showInputMessage="1" showErrorMessage="1" errorTitle="Invalid entry" error="You must select value from drop-down list" promptTitle="Select type of incineration" prompt="Please select type of incineration from list" sqref="C90">
      <formula1>WINCINTOOL_type_of_incineration</formula1>
    </dataValidation>
    <dataValidation type="list" allowBlank="1" showInputMessage="1" showErrorMessage="1" errorTitle="Invalid entry" error="You must select a waste category from the drop-down list" promptTitle="Select category of waste" sqref="C110">
      <formula1>WINCINTOOL_category</formula1>
    </dataValidation>
  </dataValidations>
  <hyperlinks>
    <hyperlink ref="F2" location="'City information'!A1" display="Set-up"/>
    <hyperlink ref="G2" location="'City information'!A1" display="'City information'!A1"/>
    <hyperlink ref="L2" location="Summary!A1" display="Results"/>
    <hyperlink ref="M2" location="Summary!A1" display="Summary!A1"/>
    <hyperlink ref="H2" location="Inventory!A1" display="Inventory"/>
    <hyperlink ref="I2" location="Inventory!A1" display="Inventory!A1"/>
    <hyperlink ref="N2" location="Analysis!A1" display="Analysis"/>
    <hyperlink ref="O2" location="Analysis!A1" display="Analysis!A1"/>
    <hyperlink ref="J2" location="Calculators!A1" display="Calculators"/>
    <hyperlink ref="K2" location="Calculators!A1" display="Calculators!A1"/>
    <hyperlink ref="D3" location="'Fugitive gas'!A1" display="Fugitive emissions"/>
    <hyperlink ref="E3" location="'Fugitive gas'!A1" display="'Fugitive gas'!A1"/>
    <hyperlink ref="F3" location="'Solid waste disposal'!A1" display="Solid waste disposal"/>
    <hyperlink ref="G3" location="'Solid waste disposal'!A1" display="'Solid waste disposal'!A1"/>
    <hyperlink ref="H3" location="'Biological treatment'!A1" display="Biological treatment"/>
    <hyperlink ref="I3" location="'Biological treatment'!A1" display="'Biological treatment'!A1"/>
    <hyperlink ref="L3" location="Wastewater!A1" display="Wastewater"/>
    <hyperlink ref="M3" location="Wastewater!A1" display="Wastewater!A1"/>
    <hyperlink ref="D2" location="Home!A1" display="Introduction"/>
    <hyperlink ref="E2" location="Home!A1" display="Home!A1"/>
  </hyperlinks>
  <pageMargins left="0.75" right="0.75" top="1" bottom="1" header="0.5" footer="0.5"/>
  <pageSetup paperSize="9" orientation="portrait" horizontalDpi="4294967292" verticalDpi="4294967292"/>
  <drawing r:id="rId1"/>
  <legacyDrawing r:id="rId2"/>
  <extLst>
    <ext xmlns:mx="http://schemas.microsoft.com/office/mac/excel/2008/main" uri="{64002731-A6B0-56B0-2670-7721B7C09600}">
      <mx:PLV Mode="0" OnePage="0" WScale="0"/>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0" tint="-0.34998626667073579"/>
    <outlinePr summaryBelow="0" summaryRight="0"/>
  </sheetPr>
  <dimension ref="A1:AZ497"/>
  <sheetViews>
    <sheetView showGridLines="0" showRowColHeaders="0" workbookViewId="0">
      <selection activeCell="L2" sqref="L2:M2"/>
    </sheetView>
  </sheetViews>
  <sheetFormatPr baseColWidth="10" defaultColWidth="0" defaultRowHeight="15" x14ac:dyDescent="0"/>
  <cols>
    <col min="1" max="1" width="4.83203125" customWidth="1"/>
    <col min="2" max="15" width="12.83203125" customWidth="1"/>
    <col min="16" max="30" width="12.6640625" customWidth="1"/>
    <col min="31" max="40" width="12.83203125" customWidth="1"/>
    <col min="41" max="41" width="4.83203125" customWidth="1"/>
    <col min="42" max="16384" width="10" hidden="1"/>
  </cols>
  <sheetData>
    <row r="1" spans="1:41" s="498" customFormat="1">
      <c r="P1" s="499"/>
      <c r="Q1" s="499"/>
      <c r="R1" s="499"/>
      <c r="S1" s="500"/>
      <c r="T1" s="500"/>
      <c r="U1" s="500"/>
    </row>
    <row r="2" spans="1:41" s="464" customFormat="1" ht="31" customHeight="1">
      <c r="A2" s="494"/>
      <c r="B2" s="1817" t="s">
        <v>1965</v>
      </c>
      <c r="C2" s="1819">
        <v>400</v>
      </c>
      <c r="D2" s="1849" t="s">
        <v>1555</v>
      </c>
      <c r="E2" s="1850"/>
      <c r="F2" s="1849" t="s">
        <v>1563</v>
      </c>
      <c r="G2" s="1850"/>
      <c r="H2" s="1849" t="s">
        <v>794</v>
      </c>
      <c r="I2" s="1850"/>
      <c r="J2" s="2047" t="s">
        <v>1570</v>
      </c>
      <c r="K2" s="2033"/>
      <c r="L2" s="1849" t="s">
        <v>1564</v>
      </c>
      <c r="M2" s="1850"/>
      <c r="N2" s="1849" t="s">
        <v>1602</v>
      </c>
      <c r="O2" s="1850"/>
      <c r="P2" s="494"/>
      <c r="Q2" s="494"/>
      <c r="R2" s="494"/>
      <c r="S2" s="494"/>
      <c r="T2" s="494"/>
      <c r="U2" s="494"/>
      <c r="V2" s="494"/>
      <c r="W2" s="494"/>
      <c r="X2" s="494"/>
      <c r="Y2" s="494"/>
      <c r="Z2" s="494"/>
      <c r="AA2" s="494"/>
      <c r="AB2" s="494"/>
      <c r="AC2" s="494"/>
      <c r="AD2" s="494"/>
      <c r="AE2" s="494"/>
      <c r="AF2" s="494"/>
      <c r="AG2" s="494"/>
      <c r="AH2" s="494"/>
      <c r="AI2" s="494"/>
      <c r="AJ2" s="494"/>
      <c r="AK2" s="494"/>
      <c r="AL2" s="494"/>
      <c r="AM2" s="494"/>
      <c r="AN2" s="494"/>
      <c r="AO2" s="494"/>
    </row>
    <row r="3" spans="1:41" s="464" customFormat="1" ht="31" customHeight="1">
      <c r="A3" s="494"/>
      <c r="B3" s="1818"/>
      <c r="C3" s="1820"/>
      <c r="D3" s="1843" t="s">
        <v>1607</v>
      </c>
      <c r="E3" s="1844"/>
      <c r="F3" s="1843" t="s">
        <v>121</v>
      </c>
      <c r="G3" s="1844"/>
      <c r="H3" s="1843" t="s">
        <v>1604</v>
      </c>
      <c r="I3" s="1844"/>
      <c r="J3" s="1843" t="s">
        <v>1605</v>
      </c>
      <c r="K3" s="1844"/>
      <c r="L3" s="1847" t="s">
        <v>775</v>
      </c>
      <c r="M3" s="1848"/>
      <c r="N3" s="496"/>
      <c r="O3" s="496"/>
      <c r="P3" s="494"/>
      <c r="Q3" s="494"/>
      <c r="R3" s="494"/>
      <c r="S3" s="494"/>
      <c r="T3" s="494"/>
      <c r="U3" s="494"/>
      <c r="V3" s="494"/>
      <c r="W3" s="494"/>
      <c r="X3" s="494"/>
      <c r="Y3" s="494"/>
      <c r="Z3" s="494"/>
      <c r="AA3" s="494"/>
      <c r="AB3" s="494"/>
      <c r="AC3" s="494"/>
      <c r="AD3" s="494"/>
      <c r="AE3" s="494"/>
      <c r="AF3" s="494"/>
      <c r="AG3" s="494"/>
      <c r="AH3" s="494"/>
      <c r="AI3" s="494"/>
      <c r="AJ3" s="494"/>
      <c r="AK3" s="494"/>
      <c r="AL3" s="494"/>
      <c r="AM3" s="494"/>
      <c r="AN3" s="494"/>
      <c r="AO3" s="494"/>
    </row>
    <row r="4" spans="1:41" s="494" customFormat="1" ht="15" customHeight="1">
      <c r="B4" s="492"/>
      <c r="C4" s="495"/>
      <c r="D4" s="497"/>
      <c r="E4" s="497"/>
      <c r="F4" s="497"/>
      <c r="G4" s="497"/>
      <c r="H4" s="497"/>
      <c r="I4" s="497"/>
      <c r="J4" s="496"/>
      <c r="K4" s="496"/>
      <c r="L4" s="496"/>
      <c r="M4" s="496"/>
      <c r="N4" s="496"/>
      <c r="O4" s="496"/>
    </row>
    <row r="5" spans="1:41" s="31" customFormat="1" ht="31" customHeight="1">
      <c r="B5" s="33"/>
      <c r="C5" s="33"/>
      <c r="D5" s="33"/>
      <c r="E5" s="33"/>
      <c r="F5" s="33"/>
      <c r="G5" s="33"/>
      <c r="H5" s="33"/>
      <c r="I5" s="34"/>
      <c r="J5" s="34"/>
      <c r="K5" s="34"/>
      <c r="U5" s="26"/>
      <c r="V5" s="26"/>
      <c r="W5" s="26"/>
      <c r="X5" s="26"/>
      <c r="Y5" s="26"/>
    </row>
    <row r="6" spans="1:41" s="29" customFormat="1" ht="31" customHeight="1" thickBot="1">
      <c r="A6" s="31"/>
      <c r="B6" s="491" t="s">
        <v>1678</v>
      </c>
      <c r="C6" s="466"/>
      <c r="D6" s="466"/>
      <c r="E6" s="466"/>
      <c r="F6" s="466"/>
      <c r="G6" s="466"/>
      <c r="H6" s="466"/>
      <c r="I6" s="467"/>
      <c r="J6" s="467"/>
      <c r="K6" s="467"/>
      <c r="L6" s="468"/>
      <c r="M6" s="468"/>
      <c r="N6" s="468"/>
      <c r="O6" s="468"/>
      <c r="P6" s="468"/>
      <c r="Q6" s="468"/>
      <c r="R6" s="468"/>
      <c r="S6" s="468"/>
      <c r="T6" s="468"/>
      <c r="U6" s="468"/>
      <c r="V6" s="468"/>
      <c r="W6" s="468"/>
      <c r="X6" s="468"/>
      <c r="Y6" s="468"/>
      <c r="Z6" s="468"/>
      <c r="AA6" s="468"/>
      <c r="AB6" s="468"/>
      <c r="AC6" s="468"/>
      <c r="AD6" s="468"/>
      <c r="AE6" s="468"/>
      <c r="AF6" s="468"/>
      <c r="AG6" s="468"/>
      <c r="AH6" s="468"/>
      <c r="AI6" s="468"/>
      <c r="AJ6" s="468"/>
      <c r="AK6" s="468"/>
      <c r="AL6" s="468"/>
      <c r="AM6" s="468"/>
      <c r="AN6" s="468"/>
    </row>
    <row r="7" spans="1:41" ht="15" customHeight="1" thickTop="1">
      <c r="B7" s="314"/>
      <c r="C7" s="314"/>
    </row>
    <row r="8" spans="1:41" s="231" customFormat="1" ht="18" customHeight="1">
      <c r="B8" s="1148" t="s">
        <v>1970</v>
      </c>
      <c r="C8" s="1148"/>
      <c r="D8" s="1148"/>
      <c r="E8" s="1148"/>
      <c r="F8" s="1148"/>
      <c r="G8" s="1148"/>
    </row>
    <row r="9" spans="1:41" s="231" customFormat="1" ht="18" customHeight="1">
      <c r="B9" s="1142" t="s">
        <v>1961</v>
      </c>
      <c r="C9" s="1147"/>
      <c r="D9" s="1147"/>
      <c r="E9" s="1147"/>
      <c r="F9" s="1147"/>
      <c r="G9" s="1147"/>
    </row>
    <row r="10" spans="1:41" ht="15" customHeight="1">
      <c r="B10" s="315"/>
      <c r="C10" s="900"/>
      <c r="D10" s="900"/>
      <c r="E10" s="900"/>
      <c r="F10" s="900"/>
      <c r="G10" s="900"/>
    </row>
    <row r="11" spans="1:41" ht="15" customHeight="1">
      <c r="B11" s="465" t="s">
        <v>1817</v>
      </c>
      <c r="C11" s="900"/>
      <c r="D11" s="900"/>
      <c r="E11" s="900"/>
      <c r="F11" s="900"/>
      <c r="G11" s="900"/>
    </row>
    <row r="12" spans="1:41" ht="15" customHeight="1">
      <c r="B12" s="900"/>
      <c r="C12" s="900"/>
      <c r="D12" s="900"/>
      <c r="E12" s="900"/>
      <c r="F12" s="900"/>
      <c r="G12" s="900"/>
    </row>
    <row r="13" spans="1:41" s="15" customFormat="1" ht="31" customHeight="1">
      <c r="B13" s="1112" t="s">
        <v>1649</v>
      </c>
      <c r="C13" s="1207" t="s">
        <v>1954</v>
      </c>
      <c r="D13" s="1085"/>
      <c r="E13" s="1085"/>
      <c r="F13" s="1085"/>
      <c r="G13" s="1085"/>
      <c r="H13" s="1086"/>
      <c r="I13" s="1086"/>
      <c r="J13" s="1086"/>
      <c r="K13" s="1086"/>
      <c r="L13" s="1086"/>
      <c r="M13" s="1086"/>
      <c r="N13" s="1086"/>
      <c r="O13" s="1087"/>
    </row>
    <row r="14" spans="1:41" s="15" customFormat="1" ht="31" customHeight="1">
      <c r="B14" s="889" t="s">
        <v>1650</v>
      </c>
      <c r="C14" s="1207" t="s">
        <v>1953</v>
      </c>
      <c r="D14" s="1085"/>
      <c r="E14" s="1085"/>
      <c r="F14" s="1085"/>
      <c r="G14" s="1085"/>
      <c r="H14" s="1086"/>
      <c r="I14" s="1086"/>
      <c r="J14" s="1086"/>
      <c r="K14" s="1086"/>
      <c r="L14" s="1086"/>
      <c r="M14" s="1086"/>
      <c r="N14" s="1086"/>
      <c r="O14" s="1087"/>
    </row>
    <row r="15" spans="1:41" s="15" customFormat="1" ht="31" customHeight="1">
      <c r="B15" s="889" t="s">
        <v>1651</v>
      </c>
      <c r="C15" s="1207" t="s">
        <v>1957</v>
      </c>
      <c r="D15" s="1085"/>
      <c r="E15" s="1085"/>
      <c r="F15" s="1085"/>
      <c r="G15" s="1085"/>
      <c r="H15" s="1086"/>
      <c r="I15" s="1086"/>
      <c r="J15" s="1086"/>
      <c r="K15" s="1086"/>
      <c r="L15" s="1086"/>
      <c r="M15" s="1086"/>
      <c r="N15" s="1086"/>
      <c r="O15" s="1087"/>
    </row>
    <row r="16" spans="1:41" s="15" customFormat="1" ht="31" customHeight="1">
      <c r="B16" s="889" t="s">
        <v>1652</v>
      </c>
      <c r="C16" s="1207" t="s">
        <v>1928</v>
      </c>
      <c r="D16" s="1085"/>
      <c r="E16" s="1085"/>
      <c r="F16" s="1085"/>
      <c r="G16" s="1085"/>
      <c r="H16" s="1086"/>
      <c r="I16" s="1086"/>
      <c r="J16" s="1086"/>
      <c r="K16" s="1086"/>
      <c r="L16" s="1086"/>
      <c r="M16" s="1086"/>
      <c r="N16" s="1086"/>
      <c r="O16" s="1087"/>
    </row>
    <row r="17" spans="1:52" s="15" customFormat="1" ht="31" customHeight="1">
      <c r="B17" s="891" t="s">
        <v>1653</v>
      </c>
      <c r="C17" s="1207" t="s">
        <v>1929</v>
      </c>
      <c r="D17" s="1085"/>
      <c r="E17" s="1085"/>
      <c r="F17" s="1085"/>
      <c r="G17" s="1085"/>
      <c r="H17" s="1086"/>
      <c r="I17" s="1086"/>
      <c r="J17" s="1086"/>
      <c r="K17" s="1086"/>
      <c r="L17" s="1086"/>
      <c r="M17" s="1086"/>
      <c r="N17" s="1086"/>
      <c r="O17" s="1087"/>
    </row>
    <row r="18" spans="1:52" ht="15" customHeight="1">
      <c r="B18" s="900"/>
      <c r="C18" s="900"/>
      <c r="D18" s="900"/>
      <c r="E18" s="900"/>
      <c r="F18" s="900"/>
      <c r="G18" s="900"/>
    </row>
    <row r="19" spans="1:52" s="29" customFormat="1" ht="15" customHeight="1">
      <c r="B19" s="465" t="s">
        <v>1818</v>
      </c>
      <c r="C19" s="229"/>
      <c r="D19" s="229"/>
      <c r="E19" s="230"/>
      <c r="F19" s="229"/>
      <c r="G19" s="229"/>
      <c r="H19" s="465"/>
      <c r="I19" s="232"/>
      <c r="J19" s="232"/>
      <c r="K19" s="30"/>
      <c r="U19" s="234"/>
      <c r="V19" s="234"/>
      <c r="W19" s="234"/>
      <c r="X19" s="234"/>
      <c r="Y19" s="234"/>
    </row>
    <row r="20" spans="1:52" ht="15" customHeight="1">
      <c r="B20" s="317"/>
      <c r="C20" s="317"/>
      <c r="D20" s="638"/>
      <c r="E20" s="638"/>
      <c r="F20" s="638"/>
    </row>
    <row r="21" spans="1:52" ht="15" customHeight="1">
      <c r="A21" s="15"/>
      <c r="B21" s="2267" t="s">
        <v>1007</v>
      </c>
      <c r="C21" s="2268"/>
      <c r="D21" s="2268"/>
      <c r="E21" s="2268"/>
      <c r="F21" s="2268" t="s">
        <v>1023</v>
      </c>
      <c r="G21" s="2268"/>
      <c r="H21" s="2268" t="s">
        <v>1024</v>
      </c>
      <c r="I21" s="2351"/>
      <c r="J21" s="15"/>
      <c r="K21" s="15"/>
      <c r="L21" s="15"/>
      <c r="M21" s="15"/>
      <c r="N21" s="15"/>
      <c r="O21" s="15"/>
      <c r="P21" s="15"/>
      <c r="Q21" s="15"/>
      <c r="R21" s="15"/>
      <c r="S21" s="15"/>
      <c r="T21" s="15"/>
      <c r="U21" s="15"/>
      <c r="V21" s="15"/>
      <c r="W21" s="15"/>
      <c r="X21" s="15"/>
      <c r="Y21" s="15"/>
      <c r="Z21" s="15"/>
      <c r="AA21" s="15"/>
      <c r="AB21" s="15"/>
      <c r="AC21" s="15"/>
      <c r="AD21" s="15"/>
      <c r="AE21" s="15"/>
      <c r="AF21" s="15"/>
      <c r="AG21" s="15"/>
      <c r="AH21" s="15"/>
      <c r="AI21" s="15"/>
      <c r="AJ21" s="15"/>
      <c r="AK21" s="15"/>
      <c r="AL21" s="15"/>
      <c r="AM21" s="15"/>
      <c r="AN21" s="15"/>
      <c r="AO21" s="15"/>
      <c r="AP21" s="15"/>
      <c r="AQ21" s="15"/>
      <c r="AR21" s="15"/>
      <c r="AS21" s="15"/>
      <c r="AT21" s="15"/>
      <c r="AU21" s="15"/>
      <c r="AV21" s="15"/>
      <c r="AW21" s="15"/>
      <c r="AX21" s="15"/>
      <c r="AY21" s="15"/>
      <c r="AZ21" s="15"/>
    </row>
    <row r="22" spans="1:52" ht="15" customHeight="1">
      <c r="A22" s="15"/>
      <c r="B22" s="2269"/>
      <c r="C22" s="2270"/>
      <c r="D22" s="2270"/>
      <c r="E22" s="2270"/>
      <c r="F22" s="2270"/>
      <c r="G22" s="2270"/>
      <c r="H22" s="2270"/>
      <c r="I22" s="2352"/>
      <c r="J22" s="15"/>
      <c r="K22" s="15"/>
      <c r="L22" s="15"/>
      <c r="M22" s="15"/>
      <c r="N22" s="15"/>
      <c r="O22" s="15"/>
      <c r="P22" s="15"/>
      <c r="Q22" s="15"/>
      <c r="R22" s="15"/>
      <c r="S22" s="15"/>
      <c r="T22" s="15"/>
      <c r="U22" s="15"/>
      <c r="V22" s="15"/>
      <c r="W22" s="15"/>
      <c r="X22" s="15"/>
      <c r="Y22" s="15"/>
      <c r="Z22" s="15"/>
      <c r="AA22" s="15"/>
      <c r="AB22" s="15"/>
      <c r="AC22" s="15"/>
      <c r="AD22" s="15"/>
      <c r="AE22" s="15"/>
      <c r="AF22" s="15"/>
      <c r="AG22" s="15"/>
      <c r="AH22" s="15"/>
      <c r="AI22" s="15"/>
      <c r="AJ22" s="15"/>
      <c r="AK22" s="15"/>
      <c r="AL22" s="15"/>
      <c r="AM22" s="15"/>
      <c r="AN22" s="15"/>
      <c r="AO22" s="15"/>
      <c r="AP22" s="15"/>
      <c r="AQ22" s="15"/>
      <c r="AR22" s="15"/>
      <c r="AS22" s="15"/>
      <c r="AT22" s="15"/>
      <c r="AU22" s="15"/>
      <c r="AV22" s="15"/>
      <c r="AW22" s="15"/>
      <c r="AX22" s="15"/>
      <c r="AY22" s="15"/>
      <c r="AZ22" s="15"/>
    </row>
    <row r="23" spans="1:52" s="209" customFormat="1" ht="31" customHeight="1">
      <c r="B23" s="1208" t="s">
        <v>1025</v>
      </c>
      <c r="C23" s="1209"/>
      <c r="D23" s="1210"/>
      <c r="E23" s="1211"/>
      <c r="F23" s="2271" t="str">
        <f>'City information'!E10</f>
        <v>Atlantis</v>
      </c>
      <c r="G23" s="2271"/>
      <c r="H23" s="2353"/>
      <c r="I23" s="2353"/>
    </row>
    <row r="24" spans="1:52" s="209" customFormat="1" ht="31" customHeight="1">
      <c r="B24" s="1208" t="s">
        <v>620</v>
      </c>
      <c r="C24" s="1209"/>
      <c r="D24" s="1210"/>
      <c r="E24" s="1211"/>
      <c r="F24" s="2271" t="str">
        <f>'City information'!E11</f>
        <v>Gondwana</v>
      </c>
      <c r="G24" s="2271"/>
      <c r="H24" s="2353"/>
      <c r="I24" s="2353"/>
    </row>
    <row r="25" spans="1:52" s="209" customFormat="1" ht="31" customHeight="1">
      <c r="B25" s="1208" t="s">
        <v>1026</v>
      </c>
      <c r="C25" s="1209"/>
      <c r="D25" s="1210"/>
      <c r="E25" s="1211"/>
      <c r="F25" s="2547" t="s">
        <v>1171</v>
      </c>
      <c r="G25" s="2547"/>
      <c r="H25" s="2353" t="s">
        <v>1028</v>
      </c>
      <c r="I25" s="2353"/>
    </row>
    <row r="26" spans="1:52" s="209" customFormat="1" ht="31" customHeight="1">
      <c r="B26" s="1208" t="s">
        <v>1029</v>
      </c>
      <c r="C26" s="1209"/>
      <c r="D26" s="1210"/>
      <c r="E26" s="1211"/>
      <c r="F26" s="2548" t="s">
        <v>1140</v>
      </c>
      <c r="G26" s="2548"/>
      <c r="H26" s="2353" t="s">
        <v>1028</v>
      </c>
      <c r="I26" s="2353"/>
    </row>
    <row r="27" spans="1:52" s="209" customFormat="1" ht="31" customHeight="1">
      <c r="B27" s="1208" t="s">
        <v>1031</v>
      </c>
      <c r="C27" s="1209"/>
      <c r="D27" s="1210"/>
      <c r="E27" s="1211"/>
      <c r="F27" s="2549" t="s">
        <v>1173</v>
      </c>
      <c r="G27" s="2549"/>
      <c r="H27" s="2353" t="s">
        <v>1028</v>
      </c>
      <c r="I27" s="2353"/>
    </row>
    <row r="28" spans="1:52" s="209" customFormat="1" ht="31" customHeight="1">
      <c r="B28" s="1208" t="s">
        <v>1032</v>
      </c>
      <c r="C28" s="1209"/>
      <c r="D28" s="1210"/>
      <c r="E28" s="1211"/>
      <c r="F28" s="2549" t="s">
        <v>1033</v>
      </c>
      <c r="G28" s="2549"/>
      <c r="H28" s="2353" t="s">
        <v>1028</v>
      </c>
      <c r="I28" s="2353"/>
    </row>
    <row r="29" spans="1:52" s="209" customFormat="1" ht="31" customHeight="1">
      <c r="B29" s="1208" t="s">
        <v>1034</v>
      </c>
      <c r="C29" s="1209"/>
      <c r="D29" s="1210"/>
      <c r="E29" s="1211"/>
      <c r="F29" s="2553">
        <f>'City information'!E18</f>
        <v>4000000</v>
      </c>
      <c r="G29" s="2553"/>
      <c r="H29" s="2391"/>
      <c r="I29" s="2392"/>
    </row>
    <row r="30" spans="1:52" s="209" customFormat="1" ht="31" customHeight="1">
      <c r="B30" s="1212" t="s">
        <v>1035</v>
      </c>
      <c r="C30" s="1213"/>
      <c r="D30" s="1214"/>
      <c r="E30" s="1215"/>
      <c r="F30" s="2274" t="s">
        <v>837</v>
      </c>
      <c r="G30" s="2274"/>
      <c r="H30" s="2393"/>
      <c r="I30" s="2394"/>
    </row>
    <row r="31" spans="1:52" s="209" customFormat="1" ht="31" customHeight="1">
      <c r="B31" s="2529" t="s">
        <v>1829</v>
      </c>
      <c r="C31" s="2530"/>
      <c r="D31" s="1209" t="s">
        <v>1036</v>
      </c>
      <c r="E31" s="1211"/>
      <c r="F31" s="2554">
        <f>IFERROR(VLOOKUP($F$26,$C$160:$F$180,2,FALSE),"")</f>
        <v>0.68</v>
      </c>
      <c r="G31" s="2554"/>
      <c r="H31" s="2528">
        <v>0.75</v>
      </c>
      <c r="I31" s="2528"/>
    </row>
    <row r="32" spans="1:52" s="209" customFormat="1" ht="31" customHeight="1">
      <c r="B32" s="2531"/>
      <c r="C32" s="2532"/>
      <c r="D32" s="1209" t="s">
        <v>1037</v>
      </c>
      <c r="E32" s="1211"/>
      <c r="F32" s="2554">
        <f>IFERROR(VLOOKUP($F$26,$C$160:$F$180,3,FALSE),"")</f>
        <v>0</v>
      </c>
      <c r="G32" s="2554"/>
      <c r="H32" s="2528">
        <v>0.25</v>
      </c>
      <c r="I32" s="2528"/>
    </row>
    <row r="33" spans="2:25" s="209" customFormat="1" ht="31" customHeight="1">
      <c r="B33" s="2531"/>
      <c r="C33" s="2532"/>
      <c r="D33" s="1209" t="s">
        <v>1038</v>
      </c>
      <c r="E33" s="1211"/>
      <c r="F33" s="2554">
        <f>IFERROR(VLOOKUP($F$26,$C$160:$F$180,4,FALSE),"")</f>
        <v>0.32</v>
      </c>
      <c r="G33" s="2554"/>
      <c r="H33" s="2528">
        <v>0</v>
      </c>
      <c r="I33" s="2528"/>
    </row>
    <row r="34" spans="2:25" s="209" customFormat="1" ht="31" customHeight="1">
      <c r="B34" s="2533"/>
      <c r="C34" s="2534"/>
      <c r="D34" s="1209" t="s">
        <v>1039</v>
      </c>
      <c r="E34" s="1211"/>
      <c r="F34" s="2555">
        <f>SUM(F31:F33)</f>
        <v>1</v>
      </c>
      <c r="G34" s="2555"/>
      <c r="H34" s="2527">
        <f>IF(SUM(H31:H33)=0,"&lt; Use default values",IF(SUM(H31:H33)=1,SUM(H31:H33),"Needs to add up to 100%"))</f>
        <v>1</v>
      </c>
      <c r="I34" s="2527"/>
    </row>
    <row r="35" spans="2:25" s="209" customFormat="1" ht="31" customHeight="1">
      <c r="B35" s="1216" t="s">
        <v>1041</v>
      </c>
      <c r="C35" s="1217"/>
      <c r="D35" s="1210"/>
      <c r="E35" s="1211"/>
      <c r="F35" s="2539" t="s">
        <v>1437</v>
      </c>
      <c r="G35" s="2539"/>
      <c r="H35" s="2353" t="s">
        <v>1028</v>
      </c>
      <c r="I35" s="2353"/>
    </row>
    <row r="36" spans="2:25" ht="13" customHeight="1">
      <c r="B36" s="318"/>
      <c r="C36" s="318"/>
      <c r="D36" s="318"/>
      <c r="E36" s="318"/>
    </row>
    <row r="37" spans="2:25" s="1000" customFormat="1" ht="15" customHeight="1">
      <c r="B37" s="998" t="s">
        <v>1819</v>
      </c>
      <c r="C37" s="999"/>
      <c r="D37" s="999"/>
      <c r="F37" s="999"/>
      <c r="G37" s="999"/>
      <c r="H37" s="998"/>
      <c r="I37" s="999"/>
      <c r="J37" s="999"/>
      <c r="U37" s="1001"/>
      <c r="V37" s="1001"/>
      <c r="W37" s="1001"/>
      <c r="X37" s="1001"/>
      <c r="Y37" s="1001"/>
    </row>
    <row r="38" spans="2:25" ht="15" customHeight="1">
      <c r="B38" s="318"/>
      <c r="C38" s="318"/>
      <c r="D38" s="318"/>
      <c r="E38" s="318"/>
    </row>
    <row r="39" spans="2:25" ht="15" customHeight="1">
      <c r="B39" s="2347" t="s">
        <v>723</v>
      </c>
      <c r="C39" s="2348"/>
      <c r="D39" s="2433" t="s">
        <v>1662</v>
      </c>
      <c r="E39" s="2433"/>
      <c r="F39" s="2434"/>
    </row>
    <row r="40" spans="2:25" ht="15" customHeight="1">
      <c r="B40" s="2540"/>
      <c r="C40" s="2541"/>
      <c r="D40" s="1337" t="s">
        <v>1663</v>
      </c>
      <c r="E40" s="1337" t="s">
        <v>1664</v>
      </c>
      <c r="F40" s="1341" t="s">
        <v>174</v>
      </c>
    </row>
    <row r="41" spans="2:25" s="209" customFormat="1" ht="31" customHeight="1">
      <c r="B41" s="1208" t="s">
        <v>1043</v>
      </c>
      <c r="C41" s="1340"/>
      <c r="D41" s="1338">
        <f>IFERROR(SUM(AE63:AE76),"")</f>
        <v>27593.999999999996</v>
      </c>
      <c r="E41" s="1338">
        <f>IFERROR(R105,"")</f>
        <v>95332.160000000003</v>
      </c>
      <c r="F41" s="1338">
        <f>IFERROR(IF(SUM(D41:E41)&gt;0,SUM(D41:E41),""),"")</f>
        <v>122926.16</v>
      </c>
    </row>
    <row r="42" spans="2:25" s="209" customFormat="1" ht="31" customHeight="1">
      <c r="B42" s="1208" t="s">
        <v>1044</v>
      </c>
      <c r="C42" s="1340"/>
      <c r="D42" s="1338">
        <f>IFERROR(SUM(AN130:AN144),"")</f>
        <v>30194.5</v>
      </c>
      <c r="E42" s="1339"/>
      <c r="F42" s="1338">
        <f>IFERROR(D42,"")</f>
        <v>30194.5</v>
      </c>
    </row>
    <row r="43" spans="2:25" s="209" customFormat="1" ht="31" customHeight="1">
      <c r="B43" s="1208" t="s">
        <v>174</v>
      </c>
      <c r="C43" s="1340"/>
      <c r="D43" s="1338">
        <f>IF(SUM(D41:D42)&gt;0,SUM(D41:D42),"")</f>
        <v>57788.5</v>
      </c>
      <c r="E43" s="1338">
        <f>IF(SUM(E41:E42)&gt;0,SUM(E41:E42),"")</f>
        <v>95332.160000000003</v>
      </c>
      <c r="F43" s="1338">
        <f>IF(SUM(D43:E43)&gt;0,SUM(D43:E43),"")</f>
        <v>153120.66</v>
      </c>
    </row>
    <row r="44" spans="2:25" s="209" customFormat="1" ht="15" customHeight="1">
      <c r="B44" s="441"/>
      <c r="C44" s="441"/>
      <c r="D44" s="441"/>
      <c r="E44" s="441"/>
    </row>
    <row r="45" spans="2:25" s="978" customFormat="1" ht="15" customHeight="1">
      <c r="B45" s="997" t="s">
        <v>1820</v>
      </c>
      <c r="C45" s="1002"/>
      <c r="D45" s="1002"/>
      <c r="F45" s="1002"/>
      <c r="G45" s="1002"/>
      <c r="H45" s="997"/>
      <c r="I45" s="1003"/>
      <c r="J45" s="1003"/>
      <c r="K45" s="1004"/>
      <c r="U45" s="979"/>
      <c r="V45" s="979"/>
      <c r="W45" s="979"/>
      <c r="X45" s="979"/>
      <c r="Y45" s="979"/>
    </row>
    <row r="46" spans="2:25" s="209" customFormat="1" ht="15" customHeight="1">
      <c r="B46" s="441"/>
      <c r="C46" s="441"/>
      <c r="D46" s="1005"/>
      <c r="E46" s="441"/>
    </row>
    <row r="47" spans="2:25" s="978" customFormat="1" ht="15" customHeight="1">
      <c r="B47" s="997" t="s">
        <v>1821</v>
      </c>
      <c r="C47" s="1002"/>
      <c r="D47" s="1002"/>
      <c r="F47" s="1002"/>
      <c r="G47" s="1002"/>
      <c r="H47" s="997"/>
      <c r="I47" s="1003"/>
      <c r="J47" s="1003"/>
      <c r="K47" s="1004"/>
      <c r="U47" s="979"/>
      <c r="V47" s="979"/>
      <c r="W47" s="979"/>
      <c r="X47" s="979"/>
      <c r="Y47" s="979"/>
    </row>
    <row r="48" spans="2:25" s="978" customFormat="1" ht="15" customHeight="1">
      <c r="B48" s="997"/>
      <c r="C48" s="1002"/>
      <c r="D48" s="1002"/>
      <c r="F48" s="1002"/>
      <c r="G48" s="1002"/>
      <c r="H48" s="997"/>
      <c r="I48" s="1003"/>
      <c r="J48" s="1003"/>
      <c r="K48" s="1004"/>
      <c r="U48" s="979"/>
      <c r="V48" s="979"/>
      <c r="W48" s="979"/>
      <c r="X48" s="979"/>
      <c r="Y48" s="979"/>
    </row>
    <row r="49" spans="2:31" s="978" customFormat="1" ht="15" customHeight="1">
      <c r="B49" s="997" t="s">
        <v>1823</v>
      </c>
      <c r="C49" s="1002"/>
      <c r="D49" s="1002"/>
      <c r="F49" s="1002"/>
      <c r="G49" s="1002"/>
      <c r="H49" s="997"/>
      <c r="I49" s="1003"/>
      <c r="J49" s="1003"/>
      <c r="K49" s="1004"/>
      <c r="U49" s="979"/>
      <c r="V49" s="979"/>
      <c r="W49" s="979"/>
      <c r="X49" s="979"/>
      <c r="Y49" s="979"/>
    </row>
    <row r="50" spans="2:31" s="209" customFormat="1" ht="15" customHeight="1">
      <c r="B50" s="441"/>
      <c r="C50" s="441"/>
      <c r="D50" s="441"/>
      <c r="E50" s="441"/>
    </row>
    <row r="51" spans="2:31" s="209" customFormat="1" ht="31" customHeight="1">
      <c r="B51" s="993" t="s">
        <v>1045</v>
      </c>
      <c r="C51" s="928" t="str">
        <f>"= Σi [ ( TOWi - Si) * EFi - Ri ] * 0.001"</f>
        <v>= Σi [ ( TOWi - Si) * EFi - Ri ] * 0.001</v>
      </c>
      <c r="D51" s="929"/>
      <c r="E51" s="929"/>
      <c r="F51" s="929"/>
      <c r="G51" s="930"/>
      <c r="I51" s="993" t="s">
        <v>1049</v>
      </c>
      <c r="J51" s="928" t="str">
        <f>"= [ P * BOD * I * 365 ] * 0.001"</f>
        <v>= [ P * BOD * I * 365 ] * 0.001</v>
      </c>
      <c r="K51" s="929"/>
      <c r="L51" s="929"/>
      <c r="M51" s="929"/>
      <c r="N51" s="930"/>
      <c r="P51" s="993" t="s">
        <v>45</v>
      </c>
      <c r="Q51" s="928" t="str">
        <f>"= B * MCF * U * T"</f>
        <v>= B * MCF * U * T</v>
      </c>
      <c r="R51" s="929"/>
      <c r="S51" s="929"/>
      <c r="T51" s="929"/>
      <c r="U51" s="930"/>
    </row>
    <row r="52" spans="2:31" s="209" customFormat="1" ht="31" customHeight="1">
      <c r="B52" s="994" t="s">
        <v>1046</v>
      </c>
      <c r="C52" s="2537" t="str">
        <f>"= Organic content of wastewater, kgBOD for domestic wastewater, kgCOD for industrial wastewater"</f>
        <v>= Organic content of wastewater, kgBOD for domestic wastewater, kgCOD for industrial wastewater</v>
      </c>
      <c r="D52" s="2537"/>
      <c r="E52" s="2537"/>
      <c r="F52" s="2537"/>
      <c r="G52" s="2538"/>
      <c r="I52" s="995" t="s">
        <v>1050</v>
      </c>
      <c r="J52" s="989" t="str">
        <f>"= Population"</f>
        <v>= Population</v>
      </c>
      <c r="K52" s="990"/>
      <c r="L52" s="989"/>
      <c r="M52" s="989"/>
      <c r="N52" s="986"/>
      <c r="P52" s="995" t="s">
        <v>1052</v>
      </c>
      <c r="Q52" s="990" t="str">
        <f>"= Maximum CH4 producing capacity, default 0.6kgCH4/kgBOD"</f>
        <v>= Maximum CH4 producing capacity, default 0.6kgCH4/kgBOD</v>
      </c>
      <c r="R52" s="990"/>
      <c r="S52" s="989"/>
      <c r="T52" s="989"/>
      <c r="U52" s="986"/>
    </row>
    <row r="53" spans="2:31" s="209" customFormat="1" ht="31" customHeight="1">
      <c r="B53" s="995" t="s">
        <v>1047</v>
      </c>
      <c r="C53" s="990" t="str">
        <f>"= Organic component removed as sludge, kgBOD/yr or kgCOD/yr; default 0"</f>
        <v>= Organic component removed as sludge, kgBOD/yr or kgCOD/yr; default 0</v>
      </c>
      <c r="D53" s="990"/>
      <c r="E53" s="990"/>
      <c r="F53" s="990"/>
      <c r="G53" s="987"/>
      <c r="I53" s="995" t="s">
        <v>1051</v>
      </c>
      <c r="J53" s="990" t="str">
        <f>"= City-specific per capita biochemical oxygen demand, g/person/day"</f>
        <v>= City-specific per capita biochemical oxygen demand, g/person/day</v>
      </c>
      <c r="K53" s="990"/>
      <c r="L53" s="990"/>
      <c r="M53" s="990"/>
      <c r="N53" s="987"/>
      <c r="P53" s="995" t="s">
        <v>1053</v>
      </c>
      <c r="Q53" s="990" t="str">
        <f>"= Methane correction factor (fraction)"</f>
        <v>= Methane correction factor (fraction)</v>
      </c>
      <c r="R53" s="990"/>
      <c r="S53" s="990"/>
      <c r="T53" s="990"/>
      <c r="U53" s="987"/>
    </row>
    <row r="54" spans="2:31" s="209" customFormat="1" ht="31" customHeight="1">
      <c r="B54" s="995" t="s">
        <v>45</v>
      </c>
      <c r="C54" s="990" t="str">
        <f>"= Emission factor, kgCH4 per kg BOD or kgCH4 per kg COD"</f>
        <v>= Emission factor, kgCH4 per kg BOD or kgCH4 per kg COD</v>
      </c>
      <c r="D54" s="990"/>
      <c r="E54" s="990"/>
      <c r="F54" s="990"/>
      <c r="G54" s="987"/>
      <c r="I54" s="995" t="s">
        <v>46</v>
      </c>
      <c r="J54" s="2535" t="str">
        <f>"= Correction factor for additional industrial BOD discharged into sewers; 1.25 for collected wastewater, 1.00 for uncollected"</f>
        <v>= Correction factor for additional industrial BOD discharged into sewers; 1.25 for collected wastewater, 1.00 for uncollected</v>
      </c>
      <c r="K54" s="2535"/>
      <c r="L54" s="2535"/>
      <c r="M54" s="2535"/>
      <c r="N54" s="2536"/>
      <c r="P54" s="995" t="s">
        <v>1054</v>
      </c>
      <c r="Q54" s="990" t="str">
        <f>"= Fraction of population in income group i"</f>
        <v>= Fraction of population in income group i</v>
      </c>
      <c r="R54" s="990"/>
      <c r="S54" s="990"/>
      <c r="T54" s="990"/>
      <c r="U54" s="987"/>
    </row>
    <row r="55" spans="2:31" s="209" customFormat="1" ht="31" customHeight="1">
      <c r="B55" s="996" t="s">
        <v>1048</v>
      </c>
      <c r="C55" s="991" t="str">
        <f>"= Amount of CH4 recovered, kgCH4/yr; default 0"</f>
        <v>= Amount of CH4 recovered, kgCH4/yr; default 0</v>
      </c>
      <c r="D55" s="991"/>
      <c r="E55" s="991"/>
      <c r="F55" s="991"/>
      <c r="G55" s="992"/>
      <c r="I55" s="996">
        <v>365</v>
      </c>
      <c r="J55" s="991" t="str">
        <f>"= Number of days per year"</f>
        <v>= Number of days per year</v>
      </c>
      <c r="K55" s="991"/>
      <c r="L55" s="991"/>
      <c r="M55" s="991"/>
      <c r="N55" s="992"/>
      <c r="P55" s="996" t="s">
        <v>911</v>
      </c>
      <c r="Q55" s="2508" t="str">
        <f>"= Degree of utilisation of treatment/discharge pathway or system for each income group fraction i"</f>
        <v>= Degree of utilisation of treatment/discharge pathway or system for each income group fraction i</v>
      </c>
      <c r="R55" s="2508"/>
      <c r="S55" s="2508"/>
      <c r="T55" s="2508"/>
      <c r="U55" s="2509"/>
    </row>
    <row r="56" spans="2:31" ht="15.75" customHeight="1">
      <c r="B56" s="318"/>
      <c r="C56" s="318"/>
      <c r="D56" s="318"/>
      <c r="E56" s="320"/>
    </row>
    <row r="57" spans="2:31" ht="15.75" customHeight="1">
      <c r="B57" s="465" t="s">
        <v>1824</v>
      </c>
    </row>
    <row r="58" spans="2:31" ht="15.75" customHeight="1">
      <c r="B58" s="318"/>
      <c r="C58" s="318"/>
      <c r="D58" s="318"/>
      <c r="E58" s="318"/>
    </row>
    <row r="59" spans="2:31" s="1125" customFormat="1" ht="15" customHeight="1">
      <c r="B59" s="2542" t="s">
        <v>1061</v>
      </c>
      <c r="C59" s="2514" t="s">
        <v>1055</v>
      </c>
      <c r="D59" s="2514"/>
      <c r="E59" s="2514"/>
      <c r="F59" s="2514"/>
      <c r="G59" s="2514" t="s">
        <v>1056</v>
      </c>
      <c r="H59" s="2514"/>
      <c r="I59" s="2514"/>
      <c r="J59" s="2514"/>
      <c r="K59" s="2514" t="s">
        <v>1057</v>
      </c>
      <c r="L59" s="2514"/>
      <c r="M59" s="2514"/>
      <c r="N59" s="2514"/>
      <c r="O59" s="2514"/>
      <c r="P59" s="2514"/>
      <c r="Q59" s="2514"/>
      <c r="R59" s="2512" t="s">
        <v>1058</v>
      </c>
      <c r="S59" s="2512"/>
      <c r="T59" s="2512" t="s">
        <v>1059</v>
      </c>
      <c r="U59" s="2514"/>
      <c r="V59" s="2514"/>
      <c r="W59" s="2514"/>
      <c r="X59" s="2514"/>
      <c r="Y59" s="2514"/>
      <c r="Z59" s="2514"/>
      <c r="AA59" s="2514"/>
      <c r="AB59" s="2582" t="s">
        <v>1665</v>
      </c>
      <c r="AC59" s="2583"/>
      <c r="AD59" s="2514" t="s">
        <v>1666</v>
      </c>
      <c r="AE59" s="2515"/>
    </row>
    <row r="60" spans="2:31" s="1125" customFormat="1" ht="15" customHeight="1">
      <c r="B60" s="2543"/>
      <c r="C60" s="2516" t="s">
        <v>1062</v>
      </c>
      <c r="D60" s="2438" t="s">
        <v>1940</v>
      </c>
      <c r="E60" s="2438"/>
      <c r="F60" s="2438"/>
      <c r="G60" s="2516" t="s">
        <v>1062</v>
      </c>
      <c r="H60" s="2438" t="s">
        <v>1063</v>
      </c>
      <c r="I60" s="2438"/>
      <c r="J60" s="2516" t="s">
        <v>1064</v>
      </c>
      <c r="K60" s="2438" t="s">
        <v>1065</v>
      </c>
      <c r="L60" s="2435" t="s">
        <v>1066</v>
      </c>
      <c r="M60" s="2435"/>
      <c r="N60" s="2578" t="s">
        <v>1067</v>
      </c>
      <c r="O60" s="2579"/>
      <c r="P60" s="2438">
        <v>365</v>
      </c>
      <c r="Q60" s="2438" t="s">
        <v>174</v>
      </c>
      <c r="R60" s="2435"/>
      <c r="S60" s="2435"/>
      <c r="T60" s="2435" t="s">
        <v>1941</v>
      </c>
      <c r="U60" s="2435"/>
      <c r="V60" s="2438" t="s">
        <v>1068</v>
      </c>
      <c r="W60" s="2438"/>
      <c r="X60" s="2438"/>
      <c r="Y60" s="2438"/>
      <c r="Z60" s="2438"/>
      <c r="AA60" s="2438" t="s">
        <v>174</v>
      </c>
      <c r="AB60" s="2584"/>
      <c r="AC60" s="2585"/>
      <c r="AD60" s="2438" t="s">
        <v>1826</v>
      </c>
      <c r="AE60" s="2574" t="s">
        <v>1827</v>
      </c>
    </row>
    <row r="61" spans="2:31" s="1125" customFormat="1" ht="15" customHeight="1">
      <c r="B61" s="2544"/>
      <c r="C61" s="2517"/>
      <c r="D61" s="2573"/>
      <c r="E61" s="2573"/>
      <c r="F61" s="2573"/>
      <c r="G61" s="2517"/>
      <c r="H61" s="2573"/>
      <c r="I61" s="2573"/>
      <c r="J61" s="2517"/>
      <c r="K61" s="2573"/>
      <c r="L61" s="2513"/>
      <c r="M61" s="2513"/>
      <c r="N61" s="2580"/>
      <c r="O61" s="2581"/>
      <c r="P61" s="2573"/>
      <c r="Q61" s="2573"/>
      <c r="R61" s="2513"/>
      <c r="S61" s="2513"/>
      <c r="T61" s="2513"/>
      <c r="U61" s="2513"/>
      <c r="V61" s="2573" t="s">
        <v>1942</v>
      </c>
      <c r="W61" s="2573"/>
      <c r="X61" s="2573"/>
      <c r="Y61" s="2573" t="s">
        <v>1069</v>
      </c>
      <c r="Z61" s="2573"/>
      <c r="AA61" s="2573"/>
      <c r="AB61" s="2580"/>
      <c r="AC61" s="2581"/>
      <c r="AD61" s="2573"/>
      <c r="AE61" s="2575"/>
    </row>
    <row r="62" spans="2:31" s="323" customFormat="1" ht="15" customHeight="1">
      <c r="B62" s="1127"/>
      <c r="C62" s="1131"/>
      <c r="D62" s="1130" t="s">
        <v>1943</v>
      </c>
      <c r="E62" s="1128" t="s">
        <v>1945</v>
      </c>
      <c r="F62" s="1132" t="s">
        <v>1071</v>
      </c>
      <c r="G62" s="1133"/>
      <c r="H62" s="2576"/>
      <c r="I62" s="2577"/>
      <c r="J62" s="1128" t="s">
        <v>1024</v>
      </c>
      <c r="K62" s="1128" t="s">
        <v>1168</v>
      </c>
      <c r="L62" s="1128" t="s">
        <v>1936</v>
      </c>
      <c r="M62" s="1128" t="s">
        <v>1024</v>
      </c>
      <c r="N62" s="1128" t="s">
        <v>1937</v>
      </c>
      <c r="O62" s="1128" t="s">
        <v>1024</v>
      </c>
      <c r="P62" s="1128" t="s">
        <v>1168</v>
      </c>
      <c r="Q62" s="1128" t="s">
        <v>1168</v>
      </c>
      <c r="R62" s="1128" t="s">
        <v>1023</v>
      </c>
      <c r="S62" s="1128" t="s">
        <v>1024</v>
      </c>
      <c r="T62" s="1128" t="s">
        <v>1938</v>
      </c>
      <c r="U62" s="1128" t="s">
        <v>1024</v>
      </c>
      <c r="V62" s="1130" t="s">
        <v>1943</v>
      </c>
      <c r="W62" s="1128" t="s">
        <v>1944</v>
      </c>
      <c r="X62" s="1132" t="s">
        <v>1071</v>
      </c>
      <c r="Y62" s="1128" t="s">
        <v>1939</v>
      </c>
      <c r="Z62" s="1128" t="s">
        <v>1024</v>
      </c>
      <c r="AA62" s="1128" t="s">
        <v>1168</v>
      </c>
      <c r="AB62" s="1128" t="s">
        <v>1023</v>
      </c>
      <c r="AC62" s="1128" t="s">
        <v>1024</v>
      </c>
      <c r="AD62" s="1128" t="s">
        <v>1168</v>
      </c>
      <c r="AE62" s="1128" t="s">
        <v>1168</v>
      </c>
    </row>
    <row r="63" spans="2:31" s="209" customFormat="1" ht="31" customHeight="1">
      <c r="B63" s="1721"/>
      <c r="C63" s="1722" t="s">
        <v>1072</v>
      </c>
      <c r="D63" s="324">
        <f>IFERROR(IF($H$34=1,$H$31,$F$31)*VLOOKUP($F$26,$C$160:$U$180,9,FALSE),"")</f>
        <v>0</v>
      </c>
      <c r="E63" s="324">
        <f>IFERROR(IF($H$34=1,$H$32,$F$32)*VLOOKUP($F$26,$C$160:$U$180,14,FALSE),"")</f>
        <v>0</v>
      </c>
      <c r="F63" s="324">
        <f>IFERROR(IF($H$34=1,$H$33,$F$33)*VLOOKUP($F$26,$C$160:$U$180,19,FALSE),"")</f>
        <v>0</v>
      </c>
      <c r="G63" s="1723" t="s">
        <v>1073</v>
      </c>
      <c r="H63" s="2545" t="s">
        <v>1074</v>
      </c>
      <c r="I63" s="2546"/>
      <c r="J63" s="1024"/>
      <c r="K63" s="988">
        <f t="shared" ref="K63:K76" si="0">$F$29</f>
        <v>4000000</v>
      </c>
      <c r="L63" s="324">
        <f t="shared" ref="L63:L76" si="1">IFERROR(VLOOKUP($F$25,$B$211:$C$224,2,FALSE),"")</f>
        <v>60</v>
      </c>
      <c r="M63" s="860"/>
      <c r="N63" s="324">
        <v>1.25</v>
      </c>
      <c r="O63" s="860"/>
      <c r="P63" s="324">
        <v>365</v>
      </c>
      <c r="Q63" s="988">
        <f>IFERROR(K63*IF(M63&lt;&gt;0,M63,L63)*IF(O63&lt;&gt;0,O63,N63)*P63*0.001,"")</f>
        <v>109500000</v>
      </c>
      <c r="R63" s="324">
        <v>0</v>
      </c>
      <c r="S63" s="860"/>
      <c r="T63" s="324">
        <v>0.6</v>
      </c>
      <c r="U63" s="860"/>
      <c r="V63" s="324">
        <f>D187</f>
        <v>0</v>
      </c>
      <c r="W63" s="324">
        <f>E187</f>
        <v>0.5</v>
      </c>
      <c r="X63" s="324">
        <f>IFERROR(IF(AND(H34=1,H31&gt;H32),F187,IF(F31&gt;F32,F187,G187)),"")</f>
        <v>0.5</v>
      </c>
      <c r="Y63" s="1025">
        <f t="shared" ref="Y63:Y76" si="2">I187</f>
        <v>0.1</v>
      </c>
      <c r="Z63" s="860"/>
      <c r="AA63" s="324">
        <f t="shared" ref="AA63:AA76" si="3">IFERROR(IF(U63&lt;&gt;0,U63,T63)*(IF(J63&lt;&gt;0,IF(Z63&lt;&gt;0,J63*Z63,J63*Y63),((D63*V63)+(E63*W63)+(F63*X63)))),"")</f>
        <v>0</v>
      </c>
      <c r="AB63" s="324">
        <v>0</v>
      </c>
      <c r="AC63" s="860"/>
      <c r="AD63" s="988">
        <f>IFERROR(((Q63-IF(S63&lt;&gt;0,S63,R63))*AA63-IF(AC63&lt;&gt;0,AC63,AB63))*0.001,"")</f>
        <v>0</v>
      </c>
      <c r="AE63" s="988">
        <f>IFERROR(AD63*HLOOKUP(IF($H$30&lt;&gt;0,$H$30,$F$30),'[4]Reference Tables'!$F$85:$I$89,4,FALSE),"")</f>
        <v>0</v>
      </c>
    </row>
    <row r="64" spans="2:31" s="209" customFormat="1" ht="31" customHeight="1">
      <c r="B64" s="1724" t="s">
        <v>1075</v>
      </c>
      <c r="C64" s="2522" t="s">
        <v>1076</v>
      </c>
      <c r="D64" s="2523">
        <f>IFERROR(IF($H$34=1,$H$31,$F$31)*VLOOKUP($F$26,$C$160:$U$180,8,FALSE),"")</f>
        <v>0.72</v>
      </c>
      <c r="E64" s="2523">
        <f>IFERROR(IF($H$34=1,$H$32,$F$32)*VLOOKUP($F$26,$C$160:$U$180,13,FALSE),"")</f>
        <v>0</v>
      </c>
      <c r="F64" s="2523">
        <f>IFERROR(IF($H$34=1,$H$33,$F$33)*VLOOKUP($F$26,$C$160:$U$180,18,FALSE),"")</f>
        <v>0</v>
      </c>
      <c r="G64" s="1723" t="s">
        <v>1077</v>
      </c>
      <c r="H64" s="2545" t="s">
        <v>1078</v>
      </c>
      <c r="I64" s="2546"/>
      <c r="J64" s="1024"/>
      <c r="K64" s="988">
        <f t="shared" si="0"/>
        <v>4000000</v>
      </c>
      <c r="L64" s="324">
        <f t="shared" si="1"/>
        <v>60</v>
      </c>
      <c r="M64" s="860"/>
      <c r="N64" s="324">
        <v>1.25</v>
      </c>
      <c r="O64" s="860"/>
      <c r="P64" s="324">
        <v>365</v>
      </c>
      <c r="Q64" s="988">
        <f t="shared" ref="Q64:Q76" si="4">IFERROR(K64*IF(M64&lt;&gt;0,M64,L64)*IF(O64&lt;&gt;0,O64,N64)*P64*0.001,"")</f>
        <v>109500000</v>
      </c>
      <c r="R64" s="324">
        <v>0</v>
      </c>
      <c r="S64" s="860"/>
      <c r="T64" s="324">
        <v>0.6</v>
      </c>
      <c r="U64" s="860"/>
      <c r="V64" s="2523">
        <f>D189</f>
        <v>0</v>
      </c>
      <c r="W64" s="2523">
        <f>E188</f>
        <v>0.5</v>
      </c>
      <c r="X64" s="2523">
        <f>IFERROR(IF(AND(H34=1,H31&gt;H32),F189,IF(F31&gt;F32,F189,G188)),"")</f>
        <v>0</v>
      </c>
      <c r="Y64" s="1025">
        <f t="shared" si="2"/>
        <v>0.5</v>
      </c>
      <c r="Z64" s="860"/>
      <c r="AA64" s="324">
        <f t="shared" si="3"/>
        <v>0</v>
      </c>
      <c r="AB64" s="324">
        <v>0</v>
      </c>
      <c r="AC64" s="860"/>
      <c r="AD64" s="988">
        <f t="shared" ref="AD64:AD76" si="5">IFERROR(((Q64-IF(S64&lt;&gt;0,S64,R64))*AA64-IF(AC64&lt;&gt;0,AC64,AB64))*0.001,"")</f>
        <v>0</v>
      </c>
      <c r="AE64" s="988">
        <f>IFERROR(AD64*HLOOKUP(IF($H$30&lt;&gt;0,$H$30,$F$30),'[4]Reference Tables'!$F$85:$I$89,4,FALSE),"")</f>
        <v>0</v>
      </c>
    </row>
    <row r="65" spans="2:32" s="209" customFormat="1" ht="31" customHeight="1">
      <c r="B65" s="1724"/>
      <c r="C65" s="2522"/>
      <c r="D65" s="2424"/>
      <c r="E65" s="2424"/>
      <c r="F65" s="2424"/>
      <c r="G65" s="1723" t="s">
        <v>1947</v>
      </c>
      <c r="H65" s="2545" t="s">
        <v>1946</v>
      </c>
      <c r="I65" s="2546"/>
      <c r="J65" s="1024"/>
      <c r="K65" s="988">
        <f t="shared" si="0"/>
        <v>4000000</v>
      </c>
      <c r="L65" s="324">
        <f t="shared" si="1"/>
        <v>60</v>
      </c>
      <c r="M65" s="860"/>
      <c r="N65" s="324">
        <v>1.25</v>
      </c>
      <c r="O65" s="860"/>
      <c r="P65" s="324">
        <v>365</v>
      </c>
      <c r="Q65" s="988">
        <f t="shared" si="4"/>
        <v>109500000</v>
      </c>
      <c r="R65" s="324">
        <v>0</v>
      </c>
      <c r="S65" s="860"/>
      <c r="T65" s="324">
        <v>0.6</v>
      </c>
      <c r="U65" s="860"/>
      <c r="V65" s="2424"/>
      <c r="W65" s="2424"/>
      <c r="X65" s="2424"/>
      <c r="Y65" s="1025">
        <f t="shared" si="2"/>
        <v>0</v>
      </c>
      <c r="Z65" s="860"/>
      <c r="AA65" s="324">
        <f t="shared" si="3"/>
        <v>0</v>
      </c>
      <c r="AB65" s="324">
        <v>0</v>
      </c>
      <c r="AC65" s="860"/>
      <c r="AD65" s="988">
        <f t="shared" si="5"/>
        <v>0</v>
      </c>
      <c r="AE65" s="988">
        <f>IFERROR(AD65*HLOOKUP(IF($H$30&lt;&gt;0,$H$30,$F$30),'[4]Reference Tables'!$F$85:$I$89,4,FALSE),"")</f>
        <v>0</v>
      </c>
    </row>
    <row r="66" spans="2:32" s="209" customFormat="1" ht="31" customHeight="1">
      <c r="B66" s="1725"/>
      <c r="C66" s="1726" t="s">
        <v>1080</v>
      </c>
      <c r="D66" s="324">
        <f>IFERROR(IF($H$34=1,$H$31,$F$31)*VLOOKUP($F$26,$C$160:$U$180,5,FALSE),"")</f>
        <v>0.03</v>
      </c>
      <c r="E66" s="324">
        <f>IFERROR(IF($H$34=1,$H$32,$F$32)*VLOOKUP($F$26,$C$160:$U$180,10,FALSE),"")</f>
        <v>0</v>
      </c>
      <c r="F66" s="324">
        <f>IFERROR(IF($H$34=1,$H$33,$F$33)*VLOOKUP($F$26,$C$160:$U$180,15,FALSE),"")</f>
        <v>0</v>
      </c>
      <c r="G66" s="1723" t="s">
        <v>1080</v>
      </c>
      <c r="H66" s="2545" t="s">
        <v>1081</v>
      </c>
      <c r="I66" s="2546"/>
      <c r="J66" s="1024"/>
      <c r="K66" s="988">
        <f t="shared" si="0"/>
        <v>4000000</v>
      </c>
      <c r="L66" s="324">
        <f t="shared" si="1"/>
        <v>60</v>
      </c>
      <c r="M66" s="860"/>
      <c r="N66" s="324">
        <v>1.25</v>
      </c>
      <c r="O66" s="860"/>
      <c r="P66" s="324">
        <v>365</v>
      </c>
      <c r="Q66" s="988">
        <f t="shared" si="4"/>
        <v>109500000</v>
      </c>
      <c r="R66" s="324">
        <v>0</v>
      </c>
      <c r="S66" s="860"/>
      <c r="T66" s="324">
        <v>0.6</v>
      </c>
      <c r="U66" s="860"/>
      <c r="V66" s="324">
        <f>D190</f>
        <v>0.5</v>
      </c>
      <c r="W66" s="324">
        <f>E190</f>
        <v>0.5</v>
      </c>
      <c r="X66" s="324">
        <f>IFERROR(IF(AND(H34=1,H31&gt;H32),F190,IF(F31&gt;F32,F190,G190)),"")</f>
        <v>0.5</v>
      </c>
      <c r="Y66" s="1025">
        <f t="shared" si="2"/>
        <v>0.5</v>
      </c>
      <c r="Z66" s="860"/>
      <c r="AA66" s="324">
        <f t="shared" si="3"/>
        <v>8.9999999999999993E-3</v>
      </c>
      <c r="AB66" s="324">
        <v>0</v>
      </c>
      <c r="AC66" s="860"/>
      <c r="AD66" s="988">
        <f t="shared" si="5"/>
        <v>985.49999999999989</v>
      </c>
      <c r="AE66" s="988">
        <f>IFERROR(AD66*HLOOKUP(IF($H$30&lt;&gt;0,$H$30,$F$30),'[4]Reference Tables'!$F$85:$I$89,4,FALSE),"")</f>
        <v>27593.999999999996</v>
      </c>
    </row>
    <row r="67" spans="2:32" s="209" customFormat="1" ht="31" customHeight="1">
      <c r="B67" s="1724"/>
      <c r="C67" s="2522" t="s">
        <v>1082</v>
      </c>
      <c r="D67" s="2523">
        <f>IFERROR(IF($H$34=1,$H$31,$F$31)*VLOOKUP($F$26,$C$160:$U$180,6,FALSE),"")</f>
        <v>0</v>
      </c>
      <c r="E67" s="2523">
        <f>IFERROR(IF($H$34=1,$H$32,$F$32)*VLOOKUP($F$26,$C$160:$U$180,11,FALSE),"")</f>
        <v>0</v>
      </c>
      <c r="F67" s="2523">
        <f>IFERROR(IF($H$34=1,$H$33,$F$33)*VLOOKUP($F$26,$C$160:$U$180,16,FALSE),"")</f>
        <v>0</v>
      </c>
      <c r="G67" s="1723" t="s">
        <v>1082</v>
      </c>
      <c r="H67" s="2545" t="s">
        <v>1959</v>
      </c>
      <c r="I67" s="2546"/>
      <c r="J67" s="1024"/>
      <c r="K67" s="988">
        <f t="shared" si="0"/>
        <v>4000000</v>
      </c>
      <c r="L67" s="324">
        <f t="shared" si="1"/>
        <v>60</v>
      </c>
      <c r="M67" s="860"/>
      <c r="N67" s="324">
        <v>1.25</v>
      </c>
      <c r="O67" s="860"/>
      <c r="P67" s="324">
        <v>365</v>
      </c>
      <c r="Q67" s="988">
        <f t="shared" si="4"/>
        <v>109500000</v>
      </c>
      <c r="R67" s="324">
        <v>0</v>
      </c>
      <c r="S67" s="860"/>
      <c r="T67" s="324">
        <v>0.6</v>
      </c>
      <c r="U67" s="860"/>
      <c r="V67" s="2523">
        <f>IF($F$35="Dry",D191,IF($F$35="Wet",D193,"Select climate type"))</f>
        <v>0.7</v>
      </c>
      <c r="W67" s="2523">
        <f>IF($F$35="Dry",E192,IF($F$35="Wet",E193,"Select climate type"))</f>
        <v>0.7</v>
      </c>
      <c r="X67" s="2523">
        <f>IFERROR(IF(AND(H34=1,H31&gt;H32,F35="Dry"),F191,IF(AND(H34=1,H31&gt;H32,F35="Wet"),F193,IF(AND(F31&gt;F32,F35="Dry"),F191,IF(AND(F31&gt;F32,F35="Wet"),F193,IF(F35="Dry",G192,IF(F35="Wet",G193,"Select climate type")))))),"")</f>
        <v>0.7</v>
      </c>
      <c r="Y67" s="1025">
        <f t="shared" si="2"/>
        <v>0.1</v>
      </c>
      <c r="Z67" s="860"/>
      <c r="AA67" s="324">
        <f t="shared" si="3"/>
        <v>0</v>
      </c>
      <c r="AB67" s="324">
        <v>0</v>
      </c>
      <c r="AC67" s="860"/>
      <c r="AD67" s="988">
        <f t="shared" si="5"/>
        <v>0</v>
      </c>
      <c r="AE67" s="988">
        <f>IFERROR(AD67*HLOOKUP(IF($H$30&lt;&gt;0,$H$30,$F$30),'[4]Reference Tables'!$F$85:$I$89,4,FALSE),"")</f>
        <v>0</v>
      </c>
    </row>
    <row r="68" spans="2:32" s="209" customFormat="1" ht="31" customHeight="1">
      <c r="B68" s="1724"/>
      <c r="C68" s="2522"/>
      <c r="D68" s="2524"/>
      <c r="E68" s="2524"/>
      <c r="F68" s="2524"/>
      <c r="G68" s="1723" t="s">
        <v>1082</v>
      </c>
      <c r="H68" s="2545" t="s">
        <v>1958</v>
      </c>
      <c r="I68" s="2546"/>
      <c r="J68" s="1024"/>
      <c r="K68" s="988">
        <f t="shared" si="0"/>
        <v>4000000</v>
      </c>
      <c r="L68" s="324">
        <f t="shared" si="1"/>
        <v>60</v>
      </c>
      <c r="M68" s="860"/>
      <c r="N68" s="324">
        <v>1.25</v>
      </c>
      <c r="O68" s="860"/>
      <c r="P68" s="324">
        <v>365</v>
      </c>
      <c r="Q68" s="988">
        <f t="shared" si="4"/>
        <v>109500000</v>
      </c>
      <c r="R68" s="324">
        <v>0</v>
      </c>
      <c r="S68" s="860"/>
      <c r="T68" s="324">
        <v>0.6</v>
      </c>
      <c r="U68" s="860"/>
      <c r="V68" s="2524"/>
      <c r="W68" s="2524"/>
      <c r="X68" s="2524"/>
      <c r="Y68" s="1025">
        <f t="shared" si="2"/>
        <v>0.5</v>
      </c>
      <c r="Z68" s="860"/>
      <c r="AA68" s="324">
        <f t="shared" si="3"/>
        <v>0</v>
      </c>
      <c r="AB68" s="324">
        <v>0</v>
      </c>
      <c r="AC68" s="860"/>
      <c r="AD68" s="988">
        <f t="shared" si="5"/>
        <v>0</v>
      </c>
      <c r="AE68" s="988">
        <f>IFERROR(AD68*HLOOKUP(IF($H$30&lt;&gt;0,$H$30,$F$30),'[4]Reference Tables'!$F$85:$I$89,4,FALSE),"")</f>
        <v>0</v>
      </c>
    </row>
    <row r="69" spans="2:32" s="209" customFormat="1" ht="31" customHeight="1">
      <c r="B69" s="1724"/>
      <c r="C69" s="2522"/>
      <c r="D69" s="2524"/>
      <c r="E69" s="2524"/>
      <c r="F69" s="2524"/>
      <c r="G69" s="1723" t="s">
        <v>1082</v>
      </c>
      <c r="H69" s="2545" t="s">
        <v>1960</v>
      </c>
      <c r="I69" s="2546"/>
      <c r="J69" s="1024"/>
      <c r="K69" s="988">
        <f t="shared" si="0"/>
        <v>4000000</v>
      </c>
      <c r="L69" s="324">
        <f t="shared" si="1"/>
        <v>60</v>
      </c>
      <c r="M69" s="860"/>
      <c r="N69" s="324">
        <v>1.25</v>
      </c>
      <c r="O69" s="860"/>
      <c r="P69" s="324">
        <v>365</v>
      </c>
      <c r="Q69" s="988">
        <f t="shared" si="4"/>
        <v>109500000</v>
      </c>
      <c r="R69" s="324">
        <v>0</v>
      </c>
      <c r="S69" s="860"/>
      <c r="T69" s="324">
        <v>0.6</v>
      </c>
      <c r="U69" s="860"/>
      <c r="V69" s="2524"/>
      <c r="W69" s="2524"/>
      <c r="X69" s="2524"/>
      <c r="Y69" s="1025">
        <f t="shared" si="2"/>
        <v>0.7</v>
      </c>
      <c r="Z69" s="860"/>
      <c r="AA69" s="324">
        <f t="shared" si="3"/>
        <v>0</v>
      </c>
      <c r="AB69" s="324">
        <v>0</v>
      </c>
      <c r="AC69" s="860"/>
      <c r="AD69" s="988">
        <f t="shared" si="5"/>
        <v>0</v>
      </c>
      <c r="AE69" s="988">
        <f>IFERROR(AD69*HLOOKUP(IF($H$30&lt;&gt;0,$H$30,$F$30),'[4]Reference Tables'!$F$85:$I$89,4,FALSE),"")</f>
        <v>0</v>
      </c>
    </row>
    <row r="70" spans="2:32" s="209" customFormat="1" ht="31" customHeight="1">
      <c r="B70" s="1724" t="s">
        <v>1083</v>
      </c>
      <c r="C70" s="2522"/>
      <c r="D70" s="2424"/>
      <c r="E70" s="2424"/>
      <c r="F70" s="2424"/>
      <c r="G70" s="1723" t="s">
        <v>1082</v>
      </c>
      <c r="H70" s="2545" t="s">
        <v>1084</v>
      </c>
      <c r="I70" s="2546"/>
      <c r="J70" s="1024"/>
      <c r="K70" s="988">
        <f t="shared" si="0"/>
        <v>4000000</v>
      </c>
      <c r="L70" s="324">
        <f t="shared" si="1"/>
        <v>60</v>
      </c>
      <c r="M70" s="860"/>
      <c r="N70" s="324">
        <v>1.25</v>
      </c>
      <c r="O70" s="860"/>
      <c r="P70" s="324">
        <v>365</v>
      </c>
      <c r="Q70" s="988">
        <f t="shared" si="4"/>
        <v>109500000</v>
      </c>
      <c r="R70" s="324">
        <v>0</v>
      </c>
      <c r="S70" s="860"/>
      <c r="T70" s="324">
        <v>0.6</v>
      </c>
      <c r="U70" s="860"/>
      <c r="V70" s="2424"/>
      <c r="W70" s="2424"/>
      <c r="X70" s="2424"/>
      <c r="Y70" s="1025">
        <f t="shared" si="2"/>
        <v>0.1</v>
      </c>
      <c r="Z70" s="860"/>
      <c r="AA70" s="324">
        <f t="shared" si="3"/>
        <v>0</v>
      </c>
      <c r="AB70" s="324">
        <v>0</v>
      </c>
      <c r="AC70" s="860"/>
      <c r="AD70" s="988">
        <f t="shared" si="5"/>
        <v>0</v>
      </c>
      <c r="AE70" s="988">
        <f>IFERROR(AD70*HLOOKUP(IF($H$30&lt;&gt;0,$H$30,$F$30),'[4]Reference Tables'!$F$85:$I$89,4,FALSE),"")</f>
        <v>0</v>
      </c>
    </row>
    <row r="71" spans="2:32" s="209" customFormat="1" ht="31" customHeight="1">
      <c r="B71" s="1724"/>
      <c r="C71" s="2522" t="s">
        <v>197</v>
      </c>
      <c r="D71" s="2523">
        <f>IFERROR(IF($H$34=1,$H$31,$F$31)*VLOOKUP($F$26,$C$160:$U$180,7,FALSE),"")</f>
        <v>0</v>
      </c>
      <c r="E71" s="2523">
        <f>IFERROR(IF($H$34=1,$H$32,$F$32)*VLOOKUP($F$26,$C$160:$U$180,12,FALSE),"")</f>
        <v>0</v>
      </c>
      <c r="F71" s="2523">
        <f>IFERROR(IF($H$34=1,$H$33,$F$33)*VLOOKUP($F$26,$C$160:$U$180,17,FALSE),"")</f>
        <v>0</v>
      </c>
      <c r="G71" s="1723" t="s">
        <v>1948</v>
      </c>
      <c r="H71" s="2545" t="s">
        <v>1086</v>
      </c>
      <c r="I71" s="2546"/>
      <c r="J71" s="1024"/>
      <c r="K71" s="988">
        <f t="shared" si="0"/>
        <v>4000000</v>
      </c>
      <c r="L71" s="324">
        <f t="shared" si="1"/>
        <v>60</v>
      </c>
      <c r="M71" s="860"/>
      <c r="N71" s="324">
        <v>1.25</v>
      </c>
      <c r="O71" s="860"/>
      <c r="P71" s="324">
        <v>365</v>
      </c>
      <c r="Q71" s="988">
        <f t="shared" si="4"/>
        <v>109500000</v>
      </c>
      <c r="R71" s="324">
        <v>0</v>
      </c>
      <c r="S71" s="860"/>
      <c r="T71" s="324">
        <v>0.6</v>
      </c>
      <c r="U71" s="860"/>
      <c r="V71" s="2523">
        <f>D195</f>
        <v>0.1</v>
      </c>
      <c r="W71" s="2523">
        <f>E195</f>
        <v>0.5</v>
      </c>
      <c r="X71" s="2523">
        <f>IFERROR(IF(AND(H34=1,H31&gt;H32),F195,IF(F31&gt;F32,F195,G195)),"")</f>
        <v>0.1</v>
      </c>
      <c r="Y71" s="1025">
        <f t="shared" si="2"/>
        <v>0</v>
      </c>
      <c r="Z71" s="860"/>
      <c r="AA71" s="324">
        <f t="shared" si="3"/>
        <v>0</v>
      </c>
      <c r="AB71" s="324">
        <v>0</v>
      </c>
      <c r="AC71" s="860"/>
      <c r="AD71" s="988">
        <f t="shared" si="5"/>
        <v>0</v>
      </c>
      <c r="AE71" s="988">
        <f>IFERROR(AD71*HLOOKUP(IF($H$30&lt;&gt;0,$H$30,$F$30),'[4]Reference Tables'!$F$85:$I$89,4,FALSE),"")</f>
        <v>0</v>
      </c>
    </row>
    <row r="72" spans="2:32" s="209" customFormat="1" ht="31" customHeight="1">
      <c r="B72" s="1727"/>
      <c r="C72" s="2522"/>
      <c r="D72" s="2524"/>
      <c r="E72" s="2524"/>
      <c r="F72" s="2524"/>
      <c r="G72" s="1723" t="s">
        <v>1948</v>
      </c>
      <c r="H72" s="2545" t="s">
        <v>1087</v>
      </c>
      <c r="I72" s="2546"/>
      <c r="J72" s="1024"/>
      <c r="K72" s="988">
        <f t="shared" si="0"/>
        <v>4000000</v>
      </c>
      <c r="L72" s="324">
        <f t="shared" si="1"/>
        <v>60</v>
      </c>
      <c r="M72" s="860"/>
      <c r="N72" s="324">
        <v>1.25</v>
      </c>
      <c r="O72" s="860"/>
      <c r="P72" s="324">
        <v>365</v>
      </c>
      <c r="Q72" s="988">
        <f t="shared" si="4"/>
        <v>109500000</v>
      </c>
      <c r="R72" s="324">
        <v>0</v>
      </c>
      <c r="S72" s="860"/>
      <c r="T72" s="324">
        <v>0.6</v>
      </c>
      <c r="U72" s="860"/>
      <c r="V72" s="2524"/>
      <c r="W72" s="2524"/>
      <c r="X72" s="2524"/>
      <c r="Y72" s="1025">
        <f t="shared" si="2"/>
        <v>0.3</v>
      </c>
      <c r="Z72" s="860"/>
      <c r="AA72" s="324">
        <f t="shared" si="3"/>
        <v>0</v>
      </c>
      <c r="AB72" s="324">
        <v>0</v>
      </c>
      <c r="AC72" s="860"/>
      <c r="AD72" s="988">
        <f t="shared" si="5"/>
        <v>0</v>
      </c>
      <c r="AE72" s="988">
        <f>IFERROR(AD72*HLOOKUP(IF($H$30&lt;&gt;0,$H$30,$F$30),'[4]Reference Tables'!$F$85:$I$89,4,FALSE),"")</f>
        <v>0</v>
      </c>
    </row>
    <row r="73" spans="2:32" s="209" customFormat="1" ht="31" customHeight="1">
      <c r="B73" s="1727"/>
      <c r="C73" s="2522"/>
      <c r="D73" s="2524"/>
      <c r="E73" s="2524"/>
      <c r="F73" s="2524"/>
      <c r="G73" s="1728" t="s">
        <v>1963</v>
      </c>
      <c r="H73" s="2545" t="s">
        <v>1089</v>
      </c>
      <c r="I73" s="2546"/>
      <c r="J73" s="1024"/>
      <c r="K73" s="988">
        <f t="shared" si="0"/>
        <v>4000000</v>
      </c>
      <c r="L73" s="324">
        <f t="shared" si="1"/>
        <v>60</v>
      </c>
      <c r="M73" s="860"/>
      <c r="N73" s="324">
        <v>1.25</v>
      </c>
      <c r="O73" s="860"/>
      <c r="P73" s="324">
        <v>365</v>
      </c>
      <c r="Q73" s="988">
        <f t="shared" si="4"/>
        <v>109500000</v>
      </c>
      <c r="R73" s="324">
        <v>0</v>
      </c>
      <c r="S73" s="860"/>
      <c r="T73" s="324">
        <v>0.6</v>
      </c>
      <c r="U73" s="860"/>
      <c r="V73" s="2524"/>
      <c r="W73" s="2524"/>
      <c r="X73" s="2524"/>
      <c r="Y73" s="1025">
        <f t="shared" si="2"/>
        <v>0.8</v>
      </c>
      <c r="Z73" s="860"/>
      <c r="AA73" s="324">
        <f t="shared" si="3"/>
        <v>0</v>
      </c>
      <c r="AB73" s="324">
        <v>0</v>
      </c>
      <c r="AC73" s="860"/>
      <c r="AD73" s="988">
        <f t="shared" si="5"/>
        <v>0</v>
      </c>
      <c r="AE73" s="988">
        <f>IFERROR(AD73*HLOOKUP(IF($H$30&lt;&gt;0,$H$30,$F$30),'[4]Reference Tables'!$F$85:$I$89,4,FALSE),"")</f>
        <v>0</v>
      </c>
    </row>
    <row r="74" spans="2:32" s="209" customFormat="1" ht="31" customHeight="1">
      <c r="B74" s="1727"/>
      <c r="C74" s="2522"/>
      <c r="D74" s="2524"/>
      <c r="E74" s="2524"/>
      <c r="F74" s="2524"/>
      <c r="G74" s="1723" t="s">
        <v>1667</v>
      </c>
      <c r="H74" s="2545" t="s">
        <v>1089</v>
      </c>
      <c r="I74" s="2546"/>
      <c r="J74" s="1024"/>
      <c r="K74" s="988">
        <f t="shared" si="0"/>
        <v>4000000</v>
      </c>
      <c r="L74" s="324">
        <f t="shared" si="1"/>
        <v>60</v>
      </c>
      <c r="M74" s="860"/>
      <c r="N74" s="324">
        <v>1.25</v>
      </c>
      <c r="O74" s="860"/>
      <c r="P74" s="324">
        <v>365</v>
      </c>
      <c r="Q74" s="988">
        <f t="shared" si="4"/>
        <v>109500000</v>
      </c>
      <c r="R74" s="324">
        <v>0</v>
      </c>
      <c r="S74" s="860"/>
      <c r="T74" s="324">
        <v>0.6</v>
      </c>
      <c r="U74" s="860"/>
      <c r="V74" s="2524"/>
      <c r="W74" s="2524"/>
      <c r="X74" s="2524"/>
      <c r="Y74" s="1025">
        <f t="shared" si="2"/>
        <v>0.8</v>
      </c>
      <c r="Z74" s="860"/>
      <c r="AA74" s="324">
        <f t="shared" si="3"/>
        <v>0</v>
      </c>
      <c r="AB74" s="324">
        <v>0</v>
      </c>
      <c r="AC74" s="860"/>
      <c r="AD74" s="988">
        <f t="shared" si="5"/>
        <v>0</v>
      </c>
      <c r="AE74" s="988">
        <f>IFERROR(AD74*HLOOKUP(IF($H$30&lt;&gt;0,$H$30,$F$30),'[4]Reference Tables'!$F$85:$I$89,4,FALSE),"")</f>
        <v>0</v>
      </c>
    </row>
    <row r="75" spans="2:32" s="209" customFormat="1" ht="31" customHeight="1">
      <c r="B75" s="1727"/>
      <c r="C75" s="2522"/>
      <c r="D75" s="2524"/>
      <c r="E75" s="2524"/>
      <c r="F75" s="2524"/>
      <c r="G75" s="1728" t="s">
        <v>1090</v>
      </c>
      <c r="H75" s="2545" t="s">
        <v>1091</v>
      </c>
      <c r="I75" s="2546"/>
      <c r="J75" s="1024"/>
      <c r="K75" s="988">
        <f t="shared" si="0"/>
        <v>4000000</v>
      </c>
      <c r="L75" s="324">
        <f t="shared" si="1"/>
        <v>60</v>
      </c>
      <c r="M75" s="860"/>
      <c r="N75" s="324">
        <v>1.25</v>
      </c>
      <c r="O75" s="860"/>
      <c r="P75" s="324">
        <v>365</v>
      </c>
      <c r="Q75" s="988">
        <f t="shared" si="4"/>
        <v>109500000</v>
      </c>
      <c r="R75" s="324">
        <v>0</v>
      </c>
      <c r="S75" s="860"/>
      <c r="T75" s="324">
        <v>0.6</v>
      </c>
      <c r="U75" s="860"/>
      <c r="V75" s="2524"/>
      <c r="W75" s="2524"/>
      <c r="X75" s="2524"/>
      <c r="Y75" s="1025">
        <f t="shared" si="2"/>
        <v>0.2</v>
      </c>
      <c r="Z75" s="860"/>
      <c r="AA75" s="324">
        <f t="shared" si="3"/>
        <v>0</v>
      </c>
      <c r="AB75" s="324">
        <v>0</v>
      </c>
      <c r="AC75" s="860"/>
      <c r="AD75" s="988">
        <f>IFERROR(((Q75-IF(S75&lt;&gt;0,S75,R75))*AA75-IF(AC75&lt;&gt;0,AC75,AB75))*0.001,"")</f>
        <v>0</v>
      </c>
      <c r="AE75" s="988">
        <f>IFERROR(AD75*HLOOKUP(IF($H$30&lt;&gt;0,$H$30,$F$30),'[4]Reference Tables'!$F$85:$I$89,4,FALSE),"")</f>
        <v>0</v>
      </c>
    </row>
    <row r="76" spans="2:32" s="209" customFormat="1" ht="31" customHeight="1">
      <c r="B76" s="1729"/>
      <c r="C76" s="2522"/>
      <c r="D76" s="2424"/>
      <c r="E76" s="2424"/>
      <c r="F76" s="2424"/>
      <c r="G76" s="1723" t="s">
        <v>1092</v>
      </c>
      <c r="H76" s="2545" t="s">
        <v>1093</v>
      </c>
      <c r="I76" s="2546"/>
      <c r="J76" s="1024"/>
      <c r="K76" s="988">
        <f t="shared" si="0"/>
        <v>4000000</v>
      </c>
      <c r="L76" s="324">
        <f t="shared" si="1"/>
        <v>60</v>
      </c>
      <c r="M76" s="860"/>
      <c r="N76" s="324">
        <v>1.25</v>
      </c>
      <c r="O76" s="860"/>
      <c r="P76" s="324">
        <v>365</v>
      </c>
      <c r="Q76" s="988">
        <f t="shared" si="4"/>
        <v>109500000</v>
      </c>
      <c r="R76" s="324">
        <v>0</v>
      </c>
      <c r="S76" s="860"/>
      <c r="T76" s="324">
        <v>0.6</v>
      </c>
      <c r="U76" s="860"/>
      <c r="V76" s="2424"/>
      <c r="W76" s="2424"/>
      <c r="X76" s="2424"/>
      <c r="Y76" s="1025">
        <f t="shared" si="2"/>
        <v>0.8</v>
      </c>
      <c r="Z76" s="860"/>
      <c r="AA76" s="324">
        <f t="shared" si="3"/>
        <v>0</v>
      </c>
      <c r="AB76" s="324">
        <v>0</v>
      </c>
      <c r="AC76" s="860"/>
      <c r="AD76" s="988">
        <f t="shared" si="5"/>
        <v>0</v>
      </c>
      <c r="AE76" s="988">
        <f>IFERROR(AD76*HLOOKUP(IF($H$30&lt;&gt;0,$H$30,$F$30),'[4]Reference Tables'!$F$85:$I$89,4,FALSE),"")</f>
        <v>0</v>
      </c>
    </row>
    <row r="77" spans="2:32" ht="31" customHeight="1">
      <c r="B77" s="318"/>
      <c r="C77" s="318"/>
      <c r="D77" s="318"/>
      <c r="E77" s="318"/>
      <c r="I77" s="328"/>
      <c r="J77" s="740" t="str">
        <f>IF(SUM(J63:J76)&lt;&gt;0,SUM(J63:J76),"")</f>
        <v/>
      </c>
      <c r="K77" s="1090" t="s">
        <v>1094</v>
      </c>
      <c r="AC77" s="862" t="s">
        <v>174</v>
      </c>
      <c r="AD77" s="988">
        <f>SUM(AD63:AD76)</f>
        <v>985.49999999999989</v>
      </c>
      <c r="AE77" s="988">
        <f>SUM(AE63:AE76)</f>
        <v>27593.999999999996</v>
      </c>
    </row>
    <row r="78" spans="2:32" ht="15" customHeight="1">
      <c r="B78" s="329" t="s">
        <v>1513</v>
      </c>
      <c r="C78" s="318"/>
      <c r="D78" s="318"/>
      <c r="E78" s="318"/>
      <c r="AD78" s="1516"/>
      <c r="AF78" s="1516"/>
    </row>
    <row r="79" spans="2:32" ht="15" customHeight="1">
      <c r="B79" s="329" t="s">
        <v>1514</v>
      </c>
      <c r="C79" s="318"/>
      <c r="D79" s="318"/>
      <c r="E79" s="318"/>
    </row>
    <row r="80" spans="2:32" ht="15" customHeight="1">
      <c r="B80" s="329" t="s">
        <v>1515</v>
      </c>
      <c r="C80" s="318"/>
      <c r="D80" s="318"/>
      <c r="E80" s="318"/>
    </row>
    <row r="81" spans="1:35" s="1136" customFormat="1" ht="15" customHeight="1">
      <c r="B81" s="1137" t="s">
        <v>1964</v>
      </c>
      <c r="C81" s="1138"/>
      <c r="D81" s="1138"/>
      <c r="E81" s="1138"/>
    </row>
    <row r="82" spans="1:35" ht="15.75" customHeight="1">
      <c r="B82" s="330" t="s">
        <v>1517</v>
      </c>
      <c r="C82" s="318"/>
      <c r="D82" s="318"/>
      <c r="E82" s="318"/>
    </row>
    <row r="83" spans="1:35" ht="15.75" customHeight="1">
      <c r="B83" s="329" t="s">
        <v>1516</v>
      </c>
      <c r="C83" s="318"/>
      <c r="D83" s="318"/>
      <c r="E83" s="318"/>
    </row>
    <row r="84" spans="1:35" ht="15" customHeight="1">
      <c r="A84" s="318"/>
      <c r="B84" s="330"/>
      <c r="C84" s="330"/>
      <c r="D84" s="318"/>
      <c r="E84" s="318"/>
      <c r="F84" s="318"/>
      <c r="G84" s="318"/>
      <c r="H84" s="331"/>
      <c r="I84" s="318"/>
      <c r="J84" s="318"/>
      <c r="K84" s="318"/>
      <c r="L84" s="318"/>
      <c r="M84" s="318"/>
      <c r="N84" s="318"/>
      <c r="O84" s="318"/>
      <c r="P84" s="318"/>
      <c r="Q84" s="318"/>
      <c r="R84" s="318"/>
      <c r="S84" s="318"/>
      <c r="T84" s="318"/>
      <c r="U84" s="318"/>
      <c r="V84" s="318"/>
      <c r="W84" s="318"/>
      <c r="X84" s="318"/>
      <c r="Y84" s="318"/>
      <c r="Z84" s="318"/>
      <c r="AA84" s="318"/>
      <c r="AB84" s="318"/>
      <c r="AC84" s="318"/>
      <c r="AD84" s="318"/>
      <c r="AE84" s="318"/>
      <c r="AF84" s="318"/>
      <c r="AG84" s="318"/>
      <c r="AH84" s="318"/>
      <c r="AI84" s="318"/>
    </row>
    <row r="85" spans="1:35" s="29" customFormat="1" ht="18" customHeight="1">
      <c r="B85" s="465" t="s">
        <v>1825</v>
      </c>
      <c r="C85" s="229"/>
      <c r="D85" s="229"/>
      <c r="E85" s="230"/>
      <c r="F85" s="229"/>
      <c r="G85" s="229"/>
      <c r="H85" s="465"/>
      <c r="I85" s="232"/>
      <c r="J85" s="232"/>
      <c r="K85" s="30"/>
      <c r="U85" s="234"/>
      <c r="V85" s="234"/>
      <c r="W85" s="234"/>
      <c r="X85" s="234"/>
      <c r="Y85" s="234"/>
    </row>
    <row r="86" spans="1:35" ht="15.75" customHeight="1">
      <c r="B86" s="318"/>
      <c r="C86" s="318"/>
      <c r="D86" s="318"/>
      <c r="E86" s="318"/>
      <c r="K86" s="318"/>
    </row>
    <row r="87" spans="1:35" s="209" customFormat="1" ht="15.75" customHeight="1">
      <c r="B87" s="997" t="s">
        <v>1823</v>
      </c>
      <c r="C87" s="441"/>
      <c r="D87" s="441"/>
      <c r="E87" s="441"/>
      <c r="K87" s="441"/>
    </row>
    <row r="88" spans="1:35" ht="15.75" customHeight="1">
      <c r="B88" s="318"/>
      <c r="C88" s="318"/>
      <c r="D88" s="318"/>
      <c r="E88" s="318"/>
      <c r="K88" s="318"/>
    </row>
    <row r="89" spans="1:35" s="209" customFormat="1" ht="31" customHeight="1">
      <c r="B89" s="1010" t="s">
        <v>1780</v>
      </c>
      <c r="C89" s="1006" t="s">
        <v>1531</v>
      </c>
      <c r="D89" s="1007"/>
      <c r="E89" s="1007"/>
      <c r="F89" s="1007"/>
      <c r="G89" s="1008"/>
      <c r="I89" s="1010" t="s">
        <v>1810</v>
      </c>
      <c r="J89" s="1006" t="s">
        <v>1532</v>
      </c>
      <c r="K89" s="1007"/>
      <c r="L89" s="1007"/>
      <c r="M89" s="1007"/>
      <c r="N89" s="1008"/>
    </row>
    <row r="90" spans="1:35" s="209" customFormat="1" ht="31" customHeight="1">
      <c r="B90" s="1011" t="s">
        <v>1808</v>
      </c>
      <c r="C90" s="1009" t="str">
        <f>"= N2O emissions from wastewater effluent"</f>
        <v>= N2O emissions from wastewater effluent</v>
      </c>
      <c r="D90" s="1009"/>
      <c r="E90" s="1009"/>
      <c r="F90" s="1009"/>
      <c r="G90" s="985"/>
      <c r="I90" s="1014" t="s">
        <v>1050</v>
      </c>
      <c r="J90" s="989" t="str">
        <f>"= Population"</f>
        <v>= Population</v>
      </c>
      <c r="K90" s="989"/>
      <c r="L90" s="989"/>
      <c r="M90" s="989"/>
      <c r="N90" s="986"/>
    </row>
    <row r="91" spans="1:35" s="209" customFormat="1" ht="31" customHeight="1">
      <c r="B91" s="1011" t="s">
        <v>1809</v>
      </c>
      <c r="C91" s="1009" t="str">
        <f>"= N2O emissions from centralised wastewater treatment processes"</f>
        <v>= N2O emissions from centralised wastewater treatment processes</v>
      </c>
      <c r="D91" s="991"/>
      <c r="E91" s="991"/>
      <c r="F91" s="991"/>
      <c r="G91" s="992"/>
      <c r="I91" s="1011" t="s">
        <v>1095</v>
      </c>
      <c r="J91" s="1009" t="str">
        <f>"= Annual per capita protein consumption, kg/person/yr"</f>
        <v>= Annual per capita protein consumption, kg/person/yr</v>
      </c>
      <c r="K91" s="1009"/>
      <c r="L91" s="1009"/>
      <c r="M91" s="1009"/>
      <c r="N91" s="985"/>
    </row>
    <row r="92" spans="1:35" s="209" customFormat="1" ht="31" customHeight="1">
      <c r="B92" s="1012"/>
      <c r="C92" s="441"/>
      <c r="D92" s="441"/>
      <c r="E92" s="441"/>
      <c r="F92" s="441"/>
      <c r="I92" s="1011" t="s">
        <v>1811</v>
      </c>
      <c r="J92" s="1009" t="str">
        <f>"= Fraction of nitrogen in protein; 0.16 kgN per kg protein"</f>
        <v>= Fraction of nitrogen in protein; 0.16 kgN per kg protein</v>
      </c>
      <c r="K92" s="1009"/>
      <c r="L92" s="1009"/>
      <c r="M92" s="1009"/>
      <c r="N92" s="985"/>
    </row>
    <row r="93" spans="1:35" s="209" customFormat="1" ht="31" customHeight="1">
      <c r="B93" s="1013" t="s">
        <v>1816</v>
      </c>
      <c r="C93" s="928" t="s">
        <v>1520</v>
      </c>
      <c r="D93" s="929"/>
      <c r="E93" s="929"/>
      <c r="F93" s="929"/>
      <c r="G93" s="930"/>
      <c r="I93" s="1011" t="s">
        <v>1812</v>
      </c>
      <c r="J93" s="2510" t="str">
        <f>"= Fraction for for non-consumed protein added to wastewater; default 1.1 without garbage disposals, 1.4 with"</f>
        <v>= Fraction for for non-consumed protein added to wastewater; default 1.1 without garbage disposals, 1.4 with</v>
      </c>
      <c r="K93" s="2510"/>
      <c r="L93" s="2510"/>
      <c r="M93" s="2510"/>
      <c r="N93" s="2511"/>
    </row>
    <row r="94" spans="1:35" s="209" customFormat="1" ht="31" customHeight="1">
      <c r="B94" s="1014" t="s">
        <v>1050</v>
      </c>
      <c r="C94" s="989" t="str">
        <f>"= Population"</f>
        <v>= Population</v>
      </c>
      <c r="D94" s="989"/>
      <c r="E94" s="989"/>
      <c r="F94" s="989"/>
      <c r="G94" s="986"/>
      <c r="I94" s="1011" t="s">
        <v>1813</v>
      </c>
      <c r="J94" s="2510" t="str">
        <f>"= Fraction for industrial and commercial co-discarged protein into sewer system; default 1.25"</f>
        <v>= Fraction for industrial and commercial co-discarged protein into sewer system; default 1.25</v>
      </c>
      <c r="K94" s="2510"/>
      <c r="L94" s="2510"/>
      <c r="M94" s="2510"/>
      <c r="N94" s="2511"/>
    </row>
    <row r="95" spans="1:35" s="209" customFormat="1" ht="31" customHeight="1">
      <c r="B95" s="1015" t="s">
        <v>1522</v>
      </c>
      <c r="C95" s="1009" t="str">
        <f>"= Degree of utilisation of modern, centralised WWT plants; default 0%"</f>
        <v>= Degree of utilisation of modern, centralised WWT plants; default 0%</v>
      </c>
      <c r="D95" s="1009"/>
      <c r="E95" s="1009"/>
      <c r="F95" s="1009"/>
      <c r="G95" s="985"/>
      <c r="I95" s="1011" t="s">
        <v>1814</v>
      </c>
      <c r="J95" s="1009" t="str">
        <f>"= Nitrogen removed with sludge, kgN/yr; default 0"</f>
        <v>= Nitrogen removed with sludge, kgN/yr; default 0</v>
      </c>
      <c r="K95" s="1009"/>
      <c r="L95" s="1009"/>
      <c r="M95" s="1009"/>
      <c r="N95" s="985"/>
    </row>
    <row r="96" spans="1:35" s="209" customFormat="1" ht="31" customHeight="1">
      <c r="B96" s="1015" t="s">
        <v>1096</v>
      </c>
      <c r="C96" s="1009" t="str">
        <f>"= Fraction for industrial and commercial co-discarged protein; default 1.25"</f>
        <v>= Fraction for industrial and commercial co-discarged protein; default 1.25</v>
      </c>
      <c r="D96" s="1009"/>
      <c r="E96" s="1009"/>
      <c r="F96" s="1009"/>
      <c r="G96" s="985"/>
      <c r="I96" s="1011" t="s">
        <v>1815</v>
      </c>
      <c r="J96" s="2510" t="str">
        <f>"= Emission factor for N2O emissions from discharge to wastewater, kgN2O-N/kgN2O; default 0.005kgN2O-N/kgN"</f>
        <v>= Emission factor for N2O emissions from discharge to wastewater, kgN2O-N/kgN2O; default 0.005kgN2O-N/kgN</v>
      </c>
      <c r="K96" s="2510"/>
      <c r="L96" s="2510"/>
      <c r="M96" s="2510"/>
      <c r="N96" s="2511"/>
    </row>
    <row r="97" spans="1:35" s="209" customFormat="1" ht="31" customHeight="1">
      <c r="B97" s="1015" t="s">
        <v>1521</v>
      </c>
      <c r="C97" s="1009" t="str">
        <f>"= Emission factor; 0.0032 kgN2O/person/yr"</f>
        <v>= Emission factor; 0.0032 kgN2O/person/yr</v>
      </c>
      <c r="D97" s="1009"/>
      <c r="E97" s="1009"/>
      <c r="F97" s="1009"/>
      <c r="G97" s="985"/>
      <c r="I97" s="1011" t="s">
        <v>1097</v>
      </c>
      <c r="J97" s="1009" t="str">
        <f>"= Conversion of kgN2O-N into kgN2O"</f>
        <v>= Conversion of kgN2O-N into kgN2O</v>
      </c>
      <c r="K97" s="1009"/>
      <c r="L97" s="1009"/>
      <c r="M97" s="1009"/>
      <c r="N97" s="985"/>
    </row>
    <row r="98" spans="1:35" ht="15.75" customHeight="1">
      <c r="K98" s="318"/>
    </row>
    <row r="99" spans="1:35" ht="15.75" customHeight="1">
      <c r="B99" s="997" t="s">
        <v>1824</v>
      </c>
      <c r="K99" s="318"/>
    </row>
    <row r="100" spans="1:35" ht="15.75" customHeight="1">
      <c r="K100" s="318"/>
    </row>
    <row r="101" spans="1:35" s="1125" customFormat="1" ht="15" customHeight="1">
      <c r="A101" s="1124"/>
      <c r="B101" s="2542" t="s">
        <v>1034</v>
      </c>
      <c r="C101" s="2512" t="s">
        <v>1949</v>
      </c>
      <c r="D101" s="2512" t="s">
        <v>1098</v>
      </c>
      <c r="E101" s="2512"/>
      <c r="F101" s="2512" t="s">
        <v>1930</v>
      </c>
      <c r="G101" s="2512" t="s">
        <v>1931</v>
      </c>
      <c r="H101" s="2512"/>
      <c r="I101" s="2512" t="s">
        <v>1950</v>
      </c>
      <c r="J101" s="2512"/>
      <c r="K101" s="2512" t="s">
        <v>1932</v>
      </c>
      <c r="L101" s="2512"/>
      <c r="M101" s="2512" t="s">
        <v>1933</v>
      </c>
      <c r="N101" s="2512"/>
      <c r="O101" s="2512" t="s">
        <v>1952</v>
      </c>
      <c r="P101" s="2512"/>
      <c r="Q101" s="2514" t="s">
        <v>1934</v>
      </c>
      <c r="R101" s="2515"/>
    </row>
    <row r="102" spans="1:35" s="1125" customFormat="1" ht="15" customHeight="1">
      <c r="A102" s="1124"/>
      <c r="B102" s="2543"/>
      <c r="C102" s="2435"/>
      <c r="D102" s="2435"/>
      <c r="E102" s="2435"/>
      <c r="F102" s="2435"/>
      <c r="G102" s="2435"/>
      <c r="H102" s="2435"/>
      <c r="I102" s="2435"/>
      <c r="J102" s="2435"/>
      <c r="K102" s="2435"/>
      <c r="L102" s="2435"/>
      <c r="M102" s="2435"/>
      <c r="N102" s="2435"/>
      <c r="O102" s="2435" t="s">
        <v>1530</v>
      </c>
      <c r="P102" s="2435" t="s">
        <v>1529</v>
      </c>
      <c r="Q102" s="2516" t="s">
        <v>1951</v>
      </c>
      <c r="R102" s="2518" t="s">
        <v>1827</v>
      </c>
      <c r="S102" s="1124"/>
      <c r="T102" s="1124"/>
      <c r="U102" s="1124"/>
      <c r="V102" s="1124"/>
      <c r="W102" s="1124"/>
      <c r="X102" s="1124"/>
    </row>
    <row r="103" spans="1:35" s="1125" customFormat="1" ht="15" customHeight="1">
      <c r="A103" s="1124"/>
      <c r="B103" s="2544"/>
      <c r="C103" s="2513"/>
      <c r="D103" s="2513"/>
      <c r="E103" s="2513"/>
      <c r="F103" s="2513"/>
      <c r="G103" s="2513"/>
      <c r="H103" s="2513"/>
      <c r="I103" s="2513"/>
      <c r="J103" s="2513"/>
      <c r="K103" s="2513"/>
      <c r="L103" s="2513"/>
      <c r="M103" s="2513"/>
      <c r="N103" s="2513"/>
      <c r="O103" s="2513"/>
      <c r="P103" s="2513"/>
      <c r="Q103" s="2517"/>
      <c r="R103" s="2519"/>
    </row>
    <row r="104" spans="1:35" s="323" customFormat="1" ht="15" customHeight="1">
      <c r="A104" s="1126"/>
      <c r="B104" s="1730" t="s">
        <v>1168</v>
      </c>
      <c r="C104" s="1128" t="s">
        <v>1024</v>
      </c>
      <c r="D104" s="1129" t="s">
        <v>1935</v>
      </c>
      <c r="E104" s="1128" t="s">
        <v>1024</v>
      </c>
      <c r="F104" s="1128" t="s">
        <v>1023</v>
      </c>
      <c r="G104" s="1130" t="s">
        <v>1936</v>
      </c>
      <c r="H104" s="1128" t="s">
        <v>1024</v>
      </c>
      <c r="I104" s="1130" t="s">
        <v>1023</v>
      </c>
      <c r="J104" s="1128" t="s">
        <v>1024</v>
      </c>
      <c r="K104" s="1128" t="s">
        <v>1023</v>
      </c>
      <c r="L104" s="1128" t="s">
        <v>1024</v>
      </c>
      <c r="M104" s="1128" t="s">
        <v>1023</v>
      </c>
      <c r="N104" s="1128" t="s">
        <v>1024</v>
      </c>
      <c r="O104" s="1730" t="s">
        <v>1168</v>
      </c>
      <c r="P104" s="1730" t="s">
        <v>1168</v>
      </c>
      <c r="Q104" s="1730" t="s">
        <v>1168</v>
      </c>
      <c r="R104" s="1129" t="s">
        <v>1168</v>
      </c>
      <c r="S104" s="1126"/>
      <c r="T104" s="1126"/>
      <c r="U104" s="1126"/>
      <c r="V104" s="1126"/>
      <c r="W104" s="1126"/>
      <c r="X104" s="1126"/>
      <c r="Y104" s="1"/>
      <c r="Z104" s="1"/>
      <c r="AA104" s="1"/>
      <c r="AB104" s="1"/>
      <c r="AC104" s="1"/>
      <c r="AD104" s="1"/>
      <c r="AE104" s="1"/>
    </row>
    <row r="105" spans="1:35" s="265" customFormat="1" ht="31" customHeight="1">
      <c r="A105" s="441"/>
      <c r="B105" s="839">
        <f>IF(F29="","Enter population",F29)</f>
        <v>4000000</v>
      </c>
      <c r="C105" s="1016">
        <v>0</v>
      </c>
      <c r="D105" s="1135">
        <f>IFERROR((VLOOKUP(F27,B268:G494,6,FALSE)*365/1000),"Select country")</f>
        <v>40.880000000000003</v>
      </c>
      <c r="E105" s="860"/>
      <c r="F105" s="324">
        <v>0.16</v>
      </c>
      <c r="G105" s="1135" t="str">
        <f>IF(F28="Garbage disposals","1,4",IF(F28="No garbage disposals","1,1","Select garbage disposal"))</f>
        <v>1,4</v>
      </c>
      <c r="H105" s="860"/>
      <c r="I105" s="324">
        <v>1.25</v>
      </c>
      <c r="J105" s="860"/>
      <c r="K105" s="324">
        <f>IF(ISBLANK(B105),"",0)</f>
        <v>0</v>
      </c>
      <c r="L105" s="1017"/>
      <c r="M105" s="324">
        <v>5.0000000000000001E-3</v>
      </c>
      <c r="N105" s="1017"/>
      <c r="O105" s="988">
        <f>IFERROR((((((B105*(1-C105)*IF(E105&lt;&gt;"",E105,D105)*F105*IF(H105&lt;&gt;"",H105,G105)*IF(J105&lt;&gt;"",J105,I105))-IF(L105&lt;&gt;"",L105,K105))*IF(N105&lt;&gt;"",N105,M105))*44/28)),"")</f>
        <v>359744</v>
      </c>
      <c r="P105" s="988">
        <f>IFERROR((B105*C105*IF(J105&lt;&gt;0,J105,I105)*(3.2/1000)),"")</f>
        <v>0</v>
      </c>
      <c r="Q105" s="988">
        <f>IFERROR((O105+P105)*0.001,"")</f>
        <v>359.74400000000003</v>
      </c>
      <c r="R105" s="988">
        <f>IFERROR((Q105*HLOOKUP(IF(H30&lt;&gt;0,H30,F30),'[4]Reference Tables'!F85:I89,5,FALSE)),"")</f>
        <v>95332.160000000003</v>
      </c>
    </row>
    <row r="106" spans="1:35" ht="15" customHeight="1">
      <c r="A106" s="318"/>
      <c r="B106" s="330"/>
      <c r="C106" s="330"/>
      <c r="D106" s="318"/>
      <c r="E106" s="318"/>
      <c r="F106" s="318"/>
      <c r="G106" s="318"/>
      <c r="H106" s="331"/>
      <c r="I106" s="318"/>
      <c r="J106" s="318"/>
      <c r="K106" s="318"/>
      <c r="N106" s="318"/>
      <c r="O106" s="318"/>
      <c r="R106" s="318"/>
      <c r="S106" s="318"/>
      <c r="T106" s="318"/>
      <c r="U106" s="318"/>
      <c r="V106" s="318"/>
      <c r="W106" s="318"/>
      <c r="X106" s="318"/>
      <c r="AF106" s="318"/>
      <c r="AG106" s="318"/>
      <c r="AH106" s="318"/>
      <c r="AI106" s="318"/>
    </row>
    <row r="107" spans="1:35" ht="15" customHeight="1">
      <c r="A107" s="318"/>
      <c r="B107" s="439" t="s">
        <v>1099</v>
      </c>
      <c r="C107" s="330"/>
      <c r="D107" s="318"/>
      <c r="E107" s="318"/>
      <c r="F107" s="318"/>
      <c r="G107" s="318"/>
      <c r="H107" s="331"/>
      <c r="I107" s="318"/>
      <c r="J107" s="318"/>
      <c r="K107" s="318"/>
      <c r="N107" s="318"/>
      <c r="O107" s="318"/>
      <c r="R107" s="318"/>
      <c r="S107" s="318"/>
      <c r="T107" s="318"/>
      <c r="U107" s="318"/>
      <c r="V107" s="318"/>
      <c r="W107" s="318"/>
      <c r="X107" s="318"/>
      <c r="AF107" s="318"/>
      <c r="AG107" s="318"/>
      <c r="AH107" s="318"/>
      <c r="AI107" s="318"/>
    </row>
    <row r="108" spans="1:35" ht="15" customHeight="1">
      <c r="A108" s="318"/>
      <c r="B108" s="439" t="s">
        <v>1100</v>
      </c>
      <c r="C108" s="330"/>
      <c r="D108" s="318"/>
      <c r="E108" s="318"/>
      <c r="F108" s="318"/>
      <c r="G108" s="318"/>
      <c r="H108" s="331"/>
      <c r="I108" s="318"/>
      <c r="J108" s="318"/>
      <c r="K108" s="318"/>
      <c r="L108" s="318"/>
      <c r="M108" s="318"/>
      <c r="N108" s="318"/>
      <c r="O108" s="318"/>
      <c r="R108" s="318"/>
      <c r="S108" s="318"/>
      <c r="T108" s="318"/>
      <c r="U108" s="318"/>
      <c r="V108" s="318"/>
      <c r="W108" s="318"/>
      <c r="X108" s="318"/>
      <c r="AF108" s="318"/>
      <c r="AG108" s="318"/>
      <c r="AH108" s="318"/>
      <c r="AI108" s="318"/>
    </row>
    <row r="109" spans="1:35" ht="15" customHeight="1">
      <c r="B109" s="440" t="s">
        <v>1519</v>
      </c>
      <c r="C109" s="330"/>
      <c r="D109" s="318"/>
      <c r="E109" s="318"/>
      <c r="F109" s="318"/>
      <c r="G109" s="318"/>
      <c r="H109" s="331"/>
      <c r="I109" s="318"/>
      <c r="J109" s="318"/>
      <c r="K109" s="318"/>
      <c r="L109" s="318"/>
      <c r="M109" s="318"/>
      <c r="N109" s="318"/>
      <c r="O109" s="318"/>
      <c r="P109" s="280"/>
      <c r="R109" s="318"/>
      <c r="S109" s="318"/>
      <c r="T109" s="318"/>
      <c r="U109" s="318"/>
      <c r="V109" s="318"/>
      <c r="W109" s="318"/>
      <c r="X109" s="318"/>
      <c r="AF109" s="318"/>
      <c r="AG109" s="318"/>
      <c r="AH109" s="318"/>
      <c r="AI109" s="318"/>
    </row>
    <row r="110" spans="1:35" ht="15" customHeight="1">
      <c r="A110" s="318"/>
      <c r="B110" s="441" t="s">
        <v>1518</v>
      </c>
      <c r="C110" s="330"/>
      <c r="D110" s="318"/>
      <c r="E110" s="318"/>
      <c r="F110" s="318"/>
      <c r="G110" s="318"/>
      <c r="H110" s="331"/>
      <c r="I110" s="318"/>
      <c r="J110" s="318"/>
      <c r="K110" s="318"/>
      <c r="L110" s="318"/>
      <c r="M110" s="318"/>
      <c r="N110" s="318"/>
      <c r="O110" s="318"/>
      <c r="R110" s="318"/>
      <c r="S110" s="318"/>
      <c r="T110" s="318"/>
      <c r="U110" s="318"/>
      <c r="V110" s="318"/>
      <c r="W110" s="318"/>
      <c r="X110" s="318"/>
      <c r="AF110" s="318"/>
      <c r="AG110" s="318"/>
      <c r="AH110" s="318"/>
      <c r="AI110" s="318"/>
    </row>
    <row r="112" spans="1:35" s="29" customFormat="1" ht="18">
      <c r="A112"/>
      <c r="B112" s="465" t="s">
        <v>1955</v>
      </c>
      <c r="C112" s="229"/>
      <c r="D112" s="229"/>
      <c r="E112" s="621"/>
      <c r="F112" s="229"/>
      <c r="G112" s="229"/>
      <c r="H112" s="465"/>
      <c r="I112" s="232"/>
      <c r="J112" s="232"/>
      <c r="K112" s="30"/>
      <c r="U112" s="234"/>
      <c r="V112" s="234"/>
      <c r="W112" s="234"/>
      <c r="X112" s="234"/>
      <c r="Y112" s="234"/>
    </row>
    <row r="113" spans="1:40" s="334" customFormat="1" ht="15.75" customHeight="1">
      <c r="A113" s="332"/>
      <c r="B113" s="332"/>
      <c r="C113" s="332"/>
      <c r="D113" s="332"/>
      <c r="E113" s="332"/>
      <c r="F113" s="332"/>
      <c r="G113" s="332"/>
      <c r="H113" s="332"/>
      <c r="I113" s="318"/>
      <c r="J113" s="335"/>
      <c r="K113" s="335"/>
      <c r="L113" s="335"/>
      <c r="M113" s="335"/>
      <c r="N113" s="336"/>
      <c r="O113" s="336"/>
      <c r="P113" s="332"/>
      <c r="Q113" s="332"/>
      <c r="R113" s="332"/>
      <c r="S113" s="332"/>
      <c r="T113" s="332"/>
      <c r="U113" s="332"/>
      <c r="V113" s="332"/>
      <c r="W113" s="332"/>
      <c r="X113" s="332"/>
      <c r="Y113" s="318"/>
      <c r="Z113" s="332"/>
      <c r="AA113" s="332"/>
      <c r="AB113" s="332"/>
      <c r="AI113" s="332"/>
    </row>
    <row r="114" spans="1:40" s="29" customFormat="1" ht="18" customHeight="1">
      <c r="B114" s="465" t="s">
        <v>1956</v>
      </c>
      <c r="C114" s="229"/>
      <c r="D114" s="229"/>
      <c r="E114" s="230"/>
      <c r="F114" s="229"/>
      <c r="G114" s="229"/>
      <c r="H114" s="465"/>
      <c r="I114" s="232"/>
      <c r="J114" s="232"/>
      <c r="K114" s="30"/>
      <c r="U114" s="234"/>
      <c r="V114" s="234"/>
      <c r="W114" s="234"/>
      <c r="X114" s="234"/>
      <c r="Y114" s="234"/>
    </row>
    <row r="115" spans="1:40" s="334" customFormat="1" ht="15" customHeight="1">
      <c r="A115" s="332"/>
      <c r="B115" s="338"/>
      <c r="C115" s="338"/>
      <c r="D115" s="338"/>
      <c r="E115" s="338"/>
      <c r="F115" s="338"/>
      <c r="G115" s="338"/>
      <c r="H115" s="338"/>
      <c r="I115" s="332"/>
      <c r="J115" s="332"/>
      <c r="K115" s="332"/>
      <c r="L115" s="332"/>
      <c r="M115" s="332"/>
      <c r="N115" s="332"/>
      <c r="O115" s="332"/>
      <c r="P115" s="332"/>
      <c r="Q115" s="332"/>
      <c r="R115" s="332"/>
      <c r="S115" s="332"/>
      <c r="T115" s="332"/>
      <c r="U115" s="332"/>
      <c r="V115" s="332"/>
      <c r="W115" s="332"/>
      <c r="X115" s="332"/>
      <c r="Y115" s="332"/>
      <c r="Z115" s="332"/>
      <c r="AA115" s="2569"/>
      <c r="AB115" s="2570"/>
    </row>
    <row r="116" spans="1:40" s="334" customFormat="1" ht="15" customHeight="1">
      <c r="A116" s="332"/>
      <c r="B116" s="997" t="s">
        <v>1823</v>
      </c>
      <c r="C116" s="338"/>
      <c r="D116" s="338"/>
      <c r="E116" s="338"/>
      <c r="F116" s="338"/>
      <c r="G116" s="338"/>
      <c r="H116" s="338"/>
      <c r="I116" s="332"/>
      <c r="J116" s="332"/>
      <c r="K116" s="332"/>
      <c r="L116" s="332"/>
      <c r="M116" s="332"/>
      <c r="N116" s="332"/>
      <c r="O116" s="332"/>
      <c r="P116" s="332"/>
      <c r="Q116" s="332"/>
      <c r="R116" s="332"/>
      <c r="S116" s="332"/>
      <c r="T116" s="332"/>
      <c r="U116" s="332"/>
      <c r="V116" s="332"/>
      <c r="W116" s="332"/>
      <c r="X116" s="332"/>
      <c r="Y116" s="332"/>
      <c r="Z116" s="332"/>
      <c r="AA116" s="963"/>
      <c r="AB116" s="964"/>
    </row>
    <row r="117" spans="1:40" s="334" customFormat="1" ht="15" customHeight="1">
      <c r="A117" s="332"/>
      <c r="B117" s="338"/>
      <c r="C117" s="338"/>
      <c r="D117" s="338"/>
      <c r="E117" s="338"/>
      <c r="F117" s="338"/>
      <c r="G117" s="338"/>
      <c r="H117" s="338"/>
      <c r="I117" s="332"/>
      <c r="J117" s="332"/>
      <c r="K117" s="332"/>
      <c r="L117" s="332"/>
      <c r="M117" s="332"/>
      <c r="N117" s="332"/>
      <c r="O117" s="332"/>
      <c r="P117" s="332"/>
      <c r="Q117" s="332"/>
      <c r="R117" s="332"/>
      <c r="S117" s="332"/>
      <c r="T117" s="332"/>
      <c r="U117" s="332"/>
      <c r="V117" s="332"/>
      <c r="W117" s="332"/>
      <c r="X117" s="332"/>
      <c r="Y117" s="332"/>
      <c r="Z117" s="332"/>
      <c r="AA117" s="963"/>
      <c r="AB117" s="964"/>
    </row>
    <row r="118" spans="1:40" s="1020" customFormat="1" ht="31" customHeight="1">
      <c r="A118" s="1018"/>
      <c r="B118" s="1013" t="s">
        <v>1668</v>
      </c>
      <c r="C118" s="917" t="str">
        <f>"= Σi [ ( TOWi - Si) * EFi - Ri ] * 0.001"</f>
        <v>= Σi [ ( TOWi - Si) * EFi - Ri ] * 0.001</v>
      </c>
      <c r="D118" s="918"/>
      <c r="E118" s="918"/>
      <c r="F118" s="918"/>
      <c r="G118" s="1019"/>
      <c r="I118" s="993" t="s">
        <v>1049</v>
      </c>
      <c r="J118" s="928" t="str">
        <f>"= [ WW * COD ]"</f>
        <v>= [ WW * COD ]</v>
      </c>
      <c r="K118" s="929"/>
      <c r="L118" s="929"/>
      <c r="M118" s="929"/>
      <c r="N118" s="930"/>
      <c r="P118" s="993" t="s">
        <v>45</v>
      </c>
      <c r="Q118" s="928" t="str">
        <f>"= B * MCF * T"</f>
        <v>= B * MCF * T</v>
      </c>
      <c r="R118" s="929"/>
      <c r="S118" s="929"/>
      <c r="T118" s="929"/>
      <c r="U118" s="930"/>
      <c r="V118" s="1018"/>
      <c r="W118" s="1018"/>
      <c r="X118" s="1018"/>
      <c r="Y118" s="1018"/>
      <c r="Z118" s="1018"/>
      <c r="AA118" s="741"/>
      <c r="AB118" s="742"/>
    </row>
    <row r="119" spans="1:40" s="1023" customFormat="1" ht="31" customHeight="1">
      <c r="A119" s="1021"/>
      <c r="B119" s="994" t="s">
        <v>1046</v>
      </c>
      <c r="C119" s="989" t="str">
        <f>"= Organic content of wastewater, kgCOD"</f>
        <v>= Organic content of wastewater, kgCOD</v>
      </c>
      <c r="D119" s="989"/>
      <c r="E119" s="989"/>
      <c r="F119" s="989"/>
      <c r="G119" s="986"/>
      <c r="I119" s="995" t="s">
        <v>1441</v>
      </c>
      <c r="J119" s="989" t="str">
        <f>"= Population"</f>
        <v>= Population</v>
      </c>
      <c r="K119" s="990"/>
      <c r="L119" s="989"/>
      <c r="M119" s="989"/>
      <c r="N119" s="986"/>
      <c r="P119" s="995" t="s">
        <v>1052</v>
      </c>
      <c r="Q119" s="990" t="str">
        <f>"= Maximum CH4 producing capacity; default 0.6kgCH4/kgBOD"</f>
        <v>= Maximum CH4 producing capacity; default 0.6kgCH4/kgBOD</v>
      </c>
      <c r="R119" s="990"/>
      <c r="S119" s="989"/>
      <c r="T119" s="989"/>
      <c r="U119" s="986"/>
      <c r="V119" s="1021"/>
      <c r="W119" s="1021"/>
      <c r="X119" s="1021"/>
      <c r="Y119" s="1021"/>
      <c r="Z119" s="1021"/>
      <c r="AA119" s="963"/>
      <c r="AB119" s="964"/>
    </row>
    <row r="120" spans="1:40" s="1023" customFormat="1" ht="31" customHeight="1">
      <c r="A120" s="1021"/>
      <c r="B120" s="995" t="s">
        <v>1047</v>
      </c>
      <c r="C120" s="990" t="str">
        <f>"= Organic component removed as sludge, kgCOD/yr; default 0"</f>
        <v>= Organic component removed as sludge, kgCOD/yr; default 0</v>
      </c>
      <c r="D120" s="990"/>
      <c r="E120" s="990"/>
      <c r="F120" s="990"/>
      <c r="G120" s="987"/>
      <c r="I120" s="996" t="s">
        <v>1442</v>
      </c>
      <c r="J120" s="991" t="str">
        <f>"= Chemical oxygen demand, kg/m3"</f>
        <v>= Chemical oxygen demand, kg/m3</v>
      </c>
      <c r="K120" s="991"/>
      <c r="L120" s="991"/>
      <c r="M120" s="991"/>
      <c r="N120" s="992"/>
      <c r="P120" s="995" t="s">
        <v>1053</v>
      </c>
      <c r="Q120" s="990" t="str">
        <f>"= Methane correction factor (fraction)"</f>
        <v>= Methane correction factor (fraction)</v>
      </c>
      <c r="R120" s="990"/>
      <c r="S120" s="990"/>
      <c r="T120" s="990"/>
      <c r="U120" s="987"/>
      <c r="V120" s="1021"/>
      <c r="W120" s="1021"/>
      <c r="X120" s="1021"/>
      <c r="Y120" s="1021"/>
      <c r="Z120" s="1021"/>
      <c r="AA120" s="963"/>
      <c r="AB120" s="964"/>
    </row>
    <row r="121" spans="1:40" s="1023" customFormat="1" ht="31" customHeight="1">
      <c r="A121" s="1021"/>
      <c r="B121" s="995" t="s">
        <v>45</v>
      </c>
      <c r="C121" s="990" t="str">
        <f>"= Emission factor, kgCH4 per kg COD"</f>
        <v>= Emission factor, kgCH4 per kg COD</v>
      </c>
      <c r="D121" s="990"/>
      <c r="E121" s="990"/>
      <c r="F121" s="990"/>
      <c r="G121" s="987"/>
      <c r="I121" s="1022"/>
      <c r="J121" s="1021"/>
      <c r="K121" s="1021"/>
      <c r="L121" s="1021"/>
      <c r="M121" s="1021"/>
      <c r="N121" s="1021"/>
      <c r="P121" s="996" t="s">
        <v>911</v>
      </c>
      <c r="Q121" s="991" t="str">
        <f>"= Degree of utilisation of treatment method"</f>
        <v>= Degree of utilisation of treatment method</v>
      </c>
      <c r="R121" s="991"/>
      <c r="S121" s="991"/>
      <c r="T121" s="991"/>
      <c r="U121" s="992"/>
      <c r="V121" s="1021"/>
      <c r="W121" s="1021"/>
      <c r="X121" s="1021"/>
      <c r="Y121" s="1021"/>
      <c r="Z121" s="1021"/>
      <c r="AA121" s="963"/>
      <c r="AB121" s="964"/>
    </row>
    <row r="122" spans="1:40" s="1023" customFormat="1" ht="31" customHeight="1">
      <c r="A122" s="1021"/>
      <c r="B122" s="996" t="s">
        <v>1048</v>
      </c>
      <c r="C122" s="991" t="str">
        <f>"= Amount of CH4 recovered, kgCH4/yr; default 0"</f>
        <v>= Amount of CH4 recovered, kgCH4/yr; default 0</v>
      </c>
      <c r="D122" s="991"/>
      <c r="E122" s="991"/>
      <c r="F122" s="991"/>
      <c r="G122" s="992"/>
      <c r="H122" s="1022"/>
      <c r="I122" s="1021"/>
      <c r="J122" s="1021"/>
      <c r="K122" s="1021"/>
      <c r="L122" s="1021"/>
      <c r="M122" s="1021"/>
      <c r="N122" s="1021"/>
      <c r="O122" s="1021"/>
      <c r="P122" s="1021"/>
      <c r="Q122" s="1021"/>
      <c r="R122" s="1021"/>
      <c r="S122" s="1021"/>
      <c r="T122" s="1021"/>
      <c r="U122" s="1021"/>
      <c r="V122" s="1021"/>
      <c r="W122" s="1021"/>
      <c r="X122" s="1021"/>
      <c r="Y122" s="1021"/>
      <c r="Z122" s="1021"/>
      <c r="AA122" s="963"/>
      <c r="AB122" s="964"/>
    </row>
    <row r="123" spans="1:40" s="334" customFormat="1" ht="15" customHeight="1">
      <c r="A123" s="332"/>
      <c r="B123" s="320"/>
      <c r="C123" s="320"/>
      <c r="D123" s="320"/>
      <c r="E123" s="320"/>
      <c r="F123" s="396"/>
      <c r="G123" s="338"/>
      <c r="H123" s="338"/>
      <c r="I123" s="332"/>
      <c r="J123" s="332"/>
      <c r="K123" s="332"/>
      <c r="L123" s="332"/>
      <c r="M123" s="332"/>
      <c r="N123" s="332"/>
      <c r="O123" s="332"/>
      <c r="P123" s="332"/>
      <c r="Q123" s="332"/>
      <c r="R123" s="332"/>
      <c r="S123" s="332"/>
      <c r="T123" s="332"/>
      <c r="U123" s="332"/>
      <c r="V123" s="332"/>
      <c r="W123" s="332"/>
      <c r="X123" s="332"/>
      <c r="Y123" s="332"/>
      <c r="Z123" s="332"/>
      <c r="AA123" s="639"/>
      <c r="AB123" s="640"/>
    </row>
    <row r="124" spans="1:40" ht="15" customHeight="1">
      <c r="A124" s="332"/>
      <c r="B124" s="997" t="s">
        <v>1824</v>
      </c>
    </row>
    <row r="125" spans="1:40" ht="15.75" customHeight="1">
      <c r="A125" s="332"/>
    </row>
    <row r="126" spans="1:40" ht="15" customHeight="1">
      <c r="B126" s="2302" t="s">
        <v>1101</v>
      </c>
      <c r="C126" s="2303"/>
      <c r="D126" s="2320" t="s">
        <v>1102</v>
      </c>
      <c r="E126" s="2385"/>
      <c r="F126" s="2320" t="s">
        <v>1103</v>
      </c>
      <c r="G126" s="2385"/>
      <c r="H126" s="2320" t="s">
        <v>1104</v>
      </c>
      <c r="I126" s="2385"/>
      <c r="J126" s="2289" t="s">
        <v>1440</v>
      </c>
      <c r="K126" s="2312"/>
      <c r="L126" s="2312"/>
      <c r="M126" s="2290"/>
      <c r="N126" s="2309" t="s">
        <v>1105</v>
      </c>
      <c r="O126" s="2310"/>
      <c r="P126" s="2310"/>
      <c r="Q126" s="2310"/>
      <c r="R126" s="2310"/>
      <c r="S126" s="2310"/>
      <c r="T126" s="2310"/>
      <c r="U126" s="2311"/>
      <c r="V126" s="2320" t="s">
        <v>1106</v>
      </c>
      <c r="W126" s="2385"/>
      <c r="X126" s="2289" t="s">
        <v>1508</v>
      </c>
      <c r="Y126" s="2312"/>
      <c r="Z126" s="2312"/>
      <c r="AA126" s="2312"/>
      <c r="AB126" s="2312"/>
      <c r="AC126" s="2312"/>
      <c r="AD126" s="2312"/>
      <c r="AE126" s="2312"/>
      <c r="AF126" s="2312"/>
      <c r="AG126" s="2312"/>
      <c r="AH126" s="2312"/>
      <c r="AI126" s="2312"/>
      <c r="AJ126" s="2312"/>
      <c r="AK126" s="2312"/>
      <c r="AL126" s="2283" t="s">
        <v>1669</v>
      </c>
      <c r="AM126" s="2566" t="s">
        <v>1666</v>
      </c>
      <c r="AN126" s="2567"/>
    </row>
    <row r="127" spans="1:40" ht="15" customHeight="1">
      <c r="B127" s="797" t="s">
        <v>919</v>
      </c>
      <c r="C127" s="798" t="s">
        <v>1107</v>
      </c>
      <c r="D127" s="2322"/>
      <c r="E127" s="2493"/>
      <c r="F127" s="2322"/>
      <c r="G127" s="2493"/>
      <c r="H127" s="2322"/>
      <c r="I127" s="2493"/>
      <c r="J127" s="2320" t="s">
        <v>1108</v>
      </c>
      <c r="K127" s="2385"/>
      <c r="L127" s="2320" t="s">
        <v>1109</v>
      </c>
      <c r="M127" s="2370"/>
      <c r="N127" s="2552" t="s">
        <v>1110</v>
      </c>
      <c r="O127" s="2552" t="s">
        <v>1111</v>
      </c>
      <c r="P127" s="2552" t="s">
        <v>1088</v>
      </c>
      <c r="Q127" s="2552" t="s">
        <v>1507</v>
      </c>
      <c r="R127" s="2552" t="s">
        <v>1112</v>
      </c>
      <c r="S127" s="2552" t="s">
        <v>1113</v>
      </c>
      <c r="T127" s="2552" t="s">
        <v>1073</v>
      </c>
      <c r="U127" s="2315" t="s">
        <v>1040</v>
      </c>
      <c r="V127" s="2322"/>
      <c r="W127" s="2493"/>
      <c r="X127" s="2561" t="s">
        <v>1110</v>
      </c>
      <c r="Y127" s="2562"/>
      <c r="Z127" s="2561" t="s">
        <v>1111</v>
      </c>
      <c r="AA127" s="2562"/>
      <c r="AB127" s="2561" t="s">
        <v>1509</v>
      </c>
      <c r="AC127" s="2562"/>
      <c r="AD127" s="2561" t="s">
        <v>1510</v>
      </c>
      <c r="AE127" s="2562"/>
      <c r="AF127" s="2561" t="s">
        <v>1112</v>
      </c>
      <c r="AG127" s="2562"/>
      <c r="AH127" s="2561" t="s">
        <v>1113</v>
      </c>
      <c r="AI127" s="2562"/>
      <c r="AJ127" s="2561" t="s">
        <v>1073</v>
      </c>
      <c r="AK127" s="2571"/>
      <c r="AL127" s="2565"/>
      <c r="AM127" s="2283" t="s">
        <v>1826</v>
      </c>
      <c r="AN127" s="2494" t="s">
        <v>1827</v>
      </c>
    </row>
    <row r="128" spans="1:40" ht="15" customHeight="1">
      <c r="B128" s="838" t="s">
        <v>1114</v>
      </c>
      <c r="C128" s="799" t="s">
        <v>1115</v>
      </c>
      <c r="D128" s="2324"/>
      <c r="E128" s="2496"/>
      <c r="F128" s="2324"/>
      <c r="G128" s="2496"/>
      <c r="H128" s="2324"/>
      <c r="I128" s="2496"/>
      <c r="J128" s="2324"/>
      <c r="K128" s="2496"/>
      <c r="L128" s="2324"/>
      <c r="M128" s="2372"/>
      <c r="N128" s="2552"/>
      <c r="O128" s="2552"/>
      <c r="P128" s="2552"/>
      <c r="Q128" s="2552"/>
      <c r="R128" s="2552"/>
      <c r="S128" s="2552"/>
      <c r="T128" s="2552"/>
      <c r="U128" s="2317"/>
      <c r="V128" s="2324"/>
      <c r="W128" s="2496"/>
      <c r="X128" s="2563"/>
      <c r="Y128" s="2564"/>
      <c r="Z128" s="2563"/>
      <c r="AA128" s="2564"/>
      <c r="AB128" s="2563"/>
      <c r="AC128" s="2564"/>
      <c r="AD128" s="2563"/>
      <c r="AE128" s="2564"/>
      <c r="AF128" s="2563"/>
      <c r="AG128" s="2564"/>
      <c r="AH128" s="2563"/>
      <c r="AI128" s="2564"/>
      <c r="AJ128" s="2563"/>
      <c r="AK128" s="2572"/>
      <c r="AL128" s="2495"/>
      <c r="AM128" s="2285"/>
      <c r="AN128" s="2495"/>
    </row>
    <row r="129" spans="1:40" s="323" customFormat="1" ht="15" customHeight="1">
      <c r="B129" s="1730" t="s">
        <v>2554</v>
      </c>
      <c r="C129" s="1129" t="s">
        <v>1168</v>
      </c>
      <c r="D129" s="1128" t="s">
        <v>1935</v>
      </c>
      <c r="E129" s="1128" t="s">
        <v>1024</v>
      </c>
      <c r="F129" s="1128" t="s">
        <v>1935</v>
      </c>
      <c r="G129" s="1128" t="s">
        <v>1024</v>
      </c>
      <c r="H129" s="1128" t="s">
        <v>1023</v>
      </c>
      <c r="I129" s="1128" t="s">
        <v>1024</v>
      </c>
      <c r="J129" s="1128" t="s">
        <v>1023</v>
      </c>
      <c r="K129" s="1128" t="s">
        <v>1024</v>
      </c>
      <c r="L129" s="1128" t="s">
        <v>1023</v>
      </c>
      <c r="M129" s="1134" t="s">
        <v>1024</v>
      </c>
      <c r="N129" s="1129" t="s">
        <v>1168</v>
      </c>
      <c r="O129" s="1129" t="s">
        <v>1168</v>
      </c>
      <c r="P129" s="1129" t="s">
        <v>1168</v>
      </c>
      <c r="Q129" s="1129" t="s">
        <v>1168</v>
      </c>
      <c r="R129" s="1129" t="s">
        <v>1168</v>
      </c>
      <c r="S129" s="1129" t="s">
        <v>1168</v>
      </c>
      <c r="T129" s="1129" t="s">
        <v>1168</v>
      </c>
      <c r="U129" s="1129" t="s">
        <v>1168</v>
      </c>
      <c r="V129" s="1128" t="s">
        <v>1023</v>
      </c>
      <c r="W129" s="1128" t="s">
        <v>1024</v>
      </c>
      <c r="X129" s="1128" t="s">
        <v>1023</v>
      </c>
      <c r="Y129" s="1128" t="s">
        <v>1024</v>
      </c>
      <c r="Z129" s="1128" t="s">
        <v>1023</v>
      </c>
      <c r="AA129" s="1128" t="s">
        <v>1024</v>
      </c>
      <c r="AB129" s="1128" t="s">
        <v>1023</v>
      </c>
      <c r="AC129" s="1128" t="s">
        <v>1024</v>
      </c>
      <c r="AD129" s="1128" t="s">
        <v>1023</v>
      </c>
      <c r="AE129" s="1128" t="s">
        <v>1024</v>
      </c>
      <c r="AF129" s="1128" t="s">
        <v>1023</v>
      </c>
      <c r="AG129" s="1128" t="s">
        <v>1024</v>
      </c>
      <c r="AH129" s="1128" t="s">
        <v>1023</v>
      </c>
      <c r="AI129" s="1128" t="s">
        <v>1024</v>
      </c>
      <c r="AJ129" s="1128" t="s">
        <v>1023</v>
      </c>
      <c r="AK129" s="1134" t="s">
        <v>1024</v>
      </c>
      <c r="AL129" s="1129" t="s">
        <v>1168</v>
      </c>
      <c r="AM129" s="1129" t="s">
        <v>1168</v>
      </c>
      <c r="AN129" s="1129" t="s">
        <v>1168</v>
      </c>
    </row>
    <row r="130" spans="1:40" s="265" customFormat="1" ht="31" customHeight="1">
      <c r="B130" s="1139" t="s">
        <v>1183</v>
      </c>
      <c r="C130" s="210">
        <v>50000</v>
      </c>
      <c r="D130" s="324">
        <f>IF(ISBLANK(B130)," ",VLOOKUP(B130,$B$231:$C$246,2,FALSE))</f>
        <v>6.3</v>
      </c>
      <c r="E130" s="860"/>
      <c r="F130" s="324">
        <f>IF(ISBLANK(B130)," ",VLOOKUP(B130,$B$231:$E$246,4,FALSE))</f>
        <v>2.9</v>
      </c>
      <c r="G130" s="860"/>
      <c r="H130" s="1032">
        <f>IF(ISBLANK(C130),"",C130*(IF(ISBLANK(E130),D130,E130)*(IF(ISBLANK(G130),F130,G130))))</f>
        <v>913500</v>
      </c>
      <c r="I130" s="860"/>
      <c r="J130" s="1033">
        <f>IF(ISBLANK(B130),"",0)</f>
        <v>0</v>
      </c>
      <c r="K130" s="1017"/>
      <c r="L130" s="1033">
        <f>IF(ISBLANK(B130),"",0)</f>
        <v>0</v>
      </c>
      <c r="M130" s="1017"/>
      <c r="N130" s="1016">
        <v>0.1</v>
      </c>
      <c r="O130" s="1016">
        <v>0.1</v>
      </c>
      <c r="P130" s="1016">
        <v>0.1</v>
      </c>
      <c r="Q130" s="1016">
        <v>0.2</v>
      </c>
      <c r="R130" s="1016">
        <v>0.2</v>
      </c>
      <c r="S130" s="1016">
        <v>0.3</v>
      </c>
      <c r="T130" s="1016">
        <v>0.2</v>
      </c>
      <c r="U130" s="1016">
        <f>IF(SUM(N130:T130)=0,"",SUM(N130:T130))</f>
        <v>1.2</v>
      </c>
      <c r="V130" s="1034">
        <f>IF(ISBLANK(B130),"",0.25)</f>
        <v>0.25</v>
      </c>
      <c r="W130" s="860"/>
      <c r="X130" s="1034">
        <f>IF(ISBLANK($N130),"",$E$255)</f>
        <v>0</v>
      </c>
      <c r="Y130" s="860"/>
      <c r="Z130" s="1034">
        <f t="shared" ref="Z130:Z144" si="6">IF(ISBLANK($O130),"",$E$256)</f>
        <v>0.3</v>
      </c>
      <c r="AA130" s="860"/>
      <c r="AB130" s="1034">
        <f t="shared" ref="AB130:AB144" si="7">IF(ISBLANK($P130),"",$E$257)</f>
        <v>0.8</v>
      </c>
      <c r="AC130" s="860"/>
      <c r="AD130" s="1034">
        <f t="shared" ref="AD130:AD144" si="8">IF(ISBLANK($Q130),"",$E$258)</f>
        <v>0.8</v>
      </c>
      <c r="AE130" s="860"/>
      <c r="AF130" s="1034">
        <f t="shared" ref="AF130:AF144" si="9">IF(ISBLANK($R130),"",$E$259)</f>
        <v>0.2</v>
      </c>
      <c r="AG130" s="860"/>
      <c r="AH130" s="1034">
        <f t="shared" ref="AH130:AH144" si="10">IF(ISBLANK($S130),"",$E$260)</f>
        <v>0.8</v>
      </c>
      <c r="AI130" s="860"/>
      <c r="AJ130" s="1034">
        <f t="shared" ref="AJ130:AJ144" si="11">IF(ISBLANK($T130),"",$E$261)</f>
        <v>0.1</v>
      </c>
      <c r="AK130" s="1035"/>
      <c r="AL130" s="341">
        <f t="shared" ref="AL130:AL144" si="12">IF(ISBLANK(B130),"",IF(W130="",V130,W130*(IF(N130="",0,N130)*IF(Y130="",X130,Y130)+IF(O130="",0,O130)*IF(AA130="",Z130,AA130)+IF(P130="",0,P130)*IF(AC130="",AB130,AC130)+IF(Q130="",0,Q130)*IF(AE130="",AD130,AE130)+IF(R130="",0,R130)*IF(AG130="",AF130,AG130)+IF(S130="",0,S130)*IF(AI130="",AH130,AI130)+IF(T130="",0,T130)*IF(AK130="",AJ130,AK130))))</f>
        <v>0.25</v>
      </c>
      <c r="AM130" s="342">
        <f>IF(AL130="","",((IF(I130&lt;&gt;0,I130,H130)-IF(K130&lt;&gt;0,K130,J130))*AL130-IF(M130&lt;&gt;0,M130,L130))*0.001)</f>
        <v>228.375</v>
      </c>
      <c r="AN130" s="1036">
        <f>IF(AM130="","",AM130*HLOOKUP(IF($H$30&lt;&gt;0,$H$30,$F$30),'[4]Reference Tables'!$F$85:$I$89,4,FALSE))</f>
        <v>6394.5</v>
      </c>
    </row>
    <row r="131" spans="1:40" s="1023" customFormat="1" ht="31" customHeight="1">
      <c r="A131" s="1021"/>
      <c r="B131" s="1139" t="s">
        <v>1192</v>
      </c>
      <c r="C131" s="210">
        <v>100000</v>
      </c>
      <c r="D131" s="324">
        <f t="shared" ref="D131:D144" si="13">IF(ISBLANK(B131)," ",VLOOKUP(B131,$B$231:$C$246,2,FALSE))</f>
        <v>13</v>
      </c>
      <c r="E131" s="860"/>
      <c r="F131" s="324">
        <f t="shared" ref="F131:F144" si="14">IF(ISBLANK(B131)," ",VLOOKUP(B131,$B$231:$E$246,4,FALSE))</f>
        <v>2.5</v>
      </c>
      <c r="G131" s="860"/>
      <c r="H131" s="1032">
        <f>IF(ISBLANK(C131),"",C131*(IF(ISBLANK(E131),D131,E131)*(IF(ISBLANK(G131),F131,G131))))</f>
        <v>3250000</v>
      </c>
      <c r="I131" s="860"/>
      <c r="J131" s="1033">
        <f t="shared" ref="J131:J144" si="15">IF(ISBLANK(B131),"",0)</f>
        <v>0</v>
      </c>
      <c r="K131" s="1017"/>
      <c r="L131" s="1033">
        <f t="shared" ref="L131:L144" si="16">IF(ISBLANK(B131),"",0)</f>
        <v>0</v>
      </c>
      <c r="M131" s="1017"/>
      <c r="N131" s="743">
        <v>0.2</v>
      </c>
      <c r="O131" s="1016">
        <v>0.35</v>
      </c>
      <c r="P131" s="743">
        <v>0.2</v>
      </c>
      <c r="Q131" s="1016">
        <v>0.1</v>
      </c>
      <c r="R131" s="743">
        <v>0.1</v>
      </c>
      <c r="S131" s="1016">
        <v>0.15</v>
      </c>
      <c r="T131" s="743">
        <v>0.1</v>
      </c>
      <c r="U131" s="1016">
        <f t="shared" ref="U131:U144" si="17">IF(SUM(N131:T131)=0,"",SUM(N131:T131))</f>
        <v>1.2</v>
      </c>
      <c r="V131" s="1034">
        <f t="shared" ref="V131:V144" si="18">IF(ISBLANK(B131),"",0.25)</f>
        <v>0.25</v>
      </c>
      <c r="W131" s="860"/>
      <c r="X131" s="1034">
        <f t="shared" ref="X131:X144" si="19">IF(ISBLANK($N131),"",$E$255)</f>
        <v>0</v>
      </c>
      <c r="Y131" s="860"/>
      <c r="Z131" s="1034">
        <f t="shared" si="6"/>
        <v>0.3</v>
      </c>
      <c r="AA131" s="860"/>
      <c r="AB131" s="1034">
        <f t="shared" si="7"/>
        <v>0.8</v>
      </c>
      <c r="AC131" s="860"/>
      <c r="AD131" s="1034">
        <f t="shared" si="8"/>
        <v>0.8</v>
      </c>
      <c r="AE131" s="860"/>
      <c r="AF131" s="1034">
        <f t="shared" si="9"/>
        <v>0.2</v>
      </c>
      <c r="AG131" s="860"/>
      <c r="AH131" s="1034">
        <f t="shared" si="10"/>
        <v>0.8</v>
      </c>
      <c r="AI131" s="860"/>
      <c r="AJ131" s="1034">
        <f t="shared" si="11"/>
        <v>0.1</v>
      </c>
      <c r="AK131" s="1035"/>
      <c r="AL131" s="341">
        <f t="shared" si="12"/>
        <v>0.25</v>
      </c>
      <c r="AM131" s="744">
        <f t="shared" ref="AM131:AM144" si="20">IF(AL131="","",((IF(I131&lt;&gt;0,I131,H131)-IF(K131&lt;&gt;0,K131,J131))*AL131-IF(M131&lt;&gt;0,M131,L131))*0.001)</f>
        <v>812.5</v>
      </c>
      <c r="AN131" s="1037">
        <f>IF(AM131="","",AM131*HLOOKUP(IF($H$30&lt;&gt;0,$H$30,$F$30),'[4]Reference Tables'!$F$85:$I$89,4,FALSE))</f>
        <v>22750</v>
      </c>
    </row>
    <row r="132" spans="1:40" s="1023" customFormat="1" ht="31" customHeight="1">
      <c r="A132" s="1021"/>
      <c r="B132" s="1139" t="s">
        <v>1198</v>
      </c>
      <c r="C132" s="210">
        <v>250000</v>
      </c>
      <c r="D132" s="324">
        <f t="shared" si="13"/>
        <v>0.6</v>
      </c>
      <c r="E132" s="860"/>
      <c r="F132" s="324">
        <f t="shared" si="14"/>
        <v>1</v>
      </c>
      <c r="G132" s="860"/>
      <c r="H132" s="1032">
        <f t="shared" ref="H132:H144" si="21">IF(ISBLANK(C132),"",C132*(IF(ISBLANK(E132),D132,E132)*(IF(ISBLANK(G132),F132,G132))))</f>
        <v>150000</v>
      </c>
      <c r="I132" s="860"/>
      <c r="J132" s="1033">
        <f t="shared" si="15"/>
        <v>0</v>
      </c>
      <c r="K132" s="1017"/>
      <c r="L132" s="1033">
        <f t="shared" si="16"/>
        <v>0</v>
      </c>
      <c r="M132" s="1017"/>
      <c r="N132" s="743">
        <v>0.1</v>
      </c>
      <c r="O132" s="743">
        <v>0.1</v>
      </c>
      <c r="P132" s="743">
        <v>0.1</v>
      </c>
      <c r="Q132" s="743">
        <v>0.1</v>
      </c>
      <c r="R132" s="743">
        <v>0.1</v>
      </c>
      <c r="S132" s="743">
        <v>0.1</v>
      </c>
      <c r="T132" s="743">
        <v>0.1</v>
      </c>
      <c r="U132" s="1016">
        <f t="shared" si="17"/>
        <v>0.7</v>
      </c>
      <c r="V132" s="1034">
        <f t="shared" si="18"/>
        <v>0.25</v>
      </c>
      <c r="W132" s="860"/>
      <c r="X132" s="1034">
        <f t="shared" si="19"/>
        <v>0</v>
      </c>
      <c r="Y132" s="860"/>
      <c r="Z132" s="1034">
        <f t="shared" si="6"/>
        <v>0.3</v>
      </c>
      <c r="AA132" s="860"/>
      <c r="AB132" s="1034">
        <f t="shared" si="7"/>
        <v>0.8</v>
      </c>
      <c r="AC132" s="860"/>
      <c r="AD132" s="1034">
        <f t="shared" si="8"/>
        <v>0.8</v>
      </c>
      <c r="AE132" s="860"/>
      <c r="AF132" s="1034">
        <f t="shared" si="9"/>
        <v>0.2</v>
      </c>
      <c r="AG132" s="860"/>
      <c r="AH132" s="1034">
        <f t="shared" si="10"/>
        <v>0.8</v>
      </c>
      <c r="AI132" s="860"/>
      <c r="AJ132" s="1034">
        <f t="shared" si="11"/>
        <v>0.1</v>
      </c>
      <c r="AK132" s="860"/>
      <c r="AL132" s="341">
        <f t="shared" si="12"/>
        <v>0.25</v>
      </c>
      <c r="AM132" s="342">
        <f t="shared" si="20"/>
        <v>37.5</v>
      </c>
      <c r="AN132" s="1036">
        <f>IF(AM132="","",AM132*HLOOKUP(IF($H$30&lt;&gt;0,$H$30,$F$30),'[4]Reference Tables'!$F$85:$I$89,4,FALSE))</f>
        <v>1050</v>
      </c>
    </row>
    <row r="133" spans="1:40" s="1023" customFormat="1" ht="31" customHeight="1">
      <c r="A133" s="1021"/>
      <c r="B133" s="1139"/>
      <c r="C133" s="210"/>
      <c r="D133" s="324" t="str">
        <f t="shared" si="13"/>
        <v xml:space="preserve"> </v>
      </c>
      <c r="E133" s="860"/>
      <c r="F133" s="324" t="str">
        <f t="shared" si="14"/>
        <v xml:space="preserve"> </v>
      </c>
      <c r="G133" s="860"/>
      <c r="H133" s="1032" t="str">
        <f t="shared" si="21"/>
        <v/>
      </c>
      <c r="I133" s="860"/>
      <c r="J133" s="1033" t="str">
        <f t="shared" si="15"/>
        <v/>
      </c>
      <c r="K133" s="1017"/>
      <c r="L133" s="1033" t="str">
        <f t="shared" si="16"/>
        <v/>
      </c>
      <c r="M133" s="1017"/>
      <c r="N133" s="743"/>
      <c r="O133" s="1016"/>
      <c r="P133" s="743"/>
      <c r="Q133" s="1016"/>
      <c r="R133" s="743"/>
      <c r="S133" s="1016"/>
      <c r="T133" s="743"/>
      <c r="U133" s="1016" t="str">
        <f t="shared" si="17"/>
        <v/>
      </c>
      <c r="V133" s="1034" t="str">
        <f t="shared" si="18"/>
        <v/>
      </c>
      <c r="W133" s="860"/>
      <c r="X133" s="1034" t="str">
        <f t="shared" si="19"/>
        <v/>
      </c>
      <c r="Y133" s="860"/>
      <c r="Z133" s="1034" t="str">
        <f t="shared" si="6"/>
        <v/>
      </c>
      <c r="AA133" s="860"/>
      <c r="AB133" s="1034" t="str">
        <f t="shared" si="7"/>
        <v/>
      </c>
      <c r="AC133" s="860"/>
      <c r="AD133" s="1034" t="str">
        <f t="shared" si="8"/>
        <v/>
      </c>
      <c r="AE133" s="860"/>
      <c r="AF133" s="1034" t="str">
        <f t="shared" si="9"/>
        <v/>
      </c>
      <c r="AG133" s="860"/>
      <c r="AH133" s="1034" t="str">
        <f t="shared" si="10"/>
        <v/>
      </c>
      <c r="AI133" s="860"/>
      <c r="AJ133" s="1034" t="str">
        <f t="shared" si="11"/>
        <v/>
      </c>
      <c r="AK133" s="860"/>
      <c r="AL133" s="341" t="str">
        <f t="shared" si="12"/>
        <v/>
      </c>
      <c r="AM133" s="342" t="str">
        <f t="shared" si="20"/>
        <v/>
      </c>
      <c r="AN133" s="1036" t="str">
        <f>IF(AM133="","",AM133*HLOOKUP(IF($H$30&lt;&gt;0,$H$30,$F$30),'[4]Reference Tables'!$F$85:$I$89,4,FALSE))</f>
        <v/>
      </c>
    </row>
    <row r="134" spans="1:40" s="1023" customFormat="1" ht="31" customHeight="1">
      <c r="A134" s="1021"/>
      <c r="B134" s="1139"/>
      <c r="C134" s="210"/>
      <c r="D134" s="324" t="str">
        <f t="shared" si="13"/>
        <v xml:space="preserve"> </v>
      </c>
      <c r="E134" s="860"/>
      <c r="F134" s="324" t="str">
        <f t="shared" si="14"/>
        <v xml:space="preserve"> </v>
      </c>
      <c r="G134" s="860"/>
      <c r="H134" s="1032" t="str">
        <f t="shared" si="21"/>
        <v/>
      </c>
      <c r="I134" s="860"/>
      <c r="J134" s="1033" t="str">
        <f t="shared" si="15"/>
        <v/>
      </c>
      <c r="K134" s="1017"/>
      <c r="L134" s="1033" t="str">
        <f t="shared" si="16"/>
        <v/>
      </c>
      <c r="M134" s="1017"/>
      <c r="N134" s="743"/>
      <c r="O134" s="1016"/>
      <c r="P134" s="743"/>
      <c r="Q134" s="1016"/>
      <c r="R134" s="743"/>
      <c r="S134" s="1016"/>
      <c r="T134" s="743"/>
      <c r="U134" s="1016" t="str">
        <f t="shared" si="17"/>
        <v/>
      </c>
      <c r="V134" s="1034" t="str">
        <f t="shared" si="18"/>
        <v/>
      </c>
      <c r="W134" s="860"/>
      <c r="X134" s="1034" t="str">
        <f t="shared" si="19"/>
        <v/>
      </c>
      <c r="Y134" s="860"/>
      <c r="Z134" s="1034" t="str">
        <f t="shared" si="6"/>
        <v/>
      </c>
      <c r="AA134" s="860"/>
      <c r="AB134" s="1034" t="str">
        <f t="shared" si="7"/>
        <v/>
      </c>
      <c r="AC134" s="860"/>
      <c r="AD134" s="1034" t="str">
        <f t="shared" si="8"/>
        <v/>
      </c>
      <c r="AE134" s="860"/>
      <c r="AF134" s="1034" t="str">
        <f t="shared" si="9"/>
        <v/>
      </c>
      <c r="AG134" s="860"/>
      <c r="AH134" s="1034" t="str">
        <f t="shared" si="10"/>
        <v/>
      </c>
      <c r="AI134" s="860"/>
      <c r="AJ134" s="1034" t="str">
        <f t="shared" si="11"/>
        <v/>
      </c>
      <c r="AK134" s="860"/>
      <c r="AL134" s="341" t="str">
        <f t="shared" si="12"/>
        <v/>
      </c>
      <c r="AM134" s="342" t="str">
        <f t="shared" si="20"/>
        <v/>
      </c>
      <c r="AN134" s="1036" t="str">
        <f>IF(AM134="","",AM134*HLOOKUP(IF($H$30&lt;&gt;0,$H$30,$F$30),'[4]Reference Tables'!$F$85:$I$89,4,FALSE))</f>
        <v/>
      </c>
    </row>
    <row r="135" spans="1:40" s="1023" customFormat="1" ht="31" customHeight="1">
      <c r="A135" s="1021"/>
      <c r="B135" s="1139"/>
      <c r="C135" s="210"/>
      <c r="D135" s="324" t="str">
        <f t="shared" si="13"/>
        <v xml:space="preserve"> </v>
      </c>
      <c r="E135" s="860"/>
      <c r="F135" s="324" t="str">
        <f t="shared" si="14"/>
        <v xml:space="preserve"> </v>
      </c>
      <c r="G135" s="860"/>
      <c r="H135" s="1032" t="str">
        <f t="shared" si="21"/>
        <v/>
      </c>
      <c r="I135" s="860"/>
      <c r="J135" s="1033" t="str">
        <f t="shared" si="15"/>
        <v/>
      </c>
      <c r="K135" s="1017"/>
      <c r="L135" s="1033" t="str">
        <f t="shared" si="16"/>
        <v/>
      </c>
      <c r="M135" s="1017"/>
      <c r="N135" s="743"/>
      <c r="O135" s="1016"/>
      <c r="P135" s="743"/>
      <c r="Q135" s="1016"/>
      <c r="R135" s="743"/>
      <c r="S135" s="1016"/>
      <c r="T135" s="743"/>
      <c r="U135" s="1016" t="str">
        <f t="shared" si="17"/>
        <v/>
      </c>
      <c r="V135" s="1034" t="str">
        <f t="shared" si="18"/>
        <v/>
      </c>
      <c r="W135" s="860"/>
      <c r="X135" s="1034" t="str">
        <f t="shared" si="19"/>
        <v/>
      </c>
      <c r="Y135" s="860"/>
      <c r="Z135" s="1034" t="str">
        <f t="shared" si="6"/>
        <v/>
      </c>
      <c r="AA135" s="860"/>
      <c r="AB135" s="1034" t="str">
        <f t="shared" si="7"/>
        <v/>
      </c>
      <c r="AC135" s="860"/>
      <c r="AD135" s="1034" t="str">
        <f t="shared" si="8"/>
        <v/>
      </c>
      <c r="AE135" s="860"/>
      <c r="AF135" s="1034" t="str">
        <f t="shared" si="9"/>
        <v/>
      </c>
      <c r="AG135" s="860"/>
      <c r="AH135" s="1034" t="str">
        <f t="shared" si="10"/>
        <v/>
      </c>
      <c r="AI135" s="860"/>
      <c r="AJ135" s="1034" t="str">
        <f t="shared" si="11"/>
        <v/>
      </c>
      <c r="AK135" s="860"/>
      <c r="AL135" s="341" t="str">
        <f t="shared" si="12"/>
        <v/>
      </c>
      <c r="AM135" s="342" t="str">
        <f t="shared" si="20"/>
        <v/>
      </c>
      <c r="AN135" s="1036" t="str">
        <f>IF(AM135="","",AM135*HLOOKUP(IF($H$30&lt;&gt;0,$H$30,$F$30),'[4]Reference Tables'!$F$85:$I$89,4,FALSE))</f>
        <v/>
      </c>
    </row>
    <row r="136" spans="1:40" s="1023" customFormat="1" ht="31" customHeight="1">
      <c r="A136" s="1021"/>
      <c r="B136" s="1139"/>
      <c r="C136" s="210"/>
      <c r="D136" s="324" t="str">
        <f t="shared" si="13"/>
        <v xml:space="preserve"> </v>
      </c>
      <c r="E136" s="860"/>
      <c r="F136" s="324" t="str">
        <f t="shared" si="14"/>
        <v xml:space="preserve"> </v>
      </c>
      <c r="G136" s="860"/>
      <c r="H136" s="1032" t="str">
        <f t="shared" si="21"/>
        <v/>
      </c>
      <c r="I136" s="860"/>
      <c r="J136" s="1033" t="str">
        <f t="shared" si="15"/>
        <v/>
      </c>
      <c r="K136" s="1017"/>
      <c r="L136" s="1033" t="str">
        <f t="shared" si="16"/>
        <v/>
      </c>
      <c r="M136" s="1017"/>
      <c r="N136" s="743"/>
      <c r="O136" s="1016"/>
      <c r="P136" s="743"/>
      <c r="Q136" s="1016"/>
      <c r="R136" s="743"/>
      <c r="S136" s="1016"/>
      <c r="T136" s="743"/>
      <c r="U136" s="1016" t="str">
        <f t="shared" si="17"/>
        <v/>
      </c>
      <c r="V136" s="1034" t="str">
        <f t="shared" si="18"/>
        <v/>
      </c>
      <c r="W136" s="860"/>
      <c r="X136" s="1034" t="str">
        <f t="shared" si="19"/>
        <v/>
      </c>
      <c r="Y136" s="860"/>
      <c r="Z136" s="1034" t="str">
        <f t="shared" si="6"/>
        <v/>
      </c>
      <c r="AA136" s="860"/>
      <c r="AB136" s="1034" t="str">
        <f t="shared" si="7"/>
        <v/>
      </c>
      <c r="AC136" s="860"/>
      <c r="AD136" s="1034" t="str">
        <f t="shared" si="8"/>
        <v/>
      </c>
      <c r="AE136" s="860"/>
      <c r="AF136" s="1034" t="str">
        <f t="shared" si="9"/>
        <v/>
      </c>
      <c r="AG136" s="860"/>
      <c r="AH136" s="1034" t="str">
        <f t="shared" si="10"/>
        <v/>
      </c>
      <c r="AI136" s="860"/>
      <c r="AJ136" s="1034" t="str">
        <f t="shared" si="11"/>
        <v/>
      </c>
      <c r="AK136" s="860"/>
      <c r="AL136" s="341" t="str">
        <f t="shared" si="12"/>
        <v/>
      </c>
      <c r="AM136" s="342" t="str">
        <f t="shared" si="20"/>
        <v/>
      </c>
      <c r="AN136" s="1036" t="str">
        <f>IF(AM136="","",AM136*HLOOKUP(IF($H$30&lt;&gt;0,$H$30,$F$30),'[4]Reference Tables'!$F$85:$I$89,4,FALSE))</f>
        <v/>
      </c>
    </row>
    <row r="137" spans="1:40" s="1023" customFormat="1" ht="31" customHeight="1">
      <c r="A137" s="1021"/>
      <c r="B137" s="1139"/>
      <c r="C137" s="210"/>
      <c r="D137" s="324" t="str">
        <f t="shared" si="13"/>
        <v xml:space="preserve"> </v>
      </c>
      <c r="E137" s="860"/>
      <c r="F137" s="324" t="str">
        <f t="shared" si="14"/>
        <v xml:space="preserve"> </v>
      </c>
      <c r="G137" s="860"/>
      <c r="H137" s="1032" t="str">
        <f t="shared" si="21"/>
        <v/>
      </c>
      <c r="I137" s="860"/>
      <c r="J137" s="1033" t="str">
        <f t="shared" si="15"/>
        <v/>
      </c>
      <c r="K137" s="1017"/>
      <c r="L137" s="1033" t="str">
        <f t="shared" si="16"/>
        <v/>
      </c>
      <c r="M137" s="1017"/>
      <c r="N137" s="743"/>
      <c r="O137" s="1016"/>
      <c r="P137" s="743"/>
      <c r="Q137" s="1016"/>
      <c r="R137" s="743"/>
      <c r="S137" s="1016"/>
      <c r="T137" s="743"/>
      <c r="U137" s="1016" t="str">
        <f t="shared" si="17"/>
        <v/>
      </c>
      <c r="V137" s="1034" t="str">
        <f t="shared" si="18"/>
        <v/>
      </c>
      <c r="W137" s="860"/>
      <c r="X137" s="1034" t="str">
        <f t="shared" si="19"/>
        <v/>
      </c>
      <c r="Y137" s="860"/>
      <c r="Z137" s="1034" t="str">
        <f t="shared" si="6"/>
        <v/>
      </c>
      <c r="AA137" s="860"/>
      <c r="AB137" s="1034" t="str">
        <f t="shared" si="7"/>
        <v/>
      </c>
      <c r="AC137" s="860"/>
      <c r="AD137" s="1034" t="str">
        <f t="shared" si="8"/>
        <v/>
      </c>
      <c r="AE137" s="860"/>
      <c r="AF137" s="1034" t="str">
        <f t="shared" si="9"/>
        <v/>
      </c>
      <c r="AG137" s="860"/>
      <c r="AH137" s="1034" t="str">
        <f t="shared" si="10"/>
        <v/>
      </c>
      <c r="AI137" s="860"/>
      <c r="AJ137" s="1034" t="str">
        <f t="shared" si="11"/>
        <v/>
      </c>
      <c r="AK137" s="860"/>
      <c r="AL137" s="341" t="str">
        <f t="shared" si="12"/>
        <v/>
      </c>
      <c r="AM137" s="342" t="str">
        <f t="shared" si="20"/>
        <v/>
      </c>
      <c r="AN137" s="1036" t="str">
        <f>IF(AM137="","",AM137*HLOOKUP(IF($H$30&lt;&gt;0,$H$30,$F$30),'[4]Reference Tables'!$F$85:$I$89,4,FALSE))</f>
        <v/>
      </c>
    </row>
    <row r="138" spans="1:40" s="1023" customFormat="1" ht="31" customHeight="1">
      <c r="A138" s="1021"/>
      <c r="B138" s="1139"/>
      <c r="C138" s="210"/>
      <c r="D138" s="324" t="str">
        <f t="shared" si="13"/>
        <v xml:space="preserve"> </v>
      </c>
      <c r="E138" s="860"/>
      <c r="F138" s="324" t="str">
        <f t="shared" si="14"/>
        <v xml:space="preserve"> </v>
      </c>
      <c r="G138" s="860"/>
      <c r="H138" s="1032" t="str">
        <f t="shared" si="21"/>
        <v/>
      </c>
      <c r="I138" s="860"/>
      <c r="J138" s="1033" t="str">
        <f t="shared" si="15"/>
        <v/>
      </c>
      <c r="K138" s="1017"/>
      <c r="L138" s="1033" t="str">
        <f t="shared" si="16"/>
        <v/>
      </c>
      <c r="M138" s="1017"/>
      <c r="N138" s="743"/>
      <c r="O138" s="1016"/>
      <c r="P138" s="743"/>
      <c r="Q138" s="1016"/>
      <c r="R138" s="743"/>
      <c r="S138" s="1016"/>
      <c r="T138" s="743"/>
      <c r="U138" s="1016" t="str">
        <f t="shared" si="17"/>
        <v/>
      </c>
      <c r="V138" s="1034" t="str">
        <f t="shared" si="18"/>
        <v/>
      </c>
      <c r="W138" s="860"/>
      <c r="X138" s="1034" t="str">
        <f t="shared" si="19"/>
        <v/>
      </c>
      <c r="Y138" s="860"/>
      <c r="Z138" s="1034" t="str">
        <f t="shared" si="6"/>
        <v/>
      </c>
      <c r="AA138" s="860"/>
      <c r="AB138" s="1034" t="str">
        <f t="shared" si="7"/>
        <v/>
      </c>
      <c r="AC138" s="860"/>
      <c r="AD138" s="1034" t="str">
        <f t="shared" si="8"/>
        <v/>
      </c>
      <c r="AE138" s="860"/>
      <c r="AF138" s="1034" t="str">
        <f t="shared" si="9"/>
        <v/>
      </c>
      <c r="AG138" s="860"/>
      <c r="AH138" s="1034" t="str">
        <f t="shared" si="10"/>
        <v/>
      </c>
      <c r="AI138" s="860"/>
      <c r="AJ138" s="1034" t="str">
        <f t="shared" si="11"/>
        <v/>
      </c>
      <c r="AK138" s="860"/>
      <c r="AL138" s="341" t="str">
        <f t="shared" si="12"/>
        <v/>
      </c>
      <c r="AM138" s="342" t="str">
        <f t="shared" si="20"/>
        <v/>
      </c>
      <c r="AN138" s="1036" t="str">
        <f>IF(AM138="","",AM138*HLOOKUP(IF($H$30&lt;&gt;0,$H$30,$F$30),'[4]Reference Tables'!$F$85:$I$89,4,FALSE))</f>
        <v/>
      </c>
    </row>
    <row r="139" spans="1:40" s="1023" customFormat="1" ht="31" customHeight="1">
      <c r="A139" s="1021"/>
      <c r="B139" s="1139"/>
      <c r="C139" s="210"/>
      <c r="D139" s="324" t="str">
        <f t="shared" si="13"/>
        <v xml:space="preserve"> </v>
      </c>
      <c r="E139" s="860"/>
      <c r="F139" s="324" t="str">
        <f t="shared" si="14"/>
        <v xml:space="preserve"> </v>
      </c>
      <c r="G139" s="860"/>
      <c r="H139" s="1032" t="str">
        <f t="shared" si="21"/>
        <v/>
      </c>
      <c r="I139" s="860"/>
      <c r="J139" s="1033" t="str">
        <f t="shared" si="15"/>
        <v/>
      </c>
      <c r="K139" s="1017"/>
      <c r="L139" s="1033" t="str">
        <f t="shared" si="16"/>
        <v/>
      </c>
      <c r="M139" s="1017"/>
      <c r="N139" s="743"/>
      <c r="O139" s="1016"/>
      <c r="P139" s="743"/>
      <c r="Q139" s="1016"/>
      <c r="R139" s="743"/>
      <c r="S139" s="1016"/>
      <c r="T139" s="743"/>
      <c r="U139" s="1016" t="str">
        <f t="shared" si="17"/>
        <v/>
      </c>
      <c r="V139" s="1034" t="str">
        <f t="shared" si="18"/>
        <v/>
      </c>
      <c r="W139" s="860"/>
      <c r="X139" s="1034" t="str">
        <f t="shared" si="19"/>
        <v/>
      </c>
      <c r="Y139" s="860"/>
      <c r="Z139" s="1034" t="str">
        <f t="shared" si="6"/>
        <v/>
      </c>
      <c r="AA139" s="860"/>
      <c r="AB139" s="1034" t="str">
        <f t="shared" si="7"/>
        <v/>
      </c>
      <c r="AC139" s="860"/>
      <c r="AD139" s="1034" t="str">
        <f t="shared" si="8"/>
        <v/>
      </c>
      <c r="AE139" s="860"/>
      <c r="AF139" s="1034" t="str">
        <f t="shared" si="9"/>
        <v/>
      </c>
      <c r="AG139" s="860"/>
      <c r="AH139" s="1034" t="str">
        <f t="shared" si="10"/>
        <v/>
      </c>
      <c r="AI139" s="860"/>
      <c r="AJ139" s="1034" t="str">
        <f t="shared" si="11"/>
        <v/>
      </c>
      <c r="AK139" s="860"/>
      <c r="AL139" s="341" t="str">
        <f t="shared" si="12"/>
        <v/>
      </c>
      <c r="AM139" s="342" t="str">
        <f t="shared" si="20"/>
        <v/>
      </c>
      <c r="AN139" s="1036" t="str">
        <f>IF(AM139="","",AM139*HLOOKUP(IF($H$30&lt;&gt;0,$H$30,$F$30),'[4]Reference Tables'!$F$85:$I$89,4,FALSE))</f>
        <v/>
      </c>
    </row>
    <row r="140" spans="1:40" s="1023" customFormat="1" ht="31" customHeight="1">
      <c r="A140" s="1021"/>
      <c r="B140" s="1139"/>
      <c r="C140" s="210"/>
      <c r="D140" s="324" t="str">
        <f t="shared" si="13"/>
        <v xml:space="preserve"> </v>
      </c>
      <c r="E140" s="860"/>
      <c r="F140" s="324" t="str">
        <f t="shared" si="14"/>
        <v xml:space="preserve"> </v>
      </c>
      <c r="G140" s="860"/>
      <c r="H140" s="1032" t="str">
        <f t="shared" si="21"/>
        <v/>
      </c>
      <c r="I140" s="860"/>
      <c r="J140" s="1033" t="str">
        <f t="shared" si="15"/>
        <v/>
      </c>
      <c r="K140" s="1017"/>
      <c r="L140" s="1033" t="str">
        <f t="shared" si="16"/>
        <v/>
      </c>
      <c r="M140" s="1017"/>
      <c r="N140" s="743"/>
      <c r="O140" s="1016"/>
      <c r="P140" s="743"/>
      <c r="Q140" s="1016"/>
      <c r="R140" s="743"/>
      <c r="S140" s="1016"/>
      <c r="T140" s="743"/>
      <c r="U140" s="1016" t="str">
        <f t="shared" si="17"/>
        <v/>
      </c>
      <c r="V140" s="1034" t="str">
        <f t="shared" si="18"/>
        <v/>
      </c>
      <c r="W140" s="860"/>
      <c r="X140" s="1034" t="str">
        <f t="shared" si="19"/>
        <v/>
      </c>
      <c r="Y140" s="860"/>
      <c r="Z140" s="1034" t="str">
        <f t="shared" si="6"/>
        <v/>
      </c>
      <c r="AA140" s="860"/>
      <c r="AB140" s="1034" t="str">
        <f t="shared" si="7"/>
        <v/>
      </c>
      <c r="AC140" s="860"/>
      <c r="AD140" s="1034" t="str">
        <f t="shared" si="8"/>
        <v/>
      </c>
      <c r="AE140" s="860"/>
      <c r="AF140" s="1034" t="str">
        <f t="shared" si="9"/>
        <v/>
      </c>
      <c r="AG140" s="860"/>
      <c r="AH140" s="1034" t="str">
        <f t="shared" si="10"/>
        <v/>
      </c>
      <c r="AI140" s="860"/>
      <c r="AJ140" s="1034" t="str">
        <f t="shared" si="11"/>
        <v/>
      </c>
      <c r="AK140" s="860"/>
      <c r="AL140" s="341" t="str">
        <f t="shared" si="12"/>
        <v/>
      </c>
      <c r="AM140" s="342" t="str">
        <f t="shared" si="20"/>
        <v/>
      </c>
      <c r="AN140" s="1036" t="str">
        <f>IF(AM140="","",AM140*HLOOKUP(IF($H$30&lt;&gt;0,$H$30,$F$30),'[4]Reference Tables'!$F$85:$I$89,4,FALSE))</f>
        <v/>
      </c>
    </row>
    <row r="141" spans="1:40" s="1023" customFormat="1" ht="31" customHeight="1">
      <c r="A141" s="1021"/>
      <c r="B141" s="1139"/>
      <c r="C141" s="210"/>
      <c r="D141" s="324" t="str">
        <f t="shared" si="13"/>
        <v xml:space="preserve"> </v>
      </c>
      <c r="E141" s="860"/>
      <c r="F141" s="324" t="str">
        <f t="shared" si="14"/>
        <v xml:space="preserve"> </v>
      </c>
      <c r="G141" s="860"/>
      <c r="H141" s="1032" t="str">
        <f t="shared" si="21"/>
        <v/>
      </c>
      <c r="I141" s="860"/>
      <c r="J141" s="1033" t="str">
        <f t="shared" si="15"/>
        <v/>
      </c>
      <c r="K141" s="1017"/>
      <c r="L141" s="1033" t="str">
        <f t="shared" si="16"/>
        <v/>
      </c>
      <c r="M141" s="1017"/>
      <c r="N141" s="743"/>
      <c r="O141" s="1016"/>
      <c r="P141" s="743"/>
      <c r="Q141" s="1016"/>
      <c r="R141" s="743"/>
      <c r="S141" s="1016"/>
      <c r="T141" s="743"/>
      <c r="U141" s="1016" t="str">
        <f t="shared" si="17"/>
        <v/>
      </c>
      <c r="V141" s="1034" t="str">
        <f t="shared" si="18"/>
        <v/>
      </c>
      <c r="W141" s="860"/>
      <c r="X141" s="1034" t="str">
        <f t="shared" si="19"/>
        <v/>
      </c>
      <c r="Y141" s="860"/>
      <c r="Z141" s="1034" t="str">
        <f t="shared" si="6"/>
        <v/>
      </c>
      <c r="AA141" s="860"/>
      <c r="AB141" s="1034" t="str">
        <f t="shared" si="7"/>
        <v/>
      </c>
      <c r="AC141" s="860"/>
      <c r="AD141" s="1034" t="str">
        <f t="shared" si="8"/>
        <v/>
      </c>
      <c r="AE141" s="860"/>
      <c r="AF141" s="1034" t="str">
        <f t="shared" si="9"/>
        <v/>
      </c>
      <c r="AG141" s="860"/>
      <c r="AH141" s="1034" t="str">
        <f t="shared" si="10"/>
        <v/>
      </c>
      <c r="AI141" s="860"/>
      <c r="AJ141" s="1034" t="str">
        <f t="shared" si="11"/>
        <v/>
      </c>
      <c r="AK141" s="860"/>
      <c r="AL141" s="341" t="str">
        <f t="shared" si="12"/>
        <v/>
      </c>
      <c r="AM141" s="342" t="str">
        <f t="shared" si="20"/>
        <v/>
      </c>
      <c r="AN141" s="1036" t="str">
        <f>IF(AM141="","",AM141*HLOOKUP(IF($H$30&lt;&gt;0,$H$30,$F$30),'[4]Reference Tables'!$F$85:$I$89,4,FALSE))</f>
        <v/>
      </c>
    </row>
    <row r="142" spans="1:40" s="1023" customFormat="1" ht="31" customHeight="1">
      <c r="A142" s="1021"/>
      <c r="B142" s="1139"/>
      <c r="C142" s="210"/>
      <c r="D142" s="324" t="str">
        <f t="shared" si="13"/>
        <v xml:space="preserve"> </v>
      </c>
      <c r="E142" s="860"/>
      <c r="F142" s="324" t="str">
        <f t="shared" si="14"/>
        <v xml:space="preserve"> </v>
      </c>
      <c r="G142" s="860"/>
      <c r="H142" s="1032" t="str">
        <f t="shared" si="21"/>
        <v/>
      </c>
      <c r="I142" s="860"/>
      <c r="J142" s="1033" t="str">
        <f t="shared" si="15"/>
        <v/>
      </c>
      <c r="K142" s="1017"/>
      <c r="L142" s="1033" t="str">
        <f t="shared" si="16"/>
        <v/>
      </c>
      <c r="M142" s="1017"/>
      <c r="N142" s="743"/>
      <c r="O142" s="1016"/>
      <c r="P142" s="743"/>
      <c r="Q142" s="1016"/>
      <c r="R142" s="743"/>
      <c r="S142" s="1016"/>
      <c r="T142" s="743"/>
      <c r="U142" s="1016" t="str">
        <f t="shared" si="17"/>
        <v/>
      </c>
      <c r="V142" s="1034" t="str">
        <f t="shared" si="18"/>
        <v/>
      </c>
      <c r="W142" s="860"/>
      <c r="X142" s="1034" t="str">
        <f t="shared" si="19"/>
        <v/>
      </c>
      <c r="Y142" s="860"/>
      <c r="Z142" s="1034" t="str">
        <f t="shared" si="6"/>
        <v/>
      </c>
      <c r="AA142" s="860"/>
      <c r="AB142" s="1034" t="str">
        <f t="shared" si="7"/>
        <v/>
      </c>
      <c r="AC142" s="860"/>
      <c r="AD142" s="1034" t="str">
        <f t="shared" si="8"/>
        <v/>
      </c>
      <c r="AE142" s="860"/>
      <c r="AF142" s="1034" t="str">
        <f t="shared" si="9"/>
        <v/>
      </c>
      <c r="AG142" s="860"/>
      <c r="AH142" s="1034" t="str">
        <f t="shared" si="10"/>
        <v/>
      </c>
      <c r="AI142" s="860"/>
      <c r="AJ142" s="1034" t="str">
        <f t="shared" si="11"/>
        <v/>
      </c>
      <c r="AK142" s="860"/>
      <c r="AL142" s="341" t="str">
        <f t="shared" si="12"/>
        <v/>
      </c>
      <c r="AM142" s="342" t="str">
        <f t="shared" si="20"/>
        <v/>
      </c>
      <c r="AN142" s="1036" t="str">
        <f>IF(AM142="","",AM142*HLOOKUP(IF($H$30&lt;&gt;0,$H$30,$F$30),'[4]Reference Tables'!$F$85:$I$89,4,FALSE))</f>
        <v/>
      </c>
    </row>
    <row r="143" spans="1:40" s="1023" customFormat="1" ht="31" customHeight="1">
      <c r="A143" s="1021"/>
      <c r="B143" s="1139"/>
      <c r="C143" s="210"/>
      <c r="D143" s="324" t="str">
        <f t="shared" si="13"/>
        <v xml:space="preserve"> </v>
      </c>
      <c r="E143" s="860"/>
      <c r="F143" s="324" t="str">
        <f t="shared" si="14"/>
        <v xml:space="preserve"> </v>
      </c>
      <c r="G143" s="860"/>
      <c r="H143" s="1032" t="str">
        <f t="shared" si="21"/>
        <v/>
      </c>
      <c r="I143" s="860"/>
      <c r="J143" s="1033" t="str">
        <f t="shared" si="15"/>
        <v/>
      </c>
      <c r="K143" s="1017"/>
      <c r="L143" s="1033" t="str">
        <f t="shared" si="16"/>
        <v/>
      </c>
      <c r="M143" s="1017"/>
      <c r="N143" s="743"/>
      <c r="O143" s="1016"/>
      <c r="P143" s="743"/>
      <c r="Q143" s="1016"/>
      <c r="R143" s="743"/>
      <c r="S143" s="1016"/>
      <c r="T143" s="743"/>
      <c r="U143" s="1016" t="str">
        <f t="shared" si="17"/>
        <v/>
      </c>
      <c r="V143" s="1034" t="str">
        <f t="shared" si="18"/>
        <v/>
      </c>
      <c r="W143" s="860"/>
      <c r="X143" s="1034" t="str">
        <f t="shared" si="19"/>
        <v/>
      </c>
      <c r="Y143" s="860"/>
      <c r="Z143" s="1034" t="str">
        <f t="shared" si="6"/>
        <v/>
      </c>
      <c r="AA143" s="860"/>
      <c r="AB143" s="1034" t="str">
        <f t="shared" si="7"/>
        <v/>
      </c>
      <c r="AC143" s="860"/>
      <c r="AD143" s="1034" t="str">
        <f t="shared" si="8"/>
        <v/>
      </c>
      <c r="AE143" s="860"/>
      <c r="AF143" s="1034" t="str">
        <f t="shared" si="9"/>
        <v/>
      </c>
      <c r="AG143" s="860"/>
      <c r="AH143" s="1034" t="str">
        <f t="shared" si="10"/>
        <v/>
      </c>
      <c r="AI143" s="860"/>
      <c r="AJ143" s="1034" t="str">
        <f t="shared" si="11"/>
        <v/>
      </c>
      <c r="AK143" s="860"/>
      <c r="AL143" s="341" t="str">
        <f t="shared" si="12"/>
        <v/>
      </c>
      <c r="AM143" s="342" t="str">
        <f t="shared" si="20"/>
        <v/>
      </c>
      <c r="AN143" s="1036" t="str">
        <f>IF(AM143="","",AM143*HLOOKUP(IF($H$30&lt;&gt;0,$H$30,$F$30),'[4]Reference Tables'!$F$85:$I$89,4,FALSE))</f>
        <v/>
      </c>
    </row>
    <row r="144" spans="1:40" s="1023" customFormat="1" ht="31" customHeight="1">
      <c r="A144" s="1021"/>
      <c r="B144" s="1139"/>
      <c r="C144" s="210"/>
      <c r="D144" s="324" t="str">
        <f t="shared" si="13"/>
        <v xml:space="preserve"> </v>
      </c>
      <c r="E144" s="860"/>
      <c r="F144" s="324" t="str">
        <f t="shared" si="14"/>
        <v xml:space="preserve"> </v>
      </c>
      <c r="G144" s="860"/>
      <c r="H144" s="1032" t="str">
        <f t="shared" si="21"/>
        <v/>
      </c>
      <c r="I144" s="860"/>
      <c r="J144" s="1033" t="str">
        <f t="shared" si="15"/>
        <v/>
      </c>
      <c r="K144" s="1017"/>
      <c r="L144" s="1033" t="str">
        <f t="shared" si="16"/>
        <v/>
      </c>
      <c r="M144" s="1017"/>
      <c r="N144" s="743"/>
      <c r="O144" s="1016"/>
      <c r="P144" s="743"/>
      <c r="Q144" s="1016"/>
      <c r="R144" s="743"/>
      <c r="S144" s="1016"/>
      <c r="T144" s="743"/>
      <c r="U144" s="1016" t="str">
        <f t="shared" si="17"/>
        <v/>
      </c>
      <c r="V144" s="1034" t="str">
        <f t="shared" si="18"/>
        <v/>
      </c>
      <c r="W144" s="860"/>
      <c r="X144" s="1034" t="str">
        <f t="shared" si="19"/>
        <v/>
      </c>
      <c r="Y144" s="860"/>
      <c r="Z144" s="1034" t="str">
        <f t="shared" si="6"/>
        <v/>
      </c>
      <c r="AA144" s="860"/>
      <c r="AB144" s="1034" t="str">
        <f t="shared" si="7"/>
        <v/>
      </c>
      <c r="AC144" s="860"/>
      <c r="AD144" s="1034" t="str">
        <f t="shared" si="8"/>
        <v/>
      </c>
      <c r="AE144" s="860"/>
      <c r="AF144" s="1034" t="str">
        <f t="shared" si="9"/>
        <v/>
      </c>
      <c r="AG144" s="860"/>
      <c r="AH144" s="1034" t="str">
        <f t="shared" si="10"/>
        <v/>
      </c>
      <c r="AI144" s="860"/>
      <c r="AJ144" s="1034" t="str">
        <f t="shared" si="11"/>
        <v/>
      </c>
      <c r="AK144" s="860"/>
      <c r="AL144" s="341" t="str">
        <f t="shared" si="12"/>
        <v/>
      </c>
      <c r="AM144" s="342" t="str">
        <f t="shared" si="20"/>
        <v/>
      </c>
      <c r="AN144" s="1036" t="str">
        <f>IF(AM144="","",AM144*HLOOKUP(IF($H$30&lt;&gt;0,$H$30,$F$30),'[4]Reference Tables'!$F$85:$I$89,4,FALSE))</f>
        <v/>
      </c>
    </row>
    <row r="145" spans="1:40" s="334" customFormat="1" ht="15" customHeight="1">
      <c r="A145" s="332"/>
      <c r="B145" s="338"/>
      <c r="C145" s="338"/>
      <c r="D145" s="338"/>
      <c r="E145" s="338"/>
      <c r="F145" s="338"/>
      <c r="G145" s="338"/>
      <c r="H145" s="338"/>
      <c r="I145" s="332"/>
      <c r="J145" s="332"/>
      <c r="K145" s="332"/>
      <c r="L145" s="332"/>
      <c r="M145" s="332"/>
      <c r="N145" s="332"/>
      <c r="O145" s="332"/>
      <c r="P145" s="332"/>
      <c r="Q145" s="332"/>
      <c r="R145" s="332"/>
      <c r="S145" s="332"/>
      <c r="T145" s="332"/>
      <c r="U145" s="332"/>
      <c r="V145" s="332"/>
      <c r="W145" s="332"/>
      <c r="X145" s="332"/>
      <c r="Y145" s="332"/>
      <c r="Z145" s="332"/>
      <c r="AA145" s="332"/>
      <c r="AB145" s="332"/>
    </row>
    <row r="146" spans="1:40" s="334" customFormat="1" ht="15" customHeight="1">
      <c r="A146" s="332"/>
      <c r="B146" s="343" t="s">
        <v>1504</v>
      </c>
      <c r="C146" s="338"/>
      <c r="D146" s="338"/>
      <c r="E146" s="338"/>
      <c r="F146" s="338"/>
      <c r="G146" s="338"/>
      <c r="H146" s="338"/>
      <c r="I146" s="332"/>
      <c r="J146" s="332"/>
      <c r="K146" s="332"/>
      <c r="L146" s="332"/>
      <c r="M146" s="332"/>
      <c r="N146" s="332"/>
      <c r="O146" s="332"/>
      <c r="P146" s="332"/>
      <c r="Q146" s="332"/>
      <c r="R146" s="332"/>
      <c r="S146" s="332"/>
      <c r="T146" s="332"/>
      <c r="U146" s="332"/>
      <c r="V146" s="332"/>
      <c r="W146" s="332"/>
      <c r="X146" s="332"/>
      <c r="Y146" s="332"/>
      <c r="Z146" s="332"/>
      <c r="AA146" s="332"/>
      <c r="AB146" s="332"/>
    </row>
    <row r="147" spans="1:40" s="334" customFormat="1" ht="15" customHeight="1">
      <c r="A147" s="332"/>
      <c r="B147" s="343" t="s">
        <v>1505</v>
      </c>
      <c r="C147" s="338"/>
      <c r="D147" s="338"/>
      <c r="E147" s="338"/>
      <c r="F147" s="338"/>
      <c r="G147" s="338"/>
      <c r="H147" s="338"/>
      <c r="I147" s="332"/>
      <c r="J147" s="332"/>
      <c r="K147" s="332"/>
      <c r="L147" s="332"/>
      <c r="M147" s="332"/>
      <c r="N147" s="332"/>
      <c r="O147" s="332"/>
      <c r="P147" s="332"/>
      <c r="Q147" s="332"/>
      <c r="R147" s="332"/>
      <c r="S147" s="332"/>
      <c r="T147" s="332"/>
      <c r="U147" s="332"/>
      <c r="V147" s="332"/>
      <c r="W147" s="332"/>
      <c r="X147" s="332"/>
      <c r="Y147" s="332"/>
      <c r="Z147" s="332"/>
      <c r="AA147" s="332"/>
      <c r="AB147" s="332"/>
    </row>
    <row r="148" spans="1:40" s="334" customFormat="1" ht="15" customHeight="1">
      <c r="A148" s="332"/>
      <c r="B148" s="343" t="s">
        <v>1506</v>
      </c>
      <c r="C148" s="338"/>
      <c r="D148" s="338"/>
      <c r="E148" s="338"/>
      <c r="F148" s="338"/>
      <c r="G148" s="338"/>
      <c r="H148" s="338"/>
      <c r="I148" s="332"/>
      <c r="J148" s="332"/>
      <c r="K148" s="332"/>
      <c r="L148" s="332"/>
      <c r="M148" s="332"/>
      <c r="N148" s="332"/>
      <c r="O148" s="332"/>
      <c r="P148" s="332"/>
      <c r="Q148" s="332"/>
      <c r="R148" s="332"/>
      <c r="S148" s="332"/>
      <c r="T148" s="332"/>
      <c r="U148" s="332"/>
      <c r="V148" s="332"/>
      <c r="W148" s="332"/>
      <c r="X148" s="332"/>
      <c r="Y148" s="332"/>
      <c r="Z148" s="332"/>
      <c r="AA148" s="332"/>
      <c r="AB148" s="332"/>
    </row>
    <row r="149" spans="1:40" s="334" customFormat="1" ht="15" customHeight="1">
      <c r="A149" s="332"/>
      <c r="B149" s="343"/>
      <c r="C149" s="338"/>
      <c r="D149" s="338"/>
      <c r="E149" s="338"/>
      <c r="F149" s="338"/>
      <c r="G149" s="338"/>
      <c r="H149" s="338"/>
      <c r="I149" s="332"/>
      <c r="J149" s="332"/>
      <c r="K149" s="332"/>
      <c r="L149" s="332"/>
      <c r="M149" s="332"/>
      <c r="N149" s="332"/>
      <c r="O149" s="332"/>
      <c r="P149" s="332"/>
      <c r="Q149" s="332"/>
      <c r="R149" s="332"/>
      <c r="S149" s="332"/>
      <c r="T149" s="332"/>
      <c r="U149" s="332"/>
      <c r="V149" s="332"/>
      <c r="W149" s="332"/>
      <c r="X149" s="332"/>
      <c r="Y149" s="332"/>
      <c r="Z149" s="332"/>
      <c r="AA149" s="332"/>
      <c r="AB149" s="332"/>
    </row>
    <row r="150" spans="1:40" s="334" customFormat="1" ht="15" customHeight="1">
      <c r="A150" s="332"/>
      <c r="B150" s="2520" t="s">
        <v>2601</v>
      </c>
      <c r="C150" s="2568" t="s">
        <v>2602</v>
      </c>
      <c r="D150" s="2568"/>
      <c r="E150" s="2520" t="s">
        <v>2601</v>
      </c>
      <c r="F150" s="2521" t="s">
        <v>2603</v>
      </c>
      <c r="G150" s="2521"/>
      <c r="H150" s="2521"/>
      <c r="I150" s="2521"/>
      <c r="J150" s="2521"/>
      <c r="K150" s="2521"/>
      <c r="L150" s="2521"/>
      <c r="M150" s="2521"/>
      <c r="N150" s="332"/>
      <c r="O150" s="332"/>
      <c r="P150" s="332"/>
      <c r="Q150" s="332"/>
      <c r="R150" s="332"/>
      <c r="S150" s="332"/>
      <c r="T150" s="332"/>
      <c r="U150" s="332"/>
      <c r="V150" s="332"/>
      <c r="W150" s="332"/>
      <c r="X150" s="332"/>
      <c r="Y150" s="332"/>
      <c r="Z150" s="332"/>
      <c r="AA150" s="332"/>
      <c r="AB150" s="332"/>
    </row>
    <row r="151" spans="1:40" s="334" customFormat="1" ht="15" customHeight="1">
      <c r="A151" s="332"/>
      <c r="B151" s="2520"/>
      <c r="C151" s="2568"/>
      <c r="D151" s="2568"/>
      <c r="E151" s="2520"/>
      <c r="F151" s="2521"/>
      <c r="G151" s="2521"/>
      <c r="H151" s="2521"/>
      <c r="I151" s="2521"/>
      <c r="J151" s="2521"/>
      <c r="K151" s="2521"/>
      <c r="L151" s="2521"/>
      <c r="M151" s="2521"/>
      <c r="N151" s="332"/>
      <c r="O151" s="332"/>
      <c r="P151" s="332"/>
      <c r="Q151" s="332"/>
      <c r="R151" s="332"/>
      <c r="S151" s="332"/>
      <c r="T151" s="332"/>
      <c r="U151" s="332"/>
      <c r="V151" s="332"/>
      <c r="W151" s="332"/>
      <c r="X151" s="332"/>
      <c r="Y151" s="332"/>
      <c r="Z151" s="332"/>
      <c r="AA151" s="332"/>
      <c r="AB151" s="332"/>
    </row>
    <row r="152" spans="1:40" s="334" customFormat="1" ht="15.75" customHeight="1">
      <c r="A152" s="332"/>
      <c r="B152" s="2556"/>
      <c r="C152" s="2556"/>
      <c r="D152" s="2557"/>
      <c r="E152" s="2557"/>
      <c r="F152" s="2557"/>
      <c r="G152" s="2557"/>
      <c r="H152" s="2557"/>
      <c r="I152" s="332"/>
      <c r="J152" s="332"/>
      <c r="K152" s="332"/>
      <c r="L152" s="332"/>
      <c r="M152" s="332"/>
      <c r="N152" s="332"/>
      <c r="O152" s="332"/>
      <c r="P152" s="332"/>
      <c r="Q152" s="332"/>
      <c r="R152" s="332"/>
      <c r="S152" s="332"/>
      <c r="T152" s="332"/>
      <c r="U152" s="332"/>
      <c r="V152" s="332"/>
      <c r="W152" s="332"/>
      <c r="X152" s="332"/>
      <c r="Y152" s="332"/>
      <c r="Z152" s="332"/>
      <c r="AA152" s="332"/>
      <c r="AB152" s="332"/>
    </row>
    <row r="153" spans="1:40" s="29" customFormat="1" ht="31" customHeight="1" thickBot="1">
      <c r="A153" s="332"/>
      <c r="B153" s="491" t="s">
        <v>1704</v>
      </c>
      <c r="C153" s="466"/>
      <c r="D153" s="466"/>
      <c r="E153" s="466"/>
      <c r="F153" s="466"/>
      <c r="G153" s="466"/>
      <c r="H153" s="466"/>
      <c r="I153" s="467"/>
      <c r="J153" s="467"/>
      <c r="K153" s="467"/>
      <c r="L153" s="468"/>
      <c r="M153" s="468"/>
      <c r="N153" s="468"/>
      <c r="O153" s="468"/>
      <c r="P153" s="468"/>
      <c r="Q153" s="468"/>
      <c r="R153" s="468"/>
      <c r="S153" s="468"/>
      <c r="T153" s="468"/>
      <c r="U153" s="468"/>
      <c r="V153" s="468"/>
      <c r="W153" s="468"/>
      <c r="X153" s="468"/>
      <c r="Y153" s="468"/>
      <c r="Z153" s="468"/>
      <c r="AA153" s="468"/>
      <c r="AB153" s="468"/>
      <c r="AC153" s="468"/>
      <c r="AD153" s="468"/>
      <c r="AE153" s="468"/>
      <c r="AF153" s="468"/>
      <c r="AG153" s="468"/>
      <c r="AH153" s="468"/>
      <c r="AI153" s="468"/>
      <c r="AJ153" s="468"/>
      <c r="AK153" s="468"/>
      <c r="AL153" s="468"/>
      <c r="AM153" s="468"/>
      <c r="AN153" s="468"/>
    </row>
    <row r="154" spans="1:40" s="334" customFormat="1" ht="15" customHeight="1" thickTop="1">
      <c r="A154" s="332"/>
      <c r="B154" s="333"/>
      <c r="C154" s="333"/>
      <c r="D154" s="332"/>
      <c r="E154" s="332"/>
      <c r="F154" s="332"/>
      <c r="G154" s="332"/>
      <c r="H154" s="332"/>
      <c r="I154" s="332"/>
      <c r="J154" s="332"/>
      <c r="K154" s="332"/>
      <c r="L154" s="332"/>
      <c r="M154" s="332"/>
      <c r="N154" s="332"/>
      <c r="O154" s="337"/>
      <c r="P154" s="332"/>
      <c r="Q154" s="332"/>
      <c r="R154" s="332"/>
      <c r="S154" s="332"/>
      <c r="T154" s="332"/>
      <c r="U154" s="332"/>
      <c r="V154" s="332"/>
      <c r="W154" s="332"/>
      <c r="X154" s="332"/>
      <c r="Y154" s="344"/>
      <c r="Z154" s="344"/>
      <c r="AA154" s="332"/>
      <c r="AK154" s="344"/>
    </row>
    <row r="155" spans="1:40" s="334" customFormat="1" ht="15" customHeight="1">
      <c r="A155" s="332"/>
      <c r="B155" s="747" t="s">
        <v>1116</v>
      </c>
      <c r="C155" s="346"/>
      <c r="D155" s="332"/>
      <c r="E155" s="332"/>
      <c r="F155" s="332"/>
      <c r="G155" s="332"/>
      <c r="H155" s="332"/>
      <c r="I155" s="332"/>
      <c r="J155" s="332"/>
      <c r="K155" s="332"/>
      <c r="L155" s="332"/>
      <c r="M155" s="332"/>
      <c r="N155" s="332"/>
      <c r="O155" s="337"/>
      <c r="P155" s="332"/>
      <c r="Q155" s="332"/>
      <c r="R155" s="332"/>
      <c r="S155" s="332"/>
      <c r="T155" s="332"/>
      <c r="U155" s="332"/>
      <c r="V155" s="332"/>
      <c r="W155" s="332"/>
      <c r="X155" s="332"/>
      <c r="Y155" s="347"/>
      <c r="Z155" s="347"/>
      <c r="AA155" s="348"/>
      <c r="AK155" s="349"/>
    </row>
    <row r="156" spans="1:40" s="334" customFormat="1" ht="15" customHeight="1">
      <c r="A156" s="332"/>
      <c r="B156" s="346"/>
      <c r="C156" s="346"/>
      <c r="D156" s="332"/>
      <c r="E156" s="332"/>
      <c r="F156" s="332"/>
      <c r="G156" s="332"/>
      <c r="H156" s="332"/>
      <c r="I156" s="332"/>
      <c r="J156" s="332"/>
      <c r="K156" s="332"/>
      <c r="L156" s="332"/>
      <c r="M156" s="332"/>
      <c r="N156" s="332"/>
      <c r="O156" s="337"/>
      <c r="P156" s="332"/>
      <c r="Q156" s="332"/>
      <c r="R156" s="332"/>
      <c r="S156" s="332"/>
      <c r="T156" s="332"/>
      <c r="U156" s="332"/>
      <c r="V156" s="332"/>
      <c r="W156" s="332"/>
      <c r="X156" s="332"/>
      <c r="Y156" s="347"/>
      <c r="Z156" s="347"/>
      <c r="AA156" s="348"/>
      <c r="AK156" s="349"/>
    </row>
    <row r="157" spans="1:40" ht="15" customHeight="1">
      <c r="B157" s="2558" t="s">
        <v>1117</v>
      </c>
      <c r="C157" s="2320" t="s">
        <v>620</v>
      </c>
      <c r="D157" s="805"/>
      <c r="E157" s="806" t="s">
        <v>1118</v>
      </c>
      <c r="F157" s="808"/>
      <c r="G157" s="2559" t="s">
        <v>1119</v>
      </c>
      <c r="H157" s="2559"/>
      <c r="I157" s="2559"/>
      <c r="J157" s="2559"/>
      <c r="K157" s="2559"/>
      <c r="L157" s="2559"/>
      <c r="M157" s="2559"/>
      <c r="N157" s="2559"/>
      <c r="O157" s="2559"/>
      <c r="P157" s="2559"/>
      <c r="Q157" s="2559"/>
      <c r="R157" s="2559"/>
      <c r="S157" s="2559"/>
      <c r="T157" s="2559"/>
      <c r="U157" s="2560"/>
    </row>
    <row r="158" spans="1:40" ht="15" customHeight="1">
      <c r="B158" s="2550"/>
      <c r="C158" s="2317"/>
      <c r="D158" s="800" t="s">
        <v>1120</v>
      </c>
      <c r="E158" s="800" t="s">
        <v>1121</v>
      </c>
      <c r="F158" s="800" t="s">
        <v>1071</v>
      </c>
      <c r="G158" s="801"/>
      <c r="H158" s="802"/>
      <c r="I158" s="803" t="s">
        <v>1070</v>
      </c>
      <c r="J158" s="802"/>
      <c r="K158" s="804"/>
      <c r="L158" s="802"/>
      <c r="M158" s="802"/>
      <c r="N158" s="803" t="s">
        <v>1122</v>
      </c>
      <c r="O158" s="802"/>
      <c r="P158" s="802"/>
      <c r="Q158" s="801"/>
      <c r="R158" s="802"/>
      <c r="S158" s="803" t="s">
        <v>1071</v>
      </c>
      <c r="T158" s="802"/>
      <c r="U158" s="804"/>
      <c r="V158" s="318"/>
    </row>
    <row r="159" spans="1:40" ht="15" customHeight="1">
      <c r="B159" s="840"/>
      <c r="C159" s="794"/>
      <c r="D159" s="841"/>
      <c r="E159" s="841"/>
      <c r="F159" s="841"/>
      <c r="G159" s="841" t="s">
        <v>1123</v>
      </c>
      <c r="H159" s="841" t="s">
        <v>1082</v>
      </c>
      <c r="I159" s="841" t="s">
        <v>197</v>
      </c>
      <c r="J159" s="841" t="s">
        <v>1076</v>
      </c>
      <c r="K159" s="841" t="s">
        <v>1072</v>
      </c>
      <c r="L159" s="841" t="s">
        <v>1123</v>
      </c>
      <c r="M159" s="841" t="s">
        <v>1082</v>
      </c>
      <c r="N159" s="841" t="s">
        <v>197</v>
      </c>
      <c r="O159" s="841" t="s">
        <v>1076</v>
      </c>
      <c r="P159" s="842" t="s">
        <v>1072</v>
      </c>
      <c r="Q159" s="841" t="s">
        <v>1123</v>
      </c>
      <c r="R159" s="841" t="s">
        <v>1082</v>
      </c>
      <c r="S159" s="841" t="s">
        <v>197</v>
      </c>
      <c r="T159" s="841" t="s">
        <v>1076</v>
      </c>
      <c r="U159" s="841" t="s">
        <v>1072</v>
      </c>
    </row>
    <row r="160" spans="1:40" s="6" customFormat="1" ht="15" customHeight="1">
      <c r="B160" s="835" t="s">
        <v>1027</v>
      </c>
      <c r="C160" s="350" t="s">
        <v>1124</v>
      </c>
      <c r="D160" s="745">
        <v>0.1</v>
      </c>
      <c r="E160" s="745">
        <v>0.38</v>
      </c>
      <c r="F160" s="745">
        <v>0.52</v>
      </c>
      <c r="G160" s="351">
        <v>0.32</v>
      </c>
      <c r="H160" s="351">
        <v>0.31</v>
      </c>
      <c r="I160" s="351">
        <v>0</v>
      </c>
      <c r="J160" s="351">
        <v>0.37</v>
      </c>
      <c r="K160" s="351">
        <v>0</v>
      </c>
      <c r="L160" s="351">
        <v>0.17</v>
      </c>
      <c r="M160" s="351">
        <v>0.24</v>
      </c>
      <c r="N160" s="351">
        <v>0.05</v>
      </c>
      <c r="O160" s="351">
        <v>0.34</v>
      </c>
      <c r="P160" s="352">
        <v>0.2</v>
      </c>
      <c r="Q160" s="351">
        <v>0.02</v>
      </c>
      <c r="R160" s="351">
        <v>0.28000000000000003</v>
      </c>
      <c r="S160" s="351">
        <v>0.04</v>
      </c>
      <c r="T160" s="351">
        <v>0.1</v>
      </c>
      <c r="U160" s="351">
        <v>0.56000000000000005</v>
      </c>
      <c r="W160"/>
      <c r="X160"/>
      <c r="Y160"/>
    </row>
    <row r="161" spans="2:25" s="6" customFormat="1" ht="15" customHeight="1">
      <c r="B161" s="836"/>
      <c r="C161" s="339" t="s">
        <v>1125</v>
      </c>
      <c r="D161" s="745">
        <v>0.09</v>
      </c>
      <c r="E161" s="745">
        <v>0.34</v>
      </c>
      <c r="F161" s="745">
        <v>0.56999999999999995</v>
      </c>
      <c r="G161" s="353">
        <v>0.15</v>
      </c>
      <c r="H161" s="353">
        <v>0.05</v>
      </c>
      <c r="I161" s="353">
        <v>0.1</v>
      </c>
      <c r="J161" s="353">
        <v>0.7</v>
      </c>
      <c r="K161" s="353">
        <v>0</v>
      </c>
      <c r="L161" s="353">
        <v>0.17</v>
      </c>
      <c r="M161" s="353">
        <v>0.24</v>
      </c>
      <c r="N161" s="353">
        <v>0.05</v>
      </c>
      <c r="O161" s="353">
        <v>0.34</v>
      </c>
      <c r="P161" s="354">
        <v>0.2</v>
      </c>
      <c r="Q161" s="353">
        <v>0.02</v>
      </c>
      <c r="R161" s="353">
        <v>0.28000000000000003</v>
      </c>
      <c r="S161" s="353">
        <v>0.04</v>
      </c>
      <c r="T161" s="353">
        <v>0.1</v>
      </c>
      <c r="U161" s="353">
        <v>0.56000000000000005</v>
      </c>
      <c r="W161"/>
      <c r="X161"/>
      <c r="Y161"/>
    </row>
    <row r="162" spans="2:25" s="6" customFormat="1" ht="15" customHeight="1">
      <c r="B162" s="836"/>
      <c r="C162" s="339" t="s">
        <v>1126</v>
      </c>
      <c r="D162" s="745">
        <v>0.08</v>
      </c>
      <c r="E162" s="745">
        <v>0.3</v>
      </c>
      <c r="F162" s="745">
        <v>0.62</v>
      </c>
      <c r="G162" s="353">
        <v>0.32</v>
      </c>
      <c r="H162" s="353">
        <v>0.31</v>
      </c>
      <c r="I162" s="353">
        <v>0</v>
      </c>
      <c r="J162" s="353">
        <v>0.37</v>
      </c>
      <c r="K162" s="353">
        <v>0</v>
      </c>
      <c r="L162" s="353">
        <v>0.17</v>
      </c>
      <c r="M162" s="353">
        <v>0.24</v>
      </c>
      <c r="N162" s="353">
        <v>0.05</v>
      </c>
      <c r="O162" s="353">
        <v>0.34</v>
      </c>
      <c r="P162" s="354">
        <v>0.2</v>
      </c>
      <c r="Q162" s="353">
        <v>0.02</v>
      </c>
      <c r="R162" s="353">
        <v>0.28000000000000003</v>
      </c>
      <c r="S162" s="353">
        <v>0.04</v>
      </c>
      <c r="T162" s="353">
        <v>0.1</v>
      </c>
      <c r="U162" s="353">
        <v>0.56000000000000005</v>
      </c>
      <c r="W162"/>
      <c r="X162"/>
      <c r="Y162"/>
    </row>
    <row r="163" spans="2:25" s="6" customFormat="1" ht="15" customHeight="1">
      <c r="B163" s="837"/>
      <c r="C163" s="339" t="s">
        <v>1030</v>
      </c>
      <c r="D163" s="745">
        <v>0.12</v>
      </c>
      <c r="E163" s="745">
        <v>0.49</v>
      </c>
      <c r="F163" s="745">
        <v>0.39</v>
      </c>
      <c r="G163" s="353">
        <v>0.15</v>
      </c>
      <c r="H163" s="353">
        <v>0.05</v>
      </c>
      <c r="I163" s="353">
        <v>0.1</v>
      </c>
      <c r="J163" s="353">
        <v>0.7</v>
      </c>
      <c r="K163" s="353">
        <v>0</v>
      </c>
      <c r="L163" s="353">
        <v>0.17</v>
      </c>
      <c r="M163" s="353">
        <v>0.24</v>
      </c>
      <c r="N163" s="353">
        <v>0.05</v>
      </c>
      <c r="O163" s="353">
        <v>0.34</v>
      </c>
      <c r="P163" s="354">
        <v>0.2</v>
      </c>
      <c r="Q163" s="353">
        <v>0.1</v>
      </c>
      <c r="R163" s="353">
        <v>0.28000000000000003</v>
      </c>
      <c r="S163" s="353">
        <v>0.04</v>
      </c>
      <c r="T163" s="353">
        <v>0.1</v>
      </c>
      <c r="U163" s="353">
        <v>0.48</v>
      </c>
      <c r="W163"/>
      <c r="X163"/>
      <c r="Y163"/>
    </row>
    <row r="164" spans="2:25" s="6" customFormat="1" ht="15" customHeight="1">
      <c r="B164" s="835" t="s">
        <v>1127</v>
      </c>
      <c r="C164" s="339" t="s">
        <v>1128</v>
      </c>
      <c r="D164" s="745">
        <v>0.12</v>
      </c>
      <c r="E164" s="745">
        <v>0.28999999999999998</v>
      </c>
      <c r="F164" s="745">
        <v>0.59</v>
      </c>
      <c r="G164" s="353">
        <v>0.18</v>
      </c>
      <c r="H164" s="353">
        <v>0.08</v>
      </c>
      <c r="I164" s="353">
        <v>7.0000000000000007E-2</v>
      </c>
      <c r="J164" s="353">
        <v>0.67</v>
      </c>
      <c r="K164" s="353">
        <v>0</v>
      </c>
      <c r="L164" s="353">
        <v>0.14000000000000001</v>
      </c>
      <c r="M164" s="353">
        <v>0.1</v>
      </c>
      <c r="N164" s="353">
        <v>0.03</v>
      </c>
      <c r="O164" s="353">
        <v>0.68</v>
      </c>
      <c r="P164" s="354">
        <v>0.05</v>
      </c>
      <c r="Q164" s="353">
        <v>0</v>
      </c>
      <c r="R164" s="353">
        <v>0.47</v>
      </c>
      <c r="S164" s="353">
        <v>0.5</v>
      </c>
      <c r="T164" s="353">
        <v>0</v>
      </c>
      <c r="U164" s="353">
        <v>0.03</v>
      </c>
      <c r="W164"/>
      <c r="X164"/>
      <c r="Y164"/>
    </row>
    <row r="165" spans="2:25" s="6" customFormat="1" ht="15" customHeight="1">
      <c r="B165" s="836"/>
      <c r="C165" s="339" t="s">
        <v>1129</v>
      </c>
      <c r="D165" s="745">
        <v>0.06</v>
      </c>
      <c r="E165" s="745">
        <v>0.23</v>
      </c>
      <c r="F165" s="745">
        <v>0.71</v>
      </c>
      <c r="G165" s="353">
        <v>0.18</v>
      </c>
      <c r="H165" s="353">
        <v>0.08</v>
      </c>
      <c r="I165" s="353">
        <v>7.0000000000000007E-2</v>
      </c>
      <c r="J165" s="353">
        <v>0.67</v>
      </c>
      <c r="K165" s="353">
        <v>0</v>
      </c>
      <c r="L165" s="353">
        <v>0.14000000000000001</v>
      </c>
      <c r="M165" s="353">
        <v>0.1</v>
      </c>
      <c r="N165" s="353">
        <v>0.03</v>
      </c>
      <c r="O165" s="353">
        <v>0.53</v>
      </c>
      <c r="P165" s="354">
        <v>0.2</v>
      </c>
      <c r="Q165" s="353">
        <v>0</v>
      </c>
      <c r="R165" s="353">
        <v>0.47</v>
      </c>
      <c r="S165" s="353">
        <v>0.1</v>
      </c>
      <c r="T165" s="353">
        <v>0.1</v>
      </c>
      <c r="U165" s="353">
        <v>0.33</v>
      </c>
      <c r="W165"/>
      <c r="X165"/>
      <c r="Y165"/>
    </row>
    <row r="166" spans="2:25" s="6" customFormat="1" ht="15" customHeight="1">
      <c r="B166" s="836"/>
      <c r="C166" s="339" t="s">
        <v>1130</v>
      </c>
      <c r="D166" s="745">
        <v>0.12</v>
      </c>
      <c r="E166" s="745">
        <v>0.34</v>
      </c>
      <c r="F166" s="745">
        <v>0.54</v>
      </c>
      <c r="G166" s="353">
        <v>0.18</v>
      </c>
      <c r="H166" s="353">
        <v>0.08</v>
      </c>
      <c r="I166" s="353">
        <v>0</v>
      </c>
      <c r="J166" s="353">
        <v>0.74</v>
      </c>
      <c r="K166" s="353">
        <v>0</v>
      </c>
      <c r="L166" s="353">
        <v>0.14000000000000001</v>
      </c>
      <c r="M166" s="353">
        <v>0.1</v>
      </c>
      <c r="N166" s="353">
        <v>0.03</v>
      </c>
      <c r="O166" s="353">
        <v>0.53</v>
      </c>
      <c r="P166" s="354">
        <v>0.2</v>
      </c>
      <c r="Q166" s="353">
        <v>0</v>
      </c>
      <c r="R166" s="353">
        <v>0.47</v>
      </c>
      <c r="S166" s="353">
        <v>0</v>
      </c>
      <c r="T166" s="353">
        <v>0.1</v>
      </c>
      <c r="U166" s="353">
        <v>0.43</v>
      </c>
      <c r="W166"/>
      <c r="X166"/>
      <c r="Y166"/>
    </row>
    <row r="167" spans="2:25" s="6" customFormat="1" ht="15" customHeight="1">
      <c r="B167" s="836"/>
      <c r="C167" s="339" t="s">
        <v>1131</v>
      </c>
      <c r="D167" s="745">
        <v>7.0000000000000007E-2</v>
      </c>
      <c r="E167" s="745">
        <v>0.28000000000000003</v>
      </c>
      <c r="F167" s="745">
        <v>0.65</v>
      </c>
      <c r="G167" s="353">
        <v>0.18</v>
      </c>
      <c r="H167" s="353">
        <v>0.08</v>
      </c>
      <c r="I167" s="353">
        <v>0</v>
      </c>
      <c r="J167" s="353">
        <v>0.74</v>
      </c>
      <c r="K167" s="353">
        <v>0</v>
      </c>
      <c r="L167" s="353">
        <v>0.14000000000000001</v>
      </c>
      <c r="M167" s="353">
        <v>0.1</v>
      </c>
      <c r="N167" s="353">
        <v>0.03</v>
      </c>
      <c r="O167" s="353">
        <v>0.53</v>
      </c>
      <c r="P167" s="354">
        <v>0.2</v>
      </c>
      <c r="Q167" s="353">
        <v>0</v>
      </c>
      <c r="R167" s="353">
        <v>0.47</v>
      </c>
      <c r="S167" s="353">
        <v>0</v>
      </c>
      <c r="T167" s="353">
        <v>0.1</v>
      </c>
      <c r="U167" s="353">
        <v>0.43</v>
      </c>
      <c r="W167"/>
      <c r="X167"/>
      <c r="Y167"/>
    </row>
    <row r="168" spans="2:25" s="6" customFormat="1" ht="15" customHeight="1">
      <c r="B168" s="836"/>
      <c r="C168" s="339" t="s">
        <v>1132</v>
      </c>
      <c r="D168" s="745">
        <v>0.06</v>
      </c>
      <c r="E168" s="745">
        <v>0.22</v>
      </c>
      <c r="F168" s="745">
        <v>0.72</v>
      </c>
      <c r="G168" s="353">
        <v>0.18</v>
      </c>
      <c r="H168" s="353">
        <v>0.08</v>
      </c>
      <c r="I168" s="353">
        <v>0</v>
      </c>
      <c r="J168" s="353">
        <v>0.74</v>
      </c>
      <c r="K168" s="353">
        <v>0</v>
      </c>
      <c r="L168" s="353">
        <v>0.14000000000000001</v>
      </c>
      <c r="M168" s="353">
        <v>0.1</v>
      </c>
      <c r="N168" s="353">
        <v>0.03</v>
      </c>
      <c r="O168" s="353">
        <v>0.53</v>
      </c>
      <c r="P168" s="354">
        <v>0.2</v>
      </c>
      <c r="Q168" s="353">
        <v>0</v>
      </c>
      <c r="R168" s="353">
        <v>0.47</v>
      </c>
      <c r="S168" s="353">
        <v>0</v>
      </c>
      <c r="T168" s="353">
        <v>0.1</v>
      </c>
      <c r="U168" s="353">
        <v>0.43</v>
      </c>
      <c r="W168"/>
      <c r="X168"/>
      <c r="Y168"/>
    </row>
    <row r="169" spans="2:25" s="6" customFormat="1" ht="15" customHeight="1">
      <c r="B169" s="837"/>
      <c r="C169" s="339" t="s">
        <v>1133</v>
      </c>
      <c r="D169" s="745">
        <v>0.8</v>
      </c>
      <c r="E169" s="745">
        <v>0</v>
      </c>
      <c r="F169" s="745">
        <v>0.2</v>
      </c>
      <c r="G169" s="353">
        <v>0</v>
      </c>
      <c r="H169" s="353">
        <v>0</v>
      </c>
      <c r="I169" s="353">
        <v>0.1</v>
      </c>
      <c r="J169" s="353">
        <v>0.9</v>
      </c>
      <c r="K169" s="353">
        <v>0</v>
      </c>
      <c r="L169" s="353">
        <v>0.1</v>
      </c>
      <c r="M169" s="353">
        <v>0</v>
      </c>
      <c r="N169" s="353">
        <v>0</v>
      </c>
      <c r="O169" s="353">
        <v>0.9</v>
      </c>
      <c r="P169" s="354">
        <v>0</v>
      </c>
      <c r="Q169" s="353">
        <v>0.2</v>
      </c>
      <c r="R169" s="353">
        <v>0</v>
      </c>
      <c r="S169" s="353">
        <v>0.5</v>
      </c>
      <c r="T169" s="353">
        <v>0.3</v>
      </c>
      <c r="U169" s="353">
        <v>0</v>
      </c>
      <c r="W169"/>
      <c r="X169"/>
      <c r="Y169"/>
    </row>
    <row r="170" spans="2:25" s="6" customFormat="1" ht="15" customHeight="1">
      <c r="B170" s="835" t="s">
        <v>1134</v>
      </c>
      <c r="C170" s="339" t="s">
        <v>1135</v>
      </c>
      <c r="D170" s="745">
        <v>0.73</v>
      </c>
      <c r="E170" s="745">
        <v>0</v>
      </c>
      <c r="F170" s="745">
        <v>0.27</v>
      </c>
      <c r="G170" s="353">
        <v>0.1</v>
      </c>
      <c r="H170" s="353">
        <v>0</v>
      </c>
      <c r="I170" s="353">
        <v>0</v>
      </c>
      <c r="J170" s="353">
        <v>0.9</v>
      </c>
      <c r="K170" s="353">
        <v>0</v>
      </c>
      <c r="L170" s="353">
        <v>0</v>
      </c>
      <c r="M170" s="353">
        <v>0</v>
      </c>
      <c r="N170" s="353">
        <v>0</v>
      </c>
      <c r="O170" s="353">
        <v>0</v>
      </c>
      <c r="P170" s="354">
        <v>0</v>
      </c>
      <c r="Q170" s="353">
        <v>0.3</v>
      </c>
      <c r="R170" s="353">
        <v>0.1</v>
      </c>
      <c r="S170" s="353">
        <v>0</v>
      </c>
      <c r="T170" s="353">
        <v>0.6</v>
      </c>
      <c r="U170" s="353">
        <v>0</v>
      </c>
      <c r="V170" s="355" t="s">
        <v>1136</v>
      </c>
      <c r="W170"/>
      <c r="X170"/>
      <c r="Y170"/>
    </row>
    <row r="171" spans="2:25" s="6" customFormat="1" ht="15" customHeight="1">
      <c r="B171" s="836"/>
      <c r="C171" s="339" t="s">
        <v>1137</v>
      </c>
      <c r="D171" s="745">
        <v>0.94</v>
      </c>
      <c r="E171" s="745">
        <v>0</v>
      </c>
      <c r="F171" s="745">
        <v>0.06</v>
      </c>
      <c r="G171" s="353">
        <v>0.05</v>
      </c>
      <c r="H171" s="353">
        <v>0</v>
      </c>
      <c r="I171" s="353">
        <v>0</v>
      </c>
      <c r="J171" s="353">
        <v>0.95</v>
      </c>
      <c r="K171" s="353">
        <v>0</v>
      </c>
      <c r="L171" s="353">
        <v>0</v>
      </c>
      <c r="M171" s="353">
        <v>0</v>
      </c>
      <c r="N171" s="353">
        <v>0</v>
      </c>
      <c r="O171" s="353">
        <v>0</v>
      </c>
      <c r="P171" s="354">
        <v>0</v>
      </c>
      <c r="Q171" s="353">
        <v>0.2</v>
      </c>
      <c r="R171" s="353">
        <v>0</v>
      </c>
      <c r="S171" s="353">
        <v>0</v>
      </c>
      <c r="T171" s="353">
        <v>0.8</v>
      </c>
      <c r="U171" s="353">
        <v>0</v>
      </c>
      <c r="V171" s="355" t="s">
        <v>1136</v>
      </c>
      <c r="W171"/>
      <c r="X171"/>
      <c r="Y171"/>
    </row>
    <row r="172" spans="2:25" s="6" customFormat="1" ht="15" customHeight="1">
      <c r="B172" s="836"/>
      <c r="C172" s="339" t="s">
        <v>1138</v>
      </c>
      <c r="D172" s="745">
        <v>0.9</v>
      </c>
      <c r="E172" s="745">
        <v>0</v>
      </c>
      <c r="F172" s="745">
        <v>0.1</v>
      </c>
      <c r="G172" s="353">
        <v>0</v>
      </c>
      <c r="H172" s="353">
        <v>0</v>
      </c>
      <c r="I172" s="353">
        <v>0</v>
      </c>
      <c r="J172" s="353">
        <v>1</v>
      </c>
      <c r="K172" s="353">
        <v>0</v>
      </c>
      <c r="L172" s="353">
        <v>0</v>
      </c>
      <c r="M172" s="353">
        <v>0</v>
      </c>
      <c r="N172" s="353">
        <v>0</v>
      </c>
      <c r="O172" s="353">
        <v>0</v>
      </c>
      <c r="P172" s="354">
        <v>0</v>
      </c>
      <c r="Q172" s="353">
        <v>0.11</v>
      </c>
      <c r="R172" s="353">
        <v>0</v>
      </c>
      <c r="S172" s="353">
        <v>0</v>
      </c>
      <c r="T172" s="353">
        <v>0.89</v>
      </c>
      <c r="U172" s="353">
        <v>0</v>
      </c>
      <c r="V172" s="355" t="s">
        <v>1136</v>
      </c>
      <c r="W172"/>
      <c r="X172"/>
      <c r="Y172"/>
    </row>
    <row r="173" spans="2:25" s="6" customFormat="1" ht="15" customHeight="1">
      <c r="B173" s="836"/>
      <c r="C173" s="339" t="s">
        <v>1139</v>
      </c>
      <c r="D173" s="745">
        <v>0.76</v>
      </c>
      <c r="E173" s="745">
        <v>0</v>
      </c>
      <c r="F173" s="745">
        <v>0.24</v>
      </c>
      <c r="G173" s="353">
        <v>0</v>
      </c>
      <c r="H173" s="353">
        <v>0</v>
      </c>
      <c r="I173" s="353">
        <v>0</v>
      </c>
      <c r="J173" s="353">
        <v>1</v>
      </c>
      <c r="K173" s="353">
        <v>0</v>
      </c>
      <c r="L173" s="353">
        <v>0</v>
      </c>
      <c r="M173" s="353">
        <v>0</v>
      </c>
      <c r="N173" s="353">
        <v>0</v>
      </c>
      <c r="O173" s="353">
        <v>0</v>
      </c>
      <c r="P173" s="354">
        <v>0</v>
      </c>
      <c r="Q173" s="353">
        <v>0.37</v>
      </c>
      <c r="R173" s="353">
        <v>0</v>
      </c>
      <c r="S173" s="353">
        <v>0</v>
      </c>
      <c r="T173" s="353">
        <v>0.63</v>
      </c>
      <c r="U173" s="353">
        <v>0</v>
      </c>
      <c r="V173" s="355" t="s">
        <v>1136</v>
      </c>
      <c r="W173"/>
      <c r="X173"/>
      <c r="Y173"/>
    </row>
    <row r="174" spans="2:25" s="6" customFormat="1" ht="15" customHeight="1">
      <c r="B174" s="837"/>
      <c r="C174" s="339" t="s">
        <v>1140</v>
      </c>
      <c r="D174" s="745">
        <v>0.68</v>
      </c>
      <c r="E174" s="745">
        <v>0</v>
      </c>
      <c r="F174" s="745">
        <v>0.32</v>
      </c>
      <c r="G174" s="353">
        <v>0.04</v>
      </c>
      <c r="H174" s="353">
        <v>0</v>
      </c>
      <c r="I174" s="353">
        <v>0</v>
      </c>
      <c r="J174" s="353">
        <v>0.96</v>
      </c>
      <c r="K174" s="353">
        <v>0</v>
      </c>
      <c r="L174" s="353">
        <v>0</v>
      </c>
      <c r="M174" s="353">
        <v>0</v>
      </c>
      <c r="N174" s="353">
        <v>0</v>
      </c>
      <c r="O174" s="353">
        <v>0</v>
      </c>
      <c r="P174" s="354">
        <v>0</v>
      </c>
      <c r="Q174" s="353">
        <v>0.42</v>
      </c>
      <c r="R174" s="353">
        <v>0</v>
      </c>
      <c r="S174" s="353">
        <v>0</v>
      </c>
      <c r="T174" s="353">
        <v>0.57999999999999996</v>
      </c>
      <c r="U174" s="353">
        <v>0</v>
      </c>
      <c r="V174" s="355" t="s">
        <v>1136</v>
      </c>
      <c r="W174"/>
      <c r="X174"/>
      <c r="Y174"/>
    </row>
    <row r="175" spans="2:25" s="6" customFormat="1" ht="15" customHeight="1">
      <c r="B175" s="835" t="s">
        <v>1141</v>
      </c>
      <c r="C175" s="339" t="s">
        <v>1142</v>
      </c>
      <c r="D175" s="745">
        <v>0.78</v>
      </c>
      <c r="E175" s="745">
        <v>0</v>
      </c>
      <c r="F175" s="745">
        <v>0.22</v>
      </c>
      <c r="G175" s="353">
        <v>0.05</v>
      </c>
      <c r="H175" s="353">
        <v>0</v>
      </c>
      <c r="I175" s="353">
        <v>0</v>
      </c>
      <c r="J175" s="353">
        <v>0.95</v>
      </c>
      <c r="K175" s="353">
        <v>0</v>
      </c>
      <c r="L175" s="353">
        <v>0</v>
      </c>
      <c r="M175" s="353">
        <v>0</v>
      </c>
      <c r="N175" s="353">
        <v>0</v>
      </c>
      <c r="O175" s="353">
        <v>0</v>
      </c>
      <c r="P175" s="354">
        <v>0</v>
      </c>
      <c r="Q175" s="353">
        <v>0.9</v>
      </c>
      <c r="R175" s="353">
        <v>0.02</v>
      </c>
      <c r="S175" s="353">
        <v>0</v>
      </c>
      <c r="T175" s="353">
        <v>0.08</v>
      </c>
      <c r="U175" s="353">
        <v>0</v>
      </c>
      <c r="V175" s="355" t="s">
        <v>1136</v>
      </c>
      <c r="W175"/>
      <c r="X175"/>
      <c r="Y175"/>
    </row>
    <row r="176" spans="2:25" s="6" customFormat="1" ht="15" customHeight="1">
      <c r="B176" s="837"/>
      <c r="C176" s="339" t="s">
        <v>1143</v>
      </c>
      <c r="D176" s="745">
        <v>0.8</v>
      </c>
      <c r="E176" s="745">
        <v>0</v>
      </c>
      <c r="F176" s="745">
        <v>0.2</v>
      </c>
      <c r="G176" s="353">
        <v>0.05</v>
      </c>
      <c r="H176" s="353">
        <v>0</v>
      </c>
      <c r="I176" s="353">
        <v>0</v>
      </c>
      <c r="J176" s="353">
        <v>0.95</v>
      </c>
      <c r="K176" s="353">
        <v>0</v>
      </c>
      <c r="L176" s="353">
        <v>0</v>
      </c>
      <c r="M176" s="353">
        <v>0</v>
      </c>
      <c r="N176" s="353">
        <v>0</v>
      </c>
      <c r="O176" s="353">
        <v>0</v>
      </c>
      <c r="P176" s="354">
        <v>0</v>
      </c>
      <c r="Q176" s="353">
        <v>0.9</v>
      </c>
      <c r="R176" s="353">
        <v>0.02</v>
      </c>
      <c r="S176" s="353">
        <v>0</v>
      </c>
      <c r="T176" s="353">
        <v>0.08</v>
      </c>
      <c r="U176" s="353">
        <v>0</v>
      </c>
      <c r="V176" s="355" t="s">
        <v>1136</v>
      </c>
      <c r="W176"/>
      <c r="X176"/>
      <c r="Y176"/>
    </row>
    <row r="177" spans="2:25" s="6" customFormat="1" ht="15" customHeight="1">
      <c r="B177" s="835" t="s">
        <v>1144</v>
      </c>
      <c r="C177" s="339" t="s">
        <v>1145</v>
      </c>
      <c r="D177" s="745">
        <v>0.25</v>
      </c>
      <c r="E177" s="745">
        <v>0.59</v>
      </c>
      <c r="F177" s="745">
        <v>0.16</v>
      </c>
      <c r="G177" s="353">
        <v>0</v>
      </c>
      <c r="H177" s="353">
        <v>0.2</v>
      </c>
      <c r="I177" s="353">
        <v>0</v>
      </c>
      <c r="J177" s="353">
        <v>0.8</v>
      </c>
      <c r="K177" s="353">
        <v>0</v>
      </c>
      <c r="L177" s="353">
        <v>0</v>
      </c>
      <c r="M177" s="353">
        <v>0.4</v>
      </c>
      <c r="N177" s="353">
        <v>0</v>
      </c>
      <c r="O177" s="353">
        <v>0.4</v>
      </c>
      <c r="P177" s="354">
        <v>0.2</v>
      </c>
      <c r="Q177" s="353">
        <v>0</v>
      </c>
      <c r="R177" s="353">
        <v>0.45</v>
      </c>
      <c r="S177" s="353">
        <v>0</v>
      </c>
      <c r="T177" s="353">
        <v>0.1</v>
      </c>
      <c r="U177" s="353">
        <v>0.45</v>
      </c>
      <c r="W177"/>
      <c r="X177"/>
      <c r="Y177"/>
    </row>
    <row r="178" spans="2:25" s="6" customFormat="1" ht="15" customHeight="1">
      <c r="B178" s="837" t="s">
        <v>1146</v>
      </c>
      <c r="C178" s="339" t="s">
        <v>1147</v>
      </c>
      <c r="D178" s="745">
        <v>0.19</v>
      </c>
      <c r="E178" s="745">
        <v>0.56000000000000005</v>
      </c>
      <c r="F178" s="745">
        <v>0.25</v>
      </c>
      <c r="G178" s="353">
        <v>0</v>
      </c>
      <c r="H178" s="353">
        <v>0.2</v>
      </c>
      <c r="I178" s="353">
        <v>0</v>
      </c>
      <c r="J178" s="353">
        <v>0.8</v>
      </c>
      <c r="K178" s="353">
        <v>0</v>
      </c>
      <c r="L178" s="353">
        <v>0</v>
      </c>
      <c r="M178" s="353">
        <v>0.4</v>
      </c>
      <c r="N178" s="353">
        <v>0</v>
      </c>
      <c r="O178" s="353">
        <v>0.4</v>
      </c>
      <c r="P178" s="354">
        <v>0.2</v>
      </c>
      <c r="Q178" s="353">
        <v>0</v>
      </c>
      <c r="R178" s="353">
        <v>0.45</v>
      </c>
      <c r="S178" s="353">
        <v>0</v>
      </c>
      <c r="T178" s="353">
        <v>0.1</v>
      </c>
      <c r="U178" s="353">
        <v>0.45</v>
      </c>
      <c r="W178"/>
      <c r="X178"/>
      <c r="Y178"/>
    </row>
    <row r="179" spans="2:25" s="6" customFormat="1" ht="15" customHeight="1">
      <c r="B179" s="835" t="s">
        <v>1148</v>
      </c>
      <c r="C179" s="339" t="s">
        <v>1149</v>
      </c>
      <c r="D179" s="745">
        <v>0.92</v>
      </c>
      <c r="E179" s="745">
        <v>0</v>
      </c>
      <c r="F179" s="745">
        <v>0.08</v>
      </c>
      <c r="G179" s="353">
        <v>0.05</v>
      </c>
      <c r="H179" s="353">
        <v>0</v>
      </c>
      <c r="I179" s="353">
        <v>0</v>
      </c>
      <c r="J179" s="353">
        <v>0.95</v>
      </c>
      <c r="K179" s="353">
        <v>0</v>
      </c>
      <c r="L179" s="353">
        <v>0</v>
      </c>
      <c r="M179" s="353">
        <v>0</v>
      </c>
      <c r="N179" s="353">
        <v>0</v>
      </c>
      <c r="O179" s="353">
        <v>0</v>
      </c>
      <c r="P179" s="354">
        <v>0</v>
      </c>
      <c r="Q179" s="353">
        <v>0.9</v>
      </c>
      <c r="R179" s="353">
        <v>0.02</v>
      </c>
      <c r="S179" s="353">
        <v>0</v>
      </c>
      <c r="T179" s="353">
        <v>0.08</v>
      </c>
      <c r="U179" s="353">
        <v>0</v>
      </c>
      <c r="V179" s="355" t="s">
        <v>1136</v>
      </c>
      <c r="W179"/>
      <c r="X179"/>
      <c r="Y179"/>
    </row>
    <row r="180" spans="2:25" s="6" customFormat="1" ht="15" customHeight="1">
      <c r="B180" s="837"/>
      <c r="C180" s="339" t="s">
        <v>1150</v>
      </c>
      <c r="D180" s="745">
        <v>0.92</v>
      </c>
      <c r="E180" s="745">
        <v>0</v>
      </c>
      <c r="F180" s="745">
        <v>0.08</v>
      </c>
      <c r="G180" s="353">
        <v>0.05</v>
      </c>
      <c r="H180" s="353">
        <v>0</v>
      </c>
      <c r="I180" s="353">
        <v>0</v>
      </c>
      <c r="J180" s="353">
        <v>0.95</v>
      </c>
      <c r="K180" s="353">
        <v>0</v>
      </c>
      <c r="L180" s="353">
        <v>0</v>
      </c>
      <c r="M180" s="353">
        <v>0</v>
      </c>
      <c r="N180" s="353">
        <v>0</v>
      </c>
      <c r="O180" s="353">
        <v>0</v>
      </c>
      <c r="P180" s="354">
        <v>0</v>
      </c>
      <c r="Q180" s="353">
        <v>0.9</v>
      </c>
      <c r="R180" s="353">
        <v>0.02</v>
      </c>
      <c r="S180" s="353">
        <v>0</v>
      </c>
      <c r="T180" s="353">
        <v>0.08</v>
      </c>
      <c r="U180" s="353">
        <v>0</v>
      </c>
      <c r="V180" s="355" t="s">
        <v>1136</v>
      </c>
      <c r="W180"/>
      <c r="X180"/>
      <c r="Y180"/>
    </row>
    <row r="181" spans="2:25" s="6" customFormat="1" ht="15" customHeight="1">
      <c r="B181" s="356"/>
      <c r="C181" s="356"/>
      <c r="D181" s="356"/>
      <c r="E181" s="356"/>
      <c r="F181" s="356"/>
      <c r="G181" s="356"/>
      <c r="H181" s="356"/>
      <c r="I181" s="356"/>
      <c r="J181" s="356"/>
      <c r="K181" s="356"/>
      <c r="L181" s="356"/>
      <c r="M181" s="356"/>
      <c r="N181" s="356"/>
      <c r="O181" s="356"/>
      <c r="P181" s="356"/>
      <c r="Q181" s="356"/>
      <c r="R181" s="356"/>
    </row>
    <row r="182" spans="2:25" s="6" customFormat="1" ht="15" customHeight="1">
      <c r="B182" s="747" t="s">
        <v>1491</v>
      </c>
      <c r="C182" s="356"/>
      <c r="D182" s="356"/>
      <c r="E182" s="356"/>
      <c r="F182" s="356"/>
      <c r="G182" s="356"/>
      <c r="H182" s="356"/>
      <c r="I182" s="356"/>
      <c r="J182" s="356"/>
      <c r="K182" s="356"/>
      <c r="L182" s="356"/>
      <c r="M182" s="356"/>
      <c r="N182" s="356"/>
      <c r="O182" s="356"/>
      <c r="P182" s="356"/>
      <c r="Q182" s="356"/>
      <c r="R182" s="356"/>
    </row>
    <row r="183" spans="2:25" s="6" customFormat="1" ht="15" customHeight="1">
      <c r="B183" s="356"/>
      <c r="C183" s="356"/>
      <c r="D183" s="356"/>
      <c r="E183" s="356"/>
      <c r="F183" s="356"/>
      <c r="G183" s="356"/>
      <c r="H183" s="356"/>
      <c r="I183" s="356"/>
      <c r="J183" s="356"/>
      <c r="K183" s="356"/>
      <c r="L183" s="356"/>
      <c r="M183" s="356"/>
      <c r="N183" s="356"/>
      <c r="O183" s="356"/>
      <c r="P183" s="356"/>
      <c r="Q183" s="356"/>
      <c r="R183" s="356"/>
    </row>
    <row r="184" spans="2:25" s="6" customFormat="1" ht="15" customHeight="1">
      <c r="B184" s="2302" t="s">
        <v>1061</v>
      </c>
      <c r="C184" s="805"/>
      <c r="D184" s="827"/>
      <c r="E184" s="828" t="s">
        <v>1055</v>
      </c>
      <c r="F184" s="827"/>
      <c r="G184" s="829"/>
      <c r="H184" s="827"/>
      <c r="I184" s="828" t="s">
        <v>1151</v>
      </c>
      <c r="J184" s="829"/>
      <c r="K184" s="356"/>
      <c r="L184" s="356"/>
      <c r="M184" s="356"/>
      <c r="N184" s="356"/>
      <c r="O184" s="356"/>
      <c r="P184" s="356"/>
      <c r="Q184" s="356"/>
      <c r="R184" s="356"/>
    </row>
    <row r="185" spans="2:25" s="6" customFormat="1" ht="15" customHeight="1">
      <c r="B185" s="2550"/>
      <c r="C185" s="799" t="s">
        <v>1062</v>
      </c>
      <c r="D185" s="805"/>
      <c r="E185" s="806" t="s">
        <v>1443</v>
      </c>
      <c r="F185" s="807"/>
      <c r="G185" s="808"/>
      <c r="H185" s="809" t="s">
        <v>1062</v>
      </c>
      <c r="I185" s="810" t="s">
        <v>1053</v>
      </c>
      <c r="J185" s="810" t="s">
        <v>1152</v>
      </c>
      <c r="K185" s="356"/>
      <c r="L185" s="356"/>
      <c r="M185" s="356"/>
      <c r="N185" s="356"/>
      <c r="O185" s="356"/>
      <c r="P185" s="356"/>
      <c r="Q185" s="356"/>
      <c r="R185" s="356"/>
    </row>
    <row r="186" spans="2:25" s="6" customFormat="1" ht="15" customHeight="1">
      <c r="B186" s="820"/>
      <c r="C186" s="825"/>
      <c r="D186" s="825" t="s">
        <v>1120</v>
      </c>
      <c r="E186" s="825" t="s">
        <v>1121</v>
      </c>
      <c r="F186" s="826" t="s">
        <v>1511</v>
      </c>
      <c r="G186" s="825" t="s">
        <v>1512</v>
      </c>
      <c r="H186" s="819"/>
      <c r="I186" s="819"/>
      <c r="J186" s="819"/>
      <c r="K186" s="356"/>
      <c r="L186" s="356"/>
      <c r="M186" s="356"/>
      <c r="N186" s="356"/>
      <c r="O186" s="356"/>
      <c r="P186" s="356"/>
      <c r="Q186" s="356"/>
      <c r="R186" s="356"/>
    </row>
    <row r="187" spans="2:25" s="6" customFormat="1" ht="15" customHeight="1">
      <c r="B187" s="830"/>
      <c r="C187" s="357" t="s">
        <v>1072</v>
      </c>
      <c r="D187" s="358"/>
      <c r="E187" s="359">
        <v>0.5</v>
      </c>
      <c r="F187" s="340">
        <v>0.5</v>
      </c>
      <c r="G187" s="326">
        <v>0.5</v>
      </c>
      <c r="H187" s="327" t="s">
        <v>1073</v>
      </c>
      <c r="I187" s="360">
        <v>0.1</v>
      </c>
      <c r="J187" s="289" t="s">
        <v>1153</v>
      </c>
      <c r="K187" s="356"/>
      <c r="L187" s="356"/>
      <c r="M187" s="356"/>
      <c r="N187" s="356"/>
      <c r="O187" s="356"/>
      <c r="P187" s="356"/>
      <c r="Q187" s="356"/>
      <c r="R187" s="356"/>
    </row>
    <row r="188" spans="2:25" s="6" customFormat="1" ht="15" customHeight="1">
      <c r="B188" s="831" t="s">
        <v>1154</v>
      </c>
      <c r="C188" s="357" t="s">
        <v>1076</v>
      </c>
      <c r="D188" s="426"/>
      <c r="E188" s="362">
        <v>0.5</v>
      </c>
      <c r="F188" s="428"/>
      <c r="G188" s="372">
        <v>0.5</v>
      </c>
      <c r="H188" s="327" t="s">
        <v>1077</v>
      </c>
      <c r="I188" s="360">
        <v>0.5</v>
      </c>
      <c r="J188" s="289" t="s">
        <v>1155</v>
      </c>
      <c r="K188" s="356"/>
      <c r="L188" s="356"/>
      <c r="M188" s="356"/>
      <c r="N188" s="356"/>
      <c r="O188" s="356"/>
      <c r="P188" s="356"/>
      <c r="Q188" s="356"/>
      <c r="R188" s="356"/>
    </row>
    <row r="189" spans="2:25" s="6" customFormat="1" ht="15" customHeight="1">
      <c r="B189" s="832"/>
      <c r="C189" s="364"/>
      <c r="D189" s="365">
        <v>0</v>
      </c>
      <c r="E189" s="427"/>
      <c r="F189" s="363">
        <v>0</v>
      </c>
      <c r="G189" s="429"/>
      <c r="H189" s="327" t="s">
        <v>1079</v>
      </c>
      <c r="I189" s="360">
        <v>0</v>
      </c>
      <c r="J189" s="289">
        <v>0</v>
      </c>
      <c r="K189" s="356"/>
      <c r="L189" s="356"/>
      <c r="M189" s="356"/>
      <c r="N189" s="356"/>
      <c r="O189" s="356"/>
      <c r="P189" s="356"/>
      <c r="Q189" s="356"/>
      <c r="R189" s="356"/>
    </row>
    <row r="190" spans="2:25" s="6" customFormat="1" ht="15" customHeight="1">
      <c r="B190" s="831"/>
      <c r="C190" s="357" t="s">
        <v>1080</v>
      </c>
      <c r="D190" s="366">
        <v>0.5</v>
      </c>
      <c r="E190" s="359">
        <v>0.5</v>
      </c>
      <c r="F190" s="340">
        <v>0.5</v>
      </c>
      <c r="G190" s="326">
        <v>0.5</v>
      </c>
      <c r="H190" s="327" t="s">
        <v>1080</v>
      </c>
      <c r="I190" s="360">
        <v>0.5</v>
      </c>
      <c r="J190" s="289" t="s">
        <v>1670</v>
      </c>
      <c r="K190" s="356"/>
      <c r="L190" s="356"/>
      <c r="M190" s="356"/>
      <c r="N190" s="356"/>
      <c r="O190" s="356"/>
      <c r="P190" s="356"/>
      <c r="Q190" s="356"/>
      <c r="R190" s="356"/>
    </row>
    <row r="191" spans="2:25" s="6" customFormat="1" ht="15" customHeight="1">
      <c r="B191" s="831"/>
      <c r="C191" s="357" t="s">
        <v>1156</v>
      </c>
      <c r="D191" s="367">
        <v>0.1</v>
      </c>
      <c r="E191" s="430"/>
      <c r="F191" s="363">
        <v>0.1</v>
      </c>
      <c r="G191" s="429"/>
      <c r="H191" s="327" t="s">
        <v>1082</v>
      </c>
      <c r="I191" s="360">
        <v>0.1</v>
      </c>
      <c r="J191" s="289" t="s">
        <v>1157</v>
      </c>
      <c r="K191" s="356"/>
      <c r="L191" s="356"/>
      <c r="M191" s="356"/>
      <c r="N191" s="356"/>
      <c r="O191" s="356"/>
      <c r="P191" s="356"/>
      <c r="Q191" s="356"/>
      <c r="R191" s="356"/>
    </row>
    <row r="192" spans="2:25" s="6" customFormat="1" ht="15" customHeight="1">
      <c r="B192" s="831"/>
      <c r="C192" s="364"/>
      <c r="D192" s="431"/>
      <c r="E192" s="362">
        <v>0.5</v>
      </c>
      <c r="F192" s="428"/>
      <c r="G192" s="372">
        <v>0.5</v>
      </c>
      <c r="H192" s="327" t="s">
        <v>1082</v>
      </c>
      <c r="I192" s="360">
        <v>0.5</v>
      </c>
      <c r="J192" s="289" t="s">
        <v>1158</v>
      </c>
      <c r="K192" s="356"/>
      <c r="L192" s="356"/>
      <c r="M192" s="356"/>
      <c r="N192" s="356"/>
      <c r="O192" s="356"/>
      <c r="P192" s="356"/>
      <c r="Q192" s="356"/>
      <c r="R192" s="356"/>
    </row>
    <row r="193" spans="1:37" s="6" customFormat="1" ht="15" customHeight="1">
      <c r="B193" s="831"/>
      <c r="C193" s="368" t="s">
        <v>1159</v>
      </c>
      <c r="D193" s="366">
        <v>0.7</v>
      </c>
      <c r="E193" s="359">
        <v>0.7</v>
      </c>
      <c r="F193" s="424">
        <v>0.7</v>
      </c>
      <c r="G193" s="326">
        <v>0.7</v>
      </c>
      <c r="H193" s="327" t="s">
        <v>1082</v>
      </c>
      <c r="I193" s="360">
        <v>0.7</v>
      </c>
      <c r="J193" s="289" t="s">
        <v>1160</v>
      </c>
      <c r="K193" s="356"/>
      <c r="L193" s="356"/>
      <c r="M193" s="356"/>
      <c r="N193" s="356"/>
      <c r="O193" s="356"/>
      <c r="P193" s="356"/>
      <c r="Q193" s="356"/>
      <c r="R193" s="356"/>
    </row>
    <row r="194" spans="1:37" s="6" customFormat="1" ht="15" customHeight="1">
      <c r="B194" s="831"/>
      <c r="C194" s="364" t="s">
        <v>1161</v>
      </c>
      <c r="D194" s="432"/>
      <c r="E194" s="427"/>
      <c r="F194" s="433"/>
      <c r="G194" s="434"/>
      <c r="H194" s="327" t="s">
        <v>1082</v>
      </c>
      <c r="I194" s="360">
        <v>0.1</v>
      </c>
      <c r="J194" s="289" t="s">
        <v>1671</v>
      </c>
      <c r="K194" s="356"/>
      <c r="L194" s="356"/>
      <c r="M194" s="356"/>
      <c r="N194" s="356"/>
      <c r="O194" s="356"/>
      <c r="P194" s="356"/>
      <c r="Q194" s="356"/>
      <c r="R194" s="356"/>
    </row>
    <row r="195" spans="1:37" s="6" customFormat="1" ht="15" customHeight="1">
      <c r="B195" s="831" t="s">
        <v>1083</v>
      </c>
      <c r="C195" s="369" t="s">
        <v>1446</v>
      </c>
      <c r="D195" s="361">
        <v>0.1</v>
      </c>
      <c r="E195" s="370">
        <v>0.5</v>
      </c>
      <c r="F195" s="425">
        <v>0.1</v>
      </c>
      <c r="G195" s="371">
        <v>0.5</v>
      </c>
      <c r="H195" s="327" t="s">
        <v>1085</v>
      </c>
      <c r="I195" s="360">
        <v>0</v>
      </c>
      <c r="J195" s="289" t="s">
        <v>1162</v>
      </c>
      <c r="K195" s="356"/>
      <c r="L195" s="356"/>
      <c r="M195" s="356"/>
      <c r="N195" s="356"/>
      <c r="O195" s="356"/>
      <c r="P195" s="356"/>
      <c r="Q195" s="356"/>
      <c r="R195" s="356"/>
    </row>
    <row r="196" spans="1:37" s="6" customFormat="1" ht="15" customHeight="1">
      <c r="B196" s="831"/>
      <c r="C196" s="369"/>
      <c r="D196" s="426"/>
      <c r="E196" s="435"/>
      <c r="F196" s="436"/>
      <c r="G196" s="429"/>
      <c r="H196" s="327" t="s">
        <v>1085</v>
      </c>
      <c r="I196" s="360">
        <v>0.3</v>
      </c>
      <c r="J196" s="289" t="s">
        <v>1163</v>
      </c>
      <c r="K196" s="356"/>
      <c r="L196" s="356"/>
      <c r="M196" s="356"/>
      <c r="N196" s="356"/>
      <c r="O196" s="356"/>
      <c r="P196" s="356"/>
      <c r="Q196" s="356"/>
      <c r="R196" s="356"/>
    </row>
    <row r="197" spans="1:37" s="6" customFormat="1" ht="15" customHeight="1">
      <c r="B197" s="831"/>
      <c r="C197" s="369"/>
      <c r="D197" s="426"/>
      <c r="E197" s="435"/>
      <c r="F197" s="436"/>
      <c r="G197" s="429"/>
      <c r="H197" s="327" t="s">
        <v>1088</v>
      </c>
      <c r="I197" s="360">
        <v>0.8</v>
      </c>
      <c r="J197" s="289" t="s">
        <v>1164</v>
      </c>
      <c r="K197" s="356"/>
      <c r="L197" s="356"/>
      <c r="M197" s="356"/>
      <c r="N197" s="356"/>
      <c r="O197" s="356"/>
      <c r="P197" s="356"/>
      <c r="Q197" s="356"/>
      <c r="R197" s="356"/>
    </row>
    <row r="198" spans="1:37" s="6" customFormat="1" ht="15" customHeight="1">
      <c r="B198" s="831"/>
      <c r="C198" s="369"/>
      <c r="D198" s="426"/>
      <c r="E198" s="435"/>
      <c r="F198" s="436"/>
      <c r="G198" s="429"/>
      <c r="H198" s="327" t="s">
        <v>1672</v>
      </c>
      <c r="I198" s="360">
        <v>0.8</v>
      </c>
      <c r="J198" s="289" t="s">
        <v>1164</v>
      </c>
      <c r="K198" s="356"/>
      <c r="L198" s="356"/>
      <c r="M198" s="356"/>
      <c r="N198" s="356"/>
      <c r="O198" s="356"/>
      <c r="P198" s="356"/>
      <c r="Q198" s="356"/>
      <c r="R198" s="356"/>
    </row>
    <row r="199" spans="1:37" s="6" customFormat="1" ht="15" customHeight="1">
      <c r="B199" s="831"/>
      <c r="C199" s="369"/>
      <c r="D199" s="426"/>
      <c r="E199" s="435"/>
      <c r="F199" s="436"/>
      <c r="G199" s="429"/>
      <c r="H199" s="327" t="s">
        <v>1090</v>
      </c>
      <c r="I199" s="360">
        <v>0.2</v>
      </c>
      <c r="J199" s="289" t="s">
        <v>1165</v>
      </c>
      <c r="K199" s="356"/>
      <c r="L199" s="356"/>
      <c r="M199" s="356"/>
      <c r="N199" s="356"/>
      <c r="O199" s="356"/>
      <c r="P199" s="356"/>
      <c r="Q199" s="356"/>
      <c r="R199" s="356"/>
    </row>
    <row r="200" spans="1:37" s="6" customFormat="1" ht="15" customHeight="1">
      <c r="B200" s="832"/>
      <c r="C200" s="364"/>
      <c r="D200" s="432"/>
      <c r="E200" s="833"/>
      <c r="F200" s="834"/>
      <c r="G200" s="434"/>
      <c r="H200" s="327" t="s">
        <v>1092</v>
      </c>
      <c r="I200" s="360">
        <v>0.8</v>
      </c>
      <c r="J200" s="289" t="s">
        <v>1164</v>
      </c>
      <c r="K200" s="356"/>
      <c r="L200" s="356"/>
      <c r="M200" s="356"/>
      <c r="N200" s="356"/>
      <c r="O200" s="356"/>
      <c r="P200" s="356"/>
      <c r="Q200" s="356"/>
      <c r="R200" s="356"/>
    </row>
    <row r="201" spans="1:37" s="16" customFormat="1" ht="15" customHeight="1">
      <c r="B201" s="219"/>
      <c r="C201" s="1094"/>
      <c r="D201" s="218"/>
      <c r="E201" s="218"/>
      <c r="F201" s="27"/>
      <c r="G201" s="27"/>
      <c r="H201" s="1026"/>
      <c r="I201" s="1027"/>
      <c r="J201" s="174"/>
      <c r="K201" s="356"/>
      <c r="L201" s="356"/>
      <c r="M201" s="356"/>
      <c r="N201" s="356"/>
      <c r="O201" s="356"/>
      <c r="P201" s="356"/>
      <c r="Q201" s="356"/>
      <c r="R201" s="356"/>
    </row>
    <row r="202" spans="1:37" s="6" customFormat="1" ht="15" customHeight="1">
      <c r="B202" t="s">
        <v>1445</v>
      </c>
      <c r="C202" s="356"/>
      <c r="D202" s="356"/>
      <c r="E202" s="356"/>
      <c r="F202" s="356"/>
      <c r="G202" s="356"/>
      <c r="H202" s="356"/>
      <c r="I202" s="356"/>
      <c r="J202" s="356"/>
      <c r="K202" s="356"/>
      <c r="L202" s="356"/>
      <c r="M202" s="356"/>
      <c r="N202" s="356"/>
      <c r="O202" s="356"/>
      <c r="P202" s="356"/>
      <c r="Q202" s="356"/>
      <c r="R202" s="356"/>
    </row>
    <row r="203" spans="1:37" s="6" customFormat="1" ht="15" customHeight="1">
      <c r="B203" s="373" t="s">
        <v>1444</v>
      </c>
      <c r="C203" s="356"/>
      <c r="D203" s="356"/>
      <c r="E203" s="356"/>
      <c r="F203" s="356"/>
      <c r="G203" s="356"/>
      <c r="H203" s="356"/>
      <c r="I203" s="356"/>
      <c r="J203" s="356"/>
      <c r="K203" s="356"/>
      <c r="L203" s="356"/>
      <c r="M203" s="356"/>
      <c r="N203" s="356"/>
      <c r="O203" s="356"/>
      <c r="P203" s="356"/>
      <c r="Q203" s="356"/>
      <c r="R203" s="356"/>
    </row>
    <row r="204" spans="1:37" s="6" customFormat="1" ht="15" customHeight="1">
      <c r="B204" s="373" t="s">
        <v>1447</v>
      </c>
      <c r="C204" s="356"/>
      <c r="D204" s="356"/>
      <c r="E204" s="356"/>
      <c r="F204" s="356"/>
      <c r="G204" s="356"/>
      <c r="H204" s="356"/>
      <c r="I204" s="356"/>
      <c r="J204" s="356"/>
      <c r="K204" s="356"/>
      <c r="L204" s="356"/>
      <c r="M204" s="356"/>
      <c r="N204" s="356"/>
      <c r="O204" s="356"/>
      <c r="P204" s="356"/>
      <c r="Q204" s="356"/>
      <c r="R204" s="356"/>
    </row>
    <row r="205" spans="1:37" s="334" customFormat="1" ht="15" customHeight="1">
      <c r="A205" s="332"/>
      <c r="B205" s="346"/>
      <c r="C205" s="346"/>
      <c r="D205" s="332"/>
      <c r="E205" s="332"/>
      <c r="F205" s="332"/>
      <c r="G205" s="332"/>
      <c r="H205" s="332"/>
      <c r="I205" s="332"/>
      <c r="J205" s="332"/>
      <c r="K205" s="332"/>
      <c r="L205" s="332"/>
      <c r="M205" s="332"/>
      <c r="N205" s="332"/>
      <c r="O205" s="337"/>
      <c r="P205" s="332"/>
      <c r="Q205" s="332"/>
      <c r="R205" s="332"/>
      <c r="S205" s="332"/>
      <c r="T205" s="332"/>
      <c r="U205" s="332"/>
      <c r="V205" s="332"/>
      <c r="W205" s="332"/>
      <c r="X205" s="332"/>
      <c r="Y205" s="347"/>
      <c r="Z205" s="347"/>
      <c r="AA205" s="348"/>
      <c r="AK205" s="349"/>
    </row>
    <row r="206" spans="1:37" s="334" customFormat="1" ht="15" customHeight="1">
      <c r="A206" s="332"/>
      <c r="B206" s="747" t="s">
        <v>1166</v>
      </c>
      <c r="C206" s="346"/>
      <c r="D206" s="332"/>
      <c r="E206" s="332"/>
      <c r="F206" s="332"/>
      <c r="G206" s="332"/>
      <c r="H206" s="332"/>
      <c r="I206" s="332"/>
      <c r="J206" s="332"/>
      <c r="K206" s="332"/>
      <c r="L206" s="332"/>
      <c r="M206" s="332"/>
      <c r="N206" s="332"/>
      <c r="O206" s="337"/>
      <c r="P206" s="332"/>
      <c r="Q206" s="332"/>
      <c r="R206" s="332"/>
      <c r="S206" s="332"/>
      <c r="T206" s="332"/>
      <c r="U206" s="332"/>
      <c r="V206" s="332"/>
      <c r="W206" s="332"/>
      <c r="X206" s="332"/>
      <c r="Y206" s="347"/>
      <c r="Z206" s="347"/>
      <c r="AA206" s="348"/>
      <c r="AK206" s="349"/>
    </row>
    <row r="207" spans="1:37" s="334" customFormat="1" ht="15" customHeight="1">
      <c r="A207" s="332"/>
      <c r="B207" s="346"/>
      <c r="C207" s="346"/>
      <c r="D207" s="332"/>
      <c r="E207" s="332"/>
      <c r="F207" s="332"/>
      <c r="G207" s="332"/>
      <c r="H207" s="332"/>
      <c r="I207" s="332"/>
      <c r="J207" s="332"/>
      <c r="K207" s="332"/>
      <c r="L207" s="332"/>
      <c r="M207" s="332"/>
      <c r="N207" s="332"/>
      <c r="O207" s="337"/>
      <c r="P207" s="332"/>
      <c r="Q207" s="332"/>
      <c r="R207" s="332"/>
      <c r="S207" s="332"/>
      <c r="T207" s="332"/>
      <c r="U207" s="332"/>
      <c r="V207" s="332"/>
      <c r="W207" s="332"/>
      <c r="X207" s="332"/>
      <c r="Y207" s="347"/>
      <c r="Z207" s="347"/>
      <c r="AA207" s="348"/>
      <c r="AK207" s="349"/>
    </row>
    <row r="208" spans="1:37" s="334" customFormat="1" ht="15" customHeight="1">
      <c r="A208" s="332"/>
      <c r="B208" s="2302" t="s">
        <v>1061</v>
      </c>
      <c r="C208" s="2289" t="s">
        <v>1167</v>
      </c>
      <c r="D208" s="2290"/>
      <c r="E208" s="332"/>
      <c r="F208" s="332"/>
      <c r="G208" s="332"/>
      <c r="H208" s="332"/>
      <c r="I208" s="332"/>
      <c r="J208" s="332"/>
      <c r="K208" s="332"/>
      <c r="L208" s="332"/>
      <c r="M208" s="332"/>
      <c r="N208" s="332"/>
      <c r="O208" s="337"/>
      <c r="P208" s="332"/>
      <c r="Q208" s="332"/>
      <c r="R208" s="332"/>
      <c r="S208" s="332"/>
      <c r="T208" s="332"/>
      <c r="U208" s="332"/>
      <c r="V208" s="332"/>
      <c r="W208" s="332"/>
      <c r="X208" s="332"/>
      <c r="Y208" s="347"/>
      <c r="Z208" s="347"/>
      <c r="AA208" s="348"/>
      <c r="AK208" s="349"/>
    </row>
    <row r="209" spans="1:37" s="334" customFormat="1" ht="15" customHeight="1">
      <c r="A209" s="332"/>
      <c r="B209" s="2550"/>
      <c r="C209" s="800" t="s">
        <v>1168</v>
      </c>
      <c r="D209" s="810" t="s">
        <v>1169</v>
      </c>
      <c r="E209" s="332"/>
      <c r="F209" s="332"/>
      <c r="G209" s="332"/>
      <c r="H209" s="332"/>
      <c r="I209" s="332"/>
      <c r="J209" s="332"/>
      <c r="K209" s="332"/>
      <c r="L209" s="332"/>
      <c r="M209" s="332"/>
      <c r="N209" s="332"/>
      <c r="O209" s="337"/>
      <c r="P209" s="332"/>
      <c r="Q209" s="332"/>
      <c r="R209" s="332"/>
      <c r="S209" s="332"/>
      <c r="T209" s="332"/>
      <c r="U209" s="332"/>
      <c r="V209" s="332"/>
      <c r="W209" s="332"/>
      <c r="X209" s="332"/>
      <c r="Y209" s="347"/>
      <c r="Z209" s="347"/>
      <c r="AA209" s="348"/>
      <c r="AK209" s="349"/>
    </row>
    <row r="210" spans="1:37" s="334" customFormat="1" ht="15" customHeight="1">
      <c r="A210" s="332"/>
      <c r="B210" s="820"/>
      <c r="C210" s="819"/>
      <c r="D210" s="819"/>
      <c r="E210" s="332"/>
      <c r="F210" s="332"/>
      <c r="G210" s="332"/>
      <c r="H210" s="332"/>
      <c r="I210" s="332"/>
      <c r="J210" s="332"/>
      <c r="K210" s="332"/>
      <c r="L210" s="332"/>
      <c r="M210" s="332"/>
      <c r="N210" s="332"/>
      <c r="O210" s="337"/>
      <c r="P210" s="332"/>
      <c r="Q210" s="332"/>
      <c r="R210" s="332"/>
      <c r="S210" s="332"/>
      <c r="T210" s="332"/>
      <c r="U210" s="332"/>
      <c r="V210" s="332"/>
      <c r="W210" s="332"/>
      <c r="X210" s="332"/>
      <c r="Y210" s="347"/>
      <c r="Z210" s="347"/>
      <c r="AA210" s="348"/>
      <c r="AK210" s="349"/>
    </row>
    <row r="211" spans="1:37" s="334" customFormat="1" ht="15" customHeight="1">
      <c r="A211" s="332"/>
      <c r="B211" s="821" t="s">
        <v>1027</v>
      </c>
      <c r="C211" s="374">
        <v>37</v>
      </c>
      <c r="D211" s="822" t="s">
        <v>1494</v>
      </c>
      <c r="E211" s="332"/>
      <c r="F211" s="332"/>
      <c r="G211" s="332"/>
      <c r="H211" s="332"/>
      <c r="I211" s="332"/>
      <c r="J211" s="332"/>
      <c r="K211" s="332"/>
      <c r="L211" s="332"/>
      <c r="M211" s="332"/>
      <c r="N211" s="332"/>
      <c r="O211" s="337"/>
      <c r="P211" s="332"/>
      <c r="Q211" s="332"/>
      <c r="R211" s="332"/>
      <c r="S211" s="332"/>
      <c r="T211" s="332"/>
      <c r="U211" s="332"/>
      <c r="V211" s="332"/>
      <c r="W211" s="332"/>
      <c r="X211" s="332"/>
      <c r="Y211" s="347"/>
      <c r="Z211" s="347"/>
      <c r="AA211" s="348"/>
      <c r="AK211" s="349"/>
    </row>
    <row r="212" spans="1:37" s="334" customFormat="1" ht="15" customHeight="1">
      <c r="A212" s="332"/>
      <c r="B212" s="823" t="s">
        <v>1125</v>
      </c>
      <c r="C212" s="746">
        <v>34</v>
      </c>
      <c r="D212" s="824" t="s">
        <v>1495</v>
      </c>
      <c r="E212" s="332"/>
      <c r="F212" s="332"/>
      <c r="G212" s="332"/>
      <c r="H212" s="332"/>
      <c r="I212" s="332"/>
      <c r="J212" s="332"/>
      <c r="K212" s="332"/>
      <c r="L212" s="332"/>
      <c r="M212" s="332"/>
      <c r="N212" s="332"/>
      <c r="O212" s="337"/>
      <c r="P212" s="332"/>
      <c r="Q212" s="332"/>
      <c r="R212" s="332"/>
      <c r="S212" s="332"/>
      <c r="T212" s="332"/>
      <c r="U212" s="332"/>
      <c r="V212" s="332"/>
      <c r="W212" s="332"/>
      <c r="X212" s="332"/>
      <c r="Y212" s="347"/>
      <c r="Z212" s="347"/>
      <c r="AA212" s="348"/>
      <c r="AK212" s="349"/>
    </row>
    <row r="213" spans="1:37" s="334" customFormat="1" ht="15" customHeight="1">
      <c r="A213" s="332"/>
      <c r="B213" s="823" t="s">
        <v>1673</v>
      </c>
      <c r="C213" s="746">
        <v>40</v>
      </c>
      <c r="D213" s="824" t="s">
        <v>1494</v>
      </c>
      <c r="E213" s="332"/>
      <c r="F213" s="332"/>
      <c r="G213" s="332"/>
      <c r="H213" s="332"/>
      <c r="I213" s="332"/>
      <c r="J213" s="332"/>
      <c r="K213" s="332"/>
      <c r="L213" s="332"/>
      <c r="M213" s="332"/>
      <c r="N213" s="332"/>
      <c r="O213" s="337"/>
      <c r="P213" s="332"/>
      <c r="Q213" s="332"/>
      <c r="R213" s="332"/>
      <c r="S213" s="332"/>
      <c r="T213" s="332"/>
      <c r="U213" s="332"/>
      <c r="V213" s="332"/>
      <c r="W213" s="332"/>
      <c r="X213" s="332"/>
      <c r="Y213" s="347"/>
      <c r="Z213" s="347"/>
      <c r="AA213" s="348"/>
      <c r="AK213" s="349"/>
    </row>
    <row r="214" spans="1:37" s="334" customFormat="1" ht="15" customHeight="1">
      <c r="A214" s="332"/>
      <c r="B214" s="823" t="s">
        <v>1129</v>
      </c>
      <c r="C214" s="746">
        <v>34</v>
      </c>
      <c r="D214" s="824" t="s">
        <v>1495</v>
      </c>
      <c r="E214" s="332"/>
      <c r="F214" s="332"/>
      <c r="G214" s="332"/>
      <c r="H214" s="332"/>
      <c r="I214" s="332"/>
      <c r="J214" s="332"/>
      <c r="K214" s="332"/>
      <c r="L214" s="332"/>
      <c r="M214" s="332"/>
      <c r="N214" s="332"/>
      <c r="O214" s="337"/>
      <c r="P214" s="332"/>
      <c r="Q214" s="332"/>
      <c r="R214" s="332"/>
      <c r="S214" s="332"/>
      <c r="T214" s="332"/>
      <c r="U214" s="332"/>
      <c r="V214" s="332"/>
      <c r="W214" s="332"/>
      <c r="X214" s="332"/>
      <c r="Y214" s="347"/>
      <c r="Z214" s="347"/>
      <c r="AA214" s="348"/>
      <c r="AK214" s="349"/>
    </row>
    <row r="215" spans="1:37" s="334" customFormat="1" ht="15" customHeight="1">
      <c r="A215" s="332"/>
      <c r="B215" s="823" t="s">
        <v>1133</v>
      </c>
      <c r="C215" s="746">
        <v>42</v>
      </c>
      <c r="D215" s="824" t="s">
        <v>1496</v>
      </c>
      <c r="E215" s="332"/>
      <c r="F215" s="332"/>
      <c r="G215" s="332"/>
      <c r="H215" s="332"/>
      <c r="I215" s="332"/>
      <c r="J215" s="332"/>
      <c r="K215" s="332"/>
      <c r="L215" s="332"/>
      <c r="M215" s="332"/>
      <c r="N215" s="332"/>
      <c r="O215" s="337"/>
      <c r="P215" s="332"/>
      <c r="Q215" s="332"/>
      <c r="R215" s="332"/>
      <c r="S215" s="332"/>
      <c r="T215" s="332"/>
      <c r="U215" s="332"/>
      <c r="V215" s="332"/>
      <c r="W215" s="332"/>
      <c r="X215" s="332"/>
      <c r="Y215" s="347"/>
      <c r="Z215" s="347"/>
      <c r="AA215" s="348"/>
      <c r="AK215" s="349"/>
    </row>
    <row r="216" spans="1:37" s="334" customFormat="1" ht="15" customHeight="1">
      <c r="A216" s="332"/>
      <c r="B216" s="823" t="s">
        <v>1145</v>
      </c>
      <c r="C216" s="746">
        <v>50</v>
      </c>
      <c r="D216" s="824" t="s">
        <v>1674</v>
      </c>
      <c r="E216" s="332"/>
      <c r="F216" s="332"/>
      <c r="G216" s="332"/>
      <c r="H216" s="332"/>
      <c r="I216" s="332"/>
      <c r="J216" s="332"/>
      <c r="K216" s="332"/>
      <c r="L216" s="332"/>
      <c r="M216" s="332"/>
      <c r="N216" s="332"/>
      <c r="O216" s="337"/>
      <c r="P216" s="332"/>
      <c r="Q216" s="332"/>
      <c r="R216" s="332"/>
      <c r="S216" s="332"/>
      <c r="T216" s="332"/>
      <c r="U216" s="332"/>
      <c r="V216" s="332"/>
      <c r="W216" s="332"/>
      <c r="X216" s="332"/>
      <c r="Y216" s="347"/>
      <c r="Z216" s="347"/>
      <c r="AA216" s="348"/>
      <c r="AK216" s="349"/>
    </row>
    <row r="217" spans="1:37" s="334" customFormat="1" ht="15" customHeight="1">
      <c r="A217" s="332"/>
      <c r="B217" s="823" t="s">
        <v>1171</v>
      </c>
      <c r="C217" s="746">
        <v>60</v>
      </c>
      <c r="D217" s="824" t="s">
        <v>1497</v>
      </c>
      <c r="E217" s="332"/>
      <c r="F217" s="332"/>
      <c r="G217" s="332"/>
      <c r="H217" s="332"/>
      <c r="I217" s="332"/>
      <c r="J217" s="332"/>
      <c r="K217" s="332"/>
      <c r="L217" s="332"/>
      <c r="M217" s="332"/>
      <c r="N217" s="332"/>
      <c r="O217" s="337"/>
      <c r="P217" s="332"/>
      <c r="Q217" s="332"/>
      <c r="R217" s="332"/>
      <c r="S217" s="332"/>
      <c r="T217" s="332"/>
      <c r="U217" s="332"/>
      <c r="V217" s="332"/>
      <c r="W217" s="332"/>
      <c r="X217" s="332"/>
      <c r="Y217" s="347"/>
      <c r="Z217" s="347"/>
      <c r="AA217" s="348"/>
      <c r="AK217" s="349"/>
    </row>
    <row r="218" spans="1:37" s="334" customFormat="1" ht="15" customHeight="1">
      <c r="A218" s="332"/>
      <c r="B218" s="823" t="s">
        <v>1172</v>
      </c>
      <c r="C218" s="746">
        <v>62</v>
      </c>
      <c r="D218" s="824" t="s">
        <v>1498</v>
      </c>
      <c r="E218" s="332"/>
      <c r="F218" s="332"/>
      <c r="G218" s="332"/>
      <c r="H218" s="332"/>
      <c r="I218" s="332"/>
      <c r="J218" s="332"/>
      <c r="K218" s="332"/>
      <c r="L218" s="332"/>
      <c r="M218" s="332"/>
      <c r="N218" s="332"/>
      <c r="O218" s="337"/>
      <c r="P218" s="332"/>
      <c r="Q218" s="332"/>
      <c r="R218" s="332"/>
      <c r="S218" s="332"/>
      <c r="T218" s="332"/>
      <c r="U218" s="332"/>
      <c r="V218" s="332"/>
      <c r="W218" s="332"/>
      <c r="X218" s="332"/>
      <c r="Y218" s="347"/>
      <c r="Z218" s="347"/>
      <c r="AA218" s="348"/>
      <c r="AK218" s="349"/>
    </row>
    <row r="219" spans="1:37" s="334" customFormat="1" ht="15" customHeight="1">
      <c r="A219" s="332"/>
      <c r="B219" s="823" t="s">
        <v>1137</v>
      </c>
      <c r="C219" s="746">
        <v>62</v>
      </c>
      <c r="D219" s="824" t="s">
        <v>1498</v>
      </c>
      <c r="E219" s="332"/>
      <c r="F219" s="332"/>
      <c r="G219" s="332"/>
      <c r="H219" s="332"/>
      <c r="I219" s="332"/>
      <c r="J219" s="332"/>
      <c r="K219" s="332"/>
      <c r="L219" s="332"/>
      <c r="M219" s="332"/>
      <c r="N219" s="332"/>
      <c r="O219" s="337"/>
      <c r="P219" s="332"/>
      <c r="Q219" s="332"/>
      <c r="R219" s="332"/>
      <c r="S219" s="332"/>
      <c r="T219" s="332"/>
      <c r="U219" s="332"/>
      <c r="V219" s="332"/>
      <c r="W219" s="332"/>
      <c r="X219" s="332"/>
      <c r="Y219" s="347"/>
      <c r="Z219" s="347"/>
      <c r="AA219" s="348"/>
      <c r="AK219" s="349"/>
    </row>
    <row r="220" spans="1:37" s="334" customFormat="1" ht="15" customHeight="1">
      <c r="A220" s="332"/>
      <c r="B220" s="823" t="s">
        <v>1173</v>
      </c>
      <c r="C220" s="746">
        <v>57</v>
      </c>
      <c r="D220" s="824" t="s">
        <v>1499</v>
      </c>
      <c r="E220" s="332"/>
      <c r="F220" s="332"/>
      <c r="G220" s="332"/>
      <c r="H220" s="332"/>
      <c r="I220" s="332"/>
      <c r="J220" s="332"/>
      <c r="K220" s="332"/>
      <c r="L220" s="332"/>
      <c r="M220" s="332"/>
      <c r="N220" s="332"/>
      <c r="O220" s="337"/>
      <c r="P220" s="332"/>
      <c r="Q220" s="332"/>
      <c r="R220" s="332"/>
      <c r="S220" s="332"/>
      <c r="T220" s="332"/>
      <c r="U220" s="332"/>
      <c r="V220" s="332"/>
      <c r="W220" s="332"/>
      <c r="X220" s="332"/>
      <c r="Y220" s="347"/>
      <c r="Z220" s="347"/>
      <c r="AA220" s="348"/>
      <c r="AK220" s="349"/>
    </row>
    <row r="221" spans="1:37" s="334" customFormat="1" ht="15" customHeight="1">
      <c r="A221" s="332"/>
      <c r="B221" s="823" t="s">
        <v>1140</v>
      </c>
      <c r="C221" s="746">
        <v>60</v>
      </c>
      <c r="D221" s="824" t="s">
        <v>1500</v>
      </c>
      <c r="E221" s="332"/>
      <c r="F221" s="332"/>
      <c r="G221" s="332"/>
      <c r="H221" s="332"/>
      <c r="I221" s="332"/>
      <c r="J221" s="332"/>
      <c r="K221" s="332"/>
      <c r="L221" s="332"/>
      <c r="M221" s="332"/>
      <c r="N221" s="332"/>
      <c r="O221" s="337"/>
      <c r="P221" s="332"/>
      <c r="Q221" s="332"/>
      <c r="R221" s="332"/>
      <c r="S221" s="332"/>
      <c r="T221" s="332"/>
      <c r="U221" s="332"/>
      <c r="V221" s="332"/>
      <c r="W221" s="332"/>
      <c r="X221" s="332"/>
      <c r="Y221" s="347"/>
      <c r="Z221" s="347"/>
      <c r="AA221" s="348"/>
      <c r="AK221" s="349"/>
    </row>
    <row r="222" spans="1:37" s="334" customFormat="1" ht="15" customHeight="1">
      <c r="A222" s="332"/>
      <c r="B222" s="823" t="s">
        <v>1174</v>
      </c>
      <c r="C222" s="746">
        <v>75</v>
      </c>
      <c r="D222" s="824" t="s">
        <v>1501</v>
      </c>
      <c r="E222" s="332"/>
      <c r="F222" s="332"/>
      <c r="G222" s="332"/>
      <c r="H222" s="332"/>
      <c r="I222" s="332"/>
      <c r="J222" s="332"/>
      <c r="K222" s="332"/>
      <c r="L222" s="332"/>
      <c r="M222" s="332"/>
      <c r="N222" s="332"/>
      <c r="O222" s="337"/>
      <c r="P222" s="332"/>
      <c r="Q222" s="332"/>
      <c r="R222" s="332"/>
      <c r="S222" s="332"/>
      <c r="T222" s="332"/>
      <c r="U222" s="332"/>
      <c r="V222" s="332"/>
      <c r="W222" s="332"/>
      <c r="X222" s="332"/>
      <c r="Y222" s="347"/>
      <c r="Z222" s="347"/>
      <c r="AA222" s="348"/>
      <c r="AK222" s="349"/>
    </row>
    <row r="223" spans="1:37" s="334" customFormat="1" ht="15" customHeight="1">
      <c r="A223" s="332"/>
      <c r="B223" s="823" t="s">
        <v>1175</v>
      </c>
      <c r="C223" s="746">
        <v>38</v>
      </c>
      <c r="D223" s="824" t="s">
        <v>1502</v>
      </c>
      <c r="E223" s="332"/>
      <c r="F223" s="332"/>
      <c r="G223" s="332"/>
      <c r="H223" s="332"/>
      <c r="I223" s="332"/>
      <c r="J223" s="332"/>
      <c r="K223" s="332"/>
      <c r="L223" s="332"/>
      <c r="M223" s="332"/>
      <c r="N223" s="332"/>
      <c r="O223" s="337"/>
      <c r="P223" s="332"/>
      <c r="Q223" s="332"/>
      <c r="R223" s="332"/>
      <c r="S223" s="332"/>
      <c r="T223" s="332"/>
      <c r="U223" s="332"/>
      <c r="V223" s="332"/>
      <c r="W223" s="332"/>
      <c r="X223" s="332"/>
      <c r="Y223" s="347"/>
      <c r="Z223" s="347"/>
      <c r="AA223" s="348"/>
      <c r="AK223" s="349"/>
    </row>
    <row r="224" spans="1:37" s="334" customFormat="1" ht="15" customHeight="1">
      <c r="A224" s="332"/>
      <c r="B224" s="823" t="s">
        <v>1142</v>
      </c>
      <c r="C224" s="746">
        <v>85</v>
      </c>
      <c r="D224" s="824" t="s">
        <v>1503</v>
      </c>
      <c r="E224" s="332"/>
      <c r="F224" s="332"/>
      <c r="G224" s="332"/>
      <c r="H224" s="332"/>
      <c r="I224" s="332"/>
      <c r="J224" s="332"/>
      <c r="K224" s="332"/>
      <c r="L224" s="332"/>
      <c r="M224" s="332"/>
      <c r="N224" s="332"/>
      <c r="O224" s="337"/>
      <c r="P224" s="332"/>
      <c r="Q224" s="332"/>
      <c r="R224" s="332"/>
      <c r="S224" s="332"/>
      <c r="T224" s="332"/>
      <c r="U224" s="332"/>
      <c r="V224" s="332"/>
      <c r="W224" s="332"/>
      <c r="X224" s="332"/>
      <c r="Y224" s="347"/>
      <c r="Z224" s="347"/>
      <c r="AA224" s="348"/>
      <c r="AK224" s="349"/>
    </row>
    <row r="225" spans="1:37" s="334" customFormat="1" ht="15" customHeight="1">
      <c r="A225" s="332"/>
      <c r="E225" s="332"/>
      <c r="F225" s="332"/>
      <c r="G225" s="332"/>
      <c r="H225" s="332"/>
      <c r="I225" s="332"/>
      <c r="J225" s="332"/>
      <c r="K225" s="332"/>
      <c r="L225" s="332"/>
      <c r="M225" s="332"/>
      <c r="N225" s="332"/>
      <c r="O225" s="337"/>
      <c r="P225" s="332"/>
      <c r="Q225" s="332"/>
      <c r="R225" s="332"/>
      <c r="S225" s="332"/>
      <c r="T225" s="332"/>
      <c r="U225" s="332"/>
      <c r="V225" s="332"/>
      <c r="W225" s="332"/>
      <c r="X225" s="332"/>
      <c r="Y225" s="347"/>
      <c r="Z225" s="347"/>
      <c r="AA225" s="348"/>
      <c r="AK225" s="349"/>
    </row>
    <row r="226" spans="1:37" s="334" customFormat="1" ht="14" customHeight="1">
      <c r="A226" s="332"/>
      <c r="B226" s="747" t="s">
        <v>1492</v>
      </c>
      <c r="C226" s="346"/>
      <c r="D226" s="332"/>
      <c r="E226" s="332"/>
      <c r="F226" s="332"/>
      <c r="G226" s="332"/>
      <c r="H226" s="332"/>
      <c r="I226" s="332"/>
      <c r="J226" s="332"/>
      <c r="K226" s="332"/>
      <c r="L226" s="332"/>
      <c r="M226" s="332"/>
      <c r="N226" s="332"/>
      <c r="O226" s="337"/>
      <c r="P226" s="332"/>
      <c r="Q226" s="332"/>
      <c r="R226" s="332"/>
      <c r="S226" s="332"/>
      <c r="T226" s="332"/>
      <c r="U226" s="332"/>
      <c r="V226" s="332"/>
      <c r="W226" s="332"/>
      <c r="X226" s="332"/>
      <c r="Y226" s="347"/>
      <c r="Z226" s="347"/>
      <c r="AA226" s="348"/>
      <c r="AK226" s="349"/>
    </row>
    <row r="227" spans="1:37" s="334" customFormat="1" ht="15" customHeight="1">
      <c r="A227" s="332"/>
      <c r="B227" s="346"/>
      <c r="C227" s="346"/>
      <c r="D227" s="332"/>
      <c r="E227" s="332"/>
      <c r="F227" s="332"/>
      <c r="G227" s="332"/>
      <c r="H227" s="332"/>
      <c r="I227" s="332"/>
      <c r="J227" s="332"/>
      <c r="K227" s="332"/>
      <c r="L227" s="332"/>
      <c r="M227" s="332"/>
      <c r="N227" s="332"/>
      <c r="O227" s="337"/>
      <c r="P227" s="332"/>
      <c r="Q227" s="332"/>
      <c r="R227" s="332"/>
      <c r="S227" s="332"/>
      <c r="T227" s="332"/>
      <c r="U227" s="332"/>
      <c r="V227" s="332"/>
      <c r="W227" s="332"/>
      <c r="X227" s="332"/>
      <c r="Y227" s="347"/>
      <c r="Z227" s="347"/>
      <c r="AA227" s="348"/>
      <c r="AK227" s="349"/>
    </row>
    <row r="228" spans="1:37" s="334" customFormat="1" ht="15" customHeight="1">
      <c r="A228" s="332"/>
      <c r="B228" s="2551" t="s">
        <v>1177</v>
      </c>
      <c r="C228" s="2483" t="s">
        <v>1178</v>
      </c>
      <c r="D228" s="2483"/>
      <c r="E228" s="2552" t="s">
        <v>1179</v>
      </c>
      <c r="F228" s="2552"/>
      <c r="G228" s="332"/>
      <c r="H228" s="332"/>
      <c r="I228" s="332"/>
      <c r="J228" s="332"/>
      <c r="K228" s="332"/>
      <c r="L228" s="332"/>
      <c r="M228" s="332"/>
      <c r="N228" s="332"/>
      <c r="O228" s="337"/>
      <c r="P228" s="332"/>
      <c r="Q228" s="332"/>
      <c r="R228" s="332"/>
      <c r="S228" s="332"/>
      <c r="Y228" s="375"/>
      <c r="Z228" s="375"/>
      <c r="AB228" s="332"/>
      <c r="AK228" s="375"/>
    </row>
    <row r="229" spans="1:37" s="334" customFormat="1" ht="15" customHeight="1">
      <c r="A229" s="332"/>
      <c r="B229" s="2551"/>
      <c r="C229" s="810" t="s">
        <v>1675</v>
      </c>
      <c r="D229" s="810" t="s">
        <v>1169</v>
      </c>
      <c r="E229" s="810" t="s">
        <v>1168</v>
      </c>
      <c r="F229" s="810" t="s">
        <v>1169</v>
      </c>
      <c r="G229" s="332"/>
      <c r="H229" s="332"/>
      <c r="I229" s="332"/>
      <c r="J229" s="332"/>
      <c r="K229" s="332"/>
      <c r="L229" s="332"/>
      <c r="M229" s="332"/>
      <c r="N229" s="332"/>
      <c r="O229" s="337"/>
      <c r="P229" s="332"/>
      <c r="Q229" s="332"/>
      <c r="R229" s="332"/>
      <c r="S229" s="332"/>
      <c r="Y229" s="375"/>
      <c r="Z229" s="375"/>
      <c r="AK229" s="375"/>
    </row>
    <row r="230" spans="1:37" s="334" customFormat="1" ht="15" customHeight="1">
      <c r="A230" s="332"/>
      <c r="B230" s="795"/>
      <c r="C230" s="794"/>
      <c r="D230" s="794"/>
      <c r="E230" s="816"/>
      <c r="F230" s="816"/>
      <c r="G230" s="332"/>
      <c r="H230" s="332"/>
      <c r="I230" s="332"/>
      <c r="J230" s="332"/>
      <c r="K230" s="332"/>
      <c r="L230" s="332"/>
      <c r="M230" s="332"/>
      <c r="N230" s="332"/>
      <c r="O230" s="337"/>
      <c r="P230" s="332"/>
      <c r="Q230" s="332"/>
      <c r="R230" s="332"/>
      <c r="S230" s="332"/>
    </row>
    <row r="231" spans="1:37" s="334" customFormat="1" ht="15" customHeight="1">
      <c r="A231" s="332"/>
      <c r="B231" s="817" t="s">
        <v>1180</v>
      </c>
      <c r="C231" s="376">
        <v>24</v>
      </c>
      <c r="D231" s="377" t="s">
        <v>1181</v>
      </c>
      <c r="E231" s="378">
        <v>11</v>
      </c>
      <c r="F231" s="377" t="s">
        <v>1182</v>
      </c>
      <c r="G231" s="332"/>
      <c r="H231" s="332"/>
      <c r="I231" s="332"/>
      <c r="J231" s="332"/>
      <c r="K231" s="332"/>
      <c r="L231" s="332"/>
      <c r="M231" s="332"/>
      <c r="N231" s="332"/>
      <c r="O231" s="337"/>
      <c r="P231" s="332"/>
      <c r="Q231" s="332"/>
      <c r="R231" s="332"/>
      <c r="S231" s="332"/>
    </row>
    <row r="232" spans="1:37" s="334" customFormat="1" ht="15" customHeight="1">
      <c r="A232" s="332"/>
      <c r="B232" s="817" t="s">
        <v>1183</v>
      </c>
      <c r="C232" s="376">
        <v>6.3</v>
      </c>
      <c r="D232" s="377" t="s">
        <v>1184</v>
      </c>
      <c r="E232" s="378">
        <v>2.9</v>
      </c>
      <c r="F232" s="377" t="s">
        <v>1185</v>
      </c>
      <c r="G232" s="332"/>
      <c r="H232" s="332"/>
      <c r="I232" s="332"/>
      <c r="J232" s="332"/>
      <c r="K232" s="332"/>
      <c r="L232" s="332"/>
      <c r="M232" s="332"/>
      <c r="N232" s="332"/>
      <c r="O232" s="337"/>
      <c r="P232" s="332"/>
      <c r="Q232" s="332"/>
      <c r="R232" s="332"/>
      <c r="S232" s="332"/>
    </row>
    <row r="233" spans="1:37" s="334" customFormat="1" ht="15" customHeight="1">
      <c r="A233" s="332"/>
      <c r="B233" s="817" t="s">
        <v>1186</v>
      </c>
      <c r="C233" s="376">
        <f>C232</f>
        <v>6.3</v>
      </c>
      <c r="D233" s="378" t="s">
        <v>1187</v>
      </c>
      <c r="E233" s="378">
        <v>9</v>
      </c>
      <c r="F233" s="377" t="s">
        <v>1188</v>
      </c>
      <c r="G233" s="332"/>
      <c r="H233" s="332"/>
      <c r="I233" s="332"/>
      <c r="J233" s="332"/>
      <c r="K233" s="332"/>
      <c r="L233" s="332"/>
      <c r="M233" s="332"/>
      <c r="N233" s="332"/>
      <c r="O233" s="337"/>
      <c r="P233" s="332"/>
      <c r="Q233" s="332"/>
      <c r="R233" s="332"/>
      <c r="S233" s="332"/>
    </row>
    <row r="234" spans="1:37" s="334" customFormat="1" ht="15" customHeight="1">
      <c r="A234" s="332"/>
      <c r="B234" s="817" t="s">
        <v>1189</v>
      </c>
      <c r="C234" s="376">
        <v>7</v>
      </c>
      <c r="D234" s="377" t="s">
        <v>1190</v>
      </c>
      <c r="E234" s="378">
        <v>2.7</v>
      </c>
      <c r="F234" s="377" t="s">
        <v>1191</v>
      </c>
      <c r="G234" s="332"/>
      <c r="H234" s="332"/>
      <c r="I234" s="332"/>
      <c r="J234" s="332"/>
      <c r="K234" s="332"/>
      <c r="L234" s="332"/>
      <c r="M234" s="332"/>
      <c r="N234" s="332"/>
      <c r="O234" s="337"/>
      <c r="P234" s="332"/>
      <c r="Q234" s="332"/>
      <c r="R234" s="332"/>
      <c r="S234" s="332"/>
    </row>
    <row r="235" spans="1:37" s="334" customFormat="1" ht="15" customHeight="1">
      <c r="A235" s="332"/>
      <c r="B235" s="817" t="s">
        <v>1192</v>
      </c>
      <c r="C235" s="376">
        <f>(8+18)/2</f>
        <v>13</v>
      </c>
      <c r="D235" s="377" t="s">
        <v>1193</v>
      </c>
      <c r="E235" s="378">
        <v>2.5</v>
      </c>
      <c r="F235" s="378"/>
      <c r="G235" s="332"/>
      <c r="H235" s="332"/>
      <c r="I235" s="332"/>
      <c r="J235" s="332"/>
      <c r="K235" s="332"/>
      <c r="L235" s="332"/>
      <c r="M235" s="332"/>
      <c r="N235" s="332"/>
      <c r="O235" s="337"/>
      <c r="P235" s="332"/>
      <c r="Q235" s="332"/>
      <c r="R235" s="332"/>
      <c r="S235" s="332"/>
    </row>
    <row r="236" spans="1:37" s="334" customFormat="1" ht="15" customHeight="1">
      <c r="A236" s="332"/>
      <c r="B236" s="817" t="s">
        <v>1194</v>
      </c>
      <c r="C236" s="376">
        <v>13</v>
      </c>
      <c r="D236" s="377" t="s">
        <v>1193</v>
      </c>
      <c r="E236" s="378">
        <v>4.0999999999999996</v>
      </c>
      <c r="F236" s="377" t="s">
        <v>1185</v>
      </c>
      <c r="G236" s="332"/>
      <c r="H236" s="332"/>
      <c r="I236" s="332"/>
      <c r="J236" s="332"/>
      <c r="K236" s="332"/>
      <c r="L236" s="332"/>
      <c r="M236" s="332"/>
      <c r="N236" s="332"/>
      <c r="O236" s="337"/>
      <c r="P236" s="332"/>
      <c r="Q236" s="332"/>
      <c r="R236" s="332"/>
      <c r="S236" s="332"/>
    </row>
    <row r="237" spans="1:37" s="334" customFormat="1" ht="15" customHeight="1">
      <c r="A237" s="332"/>
      <c r="B237" s="817" t="s">
        <v>1195</v>
      </c>
      <c r="C237" s="376">
        <v>67</v>
      </c>
      <c r="D237" s="377" t="s">
        <v>1196</v>
      </c>
      <c r="E237" s="378">
        <v>3</v>
      </c>
      <c r="F237" s="377" t="s">
        <v>1197</v>
      </c>
      <c r="G237" s="332"/>
      <c r="H237" s="332"/>
      <c r="I237" s="332"/>
      <c r="J237" s="332"/>
      <c r="K237" s="332"/>
      <c r="L237" s="332"/>
      <c r="M237" s="332"/>
      <c r="N237" s="332"/>
      <c r="O237" s="332"/>
      <c r="P237" s="332"/>
      <c r="Q237" s="332"/>
      <c r="R237" s="332"/>
      <c r="S237" s="332"/>
    </row>
    <row r="238" spans="1:37" s="334" customFormat="1" ht="15" customHeight="1">
      <c r="A238" s="332"/>
      <c r="B238" s="817" t="s">
        <v>1198</v>
      </c>
      <c r="C238" s="376">
        <v>0.6</v>
      </c>
      <c r="D238" s="377" t="s">
        <v>1199</v>
      </c>
      <c r="E238" s="378">
        <v>1</v>
      </c>
      <c r="F238" s="377" t="s">
        <v>1200</v>
      </c>
      <c r="G238" s="332"/>
      <c r="H238" s="332"/>
      <c r="I238" s="332"/>
      <c r="J238" s="332"/>
      <c r="K238" s="332"/>
      <c r="L238" s="332"/>
      <c r="M238" s="332"/>
      <c r="N238" s="332"/>
      <c r="O238" s="332"/>
      <c r="P238" s="332"/>
      <c r="Q238" s="332"/>
      <c r="R238" s="332"/>
      <c r="S238" s="332"/>
    </row>
    <row r="239" spans="1:37" s="334" customFormat="1" ht="15" customHeight="1">
      <c r="A239" s="332"/>
      <c r="B239" s="817" t="s">
        <v>1201</v>
      </c>
      <c r="C239" s="376">
        <v>0.6</v>
      </c>
      <c r="D239" s="377" t="s">
        <v>1199</v>
      </c>
      <c r="E239" s="378">
        <v>3.7</v>
      </c>
      <c r="F239" s="377" t="s">
        <v>1197</v>
      </c>
      <c r="G239" s="332"/>
      <c r="H239" s="332"/>
      <c r="I239" s="332"/>
      <c r="J239" s="332"/>
      <c r="K239" s="332"/>
      <c r="L239" s="332"/>
      <c r="M239" s="332"/>
      <c r="N239" s="332"/>
      <c r="O239" s="332"/>
      <c r="P239" s="332"/>
      <c r="Q239" s="332"/>
      <c r="R239" s="332"/>
      <c r="S239" s="332"/>
    </row>
    <row r="240" spans="1:37" s="334" customFormat="1" ht="15" customHeight="1">
      <c r="A240" s="332"/>
      <c r="B240" s="817" t="s">
        <v>1202</v>
      </c>
      <c r="C240" s="376">
        <v>162</v>
      </c>
      <c r="D240" s="377" t="s">
        <v>1203</v>
      </c>
      <c r="E240" s="378">
        <v>9</v>
      </c>
      <c r="F240" s="377" t="s">
        <v>1204</v>
      </c>
      <c r="G240" s="332"/>
      <c r="H240" s="332"/>
      <c r="I240" s="332"/>
      <c r="J240" s="332"/>
      <c r="K240" s="332"/>
      <c r="L240" s="332"/>
      <c r="M240" s="332"/>
      <c r="N240" s="332"/>
      <c r="O240" s="332"/>
      <c r="P240" s="332"/>
      <c r="Q240" s="332"/>
      <c r="R240" s="332"/>
      <c r="S240" s="332"/>
    </row>
    <row r="241" spans="1:19" s="334" customFormat="1" ht="15" customHeight="1">
      <c r="A241" s="332"/>
      <c r="B241" s="817" t="s">
        <v>1205</v>
      </c>
      <c r="C241" s="376">
        <f>(1+5)/2</f>
        <v>3</v>
      </c>
      <c r="D241" s="377" t="s">
        <v>1206</v>
      </c>
      <c r="E241" s="378" t="s">
        <v>1187</v>
      </c>
      <c r="F241" s="377" t="s">
        <v>1207</v>
      </c>
      <c r="G241" s="332"/>
      <c r="H241" s="332"/>
      <c r="I241" s="332"/>
      <c r="J241" s="332"/>
      <c r="K241" s="332"/>
      <c r="L241" s="332"/>
      <c r="M241" s="332"/>
      <c r="N241" s="332"/>
      <c r="O241" s="332"/>
      <c r="P241" s="332"/>
      <c r="Q241" s="332"/>
      <c r="R241" s="332"/>
      <c r="S241" s="332"/>
    </row>
    <row r="242" spans="1:19" s="334" customFormat="1" ht="15" customHeight="1">
      <c r="A242" s="332"/>
      <c r="B242" s="817" t="s">
        <v>1208</v>
      </c>
      <c r="C242" s="376">
        <v>9</v>
      </c>
      <c r="D242" s="377" t="s">
        <v>1209</v>
      </c>
      <c r="E242" s="378">
        <v>10</v>
      </c>
      <c r="F242" s="377" t="s">
        <v>1210</v>
      </c>
      <c r="G242" s="332"/>
      <c r="H242" s="332"/>
      <c r="I242" s="332"/>
      <c r="J242" s="332"/>
      <c r="K242" s="332"/>
      <c r="L242" s="332"/>
      <c r="M242" s="332"/>
      <c r="N242" s="332"/>
      <c r="O242" s="332"/>
      <c r="P242" s="332"/>
      <c r="Q242" s="332"/>
      <c r="R242" s="332"/>
      <c r="S242" s="332"/>
    </row>
    <row r="243" spans="1:19" s="334" customFormat="1" ht="15" customHeight="1">
      <c r="A243" s="332"/>
      <c r="B243" s="817" t="s">
        <v>1211</v>
      </c>
      <c r="C243" s="376">
        <f>(4+18)/2</f>
        <v>11</v>
      </c>
      <c r="D243" s="377" t="s">
        <v>1209</v>
      </c>
      <c r="E243" s="378">
        <v>3.2</v>
      </c>
      <c r="F243" s="377" t="s">
        <v>1212</v>
      </c>
      <c r="G243" s="332"/>
      <c r="H243" s="332"/>
      <c r="I243" s="332"/>
      <c r="J243" s="332"/>
      <c r="K243" s="332"/>
      <c r="L243" s="332"/>
      <c r="M243" s="332"/>
      <c r="N243" s="332"/>
      <c r="O243" s="332"/>
      <c r="P243" s="332"/>
      <c r="Q243" s="332"/>
      <c r="R243" s="332"/>
      <c r="S243" s="332"/>
    </row>
    <row r="244" spans="1:19" s="334" customFormat="1" ht="15" customHeight="1">
      <c r="A244" s="332"/>
      <c r="B244" s="817" t="s">
        <v>1213</v>
      </c>
      <c r="C244" s="376">
        <v>3.1</v>
      </c>
      <c r="D244" s="377" t="s">
        <v>1206</v>
      </c>
      <c r="E244" s="378" t="s">
        <v>1187</v>
      </c>
      <c r="F244" s="377" t="s">
        <v>1207</v>
      </c>
      <c r="G244" s="332"/>
      <c r="H244" s="332"/>
      <c r="I244" s="332"/>
      <c r="J244" s="332"/>
      <c r="K244" s="332"/>
      <c r="L244" s="332"/>
      <c r="M244" s="332"/>
      <c r="N244" s="332"/>
      <c r="O244" s="332"/>
      <c r="P244" s="332"/>
      <c r="Q244" s="332"/>
      <c r="R244" s="332"/>
      <c r="S244" s="332"/>
    </row>
    <row r="245" spans="1:19" s="334" customFormat="1" ht="15" customHeight="1">
      <c r="A245" s="332"/>
      <c r="B245" s="818" t="s">
        <v>1214</v>
      </c>
      <c r="C245" s="376">
        <v>20</v>
      </c>
      <c r="D245" s="377" t="s">
        <v>1215</v>
      </c>
      <c r="E245" s="378">
        <v>5</v>
      </c>
      <c r="F245" s="377" t="s">
        <v>1216</v>
      </c>
      <c r="G245" s="332"/>
      <c r="H245" s="332"/>
      <c r="I245" s="332"/>
      <c r="J245" s="332"/>
      <c r="K245" s="332"/>
      <c r="L245" s="332"/>
      <c r="M245" s="332"/>
      <c r="N245" s="332"/>
      <c r="O245" s="332"/>
      <c r="P245" s="332"/>
      <c r="Q245" s="332"/>
      <c r="R245" s="332"/>
      <c r="S245" s="332"/>
    </row>
    <row r="246" spans="1:19" s="334" customFormat="1" ht="15" customHeight="1">
      <c r="A246" s="332"/>
      <c r="B246" s="817" t="s">
        <v>1217</v>
      </c>
      <c r="C246" s="376">
        <v>23</v>
      </c>
      <c r="D246" s="377" t="s">
        <v>1218</v>
      </c>
      <c r="E246" s="378">
        <v>1.5</v>
      </c>
      <c r="F246" s="377" t="s">
        <v>1219</v>
      </c>
      <c r="G246" s="332"/>
      <c r="H246" s="332"/>
      <c r="I246" s="332"/>
      <c r="J246" s="332"/>
      <c r="K246" s="332"/>
      <c r="L246" s="332"/>
      <c r="M246" s="332"/>
      <c r="N246" s="332"/>
      <c r="O246" s="332"/>
      <c r="P246" s="332"/>
      <c r="Q246" s="332"/>
      <c r="R246" s="332"/>
      <c r="S246" s="332"/>
    </row>
    <row r="247" spans="1:19" s="334" customFormat="1" ht="15" customHeight="1">
      <c r="A247" s="332"/>
      <c r="B247" s="380"/>
      <c r="C247" s="1028"/>
      <c r="D247" s="1029"/>
      <c r="E247" s="1030"/>
      <c r="F247" s="1029"/>
      <c r="G247" s="332"/>
      <c r="H247" s="332"/>
      <c r="I247" s="332"/>
      <c r="J247" s="332"/>
      <c r="K247" s="332"/>
      <c r="L247" s="332"/>
      <c r="M247" s="332"/>
      <c r="N247" s="332"/>
      <c r="O247" s="332"/>
      <c r="P247" s="332"/>
      <c r="Q247" s="332"/>
      <c r="R247" s="332"/>
      <c r="S247" s="332"/>
    </row>
    <row r="248" spans="1:19" s="6" customFormat="1" ht="15" customHeight="1">
      <c r="B248" t="s">
        <v>1676</v>
      </c>
      <c r="C248" s="356"/>
      <c r="D248" s="356"/>
      <c r="E248" s="356"/>
      <c r="F248" s="356"/>
      <c r="G248" s="356"/>
      <c r="H248" s="356"/>
      <c r="I248" s="356"/>
      <c r="J248" s="356"/>
      <c r="K248" s="356"/>
      <c r="L248" s="356"/>
      <c r="M248" s="356"/>
      <c r="N248" s="356"/>
      <c r="O248" s="356"/>
      <c r="P248" s="356"/>
      <c r="Q248" s="356"/>
      <c r="R248" s="356"/>
    </row>
    <row r="249" spans="1:19" s="334" customFormat="1" ht="15" customHeight="1">
      <c r="A249" s="332"/>
      <c r="B249" s="337"/>
      <c r="C249" s="337"/>
      <c r="D249" s="379"/>
      <c r="E249" s="337"/>
      <c r="F249" s="332"/>
      <c r="G249" s="332"/>
      <c r="H249" s="332"/>
      <c r="I249" s="332"/>
      <c r="J249" s="332"/>
      <c r="K249" s="332"/>
      <c r="L249" s="332"/>
      <c r="M249" s="332"/>
      <c r="N249" s="332"/>
      <c r="O249" s="332"/>
      <c r="P249" s="332"/>
      <c r="Q249" s="332"/>
      <c r="R249" s="332"/>
      <c r="S249" s="332"/>
    </row>
    <row r="250" spans="1:19" s="334" customFormat="1" ht="15" customHeight="1">
      <c r="A250" s="332"/>
      <c r="B250" s="747" t="s">
        <v>1493</v>
      </c>
      <c r="C250" s="380"/>
      <c r="D250" s="379"/>
      <c r="E250" s="337"/>
      <c r="F250" s="332"/>
      <c r="G250" s="332"/>
      <c r="H250" s="332"/>
      <c r="I250" s="332"/>
      <c r="J250" s="332"/>
      <c r="K250" s="332"/>
      <c r="L250" s="332"/>
      <c r="M250" s="332"/>
      <c r="N250" s="332"/>
      <c r="O250" s="332"/>
      <c r="P250" s="332"/>
      <c r="Q250" s="332"/>
      <c r="R250" s="332"/>
      <c r="S250" s="332"/>
    </row>
    <row r="251" spans="1:19" s="334" customFormat="1" ht="15" customHeight="1">
      <c r="A251" s="332"/>
      <c r="B251" s="380"/>
      <c r="C251" s="380"/>
      <c r="D251" s="379"/>
      <c r="E251" s="337"/>
      <c r="F251" s="332"/>
      <c r="G251" s="332"/>
      <c r="H251" s="332"/>
      <c r="I251" s="332"/>
      <c r="J251" s="332"/>
      <c r="K251" s="332"/>
      <c r="L251" s="332"/>
      <c r="M251" s="332"/>
      <c r="N251" s="332"/>
      <c r="O251" s="332"/>
      <c r="P251" s="332"/>
      <c r="Q251" s="332"/>
      <c r="R251" s="332"/>
      <c r="S251" s="332"/>
    </row>
    <row r="252" spans="1:19" s="334" customFormat="1" ht="15" customHeight="1">
      <c r="A252" s="332"/>
      <c r="B252" s="2320" t="s">
        <v>1220</v>
      </c>
      <c r="C252" s="2370"/>
      <c r="D252" s="2385"/>
      <c r="E252" s="2289" t="s">
        <v>1053</v>
      </c>
      <c r="F252" s="2290"/>
      <c r="G252" s="332"/>
      <c r="H252" s="332"/>
      <c r="I252" s="332"/>
      <c r="J252" s="332"/>
      <c r="K252" s="332"/>
      <c r="L252" s="332"/>
      <c r="M252" s="332"/>
      <c r="N252" s="332"/>
      <c r="O252" s="332"/>
      <c r="P252" s="332"/>
      <c r="Q252" s="332"/>
      <c r="R252" s="332"/>
      <c r="S252" s="332"/>
    </row>
    <row r="253" spans="1:19" s="334" customFormat="1" ht="15" customHeight="1">
      <c r="A253" s="332"/>
      <c r="B253" s="2324"/>
      <c r="C253" s="2372"/>
      <c r="D253" s="2496"/>
      <c r="E253" s="810" t="s">
        <v>1168</v>
      </c>
      <c r="F253" s="810" t="s">
        <v>1169</v>
      </c>
      <c r="G253" s="332"/>
      <c r="H253" s="332"/>
      <c r="I253" s="332"/>
      <c r="J253" s="332"/>
      <c r="K253" s="332"/>
      <c r="L253" s="332"/>
      <c r="M253" s="332"/>
      <c r="N253" s="332"/>
      <c r="O253" s="332"/>
      <c r="P253" s="332"/>
      <c r="Q253" s="332"/>
      <c r="R253" s="332"/>
      <c r="S253" s="332"/>
    </row>
    <row r="254" spans="1:19" s="334" customFormat="1" ht="15" customHeight="1">
      <c r="A254" s="332"/>
      <c r="B254" s="813"/>
      <c r="C254" s="811"/>
      <c r="D254" s="812"/>
      <c r="E254" s="794"/>
      <c r="F254" s="794"/>
      <c r="G254" s="332"/>
      <c r="H254" s="332"/>
      <c r="I254" s="332"/>
      <c r="J254" s="332"/>
      <c r="K254" s="332"/>
      <c r="L254" s="332"/>
      <c r="M254" s="332"/>
      <c r="N254" s="332"/>
      <c r="O254" s="332"/>
      <c r="P254" s="332"/>
      <c r="Q254" s="332"/>
      <c r="R254" s="332"/>
      <c r="S254" s="332"/>
    </row>
    <row r="255" spans="1:19" s="334" customFormat="1" ht="15" customHeight="1">
      <c r="A255" s="332"/>
      <c r="B255" s="814" t="s">
        <v>1110</v>
      </c>
      <c r="C255" s="381"/>
      <c r="D255" s="382"/>
      <c r="E255" s="383">
        <v>0</v>
      </c>
      <c r="F255" s="815" t="s">
        <v>1162</v>
      </c>
      <c r="G255" s="332"/>
      <c r="H255" s="332"/>
      <c r="I255" s="332"/>
      <c r="J255" s="332"/>
      <c r="K255" s="332"/>
      <c r="L255" s="332"/>
      <c r="M255" s="332"/>
      <c r="N255" s="332"/>
      <c r="O255" s="332"/>
      <c r="P255" s="332"/>
      <c r="Q255" s="332"/>
      <c r="R255" s="332"/>
      <c r="S255" s="332"/>
    </row>
    <row r="256" spans="1:19" s="334" customFormat="1" ht="15" customHeight="1">
      <c r="A256" s="332"/>
      <c r="B256" s="814" t="s">
        <v>1221</v>
      </c>
      <c r="C256" s="381"/>
      <c r="D256" s="382"/>
      <c r="E256" s="384">
        <v>0.3</v>
      </c>
      <c r="F256" s="815" t="s">
        <v>1163</v>
      </c>
      <c r="G256" s="332"/>
      <c r="H256" s="332"/>
      <c r="I256" s="332"/>
      <c r="J256" s="332"/>
      <c r="K256" s="332"/>
      <c r="L256" s="332"/>
      <c r="M256" s="332"/>
      <c r="N256" s="332"/>
      <c r="O256" s="332"/>
      <c r="P256" s="332"/>
      <c r="Q256" s="332"/>
      <c r="R256" s="332"/>
      <c r="S256" s="332"/>
    </row>
    <row r="257" spans="1:19" s="334" customFormat="1" ht="15" customHeight="1">
      <c r="A257" s="332"/>
      <c r="B257" s="814" t="s">
        <v>1222</v>
      </c>
      <c r="C257" s="381"/>
      <c r="D257" s="382"/>
      <c r="E257" s="384">
        <v>0.8</v>
      </c>
      <c r="F257" s="815" t="s">
        <v>1677</v>
      </c>
      <c r="G257" s="332"/>
      <c r="H257" s="332"/>
      <c r="I257" s="332"/>
      <c r="J257" s="332"/>
      <c r="K257" s="332"/>
      <c r="L257" s="332"/>
      <c r="M257" s="332"/>
      <c r="N257" s="332"/>
      <c r="O257" s="332"/>
      <c r="P257" s="332"/>
      <c r="Q257" s="332"/>
      <c r="R257" s="332"/>
      <c r="S257" s="332"/>
    </row>
    <row r="258" spans="1:19" s="334" customFormat="1" ht="15" customHeight="1">
      <c r="A258" s="332"/>
      <c r="B258" s="814" t="s">
        <v>1223</v>
      </c>
      <c r="C258" s="381"/>
      <c r="D258" s="382"/>
      <c r="E258" s="384">
        <v>0.8</v>
      </c>
      <c r="F258" s="815" t="s">
        <v>1677</v>
      </c>
      <c r="G258" s="332"/>
      <c r="H258" s="332"/>
      <c r="I258" s="332"/>
      <c r="J258" s="332"/>
      <c r="K258" s="332"/>
      <c r="L258" s="332"/>
      <c r="M258" s="332"/>
      <c r="N258" s="332"/>
      <c r="O258" s="332"/>
      <c r="P258" s="332"/>
      <c r="Q258" s="332"/>
      <c r="R258" s="332"/>
      <c r="S258" s="332"/>
    </row>
    <row r="259" spans="1:19" s="334" customFormat="1" ht="15" customHeight="1">
      <c r="A259" s="332"/>
      <c r="B259" s="814" t="s">
        <v>1224</v>
      </c>
      <c r="C259" s="381"/>
      <c r="D259" s="382"/>
      <c r="E259" s="384">
        <v>0.2</v>
      </c>
      <c r="F259" s="815" t="s">
        <v>1165</v>
      </c>
      <c r="G259" s="332"/>
      <c r="H259" s="332"/>
      <c r="I259" s="332"/>
      <c r="J259" s="332"/>
      <c r="K259" s="332"/>
      <c r="L259" s="332"/>
      <c r="M259" s="332"/>
      <c r="N259" s="332"/>
      <c r="O259" s="332"/>
      <c r="P259" s="332"/>
      <c r="Q259" s="332"/>
      <c r="R259" s="332"/>
      <c r="S259" s="332"/>
    </row>
    <row r="260" spans="1:19" ht="15" customHeight="1">
      <c r="A260" s="332"/>
      <c r="B260" s="814" t="s">
        <v>1225</v>
      </c>
      <c r="C260" s="381"/>
      <c r="D260" s="382"/>
      <c r="E260" s="384">
        <v>0.8</v>
      </c>
      <c r="F260" s="815" t="s">
        <v>1677</v>
      </c>
      <c r="G260" s="318"/>
      <c r="H260" s="318"/>
      <c r="I260" s="318"/>
      <c r="J260" s="318"/>
      <c r="K260" s="318"/>
      <c r="L260" s="318"/>
      <c r="M260" s="318"/>
      <c r="N260" s="318"/>
      <c r="O260" s="318"/>
      <c r="P260" s="318"/>
      <c r="Q260" s="318"/>
      <c r="R260" s="318"/>
      <c r="S260" s="318"/>
    </row>
    <row r="261" spans="1:19" ht="15" customHeight="1">
      <c r="A261" s="332"/>
      <c r="B261" s="814" t="s">
        <v>1226</v>
      </c>
      <c r="C261" s="381"/>
      <c r="D261" s="382"/>
      <c r="E261" s="384">
        <v>0.1</v>
      </c>
      <c r="F261" s="815" t="s">
        <v>1153</v>
      </c>
      <c r="G261" s="318"/>
      <c r="H261" s="318"/>
      <c r="I261" s="318"/>
      <c r="J261" s="318"/>
      <c r="K261" s="318"/>
      <c r="L261" s="318"/>
      <c r="M261" s="318"/>
      <c r="N261" s="318"/>
      <c r="O261" s="318"/>
      <c r="P261" s="318"/>
      <c r="Q261" s="318"/>
      <c r="R261" s="318"/>
      <c r="S261" s="318"/>
    </row>
    <row r="263" spans="1:19" s="334" customFormat="1" ht="15" customHeight="1">
      <c r="A263" s="332"/>
      <c r="B263" s="747" t="s">
        <v>1793</v>
      </c>
      <c r="C263" s="380"/>
      <c r="D263" s="379"/>
      <c r="E263" s="337"/>
      <c r="F263" s="332"/>
      <c r="G263" s="332"/>
      <c r="H263" s="332"/>
      <c r="I263" s="332"/>
      <c r="J263" s="332"/>
      <c r="K263" s="332"/>
      <c r="L263" s="332"/>
      <c r="M263" s="332"/>
      <c r="N263" s="332"/>
      <c r="O263" s="332"/>
      <c r="P263" s="332"/>
      <c r="Q263" s="332"/>
      <c r="R263" s="332"/>
      <c r="S263" s="332"/>
    </row>
    <row r="265" spans="1:19" ht="15" customHeight="1">
      <c r="A265" s="866"/>
      <c r="B265" s="2320" t="s">
        <v>620</v>
      </c>
      <c r="C265" s="2370"/>
      <c r="D265" s="2385"/>
      <c r="E265" s="2320" t="s">
        <v>1117</v>
      </c>
      <c r="F265" s="2385"/>
      <c r="G265" s="2320" t="s">
        <v>1828</v>
      </c>
    </row>
    <row r="266" spans="1:19" ht="15" customHeight="1">
      <c r="B266" s="2324"/>
      <c r="C266" s="2372"/>
      <c r="D266" s="2496"/>
      <c r="E266" s="2324"/>
      <c r="F266" s="2496"/>
      <c r="G266" s="2324"/>
    </row>
    <row r="267" spans="1:19">
      <c r="B267" s="813" t="s">
        <v>182</v>
      </c>
      <c r="C267" s="811"/>
      <c r="D267" s="812"/>
      <c r="E267" s="2525"/>
      <c r="F267" s="2526"/>
      <c r="G267" s="970"/>
    </row>
    <row r="268" spans="1:19">
      <c r="B268" s="965" t="s">
        <v>1227</v>
      </c>
      <c r="C268" s="966"/>
      <c r="D268" s="319"/>
      <c r="E268" s="965"/>
      <c r="F268" s="319"/>
      <c r="G268" s="371">
        <v>58</v>
      </c>
    </row>
    <row r="269" spans="1:19">
      <c r="B269" s="967" t="s">
        <v>1228</v>
      </c>
      <c r="C269" s="396"/>
      <c r="D269" s="321"/>
      <c r="E269" s="967"/>
      <c r="F269" s="321"/>
      <c r="G269" s="372">
        <v>101</v>
      </c>
    </row>
    <row r="270" spans="1:19">
      <c r="B270" s="967" t="s">
        <v>1229</v>
      </c>
      <c r="C270" s="396"/>
      <c r="D270" s="321"/>
      <c r="E270" s="967"/>
      <c r="F270" s="321"/>
      <c r="G270" s="372">
        <v>88</v>
      </c>
    </row>
    <row r="271" spans="1:19">
      <c r="B271" s="967" t="s">
        <v>1230</v>
      </c>
      <c r="C271" s="396"/>
      <c r="D271" s="321"/>
      <c r="E271" s="967"/>
      <c r="F271" s="321"/>
      <c r="G271" s="372"/>
    </row>
    <row r="272" spans="1:19">
      <c r="B272" s="967" t="s">
        <v>1231</v>
      </c>
      <c r="C272" s="396"/>
      <c r="D272" s="321"/>
      <c r="E272" s="967"/>
      <c r="F272" s="321"/>
      <c r="G272" s="372"/>
    </row>
    <row r="273" spans="2:7">
      <c r="B273" s="967" t="s">
        <v>1232</v>
      </c>
      <c r="C273" s="396"/>
      <c r="D273" s="321"/>
      <c r="E273" s="967"/>
      <c r="F273" s="321"/>
      <c r="G273" s="372">
        <v>54</v>
      </c>
    </row>
    <row r="274" spans="2:7">
      <c r="B274" s="967" t="s">
        <v>1233</v>
      </c>
      <c r="C274" s="396"/>
      <c r="D274" s="321"/>
      <c r="E274" s="967"/>
      <c r="F274" s="321"/>
      <c r="G274" s="372"/>
    </row>
    <row r="275" spans="2:7">
      <c r="B275" s="967" t="s">
        <v>1234</v>
      </c>
      <c r="C275" s="396"/>
      <c r="D275" s="321"/>
      <c r="E275" s="967"/>
      <c r="F275" s="321"/>
      <c r="G275" s="372"/>
    </row>
    <row r="276" spans="2:7">
      <c r="B276" s="967" t="s">
        <v>1235</v>
      </c>
      <c r="C276" s="396"/>
      <c r="D276" s="321"/>
      <c r="E276" s="967"/>
      <c r="F276" s="321"/>
      <c r="G276" s="372">
        <v>99</v>
      </c>
    </row>
    <row r="277" spans="2:7">
      <c r="B277" s="967" t="s">
        <v>1236</v>
      </c>
      <c r="C277" s="396"/>
      <c r="D277" s="321"/>
      <c r="E277" s="967"/>
      <c r="F277" s="321"/>
      <c r="G277" s="372">
        <v>85</v>
      </c>
    </row>
    <row r="278" spans="2:7">
      <c r="B278" s="967" t="s">
        <v>1237</v>
      </c>
      <c r="C278" s="396"/>
      <c r="D278" s="321"/>
      <c r="E278" s="967"/>
      <c r="F278" s="321"/>
      <c r="G278" s="372"/>
    </row>
    <row r="279" spans="2:7">
      <c r="B279" s="967" t="s">
        <v>1149</v>
      </c>
      <c r="C279" s="396"/>
      <c r="D279" s="321"/>
      <c r="E279" s="967"/>
      <c r="F279" s="321"/>
      <c r="G279" s="372">
        <v>104</v>
      </c>
    </row>
    <row r="280" spans="2:7">
      <c r="B280" s="967" t="s">
        <v>1238</v>
      </c>
      <c r="C280" s="396"/>
      <c r="D280" s="321"/>
      <c r="E280" s="967"/>
      <c r="F280" s="321"/>
      <c r="G280" s="372">
        <v>106</v>
      </c>
    </row>
    <row r="281" spans="2:7">
      <c r="B281" s="967" t="s">
        <v>1239</v>
      </c>
      <c r="C281" s="396"/>
      <c r="D281" s="321"/>
      <c r="E281" s="967"/>
      <c r="F281" s="321"/>
      <c r="G281" s="372">
        <v>88</v>
      </c>
    </row>
    <row r="282" spans="2:7">
      <c r="B282" s="967" t="s">
        <v>1240</v>
      </c>
      <c r="C282" s="396"/>
      <c r="D282" s="321"/>
      <c r="E282" s="967"/>
      <c r="F282" s="321"/>
      <c r="G282" s="372"/>
    </row>
    <row r="283" spans="2:7">
      <c r="B283" s="967" t="s">
        <v>1241</v>
      </c>
      <c r="C283" s="396"/>
      <c r="D283" s="321"/>
      <c r="E283" s="967"/>
      <c r="F283" s="321"/>
      <c r="G283" s="372"/>
    </row>
    <row r="284" spans="2:7">
      <c r="B284" s="967" t="s">
        <v>1132</v>
      </c>
      <c r="C284" s="396"/>
      <c r="D284" s="321"/>
      <c r="E284" s="967"/>
      <c r="F284" s="321"/>
      <c r="G284" s="372">
        <v>55</v>
      </c>
    </row>
    <row r="285" spans="2:7">
      <c r="B285" s="967" t="s">
        <v>1242</v>
      </c>
      <c r="C285" s="396"/>
      <c r="D285" s="321"/>
      <c r="E285" s="967"/>
      <c r="F285" s="321"/>
      <c r="G285" s="372">
        <v>91</v>
      </c>
    </row>
    <row r="286" spans="2:7">
      <c r="B286" s="967" t="s">
        <v>1243</v>
      </c>
      <c r="C286" s="396"/>
      <c r="D286" s="321"/>
      <c r="E286" s="967"/>
      <c r="F286" s="321"/>
      <c r="G286" s="372">
        <v>92</v>
      </c>
    </row>
    <row r="287" spans="2:7">
      <c r="B287" s="967" t="s">
        <v>1244</v>
      </c>
      <c r="C287" s="396"/>
      <c r="D287" s="321"/>
      <c r="E287" s="967"/>
      <c r="F287" s="321"/>
      <c r="G287" s="372">
        <v>102</v>
      </c>
    </row>
    <row r="288" spans="2:7">
      <c r="B288" s="967" t="s">
        <v>1245</v>
      </c>
      <c r="C288" s="396"/>
      <c r="D288" s="321"/>
      <c r="E288" s="967"/>
      <c r="F288" s="321"/>
      <c r="G288" s="372">
        <v>71</v>
      </c>
    </row>
    <row r="289" spans="2:7">
      <c r="B289" s="967" t="s">
        <v>1246</v>
      </c>
      <c r="C289" s="396"/>
      <c r="D289" s="321"/>
      <c r="E289" s="967"/>
      <c r="F289" s="321"/>
      <c r="G289" s="372">
        <v>61</v>
      </c>
    </row>
    <row r="290" spans="2:7">
      <c r="B290" s="967" t="s">
        <v>1247</v>
      </c>
      <c r="C290" s="396"/>
      <c r="D290" s="321"/>
      <c r="E290" s="967"/>
      <c r="F290" s="321"/>
      <c r="G290" s="372">
        <v>89</v>
      </c>
    </row>
    <row r="291" spans="2:7">
      <c r="B291" s="967" t="s">
        <v>1248</v>
      </c>
      <c r="C291" s="396"/>
      <c r="D291" s="321"/>
      <c r="E291" s="967"/>
      <c r="F291" s="321"/>
      <c r="G291" s="372"/>
    </row>
    <row r="292" spans="2:7">
      <c r="B292" s="967" t="s">
        <v>1249</v>
      </c>
      <c r="C292" s="396"/>
      <c r="D292" s="321"/>
      <c r="E292" s="967"/>
      <c r="F292" s="321"/>
      <c r="G292" s="372">
        <v>64</v>
      </c>
    </row>
    <row r="293" spans="2:7">
      <c r="B293" s="967" t="s">
        <v>1250</v>
      </c>
      <c r="C293" s="396"/>
      <c r="D293" s="321"/>
      <c r="E293" s="967"/>
      <c r="F293" s="321"/>
      <c r="G293" s="372">
        <v>90</v>
      </c>
    </row>
    <row r="294" spans="2:7">
      <c r="B294" s="967" t="s">
        <v>1251</v>
      </c>
      <c r="C294" s="396"/>
      <c r="D294" s="321"/>
      <c r="E294" s="967"/>
      <c r="F294" s="321"/>
      <c r="G294" s="372">
        <v>64</v>
      </c>
    </row>
    <row r="295" spans="2:7">
      <c r="B295" s="967" t="s">
        <v>1145</v>
      </c>
      <c r="C295" s="396"/>
      <c r="D295" s="321"/>
      <c r="E295" s="967"/>
      <c r="F295" s="321"/>
      <c r="G295" s="372">
        <v>92</v>
      </c>
    </row>
    <row r="296" spans="2:7">
      <c r="B296" s="967" t="s">
        <v>1252</v>
      </c>
      <c r="C296" s="396"/>
      <c r="D296" s="321"/>
      <c r="E296" s="967"/>
      <c r="F296" s="321"/>
      <c r="G296" s="372"/>
    </row>
    <row r="297" spans="2:7">
      <c r="B297" s="967" t="s">
        <v>1253</v>
      </c>
      <c r="C297" s="396"/>
      <c r="D297" s="321"/>
      <c r="E297" s="967"/>
      <c r="F297" s="321"/>
      <c r="G297" s="372">
        <v>84</v>
      </c>
    </row>
    <row r="298" spans="2:7">
      <c r="B298" s="967" t="s">
        <v>1254</v>
      </c>
      <c r="C298" s="396"/>
      <c r="D298" s="321"/>
      <c r="E298" s="967"/>
      <c r="F298" s="321"/>
      <c r="G298" s="372">
        <v>82</v>
      </c>
    </row>
    <row r="299" spans="2:7">
      <c r="B299" s="967" t="s">
        <v>1255</v>
      </c>
      <c r="C299" s="396"/>
      <c r="D299" s="321"/>
      <c r="E299" s="967"/>
      <c r="F299" s="321"/>
      <c r="G299" s="372">
        <v>80</v>
      </c>
    </row>
    <row r="300" spans="2:7">
      <c r="B300" s="967" t="s">
        <v>1256</v>
      </c>
      <c r="C300" s="396"/>
      <c r="D300" s="321"/>
      <c r="E300" s="967"/>
      <c r="F300" s="321"/>
      <c r="G300" s="372"/>
    </row>
    <row r="301" spans="2:7">
      <c r="B301" s="967" t="s">
        <v>1257</v>
      </c>
      <c r="C301" s="396"/>
      <c r="D301" s="321"/>
      <c r="E301" s="967"/>
      <c r="F301" s="321"/>
      <c r="G301" s="372">
        <v>75</v>
      </c>
    </row>
    <row r="302" spans="2:7">
      <c r="B302" s="967" t="s">
        <v>1258</v>
      </c>
      <c r="C302" s="396"/>
      <c r="D302" s="321"/>
      <c r="E302" s="967"/>
      <c r="F302" s="321"/>
      <c r="G302" s="372">
        <v>63</v>
      </c>
    </row>
    <row r="303" spans="2:7">
      <c r="B303" s="967" t="s">
        <v>1259</v>
      </c>
      <c r="C303" s="396"/>
      <c r="D303" s="321"/>
      <c r="E303" s="967"/>
      <c r="F303" s="321"/>
      <c r="G303" s="372">
        <v>68</v>
      </c>
    </row>
    <row r="304" spans="2:7">
      <c r="B304" s="967" t="s">
        <v>1143</v>
      </c>
      <c r="C304" s="396"/>
      <c r="D304" s="321"/>
      <c r="E304" s="967"/>
      <c r="F304" s="321"/>
      <c r="G304" s="372">
        <v>104</v>
      </c>
    </row>
    <row r="305" spans="2:7">
      <c r="B305" s="967" t="s">
        <v>1260</v>
      </c>
      <c r="C305" s="396"/>
      <c r="D305" s="321"/>
      <c r="E305" s="967"/>
      <c r="F305" s="321"/>
      <c r="G305" s="372"/>
    </row>
    <row r="306" spans="2:7">
      <c r="B306" s="967" t="s">
        <v>1261</v>
      </c>
      <c r="C306" s="396"/>
      <c r="D306" s="321"/>
      <c r="E306" s="967"/>
      <c r="F306" s="321"/>
      <c r="G306" s="372">
        <v>53</v>
      </c>
    </row>
    <row r="307" spans="2:7">
      <c r="B307" s="967" t="s">
        <v>1262</v>
      </c>
      <c r="C307" s="396"/>
      <c r="D307" s="321"/>
      <c r="E307" s="967"/>
      <c r="F307" s="321"/>
      <c r="G307" s="372">
        <v>62</v>
      </c>
    </row>
    <row r="308" spans="2:7">
      <c r="B308" s="967" t="s">
        <v>1263</v>
      </c>
      <c r="C308" s="396"/>
      <c r="D308" s="321"/>
      <c r="E308" s="967"/>
      <c r="F308" s="321"/>
      <c r="G308" s="372">
        <v>85</v>
      </c>
    </row>
    <row r="309" spans="2:7">
      <c r="B309" s="967" t="s">
        <v>1128</v>
      </c>
      <c r="C309" s="396"/>
      <c r="D309" s="321"/>
      <c r="E309" s="967"/>
      <c r="F309" s="321"/>
      <c r="G309" s="372">
        <v>94</v>
      </c>
    </row>
    <row r="310" spans="2:7">
      <c r="B310" s="967" t="s">
        <v>1264</v>
      </c>
      <c r="C310" s="396"/>
      <c r="D310" s="321"/>
      <c r="E310" s="967"/>
      <c r="F310" s="321"/>
      <c r="G310" s="372">
        <v>62</v>
      </c>
    </row>
    <row r="311" spans="2:7">
      <c r="B311" s="967" t="s">
        <v>1265</v>
      </c>
      <c r="C311" s="396"/>
      <c r="D311" s="321"/>
      <c r="E311" s="967"/>
      <c r="F311" s="321"/>
      <c r="G311" s="372"/>
    </row>
    <row r="312" spans="2:7">
      <c r="B312" s="967" t="s">
        <v>1266</v>
      </c>
      <c r="C312" s="396"/>
      <c r="D312" s="321"/>
      <c r="E312" s="967"/>
      <c r="F312" s="321"/>
      <c r="G312" s="372">
        <v>50</v>
      </c>
    </row>
    <row r="313" spans="2:7">
      <c r="B313" s="967" t="s">
        <v>1267</v>
      </c>
      <c r="C313" s="396"/>
      <c r="D313" s="321"/>
      <c r="E313" s="967"/>
      <c r="F313" s="321"/>
      <c r="G313" s="372"/>
    </row>
    <row r="314" spans="2:7">
      <c r="B314" s="967" t="s">
        <v>1268</v>
      </c>
      <c r="C314" s="396"/>
      <c r="D314" s="321"/>
      <c r="E314" s="967"/>
      <c r="F314" s="321"/>
      <c r="G314" s="372">
        <v>76</v>
      </c>
    </row>
    <row r="315" spans="2:7">
      <c r="B315" s="967" t="s">
        <v>1269</v>
      </c>
      <c r="C315" s="396"/>
      <c r="D315" s="321"/>
      <c r="E315" s="967"/>
      <c r="F315" s="321"/>
      <c r="G315" s="372">
        <v>58</v>
      </c>
    </row>
    <row r="316" spans="2:7">
      <c r="B316" s="967" t="s">
        <v>1270</v>
      </c>
      <c r="C316" s="396"/>
      <c r="D316" s="321"/>
      <c r="E316" s="967"/>
      <c r="F316" s="321"/>
      <c r="G316" s="372">
        <v>83</v>
      </c>
    </row>
    <row r="317" spans="2:7">
      <c r="B317" s="967" t="s">
        <v>1271</v>
      </c>
      <c r="C317" s="396"/>
      <c r="D317" s="321"/>
      <c r="E317" s="967"/>
      <c r="F317" s="321"/>
      <c r="G317" s="372">
        <v>83</v>
      </c>
    </row>
    <row r="318" spans="2:7">
      <c r="B318" s="967" t="s">
        <v>1272</v>
      </c>
      <c r="C318" s="396"/>
      <c r="D318" s="321"/>
      <c r="E318" s="967"/>
      <c r="F318" s="321"/>
      <c r="G318" s="372">
        <v>79</v>
      </c>
    </row>
    <row r="319" spans="2:7">
      <c r="B319" s="967" t="s">
        <v>1273</v>
      </c>
      <c r="C319" s="396"/>
      <c r="D319" s="321"/>
      <c r="E319" s="967"/>
      <c r="F319" s="321"/>
      <c r="G319" s="372">
        <v>92</v>
      </c>
    </row>
    <row r="320" spans="2:7">
      <c r="B320" s="967" t="s">
        <v>1274</v>
      </c>
      <c r="C320" s="396"/>
      <c r="D320" s="321"/>
      <c r="E320" s="967"/>
      <c r="F320" s="321"/>
      <c r="G320" s="372">
        <v>56</v>
      </c>
    </row>
    <row r="321" spans="2:7">
      <c r="B321" s="967" t="s">
        <v>1275</v>
      </c>
      <c r="C321" s="396"/>
      <c r="D321" s="321"/>
      <c r="E321" s="967"/>
      <c r="F321" s="321"/>
      <c r="G321" s="372"/>
    </row>
    <row r="322" spans="2:7">
      <c r="B322" s="967" t="s">
        <v>1172</v>
      </c>
      <c r="C322" s="396"/>
      <c r="D322" s="321"/>
      <c r="E322" s="967"/>
      <c r="F322" s="321"/>
      <c r="G322" s="372">
        <v>107</v>
      </c>
    </row>
    <row r="323" spans="2:7">
      <c r="B323" s="967" t="s">
        <v>1276</v>
      </c>
      <c r="C323" s="396"/>
      <c r="D323" s="321"/>
      <c r="E323" s="967"/>
      <c r="F323" s="321"/>
      <c r="G323" s="372">
        <v>63</v>
      </c>
    </row>
    <row r="324" spans="2:7">
      <c r="B324" s="967" t="s">
        <v>1277</v>
      </c>
      <c r="C324" s="396"/>
      <c r="D324" s="321"/>
      <c r="E324" s="967"/>
      <c r="F324" s="321"/>
      <c r="G324" s="372">
        <v>88</v>
      </c>
    </row>
    <row r="325" spans="2:7">
      <c r="B325" s="967" t="s">
        <v>1278</v>
      </c>
      <c r="C325" s="396"/>
      <c r="D325" s="321"/>
      <c r="E325" s="967"/>
      <c r="F325" s="321"/>
      <c r="G325" s="372">
        <v>58</v>
      </c>
    </row>
    <row r="326" spans="2:7">
      <c r="B326" s="967" t="s">
        <v>1279</v>
      </c>
      <c r="C326" s="396"/>
      <c r="D326" s="321"/>
      <c r="E326" s="967"/>
      <c r="F326" s="321"/>
      <c r="G326" s="372">
        <v>66</v>
      </c>
    </row>
    <row r="327" spans="2:7">
      <c r="B327" s="967" t="s">
        <v>1125</v>
      </c>
      <c r="C327" s="396"/>
      <c r="D327" s="321"/>
      <c r="E327" s="967"/>
      <c r="F327" s="321"/>
      <c r="G327" s="372">
        <v>102</v>
      </c>
    </row>
    <row r="328" spans="2:7">
      <c r="B328" s="967" t="s">
        <v>1280</v>
      </c>
      <c r="C328" s="396"/>
      <c r="D328" s="321"/>
      <c r="E328" s="967"/>
      <c r="F328" s="321"/>
      <c r="G328" s="372">
        <v>70</v>
      </c>
    </row>
    <row r="329" spans="2:7">
      <c r="B329" s="967" t="s">
        <v>1281</v>
      </c>
      <c r="C329" s="396"/>
      <c r="D329" s="321"/>
      <c r="E329" s="967"/>
      <c r="F329" s="321"/>
      <c r="G329" s="372"/>
    </row>
    <row r="330" spans="2:7">
      <c r="B330" s="967" t="s">
        <v>1282</v>
      </c>
      <c r="C330" s="396"/>
      <c r="D330" s="321"/>
      <c r="E330" s="967"/>
      <c r="F330" s="321"/>
      <c r="G330" s="372"/>
    </row>
    <row r="331" spans="2:7">
      <c r="B331" s="967" t="s">
        <v>1283</v>
      </c>
      <c r="C331" s="396"/>
      <c r="D331" s="321"/>
      <c r="E331" s="967"/>
      <c r="F331" s="321"/>
      <c r="G331" s="372">
        <v>96</v>
      </c>
    </row>
    <row r="332" spans="2:7">
      <c r="B332" s="967" t="s">
        <v>1284</v>
      </c>
      <c r="C332" s="396"/>
      <c r="D332" s="321"/>
      <c r="E332" s="967"/>
      <c r="F332" s="321"/>
      <c r="G332" s="372">
        <v>61</v>
      </c>
    </row>
    <row r="333" spans="2:7">
      <c r="B333" s="967" t="s">
        <v>1285</v>
      </c>
      <c r="C333" s="396"/>
      <c r="D333" s="321"/>
      <c r="E333" s="967"/>
      <c r="F333" s="321"/>
      <c r="G333" s="372"/>
    </row>
    <row r="334" spans="2:7">
      <c r="B334" s="967" t="s">
        <v>1286</v>
      </c>
      <c r="C334" s="396"/>
      <c r="D334" s="321"/>
      <c r="E334" s="967"/>
      <c r="F334" s="321"/>
      <c r="G334" s="372">
        <v>74</v>
      </c>
    </row>
    <row r="335" spans="2:7">
      <c r="B335" s="967" t="s">
        <v>1287</v>
      </c>
      <c r="C335" s="396"/>
      <c r="D335" s="321"/>
      <c r="E335" s="967"/>
      <c r="F335" s="321"/>
      <c r="G335" s="372">
        <v>112</v>
      </c>
    </row>
    <row r="336" spans="2:7">
      <c r="B336" s="967" t="s">
        <v>1139</v>
      </c>
      <c r="C336" s="396"/>
      <c r="D336" s="321"/>
      <c r="E336" s="967"/>
      <c r="F336" s="321"/>
      <c r="G336" s="372">
        <v>113</v>
      </c>
    </row>
    <row r="337" spans="2:7">
      <c r="B337" s="967" t="s">
        <v>1288</v>
      </c>
      <c r="C337" s="396"/>
      <c r="D337" s="321"/>
      <c r="E337" s="967"/>
      <c r="F337" s="321"/>
      <c r="G337" s="372"/>
    </row>
    <row r="338" spans="2:7">
      <c r="B338" s="967" t="s">
        <v>1289</v>
      </c>
      <c r="C338" s="396"/>
      <c r="D338" s="321"/>
      <c r="E338" s="967"/>
      <c r="F338" s="321"/>
      <c r="G338" s="372"/>
    </row>
    <row r="339" spans="2:7">
      <c r="B339" s="967" t="s">
        <v>1290</v>
      </c>
      <c r="C339" s="396"/>
      <c r="D339" s="321"/>
      <c r="E339" s="967"/>
      <c r="F339" s="321"/>
      <c r="G339" s="372">
        <v>82</v>
      </c>
    </row>
    <row r="340" spans="2:7">
      <c r="B340" s="967" t="s">
        <v>1291</v>
      </c>
      <c r="C340" s="396"/>
      <c r="D340" s="321"/>
      <c r="E340" s="967"/>
      <c r="F340" s="321"/>
      <c r="G340" s="372">
        <v>67</v>
      </c>
    </row>
    <row r="341" spans="2:7">
      <c r="B341" s="967" t="s">
        <v>1292</v>
      </c>
      <c r="C341" s="396"/>
      <c r="D341" s="321"/>
      <c r="E341" s="967"/>
      <c r="F341" s="321"/>
      <c r="G341" s="372">
        <v>75</v>
      </c>
    </row>
    <row r="342" spans="2:7">
      <c r="B342" s="967" t="s">
        <v>1137</v>
      </c>
      <c r="C342" s="396"/>
      <c r="D342" s="321"/>
      <c r="E342" s="967"/>
      <c r="F342" s="321"/>
      <c r="G342" s="372">
        <v>103</v>
      </c>
    </row>
    <row r="343" spans="2:7">
      <c r="B343" s="967" t="s">
        <v>1293</v>
      </c>
      <c r="C343" s="396"/>
      <c r="D343" s="321"/>
      <c r="E343" s="967"/>
      <c r="F343" s="321"/>
      <c r="G343" s="372">
        <v>60</v>
      </c>
    </row>
    <row r="344" spans="2:7">
      <c r="B344" s="967" t="s">
        <v>1294</v>
      </c>
      <c r="C344" s="396"/>
      <c r="D344" s="321"/>
      <c r="E344" s="967"/>
      <c r="F344" s="321"/>
      <c r="G344" s="372"/>
    </row>
    <row r="345" spans="2:7">
      <c r="B345" s="967" t="s">
        <v>1173</v>
      </c>
      <c r="C345" s="396"/>
      <c r="D345" s="321"/>
      <c r="E345" s="967"/>
      <c r="F345" s="321"/>
      <c r="G345" s="372">
        <v>112</v>
      </c>
    </row>
    <row r="346" spans="2:7">
      <c r="B346" s="967" t="s">
        <v>1295</v>
      </c>
      <c r="C346" s="396"/>
      <c r="D346" s="321"/>
      <c r="E346" s="967"/>
      <c r="F346" s="321"/>
      <c r="G346" s="372"/>
    </row>
    <row r="347" spans="2:7">
      <c r="B347" s="967" t="s">
        <v>1296</v>
      </c>
      <c r="C347" s="396"/>
      <c r="D347" s="321"/>
      <c r="E347" s="967"/>
      <c r="F347" s="321"/>
      <c r="G347" s="372"/>
    </row>
    <row r="348" spans="2:7">
      <c r="B348" s="967" t="s">
        <v>1297</v>
      </c>
      <c r="C348" s="396"/>
      <c r="D348" s="321"/>
      <c r="E348" s="967"/>
      <c r="F348" s="321"/>
      <c r="G348" s="372"/>
    </row>
    <row r="349" spans="2:7">
      <c r="B349" s="967" t="s">
        <v>1298</v>
      </c>
      <c r="C349" s="396"/>
      <c r="D349" s="321"/>
      <c r="E349" s="967"/>
      <c r="F349" s="321"/>
      <c r="G349" s="372"/>
    </row>
    <row r="350" spans="2:7">
      <c r="B350" s="967" t="s">
        <v>1299</v>
      </c>
      <c r="C350" s="396"/>
      <c r="D350" s="321"/>
      <c r="E350" s="967"/>
      <c r="F350" s="321"/>
      <c r="G350" s="372">
        <v>64</v>
      </c>
    </row>
    <row r="351" spans="2:7">
      <c r="B351" s="967" t="s">
        <v>1300</v>
      </c>
      <c r="C351" s="396"/>
      <c r="D351" s="321"/>
      <c r="E351" s="967"/>
      <c r="F351" s="321"/>
      <c r="G351" s="372">
        <v>54</v>
      </c>
    </row>
    <row r="352" spans="2:7">
      <c r="B352" s="967" t="s">
        <v>1301</v>
      </c>
      <c r="C352" s="396"/>
      <c r="D352" s="321"/>
      <c r="E352" s="967"/>
      <c r="F352" s="321"/>
      <c r="G352" s="372">
        <v>43</v>
      </c>
    </row>
    <row r="353" spans="2:7">
      <c r="B353" s="967" t="s">
        <v>1302</v>
      </c>
      <c r="C353" s="396"/>
      <c r="D353" s="321"/>
      <c r="E353" s="967"/>
      <c r="F353" s="321"/>
      <c r="G353" s="372">
        <v>75</v>
      </c>
    </row>
    <row r="354" spans="2:7">
      <c r="B354" s="967" t="s">
        <v>1303</v>
      </c>
      <c r="C354" s="396"/>
      <c r="D354" s="321"/>
      <c r="E354" s="967"/>
      <c r="F354" s="321"/>
      <c r="G354" s="372">
        <v>48</v>
      </c>
    </row>
    <row r="355" spans="2:7">
      <c r="B355" s="967" t="s">
        <v>1304</v>
      </c>
      <c r="C355" s="396"/>
      <c r="D355" s="321"/>
      <c r="E355" s="967"/>
      <c r="F355" s="321"/>
      <c r="G355" s="372"/>
    </row>
    <row r="356" spans="2:7">
      <c r="B356" s="967" t="s">
        <v>1305</v>
      </c>
      <c r="C356" s="396"/>
      <c r="D356" s="321"/>
      <c r="E356" s="967"/>
      <c r="F356" s="321"/>
      <c r="G356" s="372">
        <v>65</v>
      </c>
    </row>
    <row r="357" spans="2:7">
      <c r="B357" s="967" t="s">
        <v>1306</v>
      </c>
      <c r="C357" s="396"/>
      <c r="D357" s="321"/>
      <c r="E357" s="967"/>
      <c r="F357" s="321"/>
      <c r="G357" s="372">
        <v>82</v>
      </c>
    </row>
    <row r="358" spans="2:7">
      <c r="B358" s="967" t="s">
        <v>1307</v>
      </c>
      <c r="C358" s="396"/>
      <c r="D358" s="321"/>
      <c r="E358" s="967"/>
      <c r="F358" s="321"/>
      <c r="G358" s="372">
        <v>132</v>
      </c>
    </row>
    <row r="359" spans="2:7">
      <c r="B359" s="967" t="s">
        <v>1129</v>
      </c>
      <c r="C359" s="396"/>
      <c r="D359" s="321"/>
      <c r="E359" s="967"/>
      <c r="F359" s="321"/>
      <c r="G359" s="372">
        <v>59</v>
      </c>
    </row>
    <row r="360" spans="2:7">
      <c r="B360" s="967" t="s">
        <v>1130</v>
      </c>
      <c r="C360" s="396"/>
      <c r="D360" s="321"/>
      <c r="E360" s="967"/>
      <c r="F360" s="321"/>
      <c r="G360" s="372">
        <v>60</v>
      </c>
    </row>
    <row r="361" spans="2:7">
      <c r="B361" s="967" t="s">
        <v>1308</v>
      </c>
      <c r="C361" s="396"/>
      <c r="D361" s="321"/>
      <c r="E361" s="967"/>
      <c r="F361" s="321"/>
      <c r="G361" s="372">
        <v>86</v>
      </c>
    </row>
    <row r="362" spans="2:7">
      <c r="B362" s="967" t="s">
        <v>1309</v>
      </c>
      <c r="C362" s="396"/>
      <c r="D362" s="321"/>
      <c r="E362" s="967"/>
      <c r="F362" s="321"/>
      <c r="G362" s="372">
        <v>61</v>
      </c>
    </row>
    <row r="363" spans="2:7">
      <c r="B363" s="967" t="s">
        <v>1310</v>
      </c>
      <c r="C363" s="396"/>
      <c r="D363" s="321"/>
      <c r="E363" s="967"/>
      <c r="F363" s="321"/>
      <c r="G363" s="372">
        <v>108</v>
      </c>
    </row>
    <row r="364" spans="2:7">
      <c r="B364" s="967" t="s">
        <v>1311</v>
      </c>
      <c r="C364" s="396"/>
      <c r="D364" s="321"/>
      <c r="E364" s="967"/>
      <c r="F364" s="321"/>
      <c r="G364" s="372">
        <v>126</v>
      </c>
    </row>
    <row r="365" spans="2:7">
      <c r="B365" s="967" t="s">
        <v>1140</v>
      </c>
      <c r="C365" s="396"/>
      <c r="D365" s="321"/>
      <c r="E365" s="967"/>
      <c r="F365" s="321"/>
      <c r="G365" s="372">
        <v>111</v>
      </c>
    </row>
    <row r="366" spans="2:7">
      <c r="B366" s="967" t="s">
        <v>1312</v>
      </c>
      <c r="C366" s="396"/>
      <c r="D366" s="321"/>
      <c r="E366" s="967"/>
      <c r="F366" s="321"/>
      <c r="G366" s="372">
        <v>77</v>
      </c>
    </row>
    <row r="367" spans="2:7">
      <c r="B367" s="967" t="s">
        <v>1133</v>
      </c>
      <c r="C367" s="396"/>
      <c r="D367" s="321"/>
      <c r="E367" s="967"/>
      <c r="F367" s="321"/>
      <c r="G367" s="372">
        <v>88</v>
      </c>
    </row>
    <row r="368" spans="2:7">
      <c r="B368" s="967" t="s">
        <v>1313</v>
      </c>
      <c r="C368" s="396"/>
      <c r="D368" s="321"/>
      <c r="E368" s="967"/>
      <c r="F368" s="321"/>
      <c r="G368" s="372">
        <v>82</v>
      </c>
    </row>
    <row r="369" spans="2:7">
      <c r="B369" s="967" t="s">
        <v>1314</v>
      </c>
      <c r="C369" s="396"/>
      <c r="D369" s="321"/>
      <c r="E369" s="967"/>
      <c r="F369" s="321"/>
      <c r="G369" s="372">
        <v>97</v>
      </c>
    </row>
    <row r="370" spans="2:7">
      <c r="B370" s="967" t="s">
        <v>1126</v>
      </c>
      <c r="C370" s="396"/>
      <c r="D370" s="321"/>
      <c r="E370" s="967"/>
      <c r="F370" s="321"/>
      <c r="G370" s="372">
        <v>61</v>
      </c>
    </row>
    <row r="371" spans="2:7">
      <c r="B371" s="967" t="s">
        <v>1315</v>
      </c>
      <c r="C371" s="396"/>
      <c r="D371" s="321"/>
      <c r="E371" s="967"/>
      <c r="F371" s="321"/>
      <c r="G371" s="372">
        <v>74</v>
      </c>
    </row>
    <row r="372" spans="2:7">
      <c r="B372" s="967" t="s">
        <v>1316</v>
      </c>
      <c r="C372" s="396"/>
      <c r="D372" s="321"/>
      <c r="E372" s="967"/>
      <c r="F372" s="321"/>
      <c r="G372" s="372">
        <v>108</v>
      </c>
    </row>
    <row r="373" spans="2:7">
      <c r="B373" s="967" t="s">
        <v>1317</v>
      </c>
      <c r="C373" s="396"/>
      <c r="D373" s="321"/>
      <c r="E373" s="967"/>
      <c r="F373" s="321"/>
      <c r="G373" s="372">
        <v>85</v>
      </c>
    </row>
    <row r="374" spans="2:7">
      <c r="B374" s="967" t="s">
        <v>1318</v>
      </c>
      <c r="C374" s="396"/>
      <c r="D374" s="321"/>
      <c r="E374" s="967"/>
      <c r="F374" s="321"/>
      <c r="G374" s="372">
        <v>63</v>
      </c>
    </row>
    <row r="375" spans="2:7">
      <c r="B375" s="967" t="s">
        <v>1319</v>
      </c>
      <c r="C375" s="396"/>
      <c r="D375" s="321"/>
      <c r="E375" s="967"/>
      <c r="F375" s="321"/>
      <c r="G375" s="372">
        <v>97</v>
      </c>
    </row>
    <row r="376" spans="2:7">
      <c r="B376" s="967" t="s">
        <v>1320</v>
      </c>
      <c r="C376" s="396"/>
      <c r="D376" s="321"/>
      <c r="E376" s="967"/>
      <c r="F376" s="321"/>
      <c r="G376" s="372">
        <v>81</v>
      </c>
    </row>
    <row r="377" spans="2:7">
      <c r="B377" s="967" t="s">
        <v>1321</v>
      </c>
      <c r="C377" s="396"/>
      <c r="D377" s="321"/>
      <c r="E377" s="967"/>
      <c r="F377" s="321"/>
      <c r="G377" s="372">
        <v>74</v>
      </c>
    </row>
    <row r="378" spans="2:7">
      <c r="B378" s="967" t="s">
        <v>1322</v>
      </c>
      <c r="C378" s="396"/>
      <c r="D378" s="321"/>
      <c r="E378" s="967"/>
      <c r="F378" s="321"/>
      <c r="G378" s="372">
        <v>37</v>
      </c>
    </row>
    <row r="379" spans="2:7">
      <c r="B379" s="967" t="s">
        <v>1323</v>
      </c>
      <c r="C379" s="396"/>
      <c r="D379" s="321"/>
      <c r="E379" s="967"/>
      <c r="F379" s="321"/>
      <c r="G379" s="372"/>
    </row>
    <row r="380" spans="2:7">
      <c r="B380" s="967" t="s">
        <v>1324</v>
      </c>
      <c r="C380" s="396"/>
      <c r="D380" s="321"/>
      <c r="E380" s="967"/>
      <c r="F380" s="321"/>
      <c r="G380" s="372"/>
    </row>
    <row r="381" spans="2:7">
      <c r="B381" s="967" t="s">
        <v>1325</v>
      </c>
      <c r="C381" s="396"/>
      <c r="D381" s="321"/>
      <c r="E381" s="967"/>
      <c r="F381" s="321"/>
      <c r="G381" s="372">
        <v>124</v>
      </c>
    </row>
    <row r="382" spans="2:7">
      <c r="B382" s="967" t="s">
        <v>1326</v>
      </c>
      <c r="C382" s="396"/>
      <c r="D382" s="321"/>
      <c r="E382" s="967"/>
      <c r="F382" s="321"/>
      <c r="G382" s="372">
        <v>112</v>
      </c>
    </row>
    <row r="383" spans="2:7">
      <c r="B383" s="967" t="s">
        <v>1327</v>
      </c>
      <c r="C383" s="396"/>
      <c r="D383" s="321"/>
      <c r="E383" s="967"/>
      <c r="F383" s="321"/>
      <c r="G383" s="372">
        <v>48</v>
      </c>
    </row>
    <row r="384" spans="2:7">
      <c r="B384" s="967" t="s">
        <v>1328</v>
      </c>
      <c r="C384" s="396"/>
      <c r="D384" s="321"/>
      <c r="E384" s="967"/>
      <c r="F384" s="321"/>
      <c r="G384" s="372">
        <v>62</v>
      </c>
    </row>
    <row r="385" spans="2:7">
      <c r="B385" s="967" t="s">
        <v>1329</v>
      </c>
      <c r="C385" s="396"/>
      <c r="D385" s="321"/>
      <c r="E385" s="967"/>
      <c r="F385" s="321"/>
      <c r="G385" s="372">
        <v>79</v>
      </c>
    </row>
    <row r="386" spans="2:7">
      <c r="B386" s="967" t="s">
        <v>1330</v>
      </c>
      <c r="C386" s="396"/>
      <c r="D386" s="321"/>
      <c r="E386" s="967"/>
      <c r="F386" s="321"/>
      <c r="G386" s="372">
        <v>105</v>
      </c>
    </row>
    <row r="387" spans="2:7">
      <c r="B387" s="967" t="s">
        <v>1331</v>
      </c>
      <c r="C387" s="396"/>
      <c r="D387" s="321"/>
      <c r="E387" s="967"/>
      <c r="F387" s="321"/>
      <c r="G387" s="372">
        <v>82</v>
      </c>
    </row>
    <row r="388" spans="2:7">
      <c r="B388" s="967" t="s">
        <v>1332</v>
      </c>
      <c r="C388" s="396"/>
      <c r="D388" s="321"/>
      <c r="E388" s="967"/>
      <c r="F388" s="321"/>
      <c r="G388" s="372">
        <v>109</v>
      </c>
    </row>
    <row r="389" spans="2:7">
      <c r="B389" s="967" t="s">
        <v>1333</v>
      </c>
      <c r="C389" s="396"/>
      <c r="D389" s="321"/>
      <c r="E389" s="967"/>
      <c r="F389" s="321"/>
      <c r="G389" s="372"/>
    </row>
    <row r="390" spans="2:7">
      <c r="B390" s="967" t="s">
        <v>1334</v>
      </c>
      <c r="C390" s="396"/>
      <c r="D390" s="321"/>
      <c r="E390" s="967"/>
      <c r="F390" s="321"/>
      <c r="G390" s="372"/>
    </row>
    <row r="391" spans="2:7">
      <c r="B391" s="967" t="s">
        <v>1335</v>
      </c>
      <c r="C391" s="396"/>
      <c r="D391" s="321"/>
      <c r="E391" s="967"/>
      <c r="F391" s="321"/>
      <c r="G391" s="372">
        <v>80</v>
      </c>
    </row>
    <row r="392" spans="2:7">
      <c r="B392" s="967" t="s">
        <v>1336</v>
      </c>
      <c r="C392" s="396"/>
      <c r="D392" s="321"/>
      <c r="E392" s="967"/>
      <c r="F392" s="321"/>
      <c r="G392" s="372">
        <v>90</v>
      </c>
    </row>
    <row r="393" spans="2:7">
      <c r="B393" s="967" t="s">
        <v>1337</v>
      </c>
      <c r="C393" s="396"/>
      <c r="D393" s="321"/>
      <c r="E393" s="967"/>
      <c r="F393" s="321"/>
      <c r="G393" s="372"/>
    </row>
    <row r="394" spans="2:7">
      <c r="B394" s="967" t="s">
        <v>1147</v>
      </c>
      <c r="C394" s="396"/>
      <c r="D394" s="321"/>
      <c r="E394" s="967"/>
      <c r="F394" s="321"/>
      <c r="G394" s="372">
        <v>86</v>
      </c>
    </row>
    <row r="395" spans="2:7">
      <c r="B395" s="967" t="s">
        <v>1338</v>
      </c>
      <c r="C395" s="396"/>
      <c r="D395" s="321"/>
      <c r="E395" s="967"/>
      <c r="F395" s="321"/>
      <c r="G395" s="372"/>
    </row>
    <row r="396" spans="2:7">
      <c r="B396" s="967" t="s">
        <v>1339</v>
      </c>
      <c r="C396" s="396"/>
      <c r="D396" s="321"/>
      <c r="E396" s="967"/>
      <c r="F396" s="321"/>
      <c r="G396" s="372"/>
    </row>
    <row r="397" spans="2:7">
      <c r="B397" s="967" t="s">
        <v>1340</v>
      </c>
      <c r="C397" s="396"/>
      <c r="D397" s="321"/>
      <c r="E397" s="967"/>
      <c r="F397" s="321"/>
      <c r="G397" s="372">
        <v>78</v>
      </c>
    </row>
    <row r="398" spans="2:7">
      <c r="B398" s="967" t="s">
        <v>1341</v>
      </c>
      <c r="C398" s="396"/>
      <c r="D398" s="321"/>
      <c r="E398" s="967"/>
      <c r="F398" s="321"/>
      <c r="G398" s="372">
        <v>111</v>
      </c>
    </row>
    <row r="399" spans="2:7">
      <c r="B399" s="967" t="s">
        <v>1342</v>
      </c>
      <c r="C399" s="396"/>
      <c r="D399" s="321"/>
      <c r="E399" s="967"/>
      <c r="F399" s="321"/>
      <c r="G399" s="372"/>
    </row>
    <row r="400" spans="2:7">
      <c r="B400" s="967" t="s">
        <v>1343</v>
      </c>
      <c r="C400" s="396"/>
      <c r="D400" s="321"/>
      <c r="E400" s="967"/>
      <c r="F400" s="321"/>
      <c r="G400" s="372">
        <v>94</v>
      </c>
    </row>
    <row r="401" spans="2:7">
      <c r="B401" s="967" t="s">
        <v>1344</v>
      </c>
      <c r="C401" s="396"/>
      <c r="D401" s="321"/>
      <c r="E401" s="967"/>
      <c r="F401" s="321"/>
      <c r="G401" s="372">
        <v>45</v>
      </c>
    </row>
    <row r="402" spans="2:7">
      <c r="B402" s="967" t="s">
        <v>1345</v>
      </c>
      <c r="C402" s="396"/>
      <c r="D402" s="321"/>
      <c r="E402" s="967"/>
      <c r="F402" s="321"/>
      <c r="G402" s="372">
        <v>79</v>
      </c>
    </row>
    <row r="403" spans="2:7">
      <c r="B403" s="967" t="s">
        <v>1346</v>
      </c>
      <c r="C403" s="396"/>
      <c r="D403" s="321"/>
      <c r="E403" s="967"/>
      <c r="F403" s="321"/>
      <c r="G403" s="372">
        <v>59</v>
      </c>
    </row>
    <row r="404" spans="2:7">
      <c r="B404" s="967" t="s">
        <v>1347</v>
      </c>
      <c r="C404" s="396"/>
      <c r="D404" s="321"/>
      <c r="E404" s="967"/>
      <c r="F404" s="321"/>
      <c r="G404" s="372"/>
    </row>
    <row r="405" spans="2:7">
      <c r="B405" s="967" t="s">
        <v>1348</v>
      </c>
      <c r="C405" s="396"/>
      <c r="D405" s="321"/>
      <c r="E405" s="967"/>
      <c r="F405" s="321"/>
      <c r="G405" s="372">
        <v>65</v>
      </c>
    </row>
    <row r="406" spans="2:7">
      <c r="B406" s="967" t="s">
        <v>1349</v>
      </c>
      <c r="C406" s="396"/>
      <c r="D406" s="321"/>
      <c r="E406" s="967"/>
      <c r="F406" s="321"/>
      <c r="G406" s="372">
        <v>108</v>
      </c>
    </row>
    <row r="407" spans="2:7">
      <c r="B407" s="967" t="s">
        <v>1350</v>
      </c>
      <c r="C407" s="396"/>
      <c r="D407" s="321"/>
      <c r="E407" s="967"/>
      <c r="F407" s="321"/>
      <c r="G407" s="372"/>
    </row>
    <row r="408" spans="2:7">
      <c r="B408" s="967" t="s">
        <v>1351</v>
      </c>
      <c r="C408" s="396"/>
      <c r="D408" s="321"/>
      <c r="E408" s="967"/>
      <c r="F408" s="321"/>
      <c r="G408" s="372"/>
    </row>
    <row r="409" spans="2:7">
      <c r="B409" s="967" t="s">
        <v>1150</v>
      </c>
      <c r="C409" s="396"/>
      <c r="D409" s="321"/>
      <c r="E409" s="967"/>
      <c r="F409" s="321"/>
      <c r="G409" s="372">
        <v>94</v>
      </c>
    </row>
    <row r="410" spans="2:7">
      <c r="B410" s="967" t="s">
        <v>1352</v>
      </c>
      <c r="C410" s="396"/>
      <c r="D410" s="321"/>
      <c r="E410" s="967"/>
      <c r="F410" s="321"/>
      <c r="G410" s="372">
        <v>65</v>
      </c>
    </row>
    <row r="411" spans="2:7">
      <c r="B411" s="967" t="s">
        <v>1353</v>
      </c>
      <c r="C411" s="396"/>
      <c r="D411" s="321"/>
      <c r="E411" s="967"/>
      <c r="F411" s="321"/>
      <c r="G411" s="372">
        <v>81</v>
      </c>
    </row>
    <row r="412" spans="2:7">
      <c r="B412" s="967" t="s">
        <v>1124</v>
      </c>
      <c r="C412" s="396"/>
      <c r="D412" s="321"/>
      <c r="E412" s="967"/>
      <c r="F412" s="321"/>
      <c r="G412" s="372">
        <v>64</v>
      </c>
    </row>
    <row r="413" spans="2:7">
      <c r="B413" s="967" t="s">
        <v>1354</v>
      </c>
      <c r="C413" s="396"/>
      <c r="D413" s="321"/>
      <c r="E413" s="967"/>
      <c r="F413" s="321"/>
      <c r="G413" s="372"/>
    </row>
    <row r="414" spans="2:7">
      <c r="B414" s="967" t="s">
        <v>1355</v>
      </c>
      <c r="C414" s="396"/>
      <c r="D414" s="321"/>
      <c r="E414" s="967"/>
      <c r="F414" s="321"/>
      <c r="G414" s="372"/>
    </row>
    <row r="415" spans="2:7">
      <c r="B415" s="967" t="s">
        <v>1356</v>
      </c>
      <c r="C415" s="396"/>
      <c r="D415" s="321"/>
      <c r="E415" s="967"/>
      <c r="F415" s="321"/>
      <c r="G415" s="372">
        <v>109</v>
      </c>
    </row>
    <row r="416" spans="2:7">
      <c r="B416" s="967" t="s">
        <v>1357</v>
      </c>
      <c r="C416" s="396"/>
      <c r="D416" s="321"/>
      <c r="E416" s="967"/>
      <c r="F416" s="321"/>
      <c r="G416" s="372">
        <v>88</v>
      </c>
    </row>
    <row r="417" spans="2:7">
      <c r="B417" s="967" t="s">
        <v>1131</v>
      </c>
      <c r="C417" s="396"/>
      <c r="D417" s="321"/>
      <c r="E417" s="967"/>
      <c r="F417" s="321"/>
      <c r="G417" s="372">
        <v>64</v>
      </c>
    </row>
    <row r="418" spans="2:7">
      <c r="B418" s="967" t="s">
        <v>1358</v>
      </c>
      <c r="C418" s="396"/>
      <c r="D418" s="321"/>
      <c r="E418" s="967"/>
      <c r="F418" s="321"/>
      <c r="G418" s="372"/>
    </row>
    <row r="419" spans="2:7">
      <c r="B419" s="967" t="s">
        <v>1359</v>
      </c>
      <c r="C419" s="396"/>
      <c r="D419" s="321"/>
      <c r="E419" s="967"/>
      <c r="F419" s="321"/>
      <c r="G419" s="372">
        <v>75</v>
      </c>
    </row>
    <row r="420" spans="2:7">
      <c r="B420" s="967" t="s">
        <v>1360</v>
      </c>
      <c r="C420" s="396"/>
      <c r="D420" s="321"/>
      <c r="E420" s="967"/>
      <c r="F420" s="321"/>
      <c r="G420" s="372"/>
    </row>
    <row r="421" spans="2:7">
      <c r="B421" s="967" t="s">
        <v>1361</v>
      </c>
      <c r="C421" s="396"/>
      <c r="D421" s="321"/>
      <c r="E421" s="967"/>
      <c r="F421" s="321"/>
      <c r="G421" s="372">
        <v>67</v>
      </c>
    </row>
    <row r="422" spans="2:7">
      <c r="B422" s="967" t="s">
        <v>1362</v>
      </c>
      <c r="C422" s="396"/>
      <c r="D422" s="321"/>
      <c r="E422" s="967"/>
      <c r="F422" s="321"/>
      <c r="G422" s="372">
        <v>72</v>
      </c>
    </row>
    <row r="423" spans="2:7">
      <c r="B423" s="967" t="s">
        <v>1363</v>
      </c>
      <c r="C423" s="396"/>
      <c r="D423" s="321"/>
      <c r="E423" s="967"/>
      <c r="F423" s="321"/>
      <c r="G423" s="372">
        <v>60</v>
      </c>
    </row>
    <row r="424" spans="2:7">
      <c r="B424" s="967" t="s">
        <v>1364</v>
      </c>
      <c r="C424" s="396"/>
      <c r="D424" s="321"/>
      <c r="E424" s="967"/>
      <c r="F424" s="321"/>
      <c r="G424" s="372">
        <v>101</v>
      </c>
    </row>
    <row r="425" spans="2:7">
      <c r="B425" s="967" t="s">
        <v>1365</v>
      </c>
      <c r="C425" s="396"/>
      <c r="D425" s="321"/>
      <c r="E425" s="967"/>
      <c r="F425" s="321"/>
      <c r="G425" s="372">
        <v>114</v>
      </c>
    </row>
    <row r="426" spans="2:7">
      <c r="B426" s="967" t="s">
        <v>1366</v>
      </c>
      <c r="C426" s="396"/>
      <c r="D426" s="321"/>
      <c r="E426" s="967"/>
      <c r="F426" s="321"/>
      <c r="G426" s="372"/>
    </row>
    <row r="427" spans="2:7">
      <c r="B427" s="967" t="s">
        <v>1367</v>
      </c>
      <c r="C427" s="396"/>
      <c r="D427" s="321"/>
      <c r="E427" s="967"/>
      <c r="F427" s="321"/>
      <c r="G427" s="372"/>
    </row>
    <row r="428" spans="2:7">
      <c r="B428" s="967" t="s">
        <v>1368</v>
      </c>
      <c r="C428" s="396"/>
      <c r="D428" s="321"/>
      <c r="E428" s="967"/>
      <c r="F428" s="321"/>
      <c r="G428" s="372">
        <v>93</v>
      </c>
    </row>
    <row r="429" spans="2:7">
      <c r="B429" s="967" t="s">
        <v>1369</v>
      </c>
      <c r="C429" s="396"/>
      <c r="D429" s="321"/>
      <c r="E429" s="967"/>
      <c r="F429" s="321"/>
      <c r="G429" s="372">
        <v>72</v>
      </c>
    </row>
    <row r="430" spans="2:7">
      <c r="B430" s="967" t="s">
        <v>1370</v>
      </c>
      <c r="C430" s="396"/>
      <c r="D430" s="321"/>
      <c r="E430" s="967"/>
      <c r="F430" s="321"/>
      <c r="G430" s="372"/>
    </row>
    <row r="431" spans="2:7">
      <c r="B431" s="967" t="s">
        <v>1371</v>
      </c>
      <c r="C431" s="396"/>
      <c r="D431" s="321"/>
      <c r="E431" s="967"/>
      <c r="F431" s="321"/>
      <c r="G431" s="372">
        <v>106</v>
      </c>
    </row>
    <row r="432" spans="2:7">
      <c r="B432" s="967" t="s">
        <v>1372</v>
      </c>
      <c r="C432" s="396"/>
      <c r="D432" s="321"/>
      <c r="E432" s="967"/>
      <c r="F432" s="321"/>
      <c r="G432" s="372">
        <v>101</v>
      </c>
    </row>
    <row r="433" spans="2:7">
      <c r="B433" s="967" t="s">
        <v>1373</v>
      </c>
      <c r="C433" s="396"/>
      <c r="D433" s="321"/>
      <c r="E433" s="967"/>
      <c r="F433" s="321"/>
      <c r="G433" s="372">
        <v>53</v>
      </c>
    </row>
    <row r="434" spans="2:7">
      <c r="B434" s="967" t="s">
        <v>1374</v>
      </c>
      <c r="C434" s="396"/>
      <c r="D434" s="321"/>
      <c r="E434" s="967"/>
      <c r="F434" s="321"/>
      <c r="G434" s="372"/>
    </row>
    <row r="435" spans="2:7">
      <c r="B435" s="967" t="s">
        <v>1375</v>
      </c>
      <c r="C435" s="396"/>
      <c r="D435" s="321"/>
      <c r="E435" s="967"/>
      <c r="F435" s="321"/>
      <c r="G435" s="372">
        <v>75</v>
      </c>
    </row>
    <row r="436" spans="2:7">
      <c r="B436" s="967" t="s">
        <v>1376</v>
      </c>
      <c r="C436" s="396"/>
      <c r="D436" s="321"/>
      <c r="E436" s="967"/>
      <c r="F436" s="321"/>
      <c r="G436" s="372"/>
    </row>
    <row r="437" spans="2:7">
      <c r="B437" s="967" t="s">
        <v>1377</v>
      </c>
      <c r="C437" s="396"/>
      <c r="D437" s="321"/>
      <c r="E437" s="967"/>
      <c r="F437" s="321"/>
      <c r="G437" s="372"/>
    </row>
    <row r="438" spans="2:7">
      <c r="B438" s="967" t="s">
        <v>1378</v>
      </c>
      <c r="C438" s="396"/>
      <c r="D438" s="321"/>
      <c r="E438" s="967"/>
      <c r="F438" s="321"/>
      <c r="G438" s="372">
        <v>89</v>
      </c>
    </row>
    <row r="439" spans="2:7">
      <c r="B439" s="967" t="s">
        <v>1379</v>
      </c>
      <c r="C439" s="396"/>
      <c r="D439" s="321"/>
      <c r="E439" s="967"/>
      <c r="F439" s="321"/>
      <c r="G439" s="372">
        <v>80</v>
      </c>
    </row>
    <row r="440" spans="2:7">
      <c r="B440" s="967" t="s">
        <v>1380</v>
      </c>
      <c r="C440" s="396"/>
      <c r="D440" s="321"/>
      <c r="E440" s="967"/>
      <c r="F440" s="321"/>
      <c r="G440" s="372"/>
    </row>
    <row r="441" spans="2:7">
      <c r="B441" s="967" t="s">
        <v>1381</v>
      </c>
      <c r="C441" s="396"/>
      <c r="D441" s="321"/>
      <c r="E441" s="967"/>
      <c r="F441" s="321"/>
      <c r="G441" s="372">
        <v>61</v>
      </c>
    </row>
    <row r="442" spans="2:7">
      <c r="B442" s="967" t="s">
        <v>1382</v>
      </c>
      <c r="C442" s="396"/>
      <c r="D442" s="321"/>
      <c r="E442" s="967"/>
      <c r="F442" s="321"/>
      <c r="G442" s="372">
        <v>84</v>
      </c>
    </row>
    <row r="443" spans="2:7">
      <c r="B443" s="967" t="s">
        <v>1383</v>
      </c>
      <c r="C443" s="396"/>
      <c r="D443" s="321"/>
      <c r="E443" s="967"/>
      <c r="F443" s="321"/>
      <c r="G443" s="372">
        <v>60</v>
      </c>
    </row>
    <row r="444" spans="2:7">
      <c r="B444" s="967" t="s">
        <v>1384</v>
      </c>
      <c r="C444" s="396"/>
      <c r="D444" s="321"/>
      <c r="E444" s="967"/>
      <c r="F444" s="321"/>
      <c r="G444" s="372">
        <v>81</v>
      </c>
    </row>
    <row r="445" spans="2:7">
      <c r="B445" s="967" t="s">
        <v>1385</v>
      </c>
      <c r="C445" s="396"/>
      <c r="D445" s="321"/>
      <c r="E445" s="967"/>
      <c r="F445" s="321"/>
      <c r="G445" s="372"/>
    </row>
    <row r="446" spans="2:7">
      <c r="B446" s="967" t="s">
        <v>1386</v>
      </c>
      <c r="C446" s="396"/>
      <c r="D446" s="321"/>
      <c r="E446" s="967"/>
      <c r="F446" s="321"/>
      <c r="G446" s="372"/>
    </row>
    <row r="447" spans="2:7">
      <c r="B447" s="967" t="s">
        <v>1387</v>
      </c>
      <c r="C447" s="396"/>
      <c r="D447" s="321"/>
      <c r="E447" s="967"/>
      <c r="F447" s="321"/>
      <c r="G447" s="372">
        <v>55</v>
      </c>
    </row>
    <row r="448" spans="2:7">
      <c r="B448" s="967" t="s">
        <v>1388</v>
      </c>
      <c r="C448" s="396"/>
      <c r="D448" s="321"/>
      <c r="E448" s="967"/>
      <c r="F448" s="321"/>
      <c r="G448" s="372"/>
    </row>
    <row r="449" spans="2:7">
      <c r="B449" s="967" t="s">
        <v>1389</v>
      </c>
      <c r="C449" s="396"/>
      <c r="D449" s="321"/>
      <c r="E449" s="967"/>
      <c r="F449" s="321"/>
      <c r="G449" s="372">
        <v>74</v>
      </c>
    </row>
    <row r="450" spans="2:7">
      <c r="B450" s="967" t="s">
        <v>1390</v>
      </c>
      <c r="C450" s="396"/>
      <c r="D450" s="321"/>
      <c r="E450" s="967"/>
      <c r="F450" s="321"/>
      <c r="G450" s="372">
        <v>100</v>
      </c>
    </row>
    <row r="451" spans="2:7">
      <c r="B451" s="967" t="s">
        <v>1391</v>
      </c>
      <c r="C451" s="396"/>
      <c r="D451" s="321"/>
      <c r="E451" s="967"/>
      <c r="F451" s="321"/>
      <c r="G451" s="372">
        <v>56</v>
      </c>
    </row>
    <row r="452" spans="2:7">
      <c r="B452" s="967" t="s">
        <v>1392</v>
      </c>
      <c r="C452" s="396"/>
      <c r="D452" s="321"/>
      <c r="E452" s="967"/>
      <c r="F452" s="321"/>
      <c r="G452" s="372"/>
    </row>
    <row r="453" spans="2:7">
      <c r="B453" s="967" t="s">
        <v>1030</v>
      </c>
      <c r="C453" s="396"/>
      <c r="D453" s="321"/>
      <c r="E453" s="967"/>
      <c r="F453" s="321"/>
      <c r="G453" s="372">
        <v>82</v>
      </c>
    </row>
    <row r="454" spans="2:7">
      <c r="B454" s="967" t="s">
        <v>1393</v>
      </c>
      <c r="C454" s="396"/>
      <c r="D454" s="321"/>
      <c r="E454" s="967"/>
      <c r="F454" s="321"/>
      <c r="G454" s="372"/>
    </row>
    <row r="455" spans="2:7">
      <c r="B455" s="967" t="s">
        <v>1394</v>
      </c>
      <c r="C455" s="396"/>
      <c r="D455" s="321"/>
      <c r="E455" s="967"/>
      <c r="F455" s="321"/>
      <c r="G455" s="372">
        <v>105</v>
      </c>
    </row>
    <row r="456" spans="2:7">
      <c r="B456" s="967" t="s">
        <v>1395</v>
      </c>
      <c r="C456" s="396"/>
      <c r="D456" s="321"/>
      <c r="E456" s="967"/>
      <c r="F456" s="321"/>
      <c r="G456" s="372">
        <v>57</v>
      </c>
    </row>
    <row r="457" spans="2:7">
      <c r="B457" s="967" t="s">
        <v>1396</v>
      </c>
      <c r="C457" s="396"/>
      <c r="D457" s="321"/>
      <c r="E457" s="967"/>
      <c r="F457" s="321"/>
      <c r="G457" s="372"/>
    </row>
    <row r="458" spans="2:7">
      <c r="B458" s="967" t="s">
        <v>1397</v>
      </c>
      <c r="C458" s="396"/>
      <c r="D458" s="321"/>
      <c r="E458" s="967"/>
      <c r="F458" s="321"/>
      <c r="G458" s="372">
        <v>75</v>
      </c>
    </row>
    <row r="459" spans="2:7">
      <c r="B459" s="967" t="s">
        <v>1398</v>
      </c>
      <c r="C459" s="396"/>
      <c r="D459" s="321"/>
      <c r="E459" s="967"/>
      <c r="F459" s="321"/>
      <c r="G459" s="372">
        <v>62</v>
      </c>
    </row>
    <row r="460" spans="2:7">
      <c r="B460" s="967" t="s">
        <v>1399</v>
      </c>
      <c r="C460" s="396"/>
      <c r="D460" s="321"/>
      <c r="E460" s="967"/>
      <c r="F460" s="321"/>
      <c r="G460" s="372">
        <v>56</v>
      </c>
    </row>
    <row r="461" spans="2:7">
      <c r="B461" s="967" t="s">
        <v>1174</v>
      </c>
      <c r="C461" s="396"/>
      <c r="D461" s="321"/>
      <c r="E461" s="967"/>
      <c r="F461" s="321"/>
      <c r="G461" s="372">
        <v>108</v>
      </c>
    </row>
    <row r="462" spans="2:7">
      <c r="B462" s="967" t="s">
        <v>1400</v>
      </c>
      <c r="C462" s="396"/>
      <c r="D462" s="321"/>
      <c r="E462" s="967"/>
      <c r="F462" s="321"/>
      <c r="G462" s="372">
        <v>94</v>
      </c>
    </row>
    <row r="463" spans="2:7">
      <c r="B463" s="967" t="s">
        <v>1401</v>
      </c>
      <c r="C463" s="396"/>
      <c r="D463" s="321"/>
      <c r="E463" s="967"/>
      <c r="F463" s="321"/>
      <c r="G463" s="372"/>
    </row>
    <row r="464" spans="2:7">
      <c r="B464" s="967" t="s">
        <v>1402</v>
      </c>
      <c r="C464" s="396"/>
      <c r="D464" s="321"/>
      <c r="E464" s="967"/>
      <c r="F464" s="321"/>
      <c r="G464" s="372">
        <v>52</v>
      </c>
    </row>
    <row r="465" spans="2:7">
      <c r="B465" s="967" t="s">
        <v>1403</v>
      </c>
      <c r="C465" s="396"/>
      <c r="D465" s="321"/>
      <c r="E465" s="967"/>
      <c r="F465" s="321"/>
      <c r="G465" s="372">
        <v>59</v>
      </c>
    </row>
    <row r="466" spans="2:7">
      <c r="B466" s="967" t="s">
        <v>1404</v>
      </c>
      <c r="C466" s="396"/>
      <c r="D466" s="321"/>
      <c r="E466" s="967"/>
      <c r="F466" s="321"/>
      <c r="G466" s="372">
        <v>80</v>
      </c>
    </row>
    <row r="467" spans="2:7">
      <c r="B467" s="967" t="s">
        <v>1405</v>
      </c>
      <c r="C467" s="396"/>
      <c r="D467" s="321"/>
      <c r="E467" s="967"/>
      <c r="F467" s="321"/>
      <c r="G467" s="372">
        <v>55</v>
      </c>
    </row>
    <row r="468" spans="2:7">
      <c r="B468" s="967" t="s">
        <v>1406</v>
      </c>
      <c r="C468" s="396"/>
      <c r="D468" s="321"/>
      <c r="E468" s="967"/>
      <c r="F468" s="321"/>
      <c r="G468" s="372">
        <v>55</v>
      </c>
    </row>
    <row r="469" spans="2:7">
      <c r="B469" s="967" t="s">
        <v>1407</v>
      </c>
      <c r="C469" s="396"/>
      <c r="D469" s="321"/>
      <c r="E469" s="967"/>
      <c r="F469" s="321"/>
      <c r="G469" s="372"/>
    </row>
    <row r="470" spans="2:7">
      <c r="B470" s="967" t="s">
        <v>1408</v>
      </c>
      <c r="C470" s="396"/>
      <c r="D470" s="321"/>
      <c r="E470" s="967"/>
      <c r="F470" s="321"/>
      <c r="G470" s="372"/>
    </row>
    <row r="471" spans="2:7">
      <c r="B471" s="967" t="s">
        <v>1409</v>
      </c>
      <c r="C471" s="396"/>
      <c r="D471" s="321"/>
      <c r="E471" s="967"/>
      <c r="F471" s="321"/>
      <c r="G471" s="372">
        <v>76</v>
      </c>
    </row>
    <row r="472" spans="2:7">
      <c r="B472" s="967" t="s">
        <v>1410</v>
      </c>
      <c r="C472" s="396"/>
      <c r="D472" s="321"/>
      <c r="E472" s="967"/>
      <c r="F472" s="321"/>
      <c r="G472" s="372">
        <v>97</v>
      </c>
    </row>
    <row r="473" spans="2:7">
      <c r="B473" s="967" t="s">
        <v>1175</v>
      </c>
      <c r="C473" s="396"/>
      <c r="D473" s="321"/>
      <c r="E473" s="967"/>
      <c r="F473" s="321"/>
      <c r="G473" s="372">
        <v>103</v>
      </c>
    </row>
    <row r="474" spans="2:7">
      <c r="B474" s="967" t="s">
        <v>1411</v>
      </c>
      <c r="C474" s="396"/>
      <c r="D474" s="321"/>
      <c r="E474" s="967"/>
      <c r="F474" s="321"/>
      <c r="G474" s="372">
        <v>92</v>
      </c>
    </row>
    <row r="475" spans="2:7">
      <c r="B475" s="967" t="s">
        <v>1412</v>
      </c>
      <c r="C475" s="396"/>
      <c r="D475" s="321"/>
      <c r="E475" s="967"/>
      <c r="F475" s="321"/>
      <c r="G475" s="372"/>
    </row>
    <row r="476" spans="2:7">
      <c r="B476" s="967" t="s">
        <v>1413</v>
      </c>
      <c r="C476" s="396"/>
      <c r="D476" s="321"/>
      <c r="E476" s="967"/>
      <c r="F476" s="321"/>
      <c r="G476" s="372"/>
    </row>
    <row r="477" spans="2:7">
      <c r="B477" s="967" t="s">
        <v>1414</v>
      </c>
      <c r="C477" s="396"/>
      <c r="D477" s="321"/>
      <c r="E477" s="967"/>
      <c r="F477" s="321"/>
      <c r="G477" s="372">
        <v>51</v>
      </c>
    </row>
    <row r="478" spans="2:7">
      <c r="B478" s="967" t="s">
        <v>1415</v>
      </c>
      <c r="C478" s="396"/>
      <c r="D478" s="321"/>
      <c r="E478" s="967"/>
      <c r="F478" s="321"/>
      <c r="G478" s="372">
        <v>86</v>
      </c>
    </row>
    <row r="479" spans="2:7">
      <c r="B479" s="967" t="s">
        <v>1416</v>
      </c>
      <c r="C479" s="396"/>
      <c r="D479" s="321"/>
      <c r="E479" s="967"/>
      <c r="F479" s="321"/>
      <c r="G479" s="372">
        <v>100</v>
      </c>
    </row>
    <row r="480" spans="2:7">
      <c r="B480" s="967" t="s">
        <v>1138</v>
      </c>
      <c r="C480" s="396"/>
      <c r="D480" s="321"/>
      <c r="E480" s="967"/>
      <c r="F480" s="321"/>
      <c r="G480" s="372">
        <v>102</v>
      </c>
    </row>
    <row r="481" spans="2:7">
      <c r="B481" s="967" t="s">
        <v>1417</v>
      </c>
      <c r="C481" s="396"/>
      <c r="D481" s="321"/>
      <c r="E481" s="967"/>
      <c r="F481" s="321"/>
      <c r="G481" s="372">
        <v>55</v>
      </c>
    </row>
    <row r="482" spans="2:7">
      <c r="B482" s="967" t="s">
        <v>1418</v>
      </c>
      <c r="C482" s="396"/>
      <c r="D482" s="321"/>
      <c r="E482" s="967"/>
      <c r="F482" s="321"/>
      <c r="G482" s="372">
        <v>110</v>
      </c>
    </row>
    <row r="483" spans="2:7">
      <c r="B483" s="967" t="s">
        <v>1419</v>
      </c>
      <c r="C483" s="396"/>
      <c r="D483" s="321"/>
      <c r="E483" s="967"/>
      <c r="F483" s="321"/>
      <c r="G483" s="372"/>
    </row>
    <row r="484" spans="2:7">
      <c r="B484" s="967" t="s">
        <v>1420</v>
      </c>
      <c r="C484" s="396"/>
      <c r="D484" s="321"/>
      <c r="E484" s="967"/>
      <c r="F484" s="321"/>
      <c r="G484" s="372">
        <v>86</v>
      </c>
    </row>
    <row r="485" spans="2:7">
      <c r="B485" s="967" t="s">
        <v>1421</v>
      </c>
      <c r="C485" s="396"/>
      <c r="D485" s="321"/>
      <c r="E485" s="967"/>
      <c r="F485" s="321"/>
      <c r="G485" s="372">
        <v>80</v>
      </c>
    </row>
    <row r="486" spans="2:7">
      <c r="B486" s="967" t="s">
        <v>1422</v>
      </c>
      <c r="C486" s="396"/>
      <c r="D486" s="321"/>
      <c r="E486" s="967"/>
      <c r="F486" s="321"/>
      <c r="G486" s="372">
        <v>67</v>
      </c>
    </row>
    <row r="487" spans="2:7">
      <c r="B487" s="967" t="s">
        <v>1423</v>
      </c>
      <c r="C487" s="396"/>
      <c r="D487" s="321"/>
      <c r="E487" s="967"/>
      <c r="F487" s="321"/>
      <c r="G487" s="372">
        <v>84</v>
      </c>
    </row>
    <row r="488" spans="2:7">
      <c r="B488" s="967" t="s">
        <v>1424</v>
      </c>
      <c r="C488" s="396"/>
      <c r="D488" s="321"/>
      <c r="E488" s="967"/>
      <c r="F488" s="321"/>
      <c r="G488" s="372">
        <v>76</v>
      </c>
    </row>
    <row r="489" spans="2:7">
      <c r="B489" s="967" t="s">
        <v>1425</v>
      </c>
      <c r="C489" s="396"/>
      <c r="D489" s="321"/>
      <c r="E489" s="967"/>
      <c r="F489" s="321"/>
      <c r="G489" s="372"/>
    </row>
    <row r="490" spans="2:7">
      <c r="B490" s="967" t="s">
        <v>1426</v>
      </c>
      <c r="C490" s="396"/>
      <c r="D490" s="321"/>
      <c r="E490" s="967"/>
      <c r="F490" s="321"/>
      <c r="G490" s="372"/>
    </row>
    <row r="491" spans="2:7">
      <c r="B491" s="967" t="s">
        <v>1427</v>
      </c>
      <c r="C491" s="396"/>
      <c r="D491" s="321"/>
      <c r="E491" s="967"/>
      <c r="F491" s="321"/>
      <c r="G491" s="372"/>
    </row>
    <row r="492" spans="2:7">
      <c r="B492" s="967" t="s">
        <v>1428</v>
      </c>
      <c r="C492" s="396"/>
      <c r="D492" s="321"/>
      <c r="E492" s="967"/>
      <c r="F492" s="321"/>
      <c r="G492" s="372">
        <v>58</v>
      </c>
    </row>
    <row r="493" spans="2:7">
      <c r="B493" s="967" t="s">
        <v>1429</v>
      </c>
      <c r="C493" s="396"/>
      <c r="D493" s="321"/>
      <c r="E493" s="967"/>
      <c r="F493" s="321"/>
      <c r="G493" s="372">
        <v>52</v>
      </c>
    </row>
    <row r="494" spans="2:7">
      <c r="B494" s="968" t="s">
        <v>1430</v>
      </c>
      <c r="C494" s="969"/>
      <c r="D494" s="322"/>
      <c r="E494" s="968"/>
      <c r="F494" s="322"/>
      <c r="G494" s="971">
        <v>53</v>
      </c>
    </row>
    <row r="495" spans="2:7">
      <c r="B495" s="396"/>
      <c r="C495" s="396"/>
      <c r="D495" s="396"/>
      <c r="E495" s="396"/>
      <c r="F495" s="396"/>
      <c r="G495" s="363"/>
    </row>
    <row r="496" spans="2:7" ht="16">
      <c r="B496" s="1031" t="s">
        <v>1795</v>
      </c>
    </row>
    <row r="497" spans="2:2" ht="16">
      <c r="B497" t="s">
        <v>1794</v>
      </c>
    </row>
  </sheetData>
  <dataConsolidate/>
  <mergeCells count="174">
    <mergeCell ref="E64:E65"/>
    <mergeCell ref="F64:F65"/>
    <mergeCell ref="H64:I64"/>
    <mergeCell ref="V64:V65"/>
    <mergeCell ref="W71:W76"/>
    <mergeCell ref="X71:X76"/>
    <mergeCell ref="H72:I72"/>
    <mergeCell ref="H73:I73"/>
    <mergeCell ref="AD59:AE59"/>
    <mergeCell ref="D60:F61"/>
    <mergeCell ref="G60:G61"/>
    <mergeCell ref="H60:I61"/>
    <mergeCell ref="J60:J61"/>
    <mergeCell ref="K60:K61"/>
    <mergeCell ref="L60:M61"/>
    <mergeCell ref="N60:O61"/>
    <mergeCell ref="P60:P61"/>
    <mergeCell ref="C59:F59"/>
    <mergeCell ref="G59:J59"/>
    <mergeCell ref="K59:Q59"/>
    <mergeCell ref="R59:S61"/>
    <mergeCell ref="T59:AA59"/>
    <mergeCell ref="AB59:AC61"/>
    <mergeCell ref="Q60:Q61"/>
    <mergeCell ref="W67:W70"/>
    <mergeCell ref="X67:X70"/>
    <mergeCell ref="H68:I68"/>
    <mergeCell ref="H69:I69"/>
    <mergeCell ref="H70:I70"/>
    <mergeCell ref="H71:I71"/>
    <mergeCell ref="V71:V76"/>
    <mergeCell ref="H66:I66"/>
    <mergeCell ref="H67:I67"/>
    <mergeCell ref="V67:V70"/>
    <mergeCell ref="AD60:AD61"/>
    <mergeCell ref="AE60:AE61"/>
    <mergeCell ref="V61:X61"/>
    <mergeCell ref="Y61:Z61"/>
    <mergeCell ref="H62:I62"/>
    <mergeCell ref="H63:I63"/>
    <mergeCell ref="W64:W65"/>
    <mergeCell ref="X64:X65"/>
    <mergeCell ref="H65:I65"/>
    <mergeCell ref="V60:Z60"/>
    <mergeCell ref="AA60:AA61"/>
    <mergeCell ref="AA115:AB115"/>
    <mergeCell ref="B126:C126"/>
    <mergeCell ref="D126:E128"/>
    <mergeCell ref="F126:G128"/>
    <mergeCell ref="H126:I128"/>
    <mergeCell ref="J126:M126"/>
    <mergeCell ref="N126:U126"/>
    <mergeCell ref="V126:W128"/>
    <mergeCell ref="X126:AK126"/>
    <mergeCell ref="T127:T128"/>
    <mergeCell ref="AH127:AI128"/>
    <mergeCell ref="AJ127:AK128"/>
    <mergeCell ref="AM127:AM128"/>
    <mergeCell ref="AN127:AN128"/>
    <mergeCell ref="B152:H152"/>
    <mergeCell ref="B157:B158"/>
    <mergeCell ref="C157:C158"/>
    <mergeCell ref="G157:U157"/>
    <mergeCell ref="U127:U128"/>
    <mergeCell ref="X127:Y128"/>
    <mergeCell ref="Z127:AA128"/>
    <mergeCell ref="AB127:AC128"/>
    <mergeCell ref="AD127:AE128"/>
    <mergeCell ref="AF127:AG128"/>
    <mergeCell ref="AL126:AL128"/>
    <mergeCell ref="AM126:AN126"/>
    <mergeCell ref="J127:K128"/>
    <mergeCell ref="L127:M128"/>
    <mergeCell ref="N127:N128"/>
    <mergeCell ref="O127:O128"/>
    <mergeCell ref="P127:P128"/>
    <mergeCell ref="Q127:Q128"/>
    <mergeCell ref="R127:R128"/>
    <mergeCell ref="S127:S128"/>
    <mergeCell ref="B150:B151"/>
    <mergeCell ref="C150:D151"/>
    <mergeCell ref="B2:B3"/>
    <mergeCell ref="C2:C3"/>
    <mergeCell ref="D2:E2"/>
    <mergeCell ref="F2:G2"/>
    <mergeCell ref="B184:B185"/>
    <mergeCell ref="B208:B209"/>
    <mergeCell ref="C208:D208"/>
    <mergeCell ref="B228:B229"/>
    <mergeCell ref="C228:D228"/>
    <mergeCell ref="E228:F228"/>
    <mergeCell ref="C71:C76"/>
    <mergeCell ref="D71:D76"/>
    <mergeCell ref="E71:E76"/>
    <mergeCell ref="F71:F76"/>
    <mergeCell ref="B21:E22"/>
    <mergeCell ref="F21:G22"/>
    <mergeCell ref="F29:G29"/>
    <mergeCell ref="F30:G30"/>
    <mergeCell ref="F31:G31"/>
    <mergeCell ref="F32:G32"/>
    <mergeCell ref="F33:G33"/>
    <mergeCell ref="F34:G34"/>
    <mergeCell ref="B59:B61"/>
    <mergeCell ref="C101:C103"/>
    <mergeCell ref="H2:I2"/>
    <mergeCell ref="J2:K2"/>
    <mergeCell ref="L2:M2"/>
    <mergeCell ref="N2:O2"/>
    <mergeCell ref="D3:E3"/>
    <mergeCell ref="F3:G3"/>
    <mergeCell ref="H3:I3"/>
    <mergeCell ref="J3:K3"/>
    <mergeCell ref="L3:M3"/>
    <mergeCell ref="H28:I28"/>
    <mergeCell ref="H27:I27"/>
    <mergeCell ref="H26:I26"/>
    <mergeCell ref="H21:I22"/>
    <mergeCell ref="F23:G23"/>
    <mergeCell ref="F24:G24"/>
    <mergeCell ref="H23:I24"/>
    <mergeCell ref="F25:G25"/>
    <mergeCell ref="F26:G26"/>
    <mergeCell ref="F27:G27"/>
    <mergeCell ref="F28:G28"/>
    <mergeCell ref="H25:I25"/>
    <mergeCell ref="E267:F267"/>
    <mergeCell ref="E265:F266"/>
    <mergeCell ref="H34:I34"/>
    <mergeCell ref="H33:I33"/>
    <mergeCell ref="H32:I32"/>
    <mergeCell ref="H31:I31"/>
    <mergeCell ref="B252:D253"/>
    <mergeCell ref="E252:F252"/>
    <mergeCell ref="B31:C34"/>
    <mergeCell ref="D101:E103"/>
    <mergeCell ref="F101:F103"/>
    <mergeCell ref="G101:H103"/>
    <mergeCell ref="I101:J103"/>
    <mergeCell ref="J54:N54"/>
    <mergeCell ref="C52:G52"/>
    <mergeCell ref="F35:G35"/>
    <mergeCell ref="H35:I35"/>
    <mergeCell ref="B39:C40"/>
    <mergeCell ref="D39:F39"/>
    <mergeCell ref="B101:B103"/>
    <mergeCell ref="C60:C61"/>
    <mergeCell ref="H74:I74"/>
    <mergeCell ref="H75:I75"/>
    <mergeCell ref="H76:I76"/>
    <mergeCell ref="Q55:U55"/>
    <mergeCell ref="J96:N96"/>
    <mergeCell ref="J93:N93"/>
    <mergeCell ref="J94:N94"/>
    <mergeCell ref="H29:I30"/>
    <mergeCell ref="G265:G266"/>
    <mergeCell ref="B265:D266"/>
    <mergeCell ref="M101:N103"/>
    <mergeCell ref="O101:P101"/>
    <mergeCell ref="Q101:R101"/>
    <mergeCell ref="O102:O103"/>
    <mergeCell ref="P102:P103"/>
    <mergeCell ref="Q102:Q103"/>
    <mergeCell ref="R102:R103"/>
    <mergeCell ref="K101:L103"/>
    <mergeCell ref="T60:U61"/>
    <mergeCell ref="E150:E151"/>
    <mergeCell ref="F150:M151"/>
    <mergeCell ref="C67:C70"/>
    <mergeCell ref="D67:D70"/>
    <mergeCell ref="E67:E70"/>
    <mergeCell ref="F67:F70"/>
    <mergeCell ref="C64:C65"/>
    <mergeCell ref="D64:D65"/>
  </mergeCells>
  <dataValidations count="3">
    <dataValidation type="list" allowBlank="1" showInputMessage="1" showErrorMessage="1" sqref="F26:G26">
      <formula1>INDIRECT("WWTOOL_" &amp; F25)</formula1>
    </dataValidation>
    <dataValidation type="list" allowBlank="1" showInputMessage="1" showErrorMessage="1" sqref="R133:R144 P133:P144 O132:T132 T133:T144 B130:B144 AL130:AL144 N131:N144 P131 R131 T131">
      <formula1>WWTOOL_Industry</formula1>
    </dataValidation>
    <dataValidation type="list" allowBlank="1" showInputMessage="1" showErrorMessage="1" sqref="F27:G27">
      <formula1>Country</formula1>
    </dataValidation>
  </dataValidations>
  <hyperlinks>
    <hyperlink ref="F2" location="'City information'!A1" display="Set-up"/>
    <hyperlink ref="G2" location="'City information'!A1" display="'City information'!A1"/>
    <hyperlink ref="H2" location="Inventory!A1" display="Inventory"/>
    <hyperlink ref="I2" location="Inventory!A1" display="Inventory!A1"/>
    <hyperlink ref="N2" location="Analysis!A1" display="Analysis"/>
    <hyperlink ref="O2" location="Analysis!A1" display="Analysis!A1"/>
    <hyperlink ref="L2" location="Results!A1" display="Results"/>
    <hyperlink ref="M2" location="Results!A1" display="Results!A1"/>
    <hyperlink ref="D3" location="'Fugitive gas'!A1" display="Fugitive emissions"/>
    <hyperlink ref="E3" location="'Fugitive gas'!A1" display="'Fugitive gas'!A1"/>
    <hyperlink ref="J2" location="Calculators!A1" display="Calculators"/>
    <hyperlink ref="K2" location="Calculators!A1" display="Calculators!A1"/>
    <hyperlink ref="F3" location="'Solid waste disposal'!A1" display="Solid waste disposal"/>
    <hyperlink ref="G3" location="'Solid waste disposal'!A1" display="'Solid waste disposal'!A1"/>
    <hyperlink ref="H3" location="'Biological treatment'!A1" display="Biological treatment"/>
    <hyperlink ref="I3" location="'Biological treatment'!A1" display="'Biological treatment'!A1"/>
    <hyperlink ref="J3" location="Incineration!A1" display="Incineration"/>
    <hyperlink ref="K3" location="Incineration!A1" display="Incineration!A1"/>
    <hyperlink ref="D2" location="Home!A1" display="Introduction"/>
    <hyperlink ref="E2" location="Home!A1" display="Home!A1"/>
  </hyperlinks>
  <pageMargins left="0.05" right="0.05" top="0.16" bottom="0.16" header="0" footer="0"/>
  <pageSetup paperSize="8" scale="34" orientation="landscape"/>
  <headerFooter alignWithMargins="0"/>
  <rowBreaks count="2" manualBreakCount="2">
    <brk id="111" max="16383" man="1"/>
    <brk id="152" max="16383" man="1"/>
  </rowBreaks>
  <colBreaks count="2" manualBreakCount="2">
    <brk id="24" max="1048575" man="1"/>
    <brk id="30" max="1048575" man="1"/>
  </colBreaks>
  <ignoredErrors>
    <ignoredError sqref="E43" emptyCellReference="1"/>
  </ignoredErrors>
  <drawing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Lists!$BE$4:$BE$18</xm:f>
          </x14:formula1>
          <xm:sqref>F25:G25</xm:sqref>
        </x14:dataValidation>
        <x14:dataValidation type="list" allowBlank="1" showInputMessage="1" showErrorMessage="1">
          <x14:formula1>
            <xm:f>Lists!$BO$4:$BO$6</xm:f>
          </x14:formula1>
          <xm:sqref>F35:G35</xm:sqref>
        </x14:dataValidation>
        <x14:dataValidation type="list" allowBlank="1" showInputMessage="1" showErrorMessage="1">
          <x14:formula1>
            <xm:f>Lists!$BP$4:$BP$6</xm:f>
          </x14:formula1>
          <xm:sqref>F28:G28</xm:sqref>
        </x14:dataValidation>
      </x14:dataValidations>
    </ext>
    <ext xmlns:mx="http://schemas.microsoft.com/office/mac/excel/2008/main" uri="{64002731-A6B0-56B0-2670-7721B7C09600}">
      <mx:PLV Mode="0" OnePage="0" WScale="0"/>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dimension ref="A1:B234"/>
  <sheetViews>
    <sheetView showGridLines="0" workbookViewId="0">
      <selection activeCell="A233" sqref="A233:A234"/>
    </sheetView>
  </sheetViews>
  <sheetFormatPr baseColWidth="10" defaultColWidth="8.83203125" defaultRowHeight="15" x14ac:dyDescent="0"/>
  <cols>
    <col min="1" max="1" width="23.6640625" customWidth="1"/>
    <col min="2" max="2" width="23.6640625" style="6" customWidth="1"/>
  </cols>
  <sheetData>
    <row r="1" spans="1:2" s="355" customFormat="1" ht="45">
      <c r="A1" s="385" t="s">
        <v>620</v>
      </c>
      <c r="B1" s="386" t="s">
        <v>1792</v>
      </c>
    </row>
    <row r="2" spans="1:2" s="355" customFormat="1">
      <c r="A2" s="442"/>
      <c r="B2" s="443"/>
    </row>
    <row r="3" spans="1:2" s="355" customFormat="1">
      <c r="A3" s="442" t="s">
        <v>182</v>
      </c>
      <c r="B3" s="443" t="s">
        <v>1533</v>
      </c>
    </row>
    <row r="4" spans="1:2">
      <c r="A4" s="387" t="s">
        <v>1227</v>
      </c>
      <c r="B4" s="388">
        <v>58</v>
      </c>
    </row>
    <row r="5" spans="1:2">
      <c r="A5" s="387" t="s">
        <v>1228</v>
      </c>
      <c r="B5" s="388">
        <v>101</v>
      </c>
    </row>
    <row r="6" spans="1:2">
      <c r="A6" s="387" t="s">
        <v>1229</v>
      </c>
      <c r="B6" s="388">
        <v>88</v>
      </c>
    </row>
    <row r="7" spans="1:2">
      <c r="A7" s="387" t="s">
        <v>1230</v>
      </c>
      <c r="B7" s="388"/>
    </row>
    <row r="8" spans="1:2">
      <c r="A8" s="387" t="s">
        <v>1231</v>
      </c>
      <c r="B8" s="388"/>
    </row>
    <row r="9" spans="1:2">
      <c r="A9" s="387" t="s">
        <v>1232</v>
      </c>
      <c r="B9" s="388">
        <v>54</v>
      </c>
    </row>
    <row r="10" spans="1:2">
      <c r="A10" s="387" t="s">
        <v>1233</v>
      </c>
      <c r="B10" s="388"/>
    </row>
    <row r="11" spans="1:2">
      <c r="A11" s="387" t="s">
        <v>1234</v>
      </c>
      <c r="B11" s="388"/>
    </row>
    <row r="12" spans="1:2">
      <c r="A12" s="387" t="s">
        <v>1235</v>
      </c>
      <c r="B12" s="388">
        <v>99</v>
      </c>
    </row>
    <row r="13" spans="1:2">
      <c r="A13" s="387" t="s">
        <v>1236</v>
      </c>
      <c r="B13" s="388">
        <v>85</v>
      </c>
    </row>
    <row r="14" spans="1:2">
      <c r="A14" s="387" t="s">
        <v>1237</v>
      </c>
      <c r="B14" s="388"/>
    </row>
    <row r="15" spans="1:2">
      <c r="A15" s="387" t="s">
        <v>1149</v>
      </c>
      <c r="B15" s="388">
        <v>104</v>
      </c>
    </row>
    <row r="16" spans="1:2">
      <c r="A16" s="387" t="s">
        <v>1238</v>
      </c>
      <c r="B16" s="388">
        <v>106</v>
      </c>
    </row>
    <row r="17" spans="1:2">
      <c r="A17" s="387" t="s">
        <v>1239</v>
      </c>
      <c r="B17" s="388">
        <v>88</v>
      </c>
    </row>
    <row r="18" spans="1:2">
      <c r="A18" s="387" t="s">
        <v>1240</v>
      </c>
      <c r="B18" s="388"/>
    </row>
    <row r="19" spans="1:2">
      <c r="A19" s="387" t="s">
        <v>1241</v>
      </c>
      <c r="B19" s="388"/>
    </row>
    <row r="20" spans="1:2">
      <c r="A20" s="387" t="s">
        <v>1132</v>
      </c>
      <c r="B20" s="388">
        <v>55</v>
      </c>
    </row>
    <row r="21" spans="1:2">
      <c r="A21" s="387" t="s">
        <v>1242</v>
      </c>
      <c r="B21" s="388">
        <v>91</v>
      </c>
    </row>
    <row r="22" spans="1:2">
      <c r="A22" s="387" t="s">
        <v>1243</v>
      </c>
      <c r="B22" s="388">
        <v>92</v>
      </c>
    </row>
    <row r="23" spans="1:2">
      <c r="A23" s="387" t="s">
        <v>1244</v>
      </c>
      <c r="B23" s="388">
        <v>102</v>
      </c>
    </row>
    <row r="24" spans="1:2">
      <c r="A24" s="387" t="s">
        <v>1245</v>
      </c>
      <c r="B24" s="388">
        <v>71</v>
      </c>
    </row>
    <row r="25" spans="1:2">
      <c r="A25" s="387" t="s">
        <v>1246</v>
      </c>
      <c r="B25" s="388">
        <v>61</v>
      </c>
    </row>
    <row r="26" spans="1:2">
      <c r="A26" s="387" t="s">
        <v>1247</v>
      </c>
      <c r="B26" s="388">
        <v>89</v>
      </c>
    </row>
    <row r="27" spans="1:2">
      <c r="A27" s="387" t="s">
        <v>1248</v>
      </c>
      <c r="B27" s="388"/>
    </row>
    <row r="28" spans="1:2" ht="30">
      <c r="A28" s="387" t="s">
        <v>1249</v>
      </c>
      <c r="B28" s="388">
        <v>64</v>
      </c>
    </row>
    <row r="29" spans="1:2">
      <c r="A29" s="387" t="s">
        <v>1250</v>
      </c>
      <c r="B29" s="388">
        <v>90</v>
      </c>
    </row>
    <row r="30" spans="1:2">
      <c r="A30" s="387" t="s">
        <v>1251</v>
      </c>
      <c r="B30" s="388">
        <v>64</v>
      </c>
    </row>
    <row r="31" spans="1:2">
      <c r="A31" s="387" t="s">
        <v>1145</v>
      </c>
      <c r="B31" s="388">
        <v>92</v>
      </c>
    </row>
    <row r="32" spans="1:2">
      <c r="A32" s="387" t="s">
        <v>1252</v>
      </c>
      <c r="B32" s="388"/>
    </row>
    <row r="33" spans="1:2">
      <c r="A33" s="387" t="s">
        <v>1253</v>
      </c>
      <c r="B33" s="388">
        <v>84</v>
      </c>
    </row>
    <row r="34" spans="1:2">
      <c r="A34" s="387" t="s">
        <v>1254</v>
      </c>
      <c r="B34" s="388">
        <v>82</v>
      </c>
    </row>
    <row r="35" spans="1:2">
      <c r="A35" s="387" t="s">
        <v>1255</v>
      </c>
      <c r="B35" s="388">
        <v>80</v>
      </c>
    </row>
    <row r="36" spans="1:2">
      <c r="A36" s="387" t="s">
        <v>1256</v>
      </c>
      <c r="B36" s="388"/>
    </row>
    <row r="37" spans="1:2">
      <c r="A37" s="387" t="s">
        <v>1257</v>
      </c>
      <c r="B37" s="388">
        <v>75</v>
      </c>
    </row>
    <row r="38" spans="1:2">
      <c r="A38" s="387" t="s">
        <v>1258</v>
      </c>
      <c r="B38" s="388">
        <v>63</v>
      </c>
    </row>
    <row r="39" spans="1:2">
      <c r="A39" s="387" t="s">
        <v>1259</v>
      </c>
      <c r="B39" s="388">
        <v>68</v>
      </c>
    </row>
    <row r="40" spans="1:2">
      <c r="A40" s="387" t="s">
        <v>1143</v>
      </c>
      <c r="B40" s="388">
        <v>104</v>
      </c>
    </row>
    <row r="41" spans="1:2">
      <c r="A41" s="387" t="s">
        <v>1260</v>
      </c>
      <c r="B41" s="388"/>
    </row>
    <row r="42" spans="1:2">
      <c r="A42" s="387" t="s">
        <v>1261</v>
      </c>
      <c r="B42" s="388">
        <v>53</v>
      </c>
    </row>
    <row r="43" spans="1:2">
      <c r="A43" s="387" t="s">
        <v>1262</v>
      </c>
      <c r="B43" s="388">
        <v>62</v>
      </c>
    </row>
    <row r="44" spans="1:2">
      <c r="A44" s="387" t="s">
        <v>1263</v>
      </c>
      <c r="B44" s="388">
        <v>85</v>
      </c>
    </row>
    <row r="45" spans="1:2">
      <c r="A45" s="387" t="s">
        <v>1128</v>
      </c>
      <c r="B45" s="388">
        <v>94</v>
      </c>
    </row>
    <row r="46" spans="1:2">
      <c r="A46" s="387" t="s">
        <v>1264</v>
      </c>
      <c r="B46" s="388">
        <v>62</v>
      </c>
    </row>
    <row r="47" spans="1:2">
      <c r="A47" s="387" t="s">
        <v>1265</v>
      </c>
      <c r="B47" s="388"/>
    </row>
    <row r="48" spans="1:2">
      <c r="A48" s="387" t="s">
        <v>1266</v>
      </c>
      <c r="B48" s="388">
        <v>50</v>
      </c>
    </row>
    <row r="49" spans="1:2">
      <c r="A49" s="387" t="s">
        <v>1267</v>
      </c>
      <c r="B49" s="388"/>
    </row>
    <row r="50" spans="1:2">
      <c r="A50" s="387" t="s">
        <v>1268</v>
      </c>
      <c r="B50" s="388">
        <v>76</v>
      </c>
    </row>
    <row r="51" spans="1:2">
      <c r="A51" s="387" t="s">
        <v>1269</v>
      </c>
      <c r="B51" s="388">
        <v>58</v>
      </c>
    </row>
    <row r="52" spans="1:2">
      <c r="A52" s="387" t="s">
        <v>1270</v>
      </c>
      <c r="B52" s="388">
        <v>83</v>
      </c>
    </row>
    <row r="53" spans="1:2">
      <c r="A53" s="387" t="s">
        <v>1271</v>
      </c>
      <c r="B53" s="388">
        <v>83</v>
      </c>
    </row>
    <row r="54" spans="1:2">
      <c r="A54" s="387" t="s">
        <v>1272</v>
      </c>
      <c r="B54" s="388">
        <v>79</v>
      </c>
    </row>
    <row r="55" spans="1:2">
      <c r="A55" s="387" t="s">
        <v>1273</v>
      </c>
      <c r="B55" s="388">
        <v>92</v>
      </c>
    </row>
    <row r="56" spans="1:2" ht="30">
      <c r="A56" s="387" t="s">
        <v>1274</v>
      </c>
      <c r="B56" s="388">
        <v>56</v>
      </c>
    </row>
    <row r="57" spans="1:2" ht="30">
      <c r="A57" s="387" t="s">
        <v>1275</v>
      </c>
      <c r="B57" s="388"/>
    </row>
    <row r="58" spans="1:2">
      <c r="A58" s="387" t="s">
        <v>1172</v>
      </c>
      <c r="B58" s="388">
        <v>107</v>
      </c>
    </row>
    <row r="59" spans="1:2">
      <c r="A59" s="387" t="s">
        <v>1276</v>
      </c>
      <c r="B59" s="388">
        <v>63</v>
      </c>
    </row>
    <row r="60" spans="1:2">
      <c r="A60" s="387" t="s">
        <v>1277</v>
      </c>
      <c r="B60" s="388">
        <v>88</v>
      </c>
    </row>
    <row r="61" spans="1:2">
      <c r="A61" s="387" t="s">
        <v>1278</v>
      </c>
      <c r="B61" s="388">
        <v>58</v>
      </c>
    </row>
    <row r="62" spans="1:2">
      <c r="A62" s="387" t="s">
        <v>1279</v>
      </c>
      <c r="B62" s="388">
        <v>66</v>
      </c>
    </row>
    <row r="63" spans="1:2">
      <c r="A63" s="387" t="s">
        <v>1125</v>
      </c>
      <c r="B63" s="388">
        <v>102</v>
      </c>
    </row>
    <row r="64" spans="1:2">
      <c r="A64" s="387" t="s">
        <v>1280</v>
      </c>
      <c r="B64" s="388">
        <v>70</v>
      </c>
    </row>
    <row r="65" spans="1:2">
      <c r="A65" s="387" t="s">
        <v>1281</v>
      </c>
      <c r="B65" s="388"/>
    </row>
    <row r="66" spans="1:2">
      <c r="A66" s="387" t="s">
        <v>1282</v>
      </c>
      <c r="B66" s="388"/>
    </row>
    <row r="67" spans="1:2">
      <c r="A67" s="387" t="s">
        <v>1283</v>
      </c>
      <c r="B67" s="388">
        <v>96</v>
      </c>
    </row>
    <row r="68" spans="1:2">
      <c r="A68" s="387" t="s">
        <v>1284</v>
      </c>
      <c r="B68" s="388">
        <v>61</v>
      </c>
    </row>
    <row r="69" spans="1:2">
      <c r="A69" s="387" t="s">
        <v>1285</v>
      </c>
      <c r="B69" s="388"/>
    </row>
    <row r="70" spans="1:2">
      <c r="A70" s="387" t="s">
        <v>1286</v>
      </c>
      <c r="B70" s="388">
        <v>74</v>
      </c>
    </row>
    <row r="71" spans="1:2">
      <c r="A71" s="387" t="s">
        <v>1287</v>
      </c>
      <c r="B71" s="388">
        <v>112</v>
      </c>
    </row>
    <row r="72" spans="1:2">
      <c r="A72" s="387" t="s">
        <v>1139</v>
      </c>
      <c r="B72" s="388">
        <v>113</v>
      </c>
    </row>
    <row r="73" spans="1:2">
      <c r="A73" s="387" t="s">
        <v>1288</v>
      </c>
      <c r="B73" s="388"/>
    </row>
    <row r="74" spans="1:2">
      <c r="A74" s="387" t="s">
        <v>1289</v>
      </c>
      <c r="B74" s="388"/>
    </row>
    <row r="75" spans="1:2">
      <c r="A75" s="387" t="s">
        <v>1290</v>
      </c>
      <c r="B75" s="388">
        <v>82</v>
      </c>
    </row>
    <row r="76" spans="1:2">
      <c r="A76" s="387" t="s">
        <v>1291</v>
      </c>
      <c r="B76" s="388">
        <v>67</v>
      </c>
    </row>
    <row r="77" spans="1:2">
      <c r="A77" s="387" t="s">
        <v>1292</v>
      </c>
      <c r="B77" s="388">
        <v>75</v>
      </c>
    </row>
    <row r="78" spans="1:2">
      <c r="A78" s="387" t="s">
        <v>1137</v>
      </c>
      <c r="B78" s="388">
        <v>103</v>
      </c>
    </row>
    <row r="79" spans="1:2">
      <c r="A79" s="387" t="s">
        <v>1293</v>
      </c>
      <c r="B79" s="388">
        <v>60</v>
      </c>
    </row>
    <row r="80" spans="1:2">
      <c r="A80" s="387" t="s">
        <v>1294</v>
      </c>
      <c r="B80" s="388"/>
    </row>
    <row r="81" spans="1:2">
      <c r="A81" s="387" t="s">
        <v>1173</v>
      </c>
      <c r="B81" s="388">
        <v>112</v>
      </c>
    </row>
    <row r="82" spans="1:2">
      <c r="A82" s="387" t="s">
        <v>1295</v>
      </c>
      <c r="B82" s="388"/>
    </row>
    <row r="83" spans="1:2">
      <c r="A83" s="387" t="s">
        <v>1296</v>
      </c>
      <c r="B83" s="388"/>
    </row>
    <row r="84" spans="1:2">
      <c r="A84" s="387" t="s">
        <v>1297</v>
      </c>
      <c r="B84" s="388"/>
    </row>
    <row r="85" spans="1:2">
      <c r="A85" s="387" t="s">
        <v>1298</v>
      </c>
      <c r="B85" s="388"/>
    </row>
    <row r="86" spans="1:2">
      <c r="A86" s="387" t="s">
        <v>1299</v>
      </c>
      <c r="B86" s="388">
        <v>64</v>
      </c>
    </row>
    <row r="87" spans="1:2">
      <c r="A87" s="387" t="s">
        <v>1300</v>
      </c>
      <c r="B87" s="388">
        <v>54</v>
      </c>
    </row>
    <row r="88" spans="1:2">
      <c r="A88" s="387" t="s">
        <v>1301</v>
      </c>
      <c r="B88" s="388">
        <v>43</v>
      </c>
    </row>
    <row r="89" spans="1:2">
      <c r="A89" s="387" t="s">
        <v>1302</v>
      </c>
      <c r="B89" s="388">
        <v>75</v>
      </c>
    </row>
    <row r="90" spans="1:2">
      <c r="A90" s="387" t="s">
        <v>1303</v>
      </c>
      <c r="B90" s="388">
        <v>48</v>
      </c>
    </row>
    <row r="91" spans="1:2">
      <c r="A91" s="387" t="s">
        <v>1304</v>
      </c>
      <c r="B91" s="388"/>
    </row>
    <row r="92" spans="1:2">
      <c r="A92" s="387" t="s">
        <v>1305</v>
      </c>
      <c r="B92" s="388">
        <v>65</v>
      </c>
    </row>
    <row r="93" spans="1:2">
      <c r="A93" s="387" t="s">
        <v>1306</v>
      </c>
      <c r="B93" s="388">
        <v>82</v>
      </c>
    </row>
    <row r="94" spans="1:2">
      <c r="A94" s="387" t="s">
        <v>1307</v>
      </c>
      <c r="B94" s="388">
        <v>132</v>
      </c>
    </row>
    <row r="95" spans="1:2">
      <c r="A95" s="387" t="s">
        <v>1129</v>
      </c>
      <c r="B95" s="388">
        <v>59</v>
      </c>
    </row>
    <row r="96" spans="1:2">
      <c r="A96" s="387" t="s">
        <v>1130</v>
      </c>
      <c r="B96" s="388">
        <v>60</v>
      </c>
    </row>
    <row r="97" spans="1:2">
      <c r="A97" s="387" t="s">
        <v>1308</v>
      </c>
      <c r="B97" s="388">
        <v>86</v>
      </c>
    </row>
    <row r="98" spans="1:2">
      <c r="A98" s="387" t="s">
        <v>1309</v>
      </c>
      <c r="B98" s="388">
        <v>61</v>
      </c>
    </row>
    <row r="99" spans="1:2">
      <c r="A99" s="387" t="s">
        <v>1310</v>
      </c>
      <c r="B99" s="388">
        <v>108</v>
      </c>
    </row>
    <row r="100" spans="1:2">
      <c r="A100" s="387" t="s">
        <v>1311</v>
      </c>
      <c r="B100" s="388">
        <v>126</v>
      </c>
    </row>
    <row r="101" spans="1:2">
      <c r="A101" s="387" t="s">
        <v>1140</v>
      </c>
      <c r="B101" s="388">
        <v>111</v>
      </c>
    </row>
    <row r="102" spans="1:2">
      <c r="A102" s="387" t="s">
        <v>1312</v>
      </c>
      <c r="B102" s="388">
        <v>77</v>
      </c>
    </row>
    <row r="103" spans="1:2">
      <c r="A103" s="387" t="s">
        <v>1133</v>
      </c>
      <c r="B103" s="388">
        <v>88</v>
      </c>
    </row>
    <row r="104" spans="1:2">
      <c r="A104" s="387" t="s">
        <v>1313</v>
      </c>
      <c r="B104" s="388">
        <v>82</v>
      </c>
    </row>
    <row r="105" spans="1:2">
      <c r="A105" s="387" t="s">
        <v>1314</v>
      </c>
      <c r="B105" s="388">
        <v>97</v>
      </c>
    </row>
    <row r="106" spans="1:2">
      <c r="A106" s="387" t="s">
        <v>1126</v>
      </c>
      <c r="B106" s="388">
        <v>61</v>
      </c>
    </row>
    <row r="107" spans="1:2">
      <c r="A107" s="387" t="s">
        <v>1315</v>
      </c>
      <c r="B107" s="388">
        <v>74</v>
      </c>
    </row>
    <row r="108" spans="1:2">
      <c r="A108" s="387" t="s">
        <v>1316</v>
      </c>
      <c r="B108" s="388">
        <v>108</v>
      </c>
    </row>
    <row r="109" spans="1:2">
      <c r="A109" s="387" t="s">
        <v>1317</v>
      </c>
      <c r="B109" s="388">
        <v>85</v>
      </c>
    </row>
    <row r="110" spans="1:2" ht="30">
      <c r="A110" s="387" t="s">
        <v>1318</v>
      </c>
      <c r="B110" s="388">
        <v>63</v>
      </c>
    </row>
    <row r="111" spans="1:2">
      <c r="A111" s="387" t="s">
        <v>1319</v>
      </c>
      <c r="B111" s="388">
        <v>97</v>
      </c>
    </row>
    <row r="112" spans="1:2">
      <c r="A112" s="387" t="s">
        <v>1320</v>
      </c>
      <c r="B112" s="388">
        <v>81</v>
      </c>
    </row>
    <row r="113" spans="1:2">
      <c r="A113" s="387" t="s">
        <v>1321</v>
      </c>
      <c r="B113" s="388">
        <v>74</v>
      </c>
    </row>
    <row r="114" spans="1:2">
      <c r="A114" s="387" t="s">
        <v>1322</v>
      </c>
      <c r="B114" s="388">
        <v>37</v>
      </c>
    </row>
    <row r="115" spans="1:2">
      <c r="A115" s="387" t="s">
        <v>1323</v>
      </c>
      <c r="B115" s="388"/>
    </row>
    <row r="116" spans="1:2">
      <c r="A116" s="387" t="s">
        <v>1324</v>
      </c>
      <c r="B116" s="388"/>
    </row>
    <row r="117" spans="1:2">
      <c r="A117" s="387" t="s">
        <v>1325</v>
      </c>
      <c r="B117" s="388">
        <v>124</v>
      </c>
    </row>
    <row r="118" spans="1:2">
      <c r="A118" s="387" t="s">
        <v>1326</v>
      </c>
      <c r="B118" s="388">
        <v>112</v>
      </c>
    </row>
    <row r="119" spans="1:2">
      <c r="A119" s="387" t="s">
        <v>1327</v>
      </c>
      <c r="B119" s="388">
        <v>48</v>
      </c>
    </row>
    <row r="120" spans="1:2">
      <c r="A120" s="387" t="s">
        <v>1328</v>
      </c>
      <c r="B120" s="388">
        <v>62</v>
      </c>
    </row>
    <row r="121" spans="1:2">
      <c r="A121" s="387" t="s">
        <v>1329</v>
      </c>
      <c r="B121" s="388">
        <v>79</v>
      </c>
    </row>
    <row r="122" spans="1:2">
      <c r="A122" s="387" t="s">
        <v>1330</v>
      </c>
      <c r="B122" s="388">
        <v>105</v>
      </c>
    </row>
    <row r="123" spans="1:2">
      <c r="A123" s="387" t="s">
        <v>1331</v>
      </c>
      <c r="B123" s="388">
        <v>82</v>
      </c>
    </row>
    <row r="124" spans="1:2">
      <c r="A124" s="387" t="s">
        <v>1332</v>
      </c>
      <c r="B124" s="388">
        <v>109</v>
      </c>
    </row>
    <row r="125" spans="1:2">
      <c r="A125" s="387" t="s">
        <v>1333</v>
      </c>
      <c r="B125" s="388"/>
    </row>
    <row r="126" spans="1:2">
      <c r="A126" s="387" t="s">
        <v>1334</v>
      </c>
      <c r="B126" s="388"/>
    </row>
    <row r="127" spans="1:2">
      <c r="A127" s="387" t="s">
        <v>1335</v>
      </c>
      <c r="B127" s="388">
        <v>80</v>
      </c>
    </row>
    <row r="128" spans="1:2">
      <c r="A128" s="387" t="s">
        <v>1336</v>
      </c>
      <c r="B128" s="388">
        <v>90</v>
      </c>
    </row>
    <row r="129" spans="1:2">
      <c r="A129" s="387" t="s">
        <v>1337</v>
      </c>
      <c r="B129" s="388"/>
    </row>
    <row r="130" spans="1:2">
      <c r="A130" s="387" t="s">
        <v>1147</v>
      </c>
      <c r="B130" s="388">
        <v>86</v>
      </c>
    </row>
    <row r="131" spans="1:2" ht="30">
      <c r="A131" s="387" t="s">
        <v>1338</v>
      </c>
      <c r="B131" s="388"/>
    </row>
    <row r="132" spans="1:2">
      <c r="A132" s="387" t="s">
        <v>1339</v>
      </c>
      <c r="B132" s="388"/>
    </row>
    <row r="133" spans="1:2">
      <c r="A133" s="387" t="s">
        <v>1340</v>
      </c>
      <c r="B133" s="388">
        <v>78</v>
      </c>
    </row>
    <row r="134" spans="1:2">
      <c r="A134" s="387" t="s">
        <v>1341</v>
      </c>
      <c r="B134" s="388">
        <v>111</v>
      </c>
    </row>
    <row r="135" spans="1:2">
      <c r="A135" s="387" t="s">
        <v>1342</v>
      </c>
      <c r="B135" s="388"/>
    </row>
    <row r="136" spans="1:2">
      <c r="A136" s="387" t="s">
        <v>1343</v>
      </c>
      <c r="B136" s="388">
        <v>94</v>
      </c>
    </row>
    <row r="137" spans="1:2">
      <c r="A137" s="387" t="s">
        <v>1344</v>
      </c>
      <c r="B137" s="388">
        <v>45</v>
      </c>
    </row>
    <row r="138" spans="1:2">
      <c r="A138" s="387" t="s">
        <v>1345</v>
      </c>
      <c r="B138" s="388">
        <v>79</v>
      </c>
    </row>
    <row r="139" spans="1:2">
      <c r="A139" s="387" t="s">
        <v>1346</v>
      </c>
      <c r="B139" s="388">
        <v>59</v>
      </c>
    </row>
    <row r="140" spans="1:2">
      <c r="A140" s="387" t="s">
        <v>1347</v>
      </c>
      <c r="B140" s="388"/>
    </row>
    <row r="141" spans="1:2">
      <c r="A141" s="387" t="s">
        <v>1348</v>
      </c>
      <c r="B141" s="388">
        <v>65</v>
      </c>
    </row>
    <row r="142" spans="1:2">
      <c r="A142" s="387" t="s">
        <v>1349</v>
      </c>
      <c r="B142" s="388">
        <v>108</v>
      </c>
    </row>
    <row r="143" spans="1:2">
      <c r="A143" s="387" t="s">
        <v>1350</v>
      </c>
      <c r="B143" s="388"/>
    </row>
    <row r="144" spans="1:2">
      <c r="A144" s="387" t="s">
        <v>1351</v>
      </c>
      <c r="B144" s="388"/>
    </row>
    <row r="145" spans="1:2">
      <c r="A145" s="387" t="s">
        <v>1150</v>
      </c>
      <c r="B145" s="388">
        <v>94</v>
      </c>
    </row>
    <row r="146" spans="1:2">
      <c r="A146" s="387" t="s">
        <v>1352</v>
      </c>
      <c r="B146" s="388">
        <v>65</v>
      </c>
    </row>
    <row r="147" spans="1:2">
      <c r="A147" s="387" t="s">
        <v>1353</v>
      </c>
      <c r="B147" s="388">
        <v>81</v>
      </c>
    </row>
    <row r="148" spans="1:2">
      <c r="A148" s="387" t="s">
        <v>1124</v>
      </c>
      <c r="B148" s="388">
        <v>64</v>
      </c>
    </row>
    <row r="149" spans="1:2">
      <c r="A149" s="387" t="s">
        <v>1354</v>
      </c>
      <c r="B149" s="388"/>
    </row>
    <row r="150" spans="1:2">
      <c r="A150" s="387" t="s">
        <v>1355</v>
      </c>
      <c r="B150" s="388"/>
    </row>
    <row r="151" spans="1:2">
      <c r="A151" s="387" t="s">
        <v>1356</v>
      </c>
      <c r="B151" s="388">
        <v>109</v>
      </c>
    </row>
    <row r="152" spans="1:2">
      <c r="A152" s="387" t="s">
        <v>1357</v>
      </c>
      <c r="B152" s="388">
        <v>88</v>
      </c>
    </row>
    <row r="153" spans="1:2">
      <c r="A153" s="387" t="s">
        <v>1131</v>
      </c>
      <c r="B153" s="388">
        <v>64</v>
      </c>
    </row>
    <row r="154" spans="1:2">
      <c r="A154" s="387" t="s">
        <v>1358</v>
      </c>
      <c r="B154" s="388"/>
    </row>
    <row r="155" spans="1:2">
      <c r="A155" s="387" t="s">
        <v>1359</v>
      </c>
      <c r="B155" s="388">
        <v>75</v>
      </c>
    </row>
    <row r="156" spans="1:2">
      <c r="A156" s="387" t="s">
        <v>1360</v>
      </c>
      <c r="B156" s="388"/>
    </row>
    <row r="157" spans="1:2">
      <c r="A157" s="387" t="s">
        <v>1361</v>
      </c>
      <c r="B157" s="388">
        <v>67</v>
      </c>
    </row>
    <row r="158" spans="1:2">
      <c r="A158" s="387" t="s">
        <v>1362</v>
      </c>
      <c r="B158" s="388">
        <v>72</v>
      </c>
    </row>
    <row r="159" spans="1:2">
      <c r="A159" s="387" t="s">
        <v>1363</v>
      </c>
      <c r="B159" s="388">
        <v>60</v>
      </c>
    </row>
    <row r="160" spans="1:2">
      <c r="A160" s="387" t="s">
        <v>1364</v>
      </c>
      <c r="B160" s="388">
        <v>101</v>
      </c>
    </row>
    <row r="161" spans="1:2">
      <c r="A161" s="387" t="s">
        <v>1365</v>
      </c>
      <c r="B161" s="388">
        <v>114</v>
      </c>
    </row>
    <row r="162" spans="1:2">
      <c r="A162" s="387" t="s">
        <v>1366</v>
      </c>
      <c r="B162" s="388"/>
    </row>
    <row r="163" spans="1:2">
      <c r="A163" s="387" t="s">
        <v>1367</v>
      </c>
      <c r="B163" s="388"/>
    </row>
    <row r="164" spans="1:2">
      <c r="A164" s="387" t="s">
        <v>1368</v>
      </c>
      <c r="B164" s="388">
        <v>93</v>
      </c>
    </row>
    <row r="165" spans="1:2">
      <c r="A165" s="387" t="s">
        <v>1369</v>
      </c>
      <c r="B165" s="388">
        <v>72</v>
      </c>
    </row>
    <row r="166" spans="1:2">
      <c r="A166" s="387" t="s">
        <v>1370</v>
      </c>
      <c r="B166" s="388"/>
    </row>
    <row r="167" spans="1:2">
      <c r="A167" s="387" t="s">
        <v>1371</v>
      </c>
      <c r="B167" s="388">
        <v>106</v>
      </c>
    </row>
    <row r="168" spans="1:2">
      <c r="A168" s="387" t="s">
        <v>1372</v>
      </c>
      <c r="B168" s="388">
        <v>101</v>
      </c>
    </row>
    <row r="169" spans="1:2">
      <c r="A169" s="387" t="s">
        <v>1373</v>
      </c>
      <c r="B169" s="388">
        <v>53</v>
      </c>
    </row>
    <row r="170" spans="1:2" ht="30">
      <c r="A170" s="387" t="s">
        <v>1374</v>
      </c>
      <c r="B170" s="388"/>
    </row>
    <row r="171" spans="1:2">
      <c r="A171" s="387" t="s">
        <v>1375</v>
      </c>
      <c r="B171" s="388">
        <v>75</v>
      </c>
    </row>
    <row r="172" spans="1:2">
      <c r="A172" s="387" t="s">
        <v>1376</v>
      </c>
      <c r="B172" s="388"/>
    </row>
    <row r="173" spans="1:2">
      <c r="A173" s="387" t="s">
        <v>1377</v>
      </c>
      <c r="B173" s="388"/>
    </row>
    <row r="174" spans="1:2" ht="30">
      <c r="A174" s="387" t="s">
        <v>1378</v>
      </c>
      <c r="B174" s="388">
        <v>89</v>
      </c>
    </row>
    <row r="175" spans="1:2">
      <c r="A175" s="387" t="s">
        <v>1379</v>
      </c>
      <c r="B175" s="388">
        <v>80</v>
      </c>
    </row>
    <row r="176" spans="1:2">
      <c r="A176" s="387" t="s">
        <v>1380</v>
      </c>
      <c r="B176" s="388"/>
    </row>
    <row r="177" spans="1:2">
      <c r="A177" s="387" t="s">
        <v>1381</v>
      </c>
      <c r="B177" s="388">
        <v>61</v>
      </c>
    </row>
    <row r="178" spans="1:2">
      <c r="A178" s="387" t="s">
        <v>1382</v>
      </c>
      <c r="B178" s="388">
        <v>84</v>
      </c>
    </row>
    <row r="179" spans="1:2">
      <c r="A179" s="387" t="s">
        <v>1383</v>
      </c>
      <c r="B179" s="388">
        <v>60</v>
      </c>
    </row>
    <row r="180" spans="1:2">
      <c r="A180" s="387" t="s">
        <v>1384</v>
      </c>
      <c r="B180" s="388">
        <v>81</v>
      </c>
    </row>
    <row r="181" spans="1:2">
      <c r="A181" s="387" t="s">
        <v>1385</v>
      </c>
      <c r="B181" s="388"/>
    </row>
    <row r="182" spans="1:2">
      <c r="A182" s="387" t="s">
        <v>1386</v>
      </c>
      <c r="B182" s="388"/>
    </row>
    <row r="183" spans="1:2">
      <c r="A183" s="387" t="s">
        <v>1387</v>
      </c>
      <c r="B183" s="388">
        <v>55</v>
      </c>
    </row>
    <row r="184" spans="1:2">
      <c r="A184" s="387" t="s">
        <v>1388</v>
      </c>
      <c r="B184" s="388"/>
    </row>
    <row r="185" spans="1:2">
      <c r="A185" s="387" t="s">
        <v>1389</v>
      </c>
      <c r="B185" s="388">
        <v>74</v>
      </c>
    </row>
    <row r="186" spans="1:2">
      <c r="A186" s="387" t="s">
        <v>1390</v>
      </c>
      <c r="B186" s="388">
        <v>100</v>
      </c>
    </row>
    <row r="187" spans="1:2">
      <c r="A187" s="387" t="s">
        <v>1391</v>
      </c>
      <c r="B187" s="388">
        <v>56</v>
      </c>
    </row>
    <row r="188" spans="1:2">
      <c r="A188" s="387" t="s">
        <v>1392</v>
      </c>
      <c r="B188" s="388"/>
    </row>
    <row r="189" spans="1:2">
      <c r="A189" s="387" t="s">
        <v>1030</v>
      </c>
      <c r="B189" s="388">
        <v>82</v>
      </c>
    </row>
    <row r="190" spans="1:2">
      <c r="A190" s="387" t="s">
        <v>1393</v>
      </c>
      <c r="B190" s="388"/>
    </row>
    <row r="191" spans="1:2">
      <c r="A191" s="387" t="s">
        <v>1394</v>
      </c>
      <c r="B191" s="388">
        <v>105</v>
      </c>
    </row>
    <row r="192" spans="1:2">
      <c r="A192" s="387" t="s">
        <v>1395</v>
      </c>
      <c r="B192" s="388">
        <v>57</v>
      </c>
    </row>
    <row r="193" spans="1:2">
      <c r="A193" s="387" t="s">
        <v>1396</v>
      </c>
      <c r="B193" s="388"/>
    </row>
    <row r="194" spans="1:2">
      <c r="A194" s="387" t="s">
        <v>1397</v>
      </c>
      <c r="B194" s="388">
        <v>75</v>
      </c>
    </row>
    <row r="195" spans="1:2">
      <c r="A195" s="387" t="s">
        <v>1398</v>
      </c>
      <c r="B195" s="388">
        <v>62</v>
      </c>
    </row>
    <row r="196" spans="1:2">
      <c r="A196" s="387" t="s">
        <v>1399</v>
      </c>
      <c r="B196" s="388">
        <v>56</v>
      </c>
    </row>
    <row r="197" spans="1:2">
      <c r="A197" s="387" t="s">
        <v>1174</v>
      </c>
      <c r="B197" s="388">
        <v>108</v>
      </c>
    </row>
    <row r="198" spans="1:2">
      <c r="A198" s="387" t="s">
        <v>1400</v>
      </c>
      <c r="B198" s="388">
        <v>94</v>
      </c>
    </row>
    <row r="199" spans="1:2">
      <c r="A199" s="387" t="s">
        <v>1401</v>
      </c>
      <c r="B199" s="388"/>
    </row>
    <row r="200" spans="1:2">
      <c r="A200" s="387" t="s">
        <v>1402</v>
      </c>
      <c r="B200" s="388">
        <v>52</v>
      </c>
    </row>
    <row r="201" spans="1:2">
      <c r="A201" s="387" t="s">
        <v>1403</v>
      </c>
      <c r="B201" s="388">
        <v>59</v>
      </c>
    </row>
    <row r="202" spans="1:2" ht="30">
      <c r="A202" s="387" t="s">
        <v>1404</v>
      </c>
      <c r="B202" s="388">
        <v>80</v>
      </c>
    </row>
    <row r="203" spans="1:2">
      <c r="A203" s="387" t="s">
        <v>1405</v>
      </c>
      <c r="B203" s="388">
        <v>55</v>
      </c>
    </row>
    <row r="204" spans="1:2">
      <c r="A204" s="387" t="s">
        <v>1406</v>
      </c>
      <c r="B204" s="388">
        <v>55</v>
      </c>
    </row>
    <row r="205" spans="1:2">
      <c r="A205" s="387" t="s">
        <v>1407</v>
      </c>
      <c r="B205" s="388"/>
    </row>
    <row r="206" spans="1:2">
      <c r="A206" s="387" t="s">
        <v>1408</v>
      </c>
      <c r="B206" s="388"/>
    </row>
    <row r="207" spans="1:2">
      <c r="A207" s="387" t="s">
        <v>1409</v>
      </c>
      <c r="B207" s="388">
        <v>76</v>
      </c>
    </row>
    <row r="208" spans="1:2">
      <c r="A208" s="387" t="s">
        <v>1410</v>
      </c>
      <c r="B208" s="388">
        <v>97</v>
      </c>
    </row>
    <row r="209" spans="1:2">
      <c r="A209" s="387" t="s">
        <v>1175</v>
      </c>
      <c r="B209" s="388">
        <v>103</v>
      </c>
    </row>
    <row r="210" spans="1:2">
      <c r="A210" s="387" t="s">
        <v>1411</v>
      </c>
      <c r="B210" s="388">
        <v>92</v>
      </c>
    </row>
    <row r="211" spans="1:2">
      <c r="A211" s="387" t="s">
        <v>1412</v>
      </c>
      <c r="B211" s="388"/>
    </row>
    <row r="212" spans="1:2">
      <c r="A212" s="387" t="s">
        <v>1413</v>
      </c>
      <c r="B212" s="388"/>
    </row>
    <row r="213" spans="1:2">
      <c r="A213" s="387" t="s">
        <v>1414</v>
      </c>
      <c r="B213" s="388">
        <v>51</v>
      </c>
    </row>
    <row r="214" spans="1:2">
      <c r="A214" s="387" t="s">
        <v>1415</v>
      </c>
      <c r="B214" s="388">
        <v>86</v>
      </c>
    </row>
    <row r="215" spans="1:2">
      <c r="A215" s="387" t="s">
        <v>1416</v>
      </c>
      <c r="B215" s="388">
        <v>100</v>
      </c>
    </row>
    <row r="216" spans="1:2">
      <c r="A216" s="387" t="s">
        <v>1138</v>
      </c>
      <c r="B216" s="388">
        <v>102</v>
      </c>
    </row>
    <row r="217" spans="1:2" ht="30">
      <c r="A217" s="387" t="s">
        <v>1417</v>
      </c>
      <c r="B217" s="388">
        <v>55</v>
      </c>
    </row>
    <row r="218" spans="1:2">
      <c r="A218" s="387" t="s">
        <v>1418</v>
      </c>
      <c r="B218" s="388">
        <v>110</v>
      </c>
    </row>
    <row r="219" spans="1:2">
      <c r="A219" s="387" t="s">
        <v>1419</v>
      </c>
      <c r="B219" s="388"/>
    </row>
    <row r="220" spans="1:2">
      <c r="A220" s="387" t="s">
        <v>1420</v>
      </c>
      <c r="B220" s="388">
        <v>86</v>
      </c>
    </row>
    <row r="221" spans="1:2">
      <c r="A221" s="387" t="s">
        <v>1421</v>
      </c>
      <c r="B221" s="388">
        <v>80</v>
      </c>
    </row>
    <row r="222" spans="1:2">
      <c r="A222" s="387" t="s">
        <v>1422</v>
      </c>
      <c r="B222" s="388">
        <v>67</v>
      </c>
    </row>
    <row r="223" spans="1:2" ht="30">
      <c r="A223" s="387" t="s">
        <v>1423</v>
      </c>
      <c r="B223" s="388">
        <v>84</v>
      </c>
    </row>
    <row r="224" spans="1:2">
      <c r="A224" s="387" t="s">
        <v>1424</v>
      </c>
      <c r="B224" s="388">
        <v>76</v>
      </c>
    </row>
    <row r="225" spans="1:2">
      <c r="A225" s="387" t="s">
        <v>1425</v>
      </c>
      <c r="B225" s="388"/>
    </row>
    <row r="226" spans="1:2">
      <c r="A226" s="387" t="s">
        <v>1426</v>
      </c>
      <c r="B226" s="388"/>
    </row>
    <row r="227" spans="1:2">
      <c r="A227" s="387" t="s">
        <v>1427</v>
      </c>
      <c r="B227" s="388"/>
    </row>
    <row r="228" spans="1:2">
      <c r="A228" s="387" t="s">
        <v>1428</v>
      </c>
      <c r="B228" s="388">
        <v>58</v>
      </c>
    </row>
    <row r="229" spans="1:2">
      <c r="A229" s="387" t="s">
        <v>1429</v>
      </c>
      <c r="B229" s="388">
        <v>52</v>
      </c>
    </row>
    <row r="230" spans="1:2">
      <c r="A230" s="387" t="s">
        <v>1430</v>
      </c>
      <c r="B230" s="388">
        <v>53</v>
      </c>
    </row>
    <row r="233" spans="1:2">
      <c r="A233" t="s">
        <v>1431</v>
      </c>
    </row>
    <row r="234" spans="1:2">
      <c r="A234" t="s">
        <v>1432</v>
      </c>
    </row>
  </sheetData>
  <pageMargins left="0.7" right="0.7" top="0.75" bottom="0.75" header="0.3" footer="0.3"/>
  <pageSetup paperSize="9" orientation="portrait" horizontalDpi="4294967292" verticalDpi="4294967292"/>
  <tableParts count="1">
    <tablePart r:id="rId1"/>
  </tableParts>
  <extLst>
    <ext xmlns:mx="http://schemas.microsoft.com/office/mac/excel/2008/main" uri="{64002731-A6B0-56B0-2670-7721B7C09600}">
      <mx:PLV Mode="0" OnePage="0" WScale="0"/>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theme="4"/>
    <outlinePr summaryBelow="0"/>
    <pageSetUpPr fitToPage="1"/>
  </sheetPr>
  <dimension ref="A1:Y32"/>
  <sheetViews>
    <sheetView showRowColHeaders="0" workbookViewId="0">
      <selection activeCell="N3" sqref="N3:O3"/>
    </sheetView>
  </sheetViews>
  <sheetFormatPr baseColWidth="10" defaultColWidth="0" defaultRowHeight="15" customHeight="1" zeroHeight="1" x14ac:dyDescent="0"/>
  <cols>
    <col min="1" max="1" width="4.83203125" style="31" customWidth="1"/>
    <col min="2" max="2" width="12.83203125" style="32" customWidth="1"/>
    <col min="3" max="8" width="12.83203125" style="33" customWidth="1"/>
    <col min="9" max="11" width="12.83203125" style="34" customWidth="1"/>
    <col min="12" max="15" width="12.83203125" style="31" customWidth="1"/>
    <col min="16" max="16" width="4.83203125" style="15" customWidth="1"/>
    <col min="17" max="20" width="10.83203125" style="31" hidden="1" customWidth="1"/>
    <col min="21" max="25" width="10.83203125" style="26" hidden="1" customWidth="1"/>
    <col min="26" max="45" width="10.83203125" style="31" hidden="1" customWidth="1"/>
    <col min="46" max="16384" width="10.83203125" style="31" hidden="1"/>
  </cols>
  <sheetData>
    <row r="1" spans="1:25" s="498" customFormat="1">
      <c r="P1" s="499"/>
      <c r="Q1" s="499"/>
      <c r="R1" s="499"/>
      <c r="S1" s="500"/>
      <c r="T1" s="500"/>
      <c r="U1" s="500"/>
    </row>
    <row r="2" spans="1:25" s="464" customFormat="1" ht="31" customHeight="1">
      <c r="A2" s="494"/>
      <c r="B2" s="1817" t="s">
        <v>1965</v>
      </c>
      <c r="C2" s="1819">
        <v>400</v>
      </c>
      <c r="D2" s="1849" t="s">
        <v>1555</v>
      </c>
      <c r="E2" s="1850"/>
      <c r="F2" s="1849" t="s">
        <v>1563</v>
      </c>
      <c r="G2" s="1850"/>
      <c r="H2" s="1849" t="s">
        <v>794</v>
      </c>
      <c r="I2" s="1850"/>
      <c r="J2" s="1849" t="s">
        <v>1570</v>
      </c>
      <c r="K2" s="1850"/>
      <c r="L2" s="1849" t="s">
        <v>1564</v>
      </c>
      <c r="M2" s="1850"/>
      <c r="N2" s="1847" t="s">
        <v>1602</v>
      </c>
      <c r="O2" s="1848"/>
      <c r="P2" s="494"/>
    </row>
    <row r="3" spans="1:25" s="464" customFormat="1" ht="31" customHeight="1">
      <c r="A3" s="494"/>
      <c r="B3" s="1818"/>
      <c r="C3" s="1820"/>
      <c r="D3" s="1843" t="s">
        <v>722</v>
      </c>
      <c r="E3" s="1844"/>
      <c r="F3" s="1843" t="s">
        <v>1608</v>
      </c>
      <c r="G3" s="1844"/>
      <c r="H3" s="1843" t="s">
        <v>1609</v>
      </c>
      <c r="I3" s="1844"/>
      <c r="J3" s="1843" t="s">
        <v>1909</v>
      </c>
      <c r="K3" s="1844"/>
      <c r="L3" s="1843" t="s">
        <v>1568</v>
      </c>
      <c r="M3" s="1844"/>
      <c r="N3" s="1843" t="s">
        <v>2004</v>
      </c>
      <c r="O3" s="1844"/>
      <c r="P3" s="494"/>
    </row>
    <row r="4" spans="1:25" s="494" customFormat="1" ht="15" customHeight="1">
      <c r="B4" s="492"/>
      <c r="C4" s="495"/>
      <c r="D4" s="497"/>
      <c r="E4" s="497"/>
      <c r="F4" s="497"/>
      <c r="G4" s="497"/>
      <c r="H4" s="497"/>
      <c r="I4" s="497"/>
      <c r="J4" s="496"/>
      <c r="K4" s="496"/>
      <c r="L4" s="496"/>
      <c r="M4" s="496"/>
      <c r="N4" s="496"/>
      <c r="O4" s="496"/>
    </row>
    <row r="5" spans="1:25" ht="31" customHeight="1">
      <c r="P5" s="31"/>
    </row>
    <row r="6" spans="1:25" s="29" customFormat="1" ht="31" customHeight="1" thickBot="1">
      <c r="A6" s="31"/>
      <c r="B6" s="491" t="s">
        <v>1610</v>
      </c>
      <c r="C6" s="466"/>
      <c r="D6" s="466"/>
      <c r="E6" s="466"/>
      <c r="F6" s="466"/>
      <c r="G6" s="466"/>
      <c r="H6" s="466"/>
      <c r="I6" s="467"/>
      <c r="J6" s="467"/>
      <c r="K6" s="467"/>
      <c r="L6" s="468"/>
      <c r="M6" s="468"/>
      <c r="N6" s="468"/>
      <c r="O6" s="468"/>
      <c r="U6" s="234"/>
      <c r="V6" s="234"/>
      <c r="W6" s="234"/>
      <c r="X6" s="234"/>
      <c r="Y6" s="234"/>
    </row>
    <row r="7" spans="1:25" s="29" customFormat="1" ht="15" customHeight="1" thickTop="1">
      <c r="B7" s="229"/>
      <c r="C7" s="230"/>
      <c r="D7" s="230"/>
      <c r="E7" s="230"/>
      <c r="F7" s="230"/>
      <c r="G7" s="230"/>
      <c r="H7" s="230"/>
      <c r="I7" s="30"/>
      <c r="J7" s="30"/>
      <c r="K7" s="30"/>
      <c r="U7" s="234"/>
      <c r="V7" s="234"/>
      <c r="W7" s="234"/>
      <c r="X7" s="234"/>
      <c r="Y7" s="234"/>
    </row>
    <row r="8" spans="1:25" s="29" customFormat="1" ht="54" customHeight="1">
      <c r="B8" s="1861" t="str">
        <f>Home!E18</f>
        <v>Historical emissions data and emisions data from other cities can be uploaded to enable benchmarking at city-wide and (sub-) sector level. This sections includes a progress monitoring tool, a benchmarking tool, a heat mapping tool, the ability to view the emissions breakdown other inventories, and an export function for activity data (in reported units and converted to SI units).</v>
      </c>
      <c r="C8" s="1861"/>
      <c r="D8" s="1861"/>
      <c r="E8" s="1861"/>
      <c r="F8" s="1861"/>
      <c r="G8" s="1861"/>
      <c r="H8" s="1861"/>
      <c r="I8" s="1861"/>
      <c r="J8" s="1861"/>
      <c r="K8" s="1861"/>
      <c r="L8" s="1861"/>
      <c r="M8" s="1861"/>
      <c r="N8" s="1861"/>
      <c r="O8" s="1861"/>
      <c r="U8" s="234"/>
      <c r="V8" s="234"/>
      <c r="W8" s="234"/>
      <c r="X8" s="234"/>
      <c r="Y8" s="234"/>
    </row>
    <row r="9" spans="1:25" s="29" customFormat="1" ht="15" customHeight="1">
      <c r="B9" s="229"/>
      <c r="C9" s="230"/>
      <c r="D9" s="230"/>
      <c r="E9" s="230"/>
      <c r="F9" s="230"/>
      <c r="G9" s="230"/>
      <c r="H9" s="230"/>
      <c r="I9" s="30"/>
      <c r="J9" s="30"/>
      <c r="K9" s="30"/>
      <c r="U9" s="234"/>
      <c r="V9" s="234"/>
      <c r="W9" s="234"/>
      <c r="X9" s="234"/>
      <c r="Y9" s="234"/>
    </row>
    <row r="10" spans="1:25" ht="100" customHeight="1">
      <c r="B10" s="2058" t="s">
        <v>722</v>
      </c>
      <c r="C10" s="2059"/>
      <c r="D10" s="2130" t="s">
        <v>2609</v>
      </c>
      <c r="E10" s="2131"/>
      <c r="F10" s="2131"/>
      <c r="G10" s="2132"/>
      <c r="I10" s="2058" t="s">
        <v>1608</v>
      </c>
      <c r="J10" s="2059"/>
      <c r="K10" s="2130" t="s">
        <v>2613</v>
      </c>
      <c r="L10" s="2131"/>
      <c r="M10" s="2131"/>
      <c r="N10" s="2132"/>
    </row>
    <row r="11" spans="1:25" s="26" customFormat="1" ht="30" customHeight="1">
      <c r="F11" s="595"/>
      <c r="J11" s="595"/>
      <c r="K11" s="595"/>
      <c r="L11" s="29"/>
      <c r="M11" s="29"/>
      <c r="N11" s="29"/>
      <c r="P11" s="22"/>
    </row>
    <row r="12" spans="1:25" ht="100" customHeight="1">
      <c r="B12" s="2058" t="s">
        <v>1609</v>
      </c>
      <c r="C12" s="2059"/>
      <c r="D12" s="2130" t="s">
        <v>2615</v>
      </c>
      <c r="E12" s="2131"/>
      <c r="F12" s="2131"/>
      <c r="G12" s="2132"/>
      <c r="I12" s="2058" t="s">
        <v>1909</v>
      </c>
      <c r="J12" s="2059"/>
      <c r="K12" s="2130" t="s">
        <v>2612</v>
      </c>
      <c r="L12" s="2131"/>
      <c r="M12" s="2131"/>
      <c r="N12" s="2132"/>
    </row>
    <row r="13" spans="1:25" s="26" customFormat="1" ht="30" customHeight="1">
      <c r="F13" s="595"/>
      <c r="J13" s="595"/>
      <c r="K13" s="595"/>
      <c r="L13" s="29"/>
      <c r="M13" s="29"/>
      <c r="N13" s="29"/>
      <c r="P13" s="22"/>
    </row>
    <row r="14" spans="1:25" ht="100" customHeight="1">
      <c r="B14" s="2058" t="s">
        <v>1568</v>
      </c>
      <c r="C14" s="2059"/>
      <c r="D14" s="2586" t="s">
        <v>1627</v>
      </c>
      <c r="E14" s="2137"/>
      <c r="F14" s="2137"/>
      <c r="G14" s="2138"/>
      <c r="I14" s="2058" t="s">
        <v>2004</v>
      </c>
      <c r="J14" s="2059"/>
      <c r="K14" s="2130" t="s">
        <v>2610</v>
      </c>
      <c r="L14" s="2131"/>
      <c r="M14" s="2131"/>
      <c r="N14" s="2132"/>
    </row>
    <row r="15" spans="1:25" s="15" customFormat="1" ht="31" customHeight="1"/>
    <row r="16" spans="1:25" s="15" customFormat="1" ht="15" hidden="1" customHeight="1"/>
    <row r="17" spans="16:16" s="15" customFormat="1" ht="15" hidden="1" customHeight="1"/>
    <row r="18" spans="16:16" s="15" customFormat="1" ht="15" hidden="1" customHeight="1"/>
    <row r="19" spans="16:16" s="15" customFormat="1" ht="15" hidden="1" customHeight="1"/>
    <row r="20" spans="16:16" s="15" customFormat="1" ht="15" hidden="1" customHeight="1"/>
    <row r="21" spans="16:16" s="15" customFormat="1" ht="15" hidden="1" customHeight="1"/>
    <row r="22" spans="16:16" s="15" customFormat="1" ht="15" hidden="1" customHeight="1"/>
    <row r="23" spans="16:16" s="15" customFormat="1" ht="15" hidden="1" customHeight="1"/>
    <row r="24" spans="16:16" s="15" customFormat="1" ht="15" hidden="1" customHeight="1"/>
    <row r="25" spans="16:16" s="15" customFormat="1" ht="15" hidden="1" customHeight="1"/>
    <row r="26" spans="16:16" s="15" customFormat="1" ht="15" hidden="1" customHeight="1"/>
    <row r="27" spans="16:16" s="15" customFormat="1" ht="15" hidden="1" customHeight="1"/>
    <row r="28" spans="16:16" s="15" customFormat="1" ht="15" hidden="1" customHeight="1"/>
    <row r="29" spans="16:16" s="15" customFormat="1" ht="16" hidden="1" customHeight="1"/>
    <row r="30" spans="16:16" s="15" customFormat="1" ht="15" hidden="1" customHeight="1"/>
    <row r="31" spans="16:16" s="15" customFormat="1" ht="15" hidden="1" customHeight="1"/>
    <row r="32" spans="16:16" ht="30" hidden="1" customHeight="1">
      <c r="P32" s="31"/>
    </row>
  </sheetData>
  <mergeCells count="27">
    <mergeCell ref="B14:C14"/>
    <mergeCell ref="D14:G14"/>
    <mergeCell ref="I14:J14"/>
    <mergeCell ref="K14:N14"/>
    <mergeCell ref="B10:C10"/>
    <mergeCell ref="B12:C12"/>
    <mergeCell ref="D10:G10"/>
    <mergeCell ref="D12:G12"/>
    <mergeCell ref="I10:J10"/>
    <mergeCell ref="I12:J12"/>
    <mergeCell ref="K10:N10"/>
    <mergeCell ref="K12:N12"/>
    <mergeCell ref="B8:O8"/>
    <mergeCell ref="B2:B3"/>
    <mergeCell ref="C2:C3"/>
    <mergeCell ref="D2:E2"/>
    <mergeCell ref="F2:G2"/>
    <mergeCell ref="H2:I2"/>
    <mergeCell ref="L2:M2"/>
    <mergeCell ref="N2:O2"/>
    <mergeCell ref="D3:E3"/>
    <mergeCell ref="F3:G3"/>
    <mergeCell ref="H3:I3"/>
    <mergeCell ref="J3:K3"/>
    <mergeCell ref="J2:K2"/>
    <mergeCell ref="L3:M3"/>
    <mergeCell ref="N3:O3"/>
  </mergeCells>
  <hyperlinks>
    <hyperlink ref="F2" location="'City information'!A1" display="Set-up"/>
    <hyperlink ref="G2" location="'City information'!A1" display="'City information'!A1"/>
    <hyperlink ref="H2" location="Inventory!A1" display="Inventory"/>
    <hyperlink ref="I2" location="Inventory!A1" display="Inventory!A1"/>
    <hyperlink ref="J2" location="Calculators!A1" display="Calculators"/>
    <hyperlink ref="K2" location="Calculators!A1" display="Calculators!A1"/>
    <hyperlink ref="L2" location="Results!A1" display="Results"/>
    <hyperlink ref="M2" location="Results!A1" display="Results!A1"/>
    <hyperlink ref="D2" location="Home!A1" display="Introduction"/>
    <hyperlink ref="E2" location="Home!A1" display="Home!A1"/>
    <hyperlink ref="N3" location="Output!A1" display="Output"/>
    <hyperlink ref="O3" location="Output!A1" display="Output!A1"/>
    <hyperlink ref="H3" location="Benchmark!A1" display="Benchmarking"/>
    <hyperlink ref="G3" location="Progress!A1" display="Progress!A1"/>
    <hyperlink ref="F3" location="Progress!A1" display="Progress"/>
    <hyperlink ref="D3" location="Data!A1" display="Data"/>
    <hyperlink ref="E3" location="Data!A1" display="Data!A1"/>
    <hyperlink ref="I3" location="Benchmark!A1" display="Benchmark!A1"/>
    <hyperlink ref="J3" location="'Heat map'!A1" display="Heat map"/>
    <hyperlink ref="K3" location="'Heat map'!A1" display="'Heat map'!A1"/>
    <hyperlink ref="L3" location="Overview_2!A1" display="Overview"/>
    <hyperlink ref="M3" location="Overview_2!A1" display="Overview_2!A1"/>
  </hyperlinks>
  <pageMargins left="0.25" right="0.25" top="0.75" bottom="0.75" header="0.3" footer="0.3"/>
  <pageSetup paperSize="9" scale="10" orientation="portrait" horizontalDpi="4294967292" verticalDpi="4294967292"/>
  <headerFooter>
    <oddHeader>&amp;CTable 4.1</oddHeader>
  </headerFooter>
  <drawing r:id="rId1"/>
  <extLst>
    <ext xmlns:mx="http://schemas.microsoft.com/office/mac/excel/2008/main" uri="{64002731-A6B0-56B0-2670-7721B7C09600}">
      <mx:PLV Mode="0" OnePage="0" WScale="71"/>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enableFormatConditionsCalculation="0">
    <tabColor theme="4"/>
    <outlinePr summaryBelow="0"/>
    <pageSetUpPr fitToPage="1"/>
  </sheetPr>
  <dimension ref="A1:AI192"/>
  <sheetViews>
    <sheetView showRowColHeaders="0" workbookViewId="0">
      <selection activeCell="H3" sqref="H3:I3"/>
    </sheetView>
  </sheetViews>
  <sheetFormatPr baseColWidth="10" defaultColWidth="0" defaultRowHeight="15" customHeight="1" x14ac:dyDescent="0"/>
  <cols>
    <col min="1" max="1" width="4.83203125" style="31" customWidth="1"/>
    <col min="2" max="2" width="12.83203125" style="32" customWidth="1"/>
    <col min="3" max="8" width="12.83203125" style="33" customWidth="1"/>
    <col min="9" max="11" width="12.83203125" style="34" customWidth="1"/>
    <col min="12" max="15" width="12.83203125" style="31" customWidth="1"/>
    <col min="16" max="16" width="4.83203125" style="15" customWidth="1"/>
    <col min="17" max="20" width="10.83203125" style="31" hidden="1" customWidth="1"/>
    <col min="21" max="25" width="10.83203125" style="26" hidden="1" customWidth="1"/>
    <col min="26" max="45" width="10.83203125" style="31" hidden="1" customWidth="1"/>
    <col min="46" max="16384" width="10.83203125" style="31" hidden="1"/>
  </cols>
  <sheetData>
    <row r="1" spans="1:35" s="498" customFormat="1">
      <c r="P1" s="499"/>
      <c r="Q1" s="499"/>
      <c r="R1" s="499"/>
      <c r="S1" s="500"/>
      <c r="T1" s="500"/>
      <c r="U1" s="500"/>
    </row>
    <row r="2" spans="1:35" s="464" customFormat="1" ht="31" customHeight="1">
      <c r="A2" s="494"/>
      <c r="B2" s="1817" t="s">
        <v>1965</v>
      </c>
      <c r="C2" s="1819">
        <v>400</v>
      </c>
      <c r="D2" s="1849" t="s">
        <v>1555</v>
      </c>
      <c r="E2" s="1850"/>
      <c r="F2" s="1849" t="s">
        <v>1563</v>
      </c>
      <c r="G2" s="1850"/>
      <c r="H2" s="1849" t="s">
        <v>794</v>
      </c>
      <c r="I2" s="1850"/>
      <c r="J2" s="1849" t="s">
        <v>1570</v>
      </c>
      <c r="K2" s="1850"/>
      <c r="L2" s="1849" t="s">
        <v>1564</v>
      </c>
      <c r="M2" s="1850"/>
      <c r="N2" s="2047" t="s">
        <v>1602</v>
      </c>
      <c r="O2" s="2033"/>
      <c r="P2" s="494"/>
    </row>
    <row r="3" spans="1:35" s="464" customFormat="1" ht="31" customHeight="1">
      <c r="A3" s="494"/>
      <c r="B3" s="1818"/>
      <c r="C3" s="1820"/>
      <c r="D3" s="1843" t="s">
        <v>722</v>
      </c>
      <c r="E3" s="1844"/>
      <c r="F3" s="2047" t="s">
        <v>1608</v>
      </c>
      <c r="G3" s="2033"/>
      <c r="H3" s="1843" t="s">
        <v>1609</v>
      </c>
      <c r="I3" s="1844"/>
      <c r="J3" s="1843" t="s">
        <v>1909</v>
      </c>
      <c r="K3" s="1844"/>
      <c r="L3" s="1843" t="s">
        <v>1568</v>
      </c>
      <c r="M3" s="1844"/>
      <c r="N3" s="1843" t="s">
        <v>2004</v>
      </c>
      <c r="O3" s="1844"/>
      <c r="P3" s="494"/>
    </row>
    <row r="4" spans="1:35" s="494" customFormat="1" ht="15" customHeight="1">
      <c r="B4" s="492"/>
      <c r="C4" s="495"/>
      <c r="D4" s="497"/>
      <c r="E4" s="497"/>
      <c r="F4" s="497"/>
      <c r="G4" s="497"/>
      <c r="H4" s="497"/>
      <c r="I4" s="497"/>
      <c r="J4" s="496"/>
      <c r="K4" s="496"/>
      <c r="L4" s="496"/>
      <c r="M4" s="496"/>
      <c r="N4" s="496"/>
      <c r="O4" s="496"/>
    </row>
    <row r="5" spans="1:35" ht="31" customHeight="1">
      <c r="P5" s="31"/>
    </row>
    <row r="6" spans="1:35" s="29" customFormat="1" ht="31" customHeight="1" thickBot="1">
      <c r="A6" s="1192"/>
      <c r="B6" s="491" t="s">
        <v>2007</v>
      </c>
      <c r="C6" s="466"/>
      <c r="D6" s="466"/>
      <c r="E6" s="466"/>
      <c r="F6" s="466"/>
      <c r="G6" s="466"/>
      <c r="H6" s="466"/>
      <c r="I6" s="467"/>
      <c r="J6" s="467"/>
      <c r="K6" s="467"/>
      <c r="L6" s="468"/>
      <c r="M6" s="468"/>
      <c r="N6" s="468"/>
      <c r="O6" s="468"/>
      <c r="U6" s="234"/>
      <c r="V6" s="234"/>
      <c r="W6" s="234"/>
      <c r="X6" s="234"/>
      <c r="Y6" s="234"/>
    </row>
    <row r="7" spans="1:35" s="29" customFormat="1" ht="15" customHeight="1" thickTop="1">
      <c r="B7" s="229"/>
      <c r="C7" s="230"/>
      <c r="D7" s="230"/>
      <c r="E7" s="230"/>
      <c r="F7" s="230"/>
      <c r="G7" s="230"/>
      <c r="H7" s="230"/>
      <c r="I7" s="30"/>
      <c r="J7" s="30"/>
      <c r="K7" s="30"/>
      <c r="U7" s="234"/>
      <c r="V7" s="234"/>
      <c r="W7" s="234"/>
      <c r="X7" s="234"/>
      <c r="Y7" s="234"/>
    </row>
    <row r="8" spans="1:35" s="29" customFormat="1" ht="31" customHeight="1">
      <c r="B8" s="1861" t="s">
        <v>2633</v>
      </c>
      <c r="C8" s="1861"/>
      <c r="D8" s="1861"/>
      <c r="E8" s="1861"/>
      <c r="F8" s="1861"/>
      <c r="G8" s="1861"/>
      <c r="H8" s="1861"/>
      <c r="I8" s="1861"/>
      <c r="J8" s="1861"/>
      <c r="K8" s="1082"/>
      <c r="L8" s="2612" t="s">
        <v>1025</v>
      </c>
      <c r="M8" s="2590"/>
      <c r="N8" s="2590" t="s">
        <v>1635</v>
      </c>
      <c r="O8" s="2591"/>
      <c r="U8" s="234"/>
      <c r="V8" s="234"/>
      <c r="W8" s="234"/>
      <c r="X8" s="234"/>
      <c r="Y8" s="234"/>
    </row>
    <row r="9" spans="1:35" s="29" customFormat="1" ht="31" customHeight="1">
      <c r="B9" s="1861"/>
      <c r="C9" s="1861"/>
      <c r="D9" s="1861"/>
      <c r="E9" s="1861"/>
      <c r="F9" s="1861"/>
      <c r="G9" s="1861"/>
      <c r="H9" s="1861"/>
      <c r="I9" s="1861"/>
      <c r="J9" s="1861"/>
      <c r="K9" s="1082"/>
      <c r="L9" s="2613" t="s">
        <v>2631</v>
      </c>
      <c r="M9" s="2613"/>
      <c r="N9" s="2610" t="s">
        <v>172</v>
      </c>
      <c r="O9" s="2611"/>
      <c r="P9" s="1744">
        <f>VLOOKUP(L9,Data_3!$B$13:$C$92,2,FALSE)</f>
        <v>6</v>
      </c>
      <c r="U9" s="234"/>
      <c r="V9" s="234"/>
      <c r="W9" s="234"/>
      <c r="X9" s="234"/>
      <c r="Y9" s="234"/>
    </row>
    <row r="10" spans="1:35" s="29" customFormat="1" ht="15" customHeight="1">
      <c r="B10" s="613"/>
      <c r="C10" s="230"/>
      <c r="D10" s="230"/>
      <c r="E10" s="230"/>
      <c r="F10" s="230"/>
      <c r="G10" s="230"/>
      <c r="H10" s="230"/>
      <c r="I10" s="30"/>
      <c r="J10" s="30"/>
      <c r="K10" s="30"/>
      <c r="U10" s="234"/>
      <c r="V10" s="234"/>
      <c r="W10" s="234"/>
      <c r="X10" s="234"/>
      <c r="Y10" s="234"/>
    </row>
    <row r="11" spans="1:35" s="5" customFormat="1" ht="16" customHeight="1">
      <c r="A11" s="14"/>
      <c r="B11" s="1948" t="s">
        <v>685</v>
      </c>
      <c r="C11" s="1950"/>
      <c r="D11" s="1972" t="s">
        <v>1626</v>
      </c>
      <c r="E11" s="1950"/>
      <c r="F11" s="1972" t="s">
        <v>270</v>
      </c>
      <c r="G11" s="1950"/>
      <c r="H11" s="1972" t="s">
        <v>760</v>
      </c>
      <c r="I11" s="1950"/>
      <c r="J11" s="1972" t="s">
        <v>761</v>
      </c>
      <c r="K11" s="1950"/>
      <c r="L11" s="1972" t="s">
        <v>208</v>
      </c>
      <c r="M11" s="1950"/>
      <c r="N11" s="1972" t="s">
        <v>209</v>
      </c>
      <c r="O11" s="1987"/>
      <c r="P11" s="14"/>
      <c r="Q11" s="14"/>
      <c r="R11" s="14"/>
      <c r="S11" s="14"/>
      <c r="T11" s="14"/>
      <c r="U11" s="14"/>
      <c r="V11" s="14"/>
      <c r="W11" s="14"/>
      <c r="X11" s="14"/>
      <c r="Y11" s="14"/>
      <c r="Z11" s="14"/>
      <c r="AA11" s="14"/>
      <c r="AB11" s="14"/>
      <c r="AC11" s="14"/>
      <c r="AD11" s="14"/>
      <c r="AE11" s="14"/>
      <c r="AF11" s="14"/>
      <c r="AG11" s="14"/>
      <c r="AH11" s="14"/>
      <c r="AI11" s="14"/>
    </row>
    <row r="12" spans="1:35" s="5" customFormat="1">
      <c r="A12" s="14"/>
      <c r="B12" s="1951"/>
      <c r="C12" s="1953"/>
      <c r="D12" s="1988"/>
      <c r="E12" s="1953"/>
      <c r="F12" s="1988"/>
      <c r="G12" s="1953"/>
      <c r="H12" s="1988"/>
      <c r="I12" s="1953"/>
      <c r="J12" s="1988"/>
      <c r="K12" s="1953"/>
      <c r="L12" s="1988"/>
      <c r="M12" s="1953"/>
      <c r="N12" s="1988"/>
      <c r="O12" s="1989"/>
      <c r="P12" s="14"/>
      <c r="Q12" s="14"/>
      <c r="R12" s="14"/>
      <c r="S12" s="14"/>
      <c r="T12" s="14"/>
      <c r="U12" s="14"/>
      <c r="V12" s="14"/>
      <c r="W12" s="14"/>
      <c r="X12" s="14"/>
      <c r="Y12" s="14"/>
      <c r="Z12" s="14"/>
      <c r="AA12" s="14"/>
      <c r="AB12" s="14"/>
      <c r="AC12" s="14"/>
      <c r="AD12" s="14"/>
      <c r="AE12" s="14"/>
      <c r="AF12" s="14"/>
      <c r="AG12" s="14"/>
      <c r="AH12" s="14"/>
      <c r="AI12" s="14"/>
    </row>
    <row r="13" spans="1:35" s="15" customFormat="1" ht="30" customHeight="1">
      <c r="B13" s="1942" t="s">
        <v>1619</v>
      </c>
      <c r="C13" s="1944"/>
      <c r="D13" s="2606" t="s">
        <v>1620</v>
      </c>
      <c r="E13" s="2607"/>
      <c r="F13" s="2594" t="str">
        <f>IF($D13="","",IF($D13="Please select","",$D13))</f>
        <v>Base year</v>
      </c>
      <c r="G13" s="2595"/>
      <c r="H13" s="2594" t="str">
        <f>IF($D13="","",IF($D13="Please select","",$D13))</f>
        <v>Base year</v>
      </c>
      <c r="I13" s="2595"/>
      <c r="J13" s="2594" t="str">
        <f>IF($D13="","",IF($D13="Please select","",$D13))</f>
        <v>Base year</v>
      </c>
      <c r="K13" s="2595"/>
      <c r="L13" s="2594" t="str">
        <f>IF($D13="","",IF($D13="Please select","",IF($N9="Please select","",IF($N9="BASIC","",IF($N9="","",$D13)))))</f>
        <v/>
      </c>
      <c r="M13" s="2595"/>
      <c r="N13" s="2594" t="str">
        <f>IF($D13="","",IF($D13="Please select","",IF($N9="Please select","",IF($N9="BASIC","",IF($N9="","",$D13)))))</f>
        <v/>
      </c>
      <c r="O13" s="2595"/>
    </row>
    <row r="14" spans="1:35" s="15" customFormat="1" ht="30" customHeight="1">
      <c r="B14" s="2604" t="str">
        <f>IF(D13="Base year","Base year",IF(D13="Scenario","Scenario year",IF(D13="Intensity","Base year",IF(D13="Absolute","Base year",""))))</f>
        <v>Base year</v>
      </c>
      <c r="C14" s="1736" t="s">
        <v>2480</v>
      </c>
      <c r="D14" s="2606">
        <v>2000</v>
      </c>
      <c r="E14" s="2607"/>
      <c r="F14" s="2594">
        <f>IF($D14="","",$D14)</f>
        <v>2000</v>
      </c>
      <c r="G14" s="2595"/>
      <c r="H14" s="2594">
        <f>IF($D14="","",$D14)</f>
        <v>2000</v>
      </c>
      <c r="I14" s="2595"/>
      <c r="J14" s="2594">
        <f>IF($D14="","",$D14)</f>
        <v>2000</v>
      </c>
      <c r="K14" s="2595"/>
      <c r="L14" s="2594" t="str">
        <f>IF($D14="","",IF(L13="","",$D14))</f>
        <v/>
      </c>
      <c r="M14" s="2595"/>
      <c r="N14" s="2594" t="str">
        <f>IF($D14="","",IF(N13="","",$D14))</f>
        <v/>
      </c>
      <c r="O14" s="2595"/>
    </row>
    <row r="15" spans="1:35" s="15" customFormat="1" ht="30" customHeight="1">
      <c r="B15" s="2605"/>
      <c r="C15" s="1736" t="s">
        <v>1024</v>
      </c>
      <c r="D15" s="2606"/>
      <c r="E15" s="2607"/>
      <c r="F15" s="2594" t="str">
        <f>IF($D15="","",$D15)</f>
        <v/>
      </c>
      <c r="G15" s="2595"/>
      <c r="H15" s="2594" t="str">
        <f>IF($D15="","",$D15)</f>
        <v/>
      </c>
      <c r="I15" s="2595"/>
      <c r="J15" s="2594" t="str">
        <f>IF($D15="","",$D15)</f>
        <v/>
      </c>
      <c r="K15" s="2595"/>
      <c r="L15" s="2594" t="str">
        <f>IF($D15="","",IF(N9="BASIC+",$D15,""))</f>
        <v/>
      </c>
      <c r="M15" s="2595"/>
      <c r="N15" s="2594" t="str">
        <f>IF($D15="","",IF(N9="BASIC+",$D15,""))</f>
        <v/>
      </c>
      <c r="O15" s="2595"/>
    </row>
    <row r="16" spans="1:35" s="15" customFormat="1" ht="31" customHeight="1">
      <c r="B16" s="2608" t="str">
        <f>IF(D13="Base year","Base year emissions (tCO2e)",IF(D13="Scenario","Scenario year emissions",IF(D13="Intensity","Intensity",IF(D13="Absolute","Absolute",""))))</f>
        <v>Base year emissions (tCO2e)</v>
      </c>
      <c r="C16" s="1736" t="s">
        <v>2481</v>
      </c>
      <c r="D16" s="2596">
        <f>IF(D13="Scenario","",IF(D14&lt;&gt;0,VLOOKUP($D$14,Data_4a!$B$13:$BQ$73,57,FALSE),IF(D15&lt;&gt;0,VLOOKUP($D$15,Data_4a!$B$13:$BQ$73,57,FALSE),"")))</f>
        <v>11057020.161364088</v>
      </c>
      <c r="E16" s="2597"/>
      <c r="F16" s="2596">
        <f>IFERROR(IF(F13="Scenario","",IF(D14&lt;&gt;0,VLOOKUP($D$14,Data_4a!$B$13:$BQ$73,61,FALSE),IF(D15&lt;&gt;0,VLOOKUP($D$15,Data_4a!$B$13:$BQ$73,61,FALSE),""))),"")</f>
        <v>5937834.7268060381</v>
      </c>
      <c r="G16" s="2597"/>
      <c r="H16" s="2596">
        <f>IFERROR(IF(H13="Scenario","",IF(D14&lt;&gt;0,VLOOKUP($D$14,Data_4a!$B$13:$BQ$73,62,FALSE),IF(D15&lt;&gt;0,VLOOKUP($D$15,Data_4a!$B$13:$BQ$73,62,FALSE),""))),"")</f>
        <v>3455392.7964259563</v>
      </c>
      <c r="I16" s="2597"/>
      <c r="J16" s="2596">
        <f>IFERROR(IF(J13="Scenario","",IF(D14&lt;&gt;0,VLOOKUP($D$14,Data_4a!$B$13:$BQ$73,63,FALSE),IF(D15&lt;&gt;0,VLOOKUP($D$15,Data_4a!$B$13:$BQ$73,63,FALSE),""))),"")</f>
        <v>1663792.6381320932</v>
      </c>
      <c r="K16" s="2597"/>
      <c r="L16" s="2602" t="str">
        <f>IF(N9&lt;&gt;"BASIC+","",IFERROR(IF(D14&lt;&gt;0,VLOOKUP($D$14,Data_4a!$B$13:$BQ$73,67,FALSE),IF(D15&lt;&gt;0,VLOOKUP($D$15,Data_4a!$B$13:$BQ$73,67,FALSE),"")),""))</f>
        <v/>
      </c>
      <c r="M16" s="2603"/>
      <c r="N16" s="2602" t="str">
        <f>IF(N9&lt;&gt;"BASIC+","",IFERROR(IF(D14&lt;&gt;0,VLOOKUP($D$14,Data_4a!$B$13:$BQ$73,68,FALSE),IF(D15&lt;&gt;0,VLOOKUP($D$15,Data_4a!$B$13:$BQ$73,68,FALSE),"")),""))</f>
        <v/>
      </c>
      <c r="O16" s="2603"/>
    </row>
    <row r="17" spans="2:25" s="15" customFormat="1" ht="31" customHeight="1">
      <c r="B17" s="2609"/>
      <c r="C17" s="1736" t="s">
        <v>1024</v>
      </c>
      <c r="D17" s="2600"/>
      <c r="E17" s="2601"/>
      <c r="F17" s="2600"/>
      <c r="G17" s="2601"/>
      <c r="H17" s="2600"/>
      <c r="I17" s="2601"/>
      <c r="J17" s="2600"/>
      <c r="K17" s="2601"/>
      <c r="L17" s="2600"/>
      <c r="M17" s="2601"/>
      <c r="N17" s="2600"/>
      <c r="O17" s="2601"/>
    </row>
    <row r="18" spans="2:25" s="15" customFormat="1" ht="31" customHeight="1">
      <c r="B18" s="1942" t="s">
        <v>1625</v>
      </c>
      <c r="C18" s="1944"/>
      <c r="D18" s="2587">
        <v>2050</v>
      </c>
      <c r="E18" s="2588"/>
      <c r="F18" s="2594">
        <f>IF($D18="","",$D18)</f>
        <v>2050</v>
      </c>
      <c r="G18" s="2595"/>
      <c r="H18" s="2594">
        <f>IF($D18="","",$D18)</f>
        <v>2050</v>
      </c>
      <c r="I18" s="2595"/>
      <c r="J18" s="2594">
        <f>IF($D18="","",$D18)</f>
        <v>2050</v>
      </c>
      <c r="K18" s="2595"/>
      <c r="L18" s="2594" t="str">
        <f>IF($D18="","",IF(L16="","",$D18))</f>
        <v/>
      </c>
      <c r="M18" s="2595"/>
      <c r="N18" s="2594" t="str">
        <f>IF($D18="","",IF(N16="","",$D18))</f>
        <v/>
      </c>
      <c r="O18" s="2595"/>
    </row>
    <row r="19" spans="2:25" s="15" customFormat="1" ht="31" customHeight="1">
      <c r="B19" s="1978" t="str">
        <f>IF(D13="Base year","Target reduction (%)",IF(D13="Scenario","Target reduction (%)",IF(D13="Intensity","Target reduction (%)",IF(D13="Absolute","Target reduction (%)",""))))</f>
        <v>Target reduction (%)</v>
      </c>
      <c r="C19" s="1980"/>
      <c r="D19" s="2592">
        <v>100</v>
      </c>
      <c r="E19" s="2593"/>
      <c r="F19" s="2598">
        <f>IF($D19="","",$D19)</f>
        <v>100</v>
      </c>
      <c r="G19" s="2599"/>
      <c r="H19" s="2598">
        <f>IF($D19="","",$D19)</f>
        <v>100</v>
      </c>
      <c r="I19" s="2599"/>
      <c r="J19" s="2598">
        <f>IF($D19="","",$D19)</f>
        <v>100</v>
      </c>
      <c r="K19" s="2599"/>
      <c r="L19" s="2594" t="str">
        <f>IF($D19="","",IF(L18="","",$D19))</f>
        <v/>
      </c>
      <c r="M19" s="2595"/>
      <c r="N19" s="2594" t="str">
        <f>IF($D19="","",IF(N18="","",$D19))</f>
        <v/>
      </c>
      <c r="O19" s="2595"/>
    </row>
    <row r="20" spans="2:25" s="15" customFormat="1" ht="31" customHeight="1"/>
    <row r="21" spans="2:25" s="29" customFormat="1" ht="19" thickBot="1">
      <c r="B21" s="1496" t="s">
        <v>684</v>
      </c>
      <c r="C21" s="1490"/>
      <c r="D21" s="1490"/>
      <c r="E21" s="1491"/>
      <c r="F21" s="1490"/>
      <c r="G21" s="1490"/>
      <c r="H21" s="1489"/>
      <c r="I21" s="1492"/>
      <c r="J21" s="1492"/>
      <c r="K21" s="1493"/>
      <c r="L21" s="1494"/>
      <c r="M21" s="1494"/>
      <c r="N21" s="1494"/>
      <c r="O21" s="1494"/>
      <c r="U21" s="234"/>
      <c r="V21" s="234"/>
      <c r="W21" s="234"/>
      <c r="X21" s="234"/>
      <c r="Y21" s="234"/>
    </row>
    <row r="22" spans="2:25" s="15" customFormat="1" ht="16" customHeight="1"/>
    <row r="23" spans="2:25" s="15" customFormat="1" ht="15" customHeight="1">
      <c r="B23" s="2589" t="s">
        <v>2020</v>
      </c>
      <c r="C23" s="22"/>
      <c r="D23" s="22"/>
      <c r="E23" s="22"/>
      <c r="F23" s="22"/>
      <c r="G23" s="22"/>
      <c r="H23" s="22"/>
      <c r="I23" s="22"/>
      <c r="J23" s="22"/>
      <c r="K23" s="22"/>
      <c r="L23" s="22"/>
      <c r="M23" s="22"/>
      <c r="N23" s="22"/>
      <c r="O23" s="22"/>
    </row>
    <row r="24" spans="2:25" s="15" customFormat="1" ht="15" customHeight="1">
      <c r="B24" s="2589"/>
      <c r="C24" s="22"/>
      <c r="D24" s="22"/>
      <c r="E24" s="22"/>
      <c r="F24" s="22"/>
      <c r="G24" s="22"/>
      <c r="H24" s="22"/>
      <c r="I24" s="22"/>
      <c r="J24" s="22"/>
      <c r="K24" s="22"/>
      <c r="L24" s="22"/>
      <c r="M24" s="22"/>
      <c r="N24" s="22"/>
      <c r="O24" s="22"/>
    </row>
    <row r="25" spans="2:25">
      <c r="B25" s="2589"/>
      <c r="C25" s="35"/>
      <c r="D25" s="35"/>
      <c r="E25" s="35"/>
      <c r="F25" s="35"/>
      <c r="G25" s="35"/>
      <c r="H25" s="35"/>
      <c r="I25" s="174"/>
      <c r="J25" s="174"/>
      <c r="K25" s="174"/>
      <c r="L25" s="26"/>
      <c r="M25" s="26"/>
      <c r="N25" s="26"/>
      <c r="O25" s="26"/>
      <c r="P25" s="31"/>
    </row>
    <row r="26" spans="2:25" ht="15" customHeight="1">
      <c r="B26" s="2589"/>
      <c r="C26" s="35"/>
      <c r="D26" s="35"/>
      <c r="E26" s="35"/>
      <c r="F26" s="35"/>
      <c r="G26" s="35"/>
      <c r="H26" s="35"/>
      <c r="I26" s="174"/>
      <c r="J26" s="174"/>
      <c r="K26" s="174"/>
      <c r="L26" s="26"/>
      <c r="M26" s="26"/>
      <c r="N26" s="26"/>
      <c r="O26" s="26"/>
    </row>
    <row r="27" spans="2:25" ht="15" customHeight="1">
      <c r="B27" s="2589"/>
      <c r="C27" s="35"/>
      <c r="D27" s="35"/>
      <c r="E27" s="35"/>
      <c r="F27" s="35"/>
      <c r="G27" s="35"/>
      <c r="H27" s="35"/>
      <c r="I27" s="174"/>
      <c r="J27" s="174"/>
      <c r="K27" s="174"/>
      <c r="L27" s="26"/>
      <c r="M27" s="26"/>
      <c r="N27" s="26"/>
      <c r="O27" s="26"/>
    </row>
    <row r="28" spans="2:25" ht="15" customHeight="1">
      <c r="B28" s="2589"/>
      <c r="C28" s="35"/>
      <c r="D28" s="35"/>
      <c r="E28" s="35"/>
      <c r="F28" s="35"/>
      <c r="G28" s="35"/>
      <c r="H28" s="35"/>
      <c r="I28" s="174"/>
      <c r="J28" s="174"/>
      <c r="K28" s="174"/>
      <c r="L28" s="26"/>
      <c r="M28" s="26"/>
      <c r="N28" s="26"/>
      <c r="O28" s="26"/>
    </row>
    <row r="29" spans="2:25" ht="15" customHeight="1">
      <c r="B29" s="2589"/>
      <c r="C29" s="35"/>
      <c r="D29" s="35"/>
      <c r="E29" s="35"/>
      <c r="F29" s="35"/>
      <c r="G29" s="35"/>
      <c r="H29" s="35"/>
      <c r="I29" s="174"/>
      <c r="J29" s="174"/>
      <c r="K29" s="174"/>
      <c r="L29" s="26"/>
      <c r="M29" s="26"/>
      <c r="N29" s="26"/>
      <c r="O29" s="26"/>
    </row>
    <row r="30" spans="2:25" ht="15" customHeight="1">
      <c r="B30" s="2589"/>
      <c r="C30" s="35"/>
      <c r="D30" s="35"/>
      <c r="E30" s="35"/>
      <c r="F30" s="35"/>
      <c r="G30" s="35"/>
      <c r="H30" s="35"/>
      <c r="I30" s="174"/>
      <c r="J30" s="174"/>
      <c r="K30" s="174"/>
      <c r="L30" s="26"/>
      <c r="M30" s="26"/>
      <c r="N30" s="26"/>
      <c r="O30" s="26"/>
    </row>
    <row r="31" spans="2:25" ht="15" customHeight="1">
      <c r="B31" s="2589"/>
      <c r="C31" s="35"/>
      <c r="D31" s="35"/>
      <c r="E31" s="35"/>
      <c r="F31" s="35"/>
      <c r="G31" s="35"/>
      <c r="H31" s="35"/>
      <c r="I31" s="174"/>
      <c r="J31" s="174"/>
      <c r="K31" s="174"/>
      <c r="L31" s="26"/>
      <c r="M31" s="26"/>
      <c r="N31" s="26"/>
      <c r="O31" s="26"/>
    </row>
    <row r="32" spans="2:25" ht="15" customHeight="1">
      <c r="B32" s="2589"/>
      <c r="C32" s="35"/>
      <c r="D32" s="35"/>
      <c r="E32" s="35"/>
      <c r="F32" s="35"/>
      <c r="G32" s="35"/>
      <c r="H32" s="35"/>
      <c r="I32" s="174"/>
      <c r="J32" s="174"/>
      <c r="K32" s="174"/>
      <c r="L32" s="26"/>
      <c r="M32" s="26"/>
      <c r="N32" s="26"/>
      <c r="O32" s="26"/>
    </row>
    <row r="33" spans="2:15" ht="15" customHeight="1">
      <c r="B33" s="2589"/>
      <c r="C33" s="35"/>
      <c r="D33" s="35"/>
      <c r="E33" s="35"/>
      <c r="F33" s="35"/>
      <c r="G33" s="35"/>
      <c r="H33" s="35"/>
      <c r="I33" s="174"/>
      <c r="J33" s="174"/>
      <c r="K33" s="174"/>
      <c r="L33" s="26"/>
      <c r="M33" s="26"/>
      <c r="N33" s="26"/>
      <c r="O33" s="26"/>
    </row>
    <row r="34" spans="2:15" ht="15" customHeight="1">
      <c r="B34" s="2589"/>
      <c r="C34" s="35"/>
      <c r="D34" s="35"/>
      <c r="E34" s="35"/>
      <c r="F34" s="35"/>
      <c r="G34" s="35"/>
      <c r="H34" s="35"/>
      <c r="I34" s="174"/>
      <c r="J34" s="174"/>
      <c r="K34" s="174"/>
      <c r="L34" s="26"/>
      <c r="M34" s="26"/>
      <c r="N34" s="26"/>
      <c r="O34" s="26"/>
    </row>
    <row r="35" spans="2:15" ht="15" customHeight="1">
      <c r="B35" s="2589"/>
      <c r="C35" s="35"/>
      <c r="D35" s="35"/>
      <c r="E35" s="35"/>
      <c r="F35" s="35"/>
      <c r="G35" s="35"/>
      <c r="H35" s="35"/>
      <c r="I35" s="174"/>
      <c r="J35" s="174"/>
      <c r="K35" s="174"/>
      <c r="L35" s="26"/>
      <c r="M35" s="26"/>
      <c r="N35" s="26"/>
      <c r="O35" s="26"/>
    </row>
    <row r="36" spans="2:15" ht="15" customHeight="1">
      <c r="B36" s="2589"/>
      <c r="C36" s="35"/>
      <c r="D36" s="35"/>
      <c r="E36" s="35"/>
      <c r="F36" s="35"/>
      <c r="G36" s="35"/>
      <c r="H36" s="35"/>
      <c r="I36" s="174"/>
      <c r="J36" s="174"/>
      <c r="K36" s="174"/>
      <c r="L36" s="26"/>
      <c r="M36" s="26"/>
      <c r="N36" s="26"/>
      <c r="O36" s="26"/>
    </row>
    <row r="37" spans="2:15" ht="15" customHeight="1">
      <c r="B37" s="2589"/>
      <c r="C37" s="35"/>
      <c r="D37" s="35"/>
      <c r="E37" s="35"/>
      <c r="F37" s="35"/>
      <c r="G37" s="35"/>
      <c r="H37" s="35"/>
      <c r="I37" s="174"/>
      <c r="J37" s="174"/>
      <c r="K37" s="174"/>
      <c r="L37" s="26"/>
      <c r="M37" s="26"/>
      <c r="N37" s="26"/>
      <c r="O37" s="26"/>
    </row>
    <row r="38" spans="2:15" ht="15" customHeight="1">
      <c r="B38" s="2589"/>
      <c r="C38" s="35"/>
      <c r="D38" s="35"/>
      <c r="E38" s="35"/>
      <c r="F38" s="35"/>
      <c r="G38" s="35"/>
      <c r="H38" s="35"/>
      <c r="I38" s="174"/>
      <c r="J38" s="174"/>
      <c r="K38" s="174"/>
      <c r="L38" s="26"/>
      <c r="M38" s="26"/>
      <c r="N38" s="26"/>
      <c r="O38" s="26"/>
    </row>
    <row r="39" spans="2:15" ht="15" customHeight="1">
      <c r="B39" s="2589"/>
      <c r="C39" s="35"/>
      <c r="D39" s="35"/>
      <c r="E39" s="35"/>
      <c r="F39" s="35"/>
      <c r="G39" s="35"/>
      <c r="H39" s="35"/>
      <c r="I39" s="174"/>
      <c r="J39" s="174"/>
      <c r="K39" s="174"/>
      <c r="L39" s="26"/>
      <c r="M39" s="26"/>
      <c r="N39" s="26"/>
      <c r="O39" s="26"/>
    </row>
    <row r="40" spans="2:15" ht="15" customHeight="1">
      <c r="B40" s="2589"/>
      <c r="C40" s="35"/>
      <c r="D40" s="35"/>
      <c r="E40" s="35"/>
      <c r="F40" s="35"/>
      <c r="G40" s="35"/>
      <c r="H40" s="35"/>
      <c r="I40" s="174"/>
      <c r="J40" s="174"/>
      <c r="K40" s="174"/>
      <c r="L40" s="26"/>
      <c r="M40" s="26"/>
      <c r="N40" s="26"/>
      <c r="O40" s="26"/>
    </row>
    <row r="41" spans="2:15" ht="15" customHeight="1">
      <c r="B41" s="2589"/>
      <c r="C41" s="35"/>
      <c r="D41" s="35"/>
      <c r="E41" s="35"/>
      <c r="F41" s="35"/>
      <c r="G41" s="35"/>
      <c r="H41" s="35"/>
      <c r="I41" s="174"/>
      <c r="J41" s="174"/>
      <c r="K41" s="174"/>
      <c r="L41" s="26"/>
      <c r="M41" s="26"/>
      <c r="N41" s="26"/>
      <c r="O41" s="26"/>
    </row>
    <row r="42" spans="2:15" ht="15" customHeight="1">
      <c r="B42" s="2589"/>
      <c r="C42" s="35"/>
      <c r="D42" s="35"/>
      <c r="E42" s="35"/>
      <c r="F42" s="35"/>
      <c r="G42" s="35"/>
      <c r="H42" s="35"/>
      <c r="I42" s="174"/>
      <c r="J42" s="174"/>
      <c r="K42" s="174"/>
      <c r="L42" s="26"/>
      <c r="M42" s="26"/>
      <c r="N42" s="26"/>
      <c r="O42" s="26"/>
    </row>
    <row r="43" spans="2:15" ht="15" customHeight="1">
      <c r="B43" s="2589"/>
      <c r="C43" s="35"/>
      <c r="D43" s="35"/>
      <c r="E43" s="35"/>
      <c r="F43" s="35"/>
      <c r="G43" s="35"/>
      <c r="H43" s="35"/>
      <c r="I43" s="174"/>
      <c r="J43" s="174"/>
      <c r="K43" s="174"/>
      <c r="L43" s="26"/>
      <c r="M43" s="26"/>
      <c r="N43" s="26"/>
      <c r="O43" s="26"/>
    </row>
    <row r="44" spans="2:15" ht="15" customHeight="1">
      <c r="B44" s="2589"/>
      <c r="C44" s="35"/>
      <c r="D44" s="35"/>
      <c r="E44" s="35"/>
      <c r="F44" s="35"/>
      <c r="G44" s="35"/>
      <c r="H44" s="35"/>
      <c r="I44" s="174"/>
      <c r="J44" s="174"/>
      <c r="K44" s="174"/>
      <c r="L44" s="26"/>
      <c r="M44" s="26"/>
      <c r="N44" s="26"/>
      <c r="O44" s="26"/>
    </row>
    <row r="45" spans="2:15" ht="15" customHeight="1">
      <c r="B45" s="2589"/>
      <c r="C45" s="35"/>
      <c r="D45" s="35"/>
      <c r="E45" s="35"/>
      <c r="F45" s="35"/>
      <c r="G45" s="35"/>
      <c r="H45" s="35"/>
      <c r="I45" s="174"/>
      <c r="J45" s="174"/>
      <c r="K45" s="174"/>
      <c r="L45" s="26"/>
      <c r="M45" s="26"/>
      <c r="N45" s="26"/>
      <c r="O45" s="26"/>
    </row>
    <row r="46" spans="2:15" ht="15" customHeight="1">
      <c r="B46" s="2589"/>
      <c r="C46" s="35"/>
      <c r="D46" s="35"/>
      <c r="E46" s="35"/>
      <c r="F46" s="35"/>
      <c r="G46" s="35"/>
      <c r="H46" s="35"/>
      <c r="I46" s="174"/>
      <c r="J46" s="174"/>
      <c r="K46" s="174"/>
      <c r="L46" s="26"/>
      <c r="M46" s="26"/>
      <c r="N46" s="26"/>
      <c r="O46" s="26"/>
    </row>
    <row r="47" spans="2:15" ht="15" customHeight="1">
      <c r="B47" s="2589"/>
      <c r="C47" s="35"/>
      <c r="D47" s="35"/>
      <c r="E47" s="35"/>
      <c r="F47" s="35"/>
      <c r="G47" s="35"/>
      <c r="H47" s="35"/>
      <c r="I47" s="174"/>
      <c r="J47" s="174"/>
      <c r="K47" s="174"/>
      <c r="L47" s="26"/>
      <c r="M47" s="26"/>
      <c r="N47" s="26"/>
      <c r="O47" s="26"/>
    </row>
    <row r="49" spans="2:16" ht="31" customHeight="1" thickBot="1">
      <c r="B49" s="1496" t="s">
        <v>4</v>
      </c>
      <c r="C49" s="1490"/>
      <c r="D49" s="1490"/>
      <c r="E49" s="1491"/>
      <c r="F49" s="1490"/>
      <c r="G49" s="1490"/>
      <c r="H49" s="1489"/>
      <c r="I49" s="1492"/>
      <c r="J49" s="1492"/>
      <c r="K49" s="1493"/>
      <c r="L49" s="1494"/>
      <c r="M49" s="1494"/>
      <c r="N49" s="1494"/>
      <c r="O49" s="1494"/>
    </row>
    <row r="50" spans="2:16" ht="31" customHeight="1"/>
    <row r="51" spans="2:16" s="15" customFormat="1" ht="15" customHeight="1">
      <c r="B51" s="22"/>
      <c r="C51" s="1495" t="s">
        <v>2021</v>
      </c>
      <c r="D51" s="22"/>
      <c r="E51" s="22"/>
      <c r="F51" s="22"/>
      <c r="G51" s="22"/>
      <c r="H51" s="22"/>
      <c r="I51" s="22"/>
      <c r="J51" s="22"/>
      <c r="K51" s="22"/>
      <c r="L51" s="22"/>
      <c r="M51" s="22"/>
      <c r="N51" s="22"/>
      <c r="O51" s="22"/>
    </row>
    <row r="52" spans="2:16" s="15" customFormat="1" ht="15" customHeight="1">
      <c r="B52" s="1495"/>
      <c r="C52" s="1495"/>
      <c r="D52" s="22"/>
      <c r="E52" s="22"/>
      <c r="F52" s="22"/>
      <c r="G52" s="22"/>
      <c r="H52" s="22"/>
      <c r="I52" s="22"/>
      <c r="J52" s="22"/>
      <c r="K52" s="22"/>
      <c r="L52" s="22"/>
      <c r="M52" s="22"/>
      <c r="N52" s="22"/>
      <c r="O52" s="22"/>
    </row>
    <row r="53" spans="2:16">
      <c r="B53" s="1485"/>
      <c r="C53" s="35"/>
      <c r="D53" s="35"/>
      <c r="E53" s="35"/>
      <c r="F53" s="35"/>
      <c r="G53" s="35"/>
      <c r="H53" s="35"/>
      <c r="I53" s="174"/>
      <c r="J53" s="174"/>
      <c r="K53" s="174"/>
      <c r="L53" s="26"/>
      <c r="M53" s="26"/>
      <c r="N53" s="26"/>
      <c r="O53" s="26"/>
      <c r="P53" s="31"/>
    </row>
    <row r="54" spans="2:16" ht="15" customHeight="1">
      <c r="B54" s="1485"/>
      <c r="C54" s="35"/>
      <c r="D54" s="35"/>
      <c r="E54" s="35"/>
      <c r="F54" s="35"/>
      <c r="G54" s="35"/>
      <c r="H54" s="35"/>
      <c r="I54" s="174"/>
      <c r="J54" s="174"/>
      <c r="K54" s="174"/>
      <c r="L54" s="26"/>
      <c r="M54" s="26"/>
      <c r="N54" s="26"/>
      <c r="O54" s="26"/>
    </row>
    <row r="55" spans="2:16" ht="15" customHeight="1">
      <c r="B55" s="1485"/>
      <c r="C55" s="35"/>
      <c r="D55" s="35"/>
      <c r="E55" s="35"/>
      <c r="F55" s="35"/>
      <c r="G55" s="35"/>
      <c r="H55" s="35"/>
      <c r="I55" s="174"/>
      <c r="J55" s="174"/>
      <c r="K55" s="174"/>
      <c r="L55" s="26"/>
      <c r="M55" s="26"/>
      <c r="N55" s="26"/>
      <c r="O55" s="26"/>
    </row>
    <row r="56" spans="2:16" ht="15" customHeight="1">
      <c r="B56" s="1485"/>
      <c r="C56" s="35"/>
      <c r="D56" s="35"/>
      <c r="E56" s="35"/>
      <c r="F56" s="35"/>
      <c r="G56" s="35"/>
      <c r="H56" s="35"/>
      <c r="I56" s="174"/>
      <c r="J56" s="174"/>
      <c r="K56" s="174"/>
      <c r="L56" s="26"/>
      <c r="M56" s="26"/>
      <c r="N56" s="26"/>
      <c r="O56" s="26"/>
    </row>
    <row r="57" spans="2:16" ht="15" customHeight="1">
      <c r="B57" s="1485"/>
      <c r="C57" s="35"/>
      <c r="D57" s="35"/>
      <c r="E57" s="35"/>
      <c r="F57" s="35"/>
      <c r="G57" s="35"/>
      <c r="H57" s="35"/>
      <c r="I57" s="174"/>
      <c r="J57" s="174"/>
      <c r="K57" s="174"/>
      <c r="L57" s="26"/>
      <c r="M57" s="26"/>
      <c r="N57" s="26"/>
      <c r="O57" s="26"/>
    </row>
    <row r="58" spans="2:16" ht="15" customHeight="1">
      <c r="B58" s="1485"/>
      <c r="C58" s="35"/>
      <c r="D58" s="35"/>
      <c r="E58" s="35"/>
      <c r="F58" s="35"/>
      <c r="G58" s="35"/>
      <c r="H58" s="35"/>
      <c r="I58" s="174"/>
      <c r="J58" s="174"/>
      <c r="K58" s="174"/>
      <c r="L58" s="26"/>
      <c r="M58" s="26"/>
      <c r="N58" s="26"/>
      <c r="O58" s="26"/>
    </row>
    <row r="59" spans="2:16" ht="15" customHeight="1">
      <c r="B59" s="1485"/>
      <c r="C59" s="35"/>
      <c r="D59" s="35"/>
      <c r="E59" s="35"/>
      <c r="F59" s="35"/>
      <c r="G59" s="35"/>
      <c r="H59" s="35"/>
      <c r="I59" s="174"/>
      <c r="J59" s="174"/>
      <c r="K59" s="174"/>
      <c r="L59" s="26"/>
      <c r="M59" s="26"/>
      <c r="N59" s="26"/>
      <c r="O59" s="26"/>
    </row>
    <row r="60" spans="2:16" ht="15" customHeight="1">
      <c r="B60" s="1485"/>
      <c r="C60" s="35"/>
      <c r="D60" s="35"/>
      <c r="E60" s="35"/>
      <c r="F60" s="35"/>
      <c r="G60" s="35"/>
      <c r="H60" s="35"/>
      <c r="I60" s="174"/>
      <c r="J60" s="174"/>
      <c r="K60" s="174"/>
      <c r="L60" s="26"/>
      <c r="M60" s="26"/>
      <c r="N60" s="26"/>
      <c r="O60" s="26"/>
    </row>
    <row r="61" spans="2:16" ht="15" customHeight="1">
      <c r="B61" s="1485"/>
      <c r="C61" s="35"/>
      <c r="D61" s="35"/>
      <c r="E61" s="35"/>
      <c r="F61" s="35"/>
      <c r="G61" s="35"/>
      <c r="H61" s="35"/>
      <c r="I61" s="174"/>
      <c r="J61" s="174"/>
      <c r="K61" s="174"/>
      <c r="L61" s="26"/>
      <c r="M61" s="26"/>
      <c r="N61" s="26"/>
      <c r="O61" s="26"/>
    </row>
    <row r="62" spans="2:16" ht="15" customHeight="1">
      <c r="B62" s="1485"/>
      <c r="C62" s="35"/>
      <c r="D62" s="35"/>
      <c r="E62" s="35"/>
      <c r="F62" s="35"/>
      <c r="G62" s="35"/>
      <c r="H62" s="35"/>
      <c r="I62" s="174"/>
      <c r="J62" s="174"/>
      <c r="K62" s="174"/>
      <c r="L62" s="26"/>
      <c r="M62" s="26"/>
      <c r="N62" s="26"/>
      <c r="O62" s="26"/>
    </row>
    <row r="63" spans="2:16" ht="15" customHeight="1">
      <c r="B63" s="1485"/>
      <c r="C63" s="35"/>
      <c r="D63" s="35"/>
      <c r="E63" s="35"/>
      <c r="F63" s="35"/>
      <c r="G63" s="35"/>
      <c r="H63" s="35"/>
      <c r="I63" s="174"/>
      <c r="J63" s="174"/>
      <c r="K63" s="174"/>
      <c r="L63" s="26"/>
      <c r="M63" s="26"/>
      <c r="N63" s="26"/>
      <c r="O63" s="26"/>
    </row>
    <row r="64" spans="2:16" ht="15" customHeight="1">
      <c r="B64" s="1485"/>
      <c r="C64" s="35"/>
      <c r="D64" s="35"/>
      <c r="E64" s="35"/>
      <c r="F64" s="35"/>
      <c r="G64" s="35"/>
      <c r="H64" s="35"/>
      <c r="I64" s="174"/>
      <c r="J64" s="174"/>
      <c r="K64" s="174"/>
      <c r="L64" s="26"/>
      <c r="M64" s="26"/>
      <c r="N64" s="26"/>
      <c r="O64" s="26"/>
    </row>
    <row r="65" spans="2:15" ht="15" customHeight="1">
      <c r="B65" s="1485"/>
      <c r="C65" s="35"/>
      <c r="D65" s="35"/>
      <c r="E65" s="35"/>
      <c r="F65" s="35"/>
      <c r="G65" s="35"/>
      <c r="H65" s="35"/>
      <c r="I65" s="174"/>
      <c r="J65" s="174"/>
      <c r="K65" s="174"/>
      <c r="L65" s="26"/>
      <c r="M65" s="26"/>
      <c r="N65" s="26"/>
      <c r="O65" s="26"/>
    </row>
    <row r="66" spans="2:15" ht="15" customHeight="1">
      <c r="B66" s="1485"/>
      <c r="C66" s="35"/>
      <c r="D66" s="35"/>
      <c r="E66" s="35"/>
      <c r="F66" s="35"/>
      <c r="G66" s="35"/>
      <c r="H66" s="35"/>
      <c r="I66" s="174"/>
      <c r="J66" s="174"/>
      <c r="K66" s="174"/>
      <c r="L66" s="26"/>
      <c r="M66" s="26"/>
      <c r="N66" s="26"/>
      <c r="O66" s="26"/>
    </row>
    <row r="67" spans="2:15" ht="15" customHeight="1">
      <c r="B67" s="1485"/>
      <c r="C67" s="35"/>
      <c r="D67" s="35"/>
      <c r="E67" s="35"/>
      <c r="F67" s="35"/>
      <c r="G67" s="35"/>
      <c r="H67" s="35"/>
      <c r="I67" s="174"/>
      <c r="J67" s="174"/>
      <c r="K67" s="174"/>
      <c r="L67" s="26"/>
      <c r="M67" s="26"/>
      <c r="N67" s="26"/>
      <c r="O67" s="26"/>
    </row>
    <row r="68" spans="2:15" ht="15" customHeight="1">
      <c r="B68" s="1485"/>
      <c r="C68" s="35"/>
      <c r="D68" s="35"/>
      <c r="E68" s="35"/>
      <c r="F68" s="35"/>
      <c r="G68" s="35"/>
      <c r="H68" s="35"/>
      <c r="I68" s="174"/>
      <c r="J68" s="174"/>
      <c r="K68" s="174"/>
      <c r="L68" s="26"/>
      <c r="M68" s="26"/>
      <c r="N68" s="26"/>
      <c r="O68" s="26"/>
    </row>
    <row r="69" spans="2:15" ht="15" customHeight="1">
      <c r="B69" s="1485"/>
      <c r="C69" s="35"/>
      <c r="D69" s="35"/>
      <c r="E69" s="35"/>
      <c r="F69" s="35"/>
      <c r="G69" s="35"/>
      <c r="H69" s="35"/>
      <c r="I69" s="174"/>
      <c r="J69" s="174"/>
      <c r="K69" s="174"/>
      <c r="L69" s="26"/>
      <c r="M69" s="26"/>
      <c r="N69" s="26"/>
      <c r="O69" s="26"/>
    </row>
    <row r="70" spans="2:15" ht="15" customHeight="1">
      <c r="B70" s="1485"/>
      <c r="C70" s="35"/>
      <c r="D70" s="35"/>
      <c r="E70" s="35"/>
      <c r="F70" s="35"/>
      <c r="G70" s="35"/>
      <c r="H70" s="35"/>
      <c r="I70" s="174"/>
      <c r="J70" s="174"/>
      <c r="K70" s="174"/>
      <c r="L70" s="26"/>
      <c r="M70" s="26"/>
      <c r="N70" s="26"/>
      <c r="O70" s="26"/>
    </row>
    <row r="71" spans="2:15" ht="15" customHeight="1">
      <c r="B71" s="1485"/>
      <c r="C71" s="35"/>
      <c r="D71" s="35"/>
      <c r="E71" s="35"/>
      <c r="F71" s="35"/>
      <c r="G71" s="35"/>
      <c r="H71" s="35"/>
      <c r="I71" s="174"/>
      <c r="J71" s="174"/>
      <c r="K71" s="174"/>
      <c r="L71" s="26"/>
      <c r="M71" s="26"/>
      <c r="N71" s="26"/>
      <c r="O71" s="26"/>
    </row>
    <row r="72" spans="2:15" ht="15" customHeight="1">
      <c r="B72" s="1485"/>
      <c r="C72" s="35"/>
      <c r="D72" s="35"/>
      <c r="E72" s="35"/>
      <c r="F72" s="35"/>
      <c r="G72" s="35"/>
      <c r="H72" s="35"/>
      <c r="I72" s="174"/>
      <c r="J72" s="174"/>
      <c r="K72" s="174"/>
      <c r="L72" s="26"/>
      <c r="M72" s="26"/>
      <c r="N72" s="26"/>
      <c r="O72" s="26"/>
    </row>
    <row r="73" spans="2:15" ht="15" customHeight="1">
      <c r="B73" s="1485"/>
      <c r="C73" s="35"/>
      <c r="D73" s="35"/>
      <c r="E73" s="35"/>
      <c r="F73" s="35"/>
      <c r="G73" s="35"/>
      <c r="H73" s="35"/>
      <c r="I73" s="174"/>
      <c r="J73" s="174"/>
      <c r="K73" s="174"/>
      <c r="L73" s="26"/>
      <c r="M73" s="26"/>
      <c r="N73" s="26"/>
      <c r="O73" s="26"/>
    </row>
    <row r="74" spans="2:15" ht="15" customHeight="1">
      <c r="B74" s="1485"/>
      <c r="C74" s="35"/>
      <c r="D74" s="35"/>
      <c r="E74" s="35"/>
      <c r="F74" s="35"/>
      <c r="G74" s="35"/>
      <c r="H74" s="35"/>
      <c r="I74" s="174"/>
      <c r="J74" s="174"/>
      <c r="K74" s="174"/>
      <c r="L74" s="26"/>
      <c r="M74" s="26"/>
      <c r="N74" s="26"/>
      <c r="O74" s="26"/>
    </row>
    <row r="75" spans="2:15" ht="15" customHeight="1">
      <c r="B75" s="1485"/>
      <c r="C75" s="35"/>
      <c r="D75" s="35"/>
      <c r="E75" s="35"/>
      <c r="F75" s="35"/>
      <c r="G75" s="35"/>
      <c r="H75" s="35"/>
      <c r="I75" s="174"/>
      <c r="J75" s="174"/>
      <c r="K75" s="174"/>
      <c r="L75" s="26"/>
      <c r="M75" s="26"/>
      <c r="N75" s="26"/>
      <c r="O75" s="26"/>
    </row>
    <row r="76" spans="2:15" ht="15" customHeight="1">
      <c r="B76" s="1485"/>
      <c r="C76" s="35"/>
      <c r="D76" s="35"/>
      <c r="E76" s="35"/>
      <c r="F76" s="35"/>
      <c r="G76" s="35"/>
      <c r="H76" s="35"/>
      <c r="I76" s="174"/>
      <c r="J76" s="174"/>
      <c r="K76" s="174"/>
      <c r="L76" s="26"/>
      <c r="M76" s="26"/>
      <c r="N76" s="26"/>
      <c r="O76" s="26"/>
    </row>
    <row r="77" spans="2:15" ht="31" customHeight="1" thickBot="1">
      <c r="B77" s="1496" t="s">
        <v>15</v>
      </c>
      <c r="C77" s="1790"/>
      <c r="D77" s="1790"/>
      <c r="E77" s="1791"/>
      <c r="F77" s="1790"/>
      <c r="G77" s="1790"/>
      <c r="H77" s="1496"/>
      <c r="I77" s="1792"/>
      <c r="J77" s="1792"/>
      <c r="K77" s="1793"/>
      <c r="L77" s="1791"/>
      <c r="M77" s="1791"/>
      <c r="N77" s="1791"/>
      <c r="O77" s="1791"/>
    </row>
    <row r="78" spans="2:15" ht="31" customHeight="1">
      <c r="B78" s="1485"/>
      <c r="C78" s="35"/>
      <c r="D78" s="35"/>
      <c r="E78" s="35"/>
      <c r="F78" s="35"/>
      <c r="G78" s="35"/>
      <c r="H78" s="35"/>
      <c r="I78" s="174"/>
      <c r="J78" s="174"/>
      <c r="K78" s="174"/>
      <c r="L78" s="26"/>
      <c r="M78" s="26"/>
      <c r="N78" s="26"/>
      <c r="O78" s="26"/>
    </row>
    <row r="79" spans="2:15" s="15" customFormat="1" ht="15" customHeight="1">
      <c r="B79" s="22"/>
      <c r="C79" s="1495" t="s">
        <v>2021</v>
      </c>
      <c r="D79" s="22"/>
      <c r="E79" s="22"/>
      <c r="F79" s="22"/>
      <c r="G79" s="22"/>
      <c r="H79" s="22"/>
      <c r="I79" s="22"/>
      <c r="J79" s="22"/>
      <c r="K79" s="22"/>
      <c r="L79" s="22"/>
      <c r="M79" s="22"/>
      <c r="N79" s="22"/>
      <c r="O79" s="22"/>
    </row>
    <row r="80" spans="2:15" s="15" customFormat="1" ht="15" customHeight="1">
      <c r="C80" s="22"/>
      <c r="D80" s="22"/>
      <c r="E80" s="22"/>
      <c r="F80" s="22"/>
      <c r="G80" s="22"/>
      <c r="H80" s="22"/>
      <c r="I80" s="22"/>
      <c r="J80" s="22"/>
      <c r="K80" s="22"/>
      <c r="L80" s="22"/>
      <c r="M80" s="22"/>
      <c r="N80" s="22"/>
      <c r="O80" s="22"/>
    </row>
    <row r="81" spans="2:16">
      <c r="B81" s="1485"/>
      <c r="C81" s="35"/>
      <c r="D81" s="35"/>
      <c r="E81" s="35"/>
      <c r="F81" s="35"/>
      <c r="G81" s="35"/>
      <c r="H81" s="35"/>
      <c r="I81" s="174"/>
      <c r="J81" s="174"/>
      <c r="K81" s="174"/>
      <c r="L81" s="26"/>
      <c r="M81" s="26"/>
      <c r="N81" s="26"/>
      <c r="O81" s="26"/>
      <c r="P81" s="31"/>
    </row>
    <row r="82" spans="2:16" ht="15" customHeight="1">
      <c r="B82" s="1485"/>
      <c r="C82" s="35"/>
      <c r="D82" s="35"/>
      <c r="E82" s="35"/>
      <c r="F82" s="35"/>
      <c r="G82" s="35"/>
      <c r="H82" s="35"/>
      <c r="I82" s="174"/>
      <c r="J82" s="174"/>
      <c r="K82" s="174"/>
      <c r="L82" s="26"/>
      <c r="M82" s="26"/>
      <c r="N82" s="26"/>
      <c r="O82" s="26"/>
    </row>
    <row r="83" spans="2:16" ht="15" customHeight="1">
      <c r="B83" s="1485"/>
      <c r="C83" s="35"/>
      <c r="D83" s="35"/>
      <c r="E83" s="35"/>
      <c r="F83" s="35"/>
      <c r="G83" s="35"/>
      <c r="H83" s="35"/>
      <c r="I83" s="174"/>
      <c r="J83" s="174"/>
      <c r="K83" s="174"/>
      <c r="L83" s="26"/>
      <c r="M83" s="26"/>
      <c r="N83" s="26"/>
      <c r="O83" s="26"/>
    </row>
    <row r="84" spans="2:16" ht="15" customHeight="1">
      <c r="B84" s="1485"/>
      <c r="C84" s="35"/>
      <c r="D84" s="35"/>
      <c r="E84" s="35"/>
      <c r="F84" s="35"/>
      <c r="G84" s="35"/>
      <c r="H84" s="35"/>
      <c r="I84" s="174"/>
      <c r="J84" s="174"/>
      <c r="K84" s="174"/>
      <c r="L84" s="26"/>
      <c r="M84" s="26"/>
      <c r="N84" s="26"/>
      <c r="O84" s="26"/>
    </row>
    <row r="85" spans="2:16" ht="15" customHeight="1">
      <c r="B85" s="1485"/>
      <c r="C85" s="35"/>
      <c r="D85" s="35"/>
      <c r="E85" s="35"/>
      <c r="F85" s="35"/>
      <c r="G85" s="35"/>
      <c r="H85" s="35"/>
      <c r="I85" s="174"/>
      <c r="J85" s="174"/>
      <c r="K85" s="174"/>
      <c r="L85" s="26"/>
      <c r="M85" s="26"/>
      <c r="N85" s="26"/>
      <c r="O85" s="26"/>
    </row>
    <row r="86" spans="2:16" ht="15" customHeight="1">
      <c r="B86" s="1485"/>
      <c r="C86" s="35"/>
      <c r="D86" s="35"/>
      <c r="E86" s="35"/>
      <c r="F86" s="35"/>
      <c r="G86" s="35"/>
      <c r="H86" s="35"/>
      <c r="I86" s="174"/>
      <c r="J86" s="174"/>
      <c r="K86" s="174"/>
      <c r="L86" s="26"/>
      <c r="M86" s="26"/>
      <c r="N86" s="26"/>
      <c r="O86" s="26"/>
    </row>
    <row r="87" spans="2:16" ht="15" customHeight="1">
      <c r="B87" s="1485"/>
      <c r="C87" s="35"/>
      <c r="D87" s="35"/>
      <c r="E87" s="35"/>
      <c r="F87" s="35"/>
      <c r="G87" s="35"/>
      <c r="H87" s="35"/>
      <c r="I87" s="174"/>
      <c r="J87" s="174"/>
      <c r="K87" s="174"/>
      <c r="L87" s="26"/>
      <c r="M87" s="26"/>
      <c r="N87" s="26"/>
      <c r="O87" s="26"/>
    </row>
    <row r="88" spans="2:16" ht="15" customHeight="1">
      <c r="B88" s="1485"/>
      <c r="C88" s="35"/>
      <c r="D88" s="35"/>
      <c r="E88" s="35"/>
      <c r="F88" s="35"/>
      <c r="G88" s="35"/>
      <c r="H88" s="35"/>
      <c r="I88" s="174"/>
      <c r="J88" s="174"/>
      <c r="K88" s="174"/>
      <c r="L88" s="26"/>
      <c r="M88" s="26"/>
      <c r="N88" s="26"/>
      <c r="O88" s="26"/>
    </row>
    <row r="89" spans="2:16" ht="15" customHeight="1">
      <c r="B89" s="1485"/>
      <c r="C89" s="35"/>
      <c r="D89" s="35"/>
      <c r="E89" s="35"/>
      <c r="F89" s="35"/>
      <c r="G89" s="35"/>
      <c r="H89" s="35"/>
      <c r="I89" s="174"/>
      <c r="J89" s="174"/>
      <c r="K89" s="174"/>
      <c r="L89" s="26"/>
      <c r="M89" s="26"/>
      <c r="N89" s="26"/>
      <c r="O89" s="26"/>
    </row>
    <row r="90" spans="2:16" ht="15" customHeight="1">
      <c r="B90" s="1485"/>
      <c r="C90" s="35"/>
      <c r="D90" s="35"/>
      <c r="E90" s="35"/>
      <c r="F90" s="35"/>
      <c r="G90" s="35"/>
      <c r="H90" s="35"/>
      <c r="I90" s="174"/>
      <c r="J90" s="174"/>
      <c r="K90" s="174"/>
      <c r="L90" s="26"/>
      <c r="M90" s="26"/>
      <c r="N90" s="26"/>
      <c r="O90" s="26"/>
    </row>
    <row r="91" spans="2:16" ht="15" customHeight="1">
      <c r="B91" s="1485"/>
      <c r="C91" s="35"/>
      <c r="D91" s="35"/>
      <c r="E91" s="35"/>
      <c r="F91" s="35"/>
      <c r="G91" s="35"/>
      <c r="H91" s="35"/>
      <c r="I91" s="174"/>
      <c r="J91" s="174"/>
      <c r="K91" s="174"/>
      <c r="L91" s="26"/>
      <c r="M91" s="26"/>
      <c r="N91" s="26"/>
      <c r="O91" s="26"/>
    </row>
    <row r="92" spans="2:16" ht="15" customHeight="1">
      <c r="B92" s="1485"/>
      <c r="C92" s="35"/>
      <c r="D92" s="35"/>
      <c r="E92" s="35"/>
      <c r="F92" s="35"/>
      <c r="G92" s="35"/>
      <c r="H92" s="35"/>
      <c r="I92" s="174"/>
      <c r="J92" s="174"/>
      <c r="K92" s="174"/>
      <c r="L92" s="26"/>
      <c r="M92" s="26"/>
      <c r="N92" s="26"/>
      <c r="O92" s="26"/>
    </row>
    <row r="93" spans="2:16" ht="15" customHeight="1">
      <c r="B93" s="1485"/>
      <c r="C93" s="35"/>
      <c r="D93" s="35"/>
      <c r="E93" s="35"/>
      <c r="F93" s="35"/>
      <c r="G93" s="35"/>
      <c r="H93" s="35"/>
      <c r="I93" s="174"/>
      <c r="J93" s="174"/>
      <c r="K93" s="174"/>
      <c r="L93" s="26"/>
      <c r="M93" s="26"/>
      <c r="N93" s="26"/>
      <c r="O93" s="26"/>
    </row>
    <row r="94" spans="2:16" ht="15" customHeight="1">
      <c r="B94" s="1485"/>
      <c r="C94" s="35"/>
      <c r="D94" s="35"/>
      <c r="E94" s="35"/>
      <c r="F94" s="35"/>
      <c r="G94" s="35"/>
      <c r="H94" s="35"/>
      <c r="I94" s="174"/>
      <c r="J94" s="174"/>
      <c r="K94" s="174"/>
      <c r="L94" s="26"/>
      <c r="M94" s="26"/>
      <c r="N94" s="26"/>
      <c r="O94" s="26"/>
    </row>
    <row r="95" spans="2:16" ht="15" customHeight="1">
      <c r="B95" s="1485"/>
      <c r="C95" s="35"/>
      <c r="D95" s="35"/>
      <c r="E95" s="35"/>
      <c r="F95" s="35"/>
      <c r="G95" s="35"/>
      <c r="H95" s="35"/>
      <c r="I95" s="174"/>
      <c r="J95" s="174"/>
      <c r="K95" s="174"/>
      <c r="L95" s="26"/>
      <c r="M95" s="26"/>
      <c r="N95" s="26"/>
      <c r="O95" s="26"/>
    </row>
    <row r="96" spans="2:16" ht="15" customHeight="1">
      <c r="B96" s="1485"/>
      <c r="C96" s="35"/>
      <c r="D96" s="35"/>
      <c r="E96" s="35"/>
      <c r="F96" s="35"/>
      <c r="G96" s="35"/>
      <c r="H96" s="35"/>
      <c r="I96" s="174"/>
      <c r="J96" s="174"/>
      <c r="K96" s="174"/>
      <c r="L96" s="26"/>
      <c r="M96" s="26"/>
      <c r="N96" s="26"/>
      <c r="O96" s="26"/>
    </row>
    <row r="97" spans="2:16" ht="15" customHeight="1">
      <c r="B97" s="1485"/>
      <c r="C97" s="35"/>
      <c r="D97" s="35"/>
      <c r="E97" s="35"/>
      <c r="F97" s="35"/>
      <c r="G97" s="35"/>
      <c r="H97" s="35"/>
      <c r="I97" s="174"/>
      <c r="J97" s="174"/>
      <c r="K97" s="174"/>
      <c r="L97" s="26"/>
      <c r="M97" s="26"/>
      <c r="N97" s="26"/>
      <c r="O97" s="26"/>
    </row>
    <row r="98" spans="2:16" ht="15" customHeight="1">
      <c r="B98" s="1485"/>
      <c r="C98" s="35"/>
      <c r="D98" s="35"/>
      <c r="E98" s="35"/>
      <c r="F98" s="35"/>
      <c r="G98" s="35"/>
      <c r="H98" s="35"/>
      <c r="I98" s="174"/>
      <c r="J98" s="174"/>
      <c r="K98" s="174"/>
      <c r="L98" s="26"/>
      <c r="M98" s="26"/>
      <c r="N98" s="26"/>
      <c r="O98" s="26"/>
    </row>
    <row r="99" spans="2:16" ht="15" customHeight="1">
      <c r="B99" s="1485"/>
      <c r="C99" s="35"/>
      <c r="D99" s="35"/>
      <c r="E99" s="35"/>
      <c r="F99" s="35"/>
      <c r="G99" s="35"/>
      <c r="H99" s="35"/>
      <c r="I99" s="174"/>
      <c r="J99" s="174"/>
      <c r="K99" s="174"/>
      <c r="L99" s="26"/>
      <c r="M99" s="26"/>
      <c r="N99" s="26"/>
      <c r="O99" s="26"/>
    </row>
    <row r="100" spans="2:16" ht="15" customHeight="1">
      <c r="B100" s="1485"/>
      <c r="C100" s="35"/>
      <c r="D100" s="35"/>
      <c r="E100" s="35"/>
      <c r="F100" s="35"/>
      <c r="G100" s="35"/>
      <c r="H100" s="35"/>
      <c r="I100" s="174"/>
      <c r="J100" s="174"/>
      <c r="K100" s="174"/>
      <c r="L100" s="26"/>
      <c r="M100" s="26"/>
      <c r="N100" s="26"/>
      <c r="O100" s="26"/>
    </row>
    <row r="101" spans="2:16" ht="15" customHeight="1">
      <c r="B101" s="1485"/>
      <c r="C101" s="35"/>
      <c r="D101" s="35"/>
      <c r="E101" s="35"/>
      <c r="F101" s="35"/>
      <c r="G101" s="35"/>
      <c r="H101" s="35"/>
      <c r="I101" s="174"/>
      <c r="J101" s="174"/>
      <c r="K101" s="174"/>
      <c r="L101" s="26"/>
      <c r="M101" s="26"/>
      <c r="N101" s="26"/>
      <c r="O101" s="26"/>
    </row>
    <row r="102" spans="2:16" ht="15" customHeight="1">
      <c r="B102" s="1485"/>
      <c r="C102" s="35"/>
      <c r="D102" s="35"/>
      <c r="E102" s="35"/>
      <c r="F102" s="35"/>
      <c r="G102" s="35"/>
      <c r="H102" s="35"/>
      <c r="I102" s="174"/>
      <c r="J102" s="174"/>
      <c r="K102" s="174"/>
      <c r="L102" s="26"/>
      <c r="M102" s="26"/>
      <c r="N102" s="26"/>
      <c r="O102" s="26"/>
    </row>
    <row r="103" spans="2:16" ht="15" customHeight="1">
      <c r="B103" s="1485"/>
      <c r="C103" s="35"/>
      <c r="D103" s="35"/>
      <c r="E103" s="35"/>
      <c r="F103" s="35"/>
      <c r="G103" s="35"/>
      <c r="H103" s="35"/>
      <c r="I103" s="174"/>
      <c r="J103" s="174"/>
      <c r="K103" s="174"/>
      <c r="L103" s="26"/>
      <c r="M103" s="26"/>
      <c r="N103" s="26"/>
      <c r="O103" s="26"/>
    </row>
    <row r="104" spans="2:16" ht="15" customHeight="1">
      <c r="B104" s="1485"/>
      <c r="C104" s="35"/>
      <c r="D104" s="35"/>
      <c r="E104" s="35"/>
      <c r="F104" s="35"/>
      <c r="G104" s="35"/>
      <c r="H104" s="35"/>
      <c r="I104" s="174"/>
      <c r="J104" s="174"/>
      <c r="K104" s="174"/>
      <c r="L104" s="26"/>
      <c r="M104" s="26"/>
      <c r="N104" s="26"/>
      <c r="O104" s="26"/>
    </row>
    <row r="105" spans="2:16" ht="31" customHeight="1" thickBot="1">
      <c r="B105" s="1794" t="s">
        <v>21</v>
      </c>
      <c r="C105" s="1794"/>
      <c r="D105" s="1795"/>
      <c r="E105" s="1796"/>
      <c r="F105" s="1795"/>
      <c r="G105" s="1795"/>
      <c r="H105" s="1794"/>
      <c r="I105" s="1797"/>
      <c r="J105" s="1797"/>
      <c r="K105" s="1798"/>
      <c r="L105" s="1796"/>
      <c r="M105" s="1796"/>
      <c r="N105" s="1796"/>
      <c r="O105" s="1796"/>
    </row>
    <row r="106" spans="2:16" ht="31" customHeight="1">
      <c r="B106" s="1485"/>
      <c r="C106" s="35"/>
      <c r="D106" s="35"/>
      <c r="E106" s="35"/>
      <c r="F106" s="35"/>
      <c r="G106" s="35"/>
      <c r="H106" s="35"/>
      <c r="I106" s="174"/>
      <c r="J106" s="174"/>
      <c r="K106" s="174"/>
      <c r="L106" s="26"/>
      <c r="M106" s="26"/>
      <c r="N106" s="26"/>
      <c r="O106" s="26"/>
    </row>
    <row r="107" spans="2:16" s="15" customFormat="1" ht="15" customHeight="1">
      <c r="B107" s="22"/>
      <c r="C107" s="1495" t="s">
        <v>2021</v>
      </c>
      <c r="D107" s="22"/>
      <c r="E107" s="22"/>
      <c r="F107" s="22"/>
      <c r="G107" s="22"/>
      <c r="H107" s="22"/>
      <c r="I107" s="22"/>
      <c r="J107" s="22"/>
      <c r="K107" s="22"/>
      <c r="L107" s="22"/>
      <c r="M107" s="22"/>
      <c r="N107" s="22"/>
      <c r="O107" s="22"/>
    </row>
    <row r="108" spans="2:16" s="15" customFormat="1" ht="15" customHeight="1">
      <c r="C108" s="22"/>
      <c r="D108" s="22"/>
      <c r="E108" s="22"/>
      <c r="F108" s="22"/>
      <c r="G108" s="22"/>
      <c r="H108" s="22"/>
      <c r="I108" s="22"/>
      <c r="J108" s="22"/>
      <c r="K108" s="22"/>
      <c r="L108" s="22"/>
      <c r="M108" s="22"/>
      <c r="N108" s="22"/>
      <c r="O108" s="22"/>
    </row>
    <row r="109" spans="2:16">
      <c r="B109" s="1485"/>
      <c r="C109" s="35"/>
      <c r="D109" s="35"/>
      <c r="E109" s="35"/>
      <c r="F109" s="35"/>
      <c r="G109" s="35"/>
      <c r="H109" s="35"/>
      <c r="I109" s="174"/>
      <c r="J109" s="174"/>
      <c r="K109" s="174"/>
      <c r="L109" s="26"/>
      <c r="M109" s="26"/>
      <c r="N109" s="26"/>
      <c r="O109" s="26"/>
      <c r="P109" s="31"/>
    </row>
    <row r="110" spans="2:16" ht="15" customHeight="1">
      <c r="B110" s="1485"/>
      <c r="C110" s="35"/>
      <c r="D110" s="35"/>
      <c r="E110" s="35"/>
      <c r="F110" s="35"/>
      <c r="G110" s="35"/>
      <c r="H110" s="35"/>
      <c r="I110" s="174"/>
      <c r="J110" s="174"/>
      <c r="K110" s="174"/>
      <c r="L110" s="26"/>
      <c r="M110" s="26"/>
      <c r="N110" s="26"/>
      <c r="O110" s="26"/>
    </row>
    <row r="111" spans="2:16" ht="15" customHeight="1">
      <c r="B111" s="1485"/>
      <c r="C111" s="35"/>
      <c r="D111" s="35"/>
      <c r="E111" s="35"/>
      <c r="F111" s="35"/>
      <c r="G111" s="35"/>
      <c r="H111" s="35"/>
      <c r="I111" s="174"/>
      <c r="J111" s="174"/>
      <c r="K111" s="174"/>
      <c r="L111" s="26"/>
      <c r="M111" s="26"/>
      <c r="N111" s="26"/>
      <c r="O111" s="26"/>
    </row>
    <row r="112" spans="2:16" ht="15" customHeight="1">
      <c r="B112" s="1485"/>
      <c r="C112" s="35"/>
      <c r="D112" s="35"/>
      <c r="E112" s="35"/>
      <c r="F112" s="35"/>
      <c r="G112" s="35"/>
      <c r="H112" s="35"/>
      <c r="I112" s="174"/>
      <c r="J112" s="174"/>
      <c r="K112" s="174"/>
      <c r="L112" s="26"/>
      <c r="M112" s="26"/>
      <c r="N112" s="26"/>
      <c r="O112" s="26"/>
    </row>
    <row r="113" spans="2:15" ht="15" customHeight="1">
      <c r="B113" s="1485"/>
      <c r="C113" s="35"/>
      <c r="D113" s="35"/>
      <c r="E113" s="35"/>
      <c r="F113" s="35"/>
      <c r="G113" s="35"/>
      <c r="H113" s="35"/>
      <c r="I113" s="174"/>
      <c r="J113" s="174"/>
      <c r="K113" s="174"/>
      <c r="L113" s="26"/>
      <c r="M113" s="26"/>
      <c r="N113" s="26"/>
      <c r="O113" s="26"/>
    </row>
    <row r="114" spans="2:15" ht="15" customHeight="1">
      <c r="B114" s="1485"/>
      <c r="C114" s="35"/>
      <c r="D114" s="35"/>
      <c r="E114" s="35"/>
      <c r="F114" s="35"/>
      <c r="G114" s="35"/>
      <c r="H114" s="35"/>
      <c r="I114" s="174"/>
      <c r="J114" s="174"/>
      <c r="K114" s="174"/>
      <c r="L114" s="26"/>
      <c r="M114" s="26"/>
      <c r="N114" s="26"/>
      <c r="O114" s="26"/>
    </row>
    <row r="115" spans="2:15" ht="15" customHeight="1">
      <c r="B115" s="1485"/>
      <c r="C115" s="35"/>
      <c r="D115" s="35"/>
      <c r="E115" s="35"/>
      <c r="F115" s="35"/>
      <c r="G115" s="35"/>
      <c r="H115" s="35"/>
      <c r="I115" s="174"/>
      <c r="J115" s="174"/>
      <c r="K115" s="174"/>
      <c r="L115" s="26"/>
      <c r="M115" s="26"/>
      <c r="N115" s="26"/>
      <c r="O115" s="26"/>
    </row>
    <row r="116" spans="2:15" ht="15" customHeight="1">
      <c r="B116" s="1485"/>
      <c r="C116" s="35"/>
      <c r="D116" s="35"/>
      <c r="E116" s="35"/>
      <c r="F116" s="35"/>
      <c r="G116" s="35"/>
      <c r="H116" s="35"/>
      <c r="I116" s="174"/>
      <c r="J116" s="174"/>
      <c r="K116" s="174"/>
      <c r="L116" s="26"/>
      <c r="M116" s="26"/>
      <c r="N116" s="26"/>
      <c r="O116" s="26"/>
    </row>
    <row r="117" spans="2:15" ht="15" customHeight="1">
      <c r="B117" s="1485"/>
      <c r="C117" s="35"/>
      <c r="D117" s="35"/>
      <c r="E117" s="35"/>
      <c r="F117" s="35"/>
      <c r="G117" s="35"/>
      <c r="H117" s="35"/>
      <c r="I117" s="174"/>
      <c r="J117" s="174"/>
      <c r="K117" s="174"/>
      <c r="L117" s="26"/>
      <c r="M117" s="26"/>
      <c r="N117" s="26"/>
      <c r="O117" s="26"/>
    </row>
    <row r="118" spans="2:15" ht="15" customHeight="1">
      <c r="B118" s="1485"/>
      <c r="C118" s="35"/>
      <c r="D118" s="35"/>
      <c r="E118" s="35"/>
      <c r="F118" s="35"/>
      <c r="G118" s="35"/>
      <c r="H118" s="35"/>
      <c r="I118" s="174"/>
      <c r="J118" s="174"/>
      <c r="K118" s="174"/>
      <c r="L118" s="26"/>
      <c r="M118" s="26"/>
      <c r="N118" s="26"/>
      <c r="O118" s="26"/>
    </row>
    <row r="119" spans="2:15" ht="15" customHeight="1">
      <c r="B119" s="1485"/>
      <c r="C119" s="35"/>
      <c r="D119" s="35"/>
      <c r="E119" s="35"/>
      <c r="F119" s="35"/>
      <c r="G119" s="35"/>
      <c r="H119" s="35"/>
      <c r="I119" s="174"/>
      <c r="J119" s="174"/>
      <c r="K119" s="174"/>
      <c r="L119" s="26"/>
      <c r="M119" s="26"/>
      <c r="N119" s="26"/>
      <c r="O119" s="26"/>
    </row>
    <row r="120" spans="2:15" ht="15" customHeight="1">
      <c r="B120" s="1485"/>
      <c r="C120" s="35"/>
      <c r="D120" s="35"/>
      <c r="E120" s="35"/>
      <c r="F120" s="35"/>
      <c r="G120" s="35"/>
      <c r="H120" s="35"/>
      <c r="I120" s="174"/>
      <c r="J120" s="174"/>
      <c r="K120" s="174"/>
      <c r="L120" s="26"/>
      <c r="M120" s="26"/>
      <c r="N120" s="26"/>
      <c r="O120" s="26"/>
    </row>
    <row r="121" spans="2:15" ht="15" customHeight="1">
      <c r="B121" s="1485"/>
      <c r="C121" s="35"/>
      <c r="D121" s="35"/>
      <c r="E121" s="35"/>
      <c r="F121" s="35"/>
      <c r="G121" s="35"/>
      <c r="H121" s="35"/>
      <c r="I121" s="174"/>
      <c r="J121" s="174"/>
      <c r="K121" s="174"/>
      <c r="L121" s="26"/>
      <c r="M121" s="26"/>
      <c r="N121" s="26"/>
      <c r="O121" s="26"/>
    </row>
    <row r="122" spans="2:15" ht="15" customHeight="1">
      <c r="B122" s="1485"/>
      <c r="C122" s="35"/>
      <c r="D122" s="35"/>
      <c r="E122" s="35"/>
      <c r="F122" s="35"/>
      <c r="G122" s="35"/>
      <c r="H122" s="35"/>
      <c r="I122" s="174"/>
      <c r="J122" s="174"/>
      <c r="K122" s="174"/>
      <c r="L122" s="26"/>
      <c r="M122" s="26"/>
      <c r="N122" s="26"/>
      <c r="O122" s="26"/>
    </row>
    <row r="123" spans="2:15" ht="15" customHeight="1">
      <c r="B123" s="1485"/>
      <c r="C123" s="35"/>
      <c r="D123" s="35"/>
      <c r="E123" s="35"/>
      <c r="F123" s="35"/>
      <c r="G123" s="35"/>
      <c r="H123" s="35"/>
      <c r="I123" s="174"/>
      <c r="J123" s="174"/>
      <c r="K123" s="174"/>
      <c r="L123" s="26"/>
      <c r="M123" s="26"/>
      <c r="N123" s="26"/>
      <c r="O123" s="26"/>
    </row>
    <row r="124" spans="2:15" ht="15" customHeight="1">
      <c r="B124" s="1485"/>
      <c r="C124" s="35"/>
      <c r="D124" s="35"/>
      <c r="E124" s="35"/>
      <c r="F124" s="35"/>
      <c r="G124" s="35"/>
      <c r="H124" s="35"/>
      <c r="I124" s="174"/>
      <c r="J124" s="174"/>
      <c r="K124" s="174"/>
      <c r="L124" s="26"/>
      <c r="M124" s="26"/>
      <c r="N124" s="26"/>
      <c r="O124" s="26"/>
    </row>
    <row r="125" spans="2:15" ht="15" customHeight="1">
      <c r="B125" s="1485"/>
      <c r="C125" s="35"/>
      <c r="D125" s="35"/>
      <c r="E125" s="35"/>
      <c r="F125" s="35"/>
      <c r="G125" s="35"/>
      <c r="H125" s="35"/>
      <c r="I125" s="174"/>
      <c r="J125" s="174"/>
      <c r="K125" s="174"/>
      <c r="L125" s="26"/>
      <c r="M125" s="26"/>
      <c r="N125" s="26"/>
      <c r="O125" s="26"/>
    </row>
    <row r="126" spans="2:15" ht="15" customHeight="1">
      <c r="B126" s="1485"/>
      <c r="C126" s="35"/>
      <c r="D126" s="35"/>
      <c r="E126" s="35"/>
      <c r="F126" s="35"/>
      <c r="G126" s="35"/>
      <c r="H126" s="35"/>
      <c r="I126" s="174"/>
      <c r="J126" s="174"/>
      <c r="K126" s="174"/>
      <c r="L126" s="26"/>
      <c r="M126" s="26"/>
      <c r="N126" s="26"/>
      <c r="O126" s="26"/>
    </row>
    <row r="127" spans="2:15" ht="15" customHeight="1">
      <c r="B127" s="1485"/>
      <c r="C127" s="35"/>
      <c r="D127" s="35"/>
      <c r="E127" s="35"/>
      <c r="F127" s="35"/>
      <c r="G127" s="35"/>
      <c r="H127" s="35"/>
      <c r="I127" s="174"/>
      <c r="J127" s="174"/>
      <c r="K127" s="174"/>
      <c r="L127" s="26"/>
      <c r="M127" s="26"/>
      <c r="N127" s="26"/>
      <c r="O127" s="26"/>
    </row>
    <row r="128" spans="2:15" ht="15" customHeight="1">
      <c r="B128" s="1485"/>
      <c r="C128" s="35"/>
      <c r="D128" s="35"/>
      <c r="E128" s="35"/>
      <c r="F128" s="35"/>
      <c r="G128" s="35"/>
      <c r="H128" s="35"/>
      <c r="I128" s="174"/>
      <c r="J128" s="174"/>
      <c r="K128" s="174"/>
      <c r="L128" s="26"/>
      <c r="M128" s="26"/>
      <c r="N128" s="26"/>
      <c r="O128" s="26"/>
    </row>
    <row r="129" spans="2:15" ht="15" customHeight="1">
      <c r="B129" s="1485"/>
      <c r="C129" s="35"/>
      <c r="D129" s="35"/>
      <c r="E129" s="35"/>
      <c r="F129" s="35"/>
      <c r="G129" s="35"/>
      <c r="H129" s="35"/>
      <c r="I129" s="174"/>
      <c r="J129" s="174"/>
      <c r="K129" s="174"/>
      <c r="L129" s="26"/>
      <c r="M129" s="26"/>
      <c r="N129" s="26"/>
      <c r="O129" s="26"/>
    </row>
    <row r="130" spans="2:15" ht="15" customHeight="1">
      <c r="B130" s="1485"/>
      <c r="C130" s="35"/>
      <c r="D130" s="35"/>
      <c r="E130" s="35"/>
      <c r="F130" s="35"/>
      <c r="G130" s="35"/>
      <c r="H130" s="35"/>
      <c r="I130" s="174"/>
      <c r="J130" s="174"/>
      <c r="K130" s="174"/>
      <c r="L130" s="26"/>
      <c r="M130" s="26"/>
      <c r="N130" s="26"/>
      <c r="O130" s="26"/>
    </row>
    <row r="131" spans="2:15" ht="15" customHeight="1">
      <c r="B131" s="1485"/>
      <c r="C131" s="35"/>
      <c r="D131" s="35"/>
      <c r="E131" s="35"/>
      <c r="F131" s="35"/>
      <c r="G131" s="35"/>
      <c r="H131" s="35"/>
      <c r="I131" s="174"/>
      <c r="J131" s="174"/>
      <c r="K131" s="174"/>
      <c r="L131" s="26"/>
      <c r="M131" s="26"/>
      <c r="N131" s="26"/>
      <c r="O131" s="26"/>
    </row>
    <row r="132" spans="2:15" ht="15" customHeight="1">
      <c r="B132" s="1485"/>
      <c r="C132" s="35"/>
      <c r="D132" s="35"/>
      <c r="E132" s="35"/>
      <c r="F132" s="35"/>
      <c r="G132" s="35"/>
      <c r="H132" s="35"/>
      <c r="I132" s="174"/>
      <c r="J132" s="174"/>
      <c r="K132" s="174"/>
      <c r="L132" s="26"/>
      <c r="M132" s="26"/>
      <c r="N132" s="26"/>
      <c r="O132" s="26"/>
    </row>
    <row r="133" spans="2:15" ht="31" customHeight="1" thickBot="1">
      <c r="B133" s="1794" t="s">
        <v>208</v>
      </c>
      <c r="C133" s="1794"/>
      <c r="D133" s="1795"/>
      <c r="E133" s="1796"/>
      <c r="F133" s="1795"/>
      <c r="G133" s="1795"/>
      <c r="H133" s="1794"/>
      <c r="I133" s="1797"/>
      <c r="J133" s="1797"/>
      <c r="K133" s="1798"/>
      <c r="L133" s="1796"/>
      <c r="M133" s="1796"/>
      <c r="N133" s="1796"/>
      <c r="O133" s="1796"/>
    </row>
    <row r="134" spans="2:15" ht="31" customHeight="1">
      <c r="B134" s="1485"/>
      <c r="C134" s="35"/>
      <c r="D134" s="35"/>
      <c r="E134" s="35"/>
      <c r="F134" s="35"/>
      <c r="G134" s="35"/>
      <c r="H134" s="35"/>
      <c r="I134" s="174"/>
      <c r="J134" s="174"/>
      <c r="K134" s="174"/>
      <c r="L134" s="26"/>
      <c r="M134" s="26"/>
      <c r="N134" s="26"/>
      <c r="O134" s="26"/>
    </row>
    <row r="135" spans="2:15" ht="15" customHeight="1">
      <c r="B135" s="22"/>
      <c r="C135" s="1495" t="s">
        <v>2021</v>
      </c>
      <c r="D135" s="22"/>
      <c r="E135" s="22"/>
      <c r="F135" s="22"/>
      <c r="G135" s="22"/>
      <c r="H135" s="22"/>
      <c r="I135" s="22"/>
      <c r="J135" s="22"/>
      <c r="K135" s="22"/>
      <c r="L135" s="22"/>
      <c r="M135" s="22"/>
      <c r="N135" s="22"/>
      <c r="O135" s="22"/>
    </row>
    <row r="136" spans="2:15" ht="15" customHeight="1">
      <c r="C136" s="22"/>
      <c r="D136" s="22"/>
      <c r="E136" s="22"/>
      <c r="F136" s="22"/>
      <c r="G136" s="22"/>
      <c r="H136" s="22"/>
      <c r="I136" s="22"/>
      <c r="J136" s="22"/>
      <c r="K136" s="22"/>
      <c r="L136" s="22"/>
      <c r="M136" s="22"/>
      <c r="N136" s="22"/>
      <c r="O136" s="22"/>
    </row>
    <row r="137" spans="2:15" ht="15" customHeight="1">
      <c r="B137" s="1485"/>
      <c r="C137" s="35"/>
      <c r="D137" s="35"/>
      <c r="E137" s="35"/>
      <c r="F137" s="35"/>
      <c r="G137" s="35"/>
      <c r="H137" s="35"/>
      <c r="I137" s="174"/>
      <c r="J137" s="174"/>
      <c r="K137" s="174"/>
      <c r="L137" s="26"/>
      <c r="M137" s="26"/>
      <c r="N137" s="26"/>
      <c r="O137" s="26"/>
    </row>
    <row r="138" spans="2:15" ht="15" customHeight="1">
      <c r="B138" s="1485"/>
      <c r="C138" s="35"/>
      <c r="D138" s="35"/>
      <c r="E138" s="35"/>
      <c r="F138" s="35"/>
      <c r="G138" s="35"/>
      <c r="H138" s="35"/>
      <c r="I138" s="174"/>
      <c r="J138" s="174"/>
      <c r="K138" s="174"/>
      <c r="L138" s="26"/>
      <c r="M138" s="26"/>
      <c r="N138" s="26"/>
      <c r="O138" s="26"/>
    </row>
    <row r="139" spans="2:15" ht="15" customHeight="1">
      <c r="B139" s="1485"/>
      <c r="C139" s="35"/>
      <c r="D139" s="35"/>
      <c r="E139" s="35"/>
      <c r="F139" s="35"/>
      <c r="G139" s="35"/>
      <c r="H139" s="35"/>
      <c r="I139" s="174"/>
      <c r="J139" s="174"/>
      <c r="K139" s="174"/>
      <c r="L139" s="26"/>
      <c r="M139" s="26"/>
      <c r="N139" s="26"/>
      <c r="O139" s="26"/>
    </row>
    <row r="140" spans="2:15" ht="15" customHeight="1">
      <c r="B140" s="1485"/>
      <c r="C140" s="35"/>
      <c r="D140" s="35"/>
      <c r="E140" s="35"/>
      <c r="F140" s="35"/>
      <c r="G140" s="35"/>
      <c r="H140" s="35"/>
      <c r="I140" s="174"/>
      <c r="J140" s="174"/>
      <c r="K140" s="174"/>
      <c r="L140" s="26"/>
      <c r="M140" s="26"/>
      <c r="N140" s="26"/>
      <c r="O140" s="26"/>
    </row>
    <row r="141" spans="2:15" ht="15" customHeight="1">
      <c r="B141" s="1485"/>
      <c r="C141" s="35"/>
      <c r="D141" s="35"/>
      <c r="E141" s="35"/>
      <c r="F141" s="35"/>
      <c r="G141" s="35"/>
      <c r="H141" s="35"/>
      <c r="I141" s="174"/>
      <c r="J141" s="174"/>
      <c r="K141" s="174"/>
      <c r="L141" s="26"/>
      <c r="M141" s="26"/>
      <c r="N141" s="26"/>
      <c r="O141" s="26"/>
    </row>
    <row r="142" spans="2:15" ht="15" customHeight="1">
      <c r="B142" s="1485"/>
      <c r="C142" s="35"/>
      <c r="D142" s="35"/>
      <c r="E142" s="35"/>
      <c r="F142" s="35"/>
      <c r="G142" s="35"/>
      <c r="H142" s="35"/>
      <c r="I142" s="174"/>
      <c r="J142" s="174"/>
      <c r="K142" s="174"/>
      <c r="L142" s="26"/>
      <c r="M142" s="26"/>
      <c r="N142" s="26"/>
      <c r="O142" s="26"/>
    </row>
    <row r="143" spans="2:15" ht="15" customHeight="1">
      <c r="B143" s="1485"/>
      <c r="C143" s="35"/>
      <c r="D143" s="35"/>
      <c r="E143" s="35"/>
      <c r="F143" s="35"/>
      <c r="G143" s="35"/>
      <c r="H143" s="35"/>
      <c r="I143" s="174"/>
      <c r="J143" s="174"/>
      <c r="K143" s="174"/>
      <c r="L143" s="26"/>
      <c r="M143" s="26"/>
      <c r="N143" s="26"/>
      <c r="O143" s="26"/>
    </row>
    <row r="144" spans="2:15" ht="15" customHeight="1">
      <c r="B144" s="1485"/>
      <c r="C144" s="35"/>
      <c r="D144" s="35"/>
      <c r="E144" s="35"/>
      <c r="F144" s="35"/>
      <c r="G144" s="35"/>
      <c r="H144" s="35"/>
      <c r="I144" s="174"/>
      <c r="J144" s="174"/>
      <c r="K144" s="174"/>
      <c r="L144" s="26"/>
      <c r="M144" s="26"/>
      <c r="N144" s="26"/>
      <c r="O144" s="26"/>
    </row>
    <row r="145" spans="2:15" ht="15" customHeight="1">
      <c r="B145" s="1485"/>
      <c r="C145" s="35"/>
      <c r="D145" s="35"/>
      <c r="E145" s="35"/>
      <c r="F145" s="35"/>
      <c r="G145" s="35"/>
      <c r="H145" s="35"/>
      <c r="I145" s="174"/>
      <c r="J145" s="174"/>
      <c r="K145" s="174"/>
      <c r="L145" s="26"/>
      <c r="M145" s="26"/>
      <c r="N145" s="26"/>
      <c r="O145" s="26"/>
    </row>
    <row r="146" spans="2:15" ht="15" customHeight="1">
      <c r="B146" s="1485"/>
      <c r="C146" s="35"/>
      <c r="D146" s="35"/>
      <c r="E146" s="35"/>
      <c r="F146" s="35"/>
      <c r="G146" s="35"/>
      <c r="H146" s="35"/>
      <c r="I146" s="174"/>
      <c r="J146" s="174"/>
      <c r="K146" s="174"/>
      <c r="L146" s="26"/>
      <c r="M146" s="26"/>
      <c r="N146" s="26"/>
      <c r="O146" s="26"/>
    </row>
    <row r="147" spans="2:15" ht="15" customHeight="1">
      <c r="B147" s="1485"/>
      <c r="C147" s="35"/>
      <c r="D147" s="35"/>
      <c r="E147" s="35"/>
      <c r="F147" s="35"/>
      <c r="G147" s="35"/>
      <c r="H147" s="35"/>
      <c r="I147" s="174"/>
      <c r="J147" s="174"/>
      <c r="K147" s="174"/>
      <c r="L147" s="26"/>
      <c r="M147" s="26"/>
      <c r="N147" s="26"/>
      <c r="O147" s="26"/>
    </row>
    <row r="148" spans="2:15" ht="15" customHeight="1">
      <c r="B148" s="1485"/>
      <c r="C148" s="35"/>
      <c r="D148" s="35"/>
      <c r="E148" s="35"/>
      <c r="F148" s="35"/>
      <c r="G148" s="35"/>
      <c r="H148" s="35"/>
      <c r="I148" s="174"/>
      <c r="J148" s="174"/>
      <c r="K148" s="174"/>
      <c r="L148" s="26"/>
      <c r="M148" s="26"/>
      <c r="N148" s="26"/>
      <c r="O148" s="26"/>
    </row>
    <row r="149" spans="2:15" ht="15" customHeight="1">
      <c r="B149" s="1485"/>
      <c r="C149" s="35"/>
      <c r="D149" s="35"/>
      <c r="E149" s="35"/>
      <c r="F149" s="35"/>
      <c r="G149" s="35"/>
      <c r="H149" s="35"/>
      <c r="I149" s="174"/>
      <c r="J149" s="174"/>
      <c r="K149" s="174"/>
      <c r="L149" s="26"/>
      <c r="M149" s="26"/>
      <c r="N149" s="26"/>
      <c r="O149" s="26"/>
    </row>
    <row r="150" spans="2:15" ht="15" customHeight="1">
      <c r="B150" s="1485"/>
      <c r="C150" s="35"/>
      <c r="D150" s="35"/>
      <c r="E150" s="35"/>
      <c r="F150" s="35"/>
      <c r="G150" s="35"/>
      <c r="H150" s="35"/>
      <c r="I150" s="174"/>
      <c r="J150" s="174"/>
      <c r="K150" s="174"/>
      <c r="L150" s="26"/>
      <c r="M150" s="26"/>
      <c r="N150" s="26"/>
      <c r="O150" s="26"/>
    </row>
    <row r="151" spans="2:15" ht="15" customHeight="1">
      <c r="B151" s="1485"/>
      <c r="C151" s="35"/>
      <c r="D151" s="35"/>
      <c r="E151" s="35"/>
      <c r="F151" s="35"/>
      <c r="G151" s="35"/>
      <c r="H151" s="35"/>
      <c r="I151" s="174"/>
      <c r="J151" s="174"/>
      <c r="K151" s="174"/>
      <c r="L151" s="26"/>
      <c r="M151" s="26"/>
      <c r="N151" s="26"/>
      <c r="O151" s="26"/>
    </row>
    <row r="152" spans="2:15" ht="15" customHeight="1">
      <c r="B152" s="1485"/>
      <c r="C152" s="35"/>
      <c r="D152" s="35"/>
      <c r="E152" s="35"/>
      <c r="F152" s="35"/>
      <c r="G152" s="35"/>
      <c r="H152" s="35"/>
      <c r="I152" s="174"/>
      <c r="J152" s="174"/>
      <c r="K152" s="174"/>
      <c r="L152" s="26"/>
      <c r="M152" s="26"/>
      <c r="N152" s="26"/>
      <c r="O152" s="26"/>
    </row>
    <row r="153" spans="2:15" ht="15" customHeight="1">
      <c r="B153" s="1485"/>
      <c r="C153" s="35"/>
      <c r="D153" s="35"/>
      <c r="E153" s="35"/>
      <c r="F153" s="35"/>
      <c r="G153" s="35"/>
      <c r="H153" s="35"/>
      <c r="I153" s="174"/>
      <c r="J153" s="174"/>
      <c r="K153" s="174"/>
      <c r="L153" s="26"/>
      <c r="M153" s="26"/>
      <c r="N153" s="26"/>
      <c r="O153" s="26"/>
    </row>
    <row r="154" spans="2:15" ht="15" customHeight="1">
      <c r="B154" s="1485"/>
      <c r="C154" s="35"/>
      <c r="D154" s="35"/>
      <c r="E154" s="35"/>
      <c r="F154" s="35"/>
      <c r="G154" s="35"/>
      <c r="H154" s="35"/>
      <c r="I154" s="174"/>
      <c r="J154" s="174"/>
      <c r="K154" s="174"/>
      <c r="L154" s="26"/>
      <c r="M154" s="26"/>
      <c r="N154" s="26"/>
      <c r="O154" s="26"/>
    </row>
    <row r="155" spans="2:15" ht="15" customHeight="1">
      <c r="B155" s="1485"/>
      <c r="C155" s="35"/>
      <c r="D155" s="35"/>
      <c r="E155" s="35"/>
      <c r="F155" s="35"/>
      <c r="G155" s="35"/>
      <c r="H155" s="35"/>
      <c r="I155" s="174"/>
      <c r="J155" s="174"/>
      <c r="K155" s="174"/>
      <c r="L155" s="26"/>
      <c r="M155" s="26"/>
      <c r="N155" s="26"/>
      <c r="O155" s="26"/>
    </row>
    <row r="156" spans="2:15" ht="15" customHeight="1">
      <c r="B156" s="1485"/>
      <c r="C156" s="35"/>
      <c r="D156" s="35"/>
      <c r="E156" s="35"/>
      <c r="F156" s="35"/>
      <c r="G156" s="35"/>
      <c r="H156" s="35"/>
      <c r="I156" s="174"/>
      <c r="J156" s="174"/>
      <c r="K156" s="174"/>
      <c r="L156" s="26"/>
      <c r="M156" s="26"/>
      <c r="N156" s="26"/>
      <c r="O156" s="26"/>
    </row>
    <row r="157" spans="2:15" ht="15" customHeight="1">
      <c r="B157" s="1485"/>
      <c r="C157" s="35"/>
      <c r="D157" s="35"/>
      <c r="E157" s="35"/>
      <c r="F157" s="35"/>
      <c r="G157" s="35"/>
      <c r="H157" s="35"/>
      <c r="I157" s="174"/>
      <c r="J157" s="174"/>
      <c r="K157" s="174"/>
      <c r="L157" s="26"/>
      <c r="M157" s="26"/>
      <c r="N157" s="26"/>
      <c r="O157" s="26"/>
    </row>
    <row r="158" spans="2:15" ht="15" customHeight="1">
      <c r="B158" s="1485"/>
      <c r="C158" s="35"/>
      <c r="D158" s="35"/>
      <c r="E158" s="35"/>
      <c r="F158" s="35"/>
      <c r="G158" s="35"/>
      <c r="H158" s="35"/>
      <c r="I158" s="174"/>
      <c r="J158" s="174"/>
      <c r="K158" s="174"/>
      <c r="L158" s="26"/>
      <c r="M158" s="26"/>
      <c r="N158" s="26"/>
      <c r="O158" s="26"/>
    </row>
    <row r="159" spans="2:15" ht="15" customHeight="1">
      <c r="B159" s="1485"/>
      <c r="C159" s="35"/>
      <c r="D159" s="35"/>
      <c r="E159" s="35"/>
      <c r="F159" s="35"/>
      <c r="G159" s="35"/>
      <c r="H159" s="35"/>
      <c r="I159" s="174"/>
      <c r="J159" s="174"/>
      <c r="K159" s="174"/>
      <c r="L159" s="26"/>
      <c r="M159" s="26"/>
      <c r="N159" s="26"/>
      <c r="O159" s="26"/>
    </row>
    <row r="160" spans="2:15" ht="15" customHeight="1">
      <c r="B160" s="1485"/>
      <c r="C160" s="35"/>
      <c r="D160" s="35"/>
      <c r="E160" s="35"/>
      <c r="F160" s="35"/>
      <c r="G160" s="35"/>
      <c r="H160" s="35"/>
      <c r="I160" s="174"/>
      <c r="J160" s="174"/>
      <c r="K160" s="174"/>
      <c r="L160" s="26"/>
      <c r="M160" s="26"/>
      <c r="N160" s="26"/>
      <c r="O160" s="26"/>
    </row>
    <row r="161" spans="2:15" ht="31" customHeight="1" thickBot="1">
      <c r="B161" s="1794" t="s">
        <v>209</v>
      </c>
      <c r="C161" s="1794"/>
      <c r="D161" s="1795"/>
      <c r="E161" s="1796"/>
      <c r="F161" s="1795"/>
      <c r="G161" s="1795"/>
      <c r="H161" s="1794"/>
      <c r="I161" s="1797"/>
      <c r="J161" s="1797"/>
      <c r="K161" s="1798"/>
      <c r="L161" s="1796"/>
      <c r="M161" s="1796"/>
      <c r="N161" s="1796"/>
      <c r="O161" s="1796"/>
    </row>
    <row r="162" spans="2:15" ht="31" customHeight="1">
      <c r="B162" s="1485"/>
      <c r="C162" s="35"/>
      <c r="D162" s="35"/>
      <c r="E162" s="35"/>
      <c r="F162" s="35"/>
      <c r="G162" s="35"/>
      <c r="H162" s="35"/>
      <c r="I162" s="174"/>
      <c r="J162" s="174"/>
      <c r="K162" s="174"/>
      <c r="L162" s="26"/>
      <c r="M162" s="26"/>
      <c r="N162" s="26"/>
      <c r="O162" s="26"/>
    </row>
    <row r="163" spans="2:15" ht="15" customHeight="1">
      <c r="B163" s="22"/>
      <c r="C163" s="1495" t="s">
        <v>2021</v>
      </c>
      <c r="D163" s="22"/>
      <c r="E163" s="22"/>
      <c r="F163" s="22"/>
      <c r="G163" s="22"/>
      <c r="H163" s="22"/>
      <c r="I163" s="22"/>
      <c r="J163" s="22"/>
      <c r="K163" s="22"/>
      <c r="L163" s="22"/>
      <c r="M163" s="22"/>
      <c r="N163" s="22"/>
      <c r="O163" s="22"/>
    </row>
    <row r="164" spans="2:15" ht="15" customHeight="1">
      <c r="C164" s="22"/>
      <c r="D164" s="22"/>
      <c r="E164" s="22"/>
      <c r="F164" s="22"/>
      <c r="G164" s="22"/>
      <c r="H164" s="22"/>
      <c r="I164" s="22"/>
      <c r="J164" s="22"/>
      <c r="K164" s="22"/>
      <c r="L164" s="22"/>
      <c r="M164" s="22"/>
      <c r="N164" s="22"/>
      <c r="O164" s="22"/>
    </row>
    <row r="165" spans="2:15" ht="15" customHeight="1">
      <c r="B165" s="1485"/>
      <c r="C165" s="35"/>
      <c r="D165" s="35"/>
      <c r="E165" s="35"/>
      <c r="F165" s="35"/>
      <c r="G165" s="35"/>
      <c r="H165" s="35"/>
      <c r="I165" s="174"/>
      <c r="J165" s="174"/>
      <c r="K165" s="174"/>
      <c r="L165" s="26"/>
      <c r="M165" s="26"/>
      <c r="N165" s="26"/>
      <c r="O165" s="26"/>
    </row>
    <row r="166" spans="2:15" ht="15" customHeight="1">
      <c r="B166" s="1485"/>
      <c r="C166" s="35"/>
      <c r="D166" s="35"/>
      <c r="E166" s="35"/>
      <c r="F166" s="35"/>
      <c r="G166" s="35"/>
      <c r="H166" s="35"/>
      <c r="I166" s="174"/>
      <c r="J166" s="174"/>
      <c r="K166" s="174"/>
      <c r="L166" s="26"/>
      <c r="M166" s="26"/>
      <c r="N166" s="26"/>
      <c r="O166" s="26"/>
    </row>
    <row r="167" spans="2:15" ht="15" customHeight="1">
      <c r="B167" s="1485"/>
      <c r="C167" s="35"/>
      <c r="D167" s="35"/>
      <c r="E167" s="35"/>
      <c r="F167" s="35"/>
      <c r="G167" s="35"/>
      <c r="H167" s="35"/>
      <c r="I167" s="174"/>
      <c r="J167" s="174"/>
      <c r="K167" s="174"/>
      <c r="L167" s="26"/>
      <c r="M167" s="26"/>
      <c r="N167" s="26"/>
      <c r="O167" s="26"/>
    </row>
    <row r="168" spans="2:15" ht="15" customHeight="1">
      <c r="B168" s="1485"/>
      <c r="C168" s="35"/>
      <c r="D168" s="35"/>
      <c r="E168" s="35"/>
      <c r="F168" s="35"/>
      <c r="G168" s="35"/>
      <c r="H168" s="35"/>
      <c r="I168" s="174"/>
      <c r="J168" s="174"/>
      <c r="K168" s="174"/>
      <c r="L168" s="26"/>
      <c r="M168" s="26"/>
      <c r="N168" s="26"/>
      <c r="O168" s="26"/>
    </row>
    <row r="169" spans="2:15" ht="15" customHeight="1">
      <c r="B169" s="1485"/>
      <c r="C169" s="35"/>
      <c r="D169" s="35"/>
      <c r="E169" s="35"/>
      <c r="F169" s="35"/>
      <c r="G169" s="35"/>
      <c r="H169" s="35"/>
      <c r="I169" s="174"/>
      <c r="J169" s="174"/>
      <c r="K169" s="174"/>
      <c r="L169" s="26"/>
      <c r="M169" s="26"/>
      <c r="N169" s="26"/>
      <c r="O169" s="26"/>
    </row>
    <row r="170" spans="2:15" ht="15" customHeight="1">
      <c r="B170" s="1485"/>
      <c r="C170" s="35"/>
      <c r="D170" s="35"/>
      <c r="E170" s="35"/>
      <c r="F170" s="35"/>
      <c r="G170" s="35"/>
      <c r="H170" s="35"/>
      <c r="I170" s="174"/>
      <c r="J170" s="174"/>
      <c r="K170" s="174"/>
      <c r="L170" s="26"/>
      <c r="M170" s="26"/>
      <c r="N170" s="26"/>
      <c r="O170" s="26"/>
    </row>
    <row r="171" spans="2:15" ht="15" customHeight="1">
      <c r="B171" s="1485"/>
      <c r="C171" s="35"/>
      <c r="D171" s="35"/>
      <c r="E171" s="35"/>
      <c r="F171" s="35"/>
      <c r="G171" s="35"/>
      <c r="H171" s="35"/>
      <c r="I171" s="174"/>
      <c r="J171" s="174"/>
      <c r="K171" s="174"/>
      <c r="L171" s="26"/>
      <c r="M171" s="26"/>
      <c r="N171" s="26"/>
      <c r="O171" s="26"/>
    </row>
    <row r="172" spans="2:15" ht="15" customHeight="1">
      <c r="B172" s="1485"/>
      <c r="C172" s="35"/>
      <c r="D172" s="35"/>
      <c r="E172" s="35"/>
      <c r="F172" s="35"/>
      <c r="G172" s="35"/>
      <c r="H172" s="35"/>
      <c r="I172" s="174"/>
      <c r="J172" s="174"/>
      <c r="K172" s="174"/>
      <c r="L172" s="26"/>
      <c r="M172" s="26"/>
      <c r="N172" s="26"/>
      <c r="O172" s="26"/>
    </row>
    <row r="173" spans="2:15" ht="15" customHeight="1">
      <c r="B173" s="1485"/>
      <c r="C173" s="35"/>
      <c r="D173" s="35"/>
      <c r="E173" s="35"/>
      <c r="F173" s="35"/>
      <c r="G173" s="35"/>
      <c r="H173" s="35"/>
      <c r="I173" s="174"/>
      <c r="J173" s="174"/>
      <c r="K173" s="174"/>
      <c r="L173" s="26"/>
      <c r="M173" s="26"/>
      <c r="N173" s="26"/>
      <c r="O173" s="26"/>
    </row>
    <row r="174" spans="2:15" ht="15" customHeight="1">
      <c r="B174" s="1485"/>
      <c r="C174" s="35"/>
      <c r="D174" s="35"/>
      <c r="E174" s="35"/>
      <c r="F174" s="35"/>
      <c r="G174" s="35"/>
      <c r="H174" s="35"/>
      <c r="I174" s="174"/>
      <c r="J174" s="174"/>
      <c r="K174" s="174"/>
      <c r="L174" s="26"/>
      <c r="M174" s="26"/>
      <c r="N174" s="26"/>
      <c r="O174" s="26"/>
    </row>
    <row r="175" spans="2:15" ht="15" customHeight="1">
      <c r="B175" s="1485"/>
      <c r="C175" s="35"/>
      <c r="D175" s="35"/>
      <c r="E175" s="35"/>
      <c r="F175" s="35"/>
      <c r="G175" s="35"/>
      <c r="H175" s="35"/>
      <c r="I175" s="174"/>
      <c r="J175" s="174"/>
      <c r="K175" s="174"/>
      <c r="L175" s="26"/>
      <c r="M175" s="26"/>
      <c r="N175" s="26"/>
      <c r="O175" s="26"/>
    </row>
    <row r="176" spans="2:15" ht="15" customHeight="1">
      <c r="B176" s="1485"/>
      <c r="C176" s="35"/>
      <c r="D176" s="35"/>
      <c r="E176" s="35"/>
      <c r="F176" s="35"/>
      <c r="G176" s="35"/>
      <c r="H176" s="35"/>
      <c r="I176" s="174"/>
      <c r="J176" s="174"/>
      <c r="K176" s="174"/>
      <c r="L176" s="26"/>
      <c r="M176" s="26"/>
      <c r="N176" s="26"/>
      <c r="O176" s="26"/>
    </row>
    <row r="177" spans="2:15" ht="15" customHeight="1">
      <c r="B177" s="1485"/>
      <c r="C177" s="35"/>
      <c r="D177" s="35"/>
      <c r="E177" s="35"/>
      <c r="F177" s="35"/>
      <c r="G177" s="35"/>
      <c r="H177" s="35"/>
      <c r="I177" s="174"/>
      <c r="J177" s="174"/>
      <c r="K177" s="174"/>
      <c r="L177" s="26"/>
      <c r="M177" s="26"/>
      <c r="N177" s="26"/>
      <c r="O177" s="26"/>
    </row>
    <row r="178" spans="2:15" ht="15" customHeight="1">
      <c r="B178" s="1485"/>
      <c r="C178" s="35"/>
      <c r="D178" s="35"/>
      <c r="E178" s="35"/>
      <c r="F178" s="35"/>
      <c r="G178" s="35"/>
      <c r="H178" s="35"/>
      <c r="I178" s="174"/>
      <c r="J178" s="174"/>
      <c r="K178" s="174"/>
      <c r="L178" s="26"/>
      <c r="M178" s="26"/>
      <c r="N178" s="26"/>
      <c r="O178" s="26"/>
    </row>
    <row r="179" spans="2:15" ht="15" customHeight="1">
      <c r="B179" s="1485"/>
      <c r="C179" s="35"/>
      <c r="D179" s="35"/>
      <c r="E179" s="35"/>
      <c r="F179" s="35"/>
      <c r="G179" s="35"/>
      <c r="H179" s="35"/>
      <c r="I179" s="174"/>
      <c r="J179" s="174"/>
      <c r="K179" s="174"/>
      <c r="L179" s="26"/>
      <c r="M179" s="26"/>
      <c r="N179" s="26"/>
      <c r="O179" s="26"/>
    </row>
    <row r="180" spans="2:15" ht="15" customHeight="1">
      <c r="B180" s="1485"/>
      <c r="C180" s="35"/>
      <c r="D180" s="35"/>
      <c r="E180" s="35"/>
      <c r="F180" s="35"/>
      <c r="G180" s="35"/>
      <c r="H180" s="35"/>
      <c r="I180" s="174"/>
      <c r="J180" s="174"/>
      <c r="K180" s="174"/>
      <c r="L180" s="26"/>
      <c r="M180" s="26"/>
      <c r="N180" s="26"/>
      <c r="O180" s="26"/>
    </row>
    <row r="181" spans="2:15" ht="15" customHeight="1">
      <c r="B181" s="1485"/>
      <c r="C181" s="35"/>
      <c r="D181" s="35"/>
      <c r="E181" s="35"/>
      <c r="F181" s="35"/>
      <c r="G181" s="35"/>
      <c r="H181" s="35"/>
      <c r="I181" s="174"/>
      <c r="J181" s="174"/>
      <c r="K181" s="174"/>
      <c r="L181" s="26"/>
      <c r="M181" s="26"/>
      <c r="N181" s="26"/>
      <c r="O181" s="26"/>
    </row>
    <row r="182" spans="2:15" ht="15" customHeight="1">
      <c r="B182" s="1485"/>
      <c r="C182" s="35"/>
      <c r="D182" s="35"/>
      <c r="E182" s="35"/>
      <c r="F182" s="35"/>
      <c r="G182" s="35"/>
      <c r="H182" s="35"/>
      <c r="I182" s="174"/>
      <c r="J182" s="174"/>
      <c r="K182" s="174"/>
      <c r="L182" s="26"/>
      <c r="M182" s="26"/>
      <c r="N182" s="26"/>
      <c r="O182" s="26"/>
    </row>
    <row r="183" spans="2:15" ht="15" customHeight="1">
      <c r="B183" s="1485"/>
      <c r="C183" s="35"/>
      <c r="D183" s="35"/>
      <c r="E183" s="35"/>
      <c r="F183" s="35"/>
      <c r="G183" s="35"/>
      <c r="H183" s="35"/>
      <c r="I183" s="174"/>
      <c r="J183" s="174"/>
      <c r="K183" s="174"/>
      <c r="L183" s="26"/>
      <c r="M183" s="26"/>
      <c r="N183" s="26"/>
      <c r="O183" s="26"/>
    </row>
    <row r="184" spans="2:15" ht="15" customHeight="1">
      <c r="B184" s="1485"/>
      <c r="C184" s="35"/>
      <c r="D184" s="35"/>
      <c r="E184" s="35"/>
      <c r="F184" s="35"/>
      <c r="G184" s="35"/>
      <c r="H184" s="35"/>
      <c r="I184" s="174"/>
      <c r="J184" s="174"/>
      <c r="K184" s="174"/>
      <c r="L184" s="26"/>
      <c r="M184" s="26"/>
      <c r="N184" s="26"/>
      <c r="O184" s="26"/>
    </row>
    <row r="185" spans="2:15" ht="15" customHeight="1">
      <c r="B185" s="1485"/>
      <c r="C185" s="35"/>
      <c r="D185" s="35"/>
      <c r="E185" s="35"/>
      <c r="F185" s="35"/>
      <c r="G185" s="35"/>
      <c r="H185" s="35"/>
      <c r="I185" s="174"/>
      <c r="J185" s="174"/>
      <c r="K185" s="174"/>
      <c r="L185" s="26"/>
      <c r="M185" s="26"/>
      <c r="N185" s="26"/>
      <c r="O185" s="26"/>
    </row>
    <row r="186" spans="2:15" ht="15" customHeight="1">
      <c r="B186" s="1485"/>
      <c r="C186" s="35"/>
      <c r="D186" s="35"/>
      <c r="E186" s="35"/>
      <c r="F186" s="35"/>
      <c r="G186" s="35"/>
      <c r="H186" s="35"/>
      <c r="I186" s="174"/>
      <c r="J186" s="174"/>
      <c r="K186" s="174"/>
      <c r="L186" s="26"/>
      <c r="M186" s="26"/>
      <c r="N186" s="26"/>
      <c r="O186" s="26"/>
    </row>
    <row r="187" spans="2:15" ht="15" customHeight="1">
      <c r="B187" s="1485"/>
      <c r="C187" s="35"/>
      <c r="D187" s="35"/>
      <c r="E187" s="35"/>
      <c r="F187" s="35"/>
      <c r="G187" s="35"/>
      <c r="H187" s="35"/>
      <c r="I187" s="174"/>
      <c r="J187" s="174"/>
      <c r="K187" s="174"/>
      <c r="L187" s="26"/>
      <c r="M187" s="26"/>
      <c r="N187" s="26"/>
      <c r="O187" s="26"/>
    </row>
    <row r="188" spans="2:15" ht="15" customHeight="1">
      <c r="B188" s="1485"/>
      <c r="C188" s="35"/>
      <c r="D188" s="35"/>
      <c r="E188" s="35"/>
      <c r="F188" s="35"/>
      <c r="G188" s="35"/>
      <c r="H188" s="35"/>
      <c r="I188" s="174"/>
      <c r="J188" s="174"/>
      <c r="K188" s="174"/>
      <c r="L188" s="26"/>
      <c r="M188" s="26"/>
      <c r="N188" s="26"/>
      <c r="O188" s="26"/>
    </row>
    <row r="189" spans="2:15" ht="15" customHeight="1">
      <c r="B189" s="1485"/>
      <c r="C189" s="35"/>
      <c r="D189" s="35"/>
      <c r="E189" s="35"/>
      <c r="F189" s="35"/>
      <c r="G189" s="35"/>
      <c r="H189" s="35"/>
      <c r="I189" s="174"/>
      <c r="J189" s="174"/>
      <c r="K189" s="174"/>
      <c r="L189" s="26"/>
      <c r="M189" s="26"/>
      <c r="N189" s="26"/>
      <c r="O189" s="26"/>
    </row>
    <row r="190" spans="2:15" ht="15" customHeight="1">
      <c r="B190" s="1485"/>
      <c r="C190" s="35"/>
      <c r="D190" s="35"/>
      <c r="E190" s="35"/>
      <c r="F190" s="35"/>
      <c r="G190" s="35"/>
      <c r="H190" s="35"/>
      <c r="I190" s="174"/>
      <c r="J190" s="174"/>
      <c r="K190" s="174"/>
      <c r="L190" s="26"/>
      <c r="M190" s="26"/>
      <c r="N190" s="26"/>
      <c r="O190" s="26"/>
    </row>
    <row r="191" spans="2:15" ht="15" customHeight="1">
      <c r="B191" s="1485"/>
      <c r="C191" s="35"/>
      <c r="D191" s="35"/>
      <c r="E191" s="35"/>
      <c r="F191" s="35"/>
      <c r="G191" s="35"/>
      <c r="H191" s="35"/>
      <c r="I191" s="174"/>
      <c r="J191" s="174"/>
      <c r="K191" s="174"/>
      <c r="L191" s="26"/>
      <c r="M191" s="26"/>
      <c r="N191" s="26"/>
      <c r="O191" s="26"/>
    </row>
    <row r="192" spans="2:15" ht="15" customHeight="1">
      <c r="B192" s="1485"/>
      <c r="C192" s="35"/>
      <c r="D192" s="35"/>
      <c r="E192" s="35"/>
      <c r="F192" s="35"/>
      <c r="G192" s="35"/>
      <c r="H192" s="35"/>
      <c r="I192" s="174"/>
      <c r="J192" s="174"/>
      <c r="K192" s="174"/>
      <c r="L192" s="26"/>
      <c r="M192" s="26"/>
      <c r="N192" s="26"/>
      <c r="O192" s="26"/>
    </row>
  </sheetData>
  <mergeCells count="74">
    <mergeCell ref="B14:B15"/>
    <mergeCell ref="D15:E15"/>
    <mergeCell ref="B16:B17"/>
    <mergeCell ref="N9:O9"/>
    <mergeCell ref="B8:J9"/>
    <mergeCell ref="L8:M8"/>
    <mergeCell ref="L9:M9"/>
    <mergeCell ref="D13:E13"/>
    <mergeCell ref="D14:E14"/>
    <mergeCell ref="D16:E16"/>
    <mergeCell ref="D17:E17"/>
    <mergeCell ref="F15:G15"/>
    <mergeCell ref="H15:I15"/>
    <mergeCell ref="J15:K15"/>
    <mergeCell ref="F17:G17"/>
    <mergeCell ref="B2:B3"/>
    <mergeCell ref="C2:C3"/>
    <mergeCell ref="D2:E2"/>
    <mergeCell ref="F2:G2"/>
    <mergeCell ref="H2:I2"/>
    <mergeCell ref="D3:E3"/>
    <mergeCell ref="F3:G3"/>
    <mergeCell ref="H3:I3"/>
    <mergeCell ref="N19:O19"/>
    <mergeCell ref="L2:M2"/>
    <mergeCell ref="N2:O2"/>
    <mergeCell ref="N16:O16"/>
    <mergeCell ref="N18:O18"/>
    <mergeCell ref="L19:M19"/>
    <mergeCell ref="L16:M16"/>
    <mergeCell ref="L18:M18"/>
    <mergeCell ref="L17:M17"/>
    <mergeCell ref="N17:O17"/>
    <mergeCell ref="L15:M15"/>
    <mergeCell ref="N15:O15"/>
    <mergeCell ref="J3:K3"/>
    <mergeCell ref="J2:K2"/>
    <mergeCell ref="N11:O12"/>
    <mergeCell ref="N13:O13"/>
    <mergeCell ref="N14:O14"/>
    <mergeCell ref="L11:M12"/>
    <mergeCell ref="L13:M13"/>
    <mergeCell ref="L14:M14"/>
    <mergeCell ref="L3:M3"/>
    <mergeCell ref="N3:O3"/>
    <mergeCell ref="J19:K19"/>
    <mergeCell ref="H11:I12"/>
    <mergeCell ref="H13:I13"/>
    <mergeCell ref="H14:I14"/>
    <mergeCell ref="H16:I16"/>
    <mergeCell ref="H18:I18"/>
    <mergeCell ref="J11:K12"/>
    <mergeCell ref="J13:K13"/>
    <mergeCell ref="J14:K14"/>
    <mergeCell ref="J16:K16"/>
    <mergeCell ref="J18:K18"/>
    <mergeCell ref="H17:I17"/>
    <mergeCell ref="J17:K17"/>
    <mergeCell ref="D18:E18"/>
    <mergeCell ref="B23:B47"/>
    <mergeCell ref="B11:C12"/>
    <mergeCell ref="N8:O8"/>
    <mergeCell ref="D19:E19"/>
    <mergeCell ref="D11:E12"/>
    <mergeCell ref="F11:G12"/>
    <mergeCell ref="F13:G13"/>
    <mergeCell ref="F14:G14"/>
    <mergeCell ref="F16:G16"/>
    <mergeCell ref="F18:G18"/>
    <mergeCell ref="F19:G19"/>
    <mergeCell ref="B13:C13"/>
    <mergeCell ref="B18:C18"/>
    <mergeCell ref="B19:C19"/>
    <mergeCell ref="H19:I19"/>
  </mergeCells>
  <conditionalFormatting sqref="L16:M16">
    <cfRule type="containsBlanks" dxfId="187" priority="2">
      <formula>LEN(TRIM(L16))=0</formula>
    </cfRule>
  </conditionalFormatting>
  <conditionalFormatting sqref="N16:O16">
    <cfRule type="containsBlanks" dxfId="186" priority="1">
      <formula>LEN(TRIM(N16))=0</formula>
    </cfRule>
  </conditionalFormatting>
  <dataValidations count="3">
    <dataValidation type="list" allowBlank="1" showInputMessage="1" showErrorMessage="1" sqref="N9:O9">
      <formula1>Inventory_level_2</formula1>
    </dataValidation>
    <dataValidation showInputMessage="1" sqref="D15:E15"/>
    <dataValidation type="list" showInputMessage="1" sqref="D14:E14">
      <formula1>INDIRECT("UCL_" &amp; P9)</formula1>
    </dataValidation>
  </dataValidations>
  <hyperlinks>
    <hyperlink ref="F2" location="'City information'!A1" display="Set-up"/>
    <hyperlink ref="G2" location="'City information'!A1" display="'City information'!A1"/>
    <hyperlink ref="H2" location="Inventory!A1" display="Inventory"/>
    <hyperlink ref="I2" location="Inventory!A1" display="Inventory!A1"/>
    <hyperlink ref="J2" location="Calculators!A1" display="Calculators"/>
    <hyperlink ref="K2" location="Calculators!A1" display="Calculators!A1"/>
    <hyperlink ref="L2" location="Results!A1" display="Results"/>
    <hyperlink ref="M2" location="Results!A1" display="Results!A1"/>
    <hyperlink ref="D2" location="Home!A1" display="Introduction"/>
    <hyperlink ref="E2" location="Home!A1" display="Home!A1"/>
    <hyperlink ref="N2" location="Analysis!A1" display="Analysis"/>
    <hyperlink ref="O2" location="Analysis!A1" display="Analysis!A1"/>
    <hyperlink ref="H3" location="Benchmark!A1" display="Benchmarking"/>
    <hyperlink ref="G3" location="Progress!A1" display="Progress!A1"/>
    <hyperlink ref="F3" location="Progress!A1" display="Progress"/>
    <hyperlink ref="D3" location="Data!A1" display="Data"/>
    <hyperlink ref="E3" location="Data!A1" display="Data!A1"/>
    <hyperlink ref="I3" location="Benchmark!A1" display="Benchmark!A1"/>
    <hyperlink ref="J3" location="'Heat map'!A1" display="Heat map"/>
    <hyperlink ref="K3" location="'Heat map'!A1" display="'Heat map'!A1"/>
    <hyperlink ref="L3" location="Overview_2!A1" display="Overview"/>
    <hyperlink ref="M3" location="Overview_2!A1" display="Overview_2!A1"/>
    <hyperlink ref="N3" location="Output!A1" display="Output"/>
    <hyperlink ref="O3" location="Output!A1" display="Output!A1"/>
  </hyperlinks>
  <pageMargins left="0.25" right="0.25" top="0.75" bottom="0.75" header="0.3" footer="0.3"/>
  <pageSetup paperSize="9" scale="10" orientation="portrait" horizontalDpi="4294967292" verticalDpi="4294967292"/>
  <headerFooter>
    <oddHeader>&amp;CTable 4.1</oddHeader>
  </headerFooter>
  <ignoredErrors>
    <ignoredError sqref="L18:O18 E16 E15:O15 G16 I16 K16:O16" emptyCellReference="1"/>
  </ignoredErrors>
  <drawing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Lists!$BV$3:$BV$8</xm:f>
          </x14:formula1>
          <xm:sqref>D13</xm:sqref>
        </x14:dataValidation>
        <x14:dataValidation type="list" allowBlank="1" showInputMessage="1" showErrorMessage="1">
          <x14:formula1>
            <xm:f>Lists!$BX$3:$BX$40</xm:f>
          </x14:formula1>
          <xm:sqref>D18</xm:sqref>
        </x14:dataValidation>
        <x14:dataValidation type="list" allowBlank="1" showInputMessage="1" showErrorMessage="1">
          <x14:formula1>
            <xm:f>Data_3!$B$12:$B$92</xm:f>
          </x14:formula1>
          <xm:sqref>L9:M9</xm:sqref>
        </x14:dataValidation>
      </x14:dataValidations>
    </ext>
    <ext xmlns:mx="http://schemas.microsoft.com/office/mac/excel/2008/main" uri="{64002731-A6B0-56B0-2670-7721B7C09600}">
      <mx:PLV Mode="0" OnePage="0" WScale="71"/>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enableFormatConditionsCalculation="0">
    <tabColor theme="4"/>
    <outlinePr summaryBelow="0"/>
    <pageSetUpPr fitToPage="1"/>
  </sheetPr>
  <dimension ref="A1:AA181"/>
  <sheetViews>
    <sheetView showRowColHeaders="0" workbookViewId="0">
      <selection activeCell="J3" sqref="J3:K3"/>
    </sheetView>
  </sheetViews>
  <sheetFormatPr baseColWidth="10" defaultColWidth="0" defaultRowHeight="15" customHeight="1" zeroHeight="1" x14ac:dyDescent="0"/>
  <cols>
    <col min="1" max="1" width="4.83203125" style="31" customWidth="1"/>
    <col min="2" max="2" width="12.83203125" style="32" customWidth="1"/>
    <col min="3" max="8" width="12.83203125" style="33" customWidth="1"/>
    <col min="9" max="11" width="12.83203125" style="34" customWidth="1"/>
    <col min="12" max="15" width="12.83203125" style="31" customWidth="1"/>
    <col min="16" max="17" width="12.83203125" style="15" customWidth="1"/>
    <col min="18" max="18" width="4.83203125" style="15" customWidth="1"/>
    <col min="19" max="22" width="10.83203125" style="31" hidden="1" customWidth="1"/>
    <col min="23" max="27" width="10.83203125" style="26" hidden="1" customWidth="1"/>
    <col min="28" max="16384" width="10.83203125" style="31" hidden="1"/>
  </cols>
  <sheetData>
    <row r="1" spans="1:27" s="498" customFormat="1">
      <c r="P1" s="499"/>
      <c r="Q1" s="499"/>
      <c r="R1" s="499"/>
      <c r="S1" s="499"/>
      <c r="T1" s="499"/>
      <c r="U1" s="500"/>
      <c r="V1" s="500"/>
      <c r="W1" s="500"/>
    </row>
    <row r="2" spans="1:27" s="464" customFormat="1" ht="31" customHeight="1">
      <c r="A2" s="494"/>
      <c r="B2" s="1817" t="s">
        <v>1965</v>
      </c>
      <c r="C2" s="1819">
        <v>400</v>
      </c>
      <c r="D2" s="1849" t="s">
        <v>1555</v>
      </c>
      <c r="E2" s="1850"/>
      <c r="F2" s="1849" t="s">
        <v>1563</v>
      </c>
      <c r="G2" s="1850"/>
      <c r="H2" s="1849" t="s">
        <v>794</v>
      </c>
      <c r="I2" s="1850"/>
      <c r="J2" s="1849" t="s">
        <v>1570</v>
      </c>
      <c r="K2" s="1850"/>
      <c r="L2" s="1849" t="s">
        <v>1564</v>
      </c>
      <c r="M2" s="1850"/>
      <c r="N2" s="2047" t="s">
        <v>1602</v>
      </c>
      <c r="O2" s="2033"/>
      <c r="P2" s="494"/>
      <c r="Q2" s="494"/>
      <c r="R2" s="494"/>
    </row>
    <row r="3" spans="1:27" s="464" customFormat="1" ht="31" customHeight="1">
      <c r="A3" s="494"/>
      <c r="B3" s="1818"/>
      <c r="C3" s="1820"/>
      <c r="D3" s="1843" t="s">
        <v>722</v>
      </c>
      <c r="E3" s="1844"/>
      <c r="F3" s="1843" t="s">
        <v>1608</v>
      </c>
      <c r="G3" s="1844"/>
      <c r="H3" s="2047" t="s">
        <v>1609</v>
      </c>
      <c r="I3" s="2033"/>
      <c r="J3" s="1843" t="s">
        <v>1909</v>
      </c>
      <c r="K3" s="1844"/>
      <c r="L3" s="1843" t="s">
        <v>1568</v>
      </c>
      <c r="M3" s="1844"/>
      <c r="N3" s="1843" t="s">
        <v>2004</v>
      </c>
      <c r="O3" s="1844"/>
      <c r="P3" s="494"/>
      <c r="Q3" s="494"/>
      <c r="R3" s="494"/>
    </row>
    <row r="4" spans="1:27" s="494" customFormat="1" ht="15" customHeight="1">
      <c r="B4" s="492"/>
      <c r="C4" s="495"/>
      <c r="D4" s="497"/>
      <c r="E4" s="497"/>
      <c r="F4" s="497"/>
      <c r="G4" s="497"/>
      <c r="H4" s="497"/>
      <c r="I4" s="497"/>
      <c r="J4" s="496"/>
      <c r="K4" s="496"/>
      <c r="L4" s="496"/>
      <c r="M4" s="496"/>
      <c r="N4" s="496"/>
      <c r="O4" s="496"/>
    </row>
    <row r="5" spans="1:27" ht="31" customHeight="1">
      <c r="P5" s="31"/>
      <c r="Q5" s="31"/>
      <c r="R5" s="31"/>
    </row>
    <row r="6" spans="1:27" s="29" customFormat="1" ht="31" customHeight="1" thickBot="1">
      <c r="A6" s="1192"/>
      <c r="B6" s="491" t="s">
        <v>1628</v>
      </c>
      <c r="C6" s="466"/>
      <c r="D6" s="466"/>
      <c r="E6" s="466"/>
      <c r="F6" s="466"/>
      <c r="G6" s="466"/>
      <c r="H6" s="466"/>
      <c r="I6" s="467"/>
      <c r="J6" s="467"/>
      <c r="K6" s="467"/>
      <c r="L6" s="468"/>
      <c r="M6" s="468"/>
      <c r="N6" s="468"/>
      <c r="O6" s="468"/>
      <c r="P6" s="468"/>
      <c r="Q6" s="468"/>
      <c r="W6" s="234"/>
      <c r="X6" s="234"/>
      <c r="Y6" s="234"/>
      <c r="Z6" s="234"/>
      <c r="AA6" s="234"/>
    </row>
    <row r="7" spans="1:27" s="29" customFormat="1" ht="15" customHeight="1" thickTop="1">
      <c r="B7" s="229"/>
      <c r="C7" s="230"/>
      <c r="D7" s="230"/>
      <c r="E7" s="230"/>
      <c r="F7" s="230"/>
      <c r="G7" s="230"/>
      <c r="H7" s="230"/>
      <c r="I7" s="30"/>
      <c r="J7" s="30"/>
      <c r="K7" s="30"/>
      <c r="W7" s="234"/>
      <c r="X7" s="234"/>
      <c r="Y7" s="234"/>
      <c r="Z7" s="234"/>
      <c r="AA7" s="234"/>
    </row>
    <row r="8" spans="1:27" s="29" customFormat="1" ht="15" customHeight="1">
      <c r="B8" s="1105" t="s">
        <v>2617</v>
      </c>
      <c r="C8" s="230"/>
      <c r="D8" s="230"/>
      <c r="E8" s="230"/>
      <c r="F8" s="230"/>
      <c r="G8" s="230"/>
      <c r="H8" s="230"/>
      <c r="I8" s="30"/>
      <c r="J8" s="30"/>
      <c r="K8" s="30"/>
      <c r="W8" s="234"/>
      <c r="X8" s="234"/>
      <c r="Y8" s="234"/>
      <c r="Z8" s="234"/>
      <c r="AA8" s="234"/>
    </row>
    <row r="9" spans="1:27" s="29" customFormat="1" ht="15" customHeight="1">
      <c r="B9" s="613"/>
      <c r="C9" s="230"/>
      <c r="D9" s="230"/>
      <c r="E9" s="230"/>
      <c r="F9" s="230"/>
      <c r="G9" s="230"/>
      <c r="H9" s="230"/>
      <c r="I9" s="30"/>
      <c r="J9" s="30"/>
      <c r="K9" s="30"/>
      <c r="W9" s="234"/>
      <c r="X9" s="234"/>
      <c r="Y9" s="234"/>
      <c r="Z9" s="234"/>
      <c r="AA9" s="234"/>
    </row>
    <row r="10" spans="1:27" s="15" customFormat="1" ht="31" customHeight="1">
      <c r="B10" s="2612" t="s">
        <v>919</v>
      </c>
      <c r="C10" s="2590"/>
      <c r="D10" s="2614" t="s">
        <v>1635</v>
      </c>
      <c r="E10" s="2469"/>
      <c r="F10" s="2614" t="s">
        <v>729</v>
      </c>
      <c r="G10" s="2469"/>
      <c r="H10" s="2614" t="s">
        <v>1117</v>
      </c>
      <c r="I10" s="2469"/>
      <c r="J10" s="2614" t="s">
        <v>1025</v>
      </c>
      <c r="K10" s="2469"/>
      <c r="L10" s="2614" t="s">
        <v>1034</v>
      </c>
      <c r="M10" s="2469"/>
      <c r="N10" s="2614" t="s">
        <v>1614</v>
      </c>
      <c r="O10" s="2469"/>
      <c r="P10" s="2614" t="s">
        <v>1613</v>
      </c>
      <c r="Q10" s="2469"/>
    </row>
    <row r="11" spans="1:27" s="894" customFormat="1" ht="31" customHeight="1">
      <c r="B11" s="2619" t="s">
        <v>1618</v>
      </c>
      <c r="C11" s="2620"/>
      <c r="D11" s="2619" t="s">
        <v>172</v>
      </c>
      <c r="E11" s="2620"/>
      <c r="F11" s="2619" t="s">
        <v>2619</v>
      </c>
      <c r="G11" s="2620"/>
      <c r="H11" s="2619" t="s">
        <v>1646</v>
      </c>
      <c r="I11" s="2620"/>
      <c r="J11" s="2619" t="s">
        <v>1646</v>
      </c>
      <c r="K11" s="2620"/>
      <c r="L11" s="2619" t="s">
        <v>182</v>
      </c>
      <c r="M11" s="2620"/>
      <c r="N11" s="2619" t="s">
        <v>182</v>
      </c>
      <c r="O11" s="2620"/>
      <c r="P11" s="2619" t="s">
        <v>182</v>
      </c>
      <c r="Q11" s="2620"/>
    </row>
    <row r="12" spans="1:27" s="502" customFormat="1" ht="15" customHeight="1">
      <c r="B12" s="649"/>
      <c r="C12" s="649"/>
      <c r="D12" s="15"/>
      <c r="E12" s="15"/>
      <c r="F12" s="15"/>
      <c r="G12" s="15"/>
      <c r="H12" s="15"/>
      <c r="I12" s="15"/>
      <c r="J12" s="15"/>
      <c r="K12" s="15"/>
      <c r="L12" s="15"/>
      <c r="M12" s="15"/>
      <c r="N12" s="15"/>
      <c r="O12" s="15"/>
      <c r="P12" s="15"/>
      <c r="Q12" s="15"/>
    </row>
    <row r="13" spans="1:27" s="29" customFormat="1" ht="31" customHeight="1" thickBot="1">
      <c r="B13" s="1496" t="s">
        <v>684</v>
      </c>
      <c r="C13" s="1490"/>
      <c r="D13" s="1490"/>
      <c r="E13" s="1491"/>
      <c r="F13" s="1490"/>
      <c r="G13" s="1490"/>
      <c r="H13" s="1489"/>
      <c r="I13" s="1492"/>
      <c r="J13" s="1492"/>
      <c r="K13" s="1493"/>
      <c r="L13" s="1494"/>
      <c r="M13" s="1494"/>
      <c r="N13" s="1494"/>
      <c r="O13" s="1494"/>
      <c r="P13" s="1494"/>
      <c r="Q13" s="1494"/>
      <c r="W13" s="234"/>
      <c r="X13" s="234"/>
      <c r="Y13" s="234"/>
      <c r="Z13" s="234"/>
      <c r="AA13" s="234"/>
    </row>
    <row r="14" spans="1:27" s="29" customFormat="1" ht="31" customHeight="1">
      <c r="B14" s="728"/>
      <c r="C14" s="237"/>
      <c r="D14" s="237"/>
      <c r="E14" s="729"/>
      <c r="F14" s="237"/>
      <c r="G14" s="237"/>
      <c r="H14" s="728"/>
      <c r="I14" s="236"/>
      <c r="J14" s="236"/>
      <c r="K14" s="730"/>
      <c r="L14" s="234"/>
      <c r="M14" s="234"/>
      <c r="N14" s="234"/>
      <c r="O14" s="234"/>
      <c r="P14" s="234"/>
      <c r="Q14" s="234"/>
      <c r="W14" s="234"/>
      <c r="X14" s="234"/>
      <c r="Y14" s="234"/>
      <c r="Z14" s="234"/>
      <c r="AA14" s="234"/>
    </row>
    <row r="15" spans="1:27" s="15" customFormat="1" ht="15" customHeight="1">
      <c r="B15" s="22"/>
      <c r="C15" s="22"/>
      <c r="D15" s="22"/>
      <c r="E15" s="22"/>
      <c r="F15" s="22"/>
      <c r="G15" s="22"/>
      <c r="H15" s="22"/>
      <c r="I15" s="22"/>
      <c r="J15" s="22"/>
      <c r="K15" s="22"/>
      <c r="L15" s="22"/>
      <c r="M15" s="22"/>
      <c r="N15" s="22"/>
      <c r="O15" s="22"/>
      <c r="P15" s="1948" t="s">
        <v>1643</v>
      </c>
      <c r="Q15" s="1987"/>
    </row>
    <row r="16" spans="1:27" s="15" customFormat="1" ht="15" customHeight="1">
      <c r="B16" s="2621" t="str">
        <f>B11</f>
        <v>Per capita</v>
      </c>
      <c r="C16" s="22"/>
      <c r="D16" s="22"/>
      <c r="E16" s="22"/>
      <c r="F16" s="22"/>
      <c r="G16" s="22"/>
      <c r="H16" s="22"/>
      <c r="I16" s="22"/>
      <c r="J16" s="22"/>
      <c r="K16" s="22"/>
      <c r="L16" s="22"/>
      <c r="M16" s="22"/>
      <c r="N16" s="22"/>
      <c r="O16" s="22"/>
      <c r="P16" s="1951"/>
      <c r="Q16" s="1989"/>
    </row>
    <row r="17" spans="2:18">
      <c r="B17" s="2621"/>
      <c r="C17" s="35"/>
      <c r="D17" s="35"/>
      <c r="E17" s="35"/>
      <c r="F17" s="35"/>
      <c r="G17" s="35"/>
      <c r="H17" s="35"/>
      <c r="I17" s="174"/>
      <c r="J17" s="174"/>
      <c r="K17" s="174"/>
      <c r="L17" s="174"/>
      <c r="M17" s="174"/>
      <c r="N17" s="26"/>
      <c r="O17" s="26"/>
      <c r="P17" s="2624" t="s">
        <v>182</v>
      </c>
      <c r="Q17" s="2625"/>
      <c r="R17" s="31"/>
    </row>
    <row r="18" spans="2:18" ht="15" customHeight="1">
      <c r="B18" s="2621"/>
      <c r="C18" s="35"/>
      <c r="D18" s="35"/>
      <c r="E18" s="35"/>
      <c r="F18" s="35"/>
      <c r="G18" s="35"/>
      <c r="H18" s="35"/>
      <c r="I18" s="174"/>
      <c r="J18" s="174"/>
      <c r="K18" s="174"/>
      <c r="L18" s="26"/>
      <c r="M18" s="26"/>
      <c r="N18" s="26"/>
      <c r="O18" s="26"/>
      <c r="P18" s="2626"/>
      <c r="Q18" s="2627"/>
    </row>
    <row r="19" spans="2:18" ht="15" customHeight="1">
      <c r="B19" s="2621"/>
      <c r="C19" s="35"/>
      <c r="D19" s="35"/>
      <c r="E19" s="35"/>
      <c r="F19" s="35"/>
      <c r="G19" s="35"/>
      <c r="H19" s="35"/>
      <c r="I19" s="174"/>
      <c r="J19" s="174"/>
      <c r="K19" s="174"/>
      <c r="L19" s="26"/>
      <c r="M19" s="26"/>
      <c r="N19" s="26"/>
      <c r="O19" s="26"/>
      <c r="P19" s="1948" t="str">
        <f>B11</f>
        <v>Per capita</v>
      </c>
      <c r="Q19" s="1987"/>
    </row>
    <row r="20" spans="2:18" ht="15" customHeight="1">
      <c r="B20" s="2621"/>
      <c r="C20" s="35"/>
      <c r="D20" s="35"/>
      <c r="E20" s="35"/>
      <c r="F20" s="35"/>
      <c r="G20" s="35"/>
      <c r="H20" s="35"/>
      <c r="I20" s="174"/>
      <c r="J20" s="174"/>
      <c r="K20" s="174"/>
      <c r="L20" s="26"/>
      <c r="M20" s="26"/>
      <c r="N20" s="26"/>
      <c r="O20" s="26"/>
      <c r="P20" s="1951"/>
      <c r="Q20" s="1989"/>
    </row>
    <row r="21" spans="2:18" ht="15" customHeight="1">
      <c r="B21" s="2621"/>
      <c r="C21" s="35"/>
      <c r="D21" s="35"/>
      <c r="E21" s="35"/>
      <c r="F21" s="35"/>
      <c r="G21" s="35"/>
      <c r="H21" s="35"/>
      <c r="I21" s="174"/>
      <c r="J21" s="174"/>
      <c r="K21" s="174"/>
      <c r="L21" s="26"/>
      <c r="M21" s="26"/>
      <c r="N21" s="26"/>
      <c r="O21" s="26"/>
      <c r="P21" s="2615" t="str">
        <f>CONCATENATE(" ",'x Data_2'!C187)</f>
        <v xml:space="preserve"> Atlantis</v>
      </c>
      <c r="Q21" s="2617">
        <f>'x Data_2'!R187</f>
        <v>7.8217271103651171</v>
      </c>
    </row>
    <row r="22" spans="2:18" ht="15" customHeight="1">
      <c r="B22" s="2621"/>
      <c r="C22" s="35"/>
      <c r="D22" s="35"/>
      <c r="E22" s="35"/>
      <c r="F22" s="35"/>
      <c r="G22" s="35"/>
      <c r="H22" s="35"/>
      <c r="I22" s="174"/>
      <c r="J22" s="174"/>
      <c r="K22" s="174"/>
      <c r="L22" s="26"/>
      <c r="M22" s="26"/>
      <c r="N22" s="26"/>
      <c r="O22" s="26"/>
      <c r="P22" s="2616"/>
      <c r="Q22" s="2618"/>
    </row>
    <row r="23" spans="2:18" ht="15" customHeight="1">
      <c r="B23" s="2621"/>
      <c r="C23" s="35"/>
      <c r="D23" s="35"/>
      <c r="E23" s="35"/>
      <c r="F23" s="35"/>
      <c r="G23" s="35"/>
      <c r="H23" s="35"/>
      <c r="I23" s="174"/>
      <c r="J23" s="174"/>
      <c r="K23" s="174"/>
      <c r="L23" s="26"/>
      <c r="M23" s="26"/>
      <c r="N23" s="26"/>
      <c r="O23" s="26"/>
      <c r="P23" s="2615" t="s">
        <v>1913</v>
      </c>
      <c r="Q23" s="2617">
        <f>MIN('x Data_2'!R187:R216)</f>
        <v>1.2332703013791657</v>
      </c>
    </row>
    <row r="24" spans="2:18" ht="15" customHeight="1">
      <c r="B24" s="2621"/>
      <c r="C24" s="35"/>
      <c r="D24" s="35"/>
      <c r="E24" s="35"/>
      <c r="F24" s="35"/>
      <c r="G24" s="35"/>
      <c r="H24" s="35"/>
      <c r="I24" s="174"/>
      <c r="J24" s="174"/>
      <c r="K24" s="174"/>
      <c r="L24" s="26"/>
      <c r="M24" s="26"/>
      <c r="N24" s="26"/>
      <c r="O24" s="26"/>
      <c r="P24" s="2616"/>
      <c r="Q24" s="2618"/>
    </row>
    <row r="25" spans="2:18" ht="15" customHeight="1">
      <c r="B25" s="2621"/>
      <c r="C25" s="35"/>
      <c r="D25" s="35"/>
      <c r="E25" s="35"/>
      <c r="F25" s="35"/>
      <c r="G25" s="35"/>
      <c r="H25" s="35"/>
      <c r="I25" s="174"/>
      <c r="J25" s="174"/>
      <c r="K25" s="174"/>
      <c r="L25" s="26"/>
      <c r="M25" s="26"/>
      <c r="N25" s="26"/>
      <c r="O25" s="26"/>
      <c r="P25" s="2615" t="s">
        <v>1912</v>
      </c>
      <c r="Q25" s="2617">
        <f>MAX('x Data_2'!R187:R216)</f>
        <v>50.051341400262231</v>
      </c>
    </row>
    <row r="26" spans="2:18" ht="15" customHeight="1">
      <c r="B26" s="2621"/>
      <c r="C26" s="35"/>
      <c r="D26" s="35"/>
      <c r="E26" s="35"/>
      <c r="F26" s="35"/>
      <c r="G26" s="35"/>
      <c r="H26" s="35"/>
      <c r="I26" s="174"/>
      <c r="J26" s="174"/>
      <c r="K26" s="174"/>
      <c r="L26" s="26"/>
      <c r="M26" s="26"/>
      <c r="N26" s="26"/>
      <c r="O26" s="26"/>
      <c r="P26" s="2616"/>
      <c r="Q26" s="2618"/>
    </row>
    <row r="27" spans="2:18" ht="15" customHeight="1">
      <c r="B27" s="2621"/>
      <c r="C27" s="35"/>
      <c r="D27" s="35"/>
      <c r="E27" s="35"/>
      <c r="F27" s="35"/>
      <c r="G27" s="35"/>
      <c r="H27" s="35"/>
      <c r="I27" s="174"/>
      <c r="J27" s="174"/>
      <c r="K27" s="174"/>
      <c r="L27" s="26"/>
      <c r="M27" s="26"/>
      <c r="N27" s="26"/>
      <c r="O27" s="26"/>
      <c r="P27" s="2615" t="s">
        <v>1911</v>
      </c>
      <c r="Q27" s="2617">
        <f>AVERAGE('x Data_2'!R187:R216)</f>
        <v>7.1652695092114902</v>
      </c>
    </row>
    <row r="28" spans="2:18" ht="15" customHeight="1">
      <c r="B28" s="2621"/>
      <c r="C28" s="35"/>
      <c r="D28" s="35"/>
      <c r="E28" s="35"/>
      <c r="F28" s="35"/>
      <c r="G28" s="35"/>
      <c r="H28" s="35"/>
      <c r="I28" s="174"/>
      <c r="J28" s="174"/>
      <c r="K28" s="174"/>
      <c r="L28" s="26"/>
      <c r="M28" s="26"/>
      <c r="N28" s="26"/>
      <c r="O28" s="26"/>
      <c r="P28" s="2616"/>
      <c r="Q28" s="2618"/>
    </row>
    <row r="29" spans="2:18" ht="15" customHeight="1">
      <c r="B29" s="2621"/>
      <c r="C29" s="35"/>
      <c r="D29" s="35"/>
      <c r="E29" s="35"/>
      <c r="F29" s="35"/>
      <c r="G29" s="35"/>
      <c r="H29" s="35"/>
      <c r="I29" s="174"/>
      <c r="J29" s="174"/>
      <c r="K29" s="174"/>
      <c r="L29" s="26"/>
      <c r="M29" s="26"/>
      <c r="N29" s="26"/>
      <c r="O29" s="26"/>
      <c r="P29" s="1948" t="s">
        <v>2521</v>
      </c>
      <c r="Q29" s="1987"/>
    </row>
    <row r="30" spans="2:18" ht="15" customHeight="1">
      <c r="B30" s="2621"/>
      <c r="C30" s="35"/>
      <c r="D30" s="35"/>
      <c r="E30" s="35"/>
      <c r="F30" s="35"/>
      <c r="G30" s="35"/>
      <c r="H30" s="35"/>
      <c r="I30" s="174"/>
      <c r="J30" s="174"/>
      <c r="K30" s="174"/>
      <c r="L30" s="26"/>
      <c r="M30" s="26"/>
      <c r="N30" s="26"/>
      <c r="O30" s="26"/>
      <c r="P30" s="1981"/>
      <c r="Q30" s="1991"/>
    </row>
    <row r="31" spans="2:18" ht="15" customHeight="1">
      <c r="B31" s="2621"/>
      <c r="C31" s="35"/>
      <c r="D31" s="35"/>
      <c r="E31" s="35"/>
      <c r="F31" s="35"/>
      <c r="G31" s="35"/>
      <c r="H31" s="35"/>
      <c r="I31" s="174"/>
      <c r="J31" s="174"/>
      <c r="K31" s="174"/>
      <c r="L31" s="26"/>
      <c r="M31" s="26"/>
      <c r="N31" s="26"/>
      <c r="O31" s="26"/>
      <c r="P31" s="486"/>
      <c r="Q31" s="488"/>
    </row>
    <row r="32" spans="2:18" ht="15" customHeight="1">
      <c r="B32" s="2621"/>
      <c r="C32" s="35"/>
      <c r="D32" s="35"/>
      <c r="E32" s="35"/>
      <c r="F32" s="35"/>
      <c r="G32" s="35"/>
      <c r="H32" s="35"/>
      <c r="I32" s="174"/>
      <c r="J32" s="174"/>
      <c r="K32" s="174"/>
      <c r="L32" s="26"/>
      <c r="M32" s="26"/>
      <c r="N32" s="26"/>
      <c r="O32" s="26"/>
      <c r="P32" s="489"/>
      <c r="Q32" s="483"/>
    </row>
    <row r="33" spans="2:18" ht="15" customHeight="1">
      <c r="B33" s="2621"/>
      <c r="C33" s="35"/>
      <c r="D33" s="35"/>
      <c r="E33" s="35"/>
      <c r="F33" s="35"/>
      <c r="G33" s="35"/>
      <c r="H33" s="35"/>
      <c r="I33" s="174"/>
      <c r="J33" s="174"/>
      <c r="K33" s="174"/>
      <c r="L33" s="26"/>
      <c r="M33" s="26"/>
      <c r="N33" s="26"/>
      <c r="O33" s="26"/>
      <c r="P33" s="489"/>
      <c r="Q33" s="483"/>
    </row>
    <row r="34" spans="2:18" ht="15" customHeight="1">
      <c r="B34" s="1486"/>
      <c r="C34" s="35"/>
      <c r="D34" s="35"/>
      <c r="E34" s="35"/>
      <c r="F34" s="35"/>
      <c r="G34" s="35"/>
      <c r="H34" s="35"/>
      <c r="I34" s="174"/>
      <c r="J34" s="174"/>
      <c r="K34" s="174"/>
      <c r="L34" s="26"/>
      <c r="M34" s="26"/>
      <c r="N34" s="26"/>
      <c r="O34" s="26"/>
      <c r="P34" s="489"/>
      <c r="Q34" s="483"/>
    </row>
    <row r="35" spans="2:18" ht="15" customHeight="1">
      <c r="B35" s="1486"/>
      <c r="C35" s="35"/>
      <c r="D35" s="35"/>
      <c r="E35" s="35"/>
      <c r="F35" s="35"/>
      <c r="G35" s="35"/>
      <c r="H35" s="35"/>
      <c r="I35" s="174"/>
      <c r="J35" s="174"/>
      <c r="K35" s="174"/>
      <c r="L35" s="26"/>
      <c r="M35" s="26"/>
      <c r="N35" s="26"/>
      <c r="O35" s="26"/>
      <c r="P35" s="489"/>
      <c r="Q35" s="483"/>
    </row>
    <row r="36" spans="2:18" ht="15" customHeight="1">
      <c r="B36" s="1486"/>
      <c r="C36" s="35"/>
      <c r="D36" s="35"/>
      <c r="E36" s="35"/>
      <c r="F36" s="35"/>
      <c r="G36" s="35"/>
      <c r="H36" s="35"/>
      <c r="I36" s="174"/>
      <c r="J36" s="174"/>
      <c r="K36" s="174"/>
      <c r="L36" s="26"/>
      <c r="M36" s="26"/>
      <c r="N36" s="26"/>
      <c r="O36" s="26"/>
      <c r="P36" s="489"/>
      <c r="Q36" s="483"/>
    </row>
    <row r="37" spans="2:18" ht="15" customHeight="1">
      <c r="B37" s="1485"/>
      <c r="C37" s="35"/>
      <c r="D37" s="35"/>
      <c r="E37" s="35"/>
      <c r="F37" s="35"/>
      <c r="G37" s="35"/>
      <c r="H37" s="35"/>
      <c r="I37" s="174"/>
      <c r="J37" s="174"/>
      <c r="K37" s="174"/>
      <c r="L37" s="26"/>
      <c r="M37" s="26"/>
      <c r="N37" s="26"/>
      <c r="O37" s="26"/>
      <c r="P37" s="489"/>
      <c r="Q37" s="483"/>
    </row>
    <row r="38" spans="2:18" ht="15" customHeight="1">
      <c r="B38" s="1485"/>
      <c r="C38" s="35"/>
      <c r="D38" s="35"/>
      <c r="E38" s="35"/>
      <c r="F38" s="35"/>
      <c r="G38" s="35"/>
      <c r="H38" s="35"/>
      <c r="I38" s="174"/>
      <c r="J38" s="174"/>
      <c r="K38" s="174"/>
      <c r="L38" s="26"/>
      <c r="M38" s="26"/>
      <c r="N38" s="26"/>
      <c r="O38" s="26"/>
      <c r="P38" s="489"/>
      <c r="Q38" s="483"/>
    </row>
    <row r="39" spans="2:18" ht="15" customHeight="1">
      <c r="B39" s="1485"/>
      <c r="C39" s="35"/>
      <c r="D39" s="35"/>
      <c r="E39" s="35"/>
      <c r="F39" s="35"/>
      <c r="G39" s="35"/>
      <c r="H39" s="35"/>
      <c r="I39" s="174"/>
      <c r="J39" s="174"/>
      <c r="K39" s="174"/>
      <c r="L39" s="26"/>
      <c r="M39" s="26"/>
      <c r="N39" s="26"/>
      <c r="O39" s="26"/>
      <c r="P39" s="490"/>
      <c r="Q39" s="485"/>
    </row>
    <row r="40" spans="2:18" ht="15" customHeight="1"/>
    <row r="41" spans="2:18" ht="31" customHeight="1" thickBot="1">
      <c r="B41" s="1496" t="s">
        <v>4</v>
      </c>
      <c r="C41" s="1490"/>
      <c r="D41" s="1490"/>
      <c r="E41" s="1491"/>
      <c r="F41" s="1490"/>
      <c r="G41" s="1490"/>
      <c r="H41" s="1489"/>
      <c r="I41" s="1492"/>
      <c r="J41" s="1492"/>
      <c r="K41" s="1493"/>
      <c r="L41" s="1494"/>
      <c r="M41" s="1494"/>
      <c r="N41" s="1494"/>
      <c r="O41" s="1494"/>
      <c r="P41" s="1494"/>
      <c r="Q41" s="1494"/>
    </row>
    <row r="42" spans="2:18" ht="31" customHeight="1"/>
    <row r="43" spans="2:18" s="15" customFormat="1" ht="15" customHeight="1">
      <c r="B43" s="22"/>
      <c r="C43" s="22"/>
      <c r="D43" s="22"/>
      <c r="E43" s="22"/>
      <c r="F43" s="22"/>
      <c r="G43" s="22"/>
      <c r="H43" s="22"/>
      <c r="I43" s="22"/>
      <c r="J43" s="22"/>
      <c r="K43" s="22"/>
      <c r="L43" s="22"/>
      <c r="M43" s="22"/>
      <c r="N43" s="22"/>
      <c r="O43" s="22"/>
      <c r="P43" s="1948" t="s">
        <v>2520</v>
      </c>
      <c r="Q43" s="1987"/>
    </row>
    <row r="44" spans="2:18" s="15" customFormat="1" ht="15" customHeight="1">
      <c r="B44" s="2621" t="str">
        <f>B11</f>
        <v>Per capita</v>
      </c>
      <c r="C44" s="22"/>
      <c r="D44" s="22"/>
      <c r="E44" s="22"/>
      <c r="F44" s="22"/>
      <c r="G44" s="22"/>
      <c r="H44" s="22"/>
      <c r="I44" s="22"/>
      <c r="J44" s="22"/>
      <c r="K44" s="22"/>
      <c r="L44" s="22"/>
      <c r="M44" s="22"/>
      <c r="N44" s="22"/>
      <c r="O44" s="22"/>
      <c r="P44" s="1951"/>
      <c r="Q44" s="1989"/>
    </row>
    <row r="45" spans="2:18">
      <c r="B45" s="2621"/>
      <c r="C45" s="35"/>
      <c r="D45" s="35"/>
      <c r="E45" s="35"/>
      <c r="F45" s="35"/>
      <c r="G45" s="35"/>
      <c r="H45" s="35"/>
      <c r="I45" s="174"/>
      <c r="J45" s="174"/>
      <c r="K45" s="174"/>
      <c r="L45" s="26"/>
      <c r="M45" s="26"/>
      <c r="N45" s="26"/>
      <c r="O45" s="26"/>
      <c r="P45" s="2624" t="s">
        <v>182</v>
      </c>
      <c r="Q45" s="2625"/>
      <c r="R45" s="31"/>
    </row>
    <row r="46" spans="2:18" ht="15" customHeight="1">
      <c r="B46" s="2621"/>
      <c r="C46" s="35"/>
      <c r="D46" s="35"/>
      <c r="E46" s="35"/>
      <c r="F46" s="35"/>
      <c r="G46" s="35"/>
      <c r="H46" s="35"/>
      <c r="I46" s="174"/>
      <c r="J46" s="174"/>
      <c r="K46" s="174"/>
      <c r="L46" s="26"/>
      <c r="M46" s="26"/>
      <c r="N46" s="26"/>
      <c r="O46" s="26"/>
      <c r="P46" s="2626"/>
      <c r="Q46" s="2627"/>
    </row>
    <row r="47" spans="2:18" ht="15" customHeight="1">
      <c r="B47" s="2621"/>
      <c r="C47" s="35"/>
      <c r="D47" s="35"/>
      <c r="E47" s="35"/>
      <c r="F47" s="35"/>
      <c r="G47" s="35"/>
      <c r="H47" s="35"/>
      <c r="I47" s="174"/>
      <c r="J47" s="174"/>
      <c r="K47" s="174"/>
      <c r="L47" s="26"/>
      <c r="M47" s="26"/>
      <c r="N47" s="26"/>
      <c r="O47" s="26"/>
      <c r="P47" s="1948" t="str">
        <f>B11</f>
        <v>Per capita</v>
      </c>
      <c r="Q47" s="1987"/>
    </row>
    <row r="48" spans="2:18" ht="15" customHeight="1">
      <c r="B48" s="2621"/>
      <c r="C48" s="35"/>
      <c r="D48" s="35"/>
      <c r="E48" s="35"/>
      <c r="F48" s="35"/>
      <c r="G48" s="35"/>
      <c r="H48" s="35"/>
      <c r="I48" s="174"/>
      <c r="J48" s="174"/>
      <c r="K48" s="174"/>
      <c r="L48" s="26"/>
      <c r="M48" s="26"/>
      <c r="N48" s="26"/>
      <c r="O48" s="26"/>
      <c r="P48" s="1951"/>
      <c r="Q48" s="1989"/>
    </row>
    <row r="49" spans="2:17" ht="15" customHeight="1">
      <c r="B49" s="2621"/>
      <c r="C49" s="35"/>
      <c r="D49" s="35"/>
      <c r="E49" s="35"/>
      <c r="F49" s="35"/>
      <c r="G49" s="35"/>
      <c r="H49" s="35"/>
      <c r="I49" s="174"/>
      <c r="J49" s="174"/>
      <c r="K49" s="174"/>
      <c r="L49" s="26"/>
      <c r="M49" s="26"/>
      <c r="N49" s="26"/>
      <c r="O49" s="26"/>
      <c r="P49" s="2615" t="str">
        <f>CONCATENATE(" ",'x Data_2'!$C$187)</f>
        <v xml:space="preserve"> Atlantis</v>
      </c>
      <c r="Q49" s="2622">
        <f>'x Data_2'!AB187</f>
        <v>4.0065710028388573</v>
      </c>
    </row>
    <row r="50" spans="2:17" ht="15" customHeight="1">
      <c r="B50" s="2621"/>
      <c r="C50" s="35"/>
      <c r="D50" s="35"/>
      <c r="E50" s="35"/>
      <c r="F50" s="35"/>
      <c r="G50" s="35"/>
      <c r="H50" s="35"/>
      <c r="I50" s="174"/>
      <c r="J50" s="174"/>
      <c r="K50" s="174"/>
      <c r="L50" s="26"/>
      <c r="M50" s="26"/>
      <c r="N50" s="26"/>
      <c r="O50" s="26"/>
      <c r="P50" s="2616"/>
      <c r="Q50" s="2623"/>
    </row>
    <row r="51" spans="2:17" ht="15" customHeight="1">
      <c r="B51" s="2621"/>
      <c r="C51" s="35"/>
      <c r="D51" s="35"/>
      <c r="E51" s="35"/>
      <c r="F51" s="35"/>
      <c r="G51" s="35"/>
      <c r="H51" s="35"/>
      <c r="I51" s="174"/>
      <c r="J51" s="174"/>
      <c r="K51" s="174"/>
      <c r="L51" s="26"/>
      <c r="M51" s="26"/>
      <c r="N51" s="26"/>
      <c r="O51" s="26"/>
      <c r="P51" s="2615" t="s">
        <v>1913</v>
      </c>
      <c r="Q51" s="2622">
        <f>MIN('x Data_2'!AB187:AB216)</f>
        <v>0.81414692383559362</v>
      </c>
    </row>
    <row r="52" spans="2:17" ht="15" customHeight="1">
      <c r="B52" s="2621"/>
      <c r="C52" s="35"/>
      <c r="D52" s="35"/>
      <c r="E52" s="35"/>
      <c r="F52" s="35"/>
      <c r="G52" s="35"/>
      <c r="H52" s="35"/>
      <c r="I52" s="174"/>
      <c r="J52" s="174"/>
      <c r="K52" s="174"/>
      <c r="L52" s="26"/>
      <c r="M52" s="26"/>
      <c r="N52" s="26"/>
      <c r="O52" s="26"/>
      <c r="P52" s="2616"/>
      <c r="Q52" s="2623"/>
    </row>
    <row r="53" spans="2:17" ht="15" customHeight="1">
      <c r="B53" s="2621"/>
      <c r="C53" s="35"/>
      <c r="D53" s="35"/>
      <c r="E53" s="35"/>
      <c r="F53" s="35"/>
      <c r="G53" s="35"/>
      <c r="H53" s="35"/>
      <c r="I53" s="174"/>
      <c r="J53" s="174"/>
      <c r="K53" s="174"/>
      <c r="L53" s="26"/>
      <c r="M53" s="26"/>
      <c r="N53" s="26"/>
      <c r="O53" s="26"/>
      <c r="P53" s="2615" t="s">
        <v>1912</v>
      </c>
      <c r="Q53" s="2622">
        <f>MAX('x Data_2'!AB187:AB216)</f>
        <v>43.099631651166384</v>
      </c>
    </row>
    <row r="54" spans="2:17" ht="15" customHeight="1">
      <c r="B54" s="2621"/>
      <c r="C54" s="35"/>
      <c r="D54" s="35"/>
      <c r="E54" s="35"/>
      <c r="F54" s="35"/>
      <c r="G54" s="35"/>
      <c r="H54" s="35"/>
      <c r="I54" s="174"/>
      <c r="J54" s="174"/>
      <c r="K54" s="174"/>
      <c r="L54" s="26"/>
      <c r="M54" s="26"/>
      <c r="N54" s="26"/>
      <c r="O54" s="26"/>
      <c r="P54" s="2616"/>
      <c r="Q54" s="2623"/>
    </row>
    <row r="55" spans="2:17" ht="15" customHeight="1">
      <c r="B55" s="2621"/>
      <c r="C55" s="35"/>
      <c r="D55" s="35"/>
      <c r="E55" s="35"/>
      <c r="F55" s="35"/>
      <c r="G55" s="35"/>
      <c r="H55" s="35"/>
      <c r="I55" s="174"/>
      <c r="J55" s="174"/>
      <c r="K55" s="174"/>
      <c r="L55" s="26"/>
      <c r="M55" s="26"/>
      <c r="N55" s="26"/>
      <c r="O55" s="26"/>
      <c r="P55" s="2615" t="s">
        <v>1911</v>
      </c>
      <c r="Q55" s="2622">
        <f>AVERAGE('x Data_2'!AB187:AB216)</f>
        <v>5.1788560235120951</v>
      </c>
    </row>
    <row r="56" spans="2:17" ht="15" customHeight="1">
      <c r="B56" s="2621"/>
      <c r="C56" s="35"/>
      <c r="D56" s="35"/>
      <c r="E56" s="35"/>
      <c r="F56" s="35"/>
      <c r="G56" s="35"/>
      <c r="H56" s="35"/>
      <c r="I56" s="174"/>
      <c r="J56" s="174"/>
      <c r="K56" s="174"/>
      <c r="L56" s="26"/>
      <c r="M56" s="26"/>
      <c r="N56" s="26"/>
      <c r="O56" s="26"/>
      <c r="P56" s="2616"/>
      <c r="Q56" s="2623"/>
    </row>
    <row r="57" spans="2:17" ht="15" customHeight="1">
      <c r="B57" s="2621"/>
      <c r="C57" s="35"/>
      <c r="D57" s="35"/>
      <c r="E57" s="35"/>
      <c r="F57" s="35"/>
      <c r="G57" s="35"/>
      <c r="H57" s="35"/>
      <c r="I57" s="174"/>
      <c r="J57" s="174"/>
      <c r="K57" s="174"/>
      <c r="L57" s="26"/>
      <c r="M57" s="26"/>
      <c r="N57" s="26"/>
      <c r="O57" s="26"/>
      <c r="P57" s="1948" t="s">
        <v>2521</v>
      </c>
      <c r="Q57" s="1987"/>
    </row>
    <row r="58" spans="2:17" ht="15" customHeight="1">
      <c r="B58" s="2621"/>
      <c r="C58" s="35"/>
      <c r="D58" s="35"/>
      <c r="E58" s="35"/>
      <c r="F58" s="35"/>
      <c r="G58" s="35"/>
      <c r="H58" s="35"/>
      <c r="I58" s="174"/>
      <c r="J58" s="174"/>
      <c r="K58" s="174"/>
      <c r="L58" s="26"/>
      <c r="M58" s="26"/>
      <c r="N58" s="26"/>
      <c r="O58" s="26"/>
      <c r="P58" s="1981"/>
      <c r="Q58" s="1991"/>
    </row>
    <row r="59" spans="2:17" ht="15" customHeight="1">
      <c r="B59" s="2621"/>
      <c r="C59" s="35"/>
      <c r="D59" s="35"/>
      <c r="E59" s="35"/>
      <c r="F59" s="35"/>
      <c r="G59" s="35"/>
      <c r="H59" s="35"/>
      <c r="I59" s="174"/>
      <c r="J59" s="174"/>
      <c r="K59" s="174"/>
      <c r="L59" s="26"/>
      <c r="M59" s="26"/>
      <c r="N59" s="26"/>
      <c r="O59" s="26"/>
      <c r="P59" s="486"/>
      <c r="Q59" s="488"/>
    </row>
    <row r="60" spans="2:17" ht="15" customHeight="1">
      <c r="B60" s="2621"/>
      <c r="C60" s="35"/>
      <c r="D60" s="35"/>
      <c r="E60" s="35"/>
      <c r="F60" s="35"/>
      <c r="G60" s="35"/>
      <c r="H60" s="35"/>
      <c r="I60" s="174"/>
      <c r="J60" s="174"/>
      <c r="K60" s="174"/>
      <c r="L60" s="26"/>
      <c r="M60" s="26"/>
      <c r="N60" s="26"/>
      <c r="O60" s="26"/>
      <c r="P60" s="489"/>
      <c r="Q60" s="483"/>
    </row>
    <row r="61" spans="2:17" ht="15" customHeight="1">
      <c r="B61" s="2621"/>
      <c r="C61" s="35"/>
      <c r="D61" s="35"/>
      <c r="E61" s="35"/>
      <c r="F61" s="35"/>
      <c r="G61" s="35"/>
      <c r="H61" s="35"/>
      <c r="I61" s="174"/>
      <c r="J61" s="174"/>
      <c r="K61" s="174"/>
      <c r="L61" s="26"/>
      <c r="M61" s="26"/>
      <c r="N61" s="26"/>
      <c r="O61" s="26"/>
      <c r="P61" s="489"/>
      <c r="Q61" s="483"/>
    </row>
    <row r="62" spans="2:17" ht="15" customHeight="1">
      <c r="B62" s="1486"/>
      <c r="C62" s="35"/>
      <c r="D62" s="35"/>
      <c r="E62" s="35"/>
      <c r="F62" s="35"/>
      <c r="G62" s="35"/>
      <c r="H62" s="35"/>
      <c r="I62" s="174"/>
      <c r="J62" s="174"/>
      <c r="K62" s="174"/>
      <c r="L62" s="26"/>
      <c r="M62" s="26"/>
      <c r="N62" s="26"/>
      <c r="O62" s="26"/>
      <c r="P62" s="489"/>
      <c r="Q62" s="483"/>
    </row>
    <row r="63" spans="2:17" ht="15" customHeight="1">
      <c r="B63" s="1486"/>
      <c r="C63" s="35"/>
      <c r="D63" s="35"/>
      <c r="E63" s="35"/>
      <c r="F63" s="35"/>
      <c r="G63" s="35"/>
      <c r="H63" s="35"/>
      <c r="I63" s="174"/>
      <c r="J63" s="174"/>
      <c r="K63" s="174"/>
      <c r="L63" s="26"/>
      <c r="M63" s="26"/>
      <c r="N63" s="26"/>
      <c r="O63" s="26"/>
      <c r="P63" s="489"/>
      <c r="Q63" s="483"/>
    </row>
    <row r="64" spans="2:17" ht="15" customHeight="1">
      <c r="B64" s="1486"/>
      <c r="C64" s="35"/>
      <c r="D64" s="35"/>
      <c r="E64" s="35"/>
      <c r="F64" s="35"/>
      <c r="G64" s="35"/>
      <c r="H64" s="35"/>
      <c r="I64" s="174"/>
      <c r="J64" s="174"/>
      <c r="K64" s="174"/>
      <c r="L64" s="26"/>
      <c r="M64" s="26"/>
      <c r="N64" s="26"/>
      <c r="O64" s="26"/>
      <c r="P64" s="489"/>
      <c r="Q64" s="483"/>
    </row>
    <row r="65" spans="2:18" ht="15" customHeight="1">
      <c r="B65" s="1485"/>
      <c r="C65" s="35"/>
      <c r="D65" s="35"/>
      <c r="E65" s="35"/>
      <c r="F65" s="35"/>
      <c r="G65" s="35"/>
      <c r="H65" s="35"/>
      <c r="I65" s="174"/>
      <c r="J65" s="174"/>
      <c r="K65" s="174"/>
      <c r="L65" s="26"/>
      <c r="M65" s="26"/>
      <c r="N65" s="26"/>
      <c r="O65" s="26"/>
      <c r="P65" s="489"/>
      <c r="Q65" s="483"/>
    </row>
    <row r="66" spans="2:18" ht="15" customHeight="1">
      <c r="B66" s="1485"/>
      <c r="C66" s="35"/>
      <c r="D66" s="35"/>
      <c r="E66" s="35"/>
      <c r="F66" s="35"/>
      <c r="G66" s="35"/>
      <c r="H66" s="35"/>
      <c r="I66" s="174"/>
      <c r="J66" s="174"/>
      <c r="K66" s="174"/>
      <c r="L66" s="26"/>
      <c r="M66" s="26"/>
      <c r="N66" s="26"/>
      <c r="O66" s="26"/>
      <c r="P66" s="489"/>
      <c r="Q66" s="483"/>
    </row>
    <row r="67" spans="2:18" ht="15" customHeight="1">
      <c r="B67" s="1485"/>
      <c r="C67" s="35"/>
      <c r="D67" s="35"/>
      <c r="E67" s="35"/>
      <c r="F67" s="35"/>
      <c r="G67" s="35"/>
      <c r="H67" s="35"/>
      <c r="I67" s="174"/>
      <c r="J67" s="174"/>
      <c r="K67" s="174"/>
      <c r="L67" s="26"/>
      <c r="M67" s="26"/>
      <c r="N67" s="26"/>
      <c r="O67" s="26"/>
      <c r="P67" s="490"/>
      <c r="Q67" s="485"/>
    </row>
    <row r="68" spans="2:18" ht="15" customHeight="1"/>
    <row r="69" spans="2:18" ht="31" customHeight="1" thickBot="1">
      <c r="B69" s="1496" t="s">
        <v>15</v>
      </c>
      <c r="C69" s="1490"/>
      <c r="D69" s="1490"/>
      <c r="E69" s="1491"/>
      <c r="F69" s="1490"/>
      <c r="G69" s="1490"/>
      <c r="H69" s="1489"/>
      <c r="I69" s="1492"/>
      <c r="J69" s="1492"/>
      <c r="K69" s="1493"/>
      <c r="L69" s="1494"/>
      <c r="M69" s="1494"/>
      <c r="N69" s="1494"/>
      <c r="O69" s="1494"/>
      <c r="P69" s="1494"/>
      <c r="Q69" s="1494"/>
    </row>
    <row r="70" spans="2:18" ht="31" customHeight="1"/>
    <row r="71" spans="2:18" s="15" customFormat="1" ht="15" customHeight="1">
      <c r="B71" s="22"/>
      <c r="C71" s="22"/>
      <c r="D71" s="22"/>
      <c r="E71" s="22"/>
      <c r="F71" s="22"/>
      <c r="G71" s="22"/>
      <c r="H71" s="22"/>
      <c r="I71" s="22"/>
      <c r="J71" s="22"/>
      <c r="K71" s="22"/>
      <c r="L71" s="22"/>
      <c r="M71" s="22"/>
      <c r="N71" s="22"/>
      <c r="O71" s="483"/>
      <c r="P71" s="1949" t="s">
        <v>1705</v>
      </c>
      <c r="Q71" s="1987"/>
    </row>
    <row r="72" spans="2:18" s="15" customFormat="1" ht="15" customHeight="1">
      <c r="B72" s="649"/>
      <c r="C72" s="22"/>
      <c r="D72" s="22"/>
      <c r="E72" s="22"/>
      <c r="F72" s="22"/>
      <c r="G72" s="22"/>
      <c r="H72" s="22"/>
      <c r="I72" s="22"/>
      <c r="J72" s="22"/>
      <c r="K72" s="22"/>
      <c r="L72" s="22"/>
      <c r="M72" s="22"/>
      <c r="N72" s="22"/>
      <c r="O72" s="483"/>
      <c r="P72" s="1952"/>
      <c r="Q72" s="1989"/>
    </row>
    <row r="73" spans="2:18">
      <c r="B73" s="1485"/>
      <c r="C73" s="35"/>
      <c r="D73" s="35"/>
      <c r="E73" s="35"/>
      <c r="F73" s="35"/>
      <c r="G73" s="35"/>
      <c r="H73" s="35"/>
      <c r="I73" s="174"/>
      <c r="J73" s="174"/>
      <c r="K73" s="174"/>
      <c r="L73" s="26"/>
      <c r="M73" s="26"/>
      <c r="N73" s="26"/>
      <c r="O73" s="1097"/>
      <c r="P73" s="2624" t="s">
        <v>182</v>
      </c>
      <c r="Q73" s="2625"/>
      <c r="R73" s="31"/>
    </row>
    <row r="74" spans="2:18" ht="15" customHeight="1">
      <c r="B74" s="2621" t="str">
        <f>B11</f>
        <v>Per capita</v>
      </c>
      <c r="C74" s="35"/>
      <c r="D74" s="35"/>
      <c r="E74" s="35"/>
      <c r="F74" s="35"/>
      <c r="G74" s="35"/>
      <c r="H74" s="35"/>
      <c r="I74" s="174"/>
      <c r="J74" s="174"/>
      <c r="K74" s="174"/>
      <c r="L74" s="26"/>
      <c r="M74" s="26"/>
      <c r="N74" s="26"/>
      <c r="O74" s="1097"/>
      <c r="P74" s="2626"/>
      <c r="Q74" s="2627"/>
    </row>
    <row r="75" spans="2:18" ht="15" customHeight="1">
      <c r="B75" s="2621"/>
      <c r="C75" s="35"/>
      <c r="D75" s="35"/>
      <c r="E75" s="35"/>
      <c r="F75" s="35"/>
      <c r="G75" s="35"/>
      <c r="H75" s="35"/>
      <c r="I75" s="174"/>
      <c r="J75" s="174"/>
      <c r="K75" s="174"/>
      <c r="L75" s="26"/>
      <c r="M75" s="26"/>
      <c r="N75" s="26"/>
      <c r="O75" s="1097"/>
      <c r="P75" s="1948" t="str">
        <f>B11</f>
        <v>Per capita</v>
      </c>
      <c r="Q75" s="1987"/>
    </row>
    <row r="76" spans="2:18" ht="15" customHeight="1">
      <c r="B76" s="2621"/>
      <c r="C76" s="35"/>
      <c r="D76" s="35"/>
      <c r="E76" s="35"/>
      <c r="F76" s="35"/>
      <c r="G76" s="35"/>
      <c r="H76" s="35"/>
      <c r="I76" s="174"/>
      <c r="J76" s="174"/>
      <c r="K76" s="174"/>
      <c r="L76" s="26"/>
      <c r="M76" s="26"/>
      <c r="N76" s="26"/>
      <c r="O76" s="1097"/>
      <c r="P76" s="1951"/>
      <c r="Q76" s="1989"/>
    </row>
    <row r="77" spans="2:18" ht="15" customHeight="1">
      <c r="B77" s="2621"/>
      <c r="C77" s="35"/>
      <c r="D77" s="35"/>
      <c r="E77" s="35"/>
      <c r="F77" s="35"/>
      <c r="G77" s="35"/>
      <c r="H77" s="35"/>
      <c r="I77" s="174"/>
      <c r="J77" s="174"/>
      <c r="K77" s="174"/>
      <c r="L77" s="26"/>
      <c r="M77" s="26"/>
      <c r="N77" s="26"/>
      <c r="O77" s="1097"/>
      <c r="P77" s="2615" t="str">
        <f>CONCATENATE(" ",'x Data_2'!$C$187)</f>
        <v xml:space="preserve"> Atlantis</v>
      </c>
      <c r="Q77" s="2617">
        <f>'x Data_2'!AI187</f>
        <v>2.4484894408595927</v>
      </c>
    </row>
    <row r="78" spans="2:18" ht="15" customHeight="1">
      <c r="B78" s="2621"/>
      <c r="C78" s="35"/>
      <c r="D78" s="35"/>
      <c r="E78" s="35"/>
      <c r="F78" s="35"/>
      <c r="G78" s="35"/>
      <c r="H78" s="35"/>
      <c r="I78" s="174"/>
      <c r="J78" s="174"/>
      <c r="K78" s="174"/>
      <c r="L78" s="26"/>
      <c r="M78" s="26"/>
      <c r="N78" s="26"/>
      <c r="O78" s="1097"/>
      <c r="P78" s="2616"/>
      <c r="Q78" s="2618"/>
    </row>
    <row r="79" spans="2:18" ht="15" customHeight="1">
      <c r="B79" s="2621"/>
      <c r="C79" s="35"/>
      <c r="D79" s="35"/>
      <c r="E79" s="35"/>
      <c r="F79" s="35"/>
      <c r="G79" s="35"/>
      <c r="H79" s="35"/>
      <c r="I79" s="174"/>
      <c r="J79" s="174"/>
      <c r="K79" s="174"/>
      <c r="L79" s="26"/>
      <c r="M79" s="26"/>
      <c r="N79" s="26"/>
      <c r="O79" s="1097"/>
      <c r="P79" s="2615" t="s">
        <v>1913</v>
      </c>
      <c r="Q79" s="2617">
        <f>MIN('x Data_2'!AI187:AI216)</f>
        <v>0.26290490901771951</v>
      </c>
    </row>
    <row r="80" spans="2:18" ht="15" customHeight="1">
      <c r="B80" s="2621"/>
      <c r="C80" s="35"/>
      <c r="D80" s="35"/>
      <c r="E80" s="35"/>
      <c r="F80" s="35"/>
      <c r="G80" s="35"/>
      <c r="H80" s="35"/>
      <c r="I80" s="174"/>
      <c r="J80" s="174"/>
      <c r="K80" s="174"/>
      <c r="L80" s="26"/>
      <c r="M80" s="26"/>
      <c r="N80" s="26"/>
      <c r="O80" s="1097"/>
      <c r="P80" s="2616"/>
      <c r="Q80" s="2618"/>
    </row>
    <row r="81" spans="2:17" ht="15" customHeight="1">
      <c r="B81" s="2621"/>
      <c r="C81" s="35"/>
      <c r="D81" s="35"/>
      <c r="E81" s="35"/>
      <c r="F81" s="35"/>
      <c r="G81" s="35"/>
      <c r="H81" s="35"/>
      <c r="I81" s="174"/>
      <c r="J81" s="174"/>
      <c r="K81" s="174"/>
      <c r="L81" s="26"/>
      <c r="M81" s="26"/>
      <c r="N81" s="26"/>
      <c r="O81" s="1097"/>
      <c r="P81" s="2615" t="s">
        <v>1912</v>
      </c>
      <c r="Q81" s="2617">
        <f>MAX('x Data_2'!AI187:AI216)</f>
        <v>5.6477992785167039</v>
      </c>
    </row>
    <row r="82" spans="2:17" ht="15" customHeight="1">
      <c r="B82" s="2621"/>
      <c r="C82" s="35"/>
      <c r="D82" s="35"/>
      <c r="E82" s="35"/>
      <c r="F82" s="35"/>
      <c r="G82" s="35"/>
      <c r="H82" s="35"/>
      <c r="I82" s="174"/>
      <c r="J82" s="174"/>
      <c r="K82" s="174"/>
      <c r="L82" s="26"/>
      <c r="M82" s="26"/>
      <c r="N82" s="26"/>
      <c r="O82" s="1097"/>
      <c r="P82" s="2616"/>
      <c r="Q82" s="2618"/>
    </row>
    <row r="83" spans="2:17" ht="15" customHeight="1">
      <c r="B83" s="2621"/>
      <c r="C83" s="35"/>
      <c r="D83" s="35"/>
      <c r="E83" s="35"/>
      <c r="F83" s="35"/>
      <c r="G83" s="35"/>
      <c r="H83" s="35"/>
      <c r="I83" s="174"/>
      <c r="J83" s="174"/>
      <c r="K83" s="174"/>
      <c r="L83" s="26"/>
      <c r="M83" s="26"/>
      <c r="N83" s="26"/>
      <c r="O83" s="1097"/>
      <c r="P83" s="2615" t="s">
        <v>1911</v>
      </c>
      <c r="Q83" s="2617">
        <f>AVERAGE('x Data_2'!AI187:AI216)</f>
        <v>1.7544293553452035</v>
      </c>
    </row>
    <row r="84" spans="2:17" ht="15" customHeight="1">
      <c r="B84" s="2621"/>
      <c r="C84" s="35"/>
      <c r="D84" s="35"/>
      <c r="E84" s="35"/>
      <c r="F84" s="35"/>
      <c r="G84" s="35"/>
      <c r="H84" s="35"/>
      <c r="I84" s="174"/>
      <c r="J84" s="174"/>
      <c r="K84" s="174"/>
      <c r="L84" s="26"/>
      <c r="M84" s="26"/>
      <c r="N84" s="26"/>
      <c r="O84" s="1097"/>
      <c r="P84" s="2616"/>
      <c r="Q84" s="2618"/>
    </row>
    <row r="85" spans="2:17" ht="15" customHeight="1">
      <c r="B85" s="2621"/>
      <c r="C85" s="35"/>
      <c r="D85" s="35"/>
      <c r="E85" s="35"/>
      <c r="F85" s="35"/>
      <c r="G85" s="35"/>
      <c r="H85" s="35"/>
      <c r="I85" s="174"/>
      <c r="J85" s="174"/>
      <c r="K85" s="174"/>
      <c r="L85" s="26"/>
      <c r="M85" s="26"/>
      <c r="N85" s="26"/>
      <c r="O85" s="1097"/>
      <c r="P85" s="1948" t="s">
        <v>2521</v>
      </c>
      <c r="Q85" s="1987"/>
    </row>
    <row r="86" spans="2:17" ht="15" customHeight="1">
      <c r="B86" s="2621"/>
      <c r="C86" s="35"/>
      <c r="D86" s="35"/>
      <c r="E86" s="35"/>
      <c r="F86" s="35"/>
      <c r="G86" s="35"/>
      <c r="H86" s="35"/>
      <c r="I86" s="174"/>
      <c r="J86" s="174"/>
      <c r="K86" s="174"/>
      <c r="L86" s="26"/>
      <c r="M86" s="26"/>
      <c r="N86" s="26"/>
      <c r="O86" s="1097"/>
      <c r="P86" s="1981"/>
      <c r="Q86" s="1991"/>
    </row>
    <row r="87" spans="2:17" ht="15" customHeight="1">
      <c r="B87" s="2621"/>
      <c r="C87" s="35"/>
      <c r="D87" s="35"/>
      <c r="E87" s="35"/>
      <c r="F87" s="35"/>
      <c r="G87" s="35"/>
      <c r="H87" s="35"/>
      <c r="I87" s="174"/>
      <c r="J87" s="174"/>
      <c r="K87" s="174"/>
      <c r="L87" s="26"/>
      <c r="M87" s="26"/>
      <c r="N87" s="26"/>
      <c r="O87" s="1097"/>
      <c r="P87" s="486"/>
      <c r="Q87" s="488"/>
    </row>
    <row r="88" spans="2:17" ht="15" customHeight="1">
      <c r="B88" s="2621"/>
      <c r="C88" s="35"/>
      <c r="D88" s="35"/>
      <c r="E88" s="35"/>
      <c r="F88" s="35"/>
      <c r="G88" s="35"/>
      <c r="H88" s="35"/>
      <c r="I88" s="174"/>
      <c r="J88" s="174"/>
      <c r="K88" s="174"/>
      <c r="L88" s="26"/>
      <c r="M88" s="26"/>
      <c r="N88" s="26"/>
      <c r="O88" s="1097"/>
      <c r="P88" s="489"/>
      <c r="Q88" s="483"/>
    </row>
    <row r="89" spans="2:17" ht="15" customHeight="1">
      <c r="B89" s="2621"/>
      <c r="C89" s="35"/>
      <c r="D89" s="35"/>
      <c r="E89" s="35"/>
      <c r="F89" s="35"/>
      <c r="G89" s="35"/>
      <c r="H89" s="35"/>
      <c r="I89" s="174"/>
      <c r="J89" s="174"/>
      <c r="K89" s="174"/>
      <c r="L89" s="26"/>
      <c r="M89" s="26"/>
      <c r="N89" s="26"/>
      <c r="O89" s="1097"/>
      <c r="P89" s="489"/>
      <c r="Q89" s="483"/>
    </row>
    <row r="90" spans="2:17" ht="15" customHeight="1">
      <c r="B90" s="2621"/>
      <c r="C90" s="35"/>
      <c r="D90" s="35"/>
      <c r="E90" s="35"/>
      <c r="F90" s="35"/>
      <c r="G90" s="35"/>
      <c r="H90" s="35"/>
      <c r="I90" s="174"/>
      <c r="J90" s="174"/>
      <c r="K90" s="174"/>
      <c r="L90" s="26"/>
      <c r="M90" s="26"/>
      <c r="N90" s="26"/>
      <c r="O90" s="1097"/>
      <c r="P90" s="489"/>
      <c r="Q90" s="483"/>
    </row>
    <row r="91" spans="2:17" ht="15" customHeight="1">
      <c r="B91" s="2621"/>
      <c r="C91" s="35"/>
      <c r="D91" s="35"/>
      <c r="E91" s="35"/>
      <c r="F91" s="35"/>
      <c r="G91" s="35"/>
      <c r="H91" s="35"/>
      <c r="I91" s="174"/>
      <c r="J91" s="174"/>
      <c r="K91" s="174"/>
      <c r="L91" s="26"/>
      <c r="M91" s="26"/>
      <c r="N91" s="26"/>
      <c r="O91" s="1097"/>
      <c r="P91" s="489"/>
      <c r="Q91" s="483"/>
    </row>
    <row r="92" spans="2:17" ht="15" customHeight="1">
      <c r="B92" s="2621"/>
      <c r="C92" s="35"/>
      <c r="D92" s="35"/>
      <c r="E92" s="35"/>
      <c r="F92" s="35"/>
      <c r="G92" s="35"/>
      <c r="H92" s="35"/>
      <c r="I92" s="174"/>
      <c r="J92" s="174"/>
      <c r="K92" s="174"/>
      <c r="L92" s="26"/>
      <c r="M92" s="26"/>
      <c r="N92" s="26"/>
      <c r="O92" s="1097"/>
      <c r="P92" s="489"/>
      <c r="Q92" s="483"/>
    </row>
    <row r="93" spans="2:17" ht="15" customHeight="1">
      <c r="B93" s="1485"/>
      <c r="C93" s="35"/>
      <c r="D93" s="35"/>
      <c r="E93" s="35"/>
      <c r="F93" s="35"/>
      <c r="G93" s="35"/>
      <c r="H93" s="35"/>
      <c r="I93" s="174"/>
      <c r="J93" s="174"/>
      <c r="K93" s="174"/>
      <c r="L93" s="26"/>
      <c r="M93" s="26"/>
      <c r="N93" s="26"/>
      <c r="O93" s="1097"/>
      <c r="P93" s="489"/>
      <c r="Q93" s="483"/>
    </row>
    <row r="94" spans="2:17" ht="15" customHeight="1">
      <c r="B94" s="1485"/>
      <c r="C94" s="35"/>
      <c r="D94" s="35"/>
      <c r="E94" s="35"/>
      <c r="F94" s="35"/>
      <c r="G94" s="35"/>
      <c r="H94" s="35"/>
      <c r="I94" s="174"/>
      <c r="J94" s="174"/>
      <c r="K94" s="174"/>
      <c r="L94" s="26"/>
      <c r="M94" s="26"/>
      <c r="N94" s="26"/>
      <c r="O94" s="1097"/>
      <c r="P94" s="489"/>
      <c r="Q94" s="483"/>
    </row>
    <row r="95" spans="2:17" ht="15" customHeight="1">
      <c r="B95" s="1485"/>
      <c r="C95" s="35"/>
      <c r="D95" s="35"/>
      <c r="E95" s="35"/>
      <c r="F95" s="35"/>
      <c r="G95" s="35"/>
      <c r="H95" s="35"/>
      <c r="I95" s="174"/>
      <c r="J95" s="174"/>
      <c r="K95" s="174"/>
      <c r="L95" s="26"/>
      <c r="M95" s="26"/>
      <c r="N95" s="26"/>
      <c r="O95" s="1097"/>
      <c r="P95" s="490"/>
      <c r="Q95" s="485"/>
    </row>
    <row r="96" spans="2:17" ht="15" customHeight="1"/>
    <row r="97" spans="2:18" ht="30" customHeight="1" thickBot="1">
      <c r="B97" s="1496" t="s">
        <v>21</v>
      </c>
      <c r="C97" s="1490"/>
      <c r="D97" s="1490"/>
      <c r="E97" s="1491"/>
      <c r="F97" s="1490"/>
      <c r="G97" s="1490"/>
      <c r="H97" s="1489"/>
      <c r="I97" s="1492"/>
      <c r="J97" s="1492"/>
      <c r="K97" s="1493"/>
      <c r="L97" s="1494"/>
      <c r="M97" s="1494"/>
      <c r="N97" s="1494"/>
      <c r="O97" s="1494"/>
      <c r="P97" s="1494"/>
      <c r="Q97" s="1494"/>
    </row>
    <row r="98" spans="2:18" ht="30" customHeight="1"/>
    <row r="99" spans="2:18" s="15" customFormat="1" ht="15" customHeight="1">
      <c r="B99" s="22"/>
      <c r="C99" s="22"/>
      <c r="D99" s="22"/>
      <c r="E99" s="22"/>
      <c r="F99" s="22"/>
      <c r="G99" s="22"/>
      <c r="H99" s="22"/>
      <c r="I99" s="22"/>
      <c r="J99" s="22"/>
      <c r="K99" s="22"/>
      <c r="L99" s="22"/>
      <c r="M99" s="22"/>
      <c r="N99" s="22"/>
      <c r="O99" s="483"/>
      <c r="P99" s="1949" t="s">
        <v>1705</v>
      </c>
      <c r="Q99" s="1987"/>
    </row>
    <row r="100" spans="2:18" s="15" customFormat="1" ht="15" customHeight="1">
      <c r="B100" s="2621" t="str">
        <f>B11</f>
        <v>Per capita</v>
      </c>
      <c r="C100" s="22"/>
      <c r="D100" s="22"/>
      <c r="E100" s="22"/>
      <c r="F100" s="22"/>
      <c r="G100" s="22"/>
      <c r="H100" s="22"/>
      <c r="I100" s="22"/>
      <c r="J100" s="22"/>
      <c r="K100" s="22"/>
      <c r="L100" s="22"/>
      <c r="M100" s="22"/>
      <c r="N100" s="22"/>
      <c r="O100" s="483"/>
      <c r="P100" s="1952"/>
      <c r="Q100" s="1989"/>
    </row>
    <row r="101" spans="2:18">
      <c r="B101" s="2621"/>
      <c r="C101" s="35"/>
      <c r="D101" s="35"/>
      <c r="E101" s="35"/>
      <c r="F101" s="35"/>
      <c r="G101" s="35"/>
      <c r="H101" s="35"/>
      <c r="I101" s="174"/>
      <c r="J101" s="174"/>
      <c r="K101" s="174"/>
      <c r="L101" s="26"/>
      <c r="M101" s="26"/>
      <c r="N101" s="26"/>
      <c r="O101" s="1097"/>
      <c r="P101" s="2624" t="s">
        <v>775</v>
      </c>
      <c r="Q101" s="2625"/>
      <c r="R101" s="31"/>
    </row>
    <row r="102" spans="2:18" ht="15" customHeight="1">
      <c r="B102" s="2621"/>
      <c r="C102" s="35"/>
      <c r="D102" s="35"/>
      <c r="E102" s="35"/>
      <c r="F102" s="35"/>
      <c r="G102" s="35"/>
      <c r="H102" s="35"/>
      <c r="I102" s="174"/>
      <c r="J102" s="174"/>
      <c r="K102" s="174"/>
      <c r="L102" s="26"/>
      <c r="M102" s="26"/>
      <c r="N102" s="26"/>
      <c r="O102" s="1097"/>
      <c r="P102" s="2626"/>
      <c r="Q102" s="2627"/>
    </row>
    <row r="103" spans="2:18" ht="15" customHeight="1">
      <c r="B103" s="2621"/>
      <c r="C103" s="35"/>
      <c r="D103" s="35"/>
      <c r="E103" s="35"/>
      <c r="F103" s="35"/>
      <c r="G103" s="35"/>
      <c r="H103" s="35"/>
      <c r="I103" s="174"/>
      <c r="J103" s="174"/>
      <c r="K103" s="174"/>
      <c r="L103" s="26"/>
      <c r="M103" s="26"/>
      <c r="N103" s="26"/>
      <c r="O103" s="1097"/>
      <c r="P103" s="1948" t="str">
        <f>B11</f>
        <v>Per capita</v>
      </c>
      <c r="Q103" s="1987"/>
    </row>
    <row r="104" spans="2:18" ht="15" customHeight="1">
      <c r="B104" s="2621"/>
      <c r="C104" s="35"/>
      <c r="D104" s="35"/>
      <c r="E104" s="35"/>
      <c r="F104" s="35"/>
      <c r="G104" s="35"/>
      <c r="H104" s="35"/>
      <c r="I104" s="174"/>
      <c r="J104" s="174"/>
      <c r="K104" s="174"/>
      <c r="L104" s="26"/>
      <c r="M104" s="26"/>
      <c r="N104" s="26"/>
      <c r="O104" s="1097"/>
      <c r="P104" s="1951"/>
      <c r="Q104" s="1989"/>
    </row>
    <row r="105" spans="2:18" ht="15" customHeight="1">
      <c r="B105" s="2621"/>
      <c r="C105" s="35"/>
      <c r="D105" s="35"/>
      <c r="E105" s="35"/>
      <c r="F105" s="35"/>
      <c r="G105" s="35"/>
      <c r="H105" s="35"/>
      <c r="I105" s="174"/>
      <c r="J105" s="174"/>
      <c r="K105" s="174"/>
      <c r="L105" s="26"/>
      <c r="M105" s="26"/>
      <c r="N105" s="26"/>
      <c r="O105" s="1097"/>
      <c r="P105" s="2615" t="str">
        <f>CONCATENATE(" ",'x Data_2'!$C$187)</f>
        <v xml:space="preserve"> Atlantis</v>
      </c>
      <c r="Q105" s="2622">
        <f>'x Data_2'!AO187</f>
        <v>3.3333333333333333E-2</v>
      </c>
    </row>
    <row r="106" spans="2:18" ht="15" customHeight="1">
      <c r="B106" s="2621"/>
      <c r="C106" s="35"/>
      <c r="D106" s="35"/>
      <c r="E106" s="35"/>
      <c r="F106" s="35"/>
      <c r="G106" s="35"/>
      <c r="H106" s="35"/>
      <c r="I106" s="174"/>
      <c r="J106" s="174"/>
      <c r="K106" s="174"/>
      <c r="L106" s="26"/>
      <c r="M106" s="26"/>
      <c r="N106" s="26"/>
      <c r="O106" s="1097"/>
      <c r="P106" s="2616"/>
      <c r="Q106" s="2623"/>
    </row>
    <row r="107" spans="2:18" ht="15" customHeight="1">
      <c r="B107" s="2621"/>
      <c r="C107" s="35"/>
      <c r="D107" s="35"/>
      <c r="E107" s="35"/>
      <c r="F107" s="35"/>
      <c r="G107" s="35"/>
      <c r="H107" s="35"/>
      <c r="I107" s="174"/>
      <c r="J107" s="174"/>
      <c r="K107" s="174"/>
      <c r="L107" s="26"/>
      <c r="M107" s="26"/>
      <c r="N107" s="26"/>
      <c r="O107" s="1097"/>
      <c r="P107" s="2615" t="s">
        <v>1913</v>
      </c>
      <c r="Q107" s="2617">
        <f>MIN('x Data_2'!AO187:AO216)</f>
        <v>3.1236233480176211E-4</v>
      </c>
    </row>
    <row r="108" spans="2:18" ht="15" customHeight="1">
      <c r="B108" s="2621"/>
      <c r="C108" s="35"/>
      <c r="D108" s="35"/>
      <c r="E108" s="35"/>
      <c r="F108" s="35"/>
      <c r="G108" s="35"/>
      <c r="H108" s="35"/>
      <c r="I108" s="174"/>
      <c r="J108" s="174"/>
      <c r="K108" s="174"/>
      <c r="L108" s="26"/>
      <c r="M108" s="26"/>
      <c r="N108" s="26"/>
      <c r="O108" s="1097"/>
      <c r="P108" s="2616"/>
      <c r="Q108" s="2618"/>
    </row>
    <row r="109" spans="2:18" ht="15" customHeight="1">
      <c r="B109" s="2621"/>
      <c r="C109" s="35"/>
      <c r="D109" s="35"/>
      <c r="E109" s="35"/>
      <c r="F109" s="35"/>
      <c r="G109" s="35"/>
      <c r="H109" s="35"/>
      <c r="I109" s="174"/>
      <c r="J109" s="174"/>
      <c r="K109" s="174"/>
      <c r="L109" s="26"/>
      <c r="M109" s="26"/>
      <c r="N109" s="26"/>
      <c r="O109" s="1097"/>
      <c r="P109" s="2615" t="s">
        <v>1912</v>
      </c>
      <c r="Q109" s="2617">
        <f>MAX('x Data_2'!AO187:AO216)</f>
        <v>0.11680632063858262</v>
      </c>
    </row>
    <row r="110" spans="2:18" ht="15" customHeight="1">
      <c r="B110" s="2621"/>
      <c r="C110" s="35"/>
      <c r="D110" s="35"/>
      <c r="E110" s="35"/>
      <c r="F110" s="35"/>
      <c r="G110" s="35"/>
      <c r="H110" s="35"/>
      <c r="I110" s="174"/>
      <c r="J110" s="174"/>
      <c r="K110" s="174"/>
      <c r="L110" s="26"/>
      <c r="M110" s="26"/>
      <c r="N110" s="26"/>
      <c r="O110" s="1097"/>
      <c r="P110" s="2616"/>
      <c r="Q110" s="2618"/>
    </row>
    <row r="111" spans="2:18" ht="15" customHeight="1">
      <c r="B111" s="2621"/>
      <c r="C111" s="35"/>
      <c r="D111" s="35"/>
      <c r="E111" s="35"/>
      <c r="F111" s="35"/>
      <c r="G111" s="35"/>
      <c r="H111" s="35"/>
      <c r="I111" s="174"/>
      <c r="J111" s="174"/>
      <c r="K111" s="174"/>
      <c r="L111" s="26"/>
      <c r="M111" s="26"/>
      <c r="N111" s="26"/>
      <c r="O111" s="1097"/>
      <c r="P111" s="2615" t="s">
        <v>1911</v>
      </c>
      <c r="Q111" s="2617">
        <f>AVERAGE('x Data_2'!AO187:AO216)</f>
        <v>3.0092655581111887E-2</v>
      </c>
    </row>
    <row r="112" spans="2:18" ht="15" customHeight="1">
      <c r="B112" s="2621"/>
      <c r="C112" s="35"/>
      <c r="D112" s="35"/>
      <c r="E112" s="35"/>
      <c r="F112" s="35"/>
      <c r="G112" s="35"/>
      <c r="H112" s="35"/>
      <c r="I112" s="174"/>
      <c r="J112" s="174"/>
      <c r="K112" s="174"/>
      <c r="L112" s="26"/>
      <c r="M112" s="26"/>
      <c r="N112" s="26"/>
      <c r="O112" s="1097"/>
      <c r="P112" s="2616"/>
      <c r="Q112" s="2618"/>
    </row>
    <row r="113" spans="2:17" ht="15" customHeight="1">
      <c r="B113" s="2621"/>
      <c r="C113" s="35"/>
      <c r="D113" s="35"/>
      <c r="E113" s="35"/>
      <c r="F113" s="35"/>
      <c r="G113" s="35"/>
      <c r="H113" s="35"/>
      <c r="I113" s="174"/>
      <c r="J113" s="174"/>
      <c r="K113" s="174"/>
      <c r="L113" s="26"/>
      <c r="M113" s="26"/>
      <c r="N113" s="26"/>
      <c r="O113" s="1097"/>
      <c r="P113" s="1948" t="s">
        <v>2521</v>
      </c>
      <c r="Q113" s="1987"/>
    </row>
    <row r="114" spans="2:17" ht="15" customHeight="1">
      <c r="B114" s="2621"/>
      <c r="C114" s="35"/>
      <c r="D114" s="35"/>
      <c r="E114" s="35"/>
      <c r="F114" s="35"/>
      <c r="G114" s="35"/>
      <c r="H114" s="35"/>
      <c r="I114" s="174"/>
      <c r="J114" s="174"/>
      <c r="K114" s="174"/>
      <c r="L114" s="26"/>
      <c r="M114" s="26"/>
      <c r="N114" s="26"/>
      <c r="O114" s="1097"/>
      <c r="P114" s="1981"/>
      <c r="Q114" s="1991"/>
    </row>
    <row r="115" spans="2:17" ht="15" customHeight="1">
      <c r="B115" s="2621"/>
      <c r="C115" s="35"/>
      <c r="D115" s="35"/>
      <c r="E115" s="35"/>
      <c r="F115" s="35"/>
      <c r="G115" s="35"/>
      <c r="H115" s="35"/>
      <c r="I115" s="174"/>
      <c r="J115" s="174"/>
      <c r="K115" s="174"/>
      <c r="L115" s="26"/>
      <c r="M115" s="26"/>
      <c r="N115" s="26"/>
      <c r="O115" s="1097"/>
      <c r="P115" s="486"/>
      <c r="Q115" s="488"/>
    </row>
    <row r="116" spans="2:17" ht="15" customHeight="1">
      <c r="B116" s="2621"/>
      <c r="C116" s="35"/>
      <c r="D116" s="35"/>
      <c r="E116" s="35"/>
      <c r="F116" s="35"/>
      <c r="G116" s="35"/>
      <c r="H116" s="35"/>
      <c r="I116" s="174"/>
      <c r="J116" s="174"/>
      <c r="K116" s="174"/>
      <c r="L116" s="26"/>
      <c r="M116" s="26"/>
      <c r="N116" s="26"/>
      <c r="O116" s="1097"/>
      <c r="P116" s="489"/>
      <c r="Q116" s="483"/>
    </row>
    <row r="117" spans="2:17" ht="15" customHeight="1">
      <c r="B117" s="2621"/>
      <c r="C117" s="35"/>
      <c r="D117" s="35"/>
      <c r="E117" s="35"/>
      <c r="F117" s="35"/>
      <c r="G117" s="35"/>
      <c r="H117" s="35"/>
      <c r="I117" s="174"/>
      <c r="J117" s="174"/>
      <c r="K117" s="174"/>
      <c r="L117" s="26"/>
      <c r="M117" s="26"/>
      <c r="N117" s="26"/>
      <c r="O117" s="1097"/>
      <c r="P117" s="489"/>
      <c r="Q117" s="483"/>
    </row>
    <row r="118" spans="2:17" ht="15" customHeight="1">
      <c r="B118" s="1486"/>
      <c r="C118" s="35"/>
      <c r="D118" s="35"/>
      <c r="E118" s="35"/>
      <c r="F118" s="35"/>
      <c r="G118" s="35"/>
      <c r="H118" s="35"/>
      <c r="I118" s="174"/>
      <c r="J118" s="174"/>
      <c r="K118" s="174"/>
      <c r="L118" s="26"/>
      <c r="M118" s="26"/>
      <c r="N118" s="26"/>
      <c r="O118" s="1097"/>
      <c r="P118" s="489"/>
      <c r="Q118" s="483"/>
    </row>
    <row r="119" spans="2:17" ht="15" customHeight="1">
      <c r="B119" s="1486"/>
      <c r="C119" s="35"/>
      <c r="D119" s="35"/>
      <c r="E119" s="35"/>
      <c r="F119" s="35"/>
      <c r="G119" s="35"/>
      <c r="H119" s="35"/>
      <c r="I119" s="174"/>
      <c r="J119" s="174"/>
      <c r="K119" s="174"/>
      <c r="L119" s="26"/>
      <c r="M119" s="26"/>
      <c r="N119" s="26"/>
      <c r="O119" s="1097"/>
      <c r="P119" s="489"/>
      <c r="Q119" s="483"/>
    </row>
    <row r="120" spans="2:17" ht="15" customHeight="1">
      <c r="B120" s="1486"/>
      <c r="C120" s="35"/>
      <c r="D120" s="35"/>
      <c r="E120" s="35"/>
      <c r="F120" s="35"/>
      <c r="G120" s="35"/>
      <c r="H120" s="35"/>
      <c r="I120" s="174"/>
      <c r="J120" s="174"/>
      <c r="K120" s="174"/>
      <c r="L120" s="26"/>
      <c r="M120" s="26"/>
      <c r="N120" s="26"/>
      <c r="O120" s="1097"/>
      <c r="P120" s="489"/>
      <c r="Q120" s="483"/>
    </row>
    <row r="121" spans="2:17" ht="15" customHeight="1">
      <c r="B121" s="1485"/>
      <c r="C121" s="35"/>
      <c r="D121" s="35"/>
      <c r="E121" s="35"/>
      <c r="F121" s="35"/>
      <c r="G121" s="35"/>
      <c r="H121" s="35"/>
      <c r="I121" s="174"/>
      <c r="J121" s="174"/>
      <c r="K121" s="174"/>
      <c r="L121" s="26"/>
      <c r="M121" s="26"/>
      <c r="N121" s="26"/>
      <c r="O121" s="1097"/>
      <c r="P121" s="489"/>
      <c r="Q121" s="483"/>
    </row>
    <row r="122" spans="2:17" ht="15" customHeight="1">
      <c r="B122" s="1485"/>
      <c r="C122" s="35"/>
      <c r="D122" s="35"/>
      <c r="E122" s="35"/>
      <c r="F122" s="35"/>
      <c r="G122" s="35"/>
      <c r="H122" s="35"/>
      <c r="I122" s="174"/>
      <c r="J122" s="174"/>
      <c r="K122" s="174"/>
      <c r="L122" s="26"/>
      <c r="M122" s="26"/>
      <c r="N122" s="26"/>
      <c r="O122" s="1097"/>
      <c r="P122" s="489"/>
      <c r="Q122" s="483"/>
    </row>
    <row r="123" spans="2:17" ht="15" customHeight="1">
      <c r="B123" s="1485"/>
      <c r="C123" s="35"/>
      <c r="D123" s="35"/>
      <c r="E123" s="35"/>
      <c r="F123" s="35"/>
      <c r="G123" s="35"/>
      <c r="H123" s="35"/>
      <c r="I123" s="174"/>
      <c r="J123" s="174"/>
      <c r="K123" s="174"/>
      <c r="L123" s="26"/>
      <c r="M123" s="26"/>
      <c r="N123" s="26"/>
      <c r="O123" s="1097"/>
      <c r="P123" s="490"/>
      <c r="Q123" s="485"/>
    </row>
    <row r="124" spans="2:17" ht="15" customHeight="1"/>
    <row r="125" spans="2:17" ht="31" customHeight="1" thickBot="1">
      <c r="B125" s="1496" t="s">
        <v>208</v>
      </c>
      <c r="C125" s="1490"/>
      <c r="D125" s="1490"/>
      <c r="E125" s="1491"/>
      <c r="F125" s="1490"/>
      <c r="G125" s="1490"/>
      <c r="H125" s="1489"/>
      <c r="I125" s="1492"/>
      <c r="J125" s="1492"/>
      <c r="K125" s="1493"/>
      <c r="L125" s="1494"/>
      <c r="M125" s="1494"/>
      <c r="N125" s="1494"/>
      <c r="O125" s="1494"/>
      <c r="P125" s="1494"/>
      <c r="Q125" s="1494"/>
    </row>
    <row r="126" spans="2:17" ht="31" customHeight="1"/>
    <row r="127" spans="2:17" ht="15" customHeight="1">
      <c r="B127" s="22"/>
      <c r="C127" s="22"/>
      <c r="D127" s="22"/>
      <c r="E127" s="22"/>
      <c r="F127" s="22"/>
      <c r="G127" s="22"/>
      <c r="H127" s="22"/>
      <c r="I127" s="22"/>
      <c r="J127" s="22"/>
      <c r="K127" s="22"/>
      <c r="L127" s="22"/>
      <c r="M127" s="22"/>
      <c r="N127" s="22"/>
      <c r="O127" s="483"/>
      <c r="P127" s="1949" t="s">
        <v>1705</v>
      </c>
      <c r="Q127" s="1987"/>
    </row>
    <row r="128" spans="2:17" ht="15" customHeight="1">
      <c r="C128" s="1495" t="s">
        <v>2021</v>
      </c>
      <c r="D128" s="22"/>
      <c r="E128" s="22"/>
      <c r="F128" s="22"/>
      <c r="G128" s="22"/>
      <c r="H128" s="22"/>
      <c r="I128" s="22"/>
      <c r="J128" s="22"/>
      <c r="K128" s="22"/>
      <c r="L128" s="22"/>
      <c r="M128" s="22"/>
      <c r="N128" s="22"/>
      <c r="O128" s="483"/>
      <c r="P128" s="1952"/>
      <c r="Q128" s="1989"/>
    </row>
    <row r="129" spans="2:17" ht="15" customHeight="1">
      <c r="B129" s="1485"/>
      <c r="C129" s="35"/>
      <c r="D129" s="35"/>
      <c r="E129" s="35"/>
      <c r="F129" s="35"/>
      <c r="G129" s="35"/>
      <c r="H129" s="35"/>
      <c r="I129" s="174"/>
      <c r="J129" s="174"/>
      <c r="K129" s="174"/>
      <c r="L129" s="26"/>
      <c r="M129" s="26"/>
      <c r="N129" s="26"/>
      <c r="O129" s="1097"/>
      <c r="P129" s="2624" t="s">
        <v>1646</v>
      </c>
      <c r="Q129" s="2625"/>
    </row>
    <row r="130" spans="2:17" ht="15" customHeight="1">
      <c r="B130" s="1485"/>
      <c r="C130" s="35"/>
      <c r="D130" s="35"/>
      <c r="E130" s="35"/>
      <c r="F130" s="35"/>
      <c r="G130" s="35"/>
      <c r="H130" s="35"/>
      <c r="I130" s="174"/>
      <c r="J130" s="174"/>
      <c r="K130" s="174"/>
      <c r="L130" s="26"/>
      <c r="M130" s="26"/>
      <c r="N130" s="26"/>
      <c r="O130" s="1097"/>
      <c r="P130" s="2626"/>
      <c r="Q130" s="2627"/>
    </row>
    <row r="131" spans="2:17" ht="15" customHeight="1">
      <c r="B131" s="1485"/>
      <c r="C131" s="35"/>
      <c r="D131" s="35"/>
      <c r="E131" s="35"/>
      <c r="F131" s="35"/>
      <c r="G131" s="35"/>
      <c r="H131" s="35"/>
      <c r="I131" s="174"/>
      <c r="J131" s="174"/>
      <c r="K131" s="174"/>
      <c r="L131" s="26"/>
      <c r="M131" s="26"/>
      <c r="N131" s="26"/>
      <c r="O131" s="1097"/>
      <c r="P131" s="1948" t="str">
        <f>B11</f>
        <v>Per capita</v>
      </c>
      <c r="Q131" s="1987"/>
    </row>
    <row r="132" spans="2:17" ht="15" customHeight="1">
      <c r="B132" s="1485"/>
      <c r="C132" s="35"/>
      <c r="D132" s="35"/>
      <c r="E132" s="35"/>
      <c r="F132" s="35"/>
      <c r="G132" s="35"/>
      <c r="H132" s="35"/>
      <c r="I132" s="174"/>
      <c r="J132" s="174"/>
      <c r="K132" s="174"/>
      <c r="L132" s="26"/>
      <c r="M132" s="26"/>
      <c r="N132" s="26"/>
      <c r="O132" s="1097"/>
      <c r="P132" s="1951"/>
      <c r="Q132" s="1989"/>
    </row>
    <row r="133" spans="2:17" ht="15" customHeight="1">
      <c r="B133" s="1485"/>
      <c r="C133" s="35"/>
      <c r="D133" s="35"/>
      <c r="E133" s="35"/>
      <c r="F133" s="35"/>
      <c r="G133" s="35"/>
      <c r="H133" s="35"/>
      <c r="I133" s="174"/>
      <c r="J133" s="174"/>
      <c r="K133" s="174"/>
      <c r="L133" s="26"/>
      <c r="M133" s="26"/>
      <c r="N133" s="26"/>
      <c r="O133" s="1097"/>
      <c r="P133" s="2615" t="str">
        <f>CONCATENATE(" ",'x Data_2'!$C$187)</f>
        <v xml:space="preserve"> Atlantis</v>
      </c>
      <c r="Q133" s="2617"/>
    </row>
    <row r="134" spans="2:17" ht="15" customHeight="1">
      <c r="B134" s="1485"/>
      <c r="C134" s="35"/>
      <c r="D134" s="35"/>
      <c r="E134" s="35"/>
      <c r="F134" s="35"/>
      <c r="G134" s="35"/>
      <c r="H134" s="35"/>
      <c r="I134" s="174"/>
      <c r="J134" s="174"/>
      <c r="K134" s="174"/>
      <c r="L134" s="26"/>
      <c r="M134" s="26"/>
      <c r="N134" s="26"/>
      <c r="O134" s="1097"/>
      <c r="P134" s="2616"/>
      <c r="Q134" s="2618"/>
    </row>
    <row r="135" spans="2:17" ht="15" customHeight="1">
      <c r="B135" s="1485"/>
      <c r="C135" s="35"/>
      <c r="D135" s="35"/>
      <c r="E135" s="35"/>
      <c r="F135" s="35"/>
      <c r="G135" s="35"/>
      <c r="H135" s="35"/>
      <c r="I135" s="174"/>
      <c r="J135" s="174"/>
      <c r="K135" s="174"/>
      <c r="L135" s="26"/>
      <c r="M135" s="26"/>
      <c r="N135" s="26"/>
      <c r="O135" s="1097"/>
      <c r="P135" s="2615" t="s">
        <v>1913</v>
      </c>
      <c r="Q135" s="2617"/>
    </row>
    <row r="136" spans="2:17" ht="15" customHeight="1">
      <c r="B136" s="1485"/>
      <c r="C136" s="35"/>
      <c r="D136" s="35"/>
      <c r="E136" s="35"/>
      <c r="F136" s="35"/>
      <c r="G136" s="35"/>
      <c r="H136" s="35"/>
      <c r="I136" s="174"/>
      <c r="J136" s="174"/>
      <c r="K136" s="174"/>
      <c r="L136" s="26"/>
      <c r="M136" s="26"/>
      <c r="N136" s="26"/>
      <c r="O136" s="1097"/>
      <c r="P136" s="2616"/>
      <c r="Q136" s="2618"/>
    </row>
    <row r="137" spans="2:17" ht="15" customHeight="1">
      <c r="B137" s="1485"/>
      <c r="C137" s="35"/>
      <c r="D137" s="35"/>
      <c r="E137" s="35"/>
      <c r="F137" s="35"/>
      <c r="G137" s="35"/>
      <c r="H137" s="35"/>
      <c r="I137" s="174"/>
      <c r="J137" s="174"/>
      <c r="K137" s="174"/>
      <c r="L137" s="26"/>
      <c r="M137" s="26"/>
      <c r="N137" s="26"/>
      <c r="O137" s="1097"/>
      <c r="P137" s="2615" t="s">
        <v>1912</v>
      </c>
      <c r="Q137" s="2617"/>
    </row>
    <row r="138" spans="2:17" ht="15" customHeight="1">
      <c r="B138" s="1485"/>
      <c r="C138" s="35"/>
      <c r="D138" s="35"/>
      <c r="E138" s="35"/>
      <c r="F138" s="35"/>
      <c r="G138" s="35"/>
      <c r="H138" s="35"/>
      <c r="I138" s="174"/>
      <c r="J138" s="174"/>
      <c r="K138" s="174"/>
      <c r="L138" s="26"/>
      <c r="M138" s="26"/>
      <c r="N138" s="26"/>
      <c r="O138" s="1097"/>
      <c r="P138" s="2616"/>
      <c r="Q138" s="2618"/>
    </row>
    <row r="139" spans="2:17" ht="15" customHeight="1">
      <c r="B139" s="1485"/>
      <c r="C139" s="35"/>
      <c r="D139" s="35"/>
      <c r="E139" s="35"/>
      <c r="F139" s="35"/>
      <c r="G139" s="35"/>
      <c r="H139" s="35"/>
      <c r="I139" s="174"/>
      <c r="J139" s="174"/>
      <c r="K139" s="174"/>
      <c r="L139" s="26"/>
      <c r="M139" s="26"/>
      <c r="N139" s="26"/>
      <c r="O139" s="1097"/>
      <c r="P139" s="2615" t="s">
        <v>1911</v>
      </c>
      <c r="Q139" s="2617"/>
    </row>
    <row r="140" spans="2:17" ht="15" customHeight="1">
      <c r="B140" s="1485"/>
      <c r="C140" s="35"/>
      <c r="D140" s="35"/>
      <c r="E140" s="35"/>
      <c r="F140" s="35"/>
      <c r="G140" s="35"/>
      <c r="H140" s="35"/>
      <c r="I140" s="174"/>
      <c r="J140" s="174"/>
      <c r="K140" s="174"/>
      <c r="L140" s="26"/>
      <c r="M140" s="26"/>
      <c r="N140" s="26"/>
      <c r="O140" s="1097"/>
      <c r="P140" s="2616"/>
      <c r="Q140" s="2618"/>
    </row>
    <row r="141" spans="2:17" ht="15" customHeight="1">
      <c r="B141" s="1485"/>
      <c r="C141" s="35"/>
      <c r="D141" s="35"/>
      <c r="E141" s="35"/>
      <c r="F141" s="35"/>
      <c r="G141" s="35"/>
      <c r="H141" s="35"/>
      <c r="I141" s="174"/>
      <c r="J141" s="174"/>
      <c r="K141" s="174"/>
      <c r="L141" s="26"/>
      <c r="M141" s="26"/>
      <c r="N141" s="26"/>
      <c r="O141" s="1097"/>
      <c r="P141" s="1948" t="s">
        <v>2521</v>
      </c>
      <c r="Q141" s="1987"/>
    </row>
    <row r="142" spans="2:17" ht="15" customHeight="1">
      <c r="B142" s="1485"/>
      <c r="C142" s="35"/>
      <c r="D142" s="35"/>
      <c r="E142" s="35"/>
      <c r="F142" s="35"/>
      <c r="G142" s="35"/>
      <c r="H142" s="35"/>
      <c r="I142" s="174"/>
      <c r="J142" s="174"/>
      <c r="K142" s="174"/>
      <c r="L142" s="26"/>
      <c r="M142" s="26"/>
      <c r="N142" s="26"/>
      <c r="O142" s="1097"/>
      <c r="P142" s="1981"/>
      <c r="Q142" s="1991"/>
    </row>
    <row r="143" spans="2:17" ht="15" customHeight="1">
      <c r="B143" s="1485"/>
      <c r="C143" s="35"/>
      <c r="D143" s="35"/>
      <c r="E143" s="35"/>
      <c r="F143" s="35"/>
      <c r="G143" s="35"/>
      <c r="H143" s="35"/>
      <c r="I143" s="174"/>
      <c r="J143" s="174"/>
      <c r="K143" s="174"/>
      <c r="L143" s="26"/>
      <c r="M143" s="26"/>
      <c r="N143" s="26"/>
      <c r="O143" s="1097"/>
      <c r="P143" s="486"/>
      <c r="Q143" s="488"/>
    </row>
    <row r="144" spans="2:17" ht="15" customHeight="1">
      <c r="B144" s="1485"/>
      <c r="C144" s="35"/>
      <c r="D144" s="35"/>
      <c r="E144" s="35"/>
      <c r="F144" s="35"/>
      <c r="G144" s="35"/>
      <c r="H144" s="35"/>
      <c r="I144" s="174"/>
      <c r="J144" s="174"/>
      <c r="K144" s="174"/>
      <c r="L144" s="26"/>
      <c r="M144" s="26"/>
      <c r="N144" s="26"/>
      <c r="O144" s="1097"/>
      <c r="P144" s="489"/>
      <c r="Q144" s="483"/>
    </row>
    <row r="145" spans="2:17" ht="15" customHeight="1">
      <c r="B145" s="1485"/>
      <c r="C145" s="35"/>
      <c r="D145" s="35"/>
      <c r="E145" s="35"/>
      <c r="F145" s="35"/>
      <c r="G145" s="35"/>
      <c r="H145" s="35"/>
      <c r="I145" s="174"/>
      <c r="J145" s="174"/>
      <c r="K145" s="174"/>
      <c r="L145" s="26"/>
      <c r="M145" s="26"/>
      <c r="N145" s="26"/>
      <c r="O145" s="1097"/>
      <c r="P145" s="489"/>
      <c r="Q145" s="483"/>
    </row>
    <row r="146" spans="2:17" ht="15" customHeight="1">
      <c r="B146" s="1485"/>
      <c r="C146" s="35"/>
      <c r="D146" s="35"/>
      <c r="E146" s="35"/>
      <c r="F146" s="35"/>
      <c r="G146" s="35"/>
      <c r="H146" s="35"/>
      <c r="I146" s="174"/>
      <c r="J146" s="174"/>
      <c r="K146" s="174"/>
      <c r="L146" s="26"/>
      <c r="M146" s="26"/>
      <c r="N146" s="26"/>
      <c r="O146" s="1097"/>
      <c r="P146" s="489"/>
      <c r="Q146" s="483"/>
    </row>
    <row r="147" spans="2:17" ht="15" customHeight="1">
      <c r="B147" s="1485"/>
      <c r="C147" s="35"/>
      <c r="D147" s="35"/>
      <c r="E147" s="35"/>
      <c r="F147" s="35"/>
      <c r="G147" s="35"/>
      <c r="H147" s="35"/>
      <c r="I147" s="174"/>
      <c r="J147" s="174"/>
      <c r="K147" s="174"/>
      <c r="L147" s="26"/>
      <c r="M147" s="26"/>
      <c r="N147" s="26"/>
      <c r="O147" s="1097"/>
      <c r="P147" s="489"/>
      <c r="Q147" s="483"/>
    </row>
    <row r="148" spans="2:17" ht="15" customHeight="1">
      <c r="B148" s="1485"/>
      <c r="C148" s="35"/>
      <c r="D148" s="35"/>
      <c r="E148" s="35"/>
      <c r="F148" s="35"/>
      <c r="G148" s="35"/>
      <c r="H148" s="35"/>
      <c r="I148" s="174"/>
      <c r="J148" s="174"/>
      <c r="K148" s="174"/>
      <c r="L148" s="26"/>
      <c r="M148" s="26"/>
      <c r="N148" s="26"/>
      <c r="O148" s="1097"/>
      <c r="P148" s="489"/>
      <c r="Q148" s="483"/>
    </row>
    <row r="149" spans="2:17" ht="15" customHeight="1">
      <c r="B149" s="1485"/>
      <c r="C149" s="35"/>
      <c r="D149" s="35"/>
      <c r="E149" s="35"/>
      <c r="F149" s="35"/>
      <c r="G149" s="35"/>
      <c r="H149" s="35"/>
      <c r="I149" s="174"/>
      <c r="J149" s="174"/>
      <c r="K149" s="174"/>
      <c r="L149" s="26"/>
      <c r="M149" s="26"/>
      <c r="N149" s="26"/>
      <c r="O149" s="1097"/>
      <c r="P149" s="489"/>
      <c r="Q149" s="483"/>
    </row>
    <row r="150" spans="2:17" ht="15" customHeight="1">
      <c r="B150" s="1485"/>
      <c r="C150" s="35"/>
      <c r="D150" s="35"/>
      <c r="E150" s="35"/>
      <c r="F150" s="35"/>
      <c r="G150" s="35"/>
      <c r="H150" s="35"/>
      <c r="I150" s="174"/>
      <c r="J150" s="174"/>
      <c r="K150" s="174"/>
      <c r="L150" s="26"/>
      <c r="M150" s="26"/>
      <c r="N150" s="26"/>
      <c r="O150" s="1097"/>
      <c r="P150" s="489"/>
      <c r="Q150" s="483"/>
    </row>
    <row r="151" spans="2:17" ht="15" customHeight="1">
      <c r="B151" s="1485"/>
      <c r="C151" s="35"/>
      <c r="D151" s="35"/>
      <c r="E151" s="35"/>
      <c r="F151" s="35"/>
      <c r="G151" s="35"/>
      <c r="H151" s="35"/>
      <c r="I151" s="174"/>
      <c r="J151" s="174"/>
      <c r="K151" s="174"/>
      <c r="L151" s="26"/>
      <c r="M151" s="26"/>
      <c r="N151" s="26"/>
      <c r="O151" s="1097"/>
      <c r="P151" s="490"/>
      <c r="Q151" s="485"/>
    </row>
    <row r="152" spans="2:17" ht="15" customHeight="1"/>
    <row r="153" spans="2:17" ht="31" customHeight="1" thickBot="1">
      <c r="B153" s="1496" t="s">
        <v>209</v>
      </c>
      <c r="C153" s="1490"/>
      <c r="D153" s="1490"/>
      <c r="E153" s="1491"/>
      <c r="F153" s="1490"/>
      <c r="G153" s="1490"/>
      <c r="H153" s="1489"/>
      <c r="I153" s="1492"/>
      <c r="J153" s="1492"/>
      <c r="K153" s="1493"/>
      <c r="L153" s="1494"/>
      <c r="M153" s="1494"/>
      <c r="N153" s="1494"/>
      <c r="O153" s="1494"/>
      <c r="P153" s="1494"/>
      <c r="Q153" s="1494"/>
    </row>
    <row r="154" spans="2:17" ht="31" customHeight="1"/>
    <row r="155" spans="2:17" ht="15" customHeight="1">
      <c r="B155" s="22"/>
      <c r="C155" s="22"/>
      <c r="D155" s="22"/>
      <c r="E155" s="22"/>
      <c r="F155" s="22"/>
      <c r="G155" s="22"/>
      <c r="H155" s="22"/>
      <c r="I155" s="22"/>
      <c r="J155" s="22"/>
      <c r="K155" s="22"/>
      <c r="L155" s="22"/>
      <c r="M155" s="22"/>
      <c r="N155" s="22"/>
      <c r="O155" s="483"/>
      <c r="P155" s="1949" t="s">
        <v>1705</v>
      </c>
      <c r="Q155" s="1987"/>
    </row>
    <row r="156" spans="2:17" ht="15" customHeight="1">
      <c r="C156" s="1495" t="s">
        <v>2021</v>
      </c>
      <c r="D156" s="22"/>
      <c r="E156" s="22"/>
      <c r="F156" s="22"/>
      <c r="G156" s="22"/>
      <c r="H156" s="22"/>
      <c r="I156" s="22"/>
      <c r="J156" s="22"/>
      <c r="K156" s="22"/>
      <c r="L156" s="22"/>
      <c r="M156" s="22"/>
      <c r="N156" s="22"/>
      <c r="O156" s="483"/>
      <c r="P156" s="1952"/>
      <c r="Q156" s="1989"/>
    </row>
    <row r="157" spans="2:17" ht="15" customHeight="1">
      <c r="B157" s="1485"/>
      <c r="C157" s="35"/>
      <c r="D157" s="35"/>
      <c r="E157" s="35"/>
      <c r="F157" s="35"/>
      <c r="G157" s="35"/>
      <c r="H157" s="35"/>
      <c r="I157" s="174"/>
      <c r="J157" s="174"/>
      <c r="K157" s="174"/>
      <c r="L157" s="26"/>
      <c r="M157" s="26"/>
      <c r="N157" s="26"/>
      <c r="O157" s="1097"/>
      <c r="P157" s="2624" t="s">
        <v>1646</v>
      </c>
      <c r="Q157" s="2625"/>
    </row>
    <row r="158" spans="2:17" ht="15" customHeight="1">
      <c r="B158" s="1485"/>
      <c r="C158" s="35"/>
      <c r="D158" s="35"/>
      <c r="E158" s="35"/>
      <c r="F158" s="35"/>
      <c r="G158" s="35"/>
      <c r="H158" s="35"/>
      <c r="I158" s="174"/>
      <c r="J158" s="174"/>
      <c r="K158" s="174"/>
      <c r="L158" s="26"/>
      <c r="M158" s="26"/>
      <c r="N158" s="26"/>
      <c r="O158" s="1097"/>
      <c r="P158" s="2626"/>
      <c r="Q158" s="2627"/>
    </row>
    <row r="159" spans="2:17" ht="15" customHeight="1">
      <c r="B159" s="1485"/>
      <c r="C159" s="35"/>
      <c r="D159" s="35"/>
      <c r="E159" s="35"/>
      <c r="F159" s="35"/>
      <c r="G159" s="35"/>
      <c r="H159" s="35"/>
      <c r="I159" s="174"/>
      <c r="J159" s="174"/>
      <c r="K159" s="174"/>
      <c r="L159" s="26"/>
      <c r="M159" s="26"/>
      <c r="N159" s="26"/>
      <c r="O159" s="1097"/>
      <c r="P159" s="1948" t="str">
        <f>B11</f>
        <v>Per capita</v>
      </c>
      <c r="Q159" s="1987"/>
    </row>
    <row r="160" spans="2:17" ht="15" customHeight="1">
      <c r="B160" s="1485"/>
      <c r="C160" s="35"/>
      <c r="D160" s="35"/>
      <c r="E160" s="35"/>
      <c r="F160" s="35"/>
      <c r="G160" s="35"/>
      <c r="H160" s="35"/>
      <c r="I160" s="174"/>
      <c r="J160" s="174"/>
      <c r="K160" s="174"/>
      <c r="L160" s="26"/>
      <c r="M160" s="26"/>
      <c r="N160" s="26"/>
      <c r="O160" s="1097"/>
      <c r="P160" s="1951"/>
      <c r="Q160" s="1989"/>
    </row>
    <row r="161" spans="2:17" ht="15" customHeight="1">
      <c r="B161" s="1485"/>
      <c r="C161" s="35"/>
      <c r="D161" s="35"/>
      <c r="E161" s="35"/>
      <c r="F161" s="35"/>
      <c r="G161" s="35"/>
      <c r="H161" s="35"/>
      <c r="I161" s="174"/>
      <c r="J161" s="174"/>
      <c r="K161" s="174"/>
      <c r="L161" s="26"/>
      <c r="M161" s="26"/>
      <c r="N161" s="26"/>
      <c r="O161" s="1097"/>
      <c r="P161" s="2615" t="str">
        <f>CONCATENATE(" ",'x Data_2'!$C$187)</f>
        <v xml:space="preserve"> Atlantis</v>
      </c>
      <c r="Q161" s="2617"/>
    </row>
    <row r="162" spans="2:17" ht="15" customHeight="1">
      <c r="B162" s="1485"/>
      <c r="C162" s="35"/>
      <c r="D162" s="35"/>
      <c r="E162" s="35"/>
      <c r="F162" s="35"/>
      <c r="G162" s="35"/>
      <c r="H162" s="35"/>
      <c r="I162" s="174"/>
      <c r="J162" s="174"/>
      <c r="K162" s="174"/>
      <c r="L162" s="26"/>
      <c r="M162" s="26"/>
      <c r="N162" s="26"/>
      <c r="O162" s="1097"/>
      <c r="P162" s="2616"/>
      <c r="Q162" s="2618"/>
    </row>
    <row r="163" spans="2:17" ht="15" customHeight="1">
      <c r="B163" s="1485"/>
      <c r="C163" s="35"/>
      <c r="D163" s="35"/>
      <c r="E163" s="35"/>
      <c r="F163" s="35"/>
      <c r="G163" s="35"/>
      <c r="H163" s="35"/>
      <c r="I163" s="174"/>
      <c r="J163" s="174"/>
      <c r="K163" s="174"/>
      <c r="L163" s="26"/>
      <c r="M163" s="26"/>
      <c r="N163" s="26"/>
      <c r="O163" s="1097"/>
      <c r="P163" s="2615" t="s">
        <v>1913</v>
      </c>
      <c r="Q163" s="2617"/>
    </row>
    <row r="164" spans="2:17" ht="15" customHeight="1">
      <c r="B164" s="1485"/>
      <c r="C164" s="35"/>
      <c r="D164" s="35"/>
      <c r="E164" s="35"/>
      <c r="F164" s="35"/>
      <c r="G164" s="35"/>
      <c r="H164" s="35"/>
      <c r="I164" s="174"/>
      <c r="J164" s="174"/>
      <c r="K164" s="174"/>
      <c r="L164" s="26"/>
      <c r="M164" s="26"/>
      <c r="N164" s="26"/>
      <c r="O164" s="1097"/>
      <c r="P164" s="2616"/>
      <c r="Q164" s="2618"/>
    </row>
    <row r="165" spans="2:17" ht="15" customHeight="1">
      <c r="B165" s="1485"/>
      <c r="C165" s="35"/>
      <c r="D165" s="35"/>
      <c r="E165" s="35"/>
      <c r="F165" s="35"/>
      <c r="G165" s="35"/>
      <c r="H165" s="35"/>
      <c r="I165" s="174"/>
      <c r="J165" s="174"/>
      <c r="K165" s="174"/>
      <c r="L165" s="26"/>
      <c r="M165" s="26"/>
      <c r="N165" s="26"/>
      <c r="O165" s="1097"/>
      <c r="P165" s="2615" t="s">
        <v>1912</v>
      </c>
      <c r="Q165" s="2617"/>
    </row>
    <row r="166" spans="2:17" ht="15" customHeight="1">
      <c r="B166" s="1485"/>
      <c r="C166" s="35"/>
      <c r="D166" s="35"/>
      <c r="E166" s="35"/>
      <c r="F166" s="35"/>
      <c r="G166" s="35"/>
      <c r="H166" s="35"/>
      <c r="I166" s="174"/>
      <c r="J166" s="174"/>
      <c r="K166" s="174"/>
      <c r="L166" s="26"/>
      <c r="M166" s="26"/>
      <c r="N166" s="26"/>
      <c r="O166" s="1097"/>
      <c r="P166" s="2616"/>
      <c r="Q166" s="2618"/>
    </row>
    <row r="167" spans="2:17" ht="15" customHeight="1">
      <c r="B167" s="1485"/>
      <c r="C167" s="35"/>
      <c r="D167" s="35"/>
      <c r="E167" s="35"/>
      <c r="F167" s="35"/>
      <c r="G167" s="35"/>
      <c r="H167" s="35"/>
      <c r="I167" s="174"/>
      <c r="J167" s="174"/>
      <c r="K167" s="174"/>
      <c r="L167" s="26"/>
      <c r="M167" s="26"/>
      <c r="N167" s="26"/>
      <c r="O167" s="1097"/>
      <c r="P167" s="2615" t="s">
        <v>1911</v>
      </c>
      <c r="Q167" s="2617"/>
    </row>
    <row r="168" spans="2:17" ht="15" customHeight="1">
      <c r="B168" s="1485"/>
      <c r="C168" s="35"/>
      <c r="D168" s="35"/>
      <c r="E168" s="35"/>
      <c r="F168" s="35"/>
      <c r="G168" s="35"/>
      <c r="H168" s="35"/>
      <c r="I168" s="174"/>
      <c r="J168" s="174"/>
      <c r="K168" s="174"/>
      <c r="L168" s="26"/>
      <c r="M168" s="26"/>
      <c r="N168" s="26"/>
      <c r="O168" s="1097"/>
      <c r="P168" s="2616"/>
      <c r="Q168" s="2618"/>
    </row>
    <row r="169" spans="2:17" ht="15" customHeight="1">
      <c r="B169" s="1485"/>
      <c r="C169" s="35"/>
      <c r="D169" s="35"/>
      <c r="E169" s="35"/>
      <c r="F169" s="35"/>
      <c r="G169" s="35"/>
      <c r="H169" s="35"/>
      <c r="I169" s="174"/>
      <c r="J169" s="174"/>
      <c r="K169" s="174"/>
      <c r="L169" s="26"/>
      <c r="M169" s="26"/>
      <c r="N169" s="26"/>
      <c r="O169" s="1097"/>
      <c r="P169" s="1948" t="s">
        <v>2521</v>
      </c>
      <c r="Q169" s="1987"/>
    </row>
    <row r="170" spans="2:17" ht="15" customHeight="1">
      <c r="B170" s="1485"/>
      <c r="C170" s="35"/>
      <c r="D170" s="35"/>
      <c r="E170" s="35"/>
      <c r="F170" s="35"/>
      <c r="G170" s="35"/>
      <c r="H170" s="35"/>
      <c r="I170" s="174"/>
      <c r="J170" s="174"/>
      <c r="K170" s="174"/>
      <c r="L170" s="26"/>
      <c r="M170" s="26"/>
      <c r="N170" s="26"/>
      <c r="O170" s="1097"/>
      <c r="P170" s="1981"/>
      <c r="Q170" s="1991"/>
    </row>
    <row r="171" spans="2:17" ht="15" customHeight="1">
      <c r="B171" s="1485"/>
      <c r="C171" s="35"/>
      <c r="D171" s="35"/>
      <c r="E171" s="35"/>
      <c r="F171" s="35"/>
      <c r="G171" s="35"/>
      <c r="H171" s="35"/>
      <c r="I171" s="174"/>
      <c r="J171" s="174"/>
      <c r="K171" s="174"/>
      <c r="L171" s="26"/>
      <c r="M171" s="26"/>
      <c r="N171" s="26"/>
      <c r="O171" s="1097"/>
      <c r="P171" s="486"/>
      <c r="Q171" s="488"/>
    </row>
    <row r="172" spans="2:17" ht="15" customHeight="1">
      <c r="B172" s="1485"/>
      <c r="C172" s="35"/>
      <c r="D172" s="35"/>
      <c r="E172" s="35"/>
      <c r="F172" s="35"/>
      <c r="G172" s="35"/>
      <c r="H172" s="35"/>
      <c r="I172" s="174"/>
      <c r="J172" s="174"/>
      <c r="K172" s="174"/>
      <c r="L172" s="26"/>
      <c r="M172" s="26"/>
      <c r="N172" s="26"/>
      <c r="O172" s="1097"/>
      <c r="P172" s="489"/>
      <c r="Q172" s="483"/>
    </row>
    <row r="173" spans="2:17" ht="15" customHeight="1">
      <c r="B173" s="1485"/>
      <c r="C173" s="35"/>
      <c r="D173" s="35"/>
      <c r="E173" s="35"/>
      <c r="F173" s="35"/>
      <c r="G173" s="35"/>
      <c r="H173" s="35"/>
      <c r="I173" s="174"/>
      <c r="J173" s="174"/>
      <c r="K173" s="174"/>
      <c r="L173" s="26"/>
      <c r="M173" s="26"/>
      <c r="N173" s="26"/>
      <c r="O173" s="1097"/>
      <c r="P173" s="489"/>
      <c r="Q173" s="483"/>
    </row>
    <row r="174" spans="2:17" ht="15" customHeight="1">
      <c r="B174" s="1485"/>
      <c r="C174" s="35"/>
      <c r="D174" s="35"/>
      <c r="E174" s="35"/>
      <c r="F174" s="35"/>
      <c r="G174" s="35"/>
      <c r="H174" s="35"/>
      <c r="I174" s="174"/>
      <c r="J174" s="174"/>
      <c r="K174" s="174"/>
      <c r="L174" s="26"/>
      <c r="M174" s="26"/>
      <c r="N174" s="26"/>
      <c r="O174" s="1097"/>
      <c r="P174" s="489"/>
      <c r="Q174" s="483"/>
    </row>
    <row r="175" spans="2:17" ht="15" customHeight="1">
      <c r="B175" s="1485"/>
      <c r="C175" s="35"/>
      <c r="D175" s="35"/>
      <c r="E175" s="35"/>
      <c r="F175" s="35"/>
      <c r="G175" s="35"/>
      <c r="H175" s="35"/>
      <c r="I175" s="174"/>
      <c r="J175" s="174"/>
      <c r="K175" s="174"/>
      <c r="L175" s="26"/>
      <c r="M175" s="26"/>
      <c r="N175" s="26"/>
      <c r="O175" s="1097"/>
      <c r="P175" s="489"/>
      <c r="Q175" s="483"/>
    </row>
    <row r="176" spans="2:17" ht="15" customHeight="1">
      <c r="B176" s="1485"/>
      <c r="C176" s="35"/>
      <c r="D176" s="35"/>
      <c r="E176" s="35"/>
      <c r="F176" s="35"/>
      <c r="G176" s="35"/>
      <c r="H176" s="35"/>
      <c r="I176" s="174"/>
      <c r="J176" s="174"/>
      <c r="K176" s="174"/>
      <c r="L176" s="26"/>
      <c r="M176" s="26"/>
      <c r="N176" s="26"/>
      <c r="O176" s="1097"/>
      <c r="P176" s="489"/>
      <c r="Q176" s="483"/>
    </row>
    <row r="177" spans="2:17" ht="15" customHeight="1">
      <c r="B177" s="1485"/>
      <c r="C177" s="35"/>
      <c r="D177" s="35"/>
      <c r="E177" s="35"/>
      <c r="F177" s="35"/>
      <c r="G177" s="35"/>
      <c r="H177" s="35"/>
      <c r="I177" s="174"/>
      <c r="J177" s="174"/>
      <c r="K177" s="174"/>
      <c r="L177" s="26"/>
      <c r="M177" s="26"/>
      <c r="N177" s="26"/>
      <c r="O177" s="1097"/>
      <c r="P177" s="489"/>
      <c r="Q177" s="483"/>
    </row>
    <row r="178" spans="2:17" ht="15" customHeight="1">
      <c r="B178" s="1485"/>
      <c r="C178" s="35"/>
      <c r="D178" s="35"/>
      <c r="E178" s="35"/>
      <c r="F178" s="35"/>
      <c r="G178" s="35"/>
      <c r="H178" s="35"/>
      <c r="I178" s="174"/>
      <c r="J178" s="174"/>
      <c r="K178" s="174"/>
      <c r="L178" s="26"/>
      <c r="M178" s="26"/>
      <c r="N178" s="26"/>
      <c r="O178" s="1097"/>
      <c r="P178" s="489"/>
      <c r="Q178" s="483"/>
    </row>
    <row r="179" spans="2:17" ht="15" customHeight="1">
      <c r="B179" s="1485"/>
      <c r="C179" s="35"/>
      <c r="D179" s="35"/>
      <c r="E179" s="35"/>
      <c r="F179" s="35"/>
      <c r="G179" s="35"/>
      <c r="H179" s="35"/>
      <c r="I179" s="174"/>
      <c r="J179" s="174"/>
      <c r="K179" s="174"/>
      <c r="L179" s="26"/>
      <c r="M179" s="26"/>
      <c r="N179" s="26"/>
      <c r="O179" s="1097"/>
      <c r="P179" s="490"/>
      <c r="Q179" s="485"/>
    </row>
    <row r="180" spans="2:17" ht="31" customHeight="1"/>
    <row r="181" spans="2:17" ht="15" customHeight="1"/>
  </sheetData>
  <mergeCells count="106">
    <mergeCell ref="P167:P168"/>
    <mergeCell ref="Q167:Q168"/>
    <mergeCell ref="P169:Q170"/>
    <mergeCell ref="Q161:Q162"/>
    <mergeCell ref="Q133:Q134"/>
    <mergeCell ref="P159:Q160"/>
    <mergeCell ref="P161:P162"/>
    <mergeCell ref="P163:P164"/>
    <mergeCell ref="Q163:Q164"/>
    <mergeCell ref="P165:P166"/>
    <mergeCell ref="Q165:Q166"/>
    <mergeCell ref="P139:P140"/>
    <mergeCell ref="Q139:Q140"/>
    <mergeCell ref="P141:Q142"/>
    <mergeCell ref="P155:Q156"/>
    <mergeCell ref="P157:Q158"/>
    <mergeCell ref="P133:P134"/>
    <mergeCell ref="P135:P136"/>
    <mergeCell ref="Q135:Q136"/>
    <mergeCell ref="P137:P138"/>
    <mergeCell ref="Q137:Q138"/>
    <mergeCell ref="B44:B61"/>
    <mergeCell ref="P105:P106"/>
    <mergeCell ref="P85:Q86"/>
    <mergeCell ref="P113:Q114"/>
    <mergeCell ref="P127:Q128"/>
    <mergeCell ref="B100:B117"/>
    <mergeCell ref="Q105:Q106"/>
    <mergeCell ref="H10:I10"/>
    <mergeCell ref="F10:G10"/>
    <mergeCell ref="P57:Q58"/>
    <mergeCell ref="B74:B92"/>
    <mergeCell ref="F11:G11"/>
    <mergeCell ref="H11:I11"/>
    <mergeCell ref="P129:Q130"/>
    <mergeCell ref="P131:Q132"/>
    <mergeCell ref="P99:Q100"/>
    <mergeCell ref="P71:Q72"/>
    <mergeCell ref="J10:K10"/>
    <mergeCell ref="P111:P112"/>
    <mergeCell ref="Q111:Q112"/>
    <mergeCell ref="P103:Q104"/>
    <mergeCell ref="P107:P108"/>
    <mergeCell ref="Q107:Q108"/>
    <mergeCell ref="P109:P110"/>
    <mergeCell ref="P73:Q74"/>
    <mergeCell ref="Q109:Q110"/>
    <mergeCell ref="L3:M3"/>
    <mergeCell ref="P51:P52"/>
    <mergeCell ref="Q51:Q52"/>
    <mergeCell ref="P53:P54"/>
    <mergeCell ref="Q53:Q54"/>
    <mergeCell ref="P55:P56"/>
    <mergeCell ref="P101:Q102"/>
    <mergeCell ref="P77:P78"/>
    <mergeCell ref="Q77:Q78"/>
    <mergeCell ref="P83:P84"/>
    <mergeCell ref="Q83:Q84"/>
    <mergeCell ref="C2:C3"/>
    <mergeCell ref="D2:E2"/>
    <mergeCell ref="F2:G2"/>
    <mergeCell ref="H2:I2"/>
    <mergeCell ref="P75:Q76"/>
    <mergeCell ref="P43:Q44"/>
    <mergeCell ref="Q55:Q56"/>
    <mergeCell ref="P15:Q16"/>
    <mergeCell ref="P17:Q18"/>
    <mergeCell ref="P49:P50"/>
    <mergeCell ref="Q49:Q50"/>
    <mergeCell ref="P10:Q10"/>
    <mergeCell ref="N10:O10"/>
    <mergeCell ref="N11:O11"/>
    <mergeCell ref="P11:Q11"/>
    <mergeCell ref="J11:K11"/>
    <mergeCell ref="P45:Q46"/>
    <mergeCell ref="P47:Q48"/>
    <mergeCell ref="L2:M2"/>
    <mergeCell ref="B10:C10"/>
    <mergeCell ref="N2:O2"/>
    <mergeCell ref="D3:E3"/>
    <mergeCell ref="F3:G3"/>
    <mergeCell ref="H3:I3"/>
    <mergeCell ref="J3:K3"/>
    <mergeCell ref="J2:K2"/>
    <mergeCell ref="D10:E10"/>
    <mergeCell ref="L10:M10"/>
    <mergeCell ref="N3:O3"/>
    <mergeCell ref="B2:B3"/>
    <mergeCell ref="P79:P80"/>
    <mergeCell ref="Q79:Q80"/>
    <mergeCell ref="P81:P82"/>
    <mergeCell ref="Q81:Q82"/>
    <mergeCell ref="B11:C11"/>
    <mergeCell ref="D11:E11"/>
    <mergeCell ref="L11:M11"/>
    <mergeCell ref="P29:Q30"/>
    <mergeCell ref="P19:Q20"/>
    <mergeCell ref="P21:P22"/>
    <mergeCell ref="P23:P24"/>
    <mergeCell ref="P25:P26"/>
    <mergeCell ref="P27:P28"/>
    <mergeCell ref="Q27:Q28"/>
    <mergeCell ref="Q25:Q26"/>
    <mergeCell ref="Q23:Q24"/>
    <mergeCell ref="Q21:Q22"/>
    <mergeCell ref="B16:B33"/>
  </mergeCells>
  <dataValidations count="8">
    <dataValidation type="list" allowBlank="1" showInputMessage="1" showErrorMessage="1" sqref="B11:C11">
      <formula1>Bench_Type</formula1>
    </dataValidation>
    <dataValidation type="list" allowBlank="1" showInputMessage="1" showErrorMessage="1" sqref="D11:E11">
      <formula1>Inventory_2</formula1>
    </dataValidation>
    <dataValidation type="list" allowBlank="1" showInputMessage="1" showErrorMessage="1" sqref="P17:Q18">
      <formula1>Sector_2</formula1>
    </dataValidation>
    <dataValidation type="list" allowBlank="1" showInputMessage="1" showErrorMessage="1" sqref="P101:Q102">
      <formula1>Subsector_waste</formula1>
    </dataValidation>
    <dataValidation type="list" allowBlank="1" showInputMessage="1" showErrorMessage="1" sqref="P73:Q74">
      <formula1>Subsector_transport</formula1>
    </dataValidation>
    <dataValidation type="list" allowBlank="1" showInputMessage="1" showErrorMessage="1" sqref="P45:Q46">
      <formula1>Subsector_stationary</formula1>
    </dataValidation>
    <dataValidation type="list" allowBlank="1" showInputMessage="1" showErrorMessage="1" sqref="H11">
      <formula1>Region_2</formula1>
    </dataValidation>
    <dataValidation type="list" allowBlank="1" showInputMessage="1" showErrorMessage="1" sqref="F11:G11">
      <formula1>Benchmark_inventory_year</formula1>
    </dataValidation>
  </dataValidations>
  <hyperlinks>
    <hyperlink ref="F2" location="'City information'!A1" display="Set-up"/>
    <hyperlink ref="G2" location="'City information'!A1" display="'City information'!A1"/>
    <hyperlink ref="H2" location="Inventory!A1" display="Inventory"/>
    <hyperlink ref="I2" location="Inventory!A1" display="Inventory!A1"/>
    <hyperlink ref="J2" location="Calculators!A1" display="Calculators"/>
    <hyperlink ref="K2" location="Calculators!A1" display="Calculators!A1"/>
    <hyperlink ref="L2" location="Results!A1" display="Results"/>
    <hyperlink ref="M2" location="Results!A1" display="Results!A1"/>
    <hyperlink ref="D2" location="Home!A1" display="Introduction"/>
    <hyperlink ref="E2" location="Home!A1" display="Home!A1"/>
    <hyperlink ref="N2" location="Analysis!A1" display="Analysis"/>
    <hyperlink ref="O2" location="Analysis!A1" display="Analysis!A1"/>
    <hyperlink ref="H3" location="Benchmark!A1" display="Benchmarking"/>
    <hyperlink ref="G3" location="Progress!A1" display="Progress!A1"/>
    <hyperlink ref="F3" location="Progress!A1" display="Progress"/>
    <hyperlink ref="D3" location="Data!A1" display="Data"/>
    <hyperlink ref="E3" location="Data!A1" display="Data!A1"/>
    <hyperlink ref="I3" location="Benchmark!A1" display="Benchmark!A1"/>
    <hyperlink ref="J3" location="'Heat map'!A1" display="Heat map"/>
    <hyperlink ref="K3" location="'Heat map'!A1" display="'Heat map'!A1"/>
    <hyperlink ref="L3" location="Overview_2!A1" display="Overview"/>
    <hyperlink ref="M3" location="Overview_2!A1" display="Overview_2!A1"/>
    <hyperlink ref="N3" location="Output!A1" display="Output"/>
    <hyperlink ref="O3" location="Output!A1" display="Output!A1"/>
  </hyperlinks>
  <pageMargins left="0.25" right="0.25" top="0.75" bottom="0.75" header="0.3" footer="0.3"/>
  <pageSetup paperSize="9" scale="10" orientation="portrait" horizontalDpi="4294967292" verticalDpi="4294967292"/>
  <headerFooter>
    <oddHeader>&amp;CTable 4.1</oddHeader>
  </headerFooter>
  <drawing r:id="rId1"/>
  <extLst>
    <ext xmlns:mx="http://schemas.microsoft.com/office/mac/excel/2008/main" uri="{64002731-A6B0-56B0-2670-7721B7C09600}">
      <mx:PLV Mode="0" OnePage="0" WScale="71"/>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enableFormatConditionsCalculation="0">
    <tabColor theme="4"/>
    <outlinePr summaryBelow="0"/>
    <pageSetUpPr fitToPage="1"/>
  </sheetPr>
  <dimension ref="A1:FV120"/>
  <sheetViews>
    <sheetView showRowColHeaders="0" workbookViewId="0">
      <selection activeCell="L3" sqref="L3:M3"/>
    </sheetView>
  </sheetViews>
  <sheetFormatPr baseColWidth="10" defaultColWidth="0" defaultRowHeight="15" customHeight="1" x14ac:dyDescent="0"/>
  <cols>
    <col min="1" max="1" width="4.83203125" style="1411" customWidth="1"/>
    <col min="2" max="4" width="12.83203125" style="32" customWidth="1"/>
    <col min="5" max="10" width="12.83203125" style="33" customWidth="1"/>
    <col min="11" max="13" width="12.83203125" style="34" customWidth="1"/>
    <col min="14" max="17" width="12.83203125" style="31" customWidth="1"/>
    <col min="18" max="18" width="12.83203125" style="15" customWidth="1"/>
    <col min="19" max="22" width="12.83203125" style="31" customWidth="1"/>
    <col min="23" max="27" width="12.83203125" style="26" customWidth="1"/>
    <col min="28" max="119" width="12.83203125" style="31" customWidth="1"/>
    <col min="120" max="120" width="4.83203125" style="31" customWidth="1"/>
    <col min="121" max="178" width="0" style="31" hidden="1" customWidth="1"/>
    <col min="179" max="16384" width="10.83203125" style="31" hidden="1"/>
  </cols>
  <sheetData>
    <row r="1" spans="1:120" s="498" customFormat="1">
      <c r="A1" s="1409"/>
      <c r="R1" s="499"/>
      <c r="S1" s="499"/>
      <c r="T1" s="499"/>
      <c r="U1" s="500"/>
      <c r="V1" s="500"/>
      <c r="W1" s="500"/>
    </row>
    <row r="2" spans="1:120" s="464" customFormat="1" ht="31" customHeight="1">
      <c r="A2" s="1410"/>
      <c r="B2" s="1817" t="s">
        <v>1965</v>
      </c>
      <c r="C2" s="1819">
        <v>400</v>
      </c>
      <c r="D2" s="1849" t="s">
        <v>1555</v>
      </c>
      <c r="E2" s="1850"/>
      <c r="F2" s="1849" t="s">
        <v>1563</v>
      </c>
      <c r="G2" s="1850"/>
      <c r="H2" s="1849" t="s">
        <v>794</v>
      </c>
      <c r="I2" s="1850"/>
      <c r="J2" s="1849" t="s">
        <v>1570</v>
      </c>
      <c r="K2" s="1850"/>
      <c r="L2" s="1849" t="s">
        <v>1564</v>
      </c>
      <c r="M2" s="1850"/>
      <c r="N2" s="2047" t="s">
        <v>1602</v>
      </c>
      <c r="O2" s="2033"/>
      <c r="P2" s="494"/>
      <c r="Q2" s="494"/>
      <c r="R2" s="494"/>
      <c r="S2" s="494"/>
      <c r="T2" s="494"/>
      <c r="U2" s="494"/>
      <c r="V2" s="494"/>
      <c r="W2" s="494"/>
      <c r="X2" s="494"/>
      <c r="Y2" s="494"/>
      <c r="Z2" s="494"/>
      <c r="AA2" s="494"/>
      <c r="AB2" s="494"/>
      <c r="AC2" s="494"/>
      <c r="AD2" s="494"/>
      <c r="AE2" s="494"/>
      <c r="AF2" s="494"/>
      <c r="AG2" s="494"/>
      <c r="AH2" s="494"/>
      <c r="AI2" s="494"/>
      <c r="AJ2" s="494"/>
      <c r="AK2" s="494"/>
      <c r="AL2" s="494"/>
      <c r="AM2" s="494"/>
      <c r="AN2" s="494"/>
      <c r="AO2" s="494"/>
      <c r="AP2" s="494"/>
      <c r="AQ2" s="494"/>
      <c r="AR2" s="494"/>
      <c r="AS2" s="494"/>
      <c r="AT2" s="494"/>
      <c r="AU2" s="494"/>
      <c r="AV2" s="494"/>
      <c r="AW2" s="494"/>
      <c r="AX2" s="494"/>
      <c r="AY2" s="494"/>
      <c r="AZ2" s="494"/>
      <c r="BA2" s="494"/>
      <c r="BB2" s="494"/>
      <c r="BC2" s="494"/>
      <c r="BD2" s="494"/>
      <c r="BE2" s="494"/>
      <c r="BF2" s="494"/>
      <c r="BG2" s="494"/>
      <c r="BH2" s="494"/>
      <c r="BI2" s="494"/>
      <c r="BJ2" s="494"/>
      <c r="BK2" s="494"/>
      <c r="BL2" s="494"/>
      <c r="BM2" s="494"/>
      <c r="BN2" s="494"/>
      <c r="BO2" s="494"/>
      <c r="BP2" s="494"/>
      <c r="BQ2" s="494"/>
      <c r="BR2" s="494"/>
      <c r="BS2" s="494"/>
      <c r="BT2" s="494"/>
      <c r="BU2" s="494"/>
      <c r="BV2" s="494"/>
      <c r="BW2" s="494"/>
      <c r="BX2" s="494"/>
      <c r="BY2" s="494"/>
      <c r="BZ2" s="494"/>
      <c r="CA2" s="494"/>
      <c r="CB2" s="494"/>
      <c r="CC2" s="494"/>
      <c r="CD2" s="494"/>
      <c r="CE2" s="494"/>
      <c r="CF2" s="494"/>
      <c r="CG2" s="494"/>
      <c r="CH2" s="494"/>
      <c r="CI2" s="494"/>
      <c r="CJ2" s="494"/>
      <c r="CK2" s="494"/>
      <c r="CL2" s="494"/>
      <c r="CM2" s="494"/>
      <c r="CN2" s="494"/>
      <c r="CO2" s="494"/>
      <c r="CP2" s="494"/>
      <c r="CQ2" s="494"/>
      <c r="CR2" s="494"/>
      <c r="CS2" s="494"/>
      <c r="CT2" s="494"/>
      <c r="CU2" s="494"/>
      <c r="CV2" s="494"/>
      <c r="CW2" s="494"/>
      <c r="CX2" s="494"/>
      <c r="CY2" s="494"/>
      <c r="CZ2" s="494"/>
      <c r="DA2" s="494"/>
      <c r="DB2" s="494"/>
      <c r="DC2" s="494"/>
      <c r="DD2" s="494"/>
      <c r="DE2" s="494"/>
      <c r="DF2" s="494"/>
      <c r="DG2" s="494"/>
      <c r="DH2" s="494"/>
      <c r="DI2" s="494"/>
      <c r="DJ2" s="494"/>
      <c r="DK2" s="494"/>
      <c r="DL2" s="494"/>
      <c r="DM2" s="494"/>
      <c r="DN2" s="494"/>
      <c r="DO2" s="494"/>
      <c r="DP2" s="494"/>
    </row>
    <row r="3" spans="1:120" s="464" customFormat="1" ht="31" customHeight="1">
      <c r="A3" s="1410"/>
      <c r="B3" s="1818"/>
      <c r="C3" s="1820"/>
      <c r="D3" s="1843" t="s">
        <v>722</v>
      </c>
      <c r="E3" s="1844"/>
      <c r="F3" s="1843" t="s">
        <v>1608</v>
      </c>
      <c r="G3" s="1844"/>
      <c r="H3" s="1843" t="s">
        <v>1609</v>
      </c>
      <c r="I3" s="1844"/>
      <c r="J3" s="2047" t="s">
        <v>1909</v>
      </c>
      <c r="K3" s="2033"/>
      <c r="L3" s="1843" t="s">
        <v>1568</v>
      </c>
      <c r="M3" s="1844"/>
      <c r="N3" s="1843" t="s">
        <v>2004</v>
      </c>
      <c r="O3" s="1844"/>
      <c r="P3" s="494"/>
      <c r="Q3" s="494"/>
      <c r="R3" s="494"/>
      <c r="S3" s="494"/>
      <c r="T3" s="494"/>
      <c r="U3" s="494"/>
      <c r="V3" s="494"/>
      <c r="W3" s="494"/>
      <c r="X3" s="494"/>
      <c r="Y3" s="494"/>
      <c r="Z3" s="494"/>
      <c r="AA3" s="494"/>
      <c r="AB3" s="494"/>
      <c r="AC3" s="494"/>
      <c r="AD3" s="494"/>
      <c r="AE3" s="494"/>
      <c r="AF3" s="494"/>
      <c r="AG3" s="494"/>
      <c r="AH3" s="494"/>
      <c r="AI3" s="494"/>
      <c r="AJ3" s="494"/>
      <c r="AK3" s="494"/>
      <c r="AL3" s="494"/>
      <c r="AM3" s="494"/>
      <c r="AN3" s="494"/>
      <c r="AO3" s="494"/>
      <c r="AP3" s="494"/>
      <c r="AQ3" s="494"/>
      <c r="AR3" s="494"/>
      <c r="AS3" s="494"/>
      <c r="AT3" s="494"/>
      <c r="AU3" s="494"/>
      <c r="AV3" s="494"/>
      <c r="AW3" s="494"/>
      <c r="AX3" s="494"/>
      <c r="AY3" s="494"/>
      <c r="AZ3" s="494"/>
      <c r="BA3" s="494"/>
      <c r="BB3" s="494"/>
      <c r="BC3" s="494"/>
      <c r="BD3" s="494"/>
      <c r="BE3" s="494"/>
      <c r="BF3" s="494"/>
      <c r="BG3" s="494"/>
      <c r="BH3" s="494"/>
      <c r="BI3" s="494"/>
      <c r="BJ3" s="494"/>
      <c r="BK3" s="494"/>
      <c r="BL3" s="494"/>
      <c r="BM3" s="494"/>
      <c r="BN3" s="494"/>
      <c r="BO3" s="494"/>
      <c r="BP3" s="494"/>
      <c r="BQ3" s="494"/>
      <c r="BR3" s="494"/>
      <c r="BS3" s="494"/>
      <c r="BT3" s="494"/>
      <c r="BU3" s="494"/>
      <c r="BV3" s="494"/>
      <c r="BW3" s="494"/>
      <c r="BX3" s="494"/>
      <c r="BY3" s="494"/>
      <c r="BZ3" s="494"/>
      <c r="CA3" s="494"/>
      <c r="CB3" s="494"/>
      <c r="CC3" s="494"/>
      <c r="CD3" s="494"/>
      <c r="CE3" s="494"/>
      <c r="CF3" s="494"/>
      <c r="CG3" s="494"/>
      <c r="CH3" s="494"/>
      <c r="CI3" s="494"/>
      <c r="CJ3" s="494"/>
      <c r="CK3" s="494"/>
      <c r="CL3" s="494"/>
      <c r="CM3" s="494"/>
      <c r="CN3" s="494"/>
      <c r="CO3" s="494"/>
      <c r="CP3" s="494"/>
      <c r="CQ3" s="494"/>
      <c r="CR3" s="494"/>
      <c r="CS3" s="494"/>
      <c r="CT3" s="494"/>
      <c r="CU3" s="494"/>
      <c r="CV3" s="494"/>
      <c r="CW3" s="494"/>
      <c r="CX3" s="494"/>
      <c r="CY3" s="494"/>
      <c r="CZ3" s="494"/>
      <c r="DA3" s="494"/>
      <c r="DB3" s="494"/>
      <c r="DC3" s="494"/>
      <c r="DD3" s="494"/>
      <c r="DE3" s="494"/>
      <c r="DF3" s="494"/>
      <c r="DG3" s="494"/>
      <c r="DH3" s="494"/>
      <c r="DI3" s="494"/>
      <c r="DJ3" s="494"/>
      <c r="DK3" s="494"/>
      <c r="DL3" s="494"/>
      <c r="DM3" s="494"/>
      <c r="DN3" s="494"/>
      <c r="DO3" s="494"/>
      <c r="DP3" s="494"/>
    </row>
    <row r="4" spans="1:120" s="494" customFormat="1" ht="15" customHeight="1">
      <c r="A4" s="1410"/>
      <c r="B4" s="492"/>
      <c r="C4" s="492"/>
      <c r="D4" s="492"/>
      <c r="E4" s="495"/>
      <c r="F4" s="497"/>
      <c r="G4" s="497"/>
      <c r="H4" s="497"/>
      <c r="I4" s="497"/>
      <c r="J4" s="497"/>
      <c r="K4" s="497"/>
      <c r="L4" s="496"/>
      <c r="M4" s="496"/>
      <c r="N4" s="496"/>
      <c r="O4" s="496"/>
      <c r="P4" s="496"/>
      <c r="Q4" s="496"/>
    </row>
    <row r="5" spans="1:120" ht="31" customHeight="1">
      <c r="R5" s="31"/>
    </row>
    <row r="6" spans="1:120" s="29" customFormat="1" ht="31" customHeight="1" thickBot="1">
      <c r="A6" s="1411"/>
      <c r="B6" s="491" t="s">
        <v>2547</v>
      </c>
      <c r="C6" s="470"/>
      <c r="D6" s="470"/>
      <c r="E6" s="466"/>
      <c r="F6" s="466"/>
      <c r="G6" s="466"/>
      <c r="H6" s="466"/>
      <c r="I6" s="466"/>
      <c r="J6" s="466"/>
      <c r="K6" s="467"/>
      <c r="L6" s="467"/>
      <c r="M6" s="467"/>
      <c r="N6" s="468"/>
      <c r="O6" s="468"/>
      <c r="P6" s="468"/>
      <c r="Q6" s="468"/>
      <c r="R6" s="468"/>
      <c r="S6" s="468"/>
      <c r="T6" s="468"/>
      <c r="U6" s="468"/>
      <c r="V6" s="468"/>
      <c r="W6" s="468"/>
      <c r="X6" s="468"/>
      <c r="Y6" s="468"/>
      <c r="Z6" s="468"/>
      <c r="AA6" s="468"/>
      <c r="AB6" s="468"/>
      <c r="AC6" s="468"/>
      <c r="AD6" s="468"/>
      <c r="AE6" s="468"/>
      <c r="AF6" s="468"/>
      <c r="AG6" s="468"/>
      <c r="AH6" s="468"/>
      <c r="AI6" s="468"/>
      <c r="AJ6" s="468"/>
      <c r="AK6" s="468"/>
      <c r="AL6" s="468"/>
      <c r="AM6" s="468"/>
      <c r="AN6" s="468"/>
      <c r="AO6" s="468"/>
      <c r="AP6" s="468"/>
      <c r="AQ6" s="468"/>
      <c r="AR6" s="468"/>
      <c r="AS6" s="468"/>
      <c r="AT6" s="468"/>
      <c r="AU6" s="468"/>
      <c r="AV6" s="468"/>
      <c r="AW6" s="468"/>
      <c r="AX6" s="468"/>
      <c r="AY6" s="468"/>
      <c r="AZ6" s="468"/>
      <c r="BA6" s="468"/>
      <c r="BB6" s="468"/>
      <c r="BC6" s="468"/>
      <c r="BD6" s="468"/>
      <c r="BE6" s="468"/>
      <c r="BF6" s="468"/>
      <c r="BG6" s="468"/>
      <c r="BH6" s="468"/>
      <c r="BI6" s="468"/>
      <c r="BJ6" s="468"/>
      <c r="BK6" s="468"/>
      <c r="BL6" s="468"/>
      <c r="BM6" s="468"/>
      <c r="BN6" s="468"/>
      <c r="BO6" s="468"/>
      <c r="BP6" s="468"/>
      <c r="BQ6" s="468"/>
      <c r="BR6" s="468"/>
      <c r="BS6" s="468"/>
      <c r="BT6" s="468"/>
      <c r="BU6" s="468"/>
      <c r="BV6" s="468"/>
      <c r="BW6" s="468"/>
      <c r="BX6" s="468"/>
      <c r="BY6" s="468"/>
      <c r="BZ6" s="468"/>
      <c r="CA6" s="468"/>
      <c r="CB6" s="468"/>
      <c r="CC6" s="468"/>
      <c r="CD6" s="468"/>
      <c r="CE6" s="468"/>
      <c r="CF6" s="468"/>
      <c r="CG6" s="468"/>
      <c r="CH6" s="468"/>
      <c r="CI6" s="468"/>
      <c r="CJ6" s="468"/>
      <c r="CK6" s="468"/>
      <c r="CL6" s="468"/>
      <c r="CM6" s="468"/>
      <c r="CN6" s="468"/>
      <c r="CO6" s="468"/>
      <c r="CP6" s="468"/>
      <c r="CQ6" s="468"/>
      <c r="CR6" s="468"/>
      <c r="CS6" s="468"/>
      <c r="CT6" s="468"/>
      <c r="CU6" s="468"/>
      <c r="CV6" s="468"/>
      <c r="CW6" s="468"/>
      <c r="CX6" s="468"/>
      <c r="CY6" s="468"/>
      <c r="CZ6" s="468"/>
      <c r="DA6" s="468"/>
      <c r="DB6" s="468"/>
      <c r="DC6" s="468"/>
      <c r="DD6" s="468"/>
      <c r="DE6" s="468"/>
      <c r="DF6" s="468"/>
      <c r="DG6" s="468"/>
      <c r="DH6" s="468"/>
      <c r="DI6" s="468"/>
      <c r="DJ6" s="468"/>
      <c r="DK6" s="468"/>
      <c r="DL6" s="468"/>
      <c r="DM6" s="468"/>
      <c r="DN6" s="468"/>
      <c r="DO6" s="468"/>
    </row>
    <row r="7" spans="1:120" s="29" customFormat="1" ht="15" customHeight="1" thickTop="1">
      <c r="A7" s="1412"/>
      <c r="B7" s="229"/>
      <c r="C7" s="229"/>
      <c r="D7" s="229"/>
      <c r="E7" s="230"/>
      <c r="F7" s="230"/>
      <c r="G7" s="230"/>
      <c r="H7" s="230"/>
      <c r="I7" s="230"/>
      <c r="J7" s="230"/>
      <c r="K7" s="30"/>
      <c r="L7" s="30"/>
      <c r="M7" s="30"/>
      <c r="W7" s="234"/>
      <c r="X7" s="234"/>
      <c r="Y7" s="234"/>
      <c r="Z7" s="234"/>
      <c r="AA7" s="234"/>
    </row>
    <row r="8" spans="1:120" s="29" customFormat="1" ht="18" customHeight="1">
      <c r="A8" s="1412"/>
      <c r="B8" s="1105" t="s">
        <v>2611</v>
      </c>
      <c r="C8" s="613"/>
      <c r="D8" s="613"/>
      <c r="E8" s="230"/>
      <c r="F8" s="230"/>
      <c r="G8" s="230"/>
      <c r="H8" s="230"/>
      <c r="I8" s="230"/>
      <c r="J8" s="230"/>
      <c r="K8" s="30"/>
      <c r="L8" s="30"/>
      <c r="M8" s="30"/>
      <c r="W8" s="234"/>
      <c r="X8" s="234"/>
      <c r="Y8" s="234"/>
      <c r="Z8" s="234"/>
      <c r="AA8" s="234"/>
    </row>
    <row r="9" spans="1:120" s="29" customFormat="1" ht="18" customHeight="1">
      <c r="A9" s="1412"/>
      <c r="B9" s="1105" t="s">
        <v>1973</v>
      </c>
      <c r="C9" s="613"/>
      <c r="D9" s="613"/>
      <c r="E9" s="230"/>
      <c r="F9" s="230"/>
      <c r="G9" s="230"/>
      <c r="H9" s="230"/>
      <c r="I9" s="230"/>
      <c r="J9" s="230"/>
      <c r="K9" s="30"/>
      <c r="L9" s="30"/>
      <c r="M9" s="30"/>
      <c r="W9" s="234"/>
      <c r="X9" s="234"/>
      <c r="Y9" s="234"/>
      <c r="Z9" s="234"/>
      <c r="AA9" s="234"/>
    </row>
    <row r="10" spans="1:120" s="29" customFormat="1" ht="15" customHeight="1">
      <c r="A10" s="1412"/>
      <c r="B10" s="229"/>
      <c r="C10" s="229"/>
      <c r="D10" s="229"/>
      <c r="E10" s="230"/>
      <c r="F10" s="230"/>
      <c r="G10" s="230"/>
      <c r="H10" s="230"/>
      <c r="I10" s="230"/>
      <c r="J10" s="230"/>
      <c r="K10" s="30"/>
      <c r="L10" s="30"/>
      <c r="M10" s="30"/>
      <c r="W10" s="234"/>
      <c r="X10" s="234"/>
      <c r="Y10" s="234"/>
      <c r="Z10" s="234"/>
      <c r="AA10" s="234"/>
    </row>
    <row r="11" spans="1:120" s="29" customFormat="1" ht="17" customHeight="1">
      <c r="A11" s="1412"/>
      <c r="B11" s="465" t="s">
        <v>172</v>
      </c>
      <c r="C11" s="465"/>
      <c r="D11" s="465"/>
      <c r="E11" s="230"/>
      <c r="F11" s="230"/>
      <c r="G11" s="230"/>
      <c r="H11" s="230"/>
      <c r="I11" s="230"/>
      <c r="J11" s="230"/>
      <c r="K11" s="30"/>
      <c r="L11" s="30"/>
      <c r="M11" s="30"/>
      <c r="W11" s="234"/>
      <c r="X11" s="234"/>
      <c r="Y11" s="234"/>
      <c r="Z11" s="234"/>
      <c r="AA11" s="234"/>
      <c r="AL11" s="465" t="s">
        <v>173</v>
      </c>
      <c r="AM11" s="465"/>
      <c r="AN11" s="465"/>
      <c r="CL11" s="465" t="s">
        <v>1714</v>
      </c>
      <c r="CM11" s="465"/>
      <c r="CN11" s="465"/>
    </row>
    <row r="12" spans="1:120" s="29" customFormat="1" ht="15" customHeight="1">
      <c r="A12" s="1412"/>
      <c r="B12" s="613"/>
      <c r="C12" s="613"/>
      <c r="D12" s="613"/>
      <c r="E12" s="230"/>
      <c r="F12" s="230"/>
      <c r="G12" s="230"/>
      <c r="H12" s="230"/>
      <c r="I12" s="230"/>
      <c r="J12" s="230"/>
      <c r="K12" s="30"/>
      <c r="L12" s="30"/>
      <c r="M12" s="30"/>
      <c r="W12" s="234"/>
      <c r="X12" s="234"/>
      <c r="Y12" s="234"/>
      <c r="Z12" s="234"/>
      <c r="AA12" s="234"/>
    </row>
    <row r="13" spans="1:120" s="30" customFormat="1" ht="15" customHeight="1">
      <c r="A13" s="1412"/>
      <c r="B13" s="2632" t="s">
        <v>1927</v>
      </c>
      <c r="C13" s="2633"/>
      <c r="D13" s="2251" t="s">
        <v>1972</v>
      </c>
      <c r="E13" s="2644" t="s">
        <v>270</v>
      </c>
      <c r="F13" s="2645"/>
      <c r="G13" s="2645"/>
      <c r="H13" s="2645"/>
      <c r="I13" s="2645"/>
      <c r="J13" s="2645"/>
      <c r="K13" s="2645"/>
      <c r="L13" s="2645"/>
      <c r="M13" s="2645"/>
      <c r="N13" s="2645"/>
      <c r="O13" s="2645"/>
      <c r="P13" s="2645"/>
      <c r="Q13" s="2645"/>
      <c r="R13" s="2646"/>
      <c r="S13" s="2644" t="s">
        <v>1733</v>
      </c>
      <c r="T13" s="2645"/>
      <c r="U13" s="2645"/>
      <c r="V13" s="2645"/>
      <c r="W13" s="2645"/>
      <c r="X13" s="2645"/>
      <c r="Y13" s="2645"/>
      <c r="Z13" s="2645"/>
      <c r="AA13" s="2645"/>
      <c r="AB13" s="2646"/>
      <c r="AC13" s="2644" t="s">
        <v>761</v>
      </c>
      <c r="AD13" s="2645"/>
      <c r="AE13" s="2645"/>
      <c r="AF13" s="2645"/>
      <c r="AG13" s="2645"/>
      <c r="AH13" s="2645"/>
      <c r="AI13" s="2645"/>
      <c r="AJ13" s="2647"/>
      <c r="AL13" s="2632" t="s">
        <v>1927</v>
      </c>
      <c r="AM13" s="2633"/>
      <c r="AN13" s="2638" t="s">
        <v>729</v>
      </c>
      <c r="AO13" s="2644" t="s">
        <v>270</v>
      </c>
      <c r="AP13" s="2645"/>
      <c r="AQ13" s="2645"/>
      <c r="AR13" s="2645"/>
      <c r="AS13" s="2645"/>
      <c r="AT13" s="2645"/>
      <c r="AU13" s="2645"/>
      <c r="AV13" s="2645"/>
      <c r="AW13" s="2645"/>
      <c r="AX13" s="2645"/>
      <c r="AY13" s="2645"/>
      <c r="AZ13" s="2645"/>
      <c r="BA13" s="2645"/>
      <c r="BB13" s="2645"/>
      <c r="BC13" s="2645"/>
      <c r="BD13" s="2645"/>
      <c r="BE13" s="2645"/>
      <c r="BF13" s="2645"/>
      <c r="BG13" s="2645"/>
      <c r="BH13" s="2646"/>
      <c r="BI13" s="2644" t="s">
        <v>1733</v>
      </c>
      <c r="BJ13" s="2645"/>
      <c r="BK13" s="2645"/>
      <c r="BL13" s="2645"/>
      <c r="BM13" s="2645"/>
      <c r="BN13" s="2645"/>
      <c r="BO13" s="2645"/>
      <c r="BP13" s="2645"/>
      <c r="BQ13" s="2645"/>
      <c r="BR13" s="2645"/>
      <c r="BS13" s="2645"/>
      <c r="BT13" s="2645"/>
      <c r="BU13" s="2645"/>
      <c r="BV13" s="2645"/>
      <c r="BW13" s="2646"/>
      <c r="BX13" s="2644" t="s">
        <v>761</v>
      </c>
      <c r="BY13" s="2645"/>
      <c r="BZ13" s="2645"/>
      <c r="CA13" s="2645"/>
      <c r="CB13" s="2645"/>
      <c r="CC13" s="2645"/>
      <c r="CD13" s="2645"/>
      <c r="CE13" s="2645"/>
      <c r="CF13" s="2644" t="s">
        <v>208</v>
      </c>
      <c r="CG13" s="2646"/>
      <c r="CH13" s="2644" t="s">
        <v>209</v>
      </c>
      <c r="CI13" s="2645"/>
      <c r="CJ13" s="2647"/>
      <c r="CL13" s="2632" t="s">
        <v>1927</v>
      </c>
      <c r="CM13" s="2633"/>
      <c r="CN13" s="2638" t="s">
        <v>729</v>
      </c>
      <c r="CO13" s="2644" t="s">
        <v>270</v>
      </c>
      <c r="CP13" s="2645"/>
      <c r="CQ13" s="2645"/>
      <c r="CR13" s="2645"/>
      <c r="CS13" s="2645"/>
      <c r="CT13" s="2645"/>
      <c r="CU13" s="2645"/>
      <c r="CV13" s="2645"/>
      <c r="CW13" s="2646"/>
      <c r="CX13" s="2644" t="s">
        <v>1733</v>
      </c>
      <c r="CY13" s="2645"/>
      <c r="CZ13" s="2645"/>
      <c r="DA13" s="2645"/>
      <c r="DB13" s="2645"/>
      <c r="DC13" s="2644" t="s">
        <v>761</v>
      </c>
      <c r="DD13" s="2645"/>
      <c r="DE13" s="2645"/>
      <c r="DF13" s="2645"/>
      <c r="DG13" s="2645"/>
      <c r="DH13" s="2645"/>
      <c r="DI13" s="2645"/>
      <c r="DJ13" s="2646"/>
      <c r="DK13" s="2644" t="s">
        <v>208</v>
      </c>
      <c r="DL13" s="2646"/>
      <c r="DM13" s="2644" t="s">
        <v>209</v>
      </c>
      <c r="DN13" s="2645"/>
      <c r="DO13" s="2647"/>
    </row>
    <row r="14" spans="1:120" s="16" customFormat="1" ht="15" customHeight="1">
      <c r="A14" s="1411"/>
      <c r="B14" s="2634"/>
      <c r="C14" s="2635"/>
      <c r="D14" s="2641"/>
      <c r="E14" s="2642" t="s">
        <v>765</v>
      </c>
      <c r="F14" s="2643"/>
      <c r="G14" s="2642" t="s">
        <v>1709</v>
      </c>
      <c r="H14" s="2643"/>
      <c r="I14" s="2642" t="s">
        <v>1918</v>
      </c>
      <c r="J14" s="2643"/>
      <c r="K14" s="2642" t="s">
        <v>1711</v>
      </c>
      <c r="L14" s="2643"/>
      <c r="M14" s="2642" t="s">
        <v>768</v>
      </c>
      <c r="N14" s="2643"/>
      <c r="O14" s="2642" t="s">
        <v>197</v>
      </c>
      <c r="P14" s="2643"/>
      <c r="Q14" s="2642" t="s">
        <v>1926</v>
      </c>
      <c r="R14" s="2643"/>
      <c r="S14" s="2642" t="s">
        <v>16</v>
      </c>
      <c r="T14" s="2643"/>
      <c r="U14" s="2642" t="s">
        <v>267</v>
      </c>
      <c r="V14" s="2643"/>
      <c r="W14" s="2642" t="s">
        <v>268</v>
      </c>
      <c r="X14" s="2643"/>
      <c r="Y14" s="2642" t="s">
        <v>269</v>
      </c>
      <c r="Z14" s="2643"/>
      <c r="AA14" s="2642" t="s">
        <v>20</v>
      </c>
      <c r="AB14" s="2643"/>
      <c r="AC14" s="2642"/>
      <c r="AD14" s="2643"/>
      <c r="AE14" s="2642"/>
      <c r="AF14" s="2643"/>
      <c r="AG14" s="2642"/>
      <c r="AH14" s="2643"/>
      <c r="AI14" s="2642" t="s">
        <v>775</v>
      </c>
      <c r="AJ14" s="2649"/>
      <c r="AL14" s="2634"/>
      <c r="AM14" s="2635"/>
      <c r="AN14" s="2639"/>
      <c r="AO14" s="2642" t="s">
        <v>765</v>
      </c>
      <c r="AP14" s="2648"/>
      <c r="AQ14" s="2643"/>
      <c r="AR14" s="2642" t="s">
        <v>1709</v>
      </c>
      <c r="AS14" s="2648"/>
      <c r="AT14" s="2643"/>
      <c r="AU14" s="2642" t="s">
        <v>1918</v>
      </c>
      <c r="AV14" s="2648"/>
      <c r="AW14" s="2643"/>
      <c r="AX14" s="2642" t="s">
        <v>1711</v>
      </c>
      <c r="AY14" s="2648"/>
      <c r="AZ14" s="2648"/>
      <c r="BA14" s="2642" t="s">
        <v>768</v>
      </c>
      <c r="BB14" s="2648"/>
      <c r="BC14" s="2643"/>
      <c r="BD14" s="2642" t="s">
        <v>197</v>
      </c>
      <c r="BE14" s="2648"/>
      <c r="BF14" s="2643"/>
      <c r="BG14" s="2642" t="s">
        <v>1926</v>
      </c>
      <c r="BH14" s="2643"/>
      <c r="BI14" s="2642" t="s">
        <v>16</v>
      </c>
      <c r="BJ14" s="2648"/>
      <c r="BK14" s="2643"/>
      <c r="BL14" s="2642" t="s">
        <v>267</v>
      </c>
      <c r="BM14" s="2648"/>
      <c r="BN14" s="2643"/>
      <c r="BO14" s="2642" t="s">
        <v>268</v>
      </c>
      <c r="BP14" s="2648"/>
      <c r="BQ14" s="2643"/>
      <c r="BR14" s="2642" t="s">
        <v>269</v>
      </c>
      <c r="BS14" s="2648"/>
      <c r="BT14" s="2643"/>
      <c r="BU14" s="2642" t="s">
        <v>20</v>
      </c>
      <c r="BV14" s="2648"/>
      <c r="BW14" s="2643"/>
      <c r="BX14" s="2642" t="s">
        <v>1898</v>
      </c>
      <c r="BY14" s="2648"/>
      <c r="BZ14" s="2642" t="s">
        <v>1604</v>
      </c>
      <c r="CA14" s="2648"/>
      <c r="CB14" s="2642" t="s">
        <v>1605</v>
      </c>
      <c r="CC14" s="2648"/>
      <c r="CD14" s="2642" t="s">
        <v>775</v>
      </c>
      <c r="CE14" s="2648"/>
      <c r="CF14" s="1099" t="s">
        <v>1707</v>
      </c>
      <c r="CG14" s="1099" t="s">
        <v>1708</v>
      </c>
      <c r="CH14" s="1099" t="s">
        <v>768</v>
      </c>
      <c r="CI14" s="1099" t="s">
        <v>1905</v>
      </c>
      <c r="CJ14" s="1101" t="s">
        <v>197</v>
      </c>
      <c r="CL14" s="2634"/>
      <c r="CM14" s="2635"/>
      <c r="CN14" s="2639"/>
      <c r="CO14" s="1113" t="s">
        <v>765</v>
      </c>
      <c r="CP14" s="1113" t="s">
        <v>1709</v>
      </c>
      <c r="CQ14" s="1113" t="s">
        <v>1918</v>
      </c>
      <c r="CR14" s="2642" t="s">
        <v>1711</v>
      </c>
      <c r="CS14" s="2643"/>
      <c r="CT14" s="1113" t="s">
        <v>768</v>
      </c>
      <c r="CU14" s="1113" t="s">
        <v>197</v>
      </c>
      <c r="CV14" s="2642" t="s">
        <v>1926</v>
      </c>
      <c r="CW14" s="2643"/>
      <c r="CX14" s="1113" t="s">
        <v>266</v>
      </c>
      <c r="CY14" s="1113" t="s">
        <v>267</v>
      </c>
      <c r="CZ14" s="1113" t="s">
        <v>268</v>
      </c>
      <c r="DA14" s="1113" t="s">
        <v>269</v>
      </c>
      <c r="DB14" s="1113" t="s">
        <v>20</v>
      </c>
      <c r="DC14" s="2642" t="s">
        <v>1898</v>
      </c>
      <c r="DD14" s="2643"/>
      <c r="DE14" s="2642" t="s">
        <v>1604</v>
      </c>
      <c r="DF14" s="2643"/>
      <c r="DG14" s="2642" t="s">
        <v>1605</v>
      </c>
      <c r="DH14" s="2643"/>
      <c r="DI14" s="2642" t="s">
        <v>775</v>
      </c>
      <c r="DJ14" s="2643"/>
      <c r="DK14" s="1099" t="s">
        <v>1707</v>
      </c>
      <c r="DL14" s="1099" t="s">
        <v>1708</v>
      </c>
      <c r="DM14" s="1099" t="s">
        <v>768</v>
      </c>
      <c r="DN14" s="1099" t="s">
        <v>1905</v>
      </c>
      <c r="DO14" s="1101" t="s">
        <v>197</v>
      </c>
    </row>
    <row r="15" spans="1:120" s="16" customFormat="1" ht="15" customHeight="1">
      <c r="A15" s="1411"/>
      <c r="B15" s="2634"/>
      <c r="C15" s="2635"/>
      <c r="D15" s="2641"/>
      <c r="E15" s="1099" t="s">
        <v>49</v>
      </c>
      <c r="F15" s="1099" t="s">
        <v>51</v>
      </c>
      <c r="G15" s="1099" t="s">
        <v>57</v>
      </c>
      <c r="H15" s="1099" t="s">
        <v>58</v>
      </c>
      <c r="I15" s="1099" t="s">
        <v>61</v>
      </c>
      <c r="J15" s="1099" t="s">
        <v>62</v>
      </c>
      <c r="K15" s="1099" t="s">
        <v>65</v>
      </c>
      <c r="L15" s="1099" t="s">
        <v>67</v>
      </c>
      <c r="M15" s="1099" t="s">
        <v>75</v>
      </c>
      <c r="N15" s="1099" t="s">
        <v>76</v>
      </c>
      <c r="O15" s="1099" t="s">
        <v>79</v>
      </c>
      <c r="P15" s="1099" t="s">
        <v>80</v>
      </c>
      <c r="Q15" s="1099" t="s">
        <v>83</v>
      </c>
      <c r="R15" s="1099" t="s">
        <v>86</v>
      </c>
      <c r="S15" s="1099" t="s">
        <v>90</v>
      </c>
      <c r="T15" s="1099" t="s">
        <v>92</v>
      </c>
      <c r="U15" s="1099" t="s">
        <v>96</v>
      </c>
      <c r="V15" s="1099" t="s">
        <v>98</v>
      </c>
      <c r="W15" s="1099" t="s">
        <v>102</v>
      </c>
      <c r="X15" s="1099" t="s">
        <v>104</v>
      </c>
      <c r="Y15" s="1099" t="s">
        <v>108</v>
      </c>
      <c r="Z15" s="1099" t="s">
        <v>110</v>
      </c>
      <c r="AA15" s="1099" t="s">
        <v>115</v>
      </c>
      <c r="AB15" s="1099" t="s">
        <v>117</v>
      </c>
      <c r="AC15" s="1099" t="s">
        <v>122</v>
      </c>
      <c r="AD15" s="1099" t="s">
        <v>124</v>
      </c>
      <c r="AE15" s="1099" t="s">
        <v>129</v>
      </c>
      <c r="AF15" s="1099" t="s">
        <v>130</v>
      </c>
      <c r="AG15" s="1099" t="s">
        <v>135</v>
      </c>
      <c r="AH15" s="1099" t="s">
        <v>137</v>
      </c>
      <c r="AI15" s="1099" t="s">
        <v>142</v>
      </c>
      <c r="AJ15" s="1101" t="s">
        <v>144</v>
      </c>
      <c r="AL15" s="2634"/>
      <c r="AM15" s="2635"/>
      <c r="AN15" s="2639"/>
      <c r="AO15" s="1099" t="s">
        <v>49</v>
      </c>
      <c r="AP15" s="1099" t="s">
        <v>51</v>
      </c>
      <c r="AQ15" s="1099" t="s">
        <v>53</v>
      </c>
      <c r="AR15" s="1099" t="s">
        <v>57</v>
      </c>
      <c r="AS15" s="1099" t="s">
        <v>58</v>
      </c>
      <c r="AT15" s="1099" t="s">
        <v>59</v>
      </c>
      <c r="AU15" s="1099" t="s">
        <v>61</v>
      </c>
      <c r="AV15" s="1099" t="s">
        <v>62</v>
      </c>
      <c r="AW15" s="1099" t="s">
        <v>63</v>
      </c>
      <c r="AX15" s="1099" t="s">
        <v>65</v>
      </c>
      <c r="AY15" s="1099" t="s">
        <v>67</v>
      </c>
      <c r="AZ15" s="1099" t="s">
        <v>69</v>
      </c>
      <c r="BA15" s="1099" t="s">
        <v>75</v>
      </c>
      <c r="BB15" s="1099" t="s">
        <v>76</v>
      </c>
      <c r="BC15" s="1099" t="s">
        <v>77</v>
      </c>
      <c r="BD15" s="1099" t="s">
        <v>79</v>
      </c>
      <c r="BE15" s="1099" t="s">
        <v>80</v>
      </c>
      <c r="BF15" s="1099" t="s">
        <v>81</v>
      </c>
      <c r="BG15" s="1099" t="s">
        <v>83</v>
      </c>
      <c r="BH15" s="1099" t="s">
        <v>86</v>
      </c>
      <c r="BI15" s="1099" t="s">
        <v>90</v>
      </c>
      <c r="BJ15" s="1099" t="s">
        <v>92</v>
      </c>
      <c r="BK15" s="1099" t="s">
        <v>94</v>
      </c>
      <c r="BL15" s="1099" t="s">
        <v>96</v>
      </c>
      <c r="BM15" s="1099" t="s">
        <v>98</v>
      </c>
      <c r="BN15" s="1099" t="s">
        <v>100</v>
      </c>
      <c r="BO15" s="1099" t="s">
        <v>102</v>
      </c>
      <c r="BP15" s="1099" t="s">
        <v>104</v>
      </c>
      <c r="BQ15" s="1099" t="s">
        <v>106</v>
      </c>
      <c r="BR15" s="1099" t="s">
        <v>108</v>
      </c>
      <c r="BS15" s="1099" t="s">
        <v>110</v>
      </c>
      <c r="BT15" s="1099" t="s">
        <v>112</v>
      </c>
      <c r="BU15" s="1099" t="s">
        <v>115</v>
      </c>
      <c r="BV15" s="1099" t="s">
        <v>117</v>
      </c>
      <c r="BW15" s="1099" t="s">
        <v>623</v>
      </c>
      <c r="BX15" s="1099" t="s">
        <v>122</v>
      </c>
      <c r="BY15" s="1099" t="s">
        <v>124</v>
      </c>
      <c r="BZ15" s="1099" t="s">
        <v>129</v>
      </c>
      <c r="CA15" s="1099" t="s">
        <v>130</v>
      </c>
      <c r="CB15" s="1099" t="s">
        <v>135</v>
      </c>
      <c r="CC15" s="1099" t="s">
        <v>137</v>
      </c>
      <c r="CD15" s="1099" t="s">
        <v>142</v>
      </c>
      <c r="CE15" s="1099" t="s">
        <v>144</v>
      </c>
      <c r="CF15" s="1099" t="s">
        <v>150</v>
      </c>
      <c r="CG15" s="1099" t="s">
        <v>152</v>
      </c>
      <c r="CH15" s="1099" t="s">
        <v>156</v>
      </c>
      <c r="CI15" s="1099" t="s">
        <v>167</v>
      </c>
      <c r="CJ15" s="1101" t="s">
        <v>168</v>
      </c>
      <c r="CL15" s="2634"/>
      <c r="CM15" s="2635"/>
      <c r="CN15" s="2639"/>
      <c r="CO15" s="1099" t="s">
        <v>49</v>
      </c>
      <c r="CP15" s="1099" t="s">
        <v>57</v>
      </c>
      <c r="CQ15" s="1099" t="s">
        <v>61</v>
      </c>
      <c r="CR15" s="1099" t="s">
        <v>65</v>
      </c>
      <c r="CS15" s="1099" t="s">
        <v>71</v>
      </c>
      <c r="CT15" s="1099" t="s">
        <v>75</v>
      </c>
      <c r="CU15" s="1099" t="s">
        <v>79</v>
      </c>
      <c r="CV15" s="1099" t="s">
        <v>83</v>
      </c>
      <c r="CW15" s="1099" t="s">
        <v>86</v>
      </c>
      <c r="CX15" s="1099" t="s">
        <v>90</v>
      </c>
      <c r="CY15" s="1099" t="s">
        <v>96</v>
      </c>
      <c r="CZ15" s="1099" t="s">
        <v>102</v>
      </c>
      <c r="DA15" s="1099" t="s">
        <v>108</v>
      </c>
      <c r="DB15" s="1099" t="s">
        <v>115</v>
      </c>
      <c r="DC15" s="1099" t="s">
        <v>122</v>
      </c>
      <c r="DD15" s="1099" t="s">
        <v>126</v>
      </c>
      <c r="DE15" s="1099" t="s">
        <v>129</v>
      </c>
      <c r="DF15" s="1099" t="s">
        <v>132</v>
      </c>
      <c r="DG15" s="1099" t="s">
        <v>135</v>
      </c>
      <c r="DH15" s="1099" t="s">
        <v>139</v>
      </c>
      <c r="DI15" s="1099" t="s">
        <v>142</v>
      </c>
      <c r="DJ15" s="1099" t="s">
        <v>146</v>
      </c>
      <c r="DK15" s="1099" t="s">
        <v>150</v>
      </c>
      <c r="DL15" s="1099" t="s">
        <v>152</v>
      </c>
      <c r="DM15" s="1099" t="s">
        <v>156</v>
      </c>
      <c r="DN15" s="1099" t="s">
        <v>167</v>
      </c>
      <c r="DO15" s="1101" t="s">
        <v>168</v>
      </c>
    </row>
    <row r="16" spans="1:120" s="16" customFormat="1" ht="15" customHeight="1">
      <c r="A16" s="1411"/>
      <c r="B16" s="2636"/>
      <c r="C16" s="2637"/>
      <c r="D16" s="2252"/>
      <c r="E16" s="1095">
        <v>1</v>
      </c>
      <c r="F16" s="1095">
        <v>2</v>
      </c>
      <c r="G16" s="1095">
        <v>1</v>
      </c>
      <c r="H16" s="1095">
        <v>2</v>
      </c>
      <c r="I16" s="1095">
        <v>1</v>
      </c>
      <c r="J16" s="1095">
        <v>2</v>
      </c>
      <c r="K16" s="1095">
        <v>1</v>
      </c>
      <c r="L16" s="1095">
        <v>2</v>
      </c>
      <c r="M16" s="1095">
        <v>1</v>
      </c>
      <c r="N16" s="1095">
        <v>2</v>
      </c>
      <c r="O16" s="1095">
        <v>1</v>
      </c>
      <c r="P16" s="1095">
        <v>2</v>
      </c>
      <c r="Q16" s="1095">
        <v>1</v>
      </c>
      <c r="R16" s="1095">
        <v>1</v>
      </c>
      <c r="S16" s="1095">
        <v>1</v>
      </c>
      <c r="T16" s="1095">
        <v>2</v>
      </c>
      <c r="U16" s="1095">
        <v>1</v>
      </c>
      <c r="V16" s="1095">
        <v>2</v>
      </c>
      <c r="W16" s="1095">
        <v>1</v>
      </c>
      <c r="X16" s="1095">
        <v>2</v>
      </c>
      <c r="Y16" s="1095">
        <v>1</v>
      </c>
      <c r="Z16" s="1095">
        <v>2</v>
      </c>
      <c r="AA16" s="1095">
        <v>1</v>
      </c>
      <c r="AB16" s="1095">
        <v>2</v>
      </c>
      <c r="AC16" s="1095">
        <v>1</v>
      </c>
      <c r="AD16" s="1095">
        <v>3</v>
      </c>
      <c r="AE16" s="1095">
        <v>1</v>
      </c>
      <c r="AF16" s="1095">
        <v>3</v>
      </c>
      <c r="AG16" s="1095">
        <v>1</v>
      </c>
      <c r="AH16" s="1095">
        <v>3</v>
      </c>
      <c r="AI16" s="1095">
        <v>1</v>
      </c>
      <c r="AJ16" s="1102">
        <v>3</v>
      </c>
      <c r="AL16" s="2636"/>
      <c r="AM16" s="2637"/>
      <c r="AN16" s="2640"/>
      <c r="AO16" s="1095">
        <v>1</v>
      </c>
      <c r="AP16" s="1095">
        <v>2</v>
      </c>
      <c r="AQ16" s="1095">
        <v>3</v>
      </c>
      <c r="AR16" s="1095">
        <v>1</v>
      </c>
      <c r="AS16" s="1095">
        <v>2</v>
      </c>
      <c r="AT16" s="1095">
        <v>3</v>
      </c>
      <c r="AU16" s="1095">
        <v>1</v>
      </c>
      <c r="AV16" s="1095">
        <v>2</v>
      </c>
      <c r="AW16" s="1095">
        <v>3</v>
      </c>
      <c r="AX16" s="1095">
        <v>1</v>
      </c>
      <c r="AY16" s="1095">
        <v>2</v>
      </c>
      <c r="AZ16" s="1095">
        <v>3</v>
      </c>
      <c r="BA16" s="1095">
        <v>1</v>
      </c>
      <c r="BB16" s="1095">
        <v>2</v>
      </c>
      <c r="BC16" s="1095">
        <v>3</v>
      </c>
      <c r="BD16" s="1095">
        <v>1</v>
      </c>
      <c r="BE16" s="1095">
        <v>2</v>
      </c>
      <c r="BF16" s="1095">
        <v>3</v>
      </c>
      <c r="BG16" s="1095">
        <v>1</v>
      </c>
      <c r="BH16" s="1095">
        <v>1</v>
      </c>
      <c r="BI16" s="1095">
        <v>1</v>
      </c>
      <c r="BJ16" s="1095">
        <v>2</v>
      </c>
      <c r="BK16" s="1095">
        <v>3</v>
      </c>
      <c r="BL16" s="1095">
        <v>1</v>
      </c>
      <c r="BM16" s="1095">
        <v>2</v>
      </c>
      <c r="BN16" s="1095">
        <v>3</v>
      </c>
      <c r="BO16" s="1095">
        <v>1</v>
      </c>
      <c r="BP16" s="1095">
        <v>2</v>
      </c>
      <c r="BQ16" s="1095">
        <v>3</v>
      </c>
      <c r="BR16" s="1095">
        <v>1</v>
      </c>
      <c r="BS16" s="1095">
        <v>2</v>
      </c>
      <c r="BT16" s="1095">
        <v>3</v>
      </c>
      <c r="BU16" s="1095">
        <v>1</v>
      </c>
      <c r="BV16" s="1095">
        <v>2</v>
      </c>
      <c r="BW16" s="1095">
        <v>3</v>
      </c>
      <c r="BX16" s="1095">
        <v>1</v>
      </c>
      <c r="BY16" s="1095">
        <v>3</v>
      </c>
      <c r="BZ16" s="1095">
        <v>1</v>
      </c>
      <c r="CA16" s="1095">
        <v>3</v>
      </c>
      <c r="CB16" s="1095">
        <v>1</v>
      </c>
      <c r="CC16" s="1095">
        <v>3</v>
      </c>
      <c r="CD16" s="1095">
        <v>1</v>
      </c>
      <c r="CE16" s="1095">
        <v>3</v>
      </c>
      <c r="CF16" s="1095">
        <v>1</v>
      </c>
      <c r="CG16" s="1095">
        <v>1</v>
      </c>
      <c r="CH16" s="1095">
        <v>1</v>
      </c>
      <c r="CI16" s="1095">
        <v>1</v>
      </c>
      <c r="CJ16" s="1102">
        <v>1</v>
      </c>
      <c r="CL16" s="2636"/>
      <c r="CM16" s="2637"/>
      <c r="CN16" s="2640"/>
      <c r="CO16" s="1095">
        <v>1</v>
      </c>
      <c r="CP16" s="1095">
        <v>1</v>
      </c>
      <c r="CQ16" s="1095">
        <v>1</v>
      </c>
      <c r="CR16" s="1095">
        <v>1</v>
      </c>
      <c r="CS16" s="1095">
        <v>1</v>
      </c>
      <c r="CT16" s="1095">
        <v>1</v>
      </c>
      <c r="CU16" s="1095">
        <v>1</v>
      </c>
      <c r="CV16" s="1095">
        <v>1</v>
      </c>
      <c r="CW16" s="1095">
        <v>1</v>
      </c>
      <c r="CX16" s="1095">
        <v>1</v>
      </c>
      <c r="CY16" s="1095">
        <v>1</v>
      </c>
      <c r="CZ16" s="1095">
        <v>1</v>
      </c>
      <c r="DA16" s="1095">
        <v>1</v>
      </c>
      <c r="DB16" s="1095">
        <v>1</v>
      </c>
      <c r="DC16" s="1095">
        <v>1</v>
      </c>
      <c r="DD16" s="1095">
        <v>1</v>
      </c>
      <c r="DE16" s="1095">
        <v>1</v>
      </c>
      <c r="DF16" s="1095">
        <v>1</v>
      </c>
      <c r="DG16" s="1095">
        <v>1</v>
      </c>
      <c r="DH16" s="1095">
        <v>1</v>
      </c>
      <c r="DI16" s="1095">
        <v>1</v>
      </c>
      <c r="DJ16" s="1095">
        <v>1</v>
      </c>
      <c r="DK16" s="1095">
        <v>1</v>
      </c>
      <c r="DL16" s="1095">
        <v>1</v>
      </c>
      <c r="DM16" s="1095">
        <v>1</v>
      </c>
      <c r="DN16" s="1095">
        <v>1</v>
      </c>
      <c r="DO16" s="1102">
        <v>1</v>
      </c>
    </row>
    <row r="17" spans="1:119" s="15" customFormat="1" ht="15" customHeight="1">
      <c r="A17" s="1789">
        <v>1</v>
      </c>
      <c r="B17" s="2628" t="str">
        <f>IF(Data_5!B12&lt;&gt;"",Data_5!B12,"")</f>
        <v>Atlantis</v>
      </c>
      <c r="C17" s="2629"/>
      <c r="D17" s="1462">
        <f>IFERROR(VLOOKUP($B17,Data_5!$B$12:$C$42,2,FALSE),"")</f>
        <v>2014</v>
      </c>
      <c r="E17" s="1122">
        <f>IFERROR(IF(HLOOKUP(E$15,Data_5!$F$10:$BG$42,$A17+2,FALSE)="NO","NO",IF(HLOOKUP(E$15,Data_5!$F$10:$BG$42,$A17+2,FALSE)="IE","IE",IF(HLOOKUP(E$15,Data_5!$F$10:$BG$42,$A17+2,FALSE)="NE","NE",IF(HLOOKUP(E$15,Data_5!$F$10:$BG$42,$A17+2,FALSE)="C","C",IF(HLOOKUP(E$15,Data_5!$F$10:$BG$42,$A17+2,FALSE)="NO","NO",HLOOKUP(E$15,Data_5!$F$10:$BG$42,$A17+2,FALSE)/Data_5!$BH12))))),"")</f>
        <v>9.0426781272154089E-2</v>
      </c>
      <c r="F17" s="1122">
        <f>IFERROR(IF(HLOOKUP(F$15,Data_5!$F$10:$BG$42,$A17+2,FALSE)="NO","NO",IF(HLOOKUP(F$15,Data_5!$F$10:$BG$42,$A17+2,FALSE)="IE","IE",IF(HLOOKUP(F$15,Data_5!$F$10:$BG$42,$A17+2,FALSE)="NE","NE",IF(HLOOKUP(F$15,Data_5!$F$10:$BG$42,$A17+2,FALSE)="C","C",IF(HLOOKUP(F$15,Data_5!$F$10:$BG$42,$A17+2,FALSE)="NO","NO",HLOOKUP(F$15,Data_5!$F$10:$BG$42,$A17+2,FALSE)/Data_5!$BH12))))),"")</f>
        <v>0.13887015485984233</v>
      </c>
      <c r="G17" s="1122">
        <f>IFERROR(IF(HLOOKUP(G$15,Data_5!$F$10:$BG$42,$A17+2,FALSE)="NO","NO",IF(HLOOKUP(G$15,Data_5!$F$10:$BG$42,$A17+2,FALSE)="IE","IE",IF(HLOOKUP(G$15,Data_5!$F$10:$BG$42,$A17+2,FALSE)="NE","NE",IF(HLOOKUP(G$15,Data_5!$F$10:$BG$42,$A17+2,FALSE)="C","C",IF(HLOOKUP(G$15,Data_5!$F$10:$BG$42,$A17+2,FALSE)="NO","NO",HLOOKUP(G$15,Data_5!$F$10:$BG$42,$A17+2,FALSE)/Data_5!$BH12))))),"")</f>
        <v>0.11166960254836109</v>
      </c>
      <c r="H17" s="1122">
        <f>IFERROR(IF(HLOOKUP(H$15,Data_5!$F$10:$BG$42,$A17+2,FALSE)="NO","NO",IF(HLOOKUP(H$15,Data_5!$F$10:$BG$42,$A17+2,FALSE)="IE","IE",IF(HLOOKUP(H$15,Data_5!$F$10:$BG$42,$A17+2,FALSE)="NE","NE",IF(HLOOKUP(H$15,Data_5!$F$10:$BG$42,$A17+2,FALSE)="C","C",IF(HLOOKUP(H$15,Data_5!$F$10:$BG$42,$A17+2,FALSE)="NO","NO",HLOOKUP(H$15,Data_5!$F$10:$BG$42,$A17+2,FALSE)/Data_5!$BH12))))),"")</f>
        <v>0.17985853945394087</v>
      </c>
      <c r="I17" s="1122" t="str">
        <f>IFERROR(IF(HLOOKUP(I$15,Data_5!$F$10:$BG$42,$A17+2,FALSE)="NO","NO",IF(HLOOKUP(I$15,Data_5!$F$10:$BG$42,$A17+2,FALSE)="IE","IE",IF(HLOOKUP(I$15,Data_5!$F$10:$BG$42,$A17+2,FALSE)="NE","NE",IF(HLOOKUP(I$15,Data_5!$F$10:$BG$42,$A17+2,FALSE)="C","C",IF(HLOOKUP(I$15,Data_5!$F$10:$BG$42,$A17+2,FALSE)="NO","NO",HLOOKUP(I$15,Data_5!$F$10:$BG$42,$A17+2,FALSE)/Data_5!$BH12))))),"")</f>
        <v>IE</v>
      </c>
      <c r="J17" s="1122" t="str">
        <f>IFERROR(IF(HLOOKUP(J$15,Data_5!$F$10:$BG$42,$A17+2,FALSE)="NO","NO",IF(HLOOKUP(J$15,Data_5!$F$10:$BG$42,$A17+2,FALSE)="IE","IE",IF(HLOOKUP(J$15,Data_5!$F$10:$BG$42,$A17+2,FALSE)="NE","NE",IF(HLOOKUP(J$15,Data_5!$F$10:$BG$42,$A17+2,FALSE)="C","C",IF(HLOOKUP(J$15,Data_5!$F$10:$BG$42,$A17+2,FALSE)="NO","NO",HLOOKUP(J$15,Data_5!$F$10:$BG$42,$A17+2,FALSE)/Data_5!$BH12))))),"")</f>
        <v>IE</v>
      </c>
      <c r="K17" s="1122" t="str">
        <f>IFERROR(IF(HLOOKUP(K$15,Data_5!$F$10:$BG$42,$A17+2,FALSE)="NO","NO",IF(HLOOKUP(K$15,Data_5!$F$10:$BG$42,$A17+2,FALSE)="IE","IE",IF(HLOOKUP(K$15,Data_5!$F$10:$BG$42,$A17+2,FALSE)="NE","NE",IF(HLOOKUP(K$15,Data_5!$F$10:$BG$42,$A17+2,FALSE)="C","C",IF(HLOOKUP(K$15,Data_5!$F$10:$BG$42,$A17+2,FALSE)="NO","NO",HLOOKUP(K$15,Data_5!$F$10:$BG$42,$A17+2,FALSE)/Data_5!$BH12))))),"")</f>
        <v>NO</v>
      </c>
      <c r="L17" s="1122" t="str">
        <f>IFERROR(IF(HLOOKUP(L$15,Data_5!$F$10:$BG$42,$A17+2,FALSE)="NO","NO",IF(HLOOKUP(L$15,Data_5!$F$10:$BG$42,$A17+2,FALSE)="IE","IE",IF(HLOOKUP(L$15,Data_5!$F$10:$BG$42,$A17+2,FALSE)="NE","NE",IF(HLOOKUP(L$15,Data_5!$F$10:$BG$42,$A17+2,FALSE)="C","C",IF(HLOOKUP(L$15,Data_5!$F$10:$BG$42,$A17+2,FALSE)="NO","NO",HLOOKUP(L$15,Data_5!$F$10:$BG$42,$A17+2,FALSE)/Data_5!$BH12))))),"")</f>
        <v>NO</v>
      </c>
      <c r="M17" s="1122" t="str">
        <f>IFERROR(IF(HLOOKUP(M$15,Data_5!$F$10:$BG$42,$A17+2,FALSE)="NO","NO",IF(HLOOKUP(M$15,Data_5!$F$10:$BG$42,$A17+2,FALSE)="IE","IE",IF(HLOOKUP(M$15,Data_5!$F$10:$BG$42,$A17+2,FALSE)="NE","NE",IF(HLOOKUP(M$15,Data_5!$F$10:$BG$42,$A17+2,FALSE)="C","C",IF(HLOOKUP(M$15,Data_5!$F$10:$BG$42,$A17+2,FALSE)="NO","NO",HLOOKUP(M$15,Data_5!$F$10:$BG$42,$A17+2,FALSE)/Data_5!$BH12))))),"")</f>
        <v>NO</v>
      </c>
      <c r="N17" s="1122" t="str">
        <f>IFERROR(IF(HLOOKUP(N$15,Data_5!$F$10:$BG$42,$A17+2,FALSE)="NO","NO",IF(HLOOKUP(N$15,Data_5!$F$10:$BG$42,$A17+2,FALSE)="IE","IE",IF(HLOOKUP(N$15,Data_5!$F$10:$BG$42,$A17+2,FALSE)="NE","NE",IF(HLOOKUP(N$15,Data_5!$F$10:$BG$42,$A17+2,FALSE)="C","C",IF(HLOOKUP(N$15,Data_5!$F$10:$BG$42,$A17+2,FALSE)="NO","NO",HLOOKUP(N$15,Data_5!$F$10:$BG$42,$A17+2,FALSE)/Data_5!$BH12))))),"")</f>
        <v>NO</v>
      </c>
      <c r="O17" s="1122" t="str">
        <f>IFERROR(IF(HLOOKUP(O$15,Data_5!$F$10:$BG$42,$A17+2,FALSE)="NO","NO",IF(HLOOKUP(O$15,Data_5!$F$10:$BG$42,$A17+2,FALSE)="IE","IE",IF(HLOOKUP(O$15,Data_5!$F$10:$BG$42,$A17+2,FALSE)="NE","NE",IF(HLOOKUP(O$15,Data_5!$F$10:$BG$42,$A17+2,FALSE)="C","C",IF(HLOOKUP(O$15,Data_5!$F$10:$BG$42,$A17+2,FALSE)="NO","NO",HLOOKUP(O$15,Data_5!$F$10:$BG$42,$A17+2,FALSE)/Data_5!$BH12))))),"")</f>
        <v>NO</v>
      </c>
      <c r="P17" s="1122" t="str">
        <f>IFERROR(IF(HLOOKUP(P$15,Data_5!$F$10:$BG$42,$A17+2,FALSE)="NO","NO",IF(HLOOKUP(P$15,Data_5!$F$10:$BG$42,$A17+2,FALSE)="IE","IE",IF(HLOOKUP(P$15,Data_5!$F$10:$BG$42,$A17+2,FALSE)="NE","NE",IF(HLOOKUP(P$15,Data_5!$F$10:$BG$42,$A17+2,FALSE)="C","C",IF(HLOOKUP(P$15,Data_5!$F$10:$BG$42,$A17+2,FALSE)="NO","NO",HLOOKUP(P$15,Data_5!$F$10:$BG$42,$A17+2,FALSE)/Data_5!$BH12))))),"")</f>
        <v>NO</v>
      </c>
      <c r="Q17" s="1122" t="str">
        <f>IFERROR(IF(HLOOKUP(Q$15,Data_5!$F$10:$BG$42,$A17+2,FALSE)="NO","NO",IF(HLOOKUP(Q$15,Data_5!$F$10:$BG$42,$A17+2,FALSE)="IE","IE",IF(HLOOKUP(Q$15,Data_5!$F$10:$BG$42,$A17+2,FALSE)="NE","NE",IF(HLOOKUP(Q$15,Data_5!$F$10:$BG$42,$A17+2,FALSE)="C","C",IF(HLOOKUP(Q$15,Data_5!$F$10:$BG$42,$A17+2,FALSE)="NO","NO",HLOOKUP(Q$15,Data_5!$F$10:$BG$42,$A17+2,FALSE)/Data_5!$BH12))))),"")</f>
        <v>NO</v>
      </c>
      <c r="R17" s="1122">
        <f>IFERROR(IF(HLOOKUP(R$15,Data_5!$F$10:$BG$42,$A17+2,FALSE)="NO","NO",IF(HLOOKUP(R$15,Data_5!$F$10:$BG$42,$A17+2,FALSE)="IE","IE",IF(HLOOKUP(R$15,Data_5!$F$10:$BG$42,$A17+2,FALSE)="NE","NE",IF(HLOOKUP(R$15,Data_5!$F$10:$BG$42,$A17+2,FALSE)="C","C",IF(HLOOKUP(R$15,Data_5!$F$10:$BG$42,$A17+2,FALSE)="NO","NO",HLOOKUP(R$15,Data_5!$F$10:$BG$42,$A17+2,FALSE)/Data_5!$BH12))))),"")</f>
        <v>1.323416913484988E-3</v>
      </c>
      <c r="S17" s="1122">
        <f>IFERROR(IF(HLOOKUP(S$15,Data_5!$F$10:$BG$42,$A17+2,FALSE)="NO","NO",IF(HLOOKUP(S$15,Data_5!$F$10:$BG$42,$A17+2,FALSE)="IE","IE",IF(HLOOKUP(S$15,Data_5!$F$10:$BG$42,$A17+2,FALSE)="NE","NE",IF(HLOOKUP(S$15,Data_5!$F$10:$BG$42,$A17+2,FALSE)="C","C",IF(HLOOKUP(S$15,Data_5!$F$10:$BG$42,$A17+2,FALSE)="NO","NO",HLOOKUP(S$15,Data_5!$F$10:$BG$42,$A17+2,FALSE)/Data_5!$BH12))))),"")</f>
        <v>0.31927976792418189</v>
      </c>
      <c r="T17" s="1122" t="str">
        <f>IFERROR(IF(HLOOKUP(T$15,Data_5!$F$10:$BG$42,$A17+2,FALSE)="NO","NO",IF(HLOOKUP(T$15,Data_5!$F$10:$BG$42,$A17+2,FALSE)="IE","IE",IF(HLOOKUP(T$15,Data_5!$F$10:$BG$42,$A17+2,FALSE)="NE","NE",IF(HLOOKUP(T$15,Data_5!$F$10:$BG$42,$A17+2,FALSE)="C","C",IF(HLOOKUP(T$15,Data_5!$F$10:$BG$42,$A17+2,FALSE)="NO","NO",HLOOKUP(T$15,Data_5!$F$10:$BG$42,$A17+2,FALSE)/Data_5!$BH12))))),"")</f>
        <v>IE</v>
      </c>
      <c r="U17" s="1122">
        <f>IFERROR(IF(HLOOKUP(U$15,Data_5!$F$10:$BG$42,$A17+2,FALSE)="NO","NO",IF(HLOOKUP(U$15,Data_5!$F$10:$BG$42,$A17+2,FALSE)="IE","IE",IF(HLOOKUP(U$15,Data_5!$F$10:$BG$42,$A17+2,FALSE)="NE","NE",IF(HLOOKUP(U$15,Data_5!$F$10:$BG$42,$A17+2,FALSE)="C","C",IF(HLOOKUP(U$15,Data_5!$F$10:$BG$42,$A17+2,FALSE)="NO","NO",HLOOKUP(U$15,Data_5!$F$10:$BG$42,$A17+2,FALSE)/Data_5!$BH12))))),"")</f>
        <v>6.7293710726071265E-2</v>
      </c>
      <c r="V17" s="1122">
        <f>IFERROR(IF(HLOOKUP(V$15,Data_5!$F$10:$BG$42,$A17+2,FALSE)="NO","NO",IF(HLOOKUP(V$15,Data_5!$F$10:$BG$42,$A17+2,FALSE)="IE","IE",IF(HLOOKUP(V$15,Data_5!$F$10:$BG$42,$A17+2,FALSE)="NE","NE",IF(HLOOKUP(V$15,Data_5!$F$10:$BG$42,$A17+2,FALSE)="C","C",IF(HLOOKUP(V$15,Data_5!$F$10:$BG$42,$A17+2,FALSE)="NO","NO",HLOOKUP(V$15,Data_5!$F$10:$BG$42,$A17+2,FALSE)/Data_5!$BH12))))),"")</f>
        <v>3.1241012106740719E-2</v>
      </c>
      <c r="W17" s="1122">
        <f>IFERROR(IF(HLOOKUP(W$15,Data_5!$F$10:$BG$42,$A17+2,FALSE)="NO","NO",IF(HLOOKUP(W$15,Data_5!$F$10:$BG$42,$A17+2,FALSE)="IE","IE",IF(HLOOKUP(W$15,Data_5!$F$10:$BG$42,$A17+2,FALSE)="NE","NE",IF(HLOOKUP(W$15,Data_5!$F$10:$BG$42,$A17+2,FALSE)="C","C",IF(HLOOKUP(W$15,Data_5!$F$10:$BG$42,$A17+2,FALSE)="NO","NO",HLOOKUP(W$15,Data_5!$F$10:$BG$42,$A17+2,FALSE)/Data_5!$BH12))))),"")</f>
        <v>2.3174125998739951E-3</v>
      </c>
      <c r="X17" s="1122" t="str">
        <f>IFERROR(IF(HLOOKUP(X$15,Data_5!$F$10:$BG$42,$A17+2,FALSE)="NO","NO",IF(HLOOKUP(X$15,Data_5!$F$10:$BG$42,$A17+2,FALSE)="IE","IE",IF(HLOOKUP(X$15,Data_5!$F$10:$BG$42,$A17+2,FALSE)="NE","NE",IF(HLOOKUP(X$15,Data_5!$F$10:$BG$42,$A17+2,FALSE)="C","C",IF(HLOOKUP(X$15,Data_5!$F$10:$BG$42,$A17+2,FALSE)="NO","NO",HLOOKUP(X$15,Data_5!$F$10:$BG$42,$A17+2,FALSE)/Data_5!$BH12))))),"")</f>
        <v>NO</v>
      </c>
      <c r="Y17" s="1122" t="str">
        <f>IFERROR(IF(HLOOKUP(Y$15,Data_5!$F$10:$BG$42,$A17+2,FALSE)="NO","NO",IF(HLOOKUP(Y$15,Data_5!$F$10:$BG$42,$A17+2,FALSE)="IE","IE",IF(HLOOKUP(Y$15,Data_5!$F$10:$BG$42,$A17+2,FALSE)="NE","NE",IF(HLOOKUP(Y$15,Data_5!$F$10:$BG$42,$A17+2,FALSE)="C","C",IF(HLOOKUP(Y$15,Data_5!$F$10:$BG$42,$A17+2,FALSE)="NO","NO",HLOOKUP(Y$15,Data_5!$F$10:$BG$42,$A17+2,FALSE)/Data_5!$BH12))))),"")</f>
        <v>NO</v>
      </c>
      <c r="Z17" s="1122" t="str">
        <f>IFERROR(IF(HLOOKUP(Z$15,Data_5!$F$10:$BG$42,$A17+2,FALSE)="NO","NO",IF(HLOOKUP(Z$15,Data_5!$F$10:$BG$42,$A17+2,FALSE)="IE","IE",IF(HLOOKUP(Z$15,Data_5!$F$10:$BG$42,$A17+2,FALSE)="NE","NE",IF(HLOOKUP(Z$15,Data_5!$F$10:$BG$42,$A17+2,FALSE)="C","C",IF(HLOOKUP(Z$15,Data_5!$F$10:$BG$42,$A17+2,FALSE)="NO","NO",HLOOKUP(Z$15,Data_5!$F$10:$BG$42,$A17+2,FALSE)/Data_5!$BH12))))),"")</f>
        <v>NO</v>
      </c>
      <c r="AA17" s="1122" t="str">
        <f>IFERROR(IF(HLOOKUP(AA$15,Data_5!$F$10:$BG$42,$A17+2,FALSE)="NO","NO",IF(HLOOKUP(AA$15,Data_5!$F$10:$BG$42,$A17+2,FALSE)="IE","IE",IF(HLOOKUP(AA$15,Data_5!$F$10:$BG$42,$A17+2,FALSE)="NE","NE",IF(HLOOKUP(AA$15,Data_5!$F$10:$BG$42,$A17+2,FALSE)="C","C",IF(HLOOKUP(AA$15,Data_5!$F$10:$BG$42,$A17+2,FALSE)="NO","NO",HLOOKUP(AA$15,Data_5!$F$10:$BG$42,$A17+2,FALSE)/Data_5!$BH12))))),"")</f>
        <v>NO</v>
      </c>
      <c r="AB17" s="1122" t="str">
        <f>IFERROR(IF(HLOOKUP(AB$15,Data_5!$F$10:$BG$42,$A17+2,FALSE)="NO","NO",IF(HLOOKUP(AB$15,Data_5!$F$10:$BG$42,$A17+2,FALSE)="IE","IE",IF(HLOOKUP(AB$15,Data_5!$F$10:$BG$42,$A17+2,FALSE)="NE","NE",IF(HLOOKUP(AB$15,Data_5!$F$10:$BG$42,$A17+2,FALSE)="C","C",IF(HLOOKUP(AB$15,Data_5!$F$10:$BG$42,$A17+2,FALSE)="NO","NO",HLOOKUP(AB$15,Data_5!$F$10:$BG$42,$A17+2,FALSE)/Data_5!$BH12))))),"")</f>
        <v>NO</v>
      </c>
      <c r="AC17" s="1122">
        <f>IFERROR(IF(HLOOKUP(AC$15,Data_5!$F$10:$BG$42,$A17+2,FALSE)="NO","NO",IF(HLOOKUP(AC$15,Data_5!$F$10:$BG$42,$A17+2,FALSE)="IE","IE",IF(HLOOKUP(AC$15,Data_5!$F$10:$BG$42,$A17+2,FALSE)="NE","NE",IF(HLOOKUP(AC$15,Data_5!$F$10:$BG$42,$A17+2,FALSE)="C","C",IF(HLOOKUP(AC$15,Data_5!$F$10:$BG$42,$A17+2,FALSE)="NO","NO",HLOOKUP(AC$15,Data_5!$F$10:$BG$42,$A17+2,FALSE)/Data_5!$BH12))))),"")</f>
        <v>3.4317640611051345E-2</v>
      </c>
      <c r="AD17" s="1122" t="str">
        <f>IFERROR(IF(HLOOKUP(AD$15,Data_5!$F$10:$BG$42,$A17+2,FALSE)="NO","NO",IF(HLOOKUP(AD$15,Data_5!$F$10:$BG$42,$A17+2,FALSE)="IE","IE",IF(HLOOKUP(AD$15,Data_5!$F$10:$BG$42,$A17+2,FALSE)="NE","NE",IF(HLOOKUP(AD$15,Data_5!$F$10:$BG$42,$A17+2,FALSE)="C","C",IF(HLOOKUP(AD$15,Data_5!$F$10:$BG$42,$A17+2,FALSE)="NO","NO",HLOOKUP(AD$15,Data_5!$F$10:$BG$42,$A17+2,FALSE)/Data_5!$BH12))))),"")</f>
        <v>NO</v>
      </c>
      <c r="AE17" s="1122">
        <f>IFERROR(IF(HLOOKUP(AE$15,Data_5!$F$10:$BG$42,$A17+2,FALSE)="NO","NO",IF(HLOOKUP(AE$15,Data_5!$F$10:$BG$42,$A17+2,FALSE)="IE","IE",IF(HLOOKUP(AE$15,Data_5!$F$10:$BG$42,$A17+2,FALSE)="NE","NE",IF(HLOOKUP(AE$15,Data_5!$F$10:$BG$42,$A17+2,FALSE)="C","C",IF(HLOOKUP(AE$15,Data_5!$F$10:$BG$42,$A17+2,FALSE)="NO","NO",HLOOKUP(AE$15,Data_5!$F$10:$BG$42,$A17+2,FALSE)/Data_5!$BH12))))),"")</f>
        <v>1.9620539058691753E-3</v>
      </c>
      <c r="AF17" s="1122">
        <f>IFERROR(IF(HLOOKUP(AF$15,Data_5!$F$10:$BG$42,$A17+2,FALSE)="NO","NO",IF(HLOOKUP(AF$15,Data_5!$F$10:$BG$42,$A17+2,FALSE)="IE","IE",IF(HLOOKUP(AF$15,Data_5!$F$10:$BG$42,$A17+2,FALSE)="NE","NE",IF(HLOOKUP(AF$15,Data_5!$F$10:$BG$42,$A17+2,FALSE)="C","C",IF(HLOOKUP(AF$15,Data_5!$F$10:$BG$42,$A17+2,FALSE)="NO","NO",HLOOKUP(AF$15,Data_5!$F$10:$BG$42,$A17+2,FALSE)/Data_5!$BH12))))),"")</f>
        <v>3.9241078117383506E-3</v>
      </c>
      <c r="AG17" s="1122" t="str">
        <f>IFERROR(IF(HLOOKUP(AG$15,Data_5!$F$10:$BG$42,$A17+2,FALSE)="NO","NO",IF(HLOOKUP(AG$15,Data_5!$F$10:$BG$42,$A17+2,FALSE)="IE","IE",IF(HLOOKUP(AG$15,Data_5!$F$10:$BG$42,$A17+2,FALSE)="NE","NE",IF(HLOOKUP(AG$15,Data_5!$F$10:$BG$42,$A17+2,FALSE)="C","C",IF(HLOOKUP(AG$15,Data_5!$F$10:$BG$42,$A17+2,FALSE)="NO","NO",HLOOKUP(AG$15,Data_5!$F$10:$BG$42,$A17+2,FALSE)/Data_5!$BH12))))),"")</f>
        <v>NO</v>
      </c>
      <c r="AH17" s="1122" t="str">
        <f>IFERROR(IF(HLOOKUP(AH$15,Data_5!$F$10:$BG$42,$A17+2,FALSE)="NO","NO",IF(HLOOKUP(AH$15,Data_5!$F$10:$BG$42,$A17+2,FALSE)="IE","IE",IF(HLOOKUP(AH$15,Data_5!$F$10:$BG$42,$A17+2,FALSE)="NE","NE",IF(HLOOKUP(AH$15,Data_5!$F$10:$BG$42,$A17+2,FALSE)="C","C",IF(HLOOKUP(AH$15,Data_5!$F$10:$BG$42,$A17+2,FALSE)="NO","NO",HLOOKUP(AH$15,Data_5!$F$10:$BG$42,$A17+2,FALSE)/Data_5!$BH12))))),"")</f>
        <v>NO</v>
      </c>
      <c r="AI17" s="1122" t="str">
        <f>IFERROR(IF(HLOOKUP(AI$15,Data_5!$F$10:$BG$42,$A17+2,FALSE)="NO","NO",IF(HLOOKUP(AI$15,Data_5!$F$10:$BG$42,$A17+2,FALSE)="IE","IE",IF(HLOOKUP(AI$15,Data_5!$F$10:$BG$42,$A17+2,FALSE)="NE","NE",IF(HLOOKUP(AI$15,Data_5!$F$10:$BG$42,$A17+2,FALSE)="C","C",IF(HLOOKUP(AI$15,Data_5!$F$10:$BG$42,$A17+2,FALSE)="NO","NO",HLOOKUP(AI$15,Data_5!$F$10:$BG$42,$A17+2,FALSE)/Data_5!$BH12))))),"")</f>
        <v>NO</v>
      </c>
      <c r="AJ17" s="1122">
        <f>IFERROR(IF(HLOOKUP(AJ$15,Data_5!$F$10:$BG$42,$A17+2,FALSE)="NO","NO",IF(HLOOKUP(AJ$15,Data_5!$F$10:$BG$42,$A17+2,FALSE)="IE","IE",IF(HLOOKUP(AJ$15,Data_5!$F$10:$BG$42,$A17+2,FALSE)="NE","NE",IF(HLOOKUP(AJ$15,Data_5!$F$10:$BG$42,$A17+2,FALSE)="C","C",IF(HLOOKUP(AJ$15,Data_5!$F$10:$BG$42,$A17+2,FALSE)="NO","NO",HLOOKUP(AJ$15,Data_5!$F$10:$BG$42,$A17+2,FALSE)/Data_5!$BH12))))),"")</f>
        <v>1.751579926668995E-2</v>
      </c>
      <c r="AL17" s="2628" t="str">
        <f>B17</f>
        <v>Atlantis</v>
      </c>
      <c r="AM17" s="2629"/>
      <c r="AN17" s="1100">
        <f>D17</f>
        <v>2014</v>
      </c>
      <c r="AO17" s="1122" t="str">
        <f>IFERROR(IF(VLOOKUP($AL17,Data_5!$B$12:$E$42,4,FALSE)="BASIC","",(IF(HLOOKUP(AO$15,Data_5!$F$10:$BG$42,$A17+2,FALSE)="NO","NO",IF(HLOOKUP(AO$15,Data_5!$F$10:$BG$42,$A17+2,FALSE)="IE","IE",IF(HLOOKUP(AO$15,Data_5!$F$10:$BG$42,$A17+2,FALSE)="NE","NE",IF(HLOOKUP(AO$15,Data_5!$F$10:$BG$42,$A17+2,FALSE)="C","C",IF(HLOOKUP(AO$15,Data_5!$F$10:$BG$42,$A17+2,FALSE)="NO","NO",HLOOKUP(AO$15,Data_5!$F$10:$BG$42,$A17+2,FALSE)/Data_5!$BI12))))))),"")</f>
        <v/>
      </c>
      <c r="AP17" s="1122" t="str">
        <f>IFERROR(IF(VLOOKUP($AL17,Data_5!$B$12:$E$42,4,FALSE)="BASIC","",(IF(HLOOKUP(AP$15,Data_5!$F$10:$BG$42,$A17+2,FALSE)="NO","NO",IF(HLOOKUP(AP$15,Data_5!$F$10:$BG$42,$A17+2,FALSE)="IE","IE",IF(HLOOKUP(AP$15,Data_5!$F$10:$BG$42,$A17+2,FALSE)="NE","NE",IF(HLOOKUP(AP$15,Data_5!$F$10:$BG$42,$A17+2,FALSE)="C","C",IF(HLOOKUP(AP$15,Data_5!$F$10:$BG$42,$A17+2,FALSE)="NO","NO",HLOOKUP(AP$15,Data_5!$F$10:$BG$42,$A17+2,FALSE)/Data_5!$BI12))))))),"")</f>
        <v/>
      </c>
      <c r="AQ17" s="1122" t="str">
        <f>IFERROR(IF(VLOOKUP($AL17,Data_5!$B$12:$E$42,4,FALSE)="BASIC","",(IF(HLOOKUP(AQ$15,Data_5!$F$10:$BG$42,$A17+2,FALSE)="NO","NO",IF(HLOOKUP(AQ$15,Data_5!$F$10:$BG$42,$A17+2,FALSE)="IE","IE",IF(HLOOKUP(AQ$15,Data_5!$F$10:$BG$42,$A17+2,FALSE)="NE","NE",IF(HLOOKUP(AQ$15,Data_5!$F$10:$BG$42,$A17+2,FALSE)="C","C",IF(HLOOKUP(AQ$15,Data_5!$F$10:$BG$42,$A17+2,FALSE)="NO","NO",HLOOKUP(AQ$15,Data_5!$F$10:$BG$42,$A17+2,FALSE)/Data_5!$BI12))))))),"")</f>
        <v/>
      </c>
      <c r="AR17" s="1122" t="str">
        <f>IFERROR(IF(VLOOKUP($AL17,Data_5!$B$12:$E$42,4,FALSE)="BASIC","",(IF(HLOOKUP(AR$15,Data_5!$F$10:$BG$42,$A17+2,FALSE)="NO","NO",IF(HLOOKUP(AR$15,Data_5!$F$10:$BG$42,$A17+2,FALSE)="IE","IE",IF(HLOOKUP(AR$15,Data_5!$F$10:$BG$42,$A17+2,FALSE)="NE","NE",IF(HLOOKUP(AR$15,Data_5!$F$10:$BG$42,$A17+2,FALSE)="C","C",IF(HLOOKUP(AR$15,Data_5!$F$10:$BG$42,$A17+2,FALSE)="NO","NO",HLOOKUP(AR$15,Data_5!$F$10:$BG$42,$A17+2,FALSE)/Data_5!$BI12))))))),"")</f>
        <v/>
      </c>
      <c r="AS17" s="1122" t="str">
        <f>IFERROR(IF(VLOOKUP($AL17,Data_5!$B$12:$E$42,4,FALSE)="BASIC","",(IF(HLOOKUP(AS$15,Data_5!$F$10:$BG$42,$A17+2,FALSE)="NO","NO",IF(HLOOKUP(AS$15,Data_5!$F$10:$BG$42,$A17+2,FALSE)="IE","IE",IF(HLOOKUP(AS$15,Data_5!$F$10:$BG$42,$A17+2,FALSE)="NE","NE",IF(HLOOKUP(AS$15,Data_5!$F$10:$BG$42,$A17+2,FALSE)="C","C",IF(HLOOKUP(AS$15,Data_5!$F$10:$BG$42,$A17+2,FALSE)="NO","NO",HLOOKUP(AS$15,Data_5!$F$10:$BG$42,$A17+2,FALSE)/Data_5!$BI12))))))),"")</f>
        <v/>
      </c>
      <c r="AT17" s="1122" t="str">
        <f>IFERROR(IF(VLOOKUP($AL17,Data_5!$B$12:$E$42,4,FALSE)="BASIC","",(IF(HLOOKUP(AT$15,Data_5!$F$10:$BG$42,$A17+2,FALSE)="NO","NO",IF(HLOOKUP(AT$15,Data_5!$F$10:$BG$42,$A17+2,FALSE)="IE","IE",IF(HLOOKUP(AT$15,Data_5!$F$10:$BG$42,$A17+2,FALSE)="NE","NE",IF(HLOOKUP(AT$15,Data_5!$F$10:$BG$42,$A17+2,FALSE)="C","C",IF(HLOOKUP(AT$15,Data_5!$F$10:$BG$42,$A17+2,FALSE)="NO","NO",HLOOKUP(AT$15,Data_5!$F$10:$BG$42,$A17+2,FALSE)/Data_5!$BI12))))))),"")</f>
        <v/>
      </c>
      <c r="AU17" s="1122" t="str">
        <f>IFERROR(IF(VLOOKUP($AL17,Data_5!$B$12:$E$42,4,FALSE)="BASIC","",(IF(HLOOKUP(AU$15,Data_5!$F$10:$BG$42,$A17+2,FALSE)="NO","NO",IF(HLOOKUP(AU$15,Data_5!$F$10:$BG$42,$A17+2,FALSE)="IE","IE",IF(HLOOKUP(AU$15,Data_5!$F$10:$BG$42,$A17+2,FALSE)="NE","NE",IF(HLOOKUP(AU$15,Data_5!$F$10:$BG$42,$A17+2,FALSE)="C","C",IF(HLOOKUP(AU$15,Data_5!$F$10:$BG$42,$A17+2,FALSE)="NO","NO",HLOOKUP(AU$15,Data_5!$F$10:$BG$42,$A17+2,FALSE)/Data_5!$BI12))))))),"")</f>
        <v/>
      </c>
      <c r="AV17" s="1122" t="str">
        <f>IFERROR(IF(VLOOKUP($AL17,Data_5!$B$12:$E$42,4,FALSE)="BASIC","",(IF(HLOOKUP(AV$15,Data_5!$F$10:$BG$42,$A17+2,FALSE)="NO","NO",IF(HLOOKUP(AV$15,Data_5!$F$10:$BG$42,$A17+2,FALSE)="IE","IE",IF(HLOOKUP(AV$15,Data_5!$F$10:$BG$42,$A17+2,FALSE)="NE","NE",IF(HLOOKUP(AV$15,Data_5!$F$10:$BG$42,$A17+2,FALSE)="C","C",IF(HLOOKUP(AV$15,Data_5!$F$10:$BG$42,$A17+2,FALSE)="NO","NO",HLOOKUP(AV$15,Data_5!$F$10:$BG$42,$A17+2,FALSE)/Data_5!$BI12))))))),"")</f>
        <v/>
      </c>
      <c r="AW17" s="1122" t="str">
        <f>IFERROR(IF(VLOOKUP($AL17,Data_5!$B$12:$E$42,4,FALSE)="BASIC","",(IF(HLOOKUP(AW$15,Data_5!$F$10:$BG$42,$A17+2,FALSE)="NO","NO",IF(HLOOKUP(AW$15,Data_5!$F$10:$BG$42,$A17+2,FALSE)="IE","IE",IF(HLOOKUP(AW$15,Data_5!$F$10:$BG$42,$A17+2,FALSE)="NE","NE",IF(HLOOKUP(AW$15,Data_5!$F$10:$BG$42,$A17+2,FALSE)="C","C",IF(HLOOKUP(AW$15,Data_5!$F$10:$BG$42,$A17+2,FALSE)="NO","NO",HLOOKUP(AW$15,Data_5!$F$10:$BG$42,$A17+2,FALSE)/Data_5!$BI12))))))),"")</f>
        <v/>
      </c>
      <c r="AX17" s="1122" t="str">
        <f>IFERROR(IF(VLOOKUP($AL17,Data_5!$B$12:$E$42,4,FALSE)="BASIC","",(IF(HLOOKUP(AX$15,Data_5!$F$10:$BG$42,$A17+2,FALSE)="NO","NO",IF(HLOOKUP(AX$15,Data_5!$F$10:$BG$42,$A17+2,FALSE)="IE","IE",IF(HLOOKUP(AX$15,Data_5!$F$10:$BG$42,$A17+2,FALSE)="NE","NE",IF(HLOOKUP(AX$15,Data_5!$F$10:$BG$42,$A17+2,FALSE)="C","C",IF(HLOOKUP(AX$15,Data_5!$F$10:$BG$42,$A17+2,FALSE)="NO","NO",HLOOKUP(AX$15,Data_5!$F$10:$BG$42,$A17+2,FALSE)/Data_5!$BI12))))))),"")</f>
        <v/>
      </c>
      <c r="AY17" s="1122" t="str">
        <f>IFERROR(IF(VLOOKUP($AL17,Data_5!$B$12:$E$42,4,FALSE)="BASIC","",(IF(HLOOKUP(AY$15,Data_5!$F$10:$BG$42,$A17+2,FALSE)="NO","NO",IF(HLOOKUP(AY$15,Data_5!$F$10:$BG$42,$A17+2,FALSE)="IE","IE",IF(HLOOKUP(AY$15,Data_5!$F$10:$BG$42,$A17+2,FALSE)="NE","NE",IF(HLOOKUP(AY$15,Data_5!$F$10:$BG$42,$A17+2,FALSE)="C","C",IF(HLOOKUP(AY$15,Data_5!$F$10:$BG$42,$A17+2,FALSE)="NO","NO",HLOOKUP(AY$15,Data_5!$F$10:$BG$42,$A17+2,FALSE)/Data_5!$BI12))))))),"")</f>
        <v/>
      </c>
      <c r="AZ17" s="1122" t="str">
        <f>IFERROR(IF(VLOOKUP($AL17,Data_5!$B$12:$E$42,4,FALSE)="BASIC","",(IF(HLOOKUP(AZ$15,Data_5!$F$10:$BG$42,$A17+2,FALSE)="NO","NO",IF(HLOOKUP(AZ$15,Data_5!$F$10:$BG$42,$A17+2,FALSE)="IE","IE",IF(HLOOKUP(AZ$15,Data_5!$F$10:$BG$42,$A17+2,FALSE)="NE","NE",IF(HLOOKUP(AZ$15,Data_5!$F$10:$BG$42,$A17+2,FALSE)="C","C",IF(HLOOKUP(AZ$15,Data_5!$F$10:$BG$42,$A17+2,FALSE)="NO","NO",HLOOKUP(AZ$15,Data_5!$F$10:$BG$42,$A17+2,FALSE)/Data_5!$BI12))))))),"")</f>
        <v/>
      </c>
      <c r="BA17" s="1122" t="str">
        <f>IFERROR(IF(VLOOKUP($AL17,Data_5!$B$12:$E$42,4,FALSE)="BASIC","",(IF(HLOOKUP(BA$15,Data_5!$F$10:$BG$42,$A17+2,FALSE)="NO","NO",IF(HLOOKUP(BA$15,Data_5!$F$10:$BG$42,$A17+2,FALSE)="IE","IE",IF(HLOOKUP(BA$15,Data_5!$F$10:$BG$42,$A17+2,FALSE)="NE","NE",IF(HLOOKUP(BA$15,Data_5!$F$10:$BG$42,$A17+2,FALSE)="C","C",IF(HLOOKUP(BA$15,Data_5!$F$10:$BG$42,$A17+2,FALSE)="NO","NO",HLOOKUP(BA$15,Data_5!$F$10:$BG$42,$A17+2,FALSE)/Data_5!$BI12))))))),"")</f>
        <v/>
      </c>
      <c r="BB17" s="1122" t="str">
        <f>IFERROR(IF(VLOOKUP($AL17,Data_5!$B$12:$E$42,4,FALSE)="BASIC","",(IF(HLOOKUP(BB$15,Data_5!$F$10:$BG$42,$A17+2,FALSE)="NO","NO",IF(HLOOKUP(BB$15,Data_5!$F$10:$BG$42,$A17+2,FALSE)="IE","IE",IF(HLOOKUP(BB$15,Data_5!$F$10:$BG$42,$A17+2,FALSE)="NE","NE",IF(HLOOKUP(BB$15,Data_5!$F$10:$BG$42,$A17+2,FALSE)="C","C",IF(HLOOKUP(BB$15,Data_5!$F$10:$BG$42,$A17+2,FALSE)="NO","NO",HLOOKUP(BB$15,Data_5!$F$10:$BG$42,$A17+2,FALSE)/Data_5!$BI12))))))),"")</f>
        <v/>
      </c>
      <c r="BC17" s="1122" t="str">
        <f>IFERROR(IF(VLOOKUP($AL17,Data_5!$B$12:$E$42,4,FALSE)="BASIC","",(IF(HLOOKUP(BC$15,Data_5!$F$10:$BG$42,$A17+2,FALSE)="NO","NO",IF(HLOOKUP(BC$15,Data_5!$F$10:$BG$42,$A17+2,FALSE)="IE","IE",IF(HLOOKUP(BC$15,Data_5!$F$10:$BG$42,$A17+2,FALSE)="NE","NE",IF(HLOOKUP(BC$15,Data_5!$F$10:$BG$42,$A17+2,FALSE)="C","C",IF(HLOOKUP(BC$15,Data_5!$F$10:$BG$42,$A17+2,FALSE)="NO","NO",HLOOKUP(BC$15,Data_5!$F$10:$BG$42,$A17+2,FALSE)/Data_5!$BI12))))))),"")</f>
        <v/>
      </c>
      <c r="BD17" s="1122" t="str">
        <f>IFERROR(IF(VLOOKUP($AL17,Data_5!$B$12:$E$42,4,FALSE)="BASIC","",(IF(HLOOKUP(BD$15,Data_5!$F$10:$BG$42,$A17+2,FALSE)="NO","NO",IF(HLOOKUP(BD$15,Data_5!$F$10:$BG$42,$A17+2,FALSE)="IE","IE",IF(HLOOKUP(BD$15,Data_5!$F$10:$BG$42,$A17+2,FALSE)="NE","NE",IF(HLOOKUP(BD$15,Data_5!$F$10:$BG$42,$A17+2,FALSE)="C","C",IF(HLOOKUP(BD$15,Data_5!$F$10:$BG$42,$A17+2,FALSE)="NO","NO",HLOOKUP(BD$15,Data_5!$F$10:$BG$42,$A17+2,FALSE)/Data_5!$BI12))))))),"")</f>
        <v/>
      </c>
      <c r="BE17" s="1122" t="str">
        <f>IFERROR(IF(VLOOKUP($AL17,Data_5!$B$12:$E$42,4,FALSE)="BASIC","",(IF(HLOOKUP(BE$15,Data_5!$F$10:$BG$42,$A17+2,FALSE)="NO","NO",IF(HLOOKUP(BE$15,Data_5!$F$10:$BG$42,$A17+2,FALSE)="IE","IE",IF(HLOOKUP(BE$15,Data_5!$F$10:$BG$42,$A17+2,FALSE)="NE","NE",IF(HLOOKUP(BE$15,Data_5!$F$10:$BG$42,$A17+2,FALSE)="C","C",IF(HLOOKUP(BE$15,Data_5!$F$10:$BG$42,$A17+2,FALSE)="NO","NO",HLOOKUP(BE$15,Data_5!$F$10:$BG$42,$A17+2,FALSE)/Data_5!$BI12))))))),"")</f>
        <v/>
      </c>
      <c r="BF17" s="1122" t="str">
        <f>IFERROR(IF(VLOOKUP($AL17,Data_5!$B$12:$E$42,4,FALSE)="BASIC","",(IF(HLOOKUP(BF$15,Data_5!$F$10:$BG$42,$A17+2,FALSE)="NO","NO",IF(HLOOKUP(BF$15,Data_5!$F$10:$BG$42,$A17+2,FALSE)="IE","IE",IF(HLOOKUP(BF$15,Data_5!$F$10:$BG$42,$A17+2,FALSE)="NE","NE",IF(HLOOKUP(BF$15,Data_5!$F$10:$BG$42,$A17+2,FALSE)="C","C",IF(HLOOKUP(BF$15,Data_5!$F$10:$BG$42,$A17+2,FALSE)="NO","NO",HLOOKUP(BF$15,Data_5!$F$10:$BG$42,$A17+2,FALSE)/Data_5!$BI12))))))),"")</f>
        <v/>
      </c>
      <c r="BG17" s="1122" t="str">
        <f>IFERROR(IF(VLOOKUP($AL17,Data_5!$B$12:$E$42,4,FALSE)="BASIC","",(IF(HLOOKUP(BG$15,Data_5!$F$10:$BG$42,$A17+2,FALSE)="NO","NO",IF(HLOOKUP(BG$15,Data_5!$F$10:$BG$42,$A17+2,FALSE)="IE","IE",IF(HLOOKUP(BG$15,Data_5!$F$10:$BG$42,$A17+2,FALSE)="NE","NE",IF(HLOOKUP(BG$15,Data_5!$F$10:$BG$42,$A17+2,FALSE)="C","C",IF(HLOOKUP(BG$15,Data_5!$F$10:$BG$42,$A17+2,FALSE)="NO","NO",HLOOKUP(BG$15,Data_5!$F$10:$BG$42,$A17+2,FALSE)/Data_5!$BI12))))))),"")</f>
        <v/>
      </c>
      <c r="BH17" s="1122" t="str">
        <f>IFERROR(IF(VLOOKUP($AL17,Data_5!$B$12:$E$42,4,FALSE)="BASIC","",(IF(HLOOKUP(BH$15,Data_5!$F$10:$BG$42,$A17+2,FALSE)="NO","NO",IF(HLOOKUP(BH$15,Data_5!$F$10:$BG$42,$A17+2,FALSE)="IE","IE",IF(HLOOKUP(BH$15,Data_5!$F$10:$BG$42,$A17+2,FALSE)="NE","NE",IF(HLOOKUP(BH$15,Data_5!$F$10:$BG$42,$A17+2,FALSE)="C","C",IF(HLOOKUP(BH$15,Data_5!$F$10:$BG$42,$A17+2,FALSE)="NO","NO",HLOOKUP(BH$15,Data_5!$F$10:$BG$42,$A17+2,FALSE)/Data_5!$BI12))))))),"")</f>
        <v/>
      </c>
      <c r="BI17" s="1122" t="str">
        <f>IFERROR(IF(VLOOKUP($AL17,Data_5!$B$12:$E$42,4,FALSE)="BASIC","",(IF(HLOOKUP(BI$15,Data_5!$F$10:$BG$42,$A17+2,FALSE)="NO","NO",IF(HLOOKUP(BI$15,Data_5!$F$10:$BG$42,$A17+2,FALSE)="IE","IE",IF(HLOOKUP(BI$15,Data_5!$F$10:$BG$42,$A17+2,FALSE)="NE","NE",IF(HLOOKUP(BI$15,Data_5!$F$10:$BG$42,$A17+2,FALSE)="C","C",IF(HLOOKUP(BI$15,Data_5!$F$10:$BG$42,$A17+2,FALSE)="NO","NO",HLOOKUP(BI$15,Data_5!$F$10:$BG$42,$A17+2,FALSE)/Data_5!$BI12))))))),"")</f>
        <v/>
      </c>
      <c r="BJ17" s="1122" t="str">
        <f>IFERROR(IF(VLOOKUP($AL17,Data_5!$B$12:$E$42,4,FALSE)="BASIC","",(IF(HLOOKUP(BJ$15,Data_5!$F$10:$BG$42,$A17+2,FALSE)="NO","NO",IF(HLOOKUP(BJ$15,Data_5!$F$10:$BG$42,$A17+2,FALSE)="IE","IE",IF(HLOOKUP(BJ$15,Data_5!$F$10:$BG$42,$A17+2,FALSE)="NE","NE",IF(HLOOKUP(BJ$15,Data_5!$F$10:$BG$42,$A17+2,FALSE)="C","C",IF(HLOOKUP(BJ$15,Data_5!$F$10:$BG$42,$A17+2,FALSE)="NO","NO",HLOOKUP(BJ$15,Data_5!$F$10:$BG$42,$A17+2,FALSE)/Data_5!$BI12))))))),"")</f>
        <v/>
      </c>
      <c r="BK17" s="1122" t="str">
        <f>IFERROR(IF(VLOOKUP($AL17,Data_5!$B$12:$E$42,4,FALSE)="BASIC","",(IF(HLOOKUP(BK$15,Data_5!$F$10:$BG$42,$A17+2,FALSE)="NO","NO",IF(HLOOKUP(BK$15,Data_5!$F$10:$BG$42,$A17+2,FALSE)="IE","IE",IF(HLOOKUP(BK$15,Data_5!$F$10:$BG$42,$A17+2,FALSE)="NE","NE",IF(HLOOKUP(BK$15,Data_5!$F$10:$BG$42,$A17+2,FALSE)="C","C",IF(HLOOKUP(BK$15,Data_5!$F$10:$BG$42,$A17+2,FALSE)="NO","NO",HLOOKUP(BK$15,Data_5!$F$10:$BG$42,$A17+2,FALSE)/Data_5!$BI12))))))),"")</f>
        <v/>
      </c>
      <c r="BL17" s="1122" t="str">
        <f>IFERROR(IF(VLOOKUP($AL17,Data_5!$B$12:$E$42,4,FALSE)="BASIC","",(IF(HLOOKUP(BL$15,Data_5!$F$10:$BG$42,$A17+2,FALSE)="NO","NO",IF(HLOOKUP(BL$15,Data_5!$F$10:$BG$42,$A17+2,FALSE)="IE","IE",IF(HLOOKUP(BL$15,Data_5!$F$10:$BG$42,$A17+2,FALSE)="NE","NE",IF(HLOOKUP(BL$15,Data_5!$F$10:$BG$42,$A17+2,FALSE)="C","C",IF(HLOOKUP(BL$15,Data_5!$F$10:$BG$42,$A17+2,FALSE)="NO","NO",HLOOKUP(BL$15,Data_5!$F$10:$BG$42,$A17+2,FALSE)/Data_5!$BI12))))))),"")</f>
        <v/>
      </c>
      <c r="BM17" s="1122" t="str">
        <f>IFERROR(IF(VLOOKUP($AL17,Data_5!$B$12:$E$42,4,FALSE)="BASIC","",(IF(HLOOKUP(BM$15,Data_5!$F$10:$BG$42,$A17+2,FALSE)="NO","NO",IF(HLOOKUP(BM$15,Data_5!$F$10:$BG$42,$A17+2,FALSE)="IE","IE",IF(HLOOKUP(BM$15,Data_5!$F$10:$BG$42,$A17+2,FALSE)="NE","NE",IF(HLOOKUP(BM$15,Data_5!$F$10:$BG$42,$A17+2,FALSE)="C","C",IF(HLOOKUP(BM$15,Data_5!$F$10:$BG$42,$A17+2,FALSE)="NO","NO",HLOOKUP(BM$15,Data_5!$F$10:$BG$42,$A17+2,FALSE)/Data_5!$BI12))))))),"")</f>
        <v/>
      </c>
      <c r="BN17" s="1122" t="str">
        <f>IFERROR(IF(VLOOKUP($AL17,Data_5!$B$12:$E$42,4,FALSE)="BASIC","",(IF(HLOOKUP(BN$15,Data_5!$F$10:$BG$42,$A17+2,FALSE)="NO","NO",IF(HLOOKUP(BN$15,Data_5!$F$10:$BG$42,$A17+2,FALSE)="IE","IE",IF(HLOOKUP(BN$15,Data_5!$F$10:$BG$42,$A17+2,FALSE)="NE","NE",IF(HLOOKUP(BN$15,Data_5!$F$10:$BG$42,$A17+2,FALSE)="C","C",IF(HLOOKUP(BN$15,Data_5!$F$10:$BG$42,$A17+2,FALSE)="NO","NO",HLOOKUP(BN$15,Data_5!$F$10:$BG$42,$A17+2,FALSE)/Data_5!$BI12))))))),"")</f>
        <v/>
      </c>
      <c r="BO17" s="1122" t="str">
        <f>IFERROR(IF(VLOOKUP($AL17,Data_5!$B$12:$E$42,4,FALSE)="BASIC","",(IF(HLOOKUP(BO$15,Data_5!$F$10:$BG$42,$A17+2,FALSE)="NO","NO",IF(HLOOKUP(BO$15,Data_5!$F$10:$BG$42,$A17+2,FALSE)="IE","IE",IF(HLOOKUP(BO$15,Data_5!$F$10:$BG$42,$A17+2,FALSE)="NE","NE",IF(HLOOKUP(BO$15,Data_5!$F$10:$BG$42,$A17+2,FALSE)="C","C",IF(HLOOKUP(BO$15,Data_5!$F$10:$BG$42,$A17+2,FALSE)="NO","NO",HLOOKUP(BO$15,Data_5!$F$10:$BG$42,$A17+2,FALSE)/Data_5!$BI12))))))),"")</f>
        <v/>
      </c>
      <c r="BP17" s="1122" t="str">
        <f>IFERROR(IF(VLOOKUP($AL17,Data_5!$B$12:$E$42,4,FALSE)="BASIC","",(IF(HLOOKUP(BP$15,Data_5!$F$10:$BG$42,$A17+2,FALSE)="NO","NO",IF(HLOOKUP(BP$15,Data_5!$F$10:$BG$42,$A17+2,FALSE)="IE","IE",IF(HLOOKUP(BP$15,Data_5!$F$10:$BG$42,$A17+2,FALSE)="NE","NE",IF(HLOOKUP(BP$15,Data_5!$F$10:$BG$42,$A17+2,FALSE)="C","C",IF(HLOOKUP(BP$15,Data_5!$F$10:$BG$42,$A17+2,FALSE)="NO","NO",HLOOKUP(BP$15,Data_5!$F$10:$BG$42,$A17+2,FALSE)/Data_5!$BI12))))))),"")</f>
        <v/>
      </c>
      <c r="BQ17" s="1122" t="str">
        <f>IFERROR(IF(VLOOKUP($AL17,Data_5!$B$12:$E$42,4,FALSE)="BASIC","",(IF(HLOOKUP(BQ$15,Data_5!$F$10:$BG$42,$A17+2,FALSE)="NO","NO",IF(HLOOKUP(BQ$15,Data_5!$F$10:$BG$42,$A17+2,FALSE)="IE","IE",IF(HLOOKUP(BQ$15,Data_5!$F$10:$BG$42,$A17+2,FALSE)="NE","NE",IF(HLOOKUP(BQ$15,Data_5!$F$10:$BG$42,$A17+2,FALSE)="C","C",IF(HLOOKUP(BQ$15,Data_5!$F$10:$BG$42,$A17+2,FALSE)="NO","NO",HLOOKUP(BQ$15,Data_5!$F$10:$BG$42,$A17+2,FALSE)/Data_5!$BI12))))))),"")</f>
        <v/>
      </c>
      <c r="BR17" s="1122" t="str">
        <f>IFERROR(IF(VLOOKUP($AL17,Data_5!$B$12:$E$42,4,FALSE)="BASIC","",(IF(HLOOKUP(BR$15,Data_5!$F$10:$BG$42,$A17+2,FALSE)="NO","NO",IF(HLOOKUP(BR$15,Data_5!$F$10:$BG$42,$A17+2,FALSE)="IE","IE",IF(HLOOKUP(BR$15,Data_5!$F$10:$BG$42,$A17+2,FALSE)="NE","NE",IF(HLOOKUP(BR$15,Data_5!$F$10:$BG$42,$A17+2,FALSE)="C","C",IF(HLOOKUP(BR$15,Data_5!$F$10:$BG$42,$A17+2,FALSE)="NO","NO",HLOOKUP(BR$15,Data_5!$F$10:$BG$42,$A17+2,FALSE)/Data_5!$BI12))))))),"")</f>
        <v/>
      </c>
      <c r="BS17" s="1122" t="str">
        <f>IFERROR(IF(VLOOKUP($AL17,Data_5!$B$12:$E$42,4,FALSE)="BASIC","",(IF(HLOOKUP(BS$15,Data_5!$F$10:$BG$42,$A17+2,FALSE)="NO","NO",IF(HLOOKUP(BS$15,Data_5!$F$10:$BG$42,$A17+2,FALSE)="IE","IE",IF(HLOOKUP(BS$15,Data_5!$F$10:$BG$42,$A17+2,FALSE)="NE","NE",IF(HLOOKUP(BS$15,Data_5!$F$10:$BG$42,$A17+2,FALSE)="C","C",IF(HLOOKUP(BS$15,Data_5!$F$10:$BG$42,$A17+2,FALSE)="NO","NO",HLOOKUP(BS$15,Data_5!$F$10:$BG$42,$A17+2,FALSE)/Data_5!$BI12))))))),"")</f>
        <v/>
      </c>
      <c r="BT17" s="1122" t="str">
        <f>IFERROR(IF(VLOOKUP($AL17,Data_5!$B$12:$E$42,4,FALSE)="BASIC","",(IF(HLOOKUP(BT$15,Data_5!$F$10:$BG$42,$A17+2,FALSE)="NO","NO",IF(HLOOKUP(BT$15,Data_5!$F$10:$BG$42,$A17+2,FALSE)="IE","IE",IF(HLOOKUP(BT$15,Data_5!$F$10:$BG$42,$A17+2,FALSE)="NE","NE",IF(HLOOKUP(BT$15,Data_5!$F$10:$BG$42,$A17+2,FALSE)="C","C",IF(HLOOKUP(BT$15,Data_5!$F$10:$BG$42,$A17+2,FALSE)="NO","NO",HLOOKUP(BT$15,Data_5!$F$10:$BG$42,$A17+2,FALSE)/Data_5!$BI12))))))),"")</f>
        <v/>
      </c>
      <c r="BU17" s="1122" t="str">
        <f>IFERROR(IF(VLOOKUP($AL17,Data_5!$B$12:$E$42,4,FALSE)="BASIC","",(IF(HLOOKUP(BU$15,Data_5!$F$10:$BG$42,$A17+2,FALSE)="NO","NO",IF(HLOOKUP(BU$15,Data_5!$F$10:$BG$42,$A17+2,FALSE)="IE","IE",IF(HLOOKUP(BU$15,Data_5!$F$10:$BG$42,$A17+2,FALSE)="NE","NE",IF(HLOOKUP(BU$15,Data_5!$F$10:$BG$42,$A17+2,FALSE)="C","C",IF(HLOOKUP(BU$15,Data_5!$F$10:$BG$42,$A17+2,FALSE)="NO","NO",HLOOKUP(BU$15,Data_5!$F$10:$BG$42,$A17+2,FALSE)/Data_5!$BI12))))))),"")</f>
        <v/>
      </c>
      <c r="BV17" s="1122" t="str">
        <f>IFERROR(IF(VLOOKUP($AL17,Data_5!$B$12:$E$42,4,FALSE)="BASIC","",(IF(HLOOKUP(BV$15,Data_5!$F$10:$BG$42,$A17+2,FALSE)="NO","NO",IF(HLOOKUP(BV$15,Data_5!$F$10:$BG$42,$A17+2,FALSE)="IE","IE",IF(HLOOKUP(BV$15,Data_5!$F$10:$BG$42,$A17+2,FALSE)="NE","NE",IF(HLOOKUP(BV$15,Data_5!$F$10:$BG$42,$A17+2,FALSE)="C","C",IF(HLOOKUP(BV$15,Data_5!$F$10:$BG$42,$A17+2,FALSE)="NO","NO",HLOOKUP(BV$15,Data_5!$F$10:$BG$42,$A17+2,FALSE)/Data_5!$BI12))))))),"")</f>
        <v/>
      </c>
      <c r="BW17" s="1122" t="str">
        <f>IFERROR(IF(VLOOKUP($AL17,Data_5!$B$12:$E$42,4,FALSE)="BASIC","",(IF(HLOOKUP(BW$15,Data_5!$F$10:$BG$42,$A17+2,FALSE)="NO","NO",IF(HLOOKUP(BW$15,Data_5!$F$10:$BG$42,$A17+2,FALSE)="IE","IE",IF(HLOOKUP(BW$15,Data_5!$F$10:$BG$42,$A17+2,FALSE)="NE","NE",IF(HLOOKUP(BW$15,Data_5!$F$10:$BG$42,$A17+2,FALSE)="C","C",IF(HLOOKUP(BW$15,Data_5!$F$10:$BG$42,$A17+2,FALSE)="NO","NO",HLOOKUP(BW$15,Data_5!$F$10:$BG$42,$A17+2,FALSE)/Data_5!$BI12))))))),"")</f>
        <v/>
      </c>
      <c r="BX17" s="1122" t="str">
        <f>IFERROR(IF(VLOOKUP($AL17,Data_5!$B$12:$E$42,4,FALSE)="BASIC","",(IF(HLOOKUP(BX$15,Data_5!$F$10:$BG$42,$A17+2,FALSE)="NO","NO",IF(HLOOKUP(BX$15,Data_5!$F$10:$BG$42,$A17+2,FALSE)="IE","IE",IF(HLOOKUP(BX$15,Data_5!$F$10:$BG$42,$A17+2,FALSE)="NE","NE",IF(HLOOKUP(BX$15,Data_5!$F$10:$BG$42,$A17+2,FALSE)="C","C",IF(HLOOKUP(BX$15,Data_5!$F$10:$BG$42,$A17+2,FALSE)="NO","NO",HLOOKUP(BX$15,Data_5!$F$10:$BG$42,$A17+2,FALSE)/Data_5!$BI12))))))),"")</f>
        <v/>
      </c>
      <c r="BY17" s="1122" t="str">
        <f>IFERROR(IF(VLOOKUP($AL17,Data_5!$B$12:$E$42,4,FALSE)="BASIC","",(IF(HLOOKUP(BY$15,Data_5!$F$10:$BG$42,$A17+2,FALSE)="NO","NO",IF(HLOOKUP(BY$15,Data_5!$F$10:$BG$42,$A17+2,FALSE)="IE","IE",IF(HLOOKUP(BY$15,Data_5!$F$10:$BG$42,$A17+2,FALSE)="NE","NE",IF(HLOOKUP(BY$15,Data_5!$F$10:$BG$42,$A17+2,FALSE)="C","C",IF(HLOOKUP(BY$15,Data_5!$F$10:$BG$42,$A17+2,FALSE)="NO","NO",HLOOKUP(BY$15,Data_5!$F$10:$BG$42,$A17+2,FALSE)/Data_5!$BI12))))))),"")</f>
        <v/>
      </c>
      <c r="BZ17" s="1122" t="str">
        <f>IFERROR(IF(VLOOKUP($AL17,Data_5!$B$12:$E$42,4,FALSE)="BASIC","",(IF(HLOOKUP(BZ$15,Data_5!$F$10:$BG$42,$A17+2,FALSE)="NO","NO",IF(HLOOKUP(BZ$15,Data_5!$F$10:$BG$42,$A17+2,FALSE)="IE","IE",IF(HLOOKUP(BZ$15,Data_5!$F$10:$BG$42,$A17+2,FALSE)="NE","NE",IF(HLOOKUP(BZ$15,Data_5!$F$10:$BG$42,$A17+2,FALSE)="C","C",IF(HLOOKUP(BZ$15,Data_5!$F$10:$BG$42,$A17+2,FALSE)="NO","NO",HLOOKUP(BZ$15,Data_5!$F$10:$BG$42,$A17+2,FALSE)/Data_5!$BI12))))))),"")</f>
        <v/>
      </c>
      <c r="CA17" s="1122" t="str">
        <f>IFERROR(IF(VLOOKUP($AL17,Data_5!$B$12:$E$42,4,FALSE)="BASIC","",(IF(HLOOKUP(CA$15,Data_5!$F$10:$BG$42,$A17+2,FALSE)="NO","NO",IF(HLOOKUP(CA$15,Data_5!$F$10:$BG$42,$A17+2,FALSE)="IE","IE",IF(HLOOKUP(CA$15,Data_5!$F$10:$BG$42,$A17+2,FALSE)="NE","NE",IF(HLOOKUP(CA$15,Data_5!$F$10:$BG$42,$A17+2,FALSE)="C","C",IF(HLOOKUP(CA$15,Data_5!$F$10:$BG$42,$A17+2,FALSE)="NO","NO",HLOOKUP(CA$15,Data_5!$F$10:$BG$42,$A17+2,FALSE)/Data_5!$BI12))))))),"")</f>
        <v/>
      </c>
      <c r="CB17" s="1122" t="str">
        <f>IFERROR(IF(VLOOKUP($AL17,Data_5!$B$12:$E$42,4,FALSE)="BASIC","",(IF(HLOOKUP(CB$15,Data_5!$F$10:$BG$42,$A17+2,FALSE)="NO","NO",IF(HLOOKUP(CB$15,Data_5!$F$10:$BG$42,$A17+2,FALSE)="IE","IE",IF(HLOOKUP(CB$15,Data_5!$F$10:$BG$42,$A17+2,FALSE)="NE","NE",IF(HLOOKUP(CB$15,Data_5!$F$10:$BG$42,$A17+2,FALSE)="C","C",IF(HLOOKUP(CB$15,Data_5!$F$10:$BG$42,$A17+2,FALSE)="NO","NO",HLOOKUP(CB$15,Data_5!$F$10:$BG$42,$A17+2,FALSE)/Data_5!$BI12))))))),"")</f>
        <v/>
      </c>
      <c r="CC17" s="1122" t="str">
        <f>IFERROR(IF(VLOOKUP($AL17,Data_5!$B$12:$E$42,4,FALSE)="BASIC","",(IF(HLOOKUP(CC$15,Data_5!$F$10:$BG$42,$A17+2,FALSE)="NO","NO",IF(HLOOKUP(CC$15,Data_5!$F$10:$BG$42,$A17+2,FALSE)="IE","IE",IF(HLOOKUP(CC$15,Data_5!$F$10:$BG$42,$A17+2,FALSE)="NE","NE",IF(HLOOKUP(CC$15,Data_5!$F$10:$BG$42,$A17+2,FALSE)="C","C",IF(HLOOKUP(CC$15,Data_5!$F$10:$BG$42,$A17+2,FALSE)="NO","NO",HLOOKUP(CC$15,Data_5!$F$10:$BG$42,$A17+2,FALSE)/Data_5!$BI12))))))),"")</f>
        <v/>
      </c>
      <c r="CD17" s="1122" t="str">
        <f>IFERROR(IF(VLOOKUP($AL17,Data_5!$B$12:$E$42,4,FALSE)="BASIC","",(IF(HLOOKUP(CD$15,Data_5!$F$10:$BG$42,$A17+2,FALSE)="NO","NO",IF(HLOOKUP(CD$15,Data_5!$F$10:$BG$42,$A17+2,FALSE)="IE","IE",IF(HLOOKUP(CD$15,Data_5!$F$10:$BG$42,$A17+2,FALSE)="NE","NE",IF(HLOOKUP(CD$15,Data_5!$F$10:$BG$42,$A17+2,FALSE)="C","C",IF(HLOOKUP(CD$15,Data_5!$F$10:$BG$42,$A17+2,FALSE)="NO","NO",HLOOKUP(CD$15,Data_5!$F$10:$BG$42,$A17+2,FALSE)/Data_5!$BI12))))))),"")</f>
        <v/>
      </c>
      <c r="CE17" s="1122" t="str">
        <f>IFERROR(IF(VLOOKUP($AL17,Data_5!$B$12:$E$42,4,FALSE)="BASIC","",(IF(HLOOKUP(CE$15,Data_5!$F$10:$BG$42,$A17+2,FALSE)="NO","NO",IF(HLOOKUP(CE$15,Data_5!$F$10:$BG$42,$A17+2,FALSE)="IE","IE",IF(HLOOKUP(CE$15,Data_5!$F$10:$BG$42,$A17+2,FALSE)="NE","NE",IF(HLOOKUP(CE$15,Data_5!$F$10:$BG$42,$A17+2,FALSE)="C","C",IF(HLOOKUP(CE$15,Data_5!$F$10:$BG$42,$A17+2,FALSE)="NO","NO",HLOOKUP(CE$15,Data_5!$F$10:$BG$42,$A17+2,FALSE)/Data_5!$BI12))))))),"")</f>
        <v/>
      </c>
      <c r="CF17" s="1122" t="str">
        <f>IFERROR(IF(VLOOKUP($AL17,Data_5!$B$12:$E$42,4,FALSE)="BASIC","",(IF(HLOOKUP(CF$15,Data_5!$F$10:$BG$42,$A17+2,FALSE)="NO","NO",IF(HLOOKUP(CF$15,Data_5!$F$10:$BG$42,$A17+2,FALSE)="IE","IE",IF(HLOOKUP(CF$15,Data_5!$F$10:$BG$42,$A17+2,FALSE)="NE","NE",IF(HLOOKUP(CF$15,Data_5!$F$10:$BG$42,$A17+2,FALSE)="C","C",IF(HLOOKUP(CF$15,Data_5!$F$10:$BG$42,$A17+2,FALSE)="NO","NO",HLOOKUP(CF$15,Data_5!$F$10:$BG$42,$A17+2,FALSE)/Data_5!$BI12))))))),"")</f>
        <v/>
      </c>
      <c r="CG17" s="1122" t="str">
        <f>IFERROR(IF(VLOOKUP($AL17,Data_5!$B$12:$E$42,4,FALSE)="BASIC","",(IF(HLOOKUP(CG$15,Data_5!$F$10:$BG$42,$A17+2,FALSE)="NO","NO",IF(HLOOKUP(CG$15,Data_5!$F$10:$BG$42,$A17+2,FALSE)="IE","IE",IF(HLOOKUP(CG$15,Data_5!$F$10:$BG$42,$A17+2,FALSE)="NE","NE",IF(HLOOKUP(CG$15,Data_5!$F$10:$BG$42,$A17+2,FALSE)="C","C",IF(HLOOKUP(CG$15,Data_5!$F$10:$BG$42,$A17+2,FALSE)="NO","NO",HLOOKUP(CG$15,Data_5!$F$10:$BG$42,$A17+2,FALSE)/Data_5!$BI12))))))),"")</f>
        <v/>
      </c>
      <c r="CH17" s="1122" t="str">
        <f>IFERROR(IF(VLOOKUP($AL17,Data_5!$B$12:$E$42,4,FALSE)="BASIC","",(IF(HLOOKUP(CH$15,Data_5!$F$10:$BG$42,$A17+2,FALSE)="NO","NO",IF(HLOOKUP(CH$15,Data_5!$F$10:$BG$42,$A17+2,FALSE)="IE","IE",IF(HLOOKUP(CH$15,Data_5!$F$10:$BG$42,$A17+2,FALSE)="NE","NE",IF(HLOOKUP(CH$15,Data_5!$F$10:$BG$42,$A17+2,FALSE)="C","C",IF(HLOOKUP(CH$15,Data_5!$F$10:$BG$42,$A17+2,FALSE)="NO","NO",HLOOKUP(CH$15,Data_5!$F$10:$BG$42,$A17+2,FALSE)/Data_5!$BI12))))))),"")</f>
        <v/>
      </c>
      <c r="CI17" s="1122" t="str">
        <f>IFERROR(IF(VLOOKUP($AL17,Data_5!$B$12:$E$42,4,FALSE)="BASIC","",(IF(HLOOKUP(CI$15,Data_5!$F$10:$BG$42,$A17+2,FALSE)="NO","NO",IF(HLOOKUP(CI$15,Data_5!$F$10:$BG$42,$A17+2,FALSE)="IE","IE",IF(HLOOKUP(CI$15,Data_5!$F$10:$BG$42,$A17+2,FALSE)="NE","NE",IF(HLOOKUP(CI$15,Data_5!$F$10:$BG$42,$A17+2,FALSE)="C","C",IF(HLOOKUP(CI$15,Data_5!$F$10:$BG$42,$A17+2,FALSE)="NO","NO",HLOOKUP(CI$15,Data_5!$F$10:$BG$42,$A17+2,FALSE)/Data_5!$BI12))))))),"")</f>
        <v/>
      </c>
      <c r="CJ17" s="1122" t="str">
        <f>IFERROR(IF(VLOOKUP($AL17,Data_5!$B$12:$E$42,4,FALSE)="BASIC","",(IF(HLOOKUP(CJ$15,Data_5!$F$10:$BG$42,$A17+2,FALSE)="NO","NO",IF(HLOOKUP(CJ$15,Data_5!$F$10:$BG$42,$A17+2,FALSE)="IE","IE",IF(HLOOKUP(CJ$15,Data_5!$F$10:$BG$42,$A17+2,FALSE)="NE","NE",IF(HLOOKUP(CJ$15,Data_5!$F$10:$BG$42,$A17+2,FALSE)="C","C",IF(HLOOKUP(CJ$15,Data_5!$F$10:$BG$42,$A17+2,FALSE)="NO","NO",HLOOKUP(CJ$15,Data_5!$F$10:$BG$42,$A17+2,FALSE)/Data_5!$BI12))))))),"")</f>
        <v/>
      </c>
      <c r="CL17" s="2628" t="str">
        <f>B17</f>
        <v>Atlantis</v>
      </c>
      <c r="CM17" s="2629"/>
      <c r="CN17" s="1100">
        <f>D17</f>
        <v>2014</v>
      </c>
      <c r="CO17" s="1122">
        <f>IFERROR(IF(HLOOKUP(CO$15,Data_5!$F$10:$BG$42,$A17+2,FALSE)="NO","NO",IF(HLOOKUP(CO$15,Data_5!$F$10:$BG$42,$A17+2,FALSE)="IE","IE",IF(HLOOKUP(CO$15,Data_5!$F$10:$BG$42,$A17+2,FALSE)="NE","NE",IF(HLOOKUP(CO$15,Data_5!$F$10:$BG$42,$A17+2,FALSE)="C","C",IF(HLOOKUP(CO$15,Data_5!$F$10:$BG$42,$A17+2,FALSE)="NO","NO",HLOOKUP(CO$15,Data_5!$F$10:$BG$42,$A17+2,FALSE)/Data_5!$BK12))))),"")</f>
        <v>0.13819780906475884</v>
      </c>
      <c r="CP17" s="1122">
        <f>IFERROR(IF(HLOOKUP(CP$15,Data_5!$F$10:$BG$42,$A17+2,FALSE)="NO","NO",IF(HLOOKUP(CP$15,Data_5!$F$10:$BG$42,$A17+2,FALSE)="IE","IE",IF(HLOOKUP(CP$15,Data_5!$F$10:$BG$42,$A17+2,FALSE)="NE","NE",IF(HLOOKUP(CP$15,Data_5!$F$10:$BG$42,$A17+2,FALSE)="C","C",IF(HLOOKUP(CP$15,Data_5!$F$10:$BG$42,$A17+2,FALSE)="NO","NO",HLOOKUP(CP$15,Data_5!$F$10:$BG$42,$A17+2,FALSE)/Data_5!$BK12))))),"")</f>
        <v>0.1706628743631747</v>
      </c>
      <c r="CQ17" s="1122" t="str">
        <f>IFERROR(IF(HLOOKUP(CQ$15,Data_5!$F$10:$BG$42,$A17+2,FALSE)="NO","NO",IF(HLOOKUP(CQ$15,Data_5!$F$10:$BG$42,$A17+2,FALSE)="IE","IE",IF(HLOOKUP(CQ$15,Data_5!$F$10:$BG$42,$A17+2,FALSE)="NE","NE",IF(HLOOKUP(CQ$15,Data_5!$F$10:$BG$42,$A17+2,FALSE)="C","C",IF(HLOOKUP(CQ$15,Data_5!$F$10:$BG$42,$A17+2,FALSE)="NO","NO",HLOOKUP(CQ$15,Data_5!$F$10:$BG$42,$A17+2,FALSE)/Data_5!$BK12))))),"")</f>
        <v>IE</v>
      </c>
      <c r="CR17" s="1122" t="str">
        <f>IFERROR(IF(HLOOKUP(CR$15,Data_5!$F$10:$BG$42,$A17+2,FALSE)="NO","NO",IF(HLOOKUP(CR$15,Data_5!$F$10:$BG$42,$A17+2,FALSE)="IE","IE",IF(HLOOKUP(CR$15,Data_5!$F$10:$BG$42,$A17+2,FALSE)="NE","NE",IF(HLOOKUP(CR$15,Data_5!$F$10:$BG$42,$A17+2,FALSE)="C","C",IF(HLOOKUP(CR$15,Data_5!$F$10:$BG$42,$A17+2,FALSE)="NO","NO",HLOOKUP(CR$15,Data_5!$F$10:$BG$42,$A17+2,FALSE)/Data_5!$BK12))))),"")</f>
        <v>NO</v>
      </c>
      <c r="CS17" s="1122" t="str">
        <f>IFERROR(IF(HLOOKUP(CS$15,Data_5!$F$10:$BG$42,$A17+2,FALSE)="NO","NO",IF(HLOOKUP(CS$15,Data_5!$F$10:$BG$42,$A17+2,FALSE)="IE","IE",IF(HLOOKUP(CS$15,Data_5!$F$10:$BG$42,$A17+2,FALSE)="NE","NE",IF(HLOOKUP(CS$15,Data_5!$F$10:$BG$42,$A17+2,FALSE)="C","C",IF(HLOOKUP(CS$15,Data_5!$F$10:$BG$42,$A17+2,FALSE)="NO","NO",HLOOKUP(CS$15,Data_5!$F$10:$BG$42,$A17+2,FALSE)/Data_5!$BK12))))),"")</f>
        <v>NO</v>
      </c>
      <c r="CT17" s="1122" t="str">
        <f>IFERROR(IF(HLOOKUP(CT$15,Data_5!$F$10:$BG$42,$A17+2,FALSE)="NO","NO",IF(HLOOKUP(CT$15,Data_5!$F$10:$BG$42,$A17+2,FALSE)="IE","IE",IF(HLOOKUP(CT$15,Data_5!$F$10:$BG$42,$A17+2,FALSE)="NE","NE",IF(HLOOKUP(CT$15,Data_5!$F$10:$BG$42,$A17+2,FALSE)="C","C",IF(HLOOKUP(CT$15,Data_5!$F$10:$BG$42,$A17+2,FALSE)="NO","NO",HLOOKUP(CT$15,Data_5!$F$10:$BG$42,$A17+2,FALSE)/Data_5!$BK12))))),"")</f>
        <v>NO</v>
      </c>
      <c r="CU17" s="1122" t="str">
        <f>IFERROR(IF(HLOOKUP(CU$15,Data_5!$F$10:$BG$42,$A17+2,FALSE)="NO","NO",IF(HLOOKUP(CU$15,Data_5!$F$10:$BG$42,$A17+2,FALSE)="IE","IE",IF(HLOOKUP(CU$15,Data_5!$F$10:$BG$42,$A17+2,FALSE)="NE","NE",IF(HLOOKUP(CU$15,Data_5!$F$10:$BG$42,$A17+2,FALSE)="C","C",IF(HLOOKUP(CU$15,Data_5!$F$10:$BG$42,$A17+2,FALSE)="NO","NO",HLOOKUP(CU$15,Data_5!$F$10:$BG$42,$A17+2,FALSE)/Data_5!$BK12))))),"")</f>
        <v>NO</v>
      </c>
      <c r="CV17" s="1122" t="str">
        <f>IFERROR(IF(HLOOKUP(CV$15,Data_5!$F$10:$BG$42,$A17+2,FALSE)="NO","NO",IF(HLOOKUP(CV$15,Data_5!$F$10:$BG$42,$A17+2,FALSE)="IE","IE",IF(HLOOKUP(CV$15,Data_5!$F$10:$BG$42,$A17+2,FALSE)="NE","NE",IF(HLOOKUP(CV$15,Data_5!$F$10:$BG$42,$A17+2,FALSE)="C","C",IF(HLOOKUP(CV$15,Data_5!$F$10:$BG$42,$A17+2,FALSE)="NO","NO",HLOOKUP(CV$15,Data_5!$F$10:$BG$42,$A17+2,FALSE)/Data_5!$BK12))))),"")</f>
        <v>NO</v>
      </c>
      <c r="CW17" s="1122">
        <f>IFERROR(IF(HLOOKUP(CW$15,Data_5!$F$10:$BG$42,$A17+2,FALSE)="NO","NO",IF(HLOOKUP(CW$15,Data_5!$F$10:$BG$42,$A17+2,FALSE)="IE","IE",IF(HLOOKUP(CW$15,Data_5!$F$10:$BG$42,$A17+2,FALSE)="NE","NE",IF(HLOOKUP(CW$15,Data_5!$F$10:$BG$42,$A17+2,FALSE)="C","C",IF(HLOOKUP(CW$15,Data_5!$F$10:$BG$42,$A17+2,FALSE)="NO","NO",HLOOKUP(CW$15,Data_5!$F$10:$BG$42,$A17+2,FALSE)/Data_5!$BK12))))),"")</f>
        <v>2.022556983117907E-3</v>
      </c>
      <c r="CX17" s="1122">
        <f>IFERROR(IF(HLOOKUP(CX$15,Data_5!$F$10:$BG$42,$A17+2,FALSE)="NO","NO",IF(HLOOKUP(CX$15,Data_5!$F$10:$BG$42,$A17+2,FALSE)="IE","IE",IF(HLOOKUP(CX$15,Data_5!$F$10:$BG$42,$A17+2,FALSE)="NE","NE",IF(HLOOKUP(CX$15,Data_5!$F$10:$BG$42,$A17+2,FALSE)="C","C",IF(HLOOKUP(CX$15,Data_5!$F$10:$BG$42,$A17+2,FALSE)="NO","NO",HLOOKUP(CX$15,Data_5!$F$10:$BG$42,$A17+2,FALSE)/Data_5!$BK12))))),"")</f>
        <v>0.48795018229200227</v>
      </c>
      <c r="CY17" s="1122">
        <f>IFERROR(IF(HLOOKUP(CY$15,Data_5!$F$10:$BG$42,$A17+2,FALSE)="NO","NO",IF(HLOOKUP(CY$15,Data_5!$F$10:$BG$42,$A17+2,FALSE)="IE","IE",IF(HLOOKUP(CY$15,Data_5!$F$10:$BG$42,$A17+2,FALSE)="NE","NE",IF(HLOOKUP(CY$15,Data_5!$F$10:$BG$42,$A17+2,FALSE)="C","C",IF(HLOOKUP(CY$15,Data_5!$F$10:$BG$42,$A17+2,FALSE)="NO","NO",HLOOKUP(CY$15,Data_5!$F$10:$BG$42,$A17+2,FALSE)/Data_5!$BK12))))),"")</f>
        <v>0.10284390592418989</v>
      </c>
      <c r="CZ17" s="1122">
        <f>IFERROR(IF(HLOOKUP(CZ$15,Data_5!$F$10:$BG$42,$A17+2,FALSE)="NO","NO",IF(HLOOKUP(CZ$15,Data_5!$F$10:$BG$42,$A17+2,FALSE)="IE","IE",IF(HLOOKUP(CZ$15,Data_5!$F$10:$BG$42,$A17+2,FALSE)="NE","NE",IF(HLOOKUP(CZ$15,Data_5!$F$10:$BG$42,$A17+2,FALSE)="C","C",IF(HLOOKUP(CZ$15,Data_5!$F$10:$BG$42,$A17+2,FALSE)="NO","NO",HLOOKUP(CZ$15,Data_5!$F$10:$BG$42,$A17+2,FALSE)/Data_5!$BK12))))),"")</f>
        <v>3.5416647534735777E-3</v>
      </c>
      <c r="DA17" s="1122" t="str">
        <f>IFERROR(IF(HLOOKUP(DA$15,Data_5!$F$10:$BG$42,$A17+2,FALSE)="NO","NO",IF(HLOOKUP(DA$15,Data_5!$F$10:$BG$42,$A17+2,FALSE)="IE","IE",IF(HLOOKUP(DA$15,Data_5!$F$10:$BG$42,$A17+2,FALSE)="NE","NE",IF(HLOOKUP(DA$15,Data_5!$F$10:$BG$42,$A17+2,FALSE)="C","C",IF(HLOOKUP(DA$15,Data_5!$F$10:$BG$42,$A17+2,FALSE)="NO","NO",HLOOKUP(DA$15,Data_5!$F$10:$BG$42,$A17+2,FALSE)/Data_5!$BK12))))),"")</f>
        <v>NO</v>
      </c>
      <c r="DB17" s="1122" t="str">
        <f>IFERROR(IF(HLOOKUP(DB$15,Data_5!$F$10:$BG$42,$A17+2,FALSE)="NO","NO",IF(HLOOKUP(DB$15,Data_5!$F$10:$BG$42,$A17+2,FALSE)="IE","IE",IF(HLOOKUP(DB$15,Data_5!$F$10:$BG$42,$A17+2,FALSE)="NE","NE",IF(HLOOKUP(DB$15,Data_5!$F$10:$BG$42,$A17+2,FALSE)="C","C",IF(HLOOKUP(DB$15,Data_5!$F$10:$BG$42,$A17+2,FALSE)="NO","NO",HLOOKUP(DB$15,Data_5!$F$10:$BG$42,$A17+2,FALSE)/Data_5!$BK12))))),"")</f>
        <v>NO</v>
      </c>
      <c r="DC17" s="1122">
        <f>IFERROR(IF(HLOOKUP(DC$15,Data_5!$F$10:$BG$42,$A17+2,FALSE)="NO","NO",IF(HLOOKUP(DC$15,Data_5!$F$10:$BG$42,$A17+2,FALSE)="IE","IE",IF(HLOOKUP(DC$15,Data_5!$F$10:$BG$42,$A17+2,FALSE)="NE","NE",IF(HLOOKUP(DC$15,Data_5!$F$10:$BG$42,$A17+2,FALSE)="C","C",IF(HLOOKUP(DC$15,Data_5!$F$10:$BG$42,$A17+2,FALSE)="NO","NO",HLOOKUP(DC$15,Data_5!$F$10:$BG$42,$A17+2,FALSE)/Data_5!$BK12))))),"")</f>
        <v>5.2447103369137889E-2</v>
      </c>
      <c r="DD17" s="1122" t="str">
        <f>IFERROR(IF(HLOOKUP(DD$15,Data_5!$F$10:$BG$42,$A17+2,FALSE)="NO","NO",IF(HLOOKUP(DD$15,Data_5!$F$10:$BG$42,$A17+2,FALSE)="IE","IE",IF(HLOOKUP(DD$15,Data_5!$F$10:$BG$42,$A17+2,FALSE)="NE","NE",IF(HLOOKUP(DD$15,Data_5!$F$10:$BG$42,$A17+2,FALSE)="C","C",IF(HLOOKUP(DD$15,Data_5!$F$10:$BG$42,$A17+2,FALSE)="NO","NO",HLOOKUP(DD$15,Data_5!$F$10:$BG$42,$A17+2,FALSE)/Data_5!$BK12))))),"")</f>
        <v>NO</v>
      </c>
      <c r="DE17" s="1122">
        <f>IFERROR(IF(HLOOKUP(DE$15,Data_5!$F$10:$BG$42,$A17+2,FALSE)="NO","NO",IF(HLOOKUP(DE$15,Data_5!$F$10:$BG$42,$A17+2,FALSE)="IE","IE",IF(HLOOKUP(DE$15,Data_5!$F$10:$BG$42,$A17+2,FALSE)="NE","NE",IF(HLOOKUP(DE$15,Data_5!$F$10:$BG$42,$A17+2,FALSE)="C","C",IF(HLOOKUP(DE$15,Data_5!$F$10:$BG$42,$A17+2,FALSE)="NO","NO",HLOOKUP(DE$15,Data_5!$F$10:$BG$42,$A17+2,FALSE)/Data_5!$BK12))))),"")</f>
        <v>2.9985757232915103E-3</v>
      </c>
      <c r="DF17" s="1122" t="str">
        <f>IFERROR(IF(HLOOKUP(DF$15,Data_5!$F$10:$BG$42,$A17+2,FALSE)="NO","NO",IF(HLOOKUP(DF$15,Data_5!$F$10:$BG$42,$A17+2,FALSE)="IE","IE",IF(HLOOKUP(DF$15,Data_5!$F$10:$BG$42,$A17+2,FALSE)="NE","NE",IF(HLOOKUP(DF$15,Data_5!$F$10:$BG$42,$A17+2,FALSE)="C","C",IF(HLOOKUP(DF$15,Data_5!$F$10:$BG$42,$A17+2,FALSE)="NO","NO",HLOOKUP(DF$15,Data_5!$F$10:$BG$42,$A17+2,FALSE)/Data_5!$BK12))))),"")</f>
        <v>NO</v>
      </c>
      <c r="DG17" s="1122" t="str">
        <f>IFERROR(IF(HLOOKUP(DG$15,Data_5!$F$10:$BG$42,$A17+2,FALSE)="NO","NO",IF(HLOOKUP(DG$15,Data_5!$F$10:$BG$42,$A17+2,FALSE)="IE","IE",IF(HLOOKUP(DG$15,Data_5!$F$10:$BG$42,$A17+2,FALSE)="NE","NE",IF(HLOOKUP(DG$15,Data_5!$F$10:$BG$42,$A17+2,FALSE)="C","C",IF(HLOOKUP(DG$15,Data_5!$F$10:$BG$42,$A17+2,FALSE)="NO","NO",HLOOKUP(DG$15,Data_5!$F$10:$BG$42,$A17+2,FALSE)/Data_5!$BK12))))),"")</f>
        <v>NO</v>
      </c>
      <c r="DH17" s="1122" t="str">
        <f>IFERROR(IF(HLOOKUP(DH$15,Data_5!$F$10:$BG$42,$A17+2,FALSE)="NO","NO",IF(HLOOKUP(DH$15,Data_5!$F$10:$BG$42,$A17+2,FALSE)="IE","IE",IF(HLOOKUP(DH$15,Data_5!$F$10:$BG$42,$A17+2,FALSE)="NE","NE",IF(HLOOKUP(DH$15,Data_5!$F$10:$BG$42,$A17+2,FALSE)="C","C",IF(HLOOKUP(DH$15,Data_5!$F$10:$BG$42,$A17+2,FALSE)="NO","NO",HLOOKUP(DH$15,Data_5!$F$10:$BG$42,$A17+2,FALSE)/Data_5!$BK12))))),"")</f>
        <v>NO</v>
      </c>
      <c r="DI17" s="1122" t="str">
        <f>IFERROR(IF(HLOOKUP(DI$15,Data_5!$F$10:$BG$42,$A17+2,FALSE)="NO","NO",IF(HLOOKUP(DI$15,Data_5!$F$10:$BG$42,$A17+2,FALSE)="IE","IE",IF(HLOOKUP(DI$15,Data_5!$F$10:$BG$42,$A17+2,FALSE)="NE","NE",IF(HLOOKUP(DI$15,Data_5!$F$10:$BG$42,$A17+2,FALSE)="C","C",IF(HLOOKUP(DI$15,Data_5!$F$10:$BG$42,$A17+2,FALSE)="NO","NO",HLOOKUP(DI$15,Data_5!$F$10:$BG$42,$A17+2,FALSE)/Data_5!$BK12))))),"")</f>
        <v>NO</v>
      </c>
      <c r="DJ17" s="1122" t="str">
        <f>IFERROR(IF(HLOOKUP(DJ$15,Data_5!$F$10:$BG$42,$A17+2,FALSE)="NO","NO",IF(HLOOKUP(DJ$15,Data_5!$F$10:$BG$42,$A17+2,FALSE)="IE","IE",IF(HLOOKUP(DJ$15,Data_5!$F$10:$BG$42,$A17+2,FALSE)="NE","NE",IF(HLOOKUP(DJ$15,Data_5!$F$10:$BG$42,$A17+2,FALSE)="C","C",IF(HLOOKUP(DJ$15,Data_5!$F$10:$BG$42,$A17+2,FALSE)="NO","NO",HLOOKUP(DJ$15,Data_5!$F$10:$BG$42,$A17+2,FALSE)/Data_5!$BK12))))),"")</f>
        <v>NO</v>
      </c>
      <c r="DK17" s="1122" t="str">
        <f>IFERROR(IF(HLOOKUP(DK$15,Data_5!$F$10:$BG$42,$A17+2,FALSE)="NO","NO",IF(HLOOKUP(DK$15,Data_5!$F$10:$BG$42,$A17+2,FALSE)="IE","IE",IF(HLOOKUP(DK$15,Data_5!$F$10:$BG$42,$A17+2,FALSE)="NE","NE",IF(HLOOKUP(DK$15,Data_5!$F$10:$BG$42,$A17+2,FALSE)="C","C",IF(HLOOKUP(DK$15,Data_5!$F$10:$BG$42,$A17+2,FALSE)="NO","NO",HLOOKUP(DK$15,Data_5!$F$10:$BG$42,$A17+2,FALSE)/Data_5!$BK12))))),"")</f>
        <v>NO</v>
      </c>
      <c r="DL17" s="1122">
        <f>IFERROR(IF(HLOOKUP(DL$15,Data_5!$F$10:$BG$42,$A17+2,FALSE)="NO","NO",IF(HLOOKUP(DL$15,Data_5!$F$10:$BG$42,$A17+2,FALSE)="IE","IE",IF(HLOOKUP(DL$15,Data_5!$F$10:$BG$42,$A17+2,FALSE)="NE","NE",IF(HLOOKUP(DL$15,Data_5!$F$10:$BG$42,$A17+2,FALSE)="C","C",IF(HLOOKUP(DL$15,Data_5!$F$10:$BG$42,$A17+2,FALSE)="NO","NO",HLOOKUP(DL$15,Data_5!$F$10:$BG$42,$A17+2,FALSE)/Data_5!$BK12))))),"")</f>
        <v>1.3111775842284472E-2</v>
      </c>
      <c r="DM17" s="1122">
        <f>IFERROR(IF(HLOOKUP(DM$15,Data_5!$F$10:$BG$42,$A17+2,FALSE)="NO","NO",IF(HLOOKUP(DM$15,Data_5!$F$10:$BG$42,$A17+2,FALSE)="IE","IE",IF(HLOOKUP(DM$15,Data_5!$F$10:$BG$42,$A17+2,FALSE)="NE","NE",IF(HLOOKUP(DM$15,Data_5!$F$10:$BG$42,$A17+2,FALSE)="C","C",IF(HLOOKUP(DM$15,Data_5!$F$10:$BG$42,$A17+2,FALSE)="NO","NO",HLOOKUP(DM$15,Data_5!$F$10:$BG$42,$A17+2,FALSE)/Data_5!$BK12))))),"")</f>
        <v>2.6223551684568944E-2</v>
      </c>
      <c r="DN17" s="1122" t="str">
        <f>IFERROR(IF(HLOOKUP(DN$15,Data_5!$F$10:$BG$42,$A17+2,FALSE)="NO","NO",IF(HLOOKUP(DN$15,Data_5!$F$10:$BG$42,$A17+2,FALSE)="IE","IE",IF(HLOOKUP(DN$15,Data_5!$F$10:$BG$42,$A17+2,FALSE)="NE","NE",IF(HLOOKUP(DN$15,Data_5!$F$10:$BG$42,$A17+2,FALSE)="C","C",IF(HLOOKUP(DN$15,Data_5!$F$10:$BG$42,$A17+2,FALSE)="NO","NO",HLOOKUP(DN$15,Data_5!$F$10:$BG$42,$A17+2,FALSE)/Data_5!$BK12))))),"")</f>
        <v>NE</v>
      </c>
      <c r="DO17" s="1122" t="str">
        <f>IFERROR(IF(HLOOKUP(DO$15,Data_5!$F$10:$BG$42,$A17+2,FALSE)="NO","NO",IF(HLOOKUP(DO$15,Data_5!$F$10:$BG$42,$A17+2,FALSE)="IE","IE",IF(HLOOKUP(DO$15,Data_5!$F$10:$BG$42,$A17+2,FALSE)="NE","NE",IF(HLOOKUP(DO$15,Data_5!$F$10:$BG$42,$A17+2,FALSE)="C","C",IF(HLOOKUP(DO$15,Data_5!$F$10:$BG$42,$A17+2,FALSE)="NO","NO",HLOOKUP(DO$15,Data_5!$F$10:$BG$42,$A17+2,FALSE)/Data_5!$BK12))))),"")</f>
        <v>NE</v>
      </c>
    </row>
    <row r="18" spans="1:119" s="15" customFormat="1" ht="15" customHeight="1">
      <c r="A18" s="1789">
        <v>2</v>
      </c>
      <c r="B18" s="2628" t="str">
        <f>IF(Data_5!B13&lt;&gt;"",Data_5!B13,"")</f>
        <v>Amman</v>
      </c>
      <c r="C18" s="2629"/>
      <c r="D18" s="1462">
        <f>IFERROR(VLOOKUP($B18,Data_5!$B$12:$C$42,2,FALSE),"")</f>
        <v>2014</v>
      </c>
      <c r="E18" s="1122">
        <f>IFERROR(IF(HLOOKUP(E$15,Data_5!$F$10:$BG$42,$A18+2,FALSE)="NO","NO",IF(HLOOKUP(E$15,Data_5!$F$10:$BG$42,$A18+2,FALSE)="IE","IE",IF(HLOOKUP(E$15,Data_5!$F$10:$BG$42,$A18+2,FALSE)="NE","NE",IF(HLOOKUP(E$15,Data_5!$F$10:$BG$42,$A18+2,FALSE)="C","C",IF(HLOOKUP(E$15,Data_5!$F$10:$BG$42,$A18+2,FALSE)="NO","NO",HLOOKUP(E$15,Data_5!$F$10:$BG$42,$A18+2,FALSE)/Data_5!$BH13))))),"")</f>
        <v>6.5027746687693566E-2</v>
      </c>
      <c r="F18" s="1122">
        <f>IFERROR(IF(HLOOKUP(F$15,Data_5!$F$10:$BG$42,$A18+2,FALSE)="NO","NO",IF(HLOOKUP(F$15,Data_5!$F$10:$BG$42,$A18+2,FALSE)="IE","IE",IF(HLOOKUP(F$15,Data_5!$F$10:$BG$42,$A18+2,FALSE)="NE","NE",IF(HLOOKUP(F$15,Data_5!$F$10:$BG$42,$A18+2,FALSE)="C","C",IF(HLOOKUP(F$15,Data_5!$F$10:$BG$42,$A18+2,FALSE)="NO","NO",HLOOKUP(F$15,Data_5!$F$10:$BG$42,$A18+2,FALSE)/Data_5!$BH13))))),"")</f>
        <v>0.26494889954002909</v>
      </c>
      <c r="G18" s="1122">
        <f>IFERROR(IF(HLOOKUP(G$15,Data_5!$F$10:$BG$42,$A18+2,FALSE)="NO","NO",IF(HLOOKUP(G$15,Data_5!$F$10:$BG$42,$A18+2,FALSE)="IE","IE",IF(HLOOKUP(G$15,Data_5!$F$10:$BG$42,$A18+2,FALSE)="NE","NE",IF(HLOOKUP(G$15,Data_5!$F$10:$BG$42,$A18+2,FALSE)="C","C",IF(HLOOKUP(G$15,Data_5!$F$10:$BG$42,$A18+2,FALSE)="NO","NO",HLOOKUP(G$15,Data_5!$F$10:$BG$42,$A18+2,FALSE)/Data_5!$BH13))))),"")</f>
        <v>4.3622602070050157E-2</v>
      </c>
      <c r="H18" s="1122">
        <f>IFERROR(IF(HLOOKUP(H$15,Data_5!$F$10:$BG$42,$A18+2,FALSE)="NO","NO",IF(HLOOKUP(H$15,Data_5!$F$10:$BG$42,$A18+2,FALSE)="IE","IE",IF(HLOOKUP(H$15,Data_5!$F$10:$BG$42,$A18+2,FALSE)="NE","NE",IF(HLOOKUP(H$15,Data_5!$F$10:$BG$42,$A18+2,FALSE)="C","C",IF(HLOOKUP(H$15,Data_5!$F$10:$BG$42,$A18+2,FALSE)="NO","NO",HLOOKUP(H$15,Data_5!$F$10:$BG$42,$A18+2,FALSE)/Data_5!$BH13))))),"")</f>
        <v>0.22205038346343939</v>
      </c>
      <c r="I18" s="1122">
        <f>IFERROR(IF(HLOOKUP(I$15,Data_5!$F$10:$BG$42,$A18+2,FALSE)="NO","NO",IF(HLOOKUP(I$15,Data_5!$F$10:$BG$42,$A18+2,FALSE)="IE","IE",IF(HLOOKUP(I$15,Data_5!$F$10:$BG$42,$A18+2,FALSE)="NE","NE",IF(HLOOKUP(I$15,Data_5!$F$10:$BG$42,$A18+2,FALSE)="C","C",IF(HLOOKUP(I$15,Data_5!$F$10:$BG$42,$A18+2,FALSE)="NO","NO",HLOOKUP(I$15,Data_5!$F$10:$BG$42,$A18+2,FALSE)/Data_5!$BH13))))),"")</f>
        <v>7.3266527682605788E-3</v>
      </c>
      <c r="J18" s="1122">
        <f>IFERROR(IF(HLOOKUP(J$15,Data_5!$F$10:$BG$42,$A18+2,FALSE)="NO","NO",IF(HLOOKUP(J$15,Data_5!$F$10:$BG$42,$A18+2,FALSE)="IE","IE",IF(HLOOKUP(J$15,Data_5!$F$10:$BG$42,$A18+2,FALSE)="NE","NE",IF(HLOOKUP(J$15,Data_5!$F$10:$BG$42,$A18+2,FALSE)="C","C",IF(HLOOKUP(J$15,Data_5!$F$10:$BG$42,$A18+2,FALSE)="NO","NO",HLOOKUP(J$15,Data_5!$F$10:$BG$42,$A18+2,FALSE)/Data_5!$BH13))))),"")</f>
        <v>3.6830984026054663E-2</v>
      </c>
      <c r="K18" s="1122" t="str">
        <f>IFERROR(IF(HLOOKUP(K$15,Data_5!$F$10:$BG$42,$A18+2,FALSE)="NO","NO",IF(HLOOKUP(K$15,Data_5!$F$10:$BG$42,$A18+2,FALSE)="IE","IE",IF(HLOOKUP(K$15,Data_5!$F$10:$BG$42,$A18+2,FALSE)="NE","NE",IF(HLOOKUP(K$15,Data_5!$F$10:$BG$42,$A18+2,FALSE)="C","C",IF(HLOOKUP(K$15,Data_5!$F$10:$BG$42,$A18+2,FALSE)="NO","NO",HLOOKUP(K$15,Data_5!$F$10:$BG$42,$A18+2,FALSE)/Data_5!$BH13))))),"")</f>
        <v>NO</v>
      </c>
      <c r="L18" s="1122" t="str">
        <f>IFERROR(IF(HLOOKUP(L$15,Data_5!$F$10:$BG$42,$A18+2,FALSE)="NO","NO",IF(HLOOKUP(L$15,Data_5!$F$10:$BG$42,$A18+2,FALSE)="IE","IE",IF(HLOOKUP(L$15,Data_5!$F$10:$BG$42,$A18+2,FALSE)="NE","NE",IF(HLOOKUP(L$15,Data_5!$F$10:$BG$42,$A18+2,FALSE)="C","C",IF(HLOOKUP(L$15,Data_5!$F$10:$BG$42,$A18+2,FALSE)="NO","NO",HLOOKUP(L$15,Data_5!$F$10:$BG$42,$A18+2,FALSE)/Data_5!$BH13))))),"")</f>
        <v>NO</v>
      </c>
      <c r="M18" s="1122" t="str">
        <f>IFERROR(IF(HLOOKUP(M$15,Data_5!$F$10:$BG$42,$A18+2,FALSE)="NO","NO",IF(HLOOKUP(M$15,Data_5!$F$10:$BG$42,$A18+2,FALSE)="IE","IE",IF(HLOOKUP(M$15,Data_5!$F$10:$BG$42,$A18+2,FALSE)="NE","NE",IF(HLOOKUP(M$15,Data_5!$F$10:$BG$42,$A18+2,FALSE)="C","C",IF(HLOOKUP(M$15,Data_5!$F$10:$BG$42,$A18+2,FALSE)="NO","NO",HLOOKUP(M$15,Data_5!$F$10:$BG$42,$A18+2,FALSE)/Data_5!$BH13))))),"")</f>
        <v>NO</v>
      </c>
      <c r="N18" s="1122" t="str">
        <f>IFERROR(IF(HLOOKUP(N$15,Data_5!$F$10:$BG$42,$A18+2,FALSE)="NO","NO",IF(HLOOKUP(N$15,Data_5!$F$10:$BG$42,$A18+2,FALSE)="IE","IE",IF(HLOOKUP(N$15,Data_5!$F$10:$BG$42,$A18+2,FALSE)="NE","NE",IF(HLOOKUP(N$15,Data_5!$F$10:$BG$42,$A18+2,FALSE)="C","C",IF(HLOOKUP(N$15,Data_5!$F$10:$BG$42,$A18+2,FALSE)="NO","NO",HLOOKUP(N$15,Data_5!$F$10:$BG$42,$A18+2,FALSE)/Data_5!$BH13))))),"")</f>
        <v>NO</v>
      </c>
      <c r="O18" s="1122" t="str">
        <f>IFERROR(IF(HLOOKUP(O$15,Data_5!$F$10:$BG$42,$A18+2,FALSE)="NO","NO",IF(HLOOKUP(O$15,Data_5!$F$10:$BG$42,$A18+2,FALSE)="IE","IE",IF(HLOOKUP(O$15,Data_5!$F$10:$BG$42,$A18+2,FALSE)="NE","NE",IF(HLOOKUP(O$15,Data_5!$F$10:$BG$42,$A18+2,FALSE)="C","C",IF(HLOOKUP(O$15,Data_5!$F$10:$BG$42,$A18+2,FALSE)="NO","NO",HLOOKUP(O$15,Data_5!$F$10:$BG$42,$A18+2,FALSE)/Data_5!$BH13))))),"")</f>
        <v>NO</v>
      </c>
      <c r="P18" s="1122" t="str">
        <f>IFERROR(IF(HLOOKUP(P$15,Data_5!$F$10:$BG$42,$A18+2,FALSE)="NO","NO",IF(HLOOKUP(P$15,Data_5!$F$10:$BG$42,$A18+2,FALSE)="IE","IE",IF(HLOOKUP(P$15,Data_5!$F$10:$BG$42,$A18+2,FALSE)="NE","NE",IF(HLOOKUP(P$15,Data_5!$F$10:$BG$42,$A18+2,FALSE)="C","C",IF(HLOOKUP(P$15,Data_5!$F$10:$BG$42,$A18+2,FALSE)="NO","NO",HLOOKUP(P$15,Data_5!$F$10:$BG$42,$A18+2,FALSE)/Data_5!$BH13))))),"")</f>
        <v>NO</v>
      </c>
      <c r="Q18" s="1122" t="str">
        <f>IFERROR(IF(HLOOKUP(Q$15,Data_5!$F$10:$BG$42,$A18+2,FALSE)="NO","NO",IF(HLOOKUP(Q$15,Data_5!$F$10:$BG$42,$A18+2,FALSE)="IE","IE",IF(HLOOKUP(Q$15,Data_5!$F$10:$BG$42,$A18+2,FALSE)="NE","NE",IF(HLOOKUP(Q$15,Data_5!$F$10:$BG$42,$A18+2,FALSE)="C","C",IF(HLOOKUP(Q$15,Data_5!$F$10:$BG$42,$A18+2,FALSE)="NO","NO",HLOOKUP(Q$15,Data_5!$F$10:$BG$42,$A18+2,FALSE)/Data_5!$BH13))))),"")</f>
        <v>NO</v>
      </c>
      <c r="R18" s="1122" t="str">
        <f>IFERROR(IF(HLOOKUP(R$15,Data_5!$F$10:$BG$42,$A18+2,FALSE)="NO","NO",IF(HLOOKUP(R$15,Data_5!$F$10:$BG$42,$A18+2,FALSE)="IE","IE",IF(HLOOKUP(R$15,Data_5!$F$10:$BG$42,$A18+2,FALSE)="NE","NE",IF(HLOOKUP(R$15,Data_5!$F$10:$BG$42,$A18+2,FALSE)="C","C",IF(HLOOKUP(R$15,Data_5!$F$10:$BG$42,$A18+2,FALSE)="NO","NO",HLOOKUP(R$15,Data_5!$F$10:$BG$42,$A18+2,FALSE)/Data_5!$BH13))))),"")</f>
        <v>NO</v>
      </c>
      <c r="S18" s="1122">
        <f>IFERROR(IF(HLOOKUP(S$15,Data_5!$F$10:$BG$42,$A18+2,FALSE)="NO","NO",IF(HLOOKUP(S$15,Data_5!$F$10:$BG$42,$A18+2,FALSE)="IE","IE",IF(HLOOKUP(S$15,Data_5!$F$10:$BG$42,$A18+2,FALSE)="NE","NE",IF(HLOOKUP(S$15,Data_5!$F$10:$BG$42,$A18+2,FALSE)="C","C",IF(HLOOKUP(S$15,Data_5!$F$10:$BG$42,$A18+2,FALSE)="NO","NO",HLOOKUP(S$15,Data_5!$F$10:$BG$42,$A18+2,FALSE)/Data_5!$BH13))))),"")</f>
        <v>0.30513074271821927</v>
      </c>
      <c r="T18" s="1122" t="str">
        <f>IFERROR(IF(HLOOKUP(T$15,Data_5!$F$10:$BG$42,$A18+2,FALSE)="NO","NO",IF(HLOOKUP(T$15,Data_5!$F$10:$BG$42,$A18+2,FALSE)="IE","IE",IF(HLOOKUP(T$15,Data_5!$F$10:$BG$42,$A18+2,FALSE)="NE","NE",IF(HLOOKUP(T$15,Data_5!$F$10:$BG$42,$A18+2,FALSE)="C","C",IF(HLOOKUP(T$15,Data_5!$F$10:$BG$42,$A18+2,FALSE)="NO","NO",HLOOKUP(T$15,Data_5!$F$10:$BG$42,$A18+2,FALSE)/Data_5!$BH13))))),"")</f>
        <v>NO</v>
      </c>
      <c r="U18" s="1122" t="str">
        <f>IFERROR(IF(HLOOKUP(U$15,Data_5!$F$10:$BG$42,$A18+2,FALSE)="NO","NO",IF(HLOOKUP(U$15,Data_5!$F$10:$BG$42,$A18+2,FALSE)="IE","IE",IF(HLOOKUP(U$15,Data_5!$F$10:$BG$42,$A18+2,FALSE)="NE","NE",IF(HLOOKUP(U$15,Data_5!$F$10:$BG$42,$A18+2,FALSE)="C","C",IF(HLOOKUP(U$15,Data_5!$F$10:$BG$42,$A18+2,FALSE)="NO","NO",HLOOKUP(U$15,Data_5!$F$10:$BG$42,$A18+2,FALSE)/Data_5!$BH13))))),"")</f>
        <v>NO</v>
      </c>
      <c r="V18" s="1122" t="str">
        <f>IFERROR(IF(HLOOKUP(V$15,Data_5!$F$10:$BG$42,$A18+2,FALSE)="NO","NO",IF(HLOOKUP(V$15,Data_5!$F$10:$BG$42,$A18+2,FALSE)="IE","IE",IF(HLOOKUP(V$15,Data_5!$F$10:$BG$42,$A18+2,FALSE)="NE","NE",IF(HLOOKUP(V$15,Data_5!$F$10:$BG$42,$A18+2,FALSE)="C","C",IF(HLOOKUP(V$15,Data_5!$F$10:$BG$42,$A18+2,FALSE)="NO","NO",HLOOKUP(V$15,Data_5!$F$10:$BG$42,$A18+2,FALSE)/Data_5!$BH13))))),"")</f>
        <v>NO</v>
      </c>
      <c r="W18" s="1122" t="str">
        <f>IFERROR(IF(HLOOKUP(W$15,Data_5!$F$10:$BG$42,$A18+2,FALSE)="NO","NO",IF(HLOOKUP(W$15,Data_5!$F$10:$BG$42,$A18+2,FALSE)="IE","IE",IF(HLOOKUP(W$15,Data_5!$F$10:$BG$42,$A18+2,FALSE)="NE","NE",IF(HLOOKUP(W$15,Data_5!$F$10:$BG$42,$A18+2,FALSE)="C","C",IF(HLOOKUP(W$15,Data_5!$F$10:$BG$42,$A18+2,FALSE)="NO","NO",HLOOKUP(W$15,Data_5!$F$10:$BG$42,$A18+2,FALSE)/Data_5!$BH13))))),"")</f>
        <v>NO</v>
      </c>
      <c r="X18" s="1122" t="str">
        <f>IFERROR(IF(HLOOKUP(X$15,Data_5!$F$10:$BG$42,$A18+2,FALSE)="NO","NO",IF(HLOOKUP(X$15,Data_5!$F$10:$BG$42,$A18+2,FALSE)="IE","IE",IF(HLOOKUP(X$15,Data_5!$F$10:$BG$42,$A18+2,FALSE)="NE","NE",IF(HLOOKUP(X$15,Data_5!$F$10:$BG$42,$A18+2,FALSE)="C","C",IF(HLOOKUP(X$15,Data_5!$F$10:$BG$42,$A18+2,FALSE)="NO","NO",HLOOKUP(X$15,Data_5!$F$10:$BG$42,$A18+2,FALSE)/Data_5!$BH13))))),"")</f>
        <v>NO</v>
      </c>
      <c r="Y18" s="1122" t="str">
        <f>IFERROR(IF(HLOOKUP(Y$15,Data_5!$F$10:$BG$42,$A18+2,FALSE)="NO","NO",IF(HLOOKUP(Y$15,Data_5!$F$10:$BG$42,$A18+2,FALSE)="IE","IE",IF(HLOOKUP(Y$15,Data_5!$F$10:$BG$42,$A18+2,FALSE)="NE","NE",IF(HLOOKUP(Y$15,Data_5!$F$10:$BG$42,$A18+2,FALSE)="C","C",IF(HLOOKUP(Y$15,Data_5!$F$10:$BG$42,$A18+2,FALSE)="NO","NO",HLOOKUP(Y$15,Data_5!$F$10:$BG$42,$A18+2,FALSE)/Data_5!$BH13))))),"")</f>
        <v>NO</v>
      </c>
      <c r="Z18" s="1122" t="str">
        <f>IFERROR(IF(HLOOKUP(Z$15,Data_5!$F$10:$BG$42,$A18+2,FALSE)="NO","NO",IF(HLOOKUP(Z$15,Data_5!$F$10:$BG$42,$A18+2,FALSE)="IE","IE",IF(HLOOKUP(Z$15,Data_5!$F$10:$BG$42,$A18+2,FALSE)="NE","NE",IF(HLOOKUP(Z$15,Data_5!$F$10:$BG$42,$A18+2,FALSE)="C","C",IF(HLOOKUP(Z$15,Data_5!$F$10:$BG$42,$A18+2,FALSE)="NO","NO",HLOOKUP(Z$15,Data_5!$F$10:$BG$42,$A18+2,FALSE)/Data_5!$BH13))))),"")</f>
        <v>NO</v>
      </c>
      <c r="AA18" s="1122" t="str">
        <f>IFERROR(IF(HLOOKUP(AA$15,Data_5!$F$10:$BG$42,$A18+2,FALSE)="NO","NO",IF(HLOOKUP(AA$15,Data_5!$F$10:$BG$42,$A18+2,FALSE)="IE","IE",IF(HLOOKUP(AA$15,Data_5!$F$10:$BG$42,$A18+2,FALSE)="NE","NE",IF(HLOOKUP(AA$15,Data_5!$F$10:$BG$42,$A18+2,FALSE)="C","C",IF(HLOOKUP(AA$15,Data_5!$F$10:$BG$42,$A18+2,FALSE)="NO","NO",HLOOKUP(AA$15,Data_5!$F$10:$BG$42,$A18+2,FALSE)/Data_5!$BH13))))),"")</f>
        <v>NO</v>
      </c>
      <c r="AB18" s="1122" t="str">
        <f>IFERROR(IF(HLOOKUP(AB$15,Data_5!$F$10:$BG$42,$A18+2,FALSE)="NO","NO",IF(HLOOKUP(AB$15,Data_5!$F$10:$BG$42,$A18+2,FALSE)="IE","IE",IF(HLOOKUP(AB$15,Data_5!$F$10:$BG$42,$A18+2,FALSE)="NE","NE",IF(HLOOKUP(AB$15,Data_5!$F$10:$BG$42,$A18+2,FALSE)="C","C",IF(HLOOKUP(AB$15,Data_5!$F$10:$BG$42,$A18+2,FALSE)="NO","NO",HLOOKUP(AB$15,Data_5!$F$10:$BG$42,$A18+2,FALSE)/Data_5!$BH13))))),"")</f>
        <v>NO</v>
      </c>
      <c r="AC18" s="1122">
        <f>IFERROR(IF(HLOOKUP(AC$15,Data_5!$F$10:$BG$42,$A18+2,FALSE)="NO","NO",IF(HLOOKUP(AC$15,Data_5!$F$10:$BG$42,$A18+2,FALSE)="IE","IE",IF(HLOOKUP(AC$15,Data_5!$F$10:$BG$42,$A18+2,FALSE)="NE","NE",IF(HLOOKUP(AC$15,Data_5!$F$10:$BG$42,$A18+2,FALSE)="C","C",IF(HLOOKUP(AC$15,Data_5!$F$10:$BG$42,$A18+2,FALSE)="NO","NO",HLOOKUP(AC$15,Data_5!$F$10:$BG$42,$A18+2,FALSE)/Data_5!$BH13))))),"")</f>
        <v>2.2095102152285707E-2</v>
      </c>
      <c r="AD18" s="1122" t="str">
        <f>IFERROR(IF(HLOOKUP(AD$15,Data_5!$F$10:$BG$42,$A18+2,FALSE)="NO","NO",IF(HLOOKUP(AD$15,Data_5!$F$10:$BG$42,$A18+2,FALSE)="IE","IE",IF(HLOOKUP(AD$15,Data_5!$F$10:$BG$42,$A18+2,FALSE)="NE","NE",IF(HLOOKUP(AD$15,Data_5!$F$10:$BG$42,$A18+2,FALSE)="C","C",IF(HLOOKUP(AD$15,Data_5!$F$10:$BG$42,$A18+2,FALSE)="NO","NO",HLOOKUP(AD$15,Data_5!$F$10:$BG$42,$A18+2,FALSE)/Data_5!$BH13))))),"")</f>
        <v>NO</v>
      </c>
      <c r="AE18" s="1122" t="str">
        <f>IFERROR(IF(HLOOKUP(AE$15,Data_5!$F$10:$BG$42,$A18+2,FALSE)="NO","NO",IF(HLOOKUP(AE$15,Data_5!$F$10:$BG$42,$A18+2,FALSE)="IE","IE",IF(HLOOKUP(AE$15,Data_5!$F$10:$BG$42,$A18+2,FALSE)="NE","NE",IF(HLOOKUP(AE$15,Data_5!$F$10:$BG$42,$A18+2,FALSE)="C","C",IF(HLOOKUP(AE$15,Data_5!$F$10:$BG$42,$A18+2,FALSE)="NO","NO",HLOOKUP(AE$15,Data_5!$F$10:$BG$42,$A18+2,FALSE)/Data_5!$BH13))))),"")</f>
        <v>NO</v>
      </c>
      <c r="AF18" s="1122" t="str">
        <f>IFERROR(IF(HLOOKUP(AF$15,Data_5!$F$10:$BG$42,$A18+2,FALSE)="NO","NO",IF(HLOOKUP(AF$15,Data_5!$F$10:$BG$42,$A18+2,FALSE)="IE","IE",IF(HLOOKUP(AF$15,Data_5!$F$10:$BG$42,$A18+2,FALSE)="NE","NE",IF(HLOOKUP(AF$15,Data_5!$F$10:$BG$42,$A18+2,FALSE)="C","C",IF(HLOOKUP(AF$15,Data_5!$F$10:$BG$42,$A18+2,FALSE)="NO","NO",HLOOKUP(AF$15,Data_5!$F$10:$BG$42,$A18+2,FALSE)/Data_5!$BH13))))),"")</f>
        <v>NO</v>
      </c>
      <c r="AG18" s="1122" t="str">
        <f>IFERROR(IF(HLOOKUP(AG$15,Data_5!$F$10:$BG$42,$A18+2,FALSE)="NO","NO",IF(HLOOKUP(AG$15,Data_5!$F$10:$BG$42,$A18+2,FALSE)="IE","IE",IF(HLOOKUP(AG$15,Data_5!$F$10:$BG$42,$A18+2,FALSE)="NE","NE",IF(HLOOKUP(AG$15,Data_5!$F$10:$BG$42,$A18+2,FALSE)="C","C",IF(HLOOKUP(AG$15,Data_5!$F$10:$BG$42,$A18+2,FALSE)="NO","NO",HLOOKUP(AG$15,Data_5!$F$10:$BG$42,$A18+2,FALSE)/Data_5!$BH13))))),"")</f>
        <v>NO</v>
      </c>
      <c r="AH18" s="1122" t="str">
        <f>IFERROR(IF(HLOOKUP(AH$15,Data_5!$F$10:$BG$42,$A18+2,FALSE)="NO","NO",IF(HLOOKUP(AH$15,Data_5!$F$10:$BG$42,$A18+2,FALSE)="IE","IE",IF(HLOOKUP(AH$15,Data_5!$F$10:$BG$42,$A18+2,FALSE)="NE","NE",IF(HLOOKUP(AH$15,Data_5!$F$10:$BG$42,$A18+2,FALSE)="C","C",IF(HLOOKUP(AH$15,Data_5!$F$10:$BG$42,$A18+2,FALSE)="NO","NO",HLOOKUP(AH$15,Data_5!$F$10:$BG$42,$A18+2,FALSE)/Data_5!$BH13))))),"")</f>
        <v>NO</v>
      </c>
      <c r="AI18" s="1122" t="str">
        <f>IFERROR(IF(HLOOKUP(AI$15,Data_5!$F$10:$BG$42,$A18+2,FALSE)="NO","NO",IF(HLOOKUP(AI$15,Data_5!$F$10:$BG$42,$A18+2,FALSE)="IE","IE",IF(HLOOKUP(AI$15,Data_5!$F$10:$BG$42,$A18+2,FALSE)="NE","NE",IF(HLOOKUP(AI$15,Data_5!$F$10:$BG$42,$A18+2,FALSE)="C","C",IF(HLOOKUP(AI$15,Data_5!$F$10:$BG$42,$A18+2,FALSE)="NO","NO",HLOOKUP(AI$15,Data_5!$F$10:$BG$42,$A18+2,FALSE)/Data_5!$BH13))))),"")</f>
        <v>NO</v>
      </c>
      <c r="AJ18" s="1122">
        <f>IFERROR(IF(HLOOKUP(AJ$15,Data_5!$F$10:$BG$42,$A18+2,FALSE)="NO","NO",IF(HLOOKUP(AJ$15,Data_5!$F$10:$BG$42,$A18+2,FALSE)="IE","IE",IF(HLOOKUP(AJ$15,Data_5!$F$10:$BG$42,$A18+2,FALSE)="NE","NE",IF(HLOOKUP(AJ$15,Data_5!$F$10:$BG$42,$A18+2,FALSE)="C","C",IF(HLOOKUP(AJ$15,Data_5!$F$10:$BG$42,$A18+2,FALSE)="NO","NO",HLOOKUP(AJ$15,Data_5!$F$10:$BG$42,$A18+2,FALSE)/Data_5!$BH13))))),"")</f>
        <v>3.2966886573967492E-2</v>
      </c>
      <c r="AL18" s="2628" t="str">
        <f t="shared" ref="AL18:AL66" si="0">B18</f>
        <v>Amman</v>
      </c>
      <c r="AM18" s="2629"/>
      <c r="AN18" s="1100">
        <f t="shared" ref="AN18:AN66" si="1">D18</f>
        <v>2014</v>
      </c>
      <c r="AO18" s="1122" t="str">
        <f>IFERROR(IF(VLOOKUP($AL18,Data_5!$B$12:$E$42,4,FALSE)="BASIC","",(IF(HLOOKUP(AO$15,Data_5!$F$10:$BG$42,$A18+2,FALSE)="NO","NO",IF(HLOOKUP(AO$15,Data_5!$F$10:$BG$42,$A18+2,FALSE)="IE","IE",IF(HLOOKUP(AO$15,Data_5!$F$10:$BG$42,$A18+2,FALSE)="NE","NE",IF(HLOOKUP(AO$15,Data_5!$F$10:$BG$42,$A18+2,FALSE)="C","C",IF(HLOOKUP(AO$15,Data_5!$F$10:$BG$42,$A18+2,FALSE)="NO","NO",HLOOKUP(AO$15,Data_5!$F$10:$BG$42,$A18+2,FALSE)/Data_5!$BI13))))))),"")</f>
        <v/>
      </c>
      <c r="AP18" s="1122" t="str">
        <f>IFERROR(IF(VLOOKUP($AL18,Data_5!$B$12:$E$42,4,FALSE)="BASIC","",(IF(HLOOKUP(AP$15,Data_5!$F$10:$BG$42,$A18+2,FALSE)="NO","NO",IF(HLOOKUP(AP$15,Data_5!$F$10:$BG$42,$A18+2,FALSE)="IE","IE",IF(HLOOKUP(AP$15,Data_5!$F$10:$BG$42,$A18+2,FALSE)="NE","NE",IF(HLOOKUP(AP$15,Data_5!$F$10:$BG$42,$A18+2,FALSE)="C","C",IF(HLOOKUP(AP$15,Data_5!$F$10:$BG$42,$A18+2,FALSE)="NO","NO",HLOOKUP(AP$15,Data_5!$F$10:$BG$42,$A18+2,FALSE)/Data_5!$BI13))))))),"")</f>
        <v/>
      </c>
      <c r="AQ18" s="1122" t="str">
        <f>IFERROR(IF(VLOOKUP($AL18,Data_5!$B$12:$E$42,4,FALSE)="BASIC","",(IF(HLOOKUP(AQ$15,Data_5!$F$10:$BG$42,$A18+2,FALSE)="NO","NO",IF(HLOOKUP(AQ$15,Data_5!$F$10:$BG$42,$A18+2,FALSE)="IE","IE",IF(HLOOKUP(AQ$15,Data_5!$F$10:$BG$42,$A18+2,FALSE)="NE","NE",IF(HLOOKUP(AQ$15,Data_5!$F$10:$BG$42,$A18+2,FALSE)="C","C",IF(HLOOKUP(AQ$15,Data_5!$F$10:$BG$42,$A18+2,FALSE)="NO","NO",HLOOKUP(AQ$15,Data_5!$F$10:$BG$42,$A18+2,FALSE)/Data_5!$BI13))))))),"")</f>
        <v/>
      </c>
      <c r="AR18" s="1122" t="str">
        <f>IFERROR(IF(VLOOKUP($AL18,Data_5!$B$12:$E$42,4,FALSE)="BASIC","",(IF(HLOOKUP(AR$15,Data_5!$F$10:$BG$42,$A18+2,FALSE)="NO","NO",IF(HLOOKUP(AR$15,Data_5!$F$10:$BG$42,$A18+2,FALSE)="IE","IE",IF(HLOOKUP(AR$15,Data_5!$F$10:$BG$42,$A18+2,FALSE)="NE","NE",IF(HLOOKUP(AR$15,Data_5!$F$10:$BG$42,$A18+2,FALSE)="C","C",IF(HLOOKUP(AR$15,Data_5!$F$10:$BG$42,$A18+2,FALSE)="NO","NO",HLOOKUP(AR$15,Data_5!$F$10:$BG$42,$A18+2,FALSE)/Data_5!$BI13))))))),"")</f>
        <v/>
      </c>
      <c r="AS18" s="1122" t="str">
        <f>IFERROR(IF(VLOOKUP($AL18,Data_5!$B$12:$E$42,4,FALSE)="BASIC","",(IF(HLOOKUP(AS$15,Data_5!$F$10:$BG$42,$A18+2,FALSE)="NO","NO",IF(HLOOKUP(AS$15,Data_5!$F$10:$BG$42,$A18+2,FALSE)="IE","IE",IF(HLOOKUP(AS$15,Data_5!$F$10:$BG$42,$A18+2,FALSE)="NE","NE",IF(HLOOKUP(AS$15,Data_5!$F$10:$BG$42,$A18+2,FALSE)="C","C",IF(HLOOKUP(AS$15,Data_5!$F$10:$BG$42,$A18+2,FALSE)="NO","NO",HLOOKUP(AS$15,Data_5!$F$10:$BG$42,$A18+2,FALSE)/Data_5!$BI13))))))),"")</f>
        <v/>
      </c>
      <c r="AT18" s="1122" t="str">
        <f>IFERROR(IF(VLOOKUP($AL18,Data_5!$B$12:$E$42,4,FALSE)="BASIC","",(IF(HLOOKUP(AT$15,Data_5!$F$10:$BG$42,$A18+2,FALSE)="NO","NO",IF(HLOOKUP(AT$15,Data_5!$F$10:$BG$42,$A18+2,FALSE)="IE","IE",IF(HLOOKUP(AT$15,Data_5!$F$10:$BG$42,$A18+2,FALSE)="NE","NE",IF(HLOOKUP(AT$15,Data_5!$F$10:$BG$42,$A18+2,FALSE)="C","C",IF(HLOOKUP(AT$15,Data_5!$F$10:$BG$42,$A18+2,FALSE)="NO","NO",HLOOKUP(AT$15,Data_5!$F$10:$BG$42,$A18+2,FALSE)/Data_5!$BI13))))))),"")</f>
        <v/>
      </c>
      <c r="AU18" s="1122" t="str">
        <f>IFERROR(IF(VLOOKUP($AL18,Data_5!$B$12:$E$42,4,FALSE)="BASIC","",(IF(HLOOKUP(AU$15,Data_5!$F$10:$BG$42,$A18+2,FALSE)="NO","NO",IF(HLOOKUP(AU$15,Data_5!$F$10:$BG$42,$A18+2,FALSE)="IE","IE",IF(HLOOKUP(AU$15,Data_5!$F$10:$BG$42,$A18+2,FALSE)="NE","NE",IF(HLOOKUP(AU$15,Data_5!$F$10:$BG$42,$A18+2,FALSE)="C","C",IF(HLOOKUP(AU$15,Data_5!$F$10:$BG$42,$A18+2,FALSE)="NO","NO",HLOOKUP(AU$15,Data_5!$F$10:$BG$42,$A18+2,FALSE)/Data_5!$BI13))))))),"")</f>
        <v/>
      </c>
      <c r="AV18" s="1122" t="str">
        <f>IFERROR(IF(VLOOKUP($AL18,Data_5!$B$12:$E$42,4,FALSE)="BASIC","",(IF(HLOOKUP(AV$15,Data_5!$F$10:$BG$42,$A18+2,FALSE)="NO","NO",IF(HLOOKUP(AV$15,Data_5!$F$10:$BG$42,$A18+2,FALSE)="IE","IE",IF(HLOOKUP(AV$15,Data_5!$F$10:$BG$42,$A18+2,FALSE)="NE","NE",IF(HLOOKUP(AV$15,Data_5!$F$10:$BG$42,$A18+2,FALSE)="C","C",IF(HLOOKUP(AV$15,Data_5!$F$10:$BG$42,$A18+2,FALSE)="NO","NO",HLOOKUP(AV$15,Data_5!$F$10:$BG$42,$A18+2,FALSE)/Data_5!$BI13))))))),"")</f>
        <v/>
      </c>
      <c r="AW18" s="1122" t="str">
        <f>IFERROR(IF(VLOOKUP($AL18,Data_5!$B$12:$E$42,4,FALSE)="BASIC","",(IF(HLOOKUP(AW$15,Data_5!$F$10:$BG$42,$A18+2,FALSE)="NO","NO",IF(HLOOKUP(AW$15,Data_5!$F$10:$BG$42,$A18+2,FALSE)="IE","IE",IF(HLOOKUP(AW$15,Data_5!$F$10:$BG$42,$A18+2,FALSE)="NE","NE",IF(HLOOKUP(AW$15,Data_5!$F$10:$BG$42,$A18+2,FALSE)="C","C",IF(HLOOKUP(AW$15,Data_5!$F$10:$BG$42,$A18+2,FALSE)="NO","NO",HLOOKUP(AW$15,Data_5!$F$10:$BG$42,$A18+2,FALSE)/Data_5!$BI13))))))),"")</f>
        <v/>
      </c>
      <c r="AX18" s="1122" t="str">
        <f>IFERROR(IF(VLOOKUP($AL18,Data_5!$B$12:$E$42,4,FALSE)="BASIC","",(IF(HLOOKUP(AX$15,Data_5!$F$10:$BG$42,$A18+2,FALSE)="NO","NO",IF(HLOOKUP(AX$15,Data_5!$F$10:$BG$42,$A18+2,FALSE)="IE","IE",IF(HLOOKUP(AX$15,Data_5!$F$10:$BG$42,$A18+2,FALSE)="NE","NE",IF(HLOOKUP(AX$15,Data_5!$F$10:$BG$42,$A18+2,FALSE)="C","C",IF(HLOOKUP(AX$15,Data_5!$F$10:$BG$42,$A18+2,FALSE)="NO","NO",HLOOKUP(AX$15,Data_5!$F$10:$BG$42,$A18+2,FALSE)/Data_5!$BI13))))))),"")</f>
        <v/>
      </c>
      <c r="AY18" s="1122" t="str">
        <f>IFERROR(IF(VLOOKUP($AL18,Data_5!$B$12:$E$42,4,FALSE)="BASIC","",(IF(HLOOKUP(AY$15,Data_5!$F$10:$BG$42,$A18+2,FALSE)="NO","NO",IF(HLOOKUP(AY$15,Data_5!$F$10:$BG$42,$A18+2,FALSE)="IE","IE",IF(HLOOKUP(AY$15,Data_5!$F$10:$BG$42,$A18+2,FALSE)="NE","NE",IF(HLOOKUP(AY$15,Data_5!$F$10:$BG$42,$A18+2,FALSE)="C","C",IF(HLOOKUP(AY$15,Data_5!$F$10:$BG$42,$A18+2,FALSE)="NO","NO",HLOOKUP(AY$15,Data_5!$F$10:$BG$42,$A18+2,FALSE)/Data_5!$BI13))))))),"")</f>
        <v/>
      </c>
      <c r="AZ18" s="1122" t="str">
        <f>IFERROR(IF(VLOOKUP($AL18,Data_5!$B$12:$E$42,4,FALSE)="BASIC","",(IF(HLOOKUP(AZ$15,Data_5!$F$10:$BG$42,$A18+2,FALSE)="NO","NO",IF(HLOOKUP(AZ$15,Data_5!$F$10:$BG$42,$A18+2,FALSE)="IE","IE",IF(HLOOKUP(AZ$15,Data_5!$F$10:$BG$42,$A18+2,FALSE)="NE","NE",IF(HLOOKUP(AZ$15,Data_5!$F$10:$BG$42,$A18+2,FALSE)="C","C",IF(HLOOKUP(AZ$15,Data_5!$F$10:$BG$42,$A18+2,FALSE)="NO","NO",HLOOKUP(AZ$15,Data_5!$F$10:$BG$42,$A18+2,FALSE)/Data_5!$BI13))))))),"")</f>
        <v/>
      </c>
      <c r="BA18" s="1122" t="str">
        <f>IFERROR(IF(VLOOKUP($AL18,Data_5!$B$12:$E$42,4,FALSE)="BASIC","",(IF(HLOOKUP(BA$15,Data_5!$F$10:$BG$42,$A18+2,FALSE)="NO","NO",IF(HLOOKUP(BA$15,Data_5!$F$10:$BG$42,$A18+2,FALSE)="IE","IE",IF(HLOOKUP(BA$15,Data_5!$F$10:$BG$42,$A18+2,FALSE)="NE","NE",IF(HLOOKUP(BA$15,Data_5!$F$10:$BG$42,$A18+2,FALSE)="C","C",IF(HLOOKUP(BA$15,Data_5!$F$10:$BG$42,$A18+2,FALSE)="NO","NO",HLOOKUP(BA$15,Data_5!$F$10:$BG$42,$A18+2,FALSE)/Data_5!$BI13))))))),"")</f>
        <v/>
      </c>
      <c r="BB18" s="1122" t="str">
        <f>IFERROR(IF(VLOOKUP($AL18,Data_5!$B$12:$E$42,4,FALSE)="BASIC","",(IF(HLOOKUP(BB$15,Data_5!$F$10:$BG$42,$A18+2,FALSE)="NO","NO",IF(HLOOKUP(BB$15,Data_5!$F$10:$BG$42,$A18+2,FALSE)="IE","IE",IF(HLOOKUP(BB$15,Data_5!$F$10:$BG$42,$A18+2,FALSE)="NE","NE",IF(HLOOKUP(BB$15,Data_5!$F$10:$BG$42,$A18+2,FALSE)="C","C",IF(HLOOKUP(BB$15,Data_5!$F$10:$BG$42,$A18+2,FALSE)="NO","NO",HLOOKUP(BB$15,Data_5!$F$10:$BG$42,$A18+2,FALSE)/Data_5!$BI13))))))),"")</f>
        <v/>
      </c>
      <c r="BC18" s="1122" t="str">
        <f>IFERROR(IF(VLOOKUP($AL18,Data_5!$B$12:$E$42,4,FALSE)="BASIC","",(IF(HLOOKUP(BC$15,Data_5!$F$10:$BG$42,$A18+2,FALSE)="NO","NO",IF(HLOOKUP(BC$15,Data_5!$F$10:$BG$42,$A18+2,FALSE)="IE","IE",IF(HLOOKUP(BC$15,Data_5!$F$10:$BG$42,$A18+2,FALSE)="NE","NE",IF(HLOOKUP(BC$15,Data_5!$F$10:$BG$42,$A18+2,FALSE)="C","C",IF(HLOOKUP(BC$15,Data_5!$F$10:$BG$42,$A18+2,FALSE)="NO","NO",HLOOKUP(BC$15,Data_5!$F$10:$BG$42,$A18+2,FALSE)/Data_5!$BI13))))))),"")</f>
        <v/>
      </c>
      <c r="BD18" s="1122" t="str">
        <f>IFERROR(IF(VLOOKUP($AL18,Data_5!$B$12:$E$42,4,FALSE)="BASIC","",(IF(HLOOKUP(BD$15,Data_5!$F$10:$BG$42,$A18+2,FALSE)="NO","NO",IF(HLOOKUP(BD$15,Data_5!$F$10:$BG$42,$A18+2,FALSE)="IE","IE",IF(HLOOKUP(BD$15,Data_5!$F$10:$BG$42,$A18+2,FALSE)="NE","NE",IF(HLOOKUP(BD$15,Data_5!$F$10:$BG$42,$A18+2,FALSE)="C","C",IF(HLOOKUP(BD$15,Data_5!$F$10:$BG$42,$A18+2,FALSE)="NO","NO",HLOOKUP(BD$15,Data_5!$F$10:$BG$42,$A18+2,FALSE)/Data_5!$BI13))))))),"")</f>
        <v/>
      </c>
      <c r="BE18" s="1122" t="str">
        <f>IFERROR(IF(VLOOKUP($AL18,Data_5!$B$12:$E$42,4,FALSE)="BASIC","",(IF(HLOOKUP(BE$15,Data_5!$F$10:$BG$42,$A18+2,FALSE)="NO","NO",IF(HLOOKUP(BE$15,Data_5!$F$10:$BG$42,$A18+2,FALSE)="IE","IE",IF(HLOOKUP(BE$15,Data_5!$F$10:$BG$42,$A18+2,FALSE)="NE","NE",IF(HLOOKUP(BE$15,Data_5!$F$10:$BG$42,$A18+2,FALSE)="C","C",IF(HLOOKUP(BE$15,Data_5!$F$10:$BG$42,$A18+2,FALSE)="NO","NO",HLOOKUP(BE$15,Data_5!$F$10:$BG$42,$A18+2,FALSE)/Data_5!$BI13))))))),"")</f>
        <v/>
      </c>
      <c r="BF18" s="1122" t="str">
        <f>IFERROR(IF(VLOOKUP($AL18,Data_5!$B$12:$E$42,4,FALSE)="BASIC","",(IF(HLOOKUP(BF$15,Data_5!$F$10:$BG$42,$A18+2,FALSE)="NO","NO",IF(HLOOKUP(BF$15,Data_5!$F$10:$BG$42,$A18+2,FALSE)="IE","IE",IF(HLOOKUP(BF$15,Data_5!$F$10:$BG$42,$A18+2,FALSE)="NE","NE",IF(HLOOKUP(BF$15,Data_5!$F$10:$BG$42,$A18+2,FALSE)="C","C",IF(HLOOKUP(BF$15,Data_5!$F$10:$BG$42,$A18+2,FALSE)="NO","NO",HLOOKUP(BF$15,Data_5!$F$10:$BG$42,$A18+2,FALSE)/Data_5!$BI13))))))),"")</f>
        <v/>
      </c>
      <c r="BG18" s="1122" t="str">
        <f>IFERROR(IF(VLOOKUP($AL18,Data_5!$B$12:$E$42,4,FALSE)="BASIC","",(IF(HLOOKUP(BG$15,Data_5!$F$10:$BG$42,$A18+2,FALSE)="NO","NO",IF(HLOOKUP(BG$15,Data_5!$F$10:$BG$42,$A18+2,FALSE)="IE","IE",IF(HLOOKUP(BG$15,Data_5!$F$10:$BG$42,$A18+2,FALSE)="NE","NE",IF(HLOOKUP(BG$15,Data_5!$F$10:$BG$42,$A18+2,FALSE)="C","C",IF(HLOOKUP(BG$15,Data_5!$F$10:$BG$42,$A18+2,FALSE)="NO","NO",HLOOKUP(BG$15,Data_5!$F$10:$BG$42,$A18+2,FALSE)/Data_5!$BI13))))))),"")</f>
        <v/>
      </c>
      <c r="BH18" s="1122" t="str">
        <f>IFERROR(IF(VLOOKUP($AL18,Data_5!$B$12:$E$42,4,FALSE)="BASIC","",(IF(HLOOKUP(BH$15,Data_5!$F$10:$BG$42,$A18+2,FALSE)="NO","NO",IF(HLOOKUP(BH$15,Data_5!$F$10:$BG$42,$A18+2,FALSE)="IE","IE",IF(HLOOKUP(BH$15,Data_5!$F$10:$BG$42,$A18+2,FALSE)="NE","NE",IF(HLOOKUP(BH$15,Data_5!$F$10:$BG$42,$A18+2,FALSE)="C","C",IF(HLOOKUP(BH$15,Data_5!$F$10:$BG$42,$A18+2,FALSE)="NO","NO",HLOOKUP(BH$15,Data_5!$F$10:$BG$42,$A18+2,FALSE)/Data_5!$BI13))))))),"")</f>
        <v/>
      </c>
      <c r="BI18" s="1122" t="str">
        <f>IFERROR(IF(VLOOKUP($AL18,Data_5!$B$12:$E$42,4,FALSE)="BASIC","",(IF(HLOOKUP(BI$15,Data_5!$F$10:$BG$42,$A18+2,FALSE)="NO","NO",IF(HLOOKUP(BI$15,Data_5!$F$10:$BG$42,$A18+2,FALSE)="IE","IE",IF(HLOOKUP(BI$15,Data_5!$F$10:$BG$42,$A18+2,FALSE)="NE","NE",IF(HLOOKUP(BI$15,Data_5!$F$10:$BG$42,$A18+2,FALSE)="C","C",IF(HLOOKUP(BI$15,Data_5!$F$10:$BG$42,$A18+2,FALSE)="NO","NO",HLOOKUP(BI$15,Data_5!$F$10:$BG$42,$A18+2,FALSE)/Data_5!$BI13))))))),"")</f>
        <v/>
      </c>
      <c r="BJ18" s="1122" t="str">
        <f>IFERROR(IF(VLOOKUP($AL18,Data_5!$B$12:$E$42,4,FALSE)="BASIC","",(IF(HLOOKUP(BJ$15,Data_5!$F$10:$BG$42,$A18+2,FALSE)="NO","NO",IF(HLOOKUP(BJ$15,Data_5!$F$10:$BG$42,$A18+2,FALSE)="IE","IE",IF(HLOOKUP(BJ$15,Data_5!$F$10:$BG$42,$A18+2,FALSE)="NE","NE",IF(HLOOKUP(BJ$15,Data_5!$F$10:$BG$42,$A18+2,FALSE)="C","C",IF(HLOOKUP(BJ$15,Data_5!$F$10:$BG$42,$A18+2,FALSE)="NO","NO",HLOOKUP(BJ$15,Data_5!$F$10:$BG$42,$A18+2,FALSE)/Data_5!$BI13))))))),"")</f>
        <v/>
      </c>
      <c r="BK18" s="1122" t="str">
        <f>IFERROR(IF(VLOOKUP($AL18,Data_5!$B$12:$E$42,4,FALSE)="BASIC","",(IF(HLOOKUP(BK$15,Data_5!$F$10:$BG$42,$A18+2,FALSE)="NO","NO",IF(HLOOKUP(BK$15,Data_5!$F$10:$BG$42,$A18+2,FALSE)="IE","IE",IF(HLOOKUP(BK$15,Data_5!$F$10:$BG$42,$A18+2,FALSE)="NE","NE",IF(HLOOKUP(BK$15,Data_5!$F$10:$BG$42,$A18+2,FALSE)="C","C",IF(HLOOKUP(BK$15,Data_5!$F$10:$BG$42,$A18+2,FALSE)="NO","NO",HLOOKUP(BK$15,Data_5!$F$10:$BG$42,$A18+2,FALSE)/Data_5!$BI13))))))),"")</f>
        <v/>
      </c>
      <c r="BL18" s="1122" t="str">
        <f>IFERROR(IF(VLOOKUP($AL18,Data_5!$B$12:$E$42,4,FALSE)="BASIC","",(IF(HLOOKUP(BL$15,Data_5!$F$10:$BG$42,$A18+2,FALSE)="NO","NO",IF(HLOOKUP(BL$15,Data_5!$F$10:$BG$42,$A18+2,FALSE)="IE","IE",IF(HLOOKUP(BL$15,Data_5!$F$10:$BG$42,$A18+2,FALSE)="NE","NE",IF(HLOOKUP(BL$15,Data_5!$F$10:$BG$42,$A18+2,FALSE)="C","C",IF(HLOOKUP(BL$15,Data_5!$F$10:$BG$42,$A18+2,FALSE)="NO","NO",HLOOKUP(BL$15,Data_5!$F$10:$BG$42,$A18+2,FALSE)/Data_5!$BI13))))))),"")</f>
        <v/>
      </c>
      <c r="BM18" s="1122" t="str">
        <f>IFERROR(IF(VLOOKUP($AL18,Data_5!$B$12:$E$42,4,FALSE)="BASIC","",(IF(HLOOKUP(BM$15,Data_5!$F$10:$BG$42,$A18+2,FALSE)="NO","NO",IF(HLOOKUP(BM$15,Data_5!$F$10:$BG$42,$A18+2,FALSE)="IE","IE",IF(HLOOKUP(BM$15,Data_5!$F$10:$BG$42,$A18+2,FALSE)="NE","NE",IF(HLOOKUP(BM$15,Data_5!$F$10:$BG$42,$A18+2,FALSE)="C","C",IF(HLOOKUP(BM$15,Data_5!$F$10:$BG$42,$A18+2,FALSE)="NO","NO",HLOOKUP(BM$15,Data_5!$F$10:$BG$42,$A18+2,FALSE)/Data_5!$BI13))))))),"")</f>
        <v/>
      </c>
      <c r="BN18" s="1122" t="str">
        <f>IFERROR(IF(VLOOKUP($AL18,Data_5!$B$12:$E$42,4,FALSE)="BASIC","",(IF(HLOOKUP(BN$15,Data_5!$F$10:$BG$42,$A18+2,FALSE)="NO","NO",IF(HLOOKUP(BN$15,Data_5!$F$10:$BG$42,$A18+2,FALSE)="IE","IE",IF(HLOOKUP(BN$15,Data_5!$F$10:$BG$42,$A18+2,FALSE)="NE","NE",IF(HLOOKUP(BN$15,Data_5!$F$10:$BG$42,$A18+2,FALSE)="C","C",IF(HLOOKUP(BN$15,Data_5!$F$10:$BG$42,$A18+2,FALSE)="NO","NO",HLOOKUP(BN$15,Data_5!$F$10:$BG$42,$A18+2,FALSE)/Data_5!$BI13))))))),"")</f>
        <v/>
      </c>
      <c r="BO18" s="1122" t="str">
        <f>IFERROR(IF(VLOOKUP($AL18,Data_5!$B$12:$E$42,4,FALSE)="BASIC","",(IF(HLOOKUP(BO$15,Data_5!$F$10:$BG$42,$A18+2,FALSE)="NO","NO",IF(HLOOKUP(BO$15,Data_5!$F$10:$BG$42,$A18+2,FALSE)="IE","IE",IF(HLOOKUP(BO$15,Data_5!$F$10:$BG$42,$A18+2,FALSE)="NE","NE",IF(HLOOKUP(BO$15,Data_5!$F$10:$BG$42,$A18+2,FALSE)="C","C",IF(HLOOKUP(BO$15,Data_5!$F$10:$BG$42,$A18+2,FALSE)="NO","NO",HLOOKUP(BO$15,Data_5!$F$10:$BG$42,$A18+2,FALSE)/Data_5!$BI13))))))),"")</f>
        <v/>
      </c>
      <c r="BP18" s="1122" t="str">
        <f>IFERROR(IF(VLOOKUP($AL18,Data_5!$B$12:$E$42,4,FALSE)="BASIC","",(IF(HLOOKUP(BP$15,Data_5!$F$10:$BG$42,$A18+2,FALSE)="NO","NO",IF(HLOOKUP(BP$15,Data_5!$F$10:$BG$42,$A18+2,FALSE)="IE","IE",IF(HLOOKUP(BP$15,Data_5!$F$10:$BG$42,$A18+2,FALSE)="NE","NE",IF(HLOOKUP(BP$15,Data_5!$F$10:$BG$42,$A18+2,FALSE)="C","C",IF(HLOOKUP(BP$15,Data_5!$F$10:$BG$42,$A18+2,FALSE)="NO","NO",HLOOKUP(BP$15,Data_5!$F$10:$BG$42,$A18+2,FALSE)/Data_5!$BI13))))))),"")</f>
        <v/>
      </c>
      <c r="BQ18" s="1122" t="str">
        <f>IFERROR(IF(VLOOKUP($AL18,Data_5!$B$12:$E$42,4,FALSE)="BASIC","",(IF(HLOOKUP(BQ$15,Data_5!$F$10:$BG$42,$A18+2,FALSE)="NO","NO",IF(HLOOKUP(BQ$15,Data_5!$F$10:$BG$42,$A18+2,FALSE)="IE","IE",IF(HLOOKUP(BQ$15,Data_5!$F$10:$BG$42,$A18+2,FALSE)="NE","NE",IF(HLOOKUP(BQ$15,Data_5!$F$10:$BG$42,$A18+2,FALSE)="C","C",IF(HLOOKUP(BQ$15,Data_5!$F$10:$BG$42,$A18+2,FALSE)="NO","NO",HLOOKUP(BQ$15,Data_5!$F$10:$BG$42,$A18+2,FALSE)/Data_5!$BI13))))))),"")</f>
        <v/>
      </c>
      <c r="BR18" s="1122" t="str">
        <f>IFERROR(IF(VLOOKUP($AL18,Data_5!$B$12:$E$42,4,FALSE)="BASIC","",(IF(HLOOKUP(BR$15,Data_5!$F$10:$BG$42,$A18+2,FALSE)="NO","NO",IF(HLOOKUP(BR$15,Data_5!$F$10:$BG$42,$A18+2,FALSE)="IE","IE",IF(HLOOKUP(BR$15,Data_5!$F$10:$BG$42,$A18+2,FALSE)="NE","NE",IF(HLOOKUP(BR$15,Data_5!$F$10:$BG$42,$A18+2,FALSE)="C","C",IF(HLOOKUP(BR$15,Data_5!$F$10:$BG$42,$A18+2,FALSE)="NO","NO",HLOOKUP(BR$15,Data_5!$F$10:$BG$42,$A18+2,FALSE)/Data_5!$BI13))))))),"")</f>
        <v/>
      </c>
      <c r="BS18" s="1122" t="str">
        <f>IFERROR(IF(VLOOKUP($AL18,Data_5!$B$12:$E$42,4,FALSE)="BASIC","",(IF(HLOOKUP(BS$15,Data_5!$F$10:$BG$42,$A18+2,FALSE)="NO","NO",IF(HLOOKUP(BS$15,Data_5!$F$10:$BG$42,$A18+2,FALSE)="IE","IE",IF(HLOOKUP(BS$15,Data_5!$F$10:$BG$42,$A18+2,FALSE)="NE","NE",IF(HLOOKUP(BS$15,Data_5!$F$10:$BG$42,$A18+2,FALSE)="C","C",IF(HLOOKUP(BS$15,Data_5!$F$10:$BG$42,$A18+2,FALSE)="NO","NO",HLOOKUP(BS$15,Data_5!$F$10:$BG$42,$A18+2,FALSE)/Data_5!$BI13))))))),"")</f>
        <v/>
      </c>
      <c r="BT18" s="1122" t="str">
        <f>IFERROR(IF(VLOOKUP($AL18,Data_5!$B$12:$E$42,4,FALSE)="BASIC","",(IF(HLOOKUP(BT$15,Data_5!$F$10:$BG$42,$A18+2,FALSE)="NO","NO",IF(HLOOKUP(BT$15,Data_5!$F$10:$BG$42,$A18+2,FALSE)="IE","IE",IF(HLOOKUP(BT$15,Data_5!$F$10:$BG$42,$A18+2,FALSE)="NE","NE",IF(HLOOKUP(BT$15,Data_5!$F$10:$BG$42,$A18+2,FALSE)="C","C",IF(HLOOKUP(BT$15,Data_5!$F$10:$BG$42,$A18+2,FALSE)="NO","NO",HLOOKUP(BT$15,Data_5!$F$10:$BG$42,$A18+2,FALSE)/Data_5!$BI13))))))),"")</f>
        <v/>
      </c>
      <c r="BU18" s="1122" t="str">
        <f>IFERROR(IF(VLOOKUP($AL18,Data_5!$B$12:$E$42,4,FALSE)="BASIC","",(IF(HLOOKUP(BU$15,Data_5!$F$10:$BG$42,$A18+2,FALSE)="NO","NO",IF(HLOOKUP(BU$15,Data_5!$F$10:$BG$42,$A18+2,FALSE)="IE","IE",IF(HLOOKUP(BU$15,Data_5!$F$10:$BG$42,$A18+2,FALSE)="NE","NE",IF(HLOOKUP(BU$15,Data_5!$F$10:$BG$42,$A18+2,FALSE)="C","C",IF(HLOOKUP(BU$15,Data_5!$F$10:$BG$42,$A18+2,FALSE)="NO","NO",HLOOKUP(BU$15,Data_5!$F$10:$BG$42,$A18+2,FALSE)/Data_5!$BI13))))))),"")</f>
        <v/>
      </c>
      <c r="BV18" s="1122" t="str">
        <f>IFERROR(IF(VLOOKUP($AL18,Data_5!$B$12:$E$42,4,FALSE)="BASIC","",(IF(HLOOKUP(BV$15,Data_5!$F$10:$BG$42,$A18+2,FALSE)="NO","NO",IF(HLOOKUP(BV$15,Data_5!$F$10:$BG$42,$A18+2,FALSE)="IE","IE",IF(HLOOKUP(BV$15,Data_5!$F$10:$BG$42,$A18+2,FALSE)="NE","NE",IF(HLOOKUP(BV$15,Data_5!$F$10:$BG$42,$A18+2,FALSE)="C","C",IF(HLOOKUP(BV$15,Data_5!$F$10:$BG$42,$A18+2,FALSE)="NO","NO",HLOOKUP(BV$15,Data_5!$F$10:$BG$42,$A18+2,FALSE)/Data_5!$BI13))))))),"")</f>
        <v/>
      </c>
      <c r="BW18" s="1122" t="str">
        <f>IFERROR(IF(VLOOKUP($AL18,Data_5!$B$12:$E$42,4,FALSE)="BASIC","",(IF(HLOOKUP(BW$15,Data_5!$F$10:$BG$42,$A18+2,FALSE)="NO","NO",IF(HLOOKUP(BW$15,Data_5!$F$10:$BG$42,$A18+2,FALSE)="IE","IE",IF(HLOOKUP(BW$15,Data_5!$F$10:$BG$42,$A18+2,FALSE)="NE","NE",IF(HLOOKUP(BW$15,Data_5!$F$10:$BG$42,$A18+2,FALSE)="C","C",IF(HLOOKUP(BW$15,Data_5!$F$10:$BG$42,$A18+2,FALSE)="NO","NO",HLOOKUP(BW$15,Data_5!$F$10:$BG$42,$A18+2,FALSE)/Data_5!$BI13))))))),"")</f>
        <v/>
      </c>
      <c r="BX18" s="1122" t="str">
        <f>IFERROR(IF(VLOOKUP($AL18,Data_5!$B$12:$E$42,4,FALSE)="BASIC","",(IF(HLOOKUP(BX$15,Data_5!$F$10:$BG$42,$A18+2,FALSE)="NO","NO",IF(HLOOKUP(BX$15,Data_5!$F$10:$BG$42,$A18+2,FALSE)="IE","IE",IF(HLOOKUP(BX$15,Data_5!$F$10:$BG$42,$A18+2,FALSE)="NE","NE",IF(HLOOKUP(BX$15,Data_5!$F$10:$BG$42,$A18+2,FALSE)="C","C",IF(HLOOKUP(BX$15,Data_5!$F$10:$BG$42,$A18+2,FALSE)="NO","NO",HLOOKUP(BX$15,Data_5!$F$10:$BG$42,$A18+2,FALSE)/Data_5!$BI13))))))),"")</f>
        <v/>
      </c>
      <c r="BY18" s="1122" t="str">
        <f>IFERROR(IF(VLOOKUP($AL18,Data_5!$B$12:$E$42,4,FALSE)="BASIC","",(IF(HLOOKUP(BY$15,Data_5!$F$10:$BG$42,$A18+2,FALSE)="NO","NO",IF(HLOOKUP(BY$15,Data_5!$F$10:$BG$42,$A18+2,FALSE)="IE","IE",IF(HLOOKUP(BY$15,Data_5!$F$10:$BG$42,$A18+2,FALSE)="NE","NE",IF(HLOOKUP(BY$15,Data_5!$F$10:$BG$42,$A18+2,FALSE)="C","C",IF(HLOOKUP(BY$15,Data_5!$F$10:$BG$42,$A18+2,FALSE)="NO","NO",HLOOKUP(BY$15,Data_5!$F$10:$BG$42,$A18+2,FALSE)/Data_5!$BI13))))))),"")</f>
        <v/>
      </c>
      <c r="BZ18" s="1122" t="str">
        <f>IFERROR(IF(VLOOKUP($AL18,Data_5!$B$12:$E$42,4,FALSE)="BASIC","",(IF(HLOOKUP(BZ$15,Data_5!$F$10:$BG$42,$A18+2,FALSE)="NO","NO",IF(HLOOKUP(BZ$15,Data_5!$F$10:$BG$42,$A18+2,FALSE)="IE","IE",IF(HLOOKUP(BZ$15,Data_5!$F$10:$BG$42,$A18+2,FALSE)="NE","NE",IF(HLOOKUP(BZ$15,Data_5!$F$10:$BG$42,$A18+2,FALSE)="C","C",IF(HLOOKUP(BZ$15,Data_5!$F$10:$BG$42,$A18+2,FALSE)="NO","NO",HLOOKUP(BZ$15,Data_5!$F$10:$BG$42,$A18+2,FALSE)/Data_5!$BI13))))))),"")</f>
        <v/>
      </c>
      <c r="CA18" s="1122" t="str">
        <f>IFERROR(IF(VLOOKUP($AL18,Data_5!$B$12:$E$42,4,FALSE)="BASIC","",(IF(HLOOKUP(CA$15,Data_5!$F$10:$BG$42,$A18+2,FALSE)="NO","NO",IF(HLOOKUP(CA$15,Data_5!$F$10:$BG$42,$A18+2,FALSE)="IE","IE",IF(HLOOKUP(CA$15,Data_5!$F$10:$BG$42,$A18+2,FALSE)="NE","NE",IF(HLOOKUP(CA$15,Data_5!$F$10:$BG$42,$A18+2,FALSE)="C","C",IF(HLOOKUP(CA$15,Data_5!$F$10:$BG$42,$A18+2,FALSE)="NO","NO",HLOOKUP(CA$15,Data_5!$F$10:$BG$42,$A18+2,FALSE)/Data_5!$BI13))))))),"")</f>
        <v/>
      </c>
      <c r="CB18" s="1122" t="str">
        <f>IFERROR(IF(VLOOKUP($AL18,Data_5!$B$12:$E$42,4,FALSE)="BASIC","",(IF(HLOOKUP(CB$15,Data_5!$F$10:$BG$42,$A18+2,FALSE)="NO","NO",IF(HLOOKUP(CB$15,Data_5!$F$10:$BG$42,$A18+2,FALSE)="IE","IE",IF(HLOOKUP(CB$15,Data_5!$F$10:$BG$42,$A18+2,FALSE)="NE","NE",IF(HLOOKUP(CB$15,Data_5!$F$10:$BG$42,$A18+2,FALSE)="C","C",IF(HLOOKUP(CB$15,Data_5!$F$10:$BG$42,$A18+2,FALSE)="NO","NO",HLOOKUP(CB$15,Data_5!$F$10:$BG$42,$A18+2,FALSE)/Data_5!$BI13))))))),"")</f>
        <v/>
      </c>
      <c r="CC18" s="1122" t="str">
        <f>IFERROR(IF(VLOOKUP($AL18,Data_5!$B$12:$E$42,4,FALSE)="BASIC","",(IF(HLOOKUP(CC$15,Data_5!$F$10:$BG$42,$A18+2,FALSE)="NO","NO",IF(HLOOKUP(CC$15,Data_5!$F$10:$BG$42,$A18+2,FALSE)="IE","IE",IF(HLOOKUP(CC$15,Data_5!$F$10:$BG$42,$A18+2,FALSE)="NE","NE",IF(HLOOKUP(CC$15,Data_5!$F$10:$BG$42,$A18+2,FALSE)="C","C",IF(HLOOKUP(CC$15,Data_5!$F$10:$BG$42,$A18+2,FALSE)="NO","NO",HLOOKUP(CC$15,Data_5!$F$10:$BG$42,$A18+2,FALSE)/Data_5!$BI13))))))),"")</f>
        <v/>
      </c>
      <c r="CD18" s="1122" t="str">
        <f>IFERROR(IF(VLOOKUP($AL18,Data_5!$B$12:$E$42,4,FALSE)="BASIC","",(IF(HLOOKUP(CD$15,Data_5!$F$10:$BG$42,$A18+2,FALSE)="NO","NO",IF(HLOOKUP(CD$15,Data_5!$F$10:$BG$42,$A18+2,FALSE)="IE","IE",IF(HLOOKUP(CD$15,Data_5!$F$10:$BG$42,$A18+2,FALSE)="NE","NE",IF(HLOOKUP(CD$15,Data_5!$F$10:$BG$42,$A18+2,FALSE)="C","C",IF(HLOOKUP(CD$15,Data_5!$F$10:$BG$42,$A18+2,FALSE)="NO","NO",HLOOKUP(CD$15,Data_5!$F$10:$BG$42,$A18+2,FALSE)/Data_5!$BI13))))))),"")</f>
        <v/>
      </c>
      <c r="CE18" s="1122" t="str">
        <f>IFERROR(IF(VLOOKUP($AL18,Data_5!$B$12:$E$42,4,FALSE)="BASIC","",(IF(HLOOKUP(CE$15,Data_5!$F$10:$BG$42,$A18+2,FALSE)="NO","NO",IF(HLOOKUP(CE$15,Data_5!$F$10:$BG$42,$A18+2,FALSE)="IE","IE",IF(HLOOKUP(CE$15,Data_5!$F$10:$BG$42,$A18+2,FALSE)="NE","NE",IF(HLOOKUP(CE$15,Data_5!$F$10:$BG$42,$A18+2,FALSE)="C","C",IF(HLOOKUP(CE$15,Data_5!$F$10:$BG$42,$A18+2,FALSE)="NO","NO",HLOOKUP(CE$15,Data_5!$F$10:$BG$42,$A18+2,FALSE)/Data_5!$BI13))))))),"")</f>
        <v/>
      </c>
      <c r="CF18" s="1122" t="str">
        <f>IFERROR(IF(VLOOKUP($AL18,Data_5!$B$12:$E$42,4,FALSE)="BASIC","",(IF(HLOOKUP(CF$15,Data_5!$F$10:$BG$42,$A18+2,FALSE)="NO","NO",IF(HLOOKUP(CF$15,Data_5!$F$10:$BG$42,$A18+2,FALSE)="IE","IE",IF(HLOOKUP(CF$15,Data_5!$F$10:$BG$42,$A18+2,FALSE)="NE","NE",IF(HLOOKUP(CF$15,Data_5!$F$10:$BG$42,$A18+2,FALSE)="C","C",IF(HLOOKUP(CF$15,Data_5!$F$10:$BG$42,$A18+2,FALSE)="NO","NO",HLOOKUP(CF$15,Data_5!$F$10:$BG$42,$A18+2,FALSE)/Data_5!$BI13))))))),"")</f>
        <v/>
      </c>
      <c r="CG18" s="1122" t="str">
        <f>IFERROR(IF(VLOOKUP($AL18,Data_5!$B$12:$E$42,4,FALSE)="BASIC","",(IF(HLOOKUP(CG$15,Data_5!$F$10:$BG$42,$A18+2,FALSE)="NO","NO",IF(HLOOKUP(CG$15,Data_5!$F$10:$BG$42,$A18+2,FALSE)="IE","IE",IF(HLOOKUP(CG$15,Data_5!$F$10:$BG$42,$A18+2,FALSE)="NE","NE",IF(HLOOKUP(CG$15,Data_5!$F$10:$BG$42,$A18+2,FALSE)="C","C",IF(HLOOKUP(CG$15,Data_5!$F$10:$BG$42,$A18+2,FALSE)="NO","NO",HLOOKUP(CG$15,Data_5!$F$10:$BG$42,$A18+2,FALSE)/Data_5!$BI13))))))),"")</f>
        <v/>
      </c>
      <c r="CH18" s="1122" t="str">
        <f>IFERROR(IF(VLOOKUP($AL18,Data_5!$B$12:$E$42,4,FALSE)="BASIC","",(IF(HLOOKUP(CH$15,Data_5!$F$10:$BG$42,$A18+2,FALSE)="NO","NO",IF(HLOOKUP(CH$15,Data_5!$F$10:$BG$42,$A18+2,FALSE)="IE","IE",IF(HLOOKUP(CH$15,Data_5!$F$10:$BG$42,$A18+2,FALSE)="NE","NE",IF(HLOOKUP(CH$15,Data_5!$F$10:$BG$42,$A18+2,FALSE)="C","C",IF(HLOOKUP(CH$15,Data_5!$F$10:$BG$42,$A18+2,FALSE)="NO","NO",HLOOKUP(CH$15,Data_5!$F$10:$BG$42,$A18+2,FALSE)/Data_5!$BI13))))))),"")</f>
        <v/>
      </c>
      <c r="CI18" s="1122" t="str">
        <f>IFERROR(IF(VLOOKUP($AL18,Data_5!$B$12:$E$42,4,FALSE)="BASIC","",(IF(HLOOKUP(CI$15,Data_5!$F$10:$BG$42,$A18+2,FALSE)="NO","NO",IF(HLOOKUP(CI$15,Data_5!$F$10:$BG$42,$A18+2,FALSE)="IE","IE",IF(HLOOKUP(CI$15,Data_5!$F$10:$BG$42,$A18+2,FALSE)="NE","NE",IF(HLOOKUP(CI$15,Data_5!$F$10:$BG$42,$A18+2,FALSE)="C","C",IF(HLOOKUP(CI$15,Data_5!$F$10:$BG$42,$A18+2,FALSE)="NO","NO",HLOOKUP(CI$15,Data_5!$F$10:$BG$42,$A18+2,FALSE)/Data_5!$BI13))))))),"")</f>
        <v/>
      </c>
      <c r="CJ18" s="1122" t="str">
        <f>IFERROR(IF(VLOOKUP($AL18,Data_5!$B$12:$E$42,4,FALSE)="BASIC","",(IF(HLOOKUP(CJ$15,Data_5!$F$10:$BG$42,$A18+2,FALSE)="NO","NO",IF(HLOOKUP(CJ$15,Data_5!$F$10:$BG$42,$A18+2,FALSE)="IE","IE",IF(HLOOKUP(CJ$15,Data_5!$F$10:$BG$42,$A18+2,FALSE)="NE","NE",IF(HLOOKUP(CJ$15,Data_5!$F$10:$BG$42,$A18+2,FALSE)="C","C",IF(HLOOKUP(CJ$15,Data_5!$F$10:$BG$42,$A18+2,FALSE)="NO","NO",HLOOKUP(CJ$15,Data_5!$F$10:$BG$42,$A18+2,FALSE)/Data_5!$BI13))))))),"")</f>
        <v/>
      </c>
      <c r="CL18" s="2628" t="str">
        <f>B18</f>
        <v>Amman</v>
      </c>
      <c r="CM18" s="2629"/>
      <c r="CN18" s="1100">
        <f>D18</f>
        <v>2014</v>
      </c>
      <c r="CO18" s="1122">
        <f>IFERROR(IF(HLOOKUP(CO$15,Data_5!$F$10:$BG$42,$A18+2,FALSE)="NO","NO",IF(HLOOKUP(CO$15,Data_5!$F$10:$BG$42,$A18+2,FALSE)="IE","IE",IF(HLOOKUP(CO$15,Data_5!$F$10:$BG$42,$A18+2,FALSE)="NE","NE",IF(HLOOKUP(CO$15,Data_5!$F$10:$BG$42,$A18+2,FALSE)="C","C",IF(HLOOKUP(CO$15,Data_5!$F$10:$BG$42,$A18+2,FALSE)="NO","NO",HLOOKUP(CO$15,Data_5!$F$10:$BG$42,$A18+2,FALSE)/Data_5!$BK13))))),"")</f>
        <v>0.14544276092573499</v>
      </c>
      <c r="CP18" s="1122">
        <f>IFERROR(IF(HLOOKUP(CP$15,Data_5!$F$10:$BG$42,$A18+2,FALSE)="NO","NO",IF(HLOOKUP(CP$15,Data_5!$F$10:$BG$42,$A18+2,FALSE)="IE","IE",IF(HLOOKUP(CP$15,Data_5!$F$10:$BG$42,$A18+2,FALSE)="NE","NE",IF(HLOOKUP(CP$15,Data_5!$F$10:$BG$42,$A18+2,FALSE)="C","C",IF(HLOOKUP(CP$15,Data_5!$F$10:$BG$42,$A18+2,FALSE)="NO","NO",HLOOKUP(CP$15,Data_5!$F$10:$BG$42,$A18+2,FALSE)/Data_5!$BK13))))),"")</f>
        <v>9.7567454002423309E-2</v>
      </c>
      <c r="CQ18" s="1122">
        <f>IFERROR(IF(HLOOKUP(CQ$15,Data_5!$F$10:$BG$42,$A18+2,FALSE)="NO","NO",IF(HLOOKUP(CQ$15,Data_5!$F$10:$BG$42,$A18+2,FALSE)="IE","IE",IF(HLOOKUP(CQ$15,Data_5!$F$10:$BG$42,$A18+2,FALSE)="NE","NE",IF(HLOOKUP(CQ$15,Data_5!$F$10:$BG$42,$A18+2,FALSE)="C","C",IF(HLOOKUP(CQ$15,Data_5!$F$10:$BG$42,$A18+2,FALSE)="NO","NO",HLOOKUP(CQ$15,Data_5!$F$10:$BG$42,$A18+2,FALSE)/Data_5!$BK13))))),"")</f>
        <v>1.6386983422288306E-2</v>
      </c>
      <c r="CR18" s="1122" t="str">
        <f>IFERROR(IF(HLOOKUP(CR$15,Data_5!$F$10:$BG$42,$A18+2,FALSE)="NO","NO",IF(HLOOKUP(CR$15,Data_5!$F$10:$BG$42,$A18+2,FALSE)="IE","IE",IF(HLOOKUP(CR$15,Data_5!$F$10:$BG$42,$A18+2,FALSE)="NE","NE",IF(HLOOKUP(CR$15,Data_5!$F$10:$BG$42,$A18+2,FALSE)="C","C",IF(HLOOKUP(CR$15,Data_5!$F$10:$BG$42,$A18+2,FALSE)="NO","NO",HLOOKUP(CR$15,Data_5!$F$10:$BG$42,$A18+2,FALSE)/Data_5!$BK13))))),"")</f>
        <v>NO</v>
      </c>
      <c r="CS18" s="1122" t="str">
        <f>IFERROR(IF(HLOOKUP(CS$15,Data_5!$F$10:$BG$42,$A18+2,FALSE)="NO","NO",IF(HLOOKUP(CS$15,Data_5!$F$10:$BG$42,$A18+2,FALSE)="IE","IE",IF(HLOOKUP(CS$15,Data_5!$F$10:$BG$42,$A18+2,FALSE)="NE","NE",IF(HLOOKUP(CS$15,Data_5!$F$10:$BG$42,$A18+2,FALSE)="C","C",IF(HLOOKUP(CS$15,Data_5!$F$10:$BG$42,$A18+2,FALSE)="NO","NO",HLOOKUP(CS$15,Data_5!$F$10:$BG$42,$A18+2,FALSE)/Data_5!$BK13))))),"")</f>
        <v>NO</v>
      </c>
      <c r="CT18" s="1122" t="str">
        <f>IFERROR(IF(HLOOKUP(CT$15,Data_5!$F$10:$BG$42,$A18+2,FALSE)="NO","NO",IF(HLOOKUP(CT$15,Data_5!$F$10:$BG$42,$A18+2,FALSE)="IE","IE",IF(HLOOKUP(CT$15,Data_5!$F$10:$BG$42,$A18+2,FALSE)="NE","NE",IF(HLOOKUP(CT$15,Data_5!$F$10:$BG$42,$A18+2,FALSE)="C","C",IF(HLOOKUP(CT$15,Data_5!$F$10:$BG$42,$A18+2,FALSE)="NO","NO",HLOOKUP(CT$15,Data_5!$F$10:$BG$42,$A18+2,FALSE)/Data_5!$BK13))))),"")</f>
        <v>NO</v>
      </c>
      <c r="CU18" s="1122" t="str">
        <f>IFERROR(IF(HLOOKUP(CU$15,Data_5!$F$10:$BG$42,$A18+2,FALSE)="NO","NO",IF(HLOOKUP(CU$15,Data_5!$F$10:$BG$42,$A18+2,FALSE)="IE","IE",IF(HLOOKUP(CU$15,Data_5!$F$10:$BG$42,$A18+2,FALSE)="NE","NE",IF(HLOOKUP(CU$15,Data_5!$F$10:$BG$42,$A18+2,FALSE)="C","C",IF(HLOOKUP(CU$15,Data_5!$F$10:$BG$42,$A18+2,FALSE)="NO","NO",HLOOKUP(CU$15,Data_5!$F$10:$BG$42,$A18+2,FALSE)/Data_5!$BK13))))),"")</f>
        <v>NO</v>
      </c>
      <c r="CV18" s="1122" t="str">
        <f>IFERROR(IF(HLOOKUP(CV$15,Data_5!$F$10:$BG$42,$A18+2,FALSE)="NO","NO",IF(HLOOKUP(CV$15,Data_5!$F$10:$BG$42,$A18+2,FALSE)="IE","IE",IF(HLOOKUP(CV$15,Data_5!$F$10:$BG$42,$A18+2,FALSE)="NE","NE",IF(HLOOKUP(CV$15,Data_5!$F$10:$BG$42,$A18+2,FALSE)="C","C",IF(HLOOKUP(CV$15,Data_5!$F$10:$BG$42,$A18+2,FALSE)="NO","NO",HLOOKUP(CV$15,Data_5!$F$10:$BG$42,$A18+2,FALSE)/Data_5!$BK13))))),"")</f>
        <v>NO</v>
      </c>
      <c r="CW18" s="1122" t="str">
        <f>IFERROR(IF(HLOOKUP(CW$15,Data_5!$F$10:$BG$42,$A18+2,FALSE)="NO","NO",IF(HLOOKUP(CW$15,Data_5!$F$10:$BG$42,$A18+2,FALSE)="IE","IE",IF(HLOOKUP(CW$15,Data_5!$F$10:$BG$42,$A18+2,FALSE)="NE","NE",IF(HLOOKUP(CW$15,Data_5!$F$10:$BG$42,$A18+2,FALSE)="C","C",IF(HLOOKUP(CW$15,Data_5!$F$10:$BG$42,$A18+2,FALSE)="NO","NO",HLOOKUP(CW$15,Data_5!$F$10:$BG$42,$A18+2,FALSE)/Data_5!$BK13))))),"")</f>
        <v>NO</v>
      </c>
      <c r="CX18" s="1122">
        <f>IFERROR(IF(HLOOKUP(CX$15,Data_5!$F$10:$BG$42,$A18+2,FALSE)="NO","NO",IF(HLOOKUP(CX$15,Data_5!$F$10:$BG$42,$A18+2,FALSE)="IE","IE",IF(HLOOKUP(CX$15,Data_5!$F$10:$BG$42,$A18+2,FALSE)="NE","NE",IF(HLOOKUP(CX$15,Data_5!$F$10:$BG$42,$A18+2,FALSE)="C","C",IF(HLOOKUP(CX$15,Data_5!$F$10:$BG$42,$A18+2,FALSE)="NO","NO",HLOOKUP(CX$15,Data_5!$F$10:$BG$42,$A18+2,FALSE)/Data_5!$BK13))))),"")</f>
        <v>0.68246340869530109</v>
      </c>
      <c r="CY18" s="1122" t="str">
        <f>IFERROR(IF(HLOOKUP(CY$15,Data_5!$F$10:$BG$42,$A18+2,FALSE)="NO","NO",IF(HLOOKUP(CY$15,Data_5!$F$10:$BG$42,$A18+2,FALSE)="IE","IE",IF(HLOOKUP(CY$15,Data_5!$F$10:$BG$42,$A18+2,FALSE)="NE","NE",IF(HLOOKUP(CY$15,Data_5!$F$10:$BG$42,$A18+2,FALSE)="C","C",IF(HLOOKUP(CY$15,Data_5!$F$10:$BG$42,$A18+2,FALSE)="NO","NO",HLOOKUP(CY$15,Data_5!$F$10:$BG$42,$A18+2,FALSE)/Data_5!$BK13))))),"")</f>
        <v>NO</v>
      </c>
      <c r="CZ18" s="1122" t="str">
        <f>IFERROR(IF(HLOOKUP(CZ$15,Data_5!$F$10:$BG$42,$A18+2,FALSE)="NO","NO",IF(HLOOKUP(CZ$15,Data_5!$F$10:$BG$42,$A18+2,FALSE)="IE","IE",IF(HLOOKUP(CZ$15,Data_5!$F$10:$BG$42,$A18+2,FALSE)="NE","NE",IF(HLOOKUP(CZ$15,Data_5!$F$10:$BG$42,$A18+2,FALSE)="C","C",IF(HLOOKUP(CZ$15,Data_5!$F$10:$BG$42,$A18+2,FALSE)="NO","NO",HLOOKUP(CZ$15,Data_5!$F$10:$BG$42,$A18+2,FALSE)/Data_5!$BK13))))),"")</f>
        <v>NO</v>
      </c>
      <c r="DA18" s="1122" t="str">
        <f>IFERROR(IF(HLOOKUP(DA$15,Data_5!$F$10:$BG$42,$A18+2,FALSE)="NO","NO",IF(HLOOKUP(DA$15,Data_5!$F$10:$BG$42,$A18+2,FALSE)="IE","IE",IF(HLOOKUP(DA$15,Data_5!$F$10:$BG$42,$A18+2,FALSE)="NE","NE",IF(HLOOKUP(DA$15,Data_5!$F$10:$BG$42,$A18+2,FALSE)="C","C",IF(HLOOKUP(DA$15,Data_5!$F$10:$BG$42,$A18+2,FALSE)="NO","NO",HLOOKUP(DA$15,Data_5!$F$10:$BG$42,$A18+2,FALSE)/Data_5!$BK13))))),"")</f>
        <v>NO</v>
      </c>
      <c r="DB18" s="1122" t="str">
        <f>IFERROR(IF(HLOOKUP(DB$15,Data_5!$F$10:$BG$42,$A18+2,FALSE)="NO","NO",IF(HLOOKUP(DB$15,Data_5!$F$10:$BG$42,$A18+2,FALSE)="IE","IE",IF(HLOOKUP(DB$15,Data_5!$F$10:$BG$42,$A18+2,FALSE)="NE","NE",IF(HLOOKUP(DB$15,Data_5!$F$10:$BG$42,$A18+2,FALSE)="C","C",IF(HLOOKUP(DB$15,Data_5!$F$10:$BG$42,$A18+2,FALSE)="NO","NO",HLOOKUP(DB$15,Data_5!$F$10:$BG$42,$A18+2,FALSE)/Data_5!$BK13))))),"")</f>
        <v>NO</v>
      </c>
      <c r="DC18" s="1122">
        <f>IFERROR(IF(HLOOKUP(DC$15,Data_5!$F$10:$BG$42,$A18+2,FALSE)="NO","NO",IF(HLOOKUP(DC$15,Data_5!$F$10:$BG$42,$A18+2,FALSE)="IE","IE",IF(HLOOKUP(DC$15,Data_5!$F$10:$BG$42,$A18+2,FALSE)="NE","NE",IF(HLOOKUP(DC$15,Data_5!$F$10:$BG$42,$A18+2,FALSE)="C","C",IF(HLOOKUP(DC$15,Data_5!$F$10:$BG$42,$A18+2,FALSE)="NO","NO",HLOOKUP(DC$15,Data_5!$F$10:$BG$42,$A18+2,FALSE)/Data_5!$BK13))))),"")</f>
        <v>4.9418484011114414E-2</v>
      </c>
      <c r="DD18" s="1122">
        <f>IFERROR(IF(HLOOKUP(DD$15,Data_5!$F$10:$BG$42,$A18+2,FALSE)="NO","NO",IF(HLOOKUP(DD$15,Data_5!$F$10:$BG$42,$A18+2,FALSE)="IE","IE",IF(HLOOKUP(DD$15,Data_5!$F$10:$BG$42,$A18+2,FALSE)="NE","NE",IF(HLOOKUP(DD$15,Data_5!$F$10:$BG$42,$A18+2,FALSE)="C","C",IF(HLOOKUP(DD$15,Data_5!$F$10:$BG$42,$A18+2,FALSE)="NO","NO",HLOOKUP(DD$15,Data_5!$F$10:$BG$42,$A18+2,FALSE)/Data_5!$BK13))))),"")</f>
        <v>8.7209089431378364E-3</v>
      </c>
      <c r="DE18" s="1122" t="str">
        <f>IFERROR(IF(HLOOKUP(DE$15,Data_5!$F$10:$BG$42,$A18+2,FALSE)="NO","NO",IF(HLOOKUP(DE$15,Data_5!$F$10:$BG$42,$A18+2,FALSE)="IE","IE",IF(HLOOKUP(DE$15,Data_5!$F$10:$BG$42,$A18+2,FALSE)="NE","NE",IF(HLOOKUP(DE$15,Data_5!$F$10:$BG$42,$A18+2,FALSE)="C","C",IF(HLOOKUP(DE$15,Data_5!$F$10:$BG$42,$A18+2,FALSE)="NO","NO",HLOOKUP(DE$15,Data_5!$F$10:$BG$42,$A18+2,FALSE)/Data_5!$BK13))))),"")</f>
        <v>NO</v>
      </c>
      <c r="DF18" s="1122" t="str">
        <f>IFERROR(IF(HLOOKUP(DF$15,Data_5!$F$10:$BG$42,$A18+2,FALSE)="NO","NO",IF(HLOOKUP(DF$15,Data_5!$F$10:$BG$42,$A18+2,FALSE)="IE","IE",IF(HLOOKUP(DF$15,Data_5!$F$10:$BG$42,$A18+2,FALSE)="NE","NE",IF(HLOOKUP(DF$15,Data_5!$F$10:$BG$42,$A18+2,FALSE)="C","C",IF(HLOOKUP(DF$15,Data_5!$F$10:$BG$42,$A18+2,FALSE)="NO","NO",HLOOKUP(DF$15,Data_5!$F$10:$BG$42,$A18+2,FALSE)/Data_5!$BK13))))),"")</f>
        <v>NO</v>
      </c>
      <c r="DG18" s="1122" t="str">
        <f>IFERROR(IF(HLOOKUP(DG$15,Data_5!$F$10:$BG$42,$A18+2,FALSE)="NO","NO",IF(HLOOKUP(DG$15,Data_5!$F$10:$BG$42,$A18+2,FALSE)="IE","IE",IF(HLOOKUP(DG$15,Data_5!$F$10:$BG$42,$A18+2,FALSE)="NE","NE",IF(HLOOKUP(DG$15,Data_5!$F$10:$BG$42,$A18+2,FALSE)="C","C",IF(HLOOKUP(DG$15,Data_5!$F$10:$BG$42,$A18+2,FALSE)="NO","NO",HLOOKUP(DG$15,Data_5!$F$10:$BG$42,$A18+2,FALSE)/Data_5!$BK13))))),"")</f>
        <v>NO</v>
      </c>
      <c r="DH18" s="1122" t="str">
        <f>IFERROR(IF(HLOOKUP(DH$15,Data_5!$F$10:$BG$42,$A18+2,FALSE)="NO","NO",IF(HLOOKUP(DH$15,Data_5!$F$10:$BG$42,$A18+2,FALSE)="IE","IE",IF(HLOOKUP(DH$15,Data_5!$F$10:$BG$42,$A18+2,FALSE)="NE","NE",IF(HLOOKUP(DH$15,Data_5!$F$10:$BG$42,$A18+2,FALSE)="C","C",IF(HLOOKUP(DH$15,Data_5!$F$10:$BG$42,$A18+2,FALSE)="NO","NO",HLOOKUP(DH$15,Data_5!$F$10:$BG$42,$A18+2,FALSE)/Data_5!$BK13))))),"")</f>
        <v>NO</v>
      </c>
      <c r="DI18" s="1122" t="str">
        <f>IFERROR(IF(HLOOKUP(DI$15,Data_5!$F$10:$BG$42,$A18+2,FALSE)="NO","NO",IF(HLOOKUP(DI$15,Data_5!$F$10:$BG$42,$A18+2,FALSE)="IE","IE",IF(HLOOKUP(DI$15,Data_5!$F$10:$BG$42,$A18+2,FALSE)="NE","NE",IF(HLOOKUP(DI$15,Data_5!$F$10:$BG$42,$A18+2,FALSE)="C","C",IF(HLOOKUP(DI$15,Data_5!$F$10:$BG$42,$A18+2,FALSE)="NO","NO",HLOOKUP(DI$15,Data_5!$F$10:$BG$42,$A18+2,FALSE)/Data_5!$BK13))))),"")</f>
        <v>NO</v>
      </c>
      <c r="DJ18" s="1122" t="str">
        <f>IFERROR(IF(HLOOKUP(DJ$15,Data_5!$F$10:$BG$42,$A18+2,FALSE)="NO","NO",IF(HLOOKUP(DJ$15,Data_5!$F$10:$BG$42,$A18+2,FALSE)="IE","IE",IF(HLOOKUP(DJ$15,Data_5!$F$10:$BG$42,$A18+2,FALSE)="NE","NE",IF(HLOOKUP(DJ$15,Data_5!$F$10:$BG$42,$A18+2,FALSE)="C","C",IF(HLOOKUP(DJ$15,Data_5!$F$10:$BG$42,$A18+2,FALSE)="NO","NO",HLOOKUP(DJ$15,Data_5!$F$10:$BG$42,$A18+2,FALSE)/Data_5!$BK13))))),"")</f>
        <v>NO</v>
      </c>
      <c r="DK18" s="1122" t="str">
        <f>IFERROR(IF(HLOOKUP(DK$15,Data_5!$F$10:$BG$42,$A18+2,FALSE)="NO","NO",IF(HLOOKUP(DK$15,Data_5!$F$10:$BG$42,$A18+2,FALSE)="IE","IE",IF(HLOOKUP(DK$15,Data_5!$F$10:$BG$42,$A18+2,FALSE)="NE","NE",IF(HLOOKUP(DK$15,Data_5!$F$10:$BG$42,$A18+2,FALSE)="C","C",IF(HLOOKUP(DK$15,Data_5!$F$10:$BG$42,$A18+2,FALSE)="NO","NO",HLOOKUP(DK$15,Data_5!$F$10:$BG$42,$A18+2,FALSE)/Data_5!$BK13))))),"")</f>
        <v>NE</v>
      </c>
      <c r="DL18" s="1122" t="str">
        <f>IFERROR(IF(HLOOKUP(DL$15,Data_5!$F$10:$BG$42,$A18+2,FALSE)="NO","NO",IF(HLOOKUP(DL$15,Data_5!$F$10:$BG$42,$A18+2,FALSE)="IE","IE",IF(HLOOKUP(DL$15,Data_5!$F$10:$BG$42,$A18+2,FALSE)="NE","NE",IF(HLOOKUP(DL$15,Data_5!$F$10:$BG$42,$A18+2,FALSE)="C","C",IF(HLOOKUP(DL$15,Data_5!$F$10:$BG$42,$A18+2,FALSE)="NO","NO",HLOOKUP(DL$15,Data_5!$F$10:$BG$42,$A18+2,FALSE)/Data_5!$BK13))))),"")</f>
        <v>NE</v>
      </c>
      <c r="DM18" s="1122" t="str">
        <f>IFERROR(IF(HLOOKUP(DM$15,Data_5!$F$10:$BG$42,$A18+2,FALSE)="NO","NO",IF(HLOOKUP(DM$15,Data_5!$F$10:$BG$42,$A18+2,FALSE)="IE","IE",IF(HLOOKUP(DM$15,Data_5!$F$10:$BG$42,$A18+2,FALSE)="NE","NE",IF(HLOOKUP(DM$15,Data_5!$F$10:$BG$42,$A18+2,FALSE)="C","C",IF(HLOOKUP(DM$15,Data_5!$F$10:$BG$42,$A18+2,FALSE)="NO","NO",HLOOKUP(DM$15,Data_5!$F$10:$BG$42,$A18+2,FALSE)/Data_5!$BK13))))),"")</f>
        <v>NE</v>
      </c>
      <c r="DN18" s="1122" t="str">
        <f>IFERROR(IF(HLOOKUP(DN$15,Data_5!$F$10:$BG$42,$A18+2,FALSE)="NO","NO",IF(HLOOKUP(DN$15,Data_5!$F$10:$BG$42,$A18+2,FALSE)="IE","IE",IF(HLOOKUP(DN$15,Data_5!$F$10:$BG$42,$A18+2,FALSE)="NE","NE",IF(HLOOKUP(DN$15,Data_5!$F$10:$BG$42,$A18+2,FALSE)="C","C",IF(HLOOKUP(DN$15,Data_5!$F$10:$BG$42,$A18+2,FALSE)="NO","NO",HLOOKUP(DN$15,Data_5!$F$10:$BG$42,$A18+2,FALSE)/Data_5!$BK13))))),"")</f>
        <v>NE</v>
      </c>
      <c r="DO18" s="1122" t="str">
        <f>IFERROR(IF(HLOOKUP(DO$15,Data_5!$F$10:$BG$42,$A18+2,FALSE)="NO","NO",IF(HLOOKUP(DO$15,Data_5!$F$10:$BG$42,$A18+2,FALSE)="IE","IE",IF(HLOOKUP(DO$15,Data_5!$F$10:$BG$42,$A18+2,FALSE)="NE","NE",IF(HLOOKUP(DO$15,Data_5!$F$10:$BG$42,$A18+2,FALSE)="C","C",IF(HLOOKUP(DO$15,Data_5!$F$10:$BG$42,$A18+2,FALSE)="NO","NO",HLOOKUP(DO$15,Data_5!$F$10:$BG$42,$A18+2,FALSE)/Data_5!$BK13))))),"")</f>
        <v>NE</v>
      </c>
    </row>
    <row r="19" spans="1:119" ht="15" customHeight="1">
      <c r="A19" s="1789">
        <v>3</v>
      </c>
      <c r="B19" s="2628" t="str">
        <f>IF(Data_5!B14&lt;&gt;"",Data_5!B14,"")</f>
        <v>Athens</v>
      </c>
      <c r="C19" s="2629"/>
      <c r="D19" s="1462">
        <f>IFERROR(VLOOKUP($B19,Data_5!$B$12:$C$42,2,FALSE),"")</f>
        <v>2014</v>
      </c>
      <c r="E19" s="1122">
        <f>IFERROR(IF(HLOOKUP(E$15,Data_5!$F$10:$BG$42,$A19+2,FALSE)="NO","NO",IF(HLOOKUP(E$15,Data_5!$F$10:$BG$42,$A19+2,FALSE)="IE","IE",IF(HLOOKUP(E$15,Data_5!$F$10:$BG$42,$A19+2,FALSE)="NE","NE",IF(HLOOKUP(E$15,Data_5!$F$10:$BG$42,$A19+2,FALSE)="C","C",IF(HLOOKUP(E$15,Data_5!$F$10:$BG$42,$A19+2,FALSE)="NO","NO",HLOOKUP(E$15,Data_5!$F$10:$BG$42,$A19+2,FALSE)/Data_5!$BH14))))),"")</f>
        <v>5.8162892489373182E-2</v>
      </c>
      <c r="F19" s="1122">
        <f>IFERROR(IF(HLOOKUP(F$15,Data_5!$F$10:$BG$42,$A19+2,FALSE)="NO","NO",IF(HLOOKUP(F$15,Data_5!$F$10:$BG$42,$A19+2,FALSE)="IE","IE",IF(HLOOKUP(F$15,Data_5!$F$10:$BG$42,$A19+2,FALSE)="NE","NE",IF(HLOOKUP(F$15,Data_5!$F$10:$BG$42,$A19+2,FALSE)="C","C",IF(HLOOKUP(F$15,Data_5!$F$10:$BG$42,$A19+2,FALSE)="NO","NO",HLOOKUP(F$15,Data_5!$F$10:$BG$42,$A19+2,FALSE)/Data_5!$BH14))))),"")</f>
        <v>0.35465705044798701</v>
      </c>
      <c r="G19" s="1122">
        <f>IFERROR(IF(HLOOKUP(G$15,Data_5!$F$10:$BG$42,$A19+2,FALSE)="NO","NO",IF(HLOOKUP(G$15,Data_5!$F$10:$BG$42,$A19+2,FALSE)="IE","IE",IF(HLOOKUP(G$15,Data_5!$F$10:$BG$42,$A19+2,FALSE)="NE","NE",IF(HLOOKUP(G$15,Data_5!$F$10:$BG$42,$A19+2,FALSE)="C","C",IF(HLOOKUP(G$15,Data_5!$F$10:$BG$42,$A19+2,FALSE)="NO","NO",HLOOKUP(G$15,Data_5!$F$10:$BG$42,$A19+2,FALSE)/Data_5!$BH14))))),"")</f>
        <v>1.5017641331587059E-4</v>
      </c>
      <c r="H19" s="1122">
        <f>IFERROR(IF(HLOOKUP(H$15,Data_5!$F$10:$BG$42,$A19+2,FALSE)="NO","NO",IF(HLOOKUP(H$15,Data_5!$F$10:$BG$42,$A19+2,FALSE)="IE","IE",IF(HLOOKUP(H$15,Data_5!$F$10:$BG$42,$A19+2,FALSE)="NE","NE",IF(HLOOKUP(H$15,Data_5!$F$10:$BG$42,$A19+2,FALSE)="C","C",IF(HLOOKUP(H$15,Data_5!$F$10:$BG$42,$A19+2,FALSE)="NO","NO",HLOOKUP(H$15,Data_5!$F$10:$BG$42,$A19+2,FALSE)/Data_5!$BH14))))),"")</f>
        <v>0.2799778761891154</v>
      </c>
      <c r="I19" s="1122">
        <f>IFERROR(IF(HLOOKUP(I$15,Data_5!$F$10:$BG$42,$A19+2,FALSE)="NO","NO",IF(HLOOKUP(I$15,Data_5!$F$10:$BG$42,$A19+2,FALSE)="IE","IE",IF(HLOOKUP(I$15,Data_5!$F$10:$BG$42,$A19+2,FALSE)="NE","NE",IF(HLOOKUP(I$15,Data_5!$F$10:$BG$42,$A19+2,FALSE)="C","C",IF(HLOOKUP(I$15,Data_5!$F$10:$BG$42,$A19+2,FALSE)="NO","NO",HLOOKUP(I$15,Data_5!$F$10:$BG$42,$A19+2,FALSE)/Data_5!$BH14))))),"")</f>
        <v>4.0529757823846912E-3</v>
      </c>
      <c r="J19" s="1122">
        <f>IFERROR(IF(HLOOKUP(J$15,Data_5!$F$10:$BG$42,$A19+2,FALSE)="NO","NO",IF(HLOOKUP(J$15,Data_5!$F$10:$BG$42,$A19+2,FALSE)="IE","IE",IF(HLOOKUP(J$15,Data_5!$F$10:$BG$42,$A19+2,FALSE)="NE","NE",IF(HLOOKUP(J$15,Data_5!$F$10:$BG$42,$A19+2,FALSE)="C","C",IF(HLOOKUP(J$15,Data_5!$F$10:$BG$42,$A19+2,FALSE)="NO","NO",HLOOKUP(J$15,Data_5!$F$10:$BG$42,$A19+2,FALSE)/Data_5!$BH14))))),"")</f>
        <v>3.7870602784777357E-3</v>
      </c>
      <c r="K19" s="1122" t="str">
        <f>IFERROR(IF(HLOOKUP(K$15,Data_5!$F$10:$BG$42,$A19+2,FALSE)="NO","NO",IF(HLOOKUP(K$15,Data_5!$F$10:$BG$42,$A19+2,FALSE)="IE","IE",IF(HLOOKUP(K$15,Data_5!$F$10:$BG$42,$A19+2,FALSE)="NE","NE",IF(HLOOKUP(K$15,Data_5!$F$10:$BG$42,$A19+2,FALSE)="C","C",IF(HLOOKUP(K$15,Data_5!$F$10:$BG$42,$A19+2,FALSE)="NO","NO",HLOOKUP(K$15,Data_5!$F$10:$BG$42,$A19+2,FALSE)/Data_5!$BH14))))),"")</f>
        <v>NO</v>
      </c>
      <c r="L19" s="1122" t="str">
        <f>IFERROR(IF(HLOOKUP(L$15,Data_5!$F$10:$BG$42,$A19+2,FALSE)="NO","NO",IF(HLOOKUP(L$15,Data_5!$F$10:$BG$42,$A19+2,FALSE)="IE","IE",IF(HLOOKUP(L$15,Data_5!$F$10:$BG$42,$A19+2,FALSE)="NE","NE",IF(HLOOKUP(L$15,Data_5!$F$10:$BG$42,$A19+2,FALSE)="C","C",IF(HLOOKUP(L$15,Data_5!$F$10:$BG$42,$A19+2,FALSE)="NO","NO",HLOOKUP(L$15,Data_5!$F$10:$BG$42,$A19+2,FALSE)/Data_5!$BH14))))),"")</f>
        <v>NO</v>
      </c>
      <c r="M19" s="1122" t="str">
        <f>IFERROR(IF(HLOOKUP(M$15,Data_5!$F$10:$BG$42,$A19+2,FALSE)="NO","NO",IF(HLOOKUP(M$15,Data_5!$F$10:$BG$42,$A19+2,FALSE)="IE","IE",IF(HLOOKUP(M$15,Data_5!$F$10:$BG$42,$A19+2,FALSE)="NE","NE",IF(HLOOKUP(M$15,Data_5!$F$10:$BG$42,$A19+2,FALSE)="C","C",IF(HLOOKUP(M$15,Data_5!$F$10:$BG$42,$A19+2,FALSE)="NO","NO",HLOOKUP(M$15,Data_5!$F$10:$BG$42,$A19+2,FALSE)/Data_5!$BH14))))),"")</f>
        <v>NO</v>
      </c>
      <c r="N19" s="1122" t="str">
        <f>IFERROR(IF(HLOOKUP(N$15,Data_5!$F$10:$BG$42,$A19+2,FALSE)="NO","NO",IF(HLOOKUP(N$15,Data_5!$F$10:$BG$42,$A19+2,FALSE)="IE","IE",IF(HLOOKUP(N$15,Data_5!$F$10:$BG$42,$A19+2,FALSE)="NE","NE",IF(HLOOKUP(N$15,Data_5!$F$10:$BG$42,$A19+2,FALSE)="C","C",IF(HLOOKUP(N$15,Data_5!$F$10:$BG$42,$A19+2,FALSE)="NO","NO",HLOOKUP(N$15,Data_5!$F$10:$BG$42,$A19+2,FALSE)/Data_5!$BH14))))),"")</f>
        <v>NO</v>
      </c>
      <c r="O19" s="1122" t="str">
        <f>IFERROR(IF(HLOOKUP(O$15,Data_5!$F$10:$BG$42,$A19+2,FALSE)="NO","NO",IF(HLOOKUP(O$15,Data_5!$F$10:$BG$42,$A19+2,FALSE)="IE","IE",IF(HLOOKUP(O$15,Data_5!$F$10:$BG$42,$A19+2,FALSE)="NE","NE",IF(HLOOKUP(O$15,Data_5!$F$10:$BG$42,$A19+2,FALSE)="C","C",IF(HLOOKUP(O$15,Data_5!$F$10:$BG$42,$A19+2,FALSE)="NO","NO",HLOOKUP(O$15,Data_5!$F$10:$BG$42,$A19+2,FALSE)/Data_5!$BH14))))),"")</f>
        <v>NO</v>
      </c>
      <c r="P19" s="1122" t="str">
        <f>IFERROR(IF(HLOOKUP(P$15,Data_5!$F$10:$BG$42,$A19+2,FALSE)="NO","NO",IF(HLOOKUP(P$15,Data_5!$F$10:$BG$42,$A19+2,FALSE)="IE","IE",IF(HLOOKUP(P$15,Data_5!$F$10:$BG$42,$A19+2,FALSE)="NE","NE",IF(HLOOKUP(P$15,Data_5!$F$10:$BG$42,$A19+2,FALSE)="C","C",IF(HLOOKUP(P$15,Data_5!$F$10:$BG$42,$A19+2,FALSE)="NO","NO",HLOOKUP(P$15,Data_5!$F$10:$BG$42,$A19+2,FALSE)/Data_5!$BH14))))),"")</f>
        <v>NO</v>
      </c>
      <c r="Q19" s="1122" t="str">
        <f>IFERROR(IF(HLOOKUP(Q$15,Data_5!$F$10:$BG$42,$A19+2,FALSE)="NO","NO",IF(HLOOKUP(Q$15,Data_5!$F$10:$BG$42,$A19+2,FALSE)="IE","IE",IF(HLOOKUP(Q$15,Data_5!$F$10:$BG$42,$A19+2,FALSE)="NE","NE",IF(HLOOKUP(Q$15,Data_5!$F$10:$BG$42,$A19+2,FALSE)="C","C",IF(HLOOKUP(Q$15,Data_5!$F$10:$BG$42,$A19+2,FALSE)="NO","NO",HLOOKUP(Q$15,Data_5!$F$10:$BG$42,$A19+2,FALSE)/Data_5!$BH14))))),"")</f>
        <v>NO</v>
      </c>
      <c r="R19" s="1122">
        <f>IFERROR(IF(HLOOKUP(R$15,Data_5!$F$10:$BG$42,$A19+2,FALSE)="NO","NO",IF(HLOOKUP(R$15,Data_5!$F$10:$BG$42,$A19+2,FALSE)="IE","IE",IF(HLOOKUP(R$15,Data_5!$F$10:$BG$42,$A19+2,FALSE)="NE","NE",IF(HLOOKUP(R$15,Data_5!$F$10:$BG$42,$A19+2,FALSE)="C","C",IF(HLOOKUP(R$15,Data_5!$F$10:$BG$42,$A19+2,FALSE)="NO","NO",HLOOKUP(R$15,Data_5!$F$10:$BG$42,$A19+2,FALSE)/Data_5!$BH14))))),"")</f>
        <v>7.6951307155341067E-5</v>
      </c>
      <c r="S19" s="1122">
        <f>IFERROR(IF(HLOOKUP(S$15,Data_5!$F$10:$BG$42,$A19+2,FALSE)="NO","NO",IF(HLOOKUP(S$15,Data_5!$F$10:$BG$42,$A19+2,FALSE)="IE","IE",IF(HLOOKUP(S$15,Data_5!$F$10:$BG$42,$A19+2,FALSE)="NE","NE",IF(HLOOKUP(S$15,Data_5!$F$10:$BG$42,$A19+2,FALSE)="C","C",IF(HLOOKUP(S$15,Data_5!$F$10:$BG$42,$A19+2,FALSE)="NO","NO",HLOOKUP(S$15,Data_5!$F$10:$BG$42,$A19+2,FALSE)/Data_5!$BH14))))),"")</f>
        <v>0.20796230949358621</v>
      </c>
      <c r="T19" s="1122">
        <f>IFERROR(IF(HLOOKUP(T$15,Data_5!$F$10:$BG$42,$A19+2,FALSE)="NO","NO",IF(HLOOKUP(T$15,Data_5!$F$10:$BG$42,$A19+2,FALSE)="IE","IE",IF(HLOOKUP(T$15,Data_5!$F$10:$BG$42,$A19+2,FALSE)="NE","NE",IF(HLOOKUP(T$15,Data_5!$F$10:$BG$42,$A19+2,FALSE)="C","C",IF(HLOOKUP(T$15,Data_5!$F$10:$BG$42,$A19+2,FALSE)="NO","NO",HLOOKUP(T$15,Data_5!$F$10:$BG$42,$A19+2,FALSE)/Data_5!$BH14))))),"")</f>
        <v>5.7148801035409799E-3</v>
      </c>
      <c r="U19" s="1122" t="str">
        <f>IFERROR(IF(HLOOKUP(U$15,Data_5!$F$10:$BG$42,$A19+2,FALSE)="NO","NO",IF(HLOOKUP(U$15,Data_5!$F$10:$BG$42,$A19+2,FALSE)="IE","IE",IF(HLOOKUP(U$15,Data_5!$F$10:$BG$42,$A19+2,FALSE)="NE","NE",IF(HLOOKUP(U$15,Data_5!$F$10:$BG$42,$A19+2,FALSE)="C","C",IF(HLOOKUP(U$15,Data_5!$F$10:$BG$42,$A19+2,FALSE)="NO","NO",HLOOKUP(U$15,Data_5!$F$10:$BG$42,$A19+2,FALSE)/Data_5!$BH14))))),"")</f>
        <v>NO</v>
      </c>
      <c r="V19" s="1122">
        <f>IFERROR(IF(HLOOKUP(V$15,Data_5!$F$10:$BG$42,$A19+2,FALSE)="NO","NO",IF(HLOOKUP(V$15,Data_5!$F$10:$BG$42,$A19+2,FALSE)="IE","IE",IF(HLOOKUP(V$15,Data_5!$F$10:$BG$42,$A19+2,FALSE)="NE","NE",IF(HLOOKUP(V$15,Data_5!$F$10:$BG$42,$A19+2,FALSE)="C","C",IF(HLOOKUP(V$15,Data_5!$F$10:$BG$42,$A19+2,FALSE)="NO","NO",HLOOKUP(V$15,Data_5!$F$10:$BG$42,$A19+2,FALSE)/Data_5!$BH14))))),"")</f>
        <v>1.0260547721013346E-2</v>
      </c>
      <c r="W19" s="1122" t="str">
        <f>IFERROR(IF(HLOOKUP(W$15,Data_5!$F$10:$BG$42,$A19+2,FALSE)="NO","NO",IF(HLOOKUP(W$15,Data_5!$F$10:$BG$42,$A19+2,FALSE)="IE","IE",IF(HLOOKUP(W$15,Data_5!$F$10:$BG$42,$A19+2,FALSE)="NE","NE",IF(HLOOKUP(W$15,Data_5!$F$10:$BG$42,$A19+2,FALSE)="C","C",IF(HLOOKUP(W$15,Data_5!$F$10:$BG$42,$A19+2,FALSE)="NO","NO",HLOOKUP(W$15,Data_5!$F$10:$BG$42,$A19+2,FALSE)/Data_5!$BH14))))),"")</f>
        <v>NO</v>
      </c>
      <c r="X19" s="1122" t="str">
        <f>IFERROR(IF(HLOOKUP(X$15,Data_5!$F$10:$BG$42,$A19+2,FALSE)="NO","NO",IF(HLOOKUP(X$15,Data_5!$F$10:$BG$42,$A19+2,FALSE)="IE","IE",IF(HLOOKUP(X$15,Data_5!$F$10:$BG$42,$A19+2,FALSE)="NE","NE",IF(HLOOKUP(X$15,Data_5!$F$10:$BG$42,$A19+2,FALSE)="C","C",IF(HLOOKUP(X$15,Data_5!$F$10:$BG$42,$A19+2,FALSE)="NO","NO",HLOOKUP(X$15,Data_5!$F$10:$BG$42,$A19+2,FALSE)/Data_5!$BH14))))),"")</f>
        <v>NO</v>
      </c>
      <c r="Y19" s="1122" t="str">
        <f>IFERROR(IF(HLOOKUP(Y$15,Data_5!$F$10:$BG$42,$A19+2,FALSE)="NO","NO",IF(HLOOKUP(Y$15,Data_5!$F$10:$BG$42,$A19+2,FALSE)="IE","IE",IF(HLOOKUP(Y$15,Data_5!$F$10:$BG$42,$A19+2,FALSE)="NE","NE",IF(HLOOKUP(Y$15,Data_5!$F$10:$BG$42,$A19+2,FALSE)="C","C",IF(HLOOKUP(Y$15,Data_5!$F$10:$BG$42,$A19+2,FALSE)="NO","NO",HLOOKUP(Y$15,Data_5!$F$10:$BG$42,$A19+2,FALSE)/Data_5!$BH14))))),"")</f>
        <v>NO</v>
      </c>
      <c r="Z19" s="1122" t="str">
        <f>IFERROR(IF(HLOOKUP(Z$15,Data_5!$F$10:$BG$42,$A19+2,FALSE)="NO","NO",IF(HLOOKUP(Z$15,Data_5!$F$10:$BG$42,$A19+2,FALSE)="IE","IE",IF(HLOOKUP(Z$15,Data_5!$F$10:$BG$42,$A19+2,FALSE)="NE","NE",IF(HLOOKUP(Z$15,Data_5!$F$10:$BG$42,$A19+2,FALSE)="C","C",IF(HLOOKUP(Z$15,Data_5!$F$10:$BG$42,$A19+2,FALSE)="NO","NO",HLOOKUP(Z$15,Data_5!$F$10:$BG$42,$A19+2,FALSE)/Data_5!$BH14))))),"")</f>
        <v>NO</v>
      </c>
      <c r="AA19" s="1122" t="str">
        <f>IFERROR(IF(HLOOKUP(AA$15,Data_5!$F$10:$BG$42,$A19+2,FALSE)="NO","NO",IF(HLOOKUP(AA$15,Data_5!$F$10:$BG$42,$A19+2,FALSE)="IE","IE",IF(HLOOKUP(AA$15,Data_5!$F$10:$BG$42,$A19+2,FALSE)="NE","NE",IF(HLOOKUP(AA$15,Data_5!$F$10:$BG$42,$A19+2,FALSE)="C","C",IF(HLOOKUP(AA$15,Data_5!$F$10:$BG$42,$A19+2,FALSE)="NO","NO",HLOOKUP(AA$15,Data_5!$F$10:$BG$42,$A19+2,FALSE)/Data_5!$BH14))))),"")</f>
        <v>NO</v>
      </c>
      <c r="AB19" s="1122" t="str">
        <f>IFERROR(IF(HLOOKUP(AB$15,Data_5!$F$10:$BG$42,$A19+2,FALSE)="NO","NO",IF(HLOOKUP(AB$15,Data_5!$F$10:$BG$42,$A19+2,FALSE)="IE","IE",IF(HLOOKUP(AB$15,Data_5!$F$10:$BG$42,$A19+2,FALSE)="NE","NE",IF(HLOOKUP(AB$15,Data_5!$F$10:$BG$42,$A19+2,FALSE)="C","C",IF(HLOOKUP(AB$15,Data_5!$F$10:$BG$42,$A19+2,FALSE)="NO","NO",HLOOKUP(AB$15,Data_5!$F$10:$BG$42,$A19+2,FALSE)/Data_5!$BH14))))),"")</f>
        <v>NO</v>
      </c>
      <c r="AC19" s="1122" t="str">
        <f>IFERROR(IF(HLOOKUP(AC$15,Data_5!$F$10:$BG$42,$A19+2,FALSE)="NO","NO",IF(HLOOKUP(AC$15,Data_5!$F$10:$BG$42,$A19+2,FALSE)="IE","IE",IF(HLOOKUP(AC$15,Data_5!$F$10:$BG$42,$A19+2,FALSE)="NE","NE",IF(HLOOKUP(AC$15,Data_5!$F$10:$BG$42,$A19+2,FALSE)="C","C",IF(HLOOKUP(AC$15,Data_5!$F$10:$BG$42,$A19+2,FALSE)="NO","NO",HLOOKUP(AC$15,Data_5!$F$10:$BG$42,$A19+2,FALSE)/Data_5!$BH14))))),"")</f>
        <v>NO</v>
      </c>
      <c r="AD19" s="1122">
        <f>IFERROR(IF(HLOOKUP(AD$15,Data_5!$F$10:$BG$42,$A19+2,FALSE)="NO","NO",IF(HLOOKUP(AD$15,Data_5!$F$10:$BG$42,$A19+2,FALSE)="IE","IE",IF(HLOOKUP(AD$15,Data_5!$F$10:$BG$42,$A19+2,FALSE)="NE","NE",IF(HLOOKUP(AD$15,Data_5!$F$10:$BG$42,$A19+2,FALSE)="C","C",IF(HLOOKUP(AD$15,Data_5!$F$10:$BG$42,$A19+2,FALSE)="NO","NO",HLOOKUP(AD$15,Data_5!$F$10:$BG$42,$A19+2,FALSE)/Data_5!$BH14))))),"")</f>
        <v>7.0278529907201903E-2</v>
      </c>
      <c r="AE19" s="1122" t="str">
        <f>IFERROR(IF(HLOOKUP(AE$15,Data_5!$F$10:$BG$42,$A19+2,FALSE)="NO","NO",IF(HLOOKUP(AE$15,Data_5!$F$10:$BG$42,$A19+2,FALSE)="IE","IE",IF(HLOOKUP(AE$15,Data_5!$F$10:$BG$42,$A19+2,FALSE)="NE","NE",IF(HLOOKUP(AE$15,Data_5!$F$10:$BG$42,$A19+2,FALSE)="C","C",IF(HLOOKUP(AE$15,Data_5!$F$10:$BG$42,$A19+2,FALSE)="NO","NO",HLOOKUP(AE$15,Data_5!$F$10:$BG$42,$A19+2,FALSE)/Data_5!$BH14))))),"")</f>
        <v>NO</v>
      </c>
      <c r="AF19" s="1122">
        <f>IFERROR(IF(HLOOKUP(AF$15,Data_5!$F$10:$BG$42,$A19+2,FALSE)="NO","NO",IF(HLOOKUP(AF$15,Data_5!$F$10:$BG$42,$A19+2,FALSE)="IE","IE",IF(HLOOKUP(AF$15,Data_5!$F$10:$BG$42,$A19+2,FALSE)="NE","NE",IF(HLOOKUP(AF$15,Data_5!$F$10:$BG$42,$A19+2,FALSE)="C","C",IF(HLOOKUP(AF$15,Data_5!$F$10:$BG$42,$A19+2,FALSE)="NO","NO",HLOOKUP(AF$15,Data_5!$F$10:$BG$42,$A19+2,FALSE)/Data_5!$BH14))))),"")</f>
        <v>8.533525682087481E-6</v>
      </c>
      <c r="AG19" s="1122" t="str">
        <f>IFERROR(IF(HLOOKUP(AG$15,Data_5!$F$10:$BG$42,$A19+2,FALSE)="NO","NO",IF(HLOOKUP(AG$15,Data_5!$F$10:$BG$42,$A19+2,FALSE)="IE","IE",IF(HLOOKUP(AG$15,Data_5!$F$10:$BG$42,$A19+2,FALSE)="NE","NE",IF(HLOOKUP(AG$15,Data_5!$F$10:$BG$42,$A19+2,FALSE)="C","C",IF(HLOOKUP(AG$15,Data_5!$F$10:$BG$42,$A19+2,FALSE)="NO","NO",HLOOKUP(AG$15,Data_5!$F$10:$BG$42,$A19+2,FALSE)/Data_5!$BH14))))),"")</f>
        <v>NO</v>
      </c>
      <c r="AH19" s="1122" t="str">
        <f>IFERROR(IF(HLOOKUP(AH$15,Data_5!$F$10:$BG$42,$A19+2,FALSE)="NO","NO",IF(HLOOKUP(AH$15,Data_5!$F$10:$BG$42,$A19+2,FALSE)="IE","IE",IF(HLOOKUP(AH$15,Data_5!$F$10:$BG$42,$A19+2,FALSE)="NE","NE",IF(HLOOKUP(AH$15,Data_5!$F$10:$BG$42,$A19+2,FALSE)="C","C",IF(HLOOKUP(AH$15,Data_5!$F$10:$BG$42,$A19+2,FALSE)="NO","NO",HLOOKUP(AH$15,Data_5!$F$10:$BG$42,$A19+2,FALSE)/Data_5!$BH14))))),"")</f>
        <v>NO</v>
      </c>
      <c r="AI19" s="1122" t="str">
        <f>IFERROR(IF(HLOOKUP(AI$15,Data_5!$F$10:$BG$42,$A19+2,FALSE)="NO","NO",IF(HLOOKUP(AI$15,Data_5!$F$10:$BG$42,$A19+2,FALSE)="IE","IE",IF(HLOOKUP(AI$15,Data_5!$F$10:$BG$42,$A19+2,FALSE)="NE","NE",IF(HLOOKUP(AI$15,Data_5!$F$10:$BG$42,$A19+2,FALSE)="C","C",IF(HLOOKUP(AI$15,Data_5!$F$10:$BG$42,$A19+2,FALSE)="NO","NO",HLOOKUP(AI$15,Data_5!$F$10:$BG$42,$A19+2,FALSE)/Data_5!$BH14))))),"")</f>
        <v>NO</v>
      </c>
      <c r="AJ19" s="1122">
        <f>IFERROR(IF(HLOOKUP(AJ$15,Data_5!$F$10:$BG$42,$A19+2,FALSE)="NO","NO",IF(HLOOKUP(AJ$15,Data_5!$F$10:$BG$42,$A19+2,FALSE)="IE","IE",IF(HLOOKUP(AJ$15,Data_5!$F$10:$BG$42,$A19+2,FALSE)="NE","NE",IF(HLOOKUP(AJ$15,Data_5!$F$10:$BG$42,$A19+2,FALSE)="C","C",IF(HLOOKUP(AJ$15,Data_5!$F$10:$BG$42,$A19+2,FALSE)="NO","NO",HLOOKUP(AJ$15,Data_5!$F$10:$BG$42,$A19+2,FALSE)/Data_5!$BH14))))),"")</f>
        <v>4.9102163411662699E-3</v>
      </c>
      <c r="AK19" s="15"/>
      <c r="AL19" s="2628" t="str">
        <f t="shared" si="0"/>
        <v>Athens</v>
      </c>
      <c r="AM19" s="2629"/>
      <c r="AN19" s="1100">
        <f t="shared" si="1"/>
        <v>2014</v>
      </c>
      <c r="AO19" s="1122" t="str">
        <f>IFERROR(IF(VLOOKUP($AL19,Data_5!$B$12:$E$42,4,FALSE)="BASIC","",(IF(HLOOKUP(AO$15,Data_5!$F$10:$BG$42,$A19+2,FALSE)="NO","NO",IF(HLOOKUP(AO$15,Data_5!$F$10:$BG$42,$A19+2,FALSE)="IE","IE",IF(HLOOKUP(AO$15,Data_5!$F$10:$BG$42,$A19+2,FALSE)="NE","NE",IF(HLOOKUP(AO$15,Data_5!$F$10:$BG$42,$A19+2,FALSE)="C","C",IF(HLOOKUP(AO$15,Data_5!$F$10:$BG$42,$A19+2,FALSE)="NO","NO",HLOOKUP(AO$15,Data_5!$F$10:$BG$42,$A19+2,FALSE)/Data_5!$BI14))))))),"")</f>
        <v/>
      </c>
      <c r="AP19" s="1122" t="str">
        <f>IFERROR(IF(VLOOKUP($AL19,Data_5!$B$12:$E$42,4,FALSE)="BASIC","",(IF(HLOOKUP(AP$15,Data_5!$F$10:$BG$42,$A19+2,FALSE)="NO","NO",IF(HLOOKUP(AP$15,Data_5!$F$10:$BG$42,$A19+2,FALSE)="IE","IE",IF(HLOOKUP(AP$15,Data_5!$F$10:$BG$42,$A19+2,FALSE)="NE","NE",IF(HLOOKUP(AP$15,Data_5!$F$10:$BG$42,$A19+2,FALSE)="C","C",IF(HLOOKUP(AP$15,Data_5!$F$10:$BG$42,$A19+2,FALSE)="NO","NO",HLOOKUP(AP$15,Data_5!$F$10:$BG$42,$A19+2,FALSE)/Data_5!$BI14))))))),"")</f>
        <v/>
      </c>
      <c r="AQ19" s="1122" t="str">
        <f>IFERROR(IF(VLOOKUP($AL19,Data_5!$B$12:$E$42,4,FALSE)="BASIC","",(IF(HLOOKUP(AQ$15,Data_5!$F$10:$BG$42,$A19+2,FALSE)="NO","NO",IF(HLOOKUP(AQ$15,Data_5!$F$10:$BG$42,$A19+2,FALSE)="IE","IE",IF(HLOOKUP(AQ$15,Data_5!$F$10:$BG$42,$A19+2,FALSE)="NE","NE",IF(HLOOKUP(AQ$15,Data_5!$F$10:$BG$42,$A19+2,FALSE)="C","C",IF(HLOOKUP(AQ$15,Data_5!$F$10:$BG$42,$A19+2,FALSE)="NO","NO",HLOOKUP(AQ$15,Data_5!$F$10:$BG$42,$A19+2,FALSE)/Data_5!$BI14))))))),"")</f>
        <v/>
      </c>
      <c r="AR19" s="1122" t="str">
        <f>IFERROR(IF(VLOOKUP($AL19,Data_5!$B$12:$E$42,4,FALSE)="BASIC","",(IF(HLOOKUP(AR$15,Data_5!$F$10:$BG$42,$A19+2,FALSE)="NO","NO",IF(HLOOKUP(AR$15,Data_5!$F$10:$BG$42,$A19+2,FALSE)="IE","IE",IF(HLOOKUP(AR$15,Data_5!$F$10:$BG$42,$A19+2,FALSE)="NE","NE",IF(HLOOKUP(AR$15,Data_5!$F$10:$BG$42,$A19+2,FALSE)="C","C",IF(HLOOKUP(AR$15,Data_5!$F$10:$BG$42,$A19+2,FALSE)="NO","NO",HLOOKUP(AR$15,Data_5!$F$10:$BG$42,$A19+2,FALSE)/Data_5!$BI14))))))),"")</f>
        <v/>
      </c>
      <c r="AS19" s="1122" t="str">
        <f>IFERROR(IF(VLOOKUP($AL19,Data_5!$B$12:$E$42,4,FALSE)="BASIC","",(IF(HLOOKUP(AS$15,Data_5!$F$10:$BG$42,$A19+2,FALSE)="NO","NO",IF(HLOOKUP(AS$15,Data_5!$F$10:$BG$42,$A19+2,FALSE)="IE","IE",IF(HLOOKUP(AS$15,Data_5!$F$10:$BG$42,$A19+2,FALSE)="NE","NE",IF(HLOOKUP(AS$15,Data_5!$F$10:$BG$42,$A19+2,FALSE)="C","C",IF(HLOOKUP(AS$15,Data_5!$F$10:$BG$42,$A19+2,FALSE)="NO","NO",HLOOKUP(AS$15,Data_5!$F$10:$BG$42,$A19+2,FALSE)/Data_5!$BI14))))))),"")</f>
        <v/>
      </c>
      <c r="AT19" s="1122" t="str">
        <f>IFERROR(IF(VLOOKUP($AL19,Data_5!$B$12:$E$42,4,FALSE)="BASIC","",(IF(HLOOKUP(AT$15,Data_5!$F$10:$BG$42,$A19+2,FALSE)="NO","NO",IF(HLOOKUP(AT$15,Data_5!$F$10:$BG$42,$A19+2,FALSE)="IE","IE",IF(HLOOKUP(AT$15,Data_5!$F$10:$BG$42,$A19+2,FALSE)="NE","NE",IF(HLOOKUP(AT$15,Data_5!$F$10:$BG$42,$A19+2,FALSE)="C","C",IF(HLOOKUP(AT$15,Data_5!$F$10:$BG$42,$A19+2,FALSE)="NO","NO",HLOOKUP(AT$15,Data_5!$F$10:$BG$42,$A19+2,FALSE)/Data_5!$BI14))))))),"")</f>
        <v/>
      </c>
      <c r="AU19" s="1122" t="str">
        <f>IFERROR(IF(VLOOKUP($AL19,Data_5!$B$12:$E$42,4,FALSE)="BASIC","",(IF(HLOOKUP(AU$15,Data_5!$F$10:$BG$42,$A19+2,FALSE)="NO","NO",IF(HLOOKUP(AU$15,Data_5!$F$10:$BG$42,$A19+2,FALSE)="IE","IE",IF(HLOOKUP(AU$15,Data_5!$F$10:$BG$42,$A19+2,FALSE)="NE","NE",IF(HLOOKUP(AU$15,Data_5!$F$10:$BG$42,$A19+2,FALSE)="C","C",IF(HLOOKUP(AU$15,Data_5!$F$10:$BG$42,$A19+2,FALSE)="NO","NO",HLOOKUP(AU$15,Data_5!$F$10:$BG$42,$A19+2,FALSE)/Data_5!$BI14))))))),"")</f>
        <v/>
      </c>
      <c r="AV19" s="1122" t="str">
        <f>IFERROR(IF(VLOOKUP($AL19,Data_5!$B$12:$E$42,4,FALSE)="BASIC","",(IF(HLOOKUP(AV$15,Data_5!$F$10:$BG$42,$A19+2,FALSE)="NO","NO",IF(HLOOKUP(AV$15,Data_5!$F$10:$BG$42,$A19+2,FALSE)="IE","IE",IF(HLOOKUP(AV$15,Data_5!$F$10:$BG$42,$A19+2,FALSE)="NE","NE",IF(HLOOKUP(AV$15,Data_5!$F$10:$BG$42,$A19+2,FALSE)="C","C",IF(HLOOKUP(AV$15,Data_5!$F$10:$BG$42,$A19+2,FALSE)="NO","NO",HLOOKUP(AV$15,Data_5!$F$10:$BG$42,$A19+2,FALSE)/Data_5!$BI14))))))),"")</f>
        <v/>
      </c>
      <c r="AW19" s="1122" t="str">
        <f>IFERROR(IF(VLOOKUP($AL19,Data_5!$B$12:$E$42,4,FALSE)="BASIC","",(IF(HLOOKUP(AW$15,Data_5!$F$10:$BG$42,$A19+2,FALSE)="NO","NO",IF(HLOOKUP(AW$15,Data_5!$F$10:$BG$42,$A19+2,FALSE)="IE","IE",IF(HLOOKUP(AW$15,Data_5!$F$10:$BG$42,$A19+2,FALSE)="NE","NE",IF(HLOOKUP(AW$15,Data_5!$F$10:$BG$42,$A19+2,FALSE)="C","C",IF(HLOOKUP(AW$15,Data_5!$F$10:$BG$42,$A19+2,FALSE)="NO","NO",HLOOKUP(AW$15,Data_5!$F$10:$BG$42,$A19+2,FALSE)/Data_5!$BI14))))))),"")</f>
        <v/>
      </c>
      <c r="AX19" s="1122" t="str">
        <f>IFERROR(IF(VLOOKUP($AL19,Data_5!$B$12:$E$42,4,FALSE)="BASIC","",(IF(HLOOKUP(AX$15,Data_5!$F$10:$BG$42,$A19+2,FALSE)="NO","NO",IF(HLOOKUP(AX$15,Data_5!$F$10:$BG$42,$A19+2,FALSE)="IE","IE",IF(HLOOKUP(AX$15,Data_5!$F$10:$BG$42,$A19+2,FALSE)="NE","NE",IF(HLOOKUP(AX$15,Data_5!$F$10:$BG$42,$A19+2,FALSE)="C","C",IF(HLOOKUP(AX$15,Data_5!$F$10:$BG$42,$A19+2,FALSE)="NO","NO",HLOOKUP(AX$15,Data_5!$F$10:$BG$42,$A19+2,FALSE)/Data_5!$BI14))))))),"")</f>
        <v/>
      </c>
      <c r="AY19" s="1122" t="str">
        <f>IFERROR(IF(VLOOKUP($AL19,Data_5!$B$12:$E$42,4,FALSE)="BASIC","",(IF(HLOOKUP(AY$15,Data_5!$F$10:$BG$42,$A19+2,FALSE)="NO","NO",IF(HLOOKUP(AY$15,Data_5!$F$10:$BG$42,$A19+2,FALSE)="IE","IE",IF(HLOOKUP(AY$15,Data_5!$F$10:$BG$42,$A19+2,FALSE)="NE","NE",IF(HLOOKUP(AY$15,Data_5!$F$10:$BG$42,$A19+2,FALSE)="C","C",IF(HLOOKUP(AY$15,Data_5!$F$10:$BG$42,$A19+2,FALSE)="NO","NO",HLOOKUP(AY$15,Data_5!$F$10:$BG$42,$A19+2,FALSE)/Data_5!$BI14))))))),"")</f>
        <v/>
      </c>
      <c r="AZ19" s="1122" t="str">
        <f>IFERROR(IF(VLOOKUP($AL19,Data_5!$B$12:$E$42,4,FALSE)="BASIC","",(IF(HLOOKUP(AZ$15,Data_5!$F$10:$BG$42,$A19+2,FALSE)="NO","NO",IF(HLOOKUP(AZ$15,Data_5!$F$10:$BG$42,$A19+2,FALSE)="IE","IE",IF(HLOOKUP(AZ$15,Data_5!$F$10:$BG$42,$A19+2,FALSE)="NE","NE",IF(HLOOKUP(AZ$15,Data_5!$F$10:$BG$42,$A19+2,FALSE)="C","C",IF(HLOOKUP(AZ$15,Data_5!$F$10:$BG$42,$A19+2,FALSE)="NO","NO",HLOOKUP(AZ$15,Data_5!$F$10:$BG$42,$A19+2,FALSE)/Data_5!$BI14))))))),"")</f>
        <v/>
      </c>
      <c r="BA19" s="1122" t="str">
        <f>IFERROR(IF(VLOOKUP($AL19,Data_5!$B$12:$E$42,4,FALSE)="BASIC","",(IF(HLOOKUP(BA$15,Data_5!$F$10:$BG$42,$A19+2,FALSE)="NO","NO",IF(HLOOKUP(BA$15,Data_5!$F$10:$BG$42,$A19+2,FALSE)="IE","IE",IF(HLOOKUP(BA$15,Data_5!$F$10:$BG$42,$A19+2,FALSE)="NE","NE",IF(HLOOKUP(BA$15,Data_5!$F$10:$BG$42,$A19+2,FALSE)="C","C",IF(HLOOKUP(BA$15,Data_5!$F$10:$BG$42,$A19+2,FALSE)="NO","NO",HLOOKUP(BA$15,Data_5!$F$10:$BG$42,$A19+2,FALSE)/Data_5!$BI14))))))),"")</f>
        <v/>
      </c>
      <c r="BB19" s="1122" t="str">
        <f>IFERROR(IF(VLOOKUP($AL19,Data_5!$B$12:$E$42,4,FALSE)="BASIC","",(IF(HLOOKUP(BB$15,Data_5!$F$10:$BG$42,$A19+2,FALSE)="NO","NO",IF(HLOOKUP(BB$15,Data_5!$F$10:$BG$42,$A19+2,FALSE)="IE","IE",IF(HLOOKUP(BB$15,Data_5!$F$10:$BG$42,$A19+2,FALSE)="NE","NE",IF(HLOOKUP(BB$15,Data_5!$F$10:$BG$42,$A19+2,FALSE)="C","C",IF(HLOOKUP(BB$15,Data_5!$F$10:$BG$42,$A19+2,FALSE)="NO","NO",HLOOKUP(BB$15,Data_5!$F$10:$BG$42,$A19+2,FALSE)/Data_5!$BI14))))))),"")</f>
        <v/>
      </c>
      <c r="BC19" s="1122" t="str">
        <f>IFERROR(IF(VLOOKUP($AL19,Data_5!$B$12:$E$42,4,FALSE)="BASIC","",(IF(HLOOKUP(BC$15,Data_5!$F$10:$BG$42,$A19+2,FALSE)="NO","NO",IF(HLOOKUP(BC$15,Data_5!$F$10:$BG$42,$A19+2,FALSE)="IE","IE",IF(HLOOKUP(BC$15,Data_5!$F$10:$BG$42,$A19+2,FALSE)="NE","NE",IF(HLOOKUP(BC$15,Data_5!$F$10:$BG$42,$A19+2,FALSE)="C","C",IF(HLOOKUP(BC$15,Data_5!$F$10:$BG$42,$A19+2,FALSE)="NO","NO",HLOOKUP(BC$15,Data_5!$F$10:$BG$42,$A19+2,FALSE)/Data_5!$BI14))))))),"")</f>
        <v/>
      </c>
      <c r="BD19" s="1122" t="str">
        <f>IFERROR(IF(VLOOKUP($AL19,Data_5!$B$12:$E$42,4,FALSE)="BASIC","",(IF(HLOOKUP(BD$15,Data_5!$F$10:$BG$42,$A19+2,FALSE)="NO","NO",IF(HLOOKUP(BD$15,Data_5!$F$10:$BG$42,$A19+2,FALSE)="IE","IE",IF(HLOOKUP(BD$15,Data_5!$F$10:$BG$42,$A19+2,FALSE)="NE","NE",IF(HLOOKUP(BD$15,Data_5!$F$10:$BG$42,$A19+2,FALSE)="C","C",IF(HLOOKUP(BD$15,Data_5!$F$10:$BG$42,$A19+2,FALSE)="NO","NO",HLOOKUP(BD$15,Data_5!$F$10:$BG$42,$A19+2,FALSE)/Data_5!$BI14))))))),"")</f>
        <v/>
      </c>
      <c r="BE19" s="1122" t="str">
        <f>IFERROR(IF(VLOOKUP($AL19,Data_5!$B$12:$E$42,4,FALSE)="BASIC","",(IF(HLOOKUP(BE$15,Data_5!$F$10:$BG$42,$A19+2,FALSE)="NO","NO",IF(HLOOKUP(BE$15,Data_5!$F$10:$BG$42,$A19+2,FALSE)="IE","IE",IF(HLOOKUP(BE$15,Data_5!$F$10:$BG$42,$A19+2,FALSE)="NE","NE",IF(HLOOKUP(BE$15,Data_5!$F$10:$BG$42,$A19+2,FALSE)="C","C",IF(HLOOKUP(BE$15,Data_5!$F$10:$BG$42,$A19+2,FALSE)="NO","NO",HLOOKUP(BE$15,Data_5!$F$10:$BG$42,$A19+2,FALSE)/Data_5!$BI14))))))),"")</f>
        <v/>
      </c>
      <c r="BF19" s="1122" t="str">
        <f>IFERROR(IF(VLOOKUP($AL19,Data_5!$B$12:$E$42,4,FALSE)="BASIC","",(IF(HLOOKUP(BF$15,Data_5!$F$10:$BG$42,$A19+2,FALSE)="NO","NO",IF(HLOOKUP(BF$15,Data_5!$F$10:$BG$42,$A19+2,FALSE)="IE","IE",IF(HLOOKUP(BF$15,Data_5!$F$10:$BG$42,$A19+2,FALSE)="NE","NE",IF(HLOOKUP(BF$15,Data_5!$F$10:$BG$42,$A19+2,FALSE)="C","C",IF(HLOOKUP(BF$15,Data_5!$F$10:$BG$42,$A19+2,FALSE)="NO","NO",HLOOKUP(BF$15,Data_5!$F$10:$BG$42,$A19+2,FALSE)/Data_5!$BI14))))))),"")</f>
        <v/>
      </c>
      <c r="BG19" s="1122" t="str">
        <f>IFERROR(IF(VLOOKUP($AL19,Data_5!$B$12:$E$42,4,FALSE)="BASIC","",(IF(HLOOKUP(BG$15,Data_5!$F$10:$BG$42,$A19+2,FALSE)="NO","NO",IF(HLOOKUP(BG$15,Data_5!$F$10:$BG$42,$A19+2,FALSE)="IE","IE",IF(HLOOKUP(BG$15,Data_5!$F$10:$BG$42,$A19+2,FALSE)="NE","NE",IF(HLOOKUP(BG$15,Data_5!$F$10:$BG$42,$A19+2,FALSE)="C","C",IF(HLOOKUP(BG$15,Data_5!$F$10:$BG$42,$A19+2,FALSE)="NO","NO",HLOOKUP(BG$15,Data_5!$F$10:$BG$42,$A19+2,FALSE)/Data_5!$BI14))))))),"")</f>
        <v/>
      </c>
      <c r="BH19" s="1122" t="str">
        <f>IFERROR(IF(VLOOKUP($AL19,Data_5!$B$12:$E$42,4,FALSE)="BASIC","",(IF(HLOOKUP(BH$15,Data_5!$F$10:$BG$42,$A19+2,FALSE)="NO","NO",IF(HLOOKUP(BH$15,Data_5!$F$10:$BG$42,$A19+2,FALSE)="IE","IE",IF(HLOOKUP(BH$15,Data_5!$F$10:$BG$42,$A19+2,FALSE)="NE","NE",IF(HLOOKUP(BH$15,Data_5!$F$10:$BG$42,$A19+2,FALSE)="C","C",IF(HLOOKUP(BH$15,Data_5!$F$10:$BG$42,$A19+2,FALSE)="NO","NO",HLOOKUP(BH$15,Data_5!$F$10:$BG$42,$A19+2,FALSE)/Data_5!$BI14))))))),"")</f>
        <v/>
      </c>
      <c r="BI19" s="1122" t="str">
        <f>IFERROR(IF(VLOOKUP($AL19,Data_5!$B$12:$E$42,4,FALSE)="BASIC","",(IF(HLOOKUP(BI$15,Data_5!$F$10:$BG$42,$A19+2,FALSE)="NO","NO",IF(HLOOKUP(BI$15,Data_5!$F$10:$BG$42,$A19+2,FALSE)="IE","IE",IF(HLOOKUP(BI$15,Data_5!$F$10:$BG$42,$A19+2,FALSE)="NE","NE",IF(HLOOKUP(BI$15,Data_5!$F$10:$BG$42,$A19+2,FALSE)="C","C",IF(HLOOKUP(BI$15,Data_5!$F$10:$BG$42,$A19+2,FALSE)="NO","NO",HLOOKUP(BI$15,Data_5!$F$10:$BG$42,$A19+2,FALSE)/Data_5!$BI14))))))),"")</f>
        <v/>
      </c>
      <c r="BJ19" s="1122" t="str">
        <f>IFERROR(IF(VLOOKUP($AL19,Data_5!$B$12:$E$42,4,FALSE)="BASIC","",(IF(HLOOKUP(BJ$15,Data_5!$F$10:$BG$42,$A19+2,FALSE)="NO","NO",IF(HLOOKUP(BJ$15,Data_5!$F$10:$BG$42,$A19+2,FALSE)="IE","IE",IF(HLOOKUP(BJ$15,Data_5!$F$10:$BG$42,$A19+2,FALSE)="NE","NE",IF(HLOOKUP(BJ$15,Data_5!$F$10:$BG$42,$A19+2,FALSE)="C","C",IF(HLOOKUP(BJ$15,Data_5!$F$10:$BG$42,$A19+2,FALSE)="NO","NO",HLOOKUP(BJ$15,Data_5!$F$10:$BG$42,$A19+2,FALSE)/Data_5!$BI14))))))),"")</f>
        <v/>
      </c>
      <c r="BK19" s="1122" t="str">
        <f>IFERROR(IF(VLOOKUP($AL19,Data_5!$B$12:$E$42,4,FALSE)="BASIC","",(IF(HLOOKUP(BK$15,Data_5!$F$10:$BG$42,$A19+2,FALSE)="NO","NO",IF(HLOOKUP(BK$15,Data_5!$F$10:$BG$42,$A19+2,FALSE)="IE","IE",IF(HLOOKUP(BK$15,Data_5!$F$10:$BG$42,$A19+2,FALSE)="NE","NE",IF(HLOOKUP(BK$15,Data_5!$F$10:$BG$42,$A19+2,FALSE)="C","C",IF(HLOOKUP(BK$15,Data_5!$F$10:$BG$42,$A19+2,FALSE)="NO","NO",HLOOKUP(BK$15,Data_5!$F$10:$BG$42,$A19+2,FALSE)/Data_5!$BI14))))))),"")</f>
        <v/>
      </c>
      <c r="BL19" s="1122" t="str">
        <f>IFERROR(IF(VLOOKUP($AL19,Data_5!$B$12:$E$42,4,FALSE)="BASIC","",(IF(HLOOKUP(BL$15,Data_5!$F$10:$BG$42,$A19+2,FALSE)="NO","NO",IF(HLOOKUP(BL$15,Data_5!$F$10:$BG$42,$A19+2,FALSE)="IE","IE",IF(HLOOKUP(BL$15,Data_5!$F$10:$BG$42,$A19+2,FALSE)="NE","NE",IF(HLOOKUP(BL$15,Data_5!$F$10:$BG$42,$A19+2,FALSE)="C","C",IF(HLOOKUP(BL$15,Data_5!$F$10:$BG$42,$A19+2,FALSE)="NO","NO",HLOOKUP(BL$15,Data_5!$F$10:$BG$42,$A19+2,FALSE)/Data_5!$BI14))))))),"")</f>
        <v/>
      </c>
      <c r="BM19" s="1122" t="str">
        <f>IFERROR(IF(VLOOKUP($AL19,Data_5!$B$12:$E$42,4,FALSE)="BASIC","",(IF(HLOOKUP(BM$15,Data_5!$F$10:$BG$42,$A19+2,FALSE)="NO","NO",IF(HLOOKUP(BM$15,Data_5!$F$10:$BG$42,$A19+2,FALSE)="IE","IE",IF(HLOOKUP(BM$15,Data_5!$F$10:$BG$42,$A19+2,FALSE)="NE","NE",IF(HLOOKUP(BM$15,Data_5!$F$10:$BG$42,$A19+2,FALSE)="C","C",IF(HLOOKUP(BM$15,Data_5!$F$10:$BG$42,$A19+2,FALSE)="NO","NO",HLOOKUP(BM$15,Data_5!$F$10:$BG$42,$A19+2,FALSE)/Data_5!$BI14))))))),"")</f>
        <v/>
      </c>
      <c r="BN19" s="1122" t="str">
        <f>IFERROR(IF(VLOOKUP($AL19,Data_5!$B$12:$E$42,4,FALSE)="BASIC","",(IF(HLOOKUP(BN$15,Data_5!$F$10:$BG$42,$A19+2,FALSE)="NO","NO",IF(HLOOKUP(BN$15,Data_5!$F$10:$BG$42,$A19+2,FALSE)="IE","IE",IF(HLOOKUP(BN$15,Data_5!$F$10:$BG$42,$A19+2,FALSE)="NE","NE",IF(HLOOKUP(BN$15,Data_5!$F$10:$BG$42,$A19+2,FALSE)="C","C",IF(HLOOKUP(BN$15,Data_5!$F$10:$BG$42,$A19+2,FALSE)="NO","NO",HLOOKUP(BN$15,Data_5!$F$10:$BG$42,$A19+2,FALSE)/Data_5!$BI14))))))),"")</f>
        <v/>
      </c>
      <c r="BO19" s="1122" t="str">
        <f>IFERROR(IF(VLOOKUP($AL19,Data_5!$B$12:$E$42,4,FALSE)="BASIC","",(IF(HLOOKUP(BO$15,Data_5!$F$10:$BG$42,$A19+2,FALSE)="NO","NO",IF(HLOOKUP(BO$15,Data_5!$F$10:$BG$42,$A19+2,FALSE)="IE","IE",IF(HLOOKUP(BO$15,Data_5!$F$10:$BG$42,$A19+2,FALSE)="NE","NE",IF(HLOOKUP(BO$15,Data_5!$F$10:$BG$42,$A19+2,FALSE)="C","C",IF(HLOOKUP(BO$15,Data_5!$F$10:$BG$42,$A19+2,FALSE)="NO","NO",HLOOKUP(BO$15,Data_5!$F$10:$BG$42,$A19+2,FALSE)/Data_5!$BI14))))))),"")</f>
        <v/>
      </c>
      <c r="BP19" s="1122" t="str">
        <f>IFERROR(IF(VLOOKUP($AL19,Data_5!$B$12:$E$42,4,FALSE)="BASIC","",(IF(HLOOKUP(BP$15,Data_5!$F$10:$BG$42,$A19+2,FALSE)="NO","NO",IF(HLOOKUP(BP$15,Data_5!$F$10:$BG$42,$A19+2,FALSE)="IE","IE",IF(HLOOKUP(BP$15,Data_5!$F$10:$BG$42,$A19+2,FALSE)="NE","NE",IF(HLOOKUP(BP$15,Data_5!$F$10:$BG$42,$A19+2,FALSE)="C","C",IF(HLOOKUP(BP$15,Data_5!$F$10:$BG$42,$A19+2,FALSE)="NO","NO",HLOOKUP(BP$15,Data_5!$F$10:$BG$42,$A19+2,FALSE)/Data_5!$BI14))))))),"")</f>
        <v/>
      </c>
      <c r="BQ19" s="1122" t="str">
        <f>IFERROR(IF(VLOOKUP($AL19,Data_5!$B$12:$E$42,4,FALSE)="BASIC","",(IF(HLOOKUP(BQ$15,Data_5!$F$10:$BG$42,$A19+2,FALSE)="NO","NO",IF(HLOOKUP(BQ$15,Data_5!$F$10:$BG$42,$A19+2,FALSE)="IE","IE",IF(HLOOKUP(BQ$15,Data_5!$F$10:$BG$42,$A19+2,FALSE)="NE","NE",IF(HLOOKUP(BQ$15,Data_5!$F$10:$BG$42,$A19+2,FALSE)="C","C",IF(HLOOKUP(BQ$15,Data_5!$F$10:$BG$42,$A19+2,FALSE)="NO","NO",HLOOKUP(BQ$15,Data_5!$F$10:$BG$42,$A19+2,FALSE)/Data_5!$BI14))))))),"")</f>
        <v/>
      </c>
      <c r="BR19" s="1122" t="str">
        <f>IFERROR(IF(VLOOKUP($AL19,Data_5!$B$12:$E$42,4,FALSE)="BASIC","",(IF(HLOOKUP(BR$15,Data_5!$F$10:$BG$42,$A19+2,FALSE)="NO","NO",IF(HLOOKUP(BR$15,Data_5!$F$10:$BG$42,$A19+2,FALSE)="IE","IE",IF(HLOOKUP(BR$15,Data_5!$F$10:$BG$42,$A19+2,FALSE)="NE","NE",IF(HLOOKUP(BR$15,Data_5!$F$10:$BG$42,$A19+2,FALSE)="C","C",IF(HLOOKUP(BR$15,Data_5!$F$10:$BG$42,$A19+2,FALSE)="NO","NO",HLOOKUP(BR$15,Data_5!$F$10:$BG$42,$A19+2,FALSE)/Data_5!$BI14))))))),"")</f>
        <v/>
      </c>
      <c r="BS19" s="1122" t="str">
        <f>IFERROR(IF(VLOOKUP($AL19,Data_5!$B$12:$E$42,4,FALSE)="BASIC","",(IF(HLOOKUP(BS$15,Data_5!$F$10:$BG$42,$A19+2,FALSE)="NO","NO",IF(HLOOKUP(BS$15,Data_5!$F$10:$BG$42,$A19+2,FALSE)="IE","IE",IF(HLOOKUP(BS$15,Data_5!$F$10:$BG$42,$A19+2,FALSE)="NE","NE",IF(HLOOKUP(BS$15,Data_5!$F$10:$BG$42,$A19+2,FALSE)="C","C",IF(HLOOKUP(BS$15,Data_5!$F$10:$BG$42,$A19+2,FALSE)="NO","NO",HLOOKUP(BS$15,Data_5!$F$10:$BG$42,$A19+2,FALSE)/Data_5!$BI14))))))),"")</f>
        <v/>
      </c>
      <c r="BT19" s="1122" t="str">
        <f>IFERROR(IF(VLOOKUP($AL19,Data_5!$B$12:$E$42,4,FALSE)="BASIC","",(IF(HLOOKUP(BT$15,Data_5!$F$10:$BG$42,$A19+2,FALSE)="NO","NO",IF(HLOOKUP(BT$15,Data_5!$F$10:$BG$42,$A19+2,FALSE)="IE","IE",IF(HLOOKUP(BT$15,Data_5!$F$10:$BG$42,$A19+2,FALSE)="NE","NE",IF(HLOOKUP(BT$15,Data_5!$F$10:$BG$42,$A19+2,FALSE)="C","C",IF(HLOOKUP(BT$15,Data_5!$F$10:$BG$42,$A19+2,FALSE)="NO","NO",HLOOKUP(BT$15,Data_5!$F$10:$BG$42,$A19+2,FALSE)/Data_5!$BI14))))))),"")</f>
        <v/>
      </c>
      <c r="BU19" s="1122" t="str">
        <f>IFERROR(IF(VLOOKUP($AL19,Data_5!$B$12:$E$42,4,FALSE)="BASIC","",(IF(HLOOKUP(BU$15,Data_5!$F$10:$BG$42,$A19+2,FALSE)="NO","NO",IF(HLOOKUP(BU$15,Data_5!$F$10:$BG$42,$A19+2,FALSE)="IE","IE",IF(HLOOKUP(BU$15,Data_5!$F$10:$BG$42,$A19+2,FALSE)="NE","NE",IF(HLOOKUP(BU$15,Data_5!$F$10:$BG$42,$A19+2,FALSE)="C","C",IF(HLOOKUP(BU$15,Data_5!$F$10:$BG$42,$A19+2,FALSE)="NO","NO",HLOOKUP(BU$15,Data_5!$F$10:$BG$42,$A19+2,FALSE)/Data_5!$BI14))))))),"")</f>
        <v/>
      </c>
      <c r="BV19" s="1122" t="str">
        <f>IFERROR(IF(VLOOKUP($AL19,Data_5!$B$12:$E$42,4,FALSE)="BASIC","",(IF(HLOOKUP(BV$15,Data_5!$F$10:$BG$42,$A19+2,FALSE)="NO","NO",IF(HLOOKUP(BV$15,Data_5!$F$10:$BG$42,$A19+2,FALSE)="IE","IE",IF(HLOOKUP(BV$15,Data_5!$F$10:$BG$42,$A19+2,FALSE)="NE","NE",IF(HLOOKUP(BV$15,Data_5!$F$10:$BG$42,$A19+2,FALSE)="C","C",IF(HLOOKUP(BV$15,Data_5!$F$10:$BG$42,$A19+2,FALSE)="NO","NO",HLOOKUP(BV$15,Data_5!$F$10:$BG$42,$A19+2,FALSE)/Data_5!$BI14))))))),"")</f>
        <v/>
      </c>
      <c r="BW19" s="1122" t="str">
        <f>IFERROR(IF(VLOOKUP($AL19,Data_5!$B$12:$E$42,4,FALSE)="BASIC","",(IF(HLOOKUP(BW$15,Data_5!$F$10:$BG$42,$A19+2,FALSE)="NO","NO",IF(HLOOKUP(BW$15,Data_5!$F$10:$BG$42,$A19+2,FALSE)="IE","IE",IF(HLOOKUP(BW$15,Data_5!$F$10:$BG$42,$A19+2,FALSE)="NE","NE",IF(HLOOKUP(BW$15,Data_5!$F$10:$BG$42,$A19+2,FALSE)="C","C",IF(HLOOKUP(BW$15,Data_5!$F$10:$BG$42,$A19+2,FALSE)="NO","NO",HLOOKUP(BW$15,Data_5!$F$10:$BG$42,$A19+2,FALSE)/Data_5!$BI14))))))),"")</f>
        <v/>
      </c>
      <c r="BX19" s="1122" t="str">
        <f>IFERROR(IF(VLOOKUP($AL19,Data_5!$B$12:$E$42,4,FALSE)="BASIC","",(IF(HLOOKUP(BX$15,Data_5!$F$10:$BG$42,$A19+2,FALSE)="NO","NO",IF(HLOOKUP(BX$15,Data_5!$F$10:$BG$42,$A19+2,FALSE)="IE","IE",IF(HLOOKUP(BX$15,Data_5!$F$10:$BG$42,$A19+2,FALSE)="NE","NE",IF(HLOOKUP(BX$15,Data_5!$F$10:$BG$42,$A19+2,FALSE)="C","C",IF(HLOOKUP(BX$15,Data_5!$F$10:$BG$42,$A19+2,FALSE)="NO","NO",HLOOKUP(BX$15,Data_5!$F$10:$BG$42,$A19+2,FALSE)/Data_5!$BI14))))))),"")</f>
        <v/>
      </c>
      <c r="BY19" s="1122" t="str">
        <f>IFERROR(IF(VLOOKUP($AL19,Data_5!$B$12:$E$42,4,FALSE)="BASIC","",(IF(HLOOKUP(BY$15,Data_5!$F$10:$BG$42,$A19+2,FALSE)="NO","NO",IF(HLOOKUP(BY$15,Data_5!$F$10:$BG$42,$A19+2,FALSE)="IE","IE",IF(HLOOKUP(BY$15,Data_5!$F$10:$BG$42,$A19+2,FALSE)="NE","NE",IF(HLOOKUP(BY$15,Data_5!$F$10:$BG$42,$A19+2,FALSE)="C","C",IF(HLOOKUP(BY$15,Data_5!$F$10:$BG$42,$A19+2,FALSE)="NO","NO",HLOOKUP(BY$15,Data_5!$F$10:$BG$42,$A19+2,FALSE)/Data_5!$BI14))))))),"")</f>
        <v/>
      </c>
      <c r="BZ19" s="1122" t="str">
        <f>IFERROR(IF(VLOOKUP($AL19,Data_5!$B$12:$E$42,4,FALSE)="BASIC","",(IF(HLOOKUP(BZ$15,Data_5!$F$10:$BG$42,$A19+2,FALSE)="NO","NO",IF(HLOOKUP(BZ$15,Data_5!$F$10:$BG$42,$A19+2,FALSE)="IE","IE",IF(HLOOKUP(BZ$15,Data_5!$F$10:$BG$42,$A19+2,FALSE)="NE","NE",IF(HLOOKUP(BZ$15,Data_5!$F$10:$BG$42,$A19+2,FALSE)="C","C",IF(HLOOKUP(BZ$15,Data_5!$F$10:$BG$42,$A19+2,FALSE)="NO","NO",HLOOKUP(BZ$15,Data_5!$F$10:$BG$42,$A19+2,FALSE)/Data_5!$BI14))))))),"")</f>
        <v/>
      </c>
      <c r="CA19" s="1122" t="str">
        <f>IFERROR(IF(VLOOKUP($AL19,Data_5!$B$12:$E$42,4,FALSE)="BASIC","",(IF(HLOOKUP(CA$15,Data_5!$F$10:$BG$42,$A19+2,FALSE)="NO","NO",IF(HLOOKUP(CA$15,Data_5!$F$10:$BG$42,$A19+2,FALSE)="IE","IE",IF(HLOOKUP(CA$15,Data_5!$F$10:$BG$42,$A19+2,FALSE)="NE","NE",IF(HLOOKUP(CA$15,Data_5!$F$10:$BG$42,$A19+2,FALSE)="C","C",IF(HLOOKUP(CA$15,Data_5!$F$10:$BG$42,$A19+2,FALSE)="NO","NO",HLOOKUP(CA$15,Data_5!$F$10:$BG$42,$A19+2,FALSE)/Data_5!$BI14))))))),"")</f>
        <v/>
      </c>
      <c r="CB19" s="1122" t="str">
        <f>IFERROR(IF(VLOOKUP($AL19,Data_5!$B$12:$E$42,4,FALSE)="BASIC","",(IF(HLOOKUP(CB$15,Data_5!$F$10:$BG$42,$A19+2,FALSE)="NO","NO",IF(HLOOKUP(CB$15,Data_5!$F$10:$BG$42,$A19+2,FALSE)="IE","IE",IF(HLOOKUP(CB$15,Data_5!$F$10:$BG$42,$A19+2,FALSE)="NE","NE",IF(HLOOKUP(CB$15,Data_5!$F$10:$BG$42,$A19+2,FALSE)="C","C",IF(HLOOKUP(CB$15,Data_5!$F$10:$BG$42,$A19+2,FALSE)="NO","NO",HLOOKUP(CB$15,Data_5!$F$10:$BG$42,$A19+2,FALSE)/Data_5!$BI14))))))),"")</f>
        <v/>
      </c>
      <c r="CC19" s="1122" t="str">
        <f>IFERROR(IF(VLOOKUP($AL19,Data_5!$B$12:$E$42,4,FALSE)="BASIC","",(IF(HLOOKUP(CC$15,Data_5!$F$10:$BG$42,$A19+2,FALSE)="NO","NO",IF(HLOOKUP(CC$15,Data_5!$F$10:$BG$42,$A19+2,FALSE)="IE","IE",IF(HLOOKUP(CC$15,Data_5!$F$10:$BG$42,$A19+2,FALSE)="NE","NE",IF(HLOOKUP(CC$15,Data_5!$F$10:$BG$42,$A19+2,FALSE)="C","C",IF(HLOOKUP(CC$15,Data_5!$F$10:$BG$42,$A19+2,FALSE)="NO","NO",HLOOKUP(CC$15,Data_5!$F$10:$BG$42,$A19+2,FALSE)/Data_5!$BI14))))))),"")</f>
        <v/>
      </c>
      <c r="CD19" s="1122" t="str">
        <f>IFERROR(IF(VLOOKUP($AL19,Data_5!$B$12:$E$42,4,FALSE)="BASIC","",(IF(HLOOKUP(CD$15,Data_5!$F$10:$BG$42,$A19+2,FALSE)="NO","NO",IF(HLOOKUP(CD$15,Data_5!$F$10:$BG$42,$A19+2,FALSE)="IE","IE",IF(HLOOKUP(CD$15,Data_5!$F$10:$BG$42,$A19+2,FALSE)="NE","NE",IF(HLOOKUP(CD$15,Data_5!$F$10:$BG$42,$A19+2,FALSE)="C","C",IF(HLOOKUP(CD$15,Data_5!$F$10:$BG$42,$A19+2,FALSE)="NO","NO",HLOOKUP(CD$15,Data_5!$F$10:$BG$42,$A19+2,FALSE)/Data_5!$BI14))))))),"")</f>
        <v/>
      </c>
      <c r="CE19" s="1122" t="str">
        <f>IFERROR(IF(VLOOKUP($AL19,Data_5!$B$12:$E$42,4,FALSE)="BASIC","",(IF(HLOOKUP(CE$15,Data_5!$F$10:$BG$42,$A19+2,FALSE)="NO","NO",IF(HLOOKUP(CE$15,Data_5!$F$10:$BG$42,$A19+2,FALSE)="IE","IE",IF(HLOOKUP(CE$15,Data_5!$F$10:$BG$42,$A19+2,FALSE)="NE","NE",IF(HLOOKUP(CE$15,Data_5!$F$10:$BG$42,$A19+2,FALSE)="C","C",IF(HLOOKUP(CE$15,Data_5!$F$10:$BG$42,$A19+2,FALSE)="NO","NO",HLOOKUP(CE$15,Data_5!$F$10:$BG$42,$A19+2,FALSE)/Data_5!$BI14))))))),"")</f>
        <v/>
      </c>
      <c r="CF19" s="1122" t="str">
        <f>IFERROR(IF(VLOOKUP($AL19,Data_5!$B$12:$E$42,4,FALSE)="BASIC","",(IF(HLOOKUP(CF$15,Data_5!$F$10:$BG$42,$A19+2,FALSE)="NO","NO",IF(HLOOKUP(CF$15,Data_5!$F$10:$BG$42,$A19+2,FALSE)="IE","IE",IF(HLOOKUP(CF$15,Data_5!$F$10:$BG$42,$A19+2,FALSE)="NE","NE",IF(HLOOKUP(CF$15,Data_5!$F$10:$BG$42,$A19+2,FALSE)="C","C",IF(HLOOKUP(CF$15,Data_5!$F$10:$BG$42,$A19+2,FALSE)="NO","NO",HLOOKUP(CF$15,Data_5!$F$10:$BG$42,$A19+2,FALSE)/Data_5!$BI14))))))),"")</f>
        <v/>
      </c>
      <c r="CG19" s="1122" t="str">
        <f>IFERROR(IF(VLOOKUP($AL19,Data_5!$B$12:$E$42,4,FALSE)="BASIC","",(IF(HLOOKUP(CG$15,Data_5!$F$10:$BG$42,$A19+2,FALSE)="NO","NO",IF(HLOOKUP(CG$15,Data_5!$F$10:$BG$42,$A19+2,FALSE)="IE","IE",IF(HLOOKUP(CG$15,Data_5!$F$10:$BG$42,$A19+2,FALSE)="NE","NE",IF(HLOOKUP(CG$15,Data_5!$F$10:$BG$42,$A19+2,FALSE)="C","C",IF(HLOOKUP(CG$15,Data_5!$F$10:$BG$42,$A19+2,FALSE)="NO","NO",HLOOKUP(CG$15,Data_5!$F$10:$BG$42,$A19+2,FALSE)/Data_5!$BI14))))))),"")</f>
        <v/>
      </c>
      <c r="CH19" s="1122" t="str">
        <f>IFERROR(IF(VLOOKUP($AL19,Data_5!$B$12:$E$42,4,FALSE)="BASIC","",(IF(HLOOKUP(CH$15,Data_5!$F$10:$BG$42,$A19+2,FALSE)="NO","NO",IF(HLOOKUP(CH$15,Data_5!$F$10:$BG$42,$A19+2,FALSE)="IE","IE",IF(HLOOKUP(CH$15,Data_5!$F$10:$BG$42,$A19+2,FALSE)="NE","NE",IF(HLOOKUP(CH$15,Data_5!$F$10:$BG$42,$A19+2,FALSE)="C","C",IF(HLOOKUP(CH$15,Data_5!$F$10:$BG$42,$A19+2,FALSE)="NO","NO",HLOOKUP(CH$15,Data_5!$F$10:$BG$42,$A19+2,FALSE)/Data_5!$BI14))))))),"")</f>
        <v/>
      </c>
      <c r="CI19" s="1122" t="str">
        <f>IFERROR(IF(VLOOKUP($AL19,Data_5!$B$12:$E$42,4,FALSE)="BASIC","",(IF(HLOOKUP(CI$15,Data_5!$F$10:$BG$42,$A19+2,FALSE)="NO","NO",IF(HLOOKUP(CI$15,Data_5!$F$10:$BG$42,$A19+2,FALSE)="IE","IE",IF(HLOOKUP(CI$15,Data_5!$F$10:$BG$42,$A19+2,FALSE)="NE","NE",IF(HLOOKUP(CI$15,Data_5!$F$10:$BG$42,$A19+2,FALSE)="C","C",IF(HLOOKUP(CI$15,Data_5!$F$10:$BG$42,$A19+2,FALSE)="NO","NO",HLOOKUP(CI$15,Data_5!$F$10:$BG$42,$A19+2,FALSE)/Data_5!$BI14))))))),"")</f>
        <v/>
      </c>
      <c r="CJ19" s="1122" t="str">
        <f>IFERROR(IF(VLOOKUP($AL19,Data_5!$B$12:$E$42,4,FALSE)="BASIC","",(IF(HLOOKUP(CJ$15,Data_5!$F$10:$BG$42,$A19+2,FALSE)="NO","NO",IF(HLOOKUP(CJ$15,Data_5!$F$10:$BG$42,$A19+2,FALSE)="IE","IE",IF(HLOOKUP(CJ$15,Data_5!$F$10:$BG$42,$A19+2,FALSE)="NE","NE",IF(HLOOKUP(CJ$15,Data_5!$F$10:$BG$42,$A19+2,FALSE)="C","C",IF(HLOOKUP(CJ$15,Data_5!$F$10:$BG$42,$A19+2,FALSE)="NO","NO",HLOOKUP(CJ$15,Data_5!$F$10:$BG$42,$A19+2,FALSE)/Data_5!$BI14))))))),"")</f>
        <v/>
      </c>
      <c r="CK19" s="15"/>
      <c r="CL19" s="2628" t="str">
        <f t="shared" ref="CL19:CL44" si="2">B19</f>
        <v>Athens</v>
      </c>
      <c r="CM19" s="2629"/>
      <c r="CN19" s="1100">
        <f t="shared" ref="CN19:CN44" si="3">D19</f>
        <v>2014</v>
      </c>
      <c r="CO19" s="1122">
        <f>IFERROR(IF(HLOOKUP(CO$15,Data_5!$F$10:$BG$42,$A19+2,FALSE)="NO","NO",IF(HLOOKUP(CO$15,Data_5!$F$10:$BG$42,$A19+2,FALSE)="IE","IE",IF(HLOOKUP(CO$15,Data_5!$F$10:$BG$42,$A19+2,FALSE)="NE","NE",IF(HLOOKUP(CO$15,Data_5!$F$10:$BG$42,$A19+2,FALSE)="C","C",IF(HLOOKUP(CO$15,Data_5!$F$10:$BG$42,$A19+2,FALSE)="NO","NO",HLOOKUP(CO$15,Data_5!$F$10:$BG$42,$A19+2,FALSE)/Data_5!$BK14))))),"")</f>
        <v>0.21509523411486556</v>
      </c>
      <c r="CP19" s="1122">
        <f>IFERROR(IF(HLOOKUP(CP$15,Data_5!$F$10:$BG$42,$A19+2,FALSE)="NO","NO",IF(HLOOKUP(CP$15,Data_5!$F$10:$BG$42,$A19+2,FALSE)="IE","IE",IF(HLOOKUP(CP$15,Data_5!$F$10:$BG$42,$A19+2,FALSE)="NE","NE",IF(HLOOKUP(CP$15,Data_5!$F$10:$BG$42,$A19+2,FALSE)="C","C",IF(HLOOKUP(CP$15,Data_5!$F$10:$BG$42,$A19+2,FALSE)="NO","NO",HLOOKUP(CP$15,Data_5!$F$10:$BG$42,$A19+2,FALSE)/Data_5!$BK14))))),"")</f>
        <v>5.5537524696884488E-4</v>
      </c>
      <c r="CQ19" s="1122">
        <f>IFERROR(IF(HLOOKUP(CQ$15,Data_5!$F$10:$BG$42,$A19+2,FALSE)="NO","NO",IF(HLOOKUP(CQ$15,Data_5!$F$10:$BG$42,$A19+2,FALSE)="IE","IE",IF(HLOOKUP(CQ$15,Data_5!$F$10:$BG$42,$A19+2,FALSE)="NE","NE",IF(HLOOKUP(CQ$15,Data_5!$F$10:$BG$42,$A19+2,FALSE)="C","C",IF(HLOOKUP(CQ$15,Data_5!$F$10:$BG$42,$A19+2,FALSE)="NO","NO",HLOOKUP(CQ$15,Data_5!$F$10:$BG$42,$A19+2,FALSE)/Data_5!$BK14))))),"")</f>
        <v>1.4988521675279403E-2</v>
      </c>
      <c r="CR19" s="1122" t="str">
        <f>IFERROR(IF(HLOOKUP(CR$15,Data_5!$F$10:$BG$42,$A19+2,FALSE)="NO","NO",IF(HLOOKUP(CR$15,Data_5!$F$10:$BG$42,$A19+2,FALSE)="IE","IE",IF(HLOOKUP(CR$15,Data_5!$F$10:$BG$42,$A19+2,FALSE)="NE","NE",IF(HLOOKUP(CR$15,Data_5!$F$10:$BG$42,$A19+2,FALSE)="C","C",IF(HLOOKUP(CR$15,Data_5!$F$10:$BG$42,$A19+2,FALSE)="NO","NO",HLOOKUP(CR$15,Data_5!$F$10:$BG$42,$A19+2,FALSE)/Data_5!$BK14))))),"")</f>
        <v>NO</v>
      </c>
      <c r="CS19" s="1122" t="str">
        <f>IFERROR(IF(HLOOKUP(CS$15,Data_5!$F$10:$BG$42,$A19+2,FALSE)="NO","NO",IF(HLOOKUP(CS$15,Data_5!$F$10:$BG$42,$A19+2,FALSE)="IE","IE",IF(HLOOKUP(CS$15,Data_5!$F$10:$BG$42,$A19+2,FALSE)="NE","NE",IF(HLOOKUP(CS$15,Data_5!$F$10:$BG$42,$A19+2,FALSE)="C","C",IF(HLOOKUP(CS$15,Data_5!$F$10:$BG$42,$A19+2,FALSE)="NO","NO",HLOOKUP(CS$15,Data_5!$F$10:$BG$42,$A19+2,FALSE)/Data_5!$BK14))))),"")</f>
        <v>NO</v>
      </c>
      <c r="CT19" s="1122" t="str">
        <f>IFERROR(IF(HLOOKUP(CT$15,Data_5!$F$10:$BG$42,$A19+2,FALSE)="NO","NO",IF(HLOOKUP(CT$15,Data_5!$F$10:$BG$42,$A19+2,FALSE)="IE","IE",IF(HLOOKUP(CT$15,Data_5!$F$10:$BG$42,$A19+2,FALSE)="NE","NE",IF(HLOOKUP(CT$15,Data_5!$F$10:$BG$42,$A19+2,FALSE)="C","C",IF(HLOOKUP(CT$15,Data_5!$F$10:$BG$42,$A19+2,FALSE)="NO","NO",HLOOKUP(CT$15,Data_5!$F$10:$BG$42,$A19+2,FALSE)/Data_5!$BK14))))),"")</f>
        <v>NO</v>
      </c>
      <c r="CU19" s="1122" t="str">
        <f>IFERROR(IF(HLOOKUP(CU$15,Data_5!$F$10:$BG$42,$A19+2,FALSE)="NO","NO",IF(HLOOKUP(CU$15,Data_5!$F$10:$BG$42,$A19+2,FALSE)="IE","IE",IF(HLOOKUP(CU$15,Data_5!$F$10:$BG$42,$A19+2,FALSE)="NE","NE",IF(HLOOKUP(CU$15,Data_5!$F$10:$BG$42,$A19+2,FALSE)="C","C",IF(HLOOKUP(CU$15,Data_5!$F$10:$BG$42,$A19+2,FALSE)="NO","NO",HLOOKUP(CU$15,Data_5!$F$10:$BG$42,$A19+2,FALSE)/Data_5!$BK14))))),"")</f>
        <v>NO</v>
      </c>
      <c r="CV19" s="1122" t="str">
        <f>IFERROR(IF(HLOOKUP(CV$15,Data_5!$F$10:$BG$42,$A19+2,FALSE)="NO","NO",IF(HLOOKUP(CV$15,Data_5!$F$10:$BG$42,$A19+2,FALSE)="IE","IE",IF(HLOOKUP(CV$15,Data_5!$F$10:$BG$42,$A19+2,FALSE)="NE","NE",IF(HLOOKUP(CV$15,Data_5!$F$10:$BG$42,$A19+2,FALSE)="C","C",IF(HLOOKUP(CV$15,Data_5!$F$10:$BG$42,$A19+2,FALSE)="NO","NO",HLOOKUP(CV$15,Data_5!$F$10:$BG$42,$A19+2,FALSE)/Data_5!$BK14))))),"")</f>
        <v>NO</v>
      </c>
      <c r="CW19" s="1122">
        <f>IFERROR(IF(HLOOKUP(CW$15,Data_5!$F$10:$BG$42,$A19+2,FALSE)="NO","NO",IF(HLOOKUP(CW$15,Data_5!$F$10:$BG$42,$A19+2,FALSE)="IE","IE",IF(HLOOKUP(CW$15,Data_5!$F$10:$BG$42,$A19+2,FALSE)="NE","NE",IF(HLOOKUP(CW$15,Data_5!$F$10:$BG$42,$A19+2,FALSE)="C","C",IF(HLOOKUP(CW$15,Data_5!$F$10:$BG$42,$A19+2,FALSE)="NO","NO",HLOOKUP(CW$15,Data_5!$F$10:$BG$42,$A19+2,FALSE)/Data_5!$BK14))))),"")</f>
        <v>2.8457765285739824E-4</v>
      </c>
      <c r="CX19" s="1122">
        <f>IFERROR(IF(HLOOKUP(CX$15,Data_5!$F$10:$BG$42,$A19+2,FALSE)="NO","NO",IF(HLOOKUP(CX$15,Data_5!$F$10:$BG$42,$A19+2,FALSE)="IE","IE",IF(HLOOKUP(CX$15,Data_5!$F$10:$BG$42,$A19+2,FALSE)="NE","NE",IF(HLOOKUP(CX$15,Data_5!$F$10:$BG$42,$A19+2,FALSE)="C","C",IF(HLOOKUP(CX$15,Data_5!$F$10:$BG$42,$A19+2,FALSE)="NO","NO",HLOOKUP(CX$15,Data_5!$F$10:$BG$42,$A19+2,FALSE)/Data_5!$BK14))))),"")</f>
        <v>0.76907629131002886</v>
      </c>
      <c r="CY19" s="1122" t="str">
        <f>IFERROR(IF(HLOOKUP(CY$15,Data_5!$F$10:$BG$42,$A19+2,FALSE)="NO","NO",IF(HLOOKUP(CY$15,Data_5!$F$10:$BG$42,$A19+2,FALSE)="IE","IE",IF(HLOOKUP(CY$15,Data_5!$F$10:$BG$42,$A19+2,FALSE)="NE","NE",IF(HLOOKUP(CY$15,Data_5!$F$10:$BG$42,$A19+2,FALSE)="C","C",IF(HLOOKUP(CY$15,Data_5!$F$10:$BG$42,$A19+2,FALSE)="NO","NO",HLOOKUP(CY$15,Data_5!$F$10:$BG$42,$A19+2,FALSE)/Data_5!$BK14))))),"")</f>
        <v>NO</v>
      </c>
      <c r="CZ19" s="1122" t="str">
        <f>IFERROR(IF(HLOOKUP(CZ$15,Data_5!$F$10:$BG$42,$A19+2,FALSE)="NO","NO",IF(HLOOKUP(CZ$15,Data_5!$F$10:$BG$42,$A19+2,FALSE)="IE","IE",IF(HLOOKUP(CZ$15,Data_5!$F$10:$BG$42,$A19+2,FALSE)="NE","NE",IF(HLOOKUP(CZ$15,Data_5!$F$10:$BG$42,$A19+2,FALSE)="C","C",IF(HLOOKUP(CZ$15,Data_5!$F$10:$BG$42,$A19+2,FALSE)="NO","NO",HLOOKUP(CZ$15,Data_5!$F$10:$BG$42,$A19+2,FALSE)/Data_5!$BK14))))),"")</f>
        <v>NO</v>
      </c>
      <c r="DA19" s="1122" t="str">
        <f>IFERROR(IF(HLOOKUP(DA$15,Data_5!$F$10:$BG$42,$A19+2,FALSE)="NO","NO",IF(HLOOKUP(DA$15,Data_5!$F$10:$BG$42,$A19+2,FALSE)="IE","IE",IF(HLOOKUP(DA$15,Data_5!$F$10:$BG$42,$A19+2,FALSE)="NE","NE",IF(HLOOKUP(DA$15,Data_5!$F$10:$BG$42,$A19+2,FALSE)="C","C",IF(HLOOKUP(DA$15,Data_5!$F$10:$BG$42,$A19+2,FALSE)="NO","NO",HLOOKUP(DA$15,Data_5!$F$10:$BG$42,$A19+2,FALSE)/Data_5!$BK14))))),"")</f>
        <v>NO</v>
      </c>
      <c r="DB19" s="1122" t="str">
        <f>IFERROR(IF(HLOOKUP(DB$15,Data_5!$F$10:$BG$42,$A19+2,FALSE)="NO","NO",IF(HLOOKUP(DB$15,Data_5!$F$10:$BG$42,$A19+2,FALSE)="IE","IE",IF(HLOOKUP(DB$15,Data_5!$F$10:$BG$42,$A19+2,FALSE)="NE","NE",IF(HLOOKUP(DB$15,Data_5!$F$10:$BG$42,$A19+2,FALSE)="C","C",IF(HLOOKUP(DB$15,Data_5!$F$10:$BG$42,$A19+2,FALSE)="NO","NO",HLOOKUP(DB$15,Data_5!$F$10:$BG$42,$A19+2,FALSE)/Data_5!$BK14))))),"")</f>
        <v>NO</v>
      </c>
      <c r="DC19" s="1122" t="str">
        <f>IFERROR(IF(HLOOKUP(DC$15,Data_5!$F$10:$BG$42,$A19+2,FALSE)="NO","NO",IF(HLOOKUP(DC$15,Data_5!$F$10:$BG$42,$A19+2,FALSE)="IE","IE",IF(HLOOKUP(DC$15,Data_5!$F$10:$BG$42,$A19+2,FALSE)="NE","NE",IF(HLOOKUP(DC$15,Data_5!$F$10:$BG$42,$A19+2,FALSE)="C","C",IF(HLOOKUP(DC$15,Data_5!$F$10:$BG$42,$A19+2,FALSE)="NO","NO",HLOOKUP(DC$15,Data_5!$F$10:$BG$42,$A19+2,FALSE)/Data_5!$BK14))))),"")</f>
        <v>NO</v>
      </c>
      <c r="DD19" s="1122" t="str">
        <f>IFERROR(IF(HLOOKUP(DD$15,Data_5!$F$10:$BG$42,$A19+2,FALSE)="NO","NO",IF(HLOOKUP(DD$15,Data_5!$F$10:$BG$42,$A19+2,FALSE)="IE","IE",IF(HLOOKUP(DD$15,Data_5!$F$10:$BG$42,$A19+2,FALSE)="NE","NE",IF(HLOOKUP(DD$15,Data_5!$F$10:$BG$42,$A19+2,FALSE)="C","C",IF(HLOOKUP(DD$15,Data_5!$F$10:$BG$42,$A19+2,FALSE)="NO","NO",HLOOKUP(DD$15,Data_5!$F$10:$BG$42,$A19+2,FALSE)/Data_5!$BK14))))),"")</f>
        <v>NO</v>
      </c>
      <c r="DE19" s="1122" t="str">
        <f>IFERROR(IF(HLOOKUP(DE$15,Data_5!$F$10:$BG$42,$A19+2,FALSE)="NO","NO",IF(HLOOKUP(DE$15,Data_5!$F$10:$BG$42,$A19+2,FALSE)="IE","IE",IF(HLOOKUP(DE$15,Data_5!$F$10:$BG$42,$A19+2,FALSE)="NE","NE",IF(HLOOKUP(DE$15,Data_5!$F$10:$BG$42,$A19+2,FALSE)="C","C",IF(HLOOKUP(DE$15,Data_5!$F$10:$BG$42,$A19+2,FALSE)="NO","NO",HLOOKUP(DE$15,Data_5!$F$10:$BG$42,$A19+2,FALSE)/Data_5!$BK14))))),"")</f>
        <v>NO</v>
      </c>
      <c r="DF19" s="1122" t="str">
        <f>IFERROR(IF(HLOOKUP(DF$15,Data_5!$F$10:$BG$42,$A19+2,FALSE)="NO","NO",IF(HLOOKUP(DF$15,Data_5!$F$10:$BG$42,$A19+2,FALSE)="IE","IE",IF(HLOOKUP(DF$15,Data_5!$F$10:$BG$42,$A19+2,FALSE)="NE","NE",IF(HLOOKUP(DF$15,Data_5!$F$10:$BG$42,$A19+2,FALSE)="C","C",IF(HLOOKUP(DF$15,Data_5!$F$10:$BG$42,$A19+2,FALSE)="NO","NO",HLOOKUP(DF$15,Data_5!$F$10:$BG$42,$A19+2,FALSE)/Data_5!$BK14))))),"")</f>
        <v>NO</v>
      </c>
      <c r="DG19" s="1122" t="str">
        <f>IFERROR(IF(HLOOKUP(DG$15,Data_5!$F$10:$BG$42,$A19+2,FALSE)="NO","NO",IF(HLOOKUP(DG$15,Data_5!$F$10:$BG$42,$A19+2,FALSE)="IE","IE",IF(HLOOKUP(DG$15,Data_5!$F$10:$BG$42,$A19+2,FALSE)="NE","NE",IF(HLOOKUP(DG$15,Data_5!$F$10:$BG$42,$A19+2,FALSE)="C","C",IF(HLOOKUP(DG$15,Data_5!$F$10:$BG$42,$A19+2,FALSE)="NO","NO",HLOOKUP(DG$15,Data_5!$F$10:$BG$42,$A19+2,FALSE)/Data_5!$BK14))))),"")</f>
        <v>NO</v>
      </c>
      <c r="DH19" s="1122" t="str">
        <f>IFERROR(IF(HLOOKUP(DH$15,Data_5!$F$10:$BG$42,$A19+2,FALSE)="NO","NO",IF(HLOOKUP(DH$15,Data_5!$F$10:$BG$42,$A19+2,FALSE)="IE","IE",IF(HLOOKUP(DH$15,Data_5!$F$10:$BG$42,$A19+2,FALSE)="NE","NE",IF(HLOOKUP(DH$15,Data_5!$F$10:$BG$42,$A19+2,FALSE)="C","C",IF(HLOOKUP(DH$15,Data_5!$F$10:$BG$42,$A19+2,FALSE)="NO","NO",HLOOKUP(DH$15,Data_5!$F$10:$BG$42,$A19+2,FALSE)/Data_5!$BK14))))),"")</f>
        <v>NO</v>
      </c>
      <c r="DI19" s="1122" t="str">
        <f>IFERROR(IF(HLOOKUP(DI$15,Data_5!$F$10:$BG$42,$A19+2,FALSE)="NO","NO",IF(HLOOKUP(DI$15,Data_5!$F$10:$BG$42,$A19+2,FALSE)="IE","IE",IF(HLOOKUP(DI$15,Data_5!$F$10:$BG$42,$A19+2,FALSE)="NE","NE",IF(HLOOKUP(DI$15,Data_5!$F$10:$BG$42,$A19+2,FALSE)="C","C",IF(HLOOKUP(DI$15,Data_5!$F$10:$BG$42,$A19+2,FALSE)="NO","NO",HLOOKUP(DI$15,Data_5!$F$10:$BG$42,$A19+2,FALSE)/Data_5!$BK14))))),"")</f>
        <v>NO</v>
      </c>
      <c r="DJ19" s="1122" t="str">
        <f>IFERROR(IF(HLOOKUP(DJ$15,Data_5!$F$10:$BG$42,$A19+2,FALSE)="NO","NO",IF(HLOOKUP(DJ$15,Data_5!$F$10:$BG$42,$A19+2,FALSE)="IE","IE",IF(HLOOKUP(DJ$15,Data_5!$F$10:$BG$42,$A19+2,FALSE)="NE","NE",IF(HLOOKUP(DJ$15,Data_5!$F$10:$BG$42,$A19+2,FALSE)="C","C",IF(HLOOKUP(DJ$15,Data_5!$F$10:$BG$42,$A19+2,FALSE)="NO","NO",HLOOKUP(DJ$15,Data_5!$F$10:$BG$42,$A19+2,FALSE)/Data_5!$BK14))))),"")</f>
        <v>NO</v>
      </c>
      <c r="DK19" s="1122" t="str">
        <f>IFERROR(IF(HLOOKUP(DK$15,Data_5!$F$10:$BG$42,$A19+2,FALSE)="NO","NO",IF(HLOOKUP(DK$15,Data_5!$F$10:$BG$42,$A19+2,FALSE)="IE","IE",IF(HLOOKUP(DK$15,Data_5!$F$10:$BG$42,$A19+2,FALSE)="NE","NE",IF(HLOOKUP(DK$15,Data_5!$F$10:$BG$42,$A19+2,FALSE)="C","C",IF(HLOOKUP(DK$15,Data_5!$F$10:$BG$42,$A19+2,FALSE)="NO","NO",HLOOKUP(DK$15,Data_5!$F$10:$BG$42,$A19+2,FALSE)/Data_5!$BK14))))),"")</f>
        <v>NE</v>
      </c>
      <c r="DL19" s="1122" t="str">
        <f>IFERROR(IF(HLOOKUP(DL$15,Data_5!$F$10:$BG$42,$A19+2,FALSE)="NO","NO",IF(HLOOKUP(DL$15,Data_5!$F$10:$BG$42,$A19+2,FALSE)="IE","IE",IF(HLOOKUP(DL$15,Data_5!$F$10:$BG$42,$A19+2,FALSE)="NE","NE",IF(HLOOKUP(DL$15,Data_5!$F$10:$BG$42,$A19+2,FALSE)="C","C",IF(HLOOKUP(DL$15,Data_5!$F$10:$BG$42,$A19+2,FALSE)="NO","NO",HLOOKUP(DL$15,Data_5!$F$10:$BG$42,$A19+2,FALSE)/Data_5!$BK14))))),"")</f>
        <v>NE</v>
      </c>
      <c r="DM19" s="1122" t="str">
        <f>IFERROR(IF(HLOOKUP(DM$15,Data_5!$F$10:$BG$42,$A19+2,FALSE)="NO","NO",IF(HLOOKUP(DM$15,Data_5!$F$10:$BG$42,$A19+2,FALSE)="IE","IE",IF(HLOOKUP(DM$15,Data_5!$F$10:$BG$42,$A19+2,FALSE)="NE","NE",IF(HLOOKUP(DM$15,Data_5!$F$10:$BG$42,$A19+2,FALSE)="C","C",IF(HLOOKUP(DM$15,Data_5!$F$10:$BG$42,$A19+2,FALSE)="NO","NO",HLOOKUP(DM$15,Data_5!$F$10:$BG$42,$A19+2,FALSE)/Data_5!$BK14))))),"")</f>
        <v>NO</v>
      </c>
      <c r="DN19" s="1122" t="str">
        <f>IFERROR(IF(HLOOKUP(DN$15,Data_5!$F$10:$BG$42,$A19+2,FALSE)="NO","NO",IF(HLOOKUP(DN$15,Data_5!$F$10:$BG$42,$A19+2,FALSE)="IE","IE",IF(HLOOKUP(DN$15,Data_5!$F$10:$BG$42,$A19+2,FALSE)="NE","NE",IF(HLOOKUP(DN$15,Data_5!$F$10:$BG$42,$A19+2,FALSE)="C","C",IF(HLOOKUP(DN$15,Data_5!$F$10:$BG$42,$A19+2,FALSE)="NO","NO",HLOOKUP(DN$15,Data_5!$F$10:$BG$42,$A19+2,FALSE)/Data_5!$BK14))))),"")</f>
        <v>NO</v>
      </c>
      <c r="DO19" s="1122" t="str">
        <f>IFERROR(IF(HLOOKUP(DO$15,Data_5!$F$10:$BG$42,$A19+2,FALSE)="NO","NO",IF(HLOOKUP(DO$15,Data_5!$F$10:$BG$42,$A19+2,FALSE)="IE","IE",IF(HLOOKUP(DO$15,Data_5!$F$10:$BG$42,$A19+2,FALSE)="NE","NE",IF(HLOOKUP(DO$15,Data_5!$F$10:$BG$42,$A19+2,FALSE)="C","C",IF(HLOOKUP(DO$15,Data_5!$F$10:$BG$42,$A19+2,FALSE)="NO","NO",HLOOKUP(DO$15,Data_5!$F$10:$BG$42,$A19+2,FALSE)/Data_5!$BK14))))),"")</f>
        <v>NO</v>
      </c>
    </row>
    <row r="20" spans="1:119" s="15" customFormat="1" ht="15" customHeight="1">
      <c r="A20" s="1789">
        <v>4</v>
      </c>
      <c r="B20" s="2628" t="str">
        <f>IF(Data_5!B15&lt;&gt;"",Data_5!B15,"")</f>
        <v>Bogota</v>
      </c>
      <c r="C20" s="2629"/>
      <c r="D20" s="1462">
        <f>IFERROR(VLOOKUP($B20,Data_5!$B$12:$C$42,2,FALSE),"")</f>
        <v>2012</v>
      </c>
      <c r="E20" s="1122">
        <f>IFERROR(IF(HLOOKUP(E$15,Data_5!$F$10:$BG$42,$A20+2,FALSE)="NO","NO",IF(HLOOKUP(E$15,Data_5!$F$10:$BG$42,$A20+2,FALSE)="IE","IE",IF(HLOOKUP(E$15,Data_5!$F$10:$BG$42,$A20+2,FALSE)="NE","NE",IF(HLOOKUP(E$15,Data_5!$F$10:$BG$42,$A20+2,FALSE)="C","C",IF(HLOOKUP(E$15,Data_5!$F$10:$BG$42,$A20+2,FALSE)="NO","NO",HLOOKUP(E$15,Data_5!$F$10:$BG$42,$A20+2,FALSE)/Data_5!$BH15))))),"")</f>
        <v>6.1657722887596654E-2</v>
      </c>
      <c r="F20" s="1122">
        <f>IFERROR(IF(HLOOKUP(F$15,Data_5!$F$10:$BG$42,$A20+2,FALSE)="NO","NO",IF(HLOOKUP(F$15,Data_5!$F$10:$BG$42,$A20+2,FALSE)="IE","IE",IF(HLOOKUP(F$15,Data_5!$F$10:$BG$42,$A20+2,FALSE)="NE","NE",IF(HLOOKUP(F$15,Data_5!$F$10:$BG$42,$A20+2,FALSE)="C","C",IF(HLOOKUP(F$15,Data_5!$F$10:$BG$42,$A20+2,FALSE)="NO","NO",HLOOKUP(F$15,Data_5!$F$10:$BG$42,$A20+2,FALSE)/Data_5!$BH15))))),"")</f>
        <v>0.1124049892329728</v>
      </c>
      <c r="G20" s="1122">
        <f>IFERROR(IF(HLOOKUP(G$15,Data_5!$F$10:$BG$42,$A20+2,FALSE)="NO","NO",IF(HLOOKUP(G$15,Data_5!$F$10:$BG$42,$A20+2,FALSE)="IE","IE",IF(HLOOKUP(G$15,Data_5!$F$10:$BG$42,$A20+2,FALSE)="NE","NE",IF(HLOOKUP(G$15,Data_5!$F$10:$BG$42,$A20+2,FALSE)="C","C",IF(HLOOKUP(G$15,Data_5!$F$10:$BG$42,$A20+2,FALSE)="NO","NO",HLOOKUP(G$15,Data_5!$F$10:$BG$42,$A20+2,FALSE)/Data_5!$BH15))))),"")</f>
        <v>0.14313775514917473</v>
      </c>
      <c r="H20" s="1122">
        <f>IFERROR(IF(HLOOKUP(H$15,Data_5!$F$10:$BG$42,$A20+2,FALSE)="NO","NO",IF(HLOOKUP(H$15,Data_5!$F$10:$BG$42,$A20+2,FALSE)="IE","IE",IF(HLOOKUP(H$15,Data_5!$F$10:$BG$42,$A20+2,FALSE)="NE","NE",IF(HLOOKUP(H$15,Data_5!$F$10:$BG$42,$A20+2,FALSE)="C","C",IF(HLOOKUP(H$15,Data_5!$F$10:$BG$42,$A20+2,FALSE)="NO","NO",HLOOKUP(H$15,Data_5!$F$10:$BG$42,$A20+2,FALSE)/Data_5!$BH15))))),"")</f>
        <v>6.3095816407224656E-2</v>
      </c>
      <c r="I20" s="1122">
        <f>IFERROR(IF(HLOOKUP(I$15,Data_5!$F$10:$BG$42,$A20+2,FALSE)="NO","NO",IF(HLOOKUP(I$15,Data_5!$F$10:$BG$42,$A20+2,FALSE)="IE","IE",IF(HLOOKUP(I$15,Data_5!$F$10:$BG$42,$A20+2,FALSE)="NE","NE",IF(HLOOKUP(I$15,Data_5!$F$10:$BG$42,$A20+2,FALSE)="C","C",IF(HLOOKUP(I$15,Data_5!$F$10:$BG$42,$A20+2,FALSE)="NO","NO",HLOOKUP(I$15,Data_5!$F$10:$BG$42,$A20+2,FALSE)/Data_5!$BH15))))),"")</f>
        <v>0.13478997489089153</v>
      </c>
      <c r="J20" s="1122">
        <f>IFERROR(IF(HLOOKUP(J$15,Data_5!$F$10:$BG$42,$A20+2,FALSE)="NO","NO",IF(HLOOKUP(J$15,Data_5!$F$10:$BG$42,$A20+2,FALSE)="IE","IE",IF(HLOOKUP(J$15,Data_5!$F$10:$BG$42,$A20+2,FALSE)="NE","NE",IF(HLOOKUP(J$15,Data_5!$F$10:$BG$42,$A20+2,FALSE)="C","C",IF(HLOOKUP(J$15,Data_5!$F$10:$BG$42,$A20+2,FALSE)="NO","NO",HLOOKUP(J$15,Data_5!$F$10:$BG$42,$A20+2,FALSE)/Data_5!$BH15))))),"")</f>
        <v>1.8010043971334523E-2</v>
      </c>
      <c r="K20" s="1122" t="str">
        <f>IFERROR(IF(HLOOKUP(K$15,Data_5!$F$10:$BG$42,$A20+2,FALSE)="NO","NO",IF(HLOOKUP(K$15,Data_5!$F$10:$BG$42,$A20+2,FALSE)="IE","IE",IF(HLOOKUP(K$15,Data_5!$F$10:$BG$42,$A20+2,FALSE)="NE","NE",IF(HLOOKUP(K$15,Data_5!$F$10:$BG$42,$A20+2,FALSE)="C","C",IF(HLOOKUP(K$15,Data_5!$F$10:$BG$42,$A20+2,FALSE)="NO","NO",HLOOKUP(K$15,Data_5!$F$10:$BG$42,$A20+2,FALSE)/Data_5!$BH15))))),"")</f>
        <v>NO</v>
      </c>
      <c r="L20" s="1122" t="str">
        <f>IFERROR(IF(HLOOKUP(L$15,Data_5!$F$10:$BG$42,$A20+2,FALSE)="NO","NO",IF(HLOOKUP(L$15,Data_5!$F$10:$BG$42,$A20+2,FALSE)="IE","IE",IF(HLOOKUP(L$15,Data_5!$F$10:$BG$42,$A20+2,FALSE)="NE","NE",IF(HLOOKUP(L$15,Data_5!$F$10:$BG$42,$A20+2,FALSE)="C","C",IF(HLOOKUP(L$15,Data_5!$F$10:$BG$42,$A20+2,FALSE)="NO","NO",HLOOKUP(L$15,Data_5!$F$10:$BG$42,$A20+2,FALSE)/Data_5!$BH15))))),"")</f>
        <v>NO</v>
      </c>
      <c r="M20" s="1122">
        <f>IFERROR(IF(HLOOKUP(M$15,Data_5!$F$10:$BG$42,$A20+2,FALSE)="NO","NO",IF(HLOOKUP(M$15,Data_5!$F$10:$BG$42,$A20+2,FALSE)="IE","IE",IF(HLOOKUP(M$15,Data_5!$F$10:$BG$42,$A20+2,FALSE)="NE","NE",IF(HLOOKUP(M$15,Data_5!$F$10:$BG$42,$A20+2,FALSE)="C","C",IF(HLOOKUP(M$15,Data_5!$F$10:$BG$42,$A20+2,FALSE)="NO","NO",HLOOKUP(M$15,Data_5!$F$10:$BG$42,$A20+2,FALSE)/Data_5!$BH15))))),"")</f>
        <v>4.0075872465317117E-3</v>
      </c>
      <c r="N20" s="1122" t="str">
        <f>IFERROR(IF(HLOOKUP(N$15,Data_5!$F$10:$BG$42,$A20+2,FALSE)="NO","NO",IF(HLOOKUP(N$15,Data_5!$F$10:$BG$42,$A20+2,FALSE)="IE","IE",IF(HLOOKUP(N$15,Data_5!$F$10:$BG$42,$A20+2,FALSE)="NE","NE",IF(HLOOKUP(N$15,Data_5!$F$10:$BG$42,$A20+2,FALSE)="C","C",IF(HLOOKUP(N$15,Data_5!$F$10:$BG$42,$A20+2,FALSE)="NO","NO",HLOOKUP(N$15,Data_5!$F$10:$BG$42,$A20+2,FALSE)/Data_5!$BH15))))),"")</f>
        <v>IE</v>
      </c>
      <c r="O20" s="1122">
        <f>IFERROR(IF(HLOOKUP(O$15,Data_5!$F$10:$BG$42,$A20+2,FALSE)="NO","NO",IF(HLOOKUP(O$15,Data_5!$F$10:$BG$42,$A20+2,FALSE)="IE","IE",IF(HLOOKUP(O$15,Data_5!$F$10:$BG$42,$A20+2,FALSE)="NE","NE",IF(HLOOKUP(O$15,Data_5!$F$10:$BG$42,$A20+2,FALSE)="C","C",IF(HLOOKUP(O$15,Data_5!$F$10:$BG$42,$A20+2,FALSE)="NO","NO",HLOOKUP(O$15,Data_5!$F$10:$BG$42,$A20+2,FALSE)/Data_5!$BH15))))),"")</f>
        <v>1.1078404640593804E-4</v>
      </c>
      <c r="P20" s="1122">
        <f>IFERROR(IF(HLOOKUP(P$15,Data_5!$F$10:$BG$42,$A20+2,FALSE)="NO","NO",IF(HLOOKUP(P$15,Data_5!$F$10:$BG$42,$A20+2,FALSE)="IE","IE",IF(HLOOKUP(P$15,Data_5!$F$10:$BG$42,$A20+2,FALSE)="NE","NE",IF(HLOOKUP(P$15,Data_5!$F$10:$BG$42,$A20+2,FALSE)="C","C",IF(HLOOKUP(P$15,Data_5!$F$10:$BG$42,$A20+2,FALSE)="NO","NO",HLOOKUP(P$15,Data_5!$F$10:$BG$42,$A20+2,FALSE)/Data_5!$BH15))))),"")</f>
        <v>6.4489591880232686E-3</v>
      </c>
      <c r="Q20" s="1122" t="str">
        <f>IFERROR(IF(HLOOKUP(Q$15,Data_5!$F$10:$BG$42,$A20+2,FALSE)="NO","NO",IF(HLOOKUP(Q$15,Data_5!$F$10:$BG$42,$A20+2,FALSE)="IE","IE",IF(HLOOKUP(Q$15,Data_5!$F$10:$BG$42,$A20+2,FALSE)="NE","NE",IF(HLOOKUP(Q$15,Data_5!$F$10:$BG$42,$A20+2,FALSE)="C","C",IF(HLOOKUP(Q$15,Data_5!$F$10:$BG$42,$A20+2,FALSE)="NO","NO",HLOOKUP(Q$15,Data_5!$F$10:$BG$42,$A20+2,FALSE)/Data_5!$BH15))))),"")</f>
        <v>NO</v>
      </c>
      <c r="R20" s="1122">
        <f>IFERROR(IF(HLOOKUP(R$15,Data_5!$F$10:$BG$42,$A20+2,FALSE)="NO","NO",IF(HLOOKUP(R$15,Data_5!$F$10:$BG$42,$A20+2,FALSE)="IE","IE",IF(HLOOKUP(R$15,Data_5!$F$10:$BG$42,$A20+2,FALSE)="NE","NE",IF(HLOOKUP(R$15,Data_5!$F$10:$BG$42,$A20+2,FALSE)="C","C",IF(HLOOKUP(R$15,Data_5!$F$10:$BG$42,$A20+2,FALSE)="NO","NO",HLOOKUP(R$15,Data_5!$F$10:$BG$42,$A20+2,FALSE)/Data_5!$BH15))))),"")</f>
        <v>3.0804222467187932E-3</v>
      </c>
      <c r="S20" s="1122">
        <f>IFERROR(IF(HLOOKUP(S$15,Data_5!$F$10:$BG$42,$A20+2,FALSE)="NO","NO",IF(HLOOKUP(S$15,Data_5!$F$10:$BG$42,$A20+2,FALSE)="IE","IE",IF(HLOOKUP(S$15,Data_5!$F$10:$BG$42,$A20+2,FALSE)="NE","NE",IF(HLOOKUP(S$15,Data_5!$F$10:$BG$42,$A20+2,FALSE)="C","C",IF(HLOOKUP(S$15,Data_5!$F$10:$BG$42,$A20+2,FALSE)="NO","NO",HLOOKUP(S$15,Data_5!$F$10:$BG$42,$A20+2,FALSE)/Data_5!$BH15))))),"")</f>
        <v>0.3780943534587437</v>
      </c>
      <c r="T20" s="1122" t="str">
        <f>IFERROR(IF(HLOOKUP(T$15,Data_5!$F$10:$BG$42,$A20+2,FALSE)="NO","NO",IF(HLOOKUP(T$15,Data_5!$F$10:$BG$42,$A20+2,FALSE)="IE","IE",IF(HLOOKUP(T$15,Data_5!$F$10:$BG$42,$A20+2,FALSE)="NE","NE",IF(HLOOKUP(T$15,Data_5!$F$10:$BG$42,$A20+2,FALSE)="C","C",IF(HLOOKUP(T$15,Data_5!$F$10:$BG$42,$A20+2,FALSE)="NO","NO",HLOOKUP(T$15,Data_5!$F$10:$BG$42,$A20+2,FALSE)/Data_5!$BH15))))),"")</f>
        <v>NO</v>
      </c>
      <c r="U20" s="1122">
        <f>IFERROR(IF(HLOOKUP(U$15,Data_5!$F$10:$BG$42,$A20+2,FALSE)="NO","NO",IF(HLOOKUP(U$15,Data_5!$F$10:$BG$42,$A20+2,FALSE)="IE","IE",IF(HLOOKUP(U$15,Data_5!$F$10:$BG$42,$A20+2,FALSE)="NE","NE",IF(HLOOKUP(U$15,Data_5!$F$10:$BG$42,$A20+2,FALSE)="C","C",IF(HLOOKUP(U$15,Data_5!$F$10:$BG$42,$A20+2,FALSE)="NO","NO",HLOOKUP(U$15,Data_5!$F$10:$BG$42,$A20+2,FALSE)/Data_5!$BH15))))),"")</f>
        <v>1.7185546712702181E-5</v>
      </c>
      <c r="V20" s="1122" t="str">
        <f>IFERROR(IF(HLOOKUP(V$15,Data_5!$F$10:$BG$42,$A20+2,FALSE)="NO","NO",IF(HLOOKUP(V$15,Data_5!$F$10:$BG$42,$A20+2,FALSE)="IE","IE",IF(HLOOKUP(V$15,Data_5!$F$10:$BG$42,$A20+2,FALSE)="NE","NE",IF(HLOOKUP(V$15,Data_5!$F$10:$BG$42,$A20+2,FALSE)="C","C",IF(HLOOKUP(V$15,Data_5!$F$10:$BG$42,$A20+2,FALSE)="NO","NO",HLOOKUP(V$15,Data_5!$F$10:$BG$42,$A20+2,FALSE)/Data_5!$BH15))))),"")</f>
        <v>NO</v>
      </c>
      <c r="W20" s="1122" t="str">
        <f>IFERROR(IF(HLOOKUP(W$15,Data_5!$F$10:$BG$42,$A20+2,FALSE)="NO","NO",IF(HLOOKUP(W$15,Data_5!$F$10:$BG$42,$A20+2,FALSE)="IE","IE",IF(HLOOKUP(W$15,Data_5!$F$10:$BG$42,$A20+2,FALSE)="NE","NE",IF(HLOOKUP(W$15,Data_5!$F$10:$BG$42,$A20+2,FALSE)="C","C",IF(HLOOKUP(W$15,Data_5!$F$10:$BG$42,$A20+2,FALSE)="NO","NO",HLOOKUP(W$15,Data_5!$F$10:$BG$42,$A20+2,FALSE)/Data_5!$BH15))))),"")</f>
        <v>NO</v>
      </c>
      <c r="X20" s="1122" t="str">
        <f>IFERROR(IF(HLOOKUP(X$15,Data_5!$F$10:$BG$42,$A20+2,FALSE)="NO","NO",IF(HLOOKUP(X$15,Data_5!$F$10:$BG$42,$A20+2,FALSE)="IE","IE",IF(HLOOKUP(X$15,Data_5!$F$10:$BG$42,$A20+2,FALSE)="NE","NE",IF(HLOOKUP(X$15,Data_5!$F$10:$BG$42,$A20+2,FALSE)="C","C",IF(HLOOKUP(X$15,Data_5!$F$10:$BG$42,$A20+2,FALSE)="NO","NO",HLOOKUP(X$15,Data_5!$F$10:$BG$42,$A20+2,FALSE)/Data_5!$BH15))))),"")</f>
        <v>NO</v>
      </c>
      <c r="Y20" s="1122" t="str">
        <f>IFERROR(IF(HLOOKUP(Y$15,Data_5!$F$10:$BG$42,$A20+2,FALSE)="NO","NO",IF(HLOOKUP(Y$15,Data_5!$F$10:$BG$42,$A20+2,FALSE)="IE","IE",IF(HLOOKUP(Y$15,Data_5!$F$10:$BG$42,$A20+2,FALSE)="NE","NE",IF(HLOOKUP(Y$15,Data_5!$F$10:$BG$42,$A20+2,FALSE)="C","C",IF(HLOOKUP(Y$15,Data_5!$F$10:$BG$42,$A20+2,FALSE)="NO","NO",HLOOKUP(Y$15,Data_5!$F$10:$BG$42,$A20+2,FALSE)/Data_5!$BH15))))),"")</f>
        <v>NO</v>
      </c>
      <c r="Z20" s="1122" t="str">
        <f>IFERROR(IF(HLOOKUP(Z$15,Data_5!$F$10:$BG$42,$A20+2,FALSE)="NO","NO",IF(HLOOKUP(Z$15,Data_5!$F$10:$BG$42,$A20+2,FALSE)="IE","IE",IF(HLOOKUP(Z$15,Data_5!$F$10:$BG$42,$A20+2,FALSE)="NE","NE",IF(HLOOKUP(Z$15,Data_5!$F$10:$BG$42,$A20+2,FALSE)="C","C",IF(HLOOKUP(Z$15,Data_5!$F$10:$BG$42,$A20+2,FALSE)="NO","NO",HLOOKUP(Z$15,Data_5!$F$10:$BG$42,$A20+2,FALSE)/Data_5!$BH15))))),"")</f>
        <v>NO</v>
      </c>
      <c r="AA20" s="1122" t="str">
        <f>IFERROR(IF(HLOOKUP(AA$15,Data_5!$F$10:$BG$42,$A20+2,FALSE)="NO","NO",IF(HLOOKUP(AA$15,Data_5!$F$10:$BG$42,$A20+2,FALSE)="IE","IE",IF(HLOOKUP(AA$15,Data_5!$F$10:$BG$42,$A20+2,FALSE)="NE","NE",IF(HLOOKUP(AA$15,Data_5!$F$10:$BG$42,$A20+2,FALSE)="C","C",IF(HLOOKUP(AA$15,Data_5!$F$10:$BG$42,$A20+2,FALSE)="NO","NO",HLOOKUP(AA$15,Data_5!$F$10:$BG$42,$A20+2,FALSE)/Data_5!$BH15))))),"")</f>
        <v>IE</v>
      </c>
      <c r="AB20" s="1122" t="str">
        <f>IFERROR(IF(HLOOKUP(AB$15,Data_5!$F$10:$BG$42,$A20+2,FALSE)="NO","NO",IF(HLOOKUP(AB$15,Data_5!$F$10:$BG$42,$A20+2,FALSE)="IE","IE",IF(HLOOKUP(AB$15,Data_5!$F$10:$BG$42,$A20+2,FALSE)="NE","NE",IF(HLOOKUP(AB$15,Data_5!$F$10:$BG$42,$A20+2,FALSE)="C","C",IF(HLOOKUP(AB$15,Data_5!$F$10:$BG$42,$A20+2,FALSE)="NO","NO",HLOOKUP(AB$15,Data_5!$F$10:$BG$42,$A20+2,FALSE)/Data_5!$BH15))))),"")</f>
        <v>NO</v>
      </c>
      <c r="AC20" s="1122">
        <f>IFERROR(IF(HLOOKUP(AC$15,Data_5!$F$10:$BG$42,$A20+2,FALSE)="NO","NO",IF(HLOOKUP(AC$15,Data_5!$F$10:$BG$42,$A20+2,FALSE)="IE","IE",IF(HLOOKUP(AC$15,Data_5!$F$10:$BG$42,$A20+2,FALSE)="NE","NE",IF(HLOOKUP(AC$15,Data_5!$F$10:$BG$42,$A20+2,FALSE)="C","C",IF(HLOOKUP(AC$15,Data_5!$F$10:$BG$42,$A20+2,FALSE)="NO","NO",HLOOKUP(AC$15,Data_5!$F$10:$BG$42,$A20+2,FALSE)/Data_5!$BH15))))),"")</f>
        <v>3.8659027397411742E-3</v>
      </c>
      <c r="AD20" s="1122" t="str">
        <f>IFERROR(IF(HLOOKUP(AD$15,Data_5!$F$10:$BG$42,$A20+2,FALSE)="NO","NO",IF(HLOOKUP(AD$15,Data_5!$F$10:$BG$42,$A20+2,FALSE)="IE","IE",IF(HLOOKUP(AD$15,Data_5!$F$10:$BG$42,$A20+2,FALSE)="NE","NE",IF(HLOOKUP(AD$15,Data_5!$F$10:$BG$42,$A20+2,FALSE)="C","C",IF(HLOOKUP(AD$15,Data_5!$F$10:$BG$42,$A20+2,FALSE)="NO","NO",HLOOKUP(AD$15,Data_5!$F$10:$BG$42,$A20+2,FALSE)/Data_5!$BH15))))),"")</f>
        <v>NO</v>
      </c>
      <c r="AE20" s="1122">
        <f>IFERROR(IF(HLOOKUP(AE$15,Data_5!$F$10:$BG$42,$A20+2,FALSE)="NO","NO",IF(HLOOKUP(AE$15,Data_5!$F$10:$BG$42,$A20+2,FALSE)="IE","IE",IF(HLOOKUP(AE$15,Data_5!$F$10:$BG$42,$A20+2,FALSE)="NE","NE",IF(HLOOKUP(AE$15,Data_5!$F$10:$BG$42,$A20+2,FALSE)="C","C",IF(HLOOKUP(AE$15,Data_5!$F$10:$BG$42,$A20+2,FALSE)="NO","NO",HLOOKUP(AE$15,Data_5!$F$10:$BG$42,$A20+2,FALSE)/Data_5!$BH15))))),"")</f>
        <v>8.8335661127572228E-7</v>
      </c>
      <c r="AF20" s="1122" t="str">
        <f>IFERROR(IF(HLOOKUP(AF$15,Data_5!$F$10:$BG$42,$A20+2,FALSE)="NO","NO",IF(HLOOKUP(AF$15,Data_5!$F$10:$BG$42,$A20+2,FALSE)="IE","IE",IF(HLOOKUP(AF$15,Data_5!$F$10:$BG$42,$A20+2,FALSE)="NE","NE",IF(HLOOKUP(AF$15,Data_5!$F$10:$BG$42,$A20+2,FALSE)="C","C",IF(HLOOKUP(AF$15,Data_5!$F$10:$BG$42,$A20+2,FALSE)="NO","NO",HLOOKUP(AF$15,Data_5!$F$10:$BG$42,$A20+2,FALSE)/Data_5!$BH15))))),"")</f>
        <v>NO</v>
      </c>
      <c r="AG20" s="1122">
        <f>IFERROR(IF(HLOOKUP(AG$15,Data_5!$F$10:$BG$42,$A20+2,FALSE)="NO","NO",IF(HLOOKUP(AG$15,Data_5!$F$10:$BG$42,$A20+2,FALSE)="IE","IE",IF(HLOOKUP(AG$15,Data_5!$F$10:$BG$42,$A20+2,FALSE)="NE","NE",IF(HLOOKUP(AG$15,Data_5!$F$10:$BG$42,$A20+2,FALSE)="C","C",IF(HLOOKUP(AG$15,Data_5!$F$10:$BG$42,$A20+2,FALSE)="NO","NO",HLOOKUP(AG$15,Data_5!$F$10:$BG$42,$A20+2,FALSE)/Data_5!$BH15))))),"")</f>
        <v>7.7324575441707725E-7</v>
      </c>
      <c r="AH20" s="1122">
        <f>IFERROR(IF(HLOOKUP(AH$15,Data_5!$F$10:$BG$42,$A20+2,FALSE)="NO","NO",IF(HLOOKUP(AH$15,Data_5!$F$10:$BG$42,$A20+2,FALSE)="IE","IE",IF(HLOOKUP(AH$15,Data_5!$F$10:$BG$42,$A20+2,FALSE)="NE","NE",IF(HLOOKUP(AH$15,Data_5!$F$10:$BG$42,$A20+2,FALSE)="C","C",IF(HLOOKUP(AH$15,Data_5!$F$10:$BG$42,$A20+2,FALSE)="NO","NO",HLOOKUP(AH$15,Data_5!$F$10:$BG$42,$A20+2,FALSE)/Data_5!$BH15))))),"")</f>
        <v>1.0303225411547019E-5</v>
      </c>
      <c r="AI20" s="1122">
        <f>IFERROR(IF(HLOOKUP(AI$15,Data_5!$F$10:$BG$42,$A20+2,FALSE)="NO","NO",IF(HLOOKUP(AI$15,Data_5!$F$10:$BG$42,$A20+2,FALSE)="IE","IE",IF(HLOOKUP(AI$15,Data_5!$F$10:$BG$42,$A20+2,FALSE)="NE","NE",IF(HLOOKUP(AI$15,Data_5!$F$10:$BG$42,$A20+2,FALSE)="C","C",IF(HLOOKUP(AI$15,Data_5!$F$10:$BG$42,$A20+2,FALSE)="NO","NO",HLOOKUP(AI$15,Data_5!$F$10:$BG$42,$A20+2,FALSE)/Data_5!$BH15))))),"")</f>
        <v>7.1266543160150561E-2</v>
      </c>
      <c r="AJ20" s="1122" t="str">
        <f>IFERROR(IF(HLOOKUP(AJ$15,Data_5!$F$10:$BG$42,$A20+2,FALSE)="NO","NO",IF(HLOOKUP(AJ$15,Data_5!$F$10:$BG$42,$A20+2,FALSE)="IE","IE",IF(HLOOKUP(AJ$15,Data_5!$F$10:$BG$42,$A20+2,FALSE)="NE","NE",IF(HLOOKUP(AJ$15,Data_5!$F$10:$BG$42,$A20+2,FALSE)="C","C",IF(HLOOKUP(AJ$15,Data_5!$F$10:$BG$42,$A20+2,FALSE)="NO","NO",HLOOKUP(AJ$15,Data_5!$F$10:$BG$42,$A20+2,FALSE)/Data_5!$BH15))))),"")</f>
        <v>NO</v>
      </c>
      <c r="AL20" s="2628" t="str">
        <f t="shared" si="0"/>
        <v>Bogota</v>
      </c>
      <c r="AM20" s="2629"/>
      <c r="AN20" s="1100">
        <f t="shared" si="1"/>
        <v>2012</v>
      </c>
      <c r="AO20" s="1122" t="str">
        <f>IFERROR(IF(VLOOKUP($AL20,Data_5!$B$12:$E$42,4,FALSE)="BASIC","",(IF(HLOOKUP(AO$15,Data_5!$F$10:$BG$42,$A20+2,FALSE)="NO","NO",IF(HLOOKUP(AO$15,Data_5!$F$10:$BG$42,$A20+2,FALSE)="IE","IE",IF(HLOOKUP(AO$15,Data_5!$F$10:$BG$42,$A20+2,FALSE)="NE","NE",IF(HLOOKUP(AO$15,Data_5!$F$10:$BG$42,$A20+2,FALSE)="C","C",IF(HLOOKUP(AO$15,Data_5!$F$10:$BG$42,$A20+2,FALSE)="NO","NO",HLOOKUP(AO$15,Data_5!$F$10:$BG$42,$A20+2,FALSE)/Data_5!$BI15))))))),"")</f>
        <v/>
      </c>
      <c r="AP20" s="1122" t="str">
        <f>IFERROR(IF(VLOOKUP($AL20,Data_5!$B$12:$E$42,4,FALSE)="BASIC","",(IF(HLOOKUP(AP$15,Data_5!$F$10:$BG$42,$A20+2,FALSE)="NO","NO",IF(HLOOKUP(AP$15,Data_5!$F$10:$BG$42,$A20+2,FALSE)="IE","IE",IF(HLOOKUP(AP$15,Data_5!$F$10:$BG$42,$A20+2,FALSE)="NE","NE",IF(HLOOKUP(AP$15,Data_5!$F$10:$BG$42,$A20+2,FALSE)="C","C",IF(HLOOKUP(AP$15,Data_5!$F$10:$BG$42,$A20+2,FALSE)="NO","NO",HLOOKUP(AP$15,Data_5!$F$10:$BG$42,$A20+2,FALSE)/Data_5!$BI15))))))),"")</f>
        <v/>
      </c>
      <c r="AQ20" s="1122" t="str">
        <f>IFERROR(IF(VLOOKUP($AL20,Data_5!$B$12:$E$42,4,FALSE)="BASIC","",(IF(HLOOKUP(AQ$15,Data_5!$F$10:$BG$42,$A20+2,FALSE)="NO","NO",IF(HLOOKUP(AQ$15,Data_5!$F$10:$BG$42,$A20+2,FALSE)="IE","IE",IF(HLOOKUP(AQ$15,Data_5!$F$10:$BG$42,$A20+2,FALSE)="NE","NE",IF(HLOOKUP(AQ$15,Data_5!$F$10:$BG$42,$A20+2,FALSE)="C","C",IF(HLOOKUP(AQ$15,Data_5!$F$10:$BG$42,$A20+2,FALSE)="NO","NO",HLOOKUP(AQ$15,Data_5!$F$10:$BG$42,$A20+2,FALSE)/Data_5!$BI15))))))),"")</f>
        <v/>
      </c>
      <c r="AR20" s="1122" t="str">
        <f>IFERROR(IF(VLOOKUP($AL20,Data_5!$B$12:$E$42,4,FALSE)="BASIC","",(IF(HLOOKUP(AR$15,Data_5!$F$10:$BG$42,$A20+2,FALSE)="NO","NO",IF(HLOOKUP(AR$15,Data_5!$F$10:$BG$42,$A20+2,FALSE)="IE","IE",IF(HLOOKUP(AR$15,Data_5!$F$10:$BG$42,$A20+2,FALSE)="NE","NE",IF(HLOOKUP(AR$15,Data_5!$F$10:$BG$42,$A20+2,FALSE)="C","C",IF(HLOOKUP(AR$15,Data_5!$F$10:$BG$42,$A20+2,FALSE)="NO","NO",HLOOKUP(AR$15,Data_5!$F$10:$BG$42,$A20+2,FALSE)/Data_5!$BI15))))))),"")</f>
        <v/>
      </c>
      <c r="AS20" s="1122" t="str">
        <f>IFERROR(IF(VLOOKUP($AL20,Data_5!$B$12:$E$42,4,FALSE)="BASIC","",(IF(HLOOKUP(AS$15,Data_5!$F$10:$BG$42,$A20+2,FALSE)="NO","NO",IF(HLOOKUP(AS$15,Data_5!$F$10:$BG$42,$A20+2,FALSE)="IE","IE",IF(HLOOKUP(AS$15,Data_5!$F$10:$BG$42,$A20+2,FALSE)="NE","NE",IF(HLOOKUP(AS$15,Data_5!$F$10:$BG$42,$A20+2,FALSE)="C","C",IF(HLOOKUP(AS$15,Data_5!$F$10:$BG$42,$A20+2,FALSE)="NO","NO",HLOOKUP(AS$15,Data_5!$F$10:$BG$42,$A20+2,FALSE)/Data_5!$BI15))))))),"")</f>
        <v/>
      </c>
      <c r="AT20" s="1122" t="str">
        <f>IFERROR(IF(VLOOKUP($AL20,Data_5!$B$12:$E$42,4,FALSE)="BASIC","",(IF(HLOOKUP(AT$15,Data_5!$F$10:$BG$42,$A20+2,FALSE)="NO","NO",IF(HLOOKUP(AT$15,Data_5!$F$10:$BG$42,$A20+2,FALSE)="IE","IE",IF(HLOOKUP(AT$15,Data_5!$F$10:$BG$42,$A20+2,FALSE)="NE","NE",IF(HLOOKUP(AT$15,Data_5!$F$10:$BG$42,$A20+2,FALSE)="C","C",IF(HLOOKUP(AT$15,Data_5!$F$10:$BG$42,$A20+2,FALSE)="NO","NO",HLOOKUP(AT$15,Data_5!$F$10:$BG$42,$A20+2,FALSE)/Data_5!$BI15))))))),"")</f>
        <v/>
      </c>
      <c r="AU20" s="1122" t="str">
        <f>IFERROR(IF(VLOOKUP($AL20,Data_5!$B$12:$E$42,4,FALSE)="BASIC","",(IF(HLOOKUP(AU$15,Data_5!$F$10:$BG$42,$A20+2,FALSE)="NO","NO",IF(HLOOKUP(AU$15,Data_5!$F$10:$BG$42,$A20+2,FALSE)="IE","IE",IF(HLOOKUP(AU$15,Data_5!$F$10:$BG$42,$A20+2,FALSE)="NE","NE",IF(HLOOKUP(AU$15,Data_5!$F$10:$BG$42,$A20+2,FALSE)="C","C",IF(HLOOKUP(AU$15,Data_5!$F$10:$BG$42,$A20+2,FALSE)="NO","NO",HLOOKUP(AU$15,Data_5!$F$10:$BG$42,$A20+2,FALSE)/Data_5!$BI15))))))),"")</f>
        <v/>
      </c>
      <c r="AV20" s="1122" t="str">
        <f>IFERROR(IF(VLOOKUP($AL20,Data_5!$B$12:$E$42,4,FALSE)="BASIC","",(IF(HLOOKUP(AV$15,Data_5!$F$10:$BG$42,$A20+2,FALSE)="NO","NO",IF(HLOOKUP(AV$15,Data_5!$F$10:$BG$42,$A20+2,FALSE)="IE","IE",IF(HLOOKUP(AV$15,Data_5!$F$10:$BG$42,$A20+2,FALSE)="NE","NE",IF(HLOOKUP(AV$15,Data_5!$F$10:$BG$42,$A20+2,FALSE)="C","C",IF(HLOOKUP(AV$15,Data_5!$F$10:$BG$42,$A20+2,FALSE)="NO","NO",HLOOKUP(AV$15,Data_5!$F$10:$BG$42,$A20+2,FALSE)/Data_5!$BI15))))))),"")</f>
        <v/>
      </c>
      <c r="AW20" s="1122" t="str">
        <f>IFERROR(IF(VLOOKUP($AL20,Data_5!$B$12:$E$42,4,FALSE)="BASIC","",(IF(HLOOKUP(AW$15,Data_5!$F$10:$BG$42,$A20+2,FALSE)="NO","NO",IF(HLOOKUP(AW$15,Data_5!$F$10:$BG$42,$A20+2,FALSE)="IE","IE",IF(HLOOKUP(AW$15,Data_5!$F$10:$BG$42,$A20+2,FALSE)="NE","NE",IF(HLOOKUP(AW$15,Data_5!$F$10:$BG$42,$A20+2,FALSE)="C","C",IF(HLOOKUP(AW$15,Data_5!$F$10:$BG$42,$A20+2,FALSE)="NO","NO",HLOOKUP(AW$15,Data_5!$F$10:$BG$42,$A20+2,FALSE)/Data_5!$BI15))))))),"")</f>
        <v/>
      </c>
      <c r="AX20" s="1122" t="str">
        <f>IFERROR(IF(VLOOKUP($AL20,Data_5!$B$12:$E$42,4,FALSE)="BASIC","",(IF(HLOOKUP(AX$15,Data_5!$F$10:$BG$42,$A20+2,FALSE)="NO","NO",IF(HLOOKUP(AX$15,Data_5!$F$10:$BG$42,$A20+2,FALSE)="IE","IE",IF(HLOOKUP(AX$15,Data_5!$F$10:$BG$42,$A20+2,FALSE)="NE","NE",IF(HLOOKUP(AX$15,Data_5!$F$10:$BG$42,$A20+2,FALSE)="C","C",IF(HLOOKUP(AX$15,Data_5!$F$10:$BG$42,$A20+2,FALSE)="NO","NO",HLOOKUP(AX$15,Data_5!$F$10:$BG$42,$A20+2,FALSE)/Data_5!$BI15))))))),"")</f>
        <v/>
      </c>
      <c r="AY20" s="1122" t="str">
        <f>IFERROR(IF(VLOOKUP($AL20,Data_5!$B$12:$E$42,4,FALSE)="BASIC","",(IF(HLOOKUP(AY$15,Data_5!$F$10:$BG$42,$A20+2,FALSE)="NO","NO",IF(HLOOKUP(AY$15,Data_5!$F$10:$BG$42,$A20+2,FALSE)="IE","IE",IF(HLOOKUP(AY$15,Data_5!$F$10:$BG$42,$A20+2,FALSE)="NE","NE",IF(HLOOKUP(AY$15,Data_5!$F$10:$BG$42,$A20+2,FALSE)="C","C",IF(HLOOKUP(AY$15,Data_5!$F$10:$BG$42,$A20+2,FALSE)="NO","NO",HLOOKUP(AY$15,Data_5!$F$10:$BG$42,$A20+2,FALSE)/Data_5!$BI15))))))),"")</f>
        <v/>
      </c>
      <c r="AZ20" s="1122" t="str">
        <f>IFERROR(IF(VLOOKUP($AL20,Data_5!$B$12:$E$42,4,FALSE)="BASIC","",(IF(HLOOKUP(AZ$15,Data_5!$F$10:$BG$42,$A20+2,FALSE)="NO","NO",IF(HLOOKUP(AZ$15,Data_5!$F$10:$BG$42,$A20+2,FALSE)="IE","IE",IF(HLOOKUP(AZ$15,Data_5!$F$10:$BG$42,$A20+2,FALSE)="NE","NE",IF(HLOOKUP(AZ$15,Data_5!$F$10:$BG$42,$A20+2,FALSE)="C","C",IF(HLOOKUP(AZ$15,Data_5!$F$10:$BG$42,$A20+2,FALSE)="NO","NO",HLOOKUP(AZ$15,Data_5!$F$10:$BG$42,$A20+2,FALSE)/Data_5!$BI15))))))),"")</f>
        <v/>
      </c>
      <c r="BA20" s="1122" t="str">
        <f>IFERROR(IF(VLOOKUP($AL20,Data_5!$B$12:$E$42,4,FALSE)="BASIC","",(IF(HLOOKUP(BA$15,Data_5!$F$10:$BG$42,$A20+2,FALSE)="NO","NO",IF(HLOOKUP(BA$15,Data_5!$F$10:$BG$42,$A20+2,FALSE)="IE","IE",IF(HLOOKUP(BA$15,Data_5!$F$10:$BG$42,$A20+2,FALSE)="NE","NE",IF(HLOOKUP(BA$15,Data_5!$F$10:$BG$42,$A20+2,FALSE)="C","C",IF(HLOOKUP(BA$15,Data_5!$F$10:$BG$42,$A20+2,FALSE)="NO","NO",HLOOKUP(BA$15,Data_5!$F$10:$BG$42,$A20+2,FALSE)/Data_5!$BI15))))))),"")</f>
        <v/>
      </c>
      <c r="BB20" s="1122" t="str">
        <f>IFERROR(IF(VLOOKUP($AL20,Data_5!$B$12:$E$42,4,FALSE)="BASIC","",(IF(HLOOKUP(BB$15,Data_5!$F$10:$BG$42,$A20+2,FALSE)="NO","NO",IF(HLOOKUP(BB$15,Data_5!$F$10:$BG$42,$A20+2,FALSE)="IE","IE",IF(HLOOKUP(BB$15,Data_5!$F$10:$BG$42,$A20+2,FALSE)="NE","NE",IF(HLOOKUP(BB$15,Data_5!$F$10:$BG$42,$A20+2,FALSE)="C","C",IF(HLOOKUP(BB$15,Data_5!$F$10:$BG$42,$A20+2,FALSE)="NO","NO",HLOOKUP(BB$15,Data_5!$F$10:$BG$42,$A20+2,FALSE)/Data_5!$BI15))))))),"")</f>
        <v/>
      </c>
      <c r="BC20" s="1122" t="str">
        <f>IFERROR(IF(VLOOKUP($AL20,Data_5!$B$12:$E$42,4,FALSE)="BASIC","",(IF(HLOOKUP(BC$15,Data_5!$F$10:$BG$42,$A20+2,FALSE)="NO","NO",IF(HLOOKUP(BC$15,Data_5!$F$10:$BG$42,$A20+2,FALSE)="IE","IE",IF(HLOOKUP(BC$15,Data_5!$F$10:$BG$42,$A20+2,FALSE)="NE","NE",IF(HLOOKUP(BC$15,Data_5!$F$10:$BG$42,$A20+2,FALSE)="C","C",IF(HLOOKUP(BC$15,Data_5!$F$10:$BG$42,$A20+2,FALSE)="NO","NO",HLOOKUP(BC$15,Data_5!$F$10:$BG$42,$A20+2,FALSE)/Data_5!$BI15))))))),"")</f>
        <v/>
      </c>
      <c r="BD20" s="1122" t="str">
        <f>IFERROR(IF(VLOOKUP($AL20,Data_5!$B$12:$E$42,4,FALSE)="BASIC","",(IF(HLOOKUP(BD$15,Data_5!$F$10:$BG$42,$A20+2,FALSE)="NO","NO",IF(HLOOKUP(BD$15,Data_5!$F$10:$BG$42,$A20+2,FALSE)="IE","IE",IF(HLOOKUP(BD$15,Data_5!$F$10:$BG$42,$A20+2,FALSE)="NE","NE",IF(HLOOKUP(BD$15,Data_5!$F$10:$BG$42,$A20+2,FALSE)="C","C",IF(HLOOKUP(BD$15,Data_5!$F$10:$BG$42,$A20+2,FALSE)="NO","NO",HLOOKUP(BD$15,Data_5!$F$10:$BG$42,$A20+2,FALSE)/Data_5!$BI15))))))),"")</f>
        <v/>
      </c>
      <c r="BE20" s="1122" t="str">
        <f>IFERROR(IF(VLOOKUP($AL20,Data_5!$B$12:$E$42,4,FALSE)="BASIC","",(IF(HLOOKUP(BE$15,Data_5!$F$10:$BG$42,$A20+2,FALSE)="NO","NO",IF(HLOOKUP(BE$15,Data_5!$F$10:$BG$42,$A20+2,FALSE)="IE","IE",IF(HLOOKUP(BE$15,Data_5!$F$10:$BG$42,$A20+2,FALSE)="NE","NE",IF(HLOOKUP(BE$15,Data_5!$F$10:$BG$42,$A20+2,FALSE)="C","C",IF(HLOOKUP(BE$15,Data_5!$F$10:$BG$42,$A20+2,FALSE)="NO","NO",HLOOKUP(BE$15,Data_5!$F$10:$BG$42,$A20+2,FALSE)/Data_5!$BI15))))))),"")</f>
        <v/>
      </c>
      <c r="BF20" s="1122" t="str">
        <f>IFERROR(IF(VLOOKUP($AL20,Data_5!$B$12:$E$42,4,FALSE)="BASIC","",(IF(HLOOKUP(BF$15,Data_5!$F$10:$BG$42,$A20+2,FALSE)="NO","NO",IF(HLOOKUP(BF$15,Data_5!$F$10:$BG$42,$A20+2,FALSE)="IE","IE",IF(HLOOKUP(BF$15,Data_5!$F$10:$BG$42,$A20+2,FALSE)="NE","NE",IF(HLOOKUP(BF$15,Data_5!$F$10:$BG$42,$A20+2,FALSE)="C","C",IF(HLOOKUP(BF$15,Data_5!$F$10:$BG$42,$A20+2,FALSE)="NO","NO",HLOOKUP(BF$15,Data_5!$F$10:$BG$42,$A20+2,FALSE)/Data_5!$BI15))))))),"")</f>
        <v/>
      </c>
      <c r="BG20" s="1122" t="str">
        <f>IFERROR(IF(VLOOKUP($AL20,Data_5!$B$12:$E$42,4,FALSE)="BASIC","",(IF(HLOOKUP(BG$15,Data_5!$F$10:$BG$42,$A20+2,FALSE)="NO","NO",IF(HLOOKUP(BG$15,Data_5!$F$10:$BG$42,$A20+2,FALSE)="IE","IE",IF(HLOOKUP(BG$15,Data_5!$F$10:$BG$42,$A20+2,FALSE)="NE","NE",IF(HLOOKUP(BG$15,Data_5!$F$10:$BG$42,$A20+2,FALSE)="C","C",IF(HLOOKUP(BG$15,Data_5!$F$10:$BG$42,$A20+2,FALSE)="NO","NO",HLOOKUP(BG$15,Data_5!$F$10:$BG$42,$A20+2,FALSE)/Data_5!$BI15))))))),"")</f>
        <v/>
      </c>
      <c r="BH20" s="1122" t="str">
        <f>IFERROR(IF(VLOOKUP($AL20,Data_5!$B$12:$E$42,4,FALSE)="BASIC","",(IF(HLOOKUP(BH$15,Data_5!$F$10:$BG$42,$A20+2,FALSE)="NO","NO",IF(HLOOKUP(BH$15,Data_5!$F$10:$BG$42,$A20+2,FALSE)="IE","IE",IF(HLOOKUP(BH$15,Data_5!$F$10:$BG$42,$A20+2,FALSE)="NE","NE",IF(HLOOKUP(BH$15,Data_5!$F$10:$BG$42,$A20+2,FALSE)="C","C",IF(HLOOKUP(BH$15,Data_5!$F$10:$BG$42,$A20+2,FALSE)="NO","NO",HLOOKUP(BH$15,Data_5!$F$10:$BG$42,$A20+2,FALSE)/Data_5!$BI15))))))),"")</f>
        <v/>
      </c>
      <c r="BI20" s="1122" t="str">
        <f>IFERROR(IF(VLOOKUP($AL20,Data_5!$B$12:$E$42,4,FALSE)="BASIC","",(IF(HLOOKUP(BI$15,Data_5!$F$10:$BG$42,$A20+2,FALSE)="NO","NO",IF(HLOOKUP(BI$15,Data_5!$F$10:$BG$42,$A20+2,FALSE)="IE","IE",IF(HLOOKUP(BI$15,Data_5!$F$10:$BG$42,$A20+2,FALSE)="NE","NE",IF(HLOOKUP(BI$15,Data_5!$F$10:$BG$42,$A20+2,FALSE)="C","C",IF(HLOOKUP(BI$15,Data_5!$F$10:$BG$42,$A20+2,FALSE)="NO","NO",HLOOKUP(BI$15,Data_5!$F$10:$BG$42,$A20+2,FALSE)/Data_5!$BI15))))))),"")</f>
        <v/>
      </c>
      <c r="BJ20" s="1122" t="str">
        <f>IFERROR(IF(VLOOKUP($AL20,Data_5!$B$12:$E$42,4,FALSE)="BASIC","",(IF(HLOOKUP(BJ$15,Data_5!$F$10:$BG$42,$A20+2,FALSE)="NO","NO",IF(HLOOKUP(BJ$15,Data_5!$F$10:$BG$42,$A20+2,FALSE)="IE","IE",IF(HLOOKUP(BJ$15,Data_5!$F$10:$BG$42,$A20+2,FALSE)="NE","NE",IF(HLOOKUP(BJ$15,Data_5!$F$10:$BG$42,$A20+2,FALSE)="C","C",IF(HLOOKUP(BJ$15,Data_5!$F$10:$BG$42,$A20+2,FALSE)="NO","NO",HLOOKUP(BJ$15,Data_5!$F$10:$BG$42,$A20+2,FALSE)/Data_5!$BI15))))))),"")</f>
        <v/>
      </c>
      <c r="BK20" s="1122" t="str">
        <f>IFERROR(IF(VLOOKUP($AL20,Data_5!$B$12:$E$42,4,FALSE)="BASIC","",(IF(HLOOKUP(BK$15,Data_5!$F$10:$BG$42,$A20+2,FALSE)="NO","NO",IF(HLOOKUP(BK$15,Data_5!$F$10:$BG$42,$A20+2,FALSE)="IE","IE",IF(HLOOKUP(BK$15,Data_5!$F$10:$BG$42,$A20+2,FALSE)="NE","NE",IF(HLOOKUP(BK$15,Data_5!$F$10:$BG$42,$A20+2,FALSE)="C","C",IF(HLOOKUP(BK$15,Data_5!$F$10:$BG$42,$A20+2,FALSE)="NO","NO",HLOOKUP(BK$15,Data_5!$F$10:$BG$42,$A20+2,FALSE)/Data_5!$BI15))))))),"")</f>
        <v/>
      </c>
      <c r="BL20" s="1122" t="str">
        <f>IFERROR(IF(VLOOKUP($AL20,Data_5!$B$12:$E$42,4,FALSE)="BASIC","",(IF(HLOOKUP(BL$15,Data_5!$F$10:$BG$42,$A20+2,FALSE)="NO","NO",IF(HLOOKUP(BL$15,Data_5!$F$10:$BG$42,$A20+2,FALSE)="IE","IE",IF(HLOOKUP(BL$15,Data_5!$F$10:$BG$42,$A20+2,FALSE)="NE","NE",IF(HLOOKUP(BL$15,Data_5!$F$10:$BG$42,$A20+2,FALSE)="C","C",IF(HLOOKUP(BL$15,Data_5!$F$10:$BG$42,$A20+2,FALSE)="NO","NO",HLOOKUP(BL$15,Data_5!$F$10:$BG$42,$A20+2,FALSE)/Data_5!$BI15))))))),"")</f>
        <v/>
      </c>
      <c r="BM20" s="1122" t="str">
        <f>IFERROR(IF(VLOOKUP($AL20,Data_5!$B$12:$E$42,4,FALSE)="BASIC","",(IF(HLOOKUP(BM$15,Data_5!$F$10:$BG$42,$A20+2,FALSE)="NO","NO",IF(HLOOKUP(BM$15,Data_5!$F$10:$BG$42,$A20+2,FALSE)="IE","IE",IF(HLOOKUP(BM$15,Data_5!$F$10:$BG$42,$A20+2,FALSE)="NE","NE",IF(HLOOKUP(BM$15,Data_5!$F$10:$BG$42,$A20+2,FALSE)="C","C",IF(HLOOKUP(BM$15,Data_5!$F$10:$BG$42,$A20+2,FALSE)="NO","NO",HLOOKUP(BM$15,Data_5!$F$10:$BG$42,$A20+2,FALSE)/Data_5!$BI15))))))),"")</f>
        <v/>
      </c>
      <c r="BN20" s="1122" t="str">
        <f>IFERROR(IF(VLOOKUP($AL20,Data_5!$B$12:$E$42,4,FALSE)="BASIC","",(IF(HLOOKUP(BN$15,Data_5!$F$10:$BG$42,$A20+2,FALSE)="NO","NO",IF(HLOOKUP(BN$15,Data_5!$F$10:$BG$42,$A20+2,FALSE)="IE","IE",IF(HLOOKUP(BN$15,Data_5!$F$10:$BG$42,$A20+2,FALSE)="NE","NE",IF(HLOOKUP(BN$15,Data_5!$F$10:$BG$42,$A20+2,FALSE)="C","C",IF(HLOOKUP(BN$15,Data_5!$F$10:$BG$42,$A20+2,FALSE)="NO","NO",HLOOKUP(BN$15,Data_5!$F$10:$BG$42,$A20+2,FALSE)/Data_5!$BI15))))))),"")</f>
        <v/>
      </c>
      <c r="BO20" s="1122" t="str">
        <f>IFERROR(IF(VLOOKUP($AL20,Data_5!$B$12:$E$42,4,FALSE)="BASIC","",(IF(HLOOKUP(BO$15,Data_5!$F$10:$BG$42,$A20+2,FALSE)="NO","NO",IF(HLOOKUP(BO$15,Data_5!$F$10:$BG$42,$A20+2,FALSE)="IE","IE",IF(HLOOKUP(BO$15,Data_5!$F$10:$BG$42,$A20+2,FALSE)="NE","NE",IF(HLOOKUP(BO$15,Data_5!$F$10:$BG$42,$A20+2,FALSE)="C","C",IF(HLOOKUP(BO$15,Data_5!$F$10:$BG$42,$A20+2,FALSE)="NO","NO",HLOOKUP(BO$15,Data_5!$F$10:$BG$42,$A20+2,FALSE)/Data_5!$BI15))))))),"")</f>
        <v/>
      </c>
      <c r="BP20" s="1122" t="str">
        <f>IFERROR(IF(VLOOKUP($AL20,Data_5!$B$12:$E$42,4,FALSE)="BASIC","",(IF(HLOOKUP(BP$15,Data_5!$F$10:$BG$42,$A20+2,FALSE)="NO","NO",IF(HLOOKUP(BP$15,Data_5!$F$10:$BG$42,$A20+2,FALSE)="IE","IE",IF(HLOOKUP(BP$15,Data_5!$F$10:$BG$42,$A20+2,FALSE)="NE","NE",IF(HLOOKUP(BP$15,Data_5!$F$10:$BG$42,$A20+2,FALSE)="C","C",IF(HLOOKUP(BP$15,Data_5!$F$10:$BG$42,$A20+2,FALSE)="NO","NO",HLOOKUP(BP$15,Data_5!$F$10:$BG$42,$A20+2,FALSE)/Data_5!$BI15))))))),"")</f>
        <v/>
      </c>
      <c r="BQ20" s="1122" t="str">
        <f>IFERROR(IF(VLOOKUP($AL20,Data_5!$B$12:$E$42,4,FALSE)="BASIC","",(IF(HLOOKUP(BQ$15,Data_5!$F$10:$BG$42,$A20+2,FALSE)="NO","NO",IF(HLOOKUP(BQ$15,Data_5!$F$10:$BG$42,$A20+2,FALSE)="IE","IE",IF(HLOOKUP(BQ$15,Data_5!$F$10:$BG$42,$A20+2,FALSE)="NE","NE",IF(HLOOKUP(BQ$15,Data_5!$F$10:$BG$42,$A20+2,FALSE)="C","C",IF(HLOOKUP(BQ$15,Data_5!$F$10:$BG$42,$A20+2,FALSE)="NO","NO",HLOOKUP(BQ$15,Data_5!$F$10:$BG$42,$A20+2,FALSE)/Data_5!$BI15))))))),"")</f>
        <v/>
      </c>
      <c r="BR20" s="1122" t="str">
        <f>IFERROR(IF(VLOOKUP($AL20,Data_5!$B$12:$E$42,4,FALSE)="BASIC","",(IF(HLOOKUP(BR$15,Data_5!$F$10:$BG$42,$A20+2,FALSE)="NO","NO",IF(HLOOKUP(BR$15,Data_5!$F$10:$BG$42,$A20+2,FALSE)="IE","IE",IF(HLOOKUP(BR$15,Data_5!$F$10:$BG$42,$A20+2,FALSE)="NE","NE",IF(HLOOKUP(BR$15,Data_5!$F$10:$BG$42,$A20+2,FALSE)="C","C",IF(HLOOKUP(BR$15,Data_5!$F$10:$BG$42,$A20+2,FALSE)="NO","NO",HLOOKUP(BR$15,Data_5!$F$10:$BG$42,$A20+2,FALSE)/Data_5!$BI15))))))),"")</f>
        <v/>
      </c>
      <c r="BS20" s="1122" t="str">
        <f>IFERROR(IF(VLOOKUP($AL20,Data_5!$B$12:$E$42,4,FALSE)="BASIC","",(IF(HLOOKUP(BS$15,Data_5!$F$10:$BG$42,$A20+2,FALSE)="NO","NO",IF(HLOOKUP(BS$15,Data_5!$F$10:$BG$42,$A20+2,FALSE)="IE","IE",IF(HLOOKUP(BS$15,Data_5!$F$10:$BG$42,$A20+2,FALSE)="NE","NE",IF(HLOOKUP(BS$15,Data_5!$F$10:$BG$42,$A20+2,FALSE)="C","C",IF(HLOOKUP(BS$15,Data_5!$F$10:$BG$42,$A20+2,FALSE)="NO","NO",HLOOKUP(BS$15,Data_5!$F$10:$BG$42,$A20+2,FALSE)/Data_5!$BI15))))))),"")</f>
        <v/>
      </c>
      <c r="BT20" s="1122" t="str">
        <f>IFERROR(IF(VLOOKUP($AL20,Data_5!$B$12:$E$42,4,FALSE)="BASIC","",(IF(HLOOKUP(BT$15,Data_5!$F$10:$BG$42,$A20+2,FALSE)="NO","NO",IF(HLOOKUP(BT$15,Data_5!$F$10:$BG$42,$A20+2,FALSE)="IE","IE",IF(HLOOKUP(BT$15,Data_5!$F$10:$BG$42,$A20+2,FALSE)="NE","NE",IF(HLOOKUP(BT$15,Data_5!$F$10:$BG$42,$A20+2,FALSE)="C","C",IF(HLOOKUP(BT$15,Data_5!$F$10:$BG$42,$A20+2,FALSE)="NO","NO",HLOOKUP(BT$15,Data_5!$F$10:$BG$42,$A20+2,FALSE)/Data_5!$BI15))))))),"")</f>
        <v/>
      </c>
      <c r="BU20" s="1122" t="str">
        <f>IFERROR(IF(VLOOKUP($AL20,Data_5!$B$12:$E$42,4,FALSE)="BASIC","",(IF(HLOOKUP(BU$15,Data_5!$F$10:$BG$42,$A20+2,FALSE)="NO","NO",IF(HLOOKUP(BU$15,Data_5!$F$10:$BG$42,$A20+2,FALSE)="IE","IE",IF(HLOOKUP(BU$15,Data_5!$F$10:$BG$42,$A20+2,FALSE)="NE","NE",IF(HLOOKUP(BU$15,Data_5!$F$10:$BG$42,$A20+2,FALSE)="C","C",IF(HLOOKUP(BU$15,Data_5!$F$10:$BG$42,$A20+2,FALSE)="NO","NO",HLOOKUP(BU$15,Data_5!$F$10:$BG$42,$A20+2,FALSE)/Data_5!$BI15))))))),"")</f>
        <v/>
      </c>
      <c r="BV20" s="1122" t="str">
        <f>IFERROR(IF(VLOOKUP($AL20,Data_5!$B$12:$E$42,4,FALSE)="BASIC","",(IF(HLOOKUP(BV$15,Data_5!$F$10:$BG$42,$A20+2,FALSE)="NO","NO",IF(HLOOKUP(BV$15,Data_5!$F$10:$BG$42,$A20+2,FALSE)="IE","IE",IF(HLOOKUP(BV$15,Data_5!$F$10:$BG$42,$A20+2,FALSE)="NE","NE",IF(HLOOKUP(BV$15,Data_5!$F$10:$BG$42,$A20+2,FALSE)="C","C",IF(HLOOKUP(BV$15,Data_5!$F$10:$BG$42,$A20+2,FALSE)="NO","NO",HLOOKUP(BV$15,Data_5!$F$10:$BG$42,$A20+2,FALSE)/Data_5!$BI15))))))),"")</f>
        <v/>
      </c>
      <c r="BW20" s="1122" t="str">
        <f>IFERROR(IF(VLOOKUP($AL20,Data_5!$B$12:$E$42,4,FALSE)="BASIC","",(IF(HLOOKUP(BW$15,Data_5!$F$10:$BG$42,$A20+2,FALSE)="NO","NO",IF(HLOOKUP(BW$15,Data_5!$F$10:$BG$42,$A20+2,FALSE)="IE","IE",IF(HLOOKUP(BW$15,Data_5!$F$10:$BG$42,$A20+2,FALSE)="NE","NE",IF(HLOOKUP(BW$15,Data_5!$F$10:$BG$42,$A20+2,FALSE)="C","C",IF(HLOOKUP(BW$15,Data_5!$F$10:$BG$42,$A20+2,FALSE)="NO","NO",HLOOKUP(BW$15,Data_5!$F$10:$BG$42,$A20+2,FALSE)/Data_5!$BI15))))))),"")</f>
        <v/>
      </c>
      <c r="BX20" s="1122" t="str">
        <f>IFERROR(IF(VLOOKUP($AL20,Data_5!$B$12:$E$42,4,FALSE)="BASIC","",(IF(HLOOKUP(BX$15,Data_5!$F$10:$BG$42,$A20+2,FALSE)="NO","NO",IF(HLOOKUP(BX$15,Data_5!$F$10:$BG$42,$A20+2,FALSE)="IE","IE",IF(HLOOKUP(BX$15,Data_5!$F$10:$BG$42,$A20+2,FALSE)="NE","NE",IF(HLOOKUP(BX$15,Data_5!$F$10:$BG$42,$A20+2,FALSE)="C","C",IF(HLOOKUP(BX$15,Data_5!$F$10:$BG$42,$A20+2,FALSE)="NO","NO",HLOOKUP(BX$15,Data_5!$F$10:$BG$42,$A20+2,FALSE)/Data_5!$BI15))))))),"")</f>
        <v/>
      </c>
      <c r="BY20" s="1122" t="str">
        <f>IFERROR(IF(VLOOKUP($AL20,Data_5!$B$12:$E$42,4,FALSE)="BASIC","",(IF(HLOOKUP(BY$15,Data_5!$F$10:$BG$42,$A20+2,FALSE)="NO","NO",IF(HLOOKUP(BY$15,Data_5!$F$10:$BG$42,$A20+2,FALSE)="IE","IE",IF(HLOOKUP(BY$15,Data_5!$F$10:$BG$42,$A20+2,FALSE)="NE","NE",IF(HLOOKUP(BY$15,Data_5!$F$10:$BG$42,$A20+2,FALSE)="C","C",IF(HLOOKUP(BY$15,Data_5!$F$10:$BG$42,$A20+2,FALSE)="NO","NO",HLOOKUP(BY$15,Data_5!$F$10:$BG$42,$A20+2,FALSE)/Data_5!$BI15))))))),"")</f>
        <v/>
      </c>
      <c r="BZ20" s="1122" t="str">
        <f>IFERROR(IF(VLOOKUP($AL20,Data_5!$B$12:$E$42,4,FALSE)="BASIC","",(IF(HLOOKUP(BZ$15,Data_5!$F$10:$BG$42,$A20+2,FALSE)="NO","NO",IF(HLOOKUP(BZ$15,Data_5!$F$10:$BG$42,$A20+2,FALSE)="IE","IE",IF(HLOOKUP(BZ$15,Data_5!$F$10:$BG$42,$A20+2,FALSE)="NE","NE",IF(HLOOKUP(BZ$15,Data_5!$F$10:$BG$42,$A20+2,FALSE)="C","C",IF(HLOOKUP(BZ$15,Data_5!$F$10:$BG$42,$A20+2,FALSE)="NO","NO",HLOOKUP(BZ$15,Data_5!$F$10:$BG$42,$A20+2,FALSE)/Data_5!$BI15))))))),"")</f>
        <v/>
      </c>
      <c r="CA20" s="1122" t="str">
        <f>IFERROR(IF(VLOOKUP($AL20,Data_5!$B$12:$E$42,4,FALSE)="BASIC","",(IF(HLOOKUP(CA$15,Data_5!$F$10:$BG$42,$A20+2,FALSE)="NO","NO",IF(HLOOKUP(CA$15,Data_5!$F$10:$BG$42,$A20+2,FALSE)="IE","IE",IF(HLOOKUP(CA$15,Data_5!$F$10:$BG$42,$A20+2,FALSE)="NE","NE",IF(HLOOKUP(CA$15,Data_5!$F$10:$BG$42,$A20+2,FALSE)="C","C",IF(HLOOKUP(CA$15,Data_5!$F$10:$BG$42,$A20+2,FALSE)="NO","NO",HLOOKUP(CA$15,Data_5!$F$10:$BG$42,$A20+2,FALSE)/Data_5!$BI15))))))),"")</f>
        <v/>
      </c>
      <c r="CB20" s="1122" t="str">
        <f>IFERROR(IF(VLOOKUP($AL20,Data_5!$B$12:$E$42,4,FALSE)="BASIC","",(IF(HLOOKUP(CB$15,Data_5!$F$10:$BG$42,$A20+2,FALSE)="NO","NO",IF(HLOOKUP(CB$15,Data_5!$F$10:$BG$42,$A20+2,FALSE)="IE","IE",IF(HLOOKUP(CB$15,Data_5!$F$10:$BG$42,$A20+2,FALSE)="NE","NE",IF(HLOOKUP(CB$15,Data_5!$F$10:$BG$42,$A20+2,FALSE)="C","C",IF(HLOOKUP(CB$15,Data_5!$F$10:$BG$42,$A20+2,FALSE)="NO","NO",HLOOKUP(CB$15,Data_5!$F$10:$BG$42,$A20+2,FALSE)/Data_5!$BI15))))))),"")</f>
        <v/>
      </c>
      <c r="CC20" s="1122" t="str">
        <f>IFERROR(IF(VLOOKUP($AL20,Data_5!$B$12:$E$42,4,FALSE)="BASIC","",(IF(HLOOKUP(CC$15,Data_5!$F$10:$BG$42,$A20+2,FALSE)="NO","NO",IF(HLOOKUP(CC$15,Data_5!$F$10:$BG$42,$A20+2,FALSE)="IE","IE",IF(HLOOKUP(CC$15,Data_5!$F$10:$BG$42,$A20+2,FALSE)="NE","NE",IF(HLOOKUP(CC$15,Data_5!$F$10:$BG$42,$A20+2,FALSE)="C","C",IF(HLOOKUP(CC$15,Data_5!$F$10:$BG$42,$A20+2,FALSE)="NO","NO",HLOOKUP(CC$15,Data_5!$F$10:$BG$42,$A20+2,FALSE)/Data_5!$BI15))))))),"")</f>
        <v/>
      </c>
      <c r="CD20" s="1122" t="str">
        <f>IFERROR(IF(VLOOKUP($AL20,Data_5!$B$12:$E$42,4,FALSE)="BASIC","",(IF(HLOOKUP(CD$15,Data_5!$F$10:$BG$42,$A20+2,FALSE)="NO","NO",IF(HLOOKUP(CD$15,Data_5!$F$10:$BG$42,$A20+2,FALSE)="IE","IE",IF(HLOOKUP(CD$15,Data_5!$F$10:$BG$42,$A20+2,FALSE)="NE","NE",IF(HLOOKUP(CD$15,Data_5!$F$10:$BG$42,$A20+2,FALSE)="C","C",IF(HLOOKUP(CD$15,Data_5!$F$10:$BG$42,$A20+2,FALSE)="NO","NO",HLOOKUP(CD$15,Data_5!$F$10:$BG$42,$A20+2,FALSE)/Data_5!$BI15))))))),"")</f>
        <v/>
      </c>
      <c r="CE20" s="1122" t="str">
        <f>IFERROR(IF(VLOOKUP($AL20,Data_5!$B$12:$E$42,4,FALSE)="BASIC","",(IF(HLOOKUP(CE$15,Data_5!$F$10:$BG$42,$A20+2,FALSE)="NO","NO",IF(HLOOKUP(CE$15,Data_5!$F$10:$BG$42,$A20+2,FALSE)="IE","IE",IF(HLOOKUP(CE$15,Data_5!$F$10:$BG$42,$A20+2,FALSE)="NE","NE",IF(HLOOKUP(CE$15,Data_5!$F$10:$BG$42,$A20+2,FALSE)="C","C",IF(HLOOKUP(CE$15,Data_5!$F$10:$BG$42,$A20+2,FALSE)="NO","NO",HLOOKUP(CE$15,Data_5!$F$10:$BG$42,$A20+2,FALSE)/Data_5!$BI15))))))),"")</f>
        <v/>
      </c>
      <c r="CF20" s="1122" t="str">
        <f>IFERROR(IF(VLOOKUP($AL20,Data_5!$B$12:$E$42,4,FALSE)="BASIC","",(IF(HLOOKUP(CF$15,Data_5!$F$10:$BG$42,$A20+2,FALSE)="NO","NO",IF(HLOOKUP(CF$15,Data_5!$F$10:$BG$42,$A20+2,FALSE)="IE","IE",IF(HLOOKUP(CF$15,Data_5!$F$10:$BG$42,$A20+2,FALSE)="NE","NE",IF(HLOOKUP(CF$15,Data_5!$F$10:$BG$42,$A20+2,FALSE)="C","C",IF(HLOOKUP(CF$15,Data_5!$F$10:$BG$42,$A20+2,FALSE)="NO","NO",HLOOKUP(CF$15,Data_5!$F$10:$BG$42,$A20+2,FALSE)/Data_5!$BI15))))))),"")</f>
        <v/>
      </c>
      <c r="CG20" s="1122" t="str">
        <f>IFERROR(IF(VLOOKUP($AL20,Data_5!$B$12:$E$42,4,FALSE)="BASIC","",(IF(HLOOKUP(CG$15,Data_5!$F$10:$BG$42,$A20+2,FALSE)="NO","NO",IF(HLOOKUP(CG$15,Data_5!$F$10:$BG$42,$A20+2,FALSE)="IE","IE",IF(HLOOKUP(CG$15,Data_5!$F$10:$BG$42,$A20+2,FALSE)="NE","NE",IF(HLOOKUP(CG$15,Data_5!$F$10:$BG$42,$A20+2,FALSE)="C","C",IF(HLOOKUP(CG$15,Data_5!$F$10:$BG$42,$A20+2,FALSE)="NO","NO",HLOOKUP(CG$15,Data_5!$F$10:$BG$42,$A20+2,FALSE)/Data_5!$BI15))))))),"")</f>
        <v/>
      </c>
      <c r="CH20" s="1122" t="str">
        <f>IFERROR(IF(VLOOKUP($AL20,Data_5!$B$12:$E$42,4,FALSE)="BASIC","",(IF(HLOOKUP(CH$15,Data_5!$F$10:$BG$42,$A20+2,FALSE)="NO","NO",IF(HLOOKUP(CH$15,Data_5!$F$10:$BG$42,$A20+2,FALSE)="IE","IE",IF(HLOOKUP(CH$15,Data_5!$F$10:$BG$42,$A20+2,FALSE)="NE","NE",IF(HLOOKUP(CH$15,Data_5!$F$10:$BG$42,$A20+2,FALSE)="C","C",IF(HLOOKUP(CH$15,Data_5!$F$10:$BG$42,$A20+2,FALSE)="NO","NO",HLOOKUP(CH$15,Data_5!$F$10:$BG$42,$A20+2,FALSE)/Data_5!$BI15))))))),"")</f>
        <v/>
      </c>
      <c r="CI20" s="1122" t="str">
        <f>IFERROR(IF(VLOOKUP($AL20,Data_5!$B$12:$E$42,4,FALSE)="BASIC","",(IF(HLOOKUP(CI$15,Data_5!$F$10:$BG$42,$A20+2,FALSE)="NO","NO",IF(HLOOKUP(CI$15,Data_5!$F$10:$BG$42,$A20+2,FALSE)="IE","IE",IF(HLOOKUP(CI$15,Data_5!$F$10:$BG$42,$A20+2,FALSE)="NE","NE",IF(HLOOKUP(CI$15,Data_5!$F$10:$BG$42,$A20+2,FALSE)="C","C",IF(HLOOKUP(CI$15,Data_5!$F$10:$BG$42,$A20+2,FALSE)="NO","NO",HLOOKUP(CI$15,Data_5!$F$10:$BG$42,$A20+2,FALSE)/Data_5!$BI15))))))),"")</f>
        <v/>
      </c>
      <c r="CJ20" s="1122" t="str">
        <f>IFERROR(IF(VLOOKUP($AL20,Data_5!$B$12:$E$42,4,FALSE)="BASIC","",(IF(HLOOKUP(CJ$15,Data_5!$F$10:$BG$42,$A20+2,FALSE)="NO","NO",IF(HLOOKUP(CJ$15,Data_5!$F$10:$BG$42,$A20+2,FALSE)="IE","IE",IF(HLOOKUP(CJ$15,Data_5!$F$10:$BG$42,$A20+2,FALSE)="NE","NE",IF(HLOOKUP(CJ$15,Data_5!$F$10:$BG$42,$A20+2,FALSE)="C","C",IF(HLOOKUP(CJ$15,Data_5!$F$10:$BG$42,$A20+2,FALSE)="NO","NO",HLOOKUP(CJ$15,Data_5!$F$10:$BG$42,$A20+2,FALSE)/Data_5!$BI15))))))),"")</f>
        <v/>
      </c>
      <c r="CL20" s="2628" t="str">
        <f t="shared" si="2"/>
        <v>Bogota</v>
      </c>
      <c r="CM20" s="2629"/>
      <c r="CN20" s="1100">
        <f t="shared" si="3"/>
        <v>2012</v>
      </c>
      <c r="CO20" s="1122">
        <f>IFERROR(IF(HLOOKUP(CO$15,Data_5!$F$10:$BG$42,$A20+2,FALSE)="NO","NO",IF(HLOOKUP(CO$15,Data_5!$F$10:$BG$42,$A20+2,FALSE)="IE","IE",IF(HLOOKUP(CO$15,Data_5!$F$10:$BG$42,$A20+2,FALSE)="NE","NE",IF(HLOOKUP(CO$15,Data_5!$F$10:$BG$42,$A20+2,FALSE)="C","C",IF(HLOOKUP(CO$15,Data_5!$F$10:$BG$42,$A20+2,FALSE)="NO","NO",HLOOKUP(CO$15,Data_5!$F$10:$BG$42,$A20+2,FALSE)/Data_5!$BK15))))),"")</f>
        <v>4.9213426128688509E-2</v>
      </c>
      <c r="CP20" s="1122">
        <f>IFERROR(IF(HLOOKUP(CP$15,Data_5!$F$10:$BG$42,$A20+2,FALSE)="NO","NO",IF(HLOOKUP(CP$15,Data_5!$F$10:$BG$42,$A20+2,FALSE)="IE","IE",IF(HLOOKUP(CP$15,Data_5!$F$10:$BG$42,$A20+2,FALSE)="NE","NE",IF(HLOOKUP(CP$15,Data_5!$F$10:$BG$42,$A20+2,FALSE)="C","C",IF(HLOOKUP(CP$15,Data_5!$F$10:$BG$42,$A20+2,FALSE)="NO","NO",HLOOKUP(CP$15,Data_5!$F$10:$BG$42,$A20+2,FALSE)/Data_5!$BK15))))),"")</f>
        <v>0.11424845111620685</v>
      </c>
      <c r="CQ20" s="1122">
        <f>IFERROR(IF(HLOOKUP(CQ$15,Data_5!$F$10:$BG$42,$A20+2,FALSE)="NO","NO",IF(HLOOKUP(CQ$15,Data_5!$F$10:$BG$42,$A20+2,FALSE)="IE","IE",IF(HLOOKUP(CQ$15,Data_5!$F$10:$BG$42,$A20+2,FALSE)="NE","NE",IF(HLOOKUP(CQ$15,Data_5!$F$10:$BG$42,$A20+2,FALSE)="C","C",IF(HLOOKUP(CQ$15,Data_5!$F$10:$BG$42,$A20+2,FALSE)="NO","NO",HLOOKUP(CQ$15,Data_5!$F$10:$BG$42,$A20+2,FALSE)/Data_5!$BK15))))),"")</f>
        <v>0.10758549231981271</v>
      </c>
      <c r="CR20" s="1122" t="str">
        <f>IFERROR(IF(HLOOKUP(CR$15,Data_5!$F$10:$BG$42,$A20+2,FALSE)="NO","NO",IF(HLOOKUP(CR$15,Data_5!$F$10:$BG$42,$A20+2,FALSE)="IE","IE",IF(HLOOKUP(CR$15,Data_5!$F$10:$BG$42,$A20+2,FALSE)="NE","NE",IF(HLOOKUP(CR$15,Data_5!$F$10:$BG$42,$A20+2,FALSE)="C","C",IF(HLOOKUP(CR$15,Data_5!$F$10:$BG$42,$A20+2,FALSE)="NO","NO",HLOOKUP(CR$15,Data_5!$F$10:$BG$42,$A20+2,FALSE)/Data_5!$BK15))))),"")</f>
        <v>NO</v>
      </c>
      <c r="CS20" s="1122" t="str">
        <f>IFERROR(IF(HLOOKUP(CS$15,Data_5!$F$10:$BG$42,$A20+2,FALSE)="NO","NO",IF(HLOOKUP(CS$15,Data_5!$F$10:$BG$42,$A20+2,FALSE)="IE","IE",IF(HLOOKUP(CS$15,Data_5!$F$10:$BG$42,$A20+2,FALSE)="NE","NE",IF(HLOOKUP(CS$15,Data_5!$F$10:$BG$42,$A20+2,FALSE)="C","C",IF(HLOOKUP(CS$15,Data_5!$F$10:$BG$42,$A20+2,FALSE)="NO","NO",HLOOKUP(CS$15,Data_5!$F$10:$BG$42,$A20+2,FALSE)/Data_5!$BK15))))),"")</f>
        <v>NO</v>
      </c>
      <c r="CT20" s="1122">
        <f>IFERROR(IF(HLOOKUP(CT$15,Data_5!$F$10:$BG$42,$A20+2,FALSE)="NO","NO",IF(HLOOKUP(CT$15,Data_5!$F$10:$BG$42,$A20+2,FALSE)="IE","IE",IF(HLOOKUP(CT$15,Data_5!$F$10:$BG$42,$A20+2,FALSE)="NE","NE",IF(HLOOKUP(CT$15,Data_5!$F$10:$BG$42,$A20+2,FALSE)="C","C",IF(HLOOKUP(CT$15,Data_5!$F$10:$BG$42,$A20+2,FALSE)="NO","NO",HLOOKUP(CT$15,Data_5!$F$10:$BG$42,$A20+2,FALSE)/Data_5!$BK15))))),"")</f>
        <v>3.1987412066937955E-3</v>
      </c>
      <c r="CU20" s="1122">
        <f>IFERROR(IF(HLOOKUP(CU$15,Data_5!$F$10:$BG$42,$A20+2,FALSE)="NO","NO",IF(HLOOKUP(CU$15,Data_5!$F$10:$BG$42,$A20+2,FALSE)="IE","IE",IF(HLOOKUP(CU$15,Data_5!$F$10:$BG$42,$A20+2,FALSE)="NE","NE",IF(HLOOKUP(CU$15,Data_5!$F$10:$BG$42,$A20+2,FALSE)="C","C",IF(HLOOKUP(CU$15,Data_5!$F$10:$BG$42,$A20+2,FALSE)="NO","NO",HLOOKUP(CU$15,Data_5!$F$10:$BG$42,$A20+2,FALSE)/Data_5!$BK15))))),"")</f>
        <v>8.8424648668505946E-5</v>
      </c>
      <c r="CV20" s="1122" t="str">
        <f>IFERROR(IF(HLOOKUP(CV$15,Data_5!$F$10:$BG$42,$A20+2,FALSE)="NO","NO",IF(HLOOKUP(CV$15,Data_5!$F$10:$BG$42,$A20+2,FALSE)="IE","IE",IF(HLOOKUP(CV$15,Data_5!$F$10:$BG$42,$A20+2,FALSE)="NE","NE",IF(HLOOKUP(CV$15,Data_5!$F$10:$BG$42,$A20+2,FALSE)="C","C",IF(HLOOKUP(CV$15,Data_5!$F$10:$BG$42,$A20+2,FALSE)="NO","NO",HLOOKUP(CV$15,Data_5!$F$10:$BG$42,$A20+2,FALSE)/Data_5!$BK15))))),"")</f>
        <v>NO</v>
      </c>
      <c r="CW20" s="1122">
        <f>IFERROR(IF(HLOOKUP(CW$15,Data_5!$F$10:$BG$42,$A20+2,FALSE)="NO","NO",IF(HLOOKUP(CW$15,Data_5!$F$10:$BG$42,$A20+2,FALSE)="IE","IE",IF(HLOOKUP(CW$15,Data_5!$F$10:$BG$42,$A20+2,FALSE)="NE","NE",IF(HLOOKUP(CW$15,Data_5!$F$10:$BG$42,$A20+2,FALSE)="C","C",IF(HLOOKUP(CW$15,Data_5!$F$10:$BG$42,$A20+2,FALSE)="NO","NO",HLOOKUP(CW$15,Data_5!$F$10:$BG$42,$A20+2,FALSE)/Data_5!$BK15))))),"")</f>
        <v>2.4587046939834388E-3</v>
      </c>
      <c r="CX20" s="1122">
        <f>IFERROR(IF(HLOOKUP(CX$15,Data_5!$F$10:$BG$42,$A20+2,FALSE)="NO","NO",IF(HLOOKUP(CX$15,Data_5!$F$10:$BG$42,$A20+2,FALSE)="IE","IE",IF(HLOOKUP(CX$15,Data_5!$F$10:$BG$42,$A20+2,FALSE)="NE","NE",IF(HLOOKUP(CX$15,Data_5!$F$10:$BG$42,$A20+2,FALSE)="C","C",IF(HLOOKUP(CX$15,Data_5!$F$10:$BG$42,$A20+2,FALSE)="NO","NO",HLOOKUP(CX$15,Data_5!$F$10:$BG$42,$A20+2,FALSE)/Data_5!$BK15))))),"")</f>
        <v>0.30178406957288489</v>
      </c>
      <c r="CY20" s="1122">
        <f>IFERROR(IF(HLOOKUP(CY$15,Data_5!$F$10:$BG$42,$A20+2,FALSE)="NO","NO",IF(HLOOKUP(CY$15,Data_5!$F$10:$BG$42,$A20+2,FALSE)="IE","IE",IF(HLOOKUP(CY$15,Data_5!$F$10:$BG$42,$A20+2,FALSE)="NE","NE",IF(HLOOKUP(CY$15,Data_5!$F$10:$BG$42,$A20+2,FALSE)="C","C",IF(HLOOKUP(CY$15,Data_5!$F$10:$BG$42,$A20+2,FALSE)="NO","NO",HLOOKUP(CY$15,Data_5!$F$10:$BG$42,$A20+2,FALSE)/Data_5!$BK15))))),"")</f>
        <v>1.3717010522242807E-5</v>
      </c>
      <c r="CZ20" s="1122" t="str">
        <f>IFERROR(IF(HLOOKUP(CZ$15,Data_5!$F$10:$BG$42,$A20+2,FALSE)="NO","NO",IF(HLOOKUP(CZ$15,Data_5!$F$10:$BG$42,$A20+2,FALSE)="IE","IE",IF(HLOOKUP(CZ$15,Data_5!$F$10:$BG$42,$A20+2,FALSE)="NE","NE",IF(HLOOKUP(CZ$15,Data_5!$F$10:$BG$42,$A20+2,FALSE)="C","C",IF(HLOOKUP(CZ$15,Data_5!$F$10:$BG$42,$A20+2,FALSE)="NO","NO",HLOOKUP(CZ$15,Data_5!$F$10:$BG$42,$A20+2,FALSE)/Data_5!$BK15))))),"")</f>
        <v>NO</v>
      </c>
      <c r="DA20" s="1122" t="str">
        <f>IFERROR(IF(HLOOKUP(DA$15,Data_5!$F$10:$BG$42,$A20+2,FALSE)="NO","NO",IF(HLOOKUP(DA$15,Data_5!$F$10:$BG$42,$A20+2,FALSE)="IE","IE",IF(HLOOKUP(DA$15,Data_5!$F$10:$BG$42,$A20+2,FALSE)="NE","NE",IF(HLOOKUP(DA$15,Data_5!$F$10:$BG$42,$A20+2,FALSE)="C","C",IF(HLOOKUP(DA$15,Data_5!$F$10:$BG$42,$A20+2,FALSE)="NO","NO",HLOOKUP(DA$15,Data_5!$F$10:$BG$42,$A20+2,FALSE)/Data_5!$BK15))))),"")</f>
        <v>NO</v>
      </c>
      <c r="DB20" s="1122" t="str">
        <f>IFERROR(IF(HLOOKUP(DB$15,Data_5!$F$10:$BG$42,$A20+2,FALSE)="NO","NO",IF(HLOOKUP(DB$15,Data_5!$F$10:$BG$42,$A20+2,FALSE)="IE","IE",IF(HLOOKUP(DB$15,Data_5!$F$10:$BG$42,$A20+2,FALSE)="NE","NE",IF(HLOOKUP(DB$15,Data_5!$F$10:$BG$42,$A20+2,FALSE)="C","C",IF(HLOOKUP(DB$15,Data_5!$F$10:$BG$42,$A20+2,FALSE)="NO","NO",HLOOKUP(DB$15,Data_5!$F$10:$BG$42,$A20+2,FALSE)/Data_5!$BK15))))),"")</f>
        <v>IE</v>
      </c>
      <c r="DC20" s="1122">
        <f>IFERROR(IF(HLOOKUP(DC$15,Data_5!$F$10:$BG$42,$A20+2,FALSE)="NO","NO",IF(HLOOKUP(DC$15,Data_5!$F$10:$BG$42,$A20+2,FALSE)="IE","IE",IF(HLOOKUP(DC$15,Data_5!$F$10:$BG$42,$A20+2,FALSE)="NE","NE",IF(HLOOKUP(DC$15,Data_5!$F$10:$BG$42,$A20+2,FALSE)="C","C",IF(HLOOKUP(DC$15,Data_5!$F$10:$BG$42,$A20+2,FALSE)="NO","NO",HLOOKUP(DC$15,Data_5!$F$10:$BG$42,$A20+2,FALSE)/Data_5!$BK15))))),"")</f>
        <v>3.0856526967397821E-3</v>
      </c>
      <c r="DD20" s="1122">
        <f>IFERROR(IF(HLOOKUP(DD$15,Data_5!$F$10:$BG$42,$A20+2,FALSE)="NO","NO",IF(HLOOKUP(DD$15,Data_5!$F$10:$BG$42,$A20+2,FALSE)="IE","IE",IF(HLOOKUP(DD$15,Data_5!$F$10:$BG$42,$A20+2,FALSE)="NE","NE",IF(HLOOKUP(DD$15,Data_5!$F$10:$BG$42,$A20+2,FALSE)="C","C",IF(HLOOKUP(DD$15,Data_5!$F$10:$BG$42,$A20+2,FALSE)="NO","NO",HLOOKUP(DD$15,Data_5!$F$10:$BG$42,$A20+2,FALSE)/Data_5!$BK15))))),"")</f>
        <v>6.3275110826903074E-6</v>
      </c>
      <c r="DE20" s="1122">
        <f>IFERROR(IF(HLOOKUP(DE$15,Data_5!$F$10:$BG$42,$A20+2,FALSE)="NO","NO",IF(HLOOKUP(DE$15,Data_5!$F$10:$BG$42,$A20+2,FALSE)="IE","IE",IF(HLOOKUP(DE$15,Data_5!$F$10:$BG$42,$A20+2,FALSE)="NE","NE",IF(HLOOKUP(DE$15,Data_5!$F$10:$BG$42,$A20+2,FALSE)="C","C",IF(HLOOKUP(DE$15,Data_5!$F$10:$BG$42,$A20+2,FALSE)="NO","NO",HLOOKUP(DE$15,Data_5!$F$10:$BG$42,$A20+2,FALSE)/Data_5!$BK15))))),"")</f>
        <v>7.0506991335957359E-7</v>
      </c>
      <c r="DF20" s="1122" t="str">
        <f>IFERROR(IF(HLOOKUP(DF$15,Data_5!$F$10:$BG$42,$A20+2,FALSE)="NO","NO",IF(HLOOKUP(DF$15,Data_5!$F$10:$BG$42,$A20+2,FALSE)="IE","IE",IF(HLOOKUP(DF$15,Data_5!$F$10:$BG$42,$A20+2,FALSE)="NE","NE",IF(HLOOKUP(DF$15,Data_5!$F$10:$BG$42,$A20+2,FALSE)="C","C",IF(HLOOKUP(DF$15,Data_5!$F$10:$BG$42,$A20+2,FALSE)="NO","NO",HLOOKUP(DF$15,Data_5!$F$10:$BG$42,$A20+2,FALSE)/Data_5!$BK15))))),"")</f>
        <v>NO</v>
      </c>
      <c r="DG20" s="1122">
        <f>IFERROR(IF(HLOOKUP(DG$15,Data_5!$F$10:$BG$42,$A20+2,FALSE)="NO","NO",IF(HLOOKUP(DG$15,Data_5!$F$10:$BG$42,$A20+2,FALSE)="IE","IE",IF(HLOOKUP(DG$15,Data_5!$F$10:$BG$42,$A20+2,FALSE)="NE","NE",IF(HLOOKUP(DG$15,Data_5!$F$10:$BG$42,$A20+2,FALSE)="C","C",IF(HLOOKUP(DG$15,Data_5!$F$10:$BG$42,$A20+2,FALSE)="NO","NO",HLOOKUP(DG$15,Data_5!$F$10:$BG$42,$A20+2,FALSE)/Data_5!$BK15))))),"")</f>
        <v>6.1718258528133186E-7</v>
      </c>
      <c r="DH20" s="1122" t="str">
        <f>IFERROR(IF(HLOOKUP(DH$15,Data_5!$F$10:$BG$42,$A20+2,FALSE)="NO","NO",IF(HLOOKUP(DH$15,Data_5!$F$10:$BG$42,$A20+2,FALSE)="IE","IE",IF(HLOOKUP(DH$15,Data_5!$F$10:$BG$42,$A20+2,FALSE)="NE","NE",IF(HLOOKUP(DH$15,Data_5!$F$10:$BG$42,$A20+2,FALSE)="C","C",IF(HLOOKUP(DH$15,Data_5!$F$10:$BG$42,$A20+2,FALSE)="NO","NO",HLOOKUP(DH$15,Data_5!$F$10:$BG$42,$A20+2,FALSE)/Data_5!$BK15))))),"")</f>
        <v>NO</v>
      </c>
      <c r="DI20" s="1122">
        <f>IFERROR(IF(HLOOKUP(DI$15,Data_5!$F$10:$BG$42,$A20+2,FALSE)="NO","NO",IF(HLOOKUP(DI$15,Data_5!$F$10:$BG$42,$A20+2,FALSE)="IE","IE",IF(HLOOKUP(DI$15,Data_5!$F$10:$BG$42,$A20+2,FALSE)="NE","NE",IF(HLOOKUP(DI$15,Data_5!$F$10:$BG$42,$A20+2,FALSE)="C","C",IF(HLOOKUP(DI$15,Data_5!$F$10:$BG$42,$A20+2,FALSE)="NO","NO",HLOOKUP(DI$15,Data_5!$F$10:$BG$42,$A20+2,FALSE)/Data_5!$BK15))))),"")</f>
        <v>5.6882910899140576E-2</v>
      </c>
      <c r="DJ20" s="1122" t="str">
        <f>IFERROR(IF(HLOOKUP(DJ$15,Data_5!$F$10:$BG$42,$A20+2,FALSE)="NO","NO",IF(HLOOKUP(DJ$15,Data_5!$F$10:$BG$42,$A20+2,FALSE)="IE","IE",IF(HLOOKUP(DJ$15,Data_5!$F$10:$BG$42,$A20+2,FALSE)="NE","NE",IF(HLOOKUP(DJ$15,Data_5!$F$10:$BG$42,$A20+2,FALSE)="C","C",IF(HLOOKUP(DJ$15,Data_5!$F$10:$BG$42,$A20+2,FALSE)="NO","NO",HLOOKUP(DJ$15,Data_5!$F$10:$BG$42,$A20+2,FALSE)/Data_5!$BK15))))),"")</f>
        <v>NO</v>
      </c>
      <c r="DK20" s="1122">
        <f>IFERROR(IF(HLOOKUP(DK$15,Data_5!$F$10:$BG$42,$A20+2,FALSE)="NO","NO",IF(HLOOKUP(DK$15,Data_5!$F$10:$BG$42,$A20+2,FALSE)="IE","IE",IF(HLOOKUP(DK$15,Data_5!$F$10:$BG$42,$A20+2,FALSE)="NE","NE",IF(HLOOKUP(DK$15,Data_5!$F$10:$BG$42,$A20+2,FALSE)="C","C",IF(HLOOKUP(DK$15,Data_5!$F$10:$BG$42,$A20+2,FALSE)="NO","NO",HLOOKUP(DK$15,Data_5!$F$10:$BG$42,$A20+2,FALSE)/Data_5!$BK15))))),"")</f>
        <v>2.7378867257289767E-5</v>
      </c>
      <c r="DL20" s="1122">
        <f>IFERROR(IF(HLOOKUP(DL$15,Data_5!$F$10:$BG$42,$A20+2,FALSE)="NO","NO",IF(HLOOKUP(DL$15,Data_5!$F$10:$BG$42,$A20+2,FALSE)="IE","IE",IF(HLOOKUP(DL$15,Data_5!$F$10:$BG$42,$A20+2,FALSE)="NE","NE",IF(HLOOKUP(DL$15,Data_5!$F$10:$BG$42,$A20+2,FALSE)="C","C",IF(HLOOKUP(DL$15,Data_5!$F$10:$BG$42,$A20+2,FALSE)="NO","NO",HLOOKUP(DL$15,Data_5!$F$10:$BG$42,$A20+2,FALSE)/Data_5!$BK15))))),"")</f>
        <v>9.9782712820325956E-3</v>
      </c>
      <c r="DM20" s="1122">
        <f>IFERROR(IF(HLOOKUP(DM$15,Data_5!$F$10:$BG$42,$A20+2,FALSE)="NO","NO",IF(HLOOKUP(DM$15,Data_5!$F$10:$BG$42,$A20+2,FALSE)="IE","IE",IF(HLOOKUP(DM$15,Data_5!$F$10:$BG$42,$A20+2,FALSE)="NE","NE",IF(HLOOKUP(DM$15,Data_5!$F$10:$BG$42,$A20+2,FALSE)="C","C",IF(HLOOKUP(DM$15,Data_5!$F$10:$BG$42,$A20+2,FALSE)="NO","NO",HLOOKUP(DM$15,Data_5!$F$10:$BG$42,$A20+2,FALSE)/Data_5!$BK15))))),"")</f>
        <v>4.2036465301802141E-3</v>
      </c>
      <c r="DN20" s="1122">
        <f>IFERROR(IF(HLOOKUP(DN$15,Data_5!$F$10:$BG$42,$A20+2,FALSE)="NO","NO",IF(HLOOKUP(DN$15,Data_5!$F$10:$BG$42,$A20+2,FALSE)="IE","IE",IF(HLOOKUP(DN$15,Data_5!$F$10:$BG$42,$A20+2,FALSE)="NE","NE",IF(HLOOKUP(DN$15,Data_5!$F$10:$BG$42,$A20+2,FALSE)="C","C",IF(HLOOKUP(DN$15,Data_5!$F$10:$BG$42,$A20+2,FALSE)="NO","NO",HLOOKUP(DN$15,Data_5!$F$10:$BG$42,$A20+2,FALSE)/Data_5!$BK15))))),"")</f>
        <v>1.8964578308426149E-2</v>
      </c>
      <c r="DO20" s="1122">
        <f>IFERROR(IF(HLOOKUP(DO$15,Data_5!$F$10:$BG$42,$A20+2,FALSE)="NO","NO",IF(HLOOKUP(DO$15,Data_5!$F$10:$BG$42,$A20+2,FALSE)="IE","IE",IF(HLOOKUP(DO$15,Data_5!$F$10:$BG$42,$A20+2,FALSE)="NE","NE",IF(HLOOKUP(DO$15,Data_5!$F$10:$BG$42,$A20+2,FALSE)="C","C",IF(HLOOKUP(DO$15,Data_5!$F$10:$BG$42,$A20+2,FALSE)="NO","NO",HLOOKUP(DO$15,Data_5!$F$10:$BG$42,$A20+2,FALSE)/Data_5!$BK15))))),"")</f>
        <v>0.32825888495518113</v>
      </c>
    </row>
    <row r="21" spans="1:119" s="15" customFormat="1" ht="15" customHeight="1">
      <c r="A21" s="1789">
        <v>5</v>
      </c>
      <c r="B21" s="2628" t="str">
        <f>IF(Data_5!B16&lt;&gt;"",Data_5!B16,"")</f>
        <v>Boston</v>
      </c>
      <c r="C21" s="2629"/>
      <c r="D21" s="1462">
        <f>IFERROR(VLOOKUP($B21,Data_5!$B$12:$C$42,2,FALSE),"")</f>
        <v>2013</v>
      </c>
      <c r="E21" s="1122">
        <f>IFERROR(IF(HLOOKUP(E$15,Data_5!$F$10:$BG$42,$A21+2,FALSE)="NO","NO",IF(HLOOKUP(E$15,Data_5!$F$10:$BG$42,$A21+2,FALSE)="IE","IE",IF(HLOOKUP(E$15,Data_5!$F$10:$BG$42,$A21+2,FALSE)="NE","NE",IF(HLOOKUP(E$15,Data_5!$F$10:$BG$42,$A21+2,FALSE)="C","C",IF(HLOOKUP(E$15,Data_5!$F$10:$BG$42,$A21+2,FALSE)="NO","NO",HLOOKUP(E$15,Data_5!$F$10:$BG$42,$A21+2,FALSE)/Data_5!$BH16))))),"")</f>
        <v>0.13871121837961412</v>
      </c>
      <c r="F21" s="1122">
        <f>IFERROR(IF(HLOOKUP(F$15,Data_5!$F$10:$BG$42,$A21+2,FALSE)="NO","NO",IF(HLOOKUP(F$15,Data_5!$F$10:$BG$42,$A21+2,FALSE)="IE","IE",IF(HLOOKUP(F$15,Data_5!$F$10:$BG$42,$A21+2,FALSE)="NE","NE",IF(HLOOKUP(F$15,Data_5!$F$10:$BG$42,$A21+2,FALSE)="C","C",IF(HLOOKUP(F$15,Data_5!$F$10:$BG$42,$A21+2,FALSE)="NO","NO",HLOOKUP(F$15,Data_5!$F$10:$BG$42,$A21+2,FALSE)/Data_5!$BH16))))),"")</f>
        <v>7.5186544411358261E-2</v>
      </c>
      <c r="G21" s="1122">
        <f>IFERROR(IF(HLOOKUP(G$15,Data_5!$F$10:$BG$42,$A21+2,FALSE)="NO","NO",IF(HLOOKUP(G$15,Data_5!$F$10:$BG$42,$A21+2,FALSE)="IE","IE",IF(HLOOKUP(G$15,Data_5!$F$10:$BG$42,$A21+2,FALSE)="NE","NE",IF(HLOOKUP(G$15,Data_5!$F$10:$BG$42,$A21+2,FALSE)="C","C",IF(HLOOKUP(G$15,Data_5!$F$10:$BG$42,$A21+2,FALSE)="NO","NO",HLOOKUP(G$15,Data_5!$F$10:$BG$42,$A21+2,FALSE)/Data_5!$BH16))))),"")</f>
        <v>0.19570283901887692</v>
      </c>
      <c r="H21" s="1122">
        <f>IFERROR(IF(HLOOKUP(H$15,Data_5!$F$10:$BG$42,$A21+2,FALSE)="NO","NO",IF(HLOOKUP(H$15,Data_5!$F$10:$BG$42,$A21+2,FALSE)="IE","IE",IF(HLOOKUP(H$15,Data_5!$F$10:$BG$42,$A21+2,FALSE)="NE","NE",IF(HLOOKUP(H$15,Data_5!$F$10:$BG$42,$A21+2,FALSE)="C","C",IF(HLOOKUP(H$15,Data_5!$F$10:$BG$42,$A21+2,FALSE)="NO","NO",HLOOKUP(H$15,Data_5!$F$10:$BG$42,$A21+2,FALSE)/Data_5!$BH16))))),"")</f>
        <v>0.31879430275817849</v>
      </c>
      <c r="I21" s="1122" t="str">
        <f>IFERROR(IF(HLOOKUP(I$15,Data_5!$F$10:$BG$42,$A21+2,FALSE)="NO","NO",IF(HLOOKUP(I$15,Data_5!$F$10:$BG$42,$A21+2,FALSE)="IE","IE",IF(HLOOKUP(I$15,Data_5!$F$10:$BG$42,$A21+2,FALSE)="NE","NE",IF(HLOOKUP(I$15,Data_5!$F$10:$BG$42,$A21+2,FALSE)="C","C",IF(HLOOKUP(I$15,Data_5!$F$10:$BG$42,$A21+2,FALSE)="NO","NO",HLOOKUP(I$15,Data_5!$F$10:$BG$42,$A21+2,FALSE)/Data_5!$BH16))))),"")</f>
        <v>IE</v>
      </c>
      <c r="J21" s="1122" t="str">
        <f>IFERROR(IF(HLOOKUP(J$15,Data_5!$F$10:$BG$42,$A21+2,FALSE)="NO","NO",IF(HLOOKUP(J$15,Data_5!$F$10:$BG$42,$A21+2,FALSE)="IE","IE",IF(HLOOKUP(J$15,Data_5!$F$10:$BG$42,$A21+2,FALSE)="NE","NE",IF(HLOOKUP(J$15,Data_5!$F$10:$BG$42,$A21+2,FALSE)="C","C",IF(HLOOKUP(J$15,Data_5!$F$10:$BG$42,$A21+2,FALSE)="NO","NO",HLOOKUP(J$15,Data_5!$F$10:$BG$42,$A21+2,FALSE)/Data_5!$BH16))))),"")</f>
        <v>IE</v>
      </c>
      <c r="K21" s="1122" t="str">
        <f>IFERROR(IF(HLOOKUP(K$15,Data_5!$F$10:$BG$42,$A21+2,FALSE)="NO","NO",IF(HLOOKUP(K$15,Data_5!$F$10:$BG$42,$A21+2,FALSE)="IE","IE",IF(HLOOKUP(K$15,Data_5!$F$10:$BG$42,$A21+2,FALSE)="NE","NE",IF(HLOOKUP(K$15,Data_5!$F$10:$BG$42,$A21+2,FALSE)="C","C",IF(HLOOKUP(K$15,Data_5!$F$10:$BG$42,$A21+2,FALSE)="NO","NO",HLOOKUP(K$15,Data_5!$F$10:$BG$42,$A21+2,FALSE)/Data_5!$BH16))))),"")</f>
        <v>NO</v>
      </c>
      <c r="L21" s="1122" t="str">
        <f>IFERROR(IF(HLOOKUP(L$15,Data_5!$F$10:$BG$42,$A21+2,FALSE)="NO","NO",IF(HLOOKUP(L$15,Data_5!$F$10:$BG$42,$A21+2,FALSE)="IE","IE",IF(HLOOKUP(L$15,Data_5!$F$10:$BG$42,$A21+2,FALSE)="NE","NE",IF(HLOOKUP(L$15,Data_5!$F$10:$BG$42,$A21+2,FALSE)="C","C",IF(HLOOKUP(L$15,Data_5!$F$10:$BG$42,$A21+2,FALSE)="NO","NO",HLOOKUP(L$15,Data_5!$F$10:$BG$42,$A21+2,FALSE)/Data_5!$BH16))))),"")</f>
        <v>NO</v>
      </c>
      <c r="M21" s="1122" t="str">
        <f>IFERROR(IF(HLOOKUP(M$15,Data_5!$F$10:$BG$42,$A21+2,FALSE)="NO","NO",IF(HLOOKUP(M$15,Data_5!$F$10:$BG$42,$A21+2,FALSE)="IE","IE",IF(HLOOKUP(M$15,Data_5!$F$10:$BG$42,$A21+2,FALSE)="NE","NE",IF(HLOOKUP(M$15,Data_5!$F$10:$BG$42,$A21+2,FALSE)="C","C",IF(HLOOKUP(M$15,Data_5!$F$10:$BG$42,$A21+2,FALSE)="NO","NO",HLOOKUP(M$15,Data_5!$F$10:$BG$42,$A21+2,FALSE)/Data_5!$BH16))))),"")</f>
        <v>NO</v>
      </c>
      <c r="N21" s="1122" t="str">
        <f>IFERROR(IF(HLOOKUP(N$15,Data_5!$F$10:$BG$42,$A21+2,FALSE)="NO","NO",IF(HLOOKUP(N$15,Data_5!$F$10:$BG$42,$A21+2,FALSE)="IE","IE",IF(HLOOKUP(N$15,Data_5!$F$10:$BG$42,$A21+2,FALSE)="NE","NE",IF(HLOOKUP(N$15,Data_5!$F$10:$BG$42,$A21+2,FALSE)="C","C",IF(HLOOKUP(N$15,Data_5!$F$10:$BG$42,$A21+2,FALSE)="NO","NO",HLOOKUP(N$15,Data_5!$F$10:$BG$42,$A21+2,FALSE)/Data_5!$BH16))))),"")</f>
        <v>NO</v>
      </c>
      <c r="O21" s="1122" t="str">
        <f>IFERROR(IF(HLOOKUP(O$15,Data_5!$F$10:$BG$42,$A21+2,FALSE)="NO","NO",IF(HLOOKUP(O$15,Data_5!$F$10:$BG$42,$A21+2,FALSE)="IE","IE",IF(HLOOKUP(O$15,Data_5!$F$10:$BG$42,$A21+2,FALSE)="NE","NE",IF(HLOOKUP(O$15,Data_5!$F$10:$BG$42,$A21+2,FALSE)="C","C",IF(HLOOKUP(O$15,Data_5!$F$10:$BG$42,$A21+2,FALSE)="NO","NO",HLOOKUP(O$15,Data_5!$F$10:$BG$42,$A21+2,FALSE)/Data_5!$BH16))))),"")</f>
        <v>NO</v>
      </c>
      <c r="P21" s="1122" t="str">
        <f>IFERROR(IF(HLOOKUP(P$15,Data_5!$F$10:$BG$42,$A21+2,FALSE)="NO","NO",IF(HLOOKUP(P$15,Data_5!$F$10:$BG$42,$A21+2,FALSE)="IE","IE",IF(HLOOKUP(P$15,Data_5!$F$10:$BG$42,$A21+2,FALSE)="NE","NE",IF(HLOOKUP(P$15,Data_5!$F$10:$BG$42,$A21+2,FALSE)="C","C",IF(HLOOKUP(P$15,Data_5!$F$10:$BG$42,$A21+2,FALSE)="NO","NO",HLOOKUP(P$15,Data_5!$F$10:$BG$42,$A21+2,FALSE)/Data_5!$BH16))))),"")</f>
        <v>NO</v>
      </c>
      <c r="Q21" s="1122" t="str">
        <f>IFERROR(IF(HLOOKUP(Q$15,Data_5!$F$10:$BG$42,$A21+2,FALSE)="NO","NO",IF(HLOOKUP(Q$15,Data_5!$F$10:$BG$42,$A21+2,FALSE)="IE","IE",IF(HLOOKUP(Q$15,Data_5!$F$10:$BG$42,$A21+2,FALSE)="NE","NE",IF(HLOOKUP(Q$15,Data_5!$F$10:$BG$42,$A21+2,FALSE)="C","C",IF(HLOOKUP(Q$15,Data_5!$F$10:$BG$42,$A21+2,FALSE)="NO","NO",HLOOKUP(Q$15,Data_5!$F$10:$BG$42,$A21+2,FALSE)/Data_5!$BH16))))),"")</f>
        <v>NO</v>
      </c>
      <c r="R21" s="1122">
        <f>IFERROR(IF(HLOOKUP(R$15,Data_5!$F$10:$BG$42,$A21+2,FALSE)="NO","NO",IF(HLOOKUP(R$15,Data_5!$F$10:$BG$42,$A21+2,FALSE)="IE","IE",IF(HLOOKUP(R$15,Data_5!$F$10:$BG$42,$A21+2,FALSE)="NE","NE",IF(HLOOKUP(R$15,Data_5!$F$10:$BG$42,$A21+2,FALSE)="C","C",IF(HLOOKUP(R$15,Data_5!$F$10:$BG$42,$A21+2,FALSE)="NO","NO",HLOOKUP(R$15,Data_5!$F$10:$BG$42,$A21+2,FALSE)/Data_5!$BH16))))),"")</f>
        <v>3.7485216079865746E-3</v>
      </c>
      <c r="S21" s="1122">
        <f>IFERROR(IF(HLOOKUP(S$15,Data_5!$F$10:$BG$42,$A21+2,FALSE)="NO","NO",IF(HLOOKUP(S$15,Data_5!$F$10:$BG$42,$A21+2,FALSE)="IE","IE",IF(HLOOKUP(S$15,Data_5!$F$10:$BG$42,$A21+2,FALSE)="NE","NE",IF(HLOOKUP(S$15,Data_5!$F$10:$BG$42,$A21+2,FALSE)="C","C",IF(HLOOKUP(S$15,Data_5!$F$10:$BG$42,$A21+2,FALSE)="NO","NO",HLOOKUP(S$15,Data_5!$F$10:$BG$42,$A21+2,FALSE)/Data_5!$BH16))))),"")</f>
        <v>0.24996378301897898</v>
      </c>
      <c r="T21" s="1122" t="str">
        <f>IFERROR(IF(HLOOKUP(T$15,Data_5!$F$10:$BG$42,$A21+2,FALSE)="NO","NO",IF(HLOOKUP(T$15,Data_5!$F$10:$BG$42,$A21+2,FALSE)="IE","IE",IF(HLOOKUP(T$15,Data_5!$F$10:$BG$42,$A21+2,FALSE)="NE","NE",IF(HLOOKUP(T$15,Data_5!$F$10:$BG$42,$A21+2,FALSE)="C","C",IF(HLOOKUP(T$15,Data_5!$F$10:$BG$42,$A21+2,FALSE)="NO","NO",HLOOKUP(T$15,Data_5!$F$10:$BG$42,$A21+2,FALSE)/Data_5!$BH16))))),"")</f>
        <v>NO</v>
      </c>
      <c r="U21" s="1122">
        <f>IFERROR(IF(HLOOKUP(U$15,Data_5!$F$10:$BG$42,$A21+2,FALSE)="NO","NO",IF(HLOOKUP(U$15,Data_5!$F$10:$BG$42,$A21+2,FALSE)="IE","IE",IF(HLOOKUP(U$15,Data_5!$F$10:$BG$42,$A21+2,FALSE)="NE","NE",IF(HLOOKUP(U$15,Data_5!$F$10:$BG$42,$A21+2,FALSE)="C","C",IF(HLOOKUP(U$15,Data_5!$F$10:$BG$42,$A21+2,FALSE)="NO","NO",HLOOKUP(U$15,Data_5!$F$10:$BG$42,$A21+2,FALSE)/Data_5!$BH16))))),"")</f>
        <v>2.5668497561631889E-3</v>
      </c>
      <c r="V21" s="1122">
        <f>IFERROR(IF(HLOOKUP(V$15,Data_5!$F$10:$BG$42,$A21+2,FALSE)="NO","NO",IF(HLOOKUP(V$15,Data_5!$F$10:$BG$42,$A21+2,FALSE)="IE","IE",IF(HLOOKUP(V$15,Data_5!$F$10:$BG$42,$A21+2,FALSE)="NE","NE",IF(HLOOKUP(V$15,Data_5!$F$10:$BG$42,$A21+2,FALSE)="C","C",IF(HLOOKUP(V$15,Data_5!$F$10:$BG$42,$A21+2,FALSE)="NO","NO",HLOOKUP(V$15,Data_5!$F$10:$BG$42,$A21+2,FALSE)/Data_5!$BH16))))),"")</f>
        <v>9.1418453345279739E-3</v>
      </c>
      <c r="W21" s="1122">
        <f>IFERROR(IF(HLOOKUP(W$15,Data_5!$F$10:$BG$42,$A21+2,FALSE)="NO","NO",IF(HLOOKUP(W$15,Data_5!$F$10:$BG$42,$A21+2,FALSE)="IE","IE",IF(HLOOKUP(W$15,Data_5!$F$10:$BG$42,$A21+2,FALSE)="NE","NE",IF(HLOOKUP(W$15,Data_5!$F$10:$BG$42,$A21+2,FALSE)="C","C",IF(HLOOKUP(W$15,Data_5!$F$10:$BG$42,$A21+2,FALSE)="NO","NO",HLOOKUP(W$15,Data_5!$F$10:$BG$42,$A21+2,FALSE)/Data_5!$BH16))))),"")</f>
        <v>6.4008375606594358E-5</v>
      </c>
      <c r="X21" s="1122" t="str">
        <f>IFERROR(IF(HLOOKUP(X$15,Data_5!$F$10:$BG$42,$A21+2,FALSE)="NO","NO",IF(HLOOKUP(X$15,Data_5!$F$10:$BG$42,$A21+2,FALSE)="IE","IE",IF(HLOOKUP(X$15,Data_5!$F$10:$BG$42,$A21+2,FALSE)="NE","NE",IF(HLOOKUP(X$15,Data_5!$F$10:$BG$42,$A21+2,FALSE)="C","C",IF(HLOOKUP(X$15,Data_5!$F$10:$BG$42,$A21+2,FALSE)="NO","NO",HLOOKUP(X$15,Data_5!$F$10:$BG$42,$A21+2,FALSE)/Data_5!$BH16))))),"")</f>
        <v>NO</v>
      </c>
      <c r="Y21" s="1122" t="str">
        <f>IFERROR(IF(HLOOKUP(Y$15,Data_5!$F$10:$BG$42,$A21+2,FALSE)="NO","NO",IF(HLOOKUP(Y$15,Data_5!$F$10:$BG$42,$A21+2,FALSE)="IE","IE",IF(HLOOKUP(Y$15,Data_5!$F$10:$BG$42,$A21+2,FALSE)="NE","NE",IF(HLOOKUP(Y$15,Data_5!$F$10:$BG$42,$A21+2,FALSE)="C","C",IF(HLOOKUP(Y$15,Data_5!$F$10:$BG$42,$A21+2,FALSE)="NO","NO",HLOOKUP(Y$15,Data_5!$F$10:$BG$42,$A21+2,FALSE)/Data_5!$BH16))))),"")</f>
        <v>NO</v>
      </c>
      <c r="Z21" s="1122" t="str">
        <f>IFERROR(IF(HLOOKUP(Z$15,Data_5!$F$10:$BG$42,$A21+2,FALSE)="NO","NO",IF(HLOOKUP(Z$15,Data_5!$F$10:$BG$42,$A21+2,FALSE)="IE","IE",IF(HLOOKUP(Z$15,Data_5!$F$10:$BG$42,$A21+2,FALSE)="NE","NE",IF(HLOOKUP(Z$15,Data_5!$F$10:$BG$42,$A21+2,FALSE)="C","C",IF(HLOOKUP(Z$15,Data_5!$F$10:$BG$42,$A21+2,FALSE)="NO","NO",HLOOKUP(Z$15,Data_5!$F$10:$BG$42,$A21+2,FALSE)/Data_5!$BH16))))),"")</f>
        <v>NO</v>
      </c>
      <c r="AA21" s="1122">
        <f>IFERROR(IF(HLOOKUP(AA$15,Data_5!$F$10:$BG$42,$A21+2,FALSE)="NO","NO",IF(HLOOKUP(AA$15,Data_5!$F$10:$BG$42,$A21+2,FALSE)="IE","IE",IF(HLOOKUP(AA$15,Data_5!$F$10:$BG$42,$A21+2,FALSE)="NE","NE",IF(HLOOKUP(AA$15,Data_5!$F$10:$BG$42,$A21+2,FALSE)="C","C",IF(HLOOKUP(AA$15,Data_5!$F$10:$BG$42,$A21+2,FALSE)="NO","NO",HLOOKUP(AA$15,Data_5!$F$10:$BG$42,$A21+2,FALSE)/Data_5!$BH16))))),"")</f>
        <v>3.2786045650303594E-3</v>
      </c>
      <c r="AB21" s="1122" t="str">
        <f>IFERROR(IF(HLOOKUP(AB$15,Data_5!$F$10:$BG$42,$A21+2,FALSE)="NO","NO",IF(HLOOKUP(AB$15,Data_5!$F$10:$BG$42,$A21+2,FALSE)="IE","IE",IF(HLOOKUP(AB$15,Data_5!$F$10:$BG$42,$A21+2,FALSE)="NE","NE",IF(HLOOKUP(AB$15,Data_5!$F$10:$BG$42,$A21+2,FALSE)="C","C",IF(HLOOKUP(AB$15,Data_5!$F$10:$BG$42,$A21+2,FALSE)="NO","NO",HLOOKUP(AB$15,Data_5!$F$10:$BG$42,$A21+2,FALSE)/Data_5!$BH16))))),"")</f>
        <v>NO</v>
      </c>
      <c r="AC21" s="1122" t="str">
        <f>IFERROR(IF(HLOOKUP(AC$15,Data_5!$F$10:$BG$42,$A21+2,FALSE)="NO","NO",IF(HLOOKUP(AC$15,Data_5!$F$10:$BG$42,$A21+2,FALSE)="IE","IE",IF(HLOOKUP(AC$15,Data_5!$F$10:$BG$42,$A21+2,FALSE)="NE","NE",IF(HLOOKUP(AC$15,Data_5!$F$10:$BG$42,$A21+2,FALSE)="C","C",IF(HLOOKUP(AC$15,Data_5!$F$10:$BG$42,$A21+2,FALSE)="NO","NO",HLOOKUP(AC$15,Data_5!$F$10:$BG$42,$A21+2,FALSE)/Data_5!$BH16))))),"")</f>
        <v>NO</v>
      </c>
      <c r="AD21" s="1122" t="str">
        <f>IFERROR(IF(HLOOKUP(AD$15,Data_5!$F$10:$BG$42,$A21+2,FALSE)="NO","NO",IF(HLOOKUP(AD$15,Data_5!$F$10:$BG$42,$A21+2,FALSE)="IE","IE",IF(HLOOKUP(AD$15,Data_5!$F$10:$BG$42,$A21+2,FALSE)="NE","NE",IF(HLOOKUP(AD$15,Data_5!$F$10:$BG$42,$A21+2,FALSE)="C","C",IF(HLOOKUP(AD$15,Data_5!$F$10:$BG$42,$A21+2,FALSE)="NO","NO",HLOOKUP(AD$15,Data_5!$F$10:$BG$42,$A21+2,FALSE)/Data_5!$BH16))))),"")</f>
        <v>NO</v>
      </c>
      <c r="AE21" s="1122" t="str">
        <f>IFERROR(IF(HLOOKUP(AE$15,Data_5!$F$10:$BG$42,$A21+2,FALSE)="NO","NO",IF(HLOOKUP(AE$15,Data_5!$F$10:$BG$42,$A21+2,FALSE)="IE","IE",IF(HLOOKUP(AE$15,Data_5!$F$10:$BG$42,$A21+2,FALSE)="NE","NE",IF(HLOOKUP(AE$15,Data_5!$F$10:$BG$42,$A21+2,FALSE)="C","C",IF(HLOOKUP(AE$15,Data_5!$F$10:$BG$42,$A21+2,FALSE)="NO","NO",HLOOKUP(AE$15,Data_5!$F$10:$BG$42,$A21+2,FALSE)/Data_5!$BH16))))),"")</f>
        <v>NO</v>
      </c>
      <c r="AF21" s="1122" t="str">
        <f>IFERROR(IF(HLOOKUP(AF$15,Data_5!$F$10:$BG$42,$A21+2,FALSE)="NO","NO",IF(HLOOKUP(AF$15,Data_5!$F$10:$BG$42,$A21+2,FALSE)="IE","IE",IF(HLOOKUP(AF$15,Data_5!$F$10:$BG$42,$A21+2,FALSE)="NE","NE",IF(HLOOKUP(AF$15,Data_5!$F$10:$BG$42,$A21+2,FALSE)="C","C",IF(HLOOKUP(AF$15,Data_5!$F$10:$BG$42,$A21+2,FALSE)="NO","NO",HLOOKUP(AF$15,Data_5!$F$10:$BG$42,$A21+2,FALSE)/Data_5!$BH16))))),"")</f>
        <v>NO</v>
      </c>
      <c r="AG21" s="1122" t="str">
        <f>IFERROR(IF(HLOOKUP(AG$15,Data_5!$F$10:$BG$42,$A21+2,FALSE)="NO","NO",IF(HLOOKUP(AG$15,Data_5!$F$10:$BG$42,$A21+2,FALSE)="IE","IE",IF(HLOOKUP(AG$15,Data_5!$F$10:$BG$42,$A21+2,FALSE)="NE","NE",IF(HLOOKUP(AG$15,Data_5!$F$10:$BG$42,$A21+2,FALSE)="C","C",IF(HLOOKUP(AG$15,Data_5!$F$10:$BG$42,$A21+2,FALSE)="NO","NO",HLOOKUP(AG$15,Data_5!$F$10:$BG$42,$A21+2,FALSE)/Data_5!$BH16))))),"")</f>
        <v>NO</v>
      </c>
      <c r="AH21" s="1122">
        <f>IFERROR(IF(HLOOKUP(AH$15,Data_5!$F$10:$BG$42,$A21+2,FALSE)="NO","NO",IF(HLOOKUP(AH$15,Data_5!$F$10:$BG$42,$A21+2,FALSE)="IE","IE",IF(HLOOKUP(AH$15,Data_5!$F$10:$BG$42,$A21+2,FALSE)="NE","NE",IF(HLOOKUP(AH$15,Data_5!$F$10:$BG$42,$A21+2,FALSE)="C","C",IF(HLOOKUP(AH$15,Data_5!$F$10:$BG$42,$A21+2,FALSE)="NO","NO",HLOOKUP(AH$15,Data_5!$F$10:$BG$42,$A21+2,FALSE)/Data_5!$BH16))))),"")</f>
        <v>0</v>
      </c>
      <c r="AI21" s="1122">
        <f>IFERROR(IF(HLOOKUP(AI$15,Data_5!$F$10:$BG$42,$A21+2,FALSE)="NO","NO",IF(HLOOKUP(AI$15,Data_5!$F$10:$BG$42,$A21+2,FALSE)="IE","IE",IF(HLOOKUP(AI$15,Data_5!$F$10:$BG$42,$A21+2,FALSE)="NE","NE",IF(HLOOKUP(AI$15,Data_5!$F$10:$BG$42,$A21+2,FALSE)="C","C",IF(HLOOKUP(AI$15,Data_5!$F$10:$BG$42,$A21+2,FALSE)="NO","NO",HLOOKUP(AI$15,Data_5!$F$10:$BG$42,$A21+2,FALSE)/Data_5!$BH16))))),"")</f>
        <v>2.8414827736784488E-3</v>
      </c>
      <c r="AJ21" s="1122" t="str">
        <f>IFERROR(IF(HLOOKUP(AJ$15,Data_5!$F$10:$BG$42,$A21+2,FALSE)="NO","NO",IF(HLOOKUP(AJ$15,Data_5!$F$10:$BG$42,$A21+2,FALSE)="IE","IE",IF(HLOOKUP(AJ$15,Data_5!$F$10:$BG$42,$A21+2,FALSE)="NE","NE",IF(HLOOKUP(AJ$15,Data_5!$F$10:$BG$42,$A21+2,FALSE)="C","C",IF(HLOOKUP(AJ$15,Data_5!$F$10:$BG$42,$A21+2,FALSE)="NO","NO",HLOOKUP(AJ$15,Data_5!$F$10:$BG$42,$A21+2,FALSE)/Data_5!$BH16))))),"")</f>
        <v>NO</v>
      </c>
      <c r="AL21" s="2628" t="str">
        <f t="shared" si="0"/>
        <v>Boston</v>
      </c>
      <c r="AM21" s="2629"/>
      <c r="AN21" s="1100">
        <f t="shared" si="1"/>
        <v>2013</v>
      </c>
      <c r="AO21" s="1122" t="str">
        <f>IFERROR(IF(VLOOKUP($AL21,Data_5!$B$12:$E$42,4,FALSE)="BASIC","",(IF(HLOOKUP(AO$15,Data_5!$F$10:$BG$42,$A21+2,FALSE)="NO","NO",IF(HLOOKUP(AO$15,Data_5!$F$10:$BG$42,$A21+2,FALSE)="IE","IE",IF(HLOOKUP(AO$15,Data_5!$F$10:$BG$42,$A21+2,FALSE)="NE","NE",IF(HLOOKUP(AO$15,Data_5!$F$10:$BG$42,$A21+2,FALSE)="C","C",IF(HLOOKUP(AO$15,Data_5!$F$10:$BG$42,$A21+2,FALSE)="NO","NO",HLOOKUP(AO$15,Data_5!$F$10:$BG$42,$A21+2,FALSE)/Data_5!$BI16))))))),"")</f>
        <v/>
      </c>
      <c r="AP21" s="1122" t="str">
        <f>IFERROR(IF(VLOOKUP($AL21,Data_5!$B$12:$E$42,4,FALSE)="BASIC","",(IF(HLOOKUP(AP$15,Data_5!$F$10:$BG$42,$A21+2,FALSE)="NO","NO",IF(HLOOKUP(AP$15,Data_5!$F$10:$BG$42,$A21+2,FALSE)="IE","IE",IF(HLOOKUP(AP$15,Data_5!$F$10:$BG$42,$A21+2,FALSE)="NE","NE",IF(HLOOKUP(AP$15,Data_5!$F$10:$BG$42,$A21+2,FALSE)="C","C",IF(HLOOKUP(AP$15,Data_5!$F$10:$BG$42,$A21+2,FALSE)="NO","NO",HLOOKUP(AP$15,Data_5!$F$10:$BG$42,$A21+2,FALSE)/Data_5!$BI16))))))),"")</f>
        <v/>
      </c>
      <c r="AQ21" s="1122" t="str">
        <f>IFERROR(IF(VLOOKUP($AL21,Data_5!$B$12:$E$42,4,FALSE)="BASIC","",(IF(HLOOKUP(AQ$15,Data_5!$F$10:$BG$42,$A21+2,FALSE)="NO","NO",IF(HLOOKUP(AQ$15,Data_5!$F$10:$BG$42,$A21+2,FALSE)="IE","IE",IF(HLOOKUP(AQ$15,Data_5!$F$10:$BG$42,$A21+2,FALSE)="NE","NE",IF(HLOOKUP(AQ$15,Data_5!$F$10:$BG$42,$A21+2,FALSE)="C","C",IF(HLOOKUP(AQ$15,Data_5!$F$10:$BG$42,$A21+2,FALSE)="NO","NO",HLOOKUP(AQ$15,Data_5!$F$10:$BG$42,$A21+2,FALSE)/Data_5!$BI16))))))),"")</f>
        <v/>
      </c>
      <c r="AR21" s="1122" t="str">
        <f>IFERROR(IF(VLOOKUP($AL21,Data_5!$B$12:$E$42,4,FALSE)="BASIC","",(IF(HLOOKUP(AR$15,Data_5!$F$10:$BG$42,$A21+2,FALSE)="NO","NO",IF(HLOOKUP(AR$15,Data_5!$F$10:$BG$42,$A21+2,FALSE)="IE","IE",IF(HLOOKUP(AR$15,Data_5!$F$10:$BG$42,$A21+2,FALSE)="NE","NE",IF(HLOOKUP(AR$15,Data_5!$F$10:$BG$42,$A21+2,FALSE)="C","C",IF(HLOOKUP(AR$15,Data_5!$F$10:$BG$42,$A21+2,FALSE)="NO","NO",HLOOKUP(AR$15,Data_5!$F$10:$BG$42,$A21+2,FALSE)/Data_5!$BI16))))))),"")</f>
        <v/>
      </c>
      <c r="AS21" s="1122" t="str">
        <f>IFERROR(IF(VLOOKUP($AL21,Data_5!$B$12:$E$42,4,FALSE)="BASIC","",(IF(HLOOKUP(AS$15,Data_5!$F$10:$BG$42,$A21+2,FALSE)="NO","NO",IF(HLOOKUP(AS$15,Data_5!$F$10:$BG$42,$A21+2,FALSE)="IE","IE",IF(HLOOKUP(AS$15,Data_5!$F$10:$BG$42,$A21+2,FALSE)="NE","NE",IF(HLOOKUP(AS$15,Data_5!$F$10:$BG$42,$A21+2,FALSE)="C","C",IF(HLOOKUP(AS$15,Data_5!$F$10:$BG$42,$A21+2,FALSE)="NO","NO",HLOOKUP(AS$15,Data_5!$F$10:$BG$42,$A21+2,FALSE)/Data_5!$BI16))))))),"")</f>
        <v/>
      </c>
      <c r="AT21" s="1122" t="str">
        <f>IFERROR(IF(VLOOKUP($AL21,Data_5!$B$12:$E$42,4,FALSE)="BASIC","",(IF(HLOOKUP(AT$15,Data_5!$F$10:$BG$42,$A21+2,FALSE)="NO","NO",IF(HLOOKUP(AT$15,Data_5!$F$10:$BG$42,$A21+2,FALSE)="IE","IE",IF(HLOOKUP(AT$15,Data_5!$F$10:$BG$42,$A21+2,FALSE)="NE","NE",IF(HLOOKUP(AT$15,Data_5!$F$10:$BG$42,$A21+2,FALSE)="C","C",IF(HLOOKUP(AT$15,Data_5!$F$10:$BG$42,$A21+2,FALSE)="NO","NO",HLOOKUP(AT$15,Data_5!$F$10:$BG$42,$A21+2,FALSE)/Data_5!$BI16))))))),"")</f>
        <v/>
      </c>
      <c r="AU21" s="1122" t="str">
        <f>IFERROR(IF(VLOOKUP($AL21,Data_5!$B$12:$E$42,4,FALSE)="BASIC","",(IF(HLOOKUP(AU$15,Data_5!$F$10:$BG$42,$A21+2,FALSE)="NO","NO",IF(HLOOKUP(AU$15,Data_5!$F$10:$BG$42,$A21+2,FALSE)="IE","IE",IF(HLOOKUP(AU$15,Data_5!$F$10:$BG$42,$A21+2,FALSE)="NE","NE",IF(HLOOKUP(AU$15,Data_5!$F$10:$BG$42,$A21+2,FALSE)="C","C",IF(HLOOKUP(AU$15,Data_5!$F$10:$BG$42,$A21+2,FALSE)="NO","NO",HLOOKUP(AU$15,Data_5!$F$10:$BG$42,$A21+2,FALSE)/Data_5!$BI16))))))),"")</f>
        <v/>
      </c>
      <c r="AV21" s="1122" t="str">
        <f>IFERROR(IF(VLOOKUP($AL21,Data_5!$B$12:$E$42,4,FALSE)="BASIC","",(IF(HLOOKUP(AV$15,Data_5!$F$10:$BG$42,$A21+2,FALSE)="NO","NO",IF(HLOOKUP(AV$15,Data_5!$F$10:$BG$42,$A21+2,FALSE)="IE","IE",IF(HLOOKUP(AV$15,Data_5!$F$10:$BG$42,$A21+2,FALSE)="NE","NE",IF(HLOOKUP(AV$15,Data_5!$F$10:$BG$42,$A21+2,FALSE)="C","C",IF(HLOOKUP(AV$15,Data_5!$F$10:$BG$42,$A21+2,FALSE)="NO","NO",HLOOKUP(AV$15,Data_5!$F$10:$BG$42,$A21+2,FALSE)/Data_5!$BI16))))))),"")</f>
        <v/>
      </c>
      <c r="AW21" s="1122" t="str">
        <f>IFERROR(IF(VLOOKUP($AL21,Data_5!$B$12:$E$42,4,FALSE)="BASIC","",(IF(HLOOKUP(AW$15,Data_5!$F$10:$BG$42,$A21+2,FALSE)="NO","NO",IF(HLOOKUP(AW$15,Data_5!$F$10:$BG$42,$A21+2,FALSE)="IE","IE",IF(HLOOKUP(AW$15,Data_5!$F$10:$BG$42,$A21+2,FALSE)="NE","NE",IF(HLOOKUP(AW$15,Data_5!$F$10:$BG$42,$A21+2,FALSE)="C","C",IF(HLOOKUP(AW$15,Data_5!$F$10:$BG$42,$A21+2,FALSE)="NO","NO",HLOOKUP(AW$15,Data_5!$F$10:$BG$42,$A21+2,FALSE)/Data_5!$BI16))))))),"")</f>
        <v/>
      </c>
      <c r="AX21" s="1122" t="str">
        <f>IFERROR(IF(VLOOKUP($AL21,Data_5!$B$12:$E$42,4,FALSE)="BASIC","",(IF(HLOOKUP(AX$15,Data_5!$F$10:$BG$42,$A21+2,FALSE)="NO","NO",IF(HLOOKUP(AX$15,Data_5!$F$10:$BG$42,$A21+2,FALSE)="IE","IE",IF(HLOOKUP(AX$15,Data_5!$F$10:$BG$42,$A21+2,FALSE)="NE","NE",IF(HLOOKUP(AX$15,Data_5!$F$10:$BG$42,$A21+2,FALSE)="C","C",IF(HLOOKUP(AX$15,Data_5!$F$10:$BG$42,$A21+2,FALSE)="NO","NO",HLOOKUP(AX$15,Data_5!$F$10:$BG$42,$A21+2,FALSE)/Data_5!$BI16))))))),"")</f>
        <v/>
      </c>
      <c r="AY21" s="1122" t="str">
        <f>IFERROR(IF(VLOOKUP($AL21,Data_5!$B$12:$E$42,4,FALSE)="BASIC","",(IF(HLOOKUP(AY$15,Data_5!$F$10:$BG$42,$A21+2,FALSE)="NO","NO",IF(HLOOKUP(AY$15,Data_5!$F$10:$BG$42,$A21+2,FALSE)="IE","IE",IF(HLOOKUP(AY$15,Data_5!$F$10:$BG$42,$A21+2,FALSE)="NE","NE",IF(HLOOKUP(AY$15,Data_5!$F$10:$BG$42,$A21+2,FALSE)="C","C",IF(HLOOKUP(AY$15,Data_5!$F$10:$BG$42,$A21+2,FALSE)="NO","NO",HLOOKUP(AY$15,Data_5!$F$10:$BG$42,$A21+2,FALSE)/Data_5!$BI16))))))),"")</f>
        <v/>
      </c>
      <c r="AZ21" s="1122" t="str">
        <f>IFERROR(IF(VLOOKUP($AL21,Data_5!$B$12:$E$42,4,FALSE)="BASIC","",(IF(HLOOKUP(AZ$15,Data_5!$F$10:$BG$42,$A21+2,FALSE)="NO","NO",IF(HLOOKUP(AZ$15,Data_5!$F$10:$BG$42,$A21+2,FALSE)="IE","IE",IF(HLOOKUP(AZ$15,Data_5!$F$10:$BG$42,$A21+2,FALSE)="NE","NE",IF(HLOOKUP(AZ$15,Data_5!$F$10:$BG$42,$A21+2,FALSE)="C","C",IF(HLOOKUP(AZ$15,Data_5!$F$10:$BG$42,$A21+2,FALSE)="NO","NO",HLOOKUP(AZ$15,Data_5!$F$10:$BG$42,$A21+2,FALSE)/Data_5!$BI16))))))),"")</f>
        <v/>
      </c>
      <c r="BA21" s="1122" t="str">
        <f>IFERROR(IF(VLOOKUP($AL21,Data_5!$B$12:$E$42,4,FALSE)="BASIC","",(IF(HLOOKUP(BA$15,Data_5!$F$10:$BG$42,$A21+2,FALSE)="NO","NO",IF(HLOOKUP(BA$15,Data_5!$F$10:$BG$42,$A21+2,FALSE)="IE","IE",IF(HLOOKUP(BA$15,Data_5!$F$10:$BG$42,$A21+2,FALSE)="NE","NE",IF(HLOOKUP(BA$15,Data_5!$F$10:$BG$42,$A21+2,FALSE)="C","C",IF(HLOOKUP(BA$15,Data_5!$F$10:$BG$42,$A21+2,FALSE)="NO","NO",HLOOKUP(BA$15,Data_5!$F$10:$BG$42,$A21+2,FALSE)/Data_5!$BI16))))))),"")</f>
        <v/>
      </c>
      <c r="BB21" s="1122" t="str">
        <f>IFERROR(IF(VLOOKUP($AL21,Data_5!$B$12:$E$42,4,FALSE)="BASIC","",(IF(HLOOKUP(BB$15,Data_5!$F$10:$BG$42,$A21+2,FALSE)="NO","NO",IF(HLOOKUP(BB$15,Data_5!$F$10:$BG$42,$A21+2,FALSE)="IE","IE",IF(HLOOKUP(BB$15,Data_5!$F$10:$BG$42,$A21+2,FALSE)="NE","NE",IF(HLOOKUP(BB$15,Data_5!$F$10:$BG$42,$A21+2,FALSE)="C","C",IF(HLOOKUP(BB$15,Data_5!$F$10:$BG$42,$A21+2,FALSE)="NO","NO",HLOOKUP(BB$15,Data_5!$F$10:$BG$42,$A21+2,FALSE)/Data_5!$BI16))))))),"")</f>
        <v/>
      </c>
      <c r="BC21" s="1122" t="str">
        <f>IFERROR(IF(VLOOKUP($AL21,Data_5!$B$12:$E$42,4,FALSE)="BASIC","",(IF(HLOOKUP(BC$15,Data_5!$F$10:$BG$42,$A21+2,FALSE)="NO","NO",IF(HLOOKUP(BC$15,Data_5!$F$10:$BG$42,$A21+2,FALSE)="IE","IE",IF(HLOOKUP(BC$15,Data_5!$F$10:$BG$42,$A21+2,FALSE)="NE","NE",IF(HLOOKUP(BC$15,Data_5!$F$10:$BG$42,$A21+2,FALSE)="C","C",IF(HLOOKUP(BC$15,Data_5!$F$10:$BG$42,$A21+2,FALSE)="NO","NO",HLOOKUP(BC$15,Data_5!$F$10:$BG$42,$A21+2,FALSE)/Data_5!$BI16))))))),"")</f>
        <v/>
      </c>
      <c r="BD21" s="1122" t="str">
        <f>IFERROR(IF(VLOOKUP($AL21,Data_5!$B$12:$E$42,4,FALSE)="BASIC","",(IF(HLOOKUP(BD$15,Data_5!$F$10:$BG$42,$A21+2,FALSE)="NO","NO",IF(HLOOKUP(BD$15,Data_5!$F$10:$BG$42,$A21+2,FALSE)="IE","IE",IF(HLOOKUP(BD$15,Data_5!$F$10:$BG$42,$A21+2,FALSE)="NE","NE",IF(HLOOKUP(BD$15,Data_5!$F$10:$BG$42,$A21+2,FALSE)="C","C",IF(HLOOKUP(BD$15,Data_5!$F$10:$BG$42,$A21+2,FALSE)="NO","NO",HLOOKUP(BD$15,Data_5!$F$10:$BG$42,$A21+2,FALSE)/Data_5!$BI16))))))),"")</f>
        <v/>
      </c>
      <c r="BE21" s="1122" t="str">
        <f>IFERROR(IF(VLOOKUP($AL21,Data_5!$B$12:$E$42,4,FALSE)="BASIC","",(IF(HLOOKUP(BE$15,Data_5!$F$10:$BG$42,$A21+2,FALSE)="NO","NO",IF(HLOOKUP(BE$15,Data_5!$F$10:$BG$42,$A21+2,FALSE)="IE","IE",IF(HLOOKUP(BE$15,Data_5!$F$10:$BG$42,$A21+2,FALSE)="NE","NE",IF(HLOOKUP(BE$15,Data_5!$F$10:$BG$42,$A21+2,FALSE)="C","C",IF(HLOOKUP(BE$15,Data_5!$F$10:$BG$42,$A21+2,FALSE)="NO","NO",HLOOKUP(BE$15,Data_5!$F$10:$BG$42,$A21+2,FALSE)/Data_5!$BI16))))))),"")</f>
        <v/>
      </c>
      <c r="BF21" s="1122" t="str">
        <f>IFERROR(IF(VLOOKUP($AL21,Data_5!$B$12:$E$42,4,FALSE)="BASIC","",(IF(HLOOKUP(BF$15,Data_5!$F$10:$BG$42,$A21+2,FALSE)="NO","NO",IF(HLOOKUP(BF$15,Data_5!$F$10:$BG$42,$A21+2,FALSE)="IE","IE",IF(HLOOKUP(BF$15,Data_5!$F$10:$BG$42,$A21+2,FALSE)="NE","NE",IF(HLOOKUP(BF$15,Data_5!$F$10:$BG$42,$A21+2,FALSE)="C","C",IF(HLOOKUP(BF$15,Data_5!$F$10:$BG$42,$A21+2,FALSE)="NO","NO",HLOOKUP(BF$15,Data_5!$F$10:$BG$42,$A21+2,FALSE)/Data_5!$BI16))))))),"")</f>
        <v/>
      </c>
      <c r="BG21" s="1122" t="str">
        <f>IFERROR(IF(VLOOKUP($AL21,Data_5!$B$12:$E$42,4,FALSE)="BASIC","",(IF(HLOOKUP(BG$15,Data_5!$F$10:$BG$42,$A21+2,FALSE)="NO","NO",IF(HLOOKUP(BG$15,Data_5!$F$10:$BG$42,$A21+2,FALSE)="IE","IE",IF(HLOOKUP(BG$15,Data_5!$F$10:$BG$42,$A21+2,FALSE)="NE","NE",IF(HLOOKUP(BG$15,Data_5!$F$10:$BG$42,$A21+2,FALSE)="C","C",IF(HLOOKUP(BG$15,Data_5!$F$10:$BG$42,$A21+2,FALSE)="NO","NO",HLOOKUP(BG$15,Data_5!$F$10:$BG$42,$A21+2,FALSE)/Data_5!$BI16))))))),"")</f>
        <v/>
      </c>
      <c r="BH21" s="1122" t="str">
        <f>IFERROR(IF(VLOOKUP($AL21,Data_5!$B$12:$E$42,4,FALSE)="BASIC","",(IF(HLOOKUP(BH$15,Data_5!$F$10:$BG$42,$A21+2,FALSE)="NO","NO",IF(HLOOKUP(BH$15,Data_5!$F$10:$BG$42,$A21+2,FALSE)="IE","IE",IF(HLOOKUP(BH$15,Data_5!$F$10:$BG$42,$A21+2,FALSE)="NE","NE",IF(HLOOKUP(BH$15,Data_5!$F$10:$BG$42,$A21+2,FALSE)="C","C",IF(HLOOKUP(BH$15,Data_5!$F$10:$BG$42,$A21+2,FALSE)="NO","NO",HLOOKUP(BH$15,Data_5!$F$10:$BG$42,$A21+2,FALSE)/Data_5!$BI16))))))),"")</f>
        <v/>
      </c>
      <c r="BI21" s="1122" t="str">
        <f>IFERROR(IF(VLOOKUP($AL21,Data_5!$B$12:$E$42,4,FALSE)="BASIC","",(IF(HLOOKUP(BI$15,Data_5!$F$10:$BG$42,$A21+2,FALSE)="NO","NO",IF(HLOOKUP(BI$15,Data_5!$F$10:$BG$42,$A21+2,FALSE)="IE","IE",IF(HLOOKUP(BI$15,Data_5!$F$10:$BG$42,$A21+2,FALSE)="NE","NE",IF(HLOOKUP(BI$15,Data_5!$F$10:$BG$42,$A21+2,FALSE)="C","C",IF(HLOOKUP(BI$15,Data_5!$F$10:$BG$42,$A21+2,FALSE)="NO","NO",HLOOKUP(BI$15,Data_5!$F$10:$BG$42,$A21+2,FALSE)/Data_5!$BI16))))))),"")</f>
        <v/>
      </c>
      <c r="BJ21" s="1122" t="str">
        <f>IFERROR(IF(VLOOKUP($AL21,Data_5!$B$12:$E$42,4,FALSE)="BASIC","",(IF(HLOOKUP(BJ$15,Data_5!$F$10:$BG$42,$A21+2,FALSE)="NO","NO",IF(HLOOKUP(BJ$15,Data_5!$F$10:$BG$42,$A21+2,FALSE)="IE","IE",IF(HLOOKUP(BJ$15,Data_5!$F$10:$BG$42,$A21+2,FALSE)="NE","NE",IF(HLOOKUP(BJ$15,Data_5!$F$10:$BG$42,$A21+2,FALSE)="C","C",IF(HLOOKUP(BJ$15,Data_5!$F$10:$BG$42,$A21+2,FALSE)="NO","NO",HLOOKUP(BJ$15,Data_5!$F$10:$BG$42,$A21+2,FALSE)/Data_5!$BI16))))))),"")</f>
        <v/>
      </c>
      <c r="BK21" s="1122" t="str">
        <f>IFERROR(IF(VLOOKUP($AL21,Data_5!$B$12:$E$42,4,FALSE)="BASIC","",(IF(HLOOKUP(BK$15,Data_5!$F$10:$BG$42,$A21+2,FALSE)="NO","NO",IF(HLOOKUP(BK$15,Data_5!$F$10:$BG$42,$A21+2,FALSE)="IE","IE",IF(HLOOKUP(BK$15,Data_5!$F$10:$BG$42,$A21+2,FALSE)="NE","NE",IF(HLOOKUP(BK$15,Data_5!$F$10:$BG$42,$A21+2,FALSE)="C","C",IF(HLOOKUP(BK$15,Data_5!$F$10:$BG$42,$A21+2,FALSE)="NO","NO",HLOOKUP(BK$15,Data_5!$F$10:$BG$42,$A21+2,FALSE)/Data_5!$BI16))))))),"")</f>
        <v/>
      </c>
      <c r="BL21" s="1122" t="str">
        <f>IFERROR(IF(VLOOKUP($AL21,Data_5!$B$12:$E$42,4,FALSE)="BASIC","",(IF(HLOOKUP(BL$15,Data_5!$F$10:$BG$42,$A21+2,FALSE)="NO","NO",IF(HLOOKUP(BL$15,Data_5!$F$10:$BG$42,$A21+2,FALSE)="IE","IE",IF(HLOOKUP(BL$15,Data_5!$F$10:$BG$42,$A21+2,FALSE)="NE","NE",IF(HLOOKUP(BL$15,Data_5!$F$10:$BG$42,$A21+2,FALSE)="C","C",IF(HLOOKUP(BL$15,Data_5!$F$10:$BG$42,$A21+2,FALSE)="NO","NO",HLOOKUP(BL$15,Data_5!$F$10:$BG$42,$A21+2,FALSE)/Data_5!$BI16))))))),"")</f>
        <v/>
      </c>
      <c r="BM21" s="1122" t="str">
        <f>IFERROR(IF(VLOOKUP($AL21,Data_5!$B$12:$E$42,4,FALSE)="BASIC","",(IF(HLOOKUP(BM$15,Data_5!$F$10:$BG$42,$A21+2,FALSE)="NO","NO",IF(HLOOKUP(BM$15,Data_5!$F$10:$BG$42,$A21+2,FALSE)="IE","IE",IF(HLOOKUP(BM$15,Data_5!$F$10:$BG$42,$A21+2,FALSE)="NE","NE",IF(HLOOKUP(BM$15,Data_5!$F$10:$BG$42,$A21+2,FALSE)="C","C",IF(HLOOKUP(BM$15,Data_5!$F$10:$BG$42,$A21+2,FALSE)="NO","NO",HLOOKUP(BM$15,Data_5!$F$10:$BG$42,$A21+2,FALSE)/Data_5!$BI16))))))),"")</f>
        <v/>
      </c>
      <c r="BN21" s="1122" t="str">
        <f>IFERROR(IF(VLOOKUP($AL21,Data_5!$B$12:$E$42,4,FALSE)="BASIC","",(IF(HLOOKUP(BN$15,Data_5!$F$10:$BG$42,$A21+2,FALSE)="NO","NO",IF(HLOOKUP(BN$15,Data_5!$F$10:$BG$42,$A21+2,FALSE)="IE","IE",IF(HLOOKUP(BN$15,Data_5!$F$10:$BG$42,$A21+2,FALSE)="NE","NE",IF(HLOOKUP(BN$15,Data_5!$F$10:$BG$42,$A21+2,FALSE)="C","C",IF(HLOOKUP(BN$15,Data_5!$F$10:$BG$42,$A21+2,FALSE)="NO","NO",HLOOKUP(BN$15,Data_5!$F$10:$BG$42,$A21+2,FALSE)/Data_5!$BI16))))))),"")</f>
        <v/>
      </c>
      <c r="BO21" s="1122" t="str">
        <f>IFERROR(IF(VLOOKUP($AL21,Data_5!$B$12:$E$42,4,FALSE)="BASIC","",(IF(HLOOKUP(BO$15,Data_5!$F$10:$BG$42,$A21+2,FALSE)="NO","NO",IF(HLOOKUP(BO$15,Data_5!$F$10:$BG$42,$A21+2,FALSE)="IE","IE",IF(HLOOKUP(BO$15,Data_5!$F$10:$BG$42,$A21+2,FALSE)="NE","NE",IF(HLOOKUP(BO$15,Data_5!$F$10:$BG$42,$A21+2,FALSE)="C","C",IF(HLOOKUP(BO$15,Data_5!$F$10:$BG$42,$A21+2,FALSE)="NO","NO",HLOOKUP(BO$15,Data_5!$F$10:$BG$42,$A21+2,FALSE)/Data_5!$BI16))))))),"")</f>
        <v/>
      </c>
      <c r="BP21" s="1122" t="str">
        <f>IFERROR(IF(VLOOKUP($AL21,Data_5!$B$12:$E$42,4,FALSE)="BASIC","",(IF(HLOOKUP(BP$15,Data_5!$F$10:$BG$42,$A21+2,FALSE)="NO","NO",IF(HLOOKUP(BP$15,Data_5!$F$10:$BG$42,$A21+2,FALSE)="IE","IE",IF(HLOOKUP(BP$15,Data_5!$F$10:$BG$42,$A21+2,FALSE)="NE","NE",IF(HLOOKUP(BP$15,Data_5!$F$10:$BG$42,$A21+2,FALSE)="C","C",IF(HLOOKUP(BP$15,Data_5!$F$10:$BG$42,$A21+2,FALSE)="NO","NO",HLOOKUP(BP$15,Data_5!$F$10:$BG$42,$A21+2,FALSE)/Data_5!$BI16))))))),"")</f>
        <v/>
      </c>
      <c r="BQ21" s="1122" t="str">
        <f>IFERROR(IF(VLOOKUP($AL21,Data_5!$B$12:$E$42,4,FALSE)="BASIC","",(IF(HLOOKUP(BQ$15,Data_5!$F$10:$BG$42,$A21+2,FALSE)="NO","NO",IF(HLOOKUP(BQ$15,Data_5!$F$10:$BG$42,$A21+2,FALSE)="IE","IE",IF(HLOOKUP(BQ$15,Data_5!$F$10:$BG$42,$A21+2,FALSE)="NE","NE",IF(HLOOKUP(BQ$15,Data_5!$F$10:$BG$42,$A21+2,FALSE)="C","C",IF(HLOOKUP(BQ$15,Data_5!$F$10:$BG$42,$A21+2,FALSE)="NO","NO",HLOOKUP(BQ$15,Data_5!$F$10:$BG$42,$A21+2,FALSE)/Data_5!$BI16))))))),"")</f>
        <v/>
      </c>
      <c r="BR21" s="1122" t="str">
        <f>IFERROR(IF(VLOOKUP($AL21,Data_5!$B$12:$E$42,4,FALSE)="BASIC","",(IF(HLOOKUP(BR$15,Data_5!$F$10:$BG$42,$A21+2,FALSE)="NO","NO",IF(HLOOKUP(BR$15,Data_5!$F$10:$BG$42,$A21+2,FALSE)="IE","IE",IF(HLOOKUP(BR$15,Data_5!$F$10:$BG$42,$A21+2,FALSE)="NE","NE",IF(HLOOKUP(BR$15,Data_5!$F$10:$BG$42,$A21+2,FALSE)="C","C",IF(HLOOKUP(BR$15,Data_5!$F$10:$BG$42,$A21+2,FALSE)="NO","NO",HLOOKUP(BR$15,Data_5!$F$10:$BG$42,$A21+2,FALSE)/Data_5!$BI16))))))),"")</f>
        <v/>
      </c>
      <c r="BS21" s="1122" t="str">
        <f>IFERROR(IF(VLOOKUP($AL21,Data_5!$B$12:$E$42,4,FALSE)="BASIC","",(IF(HLOOKUP(BS$15,Data_5!$F$10:$BG$42,$A21+2,FALSE)="NO","NO",IF(HLOOKUP(BS$15,Data_5!$F$10:$BG$42,$A21+2,FALSE)="IE","IE",IF(HLOOKUP(BS$15,Data_5!$F$10:$BG$42,$A21+2,FALSE)="NE","NE",IF(HLOOKUP(BS$15,Data_5!$F$10:$BG$42,$A21+2,FALSE)="C","C",IF(HLOOKUP(BS$15,Data_5!$F$10:$BG$42,$A21+2,FALSE)="NO","NO",HLOOKUP(BS$15,Data_5!$F$10:$BG$42,$A21+2,FALSE)/Data_5!$BI16))))))),"")</f>
        <v/>
      </c>
      <c r="BT21" s="1122" t="str">
        <f>IFERROR(IF(VLOOKUP($AL21,Data_5!$B$12:$E$42,4,FALSE)="BASIC","",(IF(HLOOKUP(BT$15,Data_5!$F$10:$BG$42,$A21+2,FALSE)="NO","NO",IF(HLOOKUP(BT$15,Data_5!$F$10:$BG$42,$A21+2,FALSE)="IE","IE",IF(HLOOKUP(BT$15,Data_5!$F$10:$BG$42,$A21+2,FALSE)="NE","NE",IF(HLOOKUP(BT$15,Data_5!$F$10:$BG$42,$A21+2,FALSE)="C","C",IF(HLOOKUP(BT$15,Data_5!$F$10:$BG$42,$A21+2,FALSE)="NO","NO",HLOOKUP(BT$15,Data_5!$F$10:$BG$42,$A21+2,FALSE)/Data_5!$BI16))))))),"")</f>
        <v/>
      </c>
      <c r="BU21" s="1122" t="str">
        <f>IFERROR(IF(VLOOKUP($AL21,Data_5!$B$12:$E$42,4,FALSE)="BASIC","",(IF(HLOOKUP(BU$15,Data_5!$F$10:$BG$42,$A21+2,FALSE)="NO","NO",IF(HLOOKUP(BU$15,Data_5!$F$10:$BG$42,$A21+2,FALSE)="IE","IE",IF(HLOOKUP(BU$15,Data_5!$F$10:$BG$42,$A21+2,FALSE)="NE","NE",IF(HLOOKUP(BU$15,Data_5!$F$10:$BG$42,$A21+2,FALSE)="C","C",IF(HLOOKUP(BU$15,Data_5!$F$10:$BG$42,$A21+2,FALSE)="NO","NO",HLOOKUP(BU$15,Data_5!$F$10:$BG$42,$A21+2,FALSE)/Data_5!$BI16))))))),"")</f>
        <v/>
      </c>
      <c r="BV21" s="1122" t="str">
        <f>IFERROR(IF(VLOOKUP($AL21,Data_5!$B$12:$E$42,4,FALSE)="BASIC","",(IF(HLOOKUP(BV$15,Data_5!$F$10:$BG$42,$A21+2,FALSE)="NO","NO",IF(HLOOKUP(BV$15,Data_5!$F$10:$BG$42,$A21+2,FALSE)="IE","IE",IF(HLOOKUP(BV$15,Data_5!$F$10:$BG$42,$A21+2,FALSE)="NE","NE",IF(HLOOKUP(BV$15,Data_5!$F$10:$BG$42,$A21+2,FALSE)="C","C",IF(HLOOKUP(BV$15,Data_5!$F$10:$BG$42,$A21+2,FALSE)="NO","NO",HLOOKUP(BV$15,Data_5!$F$10:$BG$42,$A21+2,FALSE)/Data_5!$BI16))))))),"")</f>
        <v/>
      </c>
      <c r="BW21" s="1122" t="str">
        <f>IFERROR(IF(VLOOKUP($AL21,Data_5!$B$12:$E$42,4,FALSE)="BASIC","",(IF(HLOOKUP(BW$15,Data_5!$F$10:$BG$42,$A21+2,FALSE)="NO","NO",IF(HLOOKUP(BW$15,Data_5!$F$10:$BG$42,$A21+2,FALSE)="IE","IE",IF(HLOOKUP(BW$15,Data_5!$F$10:$BG$42,$A21+2,FALSE)="NE","NE",IF(HLOOKUP(BW$15,Data_5!$F$10:$BG$42,$A21+2,FALSE)="C","C",IF(HLOOKUP(BW$15,Data_5!$F$10:$BG$42,$A21+2,FALSE)="NO","NO",HLOOKUP(BW$15,Data_5!$F$10:$BG$42,$A21+2,FALSE)/Data_5!$BI16))))))),"")</f>
        <v/>
      </c>
      <c r="BX21" s="1122" t="str">
        <f>IFERROR(IF(VLOOKUP($AL21,Data_5!$B$12:$E$42,4,FALSE)="BASIC","",(IF(HLOOKUP(BX$15,Data_5!$F$10:$BG$42,$A21+2,FALSE)="NO","NO",IF(HLOOKUP(BX$15,Data_5!$F$10:$BG$42,$A21+2,FALSE)="IE","IE",IF(HLOOKUP(BX$15,Data_5!$F$10:$BG$42,$A21+2,FALSE)="NE","NE",IF(HLOOKUP(BX$15,Data_5!$F$10:$BG$42,$A21+2,FALSE)="C","C",IF(HLOOKUP(BX$15,Data_5!$F$10:$BG$42,$A21+2,FALSE)="NO","NO",HLOOKUP(BX$15,Data_5!$F$10:$BG$42,$A21+2,FALSE)/Data_5!$BI16))))))),"")</f>
        <v/>
      </c>
      <c r="BY21" s="1122" t="str">
        <f>IFERROR(IF(VLOOKUP($AL21,Data_5!$B$12:$E$42,4,FALSE)="BASIC","",(IF(HLOOKUP(BY$15,Data_5!$F$10:$BG$42,$A21+2,FALSE)="NO","NO",IF(HLOOKUP(BY$15,Data_5!$F$10:$BG$42,$A21+2,FALSE)="IE","IE",IF(HLOOKUP(BY$15,Data_5!$F$10:$BG$42,$A21+2,FALSE)="NE","NE",IF(HLOOKUP(BY$15,Data_5!$F$10:$BG$42,$A21+2,FALSE)="C","C",IF(HLOOKUP(BY$15,Data_5!$F$10:$BG$42,$A21+2,FALSE)="NO","NO",HLOOKUP(BY$15,Data_5!$F$10:$BG$42,$A21+2,FALSE)/Data_5!$BI16))))))),"")</f>
        <v/>
      </c>
      <c r="BZ21" s="1122" t="str">
        <f>IFERROR(IF(VLOOKUP($AL21,Data_5!$B$12:$E$42,4,FALSE)="BASIC","",(IF(HLOOKUP(BZ$15,Data_5!$F$10:$BG$42,$A21+2,FALSE)="NO","NO",IF(HLOOKUP(BZ$15,Data_5!$F$10:$BG$42,$A21+2,FALSE)="IE","IE",IF(HLOOKUP(BZ$15,Data_5!$F$10:$BG$42,$A21+2,FALSE)="NE","NE",IF(HLOOKUP(BZ$15,Data_5!$F$10:$BG$42,$A21+2,FALSE)="C","C",IF(HLOOKUP(BZ$15,Data_5!$F$10:$BG$42,$A21+2,FALSE)="NO","NO",HLOOKUP(BZ$15,Data_5!$F$10:$BG$42,$A21+2,FALSE)/Data_5!$BI16))))))),"")</f>
        <v/>
      </c>
      <c r="CA21" s="1122" t="str">
        <f>IFERROR(IF(VLOOKUP($AL21,Data_5!$B$12:$E$42,4,FALSE)="BASIC","",(IF(HLOOKUP(CA$15,Data_5!$F$10:$BG$42,$A21+2,FALSE)="NO","NO",IF(HLOOKUP(CA$15,Data_5!$F$10:$BG$42,$A21+2,FALSE)="IE","IE",IF(HLOOKUP(CA$15,Data_5!$F$10:$BG$42,$A21+2,FALSE)="NE","NE",IF(HLOOKUP(CA$15,Data_5!$F$10:$BG$42,$A21+2,FALSE)="C","C",IF(HLOOKUP(CA$15,Data_5!$F$10:$BG$42,$A21+2,FALSE)="NO","NO",HLOOKUP(CA$15,Data_5!$F$10:$BG$42,$A21+2,FALSE)/Data_5!$BI16))))))),"")</f>
        <v/>
      </c>
      <c r="CB21" s="1122" t="str">
        <f>IFERROR(IF(VLOOKUP($AL21,Data_5!$B$12:$E$42,4,FALSE)="BASIC","",(IF(HLOOKUP(CB$15,Data_5!$F$10:$BG$42,$A21+2,FALSE)="NO","NO",IF(HLOOKUP(CB$15,Data_5!$F$10:$BG$42,$A21+2,FALSE)="IE","IE",IF(HLOOKUP(CB$15,Data_5!$F$10:$BG$42,$A21+2,FALSE)="NE","NE",IF(HLOOKUP(CB$15,Data_5!$F$10:$BG$42,$A21+2,FALSE)="C","C",IF(HLOOKUP(CB$15,Data_5!$F$10:$BG$42,$A21+2,FALSE)="NO","NO",HLOOKUP(CB$15,Data_5!$F$10:$BG$42,$A21+2,FALSE)/Data_5!$BI16))))))),"")</f>
        <v/>
      </c>
      <c r="CC21" s="1122" t="str">
        <f>IFERROR(IF(VLOOKUP($AL21,Data_5!$B$12:$E$42,4,FALSE)="BASIC","",(IF(HLOOKUP(CC$15,Data_5!$F$10:$BG$42,$A21+2,FALSE)="NO","NO",IF(HLOOKUP(CC$15,Data_5!$F$10:$BG$42,$A21+2,FALSE)="IE","IE",IF(HLOOKUP(CC$15,Data_5!$F$10:$BG$42,$A21+2,FALSE)="NE","NE",IF(HLOOKUP(CC$15,Data_5!$F$10:$BG$42,$A21+2,FALSE)="C","C",IF(HLOOKUP(CC$15,Data_5!$F$10:$BG$42,$A21+2,FALSE)="NO","NO",HLOOKUP(CC$15,Data_5!$F$10:$BG$42,$A21+2,FALSE)/Data_5!$BI16))))))),"")</f>
        <v/>
      </c>
      <c r="CD21" s="1122" t="str">
        <f>IFERROR(IF(VLOOKUP($AL21,Data_5!$B$12:$E$42,4,FALSE)="BASIC","",(IF(HLOOKUP(CD$15,Data_5!$F$10:$BG$42,$A21+2,FALSE)="NO","NO",IF(HLOOKUP(CD$15,Data_5!$F$10:$BG$42,$A21+2,FALSE)="IE","IE",IF(HLOOKUP(CD$15,Data_5!$F$10:$BG$42,$A21+2,FALSE)="NE","NE",IF(HLOOKUP(CD$15,Data_5!$F$10:$BG$42,$A21+2,FALSE)="C","C",IF(HLOOKUP(CD$15,Data_5!$F$10:$BG$42,$A21+2,FALSE)="NO","NO",HLOOKUP(CD$15,Data_5!$F$10:$BG$42,$A21+2,FALSE)/Data_5!$BI16))))))),"")</f>
        <v/>
      </c>
      <c r="CE21" s="1122" t="str">
        <f>IFERROR(IF(VLOOKUP($AL21,Data_5!$B$12:$E$42,4,FALSE)="BASIC","",(IF(HLOOKUP(CE$15,Data_5!$F$10:$BG$42,$A21+2,FALSE)="NO","NO",IF(HLOOKUP(CE$15,Data_5!$F$10:$BG$42,$A21+2,FALSE)="IE","IE",IF(HLOOKUP(CE$15,Data_5!$F$10:$BG$42,$A21+2,FALSE)="NE","NE",IF(HLOOKUP(CE$15,Data_5!$F$10:$BG$42,$A21+2,FALSE)="C","C",IF(HLOOKUP(CE$15,Data_5!$F$10:$BG$42,$A21+2,FALSE)="NO","NO",HLOOKUP(CE$15,Data_5!$F$10:$BG$42,$A21+2,FALSE)/Data_5!$BI16))))))),"")</f>
        <v/>
      </c>
      <c r="CF21" s="1122" t="str">
        <f>IFERROR(IF(VLOOKUP($AL21,Data_5!$B$12:$E$42,4,FALSE)="BASIC","",(IF(HLOOKUP(CF$15,Data_5!$F$10:$BG$42,$A21+2,FALSE)="NO","NO",IF(HLOOKUP(CF$15,Data_5!$F$10:$BG$42,$A21+2,FALSE)="IE","IE",IF(HLOOKUP(CF$15,Data_5!$F$10:$BG$42,$A21+2,FALSE)="NE","NE",IF(HLOOKUP(CF$15,Data_5!$F$10:$BG$42,$A21+2,FALSE)="C","C",IF(HLOOKUP(CF$15,Data_5!$F$10:$BG$42,$A21+2,FALSE)="NO","NO",HLOOKUP(CF$15,Data_5!$F$10:$BG$42,$A21+2,FALSE)/Data_5!$BI16))))))),"")</f>
        <v/>
      </c>
      <c r="CG21" s="1122" t="str">
        <f>IFERROR(IF(VLOOKUP($AL21,Data_5!$B$12:$E$42,4,FALSE)="BASIC","",(IF(HLOOKUP(CG$15,Data_5!$F$10:$BG$42,$A21+2,FALSE)="NO","NO",IF(HLOOKUP(CG$15,Data_5!$F$10:$BG$42,$A21+2,FALSE)="IE","IE",IF(HLOOKUP(CG$15,Data_5!$F$10:$BG$42,$A21+2,FALSE)="NE","NE",IF(HLOOKUP(CG$15,Data_5!$F$10:$BG$42,$A21+2,FALSE)="C","C",IF(HLOOKUP(CG$15,Data_5!$F$10:$BG$42,$A21+2,FALSE)="NO","NO",HLOOKUP(CG$15,Data_5!$F$10:$BG$42,$A21+2,FALSE)/Data_5!$BI16))))))),"")</f>
        <v/>
      </c>
      <c r="CH21" s="1122" t="str">
        <f>IFERROR(IF(VLOOKUP($AL21,Data_5!$B$12:$E$42,4,FALSE)="BASIC","",(IF(HLOOKUP(CH$15,Data_5!$F$10:$BG$42,$A21+2,FALSE)="NO","NO",IF(HLOOKUP(CH$15,Data_5!$F$10:$BG$42,$A21+2,FALSE)="IE","IE",IF(HLOOKUP(CH$15,Data_5!$F$10:$BG$42,$A21+2,FALSE)="NE","NE",IF(HLOOKUP(CH$15,Data_5!$F$10:$BG$42,$A21+2,FALSE)="C","C",IF(HLOOKUP(CH$15,Data_5!$F$10:$BG$42,$A21+2,FALSE)="NO","NO",HLOOKUP(CH$15,Data_5!$F$10:$BG$42,$A21+2,FALSE)/Data_5!$BI16))))))),"")</f>
        <v/>
      </c>
      <c r="CI21" s="1122" t="str">
        <f>IFERROR(IF(VLOOKUP($AL21,Data_5!$B$12:$E$42,4,FALSE)="BASIC","",(IF(HLOOKUP(CI$15,Data_5!$F$10:$BG$42,$A21+2,FALSE)="NO","NO",IF(HLOOKUP(CI$15,Data_5!$F$10:$BG$42,$A21+2,FALSE)="IE","IE",IF(HLOOKUP(CI$15,Data_5!$F$10:$BG$42,$A21+2,FALSE)="NE","NE",IF(HLOOKUP(CI$15,Data_5!$F$10:$BG$42,$A21+2,FALSE)="C","C",IF(HLOOKUP(CI$15,Data_5!$F$10:$BG$42,$A21+2,FALSE)="NO","NO",HLOOKUP(CI$15,Data_5!$F$10:$BG$42,$A21+2,FALSE)/Data_5!$BI16))))))),"")</f>
        <v/>
      </c>
      <c r="CJ21" s="1122" t="str">
        <f>IFERROR(IF(VLOOKUP($AL21,Data_5!$B$12:$E$42,4,FALSE)="BASIC","",(IF(HLOOKUP(CJ$15,Data_5!$F$10:$BG$42,$A21+2,FALSE)="NO","NO",IF(HLOOKUP(CJ$15,Data_5!$F$10:$BG$42,$A21+2,FALSE)="IE","IE",IF(HLOOKUP(CJ$15,Data_5!$F$10:$BG$42,$A21+2,FALSE)="NE","NE",IF(HLOOKUP(CJ$15,Data_5!$F$10:$BG$42,$A21+2,FALSE)="C","C",IF(HLOOKUP(CJ$15,Data_5!$F$10:$BG$42,$A21+2,FALSE)="NO","NO",HLOOKUP(CJ$15,Data_5!$F$10:$BG$42,$A21+2,FALSE)/Data_5!$BI16))))))),"")</f>
        <v/>
      </c>
      <c r="CL21" s="2628" t="str">
        <f t="shared" si="2"/>
        <v>Boston</v>
      </c>
      <c r="CM21" s="2629"/>
      <c r="CN21" s="1100">
        <f t="shared" si="3"/>
        <v>2013</v>
      </c>
      <c r="CO21" s="1122">
        <f>IFERROR(IF(HLOOKUP(CO$15,Data_5!$F$10:$BG$42,$A21+2,FALSE)="NO","NO",IF(HLOOKUP(CO$15,Data_5!$F$10:$BG$42,$A21+2,FALSE)="IE","IE",IF(HLOOKUP(CO$15,Data_5!$F$10:$BG$42,$A21+2,FALSE)="NE","NE",IF(HLOOKUP(CO$15,Data_5!$F$10:$BG$42,$A21+2,FALSE)="C","C",IF(HLOOKUP(CO$15,Data_5!$F$10:$BG$42,$A21+2,FALSE)="NO","NO",HLOOKUP(CO$15,Data_5!$F$10:$BG$42,$A21+2,FALSE)/Data_5!$BK16))))),"")</f>
        <v>0.21901203821446555</v>
      </c>
      <c r="CP21" s="1122">
        <f>IFERROR(IF(HLOOKUP(CP$15,Data_5!$F$10:$BG$42,$A21+2,FALSE)="NO","NO",IF(HLOOKUP(CP$15,Data_5!$F$10:$BG$42,$A21+2,FALSE)="IE","IE",IF(HLOOKUP(CP$15,Data_5!$F$10:$BG$42,$A21+2,FALSE)="NE","NE",IF(HLOOKUP(CP$15,Data_5!$F$10:$BG$42,$A21+2,FALSE)="C","C",IF(HLOOKUP(CP$15,Data_5!$F$10:$BG$42,$A21+2,FALSE)="NO","NO",HLOOKUP(CP$15,Data_5!$F$10:$BG$42,$A21+2,FALSE)/Data_5!$BK16))))),"")</f>
        <v>0.30899647597775576</v>
      </c>
      <c r="CQ21" s="1122" t="str">
        <f>IFERROR(IF(HLOOKUP(CQ$15,Data_5!$F$10:$BG$42,$A21+2,FALSE)="NO","NO",IF(HLOOKUP(CQ$15,Data_5!$F$10:$BG$42,$A21+2,FALSE)="IE","IE",IF(HLOOKUP(CQ$15,Data_5!$F$10:$BG$42,$A21+2,FALSE)="NE","NE",IF(HLOOKUP(CQ$15,Data_5!$F$10:$BG$42,$A21+2,FALSE)="C","C",IF(HLOOKUP(CQ$15,Data_5!$F$10:$BG$42,$A21+2,FALSE)="NO","NO",HLOOKUP(CQ$15,Data_5!$F$10:$BG$42,$A21+2,FALSE)/Data_5!$BK16))))),"")</f>
        <v>IE</v>
      </c>
      <c r="CR21" s="1122" t="str">
        <f>IFERROR(IF(HLOOKUP(CR$15,Data_5!$F$10:$BG$42,$A21+2,FALSE)="NO","NO",IF(HLOOKUP(CR$15,Data_5!$F$10:$BG$42,$A21+2,FALSE)="IE","IE",IF(HLOOKUP(CR$15,Data_5!$F$10:$BG$42,$A21+2,FALSE)="NE","NE",IF(HLOOKUP(CR$15,Data_5!$F$10:$BG$42,$A21+2,FALSE)="C","C",IF(HLOOKUP(CR$15,Data_5!$F$10:$BG$42,$A21+2,FALSE)="NO","NO",HLOOKUP(CR$15,Data_5!$F$10:$BG$42,$A21+2,FALSE)/Data_5!$BK16))))),"")</f>
        <v>NO</v>
      </c>
      <c r="CS21" s="1122">
        <f>IFERROR(IF(HLOOKUP(CS$15,Data_5!$F$10:$BG$42,$A21+2,FALSE)="NO","NO",IF(HLOOKUP(CS$15,Data_5!$F$10:$BG$42,$A21+2,FALSE)="IE","IE",IF(HLOOKUP(CS$15,Data_5!$F$10:$BG$42,$A21+2,FALSE)="NE","NE",IF(HLOOKUP(CS$15,Data_5!$F$10:$BG$42,$A21+2,FALSE)="C","C",IF(HLOOKUP(CS$15,Data_5!$F$10:$BG$42,$A21+2,FALSE)="NO","NO",HLOOKUP(CS$15,Data_5!$F$10:$BG$42,$A21+2,FALSE)/Data_5!$BK16))))),"")</f>
        <v>4.8477742192599489E-2</v>
      </c>
      <c r="CT21" s="1122" t="str">
        <f>IFERROR(IF(HLOOKUP(CT$15,Data_5!$F$10:$BG$42,$A21+2,FALSE)="NO","NO",IF(HLOOKUP(CT$15,Data_5!$F$10:$BG$42,$A21+2,FALSE)="IE","IE",IF(HLOOKUP(CT$15,Data_5!$F$10:$BG$42,$A21+2,FALSE)="NE","NE",IF(HLOOKUP(CT$15,Data_5!$F$10:$BG$42,$A21+2,FALSE)="C","C",IF(HLOOKUP(CT$15,Data_5!$F$10:$BG$42,$A21+2,FALSE)="NO","NO",HLOOKUP(CT$15,Data_5!$F$10:$BG$42,$A21+2,FALSE)/Data_5!$BK16))))),"")</f>
        <v>NO</v>
      </c>
      <c r="CU21" s="1122" t="str">
        <f>IFERROR(IF(HLOOKUP(CU$15,Data_5!$F$10:$BG$42,$A21+2,FALSE)="NO","NO",IF(HLOOKUP(CU$15,Data_5!$F$10:$BG$42,$A21+2,FALSE)="IE","IE",IF(HLOOKUP(CU$15,Data_5!$F$10:$BG$42,$A21+2,FALSE)="NE","NE",IF(HLOOKUP(CU$15,Data_5!$F$10:$BG$42,$A21+2,FALSE)="C","C",IF(HLOOKUP(CU$15,Data_5!$F$10:$BG$42,$A21+2,FALSE)="NO","NO",HLOOKUP(CU$15,Data_5!$F$10:$BG$42,$A21+2,FALSE)/Data_5!$BK16))))),"")</f>
        <v>NO</v>
      </c>
      <c r="CV21" s="1122" t="str">
        <f>IFERROR(IF(HLOOKUP(CV$15,Data_5!$F$10:$BG$42,$A21+2,FALSE)="NO","NO",IF(HLOOKUP(CV$15,Data_5!$F$10:$BG$42,$A21+2,FALSE)="IE","IE",IF(HLOOKUP(CV$15,Data_5!$F$10:$BG$42,$A21+2,FALSE)="NE","NE",IF(HLOOKUP(CV$15,Data_5!$F$10:$BG$42,$A21+2,FALSE)="C","C",IF(HLOOKUP(CV$15,Data_5!$F$10:$BG$42,$A21+2,FALSE)="NO","NO",HLOOKUP(CV$15,Data_5!$F$10:$BG$42,$A21+2,FALSE)/Data_5!$BK16))))),"")</f>
        <v>NO</v>
      </c>
      <c r="CW21" s="1122">
        <f>IFERROR(IF(HLOOKUP(CW$15,Data_5!$F$10:$BG$42,$A21+2,FALSE)="NO","NO",IF(HLOOKUP(CW$15,Data_5!$F$10:$BG$42,$A21+2,FALSE)="IE","IE",IF(HLOOKUP(CW$15,Data_5!$F$10:$BG$42,$A21+2,FALSE)="NE","NE",IF(HLOOKUP(CW$15,Data_5!$F$10:$BG$42,$A21+2,FALSE)="C","C",IF(HLOOKUP(CW$15,Data_5!$F$10:$BG$42,$A21+2,FALSE)="NO","NO",HLOOKUP(CW$15,Data_5!$F$10:$BG$42,$A21+2,FALSE)/Data_5!$BK16))))),"")</f>
        <v>5.9185649671775978E-3</v>
      </c>
      <c r="CX21" s="1122">
        <f>IFERROR(IF(HLOOKUP(CX$15,Data_5!$F$10:$BG$42,$A21+2,FALSE)="NO","NO",IF(HLOOKUP(CX$15,Data_5!$F$10:$BG$42,$A21+2,FALSE)="IE","IE",IF(HLOOKUP(CX$15,Data_5!$F$10:$BG$42,$A21+2,FALSE)="NE","NE",IF(HLOOKUP(CX$15,Data_5!$F$10:$BG$42,$A21+2,FALSE)="C","C",IF(HLOOKUP(CX$15,Data_5!$F$10:$BG$42,$A21+2,FALSE)="NO","NO",HLOOKUP(CX$15,Data_5!$F$10:$BG$42,$A21+2,FALSE)/Data_5!$BK16))))),"")</f>
        <v>0.39466943076631988</v>
      </c>
      <c r="CY21" s="1122">
        <f>IFERROR(IF(HLOOKUP(CY$15,Data_5!$F$10:$BG$42,$A21+2,FALSE)="NO","NO",IF(HLOOKUP(CY$15,Data_5!$F$10:$BG$42,$A21+2,FALSE)="IE","IE",IF(HLOOKUP(CY$15,Data_5!$F$10:$BG$42,$A21+2,FALSE)="NE","NE",IF(HLOOKUP(CY$15,Data_5!$F$10:$BG$42,$A21+2,FALSE)="C","C",IF(HLOOKUP(CY$15,Data_5!$F$10:$BG$42,$A21+2,FALSE)="NO","NO",HLOOKUP(CY$15,Data_5!$F$10:$BG$42,$A21+2,FALSE)/Data_5!$BK16))))),"")</f>
        <v>4.0528156515004998E-3</v>
      </c>
      <c r="CZ21" s="1122">
        <f>IFERROR(IF(HLOOKUP(CZ$15,Data_5!$F$10:$BG$42,$A21+2,FALSE)="NO","NO",IF(HLOOKUP(CZ$15,Data_5!$F$10:$BG$42,$A21+2,FALSE)="IE","IE",IF(HLOOKUP(CZ$15,Data_5!$F$10:$BG$42,$A21+2,FALSE)="NE","NE",IF(HLOOKUP(CZ$15,Data_5!$F$10:$BG$42,$A21+2,FALSE)="C","C",IF(HLOOKUP(CZ$15,Data_5!$F$10:$BG$42,$A21+2,FALSE)="NO","NO",HLOOKUP(CZ$15,Data_5!$F$10:$BG$42,$A21+2,FALSE)/Data_5!$BK16))))),"")</f>
        <v>1.0106323748114069E-4</v>
      </c>
      <c r="DA21" s="1122" t="str">
        <f>IFERROR(IF(HLOOKUP(DA$15,Data_5!$F$10:$BG$42,$A21+2,FALSE)="NO","NO",IF(HLOOKUP(DA$15,Data_5!$F$10:$BG$42,$A21+2,FALSE)="IE","IE",IF(HLOOKUP(DA$15,Data_5!$F$10:$BG$42,$A21+2,FALSE)="NE","NE",IF(HLOOKUP(DA$15,Data_5!$F$10:$BG$42,$A21+2,FALSE)="C","C",IF(HLOOKUP(DA$15,Data_5!$F$10:$BG$42,$A21+2,FALSE)="NO","NO",HLOOKUP(DA$15,Data_5!$F$10:$BG$42,$A21+2,FALSE)/Data_5!$BK16))))),"")</f>
        <v>NO</v>
      </c>
      <c r="DB21" s="1122">
        <f>IFERROR(IF(HLOOKUP(DB$15,Data_5!$F$10:$BG$42,$A21+2,FALSE)="NO","NO",IF(HLOOKUP(DB$15,Data_5!$F$10:$BG$42,$A21+2,FALSE)="IE","IE",IF(HLOOKUP(DB$15,Data_5!$F$10:$BG$42,$A21+2,FALSE)="NE","NE",IF(HLOOKUP(DB$15,Data_5!$F$10:$BG$42,$A21+2,FALSE)="C","C",IF(HLOOKUP(DB$15,Data_5!$F$10:$BG$42,$A21+2,FALSE)="NO","NO",HLOOKUP(DB$15,Data_5!$F$10:$BG$42,$A21+2,FALSE)/Data_5!$BK16))))),"")</f>
        <v>5.1766099142856346E-3</v>
      </c>
      <c r="DC21" s="1122" t="str">
        <f>IFERROR(IF(HLOOKUP(DC$15,Data_5!$F$10:$BG$42,$A21+2,FALSE)="NO","NO",IF(HLOOKUP(DC$15,Data_5!$F$10:$BG$42,$A21+2,FALSE)="IE","IE",IF(HLOOKUP(DC$15,Data_5!$F$10:$BG$42,$A21+2,FALSE)="NE","NE",IF(HLOOKUP(DC$15,Data_5!$F$10:$BG$42,$A21+2,FALSE)="C","C",IF(HLOOKUP(DC$15,Data_5!$F$10:$BG$42,$A21+2,FALSE)="NO","NO",HLOOKUP(DC$15,Data_5!$F$10:$BG$42,$A21+2,FALSE)/Data_5!$BK16))))),"")</f>
        <v>NO</v>
      </c>
      <c r="DD21" s="1122" t="str">
        <f>IFERROR(IF(HLOOKUP(DD$15,Data_5!$F$10:$BG$42,$A21+2,FALSE)="NO","NO",IF(HLOOKUP(DD$15,Data_5!$F$10:$BG$42,$A21+2,FALSE)="IE","IE",IF(HLOOKUP(DD$15,Data_5!$F$10:$BG$42,$A21+2,FALSE)="NE","NE",IF(HLOOKUP(DD$15,Data_5!$F$10:$BG$42,$A21+2,FALSE)="C","C",IF(HLOOKUP(DD$15,Data_5!$F$10:$BG$42,$A21+2,FALSE)="NO","NO",HLOOKUP(DD$15,Data_5!$F$10:$BG$42,$A21+2,FALSE)/Data_5!$BK16))))),"")</f>
        <v>NO</v>
      </c>
      <c r="DE21" s="1122" t="str">
        <f>IFERROR(IF(HLOOKUP(DE$15,Data_5!$F$10:$BG$42,$A21+2,FALSE)="NO","NO",IF(HLOOKUP(DE$15,Data_5!$F$10:$BG$42,$A21+2,FALSE)="IE","IE",IF(HLOOKUP(DE$15,Data_5!$F$10:$BG$42,$A21+2,FALSE)="NE","NE",IF(HLOOKUP(DE$15,Data_5!$F$10:$BG$42,$A21+2,FALSE)="C","C",IF(HLOOKUP(DE$15,Data_5!$F$10:$BG$42,$A21+2,FALSE)="NO","NO",HLOOKUP(DE$15,Data_5!$F$10:$BG$42,$A21+2,FALSE)/Data_5!$BK16))))),"")</f>
        <v>NO</v>
      </c>
      <c r="DF21" s="1122" t="str">
        <f>IFERROR(IF(HLOOKUP(DF$15,Data_5!$F$10:$BG$42,$A21+2,FALSE)="NO","NO",IF(HLOOKUP(DF$15,Data_5!$F$10:$BG$42,$A21+2,FALSE)="IE","IE",IF(HLOOKUP(DF$15,Data_5!$F$10:$BG$42,$A21+2,FALSE)="NE","NE",IF(HLOOKUP(DF$15,Data_5!$F$10:$BG$42,$A21+2,FALSE)="C","C",IF(HLOOKUP(DF$15,Data_5!$F$10:$BG$42,$A21+2,FALSE)="NO","NO",HLOOKUP(DF$15,Data_5!$F$10:$BG$42,$A21+2,FALSE)/Data_5!$BK16))))),"")</f>
        <v>NO</v>
      </c>
      <c r="DG21" s="1122" t="str">
        <f>IFERROR(IF(HLOOKUP(DG$15,Data_5!$F$10:$BG$42,$A21+2,FALSE)="NO","NO",IF(HLOOKUP(DG$15,Data_5!$F$10:$BG$42,$A21+2,FALSE)="IE","IE",IF(HLOOKUP(DG$15,Data_5!$F$10:$BG$42,$A21+2,FALSE)="NE","NE",IF(HLOOKUP(DG$15,Data_5!$F$10:$BG$42,$A21+2,FALSE)="C","C",IF(HLOOKUP(DG$15,Data_5!$F$10:$BG$42,$A21+2,FALSE)="NO","NO",HLOOKUP(DG$15,Data_5!$F$10:$BG$42,$A21+2,FALSE)/Data_5!$BK16))))),"")</f>
        <v>NO</v>
      </c>
      <c r="DH21" s="1122" t="str">
        <f>IFERROR(IF(HLOOKUP(DH$15,Data_5!$F$10:$BG$42,$A21+2,FALSE)="NO","NO",IF(HLOOKUP(DH$15,Data_5!$F$10:$BG$42,$A21+2,FALSE)="IE","IE",IF(HLOOKUP(DH$15,Data_5!$F$10:$BG$42,$A21+2,FALSE)="NE","NE",IF(HLOOKUP(DH$15,Data_5!$F$10:$BG$42,$A21+2,FALSE)="C","C",IF(HLOOKUP(DH$15,Data_5!$F$10:$BG$42,$A21+2,FALSE)="NO","NO",HLOOKUP(DH$15,Data_5!$F$10:$BG$42,$A21+2,FALSE)/Data_5!$BK16))))),"")</f>
        <v>NO</v>
      </c>
      <c r="DI21" s="1122">
        <f>IFERROR(IF(HLOOKUP(DI$15,Data_5!$F$10:$BG$42,$A21+2,FALSE)="NO","NO",IF(HLOOKUP(DI$15,Data_5!$F$10:$BG$42,$A21+2,FALSE)="IE","IE",IF(HLOOKUP(DI$15,Data_5!$F$10:$BG$42,$A21+2,FALSE)="NE","NE",IF(HLOOKUP(DI$15,Data_5!$F$10:$BG$42,$A21+2,FALSE)="C","C",IF(HLOOKUP(DI$15,Data_5!$F$10:$BG$42,$A21+2,FALSE)="NO","NO",HLOOKUP(DI$15,Data_5!$F$10:$BG$42,$A21+2,FALSE)/Data_5!$BK16))))),"")</f>
        <v>4.4864354958767333E-3</v>
      </c>
      <c r="DJ21" s="1122">
        <f>IFERROR(IF(HLOOKUP(DJ$15,Data_5!$F$10:$BG$42,$A21+2,FALSE)="NO","NO",IF(HLOOKUP(DJ$15,Data_5!$F$10:$BG$42,$A21+2,FALSE)="IE","IE",IF(HLOOKUP(DJ$15,Data_5!$F$10:$BG$42,$A21+2,FALSE)="NE","NE",IF(HLOOKUP(DJ$15,Data_5!$F$10:$BG$42,$A21+2,FALSE)="C","C",IF(HLOOKUP(DJ$15,Data_5!$F$10:$BG$42,$A21+2,FALSE)="NO","NO",HLOOKUP(DJ$15,Data_5!$F$10:$BG$42,$A21+2,FALSE)/Data_5!$BK16))))),"")</f>
        <v>9.1088235825376087E-3</v>
      </c>
      <c r="DK21" s="1122" t="str">
        <f>IFERROR(IF(HLOOKUP(DK$15,Data_5!$F$10:$BG$42,$A21+2,FALSE)="NO","NO",IF(HLOOKUP(DK$15,Data_5!$F$10:$BG$42,$A21+2,FALSE)="IE","IE",IF(HLOOKUP(DK$15,Data_5!$F$10:$BG$42,$A21+2,FALSE)="NE","NE",IF(HLOOKUP(DK$15,Data_5!$F$10:$BG$42,$A21+2,FALSE)="C","C",IF(HLOOKUP(DK$15,Data_5!$F$10:$BG$42,$A21+2,FALSE)="NO","NO",HLOOKUP(DK$15,Data_5!$F$10:$BG$42,$A21+2,FALSE)/Data_5!$BK16))))),"")</f>
        <v>NE</v>
      </c>
      <c r="DL21" s="1122" t="str">
        <f>IFERROR(IF(HLOOKUP(DL$15,Data_5!$F$10:$BG$42,$A21+2,FALSE)="NO","NO",IF(HLOOKUP(DL$15,Data_5!$F$10:$BG$42,$A21+2,FALSE)="IE","IE",IF(HLOOKUP(DL$15,Data_5!$F$10:$BG$42,$A21+2,FALSE)="NE","NE",IF(HLOOKUP(DL$15,Data_5!$F$10:$BG$42,$A21+2,FALSE)="C","C",IF(HLOOKUP(DL$15,Data_5!$F$10:$BG$42,$A21+2,FALSE)="NO","NO",HLOOKUP(DL$15,Data_5!$F$10:$BG$42,$A21+2,FALSE)/Data_5!$BK16))))),"")</f>
        <v>NE</v>
      </c>
      <c r="DM21" s="1122" t="str">
        <f>IFERROR(IF(HLOOKUP(DM$15,Data_5!$F$10:$BG$42,$A21+2,FALSE)="NO","NO",IF(HLOOKUP(DM$15,Data_5!$F$10:$BG$42,$A21+2,FALSE)="IE","IE",IF(HLOOKUP(DM$15,Data_5!$F$10:$BG$42,$A21+2,FALSE)="NE","NE",IF(HLOOKUP(DM$15,Data_5!$F$10:$BG$42,$A21+2,FALSE)="C","C",IF(HLOOKUP(DM$15,Data_5!$F$10:$BG$42,$A21+2,FALSE)="NO","NO",HLOOKUP(DM$15,Data_5!$F$10:$BG$42,$A21+2,FALSE)/Data_5!$BK16))))),"")</f>
        <v>NE</v>
      </c>
      <c r="DN21" s="1122" t="str">
        <f>IFERROR(IF(HLOOKUP(DN$15,Data_5!$F$10:$BG$42,$A21+2,FALSE)="NO","NO",IF(HLOOKUP(DN$15,Data_5!$F$10:$BG$42,$A21+2,FALSE)="IE","IE",IF(HLOOKUP(DN$15,Data_5!$F$10:$BG$42,$A21+2,FALSE)="NE","NE",IF(HLOOKUP(DN$15,Data_5!$F$10:$BG$42,$A21+2,FALSE)="C","C",IF(HLOOKUP(DN$15,Data_5!$F$10:$BG$42,$A21+2,FALSE)="NO","NO",HLOOKUP(DN$15,Data_5!$F$10:$BG$42,$A21+2,FALSE)/Data_5!$BK16))))),"")</f>
        <v>NE</v>
      </c>
      <c r="DO21" s="1122" t="str">
        <f>IFERROR(IF(HLOOKUP(DO$15,Data_5!$F$10:$BG$42,$A21+2,FALSE)="NO","NO",IF(HLOOKUP(DO$15,Data_5!$F$10:$BG$42,$A21+2,FALSE)="IE","IE",IF(HLOOKUP(DO$15,Data_5!$F$10:$BG$42,$A21+2,FALSE)="NE","NE",IF(HLOOKUP(DO$15,Data_5!$F$10:$BG$42,$A21+2,FALSE)="C","C",IF(HLOOKUP(DO$15,Data_5!$F$10:$BG$42,$A21+2,FALSE)="NO","NO",HLOOKUP(DO$15,Data_5!$F$10:$BG$42,$A21+2,FALSE)/Data_5!$BK16))))),"")</f>
        <v>NE</v>
      </c>
    </row>
    <row r="22" spans="1:119" s="15" customFormat="1" ht="15" customHeight="1">
      <c r="A22" s="1789">
        <v>6</v>
      </c>
      <c r="B22" s="2628" t="str">
        <f>IF(Data_5!B17&lt;&gt;"",Data_5!B17,"")</f>
        <v>Buenos Aires</v>
      </c>
      <c r="C22" s="2629"/>
      <c r="D22" s="1462">
        <f>IFERROR(VLOOKUP($B22,Data_5!$B$12:$C$42,2,FALSE),"")</f>
        <v>2014</v>
      </c>
      <c r="E22" s="1122">
        <f>IFERROR(IF(HLOOKUP(E$15,Data_5!$F$10:$BG$42,$A22+2,FALSE)="NO","NO",IF(HLOOKUP(E$15,Data_5!$F$10:$BG$42,$A22+2,FALSE)="IE","IE",IF(HLOOKUP(E$15,Data_5!$F$10:$BG$42,$A22+2,FALSE)="NE","NE",IF(HLOOKUP(E$15,Data_5!$F$10:$BG$42,$A22+2,FALSE)="C","C",IF(HLOOKUP(E$15,Data_5!$F$10:$BG$42,$A22+2,FALSE)="NO","NO",HLOOKUP(E$15,Data_5!$F$10:$BG$42,$A22+2,FALSE)/Data_5!$BH17))))),"")</f>
        <v>0.17698289665785119</v>
      </c>
      <c r="F22" s="1122">
        <f>IFERROR(IF(HLOOKUP(F$15,Data_5!$F$10:$BG$42,$A22+2,FALSE)="NO","NO",IF(HLOOKUP(F$15,Data_5!$F$10:$BG$42,$A22+2,FALSE)="IE","IE",IF(HLOOKUP(F$15,Data_5!$F$10:$BG$42,$A22+2,FALSE)="NE","NE",IF(HLOOKUP(F$15,Data_5!$F$10:$BG$42,$A22+2,FALSE)="C","C",IF(HLOOKUP(F$15,Data_5!$F$10:$BG$42,$A22+2,FALSE)="NO","NO",HLOOKUP(F$15,Data_5!$F$10:$BG$42,$A22+2,FALSE)/Data_5!$BH17))))),"")</f>
        <v>0.10746919149311979</v>
      </c>
      <c r="G22" s="1122">
        <f>IFERROR(IF(HLOOKUP(G$15,Data_5!$F$10:$BG$42,$A22+2,FALSE)="NO","NO",IF(HLOOKUP(G$15,Data_5!$F$10:$BG$42,$A22+2,FALSE)="IE","IE",IF(HLOOKUP(G$15,Data_5!$F$10:$BG$42,$A22+2,FALSE)="NE","NE",IF(HLOOKUP(G$15,Data_5!$F$10:$BG$42,$A22+2,FALSE)="C","C",IF(HLOOKUP(G$15,Data_5!$F$10:$BG$42,$A22+2,FALSE)="NO","NO",HLOOKUP(G$15,Data_5!$F$10:$BG$42,$A22+2,FALSE)/Data_5!$BH17))))),"")</f>
        <v>6.2575334636588056E-2</v>
      </c>
      <c r="H22" s="1122">
        <f>IFERROR(IF(HLOOKUP(H$15,Data_5!$F$10:$BG$42,$A22+2,FALSE)="NO","NO",IF(HLOOKUP(H$15,Data_5!$F$10:$BG$42,$A22+2,FALSE)="IE","IE",IF(HLOOKUP(H$15,Data_5!$F$10:$BG$42,$A22+2,FALSE)="NE","NE",IF(HLOOKUP(H$15,Data_5!$F$10:$BG$42,$A22+2,FALSE)="C","C",IF(HLOOKUP(H$15,Data_5!$F$10:$BG$42,$A22+2,FALSE)="NO","NO",HLOOKUP(H$15,Data_5!$F$10:$BG$42,$A22+2,FALSE)/Data_5!$BH17))))),"")</f>
        <v>0.15337264326621169</v>
      </c>
      <c r="I22" s="1122">
        <f>IFERROR(IF(HLOOKUP(I$15,Data_5!$F$10:$BG$42,$A22+2,FALSE)="NO","NO",IF(HLOOKUP(I$15,Data_5!$F$10:$BG$42,$A22+2,FALSE)="IE","IE",IF(HLOOKUP(I$15,Data_5!$F$10:$BG$42,$A22+2,FALSE)="NE","NE",IF(HLOOKUP(I$15,Data_5!$F$10:$BG$42,$A22+2,FALSE)="C","C",IF(HLOOKUP(I$15,Data_5!$F$10:$BG$42,$A22+2,FALSE)="NO","NO",HLOOKUP(I$15,Data_5!$F$10:$BG$42,$A22+2,FALSE)/Data_5!$BH17))))),"")</f>
        <v>2.7385428833501334E-2</v>
      </c>
      <c r="J22" s="1122">
        <f>IFERROR(IF(HLOOKUP(J$15,Data_5!$F$10:$BG$42,$A22+2,FALSE)="NO","NO",IF(HLOOKUP(J$15,Data_5!$F$10:$BG$42,$A22+2,FALSE)="IE","IE",IF(HLOOKUP(J$15,Data_5!$F$10:$BG$42,$A22+2,FALSE)="NE","NE",IF(HLOOKUP(J$15,Data_5!$F$10:$BG$42,$A22+2,FALSE)="C","C",IF(HLOOKUP(J$15,Data_5!$F$10:$BG$42,$A22+2,FALSE)="NO","NO",HLOOKUP(J$15,Data_5!$F$10:$BG$42,$A22+2,FALSE)/Data_5!$BH17))))),"")</f>
        <v>2.7309684644100992E-2</v>
      </c>
      <c r="K22" s="1122" t="str">
        <f>IFERROR(IF(HLOOKUP(K$15,Data_5!$F$10:$BG$42,$A22+2,FALSE)="NO","NO",IF(HLOOKUP(K$15,Data_5!$F$10:$BG$42,$A22+2,FALSE)="IE","IE",IF(HLOOKUP(K$15,Data_5!$F$10:$BG$42,$A22+2,FALSE)="NE","NE",IF(HLOOKUP(K$15,Data_5!$F$10:$BG$42,$A22+2,FALSE)="C","C",IF(HLOOKUP(K$15,Data_5!$F$10:$BG$42,$A22+2,FALSE)="NO","NO",HLOOKUP(K$15,Data_5!$F$10:$BG$42,$A22+2,FALSE)/Data_5!$BH17))))),"")</f>
        <v>IE</v>
      </c>
      <c r="L22" s="1122" t="str">
        <f>IFERROR(IF(HLOOKUP(L$15,Data_5!$F$10:$BG$42,$A22+2,FALSE)="NO","NO",IF(HLOOKUP(L$15,Data_5!$F$10:$BG$42,$A22+2,FALSE)="IE","IE",IF(HLOOKUP(L$15,Data_5!$F$10:$BG$42,$A22+2,FALSE)="NE","NE",IF(HLOOKUP(L$15,Data_5!$F$10:$BG$42,$A22+2,FALSE)="C","C",IF(HLOOKUP(L$15,Data_5!$F$10:$BG$42,$A22+2,FALSE)="NO","NO",HLOOKUP(L$15,Data_5!$F$10:$BG$42,$A22+2,FALSE)/Data_5!$BH17))))),"")</f>
        <v>IE</v>
      </c>
      <c r="M22" s="1122" t="str">
        <f>IFERROR(IF(HLOOKUP(M$15,Data_5!$F$10:$BG$42,$A22+2,FALSE)="NO","NO",IF(HLOOKUP(M$15,Data_5!$F$10:$BG$42,$A22+2,FALSE)="IE","IE",IF(HLOOKUP(M$15,Data_5!$F$10:$BG$42,$A22+2,FALSE)="NE","NE",IF(HLOOKUP(M$15,Data_5!$F$10:$BG$42,$A22+2,FALSE)="C","C",IF(HLOOKUP(M$15,Data_5!$F$10:$BG$42,$A22+2,FALSE)="NO","NO",HLOOKUP(M$15,Data_5!$F$10:$BG$42,$A22+2,FALSE)/Data_5!$BH17))))),"")</f>
        <v>NO</v>
      </c>
      <c r="N22" s="1122" t="str">
        <f>IFERROR(IF(HLOOKUP(N$15,Data_5!$F$10:$BG$42,$A22+2,FALSE)="NO","NO",IF(HLOOKUP(N$15,Data_5!$F$10:$BG$42,$A22+2,FALSE)="IE","IE",IF(HLOOKUP(N$15,Data_5!$F$10:$BG$42,$A22+2,FALSE)="NE","NE",IF(HLOOKUP(N$15,Data_5!$F$10:$BG$42,$A22+2,FALSE)="C","C",IF(HLOOKUP(N$15,Data_5!$F$10:$BG$42,$A22+2,FALSE)="NO","NO",HLOOKUP(N$15,Data_5!$F$10:$BG$42,$A22+2,FALSE)/Data_5!$BH17))))),"")</f>
        <v>NO</v>
      </c>
      <c r="O22" s="1122" t="str">
        <f>IFERROR(IF(HLOOKUP(O$15,Data_5!$F$10:$BG$42,$A22+2,FALSE)="NO","NO",IF(HLOOKUP(O$15,Data_5!$F$10:$BG$42,$A22+2,FALSE)="IE","IE",IF(HLOOKUP(O$15,Data_5!$F$10:$BG$42,$A22+2,FALSE)="NE","NE",IF(HLOOKUP(O$15,Data_5!$F$10:$BG$42,$A22+2,FALSE)="C","C",IF(HLOOKUP(O$15,Data_5!$F$10:$BG$42,$A22+2,FALSE)="NO","NO",HLOOKUP(O$15,Data_5!$F$10:$BG$42,$A22+2,FALSE)/Data_5!$BH17))))),"")</f>
        <v>NO</v>
      </c>
      <c r="P22" s="1122" t="str">
        <f>IFERROR(IF(HLOOKUP(P$15,Data_5!$F$10:$BG$42,$A22+2,FALSE)="NO","NO",IF(HLOOKUP(P$15,Data_5!$F$10:$BG$42,$A22+2,FALSE)="IE","IE",IF(HLOOKUP(P$15,Data_5!$F$10:$BG$42,$A22+2,FALSE)="NE","NE",IF(HLOOKUP(P$15,Data_5!$F$10:$BG$42,$A22+2,FALSE)="C","C",IF(HLOOKUP(P$15,Data_5!$F$10:$BG$42,$A22+2,FALSE)="NO","NO",HLOOKUP(P$15,Data_5!$F$10:$BG$42,$A22+2,FALSE)/Data_5!$BH17))))),"")</f>
        <v>NO</v>
      </c>
      <c r="Q22" s="1122" t="str">
        <f>IFERROR(IF(HLOOKUP(Q$15,Data_5!$F$10:$BG$42,$A22+2,FALSE)="NO","NO",IF(HLOOKUP(Q$15,Data_5!$F$10:$BG$42,$A22+2,FALSE)="IE","IE",IF(HLOOKUP(Q$15,Data_5!$F$10:$BG$42,$A22+2,FALSE)="NE","NE",IF(HLOOKUP(Q$15,Data_5!$F$10:$BG$42,$A22+2,FALSE)="C","C",IF(HLOOKUP(Q$15,Data_5!$F$10:$BG$42,$A22+2,FALSE)="NO","NO",HLOOKUP(Q$15,Data_5!$F$10:$BG$42,$A22+2,FALSE)/Data_5!$BH17))))),"")</f>
        <v>NO</v>
      </c>
      <c r="R22" s="1122">
        <f>IFERROR(IF(HLOOKUP(R$15,Data_5!$F$10:$BG$42,$A22+2,FALSE)="NO","NO",IF(HLOOKUP(R$15,Data_5!$F$10:$BG$42,$A22+2,FALSE)="IE","IE",IF(HLOOKUP(R$15,Data_5!$F$10:$BG$42,$A22+2,FALSE)="NE","NE",IF(HLOOKUP(R$15,Data_5!$F$10:$BG$42,$A22+2,FALSE)="C","C",IF(HLOOKUP(R$15,Data_5!$F$10:$BG$42,$A22+2,FALSE)="NO","NO",HLOOKUP(R$15,Data_5!$F$10:$BG$42,$A22+2,FALSE)/Data_5!$BH17))))),"")</f>
        <v>1.0878314276565437E-2</v>
      </c>
      <c r="S22" s="1122">
        <f>IFERROR(IF(HLOOKUP(S$15,Data_5!$F$10:$BG$42,$A22+2,FALSE)="NO","NO",IF(HLOOKUP(S$15,Data_5!$F$10:$BG$42,$A22+2,FALSE)="IE","IE",IF(HLOOKUP(S$15,Data_5!$F$10:$BG$42,$A22+2,FALSE)="NE","NE",IF(HLOOKUP(S$15,Data_5!$F$10:$BG$42,$A22+2,FALSE)="C","C",IF(HLOOKUP(S$15,Data_5!$F$10:$BG$42,$A22+2,FALSE)="NO","NO",HLOOKUP(S$15,Data_5!$F$10:$BG$42,$A22+2,FALSE)/Data_5!$BH17))))),"")</f>
        <v>0.2952336523374024</v>
      </c>
      <c r="T22" s="1122" t="str">
        <f>IFERROR(IF(HLOOKUP(T$15,Data_5!$F$10:$BG$42,$A22+2,FALSE)="NO","NO",IF(HLOOKUP(T$15,Data_5!$F$10:$BG$42,$A22+2,FALSE)="IE","IE",IF(HLOOKUP(T$15,Data_5!$F$10:$BG$42,$A22+2,FALSE)="NE","NE",IF(HLOOKUP(T$15,Data_5!$F$10:$BG$42,$A22+2,FALSE)="C","C",IF(HLOOKUP(T$15,Data_5!$F$10:$BG$42,$A22+2,FALSE)="NO","NO",HLOOKUP(T$15,Data_5!$F$10:$BG$42,$A22+2,FALSE)/Data_5!$BH17))))),"")</f>
        <v>NO</v>
      </c>
      <c r="U22" s="1122">
        <f>IFERROR(IF(HLOOKUP(U$15,Data_5!$F$10:$BG$42,$A22+2,FALSE)="NO","NO",IF(HLOOKUP(U$15,Data_5!$F$10:$BG$42,$A22+2,FALSE)="IE","IE",IF(HLOOKUP(U$15,Data_5!$F$10:$BG$42,$A22+2,FALSE)="NE","NE",IF(HLOOKUP(U$15,Data_5!$F$10:$BG$42,$A22+2,FALSE)="C","C",IF(HLOOKUP(U$15,Data_5!$F$10:$BG$42,$A22+2,FALSE)="NO","NO",HLOOKUP(U$15,Data_5!$F$10:$BG$42,$A22+2,FALSE)/Data_5!$BH17))))),"")</f>
        <v>1.2963853729914252E-3</v>
      </c>
      <c r="V22" s="1122">
        <f>IFERROR(IF(HLOOKUP(V$15,Data_5!$F$10:$BG$42,$A22+2,FALSE)="NO","NO",IF(HLOOKUP(V$15,Data_5!$F$10:$BG$42,$A22+2,FALSE)="IE","IE",IF(HLOOKUP(V$15,Data_5!$F$10:$BG$42,$A22+2,FALSE)="NE","NE",IF(HLOOKUP(V$15,Data_5!$F$10:$BG$42,$A22+2,FALSE)="C","C",IF(HLOOKUP(V$15,Data_5!$F$10:$BG$42,$A22+2,FALSE)="NO","NO",HLOOKUP(V$15,Data_5!$F$10:$BG$42,$A22+2,FALSE)/Data_5!$BH17))))),"")</f>
        <v>5.8304027940951249E-3</v>
      </c>
      <c r="W22" s="1122" t="str">
        <f>IFERROR(IF(HLOOKUP(W$15,Data_5!$F$10:$BG$42,$A22+2,FALSE)="NO","NO",IF(HLOOKUP(W$15,Data_5!$F$10:$BG$42,$A22+2,FALSE)="IE","IE",IF(HLOOKUP(W$15,Data_5!$F$10:$BG$42,$A22+2,FALSE)="NE","NE",IF(HLOOKUP(W$15,Data_5!$F$10:$BG$42,$A22+2,FALSE)="C","C",IF(HLOOKUP(W$15,Data_5!$F$10:$BG$42,$A22+2,FALSE)="NO","NO",HLOOKUP(W$15,Data_5!$F$10:$BG$42,$A22+2,FALSE)/Data_5!$BH17))))),"")</f>
        <v>NO</v>
      </c>
      <c r="X22" s="1122" t="str">
        <f>IFERROR(IF(HLOOKUP(X$15,Data_5!$F$10:$BG$42,$A22+2,FALSE)="NO","NO",IF(HLOOKUP(X$15,Data_5!$F$10:$BG$42,$A22+2,FALSE)="IE","IE",IF(HLOOKUP(X$15,Data_5!$F$10:$BG$42,$A22+2,FALSE)="NE","NE",IF(HLOOKUP(X$15,Data_5!$F$10:$BG$42,$A22+2,FALSE)="C","C",IF(HLOOKUP(X$15,Data_5!$F$10:$BG$42,$A22+2,FALSE)="NO","NO",HLOOKUP(X$15,Data_5!$F$10:$BG$42,$A22+2,FALSE)/Data_5!$BH17))))),"")</f>
        <v>NO</v>
      </c>
      <c r="Y22" s="1122" t="str">
        <f>IFERROR(IF(HLOOKUP(Y$15,Data_5!$F$10:$BG$42,$A22+2,FALSE)="NO","NO",IF(HLOOKUP(Y$15,Data_5!$F$10:$BG$42,$A22+2,FALSE)="IE","IE",IF(HLOOKUP(Y$15,Data_5!$F$10:$BG$42,$A22+2,FALSE)="NE","NE",IF(HLOOKUP(Y$15,Data_5!$F$10:$BG$42,$A22+2,FALSE)="C","C",IF(HLOOKUP(Y$15,Data_5!$F$10:$BG$42,$A22+2,FALSE)="NO","NO",HLOOKUP(Y$15,Data_5!$F$10:$BG$42,$A22+2,FALSE)/Data_5!$BH17))))),"")</f>
        <v>NO</v>
      </c>
      <c r="Z22" s="1122" t="str">
        <f>IFERROR(IF(HLOOKUP(Z$15,Data_5!$F$10:$BG$42,$A22+2,FALSE)="NO","NO",IF(HLOOKUP(Z$15,Data_5!$F$10:$BG$42,$A22+2,FALSE)="IE","IE",IF(HLOOKUP(Z$15,Data_5!$F$10:$BG$42,$A22+2,FALSE)="NE","NE",IF(HLOOKUP(Z$15,Data_5!$F$10:$BG$42,$A22+2,FALSE)="C","C",IF(HLOOKUP(Z$15,Data_5!$F$10:$BG$42,$A22+2,FALSE)="NO","NO",HLOOKUP(Z$15,Data_5!$F$10:$BG$42,$A22+2,FALSE)/Data_5!$BH17))))),"")</f>
        <v>NO</v>
      </c>
      <c r="AA22" s="1122" t="str">
        <f>IFERROR(IF(HLOOKUP(AA$15,Data_5!$F$10:$BG$42,$A22+2,FALSE)="NO","NO",IF(HLOOKUP(AA$15,Data_5!$F$10:$BG$42,$A22+2,FALSE)="IE","IE",IF(HLOOKUP(AA$15,Data_5!$F$10:$BG$42,$A22+2,FALSE)="NE","NE",IF(HLOOKUP(AA$15,Data_5!$F$10:$BG$42,$A22+2,FALSE)="C","C",IF(HLOOKUP(AA$15,Data_5!$F$10:$BG$42,$A22+2,FALSE)="NO","NO",HLOOKUP(AA$15,Data_5!$F$10:$BG$42,$A22+2,FALSE)/Data_5!$BH17))))),"")</f>
        <v>IE</v>
      </c>
      <c r="AB22" s="1122" t="str">
        <f>IFERROR(IF(HLOOKUP(AB$15,Data_5!$F$10:$BG$42,$A22+2,FALSE)="NO","NO",IF(HLOOKUP(AB$15,Data_5!$F$10:$BG$42,$A22+2,FALSE)="IE","IE",IF(HLOOKUP(AB$15,Data_5!$F$10:$BG$42,$A22+2,FALSE)="NE","NE",IF(HLOOKUP(AB$15,Data_5!$F$10:$BG$42,$A22+2,FALSE)="C","C",IF(HLOOKUP(AB$15,Data_5!$F$10:$BG$42,$A22+2,FALSE)="NO","NO",HLOOKUP(AB$15,Data_5!$F$10:$BG$42,$A22+2,FALSE)/Data_5!$BH17))))),"")</f>
        <v>NO</v>
      </c>
      <c r="AC22" s="1122" t="str">
        <f>IFERROR(IF(HLOOKUP(AC$15,Data_5!$F$10:$BG$42,$A22+2,FALSE)="NO","NO",IF(HLOOKUP(AC$15,Data_5!$F$10:$BG$42,$A22+2,FALSE)="IE","IE",IF(HLOOKUP(AC$15,Data_5!$F$10:$BG$42,$A22+2,FALSE)="NE","NE",IF(HLOOKUP(AC$15,Data_5!$F$10:$BG$42,$A22+2,FALSE)="C","C",IF(HLOOKUP(AC$15,Data_5!$F$10:$BG$42,$A22+2,FALSE)="NO","NO",HLOOKUP(AC$15,Data_5!$F$10:$BG$42,$A22+2,FALSE)/Data_5!$BH17))))),"")</f>
        <v>NO</v>
      </c>
      <c r="AD22" s="1122">
        <f>IFERROR(IF(HLOOKUP(AD$15,Data_5!$F$10:$BG$42,$A22+2,FALSE)="NO","NO",IF(HLOOKUP(AD$15,Data_5!$F$10:$BG$42,$A22+2,FALSE)="IE","IE",IF(HLOOKUP(AD$15,Data_5!$F$10:$BG$42,$A22+2,FALSE)="NE","NE",IF(HLOOKUP(AD$15,Data_5!$F$10:$BG$42,$A22+2,FALSE)="C","C",IF(HLOOKUP(AD$15,Data_5!$F$10:$BG$42,$A22+2,FALSE)="NO","NO",HLOOKUP(AD$15,Data_5!$F$10:$BG$42,$A22+2,FALSE)/Data_5!$BH17))))),"")</f>
        <v>0.12103603696347717</v>
      </c>
      <c r="AE22" s="1122" t="str">
        <f>IFERROR(IF(HLOOKUP(AE$15,Data_5!$F$10:$BG$42,$A22+2,FALSE)="NO","NO",IF(HLOOKUP(AE$15,Data_5!$F$10:$BG$42,$A22+2,FALSE)="IE","IE",IF(HLOOKUP(AE$15,Data_5!$F$10:$BG$42,$A22+2,FALSE)="NE","NE",IF(HLOOKUP(AE$15,Data_5!$F$10:$BG$42,$A22+2,FALSE)="C","C",IF(HLOOKUP(AE$15,Data_5!$F$10:$BG$42,$A22+2,FALSE)="NO","NO",HLOOKUP(AE$15,Data_5!$F$10:$BG$42,$A22+2,FALSE)/Data_5!$BH17))))),"")</f>
        <v>NO</v>
      </c>
      <c r="AF22" s="1122">
        <f>IFERROR(IF(HLOOKUP(AF$15,Data_5!$F$10:$BG$42,$A22+2,FALSE)="NO","NO",IF(HLOOKUP(AF$15,Data_5!$F$10:$BG$42,$A22+2,FALSE)="IE","IE",IF(HLOOKUP(AF$15,Data_5!$F$10:$BG$42,$A22+2,FALSE)="NE","NE",IF(HLOOKUP(AF$15,Data_5!$F$10:$BG$42,$A22+2,FALSE)="C","C",IF(HLOOKUP(AF$15,Data_5!$F$10:$BG$42,$A22+2,FALSE)="NO","NO",HLOOKUP(AF$15,Data_5!$F$10:$BG$42,$A22+2,FALSE)/Data_5!$BH17))))),"")</f>
        <v>3.8885051532682759E-4</v>
      </c>
      <c r="AG22" s="1122" t="str">
        <f>IFERROR(IF(HLOOKUP(AG$15,Data_5!$F$10:$BG$42,$A22+2,FALSE)="NO","NO",IF(HLOOKUP(AG$15,Data_5!$F$10:$BG$42,$A22+2,FALSE)="IE","IE",IF(HLOOKUP(AG$15,Data_5!$F$10:$BG$42,$A22+2,FALSE)="NE","NE",IF(HLOOKUP(AG$15,Data_5!$F$10:$BG$42,$A22+2,FALSE)="C","C",IF(HLOOKUP(AG$15,Data_5!$F$10:$BG$42,$A22+2,FALSE)="NO","NO",HLOOKUP(AG$15,Data_5!$F$10:$BG$42,$A22+2,FALSE)/Data_5!$BH17))))),"")</f>
        <v>NO</v>
      </c>
      <c r="AH22" s="1122" t="str">
        <f>IFERROR(IF(HLOOKUP(AH$15,Data_5!$F$10:$BG$42,$A22+2,FALSE)="NO","NO",IF(HLOOKUP(AH$15,Data_5!$F$10:$BG$42,$A22+2,FALSE)="IE","IE",IF(HLOOKUP(AH$15,Data_5!$F$10:$BG$42,$A22+2,FALSE)="NE","NE",IF(HLOOKUP(AH$15,Data_5!$F$10:$BG$42,$A22+2,FALSE)="C","C",IF(HLOOKUP(AH$15,Data_5!$F$10:$BG$42,$A22+2,FALSE)="NO","NO",HLOOKUP(AH$15,Data_5!$F$10:$BG$42,$A22+2,FALSE)/Data_5!$BH17))))),"")</f>
        <v>NO</v>
      </c>
      <c r="AI22" s="1122">
        <f>IFERROR(IF(HLOOKUP(AI$15,Data_5!$F$10:$BG$42,$A22+2,FALSE)="NO","NO",IF(HLOOKUP(AI$15,Data_5!$F$10:$BG$42,$A22+2,FALSE)="IE","IE",IF(HLOOKUP(AI$15,Data_5!$F$10:$BG$42,$A22+2,FALSE)="NE","NE",IF(HLOOKUP(AI$15,Data_5!$F$10:$BG$42,$A22+2,FALSE)="C","C",IF(HLOOKUP(AI$15,Data_5!$F$10:$BG$42,$A22+2,FALSE)="NO","NO",HLOOKUP(AI$15,Data_5!$F$10:$BG$42,$A22+2,FALSE)/Data_5!$BH17))))),"")</f>
        <v>4.0935022957037485E-3</v>
      </c>
      <c r="AJ22" s="1122">
        <f>IFERROR(IF(HLOOKUP(AJ$15,Data_5!$F$10:$BG$42,$A22+2,FALSE)="NO","NO",IF(HLOOKUP(AJ$15,Data_5!$F$10:$BG$42,$A22+2,FALSE)="IE","IE",IF(HLOOKUP(AJ$15,Data_5!$F$10:$BG$42,$A22+2,FALSE)="NE","NE",IF(HLOOKUP(AJ$15,Data_5!$F$10:$BG$42,$A22+2,FALSE)="C","C",IF(HLOOKUP(AJ$15,Data_5!$F$10:$BG$42,$A22+2,FALSE)="NO","NO",HLOOKUP(AJ$15,Data_5!$F$10:$BG$42,$A22+2,FALSE)/Data_5!$BH17))))),"")</f>
        <v>6.1476759130648139E-3</v>
      </c>
      <c r="AL22" s="2628" t="str">
        <f t="shared" si="0"/>
        <v>Buenos Aires</v>
      </c>
      <c r="AM22" s="2629"/>
      <c r="AN22" s="1100">
        <f t="shared" si="1"/>
        <v>2014</v>
      </c>
      <c r="AO22" s="1122" t="str">
        <f>IFERROR(IF(VLOOKUP($AL22,Data_5!$B$12:$E$42,4,FALSE)="BASIC","",(IF(HLOOKUP(AO$15,Data_5!$F$10:$BG$42,$A22+2,FALSE)="NO","NO",IF(HLOOKUP(AO$15,Data_5!$F$10:$BG$42,$A22+2,FALSE)="IE","IE",IF(HLOOKUP(AO$15,Data_5!$F$10:$BG$42,$A22+2,FALSE)="NE","NE",IF(HLOOKUP(AO$15,Data_5!$F$10:$BG$42,$A22+2,FALSE)="C","C",IF(HLOOKUP(AO$15,Data_5!$F$10:$BG$42,$A22+2,FALSE)="NO","NO",HLOOKUP(AO$15,Data_5!$F$10:$BG$42,$A22+2,FALSE)/Data_5!$BI17))))))),"")</f>
        <v/>
      </c>
      <c r="AP22" s="1122" t="str">
        <f>IFERROR(IF(VLOOKUP($AL22,Data_5!$B$12:$E$42,4,FALSE)="BASIC","",(IF(HLOOKUP(AP$15,Data_5!$F$10:$BG$42,$A22+2,FALSE)="NO","NO",IF(HLOOKUP(AP$15,Data_5!$F$10:$BG$42,$A22+2,FALSE)="IE","IE",IF(HLOOKUP(AP$15,Data_5!$F$10:$BG$42,$A22+2,FALSE)="NE","NE",IF(HLOOKUP(AP$15,Data_5!$F$10:$BG$42,$A22+2,FALSE)="C","C",IF(HLOOKUP(AP$15,Data_5!$F$10:$BG$42,$A22+2,FALSE)="NO","NO",HLOOKUP(AP$15,Data_5!$F$10:$BG$42,$A22+2,FALSE)/Data_5!$BI17))))))),"")</f>
        <v/>
      </c>
      <c r="AQ22" s="1122" t="str">
        <f>IFERROR(IF(VLOOKUP($AL22,Data_5!$B$12:$E$42,4,FALSE)="BASIC","",(IF(HLOOKUP(AQ$15,Data_5!$F$10:$BG$42,$A22+2,FALSE)="NO","NO",IF(HLOOKUP(AQ$15,Data_5!$F$10:$BG$42,$A22+2,FALSE)="IE","IE",IF(HLOOKUP(AQ$15,Data_5!$F$10:$BG$42,$A22+2,FALSE)="NE","NE",IF(HLOOKUP(AQ$15,Data_5!$F$10:$BG$42,$A22+2,FALSE)="C","C",IF(HLOOKUP(AQ$15,Data_5!$F$10:$BG$42,$A22+2,FALSE)="NO","NO",HLOOKUP(AQ$15,Data_5!$F$10:$BG$42,$A22+2,FALSE)/Data_5!$BI17))))))),"")</f>
        <v/>
      </c>
      <c r="AR22" s="1122" t="str">
        <f>IFERROR(IF(VLOOKUP($AL22,Data_5!$B$12:$E$42,4,FALSE)="BASIC","",(IF(HLOOKUP(AR$15,Data_5!$F$10:$BG$42,$A22+2,FALSE)="NO","NO",IF(HLOOKUP(AR$15,Data_5!$F$10:$BG$42,$A22+2,FALSE)="IE","IE",IF(HLOOKUP(AR$15,Data_5!$F$10:$BG$42,$A22+2,FALSE)="NE","NE",IF(HLOOKUP(AR$15,Data_5!$F$10:$BG$42,$A22+2,FALSE)="C","C",IF(HLOOKUP(AR$15,Data_5!$F$10:$BG$42,$A22+2,FALSE)="NO","NO",HLOOKUP(AR$15,Data_5!$F$10:$BG$42,$A22+2,FALSE)/Data_5!$BI17))))))),"")</f>
        <v/>
      </c>
      <c r="AS22" s="1122" t="str">
        <f>IFERROR(IF(VLOOKUP($AL22,Data_5!$B$12:$E$42,4,FALSE)="BASIC","",(IF(HLOOKUP(AS$15,Data_5!$F$10:$BG$42,$A22+2,FALSE)="NO","NO",IF(HLOOKUP(AS$15,Data_5!$F$10:$BG$42,$A22+2,FALSE)="IE","IE",IF(HLOOKUP(AS$15,Data_5!$F$10:$BG$42,$A22+2,FALSE)="NE","NE",IF(HLOOKUP(AS$15,Data_5!$F$10:$BG$42,$A22+2,FALSE)="C","C",IF(HLOOKUP(AS$15,Data_5!$F$10:$BG$42,$A22+2,FALSE)="NO","NO",HLOOKUP(AS$15,Data_5!$F$10:$BG$42,$A22+2,FALSE)/Data_5!$BI17))))))),"")</f>
        <v/>
      </c>
      <c r="AT22" s="1122" t="str">
        <f>IFERROR(IF(VLOOKUP($AL22,Data_5!$B$12:$E$42,4,FALSE)="BASIC","",(IF(HLOOKUP(AT$15,Data_5!$F$10:$BG$42,$A22+2,FALSE)="NO","NO",IF(HLOOKUP(AT$15,Data_5!$F$10:$BG$42,$A22+2,FALSE)="IE","IE",IF(HLOOKUP(AT$15,Data_5!$F$10:$BG$42,$A22+2,FALSE)="NE","NE",IF(HLOOKUP(AT$15,Data_5!$F$10:$BG$42,$A22+2,FALSE)="C","C",IF(HLOOKUP(AT$15,Data_5!$F$10:$BG$42,$A22+2,FALSE)="NO","NO",HLOOKUP(AT$15,Data_5!$F$10:$BG$42,$A22+2,FALSE)/Data_5!$BI17))))))),"")</f>
        <v/>
      </c>
      <c r="AU22" s="1122" t="str">
        <f>IFERROR(IF(VLOOKUP($AL22,Data_5!$B$12:$E$42,4,FALSE)="BASIC","",(IF(HLOOKUP(AU$15,Data_5!$F$10:$BG$42,$A22+2,FALSE)="NO","NO",IF(HLOOKUP(AU$15,Data_5!$F$10:$BG$42,$A22+2,FALSE)="IE","IE",IF(HLOOKUP(AU$15,Data_5!$F$10:$BG$42,$A22+2,FALSE)="NE","NE",IF(HLOOKUP(AU$15,Data_5!$F$10:$BG$42,$A22+2,FALSE)="C","C",IF(HLOOKUP(AU$15,Data_5!$F$10:$BG$42,$A22+2,FALSE)="NO","NO",HLOOKUP(AU$15,Data_5!$F$10:$BG$42,$A22+2,FALSE)/Data_5!$BI17))))))),"")</f>
        <v/>
      </c>
      <c r="AV22" s="1122" t="str">
        <f>IFERROR(IF(VLOOKUP($AL22,Data_5!$B$12:$E$42,4,FALSE)="BASIC","",(IF(HLOOKUP(AV$15,Data_5!$F$10:$BG$42,$A22+2,FALSE)="NO","NO",IF(HLOOKUP(AV$15,Data_5!$F$10:$BG$42,$A22+2,FALSE)="IE","IE",IF(HLOOKUP(AV$15,Data_5!$F$10:$BG$42,$A22+2,FALSE)="NE","NE",IF(HLOOKUP(AV$15,Data_5!$F$10:$BG$42,$A22+2,FALSE)="C","C",IF(HLOOKUP(AV$15,Data_5!$F$10:$BG$42,$A22+2,FALSE)="NO","NO",HLOOKUP(AV$15,Data_5!$F$10:$BG$42,$A22+2,FALSE)/Data_5!$BI17))))))),"")</f>
        <v/>
      </c>
      <c r="AW22" s="1122" t="str">
        <f>IFERROR(IF(VLOOKUP($AL22,Data_5!$B$12:$E$42,4,FALSE)="BASIC","",(IF(HLOOKUP(AW$15,Data_5!$F$10:$BG$42,$A22+2,FALSE)="NO","NO",IF(HLOOKUP(AW$15,Data_5!$F$10:$BG$42,$A22+2,FALSE)="IE","IE",IF(HLOOKUP(AW$15,Data_5!$F$10:$BG$42,$A22+2,FALSE)="NE","NE",IF(HLOOKUP(AW$15,Data_5!$F$10:$BG$42,$A22+2,FALSE)="C","C",IF(HLOOKUP(AW$15,Data_5!$F$10:$BG$42,$A22+2,FALSE)="NO","NO",HLOOKUP(AW$15,Data_5!$F$10:$BG$42,$A22+2,FALSE)/Data_5!$BI17))))))),"")</f>
        <v/>
      </c>
      <c r="AX22" s="1122" t="str">
        <f>IFERROR(IF(VLOOKUP($AL22,Data_5!$B$12:$E$42,4,FALSE)="BASIC","",(IF(HLOOKUP(AX$15,Data_5!$F$10:$BG$42,$A22+2,FALSE)="NO","NO",IF(HLOOKUP(AX$15,Data_5!$F$10:$BG$42,$A22+2,FALSE)="IE","IE",IF(HLOOKUP(AX$15,Data_5!$F$10:$BG$42,$A22+2,FALSE)="NE","NE",IF(HLOOKUP(AX$15,Data_5!$F$10:$BG$42,$A22+2,FALSE)="C","C",IF(HLOOKUP(AX$15,Data_5!$F$10:$BG$42,$A22+2,FALSE)="NO","NO",HLOOKUP(AX$15,Data_5!$F$10:$BG$42,$A22+2,FALSE)/Data_5!$BI17))))))),"")</f>
        <v/>
      </c>
      <c r="AY22" s="1122" t="str">
        <f>IFERROR(IF(VLOOKUP($AL22,Data_5!$B$12:$E$42,4,FALSE)="BASIC","",(IF(HLOOKUP(AY$15,Data_5!$F$10:$BG$42,$A22+2,FALSE)="NO","NO",IF(HLOOKUP(AY$15,Data_5!$F$10:$BG$42,$A22+2,FALSE)="IE","IE",IF(HLOOKUP(AY$15,Data_5!$F$10:$BG$42,$A22+2,FALSE)="NE","NE",IF(HLOOKUP(AY$15,Data_5!$F$10:$BG$42,$A22+2,FALSE)="C","C",IF(HLOOKUP(AY$15,Data_5!$F$10:$BG$42,$A22+2,FALSE)="NO","NO",HLOOKUP(AY$15,Data_5!$F$10:$BG$42,$A22+2,FALSE)/Data_5!$BI17))))))),"")</f>
        <v/>
      </c>
      <c r="AZ22" s="1122" t="str">
        <f>IFERROR(IF(VLOOKUP($AL22,Data_5!$B$12:$E$42,4,FALSE)="BASIC","",(IF(HLOOKUP(AZ$15,Data_5!$F$10:$BG$42,$A22+2,FALSE)="NO","NO",IF(HLOOKUP(AZ$15,Data_5!$F$10:$BG$42,$A22+2,FALSE)="IE","IE",IF(HLOOKUP(AZ$15,Data_5!$F$10:$BG$42,$A22+2,FALSE)="NE","NE",IF(HLOOKUP(AZ$15,Data_5!$F$10:$BG$42,$A22+2,FALSE)="C","C",IF(HLOOKUP(AZ$15,Data_5!$F$10:$BG$42,$A22+2,FALSE)="NO","NO",HLOOKUP(AZ$15,Data_5!$F$10:$BG$42,$A22+2,FALSE)/Data_5!$BI17))))))),"")</f>
        <v/>
      </c>
      <c r="BA22" s="1122" t="str">
        <f>IFERROR(IF(VLOOKUP($AL22,Data_5!$B$12:$E$42,4,FALSE)="BASIC","",(IF(HLOOKUP(BA$15,Data_5!$F$10:$BG$42,$A22+2,FALSE)="NO","NO",IF(HLOOKUP(BA$15,Data_5!$F$10:$BG$42,$A22+2,FALSE)="IE","IE",IF(HLOOKUP(BA$15,Data_5!$F$10:$BG$42,$A22+2,FALSE)="NE","NE",IF(HLOOKUP(BA$15,Data_5!$F$10:$BG$42,$A22+2,FALSE)="C","C",IF(HLOOKUP(BA$15,Data_5!$F$10:$BG$42,$A22+2,FALSE)="NO","NO",HLOOKUP(BA$15,Data_5!$F$10:$BG$42,$A22+2,FALSE)/Data_5!$BI17))))))),"")</f>
        <v/>
      </c>
      <c r="BB22" s="1122" t="str">
        <f>IFERROR(IF(VLOOKUP($AL22,Data_5!$B$12:$E$42,4,FALSE)="BASIC","",(IF(HLOOKUP(BB$15,Data_5!$F$10:$BG$42,$A22+2,FALSE)="NO","NO",IF(HLOOKUP(BB$15,Data_5!$F$10:$BG$42,$A22+2,FALSE)="IE","IE",IF(HLOOKUP(BB$15,Data_5!$F$10:$BG$42,$A22+2,FALSE)="NE","NE",IF(HLOOKUP(BB$15,Data_5!$F$10:$BG$42,$A22+2,FALSE)="C","C",IF(HLOOKUP(BB$15,Data_5!$F$10:$BG$42,$A22+2,FALSE)="NO","NO",HLOOKUP(BB$15,Data_5!$F$10:$BG$42,$A22+2,FALSE)/Data_5!$BI17))))))),"")</f>
        <v/>
      </c>
      <c r="BC22" s="1122" t="str">
        <f>IFERROR(IF(VLOOKUP($AL22,Data_5!$B$12:$E$42,4,FALSE)="BASIC","",(IF(HLOOKUP(BC$15,Data_5!$F$10:$BG$42,$A22+2,FALSE)="NO","NO",IF(HLOOKUP(BC$15,Data_5!$F$10:$BG$42,$A22+2,FALSE)="IE","IE",IF(HLOOKUP(BC$15,Data_5!$F$10:$BG$42,$A22+2,FALSE)="NE","NE",IF(HLOOKUP(BC$15,Data_5!$F$10:$BG$42,$A22+2,FALSE)="C","C",IF(HLOOKUP(BC$15,Data_5!$F$10:$BG$42,$A22+2,FALSE)="NO","NO",HLOOKUP(BC$15,Data_5!$F$10:$BG$42,$A22+2,FALSE)/Data_5!$BI17))))))),"")</f>
        <v/>
      </c>
      <c r="BD22" s="1122" t="str">
        <f>IFERROR(IF(VLOOKUP($AL22,Data_5!$B$12:$E$42,4,FALSE)="BASIC","",(IF(HLOOKUP(BD$15,Data_5!$F$10:$BG$42,$A22+2,FALSE)="NO","NO",IF(HLOOKUP(BD$15,Data_5!$F$10:$BG$42,$A22+2,FALSE)="IE","IE",IF(HLOOKUP(BD$15,Data_5!$F$10:$BG$42,$A22+2,FALSE)="NE","NE",IF(HLOOKUP(BD$15,Data_5!$F$10:$BG$42,$A22+2,FALSE)="C","C",IF(HLOOKUP(BD$15,Data_5!$F$10:$BG$42,$A22+2,FALSE)="NO","NO",HLOOKUP(BD$15,Data_5!$F$10:$BG$42,$A22+2,FALSE)/Data_5!$BI17))))))),"")</f>
        <v/>
      </c>
      <c r="BE22" s="1122" t="str">
        <f>IFERROR(IF(VLOOKUP($AL22,Data_5!$B$12:$E$42,4,FALSE)="BASIC","",(IF(HLOOKUP(BE$15,Data_5!$F$10:$BG$42,$A22+2,FALSE)="NO","NO",IF(HLOOKUP(BE$15,Data_5!$F$10:$BG$42,$A22+2,FALSE)="IE","IE",IF(HLOOKUP(BE$15,Data_5!$F$10:$BG$42,$A22+2,FALSE)="NE","NE",IF(HLOOKUP(BE$15,Data_5!$F$10:$BG$42,$A22+2,FALSE)="C","C",IF(HLOOKUP(BE$15,Data_5!$F$10:$BG$42,$A22+2,FALSE)="NO","NO",HLOOKUP(BE$15,Data_5!$F$10:$BG$42,$A22+2,FALSE)/Data_5!$BI17))))))),"")</f>
        <v/>
      </c>
      <c r="BF22" s="1122" t="str">
        <f>IFERROR(IF(VLOOKUP($AL22,Data_5!$B$12:$E$42,4,FALSE)="BASIC","",(IF(HLOOKUP(BF$15,Data_5!$F$10:$BG$42,$A22+2,FALSE)="NO","NO",IF(HLOOKUP(BF$15,Data_5!$F$10:$BG$42,$A22+2,FALSE)="IE","IE",IF(HLOOKUP(BF$15,Data_5!$F$10:$BG$42,$A22+2,FALSE)="NE","NE",IF(HLOOKUP(BF$15,Data_5!$F$10:$BG$42,$A22+2,FALSE)="C","C",IF(HLOOKUP(BF$15,Data_5!$F$10:$BG$42,$A22+2,FALSE)="NO","NO",HLOOKUP(BF$15,Data_5!$F$10:$BG$42,$A22+2,FALSE)/Data_5!$BI17))))))),"")</f>
        <v/>
      </c>
      <c r="BG22" s="1122" t="str">
        <f>IFERROR(IF(VLOOKUP($AL22,Data_5!$B$12:$E$42,4,FALSE)="BASIC","",(IF(HLOOKUP(BG$15,Data_5!$F$10:$BG$42,$A22+2,FALSE)="NO","NO",IF(HLOOKUP(BG$15,Data_5!$F$10:$BG$42,$A22+2,FALSE)="IE","IE",IF(HLOOKUP(BG$15,Data_5!$F$10:$BG$42,$A22+2,FALSE)="NE","NE",IF(HLOOKUP(BG$15,Data_5!$F$10:$BG$42,$A22+2,FALSE)="C","C",IF(HLOOKUP(BG$15,Data_5!$F$10:$BG$42,$A22+2,FALSE)="NO","NO",HLOOKUP(BG$15,Data_5!$F$10:$BG$42,$A22+2,FALSE)/Data_5!$BI17))))))),"")</f>
        <v/>
      </c>
      <c r="BH22" s="1122" t="str">
        <f>IFERROR(IF(VLOOKUP($AL22,Data_5!$B$12:$E$42,4,FALSE)="BASIC","",(IF(HLOOKUP(BH$15,Data_5!$F$10:$BG$42,$A22+2,FALSE)="NO","NO",IF(HLOOKUP(BH$15,Data_5!$F$10:$BG$42,$A22+2,FALSE)="IE","IE",IF(HLOOKUP(BH$15,Data_5!$F$10:$BG$42,$A22+2,FALSE)="NE","NE",IF(HLOOKUP(BH$15,Data_5!$F$10:$BG$42,$A22+2,FALSE)="C","C",IF(HLOOKUP(BH$15,Data_5!$F$10:$BG$42,$A22+2,FALSE)="NO","NO",HLOOKUP(BH$15,Data_5!$F$10:$BG$42,$A22+2,FALSE)/Data_5!$BI17))))))),"")</f>
        <v/>
      </c>
      <c r="BI22" s="1122" t="str">
        <f>IFERROR(IF(VLOOKUP($AL22,Data_5!$B$12:$E$42,4,FALSE)="BASIC","",(IF(HLOOKUP(BI$15,Data_5!$F$10:$BG$42,$A22+2,FALSE)="NO","NO",IF(HLOOKUP(BI$15,Data_5!$F$10:$BG$42,$A22+2,FALSE)="IE","IE",IF(HLOOKUP(BI$15,Data_5!$F$10:$BG$42,$A22+2,FALSE)="NE","NE",IF(HLOOKUP(BI$15,Data_5!$F$10:$BG$42,$A22+2,FALSE)="C","C",IF(HLOOKUP(BI$15,Data_5!$F$10:$BG$42,$A22+2,FALSE)="NO","NO",HLOOKUP(BI$15,Data_5!$F$10:$BG$42,$A22+2,FALSE)/Data_5!$BI17))))))),"")</f>
        <v/>
      </c>
      <c r="BJ22" s="1122" t="str">
        <f>IFERROR(IF(VLOOKUP($AL22,Data_5!$B$12:$E$42,4,FALSE)="BASIC","",(IF(HLOOKUP(BJ$15,Data_5!$F$10:$BG$42,$A22+2,FALSE)="NO","NO",IF(HLOOKUP(BJ$15,Data_5!$F$10:$BG$42,$A22+2,FALSE)="IE","IE",IF(HLOOKUP(BJ$15,Data_5!$F$10:$BG$42,$A22+2,FALSE)="NE","NE",IF(HLOOKUP(BJ$15,Data_5!$F$10:$BG$42,$A22+2,FALSE)="C","C",IF(HLOOKUP(BJ$15,Data_5!$F$10:$BG$42,$A22+2,FALSE)="NO","NO",HLOOKUP(BJ$15,Data_5!$F$10:$BG$42,$A22+2,FALSE)/Data_5!$BI17))))))),"")</f>
        <v/>
      </c>
      <c r="BK22" s="1122" t="str">
        <f>IFERROR(IF(VLOOKUP($AL22,Data_5!$B$12:$E$42,4,FALSE)="BASIC","",(IF(HLOOKUP(BK$15,Data_5!$F$10:$BG$42,$A22+2,FALSE)="NO","NO",IF(HLOOKUP(BK$15,Data_5!$F$10:$BG$42,$A22+2,FALSE)="IE","IE",IF(HLOOKUP(BK$15,Data_5!$F$10:$BG$42,$A22+2,FALSE)="NE","NE",IF(HLOOKUP(BK$15,Data_5!$F$10:$BG$42,$A22+2,FALSE)="C","C",IF(HLOOKUP(BK$15,Data_5!$F$10:$BG$42,$A22+2,FALSE)="NO","NO",HLOOKUP(BK$15,Data_5!$F$10:$BG$42,$A22+2,FALSE)/Data_5!$BI17))))))),"")</f>
        <v/>
      </c>
      <c r="BL22" s="1122" t="str">
        <f>IFERROR(IF(VLOOKUP($AL22,Data_5!$B$12:$E$42,4,FALSE)="BASIC","",(IF(HLOOKUP(BL$15,Data_5!$F$10:$BG$42,$A22+2,FALSE)="NO","NO",IF(HLOOKUP(BL$15,Data_5!$F$10:$BG$42,$A22+2,FALSE)="IE","IE",IF(HLOOKUP(BL$15,Data_5!$F$10:$BG$42,$A22+2,FALSE)="NE","NE",IF(HLOOKUP(BL$15,Data_5!$F$10:$BG$42,$A22+2,FALSE)="C","C",IF(HLOOKUP(BL$15,Data_5!$F$10:$BG$42,$A22+2,FALSE)="NO","NO",HLOOKUP(BL$15,Data_5!$F$10:$BG$42,$A22+2,FALSE)/Data_5!$BI17))))))),"")</f>
        <v/>
      </c>
      <c r="BM22" s="1122" t="str">
        <f>IFERROR(IF(VLOOKUP($AL22,Data_5!$B$12:$E$42,4,FALSE)="BASIC","",(IF(HLOOKUP(BM$15,Data_5!$F$10:$BG$42,$A22+2,FALSE)="NO","NO",IF(HLOOKUP(BM$15,Data_5!$F$10:$BG$42,$A22+2,FALSE)="IE","IE",IF(HLOOKUP(BM$15,Data_5!$F$10:$BG$42,$A22+2,FALSE)="NE","NE",IF(HLOOKUP(BM$15,Data_5!$F$10:$BG$42,$A22+2,FALSE)="C","C",IF(HLOOKUP(BM$15,Data_5!$F$10:$BG$42,$A22+2,FALSE)="NO","NO",HLOOKUP(BM$15,Data_5!$F$10:$BG$42,$A22+2,FALSE)/Data_5!$BI17))))))),"")</f>
        <v/>
      </c>
      <c r="BN22" s="1122" t="str">
        <f>IFERROR(IF(VLOOKUP($AL22,Data_5!$B$12:$E$42,4,FALSE)="BASIC","",(IF(HLOOKUP(BN$15,Data_5!$F$10:$BG$42,$A22+2,FALSE)="NO","NO",IF(HLOOKUP(BN$15,Data_5!$F$10:$BG$42,$A22+2,FALSE)="IE","IE",IF(HLOOKUP(BN$15,Data_5!$F$10:$BG$42,$A22+2,FALSE)="NE","NE",IF(HLOOKUP(BN$15,Data_5!$F$10:$BG$42,$A22+2,FALSE)="C","C",IF(HLOOKUP(BN$15,Data_5!$F$10:$BG$42,$A22+2,FALSE)="NO","NO",HLOOKUP(BN$15,Data_5!$F$10:$BG$42,$A22+2,FALSE)/Data_5!$BI17))))))),"")</f>
        <v/>
      </c>
      <c r="BO22" s="1122" t="str">
        <f>IFERROR(IF(VLOOKUP($AL22,Data_5!$B$12:$E$42,4,FALSE)="BASIC","",(IF(HLOOKUP(BO$15,Data_5!$F$10:$BG$42,$A22+2,FALSE)="NO","NO",IF(HLOOKUP(BO$15,Data_5!$F$10:$BG$42,$A22+2,FALSE)="IE","IE",IF(HLOOKUP(BO$15,Data_5!$F$10:$BG$42,$A22+2,FALSE)="NE","NE",IF(HLOOKUP(BO$15,Data_5!$F$10:$BG$42,$A22+2,FALSE)="C","C",IF(HLOOKUP(BO$15,Data_5!$F$10:$BG$42,$A22+2,FALSE)="NO","NO",HLOOKUP(BO$15,Data_5!$F$10:$BG$42,$A22+2,FALSE)/Data_5!$BI17))))))),"")</f>
        <v/>
      </c>
      <c r="BP22" s="1122" t="str">
        <f>IFERROR(IF(VLOOKUP($AL22,Data_5!$B$12:$E$42,4,FALSE)="BASIC","",(IF(HLOOKUP(BP$15,Data_5!$F$10:$BG$42,$A22+2,FALSE)="NO","NO",IF(HLOOKUP(BP$15,Data_5!$F$10:$BG$42,$A22+2,FALSE)="IE","IE",IF(HLOOKUP(BP$15,Data_5!$F$10:$BG$42,$A22+2,FALSE)="NE","NE",IF(HLOOKUP(BP$15,Data_5!$F$10:$BG$42,$A22+2,FALSE)="C","C",IF(HLOOKUP(BP$15,Data_5!$F$10:$BG$42,$A22+2,FALSE)="NO","NO",HLOOKUP(BP$15,Data_5!$F$10:$BG$42,$A22+2,FALSE)/Data_5!$BI17))))))),"")</f>
        <v/>
      </c>
      <c r="BQ22" s="1122" t="str">
        <f>IFERROR(IF(VLOOKUP($AL22,Data_5!$B$12:$E$42,4,FALSE)="BASIC","",(IF(HLOOKUP(BQ$15,Data_5!$F$10:$BG$42,$A22+2,FALSE)="NO","NO",IF(HLOOKUP(BQ$15,Data_5!$F$10:$BG$42,$A22+2,FALSE)="IE","IE",IF(HLOOKUP(BQ$15,Data_5!$F$10:$BG$42,$A22+2,FALSE)="NE","NE",IF(HLOOKUP(BQ$15,Data_5!$F$10:$BG$42,$A22+2,FALSE)="C","C",IF(HLOOKUP(BQ$15,Data_5!$F$10:$BG$42,$A22+2,FALSE)="NO","NO",HLOOKUP(BQ$15,Data_5!$F$10:$BG$42,$A22+2,FALSE)/Data_5!$BI17))))))),"")</f>
        <v/>
      </c>
      <c r="BR22" s="1122" t="str">
        <f>IFERROR(IF(VLOOKUP($AL22,Data_5!$B$12:$E$42,4,FALSE)="BASIC","",(IF(HLOOKUP(BR$15,Data_5!$F$10:$BG$42,$A22+2,FALSE)="NO","NO",IF(HLOOKUP(BR$15,Data_5!$F$10:$BG$42,$A22+2,FALSE)="IE","IE",IF(HLOOKUP(BR$15,Data_5!$F$10:$BG$42,$A22+2,FALSE)="NE","NE",IF(HLOOKUP(BR$15,Data_5!$F$10:$BG$42,$A22+2,FALSE)="C","C",IF(HLOOKUP(BR$15,Data_5!$F$10:$BG$42,$A22+2,FALSE)="NO","NO",HLOOKUP(BR$15,Data_5!$F$10:$BG$42,$A22+2,FALSE)/Data_5!$BI17))))))),"")</f>
        <v/>
      </c>
      <c r="BS22" s="1122" t="str">
        <f>IFERROR(IF(VLOOKUP($AL22,Data_5!$B$12:$E$42,4,FALSE)="BASIC","",(IF(HLOOKUP(BS$15,Data_5!$F$10:$BG$42,$A22+2,FALSE)="NO","NO",IF(HLOOKUP(BS$15,Data_5!$F$10:$BG$42,$A22+2,FALSE)="IE","IE",IF(HLOOKUP(BS$15,Data_5!$F$10:$BG$42,$A22+2,FALSE)="NE","NE",IF(HLOOKUP(BS$15,Data_5!$F$10:$BG$42,$A22+2,FALSE)="C","C",IF(HLOOKUP(BS$15,Data_5!$F$10:$BG$42,$A22+2,FALSE)="NO","NO",HLOOKUP(BS$15,Data_5!$F$10:$BG$42,$A22+2,FALSE)/Data_5!$BI17))))))),"")</f>
        <v/>
      </c>
      <c r="BT22" s="1122" t="str">
        <f>IFERROR(IF(VLOOKUP($AL22,Data_5!$B$12:$E$42,4,FALSE)="BASIC","",(IF(HLOOKUP(BT$15,Data_5!$F$10:$BG$42,$A22+2,FALSE)="NO","NO",IF(HLOOKUP(BT$15,Data_5!$F$10:$BG$42,$A22+2,FALSE)="IE","IE",IF(HLOOKUP(BT$15,Data_5!$F$10:$BG$42,$A22+2,FALSE)="NE","NE",IF(HLOOKUP(BT$15,Data_5!$F$10:$BG$42,$A22+2,FALSE)="C","C",IF(HLOOKUP(BT$15,Data_5!$F$10:$BG$42,$A22+2,FALSE)="NO","NO",HLOOKUP(BT$15,Data_5!$F$10:$BG$42,$A22+2,FALSE)/Data_5!$BI17))))))),"")</f>
        <v/>
      </c>
      <c r="BU22" s="1122" t="str">
        <f>IFERROR(IF(VLOOKUP($AL22,Data_5!$B$12:$E$42,4,FALSE)="BASIC","",(IF(HLOOKUP(BU$15,Data_5!$F$10:$BG$42,$A22+2,FALSE)="NO","NO",IF(HLOOKUP(BU$15,Data_5!$F$10:$BG$42,$A22+2,FALSE)="IE","IE",IF(HLOOKUP(BU$15,Data_5!$F$10:$BG$42,$A22+2,FALSE)="NE","NE",IF(HLOOKUP(BU$15,Data_5!$F$10:$BG$42,$A22+2,FALSE)="C","C",IF(HLOOKUP(BU$15,Data_5!$F$10:$BG$42,$A22+2,FALSE)="NO","NO",HLOOKUP(BU$15,Data_5!$F$10:$BG$42,$A22+2,FALSE)/Data_5!$BI17))))))),"")</f>
        <v/>
      </c>
      <c r="BV22" s="1122" t="str">
        <f>IFERROR(IF(VLOOKUP($AL22,Data_5!$B$12:$E$42,4,FALSE)="BASIC","",(IF(HLOOKUP(BV$15,Data_5!$F$10:$BG$42,$A22+2,FALSE)="NO","NO",IF(HLOOKUP(BV$15,Data_5!$F$10:$BG$42,$A22+2,FALSE)="IE","IE",IF(HLOOKUP(BV$15,Data_5!$F$10:$BG$42,$A22+2,FALSE)="NE","NE",IF(HLOOKUP(BV$15,Data_5!$F$10:$BG$42,$A22+2,FALSE)="C","C",IF(HLOOKUP(BV$15,Data_5!$F$10:$BG$42,$A22+2,FALSE)="NO","NO",HLOOKUP(BV$15,Data_5!$F$10:$BG$42,$A22+2,FALSE)/Data_5!$BI17))))))),"")</f>
        <v/>
      </c>
      <c r="BW22" s="1122" t="str">
        <f>IFERROR(IF(VLOOKUP($AL22,Data_5!$B$12:$E$42,4,FALSE)="BASIC","",(IF(HLOOKUP(BW$15,Data_5!$F$10:$BG$42,$A22+2,FALSE)="NO","NO",IF(HLOOKUP(BW$15,Data_5!$F$10:$BG$42,$A22+2,FALSE)="IE","IE",IF(HLOOKUP(BW$15,Data_5!$F$10:$BG$42,$A22+2,FALSE)="NE","NE",IF(HLOOKUP(BW$15,Data_5!$F$10:$BG$42,$A22+2,FALSE)="C","C",IF(HLOOKUP(BW$15,Data_5!$F$10:$BG$42,$A22+2,FALSE)="NO","NO",HLOOKUP(BW$15,Data_5!$F$10:$BG$42,$A22+2,FALSE)/Data_5!$BI17))))))),"")</f>
        <v/>
      </c>
      <c r="BX22" s="1122" t="str">
        <f>IFERROR(IF(VLOOKUP($AL22,Data_5!$B$12:$E$42,4,FALSE)="BASIC","",(IF(HLOOKUP(BX$15,Data_5!$F$10:$BG$42,$A22+2,FALSE)="NO","NO",IF(HLOOKUP(BX$15,Data_5!$F$10:$BG$42,$A22+2,FALSE)="IE","IE",IF(HLOOKUP(BX$15,Data_5!$F$10:$BG$42,$A22+2,FALSE)="NE","NE",IF(HLOOKUP(BX$15,Data_5!$F$10:$BG$42,$A22+2,FALSE)="C","C",IF(HLOOKUP(BX$15,Data_5!$F$10:$BG$42,$A22+2,FALSE)="NO","NO",HLOOKUP(BX$15,Data_5!$F$10:$BG$42,$A22+2,FALSE)/Data_5!$BI17))))))),"")</f>
        <v/>
      </c>
      <c r="BY22" s="1122" t="str">
        <f>IFERROR(IF(VLOOKUP($AL22,Data_5!$B$12:$E$42,4,FALSE)="BASIC","",(IF(HLOOKUP(BY$15,Data_5!$F$10:$BG$42,$A22+2,FALSE)="NO","NO",IF(HLOOKUP(BY$15,Data_5!$F$10:$BG$42,$A22+2,FALSE)="IE","IE",IF(HLOOKUP(BY$15,Data_5!$F$10:$BG$42,$A22+2,FALSE)="NE","NE",IF(HLOOKUP(BY$15,Data_5!$F$10:$BG$42,$A22+2,FALSE)="C","C",IF(HLOOKUP(BY$15,Data_5!$F$10:$BG$42,$A22+2,FALSE)="NO","NO",HLOOKUP(BY$15,Data_5!$F$10:$BG$42,$A22+2,FALSE)/Data_5!$BI17))))))),"")</f>
        <v/>
      </c>
      <c r="BZ22" s="1122" t="str">
        <f>IFERROR(IF(VLOOKUP($AL22,Data_5!$B$12:$E$42,4,FALSE)="BASIC","",(IF(HLOOKUP(BZ$15,Data_5!$F$10:$BG$42,$A22+2,FALSE)="NO","NO",IF(HLOOKUP(BZ$15,Data_5!$F$10:$BG$42,$A22+2,FALSE)="IE","IE",IF(HLOOKUP(BZ$15,Data_5!$F$10:$BG$42,$A22+2,FALSE)="NE","NE",IF(HLOOKUP(BZ$15,Data_5!$F$10:$BG$42,$A22+2,FALSE)="C","C",IF(HLOOKUP(BZ$15,Data_5!$F$10:$BG$42,$A22+2,FALSE)="NO","NO",HLOOKUP(BZ$15,Data_5!$F$10:$BG$42,$A22+2,FALSE)/Data_5!$BI17))))))),"")</f>
        <v/>
      </c>
      <c r="CA22" s="1122" t="str">
        <f>IFERROR(IF(VLOOKUP($AL22,Data_5!$B$12:$E$42,4,FALSE)="BASIC","",(IF(HLOOKUP(CA$15,Data_5!$F$10:$BG$42,$A22+2,FALSE)="NO","NO",IF(HLOOKUP(CA$15,Data_5!$F$10:$BG$42,$A22+2,FALSE)="IE","IE",IF(HLOOKUP(CA$15,Data_5!$F$10:$BG$42,$A22+2,FALSE)="NE","NE",IF(HLOOKUP(CA$15,Data_5!$F$10:$BG$42,$A22+2,FALSE)="C","C",IF(HLOOKUP(CA$15,Data_5!$F$10:$BG$42,$A22+2,FALSE)="NO","NO",HLOOKUP(CA$15,Data_5!$F$10:$BG$42,$A22+2,FALSE)/Data_5!$BI17))))))),"")</f>
        <v/>
      </c>
      <c r="CB22" s="1122" t="str">
        <f>IFERROR(IF(VLOOKUP($AL22,Data_5!$B$12:$E$42,4,FALSE)="BASIC","",(IF(HLOOKUP(CB$15,Data_5!$F$10:$BG$42,$A22+2,FALSE)="NO","NO",IF(HLOOKUP(CB$15,Data_5!$F$10:$BG$42,$A22+2,FALSE)="IE","IE",IF(HLOOKUP(CB$15,Data_5!$F$10:$BG$42,$A22+2,FALSE)="NE","NE",IF(HLOOKUP(CB$15,Data_5!$F$10:$BG$42,$A22+2,FALSE)="C","C",IF(HLOOKUP(CB$15,Data_5!$F$10:$BG$42,$A22+2,FALSE)="NO","NO",HLOOKUP(CB$15,Data_5!$F$10:$BG$42,$A22+2,FALSE)/Data_5!$BI17))))))),"")</f>
        <v/>
      </c>
      <c r="CC22" s="1122" t="str">
        <f>IFERROR(IF(VLOOKUP($AL22,Data_5!$B$12:$E$42,4,FALSE)="BASIC","",(IF(HLOOKUP(CC$15,Data_5!$F$10:$BG$42,$A22+2,FALSE)="NO","NO",IF(HLOOKUP(CC$15,Data_5!$F$10:$BG$42,$A22+2,FALSE)="IE","IE",IF(HLOOKUP(CC$15,Data_5!$F$10:$BG$42,$A22+2,FALSE)="NE","NE",IF(HLOOKUP(CC$15,Data_5!$F$10:$BG$42,$A22+2,FALSE)="C","C",IF(HLOOKUP(CC$15,Data_5!$F$10:$BG$42,$A22+2,FALSE)="NO","NO",HLOOKUP(CC$15,Data_5!$F$10:$BG$42,$A22+2,FALSE)/Data_5!$BI17))))))),"")</f>
        <v/>
      </c>
      <c r="CD22" s="1122" t="str">
        <f>IFERROR(IF(VLOOKUP($AL22,Data_5!$B$12:$E$42,4,FALSE)="BASIC","",(IF(HLOOKUP(CD$15,Data_5!$F$10:$BG$42,$A22+2,FALSE)="NO","NO",IF(HLOOKUP(CD$15,Data_5!$F$10:$BG$42,$A22+2,FALSE)="IE","IE",IF(HLOOKUP(CD$15,Data_5!$F$10:$BG$42,$A22+2,FALSE)="NE","NE",IF(HLOOKUP(CD$15,Data_5!$F$10:$BG$42,$A22+2,FALSE)="C","C",IF(HLOOKUP(CD$15,Data_5!$F$10:$BG$42,$A22+2,FALSE)="NO","NO",HLOOKUP(CD$15,Data_5!$F$10:$BG$42,$A22+2,FALSE)/Data_5!$BI17))))))),"")</f>
        <v/>
      </c>
      <c r="CE22" s="1122" t="str">
        <f>IFERROR(IF(VLOOKUP($AL22,Data_5!$B$12:$E$42,4,FALSE)="BASIC","",(IF(HLOOKUP(CE$15,Data_5!$F$10:$BG$42,$A22+2,FALSE)="NO","NO",IF(HLOOKUP(CE$15,Data_5!$F$10:$BG$42,$A22+2,FALSE)="IE","IE",IF(HLOOKUP(CE$15,Data_5!$F$10:$BG$42,$A22+2,FALSE)="NE","NE",IF(HLOOKUP(CE$15,Data_5!$F$10:$BG$42,$A22+2,FALSE)="C","C",IF(HLOOKUP(CE$15,Data_5!$F$10:$BG$42,$A22+2,FALSE)="NO","NO",HLOOKUP(CE$15,Data_5!$F$10:$BG$42,$A22+2,FALSE)/Data_5!$BI17))))))),"")</f>
        <v/>
      </c>
      <c r="CF22" s="1122" t="str">
        <f>IFERROR(IF(VLOOKUP($AL22,Data_5!$B$12:$E$42,4,FALSE)="BASIC","",(IF(HLOOKUP(CF$15,Data_5!$F$10:$BG$42,$A22+2,FALSE)="NO","NO",IF(HLOOKUP(CF$15,Data_5!$F$10:$BG$42,$A22+2,FALSE)="IE","IE",IF(HLOOKUP(CF$15,Data_5!$F$10:$BG$42,$A22+2,FALSE)="NE","NE",IF(HLOOKUP(CF$15,Data_5!$F$10:$BG$42,$A22+2,FALSE)="C","C",IF(HLOOKUP(CF$15,Data_5!$F$10:$BG$42,$A22+2,FALSE)="NO","NO",HLOOKUP(CF$15,Data_5!$F$10:$BG$42,$A22+2,FALSE)/Data_5!$BI17))))))),"")</f>
        <v/>
      </c>
      <c r="CG22" s="1122" t="str">
        <f>IFERROR(IF(VLOOKUP($AL22,Data_5!$B$12:$E$42,4,FALSE)="BASIC","",(IF(HLOOKUP(CG$15,Data_5!$F$10:$BG$42,$A22+2,FALSE)="NO","NO",IF(HLOOKUP(CG$15,Data_5!$F$10:$BG$42,$A22+2,FALSE)="IE","IE",IF(HLOOKUP(CG$15,Data_5!$F$10:$BG$42,$A22+2,FALSE)="NE","NE",IF(HLOOKUP(CG$15,Data_5!$F$10:$BG$42,$A22+2,FALSE)="C","C",IF(HLOOKUP(CG$15,Data_5!$F$10:$BG$42,$A22+2,FALSE)="NO","NO",HLOOKUP(CG$15,Data_5!$F$10:$BG$42,$A22+2,FALSE)/Data_5!$BI17))))))),"")</f>
        <v/>
      </c>
      <c r="CH22" s="1122" t="str">
        <f>IFERROR(IF(VLOOKUP($AL22,Data_5!$B$12:$E$42,4,FALSE)="BASIC","",(IF(HLOOKUP(CH$15,Data_5!$F$10:$BG$42,$A22+2,FALSE)="NO","NO",IF(HLOOKUP(CH$15,Data_5!$F$10:$BG$42,$A22+2,FALSE)="IE","IE",IF(HLOOKUP(CH$15,Data_5!$F$10:$BG$42,$A22+2,FALSE)="NE","NE",IF(HLOOKUP(CH$15,Data_5!$F$10:$BG$42,$A22+2,FALSE)="C","C",IF(HLOOKUP(CH$15,Data_5!$F$10:$BG$42,$A22+2,FALSE)="NO","NO",HLOOKUP(CH$15,Data_5!$F$10:$BG$42,$A22+2,FALSE)/Data_5!$BI17))))))),"")</f>
        <v/>
      </c>
      <c r="CI22" s="1122" t="str">
        <f>IFERROR(IF(VLOOKUP($AL22,Data_5!$B$12:$E$42,4,FALSE)="BASIC","",(IF(HLOOKUP(CI$15,Data_5!$F$10:$BG$42,$A22+2,FALSE)="NO","NO",IF(HLOOKUP(CI$15,Data_5!$F$10:$BG$42,$A22+2,FALSE)="IE","IE",IF(HLOOKUP(CI$15,Data_5!$F$10:$BG$42,$A22+2,FALSE)="NE","NE",IF(HLOOKUP(CI$15,Data_5!$F$10:$BG$42,$A22+2,FALSE)="C","C",IF(HLOOKUP(CI$15,Data_5!$F$10:$BG$42,$A22+2,FALSE)="NO","NO",HLOOKUP(CI$15,Data_5!$F$10:$BG$42,$A22+2,FALSE)/Data_5!$BI17))))))),"")</f>
        <v/>
      </c>
      <c r="CJ22" s="1122" t="str">
        <f>IFERROR(IF(VLOOKUP($AL22,Data_5!$B$12:$E$42,4,FALSE)="BASIC","",(IF(HLOOKUP(CJ$15,Data_5!$F$10:$BG$42,$A22+2,FALSE)="NO","NO",IF(HLOOKUP(CJ$15,Data_5!$F$10:$BG$42,$A22+2,FALSE)="IE","IE",IF(HLOOKUP(CJ$15,Data_5!$F$10:$BG$42,$A22+2,FALSE)="NE","NE",IF(HLOOKUP(CJ$15,Data_5!$F$10:$BG$42,$A22+2,FALSE)="C","C",IF(HLOOKUP(CJ$15,Data_5!$F$10:$BG$42,$A22+2,FALSE)="NO","NO",HLOOKUP(CJ$15,Data_5!$F$10:$BG$42,$A22+2,FALSE)/Data_5!$BI17))))))),"")</f>
        <v/>
      </c>
      <c r="CL22" s="2628" t="str">
        <f t="shared" si="2"/>
        <v>Buenos Aires</v>
      </c>
      <c r="CM22" s="2629"/>
      <c r="CN22" s="1100">
        <f t="shared" si="3"/>
        <v>2014</v>
      </c>
      <c r="CO22" s="1122">
        <f>IFERROR(IF(HLOOKUP(CO$15,Data_5!$F$10:$BG$42,$A22+2,FALSE)="NO","NO",IF(HLOOKUP(CO$15,Data_5!$F$10:$BG$42,$A22+2,FALSE)="IE","IE",IF(HLOOKUP(CO$15,Data_5!$F$10:$BG$42,$A22+2,FALSE)="NE","NE",IF(HLOOKUP(CO$15,Data_5!$F$10:$BG$42,$A22+2,FALSE)="C","C",IF(HLOOKUP(CO$15,Data_5!$F$10:$BG$42,$A22+2,FALSE)="NO","NO",HLOOKUP(CO$15,Data_5!$F$10:$BG$42,$A22+2,FALSE)/Data_5!$BK17))))),"")</f>
        <v>0.1376231631088588</v>
      </c>
      <c r="CP22" s="1122">
        <f>IFERROR(IF(HLOOKUP(CP$15,Data_5!$F$10:$BG$42,$A22+2,FALSE)="NO","NO",IF(HLOOKUP(CP$15,Data_5!$F$10:$BG$42,$A22+2,FALSE)="IE","IE",IF(HLOOKUP(CP$15,Data_5!$F$10:$BG$42,$A22+2,FALSE)="NE","NE",IF(HLOOKUP(CP$15,Data_5!$F$10:$BG$42,$A22+2,FALSE)="C","C",IF(HLOOKUP(CP$15,Data_5!$F$10:$BG$42,$A22+2,FALSE)="NO","NO",HLOOKUP(CP$15,Data_5!$F$10:$BG$42,$A22+2,FALSE)/Data_5!$BK17))))),"")</f>
        <v>4.8659026651209164E-2</v>
      </c>
      <c r="CQ22" s="1122">
        <f>IFERROR(IF(HLOOKUP(CQ$15,Data_5!$F$10:$BG$42,$A22+2,FALSE)="NO","NO",IF(HLOOKUP(CQ$15,Data_5!$F$10:$BG$42,$A22+2,FALSE)="IE","IE",IF(HLOOKUP(CQ$15,Data_5!$F$10:$BG$42,$A22+2,FALSE)="NE","NE",IF(HLOOKUP(CQ$15,Data_5!$F$10:$BG$42,$A22+2,FALSE)="C","C",IF(HLOOKUP(CQ$15,Data_5!$F$10:$BG$42,$A22+2,FALSE)="NO","NO",HLOOKUP(CQ$15,Data_5!$F$10:$BG$42,$A22+2,FALSE)/Data_5!$BK17))))),"")</f>
        <v>2.1295104839678908E-2</v>
      </c>
      <c r="CR22" s="1122" t="str">
        <f>IFERROR(IF(HLOOKUP(CR$15,Data_5!$F$10:$BG$42,$A22+2,FALSE)="NO","NO",IF(HLOOKUP(CR$15,Data_5!$F$10:$BG$42,$A22+2,FALSE)="IE","IE",IF(HLOOKUP(CR$15,Data_5!$F$10:$BG$42,$A22+2,FALSE)="NE","NE",IF(HLOOKUP(CR$15,Data_5!$F$10:$BG$42,$A22+2,FALSE)="C","C",IF(HLOOKUP(CR$15,Data_5!$F$10:$BG$42,$A22+2,FALSE)="NO","NO",HLOOKUP(CR$15,Data_5!$F$10:$BG$42,$A22+2,FALSE)/Data_5!$BK17))))),"")</f>
        <v>IE</v>
      </c>
      <c r="CS22" s="1122">
        <f>IFERROR(IF(HLOOKUP(CS$15,Data_5!$F$10:$BG$42,$A22+2,FALSE)="NO","NO",IF(HLOOKUP(CS$15,Data_5!$F$10:$BG$42,$A22+2,FALSE)="IE","IE",IF(HLOOKUP(CS$15,Data_5!$F$10:$BG$42,$A22+2,FALSE)="NE","NE",IF(HLOOKUP(CS$15,Data_5!$F$10:$BG$42,$A22+2,FALSE)="C","C",IF(HLOOKUP(CS$15,Data_5!$F$10:$BG$42,$A22+2,FALSE)="NO","NO",HLOOKUP(CS$15,Data_5!$F$10:$BG$42,$A22+2,FALSE)/Data_5!$BK17))))),"")</f>
        <v>0.55019664112957811</v>
      </c>
      <c r="CT22" s="1122" t="str">
        <f>IFERROR(IF(HLOOKUP(CT$15,Data_5!$F$10:$BG$42,$A22+2,FALSE)="NO","NO",IF(HLOOKUP(CT$15,Data_5!$F$10:$BG$42,$A22+2,FALSE)="IE","IE",IF(HLOOKUP(CT$15,Data_5!$F$10:$BG$42,$A22+2,FALSE)="NE","NE",IF(HLOOKUP(CT$15,Data_5!$F$10:$BG$42,$A22+2,FALSE)="C","C",IF(HLOOKUP(CT$15,Data_5!$F$10:$BG$42,$A22+2,FALSE)="NO","NO",HLOOKUP(CT$15,Data_5!$F$10:$BG$42,$A22+2,FALSE)/Data_5!$BK17))))),"")</f>
        <v>NO</v>
      </c>
      <c r="CU22" s="1122" t="str">
        <f>IFERROR(IF(HLOOKUP(CU$15,Data_5!$F$10:$BG$42,$A22+2,FALSE)="NO","NO",IF(HLOOKUP(CU$15,Data_5!$F$10:$BG$42,$A22+2,FALSE)="IE","IE",IF(HLOOKUP(CU$15,Data_5!$F$10:$BG$42,$A22+2,FALSE)="NE","NE",IF(HLOOKUP(CU$15,Data_5!$F$10:$BG$42,$A22+2,FALSE)="C","C",IF(HLOOKUP(CU$15,Data_5!$F$10:$BG$42,$A22+2,FALSE)="NO","NO",HLOOKUP(CU$15,Data_5!$F$10:$BG$42,$A22+2,FALSE)/Data_5!$BK17))))),"")</f>
        <v>NO</v>
      </c>
      <c r="CV22" s="1122" t="str">
        <f>IFERROR(IF(HLOOKUP(CV$15,Data_5!$F$10:$BG$42,$A22+2,FALSE)="NO","NO",IF(HLOOKUP(CV$15,Data_5!$F$10:$BG$42,$A22+2,FALSE)="IE","IE",IF(HLOOKUP(CV$15,Data_5!$F$10:$BG$42,$A22+2,FALSE)="NE","NE",IF(HLOOKUP(CV$15,Data_5!$F$10:$BG$42,$A22+2,FALSE)="C","C",IF(HLOOKUP(CV$15,Data_5!$F$10:$BG$42,$A22+2,FALSE)="NO","NO",HLOOKUP(CV$15,Data_5!$F$10:$BG$42,$A22+2,FALSE)/Data_5!$BK17))))),"")</f>
        <v>NO</v>
      </c>
      <c r="CW22" s="1122">
        <f>IFERROR(IF(HLOOKUP(CW$15,Data_5!$F$10:$BG$42,$A22+2,FALSE)="NO","NO",IF(HLOOKUP(CW$15,Data_5!$F$10:$BG$42,$A22+2,FALSE)="IE","IE",IF(HLOOKUP(CW$15,Data_5!$F$10:$BG$42,$A22+2,FALSE)="NE","NE",IF(HLOOKUP(CW$15,Data_5!$F$10:$BG$42,$A22+2,FALSE)="C","C",IF(HLOOKUP(CW$15,Data_5!$F$10:$BG$42,$A22+2,FALSE)="NO","NO",HLOOKUP(CW$15,Data_5!$F$10:$BG$42,$A22+2,FALSE)/Data_5!$BK17))))),"")</f>
        <v>8.4590547917601771E-3</v>
      </c>
      <c r="CX22" s="1122">
        <f>IFERROR(IF(HLOOKUP(CX$15,Data_5!$F$10:$BG$42,$A22+2,FALSE)="NO","NO",IF(HLOOKUP(CX$15,Data_5!$F$10:$BG$42,$A22+2,FALSE)="IE","IE",IF(HLOOKUP(CX$15,Data_5!$F$10:$BG$42,$A22+2,FALSE)="NE","NE",IF(HLOOKUP(CX$15,Data_5!$F$10:$BG$42,$A22+2,FALSE)="C","C",IF(HLOOKUP(CX$15,Data_5!$F$10:$BG$42,$A22+2,FALSE)="NO","NO",HLOOKUP(CX$15,Data_5!$F$10:$BG$42,$A22+2,FALSE)/Data_5!$BK17))))),"")</f>
        <v>0.22957579437409437</v>
      </c>
      <c r="CY22" s="1122">
        <f>IFERROR(IF(HLOOKUP(CY$15,Data_5!$F$10:$BG$42,$A22+2,FALSE)="NO","NO",IF(HLOOKUP(CY$15,Data_5!$F$10:$BG$42,$A22+2,FALSE)="IE","IE",IF(HLOOKUP(CY$15,Data_5!$F$10:$BG$42,$A22+2,FALSE)="NE","NE",IF(HLOOKUP(CY$15,Data_5!$F$10:$BG$42,$A22+2,FALSE)="C","C",IF(HLOOKUP(CY$15,Data_5!$F$10:$BG$42,$A22+2,FALSE)="NO","NO",HLOOKUP(CY$15,Data_5!$F$10:$BG$42,$A22+2,FALSE)/Data_5!$BK17))))),"")</f>
        <v>1.0080785149767918E-3</v>
      </c>
      <c r="CZ22" s="1122" t="str">
        <f>IFERROR(IF(HLOOKUP(CZ$15,Data_5!$F$10:$BG$42,$A22+2,FALSE)="NO","NO",IF(HLOOKUP(CZ$15,Data_5!$F$10:$BG$42,$A22+2,FALSE)="IE","IE",IF(HLOOKUP(CZ$15,Data_5!$F$10:$BG$42,$A22+2,FALSE)="NE","NE",IF(HLOOKUP(CZ$15,Data_5!$F$10:$BG$42,$A22+2,FALSE)="C","C",IF(HLOOKUP(CZ$15,Data_5!$F$10:$BG$42,$A22+2,FALSE)="NO","NO",HLOOKUP(CZ$15,Data_5!$F$10:$BG$42,$A22+2,FALSE)/Data_5!$BK17))))),"")</f>
        <v>NO</v>
      </c>
      <c r="DA22" s="1122" t="str">
        <f>IFERROR(IF(HLOOKUP(DA$15,Data_5!$F$10:$BG$42,$A22+2,FALSE)="NO","NO",IF(HLOOKUP(DA$15,Data_5!$F$10:$BG$42,$A22+2,FALSE)="IE","IE",IF(HLOOKUP(DA$15,Data_5!$F$10:$BG$42,$A22+2,FALSE)="NE","NE",IF(HLOOKUP(DA$15,Data_5!$F$10:$BG$42,$A22+2,FALSE)="C","C",IF(HLOOKUP(DA$15,Data_5!$F$10:$BG$42,$A22+2,FALSE)="NO","NO",HLOOKUP(DA$15,Data_5!$F$10:$BG$42,$A22+2,FALSE)/Data_5!$BK17))))),"")</f>
        <v>NO</v>
      </c>
      <c r="DB22" s="1122" t="str">
        <f>IFERROR(IF(HLOOKUP(DB$15,Data_5!$F$10:$BG$42,$A22+2,FALSE)="NO","NO",IF(HLOOKUP(DB$15,Data_5!$F$10:$BG$42,$A22+2,FALSE)="IE","IE",IF(HLOOKUP(DB$15,Data_5!$F$10:$BG$42,$A22+2,FALSE)="NE","NE",IF(HLOOKUP(DB$15,Data_5!$F$10:$BG$42,$A22+2,FALSE)="C","C",IF(HLOOKUP(DB$15,Data_5!$F$10:$BG$42,$A22+2,FALSE)="NO","NO",HLOOKUP(DB$15,Data_5!$F$10:$BG$42,$A22+2,FALSE)/Data_5!$BK17))))),"")</f>
        <v>IE</v>
      </c>
      <c r="DC22" s="1122" t="str">
        <f>IFERROR(IF(HLOOKUP(DC$15,Data_5!$F$10:$BG$42,$A22+2,FALSE)="NO","NO",IF(HLOOKUP(DC$15,Data_5!$F$10:$BG$42,$A22+2,FALSE)="IE","IE",IF(HLOOKUP(DC$15,Data_5!$F$10:$BG$42,$A22+2,FALSE)="NE","NE",IF(HLOOKUP(DC$15,Data_5!$F$10:$BG$42,$A22+2,FALSE)="C","C",IF(HLOOKUP(DC$15,Data_5!$F$10:$BG$42,$A22+2,FALSE)="NO","NO",HLOOKUP(DC$15,Data_5!$F$10:$BG$42,$A22+2,FALSE)/Data_5!$BK17))))),"")</f>
        <v>NO</v>
      </c>
      <c r="DD22" s="1122" t="str">
        <f>IFERROR(IF(HLOOKUP(DD$15,Data_5!$F$10:$BG$42,$A22+2,FALSE)="NO","NO",IF(HLOOKUP(DD$15,Data_5!$F$10:$BG$42,$A22+2,FALSE)="IE","IE",IF(HLOOKUP(DD$15,Data_5!$F$10:$BG$42,$A22+2,FALSE)="NE","NE",IF(HLOOKUP(DD$15,Data_5!$F$10:$BG$42,$A22+2,FALSE)="C","C",IF(HLOOKUP(DD$15,Data_5!$F$10:$BG$42,$A22+2,FALSE)="NO","NO",HLOOKUP(DD$15,Data_5!$F$10:$BG$42,$A22+2,FALSE)/Data_5!$BK17))))),"")</f>
        <v>NO</v>
      </c>
      <c r="DE22" s="1122" t="str">
        <f>IFERROR(IF(HLOOKUP(DE$15,Data_5!$F$10:$BG$42,$A22+2,FALSE)="NO","NO",IF(HLOOKUP(DE$15,Data_5!$F$10:$BG$42,$A22+2,FALSE)="IE","IE",IF(HLOOKUP(DE$15,Data_5!$F$10:$BG$42,$A22+2,FALSE)="NE","NE",IF(HLOOKUP(DE$15,Data_5!$F$10:$BG$42,$A22+2,FALSE)="C","C",IF(HLOOKUP(DE$15,Data_5!$F$10:$BG$42,$A22+2,FALSE)="NO","NO",HLOOKUP(DE$15,Data_5!$F$10:$BG$42,$A22+2,FALSE)/Data_5!$BK17))))),"")</f>
        <v>NO</v>
      </c>
      <c r="DF22" s="1122" t="str">
        <f>IFERROR(IF(HLOOKUP(DF$15,Data_5!$F$10:$BG$42,$A22+2,FALSE)="NO","NO",IF(HLOOKUP(DF$15,Data_5!$F$10:$BG$42,$A22+2,FALSE)="IE","IE",IF(HLOOKUP(DF$15,Data_5!$F$10:$BG$42,$A22+2,FALSE)="NE","NE",IF(HLOOKUP(DF$15,Data_5!$F$10:$BG$42,$A22+2,FALSE)="C","C",IF(HLOOKUP(DF$15,Data_5!$F$10:$BG$42,$A22+2,FALSE)="NO","NO",HLOOKUP(DF$15,Data_5!$F$10:$BG$42,$A22+2,FALSE)/Data_5!$BK17))))),"")</f>
        <v>NO</v>
      </c>
      <c r="DG22" s="1122" t="str">
        <f>IFERROR(IF(HLOOKUP(DG$15,Data_5!$F$10:$BG$42,$A22+2,FALSE)="NO","NO",IF(HLOOKUP(DG$15,Data_5!$F$10:$BG$42,$A22+2,FALSE)="IE","IE",IF(HLOOKUP(DG$15,Data_5!$F$10:$BG$42,$A22+2,FALSE)="NE","NE",IF(HLOOKUP(DG$15,Data_5!$F$10:$BG$42,$A22+2,FALSE)="C","C",IF(HLOOKUP(DG$15,Data_5!$F$10:$BG$42,$A22+2,FALSE)="NO","NO",HLOOKUP(DG$15,Data_5!$F$10:$BG$42,$A22+2,FALSE)/Data_5!$BK17))))),"")</f>
        <v>NO</v>
      </c>
      <c r="DH22" s="1122" t="str">
        <f>IFERROR(IF(HLOOKUP(DH$15,Data_5!$F$10:$BG$42,$A22+2,FALSE)="NO","NO",IF(HLOOKUP(DH$15,Data_5!$F$10:$BG$42,$A22+2,FALSE)="IE","IE",IF(HLOOKUP(DH$15,Data_5!$F$10:$BG$42,$A22+2,FALSE)="NE","NE",IF(HLOOKUP(DH$15,Data_5!$F$10:$BG$42,$A22+2,FALSE)="C","C",IF(HLOOKUP(DH$15,Data_5!$F$10:$BG$42,$A22+2,FALSE)="NO","NO",HLOOKUP(DH$15,Data_5!$F$10:$BG$42,$A22+2,FALSE)/Data_5!$BK17))))),"")</f>
        <v>NO</v>
      </c>
      <c r="DI22" s="1122">
        <f>IFERROR(IF(HLOOKUP(DI$15,Data_5!$F$10:$BG$42,$A22+2,FALSE)="NO","NO",IF(HLOOKUP(DI$15,Data_5!$F$10:$BG$42,$A22+2,FALSE)="IE","IE",IF(HLOOKUP(DI$15,Data_5!$F$10:$BG$42,$A22+2,FALSE)="NE","NE",IF(HLOOKUP(DI$15,Data_5!$F$10:$BG$42,$A22+2,FALSE)="C","C",IF(HLOOKUP(DI$15,Data_5!$F$10:$BG$42,$A22+2,FALSE)="NO","NO",HLOOKUP(DI$15,Data_5!$F$10:$BG$42,$A22+2,FALSE)/Data_5!$BK17))))),"")</f>
        <v>3.1831365898436575E-3</v>
      </c>
      <c r="DJ22" s="1122" t="str">
        <f>IFERROR(IF(HLOOKUP(DJ$15,Data_5!$F$10:$BG$42,$A22+2,FALSE)="NO","NO",IF(HLOOKUP(DJ$15,Data_5!$F$10:$BG$42,$A22+2,FALSE)="IE","IE",IF(HLOOKUP(DJ$15,Data_5!$F$10:$BG$42,$A22+2,FALSE)="NE","NE",IF(HLOOKUP(DJ$15,Data_5!$F$10:$BG$42,$A22+2,FALSE)="C","C",IF(HLOOKUP(DJ$15,Data_5!$F$10:$BG$42,$A22+2,FALSE)="NO","NO",HLOOKUP(DJ$15,Data_5!$F$10:$BG$42,$A22+2,FALSE)/Data_5!$BK17))))),"")</f>
        <v>NO</v>
      </c>
      <c r="DK22" s="1122" t="str">
        <f>IFERROR(IF(HLOOKUP(DK$15,Data_5!$F$10:$BG$42,$A22+2,FALSE)="NO","NO",IF(HLOOKUP(DK$15,Data_5!$F$10:$BG$42,$A22+2,FALSE)="IE","IE",IF(HLOOKUP(DK$15,Data_5!$F$10:$BG$42,$A22+2,FALSE)="NE","NE",IF(HLOOKUP(DK$15,Data_5!$F$10:$BG$42,$A22+2,FALSE)="C","C",IF(HLOOKUP(DK$15,Data_5!$F$10:$BG$42,$A22+2,FALSE)="NO","NO",HLOOKUP(DK$15,Data_5!$F$10:$BG$42,$A22+2,FALSE)/Data_5!$BK17))))),"")</f>
        <v>NO</v>
      </c>
      <c r="DL22" s="1122" t="str">
        <f>IFERROR(IF(HLOOKUP(DL$15,Data_5!$F$10:$BG$42,$A22+2,FALSE)="NO","NO",IF(HLOOKUP(DL$15,Data_5!$F$10:$BG$42,$A22+2,FALSE)="IE","IE",IF(HLOOKUP(DL$15,Data_5!$F$10:$BG$42,$A22+2,FALSE)="NE","NE",IF(HLOOKUP(DL$15,Data_5!$F$10:$BG$42,$A22+2,FALSE)="C","C",IF(HLOOKUP(DL$15,Data_5!$F$10:$BG$42,$A22+2,FALSE)="NO","NO",HLOOKUP(DL$15,Data_5!$F$10:$BG$42,$A22+2,FALSE)/Data_5!$BK17))))),"")</f>
        <v>NE</v>
      </c>
      <c r="DM22" s="1122" t="str">
        <f>IFERROR(IF(HLOOKUP(DM$15,Data_5!$F$10:$BG$42,$A22+2,FALSE)="NO","NO",IF(HLOOKUP(DM$15,Data_5!$F$10:$BG$42,$A22+2,FALSE)="IE","IE",IF(HLOOKUP(DM$15,Data_5!$F$10:$BG$42,$A22+2,FALSE)="NE","NE",IF(HLOOKUP(DM$15,Data_5!$F$10:$BG$42,$A22+2,FALSE)="C","C",IF(HLOOKUP(DM$15,Data_5!$F$10:$BG$42,$A22+2,FALSE)="NO","NO",HLOOKUP(DM$15,Data_5!$F$10:$BG$42,$A22+2,FALSE)/Data_5!$BK17))))),"")</f>
        <v>NO</v>
      </c>
      <c r="DN22" s="1122" t="str">
        <f>IFERROR(IF(HLOOKUP(DN$15,Data_5!$F$10:$BG$42,$A22+2,FALSE)="NO","NO",IF(HLOOKUP(DN$15,Data_5!$F$10:$BG$42,$A22+2,FALSE)="IE","IE",IF(HLOOKUP(DN$15,Data_5!$F$10:$BG$42,$A22+2,FALSE)="NE","NE",IF(HLOOKUP(DN$15,Data_5!$F$10:$BG$42,$A22+2,FALSE)="C","C",IF(HLOOKUP(DN$15,Data_5!$F$10:$BG$42,$A22+2,FALSE)="NO","NO",HLOOKUP(DN$15,Data_5!$F$10:$BG$42,$A22+2,FALSE)/Data_5!$BK17))))),"")</f>
        <v>NO</v>
      </c>
      <c r="DO22" s="1122" t="str">
        <f>IFERROR(IF(HLOOKUP(DO$15,Data_5!$F$10:$BG$42,$A22+2,FALSE)="NO","NO",IF(HLOOKUP(DO$15,Data_5!$F$10:$BG$42,$A22+2,FALSE)="IE","IE",IF(HLOOKUP(DO$15,Data_5!$F$10:$BG$42,$A22+2,FALSE)="NE","NE",IF(HLOOKUP(DO$15,Data_5!$F$10:$BG$42,$A22+2,FALSE)="C","C",IF(HLOOKUP(DO$15,Data_5!$F$10:$BG$42,$A22+2,FALSE)="NO","NO",HLOOKUP(DO$15,Data_5!$F$10:$BG$42,$A22+2,FALSE)/Data_5!$BK17))))),"")</f>
        <v>NO</v>
      </c>
    </row>
    <row r="23" spans="1:119" s="15" customFormat="1" ht="15" customHeight="1">
      <c r="A23" s="1789">
        <v>7</v>
      </c>
      <c r="B23" s="2628" t="str">
        <f>IF(Data_5!B18&lt;&gt;"",Data_5!B18,"")</f>
        <v>Cape Town</v>
      </c>
      <c r="C23" s="2629"/>
      <c r="D23" s="1462">
        <f>IFERROR(VLOOKUP($B23,Data_5!$B$12:$C$42,2,FALSE),"")</f>
        <v>2012</v>
      </c>
      <c r="E23" s="1122">
        <f>IFERROR(IF(HLOOKUP(E$15,Data_5!$F$10:$BG$42,$A23+2,FALSE)="NO","NO",IF(HLOOKUP(E$15,Data_5!$F$10:$BG$42,$A23+2,FALSE)="IE","IE",IF(HLOOKUP(E$15,Data_5!$F$10:$BG$42,$A23+2,FALSE)="NE","NE",IF(HLOOKUP(E$15,Data_5!$F$10:$BG$42,$A23+2,FALSE)="C","C",IF(HLOOKUP(E$15,Data_5!$F$10:$BG$42,$A23+2,FALSE)="NO","NO",HLOOKUP(E$15,Data_5!$F$10:$BG$42,$A23+2,FALSE)/Data_5!$BH18))))),"")</f>
        <v>7.0127168471976397E-3</v>
      </c>
      <c r="F23" s="1122">
        <f>IFERROR(IF(HLOOKUP(F$15,Data_5!$F$10:$BG$42,$A23+2,FALSE)="NO","NO",IF(HLOOKUP(F$15,Data_5!$F$10:$BG$42,$A23+2,FALSE)="IE","IE",IF(HLOOKUP(F$15,Data_5!$F$10:$BG$42,$A23+2,FALSE)="NE","NE",IF(HLOOKUP(F$15,Data_5!$F$10:$BG$42,$A23+2,FALSE)="C","C",IF(HLOOKUP(F$15,Data_5!$F$10:$BG$42,$A23+2,FALSE)="NO","NO",HLOOKUP(F$15,Data_5!$F$10:$BG$42,$A23+2,FALSE)/Data_5!$BH18))))),"")</f>
        <v>0.20170027949824362</v>
      </c>
      <c r="G23" s="1122">
        <f>IFERROR(IF(HLOOKUP(G$15,Data_5!$F$10:$BG$42,$A23+2,FALSE)="NO","NO",IF(HLOOKUP(G$15,Data_5!$F$10:$BG$42,$A23+2,FALSE)="IE","IE",IF(HLOOKUP(G$15,Data_5!$F$10:$BG$42,$A23+2,FALSE)="NE","NE",IF(HLOOKUP(G$15,Data_5!$F$10:$BG$42,$A23+2,FALSE)="C","C",IF(HLOOKUP(G$15,Data_5!$F$10:$BG$42,$A23+2,FALSE)="NO","NO",HLOOKUP(G$15,Data_5!$F$10:$BG$42,$A23+2,FALSE)/Data_5!$BH18))))),"")</f>
        <v>3.1927250986510921E-3</v>
      </c>
      <c r="H23" s="1122">
        <f>IFERROR(IF(HLOOKUP(H$15,Data_5!$F$10:$BG$42,$A23+2,FALSE)="NO","NO",IF(HLOOKUP(H$15,Data_5!$F$10:$BG$42,$A23+2,FALSE)="IE","IE",IF(HLOOKUP(H$15,Data_5!$F$10:$BG$42,$A23+2,FALSE)="NE","NE",IF(HLOOKUP(H$15,Data_5!$F$10:$BG$42,$A23+2,FALSE)="C","C",IF(HLOOKUP(H$15,Data_5!$F$10:$BG$42,$A23+2,FALSE)="NO","NO",HLOOKUP(H$15,Data_5!$F$10:$BG$42,$A23+2,FALSE)/Data_5!$BH18))))),"")</f>
        <v>0.25792350112669671</v>
      </c>
      <c r="I23" s="1122">
        <f>IFERROR(IF(HLOOKUP(I$15,Data_5!$F$10:$BG$42,$A23+2,FALSE)="NO","NO",IF(HLOOKUP(I$15,Data_5!$F$10:$BG$42,$A23+2,FALSE)="IE","IE",IF(HLOOKUP(I$15,Data_5!$F$10:$BG$42,$A23+2,FALSE)="NE","NE",IF(HLOOKUP(I$15,Data_5!$F$10:$BG$42,$A23+2,FALSE)="C","C",IF(HLOOKUP(I$15,Data_5!$F$10:$BG$42,$A23+2,FALSE)="NO","NO",HLOOKUP(I$15,Data_5!$F$10:$BG$42,$A23+2,FALSE)/Data_5!$BH18))))),"")</f>
        <v>3.0289368139972447E-2</v>
      </c>
      <c r="J23" s="1122">
        <f>IFERROR(IF(HLOOKUP(J$15,Data_5!$F$10:$BG$42,$A23+2,FALSE)="NO","NO",IF(HLOOKUP(J$15,Data_5!$F$10:$BG$42,$A23+2,FALSE)="IE","IE",IF(HLOOKUP(J$15,Data_5!$F$10:$BG$42,$A23+2,FALSE)="NE","NE",IF(HLOOKUP(J$15,Data_5!$F$10:$BG$42,$A23+2,FALSE)="C","C",IF(HLOOKUP(J$15,Data_5!$F$10:$BG$42,$A23+2,FALSE)="NO","NO",HLOOKUP(J$15,Data_5!$F$10:$BG$42,$A23+2,FALSE)/Data_5!$BH18))))),"")</f>
        <v>6.5410261844693091E-2</v>
      </c>
      <c r="K23" s="1122" t="str">
        <f>IFERROR(IF(HLOOKUP(K$15,Data_5!$F$10:$BG$42,$A23+2,FALSE)="NO","NO",IF(HLOOKUP(K$15,Data_5!$F$10:$BG$42,$A23+2,FALSE)="IE","IE",IF(HLOOKUP(K$15,Data_5!$F$10:$BG$42,$A23+2,FALSE)="NE","NE",IF(HLOOKUP(K$15,Data_5!$F$10:$BG$42,$A23+2,FALSE)="C","C",IF(HLOOKUP(K$15,Data_5!$F$10:$BG$42,$A23+2,FALSE)="NO","NO",HLOOKUP(K$15,Data_5!$F$10:$BG$42,$A23+2,FALSE)/Data_5!$BH18))))),"")</f>
        <v>IE</v>
      </c>
      <c r="L23" s="1122" t="str">
        <f>IFERROR(IF(HLOOKUP(L$15,Data_5!$F$10:$BG$42,$A23+2,FALSE)="NO","NO",IF(HLOOKUP(L$15,Data_5!$F$10:$BG$42,$A23+2,FALSE)="IE","IE",IF(HLOOKUP(L$15,Data_5!$F$10:$BG$42,$A23+2,FALSE)="NE","NE",IF(HLOOKUP(L$15,Data_5!$F$10:$BG$42,$A23+2,FALSE)="C","C",IF(HLOOKUP(L$15,Data_5!$F$10:$BG$42,$A23+2,FALSE)="NO","NO",HLOOKUP(L$15,Data_5!$F$10:$BG$42,$A23+2,FALSE)/Data_5!$BH18))))),"")</f>
        <v>IE</v>
      </c>
      <c r="M23" s="1122">
        <f>IFERROR(IF(HLOOKUP(M$15,Data_5!$F$10:$BG$42,$A23+2,FALSE)="NO","NO",IF(HLOOKUP(M$15,Data_5!$F$10:$BG$42,$A23+2,FALSE)="IE","IE",IF(HLOOKUP(M$15,Data_5!$F$10:$BG$42,$A23+2,FALSE)="NE","NE",IF(HLOOKUP(M$15,Data_5!$F$10:$BG$42,$A23+2,FALSE)="C","C",IF(HLOOKUP(M$15,Data_5!$F$10:$BG$42,$A23+2,FALSE)="NO","NO",HLOOKUP(M$15,Data_5!$F$10:$BG$42,$A23+2,FALSE)/Data_5!$BH18))))),"")</f>
        <v>1.0331630461479738E-6</v>
      </c>
      <c r="N23" s="1122">
        <f>IFERROR(IF(HLOOKUP(N$15,Data_5!$F$10:$BG$42,$A23+2,FALSE)="NO","NO",IF(HLOOKUP(N$15,Data_5!$F$10:$BG$42,$A23+2,FALSE)="IE","IE",IF(HLOOKUP(N$15,Data_5!$F$10:$BG$42,$A23+2,FALSE)="NE","NE",IF(HLOOKUP(N$15,Data_5!$F$10:$BG$42,$A23+2,FALSE)="C","C",IF(HLOOKUP(N$15,Data_5!$F$10:$BG$42,$A23+2,FALSE)="NO","NO",HLOOKUP(N$15,Data_5!$F$10:$BG$42,$A23+2,FALSE)/Data_5!$BH18))))),"")</f>
        <v>9.5441078928626289E-3</v>
      </c>
      <c r="O23" s="1122" t="str">
        <f>IFERROR(IF(HLOOKUP(O$15,Data_5!$F$10:$BG$42,$A23+2,FALSE)="NO","NO",IF(HLOOKUP(O$15,Data_5!$F$10:$BG$42,$A23+2,FALSE)="IE","IE",IF(HLOOKUP(O$15,Data_5!$F$10:$BG$42,$A23+2,FALSE)="NE","NE",IF(HLOOKUP(O$15,Data_5!$F$10:$BG$42,$A23+2,FALSE)="C","C",IF(HLOOKUP(O$15,Data_5!$F$10:$BG$42,$A23+2,FALSE)="NO","NO",HLOOKUP(O$15,Data_5!$F$10:$BG$42,$A23+2,FALSE)/Data_5!$BH18))))),"")</f>
        <v>NO</v>
      </c>
      <c r="P23" s="1122">
        <f>IFERROR(IF(HLOOKUP(P$15,Data_5!$F$10:$BG$42,$A23+2,FALSE)="NO","NO",IF(HLOOKUP(P$15,Data_5!$F$10:$BG$42,$A23+2,FALSE)="IE","IE",IF(HLOOKUP(P$15,Data_5!$F$10:$BG$42,$A23+2,FALSE)="NE","NE",IF(HLOOKUP(P$15,Data_5!$F$10:$BG$42,$A23+2,FALSE)="C","C",IF(HLOOKUP(P$15,Data_5!$F$10:$BG$42,$A23+2,FALSE)="NO","NO",HLOOKUP(P$15,Data_5!$F$10:$BG$42,$A23+2,FALSE)/Data_5!$BH18))))),"")</f>
        <v>4.7584659978847664E-2</v>
      </c>
      <c r="Q23" s="1122" t="str">
        <f>IFERROR(IF(HLOOKUP(Q$15,Data_5!$F$10:$BG$42,$A23+2,FALSE)="NO","NO",IF(HLOOKUP(Q$15,Data_5!$F$10:$BG$42,$A23+2,FALSE)="IE","IE",IF(HLOOKUP(Q$15,Data_5!$F$10:$BG$42,$A23+2,FALSE)="NE","NE",IF(HLOOKUP(Q$15,Data_5!$F$10:$BG$42,$A23+2,FALSE)="C","C",IF(HLOOKUP(Q$15,Data_5!$F$10:$BG$42,$A23+2,FALSE)="NO","NO",HLOOKUP(Q$15,Data_5!$F$10:$BG$42,$A23+2,FALSE)/Data_5!$BH18))))),"")</f>
        <v>NO</v>
      </c>
      <c r="R23" s="1122" t="str">
        <f>IFERROR(IF(HLOOKUP(R$15,Data_5!$F$10:$BG$42,$A23+2,FALSE)="NO","NO",IF(HLOOKUP(R$15,Data_5!$F$10:$BG$42,$A23+2,FALSE)="IE","IE",IF(HLOOKUP(R$15,Data_5!$F$10:$BG$42,$A23+2,FALSE)="NE","NE",IF(HLOOKUP(R$15,Data_5!$F$10:$BG$42,$A23+2,FALSE)="C","C",IF(HLOOKUP(R$15,Data_5!$F$10:$BG$42,$A23+2,FALSE)="NO","NO",HLOOKUP(R$15,Data_5!$F$10:$BG$42,$A23+2,FALSE)/Data_5!$BH18))))),"")</f>
        <v>NO</v>
      </c>
      <c r="S23" s="1122">
        <f>IFERROR(IF(HLOOKUP(S$15,Data_5!$F$10:$BG$42,$A23+2,FALSE)="NO","NO",IF(HLOOKUP(S$15,Data_5!$F$10:$BG$42,$A23+2,FALSE)="IE","IE",IF(HLOOKUP(S$15,Data_5!$F$10:$BG$42,$A23+2,FALSE)="NE","NE",IF(HLOOKUP(S$15,Data_5!$F$10:$BG$42,$A23+2,FALSE)="C","C",IF(HLOOKUP(S$15,Data_5!$F$10:$BG$42,$A23+2,FALSE)="NO","NO",HLOOKUP(S$15,Data_5!$F$10:$BG$42,$A23+2,FALSE)/Data_5!$BH18))))),"")</f>
        <v>0.2620745491540859</v>
      </c>
      <c r="T23" s="1122" t="str">
        <f>IFERROR(IF(HLOOKUP(T$15,Data_5!$F$10:$BG$42,$A23+2,FALSE)="NO","NO",IF(HLOOKUP(T$15,Data_5!$F$10:$BG$42,$A23+2,FALSE)="IE","IE",IF(HLOOKUP(T$15,Data_5!$F$10:$BG$42,$A23+2,FALSE)="NE","NE",IF(HLOOKUP(T$15,Data_5!$F$10:$BG$42,$A23+2,FALSE)="C","C",IF(HLOOKUP(T$15,Data_5!$F$10:$BG$42,$A23+2,FALSE)="NO","NO",HLOOKUP(T$15,Data_5!$F$10:$BG$42,$A23+2,FALSE)/Data_5!$BH18))))),"")</f>
        <v>NO</v>
      </c>
      <c r="U23" s="1122" t="str">
        <f>IFERROR(IF(HLOOKUP(U$15,Data_5!$F$10:$BG$42,$A23+2,FALSE)="NO","NO",IF(HLOOKUP(U$15,Data_5!$F$10:$BG$42,$A23+2,FALSE)="IE","IE",IF(HLOOKUP(U$15,Data_5!$F$10:$BG$42,$A23+2,FALSE)="NE","NE",IF(HLOOKUP(U$15,Data_5!$F$10:$BG$42,$A23+2,FALSE)="C","C",IF(HLOOKUP(U$15,Data_5!$F$10:$BG$42,$A23+2,FALSE)="NO","NO",HLOOKUP(U$15,Data_5!$F$10:$BG$42,$A23+2,FALSE)/Data_5!$BH18))))),"")</f>
        <v>NO</v>
      </c>
      <c r="V23" s="1122">
        <f>IFERROR(IF(HLOOKUP(V$15,Data_5!$F$10:$BG$42,$A23+2,FALSE)="NO","NO",IF(HLOOKUP(V$15,Data_5!$F$10:$BG$42,$A23+2,FALSE)="IE","IE",IF(HLOOKUP(V$15,Data_5!$F$10:$BG$42,$A23+2,FALSE)="NE","NE",IF(HLOOKUP(V$15,Data_5!$F$10:$BG$42,$A23+2,FALSE)="C","C",IF(HLOOKUP(V$15,Data_5!$F$10:$BG$42,$A23+2,FALSE)="NO","NO",HLOOKUP(V$15,Data_5!$F$10:$BG$42,$A23+2,FALSE)/Data_5!$BH18))))),"")</f>
        <v>4.6613430959900051E-3</v>
      </c>
      <c r="W23" s="1122" t="str">
        <f>IFERROR(IF(HLOOKUP(W$15,Data_5!$F$10:$BG$42,$A23+2,FALSE)="NO","NO",IF(HLOOKUP(W$15,Data_5!$F$10:$BG$42,$A23+2,FALSE)="IE","IE",IF(HLOOKUP(W$15,Data_5!$F$10:$BG$42,$A23+2,FALSE)="NE","NE",IF(HLOOKUP(W$15,Data_5!$F$10:$BG$42,$A23+2,FALSE)="C","C",IF(HLOOKUP(W$15,Data_5!$F$10:$BG$42,$A23+2,FALSE)="NO","NO",HLOOKUP(W$15,Data_5!$F$10:$BG$42,$A23+2,FALSE)/Data_5!$BH18))))),"")</f>
        <v>IE</v>
      </c>
      <c r="X23" s="1122" t="str">
        <f>IFERROR(IF(HLOOKUP(X$15,Data_5!$F$10:$BG$42,$A23+2,FALSE)="NO","NO",IF(HLOOKUP(X$15,Data_5!$F$10:$BG$42,$A23+2,FALSE)="IE","IE",IF(HLOOKUP(X$15,Data_5!$F$10:$BG$42,$A23+2,FALSE)="NE","NE",IF(HLOOKUP(X$15,Data_5!$F$10:$BG$42,$A23+2,FALSE)="C","C",IF(HLOOKUP(X$15,Data_5!$F$10:$BG$42,$A23+2,FALSE)="NO","NO",HLOOKUP(X$15,Data_5!$F$10:$BG$42,$A23+2,FALSE)/Data_5!$BH18))))),"")</f>
        <v>NO</v>
      </c>
      <c r="Y23" s="1122" t="str">
        <f>IFERROR(IF(HLOOKUP(Y$15,Data_5!$F$10:$BG$42,$A23+2,FALSE)="NO","NO",IF(HLOOKUP(Y$15,Data_5!$F$10:$BG$42,$A23+2,FALSE)="IE","IE",IF(HLOOKUP(Y$15,Data_5!$F$10:$BG$42,$A23+2,FALSE)="NE","NE",IF(HLOOKUP(Y$15,Data_5!$F$10:$BG$42,$A23+2,FALSE)="C","C",IF(HLOOKUP(Y$15,Data_5!$F$10:$BG$42,$A23+2,FALSE)="NO","NO",HLOOKUP(Y$15,Data_5!$F$10:$BG$42,$A23+2,FALSE)/Data_5!$BH18))))),"")</f>
        <v>IE</v>
      </c>
      <c r="Z23" s="1122" t="str">
        <f>IFERROR(IF(HLOOKUP(Z$15,Data_5!$F$10:$BG$42,$A23+2,FALSE)="NO","NO",IF(HLOOKUP(Z$15,Data_5!$F$10:$BG$42,$A23+2,FALSE)="IE","IE",IF(HLOOKUP(Z$15,Data_5!$F$10:$BG$42,$A23+2,FALSE)="NE","NE",IF(HLOOKUP(Z$15,Data_5!$F$10:$BG$42,$A23+2,FALSE)="C","C",IF(HLOOKUP(Z$15,Data_5!$F$10:$BG$42,$A23+2,FALSE)="NO","NO",HLOOKUP(Z$15,Data_5!$F$10:$BG$42,$A23+2,FALSE)/Data_5!$BH18))))),"")</f>
        <v>NO</v>
      </c>
      <c r="AA23" s="1122" t="str">
        <f>IFERROR(IF(HLOOKUP(AA$15,Data_5!$F$10:$BG$42,$A23+2,FALSE)="NO","NO",IF(HLOOKUP(AA$15,Data_5!$F$10:$BG$42,$A23+2,FALSE)="IE","IE",IF(HLOOKUP(AA$15,Data_5!$F$10:$BG$42,$A23+2,FALSE)="NE","NE",IF(HLOOKUP(AA$15,Data_5!$F$10:$BG$42,$A23+2,FALSE)="C","C",IF(HLOOKUP(AA$15,Data_5!$F$10:$BG$42,$A23+2,FALSE)="NO","NO",HLOOKUP(AA$15,Data_5!$F$10:$BG$42,$A23+2,FALSE)/Data_5!$BH18))))),"")</f>
        <v>IE</v>
      </c>
      <c r="AB23" s="1122" t="str">
        <f>IFERROR(IF(HLOOKUP(AB$15,Data_5!$F$10:$BG$42,$A23+2,FALSE)="NO","NO",IF(HLOOKUP(AB$15,Data_5!$F$10:$BG$42,$A23+2,FALSE)="IE","IE",IF(HLOOKUP(AB$15,Data_5!$F$10:$BG$42,$A23+2,FALSE)="NE","NE",IF(HLOOKUP(AB$15,Data_5!$F$10:$BG$42,$A23+2,FALSE)="C","C",IF(HLOOKUP(AB$15,Data_5!$F$10:$BG$42,$A23+2,FALSE)="NO","NO",HLOOKUP(AB$15,Data_5!$F$10:$BG$42,$A23+2,FALSE)/Data_5!$BH18))))),"")</f>
        <v>NO</v>
      </c>
      <c r="AC23" s="1122">
        <f>IFERROR(IF(HLOOKUP(AC$15,Data_5!$F$10:$BG$42,$A23+2,FALSE)="NO","NO",IF(HLOOKUP(AC$15,Data_5!$F$10:$BG$42,$A23+2,FALSE)="IE","IE",IF(HLOOKUP(AC$15,Data_5!$F$10:$BG$42,$A23+2,FALSE)="NE","NE",IF(HLOOKUP(AC$15,Data_5!$F$10:$BG$42,$A23+2,FALSE)="C","C",IF(HLOOKUP(AC$15,Data_5!$F$10:$BG$42,$A23+2,FALSE)="NO","NO",HLOOKUP(AC$15,Data_5!$F$10:$BG$42,$A23+2,FALSE)/Data_5!$BH18))))),"")</f>
        <v>0.10432215518513718</v>
      </c>
      <c r="AD23" s="1122" t="str">
        <f>IFERROR(IF(HLOOKUP(AD$15,Data_5!$F$10:$BG$42,$A23+2,FALSE)="NO","NO",IF(HLOOKUP(AD$15,Data_5!$F$10:$BG$42,$A23+2,FALSE)="IE","IE",IF(HLOOKUP(AD$15,Data_5!$F$10:$BG$42,$A23+2,FALSE)="NE","NE",IF(HLOOKUP(AD$15,Data_5!$F$10:$BG$42,$A23+2,FALSE)="C","C",IF(HLOOKUP(AD$15,Data_5!$F$10:$BG$42,$A23+2,FALSE)="NO","NO",HLOOKUP(AD$15,Data_5!$F$10:$BG$42,$A23+2,FALSE)/Data_5!$BH18))))),"")</f>
        <v>NO</v>
      </c>
      <c r="AE23" s="1122" t="str">
        <f>IFERROR(IF(HLOOKUP(AE$15,Data_5!$F$10:$BG$42,$A23+2,FALSE)="NO","NO",IF(HLOOKUP(AE$15,Data_5!$F$10:$BG$42,$A23+2,FALSE)="IE","IE",IF(HLOOKUP(AE$15,Data_5!$F$10:$BG$42,$A23+2,FALSE)="NE","NE",IF(HLOOKUP(AE$15,Data_5!$F$10:$BG$42,$A23+2,FALSE)="C","C",IF(HLOOKUP(AE$15,Data_5!$F$10:$BG$42,$A23+2,FALSE)="NO","NO",HLOOKUP(AE$15,Data_5!$F$10:$BG$42,$A23+2,FALSE)/Data_5!$BH18))))),"")</f>
        <v>NO</v>
      </c>
      <c r="AF23" s="1122" t="str">
        <f>IFERROR(IF(HLOOKUP(AF$15,Data_5!$F$10:$BG$42,$A23+2,FALSE)="NO","NO",IF(HLOOKUP(AF$15,Data_5!$F$10:$BG$42,$A23+2,FALSE)="IE","IE",IF(HLOOKUP(AF$15,Data_5!$F$10:$BG$42,$A23+2,FALSE)="NE","NE",IF(HLOOKUP(AF$15,Data_5!$F$10:$BG$42,$A23+2,FALSE)="C","C",IF(HLOOKUP(AF$15,Data_5!$F$10:$BG$42,$A23+2,FALSE)="NO","NO",HLOOKUP(AF$15,Data_5!$F$10:$BG$42,$A23+2,FALSE)/Data_5!$BH18))))),"")</f>
        <v>NO</v>
      </c>
      <c r="AG23" s="1122" t="str">
        <f>IFERROR(IF(HLOOKUP(AG$15,Data_5!$F$10:$BG$42,$A23+2,FALSE)="NO","NO",IF(HLOOKUP(AG$15,Data_5!$F$10:$BG$42,$A23+2,FALSE)="IE","IE",IF(HLOOKUP(AG$15,Data_5!$F$10:$BG$42,$A23+2,FALSE)="NE","NE",IF(HLOOKUP(AG$15,Data_5!$F$10:$BG$42,$A23+2,FALSE)="C","C",IF(HLOOKUP(AG$15,Data_5!$F$10:$BG$42,$A23+2,FALSE)="NO","NO",HLOOKUP(AG$15,Data_5!$F$10:$BG$42,$A23+2,FALSE)/Data_5!$BH18))))),"")</f>
        <v>NO</v>
      </c>
      <c r="AH23" s="1122" t="str">
        <f>IFERROR(IF(HLOOKUP(AH$15,Data_5!$F$10:$BG$42,$A23+2,FALSE)="NO","NO",IF(HLOOKUP(AH$15,Data_5!$F$10:$BG$42,$A23+2,FALSE)="IE","IE",IF(HLOOKUP(AH$15,Data_5!$F$10:$BG$42,$A23+2,FALSE)="NE","NE",IF(HLOOKUP(AH$15,Data_5!$F$10:$BG$42,$A23+2,FALSE)="C","C",IF(HLOOKUP(AH$15,Data_5!$F$10:$BG$42,$A23+2,FALSE)="NO","NO",HLOOKUP(AH$15,Data_5!$F$10:$BG$42,$A23+2,FALSE)/Data_5!$BH18))))),"")</f>
        <v>NO</v>
      </c>
      <c r="AI23" s="1122">
        <f>IFERROR(IF(HLOOKUP(AI$15,Data_5!$F$10:$BG$42,$A23+2,FALSE)="NO","NO",IF(HLOOKUP(AI$15,Data_5!$F$10:$BG$42,$A23+2,FALSE)="IE","IE",IF(HLOOKUP(AI$15,Data_5!$F$10:$BG$42,$A23+2,FALSE)="NE","NE",IF(HLOOKUP(AI$15,Data_5!$F$10:$BG$42,$A23+2,FALSE)="C","C",IF(HLOOKUP(AI$15,Data_5!$F$10:$BG$42,$A23+2,FALSE)="NO","NO",HLOOKUP(AI$15,Data_5!$F$10:$BG$42,$A23+2,FALSE)/Data_5!$BH18))))),"")</f>
        <v>6.2832989745758945E-3</v>
      </c>
      <c r="AJ23" s="1122" t="str">
        <f>IFERROR(IF(HLOOKUP(AJ$15,Data_5!$F$10:$BG$42,$A23+2,FALSE)="NO","NO",IF(HLOOKUP(AJ$15,Data_5!$F$10:$BG$42,$A23+2,FALSE)="IE","IE",IF(HLOOKUP(AJ$15,Data_5!$F$10:$BG$42,$A23+2,FALSE)="NE","NE",IF(HLOOKUP(AJ$15,Data_5!$F$10:$BG$42,$A23+2,FALSE)="C","C",IF(HLOOKUP(AJ$15,Data_5!$F$10:$BG$42,$A23+2,FALSE)="NO","NO",HLOOKUP(AJ$15,Data_5!$F$10:$BG$42,$A23+2,FALSE)/Data_5!$BH18))))),"")</f>
        <v>NO</v>
      </c>
      <c r="AL23" s="2628" t="str">
        <f t="shared" si="0"/>
        <v>Cape Town</v>
      </c>
      <c r="AM23" s="2629"/>
      <c r="AN23" s="1100">
        <f t="shared" si="1"/>
        <v>2012</v>
      </c>
      <c r="AO23" s="1122" t="str">
        <f>IFERROR(IF(VLOOKUP($AL23,Data_5!$B$12:$E$42,4,FALSE)="BASIC","",(IF(HLOOKUP(AO$15,Data_5!$F$10:$BG$42,$A23+2,FALSE)="NO","NO",IF(HLOOKUP(AO$15,Data_5!$F$10:$BG$42,$A23+2,FALSE)="IE","IE",IF(HLOOKUP(AO$15,Data_5!$F$10:$BG$42,$A23+2,FALSE)="NE","NE",IF(HLOOKUP(AO$15,Data_5!$F$10:$BG$42,$A23+2,FALSE)="C","C",IF(HLOOKUP(AO$15,Data_5!$F$10:$BG$42,$A23+2,FALSE)="NO","NO",HLOOKUP(AO$15,Data_5!$F$10:$BG$42,$A23+2,FALSE)/Data_5!$BI18))))))),"")</f>
        <v/>
      </c>
      <c r="AP23" s="1122" t="str">
        <f>IFERROR(IF(VLOOKUP($AL23,Data_5!$B$12:$E$42,4,FALSE)="BASIC","",(IF(HLOOKUP(AP$15,Data_5!$F$10:$BG$42,$A23+2,FALSE)="NO","NO",IF(HLOOKUP(AP$15,Data_5!$F$10:$BG$42,$A23+2,FALSE)="IE","IE",IF(HLOOKUP(AP$15,Data_5!$F$10:$BG$42,$A23+2,FALSE)="NE","NE",IF(HLOOKUP(AP$15,Data_5!$F$10:$BG$42,$A23+2,FALSE)="C","C",IF(HLOOKUP(AP$15,Data_5!$F$10:$BG$42,$A23+2,FALSE)="NO","NO",HLOOKUP(AP$15,Data_5!$F$10:$BG$42,$A23+2,FALSE)/Data_5!$BI18))))))),"")</f>
        <v/>
      </c>
      <c r="AQ23" s="1122" t="str">
        <f>IFERROR(IF(VLOOKUP($AL23,Data_5!$B$12:$E$42,4,FALSE)="BASIC","",(IF(HLOOKUP(AQ$15,Data_5!$F$10:$BG$42,$A23+2,FALSE)="NO","NO",IF(HLOOKUP(AQ$15,Data_5!$F$10:$BG$42,$A23+2,FALSE)="IE","IE",IF(HLOOKUP(AQ$15,Data_5!$F$10:$BG$42,$A23+2,FALSE)="NE","NE",IF(HLOOKUP(AQ$15,Data_5!$F$10:$BG$42,$A23+2,FALSE)="C","C",IF(HLOOKUP(AQ$15,Data_5!$F$10:$BG$42,$A23+2,FALSE)="NO","NO",HLOOKUP(AQ$15,Data_5!$F$10:$BG$42,$A23+2,FALSE)/Data_5!$BI18))))))),"")</f>
        <v/>
      </c>
      <c r="AR23" s="1122" t="str">
        <f>IFERROR(IF(VLOOKUP($AL23,Data_5!$B$12:$E$42,4,FALSE)="BASIC","",(IF(HLOOKUP(AR$15,Data_5!$F$10:$BG$42,$A23+2,FALSE)="NO","NO",IF(HLOOKUP(AR$15,Data_5!$F$10:$BG$42,$A23+2,FALSE)="IE","IE",IF(HLOOKUP(AR$15,Data_5!$F$10:$BG$42,$A23+2,FALSE)="NE","NE",IF(HLOOKUP(AR$15,Data_5!$F$10:$BG$42,$A23+2,FALSE)="C","C",IF(HLOOKUP(AR$15,Data_5!$F$10:$BG$42,$A23+2,FALSE)="NO","NO",HLOOKUP(AR$15,Data_5!$F$10:$BG$42,$A23+2,FALSE)/Data_5!$BI18))))))),"")</f>
        <v/>
      </c>
      <c r="AS23" s="1122" t="str">
        <f>IFERROR(IF(VLOOKUP($AL23,Data_5!$B$12:$E$42,4,FALSE)="BASIC","",(IF(HLOOKUP(AS$15,Data_5!$F$10:$BG$42,$A23+2,FALSE)="NO","NO",IF(HLOOKUP(AS$15,Data_5!$F$10:$BG$42,$A23+2,FALSE)="IE","IE",IF(HLOOKUP(AS$15,Data_5!$F$10:$BG$42,$A23+2,FALSE)="NE","NE",IF(HLOOKUP(AS$15,Data_5!$F$10:$BG$42,$A23+2,FALSE)="C","C",IF(HLOOKUP(AS$15,Data_5!$F$10:$BG$42,$A23+2,FALSE)="NO","NO",HLOOKUP(AS$15,Data_5!$F$10:$BG$42,$A23+2,FALSE)/Data_5!$BI18))))))),"")</f>
        <v/>
      </c>
      <c r="AT23" s="1122" t="str">
        <f>IFERROR(IF(VLOOKUP($AL23,Data_5!$B$12:$E$42,4,FALSE)="BASIC","",(IF(HLOOKUP(AT$15,Data_5!$F$10:$BG$42,$A23+2,FALSE)="NO","NO",IF(HLOOKUP(AT$15,Data_5!$F$10:$BG$42,$A23+2,FALSE)="IE","IE",IF(HLOOKUP(AT$15,Data_5!$F$10:$BG$42,$A23+2,FALSE)="NE","NE",IF(HLOOKUP(AT$15,Data_5!$F$10:$BG$42,$A23+2,FALSE)="C","C",IF(HLOOKUP(AT$15,Data_5!$F$10:$BG$42,$A23+2,FALSE)="NO","NO",HLOOKUP(AT$15,Data_5!$F$10:$BG$42,$A23+2,FALSE)/Data_5!$BI18))))))),"")</f>
        <v/>
      </c>
      <c r="AU23" s="1122" t="str">
        <f>IFERROR(IF(VLOOKUP($AL23,Data_5!$B$12:$E$42,4,FALSE)="BASIC","",(IF(HLOOKUP(AU$15,Data_5!$F$10:$BG$42,$A23+2,FALSE)="NO","NO",IF(HLOOKUP(AU$15,Data_5!$F$10:$BG$42,$A23+2,FALSE)="IE","IE",IF(HLOOKUP(AU$15,Data_5!$F$10:$BG$42,$A23+2,FALSE)="NE","NE",IF(HLOOKUP(AU$15,Data_5!$F$10:$BG$42,$A23+2,FALSE)="C","C",IF(HLOOKUP(AU$15,Data_5!$F$10:$BG$42,$A23+2,FALSE)="NO","NO",HLOOKUP(AU$15,Data_5!$F$10:$BG$42,$A23+2,FALSE)/Data_5!$BI18))))))),"")</f>
        <v/>
      </c>
      <c r="AV23" s="1122" t="str">
        <f>IFERROR(IF(VLOOKUP($AL23,Data_5!$B$12:$E$42,4,FALSE)="BASIC","",(IF(HLOOKUP(AV$15,Data_5!$F$10:$BG$42,$A23+2,FALSE)="NO","NO",IF(HLOOKUP(AV$15,Data_5!$F$10:$BG$42,$A23+2,FALSE)="IE","IE",IF(HLOOKUP(AV$15,Data_5!$F$10:$BG$42,$A23+2,FALSE)="NE","NE",IF(HLOOKUP(AV$15,Data_5!$F$10:$BG$42,$A23+2,FALSE)="C","C",IF(HLOOKUP(AV$15,Data_5!$F$10:$BG$42,$A23+2,FALSE)="NO","NO",HLOOKUP(AV$15,Data_5!$F$10:$BG$42,$A23+2,FALSE)/Data_5!$BI18))))))),"")</f>
        <v/>
      </c>
      <c r="AW23" s="1122" t="str">
        <f>IFERROR(IF(VLOOKUP($AL23,Data_5!$B$12:$E$42,4,FALSE)="BASIC","",(IF(HLOOKUP(AW$15,Data_5!$F$10:$BG$42,$A23+2,FALSE)="NO","NO",IF(HLOOKUP(AW$15,Data_5!$F$10:$BG$42,$A23+2,FALSE)="IE","IE",IF(HLOOKUP(AW$15,Data_5!$F$10:$BG$42,$A23+2,FALSE)="NE","NE",IF(HLOOKUP(AW$15,Data_5!$F$10:$BG$42,$A23+2,FALSE)="C","C",IF(HLOOKUP(AW$15,Data_5!$F$10:$BG$42,$A23+2,FALSE)="NO","NO",HLOOKUP(AW$15,Data_5!$F$10:$BG$42,$A23+2,FALSE)/Data_5!$BI18))))))),"")</f>
        <v/>
      </c>
      <c r="AX23" s="1122" t="str">
        <f>IFERROR(IF(VLOOKUP($AL23,Data_5!$B$12:$E$42,4,FALSE)="BASIC","",(IF(HLOOKUP(AX$15,Data_5!$F$10:$BG$42,$A23+2,FALSE)="NO","NO",IF(HLOOKUP(AX$15,Data_5!$F$10:$BG$42,$A23+2,FALSE)="IE","IE",IF(HLOOKUP(AX$15,Data_5!$F$10:$BG$42,$A23+2,FALSE)="NE","NE",IF(HLOOKUP(AX$15,Data_5!$F$10:$BG$42,$A23+2,FALSE)="C","C",IF(HLOOKUP(AX$15,Data_5!$F$10:$BG$42,$A23+2,FALSE)="NO","NO",HLOOKUP(AX$15,Data_5!$F$10:$BG$42,$A23+2,FALSE)/Data_5!$BI18))))))),"")</f>
        <v/>
      </c>
      <c r="AY23" s="1122" t="str">
        <f>IFERROR(IF(VLOOKUP($AL23,Data_5!$B$12:$E$42,4,FALSE)="BASIC","",(IF(HLOOKUP(AY$15,Data_5!$F$10:$BG$42,$A23+2,FALSE)="NO","NO",IF(HLOOKUP(AY$15,Data_5!$F$10:$BG$42,$A23+2,FALSE)="IE","IE",IF(HLOOKUP(AY$15,Data_5!$F$10:$BG$42,$A23+2,FALSE)="NE","NE",IF(HLOOKUP(AY$15,Data_5!$F$10:$BG$42,$A23+2,FALSE)="C","C",IF(HLOOKUP(AY$15,Data_5!$F$10:$BG$42,$A23+2,FALSE)="NO","NO",HLOOKUP(AY$15,Data_5!$F$10:$BG$42,$A23+2,FALSE)/Data_5!$BI18))))))),"")</f>
        <v/>
      </c>
      <c r="AZ23" s="1122" t="str">
        <f>IFERROR(IF(VLOOKUP($AL23,Data_5!$B$12:$E$42,4,FALSE)="BASIC","",(IF(HLOOKUP(AZ$15,Data_5!$F$10:$BG$42,$A23+2,FALSE)="NO","NO",IF(HLOOKUP(AZ$15,Data_5!$F$10:$BG$42,$A23+2,FALSE)="IE","IE",IF(HLOOKUP(AZ$15,Data_5!$F$10:$BG$42,$A23+2,FALSE)="NE","NE",IF(HLOOKUP(AZ$15,Data_5!$F$10:$BG$42,$A23+2,FALSE)="C","C",IF(HLOOKUP(AZ$15,Data_5!$F$10:$BG$42,$A23+2,FALSE)="NO","NO",HLOOKUP(AZ$15,Data_5!$F$10:$BG$42,$A23+2,FALSE)/Data_5!$BI18))))))),"")</f>
        <v/>
      </c>
      <c r="BA23" s="1122" t="str">
        <f>IFERROR(IF(VLOOKUP($AL23,Data_5!$B$12:$E$42,4,FALSE)="BASIC","",(IF(HLOOKUP(BA$15,Data_5!$F$10:$BG$42,$A23+2,FALSE)="NO","NO",IF(HLOOKUP(BA$15,Data_5!$F$10:$BG$42,$A23+2,FALSE)="IE","IE",IF(HLOOKUP(BA$15,Data_5!$F$10:$BG$42,$A23+2,FALSE)="NE","NE",IF(HLOOKUP(BA$15,Data_5!$F$10:$BG$42,$A23+2,FALSE)="C","C",IF(HLOOKUP(BA$15,Data_5!$F$10:$BG$42,$A23+2,FALSE)="NO","NO",HLOOKUP(BA$15,Data_5!$F$10:$BG$42,$A23+2,FALSE)/Data_5!$BI18))))))),"")</f>
        <v/>
      </c>
      <c r="BB23" s="1122" t="str">
        <f>IFERROR(IF(VLOOKUP($AL23,Data_5!$B$12:$E$42,4,FALSE)="BASIC","",(IF(HLOOKUP(BB$15,Data_5!$F$10:$BG$42,$A23+2,FALSE)="NO","NO",IF(HLOOKUP(BB$15,Data_5!$F$10:$BG$42,$A23+2,FALSE)="IE","IE",IF(HLOOKUP(BB$15,Data_5!$F$10:$BG$42,$A23+2,FALSE)="NE","NE",IF(HLOOKUP(BB$15,Data_5!$F$10:$BG$42,$A23+2,FALSE)="C","C",IF(HLOOKUP(BB$15,Data_5!$F$10:$BG$42,$A23+2,FALSE)="NO","NO",HLOOKUP(BB$15,Data_5!$F$10:$BG$42,$A23+2,FALSE)/Data_5!$BI18))))))),"")</f>
        <v/>
      </c>
      <c r="BC23" s="1122" t="str">
        <f>IFERROR(IF(VLOOKUP($AL23,Data_5!$B$12:$E$42,4,FALSE)="BASIC","",(IF(HLOOKUP(BC$15,Data_5!$F$10:$BG$42,$A23+2,FALSE)="NO","NO",IF(HLOOKUP(BC$15,Data_5!$F$10:$BG$42,$A23+2,FALSE)="IE","IE",IF(HLOOKUP(BC$15,Data_5!$F$10:$BG$42,$A23+2,FALSE)="NE","NE",IF(HLOOKUP(BC$15,Data_5!$F$10:$BG$42,$A23+2,FALSE)="C","C",IF(HLOOKUP(BC$15,Data_5!$F$10:$BG$42,$A23+2,FALSE)="NO","NO",HLOOKUP(BC$15,Data_5!$F$10:$BG$42,$A23+2,FALSE)/Data_5!$BI18))))))),"")</f>
        <v/>
      </c>
      <c r="BD23" s="1122" t="str">
        <f>IFERROR(IF(VLOOKUP($AL23,Data_5!$B$12:$E$42,4,FALSE)="BASIC","",(IF(HLOOKUP(BD$15,Data_5!$F$10:$BG$42,$A23+2,FALSE)="NO","NO",IF(HLOOKUP(BD$15,Data_5!$F$10:$BG$42,$A23+2,FALSE)="IE","IE",IF(HLOOKUP(BD$15,Data_5!$F$10:$BG$42,$A23+2,FALSE)="NE","NE",IF(HLOOKUP(BD$15,Data_5!$F$10:$BG$42,$A23+2,FALSE)="C","C",IF(HLOOKUP(BD$15,Data_5!$F$10:$BG$42,$A23+2,FALSE)="NO","NO",HLOOKUP(BD$15,Data_5!$F$10:$BG$42,$A23+2,FALSE)/Data_5!$BI18))))))),"")</f>
        <v/>
      </c>
      <c r="BE23" s="1122" t="str">
        <f>IFERROR(IF(VLOOKUP($AL23,Data_5!$B$12:$E$42,4,FALSE)="BASIC","",(IF(HLOOKUP(BE$15,Data_5!$F$10:$BG$42,$A23+2,FALSE)="NO","NO",IF(HLOOKUP(BE$15,Data_5!$F$10:$BG$42,$A23+2,FALSE)="IE","IE",IF(HLOOKUP(BE$15,Data_5!$F$10:$BG$42,$A23+2,FALSE)="NE","NE",IF(HLOOKUP(BE$15,Data_5!$F$10:$BG$42,$A23+2,FALSE)="C","C",IF(HLOOKUP(BE$15,Data_5!$F$10:$BG$42,$A23+2,FALSE)="NO","NO",HLOOKUP(BE$15,Data_5!$F$10:$BG$42,$A23+2,FALSE)/Data_5!$BI18))))))),"")</f>
        <v/>
      </c>
      <c r="BF23" s="1122" t="str">
        <f>IFERROR(IF(VLOOKUP($AL23,Data_5!$B$12:$E$42,4,FALSE)="BASIC","",(IF(HLOOKUP(BF$15,Data_5!$F$10:$BG$42,$A23+2,FALSE)="NO","NO",IF(HLOOKUP(BF$15,Data_5!$F$10:$BG$42,$A23+2,FALSE)="IE","IE",IF(HLOOKUP(BF$15,Data_5!$F$10:$BG$42,$A23+2,FALSE)="NE","NE",IF(HLOOKUP(BF$15,Data_5!$F$10:$BG$42,$A23+2,FALSE)="C","C",IF(HLOOKUP(BF$15,Data_5!$F$10:$BG$42,$A23+2,FALSE)="NO","NO",HLOOKUP(BF$15,Data_5!$F$10:$BG$42,$A23+2,FALSE)/Data_5!$BI18))))))),"")</f>
        <v/>
      </c>
      <c r="BG23" s="1122" t="str">
        <f>IFERROR(IF(VLOOKUP($AL23,Data_5!$B$12:$E$42,4,FALSE)="BASIC","",(IF(HLOOKUP(BG$15,Data_5!$F$10:$BG$42,$A23+2,FALSE)="NO","NO",IF(HLOOKUP(BG$15,Data_5!$F$10:$BG$42,$A23+2,FALSE)="IE","IE",IF(HLOOKUP(BG$15,Data_5!$F$10:$BG$42,$A23+2,FALSE)="NE","NE",IF(HLOOKUP(BG$15,Data_5!$F$10:$BG$42,$A23+2,FALSE)="C","C",IF(HLOOKUP(BG$15,Data_5!$F$10:$BG$42,$A23+2,FALSE)="NO","NO",HLOOKUP(BG$15,Data_5!$F$10:$BG$42,$A23+2,FALSE)/Data_5!$BI18))))))),"")</f>
        <v/>
      </c>
      <c r="BH23" s="1122" t="str">
        <f>IFERROR(IF(VLOOKUP($AL23,Data_5!$B$12:$E$42,4,FALSE)="BASIC","",(IF(HLOOKUP(BH$15,Data_5!$F$10:$BG$42,$A23+2,FALSE)="NO","NO",IF(HLOOKUP(BH$15,Data_5!$F$10:$BG$42,$A23+2,FALSE)="IE","IE",IF(HLOOKUP(BH$15,Data_5!$F$10:$BG$42,$A23+2,FALSE)="NE","NE",IF(HLOOKUP(BH$15,Data_5!$F$10:$BG$42,$A23+2,FALSE)="C","C",IF(HLOOKUP(BH$15,Data_5!$F$10:$BG$42,$A23+2,FALSE)="NO","NO",HLOOKUP(BH$15,Data_5!$F$10:$BG$42,$A23+2,FALSE)/Data_5!$BI18))))))),"")</f>
        <v/>
      </c>
      <c r="BI23" s="1122" t="str">
        <f>IFERROR(IF(VLOOKUP($AL23,Data_5!$B$12:$E$42,4,FALSE)="BASIC","",(IF(HLOOKUP(BI$15,Data_5!$F$10:$BG$42,$A23+2,FALSE)="NO","NO",IF(HLOOKUP(BI$15,Data_5!$F$10:$BG$42,$A23+2,FALSE)="IE","IE",IF(HLOOKUP(BI$15,Data_5!$F$10:$BG$42,$A23+2,FALSE)="NE","NE",IF(HLOOKUP(BI$15,Data_5!$F$10:$BG$42,$A23+2,FALSE)="C","C",IF(HLOOKUP(BI$15,Data_5!$F$10:$BG$42,$A23+2,FALSE)="NO","NO",HLOOKUP(BI$15,Data_5!$F$10:$BG$42,$A23+2,FALSE)/Data_5!$BI18))))))),"")</f>
        <v/>
      </c>
      <c r="BJ23" s="1122" t="str">
        <f>IFERROR(IF(VLOOKUP($AL23,Data_5!$B$12:$E$42,4,FALSE)="BASIC","",(IF(HLOOKUP(BJ$15,Data_5!$F$10:$BG$42,$A23+2,FALSE)="NO","NO",IF(HLOOKUP(BJ$15,Data_5!$F$10:$BG$42,$A23+2,FALSE)="IE","IE",IF(HLOOKUP(BJ$15,Data_5!$F$10:$BG$42,$A23+2,FALSE)="NE","NE",IF(HLOOKUP(BJ$15,Data_5!$F$10:$BG$42,$A23+2,FALSE)="C","C",IF(HLOOKUP(BJ$15,Data_5!$F$10:$BG$42,$A23+2,FALSE)="NO","NO",HLOOKUP(BJ$15,Data_5!$F$10:$BG$42,$A23+2,FALSE)/Data_5!$BI18))))))),"")</f>
        <v/>
      </c>
      <c r="BK23" s="1122" t="str">
        <f>IFERROR(IF(VLOOKUP($AL23,Data_5!$B$12:$E$42,4,FALSE)="BASIC","",(IF(HLOOKUP(BK$15,Data_5!$F$10:$BG$42,$A23+2,FALSE)="NO","NO",IF(HLOOKUP(BK$15,Data_5!$F$10:$BG$42,$A23+2,FALSE)="IE","IE",IF(HLOOKUP(BK$15,Data_5!$F$10:$BG$42,$A23+2,FALSE)="NE","NE",IF(HLOOKUP(BK$15,Data_5!$F$10:$BG$42,$A23+2,FALSE)="C","C",IF(HLOOKUP(BK$15,Data_5!$F$10:$BG$42,$A23+2,FALSE)="NO","NO",HLOOKUP(BK$15,Data_5!$F$10:$BG$42,$A23+2,FALSE)/Data_5!$BI18))))))),"")</f>
        <v/>
      </c>
      <c r="BL23" s="1122" t="str">
        <f>IFERROR(IF(VLOOKUP($AL23,Data_5!$B$12:$E$42,4,FALSE)="BASIC","",(IF(HLOOKUP(BL$15,Data_5!$F$10:$BG$42,$A23+2,FALSE)="NO","NO",IF(HLOOKUP(BL$15,Data_5!$F$10:$BG$42,$A23+2,FALSE)="IE","IE",IF(HLOOKUP(BL$15,Data_5!$F$10:$BG$42,$A23+2,FALSE)="NE","NE",IF(HLOOKUP(BL$15,Data_5!$F$10:$BG$42,$A23+2,FALSE)="C","C",IF(HLOOKUP(BL$15,Data_5!$F$10:$BG$42,$A23+2,FALSE)="NO","NO",HLOOKUP(BL$15,Data_5!$F$10:$BG$42,$A23+2,FALSE)/Data_5!$BI18))))))),"")</f>
        <v/>
      </c>
      <c r="BM23" s="1122" t="str">
        <f>IFERROR(IF(VLOOKUP($AL23,Data_5!$B$12:$E$42,4,FALSE)="BASIC","",(IF(HLOOKUP(BM$15,Data_5!$F$10:$BG$42,$A23+2,FALSE)="NO","NO",IF(HLOOKUP(BM$15,Data_5!$F$10:$BG$42,$A23+2,FALSE)="IE","IE",IF(HLOOKUP(BM$15,Data_5!$F$10:$BG$42,$A23+2,FALSE)="NE","NE",IF(HLOOKUP(BM$15,Data_5!$F$10:$BG$42,$A23+2,FALSE)="C","C",IF(HLOOKUP(BM$15,Data_5!$F$10:$BG$42,$A23+2,FALSE)="NO","NO",HLOOKUP(BM$15,Data_5!$F$10:$BG$42,$A23+2,FALSE)/Data_5!$BI18))))))),"")</f>
        <v/>
      </c>
      <c r="BN23" s="1122" t="str">
        <f>IFERROR(IF(VLOOKUP($AL23,Data_5!$B$12:$E$42,4,FALSE)="BASIC","",(IF(HLOOKUP(BN$15,Data_5!$F$10:$BG$42,$A23+2,FALSE)="NO","NO",IF(HLOOKUP(BN$15,Data_5!$F$10:$BG$42,$A23+2,FALSE)="IE","IE",IF(HLOOKUP(BN$15,Data_5!$F$10:$BG$42,$A23+2,FALSE)="NE","NE",IF(HLOOKUP(BN$15,Data_5!$F$10:$BG$42,$A23+2,FALSE)="C","C",IF(HLOOKUP(BN$15,Data_5!$F$10:$BG$42,$A23+2,FALSE)="NO","NO",HLOOKUP(BN$15,Data_5!$F$10:$BG$42,$A23+2,FALSE)/Data_5!$BI18))))))),"")</f>
        <v/>
      </c>
      <c r="BO23" s="1122" t="str">
        <f>IFERROR(IF(VLOOKUP($AL23,Data_5!$B$12:$E$42,4,FALSE)="BASIC","",(IF(HLOOKUP(BO$15,Data_5!$F$10:$BG$42,$A23+2,FALSE)="NO","NO",IF(HLOOKUP(BO$15,Data_5!$F$10:$BG$42,$A23+2,FALSE)="IE","IE",IF(HLOOKUP(BO$15,Data_5!$F$10:$BG$42,$A23+2,FALSE)="NE","NE",IF(HLOOKUP(BO$15,Data_5!$F$10:$BG$42,$A23+2,FALSE)="C","C",IF(HLOOKUP(BO$15,Data_5!$F$10:$BG$42,$A23+2,FALSE)="NO","NO",HLOOKUP(BO$15,Data_5!$F$10:$BG$42,$A23+2,FALSE)/Data_5!$BI18))))))),"")</f>
        <v/>
      </c>
      <c r="BP23" s="1122" t="str">
        <f>IFERROR(IF(VLOOKUP($AL23,Data_5!$B$12:$E$42,4,FALSE)="BASIC","",(IF(HLOOKUP(BP$15,Data_5!$F$10:$BG$42,$A23+2,FALSE)="NO","NO",IF(HLOOKUP(BP$15,Data_5!$F$10:$BG$42,$A23+2,FALSE)="IE","IE",IF(HLOOKUP(BP$15,Data_5!$F$10:$BG$42,$A23+2,FALSE)="NE","NE",IF(HLOOKUP(BP$15,Data_5!$F$10:$BG$42,$A23+2,FALSE)="C","C",IF(HLOOKUP(BP$15,Data_5!$F$10:$BG$42,$A23+2,FALSE)="NO","NO",HLOOKUP(BP$15,Data_5!$F$10:$BG$42,$A23+2,FALSE)/Data_5!$BI18))))))),"")</f>
        <v/>
      </c>
      <c r="BQ23" s="1122" t="str">
        <f>IFERROR(IF(VLOOKUP($AL23,Data_5!$B$12:$E$42,4,FALSE)="BASIC","",(IF(HLOOKUP(BQ$15,Data_5!$F$10:$BG$42,$A23+2,FALSE)="NO","NO",IF(HLOOKUP(BQ$15,Data_5!$F$10:$BG$42,$A23+2,FALSE)="IE","IE",IF(HLOOKUP(BQ$15,Data_5!$F$10:$BG$42,$A23+2,FALSE)="NE","NE",IF(HLOOKUP(BQ$15,Data_5!$F$10:$BG$42,$A23+2,FALSE)="C","C",IF(HLOOKUP(BQ$15,Data_5!$F$10:$BG$42,$A23+2,FALSE)="NO","NO",HLOOKUP(BQ$15,Data_5!$F$10:$BG$42,$A23+2,FALSE)/Data_5!$BI18))))))),"")</f>
        <v/>
      </c>
      <c r="BR23" s="1122" t="str">
        <f>IFERROR(IF(VLOOKUP($AL23,Data_5!$B$12:$E$42,4,FALSE)="BASIC","",(IF(HLOOKUP(BR$15,Data_5!$F$10:$BG$42,$A23+2,FALSE)="NO","NO",IF(HLOOKUP(BR$15,Data_5!$F$10:$BG$42,$A23+2,FALSE)="IE","IE",IF(HLOOKUP(BR$15,Data_5!$F$10:$BG$42,$A23+2,FALSE)="NE","NE",IF(HLOOKUP(BR$15,Data_5!$F$10:$BG$42,$A23+2,FALSE)="C","C",IF(HLOOKUP(BR$15,Data_5!$F$10:$BG$42,$A23+2,FALSE)="NO","NO",HLOOKUP(BR$15,Data_5!$F$10:$BG$42,$A23+2,FALSE)/Data_5!$BI18))))))),"")</f>
        <v/>
      </c>
      <c r="BS23" s="1122" t="str">
        <f>IFERROR(IF(VLOOKUP($AL23,Data_5!$B$12:$E$42,4,FALSE)="BASIC","",(IF(HLOOKUP(BS$15,Data_5!$F$10:$BG$42,$A23+2,FALSE)="NO","NO",IF(HLOOKUP(BS$15,Data_5!$F$10:$BG$42,$A23+2,FALSE)="IE","IE",IF(HLOOKUP(BS$15,Data_5!$F$10:$BG$42,$A23+2,FALSE)="NE","NE",IF(HLOOKUP(BS$15,Data_5!$F$10:$BG$42,$A23+2,FALSE)="C","C",IF(HLOOKUP(BS$15,Data_5!$F$10:$BG$42,$A23+2,FALSE)="NO","NO",HLOOKUP(BS$15,Data_5!$F$10:$BG$42,$A23+2,FALSE)/Data_5!$BI18))))))),"")</f>
        <v/>
      </c>
      <c r="BT23" s="1122" t="str">
        <f>IFERROR(IF(VLOOKUP($AL23,Data_5!$B$12:$E$42,4,FALSE)="BASIC","",(IF(HLOOKUP(BT$15,Data_5!$F$10:$BG$42,$A23+2,FALSE)="NO","NO",IF(HLOOKUP(BT$15,Data_5!$F$10:$BG$42,$A23+2,FALSE)="IE","IE",IF(HLOOKUP(BT$15,Data_5!$F$10:$BG$42,$A23+2,FALSE)="NE","NE",IF(HLOOKUP(BT$15,Data_5!$F$10:$BG$42,$A23+2,FALSE)="C","C",IF(HLOOKUP(BT$15,Data_5!$F$10:$BG$42,$A23+2,FALSE)="NO","NO",HLOOKUP(BT$15,Data_5!$F$10:$BG$42,$A23+2,FALSE)/Data_5!$BI18))))))),"")</f>
        <v/>
      </c>
      <c r="BU23" s="1122" t="str">
        <f>IFERROR(IF(VLOOKUP($AL23,Data_5!$B$12:$E$42,4,FALSE)="BASIC","",(IF(HLOOKUP(BU$15,Data_5!$F$10:$BG$42,$A23+2,FALSE)="NO","NO",IF(HLOOKUP(BU$15,Data_5!$F$10:$BG$42,$A23+2,FALSE)="IE","IE",IF(HLOOKUP(BU$15,Data_5!$F$10:$BG$42,$A23+2,FALSE)="NE","NE",IF(HLOOKUP(BU$15,Data_5!$F$10:$BG$42,$A23+2,FALSE)="C","C",IF(HLOOKUP(BU$15,Data_5!$F$10:$BG$42,$A23+2,FALSE)="NO","NO",HLOOKUP(BU$15,Data_5!$F$10:$BG$42,$A23+2,FALSE)/Data_5!$BI18))))))),"")</f>
        <v/>
      </c>
      <c r="BV23" s="1122" t="str">
        <f>IFERROR(IF(VLOOKUP($AL23,Data_5!$B$12:$E$42,4,FALSE)="BASIC","",(IF(HLOOKUP(BV$15,Data_5!$F$10:$BG$42,$A23+2,FALSE)="NO","NO",IF(HLOOKUP(BV$15,Data_5!$F$10:$BG$42,$A23+2,FALSE)="IE","IE",IF(HLOOKUP(BV$15,Data_5!$F$10:$BG$42,$A23+2,FALSE)="NE","NE",IF(HLOOKUP(BV$15,Data_5!$F$10:$BG$42,$A23+2,FALSE)="C","C",IF(HLOOKUP(BV$15,Data_5!$F$10:$BG$42,$A23+2,FALSE)="NO","NO",HLOOKUP(BV$15,Data_5!$F$10:$BG$42,$A23+2,FALSE)/Data_5!$BI18))))))),"")</f>
        <v/>
      </c>
      <c r="BW23" s="1122" t="str">
        <f>IFERROR(IF(VLOOKUP($AL23,Data_5!$B$12:$E$42,4,FALSE)="BASIC","",(IF(HLOOKUP(BW$15,Data_5!$F$10:$BG$42,$A23+2,FALSE)="NO","NO",IF(HLOOKUP(BW$15,Data_5!$F$10:$BG$42,$A23+2,FALSE)="IE","IE",IF(HLOOKUP(BW$15,Data_5!$F$10:$BG$42,$A23+2,FALSE)="NE","NE",IF(HLOOKUP(BW$15,Data_5!$F$10:$BG$42,$A23+2,FALSE)="C","C",IF(HLOOKUP(BW$15,Data_5!$F$10:$BG$42,$A23+2,FALSE)="NO","NO",HLOOKUP(BW$15,Data_5!$F$10:$BG$42,$A23+2,FALSE)/Data_5!$BI18))))))),"")</f>
        <v/>
      </c>
      <c r="BX23" s="1122" t="str">
        <f>IFERROR(IF(VLOOKUP($AL23,Data_5!$B$12:$E$42,4,FALSE)="BASIC","",(IF(HLOOKUP(BX$15,Data_5!$F$10:$BG$42,$A23+2,FALSE)="NO","NO",IF(HLOOKUP(BX$15,Data_5!$F$10:$BG$42,$A23+2,FALSE)="IE","IE",IF(HLOOKUP(BX$15,Data_5!$F$10:$BG$42,$A23+2,FALSE)="NE","NE",IF(HLOOKUP(BX$15,Data_5!$F$10:$BG$42,$A23+2,FALSE)="C","C",IF(HLOOKUP(BX$15,Data_5!$F$10:$BG$42,$A23+2,FALSE)="NO","NO",HLOOKUP(BX$15,Data_5!$F$10:$BG$42,$A23+2,FALSE)/Data_5!$BI18))))))),"")</f>
        <v/>
      </c>
      <c r="BY23" s="1122" t="str">
        <f>IFERROR(IF(VLOOKUP($AL23,Data_5!$B$12:$E$42,4,FALSE)="BASIC","",(IF(HLOOKUP(BY$15,Data_5!$F$10:$BG$42,$A23+2,FALSE)="NO","NO",IF(HLOOKUP(BY$15,Data_5!$F$10:$BG$42,$A23+2,FALSE)="IE","IE",IF(HLOOKUP(BY$15,Data_5!$F$10:$BG$42,$A23+2,FALSE)="NE","NE",IF(HLOOKUP(BY$15,Data_5!$F$10:$BG$42,$A23+2,FALSE)="C","C",IF(HLOOKUP(BY$15,Data_5!$F$10:$BG$42,$A23+2,FALSE)="NO","NO",HLOOKUP(BY$15,Data_5!$F$10:$BG$42,$A23+2,FALSE)/Data_5!$BI18))))))),"")</f>
        <v/>
      </c>
      <c r="BZ23" s="1122" t="str">
        <f>IFERROR(IF(VLOOKUP($AL23,Data_5!$B$12:$E$42,4,FALSE)="BASIC","",(IF(HLOOKUP(BZ$15,Data_5!$F$10:$BG$42,$A23+2,FALSE)="NO","NO",IF(HLOOKUP(BZ$15,Data_5!$F$10:$BG$42,$A23+2,FALSE)="IE","IE",IF(HLOOKUP(BZ$15,Data_5!$F$10:$BG$42,$A23+2,FALSE)="NE","NE",IF(HLOOKUP(BZ$15,Data_5!$F$10:$BG$42,$A23+2,FALSE)="C","C",IF(HLOOKUP(BZ$15,Data_5!$F$10:$BG$42,$A23+2,FALSE)="NO","NO",HLOOKUP(BZ$15,Data_5!$F$10:$BG$42,$A23+2,FALSE)/Data_5!$BI18))))))),"")</f>
        <v/>
      </c>
      <c r="CA23" s="1122" t="str">
        <f>IFERROR(IF(VLOOKUP($AL23,Data_5!$B$12:$E$42,4,FALSE)="BASIC","",(IF(HLOOKUP(CA$15,Data_5!$F$10:$BG$42,$A23+2,FALSE)="NO","NO",IF(HLOOKUP(CA$15,Data_5!$F$10:$BG$42,$A23+2,FALSE)="IE","IE",IF(HLOOKUP(CA$15,Data_5!$F$10:$BG$42,$A23+2,FALSE)="NE","NE",IF(HLOOKUP(CA$15,Data_5!$F$10:$BG$42,$A23+2,FALSE)="C","C",IF(HLOOKUP(CA$15,Data_5!$F$10:$BG$42,$A23+2,FALSE)="NO","NO",HLOOKUP(CA$15,Data_5!$F$10:$BG$42,$A23+2,FALSE)/Data_5!$BI18))))))),"")</f>
        <v/>
      </c>
      <c r="CB23" s="1122" t="str">
        <f>IFERROR(IF(VLOOKUP($AL23,Data_5!$B$12:$E$42,4,FALSE)="BASIC","",(IF(HLOOKUP(CB$15,Data_5!$F$10:$BG$42,$A23+2,FALSE)="NO","NO",IF(HLOOKUP(CB$15,Data_5!$F$10:$BG$42,$A23+2,FALSE)="IE","IE",IF(HLOOKUP(CB$15,Data_5!$F$10:$BG$42,$A23+2,FALSE)="NE","NE",IF(HLOOKUP(CB$15,Data_5!$F$10:$BG$42,$A23+2,FALSE)="C","C",IF(HLOOKUP(CB$15,Data_5!$F$10:$BG$42,$A23+2,FALSE)="NO","NO",HLOOKUP(CB$15,Data_5!$F$10:$BG$42,$A23+2,FALSE)/Data_5!$BI18))))))),"")</f>
        <v/>
      </c>
      <c r="CC23" s="1122" t="str">
        <f>IFERROR(IF(VLOOKUP($AL23,Data_5!$B$12:$E$42,4,FALSE)="BASIC","",(IF(HLOOKUP(CC$15,Data_5!$F$10:$BG$42,$A23+2,FALSE)="NO","NO",IF(HLOOKUP(CC$15,Data_5!$F$10:$BG$42,$A23+2,FALSE)="IE","IE",IF(HLOOKUP(CC$15,Data_5!$F$10:$BG$42,$A23+2,FALSE)="NE","NE",IF(HLOOKUP(CC$15,Data_5!$F$10:$BG$42,$A23+2,FALSE)="C","C",IF(HLOOKUP(CC$15,Data_5!$F$10:$BG$42,$A23+2,FALSE)="NO","NO",HLOOKUP(CC$15,Data_5!$F$10:$BG$42,$A23+2,FALSE)/Data_5!$BI18))))))),"")</f>
        <v/>
      </c>
      <c r="CD23" s="1122" t="str">
        <f>IFERROR(IF(VLOOKUP($AL23,Data_5!$B$12:$E$42,4,FALSE)="BASIC","",(IF(HLOOKUP(CD$15,Data_5!$F$10:$BG$42,$A23+2,FALSE)="NO","NO",IF(HLOOKUP(CD$15,Data_5!$F$10:$BG$42,$A23+2,FALSE)="IE","IE",IF(HLOOKUP(CD$15,Data_5!$F$10:$BG$42,$A23+2,FALSE)="NE","NE",IF(HLOOKUP(CD$15,Data_5!$F$10:$BG$42,$A23+2,FALSE)="C","C",IF(HLOOKUP(CD$15,Data_5!$F$10:$BG$42,$A23+2,FALSE)="NO","NO",HLOOKUP(CD$15,Data_5!$F$10:$BG$42,$A23+2,FALSE)/Data_5!$BI18))))))),"")</f>
        <v/>
      </c>
      <c r="CE23" s="1122" t="str">
        <f>IFERROR(IF(VLOOKUP($AL23,Data_5!$B$12:$E$42,4,FALSE)="BASIC","",(IF(HLOOKUP(CE$15,Data_5!$F$10:$BG$42,$A23+2,FALSE)="NO","NO",IF(HLOOKUP(CE$15,Data_5!$F$10:$BG$42,$A23+2,FALSE)="IE","IE",IF(HLOOKUP(CE$15,Data_5!$F$10:$BG$42,$A23+2,FALSE)="NE","NE",IF(HLOOKUP(CE$15,Data_5!$F$10:$BG$42,$A23+2,FALSE)="C","C",IF(HLOOKUP(CE$15,Data_5!$F$10:$BG$42,$A23+2,FALSE)="NO","NO",HLOOKUP(CE$15,Data_5!$F$10:$BG$42,$A23+2,FALSE)/Data_5!$BI18))))))),"")</f>
        <v/>
      </c>
      <c r="CF23" s="1122" t="str">
        <f>IFERROR(IF(VLOOKUP($AL23,Data_5!$B$12:$E$42,4,FALSE)="BASIC","",(IF(HLOOKUP(CF$15,Data_5!$F$10:$BG$42,$A23+2,FALSE)="NO","NO",IF(HLOOKUP(CF$15,Data_5!$F$10:$BG$42,$A23+2,FALSE)="IE","IE",IF(HLOOKUP(CF$15,Data_5!$F$10:$BG$42,$A23+2,FALSE)="NE","NE",IF(HLOOKUP(CF$15,Data_5!$F$10:$BG$42,$A23+2,FALSE)="C","C",IF(HLOOKUP(CF$15,Data_5!$F$10:$BG$42,$A23+2,FALSE)="NO","NO",HLOOKUP(CF$15,Data_5!$F$10:$BG$42,$A23+2,FALSE)/Data_5!$BI18))))))),"")</f>
        <v/>
      </c>
      <c r="CG23" s="1122" t="str">
        <f>IFERROR(IF(VLOOKUP($AL23,Data_5!$B$12:$E$42,4,FALSE)="BASIC","",(IF(HLOOKUP(CG$15,Data_5!$F$10:$BG$42,$A23+2,FALSE)="NO","NO",IF(HLOOKUP(CG$15,Data_5!$F$10:$BG$42,$A23+2,FALSE)="IE","IE",IF(HLOOKUP(CG$15,Data_5!$F$10:$BG$42,$A23+2,FALSE)="NE","NE",IF(HLOOKUP(CG$15,Data_5!$F$10:$BG$42,$A23+2,FALSE)="C","C",IF(HLOOKUP(CG$15,Data_5!$F$10:$BG$42,$A23+2,FALSE)="NO","NO",HLOOKUP(CG$15,Data_5!$F$10:$BG$42,$A23+2,FALSE)/Data_5!$BI18))))))),"")</f>
        <v/>
      </c>
      <c r="CH23" s="1122" t="str">
        <f>IFERROR(IF(VLOOKUP($AL23,Data_5!$B$12:$E$42,4,FALSE)="BASIC","",(IF(HLOOKUP(CH$15,Data_5!$F$10:$BG$42,$A23+2,FALSE)="NO","NO",IF(HLOOKUP(CH$15,Data_5!$F$10:$BG$42,$A23+2,FALSE)="IE","IE",IF(HLOOKUP(CH$15,Data_5!$F$10:$BG$42,$A23+2,FALSE)="NE","NE",IF(HLOOKUP(CH$15,Data_5!$F$10:$BG$42,$A23+2,FALSE)="C","C",IF(HLOOKUP(CH$15,Data_5!$F$10:$BG$42,$A23+2,FALSE)="NO","NO",HLOOKUP(CH$15,Data_5!$F$10:$BG$42,$A23+2,FALSE)/Data_5!$BI18))))))),"")</f>
        <v/>
      </c>
      <c r="CI23" s="1122" t="str">
        <f>IFERROR(IF(VLOOKUP($AL23,Data_5!$B$12:$E$42,4,FALSE)="BASIC","",(IF(HLOOKUP(CI$15,Data_5!$F$10:$BG$42,$A23+2,FALSE)="NO","NO",IF(HLOOKUP(CI$15,Data_5!$F$10:$BG$42,$A23+2,FALSE)="IE","IE",IF(HLOOKUP(CI$15,Data_5!$F$10:$BG$42,$A23+2,FALSE)="NE","NE",IF(HLOOKUP(CI$15,Data_5!$F$10:$BG$42,$A23+2,FALSE)="C","C",IF(HLOOKUP(CI$15,Data_5!$F$10:$BG$42,$A23+2,FALSE)="NO","NO",HLOOKUP(CI$15,Data_5!$F$10:$BG$42,$A23+2,FALSE)/Data_5!$BI18))))))),"")</f>
        <v/>
      </c>
      <c r="CJ23" s="1122" t="str">
        <f>IFERROR(IF(VLOOKUP($AL23,Data_5!$B$12:$E$42,4,FALSE)="BASIC","",(IF(HLOOKUP(CJ$15,Data_5!$F$10:$BG$42,$A23+2,FALSE)="NO","NO",IF(HLOOKUP(CJ$15,Data_5!$F$10:$BG$42,$A23+2,FALSE)="IE","IE",IF(HLOOKUP(CJ$15,Data_5!$F$10:$BG$42,$A23+2,FALSE)="NE","NE",IF(HLOOKUP(CJ$15,Data_5!$F$10:$BG$42,$A23+2,FALSE)="C","C",IF(HLOOKUP(CJ$15,Data_5!$F$10:$BG$42,$A23+2,FALSE)="NO","NO",HLOOKUP(CJ$15,Data_5!$F$10:$BG$42,$A23+2,FALSE)/Data_5!$BI18))))))),"")</f>
        <v/>
      </c>
      <c r="CL23" s="2628" t="str">
        <f t="shared" si="2"/>
        <v>Cape Town</v>
      </c>
      <c r="CM23" s="2629"/>
      <c r="CN23" s="1100">
        <f t="shared" si="3"/>
        <v>2012</v>
      </c>
      <c r="CO23" s="1122">
        <f>IFERROR(IF(HLOOKUP(CO$15,Data_5!$F$10:$BG$42,$A23+2,FALSE)="NO","NO",IF(HLOOKUP(CO$15,Data_5!$F$10:$BG$42,$A23+2,FALSE)="IE","IE",IF(HLOOKUP(CO$15,Data_5!$F$10:$BG$42,$A23+2,FALSE)="NE","NE",IF(HLOOKUP(CO$15,Data_5!$F$10:$BG$42,$A23+2,FALSE)="C","C",IF(HLOOKUP(CO$15,Data_5!$F$10:$BG$42,$A23+2,FALSE)="NO","NO",HLOOKUP(CO$15,Data_5!$F$10:$BG$42,$A23+2,FALSE)/Data_5!$BK18))))),"")</f>
        <v>1.5707910557393481E-2</v>
      </c>
      <c r="CP23" s="1122">
        <f>IFERROR(IF(HLOOKUP(CP$15,Data_5!$F$10:$BG$42,$A23+2,FALSE)="NO","NO",IF(HLOOKUP(CP$15,Data_5!$F$10:$BG$42,$A23+2,FALSE)="IE","IE",IF(HLOOKUP(CP$15,Data_5!$F$10:$BG$42,$A23+2,FALSE)="NE","NE",IF(HLOOKUP(CP$15,Data_5!$F$10:$BG$42,$A23+2,FALSE)="C","C",IF(HLOOKUP(CP$15,Data_5!$F$10:$BG$42,$A23+2,FALSE)="NO","NO",HLOOKUP(CP$15,Data_5!$F$10:$BG$42,$A23+2,FALSE)/Data_5!$BK18))))),"")</f>
        <v>7.1514423548980945E-3</v>
      </c>
      <c r="CQ23" s="1122">
        <f>IFERROR(IF(HLOOKUP(CQ$15,Data_5!$F$10:$BG$42,$A23+2,FALSE)="NO","NO",IF(HLOOKUP(CQ$15,Data_5!$F$10:$BG$42,$A23+2,FALSE)="IE","IE",IF(HLOOKUP(CQ$15,Data_5!$F$10:$BG$42,$A23+2,FALSE)="NE","NE",IF(HLOOKUP(CQ$15,Data_5!$F$10:$BG$42,$A23+2,FALSE)="C","C",IF(HLOOKUP(CQ$15,Data_5!$F$10:$BG$42,$A23+2,FALSE)="NO","NO",HLOOKUP(CQ$15,Data_5!$F$10:$BG$42,$A23+2,FALSE)/Data_5!$BK18))))),"")</f>
        <v>6.7845700311253698E-2</v>
      </c>
      <c r="CR23" s="1122" t="str">
        <f>IFERROR(IF(HLOOKUP(CR$15,Data_5!$F$10:$BG$42,$A23+2,FALSE)="NO","NO",IF(HLOOKUP(CR$15,Data_5!$F$10:$BG$42,$A23+2,FALSE)="IE","IE",IF(HLOOKUP(CR$15,Data_5!$F$10:$BG$42,$A23+2,FALSE)="NE","NE",IF(HLOOKUP(CR$15,Data_5!$F$10:$BG$42,$A23+2,FALSE)="C","C",IF(HLOOKUP(CR$15,Data_5!$F$10:$BG$42,$A23+2,FALSE)="NO","NO",HLOOKUP(CR$15,Data_5!$F$10:$BG$42,$A23+2,FALSE)/Data_5!$BK18))))),"")</f>
        <v>IE</v>
      </c>
      <c r="CS23" s="1122">
        <f>IFERROR(IF(HLOOKUP(CS$15,Data_5!$F$10:$BG$42,$A23+2,FALSE)="NO","NO",IF(HLOOKUP(CS$15,Data_5!$F$10:$BG$42,$A23+2,FALSE)="IE","IE",IF(HLOOKUP(CS$15,Data_5!$F$10:$BG$42,$A23+2,FALSE)="NE","NE",IF(HLOOKUP(CS$15,Data_5!$F$10:$BG$42,$A23+2,FALSE)="C","C",IF(HLOOKUP(CS$15,Data_5!$F$10:$BG$42,$A23+2,FALSE)="NO","NO",HLOOKUP(CS$15,Data_5!$F$10:$BG$42,$A23+2,FALSE)/Data_5!$BK18))))),"")</f>
        <v>7.4519992223096354E-2</v>
      </c>
      <c r="CT23" s="1122">
        <f>IFERROR(IF(HLOOKUP(CT$15,Data_5!$F$10:$BG$42,$A23+2,FALSE)="NO","NO",IF(HLOOKUP(CT$15,Data_5!$F$10:$BG$42,$A23+2,FALSE)="IE","IE",IF(HLOOKUP(CT$15,Data_5!$F$10:$BG$42,$A23+2,FALSE)="NE","NE",IF(HLOOKUP(CT$15,Data_5!$F$10:$BG$42,$A23+2,FALSE)="C","C",IF(HLOOKUP(CT$15,Data_5!$F$10:$BG$42,$A23+2,FALSE)="NO","NO",HLOOKUP(CT$15,Data_5!$F$10:$BG$42,$A23+2,FALSE)/Data_5!$BK18))))),"")</f>
        <v>2.3142004837371681E-6</v>
      </c>
      <c r="CU23" s="1122" t="str">
        <f>IFERROR(IF(HLOOKUP(CU$15,Data_5!$F$10:$BG$42,$A23+2,FALSE)="NO","NO",IF(HLOOKUP(CU$15,Data_5!$F$10:$BG$42,$A23+2,FALSE)="IE","IE",IF(HLOOKUP(CU$15,Data_5!$F$10:$BG$42,$A23+2,FALSE)="NE","NE",IF(HLOOKUP(CU$15,Data_5!$F$10:$BG$42,$A23+2,FALSE)="C","C",IF(HLOOKUP(CU$15,Data_5!$F$10:$BG$42,$A23+2,FALSE)="NO","NO",HLOOKUP(CU$15,Data_5!$F$10:$BG$42,$A23+2,FALSE)/Data_5!$BK18))))),"")</f>
        <v>NO</v>
      </c>
      <c r="CV23" s="1122" t="str">
        <f>IFERROR(IF(HLOOKUP(CV$15,Data_5!$F$10:$BG$42,$A23+2,FALSE)="NO","NO",IF(HLOOKUP(CV$15,Data_5!$F$10:$BG$42,$A23+2,FALSE)="IE","IE",IF(HLOOKUP(CV$15,Data_5!$F$10:$BG$42,$A23+2,FALSE)="NE","NE",IF(HLOOKUP(CV$15,Data_5!$F$10:$BG$42,$A23+2,FALSE)="C","C",IF(HLOOKUP(CV$15,Data_5!$F$10:$BG$42,$A23+2,FALSE)="NO","NO",HLOOKUP(CV$15,Data_5!$F$10:$BG$42,$A23+2,FALSE)/Data_5!$BK18))))),"")</f>
        <v>NO</v>
      </c>
      <c r="CW23" s="1122" t="str">
        <f>IFERROR(IF(HLOOKUP(CW$15,Data_5!$F$10:$BG$42,$A23+2,FALSE)="NO","NO",IF(HLOOKUP(CW$15,Data_5!$F$10:$BG$42,$A23+2,FALSE)="IE","IE",IF(HLOOKUP(CW$15,Data_5!$F$10:$BG$42,$A23+2,FALSE)="NE","NE",IF(HLOOKUP(CW$15,Data_5!$F$10:$BG$42,$A23+2,FALSE)="C","C",IF(HLOOKUP(CW$15,Data_5!$F$10:$BG$42,$A23+2,FALSE)="NO","NO",HLOOKUP(CW$15,Data_5!$F$10:$BG$42,$A23+2,FALSE)/Data_5!$BK18))))),"")</f>
        <v>NO</v>
      </c>
      <c r="CX23" s="1122">
        <f>IFERROR(IF(HLOOKUP(CX$15,Data_5!$F$10:$BG$42,$A23+2,FALSE)="NO","NO",IF(HLOOKUP(CX$15,Data_5!$F$10:$BG$42,$A23+2,FALSE)="IE","IE",IF(HLOOKUP(CX$15,Data_5!$F$10:$BG$42,$A23+2,FALSE)="NE","NE",IF(HLOOKUP(CX$15,Data_5!$F$10:$BG$42,$A23+2,FALSE)="C","C",IF(HLOOKUP(CX$15,Data_5!$F$10:$BG$42,$A23+2,FALSE)="NO","NO",HLOOKUP(CX$15,Data_5!$F$10:$BG$42,$A23+2,FALSE)/Data_5!$BK18))))),"")</f>
        <v>0.58702549485177913</v>
      </c>
      <c r="CY23" s="1122" t="str">
        <f>IFERROR(IF(HLOOKUP(CY$15,Data_5!$F$10:$BG$42,$A23+2,FALSE)="NO","NO",IF(HLOOKUP(CY$15,Data_5!$F$10:$BG$42,$A23+2,FALSE)="IE","IE",IF(HLOOKUP(CY$15,Data_5!$F$10:$BG$42,$A23+2,FALSE)="NE","NE",IF(HLOOKUP(CY$15,Data_5!$F$10:$BG$42,$A23+2,FALSE)="C","C",IF(HLOOKUP(CY$15,Data_5!$F$10:$BG$42,$A23+2,FALSE)="NO","NO",HLOOKUP(CY$15,Data_5!$F$10:$BG$42,$A23+2,FALSE)/Data_5!$BK18))))),"")</f>
        <v>NO</v>
      </c>
      <c r="CZ23" s="1122" t="str">
        <f>IFERROR(IF(HLOOKUP(CZ$15,Data_5!$F$10:$BG$42,$A23+2,FALSE)="NO","NO",IF(HLOOKUP(CZ$15,Data_5!$F$10:$BG$42,$A23+2,FALSE)="IE","IE",IF(HLOOKUP(CZ$15,Data_5!$F$10:$BG$42,$A23+2,FALSE)="NE","NE",IF(HLOOKUP(CZ$15,Data_5!$F$10:$BG$42,$A23+2,FALSE)="C","C",IF(HLOOKUP(CZ$15,Data_5!$F$10:$BG$42,$A23+2,FALSE)="NO","NO",HLOOKUP(CZ$15,Data_5!$F$10:$BG$42,$A23+2,FALSE)/Data_5!$BK18))))),"")</f>
        <v>IE</v>
      </c>
      <c r="DA23" s="1122" t="str">
        <f>IFERROR(IF(HLOOKUP(DA$15,Data_5!$F$10:$BG$42,$A23+2,FALSE)="NO","NO",IF(HLOOKUP(DA$15,Data_5!$F$10:$BG$42,$A23+2,FALSE)="IE","IE",IF(HLOOKUP(DA$15,Data_5!$F$10:$BG$42,$A23+2,FALSE)="NE","NE",IF(HLOOKUP(DA$15,Data_5!$F$10:$BG$42,$A23+2,FALSE)="C","C",IF(HLOOKUP(DA$15,Data_5!$F$10:$BG$42,$A23+2,FALSE)="NO","NO",HLOOKUP(DA$15,Data_5!$F$10:$BG$42,$A23+2,FALSE)/Data_5!$BK18))))),"")</f>
        <v>IE</v>
      </c>
      <c r="DB23" s="1122" t="str">
        <f>IFERROR(IF(HLOOKUP(DB$15,Data_5!$F$10:$BG$42,$A23+2,FALSE)="NO","NO",IF(HLOOKUP(DB$15,Data_5!$F$10:$BG$42,$A23+2,FALSE)="IE","IE",IF(HLOOKUP(DB$15,Data_5!$F$10:$BG$42,$A23+2,FALSE)="NE","NE",IF(HLOOKUP(DB$15,Data_5!$F$10:$BG$42,$A23+2,FALSE)="C","C",IF(HLOOKUP(DB$15,Data_5!$F$10:$BG$42,$A23+2,FALSE)="NO","NO",HLOOKUP(DB$15,Data_5!$F$10:$BG$42,$A23+2,FALSE)/Data_5!$BK18))))),"")</f>
        <v>IE</v>
      </c>
      <c r="DC23" s="1122">
        <f>IFERROR(IF(HLOOKUP(DC$15,Data_5!$F$10:$BG$42,$A23+2,FALSE)="NO","NO",IF(HLOOKUP(DC$15,Data_5!$F$10:$BG$42,$A23+2,FALSE)="IE","IE",IF(HLOOKUP(DC$15,Data_5!$F$10:$BG$42,$A23+2,FALSE)="NE","NE",IF(HLOOKUP(DC$15,Data_5!$F$10:$BG$42,$A23+2,FALSE)="C","C",IF(HLOOKUP(DC$15,Data_5!$F$10:$BG$42,$A23+2,FALSE)="NO","NO",HLOOKUP(DC$15,Data_5!$F$10:$BG$42,$A23+2,FALSE)/Data_5!$BK18))))),"")</f>
        <v>0.23367307115180241</v>
      </c>
      <c r="DD23" s="1122" t="str">
        <f>IFERROR(IF(HLOOKUP(DD$15,Data_5!$F$10:$BG$42,$A23+2,FALSE)="NO","NO",IF(HLOOKUP(DD$15,Data_5!$F$10:$BG$42,$A23+2,FALSE)="IE","IE",IF(HLOOKUP(DD$15,Data_5!$F$10:$BG$42,$A23+2,FALSE)="NE","NE",IF(HLOOKUP(DD$15,Data_5!$F$10:$BG$42,$A23+2,FALSE)="C","C",IF(HLOOKUP(DD$15,Data_5!$F$10:$BG$42,$A23+2,FALSE)="NO","NO",HLOOKUP(DD$15,Data_5!$F$10:$BG$42,$A23+2,FALSE)/Data_5!$BK18))))),"")</f>
        <v>IE</v>
      </c>
      <c r="DE23" s="1122" t="str">
        <f>IFERROR(IF(HLOOKUP(DE$15,Data_5!$F$10:$BG$42,$A23+2,FALSE)="NO","NO",IF(HLOOKUP(DE$15,Data_5!$F$10:$BG$42,$A23+2,FALSE)="IE","IE",IF(HLOOKUP(DE$15,Data_5!$F$10:$BG$42,$A23+2,FALSE)="NE","NE",IF(HLOOKUP(DE$15,Data_5!$F$10:$BG$42,$A23+2,FALSE)="C","C",IF(HLOOKUP(DE$15,Data_5!$F$10:$BG$42,$A23+2,FALSE)="NO","NO",HLOOKUP(DE$15,Data_5!$F$10:$BG$42,$A23+2,FALSE)/Data_5!$BK18))))),"")</f>
        <v>NO</v>
      </c>
      <c r="DF23" s="1122" t="str">
        <f>IFERROR(IF(HLOOKUP(DF$15,Data_5!$F$10:$BG$42,$A23+2,FALSE)="NO","NO",IF(HLOOKUP(DF$15,Data_5!$F$10:$BG$42,$A23+2,FALSE)="IE","IE",IF(HLOOKUP(DF$15,Data_5!$F$10:$BG$42,$A23+2,FALSE)="NE","NE",IF(HLOOKUP(DF$15,Data_5!$F$10:$BG$42,$A23+2,FALSE)="C","C",IF(HLOOKUP(DF$15,Data_5!$F$10:$BG$42,$A23+2,FALSE)="NO","NO",HLOOKUP(DF$15,Data_5!$F$10:$BG$42,$A23+2,FALSE)/Data_5!$BK18))))),"")</f>
        <v>NO</v>
      </c>
      <c r="DG23" s="1122" t="str">
        <f>IFERROR(IF(HLOOKUP(DG$15,Data_5!$F$10:$BG$42,$A23+2,FALSE)="NO","NO",IF(HLOOKUP(DG$15,Data_5!$F$10:$BG$42,$A23+2,FALSE)="IE","IE",IF(HLOOKUP(DG$15,Data_5!$F$10:$BG$42,$A23+2,FALSE)="NE","NE",IF(HLOOKUP(DG$15,Data_5!$F$10:$BG$42,$A23+2,FALSE)="C","C",IF(HLOOKUP(DG$15,Data_5!$F$10:$BG$42,$A23+2,FALSE)="NO","NO",HLOOKUP(DG$15,Data_5!$F$10:$BG$42,$A23+2,FALSE)/Data_5!$BK18))))),"")</f>
        <v>NO</v>
      </c>
      <c r="DH23" s="1122" t="str">
        <f>IFERROR(IF(HLOOKUP(DH$15,Data_5!$F$10:$BG$42,$A23+2,FALSE)="NO","NO",IF(HLOOKUP(DH$15,Data_5!$F$10:$BG$42,$A23+2,FALSE)="IE","IE",IF(HLOOKUP(DH$15,Data_5!$F$10:$BG$42,$A23+2,FALSE)="NE","NE",IF(HLOOKUP(DH$15,Data_5!$F$10:$BG$42,$A23+2,FALSE)="C","C",IF(HLOOKUP(DH$15,Data_5!$F$10:$BG$42,$A23+2,FALSE)="NO","NO",HLOOKUP(DH$15,Data_5!$F$10:$BG$42,$A23+2,FALSE)/Data_5!$BK18))))),"")</f>
        <v>NO</v>
      </c>
      <c r="DI23" s="1122">
        <f>IFERROR(IF(HLOOKUP(DI$15,Data_5!$F$10:$BG$42,$A23+2,FALSE)="NO","NO",IF(HLOOKUP(DI$15,Data_5!$F$10:$BG$42,$A23+2,FALSE)="IE","IE",IF(HLOOKUP(DI$15,Data_5!$F$10:$BG$42,$A23+2,FALSE)="NE","NE",IF(HLOOKUP(DI$15,Data_5!$F$10:$BG$42,$A23+2,FALSE)="C","C",IF(HLOOKUP(DI$15,Data_5!$F$10:$BG$42,$A23+2,FALSE)="NO","NO",HLOOKUP(DI$15,Data_5!$F$10:$BG$42,$A23+2,FALSE)/Data_5!$BK18))))),"")</f>
        <v>1.4074074349293163E-2</v>
      </c>
      <c r="DJ23" s="1122" t="str">
        <f>IFERROR(IF(HLOOKUP(DJ$15,Data_5!$F$10:$BG$42,$A23+2,FALSE)="NO","NO",IF(HLOOKUP(DJ$15,Data_5!$F$10:$BG$42,$A23+2,FALSE)="IE","IE",IF(HLOOKUP(DJ$15,Data_5!$F$10:$BG$42,$A23+2,FALSE)="NE","NE",IF(HLOOKUP(DJ$15,Data_5!$F$10:$BG$42,$A23+2,FALSE)="C","C",IF(HLOOKUP(DJ$15,Data_5!$F$10:$BG$42,$A23+2,FALSE)="NO","NO",HLOOKUP(DJ$15,Data_5!$F$10:$BG$42,$A23+2,FALSE)/Data_5!$BK18))))),"")</f>
        <v>IE</v>
      </c>
      <c r="DK23" s="1122" t="str">
        <f>IFERROR(IF(HLOOKUP(DK$15,Data_5!$F$10:$BG$42,$A23+2,FALSE)="NO","NO",IF(HLOOKUP(DK$15,Data_5!$F$10:$BG$42,$A23+2,FALSE)="IE","IE",IF(HLOOKUP(DK$15,Data_5!$F$10:$BG$42,$A23+2,FALSE)="NE","NE",IF(HLOOKUP(DK$15,Data_5!$F$10:$BG$42,$A23+2,FALSE)="C","C",IF(HLOOKUP(DK$15,Data_5!$F$10:$BG$42,$A23+2,FALSE)="NO","NO",HLOOKUP(DK$15,Data_5!$F$10:$BG$42,$A23+2,FALSE)/Data_5!$BK18))))),"")</f>
        <v>NE</v>
      </c>
      <c r="DL23" s="1122" t="str">
        <f>IFERROR(IF(HLOOKUP(DL$15,Data_5!$F$10:$BG$42,$A23+2,FALSE)="NO","NO",IF(HLOOKUP(DL$15,Data_5!$F$10:$BG$42,$A23+2,FALSE)="IE","IE",IF(HLOOKUP(DL$15,Data_5!$F$10:$BG$42,$A23+2,FALSE)="NE","NE",IF(HLOOKUP(DL$15,Data_5!$F$10:$BG$42,$A23+2,FALSE)="C","C",IF(HLOOKUP(DL$15,Data_5!$F$10:$BG$42,$A23+2,FALSE)="NO","NO",HLOOKUP(DL$15,Data_5!$F$10:$BG$42,$A23+2,FALSE)/Data_5!$BK18))))),"")</f>
        <v>NE</v>
      </c>
      <c r="DM23" s="1122" t="str">
        <f>IFERROR(IF(HLOOKUP(DM$15,Data_5!$F$10:$BG$42,$A23+2,FALSE)="NO","NO",IF(HLOOKUP(DM$15,Data_5!$F$10:$BG$42,$A23+2,FALSE)="IE","IE",IF(HLOOKUP(DM$15,Data_5!$F$10:$BG$42,$A23+2,FALSE)="NE","NE",IF(HLOOKUP(DM$15,Data_5!$F$10:$BG$42,$A23+2,FALSE)="C","C",IF(HLOOKUP(DM$15,Data_5!$F$10:$BG$42,$A23+2,FALSE)="NO","NO",HLOOKUP(DM$15,Data_5!$F$10:$BG$42,$A23+2,FALSE)/Data_5!$BK18))))),"")</f>
        <v>NE</v>
      </c>
      <c r="DN23" s="1122" t="str">
        <f>IFERROR(IF(HLOOKUP(DN$15,Data_5!$F$10:$BG$42,$A23+2,FALSE)="NO","NO",IF(HLOOKUP(DN$15,Data_5!$F$10:$BG$42,$A23+2,FALSE)="IE","IE",IF(HLOOKUP(DN$15,Data_5!$F$10:$BG$42,$A23+2,FALSE)="NE","NE",IF(HLOOKUP(DN$15,Data_5!$F$10:$BG$42,$A23+2,FALSE)="C","C",IF(HLOOKUP(DN$15,Data_5!$F$10:$BG$42,$A23+2,FALSE)="NO","NO",HLOOKUP(DN$15,Data_5!$F$10:$BG$42,$A23+2,FALSE)/Data_5!$BK18))))),"")</f>
        <v>NE</v>
      </c>
      <c r="DO23" s="1122" t="str">
        <f>IFERROR(IF(HLOOKUP(DO$15,Data_5!$F$10:$BG$42,$A23+2,FALSE)="NO","NO",IF(HLOOKUP(DO$15,Data_5!$F$10:$BG$42,$A23+2,FALSE)="IE","IE",IF(HLOOKUP(DO$15,Data_5!$F$10:$BG$42,$A23+2,FALSE)="NE","NE",IF(HLOOKUP(DO$15,Data_5!$F$10:$BG$42,$A23+2,FALSE)="C","C",IF(HLOOKUP(DO$15,Data_5!$F$10:$BG$42,$A23+2,FALSE)="NO","NO",HLOOKUP(DO$15,Data_5!$F$10:$BG$42,$A23+2,FALSE)/Data_5!$BK18))))),"")</f>
        <v>NE</v>
      </c>
    </row>
    <row r="24" spans="1:119" s="15" customFormat="1" ht="15" customHeight="1">
      <c r="A24" s="1789">
        <v>8</v>
      </c>
      <c r="B24" s="2628" t="str">
        <f>IF(Data_5!B19&lt;&gt;"",Data_5!B19,"")</f>
        <v>Chicago</v>
      </c>
      <c r="C24" s="2629"/>
      <c r="D24" s="1462">
        <f>IFERROR(VLOOKUP($B24,Data_5!$B$12:$C$42,2,FALSE),"")</f>
        <v>2010</v>
      </c>
      <c r="E24" s="1122">
        <f>IFERROR(IF(HLOOKUP(E$15,Data_5!$F$10:$BG$42,$A24+2,FALSE)="NO","NO",IF(HLOOKUP(E$15,Data_5!$F$10:$BG$42,$A24+2,FALSE)="IE","IE",IF(HLOOKUP(E$15,Data_5!$F$10:$BG$42,$A24+2,FALSE)="NE","NE",IF(HLOOKUP(E$15,Data_5!$F$10:$BG$42,$A24+2,FALSE)="C","C",IF(HLOOKUP(E$15,Data_5!$F$10:$BG$42,$A24+2,FALSE)="NO","NO",HLOOKUP(E$15,Data_5!$F$10:$BG$42,$A24+2,FALSE)/Data_5!$BH19))))),"")</f>
        <v>0.17163663695750264</v>
      </c>
      <c r="F24" s="1122">
        <f>IFERROR(IF(HLOOKUP(F$15,Data_5!$F$10:$BG$42,$A24+2,FALSE)="NO","NO",IF(HLOOKUP(F$15,Data_5!$F$10:$BG$42,$A24+2,FALSE)="IE","IE",IF(HLOOKUP(F$15,Data_5!$F$10:$BG$42,$A24+2,FALSE)="NE","NE",IF(HLOOKUP(F$15,Data_5!$F$10:$BG$42,$A24+2,FALSE)="C","C",IF(HLOOKUP(F$15,Data_5!$F$10:$BG$42,$A24+2,FALSE)="NO","NO",HLOOKUP(F$15,Data_5!$F$10:$BG$42,$A24+2,FALSE)/Data_5!$BH19))))),"")</f>
        <v>0.12201025071503961</v>
      </c>
      <c r="G24" s="1122">
        <f>IFERROR(IF(HLOOKUP(G$15,Data_5!$F$10:$BG$42,$A24+2,FALSE)="NO","NO",IF(HLOOKUP(G$15,Data_5!$F$10:$BG$42,$A24+2,FALSE)="IE","IE",IF(HLOOKUP(G$15,Data_5!$F$10:$BG$42,$A24+2,FALSE)="NE","NE",IF(HLOOKUP(G$15,Data_5!$F$10:$BG$42,$A24+2,FALSE)="C","C",IF(HLOOKUP(G$15,Data_5!$F$10:$BG$42,$A24+2,FALSE)="NO","NO",HLOOKUP(G$15,Data_5!$F$10:$BG$42,$A24+2,FALSE)/Data_5!$BH19))))),"")</f>
        <v>9.000307218096508E-2</v>
      </c>
      <c r="H24" s="1122">
        <f>IFERROR(IF(HLOOKUP(H$15,Data_5!$F$10:$BG$42,$A24+2,FALSE)="NO","NO",IF(HLOOKUP(H$15,Data_5!$F$10:$BG$42,$A24+2,FALSE)="IE","IE",IF(HLOOKUP(H$15,Data_5!$F$10:$BG$42,$A24+2,FALSE)="NE","NE",IF(HLOOKUP(H$15,Data_5!$F$10:$BG$42,$A24+2,FALSE)="C","C",IF(HLOOKUP(H$15,Data_5!$F$10:$BG$42,$A24+2,FALSE)="NO","NO",HLOOKUP(H$15,Data_5!$F$10:$BG$42,$A24+2,FALSE)/Data_5!$BH19))))),"")</f>
        <v>0.32276038570328847</v>
      </c>
      <c r="I24" s="1122">
        <f>IFERROR(IF(HLOOKUP(I$15,Data_5!$F$10:$BG$42,$A24+2,FALSE)="NO","NO",IF(HLOOKUP(I$15,Data_5!$F$10:$BG$42,$A24+2,FALSE)="IE","IE",IF(HLOOKUP(I$15,Data_5!$F$10:$BG$42,$A24+2,FALSE)="NE","NE",IF(HLOOKUP(I$15,Data_5!$F$10:$BG$42,$A24+2,FALSE)="C","C",IF(HLOOKUP(I$15,Data_5!$F$10:$BG$42,$A24+2,FALSE)="NO","NO",HLOOKUP(I$15,Data_5!$F$10:$BG$42,$A24+2,FALSE)/Data_5!$BH19))))),"")</f>
        <v>4.0570859331952647E-2</v>
      </c>
      <c r="J24" s="1122" t="str">
        <f>IFERROR(IF(HLOOKUP(J$15,Data_5!$F$10:$BG$42,$A24+2,FALSE)="NO","NO",IF(HLOOKUP(J$15,Data_5!$F$10:$BG$42,$A24+2,FALSE)="IE","IE",IF(HLOOKUP(J$15,Data_5!$F$10:$BG$42,$A24+2,FALSE)="NE","NE",IF(HLOOKUP(J$15,Data_5!$F$10:$BG$42,$A24+2,FALSE)="C","C",IF(HLOOKUP(J$15,Data_5!$F$10:$BG$42,$A24+2,FALSE)="NO","NO",HLOOKUP(J$15,Data_5!$F$10:$BG$42,$A24+2,FALSE)/Data_5!$BH19))))),"")</f>
        <v>IE</v>
      </c>
      <c r="K24" s="1122" t="str">
        <f>IFERROR(IF(HLOOKUP(K$15,Data_5!$F$10:$BG$42,$A24+2,FALSE)="NO","NO",IF(HLOOKUP(K$15,Data_5!$F$10:$BG$42,$A24+2,FALSE)="IE","IE",IF(HLOOKUP(K$15,Data_5!$F$10:$BG$42,$A24+2,FALSE)="NE","NE",IF(HLOOKUP(K$15,Data_5!$F$10:$BG$42,$A24+2,FALSE)="C","C",IF(HLOOKUP(K$15,Data_5!$F$10:$BG$42,$A24+2,FALSE)="NO","NO",HLOOKUP(K$15,Data_5!$F$10:$BG$42,$A24+2,FALSE)/Data_5!$BH19))))),"")</f>
        <v>NO</v>
      </c>
      <c r="L24" s="1122" t="str">
        <f>IFERROR(IF(HLOOKUP(L$15,Data_5!$F$10:$BG$42,$A24+2,FALSE)="NO","NO",IF(HLOOKUP(L$15,Data_5!$F$10:$BG$42,$A24+2,FALSE)="IE","IE",IF(HLOOKUP(L$15,Data_5!$F$10:$BG$42,$A24+2,FALSE)="NE","NE",IF(HLOOKUP(L$15,Data_5!$F$10:$BG$42,$A24+2,FALSE)="C","C",IF(HLOOKUP(L$15,Data_5!$F$10:$BG$42,$A24+2,FALSE)="NO","NO",HLOOKUP(L$15,Data_5!$F$10:$BG$42,$A24+2,FALSE)/Data_5!$BH19))))),"")</f>
        <v>NO</v>
      </c>
      <c r="M24" s="1122" t="str">
        <f>IFERROR(IF(HLOOKUP(M$15,Data_5!$F$10:$BG$42,$A24+2,FALSE)="NO","NO",IF(HLOOKUP(M$15,Data_5!$F$10:$BG$42,$A24+2,FALSE)="IE","IE",IF(HLOOKUP(M$15,Data_5!$F$10:$BG$42,$A24+2,FALSE)="NE","NE",IF(HLOOKUP(M$15,Data_5!$F$10:$BG$42,$A24+2,FALSE)="C","C",IF(HLOOKUP(M$15,Data_5!$F$10:$BG$42,$A24+2,FALSE)="NO","NO",HLOOKUP(M$15,Data_5!$F$10:$BG$42,$A24+2,FALSE)/Data_5!$BH19))))),"")</f>
        <v>NO</v>
      </c>
      <c r="N24" s="1122" t="str">
        <f>IFERROR(IF(HLOOKUP(N$15,Data_5!$F$10:$BG$42,$A24+2,FALSE)="NO","NO",IF(HLOOKUP(N$15,Data_5!$F$10:$BG$42,$A24+2,FALSE)="IE","IE",IF(HLOOKUP(N$15,Data_5!$F$10:$BG$42,$A24+2,FALSE)="NE","NE",IF(HLOOKUP(N$15,Data_5!$F$10:$BG$42,$A24+2,FALSE)="C","C",IF(HLOOKUP(N$15,Data_5!$F$10:$BG$42,$A24+2,FALSE)="NO","NO",HLOOKUP(N$15,Data_5!$F$10:$BG$42,$A24+2,FALSE)/Data_5!$BH19))))),"")</f>
        <v>NO</v>
      </c>
      <c r="O24" s="1122" t="str">
        <f>IFERROR(IF(HLOOKUP(O$15,Data_5!$F$10:$BG$42,$A24+2,FALSE)="NO","NO",IF(HLOOKUP(O$15,Data_5!$F$10:$BG$42,$A24+2,FALSE)="IE","IE",IF(HLOOKUP(O$15,Data_5!$F$10:$BG$42,$A24+2,FALSE)="NE","NE",IF(HLOOKUP(O$15,Data_5!$F$10:$BG$42,$A24+2,FALSE)="C","C",IF(HLOOKUP(O$15,Data_5!$F$10:$BG$42,$A24+2,FALSE)="NO","NO",HLOOKUP(O$15,Data_5!$F$10:$BG$42,$A24+2,FALSE)/Data_5!$BH19))))),"")</f>
        <v>NO</v>
      </c>
      <c r="P24" s="1122" t="str">
        <f>IFERROR(IF(HLOOKUP(P$15,Data_5!$F$10:$BG$42,$A24+2,FALSE)="NO","NO",IF(HLOOKUP(P$15,Data_5!$F$10:$BG$42,$A24+2,FALSE)="IE","IE",IF(HLOOKUP(P$15,Data_5!$F$10:$BG$42,$A24+2,FALSE)="NE","NE",IF(HLOOKUP(P$15,Data_5!$F$10:$BG$42,$A24+2,FALSE)="C","C",IF(HLOOKUP(P$15,Data_5!$F$10:$BG$42,$A24+2,FALSE)="NO","NO",HLOOKUP(P$15,Data_5!$F$10:$BG$42,$A24+2,FALSE)/Data_5!$BH19))))),"")</f>
        <v>NO</v>
      </c>
      <c r="Q24" s="1122" t="str">
        <f>IFERROR(IF(HLOOKUP(Q$15,Data_5!$F$10:$BG$42,$A24+2,FALSE)="NO","NO",IF(HLOOKUP(Q$15,Data_5!$F$10:$BG$42,$A24+2,FALSE)="IE","IE",IF(HLOOKUP(Q$15,Data_5!$F$10:$BG$42,$A24+2,FALSE)="NE","NE",IF(HLOOKUP(Q$15,Data_5!$F$10:$BG$42,$A24+2,FALSE)="C","C",IF(HLOOKUP(Q$15,Data_5!$F$10:$BG$42,$A24+2,FALSE)="NO","NO",HLOOKUP(Q$15,Data_5!$F$10:$BG$42,$A24+2,FALSE)/Data_5!$BH19))))),"")</f>
        <v>NO</v>
      </c>
      <c r="R24" s="1122" t="str">
        <f>IFERROR(IF(HLOOKUP(R$15,Data_5!$F$10:$BG$42,$A24+2,FALSE)="NO","NO",IF(HLOOKUP(R$15,Data_5!$F$10:$BG$42,$A24+2,FALSE)="IE","IE",IF(HLOOKUP(R$15,Data_5!$F$10:$BG$42,$A24+2,FALSE)="NE","NE",IF(HLOOKUP(R$15,Data_5!$F$10:$BG$42,$A24+2,FALSE)="C","C",IF(HLOOKUP(R$15,Data_5!$F$10:$BG$42,$A24+2,FALSE)="NO","NO",HLOOKUP(R$15,Data_5!$F$10:$BG$42,$A24+2,FALSE)/Data_5!$BH19))))),"")</f>
        <v>NE</v>
      </c>
      <c r="S24" s="1122">
        <f>IFERROR(IF(HLOOKUP(S$15,Data_5!$F$10:$BG$42,$A24+2,FALSE)="NO","NO",IF(HLOOKUP(S$15,Data_5!$F$10:$BG$42,$A24+2,FALSE)="IE","IE",IF(HLOOKUP(S$15,Data_5!$F$10:$BG$42,$A24+2,FALSE)="NE","NE",IF(HLOOKUP(S$15,Data_5!$F$10:$BG$42,$A24+2,FALSE)="C","C",IF(HLOOKUP(S$15,Data_5!$F$10:$BG$42,$A24+2,FALSE)="NO","NO",HLOOKUP(S$15,Data_5!$F$10:$BG$42,$A24+2,FALSE)/Data_5!$BH19))))),"")</f>
        <v>0.20370504175270218</v>
      </c>
      <c r="T24" s="1122" t="str">
        <f>IFERROR(IF(HLOOKUP(T$15,Data_5!$F$10:$BG$42,$A24+2,FALSE)="NO","NO",IF(HLOOKUP(T$15,Data_5!$F$10:$BG$42,$A24+2,FALSE)="IE","IE",IF(HLOOKUP(T$15,Data_5!$F$10:$BG$42,$A24+2,FALSE)="NE","NE",IF(HLOOKUP(T$15,Data_5!$F$10:$BG$42,$A24+2,FALSE)="C","C",IF(HLOOKUP(T$15,Data_5!$F$10:$BG$42,$A24+2,FALSE)="NO","NO",HLOOKUP(T$15,Data_5!$F$10:$BG$42,$A24+2,FALSE)/Data_5!$BH19))))),"")</f>
        <v>IE</v>
      </c>
      <c r="U24" s="1122">
        <f>IFERROR(IF(HLOOKUP(U$15,Data_5!$F$10:$BG$42,$A24+2,FALSE)="NO","NO",IF(HLOOKUP(U$15,Data_5!$F$10:$BG$42,$A24+2,FALSE)="IE","IE",IF(HLOOKUP(U$15,Data_5!$F$10:$BG$42,$A24+2,FALSE)="NE","NE",IF(HLOOKUP(U$15,Data_5!$F$10:$BG$42,$A24+2,FALSE)="C","C",IF(HLOOKUP(U$15,Data_5!$F$10:$BG$42,$A24+2,FALSE)="NO","NO",HLOOKUP(U$15,Data_5!$F$10:$BG$42,$A24+2,FALSE)/Data_5!$BH19))))),"")</f>
        <v>1.8795915557620871E-3</v>
      </c>
      <c r="V24" s="1122">
        <f>IFERROR(IF(HLOOKUP(V$15,Data_5!$F$10:$BG$42,$A24+2,FALSE)="NO","NO",IF(HLOOKUP(V$15,Data_5!$F$10:$BG$42,$A24+2,FALSE)="IE","IE",IF(HLOOKUP(V$15,Data_5!$F$10:$BG$42,$A24+2,FALSE)="NE","NE",IF(HLOOKUP(V$15,Data_5!$F$10:$BG$42,$A24+2,FALSE)="C","C",IF(HLOOKUP(V$15,Data_5!$F$10:$BG$42,$A24+2,FALSE)="NO","NO",HLOOKUP(V$15,Data_5!$F$10:$BG$42,$A24+2,FALSE)/Data_5!$BH19))))),"")</f>
        <v>7.5546081371440513E-3</v>
      </c>
      <c r="W24" s="1122">
        <f>IFERROR(IF(HLOOKUP(W$15,Data_5!$F$10:$BG$42,$A24+2,FALSE)="NO","NO",IF(HLOOKUP(W$15,Data_5!$F$10:$BG$42,$A24+2,FALSE)="IE","IE",IF(HLOOKUP(W$15,Data_5!$F$10:$BG$42,$A24+2,FALSE)="NE","NE",IF(HLOOKUP(W$15,Data_5!$F$10:$BG$42,$A24+2,FALSE)="C","C",IF(HLOOKUP(W$15,Data_5!$F$10:$BG$42,$A24+2,FALSE)="NO","NO",HLOOKUP(W$15,Data_5!$F$10:$BG$42,$A24+2,FALSE)/Data_5!$BH19))))),"")</f>
        <v>7.4137247787220174E-6</v>
      </c>
      <c r="X24" s="1122" t="str">
        <f>IFERROR(IF(HLOOKUP(X$15,Data_5!$F$10:$BG$42,$A24+2,FALSE)="NO","NO",IF(HLOOKUP(X$15,Data_5!$F$10:$BG$42,$A24+2,FALSE)="IE","IE",IF(HLOOKUP(X$15,Data_5!$F$10:$BG$42,$A24+2,FALSE)="NE","NE",IF(HLOOKUP(X$15,Data_5!$F$10:$BG$42,$A24+2,FALSE)="C","C",IF(HLOOKUP(X$15,Data_5!$F$10:$BG$42,$A24+2,FALSE)="NO","NO",HLOOKUP(X$15,Data_5!$F$10:$BG$42,$A24+2,FALSE)/Data_5!$BH19))))),"")</f>
        <v>NO</v>
      </c>
      <c r="Y24" s="1122" t="str">
        <f>IFERROR(IF(HLOOKUP(Y$15,Data_5!$F$10:$BG$42,$A24+2,FALSE)="NO","NO",IF(HLOOKUP(Y$15,Data_5!$F$10:$BG$42,$A24+2,FALSE)="IE","IE",IF(HLOOKUP(Y$15,Data_5!$F$10:$BG$42,$A24+2,FALSE)="NE","NE",IF(HLOOKUP(Y$15,Data_5!$F$10:$BG$42,$A24+2,FALSE)="C","C",IF(HLOOKUP(Y$15,Data_5!$F$10:$BG$42,$A24+2,FALSE)="NO","NO",HLOOKUP(Y$15,Data_5!$F$10:$BG$42,$A24+2,FALSE)/Data_5!$BH19))))),"")</f>
        <v>NO</v>
      </c>
      <c r="Z24" s="1122" t="str">
        <f>IFERROR(IF(HLOOKUP(Z$15,Data_5!$F$10:$BG$42,$A24+2,FALSE)="NO","NO",IF(HLOOKUP(Z$15,Data_5!$F$10:$BG$42,$A24+2,FALSE)="IE","IE",IF(HLOOKUP(Z$15,Data_5!$F$10:$BG$42,$A24+2,FALSE)="NE","NE",IF(HLOOKUP(Z$15,Data_5!$F$10:$BG$42,$A24+2,FALSE)="C","C",IF(HLOOKUP(Z$15,Data_5!$F$10:$BG$42,$A24+2,FALSE)="NO","NO",HLOOKUP(Z$15,Data_5!$F$10:$BG$42,$A24+2,FALSE)/Data_5!$BH19))))),"")</f>
        <v>NO</v>
      </c>
      <c r="AA24" s="1122">
        <f>IFERROR(IF(HLOOKUP(AA$15,Data_5!$F$10:$BG$42,$A24+2,FALSE)="NO","NO",IF(HLOOKUP(AA$15,Data_5!$F$10:$BG$42,$A24+2,FALSE)="IE","IE",IF(HLOOKUP(AA$15,Data_5!$F$10:$BG$42,$A24+2,FALSE)="NE","NE",IF(HLOOKUP(AA$15,Data_5!$F$10:$BG$42,$A24+2,FALSE)="C","C",IF(HLOOKUP(AA$15,Data_5!$F$10:$BG$42,$A24+2,FALSE)="NO","NO",HLOOKUP(AA$15,Data_5!$F$10:$BG$42,$A24+2,FALSE)/Data_5!$BH19))))),"")</f>
        <v>3.0382113096605833E-5</v>
      </c>
      <c r="AB24" s="1122" t="str">
        <f>IFERROR(IF(HLOOKUP(AB$15,Data_5!$F$10:$BG$42,$A24+2,FALSE)="NO","NO",IF(HLOOKUP(AB$15,Data_5!$F$10:$BG$42,$A24+2,FALSE)="IE","IE",IF(HLOOKUP(AB$15,Data_5!$F$10:$BG$42,$A24+2,FALSE)="NE","NE",IF(HLOOKUP(AB$15,Data_5!$F$10:$BG$42,$A24+2,FALSE)="C","C",IF(HLOOKUP(AB$15,Data_5!$F$10:$BG$42,$A24+2,FALSE)="NO","NO",HLOOKUP(AB$15,Data_5!$F$10:$BG$42,$A24+2,FALSE)/Data_5!$BH19))))),"")</f>
        <v>NO</v>
      </c>
      <c r="AC24" s="1122">
        <f>IFERROR(IF(HLOOKUP(AC$15,Data_5!$F$10:$BG$42,$A24+2,FALSE)="NO","NO",IF(HLOOKUP(AC$15,Data_5!$F$10:$BG$42,$A24+2,FALSE)="IE","IE",IF(HLOOKUP(AC$15,Data_5!$F$10:$BG$42,$A24+2,FALSE)="NE","NE",IF(HLOOKUP(AC$15,Data_5!$F$10:$BG$42,$A24+2,FALSE)="C","C",IF(HLOOKUP(AC$15,Data_5!$F$10:$BG$42,$A24+2,FALSE)="NO","NO",HLOOKUP(AC$15,Data_5!$F$10:$BG$42,$A24+2,FALSE)/Data_5!$BH19))))),"")</f>
        <v>3.8784235535689236E-2</v>
      </c>
      <c r="AD24" s="1122" t="str">
        <f>IFERROR(IF(HLOOKUP(AD$15,Data_5!$F$10:$BG$42,$A24+2,FALSE)="NO","NO",IF(HLOOKUP(AD$15,Data_5!$F$10:$BG$42,$A24+2,FALSE)="IE","IE",IF(HLOOKUP(AD$15,Data_5!$F$10:$BG$42,$A24+2,FALSE)="NE","NE",IF(HLOOKUP(AD$15,Data_5!$F$10:$BG$42,$A24+2,FALSE)="C","C",IF(HLOOKUP(AD$15,Data_5!$F$10:$BG$42,$A24+2,FALSE)="NO","NO",HLOOKUP(AD$15,Data_5!$F$10:$BG$42,$A24+2,FALSE)/Data_5!$BH19))))),"")</f>
        <v>NO</v>
      </c>
      <c r="AE24" s="1122" t="str">
        <f>IFERROR(IF(HLOOKUP(AE$15,Data_5!$F$10:$BG$42,$A24+2,FALSE)="NO","NO",IF(HLOOKUP(AE$15,Data_5!$F$10:$BG$42,$A24+2,FALSE)="IE","IE",IF(HLOOKUP(AE$15,Data_5!$F$10:$BG$42,$A24+2,FALSE)="NE","NE",IF(HLOOKUP(AE$15,Data_5!$F$10:$BG$42,$A24+2,FALSE)="C","C",IF(HLOOKUP(AE$15,Data_5!$F$10:$BG$42,$A24+2,FALSE)="NO","NO",HLOOKUP(AE$15,Data_5!$F$10:$BG$42,$A24+2,FALSE)/Data_5!$BH19))))),"")</f>
        <v>NO</v>
      </c>
      <c r="AF24" s="1122" t="str">
        <f>IFERROR(IF(HLOOKUP(AF$15,Data_5!$F$10:$BG$42,$A24+2,FALSE)="NO","NO",IF(HLOOKUP(AF$15,Data_5!$F$10:$BG$42,$A24+2,FALSE)="IE","IE",IF(HLOOKUP(AF$15,Data_5!$F$10:$BG$42,$A24+2,FALSE)="NE","NE",IF(HLOOKUP(AF$15,Data_5!$F$10:$BG$42,$A24+2,FALSE)="C","C",IF(HLOOKUP(AF$15,Data_5!$F$10:$BG$42,$A24+2,FALSE)="NO","NO",HLOOKUP(AF$15,Data_5!$F$10:$BG$42,$A24+2,FALSE)/Data_5!$BH19))))),"")</f>
        <v>NO</v>
      </c>
      <c r="AG24" s="1122" t="str">
        <f>IFERROR(IF(HLOOKUP(AG$15,Data_5!$F$10:$BG$42,$A24+2,FALSE)="NO","NO",IF(HLOOKUP(AG$15,Data_5!$F$10:$BG$42,$A24+2,FALSE)="IE","IE",IF(HLOOKUP(AG$15,Data_5!$F$10:$BG$42,$A24+2,FALSE)="NE","NE",IF(HLOOKUP(AG$15,Data_5!$F$10:$BG$42,$A24+2,FALSE)="C","C",IF(HLOOKUP(AG$15,Data_5!$F$10:$BG$42,$A24+2,FALSE)="NO","NO",HLOOKUP(AG$15,Data_5!$F$10:$BG$42,$A24+2,FALSE)/Data_5!$BH19))))),"")</f>
        <v>NO</v>
      </c>
      <c r="AH24" s="1122" t="str">
        <f>IFERROR(IF(HLOOKUP(AH$15,Data_5!$F$10:$BG$42,$A24+2,FALSE)="NO","NO",IF(HLOOKUP(AH$15,Data_5!$F$10:$BG$42,$A24+2,FALSE)="IE","IE",IF(HLOOKUP(AH$15,Data_5!$F$10:$BG$42,$A24+2,FALSE)="NE","NE",IF(HLOOKUP(AH$15,Data_5!$F$10:$BG$42,$A24+2,FALSE)="C","C",IF(HLOOKUP(AH$15,Data_5!$F$10:$BG$42,$A24+2,FALSE)="NO","NO",HLOOKUP(AH$15,Data_5!$F$10:$BG$42,$A24+2,FALSE)/Data_5!$BH19))))),"")</f>
        <v>NO</v>
      </c>
      <c r="AI24" s="1122">
        <f>IFERROR(IF(HLOOKUP(AI$15,Data_5!$F$10:$BG$42,$A24+2,FALSE)="NO","NO",IF(HLOOKUP(AI$15,Data_5!$F$10:$BG$42,$A24+2,FALSE)="IE","IE",IF(HLOOKUP(AI$15,Data_5!$F$10:$BG$42,$A24+2,FALSE)="NE","NE",IF(HLOOKUP(AI$15,Data_5!$F$10:$BG$42,$A24+2,FALSE)="C","C",IF(HLOOKUP(AI$15,Data_5!$F$10:$BG$42,$A24+2,FALSE)="NO","NO",HLOOKUP(AI$15,Data_5!$F$10:$BG$42,$A24+2,FALSE)/Data_5!$BH19))))),"")</f>
        <v>1.0575222920785941E-3</v>
      </c>
      <c r="AJ24" s="1122" t="str">
        <f>IFERROR(IF(HLOOKUP(AJ$15,Data_5!$F$10:$BG$42,$A24+2,FALSE)="NO","NO",IF(HLOOKUP(AJ$15,Data_5!$F$10:$BG$42,$A24+2,FALSE)="IE","IE",IF(HLOOKUP(AJ$15,Data_5!$F$10:$BG$42,$A24+2,FALSE)="NE","NE",IF(HLOOKUP(AJ$15,Data_5!$F$10:$BG$42,$A24+2,FALSE)="C","C",IF(HLOOKUP(AJ$15,Data_5!$F$10:$BG$42,$A24+2,FALSE)="NO","NO",HLOOKUP(AJ$15,Data_5!$F$10:$BG$42,$A24+2,FALSE)/Data_5!$BH19))))),"")</f>
        <v>NO</v>
      </c>
      <c r="AL24" s="2628" t="str">
        <f t="shared" si="0"/>
        <v>Chicago</v>
      </c>
      <c r="AM24" s="2629"/>
      <c r="AN24" s="1100">
        <f t="shared" si="1"/>
        <v>2010</v>
      </c>
      <c r="AO24" s="1122" t="str">
        <f>IFERROR(IF(VLOOKUP($AL24,Data_5!$B$12:$E$42,4,FALSE)="BASIC","",(IF(HLOOKUP(AO$15,Data_5!$F$10:$BG$42,$A24+2,FALSE)="NO","NO",IF(HLOOKUP(AO$15,Data_5!$F$10:$BG$42,$A24+2,FALSE)="IE","IE",IF(HLOOKUP(AO$15,Data_5!$F$10:$BG$42,$A24+2,FALSE)="NE","NE",IF(HLOOKUP(AO$15,Data_5!$F$10:$BG$42,$A24+2,FALSE)="C","C",IF(HLOOKUP(AO$15,Data_5!$F$10:$BG$42,$A24+2,FALSE)="NO","NO",HLOOKUP(AO$15,Data_5!$F$10:$BG$42,$A24+2,FALSE)/Data_5!$BI19))))))),"")</f>
        <v/>
      </c>
      <c r="AP24" s="1122" t="str">
        <f>IFERROR(IF(VLOOKUP($AL24,Data_5!$B$12:$E$42,4,FALSE)="BASIC","",(IF(HLOOKUP(AP$15,Data_5!$F$10:$BG$42,$A24+2,FALSE)="NO","NO",IF(HLOOKUP(AP$15,Data_5!$F$10:$BG$42,$A24+2,FALSE)="IE","IE",IF(HLOOKUP(AP$15,Data_5!$F$10:$BG$42,$A24+2,FALSE)="NE","NE",IF(HLOOKUP(AP$15,Data_5!$F$10:$BG$42,$A24+2,FALSE)="C","C",IF(HLOOKUP(AP$15,Data_5!$F$10:$BG$42,$A24+2,FALSE)="NO","NO",HLOOKUP(AP$15,Data_5!$F$10:$BG$42,$A24+2,FALSE)/Data_5!$BI19))))))),"")</f>
        <v/>
      </c>
      <c r="AQ24" s="1122" t="str">
        <f>IFERROR(IF(VLOOKUP($AL24,Data_5!$B$12:$E$42,4,FALSE)="BASIC","",(IF(HLOOKUP(AQ$15,Data_5!$F$10:$BG$42,$A24+2,FALSE)="NO","NO",IF(HLOOKUP(AQ$15,Data_5!$F$10:$BG$42,$A24+2,FALSE)="IE","IE",IF(HLOOKUP(AQ$15,Data_5!$F$10:$BG$42,$A24+2,FALSE)="NE","NE",IF(HLOOKUP(AQ$15,Data_5!$F$10:$BG$42,$A24+2,FALSE)="C","C",IF(HLOOKUP(AQ$15,Data_5!$F$10:$BG$42,$A24+2,FALSE)="NO","NO",HLOOKUP(AQ$15,Data_5!$F$10:$BG$42,$A24+2,FALSE)/Data_5!$BI19))))))),"")</f>
        <v/>
      </c>
      <c r="AR24" s="1122" t="str">
        <f>IFERROR(IF(VLOOKUP($AL24,Data_5!$B$12:$E$42,4,FALSE)="BASIC","",(IF(HLOOKUP(AR$15,Data_5!$F$10:$BG$42,$A24+2,FALSE)="NO","NO",IF(HLOOKUP(AR$15,Data_5!$F$10:$BG$42,$A24+2,FALSE)="IE","IE",IF(HLOOKUP(AR$15,Data_5!$F$10:$BG$42,$A24+2,FALSE)="NE","NE",IF(HLOOKUP(AR$15,Data_5!$F$10:$BG$42,$A24+2,FALSE)="C","C",IF(HLOOKUP(AR$15,Data_5!$F$10:$BG$42,$A24+2,FALSE)="NO","NO",HLOOKUP(AR$15,Data_5!$F$10:$BG$42,$A24+2,FALSE)/Data_5!$BI19))))))),"")</f>
        <v/>
      </c>
      <c r="AS24" s="1122" t="str">
        <f>IFERROR(IF(VLOOKUP($AL24,Data_5!$B$12:$E$42,4,FALSE)="BASIC","",(IF(HLOOKUP(AS$15,Data_5!$F$10:$BG$42,$A24+2,FALSE)="NO","NO",IF(HLOOKUP(AS$15,Data_5!$F$10:$BG$42,$A24+2,FALSE)="IE","IE",IF(HLOOKUP(AS$15,Data_5!$F$10:$BG$42,$A24+2,FALSE)="NE","NE",IF(HLOOKUP(AS$15,Data_5!$F$10:$BG$42,$A24+2,FALSE)="C","C",IF(HLOOKUP(AS$15,Data_5!$F$10:$BG$42,$A24+2,FALSE)="NO","NO",HLOOKUP(AS$15,Data_5!$F$10:$BG$42,$A24+2,FALSE)/Data_5!$BI19))))))),"")</f>
        <v/>
      </c>
      <c r="AT24" s="1122" t="str">
        <f>IFERROR(IF(VLOOKUP($AL24,Data_5!$B$12:$E$42,4,FALSE)="BASIC","",(IF(HLOOKUP(AT$15,Data_5!$F$10:$BG$42,$A24+2,FALSE)="NO","NO",IF(HLOOKUP(AT$15,Data_5!$F$10:$BG$42,$A24+2,FALSE)="IE","IE",IF(HLOOKUP(AT$15,Data_5!$F$10:$BG$42,$A24+2,FALSE)="NE","NE",IF(HLOOKUP(AT$15,Data_5!$F$10:$BG$42,$A24+2,FALSE)="C","C",IF(HLOOKUP(AT$15,Data_5!$F$10:$BG$42,$A24+2,FALSE)="NO","NO",HLOOKUP(AT$15,Data_5!$F$10:$BG$42,$A24+2,FALSE)/Data_5!$BI19))))))),"")</f>
        <v/>
      </c>
      <c r="AU24" s="1122" t="str">
        <f>IFERROR(IF(VLOOKUP($AL24,Data_5!$B$12:$E$42,4,FALSE)="BASIC","",(IF(HLOOKUP(AU$15,Data_5!$F$10:$BG$42,$A24+2,FALSE)="NO","NO",IF(HLOOKUP(AU$15,Data_5!$F$10:$BG$42,$A24+2,FALSE)="IE","IE",IF(HLOOKUP(AU$15,Data_5!$F$10:$BG$42,$A24+2,FALSE)="NE","NE",IF(HLOOKUP(AU$15,Data_5!$F$10:$BG$42,$A24+2,FALSE)="C","C",IF(HLOOKUP(AU$15,Data_5!$F$10:$BG$42,$A24+2,FALSE)="NO","NO",HLOOKUP(AU$15,Data_5!$F$10:$BG$42,$A24+2,FALSE)/Data_5!$BI19))))))),"")</f>
        <v/>
      </c>
      <c r="AV24" s="1122" t="str">
        <f>IFERROR(IF(VLOOKUP($AL24,Data_5!$B$12:$E$42,4,FALSE)="BASIC","",(IF(HLOOKUP(AV$15,Data_5!$F$10:$BG$42,$A24+2,FALSE)="NO","NO",IF(HLOOKUP(AV$15,Data_5!$F$10:$BG$42,$A24+2,FALSE)="IE","IE",IF(HLOOKUP(AV$15,Data_5!$F$10:$BG$42,$A24+2,FALSE)="NE","NE",IF(HLOOKUP(AV$15,Data_5!$F$10:$BG$42,$A24+2,FALSE)="C","C",IF(HLOOKUP(AV$15,Data_5!$F$10:$BG$42,$A24+2,FALSE)="NO","NO",HLOOKUP(AV$15,Data_5!$F$10:$BG$42,$A24+2,FALSE)/Data_5!$BI19))))))),"")</f>
        <v/>
      </c>
      <c r="AW24" s="1122" t="str">
        <f>IFERROR(IF(VLOOKUP($AL24,Data_5!$B$12:$E$42,4,FALSE)="BASIC","",(IF(HLOOKUP(AW$15,Data_5!$F$10:$BG$42,$A24+2,FALSE)="NO","NO",IF(HLOOKUP(AW$15,Data_5!$F$10:$BG$42,$A24+2,FALSE)="IE","IE",IF(HLOOKUP(AW$15,Data_5!$F$10:$BG$42,$A24+2,FALSE)="NE","NE",IF(HLOOKUP(AW$15,Data_5!$F$10:$BG$42,$A24+2,FALSE)="C","C",IF(HLOOKUP(AW$15,Data_5!$F$10:$BG$42,$A24+2,FALSE)="NO","NO",HLOOKUP(AW$15,Data_5!$F$10:$BG$42,$A24+2,FALSE)/Data_5!$BI19))))))),"")</f>
        <v/>
      </c>
      <c r="AX24" s="1122" t="str">
        <f>IFERROR(IF(VLOOKUP($AL24,Data_5!$B$12:$E$42,4,FALSE)="BASIC","",(IF(HLOOKUP(AX$15,Data_5!$F$10:$BG$42,$A24+2,FALSE)="NO","NO",IF(HLOOKUP(AX$15,Data_5!$F$10:$BG$42,$A24+2,FALSE)="IE","IE",IF(HLOOKUP(AX$15,Data_5!$F$10:$BG$42,$A24+2,FALSE)="NE","NE",IF(HLOOKUP(AX$15,Data_5!$F$10:$BG$42,$A24+2,FALSE)="C","C",IF(HLOOKUP(AX$15,Data_5!$F$10:$BG$42,$A24+2,FALSE)="NO","NO",HLOOKUP(AX$15,Data_5!$F$10:$BG$42,$A24+2,FALSE)/Data_5!$BI19))))))),"")</f>
        <v/>
      </c>
      <c r="AY24" s="1122" t="str">
        <f>IFERROR(IF(VLOOKUP($AL24,Data_5!$B$12:$E$42,4,FALSE)="BASIC","",(IF(HLOOKUP(AY$15,Data_5!$F$10:$BG$42,$A24+2,FALSE)="NO","NO",IF(HLOOKUP(AY$15,Data_5!$F$10:$BG$42,$A24+2,FALSE)="IE","IE",IF(HLOOKUP(AY$15,Data_5!$F$10:$BG$42,$A24+2,FALSE)="NE","NE",IF(HLOOKUP(AY$15,Data_5!$F$10:$BG$42,$A24+2,FALSE)="C","C",IF(HLOOKUP(AY$15,Data_5!$F$10:$BG$42,$A24+2,FALSE)="NO","NO",HLOOKUP(AY$15,Data_5!$F$10:$BG$42,$A24+2,FALSE)/Data_5!$BI19))))))),"")</f>
        <v/>
      </c>
      <c r="AZ24" s="1122" t="str">
        <f>IFERROR(IF(VLOOKUP($AL24,Data_5!$B$12:$E$42,4,FALSE)="BASIC","",(IF(HLOOKUP(AZ$15,Data_5!$F$10:$BG$42,$A24+2,FALSE)="NO","NO",IF(HLOOKUP(AZ$15,Data_5!$F$10:$BG$42,$A24+2,FALSE)="IE","IE",IF(HLOOKUP(AZ$15,Data_5!$F$10:$BG$42,$A24+2,FALSE)="NE","NE",IF(HLOOKUP(AZ$15,Data_5!$F$10:$BG$42,$A24+2,FALSE)="C","C",IF(HLOOKUP(AZ$15,Data_5!$F$10:$BG$42,$A24+2,FALSE)="NO","NO",HLOOKUP(AZ$15,Data_5!$F$10:$BG$42,$A24+2,FALSE)/Data_5!$BI19))))))),"")</f>
        <v/>
      </c>
      <c r="BA24" s="1122" t="str">
        <f>IFERROR(IF(VLOOKUP($AL24,Data_5!$B$12:$E$42,4,FALSE)="BASIC","",(IF(HLOOKUP(BA$15,Data_5!$F$10:$BG$42,$A24+2,FALSE)="NO","NO",IF(HLOOKUP(BA$15,Data_5!$F$10:$BG$42,$A24+2,FALSE)="IE","IE",IF(HLOOKUP(BA$15,Data_5!$F$10:$BG$42,$A24+2,FALSE)="NE","NE",IF(HLOOKUP(BA$15,Data_5!$F$10:$BG$42,$A24+2,FALSE)="C","C",IF(HLOOKUP(BA$15,Data_5!$F$10:$BG$42,$A24+2,FALSE)="NO","NO",HLOOKUP(BA$15,Data_5!$F$10:$BG$42,$A24+2,FALSE)/Data_5!$BI19))))))),"")</f>
        <v/>
      </c>
      <c r="BB24" s="1122" t="str">
        <f>IFERROR(IF(VLOOKUP($AL24,Data_5!$B$12:$E$42,4,FALSE)="BASIC","",(IF(HLOOKUP(BB$15,Data_5!$F$10:$BG$42,$A24+2,FALSE)="NO","NO",IF(HLOOKUP(BB$15,Data_5!$F$10:$BG$42,$A24+2,FALSE)="IE","IE",IF(HLOOKUP(BB$15,Data_5!$F$10:$BG$42,$A24+2,FALSE)="NE","NE",IF(HLOOKUP(BB$15,Data_5!$F$10:$BG$42,$A24+2,FALSE)="C","C",IF(HLOOKUP(BB$15,Data_5!$F$10:$BG$42,$A24+2,FALSE)="NO","NO",HLOOKUP(BB$15,Data_5!$F$10:$BG$42,$A24+2,FALSE)/Data_5!$BI19))))))),"")</f>
        <v/>
      </c>
      <c r="BC24" s="1122" t="str">
        <f>IFERROR(IF(VLOOKUP($AL24,Data_5!$B$12:$E$42,4,FALSE)="BASIC","",(IF(HLOOKUP(BC$15,Data_5!$F$10:$BG$42,$A24+2,FALSE)="NO","NO",IF(HLOOKUP(BC$15,Data_5!$F$10:$BG$42,$A24+2,FALSE)="IE","IE",IF(HLOOKUP(BC$15,Data_5!$F$10:$BG$42,$A24+2,FALSE)="NE","NE",IF(HLOOKUP(BC$15,Data_5!$F$10:$BG$42,$A24+2,FALSE)="C","C",IF(HLOOKUP(BC$15,Data_5!$F$10:$BG$42,$A24+2,FALSE)="NO","NO",HLOOKUP(BC$15,Data_5!$F$10:$BG$42,$A24+2,FALSE)/Data_5!$BI19))))))),"")</f>
        <v/>
      </c>
      <c r="BD24" s="1122" t="str">
        <f>IFERROR(IF(VLOOKUP($AL24,Data_5!$B$12:$E$42,4,FALSE)="BASIC","",(IF(HLOOKUP(BD$15,Data_5!$F$10:$BG$42,$A24+2,FALSE)="NO","NO",IF(HLOOKUP(BD$15,Data_5!$F$10:$BG$42,$A24+2,FALSE)="IE","IE",IF(HLOOKUP(BD$15,Data_5!$F$10:$BG$42,$A24+2,FALSE)="NE","NE",IF(HLOOKUP(BD$15,Data_5!$F$10:$BG$42,$A24+2,FALSE)="C","C",IF(HLOOKUP(BD$15,Data_5!$F$10:$BG$42,$A24+2,FALSE)="NO","NO",HLOOKUP(BD$15,Data_5!$F$10:$BG$42,$A24+2,FALSE)/Data_5!$BI19))))))),"")</f>
        <v/>
      </c>
      <c r="BE24" s="1122" t="str">
        <f>IFERROR(IF(VLOOKUP($AL24,Data_5!$B$12:$E$42,4,FALSE)="BASIC","",(IF(HLOOKUP(BE$15,Data_5!$F$10:$BG$42,$A24+2,FALSE)="NO","NO",IF(HLOOKUP(BE$15,Data_5!$F$10:$BG$42,$A24+2,FALSE)="IE","IE",IF(HLOOKUP(BE$15,Data_5!$F$10:$BG$42,$A24+2,FALSE)="NE","NE",IF(HLOOKUP(BE$15,Data_5!$F$10:$BG$42,$A24+2,FALSE)="C","C",IF(HLOOKUP(BE$15,Data_5!$F$10:$BG$42,$A24+2,FALSE)="NO","NO",HLOOKUP(BE$15,Data_5!$F$10:$BG$42,$A24+2,FALSE)/Data_5!$BI19))))))),"")</f>
        <v/>
      </c>
      <c r="BF24" s="1122" t="str">
        <f>IFERROR(IF(VLOOKUP($AL24,Data_5!$B$12:$E$42,4,FALSE)="BASIC","",(IF(HLOOKUP(BF$15,Data_5!$F$10:$BG$42,$A24+2,FALSE)="NO","NO",IF(HLOOKUP(BF$15,Data_5!$F$10:$BG$42,$A24+2,FALSE)="IE","IE",IF(HLOOKUP(BF$15,Data_5!$F$10:$BG$42,$A24+2,FALSE)="NE","NE",IF(HLOOKUP(BF$15,Data_5!$F$10:$BG$42,$A24+2,FALSE)="C","C",IF(HLOOKUP(BF$15,Data_5!$F$10:$BG$42,$A24+2,FALSE)="NO","NO",HLOOKUP(BF$15,Data_5!$F$10:$BG$42,$A24+2,FALSE)/Data_5!$BI19))))))),"")</f>
        <v/>
      </c>
      <c r="BG24" s="1122" t="str">
        <f>IFERROR(IF(VLOOKUP($AL24,Data_5!$B$12:$E$42,4,FALSE)="BASIC","",(IF(HLOOKUP(BG$15,Data_5!$F$10:$BG$42,$A24+2,FALSE)="NO","NO",IF(HLOOKUP(BG$15,Data_5!$F$10:$BG$42,$A24+2,FALSE)="IE","IE",IF(HLOOKUP(BG$15,Data_5!$F$10:$BG$42,$A24+2,FALSE)="NE","NE",IF(HLOOKUP(BG$15,Data_5!$F$10:$BG$42,$A24+2,FALSE)="C","C",IF(HLOOKUP(BG$15,Data_5!$F$10:$BG$42,$A24+2,FALSE)="NO","NO",HLOOKUP(BG$15,Data_5!$F$10:$BG$42,$A24+2,FALSE)/Data_5!$BI19))))))),"")</f>
        <v/>
      </c>
      <c r="BH24" s="1122" t="str">
        <f>IFERROR(IF(VLOOKUP($AL24,Data_5!$B$12:$E$42,4,FALSE)="BASIC","",(IF(HLOOKUP(BH$15,Data_5!$F$10:$BG$42,$A24+2,FALSE)="NO","NO",IF(HLOOKUP(BH$15,Data_5!$F$10:$BG$42,$A24+2,FALSE)="IE","IE",IF(HLOOKUP(BH$15,Data_5!$F$10:$BG$42,$A24+2,FALSE)="NE","NE",IF(HLOOKUP(BH$15,Data_5!$F$10:$BG$42,$A24+2,FALSE)="C","C",IF(HLOOKUP(BH$15,Data_5!$F$10:$BG$42,$A24+2,FALSE)="NO","NO",HLOOKUP(BH$15,Data_5!$F$10:$BG$42,$A24+2,FALSE)/Data_5!$BI19))))))),"")</f>
        <v/>
      </c>
      <c r="BI24" s="1122" t="str">
        <f>IFERROR(IF(VLOOKUP($AL24,Data_5!$B$12:$E$42,4,FALSE)="BASIC","",(IF(HLOOKUP(BI$15,Data_5!$F$10:$BG$42,$A24+2,FALSE)="NO","NO",IF(HLOOKUP(BI$15,Data_5!$F$10:$BG$42,$A24+2,FALSE)="IE","IE",IF(HLOOKUP(BI$15,Data_5!$F$10:$BG$42,$A24+2,FALSE)="NE","NE",IF(HLOOKUP(BI$15,Data_5!$F$10:$BG$42,$A24+2,FALSE)="C","C",IF(HLOOKUP(BI$15,Data_5!$F$10:$BG$42,$A24+2,FALSE)="NO","NO",HLOOKUP(BI$15,Data_5!$F$10:$BG$42,$A24+2,FALSE)/Data_5!$BI19))))))),"")</f>
        <v/>
      </c>
      <c r="BJ24" s="1122" t="str">
        <f>IFERROR(IF(VLOOKUP($AL24,Data_5!$B$12:$E$42,4,FALSE)="BASIC","",(IF(HLOOKUP(BJ$15,Data_5!$F$10:$BG$42,$A24+2,FALSE)="NO","NO",IF(HLOOKUP(BJ$15,Data_5!$F$10:$BG$42,$A24+2,FALSE)="IE","IE",IF(HLOOKUP(BJ$15,Data_5!$F$10:$BG$42,$A24+2,FALSE)="NE","NE",IF(HLOOKUP(BJ$15,Data_5!$F$10:$BG$42,$A24+2,FALSE)="C","C",IF(HLOOKUP(BJ$15,Data_5!$F$10:$BG$42,$A24+2,FALSE)="NO","NO",HLOOKUP(BJ$15,Data_5!$F$10:$BG$42,$A24+2,FALSE)/Data_5!$BI19))))))),"")</f>
        <v/>
      </c>
      <c r="BK24" s="1122" t="str">
        <f>IFERROR(IF(VLOOKUP($AL24,Data_5!$B$12:$E$42,4,FALSE)="BASIC","",(IF(HLOOKUP(BK$15,Data_5!$F$10:$BG$42,$A24+2,FALSE)="NO","NO",IF(HLOOKUP(BK$15,Data_5!$F$10:$BG$42,$A24+2,FALSE)="IE","IE",IF(HLOOKUP(BK$15,Data_5!$F$10:$BG$42,$A24+2,FALSE)="NE","NE",IF(HLOOKUP(BK$15,Data_5!$F$10:$BG$42,$A24+2,FALSE)="C","C",IF(HLOOKUP(BK$15,Data_5!$F$10:$BG$42,$A24+2,FALSE)="NO","NO",HLOOKUP(BK$15,Data_5!$F$10:$BG$42,$A24+2,FALSE)/Data_5!$BI19))))))),"")</f>
        <v/>
      </c>
      <c r="BL24" s="1122" t="str">
        <f>IFERROR(IF(VLOOKUP($AL24,Data_5!$B$12:$E$42,4,FALSE)="BASIC","",(IF(HLOOKUP(BL$15,Data_5!$F$10:$BG$42,$A24+2,FALSE)="NO","NO",IF(HLOOKUP(BL$15,Data_5!$F$10:$BG$42,$A24+2,FALSE)="IE","IE",IF(HLOOKUP(BL$15,Data_5!$F$10:$BG$42,$A24+2,FALSE)="NE","NE",IF(HLOOKUP(BL$15,Data_5!$F$10:$BG$42,$A24+2,FALSE)="C","C",IF(HLOOKUP(BL$15,Data_5!$F$10:$BG$42,$A24+2,FALSE)="NO","NO",HLOOKUP(BL$15,Data_5!$F$10:$BG$42,$A24+2,FALSE)/Data_5!$BI19))))))),"")</f>
        <v/>
      </c>
      <c r="BM24" s="1122" t="str">
        <f>IFERROR(IF(VLOOKUP($AL24,Data_5!$B$12:$E$42,4,FALSE)="BASIC","",(IF(HLOOKUP(BM$15,Data_5!$F$10:$BG$42,$A24+2,FALSE)="NO","NO",IF(HLOOKUP(BM$15,Data_5!$F$10:$BG$42,$A24+2,FALSE)="IE","IE",IF(HLOOKUP(BM$15,Data_5!$F$10:$BG$42,$A24+2,FALSE)="NE","NE",IF(HLOOKUP(BM$15,Data_5!$F$10:$BG$42,$A24+2,FALSE)="C","C",IF(HLOOKUP(BM$15,Data_5!$F$10:$BG$42,$A24+2,FALSE)="NO","NO",HLOOKUP(BM$15,Data_5!$F$10:$BG$42,$A24+2,FALSE)/Data_5!$BI19))))))),"")</f>
        <v/>
      </c>
      <c r="BN24" s="1122" t="str">
        <f>IFERROR(IF(VLOOKUP($AL24,Data_5!$B$12:$E$42,4,FALSE)="BASIC","",(IF(HLOOKUP(BN$15,Data_5!$F$10:$BG$42,$A24+2,FALSE)="NO","NO",IF(HLOOKUP(BN$15,Data_5!$F$10:$BG$42,$A24+2,FALSE)="IE","IE",IF(HLOOKUP(BN$15,Data_5!$F$10:$BG$42,$A24+2,FALSE)="NE","NE",IF(HLOOKUP(BN$15,Data_5!$F$10:$BG$42,$A24+2,FALSE)="C","C",IF(HLOOKUP(BN$15,Data_5!$F$10:$BG$42,$A24+2,FALSE)="NO","NO",HLOOKUP(BN$15,Data_5!$F$10:$BG$42,$A24+2,FALSE)/Data_5!$BI19))))))),"")</f>
        <v/>
      </c>
      <c r="BO24" s="1122" t="str">
        <f>IFERROR(IF(VLOOKUP($AL24,Data_5!$B$12:$E$42,4,FALSE)="BASIC","",(IF(HLOOKUP(BO$15,Data_5!$F$10:$BG$42,$A24+2,FALSE)="NO","NO",IF(HLOOKUP(BO$15,Data_5!$F$10:$BG$42,$A24+2,FALSE)="IE","IE",IF(HLOOKUP(BO$15,Data_5!$F$10:$BG$42,$A24+2,FALSE)="NE","NE",IF(HLOOKUP(BO$15,Data_5!$F$10:$BG$42,$A24+2,FALSE)="C","C",IF(HLOOKUP(BO$15,Data_5!$F$10:$BG$42,$A24+2,FALSE)="NO","NO",HLOOKUP(BO$15,Data_5!$F$10:$BG$42,$A24+2,FALSE)/Data_5!$BI19))))))),"")</f>
        <v/>
      </c>
      <c r="BP24" s="1122" t="str">
        <f>IFERROR(IF(VLOOKUP($AL24,Data_5!$B$12:$E$42,4,FALSE)="BASIC","",(IF(HLOOKUP(BP$15,Data_5!$F$10:$BG$42,$A24+2,FALSE)="NO","NO",IF(HLOOKUP(BP$15,Data_5!$F$10:$BG$42,$A24+2,FALSE)="IE","IE",IF(HLOOKUP(BP$15,Data_5!$F$10:$BG$42,$A24+2,FALSE)="NE","NE",IF(HLOOKUP(BP$15,Data_5!$F$10:$BG$42,$A24+2,FALSE)="C","C",IF(HLOOKUP(BP$15,Data_5!$F$10:$BG$42,$A24+2,FALSE)="NO","NO",HLOOKUP(BP$15,Data_5!$F$10:$BG$42,$A24+2,FALSE)/Data_5!$BI19))))))),"")</f>
        <v/>
      </c>
      <c r="BQ24" s="1122" t="str">
        <f>IFERROR(IF(VLOOKUP($AL24,Data_5!$B$12:$E$42,4,FALSE)="BASIC","",(IF(HLOOKUP(BQ$15,Data_5!$F$10:$BG$42,$A24+2,FALSE)="NO","NO",IF(HLOOKUP(BQ$15,Data_5!$F$10:$BG$42,$A24+2,FALSE)="IE","IE",IF(HLOOKUP(BQ$15,Data_5!$F$10:$BG$42,$A24+2,FALSE)="NE","NE",IF(HLOOKUP(BQ$15,Data_5!$F$10:$BG$42,$A24+2,FALSE)="C","C",IF(HLOOKUP(BQ$15,Data_5!$F$10:$BG$42,$A24+2,FALSE)="NO","NO",HLOOKUP(BQ$15,Data_5!$F$10:$BG$42,$A24+2,FALSE)/Data_5!$BI19))))))),"")</f>
        <v/>
      </c>
      <c r="BR24" s="1122" t="str">
        <f>IFERROR(IF(VLOOKUP($AL24,Data_5!$B$12:$E$42,4,FALSE)="BASIC","",(IF(HLOOKUP(BR$15,Data_5!$F$10:$BG$42,$A24+2,FALSE)="NO","NO",IF(HLOOKUP(BR$15,Data_5!$F$10:$BG$42,$A24+2,FALSE)="IE","IE",IF(HLOOKUP(BR$15,Data_5!$F$10:$BG$42,$A24+2,FALSE)="NE","NE",IF(HLOOKUP(BR$15,Data_5!$F$10:$BG$42,$A24+2,FALSE)="C","C",IF(HLOOKUP(BR$15,Data_5!$F$10:$BG$42,$A24+2,FALSE)="NO","NO",HLOOKUP(BR$15,Data_5!$F$10:$BG$42,$A24+2,FALSE)/Data_5!$BI19))))))),"")</f>
        <v/>
      </c>
      <c r="BS24" s="1122" t="str">
        <f>IFERROR(IF(VLOOKUP($AL24,Data_5!$B$12:$E$42,4,FALSE)="BASIC","",(IF(HLOOKUP(BS$15,Data_5!$F$10:$BG$42,$A24+2,FALSE)="NO","NO",IF(HLOOKUP(BS$15,Data_5!$F$10:$BG$42,$A24+2,FALSE)="IE","IE",IF(HLOOKUP(BS$15,Data_5!$F$10:$BG$42,$A24+2,FALSE)="NE","NE",IF(HLOOKUP(BS$15,Data_5!$F$10:$BG$42,$A24+2,FALSE)="C","C",IF(HLOOKUP(BS$15,Data_5!$F$10:$BG$42,$A24+2,FALSE)="NO","NO",HLOOKUP(BS$15,Data_5!$F$10:$BG$42,$A24+2,FALSE)/Data_5!$BI19))))))),"")</f>
        <v/>
      </c>
      <c r="BT24" s="1122" t="str">
        <f>IFERROR(IF(VLOOKUP($AL24,Data_5!$B$12:$E$42,4,FALSE)="BASIC","",(IF(HLOOKUP(BT$15,Data_5!$F$10:$BG$42,$A24+2,FALSE)="NO","NO",IF(HLOOKUP(BT$15,Data_5!$F$10:$BG$42,$A24+2,FALSE)="IE","IE",IF(HLOOKUP(BT$15,Data_5!$F$10:$BG$42,$A24+2,FALSE)="NE","NE",IF(HLOOKUP(BT$15,Data_5!$F$10:$BG$42,$A24+2,FALSE)="C","C",IF(HLOOKUP(BT$15,Data_5!$F$10:$BG$42,$A24+2,FALSE)="NO","NO",HLOOKUP(BT$15,Data_5!$F$10:$BG$42,$A24+2,FALSE)/Data_5!$BI19))))))),"")</f>
        <v/>
      </c>
      <c r="BU24" s="1122" t="str">
        <f>IFERROR(IF(VLOOKUP($AL24,Data_5!$B$12:$E$42,4,FALSE)="BASIC","",(IF(HLOOKUP(BU$15,Data_5!$F$10:$BG$42,$A24+2,FALSE)="NO","NO",IF(HLOOKUP(BU$15,Data_5!$F$10:$BG$42,$A24+2,FALSE)="IE","IE",IF(HLOOKUP(BU$15,Data_5!$F$10:$BG$42,$A24+2,FALSE)="NE","NE",IF(HLOOKUP(BU$15,Data_5!$F$10:$BG$42,$A24+2,FALSE)="C","C",IF(HLOOKUP(BU$15,Data_5!$F$10:$BG$42,$A24+2,FALSE)="NO","NO",HLOOKUP(BU$15,Data_5!$F$10:$BG$42,$A24+2,FALSE)/Data_5!$BI19))))))),"")</f>
        <v/>
      </c>
      <c r="BV24" s="1122" t="str">
        <f>IFERROR(IF(VLOOKUP($AL24,Data_5!$B$12:$E$42,4,FALSE)="BASIC","",(IF(HLOOKUP(BV$15,Data_5!$F$10:$BG$42,$A24+2,FALSE)="NO","NO",IF(HLOOKUP(BV$15,Data_5!$F$10:$BG$42,$A24+2,FALSE)="IE","IE",IF(HLOOKUP(BV$15,Data_5!$F$10:$BG$42,$A24+2,FALSE)="NE","NE",IF(HLOOKUP(BV$15,Data_5!$F$10:$BG$42,$A24+2,FALSE)="C","C",IF(HLOOKUP(BV$15,Data_5!$F$10:$BG$42,$A24+2,FALSE)="NO","NO",HLOOKUP(BV$15,Data_5!$F$10:$BG$42,$A24+2,FALSE)/Data_5!$BI19))))))),"")</f>
        <v/>
      </c>
      <c r="BW24" s="1122" t="str">
        <f>IFERROR(IF(VLOOKUP($AL24,Data_5!$B$12:$E$42,4,FALSE)="BASIC","",(IF(HLOOKUP(BW$15,Data_5!$F$10:$BG$42,$A24+2,FALSE)="NO","NO",IF(HLOOKUP(BW$15,Data_5!$F$10:$BG$42,$A24+2,FALSE)="IE","IE",IF(HLOOKUP(BW$15,Data_5!$F$10:$BG$42,$A24+2,FALSE)="NE","NE",IF(HLOOKUP(BW$15,Data_5!$F$10:$BG$42,$A24+2,FALSE)="C","C",IF(HLOOKUP(BW$15,Data_5!$F$10:$BG$42,$A24+2,FALSE)="NO","NO",HLOOKUP(BW$15,Data_5!$F$10:$BG$42,$A24+2,FALSE)/Data_5!$BI19))))))),"")</f>
        <v/>
      </c>
      <c r="BX24" s="1122" t="str">
        <f>IFERROR(IF(VLOOKUP($AL24,Data_5!$B$12:$E$42,4,FALSE)="BASIC","",(IF(HLOOKUP(BX$15,Data_5!$F$10:$BG$42,$A24+2,FALSE)="NO","NO",IF(HLOOKUP(BX$15,Data_5!$F$10:$BG$42,$A24+2,FALSE)="IE","IE",IF(HLOOKUP(BX$15,Data_5!$F$10:$BG$42,$A24+2,FALSE)="NE","NE",IF(HLOOKUP(BX$15,Data_5!$F$10:$BG$42,$A24+2,FALSE)="C","C",IF(HLOOKUP(BX$15,Data_5!$F$10:$BG$42,$A24+2,FALSE)="NO","NO",HLOOKUP(BX$15,Data_5!$F$10:$BG$42,$A24+2,FALSE)/Data_5!$BI19))))))),"")</f>
        <v/>
      </c>
      <c r="BY24" s="1122" t="str">
        <f>IFERROR(IF(VLOOKUP($AL24,Data_5!$B$12:$E$42,4,FALSE)="BASIC","",(IF(HLOOKUP(BY$15,Data_5!$F$10:$BG$42,$A24+2,FALSE)="NO","NO",IF(HLOOKUP(BY$15,Data_5!$F$10:$BG$42,$A24+2,FALSE)="IE","IE",IF(HLOOKUP(BY$15,Data_5!$F$10:$BG$42,$A24+2,FALSE)="NE","NE",IF(HLOOKUP(BY$15,Data_5!$F$10:$BG$42,$A24+2,FALSE)="C","C",IF(HLOOKUP(BY$15,Data_5!$F$10:$BG$42,$A24+2,FALSE)="NO","NO",HLOOKUP(BY$15,Data_5!$F$10:$BG$42,$A24+2,FALSE)/Data_5!$BI19))))))),"")</f>
        <v/>
      </c>
      <c r="BZ24" s="1122" t="str">
        <f>IFERROR(IF(VLOOKUP($AL24,Data_5!$B$12:$E$42,4,FALSE)="BASIC","",(IF(HLOOKUP(BZ$15,Data_5!$F$10:$BG$42,$A24+2,FALSE)="NO","NO",IF(HLOOKUP(BZ$15,Data_5!$F$10:$BG$42,$A24+2,FALSE)="IE","IE",IF(HLOOKUP(BZ$15,Data_5!$F$10:$BG$42,$A24+2,FALSE)="NE","NE",IF(HLOOKUP(BZ$15,Data_5!$F$10:$BG$42,$A24+2,FALSE)="C","C",IF(HLOOKUP(BZ$15,Data_5!$F$10:$BG$42,$A24+2,FALSE)="NO","NO",HLOOKUP(BZ$15,Data_5!$F$10:$BG$42,$A24+2,FALSE)/Data_5!$BI19))))))),"")</f>
        <v/>
      </c>
      <c r="CA24" s="1122" t="str">
        <f>IFERROR(IF(VLOOKUP($AL24,Data_5!$B$12:$E$42,4,FALSE)="BASIC","",(IF(HLOOKUP(CA$15,Data_5!$F$10:$BG$42,$A24+2,FALSE)="NO","NO",IF(HLOOKUP(CA$15,Data_5!$F$10:$BG$42,$A24+2,FALSE)="IE","IE",IF(HLOOKUP(CA$15,Data_5!$F$10:$BG$42,$A24+2,FALSE)="NE","NE",IF(HLOOKUP(CA$15,Data_5!$F$10:$BG$42,$A24+2,FALSE)="C","C",IF(HLOOKUP(CA$15,Data_5!$F$10:$BG$42,$A24+2,FALSE)="NO","NO",HLOOKUP(CA$15,Data_5!$F$10:$BG$42,$A24+2,FALSE)/Data_5!$BI19))))))),"")</f>
        <v/>
      </c>
      <c r="CB24" s="1122" t="str">
        <f>IFERROR(IF(VLOOKUP($AL24,Data_5!$B$12:$E$42,4,FALSE)="BASIC","",(IF(HLOOKUP(CB$15,Data_5!$F$10:$BG$42,$A24+2,FALSE)="NO","NO",IF(HLOOKUP(CB$15,Data_5!$F$10:$BG$42,$A24+2,FALSE)="IE","IE",IF(HLOOKUP(CB$15,Data_5!$F$10:$BG$42,$A24+2,FALSE)="NE","NE",IF(HLOOKUP(CB$15,Data_5!$F$10:$BG$42,$A24+2,FALSE)="C","C",IF(HLOOKUP(CB$15,Data_5!$F$10:$BG$42,$A24+2,FALSE)="NO","NO",HLOOKUP(CB$15,Data_5!$F$10:$BG$42,$A24+2,FALSE)/Data_5!$BI19))))))),"")</f>
        <v/>
      </c>
      <c r="CC24" s="1122" t="str">
        <f>IFERROR(IF(VLOOKUP($AL24,Data_5!$B$12:$E$42,4,FALSE)="BASIC","",(IF(HLOOKUP(CC$15,Data_5!$F$10:$BG$42,$A24+2,FALSE)="NO","NO",IF(HLOOKUP(CC$15,Data_5!$F$10:$BG$42,$A24+2,FALSE)="IE","IE",IF(HLOOKUP(CC$15,Data_5!$F$10:$BG$42,$A24+2,FALSE)="NE","NE",IF(HLOOKUP(CC$15,Data_5!$F$10:$BG$42,$A24+2,FALSE)="C","C",IF(HLOOKUP(CC$15,Data_5!$F$10:$BG$42,$A24+2,FALSE)="NO","NO",HLOOKUP(CC$15,Data_5!$F$10:$BG$42,$A24+2,FALSE)/Data_5!$BI19))))))),"")</f>
        <v/>
      </c>
      <c r="CD24" s="1122" t="str">
        <f>IFERROR(IF(VLOOKUP($AL24,Data_5!$B$12:$E$42,4,FALSE)="BASIC","",(IF(HLOOKUP(CD$15,Data_5!$F$10:$BG$42,$A24+2,FALSE)="NO","NO",IF(HLOOKUP(CD$15,Data_5!$F$10:$BG$42,$A24+2,FALSE)="IE","IE",IF(HLOOKUP(CD$15,Data_5!$F$10:$BG$42,$A24+2,FALSE)="NE","NE",IF(HLOOKUP(CD$15,Data_5!$F$10:$BG$42,$A24+2,FALSE)="C","C",IF(HLOOKUP(CD$15,Data_5!$F$10:$BG$42,$A24+2,FALSE)="NO","NO",HLOOKUP(CD$15,Data_5!$F$10:$BG$42,$A24+2,FALSE)/Data_5!$BI19))))))),"")</f>
        <v/>
      </c>
      <c r="CE24" s="1122" t="str">
        <f>IFERROR(IF(VLOOKUP($AL24,Data_5!$B$12:$E$42,4,FALSE)="BASIC","",(IF(HLOOKUP(CE$15,Data_5!$F$10:$BG$42,$A24+2,FALSE)="NO","NO",IF(HLOOKUP(CE$15,Data_5!$F$10:$BG$42,$A24+2,FALSE)="IE","IE",IF(HLOOKUP(CE$15,Data_5!$F$10:$BG$42,$A24+2,FALSE)="NE","NE",IF(HLOOKUP(CE$15,Data_5!$F$10:$BG$42,$A24+2,FALSE)="C","C",IF(HLOOKUP(CE$15,Data_5!$F$10:$BG$42,$A24+2,FALSE)="NO","NO",HLOOKUP(CE$15,Data_5!$F$10:$BG$42,$A24+2,FALSE)/Data_5!$BI19))))))),"")</f>
        <v/>
      </c>
      <c r="CF24" s="1122" t="str">
        <f>IFERROR(IF(VLOOKUP($AL24,Data_5!$B$12:$E$42,4,FALSE)="BASIC","",(IF(HLOOKUP(CF$15,Data_5!$F$10:$BG$42,$A24+2,FALSE)="NO","NO",IF(HLOOKUP(CF$15,Data_5!$F$10:$BG$42,$A24+2,FALSE)="IE","IE",IF(HLOOKUP(CF$15,Data_5!$F$10:$BG$42,$A24+2,FALSE)="NE","NE",IF(HLOOKUP(CF$15,Data_5!$F$10:$BG$42,$A24+2,FALSE)="C","C",IF(HLOOKUP(CF$15,Data_5!$F$10:$BG$42,$A24+2,FALSE)="NO","NO",HLOOKUP(CF$15,Data_5!$F$10:$BG$42,$A24+2,FALSE)/Data_5!$BI19))))))),"")</f>
        <v/>
      </c>
      <c r="CG24" s="1122" t="str">
        <f>IFERROR(IF(VLOOKUP($AL24,Data_5!$B$12:$E$42,4,FALSE)="BASIC","",(IF(HLOOKUP(CG$15,Data_5!$F$10:$BG$42,$A24+2,FALSE)="NO","NO",IF(HLOOKUP(CG$15,Data_5!$F$10:$BG$42,$A24+2,FALSE)="IE","IE",IF(HLOOKUP(CG$15,Data_5!$F$10:$BG$42,$A24+2,FALSE)="NE","NE",IF(HLOOKUP(CG$15,Data_5!$F$10:$BG$42,$A24+2,FALSE)="C","C",IF(HLOOKUP(CG$15,Data_5!$F$10:$BG$42,$A24+2,FALSE)="NO","NO",HLOOKUP(CG$15,Data_5!$F$10:$BG$42,$A24+2,FALSE)/Data_5!$BI19))))))),"")</f>
        <v/>
      </c>
      <c r="CH24" s="1122" t="str">
        <f>IFERROR(IF(VLOOKUP($AL24,Data_5!$B$12:$E$42,4,FALSE)="BASIC","",(IF(HLOOKUP(CH$15,Data_5!$F$10:$BG$42,$A24+2,FALSE)="NO","NO",IF(HLOOKUP(CH$15,Data_5!$F$10:$BG$42,$A24+2,FALSE)="IE","IE",IF(HLOOKUP(CH$15,Data_5!$F$10:$BG$42,$A24+2,FALSE)="NE","NE",IF(HLOOKUP(CH$15,Data_5!$F$10:$BG$42,$A24+2,FALSE)="C","C",IF(HLOOKUP(CH$15,Data_5!$F$10:$BG$42,$A24+2,FALSE)="NO","NO",HLOOKUP(CH$15,Data_5!$F$10:$BG$42,$A24+2,FALSE)/Data_5!$BI19))))))),"")</f>
        <v/>
      </c>
      <c r="CI24" s="1122" t="str">
        <f>IFERROR(IF(VLOOKUP($AL24,Data_5!$B$12:$E$42,4,FALSE)="BASIC","",(IF(HLOOKUP(CI$15,Data_5!$F$10:$BG$42,$A24+2,FALSE)="NO","NO",IF(HLOOKUP(CI$15,Data_5!$F$10:$BG$42,$A24+2,FALSE)="IE","IE",IF(HLOOKUP(CI$15,Data_5!$F$10:$BG$42,$A24+2,FALSE)="NE","NE",IF(HLOOKUP(CI$15,Data_5!$F$10:$BG$42,$A24+2,FALSE)="C","C",IF(HLOOKUP(CI$15,Data_5!$F$10:$BG$42,$A24+2,FALSE)="NO","NO",HLOOKUP(CI$15,Data_5!$F$10:$BG$42,$A24+2,FALSE)/Data_5!$BI19))))))),"")</f>
        <v/>
      </c>
      <c r="CJ24" s="1122" t="str">
        <f>IFERROR(IF(VLOOKUP($AL24,Data_5!$B$12:$E$42,4,FALSE)="BASIC","",(IF(HLOOKUP(CJ$15,Data_5!$F$10:$BG$42,$A24+2,FALSE)="NO","NO",IF(HLOOKUP(CJ$15,Data_5!$F$10:$BG$42,$A24+2,FALSE)="IE","IE",IF(HLOOKUP(CJ$15,Data_5!$F$10:$BG$42,$A24+2,FALSE)="NE","NE",IF(HLOOKUP(CJ$15,Data_5!$F$10:$BG$42,$A24+2,FALSE)="C","C",IF(HLOOKUP(CJ$15,Data_5!$F$10:$BG$42,$A24+2,FALSE)="NO","NO",HLOOKUP(CJ$15,Data_5!$F$10:$BG$42,$A24+2,FALSE)/Data_5!$BI19))))))),"")</f>
        <v/>
      </c>
      <c r="CL24" s="2628" t="str">
        <f t="shared" si="2"/>
        <v>Chicago</v>
      </c>
      <c r="CM24" s="2629"/>
      <c r="CN24" s="1100">
        <f t="shared" si="3"/>
        <v>2010</v>
      </c>
      <c r="CO24" s="1122">
        <f>IFERROR(IF(HLOOKUP(CO$15,Data_5!$F$10:$BG$42,$A24+2,FALSE)="NO","NO",IF(HLOOKUP(CO$15,Data_5!$F$10:$BG$42,$A24+2,FALSE)="IE","IE",IF(HLOOKUP(CO$15,Data_5!$F$10:$BG$42,$A24+2,FALSE)="NE","NE",IF(HLOOKUP(CO$15,Data_5!$F$10:$BG$42,$A24+2,FALSE)="C","C",IF(HLOOKUP(CO$15,Data_5!$F$10:$BG$42,$A24+2,FALSE)="NO","NO",HLOOKUP(CO$15,Data_5!$F$10:$BG$42,$A24+2,FALSE)/Data_5!$BK19))))),"")</f>
        <v>0.3091989719821116</v>
      </c>
      <c r="CP24" s="1122">
        <f>IFERROR(IF(HLOOKUP(CP$15,Data_5!$F$10:$BG$42,$A24+2,FALSE)="NO","NO",IF(HLOOKUP(CP$15,Data_5!$F$10:$BG$42,$A24+2,FALSE)="IE","IE",IF(HLOOKUP(CP$15,Data_5!$F$10:$BG$42,$A24+2,FALSE)="NE","NE",IF(HLOOKUP(CP$15,Data_5!$F$10:$BG$42,$A24+2,FALSE)="C","C",IF(HLOOKUP(CP$15,Data_5!$F$10:$BG$42,$A24+2,FALSE)="NO","NO",HLOOKUP(CP$15,Data_5!$F$10:$BG$42,$A24+2,FALSE)/Data_5!$BK19))))),"")</f>
        <v>0.16213821178794499</v>
      </c>
      <c r="CQ24" s="1122">
        <f>IFERROR(IF(HLOOKUP(CQ$15,Data_5!$F$10:$BG$42,$A24+2,FALSE)="NO","NO",IF(HLOOKUP(CQ$15,Data_5!$F$10:$BG$42,$A24+2,FALSE)="IE","IE",IF(HLOOKUP(CQ$15,Data_5!$F$10:$BG$42,$A24+2,FALSE)="NE","NE",IF(HLOOKUP(CQ$15,Data_5!$F$10:$BG$42,$A24+2,FALSE)="C","C",IF(HLOOKUP(CQ$15,Data_5!$F$10:$BG$42,$A24+2,FALSE)="NO","NO",HLOOKUP(CQ$15,Data_5!$F$10:$BG$42,$A24+2,FALSE)/Data_5!$BK19))))),"")</f>
        <v>7.3087356057766617E-2</v>
      </c>
      <c r="CR24" s="1122" t="str">
        <f>IFERROR(IF(HLOOKUP(CR$15,Data_5!$F$10:$BG$42,$A24+2,FALSE)="NO","NO",IF(HLOOKUP(CR$15,Data_5!$F$10:$BG$42,$A24+2,FALSE)="IE","IE",IF(HLOOKUP(CR$15,Data_5!$F$10:$BG$42,$A24+2,FALSE)="NE","NE",IF(HLOOKUP(CR$15,Data_5!$F$10:$BG$42,$A24+2,FALSE)="C","C",IF(HLOOKUP(CR$15,Data_5!$F$10:$BG$42,$A24+2,FALSE)="NO","NO",HLOOKUP(CR$15,Data_5!$F$10:$BG$42,$A24+2,FALSE)/Data_5!$BK19))))),"")</f>
        <v>NO</v>
      </c>
      <c r="CS24" s="1122" t="str">
        <f>IFERROR(IF(HLOOKUP(CS$15,Data_5!$F$10:$BG$42,$A24+2,FALSE)="NO","NO",IF(HLOOKUP(CS$15,Data_5!$F$10:$BG$42,$A24+2,FALSE)="IE","IE",IF(HLOOKUP(CS$15,Data_5!$F$10:$BG$42,$A24+2,FALSE)="NE","NE",IF(HLOOKUP(CS$15,Data_5!$F$10:$BG$42,$A24+2,FALSE)="C","C",IF(HLOOKUP(CS$15,Data_5!$F$10:$BG$42,$A24+2,FALSE)="NO","NO",HLOOKUP(CS$15,Data_5!$F$10:$BG$42,$A24+2,FALSE)/Data_5!$BK19))))),"")</f>
        <v>NO</v>
      </c>
      <c r="CT24" s="1122" t="str">
        <f>IFERROR(IF(HLOOKUP(CT$15,Data_5!$F$10:$BG$42,$A24+2,FALSE)="NO","NO",IF(HLOOKUP(CT$15,Data_5!$F$10:$BG$42,$A24+2,FALSE)="IE","IE",IF(HLOOKUP(CT$15,Data_5!$F$10:$BG$42,$A24+2,FALSE)="NE","NE",IF(HLOOKUP(CT$15,Data_5!$F$10:$BG$42,$A24+2,FALSE)="C","C",IF(HLOOKUP(CT$15,Data_5!$F$10:$BG$42,$A24+2,FALSE)="NO","NO",HLOOKUP(CT$15,Data_5!$F$10:$BG$42,$A24+2,FALSE)/Data_5!$BK19))))),"")</f>
        <v>NO</v>
      </c>
      <c r="CU24" s="1122" t="str">
        <f>IFERROR(IF(HLOOKUP(CU$15,Data_5!$F$10:$BG$42,$A24+2,FALSE)="NO","NO",IF(HLOOKUP(CU$15,Data_5!$F$10:$BG$42,$A24+2,FALSE)="IE","IE",IF(HLOOKUP(CU$15,Data_5!$F$10:$BG$42,$A24+2,FALSE)="NE","NE",IF(HLOOKUP(CU$15,Data_5!$F$10:$BG$42,$A24+2,FALSE)="C","C",IF(HLOOKUP(CU$15,Data_5!$F$10:$BG$42,$A24+2,FALSE)="NO","NO",HLOOKUP(CU$15,Data_5!$F$10:$BG$42,$A24+2,FALSE)/Data_5!$BK19))))),"")</f>
        <v>NO</v>
      </c>
      <c r="CV24" s="1122" t="str">
        <f>IFERROR(IF(HLOOKUP(CV$15,Data_5!$F$10:$BG$42,$A24+2,FALSE)="NO","NO",IF(HLOOKUP(CV$15,Data_5!$F$10:$BG$42,$A24+2,FALSE)="IE","IE",IF(HLOOKUP(CV$15,Data_5!$F$10:$BG$42,$A24+2,FALSE)="NE","NE",IF(HLOOKUP(CV$15,Data_5!$F$10:$BG$42,$A24+2,FALSE)="C","C",IF(HLOOKUP(CV$15,Data_5!$F$10:$BG$42,$A24+2,FALSE)="NO","NO",HLOOKUP(CV$15,Data_5!$F$10:$BG$42,$A24+2,FALSE)/Data_5!$BK19))))),"")</f>
        <v>NO</v>
      </c>
      <c r="CW24" s="1122" t="str">
        <f>IFERROR(IF(HLOOKUP(CW$15,Data_5!$F$10:$BG$42,$A24+2,FALSE)="NO","NO",IF(HLOOKUP(CW$15,Data_5!$F$10:$BG$42,$A24+2,FALSE)="IE","IE",IF(HLOOKUP(CW$15,Data_5!$F$10:$BG$42,$A24+2,FALSE)="NE","NE",IF(HLOOKUP(CW$15,Data_5!$F$10:$BG$42,$A24+2,FALSE)="C","C",IF(HLOOKUP(CW$15,Data_5!$F$10:$BG$42,$A24+2,FALSE)="NO","NO",HLOOKUP(CW$15,Data_5!$F$10:$BG$42,$A24+2,FALSE)/Data_5!$BK19))))),"")</f>
        <v>NE</v>
      </c>
      <c r="CX24" s="1122">
        <f>IFERROR(IF(HLOOKUP(CX$15,Data_5!$F$10:$BG$42,$A24+2,FALSE)="NO","NO",IF(HLOOKUP(CX$15,Data_5!$F$10:$BG$42,$A24+2,FALSE)="IE","IE",IF(HLOOKUP(CX$15,Data_5!$F$10:$BG$42,$A24+2,FALSE)="NE","NE",IF(HLOOKUP(CX$15,Data_5!$F$10:$BG$42,$A24+2,FALSE)="C","C",IF(HLOOKUP(CX$15,Data_5!$F$10:$BG$42,$A24+2,FALSE)="NO","NO",HLOOKUP(CX$15,Data_5!$F$10:$BG$42,$A24+2,FALSE)/Data_5!$BK19))))),"")</f>
        <v>0.36696937561823628</v>
      </c>
      <c r="CY24" s="1122">
        <f>IFERROR(IF(HLOOKUP(CY$15,Data_5!$F$10:$BG$42,$A24+2,FALSE)="NO","NO",IF(HLOOKUP(CY$15,Data_5!$F$10:$BG$42,$A24+2,FALSE)="IE","IE",IF(HLOOKUP(CY$15,Data_5!$F$10:$BG$42,$A24+2,FALSE)="NE","NE",IF(HLOOKUP(CY$15,Data_5!$F$10:$BG$42,$A24+2,FALSE)="C","C",IF(HLOOKUP(CY$15,Data_5!$F$10:$BG$42,$A24+2,FALSE)="NO","NO",HLOOKUP(CY$15,Data_5!$F$10:$BG$42,$A24+2,FALSE)/Data_5!$BK19))))),"")</f>
        <v>3.3860356803180241E-3</v>
      </c>
      <c r="CZ24" s="1122">
        <f>IFERROR(IF(HLOOKUP(CZ$15,Data_5!$F$10:$BG$42,$A24+2,FALSE)="NO","NO",IF(HLOOKUP(CZ$15,Data_5!$F$10:$BG$42,$A24+2,FALSE)="IE","IE",IF(HLOOKUP(CZ$15,Data_5!$F$10:$BG$42,$A24+2,FALSE)="NE","NE",IF(HLOOKUP(CZ$15,Data_5!$F$10:$BG$42,$A24+2,FALSE)="C","C",IF(HLOOKUP(CZ$15,Data_5!$F$10:$BG$42,$A24+2,FALSE)="NO","NO",HLOOKUP(CZ$15,Data_5!$F$10:$BG$42,$A24+2,FALSE)/Data_5!$BK19))))),"")</f>
        <v>1.3355633859842726E-5</v>
      </c>
      <c r="DA24" s="1122" t="str">
        <f>IFERROR(IF(HLOOKUP(DA$15,Data_5!$F$10:$BG$42,$A24+2,FALSE)="NO","NO",IF(HLOOKUP(DA$15,Data_5!$F$10:$BG$42,$A24+2,FALSE)="IE","IE",IF(HLOOKUP(DA$15,Data_5!$F$10:$BG$42,$A24+2,FALSE)="NE","NE",IF(HLOOKUP(DA$15,Data_5!$F$10:$BG$42,$A24+2,FALSE)="C","C",IF(HLOOKUP(DA$15,Data_5!$F$10:$BG$42,$A24+2,FALSE)="NO","NO",HLOOKUP(DA$15,Data_5!$F$10:$BG$42,$A24+2,FALSE)/Data_5!$BK19))))),"")</f>
        <v>NO</v>
      </c>
      <c r="DB24" s="1122">
        <f>IFERROR(IF(HLOOKUP(DB$15,Data_5!$F$10:$BG$42,$A24+2,FALSE)="NO","NO",IF(HLOOKUP(DB$15,Data_5!$F$10:$BG$42,$A24+2,FALSE)="IE","IE",IF(HLOOKUP(DB$15,Data_5!$F$10:$BG$42,$A24+2,FALSE)="NE","NE",IF(HLOOKUP(DB$15,Data_5!$F$10:$BG$42,$A24+2,FALSE)="C","C",IF(HLOOKUP(DB$15,Data_5!$F$10:$BG$42,$A24+2,FALSE)="NO","NO",HLOOKUP(DB$15,Data_5!$F$10:$BG$42,$A24+2,FALSE)/Data_5!$BK19))))),"")</f>
        <v>5.4732592659927059E-5</v>
      </c>
      <c r="DC24" s="1122">
        <f>IFERROR(IF(HLOOKUP(DC$15,Data_5!$F$10:$BG$42,$A24+2,FALSE)="NO","NO",IF(HLOOKUP(DC$15,Data_5!$F$10:$BG$42,$A24+2,FALSE)="IE","IE",IF(HLOOKUP(DC$15,Data_5!$F$10:$BG$42,$A24+2,FALSE)="NE","NE",IF(HLOOKUP(DC$15,Data_5!$F$10:$BG$42,$A24+2,FALSE)="C","C",IF(HLOOKUP(DC$15,Data_5!$F$10:$BG$42,$A24+2,FALSE)="NO","NO",HLOOKUP(DC$15,Data_5!$F$10:$BG$42,$A24+2,FALSE)/Data_5!$BK19))))),"")</f>
        <v>6.9868799396928485E-2</v>
      </c>
      <c r="DD24" s="1122" t="str">
        <f>IFERROR(IF(HLOOKUP(DD$15,Data_5!$F$10:$BG$42,$A24+2,FALSE)="NO","NO",IF(HLOOKUP(DD$15,Data_5!$F$10:$BG$42,$A24+2,FALSE)="IE","IE",IF(HLOOKUP(DD$15,Data_5!$F$10:$BG$42,$A24+2,FALSE)="NE","NE",IF(HLOOKUP(DD$15,Data_5!$F$10:$BG$42,$A24+2,FALSE)="C","C",IF(HLOOKUP(DD$15,Data_5!$F$10:$BG$42,$A24+2,FALSE)="NO","NO",HLOOKUP(DD$15,Data_5!$F$10:$BG$42,$A24+2,FALSE)/Data_5!$BK19))))),"")</f>
        <v>NO</v>
      </c>
      <c r="DE24" s="1122" t="str">
        <f>IFERROR(IF(HLOOKUP(DE$15,Data_5!$F$10:$BG$42,$A24+2,FALSE)="NO","NO",IF(HLOOKUP(DE$15,Data_5!$F$10:$BG$42,$A24+2,FALSE)="IE","IE",IF(HLOOKUP(DE$15,Data_5!$F$10:$BG$42,$A24+2,FALSE)="NE","NE",IF(HLOOKUP(DE$15,Data_5!$F$10:$BG$42,$A24+2,FALSE)="C","C",IF(HLOOKUP(DE$15,Data_5!$F$10:$BG$42,$A24+2,FALSE)="NO","NO",HLOOKUP(DE$15,Data_5!$F$10:$BG$42,$A24+2,FALSE)/Data_5!$BK19))))),"")</f>
        <v>NO</v>
      </c>
      <c r="DF24" s="1122" t="str">
        <f>IFERROR(IF(HLOOKUP(DF$15,Data_5!$F$10:$BG$42,$A24+2,FALSE)="NO","NO",IF(HLOOKUP(DF$15,Data_5!$F$10:$BG$42,$A24+2,FALSE)="IE","IE",IF(HLOOKUP(DF$15,Data_5!$F$10:$BG$42,$A24+2,FALSE)="NE","NE",IF(HLOOKUP(DF$15,Data_5!$F$10:$BG$42,$A24+2,FALSE)="C","C",IF(HLOOKUP(DF$15,Data_5!$F$10:$BG$42,$A24+2,FALSE)="NO","NO",HLOOKUP(DF$15,Data_5!$F$10:$BG$42,$A24+2,FALSE)/Data_5!$BK19))))),"")</f>
        <v>NO</v>
      </c>
      <c r="DG24" s="1122" t="str">
        <f>IFERROR(IF(HLOOKUP(DG$15,Data_5!$F$10:$BG$42,$A24+2,FALSE)="NO","NO",IF(HLOOKUP(DG$15,Data_5!$F$10:$BG$42,$A24+2,FALSE)="IE","IE",IF(HLOOKUP(DG$15,Data_5!$F$10:$BG$42,$A24+2,FALSE)="NE","NE",IF(HLOOKUP(DG$15,Data_5!$F$10:$BG$42,$A24+2,FALSE)="C","C",IF(HLOOKUP(DG$15,Data_5!$F$10:$BG$42,$A24+2,FALSE)="NO","NO",HLOOKUP(DG$15,Data_5!$F$10:$BG$42,$A24+2,FALSE)/Data_5!$BK19))))),"")</f>
        <v>NO</v>
      </c>
      <c r="DH24" s="1122" t="str">
        <f>IFERROR(IF(HLOOKUP(DH$15,Data_5!$F$10:$BG$42,$A24+2,FALSE)="NO","NO",IF(HLOOKUP(DH$15,Data_5!$F$10:$BG$42,$A24+2,FALSE)="IE","IE",IF(HLOOKUP(DH$15,Data_5!$F$10:$BG$42,$A24+2,FALSE)="NE","NE",IF(HLOOKUP(DH$15,Data_5!$F$10:$BG$42,$A24+2,FALSE)="C","C",IF(HLOOKUP(DH$15,Data_5!$F$10:$BG$42,$A24+2,FALSE)="NO","NO",HLOOKUP(DH$15,Data_5!$F$10:$BG$42,$A24+2,FALSE)/Data_5!$BK19))))),"")</f>
        <v>NO</v>
      </c>
      <c r="DI24" s="1122">
        <f>IFERROR(IF(HLOOKUP(DI$15,Data_5!$F$10:$BG$42,$A24+2,FALSE)="NO","NO",IF(HLOOKUP(DI$15,Data_5!$F$10:$BG$42,$A24+2,FALSE)="IE","IE",IF(HLOOKUP(DI$15,Data_5!$F$10:$BG$42,$A24+2,FALSE)="NE","NE",IF(HLOOKUP(DI$15,Data_5!$F$10:$BG$42,$A24+2,FALSE)="C","C",IF(HLOOKUP(DI$15,Data_5!$F$10:$BG$42,$A24+2,FALSE)="NO","NO",HLOOKUP(DI$15,Data_5!$F$10:$BG$42,$A24+2,FALSE)/Data_5!$BK19))))),"")</f>
        <v>1.9050991172696384E-3</v>
      </c>
      <c r="DJ24" s="1122" t="str">
        <f>IFERROR(IF(HLOOKUP(DJ$15,Data_5!$F$10:$BG$42,$A24+2,FALSE)="NO","NO",IF(HLOOKUP(DJ$15,Data_5!$F$10:$BG$42,$A24+2,FALSE)="IE","IE",IF(HLOOKUP(DJ$15,Data_5!$F$10:$BG$42,$A24+2,FALSE)="NE","NE",IF(HLOOKUP(DJ$15,Data_5!$F$10:$BG$42,$A24+2,FALSE)="C","C",IF(HLOOKUP(DJ$15,Data_5!$F$10:$BG$42,$A24+2,FALSE)="NO","NO",HLOOKUP(DJ$15,Data_5!$F$10:$BG$42,$A24+2,FALSE)/Data_5!$BK19))))),"")</f>
        <v>NO</v>
      </c>
      <c r="DK24" s="1122">
        <f>IFERROR(IF(HLOOKUP(DK$15,Data_5!$F$10:$BG$42,$A24+2,FALSE)="NO","NO",IF(HLOOKUP(DK$15,Data_5!$F$10:$BG$42,$A24+2,FALSE)="IE","IE",IF(HLOOKUP(DK$15,Data_5!$F$10:$BG$42,$A24+2,FALSE)="NE","NE",IF(HLOOKUP(DK$15,Data_5!$F$10:$BG$42,$A24+2,FALSE)="C","C",IF(HLOOKUP(DK$15,Data_5!$F$10:$BG$42,$A24+2,FALSE)="NO","NO",HLOOKUP(DK$15,Data_5!$F$10:$BG$42,$A24+2,FALSE)/Data_5!$BK19))))),"")</f>
        <v>2.9072843231352412E-3</v>
      </c>
      <c r="DL24" s="1122">
        <f>IFERROR(IF(HLOOKUP(DL$15,Data_5!$F$10:$BG$42,$A24+2,FALSE)="NO","NO",IF(HLOOKUP(DL$15,Data_5!$F$10:$BG$42,$A24+2,FALSE)="IE","IE",IF(HLOOKUP(DL$15,Data_5!$F$10:$BG$42,$A24+2,FALSE)="NE","NE",IF(HLOOKUP(DL$15,Data_5!$F$10:$BG$42,$A24+2,FALSE)="C","C",IF(HLOOKUP(DL$15,Data_5!$F$10:$BG$42,$A24+2,FALSE)="NO","NO",HLOOKUP(DL$15,Data_5!$F$10:$BG$42,$A24+2,FALSE)/Data_5!$BK19))))),"")</f>
        <v>1.0470777809769171E-2</v>
      </c>
      <c r="DM24" s="1122" t="str">
        <f>IFERROR(IF(HLOOKUP(DM$15,Data_5!$F$10:$BG$42,$A24+2,FALSE)="NO","NO",IF(HLOOKUP(DM$15,Data_5!$F$10:$BG$42,$A24+2,FALSE)="IE","IE",IF(HLOOKUP(DM$15,Data_5!$F$10:$BG$42,$A24+2,FALSE)="NE","NE",IF(HLOOKUP(DM$15,Data_5!$F$10:$BG$42,$A24+2,FALSE)="C","C",IF(HLOOKUP(DM$15,Data_5!$F$10:$BG$42,$A24+2,FALSE)="NO","NO",HLOOKUP(DM$15,Data_5!$F$10:$BG$42,$A24+2,FALSE)/Data_5!$BK19))))),"")</f>
        <v>NE</v>
      </c>
      <c r="DN24" s="1122" t="str">
        <f>IFERROR(IF(HLOOKUP(DN$15,Data_5!$F$10:$BG$42,$A24+2,FALSE)="NO","NO",IF(HLOOKUP(DN$15,Data_5!$F$10:$BG$42,$A24+2,FALSE)="IE","IE",IF(HLOOKUP(DN$15,Data_5!$F$10:$BG$42,$A24+2,FALSE)="NE","NE",IF(HLOOKUP(DN$15,Data_5!$F$10:$BG$42,$A24+2,FALSE)="C","C",IF(HLOOKUP(DN$15,Data_5!$F$10:$BG$42,$A24+2,FALSE)="NO","NO",HLOOKUP(DN$15,Data_5!$F$10:$BG$42,$A24+2,FALSE)/Data_5!$BK19))))),"")</f>
        <v>NE</v>
      </c>
      <c r="DO24" s="1122" t="str">
        <f>IFERROR(IF(HLOOKUP(DO$15,Data_5!$F$10:$BG$42,$A24+2,FALSE)="NO","NO",IF(HLOOKUP(DO$15,Data_5!$F$10:$BG$42,$A24+2,FALSE)="IE","IE",IF(HLOOKUP(DO$15,Data_5!$F$10:$BG$42,$A24+2,FALSE)="NE","NE",IF(HLOOKUP(DO$15,Data_5!$F$10:$BG$42,$A24+2,FALSE)="C","C",IF(HLOOKUP(DO$15,Data_5!$F$10:$BG$42,$A24+2,FALSE)="NO","NO",HLOOKUP(DO$15,Data_5!$F$10:$BG$42,$A24+2,FALSE)/Data_5!$BK19))))),"")</f>
        <v>NE</v>
      </c>
    </row>
    <row r="25" spans="1:119" s="15" customFormat="1" ht="15" customHeight="1">
      <c r="A25" s="1789">
        <v>9</v>
      </c>
      <c r="B25" s="2628" t="str">
        <f>IF(Data_5!B20&lt;&gt;"",Data_5!B20,"")</f>
        <v>Copenhagen</v>
      </c>
      <c r="C25" s="2629"/>
      <c r="D25" s="1462">
        <f>IFERROR(VLOOKUP($B25,Data_5!$B$12:$C$42,2,FALSE),"")</f>
        <v>2014</v>
      </c>
      <c r="E25" s="1122">
        <f>IFERROR(IF(HLOOKUP(E$15,Data_5!$F$10:$BG$42,$A25+2,FALSE)="NO","NO",IF(HLOOKUP(E$15,Data_5!$F$10:$BG$42,$A25+2,FALSE)="IE","IE",IF(HLOOKUP(E$15,Data_5!$F$10:$BG$42,$A25+2,FALSE)="NE","NE",IF(HLOOKUP(E$15,Data_5!$F$10:$BG$42,$A25+2,FALSE)="C","C",IF(HLOOKUP(E$15,Data_5!$F$10:$BG$42,$A25+2,FALSE)="NO","NO",HLOOKUP(E$15,Data_5!$F$10:$BG$42,$A25+2,FALSE)/Data_5!$BH20))))),"")</f>
        <v>1.0445359768815577E-2</v>
      </c>
      <c r="F25" s="1122">
        <f>IFERROR(IF(HLOOKUP(F$15,Data_5!$F$10:$BG$42,$A25+2,FALSE)="NO","NO",IF(HLOOKUP(F$15,Data_5!$F$10:$BG$42,$A25+2,FALSE)="IE","IE",IF(HLOOKUP(F$15,Data_5!$F$10:$BG$42,$A25+2,FALSE)="NE","NE",IF(HLOOKUP(F$15,Data_5!$F$10:$BG$42,$A25+2,FALSE)="C","C",IF(HLOOKUP(F$15,Data_5!$F$10:$BG$42,$A25+2,FALSE)="NO","NO",HLOOKUP(F$15,Data_5!$F$10:$BG$42,$A25+2,FALSE)/Data_5!$BH20))))),"")</f>
        <v>0.24509947553849643</v>
      </c>
      <c r="G25" s="1122">
        <f>IFERROR(IF(HLOOKUP(G$15,Data_5!$F$10:$BG$42,$A25+2,FALSE)="NO","NO",IF(HLOOKUP(G$15,Data_5!$F$10:$BG$42,$A25+2,FALSE)="IE","IE",IF(HLOOKUP(G$15,Data_5!$F$10:$BG$42,$A25+2,FALSE)="NE","NE",IF(HLOOKUP(G$15,Data_5!$F$10:$BG$42,$A25+2,FALSE)="C","C",IF(HLOOKUP(G$15,Data_5!$F$10:$BG$42,$A25+2,FALSE)="NO","NO",HLOOKUP(G$15,Data_5!$F$10:$BG$42,$A25+2,FALSE)/Data_5!$BH20))))),"")</f>
        <v>5.2554137399116168E-3</v>
      </c>
      <c r="H25" s="1122">
        <f>IFERROR(IF(HLOOKUP(H$15,Data_5!$F$10:$BG$42,$A25+2,FALSE)="NO","NO",IF(HLOOKUP(H$15,Data_5!$F$10:$BG$42,$A25+2,FALSE)="IE","IE",IF(HLOOKUP(H$15,Data_5!$F$10:$BG$42,$A25+2,FALSE)="NE","NE",IF(HLOOKUP(H$15,Data_5!$F$10:$BG$42,$A25+2,FALSE)="C","C",IF(HLOOKUP(H$15,Data_5!$F$10:$BG$42,$A25+2,FALSE)="NO","NO",HLOOKUP(H$15,Data_5!$F$10:$BG$42,$A25+2,FALSE)/Data_5!$BH20))))),"")</f>
        <v>0.33431331935946579</v>
      </c>
      <c r="I25" s="1122">
        <f>IFERROR(IF(HLOOKUP(I$15,Data_5!$F$10:$BG$42,$A25+2,FALSE)="NO","NO",IF(HLOOKUP(I$15,Data_5!$F$10:$BG$42,$A25+2,FALSE)="IE","IE",IF(HLOOKUP(I$15,Data_5!$F$10:$BG$42,$A25+2,FALSE)="NE","NE",IF(HLOOKUP(I$15,Data_5!$F$10:$BG$42,$A25+2,FALSE)="C","C",IF(HLOOKUP(I$15,Data_5!$F$10:$BG$42,$A25+2,FALSE)="NO","NO",HLOOKUP(I$15,Data_5!$F$10:$BG$42,$A25+2,FALSE)/Data_5!$BH20))))),"")</f>
        <v>6.1784805931454113E-3</v>
      </c>
      <c r="J25" s="1122">
        <f>IFERROR(IF(HLOOKUP(J$15,Data_5!$F$10:$BG$42,$A25+2,FALSE)="NO","NO",IF(HLOOKUP(J$15,Data_5!$F$10:$BG$42,$A25+2,FALSE)="IE","IE",IF(HLOOKUP(J$15,Data_5!$F$10:$BG$42,$A25+2,FALSE)="NE","NE",IF(HLOOKUP(J$15,Data_5!$F$10:$BG$42,$A25+2,FALSE)="C","C",IF(HLOOKUP(J$15,Data_5!$F$10:$BG$42,$A25+2,FALSE)="NO","NO",HLOOKUP(J$15,Data_5!$F$10:$BG$42,$A25+2,FALSE)/Data_5!$BH20))))),"")</f>
        <v>5.2744656006077445E-2</v>
      </c>
      <c r="K25" s="1122" t="str">
        <f>IFERROR(IF(HLOOKUP(K$15,Data_5!$F$10:$BG$42,$A25+2,FALSE)="NO","NO",IF(HLOOKUP(K$15,Data_5!$F$10:$BG$42,$A25+2,FALSE)="IE","IE",IF(HLOOKUP(K$15,Data_5!$F$10:$BG$42,$A25+2,FALSE)="NE","NE",IF(HLOOKUP(K$15,Data_5!$F$10:$BG$42,$A25+2,FALSE)="C","C",IF(HLOOKUP(K$15,Data_5!$F$10:$BG$42,$A25+2,FALSE)="NO","NO",HLOOKUP(K$15,Data_5!$F$10:$BG$42,$A25+2,FALSE)/Data_5!$BH20))))),"")</f>
        <v>IE</v>
      </c>
      <c r="L25" s="1122" t="str">
        <f>IFERROR(IF(HLOOKUP(L$15,Data_5!$F$10:$BG$42,$A25+2,FALSE)="NO","NO",IF(HLOOKUP(L$15,Data_5!$F$10:$BG$42,$A25+2,FALSE)="IE","IE",IF(HLOOKUP(L$15,Data_5!$F$10:$BG$42,$A25+2,FALSE)="NE","NE",IF(HLOOKUP(L$15,Data_5!$F$10:$BG$42,$A25+2,FALSE)="C","C",IF(HLOOKUP(L$15,Data_5!$F$10:$BG$42,$A25+2,FALSE)="NO","NO",HLOOKUP(L$15,Data_5!$F$10:$BG$42,$A25+2,FALSE)/Data_5!$BH20))))),"")</f>
        <v>IE</v>
      </c>
      <c r="M25" s="1122" t="str">
        <f>IFERROR(IF(HLOOKUP(M$15,Data_5!$F$10:$BG$42,$A25+2,FALSE)="NO","NO",IF(HLOOKUP(M$15,Data_5!$F$10:$BG$42,$A25+2,FALSE)="IE","IE",IF(HLOOKUP(M$15,Data_5!$F$10:$BG$42,$A25+2,FALSE)="NE","NE",IF(HLOOKUP(M$15,Data_5!$F$10:$BG$42,$A25+2,FALSE)="C","C",IF(HLOOKUP(M$15,Data_5!$F$10:$BG$42,$A25+2,FALSE)="NO","NO",HLOOKUP(M$15,Data_5!$F$10:$BG$42,$A25+2,FALSE)/Data_5!$BH20))))),"")</f>
        <v>IE</v>
      </c>
      <c r="N25" s="1122">
        <f>IFERROR(IF(HLOOKUP(N$15,Data_5!$F$10:$BG$42,$A25+2,FALSE)="NO","NO",IF(HLOOKUP(N$15,Data_5!$F$10:$BG$42,$A25+2,FALSE)="IE","IE",IF(HLOOKUP(N$15,Data_5!$F$10:$BG$42,$A25+2,FALSE)="NE","NE",IF(HLOOKUP(N$15,Data_5!$F$10:$BG$42,$A25+2,FALSE)="C","C",IF(HLOOKUP(N$15,Data_5!$F$10:$BG$42,$A25+2,FALSE)="NO","NO",HLOOKUP(N$15,Data_5!$F$10:$BG$42,$A25+2,FALSE)/Data_5!$BH20))))),"")</f>
        <v>3.7127492608069907E-5</v>
      </c>
      <c r="O25" s="1122" t="str">
        <f>IFERROR(IF(HLOOKUP(O$15,Data_5!$F$10:$BG$42,$A25+2,FALSE)="NO","NO",IF(HLOOKUP(O$15,Data_5!$F$10:$BG$42,$A25+2,FALSE)="IE","IE",IF(HLOOKUP(O$15,Data_5!$F$10:$BG$42,$A25+2,FALSE)="NE","NE",IF(HLOOKUP(O$15,Data_5!$F$10:$BG$42,$A25+2,FALSE)="C","C",IF(HLOOKUP(O$15,Data_5!$F$10:$BG$42,$A25+2,FALSE)="NO","NO",HLOOKUP(O$15,Data_5!$F$10:$BG$42,$A25+2,FALSE)/Data_5!$BH20))))),"")</f>
        <v>NO</v>
      </c>
      <c r="P25" s="1122" t="str">
        <f>IFERROR(IF(HLOOKUP(P$15,Data_5!$F$10:$BG$42,$A25+2,FALSE)="NO","NO",IF(HLOOKUP(P$15,Data_5!$F$10:$BG$42,$A25+2,FALSE)="IE","IE",IF(HLOOKUP(P$15,Data_5!$F$10:$BG$42,$A25+2,FALSE)="NE","NE",IF(HLOOKUP(P$15,Data_5!$F$10:$BG$42,$A25+2,FALSE)="C","C",IF(HLOOKUP(P$15,Data_5!$F$10:$BG$42,$A25+2,FALSE)="NO","NO",HLOOKUP(P$15,Data_5!$F$10:$BG$42,$A25+2,FALSE)/Data_5!$BH20))))),"")</f>
        <v>NO</v>
      </c>
      <c r="Q25" s="1122" t="str">
        <f>IFERROR(IF(HLOOKUP(Q$15,Data_5!$F$10:$BG$42,$A25+2,FALSE)="NO","NO",IF(HLOOKUP(Q$15,Data_5!$F$10:$BG$42,$A25+2,FALSE)="IE","IE",IF(HLOOKUP(Q$15,Data_5!$F$10:$BG$42,$A25+2,FALSE)="NE","NE",IF(HLOOKUP(Q$15,Data_5!$F$10:$BG$42,$A25+2,FALSE)="C","C",IF(HLOOKUP(Q$15,Data_5!$F$10:$BG$42,$A25+2,FALSE)="NO","NO",HLOOKUP(Q$15,Data_5!$F$10:$BG$42,$A25+2,FALSE)/Data_5!$BH20))))),"")</f>
        <v>NO</v>
      </c>
      <c r="R25" s="1122" t="str">
        <f>IFERROR(IF(HLOOKUP(R$15,Data_5!$F$10:$BG$42,$A25+2,FALSE)="NO","NO",IF(HLOOKUP(R$15,Data_5!$F$10:$BG$42,$A25+2,FALSE)="IE","IE",IF(HLOOKUP(R$15,Data_5!$F$10:$BG$42,$A25+2,FALSE)="NE","NE",IF(HLOOKUP(R$15,Data_5!$F$10:$BG$42,$A25+2,FALSE)="C","C",IF(HLOOKUP(R$15,Data_5!$F$10:$BG$42,$A25+2,FALSE)="NO","NO",HLOOKUP(R$15,Data_5!$F$10:$BG$42,$A25+2,FALSE)/Data_5!$BH20))))),"")</f>
        <v>NO</v>
      </c>
      <c r="S25" s="1122">
        <f>IFERROR(IF(HLOOKUP(S$15,Data_5!$F$10:$BG$42,$A25+2,FALSE)="NO","NO",IF(HLOOKUP(S$15,Data_5!$F$10:$BG$42,$A25+2,FALSE)="IE","IE",IF(HLOOKUP(S$15,Data_5!$F$10:$BG$42,$A25+2,FALSE)="NE","NE",IF(HLOOKUP(S$15,Data_5!$F$10:$BG$42,$A25+2,FALSE)="C","C",IF(HLOOKUP(S$15,Data_5!$F$10:$BG$42,$A25+2,FALSE)="NO","NO",HLOOKUP(S$15,Data_5!$F$10:$BG$42,$A25+2,FALSE)/Data_5!$BH20))))),"")</f>
        <v>0.20218462868328796</v>
      </c>
      <c r="T25" s="1122" t="str">
        <f>IFERROR(IF(HLOOKUP(T$15,Data_5!$F$10:$BG$42,$A25+2,FALSE)="NO","NO",IF(HLOOKUP(T$15,Data_5!$F$10:$BG$42,$A25+2,FALSE)="IE","IE",IF(HLOOKUP(T$15,Data_5!$F$10:$BG$42,$A25+2,FALSE)="NE","NE",IF(HLOOKUP(T$15,Data_5!$F$10:$BG$42,$A25+2,FALSE)="C","C",IF(HLOOKUP(T$15,Data_5!$F$10:$BG$42,$A25+2,FALSE)="NO","NO",HLOOKUP(T$15,Data_5!$F$10:$BG$42,$A25+2,FALSE)/Data_5!$BH20))))),"")</f>
        <v>IE</v>
      </c>
      <c r="U25" s="1122">
        <f>IFERROR(IF(HLOOKUP(U$15,Data_5!$F$10:$BG$42,$A25+2,FALSE)="NO","NO",IF(HLOOKUP(U$15,Data_5!$F$10:$BG$42,$A25+2,FALSE)="IE","IE",IF(HLOOKUP(U$15,Data_5!$F$10:$BG$42,$A25+2,FALSE)="NE","NE",IF(HLOOKUP(U$15,Data_5!$F$10:$BG$42,$A25+2,FALSE)="C","C",IF(HLOOKUP(U$15,Data_5!$F$10:$BG$42,$A25+2,FALSE)="NO","NO",HLOOKUP(U$15,Data_5!$F$10:$BG$42,$A25+2,FALSE)/Data_5!$BH20))))),"")</f>
        <v>1.6966759303428983E-3</v>
      </c>
      <c r="V25" s="1122">
        <f>IFERROR(IF(HLOOKUP(V$15,Data_5!$F$10:$BG$42,$A25+2,FALSE)="NO","NO",IF(HLOOKUP(V$15,Data_5!$F$10:$BG$42,$A25+2,FALSE)="IE","IE",IF(HLOOKUP(V$15,Data_5!$F$10:$BG$42,$A25+2,FALSE)="NE","NE",IF(HLOOKUP(V$15,Data_5!$F$10:$BG$42,$A25+2,FALSE)="C","C",IF(HLOOKUP(V$15,Data_5!$F$10:$BG$42,$A25+2,FALSE)="NO","NO",HLOOKUP(V$15,Data_5!$F$10:$BG$42,$A25+2,FALSE)/Data_5!$BH20))))),"")</f>
        <v>1.4788541465612476E-2</v>
      </c>
      <c r="W25" s="1122">
        <f>IFERROR(IF(HLOOKUP(W$15,Data_5!$F$10:$BG$42,$A25+2,FALSE)="NO","NO",IF(HLOOKUP(W$15,Data_5!$F$10:$BG$42,$A25+2,FALSE)="IE","IE",IF(HLOOKUP(W$15,Data_5!$F$10:$BG$42,$A25+2,FALSE)="NE","NE",IF(HLOOKUP(W$15,Data_5!$F$10:$BG$42,$A25+2,FALSE)="C","C",IF(HLOOKUP(W$15,Data_5!$F$10:$BG$42,$A25+2,FALSE)="NO","NO",HLOOKUP(W$15,Data_5!$F$10:$BG$42,$A25+2,FALSE)/Data_5!$BH20))))),"")</f>
        <v>8.1052031769148949E-2</v>
      </c>
      <c r="X25" s="1122" t="str">
        <f>IFERROR(IF(HLOOKUP(X$15,Data_5!$F$10:$BG$42,$A25+2,FALSE)="NO","NO",IF(HLOOKUP(X$15,Data_5!$F$10:$BG$42,$A25+2,FALSE)="IE","IE",IF(HLOOKUP(X$15,Data_5!$F$10:$BG$42,$A25+2,FALSE)="NE","NE",IF(HLOOKUP(X$15,Data_5!$F$10:$BG$42,$A25+2,FALSE)="C","C",IF(HLOOKUP(X$15,Data_5!$F$10:$BG$42,$A25+2,FALSE)="NO","NO",HLOOKUP(X$15,Data_5!$F$10:$BG$42,$A25+2,FALSE)/Data_5!$BH20))))),"")</f>
        <v>NO</v>
      </c>
      <c r="Y25" s="1122" t="str">
        <f>IFERROR(IF(HLOOKUP(Y$15,Data_5!$F$10:$BG$42,$A25+2,FALSE)="NO","NO",IF(HLOOKUP(Y$15,Data_5!$F$10:$BG$42,$A25+2,FALSE)="IE","IE",IF(HLOOKUP(Y$15,Data_5!$F$10:$BG$42,$A25+2,FALSE)="NE","NE",IF(HLOOKUP(Y$15,Data_5!$F$10:$BG$42,$A25+2,FALSE)="C","C",IF(HLOOKUP(Y$15,Data_5!$F$10:$BG$42,$A25+2,FALSE)="NO","NO",HLOOKUP(Y$15,Data_5!$F$10:$BG$42,$A25+2,FALSE)/Data_5!$BH20))))),"")</f>
        <v>NO</v>
      </c>
      <c r="Z25" s="1122" t="str">
        <f>IFERROR(IF(HLOOKUP(Z$15,Data_5!$F$10:$BG$42,$A25+2,FALSE)="NO","NO",IF(HLOOKUP(Z$15,Data_5!$F$10:$BG$42,$A25+2,FALSE)="IE","IE",IF(HLOOKUP(Z$15,Data_5!$F$10:$BG$42,$A25+2,FALSE)="NE","NE",IF(HLOOKUP(Z$15,Data_5!$F$10:$BG$42,$A25+2,FALSE)="C","C",IF(HLOOKUP(Z$15,Data_5!$F$10:$BG$42,$A25+2,FALSE)="NO","NO",HLOOKUP(Z$15,Data_5!$F$10:$BG$42,$A25+2,FALSE)/Data_5!$BH20))))),"")</f>
        <v>NO</v>
      </c>
      <c r="AA25" s="1122">
        <f>IFERROR(IF(HLOOKUP(AA$15,Data_5!$F$10:$BG$42,$A25+2,FALSE)="NO","NO",IF(HLOOKUP(AA$15,Data_5!$F$10:$BG$42,$A25+2,FALSE)="IE","IE",IF(HLOOKUP(AA$15,Data_5!$F$10:$BG$42,$A25+2,FALSE)="NE","NE",IF(HLOOKUP(AA$15,Data_5!$F$10:$BG$42,$A25+2,FALSE)="C","C",IF(HLOOKUP(AA$15,Data_5!$F$10:$BG$42,$A25+2,FALSE)="NO","NO",HLOOKUP(AA$15,Data_5!$F$10:$BG$42,$A25+2,FALSE)/Data_5!$BH20))))),"")</f>
        <v>3.6166574461562392E-2</v>
      </c>
      <c r="AB25" s="1122" t="str">
        <f>IFERROR(IF(HLOOKUP(AB$15,Data_5!$F$10:$BG$42,$A25+2,FALSE)="NO","NO",IF(HLOOKUP(AB$15,Data_5!$F$10:$BG$42,$A25+2,FALSE)="IE","IE",IF(HLOOKUP(AB$15,Data_5!$F$10:$BG$42,$A25+2,FALSE)="NE","NE",IF(HLOOKUP(AB$15,Data_5!$F$10:$BG$42,$A25+2,FALSE)="C","C",IF(HLOOKUP(AB$15,Data_5!$F$10:$BG$42,$A25+2,FALSE)="NO","NO",HLOOKUP(AB$15,Data_5!$F$10:$BG$42,$A25+2,FALSE)/Data_5!$BH20))))),"")</f>
        <v>IE</v>
      </c>
      <c r="AC25" s="1122" t="str">
        <f>IFERROR(IF(HLOOKUP(AC$15,Data_5!$F$10:$BG$42,$A25+2,FALSE)="NO","NO",IF(HLOOKUP(AC$15,Data_5!$F$10:$BG$42,$A25+2,FALSE)="IE","IE",IF(HLOOKUP(AC$15,Data_5!$F$10:$BG$42,$A25+2,FALSE)="NE","NE",IF(HLOOKUP(AC$15,Data_5!$F$10:$BG$42,$A25+2,FALSE)="C","C",IF(HLOOKUP(AC$15,Data_5!$F$10:$BG$42,$A25+2,FALSE)="NO","NO",HLOOKUP(AC$15,Data_5!$F$10:$BG$42,$A25+2,FALSE)/Data_5!$BH20))))),"")</f>
        <v>NO</v>
      </c>
      <c r="AD25" s="1122">
        <f>IFERROR(IF(HLOOKUP(AD$15,Data_5!$F$10:$BG$42,$A25+2,FALSE)="NO","NO",IF(HLOOKUP(AD$15,Data_5!$F$10:$BG$42,$A25+2,FALSE)="IE","IE",IF(HLOOKUP(AD$15,Data_5!$F$10:$BG$42,$A25+2,FALSE)="NE","NE",IF(HLOOKUP(AD$15,Data_5!$F$10:$BG$42,$A25+2,FALSE)="C","C",IF(HLOOKUP(AD$15,Data_5!$F$10:$BG$42,$A25+2,FALSE)="NO","NO",HLOOKUP(AD$15,Data_5!$F$10:$BG$42,$A25+2,FALSE)/Data_5!$BH20))))),"")</f>
        <v>4.3420731304901226E-4</v>
      </c>
      <c r="AE25" s="1122" t="str">
        <f>IFERROR(IF(HLOOKUP(AE$15,Data_5!$F$10:$BG$42,$A25+2,FALSE)="NO","NO",IF(HLOOKUP(AE$15,Data_5!$F$10:$BG$42,$A25+2,FALSE)="IE","IE",IF(HLOOKUP(AE$15,Data_5!$F$10:$BG$42,$A25+2,FALSE)="NE","NE",IF(HLOOKUP(AE$15,Data_5!$F$10:$BG$42,$A25+2,FALSE)="C","C",IF(HLOOKUP(AE$15,Data_5!$F$10:$BG$42,$A25+2,FALSE)="NO","NO",HLOOKUP(AE$15,Data_5!$F$10:$BG$42,$A25+2,FALSE)/Data_5!$BH20))))),"")</f>
        <v>NO</v>
      </c>
      <c r="AF25" s="1122" t="str">
        <f>IFERROR(IF(HLOOKUP(AF$15,Data_5!$F$10:$BG$42,$A25+2,FALSE)="NO","NO",IF(HLOOKUP(AF$15,Data_5!$F$10:$BG$42,$A25+2,FALSE)="IE","IE",IF(HLOOKUP(AF$15,Data_5!$F$10:$BG$42,$A25+2,FALSE)="NE","NE",IF(HLOOKUP(AF$15,Data_5!$F$10:$BG$42,$A25+2,FALSE)="C","C",IF(HLOOKUP(AF$15,Data_5!$F$10:$BG$42,$A25+2,FALSE)="NO","NO",HLOOKUP(AF$15,Data_5!$F$10:$BG$42,$A25+2,FALSE)/Data_5!$BH20))))),"")</f>
        <v>NO</v>
      </c>
      <c r="AG25" s="1122" t="str">
        <f>IFERROR(IF(HLOOKUP(AG$15,Data_5!$F$10:$BG$42,$A25+2,FALSE)="NO","NO",IF(HLOOKUP(AG$15,Data_5!$F$10:$BG$42,$A25+2,FALSE)="IE","IE",IF(HLOOKUP(AG$15,Data_5!$F$10:$BG$42,$A25+2,FALSE)="NE","NE",IF(HLOOKUP(AG$15,Data_5!$F$10:$BG$42,$A25+2,FALSE)="C","C",IF(HLOOKUP(AG$15,Data_5!$F$10:$BG$42,$A25+2,FALSE)="NO","NO",HLOOKUP(AG$15,Data_5!$F$10:$BG$42,$A25+2,FALSE)/Data_5!$BH20))))),"")</f>
        <v>IE</v>
      </c>
      <c r="AH25" s="1122" t="str">
        <f>IFERROR(IF(HLOOKUP(AH$15,Data_5!$F$10:$BG$42,$A25+2,FALSE)="NO","NO",IF(HLOOKUP(AH$15,Data_5!$F$10:$BG$42,$A25+2,FALSE)="IE","IE",IF(HLOOKUP(AH$15,Data_5!$F$10:$BG$42,$A25+2,FALSE)="NE","NE",IF(HLOOKUP(AH$15,Data_5!$F$10:$BG$42,$A25+2,FALSE)="C","C",IF(HLOOKUP(AH$15,Data_5!$F$10:$BG$42,$A25+2,FALSE)="NO","NO",HLOOKUP(AH$15,Data_5!$F$10:$BG$42,$A25+2,FALSE)/Data_5!$BH20))))),"")</f>
        <v>IE</v>
      </c>
      <c r="AI25" s="1122">
        <f>IFERROR(IF(HLOOKUP(AI$15,Data_5!$F$10:$BG$42,$A25+2,FALSE)="NO","NO",IF(HLOOKUP(AI$15,Data_5!$F$10:$BG$42,$A25+2,FALSE)="IE","IE",IF(HLOOKUP(AI$15,Data_5!$F$10:$BG$42,$A25+2,FALSE)="NE","NE",IF(HLOOKUP(AI$15,Data_5!$F$10:$BG$42,$A25+2,FALSE)="C","C",IF(HLOOKUP(AI$15,Data_5!$F$10:$BG$42,$A25+2,FALSE)="NO","NO",HLOOKUP(AI$15,Data_5!$F$10:$BG$42,$A25+2,FALSE)/Data_5!$BH20))))),"")</f>
        <v>9.6035078784760201E-3</v>
      </c>
      <c r="AJ25" s="1122" t="str">
        <f>IFERROR(IF(HLOOKUP(AJ$15,Data_5!$F$10:$BG$42,$A25+2,FALSE)="NO","NO",IF(HLOOKUP(AJ$15,Data_5!$F$10:$BG$42,$A25+2,FALSE)="IE","IE",IF(HLOOKUP(AJ$15,Data_5!$F$10:$BG$42,$A25+2,FALSE)="NE","NE",IF(HLOOKUP(AJ$15,Data_5!$F$10:$BG$42,$A25+2,FALSE)="C","C",IF(HLOOKUP(AJ$15,Data_5!$F$10:$BG$42,$A25+2,FALSE)="NO","NO",HLOOKUP(AJ$15,Data_5!$F$10:$BG$42,$A25+2,FALSE)/Data_5!$BH20))))),"")</f>
        <v>NO</v>
      </c>
      <c r="AL25" s="2628" t="str">
        <f t="shared" si="0"/>
        <v>Copenhagen</v>
      </c>
      <c r="AM25" s="2629"/>
      <c r="AN25" s="1100">
        <f t="shared" si="1"/>
        <v>2014</v>
      </c>
      <c r="AO25" s="1122" t="str">
        <f>IFERROR(IF(VLOOKUP($AL25,Data_5!$B$12:$E$42,4,FALSE)="BASIC","",(IF(HLOOKUP(AO$15,Data_5!$F$10:$BG$42,$A25+2,FALSE)="NO","NO",IF(HLOOKUP(AO$15,Data_5!$F$10:$BG$42,$A25+2,FALSE)="IE","IE",IF(HLOOKUP(AO$15,Data_5!$F$10:$BG$42,$A25+2,FALSE)="NE","NE",IF(HLOOKUP(AO$15,Data_5!$F$10:$BG$42,$A25+2,FALSE)="C","C",IF(HLOOKUP(AO$15,Data_5!$F$10:$BG$42,$A25+2,FALSE)="NO","NO",HLOOKUP(AO$15,Data_5!$F$10:$BG$42,$A25+2,FALSE)/Data_5!$BI20))))))),"")</f>
        <v/>
      </c>
      <c r="AP25" s="1122" t="str">
        <f>IFERROR(IF(VLOOKUP($AL25,Data_5!$B$12:$E$42,4,FALSE)="BASIC","",(IF(HLOOKUP(AP$15,Data_5!$F$10:$BG$42,$A25+2,FALSE)="NO","NO",IF(HLOOKUP(AP$15,Data_5!$F$10:$BG$42,$A25+2,FALSE)="IE","IE",IF(HLOOKUP(AP$15,Data_5!$F$10:$BG$42,$A25+2,FALSE)="NE","NE",IF(HLOOKUP(AP$15,Data_5!$F$10:$BG$42,$A25+2,FALSE)="C","C",IF(HLOOKUP(AP$15,Data_5!$F$10:$BG$42,$A25+2,FALSE)="NO","NO",HLOOKUP(AP$15,Data_5!$F$10:$BG$42,$A25+2,FALSE)/Data_5!$BI20))))))),"")</f>
        <v/>
      </c>
      <c r="AQ25" s="1122" t="str">
        <f>IFERROR(IF(VLOOKUP($AL25,Data_5!$B$12:$E$42,4,FALSE)="BASIC","",(IF(HLOOKUP(AQ$15,Data_5!$F$10:$BG$42,$A25+2,FALSE)="NO","NO",IF(HLOOKUP(AQ$15,Data_5!$F$10:$BG$42,$A25+2,FALSE)="IE","IE",IF(HLOOKUP(AQ$15,Data_5!$F$10:$BG$42,$A25+2,FALSE)="NE","NE",IF(HLOOKUP(AQ$15,Data_5!$F$10:$BG$42,$A25+2,FALSE)="C","C",IF(HLOOKUP(AQ$15,Data_5!$F$10:$BG$42,$A25+2,FALSE)="NO","NO",HLOOKUP(AQ$15,Data_5!$F$10:$BG$42,$A25+2,FALSE)/Data_5!$BI20))))))),"")</f>
        <v/>
      </c>
      <c r="AR25" s="1122" t="str">
        <f>IFERROR(IF(VLOOKUP($AL25,Data_5!$B$12:$E$42,4,FALSE)="BASIC","",(IF(HLOOKUP(AR$15,Data_5!$F$10:$BG$42,$A25+2,FALSE)="NO","NO",IF(HLOOKUP(AR$15,Data_5!$F$10:$BG$42,$A25+2,FALSE)="IE","IE",IF(HLOOKUP(AR$15,Data_5!$F$10:$BG$42,$A25+2,FALSE)="NE","NE",IF(HLOOKUP(AR$15,Data_5!$F$10:$BG$42,$A25+2,FALSE)="C","C",IF(HLOOKUP(AR$15,Data_5!$F$10:$BG$42,$A25+2,FALSE)="NO","NO",HLOOKUP(AR$15,Data_5!$F$10:$BG$42,$A25+2,FALSE)/Data_5!$BI20))))))),"")</f>
        <v/>
      </c>
      <c r="AS25" s="1122" t="str">
        <f>IFERROR(IF(VLOOKUP($AL25,Data_5!$B$12:$E$42,4,FALSE)="BASIC","",(IF(HLOOKUP(AS$15,Data_5!$F$10:$BG$42,$A25+2,FALSE)="NO","NO",IF(HLOOKUP(AS$15,Data_5!$F$10:$BG$42,$A25+2,FALSE)="IE","IE",IF(HLOOKUP(AS$15,Data_5!$F$10:$BG$42,$A25+2,FALSE)="NE","NE",IF(HLOOKUP(AS$15,Data_5!$F$10:$BG$42,$A25+2,FALSE)="C","C",IF(HLOOKUP(AS$15,Data_5!$F$10:$BG$42,$A25+2,FALSE)="NO","NO",HLOOKUP(AS$15,Data_5!$F$10:$BG$42,$A25+2,FALSE)/Data_5!$BI20))))))),"")</f>
        <v/>
      </c>
      <c r="AT25" s="1122" t="str">
        <f>IFERROR(IF(VLOOKUP($AL25,Data_5!$B$12:$E$42,4,FALSE)="BASIC","",(IF(HLOOKUP(AT$15,Data_5!$F$10:$BG$42,$A25+2,FALSE)="NO","NO",IF(HLOOKUP(AT$15,Data_5!$F$10:$BG$42,$A25+2,FALSE)="IE","IE",IF(HLOOKUP(AT$15,Data_5!$F$10:$BG$42,$A25+2,FALSE)="NE","NE",IF(HLOOKUP(AT$15,Data_5!$F$10:$BG$42,$A25+2,FALSE)="C","C",IF(HLOOKUP(AT$15,Data_5!$F$10:$BG$42,$A25+2,FALSE)="NO","NO",HLOOKUP(AT$15,Data_5!$F$10:$BG$42,$A25+2,FALSE)/Data_5!$BI20))))))),"")</f>
        <v/>
      </c>
      <c r="AU25" s="1122" t="str">
        <f>IFERROR(IF(VLOOKUP($AL25,Data_5!$B$12:$E$42,4,FALSE)="BASIC","",(IF(HLOOKUP(AU$15,Data_5!$F$10:$BG$42,$A25+2,FALSE)="NO","NO",IF(HLOOKUP(AU$15,Data_5!$F$10:$BG$42,$A25+2,FALSE)="IE","IE",IF(HLOOKUP(AU$15,Data_5!$F$10:$BG$42,$A25+2,FALSE)="NE","NE",IF(HLOOKUP(AU$15,Data_5!$F$10:$BG$42,$A25+2,FALSE)="C","C",IF(HLOOKUP(AU$15,Data_5!$F$10:$BG$42,$A25+2,FALSE)="NO","NO",HLOOKUP(AU$15,Data_5!$F$10:$BG$42,$A25+2,FALSE)/Data_5!$BI20))))))),"")</f>
        <v/>
      </c>
      <c r="AV25" s="1122" t="str">
        <f>IFERROR(IF(VLOOKUP($AL25,Data_5!$B$12:$E$42,4,FALSE)="BASIC","",(IF(HLOOKUP(AV$15,Data_5!$F$10:$BG$42,$A25+2,FALSE)="NO","NO",IF(HLOOKUP(AV$15,Data_5!$F$10:$BG$42,$A25+2,FALSE)="IE","IE",IF(HLOOKUP(AV$15,Data_5!$F$10:$BG$42,$A25+2,FALSE)="NE","NE",IF(HLOOKUP(AV$15,Data_5!$F$10:$BG$42,$A25+2,FALSE)="C","C",IF(HLOOKUP(AV$15,Data_5!$F$10:$BG$42,$A25+2,FALSE)="NO","NO",HLOOKUP(AV$15,Data_5!$F$10:$BG$42,$A25+2,FALSE)/Data_5!$BI20))))))),"")</f>
        <v/>
      </c>
      <c r="AW25" s="1122" t="str">
        <f>IFERROR(IF(VLOOKUP($AL25,Data_5!$B$12:$E$42,4,FALSE)="BASIC","",(IF(HLOOKUP(AW$15,Data_5!$F$10:$BG$42,$A25+2,FALSE)="NO","NO",IF(HLOOKUP(AW$15,Data_5!$F$10:$BG$42,$A25+2,FALSE)="IE","IE",IF(HLOOKUP(AW$15,Data_5!$F$10:$BG$42,$A25+2,FALSE)="NE","NE",IF(HLOOKUP(AW$15,Data_5!$F$10:$BG$42,$A25+2,FALSE)="C","C",IF(HLOOKUP(AW$15,Data_5!$F$10:$BG$42,$A25+2,FALSE)="NO","NO",HLOOKUP(AW$15,Data_5!$F$10:$BG$42,$A25+2,FALSE)/Data_5!$BI20))))))),"")</f>
        <v/>
      </c>
      <c r="AX25" s="1122" t="str">
        <f>IFERROR(IF(VLOOKUP($AL25,Data_5!$B$12:$E$42,4,FALSE)="BASIC","",(IF(HLOOKUP(AX$15,Data_5!$F$10:$BG$42,$A25+2,FALSE)="NO","NO",IF(HLOOKUP(AX$15,Data_5!$F$10:$BG$42,$A25+2,FALSE)="IE","IE",IF(HLOOKUP(AX$15,Data_5!$F$10:$BG$42,$A25+2,FALSE)="NE","NE",IF(HLOOKUP(AX$15,Data_5!$F$10:$BG$42,$A25+2,FALSE)="C","C",IF(HLOOKUP(AX$15,Data_5!$F$10:$BG$42,$A25+2,FALSE)="NO","NO",HLOOKUP(AX$15,Data_5!$F$10:$BG$42,$A25+2,FALSE)/Data_5!$BI20))))))),"")</f>
        <v/>
      </c>
      <c r="AY25" s="1122" t="str">
        <f>IFERROR(IF(VLOOKUP($AL25,Data_5!$B$12:$E$42,4,FALSE)="BASIC","",(IF(HLOOKUP(AY$15,Data_5!$F$10:$BG$42,$A25+2,FALSE)="NO","NO",IF(HLOOKUP(AY$15,Data_5!$F$10:$BG$42,$A25+2,FALSE)="IE","IE",IF(HLOOKUP(AY$15,Data_5!$F$10:$BG$42,$A25+2,FALSE)="NE","NE",IF(HLOOKUP(AY$15,Data_5!$F$10:$BG$42,$A25+2,FALSE)="C","C",IF(HLOOKUP(AY$15,Data_5!$F$10:$BG$42,$A25+2,FALSE)="NO","NO",HLOOKUP(AY$15,Data_5!$F$10:$BG$42,$A25+2,FALSE)/Data_5!$BI20))))))),"")</f>
        <v/>
      </c>
      <c r="AZ25" s="1122" t="str">
        <f>IFERROR(IF(VLOOKUP($AL25,Data_5!$B$12:$E$42,4,FALSE)="BASIC","",(IF(HLOOKUP(AZ$15,Data_5!$F$10:$BG$42,$A25+2,FALSE)="NO","NO",IF(HLOOKUP(AZ$15,Data_5!$F$10:$BG$42,$A25+2,FALSE)="IE","IE",IF(HLOOKUP(AZ$15,Data_5!$F$10:$BG$42,$A25+2,FALSE)="NE","NE",IF(HLOOKUP(AZ$15,Data_5!$F$10:$BG$42,$A25+2,FALSE)="C","C",IF(HLOOKUP(AZ$15,Data_5!$F$10:$BG$42,$A25+2,FALSE)="NO","NO",HLOOKUP(AZ$15,Data_5!$F$10:$BG$42,$A25+2,FALSE)/Data_5!$BI20))))))),"")</f>
        <v/>
      </c>
      <c r="BA25" s="1122" t="str">
        <f>IFERROR(IF(VLOOKUP($AL25,Data_5!$B$12:$E$42,4,FALSE)="BASIC","",(IF(HLOOKUP(BA$15,Data_5!$F$10:$BG$42,$A25+2,FALSE)="NO","NO",IF(HLOOKUP(BA$15,Data_5!$F$10:$BG$42,$A25+2,FALSE)="IE","IE",IF(HLOOKUP(BA$15,Data_5!$F$10:$BG$42,$A25+2,FALSE)="NE","NE",IF(HLOOKUP(BA$15,Data_5!$F$10:$BG$42,$A25+2,FALSE)="C","C",IF(HLOOKUP(BA$15,Data_5!$F$10:$BG$42,$A25+2,FALSE)="NO","NO",HLOOKUP(BA$15,Data_5!$F$10:$BG$42,$A25+2,FALSE)/Data_5!$BI20))))))),"")</f>
        <v/>
      </c>
      <c r="BB25" s="1122" t="str">
        <f>IFERROR(IF(VLOOKUP($AL25,Data_5!$B$12:$E$42,4,FALSE)="BASIC","",(IF(HLOOKUP(BB$15,Data_5!$F$10:$BG$42,$A25+2,FALSE)="NO","NO",IF(HLOOKUP(BB$15,Data_5!$F$10:$BG$42,$A25+2,FALSE)="IE","IE",IF(HLOOKUP(BB$15,Data_5!$F$10:$BG$42,$A25+2,FALSE)="NE","NE",IF(HLOOKUP(BB$15,Data_5!$F$10:$BG$42,$A25+2,FALSE)="C","C",IF(HLOOKUP(BB$15,Data_5!$F$10:$BG$42,$A25+2,FALSE)="NO","NO",HLOOKUP(BB$15,Data_5!$F$10:$BG$42,$A25+2,FALSE)/Data_5!$BI20))))))),"")</f>
        <v/>
      </c>
      <c r="BC25" s="1122" t="str">
        <f>IFERROR(IF(VLOOKUP($AL25,Data_5!$B$12:$E$42,4,FALSE)="BASIC","",(IF(HLOOKUP(BC$15,Data_5!$F$10:$BG$42,$A25+2,FALSE)="NO","NO",IF(HLOOKUP(BC$15,Data_5!$F$10:$BG$42,$A25+2,FALSE)="IE","IE",IF(HLOOKUP(BC$15,Data_5!$F$10:$BG$42,$A25+2,FALSE)="NE","NE",IF(HLOOKUP(BC$15,Data_5!$F$10:$BG$42,$A25+2,FALSE)="C","C",IF(HLOOKUP(BC$15,Data_5!$F$10:$BG$42,$A25+2,FALSE)="NO","NO",HLOOKUP(BC$15,Data_5!$F$10:$BG$42,$A25+2,FALSE)/Data_5!$BI20))))))),"")</f>
        <v/>
      </c>
      <c r="BD25" s="1122" t="str">
        <f>IFERROR(IF(VLOOKUP($AL25,Data_5!$B$12:$E$42,4,FALSE)="BASIC","",(IF(HLOOKUP(BD$15,Data_5!$F$10:$BG$42,$A25+2,FALSE)="NO","NO",IF(HLOOKUP(BD$15,Data_5!$F$10:$BG$42,$A25+2,FALSE)="IE","IE",IF(HLOOKUP(BD$15,Data_5!$F$10:$BG$42,$A25+2,FALSE)="NE","NE",IF(HLOOKUP(BD$15,Data_5!$F$10:$BG$42,$A25+2,FALSE)="C","C",IF(HLOOKUP(BD$15,Data_5!$F$10:$BG$42,$A25+2,FALSE)="NO","NO",HLOOKUP(BD$15,Data_5!$F$10:$BG$42,$A25+2,FALSE)/Data_5!$BI20))))))),"")</f>
        <v/>
      </c>
      <c r="BE25" s="1122" t="str">
        <f>IFERROR(IF(VLOOKUP($AL25,Data_5!$B$12:$E$42,4,FALSE)="BASIC","",(IF(HLOOKUP(BE$15,Data_5!$F$10:$BG$42,$A25+2,FALSE)="NO","NO",IF(HLOOKUP(BE$15,Data_5!$F$10:$BG$42,$A25+2,FALSE)="IE","IE",IF(HLOOKUP(BE$15,Data_5!$F$10:$BG$42,$A25+2,FALSE)="NE","NE",IF(HLOOKUP(BE$15,Data_5!$F$10:$BG$42,$A25+2,FALSE)="C","C",IF(HLOOKUP(BE$15,Data_5!$F$10:$BG$42,$A25+2,FALSE)="NO","NO",HLOOKUP(BE$15,Data_5!$F$10:$BG$42,$A25+2,FALSE)/Data_5!$BI20))))))),"")</f>
        <v/>
      </c>
      <c r="BF25" s="1122" t="str">
        <f>IFERROR(IF(VLOOKUP($AL25,Data_5!$B$12:$E$42,4,FALSE)="BASIC","",(IF(HLOOKUP(BF$15,Data_5!$F$10:$BG$42,$A25+2,FALSE)="NO","NO",IF(HLOOKUP(BF$15,Data_5!$F$10:$BG$42,$A25+2,FALSE)="IE","IE",IF(HLOOKUP(BF$15,Data_5!$F$10:$BG$42,$A25+2,FALSE)="NE","NE",IF(HLOOKUP(BF$15,Data_5!$F$10:$BG$42,$A25+2,FALSE)="C","C",IF(HLOOKUP(BF$15,Data_5!$F$10:$BG$42,$A25+2,FALSE)="NO","NO",HLOOKUP(BF$15,Data_5!$F$10:$BG$42,$A25+2,FALSE)/Data_5!$BI20))))))),"")</f>
        <v/>
      </c>
      <c r="BG25" s="1122" t="str">
        <f>IFERROR(IF(VLOOKUP($AL25,Data_5!$B$12:$E$42,4,FALSE)="BASIC","",(IF(HLOOKUP(BG$15,Data_5!$F$10:$BG$42,$A25+2,FALSE)="NO","NO",IF(HLOOKUP(BG$15,Data_5!$F$10:$BG$42,$A25+2,FALSE)="IE","IE",IF(HLOOKUP(BG$15,Data_5!$F$10:$BG$42,$A25+2,FALSE)="NE","NE",IF(HLOOKUP(BG$15,Data_5!$F$10:$BG$42,$A25+2,FALSE)="C","C",IF(HLOOKUP(BG$15,Data_5!$F$10:$BG$42,$A25+2,FALSE)="NO","NO",HLOOKUP(BG$15,Data_5!$F$10:$BG$42,$A25+2,FALSE)/Data_5!$BI20))))))),"")</f>
        <v/>
      </c>
      <c r="BH25" s="1122" t="str">
        <f>IFERROR(IF(VLOOKUP($AL25,Data_5!$B$12:$E$42,4,FALSE)="BASIC","",(IF(HLOOKUP(BH$15,Data_5!$F$10:$BG$42,$A25+2,FALSE)="NO","NO",IF(HLOOKUP(BH$15,Data_5!$F$10:$BG$42,$A25+2,FALSE)="IE","IE",IF(HLOOKUP(BH$15,Data_5!$F$10:$BG$42,$A25+2,FALSE)="NE","NE",IF(HLOOKUP(BH$15,Data_5!$F$10:$BG$42,$A25+2,FALSE)="C","C",IF(HLOOKUP(BH$15,Data_5!$F$10:$BG$42,$A25+2,FALSE)="NO","NO",HLOOKUP(BH$15,Data_5!$F$10:$BG$42,$A25+2,FALSE)/Data_5!$BI20))))))),"")</f>
        <v/>
      </c>
      <c r="BI25" s="1122" t="str">
        <f>IFERROR(IF(VLOOKUP($AL25,Data_5!$B$12:$E$42,4,FALSE)="BASIC","",(IF(HLOOKUP(BI$15,Data_5!$F$10:$BG$42,$A25+2,FALSE)="NO","NO",IF(HLOOKUP(BI$15,Data_5!$F$10:$BG$42,$A25+2,FALSE)="IE","IE",IF(HLOOKUP(BI$15,Data_5!$F$10:$BG$42,$A25+2,FALSE)="NE","NE",IF(HLOOKUP(BI$15,Data_5!$F$10:$BG$42,$A25+2,FALSE)="C","C",IF(HLOOKUP(BI$15,Data_5!$F$10:$BG$42,$A25+2,FALSE)="NO","NO",HLOOKUP(BI$15,Data_5!$F$10:$BG$42,$A25+2,FALSE)/Data_5!$BI20))))))),"")</f>
        <v/>
      </c>
      <c r="BJ25" s="1122" t="str">
        <f>IFERROR(IF(VLOOKUP($AL25,Data_5!$B$12:$E$42,4,FALSE)="BASIC","",(IF(HLOOKUP(BJ$15,Data_5!$F$10:$BG$42,$A25+2,FALSE)="NO","NO",IF(HLOOKUP(BJ$15,Data_5!$F$10:$BG$42,$A25+2,FALSE)="IE","IE",IF(HLOOKUP(BJ$15,Data_5!$F$10:$BG$42,$A25+2,FALSE)="NE","NE",IF(HLOOKUP(BJ$15,Data_5!$F$10:$BG$42,$A25+2,FALSE)="C","C",IF(HLOOKUP(BJ$15,Data_5!$F$10:$BG$42,$A25+2,FALSE)="NO","NO",HLOOKUP(BJ$15,Data_5!$F$10:$BG$42,$A25+2,FALSE)/Data_5!$BI20))))))),"")</f>
        <v/>
      </c>
      <c r="BK25" s="1122" t="str">
        <f>IFERROR(IF(VLOOKUP($AL25,Data_5!$B$12:$E$42,4,FALSE)="BASIC","",(IF(HLOOKUP(BK$15,Data_5!$F$10:$BG$42,$A25+2,FALSE)="NO","NO",IF(HLOOKUP(BK$15,Data_5!$F$10:$BG$42,$A25+2,FALSE)="IE","IE",IF(HLOOKUP(BK$15,Data_5!$F$10:$BG$42,$A25+2,FALSE)="NE","NE",IF(HLOOKUP(BK$15,Data_5!$F$10:$BG$42,$A25+2,FALSE)="C","C",IF(HLOOKUP(BK$15,Data_5!$F$10:$BG$42,$A25+2,FALSE)="NO","NO",HLOOKUP(BK$15,Data_5!$F$10:$BG$42,$A25+2,FALSE)/Data_5!$BI20))))))),"")</f>
        <v/>
      </c>
      <c r="BL25" s="1122" t="str">
        <f>IFERROR(IF(VLOOKUP($AL25,Data_5!$B$12:$E$42,4,FALSE)="BASIC","",(IF(HLOOKUP(BL$15,Data_5!$F$10:$BG$42,$A25+2,FALSE)="NO","NO",IF(HLOOKUP(BL$15,Data_5!$F$10:$BG$42,$A25+2,FALSE)="IE","IE",IF(HLOOKUP(BL$15,Data_5!$F$10:$BG$42,$A25+2,FALSE)="NE","NE",IF(HLOOKUP(BL$15,Data_5!$F$10:$BG$42,$A25+2,FALSE)="C","C",IF(HLOOKUP(BL$15,Data_5!$F$10:$BG$42,$A25+2,FALSE)="NO","NO",HLOOKUP(BL$15,Data_5!$F$10:$BG$42,$A25+2,FALSE)/Data_5!$BI20))))))),"")</f>
        <v/>
      </c>
      <c r="BM25" s="1122" t="str">
        <f>IFERROR(IF(VLOOKUP($AL25,Data_5!$B$12:$E$42,4,FALSE)="BASIC","",(IF(HLOOKUP(BM$15,Data_5!$F$10:$BG$42,$A25+2,FALSE)="NO","NO",IF(HLOOKUP(BM$15,Data_5!$F$10:$BG$42,$A25+2,FALSE)="IE","IE",IF(HLOOKUP(BM$15,Data_5!$F$10:$BG$42,$A25+2,FALSE)="NE","NE",IF(HLOOKUP(BM$15,Data_5!$F$10:$BG$42,$A25+2,FALSE)="C","C",IF(HLOOKUP(BM$15,Data_5!$F$10:$BG$42,$A25+2,FALSE)="NO","NO",HLOOKUP(BM$15,Data_5!$F$10:$BG$42,$A25+2,FALSE)/Data_5!$BI20))))))),"")</f>
        <v/>
      </c>
      <c r="BN25" s="1122" t="str">
        <f>IFERROR(IF(VLOOKUP($AL25,Data_5!$B$12:$E$42,4,FALSE)="BASIC","",(IF(HLOOKUP(BN$15,Data_5!$F$10:$BG$42,$A25+2,FALSE)="NO","NO",IF(HLOOKUP(BN$15,Data_5!$F$10:$BG$42,$A25+2,FALSE)="IE","IE",IF(HLOOKUP(BN$15,Data_5!$F$10:$BG$42,$A25+2,FALSE)="NE","NE",IF(HLOOKUP(BN$15,Data_5!$F$10:$BG$42,$A25+2,FALSE)="C","C",IF(HLOOKUP(BN$15,Data_5!$F$10:$BG$42,$A25+2,FALSE)="NO","NO",HLOOKUP(BN$15,Data_5!$F$10:$BG$42,$A25+2,FALSE)/Data_5!$BI20))))))),"")</f>
        <v/>
      </c>
      <c r="BO25" s="1122" t="str">
        <f>IFERROR(IF(VLOOKUP($AL25,Data_5!$B$12:$E$42,4,FALSE)="BASIC","",(IF(HLOOKUP(BO$15,Data_5!$F$10:$BG$42,$A25+2,FALSE)="NO","NO",IF(HLOOKUP(BO$15,Data_5!$F$10:$BG$42,$A25+2,FALSE)="IE","IE",IF(HLOOKUP(BO$15,Data_5!$F$10:$BG$42,$A25+2,FALSE)="NE","NE",IF(HLOOKUP(BO$15,Data_5!$F$10:$BG$42,$A25+2,FALSE)="C","C",IF(HLOOKUP(BO$15,Data_5!$F$10:$BG$42,$A25+2,FALSE)="NO","NO",HLOOKUP(BO$15,Data_5!$F$10:$BG$42,$A25+2,FALSE)/Data_5!$BI20))))))),"")</f>
        <v/>
      </c>
      <c r="BP25" s="1122" t="str">
        <f>IFERROR(IF(VLOOKUP($AL25,Data_5!$B$12:$E$42,4,FALSE)="BASIC","",(IF(HLOOKUP(BP$15,Data_5!$F$10:$BG$42,$A25+2,FALSE)="NO","NO",IF(HLOOKUP(BP$15,Data_5!$F$10:$BG$42,$A25+2,FALSE)="IE","IE",IF(HLOOKUP(BP$15,Data_5!$F$10:$BG$42,$A25+2,FALSE)="NE","NE",IF(HLOOKUP(BP$15,Data_5!$F$10:$BG$42,$A25+2,FALSE)="C","C",IF(HLOOKUP(BP$15,Data_5!$F$10:$BG$42,$A25+2,FALSE)="NO","NO",HLOOKUP(BP$15,Data_5!$F$10:$BG$42,$A25+2,FALSE)/Data_5!$BI20))))))),"")</f>
        <v/>
      </c>
      <c r="BQ25" s="1122" t="str">
        <f>IFERROR(IF(VLOOKUP($AL25,Data_5!$B$12:$E$42,4,FALSE)="BASIC","",(IF(HLOOKUP(BQ$15,Data_5!$F$10:$BG$42,$A25+2,FALSE)="NO","NO",IF(HLOOKUP(BQ$15,Data_5!$F$10:$BG$42,$A25+2,FALSE)="IE","IE",IF(HLOOKUP(BQ$15,Data_5!$F$10:$BG$42,$A25+2,FALSE)="NE","NE",IF(HLOOKUP(BQ$15,Data_5!$F$10:$BG$42,$A25+2,FALSE)="C","C",IF(HLOOKUP(BQ$15,Data_5!$F$10:$BG$42,$A25+2,FALSE)="NO","NO",HLOOKUP(BQ$15,Data_5!$F$10:$BG$42,$A25+2,FALSE)/Data_5!$BI20))))))),"")</f>
        <v/>
      </c>
      <c r="BR25" s="1122" t="str">
        <f>IFERROR(IF(VLOOKUP($AL25,Data_5!$B$12:$E$42,4,FALSE)="BASIC","",(IF(HLOOKUP(BR$15,Data_5!$F$10:$BG$42,$A25+2,FALSE)="NO","NO",IF(HLOOKUP(BR$15,Data_5!$F$10:$BG$42,$A25+2,FALSE)="IE","IE",IF(HLOOKUP(BR$15,Data_5!$F$10:$BG$42,$A25+2,FALSE)="NE","NE",IF(HLOOKUP(BR$15,Data_5!$F$10:$BG$42,$A25+2,FALSE)="C","C",IF(HLOOKUP(BR$15,Data_5!$F$10:$BG$42,$A25+2,FALSE)="NO","NO",HLOOKUP(BR$15,Data_5!$F$10:$BG$42,$A25+2,FALSE)/Data_5!$BI20))))))),"")</f>
        <v/>
      </c>
      <c r="BS25" s="1122" t="str">
        <f>IFERROR(IF(VLOOKUP($AL25,Data_5!$B$12:$E$42,4,FALSE)="BASIC","",(IF(HLOOKUP(BS$15,Data_5!$F$10:$BG$42,$A25+2,FALSE)="NO","NO",IF(HLOOKUP(BS$15,Data_5!$F$10:$BG$42,$A25+2,FALSE)="IE","IE",IF(HLOOKUP(BS$15,Data_5!$F$10:$BG$42,$A25+2,FALSE)="NE","NE",IF(HLOOKUP(BS$15,Data_5!$F$10:$BG$42,$A25+2,FALSE)="C","C",IF(HLOOKUP(BS$15,Data_5!$F$10:$BG$42,$A25+2,FALSE)="NO","NO",HLOOKUP(BS$15,Data_5!$F$10:$BG$42,$A25+2,FALSE)/Data_5!$BI20))))))),"")</f>
        <v/>
      </c>
      <c r="BT25" s="1122" t="str">
        <f>IFERROR(IF(VLOOKUP($AL25,Data_5!$B$12:$E$42,4,FALSE)="BASIC","",(IF(HLOOKUP(BT$15,Data_5!$F$10:$BG$42,$A25+2,FALSE)="NO","NO",IF(HLOOKUP(BT$15,Data_5!$F$10:$BG$42,$A25+2,FALSE)="IE","IE",IF(HLOOKUP(BT$15,Data_5!$F$10:$BG$42,$A25+2,FALSE)="NE","NE",IF(HLOOKUP(BT$15,Data_5!$F$10:$BG$42,$A25+2,FALSE)="C","C",IF(HLOOKUP(BT$15,Data_5!$F$10:$BG$42,$A25+2,FALSE)="NO","NO",HLOOKUP(BT$15,Data_5!$F$10:$BG$42,$A25+2,FALSE)/Data_5!$BI20))))))),"")</f>
        <v/>
      </c>
      <c r="BU25" s="1122" t="str">
        <f>IFERROR(IF(VLOOKUP($AL25,Data_5!$B$12:$E$42,4,FALSE)="BASIC","",(IF(HLOOKUP(BU$15,Data_5!$F$10:$BG$42,$A25+2,FALSE)="NO","NO",IF(HLOOKUP(BU$15,Data_5!$F$10:$BG$42,$A25+2,FALSE)="IE","IE",IF(HLOOKUP(BU$15,Data_5!$F$10:$BG$42,$A25+2,FALSE)="NE","NE",IF(HLOOKUP(BU$15,Data_5!$F$10:$BG$42,$A25+2,FALSE)="C","C",IF(HLOOKUP(BU$15,Data_5!$F$10:$BG$42,$A25+2,FALSE)="NO","NO",HLOOKUP(BU$15,Data_5!$F$10:$BG$42,$A25+2,FALSE)/Data_5!$BI20))))))),"")</f>
        <v/>
      </c>
      <c r="BV25" s="1122" t="str">
        <f>IFERROR(IF(VLOOKUP($AL25,Data_5!$B$12:$E$42,4,FALSE)="BASIC","",(IF(HLOOKUP(BV$15,Data_5!$F$10:$BG$42,$A25+2,FALSE)="NO","NO",IF(HLOOKUP(BV$15,Data_5!$F$10:$BG$42,$A25+2,FALSE)="IE","IE",IF(HLOOKUP(BV$15,Data_5!$F$10:$BG$42,$A25+2,FALSE)="NE","NE",IF(HLOOKUP(BV$15,Data_5!$F$10:$BG$42,$A25+2,FALSE)="C","C",IF(HLOOKUP(BV$15,Data_5!$F$10:$BG$42,$A25+2,FALSE)="NO","NO",HLOOKUP(BV$15,Data_5!$F$10:$BG$42,$A25+2,FALSE)/Data_5!$BI20))))))),"")</f>
        <v/>
      </c>
      <c r="BW25" s="1122" t="str">
        <f>IFERROR(IF(VLOOKUP($AL25,Data_5!$B$12:$E$42,4,FALSE)="BASIC","",(IF(HLOOKUP(BW$15,Data_5!$F$10:$BG$42,$A25+2,FALSE)="NO","NO",IF(HLOOKUP(BW$15,Data_5!$F$10:$BG$42,$A25+2,FALSE)="IE","IE",IF(HLOOKUP(BW$15,Data_5!$F$10:$BG$42,$A25+2,FALSE)="NE","NE",IF(HLOOKUP(BW$15,Data_5!$F$10:$BG$42,$A25+2,FALSE)="C","C",IF(HLOOKUP(BW$15,Data_5!$F$10:$BG$42,$A25+2,FALSE)="NO","NO",HLOOKUP(BW$15,Data_5!$F$10:$BG$42,$A25+2,FALSE)/Data_5!$BI20))))))),"")</f>
        <v/>
      </c>
      <c r="BX25" s="1122" t="str">
        <f>IFERROR(IF(VLOOKUP($AL25,Data_5!$B$12:$E$42,4,FALSE)="BASIC","",(IF(HLOOKUP(BX$15,Data_5!$F$10:$BG$42,$A25+2,FALSE)="NO","NO",IF(HLOOKUP(BX$15,Data_5!$F$10:$BG$42,$A25+2,FALSE)="IE","IE",IF(HLOOKUP(BX$15,Data_5!$F$10:$BG$42,$A25+2,FALSE)="NE","NE",IF(HLOOKUP(BX$15,Data_5!$F$10:$BG$42,$A25+2,FALSE)="C","C",IF(HLOOKUP(BX$15,Data_5!$F$10:$BG$42,$A25+2,FALSE)="NO","NO",HLOOKUP(BX$15,Data_5!$F$10:$BG$42,$A25+2,FALSE)/Data_5!$BI20))))))),"")</f>
        <v/>
      </c>
      <c r="BY25" s="1122" t="str">
        <f>IFERROR(IF(VLOOKUP($AL25,Data_5!$B$12:$E$42,4,FALSE)="BASIC","",(IF(HLOOKUP(BY$15,Data_5!$F$10:$BG$42,$A25+2,FALSE)="NO","NO",IF(HLOOKUP(BY$15,Data_5!$F$10:$BG$42,$A25+2,FALSE)="IE","IE",IF(HLOOKUP(BY$15,Data_5!$F$10:$BG$42,$A25+2,FALSE)="NE","NE",IF(HLOOKUP(BY$15,Data_5!$F$10:$BG$42,$A25+2,FALSE)="C","C",IF(HLOOKUP(BY$15,Data_5!$F$10:$BG$42,$A25+2,FALSE)="NO","NO",HLOOKUP(BY$15,Data_5!$F$10:$BG$42,$A25+2,FALSE)/Data_5!$BI20))))))),"")</f>
        <v/>
      </c>
      <c r="BZ25" s="1122" t="str">
        <f>IFERROR(IF(VLOOKUP($AL25,Data_5!$B$12:$E$42,4,FALSE)="BASIC","",(IF(HLOOKUP(BZ$15,Data_5!$F$10:$BG$42,$A25+2,FALSE)="NO","NO",IF(HLOOKUP(BZ$15,Data_5!$F$10:$BG$42,$A25+2,FALSE)="IE","IE",IF(HLOOKUP(BZ$15,Data_5!$F$10:$BG$42,$A25+2,FALSE)="NE","NE",IF(HLOOKUP(BZ$15,Data_5!$F$10:$BG$42,$A25+2,FALSE)="C","C",IF(HLOOKUP(BZ$15,Data_5!$F$10:$BG$42,$A25+2,FALSE)="NO","NO",HLOOKUP(BZ$15,Data_5!$F$10:$BG$42,$A25+2,FALSE)/Data_5!$BI20))))))),"")</f>
        <v/>
      </c>
      <c r="CA25" s="1122" t="str">
        <f>IFERROR(IF(VLOOKUP($AL25,Data_5!$B$12:$E$42,4,FALSE)="BASIC","",(IF(HLOOKUP(CA$15,Data_5!$F$10:$BG$42,$A25+2,FALSE)="NO","NO",IF(HLOOKUP(CA$15,Data_5!$F$10:$BG$42,$A25+2,FALSE)="IE","IE",IF(HLOOKUP(CA$15,Data_5!$F$10:$BG$42,$A25+2,FALSE)="NE","NE",IF(HLOOKUP(CA$15,Data_5!$F$10:$BG$42,$A25+2,FALSE)="C","C",IF(HLOOKUP(CA$15,Data_5!$F$10:$BG$42,$A25+2,FALSE)="NO","NO",HLOOKUP(CA$15,Data_5!$F$10:$BG$42,$A25+2,FALSE)/Data_5!$BI20))))))),"")</f>
        <v/>
      </c>
      <c r="CB25" s="1122" t="str">
        <f>IFERROR(IF(VLOOKUP($AL25,Data_5!$B$12:$E$42,4,FALSE)="BASIC","",(IF(HLOOKUP(CB$15,Data_5!$F$10:$BG$42,$A25+2,FALSE)="NO","NO",IF(HLOOKUP(CB$15,Data_5!$F$10:$BG$42,$A25+2,FALSE)="IE","IE",IF(HLOOKUP(CB$15,Data_5!$F$10:$BG$42,$A25+2,FALSE)="NE","NE",IF(HLOOKUP(CB$15,Data_5!$F$10:$BG$42,$A25+2,FALSE)="C","C",IF(HLOOKUP(CB$15,Data_5!$F$10:$BG$42,$A25+2,FALSE)="NO","NO",HLOOKUP(CB$15,Data_5!$F$10:$BG$42,$A25+2,FALSE)/Data_5!$BI20))))))),"")</f>
        <v/>
      </c>
      <c r="CC25" s="1122" t="str">
        <f>IFERROR(IF(VLOOKUP($AL25,Data_5!$B$12:$E$42,4,FALSE)="BASIC","",(IF(HLOOKUP(CC$15,Data_5!$F$10:$BG$42,$A25+2,FALSE)="NO","NO",IF(HLOOKUP(CC$15,Data_5!$F$10:$BG$42,$A25+2,FALSE)="IE","IE",IF(HLOOKUP(CC$15,Data_5!$F$10:$BG$42,$A25+2,FALSE)="NE","NE",IF(HLOOKUP(CC$15,Data_5!$F$10:$BG$42,$A25+2,FALSE)="C","C",IF(HLOOKUP(CC$15,Data_5!$F$10:$BG$42,$A25+2,FALSE)="NO","NO",HLOOKUP(CC$15,Data_5!$F$10:$BG$42,$A25+2,FALSE)/Data_5!$BI20))))))),"")</f>
        <v/>
      </c>
      <c r="CD25" s="1122" t="str">
        <f>IFERROR(IF(VLOOKUP($AL25,Data_5!$B$12:$E$42,4,FALSE)="BASIC","",(IF(HLOOKUP(CD$15,Data_5!$F$10:$BG$42,$A25+2,FALSE)="NO","NO",IF(HLOOKUP(CD$15,Data_5!$F$10:$BG$42,$A25+2,FALSE)="IE","IE",IF(HLOOKUP(CD$15,Data_5!$F$10:$BG$42,$A25+2,FALSE)="NE","NE",IF(HLOOKUP(CD$15,Data_5!$F$10:$BG$42,$A25+2,FALSE)="C","C",IF(HLOOKUP(CD$15,Data_5!$F$10:$BG$42,$A25+2,FALSE)="NO","NO",HLOOKUP(CD$15,Data_5!$F$10:$BG$42,$A25+2,FALSE)/Data_5!$BI20))))))),"")</f>
        <v/>
      </c>
      <c r="CE25" s="1122" t="str">
        <f>IFERROR(IF(VLOOKUP($AL25,Data_5!$B$12:$E$42,4,FALSE)="BASIC","",(IF(HLOOKUP(CE$15,Data_5!$F$10:$BG$42,$A25+2,FALSE)="NO","NO",IF(HLOOKUP(CE$15,Data_5!$F$10:$BG$42,$A25+2,FALSE)="IE","IE",IF(HLOOKUP(CE$15,Data_5!$F$10:$BG$42,$A25+2,FALSE)="NE","NE",IF(HLOOKUP(CE$15,Data_5!$F$10:$BG$42,$A25+2,FALSE)="C","C",IF(HLOOKUP(CE$15,Data_5!$F$10:$BG$42,$A25+2,FALSE)="NO","NO",HLOOKUP(CE$15,Data_5!$F$10:$BG$42,$A25+2,FALSE)/Data_5!$BI20))))))),"")</f>
        <v/>
      </c>
      <c r="CF25" s="1122" t="str">
        <f>IFERROR(IF(VLOOKUP($AL25,Data_5!$B$12:$E$42,4,FALSE)="BASIC","",(IF(HLOOKUP(CF$15,Data_5!$F$10:$BG$42,$A25+2,FALSE)="NO","NO",IF(HLOOKUP(CF$15,Data_5!$F$10:$BG$42,$A25+2,FALSE)="IE","IE",IF(HLOOKUP(CF$15,Data_5!$F$10:$BG$42,$A25+2,FALSE)="NE","NE",IF(HLOOKUP(CF$15,Data_5!$F$10:$BG$42,$A25+2,FALSE)="C","C",IF(HLOOKUP(CF$15,Data_5!$F$10:$BG$42,$A25+2,FALSE)="NO","NO",HLOOKUP(CF$15,Data_5!$F$10:$BG$42,$A25+2,FALSE)/Data_5!$BI20))))))),"")</f>
        <v/>
      </c>
      <c r="CG25" s="1122" t="str">
        <f>IFERROR(IF(VLOOKUP($AL25,Data_5!$B$12:$E$42,4,FALSE)="BASIC","",(IF(HLOOKUP(CG$15,Data_5!$F$10:$BG$42,$A25+2,FALSE)="NO","NO",IF(HLOOKUP(CG$15,Data_5!$F$10:$BG$42,$A25+2,FALSE)="IE","IE",IF(HLOOKUP(CG$15,Data_5!$F$10:$BG$42,$A25+2,FALSE)="NE","NE",IF(HLOOKUP(CG$15,Data_5!$F$10:$BG$42,$A25+2,FALSE)="C","C",IF(HLOOKUP(CG$15,Data_5!$F$10:$BG$42,$A25+2,FALSE)="NO","NO",HLOOKUP(CG$15,Data_5!$F$10:$BG$42,$A25+2,FALSE)/Data_5!$BI20))))))),"")</f>
        <v/>
      </c>
      <c r="CH25" s="1122" t="str">
        <f>IFERROR(IF(VLOOKUP($AL25,Data_5!$B$12:$E$42,4,FALSE)="BASIC","",(IF(HLOOKUP(CH$15,Data_5!$F$10:$BG$42,$A25+2,FALSE)="NO","NO",IF(HLOOKUP(CH$15,Data_5!$F$10:$BG$42,$A25+2,FALSE)="IE","IE",IF(HLOOKUP(CH$15,Data_5!$F$10:$BG$42,$A25+2,FALSE)="NE","NE",IF(HLOOKUP(CH$15,Data_5!$F$10:$BG$42,$A25+2,FALSE)="C","C",IF(HLOOKUP(CH$15,Data_5!$F$10:$BG$42,$A25+2,FALSE)="NO","NO",HLOOKUP(CH$15,Data_5!$F$10:$BG$42,$A25+2,FALSE)/Data_5!$BI20))))))),"")</f>
        <v/>
      </c>
      <c r="CI25" s="1122" t="str">
        <f>IFERROR(IF(VLOOKUP($AL25,Data_5!$B$12:$E$42,4,FALSE)="BASIC","",(IF(HLOOKUP(CI$15,Data_5!$F$10:$BG$42,$A25+2,FALSE)="NO","NO",IF(HLOOKUP(CI$15,Data_5!$F$10:$BG$42,$A25+2,FALSE)="IE","IE",IF(HLOOKUP(CI$15,Data_5!$F$10:$BG$42,$A25+2,FALSE)="NE","NE",IF(HLOOKUP(CI$15,Data_5!$F$10:$BG$42,$A25+2,FALSE)="C","C",IF(HLOOKUP(CI$15,Data_5!$F$10:$BG$42,$A25+2,FALSE)="NO","NO",HLOOKUP(CI$15,Data_5!$F$10:$BG$42,$A25+2,FALSE)/Data_5!$BI20))))))),"")</f>
        <v/>
      </c>
      <c r="CJ25" s="1122" t="str">
        <f>IFERROR(IF(VLOOKUP($AL25,Data_5!$B$12:$E$42,4,FALSE)="BASIC","",(IF(HLOOKUP(CJ$15,Data_5!$F$10:$BG$42,$A25+2,FALSE)="NO","NO",IF(HLOOKUP(CJ$15,Data_5!$F$10:$BG$42,$A25+2,FALSE)="IE","IE",IF(HLOOKUP(CJ$15,Data_5!$F$10:$BG$42,$A25+2,FALSE)="NE","NE",IF(HLOOKUP(CJ$15,Data_5!$F$10:$BG$42,$A25+2,FALSE)="C","C",IF(HLOOKUP(CJ$15,Data_5!$F$10:$BG$42,$A25+2,FALSE)="NO","NO",HLOOKUP(CJ$15,Data_5!$F$10:$BG$42,$A25+2,FALSE)/Data_5!$BI20))))))),"")</f>
        <v/>
      </c>
      <c r="CL25" s="2628" t="str">
        <f t="shared" si="2"/>
        <v>Copenhagen</v>
      </c>
      <c r="CM25" s="2629"/>
      <c r="CN25" s="1100">
        <f t="shared" si="3"/>
        <v>2014</v>
      </c>
      <c r="CO25" s="1122">
        <f>IFERROR(IF(HLOOKUP(CO$15,Data_5!$F$10:$BG$42,$A25+2,FALSE)="NO","NO",IF(HLOOKUP(CO$15,Data_5!$F$10:$BG$42,$A25+2,FALSE)="IE","IE",IF(HLOOKUP(CO$15,Data_5!$F$10:$BG$42,$A25+2,FALSE)="NE","NE",IF(HLOOKUP(CO$15,Data_5!$F$10:$BG$42,$A25+2,FALSE)="C","C",IF(HLOOKUP(CO$15,Data_5!$F$10:$BG$42,$A25+2,FALSE)="NO","NO",HLOOKUP(CO$15,Data_5!$F$10:$BG$42,$A25+2,FALSE)/Data_5!$BK20))))),"")</f>
        <v>7.3756510992876992E-3</v>
      </c>
      <c r="CP25" s="1122">
        <f>IFERROR(IF(HLOOKUP(CP$15,Data_5!$F$10:$BG$42,$A25+2,FALSE)="NO","NO",IF(HLOOKUP(CP$15,Data_5!$F$10:$BG$42,$A25+2,FALSE)="IE","IE",IF(HLOOKUP(CP$15,Data_5!$F$10:$BG$42,$A25+2,FALSE)="NE","NE",IF(HLOOKUP(CP$15,Data_5!$F$10:$BG$42,$A25+2,FALSE)="C","C",IF(HLOOKUP(CP$15,Data_5!$F$10:$BG$42,$A25+2,FALSE)="NO","NO",HLOOKUP(CP$15,Data_5!$F$10:$BG$42,$A25+2,FALSE)/Data_5!$BK20))))),"")</f>
        <v>3.7109394971453547E-3</v>
      </c>
      <c r="CQ25" s="1122">
        <f>IFERROR(IF(HLOOKUP(CQ$15,Data_5!$F$10:$BG$42,$A25+2,FALSE)="NO","NO",IF(HLOOKUP(CQ$15,Data_5!$F$10:$BG$42,$A25+2,FALSE)="IE","IE",IF(HLOOKUP(CQ$15,Data_5!$F$10:$BG$42,$A25+2,FALSE)="NE","NE",IF(HLOOKUP(CQ$15,Data_5!$F$10:$BG$42,$A25+2,FALSE)="C","C",IF(HLOOKUP(CQ$15,Data_5!$F$10:$BG$42,$A25+2,FALSE)="NO","NO",HLOOKUP(CQ$15,Data_5!$F$10:$BG$42,$A25+2,FALSE)/Data_5!$BK20))))),"")</f>
        <v>4.3627331357996863E-3</v>
      </c>
      <c r="CR25" s="1122" t="str">
        <f>IFERROR(IF(HLOOKUP(CR$15,Data_5!$F$10:$BG$42,$A25+2,FALSE)="NO","NO",IF(HLOOKUP(CR$15,Data_5!$F$10:$BG$42,$A25+2,FALSE)="IE","IE",IF(HLOOKUP(CR$15,Data_5!$F$10:$BG$42,$A25+2,FALSE)="NE","NE",IF(HLOOKUP(CR$15,Data_5!$F$10:$BG$42,$A25+2,FALSE)="C","C",IF(HLOOKUP(CR$15,Data_5!$F$10:$BG$42,$A25+2,FALSE)="NO","NO",HLOOKUP(CR$15,Data_5!$F$10:$BG$42,$A25+2,FALSE)/Data_5!$BK20))))),"")</f>
        <v>IE</v>
      </c>
      <c r="CS25" s="1122">
        <f>IFERROR(IF(HLOOKUP(CS$15,Data_5!$F$10:$BG$42,$A25+2,FALSE)="NO","NO",IF(HLOOKUP(CS$15,Data_5!$F$10:$BG$42,$A25+2,FALSE)="IE","IE",IF(HLOOKUP(CS$15,Data_5!$F$10:$BG$42,$A25+2,FALSE)="NE","NE",IF(HLOOKUP(CS$15,Data_5!$F$10:$BG$42,$A25+2,FALSE)="C","C",IF(HLOOKUP(CS$15,Data_5!$F$10:$BG$42,$A25+2,FALSE)="NO","NO",HLOOKUP(CS$15,Data_5!$F$10:$BG$42,$A25+2,FALSE)/Data_5!$BK20))))),"")</f>
        <v>0.71754470656538671</v>
      </c>
      <c r="CT25" s="1122" t="str">
        <f>IFERROR(IF(HLOOKUP(CT$15,Data_5!$F$10:$BG$42,$A25+2,FALSE)="NO","NO",IF(HLOOKUP(CT$15,Data_5!$F$10:$BG$42,$A25+2,FALSE)="IE","IE",IF(HLOOKUP(CT$15,Data_5!$F$10:$BG$42,$A25+2,FALSE)="NE","NE",IF(HLOOKUP(CT$15,Data_5!$F$10:$BG$42,$A25+2,FALSE)="C","C",IF(HLOOKUP(CT$15,Data_5!$F$10:$BG$42,$A25+2,FALSE)="NO","NO",HLOOKUP(CT$15,Data_5!$F$10:$BG$42,$A25+2,FALSE)/Data_5!$BK20))))),"")</f>
        <v>IE</v>
      </c>
      <c r="CU25" s="1122" t="str">
        <f>IFERROR(IF(HLOOKUP(CU$15,Data_5!$F$10:$BG$42,$A25+2,FALSE)="NO","NO",IF(HLOOKUP(CU$15,Data_5!$F$10:$BG$42,$A25+2,FALSE)="IE","IE",IF(HLOOKUP(CU$15,Data_5!$F$10:$BG$42,$A25+2,FALSE)="NE","NE",IF(HLOOKUP(CU$15,Data_5!$F$10:$BG$42,$A25+2,FALSE)="C","C",IF(HLOOKUP(CU$15,Data_5!$F$10:$BG$42,$A25+2,FALSE)="NO","NO",HLOOKUP(CU$15,Data_5!$F$10:$BG$42,$A25+2,FALSE)/Data_5!$BK20))))),"")</f>
        <v>NO</v>
      </c>
      <c r="CV25" s="1122" t="str">
        <f>IFERROR(IF(HLOOKUP(CV$15,Data_5!$F$10:$BG$42,$A25+2,FALSE)="NO","NO",IF(HLOOKUP(CV$15,Data_5!$F$10:$BG$42,$A25+2,FALSE)="IE","IE",IF(HLOOKUP(CV$15,Data_5!$F$10:$BG$42,$A25+2,FALSE)="NE","NE",IF(HLOOKUP(CV$15,Data_5!$F$10:$BG$42,$A25+2,FALSE)="C","C",IF(HLOOKUP(CV$15,Data_5!$F$10:$BG$42,$A25+2,FALSE)="NO","NO",HLOOKUP(CV$15,Data_5!$F$10:$BG$42,$A25+2,FALSE)/Data_5!$BK20))))),"")</f>
        <v>NO</v>
      </c>
      <c r="CW25" s="1122" t="str">
        <f>IFERROR(IF(HLOOKUP(CW$15,Data_5!$F$10:$BG$42,$A25+2,FALSE)="NO","NO",IF(HLOOKUP(CW$15,Data_5!$F$10:$BG$42,$A25+2,FALSE)="IE","IE",IF(HLOOKUP(CW$15,Data_5!$F$10:$BG$42,$A25+2,FALSE)="NE","NE",IF(HLOOKUP(CW$15,Data_5!$F$10:$BG$42,$A25+2,FALSE)="C","C",IF(HLOOKUP(CW$15,Data_5!$F$10:$BG$42,$A25+2,FALSE)="NO","NO",HLOOKUP(CW$15,Data_5!$F$10:$BG$42,$A25+2,FALSE)/Data_5!$BK20))))),"")</f>
        <v>NO</v>
      </c>
      <c r="CX25" s="1122">
        <f>IFERROR(IF(HLOOKUP(CX$15,Data_5!$F$10:$BG$42,$A25+2,FALSE)="NO","NO",IF(HLOOKUP(CX$15,Data_5!$F$10:$BG$42,$A25+2,FALSE)="IE","IE",IF(HLOOKUP(CX$15,Data_5!$F$10:$BG$42,$A25+2,FALSE)="NE","NE",IF(HLOOKUP(CX$15,Data_5!$F$10:$BG$42,$A25+2,FALSE)="C","C",IF(HLOOKUP(CX$15,Data_5!$F$10:$BG$42,$A25+2,FALSE)="NO","NO",HLOOKUP(CX$15,Data_5!$F$10:$BG$42,$A25+2,FALSE)/Data_5!$BK20))))),"")</f>
        <v>0.14276610014516172</v>
      </c>
      <c r="CY25" s="1122">
        <f>IFERROR(IF(HLOOKUP(CY$15,Data_5!$F$10:$BG$42,$A25+2,FALSE)="NO","NO",IF(HLOOKUP(CY$15,Data_5!$F$10:$BG$42,$A25+2,FALSE)="IE","IE",IF(HLOOKUP(CY$15,Data_5!$F$10:$BG$42,$A25+2,FALSE)="NE","NE",IF(HLOOKUP(CY$15,Data_5!$F$10:$BG$42,$A25+2,FALSE)="C","C",IF(HLOOKUP(CY$15,Data_5!$F$10:$BG$42,$A25+2,FALSE)="NO","NO",HLOOKUP(CY$15,Data_5!$F$10:$BG$42,$A25+2,FALSE)/Data_5!$BK20))))),"")</f>
        <v>1.198052529327822E-3</v>
      </c>
      <c r="CZ25" s="1122">
        <f>IFERROR(IF(HLOOKUP(CZ$15,Data_5!$F$10:$BG$42,$A25+2,FALSE)="NO","NO",IF(HLOOKUP(CZ$15,Data_5!$F$10:$BG$42,$A25+2,FALSE)="IE","IE",IF(HLOOKUP(CZ$15,Data_5!$F$10:$BG$42,$A25+2,FALSE)="NE","NE",IF(HLOOKUP(CZ$15,Data_5!$F$10:$BG$42,$A25+2,FALSE)="C","C",IF(HLOOKUP(CZ$15,Data_5!$F$10:$BG$42,$A25+2,FALSE)="NO","NO",HLOOKUP(CZ$15,Data_5!$F$10:$BG$42,$A25+2,FALSE)/Data_5!$BK20))))),"")</f>
        <v>5.7232256279231265E-2</v>
      </c>
      <c r="DA25" s="1122" t="str">
        <f>IFERROR(IF(HLOOKUP(DA$15,Data_5!$F$10:$BG$42,$A25+2,FALSE)="NO","NO",IF(HLOOKUP(DA$15,Data_5!$F$10:$BG$42,$A25+2,FALSE)="IE","IE",IF(HLOOKUP(DA$15,Data_5!$F$10:$BG$42,$A25+2,FALSE)="NE","NE",IF(HLOOKUP(DA$15,Data_5!$F$10:$BG$42,$A25+2,FALSE)="C","C",IF(HLOOKUP(DA$15,Data_5!$F$10:$BG$42,$A25+2,FALSE)="NO","NO",HLOOKUP(DA$15,Data_5!$F$10:$BG$42,$A25+2,FALSE)/Data_5!$BK20))))),"")</f>
        <v>NO</v>
      </c>
      <c r="DB25" s="1122">
        <f>IFERROR(IF(HLOOKUP(DB$15,Data_5!$F$10:$BG$42,$A25+2,FALSE)="NO","NO",IF(HLOOKUP(DB$15,Data_5!$F$10:$BG$42,$A25+2,FALSE)="IE","IE",IF(HLOOKUP(DB$15,Data_5!$F$10:$BG$42,$A25+2,FALSE)="NE","NE",IF(HLOOKUP(DB$15,Data_5!$F$10:$BG$42,$A25+2,FALSE)="C","C",IF(HLOOKUP(DB$15,Data_5!$F$10:$BG$42,$A25+2,FALSE)="NO","NO",HLOOKUP(DB$15,Data_5!$F$10:$BG$42,$A25+2,FALSE)/Data_5!$BK20))))),"")</f>
        <v>2.5537850355454122E-2</v>
      </c>
      <c r="DC25" s="1122" t="str">
        <f>IFERROR(IF(HLOOKUP(DC$15,Data_5!$F$10:$BG$42,$A25+2,FALSE)="NO","NO",IF(HLOOKUP(DC$15,Data_5!$F$10:$BG$42,$A25+2,FALSE)="IE","IE",IF(HLOOKUP(DC$15,Data_5!$F$10:$BG$42,$A25+2,FALSE)="NE","NE",IF(HLOOKUP(DC$15,Data_5!$F$10:$BG$42,$A25+2,FALSE)="C","C",IF(HLOOKUP(DC$15,Data_5!$F$10:$BG$42,$A25+2,FALSE)="NO","NO",HLOOKUP(DC$15,Data_5!$F$10:$BG$42,$A25+2,FALSE)/Data_5!$BK20))))),"")</f>
        <v>NO</v>
      </c>
      <c r="DD25" s="1122" t="str">
        <f>IFERROR(IF(HLOOKUP(DD$15,Data_5!$F$10:$BG$42,$A25+2,FALSE)="NO","NO",IF(HLOOKUP(DD$15,Data_5!$F$10:$BG$42,$A25+2,FALSE)="IE","IE",IF(HLOOKUP(DD$15,Data_5!$F$10:$BG$42,$A25+2,FALSE)="NE","NE",IF(HLOOKUP(DD$15,Data_5!$F$10:$BG$42,$A25+2,FALSE)="C","C",IF(HLOOKUP(DD$15,Data_5!$F$10:$BG$42,$A25+2,FALSE)="NO","NO",HLOOKUP(DD$15,Data_5!$F$10:$BG$42,$A25+2,FALSE)/Data_5!$BK20))))),"")</f>
        <v>NO</v>
      </c>
      <c r="DE25" s="1122" t="str">
        <f>IFERROR(IF(HLOOKUP(DE$15,Data_5!$F$10:$BG$42,$A25+2,FALSE)="NO","NO",IF(HLOOKUP(DE$15,Data_5!$F$10:$BG$42,$A25+2,FALSE)="IE","IE",IF(HLOOKUP(DE$15,Data_5!$F$10:$BG$42,$A25+2,FALSE)="NE","NE",IF(HLOOKUP(DE$15,Data_5!$F$10:$BG$42,$A25+2,FALSE)="C","C",IF(HLOOKUP(DE$15,Data_5!$F$10:$BG$42,$A25+2,FALSE)="NO","NO",HLOOKUP(DE$15,Data_5!$F$10:$BG$42,$A25+2,FALSE)/Data_5!$BK20))))),"")</f>
        <v>NO</v>
      </c>
      <c r="DF25" s="1122" t="str">
        <f>IFERROR(IF(HLOOKUP(DF$15,Data_5!$F$10:$BG$42,$A25+2,FALSE)="NO","NO",IF(HLOOKUP(DF$15,Data_5!$F$10:$BG$42,$A25+2,FALSE)="IE","IE",IF(HLOOKUP(DF$15,Data_5!$F$10:$BG$42,$A25+2,FALSE)="NE","NE",IF(HLOOKUP(DF$15,Data_5!$F$10:$BG$42,$A25+2,FALSE)="C","C",IF(HLOOKUP(DF$15,Data_5!$F$10:$BG$42,$A25+2,FALSE)="NO","NO",HLOOKUP(DF$15,Data_5!$F$10:$BG$42,$A25+2,FALSE)/Data_5!$BK20))))),"")</f>
        <v>NO</v>
      </c>
      <c r="DG25" s="1122" t="str">
        <f>IFERROR(IF(HLOOKUP(DG$15,Data_5!$F$10:$BG$42,$A25+2,FALSE)="NO","NO",IF(HLOOKUP(DG$15,Data_5!$F$10:$BG$42,$A25+2,FALSE)="IE","IE",IF(HLOOKUP(DG$15,Data_5!$F$10:$BG$42,$A25+2,FALSE)="NE","NE",IF(HLOOKUP(DG$15,Data_5!$F$10:$BG$42,$A25+2,FALSE)="C","C",IF(HLOOKUP(DG$15,Data_5!$F$10:$BG$42,$A25+2,FALSE)="NO","NO",HLOOKUP(DG$15,Data_5!$F$10:$BG$42,$A25+2,FALSE)/Data_5!$BK20))))),"")</f>
        <v>IE</v>
      </c>
      <c r="DH25" s="1122" t="str">
        <f>IFERROR(IF(HLOOKUP(DH$15,Data_5!$F$10:$BG$42,$A25+2,FALSE)="NO","NO",IF(HLOOKUP(DH$15,Data_5!$F$10:$BG$42,$A25+2,FALSE)="IE","IE",IF(HLOOKUP(DH$15,Data_5!$F$10:$BG$42,$A25+2,FALSE)="NE","NE",IF(HLOOKUP(DH$15,Data_5!$F$10:$BG$42,$A25+2,FALSE)="C","C",IF(HLOOKUP(DH$15,Data_5!$F$10:$BG$42,$A25+2,FALSE)="NO","NO",HLOOKUP(DH$15,Data_5!$F$10:$BG$42,$A25+2,FALSE)/Data_5!$BK20))))),"")</f>
        <v>IE</v>
      </c>
      <c r="DI25" s="1122">
        <f>IFERROR(IF(HLOOKUP(DI$15,Data_5!$F$10:$BG$42,$A25+2,FALSE)="NO","NO",IF(HLOOKUP(DI$15,Data_5!$F$10:$BG$42,$A25+2,FALSE)="IE","IE",IF(HLOOKUP(DI$15,Data_5!$F$10:$BG$42,$A25+2,FALSE)="NE","NE",IF(HLOOKUP(DI$15,Data_5!$F$10:$BG$42,$A25+2,FALSE)="C","C",IF(HLOOKUP(DI$15,Data_5!$F$10:$BG$42,$A25+2,FALSE)="NO","NO",HLOOKUP(DI$15,Data_5!$F$10:$BG$42,$A25+2,FALSE)/Data_5!$BK20))))),"")</f>
        <v>6.7812047654277731E-3</v>
      </c>
      <c r="DJ25" s="1122" t="str">
        <f>IFERROR(IF(HLOOKUP(DJ$15,Data_5!$F$10:$BG$42,$A25+2,FALSE)="NO","NO",IF(HLOOKUP(DJ$15,Data_5!$F$10:$BG$42,$A25+2,FALSE)="IE","IE",IF(HLOOKUP(DJ$15,Data_5!$F$10:$BG$42,$A25+2,FALSE)="NE","NE",IF(HLOOKUP(DJ$15,Data_5!$F$10:$BG$42,$A25+2,FALSE)="C","C",IF(HLOOKUP(DJ$15,Data_5!$F$10:$BG$42,$A25+2,FALSE)="NO","NO",HLOOKUP(DJ$15,Data_5!$F$10:$BG$42,$A25+2,FALSE)/Data_5!$BK20))))),"")</f>
        <v>NO</v>
      </c>
      <c r="DK25" s="1122">
        <f>IFERROR(IF(HLOOKUP(DK$15,Data_5!$F$10:$BG$42,$A25+2,FALSE)="NO","NO",IF(HLOOKUP(DK$15,Data_5!$F$10:$BG$42,$A25+2,FALSE)="IE","IE",IF(HLOOKUP(DK$15,Data_5!$F$10:$BG$42,$A25+2,FALSE)="NE","NE",IF(HLOOKUP(DK$15,Data_5!$F$10:$BG$42,$A25+2,FALSE)="C","C",IF(HLOOKUP(DK$15,Data_5!$F$10:$BG$42,$A25+2,FALSE)="NO","NO",HLOOKUP(DK$15,Data_5!$F$10:$BG$42,$A25+2,FALSE)/Data_5!$BK20))))),"")</f>
        <v>1.5262207542348716E-3</v>
      </c>
      <c r="DL25" s="1122">
        <f>IFERROR(IF(HLOOKUP(DL$15,Data_5!$F$10:$BG$42,$A25+2,FALSE)="NO","NO",IF(HLOOKUP(DL$15,Data_5!$F$10:$BG$42,$A25+2,FALSE)="IE","IE",IF(HLOOKUP(DL$15,Data_5!$F$10:$BG$42,$A25+2,FALSE)="NE","NE",IF(HLOOKUP(DL$15,Data_5!$F$10:$BG$42,$A25+2,FALSE)="C","C",IF(HLOOKUP(DL$15,Data_5!$F$10:$BG$42,$A25+2,FALSE)="NO","NO",HLOOKUP(DL$15,Data_5!$F$10:$BG$42,$A25+2,FALSE)/Data_5!$BK20))))),"")</f>
        <v>3.2861126348212331E-2</v>
      </c>
      <c r="DM25" s="1122" t="str">
        <f>IFERROR(IF(HLOOKUP(DM$15,Data_5!$F$10:$BG$42,$A25+2,FALSE)="NO","NO",IF(HLOOKUP(DM$15,Data_5!$F$10:$BG$42,$A25+2,FALSE)="IE","IE",IF(HLOOKUP(DM$15,Data_5!$F$10:$BG$42,$A25+2,FALSE)="NE","NE",IF(HLOOKUP(DM$15,Data_5!$F$10:$BG$42,$A25+2,FALSE)="C","C",IF(HLOOKUP(DM$15,Data_5!$F$10:$BG$42,$A25+2,FALSE)="NO","NO",HLOOKUP(DM$15,Data_5!$F$10:$BG$42,$A25+2,FALSE)/Data_5!$BK20))))),"")</f>
        <v>NO</v>
      </c>
      <c r="DN25" s="1122">
        <f>IFERROR(IF(HLOOKUP(DN$15,Data_5!$F$10:$BG$42,$A25+2,FALSE)="NO","NO",IF(HLOOKUP(DN$15,Data_5!$F$10:$BG$42,$A25+2,FALSE)="IE","IE",IF(HLOOKUP(DN$15,Data_5!$F$10:$BG$42,$A25+2,FALSE)="NE","NE",IF(HLOOKUP(DN$15,Data_5!$F$10:$BG$42,$A25+2,FALSE)="C","C",IF(HLOOKUP(DN$15,Data_5!$F$10:$BG$42,$A25+2,FALSE)="NO","NO",HLOOKUP(DN$15,Data_5!$F$10:$BG$42,$A25+2,FALSE)/Data_5!$BK20))))),"")</f>
        <v>-9.0706152043352106E-4</v>
      </c>
      <c r="DO25" s="1122">
        <f>IFERROR(IF(HLOOKUP(DO$15,Data_5!$F$10:$BG$42,$A25+2,FALSE)="NO","NO",IF(HLOOKUP(DO$15,Data_5!$F$10:$BG$42,$A25+2,FALSE)="IE","IE",IF(HLOOKUP(DO$15,Data_5!$F$10:$BG$42,$A25+2,FALSE)="NE","NE",IF(HLOOKUP(DO$15,Data_5!$F$10:$BG$42,$A25+2,FALSE)="C","C",IF(HLOOKUP(DO$15,Data_5!$F$10:$BG$42,$A25+2,FALSE)="NO","NO",HLOOKUP(DO$15,Data_5!$F$10:$BG$42,$A25+2,FALSE)/Data_5!$BK20))))),"")</f>
        <v>1.0220045764148441E-5</v>
      </c>
    </row>
    <row r="26" spans="1:119" s="15" customFormat="1" ht="15" customHeight="1">
      <c r="A26" s="1789">
        <v>10</v>
      </c>
      <c r="B26" s="2628" t="str">
        <f>IF(Data_5!B21&lt;&gt;"",Data_5!B21,"")</f>
        <v>District of Columbia</v>
      </c>
      <c r="C26" s="2629"/>
      <c r="D26" s="1462">
        <f>IFERROR(VLOOKUP($B26,Data_5!$B$12:$C$42,2,FALSE),"")</f>
        <v>2013</v>
      </c>
      <c r="E26" s="1122">
        <f>IFERROR(IF(HLOOKUP(E$15,Data_5!$F$10:$BG$42,$A26+2,FALSE)="NO","NO",IF(HLOOKUP(E$15,Data_5!$F$10:$BG$42,$A26+2,FALSE)="IE","IE",IF(HLOOKUP(E$15,Data_5!$F$10:$BG$42,$A26+2,FALSE)="NE","NE",IF(HLOOKUP(E$15,Data_5!$F$10:$BG$42,$A26+2,FALSE)="C","C",IF(HLOOKUP(E$15,Data_5!$F$10:$BG$42,$A26+2,FALSE)="NO","NO",HLOOKUP(E$15,Data_5!$F$10:$BG$42,$A26+2,FALSE)/Data_5!$BH21))))),"")</f>
        <v>7.2534983414969514E-2</v>
      </c>
      <c r="F26" s="1122">
        <f>IFERROR(IF(HLOOKUP(F$15,Data_5!$F$10:$BG$42,$A26+2,FALSE)="NO","NO",IF(HLOOKUP(F$15,Data_5!$F$10:$BG$42,$A26+2,FALSE)="IE","IE",IF(HLOOKUP(F$15,Data_5!$F$10:$BG$42,$A26+2,FALSE)="NE","NE",IF(HLOOKUP(F$15,Data_5!$F$10:$BG$42,$A26+2,FALSE)="C","C",IF(HLOOKUP(F$15,Data_5!$F$10:$BG$42,$A26+2,FALSE)="NO","NO",HLOOKUP(F$15,Data_5!$F$10:$BG$42,$A26+2,FALSE)/Data_5!$BH21))))),"")</f>
        <v>0.10116947448757836</v>
      </c>
      <c r="G26" s="1122">
        <f>IFERROR(IF(HLOOKUP(G$15,Data_5!$F$10:$BG$42,$A26+2,FALSE)="NO","NO",IF(HLOOKUP(G$15,Data_5!$F$10:$BG$42,$A26+2,FALSE)="IE","IE",IF(HLOOKUP(G$15,Data_5!$F$10:$BG$42,$A26+2,FALSE)="NE","NE",IF(HLOOKUP(G$15,Data_5!$F$10:$BG$42,$A26+2,FALSE)="C","C",IF(HLOOKUP(G$15,Data_5!$F$10:$BG$42,$A26+2,FALSE)="NO","NO",HLOOKUP(G$15,Data_5!$F$10:$BG$42,$A26+2,FALSE)/Data_5!$BH21))))),"")</f>
        <v>0.12237218712008413</v>
      </c>
      <c r="H26" s="1122">
        <f>IFERROR(IF(HLOOKUP(H$15,Data_5!$F$10:$BG$42,$A26+2,FALSE)="NO","NO",IF(HLOOKUP(H$15,Data_5!$F$10:$BG$42,$A26+2,FALSE)="IE","IE",IF(HLOOKUP(H$15,Data_5!$F$10:$BG$42,$A26+2,FALSE)="NE","NE",IF(HLOOKUP(H$15,Data_5!$F$10:$BG$42,$A26+2,FALSE)="C","C",IF(HLOOKUP(H$15,Data_5!$F$10:$BG$42,$A26+2,FALSE)="NO","NO",HLOOKUP(H$15,Data_5!$F$10:$BG$42,$A26+2,FALSE)/Data_5!$BH21))))),"")</f>
        <v>0.4844430000524213</v>
      </c>
      <c r="I26" s="1122" t="str">
        <f>IFERROR(IF(HLOOKUP(I$15,Data_5!$F$10:$BG$42,$A26+2,FALSE)="NO","NO",IF(HLOOKUP(I$15,Data_5!$F$10:$BG$42,$A26+2,FALSE)="IE","IE",IF(HLOOKUP(I$15,Data_5!$F$10:$BG$42,$A26+2,FALSE)="NE","NE",IF(HLOOKUP(I$15,Data_5!$F$10:$BG$42,$A26+2,FALSE)="C","C",IF(HLOOKUP(I$15,Data_5!$F$10:$BG$42,$A26+2,FALSE)="NO","NO",HLOOKUP(I$15,Data_5!$F$10:$BG$42,$A26+2,FALSE)/Data_5!$BH21))))),"")</f>
        <v>NO</v>
      </c>
      <c r="J26" s="1122" t="str">
        <f>IFERROR(IF(HLOOKUP(J$15,Data_5!$F$10:$BG$42,$A26+2,FALSE)="NO","NO",IF(HLOOKUP(J$15,Data_5!$F$10:$BG$42,$A26+2,FALSE)="IE","IE",IF(HLOOKUP(J$15,Data_5!$F$10:$BG$42,$A26+2,FALSE)="NE","NE",IF(HLOOKUP(J$15,Data_5!$F$10:$BG$42,$A26+2,FALSE)="C","C",IF(HLOOKUP(J$15,Data_5!$F$10:$BG$42,$A26+2,FALSE)="NO","NO",HLOOKUP(J$15,Data_5!$F$10:$BG$42,$A26+2,FALSE)/Data_5!$BH21))))),"")</f>
        <v>NO</v>
      </c>
      <c r="K26" s="1122" t="str">
        <f>IFERROR(IF(HLOOKUP(K$15,Data_5!$F$10:$BG$42,$A26+2,FALSE)="NO","NO",IF(HLOOKUP(K$15,Data_5!$F$10:$BG$42,$A26+2,FALSE)="IE","IE",IF(HLOOKUP(K$15,Data_5!$F$10:$BG$42,$A26+2,FALSE)="NE","NE",IF(HLOOKUP(K$15,Data_5!$F$10:$BG$42,$A26+2,FALSE)="C","C",IF(HLOOKUP(K$15,Data_5!$F$10:$BG$42,$A26+2,FALSE)="NO","NO",HLOOKUP(K$15,Data_5!$F$10:$BG$42,$A26+2,FALSE)/Data_5!$BH21))))),"")</f>
        <v>NO</v>
      </c>
      <c r="L26" s="1122" t="str">
        <f>IFERROR(IF(HLOOKUP(L$15,Data_5!$F$10:$BG$42,$A26+2,FALSE)="NO","NO",IF(HLOOKUP(L$15,Data_5!$F$10:$BG$42,$A26+2,FALSE)="IE","IE",IF(HLOOKUP(L$15,Data_5!$F$10:$BG$42,$A26+2,FALSE)="NE","NE",IF(HLOOKUP(L$15,Data_5!$F$10:$BG$42,$A26+2,FALSE)="C","C",IF(HLOOKUP(L$15,Data_5!$F$10:$BG$42,$A26+2,FALSE)="NO","NO",HLOOKUP(L$15,Data_5!$F$10:$BG$42,$A26+2,FALSE)/Data_5!$BH21))))),"")</f>
        <v>NO</v>
      </c>
      <c r="M26" s="1122" t="str">
        <f>IFERROR(IF(HLOOKUP(M$15,Data_5!$F$10:$BG$42,$A26+2,FALSE)="NO","NO",IF(HLOOKUP(M$15,Data_5!$F$10:$BG$42,$A26+2,FALSE)="IE","IE",IF(HLOOKUP(M$15,Data_5!$F$10:$BG$42,$A26+2,FALSE)="NE","NE",IF(HLOOKUP(M$15,Data_5!$F$10:$BG$42,$A26+2,FALSE)="C","C",IF(HLOOKUP(M$15,Data_5!$F$10:$BG$42,$A26+2,FALSE)="NO","NO",HLOOKUP(M$15,Data_5!$F$10:$BG$42,$A26+2,FALSE)/Data_5!$BH21))))),"")</f>
        <v>NO</v>
      </c>
      <c r="N26" s="1122" t="str">
        <f>IFERROR(IF(HLOOKUP(N$15,Data_5!$F$10:$BG$42,$A26+2,FALSE)="NO","NO",IF(HLOOKUP(N$15,Data_5!$F$10:$BG$42,$A26+2,FALSE)="IE","IE",IF(HLOOKUP(N$15,Data_5!$F$10:$BG$42,$A26+2,FALSE)="NE","NE",IF(HLOOKUP(N$15,Data_5!$F$10:$BG$42,$A26+2,FALSE)="C","C",IF(HLOOKUP(N$15,Data_5!$F$10:$BG$42,$A26+2,FALSE)="NO","NO",HLOOKUP(N$15,Data_5!$F$10:$BG$42,$A26+2,FALSE)/Data_5!$BH21))))),"")</f>
        <v>NO</v>
      </c>
      <c r="O26" s="1122" t="str">
        <f>IFERROR(IF(HLOOKUP(O$15,Data_5!$F$10:$BG$42,$A26+2,FALSE)="NO","NO",IF(HLOOKUP(O$15,Data_5!$F$10:$BG$42,$A26+2,FALSE)="IE","IE",IF(HLOOKUP(O$15,Data_5!$F$10:$BG$42,$A26+2,FALSE)="NE","NE",IF(HLOOKUP(O$15,Data_5!$F$10:$BG$42,$A26+2,FALSE)="C","C",IF(HLOOKUP(O$15,Data_5!$F$10:$BG$42,$A26+2,FALSE)="NO","NO",HLOOKUP(O$15,Data_5!$F$10:$BG$42,$A26+2,FALSE)/Data_5!$BH21))))),"")</f>
        <v>NO</v>
      </c>
      <c r="P26" s="1122" t="str">
        <f>IFERROR(IF(HLOOKUP(P$15,Data_5!$F$10:$BG$42,$A26+2,FALSE)="NO","NO",IF(HLOOKUP(P$15,Data_5!$F$10:$BG$42,$A26+2,FALSE)="IE","IE",IF(HLOOKUP(P$15,Data_5!$F$10:$BG$42,$A26+2,FALSE)="NE","NE",IF(HLOOKUP(P$15,Data_5!$F$10:$BG$42,$A26+2,FALSE)="C","C",IF(HLOOKUP(P$15,Data_5!$F$10:$BG$42,$A26+2,FALSE)="NO","NO",HLOOKUP(P$15,Data_5!$F$10:$BG$42,$A26+2,FALSE)/Data_5!$BH21))))),"")</f>
        <v>NO</v>
      </c>
      <c r="Q26" s="1122" t="str">
        <f>IFERROR(IF(HLOOKUP(Q$15,Data_5!$F$10:$BG$42,$A26+2,FALSE)="NO","NO",IF(HLOOKUP(Q$15,Data_5!$F$10:$BG$42,$A26+2,FALSE)="IE","IE",IF(HLOOKUP(Q$15,Data_5!$F$10:$BG$42,$A26+2,FALSE)="NE","NE",IF(HLOOKUP(Q$15,Data_5!$F$10:$BG$42,$A26+2,FALSE)="C","C",IF(HLOOKUP(Q$15,Data_5!$F$10:$BG$42,$A26+2,FALSE)="NO","NO",HLOOKUP(Q$15,Data_5!$F$10:$BG$42,$A26+2,FALSE)/Data_5!$BH21))))),"")</f>
        <v>NO</v>
      </c>
      <c r="R26" s="1122">
        <f>IFERROR(IF(HLOOKUP(R$15,Data_5!$F$10:$BG$42,$A26+2,FALSE)="NO","NO",IF(HLOOKUP(R$15,Data_5!$F$10:$BG$42,$A26+2,FALSE)="IE","IE",IF(HLOOKUP(R$15,Data_5!$F$10:$BG$42,$A26+2,FALSE)="NE","NE",IF(HLOOKUP(R$15,Data_5!$F$10:$BG$42,$A26+2,FALSE)="C","C",IF(HLOOKUP(R$15,Data_5!$F$10:$BG$42,$A26+2,FALSE)="NO","NO",HLOOKUP(R$15,Data_5!$F$10:$BG$42,$A26+2,FALSE)/Data_5!$BH21))))),"")</f>
        <v>2.649990730024978E-3</v>
      </c>
      <c r="S26" s="1122">
        <f>IFERROR(IF(HLOOKUP(S$15,Data_5!$F$10:$BG$42,$A26+2,FALSE)="NO","NO",IF(HLOOKUP(S$15,Data_5!$F$10:$BG$42,$A26+2,FALSE)="IE","IE",IF(HLOOKUP(S$15,Data_5!$F$10:$BG$42,$A26+2,FALSE)="NE","NE",IF(HLOOKUP(S$15,Data_5!$F$10:$BG$42,$A26+2,FALSE)="C","C",IF(HLOOKUP(S$15,Data_5!$F$10:$BG$42,$A26+2,FALSE)="NO","NO",HLOOKUP(S$15,Data_5!$F$10:$BG$42,$A26+2,FALSE)/Data_5!$BH21))))),"")</f>
        <v>0.1788679671400113</v>
      </c>
      <c r="T26" s="1122" t="str">
        <f>IFERROR(IF(HLOOKUP(T$15,Data_5!$F$10:$BG$42,$A26+2,FALSE)="NO","NO",IF(HLOOKUP(T$15,Data_5!$F$10:$BG$42,$A26+2,FALSE)="IE","IE",IF(HLOOKUP(T$15,Data_5!$F$10:$BG$42,$A26+2,FALSE)="NE","NE",IF(HLOOKUP(T$15,Data_5!$F$10:$BG$42,$A26+2,FALSE)="C","C",IF(HLOOKUP(T$15,Data_5!$F$10:$BG$42,$A26+2,FALSE)="NO","NO",HLOOKUP(T$15,Data_5!$F$10:$BG$42,$A26+2,FALSE)/Data_5!$BH21))))),"")</f>
        <v>IE</v>
      </c>
      <c r="U26" s="1122" t="str">
        <f>IFERROR(IF(HLOOKUP(U$15,Data_5!$F$10:$BG$42,$A26+2,FALSE)="NO","NO",IF(HLOOKUP(U$15,Data_5!$F$10:$BG$42,$A26+2,FALSE)="IE","IE",IF(HLOOKUP(U$15,Data_5!$F$10:$BG$42,$A26+2,FALSE)="NE","NE",IF(HLOOKUP(U$15,Data_5!$F$10:$BG$42,$A26+2,FALSE)="C","C",IF(HLOOKUP(U$15,Data_5!$F$10:$BG$42,$A26+2,FALSE)="NO","NO",HLOOKUP(U$15,Data_5!$F$10:$BG$42,$A26+2,FALSE)/Data_5!$BH21))))),"")</f>
        <v>NO</v>
      </c>
      <c r="V26" s="1122">
        <f>IFERROR(IF(HLOOKUP(V$15,Data_5!$F$10:$BG$42,$A26+2,FALSE)="NO","NO",IF(HLOOKUP(V$15,Data_5!$F$10:$BG$42,$A26+2,FALSE)="IE","IE",IF(HLOOKUP(V$15,Data_5!$F$10:$BG$42,$A26+2,FALSE)="NE","NE",IF(HLOOKUP(V$15,Data_5!$F$10:$BG$42,$A26+2,FALSE)="C","C",IF(HLOOKUP(V$15,Data_5!$F$10:$BG$42,$A26+2,FALSE)="NO","NO",HLOOKUP(V$15,Data_5!$F$10:$BG$42,$A26+2,FALSE)/Data_5!$BH21))))),"")</f>
        <v>1.5284233005687063E-2</v>
      </c>
      <c r="W26" s="1122" t="str">
        <f>IFERROR(IF(HLOOKUP(W$15,Data_5!$F$10:$BG$42,$A26+2,FALSE)="NO","NO",IF(HLOOKUP(W$15,Data_5!$F$10:$BG$42,$A26+2,FALSE)="IE","IE",IF(HLOOKUP(W$15,Data_5!$F$10:$BG$42,$A26+2,FALSE)="NE","NE",IF(HLOOKUP(W$15,Data_5!$F$10:$BG$42,$A26+2,FALSE)="C","C",IF(HLOOKUP(W$15,Data_5!$F$10:$BG$42,$A26+2,FALSE)="NO","NO",HLOOKUP(W$15,Data_5!$F$10:$BG$42,$A26+2,FALSE)/Data_5!$BH21))))),"")</f>
        <v>NO</v>
      </c>
      <c r="X26" s="1122" t="str">
        <f>IFERROR(IF(HLOOKUP(X$15,Data_5!$F$10:$BG$42,$A26+2,FALSE)="NO","NO",IF(HLOOKUP(X$15,Data_5!$F$10:$BG$42,$A26+2,FALSE)="IE","IE",IF(HLOOKUP(X$15,Data_5!$F$10:$BG$42,$A26+2,FALSE)="NE","NE",IF(HLOOKUP(X$15,Data_5!$F$10:$BG$42,$A26+2,FALSE)="C","C",IF(HLOOKUP(X$15,Data_5!$F$10:$BG$42,$A26+2,FALSE)="NO","NO",HLOOKUP(X$15,Data_5!$F$10:$BG$42,$A26+2,FALSE)/Data_5!$BH21))))),"")</f>
        <v>NO</v>
      </c>
      <c r="Y26" s="1122" t="str">
        <f>IFERROR(IF(HLOOKUP(Y$15,Data_5!$F$10:$BG$42,$A26+2,FALSE)="NO","NO",IF(HLOOKUP(Y$15,Data_5!$F$10:$BG$42,$A26+2,FALSE)="IE","IE",IF(HLOOKUP(Y$15,Data_5!$F$10:$BG$42,$A26+2,FALSE)="NE","NE",IF(HLOOKUP(Y$15,Data_5!$F$10:$BG$42,$A26+2,FALSE)="C","C",IF(HLOOKUP(Y$15,Data_5!$F$10:$BG$42,$A26+2,FALSE)="NO","NO",HLOOKUP(Y$15,Data_5!$F$10:$BG$42,$A26+2,FALSE)/Data_5!$BH21))))),"")</f>
        <v>NO</v>
      </c>
      <c r="Z26" s="1122" t="str">
        <f>IFERROR(IF(HLOOKUP(Z$15,Data_5!$F$10:$BG$42,$A26+2,FALSE)="NO","NO",IF(HLOOKUP(Z$15,Data_5!$F$10:$BG$42,$A26+2,FALSE)="IE","IE",IF(HLOOKUP(Z$15,Data_5!$F$10:$BG$42,$A26+2,FALSE)="NE","NE",IF(HLOOKUP(Z$15,Data_5!$F$10:$BG$42,$A26+2,FALSE)="C","C",IF(HLOOKUP(Z$15,Data_5!$F$10:$BG$42,$A26+2,FALSE)="NO","NO",HLOOKUP(Z$15,Data_5!$F$10:$BG$42,$A26+2,FALSE)/Data_5!$BH21))))),"")</f>
        <v>NO</v>
      </c>
      <c r="AA26" s="1122" t="str">
        <f>IFERROR(IF(HLOOKUP(AA$15,Data_5!$F$10:$BG$42,$A26+2,FALSE)="NO","NO",IF(HLOOKUP(AA$15,Data_5!$F$10:$BG$42,$A26+2,FALSE)="IE","IE",IF(HLOOKUP(AA$15,Data_5!$F$10:$BG$42,$A26+2,FALSE)="NE","NE",IF(HLOOKUP(AA$15,Data_5!$F$10:$BG$42,$A26+2,FALSE)="C","C",IF(HLOOKUP(AA$15,Data_5!$F$10:$BG$42,$A26+2,FALSE)="NO","NO",HLOOKUP(AA$15,Data_5!$F$10:$BG$42,$A26+2,FALSE)/Data_5!$BH21))))),"")</f>
        <v>NO</v>
      </c>
      <c r="AB26" s="1122" t="str">
        <f>IFERROR(IF(HLOOKUP(AB$15,Data_5!$F$10:$BG$42,$A26+2,FALSE)="NO","NO",IF(HLOOKUP(AB$15,Data_5!$F$10:$BG$42,$A26+2,FALSE)="IE","IE",IF(HLOOKUP(AB$15,Data_5!$F$10:$BG$42,$A26+2,FALSE)="NE","NE",IF(HLOOKUP(AB$15,Data_5!$F$10:$BG$42,$A26+2,FALSE)="C","C",IF(HLOOKUP(AB$15,Data_5!$F$10:$BG$42,$A26+2,FALSE)="NO","NO",HLOOKUP(AB$15,Data_5!$F$10:$BG$42,$A26+2,FALSE)/Data_5!$BH21))))),"")</f>
        <v>NO</v>
      </c>
      <c r="AC26" s="1122" t="str">
        <f>IFERROR(IF(HLOOKUP(AC$15,Data_5!$F$10:$BG$42,$A26+2,FALSE)="NO","NO",IF(HLOOKUP(AC$15,Data_5!$F$10:$BG$42,$A26+2,FALSE)="IE","IE",IF(HLOOKUP(AC$15,Data_5!$F$10:$BG$42,$A26+2,FALSE)="NE","NE",IF(HLOOKUP(AC$15,Data_5!$F$10:$BG$42,$A26+2,FALSE)="C","C",IF(HLOOKUP(AC$15,Data_5!$F$10:$BG$42,$A26+2,FALSE)="NO","NO",HLOOKUP(AC$15,Data_5!$F$10:$BG$42,$A26+2,FALSE)/Data_5!$BH21))))),"")</f>
        <v>NO</v>
      </c>
      <c r="AD26" s="1122">
        <f>IFERROR(IF(HLOOKUP(AD$15,Data_5!$F$10:$BG$42,$A26+2,FALSE)="NO","NO",IF(HLOOKUP(AD$15,Data_5!$F$10:$BG$42,$A26+2,FALSE)="IE","IE",IF(HLOOKUP(AD$15,Data_5!$F$10:$BG$42,$A26+2,FALSE)="NE","NE",IF(HLOOKUP(AD$15,Data_5!$F$10:$BG$42,$A26+2,FALSE)="C","C",IF(HLOOKUP(AD$15,Data_5!$F$10:$BG$42,$A26+2,FALSE)="NO","NO",HLOOKUP(AD$15,Data_5!$F$10:$BG$42,$A26+2,FALSE)/Data_5!$BH21))))),"")</f>
        <v>2.1951294326658762E-2</v>
      </c>
      <c r="AE26" s="1122" t="str">
        <f>IFERROR(IF(HLOOKUP(AE$15,Data_5!$F$10:$BG$42,$A26+2,FALSE)="NO","NO",IF(HLOOKUP(AE$15,Data_5!$F$10:$BG$42,$A26+2,FALSE)="IE","IE",IF(HLOOKUP(AE$15,Data_5!$F$10:$BG$42,$A26+2,FALSE)="NE","NE",IF(HLOOKUP(AE$15,Data_5!$F$10:$BG$42,$A26+2,FALSE)="C","C",IF(HLOOKUP(AE$15,Data_5!$F$10:$BG$42,$A26+2,FALSE)="NO","NO",HLOOKUP(AE$15,Data_5!$F$10:$BG$42,$A26+2,FALSE)/Data_5!$BH21))))),"")</f>
        <v>NO</v>
      </c>
      <c r="AF26" s="1122" t="str">
        <f>IFERROR(IF(HLOOKUP(AF$15,Data_5!$F$10:$BG$42,$A26+2,FALSE)="NO","NO",IF(HLOOKUP(AF$15,Data_5!$F$10:$BG$42,$A26+2,FALSE)="IE","IE",IF(HLOOKUP(AF$15,Data_5!$F$10:$BG$42,$A26+2,FALSE)="NE","NE",IF(HLOOKUP(AF$15,Data_5!$F$10:$BG$42,$A26+2,FALSE)="C","C",IF(HLOOKUP(AF$15,Data_5!$F$10:$BG$42,$A26+2,FALSE)="NO","NO",HLOOKUP(AF$15,Data_5!$F$10:$BG$42,$A26+2,FALSE)/Data_5!$BH21))))),"")</f>
        <v>NO</v>
      </c>
      <c r="AG26" s="1122" t="str">
        <f>IFERROR(IF(HLOOKUP(AG$15,Data_5!$F$10:$BG$42,$A26+2,FALSE)="NO","NO",IF(HLOOKUP(AG$15,Data_5!$F$10:$BG$42,$A26+2,FALSE)="IE","IE",IF(HLOOKUP(AG$15,Data_5!$F$10:$BG$42,$A26+2,FALSE)="NE","NE",IF(HLOOKUP(AG$15,Data_5!$F$10:$BG$42,$A26+2,FALSE)="C","C",IF(HLOOKUP(AG$15,Data_5!$F$10:$BG$42,$A26+2,FALSE)="NO","NO",HLOOKUP(AG$15,Data_5!$F$10:$BG$42,$A26+2,FALSE)/Data_5!$BH21))))),"")</f>
        <v>NO</v>
      </c>
      <c r="AH26" s="1122" t="str">
        <f>IFERROR(IF(HLOOKUP(AH$15,Data_5!$F$10:$BG$42,$A26+2,FALSE)="NO","NO",IF(HLOOKUP(AH$15,Data_5!$F$10:$BG$42,$A26+2,FALSE)="IE","IE",IF(HLOOKUP(AH$15,Data_5!$F$10:$BG$42,$A26+2,FALSE)="NE","NE",IF(HLOOKUP(AH$15,Data_5!$F$10:$BG$42,$A26+2,FALSE)="C","C",IF(HLOOKUP(AH$15,Data_5!$F$10:$BG$42,$A26+2,FALSE)="NO","NO",HLOOKUP(AH$15,Data_5!$F$10:$BG$42,$A26+2,FALSE)/Data_5!$BH21))))),"")</f>
        <v>IE</v>
      </c>
      <c r="AI26" s="1122">
        <f>IFERROR(IF(HLOOKUP(AI$15,Data_5!$F$10:$BG$42,$A26+2,FALSE)="NO","NO",IF(HLOOKUP(AI$15,Data_5!$F$10:$BG$42,$A26+2,FALSE)="IE","IE",IF(HLOOKUP(AI$15,Data_5!$F$10:$BG$42,$A26+2,FALSE)="NE","NE",IF(HLOOKUP(AI$15,Data_5!$F$10:$BG$42,$A26+2,FALSE)="C","C",IF(HLOOKUP(AI$15,Data_5!$F$10:$BG$42,$A26+2,FALSE)="NO","NO",HLOOKUP(AI$15,Data_5!$F$10:$BG$42,$A26+2,FALSE)/Data_5!$BH21))))),"")</f>
        <v>7.2686972256458683E-4</v>
      </c>
      <c r="AJ26" s="1122" t="str">
        <f>IFERROR(IF(HLOOKUP(AJ$15,Data_5!$F$10:$BG$42,$A26+2,FALSE)="NO","NO",IF(HLOOKUP(AJ$15,Data_5!$F$10:$BG$42,$A26+2,FALSE)="IE","IE",IF(HLOOKUP(AJ$15,Data_5!$F$10:$BG$42,$A26+2,FALSE)="NE","NE",IF(HLOOKUP(AJ$15,Data_5!$F$10:$BG$42,$A26+2,FALSE)="C","C",IF(HLOOKUP(AJ$15,Data_5!$F$10:$BG$42,$A26+2,FALSE)="NO","NO",HLOOKUP(AJ$15,Data_5!$F$10:$BG$42,$A26+2,FALSE)/Data_5!$BH21))))),"")</f>
        <v>NO</v>
      </c>
      <c r="AL26" s="2628" t="str">
        <f t="shared" si="0"/>
        <v>District of Columbia</v>
      </c>
      <c r="AM26" s="2629"/>
      <c r="AN26" s="1100">
        <f t="shared" si="1"/>
        <v>2013</v>
      </c>
      <c r="AO26" s="1122" t="str">
        <f>IFERROR(IF(VLOOKUP($AL26,Data_5!$B$12:$E$42,4,FALSE)="BASIC","",(IF(HLOOKUP(AO$15,Data_5!$F$10:$BG$42,$A26+2,FALSE)="NO","NO",IF(HLOOKUP(AO$15,Data_5!$F$10:$BG$42,$A26+2,FALSE)="IE","IE",IF(HLOOKUP(AO$15,Data_5!$F$10:$BG$42,$A26+2,FALSE)="NE","NE",IF(HLOOKUP(AO$15,Data_5!$F$10:$BG$42,$A26+2,FALSE)="C","C",IF(HLOOKUP(AO$15,Data_5!$F$10:$BG$42,$A26+2,FALSE)="NO","NO",HLOOKUP(AO$15,Data_5!$F$10:$BG$42,$A26+2,FALSE)/Data_5!$BI21))))))),"")</f>
        <v/>
      </c>
      <c r="AP26" s="1122" t="str">
        <f>IFERROR(IF(VLOOKUP($AL26,Data_5!$B$12:$E$42,4,FALSE)="BASIC","",(IF(HLOOKUP(AP$15,Data_5!$F$10:$BG$42,$A26+2,FALSE)="NO","NO",IF(HLOOKUP(AP$15,Data_5!$F$10:$BG$42,$A26+2,FALSE)="IE","IE",IF(HLOOKUP(AP$15,Data_5!$F$10:$BG$42,$A26+2,FALSE)="NE","NE",IF(HLOOKUP(AP$15,Data_5!$F$10:$BG$42,$A26+2,FALSE)="C","C",IF(HLOOKUP(AP$15,Data_5!$F$10:$BG$42,$A26+2,FALSE)="NO","NO",HLOOKUP(AP$15,Data_5!$F$10:$BG$42,$A26+2,FALSE)/Data_5!$BI21))))))),"")</f>
        <v/>
      </c>
      <c r="AQ26" s="1122" t="str">
        <f>IFERROR(IF(VLOOKUP($AL26,Data_5!$B$12:$E$42,4,FALSE)="BASIC","",(IF(HLOOKUP(AQ$15,Data_5!$F$10:$BG$42,$A26+2,FALSE)="NO","NO",IF(HLOOKUP(AQ$15,Data_5!$F$10:$BG$42,$A26+2,FALSE)="IE","IE",IF(HLOOKUP(AQ$15,Data_5!$F$10:$BG$42,$A26+2,FALSE)="NE","NE",IF(HLOOKUP(AQ$15,Data_5!$F$10:$BG$42,$A26+2,FALSE)="C","C",IF(HLOOKUP(AQ$15,Data_5!$F$10:$BG$42,$A26+2,FALSE)="NO","NO",HLOOKUP(AQ$15,Data_5!$F$10:$BG$42,$A26+2,FALSE)/Data_5!$BI21))))))),"")</f>
        <v/>
      </c>
      <c r="AR26" s="1122" t="str">
        <f>IFERROR(IF(VLOOKUP($AL26,Data_5!$B$12:$E$42,4,FALSE)="BASIC","",(IF(HLOOKUP(AR$15,Data_5!$F$10:$BG$42,$A26+2,FALSE)="NO","NO",IF(HLOOKUP(AR$15,Data_5!$F$10:$BG$42,$A26+2,FALSE)="IE","IE",IF(HLOOKUP(AR$15,Data_5!$F$10:$BG$42,$A26+2,FALSE)="NE","NE",IF(HLOOKUP(AR$15,Data_5!$F$10:$BG$42,$A26+2,FALSE)="C","C",IF(HLOOKUP(AR$15,Data_5!$F$10:$BG$42,$A26+2,FALSE)="NO","NO",HLOOKUP(AR$15,Data_5!$F$10:$BG$42,$A26+2,FALSE)/Data_5!$BI21))))))),"")</f>
        <v/>
      </c>
      <c r="AS26" s="1122" t="str">
        <f>IFERROR(IF(VLOOKUP($AL26,Data_5!$B$12:$E$42,4,FALSE)="BASIC","",(IF(HLOOKUP(AS$15,Data_5!$F$10:$BG$42,$A26+2,FALSE)="NO","NO",IF(HLOOKUP(AS$15,Data_5!$F$10:$BG$42,$A26+2,FALSE)="IE","IE",IF(HLOOKUP(AS$15,Data_5!$F$10:$BG$42,$A26+2,FALSE)="NE","NE",IF(HLOOKUP(AS$15,Data_5!$F$10:$BG$42,$A26+2,FALSE)="C","C",IF(HLOOKUP(AS$15,Data_5!$F$10:$BG$42,$A26+2,FALSE)="NO","NO",HLOOKUP(AS$15,Data_5!$F$10:$BG$42,$A26+2,FALSE)/Data_5!$BI21))))))),"")</f>
        <v/>
      </c>
      <c r="AT26" s="1122" t="str">
        <f>IFERROR(IF(VLOOKUP($AL26,Data_5!$B$12:$E$42,4,FALSE)="BASIC","",(IF(HLOOKUP(AT$15,Data_5!$F$10:$BG$42,$A26+2,FALSE)="NO","NO",IF(HLOOKUP(AT$15,Data_5!$F$10:$BG$42,$A26+2,FALSE)="IE","IE",IF(HLOOKUP(AT$15,Data_5!$F$10:$BG$42,$A26+2,FALSE)="NE","NE",IF(HLOOKUP(AT$15,Data_5!$F$10:$BG$42,$A26+2,FALSE)="C","C",IF(HLOOKUP(AT$15,Data_5!$F$10:$BG$42,$A26+2,FALSE)="NO","NO",HLOOKUP(AT$15,Data_5!$F$10:$BG$42,$A26+2,FALSE)/Data_5!$BI21))))))),"")</f>
        <v/>
      </c>
      <c r="AU26" s="1122" t="str">
        <f>IFERROR(IF(VLOOKUP($AL26,Data_5!$B$12:$E$42,4,FALSE)="BASIC","",(IF(HLOOKUP(AU$15,Data_5!$F$10:$BG$42,$A26+2,FALSE)="NO","NO",IF(HLOOKUP(AU$15,Data_5!$F$10:$BG$42,$A26+2,FALSE)="IE","IE",IF(HLOOKUP(AU$15,Data_5!$F$10:$BG$42,$A26+2,FALSE)="NE","NE",IF(HLOOKUP(AU$15,Data_5!$F$10:$BG$42,$A26+2,FALSE)="C","C",IF(HLOOKUP(AU$15,Data_5!$F$10:$BG$42,$A26+2,FALSE)="NO","NO",HLOOKUP(AU$15,Data_5!$F$10:$BG$42,$A26+2,FALSE)/Data_5!$BI21))))))),"")</f>
        <v/>
      </c>
      <c r="AV26" s="1122" t="str">
        <f>IFERROR(IF(VLOOKUP($AL26,Data_5!$B$12:$E$42,4,FALSE)="BASIC","",(IF(HLOOKUP(AV$15,Data_5!$F$10:$BG$42,$A26+2,FALSE)="NO","NO",IF(HLOOKUP(AV$15,Data_5!$F$10:$BG$42,$A26+2,FALSE)="IE","IE",IF(HLOOKUP(AV$15,Data_5!$F$10:$BG$42,$A26+2,FALSE)="NE","NE",IF(HLOOKUP(AV$15,Data_5!$F$10:$BG$42,$A26+2,FALSE)="C","C",IF(HLOOKUP(AV$15,Data_5!$F$10:$BG$42,$A26+2,FALSE)="NO","NO",HLOOKUP(AV$15,Data_5!$F$10:$BG$42,$A26+2,FALSE)/Data_5!$BI21))))))),"")</f>
        <v/>
      </c>
      <c r="AW26" s="1122" t="str">
        <f>IFERROR(IF(VLOOKUP($AL26,Data_5!$B$12:$E$42,4,FALSE)="BASIC","",(IF(HLOOKUP(AW$15,Data_5!$F$10:$BG$42,$A26+2,FALSE)="NO","NO",IF(HLOOKUP(AW$15,Data_5!$F$10:$BG$42,$A26+2,FALSE)="IE","IE",IF(HLOOKUP(AW$15,Data_5!$F$10:$BG$42,$A26+2,FALSE)="NE","NE",IF(HLOOKUP(AW$15,Data_5!$F$10:$BG$42,$A26+2,FALSE)="C","C",IF(HLOOKUP(AW$15,Data_5!$F$10:$BG$42,$A26+2,FALSE)="NO","NO",HLOOKUP(AW$15,Data_5!$F$10:$BG$42,$A26+2,FALSE)/Data_5!$BI21))))))),"")</f>
        <v/>
      </c>
      <c r="AX26" s="1122" t="str">
        <f>IFERROR(IF(VLOOKUP($AL26,Data_5!$B$12:$E$42,4,FALSE)="BASIC","",(IF(HLOOKUP(AX$15,Data_5!$F$10:$BG$42,$A26+2,FALSE)="NO","NO",IF(HLOOKUP(AX$15,Data_5!$F$10:$BG$42,$A26+2,FALSE)="IE","IE",IF(HLOOKUP(AX$15,Data_5!$F$10:$BG$42,$A26+2,FALSE)="NE","NE",IF(HLOOKUP(AX$15,Data_5!$F$10:$BG$42,$A26+2,FALSE)="C","C",IF(HLOOKUP(AX$15,Data_5!$F$10:$BG$42,$A26+2,FALSE)="NO","NO",HLOOKUP(AX$15,Data_5!$F$10:$BG$42,$A26+2,FALSE)/Data_5!$BI21))))))),"")</f>
        <v/>
      </c>
      <c r="AY26" s="1122" t="str">
        <f>IFERROR(IF(VLOOKUP($AL26,Data_5!$B$12:$E$42,4,FALSE)="BASIC","",(IF(HLOOKUP(AY$15,Data_5!$F$10:$BG$42,$A26+2,FALSE)="NO","NO",IF(HLOOKUP(AY$15,Data_5!$F$10:$BG$42,$A26+2,FALSE)="IE","IE",IF(HLOOKUP(AY$15,Data_5!$F$10:$BG$42,$A26+2,FALSE)="NE","NE",IF(HLOOKUP(AY$15,Data_5!$F$10:$BG$42,$A26+2,FALSE)="C","C",IF(HLOOKUP(AY$15,Data_5!$F$10:$BG$42,$A26+2,FALSE)="NO","NO",HLOOKUP(AY$15,Data_5!$F$10:$BG$42,$A26+2,FALSE)/Data_5!$BI21))))))),"")</f>
        <v/>
      </c>
      <c r="AZ26" s="1122" t="str">
        <f>IFERROR(IF(VLOOKUP($AL26,Data_5!$B$12:$E$42,4,FALSE)="BASIC","",(IF(HLOOKUP(AZ$15,Data_5!$F$10:$BG$42,$A26+2,FALSE)="NO","NO",IF(HLOOKUP(AZ$15,Data_5!$F$10:$BG$42,$A26+2,FALSE)="IE","IE",IF(HLOOKUP(AZ$15,Data_5!$F$10:$BG$42,$A26+2,FALSE)="NE","NE",IF(HLOOKUP(AZ$15,Data_5!$F$10:$BG$42,$A26+2,FALSE)="C","C",IF(HLOOKUP(AZ$15,Data_5!$F$10:$BG$42,$A26+2,FALSE)="NO","NO",HLOOKUP(AZ$15,Data_5!$F$10:$BG$42,$A26+2,FALSE)/Data_5!$BI21))))))),"")</f>
        <v/>
      </c>
      <c r="BA26" s="1122" t="str">
        <f>IFERROR(IF(VLOOKUP($AL26,Data_5!$B$12:$E$42,4,FALSE)="BASIC","",(IF(HLOOKUP(BA$15,Data_5!$F$10:$BG$42,$A26+2,FALSE)="NO","NO",IF(HLOOKUP(BA$15,Data_5!$F$10:$BG$42,$A26+2,FALSE)="IE","IE",IF(HLOOKUP(BA$15,Data_5!$F$10:$BG$42,$A26+2,FALSE)="NE","NE",IF(HLOOKUP(BA$15,Data_5!$F$10:$BG$42,$A26+2,FALSE)="C","C",IF(HLOOKUP(BA$15,Data_5!$F$10:$BG$42,$A26+2,FALSE)="NO","NO",HLOOKUP(BA$15,Data_5!$F$10:$BG$42,$A26+2,FALSE)/Data_5!$BI21))))))),"")</f>
        <v/>
      </c>
      <c r="BB26" s="1122" t="str">
        <f>IFERROR(IF(VLOOKUP($AL26,Data_5!$B$12:$E$42,4,FALSE)="BASIC","",(IF(HLOOKUP(BB$15,Data_5!$F$10:$BG$42,$A26+2,FALSE)="NO","NO",IF(HLOOKUP(BB$15,Data_5!$F$10:$BG$42,$A26+2,FALSE)="IE","IE",IF(HLOOKUP(BB$15,Data_5!$F$10:$BG$42,$A26+2,FALSE)="NE","NE",IF(HLOOKUP(BB$15,Data_5!$F$10:$BG$42,$A26+2,FALSE)="C","C",IF(HLOOKUP(BB$15,Data_5!$F$10:$BG$42,$A26+2,FALSE)="NO","NO",HLOOKUP(BB$15,Data_5!$F$10:$BG$42,$A26+2,FALSE)/Data_5!$BI21))))))),"")</f>
        <v/>
      </c>
      <c r="BC26" s="1122" t="str">
        <f>IFERROR(IF(VLOOKUP($AL26,Data_5!$B$12:$E$42,4,FALSE)="BASIC","",(IF(HLOOKUP(BC$15,Data_5!$F$10:$BG$42,$A26+2,FALSE)="NO","NO",IF(HLOOKUP(BC$15,Data_5!$F$10:$BG$42,$A26+2,FALSE)="IE","IE",IF(HLOOKUP(BC$15,Data_5!$F$10:$BG$42,$A26+2,FALSE)="NE","NE",IF(HLOOKUP(BC$15,Data_5!$F$10:$BG$42,$A26+2,FALSE)="C","C",IF(HLOOKUP(BC$15,Data_5!$F$10:$BG$42,$A26+2,FALSE)="NO","NO",HLOOKUP(BC$15,Data_5!$F$10:$BG$42,$A26+2,FALSE)/Data_5!$BI21))))))),"")</f>
        <v/>
      </c>
      <c r="BD26" s="1122" t="str">
        <f>IFERROR(IF(VLOOKUP($AL26,Data_5!$B$12:$E$42,4,FALSE)="BASIC","",(IF(HLOOKUP(BD$15,Data_5!$F$10:$BG$42,$A26+2,FALSE)="NO","NO",IF(HLOOKUP(BD$15,Data_5!$F$10:$BG$42,$A26+2,FALSE)="IE","IE",IF(HLOOKUP(BD$15,Data_5!$F$10:$BG$42,$A26+2,FALSE)="NE","NE",IF(HLOOKUP(BD$15,Data_5!$F$10:$BG$42,$A26+2,FALSE)="C","C",IF(HLOOKUP(BD$15,Data_5!$F$10:$BG$42,$A26+2,FALSE)="NO","NO",HLOOKUP(BD$15,Data_5!$F$10:$BG$42,$A26+2,FALSE)/Data_5!$BI21))))))),"")</f>
        <v/>
      </c>
      <c r="BE26" s="1122" t="str">
        <f>IFERROR(IF(VLOOKUP($AL26,Data_5!$B$12:$E$42,4,FALSE)="BASIC","",(IF(HLOOKUP(BE$15,Data_5!$F$10:$BG$42,$A26+2,FALSE)="NO","NO",IF(HLOOKUP(BE$15,Data_5!$F$10:$BG$42,$A26+2,FALSE)="IE","IE",IF(HLOOKUP(BE$15,Data_5!$F$10:$BG$42,$A26+2,FALSE)="NE","NE",IF(HLOOKUP(BE$15,Data_5!$F$10:$BG$42,$A26+2,FALSE)="C","C",IF(HLOOKUP(BE$15,Data_5!$F$10:$BG$42,$A26+2,FALSE)="NO","NO",HLOOKUP(BE$15,Data_5!$F$10:$BG$42,$A26+2,FALSE)/Data_5!$BI21))))))),"")</f>
        <v/>
      </c>
      <c r="BF26" s="1122" t="str">
        <f>IFERROR(IF(VLOOKUP($AL26,Data_5!$B$12:$E$42,4,FALSE)="BASIC","",(IF(HLOOKUP(BF$15,Data_5!$F$10:$BG$42,$A26+2,FALSE)="NO","NO",IF(HLOOKUP(BF$15,Data_5!$F$10:$BG$42,$A26+2,FALSE)="IE","IE",IF(HLOOKUP(BF$15,Data_5!$F$10:$BG$42,$A26+2,FALSE)="NE","NE",IF(HLOOKUP(BF$15,Data_5!$F$10:$BG$42,$A26+2,FALSE)="C","C",IF(HLOOKUP(BF$15,Data_5!$F$10:$BG$42,$A26+2,FALSE)="NO","NO",HLOOKUP(BF$15,Data_5!$F$10:$BG$42,$A26+2,FALSE)/Data_5!$BI21))))))),"")</f>
        <v/>
      </c>
      <c r="BG26" s="1122" t="str">
        <f>IFERROR(IF(VLOOKUP($AL26,Data_5!$B$12:$E$42,4,FALSE)="BASIC","",(IF(HLOOKUP(BG$15,Data_5!$F$10:$BG$42,$A26+2,FALSE)="NO","NO",IF(HLOOKUP(BG$15,Data_5!$F$10:$BG$42,$A26+2,FALSE)="IE","IE",IF(HLOOKUP(BG$15,Data_5!$F$10:$BG$42,$A26+2,FALSE)="NE","NE",IF(HLOOKUP(BG$15,Data_5!$F$10:$BG$42,$A26+2,FALSE)="C","C",IF(HLOOKUP(BG$15,Data_5!$F$10:$BG$42,$A26+2,FALSE)="NO","NO",HLOOKUP(BG$15,Data_5!$F$10:$BG$42,$A26+2,FALSE)/Data_5!$BI21))))))),"")</f>
        <v/>
      </c>
      <c r="BH26" s="1122" t="str">
        <f>IFERROR(IF(VLOOKUP($AL26,Data_5!$B$12:$E$42,4,FALSE)="BASIC","",(IF(HLOOKUP(BH$15,Data_5!$F$10:$BG$42,$A26+2,FALSE)="NO","NO",IF(HLOOKUP(BH$15,Data_5!$F$10:$BG$42,$A26+2,FALSE)="IE","IE",IF(HLOOKUP(BH$15,Data_5!$F$10:$BG$42,$A26+2,FALSE)="NE","NE",IF(HLOOKUP(BH$15,Data_5!$F$10:$BG$42,$A26+2,FALSE)="C","C",IF(HLOOKUP(BH$15,Data_5!$F$10:$BG$42,$A26+2,FALSE)="NO","NO",HLOOKUP(BH$15,Data_5!$F$10:$BG$42,$A26+2,FALSE)/Data_5!$BI21))))))),"")</f>
        <v/>
      </c>
      <c r="BI26" s="1122" t="str">
        <f>IFERROR(IF(VLOOKUP($AL26,Data_5!$B$12:$E$42,4,FALSE)="BASIC","",(IF(HLOOKUP(BI$15,Data_5!$F$10:$BG$42,$A26+2,FALSE)="NO","NO",IF(HLOOKUP(BI$15,Data_5!$F$10:$BG$42,$A26+2,FALSE)="IE","IE",IF(HLOOKUP(BI$15,Data_5!$F$10:$BG$42,$A26+2,FALSE)="NE","NE",IF(HLOOKUP(BI$15,Data_5!$F$10:$BG$42,$A26+2,FALSE)="C","C",IF(HLOOKUP(BI$15,Data_5!$F$10:$BG$42,$A26+2,FALSE)="NO","NO",HLOOKUP(BI$15,Data_5!$F$10:$BG$42,$A26+2,FALSE)/Data_5!$BI21))))))),"")</f>
        <v/>
      </c>
      <c r="BJ26" s="1122" t="str">
        <f>IFERROR(IF(VLOOKUP($AL26,Data_5!$B$12:$E$42,4,FALSE)="BASIC","",(IF(HLOOKUP(BJ$15,Data_5!$F$10:$BG$42,$A26+2,FALSE)="NO","NO",IF(HLOOKUP(BJ$15,Data_5!$F$10:$BG$42,$A26+2,FALSE)="IE","IE",IF(HLOOKUP(BJ$15,Data_5!$F$10:$BG$42,$A26+2,FALSE)="NE","NE",IF(HLOOKUP(BJ$15,Data_5!$F$10:$BG$42,$A26+2,FALSE)="C","C",IF(HLOOKUP(BJ$15,Data_5!$F$10:$BG$42,$A26+2,FALSE)="NO","NO",HLOOKUP(BJ$15,Data_5!$F$10:$BG$42,$A26+2,FALSE)/Data_5!$BI21))))))),"")</f>
        <v/>
      </c>
      <c r="BK26" s="1122" t="str">
        <f>IFERROR(IF(VLOOKUP($AL26,Data_5!$B$12:$E$42,4,FALSE)="BASIC","",(IF(HLOOKUP(BK$15,Data_5!$F$10:$BG$42,$A26+2,FALSE)="NO","NO",IF(HLOOKUP(BK$15,Data_5!$F$10:$BG$42,$A26+2,FALSE)="IE","IE",IF(HLOOKUP(BK$15,Data_5!$F$10:$BG$42,$A26+2,FALSE)="NE","NE",IF(HLOOKUP(BK$15,Data_5!$F$10:$BG$42,$A26+2,FALSE)="C","C",IF(HLOOKUP(BK$15,Data_5!$F$10:$BG$42,$A26+2,FALSE)="NO","NO",HLOOKUP(BK$15,Data_5!$F$10:$BG$42,$A26+2,FALSE)/Data_5!$BI21))))))),"")</f>
        <v/>
      </c>
      <c r="BL26" s="1122" t="str">
        <f>IFERROR(IF(VLOOKUP($AL26,Data_5!$B$12:$E$42,4,FALSE)="BASIC","",(IF(HLOOKUP(BL$15,Data_5!$F$10:$BG$42,$A26+2,FALSE)="NO","NO",IF(HLOOKUP(BL$15,Data_5!$F$10:$BG$42,$A26+2,FALSE)="IE","IE",IF(HLOOKUP(BL$15,Data_5!$F$10:$BG$42,$A26+2,FALSE)="NE","NE",IF(HLOOKUP(BL$15,Data_5!$F$10:$BG$42,$A26+2,FALSE)="C","C",IF(HLOOKUP(BL$15,Data_5!$F$10:$BG$42,$A26+2,FALSE)="NO","NO",HLOOKUP(BL$15,Data_5!$F$10:$BG$42,$A26+2,FALSE)/Data_5!$BI21))))))),"")</f>
        <v/>
      </c>
      <c r="BM26" s="1122" t="str">
        <f>IFERROR(IF(VLOOKUP($AL26,Data_5!$B$12:$E$42,4,FALSE)="BASIC","",(IF(HLOOKUP(BM$15,Data_5!$F$10:$BG$42,$A26+2,FALSE)="NO","NO",IF(HLOOKUP(BM$15,Data_5!$F$10:$BG$42,$A26+2,FALSE)="IE","IE",IF(HLOOKUP(BM$15,Data_5!$F$10:$BG$42,$A26+2,FALSE)="NE","NE",IF(HLOOKUP(BM$15,Data_5!$F$10:$BG$42,$A26+2,FALSE)="C","C",IF(HLOOKUP(BM$15,Data_5!$F$10:$BG$42,$A26+2,FALSE)="NO","NO",HLOOKUP(BM$15,Data_5!$F$10:$BG$42,$A26+2,FALSE)/Data_5!$BI21))))))),"")</f>
        <v/>
      </c>
      <c r="BN26" s="1122" t="str">
        <f>IFERROR(IF(VLOOKUP($AL26,Data_5!$B$12:$E$42,4,FALSE)="BASIC","",(IF(HLOOKUP(BN$15,Data_5!$F$10:$BG$42,$A26+2,FALSE)="NO","NO",IF(HLOOKUP(BN$15,Data_5!$F$10:$BG$42,$A26+2,FALSE)="IE","IE",IF(HLOOKUP(BN$15,Data_5!$F$10:$BG$42,$A26+2,FALSE)="NE","NE",IF(HLOOKUP(BN$15,Data_5!$F$10:$BG$42,$A26+2,FALSE)="C","C",IF(HLOOKUP(BN$15,Data_5!$F$10:$BG$42,$A26+2,FALSE)="NO","NO",HLOOKUP(BN$15,Data_5!$F$10:$BG$42,$A26+2,FALSE)/Data_5!$BI21))))))),"")</f>
        <v/>
      </c>
      <c r="BO26" s="1122" t="str">
        <f>IFERROR(IF(VLOOKUP($AL26,Data_5!$B$12:$E$42,4,FALSE)="BASIC","",(IF(HLOOKUP(BO$15,Data_5!$F$10:$BG$42,$A26+2,FALSE)="NO","NO",IF(HLOOKUP(BO$15,Data_5!$F$10:$BG$42,$A26+2,FALSE)="IE","IE",IF(HLOOKUP(BO$15,Data_5!$F$10:$BG$42,$A26+2,FALSE)="NE","NE",IF(HLOOKUP(BO$15,Data_5!$F$10:$BG$42,$A26+2,FALSE)="C","C",IF(HLOOKUP(BO$15,Data_5!$F$10:$BG$42,$A26+2,FALSE)="NO","NO",HLOOKUP(BO$15,Data_5!$F$10:$BG$42,$A26+2,FALSE)/Data_5!$BI21))))))),"")</f>
        <v/>
      </c>
      <c r="BP26" s="1122" t="str">
        <f>IFERROR(IF(VLOOKUP($AL26,Data_5!$B$12:$E$42,4,FALSE)="BASIC","",(IF(HLOOKUP(BP$15,Data_5!$F$10:$BG$42,$A26+2,FALSE)="NO","NO",IF(HLOOKUP(BP$15,Data_5!$F$10:$BG$42,$A26+2,FALSE)="IE","IE",IF(HLOOKUP(BP$15,Data_5!$F$10:$BG$42,$A26+2,FALSE)="NE","NE",IF(HLOOKUP(BP$15,Data_5!$F$10:$BG$42,$A26+2,FALSE)="C","C",IF(HLOOKUP(BP$15,Data_5!$F$10:$BG$42,$A26+2,FALSE)="NO","NO",HLOOKUP(BP$15,Data_5!$F$10:$BG$42,$A26+2,FALSE)/Data_5!$BI21))))))),"")</f>
        <v/>
      </c>
      <c r="BQ26" s="1122" t="str">
        <f>IFERROR(IF(VLOOKUP($AL26,Data_5!$B$12:$E$42,4,FALSE)="BASIC","",(IF(HLOOKUP(BQ$15,Data_5!$F$10:$BG$42,$A26+2,FALSE)="NO","NO",IF(HLOOKUP(BQ$15,Data_5!$F$10:$BG$42,$A26+2,FALSE)="IE","IE",IF(HLOOKUP(BQ$15,Data_5!$F$10:$BG$42,$A26+2,FALSE)="NE","NE",IF(HLOOKUP(BQ$15,Data_5!$F$10:$BG$42,$A26+2,FALSE)="C","C",IF(HLOOKUP(BQ$15,Data_5!$F$10:$BG$42,$A26+2,FALSE)="NO","NO",HLOOKUP(BQ$15,Data_5!$F$10:$BG$42,$A26+2,FALSE)/Data_5!$BI21))))))),"")</f>
        <v/>
      </c>
      <c r="BR26" s="1122" t="str">
        <f>IFERROR(IF(VLOOKUP($AL26,Data_5!$B$12:$E$42,4,FALSE)="BASIC","",(IF(HLOOKUP(BR$15,Data_5!$F$10:$BG$42,$A26+2,FALSE)="NO","NO",IF(HLOOKUP(BR$15,Data_5!$F$10:$BG$42,$A26+2,FALSE)="IE","IE",IF(HLOOKUP(BR$15,Data_5!$F$10:$BG$42,$A26+2,FALSE)="NE","NE",IF(HLOOKUP(BR$15,Data_5!$F$10:$BG$42,$A26+2,FALSE)="C","C",IF(HLOOKUP(BR$15,Data_5!$F$10:$BG$42,$A26+2,FALSE)="NO","NO",HLOOKUP(BR$15,Data_5!$F$10:$BG$42,$A26+2,FALSE)/Data_5!$BI21))))))),"")</f>
        <v/>
      </c>
      <c r="BS26" s="1122" t="str">
        <f>IFERROR(IF(VLOOKUP($AL26,Data_5!$B$12:$E$42,4,FALSE)="BASIC","",(IF(HLOOKUP(BS$15,Data_5!$F$10:$BG$42,$A26+2,FALSE)="NO","NO",IF(HLOOKUP(BS$15,Data_5!$F$10:$BG$42,$A26+2,FALSE)="IE","IE",IF(HLOOKUP(BS$15,Data_5!$F$10:$BG$42,$A26+2,FALSE)="NE","NE",IF(HLOOKUP(BS$15,Data_5!$F$10:$BG$42,$A26+2,FALSE)="C","C",IF(HLOOKUP(BS$15,Data_5!$F$10:$BG$42,$A26+2,FALSE)="NO","NO",HLOOKUP(BS$15,Data_5!$F$10:$BG$42,$A26+2,FALSE)/Data_5!$BI21))))))),"")</f>
        <v/>
      </c>
      <c r="BT26" s="1122" t="str">
        <f>IFERROR(IF(VLOOKUP($AL26,Data_5!$B$12:$E$42,4,FALSE)="BASIC","",(IF(HLOOKUP(BT$15,Data_5!$F$10:$BG$42,$A26+2,FALSE)="NO","NO",IF(HLOOKUP(BT$15,Data_5!$F$10:$BG$42,$A26+2,FALSE)="IE","IE",IF(HLOOKUP(BT$15,Data_5!$F$10:$BG$42,$A26+2,FALSE)="NE","NE",IF(HLOOKUP(BT$15,Data_5!$F$10:$BG$42,$A26+2,FALSE)="C","C",IF(HLOOKUP(BT$15,Data_5!$F$10:$BG$42,$A26+2,FALSE)="NO","NO",HLOOKUP(BT$15,Data_5!$F$10:$BG$42,$A26+2,FALSE)/Data_5!$BI21))))))),"")</f>
        <v/>
      </c>
      <c r="BU26" s="1122" t="str">
        <f>IFERROR(IF(VLOOKUP($AL26,Data_5!$B$12:$E$42,4,FALSE)="BASIC","",(IF(HLOOKUP(BU$15,Data_5!$F$10:$BG$42,$A26+2,FALSE)="NO","NO",IF(HLOOKUP(BU$15,Data_5!$F$10:$BG$42,$A26+2,FALSE)="IE","IE",IF(HLOOKUP(BU$15,Data_5!$F$10:$BG$42,$A26+2,FALSE)="NE","NE",IF(HLOOKUP(BU$15,Data_5!$F$10:$BG$42,$A26+2,FALSE)="C","C",IF(HLOOKUP(BU$15,Data_5!$F$10:$BG$42,$A26+2,FALSE)="NO","NO",HLOOKUP(BU$15,Data_5!$F$10:$BG$42,$A26+2,FALSE)/Data_5!$BI21))))))),"")</f>
        <v/>
      </c>
      <c r="BV26" s="1122" t="str">
        <f>IFERROR(IF(VLOOKUP($AL26,Data_5!$B$12:$E$42,4,FALSE)="BASIC","",(IF(HLOOKUP(BV$15,Data_5!$F$10:$BG$42,$A26+2,FALSE)="NO","NO",IF(HLOOKUP(BV$15,Data_5!$F$10:$BG$42,$A26+2,FALSE)="IE","IE",IF(HLOOKUP(BV$15,Data_5!$F$10:$BG$42,$A26+2,FALSE)="NE","NE",IF(HLOOKUP(BV$15,Data_5!$F$10:$BG$42,$A26+2,FALSE)="C","C",IF(HLOOKUP(BV$15,Data_5!$F$10:$BG$42,$A26+2,FALSE)="NO","NO",HLOOKUP(BV$15,Data_5!$F$10:$BG$42,$A26+2,FALSE)/Data_5!$BI21))))))),"")</f>
        <v/>
      </c>
      <c r="BW26" s="1122" t="str">
        <f>IFERROR(IF(VLOOKUP($AL26,Data_5!$B$12:$E$42,4,FALSE)="BASIC","",(IF(HLOOKUP(BW$15,Data_5!$F$10:$BG$42,$A26+2,FALSE)="NO","NO",IF(HLOOKUP(BW$15,Data_5!$F$10:$BG$42,$A26+2,FALSE)="IE","IE",IF(HLOOKUP(BW$15,Data_5!$F$10:$BG$42,$A26+2,FALSE)="NE","NE",IF(HLOOKUP(BW$15,Data_5!$F$10:$BG$42,$A26+2,FALSE)="C","C",IF(HLOOKUP(BW$15,Data_5!$F$10:$BG$42,$A26+2,FALSE)="NO","NO",HLOOKUP(BW$15,Data_5!$F$10:$BG$42,$A26+2,FALSE)/Data_5!$BI21))))))),"")</f>
        <v/>
      </c>
      <c r="BX26" s="1122" t="str">
        <f>IFERROR(IF(VLOOKUP($AL26,Data_5!$B$12:$E$42,4,FALSE)="BASIC","",(IF(HLOOKUP(BX$15,Data_5!$F$10:$BG$42,$A26+2,FALSE)="NO","NO",IF(HLOOKUP(BX$15,Data_5!$F$10:$BG$42,$A26+2,FALSE)="IE","IE",IF(HLOOKUP(BX$15,Data_5!$F$10:$BG$42,$A26+2,FALSE)="NE","NE",IF(HLOOKUP(BX$15,Data_5!$F$10:$BG$42,$A26+2,FALSE)="C","C",IF(HLOOKUP(BX$15,Data_5!$F$10:$BG$42,$A26+2,FALSE)="NO","NO",HLOOKUP(BX$15,Data_5!$F$10:$BG$42,$A26+2,FALSE)/Data_5!$BI21))))))),"")</f>
        <v/>
      </c>
      <c r="BY26" s="1122" t="str">
        <f>IFERROR(IF(VLOOKUP($AL26,Data_5!$B$12:$E$42,4,FALSE)="BASIC","",(IF(HLOOKUP(BY$15,Data_5!$F$10:$BG$42,$A26+2,FALSE)="NO","NO",IF(HLOOKUP(BY$15,Data_5!$F$10:$BG$42,$A26+2,FALSE)="IE","IE",IF(HLOOKUP(BY$15,Data_5!$F$10:$BG$42,$A26+2,FALSE)="NE","NE",IF(HLOOKUP(BY$15,Data_5!$F$10:$BG$42,$A26+2,FALSE)="C","C",IF(HLOOKUP(BY$15,Data_5!$F$10:$BG$42,$A26+2,FALSE)="NO","NO",HLOOKUP(BY$15,Data_5!$F$10:$BG$42,$A26+2,FALSE)/Data_5!$BI21))))))),"")</f>
        <v/>
      </c>
      <c r="BZ26" s="1122" t="str">
        <f>IFERROR(IF(VLOOKUP($AL26,Data_5!$B$12:$E$42,4,FALSE)="BASIC","",(IF(HLOOKUP(BZ$15,Data_5!$F$10:$BG$42,$A26+2,FALSE)="NO","NO",IF(HLOOKUP(BZ$15,Data_5!$F$10:$BG$42,$A26+2,FALSE)="IE","IE",IF(HLOOKUP(BZ$15,Data_5!$F$10:$BG$42,$A26+2,FALSE)="NE","NE",IF(HLOOKUP(BZ$15,Data_5!$F$10:$BG$42,$A26+2,FALSE)="C","C",IF(HLOOKUP(BZ$15,Data_5!$F$10:$BG$42,$A26+2,FALSE)="NO","NO",HLOOKUP(BZ$15,Data_5!$F$10:$BG$42,$A26+2,FALSE)/Data_5!$BI21))))))),"")</f>
        <v/>
      </c>
      <c r="CA26" s="1122" t="str">
        <f>IFERROR(IF(VLOOKUP($AL26,Data_5!$B$12:$E$42,4,FALSE)="BASIC","",(IF(HLOOKUP(CA$15,Data_5!$F$10:$BG$42,$A26+2,FALSE)="NO","NO",IF(HLOOKUP(CA$15,Data_5!$F$10:$BG$42,$A26+2,FALSE)="IE","IE",IF(HLOOKUP(CA$15,Data_5!$F$10:$BG$42,$A26+2,FALSE)="NE","NE",IF(HLOOKUP(CA$15,Data_5!$F$10:$BG$42,$A26+2,FALSE)="C","C",IF(HLOOKUP(CA$15,Data_5!$F$10:$BG$42,$A26+2,FALSE)="NO","NO",HLOOKUP(CA$15,Data_5!$F$10:$BG$42,$A26+2,FALSE)/Data_5!$BI21))))))),"")</f>
        <v/>
      </c>
      <c r="CB26" s="1122" t="str">
        <f>IFERROR(IF(VLOOKUP($AL26,Data_5!$B$12:$E$42,4,FALSE)="BASIC","",(IF(HLOOKUP(CB$15,Data_5!$F$10:$BG$42,$A26+2,FALSE)="NO","NO",IF(HLOOKUP(CB$15,Data_5!$F$10:$BG$42,$A26+2,FALSE)="IE","IE",IF(HLOOKUP(CB$15,Data_5!$F$10:$BG$42,$A26+2,FALSE)="NE","NE",IF(HLOOKUP(CB$15,Data_5!$F$10:$BG$42,$A26+2,FALSE)="C","C",IF(HLOOKUP(CB$15,Data_5!$F$10:$BG$42,$A26+2,FALSE)="NO","NO",HLOOKUP(CB$15,Data_5!$F$10:$BG$42,$A26+2,FALSE)/Data_5!$BI21))))))),"")</f>
        <v/>
      </c>
      <c r="CC26" s="1122" t="str">
        <f>IFERROR(IF(VLOOKUP($AL26,Data_5!$B$12:$E$42,4,FALSE)="BASIC","",(IF(HLOOKUP(CC$15,Data_5!$F$10:$BG$42,$A26+2,FALSE)="NO","NO",IF(HLOOKUP(CC$15,Data_5!$F$10:$BG$42,$A26+2,FALSE)="IE","IE",IF(HLOOKUP(CC$15,Data_5!$F$10:$BG$42,$A26+2,FALSE)="NE","NE",IF(HLOOKUP(CC$15,Data_5!$F$10:$BG$42,$A26+2,FALSE)="C","C",IF(HLOOKUP(CC$15,Data_5!$F$10:$BG$42,$A26+2,FALSE)="NO","NO",HLOOKUP(CC$15,Data_5!$F$10:$BG$42,$A26+2,FALSE)/Data_5!$BI21))))))),"")</f>
        <v/>
      </c>
      <c r="CD26" s="1122" t="str">
        <f>IFERROR(IF(VLOOKUP($AL26,Data_5!$B$12:$E$42,4,FALSE)="BASIC","",(IF(HLOOKUP(CD$15,Data_5!$F$10:$BG$42,$A26+2,FALSE)="NO","NO",IF(HLOOKUP(CD$15,Data_5!$F$10:$BG$42,$A26+2,FALSE)="IE","IE",IF(HLOOKUP(CD$15,Data_5!$F$10:$BG$42,$A26+2,FALSE)="NE","NE",IF(HLOOKUP(CD$15,Data_5!$F$10:$BG$42,$A26+2,FALSE)="C","C",IF(HLOOKUP(CD$15,Data_5!$F$10:$BG$42,$A26+2,FALSE)="NO","NO",HLOOKUP(CD$15,Data_5!$F$10:$BG$42,$A26+2,FALSE)/Data_5!$BI21))))))),"")</f>
        <v/>
      </c>
      <c r="CE26" s="1122" t="str">
        <f>IFERROR(IF(VLOOKUP($AL26,Data_5!$B$12:$E$42,4,FALSE)="BASIC","",(IF(HLOOKUP(CE$15,Data_5!$F$10:$BG$42,$A26+2,FALSE)="NO","NO",IF(HLOOKUP(CE$15,Data_5!$F$10:$BG$42,$A26+2,FALSE)="IE","IE",IF(HLOOKUP(CE$15,Data_5!$F$10:$BG$42,$A26+2,FALSE)="NE","NE",IF(HLOOKUP(CE$15,Data_5!$F$10:$BG$42,$A26+2,FALSE)="C","C",IF(HLOOKUP(CE$15,Data_5!$F$10:$BG$42,$A26+2,FALSE)="NO","NO",HLOOKUP(CE$15,Data_5!$F$10:$BG$42,$A26+2,FALSE)/Data_5!$BI21))))))),"")</f>
        <v/>
      </c>
      <c r="CF26" s="1122" t="str">
        <f>IFERROR(IF(VLOOKUP($AL26,Data_5!$B$12:$E$42,4,FALSE)="BASIC","",(IF(HLOOKUP(CF$15,Data_5!$F$10:$BG$42,$A26+2,FALSE)="NO","NO",IF(HLOOKUP(CF$15,Data_5!$F$10:$BG$42,$A26+2,FALSE)="IE","IE",IF(HLOOKUP(CF$15,Data_5!$F$10:$BG$42,$A26+2,FALSE)="NE","NE",IF(HLOOKUP(CF$15,Data_5!$F$10:$BG$42,$A26+2,FALSE)="C","C",IF(HLOOKUP(CF$15,Data_5!$F$10:$BG$42,$A26+2,FALSE)="NO","NO",HLOOKUP(CF$15,Data_5!$F$10:$BG$42,$A26+2,FALSE)/Data_5!$BI21))))))),"")</f>
        <v/>
      </c>
      <c r="CG26" s="1122" t="str">
        <f>IFERROR(IF(VLOOKUP($AL26,Data_5!$B$12:$E$42,4,FALSE)="BASIC","",(IF(HLOOKUP(CG$15,Data_5!$F$10:$BG$42,$A26+2,FALSE)="NO","NO",IF(HLOOKUP(CG$15,Data_5!$F$10:$BG$42,$A26+2,FALSE)="IE","IE",IF(HLOOKUP(CG$15,Data_5!$F$10:$BG$42,$A26+2,FALSE)="NE","NE",IF(HLOOKUP(CG$15,Data_5!$F$10:$BG$42,$A26+2,FALSE)="C","C",IF(HLOOKUP(CG$15,Data_5!$F$10:$BG$42,$A26+2,FALSE)="NO","NO",HLOOKUP(CG$15,Data_5!$F$10:$BG$42,$A26+2,FALSE)/Data_5!$BI21))))))),"")</f>
        <v/>
      </c>
      <c r="CH26" s="1122" t="str">
        <f>IFERROR(IF(VLOOKUP($AL26,Data_5!$B$12:$E$42,4,FALSE)="BASIC","",(IF(HLOOKUP(CH$15,Data_5!$F$10:$BG$42,$A26+2,FALSE)="NO","NO",IF(HLOOKUP(CH$15,Data_5!$F$10:$BG$42,$A26+2,FALSE)="IE","IE",IF(HLOOKUP(CH$15,Data_5!$F$10:$BG$42,$A26+2,FALSE)="NE","NE",IF(HLOOKUP(CH$15,Data_5!$F$10:$BG$42,$A26+2,FALSE)="C","C",IF(HLOOKUP(CH$15,Data_5!$F$10:$BG$42,$A26+2,FALSE)="NO","NO",HLOOKUP(CH$15,Data_5!$F$10:$BG$42,$A26+2,FALSE)/Data_5!$BI21))))))),"")</f>
        <v/>
      </c>
      <c r="CI26" s="1122" t="str">
        <f>IFERROR(IF(VLOOKUP($AL26,Data_5!$B$12:$E$42,4,FALSE)="BASIC","",(IF(HLOOKUP(CI$15,Data_5!$F$10:$BG$42,$A26+2,FALSE)="NO","NO",IF(HLOOKUP(CI$15,Data_5!$F$10:$BG$42,$A26+2,FALSE)="IE","IE",IF(HLOOKUP(CI$15,Data_5!$F$10:$BG$42,$A26+2,FALSE)="NE","NE",IF(HLOOKUP(CI$15,Data_5!$F$10:$BG$42,$A26+2,FALSE)="C","C",IF(HLOOKUP(CI$15,Data_5!$F$10:$BG$42,$A26+2,FALSE)="NO","NO",HLOOKUP(CI$15,Data_5!$F$10:$BG$42,$A26+2,FALSE)/Data_5!$BI21))))))),"")</f>
        <v/>
      </c>
      <c r="CJ26" s="1122" t="str">
        <f>IFERROR(IF(VLOOKUP($AL26,Data_5!$B$12:$E$42,4,FALSE)="BASIC","",(IF(HLOOKUP(CJ$15,Data_5!$F$10:$BG$42,$A26+2,FALSE)="NO","NO",IF(HLOOKUP(CJ$15,Data_5!$F$10:$BG$42,$A26+2,FALSE)="IE","IE",IF(HLOOKUP(CJ$15,Data_5!$F$10:$BG$42,$A26+2,FALSE)="NE","NE",IF(HLOOKUP(CJ$15,Data_5!$F$10:$BG$42,$A26+2,FALSE)="C","C",IF(HLOOKUP(CJ$15,Data_5!$F$10:$BG$42,$A26+2,FALSE)="NO","NO",HLOOKUP(CJ$15,Data_5!$F$10:$BG$42,$A26+2,FALSE)/Data_5!$BI21))))))),"")</f>
        <v/>
      </c>
      <c r="CL26" s="2628" t="str">
        <f t="shared" si="2"/>
        <v>District of Columbia</v>
      </c>
      <c r="CM26" s="2629"/>
      <c r="CN26" s="1100">
        <f t="shared" si="3"/>
        <v>2013</v>
      </c>
      <c r="CO26" s="1122">
        <f>IFERROR(IF(HLOOKUP(CO$15,Data_5!$F$10:$BG$42,$A26+2,FALSE)="NO","NO",IF(HLOOKUP(CO$15,Data_5!$F$10:$BG$42,$A26+2,FALSE)="IE","IE",IF(HLOOKUP(CO$15,Data_5!$F$10:$BG$42,$A26+2,FALSE)="NE","NE",IF(HLOOKUP(CO$15,Data_5!$F$10:$BG$42,$A26+2,FALSE)="C","C",IF(HLOOKUP(CO$15,Data_5!$F$10:$BG$42,$A26+2,FALSE)="NO","NO",HLOOKUP(CO$15,Data_5!$F$10:$BG$42,$A26+2,FALSE)/Data_5!$BK21))))),"")</f>
        <v>0.19132599642297374</v>
      </c>
      <c r="CP26" s="1122">
        <f>IFERROR(IF(HLOOKUP(CP$15,Data_5!$F$10:$BG$42,$A26+2,FALSE)="NO","NO",IF(HLOOKUP(CP$15,Data_5!$F$10:$BG$42,$A26+2,FALSE)="IE","IE",IF(HLOOKUP(CP$15,Data_5!$F$10:$BG$42,$A26+2,FALSE)="NE","NE",IF(HLOOKUP(CP$15,Data_5!$F$10:$BG$42,$A26+2,FALSE)="C","C",IF(HLOOKUP(CP$15,Data_5!$F$10:$BG$42,$A26+2,FALSE)="NO","NO",HLOOKUP(CP$15,Data_5!$F$10:$BG$42,$A26+2,FALSE)/Data_5!$BK21))))),"")</f>
        <v>0.32278191202256212</v>
      </c>
      <c r="CQ26" s="1122" t="str">
        <f>IFERROR(IF(HLOOKUP(CQ$15,Data_5!$F$10:$BG$42,$A26+2,FALSE)="NO","NO",IF(HLOOKUP(CQ$15,Data_5!$F$10:$BG$42,$A26+2,FALSE)="IE","IE",IF(HLOOKUP(CQ$15,Data_5!$F$10:$BG$42,$A26+2,FALSE)="NE","NE",IF(HLOOKUP(CQ$15,Data_5!$F$10:$BG$42,$A26+2,FALSE)="C","C",IF(HLOOKUP(CQ$15,Data_5!$F$10:$BG$42,$A26+2,FALSE)="NO","NO",HLOOKUP(CQ$15,Data_5!$F$10:$BG$42,$A26+2,FALSE)/Data_5!$BK21))))),"")</f>
        <v>NO</v>
      </c>
      <c r="CR26" s="1122" t="str">
        <f>IFERROR(IF(HLOOKUP(CR$15,Data_5!$F$10:$BG$42,$A26+2,FALSE)="NO","NO",IF(HLOOKUP(CR$15,Data_5!$F$10:$BG$42,$A26+2,FALSE)="IE","IE",IF(HLOOKUP(CR$15,Data_5!$F$10:$BG$42,$A26+2,FALSE)="NE","NE",IF(HLOOKUP(CR$15,Data_5!$F$10:$BG$42,$A26+2,FALSE)="C","C",IF(HLOOKUP(CR$15,Data_5!$F$10:$BG$42,$A26+2,FALSE)="NO","NO",HLOOKUP(CR$15,Data_5!$F$10:$BG$42,$A26+2,FALSE)/Data_5!$BK21))))),"")</f>
        <v>NO</v>
      </c>
      <c r="CS26" s="1122" t="str">
        <f>IFERROR(IF(HLOOKUP(CS$15,Data_5!$F$10:$BG$42,$A26+2,FALSE)="NO","NO",IF(HLOOKUP(CS$15,Data_5!$F$10:$BG$42,$A26+2,FALSE)="IE","IE",IF(HLOOKUP(CS$15,Data_5!$F$10:$BG$42,$A26+2,FALSE)="NE","NE",IF(HLOOKUP(CS$15,Data_5!$F$10:$BG$42,$A26+2,FALSE)="C","C",IF(HLOOKUP(CS$15,Data_5!$F$10:$BG$42,$A26+2,FALSE)="NO","NO",HLOOKUP(CS$15,Data_5!$F$10:$BG$42,$A26+2,FALSE)/Data_5!$BK21))))),"")</f>
        <v>NO</v>
      </c>
      <c r="CT26" s="1122" t="str">
        <f>IFERROR(IF(HLOOKUP(CT$15,Data_5!$F$10:$BG$42,$A26+2,FALSE)="NO","NO",IF(HLOOKUP(CT$15,Data_5!$F$10:$BG$42,$A26+2,FALSE)="IE","IE",IF(HLOOKUP(CT$15,Data_5!$F$10:$BG$42,$A26+2,FALSE)="NE","NE",IF(HLOOKUP(CT$15,Data_5!$F$10:$BG$42,$A26+2,FALSE)="C","C",IF(HLOOKUP(CT$15,Data_5!$F$10:$BG$42,$A26+2,FALSE)="NO","NO",HLOOKUP(CT$15,Data_5!$F$10:$BG$42,$A26+2,FALSE)/Data_5!$BK21))))),"")</f>
        <v>NO</v>
      </c>
      <c r="CU26" s="1122" t="str">
        <f>IFERROR(IF(HLOOKUP(CU$15,Data_5!$F$10:$BG$42,$A26+2,FALSE)="NO","NO",IF(HLOOKUP(CU$15,Data_5!$F$10:$BG$42,$A26+2,FALSE)="IE","IE",IF(HLOOKUP(CU$15,Data_5!$F$10:$BG$42,$A26+2,FALSE)="NE","NE",IF(HLOOKUP(CU$15,Data_5!$F$10:$BG$42,$A26+2,FALSE)="C","C",IF(HLOOKUP(CU$15,Data_5!$F$10:$BG$42,$A26+2,FALSE)="NO","NO",HLOOKUP(CU$15,Data_5!$F$10:$BG$42,$A26+2,FALSE)/Data_5!$BK21))))),"")</f>
        <v>NO</v>
      </c>
      <c r="CV26" s="1122" t="str">
        <f>IFERROR(IF(HLOOKUP(CV$15,Data_5!$F$10:$BG$42,$A26+2,FALSE)="NO","NO",IF(HLOOKUP(CV$15,Data_5!$F$10:$BG$42,$A26+2,FALSE)="IE","IE",IF(HLOOKUP(CV$15,Data_5!$F$10:$BG$42,$A26+2,FALSE)="NE","NE",IF(HLOOKUP(CV$15,Data_5!$F$10:$BG$42,$A26+2,FALSE)="C","C",IF(HLOOKUP(CV$15,Data_5!$F$10:$BG$42,$A26+2,FALSE)="NO","NO",HLOOKUP(CV$15,Data_5!$F$10:$BG$42,$A26+2,FALSE)/Data_5!$BK21))))),"")</f>
        <v>NO</v>
      </c>
      <c r="CW26" s="1122">
        <f>IFERROR(IF(HLOOKUP(CW$15,Data_5!$F$10:$BG$42,$A26+2,FALSE)="NO","NO",IF(HLOOKUP(CW$15,Data_5!$F$10:$BG$42,$A26+2,FALSE)="IE","IE",IF(HLOOKUP(CW$15,Data_5!$F$10:$BG$42,$A26+2,FALSE)="NE","NE",IF(HLOOKUP(CW$15,Data_5!$F$10:$BG$42,$A26+2,FALSE)="C","C",IF(HLOOKUP(CW$15,Data_5!$F$10:$BG$42,$A26+2,FALSE)="NO","NO",HLOOKUP(CW$15,Data_5!$F$10:$BG$42,$A26+2,FALSE)/Data_5!$BK21))))),"")</f>
        <v>6.9898977440041327E-3</v>
      </c>
      <c r="CX26" s="1122">
        <f>IFERROR(IF(HLOOKUP(CX$15,Data_5!$F$10:$BG$42,$A26+2,FALSE)="NO","NO",IF(HLOOKUP(CX$15,Data_5!$F$10:$BG$42,$A26+2,FALSE)="IE","IE",IF(HLOOKUP(CX$15,Data_5!$F$10:$BG$42,$A26+2,FALSE)="NE","NE",IF(HLOOKUP(CX$15,Data_5!$F$10:$BG$42,$A26+2,FALSE)="C","C",IF(HLOOKUP(CX$15,Data_5!$F$10:$BG$42,$A26+2,FALSE)="NO","NO",HLOOKUP(CX$15,Data_5!$F$10:$BG$42,$A26+2,FALSE)/Data_5!$BK21))))),"")</f>
        <v>0.47180119757429695</v>
      </c>
      <c r="CY26" s="1122" t="str">
        <f>IFERROR(IF(HLOOKUP(CY$15,Data_5!$F$10:$BG$42,$A26+2,FALSE)="NO","NO",IF(HLOOKUP(CY$15,Data_5!$F$10:$BG$42,$A26+2,FALSE)="IE","IE",IF(HLOOKUP(CY$15,Data_5!$F$10:$BG$42,$A26+2,FALSE)="NE","NE",IF(HLOOKUP(CY$15,Data_5!$F$10:$BG$42,$A26+2,FALSE)="C","C",IF(HLOOKUP(CY$15,Data_5!$F$10:$BG$42,$A26+2,FALSE)="NO","NO",HLOOKUP(CY$15,Data_5!$F$10:$BG$42,$A26+2,FALSE)/Data_5!$BK21))))),"")</f>
        <v>NO</v>
      </c>
      <c r="CZ26" s="1122" t="str">
        <f>IFERROR(IF(HLOOKUP(CZ$15,Data_5!$F$10:$BG$42,$A26+2,FALSE)="NO","NO",IF(HLOOKUP(CZ$15,Data_5!$F$10:$BG$42,$A26+2,FALSE)="IE","IE",IF(HLOOKUP(CZ$15,Data_5!$F$10:$BG$42,$A26+2,FALSE)="NE","NE",IF(HLOOKUP(CZ$15,Data_5!$F$10:$BG$42,$A26+2,FALSE)="C","C",IF(HLOOKUP(CZ$15,Data_5!$F$10:$BG$42,$A26+2,FALSE)="NO","NO",HLOOKUP(CZ$15,Data_5!$F$10:$BG$42,$A26+2,FALSE)/Data_5!$BK21))))),"")</f>
        <v>NO</v>
      </c>
      <c r="DA26" s="1122" t="str">
        <f>IFERROR(IF(HLOOKUP(DA$15,Data_5!$F$10:$BG$42,$A26+2,FALSE)="NO","NO",IF(HLOOKUP(DA$15,Data_5!$F$10:$BG$42,$A26+2,FALSE)="IE","IE",IF(HLOOKUP(DA$15,Data_5!$F$10:$BG$42,$A26+2,FALSE)="NE","NE",IF(HLOOKUP(DA$15,Data_5!$F$10:$BG$42,$A26+2,FALSE)="C","C",IF(HLOOKUP(DA$15,Data_5!$F$10:$BG$42,$A26+2,FALSE)="NO","NO",HLOOKUP(DA$15,Data_5!$F$10:$BG$42,$A26+2,FALSE)/Data_5!$BK21))))),"")</f>
        <v>NO</v>
      </c>
      <c r="DB26" s="1122" t="str">
        <f>IFERROR(IF(HLOOKUP(DB$15,Data_5!$F$10:$BG$42,$A26+2,FALSE)="NO","NO",IF(HLOOKUP(DB$15,Data_5!$F$10:$BG$42,$A26+2,FALSE)="IE","IE",IF(HLOOKUP(DB$15,Data_5!$F$10:$BG$42,$A26+2,FALSE)="NE","NE",IF(HLOOKUP(DB$15,Data_5!$F$10:$BG$42,$A26+2,FALSE)="C","C",IF(HLOOKUP(DB$15,Data_5!$F$10:$BG$42,$A26+2,FALSE)="NO","NO",HLOOKUP(DB$15,Data_5!$F$10:$BG$42,$A26+2,FALSE)/Data_5!$BK21))))),"")</f>
        <v>NO</v>
      </c>
      <c r="DC26" s="1122" t="str">
        <f>IFERROR(IF(HLOOKUP(DC$15,Data_5!$F$10:$BG$42,$A26+2,FALSE)="NO","NO",IF(HLOOKUP(DC$15,Data_5!$F$10:$BG$42,$A26+2,FALSE)="IE","IE",IF(HLOOKUP(DC$15,Data_5!$F$10:$BG$42,$A26+2,FALSE)="NE","NE",IF(HLOOKUP(DC$15,Data_5!$F$10:$BG$42,$A26+2,FALSE)="C","C",IF(HLOOKUP(DC$15,Data_5!$F$10:$BG$42,$A26+2,FALSE)="NO","NO",HLOOKUP(DC$15,Data_5!$F$10:$BG$42,$A26+2,FALSE)/Data_5!$BK21))))),"")</f>
        <v>NO</v>
      </c>
      <c r="DD26" s="1122" t="str">
        <f>IFERROR(IF(HLOOKUP(DD$15,Data_5!$F$10:$BG$42,$A26+2,FALSE)="NO","NO",IF(HLOOKUP(DD$15,Data_5!$F$10:$BG$42,$A26+2,FALSE)="IE","IE",IF(HLOOKUP(DD$15,Data_5!$F$10:$BG$42,$A26+2,FALSE)="NE","NE",IF(HLOOKUP(DD$15,Data_5!$F$10:$BG$42,$A26+2,FALSE)="C","C",IF(HLOOKUP(DD$15,Data_5!$F$10:$BG$42,$A26+2,FALSE)="NO","NO",HLOOKUP(DD$15,Data_5!$F$10:$BG$42,$A26+2,FALSE)/Data_5!$BK21))))),"")</f>
        <v>NO</v>
      </c>
      <c r="DE26" s="1122" t="str">
        <f>IFERROR(IF(HLOOKUP(DE$15,Data_5!$F$10:$BG$42,$A26+2,FALSE)="NO","NO",IF(HLOOKUP(DE$15,Data_5!$F$10:$BG$42,$A26+2,FALSE)="IE","IE",IF(HLOOKUP(DE$15,Data_5!$F$10:$BG$42,$A26+2,FALSE)="NE","NE",IF(HLOOKUP(DE$15,Data_5!$F$10:$BG$42,$A26+2,FALSE)="C","C",IF(HLOOKUP(DE$15,Data_5!$F$10:$BG$42,$A26+2,FALSE)="NO","NO",HLOOKUP(DE$15,Data_5!$F$10:$BG$42,$A26+2,FALSE)/Data_5!$BK21))))),"")</f>
        <v>NO</v>
      </c>
      <c r="DF26" s="1122" t="str">
        <f>IFERROR(IF(HLOOKUP(DF$15,Data_5!$F$10:$BG$42,$A26+2,FALSE)="NO","NO",IF(HLOOKUP(DF$15,Data_5!$F$10:$BG$42,$A26+2,FALSE)="IE","IE",IF(HLOOKUP(DF$15,Data_5!$F$10:$BG$42,$A26+2,FALSE)="NE","NE",IF(HLOOKUP(DF$15,Data_5!$F$10:$BG$42,$A26+2,FALSE)="C","C",IF(HLOOKUP(DF$15,Data_5!$F$10:$BG$42,$A26+2,FALSE)="NO","NO",HLOOKUP(DF$15,Data_5!$F$10:$BG$42,$A26+2,FALSE)/Data_5!$BK21))))),"")</f>
        <v>NO</v>
      </c>
      <c r="DG26" s="1122" t="str">
        <f>IFERROR(IF(HLOOKUP(DG$15,Data_5!$F$10:$BG$42,$A26+2,FALSE)="NO","NO",IF(HLOOKUP(DG$15,Data_5!$F$10:$BG$42,$A26+2,FALSE)="IE","IE",IF(HLOOKUP(DG$15,Data_5!$F$10:$BG$42,$A26+2,FALSE)="NE","NE",IF(HLOOKUP(DG$15,Data_5!$F$10:$BG$42,$A26+2,FALSE)="C","C",IF(HLOOKUP(DG$15,Data_5!$F$10:$BG$42,$A26+2,FALSE)="NO","NO",HLOOKUP(DG$15,Data_5!$F$10:$BG$42,$A26+2,FALSE)/Data_5!$BK21))))),"")</f>
        <v>NO</v>
      </c>
      <c r="DH26" s="1122" t="str">
        <f>IFERROR(IF(HLOOKUP(DH$15,Data_5!$F$10:$BG$42,$A26+2,FALSE)="NO","NO",IF(HLOOKUP(DH$15,Data_5!$F$10:$BG$42,$A26+2,FALSE)="IE","IE",IF(HLOOKUP(DH$15,Data_5!$F$10:$BG$42,$A26+2,FALSE)="NE","NE",IF(HLOOKUP(DH$15,Data_5!$F$10:$BG$42,$A26+2,FALSE)="C","C",IF(HLOOKUP(DH$15,Data_5!$F$10:$BG$42,$A26+2,FALSE)="NO","NO",HLOOKUP(DH$15,Data_5!$F$10:$BG$42,$A26+2,FALSE)/Data_5!$BK21))))),"")</f>
        <v>NO</v>
      </c>
      <c r="DI26" s="1122">
        <f>IFERROR(IF(HLOOKUP(DI$15,Data_5!$F$10:$BG$42,$A26+2,FALSE)="NO","NO",IF(HLOOKUP(DI$15,Data_5!$F$10:$BG$42,$A26+2,FALSE)="IE","IE",IF(HLOOKUP(DI$15,Data_5!$F$10:$BG$42,$A26+2,FALSE)="NE","NE",IF(HLOOKUP(DI$15,Data_5!$F$10:$BG$42,$A26+2,FALSE)="C","C",IF(HLOOKUP(DI$15,Data_5!$F$10:$BG$42,$A26+2,FALSE)="NO","NO",HLOOKUP(DI$15,Data_5!$F$10:$BG$42,$A26+2,FALSE)/Data_5!$BK21))))),"")</f>
        <v>1.9172689837640396E-3</v>
      </c>
      <c r="DJ26" s="1122">
        <f>IFERROR(IF(HLOOKUP(DJ$15,Data_5!$F$10:$BG$42,$A26+2,FALSE)="NO","NO",IF(HLOOKUP(DJ$15,Data_5!$F$10:$BG$42,$A26+2,FALSE)="IE","IE",IF(HLOOKUP(DJ$15,Data_5!$F$10:$BG$42,$A26+2,FALSE)="NE","NE",IF(HLOOKUP(DJ$15,Data_5!$F$10:$BG$42,$A26+2,FALSE)="C","C",IF(HLOOKUP(DJ$15,Data_5!$F$10:$BG$42,$A26+2,FALSE)="NO","NO",HLOOKUP(DJ$15,Data_5!$F$10:$BG$42,$A26+2,FALSE)/Data_5!$BK21))))),"")</f>
        <v>5.1837272523990686E-3</v>
      </c>
      <c r="DK26" s="1122" t="str">
        <f>IFERROR(IF(HLOOKUP(DK$15,Data_5!$F$10:$BG$42,$A26+2,FALSE)="NO","NO",IF(HLOOKUP(DK$15,Data_5!$F$10:$BG$42,$A26+2,FALSE)="IE","IE",IF(HLOOKUP(DK$15,Data_5!$F$10:$BG$42,$A26+2,FALSE)="NE","NE",IF(HLOOKUP(DK$15,Data_5!$F$10:$BG$42,$A26+2,FALSE)="C","C",IF(HLOOKUP(DK$15,Data_5!$F$10:$BG$42,$A26+2,FALSE)="NO","NO",HLOOKUP(DK$15,Data_5!$F$10:$BG$42,$A26+2,FALSE)/Data_5!$BK21))))),"")</f>
        <v>NO</v>
      </c>
      <c r="DL26" s="1122" t="str">
        <f>IFERROR(IF(HLOOKUP(DL$15,Data_5!$F$10:$BG$42,$A26+2,FALSE)="NO","NO",IF(HLOOKUP(DL$15,Data_5!$F$10:$BG$42,$A26+2,FALSE)="IE","IE",IF(HLOOKUP(DL$15,Data_5!$F$10:$BG$42,$A26+2,FALSE)="NE","NE",IF(HLOOKUP(DL$15,Data_5!$F$10:$BG$42,$A26+2,FALSE)="C","C",IF(HLOOKUP(DL$15,Data_5!$F$10:$BG$42,$A26+2,FALSE)="NO","NO",HLOOKUP(DL$15,Data_5!$F$10:$BG$42,$A26+2,FALSE)/Data_5!$BK21))))),"")</f>
        <v>NE</v>
      </c>
      <c r="DM26" s="1122" t="str">
        <f>IFERROR(IF(HLOOKUP(DM$15,Data_5!$F$10:$BG$42,$A26+2,FALSE)="NO","NO",IF(HLOOKUP(DM$15,Data_5!$F$10:$BG$42,$A26+2,FALSE)="IE","IE",IF(HLOOKUP(DM$15,Data_5!$F$10:$BG$42,$A26+2,FALSE)="NE","NE",IF(HLOOKUP(DM$15,Data_5!$F$10:$BG$42,$A26+2,FALSE)="C","C",IF(HLOOKUP(DM$15,Data_5!$F$10:$BG$42,$A26+2,FALSE)="NO","NO",HLOOKUP(DM$15,Data_5!$F$10:$BG$42,$A26+2,FALSE)/Data_5!$BK21))))),"")</f>
        <v>NO</v>
      </c>
      <c r="DN26" s="1122" t="str">
        <f>IFERROR(IF(HLOOKUP(DN$15,Data_5!$F$10:$BG$42,$A26+2,FALSE)="NO","NO",IF(HLOOKUP(DN$15,Data_5!$F$10:$BG$42,$A26+2,FALSE)="IE","IE",IF(HLOOKUP(DN$15,Data_5!$F$10:$BG$42,$A26+2,FALSE)="NE","NE",IF(HLOOKUP(DN$15,Data_5!$F$10:$BG$42,$A26+2,FALSE)="C","C",IF(HLOOKUP(DN$15,Data_5!$F$10:$BG$42,$A26+2,FALSE)="NO","NO",HLOOKUP(DN$15,Data_5!$F$10:$BG$42,$A26+2,FALSE)/Data_5!$BK21))))),"")</f>
        <v>NO</v>
      </c>
      <c r="DO26" s="1122" t="str">
        <f>IFERROR(IF(HLOOKUP(DO$15,Data_5!$F$10:$BG$42,$A26+2,FALSE)="NO","NO",IF(HLOOKUP(DO$15,Data_5!$F$10:$BG$42,$A26+2,FALSE)="IE","IE",IF(HLOOKUP(DO$15,Data_5!$F$10:$BG$42,$A26+2,FALSE)="NE","NE",IF(HLOOKUP(DO$15,Data_5!$F$10:$BG$42,$A26+2,FALSE)="C","C",IF(HLOOKUP(DO$15,Data_5!$F$10:$BG$42,$A26+2,FALSE)="NO","NO",HLOOKUP(DO$15,Data_5!$F$10:$BG$42,$A26+2,FALSE)/Data_5!$BK21))))),"")</f>
        <v>NO</v>
      </c>
    </row>
    <row r="27" spans="1:119" s="15" customFormat="1" ht="15" customHeight="1">
      <c r="A27" s="1789">
        <v>11</v>
      </c>
      <c r="B27" s="2628" t="str">
        <f>IF(Data_5!B22&lt;&gt;"",Data_5!B22,"")</f>
        <v>Johannesburg</v>
      </c>
      <c r="C27" s="2629"/>
      <c r="D27" s="1462">
        <f>IFERROR(VLOOKUP($B27,Data_5!$B$12:$C$42,2,FALSE),"")</f>
        <v>2014</v>
      </c>
      <c r="E27" s="1122">
        <f>IFERROR(IF(HLOOKUP(E$15,Data_5!$F$10:$BG$42,$A27+2,FALSE)="NO","NO",IF(HLOOKUP(E$15,Data_5!$F$10:$BG$42,$A27+2,FALSE)="IE","IE",IF(HLOOKUP(E$15,Data_5!$F$10:$BG$42,$A27+2,FALSE)="NE","NE",IF(HLOOKUP(E$15,Data_5!$F$10:$BG$42,$A27+2,FALSE)="C","C",IF(HLOOKUP(E$15,Data_5!$F$10:$BG$42,$A27+2,FALSE)="NO","NO",HLOOKUP(E$15,Data_5!$F$10:$BG$42,$A27+2,FALSE)/Data_5!$BH22))))),"")</f>
        <v>4.4943695528949067E-3</v>
      </c>
      <c r="F27" s="1122">
        <f>IFERROR(IF(HLOOKUP(F$15,Data_5!$F$10:$BG$42,$A27+2,FALSE)="NO","NO",IF(HLOOKUP(F$15,Data_5!$F$10:$BG$42,$A27+2,FALSE)="IE","IE",IF(HLOOKUP(F$15,Data_5!$F$10:$BG$42,$A27+2,FALSE)="NE","NE",IF(HLOOKUP(F$15,Data_5!$F$10:$BG$42,$A27+2,FALSE)="C","C",IF(HLOOKUP(F$15,Data_5!$F$10:$BG$42,$A27+2,FALSE)="NO","NO",HLOOKUP(F$15,Data_5!$F$10:$BG$42,$A27+2,FALSE)/Data_5!$BH22))))),"")</f>
        <v>0.28581947206289282</v>
      </c>
      <c r="G27" s="1122">
        <f>IFERROR(IF(HLOOKUP(G$15,Data_5!$F$10:$BG$42,$A27+2,FALSE)="NO","NO",IF(HLOOKUP(G$15,Data_5!$F$10:$BG$42,$A27+2,FALSE)="IE","IE",IF(HLOOKUP(G$15,Data_5!$F$10:$BG$42,$A27+2,FALSE)="NE","NE",IF(HLOOKUP(G$15,Data_5!$F$10:$BG$42,$A27+2,FALSE)="C","C",IF(HLOOKUP(G$15,Data_5!$F$10:$BG$42,$A27+2,FALSE)="NO","NO",HLOOKUP(G$15,Data_5!$F$10:$BG$42,$A27+2,FALSE)/Data_5!$BH22))))),"")</f>
        <v>4.8797728297598868E-3</v>
      </c>
      <c r="H27" s="1122">
        <f>IFERROR(IF(HLOOKUP(H$15,Data_5!$F$10:$BG$42,$A27+2,FALSE)="NO","NO",IF(HLOOKUP(H$15,Data_5!$F$10:$BG$42,$A27+2,FALSE)="IE","IE",IF(HLOOKUP(H$15,Data_5!$F$10:$BG$42,$A27+2,FALSE)="NE","NE",IF(HLOOKUP(H$15,Data_5!$F$10:$BG$42,$A27+2,FALSE)="C","C",IF(HLOOKUP(H$15,Data_5!$F$10:$BG$42,$A27+2,FALSE)="NO","NO",HLOOKUP(H$15,Data_5!$F$10:$BG$42,$A27+2,FALSE)/Data_5!$BH22))))),"")</f>
        <v>0.33288369664540512</v>
      </c>
      <c r="I27" s="1122">
        <f>IFERROR(IF(HLOOKUP(I$15,Data_5!$F$10:$BG$42,$A27+2,FALSE)="NO","NO",IF(HLOOKUP(I$15,Data_5!$F$10:$BG$42,$A27+2,FALSE)="IE","IE",IF(HLOOKUP(I$15,Data_5!$F$10:$BG$42,$A27+2,FALSE)="NE","NE",IF(HLOOKUP(I$15,Data_5!$F$10:$BG$42,$A27+2,FALSE)="C","C",IF(HLOOKUP(I$15,Data_5!$F$10:$BG$42,$A27+2,FALSE)="NO","NO",HLOOKUP(I$15,Data_5!$F$10:$BG$42,$A27+2,FALSE)/Data_5!$BH22))))),"")</f>
        <v>8.3827493177015787E-3</v>
      </c>
      <c r="J27" s="1122">
        <f>IFERROR(IF(HLOOKUP(J$15,Data_5!$F$10:$BG$42,$A27+2,FALSE)="NO","NO",IF(HLOOKUP(J$15,Data_5!$F$10:$BG$42,$A27+2,FALSE)="IE","IE",IF(HLOOKUP(J$15,Data_5!$F$10:$BG$42,$A27+2,FALSE)="NE","NE",IF(HLOOKUP(J$15,Data_5!$F$10:$BG$42,$A27+2,FALSE)="C","C",IF(HLOOKUP(J$15,Data_5!$F$10:$BG$42,$A27+2,FALSE)="NO","NO",HLOOKUP(J$15,Data_5!$F$10:$BG$42,$A27+2,FALSE)/Data_5!$BH22))))),"")</f>
        <v>1.5597005865175294E-3</v>
      </c>
      <c r="K27" s="1122" t="str">
        <f>IFERROR(IF(HLOOKUP(K$15,Data_5!$F$10:$BG$42,$A27+2,FALSE)="NO","NO",IF(HLOOKUP(K$15,Data_5!$F$10:$BG$42,$A27+2,FALSE)="IE","IE",IF(HLOOKUP(K$15,Data_5!$F$10:$BG$42,$A27+2,FALSE)="NE","NE",IF(HLOOKUP(K$15,Data_5!$F$10:$BG$42,$A27+2,FALSE)="C","C",IF(HLOOKUP(K$15,Data_5!$F$10:$BG$42,$A27+2,FALSE)="NO","NO",HLOOKUP(K$15,Data_5!$F$10:$BG$42,$A27+2,FALSE)/Data_5!$BH22))))),"")</f>
        <v>IE</v>
      </c>
      <c r="L27" s="1122" t="str">
        <f>IFERROR(IF(HLOOKUP(L$15,Data_5!$F$10:$BG$42,$A27+2,FALSE)="NO","NO",IF(HLOOKUP(L$15,Data_5!$F$10:$BG$42,$A27+2,FALSE)="IE","IE",IF(HLOOKUP(L$15,Data_5!$F$10:$BG$42,$A27+2,FALSE)="NE","NE",IF(HLOOKUP(L$15,Data_5!$F$10:$BG$42,$A27+2,FALSE)="C","C",IF(HLOOKUP(L$15,Data_5!$F$10:$BG$42,$A27+2,FALSE)="NO","NO",HLOOKUP(L$15,Data_5!$F$10:$BG$42,$A27+2,FALSE)/Data_5!$BH22))))),"")</f>
        <v>IE</v>
      </c>
      <c r="M27" s="1122" t="str">
        <f>IFERROR(IF(HLOOKUP(M$15,Data_5!$F$10:$BG$42,$A27+2,FALSE)="NO","NO",IF(HLOOKUP(M$15,Data_5!$F$10:$BG$42,$A27+2,FALSE)="IE","IE",IF(HLOOKUP(M$15,Data_5!$F$10:$BG$42,$A27+2,FALSE)="NE","NE",IF(HLOOKUP(M$15,Data_5!$F$10:$BG$42,$A27+2,FALSE)="C","C",IF(HLOOKUP(M$15,Data_5!$F$10:$BG$42,$A27+2,FALSE)="NO","NO",HLOOKUP(M$15,Data_5!$F$10:$BG$42,$A27+2,FALSE)/Data_5!$BH22))))),"")</f>
        <v>NO</v>
      </c>
      <c r="N27" s="1122" t="str">
        <f>IFERROR(IF(HLOOKUP(N$15,Data_5!$F$10:$BG$42,$A27+2,FALSE)="NO","NO",IF(HLOOKUP(N$15,Data_5!$F$10:$BG$42,$A27+2,FALSE)="IE","IE",IF(HLOOKUP(N$15,Data_5!$F$10:$BG$42,$A27+2,FALSE)="NE","NE",IF(HLOOKUP(N$15,Data_5!$F$10:$BG$42,$A27+2,FALSE)="C","C",IF(HLOOKUP(N$15,Data_5!$F$10:$BG$42,$A27+2,FALSE)="NO","NO",HLOOKUP(N$15,Data_5!$F$10:$BG$42,$A27+2,FALSE)/Data_5!$BH22))))),"")</f>
        <v>NO</v>
      </c>
      <c r="O27" s="1122" t="str">
        <f>IFERROR(IF(HLOOKUP(O$15,Data_5!$F$10:$BG$42,$A27+2,FALSE)="NO","NO",IF(HLOOKUP(O$15,Data_5!$F$10:$BG$42,$A27+2,FALSE)="IE","IE",IF(HLOOKUP(O$15,Data_5!$F$10:$BG$42,$A27+2,FALSE)="NE","NE",IF(HLOOKUP(O$15,Data_5!$F$10:$BG$42,$A27+2,FALSE)="C","C",IF(HLOOKUP(O$15,Data_5!$F$10:$BG$42,$A27+2,FALSE)="NO","NO",HLOOKUP(O$15,Data_5!$F$10:$BG$42,$A27+2,FALSE)/Data_5!$BH22))))),"")</f>
        <v>NO</v>
      </c>
      <c r="P27" s="1122" t="str">
        <f>IFERROR(IF(HLOOKUP(P$15,Data_5!$F$10:$BG$42,$A27+2,FALSE)="NO","NO",IF(HLOOKUP(P$15,Data_5!$F$10:$BG$42,$A27+2,FALSE)="IE","IE",IF(HLOOKUP(P$15,Data_5!$F$10:$BG$42,$A27+2,FALSE)="NE","NE",IF(HLOOKUP(P$15,Data_5!$F$10:$BG$42,$A27+2,FALSE)="C","C",IF(HLOOKUP(P$15,Data_5!$F$10:$BG$42,$A27+2,FALSE)="NO","NO",HLOOKUP(P$15,Data_5!$F$10:$BG$42,$A27+2,FALSE)/Data_5!$BH22))))),"")</f>
        <v>NO</v>
      </c>
      <c r="Q27" s="1122" t="str">
        <f>IFERROR(IF(HLOOKUP(Q$15,Data_5!$F$10:$BG$42,$A27+2,FALSE)="NO","NO",IF(HLOOKUP(Q$15,Data_5!$F$10:$BG$42,$A27+2,FALSE)="IE","IE",IF(HLOOKUP(Q$15,Data_5!$F$10:$BG$42,$A27+2,FALSE)="NE","NE",IF(HLOOKUP(Q$15,Data_5!$F$10:$BG$42,$A27+2,FALSE)="C","C",IF(HLOOKUP(Q$15,Data_5!$F$10:$BG$42,$A27+2,FALSE)="NO","NO",HLOOKUP(Q$15,Data_5!$F$10:$BG$42,$A27+2,FALSE)/Data_5!$BH22))))),"")</f>
        <v>NO</v>
      </c>
      <c r="R27" s="1122">
        <f>IFERROR(IF(HLOOKUP(R$15,Data_5!$F$10:$BG$42,$A27+2,FALSE)="NO","NO",IF(HLOOKUP(R$15,Data_5!$F$10:$BG$42,$A27+2,FALSE)="IE","IE",IF(HLOOKUP(R$15,Data_5!$F$10:$BG$42,$A27+2,FALSE)="NE","NE",IF(HLOOKUP(R$15,Data_5!$F$10:$BG$42,$A27+2,FALSE)="C","C",IF(HLOOKUP(R$15,Data_5!$F$10:$BG$42,$A27+2,FALSE)="NO","NO",HLOOKUP(R$15,Data_5!$F$10:$BG$42,$A27+2,FALSE)/Data_5!$BH22))))),"")</f>
        <v>1.3038132425988516E-4</v>
      </c>
      <c r="S27" s="1122">
        <f>IFERROR(IF(HLOOKUP(S$15,Data_5!$F$10:$BG$42,$A27+2,FALSE)="NO","NO",IF(HLOOKUP(S$15,Data_5!$F$10:$BG$42,$A27+2,FALSE)="IE","IE",IF(HLOOKUP(S$15,Data_5!$F$10:$BG$42,$A27+2,FALSE)="NE","NE",IF(HLOOKUP(S$15,Data_5!$F$10:$BG$42,$A27+2,FALSE)="C","C",IF(HLOOKUP(S$15,Data_5!$F$10:$BG$42,$A27+2,FALSE)="NO","NO",HLOOKUP(S$15,Data_5!$F$10:$BG$42,$A27+2,FALSE)/Data_5!$BH22))))),"")</f>
        <v>0.27815677385679505</v>
      </c>
      <c r="T27" s="1122" t="str">
        <f>IFERROR(IF(HLOOKUP(T$15,Data_5!$F$10:$BG$42,$A27+2,FALSE)="NO","NO",IF(HLOOKUP(T$15,Data_5!$F$10:$BG$42,$A27+2,FALSE)="IE","IE",IF(HLOOKUP(T$15,Data_5!$F$10:$BG$42,$A27+2,FALSE)="NE","NE",IF(HLOOKUP(T$15,Data_5!$F$10:$BG$42,$A27+2,FALSE)="C","C",IF(HLOOKUP(T$15,Data_5!$F$10:$BG$42,$A27+2,FALSE)="NO","NO",HLOOKUP(T$15,Data_5!$F$10:$BG$42,$A27+2,FALSE)/Data_5!$BH22))))),"")</f>
        <v>NO</v>
      </c>
      <c r="U27" s="1122" t="str">
        <f>IFERROR(IF(HLOOKUP(U$15,Data_5!$F$10:$BG$42,$A27+2,FALSE)="NO","NO",IF(HLOOKUP(U$15,Data_5!$F$10:$BG$42,$A27+2,FALSE)="IE","IE",IF(HLOOKUP(U$15,Data_5!$F$10:$BG$42,$A27+2,FALSE)="NE","NE",IF(HLOOKUP(U$15,Data_5!$F$10:$BG$42,$A27+2,FALSE)="C","C",IF(HLOOKUP(U$15,Data_5!$F$10:$BG$42,$A27+2,FALSE)="NO","NO",HLOOKUP(U$15,Data_5!$F$10:$BG$42,$A27+2,FALSE)/Data_5!$BH22))))),"")</f>
        <v>NO</v>
      </c>
      <c r="V27" s="1122">
        <f>IFERROR(IF(HLOOKUP(V$15,Data_5!$F$10:$BG$42,$A27+2,FALSE)="NO","NO",IF(HLOOKUP(V$15,Data_5!$F$10:$BG$42,$A27+2,FALSE)="IE","IE",IF(HLOOKUP(V$15,Data_5!$F$10:$BG$42,$A27+2,FALSE)="NE","NE",IF(HLOOKUP(V$15,Data_5!$F$10:$BG$42,$A27+2,FALSE)="C","C",IF(HLOOKUP(V$15,Data_5!$F$10:$BG$42,$A27+2,FALSE)="NO","NO",HLOOKUP(V$15,Data_5!$F$10:$BG$42,$A27+2,FALSE)/Data_5!$BH22))))),"")</f>
        <v>1.3358247267849068E-2</v>
      </c>
      <c r="W27" s="1122" t="str">
        <f>IFERROR(IF(HLOOKUP(W$15,Data_5!$F$10:$BG$42,$A27+2,FALSE)="NO","NO",IF(HLOOKUP(W$15,Data_5!$F$10:$BG$42,$A27+2,FALSE)="IE","IE",IF(HLOOKUP(W$15,Data_5!$F$10:$BG$42,$A27+2,FALSE)="NE","NE",IF(HLOOKUP(W$15,Data_5!$F$10:$BG$42,$A27+2,FALSE)="C","C",IF(HLOOKUP(W$15,Data_5!$F$10:$BG$42,$A27+2,FALSE)="NO","NO",HLOOKUP(W$15,Data_5!$F$10:$BG$42,$A27+2,FALSE)/Data_5!$BH22))))),"")</f>
        <v>NO</v>
      </c>
      <c r="X27" s="1122" t="str">
        <f>IFERROR(IF(HLOOKUP(X$15,Data_5!$F$10:$BG$42,$A27+2,FALSE)="NO","NO",IF(HLOOKUP(X$15,Data_5!$F$10:$BG$42,$A27+2,FALSE)="IE","IE",IF(HLOOKUP(X$15,Data_5!$F$10:$BG$42,$A27+2,FALSE)="NE","NE",IF(HLOOKUP(X$15,Data_5!$F$10:$BG$42,$A27+2,FALSE)="C","C",IF(HLOOKUP(X$15,Data_5!$F$10:$BG$42,$A27+2,FALSE)="NO","NO",HLOOKUP(X$15,Data_5!$F$10:$BG$42,$A27+2,FALSE)/Data_5!$BH22))))),"")</f>
        <v>NO</v>
      </c>
      <c r="Y27" s="1122" t="str">
        <f>IFERROR(IF(HLOOKUP(Y$15,Data_5!$F$10:$BG$42,$A27+2,FALSE)="NO","NO",IF(HLOOKUP(Y$15,Data_5!$F$10:$BG$42,$A27+2,FALSE)="IE","IE",IF(HLOOKUP(Y$15,Data_5!$F$10:$BG$42,$A27+2,FALSE)="NE","NE",IF(HLOOKUP(Y$15,Data_5!$F$10:$BG$42,$A27+2,FALSE)="C","C",IF(HLOOKUP(Y$15,Data_5!$F$10:$BG$42,$A27+2,FALSE)="NO","NO",HLOOKUP(Y$15,Data_5!$F$10:$BG$42,$A27+2,FALSE)/Data_5!$BH22))))),"")</f>
        <v>NO</v>
      </c>
      <c r="Z27" s="1122" t="str">
        <f>IFERROR(IF(HLOOKUP(Z$15,Data_5!$F$10:$BG$42,$A27+2,FALSE)="NO","NO",IF(HLOOKUP(Z$15,Data_5!$F$10:$BG$42,$A27+2,FALSE)="IE","IE",IF(HLOOKUP(Z$15,Data_5!$F$10:$BG$42,$A27+2,FALSE)="NE","NE",IF(HLOOKUP(Z$15,Data_5!$F$10:$BG$42,$A27+2,FALSE)="C","C",IF(HLOOKUP(Z$15,Data_5!$F$10:$BG$42,$A27+2,FALSE)="NO","NO",HLOOKUP(Z$15,Data_5!$F$10:$BG$42,$A27+2,FALSE)/Data_5!$BH22))))),"")</f>
        <v>NO</v>
      </c>
      <c r="AA27" s="1122" t="str">
        <f>IFERROR(IF(HLOOKUP(AA$15,Data_5!$F$10:$BG$42,$A27+2,FALSE)="NO","NO",IF(HLOOKUP(AA$15,Data_5!$F$10:$BG$42,$A27+2,FALSE)="IE","IE",IF(HLOOKUP(AA$15,Data_5!$F$10:$BG$42,$A27+2,FALSE)="NE","NE",IF(HLOOKUP(AA$15,Data_5!$F$10:$BG$42,$A27+2,FALSE)="C","C",IF(HLOOKUP(AA$15,Data_5!$F$10:$BG$42,$A27+2,FALSE)="NO","NO",HLOOKUP(AA$15,Data_5!$F$10:$BG$42,$A27+2,FALSE)/Data_5!$BH22))))),"")</f>
        <v>IE</v>
      </c>
      <c r="AB27" s="1122" t="str">
        <f>IFERROR(IF(HLOOKUP(AB$15,Data_5!$F$10:$BG$42,$A27+2,FALSE)="NO","NO",IF(HLOOKUP(AB$15,Data_5!$F$10:$BG$42,$A27+2,FALSE)="IE","IE",IF(HLOOKUP(AB$15,Data_5!$F$10:$BG$42,$A27+2,FALSE)="NE","NE",IF(HLOOKUP(AB$15,Data_5!$F$10:$BG$42,$A27+2,FALSE)="C","C",IF(HLOOKUP(AB$15,Data_5!$F$10:$BG$42,$A27+2,FALSE)="NO","NO",HLOOKUP(AB$15,Data_5!$F$10:$BG$42,$A27+2,FALSE)/Data_5!$BH22))))),"")</f>
        <v>NO</v>
      </c>
      <c r="AC27" s="1122">
        <f>IFERROR(IF(HLOOKUP(AC$15,Data_5!$F$10:$BG$42,$A27+2,FALSE)="NO","NO",IF(HLOOKUP(AC$15,Data_5!$F$10:$BG$42,$A27+2,FALSE)="IE","IE",IF(HLOOKUP(AC$15,Data_5!$F$10:$BG$42,$A27+2,FALSE)="NE","NE",IF(HLOOKUP(AC$15,Data_5!$F$10:$BG$42,$A27+2,FALSE)="C","C",IF(HLOOKUP(AC$15,Data_5!$F$10:$BG$42,$A27+2,FALSE)="NO","NO",HLOOKUP(AC$15,Data_5!$F$10:$BG$42,$A27+2,FALSE)/Data_5!$BH22))))),"")</f>
        <v>6.5524580834981194E-2</v>
      </c>
      <c r="AD27" s="1122" t="str">
        <f>IFERROR(IF(HLOOKUP(AD$15,Data_5!$F$10:$BG$42,$A27+2,FALSE)="NO","NO",IF(HLOOKUP(AD$15,Data_5!$F$10:$BG$42,$A27+2,FALSE)="IE","IE",IF(HLOOKUP(AD$15,Data_5!$F$10:$BG$42,$A27+2,FALSE)="NE","NE",IF(HLOOKUP(AD$15,Data_5!$F$10:$BG$42,$A27+2,FALSE)="C","C",IF(HLOOKUP(AD$15,Data_5!$F$10:$BG$42,$A27+2,FALSE)="NO","NO",HLOOKUP(AD$15,Data_5!$F$10:$BG$42,$A27+2,FALSE)/Data_5!$BH22))))),"")</f>
        <v>NO</v>
      </c>
      <c r="AE27" s="1122">
        <f>IFERROR(IF(HLOOKUP(AE$15,Data_5!$F$10:$BG$42,$A27+2,FALSE)="NO","NO",IF(HLOOKUP(AE$15,Data_5!$F$10:$BG$42,$A27+2,FALSE)="IE","IE",IF(HLOOKUP(AE$15,Data_5!$F$10:$BG$42,$A27+2,FALSE)="NE","NE",IF(HLOOKUP(AE$15,Data_5!$F$10:$BG$42,$A27+2,FALSE)="C","C",IF(HLOOKUP(AE$15,Data_5!$F$10:$BG$42,$A27+2,FALSE)="NO","NO",HLOOKUP(AE$15,Data_5!$F$10:$BG$42,$A27+2,FALSE)/Data_5!$BH22))))),"")</f>
        <v>1.3411977629493747E-4</v>
      </c>
      <c r="AF27" s="1122" t="str">
        <f>IFERROR(IF(HLOOKUP(AF$15,Data_5!$F$10:$BG$42,$A27+2,FALSE)="NO","NO",IF(HLOOKUP(AF$15,Data_5!$F$10:$BG$42,$A27+2,FALSE)="IE","IE",IF(HLOOKUP(AF$15,Data_5!$F$10:$BG$42,$A27+2,FALSE)="NE","NE",IF(HLOOKUP(AF$15,Data_5!$F$10:$BG$42,$A27+2,FALSE)="C","C",IF(HLOOKUP(AF$15,Data_5!$F$10:$BG$42,$A27+2,FALSE)="NO","NO",HLOOKUP(AF$15,Data_5!$F$10:$BG$42,$A27+2,FALSE)/Data_5!$BH22))))),"")</f>
        <v>NO</v>
      </c>
      <c r="AG27" s="1122">
        <f>IFERROR(IF(HLOOKUP(AG$15,Data_5!$F$10:$BG$42,$A27+2,FALSE)="NO","NO",IF(HLOOKUP(AG$15,Data_5!$F$10:$BG$42,$A27+2,FALSE)="IE","IE",IF(HLOOKUP(AG$15,Data_5!$F$10:$BG$42,$A27+2,FALSE)="NE","NE",IF(HLOOKUP(AG$15,Data_5!$F$10:$BG$42,$A27+2,FALSE)="C","C",IF(HLOOKUP(AG$15,Data_5!$F$10:$BG$42,$A27+2,FALSE)="NO","NO",HLOOKUP(AG$15,Data_5!$F$10:$BG$42,$A27+2,FALSE)/Data_5!$BH22))))),"")</f>
        <v>2.9243370831366758E-4</v>
      </c>
      <c r="AH27" s="1122" t="str">
        <f>IFERROR(IF(HLOOKUP(AH$15,Data_5!$F$10:$BG$42,$A27+2,FALSE)="NO","NO",IF(HLOOKUP(AH$15,Data_5!$F$10:$BG$42,$A27+2,FALSE)="IE","IE",IF(HLOOKUP(AH$15,Data_5!$F$10:$BG$42,$A27+2,FALSE)="NE","NE",IF(HLOOKUP(AH$15,Data_5!$F$10:$BG$42,$A27+2,FALSE)="C","C",IF(HLOOKUP(AH$15,Data_5!$F$10:$BG$42,$A27+2,FALSE)="NO","NO",HLOOKUP(AH$15,Data_5!$F$10:$BG$42,$A27+2,FALSE)/Data_5!$BH22))))),"")</f>
        <v>NO</v>
      </c>
      <c r="AI27" s="1122">
        <f>IFERROR(IF(HLOOKUP(AI$15,Data_5!$F$10:$BG$42,$A27+2,FALSE)="NO","NO",IF(HLOOKUP(AI$15,Data_5!$F$10:$BG$42,$A27+2,FALSE)="IE","IE",IF(HLOOKUP(AI$15,Data_5!$F$10:$BG$42,$A27+2,FALSE)="NE","NE",IF(HLOOKUP(AI$15,Data_5!$F$10:$BG$42,$A27+2,FALSE)="C","C",IF(HLOOKUP(AI$15,Data_5!$F$10:$BG$42,$A27+2,FALSE)="NO","NO",HLOOKUP(AI$15,Data_5!$F$10:$BG$42,$A27+2,FALSE)/Data_5!$BH22))))),"")</f>
        <v>4.383702236334267E-3</v>
      </c>
      <c r="AJ27" s="1122" t="str">
        <f>IFERROR(IF(HLOOKUP(AJ$15,Data_5!$F$10:$BG$42,$A27+2,FALSE)="NO","NO",IF(HLOOKUP(AJ$15,Data_5!$F$10:$BG$42,$A27+2,FALSE)="IE","IE",IF(HLOOKUP(AJ$15,Data_5!$F$10:$BG$42,$A27+2,FALSE)="NE","NE",IF(HLOOKUP(AJ$15,Data_5!$F$10:$BG$42,$A27+2,FALSE)="C","C",IF(HLOOKUP(AJ$15,Data_5!$F$10:$BG$42,$A27+2,FALSE)="NO","NO",HLOOKUP(AJ$15,Data_5!$F$10:$BG$42,$A27+2,FALSE)/Data_5!$BH22))))),"")</f>
        <v>NO</v>
      </c>
      <c r="AL27" s="2628" t="str">
        <f t="shared" si="0"/>
        <v>Johannesburg</v>
      </c>
      <c r="AM27" s="2629"/>
      <c r="AN27" s="1100">
        <f t="shared" si="1"/>
        <v>2014</v>
      </c>
      <c r="AO27" s="1122" t="str">
        <f>IFERROR(IF(VLOOKUP($AL27,Data_5!$B$12:$E$42,4,FALSE)="BASIC","",(IF(HLOOKUP(AO$15,Data_5!$F$10:$BG$42,$A27+2,FALSE)="NO","NO",IF(HLOOKUP(AO$15,Data_5!$F$10:$BG$42,$A27+2,FALSE)="IE","IE",IF(HLOOKUP(AO$15,Data_5!$F$10:$BG$42,$A27+2,FALSE)="NE","NE",IF(HLOOKUP(AO$15,Data_5!$F$10:$BG$42,$A27+2,FALSE)="C","C",IF(HLOOKUP(AO$15,Data_5!$F$10:$BG$42,$A27+2,FALSE)="NO","NO",HLOOKUP(AO$15,Data_5!$F$10:$BG$42,$A27+2,FALSE)/Data_5!$BI22))))))),"")</f>
        <v/>
      </c>
      <c r="AP27" s="1122" t="str">
        <f>IFERROR(IF(VLOOKUP($AL27,Data_5!$B$12:$E$42,4,FALSE)="BASIC","",(IF(HLOOKUP(AP$15,Data_5!$F$10:$BG$42,$A27+2,FALSE)="NO","NO",IF(HLOOKUP(AP$15,Data_5!$F$10:$BG$42,$A27+2,FALSE)="IE","IE",IF(HLOOKUP(AP$15,Data_5!$F$10:$BG$42,$A27+2,FALSE)="NE","NE",IF(HLOOKUP(AP$15,Data_5!$F$10:$BG$42,$A27+2,FALSE)="C","C",IF(HLOOKUP(AP$15,Data_5!$F$10:$BG$42,$A27+2,FALSE)="NO","NO",HLOOKUP(AP$15,Data_5!$F$10:$BG$42,$A27+2,FALSE)/Data_5!$BI22))))))),"")</f>
        <v/>
      </c>
      <c r="AQ27" s="1122" t="str">
        <f>IFERROR(IF(VLOOKUP($AL27,Data_5!$B$12:$E$42,4,FALSE)="BASIC","",(IF(HLOOKUP(AQ$15,Data_5!$F$10:$BG$42,$A27+2,FALSE)="NO","NO",IF(HLOOKUP(AQ$15,Data_5!$F$10:$BG$42,$A27+2,FALSE)="IE","IE",IF(HLOOKUP(AQ$15,Data_5!$F$10:$BG$42,$A27+2,FALSE)="NE","NE",IF(HLOOKUP(AQ$15,Data_5!$F$10:$BG$42,$A27+2,FALSE)="C","C",IF(HLOOKUP(AQ$15,Data_5!$F$10:$BG$42,$A27+2,FALSE)="NO","NO",HLOOKUP(AQ$15,Data_5!$F$10:$BG$42,$A27+2,FALSE)/Data_5!$BI22))))))),"")</f>
        <v/>
      </c>
      <c r="AR27" s="1122" t="str">
        <f>IFERROR(IF(VLOOKUP($AL27,Data_5!$B$12:$E$42,4,FALSE)="BASIC","",(IF(HLOOKUP(AR$15,Data_5!$F$10:$BG$42,$A27+2,FALSE)="NO","NO",IF(HLOOKUP(AR$15,Data_5!$F$10:$BG$42,$A27+2,FALSE)="IE","IE",IF(HLOOKUP(AR$15,Data_5!$F$10:$BG$42,$A27+2,FALSE)="NE","NE",IF(HLOOKUP(AR$15,Data_5!$F$10:$BG$42,$A27+2,FALSE)="C","C",IF(HLOOKUP(AR$15,Data_5!$F$10:$BG$42,$A27+2,FALSE)="NO","NO",HLOOKUP(AR$15,Data_5!$F$10:$BG$42,$A27+2,FALSE)/Data_5!$BI22))))))),"")</f>
        <v/>
      </c>
      <c r="AS27" s="1122" t="str">
        <f>IFERROR(IF(VLOOKUP($AL27,Data_5!$B$12:$E$42,4,FALSE)="BASIC","",(IF(HLOOKUP(AS$15,Data_5!$F$10:$BG$42,$A27+2,FALSE)="NO","NO",IF(HLOOKUP(AS$15,Data_5!$F$10:$BG$42,$A27+2,FALSE)="IE","IE",IF(HLOOKUP(AS$15,Data_5!$F$10:$BG$42,$A27+2,FALSE)="NE","NE",IF(HLOOKUP(AS$15,Data_5!$F$10:$BG$42,$A27+2,FALSE)="C","C",IF(HLOOKUP(AS$15,Data_5!$F$10:$BG$42,$A27+2,FALSE)="NO","NO",HLOOKUP(AS$15,Data_5!$F$10:$BG$42,$A27+2,FALSE)/Data_5!$BI22))))))),"")</f>
        <v/>
      </c>
      <c r="AT27" s="1122" t="str">
        <f>IFERROR(IF(VLOOKUP($AL27,Data_5!$B$12:$E$42,4,FALSE)="BASIC","",(IF(HLOOKUP(AT$15,Data_5!$F$10:$BG$42,$A27+2,FALSE)="NO","NO",IF(HLOOKUP(AT$15,Data_5!$F$10:$BG$42,$A27+2,FALSE)="IE","IE",IF(HLOOKUP(AT$15,Data_5!$F$10:$BG$42,$A27+2,FALSE)="NE","NE",IF(HLOOKUP(AT$15,Data_5!$F$10:$BG$42,$A27+2,FALSE)="C","C",IF(HLOOKUP(AT$15,Data_5!$F$10:$BG$42,$A27+2,FALSE)="NO","NO",HLOOKUP(AT$15,Data_5!$F$10:$BG$42,$A27+2,FALSE)/Data_5!$BI22))))))),"")</f>
        <v/>
      </c>
      <c r="AU27" s="1122" t="str">
        <f>IFERROR(IF(VLOOKUP($AL27,Data_5!$B$12:$E$42,4,FALSE)="BASIC","",(IF(HLOOKUP(AU$15,Data_5!$F$10:$BG$42,$A27+2,FALSE)="NO","NO",IF(HLOOKUP(AU$15,Data_5!$F$10:$BG$42,$A27+2,FALSE)="IE","IE",IF(HLOOKUP(AU$15,Data_5!$F$10:$BG$42,$A27+2,FALSE)="NE","NE",IF(HLOOKUP(AU$15,Data_5!$F$10:$BG$42,$A27+2,FALSE)="C","C",IF(HLOOKUP(AU$15,Data_5!$F$10:$BG$42,$A27+2,FALSE)="NO","NO",HLOOKUP(AU$15,Data_5!$F$10:$BG$42,$A27+2,FALSE)/Data_5!$BI22))))))),"")</f>
        <v/>
      </c>
      <c r="AV27" s="1122" t="str">
        <f>IFERROR(IF(VLOOKUP($AL27,Data_5!$B$12:$E$42,4,FALSE)="BASIC","",(IF(HLOOKUP(AV$15,Data_5!$F$10:$BG$42,$A27+2,FALSE)="NO","NO",IF(HLOOKUP(AV$15,Data_5!$F$10:$BG$42,$A27+2,FALSE)="IE","IE",IF(HLOOKUP(AV$15,Data_5!$F$10:$BG$42,$A27+2,FALSE)="NE","NE",IF(HLOOKUP(AV$15,Data_5!$F$10:$BG$42,$A27+2,FALSE)="C","C",IF(HLOOKUP(AV$15,Data_5!$F$10:$BG$42,$A27+2,FALSE)="NO","NO",HLOOKUP(AV$15,Data_5!$F$10:$BG$42,$A27+2,FALSE)/Data_5!$BI22))))))),"")</f>
        <v/>
      </c>
      <c r="AW27" s="1122" t="str">
        <f>IFERROR(IF(VLOOKUP($AL27,Data_5!$B$12:$E$42,4,FALSE)="BASIC","",(IF(HLOOKUP(AW$15,Data_5!$F$10:$BG$42,$A27+2,FALSE)="NO","NO",IF(HLOOKUP(AW$15,Data_5!$F$10:$BG$42,$A27+2,FALSE)="IE","IE",IF(HLOOKUP(AW$15,Data_5!$F$10:$BG$42,$A27+2,FALSE)="NE","NE",IF(HLOOKUP(AW$15,Data_5!$F$10:$BG$42,$A27+2,FALSE)="C","C",IF(HLOOKUP(AW$15,Data_5!$F$10:$BG$42,$A27+2,FALSE)="NO","NO",HLOOKUP(AW$15,Data_5!$F$10:$BG$42,$A27+2,FALSE)/Data_5!$BI22))))))),"")</f>
        <v/>
      </c>
      <c r="AX27" s="1122" t="str">
        <f>IFERROR(IF(VLOOKUP($AL27,Data_5!$B$12:$E$42,4,FALSE)="BASIC","",(IF(HLOOKUP(AX$15,Data_5!$F$10:$BG$42,$A27+2,FALSE)="NO","NO",IF(HLOOKUP(AX$15,Data_5!$F$10:$BG$42,$A27+2,FALSE)="IE","IE",IF(HLOOKUP(AX$15,Data_5!$F$10:$BG$42,$A27+2,FALSE)="NE","NE",IF(HLOOKUP(AX$15,Data_5!$F$10:$BG$42,$A27+2,FALSE)="C","C",IF(HLOOKUP(AX$15,Data_5!$F$10:$BG$42,$A27+2,FALSE)="NO","NO",HLOOKUP(AX$15,Data_5!$F$10:$BG$42,$A27+2,FALSE)/Data_5!$BI22))))))),"")</f>
        <v/>
      </c>
      <c r="AY27" s="1122" t="str">
        <f>IFERROR(IF(VLOOKUP($AL27,Data_5!$B$12:$E$42,4,FALSE)="BASIC","",(IF(HLOOKUP(AY$15,Data_5!$F$10:$BG$42,$A27+2,FALSE)="NO","NO",IF(HLOOKUP(AY$15,Data_5!$F$10:$BG$42,$A27+2,FALSE)="IE","IE",IF(HLOOKUP(AY$15,Data_5!$F$10:$BG$42,$A27+2,FALSE)="NE","NE",IF(HLOOKUP(AY$15,Data_5!$F$10:$BG$42,$A27+2,FALSE)="C","C",IF(HLOOKUP(AY$15,Data_5!$F$10:$BG$42,$A27+2,FALSE)="NO","NO",HLOOKUP(AY$15,Data_5!$F$10:$BG$42,$A27+2,FALSE)/Data_5!$BI22))))))),"")</f>
        <v/>
      </c>
      <c r="AZ27" s="1122" t="str">
        <f>IFERROR(IF(VLOOKUP($AL27,Data_5!$B$12:$E$42,4,FALSE)="BASIC","",(IF(HLOOKUP(AZ$15,Data_5!$F$10:$BG$42,$A27+2,FALSE)="NO","NO",IF(HLOOKUP(AZ$15,Data_5!$F$10:$BG$42,$A27+2,FALSE)="IE","IE",IF(HLOOKUP(AZ$15,Data_5!$F$10:$BG$42,$A27+2,FALSE)="NE","NE",IF(HLOOKUP(AZ$15,Data_5!$F$10:$BG$42,$A27+2,FALSE)="C","C",IF(HLOOKUP(AZ$15,Data_5!$F$10:$BG$42,$A27+2,FALSE)="NO","NO",HLOOKUP(AZ$15,Data_5!$F$10:$BG$42,$A27+2,FALSE)/Data_5!$BI22))))))),"")</f>
        <v/>
      </c>
      <c r="BA27" s="1122" t="str">
        <f>IFERROR(IF(VLOOKUP($AL27,Data_5!$B$12:$E$42,4,FALSE)="BASIC","",(IF(HLOOKUP(BA$15,Data_5!$F$10:$BG$42,$A27+2,FALSE)="NO","NO",IF(HLOOKUP(BA$15,Data_5!$F$10:$BG$42,$A27+2,FALSE)="IE","IE",IF(HLOOKUP(BA$15,Data_5!$F$10:$BG$42,$A27+2,FALSE)="NE","NE",IF(HLOOKUP(BA$15,Data_5!$F$10:$BG$42,$A27+2,FALSE)="C","C",IF(HLOOKUP(BA$15,Data_5!$F$10:$BG$42,$A27+2,FALSE)="NO","NO",HLOOKUP(BA$15,Data_5!$F$10:$BG$42,$A27+2,FALSE)/Data_5!$BI22))))))),"")</f>
        <v/>
      </c>
      <c r="BB27" s="1122" t="str">
        <f>IFERROR(IF(VLOOKUP($AL27,Data_5!$B$12:$E$42,4,FALSE)="BASIC","",(IF(HLOOKUP(BB$15,Data_5!$F$10:$BG$42,$A27+2,FALSE)="NO","NO",IF(HLOOKUP(BB$15,Data_5!$F$10:$BG$42,$A27+2,FALSE)="IE","IE",IF(HLOOKUP(BB$15,Data_5!$F$10:$BG$42,$A27+2,FALSE)="NE","NE",IF(HLOOKUP(BB$15,Data_5!$F$10:$BG$42,$A27+2,FALSE)="C","C",IF(HLOOKUP(BB$15,Data_5!$F$10:$BG$42,$A27+2,FALSE)="NO","NO",HLOOKUP(BB$15,Data_5!$F$10:$BG$42,$A27+2,FALSE)/Data_5!$BI22))))))),"")</f>
        <v/>
      </c>
      <c r="BC27" s="1122" t="str">
        <f>IFERROR(IF(VLOOKUP($AL27,Data_5!$B$12:$E$42,4,FALSE)="BASIC","",(IF(HLOOKUP(BC$15,Data_5!$F$10:$BG$42,$A27+2,FALSE)="NO","NO",IF(HLOOKUP(BC$15,Data_5!$F$10:$BG$42,$A27+2,FALSE)="IE","IE",IF(HLOOKUP(BC$15,Data_5!$F$10:$BG$42,$A27+2,FALSE)="NE","NE",IF(HLOOKUP(BC$15,Data_5!$F$10:$BG$42,$A27+2,FALSE)="C","C",IF(HLOOKUP(BC$15,Data_5!$F$10:$BG$42,$A27+2,FALSE)="NO","NO",HLOOKUP(BC$15,Data_5!$F$10:$BG$42,$A27+2,FALSE)/Data_5!$BI22))))))),"")</f>
        <v/>
      </c>
      <c r="BD27" s="1122" t="str">
        <f>IFERROR(IF(VLOOKUP($AL27,Data_5!$B$12:$E$42,4,FALSE)="BASIC","",(IF(HLOOKUP(BD$15,Data_5!$F$10:$BG$42,$A27+2,FALSE)="NO","NO",IF(HLOOKUP(BD$15,Data_5!$F$10:$BG$42,$A27+2,FALSE)="IE","IE",IF(HLOOKUP(BD$15,Data_5!$F$10:$BG$42,$A27+2,FALSE)="NE","NE",IF(HLOOKUP(BD$15,Data_5!$F$10:$BG$42,$A27+2,FALSE)="C","C",IF(HLOOKUP(BD$15,Data_5!$F$10:$BG$42,$A27+2,FALSE)="NO","NO",HLOOKUP(BD$15,Data_5!$F$10:$BG$42,$A27+2,FALSE)/Data_5!$BI22))))))),"")</f>
        <v/>
      </c>
      <c r="BE27" s="1122" t="str">
        <f>IFERROR(IF(VLOOKUP($AL27,Data_5!$B$12:$E$42,4,FALSE)="BASIC","",(IF(HLOOKUP(BE$15,Data_5!$F$10:$BG$42,$A27+2,FALSE)="NO","NO",IF(HLOOKUP(BE$15,Data_5!$F$10:$BG$42,$A27+2,FALSE)="IE","IE",IF(HLOOKUP(BE$15,Data_5!$F$10:$BG$42,$A27+2,FALSE)="NE","NE",IF(HLOOKUP(BE$15,Data_5!$F$10:$BG$42,$A27+2,FALSE)="C","C",IF(HLOOKUP(BE$15,Data_5!$F$10:$BG$42,$A27+2,FALSE)="NO","NO",HLOOKUP(BE$15,Data_5!$F$10:$BG$42,$A27+2,FALSE)/Data_5!$BI22))))))),"")</f>
        <v/>
      </c>
      <c r="BF27" s="1122" t="str">
        <f>IFERROR(IF(VLOOKUP($AL27,Data_5!$B$12:$E$42,4,FALSE)="BASIC","",(IF(HLOOKUP(BF$15,Data_5!$F$10:$BG$42,$A27+2,FALSE)="NO","NO",IF(HLOOKUP(BF$15,Data_5!$F$10:$BG$42,$A27+2,FALSE)="IE","IE",IF(HLOOKUP(BF$15,Data_5!$F$10:$BG$42,$A27+2,FALSE)="NE","NE",IF(HLOOKUP(BF$15,Data_5!$F$10:$BG$42,$A27+2,FALSE)="C","C",IF(HLOOKUP(BF$15,Data_5!$F$10:$BG$42,$A27+2,FALSE)="NO","NO",HLOOKUP(BF$15,Data_5!$F$10:$BG$42,$A27+2,FALSE)/Data_5!$BI22))))))),"")</f>
        <v/>
      </c>
      <c r="BG27" s="1122" t="str">
        <f>IFERROR(IF(VLOOKUP($AL27,Data_5!$B$12:$E$42,4,FALSE)="BASIC","",(IF(HLOOKUP(BG$15,Data_5!$F$10:$BG$42,$A27+2,FALSE)="NO","NO",IF(HLOOKUP(BG$15,Data_5!$F$10:$BG$42,$A27+2,FALSE)="IE","IE",IF(HLOOKUP(BG$15,Data_5!$F$10:$BG$42,$A27+2,FALSE)="NE","NE",IF(HLOOKUP(BG$15,Data_5!$F$10:$BG$42,$A27+2,FALSE)="C","C",IF(HLOOKUP(BG$15,Data_5!$F$10:$BG$42,$A27+2,FALSE)="NO","NO",HLOOKUP(BG$15,Data_5!$F$10:$BG$42,$A27+2,FALSE)/Data_5!$BI22))))))),"")</f>
        <v/>
      </c>
      <c r="BH27" s="1122" t="str">
        <f>IFERROR(IF(VLOOKUP($AL27,Data_5!$B$12:$E$42,4,FALSE)="BASIC","",(IF(HLOOKUP(BH$15,Data_5!$F$10:$BG$42,$A27+2,FALSE)="NO","NO",IF(HLOOKUP(BH$15,Data_5!$F$10:$BG$42,$A27+2,FALSE)="IE","IE",IF(HLOOKUP(BH$15,Data_5!$F$10:$BG$42,$A27+2,FALSE)="NE","NE",IF(HLOOKUP(BH$15,Data_5!$F$10:$BG$42,$A27+2,FALSE)="C","C",IF(HLOOKUP(BH$15,Data_5!$F$10:$BG$42,$A27+2,FALSE)="NO","NO",HLOOKUP(BH$15,Data_5!$F$10:$BG$42,$A27+2,FALSE)/Data_5!$BI22))))))),"")</f>
        <v/>
      </c>
      <c r="BI27" s="1122" t="str">
        <f>IFERROR(IF(VLOOKUP($AL27,Data_5!$B$12:$E$42,4,FALSE)="BASIC","",(IF(HLOOKUP(BI$15,Data_5!$F$10:$BG$42,$A27+2,FALSE)="NO","NO",IF(HLOOKUP(BI$15,Data_5!$F$10:$BG$42,$A27+2,FALSE)="IE","IE",IF(HLOOKUP(BI$15,Data_5!$F$10:$BG$42,$A27+2,FALSE)="NE","NE",IF(HLOOKUP(BI$15,Data_5!$F$10:$BG$42,$A27+2,FALSE)="C","C",IF(HLOOKUP(BI$15,Data_5!$F$10:$BG$42,$A27+2,FALSE)="NO","NO",HLOOKUP(BI$15,Data_5!$F$10:$BG$42,$A27+2,FALSE)/Data_5!$BI22))))))),"")</f>
        <v/>
      </c>
      <c r="BJ27" s="1122" t="str">
        <f>IFERROR(IF(VLOOKUP($AL27,Data_5!$B$12:$E$42,4,FALSE)="BASIC","",(IF(HLOOKUP(BJ$15,Data_5!$F$10:$BG$42,$A27+2,FALSE)="NO","NO",IF(HLOOKUP(BJ$15,Data_5!$F$10:$BG$42,$A27+2,FALSE)="IE","IE",IF(HLOOKUP(BJ$15,Data_5!$F$10:$BG$42,$A27+2,FALSE)="NE","NE",IF(HLOOKUP(BJ$15,Data_5!$F$10:$BG$42,$A27+2,FALSE)="C","C",IF(HLOOKUP(BJ$15,Data_5!$F$10:$BG$42,$A27+2,FALSE)="NO","NO",HLOOKUP(BJ$15,Data_5!$F$10:$BG$42,$A27+2,FALSE)/Data_5!$BI22))))))),"")</f>
        <v/>
      </c>
      <c r="BK27" s="1122" t="str">
        <f>IFERROR(IF(VLOOKUP($AL27,Data_5!$B$12:$E$42,4,FALSE)="BASIC","",(IF(HLOOKUP(BK$15,Data_5!$F$10:$BG$42,$A27+2,FALSE)="NO","NO",IF(HLOOKUP(BK$15,Data_5!$F$10:$BG$42,$A27+2,FALSE)="IE","IE",IF(HLOOKUP(BK$15,Data_5!$F$10:$BG$42,$A27+2,FALSE)="NE","NE",IF(HLOOKUP(BK$15,Data_5!$F$10:$BG$42,$A27+2,FALSE)="C","C",IF(HLOOKUP(BK$15,Data_5!$F$10:$BG$42,$A27+2,FALSE)="NO","NO",HLOOKUP(BK$15,Data_5!$F$10:$BG$42,$A27+2,FALSE)/Data_5!$BI22))))))),"")</f>
        <v/>
      </c>
      <c r="BL27" s="1122" t="str">
        <f>IFERROR(IF(VLOOKUP($AL27,Data_5!$B$12:$E$42,4,FALSE)="BASIC","",(IF(HLOOKUP(BL$15,Data_5!$F$10:$BG$42,$A27+2,FALSE)="NO","NO",IF(HLOOKUP(BL$15,Data_5!$F$10:$BG$42,$A27+2,FALSE)="IE","IE",IF(HLOOKUP(BL$15,Data_5!$F$10:$BG$42,$A27+2,FALSE)="NE","NE",IF(HLOOKUP(BL$15,Data_5!$F$10:$BG$42,$A27+2,FALSE)="C","C",IF(HLOOKUP(BL$15,Data_5!$F$10:$BG$42,$A27+2,FALSE)="NO","NO",HLOOKUP(BL$15,Data_5!$F$10:$BG$42,$A27+2,FALSE)/Data_5!$BI22))))))),"")</f>
        <v/>
      </c>
      <c r="BM27" s="1122" t="str">
        <f>IFERROR(IF(VLOOKUP($AL27,Data_5!$B$12:$E$42,4,FALSE)="BASIC","",(IF(HLOOKUP(BM$15,Data_5!$F$10:$BG$42,$A27+2,FALSE)="NO","NO",IF(HLOOKUP(BM$15,Data_5!$F$10:$BG$42,$A27+2,FALSE)="IE","IE",IF(HLOOKUP(BM$15,Data_5!$F$10:$BG$42,$A27+2,FALSE)="NE","NE",IF(HLOOKUP(BM$15,Data_5!$F$10:$BG$42,$A27+2,FALSE)="C","C",IF(HLOOKUP(BM$15,Data_5!$F$10:$BG$42,$A27+2,FALSE)="NO","NO",HLOOKUP(BM$15,Data_5!$F$10:$BG$42,$A27+2,FALSE)/Data_5!$BI22))))))),"")</f>
        <v/>
      </c>
      <c r="BN27" s="1122" t="str">
        <f>IFERROR(IF(VLOOKUP($AL27,Data_5!$B$12:$E$42,4,FALSE)="BASIC","",(IF(HLOOKUP(BN$15,Data_5!$F$10:$BG$42,$A27+2,FALSE)="NO","NO",IF(HLOOKUP(BN$15,Data_5!$F$10:$BG$42,$A27+2,FALSE)="IE","IE",IF(HLOOKUP(BN$15,Data_5!$F$10:$BG$42,$A27+2,FALSE)="NE","NE",IF(HLOOKUP(BN$15,Data_5!$F$10:$BG$42,$A27+2,FALSE)="C","C",IF(HLOOKUP(BN$15,Data_5!$F$10:$BG$42,$A27+2,FALSE)="NO","NO",HLOOKUP(BN$15,Data_5!$F$10:$BG$42,$A27+2,FALSE)/Data_5!$BI22))))))),"")</f>
        <v/>
      </c>
      <c r="BO27" s="1122" t="str">
        <f>IFERROR(IF(VLOOKUP($AL27,Data_5!$B$12:$E$42,4,FALSE)="BASIC","",(IF(HLOOKUP(BO$15,Data_5!$F$10:$BG$42,$A27+2,FALSE)="NO","NO",IF(HLOOKUP(BO$15,Data_5!$F$10:$BG$42,$A27+2,FALSE)="IE","IE",IF(HLOOKUP(BO$15,Data_5!$F$10:$BG$42,$A27+2,FALSE)="NE","NE",IF(HLOOKUP(BO$15,Data_5!$F$10:$BG$42,$A27+2,FALSE)="C","C",IF(HLOOKUP(BO$15,Data_5!$F$10:$BG$42,$A27+2,FALSE)="NO","NO",HLOOKUP(BO$15,Data_5!$F$10:$BG$42,$A27+2,FALSE)/Data_5!$BI22))))))),"")</f>
        <v/>
      </c>
      <c r="BP27" s="1122" t="str">
        <f>IFERROR(IF(VLOOKUP($AL27,Data_5!$B$12:$E$42,4,FALSE)="BASIC","",(IF(HLOOKUP(BP$15,Data_5!$F$10:$BG$42,$A27+2,FALSE)="NO","NO",IF(HLOOKUP(BP$15,Data_5!$F$10:$BG$42,$A27+2,FALSE)="IE","IE",IF(HLOOKUP(BP$15,Data_5!$F$10:$BG$42,$A27+2,FALSE)="NE","NE",IF(HLOOKUP(BP$15,Data_5!$F$10:$BG$42,$A27+2,FALSE)="C","C",IF(HLOOKUP(BP$15,Data_5!$F$10:$BG$42,$A27+2,FALSE)="NO","NO",HLOOKUP(BP$15,Data_5!$F$10:$BG$42,$A27+2,FALSE)/Data_5!$BI22))))))),"")</f>
        <v/>
      </c>
      <c r="BQ27" s="1122" t="str">
        <f>IFERROR(IF(VLOOKUP($AL27,Data_5!$B$12:$E$42,4,FALSE)="BASIC","",(IF(HLOOKUP(BQ$15,Data_5!$F$10:$BG$42,$A27+2,FALSE)="NO","NO",IF(HLOOKUP(BQ$15,Data_5!$F$10:$BG$42,$A27+2,FALSE)="IE","IE",IF(HLOOKUP(BQ$15,Data_5!$F$10:$BG$42,$A27+2,FALSE)="NE","NE",IF(HLOOKUP(BQ$15,Data_5!$F$10:$BG$42,$A27+2,FALSE)="C","C",IF(HLOOKUP(BQ$15,Data_5!$F$10:$BG$42,$A27+2,FALSE)="NO","NO",HLOOKUP(BQ$15,Data_5!$F$10:$BG$42,$A27+2,FALSE)/Data_5!$BI22))))))),"")</f>
        <v/>
      </c>
      <c r="BR27" s="1122" t="str">
        <f>IFERROR(IF(VLOOKUP($AL27,Data_5!$B$12:$E$42,4,FALSE)="BASIC","",(IF(HLOOKUP(BR$15,Data_5!$F$10:$BG$42,$A27+2,FALSE)="NO","NO",IF(HLOOKUP(BR$15,Data_5!$F$10:$BG$42,$A27+2,FALSE)="IE","IE",IF(HLOOKUP(BR$15,Data_5!$F$10:$BG$42,$A27+2,FALSE)="NE","NE",IF(HLOOKUP(BR$15,Data_5!$F$10:$BG$42,$A27+2,FALSE)="C","C",IF(HLOOKUP(BR$15,Data_5!$F$10:$BG$42,$A27+2,FALSE)="NO","NO",HLOOKUP(BR$15,Data_5!$F$10:$BG$42,$A27+2,FALSE)/Data_5!$BI22))))))),"")</f>
        <v/>
      </c>
      <c r="BS27" s="1122" t="str">
        <f>IFERROR(IF(VLOOKUP($AL27,Data_5!$B$12:$E$42,4,FALSE)="BASIC","",(IF(HLOOKUP(BS$15,Data_5!$F$10:$BG$42,$A27+2,FALSE)="NO","NO",IF(HLOOKUP(BS$15,Data_5!$F$10:$BG$42,$A27+2,FALSE)="IE","IE",IF(HLOOKUP(BS$15,Data_5!$F$10:$BG$42,$A27+2,FALSE)="NE","NE",IF(HLOOKUP(BS$15,Data_5!$F$10:$BG$42,$A27+2,FALSE)="C","C",IF(HLOOKUP(BS$15,Data_5!$F$10:$BG$42,$A27+2,FALSE)="NO","NO",HLOOKUP(BS$15,Data_5!$F$10:$BG$42,$A27+2,FALSE)/Data_5!$BI22))))))),"")</f>
        <v/>
      </c>
      <c r="BT27" s="1122" t="str">
        <f>IFERROR(IF(VLOOKUP($AL27,Data_5!$B$12:$E$42,4,FALSE)="BASIC","",(IF(HLOOKUP(BT$15,Data_5!$F$10:$BG$42,$A27+2,FALSE)="NO","NO",IF(HLOOKUP(BT$15,Data_5!$F$10:$BG$42,$A27+2,FALSE)="IE","IE",IF(HLOOKUP(BT$15,Data_5!$F$10:$BG$42,$A27+2,FALSE)="NE","NE",IF(HLOOKUP(BT$15,Data_5!$F$10:$BG$42,$A27+2,FALSE)="C","C",IF(HLOOKUP(BT$15,Data_5!$F$10:$BG$42,$A27+2,FALSE)="NO","NO",HLOOKUP(BT$15,Data_5!$F$10:$BG$42,$A27+2,FALSE)/Data_5!$BI22))))))),"")</f>
        <v/>
      </c>
      <c r="BU27" s="1122" t="str">
        <f>IFERROR(IF(VLOOKUP($AL27,Data_5!$B$12:$E$42,4,FALSE)="BASIC","",(IF(HLOOKUP(BU$15,Data_5!$F$10:$BG$42,$A27+2,FALSE)="NO","NO",IF(HLOOKUP(BU$15,Data_5!$F$10:$BG$42,$A27+2,FALSE)="IE","IE",IF(HLOOKUP(BU$15,Data_5!$F$10:$BG$42,$A27+2,FALSE)="NE","NE",IF(HLOOKUP(BU$15,Data_5!$F$10:$BG$42,$A27+2,FALSE)="C","C",IF(HLOOKUP(BU$15,Data_5!$F$10:$BG$42,$A27+2,FALSE)="NO","NO",HLOOKUP(BU$15,Data_5!$F$10:$BG$42,$A27+2,FALSE)/Data_5!$BI22))))))),"")</f>
        <v/>
      </c>
      <c r="BV27" s="1122" t="str">
        <f>IFERROR(IF(VLOOKUP($AL27,Data_5!$B$12:$E$42,4,FALSE)="BASIC","",(IF(HLOOKUP(BV$15,Data_5!$F$10:$BG$42,$A27+2,FALSE)="NO","NO",IF(HLOOKUP(BV$15,Data_5!$F$10:$BG$42,$A27+2,FALSE)="IE","IE",IF(HLOOKUP(BV$15,Data_5!$F$10:$BG$42,$A27+2,FALSE)="NE","NE",IF(HLOOKUP(BV$15,Data_5!$F$10:$BG$42,$A27+2,FALSE)="C","C",IF(HLOOKUP(BV$15,Data_5!$F$10:$BG$42,$A27+2,FALSE)="NO","NO",HLOOKUP(BV$15,Data_5!$F$10:$BG$42,$A27+2,FALSE)/Data_5!$BI22))))))),"")</f>
        <v/>
      </c>
      <c r="BW27" s="1122" t="str">
        <f>IFERROR(IF(VLOOKUP($AL27,Data_5!$B$12:$E$42,4,FALSE)="BASIC","",(IF(HLOOKUP(BW$15,Data_5!$F$10:$BG$42,$A27+2,FALSE)="NO","NO",IF(HLOOKUP(BW$15,Data_5!$F$10:$BG$42,$A27+2,FALSE)="IE","IE",IF(HLOOKUP(BW$15,Data_5!$F$10:$BG$42,$A27+2,FALSE)="NE","NE",IF(HLOOKUP(BW$15,Data_5!$F$10:$BG$42,$A27+2,FALSE)="C","C",IF(HLOOKUP(BW$15,Data_5!$F$10:$BG$42,$A27+2,FALSE)="NO","NO",HLOOKUP(BW$15,Data_5!$F$10:$BG$42,$A27+2,FALSE)/Data_5!$BI22))))))),"")</f>
        <v/>
      </c>
      <c r="BX27" s="1122" t="str">
        <f>IFERROR(IF(VLOOKUP($AL27,Data_5!$B$12:$E$42,4,FALSE)="BASIC","",(IF(HLOOKUP(BX$15,Data_5!$F$10:$BG$42,$A27+2,FALSE)="NO","NO",IF(HLOOKUP(BX$15,Data_5!$F$10:$BG$42,$A27+2,FALSE)="IE","IE",IF(HLOOKUP(BX$15,Data_5!$F$10:$BG$42,$A27+2,FALSE)="NE","NE",IF(HLOOKUP(BX$15,Data_5!$F$10:$BG$42,$A27+2,FALSE)="C","C",IF(HLOOKUP(BX$15,Data_5!$F$10:$BG$42,$A27+2,FALSE)="NO","NO",HLOOKUP(BX$15,Data_5!$F$10:$BG$42,$A27+2,FALSE)/Data_5!$BI22))))))),"")</f>
        <v/>
      </c>
      <c r="BY27" s="1122" t="str">
        <f>IFERROR(IF(VLOOKUP($AL27,Data_5!$B$12:$E$42,4,FALSE)="BASIC","",(IF(HLOOKUP(BY$15,Data_5!$F$10:$BG$42,$A27+2,FALSE)="NO","NO",IF(HLOOKUP(BY$15,Data_5!$F$10:$BG$42,$A27+2,FALSE)="IE","IE",IF(HLOOKUP(BY$15,Data_5!$F$10:$BG$42,$A27+2,FALSE)="NE","NE",IF(HLOOKUP(BY$15,Data_5!$F$10:$BG$42,$A27+2,FALSE)="C","C",IF(HLOOKUP(BY$15,Data_5!$F$10:$BG$42,$A27+2,FALSE)="NO","NO",HLOOKUP(BY$15,Data_5!$F$10:$BG$42,$A27+2,FALSE)/Data_5!$BI22))))))),"")</f>
        <v/>
      </c>
      <c r="BZ27" s="1122" t="str">
        <f>IFERROR(IF(VLOOKUP($AL27,Data_5!$B$12:$E$42,4,FALSE)="BASIC","",(IF(HLOOKUP(BZ$15,Data_5!$F$10:$BG$42,$A27+2,FALSE)="NO","NO",IF(HLOOKUP(BZ$15,Data_5!$F$10:$BG$42,$A27+2,FALSE)="IE","IE",IF(HLOOKUP(BZ$15,Data_5!$F$10:$BG$42,$A27+2,FALSE)="NE","NE",IF(HLOOKUP(BZ$15,Data_5!$F$10:$BG$42,$A27+2,FALSE)="C","C",IF(HLOOKUP(BZ$15,Data_5!$F$10:$BG$42,$A27+2,FALSE)="NO","NO",HLOOKUP(BZ$15,Data_5!$F$10:$BG$42,$A27+2,FALSE)/Data_5!$BI22))))))),"")</f>
        <v/>
      </c>
      <c r="CA27" s="1122" t="str">
        <f>IFERROR(IF(VLOOKUP($AL27,Data_5!$B$12:$E$42,4,FALSE)="BASIC","",(IF(HLOOKUP(CA$15,Data_5!$F$10:$BG$42,$A27+2,FALSE)="NO","NO",IF(HLOOKUP(CA$15,Data_5!$F$10:$BG$42,$A27+2,FALSE)="IE","IE",IF(HLOOKUP(CA$15,Data_5!$F$10:$BG$42,$A27+2,FALSE)="NE","NE",IF(HLOOKUP(CA$15,Data_5!$F$10:$BG$42,$A27+2,FALSE)="C","C",IF(HLOOKUP(CA$15,Data_5!$F$10:$BG$42,$A27+2,FALSE)="NO","NO",HLOOKUP(CA$15,Data_5!$F$10:$BG$42,$A27+2,FALSE)/Data_5!$BI22))))))),"")</f>
        <v/>
      </c>
      <c r="CB27" s="1122" t="str">
        <f>IFERROR(IF(VLOOKUP($AL27,Data_5!$B$12:$E$42,4,FALSE)="BASIC","",(IF(HLOOKUP(CB$15,Data_5!$F$10:$BG$42,$A27+2,FALSE)="NO","NO",IF(HLOOKUP(CB$15,Data_5!$F$10:$BG$42,$A27+2,FALSE)="IE","IE",IF(HLOOKUP(CB$15,Data_5!$F$10:$BG$42,$A27+2,FALSE)="NE","NE",IF(HLOOKUP(CB$15,Data_5!$F$10:$BG$42,$A27+2,FALSE)="C","C",IF(HLOOKUP(CB$15,Data_5!$F$10:$BG$42,$A27+2,FALSE)="NO","NO",HLOOKUP(CB$15,Data_5!$F$10:$BG$42,$A27+2,FALSE)/Data_5!$BI22))))))),"")</f>
        <v/>
      </c>
      <c r="CC27" s="1122" t="str">
        <f>IFERROR(IF(VLOOKUP($AL27,Data_5!$B$12:$E$42,4,FALSE)="BASIC","",(IF(HLOOKUP(CC$15,Data_5!$F$10:$BG$42,$A27+2,FALSE)="NO","NO",IF(HLOOKUP(CC$15,Data_5!$F$10:$BG$42,$A27+2,FALSE)="IE","IE",IF(HLOOKUP(CC$15,Data_5!$F$10:$BG$42,$A27+2,FALSE)="NE","NE",IF(HLOOKUP(CC$15,Data_5!$F$10:$BG$42,$A27+2,FALSE)="C","C",IF(HLOOKUP(CC$15,Data_5!$F$10:$BG$42,$A27+2,FALSE)="NO","NO",HLOOKUP(CC$15,Data_5!$F$10:$BG$42,$A27+2,FALSE)/Data_5!$BI22))))))),"")</f>
        <v/>
      </c>
      <c r="CD27" s="1122" t="str">
        <f>IFERROR(IF(VLOOKUP($AL27,Data_5!$B$12:$E$42,4,FALSE)="BASIC","",(IF(HLOOKUP(CD$15,Data_5!$F$10:$BG$42,$A27+2,FALSE)="NO","NO",IF(HLOOKUP(CD$15,Data_5!$F$10:$BG$42,$A27+2,FALSE)="IE","IE",IF(HLOOKUP(CD$15,Data_5!$F$10:$BG$42,$A27+2,FALSE)="NE","NE",IF(HLOOKUP(CD$15,Data_5!$F$10:$BG$42,$A27+2,FALSE)="C","C",IF(HLOOKUP(CD$15,Data_5!$F$10:$BG$42,$A27+2,FALSE)="NO","NO",HLOOKUP(CD$15,Data_5!$F$10:$BG$42,$A27+2,FALSE)/Data_5!$BI22))))))),"")</f>
        <v/>
      </c>
      <c r="CE27" s="1122" t="str">
        <f>IFERROR(IF(VLOOKUP($AL27,Data_5!$B$12:$E$42,4,FALSE)="BASIC","",(IF(HLOOKUP(CE$15,Data_5!$F$10:$BG$42,$A27+2,FALSE)="NO","NO",IF(HLOOKUP(CE$15,Data_5!$F$10:$BG$42,$A27+2,FALSE)="IE","IE",IF(HLOOKUP(CE$15,Data_5!$F$10:$BG$42,$A27+2,FALSE)="NE","NE",IF(HLOOKUP(CE$15,Data_5!$F$10:$BG$42,$A27+2,FALSE)="C","C",IF(HLOOKUP(CE$15,Data_5!$F$10:$BG$42,$A27+2,FALSE)="NO","NO",HLOOKUP(CE$15,Data_5!$F$10:$BG$42,$A27+2,FALSE)/Data_5!$BI22))))))),"")</f>
        <v/>
      </c>
      <c r="CF27" s="1122" t="str">
        <f>IFERROR(IF(VLOOKUP($AL27,Data_5!$B$12:$E$42,4,FALSE)="BASIC","",(IF(HLOOKUP(CF$15,Data_5!$F$10:$BG$42,$A27+2,FALSE)="NO","NO",IF(HLOOKUP(CF$15,Data_5!$F$10:$BG$42,$A27+2,FALSE)="IE","IE",IF(HLOOKUP(CF$15,Data_5!$F$10:$BG$42,$A27+2,FALSE)="NE","NE",IF(HLOOKUP(CF$15,Data_5!$F$10:$BG$42,$A27+2,FALSE)="C","C",IF(HLOOKUP(CF$15,Data_5!$F$10:$BG$42,$A27+2,FALSE)="NO","NO",HLOOKUP(CF$15,Data_5!$F$10:$BG$42,$A27+2,FALSE)/Data_5!$BI22))))))),"")</f>
        <v/>
      </c>
      <c r="CG27" s="1122" t="str">
        <f>IFERROR(IF(VLOOKUP($AL27,Data_5!$B$12:$E$42,4,FALSE)="BASIC","",(IF(HLOOKUP(CG$15,Data_5!$F$10:$BG$42,$A27+2,FALSE)="NO","NO",IF(HLOOKUP(CG$15,Data_5!$F$10:$BG$42,$A27+2,FALSE)="IE","IE",IF(HLOOKUP(CG$15,Data_5!$F$10:$BG$42,$A27+2,FALSE)="NE","NE",IF(HLOOKUP(CG$15,Data_5!$F$10:$BG$42,$A27+2,FALSE)="C","C",IF(HLOOKUP(CG$15,Data_5!$F$10:$BG$42,$A27+2,FALSE)="NO","NO",HLOOKUP(CG$15,Data_5!$F$10:$BG$42,$A27+2,FALSE)/Data_5!$BI22))))))),"")</f>
        <v/>
      </c>
      <c r="CH27" s="1122" t="str">
        <f>IFERROR(IF(VLOOKUP($AL27,Data_5!$B$12:$E$42,4,FALSE)="BASIC","",(IF(HLOOKUP(CH$15,Data_5!$F$10:$BG$42,$A27+2,FALSE)="NO","NO",IF(HLOOKUP(CH$15,Data_5!$F$10:$BG$42,$A27+2,FALSE)="IE","IE",IF(HLOOKUP(CH$15,Data_5!$F$10:$BG$42,$A27+2,FALSE)="NE","NE",IF(HLOOKUP(CH$15,Data_5!$F$10:$BG$42,$A27+2,FALSE)="C","C",IF(HLOOKUP(CH$15,Data_5!$F$10:$BG$42,$A27+2,FALSE)="NO","NO",HLOOKUP(CH$15,Data_5!$F$10:$BG$42,$A27+2,FALSE)/Data_5!$BI22))))))),"")</f>
        <v/>
      </c>
      <c r="CI27" s="1122" t="str">
        <f>IFERROR(IF(VLOOKUP($AL27,Data_5!$B$12:$E$42,4,FALSE)="BASIC","",(IF(HLOOKUP(CI$15,Data_5!$F$10:$BG$42,$A27+2,FALSE)="NO","NO",IF(HLOOKUP(CI$15,Data_5!$F$10:$BG$42,$A27+2,FALSE)="IE","IE",IF(HLOOKUP(CI$15,Data_5!$F$10:$BG$42,$A27+2,FALSE)="NE","NE",IF(HLOOKUP(CI$15,Data_5!$F$10:$BG$42,$A27+2,FALSE)="C","C",IF(HLOOKUP(CI$15,Data_5!$F$10:$BG$42,$A27+2,FALSE)="NO","NO",HLOOKUP(CI$15,Data_5!$F$10:$BG$42,$A27+2,FALSE)/Data_5!$BI22))))))),"")</f>
        <v/>
      </c>
      <c r="CJ27" s="1122" t="str">
        <f>IFERROR(IF(VLOOKUP($AL27,Data_5!$B$12:$E$42,4,FALSE)="BASIC","",(IF(HLOOKUP(CJ$15,Data_5!$F$10:$BG$42,$A27+2,FALSE)="NO","NO",IF(HLOOKUP(CJ$15,Data_5!$F$10:$BG$42,$A27+2,FALSE)="IE","IE",IF(HLOOKUP(CJ$15,Data_5!$F$10:$BG$42,$A27+2,FALSE)="NE","NE",IF(HLOOKUP(CJ$15,Data_5!$F$10:$BG$42,$A27+2,FALSE)="C","C",IF(HLOOKUP(CJ$15,Data_5!$F$10:$BG$42,$A27+2,FALSE)="NO","NO",HLOOKUP(CJ$15,Data_5!$F$10:$BG$42,$A27+2,FALSE)/Data_5!$BI22))))))),"")</f>
        <v/>
      </c>
      <c r="CL27" s="2628" t="str">
        <f t="shared" si="2"/>
        <v>Johannesburg</v>
      </c>
      <c r="CM27" s="2629"/>
      <c r="CN27" s="1100">
        <f t="shared" si="3"/>
        <v>2014</v>
      </c>
      <c r="CO27" s="1122">
        <f>IFERROR(IF(HLOOKUP(CO$15,Data_5!$F$10:$BG$42,$A27+2,FALSE)="NO","NO",IF(HLOOKUP(CO$15,Data_5!$F$10:$BG$42,$A27+2,FALSE)="IE","IE",IF(HLOOKUP(CO$15,Data_5!$F$10:$BG$42,$A27+2,FALSE)="NE","NE",IF(HLOOKUP(CO$15,Data_5!$F$10:$BG$42,$A27+2,FALSE)="C","C",IF(HLOOKUP(CO$15,Data_5!$F$10:$BG$42,$A27+2,FALSE)="NO","NO",HLOOKUP(CO$15,Data_5!$F$10:$BG$42,$A27+2,FALSE)/Data_5!$BK22))))),"")</f>
        <v>1.2249852424526704E-2</v>
      </c>
      <c r="CP27" s="1122">
        <f>IFERROR(IF(HLOOKUP(CP$15,Data_5!$F$10:$BG$42,$A27+2,FALSE)="NO","NO",IF(HLOOKUP(CP$15,Data_5!$F$10:$BG$42,$A27+2,FALSE)="IE","IE",IF(HLOOKUP(CP$15,Data_5!$F$10:$BG$42,$A27+2,FALSE)="NE","NE",IF(HLOOKUP(CP$15,Data_5!$F$10:$BG$42,$A27+2,FALSE)="C","C",IF(HLOOKUP(CP$15,Data_5!$F$10:$BG$42,$A27+2,FALSE)="NO","NO",HLOOKUP(CP$15,Data_5!$F$10:$BG$42,$A27+2,FALSE)/Data_5!$BK22))))),"")</f>
        <v>1.3300307490573517E-2</v>
      </c>
      <c r="CQ27" s="1122">
        <f>IFERROR(IF(HLOOKUP(CQ$15,Data_5!$F$10:$BG$42,$A27+2,FALSE)="NO","NO",IF(HLOOKUP(CQ$15,Data_5!$F$10:$BG$42,$A27+2,FALSE)="IE","IE",IF(HLOOKUP(CQ$15,Data_5!$F$10:$BG$42,$A27+2,FALSE)="NE","NE",IF(HLOOKUP(CQ$15,Data_5!$F$10:$BG$42,$A27+2,FALSE)="C","C",IF(HLOOKUP(CQ$15,Data_5!$F$10:$BG$42,$A27+2,FALSE)="NO","NO",HLOOKUP(CQ$15,Data_5!$F$10:$BG$42,$A27+2,FALSE)/Data_5!$BK22))))),"")</f>
        <v>2.2848019248328917E-2</v>
      </c>
      <c r="CR27" s="1122" t="str">
        <f>IFERROR(IF(HLOOKUP(CR$15,Data_5!$F$10:$BG$42,$A27+2,FALSE)="NO","NO",IF(HLOOKUP(CR$15,Data_5!$F$10:$BG$42,$A27+2,FALSE)="IE","IE",IF(HLOOKUP(CR$15,Data_5!$F$10:$BG$42,$A27+2,FALSE)="NE","NE",IF(HLOOKUP(CR$15,Data_5!$F$10:$BG$42,$A27+2,FALSE)="C","C",IF(HLOOKUP(CR$15,Data_5!$F$10:$BG$42,$A27+2,FALSE)="NO","NO",HLOOKUP(CR$15,Data_5!$F$10:$BG$42,$A27+2,FALSE)/Data_5!$BK22))))),"")</f>
        <v>IE</v>
      </c>
      <c r="CS27" s="1122" t="str">
        <f>IFERROR(IF(HLOOKUP(CS$15,Data_5!$F$10:$BG$42,$A27+2,FALSE)="NO","NO",IF(HLOOKUP(CS$15,Data_5!$F$10:$BG$42,$A27+2,FALSE)="IE","IE",IF(HLOOKUP(CS$15,Data_5!$F$10:$BG$42,$A27+2,FALSE)="NE","NE",IF(HLOOKUP(CS$15,Data_5!$F$10:$BG$42,$A27+2,FALSE)="C","C",IF(HLOOKUP(CS$15,Data_5!$F$10:$BG$42,$A27+2,FALSE)="NO","NO",HLOOKUP(CS$15,Data_5!$F$10:$BG$42,$A27+2,FALSE)/Data_5!$BK22))))),"")</f>
        <v>NO</v>
      </c>
      <c r="CT27" s="1122" t="str">
        <f>IFERROR(IF(HLOOKUP(CT$15,Data_5!$F$10:$BG$42,$A27+2,FALSE)="NO","NO",IF(HLOOKUP(CT$15,Data_5!$F$10:$BG$42,$A27+2,FALSE)="IE","IE",IF(HLOOKUP(CT$15,Data_5!$F$10:$BG$42,$A27+2,FALSE)="NE","NE",IF(HLOOKUP(CT$15,Data_5!$F$10:$BG$42,$A27+2,FALSE)="C","C",IF(HLOOKUP(CT$15,Data_5!$F$10:$BG$42,$A27+2,FALSE)="NO","NO",HLOOKUP(CT$15,Data_5!$F$10:$BG$42,$A27+2,FALSE)/Data_5!$BK22))))),"")</f>
        <v>NO</v>
      </c>
      <c r="CU27" s="1122" t="str">
        <f>IFERROR(IF(HLOOKUP(CU$15,Data_5!$F$10:$BG$42,$A27+2,FALSE)="NO","NO",IF(HLOOKUP(CU$15,Data_5!$F$10:$BG$42,$A27+2,FALSE)="IE","IE",IF(HLOOKUP(CU$15,Data_5!$F$10:$BG$42,$A27+2,FALSE)="NE","NE",IF(HLOOKUP(CU$15,Data_5!$F$10:$BG$42,$A27+2,FALSE)="C","C",IF(HLOOKUP(CU$15,Data_5!$F$10:$BG$42,$A27+2,FALSE)="NO","NO",HLOOKUP(CU$15,Data_5!$F$10:$BG$42,$A27+2,FALSE)/Data_5!$BK22))))),"")</f>
        <v>NO</v>
      </c>
      <c r="CV27" s="1122" t="str">
        <f>IFERROR(IF(HLOOKUP(CV$15,Data_5!$F$10:$BG$42,$A27+2,FALSE)="NO","NO",IF(HLOOKUP(CV$15,Data_5!$F$10:$BG$42,$A27+2,FALSE)="IE","IE",IF(HLOOKUP(CV$15,Data_5!$F$10:$BG$42,$A27+2,FALSE)="NE","NE",IF(HLOOKUP(CV$15,Data_5!$F$10:$BG$42,$A27+2,FALSE)="C","C",IF(HLOOKUP(CV$15,Data_5!$F$10:$BG$42,$A27+2,FALSE)="NO","NO",HLOOKUP(CV$15,Data_5!$F$10:$BG$42,$A27+2,FALSE)/Data_5!$BK22))))),"")</f>
        <v>NO</v>
      </c>
      <c r="CW27" s="1122">
        <f>IFERROR(IF(HLOOKUP(CW$15,Data_5!$F$10:$BG$42,$A27+2,FALSE)="NO","NO",IF(HLOOKUP(CW$15,Data_5!$F$10:$BG$42,$A27+2,FALSE)="IE","IE",IF(HLOOKUP(CW$15,Data_5!$F$10:$BG$42,$A27+2,FALSE)="NE","NE",IF(HLOOKUP(CW$15,Data_5!$F$10:$BG$42,$A27+2,FALSE)="C","C",IF(HLOOKUP(CW$15,Data_5!$F$10:$BG$42,$A27+2,FALSE)="NO","NO",HLOOKUP(CW$15,Data_5!$F$10:$BG$42,$A27+2,FALSE)/Data_5!$BK22))))),"")</f>
        <v>3.5536730175408059E-4</v>
      </c>
      <c r="CX27" s="1122">
        <f>IFERROR(IF(HLOOKUP(CX$15,Data_5!$F$10:$BG$42,$A27+2,FALSE)="NO","NO",IF(HLOOKUP(CX$15,Data_5!$F$10:$BG$42,$A27+2,FALSE)="IE","IE",IF(HLOOKUP(CX$15,Data_5!$F$10:$BG$42,$A27+2,FALSE)="NE","NE",IF(HLOOKUP(CX$15,Data_5!$F$10:$BG$42,$A27+2,FALSE)="C","C",IF(HLOOKUP(CX$15,Data_5!$F$10:$BG$42,$A27+2,FALSE)="NO","NO",HLOOKUP(CX$15,Data_5!$F$10:$BG$42,$A27+2,FALSE)/Data_5!$BK22))))),"")</f>
        <v>0.75814402677088055</v>
      </c>
      <c r="CY27" s="1122" t="str">
        <f>IFERROR(IF(HLOOKUP(CY$15,Data_5!$F$10:$BG$42,$A27+2,FALSE)="NO","NO",IF(HLOOKUP(CY$15,Data_5!$F$10:$BG$42,$A27+2,FALSE)="IE","IE",IF(HLOOKUP(CY$15,Data_5!$F$10:$BG$42,$A27+2,FALSE)="NE","NE",IF(HLOOKUP(CY$15,Data_5!$F$10:$BG$42,$A27+2,FALSE)="C","C",IF(HLOOKUP(CY$15,Data_5!$F$10:$BG$42,$A27+2,FALSE)="NO","NO",HLOOKUP(CY$15,Data_5!$F$10:$BG$42,$A27+2,FALSE)/Data_5!$BK22))))),"")</f>
        <v>NO</v>
      </c>
      <c r="CZ27" s="1122" t="str">
        <f>IFERROR(IF(HLOOKUP(CZ$15,Data_5!$F$10:$BG$42,$A27+2,FALSE)="NO","NO",IF(HLOOKUP(CZ$15,Data_5!$F$10:$BG$42,$A27+2,FALSE)="IE","IE",IF(HLOOKUP(CZ$15,Data_5!$F$10:$BG$42,$A27+2,FALSE)="NE","NE",IF(HLOOKUP(CZ$15,Data_5!$F$10:$BG$42,$A27+2,FALSE)="C","C",IF(HLOOKUP(CZ$15,Data_5!$F$10:$BG$42,$A27+2,FALSE)="NO","NO",HLOOKUP(CZ$15,Data_5!$F$10:$BG$42,$A27+2,FALSE)/Data_5!$BK22))))),"")</f>
        <v>NO</v>
      </c>
      <c r="DA27" s="1122" t="str">
        <f>IFERROR(IF(HLOOKUP(DA$15,Data_5!$F$10:$BG$42,$A27+2,FALSE)="NO","NO",IF(HLOOKUP(DA$15,Data_5!$F$10:$BG$42,$A27+2,FALSE)="IE","IE",IF(HLOOKUP(DA$15,Data_5!$F$10:$BG$42,$A27+2,FALSE)="NE","NE",IF(HLOOKUP(DA$15,Data_5!$F$10:$BG$42,$A27+2,FALSE)="C","C",IF(HLOOKUP(DA$15,Data_5!$F$10:$BG$42,$A27+2,FALSE)="NO","NO",HLOOKUP(DA$15,Data_5!$F$10:$BG$42,$A27+2,FALSE)/Data_5!$BK22))))),"")</f>
        <v>NO</v>
      </c>
      <c r="DB27" s="1122" t="str">
        <f>IFERROR(IF(HLOOKUP(DB$15,Data_5!$F$10:$BG$42,$A27+2,FALSE)="NO","NO",IF(HLOOKUP(DB$15,Data_5!$F$10:$BG$42,$A27+2,FALSE)="IE","IE",IF(HLOOKUP(DB$15,Data_5!$F$10:$BG$42,$A27+2,FALSE)="NE","NE",IF(HLOOKUP(DB$15,Data_5!$F$10:$BG$42,$A27+2,FALSE)="C","C",IF(HLOOKUP(DB$15,Data_5!$F$10:$BG$42,$A27+2,FALSE)="NO","NO",HLOOKUP(DB$15,Data_5!$F$10:$BG$42,$A27+2,FALSE)/Data_5!$BK22))))),"")</f>
        <v>IE</v>
      </c>
      <c r="DC27" s="1122">
        <f>IFERROR(IF(HLOOKUP(DC$15,Data_5!$F$10:$BG$42,$A27+2,FALSE)="NO","NO",IF(HLOOKUP(DC$15,Data_5!$F$10:$BG$42,$A27+2,FALSE)="IE","IE",IF(HLOOKUP(DC$15,Data_5!$F$10:$BG$42,$A27+2,FALSE)="NE","NE",IF(HLOOKUP(DC$15,Data_5!$F$10:$BG$42,$A27+2,FALSE)="C","C",IF(HLOOKUP(DC$15,Data_5!$F$10:$BG$42,$A27+2,FALSE)="NO","NO",HLOOKUP(DC$15,Data_5!$F$10:$BG$42,$A27+2,FALSE)/Data_5!$BK22))))),"")</f>
        <v>0.17859377960819398</v>
      </c>
      <c r="DD27" s="1122" t="str">
        <f>IFERROR(IF(HLOOKUP(DD$15,Data_5!$F$10:$BG$42,$A27+2,FALSE)="NO","NO",IF(HLOOKUP(DD$15,Data_5!$F$10:$BG$42,$A27+2,FALSE)="IE","IE",IF(HLOOKUP(DD$15,Data_5!$F$10:$BG$42,$A27+2,FALSE)="NE","NE",IF(HLOOKUP(DD$15,Data_5!$F$10:$BG$42,$A27+2,FALSE)="C","C",IF(HLOOKUP(DD$15,Data_5!$F$10:$BG$42,$A27+2,FALSE)="NO","NO",HLOOKUP(DD$15,Data_5!$F$10:$BG$42,$A27+2,FALSE)/Data_5!$BK22))))),"")</f>
        <v>NO</v>
      </c>
      <c r="DE27" s="1122">
        <f>IFERROR(IF(HLOOKUP(DE$15,Data_5!$F$10:$BG$42,$A27+2,FALSE)="NO","NO",IF(HLOOKUP(DE$15,Data_5!$F$10:$BG$42,$A27+2,FALSE)="IE","IE",IF(HLOOKUP(DE$15,Data_5!$F$10:$BG$42,$A27+2,FALSE)="NE","NE",IF(HLOOKUP(DE$15,Data_5!$F$10:$BG$42,$A27+2,FALSE)="C","C",IF(HLOOKUP(DE$15,Data_5!$F$10:$BG$42,$A27+2,FALSE)="NO","NO",HLOOKUP(DE$15,Data_5!$F$10:$BG$42,$A27+2,FALSE)/Data_5!$BK22))))),"")</f>
        <v>3.6555682559865732E-4</v>
      </c>
      <c r="DF27" s="1122" t="str">
        <f>IFERROR(IF(HLOOKUP(DF$15,Data_5!$F$10:$BG$42,$A27+2,FALSE)="NO","NO",IF(HLOOKUP(DF$15,Data_5!$F$10:$BG$42,$A27+2,FALSE)="IE","IE",IF(HLOOKUP(DF$15,Data_5!$F$10:$BG$42,$A27+2,FALSE)="NE","NE",IF(HLOOKUP(DF$15,Data_5!$F$10:$BG$42,$A27+2,FALSE)="C","C",IF(HLOOKUP(DF$15,Data_5!$F$10:$BG$42,$A27+2,FALSE)="NO","NO",HLOOKUP(DF$15,Data_5!$F$10:$BG$42,$A27+2,FALSE)/Data_5!$BK22))))),"")</f>
        <v>NO</v>
      </c>
      <c r="DG27" s="1122">
        <f>IFERROR(IF(HLOOKUP(DG$15,Data_5!$F$10:$BG$42,$A27+2,FALSE)="NO","NO",IF(HLOOKUP(DG$15,Data_5!$F$10:$BG$42,$A27+2,FALSE)="IE","IE",IF(HLOOKUP(DG$15,Data_5!$F$10:$BG$42,$A27+2,FALSE)="NE","NE",IF(HLOOKUP(DG$15,Data_5!$F$10:$BG$42,$A27+2,FALSE)="C","C",IF(HLOOKUP(DG$15,Data_5!$F$10:$BG$42,$A27+2,FALSE)="NO","NO",HLOOKUP(DG$15,Data_5!$F$10:$BG$42,$A27+2,FALSE)/Data_5!$BK22))))),"")</f>
        <v>7.9705723542295478E-4</v>
      </c>
      <c r="DH27" s="1122" t="str">
        <f>IFERROR(IF(HLOOKUP(DH$15,Data_5!$F$10:$BG$42,$A27+2,FALSE)="NO","NO",IF(HLOOKUP(DH$15,Data_5!$F$10:$BG$42,$A27+2,FALSE)="IE","IE",IF(HLOOKUP(DH$15,Data_5!$F$10:$BG$42,$A27+2,FALSE)="NE","NE",IF(HLOOKUP(DH$15,Data_5!$F$10:$BG$42,$A27+2,FALSE)="C","C",IF(HLOOKUP(DH$15,Data_5!$F$10:$BG$42,$A27+2,FALSE)="NO","NO",HLOOKUP(DH$15,Data_5!$F$10:$BG$42,$A27+2,FALSE)/Data_5!$BK22))))),"")</f>
        <v>NO</v>
      </c>
      <c r="DI27" s="1122">
        <f>IFERROR(IF(HLOOKUP(DI$15,Data_5!$F$10:$BG$42,$A27+2,FALSE)="NO","NO",IF(HLOOKUP(DI$15,Data_5!$F$10:$BG$42,$A27+2,FALSE)="IE","IE",IF(HLOOKUP(DI$15,Data_5!$F$10:$BG$42,$A27+2,FALSE)="NE","NE",IF(HLOOKUP(DI$15,Data_5!$F$10:$BG$42,$A27+2,FALSE)="C","C",IF(HLOOKUP(DI$15,Data_5!$F$10:$BG$42,$A27+2,FALSE)="NO","NO",HLOOKUP(DI$15,Data_5!$F$10:$BG$42,$A27+2,FALSE)/Data_5!$BK22))))),"")</f>
        <v>1.1948217616767513E-2</v>
      </c>
      <c r="DJ27" s="1122">
        <f>IFERROR(IF(HLOOKUP(DJ$15,Data_5!$F$10:$BG$42,$A27+2,FALSE)="NO","NO",IF(HLOOKUP(DJ$15,Data_5!$F$10:$BG$42,$A27+2,FALSE)="IE","IE",IF(HLOOKUP(DJ$15,Data_5!$F$10:$BG$42,$A27+2,FALSE)="NE","NE",IF(HLOOKUP(DJ$15,Data_5!$F$10:$BG$42,$A27+2,FALSE)="C","C",IF(HLOOKUP(DJ$15,Data_5!$F$10:$BG$42,$A27+2,FALSE)="NO","NO",HLOOKUP(DJ$15,Data_5!$F$10:$BG$42,$A27+2,FALSE)/Data_5!$BK22))))),"")</f>
        <v>1.3978154779529866E-3</v>
      </c>
      <c r="DK27" s="1122" t="str">
        <f>IFERROR(IF(HLOOKUP(DK$15,Data_5!$F$10:$BG$42,$A27+2,FALSE)="NO","NO",IF(HLOOKUP(DK$15,Data_5!$F$10:$BG$42,$A27+2,FALSE)="IE","IE",IF(HLOOKUP(DK$15,Data_5!$F$10:$BG$42,$A27+2,FALSE)="NE","NE",IF(HLOOKUP(DK$15,Data_5!$F$10:$BG$42,$A27+2,FALSE)="C","C",IF(HLOOKUP(DK$15,Data_5!$F$10:$BG$42,$A27+2,FALSE)="NO","NO",HLOOKUP(DK$15,Data_5!$F$10:$BG$42,$A27+2,FALSE)/Data_5!$BK22))))),"")</f>
        <v>NE</v>
      </c>
      <c r="DL27" s="1122" t="str">
        <f>IFERROR(IF(HLOOKUP(DL$15,Data_5!$F$10:$BG$42,$A27+2,FALSE)="NO","NO",IF(HLOOKUP(DL$15,Data_5!$F$10:$BG$42,$A27+2,FALSE)="IE","IE",IF(HLOOKUP(DL$15,Data_5!$F$10:$BG$42,$A27+2,FALSE)="NE","NE",IF(HLOOKUP(DL$15,Data_5!$F$10:$BG$42,$A27+2,FALSE)="C","C",IF(HLOOKUP(DL$15,Data_5!$F$10:$BG$42,$A27+2,FALSE)="NO","NO",HLOOKUP(DL$15,Data_5!$F$10:$BG$42,$A27+2,FALSE)/Data_5!$BK22))))),"")</f>
        <v>NE</v>
      </c>
      <c r="DM27" s="1122" t="str">
        <f>IFERROR(IF(HLOOKUP(DM$15,Data_5!$F$10:$BG$42,$A27+2,FALSE)="NO","NO",IF(HLOOKUP(DM$15,Data_5!$F$10:$BG$42,$A27+2,FALSE)="IE","IE",IF(HLOOKUP(DM$15,Data_5!$F$10:$BG$42,$A27+2,FALSE)="NE","NE",IF(HLOOKUP(DM$15,Data_5!$F$10:$BG$42,$A27+2,FALSE)="C","C",IF(HLOOKUP(DM$15,Data_5!$F$10:$BG$42,$A27+2,FALSE)="NO","NO",HLOOKUP(DM$15,Data_5!$F$10:$BG$42,$A27+2,FALSE)/Data_5!$BK22))))),"")</f>
        <v>NE</v>
      </c>
      <c r="DN27" s="1122" t="str">
        <f>IFERROR(IF(HLOOKUP(DN$15,Data_5!$F$10:$BG$42,$A27+2,FALSE)="NO","NO",IF(HLOOKUP(DN$15,Data_5!$F$10:$BG$42,$A27+2,FALSE)="IE","IE",IF(HLOOKUP(DN$15,Data_5!$F$10:$BG$42,$A27+2,FALSE)="NE","NE",IF(HLOOKUP(DN$15,Data_5!$F$10:$BG$42,$A27+2,FALSE)="C","C",IF(HLOOKUP(DN$15,Data_5!$F$10:$BG$42,$A27+2,FALSE)="NO","NO",HLOOKUP(DN$15,Data_5!$F$10:$BG$42,$A27+2,FALSE)/Data_5!$BK22))))),"")</f>
        <v>NE</v>
      </c>
      <c r="DO27" s="1122" t="str">
        <f>IFERROR(IF(HLOOKUP(DO$15,Data_5!$F$10:$BG$42,$A27+2,FALSE)="NO","NO",IF(HLOOKUP(DO$15,Data_5!$F$10:$BG$42,$A27+2,FALSE)="IE","IE",IF(HLOOKUP(DO$15,Data_5!$F$10:$BG$42,$A27+2,FALSE)="NE","NE",IF(HLOOKUP(DO$15,Data_5!$F$10:$BG$42,$A27+2,FALSE)="C","C",IF(HLOOKUP(DO$15,Data_5!$F$10:$BG$42,$A27+2,FALSE)="NO","NO",HLOOKUP(DO$15,Data_5!$F$10:$BG$42,$A27+2,FALSE)/Data_5!$BK22))))),"")</f>
        <v>NE</v>
      </c>
    </row>
    <row r="28" spans="1:119" s="15" customFormat="1" ht="15" customHeight="1">
      <c r="A28" s="1789">
        <v>12</v>
      </c>
      <c r="B28" s="2628" t="str">
        <f>IF(Data_5!B23&lt;&gt;"",Data_5!B23,"")</f>
        <v>London</v>
      </c>
      <c r="C28" s="2629"/>
      <c r="D28" s="1462">
        <f>IFERROR(VLOOKUP($B28,Data_5!$B$12:$C$42,2,FALSE),"")</f>
        <v>2013</v>
      </c>
      <c r="E28" s="1122">
        <f>IFERROR(IF(HLOOKUP(E$15,Data_5!$F$10:$BG$42,$A28+2,FALSE)="NO","NO",IF(HLOOKUP(E$15,Data_5!$F$10:$BG$42,$A28+2,FALSE)="IE","IE",IF(HLOOKUP(E$15,Data_5!$F$10:$BG$42,$A28+2,FALSE)="NE","NE",IF(HLOOKUP(E$15,Data_5!$F$10:$BG$42,$A28+2,FALSE)="C","C",IF(HLOOKUP(E$15,Data_5!$F$10:$BG$42,$A28+2,FALSE)="NO","NO",HLOOKUP(E$15,Data_5!$F$10:$BG$42,$A28+2,FALSE)/Data_5!$BH23))))),"")</f>
        <v>0.20923079126510274</v>
      </c>
      <c r="F28" s="1122">
        <f>IFERROR(IF(HLOOKUP(F$15,Data_5!$F$10:$BG$42,$A28+2,FALSE)="NO","NO",IF(HLOOKUP(F$15,Data_5!$F$10:$BG$42,$A28+2,FALSE)="IE","IE",IF(HLOOKUP(F$15,Data_5!$F$10:$BG$42,$A28+2,FALSE)="NE","NE",IF(HLOOKUP(F$15,Data_5!$F$10:$BG$42,$A28+2,FALSE)="C","C",IF(HLOOKUP(F$15,Data_5!$F$10:$BG$42,$A28+2,FALSE)="NO","NO",HLOOKUP(F$15,Data_5!$F$10:$BG$42,$A28+2,FALSE)/Data_5!$BH23))))),"")</f>
        <v>0.14655473713407541</v>
      </c>
      <c r="G28" s="1122">
        <f>IFERROR(IF(HLOOKUP(G$15,Data_5!$F$10:$BG$42,$A28+2,FALSE)="NO","NO",IF(HLOOKUP(G$15,Data_5!$F$10:$BG$42,$A28+2,FALSE)="IE","IE",IF(HLOOKUP(G$15,Data_5!$F$10:$BG$42,$A28+2,FALSE)="NE","NE",IF(HLOOKUP(G$15,Data_5!$F$10:$BG$42,$A28+2,FALSE)="C","C",IF(HLOOKUP(G$15,Data_5!$F$10:$BG$42,$A28+2,FALSE)="NO","NO",HLOOKUP(G$15,Data_5!$F$10:$BG$42,$A28+2,FALSE)/Data_5!$BH23))))),"")</f>
        <v>0.1348702735134539</v>
      </c>
      <c r="H28" s="1122">
        <f>IFERROR(IF(HLOOKUP(H$15,Data_5!$F$10:$BG$42,$A28+2,FALSE)="NO","NO",IF(HLOOKUP(H$15,Data_5!$F$10:$BG$42,$A28+2,FALSE)="IE","IE",IF(HLOOKUP(H$15,Data_5!$F$10:$BG$42,$A28+2,FALSE)="NE","NE",IF(HLOOKUP(H$15,Data_5!$F$10:$BG$42,$A28+2,FALSE)="C","C",IF(HLOOKUP(H$15,Data_5!$F$10:$BG$42,$A28+2,FALSE)="NO","NO",HLOOKUP(H$15,Data_5!$F$10:$BG$42,$A28+2,FALSE)/Data_5!$BH23))))),"")</f>
        <v>0.27948880535507992</v>
      </c>
      <c r="I28" s="1122" t="str">
        <f>IFERROR(IF(HLOOKUP(I$15,Data_5!$F$10:$BG$42,$A28+2,FALSE)="NO","NO",IF(HLOOKUP(I$15,Data_5!$F$10:$BG$42,$A28+2,FALSE)="IE","IE",IF(HLOOKUP(I$15,Data_5!$F$10:$BG$42,$A28+2,FALSE)="NE","NE",IF(HLOOKUP(I$15,Data_5!$F$10:$BG$42,$A28+2,FALSE)="C","C",IF(HLOOKUP(I$15,Data_5!$F$10:$BG$42,$A28+2,FALSE)="NO","NO",HLOOKUP(I$15,Data_5!$F$10:$BG$42,$A28+2,FALSE)/Data_5!$BH23))))),"")</f>
        <v>IE</v>
      </c>
      <c r="J28" s="1122" t="str">
        <f>IFERROR(IF(HLOOKUP(J$15,Data_5!$F$10:$BG$42,$A28+2,FALSE)="NO","NO",IF(HLOOKUP(J$15,Data_5!$F$10:$BG$42,$A28+2,FALSE)="IE","IE",IF(HLOOKUP(J$15,Data_5!$F$10:$BG$42,$A28+2,FALSE)="NE","NE",IF(HLOOKUP(J$15,Data_5!$F$10:$BG$42,$A28+2,FALSE)="C","C",IF(HLOOKUP(J$15,Data_5!$F$10:$BG$42,$A28+2,FALSE)="NO","NO",HLOOKUP(J$15,Data_5!$F$10:$BG$42,$A28+2,FALSE)/Data_5!$BH23))))),"")</f>
        <v>IE</v>
      </c>
      <c r="K28" s="1122" t="str">
        <f>IFERROR(IF(HLOOKUP(K$15,Data_5!$F$10:$BG$42,$A28+2,FALSE)="NO","NO",IF(HLOOKUP(K$15,Data_5!$F$10:$BG$42,$A28+2,FALSE)="IE","IE",IF(HLOOKUP(K$15,Data_5!$F$10:$BG$42,$A28+2,FALSE)="NE","NE",IF(HLOOKUP(K$15,Data_5!$F$10:$BG$42,$A28+2,FALSE)="C","C",IF(HLOOKUP(K$15,Data_5!$F$10:$BG$42,$A28+2,FALSE)="NO","NO",HLOOKUP(K$15,Data_5!$F$10:$BG$42,$A28+2,FALSE)/Data_5!$BH23))))),"")</f>
        <v>IE</v>
      </c>
      <c r="L28" s="1122" t="str">
        <f>IFERROR(IF(HLOOKUP(L$15,Data_5!$F$10:$BG$42,$A28+2,FALSE)="NO","NO",IF(HLOOKUP(L$15,Data_5!$F$10:$BG$42,$A28+2,FALSE)="IE","IE",IF(HLOOKUP(L$15,Data_5!$F$10:$BG$42,$A28+2,FALSE)="NE","NE",IF(HLOOKUP(L$15,Data_5!$F$10:$BG$42,$A28+2,FALSE)="C","C",IF(HLOOKUP(L$15,Data_5!$F$10:$BG$42,$A28+2,FALSE)="NO","NO",HLOOKUP(L$15,Data_5!$F$10:$BG$42,$A28+2,FALSE)/Data_5!$BH23))))),"")</f>
        <v>IE</v>
      </c>
      <c r="M28" s="1122" t="str">
        <f>IFERROR(IF(HLOOKUP(M$15,Data_5!$F$10:$BG$42,$A28+2,FALSE)="NO","NO",IF(HLOOKUP(M$15,Data_5!$F$10:$BG$42,$A28+2,FALSE)="IE","IE",IF(HLOOKUP(M$15,Data_5!$F$10:$BG$42,$A28+2,FALSE)="NE","NE",IF(HLOOKUP(M$15,Data_5!$F$10:$BG$42,$A28+2,FALSE)="C","C",IF(HLOOKUP(M$15,Data_5!$F$10:$BG$42,$A28+2,FALSE)="NO","NO",HLOOKUP(M$15,Data_5!$F$10:$BG$42,$A28+2,FALSE)/Data_5!$BH23))))),"")</f>
        <v>IE</v>
      </c>
      <c r="N28" s="1122" t="str">
        <f>IFERROR(IF(HLOOKUP(N$15,Data_5!$F$10:$BG$42,$A28+2,FALSE)="NO","NO",IF(HLOOKUP(N$15,Data_5!$F$10:$BG$42,$A28+2,FALSE)="IE","IE",IF(HLOOKUP(N$15,Data_5!$F$10:$BG$42,$A28+2,FALSE)="NE","NE",IF(HLOOKUP(N$15,Data_5!$F$10:$BG$42,$A28+2,FALSE)="C","C",IF(HLOOKUP(N$15,Data_5!$F$10:$BG$42,$A28+2,FALSE)="NO","NO",HLOOKUP(N$15,Data_5!$F$10:$BG$42,$A28+2,FALSE)/Data_5!$BH23))))),"")</f>
        <v>IE</v>
      </c>
      <c r="O28" s="1122" t="str">
        <f>IFERROR(IF(HLOOKUP(O$15,Data_5!$F$10:$BG$42,$A28+2,FALSE)="NO","NO",IF(HLOOKUP(O$15,Data_5!$F$10:$BG$42,$A28+2,FALSE)="IE","IE",IF(HLOOKUP(O$15,Data_5!$F$10:$BG$42,$A28+2,FALSE)="NE","NE",IF(HLOOKUP(O$15,Data_5!$F$10:$BG$42,$A28+2,FALSE)="C","C",IF(HLOOKUP(O$15,Data_5!$F$10:$BG$42,$A28+2,FALSE)="NO","NO",HLOOKUP(O$15,Data_5!$F$10:$BG$42,$A28+2,FALSE)/Data_5!$BH23))))),"")</f>
        <v>NO</v>
      </c>
      <c r="P28" s="1122" t="str">
        <f>IFERROR(IF(HLOOKUP(P$15,Data_5!$F$10:$BG$42,$A28+2,FALSE)="NO","NO",IF(HLOOKUP(P$15,Data_5!$F$10:$BG$42,$A28+2,FALSE)="IE","IE",IF(HLOOKUP(P$15,Data_5!$F$10:$BG$42,$A28+2,FALSE)="NE","NE",IF(HLOOKUP(P$15,Data_5!$F$10:$BG$42,$A28+2,FALSE)="C","C",IF(HLOOKUP(P$15,Data_5!$F$10:$BG$42,$A28+2,FALSE)="NO","NO",HLOOKUP(P$15,Data_5!$F$10:$BG$42,$A28+2,FALSE)/Data_5!$BH23))))),"")</f>
        <v>NO</v>
      </c>
      <c r="Q28" s="1122" t="str">
        <f>IFERROR(IF(HLOOKUP(Q$15,Data_5!$F$10:$BG$42,$A28+2,FALSE)="NO","NO",IF(HLOOKUP(Q$15,Data_5!$F$10:$BG$42,$A28+2,FALSE)="IE","IE",IF(HLOOKUP(Q$15,Data_5!$F$10:$BG$42,$A28+2,FALSE)="NE","NE",IF(HLOOKUP(Q$15,Data_5!$F$10:$BG$42,$A28+2,FALSE)="C","C",IF(HLOOKUP(Q$15,Data_5!$F$10:$BG$42,$A28+2,FALSE)="NO","NO",HLOOKUP(Q$15,Data_5!$F$10:$BG$42,$A28+2,FALSE)/Data_5!$BH23))))),"")</f>
        <v>NO</v>
      </c>
      <c r="R28" s="1122">
        <f>IFERROR(IF(HLOOKUP(R$15,Data_5!$F$10:$BG$42,$A28+2,FALSE)="NO","NO",IF(HLOOKUP(R$15,Data_5!$F$10:$BG$42,$A28+2,FALSE)="IE","IE",IF(HLOOKUP(R$15,Data_5!$F$10:$BG$42,$A28+2,FALSE)="NE","NE",IF(HLOOKUP(R$15,Data_5!$F$10:$BG$42,$A28+2,FALSE)="C","C",IF(HLOOKUP(R$15,Data_5!$F$10:$BG$42,$A28+2,FALSE)="NO","NO",HLOOKUP(R$15,Data_5!$F$10:$BG$42,$A28+2,FALSE)/Data_5!$BH23))))),"")</f>
        <v>2.9598622733753333E-4</v>
      </c>
      <c r="S28" s="1122">
        <f>IFERROR(IF(HLOOKUP(S$15,Data_5!$F$10:$BG$42,$A28+2,FALSE)="NO","NO",IF(HLOOKUP(S$15,Data_5!$F$10:$BG$42,$A28+2,FALSE)="IE","IE",IF(HLOOKUP(S$15,Data_5!$F$10:$BG$42,$A28+2,FALSE)="NE","NE",IF(HLOOKUP(S$15,Data_5!$F$10:$BG$42,$A28+2,FALSE)="C","C",IF(HLOOKUP(S$15,Data_5!$F$10:$BG$42,$A28+2,FALSE)="NO","NO",HLOOKUP(S$15,Data_5!$F$10:$BG$42,$A28+2,FALSE)/Data_5!$BH23))))),"")</f>
        <v>0.15152867781294946</v>
      </c>
      <c r="T28" s="1122" t="str">
        <f>IFERROR(IF(HLOOKUP(T$15,Data_5!$F$10:$BG$42,$A28+2,FALSE)="NO","NO",IF(HLOOKUP(T$15,Data_5!$F$10:$BG$42,$A28+2,FALSE)="IE","IE",IF(HLOOKUP(T$15,Data_5!$F$10:$BG$42,$A28+2,FALSE)="NE","NE",IF(HLOOKUP(T$15,Data_5!$F$10:$BG$42,$A28+2,FALSE)="C","C",IF(HLOOKUP(T$15,Data_5!$F$10:$BG$42,$A28+2,FALSE)="NO","NO",HLOOKUP(T$15,Data_5!$F$10:$BG$42,$A28+2,FALSE)/Data_5!$BH23))))),"")</f>
        <v>IE</v>
      </c>
      <c r="U28" s="1122">
        <f>IFERROR(IF(HLOOKUP(U$15,Data_5!$F$10:$BG$42,$A28+2,FALSE)="NO","NO",IF(HLOOKUP(U$15,Data_5!$F$10:$BG$42,$A28+2,FALSE)="IE","IE",IF(HLOOKUP(U$15,Data_5!$F$10:$BG$42,$A28+2,FALSE)="NE","NE",IF(HLOOKUP(U$15,Data_5!$F$10:$BG$42,$A28+2,FALSE)="C","C",IF(HLOOKUP(U$15,Data_5!$F$10:$BG$42,$A28+2,FALSE)="NO","NO",HLOOKUP(U$15,Data_5!$F$10:$BG$42,$A28+2,FALSE)/Data_5!$BH23))))),"")</f>
        <v>3.3619439425961279E-3</v>
      </c>
      <c r="V28" s="1122">
        <f>IFERROR(IF(HLOOKUP(V$15,Data_5!$F$10:$BG$42,$A28+2,FALSE)="NO","NO",IF(HLOOKUP(V$15,Data_5!$F$10:$BG$42,$A28+2,FALSE)="IE","IE",IF(HLOOKUP(V$15,Data_5!$F$10:$BG$42,$A28+2,FALSE)="NE","NE",IF(HLOOKUP(V$15,Data_5!$F$10:$BG$42,$A28+2,FALSE)="C","C",IF(HLOOKUP(V$15,Data_5!$F$10:$BG$42,$A28+2,FALSE)="NO","NO",HLOOKUP(V$15,Data_5!$F$10:$BG$42,$A28+2,FALSE)/Data_5!$BH23))))),"")</f>
        <v>2.6739207019323741E-2</v>
      </c>
      <c r="W28" s="1122">
        <f>IFERROR(IF(HLOOKUP(W$15,Data_5!$F$10:$BG$42,$A28+2,FALSE)="NO","NO",IF(HLOOKUP(W$15,Data_5!$F$10:$BG$42,$A28+2,FALSE)="IE","IE",IF(HLOOKUP(W$15,Data_5!$F$10:$BG$42,$A28+2,FALSE)="NE","NE",IF(HLOOKUP(W$15,Data_5!$F$10:$BG$42,$A28+2,FALSE)="C","C",IF(HLOOKUP(W$15,Data_5!$F$10:$BG$42,$A28+2,FALSE)="NO","NO",HLOOKUP(W$15,Data_5!$F$10:$BG$42,$A28+2,FALSE)/Data_5!$BH23))))),"")</f>
        <v>5.0868581306822748E-4</v>
      </c>
      <c r="X28" s="1122" t="str">
        <f>IFERROR(IF(HLOOKUP(X$15,Data_5!$F$10:$BG$42,$A28+2,FALSE)="NO","NO",IF(HLOOKUP(X$15,Data_5!$F$10:$BG$42,$A28+2,FALSE)="IE","IE",IF(HLOOKUP(X$15,Data_5!$F$10:$BG$42,$A28+2,FALSE)="NE","NE",IF(HLOOKUP(X$15,Data_5!$F$10:$BG$42,$A28+2,FALSE)="C","C",IF(HLOOKUP(X$15,Data_5!$F$10:$BG$42,$A28+2,FALSE)="NO","NO",HLOOKUP(X$15,Data_5!$F$10:$BG$42,$A28+2,FALSE)/Data_5!$BH23))))),"")</f>
        <v>IE</v>
      </c>
      <c r="Y28" s="1122" t="str">
        <f>IFERROR(IF(HLOOKUP(Y$15,Data_5!$F$10:$BG$42,$A28+2,FALSE)="NO","NO",IF(HLOOKUP(Y$15,Data_5!$F$10:$BG$42,$A28+2,FALSE)="IE","IE",IF(HLOOKUP(Y$15,Data_5!$F$10:$BG$42,$A28+2,FALSE)="NE","NE",IF(HLOOKUP(Y$15,Data_5!$F$10:$BG$42,$A28+2,FALSE)="C","C",IF(HLOOKUP(Y$15,Data_5!$F$10:$BG$42,$A28+2,FALSE)="NO","NO",HLOOKUP(Y$15,Data_5!$F$10:$BG$42,$A28+2,FALSE)/Data_5!$BH23))))),"")</f>
        <v>IE</v>
      </c>
      <c r="Z28" s="1122" t="str">
        <f>IFERROR(IF(HLOOKUP(Z$15,Data_5!$F$10:$BG$42,$A28+2,FALSE)="NO","NO",IF(HLOOKUP(Z$15,Data_5!$F$10:$BG$42,$A28+2,FALSE)="IE","IE",IF(HLOOKUP(Z$15,Data_5!$F$10:$BG$42,$A28+2,FALSE)="NE","NE",IF(HLOOKUP(Z$15,Data_5!$F$10:$BG$42,$A28+2,FALSE)="C","C",IF(HLOOKUP(Z$15,Data_5!$F$10:$BG$42,$A28+2,FALSE)="NO","NO",HLOOKUP(Z$15,Data_5!$F$10:$BG$42,$A28+2,FALSE)/Data_5!$BH23))))),"")</f>
        <v>NO</v>
      </c>
      <c r="AA28" s="1122">
        <f>IFERROR(IF(HLOOKUP(AA$15,Data_5!$F$10:$BG$42,$A28+2,FALSE)="NO","NO",IF(HLOOKUP(AA$15,Data_5!$F$10:$BG$42,$A28+2,FALSE)="IE","IE",IF(HLOOKUP(AA$15,Data_5!$F$10:$BG$42,$A28+2,FALSE)="NE","NE",IF(HLOOKUP(AA$15,Data_5!$F$10:$BG$42,$A28+2,FALSE)="C","C",IF(HLOOKUP(AA$15,Data_5!$F$10:$BG$42,$A28+2,FALSE)="NO","NO",HLOOKUP(AA$15,Data_5!$F$10:$BG$42,$A28+2,FALSE)/Data_5!$BH23))))),"")</f>
        <v>9.0779287536447669E-4</v>
      </c>
      <c r="AB28" s="1122" t="str">
        <f>IFERROR(IF(HLOOKUP(AB$15,Data_5!$F$10:$BG$42,$A28+2,FALSE)="NO","NO",IF(HLOOKUP(AB$15,Data_5!$F$10:$BG$42,$A28+2,FALSE)="IE","IE",IF(HLOOKUP(AB$15,Data_5!$F$10:$BG$42,$A28+2,FALSE)="NE","NE",IF(HLOOKUP(AB$15,Data_5!$F$10:$BG$42,$A28+2,FALSE)="C","C",IF(HLOOKUP(AB$15,Data_5!$F$10:$BG$42,$A28+2,FALSE)="NO","NO",HLOOKUP(AB$15,Data_5!$F$10:$BG$42,$A28+2,FALSE)/Data_5!$BH23))))),"")</f>
        <v>IE</v>
      </c>
      <c r="AC28" s="1122">
        <f>IFERROR(IF(HLOOKUP(AC$15,Data_5!$F$10:$BG$42,$A28+2,FALSE)="NO","NO",IF(HLOOKUP(AC$15,Data_5!$F$10:$BG$42,$A28+2,FALSE)="IE","IE",IF(HLOOKUP(AC$15,Data_5!$F$10:$BG$42,$A28+2,FALSE)="NE","NE",IF(HLOOKUP(AC$15,Data_5!$F$10:$BG$42,$A28+2,FALSE)="C","C",IF(HLOOKUP(AC$15,Data_5!$F$10:$BG$42,$A28+2,FALSE)="NO","NO",HLOOKUP(AC$15,Data_5!$F$10:$BG$42,$A28+2,FALSE)/Data_5!$BH23))))),"")</f>
        <v>7.3041938915698202E-3</v>
      </c>
      <c r="AD28" s="1122">
        <f>IFERROR(IF(HLOOKUP(AD$15,Data_5!$F$10:$BG$42,$A28+2,FALSE)="NO","NO",IF(HLOOKUP(AD$15,Data_5!$F$10:$BG$42,$A28+2,FALSE)="IE","IE",IF(HLOOKUP(AD$15,Data_5!$F$10:$BG$42,$A28+2,FALSE)="NE","NE",IF(HLOOKUP(AD$15,Data_5!$F$10:$BG$42,$A28+2,FALSE)="C","C",IF(HLOOKUP(AD$15,Data_5!$F$10:$BG$42,$A28+2,FALSE)="NO","NO",HLOOKUP(AD$15,Data_5!$F$10:$BG$42,$A28+2,FALSE)/Data_5!$BH23))))),"")</f>
        <v>3.0621501679263686E-2</v>
      </c>
      <c r="AE28" s="1122">
        <f>IFERROR(IF(HLOOKUP(AE$15,Data_5!$F$10:$BG$42,$A28+2,FALSE)="NO","NO",IF(HLOOKUP(AE$15,Data_5!$F$10:$BG$42,$A28+2,FALSE)="IE","IE",IF(HLOOKUP(AE$15,Data_5!$F$10:$BG$42,$A28+2,FALSE)="NE","NE",IF(HLOOKUP(AE$15,Data_5!$F$10:$BG$42,$A28+2,FALSE)="C","C",IF(HLOOKUP(AE$15,Data_5!$F$10:$BG$42,$A28+2,FALSE)="NO","NO",HLOOKUP(AE$15,Data_5!$F$10:$BG$42,$A28+2,FALSE)/Data_5!$BH23))))),"")</f>
        <v>5.995324515168374E-7</v>
      </c>
      <c r="AF28" s="1122">
        <f>IFERROR(IF(HLOOKUP(AF$15,Data_5!$F$10:$BG$42,$A28+2,FALSE)="NO","NO",IF(HLOOKUP(AF$15,Data_5!$F$10:$BG$42,$A28+2,FALSE)="IE","IE",IF(HLOOKUP(AF$15,Data_5!$F$10:$BG$42,$A28+2,FALSE)="NE","NE",IF(HLOOKUP(AF$15,Data_5!$F$10:$BG$42,$A28+2,FALSE)="C","C",IF(HLOOKUP(AF$15,Data_5!$F$10:$BG$42,$A28+2,FALSE)="NO","NO",HLOOKUP(AF$15,Data_5!$F$10:$BG$42,$A28+2,FALSE)/Data_5!$BH23))))),"")</f>
        <v>1.398909053539287E-6</v>
      </c>
      <c r="AG28" s="1122">
        <f>IFERROR(IF(HLOOKUP(AG$15,Data_5!$F$10:$BG$42,$A28+2,FALSE)="NO","NO",IF(HLOOKUP(AG$15,Data_5!$F$10:$BG$42,$A28+2,FALSE)="IE","IE",IF(HLOOKUP(AG$15,Data_5!$F$10:$BG$42,$A28+2,FALSE)="NE","NE",IF(HLOOKUP(AG$15,Data_5!$F$10:$BG$42,$A28+2,FALSE)="C","C",IF(HLOOKUP(AG$15,Data_5!$F$10:$BG$42,$A28+2,FALSE)="NO","NO",HLOOKUP(AG$15,Data_5!$F$10:$BG$42,$A28+2,FALSE)/Data_5!$BH23))))),"")</f>
        <v>2.525679873243349E-3</v>
      </c>
      <c r="AH28" s="1122">
        <f>IFERROR(IF(HLOOKUP(AH$15,Data_5!$F$10:$BG$42,$A28+2,FALSE)="NO","NO",IF(HLOOKUP(AH$15,Data_5!$F$10:$BG$42,$A28+2,FALSE)="IE","IE",IF(HLOOKUP(AH$15,Data_5!$F$10:$BG$42,$A28+2,FALSE)="NE","NE",IF(HLOOKUP(AH$15,Data_5!$F$10:$BG$42,$A28+2,FALSE)="C","C",IF(HLOOKUP(AH$15,Data_5!$F$10:$BG$42,$A28+2,FALSE)="NO","NO",HLOOKUP(AH$15,Data_5!$F$10:$BG$42,$A28+2,FALSE)/Data_5!$BH23))))),"")</f>
        <v>5.8932530375678128E-3</v>
      </c>
      <c r="AI28" s="1122">
        <f>IFERROR(IF(HLOOKUP(AI$15,Data_5!$F$10:$BG$42,$A28+2,FALSE)="NO","NO",IF(HLOOKUP(AI$15,Data_5!$F$10:$BG$42,$A28+2,FALSE)="IE","IE",IF(HLOOKUP(AI$15,Data_5!$F$10:$BG$42,$A28+2,FALSE)="NE","NE",IF(HLOOKUP(AI$15,Data_5!$F$10:$BG$42,$A28+2,FALSE)="C","C",IF(HLOOKUP(AI$15,Data_5!$F$10:$BG$42,$A28+2,FALSE)="NO","NO",HLOOKUP(AI$15,Data_5!$F$10:$BG$42,$A28+2,FALSE)/Data_5!$BH23))))),"")</f>
        <v>1.3852773755881263E-4</v>
      </c>
      <c r="AJ28" s="1122">
        <f>IFERROR(IF(HLOOKUP(AJ$15,Data_5!$F$10:$BG$42,$A28+2,FALSE)="NO","NO",IF(HLOOKUP(AJ$15,Data_5!$F$10:$BG$42,$A28+2,FALSE)="IE","IE",IF(HLOOKUP(AJ$15,Data_5!$F$10:$BG$42,$A28+2,FALSE)="NE","NE",IF(HLOOKUP(AJ$15,Data_5!$F$10:$BG$42,$A28+2,FALSE)="C","C",IF(HLOOKUP(AJ$15,Data_5!$F$10:$BG$42,$A28+2,FALSE)="NO","NO",HLOOKUP(AJ$15,Data_5!$F$10:$BG$42,$A28+2,FALSE)/Data_5!$BH23))))),"")</f>
        <v>2.7944380939862942E-5</v>
      </c>
      <c r="AL28" s="2628" t="str">
        <f t="shared" si="0"/>
        <v>London</v>
      </c>
      <c r="AM28" s="2629"/>
      <c r="AN28" s="1100">
        <f t="shared" si="1"/>
        <v>2013</v>
      </c>
      <c r="AO28" s="1122" t="str">
        <f>IFERROR(IF(VLOOKUP($AL28,Data_5!$B$12:$E$42,4,FALSE)="BASIC","",(IF(HLOOKUP(AO$15,Data_5!$F$10:$BG$42,$A28+2,FALSE)="NO","NO",IF(HLOOKUP(AO$15,Data_5!$F$10:$BG$42,$A28+2,FALSE)="IE","IE",IF(HLOOKUP(AO$15,Data_5!$F$10:$BG$42,$A28+2,FALSE)="NE","NE",IF(HLOOKUP(AO$15,Data_5!$F$10:$BG$42,$A28+2,FALSE)="C","C",IF(HLOOKUP(AO$15,Data_5!$F$10:$BG$42,$A28+2,FALSE)="NO","NO",HLOOKUP(AO$15,Data_5!$F$10:$BG$42,$A28+2,FALSE)/Data_5!$BI23))))))),"")</f>
        <v/>
      </c>
      <c r="AP28" s="1122" t="str">
        <f>IFERROR(IF(VLOOKUP($AL28,Data_5!$B$12:$E$42,4,FALSE)="BASIC","",(IF(HLOOKUP(AP$15,Data_5!$F$10:$BG$42,$A28+2,FALSE)="NO","NO",IF(HLOOKUP(AP$15,Data_5!$F$10:$BG$42,$A28+2,FALSE)="IE","IE",IF(HLOOKUP(AP$15,Data_5!$F$10:$BG$42,$A28+2,FALSE)="NE","NE",IF(HLOOKUP(AP$15,Data_5!$F$10:$BG$42,$A28+2,FALSE)="C","C",IF(HLOOKUP(AP$15,Data_5!$F$10:$BG$42,$A28+2,FALSE)="NO","NO",HLOOKUP(AP$15,Data_5!$F$10:$BG$42,$A28+2,FALSE)/Data_5!$BI23))))))),"")</f>
        <v/>
      </c>
      <c r="AQ28" s="1122" t="str">
        <f>IFERROR(IF(VLOOKUP($AL28,Data_5!$B$12:$E$42,4,FALSE)="BASIC","",(IF(HLOOKUP(AQ$15,Data_5!$F$10:$BG$42,$A28+2,FALSE)="NO","NO",IF(HLOOKUP(AQ$15,Data_5!$F$10:$BG$42,$A28+2,FALSE)="IE","IE",IF(HLOOKUP(AQ$15,Data_5!$F$10:$BG$42,$A28+2,FALSE)="NE","NE",IF(HLOOKUP(AQ$15,Data_5!$F$10:$BG$42,$A28+2,FALSE)="C","C",IF(HLOOKUP(AQ$15,Data_5!$F$10:$BG$42,$A28+2,FALSE)="NO","NO",HLOOKUP(AQ$15,Data_5!$F$10:$BG$42,$A28+2,FALSE)/Data_5!$BI23))))))),"")</f>
        <v/>
      </c>
      <c r="AR28" s="1122" t="str">
        <f>IFERROR(IF(VLOOKUP($AL28,Data_5!$B$12:$E$42,4,FALSE)="BASIC","",(IF(HLOOKUP(AR$15,Data_5!$F$10:$BG$42,$A28+2,FALSE)="NO","NO",IF(HLOOKUP(AR$15,Data_5!$F$10:$BG$42,$A28+2,FALSE)="IE","IE",IF(HLOOKUP(AR$15,Data_5!$F$10:$BG$42,$A28+2,FALSE)="NE","NE",IF(HLOOKUP(AR$15,Data_5!$F$10:$BG$42,$A28+2,FALSE)="C","C",IF(HLOOKUP(AR$15,Data_5!$F$10:$BG$42,$A28+2,FALSE)="NO","NO",HLOOKUP(AR$15,Data_5!$F$10:$BG$42,$A28+2,FALSE)/Data_5!$BI23))))))),"")</f>
        <v/>
      </c>
      <c r="AS28" s="1122" t="str">
        <f>IFERROR(IF(VLOOKUP($AL28,Data_5!$B$12:$E$42,4,FALSE)="BASIC","",(IF(HLOOKUP(AS$15,Data_5!$F$10:$BG$42,$A28+2,FALSE)="NO","NO",IF(HLOOKUP(AS$15,Data_5!$F$10:$BG$42,$A28+2,FALSE)="IE","IE",IF(HLOOKUP(AS$15,Data_5!$F$10:$BG$42,$A28+2,FALSE)="NE","NE",IF(HLOOKUP(AS$15,Data_5!$F$10:$BG$42,$A28+2,FALSE)="C","C",IF(HLOOKUP(AS$15,Data_5!$F$10:$BG$42,$A28+2,FALSE)="NO","NO",HLOOKUP(AS$15,Data_5!$F$10:$BG$42,$A28+2,FALSE)/Data_5!$BI23))))))),"")</f>
        <v/>
      </c>
      <c r="AT28" s="1122" t="str">
        <f>IFERROR(IF(VLOOKUP($AL28,Data_5!$B$12:$E$42,4,FALSE)="BASIC","",(IF(HLOOKUP(AT$15,Data_5!$F$10:$BG$42,$A28+2,FALSE)="NO","NO",IF(HLOOKUP(AT$15,Data_5!$F$10:$BG$42,$A28+2,FALSE)="IE","IE",IF(HLOOKUP(AT$15,Data_5!$F$10:$BG$42,$A28+2,FALSE)="NE","NE",IF(HLOOKUP(AT$15,Data_5!$F$10:$BG$42,$A28+2,FALSE)="C","C",IF(HLOOKUP(AT$15,Data_5!$F$10:$BG$42,$A28+2,FALSE)="NO","NO",HLOOKUP(AT$15,Data_5!$F$10:$BG$42,$A28+2,FALSE)/Data_5!$BI23))))))),"")</f>
        <v/>
      </c>
      <c r="AU28" s="1122" t="str">
        <f>IFERROR(IF(VLOOKUP($AL28,Data_5!$B$12:$E$42,4,FALSE)="BASIC","",(IF(HLOOKUP(AU$15,Data_5!$F$10:$BG$42,$A28+2,FALSE)="NO","NO",IF(HLOOKUP(AU$15,Data_5!$F$10:$BG$42,$A28+2,FALSE)="IE","IE",IF(HLOOKUP(AU$15,Data_5!$F$10:$BG$42,$A28+2,FALSE)="NE","NE",IF(HLOOKUP(AU$15,Data_5!$F$10:$BG$42,$A28+2,FALSE)="C","C",IF(HLOOKUP(AU$15,Data_5!$F$10:$BG$42,$A28+2,FALSE)="NO","NO",HLOOKUP(AU$15,Data_5!$F$10:$BG$42,$A28+2,FALSE)/Data_5!$BI23))))))),"")</f>
        <v/>
      </c>
      <c r="AV28" s="1122" t="str">
        <f>IFERROR(IF(VLOOKUP($AL28,Data_5!$B$12:$E$42,4,FALSE)="BASIC","",(IF(HLOOKUP(AV$15,Data_5!$F$10:$BG$42,$A28+2,FALSE)="NO","NO",IF(HLOOKUP(AV$15,Data_5!$F$10:$BG$42,$A28+2,FALSE)="IE","IE",IF(HLOOKUP(AV$15,Data_5!$F$10:$BG$42,$A28+2,FALSE)="NE","NE",IF(HLOOKUP(AV$15,Data_5!$F$10:$BG$42,$A28+2,FALSE)="C","C",IF(HLOOKUP(AV$15,Data_5!$F$10:$BG$42,$A28+2,FALSE)="NO","NO",HLOOKUP(AV$15,Data_5!$F$10:$BG$42,$A28+2,FALSE)/Data_5!$BI23))))))),"")</f>
        <v/>
      </c>
      <c r="AW28" s="1122" t="str">
        <f>IFERROR(IF(VLOOKUP($AL28,Data_5!$B$12:$E$42,4,FALSE)="BASIC","",(IF(HLOOKUP(AW$15,Data_5!$F$10:$BG$42,$A28+2,FALSE)="NO","NO",IF(HLOOKUP(AW$15,Data_5!$F$10:$BG$42,$A28+2,FALSE)="IE","IE",IF(HLOOKUP(AW$15,Data_5!$F$10:$BG$42,$A28+2,FALSE)="NE","NE",IF(HLOOKUP(AW$15,Data_5!$F$10:$BG$42,$A28+2,FALSE)="C","C",IF(HLOOKUP(AW$15,Data_5!$F$10:$BG$42,$A28+2,FALSE)="NO","NO",HLOOKUP(AW$15,Data_5!$F$10:$BG$42,$A28+2,FALSE)/Data_5!$BI23))))))),"")</f>
        <v/>
      </c>
      <c r="AX28" s="1122" t="str">
        <f>IFERROR(IF(VLOOKUP($AL28,Data_5!$B$12:$E$42,4,FALSE)="BASIC","",(IF(HLOOKUP(AX$15,Data_5!$F$10:$BG$42,$A28+2,FALSE)="NO","NO",IF(HLOOKUP(AX$15,Data_5!$F$10:$BG$42,$A28+2,FALSE)="IE","IE",IF(HLOOKUP(AX$15,Data_5!$F$10:$BG$42,$A28+2,FALSE)="NE","NE",IF(HLOOKUP(AX$15,Data_5!$F$10:$BG$42,$A28+2,FALSE)="C","C",IF(HLOOKUP(AX$15,Data_5!$F$10:$BG$42,$A28+2,FALSE)="NO","NO",HLOOKUP(AX$15,Data_5!$F$10:$BG$42,$A28+2,FALSE)/Data_5!$BI23))))))),"")</f>
        <v/>
      </c>
      <c r="AY28" s="1122" t="str">
        <f>IFERROR(IF(VLOOKUP($AL28,Data_5!$B$12:$E$42,4,FALSE)="BASIC","",(IF(HLOOKUP(AY$15,Data_5!$F$10:$BG$42,$A28+2,FALSE)="NO","NO",IF(HLOOKUP(AY$15,Data_5!$F$10:$BG$42,$A28+2,FALSE)="IE","IE",IF(HLOOKUP(AY$15,Data_5!$F$10:$BG$42,$A28+2,FALSE)="NE","NE",IF(HLOOKUP(AY$15,Data_5!$F$10:$BG$42,$A28+2,FALSE)="C","C",IF(HLOOKUP(AY$15,Data_5!$F$10:$BG$42,$A28+2,FALSE)="NO","NO",HLOOKUP(AY$15,Data_5!$F$10:$BG$42,$A28+2,FALSE)/Data_5!$BI23))))))),"")</f>
        <v/>
      </c>
      <c r="AZ28" s="1122" t="str">
        <f>IFERROR(IF(VLOOKUP($AL28,Data_5!$B$12:$E$42,4,FALSE)="BASIC","",(IF(HLOOKUP(AZ$15,Data_5!$F$10:$BG$42,$A28+2,FALSE)="NO","NO",IF(HLOOKUP(AZ$15,Data_5!$F$10:$BG$42,$A28+2,FALSE)="IE","IE",IF(HLOOKUP(AZ$15,Data_5!$F$10:$BG$42,$A28+2,FALSE)="NE","NE",IF(HLOOKUP(AZ$15,Data_5!$F$10:$BG$42,$A28+2,FALSE)="C","C",IF(HLOOKUP(AZ$15,Data_5!$F$10:$BG$42,$A28+2,FALSE)="NO","NO",HLOOKUP(AZ$15,Data_5!$F$10:$BG$42,$A28+2,FALSE)/Data_5!$BI23))))))),"")</f>
        <v/>
      </c>
      <c r="BA28" s="1122" t="str">
        <f>IFERROR(IF(VLOOKUP($AL28,Data_5!$B$12:$E$42,4,FALSE)="BASIC","",(IF(HLOOKUP(BA$15,Data_5!$F$10:$BG$42,$A28+2,FALSE)="NO","NO",IF(HLOOKUP(BA$15,Data_5!$F$10:$BG$42,$A28+2,FALSE)="IE","IE",IF(HLOOKUP(BA$15,Data_5!$F$10:$BG$42,$A28+2,FALSE)="NE","NE",IF(HLOOKUP(BA$15,Data_5!$F$10:$BG$42,$A28+2,FALSE)="C","C",IF(HLOOKUP(BA$15,Data_5!$F$10:$BG$42,$A28+2,FALSE)="NO","NO",HLOOKUP(BA$15,Data_5!$F$10:$BG$42,$A28+2,FALSE)/Data_5!$BI23))))))),"")</f>
        <v/>
      </c>
      <c r="BB28" s="1122" t="str">
        <f>IFERROR(IF(VLOOKUP($AL28,Data_5!$B$12:$E$42,4,FALSE)="BASIC","",(IF(HLOOKUP(BB$15,Data_5!$F$10:$BG$42,$A28+2,FALSE)="NO","NO",IF(HLOOKUP(BB$15,Data_5!$F$10:$BG$42,$A28+2,FALSE)="IE","IE",IF(HLOOKUP(BB$15,Data_5!$F$10:$BG$42,$A28+2,FALSE)="NE","NE",IF(HLOOKUP(BB$15,Data_5!$F$10:$BG$42,$A28+2,FALSE)="C","C",IF(HLOOKUP(BB$15,Data_5!$F$10:$BG$42,$A28+2,FALSE)="NO","NO",HLOOKUP(BB$15,Data_5!$F$10:$BG$42,$A28+2,FALSE)/Data_5!$BI23))))))),"")</f>
        <v/>
      </c>
      <c r="BC28" s="1122" t="str">
        <f>IFERROR(IF(VLOOKUP($AL28,Data_5!$B$12:$E$42,4,FALSE)="BASIC","",(IF(HLOOKUP(BC$15,Data_5!$F$10:$BG$42,$A28+2,FALSE)="NO","NO",IF(HLOOKUP(BC$15,Data_5!$F$10:$BG$42,$A28+2,FALSE)="IE","IE",IF(HLOOKUP(BC$15,Data_5!$F$10:$BG$42,$A28+2,FALSE)="NE","NE",IF(HLOOKUP(BC$15,Data_5!$F$10:$BG$42,$A28+2,FALSE)="C","C",IF(HLOOKUP(BC$15,Data_5!$F$10:$BG$42,$A28+2,FALSE)="NO","NO",HLOOKUP(BC$15,Data_5!$F$10:$BG$42,$A28+2,FALSE)/Data_5!$BI23))))))),"")</f>
        <v/>
      </c>
      <c r="BD28" s="1122" t="str">
        <f>IFERROR(IF(VLOOKUP($AL28,Data_5!$B$12:$E$42,4,FALSE)="BASIC","",(IF(HLOOKUP(BD$15,Data_5!$F$10:$BG$42,$A28+2,FALSE)="NO","NO",IF(HLOOKUP(BD$15,Data_5!$F$10:$BG$42,$A28+2,FALSE)="IE","IE",IF(HLOOKUP(BD$15,Data_5!$F$10:$BG$42,$A28+2,FALSE)="NE","NE",IF(HLOOKUP(BD$15,Data_5!$F$10:$BG$42,$A28+2,FALSE)="C","C",IF(HLOOKUP(BD$15,Data_5!$F$10:$BG$42,$A28+2,FALSE)="NO","NO",HLOOKUP(BD$15,Data_5!$F$10:$BG$42,$A28+2,FALSE)/Data_5!$BI23))))))),"")</f>
        <v/>
      </c>
      <c r="BE28" s="1122" t="str">
        <f>IFERROR(IF(VLOOKUP($AL28,Data_5!$B$12:$E$42,4,FALSE)="BASIC","",(IF(HLOOKUP(BE$15,Data_5!$F$10:$BG$42,$A28+2,FALSE)="NO","NO",IF(HLOOKUP(BE$15,Data_5!$F$10:$BG$42,$A28+2,FALSE)="IE","IE",IF(HLOOKUP(BE$15,Data_5!$F$10:$BG$42,$A28+2,FALSE)="NE","NE",IF(HLOOKUP(BE$15,Data_5!$F$10:$BG$42,$A28+2,FALSE)="C","C",IF(HLOOKUP(BE$15,Data_5!$F$10:$BG$42,$A28+2,FALSE)="NO","NO",HLOOKUP(BE$15,Data_5!$F$10:$BG$42,$A28+2,FALSE)/Data_5!$BI23))))))),"")</f>
        <v/>
      </c>
      <c r="BF28" s="1122" t="str">
        <f>IFERROR(IF(VLOOKUP($AL28,Data_5!$B$12:$E$42,4,FALSE)="BASIC","",(IF(HLOOKUP(BF$15,Data_5!$F$10:$BG$42,$A28+2,FALSE)="NO","NO",IF(HLOOKUP(BF$15,Data_5!$F$10:$BG$42,$A28+2,FALSE)="IE","IE",IF(HLOOKUP(BF$15,Data_5!$F$10:$BG$42,$A28+2,FALSE)="NE","NE",IF(HLOOKUP(BF$15,Data_5!$F$10:$BG$42,$A28+2,FALSE)="C","C",IF(HLOOKUP(BF$15,Data_5!$F$10:$BG$42,$A28+2,FALSE)="NO","NO",HLOOKUP(BF$15,Data_5!$F$10:$BG$42,$A28+2,FALSE)/Data_5!$BI23))))))),"")</f>
        <v/>
      </c>
      <c r="BG28" s="1122" t="str">
        <f>IFERROR(IF(VLOOKUP($AL28,Data_5!$B$12:$E$42,4,FALSE)="BASIC","",(IF(HLOOKUP(BG$15,Data_5!$F$10:$BG$42,$A28+2,FALSE)="NO","NO",IF(HLOOKUP(BG$15,Data_5!$F$10:$BG$42,$A28+2,FALSE)="IE","IE",IF(HLOOKUP(BG$15,Data_5!$F$10:$BG$42,$A28+2,FALSE)="NE","NE",IF(HLOOKUP(BG$15,Data_5!$F$10:$BG$42,$A28+2,FALSE)="C","C",IF(HLOOKUP(BG$15,Data_5!$F$10:$BG$42,$A28+2,FALSE)="NO","NO",HLOOKUP(BG$15,Data_5!$F$10:$BG$42,$A28+2,FALSE)/Data_5!$BI23))))))),"")</f>
        <v/>
      </c>
      <c r="BH28" s="1122" t="str">
        <f>IFERROR(IF(VLOOKUP($AL28,Data_5!$B$12:$E$42,4,FALSE)="BASIC","",(IF(HLOOKUP(BH$15,Data_5!$F$10:$BG$42,$A28+2,FALSE)="NO","NO",IF(HLOOKUP(BH$15,Data_5!$F$10:$BG$42,$A28+2,FALSE)="IE","IE",IF(HLOOKUP(BH$15,Data_5!$F$10:$BG$42,$A28+2,FALSE)="NE","NE",IF(HLOOKUP(BH$15,Data_5!$F$10:$BG$42,$A28+2,FALSE)="C","C",IF(HLOOKUP(BH$15,Data_5!$F$10:$BG$42,$A28+2,FALSE)="NO","NO",HLOOKUP(BH$15,Data_5!$F$10:$BG$42,$A28+2,FALSE)/Data_5!$BI23))))))),"")</f>
        <v/>
      </c>
      <c r="BI28" s="1122" t="str">
        <f>IFERROR(IF(VLOOKUP($AL28,Data_5!$B$12:$E$42,4,FALSE)="BASIC","",(IF(HLOOKUP(BI$15,Data_5!$F$10:$BG$42,$A28+2,FALSE)="NO","NO",IF(HLOOKUP(BI$15,Data_5!$F$10:$BG$42,$A28+2,FALSE)="IE","IE",IF(HLOOKUP(BI$15,Data_5!$F$10:$BG$42,$A28+2,FALSE)="NE","NE",IF(HLOOKUP(BI$15,Data_5!$F$10:$BG$42,$A28+2,FALSE)="C","C",IF(HLOOKUP(BI$15,Data_5!$F$10:$BG$42,$A28+2,FALSE)="NO","NO",HLOOKUP(BI$15,Data_5!$F$10:$BG$42,$A28+2,FALSE)/Data_5!$BI23))))))),"")</f>
        <v/>
      </c>
      <c r="BJ28" s="1122" t="str">
        <f>IFERROR(IF(VLOOKUP($AL28,Data_5!$B$12:$E$42,4,FALSE)="BASIC","",(IF(HLOOKUP(BJ$15,Data_5!$F$10:$BG$42,$A28+2,FALSE)="NO","NO",IF(HLOOKUP(BJ$15,Data_5!$F$10:$BG$42,$A28+2,FALSE)="IE","IE",IF(HLOOKUP(BJ$15,Data_5!$F$10:$BG$42,$A28+2,FALSE)="NE","NE",IF(HLOOKUP(BJ$15,Data_5!$F$10:$BG$42,$A28+2,FALSE)="C","C",IF(HLOOKUP(BJ$15,Data_5!$F$10:$BG$42,$A28+2,FALSE)="NO","NO",HLOOKUP(BJ$15,Data_5!$F$10:$BG$42,$A28+2,FALSE)/Data_5!$BI23))))))),"")</f>
        <v/>
      </c>
      <c r="BK28" s="1122" t="str">
        <f>IFERROR(IF(VLOOKUP($AL28,Data_5!$B$12:$E$42,4,FALSE)="BASIC","",(IF(HLOOKUP(BK$15,Data_5!$F$10:$BG$42,$A28+2,FALSE)="NO","NO",IF(HLOOKUP(BK$15,Data_5!$F$10:$BG$42,$A28+2,FALSE)="IE","IE",IF(HLOOKUP(BK$15,Data_5!$F$10:$BG$42,$A28+2,FALSE)="NE","NE",IF(HLOOKUP(BK$15,Data_5!$F$10:$BG$42,$A28+2,FALSE)="C","C",IF(HLOOKUP(BK$15,Data_5!$F$10:$BG$42,$A28+2,FALSE)="NO","NO",HLOOKUP(BK$15,Data_5!$F$10:$BG$42,$A28+2,FALSE)/Data_5!$BI23))))))),"")</f>
        <v/>
      </c>
      <c r="BL28" s="1122" t="str">
        <f>IFERROR(IF(VLOOKUP($AL28,Data_5!$B$12:$E$42,4,FALSE)="BASIC","",(IF(HLOOKUP(BL$15,Data_5!$F$10:$BG$42,$A28+2,FALSE)="NO","NO",IF(HLOOKUP(BL$15,Data_5!$F$10:$BG$42,$A28+2,FALSE)="IE","IE",IF(HLOOKUP(BL$15,Data_5!$F$10:$BG$42,$A28+2,FALSE)="NE","NE",IF(HLOOKUP(BL$15,Data_5!$F$10:$BG$42,$A28+2,FALSE)="C","C",IF(HLOOKUP(BL$15,Data_5!$F$10:$BG$42,$A28+2,FALSE)="NO","NO",HLOOKUP(BL$15,Data_5!$F$10:$BG$42,$A28+2,FALSE)/Data_5!$BI23))))))),"")</f>
        <v/>
      </c>
      <c r="BM28" s="1122" t="str">
        <f>IFERROR(IF(VLOOKUP($AL28,Data_5!$B$12:$E$42,4,FALSE)="BASIC","",(IF(HLOOKUP(BM$15,Data_5!$F$10:$BG$42,$A28+2,FALSE)="NO","NO",IF(HLOOKUP(BM$15,Data_5!$F$10:$BG$42,$A28+2,FALSE)="IE","IE",IF(HLOOKUP(BM$15,Data_5!$F$10:$BG$42,$A28+2,FALSE)="NE","NE",IF(HLOOKUP(BM$15,Data_5!$F$10:$BG$42,$A28+2,FALSE)="C","C",IF(HLOOKUP(BM$15,Data_5!$F$10:$BG$42,$A28+2,FALSE)="NO","NO",HLOOKUP(BM$15,Data_5!$F$10:$BG$42,$A28+2,FALSE)/Data_5!$BI23))))))),"")</f>
        <v/>
      </c>
      <c r="BN28" s="1122" t="str">
        <f>IFERROR(IF(VLOOKUP($AL28,Data_5!$B$12:$E$42,4,FALSE)="BASIC","",(IF(HLOOKUP(BN$15,Data_5!$F$10:$BG$42,$A28+2,FALSE)="NO","NO",IF(HLOOKUP(BN$15,Data_5!$F$10:$BG$42,$A28+2,FALSE)="IE","IE",IF(HLOOKUP(BN$15,Data_5!$F$10:$BG$42,$A28+2,FALSE)="NE","NE",IF(HLOOKUP(BN$15,Data_5!$F$10:$BG$42,$A28+2,FALSE)="C","C",IF(HLOOKUP(BN$15,Data_5!$F$10:$BG$42,$A28+2,FALSE)="NO","NO",HLOOKUP(BN$15,Data_5!$F$10:$BG$42,$A28+2,FALSE)/Data_5!$BI23))))))),"")</f>
        <v/>
      </c>
      <c r="BO28" s="1122" t="str">
        <f>IFERROR(IF(VLOOKUP($AL28,Data_5!$B$12:$E$42,4,FALSE)="BASIC","",(IF(HLOOKUP(BO$15,Data_5!$F$10:$BG$42,$A28+2,FALSE)="NO","NO",IF(HLOOKUP(BO$15,Data_5!$F$10:$BG$42,$A28+2,FALSE)="IE","IE",IF(HLOOKUP(BO$15,Data_5!$F$10:$BG$42,$A28+2,FALSE)="NE","NE",IF(HLOOKUP(BO$15,Data_5!$F$10:$BG$42,$A28+2,FALSE)="C","C",IF(HLOOKUP(BO$15,Data_5!$F$10:$BG$42,$A28+2,FALSE)="NO","NO",HLOOKUP(BO$15,Data_5!$F$10:$BG$42,$A28+2,FALSE)/Data_5!$BI23))))))),"")</f>
        <v/>
      </c>
      <c r="BP28" s="1122" t="str">
        <f>IFERROR(IF(VLOOKUP($AL28,Data_5!$B$12:$E$42,4,FALSE)="BASIC","",(IF(HLOOKUP(BP$15,Data_5!$F$10:$BG$42,$A28+2,FALSE)="NO","NO",IF(HLOOKUP(BP$15,Data_5!$F$10:$BG$42,$A28+2,FALSE)="IE","IE",IF(HLOOKUP(BP$15,Data_5!$F$10:$BG$42,$A28+2,FALSE)="NE","NE",IF(HLOOKUP(BP$15,Data_5!$F$10:$BG$42,$A28+2,FALSE)="C","C",IF(HLOOKUP(BP$15,Data_5!$F$10:$BG$42,$A28+2,FALSE)="NO","NO",HLOOKUP(BP$15,Data_5!$F$10:$BG$42,$A28+2,FALSE)/Data_5!$BI23))))))),"")</f>
        <v/>
      </c>
      <c r="BQ28" s="1122" t="str">
        <f>IFERROR(IF(VLOOKUP($AL28,Data_5!$B$12:$E$42,4,FALSE)="BASIC","",(IF(HLOOKUP(BQ$15,Data_5!$F$10:$BG$42,$A28+2,FALSE)="NO","NO",IF(HLOOKUP(BQ$15,Data_5!$F$10:$BG$42,$A28+2,FALSE)="IE","IE",IF(HLOOKUP(BQ$15,Data_5!$F$10:$BG$42,$A28+2,FALSE)="NE","NE",IF(HLOOKUP(BQ$15,Data_5!$F$10:$BG$42,$A28+2,FALSE)="C","C",IF(HLOOKUP(BQ$15,Data_5!$F$10:$BG$42,$A28+2,FALSE)="NO","NO",HLOOKUP(BQ$15,Data_5!$F$10:$BG$42,$A28+2,FALSE)/Data_5!$BI23))))))),"")</f>
        <v/>
      </c>
      <c r="BR28" s="1122" t="str">
        <f>IFERROR(IF(VLOOKUP($AL28,Data_5!$B$12:$E$42,4,FALSE)="BASIC","",(IF(HLOOKUP(BR$15,Data_5!$F$10:$BG$42,$A28+2,FALSE)="NO","NO",IF(HLOOKUP(BR$15,Data_5!$F$10:$BG$42,$A28+2,FALSE)="IE","IE",IF(HLOOKUP(BR$15,Data_5!$F$10:$BG$42,$A28+2,FALSE)="NE","NE",IF(HLOOKUP(BR$15,Data_5!$F$10:$BG$42,$A28+2,FALSE)="C","C",IF(HLOOKUP(BR$15,Data_5!$F$10:$BG$42,$A28+2,FALSE)="NO","NO",HLOOKUP(BR$15,Data_5!$F$10:$BG$42,$A28+2,FALSE)/Data_5!$BI23))))))),"")</f>
        <v/>
      </c>
      <c r="BS28" s="1122" t="str">
        <f>IFERROR(IF(VLOOKUP($AL28,Data_5!$B$12:$E$42,4,FALSE)="BASIC","",(IF(HLOOKUP(BS$15,Data_5!$F$10:$BG$42,$A28+2,FALSE)="NO","NO",IF(HLOOKUP(BS$15,Data_5!$F$10:$BG$42,$A28+2,FALSE)="IE","IE",IF(HLOOKUP(BS$15,Data_5!$F$10:$BG$42,$A28+2,FALSE)="NE","NE",IF(HLOOKUP(BS$15,Data_5!$F$10:$BG$42,$A28+2,FALSE)="C","C",IF(HLOOKUP(BS$15,Data_5!$F$10:$BG$42,$A28+2,FALSE)="NO","NO",HLOOKUP(BS$15,Data_5!$F$10:$BG$42,$A28+2,FALSE)/Data_5!$BI23))))))),"")</f>
        <v/>
      </c>
      <c r="BT28" s="1122" t="str">
        <f>IFERROR(IF(VLOOKUP($AL28,Data_5!$B$12:$E$42,4,FALSE)="BASIC","",(IF(HLOOKUP(BT$15,Data_5!$F$10:$BG$42,$A28+2,FALSE)="NO","NO",IF(HLOOKUP(BT$15,Data_5!$F$10:$BG$42,$A28+2,FALSE)="IE","IE",IF(HLOOKUP(BT$15,Data_5!$F$10:$BG$42,$A28+2,FALSE)="NE","NE",IF(HLOOKUP(BT$15,Data_5!$F$10:$BG$42,$A28+2,FALSE)="C","C",IF(HLOOKUP(BT$15,Data_5!$F$10:$BG$42,$A28+2,FALSE)="NO","NO",HLOOKUP(BT$15,Data_5!$F$10:$BG$42,$A28+2,FALSE)/Data_5!$BI23))))))),"")</f>
        <v/>
      </c>
      <c r="BU28" s="1122" t="str">
        <f>IFERROR(IF(VLOOKUP($AL28,Data_5!$B$12:$E$42,4,FALSE)="BASIC","",(IF(HLOOKUP(BU$15,Data_5!$F$10:$BG$42,$A28+2,FALSE)="NO","NO",IF(HLOOKUP(BU$15,Data_5!$F$10:$BG$42,$A28+2,FALSE)="IE","IE",IF(HLOOKUP(BU$15,Data_5!$F$10:$BG$42,$A28+2,FALSE)="NE","NE",IF(HLOOKUP(BU$15,Data_5!$F$10:$BG$42,$A28+2,FALSE)="C","C",IF(HLOOKUP(BU$15,Data_5!$F$10:$BG$42,$A28+2,FALSE)="NO","NO",HLOOKUP(BU$15,Data_5!$F$10:$BG$42,$A28+2,FALSE)/Data_5!$BI23))))))),"")</f>
        <v/>
      </c>
      <c r="BV28" s="1122" t="str">
        <f>IFERROR(IF(VLOOKUP($AL28,Data_5!$B$12:$E$42,4,FALSE)="BASIC","",(IF(HLOOKUP(BV$15,Data_5!$F$10:$BG$42,$A28+2,FALSE)="NO","NO",IF(HLOOKUP(BV$15,Data_5!$F$10:$BG$42,$A28+2,FALSE)="IE","IE",IF(HLOOKUP(BV$15,Data_5!$F$10:$BG$42,$A28+2,FALSE)="NE","NE",IF(HLOOKUP(BV$15,Data_5!$F$10:$BG$42,$A28+2,FALSE)="C","C",IF(HLOOKUP(BV$15,Data_5!$F$10:$BG$42,$A28+2,FALSE)="NO","NO",HLOOKUP(BV$15,Data_5!$F$10:$BG$42,$A28+2,FALSE)/Data_5!$BI23))))))),"")</f>
        <v/>
      </c>
      <c r="BW28" s="1122" t="str">
        <f>IFERROR(IF(VLOOKUP($AL28,Data_5!$B$12:$E$42,4,FALSE)="BASIC","",(IF(HLOOKUP(BW$15,Data_5!$F$10:$BG$42,$A28+2,FALSE)="NO","NO",IF(HLOOKUP(BW$15,Data_5!$F$10:$BG$42,$A28+2,FALSE)="IE","IE",IF(HLOOKUP(BW$15,Data_5!$F$10:$BG$42,$A28+2,FALSE)="NE","NE",IF(HLOOKUP(BW$15,Data_5!$F$10:$BG$42,$A28+2,FALSE)="C","C",IF(HLOOKUP(BW$15,Data_5!$F$10:$BG$42,$A28+2,FALSE)="NO","NO",HLOOKUP(BW$15,Data_5!$F$10:$BG$42,$A28+2,FALSE)/Data_5!$BI23))))))),"")</f>
        <v/>
      </c>
      <c r="BX28" s="1122" t="str">
        <f>IFERROR(IF(VLOOKUP($AL28,Data_5!$B$12:$E$42,4,FALSE)="BASIC","",(IF(HLOOKUP(BX$15,Data_5!$F$10:$BG$42,$A28+2,FALSE)="NO","NO",IF(HLOOKUP(BX$15,Data_5!$F$10:$BG$42,$A28+2,FALSE)="IE","IE",IF(HLOOKUP(BX$15,Data_5!$F$10:$BG$42,$A28+2,FALSE)="NE","NE",IF(HLOOKUP(BX$15,Data_5!$F$10:$BG$42,$A28+2,FALSE)="C","C",IF(HLOOKUP(BX$15,Data_5!$F$10:$BG$42,$A28+2,FALSE)="NO","NO",HLOOKUP(BX$15,Data_5!$F$10:$BG$42,$A28+2,FALSE)/Data_5!$BI23))))))),"")</f>
        <v/>
      </c>
      <c r="BY28" s="1122" t="str">
        <f>IFERROR(IF(VLOOKUP($AL28,Data_5!$B$12:$E$42,4,FALSE)="BASIC","",(IF(HLOOKUP(BY$15,Data_5!$F$10:$BG$42,$A28+2,FALSE)="NO","NO",IF(HLOOKUP(BY$15,Data_5!$F$10:$BG$42,$A28+2,FALSE)="IE","IE",IF(HLOOKUP(BY$15,Data_5!$F$10:$BG$42,$A28+2,FALSE)="NE","NE",IF(HLOOKUP(BY$15,Data_5!$F$10:$BG$42,$A28+2,FALSE)="C","C",IF(HLOOKUP(BY$15,Data_5!$F$10:$BG$42,$A28+2,FALSE)="NO","NO",HLOOKUP(BY$15,Data_5!$F$10:$BG$42,$A28+2,FALSE)/Data_5!$BI23))))))),"")</f>
        <v/>
      </c>
      <c r="BZ28" s="1122" t="str">
        <f>IFERROR(IF(VLOOKUP($AL28,Data_5!$B$12:$E$42,4,FALSE)="BASIC","",(IF(HLOOKUP(BZ$15,Data_5!$F$10:$BG$42,$A28+2,FALSE)="NO","NO",IF(HLOOKUP(BZ$15,Data_5!$F$10:$BG$42,$A28+2,FALSE)="IE","IE",IF(HLOOKUP(BZ$15,Data_5!$F$10:$BG$42,$A28+2,FALSE)="NE","NE",IF(HLOOKUP(BZ$15,Data_5!$F$10:$BG$42,$A28+2,FALSE)="C","C",IF(HLOOKUP(BZ$15,Data_5!$F$10:$BG$42,$A28+2,FALSE)="NO","NO",HLOOKUP(BZ$15,Data_5!$F$10:$BG$42,$A28+2,FALSE)/Data_5!$BI23))))))),"")</f>
        <v/>
      </c>
      <c r="CA28" s="1122" t="str">
        <f>IFERROR(IF(VLOOKUP($AL28,Data_5!$B$12:$E$42,4,FALSE)="BASIC","",(IF(HLOOKUP(CA$15,Data_5!$F$10:$BG$42,$A28+2,FALSE)="NO","NO",IF(HLOOKUP(CA$15,Data_5!$F$10:$BG$42,$A28+2,FALSE)="IE","IE",IF(HLOOKUP(CA$15,Data_5!$F$10:$BG$42,$A28+2,FALSE)="NE","NE",IF(HLOOKUP(CA$15,Data_5!$F$10:$BG$42,$A28+2,FALSE)="C","C",IF(HLOOKUP(CA$15,Data_5!$F$10:$BG$42,$A28+2,FALSE)="NO","NO",HLOOKUP(CA$15,Data_5!$F$10:$BG$42,$A28+2,FALSE)/Data_5!$BI23))))))),"")</f>
        <v/>
      </c>
      <c r="CB28" s="1122" t="str">
        <f>IFERROR(IF(VLOOKUP($AL28,Data_5!$B$12:$E$42,4,FALSE)="BASIC","",(IF(HLOOKUP(CB$15,Data_5!$F$10:$BG$42,$A28+2,FALSE)="NO","NO",IF(HLOOKUP(CB$15,Data_5!$F$10:$BG$42,$A28+2,FALSE)="IE","IE",IF(HLOOKUP(CB$15,Data_5!$F$10:$BG$42,$A28+2,FALSE)="NE","NE",IF(HLOOKUP(CB$15,Data_5!$F$10:$BG$42,$A28+2,FALSE)="C","C",IF(HLOOKUP(CB$15,Data_5!$F$10:$BG$42,$A28+2,FALSE)="NO","NO",HLOOKUP(CB$15,Data_5!$F$10:$BG$42,$A28+2,FALSE)/Data_5!$BI23))))))),"")</f>
        <v/>
      </c>
      <c r="CC28" s="1122" t="str">
        <f>IFERROR(IF(VLOOKUP($AL28,Data_5!$B$12:$E$42,4,FALSE)="BASIC","",(IF(HLOOKUP(CC$15,Data_5!$F$10:$BG$42,$A28+2,FALSE)="NO","NO",IF(HLOOKUP(CC$15,Data_5!$F$10:$BG$42,$A28+2,FALSE)="IE","IE",IF(HLOOKUP(CC$15,Data_5!$F$10:$BG$42,$A28+2,FALSE)="NE","NE",IF(HLOOKUP(CC$15,Data_5!$F$10:$BG$42,$A28+2,FALSE)="C","C",IF(HLOOKUP(CC$15,Data_5!$F$10:$BG$42,$A28+2,FALSE)="NO","NO",HLOOKUP(CC$15,Data_5!$F$10:$BG$42,$A28+2,FALSE)/Data_5!$BI23))))))),"")</f>
        <v/>
      </c>
      <c r="CD28" s="1122" t="str">
        <f>IFERROR(IF(VLOOKUP($AL28,Data_5!$B$12:$E$42,4,FALSE)="BASIC","",(IF(HLOOKUP(CD$15,Data_5!$F$10:$BG$42,$A28+2,FALSE)="NO","NO",IF(HLOOKUP(CD$15,Data_5!$F$10:$BG$42,$A28+2,FALSE)="IE","IE",IF(HLOOKUP(CD$15,Data_5!$F$10:$BG$42,$A28+2,FALSE)="NE","NE",IF(HLOOKUP(CD$15,Data_5!$F$10:$BG$42,$A28+2,FALSE)="C","C",IF(HLOOKUP(CD$15,Data_5!$F$10:$BG$42,$A28+2,FALSE)="NO","NO",HLOOKUP(CD$15,Data_5!$F$10:$BG$42,$A28+2,FALSE)/Data_5!$BI23))))))),"")</f>
        <v/>
      </c>
      <c r="CE28" s="1122" t="str">
        <f>IFERROR(IF(VLOOKUP($AL28,Data_5!$B$12:$E$42,4,FALSE)="BASIC","",(IF(HLOOKUP(CE$15,Data_5!$F$10:$BG$42,$A28+2,FALSE)="NO","NO",IF(HLOOKUP(CE$15,Data_5!$F$10:$BG$42,$A28+2,FALSE)="IE","IE",IF(HLOOKUP(CE$15,Data_5!$F$10:$BG$42,$A28+2,FALSE)="NE","NE",IF(HLOOKUP(CE$15,Data_5!$F$10:$BG$42,$A28+2,FALSE)="C","C",IF(HLOOKUP(CE$15,Data_5!$F$10:$BG$42,$A28+2,FALSE)="NO","NO",HLOOKUP(CE$15,Data_5!$F$10:$BG$42,$A28+2,FALSE)/Data_5!$BI23))))))),"")</f>
        <v/>
      </c>
      <c r="CF28" s="1122" t="str">
        <f>IFERROR(IF(VLOOKUP($AL28,Data_5!$B$12:$E$42,4,FALSE)="BASIC","",(IF(HLOOKUP(CF$15,Data_5!$F$10:$BG$42,$A28+2,FALSE)="NO","NO",IF(HLOOKUP(CF$15,Data_5!$F$10:$BG$42,$A28+2,FALSE)="IE","IE",IF(HLOOKUP(CF$15,Data_5!$F$10:$BG$42,$A28+2,FALSE)="NE","NE",IF(HLOOKUP(CF$15,Data_5!$F$10:$BG$42,$A28+2,FALSE)="C","C",IF(HLOOKUP(CF$15,Data_5!$F$10:$BG$42,$A28+2,FALSE)="NO","NO",HLOOKUP(CF$15,Data_5!$F$10:$BG$42,$A28+2,FALSE)/Data_5!$BI23))))))),"")</f>
        <v/>
      </c>
      <c r="CG28" s="1122" t="str">
        <f>IFERROR(IF(VLOOKUP($AL28,Data_5!$B$12:$E$42,4,FALSE)="BASIC","",(IF(HLOOKUP(CG$15,Data_5!$F$10:$BG$42,$A28+2,FALSE)="NO","NO",IF(HLOOKUP(CG$15,Data_5!$F$10:$BG$42,$A28+2,FALSE)="IE","IE",IF(HLOOKUP(CG$15,Data_5!$F$10:$BG$42,$A28+2,FALSE)="NE","NE",IF(HLOOKUP(CG$15,Data_5!$F$10:$BG$42,$A28+2,FALSE)="C","C",IF(HLOOKUP(CG$15,Data_5!$F$10:$BG$42,$A28+2,FALSE)="NO","NO",HLOOKUP(CG$15,Data_5!$F$10:$BG$42,$A28+2,FALSE)/Data_5!$BI23))))))),"")</f>
        <v/>
      </c>
      <c r="CH28" s="1122" t="str">
        <f>IFERROR(IF(VLOOKUP($AL28,Data_5!$B$12:$E$42,4,FALSE)="BASIC","",(IF(HLOOKUP(CH$15,Data_5!$F$10:$BG$42,$A28+2,FALSE)="NO","NO",IF(HLOOKUP(CH$15,Data_5!$F$10:$BG$42,$A28+2,FALSE)="IE","IE",IF(HLOOKUP(CH$15,Data_5!$F$10:$BG$42,$A28+2,FALSE)="NE","NE",IF(HLOOKUP(CH$15,Data_5!$F$10:$BG$42,$A28+2,FALSE)="C","C",IF(HLOOKUP(CH$15,Data_5!$F$10:$BG$42,$A28+2,FALSE)="NO","NO",HLOOKUP(CH$15,Data_5!$F$10:$BG$42,$A28+2,FALSE)/Data_5!$BI23))))))),"")</f>
        <v/>
      </c>
      <c r="CI28" s="1122" t="str">
        <f>IFERROR(IF(VLOOKUP($AL28,Data_5!$B$12:$E$42,4,FALSE)="BASIC","",(IF(HLOOKUP(CI$15,Data_5!$F$10:$BG$42,$A28+2,FALSE)="NO","NO",IF(HLOOKUP(CI$15,Data_5!$F$10:$BG$42,$A28+2,FALSE)="IE","IE",IF(HLOOKUP(CI$15,Data_5!$F$10:$BG$42,$A28+2,FALSE)="NE","NE",IF(HLOOKUP(CI$15,Data_5!$F$10:$BG$42,$A28+2,FALSE)="C","C",IF(HLOOKUP(CI$15,Data_5!$F$10:$BG$42,$A28+2,FALSE)="NO","NO",HLOOKUP(CI$15,Data_5!$F$10:$BG$42,$A28+2,FALSE)/Data_5!$BI23))))))),"")</f>
        <v/>
      </c>
      <c r="CJ28" s="1122" t="str">
        <f>IFERROR(IF(VLOOKUP($AL28,Data_5!$B$12:$E$42,4,FALSE)="BASIC","",(IF(HLOOKUP(CJ$15,Data_5!$F$10:$BG$42,$A28+2,FALSE)="NO","NO",IF(HLOOKUP(CJ$15,Data_5!$F$10:$BG$42,$A28+2,FALSE)="IE","IE",IF(HLOOKUP(CJ$15,Data_5!$F$10:$BG$42,$A28+2,FALSE)="NE","NE",IF(HLOOKUP(CJ$15,Data_5!$F$10:$BG$42,$A28+2,FALSE)="C","C",IF(HLOOKUP(CJ$15,Data_5!$F$10:$BG$42,$A28+2,FALSE)="NO","NO",HLOOKUP(CJ$15,Data_5!$F$10:$BG$42,$A28+2,FALSE)/Data_5!$BI23))))))),"")</f>
        <v/>
      </c>
      <c r="CL28" s="2628" t="str">
        <f t="shared" si="2"/>
        <v>London</v>
      </c>
      <c r="CM28" s="2629"/>
      <c r="CN28" s="1100">
        <f t="shared" si="3"/>
        <v>2013</v>
      </c>
      <c r="CO28" s="1122">
        <f>IFERROR(IF(HLOOKUP(CO$15,Data_5!$F$10:$BG$42,$A28+2,FALSE)="NO","NO",IF(HLOOKUP(CO$15,Data_5!$F$10:$BG$42,$A28+2,FALSE)="IE","IE",IF(HLOOKUP(CO$15,Data_5!$F$10:$BG$42,$A28+2,FALSE)="NE","NE",IF(HLOOKUP(CO$15,Data_5!$F$10:$BG$42,$A28+2,FALSE)="C","C",IF(HLOOKUP(CO$15,Data_5!$F$10:$BG$42,$A28+2,FALSE)="NO","NO",HLOOKUP(CO$15,Data_5!$F$10:$BG$42,$A28+2,FALSE)/Data_5!$BK23))))),"")</f>
        <v>0.36392927638250172</v>
      </c>
      <c r="CP28" s="1122">
        <f>IFERROR(IF(HLOOKUP(CP$15,Data_5!$F$10:$BG$42,$A28+2,FALSE)="NO","NO",IF(HLOOKUP(CP$15,Data_5!$F$10:$BG$42,$A28+2,FALSE)="IE","IE",IF(HLOOKUP(CP$15,Data_5!$F$10:$BG$42,$A28+2,FALSE)="NE","NE",IF(HLOOKUP(CP$15,Data_5!$F$10:$BG$42,$A28+2,FALSE)="C","C",IF(HLOOKUP(CP$15,Data_5!$F$10:$BG$42,$A28+2,FALSE)="NO","NO",HLOOKUP(CP$15,Data_5!$F$10:$BG$42,$A28+2,FALSE)/Data_5!$BK23))))),"")</f>
        <v>0.23458899499677932</v>
      </c>
      <c r="CQ28" s="1122" t="str">
        <f>IFERROR(IF(HLOOKUP(CQ$15,Data_5!$F$10:$BG$42,$A28+2,FALSE)="NO","NO",IF(HLOOKUP(CQ$15,Data_5!$F$10:$BG$42,$A28+2,FALSE)="IE","IE",IF(HLOOKUP(CQ$15,Data_5!$F$10:$BG$42,$A28+2,FALSE)="NE","NE",IF(HLOOKUP(CQ$15,Data_5!$F$10:$BG$42,$A28+2,FALSE)="C","C",IF(HLOOKUP(CQ$15,Data_5!$F$10:$BG$42,$A28+2,FALSE)="NO","NO",HLOOKUP(CQ$15,Data_5!$F$10:$BG$42,$A28+2,FALSE)/Data_5!$BK23))))),"")</f>
        <v>IE</v>
      </c>
      <c r="CR28" s="1122" t="str">
        <f>IFERROR(IF(HLOOKUP(CR$15,Data_5!$F$10:$BG$42,$A28+2,FALSE)="NO","NO",IF(HLOOKUP(CR$15,Data_5!$F$10:$BG$42,$A28+2,FALSE)="IE","IE",IF(HLOOKUP(CR$15,Data_5!$F$10:$BG$42,$A28+2,FALSE)="NE","NE",IF(HLOOKUP(CR$15,Data_5!$F$10:$BG$42,$A28+2,FALSE)="C","C",IF(HLOOKUP(CR$15,Data_5!$F$10:$BG$42,$A28+2,FALSE)="NO","NO",HLOOKUP(CR$15,Data_5!$F$10:$BG$42,$A28+2,FALSE)/Data_5!$BK23))))),"")</f>
        <v>IE</v>
      </c>
      <c r="CS28" s="1122">
        <f>IFERROR(IF(HLOOKUP(CS$15,Data_5!$F$10:$BG$42,$A28+2,FALSE)="NO","NO",IF(HLOOKUP(CS$15,Data_5!$F$10:$BG$42,$A28+2,FALSE)="IE","IE",IF(HLOOKUP(CS$15,Data_5!$F$10:$BG$42,$A28+2,FALSE)="NE","NE",IF(HLOOKUP(CS$15,Data_5!$F$10:$BG$42,$A28+2,FALSE)="C","C",IF(HLOOKUP(CS$15,Data_5!$F$10:$BG$42,$A28+2,FALSE)="NO","NO",HLOOKUP(CS$15,Data_5!$F$10:$BG$42,$A28+2,FALSE)/Data_5!$BK23))))),"")</f>
        <v>0.111751622559945</v>
      </c>
      <c r="CT28" s="1122" t="str">
        <f>IFERROR(IF(HLOOKUP(CT$15,Data_5!$F$10:$BG$42,$A28+2,FALSE)="NO","NO",IF(HLOOKUP(CT$15,Data_5!$F$10:$BG$42,$A28+2,FALSE)="IE","IE",IF(HLOOKUP(CT$15,Data_5!$F$10:$BG$42,$A28+2,FALSE)="NE","NE",IF(HLOOKUP(CT$15,Data_5!$F$10:$BG$42,$A28+2,FALSE)="C","C",IF(HLOOKUP(CT$15,Data_5!$F$10:$BG$42,$A28+2,FALSE)="NO","NO",HLOOKUP(CT$15,Data_5!$F$10:$BG$42,$A28+2,FALSE)/Data_5!$BK23))))),"")</f>
        <v>IE</v>
      </c>
      <c r="CU28" s="1122" t="str">
        <f>IFERROR(IF(HLOOKUP(CU$15,Data_5!$F$10:$BG$42,$A28+2,FALSE)="NO","NO",IF(HLOOKUP(CU$15,Data_5!$F$10:$BG$42,$A28+2,FALSE)="IE","IE",IF(HLOOKUP(CU$15,Data_5!$F$10:$BG$42,$A28+2,FALSE)="NE","NE",IF(HLOOKUP(CU$15,Data_5!$F$10:$BG$42,$A28+2,FALSE)="C","C",IF(HLOOKUP(CU$15,Data_5!$F$10:$BG$42,$A28+2,FALSE)="NO","NO",HLOOKUP(CU$15,Data_5!$F$10:$BG$42,$A28+2,FALSE)/Data_5!$BK23))))),"")</f>
        <v>NO</v>
      </c>
      <c r="CV28" s="1122" t="str">
        <f>IFERROR(IF(HLOOKUP(CV$15,Data_5!$F$10:$BG$42,$A28+2,FALSE)="NO","NO",IF(HLOOKUP(CV$15,Data_5!$F$10:$BG$42,$A28+2,FALSE)="IE","IE",IF(HLOOKUP(CV$15,Data_5!$F$10:$BG$42,$A28+2,FALSE)="NE","NE",IF(HLOOKUP(CV$15,Data_5!$F$10:$BG$42,$A28+2,FALSE)="C","C",IF(HLOOKUP(CV$15,Data_5!$F$10:$BG$42,$A28+2,FALSE)="NO","NO",HLOOKUP(CV$15,Data_5!$F$10:$BG$42,$A28+2,FALSE)/Data_5!$BK23))))),"")</f>
        <v>NO</v>
      </c>
      <c r="CW28" s="1122">
        <f>IFERROR(IF(HLOOKUP(CW$15,Data_5!$F$10:$BG$42,$A28+2,FALSE)="NO","NO",IF(HLOOKUP(CW$15,Data_5!$F$10:$BG$42,$A28+2,FALSE)="IE","IE",IF(HLOOKUP(CW$15,Data_5!$F$10:$BG$42,$A28+2,FALSE)="NE","NE",IF(HLOOKUP(CW$15,Data_5!$F$10:$BG$42,$A28+2,FALSE)="C","C",IF(HLOOKUP(CW$15,Data_5!$F$10:$BG$42,$A28+2,FALSE)="NO","NO",HLOOKUP(CW$15,Data_5!$F$10:$BG$42,$A28+2,FALSE)/Data_5!$BK23))))),"")</f>
        <v>5.1482887811504091E-4</v>
      </c>
      <c r="CX28" s="1122">
        <f>IFERROR(IF(HLOOKUP(CX$15,Data_5!$F$10:$BG$42,$A28+2,FALSE)="NO","NO",IF(HLOOKUP(CX$15,Data_5!$F$10:$BG$42,$A28+2,FALSE)="IE","IE",IF(HLOOKUP(CX$15,Data_5!$F$10:$BG$42,$A28+2,FALSE)="NE","NE",IF(HLOOKUP(CX$15,Data_5!$F$10:$BG$42,$A28+2,FALSE)="C","C",IF(HLOOKUP(CX$15,Data_5!$F$10:$BG$42,$A28+2,FALSE)="NO","NO",HLOOKUP(CX$15,Data_5!$F$10:$BG$42,$A28+2,FALSE)/Data_5!$BK23))))),"")</f>
        <v>0.26356408506715617</v>
      </c>
      <c r="CY28" s="1122">
        <f>IFERROR(IF(HLOOKUP(CY$15,Data_5!$F$10:$BG$42,$A28+2,FALSE)="NO","NO",IF(HLOOKUP(CY$15,Data_5!$F$10:$BG$42,$A28+2,FALSE)="IE","IE",IF(HLOOKUP(CY$15,Data_5!$F$10:$BG$42,$A28+2,FALSE)="NE","NE",IF(HLOOKUP(CY$15,Data_5!$F$10:$BG$42,$A28+2,FALSE)="C","C",IF(HLOOKUP(CY$15,Data_5!$F$10:$BG$42,$A28+2,FALSE)="NO","NO",HLOOKUP(CY$15,Data_5!$F$10:$BG$42,$A28+2,FALSE)/Data_5!$BK23))))),"")</f>
        <v>5.8476566420728867E-3</v>
      </c>
      <c r="CZ28" s="1122">
        <f>IFERROR(IF(HLOOKUP(CZ$15,Data_5!$F$10:$BG$42,$A28+2,FALSE)="NO","NO",IF(HLOOKUP(CZ$15,Data_5!$F$10:$BG$42,$A28+2,FALSE)="IE","IE",IF(HLOOKUP(CZ$15,Data_5!$F$10:$BG$42,$A28+2,FALSE)="NE","NE",IF(HLOOKUP(CZ$15,Data_5!$F$10:$BG$42,$A28+2,FALSE)="C","C",IF(HLOOKUP(CZ$15,Data_5!$F$10:$BG$42,$A28+2,FALSE)="NO","NO",HLOOKUP(CZ$15,Data_5!$F$10:$BG$42,$A28+2,FALSE)/Data_5!$BK23))))),"")</f>
        <v>8.8479166348610645E-4</v>
      </c>
      <c r="DA28" s="1122" t="str">
        <f>IFERROR(IF(HLOOKUP(DA$15,Data_5!$F$10:$BG$42,$A28+2,FALSE)="NO","NO",IF(HLOOKUP(DA$15,Data_5!$F$10:$BG$42,$A28+2,FALSE)="IE","IE",IF(HLOOKUP(DA$15,Data_5!$F$10:$BG$42,$A28+2,FALSE)="NE","NE",IF(HLOOKUP(DA$15,Data_5!$F$10:$BG$42,$A28+2,FALSE)="C","C",IF(HLOOKUP(DA$15,Data_5!$F$10:$BG$42,$A28+2,FALSE)="NO","NO",HLOOKUP(DA$15,Data_5!$F$10:$BG$42,$A28+2,FALSE)/Data_5!$BK23))))),"")</f>
        <v>IE</v>
      </c>
      <c r="DB28" s="1122">
        <f>IFERROR(IF(HLOOKUP(DB$15,Data_5!$F$10:$BG$42,$A28+2,FALSE)="NO","NO",IF(HLOOKUP(DB$15,Data_5!$F$10:$BG$42,$A28+2,FALSE)="IE","IE",IF(HLOOKUP(DB$15,Data_5!$F$10:$BG$42,$A28+2,FALSE)="NE","NE",IF(HLOOKUP(DB$15,Data_5!$F$10:$BG$42,$A28+2,FALSE)="C","C",IF(HLOOKUP(DB$15,Data_5!$F$10:$BG$42,$A28+2,FALSE)="NO","NO",HLOOKUP(DB$15,Data_5!$F$10:$BG$42,$A28+2,FALSE)/Data_5!$BK23))))),"")</f>
        <v>1.5789855892577071E-3</v>
      </c>
      <c r="DC28" s="1122">
        <f>IFERROR(IF(HLOOKUP(DC$15,Data_5!$F$10:$BG$42,$A28+2,FALSE)="NO","NO",IF(HLOOKUP(DC$15,Data_5!$F$10:$BG$42,$A28+2,FALSE)="IE","IE",IF(HLOOKUP(DC$15,Data_5!$F$10:$BG$42,$A28+2,FALSE)="NE","NE",IF(HLOOKUP(DC$15,Data_5!$F$10:$BG$42,$A28+2,FALSE)="C","C",IF(HLOOKUP(DC$15,Data_5!$F$10:$BG$42,$A28+2,FALSE)="NO","NO",HLOOKUP(DC$15,Data_5!$F$10:$BG$42,$A28+2,FALSE)/Data_5!$BK23))))),"")</f>
        <v>1.2704678797244753E-2</v>
      </c>
      <c r="DD28" s="1122" t="str">
        <f>IFERROR(IF(HLOOKUP(DD$15,Data_5!$F$10:$BG$42,$A28+2,FALSE)="NO","NO",IF(HLOOKUP(DD$15,Data_5!$F$10:$BG$42,$A28+2,FALSE)="IE","IE",IF(HLOOKUP(DD$15,Data_5!$F$10:$BG$42,$A28+2,FALSE)="NE","NE",IF(HLOOKUP(DD$15,Data_5!$F$10:$BG$42,$A28+2,FALSE)="C","C",IF(HLOOKUP(DD$15,Data_5!$F$10:$BG$42,$A28+2,FALSE)="NO","NO",HLOOKUP(DD$15,Data_5!$F$10:$BG$42,$A28+2,FALSE)/Data_5!$BK23))))),"")</f>
        <v>NO</v>
      </c>
      <c r="DE28" s="1122">
        <f>IFERROR(IF(HLOOKUP(DE$15,Data_5!$F$10:$BG$42,$A28+2,FALSE)="NO","NO",IF(HLOOKUP(DE$15,Data_5!$F$10:$BG$42,$A28+2,FALSE)="IE","IE",IF(HLOOKUP(DE$15,Data_5!$F$10:$BG$42,$A28+2,FALSE)="NE","NE",IF(HLOOKUP(DE$15,Data_5!$F$10:$BG$42,$A28+2,FALSE)="C","C",IF(HLOOKUP(DE$15,Data_5!$F$10:$BG$42,$A28+2,FALSE)="NO","NO",HLOOKUP(DE$15,Data_5!$F$10:$BG$42,$A28+2,FALSE)/Data_5!$BK23))))),"")</f>
        <v>1.0428073704118378E-6</v>
      </c>
      <c r="DF28" s="1122" t="str">
        <f>IFERROR(IF(HLOOKUP(DF$15,Data_5!$F$10:$BG$42,$A28+2,FALSE)="NO","NO",IF(HLOOKUP(DF$15,Data_5!$F$10:$BG$42,$A28+2,FALSE)="IE","IE",IF(HLOOKUP(DF$15,Data_5!$F$10:$BG$42,$A28+2,FALSE)="NE","NE",IF(HLOOKUP(DF$15,Data_5!$F$10:$BG$42,$A28+2,FALSE)="C","C",IF(HLOOKUP(DF$15,Data_5!$F$10:$BG$42,$A28+2,FALSE)="NO","NO",HLOOKUP(DF$15,Data_5!$F$10:$BG$42,$A28+2,FALSE)/Data_5!$BK23))))),"")</f>
        <v>NO</v>
      </c>
      <c r="DG28" s="1122">
        <f>IFERROR(IF(HLOOKUP(DG$15,Data_5!$F$10:$BG$42,$A28+2,FALSE)="NO","NO",IF(HLOOKUP(DG$15,Data_5!$F$10:$BG$42,$A28+2,FALSE)="IE","IE",IF(HLOOKUP(DG$15,Data_5!$F$10:$BG$42,$A28+2,FALSE)="NE","NE",IF(HLOOKUP(DG$15,Data_5!$F$10:$BG$42,$A28+2,FALSE)="C","C",IF(HLOOKUP(DG$15,Data_5!$F$10:$BG$42,$A28+2,FALSE)="NO","NO",HLOOKUP(DG$15,Data_5!$F$10:$BG$42,$A28+2,FALSE)/Data_5!$BK23))))),"")</f>
        <v>4.3930859463160062E-3</v>
      </c>
      <c r="DH28" s="1122" t="str">
        <f>IFERROR(IF(HLOOKUP(DH$15,Data_5!$F$10:$BG$42,$A28+2,FALSE)="NO","NO",IF(HLOOKUP(DH$15,Data_5!$F$10:$BG$42,$A28+2,FALSE)="IE","IE",IF(HLOOKUP(DH$15,Data_5!$F$10:$BG$42,$A28+2,FALSE)="NE","NE",IF(HLOOKUP(DH$15,Data_5!$F$10:$BG$42,$A28+2,FALSE)="C","C",IF(HLOOKUP(DH$15,Data_5!$F$10:$BG$42,$A28+2,FALSE)="NO","NO",HLOOKUP(DH$15,Data_5!$F$10:$BG$42,$A28+2,FALSE)/Data_5!$BK23))))),"")</f>
        <v>NO</v>
      </c>
      <c r="DI28" s="1122">
        <f>IFERROR(IF(HLOOKUP(DI$15,Data_5!$F$10:$BG$42,$A28+2,FALSE)="NO","NO",IF(HLOOKUP(DI$15,Data_5!$F$10:$BG$42,$A28+2,FALSE)="IE","IE",IF(HLOOKUP(DI$15,Data_5!$F$10:$BG$42,$A28+2,FALSE)="NE","NE",IF(HLOOKUP(DI$15,Data_5!$F$10:$BG$42,$A28+2,FALSE)="C","C",IF(HLOOKUP(DI$15,Data_5!$F$10:$BG$42,$A28+2,FALSE)="NO","NO",HLOOKUP(DI$15,Data_5!$F$10:$BG$42,$A28+2,FALSE)/Data_5!$BK23))))),"")</f>
        <v>2.409506697549459E-4</v>
      </c>
      <c r="DJ28" s="1122" t="str">
        <f>IFERROR(IF(HLOOKUP(DJ$15,Data_5!$F$10:$BG$42,$A28+2,FALSE)="NO","NO",IF(HLOOKUP(DJ$15,Data_5!$F$10:$BG$42,$A28+2,FALSE)="IE","IE",IF(HLOOKUP(DJ$15,Data_5!$F$10:$BG$42,$A28+2,FALSE)="NE","NE",IF(HLOOKUP(DJ$15,Data_5!$F$10:$BG$42,$A28+2,FALSE)="C","C",IF(HLOOKUP(DJ$15,Data_5!$F$10:$BG$42,$A28+2,FALSE)="NO","NO",HLOOKUP(DJ$15,Data_5!$F$10:$BG$42,$A28+2,FALSE)/Data_5!$BK23))))),"")</f>
        <v>NO</v>
      </c>
      <c r="DK28" s="1122" t="str">
        <f>IFERROR(IF(HLOOKUP(DK$15,Data_5!$F$10:$BG$42,$A28+2,FALSE)="NO","NO",IF(HLOOKUP(DK$15,Data_5!$F$10:$BG$42,$A28+2,FALSE)="IE","IE",IF(HLOOKUP(DK$15,Data_5!$F$10:$BG$42,$A28+2,FALSE)="NE","NE",IF(HLOOKUP(DK$15,Data_5!$F$10:$BG$42,$A28+2,FALSE)="C","C",IF(HLOOKUP(DK$15,Data_5!$F$10:$BG$42,$A28+2,FALSE)="NO","NO",HLOOKUP(DK$15,Data_5!$F$10:$BG$42,$A28+2,FALSE)/Data_5!$BK23))))),"")</f>
        <v>NE</v>
      </c>
      <c r="DL28" s="1122" t="str">
        <f>IFERROR(IF(HLOOKUP(DL$15,Data_5!$F$10:$BG$42,$A28+2,FALSE)="NO","NO",IF(HLOOKUP(DL$15,Data_5!$F$10:$BG$42,$A28+2,FALSE)="IE","IE",IF(HLOOKUP(DL$15,Data_5!$F$10:$BG$42,$A28+2,FALSE)="NE","NE",IF(HLOOKUP(DL$15,Data_5!$F$10:$BG$42,$A28+2,FALSE)="C","C",IF(HLOOKUP(DL$15,Data_5!$F$10:$BG$42,$A28+2,FALSE)="NO","NO",HLOOKUP(DL$15,Data_5!$F$10:$BG$42,$A28+2,FALSE)/Data_5!$BK23))))),"")</f>
        <v>NE</v>
      </c>
      <c r="DM28" s="1122" t="str">
        <f>IFERROR(IF(HLOOKUP(DM$15,Data_5!$F$10:$BG$42,$A28+2,FALSE)="NO","NO",IF(HLOOKUP(DM$15,Data_5!$F$10:$BG$42,$A28+2,FALSE)="IE","IE",IF(HLOOKUP(DM$15,Data_5!$F$10:$BG$42,$A28+2,FALSE)="NE","NE",IF(HLOOKUP(DM$15,Data_5!$F$10:$BG$42,$A28+2,FALSE)="C","C",IF(HLOOKUP(DM$15,Data_5!$F$10:$BG$42,$A28+2,FALSE)="NO","NO",HLOOKUP(DM$15,Data_5!$F$10:$BG$42,$A28+2,FALSE)/Data_5!$BK23))))),"")</f>
        <v>NE</v>
      </c>
      <c r="DN28" s="1122" t="str">
        <f>IFERROR(IF(HLOOKUP(DN$15,Data_5!$F$10:$BG$42,$A28+2,FALSE)="NO","NO",IF(HLOOKUP(DN$15,Data_5!$F$10:$BG$42,$A28+2,FALSE)="IE","IE",IF(HLOOKUP(DN$15,Data_5!$F$10:$BG$42,$A28+2,FALSE)="NE","NE",IF(HLOOKUP(DN$15,Data_5!$F$10:$BG$42,$A28+2,FALSE)="C","C",IF(HLOOKUP(DN$15,Data_5!$F$10:$BG$42,$A28+2,FALSE)="NO","NO",HLOOKUP(DN$15,Data_5!$F$10:$BG$42,$A28+2,FALSE)/Data_5!$BK23))))),"")</f>
        <v>NE</v>
      </c>
      <c r="DO28" s="1122" t="str">
        <f>IFERROR(IF(HLOOKUP(DO$15,Data_5!$F$10:$BG$42,$A28+2,FALSE)="NO","NO",IF(HLOOKUP(DO$15,Data_5!$F$10:$BG$42,$A28+2,FALSE)="IE","IE",IF(HLOOKUP(DO$15,Data_5!$F$10:$BG$42,$A28+2,FALSE)="NE","NE",IF(HLOOKUP(DO$15,Data_5!$F$10:$BG$42,$A28+2,FALSE)="C","C",IF(HLOOKUP(DO$15,Data_5!$F$10:$BG$42,$A28+2,FALSE)="NO","NO",HLOOKUP(DO$15,Data_5!$F$10:$BG$42,$A28+2,FALSE)/Data_5!$BK23))))),"")</f>
        <v>NE</v>
      </c>
    </row>
    <row r="29" spans="1:119" s="15" customFormat="1" ht="15" customHeight="1">
      <c r="A29" s="1789">
        <v>13</v>
      </c>
      <c r="B29" s="2628" t="str">
        <f>IF(Data_5!B24&lt;&gt;"",Data_5!B24,"")</f>
        <v>Madrid</v>
      </c>
      <c r="C29" s="2629"/>
      <c r="D29" s="1462">
        <f>IFERROR(VLOOKUP($B29,Data_5!$B$12:$C$42,2,FALSE),"")</f>
        <v>2013</v>
      </c>
      <c r="E29" s="1122">
        <f>IFERROR(IF(HLOOKUP(E$15,Data_5!$F$10:$BG$42,$A29+2,FALSE)="NO","NO",IF(HLOOKUP(E$15,Data_5!$F$10:$BG$42,$A29+2,FALSE)="IE","IE",IF(HLOOKUP(E$15,Data_5!$F$10:$BG$42,$A29+2,FALSE)="NE","NE",IF(HLOOKUP(E$15,Data_5!$F$10:$BG$42,$A29+2,FALSE)="C","C",IF(HLOOKUP(E$15,Data_5!$F$10:$BG$42,$A29+2,FALSE)="NO","NO",HLOOKUP(E$15,Data_5!$F$10:$BG$42,$A29+2,FALSE)/Data_5!$BH24))))),"")</f>
        <v>0.18375350293609738</v>
      </c>
      <c r="F29" s="1122">
        <f>IFERROR(IF(HLOOKUP(F$15,Data_5!$F$10:$BG$42,$A29+2,FALSE)="NO","NO",IF(HLOOKUP(F$15,Data_5!$F$10:$BG$42,$A29+2,FALSE)="IE","IE",IF(HLOOKUP(F$15,Data_5!$F$10:$BG$42,$A29+2,FALSE)="NE","NE",IF(HLOOKUP(F$15,Data_5!$F$10:$BG$42,$A29+2,FALSE)="C","C",IF(HLOOKUP(F$15,Data_5!$F$10:$BG$42,$A29+2,FALSE)="NO","NO",HLOOKUP(F$15,Data_5!$F$10:$BG$42,$A29+2,FALSE)/Data_5!$BH24))))),"")</f>
        <v>0.12127094993510865</v>
      </c>
      <c r="G29" s="1122">
        <f>IFERROR(IF(HLOOKUP(G$15,Data_5!$F$10:$BG$42,$A29+2,FALSE)="NO","NO",IF(HLOOKUP(G$15,Data_5!$F$10:$BG$42,$A29+2,FALSE)="IE","IE",IF(HLOOKUP(G$15,Data_5!$F$10:$BG$42,$A29+2,FALSE)="NE","NE",IF(HLOOKUP(G$15,Data_5!$F$10:$BG$42,$A29+2,FALSE)="C","C",IF(HLOOKUP(G$15,Data_5!$F$10:$BG$42,$A29+2,FALSE)="NO","NO",HLOOKUP(G$15,Data_5!$F$10:$BG$42,$A29+2,FALSE)/Data_5!$BH24))))),"")</f>
        <v>7.7447930461069903E-2</v>
      </c>
      <c r="H29" s="1122">
        <f>IFERROR(IF(HLOOKUP(H$15,Data_5!$F$10:$BG$42,$A29+2,FALSE)="NO","NO",IF(HLOOKUP(H$15,Data_5!$F$10:$BG$42,$A29+2,FALSE)="IE","IE",IF(HLOOKUP(H$15,Data_5!$F$10:$BG$42,$A29+2,FALSE)="NE","NE",IF(HLOOKUP(H$15,Data_5!$F$10:$BG$42,$A29+2,FALSE)="C","C",IF(HLOOKUP(H$15,Data_5!$F$10:$BG$42,$A29+2,FALSE)="NO","NO",HLOOKUP(H$15,Data_5!$F$10:$BG$42,$A29+2,FALSE)/Data_5!$BH24))))),"")</f>
        <v>0.18325057297310687</v>
      </c>
      <c r="I29" s="1122">
        <f>IFERROR(IF(HLOOKUP(I$15,Data_5!$F$10:$BG$42,$A29+2,FALSE)="NO","NO",IF(HLOOKUP(I$15,Data_5!$F$10:$BG$42,$A29+2,FALSE)="IE","IE",IF(HLOOKUP(I$15,Data_5!$F$10:$BG$42,$A29+2,FALSE)="NE","NE",IF(HLOOKUP(I$15,Data_5!$F$10:$BG$42,$A29+2,FALSE)="C","C",IF(HLOOKUP(I$15,Data_5!$F$10:$BG$42,$A29+2,FALSE)="NO","NO",HLOOKUP(I$15,Data_5!$F$10:$BG$42,$A29+2,FALSE)/Data_5!$BH24))))),"")</f>
        <v>3.5141383773385645E-2</v>
      </c>
      <c r="J29" s="1122">
        <f>IFERROR(IF(HLOOKUP(J$15,Data_5!$F$10:$BG$42,$A29+2,FALSE)="NO","NO",IF(HLOOKUP(J$15,Data_5!$F$10:$BG$42,$A29+2,FALSE)="IE","IE",IF(HLOOKUP(J$15,Data_5!$F$10:$BG$42,$A29+2,FALSE)="NE","NE",IF(HLOOKUP(J$15,Data_5!$F$10:$BG$42,$A29+2,FALSE)="C","C",IF(HLOOKUP(J$15,Data_5!$F$10:$BG$42,$A29+2,FALSE)="NO","NO",HLOOKUP(J$15,Data_5!$F$10:$BG$42,$A29+2,FALSE)/Data_5!$BH24))))),"")</f>
        <v>1.9713788517849062E-2</v>
      </c>
      <c r="K29" s="1122">
        <f>IFERROR(IF(HLOOKUP(K$15,Data_5!$F$10:$BG$42,$A29+2,FALSE)="NO","NO",IF(HLOOKUP(K$15,Data_5!$F$10:$BG$42,$A29+2,FALSE)="IE","IE",IF(HLOOKUP(K$15,Data_5!$F$10:$BG$42,$A29+2,FALSE)="NE","NE",IF(HLOOKUP(K$15,Data_5!$F$10:$BG$42,$A29+2,FALSE)="C","C",IF(HLOOKUP(K$15,Data_5!$F$10:$BG$42,$A29+2,FALSE)="NO","NO",HLOOKUP(K$15,Data_5!$F$10:$BG$42,$A29+2,FALSE)/Data_5!$BH24))))),"")</f>
        <v>4.1096004597660487E-3</v>
      </c>
      <c r="L29" s="1122" t="str">
        <f>IFERROR(IF(HLOOKUP(L$15,Data_5!$F$10:$BG$42,$A29+2,FALSE)="NO","NO",IF(HLOOKUP(L$15,Data_5!$F$10:$BG$42,$A29+2,FALSE)="IE","IE",IF(HLOOKUP(L$15,Data_5!$F$10:$BG$42,$A29+2,FALSE)="NE","NE",IF(HLOOKUP(L$15,Data_5!$F$10:$BG$42,$A29+2,FALSE)="C","C",IF(HLOOKUP(L$15,Data_5!$F$10:$BG$42,$A29+2,FALSE)="NO","NO",HLOOKUP(L$15,Data_5!$F$10:$BG$42,$A29+2,FALSE)/Data_5!$BH24))))),"")</f>
        <v>NO</v>
      </c>
      <c r="M29" s="1122">
        <f>IFERROR(IF(HLOOKUP(M$15,Data_5!$F$10:$BG$42,$A29+2,FALSE)="NO","NO",IF(HLOOKUP(M$15,Data_5!$F$10:$BG$42,$A29+2,FALSE)="IE","IE",IF(HLOOKUP(M$15,Data_5!$F$10:$BG$42,$A29+2,FALSE)="NE","NE",IF(HLOOKUP(M$15,Data_5!$F$10:$BG$42,$A29+2,FALSE)="C","C",IF(HLOOKUP(M$15,Data_5!$F$10:$BG$42,$A29+2,FALSE)="NO","NO",HLOOKUP(M$15,Data_5!$F$10:$BG$42,$A29+2,FALSE)/Data_5!$BH24))))),"")</f>
        <v>3.0396052758175896E-3</v>
      </c>
      <c r="N29" s="1122">
        <f>IFERROR(IF(HLOOKUP(N$15,Data_5!$F$10:$BG$42,$A29+2,FALSE)="NO","NO",IF(HLOOKUP(N$15,Data_5!$F$10:$BG$42,$A29+2,FALSE)="IE","IE",IF(HLOOKUP(N$15,Data_5!$F$10:$BG$42,$A29+2,FALSE)="NE","NE",IF(HLOOKUP(N$15,Data_5!$F$10:$BG$42,$A29+2,FALSE)="C","C",IF(HLOOKUP(N$15,Data_5!$F$10:$BG$42,$A29+2,FALSE)="NO","NO",HLOOKUP(N$15,Data_5!$F$10:$BG$42,$A29+2,FALSE)/Data_5!$BH24))))),"")</f>
        <v>1.4248390262757178E-4</v>
      </c>
      <c r="O29" s="1122">
        <f>IFERROR(IF(HLOOKUP(O$15,Data_5!$F$10:$BG$42,$A29+2,FALSE)="NO","NO",IF(HLOOKUP(O$15,Data_5!$F$10:$BG$42,$A29+2,FALSE)="IE","IE",IF(HLOOKUP(O$15,Data_5!$F$10:$BG$42,$A29+2,FALSE)="NE","NE",IF(HLOOKUP(O$15,Data_5!$F$10:$BG$42,$A29+2,FALSE)="C","C",IF(HLOOKUP(O$15,Data_5!$F$10:$BG$42,$A29+2,FALSE)="NO","NO",HLOOKUP(O$15,Data_5!$F$10:$BG$42,$A29+2,FALSE)/Data_5!$BH24))))),"")</f>
        <v>5.3659257952864605E-3</v>
      </c>
      <c r="P29" s="1122" t="str">
        <f>IFERROR(IF(HLOOKUP(P$15,Data_5!$F$10:$BG$42,$A29+2,FALSE)="NO","NO",IF(HLOOKUP(P$15,Data_5!$F$10:$BG$42,$A29+2,FALSE)="IE","IE",IF(HLOOKUP(P$15,Data_5!$F$10:$BG$42,$A29+2,FALSE)="NE","NE",IF(HLOOKUP(P$15,Data_5!$F$10:$BG$42,$A29+2,FALSE)="C","C",IF(HLOOKUP(P$15,Data_5!$F$10:$BG$42,$A29+2,FALSE)="NO","NO",HLOOKUP(P$15,Data_5!$F$10:$BG$42,$A29+2,FALSE)/Data_5!$BH24))))),"")</f>
        <v>NO</v>
      </c>
      <c r="Q29" s="1122" t="str">
        <f>IFERROR(IF(HLOOKUP(Q$15,Data_5!$F$10:$BG$42,$A29+2,FALSE)="NO","NO",IF(HLOOKUP(Q$15,Data_5!$F$10:$BG$42,$A29+2,FALSE)="IE","IE",IF(HLOOKUP(Q$15,Data_5!$F$10:$BG$42,$A29+2,FALSE)="NE","NE",IF(HLOOKUP(Q$15,Data_5!$F$10:$BG$42,$A29+2,FALSE)="C","C",IF(HLOOKUP(Q$15,Data_5!$F$10:$BG$42,$A29+2,FALSE)="NO","NO",HLOOKUP(Q$15,Data_5!$F$10:$BG$42,$A29+2,FALSE)/Data_5!$BH24))))),"")</f>
        <v>NO</v>
      </c>
      <c r="R29" s="1122">
        <f>IFERROR(IF(HLOOKUP(R$15,Data_5!$F$10:$BG$42,$A29+2,FALSE)="NO","NO",IF(HLOOKUP(R$15,Data_5!$F$10:$BG$42,$A29+2,FALSE)="IE","IE",IF(HLOOKUP(R$15,Data_5!$F$10:$BG$42,$A29+2,FALSE)="NE","NE",IF(HLOOKUP(R$15,Data_5!$F$10:$BG$42,$A29+2,FALSE)="C","C",IF(HLOOKUP(R$15,Data_5!$F$10:$BG$42,$A29+2,FALSE)="NO","NO",HLOOKUP(R$15,Data_5!$F$10:$BG$42,$A29+2,FALSE)/Data_5!$BH24))))),"")</f>
        <v>1.9521430913695245E-3</v>
      </c>
      <c r="S29" s="1122">
        <f>IFERROR(IF(HLOOKUP(S$15,Data_5!$F$10:$BG$42,$A29+2,FALSE)="NO","NO",IF(HLOOKUP(S$15,Data_5!$F$10:$BG$42,$A29+2,FALSE)="IE","IE",IF(HLOOKUP(S$15,Data_5!$F$10:$BG$42,$A29+2,FALSE)="NE","NE",IF(HLOOKUP(S$15,Data_5!$F$10:$BG$42,$A29+2,FALSE)="C","C",IF(HLOOKUP(S$15,Data_5!$F$10:$BG$42,$A29+2,FALSE)="NO","NO",HLOOKUP(S$15,Data_5!$F$10:$BG$42,$A29+2,FALSE)/Data_5!$BH24))))),"")</f>
        <v>0.23353367895641045</v>
      </c>
      <c r="T29" s="1122">
        <f>IFERROR(IF(HLOOKUP(T$15,Data_5!$F$10:$BG$42,$A29+2,FALSE)="NO","NO",IF(HLOOKUP(T$15,Data_5!$F$10:$BG$42,$A29+2,FALSE)="IE","IE",IF(HLOOKUP(T$15,Data_5!$F$10:$BG$42,$A29+2,FALSE)="NE","NE",IF(HLOOKUP(T$15,Data_5!$F$10:$BG$42,$A29+2,FALSE)="C","C",IF(HLOOKUP(T$15,Data_5!$F$10:$BG$42,$A29+2,FALSE)="NO","NO",HLOOKUP(T$15,Data_5!$F$10:$BG$42,$A29+2,FALSE)/Data_5!$BH24))))),"")</f>
        <v>1.0387386065050328E-5</v>
      </c>
      <c r="U29" s="1122">
        <f>IFERROR(IF(HLOOKUP(U$15,Data_5!$F$10:$BG$42,$A29+2,FALSE)="NO","NO",IF(HLOOKUP(U$15,Data_5!$F$10:$BG$42,$A29+2,FALSE)="IE","IE",IF(HLOOKUP(U$15,Data_5!$F$10:$BG$42,$A29+2,FALSE)="NE","NE",IF(HLOOKUP(U$15,Data_5!$F$10:$BG$42,$A29+2,FALSE)="C","C",IF(HLOOKUP(U$15,Data_5!$F$10:$BG$42,$A29+2,FALSE)="NO","NO",HLOOKUP(U$15,Data_5!$F$10:$BG$42,$A29+2,FALSE)/Data_5!$BH24))))),"")</f>
        <v>5.0817565730796016E-4</v>
      </c>
      <c r="V29" s="1122">
        <f>IFERROR(IF(HLOOKUP(V$15,Data_5!$F$10:$BG$42,$A29+2,FALSE)="NO","NO",IF(HLOOKUP(V$15,Data_5!$F$10:$BG$42,$A29+2,FALSE)="IE","IE",IF(HLOOKUP(V$15,Data_5!$F$10:$BG$42,$A29+2,FALSE)="NE","NE",IF(HLOOKUP(V$15,Data_5!$F$10:$BG$42,$A29+2,FALSE)="C","C",IF(HLOOKUP(V$15,Data_5!$F$10:$BG$42,$A29+2,FALSE)="NO","NO",HLOOKUP(V$15,Data_5!$F$10:$BG$42,$A29+2,FALSE)/Data_5!$BH24))))),"")</f>
        <v>2.8868025585946474E-2</v>
      </c>
      <c r="W29" s="1122" t="str">
        <f>IFERROR(IF(HLOOKUP(W$15,Data_5!$F$10:$BG$42,$A29+2,FALSE)="NO","NO",IF(HLOOKUP(W$15,Data_5!$F$10:$BG$42,$A29+2,FALSE)="IE","IE",IF(HLOOKUP(W$15,Data_5!$F$10:$BG$42,$A29+2,FALSE)="NE","NE",IF(HLOOKUP(W$15,Data_5!$F$10:$BG$42,$A29+2,FALSE)="C","C",IF(HLOOKUP(W$15,Data_5!$F$10:$BG$42,$A29+2,FALSE)="NO","NO",HLOOKUP(W$15,Data_5!$F$10:$BG$42,$A29+2,FALSE)/Data_5!$BH24))))),"")</f>
        <v>NO</v>
      </c>
      <c r="X29" s="1122" t="str">
        <f>IFERROR(IF(HLOOKUP(X$15,Data_5!$F$10:$BG$42,$A29+2,FALSE)="NO","NO",IF(HLOOKUP(X$15,Data_5!$F$10:$BG$42,$A29+2,FALSE)="IE","IE",IF(HLOOKUP(X$15,Data_5!$F$10:$BG$42,$A29+2,FALSE)="NE","NE",IF(HLOOKUP(X$15,Data_5!$F$10:$BG$42,$A29+2,FALSE)="C","C",IF(HLOOKUP(X$15,Data_5!$F$10:$BG$42,$A29+2,FALSE)="NO","NO",HLOOKUP(X$15,Data_5!$F$10:$BG$42,$A29+2,FALSE)/Data_5!$BH24))))),"")</f>
        <v>NO</v>
      </c>
      <c r="Y29" s="1122">
        <f>IFERROR(IF(HLOOKUP(Y$15,Data_5!$F$10:$BG$42,$A29+2,FALSE)="NO","NO",IF(HLOOKUP(Y$15,Data_5!$F$10:$BG$42,$A29+2,FALSE)="IE","IE",IF(HLOOKUP(Y$15,Data_5!$F$10:$BG$42,$A29+2,FALSE)="NE","NE",IF(HLOOKUP(Y$15,Data_5!$F$10:$BG$42,$A29+2,FALSE)="C","C",IF(HLOOKUP(Y$15,Data_5!$F$10:$BG$42,$A29+2,FALSE)="NO","NO",HLOOKUP(Y$15,Data_5!$F$10:$BG$42,$A29+2,FALSE)/Data_5!$BH24))))),"")</f>
        <v>5.5003908988411607E-2</v>
      </c>
      <c r="Z29" s="1122" t="str">
        <f>IFERROR(IF(HLOOKUP(Z$15,Data_5!$F$10:$BG$42,$A29+2,FALSE)="NO","NO",IF(HLOOKUP(Z$15,Data_5!$F$10:$BG$42,$A29+2,FALSE)="IE","IE",IF(HLOOKUP(Z$15,Data_5!$F$10:$BG$42,$A29+2,FALSE)="NE","NE",IF(HLOOKUP(Z$15,Data_5!$F$10:$BG$42,$A29+2,FALSE)="C","C",IF(HLOOKUP(Z$15,Data_5!$F$10:$BG$42,$A29+2,FALSE)="NO","NO",HLOOKUP(Z$15,Data_5!$F$10:$BG$42,$A29+2,FALSE)/Data_5!$BH24))))),"")</f>
        <v>NO</v>
      </c>
      <c r="AA29" s="1122" t="str">
        <f>IFERROR(IF(HLOOKUP(AA$15,Data_5!$F$10:$BG$42,$A29+2,FALSE)="NO","NO",IF(HLOOKUP(AA$15,Data_5!$F$10:$BG$42,$A29+2,FALSE)="IE","IE",IF(HLOOKUP(AA$15,Data_5!$F$10:$BG$42,$A29+2,FALSE)="NE","NE",IF(HLOOKUP(AA$15,Data_5!$F$10:$BG$42,$A29+2,FALSE)="C","C",IF(HLOOKUP(AA$15,Data_5!$F$10:$BG$42,$A29+2,FALSE)="NO","NO",HLOOKUP(AA$15,Data_5!$F$10:$BG$42,$A29+2,FALSE)/Data_5!$BH24))))),"")</f>
        <v>NO</v>
      </c>
      <c r="AB29" s="1122" t="str">
        <f>IFERROR(IF(HLOOKUP(AB$15,Data_5!$F$10:$BG$42,$A29+2,FALSE)="NO","NO",IF(HLOOKUP(AB$15,Data_5!$F$10:$BG$42,$A29+2,FALSE)="IE","IE",IF(HLOOKUP(AB$15,Data_5!$F$10:$BG$42,$A29+2,FALSE)="NE","NE",IF(HLOOKUP(AB$15,Data_5!$F$10:$BG$42,$A29+2,FALSE)="C","C",IF(HLOOKUP(AB$15,Data_5!$F$10:$BG$42,$A29+2,FALSE)="NO","NO",HLOOKUP(AB$15,Data_5!$F$10:$BG$42,$A29+2,FALSE)/Data_5!$BH24))))),"")</f>
        <v>NO</v>
      </c>
      <c r="AC29" s="1122">
        <f>IFERROR(IF(HLOOKUP(AC$15,Data_5!$F$10:$BG$42,$A29+2,FALSE)="NO","NO",IF(HLOOKUP(AC$15,Data_5!$F$10:$BG$42,$A29+2,FALSE)="IE","IE",IF(HLOOKUP(AC$15,Data_5!$F$10:$BG$42,$A29+2,FALSE)="NE","NE",IF(HLOOKUP(AC$15,Data_5!$F$10:$BG$42,$A29+2,FALSE)="C","C",IF(HLOOKUP(AC$15,Data_5!$F$10:$BG$42,$A29+2,FALSE)="NO","NO",HLOOKUP(AC$15,Data_5!$F$10:$BG$42,$A29+2,FALSE)/Data_5!$BH24))))),"")</f>
        <v>3.6730781358217293E-2</v>
      </c>
      <c r="AD29" s="1122" t="str">
        <f>IFERROR(IF(HLOOKUP(AD$15,Data_5!$F$10:$BG$42,$A29+2,FALSE)="NO","NO",IF(HLOOKUP(AD$15,Data_5!$F$10:$BG$42,$A29+2,FALSE)="IE","IE",IF(HLOOKUP(AD$15,Data_5!$F$10:$BG$42,$A29+2,FALSE)="NE","NE",IF(HLOOKUP(AD$15,Data_5!$F$10:$BG$42,$A29+2,FALSE)="C","C",IF(HLOOKUP(AD$15,Data_5!$F$10:$BG$42,$A29+2,FALSE)="NO","NO",HLOOKUP(AD$15,Data_5!$F$10:$BG$42,$A29+2,FALSE)/Data_5!$BH24))))),"")</f>
        <v>NO</v>
      </c>
      <c r="AE29" s="1122">
        <f>IFERROR(IF(HLOOKUP(AE$15,Data_5!$F$10:$BG$42,$A29+2,FALSE)="NO","NO",IF(HLOOKUP(AE$15,Data_5!$F$10:$BG$42,$A29+2,FALSE)="IE","IE",IF(HLOOKUP(AE$15,Data_5!$F$10:$BG$42,$A29+2,FALSE)="NE","NE",IF(HLOOKUP(AE$15,Data_5!$F$10:$BG$42,$A29+2,FALSE)="C","C",IF(HLOOKUP(AE$15,Data_5!$F$10:$BG$42,$A29+2,FALSE)="NO","NO",HLOOKUP(AE$15,Data_5!$F$10:$BG$42,$A29+2,FALSE)/Data_5!$BH24))))),"")</f>
        <v>3.9937426945909981E-4</v>
      </c>
      <c r="AF29" s="1122" t="str">
        <f>IFERROR(IF(HLOOKUP(AF$15,Data_5!$F$10:$BG$42,$A29+2,FALSE)="NO","NO",IF(HLOOKUP(AF$15,Data_5!$F$10:$BG$42,$A29+2,FALSE)="IE","IE",IF(HLOOKUP(AF$15,Data_5!$F$10:$BG$42,$A29+2,FALSE)="NE","NE",IF(HLOOKUP(AF$15,Data_5!$F$10:$BG$42,$A29+2,FALSE)="C","C",IF(HLOOKUP(AF$15,Data_5!$F$10:$BG$42,$A29+2,FALSE)="NO","NO",HLOOKUP(AF$15,Data_5!$F$10:$BG$42,$A29+2,FALSE)/Data_5!$BH24))))),"")</f>
        <v>NO</v>
      </c>
      <c r="AG29" s="1122">
        <f>IFERROR(IF(HLOOKUP(AG$15,Data_5!$F$10:$BG$42,$A29+2,FALSE)="NO","NO",IF(HLOOKUP(AG$15,Data_5!$F$10:$BG$42,$A29+2,FALSE)="IE","IE",IF(HLOOKUP(AG$15,Data_5!$F$10:$BG$42,$A29+2,FALSE)="NE","NE",IF(HLOOKUP(AG$15,Data_5!$F$10:$BG$42,$A29+2,FALSE)="C","C",IF(HLOOKUP(AG$15,Data_5!$F$10:$BG$42,$A29+2,FALSE)="NO","NO",HLOOKUP(AG$15,Data_5!$F$10:$BG$42,$A29+2,FALSE)/Data_5!$BH24))))),"")</f>
        <v>4.0746480192932305E-5</v>
      </c>
      <c r="AH29" s="1122" t="str">
        <f>IFERROR(IF(HLOOKUP(AH$15,Data_5!$F$10:$BG$42,$A29+2,FALSE)="NO","NO",IF(HLOOKUP(AH$15,Data_5!$F$10:$BG$42,$A29+2,FALSE)="IE","IE",IF(HLOOKUP(AH$15,Data_5!$F$10:$BG$42,$A29+2,FALSE)="NE","NE",IF(HLOOKUP(AH$15,Data_5!$F$10:$BG$42,$A29+2,FALSE)="C","C",IF(HLOOKUP(AH$15,Data_5!$F$10:$BG$42,$A29+2,FALSE)="NO","NO",HLOOKUP(AH$15,Data_5!$F$10:$BG$42,$A29+2,FALSE)/Data_5!$BH24))))),"")</f>
        <v>NO</v>
      </c>
      <c r="AI29" s="1122">
        <f>IFERROR(IF(HLOOKUP(AI$15,Data_5!$F$10:$BG$42,$A29+2,FALSE)="NO","NO",IF(HLOOKUP(AI$15,Data_5!$F$10:$BG$42,$A29+2,FALSE)="IE","IE",IF(HLOOKUP(AI$15,Data_5!$F$10:$BG$42,$A29+2,FALSE)="NE","NE",IF(HLOOKUP(AI$15,Data_5!$F$10:$BG$42,$A29+2,FALSE)="C","C",IF(HLOOKUP(AI$15,Data_5!$F$10:$BG$42,$A29+2,FALSE)="NO","NO",HLOOKUP(AI$15,Data_5!$F$10:$BG$42,$A29+2,FALSE)/Data_5!$BH24))))),"")</f>
        <v>9.7170341965042446E-3</v>
      </c>
      <c r="AJ29" s="1122" t="str">
        <f>IFERROR(IF(HLOOKUP(AJ$15,Data_5!$F$10:$BG$42,$A29+2,FALSE)="NO","NO",IF(HLOOKUP(AJ$15,Data_5!$F$10:$BG$42,$A29+2,FALSE)="IE","IE",IF(HLOOKUP(AJ$15,Data_5!$F$10:$BG$42,$A29+2,FALSE)="NE","NE",IF(HLOOKUP(AJ$15,Data_5!$F$10:$BG$42,$A29+2,FALSE)="C","C",IF(HLOOKUP(AJ$15,Data_5!$F$10:$BG$42,$A29+2,FALSE)="NO","NO",HLOOKUP(AJ$15,Data_5!$F$10:$BG$42,$A29+2,FALSE)/Data_5!$BH24))))),"")</f>
        <v>NO</v>
      </c>
      <c r="AL29" s="2628" t="str">
        <f t="shared" si="0"/>
        <v>Madrid</v>
      </c>
      <c r="AM29" s="2629"/>
      <c r="AN29" s="1100">
        <f t="shared" si="1"/>
        <v>2013</v>
      </c>
      <c r="AO29" s="1122" t="str">
        <f>IFERROR(IF(VLOOKUP($AL29,Data_5!$B$12:$E$42,4,FALSE)="BASIC","",(IF(HLOOKUP(AO$15,Data_5!$F$10:$BG$42,$A29+2,FALSE)="NO","NO",IF(HLOOKUP(AO$15,Data_5!$F$10:$BG$42,$A29+2,FALSE)="IE","IE",IF(HLOOKUP(AO$15,Data_5!$F$10:$BG$42,$A29+2,FALSE)="NE","NE",IF(HLOOKUP(AO$15,Data_5!$F$10:$BG$42,$A29+2,FALSE)="C","C",IF(HLOOKUP(AO$15,Data_5!$F$10:$BG$42,$A29+2,FALSE)="NO","NO",HLOOKUP(AO$15,Data_5!$F$10:$BG$42,$A29+2,FALSE)/Data_5!$BI24))))))),"")</f>
        <v/>
      </c>
      <c r="AP29" s="1122" t="str">
        <f>IFERROR(IF(VLOOKUP($AL29,Data_5!$B$12:$E$42,4,FALSE)="BASIC","",(IF(HLOOKUP(AP$15,Data_5!$F$10:$BG$42,$A29+2,FALSE)="NO","NO",IF(HLOOKUP(AP$15,Data_5!$F$10:$BG$42,$A29+2,FALSE)="IE","IE",IF(HLOOKUP(AP$15,Data_5!$F$10:$BG$42,$A29+2,FALSE)="NE","NE",IF(HLOOKUP(AP$15,Data_5!$F$10:$BG$42,$A29+2,FALSE)="C","C",IF(HLOOKUP(AP$15,Data_5!$F$10:$BG$42,$A29+2,FALSE)="NO","NO",HLOOKUP(AP$15,Data_5!$F$10:$BG$42,$A29+2,FALSE)/Data_5!$BI24))))))),"")</f>
        <v/>
      </c>
      <c r="AQ29" s="1122" t="str">
        <f>IFERROR(IF(VLOOKUP($AL29,Data_5!$B$12:$E$42,4,FALSE)="BASIC","",(IF(HLOOKUP(AQ$15,Data_5!$F$10:$BG$42,$A29+2,FALSE)="NO","NO",IF(HLOOKUP(AQ$15,Data_5!$F$10:$BG$42,$A29+2,FALSE)="IE","IE",IF(HLOOKUP(AQ$15,Data_5!$F$10:$BG$42,$A29+2,FALSE)="NE","NE",IF(HLOOKUP(AQ$15,Data_5!$F$10:$BG$42,$A29+2,FALSE)="C","C",IF(HLOOKUP(AQ$15,Data_5!$F$10:$BG$42,$A29+2,FALSE)="NO","NO",HLOOKUP(AQ$15,Data_5!$F$10:$BG$42,$A29+2,FALSE)/Data_5!$BI24))))))),"")</f>
        <v/>
      </c>
      <c r="AR29" s="1122" t="str">
        <f>IFERROR(IF(VLOOKUP($AL29,Data_5!$B$12:$E$42,4,FALSE)="BASIC","",(IF(HLOOKUP(AR$15,Data_5!$F$10:$BG$42,$A29+2,FALSE)="NO","NO",IF(HLOOKUP(AR$15,Data_5!$F$10:$BG$42,$A29+2,FALSE)="IE","IE",IF(HLOOKUP(AR$15,Data_5!$F$10:$BG$42,$A29+2,FALSE)="NE","NE",IF(HLOOKUP(AR$15,Data_5!$F$10:$BG$42,$A29+2,FALSE)="C","C",IF(HLOOKUP(AR$15,Data_5!$F$10:$BG$42,$A29+2,FALSE)="NO","NO",HLOOKUP(AR$15,Data_5!$F$10:$BG$42,$A29+2,FALSE)/Data_5!$BI24))))))),"")</f>
        <v/>
      </c>
      <c r="AS29" s="1122" t="str">
        <f>IFERROR(IF(VLOOKUP($AL29,Data_5!$B$12:$E$42,4,FALSE)="BASIC","",(IF(HLOOKUP(AS$15,Data_5!$F$10:$BG$42,$A29+2,FALSE)="NO","NO",IF(HLOOKUP(AS$15,Data_5!$F$10:$BG$42,$A29+2,FALSE)="IE","IE",IF(HLOOKUP(AS$15,Data_5!$F$10:$BG$42,$A29+2,FALSE)="NE","NE",IF(HLOOKUP(AS$15,Data_5!$F$10:$BG$42,$A29+2,FALSE)="C","C",IF(HLOOKUP(AS$15,Data_5!$F$10:$BG$42,$A29+2,FALSE)="NO","NO",HLOOKUP(AS$15,Data_5!$F$10:$BG$42,$A29+2,FALSE)/Data_5!$BI24))))))),"")</f>
        <v/>
      </c>
      <c r="AT29" s="1122" t="str">
        <f>IFERROR(IF(VLOOKUP($AL29,Data_5!$B$12:$E$42,4,FALSE)="BASIC","",(IF(HLOOKUP(AT$15,Data_5!$F$10:$BG$42,$A29+2,FALSE)="NO","NO",IF(HLOOKUP(AT$15,Data_5!$F$10:$BG$42,$A29+2,FALSE)="IE","IE",IF(HLOOKUP(AT$15,Data_5!$F$10:$BG$42,$A29+2,FALSE)="NE","NE",IF(HLOOKUP(AT$15,Data_5!$F$10:$BG$42,$A29+2,FALSE)="C","C",IF(HLOOKUP(AT$15,Data_5!$F$10:$BG$42,$A29+2,FALSE)="NO","NO",HLOOKUP(AT$15,Data_5!$F$10:$BG$42,$A29+2,FALSE)/Data_5!$BI24))))))),"")</f>
        <v/>
      </c>
      <c r="AU29" s="1122" t="str">
        <f>IFERROR(IF(VLOOKUP($AL29,Data_5!$B$12:$E$42,4,FALSE)="BASIC","",(IF(HLOOKUP(AU$15,Data_5!$F$10:$BG$42,$A29+2,FALSE)="NO","NO",IF(HLOOKUP(AU$15,Data_5!$F$10:$BG$42,$A29+2,FALSE)="IE","IE",IF(HLOOKUP(AU$15,Data_5!$F$10:$BG$42,$A29+2,FALSE)="NE","NE",IF(HLOOKUP(AU$15,Data_5!$F$10:$BG$42,$A29+2,FALSE)="C","C",IF(HLOOKUP(AU$15,Data_5!$F$10:$BG$42,$A29+2,FALSE)="NO","NO",HLOOKUP(AU$15,Data_5!$F$10:$BG$42,$A29+2,FALSE)/Data_5!$BI24))))))),"")</f>
        <v/>
      </c>
      <c r="AV29" s="1122" t="str">
        <f>IFERROR(IF(VLOOKUP($AL29,Data_5!$B$12:$E$42,4,FALSE)="BASIC","",(IF(HLOOKUP(AV$15,Data_5!$F$10:$BG$42,$A29+2,FALSE)="NO","NO",IF(HLOOKUP(AV$15,Data_5!$F$10:$BG$42,$A29+2,FALSE)="IE","IE",IF(HLOOKUP(AV$15,Data_5!$F$10:$BG$42,$A29+2,FALSE)="NE","NE",IF(HLOOKUP(AV$15,Data_5!$F$10:$BG$42,$A29+2,FALSE)="C","C",IF(HLOOKUP(AV$15,Data_5!$F$10:$BG$42,$A29+2,FALSE)="NO","NO",HLOOKUP(AV$15,Data_5!$F$10:$BG$42,$A29+2,FALSE)/Data_5!$BI24))))))),"")</f>
        <v/>
      </c>
      <c r="AW29" s="1122" t="str">
        <f>IFERROR(IF(VLOOKUP($AL29,Data_5!$B$12:$E$42,4,FALSE)="BASIC","",(IF(HLOOKUP(AW$15,Data_5!$F$10:$BG$42,$A29+2,FALSE)="NO","NO",IF(HLOOKUP(AW$15,Data_5!$F$10:$BG$42,$A29+2,FALSE)="IE","IE",IF(HLOOKUP(AW$15,Data_5!$F$10:$BG$42,$A29+2,FALSE)="NE","NE",IF(HLOOKUP(AW$15,Data_5!$F$10:$BG$42,$A29+2,FALSE)="C","C",IF(HLOOKUP(AW$15,Data_5!$F$10:$BG$42,$A29+2,FALSE)="NO","NO",HLOOKUP(AW$15,Data_5!$F$10:$BG$42,$A29+2,FALSE)/Data_5!$BI24))))))),"")</f>
        <v/>
      </c>
      <c r="AX29" s="1122" t="str">
        <f>IFERROR(IF(VLOOKUP($AL29,Data_5!$B$12:$E$42,4,FALSE)="BASIC","",(IF(HLOOKUP(AX$15,Data_5!$F$10:$BG$42,$A29+2,FALSE)="NO","NO",IF(HLOOKUP(AX$15,Data_5!$F$10:$BG$42,$A29+2,FALSE)="IE","IE",IF(HLOOKUP(AX$15,Data_5!$F$10:$BG$42,$A29+2,FALSE)="NE","NE",IF(HLOOKUP(AX$15,Data_5!$F$10:$BG$42,$A29+2,FALSE)="C","C",IF(HLOOKUP(AX$15,Data_5!$F$10:$BG$42,$A29+2,FALSE)="NO","NO",HLOOKUP(AX$15,Data_5!$F$10:$BG$42,$A29+2,FALSE)/Data_5!$BI24))))))),"")</f>
        <v/>
      </c>
      <c r="AY29" s="1122" t="str">
        <f>IFERROR(IF(VLOOKUP($AL29,Data_5!$B$12:$E$42,4,FALSE)="BASIC","",(IF(HLOOKUP(AY$15,Data_5!$F$10:$BG$42,$A29+2,FALSE)="NO","NO",IF(HLOOKUP(AY$15,Data_5!$F$10:$BG$42,$A29+2,FALSE)="IE","IE",IF(HLOOKUP(AY$15,Data_5!$F$10:$BG$42,$A29+2,FALSE)="NE","NE",IF(HLOOKUP(AY$15,Data_5!$F$10:$BG$42,$A29+2,FALSE)="C","C",IF(HLOOKUP(AY$15,Data_5!$F$10:$BG$42,$A29+2,FALSE)="NO","NO",HLOOKUP(AY$15,Data_5!$F$10:$BG$42,$A29+2,FALSE)/Data_5!$BI24))))))),"")</f>
        <v/>
      </c>
      <c r="AZ29" s="1122" t="str">
        <f>IFERROR(IF(VLOOKUP($AL29,Data_5!$B$12:$E$42,4,FALSE)="BASIC","",(IF(HLOOKUP(AZ$15,Data_5!$F$10:$BG$42,$A29+2,FALSE)="NO","NO",IF(HLOOKUP(AZ$15,Data_5!$F$10:$BG$42,$A29+2,FALSE)="IE","IE",IF(HLOOKUP(AZ$15,Data_5!$F$10:$BG$42,$A29+2,FALSE)="NE","NE",IF(HLOOKUP(AZ$15,Data_5!$F$10:$BG$42,$A29+2,FALSE)="C","C",IF(HLOOKUP(AZ$15,Data_5!$F$10:$BG$42,$A29+2,FALSE)="NO","NO",HLOOKUP(AZ$15,Data_5!$F$10:$BG$42,$A29+2,FALSE)/Data_5!$BI24))))))),"")</f>
        <v/>
      </c>
      <c r="BA29" s="1122" t="str">
        <f>IFERROR(IF(VLOOKUP($AL29,Data_5!$B$12:$E$42,4,FALSE)="BASIC","",(IF(HLOOKUP(BA$15,Data_5!$F$10:$BG$42,$A29+2,FALSE)="NO","NO",IF(HLOOKUP(BA$15,Data_5!$F$10:$BG$42,$A29+2,FALSE)="IE","IE",IF(HLOOKUP(BA$15,Data_5!$F$10:$BG$42,$A29+2,FALSE)="NE","NE",IF(HLOOKUP(BA$15,Data_5!$F$10:$BG$42,$A29+2,FALSE)="C","C",IF(HLOOKUP(BA$15,Data_5!$F$10:$BG$42,$A29+2,FALSE)="NO","NO",HLOOKUP(BA$15,Data_5!$F$10:$BG$42,$A29+2,FALSE)/Data_5!$BI24))))))),"")</f>
        <v/>
      </c>
      <c r="BB29" s="1122" t="str">
        <f>IFERROR(IF(VLOOKUP($AL29,Data_5!$B$12:$E$42,4,FALSE)="BASIC","",(IF(HLOOKUP(BB$15,Data_5!$F$10:$BG$42,$A29+2,FALSE)="NO","NO",IF(HLOOKUP(BB$15,Data_5!$F$10:$BG$42,$A29+2,FALSE)="IE","IE",IF(HLOOKUP(BB$15,Data_5!$F$10:$BG$42,$A29+2,FALSE)="NE","NE",IF(HLOOKUP(BB$15,Data_5!$F$10:$BG$42,$A29+2,FALSE)="C","C",IF(HLOOKUP(BB$15,Data_5!$F$10:$BG$42,$A29+2,FALSE)="NO","NO",HLOOKUP(BB$15,Data_5!$F$10:$BG$42,$A29+2,FALSE)/Data_5!$BI24))))))),"")</f>
        <v/>
      </c>
      <c r="BC29" s="1122" t="str">
        <f>IFERROR(IF(VLOOKUP($AL29,Data_5!$B$12:$E$42,4,FALSE)="BASIC","",(IF(HLOOKUP(BC$15,Data_5!$F$10:$BG$42,$A29+2,FALSE)="NO","NO",IF(HLOOKUP(BC$15,Data_5!$F$10:$BG$42,$A29+2,FALSE)="IE","IE",IF(HLOOKUP(BC$15,Data_5!$F$10:$BG$42,$A29+2,FALSE)="NE","NE",IF(HLOOKUP(BC$15,Data_5!$F$10:$BG$42,$A29+2,FALSE)="C","C",IF(HLOOKUP(BC$15,Data_5!$F$10:$BG$42,$A29+2,FALSE)="NO","NO",HLOOKUP(BC$15,Data_5!$F$10:$BG$42,$A29+2,FALSE)/Data_5!$BI24))))))),"")</f>
        <v/>
      </c>
      <c r="BD29" s="1122" t="str">
        <f>IFERROR(IF(VLOOKUP($AL29,Data_5!$B$12:$E$42,4,FALSE)="BASIC","",(IF(HLOOKUP(BD$15,Data_5!$F$10:$BG$42,$A29+2,FALSE)="NO","NO",IF(HLOOKUP(BD$15,Data_5!$F$10:$BG$42,$A29+2,FALSE)="IE","IE",IF(HLOOKUP(BD$15,Data_5!$F$10:$BG$42,$A29+2,FALSE)="NE","NE",IF(HLOOKUP(BD$15,Data_5!$F$10:$BG$42,$A29+2,FALSE)="C","C",IF(HLOOKUP(BD$15,Data_5!$F$10:$BG$42,$A29+2,FALSE)="NO","NO",HLOOKUP(BD$15,Data_5!$F$10:$BG$42,$A29+2,FALSE)/Data_5!$BI24))))))),"")</f>
        <v/>
      </c>
      <c r="BE29" s="1122" t="str">
        <f>IFERROR(IF(VLOOKUP($AL29,Data_5!$B$12:$E$42,4,FALSE)="BASIC","",(IF(HLOOKUP(BE$15,Data_5!$F$10:$BG$42,$A29+2,FALSE)="NO","NO",IF(HLOOKUP(BE$15,Data_5!$F$10:$BG$42,$A29+2,FALSE)="IE","IE",IF(HLOOKUP(BE$15,Data_5!$F$10:$BG$42,$A29+2,FALSE)="NE","NE",IF(HLOOKUP(BE$15,Data_5!$F$10:$BG$42,$A29+2,FALSE)="C","C",IF(HLOOKUP(BE$15,Data_5!$F$10:$BG$42,$A29+2,FALSE)="NO","NO",HLOOKUP(BE$15,Data_5!$F$10:$BG$42,$A29+2,FALSE)/Data_5!$BI24))))))),"")</f>
        <v/>
      </c>
      <c r="BF29" s="1122" t="str">
        <f>IFERROR(IF(VLOOKUP($AL29,Data_5!$B$12:$E$42,4,FALSE)="BASIC","",(IF(HLOOKUP(BF$15,Data_5!$F$10:$BG$42,$A29+2,FALSE)="NO","NO",IF(HLOOKUP(BF$15,Data_5!$F$10:$BG$42,$A29+2,FALSE)="IE","IE",IF(HLOOKUP(BF$15,Data_5!$F$10:$BG$42,$A29+2,FALSE)="NE","NE",IF(HLOOKUP(BF$15,Data_5!$F$10:$BG$42,$A29+2,FALSE)="C","C",IF(HLOOKUP(BF$15,Data_5!$F$10:$BG$42,$A29+2,FALSE)="NO","NO",HLOOKUP(BF$15,Data_5!$F$10:$BG$42,$A29+2,FALSE)/Data_5!$BI24))))))),"")</f>
        <v/>
      </c>
      <c r="BG29" s="1122" t="str">
        <f>IFERROR(IF(VLOOKUP($AL29,Data_5!$B$12:$E$42,4,FALSE)="BASIC","",(IF(HLOOKUP(BG$15,Data_5!$F$10:$BG$42,$A29+2,FALSE)="NO","NO",IF(HLOOKUP(BG$15,Data_5!$F$10:$BG$42,$A29+2,FALSE)="IE","IE",IF(HLOOKUP(BG$15,Data_5!$F$10:$BG$42,$A29+2,FALSE)="NE","NE",IF(HLOOKUP(BG$15,Data_5!$F$10:$BG$42,$A29+2,FALSE)="C","C",IF(HLOOKUP(BG$15,Data_5!$F$10:$BG$42,$A29+2,FALSE)="NO","NO",HLOOKUP(BG$15,Data_5!$F$10:$BG$42,$A29+2,FALSE)/Data_5!$BI24))))))),"")</f>
        <v/>
      </c>
      <c r="BH29" s="1122" t="str">
        <f>IFERROR(IF(VLOOKUP($AL29,Data_5!$B$12:$E$42,4,FALSE)="BASIC","",(IF(HLOOKUP(BH$15,Data_5!$F$10:$BG$42,$A29+2,FALSE)="NO","NO",IF(HLOOKUP(BH$15,Data_5!$F$10:$BG$42,$A29+2,FALSE)="IE","IE",IF(HLOOKUP(BH$15,Data_5!$F$10:$BG$42,$A29+2,FALSE)="NE","NE",IF(HLOOKUP(BH$15,Data_5!$F$10:$BG$42,$A29+2,FALSE)="C","C",IF(HLOOKUP(BH$15,Data_5!$F$10:$BG$42,$A29+2,FALSE)="NO","NO",HLOOKUP(BH$15,Data_5!$F$10:$BG$42,$A29+2,FALSE)/Data_5!$BI24))))))),"")</f>
        <v/>
      </c>
      <c r="BI29" s="1122" t="str">
        <f>IFERROR(IF(VLOOKUP($AL29,Data_5!$B$12:$E$42,4,FALSE)="BASIC","",(IF(HLOOKUP(BI$15,Data_5!$F$10:$BG$42,$A29+2,FALSE)="NO","NO",IF(HLOOKUP(BI$15,Data_5!$F$10:$BG$42,$A29+2,FALSE)="IE","IE",IF(HLOOKUP(BI$15,Data_5!$F$10:$BG$42,$A29+2,FALSE)="NE","NE",IF(HLOOKUP(BI$15,Data_5!$F$10:$BG$42,$A29+2,FALSE)="C","C",IF(HLOOKUP(BI$15,Data_5!$F$10:$BG$42,$A29+2,FALSE)="NO","NO",HLOOKUP(BI$15,Data_5!$F$10:$BG$42,$A29+2,FALSE)/Data_5!$BI24))))))),"")</f>
        <v/>
      </c>
      <c r="BJ29" s="1122" t="str">
        <f>IFERROR(IF(VLOOKUP($AL29,Data_5!$B$12:$E$42,4,FALSE)="BASIC","",(IF(HLOOKUP(BJ$15,Data_5!$F$10:$BG$42,$A29+2,FALSE)="NO","NO",IF(HLOOKUP(BJ$15,Data_5!$F$10:$BG$42,$A29+2,FALSE)="IE","IE",IF(HLOOKUP(BJ$15,Data_5!$F$10:$BG$42,$A29+2,FALSE)="NE","NE",IF(HLOOKUP(BJ$15,Data_5!$F$10:$BG$42,$A29+2,FALSE)="C","C",IF(HLOOKUP(BJ$15,Data_5!$F$10:$BG$42,$A29+2,FALSE)="NO","NO",HLOOKUP(BJ$15,Data_5!$F$10:$BG$42,$A29+2,FALSE)/Data_5!$BI24))))))),"")</f>
        <v/>
      </c>
      <c r="BK29" s="1122" t="str">
        <f>IFERROR(IF(VLOOKUP($AL29,Data_5!$B$12:$E$42,4,FALSE)="BASIC","",(IF(HLOOKUP(BK$15,Data_5!$F$10:$BG$42,$A29+2,FALSE)="NO","NO",IF(HLOOKUP(BK$15,Data_5!$F$10:$BG$42,$A29+2,FALSE)="IE","IE",IF(HLOOKUP(BK$15,Data_5!$F$10:$BG$42,$A29+2,FALSE)="NE","NE",IF(HLOOKUP(BK$15,Data_5!$F$10:$BG$42,$A29+2,FALSE)="C","C",IF(HLOOKUP(BK$15,Data_5!$F$10:$BG$42,$A29+2,FALSE)="NO","NO",HLOOKUP(BK$15,Data_5!$F$10:$BG$42,$A29+2,FALSE)/Data_5!$BI24))))))),"")</f>
        <v/>
      </c>
      <c r="BL29" s="1122" t="str">
        <f>IFERROR(IF(VLOOKUP($AL29,Data_5!$B$12:$E$42,4,FALSE)="BASIC","",(IF(HLOOKUP(BL$15,Data_5!$F$10:$BG$42,$A29+2,FALSE)="NO","NO",IF(HLOOKUP(BL$15,Data_5!$F$10:$BG$42,$A29+2,FALSE)="IE","IE",IF(HLOOKUP(BL$15,Data_5!$F$10:$BG$42,$A29+2,FALSE)="NE","NE",IF(HLOOKUP(BL$15,Data_5!$F$10:$BG$42,$A29+2,FALSE)="C","C",IF(HLOOKUP(BL$15,Data_5!$F$10:$BG$42,$A29+2,FALSE)="NO","NO",HLOOKUP(BL$15,Data_5!$F$10:$BG$42,$A29+2,FALSE)/Data_5!$BI24))))))),"")</f>
        <v/>
      </c>
      <c r="BM29" s="1122" t="str">
        <f>IFERROR(IF(VLOOKUP($AL29,Data_5!$B$12:$E$42,4,FALSE)="BASIC","",(IF(HLOOKUP(BM$15,Data_5!$F$10:$BG$42,$A29+2,FALSE)="NO","NO",IF(HLOOKUP(BM$15,Data_5!$F$10:$BG$42,$A29+2,FALSE)="IE","IE",IF(HLOOKUP(BM$15,Data_5!$F$10:$BG$42,$A29+2,FALSE)="NE","NE",IF(HLOOKUP(BM$15,Data_5!$F$10:$BG$42,$A29+2,FALSE)="C","C",IF(HLOOKUP(BM$15,Data_5!$F$10:$BG$42,$A29+2,FALSE)="NO","NO",HLOOKUP(BM$15,Data_5!$F$10:$BG$42,$A29+2,FALSE)/Data_5!$BI24))))))),"")</f>
        <v/>
      </c>
      <c r="BN29" s="1122" t="str">
        <f>IFERROR(IF(VLOOKUP($AL29,Data_5!$B$12:$E$42,4,FALSE)="BASIC","",(IF(HLOOKUP(BN$15,Data_5!$F$10:$BG$42,$A29+2,FALSE)="NO","NO",IF(HLOOKUP(BN$15,Data_5!$F$10:$BG$42,$A29+2,FALSE)="IE","IE",IF(HLOOKUP(BN$15,Data_5!$F$10:$BG$42,$A29+2,FALSE)="NE","NE",IF(HLOOKUP(BN$15,Data_5!$F$10:$BG$42,$A29+2,FALSE)="C","C",IF(HLOOKUP(BN$15,Data_5!$F$10:$BG$42,$A29+2,FALSE)="NO","NO",HLOOKUP(BN$15,Data_5!$F$10:$BG$42,$A29+2,FALSE)/Data_5!$BI24))))))),"")</f>
        <v/>
      </c>
      <c r="BO29" s="1122" t="str">
        <f>IFERROR(IF(VLOOKUP($AL29,Data_5!$B$12:$E$42,4,FALSE)="BASIC","",(IF(HLOOKUP(BO$15,Data_5!$F$10:$BG$42,$A29+2,FALSE)="NO","NO",IF(HLOOKUP(BO$15,Data_5!$F$10:$BG$42,$A29+2,FALSE)="IE","IE",IF(HLOOKUP(BO$15,Data_5!$F$10:$BG$42,$A29+2,FALSE)="NE","NE",IF(HLOOKUP(BO$15,Data_5!$F$10:$BG$42,$A29+2,FALSE)="C","C",IF(HLOOKUP(BO$15,Data_5!$F$10:$BG$42,$A29+2,FALSE)="NO","NO",HLOOKUP(BO$15,Data_5!$F$10:$BG$42,$A29+2,FALSE)/Data_5!$BI24))))))),"")</f>
        <v/>
      </c>
      <c r="BP29" s="1122" t="str">
        <f>IFERROR(IF(VLOOKUP($AL29,Data_5!$B$12:$E$42,4,FALSE)="BASIC","",(IF(HLOOKUP(BP$15,Data_5!$F$10:$BG$42,$A29+2,FALSE)="NO","NO",IF(HLOOKUP(BP$15,Data_5!$F$10:$BG$42,$A29+2,FALSE)="IE","IE",IF(HLOOKUP(BP$15,Data_5!$F$10:$BG$42,$A29+2,FALSE)="NE","NE",IF(HLOOKUP(BP$15,Data_5!$F$10:$BG$42,$A29+2,FALSE)="C","C",IF(HLOOKUP(BP$15,Data_5!$F$10:$BG$42,$A29+2,FALSE)="NO","NO",HLOOKUP(BP$15,Data_5!$F$10:$BG$42,$A29+2,FALSE)/Data_5!$BI24))))))),"")</f>
        <v/>
      </c>
      <c r="BQ29" s="1122" t="str">
        <f>IFERROR(IF(VLOOKUP($AL29,Data_5!$B$12:$E$42,4,FALSE)="BASIC","",(IF(HLOOKUP(BQ$15,Data_5!$F$10:$BG$42,$A29+2,FALSE)="NO","NO",IF(HLOOKUP(BQ$15,Data_5!$F$10:$BG$42,$A29+2,FALSE)="IE","IE",IF(HLOOKUP(BQ$15,Data_5!$F$10:$BG$42,$A29+2,FALSE)="NE","NE",IF(HLOOKUP(BQ$15,Data_5!$F$10:$BG$42,$A29+2,FALSE)="C","C",IF(HLOOKUP(BQ$15,Data_5!$F$10:$BG$42,$A29+2,FALSE)="NO","NO",HLOOKUP(BQ$15,Data_5!$F$10:$BG$42,$A29+2,FALSE)/Data_5!$BI24))))))),"")</f>
        <v/>
      </c>
      <c r="BR29" s="1122" t="str">
        <f>IFERROR(IF(VLOOKUP($AL29,Data_5!$B$12:$E$42,4,FALSE)="BASIC","",(IF(HLOOKUP(BR$15,Data_5!$F$10:$BG$42,$A29+2,FALSE)="NO","NO",IF(HLOOKUP(BR$15,Data_5!$F$10:$BG$42,$A29+2,FALSE)="IE","IE",IF(HLOOKUP(BR$15,Data_5!$F$10:$BG$42,$A29+2,FALSE)="NE","NE",IF(HLOOKUP(BR$15,Data_5!$F$10:$BG$42,$A29+2,FALSE)="C","C",IF(HLOOKUP(BR$15,Data_5!$F$10:$BG$42,$A29+2,FALSE)="NO","NO",HLOOKUP(BR$15,Data_5!$F$10:$BG$42,$A29+2,FALSE)/Data_5!$BI24))))))),"")</f>
        <v/>
      </c>
      <c r="BS29" s="1122" t="str">
        <f>IFERROR(IF(VLOOKUP($AL29,Data_5!$B$12:$E$42,4,FALSE)="BASIC","",(IF(HLOOKUP(BS$15,Data_5!$F$10:$BG$42,$A29+2,FALSE)="NO","NO",IF(HLOOKUP(BS$15,Data_5!$F$10:$BG$42,$A29+2,FALSE)="IE","IE",IF(HLOOKUP(BS$15,Data_5!$F$10:$BG$42,$A29+2,FALSE)="NE","NE",IF(HLOOKUP(BS$15,Data_5!$F$10:$BG$42,$A29+2,FALSE)="C","C",IF(HLOOKUP(BS$15,Data_5!$F$10:$BG$42,$A29+2,FALSE)="NO","NO",HLOOKUP(BS$15,Data_5!$F$10:$BG$42,$A29+2,FALSE)/Data_5!$BI24))))))),"")</f>
        <v/>
      </c>
      <c r="BT29" s="1122" t="str">
        <f>IFERROR(IF(VLOOKUP($AL29,Data_5!$B$12:$E$42,4,FALSE)="BASIC","",(IF(HLOOKUP(BT$15,Data_5!$F$10:$BG$42,$A29+2,FALSE)="NO","NO",IF(HLOOKUP(BT$15,Data_5!$F$10:$BG$42,$A29+2,FALSE)="IE","IE",IF(HLOOKUP(BT$15,Data_5!$F$10:$BG$42,$A29+2,FALSE)="NE","NE",IF(HLOOKUP(BT$15,Data_5!$F$10:$BG$42,$A29+2,FALSE)="C","C",IF(HLOOKUP(BT$15,Data_5!$F$10:$BG$42,$A29+2,FALSE)="NO","NO",HLOOKUP(BT$15,Data_5!$F$10:$BG$42,$A29+2,FALSE)/Data_5!$BI24))))))),"")</f>
        <v/>
      </c>
      <c r="BU29" s="1122" t="str">
        <f>IFERROR(IF(VLOOKUP($AL29,Data_5!$B$12:$E$42,4,FALSE)="BASIC","",(IF(HLOOKUP(BU$15,Data_5!$F$10:$BG$42,$A29+2,FALSE)="NO","NO",IF(HLOOKUP(BU$15,Data_5!$F$10:$BG$42,$A29+2,FALSE)="IE","IE",IF(HLOOKUP(BU$15,Data_5!$F$10:$BG$42,$A29+2,FALSE)="NE","NE",IF(HLOOKUP(BU$15,Data_5!$F$10:$BG$42,$A29+2,FALSE)="C","C",IF(HLOOKUP(BU$15,Data_5!$F$10:$BG$42,$A29+2,FALSE)="NO","NO",HLOOKUP(BU$15,Data_5!$F$10:$BG$42,$A29+2,FALSE)/Data_5!$BI24))))))),"")</f>
        <v/>
      </c>
      <c r="BV29" s="1122" t="str">
        <f>IFERROR(IF(VLOOKUP($AL29,Data_5!$B$12:$E$42,4,FALSE)="BASIC","",(IF(HLOOKUP(BV$15,Data_5!$F$10:$BG$42,$A29+2,FALSE)="NO","NO",IF(HLOOKUP(BV$15,Data_5!$F$10:$BG$42,$A29+2,FALSE)="IE","IE",IF(HLOOKUP(BV$15,Data_5!$F$10:$BG$42,$A29+2,FALSE)="NE","NE",IF(HLOOKUP(BV$15,Data_5!$F$10:$BG$42,$A29+2,FALSE)="C","C",IF(HLOOKUP(BV$15,Data_5!$F$10:$BG$42,$A29+2,FALSE)="NO","NO",HLOOKUP(BV$15,Data_5!$F$10:$BG$42,$A29+2,FALSE)/Data_5!$BI24))))))),"")</f>
        <v/>
      </c>
      <c r="BW29" s="1122" t="str">
        <f>IFERROR(IF(VLOOKUP($AL29,Data_5!$B$12:$E$42,4,FALSE)="BASIC","",(IF(HLOOKUP(BW$15,Data_5!$F$10:$BG$42,$A29+2,FALSE)="NO","NO",IF(HLOOKUP(BW$15,Data_5!$F$10:$BG$42,$A29+2,FALSE)="IE","IE",IF(HLOOKUP(BW$15,Data_5!$F$10:$BG$42,$A29+2,FALSE)="NE","NE",IF(HLOOKUP(BW$15,Data_5!$F$10:$BG$42,$A29+2,FALSE)="C","C",IF(HLOOKUP(BW$15,Data_5!$F$10:$BG$42,$A29+2,FALSE)="NO","NO",HLOOKUP(BW$15,Data_5!$F$10:$BG$42,$A29+2,FALSE)/Data_5!$BI24))))))),"")</f>
        <v/>
      </c>
      <c r="BX29" s="1122" t="str">
        <f>IFERROR(IF(VLOOKUP($AL29,Data_5!$B$12:$E$42,4,FALSE)="BASIC","",(IF(HLOOKUP(BX$15,Data_5!$F$10:$BG$42,$A29+2,FALSE)="NO","NO",IF(HLOOKUP(BX$15,Data_5!$F$10:$BG$42,$A29+2,FALSE)="IE","IE",IF(HLOOKUP(BX$15,Data_5!$F$10:$BG$42,$A29+2,FALSE)="NE","NE",IF(HLOOKUP(BX$15,Data_5!$F$10:$BG$42,$A29+2,FALSE)="C","C",IF(HLOOKUP(BX$15,Data_5!$F$10:$BG$42,$A29+2,FALSE)="NO","NO",HLOOKUP(BX$15,Data_5!$F$10:$BG$42,$A29+2,FALSE)/Data_5!$BI24))))))),"")</f>
        <v/>
      </c>
      <c r="BY29" s="1122" t="str">
        <f>IFERROR(IF(VLOOKUP($AL29,Data_5!$B$12:$E$42,4,FALSE)="BASIC","",(IF(HLOOKUP(BY$15,Data_5!$F$10:$BG$42,$A29+2,FALSE)="NO","NO",IF(HLOOKUP(BY$15,Data_5!$F$10:$BG$42,$A29+2,FALSE)="IE","IE",IF(HLOOKUP(BY$15,Data_5!$F$10:$BG$42,$A29+2,FALSE)="NE","NE",IF(HLOOKUP(BY$15,Data_5!$F$10:$BG$42,$A29+2,FALSE)="C","C",IF(HLOOKUP(BY$15,Data_5!$F$10:$BG$42,$A29+2,FALSE)="NO","NO",HLOOKUP(BY$15,Data_5!$F$10:$BG$42,$A29+2,FALSE)/Data_5!$BI24))))))),"")</f>
        <v/>
      </c>
      <c r="BZ29" s="1122" t="str">
        <f>IFERROR(IF(VLOOKUP($AL29,Data_5!$B$12:$E$42,4,FALSE)="BASIC","",(IF(HLOOKUP(BZ$15,Data_5!$F$10:$BG$42,$A29+2,FALSE)="NO","NO",IF(HLOOKUP(BZ$15,Data_5!$F$10:$BG$42,$A29+2,FALSE)="IE","IE",IF(HLOOKUP(BZ$15,Data_5!$F$10:$BG$42,$A29+2,FALSE)="NE","NE",IF(HLOOKUP(BZ$15,Data_5!$F$10:$BG$42,$A29+2,FALSE)="C","C",IF(HLOOKUP(BZ$15,Data_5!$F$10:$BG$42,$A29+2,FALSE)="NO","NO",HLOOKUP(BZ$15,Data_5!$F$10:$BG$42,$A29+2,FALSE)/Data_5!$BI24))))))),"")</f>
        <v/>
      </c>
      <c r="CA29" s="1122" t="str">
        <f>IFERROR(IF(VLOOKUP($AL29,Data_5!$B$12:$E$42,4,FALSE)="BASIC","",(IF(HLOOKUP(CA$15,Data_5!$F$10:$BG$42,$A29+2,FALSE)="NO","NO",IF(HLOOKUP(CA$15,Data_5!$F$10:$BG$42,$A29+2,FALSE)="IE","IE",IF(HLOOKUP(CA$15,Data_5!$F$10:$BG$42,$A29+2,FALSE)="NE","NE",IF(HLOOKUP(CA$15,Data_5!$F$10:$BG$42,$A29+2,FALSE)="C","C",IF(HLOOKUP(CA$15,Data_5!$F$10:$BG$42,$A29+2,FALSE)="NO","NO",HLOOKUP(CA$15,Data_5!$F$10:$BG$42,$A29+2,FALSE)/Data_5!$BI24))))))),"")</f>
        <v/>
      </c>
      <c r="CB29" s="1122" t="str">
        <f>IFERROR(IF(VLOOKUP($AL29,Data_5!$B$12:$E$42,4,FALSE)="BASIC","",(IF(HLOOKUP(CB$15,Data_5!$F$10:$BG$42,$A29+2,FALSE)="NO","NO",IF(HLOOKUP(CB$15,Data_5!$F$10:$BG$42,$A29+2,FALSE)="IE","IE",IF(HLOOKUP(CB$15,Data_5!$F$10:$BG$42,$A29+2,FALSE)="NE","NE",IF(HLOOKUP(CB$15,Data_5!$F$10:$BG$42,$A29+2,FALSE)="C","C",IF(HLOOKUP(CB$15,Data_5!$F$10:$BG$42,$A29+2,FALSE)="NO","NO",HLOOKUP(CB$15,Data_5!$F$10:$BG$42,$A29+2,FALSE)/Data_5!$BI24))))))),"")</f>
        <v/>
      </c>
      <c r="CC29" s="1122" t="str">
        <f>IFERROR(IF(VLOOKUP($AL29,Data_5!$B$12:$E$42,4,FALSE)="BASIC","",(IF(HLOOKUP(CC$15,Data_5!$F$10:$BG$42,$A29+2,FALSE)="NO","NO",IF(HLOOKUP(CC$15,Data_5!$F$10:$BG$42,$A29+2,FALSE)="IE","IE",IF(HLOOKUP(CC$15,Data_5!$F$10:$BG$42,$A29+2,FALSE)="NE","NE",IF(HLOOKUP(CC$15,Data_5!$F$10:$BG$42,$A29+2,FALSE)="C","C",IF(HLOOKUP(CC$15,Data_5!$F$10:$BG$42,$A29+2,FALSE)="NO","NO",HLOOKUP(CC$15,Data_5!$F$10:$BG$42,$A29+2,FALSE)/Data_5!$BI24))))))),"")</f>
        <v/>
      </c>
      <c r="CD29" s="1122" t="str">
        <f>IFERROR(IF(VLOOKUP($AL29,Data_5!$B$12:$E$42,4,FALSE)="BASIC","",(IF(HLOOKUP(CD$15,Data_5!$F$10:$BG$42,$A29+2,FALSE)="NO","NO",IF(HLOOKUP(CD$15,Data_5!$F$10:$BG$42,$A29+2,FALSE)="IE","IE",IF(HLOOKUP(CD$15,Data_5!$F$10:$BG$42,$A29+2,FALSE)="NE","NE",IF(HLOOKUP(CD$15,Data_5!$F$10:$BG$42,$A29+2,FALSE)="C","C",IF(HLOOKUP(CD$15,Data_5!$F$10:$BG$42,$A29+2,FALSE)="NO","NO",HLOOKUP(CD$15,Data_5!$F$10:$BG$42,$A29+2,FALSE)/Data_5!$BI24))))))),"")</f>
        <v/>
      </c>
      <c r="CE29" s="1122" t="str">
        <f>IFERROR(IF(VLOOKUP($AL29,Data_5!$B$12:$E$42,4,FALSE)="BASIC","",(IF(HLOOKUP(CE$15,Data_5!$F$10:$BG$42,$A29+2,FALSE)="NO","NO",IF(HLOOKUP(CE$15,Data_5!$F$10:$BG$42,$A29+2,FALSE)="IE","IE",IF(HLOOKUP(CE$15,Data_5!$F$10:$BG$42,$A29+2,FALSE)="NE","NE",IF(HLOOKUP(CE$15,Data_5!$F$10:$BG$42,$A29+2,FALSE)="C","C",IF(HLOOKUP(CE$15,Data_5!$F$10:$BG$42,$A29+2,FALSE)="NO","NO",HLOOKUP(CE$15,Data_5!$F$10:$BG$42,$A29+2,FALSE)/Data_5!$BI24))))))),"")</f>
        <v/>
      </c>
      <c r="CF29" s="1122" t="str">
        <f>IFERROR(IF(VLOOKUP($AL29,Data_5!$B$12:$E$42,4,FALSE)="BASIC","",(IF(HLOOKUP(CF$15,Data_5!$F$10:$BG$42,$A29+2,FALSE)="NO","NO",IF(HLOOKUP(CF$15,Data_5!$F$10:$BG$42,$A29+2,FALSE)="IE","IE",IF(HLOOKUP(CF$15,Data_5!$F$10:$BG$42,$A29+2,FALSE)="NE","NE",IF(HLOOKUP(CF$15,Data_5!$F$10:$BG$42,$A29+2,FALSE)="C","C",IF(HLOOKUP(CF$15,Data_5!$F$10:$BG$42,$A29+2,FALSE)="NO","NO",HLOOKUP(CF$15,Data_5!$F$10:$BG$42,$A29+2,FALSE)/Data_5!$BI24))))))),"")</f>
        <v/>
      </c>
      <c r="CG29" s="1122" t="str">
        <f>IFERROR(IF(VLOOKUP($AL29,Data_5!$B$12:$E$42,4,FALSE)="BASIC","",(IF(HLOOKUP(CG$15,Data_5!$F$10:$BG$42,$A29+2,FALSE)="NO","NO",IF(HLOOKUP(CG$15,Data_5!$F$10:$BG$42,$A29+2,FALSE)="IE","IE",IF(HLOOKUP(CG$15,Data_5!$F$10:$BG$42,$A29+2,FALSE)="NE","NE",IF(HLOOKUP(CG$15,Data_5!$F$10:$BG$42,$A29+2,FALSE)="C","C",IF(HLOOKUP(CG$15,Data_5!$F$10:$BG$42,$A29+2,FALSE)="NO","NO",HLOOKUP(CG$15,Data_5!$F$10:$BG$42,$A29+2,FALSE)/Data_5!$BI24))))))),"")</f>
        <v/>
      </c>
      <c r="CH29" s="1122" t="str">
        <f>IFERROR(IF(VLOOKUP($AL29,Data_5!$B$12:$E$42,4,FALSE)="BASIC","",(IF(HLOOKUP(CH$15,Data_5!$F$10:$BG$42,$A29+2,FALSE)="NO","NO",IF(HLOOKUP(CH$15,Data_5!$F$10:$BG$42,$A29+2,FALSE)="IE","IE",IF(HLOOKUP(CH$15,Data_5!$F$10:$BG$42,$A29+2,FALSE)="NE","NE",IF(HLOOKUP(CH$15,Data_5!$F$10:$BG$42,$A29+2,FALSE)="C","C",IF(HLOOKUP(CH$15,Data_5!$F$10:$BG$42,$A29+2,FALSE)="NO","NO",HLOOKUP(CH$15,Data_5!$F$10:$BG$42,$A29+2,FALSE)/Data_5!$BI24))))))),"")</f>
        <v/>
      </c>
      <c r="CI29" s="1122" t="str">
        <f>IFERROR(IF(VLOOKUP($AL29,Data_5!$B$12:$E$42,4,FALSE)="BASIC","",(IF(HLOOKUP(CI$15,Data_5!$F$10:$BG$42,$A29+2,FALSE)="NO","NO",IF(HLOOKUP(CI$15,Data_5!$F$10:$BG$42,$A29+2,FALSE)="IE","IE",IF(HLOOKUP(CI$15,Data_5!$F$10:$BG$42,$A29+2,FALSE)="NE","NE",IF(HLOOKUP(CI$15,Data_5!$F$10:$BG$42,$A29+2,FALSE)="C","C",IF(HLOOKUP(CI$15,Data_5!$F$10:$BG$42,$A29+2,FALSE)="NO","NO",HLOOKUP(CI$15,Data_5!$F$10:$BG$42,$A29+2,FALSE)/Data_5!$BI24))))))),"")</f>
        <v/>
      </c>
      <c r="CJ29" s="1122" t="str">
        <f>IFERROR(IF(VLOOKUP($AL29,Data_5!$B$12:$E$42,4,FALSE)="BASIC","",(IF(HLOOKUP(CJ$15,Data_5!$F$10:$BG$42,$A29+2,FALSE)="NO","NO",IF(HLOOKUP(CJ$15,Data_5!$F$10:$BG$42,$A29+2,FALSE)="IE","IE",IF(HLOOKUP(CJ$15,Data_5!$F$10:$BG$42,$A29+2,FALSE)="NE","NE",IF(HLOOKUP(CJ$15,Data_5!$F$10:$BG$42,$A29+2,FALSE)="C","C",IF(HLOOKUP(CJ$15,Data_5!$F$10:$BG$42,$A29+2,FALSE)="NO","NO",HLOOKUP(CJ$15,Data_5!$F$10:$BG$42,$A29+2,FALSE)/Data_5!$BI24))))))),"")</f>
        <v/>
      </c>
      <c r="CL29" s="2628" t="str">
        <f t="shared" si="2"/>
        <v>Madrid</v>
      </c>
      <c r="CM29" s="2629"/>
      <c r="CN29" s="1100">
        <f t="shared" si="3"/>
        <v>2013</v>
      </c>
      <c r="CO29" s="1122">
        <f>IFERROR(IF(HLOOKUP(CO$15,Data_5!$F$10:$BG$42,$A29+2,FALSE)="NO","NO",IF(HLOOKUP(CO$15,Data_5!$F$10:$BG$42,$A29+2,FALSE)="IE","IE",IF(HLOOKUP(CO$15,Data_5!$F$10:$BG$42,$A29+2,FALSE)="NE","NE",IF(HLOOKUP(CO$15,Data_5!$F$10:$BG$42,$A29+2,FALSE)="C","C",IF(HLOOKUP(CO$15,Data_5!$F$10:$BG$42,$A29+2,FALSE)="NO","NO",HLOOKUP(CO$15,Data_5!$F$10:$BG$42,$A29+2,FALSE)/Data_5!$BK24))))),"")</f>
        <v>0.2488342545250779</v>
      </c>
      <c r="CP29" s="1122">
        <f>IFERROR(IF(HLOOKUP(CP$15,Data_5!$F$10:$BG$42,$A29+2,FALSE)="NO","NO",IF(HLOOKUP(CP$15,Data_5!$F$10:$BG$42,$A29+2,FALSE)="IE","IE",IF(HLOOKUP(CP$15,Data_5!$F$10:$BG$42,$A29+2,FALSE)="NE","NE",IF(HLOOKUP(CP$15,Data_5!$F$10:$BG$42,$A29+2,FALSE)="C","C",IF(HLOOKUP(CP$15,Data_5!$F$10:$BG$42,$A29+2,FALSE)="NO","NO",HLOOKUP(CP$15,Data_5!$F$10:$BG$42,$A29+2,FALSE)/Data_5!$BK24))))),"")</f>
        <v>0.10487798998581475</v>
      </c>
      <c r="CQ29" s="1122">
        <f>IFERROR(IF(HLOOKUP(CQ$15,Data_5!$F$10:$BG$42,$A29+2,FALSE)="NO","NO",IF(HLOOKUP(CQ$15,Data_5!$F$10:$BG$42,$A29+2,FALSE)="IE","IE",IF(HLOOKUP(CQ$15,Data_5!$F$10:$BG$42,$A29+2,FALSE)="NE","NE",IF(HLOOKUP(CQ$15,Data_5!$F$10:$BG$42,$A29+2,FALSE)="C","C",IF(HLOOKUP(CQ$15,Data_5!$F$10:$BG$42,$A29+2,FALSE)="NO","NO",HLOOKUP(CQ$15,Data_5!$F$10:$BG$42,$A29+2,FALSE)/Data_5!$BK24))))),"")</f>
        <v>4.7587555581299887E-2</v>
      </c>
      <c r="CR29" s="1122">
        <f>IFERROR(IF(HLOOKUP(CR$15,Data_5!$F$10:$BG$42,$A29+2,FALSE)="NO","NO",IF(HLOOKUP(CR$15,Data_5!$F$10:$BG$42,$A29+2,FALSE)="IE","IE",IF(HLOOKUP(CR$15,Data_5!$F$10:$BG$42,$A29+2,FALSE)="NE","NE",IF(HLOOKUP(CR$15,Data_5!$F$10:$BG$42,$A29+2,FALSE)="C","C",IF(HLOOKUP(CR$15,Data_5!$F$10:$BG$42,$A29+2,FALSE)="NO","NO",HLOOKUP(CR$15,Data_5!$F$10:$BG$42,$A29+2,FALSE)/Data_5!$BK24))))),"")</f>
        <v>5.5651149527061131E-3</v>
      </c>
      <c r="CS29" s="1122">
        <f>IFERROR(IF(HLOOKUP(CS$15,Data_5!$F$10:$BG$42,$A29+2,FALSE)="NO","NO",IF(HLOOKUP(CS$15,Data_5!$F$10:$BG$42,$A29+2,FALSE)="IE","IE",IF(HLOOKUP(CS$15,Data_5!$F$10:$BG$42,$A29+2,FALSE)="NE","NE",IF(HLOOKUP(CS$15,Data_5!$F$10:$BG$42,$A29+2,FALSE)="C","C",IF(HLOOKUP(CS$15,Data_5!$F$10:$BG$42,$A29+2,FALSE)="NO","NO",HLOOKUP(CS$15,Data_5!$F$10:$BG$42,$A29+2,FALSE)/Data_5!$BK24))))),"")</f>
        <v>2.8091734370991928E-2</v>
      </c>
      <c r="CT29" s="1122">
        <f>IFERROR(IF(HLOOKUP(CT$15,Data_5!$F$10:$BG$42,$A29+2,FALSE)="NO","NO",IF(HLOOKUP(CT$15,Data_5!$F$10:$BG$42,$A29+2,FALSE)="IE","IE",IF(HLOOKUP(CT$15,Data_5!$F$10:$BG$42,$A29+2,FALSE)="NE","NE",IF(HLOOKUP(CT$15,Data_5!$F$10:$BG$42,$A29+2,FALSE)="C","C",IF(HLOOKUP(CT$15,Data_5!$F$10:$BG$42,$A29+2,FALSE)="NO","NO",HLOOKUP(CT$15,Data_5!$F$10:$BG$42,$A29+2,FALSE)/Data_5!$BK24))))),"")</f>
        <v>4.1161550706415471E-3</v>
      </c>
      <c r="CU29" s="1122">
        <f>IFERROR(IF(HLOOKUP(CU$15,Data_5!$F$10:$BG$42,$A29+2,FALSE)="NO","NO",IF(HLOOKUP(CU$15,Data_5!$F$10:$BG$42,$A29+2,FALSE)="IE","IE",IF(HLOOKUP(CU$15,Data_5!$F$10:$BG$42,$A29+2,FALSE)="NE","NE",IF(HLOOKUP(CU$15,Data_5!$F$10:$BG$42,$A29+2,FALSE)="C","C",IF(HLOOKUP(CU$15,Data_5!$F$10:$BG$42,$A29+2,FALSE)="NO","NO",HLOOKUP(CU$15,Data_5!$F$10:$BG$42,$A29+2,FALSE)/Data_5!$BK24))))),"")</f>
        <v>7.2663983204245847E-3</v>
      </c>
      <c r="CV29" s="1122" t="str">
        <f>IFERROR(IF(HLOOKUP(CV$15,Data_5!$F$10:$BG$42,$A29+2,FALSE)="NO","NO",IF(HLOOKUP(CV$15,Data_5!$F$10:$BG$42,$A29+2,FALSE)="IE","IE",IF(HLOOKUP(CV$15,Data_5!$F$10:$BG$42,$A29+2,FALSE)="NE","NE",IF(HLOOKUP(CV$15,Data_5!$F$10:$BG$42,$A29+2,FALSE)="C","C",IF(HLOOKUP(CV$15,Data_5!$F$10:$BG$42,$A29+2,FALSE)="NO","NO",HLOOKUP(CV$15,Data_5!$F$10:$BG$42,$A29+2,FALSE)/Data_5!$BK24))))),"")</f>
        <v>NO</v>
      </c>
      <c r="CW29" s="1122">
        <f>IFERROR(IF(HLOOKUP(CW$15,Data_5!$F$10:$BG$42,$A29+2,FALSE)="NO","NO",IF(HLOOKUP(CW$15,Data_5!$F$10:$BG$42,$A29+2,FALSE)="IE","IE",IF(HLOOKUP(CW$15,Data_5!$F$10:$BG$42,$A29+2,FALSE)="NE","NE",IF(HLOOKUP(CW$15,Data_5!$F$10:$BG$42,$A29+2,FALSE)="C","C",IF(HLOOKUP(CW$15,Data_5!$F$10:$BG$42,$A29+2,FALSE)="NO","NO",HLOOKUP(CW$15,Data_5!$F$10:$BG$42,$A29+2,FALSE)/Data_5!$BK24))))),"")</f>
        <v>2.6435418269884405E-3</v>
      </c>
      <c r="CX29" s="1122">
        <f>IFERROR(IF(HLOOKUP(CX$15,Data_5!$F$10:$BG$42,$A29+2,FALSE)="NO","NO",IF(HLOOKUP(CX$15,Data_5!$F$10:$BG$42,$A29+2,FALSE)="IE","IE",IF(HLOOKUP(CX$15,Data_5!$F$10:$BG$42,$A29+2,FALSE)="NE","NE",IF(HLOOKUP(CX$15,Data_5!$F$10:$BG$42,$A29+2,FALSE)="C","C",IF(HLOOKUP(CX$15,Data_5!$F$10:$BG$42,$A29+2,FALSE)="NO","NO",HLOOKUP(CX$15,Data_5!$F$10:$BG$42,$A29+2,FALSE)/Data_5!$BK24))))),"")</f>
        <v>0.31624528502091287</v>
      </c>
      <c r="CY29" s="1122">
        <f>IFERROR(IF(HLOOKUP(CY$15,Data_5!$F$10:$BG$42,$A29+2,FALSE)="NO","NO",IF(HLOOKUP(CY$15,Data_5!$F$10:$BG$42,$A29+2,FALSE)="IE","IE",IF(HLOOKUP(CY$15,Data_5!$F$10:$BG$42,$A29+2,FALSE)="NE","NE",IF(HLOOKUP(CY$15,Data_5!$F$10:$BG$42,$A29+2,FALSE)="C","C",IF(HLOOKUP(CY$15,Data_5!$F$10:$BG$42,$A29+2,FALSE)="NO","NO",HLOOKUP(CY$15,Data_5!$F$10:$BG$42,$A29+2,FALSE)/Data_5!$BK24))))),"")</f>
        <v>6.8815836886653987E-4</v>
      </c>
      <c r="CZ29" s="1122" t="str">
        <f>IFERROR(IF(HLOOKUP(CZ$15,Data_5!$F$10:$BG$42,$A29+2,FALSE)="NO","NO",IF(HLOOKUP(CZ$15,Data_5!$F$10:$BG$42,$A29+2,FALSE)="IE","IE",IF(HLOOKUP(CZ$15,Data_5!$F$10:$BG$42,$A29+2,FALSE)="NE","NE",IF(HLOOKUP(CZ$15,Data_5!$F$10:$BG$42,$A29+2,FALSE)="C","C",IF(HLOOKUP(CZ$15,Data_5!$F$10:$BG$42,$A29+2,FALSE)="NO","NO",HLOOKUP(CZ$15,Data_5!$F$10:$BG$42,$A29+2,FALSE)/Data_5!$BK24))))),"")</f>
        <v>NO</v>
      </c>
      <c r="DA29" s="1122">
        <f>IFERROR(IF(HLOOKUP(DA$15,Data_5!$F$10:$BG$42,$A29+2,FALSE)="NO","NO",IF(HLOOKUP(DA$15,Data_5!$F$10:$BG$42,$A29+2,FALSE)="IE","IE",IF(HLOOKUP(DA$15,Data_5!$F$10:$BG$42,$A29+2,FALSE)="NE","NE",IF(HLOOKUP(DA$15,Data_5!$F$10:$BG$42,$A29+2,FALSE)="C","C",IF(HLOOKUP(DA$15,Data_5!$F$10:$BG$42,$A29+2,FALSE)="NO","NO",HLOOKUP(DA$15,Data_5!$F$10:$BG$42,$A29+2,FALSE)/Data_5!$BK24))))),"")</f>
        <v>7.4484874956949318E-2</v>
      </c>
      <c r="DB29" s="1122" t="str">
        <f>IFERROR(IF(HLOOKUP(DB$15,Data_5!$F$10:$BG$42,$A29+2,FALSE)="NO","NO",IF(HLOOKUP(DB$15,Data_5!$F$10:$BG$42,$A29+2,FALSE)="IE","IE",IF(HLOOKUP(DB$15,Data_5!$F$10:$BG$42,$A29+2,FALSE)="NE","NE",IF(HLOOKUP(DB$15,Data_5!$F$10:$BG$42,$A29+2,FALSE)="C","C",IF(HLOOKUP(DB$15,Data_5!$F$10:$BG$42,$A29+2,FALSE)="NO","NO",HLOOKUP(DB$15,Data_5!$F$10:$BG$42,$A29+2,FALSE)/Data_5!$BK24))))),"")</f>
        <v>NO</v>
      </c>
      <c r="DC29" s="1122">
        <f>IFERROR(IF(HLOOKUP(DC$15,Data_5!$F$10:$BG$42,$A29+2,FALSE)="NO","NO",IF(HLOOKUP(DC$15,Data_5!$F$10:$BG$42,$A29+2,FALSE)="IE","IE",IF(HLOOKUP(DC$15,Data_5!$F$10:$BG$42,$A29+2,FALSE)="NE","NE",IF(HLOOKUP(DC$15,Data_5!$F$10:$BG$42,$A29+2,FALSE)="C","C",IF(HLOOKUP(DC$15,Data_5!$F$10:$BG$42,$A29+2,FALSE)="NO","NO",HLOOKUP(DC$15,Data_5!$F$10:$BG$42,$A29+2,FALSE)/Data_5!$BK24))))),"")</f>
        <v>4.9739876798833793E-2</v>
      </c>
      <c r="DD29" s="1122">
        <f>IFERROR(IF(HLOOKUP(DD$15,Data_5!$F$10:$BG$42,$A29+2,FALSE)="NO","NO",IF(HLOOKUP(DD$15,Data_5!$F$10:$BG$42,$A29+2,FALSE)="IE","IE",IF(HLOOKUP(DD$15,Data_5!$F$10:$BG$42,$A29+2,FALSE)="NE","NE",IF(HLOOKUP(DD$15,Data_5!$F$10:$BG$42,$A29+2,FALSE)="C","C",IF(HLOOKUP(DD$15,Data_5!$F$10:$BG$42,$A29+2,FALSE)="NO","NO",HLOOKUP(DD$15,Data_5!$F$10:$BG$42,$A29+2,FALSE)/Data_5!$BK24))))),"")</f>
        <v>8.4990839119244077E-4</v>
      </c>
      <c r="DE29" s="1122">
        <f>IFERROR(IF(HLOOKUP(DE$15,Data_5!$F$10:$BG$42,$A29+2,FALSE)="NO","NO",IF(HLOOKUP(DE$15,Data_5!$F$10:$BG$42,$A29+2,FALSE)="IE","IE",IF(HLOOKUP(DE$15,Data_5!$F$10:$BG$42,$A29+2,FALSE)="NE","NE",IF(HLOOKUP(DE$15,Data_5!$F$10:$BG$42,$A29+2,FALSE)="C","C",IF(HLOOKUP(DE$15,Data_5!$F$10:$BG$42,$A29+2,FALSE)="NO","NO",HLOOKUP(DE$15,Data_5!$F$10:$BG$42,$A29+2,FALSE)/Data_5!$BK24))))),"")</f>
        <v>5.4082233551712281E-4</v>
      </c>
      <c r="DF29" s="1122" t="str">
        <f>IFERROR(IF(HLOOKUP(DF$15,Data_5!$F$10:$BG$42,$A29+2,FALSE)="NO","NO",IF(HLOOKUP(DF$15,Data_5!$F$10:$BG$42,$A29+2,FALSE)="IE","IE",IF(HLOOKUP(DF$15,Data_5!$F$10:$BG$42,$A29+2,FALSE)="NE","NE",IF(HLOOKUP(DF$15,Data_5!$F$10:$BG$42,$A29+2,FALSE)="C","C",IF(HLOOKUP(DF$15,Data_5!$F$10:$BG$42,$A29+2,FALSE)="NO","NO",HLOOKUP(DF$15,Data_5!$F$10:$BG$42,$A29+2,FALSE)/Data_5!$BK24))))),"")</f>
        <v>IE</v>
      </c>
      <c r="DG29" s="1122">
        <f>IFERROR(IF(HLOOKUP(DG$15,Data_5!$F$10:$BG$42,$A29+2,FALSE)="NO","NO",IF(HLOOKUP(DG$15,Data_5!$F$10:$BG$42,$A29+2,FALSE)="IE","IE",IF(HLOOKUP(DG$15,Data_5!$F$10:$BG$42,$A29+2,FALSE)="NE","NE",IF(HLOOKUP(DG$15,Data_5!$F$10:$BG$42,$A29+2,FALSE)="C","C",IF(HLOOKUP(DG$15,Data_5!$F$10:$BG$42,$A29+2,FALSE)="NO","NO",HLOOKUP(DG$15,Data_5!$F$10:$BG$42,$A29+2,FALSE)/Data_5!$BK24))))),"")</f>
        <v>5.5177832592694411E-5</v>
      </c>
      <c r="DH29" s="1122" t="str">
        <f>IFERROR(IF(HLOOKUP(DH$15,Data_5!$F$10:$BG$42,$A29+2,FALSE)="NO","NO",IF(HLOOKUP(DH$15,Data_5!$F$10:$BG$42,$A29+2,FALSE)="IE","IE",IF(HLOOKUP(DH$15,Data_5!$F$10:$BG$42,$A29+2,FALSE)="NE","NE",IF(HLOOKUP(DH$15,Data_5!$F$10:$BG$42,$A29+2,FALSE)="C","C",IF(HLOOKUP(DH$15,Data_5!$F$10:$BG$42,$A29+2,FALSE)="NO","NO",HLOOKUP(DH$15,Data_5!$F$10:$BG$42,$A29+2,FALSE)/Data_5!$BK24))))),"")</f>
        <v>IE</v>
      </c>
      <c r="DI29" s="1122">
        <f>IFERROR(IF(HLOOKUP(DI$15,Data_5!$F$10:$BG$42,$A29+2,FALSE)="NO","NO",IF(HLOOKUP(DI$15,Data_5!$F$10:$BG$42,$A29+2,FALSE)="IE","IE",IF(HLOOKUP(DI$15,Data_5!$F$10:$BG$42,$A29+2,FALSE)="NE","NE",IF(HLOOKUP(DI$15,Data_5!$F$10:$BG$42,$A29+2,FALSE)="C","C",IF(HLOOKUP(DI$15,Data_5!$F$10:$BG$42,$A29+2,FALSE)="NO","NO",HLOOKUP(DI$15,Data_5!$F$10:$BG$42,$A29+2,FALSE)/Data_5!$BK24))))),"")</f>
        <v>1.3158557098760121E-2</v>
      </c>
      <c r="DJ29" s="1122" t="str">
        <f>IFERROR(IF(HLOOKUP(DJ$15,Data_5!$F$10:$BG$42,$A29+2,FALSE)="NO","NO",IF(HLOOKUP(DJ$15,Data_5!$F$10:$BG$42,$A29+2,FALSE)="IE","IE",IF(HLOOKUP(DJ$15,Data_5!$F$10:$BG$42,$A29+2,FALSE)="NE","NE",IF(HLOOKUP(DJ$15,Data_5!$F$10:$BG$42,$A29+2,FALSE)="C","C",IF(HLOOKUP(DJ$15,Data_5!$F$10:$BG$42,$A29+2,FALSE)="NO","NO",HLOOKUP(DJ$15,Data_5!$F$10:$BG$42,$A29+2,FALSE)/Data_5!$BK24))))),"")</f>
        <v>NO</v>
      </c>
      <c r="DK29" s="1122">
        <f>IFERROR(IF(HLOOKUP(DK$15,Data_5!$F$10:$BG$42,$A29+2,FALSE)="NO","NO",IF(HLOOKUP(DK$15,Data_5!$F$10:$BG$42,$A29+2,FALSE)="IE","IE",IF(HLOOKUP(DK$15,Data_5!$F$10:$BG$42,$A29+2,FALSE)="NE","NE",IF(HLOOKUP(DK$15,Data_5!$F$10:$BG$42,$A29+2,FALSE)="C","C",IF(HLOOKUP(DK$15,Data_5!$F$10:$BG$42,$A29+2,FALSE)="NO","NO",HLOOKUP(DK$15,Data_5!$F$10:$BG$42,$A29+2,FALSE)/Data_5!$BK24))))),"")</f>
        <v>1.7293140676267327E-4</v>
      </c>
      <c r="DL29" s="1122">
        <f>IFERROR(IF(HLOOKUP(DL$15,Data_5!$F$10:$BG$42,$A29+2,FALSE)="NO","NO",IF(HLOOKUP(DL$15,Data_5!$F$10:$BG$42,$A29+2,FALSE)="IE","IE",IF(HLOOKUP(DL$15,Data_5!$F$10:$BG$42,$A29+2,FALSE)="NE","NE",IF(HLOOKUP(DL$15,Data_5!$F$10:$BG$42,$A29+2,FALSE)="C","C",IF(HLOOKUP(DL$15,Data_5!$F$10:$BG$42,$A29+2,FALSE)="NO","NO",HLOOKUP(DL$15,Data_5!$F$10:$BG$42,$A29+2,FALSE)/Data_5!$BK24))))),"")</f>
        <v>9.9854235171528236E-2</v>
      </c>
      <c r="DM29" s="1122">
        <f>IFERROR(IF(HLOOKUP(DM$15,Data_5!$F$10:$BG$42,$A29+2,FALSE)="NO","NO",IF(HLOOKUP(DM$15,Data_5!$F$10:$BG$42,$A29+2,FALSE)="IE","IE",IF(HLOOKUP(DM$15,Data_5!$F$10:$BG$42,$A29+2,FALSE)="NE","NE",IF(HLOOKUP(DM$15,Data_5!$F$10:$BG$42,$A29+2,FALSE)="C","C",IF(HLOOKUP(DM$15,Data_5!$F$10:$BG$42,$A29+2,FALSE)="NO","NO",HLOOKUP(DM$15,Data_5!$F$10:$BG$42,$A29+2,FALSE)/Data_5!$BK24))))),"")</f>
        <v>3.3381705723905224E-4</v>
      </c>
      <c r="DN29" s="1122">
        <f>IFERROR(IF(HLOOKUP(DN$15,Data_5!$F$10:$BG$42,$A29+2,FALSE)="NO","NO",IF(HLOOKUP(DN$15,Data_5!$F$10:$BG$42,$A29+2,FALSE)="IE","IE",IF(HLOOKUP(DN$15,Data_5!$F$10:$BG$42,$A29+2,FALSE)="NE","NE",IF(HLOOKUP(DN$15,Data_5!$F$10:$BG$42,$A29+2,FALSE)="C","C",IF(HLOOKUP(DN$15,Data_5!$F$10:$BG$42,$A29+2,FALSE)="NO","NO",HLOOKUP(DN$15,Data_5!$F$10:$BG$42,$A29+2,FALSE)/Data_5!$BK24))))),"")</f>
        <v>-6.3863434577352222E-3</v>
      </c>
      <c r="DO29" s="1122">
        <f>IFERROR(IF(HLOOKUP(DO$15,Data_5!$F$10:$BG$42,$A29+2,FALSE)="NO","NO",IF(HLOOKUP(DO$15,Data_5!$F$10:$BG$42,$A29+2,FALSE)="IE","IE",IF(HLOOKUP(DO$15,Data_5!$F$10:$BG$42,$A29+2,FALSE)="NE","NE",IF(HLOOKUP(DO$15,Data_5!$F$10:$BG$42,$A29+2,FALSE)="C","C",IF(HLOOKUP(DO$15,Data_5!$F$10:$BG$42,$A29+2,FALSE)="NO","NO",HLOOKUP(DO$15,Data_5!$F$10:$BG$42,$A29+2,FALSE)/Data_5!$BK24))))),"")</f>
        <v>1.279954384635107E-3</v>
      </c>
    </row>
    <row r="30" spans="1:119" s="15" customFormat="1" ht="15" customHeight="1">
      <c r="A30" s="1789">
        <v>14</v>
      </c>
      <c r="B30" s="2628" t="str">
        <f>IF(Data_5!B25&lt;&gt;"",Data_5!B25,"")</f>
        <v>City of Melbourne</v>
      </c>
      <c r="C30" s="2629"/>
      <c r="D30" s="1462">
        <f>IFERROR(VLOOKUP($B30,Data_5!$B$12:$C$42,2,FALSE),"")</f>
        <v>2013</v>
      </c>
      <c r="E30" s="1122">
        <f>IFERROR(IF(HLOOKUP(E$15,Data_5!$F$10:$BG$42,$A30+2,FALSE)="NO","NO",IF(HLOOKUP(E$15,Data_5!$F$10:$BG$42,$A30+2,FALSE)="IE","IE",IF(HLOOKUP(E$15,Data_5!$F$10:$BG$42,$A30+2,FALSE)="NE","NE",IF(HLOOKUP(E$15,Data_5!$F$10:$BG$42,$A30+2,FALSE)="C","C",IF(HLOOKUP(E$15,Data_5!$F$10:$BG$42,$A30+2,FALSE)="NO","NO",HLOOKUP(E$15,Data_5!$F$10:$BG$42,$A30+2,FALSE)/Data_5!$BH25))))),"")</f>
        <v>7.4237609305017934E-3</v>
      </c>
      <c r="F30" s="1122">
        <f>IFERROR(IF(HLOOKUP(F$15,Data_5!$F$10:$BG$42,$A30+2,FALSE)="NO","NO",IF(HLOOKUP(F$15,Data_5!$F$10:$BG$42,$A30+2,FALSE)="IE","IE",IF(HLOOKUP(F$15,Data_5!$F$10:$BG$42,$A30+2,FALSE)="NE","NE",IF(HLOOKUP(F$15,Data_5!$F$10:$BG$42,$A30+2,FALSE)="C","C",IF(HLOOKUP(F$15,Data_5!$F$10:$BG$42,$A30+2,FALSE)="NO","NO",HLOOKUP(F$15,Data_5!$F$10:$BG$42,$A30+2,FALSE)/Data_5!$BH25))))),"")</f>
        <v>5.7150176595594411E-2</v>
      </c>
      <c r="G30" s="1122">
        <f>IFERROR(IF(HLOOKUP(G$15,Data_5!$F$10:$BG$42,$A30+2,FALSE)="NO","NO",IF(HLOOKUP(G$15,Data_5!$F$10:$BG$42,$A30+2,FALSE)="IE","IE",IF(HLOOKUP(G$15,Data_5!$F$10:$BG$42,$A30+2,FALSE)="NE","NE",IF(HLOOKUP(G$15,Data_5!$F$10:$BG$42,$A30+2,FALSE)="C","C",IF(HLOOKUP(G$15,Data_5!$F$10:$BG$42,$A30+2,FALSE)="NO","NO",HLOOKUP(G$15,Data_5!$F$10:$BG$42,$A30+2,FALSE)/Data_5!$BH25))))),"")</f>
        <v>1.9322478161458802E-2</v>
      </c>
      <c r="H30" s="1122">
        <f>IFERROR(IF(HLOOKUP(H$15,Data_5!$F$10:$BG$42,$A30+2,FALSE)="NO","NO",IF(HLOOKUP(H$15,Data_5!$F$10:$BG$42,$A30+2,FALSE)="IE","IE",IF(HLOOKUP(H$15,Data_5!$F$10:$BG$42,$A30+2,FALSE)="NE","NE",IF(HLOOKUP(H$15,Data_5!$F$10:$BG$42,$A30+2,FALSE)="C","C",IF(HLOOKUP(H$15,Data_5!$F$10:$BG$42,$A30+2,FALSE)="NO","NO",HLOOKUP(H$15,Data_5!$F$10:$BG$42,$A30+2,FALSE)/Data_5!$BH25))))),"")</f>
        <v>0.7278923751601527</v>
      </c>
      <c r="I30" s="1122">
        <f>IFERROR(IF(HLOOKUP(I$15,Data_5!$F$10:$BG$42,$A30+2,FALSE)="NO","NO",IF(HLOOKUP(I$15,Data_5!$F$10:$BG$42,$A30+2,FALSE)="IE","IE",IF(HLOOKUP(I$15,Data_5!$F$10:$BG$42,$A30+2,FALSE)="NE","NE",IF(HLOOKUP(I$15,Data_5!$F$10:$BG$42,$A30+2,FALSE)="C","C",IF(HLOOKUP(I$15,Data_5!$F$10:$BG$42,$A30+2,FALSE)="NO","NO",HLOOKUP(I$15,Data_5!$F$10:$BG$42,$A30+2,FALSE)/Data_5!$BH25))))),"")</f>
        <v>2.0704167932637473E-2</v>
      </c>
      <c r="J30" s="1122">
        <f>IFERROR(IF(HLOOKUP(J$15,Data_5!$F$10:$BG$42,$A30+2,FALSE)="NO","NO",IF(HLOOKUP(J$15,Data_5!$F$10:$BG$42,$A30+2,FALSE)="IE","IE",IF(HLOOKUP(J$15,Data_5!$F$10:$BG$42,$A30+2,FALSE)="NE","NE",IF(HLOOKUP(J$15,Data_5!$F$10:$BG$42,$A30+2,FALSE)="C","C",IF(HLOOKUP(J$15,Data_5!$F$10:$BG$42,$A30+2,FALSE)="NO","NO",HLOOKUP(J$15,Data_5!$F$10:$BG$42,$A30+2,FALSE)/Data_5!$BH25))))),"")</f>
        <v>2.8615463998920537E-2</v>
      </c>
      <c r="K30" s="1122" t="str">
        <f>IFERROR(IF(HLOOKUP(K$15,Data_5!$F$10:$BG$42,$A30+2,FALSE)="NO","NO",IF(HLOOKUP(K$15,Data_5!$F$10:$BG$42,$A30+2,FALSE)="IE","IE",IF(HLOOKUP(K$15,Data_5!$F$10:$BG$42,$A30+2,FALSE)="NE","NE",IF(HLOOKUP(K$15,Data_5!$F$10:$BG$42,$A30+2,FALSE)="C","C",IF(HLOOKUP(K$15,Data_5!$F$10:$BG$42,$A30+2,FALSE)="NO","NO",HLOOKUP(K$15,Data_5!$F$10:$BG$42,$A30+2,FALSE)/Data_5!$BH25))))),"")</f>
        <v>NO</v>
      </c>
      <c r="L30" s="1122" t="str">
        <f>IFERROR(IF(HLOOKUP(L$15,Data_5!$F$10:$BG$42,$A30+2,FALSE)="NO","NO",IF(HLOOKUP(L$15,Data_5!$F$10:$BG$42,$A30+2,FALSE)="IE","IE",IF(HLOOKUP(L$15,Data_5!$F$10:$BG$42,$A30+2,FALSE)="NE","NE",IF(HLOOKUP(L$15,Data_5!$F$10:$BG$42,$A30+2,FALSE)="C","C",IF(HLOOKUP(L$15,Data_5!$F$10:$BG$42,$A30+2,FALSE)="NO","NO",HLOOKUP(L$15,Data_5!$F$10:$BG$42,$A30+2,FALSE)/Data_5!$BH25))))),"")</f>
        <v>NO</v>
      </c>
      <c r="M30" s="1122" t="str">
        <f>IFERROR(IF(HLOOKUP(M$15,Data_5!$F$10:$BG$42,$A30+2,FALSE)="NO","NO",IF(HLOOKUP(M$15,Data_5!$F$10:$BG$42,$A30+2,FALSE)="IE","IE",IF(HLOOKUP(M$15,Data_5!$F$10:$BG$42,$A30+2,FALSE)="NE","NE",IF(HLOOKUP(M$15,Data_5!$F$10:$BG$42,$A30+2,FALSE)="C","C",IF(HLOOKUP(M$15,Data_5!$F$10:$BG$42,$A30+2,FALSE)="NO","NO",HLOOKUP(M$15,Data_5!$F$10:$BG$42,$A30+2,FALSE)/Data_5!$BH25))))),"")</f>
        <v>NO</v>
      </c>
      <c r="N30" s="1122" t="str">
        <f>IFERROR(IF(HLOOKUP(N$15,Data_5!$F$10:$BG$42,$A30+2,FALSE)="NO","NO",IF(HLOOKUP(N$15,Data_5!$F$10:$BG$42,$A30+2,FALSE)="IE","IE",IF(HLOOKUP(N$15,Data_5!$F$10:$BG$42,$A30+2,FALSE)="NE","NE",IF(HLOOKUP(N$15,Data_5!$F$10:$BG$42,$A30+2,FALSE)="C","C",IF(HLOOKUP(N$15,Data_5!$F$10:$BG$42,$A30+2,FALSE)="NO","NO",HLOOKUP(N$15,Data_5!$F$10:$BG$42,$A30+2,FALSE)/Data_5!$BH25))))),"")</f>
        <v>NO</v>
      </c>
      <c r="O30" s="1122" t="str">
        <f>IFERROR(IF(HLOOKUP(O$15,Data_5!$F$10:$BG$42,$A30+2,FALSE)="NO","NO",IF(HLOOKUP(O$15,Data_5!$F$10:$BG$42,$A30+2,FALSE)="IE","IE",IF(HLOOKUP(O$15,Data_5!$F$10:$BG$42,$A30+2,FALSE)="NE","NE",IF(HLOOKUP(O$15,Data_5!$F$10:$BG$42,$A30+2,FALSE)="C","C",IF(HLOOKUP(O$15,Data_5!$F$10:$BG$42,$A30+2,FALSE)="NO","NO",HLOOKUP(O$15,Data_5!$F$10:$BG$42,$A30+2,FALSE)/Data_5!$BH25))))),"")</f>
        <v>IE</v>
      </c>
      <c r="P30" s="1122" t="str">
        <f>IFERROR(IF(HLOOKUP(P$15,Data_5!$F$10:$BG$42,$A30+2,FALSE)="NO","NO",IF(HLOOKUP(P$15,Data_5!$F$10:$BG$42,$A30+2,FALSE)="IE","IE",IF(HLOOKUP(P$15,Data_5!$F$10:$BG$42,$A30+2,FALSE)="NE","NE",IF(HLOOKUP(P$15,Data_5!$F$10:$BG$42,$A30+2,FALSE)="C","C",IF(HLOOKUP(P$15,Data_5!$F$10:$BG$42,$A30+2,FALSE)="NO","NO",HLOOKUP(P$15,Data_5!$F$10:$BG$42,$A30+2,FALSE)/Data_5!$BH25))))),"")</f>
        <v>IE</v>
      </c>
      <c r="Q30" s="1122" t="str">
        <f>IFERROR(IF(HLOOKUP(Q$15,Data_5!$F$10:$BG$42,$A30+2,FALSE)="NO","NO",IF(HLOOKUP(Q$15,Data_5!$F$10:$BG$42,$A30+2,FALSE)="IE","IE",IF(HLOOKUP(Q$15,Data_5!$F$10:$BG$42,$A30+2,FALSE)="NE","NE",IF(HLOOKUP(Q$15,Data_5!$F$10:$BG$42,$A30+2,FALSE)="C","C",IF(HLOOKUP(Q$15,Data_5!$F$10:$BG$42,$A30+2,FALSE)="NO","NO",HLOOKUP(Q$15,Data_5!$F$10:$BG$42,$A30+2,FALSE)/Data_5!$BH25))))),"")</f>
        <v>NO</v>
      </c>
      <c r="R30" s="1122" t="str">
        <f>IFERROR(IF(HLOOKUP(R$15,Data_5!$F$10:$BG$42,$A30+2,FALSE)="NO","NO",IF(HLOOKUP(R$15,Data_5!$F$10:$BG$42,$A30+2,FALSE)="IE","IE",IF(HLOOKUP(R$15,Data_5!$F$10:$BG$42,$A30+2,FALSE)="NE","NE",IF(HLOOKUP(R$15,Data_5!$F$10:$BG$42,$A30+2,FALSE)="C","C",IF(HLOOKUP(R$15,Data_5!$F$10:$BG$42,$A30+2,FALSE)="NO","NO",HLOOKUP(R$15,Data_5!$F$10:$BG$42,$A30+2,FALSE)/Data_5!$BH25))))),"")</f>
        <v>NO</v>
      </c>
      <c r="S30" s="1122">
        <f>IFERROR(IF(HLOOKUP(S$15,Data_5!$F$10:$BG$42,$A30+2,FALSE)="NO","NO",IF(HLOOKUP(S$15,Data_5!$F$10:$BG$42,$A30+2,FALSE)="IE","IE",IF(HLOOKUP(S$15,Data_5!$F$10:$BG$42,$A30+2,FALSE)="NE","NE",IF(HLOOKUP(S$15,Data_5!$F$10:$BG$42,$A30+2,FALSE)="C","C",IF(HLOOKUP(S$15,Data_5!$F$10:$BG$42,$A30+2,FALSE)="NO","NO",HLOOKUP(S$15,Data_5!$F$10:$BG$42,$A30+2,FALSE)/Data_5!$BH25))))),"")</f>
        <v>7.6871612822523791E-2</v>
      </c>
      <c r="T30" s="1122" t="str">
        <f>IFERROR(IF(HLOOKUP(T$15,Data_5!$F$10:$BG$42,$A30+2,FALSE)="NO","NO",IF(HLOOKUP(T$15,Data_5!$F$10:$BG$42,$A30+2,FALSE)="IE","IE",IF(HLOOKUP(T$15,Data_5!$F$10:$BG$42,$A30+2,FALSE)="NE","NE",IF(HLOOKUP(T$15,Data_5!$F$10:$BG$42,$A30+2,FALSE)="C","C",IF(HLOOKUP(T$15,Data_5!$F$10:$BG$42,$A30+2,FALSE)="NO","NO",HLOOKUP(T$15,Data_5!$F$10:$BG$42,$A30+2,FALSE)/Data_5!$BH25))))),"")</f>
        <v>IE</v>
      </c>
      <c r="U30" s="1122" t="str">
        <f>IFERROR(IF(HLOOKUP(U$15,Data_5!$F$10:$BG$42,$A30+2,FALSE)="NO","NO",IF(HLOOKUP(U$15,Data_5!$F$10:$BG$42,$A30+2,FALSE)="IE","IE",IF(HLOOKUP(U$15,Data_5!$F$10:$BG$42,$A30+2,FALSE)="NE","NE",IF(HLOOKUP(U$15,Data_5!$F$10:$BG$42,$A30+2,FALSE)="C","C",IF(HLOOKUP(U$15,Data_5!$F$10:$BG$42,$A30+2,FALSE)="NO","NO",HLOOKUP(U$15,Data_5!$F$10:$BG$42,$A30+2,FALSE)/Data_5!$BH25))))),"")</f>
        <v>NO</v>
      </c>
      <c r="V30" s="1122">
        <f>IFERROR(IF(HLOOKUP(V$15,Data_5!$F$10:$BG$42,$A30+2,FALSE)="NO","NO",IF(HLOOKUP(V$15,Data_5!$F$10:$BG$42,$A30+2,FALSE)="IE","IE",IF(HLOOKUP(V$15,Data_5!$F$10:$BG$42,$A30+2,FALSE)="NE","NE",IF(HLOOKUP(V$15,Data_5!$F$10:$BG$42,$A30+2,FALSE)="C","C",IF(HLOOKUP(V$15,Data_5!$F$10:$BG$42,$A30+2,FALSE)="NO","NO",HLOOKUP(V$15,Data_5!$F$10:$BG$42,$A30+2,FALSE)/Data_5!$BH25))))),"")</f>
        <v>3.49645944256212E-2</v>
      </c>
      <c r="W30" s="1122" t="str">
        <f>IFERROR(IF(HLOOKUP(W$15,Data_5!$F$10:$BG$42,$A30+2,FALSE)="NO","NO",IF(HLOOKUP(W$15,Data_5!$F$10:$BG$42,$A30+2,FALSE)="IE","IE",IF(HLOOKUP(W$15,Data_5!$F$10:$BG$42,$A30+2,FALSE)="NE","NE",IF(HLOOKUP(W$15,Data_5!$F$10:$BG$42,$A30+2,FALSE)="C","C",IF(HLOOKUP(W$15,Data_5!$F$10:$BG$42,$A30+2,FALSE)="NO","NO",HLOOKUP(W$15,Data_5!$F$10:$BG$42,$A30+2,FALSE)/Data_5!$BH25))))),"")</f>
        <v>NO</v>
      </c>
      <c r="X30" s="1122" t="str">
        <f>IFERROR(IF(HLOOKUP(X$15,Data_5!$F$10:$BG$42,$A30+2,FALSE)="NO","NO",IF(HLOOKUP(X$15,Data_5!$F$10:$BG$42,$A30+2,FALSE)="IE","IE",IF(HLOOKUP(X$15,Data_5!$F$10:$BG$42,$A30+2,FALSE)="NE","NE",IF(HLOOKUP(X$15,Data_5!$F$10:$BG$42,$A30+2,FALSE)="C","C",IF(HLOOKUP(X$15,Data_5!$F$10:$BG$42,$A30+2,FALSE)="NO","NO",HLOOKUP(X$15,Data_5!$F$10:$BG$42,$A30+2,FALSE)/Data_5!$BH25))))),"")</f>
        <v>IE</v>
      </c>
      <c r="Y30" s="1122" t="str">
        <f>IFERROR(IF(HLOOKUP(Y$15,Data_5!$F$10:$BG$42,$A30+2,FALSE)="NO","NO",IF(HLOOKUP(Y$15,Data_5!$F$10:$BG$42,$A30+2,FALSE)="IE","IE",IF(HLOOKUP(Y$15,Data_5!$F$10:$BG$42,$A30+2,FALSE)="NE","NE",IF(HLOOKUP(Y$15,Data_5!$F$10:$BG$42,$A30+2,FALSE)="C","C",IF(HLOOKUP(Y$15,Data_5!$F$10:$BG$42,$A30+2,FALSE)="NO","NO",HLOOKUP(Y$15,Data_5!$F$10:$BG$42,$A30+2,FALSE)/Data_5!$BH25))))),"")</f>
        <v>NO</v>
      </c>
      <c r="Z30" s="1122" t="str">
        <f>IFERROR(IF(HLOOKUP(Z$15,Data_5!$F$10:$BG$42,$A30+2,FALSE)="NO","NO",IF(HLOOKUP(Z$15,Data_5!$F$10:$BG$42,$A30+2,FALSE)="IE","IE",IF(HLOOKUP(Z$15,Data_5!$F$10:$BG$42,$A30+2,FALSE)="NE","NE",IF(HLOOKUP(Z$15,Data_5!$F$10:$BG$42,$A30+2,FALSE)="C","C",IF(HLOOKUP(Z$15,Data_5!$F$10:$BG$42,$A30+2,FALSE)="NO","NO",HLOOKUP(Z$15,Data_5!$F$10:$BG$42,$A30+2,FALSE)/Data_5!$BH25))))),"")</f>
        <v>NO</v>
      </c>
      <c r="AA30" s="1122">
        <f>IFERROR(IF(HLOOKUP(AA$15,Data_5!$F$10:$BG$42,$A30+2,FALSE)="NO","NO",IF(HLOOKUP(AA$15,Data_5!$F$10:$BG$42,$A30+2,FALSE)="IE","IE",IF(HLOOKUP(AA$15,Data_5!$F$10:$BG$42,$A30+2,FALSE)="NE","NE",IF(HLOOKUP(AA$15,Data_5!$F$10:$BG$42,$A30+2,FALSE)="C","C",IF(HLOOKUP(AA$15,Data_5!$F$10:$BG$42,$A30+2,FALSE)="NO","NO",HLOOKUP(AA$15,Data_5!$F$10:$BG$42,$A30+2,FALSE)/Data_5!$BH25))))),"")</f>
        <v>1.0039109287299475E-3</v>
      </c>
      <c r="AB30" s="1122" t="str">
        <f>IFERROR(IF(HLOOKUP(AB$15,Data_5!$F$10:$BG$42,$A30+2,FALSE)="NO","NO",IF(HLOOKUP(AB$15,Data_5!$F$10:$BG$42,$A30+2,FALSE)="IE","IE",IF(HLOOKUP(AB$15,Data_5!$F$10:$BG$42,$A30+2,FALSE)="NE","NE",IF(HLOOKUP(AB$15,Data_5!$F$10:$BG$42,$A30+2,FALSE)="C","C",IF(HLOOKUP(AB$15,Data_5!$F$10:$BG$42,$A30+2,FALSE)="NO","NO",HLOOKUP(AB$15,Data_5!$F$10:$BG$42,$A30+2,FALSE)/Data_5!$BH25))))),"")</f>
        <v>NO</v>
      </c>
      <c r="AC30" s="1122" t="str">
        <f>IFERROR(IF(HLOOKUP(AC$15,Data_5!$F$10:$BG$42,$A30+2,FALSE)="NO","NO",IF(HLOOKUP(AC$15,Data_5!$F$10:$BG$42,$A30+2,FALSE)="IE","IE",IF(HLOOKUP(AC$15,Data_5!$F$10:$BG$42,$A30+2,FALSE)="NE","NE",IF(HLOOKUP(AC$15,Data_5!$F$10:$BG$42,$A30+2,FALSE)="C","C",IF(HLOOKUP(AC$15,Data_5!$F$10:$BG$42,$A30+2,FALSE)="NO","NO",HLOOKUP(AC$15,Data_5!$F$10:$BG$42,$A30+2,FALSE)/Data_5!$BH25))))),"")</f>
        <v>NO</v>
      </c>
      <c r="AD30" s="1122">
        <f>IFERROR(IF(HLOOKUP(AD$15,Data_5!$F$10:$BG$42,$A30+2,FALSE)="NO","NO",IF(HLOOKUP(AD$15,Data_5!$F$10:$BG$42,$A30+2,FALSE)="IE","IE",IF(HLOOKUP(AD$15,Data_5!$F$10:$BG$42,$A30+2,FALSE)="NE","NE",IF(HLOOKUP(AD$15,Data_5!$F$10:$BG$42,$A30+2,FALSE)="C","C",IF(HLOOKUP(AD$15,Data_5!$F$10:$BG$42,$A30+2,FALSE)="NO","NO",HLOOKUP(AD$15,Data_5!$F$10:$BG$42,$A30+2,FALSE)/Data_5!$BH25))))),"")</f>
        <v>2.5554164112975168E-2</v>
      </c>
      <c r="AE30" s="1122" t="str">
        <f>IFERROR(IF(HLOOKUP(AE$15,Data_5!$F$10:$BG$42,$A30+2,FALSE)="NO","NO",IF(HLOOKUP(AE$15,Data_5!$F$10:$BG$42,$A30+2,FALSE)="IE","IE",IF(HLOOKUP(AE$15,Data_5!$F$10:$BG$42,$A30+2,FALSE)="NE","NE",IF(HLOOKUP(AE$15,Data_5!$F$10:$BG$42,$A30+2,FALSE)="C","C",IF(HLOOKUP(AE$15,Data_5!$F$10:$BG$42,$A30+2,FALSE)="NO","NO",HLOOKUP(AE$15,Data_5!$F$10:$BG$42,$A30+2,FALSE)/Data_5!$BH25))))),"")</f>
        <v>NO</v>
      </c>
      <c r="AF30" s="1122" t="str">
        <f>IFERROR(IF(HLOOKUP(AF$15,Data_5!$F$10:$BG$42,$A30+2,FALSE)="NO","NO",IF(HLOOKUP(AF$15,Data_5!$F$10:$BG$42,$A30+2,FALSE)="IE","IE",IF(HLOOKUP(AF$15,Data_5!$F$10:$BG$42,$A30+2,FALSE)="NE","NE",IF(HLOOKUP(AF$15,Data_5!$F$10:$BG$42,$A30+2,FALSE)="C","C",IF(HLOOKUP(AF$15,Data_5!$F$10:$BG$42,$A30+2,FALSE)="NO","NO",HLOOKUP(AF$15,Data_5!$F$10:$BG$42,$A30+2,FALSE)/Data_5!$BH25))))),"")</f>
        <v>NO</v>
      </c>
      <c r="AG30" s="1122" t="str">
        <f>IFERROR(IF(HLOOKUP(AG$15,Data_5!$F$10:$BG$42,$A30+2,FALSE)="NO","NO",IF(HLOOKUP(AG$15,Data_5!$F$10:$BG$42,$A30+2,FALSE)="IE","IE",IF(HLOOKUP(AG$15,Data_5!$F$10:$BG$42,$A30+2,FALSE)="NE","NE",IF(HLOOKUP(AG$15,Data_5!$F$10:$BG$42,$A30+2,FALSE)="C","C",IF(HLOOKUP(AG$15,Data_5!$F$10:$BG$42,$A30+2,FALSE)="NO","NO",HLOOKUP(AG$15,Data_5!$F$10:$BG$42,$A30+2,FALSE)/Data_5!$BH25))))),"")</f>
        <v>NO</v>
      </c>
      <c r="AH30" s="1122" t="str">
        <f>IFERROR(IF(HLOOKUP(AH$15,Data_5!$F$10:$BG$42,$A30+2,FALSE)="NO","NO",IF(HLOOKUP(AH$15,Data_5!$F$10:$BG$42,$A30+2,FALSE)="IE","IE",IF(HLOOKUP(AH$15,Data_5!$F$10:$BG$42,$A30+2,FALSE)="NE","NE",IF(HLOOKUP(AH$15,Data_5!$F$10:$BG$42,$A30+2,FALSE)="C","C",IF(HLOOKUP(AH$15,Data_5!$F$10:$BG$42,$A30+2,FALSE)="NO","NO",HLOOKUP(AH$15,Data_5!$F$10:$BG$42,$A30+2,FALSE)/Data_5!$BH25))))),"")</f>
        <v>NO</v>
      </c>
      <c r="AI30" s="1122" t="str">
        <f>IFERROR(IF(HLOOKUP(AI$15,Data_5!$F$10:$BG$42,$A30+2,FALSE)="NO","NO",IF(HLOOKUP(AI$15,Data_5!$F$10:$BG$42,$A30+2,FALSE)="IE","IE",IF(HLOOKUP(AI$15,Data_5!$F$10:$BG$42,$A30+2,FALSE)="NE","NE",IF(HLOOKUP(AI$15,Data_5!$F$10:$BG$42,$A30+2,FALSE)="C","C",IF(HLOOKUP(AI$15,Data_5!$F$10:$BG$42,$A30+2,FALSE)="NO","NO",HLOOKUP(AI$15,Data_5!$F$10:$BG$42,$A30+2,FALSE)/Data_5!$BH25))))),"")</f>
        <v>NO</v>
      </c>
      <c r="AJ30" s="1122">
        <f>IFERROR(IF(HLOOKUP(AJ$15,Data_5!$F$10:$BG$42,$A30+2,FALSE)="NO","NO",IF(HLOOKUP(AJ$15,Data_5!$F$10:$BG$42,$A30+2,FALSE)="IE","IE",IF(HLOOKUP(AJ$15,Data_5!$F$10:$BG$42,$A30+2,FALSE)="NE","NE",IF(HLOOKUP(AJ$15,Data_5!$F$10:$BG$42,$A30+2,FALSE)="C","C",IF(HLOOKUP(AJ$15,Data_5!$F$10:$BG$42,$A30+2,FALSE)="NO","NO",HLOOKUP(AJ$15,Data_5!$F$10:$BG$42,$A30+2,FALSE)/Data_5!$BH25))))),"")</f>
        <v>4.9729493088393874E-4</v>
      </c>
      <c r="AL30" s="2628" t="str">
        <f t="shared" si="0"/>
        <v>City of Melbourne</v>
      </c>
      <c r="AM30" s="2629"/>
      <c r="AN30" s="1100">
        <f t="shared" si="1"/>
        <v>2013</v>
      </c>
      <c r="AO30" s="1122" t="str">
        <f>IFERROR(IF(VLOOKUP($AL30,Data_5!$B$12:$E$42,4,FALSE)="BASIC","",(IF(HLOOKUP(AO$15,Data_5!$F$10:$BG$42,$A30+2,FALSE)="NO","NO",IF(HLOOKUP(AO$15,Data_5!$F$10:$BG$42,$A30+2,FALSE)="IE","IE",IF(HLOOKUP(AO$15,Data_5!$F$10:$BG$42,$A30+2,FALSE)="NE","NE",IF(HLOOKUP(AO$15,Data_5!$F$10:$BG$42,$A30+2,FALSE)="C","C",IF(HLOOKUP(AO$15,Data_5!$F$10:$BG$42,$A30+2,FALSE)="NO","NO",HLOOKUP(AO$15,Data_5!$F$10:$BG$42,$A30+2,FALSE)/Data_5!$BI25))))))),"")</f>
        <v/>
      </c>
      <c r="AP30" s="1122" t="str">
        <f>IFERROR(IF(VLOOKUP($AL30,Data_5!$B$12:$E$42,4,FALSE)="BASIC","",(IF(HLOOKUP(AP$15,Data_5!$F$10:$BG$42,$A30+2,FALSE)="NO","NO",IF(HLOOKUP(AP$15,Data_5!$F$10:$BG$42,$A30+2,FALSE)="IE","IE",IF(HLOOKUP(AP$15,Data_5!$F$10:$BG$42,$A30+2,FALSE)="NE","NE",IF(HLOOKUP(AP$15,Data_5!$F$10:$BG$42,$A30+2,FALSE)="C","C",IF(HLOOKUP(AP$15,Data_5!$F$10:$BG$42,$A30+2,FALSE)="NO","NO",HLOOKUP(AP$15,Data_5!$F$10:$BG$42,$A30+2,FALSE)/Data_5!$BI25))))))),"")</f>
        <v/>
      </c>
      <c r="AQ30" s="1122" t="str">
        <f>IFERROR(IF(VLOOKUP($AL30,Data_5!$B$12:$E$42,4,FALSE)="BASIC","",(IF(HLOOKUP(AQ$15,Data_5!$F$10:$BG$42,$A30+2,FALSE)="NO","NO",IF(HLOOKUP(AQ$15,Data_5!$F$10:$BG$42,$A30+2,FALSE)="IE","IE",IF(HLOOKUP(AQ$15,Data_5!$F$10:$BG$42,$A30+2,FALSE)="NE","NE",IF(HLOOKUP(AQ$15,Data_5!$F$10:$BG$42,$A30+2,FALSE)="C","C",IF(HLOOKUP(AQ$15,Data_5!$F$10:$BG$42,$A30+2,FALSE)="NO","NO",HLOOKUP(AQ$15,Data_5!$F$10:$BG$42,$A30+2,FALSE)/Data_5!$BI25))))))),"")</f>
        <v/>
      </c>
      <c r="AR30" s="1122" t="str">
        <f>IFERROR(IF(VLOOKUP($AL30,Data_5!$B$12:$E$42,4,FALSE)="BASIC","",(IF(HLOOKUP(AR$15,Data_5!$F$10:$BG$42,$A30+2,FALSE)="NO","NO",IF(HLOOKUP(AR$15,Data_5!$F$10:$BG$42,$A30+2,FALSE)="IE","IE",IF(HLOOKUP(AR$15,Data_5!$F$10:$BG$42,$A30+2,FALSE)="NE","NE",IF(HLOOKUP(AR$15,Data_5!$F$10:$BG$42,$A30+2,FALSE)="C","C",IF(HLOOKUP(AR$15,Data_5!$F$10:$BG$42,$A30+2,FALSE)="NO","NO",HLOOKUP(AR$15,Data_5!$F$10:$BG$42,$A30+2,FALSE)/Data_5!$BI25))))))),"")</f>
        <v/>
      </c>
      <c r="AS30" s="1122" t="str">
        <f>IFERROR(IF(VLOOKUP($AL30,Data_5!$B$12:$E$42,4,FALSE)="BASIC","",(IF(HLOOKUP(AS$15,Data_5!$F$10:$BG$42,$A30+2,FALSE)="NO","NO",IF(HLOOKUP(AS$15,Data_5!$F$10:$BG$42,$A30+2,FALSE)="IE","IE",IF(HLOOKUP(AS$15,Data_5!$F$10:$BG$42,$A30+2,FALSE)="NE","NE",IF(HLOOKUP(AS$15,Data_5!$F$10:$BG$42,$A30+2,FALSE)="C","C",IF(HLOOKUP(AS$15,Data_5!$F$10:$BG$42,$A30+2,FALSE)="NO","NO",HLOOKUP(AS$15,Data_5!$F$10:$BG$42,$A30+2,FALSE)/Data_5!$BI25))))))),"")</f>
        <v/>
      </c>
      <c r="AT30" s="1122" t="str">
        <f>IFERROR(IF(VLOOKUP($AL30,Data_5!$B$12:$E$42,4,FALSE)="BASIC","",(IF(HLOOKUP(AT$15,Data_5!$F$10:$BG$42,$A30+2,FALSE)="NO","NO",IF(HLOOKUP(AT$15,Data_5!$F$10:$BG$42,$A30+2,FALSE)="IE","IE",IF(HLOOKUP(AT$15,Data_5!$F$10:$BG$42,$A30+2,FALSE)="NE","NE",IF(HLOOKUP(AT$15,Data_5!$F$10:$BG$42,$A30+2,FALSE)="C","C",IF(HLOOKUP(AT$15,Data_5!$F$10:$BG$42,$A30+2,FALSE)="NO","NO",HLOOKUP(AT$15,Data_5!$F$10:$BG$42,$A30+2,FALSE)/Data_5!$BI25))))))),"")</f>
        <v/>
      </c>
      <c r="AU30" s="1122" t="str">
        <f>IFERROR(IF(VLOOKUP($AL30,Data_5!$B$12:$E$42,4,FALSE)="BASIC","",(IF(HLOOKUP(AU$15,Data_5!$F$10:$BG$42,$A30+2,FALSE)="NO","NO",IF(HLOOKUP(AU$15,Data_5!$F$10:$BG$42,$A30+2,FALSE)="IE","IE",IF(HLOOKUP(AU$15,Data_5!$F$10:$BG$42,$A30+2,FALSE)="NE","NE",IF(HLOOKUP(AU$15,Data_5!$F$10:$BG$42,$A30+2,FALSE)="C","C",IF(HLOOKUP(AU$15,Data_5!$F$10:$BG$42,$A30+2,FALSE)="NO","NO",HLOOKUP(AU$15,Data_5!$F$10:$BG$42,$A30+2,FALSE)/Data_5!$BI25))))))),"")</f>
        <v/>
      </c>
      <c r="AV30" s="1122" t="str">
        <f>IFERROR(IF(VLOOKUP($AL30,Data_5!$B$12:$E$42,4,FALSE)="BASIC","",(IF(HLOOKUP(AV$15,Data_5!$F$10:$BG$42,$A30+2,FALSE)="NO","NO",IF(HLOOKUP(AV$15,Data_5!$F$10:$BG$42,$A30+2,FALSE)="IE","IE",IF(HLOOKUP(AV$15,Data_5!$F$10:$BG$42,$A30+2,FALSE)="NE","NE",IF(HLOOKUP(AV$15,Data_5!$F$10:$BG$42,$A30+2,FALSE)="C","C",IF(HLOOKUP(AV$15,Data_5!$F$10:$BG$42,$A30+2,FALSE)="NO","NO",HLOOKUP(AV$15,Data_5!$F$10:$BG$42,$A30+2,FALSE)/Data_5!$BI25))))))),"")</f>
        <v/>
      </c>
      <c r="AW30" s="1122" t="str">
        <f>IFERROR(IF(VLOOKUP($AL30,Data_5!$B$12:$E$42,4,FALSE)="BASIC","",(IF(HLOOKUP(AW$15,Data_5!$F$10:$BG$42,$A30+2,FALSE)="NO","NO",IF(HLOOKUP(AW$15,Data_5!$F$10:$BG$42,$A30+2,FALSE)="IE","IE",IF(HLOOKUP(AW$15,Data_5!$F$10:$BG$42,$A30+2,FALSE)="NE","NE",IF(HLOOKUP(AW$15,Data_5!$F$10:$BG$42,$A30+2,FALSE)="C","C",IF(HLOOKUP(AW$15,Data_5!$F$10:$BG$42,$A30+2,FALSE)="NO","NO",HLOOKUP(AW$15,Data_5!$F$10:$BG$42,$A30+2,FALSE)/Data_5!$BI25))))))),"")</f>
        <v/>
      </c>
      <c r="AX30" s="1122" t="str">
        <f>IFERROR(IF(VLOOKUP($AL30,Data_5!$B$12:$E$42,4,FALSE)="BASIC","",(IF(HLOOKUP(AX$15,Data_5!$F$10:$BG$42,$A30+2,FALSE)="NO","NO",IF(HLOOKUP(AX$15,Data_5!$F$10:$BG$42,$A30+2,FALSE)="IE","IE",IF(HLOOKUP(AX$15,Data_5!$F$10:$BG$42,$A30+2,FALSE)="NE","NE",IF(HLOOKUP(AX$15,Data_5!$F$10:$BG$42,$A30+2,FALSE)="C","C",IF(HLOOKUP(AX$15,Data_5!$F$10:$BG$42,$A30+2,FALSE)="NO","NO",HLOOKUP(AX$15,Data_5!$F$10:$BG$42,$A30+2,FALSE)/Data_5!$BI25))))))),"")</f>
        <v/>
      </c>
      <c r="AY30" s="1122" t="str">
        <f>IFERROR(IF(VLOOKUP($AL30,Data_5!$B$12:$E$42,4,FALSE)="BASIC","",(IF(HLOOKUP(AY$15,Data_5!$F$10:$BG$42,$A30+2,FALSE)="NO","NO",IF(HLOOKUP(AY$15,Data_5!$F$10:$BG$42,$A30+2,FALSE)="IE","IE",IF(HLOOKUP(AY$15,Data_5!$F$10:$BG$42,$A30+2,FALSE)="NE","NE",IF(HLOOKUP(AY$15,Data_5!$F$10:$BG$42,$A30+2,FALSE)="C","C",IF(HLOOKUP(AY$15,Data_5!$F$10:$BG$42,$A30+2,FALSE)="NO","NO",HLOOKUP(AY$15,Data_5!$F$10:$BG$42,$A30+2,FALSE)/Data_5!$BI25))))))),"")</f>
        <v/>
      </c>
      <c r="AZ30" s="1122" t="str">
        <f>IFERROR(IF(VLOOKUP($AL30,Data_5!$B$12:$E$42,4,FALSE)="BASIC","",(IF(HLOOKUP(AZ$15,Data_5!$F$10:$BG$42,$A30+2,FALSE)="NO","NO",IF(HLOOKUP(AZ$15,Data_5!$F$10:$BG$42,$A30+2,FALSE)="IE","IE",IF(HLOOKUP(AZ$15,Data_5!$F$10:$BG$42,$A30+2,FALSE)="NE","NE",IF(HLOOKUP(AZ$15,Data_5!$F$10:$BG$42,$A30+2,FALSE)="C","C",IF(HLOOKUP(AZ$15,Data_5!$F$10:$BG$42,$A30+2,FALSE)="NO","NO",HLOOKUP(AZ$15,Data_5!$F$10:$BG$42,$A30+2,FALSE)/Data_5!$BI25))))))),"")</f>
        <v/>
      </c>
      <c r="BA30" s="1122" t="str">
        <f>IFERROR(IF(VLOOKUP($AL30,Data_5!$B$12:$E$42,4,FALSE)="BASIC","",(IF(HLOOKUP(BA$15,Data_5!$F$10:$BG$42,$A30+2,FALSE)="NO","NO",IF(HLOOKUP(BA$15,Data_5!$F$10:$BG$42,$A30+2,FALSE)="IE","IE",IF(HLOOKUP(BA$15,Data_5!$F$10:$BG$42,$A30+2,FALSE)="NE","NE",IF(HLOOKUP(BA$15,Data_5!$F$10:$BG$42,$A30+2,FALSE)="C","C",IF(HLOOKUP(BA$15,Data_5!$F$10:$BG$42,$A30+2,FALSE)="NO","NO",HLOOKUP(BA$15,Data_5!$F$10:$BG$42,$A30+2,FALSE)/Data_5!$BI25))))))),"")</f>
        <v/>
      </c>
      <c r="BB30" s="1122" t="str">
        <f>IFERROR(IF(VLOOKUP($AL30,Data_5!$B$12:$E$42,4,FALSE)="BASIC","",(IF(HLOOKUP(BB$15,Data_5!$F$10:$BG$42,$A30+2,FALSE)="NO","NO",IF(HLOOKUP(BB$15,Data_5!$F$10:$BG$42,$A30+2,FALSE)="IE","IE",IF(HLOOKUP(BB$15,Data_5!$F$10:$BG$42,$A30+2,FALSE)="NE","NE",IF(HLOOKUP(BB$15,Data_5!$F$10:$BG$42,$A30+2,FALSE)="C","C",IF(HLOOKUP(BB$15,Data_5!$F$10:$BG$42,$A30+2,FALSE)="NO","NO",HLOOKUP(BB$15,Data_5!$F$10:$BG$42,$A30+2,FALSE)/Data_5!$BI25))))))),"")</f>
        <v/>
      </c>
      <c r="BC30" s="1122" t="str">
        <f>IFERROR(IF(VLOOKUP($AL30,Data_5!$B$12:$E$42,4,FALSE)="BASIC","",(IF(HLOOKUP(BC$15,Data_5!$F$10:$BG$42,$A30+2,FALSE)="NO","NO",IF(HLOOKUP(BC$15,Data_5!$F$10:$BG$42,$A30+2,FALSE)="IE","IE",IF(HLOOKUP(BC$15,Data_5!$F$10:$BG$42,$A30+2,FALSE)="NE","NE",IF(HLOOKUP(BC$15,Data_5!$F$10:$BG$42,$A30+2,FALSE)="C","C",IF(HLOOKUP(BC$15,Data_5!$F$10:$BG$42,$A30+2,FALSE)="NO","NO",HLOOKUP(BC$15,Data_5!$F$10:$BG$42,$A30+2,FALSE)/Data_5!$BI25))))))),"")</f>
        <v/>
      </c>
      <c r="BD30" s="1122" t="str">
        <f>IFERROR(IF(VLOOKUP($AL30,Data_5!$B$12:$E$42,4,FALSE)="BASIC","",(IF(HLOOKUP(BD$15,Data_5!$F$10:$BG$42,$A30+2,FALSE)="NO","NO",IF(HLOOKUP(BD$15,Data_5!$F$10:$BG$42,$A30+2,FALSE)="IE","IE",IF(HLOOKUP(BD$15,Data_5!$F$10:$BG$42,$A30+2,FALSE)="NE","NE",IF(HLOOKUP(BD$15,Data_5!$F$10:$BG$42,$A30+2,FALSE)="C","C",IF(HLOOKUP(BD$15,Data_5!$F$10:$BG$42,$A30+2,FALSE)="NO","NO",HLOOKUP(BD$15,Data_5!$F$10:$BG$42,$A30+2,FALSE)/Data_5!$BI25))))))),"")</f>
        <v/>
      </c>
      <c r="BE30" s="1122" t="str">
        <f>IFERROR(IF(VLOOKUP($AL30,Data_5!$B$12:$E$42,4,FALSE)="BASIC","",(IF(HLOOKUP(BE$15,Data_5!$F$10:$BG$42,$A30+2,FALSE)="NO","NO",IF(HLOOKUP(BE$15,Data_5!$F$10:$BG$42,$A30+2,FALSE)="IE","IE",IF(HLOOKUP(BE$15,Data_5!$F$10:$BG$42,$A30+2,FALSE)="NE","NE",IF(HLOOKUP(BE$15,Data_5!$F$10:$BG$42,$A30+2,FALSE)="C","C",IF(HLOOKUP(BE$15,Data_5!$F$10:$BG$42,$A30+2,FALSE)="NO","NO",HLOOKUP(BE$15,Data_5!$F$10:$BG$42,$A30+2,FALSE)/Data_5!$BI25))))))),"")</f>
        <v/>
      </c>
      <c r="BF30" s="1122" t="str">
        <f>IFERROR(IF(VLOOKUP($AL30,Data_5!$B$12:$E$42,4,FALSE)="BASIC","",(IF(HLOOKUP(BF$15,Data_5!$F$10:$BG$42,$A30+2,FALSE)="NO","NO",IF(HLOOKUP(BF$15,Data_5!$F$10:$BG$42,$A30+2,FALSE)="IE","IE",IF(HLOOKUP(BF$15,Data_5!$F$10:$BG$42,$A30+2,FALSE)="NE","NE",IF(HLOOKUP(BF$15,Data_5!$F$10:$BG$42,$A30+2,FALSE)="C","C",IF(HLOOKUP(BF$15,Data_5!$F$10:$BG$42,$A30+2,FALSE)="NO","NO",HLOOKUP(BF$15,Data_5!$F$10:$BG$42,$A30+2,FALSE)/Data_5!$BI25))))))),"")</f>
        <v/>
      </c>
      <c r="BG30" s="1122" t="str">
        <f>IFERROR(IF(VLOOKUP($AL30,Data_5!$B$12:$E$42,4,FALSE)="BASIC","",(IF(HLOOKUP(BG$15,Data_5!$F$10:$BG$42,$A30+2,FALSE)="NO","NO",IF(HLOOKUP(BG$15,Data_5!$F$10:$BG$42,$A30+2,FALSE)="IE","IE",IF(HLOOKUP(BG$15,Data_5!$F$10:$BG$42,$A30+2,FALSE)="NE","NE",IF(HLOOKUP(BG$15,Data_5!$F$10:$BG$42,$A30+2,FALSE)="C","C",IF(HLOOKUP(BG$15,Data_5!$F$10:$BG$42,$A30+2,FALSE)="NO","NO",HLOOKUP(BG$15,Data_5!$F$10:$BG$42,$A30+2,FALSE)/Data_5!$BI25))))))),"")</f>
        <v/>
      </c>
      <c r="BH30" s="1122" t="str">
        <f>IFERROR(IF(VLOOKUP($AL30,Data_5!$B$12:$E$42,4,FALSE)="BASIC","",(IF(HLOOKUP(BH$15,Data_5!$F$10:$BG$42,$A30+2,FALSE)="NO","NO",IF(HLOOKUP(BH$15,Data_5!$F$10:$BG$42,$A30+2,FALSE)="IE","IE",IF(HLOOKUP(BH$15,Data_5!$F$10:$BG$42,$A30+2,FALSE)="NE","NE",IF(HLOOKUP(BH$15,Data_5!$F$10:$BG$42,$A30+2,FALSE)="C","C",IF(HLOOKUP(BH$15,Data_5!$F$10:$BG$42,$A30+2,FALSE)="NO","NO",HLOOKUP(BH$15,Data_5!$F$10:$BG$42,$A30+2,FALSE)/Data_5!$BI25))))))),"")</f>
        <v/>
      </c>
      <c r="BI30" s="1122" t="str">
        <f>IFERROR(IF(VLOOKUP($AL30,Data_5!$B$12:$E$42,4,FALSE)="BASIC","",(IF(HLOOKUP(BI$15,Data_5!$F$10:$BG$42,$A30+2,FALSE)="NO","NO",IF(HLOOKUP(BI$15,Data_5!$F$10:$BG$42,$A30+2,FALSE)="IE","IE",IF(HLOOKUP(BI$15,Data_5!$F$10:$BG$42,$A30+2,FALSE)="NE","NE",IF(HLOOKUP(BI$15,Data_5!$F$10:$BG$42,$A30+2,FALSE)="C","C",IF(HLOOKUP(BI$15,Data_5!$F$10:$BG$42,$A30+2,FALSE)="NO","NO",HLOOKUP(BI$15,Data_5!$F$10:$BG$42,$A30+2,FALSE)/Data_5!$BI25))))))),"")</f>
        <v/>
      </c>
      <c r="BJ30" s="1122" t="str">
        <f>IFERROR(IF(VLOOKUP($AL30,Data_5!$B$12:$E$42,4,FALSE)="BASIC","",(IF(HLOOKUP(BJ$15,Data_5!$F$10:$BG$42,$A30+2,FALSE)="NO","NO",IF(HLOOKUP(BJ$15,Data_5!$F$10:$BG$42,$A30+2,FALSE)="IE","IE",IF(HLOOKUP(BJ$15,Data_5!$F$10:$BG$42,$A30+2,FALSE)="NE","NE",IF(HLOOKUP(BJ$15,Data_5!$F$10:$BG$42,$A30+2,FALSE)="C","C",IF(HLOOKUP(BJ$15,Data_5!$F$10:$BG$42,$A30+2,FALSE)="NO","NO",HLOOKUP(BJ$15,Data_5!$F$10:$BG$42,$A30+2,FALSE)/Data_5!$BI25))))))),"")</f>
        <v/>
      </c>
      <c r="BK30" s="1122" t="str">
        <f>IFERROR(IF(VLOOKUP($AL30,Data_5!$B$12:$E$42,4,FALSE)="BASIC","",(IF(HLOOKUP(BK$15,Data_5!$F$10:$BG$42,$A30+2,FALSE)="NO","NO",IF(HLOOKUP(BK$15,Data_5!$F$10:$BG$42,$A30+2,FALSE)="IE","IE",IF(HLOOKUP(BK$15,Data_5!$F$10:$BG$42,$A30+2,FALSE)="NE","NE",IF(HLOOKUP(BK$15,Data_5!$F$10:$BG$42,$A30+2,FALSE)="C","C",IF(HLOOKUP(BK$15,Data_5!$F$10:$BG$42,$A30+2,FALSE)="NO","NO",HLOOKUP(BK$15,Data_5!$F$10:$BG$42,$A30+2,FALSE)/Data_5!$BI25))))))),"")</f>
        <v/>
      </c>
      <c r="BL30" s="1122" t="str">
        <f>IFERROR(IF(VLOOKUP($AL30,Data_5!$B$12:$E$42,4,FALSE)="BASIC","",(IF(HLOOKUP(BL$15,Data_5!$F$10:$BG$42,$A30+2,FALSE)="NO","NO",IF(HLOOKUP(BL$15,Data_5!$F$10:$BG$42,$A30+2,FALSE)="IE","IE",IF(HLOOKUP(BL$15,Data_5!$F$10:$BG$42,$A30+2,FALSE)="NE","NE",IF(HLOOKUP(BL$15,Data_5!$F$10:$BG$42,$A30+2,FALSE)="C","C",IF(HLOOKUP(BL$15,Data_5!$F$10:$BG$42,$A30+2,FALSE)="NO","NO",HLOOKUP(BL$15,Data_5!$F$10:$BG$42,$A30+2,FALSE)/Data_5!$BI25))))))),"")</f>
        <v/>
      </c>
      <c r="BM30" s="1122" t="str">
        <f>IFERROR(IF(VLOOKUP($AL30,Data_5!$B$12:$E$42,4,FALSE)="BASIC","",(IF(HLOOKUP(BM$15,Data_5!$F$10:$BG$42,$A30+2,FALSE)="NO","NO",IF(HLOOKUP(BM$15,Data_5!$F$10:$BG$42,$A30+2,FALSE)="IE","IE",IF(HLOOKUP(BM$15,Data_5!$F$10:$BG$42,$A30+2,FALSE)="NE","NE",IF(HLOOKUP(BM$15,Data_5!$F$10:$BG$42,$A30+2,FALSE)="C","C",IF(HLOOKUP(BM$15,Data_5!$F$10:$BG$42,$A30+2,FALSE)="NO","NO",HLOOKUP(BM$15,Data_5!$F$10:$BG$42,$A30+2,FALSE)/Data_5!$BI25))))))),"")</f>
        <v/>
      </c>
      <c r="BN30" s="1122" t="str">
        <f>IFERROR(IF(VLOOKUP($AL30,Data_5!$B$12:$E$42,4,FALSE)="BASIC","",(IF(HLOOKUP(BN$15,Data_5!$F$10:$BG$42,$A30+2,FALSE)="NO","NO",IF(HLOOKUP(BN$15,Data_5!$F$10:$BG$42,$A30+2,FALSE)="IE","IE",IF(HLOOKUP(BN$15,Data_5!$F$10:$BG$42,$A30+2,FALSE)="NE","NE",IF(HLOOKUP(BN$15,Data_5!$F$10:$BG$42,$A30+2,FALSE)="C","C",IF(HLOOKUP(BN$15,Data_5!$F$10:$BG$42,$A30+2,FALSE)="NO","NO",HLOOKUP(BN$15,Data_5!$F$10:$BG$42,$A30+2,FALSE)/Data_5!$BI25))))))),"")</f>
        <v/>
      </c>
      <c r="BO30" s="1122" t="str">
        <f>IFERROR(IF(VLOOKUP($AL30,Data_5!$B$12:$E$42,4,FALSE)="BASIC","",(IF(HLOOKUP(BO$15,Data_5!$F$10:$BG$42,$A30+2,FALSE)="NO","NO",IF(HLOOKUP(BO$15,Data_5!$F$10:$BG$42,$A30+2,FALSE)="IE","IE",IF(HLOOKUP(BO$15,Data_5!$F$10:$BG$42,$A30+2,FALSE)="NE","NE",IF(HLOOKUP(BO$15,Data_5!$F$10:$BG$42,$A30+2,FALSE)="C","C",IF(HLOOKUP(BO$15,Data_5!$F$10:$BG$42,$A30+2,FALSE)="NO","NO",HLOOKUP(BO$15,Data_5!$F$10:$BG$42,$A30+2,FALSE)/Data_5!$BI25))))))),"")</f>
        <v/>
      </c>
      <c r="BP30" s="1122" t="str">
        <f>IFERROR(IF(VLOOKUP($AL30,Data_5!$B$12:$E$42,4,FALSE)="BASIC","",(IF(HLOOKUP(BP$15,Data_5!$F$10:$BG$42,$A30+2,FALSE)="NO","NO",IF(HLOOKUP(BP$15,Data_5!$F$10:$BG$42,$A30+2,FALSE)="IE","IE",IF(HLOOKUP(BP$15,Data_5!$F$10:$BG$42,$A30+2,FALSE)="NE","NE",IF(HLOOKUP(BP$15,Data_5!$F$10:$BG$42,$A30+2,FALSE)="C","C",IF(HLOOKUP(BP$15,Data_5!$F$10:$BG$42,$A30+2,FALSE)="NO","NO",HLOOKUP(BP$15,Data_5!$F$10:$BG$42,$A30+2,FALSE)/Data_5!$BI25))))))),"")</f>
        <v/>
      </c>
      <c r="BQ30" s="1122" t="str">
        <f>IFERROR(IF(VLOOKUP($AL30,Data_5!$B$12:$E$42,4,FALSE)="BASIC","",(IF(HLOOKUP(BQ$15,Data_5!$F$10:$BG$42,$A30+2,FALSE)="NO","NO",IF(HLOOKUP(BQ$15,Data_5!$F$10:$BG$42,$A30+2,FALSE)="IE","IE",IF(HLOOKUP(BQ$15,Data_5!$F$10:$BG$42,$A30+2,FALSE)="NE","NE",IF(HLOOKUP(BQ$15,Data_5!$F$10:$BG$42,$A30+2,FALSE)="C","C",IF(HLOOKUP(BQ$15,Data_5!$F$10:$BG$42,$A30+2,FALSE)="NO","NO",HLOOKUP(BQ$15,Data_5!$F$10:$BG$42,$A30+2,FALSE)/Data_5!$BI25))))))),"")</f>
        <v/>
      </c>
      <c r="BR30" s="1122" t="str">
        <f>IFERROR(IF(VLOOKUP($AL30,Data_5!$B$12:$E$42,4,FALSE)="BASIC","",(IF(HLOOKUP(BR$15,Data_5!$F$10:$BG$42,$A30+2,FALSE)="NO","NO",IF(HLOOKUP(BR$15,Data_5!$F$10:$BG$42,$A30+2,FALSE)="IE","IE",IF(HLOOKUP(BR$15,Data_5!$F$10:$BG$42,$A30+2,FALSE)="NE","NE",IF(HLOOKUP(BR$15,Data_5!$F$10:$BG$42,$A30+2,FALSE)="C","C",IF(HLOOKUP(BR$15,Data_5!$F$10:$BG$42,$A30+2,FALSE)="NO","NO",HLOOKUP(BR$15,Data_5!$F$10:$BG$42,$A30+2,FALSE)/Data_5!$BI25))))))),"")</f>
        <v/>
      </c>
      <c r="BS30" s="1122" t="str">
        <f>IFERROR(IF(VLOOKUP($AL30,Data_5!$B$12:$E$42,4,FALSE)="BASIC","",(IF(HLOOKUP(BS$15,Data_5!$F$10:$BG$42,$A30+2,FALSE)="NO","NO",IF(HLOOKUP(BS$15,Data_5!$F$10:$BG$42,$A30+2,FALSE)="IE","IE",IF(HLOOKUP(BS$15,Data_5!$F$10:$BG$42,$A30+2,FALSE)="NE","NE",IF(HLOOKUP(BS$15,Data_5!$F$10:$BG$42,$A30+2,FALSE)="C","C",IF(HLOOKUP(BS$15,Data_5!$F$10:$BG$42,$A30+2,FALSE)="NO","NO",HLOOKUP(BS$15,Data_5!$F$10:$BG$42,$A30+2,FALSE)/Data_5!$BI25))))))),"")</f>
        <v/>
      </c>
      <c r="BT30" s="1122" t="str">
        <f>IFERROR(IF(VLOOKUP($AL30,Data_5!$B$12:$E$42,4,FALSE)="BASIC","",(IF(HLOOKUP(BT$15,Data_5!$F$10:$BG$42,$A30+2,FALSE)="NO","NO",IF(HLOOKUP(BT$15,Data_5!$F$10:$BG$42,$A30+2,FALSE)="IE","IE",IF(HLOOKUP(BT$15,Data_5!$F$10:$BG$42,$A30+2,FALSE)="NE","NE",IF(HLOOKUP(BT$15,Data_5!$F$10:$BG$42,$A30+2,FALSE)="C","C",IF(HLOOKUP(BT$15,Data_5!$F$10:$BG$42,$A30+2,FALSE)="NO","NO",HLOOKUP(BT$15,Data_5!$F$10:$BG$42,$A30+2,FALSE)/Data_5!$BI25))))))),"")</f>
        <v/>
      </c>
      <c r="BU30" s="1122" t="str">
        <f>IFERROR(IF(VLOOKUP($AL30,Data_5!$B$12:$E$42,4,FALSE)="BASIC","",(IF(HLOOKUP(BU$15,Data_5!$F$10:$BG$42,$A30+2,FALSE)="NO","NO",IF(HLOOKUP(BU$15,Data_5!$F$10:$BG$42,$A30+2,FALSE)="IE","IE",IF(HLOOKUP(BU$15,Data_5!$F$10:$BG$42,$A30+2,FALSE)="NE","NE",IF(HLOOKUP(BU$15,Data_5!$F$10:$BG$42,$A30+2,FALSE)="C","C",IF(HLOOKUP(BU$15,Data_5!$F$10:$BG$42,$A30+2,FALSE)="NO","NO",HLOOKUP(BU$15,Data_5!$F$10:$BG$42,$A30+2,FALSE)/Data_5!$BI25))))))),"")</f>
        <v/>
      </c>
      <c r="BV30" s="1122" t="str">
        <f>IFERROR(IF(VLOOKUP($AL30,Data_5!$B$12:$E$42,4,FALSE)="BASIC","",(IF(HLOOKUP(BV$15,Data_5!$F$10:$BG$42,$A30+2,FALSE)="NO","NO",IF(HLOOKUP(BV$15,Data_5!$F$10:$BG$42,$A30+2,FALSE)="IE","IE",IF(HLOOKUP(BV$15,Data_5!$F$10:$BG$42,$A30+2,FALSE)="NE","NE",IF(HLOOKUP(BV$15,Data_5!$F$10:$BG$42,$A30+2,FALSE)="C","C",IF(HLOOKUP(BV$15,Data_5!$F$10:$BG$42,$A30+2,FALSE)="NO","NO",HLOOKUP(BV$15,Data_5!$F$10:$BG$42,$A30+2,FALSE)/Data_5!$BI25))))))),"")</f>
        <v/>
      </c>
      <c r="BW30" s="1122" t="str">
        <f>IFERROR(IF(VLOOKUP($AL30,Data_5!$B$12:$E$42,4,FALSE)="BASIC","",(IF(HLOOKUP(BW$15,Data_5!$F$10:$BG$42,$A30+2,FALSE)="NO","NO",IF(HLOOKUP(BW$15,Data_5!$F$10:$BG$42,$A30+2,FALSE)="IE","IE",IF(HLOOKUP(BW$15,Data_5!$F$10:$BG$42,$A30+2,FALSE)="NE","NE",IF(HLOOKUP(BW$15,Data_5!$F$10:$BG$42,$A30+2,FALSE)="C","C",IF(HLOOKUP(BW$15,Data_5!$F$10:$BG$42,$A30+2,FALSE)="NO","NO",HLOOKUP(BW$15,Data_5!$F$10:$BG$42,$A30+2,FALSE)/Data_5!$BI25))))))),"")</f>
        <v/>
      </c>
      <c r="BX30" s="1122" t="str">
        <f>IFERROR(IF(VLOOKUP($AL30,Data_5!$B$12:$E$42,4,FALSE)="BASIC","",(IF(HLOOKUP(BX$15,Data_5!$F$10:$BG$42,$A30+2,FALSE)="NO","NO",IF(HLOOKUP(BX$15,Data_5!$F$10:$BG$42,$A30+2,FALSE)="IE","IE",IF(HLOOKUP(BX$15,Data_5!$F$10:$BG$42,$A30+2,FALSE)="NE","NE",IF(HLOOKUP(BX$15,Data_5!$F$10:$BG$42,$A30+2,FALSE)="C","C",IF(HLOOKUP(BX$15,Data_5!$F$10:$BG$42,$A30+2,FALSE)="NO","NO",HLOOKUP(BX$15,Data_5!$F$10:$BG$42,$A30+2,FALSE)/Data_5!$BI25))))))),"")</f>
        <v/>
      </c>
      <c r="BY30" s="1122" t="str">
        <f>IFERROR(IF(VLOOKUP($AL30,Data_5!$B$12:$E$42,4,FALSE)="BASIC","",(IF(HLOOKUP(BY$15,Data_5!$F$10:$BG$42,$A30+2,FALSE)="NO","NO",IF(HLOOKUP(BY$15,Data_5!$F$10:$BG$42,$A30+2,FALSE)="IE","IE",IF(HLOOKUP(BY$15,Data_5!$F$10:$BG$42,$A30+2,FALSE)="NE","NE",IF(HLOOKUP(BY$15,Data_5!$F$10:$BG$42,$A30+2,FALSE)="C","C",IF(HLOOKUP(BY$15,Data_5!$F$10:$BG$42,$A30+2,FALSE)="NO","NO",HLOOKUP(BY$15,Data_5!$F$10:$BG$42,$A30+2,FALSE)/Data_5!$BI25))))))),"")</f>
        <v/>
      </c>
      <c r="BZ30" s="1122" t="str">
        <f>IFERROR(IF(VLOOKUP($AL30,Data_5!$B$12:$E$42,4,FALSE)="BASIC","",(IF(HLOOKUP(BZ$15,Data_5!$F$10:$BG$42,$A30+2,FALSE)="NO","NO",IF(HLOOKUP(BZ$15,Data_5!$F$10:$BG$42,$A30+2,FALSE)="IE","IE",IF(HLOOKUP(BZ$15,Data_5!$F$10:$BG$42,$A30+2,FALSE)="NE","NE",IF(HLOOKUP(BZ$15,Data_5!$F$10:$BG$42,$A30+2,FALSE)="C","C",IF(HLOOKUP(BZ$15,Data_5!$F$10:$BG$42,$A30+2,FALSE)="NO","NO",HLOOKUP(BZ$15,Data_5!$F$10:$BG$42,$A30+2,FALSE)/Data_5!$BI25))))))),"")</f>
        <v/>
      </c>
      <c r="CA30" s="1122" t="str">
        <f>IFERROR(IF(VLOOKUP($AL30,Data_5!$B$12:$E$42,4,FALSE)="BASIC","",(IF(HLOOKUP(CA$15,Data_5!$F$10:$BG$42,$A30+2,FALSE)="NO","NO",IF(HLOOKUP(CA$15,Data_5!$F$10:$BG$42,$A30+2,FALSE)="IE","IE",IF(HLOOKUP(CA$15,Data_5!$F$10:$BG$42,$A30+2,FALSE)="NE","NE",IF(HLOOKUP(CA$15,Data_5!$F$10:$BG$42,$A30+2,FALSE)="C","C",IF(HLOOKUP(CA$15,Data_5!$F$10:$BG$42,$A30+2,FALSE)="NO","NO",HLOOKUP(CA$15,Data_5!$F$10:$BG$42,$A30+2,FALSE)/Data_5!$BI25))))))),"")</f>
        <v/>
      </c>
      <c r="CB30" s="1122" t="str">
        <f>IFERROR(IF(VLOOKUP($AL30,Data_5!$B$12:$E$42,4,FALSE)="BASIC","",(IF(HLOOKUP(CB$15,Data_5!$F$10:$BG$42,$A30+2,FALSE)="NO","NO",IF(HLOOKUP(CB$15,Data_5!$F$10:$BG$42,$A30+2,FALSE)="IE","IE",IF(HLOOKUP(CB$15,Data_5!$F$10:$BG$42,$A30+2,FALSE)="NE","NE",IF(HLOOKUP(CB$15,Data_5!$F$10:$BG$42,$A30+2,FALSE)="C","C",IF(HLOOKUP(CB$15,Data_5!$F$10:$BG$42,$A30+2,FALSE)="NO","NO",HLOOKUP(CB$15,Data_5!$F$10:$BG$42,$A30+2,FALSE)/Data_5!$BI25))))))),"")</f>
        <v/>
      </c>
      <c r="CC30" s="1122" t="str">
        <f>IFERROR(IF(VLOOKUP($AL30,Data_5!$B$12:$E$42,4,FALSE)="BASIC","",(IF(HLOOKUP(CC$15,Data_5!$F$10:$BG$42,$A30+2,FALSE)="NO","NO",IF(HLOOKUP(CC$15,Data_5!$F$10:$BG$42,$A30+2,FALSE)="IE","IE",IF(HLOOKUP(CC$15,Data_5!$F$10:$BG$42,$A30+2,FALSE)="NE","NE",IF(HLOOKUP(CC$15,Data_5!$F$10:$BG$42,$A30+2,FALSE)="C","C",IF(HLOOKUP(CC$15,Data_5!$F$10:$BG$42,$A30+2,FALSE)="NO","NO",HLOOKUP(CC$15,Data_5!$F$10:$BG$42,$A30+2,FALSE)/Data_5!$BI25))))))),"")</f>
        <v/>
      </c>
      <c r="CD30" s="1122" t="str">
        <f>IFERROR(IF(VLOOKUP($AL30,Data_5!$B$12:$E$42,4,FALSE)="BASIC","",(IF(HLOOKUP(CD$15,Data_5!$F$10:$BG$42,$A30+2,FALSE)="NO","NO",IF(HLOOKUP(CD$15,Data_5!$F$10:$BG$42,$A30+2,FALSE)="IE","IE",IF(HLOOKUP(CD$15,Data_5!$F$10:$BG$42,$A30+2,FALSE)="NE","NE",IF(HLOOKUP(CD$15,Data_5!$F$10:$BG$42,$A30+2,FALSE)="C","C",IF(HLOOKUP(CD$15,Data_5!$F$10:$BG$42,$A30+2,FALSE)="NO","NO",HLOOKUP(CD$15,Data_5!$F$10:$BG$42,$A30+2,FALSE)/Data_5!$BI25))))))),"")</f>
        <v/>
      </c>
      <c r="CE30" s="1122" t="str">
        <f>IFERROR(IF(VLOOKUP($AL30,Data_5!$B$12:$E$42,4,FALSE)="BASIC","",(IF(HLOOKUP(CE$15,Data_5!$F$10:$BG$42,$A30+2,FALSE)="NO","NO",IF(HLOOKUP(CE$15,Data_5!$F$10:$BG$42,$A30+2,FALSE)="IE","IE",IF(HLOOKUP(CE$15,Data_5!$F$10:$BG$42,$A30+2,FALSE)="NE","NE",IF(HLOOKUP(CE$15,Data_5!$F$10:$BG$42,$A30+2,FALSE)="C","C",IF(HLOOKUP(CE$15,Data_5!$F$10:$BG$42,$A30+2,FALSE)="NO","NO",HLOOKUP(CE$15,Data_5!$F$10:$BG$42,$A30+2,FALSE)/Data_5!$BI25))))))),"")</f>
        <v/>
      </c>
      <c r="CF30" s="1122" t="str">
        <f>IFERROR(IF(VLOOKUP($AL30,Data_5!$B$12:$E$42,4,FALSE)="BASIC","",(IF(HLOOKUP(CF$15,Data_5!$F$10:$BG$42,$A30+2,FALSE)="NO","NO",IF(HLOOKUP(CF$15,Data_5!$F$10:$BG$42,$A30+2,FALSE)="IE","IE",IF(HLOOKUP(CF$15,Data_5!$F$10:$BG$42,$A30+2,FALSE)="NE","NE",IF(HLOOKUP(CF$15,Data_5!$F$10:$BG$42,$A30+2,FALSE)="C","C",IF(HLOOKUP(CF$15,Data_5!$F$10:$BG$42,$A30+2,FALSE)="NO","NO",HLOOKUP(CF$15,Data_5!$F$10:$BG$42,$A30+2,FALSE)/Data_5!$BI25))))))),"")</f>
        <v/>
      </c>
      <c r="CG30" s="1122" t="str">
        <f>IFERROR(IF(VLOOKUP($AL30,Data_5!$B$12:$E$42,4,FALSE)="BASIC","",(IF(HLOOKUP(CG$15,Data_5!$F$10:$BG$42,$A30+2,FALSE)="NO","NO",IF(HLOOKUP(CG$15,Data_5!$F$10:$BG$42,$A30+2,FALSE)="IE","IE",IF(HLOOKUP(CG$15,Data_5!$F$10:$BG$42,$A30+2,FALSE)="NE","NE",IF(HLOOKUP(CG$15,Data_5!$F$10:$BG$42,$A30+2,FALSE)="C","C",IF(HLOOKUP(CG$15,Data_5!$F$10:$BG$42,$A30+2,FALSE)="NO","NO",HLOOKUP(CG$15,Data_5!$F$10:$BG$42,$A30+2,FALSE)/Data_5!$BI25))))))),"")</f>
        <v/>
      </c>
      <c r="CH30" s="1122" t="str">
        <f>IFERROR(IF(VLOOKUP($AL30,Data_5!$B$12:$E$42,4,FALSE)="BASIC","",(IF(HLOOKUP(CH$15,Data_5!$F$10:$BG$42,$A30+2,FALSE)="NO","NO",IF(HLOOKUP(CH$15,Data_5!$F$10:$BG$42,$A30+2,FALSE)="IE","IE",IF(HLOOKUP(CH$15,Data_5!$F$10:$BG$42,$A30+2,FALSE)="NE","NE",IF(HLOOKUP(CH$15,Data_5!$F$10:$BG$42,$A30+2,FALSE)="C","C",IF(HLOOKUP(CH$15,Data_5!$F$10:$BG$42,$A30+2,FALSE)="NO","NO",HLOOKUP(CH$15,Data_5!$F$10:$BG$42,$A30+2,FALSE)/Data_5!$BI25))))))),"")</f>
        <v/>
      </c>
      <c r="CI30" s="1122" t="str">
        <f>IFERROR(IF(VLOOKUP($AL30,Data_5!$B$12:$E$42,4,FALSE)="BASIC","",(IF(HLOOKUP(CI$15,Data_5!$F$10:$BG$42,$A30+2,FALSE)="NO","NO",IF(HLOOKUP(CI$15,Data_5!$F$10:$BG$42,$A30+2,FALSE)="IE","IE",IF(HLOOKUP(CI$15,Data_5!$F$10:$BG$42,$A30+2,FALSE)="NE","NE",IF(HLOOKUP(CI$15,Data_5!$F$10:$BG$42,$A30+2,FALSE)="C","C",IF(HLOOKUP(CI$15,Data_5!$F$10:$BG$42,$A30+2,FALSE)="NO","NO",HLOOKUP(CI$15,Data_5!$F$10:$BG$42,$A30+2,FALSE)/Data_5!$BI25))))))),"")</f>
        <v/>
      </c>
      <c r="CJ30" s="1122" t="str">
        <f>IFERROR(IF(VLOOKUP($AL30,Data_5!$B$12:$E$42,4,FALSE)="BASIC","",(IF(HLOOKUP(CJ$15,Data_5!$F$10:$BG$42,$A30+2,FALSE)="NO","NO",IF(HLOOKUP(CJ$15,Data_5!$F$10:$BG$42,$A30+2,FALSE)="IE","IE",IF(HLOOKUP(CJ$15,Data_5!$F$10:$BG$42,$A30+2,FALSE)="NE","NE",IF(HLOOKUP(CJ$15,Data_5!$F$10:$BG$42,$A30+2,FALSE)="C","C",IF(HLOOKUP(CJ$15,Data_5!$F$10:$BG$42,$A30+2,FALSE)="NO","NO",HLOOKUP(CJ$15,Data_5!$F$10:$BG$42,$A30+2,FALSE)/Data_5!$BI25))))))),"")</f>
        <v/>
      </c>
      <c r="CL30" s="2628" t="str">
        <f t="shared" si="2"/>
        <v>City of Melbourne</v>
      </c>
      <c r="CM30" s="2629"/>
      <c r="CN30" s="1100">
        <f t="shared" si="3"/>
        <v>2013</v>
      </c>
      <c r="CO30" s="1122">
        <f>IFERROR(IF(HLOOKUP(CO$15,Data_5!$F$10:$BG$42,$A30+2,FALSE)="NO","NO",IF(HLOOKUP(CO$15,Data_5!$F$10:$BG$42,$A30+2,FALSE)="IE","IE",IF(HLOOKUP(CO$15,Data_5!$F$10:$BG$42,$A30+2,FALSE)="NE","NE",IF(HLOOKUP(CO$15,Data_5!$F$10:$BG$42,$A30+2,FALSE)="C","C",IF(HLOOKUP(CO$15,Data_5!$F$10:$BG$42,$A30+2,FALSE)="NO","NO",HLOOKUP(CO$15,Data_5!$F$10:$BG$42,$A30+2,FALSE)/Data_5!$BK25))))),"")</f>
        <v>5.9235633715574429E-2</v>
      </c>
      <c r="CP30" s="1122">
        <f>IFERROR(IF(HLOOKUP(CP$15,Data_5!$F$10:$BG$42,$A30+2,FALSE)="NO","NO",IF(HLOOKUP(CP$15,Data_5!$F$10:$BG$42,$A30+2,FALSE)="IE","IE",IF(HLOOKUP(CP$15,Data_5!$F$10:$BG$42,$A30+2,FALSE)="NE","NE",IF(HLOOKUP(CP$15,Data_5!$F$10:$BG$42,$A30+2,FALSE)="C","C",IF(HLOOKUP(CP$15,Data_5!$F$10:$BG$42,$A30+2,FALSE)="NO","NO",HLOOKUP(CP$15,Data_5!$F$10:$BG$42,$A30+2,FALSE)/Data_5!$BK25))))),"")</f>
        <v>0.15417781493294858</v>
      </c>
      <c r="CQ30" s="1122">
        <f>IFERROR(IF(HLOOKUP(CQ$15,Data_5!$F$10:$BG$42,$A30+2,FALSE)="NO","NO",IF(HLOOKUP(CQ$15,Data_5!$F$10:$BG$42,$A30+2,FALSE)="IE","IE",IF(HLOOKUP(CQ$15,Data_5!$F$10:$BG$42,$A30+2,FALSE)="NE","NE",IF(HLOOKUP(CQ$15,Data_5!$F$10:$BG$42,$A30+2,FALSE)="C","C",IF(HLOOKUP(CQ$15,Data_5!$F$10:$BG$42,$A30+2,FALSE)="NO","NO",HLOOKUP(CQ$15,Data_5!$F$10:$BG$42,$A30+2,FALSE)/Data_5!$BK25))))),"")</f>
        <v>0.16520258660330508</v>
      </c>
      <c r="CR30" s="1122" t="str">
        <f>IFERROR(IF(HLOOKUP(CR$15,Data_5!$F$10:$BG$42,$A30+2,FALSE)="NO","NO",IF(HLOOKUP(CR$15,Data_5!$F$10:$BG$42,$A30+2,FALSE)="IE","IE",IF(HLOOKUP(CR$15,Data_5!$F$10:$BG$42,$A30+2,FALSE)="NE","NE",IF(HLOOKUP(CR$15,Data_5!$F$10:$BG$42,$A30+2,FALSE)="C","C",IF(HLOOKUP(CR$15,Data_5!$F$10:$BG$42,$A30+2,FALSE)="NO","NO",HLOOKUP(CR$15,Data_5!$F$10:$BG$42,$A30+2,FALSE)/Data_5!$BK25))))),"")</f>
        <v>NO</v>
      </c>
      <c r="CS30" s="1122" t="str">
        <f>IFERROR(IF(HLOOKUP(CS$15,Data_5!$F$10:$BG$42,$A30+2,FALSE)="NO","NO",IF(HLOOKUP(CS$15,Data_5!$F$10:$BG$42,$A30+2,FALSE)="IE","IE",IF(HLOOKUP(CS$15,Data_5!$F$10:$BG$42,$A30+2,FALSE)="NE","NE",IF(HLOOKUP(CS$15,Data_5!$F$10:$BG$42,$A30+2,FALSE)="C","C",IF(HLOOKUP(CS$15,Data_5!$F$10:$BG$42,$A30+2,FALSE)="NO","NO",HLOOKUP(CS$15,Data_5!$F$10:$BG$42,$A30+2,FALSE)/Data_5!$BK25))))),"")</f>
        <v>NO</v>
      </c>
      <c r="CT30" s="1122" t="str">
        <f>IFERROR(IF(HLOOKUP(CT$15,Data_5!$F$10:$BG$42,$A30+2,FALSE)="NO","NO",IF(HLOOKUP(CT$15,Data_5!$F$10:$BG$42,$A30+2,FALSE)="IE","IE",IF(HLOOKUP(CT$15,Data_5!$F$10:$BG$42,$A30+2,FALSE)="NE","NE",IF(HLOOKUP(CT$15,Data_5!$F$10:$BG$42,$A30+2,FALSE)="C","C",IF(HLOOKUP(CT$15,Data_5!$F$10:$BG$42,$A30+2,FALSE)="NO","NO",HLOOKUP(CT$15,Data_5!$F$10:$BG$42,$A30+2,FALSE)/Data_5!$BK25))))),"")</f>
        <v>NO</v>
      </c>
      <c r="CU30" s="1122" t="str">
        <f>IFERROR(IF(HLOOKUP(CU$15,Data_5!$F$10:$BG$42,$A30+2,FALSE)="NO","NO",IF(HLOOKUP(CU$15,Data_5!$F$10:$BG$42,$A30+2,FALSE)="IE","IE",IF(HLOOKUP(CU$15,Data_5!$F$10:$BG$42,$A30+2,FALSE)="NE","NE",IF(HLOOKUP(CU$15,Data_5!$F$10:$BG$42,$A30+2,FALSE)="C","C",IF(HLOOKUP(CU$15,Data_5!$F$10:$BG$42,$A30+2,FALSE)="NO","NO",HLOOKUP(CU$15,Data_5!$F$10:$BG$42,$A30+2,FALSE)/Data_5!$BK25))))),"")</f>
        <v>IE</v>
      </c>
      <c r="CV30" s="1122" t="str">
        <f>IFERROR(IF(HLOOKUP(CV$15,Data_5!$F$10:$BG$42,$A30+2,FALSE)="NO","NO",IF(HLOOKUP(CV$15,Data_5!$F$10:$BG$42,$A30+2,FALSE)="IE","IE",IF(HLOOKUP(CV$15,Data_5!$F$10:$BG$42,$A30+2,FALSE)="NE","NE",IF(HLOOKUP(CV$15,Data_5!$F$10:$BG$42,$A30+2,FALSE)="C","C",IF(HLOOKUP(CV$15,Data_5!$F$10:$BG$42,$A30+2,FALSE)="NO","NO",HLOOKUP(CV$15,Data_5!$F$10:$BG$42,$A30+2,FALSE)/Data_5!$BK25))))),"")</f>
        <v>NO</v>
      </c>
      <c r="CW30" s="1122" t="str">
        <f>IFERROR(IF(HLOOKUP(CW$15,Data_5!$F$10:$BG$42,$A30+2,FALSE)="NO","NO",IF(HLOOKUP(CW$15,Data_5!$F$10:$BG$42,$A30+2,FALSE)="IE","IE",IF(HLOOKUP(CW$15,Data_5!$F$10:$BG$42,$A30+2,FALSE)="NE","NE",IF(HLOOKUP(CW$15,Data_5!$F$10:$BG$42,$A30+2,FALSE)="C","C",IF(HLOOKUP(CW$15,Data_5!$F$10:$BG$42,$A30+2,FALSE)="NO","NO",HLOOKUP(CW$15,Data_5!$F$10:$BG$42,$A30+2,FALSE)/Data_5!$BK25))))),"")</f>
        <v>NO</v>
      </c>
      <c r="CX30" s="1122">
        <f>IFERROR(IF(HLOOKUP(CX$15,Data_5!$F$10:$BG$42,$A30+2,FALSE)="NO","NO",IF(HLOOKUP(CX$15,Data_5!$F$10:$BG$42,$A30+2,FALSE)="IE","IE",IF(HLOOKUP(CX$15,Data_5!$F$10:$BG$42,$A30+2,FALSE)="NE","NE",IF(HLOOKUP(CX$15,Data_5!$F$10:$BG$42,$A30+2,FALSE)="C","C",IF(HLOOKUP(CX$15,Data_5!$F$10:$BG$42,$A30+2,FALSE)="NO","NO",HLOOKUP(CX$15,Data_5!$F$10:$BG$42,$A30+2,FALSE)/Data_5!$BK25))))),"")</f>
        <v>0.6133735640073591</v>
      </c>
      <c r="CY30" s="1122" t="str">
        <f>IFERROR(IF(HLOOKUP(CY$15,Data_5!$F$10:$BG$42,$A30+2,FALSE)="NO","NO",IF(HLOOKUP(CY$15,Data_5!$F$10:$BG$42,$A30+2,FALSE)="IE","IE",IF(HLOOKUP(CY$15,Data_5!$F$10:$BG$42,$A30+2,FALSE)="NE","NE",IF(HLOOKUP(CY$15,Data_5!$F$10:$BG$42,$A30+2,FALSE)="C","C",IF(HLOOKUP(CY$15,Data_5!$F$10:$BG$42,$A30+2,FALSE)="NO","NO",HLOOKUP(CY$15,Data_5!$F$10:$BG$42,$A30+2,FALSE)/Data_5!$BK25))))),"")</f>
        <v>NO</v>
      </c>
      <c r="CZ30" s="1122" t="str">
        <f>IFERROR(IF(HLOOKUP(CZ$15,Data_5!$F$10:$BG$42,$A30+2,FALSE)="NO","NO",IF(HLOOKUP(CZ$15,Data_5!$F$10:$BG$42,$A30+2,FALSE)="IE","IE",IF(HLOOKUP(CZ$15,Data_5!$F$10:$BG$42,$A30+2,FALSE)="NE","NE",IF(HLOOKUP(CZ$15,Data_5!$F$10:$BG$42,$A30+2,FALSE)="C","C",IF(HLOOKUP(CZ$15,Data_5!$F$10:$BG$42,$A30+2,FALSE)="NO","NO",HLOOKUP(CZ$15,Data_5!$F$10:$BG$42,$A30+2,FALSE)/Data_5!$BK25))))),"")</f>
        <v>NO</v>
      </c>
      <c r="DA30" s="1122" t="str">
        <f>IFERROR(IF(HLOOKUP(DA$15,Data_5!$F$10:$BG$42,$A30+2,FALSE)="NO","NO",IF(HLOOKUP(DA$15,Data_5!$F$10:$BG$42,$A30+2,FALSE)="IE","IE",IF(HLOOKUP(DA$15,Data_5!$F$10:$BG$42,$A30+2,FALSE)="NE","NE",IF(HLOOKUP(DA$15,Data_5!$F$10:$BG$42,$A30+2,FALSE)="C","C",IF(HLOOKUP(DA$15,Data_5!$F$10:$BG$42,$A30+2,FALSE)="NO","NO",HLOOKUP(DA$15,Data_5!$F$10:$BG$42,$A30+2,FALSE)/Data_5!$BK25))))),"")</f>
        <v>NO</v>
      </c>
      <c r="DB30" s="1122">
        <f>IFERROR(IF(HLOOKUP(DB$15,Data_5!$F$10:$BG$42,$A30+2,FALSE)="NO","NO",IF(HLOOKUP(DB$15,Data_5!$F$10:$BG$42,$A30+2,FALSE)="IE","IE",IF(HLOOKUP(DB$15,Data_5!$F$10:$BG$42,$A30+2,FALSE)="NE","NE",IF(HLOOKUP(DB$15,Data_5!$F$10:$BG$42,$A30+2,FALSE)="C","C",IF(HLOOKUP(DB$15,Data_5!$F$10:$BG$42,$A30+2,FALSE)="NO","NO",HLOOKUP(DB$15,Data_5!$F$10:$BG$42,$A30+2,FALSE)/Data_5!$BK25))))),"")</f>
        <v>8.0104007408128858E-3</v>
      </c>
      <c r="DC30" s="1122" t="str">
        <f>IFERROR(IF(HLOOKUP(DC$15,Data_5!$F$10:$BG$42,$A30+2,FALSE)="NO","NO",IF(HLOOKUP(DC$15,Data_5!$F$10:$BG$42,$A30+2,FALSE)="IE","IE",IF(HLOOKUP(DC$15,Data_5!$F$10:$BG$42,$A30+2,FALSE)="NE","NE",IF(HLOOKUP(DC$15,Data_5!$F$10:$BG$42,$A30+2,FALSE)="C","C",IF(HLOOKUP(DC$15,Data_5!$F$10:$BG$42,$A30+2,FALSE)="NO","NO",HLOOKUP(DC$15,Data_5!$F$10:$BG$42,$A30+2,FALSE)/Data_5!$BK25))))),"")</f>
        <v>NO</v>
      </c>
      <c r="DD30" s="1122" t="str">
        <f>IFERROR(IF(HLOOKUP(DD$15,Data_5!$F$10:$BG$42,$A30+2,FALSE)="NO","NO",IF(HLOOKUP(DD$15,Data_5!$F$10:$BG$42,$A30+2,FALSE)="IE","IE",IF(HLOOKUP(DD$15,Data_5!$F$10:$BG$42,$A30+2,FALSE)="NE","NE",IF(HLOOKUP(DD$15,Data_5!$F$10:$BG$42,$A30+2,FALSE)="C","C",IF(HLOOKUP(DD$15,Data_5!$F$10:$BG$42,$A30+2,FALSE)="NO","NO",HLOOKUP(DD$15,Data_5!$F$10:$BG$42,$A30+2,FALSE)/Data_5!$BK25))))),"")</f>
        <v>NO</v>
      </c>
      <c r="DE30" s="1122" t="str">
        <f>IFERROR(IF(HLOOKUP(DE$15,Data_5!$F$10:$BG$42,$A30+2,FALSE)="NO","NO",IF(HLOOKUP(DE$15,Data_5!$F$10:$BG$42,$A30+2,FALSE)="IE","IE",IF(HLOOKUP(DE$15,Data_5!$F$10:$BG$42,$A30+2,FALSE)="NE","NE",IF(HLOOKUP(DE$15,Data_5!$F$10:$BG$42,$A30+2,FALSE)="C","C",IF(HLOOKUP(DE$15,Data_5!$F$10:$BG$42,$A30+2,FALSE)="NO","NO",HLOOKUP(DE$15,Data_5!$F$10:$BG$42,$A30+2,FALSE)/Data_5!$BK25))))),"")</f>
        <v>NO</v>
      </c>
      <c r="DF30" s="1122" t="str">
        <f>IFERROR(IF(HLOOKUP(DF$15,Data_5!$F$10:$BG$42,$A30+2,FALSE)="NO","NO",IF(HLOOKUP(DF$15,Data_5!$F$10:$BG$42,$A30+2,FALSE)="IE","IE",IF(HLOOKUP(DF$15,Data_5!$F$10:$BG$42,$A30+2,FALSE)="NE","NE",IF(HLOOKUP(DF$15,Data_5!$F$10:$BG$42,$A30+2,FALSE)="C","C",IF(HLOOKUP(DF$15,Data_5!$F$10:$BG$42,$A30+2,FALSE)="NO","NO",HLOOKUP(DF$15,Data_5!$F$10:$BG$42,$A30+2,FALSE)/Data_5!$BK25))))),"")</f>
        <v>NO</v>
      </c>
      <c r="DG30" s="1122" t="str">
        <f>IFERROR(IF(HLOOKUP(DG$15,Data_5!$F$10:$BG$42,$A30+2,FALSE)="NO","NO",IF(HLOOKUP(DG$15,Data_5!$F$10:$BG$42,$A30+2,FALSE)="IE","IE",IF(HLOOKUP(DG$15,Data_5!$F$10:$BG$42,$A30+2,FALSE)="NE","NE",IF(HLOOKUP(DG$15,Data_5!$F$10:$BG$42,$A30+2,FALSE)="C","C",IF(HLOOKUP(DG$15,Data_5!$F$10:$BG$42,$A30+2,FALSE)="NO","NO",HLOOKUP(DG$15,Data_5!$F$10:$BG$42,$A30+2,FALSE)/Data_5!$BK25))))),"")</f>
        <v>NO</v>
      </c>
      <c r="DH30" s="1122" t="str">
        <f>IFERROR(IF(HLOOKUP(DH$15,Data_5!$F$10:$BG$42,$A30+2,FALSE)="NO","NO",IF(HLOOKUP(DH$15,Data_5!$F$10:$BG$42,$A30+2,FALSE)="IE","IE",IF(HLOOKUP(DH$15,Data_5!$F$10:$BG$42,$A30+2,FALSE)="NE","NE",IF(HLOOKUP(DH$15,Data_5!$F$10:$BG$42,$A30+2,FALSE)="C","C",IF(HLOOKUP(DH$15,Data_5!$F$10:$BG$42,$A30+2,FALSE)="NO","NO",HLOOKUP(DH$15,Data_5!$F$10:$BG$42,$A30+2,FALSE)/Data_5!$BK25))))),"")</f>
        <v>NO</v>
      </c>
      <c r="DI30" s="1122" t="str">
        <f>IFERROR(IF(HLOOKUP(DI$15,Data_5!$F$10:$BG$42,$A30+2,FALSE)="NO","NO",IF(HLOOKUP(DI$15,Data_5!$F$10:$BG$42,$A30+2,FALSE)="IE","IE",IF(HLOOKUP(DI$15,Data_5!$F$10:$BG$42,$A30+2,FALSE)="NE","NE",IF(HLOOKUP(DI$15,Data_5!$F$10:$BG$42,$A30+2,FALSE)="C","C",IF(HLOOKUP(DI$15,Data_5!$F$10:$BG$42,$A30+2,FALSE)="NO","NO",HLOOKUP(DI$15,Data_5!$F$10:$BG$42,$A30+2,FALSE)/Data_5!$BK25))))),"")</f>
        <v>NO</v>
      </c>
      <c r="DJ30" s="1122" t="str">
        <f>IFERROR(IF(HLOOKUP(DJ$15,Data_5!$F$10:$BG$42,$A30+2,FALSE)="NO","NO",IF(HLOOKUP(DJ$15,Data_5!$F$10:$BG$42,$A30+2,FALSE)="IE","IE",IF(HLOOKUP(DJ$15,Data_5!$F$10:$BG$42,$A30+2,FALSE)="NE","NE",IF(HLOOKUP(DJ$15,Data_5!$F$10:$BG$42,$A30+2,FALSE)="C","C",IF(HLOOKUP(DJ$15,Data_5!$F$10:$BG$42,$A30+2,FALSE)="NO","NO",HLOOKUP(DJ$15,Data_5!$F$10:$BG$42,$A30+2,FALSE)/Data_5!$BK25))))),"")</f>
        <v>NO</v>
      </c>
      <c r="DK30" s="1122" t="str">
        <f>IFERROR(IF(HLOOKUP(DK$15,Data_5!$F$10:$BG$42,$A30+2,FALSE)="NO","NO",IF(HLOOKUP(DK$15,Data_5!$F$10:$BG$42,$A30+2,FALSE)="IE","IE",IF(HLOOKUP(DK$15,Data_5!$F$10:$BG$42,$A30+2,FALSE)="NE","NE",IF(HLOOKUP(DK$15,Data_5!$F$10:$BG$42,$A30+2,FALSE)="C","C",IF(HLOOKUP(DK$15,Data_5!$F$10:$BG$42,$A30+2,FALSE)="NO","NO",HLOOKUP(DK$15,Data_5!$F$10:$BG$42,$A30+2,FALSE)/Data_5!$BK25))))),"")</f>
        <v>NO</v>
      </c>
      <c r="DL30" s="1122" t="str">
        <f>IFERROR(IF(HLOOKUP(DL$15,Data_5!$F$10:$BG$42,$A30+2,FALSE)="NO","NO",IF(HLOOKUP(DL$15,Data_5!$F$10:$BG$42,$A30+2,FALSE)="IE","IE",IF(HLOOKUP(DL$15,Data_5!$F$10:$BG$42,$A30+2,FALSE)="NE","NE",IF(HLOOKUP(DL$15,Data_5!$F$10:$BG$42,$A30+2,FALSE)="C","C",IF(HLOOKUP(DL$15,Data_5!$F$10:$BG$42,$A30+2,FALSE)="NO","NO",HLOOKUP(DL$15,Data_5!$F$10:$BG$42,$A30+2,FALSE)/Data_5!$BK25))))),"")</f>
        <v>NE</v>
      </c>
      <c r="DM30" s="1122" t="str">
        <f>IFERROR(IF(HLOOKUP(DM$15,Data_5!$F$10:$BG$42,$A30+2,FALSE)="NO","NO",IF(HLOOKUP(DM$15,Data_5!$F$10:$BG$42,$A30+2,FALSE)="IE","IE",IF(HLOOKUP(DM$15,Data_5!$F$10:$BG$42,$A30+2,FALSE)="NE","NE",IF(HLOOKUP(DM$15,Data_5!$F$10:$BG$42,$A30+2,FALSE)="C","C",IF(HLOOKUP(DM$15,Data_5!$F$10:$BG$42,$A30+2,FALSE)="NO","NO",HLOOKUP(DM$15,Data_5!$F$10:$BG$42,$A30+2,FALSE)/Data_5!$BK25))))),"")</f>
        <v>NO</v>
      </c>
      <c r="DN30" s="1122" t="str">
        <f>IFERROR(IF(HLOOKUP(DN$15,Data_5!$F$10:$BG$42,$A30+2,FALSE)="NO","NO",IF(HLOOKUP(DN$15,Data_5!$F$10:$BG$42,$A30+2,FALSE)="IE","IE",IF(HLOOKUP(DN$15,Data_5!$F$10:$BG$42,$A30+2,FALSE)="NE","NE",IF(HLOOKUP(DN$15,Data_5!$F$10:$BG$42,$A30+2,FALSE)="C","C",IF(HLOOKUP(DN$15,Data_5!$F$10:$BG$42,$A30+2,FALSE)="NO","NO",HLOOKUP(DN$15,Data_5!$F$10:$BG$42,$A30+2,FALSE)/Data_5!$BK25))))),"")</f>
        <v>NO</v>
      </c>
      <c r="DO30" s="1122" t="str">
        <f>IFERROR(IF(HLOOKUP(DO$15,Data_5!$F$10:$BG$42,$A30+2,FALSE)="NO","NO",IF(HLOOKUP(DO$15,Data_5!$F$10:$BG$42,$A30+2,FALSE)="IE","IE",IF(HLOOKUP(DO$15,Data_5!$F$10:$BG$42,$A30+2,FALSE)="NE","NE",IF(HLOOKUP(DO$15,Data_5!$F$10:$BG$42,$A30+2,FALSE)="C","C",IF(HLOOKUP(DO$15,Data_5!$F$10:$BG$42,$A30+2,FALSE)="NO","NO",HLOOKUP(DO$15,Data_5!$F$10:$BG$42,$A30+2,FALSE)/Data_5!$BK25))))),"")</f>
        <v>NO</v>
      </c>
    </row>
    <row r="31" spans="1:119" s="15" customFormat="1" ht="15" customHeight="1">
      <c r="A31" s="1789">
        <v>15</v>
      </c>
      <c r="B31" s="2628" t="str">
        <f>IF(Data_5!B26&lt;&gt;"",Data_5!B26,"")</f>
        <v>Mexico City</v>
      </c>
      <c r="C31" s="2629"/>
      <c r="D31" s="1462">
        <f>IFERROR(VLOOKUP($B31,Data_5!$B$12:$C$42,2,FALSE),"")</f>
        <v>2012</v>
      </c>
      <c r="E31" s="1122">
        <f>IFERROR(IF(HLOOKUP(E$15,Data_5!$F$10:$BG$42,$A31+2,FALSE)="NO","NO",IF(HLOOKUP(E$15,Data_5!$F$10:$BG$42,$A31+2,FALSE)="IE","IE",IF(HLOOKUP(E$15,Data_5!$F$10:$BG$42,$A31+2,FALSE)="NE","NE",IF(HLOOKUP(E$15,Data_5!$F$10:$BG$42,$A31+2,FALSE)="C","C",IF(HLOOKUP(E$15,Data_5!$F$10:$BG$42,$A31+2,FALSE)="NO","NO",HLOOKUP(E$15,Data_5!$F$10:$BG$42,$A31+2,FALSE)/Data_5!$BH26))))),"")</f>
        <v>6.5444621560577315E-2</v>
      </c>
      <c r="F31" s="1122">
        <f>IFERROR(IF(HLOOKUP(F$15,Data_5!$F$10:$BG$42,$A31+2,FALSE)="NO","NO",IF(HLOOKUP(F$15,Data_5!$F$10:$BG$42,$A31+2,FALSE)="IE","IE",IF(HLOOKUP(F$15,Data_5!$F$10:$BG$42,$A31+2,FALSE)="NE","NE",IF(HLOOKUP(F$15,Data_5!$F$10:$BG$42,$A31+2,FALSE)="C","C",IF(HLOOKUP(F$15,Data_5!$F$10:$BG$42,$A31+2,FALSE)="NO","NO",HLOOKUP(F$15,Data_5!$F$10:$BG$42,$A31+2,FALSE)/Data_5!$BH26))))),"")</f>
        <v>6.7088556065642721E-2</v>
      </c>
      <c r="G31" s="1122">
        <f>IFERROR(IF(HLOOKUP(G$15,Data_5!$F$10:$BG$42,$A31+2,FALSE)="NO","NO",IF(HLOOKUP(G$15,Data_5!$F$10:$BG$42,$A31+2,FALSE)="IE","IE",IF(HLOOKUP(G$15,Data_5!$F$10:$BG$42,$A31+2,FALSE)="NE","NE",IF(HLOOKUP(G$15,Data_5!$F$10:$BG$42,$A31+2,FALSE)="C","C",IF(HLOOKUP(G$15,Data_5!$F$10:$BG$42,$A31+2,FALSE)="NO","NO",HLOOKUP(G$15,Data_5!$F$10:$BG$42,$A31+2,FALSE)/Data_5!$BH26))))),"")</f>
        <v>1.1307978473161024E-2</v>
      </c>
      <c r="H31" s="1122">
        <f>IFERROR(IF(HLOOKUP(H$15,Data_5!$F$10:$BG$42,$A31+2,FALSE)="NO","NO",IF(HLOOKUP(H$15,Data_5!$F$10:$BG$42,$A31+2,FALSE)="IE","IE",IF(HLOOKUP(H$15,Data_5!$F$10:$BG$42,$A31+2,FALSE)="NE","NE",IF(HLOOKUP(H$15,Data_5!$F$10:$BG$42,$A31+2,FALSE)="C","C",IF(HLOOKUP(H$15,Data_5!$F$10:$BG$42,$A31+2,FALSE)="NO","NO",HLOOKUP(H$15,Data_5!$F$10:$BG$42,$A31+2,FALSE)/Data_5!$BH26))))),"")</f>
        <v>6.8837082255087431E-2</v>
      </c>
      <c r="I31" s="1122">
        <f>IFERROR(IF(HLOOKUP(I$15,Data_5!$F$10:$BG$42,$A31+2,FALSE)="NO","NO",IF(HLOOKUP(I$15,Data_5!$F$10:$BG$42,$A31+2,FALSE)="IE","IE",IF(HLOOKUP(I$15,Data_5!$F$10:$BG$42,$A31+2,FALSE)="NE","NE",IF(HLOOKUP(I$15,Data_5!$F$10:$BG$42,$A31+2,FALSE)="C","C",IF(HLOOKUP(I$15,Data_5!$F$10:$BG$42,$A31+2,FALSE)="NO","NO",HLOOKUP(I$15,Data_5!$F$10:$BG$42,$A31+2,FALSE)/Data_5!$BH26))))),"")</f>
        <v>4.1748356287922894E-2</v>
      </c>
      <c r="J31" s="1122">
        <f>IFERROR(IF(HLOOKUP(J$15,Data_5!$F$10:$BG$42,$A31+2,FALSE)="NO","NO",IF(HLOOKUP(J$15,Data_5!$F$10:$BG$42,$A31+2,FALSE)="IE","IE",IF(HLOOKUP(J$15,Data_5!$F$10:$BG$42,$A31+2,FALSE)="NE","NE",IF(HLOOKUP(J$15,Data_5!$F$10:$BG$42,$A31+2,FALSE)="C","C",IF(HLOOKUP(J$15,Data_5!$F$10:$BG$42,$A31+2,FALSE)="NO","NO",HLOOKUP(J$15,Data_5!$F$10:$BG$42,$A31+2,FALSE)/Data_5!$BH26))))),"")</f>
        <v>0.13614451268842873</v>
      </c>
      <c r="K31" s="1122">
        <f>IFERROR(IF(HLOOKUP(K$15,Data_5!$F$10:$BG$42,$A31+2,FALSE)="NO","NO",IF(HLOOKUP(K$15,Data_5!$F$10:$BG$42,$A31+2,FALSE)="IE","IE",IF(HLOOKUP(K$15,Data_5!$F$10:$BG$42,$A31+2,FALSE)="NE","NE",IF(HLOOKUP(K$15,Data_5!$F$10:$BG$42,$A31+2,FALSE)="C","C",IF(HLOOKUP(K$15,Data_5!$F$10:$BG$42,$A31+2,FALSE)="NO","NO",HLOOKUP(K$15,Data_5!$F$10:$BG$42,$A31+2,FALSE)/Data_5!$BH26))))),"")</f>
        <v>7.9661741825814655E-4</v>
      </c>
      <c r="L31" s="1122" t="str">
        <f>IFERROR(IF(HLOOKUP(L$15,Data_5!$F$10:$BG$42,$A31+2,FALSE)="NO","NO",IF(HLOOKUP(L$15,Data_5!$F$10:$BG$42,$A31+2,FALSE)="IE","IE",IF(HLOOKUP(L$15,Data_5!$F$10:$BG$42,$A31+2,FALSE)="NE","NE",IF(HLOOKUP(L$15,Data_5!$F$10:$BG$42,$A31+2,FALSE)="C","C",IF(HLOOKUP(L$15,Data_5!$F$10:$BG$42,$A31+2,FALSE)="NO","NO",HLOOKUP(L$15,Data_5!$F$10:$BG$42,$A31+2,FALSE)/Data_5!$BH26))))),"")</f>
        <v>NO</v>
      </c>
      <c r="M31" s="1122">
        <f>IFERROR(IF(HLOOKUP(M$15,Data_5!$F$10:$BG$42,$A31+2,FALSE)="NO","NO",IF(HLOOKUP(M$15,Data_5!$F$10:$BG$42,$A31+2,FALSE)="IE","IE",IF(HLOOKUP(M$15,Data_5!$F$10:$BG$42,$A31+2,FALSE)="NE","NE",IF(HLOOKUP(M$15,Data_5!$F$10:$BG$42,$A31+2,FALSE)="C","C",IF(HLOOKUP(M$15,Data_5!$F$10:$BG$42,$A31+2,FALSE)="NO","NO",HLOOKUP(M$15,Data_5!$F$10:$BG$42,$A31+2,FALSE)/Data_5!$BH26))))),"")</f>
        <v>1.8238421112836027E-4</v>
      </c>
      <c r="N31" s="1122">
        <f>IFERROR(IF(HLOOKUP(N$15,Data_5!$F$10:$BG$42,$A31+2,FALSE)="NO","NO",IF(HLOOKUP(N$15,Data_5!$F$10:$BG$42,$A31+2,FALSE)="IE","IE",IF(HLOOKUP(N$15,Data_5!$F$10:$BG$42,$A31+2,FALSE)="NE","NE",IF(HLOOKUP(N$15,Data_5!$F$10:$BG$42,$A31+2,FALSE)="C","C",IF(HLOOKUP(N$15,Data_5!$F$10:$BG$42,$A31+2,FALSE)="NO","NO",HLOOKUP(N$15,Data_5!$F$10:$BG$42,$A31+2,FALSE)/Data_5!$BH26))))),"")</f>
        <v>3.1292516209006487E-5</v>
      </c>
      <c r="O31" s="1122" t="str">
        <f>IFERROR(IF(HLOOKUP(O$15,Data_5!$F$10:$BG$42,$A31+2,FALSE)="NO","NO",IF(HLOOKUP(O$15,Data_5!$F$10:$BG$42,$A31+2,FALSE)="IE","IE",IF(HLOOKUP(O$15,Data_5!$F$10:$BG$42,$A31+2,FALSE)="NE","NE",IF(HLOOKUP(O$15,Data_5!$F$10:$BG$42,$A31+2,FALSE)="C","C",IF(HLOOKUP(O$15,Data_5!$F$10:$BG$42,$A31+2,FALSE)="NO","NO",HLOOKUP(O$15,Data_5!$F$10:$BG$42,$A31+2,FALSE)/Data_5!$BH26))))),"")</f>
        <v>NO</v>
      </c>
      <c r="P31" s="1122" t="str">
        <f>IFERROR(IF(HLOOKUP(P$15,Data_5!$F$10:$BG$42,$A31+2,FALSE)="NO","NO",IF(HLOOKUP(P$15,Data_5!$F$10:$BG$42,$A31+2,FALSE)="IE","IE",IF(HLOOKUP(P$15,Data_5!$F$10:$BG$42,$A31+2,FALSE)="NE","NE",IF(HLOOKUP(P$15,Data_5!$F$10:$BG$42,$A31+2,FALSE)="C","C",IF(HLOOKUP(P$15,Data_5!$F$10:$BG$42,$A31+2,FALSE)="NO","NO",HLOOKUP(P$15,Data_5!$F$10:$BG$42,$A31+2,FALSE)/Data_5!$BH26))))),"")</f>
        <v>NO</v>
      </c>
      <c r="Q31" s="1122" t="str">
        <f>IFERROR(IF(HLOOKUP(Q$15,Data_5!$F$10:$BG$42,$A31+2,FALSE)="NO","NO",IF(HLOOKUP(Q$15,Data_5!$F$10:$BG$42,$A31+2,FALSE)="IE","IE",IF(HLOOKUP(Q$15,Data_5!$F$10:$BG$42,$A31+2,FALSE)="NE","NE",IF(HLOOKUP(Q$15,Data_5!$F$10:$BG$42,$A31+2,FALSE)="C","C",IF(HLOOKUP(Q$15,Data_5!$F$10:$BG$42,$A31+2,FALSE)="NO","NO",HLOOKUP(Q$15,Data_5!$F$10:$BG$42,$A31+2,FALSE)/Data_5!$BH26))))),"")</f>
        <v>NO</v>
      </c>
      <c r="R31" s="1122">
        <f>IFERROR(IF(HLOOKUP(R$15,Data_5!$F$10:$BG$42,$A31+2,FALSE)="NO","NO",IF(HLOOKUP(R$15,Data_5!$F$10:$BG$42,$A31+2,FALSE)="IE","IE",IF(HLOOKUP(R$15,Data_5!$F$10:$BG$42,$A31+2,FALSE)="NE","NE",IF(HLOOKUP(R$15,Data_5!$F$10:$BG$42,$A31+2,FALSE)="C","C",IF(HLOOKUP(R$15,Data_5!$F$10:$BG$42,$A31+2,FALSE)="NO","NO",HLOOKUP(R$15,Data_5!$F$10:$BG$42,$A31+2,FALSE)/Data_5!$BH26))))),"")</f>
        <v>1.9885007077926566E-5</v>
      </c>
      <c r="S31" s="1122">
        <f>IFERROR(IF(HLOOKUP(S$15,Data_5!$F$10:$BG$42,$A31+2,FALSE)="NO","NO",IF(HLOOKUP(S$15,Data_5!$F$10:$BG$42,$A31+2,FALSE)="IE","IE",IF(HLOOKUP(S$15,Data_5!$F$10:$BG$42,$A31+2,FALSE)="NE","NE",IF(HLOOKUP(S$15,Data_5!$F$10:$BG$42,$A31+2,FALSE)="C","C",IF(HLOOKUP(S$15,Data_5!$F$10:$BG$42,$A31+2,FALSE)="NO","NO",HLOOKUP(S$15,Data_5!$F$10:$BG$42,$A31+2,FALSE)/Data_5!$BH26))))),"")</f>
        <v>0.37973612558936787</v>
      </c>
      <c r="T31" s="1122">
        <f>IFERROR(IF(HLOOKUP(T$15,Data_5!$F$10:$BG$42,$A31+2,FALSE)="NO","NO",IF(HLOOKUP(T$15,Data_5!$F$10:$BG$42,$A31+2,FALSE)="IE","IE",IF(HLOOKUP(T$15,Data_5!$F$10:$BG$42,$A31+2,FALSE)="NE","NE",IF(HLOOKUP(T$15,Data_5!$F$10:$BG$42,$A31+2,FALSE)="C","C",IF(HLOOKUP(T$15,Data_5!$F$10:$BG$42,$A31+2,FALSE)="NO","NO",HLOOKUP(T$15,Data_5!$F$10:$BG$42,$A31+2,FALSE)/Data_5!$BH26))))),"")</f>
        <v>1.0221933218667989E-3</v>
      </c>
      <c r="U31" s="1122">
        <f>IFERROR(IF(HLOOKUP(U$15,Data_5!$F$10:$BG$42,$A31+2,FALSE)="NO","NO",IF(HLOOKUP(U$15,Data_5!$F$10:$BG$42,$A31+2,FALSE)="IE","IE",IF(HLOOKUP(U$15,Data_5!$F$10:$BG$42,$A31+2,FALSE)="NE","NE",IF(HLOOKUP(U$15,Data_5!$F$10:$BG$42,$A31+2,FALSE)="C","C",IF(HLOOKUP(U$15,Data_5!$F$10:$BG$42,$A31+2,FALSE)="NO","NO",HLOOKUP(U$15,Data_5!$F$10:$BG$42,$A31+2,FALSE)/Data_5!$BH26))))),"")</f>
        <v>1.6929919857903891E-4</v>
      </c>
      <c r="V31" s="1122">
        <f>IFERROR(IF(HLOOKUP(V$15,Data_5!$F$10:$BG$42,$A31+2,FALSE)="NO","NO",IF(HLOOKUP(V$15,Data_5!$F$10:$BG$42,$A31+2,FALSE)="IE","IE",IF(HLOOKUP(V$15,Data_5!$F$10:$BG$42,$A31+2,FALSE)="NE","NE",IF(HLOOKUP(V$15,Data_5!$F$10:$BG$42,$A31+2,FALSE)="C","C",IF(HLOOKUP(V$15,Data_5!$F$10:$BG$42,$A31+2,FALSE)="NO","NO",HLOOKUP(V$15,Data_5!$F$10:$BG$42,$A31+2,FALSE)/Data_5!$BH26))))),"")</f>
        <v>2.2157288703753143E-2</v>
      </c>
      <c r="W31" s="1122" t="str">
        <f>IFERROR(IF(HLOOKUP(W$15,Data_5!$F$10:$BG$42,$A31+2,FALSE)="NO","NO",IF(HLOOKUP(W$15,Data_5!$F$10:$BG$42,$A31+2,FALSE)="IE","IE",IF(HLOOKUP(W$15,Data_5!$F$10:$BG$42,$A31+2,FALSE)="NE","NE",IF(HLOOKUP(W$15,Data_5!$F$10:$BG$42,$A31+2,FALSE)="C","C",IF(HLOOKUP(W$15,Data_5!$F$10:$BG$42,$A31+2,FALSE)="NO","NO",HLOOKUP(W$15,Data_5!$F$10:$BG$42,$A31+2,FALSE)/Data_5!$BH26))))),"")</f>
        <v>NO</v>
      </c>
      <c r="X31" s="1122" t="str">
        <f>IFERROR(IF(HLOOKUP(X$15,Data_5!$F$10:$BG$42,$A31+2,FALSE)="NO","NO",IF(HLOOKUP(X$15,Data_5!$F$10:$BG$42,$A31+2,FALSE)="IE","IE",IF(HLOOKUP(X$15,Data_5!$F$10:$BG$42,$A31+2,FALSE)="NE","NE",IF(HLOOKUP(X$15,Data_5!$F$10:$BG$42,$A31+2,FALSE)="C","C",IF(HLOOKUP(X$15,Data_5!$F$10:$BG$42,$A31+2,FALSE)="NO","NO",HLOOKUP(X$15,Data_5!$F$10:$BG$42,$A31+2,FALSE)/Data_5!$BH26))))),"")</f>
        <v>NO</v>
      </c>
      <c r="Y31" s="1122">
        <f>IFERROR(IF(HLOOKUP(Y$15,Data_5!$F$10:$BG$42,$A31+2,FALSE)="NO","NO",IF(HLOOKUP(Y$15,Data_5!$F$10:$BG$42,$A31+2,FALSE)="IE","IE",IF(HLOOKUP(Y$15,Data_5!$F$10:$BG$42,$A31+2,FALSE)="NE","NE",IF(HLOOKUP(Y$15,Data_5!$F$10:$BG$42,$A31+2,FALSE)="C","C",IF(HLOOKUP(Y$15,Data_5!$F$10:$BG$42,$A31+2,FALSE)="NO","NO",HLOOKUP(Y$15,Data_5!$F$10:$BG$42,$A31+2,FALSE)/Data_5!$BH26))))),"")</f>
        <v>4.6347017990950458E-2</v>
      </c>
      <c r="Z31" s="1122" t="str">
        <f>IFERROR(IF(HLOOKUP(Z$15,Data_5!$F$10:$BG$42,$A31+2,FALSE)="NO","NO",IF(HLOOKUP(Z$15,Data_5!$F$10:$BG$42,$A31+2,FALSE)="IE","IE",IF(HLOOKUP(Z$15,Data_5!$F$10:$BG$42,$A31+2,FALSE)="NE","NE",IF(HLOOKUP(Z$15,Data_5!$F$10:$BG$42,$A31+2,FALSE)="C","C",IF(HLOOKUP(Z$15,Data_5!$F$10:$BG$42,$A31+2,FALSE)="NO","NO",HLOOKUP(Z$15,Data_5!$F$10:$BG$42,$A31+2,FALSE)/Data_5!$BH26))))),"")</f>
        <v>NO</v>
      </c>
      <c r="AA31" s="1122">
        <f>IFERROR(IF(HLOOKUP(AA$15,Data_5!$F$10:$BG$42,$A31+2,FALSE)="NO","NO",IF(HLOOKUP(AA$15,Data_5!$F$10:$BG$42,$A31+2,FALSE)="IE","IE",IF(HLOOKUP(AA$15,Data_5!$F$10:$BG$42,$A31+2,FALSE)="NE","NE",IF(HLOOKUP(AA$15,Data_5!$F$10:$BG$42,$A31+2,FALSE)="C","C",IF(HLOOKUP(AA$15,Data_5!$F$10:$BG$42,$A31+2,FALSE)="NO","NO",HLOOKUP(AA$15,Data_5!$F$10:$BG$42,$A31+2,FALSE)/Data_5!$BH26))))),"")</f>
        <v>3.8200444945925786E-3</v>
      </c>
      <c r="AB31" s="1122" t="str">
        <f>IFERROR(IF(HLOOKUP(AB$15,Data_5!$F$10:$BG$42,$A31+2,FALSE)="NO","NO",IF(HLOOKUP(AB$15,Data_5!$F$10:$BG$42,$A31+2,FALSE)="IE","IE",IF(HLOOKUP(AB$15,Data_5!$F$10:$BG$42,$A31+2,FALSE)="NE","NE",IF(HLOOKUP(AB$15,Data_5!$F$10:$BG$42,$A31+2,FALSE)="C","C",IF(HLOOKUP(AB$15,Data_5!$F$10:$BG$42,$A31+2,FALSE)="NO","NO",HLOOKUP(AB$15,Data_5!$F$10:$BG$42,$A31+2,FALSE)/Data_5!$BH26))))),"")</f>
        <v>NO</v>
      </c>
      <c r="AC31" s="1122">
        <f>IFERROR(IF(HLOOKUP(AC$15,Data_5!$F$10:$BG$42,$A31+2,FALSE)="NO","NO",IF(HLOOKUP(AC$15,Data_5!$F$10:$BG$42,$A31+2,FALSE)="IE","IE",IF(HLOOKUP(AC$15,Data_5!$F$10:$BG$42,$A31+2,FALSE)="NE","NE",IF(HLOOKUP(AC$15,Data_5!$F$10:$BG$42,$A31+2,FALSE)="C","C",IF(HLOOKUP(AC$15,Data_5!$F$10:$BG$42,$A31+2,FALSE)="NO","NO",HLOOKUP(AC$15,Data_5!$F$10:$BG$42,$A31+2,FALSE)/Data_5!$BH26))))),"")</f>
        <v>3.7972078099223943E-3</v>
      </c>
      <c r="AD31" s="1122">
        <f>IFERROR(IF(HLOOKUP(AD$15,Data_5!$F$10:$BG$42,$A31+2,FALSE)="NO","NO",IF(HLOOKUP(AD$15,Data_5!$F$10:$BG$42,$A31+2,FALSE)="IE","IE",IF(HLOOKUP(AD$15,Data_5!$F$10:$BG$42,$A31+2,FALSE)="NE","NE",IF(HLOOKUP(AD$15,Data_5!$F$10:$BG$42,$A31+2,FALSE)="C","C",IF(HLOOKUP(AD$15,Data_5!$F$10:$BG$42,$A31+2,FALSE)="NO","NO",HLOOKUP(AD$15,Data_5!$F$10:$BG$42,$A31+2,FALSE)/Data_5!$BH26))))),"")</f>
        <v>0.12366651610154848</v>
      </c>
      <c r="AE31" s="1122">
        <f>IFERROR(IF(HLOOKUP(AE$15,Data_5!$F$10:$BG$42,$A31+2,FALSE)="NO","NO",IF(HLOOKUP(AE$15,Data_5!$F$10:$BG$42,$A31+2,FALSE)="IE","IE",IF(HLOOKUP(AE$15,Data_5!$F$10:$BG$42,$A31+2,FALSE)="NE","NE",IF(HLOOKUP(AE$15,Data_5!$F$10:$BG$42,$A31+2,FALSE)="C","C",IF(HLOOKUP(AE$15,Data_5!$F$10:$BG$42,$A31+2,FALSE)="NO","NO",HLOOKUP(AE$15,Data_5!$F$10:$BG$42,$A31+2,FALSE)/Data_5!$BH26))))),"")</f>
        <v>2.0444378955364335E-5</v>
      </c>
      <c r="AF31" s="1122">
        <f>IFERROR(IF(HLOOKUP(AF$15,Data_5!$F$10:$BG$42,$A31+2,FALSE)="NO","NO",IF(HLOOKUP(AF$15,Data_5!$F$10:$BG$42,$A31+2,FALSE)="IE","IE",IF(HLOOKUP(AF$15,Data_5!$F$10:$BG$42,$A31+2,FALSE)="NE","NE",IF(HLOOKUP(AF$15,Data_5!$F$10:$BG$42,$A31+2,FALSE)="C","C",IF(HLOOKUP(AF$15,Data_5!$F$10:$BG$42,$A31+2,FALSE)="NO","NO",HLOOKUP(AF$15,Data_5!$F$10:$BG$42,$A31+2,FALSE)/Data_5!$BH26))))),"")</f>
        <v>5.454422470376143E-3</v>
      </c>
      <c r="AG31" s="1122" t="str">
        <f>IFERROR(IF(HLOOKUP(AG$15,Data_5!$F$10:$BG$42,$A31+2,FALSE)="NO","NO",IF(HLOOKUP(AG$15,Data_5!$F$10:$BG$42,$A31+2,FALSE)="IE","IE",IF(HLOOKUP(AG$15,Data_5!$F$10:$BG$42,$A31+2,FALSE)="NE","NE",IF(HLOOKUP(AG$15,Data_5!$F$10:$BG$42,$A31+2,FALSE)="C","C",IF(HLOOKUP(AG$15,Data_5!$F$10:$BG$42,$A31+2,FALSE)="NO","NO",HLOOKUP(AG$15,Data_5!$F$10:$BG$42,$A31+2,FALSE)/Data_5!$BH26))))),"")</f>
        <v>NO</v>
      </c>
      <c r="AH31" s="1122" t="str">
        <f>IFERROR(IF(HLOOKUP(AH$15,Data_5!$F$10:$BG$42,$A31+2,FALSE)="NO","NO",IF(HLOOKUP(AH$15,Data_5!$F$10:$BG$42,$A31+2,FALSE)="IE","IE",IF(HLOOKUP(AH$15,Data_5!$F$10:$BG$42,$A31+2,FALSE)="NE","NE",IF(HLOOKUP(AH$15,Data_5!$F$10:$BG$42,$A31+2,FALSE)="C","C",IF(HLOOKUP(AH$15,Data_5!$F$10:$BG$42,$A31+2,FALSE)="NO","NO",HLOOKUP(AH$15,Data_5!$F$10:$BG$42,$A31+2,FALSE)/Data_5!$BH26))))),"")</f>
        <v>NO</v>
      </c>
      <c r="AI31" s="1122">
        <f>IFERROR(IF(HLOOKUP(AI$15,Data_5!$F$10:$BG$42,$A31+2,FALSE)="NO","NO",IF(HLOOKUP(AI$15,Data_5!$F$10:$BG$42,$A31+2,FALSE)="IE","IE",IF(HLOOKUP(AI$15,Data_5!$F$10:$BG$42,$A31+2,FALSE)="NE","NE",IF(HLOOKUP(AI$15,Data_5!$F$10:$BG$42,$A31+2,FALSE)="C","C",IF(HLOOKUP(AI$15,Data_5!$F$10:$BG$42,$A31+2,FALSE)="NO","NO",HLOOKUP(AI$15,Data_5!$F$10:$BG$42,$A31+2,FALSE)/Data_5!$BH26))))),"")</f>
        <v>1.7985752082485585E-3</v>
      </c>
      <c r="AJ31" s="1122">
        <f>IFERROR(IF(HLOOKUP(AJ$15,Data_5!$F$10:$BG$42,$A31+2,FALSE)="NO","NO",IF(HLOOKUP(AJ$15,Data_5!$F$10:$BG$42,$A31+2,FALSE)="IE","IE",IF(HLOOKUP(AJ$15,Data_5!$F$10:$BG$42,$A31+2,FALSE)="NE","NE",IF(HLOOKUP(AJ$15,Data_5!$F$10:$BG$42,$A31+2,FALSE)="C","C",IF(HLOOKUP(AJ$15,Data_5!$F$10:$BG$42,$A31+2,FALSE)="NO","NO",HLOOKUP(AJ$15,Data_5!$F$10:$BG$42,$A31+2,FALSE)/Data_5!$BH26))))),"")</f>
        <v>2.0409578248345557E-2</v>
      </c>
      <c r="AL31" s="2628" t="str">
        <f t="shared" si="0"/>
        <v>Mexico City</v>
      </c>
      <c r="AM31" s="2629"/>
      <c r="AN31" s="1100">
        <f t="shared" si="1"/>
        <v>2012</v>
      </c>
      <c r="AO31" s="1122">
        <f>IFERROR(IF(VLOOKUP($AL31,Data_5!$B$12:$E$42,4,FALSE)="BASIC","",(IF(HLOOKUP(AO$15,Data_5!$F$10:$BG$42,$A31+2,FALSE)="NO","NO",IF(HLOOKUP(AO$15,Data_5!$F$10:$BG$42,$A31+2,FALSE)="IE","IE",IF(HLOOKUP(AO$15,Data_5!$F$10:$BG$42,$A31+2,FALSE)="NE","NE",IF(HLOOKUP(AO$15,Data_5!$F$10:$BG$42,$A31+2,FALSE)="C","C",IF(HLOOKUP(AO$15,Data_5!$F$10:$BG$42,$A31+2,FALSE)="NO","NO",HLOOKUP(AO$15,Data_5!$F$10:$BG$42,$A31+2,FALSE)/Data_5!$BI26))))))),"")</f>
        <v>5.4110031976073052E-2</v>
      </c>
      <c r="AP31" s="1122">
        <f>IFERROR(IF(VLOOKUP($AL31,Data_5!$B$12:$E$42,4,FALSE)="BASIC","",(IF(HLOOKUP(AP$15,Data_5!$F$10:$BG$42,$A31+2,FALSE)="NO","NO",IF(HLOOKUP(AP$15,Data_5!$F$10:$BG$42,$A31+2,FALSE)="IE","IE",IF(HLOOKUP(AP$15,Data_5!$F$10:$BG$42,$A31+2,FALSE)="NE","NE",IF(HLOOKUP(AP$15,Data_5!$F$10:$BG$42,$A31+2,FALSE)="C","C",IF(HLOOKUP(AP$15,Data_5!$F$10:$BG$42,$A31+2,FALSE)="NO","NO",HLOOKUP(AP$15,Data_5!$F$10:$BG$42,$A31+2,FALSE)/Data_5!$BI26))))))),"")</f>
        <v>5.5469247546650099E-2</v>
      </c>
      <c r="AQ31" s="1122">
        <f>IFERROR(IF(VLOOKUP($AL31,Data_5!$B$12:$E$42,4,FALSE)="BASIC","",(IF(HLOOKUP(AQ$15,Data_5!$F$10:$BG$42,$A31+2,FALSE)="NO","NO",IF(HLOOKUP(AQ$15,Data_5!$F$10:$BG$42,$A31+2,FALSE)="IE","IE",IF(HLOOKUP(AQ$15,Data_5!$F$10:$BG$42,$A31+2,FALSE)="NE","NE",IF(HLOOKUP(AQ$15,Data_5!$F$10:$BG$42,$A31+2,FALSE)="C","C",IF(HLOOKUP(AQ$15,Data_5!$F$10:$BG$42,$A31+2,FALSE)="NO","NO",HLOOKUP(AQ$15,Data_5!$F$10:$BG$42,$A31+2,FALSE)/Data_5!$BI26))))))),"")</f>
        <v>1.1040635586713638E-2</v>
      </c>
      <c r="AR31" s="1122">
        <f>IFERROR(IF(VLOOKUP($AL31,Data_5!$B$12:$E$42,4,FALSE)="BASIC","",(IF(HLOOKUP(AR$15,Data_5!$F$10:$BG$42,$A31+2,FALSE)="NO","NO",IF(HLOOKUP(AR$15,Data_5!$F$10:$BG$42,$A31+2,FALSE)="IE","IE",IF(HLOOKUP(AR$15,Data_5!$F$10:$BG$42,$A31+2,FALSE)="NE","NE",IF(HLOOKUP(AR$15,Data_5!$F$10:$BG$42,$A31+2,FALSE)="C","C",IF(HLOOKUP(AR$15,Data_5!$F$10:$BG$42,$A31+2,FALSE)="NO","NO",HLOOKUP(AR$15,Data_5!$F$10:$BG$42,$A31+2,FALSE)/Data_5!$BI26))))))),"")</f>
        <v>9.3495089768548898E-3</v>
      </c>
      <c r="AS31" s="1122">
        <f>IFERROR(IF(VLOOKUP($AL31,Data_5!$B$12:$E$42,4,FALSE)="BASIC","",(IF(HLOOKUP(AS$15,Data_5!$F$10:$BG$42,$A31+2,FALSE)="NO","NO",IF(HLOOKUP(AS$15,Data_5!$F$10:$BG$42,$A31+2,FALSE)="IE","IE",IF(HLOOKUP(AS$15,Data_5!$F$10:$BG$42,$A31+2,FALSE)="NE","NE",IF(HLOOKUP(AS$15,Data_5!$F$10:$BG$42,$A31+2,FALSE)="C","C",IF(HLOOKUP(AS$15,Data_5!$F$10:$BG$42,$A31+2,FALSE)="NO","NO",HLOOKUP(AS$15,Data_5!$F$10:$BG$42,$A31+2,FALSE)/Data_5!$BI26))))))),"")</f>
        <v>5.691494019129742E-2</v>
      </c>
      <c r="AT31" s="1122">
        <f>IFERROR(IF(VLOOKUP($AL31,Data_5!$B$12:$E$42,4,FALSE)="BASIC","",(IF(HLOOKUP(AT$15,Data_5!$F$10:$BG$42,$A31+2,FALSE)="NO","NO",IF(HLOOKUP(AT$15,Data_5!$F$10:$BG$42,$A31+2,FALSE)="IE","IE",IF(HLOOKUP(AT$15,Data_5!$F$10:$BG$42,$A31+2,FALSE)="NE","NE",IF(HLOOKUP(AT$15,Data_5!$F$10:$BG$42,$A31+2,FALSE)="C","C",IF(HLOOKUP(AT$15,Data_5!$F$10:$BG$42,$A31+2,FALSE)="NO","NO",HLOOKUP(AT$15,Data_5!$F$10:$BG$42,$A31+2,FALSE)/Data_5!$BI26))))))),"")</f>
        <v>1.1328406166892131E-2</v>
      </c>
      <c r="AU31" s="1122">
        <f>IFERROR(IF(VLOOKUP($AL31,Data_5!$B$12:$E$42,4,FALSE)="BASIC","",(IF(HLOOKUP(AU$15,Data_5!$F$10:$BG$42,$A31+2,FALSE)="NO","NO",IF(HLOOKUP(AU$15,Data_5!$F$10:$BG$42,$A31+2,FALSE)="IE","IE",IF(HLOOKUP(AU$15,Data_5!$F$10:$BG$42,$A31+2,FALSE)="NE","NE",IF(HLOOKUP(AU$15,Data_5!$F$10:$BG$42,$A31+2,FALSE)="C","C",IF(HLOOKUP(AU$15,Data_5!$F$10:$BG$42,$A31+2,FALSE)="NO","NO",HLOOKUP(AU$15,Data_5!$F$10:$BG$42,$A31+2,FALSE)/Data_5!$BI26))))))),"")</f>
        <v>3.4517808183778732E-2</v>
      </c>
      <c r="AV31" s="1122">
        <f>IFERROR(IF(VLOOKUP($AL31,Data_5!$B$12:$E$42,4,FALSE)="BASIC","",(IF(HLOOKUP(AV$15,Data_5!$F$10:$BG$42,$A31+2,FALSE)="NO","NO",IF(HLOOKUP(AV$15,Data_5!$F$10:$BG$42,$A31+2,FALSE)="IE","IE",IF(HLOOKUP(AV$15,Data_5!$F$10:$BG$42,$A31+2,FALSE)="NE","NE",IF(HLOOKUP(AV$15,Data_5!$F$10:$BG$42,$A31+2,FALSE)="C","C",IF(HLOOKUP(AV$15,Data_5!$F$10:$BG$42,$A31+2,FALSE)="NO","NO",HLOOKUP(AV$15,Data_5!$F$10:$BG$42,$A31+2,FALSE)/Data_5!$BI26))))))),"")</f>
        <v>0.11256515446603761</v>
      </c>
      <c r="AW31" s="1122">
        <f>IFERROR(IF(VLOOKUP($AL31,Data_5!$B$12:$E$42,4,FALSE)="BASIC","",(IF(HLOOKUP(AW$15,Data_5!$F$10:$BG$42,$A31+2,FALSE)="NO","NO",IF(HLOOKUP(AW$15,Data_5!$F$10:$BG$42,$A31+2,FALSE)="IE","IE",IF(HLOOKUP(AW$15,Data_5!$F$10:$BG$42,$A31+2,FALSE)="NE","NE",IF(HLOOKUP(AW$15,Data_5!$F$10:$BG$42,$A31+2,FALSE)="C","C",IF(HLOOKUP(AW$15,Data_5!$F$10:$BG$42,$A31+2,FALSE)="NO","NO",HLOOKUP(AW$15,Data_5!$F$10:$BG$42,$A31+2,FALSE)/Data_5!$BI26))))))),"")</f>
        <v>1.8609054450557584E-2</v>
      </c>
      <c r="AX31" s="1122">
        <f>IFERROR(IF(VLOOKUP($AL31,Data_5!$B$12:$E$42,4,FALSE)="BASIC","",(IF(HLOOKUP(AX$15,Data_5!$F$10:$BG$42,$A31+2,FALSE)="NO","NO",IF(HLOOKUP(AX$15,Data_5!$F$10:$BG$42,$A31+2,FALSE)="IE","IE",IF(HLOOKUP(AX$15,Data_5!$F$10:$BG$42,$A31+2,FALSE)="NE","NE",IF(HLOOKUP(AX$15,Data_5!$F$10:$BG$42,$A31+2,FALSE)="C","C",IF(HLOOKUP(AX$15,Data_5!$F$10:$BG$42,$A31+2,FALSE)="NO","NO",HLOOKUP(AX$15,Data_5!$F$10:$BG$42,$A31+2,FALSE)/Data_5!$BI26))))))),"")</f>
        <v>6.5864838006200277E-4</v>
      </c>
      <c r="AY31" s="1122" t="str">
        <f>IFERROR(IF(VLOOKUP($AL31,Data_5!$B$12:$E$42,4,FALSE)="BASIC","",(IF(HLOOKUP(AY$15,Data_5!$F$10:$BG$42,$A31+2,FALSE)="NO","NO",IF(HLOOKUP(AY$15,Data_5!$F$10:$BG$42,$A31+2,FALSE)="IE","IE",IF(HLOOKUP(AY$15,Data_5!$F$10:$BG$42,$A31+2,FALSE)="NE","NE",IF(HLOOKUP(AY$15,Data_5!$F$10:$BG$42,$A31+2,FALSE)="C","C",IF(HLOOKUP(AY$15,Data_5!$F$10:$BG$42,$A31+2,FALSE)="NO","NO",HLOOKUP(AY$15,Data_5!$F$10:$BG$42,$A31+2,FALSE)/Data_5!$BI26))))))),"")</f>
        <v>NO</v>
      </c>
      <c r="AZ31" s="1122" t="str">
        <f>IFERROR(IF(VLOOKUP($AL31,Data_5!$B$12:$E$42,4,FALSE)="BASIC","",(IF(HLOOKUP(AZ$15,Data_5!$F$10:$BG$42,$A31+2,FALSE)="NO","NO",IF(HLOOKUP(AZ$15,Data_5!$F$10:$BG$42,$A31+2,FALSE)="IE","IE",IF(HLOOKUP(AZ$15,Data_5!$F$10:$BG$42,$A31+2,FALSE)="NE","NE",IF(HLOOKUP(AZ$15,Data_5!$F$10:$BG$42,$A31+2,FALSE)="C","C",IF(HLOOKUP(AZ$15,Data_5!$F$10:$BG$42,$A31+2,FALSE)="NO","NO",HLOOKUP(AZ$15,Data_5!$F$10:$BG$42,$A31+2,FALSE)/Data_5!$BI26))))))),"")</f>
        <v>NO</v>
      </c>
      <c r="BA31" s="1122">
        <f>IFERROR(IF(VLOOKUP($AL31,Data_5!$B$12:$E$42,4,FALSE)="BASIC","",(IF(HLOOKUP(BA$15,Data_5!$F$10:$BG$42,$A31+2,FALSE)="NO","NO",IF(HLOOKUP(BA$15,Data_5!$F$10:$BG$42,$A31+2,FALSE)="IE","IE",IF(HLOOKUP(BA$15,Data_5!$F$10:$BG$42,$A31+2,FALSE)="NE","NE",IF(HLOOKUP(BA$15,Data_5!$F$10:$BG$42,$A31+2,FALSE)="C","C",IF(HLOOKUP(BA$15,Data_5!$F$10:$BG$42,$A31+2,FALSE)="NO","NO",HLOOKUP(BA$15,Data_5!$F$10:$BG$42,$A31+2,FALSE)/Data_5!$BI26))))))),"")</f>
        <v>1.5079643308734834E-4</v>
      </c>
      <c r="BB31" s="1122">
        <f>IFERROR(IF(VLOOKUP($AL31,Data_5!$B$12:$E$42,4,FALSE)="BASIC","",(IF(HLOOKUP(BB$15,Data_5!$F$10:$BG$42,$A31+2,FALSE)="NO","NO",IF(HLOOKUP(BB$15,Data_5!$F$10:$BG$42,$A31+2,FALSE)="IE","IE",IF(HLOOKUP(BB$15,Data_5!$F$10:$BG$42,$A31+2,FALSE)="NE","NE",IF(HLOOKUP(BB$15,Data_5!$F$10:$BG$42,$A31+2,FALSE)="C","C",IF(HLOOKUP(BB$15,Data_5!$F$10:$BG$42,$A31+2,FALSE)="NO","NO",HLOOKUP(BB$15,Data_5!$F$10:$BG$42,$A31+2,FALSE)/Data_5!$BI26))))))),"")</f>
        <v>2.5872852685286249E-5</v>
      </c>
      <c r="BC31" s="1122">
        <f>IFERROR(IF(VLOOKUP($AL31,Data_5!$B$12:$E$42,4,FALSE)="BASIC","",(IF(HLOOKUP(BC$15,Data_5!$F$10:$BG$42,$A31+2,FALSE)="NO","NO",IF(HLOOKUP(BC$15,Data_5!$F$10:$BG$42,$A31+2,FALSE)="IE","IE",IF(HLOOKUP(BC$15,Data_5!$F$10:$BG$42,$A31+2,FALSE)="NE","NE",IF(HLOOKUP(BC$15,Data_5!$F$10:$BG$42,$A31+2,FALSE)="C","C",IF(HLOOKUP(BC$15,Data_5!$F$10:$BG$42,$A31+2,FALSE)="NO","NO",HLOOKUP(BC$15,Data_5!$F$10:$BG$42,$A31+2,FALSE)/Data_5!$BI26))))))),"")</f>
        <v>5.1566654486937294E-6</v>
      </c>
      <c r="BD31" s="1122" t="str">
        <f>IFERROR(IF(VLOOKUP($AL31,Data_5!$B$12:$E$42,4,FALSE)="BASIC","",(IF(HLOOKUP(BD$15,Data_5!$F$10:$BG$42,$A31+2,FALSE)="NO","NO",IF(HLOOKUP(BD$15,Data_5!$F$10:$BG$42,$A31+2,FALSE)="IE","IE",IF(HLOOKUP(BD$15,Data_5!$F$10:$BG$42,$A31+2,FALSE)="NE","NE",IF(HLOOKUP(BD$15,Data_5!$F$10:$BG$42,$A31+2,FALSE)="C","C",IF(HLOOKUP(BD$15,Data_5!$F$10:$BG$42,$A31+2,FALSE)="NO","NO",HLOOKUP(BD$15,Data_5!$F$10:$BG$42,$A31+2,FALSE)/Data_5!$BI26))))))),"")</f>
        <v>NO</v>
      </c>
      <c r="BE31" s="1122" t="str">
        <f>IFERROR(IF(VLOOKUP($AL31,Data_5!$B$12:$E$42,4,FALSE)="BASIC","",(IF(HLOOKUP(BE$15,Data_5!$F$10:$BG$42,$A31+2,FALSE)="NO","NO",IF(HLOOKUP(BE$15,Data_5!$F$10:$BG$42,$A31+2,FALSE)="IE","IE",IF(HLOOKUP(BE$15,Data_5!$F$10:$BG$42,$A31+2,FALSE)="NE","NE",IF(HLOOKUP(BE$15,Data_5!$F$10:$BG$42,$A31+2,FALSE)="C","C",IF(HLOOKUP(BE$15,Data_5!$F$10:$BG$42,$A31+2,FALSE)="NO","NO",HLOOKUP(BE$15,Data_5!$F$10:$BG$42,$A31+2,FALSE)/Data_5!$BI26))))))),"")</f>
        <v>NO</v>
      </c>
      <c r="BF31" s="1122" t="str">
        <f>IFERROR(IF(VLOOKUP($AL31,Data_5!$B$12:$E$42,4,FALSE)="BASIC","",(IF(HLOOKUP(BF$15,Data_5!$F$10:$BG$42,$A31+2,FALSE)="NO","NO",IF(HLOOKUP(BF$15,Data_5!$F$10:$BG$42,$A31+2,FALSE)="IE","IE",IF(HLOOKUP(BF$15,Data_5!$F$10:$BG$42,$A31+2,FALSE)="NE","NE",IF(HLOOKUP(BF$15,Data_5!$F$10:$BG$42,$A31+2,FALSE)="C","C",IF(HLOOKUP(BF$15,Data_5!$F$10:$BG$42,$A31+2,FALSE)="NO","NO",HLOOKUP(BF$15,Data_5!$F$10:$BG$42,$A31+2,FALSE)/Data_5!$BI26))))))),"")</f>
        <v>NO</v>
      </c>
      <c r="BG31" s="1122" t="str">
        <f>IFERROR(IF(VLOOKUP($AL31,Data_5!$B$12:$E$42,4,FALSE)="BASIC","",(IF(HLOOKUP(BG$15,Data_5!$F$10:$BG$42,$A31+2,FALSE)="NO","NO",IF(HLOOKUP(BG$15,Data_5!$F$10:$BG$42,$A31+2,FALSE)="IE","IE",IF(HLOOKUP(BG$15,Data_5!$F$10:$BG$42,$A31+2,FALSE)="NE","NE",IF(HLOOKUP(BG$15,Data_5!$F$10:$BG$42,$A31+2,FALSE)="C","C",IF(HLOOKUP(BG$15,Data_5!$F$10:$BG$42,$A31+2,FALSE)="NO","NO",HLOOKUP(BG$15,Data_5!$F$10:$BG$42,$A31+2,FALSE)/Data_5!$BI26))))))),"")</f>
        <v>NO</v>
      </c>
      <c r="BH31" s="1122">
        <f>IFERROR(IF(VLOOKUP($AL31,Data_5!$B$12:$E$42,4,FALSE)="BASIC","",(IF(HLOOKUP(BH$15,Data_5!$F$10:$BG$42,$A31+2,FALSE)="NO","NO",IF(HLOOKUP(BH$15,Data_5!$F$10:$BG$42,$A31+2,FALSE)="IE","IE",IF(HLOOKUP(BH$15,Data_5!$F$10:$BG$42,$A31+2,FALSE)="NE","NE",IF(HLOOKUP(BH$15,Data_5!$F$10:$BG$42,$A31+2,FALSE)="C","C",IF(HLOOKUP(BH$15,Data_5!$F$10:$BG$42,$A31+2,FALSE)="NO","NO",HLOOKUP(BH$15,Data_5!$F$10:$BG$42,$A31+2,FALSE)/Data_5!$BI26))))))),"")</f>
        <v>1.6441051123430986E-5</v>
      </c>
      <c r="BI31" s="1122">
        <f>IFERROR(IF(VLOOKUP($AL31,Data_5!$B$12:$E$42,4,FALSE)="BASIC","",(IF(HLOOKUP(BI$15,Data_5!$F$10:$BG$42,$A31+2,FALSE)="NO","NO",IF(HLOOKUP(BI$15,Data_5!$F$10:$BG$42,$A31+2,FALSE)="IE","IE",IF(HLOOKUP(BI$15,Data_5!$F$10:$BG$42,$A31+2,FALSE)="NE","NE",IF(HLOOKUP(BI$15,Data_5!$F$10:$BG$42,$A31+2,FALSE)="C","C",IF(HLOOKUP(BI$15,Data_5!$F$10:$BG$42,$A31+2,FALSE)="NO","NO",HLOOKUP(BI$15,Data_5!$F$10:$BG$42,$A31+2,FALSE)/Data_5!$BI26))))))),"")</f>
        <v>0.3139682590889678</v>
      </c>
      <c r="BJ31" s="1122">
        <f>IFERROR(IF(VLOOKUP($AL31,Data_5!$B$12:$E$42,4,FALSE)="BASIC","",(IF(HLOOKUP(BJ$15,Data_5!$F$10:$BG$42,$A31+2,FALSE)="NO","NO",IF(HLOOKUP(BJ$15,Data_5!$F$10:$BG$42,$A31+2,FALSE)="IE","IE",IF(HLOOKUP(BJ$15,Data_5!$F$10:$BG$42,$A31+2,FALSE)="NE","NE",IF(HLOOKUP(BJ$15,Data_5!$F$10:$BG$42,$A31+2,FALSE)="C","C",IF(HLOOKUP(BJ$15,Data_5!$F$10:$BG$42,$A31+2,FALSE)="NO","NO",HLOOKUP(BJ$15,Data_5!$F$10:$BG$42,$A31+2,FALSE)/Data_5!$BI26))))))),"")</f>
        <v>8.451559809348661E-4</v>
      </c>
      <c r="BK31" s="1122">
        <f>IFERROR(IF(VLOOKUP($AL31,Data_5!$B$12:$E$42,4,FALSE)="BASIC","",(IF(HLOOKUP(BK$15,Data_5!$F$10:$BG$42,$A31+2,FALSE)="NO","NO",IF(HLOOKUP(BK$15,Data_5!$F$10:$BG$42,$A31+2,FALSE)="IE","IE",IF(HLOOKUP(BK$15,Data_5!$F$10:$BG$42,$A31+2,FALSE)="NE","NE",IF(HLOOKUP(BK$15,Data_5!$F$10:$BG$42,$A31+2,FALSE)="C","C",IF(HLOOKUP(BK$15,Data_5!$F$10:$BG$42,$A31+2,FALSE)="NO","NO",HLOOKUP(BK$15,Data_5!$F$10:$BG$42,$A31+2,FALSE)/Data_5!$BI26))))))),"")</f>
        <v>7.5611351800518659E-2</v>
      </c>
      <c r="BL31" s="1122">
        <f>IFERROR(IF(VLOOKUP($AL31,Data_5!$B$12:$E$42,4,FALSE)="BASIC","",(IF(HLOOKUP(BL$15,Data_5!$F$10:$BG$42,$A31+2,FALSE)="NO","NO",IF(HLOOKUP(BL$15,Data_5!$F$10:$BG$42,$A31+2,FALSE)="IE","IE",IF(HLOOKUP(BL$15,Data_5!$F$10:$BG$42,$A31+2,FALSE)="NE","NE",IF(HLOOKUP(BL$15,Data_5!$F$10:$BG$42,$A31+2,FALSE)="C","C",IF(HLOOKUP(BL$15,Data_5!$F$10:$BG$42,$A31+2,FALSE)="NO","NO",HLOOKUP(BL$15,Data_5!$F$10:$BG$42,$A31+2,FALSE)/Data_5!$BI26))))))),"")</f>
        <v>1.399776609626486E-4</v>
      </c>
      <c r="BM31" s="1122">
        <f>IFERROR(IF(VLOOKUP($AL31,Data_5!$B$12:$E$42,4,FALSE)="BASIC","",(IF(HLOOKUP(BM$15,Data_5!$F$10:$BG$42,$A31+2,FALSE)="NO","NO",IF(HLOOKUP(BM$15,Data_5!$F$10:$BG$42,$A31+2,FALSE)="IE","IE",IF(HLOOKUP(BM$15,Data_5!$F$10:$BG$42,$A31+2,FALSE)="NE","NE",IF(HLOOKUP(BM$15,Data_5!$F$10:$BG$42,$A31+2,FALSE)="C","C",IF(HLOOKUP(BM$15,Data_5!$F$10:$BG$42,$A31+2,FALSE)="NO","NO",HLOOKUP(BM$15,Data_5!$F$10:$BG$42,$A31+2,FALSE)/Data_5!$BI26))))))),"")</f>
        <v>1.8319788115107385E-2</v>
      </c>
      <c r="BN31" s="1122">
        <f>IFERROR(IF(VLOOKUP($AL31,Data_5!$B$12:$E$42,4,FALSE)="BASIC","",(IF(HLOOKUP(BN$15,Data_5!$F$10:$BG$42,$A31+2,FALSE)="NO","NO",IF(HLOOKUP(BN$15,Data_5!$F$10:$BG$42,$A31+2,FALSE)="IE","IE",IF(HLOOKUP(BN$15,Data_5!$F$10:$BG$42,$A31+2,FALSE)="NE","NE",IF(HLOOKUP(BN$15,Data_5!$F$10:$BG$42,$A31+2,FALSE)="C","C",IF(HLOOKUP(BN$15,Data_5!$F$10:$BG$42,$A31+2,FALSE)="NO","NO",HLOOKUP(BN$15,Data_5!$F$10:$BG$42,$A31+2,FALSE)/Data_5!$BI26))))))),"")</f>
        <v>3.6463891503191906E-3</v>
      </c>
      <c r="BO31" s="1122" t="str">
        <f>IFERROR(IF(VLOOKUP($AL31,Data_5!$B$12:$E$42,4,FALSE)="BASIC","",(IF(HLOOKUP(BO$15,Data_5!$F$10:$BG$42,$A31+2,FALSE)="NO","NO",IF(HLOOKUP(BO$15,Data_5!$F$10:$BG$42,$A31+2,FALSE)="IE","IE",IF(HLOOKUP(BO$15,Data_5!$F$10:$BG$42,$A31+2,FALSE)="NE","NE",IF(HLOOKUP(BO$15,Data_5!$F$10:$BG$42,$A31+2,FALSE)="C","C",IF(HLOOKUP(BO$15,Data_5!$F$10:$BG$42,$A31+2,FALSE)="NO","NO",HLOOKUP(BO$15,Data_5!$F$10:$BG$42,$A31+2,FALSE)/Data_5!$BI26))))))),"")</f>
        <v>NO</v>
      </c>
      <c r="BP31" s="1122" t="str">
        <f>IFERROR(IF(VLOOKUP($AL31,Data_5!$B$12:$E$42,4,FALSE)="BASIC","",(IF(HLOOKUP(BP$15,Data_5!$F$10:$BG$42,$A31+2,FALSE)="NO","NO",IF(HLOOKUP(BP$15,Data_5!$F$10:$BG$42,$A31+2,FALSE)="IE","IE",IF(HLOOKUP(BP$15,Data_5!$F$10:$BG$42,$A31+2,FALSE)="NE","NE",IF(HLOOKUP(BP$15,Data_5!$F$10:$BG$42,$A31+2,FALSE)="C","C",IF(HLOOKUP(BP$15,Data_5!$F$10:$BG$42,$A31+2,FALSE)="NO","NO",HLOOKUP(BP$15,Data_5!$F$10:$BG$42,$A31+2,FALSE)/Data_5!$BI26))))))),"")</f>
        <v>NO</v>
      </c>
      <c r="BQ31" s="1122" t="str">
        <f>IFERROR(IF(VLOOKUP($AL31,Data_5!$B$12:$E$42,4,FALSE)="BASIC","",(IF(HLOOKUP(BQ$15,Data_5!$F$10:$BG$42,$A31+2,FALSE)="NO","NO",IF(HLOOKUP(BQ$15,Data_5!$F$10:$BG$42,$A31+2,FALSE)="IE","IE",IF(HLOOKUP(BQ$15,Data_5!$F$10:$BG$42,$A31+2,FALSE)="NE","NE",IF(HLOOKUP(BQ$15,Data_5!$F$10:$BG$42,$A31+2,FALSE)="C","C",IF(HLOOKUP(BQ$15,Data_5!$F$10:$BG$42,$A31+2,FALSE)="NO","NO",HLOOKUP(BQ$15,Data_5!$F$10:$BG$42,$A31+2,FALSE)/Data_5!$BI26))))))),"")</f>
        <v>NO</v>
      </c>
      <c r="BR31" s="1122">
        <f>IFERROR(IF(VLOOKUP($AL31,Data_5!$B$12:$E$42,4,FALSE)="BASIC","",(IF(HLOOKUP(BR$15,Data_5!$F$10:$BG$42,$A31+2,FALSE)="NO","NO",IF(HLOOKUP(BR$15,Data_5!$F$10:$BG$42,$A31+2,FALSE)="IE","IE",IF(HLOOKUP(BR$15,Data_5!$F$10:$BG$42,$A31+2,FALSE)="NE","NE",IF(HLOOKUP(BR$15,Data_5!$F$10:$BG$42,$A31+2,FALSE)="C","C",IF(HLOOKUP(BR$15,Data_5!$F$10:$BG$42,$A31+2,FALSE)="NO","NO",HLOOKUP(BR$15,Data_5!$F$10:$BG$42,$A31+2,FALSE)/Data_5!$BI26))))))),"")</f>
        <v>3.8320011112977996E-2</v>
      </c>
      <c r="BS31" s="1122" t="str">
        <f>IFERROR(IF(VLOOKUP($AL31,Data_5!$B$12:$E$42,4,FALSE)="BASIC","",(IF(HLOOKUP(BS$15,Data_5!$F$10:$BG$42,$A31+2,FALSE)="NO","NO",IF(HLOOKUP(BS$15,Data_5!$F$10:$BG$42,$A31+2,FALSE)="IE","IE",IF(HLOOKUP(BS$15,Data_5!$F$10:$BG$42,$A31+2,FALSE)="NE","NE",IF(HLOOKUP(BS$15,Data_5!$F$10:$BG$42,$A31+2,FALSE)="C","C",IF(HLOOKUP(BS$15,Data_5!$F$10:$BG$42,$A31+2,FALSE)="NO","NO",HLOOKUP(BS$15,Data_5!$F$10:$BG$42,$A31+2,FALSE)/Data_5!$BI26))))))),"")</f>
        <v>NO</v>
      </c>
      <c r="BT31" s="1122">
        <f>IFERROR(IF(VLOOKUP($AL31,Data_5!$B$12:$E$42,4,FALSE)="BASIC","",(IF(HLOOKUP(BT$15,Data_5!$F$10:$BG$42,$A31+2,FALSE)="NO","NO",IF(HLOOKUP(BT$15,Data_5!$F$10:$BG$42,$A31+2,FALSE)="IE","IE",IF(HLOOKUP(BT$15,Data_5!$F$10:$BG$42,$A31+2,FALSE)="NE","NE",IF(HLOOKUP(BT$15,Data_5!$F$10:$BG$42,$A31+2,FALSE)="C","C",IF(HLOOKUP(BT$15,Data_5!$F$10:$BG$42,$A31+2,FALSE)="NO","NO",HLOOKUP(BT$15,Data_5!$F$10:$BG$42,$A31+2,FALSE)/Data_5!$BI26))))))),"")</f>
        <v>4.8399232323643598E-2</v>
      </c>
      <c r="BU31" s="1122">
        <f>IFERROR(IF(VLOOKUP($AL31,Data_5!$B$12:$E$42,4,FALSE)="BASIC","",(IF(HLOOKUP(BU$15,Data_5!$F$10:$BG$42,$A31+2,FALSE)="NO","NO",IF(HLOOKUP(BU$15,Data_5!$F$10:$BG$42,$A31+2,FALSE)="IE","IE",IF(HLOOKUP(BU$15,Data_5!$F$10:$BG$42,$A31+2,FALSE)="NE","NE",IF(HLOOKUP(BU$15,Data_5!$F$10:$BG$42,$A31+2,FALSE)="C","C",IF(HLOOKUP(BU$15,Data_5!$F$10:$BG$42,$A31+2,FALSE)="NO","NO",HLOOKUP(BU$15,Data_5!$F$10:$BG$42,$A31+2,FALSE)/Data_5!$BI26))))))),"")</f>
        <v>3.1584372378270472E-3</v>
      </c>
      <c r="BV31" s="1122" t="str">
        <f>IFERROR(IF(VLOOKUP($AL31,Data_5!$B$12:$E$42,4,FALSE)="BASIC","",(IF(HLOOKUP(BV$15,Data_5!$F$10:$BG$42,$A31+2,FALSE)="NO","NO",IF(HLOOKUP(BV$15,Data_5!$F$10:$BG$42,$A31+2,FALSE)="IE","IE",IF(HLOOKUP(BV$15,Data_5!$F$10:$BG$42,$A31+2,FALSE)="NE","NE",IF(HLOOKUP(BV$15,Data_5!$F$10:$BG$42,$A31+2,FALSE)="C","C",IF(HLOOKUP(BV$15,Data_5!$F$10:$BG$42,$A31+2,FALSE)="NO","NO",HLOOKUP(BV$15,Data_5!$F$10:$BG$42,$A31+2,FALSE)/Data_5!$BI26))))))),"")</f>
        <v>NO</v>
      </c>
      <c r="BW31" s="1122" t="str">
        <f>IFERROR(IF(VLOOKUP($AL31,Data_5!$B$12:$E$42,4,FALSE)="BASIC","",(IF(HLOOKUP(BW$15,Data_5!$F$10:$BG$42,$A31+2,FALSE)="NO","NO",IF(HLOOKUP(BW$15,Data_5!$F$10:$BG$42,$A31+2,FALSE)="IE","IE",IF(HLOOKUP(BW$15,Data_5!$F$10:$BG$42,$A31+2,FALSE)="NE","NE",IF(HLOOKUP(BW$15,Data_5!$F$10:$BG$42,$A31+2,FALSE)="C","C",IF(HLOOKUP(BW$15,Data_5!$F$10:$BG$42,$A31+2,FALSE)="NO","NO",HLOOKUP(BW$15,Data_5!$F$10:$BG$42,$A31+2,FALSE)/Data_5!$BI26))))))),"")</f>
        <v>NO</v>
      </c>
      <c r="BX31" s="1122">
        <f>IFERROR(IF(VLOOKUP($AL31,Data_5!$B$12:$E$42,4,FALSE)="BASIC","",(IF(HLOOKUP(BX$15,Data_5!$F$10:$BG$42,$A31+2,FALSE)="NO","NO",IF(HLOOKUP(BX$15,Data_5!$F$10:$BG$42,$A31+2,FALSE)="IE","IE",IF(HLOOKUP(BX$15,Data_5!$F$10:$BG$42,$A31+2,FALSE)="NE","NE",IF(HLOOKUP(BX$15,Data_5!$F$10:$BG$42,$A31+2,FALSE)="C","C",IF(HLOOKUP(BX$15,Data_5!$F$10:$BG$42,$A31+2,FALSE)="NO","NO",HLOOKUP(BX$15,Data_5!$F$10:$BG$42,$A31+2,FALSE)/Data_5!$BI26))))))),"")</f>
        <v>3.139555720778509E-3</v>
      </c>
      <c r="BY31" s="1122">
        <f>IFERROR(IF(VLOOKUP($AL31,Data_5!$B$12:$E$42,4,FALSE)="BASIC","",(IF(HLOOKUP(BY$15,Data_5!$F$10:$BG$42,$A31+2,FALSE)="NO","NO",IF(HLOOKUP(BY$15,Data_5!$F$10:$BG$42,$A31+2,FALSE)="IE","IE",IF(HLOOKUP(BY$15,Data_5!$F$10:$BG$42,$A31+2,FALSE)="NE","NE",IF(HLOOKUP(BY$15,Data_5!$F$10:$BG$42,$A31+2,FALSE)="C","C",IF(HLOOKUP(BY$15,Data_5!$F$10:$BG$42,$A31+2,FALSE)="NO","NO",HLOOKUP(BY$15,Data_5!$F$10:$BG$42,$A31+2,FALSE)/Data_5!$BI26))))))),"")</f>
        <v>0.10224826702421093</v>
      </c>
      <c r="BZ31" s="1122">
        <f>IFERROR(IF(VLOOKUP($AL31,Data_5!$B$12:$E$42,4,FALSE)="BASIC","",(IF(HLOOKUP(BZ$15,Data_5!$F$10:$BG$42,$A31+2,FALSE)="NO","NO",IF(HLOOKUP(BZ$15,Data_5!$F$10:$BG$42,$A31+2,FALSE)="IE","IE",IF(HLOOKUP(BZ$15,Data_5!$F$10:$BG$42,$A31+2,FALSE)="NE","NE",IF(HLOOKUP(BZ$15,Data_5!$F$10:$BG$42,$A31+2,FALSE)="C","C",IF(HLOOKUP(BZ$15,Data_5!$F$10:$BG$42,$A31+2,FALSE)="NO","NO",HLOOKUP(BZ$15,Data_5!$F$10:$BG$42,$A31+2,FALSE)/Data_5!$BI26))))))),"")</f>
        <v>1.6903543371883476E-5</v>
      </c>
      <c r="CA31" s="1122">
        <f>IFERROR(IF(VLOOKUP($AL31,Data_5!$B$12:$E$42,4,FALSE)="BASIC","",(IF(HLOOKUP(CA$15,Data_5!$F$10:$BG$42,$A31+2,FALSE)="NO","NO",IF(HLOOKUP(CA$15,Data_5!$F$10:$BG$42,$A31+2,FALSE)="IE","IE",IF(HLOOKUP(CA$15,Data_5!$F$10:$BG$42,$A31+2,FALSE)="NE","NE",IF(HLOOKUP(CA$15,Data_5!$F$10:$BG$42,$A31+2,FALSE)="C","C",IF(HLOOKUP(CA$15,Data_5!$F$10:$BG$42,$A31+2,FALSE)="NO","NO",HLOOKUP(CA$15,Data_5!$F$10:$BG$42,$A31+2,FALSE)/Data_5!$BI26))))))),"")</f>
        <v>4.5097514088285441E-3</v>
      </c>
      <c r="CB31" s="1122" t="str">
        <f>IFERROR(IF(VLOOKUP($AL31,Data_5!$B$12:$E$42,4,FALSE)="BASIC","",(IF(HLOOKUP(CB$15,Data_5!$F$10:$BG$42,$A31+2,FALSE)="NO","NO",IF(HLOOKUP(CB$15,Data_5!$F$10:$BG$42,$A31+2,FALSE)="IE","IE",IF(HLOOKUP(CB$15,Data_5!$F$10:$BG$42,$A31+2,FALSE)="NE","NE",IF(HLOOKUP(CB$15,Data_5!$F$10:$BG$42,$A31+2,FALSE)="C","C",IF(HLOOKUP(CB$15,Data_5!$F$10:$BG$42,$A31+2,FALSE)="NO","NO",HLOOKUP(CB$15,Data_5!$F$10:$BG$42,$A31+2,FALSE)/Data_5!$BI26))))))),"")</f>
        <v>NO</v>
      </c>
      <c r="CC31" s="1122" t="str">
        <f>IFERROR(IF(VLOOKUP($AL31,Data_5!$B$12:$E$42,4,FALSE)="BASIC","",(IF(HLOOKUP(CC$15,Data_5!$F$10:$BG$42,$A31+2,FALSE)="NO","NO",IF(HLOOKUP(CC$15,Data_5!$F$10:$BG$42,$A31+2,FALSE)="IE","IE",IF(HLOOKUP(CC$15,Data_5!$F$10:$BG$42,$A31+2,FALSE)="NE","NE",IF(HLOOKUP(CC$15,Data_5!$F$10:$BG$42,$A31+2,FALSE)="C","C",IF(HLOOKUP(CC$15,Data_5!$F$10:$BG$42,$A31+2,FALSE)="NO","NO",HLOOKUP(CC$15,Data_5!$F$10:$BG$42,$A31+2,FALSE)/Data_5!$BI26))))))),"")</f>
        <v>NO</v>
      </c>
      <c r="CD31" s="1122">
        <f>IFERROR(IF(VLOOKUP($AL31,Data_5!$B$12:$E$42,4,FALSE)="BASIC","",(IF(HLOOKUP(CD$15,Data_5!$F$10:$BG$42,$A31+2,FALSE)="NO","NO",IF(HLOOKUP(CD$15,Data_5!$F$10:$BG$42,$A31+2,FALSE)="IE","IE",IF(HLOOKUP(CD$15,Data_5!$F$10:$BG$42,$A31+2,FALSE)="NE","NE",IF(HLOOKUP(CD$15,Data_5!$F$10:$BG$42,$A31+2,FALSE)="C","C",IF(HLOOKUP(CD$15,Data_5!$F$10:$BG$42,$A31+2,FALSE)="NO","NO",HLOOKUP(CD$15,Data_5!$F$10:$BG$42,$A31+2,FALSE)/Data_5!$BI26))))))),"")</f>
        <v>1.4870734937265826E-3</v>
      </c>
      <c r="CE31" s="1122">
        <f>IFERROR(IF(VLOOKUP($AL31,Data_5!$B$12:$E$42,4,FALSE)="BASIC","",(IF(HLOOKUP(CE$15,Data_5!$F$10:$BG$42,$A31+2,FALSE)="NO","NO",IF(HLOOKUP(CE$15,Data_5!$F$10:$BG$42,$A31+2,FALSE)="IE","IE",IF(HLOOKUP(CE$15,Data_5!$F$10:$BG$42,$A31+2,FALSE)="NE","NE",IF(HLOOKUP(CE$15,Data_5!$F$10:$BG$42,$A31+2,FALSE)="C","C",IF(HLOOKUP(CE$15,Data_5!$F$10:$BG$42,$A31+2,FALSE)="NO","NO",HLOOKUP(CE$15,Data_5!$F$10:$BG$42,$A31+2,FALSE)/Data_5!$BI26))))))),"")</f>
        <v>1.687476992458295E-2</v>
      </c>
      <c r="CF31" s="1122">
        <f>IFERROR(IF(VLOOKUP($AL31,Data_5!$B$12:$E$42,4,FALSE)="BASIC","",(IF(HLOOKUP(CF$15,Data_5!$F$10:$BG$42,$A31+2,FALSE)="NO","NO",IF(HLOOKUP(CF$15,Data_5!$F$10:$BG$42,$A31+2,FALSE)="IE","IE",IF(HLOOKUP(CF$15,Data_5!$F$10:$BG$42,$A31+2,FALSE)="NE","NE",IF(HLOOKUP(CF$15,Data_5!$F$10:$BG$42,$A31+2,FALSE)="C","C",IF(HLOOKUP(CF$15,Data_5!$F$10:$BG$42,$A31+2,FALSE)="NO","NO",HLOOKUP(CF$15,Data_5!$F$10:$BG$42,$A31+2,FALSE)/Data_5!$BI26))))))),"")</f>
        <v>1.0987785667882011E-3</v>
      </c>
      <c r="CG31" s="1122">
        <f>IFERROR(IF(VLOOKUP($AL31,Data_5!$B$12:$E$42,4,FALSE)="BASIC","",(IF(HLOOKUP(CG$15,Data_5!$F$10:$BG$42,$A31+2,FALSE)="NO","NO",IF(HLOOKUP(CG$15,Data_5!$F$10:$BG$42,$A31+2,FALSE)="IE","IE",IF(HLOOKUP(CG$15,Data_5!$F$10:$BG$42,$A31+2,FALSE)="NE","NE",IF(HLOOKUP(CG$15,Data_5!$F$10:$BG$42,$A31+2,FALSE)="C","C",IF(HLOOKUP(CG$15,Data_5!$F$10:$BG$42,$A31+2,FALSE)="NO","NO",HLOOKUP(CG$15,Data_5!$F$10:$BG$42,$A31+2,FALSE)/Data_5!$BI26))))))),"")</f>
        <v>2.6948863906014484E-3</v>
      </c>
      <c r="CH31" s="1122">
        <f>IFERROR(IF(VLOOKUP($AL31,Data_5!$B$12:$E$42,4,FALSE)="BASIC","",(IF(HLOOKUP(CH$15,Data_5!$F$10:$BG$42,$A31+2,FALSE)="NO","NO",IF(HLOOKUP(CH$15,Data_5!$F$10:$BG$42,$A31+2,FALSE)="IE","IE",IF(HLOOKUP(CH$15,Data_5!$F$10:$BG$42,$A31+2,FALSE)="NE","NE",IF(HLOOKUP(CH$15,Data_5!$F$10:$BG$42,$A31+2,FALSE)="C","C",IF(HLOOKUP(CH$15,Data_5!$F$10:$BG$42,$A31+2,FALSE)="NO","NO",HLOOKUP(CH$15,Data_5!$F$10:$BG$42,$A31+2,FALSE)/Data_5!$BI26))))))),"")</f>
        <v>5.2290258890843797E-4</v>
      </c>
      <c r="CI31" s="1122">
        <f>IFERROR(IF(VLOOKUP($AL31,Data_5!$B$12:$E$42,4,FALSE)="BASIC","",(IF(HLOOKUP(CI$15,Data_5!$F$10:$BG$42,$A31+2,FALSE)="NO","NO",IF(HLOOKUP(CI$15,Data_5!$F$10:$BG$42,$A31+2,FALSE)="IE","IE",IF(HLOOKUP(CI$15,Data_5!$F$10:$BG$42,$A31+2,FALSE)="NE","NE",IF(HLOOKUP(CI$15,Data_5!$F$10:$BG$42,$A31+2,FALSE)="C","C",IF(HLOOKUP(CI$15,Data_5!$F$10:$BG$42,$A31+2,FALSE)="NO","NO",HLOOKUP(CI$15,Data_5!$F$10:$BG$42,$A31+2,FALSE)/Data_5!$BI26))))))),"")</f>
        <v>0</v>
      </c>
      <c r="CJ31" s="1122">
        <f>IFERROR(IF(VLOOKUP($AL31,Data_5!$B$12:$E$42,4,FALSE)="BASIC","",(IF(HLOOKUP(CJ$15,Data_5!$F$10:$BG$42,$A31+2,FALSE)="NO","NO",IF(HLOOKUP(CJ$15,Data_5!$F$10:$BG$42,$A31+2,FALSE)="IE","IE",IF(HLOOKUP(CJ$15,Data_5!$F$10:$BG$42,$A31+2,FALSE)="NE","NE",IF(HLOOKUP(CJ$15,Data_5!$F$10:$BG$42,$A31+2,FALSE)="C","C",IF(HLOOKUP(CJ$15,Data_5!$F$10:$BG$42,$A31+2,FALSE)="NO","NO",HLOOKUP(CJ$15,Data_5!$F$10:$BG$42,$A31+2,FALSE)/Data_5!$BI26))))))),"")</f>
        <v>2.3680593968115099E-4</v>
      </c>
      <c r="CL31" s="2628" t="str">
        <f t="shared" si="2"/>
        <v>Mexico City</v>
      </c>
      <c r="CM31" s="2629"/>
      <c r="CN31" s="1100">
        <f t="shared" si="3"/>
        <v>2012</v>
      </c>
      <c r="CO31" s="1122">
        <f>IFERROR(IF(HLOOKUP(CO$15,Data_5!$F$10:$BG$42,$A31+2,FALSE)="NO","NO",IF(HLOOKUP(CO$15,Data_5!$F$10:$BG$42,$A31+2,FALSE)="IE","IE",IF(HLOOKUP(CO$15,Data_5!$F$10:$BG$42,$A31+2,FALSE)="NE","NE",IF(HLOOKUP(CO$15,Data_5!$F$10:$BG$42,$A31+2,FALSE)="C","C",IF(HLOOKUP(CO$15,Data_5!$F$10:$BG$42,$A31+2,FALSE)="NO","NO",HLOOKUP(CO$15,Data_5!$F$10:$BG$42,$A31+2,FALSE)/Data_5!$BK26))))),"")</f>
        <v>0.11672038311058014</v>
      </c>
      <c r="CP31" s="1122">
        <f>IFERROR(IF(HLOOKUP(CP$15,Data_5!$F$10:$BG$42,$A31+2,FALSE)="NO","NO",IF(HLOOKUP(CP$15,Data_5!$F$10:$BG$42,$A31+2,FALSE)="IE","IE",IF(HLOOKUP(CP$15,Data_5!$F$10:$BG$42,$A31+2,FALSE)="NE","NE",IF(HLOOKUP(CP$15,Data_5!$F$10:$BG$42,$A31+2,FALSE)="C","C",IF(HLOOKUP(CP$15,Data_5!$F$10:$BG$42,$A31+2,FALSE)="NO","NO",HLOOKUP(CP$15,Data_5!$F$10:$BG$42,$A31+2,FALSE)/Data_5!$BK26))))),"")</f>
        <v>2.0167762424477289E-2</v>
      </c>
      <c r="CQ31" s="1122">
        <f>IFERROR(IF(HLOOKUP(CQ$15,Data_5!$F$10:$BG$42,$A31+2,FALSE)="NO","NO",IF(HLOOKUP(CQ$15,Data_5!$F$10:$BG$42,$A31+2,FALSE)="IE","IE",IF(HLOOKUP(CQ$15,Data_5!$F$10:$BG$42,$A31+2,FALSE)="NE","NE",IF(HLOOKUP(CQ$15,Data_5!$F$10:$BG$42,$A31+2,FALSE)="C","C",IF(HLOOKUP(CQ$15,Data_5!$F$10:$BG$42,$A31+2,FALSE)="NO","NO",HLOOKUP(CQ$15,Data_5!$F$10:$BG$42,$A31+2,FALSE)/Data_5!$BK26))))),"")</f>
        <v>7.4458130003133768E-2</v>
      </c>
      <c r="CR31" s="1122">
        <f>IFERROR(IF(HLOOKUP(CR$15,Data_5!$F$10:$BG$42,$A31+2,FALSE)="NO","NO",IF(HLOOKUP(CR$15,Data_5!$F$10:$BG$42,$A31+2,FALSE)="IE","IE",IF(HLOOKUP(CR$15,Data_5!$F$10:$BG$42,$A31+2,FALSE)="NE","NE",IF(HLOOKUP(CR$15,Data_5!$F$10:$BG$42,$A31+2,FALSE)="C","C",IF(HLOOKUP(CR$15,Data_5!$F$10:$BG$42,$A31+2,FALSE)="NO","NO",HLOOKUP(CR$15,Data_5!$F$10:$BG$42,$A31+2,FALSE)/Data_5!$BK26))))),"")</f>
        <v>1.4207659550080204E-3</v>
      </c>
      <c r="CS31" s="1122">
        <f>IFERROR(IF(HLOOKUP(CS$15,Data_5!$F$10:$BG$42,$A31+2,FALSE)="NO","NO",IF(HLOOKUP(CS$15,Data_5!$F$10:$BG$42,$A31+2,FALSE)="IE","IE",IF(HLOOKUP(CS$15,Data_5!$F$10:$BG$42,$A31+2,FALSE)="NE","NE",IF(HLOOKUP(CS$15,Data_5!$F$10:$BG$42,$A31+2,FALSE)="C","C",IF(HLOOKUP(CS$15,Data_5!$F$10:$BG$42,$A31+2,FALSE)="NO","NO",HLOOKUP(CS$15,Data_5!$F$10:$BG$42,$A31+2,FALSE)/Data_5!$BK26))))),"")</f>
        <v>0</v>
      </c>
      <c r="CT31" s="1122">
        <f>IFERROR(IF(HLOOKUP(CT$15,Data_5!$F$10:$BG$42,$A31+2,FALSE)="NO","NO",IF(HLOOKUP(CT$15,Data_5!$F$10:$BG$42,$A31+2,FALSE)="IE","IE",IF(HLOOKUP(CT$15,Data_5!$F$10:$BG$42,$A31+2,FALSE)="NE","NE",IF(HLOOKUP(CT$15,Data_5!$F$10:$BG$42,$A31+2,FALSE)="C","C",IF(HLOOKUP(CT$15,Data_5!$F$10:$BG$42,$A31+2,FALSE)="NO","NO",HLOOKUP(CT$15,Data_5!$F$10:$BG$42,$A31+2,FALSE)/Data_5!$BK26))))),"")</f>
        <v>3.252819634157168E-4</v>
      </c>
      <c r="CU31" s="1122" t="str">
        <f>IFERROR(IF(HLOOKUP(CU$15,Data_5!$F$10:$BG$42,$A31+2,FALSE)="NO","NO",IF(HLOOKUP(CU$15,Data_5!$F$10:$BG$42,$A31+2,FALSE)="IE","IE",IF(HLOOKUP(CU$15,Data_5!$F$10:$BG$42,$A31+2,FALSE)="NE","NE",IF(HLOOKUP(CU$15,Data_5!$F$10:$BG$42,$A31+2,FALSE)="C","C",IF(HLOOKUP(CU$15,Data_5!$F$10:$BG$42,$A31+2,FALSE)="NO","NO",HLOOKUP(CU$15,Data_5!$F$10:$BG$42,$A31+2,FALSE)/Data_5!$BK26))))),"")</f>
        <v>NO</v>
      </c>
      <c r="CV31" s="1122" t="str">
        <f>IFERROR(IF(HLOOKUP(CV$15,Data_5!$F$10:$BG$42,$A31+2,FALSE)="NO","NO",IF(HLOOKUP(CV$15,Data_5!$F$10:$BG$42,$A31+2,FALSE)="IE","IE",IF(HLOOKUP(CV$15,Data_5!$F$10:$BG$42,$A31+2,FALSE)="NE","NE",IF(HLOOKUP(CV$15,Data_5!$F$10:$BG$42,$A31+2,FALSE)="C","C",IF(HLOOKUP(CV$15,Data_5!$F$10:$BG$42,$A31+2,FALSE)="NO","NO",HLOOKUP(CV$15,Data_5!$F$10:$BG$42,$A31+2,FALSE)/Data_5!$BK26))))),"")</f>
        <v>NO</v>
      </c>
      <c r="CW31" s="1122">
        <f>IFERROR(IF(HLOOKUP(CW$15,Data_5!$F$10:$BG$42,$A31+2,FALSE)="NO","NO",IF(HLOOKUP(CW$15,Data_5!$F$10:$BG$42,$A31+2,FALSE)="IE","IE",IF(HLOOKUP(CW$15,Data_5!$F$10:$BG$42,$A31+2,FALSE)="NE","NE",IF(HLOOKUP(CW$15,Data_5!$F$10:$BG$42,$A31+2,FALSE)="C","C",IF(HLOOKUP(CW$15,Data_5!$F$10:$BG$42,$A31+2,FALSE)="NO","NO",HLOOKUP(CW$15,Data_5!$F$10:$BG$42,$A31+2,FALSE)/Data_5!$BK26))))),"")</f>
        <v>3.5464879908333171E-5</v>
      </c>
      <c r="CX31" s="1122">
        <f>IFERROR(IF(HLOOKUP(CX$15,Data_5!$F$10:$BG$42,$A31+2,FALSE)="NO","NO",IF(HLOOKUP(CX$15,Data_5!$F$10:$BG$42,$A31+2,FALSE)="IE","IE",IF(HLOOKUP(CX$15,Data_5!$F$10:$BG$42,$A31+2,FALSE)="NE","NE",IF(HLOOKUP(CX$15,Data_5!$F$10:$BG$42,$A31+2,FALSE)="C","C",IF(HLOOKUP(CX$15,Data_5!$F$10:$BG$42,$A31+2,FALSE)="NO","NO",HLOOKUP(CX$15,Data_5!$F$10:$BG$42,$A31+2,FALSE)/Data_5!$BK26))))),"")</f>
        <v>0.6772588029818748</v>
      </c>
      <c r="CY31" s="1122">
        <f>IFERROR(IF(HLOOKUP(CY$15,Data_5!$F$10:$BG$42,$A31+2,FALSE)="NO","NO",IF(HLOOKUP(CY$15,Data_5!$F$10:$BG$42,$A31+2,FALSE)="IE","IE",IF(HLOOKUP(CY$15,Data_5!$F$10:$BG$42,$A31+2,FALSE)="NE","NE",IF(HLOOKUP(CY$15,Data_5!$F$10:$BG$42,$A31+2,FALSE)="C","C",IF(HLOOKUP(CY$15,Data_5!$F$10:$BG$42,$A31+2,FALSE)="NO","NO",HLOOKUP(CY$15,Data_5!$F$10:$BG$42,$A31+2,FALSE)/Data_5!$BK26))))),"")</f>
        <v>3.0194486341660011E-4</v>
      </c>
      <c r="CZ31" s="1122" t="str">
        <f>IFERROR(IF(HLOOKUP(CZ$15,Data_5!$F$10:$BG$42,$A31+2,FALSE)="NO","NO",IF(HLOOKUP(CZ$15,Data_5!$F$10:$BG$42,$A31+2,FALSE)="IE","IE",IF(HLOOKUP(CZ$15,Data_5!$F$10:$BG$42,$A31+2,FALSE)="NE","NE",IF(HLOOKUP(CZ$15,Data_5!$F$10:$BG$42,$A31+2,FALSE)="C","C",IF(HLOOKUP(CZ$15,Data_5!$F$10:$BG$42,$A31+2,FALSE)="NO","NO",HLOOKUP(CZ$15,Data_5!$F$10:$BG$42,$A31+2,FALSE)/Data_5!$BK26))))),"")</f>
        <v>NO</v>
      </c>
      <c r="DA31" s="1122">
        <f>IFERROR(IF(HLOOKUP(DA$15,Data_5!$F$10:$BG$42,$A31+2,FALSE)="NO","NO",IF(HLOOKUP(DA$15,Data_5!$F$10:$BG$42,$A31+2,FALSE)="IE","IE",IF(HLOOKUP(DA$15,Data_5!$F$10:$BG$42,$A31+2,FALSE)="NE","NE",IF(HLOOKUP(DA$15,Data_5!$F$10:$BG$42,$A31+2,FALSE)="C","C",IF(HLOOKUP(DA$15,Data_5!$F$10:$BG$42,$A31+2,FALSE)="NO","NO",HLOOKUP(DA$15,Data_5!$F$10:$BG$42,$A31+2,FALSE)/Data_5!$BK26))))),"")</f>
        <v>8.2659836162844585E-2</v>
      </c>
      <c r="DB31" s="1122">
        <f>IFERROR(IF(HLOOKUP(DB$15,Data_5!$F$10:$BG$42,$A31+2,FALSE)="NO","NO",IF(HLOOKUP(DB$15,Data_5!$F$10:$BG$42,$A31+2,FALSE)="IE","IE",IF(HLOOKUP(DB$15,Data_5!$F$10:$BG$42,$A31+2,FALSE)="NE","NE",IF(HLOOKUP(DB$15,Data_5!$F$10:$BG$42,$A31+2,FALSE)="C","C",IF(HLOOKUP(DB$15,Data_5!$F$10:$BG$42,$A31+2,FALSE)="NO","NO",HLOOKUP(DB$15,Data_5!$F$10:$BG$42,$A31+2,FALSE)/Data_5!$BK26))))),"")</f>
        <v>6.813043551571191E-3</v>
      </c>
      <c r="DC31" s="1122">
        <f>IFERROR(IF(HLOOKUP(DC$15,Data_5!$F$10:$BG$42,$A31+2,FALSE)="NO","NO",IF(HLOOKUP(DC$15,Data_5!$F$10:$BG$42,$A31+2,FALSE)="IE","IE",IF(HLOOKUP(DC$15,Data_5!$F$10:$BG$42,$A31+2,FALSE)="NE","NE",IF(HLOOKUP(DC$15,Data_5!$F$10:$BG$42,$A31+2,FALSE)="C","C",IF(HLOOKUP(DC$15,Data_5!$F$10:$BG$42,$A31+2,FALSE)="NO","NO",HLOOKUP(DC$15,Data_5!$F$10:$BG$42,$A31+2,FALSE)/Data_5!$BK26))))),"")</f>
        <v>6.7723143591621217E-3</v>
      </c>
      <c r="DD31" s="1122" t="str">
        <f>IFERROR(IF(HLOOKUP(DD$15,Data_5!$F$10:$BG$42,$A31+2,FALSE)="NO","NO",IF(HLOOKUP(DD$15,Data_5!$F$10:$BG$42,$A31+2,FALSE)="IE","IE",IF(HLOOKUP(DD$15,Data_5!$F$10:$BG$42,$A31+2,FALSE)="NE","NE",IF(HLOOKUP(DD$15,Data_5!$F$10:$BG$42,$A31+2,FALSE)="C","C",IF(HLOOKUP(DD$15,Data_5!$F$10:$BG$42,$A31+2,FALSE)="NO","NO",HLOOKUP(DD$15,Data_5!$F$10:$BG$42,$A31+2,FALSE)/Data_5!$BK26))))),"")</f>
        <v>NO</v>
      </c>
      <c r="DE31" s="1122">
        <f>IFERROR(IF(HLOOKUP(DE$15,Data_5!$F$10:$BG$42,$A31+2,FALSE)="NO","NO",IF(HLOOKUP(DE$15,Data_5!$F$10:$BG$42,$A31+2,FALSE)="IE","IE",IF(HLOOKUP(DE$15,Data_5!$F$10:$BG$42,$A31+2,FALSE)="NE","NE",IF(HLOOKUP(DE$15,Data_5!$F$10:$BG$42,$A31+2,FALSE)="C","C",IF(HLOOKUP(DE$15,Data_5!$F$10:$BG$42,$A31+2,FALSE)="NO","NO",HLOOKUP(DE$15,Data_5!$F$10:$BG$42,$A31+2,FALSE)/Data_5!$BK26))))),"")</f>
        <v>3.6462518801781223E-5</v>
      </c>
      <c r="DF31" s="1122" t="str">
        <f>IFERROR(IF(HLOOKUP(DF$15,Data_5!$F$10:$BG$42,$A31+2,FALSE)="NO","NO",IF(HLOOKUP(DF$15,Data_5!$F$10:$BG$42,$A31+2,FALSE)="IE","IE",IF(HLOOKUP(DF$15,Data_5!$F$10:$BG$42,$A31+2,FALSE)="NE","NE",IF(HLOOKUP(DF$15,Data_5!$F$10:$BG$42,$A31+2,FALSE)="C","C",IF(HLOOKUP(DF$15,Data_5!$F$10:$BG$42,$A31+2,FALSE)="NO","NO",HLOOKUP(DF$15,Data_5!$F$10:$BG$42,$A31+2,FALSE)/Data_5!$BK26))))),"")</f>
        <v>NO</v>
      </c>
      <c r="DG31" s="1122" t="str">
        <f>IFERROR(IF(HLOOKUP(DG$15,Data_5!$F$10:$BG$42,$A31+2,FALSE)="NO","NO",IF(HLOOKUP(DG$15,Data_5!$F$10:$BG$42,$A31+2,FALSE)="IE","IE",IF(HLOOKUP(DG$15,Data_5!$F$10:$BG$42,$A31+2,FALSE)="NE","NE",IF(HLOOKUP(DG$15,Data_5!$F$10:$BG$42,$A31+2,FALSE)="C","C",IF(HLOOKUP(DG$15,Data_5!$F$10:$BG$42,$A31+2,FALSE)="NO","NO",HLOOKUP(DG$15,Data_5!$F$10:$BG$42,$A31+2,FALSE)/Data_5!$BK26))))),"")</f>
        <v>NO</v>
      </c>
      <c r="DH31" s="1122" t="str">
        <f>IFERROR(IF(HLOOKUP(DH$15,Data_5!$F$10:$BG$42,$A31+2,FALSE)="NO","NO",IF(HLOOKUP(DH$15,Data_5!$F$10:$BG$42,$A31+2,FALSE)="IE","IE",IF(HLOOKUP(DH$15,Data_5!$F$10:$BG$42,$A31+2,FALSE)="NE","NE",IF(HLOOKUP(DH$15,Data_5!$F$10:$BG$42,$A31+2,FALSE)="C","C",IF(HLOOKUP(DH$15,Data_5!$F$10:$BG$42,$A31+2,FALSE)="NO","NO",HLOOKUP(DH$15,Data_5!$F$10:$BG$42,$A31+2,FALSE)/Data_5!$BK26))))),"")</f>
        <v>NO</v>
      </c>
      <c r="DI31" s="1122">
        <f>IFERROR(IF(HLOOKUP(DI$15,Data_5!$F$10:$BG$42,$A31+2,FALSE)="NO","NO",IF(HLOOKUP(DI$15,Data_5!$F$10:$BG$42,$A31+2,FALSE)="IE","IE",IF(HLOOKUP(DI$15,Data_5!$F$10:$BG$42,$A31+2,FALSE)="NE","NE",IF(HLOOKUP(DI$15,Data_5!$F$10:$BG$42,$A31+2,FALSE)="C","C",IF(HLOOKUP(DI$15,Data_5!$F$10:$BG$42,$A31+2,FALSE)="NO","NO",HLOOKUP(DI$15,Data_5!$F$10:$BG$42,$A31+2,FALSE)/Data_5!$BK26))))),"")</f>
        <v>3.2077561509870744E-3</v>
      </c>
      <c r="DJ31" s="1122" t="str">
        <f>IFERROR(IF(HLOOKUP(DJ$15,Data_5!$F$10:$BG$42,$A31+2,FALSE)="NO","NO",IF(HLOOKUP(DJ$15,Data_5!$F$10:$BG$42,$A31+2,FALSE)="IE","IE",IF(HLOOKUP(DJ$15,Data_5!$F$10:$BG$42,$A31+2,FALSE)="NE","NE",IF(HLOOKUP(DJ$15,Data_5!$F$10:$BG$42,$A31+2,FALSE)="C","C",IF(HLOOKUP(DJ$15,Data_5!$F$10:$BG$42,$A31+2,FALSE)="NO","NO",HLOOKUP(DJ$15,Data_5!$F$10:$BG$42,$A31+2,FALSE)/Data_5!$BK26))))),"")</f>
        <v>NO</v>
      </c>
      <c r="DK31" s="1122">
        <f>IFERROR(IF(HLOOKUP(DK$15,Data_5!$F$10:$BG$42,$A31+2,FALSE)="NO","NO",IF(HLOOKUP(DK$15,Data_5!$F$10:$BG$42,$A31+2,FALSE)="IE","IE",IF(HLOOKUP(DK$15,Data_5!$F$10:$BG$42,$A31+2,FALSE)="NE","NE",IF(HLOOKUP(DK$15,Data_5!$F$10:$BG$42,$A31+2,FALSE)="C","C",IF(HLOOKUP(DK$15,Data_5!$F$10:$BG$42,$A31+2,FALSE)="NO","NO",HLOOKUP(DK$15,Data_5!$F$10:$BG$42,$A31+2,FALSE)/Data_5!$BK26))))),"")</f>
        <v>2.3701677967206502E-3</v>
      </c>
      <c r="DL31" s="1122">
        <f>IFERROR(IF(HLOOKUP(DL$15,Data_5!$F$10:$BG$42,$A31+2,FALSE)="NO","NO",IF(HLOOKUP(DL$15,Data_5!$F$10:$BG$42,$A31+2,FALSE)="IE","IE",IF(HLOOKUP(DL$15,Data_5!$F$10:$BG$42,$A31+2,FALSE)="NE","NE",IF(HLOOKUP(DL$15,Data_5!$F$10:$BG$42,$A31+2,FALSE)="C","C",IF(HLOOKUP(DL$15,Data_5!$F$10:$BG$42,$A31+2,FALSE)="NO","NO",HLOOKUP(DL$15,Data_5!$F$10:$BG$42,$A31+2,FALSE)/Data_5!$BK26))))),"")</f>
        <v>5.8131211618869458E-3</v>
      </c>
      <c r="DM31" s="1122">
        <f>IFERROR(IF(HLOOKUP(DM$15,Data_5!$F$10:$BG$42,$A31+2,FALSE)="NO","NO",IF(HLOOKUP(DM$15,Data_5!$F$10:$BG$42,$A31+2,FALSE)="IE","IE",IF(HLOOKUP(DM$15,Data_5!$F$10:$BG$42,$A31+2,FALSE)="NE","NE",IF(HLOOKUP(DM$15,Data_5!$F$10:$BG$42,$A31+2,FALSE)="C","C",IF(HLOOKUP(DM$15,Data_5!$F$10:$BG$42,$A31+2,FALSE)="NO","NO",HLOOKUP(DM$15,Data_5!$F$10:$BG$42,$A31+2,FALSE)/Data_5!$BK26))))),"")</f>
        <v>1.1279496292645966E-3</v>
      </c>
      <c r="DN31" s="1122">
        <f>IFERROR(IF(HLOOKUP(DN$15,Data_5!$F$10:$BG$42,$A31+2,FALSE)="NO","NO",IF(HLOOKUP(DN$15,Data_5!$F$10:$BG$42,$A31+2,FALSE)="IE","IE",IF(HLOOKUP(DN$15,Data_5!$F$10:$BG$42,$A31+2,FALSE)="NE","NE",IF(HLOOKUP(DN$15,Data_5!$F$10:$BG$42,$A31+2,FALSE)="C","C",IF(HLOOKUP(DN$15,Data_5!$F$10:$BG$42,$A31+2,FALSE)="NO","NO",HLOOKUP(DN$15,Data_5!$F$10:$BG$42,$A31+2,FALSE)/Data_5!$BK26))))),"")</f>
        <v>0</v>
      </c>
      <c r="DO31" s="1122">
        <f>IFERROR(IF(HLOOKUP(DO$15,Data_5!$F$10:$BG$42,$A31+2,FALSE)="NO","NO",IF(HLOOKUP(DO$15,Data_5!$F$10:$BG$42,$A31+2,FALSE)="IE","IE",IF(HLOOKUP(DO$15,Data_5!$F$10:$BG$42,$A31+2,FALSE)="NE","NE",IF(HLOOKUP(DO$15,Data_5!$F$10:$BG$42,$A31+2,FALSE)="C","C",IF(HLOOKUP(DO$15,Data_5!$F$10:$BG$42,$A31+2,FALSE)="NO","NO",HLOOKUP(DO$15,Data_5!$F$10:$BG$42,$A31+2,FALSE)/Data_5!$BK26))))),"")</f>
        <v>5.1081248694635881E-4</v>
      </c>
    </row>
    <row r="32" spans="1:119" s="15" customFormat="1" ht="15" customHeight="1">
      <c r="A32" s="1789">
        <v>16</v>
      </c>
      <c r="B32" s="2628" t="str">
        <f>IF(Data_5!B27&lt;&gt;"",Data_5!B27,"")</f>
        <v>New York City</v>
      </c>
      <c r="C32" s="2629"/>
      <c r="D32" s="1462">
        <f>IFERROR(VLOOKUP($B32,Data_5!$B$12:$C$42,2,FALSE),"")</f>
        <v>2014</v>
      </c>
      <c r="E32" s="1122">
        <f>IFERROR(IF(HLOOKUP(E$15,Data_5!$F$10:$BG$42,$A32+2,FALSE)="NO","NO",IF(HLOOKUP(E$15,Data_5!$F$10:$BG$42,$A32+2,FALSE)="IE","IE",IF(HLOOKUP(E$15,Data_5!$F$10:$BG$42,$A32+2,FALSE)="NE","NE",IF(HLOOKUP(E$15,Data_5!$F$10:$BG$42,$A32+2,FALSE)="C","C",IF(HLOOKUP(E$15,Data_5!$F$10:$BG$42,$A32+2,FALSE)="NO","NO",HLOOKUP(E$15,Data_5!$F$10:$BG$42,$A32+2,FALSE)/Data_5!$BH27))))),"")</f>
        <v>0.24308670466117924</v>
      </c>
      <c r="F32" s="1122">
        <f>IFERROR(IF(HLOOKUP(F$15,Data_5!$F$10:$BG$42,$A32+2,FALSE)="NO","NO",IF(HLOOKUP(F$15,Data_5!$F$10:$BG$42,$A32+2,FALSE)="IE","IE",IF(HLOOKUP(F$15,Data_5!$F$10:$BG$42,$A32+2,FALSE)="NE","NE",IF(HLOOKUP(F$15,Data_5!$F$10:$BG$42,$A32+2,FALSE)="C","C",IF(HLOOKUP(F$15,Data_5!$F$10:$BG$42,$A32+2,FALSE)="NO","NO",HLOOKUP(F$15,Data_5!$F$10:$BG$42,$A32+2,FALSE)/Data_5!$BH27))))),"")</f>
        <v>9.6443817228417286E-2</v>
      </c>
      <c r="G32" s="1122">
        <f>IFERROR(IF(HLOOKUP(G$15,Data_5!$F$10:$BG$42,$A32+2,FALSE)="NO","NO",IF(HLOOKUP(G$15,Data_5!$F$10:$BG$42,$A32+2,FALSE)="IE","IE",IF(HLOOKUP(G$15,Data_5!$F$10:$BG$42,$A32+2,FALSE)="NE","NE",IF(HLOOKUP(G$15,Data_5!$F$10:$BG$42,$A32+2,FALSE)="C","C",IF(HLOOKUP(G$15,Data_5!$F$10:$BG$42,$A32+2,FALSE)="NO","NO",HLOOKUP(G$15,Data_5!$F$10:$BG$42,$A32+2,FALSE)/Data_5!$BH27))))),"")</f>
        <v>0.13110099948001763</v>
      </c>
      <c r="H32" s="1122">
        <f>IFERROR(IF(HLOOKUP(H$15,Data_5!$F$10:$BG$42,$A32+2,FALSE)="NO","NO",IF(HLOOKUP(H$15,Data_5!$F$10:$BG$42,$A32+2,FALSE)="IE","IE",IF(HLOOKUP(H$15,Data_5!$F$10:$BG$42,$A32+2,FALSE)="NE","NE",IF(HLOOKUP(H$15,Data_5!$F$10:$BG$42,$A32+2,FALSE)="C","C",IF(HLOOKUP(H$15,Data_5!$F$10:$BG$42,$A32+2,FALSE)="NO","NO",HLOOKUP(H$15,Data_5!$F$10:$BG$42,$A32+2,FALSE)/Data_5!$BH27))))),"")</f>
        <v>0.15529761656588201</v>
      </c>
      <c r="I32" s="1122">
        <f>IFERROR(IF(HLOOKUP(I$15,Data_5!$F$10:$BG$42,$A32+2,FALSE)="NO","NO",IF(HLOOKUP(I$15,Data_5!$F$10:$BG$42,$A32+2,FALSE)="IE","IE",IF(HLOOKUP(I$15,Data_5!$F$10:$BG$42,$A32+2,FALSE)="NE","NE",IF(HLOOKUP(I$15,Data_5!$F$10:$BG$42,$A32+2,FALSE)="C","C",IF(HLOOKUP(I$15,Data_5!$F$10:$BG$42,$A32+2,FALSE)="NO","NO",HLOOKUP(I$15,Data_5!$F$10:$BG$42,$A32+2,FALSE)/Data_5!$BH27))))),"")</f>
        <v>3.0691714420693218E-2</v>
      </c>
      <c r="J32" s="1122">
        <f>IFERROR(IF(HLOOKUP(J$15,Data_5!$F$10:$BG$42,$A32+2,FALSE)="NO","NO",IF(HLOOKUP(J$15,Data_5!$F$10:$BG$42,$A32+2,FALSE)="IE","IE",IF(HLOOKUP(J$15,Data_5!$F$10:$BG$42,$A32+2,FALSE)="NE","NE",IF(HLOOKUP(J$15,Data_5!$F$10:$BG$42,$A32+2,FALSE)="C","C",IF(HLOOKUP(J$15,Data_5!$F$10:$BG$42,$A32+2,FALSE)="NO","NO",HLOOKUP(J$15,Data_5!$F$10:$BG$42,$A32+2,FALSE)/Data_5!$BH27))))),"")</f>
        <v>5.6406773132974812E-2</v>
      </c>
      <c r="K32" s="1122" t="str">
        <f>IFERROR(IF(HLOOKUP(K$15,Data_5!$F$10:$BG$42,$A32+2,FALSE)="NO","NO",IF(HLOOKUP(K$15,Data_5!$F$10:$BG$42,$A32+2,FALSE)="IE","IE",IF(HLOOKUP(K$15,Data_5!$F$10:$BG$42,$A32+2,FALSE)="NE","NE",IF(HLOOKUP(K$15,Data_5!$F$10:$BG$42,$A32+2,FALSE)="C","C",IF(HLOOKUP(K$15,Data_5!$F$10:$BG$42,$A32+2,FALSE)="NO","NO",HLOOKUP(K$15,Data_5!$F$10:$BG$42,$A32+2,FALSE)/Data_5!$BH27))))),"")</f>
        <v>IE</v>
      </c>
      <c r="L32" s="1122" t="str">
        <f>IFERROR(IF(HLOOKUP(L$15,Data_5!$F$10:$BG$42,$A32+2,FALSE)="NO","NO",IF(HLOOKUP(L$15,Data_5!$F$10:$BG$42,$A32+2,FALSE)="IE","IE",IF(HLOOKUP(L$15,Data_5!$F$10:$BG$42,$A32+2,FALSE)="NE","NE",IF(HLOOKUP(L$15,Data_5!$F$10:$BG$42,$A32+2,FALSE)="C","C",IF(HLOOKUP(L$15,Data_5!$F$10:$BG$42,$A32+2,FALSE)="NO","NO",HLOOKUP(L$15,Data_5!$F$10:$BG$42,$A32+2,FALSE)/Data_5!$BH27))))),"")</f>
        <v>IE</v>
      </c>
      <c r="M32" s="1122" t="str">
        <f>IFERROR(IF(HLOOKUP(M$15,Data_5!$F$10:$BG$42,$A32+2,FALSE)="NO","NO",IF(HLOOKUP(M$15,Data_5!$F$10:$BG$42,$A32+2,FALSE)="IE","IE",IF(HLOOKUP(M$15,Data_5!$F$10:$BG$42,$A32+2,FALSE)="NE","NE",IF(HLOOKUP(M$15,Data_5!$F$10:$BG$42,$A32+2,FALSE)="C","C",IF(HLOOKUP(M$15,Data_5!$F$10:$BG$42,$A32+2,FALSE)="NO","NO",HLOOKUP(M$15,Data_5!$F$10:$BG$42,$A32+2,FALSE)/Data_5!$BH27))))),"")</f>
        <v>NO</v>
      </c>
      <c r="N32" s="1122" t="str">
        <f>IFERROR(IF(HLOOKUP(N$15,Data_5!$F$10:$BG$42,$A32+2,FALSE)="NO","NO",IF(HLOOKUP(N$15,Data_5!$F$10:$BG$42,$A32+2,FALSE)="IE","IE",IF(HLOOKUP(N$15,Data_5!$F$10:$BG$42,$A32+2,FALSE)="NE","NE",IF(HLOOKUP(N$15,Data_5!$F$10:$BG$42,$A32+2,FALSE)="C","C",IF(HLOOKUP(N$15,Data_5!$F$10:$BG$42,$A32+2,FALSE)="NO","NO",HLOOKUP(N$15,Data_5!$F$10:$BG$42,$A32+2,FALSE)/Data_5!$BH27))))),"")</f>
        <v>NO</v>
      </c>
      <c r="O32" s="1122" t="str">
        <f>IFERROR(IF(HLOOKUP(O$15,Data_5!$F$10:$BG$42,$A32+2,FALSE)="NO","NO",IF(HLOOKUP(O$15,Data_5!$F$10:$BG$42,$A32+2,FALSE)="IE","IE",IF(HLOOKUP(O$15,Data_5!$F$10:$BG$42,$A32+2,FALSE)="NE","NE",IF(HLOOKUP(O$15,Data_5!$F$10:$BG$42,$A32+2,FALSE)="C","C",IF(HLOOKUP(O$15,Data_5!$F$10:$BG$42,$A32+2,FALSE)="NO","NO",HLOOKUP(O$15,Data_5!$F$10:$BG$42,$A32+2,FALSE)/Data_5!$BH27))))),"")</f>
        <v>NO</v>
      </c>
      <c r="P32" s="1122" t="str">
        <f>IFERROR(IF(HLOOKUP(P$15,Data_5!$F$10:$BG$42,$A32+2,FALSE)="NO","NO",IF(HLOOKUP(P$15,Data_5!$F$10:$BG$42,$A32+2,FALSE)="IE","IE",IF(HLOOKUP(P$15,Data_5!$F$10:$BG$42,$A32+2,FALSE)="NE","NE",IF(HLOOKUP(P$15,Data_5!$F$10:$BG$42,$A32+2,FALSE)="C","C",IF(HLOOKUP(P$15,Data_5!$F$10:$BG$42,$A32+2,FALSE)="NO","NO",HLOOKUP(P$15,Data_5!$F$10:$BG$42,$A32+2,FALSE)/Data_5!$BH27))))),"")</f>
        <v>NO</v>
      </c>
      <c r="Q32" s="1122" t="str">
        <f>IFERROR(IF(HLOOKUP(Q$15,Data_5!$F$10:$BG$42,$A32+2,FALSE)="NO","NO",IF(HLOOKUP(Q$15,Data_5!$F$10:$BG$42,$A32+2,FALSE)="IE","IE",IF(HLOOKUP(Q$15,Data_5!$F$10:$BG$42,$A32+2,FALSE)="NE","NE",IF(HLOOKUP(Q$15,Data_5!$F$10:$BG$42,$A32+2,FALSE)="C","C",IF(HLOOKUP(Q$15,Data_5!$F$10:$BG$42,$A32+2,FALSE)="NO","NO",HLOOKUP(Q$15,Data_5!$F$10:$BG$42,$A32+2,FALSE)/Data_5!$BH27))))),"")</f>
        <v>NO</v>
      </c>
      <c r="R32" s="1122">
        <f>IFERROR(IF(HLOOKUP(R$15,Data_5!$F$10:$BG$42,$A32+2,FALSE)="NO","NO",IF(HLOOKUP(R$15,Data_5!$F$10:$BG$42,$A32+2,FALSE)="IE","IE",IF(HLOOKUP(R$15,Data_5!$F$10:$BG$42,$A32+2,FALSE)="NE","NE",IF(HLOOKUP(R$15,Data_5!$F$10:$BG$42,$A32+2,FALSE)="C","C",IF(HLOOKUP(R$15,Data_5!$F$10:$BG$42,$A32+2,FALSE)="NO","NO",HLOOKUP(R$15,Data_5!$F$10:$BG$42,$A32+2,FALSE)/Data_5!$BH27))))),"")</f>
        <v>4.3043317079271681E-3</v>
      </c>
      <c r="S32" s="1122">
        <f>IFERROR(IF(HLOOKUP(S$15,Data_5!$F$10:$BG$42,$A32+2,FALSE)="NO","NO",IF(HLOOKUP(S$15,Data_5!$F$10:$BG$42,$A32+2,FALSE)="IE","IE",IF(HLOOKUP(S$15,Data_5!$F$10:$BG$42,$A32+2,FALSE)="NE","NE",IF(HLOOKUP(S$15,Data_5!$F$10:$BG$42,$A32+2,FALSE)="C","C",IF(HLOOKUP(S$15,Data_5!$F$10:$BG$42,$A32+2,FALSE)="NO","NO",HLOOKUP(S$15,Data_5!$F$10:$BG$42,$A32+2,FALSE)/Data_5!$BH27))))),"")</f>
        <v>0.21262029992959516</v>
      </c>
      <c r="T32" s="1122" t="str">
        <f>IFERROR(IF(HLOOKUP(T$15,Data_5!$F$10:$BG$42,$A32+2,FALSE)="NO","NO",IF(HLOOKUP(T$15,Data_5!$F$10:$BG$42,$A32+2,FALSE)="IE","IE",IF(HLOOKUP(T$15,Data_5!$F$10:$BG$42,$A32+2,FALSE)="NE","NE",IF(HLOOKUP(T$15,Data_5!$F$10:$BG$42,$A32+2,FALSE)="C","C",IF(HLOOKUP(T$15,Data_5!$F$10:$BG$42,$A32+2,FALSE)="NO","NO",HLOOKUP(T$15,Data_5!$F$10:$BG$42,$A32+2,FALSE)/Data_5!$BH27))))),"")</f>
        <v>IE</v>
      </c>
      <c r="U32" s="1122">
        <f>IFERROR(IF(HLOOKUP(U$15,Data_5!$F$10:$BG$42,$A32+2,FALSE)="NO","NO",IF(HLOOKUP(U$15,Data_5!$F$10:$BG$42,$A32+2,FALSE)="IE","IE",IF(HLOOKUP(U$15,Data_5!$F$10:$BG$42,$A32+2,FALSE)="NE","NE",IF(HLOOKUP(U$15,Data_5!$F$10:$BG$42,$A32+2,FALSE)="C","C",IF(HLOOKUP(U$15,Data_5!$F$10:$BG$42,$A32+2,FALSE)="NO","NO",HLOOKUP(U$15,Data_5!$F$10:$BG$42,$A32+2,FALSE)/Data_5!$BH27))))),"")</f>
        <v>2.8846087942188079E-4</v>
      </c>
      <c r="V32" s="1122">
        <f>IFERROR(IF(HLOOKUP(V$15,Data_5!$F$10:$BG$42,$A32+2,FALSE)="NO","NO",IF(HLOOKUP(V$15,Data_5!$F$10:$BG$42,$A32+2,FALSE)="IE","IE",IF(HLOOKUP(V$15,Data_5!$F$10:$BG$42,$A32+2,FALSE)="NE","NE",IF(HLOOKUP(V$15,Data_5!$F$10:$BG$42,$A32+2,FALSE)="C","C",IF(HLOOKUP(V$15,Data_5!$F$10:$BG$42,$A32+2,FALSE)="NO","NO",HLOOKUP(V$15,Data_5!$F$10:$BG$42,$A32+2,FALSE)/Data_5!$BH27))))),"")</f>
        <v>1.6650189774972856E-2</v>
      </c>
      <c r="W32" s="1122">
        <f>IFERROR(IF(HLOOKUP(W$15,Data_5!$F$10:$BG$42,$A32+2,FALSE)="NO","NO",IF(HLOOKUP(W$15,Data_5!$F$10:$BG$42,$A32+2,FALSE)="IE","IE",IF(HLOOKUP(W$15,Data_5!$F$10:$BG$42,$A32+2,FALSE)="NE","NE",IF(HLOOKUP(W$15,Data_5!$F$10:$BG$42,$A32+2,FALSE)="C","C",IF(HLOOKUP(W$15,Data_5!$F$10:$BG$42,$A32+2,FALSE)="NO","NO",HLOOKUP(W$15,Data_5!$F$10:$BG$42,$A32+2,FALSE)/Data_5!$BH27))))),"")</f>
        <v>7.3698881913431317E-4</v>
      </c>
      <c r="X32" s="1122" t="str">
        <f>IFERROR(IF(HLOOKUP(X$15,Data_5!$F$10:$BG$42,$A32+2,FALSE)="NO","NO",IF(HLOOKUP(X$15,Data_5!$F$10:$BG$42,$A32+2,FALSE)="IE","IE",IF(HLOOKUP(X$15,Data_5!$F$10:$BG$42,$A32+2,FALSE)="NE","NE",IF(HLOOKUP(X$15,Data_5!$F$10:$BG$42,$A32+2,FALSE)="C","C",IF(HLOOKUP(X$15,Data_5!$F$10:$BG$42,$A32+2,FALSE)="NO","NO",HLOOKUP(X$15,Data_5!$F$10:$BG$42,$A32+2,FALSE)/Data_5!$BH27))))),"")</f>
        <v>NO</v>
      </c>
      <c r="Y32" s="1122">
        <f>IFERROR(IF(HLOOKUP(Y$15,Data_5!$F$10:$BG$42,$A32+2,FALSE)="NO","NO",IF(HLOOKUP(Y$15,Data_5!$F$10:$BG$42,$A32+2,FALSE)="IE","IE",IF(HLOOKUP(Y$15,Data_5!$F$10:$BG$42,$A32+2,FALSE)="NE","NE",IF(HLOOKUP(Y$15,Data_5!$F$10:$BG$42,$A32+2,FALSE)="C","C",IF(HLOOKUP(Y$15,Data_5!$F$10:$BG$42,$A32+2,FALSE)="NO","NO",HLOOKUP(Y$15,Data_5!$F$10:$BG$42,$A32+2,FALSE)/Data_5!$BH27))))),"")</f>
        <v>4.556574121957161E-5</v>
      </c>
      <c r="Z32" s="1122" t="str">
        <f>IFERROR(IF(HLOOKUP(Z$15,Data_5!$F$10:$BG$42,$A32+2,FALSE)="NO","NO",IF(HLOOKUP(Z$15,Data_5!$F$10:$BG$42,$A32+2,FALSE)="IE","IE",IF(HLOOKUP(Z$15,Data_5!$F$10:$BG$42,$A32+2,FALSE)="NE","NE",IF(HLOOKUP(Z$15,Data_5!$F$10:$BG$42,$A32+2,FALSE)="C","C",IF(HLOOKUP(Z$15,Data_5!$F$10:$BG$42,$A32+2,FALSE)="NO","NO",HLOOKUP(Z$15,Data_5!$F$10:$BG$42,$A32+2,FALSE)/Data_5!$BH27))))),"")</f>
        <v>NO</v>
      </c>
      <c r="AA32" s="1122" t="str">
        <f>IFERROR(IF(HLOOKUP(AA$15,Data_5!$F$10:$BG$42,$A32+2,FALSE)="NO","NO",IF(HLOOKUP(AA$15,Data_5!$F$10:$BG$42,$A32+2,FALSE)="IE","IE",IF(HLOOKUP(AA$15,Data_5!$F$10:$BG$42,$A32+2,FALSE)="NE","NE",IF(HLOOKUP(AA$15,Data_5!$F$10:$BG$42,$A32+2,FALSE)="C","C",IF(HLOOKUP(AA$15,Data_5!$F$10:$BG$42,$A32+2,FALSE)="NO","NO",HLOOKUP(AA$15,Data_5!$F$10:$BG$42,$A32+2,FALSE)/Data_5!$BH27))))),"")</f>
        <v>NO</v>
      </c>
      <c r="AB32" s="1122" t="str">
        <f>IFERROR(IF(HLOOKUP(AB$15,Data_5!$F$10:$BG$42,$A32+2,FALSE)="NO","NO",IF(HLOOKUP(AB$15,Data_5!$F$10:$BG$42,$A32+2,FALSE)="IE","IE",IF(HLOOKUP(AB$15,Data_5!$F$10:$BG$42,$A32+2,FALSE)="NE","NE",IF(HLOOKUP(AB$15,Data_5!$F$10:$BG$42,$A32+2,FALSE)="C","C",IF(HLOOKUP(AB$15,Data_5!$F$10:$BG$42,$A32+2,FALSE)="NO","NO",HLOOKUP(AB$15,Data_5!$F$10:$BG$42,$A32+2,FALSE)/Data_5!$BH27))))),"")</f>
        <v>IE</v>
      </c>
      <c r="AC32" s="1122">
        <f>IFERROR(IF(HLOOKUP(AC$15,Data_5!$F$10:$BG$42,$A32+2,FALSE)="NO","NO",IF(HLOOKUP(AC$15,Data_5!$F$10:$BG$42,$A32+2,FALSE)="IE","IE",IF(HLOOKUP(AC$15,Data_5!$F$10:$BG$42,$A32+2,FALSE)="NE","NE",IF(HLOOKUP(AC$15,Data_5!$F$10:$BG$42,$A32+2,FALSE)="C","C",IF(HLOOKUP(AC$15,Data_5!$F$10:$BG$42,$A32+2,FALSE)="NO","NO",HLOOKUP(AC$15,Data_5!$F$10:$BG$42,$A32+2,FALSE)/Data_5!$BH27))))),"")</f>
        <v>1.4933576072904662E-3</v>
      </c>
      <c r="AD32" s="1122">
        <f>IFERROR(IF(HLOOKUP(AD$15,Data_5!$F$10:$BG$42,$A32+2,FALSE)="NO","NO",IF(HLOOKUP(AD$15,Data_5!$F$10:$BG$42,$A32+2,FALSE)="IE","IE",IF(HLOOKUP(AD$15,Data_5!$F$10:$BG$42,$A32+2,FALSE)="NE","NE",IF(HLOOKUP(AD$15,Data_5!$F$10:$BG$42,$A32+2,FALSE)="C","C",IF(HLOOKUP(AD$15,Data_5!$F$10:$BG$42,$A32+2,FALSE)="NO","NO",HLOOKUP(AD$15,Data_5!$F$10:$BG$42,$A32+2,FALSE)/Data_5!$BH27))))),"")</f>
        <v>4.3430930071906716E-2</v>
      </c>
      <c r="AE32" s="1122" t="str">
        <f>IFERROR(IF(HLOOKUP(AE$15,Data_5!$F$10:$BG$42,$A32+2,FALSE)="NO","NO",IF(HLOOKUP(AE$15,Data_5!$F$10:$BG$42,$A32+2,FALSE)="IE","IE",IF(HLOOKUP(AE$15,Data_5!$F$10:$BG$42,$A32+2,FALSE)="NE","NE",IF(HLOOKUP(AE$15,Data_5!$F$10:$BG$42,$A32+2,FALSE)="C","C",IF(HLOOKUP(AE$15,Data_5!$F$10:$BG$42,$A32+2,FALSE)="NO","NO",HLOOKUP(AE$15,Data_5!$F$10:$BG$42,$A32+2,FALSE)/Data_5!$BH27))))),"")</f>
        <v>NO</v>
      </c>
      <c r="AF32" s="1122" t="str">
        <f>IFERROR(IF(HLOOKUP(AF$15,Data_5!$F$10:$BG$42,$A32+2,FALSE)="NO","NO",IF(HLOOKUP(AF$15,Data_5!$F$10:$BG$42,$A32+2,FALSE)="IE","IE",IF(HLOOKUP(AF$15,Data_5!$F$10:$BG$42,$A32+2,FALSE)="NE","NE",IF(HLOOKUP(AF$15,Data_5!$F$10:$BG$42,$A32+2,FALSE)="C","C",IF(HLOOKUP(AF$15,Data_5!$F$10:$BG$42,$A32+2,FALSE)="NO","NO",HLOOKUP(AF$15,Data_5!$F$10:$BG$42,$A32+2,FALSE)/Data_5!$BH27))))),"")</f>
        <v>NO</v>
      </c>
      <c r="AG32" s="1122" t="str">
        <f>IFERROR(IF(HLOOKUP(AG$15,Data_5!$F$10:$BG$42,$A32+2,FALSE)="NO","NO",IF(HLOOKUP(AG$15,Data_5!$F$10:$BG$42,$A32+2,FALSE)="IE","IE",IF(HLOOKUP(AG$15,Data_5!$F$10:$BG$42,$A32+2,FALSE)="NE","NE",IF(HLOOKUP(AG$15,Data_5!$F$10:$BG$42,$A32+2,FALSE)="C","C",IF(HLOOKUP(AG$15,Data_5!$F$10:$BG$42,$A32+2,FALSE)="NO","NO",HLOOKUP(AG$15,Data_5!$F$10:$BG$42,$A32+2,FALSE)/Data_5!$BH27))))),"")</f>
        <v>NO</v>
      </c>
      <c r="AH32" s="1122">
        <f>IFERROR(IF(HLOOKUP(AH$15,Data_5!$F$10:$BG$42,$A32+2,FALSE)="NO","NO",IF(HLOOKUP(AH$15,Data_5!$F$10:$BG$42,$A32+2,FALSE)="IE","IE",IF(HLOOKUP(AH$15,Data_5!$F$10:$BG$42,$A32+2,FALSE)="NE","NE",IF(HLOOKUP(AH$15,Data_5!$F$10:$BG$42,$A32+2,FALSE)="C","C",IF(HLOOKUP(AH$15,Data_5!$F$10:$BG$42,$A32+2,FALSE)="NO","NO",HLOOKUP(AH$15,Data_5!$F$10:$BG$42,$A32+2,FALSE)/Data_5!$BH27))))),"")</f>
        <v>3.1661738560815134E-3</v>
      </c>
      <c r="AI32" s="1122">
        <f>IFERROR(IF(HLOOKUP(AI$15,Data_5!$F$10:$BG$42,$A32+2,FALSE)="NO","NO",IF(HLOOKUP(AI$15,Data_5!$F$10:$BG$42,$A32+2,FALSE)="IE","IE",IF(HLOOKUP(AI$15,Data_5!$F$10:$BG$42,$A32+2,FALSE)="NE","NE",IF(HLOOKUP(AI$15,Data_5!$F$10:$BG$42,$A32+2,FALSE)="C","C",IF(HLOOKUP(AI$15,Data_5!$F$10:$BG$42,$A32+2,FALSE)="NO","NO",HLOOKUP(AI$15,Data_5!$F$10:$BG$42,$A32+2,FALSE)/Data_5!$BH27))))),"")</f>
        <v>4.2360761232861904E-3</v>
      </c>
      <c r="AJ32" s="1122" t="str">
        <f>IFERROR(IF(HLOOKUP(AJ$15,Data_5!$F$10:$BG$42,$A32+2,FALSE)="NO","NO",IF(HLOOKUP(AJ$15,Data_5!$F$10:$BG$42,$A32+2,FALSE)="IE","IE",IF(HLOOKUP(AJ$15,Data_5!$F$10:$BG$42,$A32+2,FALSE)="NE","NE",IF(HLOOKUP(AJ$15,Data_5!$F$10:$BG$42,$A32+2,FALSE)="C","C",IF(HLOOKUP(AJ$15,Data_5!$F$10:$BG$42,$A32+2,FALSE)="NO","NO",HLOOKUP(AJ$15,Data_5!$F$10:$BG$42,$A32+2,FALSE)/Data_5!$BH27))))),"")</f>
        <v>NO</v>
      </c>
      <c r="AL32" s="2628" t="str">
        <f t="shared" si="0"/>
        <v>New York City</v>
      </c>
      <c r="AM32" s="2629"/>
      <c r="AN32" s="1100">
        <f t="shared" si="1"/>
        <v>2014</v>
      </c>
      <c r="AO32" s="1122" t="str">
        <f>IFERROR(IF(VLOOKUP($AL32,Data_5!$B$12:$E$42,4,FALSE)="BASIC","",(IF(HLOOKUP(AO$15,Data_5!$F$10:$BG$42,$A32+2,FALSE)="NO","NO",IF(HLOOKUP(AO$15,Data_5!$F$10:$BG$42,$A32+2,FALSE)="IE","IE",IF(HLOOKUP(AO$15,Data_5!$F$10:$BG$42,$A32+2,FALSE)="NE","NE",IF(HLOOKUP(AO$15,Data_5!$F$10:$BG$42,$A32+2,FALSE)="C","C",IF(HLOOKUP(AO$15,Data_5!$F$10:$BG$42,$A32+2,FALSE)="NO","NO",HLOOKUP(AO$15,Data_5!$F$10:$BG$42,$A32+2,FALSE)/Data_5!$BI27))))))),"")</f>
        <v/>
      </c>
      <c r="AP32" s="1122" t="str">
        <f>IFERROR(IF(VLOOKUP($AL32,Data_5!$B$12:$E$42,4,FALSE)="BASIC","",(IF(HLOOKUP(AP$15,Data_5!$F$10:$BG$42,$A32+2,FALSE)="NO","NO",IF(HLOOKUP(AP$15,Data_5!$F$10:$BG$42,$A32+2,FALSE)="IE","IE",IF(HLOOKUP(AP$15,Data_5!$F$10:$BG$42,$A32+2,FALSE)="NE","NE",IF(HLOOKUP(AP$15,Data_5!$F$10:$BG$42,$A32+2,FALSE)="C","C",IF(HLOOKUP(AP$15,Data_5!$F$10:$BG$42,$A32+2,FALSE)="NO","NO",HLOOKUP(AP$15,Data_5!$F$10:$BG$42,$A32+2,FALSE)/Data_5!$BI27))))))),"")</f>
        <v/>
      </c>
      <c r="AQ32" s="1122" t="str">
        <f>IFERROR(IF(VLOOKUP($AL32,Data_5!$B$12:$E$42,4,FALSE)="BASIC","",(IF(HLOOKUP(AQ$15,Data_5!$F$10:$BG$42,$A32+2,FALSE)="NO","NO",IF(HLOOKUP(AQ$15,Data_5!$F$10:$BG$42,$A32+2,FALSE)="IE","IE",IF(HLOOKUP(AQ$15,Data_5!$F$10:$BG$42,$A32+2,FALSE)="NE","NE",IF(HLOOKUP(AQ$15,Data_5!$F$10:$BG$42,$A32+2,FALSE)="C","C",IF(HLOOKUP(AQ$15,Data_5!$F$10:$BG$42,$A32+2,FALSE)="NO","NO",HLOOKUP(AQ$15,Data_5!$F$10:$BG$42,$A32+2,FALSE)/Data_5!$BI27))))))),"")</f>
        <v/>
      </c>
      <c r="AR32" s="1122" t="str">
        <f>IFERROR(IF(VLOOKUP($AL32,Data_5!$B$12:$E$42,4,FALSE)="BASIC","",(IF(HLOOKUP(AR$15,Data_5!$F$10:$BG$42,$A32+2,FALSE)="NO","NO",IF(HLOOKUP(AR$15,Data_5!$F$10:$BG$42,$A32+2,FALSE)="IE","IE",IF(HLOOKUP(AR$15,Data_5!$F$10:$BG$42,$A32+2,FALSE)="NE","NE",IF(HLOOKUP(AR$15,Data_5!$F$10:$BG$42,$A32+2,FALSE)="C","C",IF(HLOOKUP(AR$15,Data_5!$F$10:$BG$42,$A32+2,FALSE)="NO","NO",HLOOKUP(AR$15,Data_5!$F$10:$BG$42,$A32+2,FALSE)/Data_5!$BI27))))))),"")</f>
        <v/>
      </c>
      <c r="AS32" s="1122" t="str">
        <f>IFERROR(IF(VLOOKUP($AL32,Data_5!$B$12:$E$42,4,FALSE)="BASIC","",(IF(HLOOKUP(AS$15,Data_5!$F$10:$BG$42,$A32+2,FALSE)="NO","NO",IF(HLOOKUP(AS$15,Data_5!$F$10:$BG$42,$A32+2,FALSE)="IE","IE",IF(HLOOKUP(AS$15,Data_5!$F$10:$BG$42,$A32+2,FALSE)="NE","NE",IF(HLOOKUP(AS$15,Data_5!$F$10:$BG$42,$A32+2,FALSE)="C","C",IF(HLOOKUP(AS$15,Data_5!$F$10:$BG$42,$A32+2,FALSE)="NO","NO",HLOOKUP(AS$15,Data_5!$F$10:$BG$42,$A32+2,FALSE)/Data_5!$BI27))))))),"")</f>
        <v/>
      </c>
      <c r="AT32" s="1122" t="str">
        <f>IFERROR(IF(VLOOKUP($AL32,Data_5!$B$12:$E$42,4,FALSE)="BASIC","",(IF(HLOOKUP(AT$15,Data_5!$F$10:$BG$42,$A32+2,FALSE)="NO","NO",IF(HLOOKUP(AT$15,Data_5!$F$10:$BG$42,$A32+2,FALSE)="IE","IE",IF(HLOOKUP(AT$15,Data_5!$F$10:$BG$42,$A32+2,FALSE)="NE","NE",IF(HLOOKUP(AT$15,Data_5!$F$10:$BG$42,$A32+2,FALSE)="C","C",IF(HLOOKUP(AT$15,Data_5!$F$10:$BG$42,$A32+2,FALSE)="NO","NO",HLOOKUP(AT$15,Data_5!$F$10:$BG$42,$A32+2,FALSE)/Data_5!$BI27))))))),"")</f>
        <v/>
      </c>
      <c r="AU32" s="1122" t="str">
        <f>IFERROR(IF(VLOOKUP($AL32,Data_5!$B$12:$E$42,4,FALSE)="BASIC","",(IF(HLOOKUP(AU$15,Data_5!$F$10:$BG$42,$A32+2,FALSE)="NO","NO",IF(HLOOKUP(AU$15,Data_5!$F$10:$BG$42,$A32+2,FALSE)="IE","IE",IF(HLOOKUP(AU$15,Data_5!$F$10:$BG$42,$A32+2,FALSE)="NE","NE",IF(HLOOKUP(AU$15,Data_5!$F$10:$BG$42,$A32+2,FALSE)="C","C",IF(HLOOKUP(AU$15,Data_5!$F$10:$BG$42,$A32+2,FALSE)="NO","NO",HLOOKUP(AU$15,Data_5!$F$10:$BG$42,$A32+2,FALSE)/Data_5!$BI27))))))),"")</f>
        <v/>
      </c>
      <c r="AV32" s="1122" t="str">
        <f>IFERROR(IF(VLOOKUP($AL32,Data_5!$B$12:$E$42,4,FALSE)="BASIC","",(IF(HLOOKUP(AV$15,Data_5!$F$10:$BG$42,$A32+2,FALSE)="NO","NO",IF(HLOOKUP(AV$15,Data_5!$F$10:$BG$42,$A32+2,FALSE)="IE","IE",IF(HLOOKUP(AV$15,Data_5!$F$10:$BG$42,$A32+2,FALSE)="NE","NE",IF(HLOOKUP(AV$15,Data_5!$F$10:$BG$42,$A32+2,FALSE)="C","C",IF(HLOOKUP(AV$15,Data_5!$F$10:$BG$42,$A32+2,FALSE)="NO","NO",HLOOKUP(AV$15,Data_5!$F$10:$BG$42,$A32+2,FALSE)/Data_5!$BI27))))))),"")</f>
        <v/>
      </c>
      <c r="AW32" s="1122" t="str">
        <f>IFERROR(IF(VLOOKUP($AL32,Data_5!$B$12:$E$42,4,FALSE)="BASIC","",(IF(HLOOKUP(AW$15,Data_5!$F$10:$BG$42,$A32+2,FALSE)="NO","NO",IF(HLOOKUP(AW$15,Data_5!$F$10:$BG$42,$A32+2,FALSE)="IE","IE",IF(HLOOKUP(AW$15,Data_5!$F$10:$BG$42,$A32+2,FALSE)="NE","NE",IF(HLOOKUP(AW$15,Data_5!$F$10:$BG$42,$A32+2,FALSE)="C","C",IF(HLOOKUP(AW$15,Data_5!$F$10:$BG$42,$A32+2,FALSE)="NO","NO",HLOOKUP(AW$15,Data_5!$F$10:$BG$42,$A32+2,FALSE)/Data_5!$BI27))))))),"")</f>
        <v/>
      </c>
      <c r="AX32" s="1122" t="str">
        <f>IFERROR(IF(VLOOKUP($AL32,Data_5!$B$12:$E$42,4,FALSE)="BASIC","",(IF(HLOOKUP(AX$15,Data_5!$F$10:$BG$42,$A32+2,FALSE)="NO","NO",IF(HLOOKUP(AX$15,Data_5!$F$10:$BG$42,$A32+2,FALSE)="IE","IE",IF(HLOOKUP(AX$15,Data_5!$F$10:$BG$42,$A32+2,FALSE)="NE","NE",IF(HLOOKUP(AX$15,Data_5!$F$10:$BG$42,$A32+2,FALSE)="C","C",IF(HLOOKUP(AX$15,Data_5!$F$10:$BG$42,$A32+2,FALSE)="NO","NO",HLOOKUP(AX$15,Data_5!$F$10:$BG$42,$A32+2,FALSE)/Data_5!$BI27))))))),"")</f>
        <v/>
      </c>
      <c r="AY32" s="1122" t="str">
        <f>IFERROR(IF(VLOOKUP($AL32,Data_5!$B$12:$E$42,4,FALSE)="BASIC","",(IF(HLOOKUP(AY$15,Data_5!$F$10:$BG$42,$A32+2,FALSE)="NO","NO",IF(HLOOKUP(AY$15,Data_5!$F$10:$BG$42,$A32+2,FALSE)="IE","IE",IF(HLOOKUP(AY$15,Data_5!$F$10:$BG$42,$A32+2,FALSE)="NE","NE",IF(HLOOKUP(AY$15,Data_5!$F$10:$BG$42,$A32+2,FALSE)="C","C",IF(HLOOKUP(AY$15,Data_5!$F$10:$BG$42,$A32+2,FALSE)="NO","NO",HLOOKUP(AY$15,Data_5!$F$10:$BG$42,$A32+2,FALSE)/Data_5!$BI27))))))),"")</f>
        <v/>
      </c>
      <c r="AZ32" s="1122" t="str">
        <f>IFERROR(IF(VLOOKUP($AL32,Data_5!$B$12:$E$42,4,FALSE)="BASIC","",(IF(HLOOKUP(AZ$15,Data_5!$F$10:$BG$42,$A32+2,FALSE)="NO","NO",IF(HLOOKUP(AZ$15,Data_5!$F$10:$BG$42,$A32+2,FALSE)="IE","IE",IF(HLOOKUP(AZ$15,Data_5!$F$10:$BG$42,$A32+2,FALSE)="NE","NE",IF(HLOOKUP(AZ$15,Data_5!$F$10:$BG$42,$A32+2,FALSE)="C","C",IF(HLOOKUP(AZ$15,Data_5!$F$10:$BG$42,$A32+2,FALSE)="NO","NO",HLOOKUP(AZ$15,Data_5!$F$10:$BG$42,$A32+2,FALSE)/Data_5!$BI27))))))),"")</f>
        <v/>
      </c>
      <c r="BA32" s="1122" t="str">
        <f>IFERROR(IF(VLOOKUP($AL32,Data_5!$B$12:$E$42,4,FALSE)="BASIC","",(IF(HLOOKUP(BA$15,Data_5!$F$10:$BG$42,$A32+2,FALSE)="NO","NO",IF(HLOOKUP(BA$15,Data_5!$F$10:$BG$42,$A32+2,FALSE)="IE","IE",IF(HLOOKUP(BA$15,Data_5!$F$10:$BG$42,$A32+2,FALSE)="NE","NE",IF(HLOOKUP(BA$15,Data_5!$F$10:$BG$42,$A32+2,FALSE)="C","C",IF(HLOOKUP(BA$15,Data_5!$F$10:$BG$42,$A32+2,FALSE)="NO","NO",HLOOKUP(BA$15,Data_5!$F$10:$BG$42,$A32+2,FALSE)/Data_5!$BI27))))))),"")</f>
        <v/>
      </c>
      <c r="BB32" s="1122" t="str">
        <f>IFERROR(IF(VLOOKUP($AL32,Data_5!$B$12:$E$42,4,FALSE)="BASIC","",(IF(HLOOKUP(BB$15,Data_5!$F$10:$BG$42,$A32+2,FALSE)="NO","NO",IF(HLOOKUP(BB$15,Data_5!$F$10:$BG$42,$A32+2,FALSE)="IE","IE",IF(HLOOKUP(BB$15,Data_5!$F$10:$BG$42,$A32+2,FALSE)="NE","NE",IF(HLOOKUP(BB$15,Data_5!$F$10:$BG$42,$A32+2,FALSE)="C","C",IF(HLOOKUP(BB$15,Data_5!$F$10:$BG$42,$A32+2,FALSE)="NO","NO",HLOOKUP(BB$15,Data_5!$F$10:$BG$42,$A32+2,FALSE)/Data_5!$BI27))))))),"")</f>
        <v/>
      </c>
      <c r="BC32" s="1122" t="str">
        <f>IFERROR(IF(VLOOKUP($AL32,Data_5!$B$12:$E$42,4,FALSE)="BASIC","",(IF(HLOOKUP(BC$15,Data_5!$F$10:$BG$42,$A32+2,FALSE)="NO","NO",IF(HLOOKUP(BC$15,Data_5!$F$10:$BG$42,$A32+2,FALSE)="IE","IE",IF(HLOOKUP(BC$15,Data_5!$F$10:$BG$42,$A32+2,FALSE)="NE","NE",IF(HLOOKUP(BC$15,Data_5!$F$10:$BG$42,$A32+2,FALSE)="C","C",IF(HLOOKUP(BC$15,Data_5!$F$10:$BG$42,$A32+2,FALSE)="NO","NO",HLOOKUP(BC$15,Data_5!$F$10:$BG$42,$A32+2,FALSE)/Data_5!$BI27))))))),"")</f>
        <v/>
      </c>
      <c r="BD32" s="1122" t="str">
        <f>IFERROR(IF(VLOOKUP($AL32,Data_5!$B$12:$E$42,4,FALSE)="BASIC","",(IF(HLOOKUP(BD$15,Data_5!$F$10:$BG$42,$A32+2,FALSE)="NO","NO",IF(HLOOKUP(BD$15,Data_5!$F$10:$BG$42,$A32+2,FALSE)="IE","IE",IF(HLOOKUP(BD$15,Data_5!$F$10:$BG$42,$A32+2,FALSE)="NE","NE",IF(HLOOKUP(BD$15,Data_5!$F$10:$BG$42,$A32+2,FALSE)="C","C",IF(HLOOKUP(BD$15,Data_5!$F$10:$BG$42,$A32+2,FALSE)="NO","NO",HLOOKUP(BD$15,Data_5!$F$10:$BG$42,$A32+2,FALSE)/Data_5!$BI27))))))),"")</f>
        <v/>
      </c>
      <c r="BE32" s="1122" t="str">
        <f>IFERROR(IF(VLOOKUP($AL32,Data_5!$B$12:$E$42,4,FALSE)="BASIC","",(IF(HLOOKUP(BE$15,Data_5!$F$10:$BG$42,$A32+2,FALSE)="NO","NO",IF(HLOOKUP(BE$15,Data_5!$F$10:$BG$42,$A32+2,FALSE)="IE","IE",IF(HLOOKUP(BE$15,Data_5!$F$10:$BG$42,$A32+2,FALSE)="NE","NE",IF(HLOOKUP(BE$15,Data_5!$F$10:$BG$42,$A32+2,FALSE)="C","C",IF(HLOOKUP(BE$15,Data_5!$F$10:$BG$42,$A32+2,FALSE)="NO","NO",HLOOKUP(BE$15,Data_5!$F$10:$BG$42,$A32+2,FALSE)/Data_5!$BI27))))))),"")</f>
        <v/>
      </c>
      <c r="BF32" s="1122" t="str">
        <f>IFERROR(IF(VLOOKUP($AL32,Data_5!$B$12:$E$42,4,FALSE)="BASIC","",(IF(HLOOKUP(BF$15,Data_5!$F$10:$BG$42,$A32+2,FALSE)="NO","NO",IF(HLOOKUP(BF$15,Data_5!$F$10:$BG$42,$A32+2,FALSE)="IE","IE",IF(HLOOKUP(BF$15,Data_5!$F$10:$BG$42,$A32+2,FALSE)="NE","NE",IF(HLOOKUP(BF$15,Data_5!$F$10:$BG$42,$A32+2,FALSE)="C","C",IF(HLOOKUP(BF$15,Data_5!$F$10:$BG$42,$A32+2,FALSE)="NO","NO",HLOOKUP(BF$15,Data_5!$F$10:$BG$42,$A32+2,FALSE)/Data_5!$BI27))))))),"")</f>
        <v/>
      </c>
      <c r="BG32" s="1122" t="str">
        <f>IFERROR(IF(VLOOKUP($AL32,Data_5!$B$12:$E$42,4,FALSE)="BASIC","",(IF(HLOOKUP(BG$15,Data_5!$F$10:$BG$42,$A32+2,FALSE)="NO","NO",IF(HLOOKUP(BG$15,Data_5!$F$10:$BG$42,$A32+2,FALSE)="IE","IE",IF(HLOOKUP(BG$15,Data_5!$F$10:$BG$42,$A32+2,FALSE)="NE","NE",IF(HLOOKUP(BG$15,Data_5!$F$10:$BG$42,$A32+2,FALSE)="C","C",IF(HLOOKUP(BG$15,Data_5!$F$10:$BG$42,$A32+2,FALSE)="NO","NO",HLOOKUP(BG$15,Data_5!$F$10:$BG$42,$A32+2,FALSE)/Data_5!$BI27))))))),"")</f>
        <v/>
      </c>
      <c r="BH32" s="1122" t="str">
        <f>IFERROR(IF(VLOOKUP($AL32,Data_5!$B$12:$E$42,4,FALSE)="BASIC","",(IF(HLOOKUP(BH$15,Data_5!$F$10:$BG$42,$A32+2,FALSE)="NO","NO",IF(HLOOKUP(BH$15,Data_5!$F$10:$BG$42,$A32+2,FALSE)="IE","IE",IF(HLOOKUP(BH$15,Data_5!$F$10:$BG$42,$A32+2,FALSE)="NE","NE",IF(HLOOKUP(BH$15,Data_5!$F$10:$BG$42,$A32+2,FALSE)="C","C",IF(HLOOKUP(BH$15,Data_5!$F$10:$BG$42,$A32+2,FALSE)="NO","NO",HLOOKUP(BH$15,Data_5!$F$10:$BG$42,$A32+2,FALSE)/Data_5!$BI27))))))),"")</f>
        <v/>
      </c>
      <c r="BI32" s="1122" t="str">
        <f>IFERROR(IF(VLOOKUP($AL32,Data_5!$B$12:$E$42,4,FALSE)="BASIC","",(IF(HLOOKUP(BI$15,Data_5!$F$10:$BG$42,$A32+2,FALSE)="NO","NO",IF(HLOOKUP(BI$15,Data_5!$F$10:$BG$42,$A32+2,FALSE)="IE","IE",IF(HLOOKUP(BI$15,Data_5!$F$10:$BG$42,$A32+2,FALSE)="NE","NE",IF(HLOOKUP(BI$15,Data_5!$F$10:$BG$42,$A32+2,FALSE)="C","C",IF(HLOOKUP(BI$15,Data_5!$F$10:$BG$42,$A32+2,FALSE)="NO","NO",HLOOKUP(BI$15,Data_5!$F$10:$BG$42,$A32+2,FALSE)/Data_5!$BI27))))))),"")</f>
        <v/>
      </c>
      <c r="BJ32" s="1122" t="str">
        <f>IFERROR(IF(VLOOKUP($AL32,Data_5!$B$12:$E$42,4,FALSE)="BASIC","",(IF(HLOOKUP(BJ$15,Data_5!$F$10:$BG$42,$A32+2,FALSE)="NO","NO",IF(HLOOKUP(BJ$15,Data_5!$F$10:$BG$42,$A32+2,FALSE)="IE","IE",IF(HLOOKUP(BJ$15,Data_5!$F$10:$BG$42,$A32+2,FALSE)="NE","NE",IF(HLOOKUP(BJ$15,Data_5!$F$10:$BG$42,$A32+2,FALSE)="C","C",IF(HLOOKUP(BJ$15,Data_5!$F$10:$BG$42,$A32+2,FALSE)="NO","NO",HLOOKUP(BJ$15,Data_5!$F$10:$BG$42,$A32+2,FALSE)/Data_5!$BI27))))))),"")</f>
        <v/>
      </c>
      <c r="BK32" s="1122" t="str">
        <f>IFERROR(IF(VLOOKUP($AL32,Data_5!$B$12:$E$42,4,FALSE)="BASIC","",(IF(HLOOKUP(BK$15,Data_5!$F$10:$BG$42,$A32+2,FALSE)="NO","NO",IF(HLOOKUP(BK$15,Data_5!$F$10:$BG$42,$A32+2,FALSE)="IE","IE",IF(HLOOKUP(BK$15,Data_5!$F$10:$BG$42,$A32+2,FALSE)="NE","NE",IF(HLOOKUP(BK$15,Data_5!$F$10:$BG$42,$A32+2,FALSE)="C","C",IF(HLOOKUP(BK$15,Data_5!$F$10:$BG$42,$A32+2,FALSE)="NO","NO",HLOOKUP(BK$15,Data_5!$F$10:$BG$42,$A32+2,FALSE)/Data_5!$BI27))))))),"")</f>
        <v/>
      </c>
      <c r="BL32" s="1122" t="str">
        <f>IFERROR(IF(VLOOKUP($AL32,Data_5!$B$12:$E$42,4,FALSE)="BASIC","",(IF(HLOOKUP(BL$15,Data_5!$F$10:$BG$42,$A32+2,FALSE)="NO","NO",IF(HLOOKUP(BL$15,Data_5!$F$10:$BG$42,$A32+2,FALSE)="IE","IE",IF(HLOOKUP(BL$15,Data_5!$F$10:$BG$42,$A32+2,FALSE)="NE","NE",IF(HLOOKUP(BL$15,Data_5!$F$10:$BG$42,$A32+2,FALSE)="C","C",IF(HLOOKUP(BL$15,Data_5!$F$10:$BG$42,$A32+2,FALSE)="NO","NO",HLOOKUP(BL$15,Data_5!$F$10:$BG$42,$A32+2,FALSE)/Data_5!$BI27))))))),"")</f>
        <v/>
      </c>
      <c r="BM32" s="1122" t="str">
        <f>IFERROR(IF(VLOOKUP($AL32,Data_5!$B$12:$E$42,4,FALSE)="BASIC","",(IF(HLOOKUP(BM$15,Data_5!$F$10:$BG$42,$A32+2,FALSE)="NO","NO",IF(HLOOKUP(BM$15,Data_5!$F$10:$BG$42,$A32+2,FALSE)="IE","IE",IF(HLOOKUP(BM$15,Data_5!$F$10:$BG$42,$A32+2,FALSE)="NE","NE",IF(HLOOKUP(BM$15,Data_5!$F$10:$BG$42,$A32+2,FALSE)="C","C",IF(HLOOKUP(BM$15,Data_5!$F$10:$BG$42,$A32+2,FALSE)="NO","NO",HLOOKUP(BM$15,Data_5!$F$10:$BG$42,$A32+2,FALSE)/Data_5!$BI27))))))),"")</f>
        <v/>
      </c>
      <c r="BN32" s="1122" t="str">
        <f>IFERROR(IF(VLOOKUP($AL32,Data_5!$B$12:$E$42,4,FALSE)="BASIC","",(IF(HLOOKUP(BN$15,Data_5!$F$10:$BG$42,$A32+2,FALSE)="NO","NO",IF(HLOOKUP(BN$15,Data_5!$F$10:$BG$42,$A32+2,FALSE)="IE","IE",IF(HLOOKUP(BN$15,Data_5!$F$10:$BG$42,$A32+2,FALSE)="NE","NE",IF(HLOOKUP(BN$15,Data_5!$F$10:$BG$42,$A32+2,FALSE)="C","C",IF(HLOOKUP(BN$15,Data_5!$F$10:$BG$42,$A32+2,FALSE)="NO","NO",HLOOKUP(BN$15,Data_5!$F$10:$BG$42,$A32+2,FALSE)/Data_5!$BI27))))))),"")</f>
        <v/>
      </c>
      <c r="BO32" s="1122" t="str">
        <f>IFERROR(IF(VLOOKUP($AL32,Data_5!$B$12:$E$42,4,FALSE)="BASIC","",(IF(HLOOKUP(BO$15,Data_5!$F$10:$BG$42,$A32+2,FALSE)="NO","NO",IF(HLOOKUP(BO$15,Data_5!$F$10:$BG$42,$A32+2,FALSE)="IE","IE",IF(HLOOKUP(BO$15,Data_5!$F$10:$BG$42,$A32+2,FALSE)="NE","NE",IF(HLOOKUP(BO$15,Data_5!$F$10:$BG$42,$A32+2,FALSE)="C","C",IF(HLOOKUP(BO$15,Data_5!$F$10:$BG$42,$A32+2,FALSE)="NO","NO",HLOOKUP(BO$15,Data_5!$F$10:$BG$42,$A32+2,FALSE)/Data_5!$BI27))))))),"")</f>
        <v/>
      </c>
      <c r="BP32" s="1122" t="str">
        <f>IFERROR(IF(VLOOKUP($AL32,Data_5!$B$12:$E$42,4,FALSE)="BASIC","",(IF(HLOOKUP(BP$15,Data_5!$F$10:$BG$42,$A32+2,FALSE)="NO","NO",IF(HLOOKUP(BP$15,Data_5!$F$10:$BG$42,$A32+2,FALSE)="IE","IE",IF(HLOOKUP(BP$15,Data_5!$F$10:$BG$42,$A32+2,FALSE)="NE","NE",IF(HLOOKUP(BP$15,Data_5!$F$10:$BG$42,$A32+2,FALSE)="C","C",IF(HLOOKUP(BP$15,Data_5!$F$10:$BG$42,$A32+2,FALSE)="NO","NO",HLOOKUP(BP$15,Data_5!$F$10:$BG$42,$A32+2,FALSE)/Data_5!$BI27))))))),"")</f>
        <v/>
      </c>
      <c r="BQ32" s="1122" t="str">
        <f>IFERROR(IF(VLOOKUP($AL32,Data_5!$B$12:$E$42,4,FALSE)="BASIC","",(IF(HLOOKUP(BQ$15,Data_5!$F$10:$BG$42,$A32+2,FALSE)="NO","NO",IF(HLOOKUP(BQ$15,Data_5!$F$10:$BG$42,$A32+2,FALSE)="IE","IE",IF(HLOOKUP(BQ$15,Data_5!$F$10:$BG$42,$A32+2,FALSE)="NE","NE",IF(HLOOKUP(BQ$15,Data_5!$F$10:$BG$42,$A32+2,FALSE)="C","C",IF(HLOOKUP(BQ$15,Data_5!$F$10:$BG$42,$A32+2,FALSE)="NO","NO",HLOOKUP(BQ$15,Data_5!$F$10:$BG$42,$A32+2,FALSE)/Data_5!$BI27))))))),"")</f>
        <v/>
      </c>
      <c r="BR32" s="1122" t="str">
        <f>IFERROR(IF(VLOOKUP($AL32,Data_5!$B$12:$E$42,4,FALSE)="BASIC","",(IF(HLOOKUP(BR$15,Data_5!$F$10:$BG$42,$A32+2,FALSE)="NO","NO",IF(HLOOKUP(BR$15,Data_5!$F$10:$BG$42,$A32+2,FALSE)="IE","IE",IF(HLOOKUP(BR$15,Data_5!$F$10:$BG$42,$A32+2,FALSE)="NE","NE",IF(HLOOKUP(BR$15,Data_5!$F$10:$BG$42,$A32+2,FALSE)="C","C",IF(HLOOKUP(BR$15,Data_5!$F$10:$BG$42,$A32+2,FALSE)="NO","NO",HLOOKUP(BR$15,Data_5!$F$10:$BG$42,$A32+2,FALSE)/Data_5!$BI27))))))),"")</f>
        <v/>
      </c>
      <c r="BS32" s="1122" t="str">
        <f>IFERROR(IF(VLOOKUP($AL32,Data_5!$B$12:$E$42,4,FALSE)="BASIC","",(IF(HLOOKUP(BS$15,Data_5!$F$10:$BG$42,$A32+2,FALSE)="NO","NO",IF(HLOOKUP(BS$15,Data_5!$F$10:$BG$42,$A32+2,FALSE)="IE","IE",IF(HLOOKUP(BS$15,Data_5!$F$10:$BG$42,$A32+2,FALSE)="NE","NE",IF(HLOOKUP(BS$15,Data_5!$F$10:$BG$42,$A32+2,FALSE)="C","C",IF(HLOOKUP(BS$15,Data_5!$F$10:$BG$42,$A32+2,FALSE)="NO","NO",HLOOKUP(BS$15,Data_5!$F$10:$BG$42,$A32+2,FALSE)/Data_5!$BI27))))))),"")</f>
        <v/>
      </c>
      <c r="BT32" s="1122" t="str">
        <f>IFERROR(IF(VLOOKUP($AL32,Data_5!$B$12:$E$42,4,FALSE)="BASIC","",(IF(HLOOKUP(BT$15,Data_5!$F$10:$BG$42,$A32+2,FALSE)="NO","NO",IF(HLOOKUP(BT$15,Data_5!$F$10:$BG$42,$A32+2,FALSE)="IE","IE",IF(HLOOKUP(BT$15,Data_5!$F$10:$BG$42,$A32+2,FALSE)="NE","NE",IF(HLOOKUP(BT$15,Data_5!$F$10:$BG$42,$A32+2,FALSE)="C","C",IF(HLOOKUP(BT$15,Data_5!$F$10:$BG$42,$A32+2,FALSE)="NO","NO",HLOOKUP(BT$15,Data_5!$F$10:$BG$42,$A32+2,FALSE)/Data_5!$BI27))))))),"")</f>
        <v/>
      </c>
      <c r="BU32" s="1122" t="str">
        <f>IFERROR(IF(VLOOKUP($AL32,Data_5!$B$12:$E$42,4,FALSE)="BASIC","",(IF(HLOOKUP(BU$15,Data_5!$F$10:$BG$42,$A32+2,FALSE)="NO","NO",IF(HLOOKUP(BU$15,Data_5!$F$10:$BG$42,$A32+2,FALSE)="IE","IE",IF(HLOOKUP(BU$15,Data_5!$F$10:$BG$42,$A32+2,FALSE)="NE","NE",IF(HLOOKUP(BU$15,Data_5!$F$10:$BG$42,$A32+2,FALSE)="C","C",IF(HLOOKUP(BU$15,Data_5!$F$10:$BG$42,$A32+2,FALSE)="NO","NO",HLOOKUP(BU$15,Data_5!$F$10:$BG$42,$A32+2,FALSE)/Data_5!$BI27))))))),"")</f>
        <v/>
      </c>
      <c r="BV32" s="1122" t="str">
        <f>IFERROR(IF(VLOOKUP($AL32,Data_5!$B$12:$E$42,4,FALSE)="BASIC","",(IF(HLOOKUP(BV$15,Data_5!$F$10:$BG$42,$A32+2,FALSE)="NO","NO",IF(HLOOKUP(BV$15,Data_5!$F$10:$BG$42,$A32+2,FALSE)="IE","IE",IF(HLOOKUP(BV$15,Data_5!$F$10:$BG$42,$A32+2,FALSE)="NE","NE",IF(HLOOKUP(BV$15,Data_5!$F$10:$BG$42,$A32+2,FALSE)="C","C",IF(HLOOKUP(BV$15,Data_5!$F$10:$BG$42,$A32+2,FALSE)="NO","NO",HLOOKUP(BV$15,Data_5!$F$10:$BG$42,$A32+2,FALSE)/Data_5!$BI27))))))),"")</f>
        <v/>
      </c>
      <c r="BW32" s="1122" t="str">
        <f>IFERROR(IF(VLOOKUP($AL32,Data_5!$B$12:$E$42,4,FALSE)="BASIC","",(IF(HLOOKUP(BW$15,Data_5!$F$10:$BG$42,$A32+2,FALSE)="NO","NO",IF(HLOOKUP(BW$15,Data_5!$F$10:$BG$42,$A32+2,FALSE)="IE","IE",IF(HLOOKUP(BW$15,Data_5!$F$10:$BG$42,$A32+2,FALSE)="NE","NE",IF(HLOOKUP(BW$15,Data_5!$F$10:$BG$42,$A32+2,FALSE)="C","C",IF(HLOOKUP(BW$15,Data_5!$F$10:$BG$42,$A32+2,FALSE)="NO","NO",HLOOKUP(BW$15,Data_5!$F$10:$BG$42,$A32+2,FALSE)/Data_5!$BI27))))))),"")</f>
        <v/>
      </c>
      <c r="BX32" s="1122" t="str">
        <f>IFERROR(IF(VLOOKUP($AL32,Data_5!$B$12:$E$42,4,FALSE)="BASIC","",(IF(HLOOKUP(BX$15,Data_5!$F$10:$BG$42,$A32+2,FALSE)="NO","NO",IF(HLOOKUP(BX$15,Data_5!$F$10:$BG$42,$A32+2,FALSE)="IE","IE",IF(HLOOKUP(BX$15,Data_5!$F$10:$BG$42,$A32+2,FALSE)="NE","NE",IF(HLOOKUP(BX$15,Data_5!$F$10:$BG$42,$A32+2,FALSE)="C","C",IF(HLOOKUP(BX$15,Data_5!$F$10:$BG$42,$A32+2,FALSE)="NO","NO",HLOOKUP(BX$15,Data_5!$F$10:$BG$42,$A32+2,FALSE)/Data_5!$BI27))))))),"")</f>
        <v/>
      </c>
      <c r="BY32" s="1122" t="str">
        <f>IFERROR(IF(VLOOKUP($AL32,Data_5!$B$12:$E$42,4,FALSE)="BASIC","",(IF(HLOOKUP(BY$15,Data_5!$F$10:$BG$42,$A32+2,FALSE)="NO","NO",IF(HLOOKUP(BY$15,Data_5!$F$10:$BG$42,$A32+2,FALSE)="IE","IE",IF(HLOOKUP(BY$15,Data_5!$F$10:$BG$42,$A32+2,FALSE)="NE","NE",IF(HLOOKUP(BY$15,Data_5!$F$10:$BG$42,$A32+2,FALSE)="C","C",IF(HLOOKUP(BY$15,Data_5!$F$10:$BG$42,$A32+2,FALSE)="NO","NO",HLOOKUP(BY$15,Data_5!$F$10:$BG$42,$A32+2,FALSE)/Data_5!$BI27))))))),"")</f>
        <v/>
      </c>
      <c r="BZ32" s="1122" t="str">
        <f>IFERROR(IF(VLOOKUP($AL32,Data_5!$B$12:$E$42,4,FALSE)="BASIC","",(IF(HLOOKUP(BZ$15,Data_5!$F$10:$BG$42,$A32+2,FALSE)="NO","NO",IF(HLOOKUP(BZ$15,Data_5!$F$10:$BG$42,$A32+2,FALSE)="IE","IE",IF(HLOOKUP(BZ$15,Data_5!$F$10:$BG$42,$A32+2,FALSE)="NE","NE",IF(HLOOKUP(BZ$15,Data_5!$F$10:$BG$42,$A32+2,FALSE)="C","C",IF(HLOOKUP(BZ$15,Data_5!$F$10:$BG$42,$A32+2,FALSE)="NO","NO",HLOOKUP(BZ$15,Data_5!$F$10:$BG$42,$A32+2,FALSE)/Data_5!$BI27))))))),"")</f>
        <v/>
      </c>
      <c r="CA32" s="1122" t="str">
        <f>IFERROR(IF(VLOOKUP($AL32,Data_5!$B$12:$E$42,4,FALSE)="BASIC","",(IF(HLOOKUP(CA$15,Data_5!$F$10:$BG$42,$A32+2,FALSE)="NO","NO",IF(HLOOKUP(CA$15,Data_5!$F$10:$BG$42,$A32+2,FALSE)="IE","IE",IF(HLOOKUP(CA$15,Data_5!$F$10:$BG$42,$A32+2,FALSE)="NE","NE",IF(HLOOKUP(CA$15,Data_5!$F$10:$BG$42,$A32+2,FALSE)="C","C",IF(HLOOKUP(CA$15,Data_5!$F$10:$BG$42,$A32+2,FALSE)="NO","NO",HLOOKUP(CA$15,Data_5!$F$10:$BG$42,$A32+2,FALSE)/Data_5!$BI27))))))),"")</f>
        <v/>
      </c>
      <c r="CB32" s="1122" t="str">
        <f>IFERROR(IF(VLOOKUP($AL32,Data_5!$B$12:$E$42,4,FALSE)="BASIC","",(IF(HLOOKUP(CB$15,Data_5!$F$10:$BG$42,$A32+2,FALSE)="NO","NO",IF(HLOOKUP(CB$15,Data_5!$F$10:$BG$42,$A32+2,FALSE)="IE","IE",IF(HLOOKUP(CB$15,Data_5!$F$10:$BG$42,$A32+2,FALSE)="NE","NE",IF(HLOOKUP(CB$15,Data_5!$F$10:$BG$42,$A32+2,FALSE)="C","C",IF(HLOOKUP(CB$15,Data_5!$F$10:$BG$42,$A32+2,FALSE)="NO","NO",HLOOKUP(CB$15,Data_5!$F$10:$BG$42,$A32+2,FALSE)/Data_5!$BI27))))))),"")</f>
        <v/>
      </c>
      <c r="CC32" s="1122" t="str">
        <f>IFERROR(IF(VLOOKUP($AL32,Data_5!$B$12:$E$42,4,FALSE)="BASIC","",(IF(HLOOKUP(CC$15,Data_5!$F$10:$BG$42,$A32+2,FALSE)="NO","NO",IF(HLOOKUP(CC$15,Data_5!$F$10:$BG$42,$A32+2,FALSE)="IE","IE",IF(HLOOKUP(CC$15,Data_5!$F$10:$BG$42,$A32+2,FALSE)="NE","NE",IF(HLOOKUP(CC$15,Data_5!$F$10:$BG$42,$A32+2,FALSE)="C","C",IF(HLOOKUP(CC$15,Data_5!$F$10:$BG$42,$A32+2,FALSE)="NO","NO",HLOOKUP(CC$15,Data_5!$F$10:$BG$42,$A32+2,FALSE)/Data_5!$BI27))))))),"")</f>
        <v/>
      </c>
      <c r="CD32" s="1122" t="str">
        <f>IFERROR(IF(VLOOKUP($AL32,Data_5!$B$12:$E$42,4,FALSE)="BASIC","",(IF(HLOOKUP(CD$15,Data_5!$F$10:$BG$42,$A32+2,FALSE)="NO","NO",IF(HLOOKUP(CD$15,Data_5!$F$10:$BG$42,$A32+2,FALSE)="IE","IE",IF(HLOOKUP(CD$15,Data_5!$F$10:$BG$42,$A32+2,FALSE)="NE","NE",IF(HLOOKUP(CD$15,Data_5!$F$10:$BG$42,$A32+2,FALSE)="C","C",IF(HLOOKUP(CD$15,Data_5!$F$10:$BG$42,$A32+2,FALSE)="NO","NO",HLOOKUP(CD$15,Data_5!$F$10:$BG$42,$A32+2,FALSE)/Data_5!$BI27))))))),"")</f>
        <v/>
      </c>
      <c r="CE32" s="1122" t="str">
        <f>IFERROR(IF(VLOOKUP($AL32,Data_5!$B$12:$E$42,4,FALSE)="BASIC","",(IF(HLOOKUP(CE$15,Data_5!$F$10:$BG$42,$A32+2,FALSE)="NO","NO",IF(HLOOKUP(CE$15,Data_5!$F$10:$BG$42,$A32+2,FALSE)="IE","IE",IF(HLOOKUP(CE$15,Data_5!$F$10:$BG$42,$A32+2,FALSE)="NE","NE",IF(HLOOKUP(CE$15,Data_5!$F$10:$BG$42,$A32+2,FALSE)="C","C",IF(HLOOKUP(CE$15,Data_5!$F$10:$BG$42,$A32+2,FALSE)="NO","NO",HLOOKUP(CE$15,Data_5!$F$10:$BG$42,$A32+2,FALSE)/Data_5!$BI27))))))),"")</f>
        <v/>
      </c>
      <c r="CF32" s="1122" t="str">
        <f>IFERROR(IF(VLOOKUP($AL32,Data_5!$B$12:$E$42,4,FALSE)="BASIC","",(IF(HLOOKUP(CF$15,Data_5!$F$10:$BG$42,$A32+2,FALSE)="NO","NO",IF(HLOOKUP(CF$15,Data_5!$F$10:$BG$42,$A32+2,FALSE)="IE","IE",IF(HLOOKUP(CF$15,Data_5!$F$10:$BG$42,$A32+2,FALSE)="NE","NE",IF(HLOOKUP(CF$15,Data_5!$F$10:$BG$42,$A32+2,FALSE)="C","C",IF(HLOOKUP(CF$15,Data_5!$F$10:$BG$42,$A32+2,FALSE)="NO","NO",HLOOKUP(CF$15,Data_5!$F$10:$BG$42,$A32+2,FALSE)/Data_5!$BI27))))))),"")</f>
        <v/>
      </c>
      <c r="CG32" s="1122" t="str">
        <f>IFERROR(IF(VLOOKUP($AL32,Data_5!$B$12:$E$42,4,FALSE)="BASIC","",(IF(HLOOKUP(CG$15,Data_5!$F$10:$BG$42,$A32+2,FALSE)="NO","NO",IF(HLOOKUP(CG$15,Data_5!$F$10:$BG$42,$A32+2,FALSE)="IE","IE",IF(HLOOKUP(CG$15,Data_5!$F$10:$BG$42,$A32+2,FALSE)="NE","NE",IF(HLOOKUP(CG$15,Data_5!$F$10:$BG$42,$A32+2,FALSE)="C","C",IF(HLOOKUP(CG$15,Data_5!$F$10:$BG$42,$A32+2,FALSE)="NO","NO",HLOOKUP(CG$15,Data_5!$F$10:$BG$42,$A32+2,FALSE)/Data_5!$BI27))))))),"")</f>
        <v/>
      </c>
      <c r="CH32" s="1122" t="str">
        <f>IFERROR(IF(VLOOKUP($AL32,Data_5!$B$12:$E$42,4,FALSE)="BASIC","",(IF(HLOOKUP(CH$15,Data_5!$F$10:$BG$42,$A32+2,FALSE)="NO","NO",IF(HLOOKUP(CH$15,Data_5!$F$10:$BG$42,$A32+2,FALSE)="IE","IE",IF(HLOOKUP(CH$15,Data_5!$F$10:$BG$42,$A32+2,FALSE)="NE","NE",IF(HLOOKUP(CH$15,Data_5!$F$10:$BG$42,$A32+2,FALSE)="C","C",IF(HLOOKUP(CH$15,Data_5!$F$10:$BG$42,$A32+2,FALSE)="NO","NO",HLOOKUP(CH$15,Data_5!$F$10:$BG$42,$A32+2,FALSE)/Data_5!$BI27))))))),"")</f>
        <v/>
      </c>
      <c r="CI32" s="1122" t="str">
        <f>IFERROR(IF(VLOOKUP($AL32,Data_5!$B$12:$E$42,4,FALSE)="BASIC","",(IF(HLOOKUP(CI$15,Data_5!$F$10:$BG$42,$A32+2,FALSE)="NO","NO",IF(HLOOKUP(CI$15,Data_5!$F$10:$BG$42,$A32+2,FALSE)="IE","IE",IF(HLOOKUP(CI$15,Data_5!$F$10:$BG$42,$A32+2,FALSE)="NE","NE",IF(HLOOKUP(CI$15,Data_5!$F$10:$BG$42,$A32+2,FALSE)="C","C",IF(HLOOKUP(CI$15,Data_5!$F$10:$BG$42,$A32+2,FALSE)="NO","NO",HLOOKUP(CI$15,Data_5!$F$10:$BG$42,$A32+2,FALSE)/Data_5!$BI27))))))),"")</f>
        <v/>
      </c>
      <c r="CJ32" s="1122" t="str">
        <f>IFERROR(IF(VLOOKUP($AL32,Data_5!$B$12:$E$42,4,FALSE)="BASIC","",(IF(HLOOKUP(CJ$15,Data_5!$F$10:$BG$42,$A32+2,FALSE)="NO","NO",IF(HLOOKUP(CJ$15,Data_5!$F$10:$BG$42,$A32+2,FALSE)="IE","IE",IF(HLOOKUP(CJ$15,Data_5!$F$10:$BG$42,$A32+2,FALSE)="NE","NE",IF(HLOOKUP(CJ$15,Data_5!$F$10:$BG$42,$A32+2,FALSE)="C","C",IF(HLOOKUP(CJ$15,Data_5!$F$10:$BG$42,$A32+2,FALSE)="NO","NO",HLOOKUP(CJ$15,Data_5!$F$10:$BG$42,$A32+2,FALSE)/Data_5!$BI27))))))),"")</f>
        <v/>
      </c>
      <c r="CL32" s="2628" t="str">
        <f t="shared" si="2"/>
        <v>New York City</v>
      </c>
      <c r="CM32" s="2629"/>
      <c r="CN32" s="1100">
        <f t="shared" si="3"/>
        <v>2014</v>
      </c>
      <c r="CO32" s="1122">
        <f>IFERROR(IF(HLOOKUP(CO$15,Data_5!$F$10:$BG$42,$A32+2,FALSE)="NO","NO",IF(HLOOKUP(CO$15,Data_5!$F$10:$BG$42,$A32+2,FALSE)="IE","IE",IF(HLOOKUP(CO$15,Data_5!$F$10:$BG$42,$A32+2,FALSE)="NE","NE",IF(HLOOKUP(CO$15,Data_5!$F$10:$BG$42,$A32+2,FALSE)="C","C",IF(HLOOKUP(CO$15,Data_5!$F$10:$BG$42,$A32+2,FALSE)="NO","NO",HLOOKUP(CO$15,Data_5!$F$10:$BG$42,$A32+2,FALSE)/Data_5!$BK27))))),"")</f>
        <v>0.28394347876779291</v>
      </c>
      <c r="CP32" s="1122">
        <f>IFERROR(IF(HLOOKUP(CP$15,Data_5!$F$10:$BG$42,$A32+2,FALSE)="NO","NO",IF(HLOOKUP(CP$15,Data_5!$F$10:$BG$42,$A32+2,FALSE)="IE","IE",IF(HLOOKUP(CP$15,Data_5!$F$10:$BG$42,$A32+2,FALSE)="NE","NE",IF(HLOOKUP(CP$15,Data_5!$F$10:$BG$42,$A32+2,FALSE)="C","C",IF(HLOOKUP(CP$15,Data_5!$F$10:$BG$42,$A32+2,FALSE)="NO","NO",HLOOKUP(CP$15,Data_5!$F$10:$BG$42,$A32+2,FALSE)/Data_5!$BK27))))),"")</f>
        <v>0.15313578714301304</v>
      </c>
      <c r="CQ32" s="1122">
        <f>IFERROR(IF(HLOOKUP(CQ$15,Data_5!$F$10:$BG$42,$A32+2,FALSE)="NO","NO",IF(HLOOKUP(CQ$15,Data_5!$F$10:$BG$42,$A32+2,FALSE)="IE","IE",IF(HLOOKUP(CQ$15,Data_5!$F$10:$BG$42,$A32+2,FALSE)="NE","NE",IF(HLOOKUP(CQ$15,Data_5!$F$10:$BG$42,$A32+2,FALSE)="C","C",IF(HLOOKUP(CQ$15,Data_5!$F$10:$BG$42,$A32+2,FALSE)="NO","NO",HLOOKUP(CQ$15,Data_5!$F$10:$BG$42,$A32+2,FALSE)/Data_5!$BK27))))),"")</f>
        <v>3.5850221319615433E-2</v>
      </c>
      <c r="CR32" s="1122" t="str">
        <f>IFERROR(IF(HLOOKUP(CR$15,Data_5!$F$10:$BG$42,$A32+2,FALSE)="NO","NO",IF(HLOOKUP(CR$15,Data_5!$F$10:$BG$42,$A32+2,FALSE)="IE","IE",IF(HLOOKUP(CR$15,Data_5!$F$10:$BG$42,$A32+2,FALSE)="NE","NE",IF(HLOOKUP(CR$15,Data_5!$F$10:$BG$42,$A32+2,FALSE)="C","C",IF(HLOOKUP(CR$15,Data_5!$F$10:$BG$42,$A32+2,FALSE)="NO","NO",HLOOKUP(CR$15,Data_5!$F$10:$BG$42,$A32+2,FALSE)/Data_5!$BK27))))),"")</f>
        <v>IE</v>
      </c>
      <c r="CS32" s="1122">
        <f>IFERROR(IF(HLOOKUP(CS$15,Data_5!$F$10:$BG$42,$A32+2,FALSE)="NO","NO",IF(HLOOKUP(CS$15,Data_5!$F$10:$BG$42,$A32+2,FALSE)="IE","IE",IF(HLOOKUP(CS$15,Data_5!$F$10:$BG$42,$A32+2,FALSE)="NE","NE",IF(HLOOKUP(CS$15,Data_5!$F$10:$BG$42,$A32+2,FALSE)="C","C",IF(HLOOKUP(CS$15,Data_5!$F$10:$BG$42,$A32+2,FALSE)="NO","NO",HLOOKUP(CS$15,Data_5!$F$10:$BG$42,$A32+2,FALSE)/Data_5!$BK27))))),"")</f>
        <v>0.26181860620784475</v>
      </c>
      <c r="CT32" s="1122" t="str">
        <f>IFERROR(IF(HLOOKUP(CT$15,Data_5!$F$10:$BG$42,$A32+2,FALSE)="NO","NO",IF(HLOOKUP(CT$15,Data_5!$F$10:$BG$42,$A32+2,FALSE)="IE","IE",IF(HLOOKUP(CT$15,Data_5!$F$10:$BG$42,$A32+2,FALSE)="NE","NE",IF(HLOOKUP(CT$15,Data_5!$F$10:$BG$42,$A32+2,FALSE)="C","C",IF(HLOOKUP(CT$15,Data_5!$F$10:$BG$42,$A32+2,FALSE)="NO","NO",HLOOKUP(CT$15,Data_5!$F$10:$BG$42,$A32+2,FALSE)/Data_5!$BK27))))),"")</f>
        <v>NO</v>
      </c>
      <c r="CU32" s="1122" t="str">
        <f>IFERROR(IF(HLOOKUP(CU$15,Data_5!$F$10:$BG$42,$A32+2,FALSE)="NO","NO",IF(HLOOKUP(CU$15,Data_5!$F$10:$BG$42,$A32+2,FALSE)="IE","IE",IF(HLOOKUP(CU$15,Data_5!$F$10:$BG$42,$A32+2,FALSE)="NE","NE",IF(HLOOKUP(CU$15,Data_5!$F$10:$BG$42,$A32+2,FALSE)="C","C",IF(HLOOKUP(CU$15,Data_5!$F$10:$BG$42,$A32+2,FALSE)="NO","NO",HLOOKUP(CU$15,Data_5!$F$10:$BG$42,$A32+2,FALSE)/Data_5!$BK27))))),"")</f>
        <v>NO</v>
      </c>
      <c r="CV32" s="1122" t="str">
        <f>IFERROR(IF(HLOOKUP(CV$15,Data_5!$F$10:$BG$42,$A32+2,FALSE)="NO","NO",IF(HLOOKUP(CV$15,Data_5!$F$10:$BG$42,$A32+2,FALSE)="IE","IE",IF(HLOOKUP(CV$15,Data_5!$F$10:$BG$42,$A32+2,FALSE)="NE","NE",IF(HLOOKUP(CV$15,Data_5!$F$10:$BG$42,$A32+2,FALSE)="C","C",IF(HLOOKUP(CV$15,Data_5!$F$10:$BG$42,$A32+2,FALSE)="NO","NO",HLOOKUP(CV$15,Data_5!$F$10:$BG$42,$A32+2,FALSE)/Data_5!$BK27))))),"")</f>
        <v>NO</v>
      </c>
      <c r="CW32" s="1122">
        <f>IFERROR(IF(HLOOKUP(CW$15,Data_5!$F$10:$BG$42,$A32+2,FALSE)="NO","NO",IF(HLOOKUP(CW$15,Data_5!$F$10:$BG$42,$A32+2,FALSE)="IE","IE",IF(HLOOKUP(CW$15,Data_5!$F$10:$BG$42,$A32+2,FALSE)="NE","NE",IF(HLOOKUP(CW$15,Data_5!$F$10:$BG$42,$A32+2,FALSE)="C","C",IF(HLOOKUP(CW$15,Data_5!$F$10:$BG$42,$A32+2,FALSE)="NO","NO",HLOOKUP(CW$15,Data_5!$F$10:$BG$42,$A32+2,FALSE)/Data_5!$BK27))))),"")</f>
        <v>5.027781838677161E-3</v>
      </c>
      <c r="CX32" s="1122">
        <f>IFERROR(IF(HLOOKUP(CX$15,Data_5!$F$10:$BG$42,$A32+2,FALSE)="NO","NO",IF(HLOOKUP(CX$15,Data_5!$F$10:$BG$42,$A32+2,FALSE)="IE","IE",IF(HLOOKUP(CX$15,Data_5!$F$10:$BG$42,$A32+2,FALSE)="NE","NE",IF(HLOOKUP(CX$15,Data_5!$F$10:$BG$42,$A32+2,FALSE)="C","C",IF(HLOOKUP(CX$15,Data_5!$F$10:$BG$42,$A32+2,FALSE)="NO","NO",HLOOKUP(CX$15,Data_5!$F$10:$BG$42,$A32+2,FALSE)/Data_5!$BK27))))),"")</f>
        <v>0.24835643604124333</v>
      </c>
      <c r="CY32" s="1122">
        <f>IFERROR(IF(HLOOKUP(CY$15,Data_5!$F$10:$BG$42,$A32+2,FALSE)="NO","NO",IF(HLOOKUP(CY$15,Data_5!$F$10:$BG$42,$A32+2,FALSE)="IE","IE",IF(HLOOKUP(CY$15,Data_5!$F$10:$BG$42,$A32+2,FALSE)="NE","NE",IF(HLOOKUP(CY$15,Data_5!$F$10:$BG$42,$A32+2,FALSE)="C","C",IF(HLOOKUP(CY$15,Data_5!$F$10:$BG$42,$A32+2,FALSE)="NO","NO",HLOOKUP(CY$15,Data_5!$F$10:$BG$42,$A32+2,FALSE)/Data_5!$BK27))))),"")</f>
        <v>3.3694391351279072E-4</v>
      </c>
      <c r="CZ32" s="1122">
        <f>IFERROR(IF(HLOOKUP(CZ$15,Data_5!$F$10:$BG$42,$A32+2,FALSE)="NO","NO",IF(HLOOKUP(CZ$15,Data_5!$F$10:$BG$42,$A32+2,FALSE)="IE","IE",IF(HLOOKUP(CZ$15,Data_5!$F$10:$BG$42,$A32+2,FALSE)="NE","NE",IF(HLOOKUP(CZ$15,Data_5!$F$10:$BG$42,$A32+2,FALSE)="C","C",IF(HLOOKUP(CZ$15,Data_5!$F$10:$BG$42,$A32+2,FALSE)="NO","NO",HLOOKUP(CZ$15,Data_5!$F$10:$BG$42,$A32+2,FALSE)/Data_5!$BK27))))),"")</f>
        <v>8.6085814281633064E-4</v>
      </c>
      <c r="DA32" s="1122">
        <f>IFERROR(IF(HLOOKUP(DA$15,Data_5!$F$10:$BG$42,$A32+2,FALSE)="NO","NO",IF(HLOOKUP(DA$15,Data_5!$F$10:$BG$42,$A32+2,FALSE)="IE","IE",IF(HLOOKUP(DA$15,Data_5!$F$10:$BG$42,$A32+2,FALSE)="NE","NE",IF(HLOOKUP(DA$15,Data_5!$F$10:$BG$42,$A32+2,FALSE)="C","C",IF(HLOOKUP(DA$15,Data_5!$F$10:$BG$42,$A32+2,FALSE)="NO","NO",HLOOKUP(DA$15,Data_5!$F$10:$BG$42,$A32+2,FALSE)/Data_5!$BK27))))),"")</f>
        <v>5.3224198717702975E-5</v>
      </c>
      <c r="DB32" s="1122" t="str">
        <f>IFERROR(IF(HLOOKUP(DB$15,Data_5!$F$10:$BG$42,$A32+2,FALSE)="NO","NO",IF(HLOOKUP(DB$15,Data_5!$F$10:$BG$42,$A32+2,FALSE)="IE","IE",IF(HLOOKUP(DB$15,Data_5!$F$10:$BG$42,$A32+2,FALSE)="NE","NE",IF(HLOOKUP(DB$15,Data_5!$F$10:$BG$42,$A32+2,FALSE)="C","C",IF(HLOOKUP(DB$15,Data_5!$F$10:$BG$42,$A32+2,FALSE)="NO","NO",HLOOKUP(DB$15,Data_5!$F$10:$BG$42,$A32+2,FALSE)/Data_5!$BK27))))),"")</f>
        <v>NO</v>
      </c>
      <c r="DC32" s="1122">
        <f>IFERROR(IF(HLOOKUP(DC$15,Data_5!$F$10:$BG$42,$A32+2,FALSE)="NO","NO",IF(HLOOKUP(DC$15,Data_5!$F$10:$BG$42,$A32+2,FALSE)="IE","IE",IF(HLOOKUP(DC$15,Data_5!$F$10:$BG$42,$A32+2,FALSE)="NE","NE",IF(HLOOKUP(DC$15,Data_5!$F$10:$BG$42,$A32+2,FALSE)="C","C",IF(HLOOKUP(DC$15,Data_5!$F$10:$BG$42,$A32+2,FALSE)="NO","NO",HLOOKUP(DC$15,Data_5!$F$10:$BG$42,$A32+2,FALSE)/Data_5!$BK27))))),"")</f>
        <v>1.7443535410520527E-3</v>
      </c>
      <c r="DD32" s="1122" t="str">
        <f>IFERROR(IF(HLOOKUP(DD$15,Data_5!$F$10:$BG$42,$A32+2,FALSE)="NO","NO",IF(HLOOKUP(DD$15,Data_5!$F$10:$BG$42,$A32+2,FALSE)="IE","IE",IF(HLOOKUP(DD$15,Data_5!$F$10:$BG$42,$A32+2,FALSE)="NE","NE",IF(HLOOKUP(DD$15,Data_5!$F$10:$BG$42,$A32+2,FALSE)="C","C",IF(HLOOKUP(DD$15,Data_5!$F$10:$BG$42,$A32+2,FALSE)="NO","NO",HLOOKUP(DD$15,Data_5!$F$10:$BG$42,$A32+2,FALSE)/Data_5!$BK27))))),"")</f>
        <v>NO</v>
      </c>
      <c r="DE32" s="1122" t="str">
        <f>IFERROR(IF(HLOOKUP(DE$15,Data_5!$F$10:$BG$42,$A32+2,FALSE)="NO","NO",IF(HLOOKUP(DE$15,Data_5!$F$10:$BG$42,$A32+2,FALSE)="IE","IE",IF(HLOOKUP(DE$15,Data_5!$F$10:$BG$42,$A32+2,FALSE)="NE","NE",IF(HLOOKUP(DE$15,Data_5!$F$10:$BG$42,$A32+2,FALSE)="C","C",IF(HLOOKUP(DE$15,Data_5!$F$10:$BG$42,$A32+2,FALSE)="NO","NO",HLOOKUP(DE$15,Data_5!$F$10:$BG$42,$A32+2,FALSE)/Data_5!$BK27))))),"")</f>
        <v>NO</v>
      </c>
      <c r="DF32" s="1122" t="str">
        <f>IFERROR(IF(HLOOKUP(DF$15,Data_5!$F$10:$BG$42,$A32+2,FALSE)="NO","NO",IF(HLOOKUP(DF$15,Data_5!$F$10:$BG$42,$A32+2,FALSE)="IE","IE",IF(HLOOKUP(DF$15,Data_5!$F$10:$BG$42,$A32+2,FALSE)="NE","NE",IF(HLOOKUP(DF$15,Data_5!$F$10:$BG$42,$A32+2,FALSE)="C","C",IF(HLOOKUP(DF$15,Data_5!$F$10:$BG$42,$A32+2,FALSE)="NO","NO",HLOOKUP(DF$15,Data_5!$F$10:$BG$42,$A32+2,FALSE)/Data_5!$BK27))))),"")</f>
        <v>NO</v>
      </c>
      <c r="DG32" s="1122" t="str">
        <f>IFERROR(IF(HLOOKUP(DG$15,Data_5!$F$10:$BG$42,$A32+2,FALSE)="NO","NO",IF(HLOOKUP(DG$15,Data_5!$F$10:$BG$42,$A32+2,FALSE)="IE","IE",IF(HLOOKUP(DG$15,Data_5!$F$10:$BG$42,$A32+2,FALSE)="NE","NE",IF(HLOOKUP(DG$15,Data_5!$F$10:$BG$42,$A32+2,FALSE)="C","C",IF(HLOOKUP(DG$15,Data_5!$F$10:$BG$42,$A32+2,FALSE)="NO","NO",HLOOKUP(DG$15,Data_5!$F$10:$BG$42,$A32+2,FALSE)/Data_5!$BK27))))),"")</f>
        <v>NO</v>
      </c>
      <c r="DH32" s="1122" t="str">
        <f>IFERROR(IF(HLOOKUP(DH$15,Data_5!$F$10:$BG$42,$A32+2,FALSE)="NO","NO",IF(HLOOKUP(DH$15,Data_5!$F$10:$BG$42,$A32+2,FALSE)="IE","IE",IF(HLOOKUP(DH$15,Data_5!$F$10:$BG$42,$A32+2,FALSE)="NE","NE",IF(HLOOKUP(DH$15,Data_5!$F$10:$BG$42,$A32+2,FALSE)="C","C",IF(HLOOKUP(DH$15,Data_5!$F$10:$BG$42,$A32+2,FALSE)="NO","NO",HLOOKUP(DH$15,Data_5!$F$10:$BG$42,$A32+2,FALSE)/Data_5!$BK27))))),"")</f>
        <v>NO</v>
      </c>
      <c r="DI32" s="1122">
        <f>IFERROR(IF(HLOOKUP(DI$15,Data_5!$F$10:$BG$42,$A32+2,FALSE)="NO","NO",IF(HLOOKUP(DI$15,Data_5!$F$10:$BG$42,$A32+2,FALSE)="IE","IE",IF(HLOOKUP(DI$15,Data_5!$F$10:$BG$42,$A32+2,FALSE)="NE","NE",IF(HLOOKUP(DI$15,Data_5!$F$10:$BG$42,$A32+2,FALSE)="C","C",IF(HLOOKUP(DI$15,Data_5!$F$10:$BG$42,$A32+2,FALSE)="NO","NO",HLOOKUP(DI$15,Data_5!$F$10:$BG$42,$A32+2,FALSE)/Data_5!$BK27))))),"")</f>
        <v>4.9480542033245719E-3</v>
      </c>
      <c r="DJ32" s="1122" t="str">
        <f>IFERROR(IF(HLOOKUP(DJ$15,Data_5!$F$10:$BG$42,$A32+2,FALSE)="NO","NO",IF(HLOOKUP(DJ$15,Data_5!$F$10:$BG$42,$A32+2,FALSE)="IE","IE",IF(HLOOKUP(DJ$15,Data_5!$F$10:$BG$42,$A32+2,FALSE)="NE","NE",IF(HLOOKUP(DJ$15,Data_5!$F$10:$BG$42,$A32+2,FALSE)="C","C",IF(HLOOKUP(DJ$15,Data_5!$F$10:$BG$42,$A32+2,FALSE)="NO","NO",HLOOKUP(DJ$15,Data_5!$F$10:$BG$42,$A32+2,FALSE)/Data_5!$BK27))))),"")</f>
        <v>NO</v>
      </c>
      <c r="DK32" s="1122" t="str">
        <f>IFERROR(IF(HLOOKUP(DK$15,Data_5!$F$10:$BG$42,$A32+2,FALSE)="NO","NO",IF(HLOOKUP(DK$15,Data_5!$F$10:$BG$42,$A32+2,FALSE)="IE","IE",IF(HLOOKUP(DK$15,Data_5!$F$10:$BG$42,$A32+2,FALSE)="NE","NE",IF(HLOOKUP(DK$15,Data_5!$F$10:$BG$42,$A32+2,FALSE)="C","C",IF(HLOOKUP(DK$15,Data_5!$F$10:$BG$42,$A32+2,FALSE)="NO","NO",HLOOKUP(DK$15,Data_5!$F$10:$BG$42,$A32+2,FALSE)/Data_5!$BK27))))),"")</f>
        <v>NE</v>
      </c>
      <c r="DL32" s="1122">
        <f>IFERROR(IF(HLOOKUP(DL$15,Data_5!$F$10:$BG$42,$A32+2,FALSE)="NO","NO",IF(HLOOKUP(DL$15,Data_5!$F$10:$BG$42,$A32+2,FALSE)="IE","IE",IF(HLOOKUP(DL$15,Data_5!$F$10:$BG$42,$A32+2,FALSE)="NE","NE",IF(HLOOKUP(DL$15,Data_5!$F$10:$BG$42,$A32+2,FALSE)="C","C",IF(HLOOKUP(DL$15,Data_5!$F$10:$BG$42,$A32+2,FALSE)="NO","NO",HLOOKUP(DL$15,Data_5!$F$10:$BG$42,$A32+2,FALSE)/Data_5!$BK27))))),"")</f>
        <v>3.9242546823898376E-3</v>
      </c>
      <c r="DM32" s="1122" t="str">
        <f>IFERROR(IF(HLOOKUP(DM$15,Data_5!$F$10:$BG$42,$A32+2,FALSE)="NO","NO",IF(HLOOKUP(DM$15,Data_5!$F$10:$BG$42,$A32+2,FALSE)="IE","IE",IF(HLOOKUP(DM$15,Data_5!$F$10:$BG$42,$A32+2,FALSE)="NE","NE",IF(HLOOKUP(DM$15,Data_5!$F$10:$BG$42,$A32+2,FALSE)="C","C",IF(HLOOKUP(DM$15,Data_5!$F$10:$BG$42,$A32+2,FALSE)="NO","NO",HLOOKUP(DM$15,Data_5!$F$10:$BG$42,$A32+2,FALSE)/Data_5!$BK27))))),"")</f>
        <v>NE</v>
      </c>
      <c r="DN32" s="1122" t="str">
        <f>IFERROR(IF(HLOOKUP(DN$15,Data_5!$F$10:$BG$42,$A32+2,FALSE)="NO","NO",IF(HLOOKUP(DN$15,Data_5!$F$10:$BG$42,$A32+2,FALSE)="IE","IE",IF(HLOOKUP(DN$15,Data_5!$F$10:$BG$42,$A32+2,FALSE)="NE","NE",IF(HLOOKUP(DN$15,Data_5!$F$10:$BG$42,$A32+2,FALSE)="C","C",IF(HLOOKUP(DN$15,Data_5!$F$10:$BG$42,$A32+2,FALSE)="NO","NO",HLOOKUP(DN$15,Data_5!$F$10:$BG$42,$A32+2,FALSE)/Data_5!$BK27))))),"")</f>
        <v>NE</v>
      </c>
      <c r="DO32" s="1122" t="str">
        <f>IFERROR(IF(HLOOKUP(DO$15,Data_5!$F$10:$BG$42,$A32+2,FALSE)="NO","NO",IF(HLOOKUP(DO$15,Data_5!$F$10:$BG$42,$A32+2,FALSE)="IE","IE",IF(HLOOKUP(DO$15,Data_5!$F$10:$BG$42,$A32+2,FALSE)="NE","NE",IF(HLOOKUP(DO$15,Data_5!$F$10:$BG$42,$A32+2,FALSE)="C","C",IF(HLOOKUP(DO$15,Data_5!$F$10:$BG$42,$A32+2,FALSE)="NO","NO",HLOOKUP(DO$15,Data_5!$F$10:$BG$42,$A32+2,FALSE)/Data_5!$BK27))))),"")</f>
        <v>NE</v>
      </c>
    </row>
    <row r="33" spans="1:119" s="15" customFormat="1" ht="15" customHeight="1">
      <c r="A33" s="1789">
        <v>17</v>
      </c>
      <c r="B33" s="2628" t="str">
        <f>IF(Data_5!B28&lt;&gt;"",Data_5!B28,"")</f>
        <v>Oslo</v>
      </c>
      <c r="C33" s="2629"/>
      <c r="D33" s="1462">
        <f>IFERROR(VLOOKUP($B33,Data_5!$B$12:$C$42,2,FALSE),"")</f>
        <v>2013</v>
      </c>
      <c r="E33" s="1122">
        <f>IFERROR(IF(HLOOKUP(E$15,Data_5!$F$10:$BG$42,$A33+2,FALSE)="NO","NO",IF(HLOOKUP(E$15,Data_5!$F$10:$BG$42,$A33+2,FALSE)="IE","IE",IF(HLOOKUP(E$15,Data_5!$F$10:$BG$42,$A33+2,FALSE)="NE","NE",IF(HLOOKUP(E$15,Data_5!$F$10:$BG$42,$A33+2,FALSE)="C","C",IF(HLOOKUP(E$15,Data_5!$F$10:$BG$42,$A33+2,FALSE)="NO","NO",HLOOKUP(E$15,Data_5!$F$10:$BG$42,$A33+2,FALSE)/Data_5!$BH28))))),"")</f>
        <v>0.17755598287068294</v>
      </c>
      <c r="F33" s="1122">
        <f>IFERROR(IF(HLOOKUP(F$15,Data_5!$F$10:$BG$42,$A33+2,FALSE)="NO","NO",IF(HLOOKUP(F$15,Data_5!$F$10:$BG$42,$A33+2,FALSE)="IE","IE",IF(HLOOKUP(F$15,Data_5!$F$10:$BG$42,$A33+2,FALSE)="NE","NE",IF(HLOOKUP(F$15,Data_5!$F$10:$BG$42,$A33+2,FALSE)="C","C",IF(HLOOKUP(F$15,Data_5!$F$10:$BG$42,$A33+2,FALSE)="NO","NO",HLOOKUP(F$15,Data_5!$F$10:$BG$42,$A33+2,FALSE)/Data_5!$BH28))))),"")</f>
        <v>6.2847781507583633E-2</v>
      </c>
      <c r="G33" s="1122" t="str">
        <f>IFERROR(IF(HLOOKUP(G$15,Data_5!$F$10:$BG$42,$A33+2,FALSE)="NO","NO",IF(HLOOKUP(G$15,Data_5!$F$10:$BG$42,$A33+2,FALSE)="IE","IE",IF(HLOOKUP(G$15,Data_5!$F$10:$BG$42,$A33+2,FALSE)="NE","NE",IF(HLOOKUP(G$15,Data_5!$F$10:$BG$42,$A33+2,FALSE)="C","C",IF(HLOOKUP(G$15,Data_5!$F$10:$BG$42,$A33+2,FALSE)="NO","NO",HLOOKUP(G$15,Data_5!$F$10:$BG$42,$A33+2,FALSE)/Data_5!$BH28))))),"")</f>
        <v>IE</v>
      </c>
      <c r="H33" s="1122">
        <f>IFERROR(IF(HLOOKUP(H$15,Data_5!$F$10:$BG$42,$A33+2,FALSE)="NO","NO",IF(HLOOKUP(H$15,Data_5!$F$10:$BG$42,$A33+2,FALSE)="IE","IE",IF(HLOOKUP(H$15,Data_5!$F$10:$BG$42,$A33+2,FALSE)="NE","NE",IF(HLOOKUP(H$15,Data_5!$F$10:$BG$42,$A33+2,FALSE)="C","C",IF(HLOOKUP(H$15,Data_5!$F$10:$BG$42,$A33+2,FALSE)="NO","NO",HLOOKUP(H$15,Data_5!$F$10:$BG$42,$A33+2,FALSE)/Data_5!$BH28))))),"")</f>
        <v>0.12067646935310329</v>
      </c>
      <c r="I33" s="1122">
        <f>IFERROR(IF(HLOOKUP(I$15,Data_5!$F$10:$BG$42,$A33+2,FALSE)="NO","NO",IF(HLOOKUP(I$15,Data_5!$F$10:$BG$42,$A33+2,FALSE)="IE","IE",IF(HLOOKUP(I$15,Data_5!$F$10:$BG$42,$A33+2,FALSE)="NE","NE",IF(HLOOKUP(I$15,Data_5!$F$10:$BG$42,$A33+2,FALSE)="C","C",IF(HLOOKUP(I$15,Data_5!$F$10:$BG$42,$A33+2,FALSE)="NO","NO",HLOOKUP(I$15,Data_5!$F$10:$BG$42,$A33+2,FALSE)/Data_5!$BH28))))),"")</f>
        <v>1.7904804183377573E-2</v>
      </c>
      <c r="J33" s="1122">
        <f>IFERROR(IF(HLOOKUP(J$15,Data_5!$F$10:$BG$42,$A33+2,FALSE)="NO","NO",IF(HLOOKUP(J$15,Data_5!$F$10:$BG$42,$A33+2,FALSE)="IE","IE",IF(HLOOKUP(J$15,Data_5!$F$10:$BG$42,$A33+2,FALSE)="NE","NE",IF(HLOOKUP(J$15,Data_5!$F$10:$BG$42,$A33+2,FALSE)="C","C",IF(HLOOKUP(J$15,Data_5!$F$10:$BG$42,$A33+2,FALSE)="NO","NO",HLOOKUP(J$15,Data_5!$F$10:$BG$42,$A33+2,FALSE)/Data_5!$BH28))))),"")</f>
        <v>0</v>
      </c>
      <c r="K33" s="1122" t="str">
        <f>IFERROR(IF(HLOOKUP(K$15,Data_5!$F$10:$BG$42,$A33+2,FALSE)="NO","NO",IF(HLOOKUP(K$15,Data_5!$F$10:$BG$42,$A33+2,FALSE)="IE","IE",IF(HLOOKUP(K$15,Data_5!$F$10:$BG$42,$A33+2,FALSE)="NE","NE",IF(HLOOKUP(K$15,Data_5!$F$10:$BG$42,$A33+2,FALSE)="C","C",IF(HLOOKUP(K$15,Data_5!$F$10:$BG$42,$A33+2,FALSE)="NO","NO",HLOOKUP(K$15,Data_5!$F$10:$BG$42,$A33+2,FALSE)/Data_5!$BH28))))),"")</f>
        <v>NO</v>
      </c>
      <c r="L33" s="1122">
        <f>IFERROR(IF(HLOOKUP(L$15,Data_5!$F$10:$BG$42,$A33+2,FALSE)="NO","NO",IF(HLOOKUP(L$15,Data_5!$F$10:$BG$42,$A33+2,FALSE)="IE","IE",IF(HLOOKUP(L$15,Data_5!$F$10:$BG$42,$A33+2,FALSE)="NE","NE",IF(HLOOKUP(L$15,Data_5!$F$10:$BG$42,$A33+2,FALSE)="C","C",IF(HLOOKUP(L$15,Data_5!$F$10:$BG$42,$A33+2,FALSE)="NO","NO",HLOOKUP(L$15,Data_5!$F$10:$BG$42,$A33+2,FALSE)/Data_5!$BH28))))),"")</f>
        <v>0</v>
      </c>
      <c r="M33" s="1122" t="str">
        <f>IFERROR(IF(HLOOKUP(M$15,Data_5!$F$10:$BG$42,$A33+2,FALSE)="NO","NO",IF(HLOOKUP(M$15,Data_5!$F$10:$BG$42,$A33+2,FALSE)="IE","IE",IF(HLOOKUP(M$15,Data_5!$F$10:$BG$42,$A33+2,FALSE)="NE","NE",IF(HLOOKUP(M$15,Data_5!$F$10:$BG$42,$A33+2,FALSE)="C","C",IF(HLOOKUP(M$15,Data_5!$F$10:$BG$42,$A33+2,FALSE)="NO","NO",HLOOKUP(M$15,Data_5!$F$10:$BG$42,$A33+2,FALSE)/Data_5!$BH28))))),"")</f>
        <v>IE</v>
      </c>
      <c r="N33" s="1122">
        <f>IFERROR(IF(HLOOKUP(N$15,Data_5!$F$10:$BG$42,$A33+2,FALSE)="NO","NO",IF(HLOOKUP(N$15,Data_5!$F$10:$BG$42,$A33+2,FALSE)="IE","IE",IF(HLOOKUP(N$15,Data_5!$F$10:$BG$42,$A33+2,FALSE)="NE","NE",IF(HLOOKUP(N$15,Data_5!$F$10:$BG$42,$A33+2,FALSE)="C","C",IF(HLOOKUP(N$15,Data_5!$F$10:$BG$42,$A33+2,FALSE)="NO","NO",HLOOKUP(N$15,Data_5!$F$10:$BG$42,$A33+2,FALSE)/Data_5!$BH28))))),"")</f>
        <v>0</v>
      </c>
      <c r="O33" s="1122" t="str">
        <f>IFERROR(IF(HLOOKUP(O$15,Data_5!$F$10:$BG$42,$A33+2,FALSE)="NO","NO",IF(HLOOKUP(O$15,Data_5!$F$10:$BG$42,$A33+2,FALSE)="IE","IE",IF(HLOOKUP(O$15,Data_5!$F$10:$BG$42,$A33+2,FALSE)="NE","NE",IF(HLOOKUP(O$15,Data_5!$F$10:$BG$42,$A33+2,FALSE)="C","C",IF(HLOOKUP(O$15,Data_5!$F$10:$BG$42,$A33+2,FALSE)="NO","NO",HLOOKUP(O$15,Data_5!$F$10:$BG$42,$A33+2,FALSE)/Data_5!$BH28))))),"")</f>
        <v>NO</v>
      </c>
      <c r="P33" s="1122" t="str">
        <f>IFERROR(IF(HLOOKUP(P$15,Data_5!$F$10:$BG$42,$A33+2,FALSE)="NO","NO",IF(HLOOKUP(P$15,Data_5!$F$10:$BG$42,$A33+2,FALSE)="IE","IE",IF(HLOOKUP(P$15,Data_5!$F$10:$BG$42,$A33+2,FALSE)="NE","NE",IF(HLOOKUP(P$15,Data_5!$F$10:$BG$42,$A33+2,FALSE)="C","C",IF(HLOOKUP(P$15,Data_5!$F$10:$BG$42,$A33+2,FALSE)="NO","NO",HLOOKUP(P$15,Data_5!$F$10:$BG$42,$A33+2,FALSE)/Data_5!$BH28))))),"")</f>
        <v>NO</v>
      </c>
      <c r="Q33" s="1122" t="str">
        <f>IFERROR(IF(HLOOKUP(Q$15,Data_5!$F$10:$BG$42,$A33+2,FALSE)="NO","NO",IF(HLOOKUP(Q$15,Data_5!$F$10:$BG$42,$A33+2,FALSE)="IE","IE",IF(HLOOKUP(Q$15,Data_5!$F$10:$BG$42,$A33+2,FALSE)="NE","NE",IF(HLOOKUP(Q$15,Data_5!$F$10:$BG$42,$A33+2,FALSE)="C","C",IF(HLOOKUP(Q$15,Data_5!$F$10:$BG$42,$A33+2,FALSE)="NO","NO",HLOOKUP(Q$15,Data_5!$F$10:$BG$42,$A33+2,FALSE)/Data_5!$BH28))))),"")</f>
        <v>NO</v>
      </c>
      <c r="R33" s="1122" t="str">
        <f>IFERROR(IF(HLOOKUP(R$15,Data_5!$F$10:$BG$42,$A33+2,FALSE)="NO","NO",IF(HLOOKUP(R$15,Data_5!$F$10:$BG$42,$A33+2,FALSE)="IE","IE",IF(HLOOKUP(R$15,Data_5!$F$10:$BG$42,$A33+2,FALSE)="NE","NE",IF(HLOOKUP(R$15,Data_5!$F$10:$BG$42,$A33+2,FALSE)="C","C",IF(HLOOKUP(R$15,Data_5!$F$10:$BG$42,$A33+2,FALSE)="NO","NO",HLOOKUP(R$15,Data_5!$F$10:$BG$42,$A33+2,FALSE)/Data_5!$BH28))))),"")</f>
        <v>NO</v>
      </c>
      <c r="S33" s="1122">
        <f>IFERROR(IF(HLOOKUP(S$15,Data_5!$F$10:$BG$42,$A33+2,FALSE)="NO","NO",IF(HLOOKUP(S$15,Data_5!$F$10:$BG$42,$A33+2,FALSE)="IE","IE",IF(HLOOKUP(S$15,Data_5!$F$10:$BG$42,$A33+2,FALSE)="NE","NE",IF(HLOOKUP(S$15,Data_5!$F$10:$BG$42,$A33+2,FALSE)="C","C",IF(HLOOKUP(S$15,Data_5!$F$10:$BG$42,$A33+2,FALSE)="NO","NO",HLOOKUP(S$15,Data_5!$F$10:$BG$42,$A33+2,FALSE)/Data_5!$BH28))))),"")</f>
        <v>0.37152470290448847</v>
      </c>
      <c r="T33" s="1122" t="str">
        <f>IFERROR(IF(HLOOKUP(T$15,Data_5!$F$10:$BG$42,$A33+2,FALSE)="NO","NO",IF(HLOOKUP(T$15,Data_5!$F$10:$BG$42,$A33+2,FALSE)="IE","IE",IF(HLOOKUP(T$15,Data_5!$F$10:$BG$42,$A33+2,FALSE)="NE","NE",IF(HLOOKUP(T$15,Data_5!$F$10:$BG$42,$A33+2,FALSE)="C","C",IF(HLOOKUP(T$15,Data_5!$F$10:$BG$42,$A33+2,FALSE)="NO","NO",HLOOKUP(T$15,Data_5!$F$10:$BG$42,$A33+2,FALSE)/Data_5!$BH28))))),"")</f>
        <v>IE</v>
      </c>
      <c r="U33" s="1122" t="str">
        <f>IFERROR(IF(HLOOKUP(U$15,Data_5!$F$10:$BG$42,$A33+2,FALSE)="NO","NO",IF(HLOOKUP(U$15,Data_5!$F$10:$BG$42,$A33+2,FALSE)="IE","IE",IF(HLOOKUP(U$15,Data_5!$F$10:$BG$42,$A33+2,FALSE)="NE","NE",IF(HLOOKUP(U$15,Data_5!$F$10:$BG$42,$A33+2,FALSE)="C","C",IF(HLOOKUP(U$15,Data_5!$F$10:$BG$42,$A33+2,FALSE)="NO","NO",HLOOKUP(U$15,Data_5!$F$10:$BG$42,$A33+2,FALSE)/Data_5!$BH28))))),"")</f>
        <v>NO</v>
      </c>
      <c r="V33" s="1122">
        <f>IFERROR(IF(HLOOKUP(V$15,Data_5!$F$10:$BG$42,$A33+2,FALSE)="NO","NO",IF(HLOOKUP(V$15,Data_5!$F$10:$BG$42,$A33+2,FALSE)="IE","IE",IF(HLOOKUP(V$15,Data_5!$F$10:$BG$42,$A33+2,FALSE)="NE","NE",IF(HLOOKUP(V$15,Data_5!$F$10:$BG$42,$A33+2,FALSE)="C","C",IF(HLOOKUP(V$15,Data_5!$F$10:$BG$42,$A33+2,FALSE)="NO","NO",HLOOKUP(V$15,Data_5!$F$10:$BG$42,$A33+2,FALSE)/Data_5!$BH28))))),"")</f>
        <v>0</v>
      </c>
      <c r="W33" s="1122">
        <f>IFERROR(IF(HLOOKUP(W$15,Data_5!$F$10:$BG$42,$A33+2,FALSE)="NO","NO",IF(HLOOKUP(W$15,Data_5!$F$10:$BG$42,$A33+2,FALSE)="IE","IE",IF(HLOOKUP(W$15,Data_5!$F$10:$BG$42,$A33+2,FALSE)="NE","NE",IF(HLOOKUP(W$15,Data_5!$F$10:$BG$42,$A33+2,FALSE)="C","C",IF(HLOOKUP(W$15,Data_5!$F$10:$BG$42,$A33+2,FALSE)="NO","NO",HLOOKUP(W$15,Data_5!$F$10:$BG$42,$A33+2,FALSE)/Data_5!$BH28))))),"")</f>
        <v>2.6105949708776142E-2</v>
      </c>
      <c r="X33" s="1122">
        <f>IFERROR(IF(HLOOKUP(X$15,Data_5!$F$10:$BG$42,$A33+2,FALSE)="NO","NO",IF(HLOOKUP(X$15,Data_5!$F$10:$BG$42,$A33+2,FALSE)="IE","IE",IF(HLOOKUP(X$15,Data_5!$F$10:$BG$42,$A33+2,FALSE)="NE","NE",IF(HLOOKUP(X$15,Data_5!$F$10:$BG$42,$A33+2,FALSE)="C","C",IF(HLOOKUP(X$15,Data_5!$F$10:$BG$42,$A33+2,FALSE)="NO","NO",HLOOKUP(X$15,Data_5!$F$10:$BG$42,$A33+2,FALSE)/Data_5!$BH28))))),"")</f>
        <v>0</v>
      </c>
      <c r="Y33" s="1122" t="str">
        <f>IFERROR(IF(HLOOKUP(Y$15,Data_5!$F$10:$BG$42,$A33+2,FALSE)="NO","NO",IF(HLOOKUP(Y$15,Data_5!$F$10:$BG$42,$A33+2,FALSE)="IE","IE",IF(HLOOKUP(Y$15,Data_5!$F$10:$BG$42,$A33+2,FALSE)="NE","NE",IF(HLOOKUP(Y$15,Data_5!$F$10:$BG$42,$A33+2,FALSE)="C","C",IF(HLOOKUP(Y$15,Data_5!$F$10:$BG$42,$A33+2,FALSE)="NO","NO",HLOOKUP(Y$15,Data_5!$F$10:$BG$42,$A33+2,FALSE)/Data_5!$BH28))))),"")</f>
        <v>NO</v>
      </c>
      <c r="Z33" s="1122" t="str">
        <f>IFERROR(IF(HLOOKUP(Z$15,Data_5!$F$10:$BG$42,$A33+2,FALSE)="NO","NO",IF(HLOOKUP(Z$15,Data_5!$F$10:$BG$42,$A33+2,FALSE)="IE","IE",IF(HLOOKUP(Z$15,Data_5!$F$10:$BG$42,$A33+2,FALSE)="NE","NE",IF(HLOOKUP(Z$15,Data_5!$F$10:$BG$42,$A33+2,FALSE)="C","C",IF(HLOOKUP(Z$15,Data_5!$F$10:$BG$42,$A33+2,FALSE)="NO","NO",HLOOKUP(Z$15,Data_5!$F$10:$BG$42,$A33+2,FALSE)/Data_5!$BH28))))),"")</f>
        <v>NO</v>
      </c>
      <c r="AA33" s="1122">
        <f>IFERROR(IF(HLOOKUP(AA$15,Data_5!$F$10:$BG$42,$A33+2,FALSE)="NO","NO",IF(HLOOKUP(AA$15,Data_5!$F$10:$BG$42,$A33+2,FALSE)="IE","IE",IF(HLOOKUP(AA$15,Data_5!$F$10:$BG$42,$A33+2,FALSE)="NE","NE",IF(HLOOKUP(AA$15,Data_5!$F$10:$BG$42,$A33+2,FALSE)="C","C",IF(HLOOKUP(AA$15,Data_5!$F$10:$BG$42,$A33+2,FALSE)="NO","NO",HLOOKUP(AA$15,Data_5!$F$10:$BG$42,$A33+2,FALSE)/Data_5!$BH28))))),"")</f>
        <v>0.18277821716255899</v>
      </c>
      <c r="AB33" s="1122" t="str">
        <f>IFERROR(IF(HLOOKUP(AB$15,Data_5!$F$10:$BG$42,$A33+2,FALSE)="NO","NO",IF(HLOOKUP(AB$15,Data_5!$F$10:$BG$42,$A33+2,FALSE)="IE","IE",IF(HLOOKUP(AB$15,Data_5!$F$10:$BG$42,$A33+2,FALSE)="NE","NE",IF(HLOOKUP(AB$15,Data_5!$F$10:$BG$42,$A33+2,FALSE)="C","C",IF(HLOOKUP(AB$15,Data_5!$F$10:$BG$42,$A33+2,FALSE)="NO","NO",HLOOKUP(AB$15,Data_5!$F$10:$BG$42,$A33+2,FALSE)/Data_5!$BH28))))),"")</f>
        <v>NO</v>
      </c>
      <c r="AC33" s="1122">
        <f>IFERROR(IF(HLOOKUP(AC$15,Data_5!$F$10:$BG$42,$A33+2,FALSE)="NO","NO",IF(HLOOKUP(AC$15,Data_5!$F$10:$BG$42,$A33+2,FALSE)="IE","IE",IF(HLOOKUP(AC$15,Data_5!$F$10:$BG$42,$A33+2,FALSE)="NE","NE",IF(HLOOKUP(AC$15,Data_5!$F$10:$BG$42,$A33+2,FALSE)="C","C",IF(HLOOKUP(AC$15,Data_5!$F$10:$BG$42,$A33+2,FALSE)="NO","NO",HLOOKUP(AC$15,Data_5!$F$10:$BG$42,$A33+2,FALSE)/Data_5!$BH28))))),"")</f>
        <v>1.1936536639501637E-2</v>
      </c>
      <c r="AD33" s="1122" t="str">
        <f>IFERROR(IF(HLOOKUP(AD$15,Data_5!$F$10:$BG$42,$A33+2,FALSE)="NO","NO",IF(HLOOKUP(AD$15,Data_5!$F$10:$BG$42,$A33+2,FALSE)="IE","IE",IF(HLOOKUP(AD$15,Data_5!$F$10:$BG$42,$A33+2,FALSE)="NE","NE",IF(HLOOKUP(AD$15,Data_5!$F$10:$BG$42,$A33+2,FALSE)="C","C",IF(HLOOKUP(AD$15,Data_5!$F$10:$BG$42,$A33+2,FALSE)="NO","NO",HLOOKUP(AD$15,Data_5!$F$10:$BG$42,$A33+2,FALSE)/Data_5!$BH28))))),"")</f>
        <v>NO</v>
      </c>
      <c r="AE33" s="1122">
        <f>IFERROR(IF(HLOOKUP(AE$15,Data_5!$F$10:$BG$42,$A33+2,FALSE)="NO","NO",IF(HLOOKUP(AE$15,Data_5!$F$10:$BG$42,$A33+2,FALSE)="IE","IE",IF(HLOOKUP(AE$15,Data_5!$F$10:$BG$42,$A33+2,FALSE)="NE","NE",IF(HLOOKUP(AE$15,Data_5!$F$10:$BG$42,$A33+2,FALSE)="C","C",IF(HLOOKUP(AE$15,Data_5!$F$10:$BG$42,$A33+2,FALSE)="NO","NO",HLOOKUP(AE$15,Data_5!$F$10:$BG$42,$A33+2,FALSE)/Data_5!$BH28))))),"")</f>
        <v>7.0345830108307786E-3</v>
      </c>
      <c r="AF33" s="1122" t="str">
        <f>IFERROR(IF(HLOOKUP(AF$15,Data_5!$F$10:$BG$42,$A33+2,FALSE)="NO","NO",IF(HLOOKUP(AF$15,Data_5!$F$10:$BG$42,$A33+2,FALSE)="IE","IE",IF(HLOOKUP(AF$15,Data_5!$F$10:$BG$42,$A33+2,FALSE)="NE","NE",IF(HLOOKUP(AF$15,Data_5!$F$10:$BG$42,$A33+2,FALSE)="C","C",IF(HLOOKUP(AF$15,Data_5!$F$10:$BG$42,$A33+2,FALSE)="NO","NO",HLOOKUP(AF$15,Data_5!$F$10:$BG$42,$A33+2,FALSE)/Data_5!$BH28))))),"")</f>
        <v>IE</v>
      </c>
      <c r="AG33" s="1122" t="str">
        <f>IFERROR(IF(HLOOKUP(AG$15,Data_5!$F$10:$BG$42,$A33+2,FALSE)="NO","NO",IF(HLOOKUP(AG$15,Data_5!$F$10:$BG$42,$A33+2,FALSE)="IE","IE",IF(HLOOKUP(AG$15,Data_5!$F$10:$BG$42,$A33+2,FALSE)="NE","NE",IF(HLOOKUP(AG$15,Data_5!$F$10:$BG$42,$A33+2,FALSE)="C","C",IF(HLOOKUP(AG$15,Data_5!$F$10:$BG$42,$A33+2,FALSE)="NO","NO",HLOOKUP(AG$15,Data_5!$F$10:$BG$42,$A33+2,FALSE)/Data_5!$BH28))))),"")</f>
        <v>IE</v>
      </c>
      <c r="AH33" s="1122" t="str">
        <f>IFERROR(IF(HLOOKUP(AH$15,Data_5!$F$10:$BG$42,$A33+2,FALSE)="NO","NO",IF(HLOOKUP(AH$15,Data_5!$F$10:$BG$42,$A33+2,FALSE)="IE","IE",IF(HLOOKUP(AH$15,Data_5!$F$10:$BG$42,$A33+2,FALSE)="NE","NE",IF(HLOOKUP(AH$15,Data_5!$F$10:$BG$42,$A33+2,FALSE)="C","C",IF(HLOOKUP(AH$15,Data_5!$F$10:$BG$42,$A33+2,FALSE)="NO","NO",HLOOKUP(AH$15,Data_5!$F$10:$BG$42,$A33+2,FALSE)/Data_5!$BH28))))),"")</f>
        <v>NO</v>
      </c>
      <c r="AI33" s="1122">
        <f>IFERROR(IF(HLOOKUP(AI$15,Data_5!$F$10:$BG$42,$A33+2,FALSE)="NO","NO",IF(HLOOKUP(AI$15,Data_5!$F$10:$BG$42,$A33+2,FALSE)="IE","IE",IF(HLOOKUP(AI$15,Data_5!$F$10:$BG$42,$A33+2,FALSE)="NE","NE",IF(HLOOKUP(AI$15,Data_5!$F$10:$BG$42,$A33+2,FALSE)="C","C",IF(HLOOKUP(AI$15,Data_5!$F$10:$BG$42,$A33+2,FALSE)="NO","NO",HLOOKUP(AI$15,Data_5!$F$10:$BG$42,$A33+2,FALSE)/Data_5!$BH28))))),"")</f>
        <v>2.1634972659096717E-2</v>
      </c>
      <c r="AJ33" s="1122" t="str">
        <f>IFERROR(IF(HLOOKUP(AJ$15,Data_5!$F$10:$BG$42,$A33+2,FALSE)="NO","NO",IF(HLOOKUP(AJ$15,Data_5!$F$10:$BG$42,$A33+2,FALSE)="IE","IE",IF(HLOOKUP(AJ$15,Data_5!$F$10:$BG$42,$A33+2,FALSE)="NE","NE",IF(HLOOKUP(AJ$15,Data_5!$F$10:$BG$42,$A33+2,FALSE)="C","C",IF(HLOOKUP(AJ$15,Data_5!$F$10:$BG$42,$A33+2,FALSE)="NO","NO",HLOOKUP(AJ$15,Data_5!$F$10:$BG$42,$A33+2,FALSE)/Data_5!$BH28))))),"")</f>
        <v>IE</v>
      </c>
      <c r="AL33" s="2628" t="str">
        <f t="shared" si="0"/>
        <v>Oslo</v>
      </c>
      <c r="AM33" s="2629"/>
      <c r="AN33" s="1100">
        <f t="shared" si="1"/>
        <v>2013</v>
      </c>
      <c r="AO33" s="1122" t="str">
        <f>IFERROR(IF(VLOOKUP($AL33,Data_5!$B$12:$E$42,4,FALSE)="BASIC","",(IF(HLOOKUP(AO$15,Data_5!$F$10:$BG$42,$A33+2,FALSE)="NO","NO",IF(HLOOKUP(AO$15,Data_5!$F$10:$BG$42,$A33+2,FALSE)="IE","IE",IF(HLOOKUP(AO$15,Data_5!$F$10:$BG$42,$A33+2,FALSE)="NE","NE",IF(HLOOKUP(AO$15,Data_5!$F$10:$BG$42,$A33+2,FALSE)="C","C",IF(HLOOKUP(AO$15,Data_5!$F$10:$BG$42,$A33+2,FALSE)="NO","NO",HLOOKUP(AO$15,Data_5!$F$10:$BG$42,$A33+2,FALSE)/Data_5!$BI28))))))),"")</f>
        <v/>
      </c>
      <c r="AP33" s="1122" t="str">
        <f>IFERROR(IF(VLOOKUP($AL33,Data_5!$B$12:$E$42,4,FALSE)="BASIC","",(IF(HLOOKUP(AP$15,Data_5!$F$10:$BG$42,$A33+2,FALSE)="NO","NO",IF(HLOOKUP(AP$15,Data_5!$F$10:$BG$42,$A33+2,FALSE)="IE","IE",IF(HLOOKUP(AP$15,Data_5!$F$10:$BG$42,$A33+2,FALSE)="NE","NE",IF(HLOOKUP(AP$15,Data_5!$F$10:$BG$42,$A33+2,FALSE)="C","C",IF(HLOOKUP(AP$15,Data_5!$F$10:$BG$42,$A33+2,FALSE)="NO","NO",HLOOKUP(AP$15,Data_5!$F$10:$BG$42,$A33+2,FALSE)/Data_5!$BI28))))))),"")</f>
        <v/>
      </c>
      <c r="AQ33" s="1122" t="str">
        <f>IFERROR(IF(VLOOKUP($AL33,Data_5!$B$12:$E$42,4,FALSE)="BASIC","",(IF(HLOOKUP(AQ$15,Data_5!$F$10:$BG$42,$A33+2,FALSE)="NO","NO",IF(HLOOKUP(AQ$15,Data_5!$F$10:$BG$42,$A33+2,FALSE)="IE","IE",IF(HLOOKUP(AQ$15,Data_5!$F$10:$BG$42,$A33+2,FALSE)="NE","NE",IF(HLOOKUP(AQ$15,Data_5!$F$10:$BG$42,$A33+2,FALSE)="C","C",IF(HLOOKUP(AQ$15,Data_5!$F$10:$BG$42,$A33+2,FALSE)="NO","NO",HLOOKUP(AQ$15,Data_5!$F$10:$BG$42,$A33+2,FALSE)/Data_5!$BI28))))))),"")</f>
        <v/>
      </c>
      <c r="AR33" s="1122" t="str">
        <f>IFERROR(IF(VLOOKUP($AL33,Data_5!$B$12:$E$42,4,FALSE)="BASIC","",(IF(HLOOKUP(AR$15,Data_5!$F$10:$BG$42,$A33+2,FALSE)="NO","NO",IF(HLOOKUP(AR$15,Data_5!$F$10:$BG$42,$A33+2,FALSE)="IE","IE",IF(HLOOKUP(AR$15,Data_5!$F$10:$BG$42,$A33+2,FALSE)="NE","NE",IF(HLOOKUP(AR$15,Data_5!$F$10:$BG$42,$A33+2,FALSE)="C","C",IF(HLOOKUP(AR$15,Data_5!$F$10:$BG$42,$A33+2,FALSE)="NO","NO",HLOOKUP(AR$15,Data_5!$F$10:$BG$42,$A33+2,FALSE)/Data_5!$BI28))))))),"")</f>
        <v/>
      </c>
      <c r="AS33" s="1122" t="str">
        <f>IFERROR(IF(VLOOKUP($AL33,Data_5!$B$12:$E$42,4,FALSE)="BASIC","",(IF(HLOOKUP(AS$15,Data_5!$F$10:$BG$42,$A33+2,FALSE)="NO","NO",IF(HLOOKUP(AS$15,Data_5!$F$10:$BG$42,$A33+2,FALSE)="IE","IE",IF(HLOOKUP(AS$15,Data_5!$F$10:$BG$42,$A33+2,FALSE)="NE","NE",IF(HLOOKUP(AS$15,Data_5!$F$10:$BG$42,$A33+2,FALSE)="C","C",IF(HLOOKUP(AS$15,Data_5!$F$10:$BG$42,$A33+2,FALSE)="NO","NO",HLOOKUP(AS$15,Data_5!$F$10:$BG$42,$A33+2,FALSE)/Data_5!$BI28))))))),"")</f>
        <v/>
      </c>
      <c r="AT33" s="1122" t="str">
        <f>IFERROR(IF(VLOOKUP($AL33,Data_5!$B$12:$E$42,4,FALSE)="BASIC","",(IF(HLOOKUP(AT$15,Data_5!$F$10:$BG$42,$A33+2,FALSE)="NO","NO",IF(HLOOKUP(AT$15,Data_5!$F$10:$BG$42,$A33+2,FALSE)="IE","IE",IF(HLOOKUP(AT$15,Data_5!$F$10:$BG$42,$A33+2,FALSE)="NE","NE",IF(HLOOKUP(AT$15,Data_5!$F$10:$BG$42,$A33+2,FALSE)="C","C",IF(HLOOKUP(AT$15,Data_5!$F$10:$BG$42,$A33+2,FALSE)="NO","NO",HLOOKUP(AT$15,Data_5!$F$10:$BG$42,$A33+2,FALSE)/Data_5!$BI28))))))),"")</f>
        <v/>
      </c>
      <c r="AU33" s="1122" t="str">
        <f>IFERROR(IF(VLOOKUP($AL33,Data_5!$B$12:$E$42,4,FALSE)="BASIC","",(IF(HLOOKUP(AU$15,Data_5!$F$10:$BG$42,$A33+2,FALSE)="NO","NO",IF(HLOOKUP(AU$15,Data_5!$F$10:$BG$42,$A33+2,FALSE)="IE","IE",IF(HLOOKUP(AU$15,Data_5!$F$10:$BG$42,$A33+2,FALSE)="NE","NE",IF(HLOOKUP(AU$15,Data_5!$F$10:$BG$42,$A33+2,FALSE)="C","C",IF(HLOOKUP(AU$15,Data_5!$F$10:$BG$42,$A33+2,FALSE)="NO","NO",HLOOKUP(AU$15,Data_5!$F$10:$BG$42,$A33+2,FALSE)/Data_5!$BI28))))))),"")</f>
        <v/>
      </c>
      <c r="AV33" s="1122" t="str">
        <f>IFERROR(IF(VLOOKUP($AL33,Data_5!$B$12:$E$42,4,FALSE)="BASIC","",(IF(HLOOKUP(AV$15,Data_5!$F$10:$BG$42,$A33+2,FALSE)="NO","NO",IF(HLOOKUP(AV$15,Data_5!$F$10:$BG$42,$A33+2,FALSE)="IE","IE",IF(HLOOKUP(AV$15,Data_5!$F$10:$BG$42,$A33+2,FALSE)="NE","NE",IF(HLOOKUP(AV$15,Data_5!$F$10:$BG$42,$A33+2,FALSE)="C","C",IF(HLOOKUP(AV$15,Data_5!$F$10:$BG$42,$A33+2,FALSE)="NO","NO",HLOOKUP(AV$15,Data_5!$F$10:$BG$42,$A33+2,FALSE)/Data_5!$BI28))))))),"")</f>
        <v/>
      </c>
      <c r="AW33" s="1122" t="str">
        <f>IFERROR(IF(VLOOKUP($AL33,Data_5!$B$12:$E$42,4,FALSE)="BASIC","",(IF(HLOOKUP(AW$15,Data_5!$F$10:$BG$42,$A33+2,FALSE)="NO","NO",IF(HLOOKUP(AW$15,Data_5!$F$10:$BG$42,$A33+2,FALSE)="IE","IE",IF(HLOOKUP(AW$15,Data_5!$F$10:$BG$42,$A33+2,FALSE)="NE","NE",IF(HLOOKUP(AW$15,Data_5!$F$10:$BG$42,$A33+2,FALSE)="C","C",IF(HLOOKUP(AW$15,Data_5!$F$10:$BG$42,$A33+2,FALSE)="NO","NO",HLOOKUP(AW$15,Data_5!$F$10:$BG$42,$A33+2,FALSE)/Data_5!$BI28))))))),"")</f>
        <v/>
      </c>
      <c r="AX33" s="1122" t="str">
        <f>IFERROR(IF(VLOOKUP($AL33,Data_5!$B$12:$E$42,4,FALSE)="BASIC","",(IF(HLOOKUP(AX$15,Data_5!$F$10:$BG$42,$A33+2,FALSE)="NO","NO",IF(HLOOKUP(AX$15,Data_5!$F$10:$BG$42,$A33+2,FALSE)="IE","IE",IF(HLOOKUP(AX$15,Data_5!$F$10:$BG$42,$A33+2,FALSE)="NE","NE",IF(HLOOKUP(AX$15,Data_5!$F$10:$BG$42,$A33+2,FALSE)="C","C",IF(HLOOKUP(AX$15,Data_5!$F$10:$BG$42,$A33+2,FALSE)="NO","NO",HLOOKUP(AX$15,Data_5!$F$10:$BG$42,$A33+2,FALSE)/Data_5!$BI28))))))),"")</f>
        <v/>
      </c>
      <c r="AY33" s="1122" t="str">
        <f>IFERROR(IF(VLOOKUP($AL33,Data_5!$B$12:$E$42,4,FALSE)="BASIC","",(IF(HLOOKUP(AY$15,Data_5!$F$10:$BG$42,$A33+2,FALSE)="NO","NO",IF(HLOOKUP(AY$15,Data_5!$F$10:$BG$42,$A33+2,FALSE)="IE","IE",IF(HLOOKUP(AY$15,Data_5!$F$10:$BG$42,$A33+2,FALSE)="NE","NE",IF(HLOOKUP(AY$15,Data_5!$F$10:$BG$42,$A33+2,FALSE)="C","C",IF(HLOOKUP(AY$15,Data_5!$F$10:$BG$42,$A33+2,FALSE)="NO","NO",HLOOKUP(AY$15,Data_5!$F$10:$BG$42,$A33+2,FALSE)/Data_5!$BI28))))))),"")</f>
        <v/>
      </c>
      <c r="AZ33" s="1122" t="str">
        <f>IFERROR(IF(VLOOKUP($AL33,Data_5!$B$12:$E$42,4,FALSE)="BASIC","",(IF(HLOOKUP(AZ$15,Data_5!$F$10:$BG$42,$A33+2,FALSE)="NO","NO",IF(HLOOKUP(AZ$15,Data_5!$F$10:$BG$42,$A33+2,FALSE)="IE","IE",IF(HLOOKUP(AZ$15,Data_5!$F$10:$BG$42,$A33+2,FALSE)="NE","NE",IF(HLOOKUP(AZ$15,Data_5!$F$10:$BG$42,$A33+2,FALSE)="C","C",IF(HLOOKUP(AZ$15,Data_5!$F$10:$BG$42,$A33+2,FALSE)="NO","NO",HLOOKUP(AZ$15,Data_5!$F$10:$BG$42,$A33+2,FALSE)/Data_5!$BI28))))))),"")</f>
        <v/>
      </c>
      <c r="BA33" s="1122" t="str">
        <f>IFERROR(IF(VLOOKUP($AL33,Data_5!$B$12:$E$42,4,FALSE)="BASIC","",(IF(HLOOKUP(BA$15,Data_5!$F$10:$BG$42,$A33+2,FALSE)="NO","NO",IF(HLOOKUP(BA$15,Data_5!$F$10:$BG$42,$A33+2,FALSE)="IE","IE",IF(HLOOKUP(BA$15,Data_5!$F$10:$BG$42,$A33+2,FALSE)="NE","NE",IF(HLOOKUP(BA$15,Data_5!$F$10:$BG$42,$A33+2,FALSE)="C","C",IF(HLOOKUP(BA$15,Data_5!$F$10:$BG$42,$A33+2,FALSE)="NO","NO",HLOOKUP(BA$15,Data_5!$F$10:$BG$42,$A33+2,FALSE)/Data_5!$BI28))))))),"")</f>
        <v/>
      </c>
      <c r="BB33" s="1122" t="str">
        <f>IFERROR(IF(VLOOKUP($AL33,Data_5!$B$12:$E$42,4,FALSE)="BASIC","",(IF(HLOOKUP(BB$15,Data_5!$F$10:$BG$42,$A33+2,FALSE)="NO","NO",IF(HLOOKUP(BB$15,Data_5!$F$10:$BG$42,$A33+2,FALSE)="IE","IE",IF(HLOOKUP(BB$15,Data_5!$F$10:$BG$42,$A33+2,FALSE)="NE","NE",IF(HLOOKUP(BB$15,Data_5!$F$10:$BG$42,$A33+2,FALSE)="C","C",IF(HLOOKUP(BB$15,Data_5!$F$10:$BG$42,$A33+2,FALSE)="NO","NO",HLOOKUP(BB$15,Data_5!$F$10:$BG$42,$A33+2,FALSE)/Data_5!$BI28))))))),"")</f>
        <v/>
      </c>
      <c r="BC33" s="1122" t="str">
        <f>IFERROR(IF(VLOOKUP($AL33,Data_5!$B$12:$E$42,4,FALSE)="BASIC","",(IF(HLOOKUP(BC$15,Data_5!$F$10:$BG$42,$A33+2,FALSE)="NO","NO",IF(HLOOKUP(BC$15,Data_5!$F$10:$BG$42,$A33+2,FALSE)="IE","IE",IF(HLOOKUP(BC$15,Data_5!$F$10:$BG$42,$A33+2,FALSE)="NE","NE",IF(HLOOKUP(BC$15,Data_5!$F$10:$BG$42,$A33+2,FALSE)="C","C",IF(HLOOKUP(BC$15,Data_5!$F$10:$BG$42,$A33+2,FALSE)="NO","NO",HLOOKUP(BC$15,Data_5!$F$10:$BG$42,$A33+2,FALSE)/Data_5!$BI28))))))),"")</f>
        <v/>
      </c>
      <c r="BD33" s="1122" t="str">
        <f>IFERROR(IF(VLOOKUP($AL33,Data_5!$B$12:$E$42,4,FALSE)="BASIC","",(IF(HLOOKUP(BD$15,Data_5!$F$10:$BG$42,$A33+2,FALSE)="NO","NO",IF(HLOOKUP(BD$15,Data_5!$F$10:$BG$42,$A33+2,FALSE)="IE","IE",IF(HLOOKUP(BD$15,Data_5!$F$10:$BG$42,$A33+2,FALSE)="NE","NE",IF(HLOOKUP(BD$15,Data_5!$F$10:$BG$42,$A33+2,FALSE)="C","C",IF(HLOOKUP(BD$15,Data_5!$F$10:$BG$42,$A33+2,FALSE)="NO","NO",HLOOKUP(BD$15,Data_5!$F$10:$BG$42,$A33+2,FALSE)/Data_5!$BI28))))))),"")</f>
        <v/>
      </c>
      <c r="BE33" s="1122" t="str">
        <f>IFERROR(IF(VLOOKUP($AL33,Data_5!$B$12:$E$42,4,FALSE)="BASIC","",(IF(HLOOKUP(BE$15,Data_5!$F$10:$BG$42,$A33+2,FALSE)="NO","NO",IF(HLOOKUP(BE$15,Data_5!$F$10:$BG$42,$A33+2,FALSE)="IE","IE",IF(HLOOKUP(BE$15,Data_5!$F$10:$BG$42,$A33+2,FALSE)="NE","NE",IF(HLOOKUP(BE$15,Data_5!$F$10:$BG$42,$A33+2,FALSE)="C","C",IF(HLOOKUP(BE$15,Data_5!$F$10:$BG$42,$A33+2,FALSE)="NO","NO",HLOOKUP(BE$15,Data_5!$F$10:$BG$42,$A33+2,FALSE)/Data_5!$BI28))))))),"")</f>
        <v/>
      </c>
      <c r="BF33" s="1122" t="str">
        <f>IFERROR(IF(VLOOKUP($AL33,Data_5!$B$12:$E$42,4,FALSE)="BASIC","",(IF(HLOOKUP(BF$15,Data_5!$F$10:$BG$42,$A33+2,FALSE)="NO","NO",IF(HLOOKUP(BF$15,Data_5!$F$10:$BG$42,$A33+2,FALSE)="IE","IE",IF(HLOOKUP(BF$15,Data_5!$F$10:$BG$42,$A33+2,FALSE)="NE","NE",IF(HLOOKUP(BF$15,Data_5!$F$10:$BG$42,$A33+2,FALSE)="C","C",IF(HLOOKUP(BF$15,Data_5!$F$10:$BG$42,$A33+2,FALSE)="NO","NO",HLOOKUP(BF$15,Data_5!$F$10:$BG$42,$A33+2,FALSE)/Data_5!$BI28))))))),"")</f>
        <v/>
      </c>
      <c r="BG33" s="1122" t="str">
        <f>IFERROR(IF(VLOOKUP($AL33,Data_5!$B$12:$E$42,4,FALSE)="BASIC","",(IF(HLOOKUP(BG$15,Data_5!$F$10:$BG$42,$A33+2,FALSE)="NO","NO",IF(HLOOKUP(BG$15,Data_5!$F$10:$BG$42,$A33+2,FALSE)="IE","IE",IF(HLOOKUP(BG$15,Data_5!$F$10:$BG$42,$A33+2,FALSE)="NE","NE",IF(HLOOKUP(BG$15,Data_5!$F$10:$BG$42,$A33+2,FALSE)="C","C",IF(HLOOKUP(BG$15,Data_5!$F$10:$BG$42,$A33+2,FALSE)="NO","NO",HLOOKUP(BG$15,Data_5!$F$10:$BG$42,$A33+2,FALSE)/Data_5!$BI28))))))),"")</f>
        <v/>
      </c>
      <c r="BH33" s="1122" t="str">
        <f>IFERROR(IF(VLOOKUP($AL33,Data_5!$B$12:$E$42,4,FALSE)="BASIC","",(IF(HLOOKUP(BH$15,Data_5!$F$10:$BG$42,$A33+2,FALSE)="NO","NO",IF(HLOOKUP(BH$15,Data_5!$F$10:$BG$42,$A33+2,FALSE)="IE","IE",IF(HLOOKUP(BH$15,Data_5!$F$10:$BG$42,$A33+2,FALSE)="NE","NE",IF(HLOOKUP(BH$15,Data_5!$F$10:$BG$42,$A33+2,FALSE)="C","C",IF(HLOOKUP(BH$15,Data_5!$F$10:$BG$42,$A33+2,FALSE)="NO","NO",HLOOKUP(BH$15,Data_5!$F$10:$BG$42,$A33+2,FALSE)/Data_5!$BI28))))))),"")</f>
        <v/>
      </c>
      <c r="BI33" s="1122" t="str">
        <f>IFERROR(IF(VLOOKUP($AL33,Data_5!$B$12:$E$42,4,FALSE)="BASIC","",(IF(HLOOKUP(BI$15,Data_5!$F$10:$BG$42,$A33+2,FALSE)="NO","NO",IF(HLOOKUP(BI$15,Data_5!$F$10:$BG$42,$A33+2,FALSE)="IE","IE",IF(HLOOKUP(BI$15,Data_5!$F$10:$BG$42,$A33+2,FALSE)="NE","NE",IF(HLOOKUP(BI$15,Data_5!$F$10:$BG$42,$A33+2,FALSE)="C","C",IF(HLOOKUP(BI$15,Data_5!$F$10:$BG$42,$A33+2,FALSE)="NO","NO",HLOOKUP(BI$15,Data_5!$F$10:$BG$42,$A33+2,FALSE)/Data_5!$BI28))))))),"")</f>
        <v/>
      </c>
      <c r="BJ33" s="1122" t="str">
        <f>IFERROR(IF(VLOOKUP($AL33,Data_5!$B$12:$E$42,4,FALSE)="BASIC","",(IF(HLOOKUP(BJ$15,Data_5!$F$10:$BG$42,$A33+2,FALSE)="NO","NO",IF(HLOOKUP(BJ$15,Data_5!$F$10:$BG$42,$A33+2,FALSE)="IE","IE",IF(HLOOKUP(BJ$15,Data_5!$F$10:$BG$42,$A33+2,FALSE)="NE","NE",IF(HLOOKUP(BJ$15,Data_5!$F$10:$BG$42,$A33+2,FALSE)="C","C",IF(HLOOKUP(BJ$15,Data_5!$F$10:$BG$42,$A33+2,FALSE)="NO","NO",HLOOKUP(BJ$15,Data_5!$F$10:$BG$42,$A33+2,FALSE)/Data_5!$BI28))))))),"")</f>
        <v/>
      </c>
      <c r="BK33" s="1122" t="str">
        <f>IFERROR(IF(VLOOKUP($AL33,Data_5!$B$12:$E$42,4,FALSE)="BASIC","",(IF(HLOOKUP(BK$15,Data_5!$F$10:$BG$42,$A33+2,FALSE)="NO","NO",IF(HLOOKUP(BK$15,Data_5!$F$10:$BG$42,$A33+2,FALSE)="IE","IE",IF(HLOOKUP(BK$15,Data_5!$F$10:$BG$42,$A33+2,FALSE)="NE","NE",IF(HLOOKUP(BK$15,Data_5!$F$10:$BG$42,$A33+2,FALSE)="C","C",IF(HLOOKUP(BK$15,Data_5!$F$10:$BG$42,$A33+2,FALSE)="NO","NO",HLOOKUP(BK$15,Data_5!$F$10:$BG$42,$A33+2,FALSE)/Data_5!$BI28))))))),"")</f>
        <v/>
      </c>
      <c r="BL33" s="1122" t="str">
        <f>IFERROR(IF(VLOOKUP($AL33,Data_5!$B$12:$E$42,4,FALSE)="BASIC","",(IF(HLOOKUP(BL$15,Data_5!$F$10:$BG$42,$A33+2,FALSE)="NO","NO",IF(HLOOKUP(BL$15,Data_5!$F$10:$BG$42,$A33+2,FALSE)="IE","IE",IF(HLOOKUP(BL$15,Data_5!$F$10:$BG$42,$A33+2,FALSE)="NE","NE",IF(HLOOKUP(BL$15,Data_5!$F$10:$BG$42,$A33+2,FALSE)="C","C",IF(HLOOKUP(BL$15,Data_5!$F$10:$BG$42,$A33+2,FALSE)="NO","NO",HLOOKUP(BL$15,Data_5!$F$10:$BG$42,$A33+2,FALSE)/Data_5!$BI28))))))),"")</f>
        <v/>
      </c>
      <c r="BM33" s="1122" t="str">
        <f>IFERROR(IF(VLOOKUP($AL33,Data_5!$B$12:$E$42,4,FALSE)="BASIC","",(IF(HLOOKUP(BM$15,Data_5!$F$10:$BG$42,$A33+2,FALSE)="NO","NO",IF(HLOOKUP(BM$15,Data_5!$F$10:$BG$42,$A33+2,FALSE)="IE","IE",IF(HLOOKUP(BM$15,Data_5!$F$10:$BG$42,$A33+2,FALSE)="NE","NE",IF(HLOOKUP(BM$15,Data_5!$F$10:$BG$42,$A33+2,FALSE)="C","C",IF(HLOOKUP(BM$15,Data_5!$F$10:$BG$42,$A33+2,FALSE)="NO","NO",HLOOKUP(BM$15,Data_5!$F$10:$BG$42,$A33+2,FALSE)/Data_5!$BI28))))))),"")</f>
        <v/>
      </c>
      <c r="BN33" s="1122" t="str">
        <f>IFERROR(IF(VLOOKUP($AL33,Data_5!$B$12:$E$42,4,FALSE)="BASIC","",(IF(HLOOKUP(BN$15,Data_5!$F$10:$BG$42,$A33+2,FALSE)="NO","NO",IF(HLOOKUP(BN$15,Data_5!$F$10:$BG$42,$A33+2,FALSE)="IE","IE",IF(HLOOKUP(BN$15,Data_5!$F$10:$BG$42,$A33+2,FALSE)="NE","NE",IF(HLOOKUP(BN$15,Data_5!$F$10:$BG$42,$A33+2,FALSE)="C","C",IF(HLOOKUP(BN$15,Data_5!$F$10:$BG$42,$A33+2,FALSE)="NO","NO",HLOOKUP(BN$15,Data_5!$F$10:$BG$42,$A33+2,FALSE)/Data_5!$BI28))))))),"")</f>
        <v/>
      </c>
      <c r="BO33" s="1122" t="str">
        <f>IFERROR(IF(VLOOKUP($AL33,Data_5!$B$12:$E$42,4,FALSE)="BASIC","",(IF(HLOOKUP(BO$15,Data_5!$F$10:$BG$42,$A33+2,FALSE)="NO","NO",IF(HLOOKUP(BO$15,Data_5!$F$10:$BG$42,$A33+2,FALSE)="IE","IE",IF(HLOOKUP(BO$15,Data_5!$F$10:$BG$42,$A33+2,FALSE)="NE","NE",IF(HLOOKUP(BO$15,Data_5!$F$10:$BG$42,$A33+2,FALSE)="C","C",IF(HLOOKUP(BO$15,Data_5!$F$10:$BG$42,$A33+2,FALSE)="NO","NO",HLOOKUP(BO$15,Data_5!$F$10:$BG$42,$A33+2,FALSE)/Data_5!$BI28))))))),"")</f>
        <v/>
      </c>
      <c r="BP33" s="1122" t="str">
        <f>IFERROR(IF(VLOOKUP($AL33,Data_5!$B$12:$E$42,4,FALSE)="BASIC","",(IF(HLOOKUP(BP$15,Data_5!$F$10:$BG$42,$A33+2,FALSE)="NO","NO",IF(HLOOKUP(BP$15,Data_5!$F$10:$BG$42,$A33+2,FALSE)="IE","IE",IF(HLOOKUP(BP$15,Data_5!$F$10:$BG$42,$A33+2,FALSE)="NE","NE",IF(HLOOKUP(BP$15,Data_5!$F$10:$BG$42,$A33+2,FALSE)="C","C",IF(HLOOKUP(BP$15,Data_5!$F$10:$BG$42,$A33+2,FALSE)="NO","NO",HLOOKUP(BP$15,Data_5!$F$10:$BG$42,$A33+2,FALSE)/Data_5!$BI28))))))),"")</f>
        <v/>
      </c>
      <c r="BQ33" s="1122" t="str">
        <f>IFERROR(IF(VLOOKUP($AL33,Data_5!$B$12:$E$42,4,FALSE)="BASIC","",(IF(HLOOKUP(BQ$15,Data_5!$F$10:$BG$42,$A33+2,FALSE)="NO","NO",IF(HLOOKUP(BQ$15,Data_5!$F$10:$BG$42,$A33+2,FALSE)="IE","IE",IF(HLOOKUP(BQ$15,Data_5!$F$10:$BG$42,$A33+2,FALSE)="NE","NE",IF(HLOOKUP(BQ$15,Data_5!$F$10:$BG$42,$A33+2,FALSE)="C","C",IF(HLOOKUP(BQ$15,Data_5!$F$10:$BG$42,$A33+2,FALSE)="NO","NO",HLOOKUP(BQ$15,Data_5!$F$10:$BG$42,$A33+2,FALSE)/Data_5!$BI28))))))),"")</f>
        <v/>
      </c>
      <c r="BR33" s="1122" t="str">
        <f>IFERROR(IF(VLOOKUP($AL33,Data_5!$B$12:$E$42,4,FALSE)="BASIC","",(IF(HLOOKUP(BR$15,Data_5!$F$10:$BG$42,$A33+2,FALSE)="NO","NO",IF(HLOOKUP(BR$15,Data_5!$F$10:$BG$42,$A33+2,FALSE)="IE","IE",IF(HLOOKUP(BR$15,Data_5!$F$10:$BG$42,$A33+2,FALSE)="NE","NE",IF(HLOOKUP(BR$15,Data_5!$F$10:$BG$42,$A33+2,FALSE)="C","C",IF(HLOOKUP(BR$15,Data_5!$F$10:$BG$42,$A33+2,FALSE)="NO","NO",HLOOKUP(BR$15,Data_5!$F$10:$BG$42,$A33+2,FALSE)/Data_5!$BI28))))))),"")</f>
        <v/>
      </c>
      <c r="BS33" s="1122" t="str">
        <f>IFERROR(IF(VLOOKUP($AL33,Data_5!$B$12:$E$42,4,FALSE)="BASIC","",(IF(HLOOKUP(BS$15,Data_5!$F$10:$BG$42,$A33+2,FALSE)="NO","NO",IF(HLOOKUP(BS$15,Data_5!$F$10:$BG$42,$A33+2,FALSE)="IE","IE",IF(HLOOKUP(BS$15,Data_5!$F$10:$BG$42,$A33+2,FALSE)="NE","NE",IF(HLOOKUP(BS$15,Data_5!$F$10:$BG$42,$A33+2,FALSE)="C","C",IF(HLOOKUP(BS$15,Data_5!$F$10:$BG$42,$A33+2,FALSE)="NO","NO",HLOOKUP(BS$15,Data_5!$F$10:$BG$42,$A33+2,FALSE)/Data_5!$BI28))))))),"")</f>
        <v/>
      </c>
      <c r="BT33" s="1122" t="str">
        <f>IFERROR(IF(VLOOKUP($AL33,Data_5!$B$12:$E$42,4,FALSE)="BASIC","",(IF(HLOOKUP(BT$15,Data_5!$F$10:$BG$42,$A33+2,FALSE)="NO","NO",IF(HLOOKUP(BT$15,Data_5!$F$10:$BG$42,$A33+2,FALSE)="IE","IE",IF(HLOOKUP(BT$15,Data_5!$F$10:$BG$42,$A33+2,FALSE)="NE","NE",IF(HLOOKUP(BT$15,Data_5!$F$10:$BG$42,$A33+2,FALSE)="C","C",IF(HLOOKUP(BT$15,Data_5!$F$10:$BG$42,$A33+2,FALSE)="NO","NO",HLOOKUP(BT$15,Data_5!$F$10:$BG$42,$A33+2,FALSE)/Data_5!$BI28))))))),"")</f>
        <v/>
      </c>
      <c r="BU33" s="1122" t="str">
        <f>IFERROR(IF(VLOOKUP($AL33,Data_5!$B$12:$E$42,4,FALSE)="BASIC","",(IF(HLOOKUP(BU$15,Data_5!$F$10:$BG$42,$A33+2,FALSE)="NO","NO",IF(HLOOKUP(BU$15,Data_5!$F$10:$BG$42,$A33+2,FALSE)="IE","IE",IF(HLOOKUP(BU$15,Data_5!$F$10:$BG$42,$A33+2,FALSE)="NE","NE",IF(HLOOKUP(BU$15,Data_5!$F$10:$BG$42,$A33+2,FALSE)="C","C",IF(HLOOKUP(BU$15,Data_5!$F$10:$BG$42,$A33+2,FALSE)="NO","NO",HLOOKUP(BU$15,Data_5!$F$10:$BG$42,$A33+2,FALSE)/Data_5!$BI28))))))),"")</f>
        <v/>
      </c>
      <c r="BV33" s="1122" t="str">
        <f>IFERROR(IF(VLOOKUP($AL33,Data_5!$B$12:$E$42,4,FALSE)="BASIC","",(IF(HLOOKUP(BV$15,Data_5!$F$10:$BG$42,$A33+2,FALSE)="NO","NO",IF(HLOOKUP(BV$15,Data_5!$F$10:$BG$42,$A33+2,FALSE)="IE","IE",IF(HLOOKUP(BV$15,Data_5!$F$10:$BG$42,$A33+2,FALSE)="NE","NE",IF(HLOOKUP(BV$15,Data_5!$F$10:$BG$42,$A33+2,FALSE)="C","C",IF(HLOOKUP(BV$15,Data_5!$F$10:$BG$42,$A33+2,FALSE)="NO","NO",HLOOKUP(BV$15,Data_5!$F$10:$BG$42,$A33+2,FALSE)/Data_5!$BI28))))))),"")</f>
        <v/>
      </c>
      <c r="BW33" s="1122" t="str">
        <f>IFERROR(IF(VLOOKUP($AL33,Data_5!$B$12:$E$42,4,FALSE)="BASIC","",(IF(HLOOKUP(BW$15,Data_5!$F$10:$BG$42,$A33+2,FALSE)="NO","NO",IF(HLOOKUP(BW$15,Data_5!$F$10:$BG$42,$A33+2,FALSE)="IE","IE",IF(HLOOKUP(BW$15,Data_5!$F$10:$BG$42,$A33+2,FALSE)="NE","NE",IF(HLOOKUP(BW$15,Data_5!$F$10:$BG$42,$A33+2,FALSE)="C","C",IF(HLOOKUP(BW$15,Data_5!$F$10:$BG$42,$A33+2,FALSE)="NO","NO",HLOOKUP(BW$15,Data_5!$F$10:$BG$42,$A33+2,FALSE)/Data_5!$BI28))))))),"")</f>
        <v/>
      </c>
      <c r="BX33" s="1122" t="str">
        <f>IFERROR(IF(VLOOKUP($AL33,Data_5!$B$12:$E$42,4,FALSE)="BASIC","",(IF(HLOOKUP(BX$15,Data_5!$F$10:$BG$42,$A33+2,FALSE)="NO","NO",IF(HLOOKUP(BX$15,Data_5!$F$10:$BG$42,$A33+2,FALSE)="IE","IE",IF(HLOOKUP(BX$15,Data_5!$F$10:$BG$42,$A33+2,FALSE)="NE","NE",IF(HLOOKUP(BX$15,Data_5!$F$10:$BG$42,$A33+2,FALSE)="C","C",IF(HLOOKUP(BX$15,Data_5!$F$10:$BG$42,$A33+2,FALSE)="NO","NO",HLOOKUP(BX$15,Data_5!$F$10:$BG$42,$A33+2,FALSE)/Data_5!$BI28))))))),"")</f>
        <v/>
      </c>
      <c r="BY33" s="1122" t="str">
        <f>IFERROR(IF(VLOOKUP($AL33,Data_5!$B$12:$E$42,4,FALSE)="BASIC","",(IF(HLOOKUP(BY$15,Data_5!$F$10:$BG$42,$A33+2,FALSE)="NO","NO",IF(HLOOKUP(BY$15,Data_5!$F$10:$BG$42,$A33+2,FALSE)="IE","IE",IF(HLOOKUP(BY$15,Data_5!$F$10:$BG$42,$A33+2,FALSE)="NE","NE",IF(HLOOKUP(BY$15,Data_5!$F$10:$BG$42,$A33+2,FALSE)="C","C",IF(HLOOKUP(BY$15,Data_5!$F$10:$BG$42,$A33+2,FALSE)="NO","NO",HLOOKUP(BY$15,Data_5!$F$10:$BG$42,$A33+2,FALSE)/Data_5!$BI28))))))),"")</f>
        <v/>
      </c>
      <c r="BZ33" s="1122" t="str">
        <f>IFERROR(IF(VLOOKUP($AL33,Data_5!$B$12:$E$42,4,FALSE)="BASIC","",(IF(HLOOKUP(BZ$15,Data_5!$F$10:$BG$42,$A33+2,FALSE)="NO","NO",IF(HLOOKUP(BZ$15,Data_5!$F$10:$BG$42,$A33+2,FALSE)="IE","IE",IF(HLOOKUP(BZ$15,Data_5!$F$10:$BG$42,$A33+2,FALSE)="NE","NE",IF(HLOOKUP(BZ$15,Data_5!$F$10:$BG$42,$A33+2,FALSE)="C","C",IF(HLOOKUP(BZ$15,Data_5!$F$10:$BG$42,$A33+2,FALSE)="NO","NO",HLOOKUP(BZ$15,Data_5!$F$10:$BG$42,$A33+2,FALSE)/Data_5!$BI28))))))),"")</f>
        <v/>
      </c>
      <c r="CA33" s="1122" t="str">
        <f>IFERROR(IF(VLOOKUP($AL33,Data_5!$B$12:$E$42,4,FALSE)="BASIC","",(IF(HLOOKUP(CA$15,Data_5!$F$10:$BG$42,$A33+2,FALSE)="NO","NO",IF(HLOOKUP(CA$15,Data_5!$F$10:$BG$42,$A33+2,FALSE)="IE","IE",IF(HLOOKUP(CA$15,Data_5!$F$10:$BG$42,$A33+2,FALSE)="NE","NE",IF(HLOOKUP(CA$15,Data_5!$F$10:$BG$42,$A33+2,FALSE)="C","C",IF(HLOOKUP(CA$15,Data_5!$F$10:$BG$42,$A33+2,FALSE)="NO","NO",HLOOKUP(CA$15,Data_5!$F$10:$BG$42,$A33+2,FALSE)/Data_5!$BI28))))))),"")</f>
        <v/>
      </c>
      <c r="CB33" s="1122" t="str">
        <f>IFERROR(IF(VLOOKUP($AL33,Data_5!$B$12:$E$42,4,FALSE)="BASIC","",(IF(HLOOKUP(CB$15,Data_5!$F$10:$BG$42,$A33+2,FALSE)="NO","NO",IF(HLOOKUP(CB$15,Data_5!$F$10:$BG$42,$A33+2,FALSE)="IE","IE",IF(HLOOKUP(CB$15,Data_5!$F$10:$BG$42,$A33+2,FALSE)="NE","NE",IF(HLOOKUP(CB$15,Data_5!$F$10:$BG$42,$A33+2,FALSE)="C","C",IF(HLOOKUP(CB$15,Data_5!$F$10:$BG$42,$A33+2,FALSE)="NO","NO",HLOOKUP(CB$15,Data_5!$F$10:$BG$42,$A33+2,FALSE)/Data_5!$BI28))))))),"")</f>
        <v/>
      </c>
      <c r="CC33" s="1122" t="str">
        <f>IFERROR(IF(VLOOKUP($AL33,Data_5!$B$12:$E$42,4,FALSE)="BASIC","",(IF(HLOOKUP(CC$15,Data_5!$F$10:$BG$42,$A33+2,FALSE)="NO","NO",IF(HLOOKUP(CC$15,Data_5!$F$10:$BG$42,$A33+2,FALSE)="IE","IE",IF(HLOOKUP(CC$15,Data_5!$F$10:$BG$42,$A33+2,FALSE)="NE","NE",IF(HLOOKUP(CC$15,Data_5!$F$10:$BG$42,$A33+2,FALSE)="C","C",IF(HLOOKUP(CC$15,Data_5!$F$10:$BG$42,$A33+2,FALSE)="NO","NO",HLOOKUP(CC$15,Data_5!$F$10:$BG$42,$A33+2,FALSE)/Data_5!$BI28))))))),"")</f>
        <v/>
      </c>
      <c r="CD33" s="1122" t="str">
        <f>IFERROR(IF(VLOOKUP($AL33,Data_5!$B$12:$E$42,4,FALSE)="BASIC","",(IF(HLOOKUP(CD$15,Data_5!$F$10:$BG$42,$A33+2,FALSE)="NO","NO",IF(HLOOKUP(CD$15,Data_5!$F$10:$BG$42,$A33+2,FALSE)="IE","IE",IF(HLOOKUP(CD$15,Data_5!$F$10:$BG$42,$A33+2,FALSE)="NE","NE",IF(HLOOKUP(CD$15,Data_5!$F$10:$BG$42,$A33+2,FALSE)="C","C",IF(HLOOKUP(CD$15,Data_5!$F$10:$BG$42,$A33+2,FALSE)="NO","NO",HLOOKUP(CD$15,Data_5!$F$10:$BG$42,$A33+2,FALSE)/Data_5!$BI28))))))),"")</f>
        <v/>
      </c>
      <c r="CE33" s="1122" t="str">
        <f>IFERROR(IF(VLOOKUP($AL33,Data_5!$B$12:$E$42,4,FALSE)="BASIC","",(IF(HLOOKUP(CE$15,Data_5!$F$10:$BG$42,$A33+2,FALSE)="NO","NO",IF(HLOOKUP(CE$15,Data_5!$F$10:$BG$42,$A33+2,FALSE)="IE","IE",IF(HLOOKUP(CE$15,Data_5!$F$10:$BG$42,$A33+2,FALSE)="NE","NE",IF(HLOOKUP(CE$15,Data_5!$F$10:$BG$42,$A33+2,FALSE)="C","C",IF(HLOOKUP(CE$15,Data_5!$F$10:$BG$42,$A33+2,FALSE)="NO","NO",HLOOKUP(CE$15,Data_5!$F$10:$BG$42,$A33+2,FALSE)/Data_5!$BI28))))))),"")</f>
        <v/>
      </c>
      <c r="CF33" s="1122" t="str">
        <f>IFERROR(IF(VLOOKUP($AL33,Data_5!$B$12:$E$42,4,FALSE)="BASIC","",(IF(HLOOKUP(CF$15,Data_5!$F$10:$BG$42,$A33+2,FALSE)="NO","NO",IF(HLOOKUP(CF$15,Data_5!$F$10:$BG$42,$A33+2,FALSE)="IE","IE",IF(HLOOKUP(CF$15,Data_5!$F$10:$BG$42,$A33+2,FALSE)="NE","NE",IF(HLOOKUP(CF$15,Data_5!$F$10:$BG$42,$A33+2,FALSE)="C","C",IF(HLOOKUP(CF$15,Data_5!$F$10:$BG$42,$A33+2,FALSE)="NO","NO",HLOOKUP(CF$15,Data_5!$F$10:$BG$42,$A33+2,FALSE)/Data_5!$BI28))))))),"")</f>
        <v/>
      </c>
      <c r="CG33" s="1122" t="str">
        <f>IFERROR(IF(VLOOKUP($AL33,Data_5!$B$12:$E$42,4,FALSE)="BASIC","",(IF(HLOOKUP(CG$15,Data_5!$F$10:$BG$42,$A33+2,FALSE)="NO","NO",IF(HLOOKUP(CG$15,Data_5!$F$10:$BG$42,$A33+2,FALSE)="IE","IE",IF(HLOOKUP(CG$15,Data_5!$F$10:$BG$42,$A33+2,FALSE)="NE","NE",IF(HLOOKUP(CG$15,Data_5!$F$10:$BG$42,$A33+2,FALSE)="C","C",IF(HLOOKUP(CG$15,Data_5!$F$10:$BG$42,$A33+2,FALSE)="NO","NO",HLOOKUP(CG$15,Data_5!$F$10:$BG$42,$A33+2,FALSE)/Data_5!$BI28))))))),"")</f>
        <v/>
      </c>
      <c r="CH33" s="1122" t="str">
        <f>IFERROR(IF(VLOOKUP($AL33,Data_5!$B$12:$E$42,4,FALSE)="BASIC","",(IF(HLOOKUP(CH$15,Data_5!$F$10:$BG$42,$A33+2,FALSE)="NO","NO",IF(HLOOKUP(CH$15,Data_5!$F$10:$BG$42,$A33+2,FALSE)="IE","IE",IF(HLOOKUP(CH$15,Data_5!$F$10:$BG$42,$A33+2,FALSE)="NE","NE",IF(HLOOKUP(CH$15,Data_5!$F$10:$BG$42,$A33+2,FALSE)="C","C",IF(HLOOKUP(CH$15,Data_5!$F$10:$BG$42,$A33+2,FALSE)="NO","NO",HLOOKUP(CH$15,Data_5!$F$10:$BG$42,$A33+2,FALSE)/Data_5!$BI28))))))),"")</f>
        <v/>
      </c>
      <c r="CI33" s="1122" t="str">
        <f>IFERROR(IF(VLOOKUP($AL33,Data_5!$B$12:$E$42,4,FALSE)="BASIC","",(IF(HLOOKUP(CI$15,Data_5!$F$10:$BG$42,$A33+2,FALSE)="NO","NO",IF(HLOOKUP(CI$15,Data_5!$F$10:$BG$42,$A33+2,FALSE)="IE","IE",IF(HLOOKUP(CI$15,Data_5!$F$10:$BG$42,$A33+2,FALSE)="NE","NE",IF(HLOOKUP(CI$15,Data_5!$F$10:$BG$42,$A33+2,FALSE)="C","C",IF(HLOOKUP(CI$15,Data_5!$F$10:$BG$42,$A33+2,FALSE)="NO","NO",HLOOKUP(CI$15,Data_5!$F$10:$BG$42,$A33+2,FALSE)/Data_5!$BI28))))))),"")</f>
        <v/>
      </c>
      <c r="CJ33" s="1122" t="str">
        <f>IFERROR(IF(VLOOKUP($AL33,Data_5!$B$12:$E$42,4,FALSE)="BASIC","",(IF(HLOOKUP(CJ$15,Data_5!$F$10:$BG$42,$A33+2,FALSE)="NO","NO",IF(HLOOKUP(CJ$15,Data_5!$F$10:$BG$42,$A33+2,FALSE)="IE","IE",IF(HLOOKUP(CJ$15,Data_5!$F$10:$BG$42,$A33+2,FALSE)="NE","NE",IF(HLOOKUP(CJ$15,Data_5!$F$10:$BG$42,$A33+2,FALSE)="C","C",IF(HLOOKUP(CJ$15,Data_5!$F$10:$BG$42,$A33+2,FALSE)="NO","NO",HLOOKUP(CJ$15,Data_5!$F$10:$BG$42,$A33+2,FALSE)/Data_5!$BI28))))))),"")</f>
        <v/>
      </c>
      <c r="CL33" s="2628" t="str">
        <f t="shared" si="2"/>
        <v>Oslo</v>
      </c>
      <c r="CM33" s="2629"/>
      <c r="CN33" s="1100">
        <f t="shared" si="3"/>
        <v>2013</v>
      </c>
      <c r="CO33" s="1122">
        <f>IFERROR(IF(HLOOKUP(CO$15,Data_5!$F$10:$BG$42,$A33+2,FALSE)="NO","NO",IF(HLOOKUP(CO$15,Data_5!$F$10:$BG$42,$A33+2,FALSE)="IE","IE",IF(HLOOKUP(CO$15,Data_5!$F$10:$BG$42,$A33+2,FALSE)="NE","NE",IF(HLOOKUP(CO$15,Data_5!$F$10:$BG$42,$A33+2,FALSE)="C","C",IF(HLOOKUP(CO$15,Data_5!$F$10:$BG$42,$A33+2,FALSE)="NO","NO",HLOOKUP(CO$15,Data_5!$F$10:$BG$42,$A33+2,FALSE)/Data_5!$BK28))))),"")</f>
        <v>0.17768741694152687</v>
      </c>
      <c r="CP33" s="1122" t="str">
        <f>IFERROR(IF(HLOOKUP(CP$15,Data_5!$F$10:$BG$42,$A33+2,FALSE)="NO","NO",IF(HLOOKUP(CP$15,Data_5!$F$10:$BG$42,$A33+2,FALSE)="IE","IE",IF(HLOOKUP(CP$15,Data_5!$F$10:$BG$42,$A33+2,FALSE)="NE","NE",IF(HLOOKUP(CP$15,Data_5!$F$10:$BG$42,$A33+2,FALSE)="C","C",IF(HLOOKUP(CP$15,Data_5!$F$10:$BG$42,$A33+2,FALSE)="NO","NO",HLOOKUP(CP$15,Data_5!$F$10:$BG$42,$A33+2,FALSE)/Data_5!$BK28))))),"")</f>
        <v>IE</v>
      </c>
      <c r="CQ33" s="1122">
        <f>IFERROR(IF(HLOOKUP(CQ$15,Data_5!$F$10:$BG$42,$A33+2,FALSE)="NO","NO",IF(HLOOKUP(CQ$15,Data_5!$F$10:$BG$42,$A33+2,FALSE)="IE","IE",IF(HLOOKUP(CQ$15,Data_5!$F$10:$BG$42,$A33+2,FALSE)="NE","NE",IF(HLOOKUP(CQ$15,Data_5!$F$10:$BG$42,$A33+2,FALSE)="C","C",IF(HLOOKUP(CQ$15,Data_5!$F$10:$BG$42,$A33+2,FALSE)="NO","NO",HLOOKUP(CQ$15,Data_5!$F$10:$BG$42,$A33+2,FALSE)/Data_5!$BK28))))),"")</f>
        <v>1.791805803865993E-2</v>
      </c>
      <c r="CR33" s="1122" t="str">
        <f>IFERROR(IF(HLOOKUP(CR$15,Data_5!$F$10:$BG$42,$A33+2,FALSE)="NO","NO",IF(HLOOKUP(CR$15,Data_5!$F$10:$BG$42,$A33+2,FALSE)="IE","IE",IF(HLOOKUP(CR$15,Data_5!$F$10:$BG$42,$A33+2,FALSE)="NE","NE",IF(HLOOKUP(CR$15,Data_5!$F$10:$BG$42,$A33+2,FALSE)="C","C",IF(HLOOKUP(CR$15,Data_5!$F$10:$BG$42,$A33+2,FALSE)="NO","NO",HLOOKUP(CR$15,Data_5!$F$10:$BG$42,$A33+2,FALSE)/Data_5!$BK28))))),"")</f>
        <v>NO</v>
      </c>
      <c r="CS33" s="1122">
        <f>IFERROR(IF(HLOOKUP(CS$15,Data_5!$F$10:$BG$42,$A33+2,FALSE)="NO","NO",IF(HLOOKUP(CS$15,Data_5!$F$10:$BG$42,$A33+2,FALSE)="IE","IE",IF(HLOOKUP(CS$15,Data_5!$F$10:$BG$42,$A33+2,FALSE)="NE","NE",IF(HLOOKUP(CS$15,Data_5!$F$10:$BG$42,$A33+2,FALSE)="C","C",IF(HLOOKUP(CS$15,Data_5!$F$10:$BG$42,$A33+2,FALSE)="NO","NO",HLOOKUP(CS$15,Data_5!$F$10:$BG$42,$A33+2,FALSE)/Data_5!$BK28))))),"")</f>
        <v>0.18291986271380664</v>
      </c>
      <c r="CT33" s="1122" t="str">
        <f>IFERROR(IF(HLOOKUP(CT$15,Data_5!$F$10:$BG$42,$A33+2,FALSE)="NO","NO",IF(HLOOKUP(CT$15,Data_5!$F$10:$BG$42,$A33+2,FALSE)="IE","IE",IF(HLOOKUP(CT$15,Data_5!$F$10:$BG$42,$A33+2,FALSE)="NE","NE",IF(HLOOKUP(CT$15,Data_5!$F$10:$BG$42,$A33+2,FALSE)="C","C",IF(HLOOKUP(CT$15,Data_5!$F$10:$BG$42,$A33+2,FALSE)="NO","NO",HLOOKUP(CT$15,Data_5!$F$10:$BG$42,$A33+2,FALSE)/Data_5!$BK28))))),"")</f>
        <v>IE</v>
      </c>
      <c r="CU33" s="1122" t="str">
        <f>IFERROR(IF(HLOOKUP(CU$15,Data_5!$F$10:$BG$42,$A33+2,FALSE)="NO","NO",IF(HLOOKUP(CU$15,Data_5!$F$10:$BG$42,$A33+2,FALSE)="IE","IE",IF(HLOOKUP(CU$15,Data_5!$F$10:$BG$42,$A33+2,FALSE)="NE","NE",IF(HLOOKUP(CU$15,Data_5!$F$10:$BG$42,$A33+2,FALSE)="C","C",IF(HLOOKUP(CU$15,Data_5!$F$10:$BG$42,$A33+2,FALSE)="NO","NO",HLOOKUP(CU$15,Data_5!$F$10:$BG$42,$A33+2,FALSE)/Data_5!$BK28))))),"")</f>
        <v>NO</v>
      </c>
      <c r="CV33" s="1122" t="str">
        <f>IFERROR(IF(HLOOKUP(CV$15,Data_5!$F$10:$BG$42,$A33+2,FALSE)="NO","NO",IF(HLOOKUP(CV$15,Data_5!$F$10:$BG$42,$A33+2,FALSE)="IE","IE",IF(HLOOKUP(CV$15,Data_5!$F$10:$BG$42,$A33+2,FALSE)="NE","NE",IF(HLOOKUP(CV$15,Data_5!$F$10:$BG$42,$A33+2,FALSE)="C","C",IF(HLOOKUP(CV$15,Data_5!$F$10:$BG$42,$A33+2,FALSE)="NO","NO",HLOOKUP(CV$15,Data_5!$F$10:$BG$42,$A33+2,FALSE)/Data_5!$BK28))))),"")</f>
        <v>NO</v>
      </c>
      <c r="CW33" s="1122" t="str">
        <f>IFERROR(IF(HLOOKUP(CW$15,Data_5!$F$10:$BG$42,$A33+2,FALSE)="NO","NO",IF(HLOOKUP(CW$15,Data_5!$F$10:$BG$42,$A33+2,FALSE)="IE","IE",IF(HLOOKUP(CW$15,Data_5!$F$10:$BG$42,$A33+2,FALSE)="NE","NE",IF(HLOOKUP(CW$15,Data_5!$F$10:$BG$42,$A33+2,FALSE)="C","C",IF(HLOOKUP(CW$15,Data_5!$F$10:$BG$42,$A33+2,FALSE)="NO","NO",HLOOKUP(CW$15,Data_5!$F$10:$BG$42,$A33+2,FALSE)/Data_5!$BK28))))),"")</f>
        <v>NO</v>
      </c>
      <c r="CX33" s="1122">
        <f>IFERROR(IF(HLOOKUP(CX$15,Data_5!$F$10:$BG$42,$A33+2,FALSE)="NO","NO",IF(HLOOKUP(CX$15,Data_5!$F$10:$BG$42,$A33+2,FALSE)="IE","IE",IF(HLOOKUP(CX$15,Data_5!$F$10:$BG$42,$A33+2,FALSE)="NE","NE",IF(HLOOKUP(CX$15,Data_5!$F$10:$BG$42,$A33+2,FALSE)="C","C",IF(HLOOKUP(CX$15,Data_5!$F$10:$BG$42,$A33+2,FALSE)="NO","NO",HLOOKUP(CX$15,Data_5!$F$10:$BG$42,$A33+2,FALSE)/Data_5!$BK28))))),"")</f>
        <v>0.37179972041351478</v>
      </c>
      <c r="CY33" s="1122" t="str">
        <f>IFERROR(IF(HLOOKUP(CY$15,Data_5!$F$10:$BG$42,$A33+2,FALSE)="NO","NO",IF(HLOOKUP(CY$15,Data_5!$F$10:$BG$42,$A33+2,FALSE)="IE","IE",IF(HLOOKUP(CY$15,Data_5!$F$10:$BG$42,$A33+2,FALSE)="NE","NE",IF(HLOOKUP(CY$15,Data_5!$F$10:$BG$42,$A33+2,FALSE)="C","C",IF(HLOOKUP(CY$15,Data_5!$F$10:$BG$42,$A33+2,FALSE)="NO","NO",HLOOKUP(CY$15,Data_5!$F$10:$BG$42,$A33+2,FALSE)/Data_5!$BK28))))),"")</f>
        <v>NO</v>
      </c>
      <c r="CZ33" s="1122">
        <f>IFERROR(IF(HLOOKUP(CZ$15,Data_5!$F$10:$BG$42,$A33+2,FALSE)="NO","NO",IF(HLOOKUP(CZ$15,Data_5!$F$10:$BG$42,$A33+2,FALSE)="IE","IE",IF(HLOOKUP(CZ$15,Data_5!$F$10:$BG$42,$A33+2,FALSE)="NE","NE",IF(HLOOKUP(CZ$15,Data_5!$F$10:$BG$42,$A33+2,FALSE)="C","C",IF(HLOOKUP(CZ$15,Data_5!$F$10:$BG$42,$A33+2,FALSE)="NO","NO",HLOOKUP(CZ$15,Data_5!$F$10:$BG$42,$A33+2,FALSE)/Data_5!$BK28))))),"")</f>
        <v>2.6125274381411757E-2</v>
      </c>
      <c r="DA33" s="1122" t="str">
        <f>IFERROR(IF(HLOOKUP(DA$15,Data_5!$F$10:$BG$42,$A33+2,FALSE)="NO","NO",IF(HLOOKUP(DA$15,Data_5!$F$10:$BG$42,$A33+2,FALSE)="IE","IE",IF(HLOOKUP(DA$15,Data_5!$F$10:$BG$42,$A33+2,FALSE)="NE","NE",IF(HLOOKUP(DA$15,Data_5!$F$10:$BG$42,$A33+2,FALSE)="C","C",IF(HLOOKUP(DA$15,Data_5!$F$10:$BG$42,$A33+2,FALSE)="NO","NO",HLOOKUP(DA$15,Data_5!$F$10:$BG$42,$A33+2,FALSE)/Data_5!$BK28))))),"")</f>
        <v>NO</v>
      </c>
      <c r="DB33" s="1122">
        <f>IFERROR(IF(HLOOKUP(DB$15,Data_5!$F$10:$BG$42,$A33+2,FALSE)="NO","NO",IF(HLOOKUP(DB$15,Data_5!$F$10:$BG$42,$A33+2,FALSE)="IE","IE",IF(HLOOKUP(DB$15,Data_5!$F$10:$BG$42,$A33+2,FALSE)="NE","NE",IF(HLOOKUP(DB$15,Data_5!$F$10:$BG$42,$A33+2,FALSE)="C","C",IF(HLOOKUP(DB$15,Data_5!$F$10:$BG$42,$A33+2,FALSE)="NO","NO",HLOOKUP(DB$15,Data_5!$F$10:$BG$42,$A33+2,FALSE)/Data_5!$BK28))))),"")</f>
        <v>0.18291351694099994</v>
      </c>
      <c r="DC33" s="1122">
        <f>IFERROR(IF(HLOOKUP(DC$15,Data_5!$F$10:$BG$42,$A33+2,FALSE)="NO","NO",IF(HLOOKUP(DC$15,Data_5!$F$10:$BG$42,$A33+2,FALSE)="IE","IE",IF(HLOOKUP(DC$15,Data_5!$F$10:$BG$42,$A33+2,FALSE)="NE","NE",IF(HLOOKUP(DC$15,Data_5!$F$10:$BG$42,$A33+2,FALSE)="C","C",IF(HLOOKUP(DC$15,Data_5!$F$10:$BG$42,$A33+2,FALSE)="NO","NO",HLOOKUP(DC$15,Data_5!$F$10:$BG$42,$A33+2,FALSE)/Data_5!$BK28))))),"")</f>
        <v>1.1945372543406097E-2</v>
      </c>
      <c r="DD33" s="1122" t="str">
        <f>IFERROR(IF(HLOOKUP(DD$15,Data_5!$F$10:$BG$42,$A33+2,FALSE)="NO","NO",IF(HLOOKUP(DD$15,Data_5!$F$10:$BG$42,$A33+2,FALSE)="IE","IE",IF(HLOOKUP(DD$15,Data_5!$F$10:$BG$42,$A33+2,FALSE)="NE","NE",IF(HLOOKUP(DD$15,Data_5!$F$10:$BG$42,$A33+2,FALSE)="C","C",IF(HLOOKUP(DD$15,Data_5!$F$10:$BG$42,$A33+2,FALSE)="NO","NO",HLOOKUP(DD$15,Data_5!$F$10:$BG$42,$A33+2,FALSE)/Data_5!$BK28))))),"")</f>
        <v>NO</v>
      </c>
      <c r="DE33" s="1122">
        <f>IFERROR(IF(HLOOKUP(DE$15,Data_5!$F$10:$BG$42,$A33+2,FALSE)="NO","NO",IF(HLOOKUP(DE$15,Data_5!$F$10:$BG$42,$A33+2,FALSE)="IE","IE",IF(HLOOKUP(DE$15,Data_5!$F$10:$BG$42,$A33+2,FALSE)="NE","NE",IF(HLOOKUP(DE$15,Data_5!$F$10:$BG$42,$A33+2,FALSE)="C","C",IF(HLOOKUP(DE$15,Data_5!$F$10:$BG$42,$A33+2,FALSE)="NO","NO",HLOOKUP(DE$15,Data_5!$F$10:$BG$42,$A33+2,FALSE)/Data_5!$BK28))))),"")</f>
        <v>7.0397902917506017E-3</v>
      </c>
      <c r="DF33" s="1122" t="str">
        <f>IFERROR(IF(HLOOKUP(DF$15,Data_5!$F$10:$BG$42,$A33+2,FALSE)="NO","NO",IF(HLOOKUP(DF$15,Data_5!$F$10:$BG$42,$A33+2,FALSE)="IE","IE",IF(HLOOKUP(DF$15,Data_5!$F$10:$BG$42,$A33+2,FALSE)="NE","NE",IF(HLOOKUP(DF$15,Data_5!$F$10:$BG$42,$A33+2,FALSE)="C","C",IF(HLOOKUP(DF$15,Data_5!$F$10:$BG$42,$A33+2,FALSE)="NO","NO",HLOOKUP(DF$15,Data_5!$F$10:$BG$42,$A33+2,FALSE)/Data_5!$BK28))))),"")</f>
        <v>NO</v>
      </c>
      <c r="DG33" s="1122" t="str">
        <f>IFERROR(IF(HLOOKUP(DG$15,Data_5!$F$10:$BG$42,$A33+2,FALSE)="NO","NO",IF(HLOOKUP(DG$15,Data_5!$F$10:$BG$42,$A33+2,FALSE)="IE","IE",IF(HLOOKUP(DG$15,Data_5!$F$10:$BG$42,$A33+2,FALSE)="NE","NE",IF(HLOOKUP(DG$15,Data_5!$F$10:$BG$42,$A33+2,FALSE)="C","C",IF(HLOOKUP(DG$15,Data_5!$F$10:$BG$42,$A33+2,FALSE)="NO","NO",HLOOKUP(DG$15,Data_5!$F$10:$BG$42,$A33+2,FALSE)/Data_5!$BK28))))),"")</f>
        <v>IE</v>
      </c>
      <c r="DH33" s="1122" t="str">
        <f>IFERROR(IF(HLOOKUP(DH$15,Data_5!$F$10:$BG$42,$A33+2,FALSE)="NO","NO",IF(HLOOKUP(DH$15,Data_5!$F$10:$BG$42,$A33+2,FALSE)="IE","IE",IF(HLOOKUP(DH$15,Data_5!$F$10:$BG$42,$A33+2,FALSE)="NE","NE",IF(HLOOKUP(DH$15,Data_5!$F$10:$BG$42,$A33+2,FALSE)="C","C",IF(HLOOKUP(DH$15,Data_5!$F$10:$BG$42,$A33+2,FALSE)="NO","NO",HLOOKUP(DH$15,Data_5!$F$10:$BG$42,$A33+2,FALSE)/Data_5!$BK28))))),"")</f>
        <v>IE</v>
      </c>
      <c r="DI33" s="1122">
        <f>IFERROR(IF(HLOOKUP(DI$15,Data_5!$F$10:$BG$42,$A33+2,FALSE)="NO","NO",IF(HLOOKUP(DI$15,Data_5!$F$10:$BG$42,$A33+2,FALSE)="IE","IE",IF(HLOOKUP(DI$15,Data_5!$F$10:$BG$42,$A33+2,FALSE)="NE","NE",IF(HLOOKUP(DI$15,Data_5!$F$10:$BG$42,$A33+2,FALSE)="C","C",IF(HLOOKUP(DI$15,Data_5!$F$10:$BG$42,$A33+2,FALSE)="NO","NO",HLOOKUP(DI$15,Data_5!$F$10:$BG$42,$A33+2,FALSE)/Data_5!$BK28))))),"")</f>
        <v>2.1650987734923553E-2</v>
      </c>
      <c r="DJ33" s="1122" t="str">
        <f>IFERROR(IF(HLOOKUP(DJ$15,Data_5!$F$10:$BG$42,$A33+2,FALSE)="NO","NO",IF(HLOOKUP(DJ$15,Data_5!$F$10:$BG$42,$A33+2,FALSE)="IE","IE",IF(HLOOKUP(DJ$15,Data_5!$F$10:$BG$42,$A33+2,FALSE)="NE","NE",IF(HLOOKUP(DJ$15,Data_5!$F$10:$BG$42,$A33+2,FALSE)="C","C",IF(HLOOKUP(DJ$15,Data_5!$F$10:$BG$42,$A33+2,FALSE)="NO","NO",HLOOKUP(DJ$15,Data_5!$F$10:$BG$42,$A33+2,FALSE)/Data_5!$BK28))))),"")</f>
        <v>NO</v>
      </c>
      <c r="DK33" s="1122" t="str">
        <f>IFERROR(IF(HLOOKUP(DK$15,Data_5!$F$10:$BG$42,$A33+2,FALSE)="NO","NO",IF(HLOOKUP(DK$15,Data_5!$F$10:$BG$42,$A33+2,FALSE)="IE","IE",IF(HLOOKUP(DK$15,Data_5!$F$10:$BG$42,$A33+2,FALSE)="NE","NE",IF(HLOOKUP(DK$15,Data_5!$F$10:$BG$42,$A33+2,FALSE)="C","C",IF(HLOOKUP(DK$15,Data_5!$F$10:$BG$42,$A33+2,FALSE)="NO","NO",HLOOKUP(DK$15,Data_5!$F$10:$BG$42,$A33+2,FALSE)/Data_5!$BK28))))),"")</f>
        <v>NE</v>
      </c>
      <c r="DL33" s="1122" t="str">
        <f>IFERROR(IF(HLOOKUP(DL$15,Data_5!$F$10:$BG$42,$A33+2,FALSE)="NO","NO",IF(HLOOKUP(DL$15,Data_5!$F$10:$BG$42,$A33+2,FALSE)="IE","IE",IF(HLOOKUP(DL$15,Data_5!$F$10:$BG$42,$A33+2,FALSE)="NE","NE",IF(HLOOKUP(DL$15,Data_5!$F$10:$BG$42,$A33+2,FALSE)="C","C",IF(HLOOKUP(DL$15,Data_5!$F$10:$BG$42,$A33+2,FALSE)="NO","NO",HLOOKUP(DL$15,Data_5!$F$10:$BG$42,$A33+2,FALSE)/Data_5!$BK28))))),"")</f>
        <v>NE</v>
      </c>
      <c r="DM33" s="1122" t="str">
        <f>IFERROR(IF(HLOOKUP(DM$15,Data_5!$F$10:$BG$42,$A33+2,FALSE)="NO","NO",IF(HLOOKUP(DM$15,Data_5!$F$10:$BG$42,$A33+2,FALSE)="IE","IE",IF(HLOOKUP(DM$15,Data_5!$F$10:$BG$42,$A33+2,FALSE)="NE","NE",IF(HLOOKUP(DM$15,Data_5!$F$10:$BG$42,$A33+2,FALSE)="C","C",IF(HLOOKUP(DM$15,Data_5!$F$10:$BG$42,$A33+2,FALSE)="NO","NO",HLOOKUP(DM$15,Data_5!$F$10:$BG$42,$A33+2,FALSE)/Data_5!$BK28))))),"")</f>
        <v>NE</v>
      </c>
      <c r="DN33" s="1122" t="str">
        <f>IFERROR(IF(HLOOKUP(DN$15,Data_5!$F$10:$BG$42,$A33+2,FALSE)="NO","NO",IF(HLOOKUP(DN$15,Data_5!$F$10:$BG$42,$A33+2,FALSE)="IE","IE",IF(HLOOKUP(DN$15,Data_5!$F$10:$BG$42,$A33+2,FALSE)="NE","NE",IF(HLOOKUP(DN$15,Data_5!$F$10:$BG$42,$A33+2,FALSE)="C","C",IF(HLOOKUP(DN$15,Data_5!$F$10:$BG$42,$A33+2,FALSE)="NO","NO",HLOOKUP(DN$15,Data_5!$F$10:$BG$42,$A33+2,FALSE)/Data_5!$BK28))))),"")</f>
        <v>NE</v>
      </c>
      <c r="DO33" s="1122" t="str">
        <f>IFERROR(IF(HLOOKUP(DO$15,Data_5!$F$10:$BG$42,$A33+2,FALSE)="NO","NO",IF(HLOOKUP(DO$15,Data_5!$F$10:$BG$42,$A33+2,FALSE)="IE","IE",IF(HLOOKUP(DO$15,Data_5!$F$10:$BG$42,$A33+2,FALSE)="NE","NE",IF(HLOOKUP(DO$15,Data_5!$F$10:$BG$42,$A33+2,FALSE)="C","C",IF(HLOOKUP(DO$15,Data_5!$F$10:$BG$42,$A33+2,FALSE)="NO","NO",HLOOKUP(DO$15,Data_5!$F$10:$BG$42,$A33+2,FALSE)/Data_5!$BK28))))),"")</f>
        <v>NE</v>
      </c>
    </row>
    <row r="34" spans="1:119" s="15" customFormat="1" ht="15" customHeight="1">
      <c r="A34" s="1789">
        <v>18</v>
      </c>
      <c r="B34" s="2628" t="str">
        <f>IF(Data_5!B29&lt;&gt;"",Data_5!B29,"")</f>
        <v>Paris</v>
      </c>
      <c r="C34" s="2629"/>
      <c r="D34" s="1462">
        <f>IFERROR(VLOOKUP($B34,Data_5!$B$12:$C$42,2,FALSE),"")</f>
        <v>2009</v>
      </c>
      <c r="E34" s="1122">
        <f>IFERROR(IF(HLOOKUP(E$15,Data_5!$F$10:$BG$42,$A34+2,FALSE)="NO","NO",IF(HLOOKUP(E$15,Data_5!$F$10:$BG$42,$A34+2,FALSE)="IE","IE",IF(HLOOKUP(E$15,Data_5!$F$10:$BG$42,$A34+2,FALSE)="NE","NE",IF(HLOOKUP(E$15,Data_5!$F$10:$BG$42,$A34+2,FALSE)="C","C",IF(HLOOKUP(E$15,Data_5!$F$10:$BG$42,$A34+2,FALSE)="NO","NO",HLOOKUP(E$15,Data_5!$F$10:$BG$42,$A34+2,FALSE)/Data_5!$BH29))))),"")</f>
        <v>0.2444031706931005</v>
      </c>
      <c r="F34" s="1122">
        <f>IFERROR(IF(HLOOKUP(F$15,Data_5!$F$10:$BG$42,$A34+2,FALSE)="NO","NO",IF(HLOOKUP(F$15,Data_5!$F$10:$BG$42,$A34+2,FALSE)="IE","IE",IF(HLOOKUP(F$15,Data_5!$F$10:$BG$42,$A34+2,FALSE)="NE","NE",IF(HLOOKUP(F$15,Data_5!$F$10:$BG$42,$A34+2,FALSE)="C","C",IF(HLOOKUP(F$15,Data_5!$F$10:$BG$42,$A34+2,FALSE)="NO","NO",HLOOKUP(F$15,Data_5!$F$10:$BG$42,$A34+2,FALSE)/Data_5!$BH29))))),"")</f>
        <v>0.12602523555854245</v>
      </c>
      <c r="G34" s="1122">
        <f>IFERROR(IF(HLOOKUP(G$15,Data_5!$F$10:$BG$42,$A34+2,FALSE)="NO","NO",IF(HLOOKUP(G$15,Data_5!$F$10:$BG$42,$A34+2,FALSE)="IE","IE",IF(HLOOKUP(G$15,Data_5!$F$10:$BG$42,$A34+2,FALSE)="NE","NE",IF(HLOOKUP(G$15,Data_5!$F$10:$BG$42,$A34+2,FALSE)="C","C",IF(HLOOKUP(G$15,Data_5!$F$10:$BG$42,$A34+2,FALSE)="NO","NO",HLOOKUP(G$15,Data_5!$F$10:$BG$42,$A34+2,FALSE)/Data_5!$BH29))))),"")</f>
        <v>0.21655129531312017</v>
      </c>
      <c r="H34" s="1122">
        <f>IFERROR(IF(HLOOKUP(H$15,Data_5!$F$10:$BG$42,$A34+2,FALSE)="NO","NO",IF(HLOOKUP(H$15,Data_5!$F$10:$BG$42,$A34+2,FALSE)="IE","IE",IF(HLOOKUP(H$15,Data_5!$F$10:$BG$42,$A34+2,FALSE)="NE","NE",IF(HLOOKUP(H$15,Data_5!$F$10:$BG$42,$A34+2,FALSE)="C","C",IF(HLOOKUP(H$15,Data_5!$F$10:$BG$42,$A34+2,FALSE)="NO","NO",HLOOKUP(H$15,Data_5!$F$10:$BG$42,$A34+2,FALSE)/Data_5!$BH29))))),"")</f>
        <v>0.16976703557929126</v>
      </c>
      <c r="I34" s="1122" t="str">
        <f>IFERROR(IF(HLOOKUP(I$15,Data_5!$F$10:$BG$42,$A34+2,FALSE)="NO","NO",IF(HLOOKUP(I$15,Data_5!$F$10:$BG$42,$A34+2,FALSE)="IE","IE",IF(HLOOKUP(I$15,Data_5!$F$10:$BG$42,$A34+2,FALSE)="NE","NE",IF(HLOOKUP(I$15,Data_5!$F$10:$BG$42,$A34+2,FALSE)="C","C",IF(HLOOKUP(I$15,Data_5!$F$10:$BG$42,$A34+2,FALSE)="NO","NO",HLOOKUP(I$15,Data_5!$F$10:$BG$42,$A34+2,FALSE)/Data_5!$BH29))))),"")</f>
        <v>NO</v>
      </c>
      <c r="J34" s="1122" t="str">
        <f>IFERROR(IF(HLOOKUP(J$15,Data_5!$F$10:$BG$42,$A34+2,FALSE)="NO","NO",IF(HLOOKUP(J$15,Data_5!$F$10:$BG$42,$A34+2,FALSE)="IE","IE",IF(HLOOKUP(J$15,Data_5!$F$10:$BG$42,$A34+2,FALSE)="NE","NE",IF(HLOOKUP(J$15,Data_5!$F$10:$BG$42,$A34+2,FALSE)="C","C",IF(HLOOKUP(J$15,Data_5!$F$10:$BG$42,$A34+2,FALSE)="NO","NO",HLOOKUP(J$15,Data_5!$F$10:$BG$42,$A34+2,FALSE)/Data_5!$BH29))))),"")</f>
        <v>NO</v>
      </c>
      <c r="K34" s="1122" t="str">
        <f>IFERROR(IF(HLOOKUP(K$15,Data_5!$F$10:$BG$42,$A34+2,FALSE)="NO","NO",IF(HLOOKUP(K$15,Data_5!$F$10:$BG$42,$A34+2,FALSE)="IE","IE",IF(HLOOKUP(K$15,Data_5!$F$10:$BG$42,$A34+2,FALSE)="NE","NE",IF(HLOOKUP(K$15,Data_5!$F$10:$BG$42,$A34+2,FALSE)="C","C",IF(HLOOKUP(K$15,Data_5!$F$10:$BG$42,$A34+2,FALSE)="NO","NO",HLOOKUP(K$15,Data_5!$F$10:$BG$42,$A34+2,FALSE)/Data_5!$BH29))))),"")</f>
        <v>NO</v>
      </c>
      <c r="L34" s="1122" t="str">
        <f>IFERROR(IF(HLOOKUP(L$15,Data_5!$F$10:$BG$42,$A34+2,FALSE)="NO","NO",IF(HLOOKUP(L$15,Data_5!$F$10:$BG$42,$A34+2,FALSE)="IE","IE",IF(HLOOKUP(L$15,Data_5!$F$10:$BG$42,$A34+2,FALSE)="NE","NE",IF(HLOOKUP(L$15,Data_5!$F$10:$BG$42,$A34+2,FALSE)="C","C",IF(HLOOKUP(L$15,Data_5!$F$10:$BG$42,$A34+2,FALSE)="NO","NO",HLOOKUP(L$15,Data_5!$F$10:$BG$42,$A34+2,FALSE)/Data_5!$BH29))))),"")</f>
        <v>NO</v>
      </c>
      <c r="M34" s="1122" t="str">
        <f>IFERROR(IF(HLOOKUP(M$15,Data_5!$F$10:$BG$42,$A34+2,FALSE)="NO","NO",IF(HLOOKUP(M$15,Data_5!$F$10:$BG$42,$A34+2,FALSE)="IE","IE",IF(HLOOKUP(M$15,Data_5!$F$10:$BG$42,$A34+2,FALSE)="NE","NE",IF(HLOOKUP(M$15,Data_5!$F$10:$BG$42,$A34+2,FALSE)="C","C",IF(HLOOKUP(M$15,Data_5!$F$10:$BG$42,$A34+2,FALSE)="NO","NO",HLOOKUP(M$15,Data_5!$F$10:$BG$42,$A34+2,FALSE)/Data_5!$BH29))))),"")</f>
        <v>NO</v>
      </c>
      <c r="N34" s="1122" t="str">
        <f>IFERROR(IF(HLOOKUP(N$15,Data_5!$F$10:$BG$42,$A34+2,FALSE)="NO","NO",IF(HLOOKUP(N$15,Data_5!$F$10:$BG$42,$A34+2,FALSE)="IE","IE",IF(HLOOKUP(N$15,Data_5!$F$10:$BG$42,$A34+2,FALSE)="NE","NE",IF(HLOOKUP(N$15,Data_5!$F$10:$BG$42,$A34+2,FALSE)="C","C",IF(HLOOKUP(N$15,Data_5!$F$10:$BG$42,$A34+2,FALSE)="NO","NO",HLOOKUP(N$15,Data_5!$F$10:$BG$42,$A34+2,FALSE)/Data_5!$BH29))))),"")</f>
        <v>NO</v>
      </c>
      <c r="O34" s="1122" t="str">
        <f>IFERROR(IF(HLOOKUP(O$15,Data_5!$F$10:$BG$42,$A34+2,FALSE)="NO","NO",IF(HLOOKUP(O$15,Data_5!$F$10:$BG$42,$A34+2,FALSE)="IE","IE",IF(HLOOKUP(O$15,Data_5!$F$10:$BG$42,$A34+2,FALSE)="NE","NE",IF(HLOOKUP(O$15,Data_5!$F$10:$BG$42,$A34+2,FALSE)="C","C",IF(HLOOKUP(O$15,Data_5!$F$10:$BG$42,$A34+2,FALSE)="NO","NO",HLOOKUP(O$15,Data_5!$F$10:$BG$42,$A34+2,FALSE)/Data_5!$BH29))))),"")</f>
        <v>NO</v>
      </c>
      <c r="P34" s="1122" t="str">
        <f>IFERROR(IF(HLOOKUP(P$15,Data_5!$F$10:$BG$42,$A34+2,FALSE)="NO","NO",IF(HLOOKUP(P$15,Data_5!$F$10:$BG$42,$A34+2,FALSE)="IE","IE",IF(HLOOKUP(P$15,Data_5!$F$10:$BG$42,$A34+2,FALSE)="NE","NE",IF(HLOOKUP(P$15,Data_5!$F$10:$BG$42,$A34+2,FALSE)="C","C",IF(HLOOKUP(P$15,Data_5!$F$10:$BG$42,$A34+2,FALSE)="NO","NO",HLOOKUP(P$15,Data_5!$F$10:$BG$42,$A34+2,FALSE)/Data_5!$BH29))))),"")</f>
        <v>NO</v>
      </c>
      <c r="Q34" s="1122" t="str">
        <f>IFERROR(IF(HLOOKUP(Q$15,Data_5!$F$10:$BG$42,$A34+2,FALSE)="NO","NO",IF(HLOOKUP(Q$15,Data_5!$F$10:$BG$42,$A34+2,FALSE)="IE","IE",IF(HLOOKUP(Q$15,Data_5!$F$10:$BG$42,$A34+2,FALSE)="NE","NE",IF(HLOOKUP(Q$15,Data_5!$F$10:$BG$42,$A34+2,FALSE)="C","C",IF(HLOOKUP(Q$15,Data_5!$F$10:$BG$42,$A34+2,FALSE)="NO","NO",HLOOKUP(Q$15,Data_5!$F$10:$BG$42,$A34+2,FALSE)/Data_5!$BH29))))),"")</f>
        <v>NO</v>
      </c>
      <c r="R34" s="1122" t="str">
        <f>IFERROR(IF(HLOOKUP(R$15,Data_5!$F$10:$BG$42,$A34+2,FALSE)="NO","NO",IF(HLOOKUP(R$15,Data_5!$F$10:$BG$42,$A34+2,FALSE)="IE","IE",IF(HLOOKUP(R$15,Data_5!$F$10:$BG$42,$A34+2,FALSE)="NE","NE",IF(HLOOKUP(R$15,Data_5!$F$10:$BG$42,$A34+2,FALSE)="C","C",IF(HLOOKUP(R$15,Data_5!$F$10:$BG$42,$A34+2,FALSE)="NO","NO",HLOOKUP(R$15,Data_5!$F$10:$BG$42,$A34+2,FALSE)/Data_5!$BH29))))),"")</f>
        <v>IE</v>
      </c>
      <c r="S34" s="1122">
        <f>IFERROR(IF(HLOOKUP(S$15,Data_5!$F$10:$BG$42,$A34+2,FALSE)="NO","NO",IF(HLOOKUP(S$15,Data_5!$F$10:$BG$42,$A34+2,FALSE)="IE","IE",IF(HLOOKUP(S$15,Data_5!$F$10:$BG$42,$A34+2,FALSE)="NE","NE",IF(HLOOKUP(S$15,Data_5!$F$10:$BG$42,$A34+2,FALSE)="C","C",IF(HLOOKUP(S$15,Data_5!$F$10:$BG$42,$A34+2,FALSE)="NO","NO",HLOOKUP(S$15,Data_5!$F$10:$BG$42,$A34+2,FALSE)/Data_5!$BH29))))),"")</f>
        <v>0.13006646922209034</v>
      </c>
      <c r="T34" s="1122" t="str">
        <f>IFERROR(IF(HLOOKUP(T$15,Data_5!$F$10:$BG$42,$A34+2,FALSE)="NO","NO",IF(HLOOKUP(T$15,Data_5!$F$10:$BG$42,$A34+2,FALSE)="IE","IE",IF(HLOOKUP(T$15,Data_5!$F$10:$BG$42,$A34+2,FALSE)="NE","NE",IF(HLOOKUP(T$15,Data_5!$F$10:$BG$42,$A34+2,FALSE)="C","C",IF(HLOOKUP(T$15,Data_5!$F$10:$BG$42,$A34+2,FALSE)="NO","NO",HLOOKUP(T$15,Data_5!$F$10:$BG$42,$A34+2,FALSE)/Data_5!$BH29))))),"")</f>
        <v>NO</v>
      </c>
      <c r="U34" s="1122">
        <f>IFERROR(IF(HLOOKUP(U$15,Data_5!$F$10:$BG$42,$A34+2,FALSE)="NO","NO",IF(HLOOKUP(U$15,Data_5!$F$10:$BG$42,$A34+2,FALSE)="IE","IE",IF(HLOOKUP(U$15,Data_5!$F$10:$BG$42,$A34+2,FALSE)="NE","NE",IF(HLOOKUP(U$15,Data_5!$F$10:$BG$42,$A34+2,FALSE)="C","C",IF(HLOOKUP(U$15,Data_5!$F$10:$BG$42,$A34+2,FALSE)="NO","NO",HLOOKUP(U$15,Data_5!$F$10:$BG$42,$A34+2,FALSE)/Data_5!$BH29))))),"")</f>
        <v>1.2561830128128762E-2</v>
      </c>
      <c r="V34" s="1122">
        <f>IFERROR(IF(HLOOKUP(V$15,Data_5!$F$10:$BG$42,$A34+2,FALSE)="NO","NO",IF(HLOOKUP(V$15,Data_5!$F$10:$BG$42,$A34+2,FALSE)="IE","IE",IF(HLOOKUP(V$15,Data_5!$F$10:$BG$42,$A34+2,FALSE)="NE","NE",IF(HLOOKUP(V$15,Data_5!$F$10:$BG$42,$A34+2,FALSE)="C","C",IF(HLOOKUP(V$15,Data_5!$F$10:$BG$42,$A34+2,FALSE)="NO","NO",HLOOKUP(V$15,Data_5!$F$10:$BG$42,$A34+2,FALSE)/Data_5!$BH29))))),"")</f>
        <v>2.4299910473763866E-2</v>
      </c>
      <c r="W34" s="1122" t="str">
        <f>IFERROR(IF(HLOOKUP(W$15,Data_5!$F$10:$BG$42,$A34+2,FALSE)="NO","NO",IF(HLOOKUP(W$15,Data_5!$F$10:$BG$42,$A34+2,FALSE)="IE","IE",IF(HLOOKUP(W$15,Data_5!$F$10:$BG$42,$A34+2,FALSE)="NE","NE",IF(HLOOKUP(W$15,Data_5!$F$10:$BG$42,$A34+2,FALSE)="C","C",IF(HLOOKUP(W$15,Data_5!$F$10:$BG$42,$A34+2,FALSE)="NO","NO",HLOOKUP(W$15,Data_5!$F$10:$BG$42,$A34+2,FALSE)/Data_5!$BH29))))),"")</f>
        <v>NO</v>
      </c>
      <c r="X34" s="1122" t="str">
        <f>IFERROR(IF(HLOOKUP(X$15,Data_5!$F$10:$BG$42,$A34+2,FALSE)="NO","NO",IF(HLOOKUP(X$15,Data_5!$F$10:$BG$42,$A34+2,FALSE)="IE","IE",IF(HLOOKUP(X$15,Data_5!$F$10:$BG$42,$A34+2,FALSE)="NE","NE",IF(HLOOKUP(X$15,Data_5!$F$10:$BG$42,$A34+2,FALSE)="C","C",IF(HLOOKUP(X$15,Data_5!$F$10:$BG$42,$A34+2,FALSE)="NO","NO",HLOOKUP(X$15,Data_5!$F$10:$BG$42,$A34+2,FALSE)/Data_5!$BH29))))),"")</f>
        <v>NO</v>
      </c>
      <c r="Y34" s="1122">
        <f>IFERROR(IF(HLOOKUP(Y$15,Data_5!$F$10:$BG$42,$A34+2,FALSE)="NO","NO",IF(HLOOKUP(Y$15,Data_5!$F$10:$BG$42,$A34+2,FALSE)="IE","IE",IF(HLOOKUP(Y$15,Data_5!$F$10:$BG$42,$A34+2,FALSE)="NE","NE",IF(HLOOKUP(Y$15,Data_5!$F$10:$BG$42,$A34+2,FALSE)="C","C",IF(HLOOKUP(Y$15,Data_5!$F$10:$BG$42,$A34+2,FALSE)="NO","NO",HLOOKUP(Y$15,Data_5!$F$10:$BG$42,$A34+2,FALSE)/Data_5!$BH29))))),"")</f>
        <v>7.9951034944302586E-4</v>
      </c>
      <c r="Z34" s="1122" t="str">
        <f>IFERROR(IF(HLOOKUP(Z$15,Data_5!$F$10:$BG$42,$A34+2,FALSE)="NO","NO",IF(HLOOKUP(Z$15,Data_5!$F$10:$BG$42,$A34+2,FALSE)="IE","IE",IF(HLOOKUP(Z$15,Data_5!$F$10:$BG$42,$A34+2,FALSE)="NE","NE",IF(HLOOKUP(Z$15,Data_5!$F$10:$BG$42,$A34+2,FALSE)="C","C",IF(HLOOKUP(Z$15,Data_5!$F$10:$BG$42,$A34+2,FALSE)="NO","NO",HLOOKUP(Z$15,Data_5!$F$10:$BG$42,$A34+2,FALSE)/Data_5!$BH29))))),"")</f>
        <v>NO</v>
      </c>
      <c r="AA34" s="1122" t="str">
        <f>IFERROR(IF(HLOOKUP(AA$15,Data_5!$F$10:$BG$42,$A34+2,FALSE)="NO","NO",IF(HLOOKUP(AA$15,Data_5!$F$10:$BG$42,$A34+2,FALSE)="IE","IE",IF(HLOOKUP(AA$15,Data_5!$F$10:$BG$42,$A34+2,FALSE)="NE","NE",IF(HLOOKUP(AA$15,Data_5!$F$10:$BG$42,$A34+2,FALSE)="C","C",IF(HLOOKUP(AA$15,Data_5!$F$10:$BG$42,$A34+2,FALSE)="NO","NO",HLOOKUP(AA$15,Data_5!$F$10:$BG$42,$A34+2,FALSE)/Data_5!$BH29))))),"")</f>
        <v>IE</v>
      </c>
      <c r="AB34" s="1122" t="str">
        <f>IFERROR(IF(HLOOKUP(AB$15,Data_5!$F$10:$BG$42,$A34+2,FALSE)="NO","NO",IF(HLOOKUP(AB$15,Data_5!$F$10:$BG$42,$A34+2,FALSE)="IE","IE",IF(HLOOKUP(AB$15,Data_5!$F$10:$BG$42,$A34+2,FALSE)="NE","NE",IF(HLOOKUP(AB$15,Data_5!$F$10:$BG$42,$A34+2,FALSE)="C","C",IF(HLOOKUP(AB$15,Data_5!$F$10:$BG$42,$A34+2,FALSE)="NO","NO",HLOOKUP(AB$15,Data_5!$F$10:$BG$42,$A34+2,FALSE)/Data_5!$BH29))))),"")</f>
        <v>NO</v>
      </c>
      <c r="AC34" s="1122" t="str">
        <f>IFERROR(IF(HLOOKUP(AC$15,Data_5!$F$10:$BG$42,$A34+2,FALSE)="NO","NO",IF(HLOOKUP(AC$15,Data_5!$F$10:$BG$42,$A34+2,FALSE)="IE","IE",IF(HLOOKUP(AC$15,Data_5!$F$10:$BG$42,$A34+2,FALSE)="NE","NE",IF(HLOOKUP(AC$15,Data_5!$F$10:$BG$42,$A34+2,FALSE)="C","C",IF(HLOOKUP(AC$15,Data_5!$F$10:$BG$42,$A34+2,FALSE)="NO","NO",HLOOKUP(AC$15,Data_5!$F$10:$BG$42,$A34+2,FALSE)/Data_5!$BH29))))),"")</f>
        <v>NO</v>
      </c>
      <c r="AD34" s="1122">
        <f>IFERROR(IF(HLOOKUP(AD$15,Data_5!$F$10:$BG$42,$A34+2,FALSE)="NO","NO",IF(HLOOKUP(AD$15,Data_5!$F$10:$BG$42,$A34+2,FALSE)="IE","IE",IF(HLOOKUP(AD$15,Data_5!$F$10:$BG$42,$A34+2,FALSE)="NE","NE",IF(HLOOKUP(AD$15,Data_5!$F$10:$BG$42,$A34+2,FALSE)="C","C",IF(HLOOKUP(AD$15,Data_5!$F$10:$BG$42,$A34+2,FALSE)="NO","NO",HLOOKUP(AD$15,Data_5!$F$10:$BG$42,$A34+2,FALSE)/Data_5!$BH29))))),"")</f>
        <v>9.4962005239608519E-3</v>
      </c>
      <c r="AE34" s="1122" t="str">
        <f>IFERROR(IF(HLOOKUP(AE$15,Data_5!$F$10:$BG$42,$A34+2,FALSE)="NO","NO",IF(HLOOKUP(AE$15,Data_5!$F$10:$BG$42,$A34+2,FALSE)="IE","IE",IF(HLOOKUP(AE$15,Data_5!$F$10:$BG$42,$A34+2,FALSE)="NE","NE",IF(HLOOKUP(AE$15,Data_5!$F$10:$BG$42,$A34+2,FALSE)="C","C",IF(HLOOKUP(AE$15,Data_5!$F$10:$BG$42,$A34+2,FALSE)="NO","NO",HLOOKUP(AE$15,Data_5!$F$10:$BG$42,$A34+2,FALSE)/Data_5!$BH29))))),"")</f>
        <v>NO</v>
      </c>
      <c r="AF34" s="1122">
        <f>IFERROR(IF(HLOOKUP(AF$15,Data_5!$F$10:$BG$42,$A34+2,FALSE)="NO","NO",IF(HLOOKUP(AF$15,Data_5!$F$10:$BG$42,$A34+2,FALSE)="IE","IE",IF(HLOOKUP(AF$15,Data_5!$F$10:$BG$42,$A34+2,FALSE)="NE","NE",IF(HLOOKUP(AF$15,Data_5!$F$10:$BG$42,$A34+2,FALSE)="C","C",IF(HLOOKUP(AF$15,Data_5!$F$10:$BG$42,$A34+2,FALSE)="NO","NO",HLOOKUP(AF$15,Data_5!$F$10:$BG$42,$A34+2,FALSE)/Data_5!$BH29))))),"")</f>
        <v>7.1492659504734577E-4</v>
      </c>
      <c r="AG34" s="1122" t="str">
        <f>IFERROR(IF(HLOOKUP(AG$15,Data_5!$F$10:$BG$42,$A34+2,FALSE)="NO","NO",IF(HLOOKUP(AG$15,Data_5!$F$10:$BG$42,$A34+2,FALSE)="IE","IE",IF(HLOOKUP(AG$15,Data_5!$F$10:$BG$42,$A34+2,FALSE)="NE","NE",IF(HLOOKUP(AG$15,Data_5!$F$10:$BG$42,$A34+2,FALSE)="C","C",IF(HLOOKUP(AG$15,Data_5!$F$10:$BG$42,$A34+2,FALSE)="NO","NO",HLOOKUP(AG$15,Data_5!$F$10:$BG$42,$A34+2,FALSE)/Data_5!$BH29))))),"")</f>
        <v>NO</v>
      </c>
      <c r="AH34" s="1122">
        <f>IFERROR(IF(HLOOKUP(AH$15,Data_5!$F$10:$BG$42,$A34+2,FALSE)="NO","NO",IF(HLOOKUP(AH$15,Data_5!$F$10:$BG$42,$A34+2,FALSE)="IE","IE",IF(HLOOKUP(AH$15,Data_5!$F$10:$BG$42,$A34+2,FALSE)="NE","NE",IF(HLOOKUP(AH$15,Data_5!$F$10:$BG$42,$A34+2,FALSE)="C","C",IF(HLOOKUP(AH$15,Data_5!$F$10:$BG$42,$A34+2,FALSE)="NO","NO",HLOOKUP(AH$15,Data_5!$F$10:$BG$42,$A34+2,FALSE)/Data_5!$BH29))))),"")</f>
        <v>6.5199869380118888E-2</v>
      </c>
      <c r="AI34" s="1122" t="str">
        <f>IFERROR(IF(HLOOKUP(AI$15,Data_5!$F$10:$BG$42,$A34+2,FALSE)="NO","NO",IF(HLOOKUP(AI$15,Data_5!$F$10:$BG$42,$A34+2,FALSE)="IE","IE",IF(HLOOKUP(AI$15,Data_5!$F$10:$BG$42,$A34+2,FALSE)="NE","NE",IF(HLOOKUP(AI$15,Data_5!$F$10:$BG$42,$A34+2,FALSE)="C","C",IF(HLOOKUP(AI$15,Data_5!$F$10:$BG$42,$A34+2,FALSE)="NO","NO",HLOOKUP(AI$15,Data_5!$F$10:$BG$42,$A34+2,FALSE)/Data_5!$BH29))))),"")</f>
        <v>NO</v>
      </c>
      <c r="AJ34" s="1122">
        <f>IFERROR(IF(HLOOKUP(AJ$15,Data_5!$F$10:$BG$42,$A34+2,FALSE)="NO","NO",IF(HLOOKUP(AJ$15,Data_5!$F$10:$BG$42,$A34+2,FALSE)="IE","IE",IF(HLOOKUP(AJ$15,Data_5!$F$10:$BG$42,$A34+2,FALSE)="NE","NE",IF(HLOOKUP(AJ$15,Data_5!$F$10:$BG$42,$A34+2,FALSE)="C","C",IF(HLOOKUP(AJ$15,Data_5!$F$10:$BG$42,$A34+2,FALSE)="NO","NO",HLOOKUP(AJ$15,Data_5!$F$10:$BG$42,$A34+2,FALSE)/Data_5!$BH29))))),"")</f>
        <v>1.1454618339259211E-4</v>
      </c>
      <c r="AL34" s="2628" t="str">
        <f t="shared" si="0"/>
        <v>Paris</v>
      </c>
      <c r="AM34" s="2629"/>
      <c r="AN34" s="1100">
        <f t="shared" si="1"/>
        <v>2009</v>
      </c>
      <c r="AO34" s="1122" t="str">
        <f>IFERROR(IF(VLOOKUP($AL34,Data_5!$B$12:$E$42,4,FALSE)="BASIC","",(IF(HLOOKUP(AO$15,Data_5!$F$10:$BG$42,$A34+2,FALSE)="NO","NO",IF(HLOOKUP(AO$15,Data_5!$F$10:$BG$42,$A34+2,FALSE)="IE","IE",IF(HLOOKUP(AO$15,Data_5!$F$10:$BG$42,$A34+2,FALSE)="NE","NE",IF(HLOOKUP(AO$15,Data_5!$F$10:$BG$42,$A34+2,FALSE)="C","C",IF(HLOOKUP(AO$15,Data_5!$F$10:$BG$42,$A34+2,FALSE)="NO","NO",HLOOKUP(AO$15,Data_5!$F$10:$BG$42,$A34+2,FALSE)/Data_5!$BI29))))))),"")</f>
        <v/>
      </c>
      <c r="AP34" s="1122" t="str">
        <f>IFERROR(IF(VLOOKUP($AL34,Data_5!$B$12:$E$42,4,FALSE)="BASIC","",(IF(HLOOKUP(AP$15,Data_5!$F$10:$BG$42,$A34+2,FALSE)="NO","NO",IF(HLOOKUP(AP$15,Data_5!$F$10:$BG$42,$A34+2,FALSE)="IE","IE",IF(HLOOKUP(AP$15,Data_5!$F$10:$BG$42,$A34+2,FALSE)="NE","NE",IF(HLOOKUP(AP$15,Data_5!$F$10:$BG$42,$A34+2,FALSE)="C","C",IF(HLOOKUP(AP$15,Data_5!$F$10:$BG$42,$A34+2,FALSE)="NO","NO",HLOOKUP(AP$15,Data_5!$F$10:$BG$42,$A34+2,FALSE)/Data_5!$BI29))))))),"")</f>
        <v/>
      </c>
      <c r="AQ34" s="1122" t="str">
        <f>IFERROR(IF(VLOOKUP($AL34,Data_5!$B$12:$E$42,4,FALSE)="BASIC","",(IF(HLOOKUP(AQ$15,Data_5!$F$10:$BG$42,$A34+2,FALSE)="NO","NO",IF(HLOOKUP(AQ$15,Data_5!$F$10:$BG$42,$A34+2,FALSE)="IE","IE",IF(HLOOKUP(AQ$15,Data_5!$F$10:$BG$42,$A34+2,FALSE)="NE","NE",IF(HLOOKUP(AQ$15,Data_5!$F$10:$BG$42,$A34+2,FALSE)="C","C",IF(HLOOKUP(AQ$15,Data_5!$F$10:$BG$42,$A34+2,FALSE)="NO","NO",HLOOKUP(AQ$15,Data_5!$F$10:$BG$42,$A34+2,FALSE)/Data_5!$BI29))))))),"")</f>
        <v/>
      </c>
      <c r="AR34" s="1122" t="str">
        <f>IFERROR(IF(VLOOKUP($AL34,Data_5!$B$12:$E$42,4,FALSE)="BASIC","",(IF(HLOOKUP(AR$15,Data_5!$F$10:$BG$42,$A34+2,FALSE)="NO","NO",IF(HLOOKUP(AR$15,Data_5!$F$10:$BG$42,$A34+2,FALSE)="IE","IE",IF(HLOOKUP(AR$15,Data_5!$F$10:$BG$42,$A34+2,FALSE)="NE","NE",IF(HLOOKUP(AR$15,Data_5!$F$10:$BG$42,$A34+2,FALSE)="C","C",IF(HLOOKUP(AR$15,Data_5!$F$10:$BG$42,$A34+2,FALSE)="NO","NO",HLOOKUP(AR$15,Data_5!$F$10:$BG$42,$A34+2,FALSE)/Data_5!$BI29))))))),"")</f>
        <v/>
      </c>
      <c r="AS34" s="1122" t="str">
        <f>IFERROR(IF(VLOOKUP($AL34,Data_5!$B$12:$E$42,4,FALSE)="BASIC","",(IF(HLOOKUP(AS$15,Data_5!$F$10:$BG$42,$A34+2,FALSE)="NO","NO",IF(HLOOKUP(AS$15,Data_5!$F$10:$BG$42,$A34+2,FALSE)="IE","IE",IF(HLOOKUP(AS$15,Data_5!$F$10:$BG$42,$A34+2,FALSE)="NE","NE",IF(HLOOKUP(AS$15,Data_5!$F$10:$BG$42,$A34+2,FALSE)="C","C",IF(HLOOKUP(AS$15,Data_5!$F$10:$BG$42,$A34+2,FALSE)="NO","NO",HLOOKUP(AS$15,Data_5!$F$10:$BG$42,$A34+2,FALSE)/Data_5!$BI29))))))),"")</f>
        <v/>
      </c>
      <c r="AT34" s="1122" t="str">
        <f>IFERROR(IF(VLOOKUP($AL34,Data_5!$B$12:$E$42,4,FALSE)="BASIC","",(IF(HLOOKUP(AT$15,Data_5!$F$10:$BG$42,$A34+2,FALSE)="NO","NO",IF(HLOOKUP(AT$15,Data_5!$F$10:$BG$42,$A34+2,FALSE)="IE","IE",IF(HLOOKUP(AT$15,Data_5!$F$10:$BG$42,$A34+2,FALSE)="NE","NE",IF(HLOOKUP(AT$15,Data_5!$F$10:$BG$42,$A34+2,FALSE)="C","C",IF(HLOOKUP(AT$15,Data_5!$F$10:$BG$42,$A34+2,FALSE)="NO","NO",HLOOKUP(AT$15,Data_5!$F$10:$BG$42,$A34+2,FALSE)/Data_5!$BI29))))))),"")</f>
        <v/>
      </c>
      <c r="AU34" s="1122" t="str">
        <f>IFERROR(IF(VLOOKUP($AL34,Data_5!$B$12:$E$42,4,FALSE)="BASIC","",(IF(HLOOKUP(AU$15,Data_5!$F$10:$BG$42,$A34+2,FALSE)="NO","NO",IF(HLOOKUP(AU$15,Data_5!$F$10:$BG$42,$A34+2,FALSE)="IE","IE",IF(HLOOKUP(AU$15,Data_5!$F$10:$BG$42,$A34+2,FALSE)="NE","NE",IF(HLOOKUP(AU$15,Data_5!$F$10:$BG$42,$A34+2,FALSE)="C","C",IF(HLOOKUP(AU$15,Data_5!$F$10:$BG$42,$A34+2,FALSE)="NO","NO",HLOOKUP(AU$15,Data_5!$F$10:$BG$42,$A34+2,FALSE)/Data_5!$BI29))))))),"")</f>
        <v/>
      </c>
      <c r="AV34" s="1122" t="str">
        <f>IFERROR(IF(VLOOKUP($AL34,Data_5!$B$12:$E$42,4,FALSE)="BASIC","",(IF(HLOOKUP(AV$15,Data_5!$F$10:$BG$42,$A34+2,FALSE)="NO","NO",IF(HLOOKUP(AV$15,Data_5!$F$10:$BG$42,$A34+2,FALSE)="IE","IE",IF(HLOOKUP(AV$15,Data_5!$F$10:$BG$42,$A34+2,FALSE)="NE","NE",IF(HLOOKUP(AV$15,Data_5!$F$10:$BG$42,$A34+2,FALSE)="C","C",IF(HLOOKUP(AV$15,Data_5!$F$10:$BG$42,$A34+2,FALSE)="NO","NO",HLOOKUP(AV$15,Data_5!$F$10:$BG$42,$A34+2,FALSE)/Data_5!$BI29))))))),"")</f>
        <v/>
      </c>
      <c r="AW34" s="1122" t="str">
        <f>IFERROR(IF(VLOOKUP($AL34,Data_5!$B$12:$E$42,4,FALSE)="BASIC","",(IF(HLOOKUP(AW$15,Data_5!$F$10:$BG$42,$A34+2,FALSE)="NO","NO",IF(HLOOKUP(AW$15,Data_5!$F$10:$BG$42,$A34+2,FALSE)="IE","IE",IF(HLOOKUP(AW$15,Data_5!$F$10:$BG$42,$A34+2,FALSE)="NE","NE",IF(HLOOKUP(AW$15,Data_5!$F$10:$BG$42,$A34+2,FALSE)="C","C",IF(HLOOKUP(AW$15,Data_5!$F$10:$BG$42,$A34+2,FALSE)="NO","NO",HLOOKUP(AW$15,Data_5!$F$10:$BG$42,$A34+2,FALSE)/Data_5!$BI29))))))),"")</f>
        <v/>
      </c>
      <c r="AX34" s="1122" t="str">
        <f>IFERROR(IF(VLOOKUP($AL34,Data_5!$B$12:$E$42,4,FALSE)="BASIC","",(IF(HLOOKUP(AX$15,Data_5!$F$10:$BG$42,$A34+2,FALSE)="NO","NO",IF(HLOOKUP(AX$15,Data_5!$F$10:$BG$42,$A34+2,FALSE)="IE","IE",IF(HLOOKUP(AX$15,Data_5!$F$10:$BG$42,$A34+2,FALSE)="NE","NE",IF(HLOOKUP(AX$15,Data_5!$F$10:$BG$42,$A34+2,FALSE)="C","C",IF(HLOOKUP(AX$15,Data_5!$F$10:$BG$42,$A34+2,FALSE)="NO","NO",HLOOKUP(AX$15,Data_5!$F$10:$BG$42,$A34+2,FALSE)/Data_5!$BI29))))))),"")</f>
        <v/>
      </c>
      <c r="AY34" s="1122" t="str">
        <f>IFERROR(IF(VLOOKUP($AL34,Data_5!$B$12:$E$42,4,FALSE)="BASIC","",(IF(HLOOKUP(AY$15,Data_5!$F$10:$BG$42,$A34+2,FALSE)="NO","NO",IF(HLOOKUP(AY$15,Data_5!$F$10:$BG$42,$A34+2,FALSE)="IE","IE",IF(HLOOKUP(AY$15,Data_5!$F$10:$BG$42,$A34+2,FALSE)="NE","NE",IF(HLOOKUP(AY$15,Data_5!$F$10:$BG$42,$A34+2,FALSE)="C","C",IF(HLOOKUP(AY$15,Data_5!$F$10:$BG$42,$A34+2,FALSE)="NO","NO",HLOOKUP(AY$15,Data_5!$F$10:$BG$42,$A34+2,FALSE)/Data_5!$BI29))))))),"")</f>
        <v/>
      </c>
      <c r="AZ34" s="1122" t="str">
        <f>IFERROR(IF(VLOOKUP($AL34,Data_5!$B$12:$E$42,4,FALSE)="BASIC","",(IF(HLOOKUP(AZ$15,Data_5!$F$10:$BG$42,$A34+2,FALSE)="NO","NO",IF(HLOOKUP(AZ$15,Data_5!$F$10:$BG$42,$A34+2,FALSE)="IE","IE",IF(HLOOKUP(AZ$15,Data_5!$F$10:$BG$42,$A34+2,FALSE)="NE","NE",IF(HLOOKUP(AZ$15,Data_5!$F$10:$BG$42,$A34+2,FALSE)="C","C",IF(HLOOKUP(AZ$15,Data_5!$F$10:$BG$42,$A34+2,FALSE)="NO","NO",HLOOKUP(AZ$15,Data_5!$F$10:$BG$42,$A34+2,FALSE)/Data_5!$BI29))))))),"")</f>
        <v/>
      </c>
      <c r="BA34" s="1122" t="str">
        <f>IFERROR(IF(VLOOKUP($AL34,Data_5!$B$12:$E$42,4,FALSE)="BASIC","",(IF(HLOOKUP(BA$15,Data_5!$F$10:$BG$42,$A34+2,FALSE)="NO","NO",IF(HLOOKUP(BA$15,Data_5!$F$10:$BG$42,$A34+2,FALSE)="IE","IE",IF(HLOOKUP(BA$15,Data_5!$F$10:$BG$42,$A34+2,FALSE)="NE","NE",IF(HLOOKUP(BA$15,Data_5!$F$10:$BG$42,$A34+2,FALSE)="C","C",IF(HLOOKUP(BA$15,Data_5!$F$10:$BG$42,$A34+2,FALSE)="NO","NO",HLOOKUP(BA$15,Data_5!$F$10:$BG$42,$A34+2,FALSE)/Data_5!$BI29))))))),"")</f>
        <v/>
      </c>
      <c r="BB34" s="1122" t="str">
        <f>IFERROR(IF(VLOOKUP($AL34,Data_5!$B$12:$E$42,4,FALSE)="BASIC","",(IF(HLOOKUP(BB$15,Data_5!$F$10:$BG$42,$A34+2,FALSE)="NO","NO",IF(HLOOKUP(BB$15,Data_5!$F$10:$BG$42,$A34+2,FALSE)="IE","IE",IF(HLOOKUP(BB$15,Data_5!$F$10:$BG$42,$A34+2,FALSE)="NE","NE",IF(HLOOKUP(BB$15,Data_5!$F$10:$BG$42,$A34+2,FALSE)="C","C",IF(HLOOKUP(BB$15,Data_5!$F$10:$BG$42,$A34+2,FALSE)="NO","NO",HLOOKUP(BB$15,Data_5!$F$10:$BG$42,$A34+2,FALSE)/Data_5!$BI29))))))),"")</f>
        <v/>
      </c>
      <c r="BC34" s="1122" t="str">
        <f>IFERROR(IF(VLOOKUP($AL34,Data_5!$B$12:$E$42,4,FALSE)="BASIC","",(IF(HLOOKUP(BC$15,Data_5!$F$10:$BG$42,$A34+2,FALSE)="NO","NO",IF(HLOOKUP(BC$15,Data_5!$F$10:$BG$42,$A34+2,FALSE)="IE","IE",IF(HLOOKUP(BC$15,Data_5!$F$10:$BG$42,$A34+2,FALSE)="NE","NE",IF(HLOOKUP(BC$15,Data_5!$F$10:$BG$42,$A34+2,FALSE)="C","C",IF(HLOOKUP(BC$15,Data_5!$F$10:$BG$42,$A34+2,FALSE)="NO","NO",HLOOKUP(BC$15,Data_5!$F$10:$BG$42,$A34+2,FALSE)/Data_5!$BI29))))))),"")</f>
        <v/>
      </c>
      <c r="BD34" s="1122" t="str">
        <f>IFERROR(IF(VLOOKUP($AL34,Data_5!$B$12:$E$42,4,FALSE)="BASIC","",(IF(HLOOKUP(BD$15,Data_5!$F$10:$BG$42,$A34+2,FALSE)="NO","NO",IF(HLOOKUP(BD$15,Data_5!$F$10:$BG$42,$A34+2,FALSE)="IE","IE",IF(HLOOKUP(BD$15,Data_5!$F$10:$BG$42,$A34+2,FALSE)="NE","NE",IF(HLOOKUP(BD$15,Data_5!$F$10:$BG$42,$A34+2,FALSE)="C","C",IF(HLOOKUP(BD$15,Data_5!$F$10:$BG$42,$A34+2,FALSE)="NO","NO",HLOOKUP(BD$15,Data_5!$F$10:$BG$42,$A34+2,FALSE)/Data_5!$BI29))))))),"")</f>
        <v/>
      </c>
      <c r="BE34" s="1122" t="str">
        <f>IFERROR(IF(VLOOKUP($AL34,Data_5!$B$12:$E$42,4,FALSE)="BASIC","",(IF(HLOOKUP(BE$15,Data_5!$F$10:$BG$42,$A34+2,FALSE)="NO","NO",IF(HLOOKUP(BE$15,Data_5!$F$10:$BG$42,$A34+2,FALSE)="IE","IE",IF(HLOOKUP(BE$15,Data_5!$F$10:$BG$42,$A34+2,FALSE)="NE","NE",IF(HLOOKUP(BE$15,Data_5!$F$10:$BG$42,$A34+2,FALSE)="C","C",IF(HLOOKUP(BE$15,Data_5!$F$10:$BG$42,$A34+2,FALSE)="NO","NO",HLOOKUP(BE$15,Data_5!$F$10:$BG$42,$A34+2,FALSE)/Data_5!$BI29))))))),"")</f>
        <v/>
      </c>
      <c r="BF34" s="1122" t="str">
        <f>IFERROR(IF(VLOOKUP($AL34,Data_5!$B$12:$E$42,4,FALSE)="BASIC","",(IF(HLOOKUP(BF$15,Data_5!$F$10:$BG$42,$A34+2,FALSE)="NO","NO",IF(HLOOKUP(BF$15,Data_5!$F$10:$BG$42,$A34+2,FALSE)="IE","IE",IF(HLOOKUP(BF$15,Data_5!$F$10:$BG$42,$A34+2,FALSE)="NE","NE",IF(HLOOKUP(BF$15,Data_5!$F$10:$BG$42,$A34+2,FALSE)="C","C",IF(HLOOKUP(BF$15,Data_5!$F$10:$BG$42,$A34+2,FALSE)="NO","NO",HLOOKUP(BF$15,Data_5!$F$10:$BG$42,$A34+2,FALSE)/Data_5!$BI29))))))),"")</f>
        <v/>
      </c>
      <c r="BG34" s="1122" t="str">
        <f>IFERROR(IF(VLOOKUP($AL34,Data_5!$B$12:$E$42,4,FALSE)="BASIC","",(IF(HLOOKUP(BG$15,Data_5!$F$10:$BG$42,$A34+2,FALSE)="NO","NO",IF(HLOOKUP(BG$15,Data_5!$F$10:$BG$42,$A34+2,FALSE)="IE","IE",IF(HLOOKUP(BG$15,Data_5!$F$10:$BG$42,$A34+2,FALSE)="NE","NE",IF(HLOOKUP(BG$15,Data_5!$F$10:$BG$42,$A34+2,FALSE)="C","C",IF(HLOOKUP(BG$15,Data_5!$F$10:$BG$42,$A34+2,FALSE)="NO","NO",HLOOKUP(BG$15,Data_5!$F$10:$BG$42,$A34+2,FALSE)/Data_5!$BI29))))))),"")</f>
        <v/>
      </c>
      <c r="BH34" s="1122" t="str">
        <f>IFERROR(IF(VLOOKUP($AL34,Data_5!$B$12:$E$42,4,FALSE)="BASIC","",(IF(HLOOKUP(BH$15,Data_5!$F$10:$BG$42,$A34+2,FALSE)="NO","NO",IF(HLOOKUP(BH$15,Data_5!$F$10:$BG$42,$A34+2,FALSE)="IE","IE",IF(HLOOKUP(BH$15,Data_5!$F$10:$BG$42,$A34+2,FALSE)="NE","NE",IF(HLOOKUP(BH$15,Data_5!$F$10:$BG$42,$A34+2,FALSE)="C","C",IF(HLOOKUP(BH$15,Data_5!$F$10:$BG$42,$A34+2,FALSE)="NO","NO",HLOOKUP(BH$15,Data_5!$F$10:$BG$42,$A34+2,FALSE)/Data_5!$BI29))))))),"")</f>
        <v/>
      </c>
      <c r="BI34" s="1122" t="str">
        <f>IFERROR(IF(VLOOKUP($AL34,Data_5!$B$12:$E$42,4,FALSE)="BASIC","",(IF(HLOOKUP(BI$15,Data_5!$F$10:$BG$42,$A34+2,FALSE)="NO","NO",IF(HLOOKUP(BI$15,Data_5!$F$10:$BG$42,$A34+2,FALSE)="IE","IE",IF(HLOOKUP(BI$15,Data_5!$F$10:$BG$42,$A34+2,FALSE)="NE","NE",IF(HLOOKUP(BI$15,Data_5!$F$10:$BG$42,$A34+2,FALSE)="C","C",IF(HLOOKUP(BI$15,Data_5!$F$10:$BG$42,$A34+2,FALSE)="NO","NO",HLOOKUP(BI$15,Data_5!$F$10:$BG$42,$A34+2,FALSE)/Data_5!$BI29))))))),"")</f>
        <v/>
      </c>
      <c r="BJ34" s="1122" t="str">
        <f>IFERROR(IF(VLOOKUP($AL34,Data_5!$B$12:$E$42,4,FALSE)="BASIC","",(IF(HLOOKUP(BJ$15,Data_5!$F$10:$BG$42,$A34+2,FALSE)="NO","NO",IF(HLOOKUP(BJ$15,Data_5!$F$10:$BG$42,$A34+2,FALSE)="IE","IE",IF(HLOOKUP(BJ$15,Data_5!$F$10:$BG$42,$A34+2,FALSE)="NE","NE",IF(HLOOKUP(BJ$15,Data_5!$F$10:$BG$42,$A34+2,FALSE)="C","C",IF(HLOOKUP(BJ$15,Data_5!$F$10:$BG$42,$A34+2,FALSE)="NO","NO",HLOOKUP(BJ$15,Data_5!$F$10:$BG$42,$A34+2,FALSE)/Data_5!$BI29))))))),"")</f>
        <v/>
      </c>
      <c r="BK34" s="1122" t="str">
        <f>IFERROR(IF(VLOOKUP($AL34,Data_5!$B$12:$E$42,4,FALSE)="BASIC","",(IF(HLOOKUP(BK$15,Data_5!$F$10:$BG$42,$A34+2,FALSE)="NO","NO",IF(HLOOKUP(BK$15,Data_5!$F$10:$BG$42,$A34+2,FALSE)="IE","IE",IF(HLOOKUP(BK$15,Data_5!$F$10:$BG$42,$A34+2,FALSE)="NE","NE",IF(HLOOKUP(BK$15,Data_5!$F$10:$BG$42,$A34+2,FALSE)="C","C",IF(HLOOKUP(BK$15,Data_5!$F$10:$BG$42,$A34+2,FALSE)="NO","NO",HLOOKUP(BK$15,Data_5!$F$10:$BG$42,$A34+2,FALSE)/Data_5!$BI29))))))),"")</f>
        <v/>
      </c>
      <c r="BL34" s="1122" t="str">
        <f>IFERROR(IF(VLOOKUP($AL34,Data_5!$B$12:$E$42,4,FALSE)="BASIC","",(IF(HLOOKUP(BL$15,Data_5!$F$10:$BG$42,$A34+2,FALSE)="NO","NO",IF(HLOOKUP(BL$15,Data_5!$F$10:$BG$42,$A34+2,FALSE)="IE","IE",IF(HLOOKUP(BL$15,Data_5!$F$10:$BG$42,$A34+2,FALSE)="NE","NE",IF(HLOOKUP(BL$15,Data_5!$F$10:$BG$42,$A34+2,FALSE)="C","C",IF(HLOOKUP(BL$15,Data_5!$F$10:$BG$42,$A34+2,FALSE)="NO","NO",HLOOKUP(BL$15,Data_5!$F$10:$BG$42,$A34+2,FALSE)/Data_5!$BI29))))))),"")</f>
        <v/>
      </c>
      <c r="BM34" s="1122" t="str">
        <f>IFERROR(IF(VLOOKUP($AL34,Data_5!$B$12:$E$42,4,FALSE)="BASIC","",(IF(HLOOKUP(BM$15,Data_5!$F$10:$BG$42,$A34+2,FALSE)="NO","NO",IF(HLOOKUP(BM$15,Data_5!$F$10:$BG$42,$A34+2,FALSE)="IE","IE",IF(HLOOKUP(BM$15,Data_5!$F$10:$BG$42,$A34+2,FALSE)="NE","NE",IF(HLOOKUP(BM$15,Data_5!$F$10:$BG$42,$A34+2,FALSE)="C","C",IF(HLOOKUP(BM$15,Data_5!$F$10:$BG$42,$A34+2,FALSE)="NO","NO",HLOOKUP(BM$15,Data_5!$F$10:$BG$42,$A34+2,FALSE)/Data_5!$BI29))))))),"")</f>
        <v/>
      </c>
      <c r="BN34" s="1122" t="str">
        <f>IFERROR(IF(VLOOKUP($AL34,Data_5!$B$12:$E$42,4,FALSE)="BASIC","",(IF(HLOOKUP(BN$15,Data_5!$F$10:$BG$42,$A34+2,FALSE)="NO","NO",IF(HLOOKUP(BN$15,Data_5!$F$10:$BG$42,$A34+2,FALSE)="IE","IE",IF(HLOOKUP(BN$15,Data_5!$F$10:$BG$42,$A34+2,FALSE)="NE","NE",IF(HLOOKUP(BN$15,Data_5!$F$10:$BG$42,$A34+2,FALSE)="C","C",IF(HLOOKUP(BN$15,Data_5!$F$10:$BG$42,$A34+2,FALSE)="NO","NO",HLOOKUP(BN$15,Data_5!$F$10:$BG$42,$A34+2,FALSE)/Data_5!$BI29))))))),"")</f>
        <v/>
      </c>
      <c r="BO34" s="1122" t="str">
        <f>IFERROR(IF(VLOOKUP($AL34,Data_5!$B$12:$E$42,4,FALSE)="BASIC","",(IF(HLOOKUP(BO$15,Data_5!$F$10:$BG$42,$A34+2,FALSE)="NO","NO",IF(HLOOKUP(BO$15,Data_5!$F$10:$BG$42,$A34+2,FALSE)="IE","IE",IF(HLOOKUP(BO$15,Data_5!$F$10:$BG$42,$A34+2,FALSE)="NE","NE",IF(HLOOKUP(BO$15,Data_5!$F$10:$BG$42,$A34+2,FALSE)="C","C",IF(HLOOKUP(BO$15,Data_5!$F$10:$BG$42,$A34+2,FALSE)="NO","NO",HLOOKUP(BO$15,Data_5!$F$10:$BG$42,$A34+2,FALSE)/Data_5!$BI29))))))),"")</f>
        <v/>
      </c>
      <c r="BP34" s="1122" t="str">
        <f>IFERROR(IF(VLOOKUP($AL34,Data_5!$B$12:$E$42,4,FALSE)="BASIC","",(IF(HLOOKUP(BP$15,Data_5!$F$10:$BG$42,$A34+2,FALSE)="NO","NO",IF(HLOOKUP(BP$15,Data_5!$F$10:$BG$42,$A34+2,FALSE)="IE","IE",IF(HLOOKUP(BP$15,Data_5!$F$10:$BG$42,$A34+2,FALSE)="NE","NE",IF(HLOOKUP(BP$15,Data_5!$F$10:$BG$42,$A34+2,FALSE)="C","C",IF(HLOOKUP(BP$15,Data_5!$F$10:$BG$42,$A34+2,FALSE)="NO","NO",HLOOKUP(BP$15,Data_5!$F$10:$BG$42,$A34+2,FALSE)/Data_5!$BI29))))))),"")</f>
        <v/>
      </c>
      <c r="BQ34" s="1122" t="str">
        <f>IFERROR(IF(VLOOKUP($AL34,Data_5!$B$12:$E$42,4,FALSE)="BASIC","",(IF(HLOOKUP(BQ$15,Data_5!$F$10:$BG$42,$A34+2,FALSE)="NO","NO",IF(HLOOKUP(BQ$15,Data_5!$F$10:$BG$42,$A34+2,FALSE)="IE","IE",IF(HLOOKUP(BQ$15,Data_5!$F$10:$BG$42,$A34+2,FALSE)="NE","NE",IF(HLOOKUP(BQ$15,Data_5!$F$10:$BG$42,$A34+2,FALSE)="C","C",IF(HLOOKUP(BQ$15,Data_5!$F$10:$BG$42,$A34+2,FALSE)="NO","NO",HLOOKUP(BQ$15,Data_5!$F$10:$BG$42,$A34+2,FALSE)/Data_5!$BI29))))))),"")</f>
        <v/>
      </c>
      <c r="BR34" s="1122" t="str">
        <f>IFERROR(IF(VLOOKUP($AL34,Data_5!$B$12:$E$42,4,FALSE)="BASIC","",(IF(HLOOKUP(BR$15,Data_5!$F$10:$BG$42,$A34+2,FALSE)="NO","NO",IF(HLOOKUP(BR$15,Data_5!$F$10:$BG$42,$A34+2,FALSE)="IE","IE",IF(HLOOKUP(BR$15,Data_5!$F$10:$BG$42,$A34+2,FALSE)="NE","NE",IF(HLOOKUP(BR$15,Data_5!$F$10:$BG$42,$A34+2,FALSE)="C","C",IF(HLOOKUP(BR$15,Data_5!$F$10:$BG$42,$A34+2,FALSE)="NO","NO",HLOOKUP(BR$15,Data_5!$F$10:$BG$42,$A34+2,FALSE)/Data_5!$BI29))))))),"")</f>
        <v/>
      </c>
      <c r="BS34" s="1122" t="str">
        <f>IFERROR(IF(VLOOKUP($AL34,Data_5!$B$12:$E$42,4,FALSE)="BASIC","",(IF(HLOOKUP(BS$15,Data_5!$F$10:$BG$42,$A34+2,FALSE)="NO","NO",IF(HLOOKUP(BS$15,Data_5!$F$10:$BG$42,$A34+2,FALSE)="IE","IE",IF(HLOOKUP(BS$15,Data_5!$F$10:$BG$42,$A34+2,FALSE)="NE","NE",IF(HLOOKUP(BS$15,Data_5!$F$10:$BG$42,$A34+2,FALSE)="C","C",IF(HLOOKUP(BS$15,Data_5!$F$10:$BG$42,$A34+2,FALSE)="NO","NO",HLOOKUP(BS$15,Data_5!$F$10:$BG$42,$A34+2,FALSE)/Data_5!$BI29))))))),"")</f>
        <v/>
      </c>
      <c r="BT34" s="1122" t="str">
        <f>IFERROR(IF(VLOOKUP($AL34,Data_5!$B$12:$E$42,4,FALSE)="BASIC","",(IF(HLOOKUP(BT$15,Data_5!$F$10:$BG$42,$A34+2,FALSE)="NO","NO",IF(HLOOKUP(BT$15,Data_5!$F$10:$BG$42,$A34+2,FALSE)="IE","IE",IF(HLOOKUP(BT$15,Data_5!$F$10:$BG$42,$A34+2,FALSE)="NE","NE",IF(HLOOKUP(BT$15,Data_5!$F$10:$BG$42,$A34+2,FALSE)="C","C",IF(HLOOKUP(BT$15,Data_5!$F$10:$BG$42,$A34+2,FALSE)="NO","NO",HLOOKUP(BT$15,Data_5!$F$10:$BG$42,$A34+2,FALSE)/Data_5!$BI29))))))),"")</f>
        <v/>
      </c>
      <c r="BU34" s="1122" t="str">
        <f>IFERROR(IF(VLOOKUP($AL34,Data_5!$B$12:$E$42,4,FALSE)="BASIC","",(IF(HLOOKUP(BU$15,Data_5!$F$10:$BG$42,$A34+2,FALSE)="NO","NO",IF(HLOOKUP(BU$15,Data_5!$F$10:$BG$42,$A34+2,FALSE)="IE","IE",IF(HLOOKUP(BU$15,Data_5!$F$10:$BG$42,$A34+2,FALSE)="NE","NE",IF(HLOOKUP(BU$15,Data_5!$F$10:$BG$42,$A34+2,FALSE)="C","C",IF(HLOOKUP(BU$15,Data_5!$F$10:$BG$42,$A34+2,FALSE)="NO","NO",HLOOKUP(BU$15,Data_5!$F$10:$BG$42,$A34+2,FALSE)/Data_5!$BI29))))))),"")</f>
        <v/>
      </c>
      <c r="BV34" s="1122" t="str">
        <f>IFERROR(IF(VLOOKUP($AL34,Data_5!$B$12:$E$42,4,FALSE)="BASIC","",(IF(HLOOKUP(BV$15,Data_5!$F$10:$BG$42,$A34+2,FALSE)="NO","NO",IF(HLOOKUP(BV$15,Data_5!$F$10:$BG$42,$A34+2,FALSE)="IE","IE",IF(HLOOKUP(BV$15,Data_5!$F$10:$BG$42,$A34+2,FALSE)="NE","NE",IF(HLOOKUP(BV$15,Data_5!$F$10:$BG$42,$A34+2,FALSE)="C","C",IF(HLOOKUP(BV$15,Data_5!$F$10:$BG$42,$A34+2,FALSE)="NO","NO",HLOOKUP(BV$15,Data_5!$F$10:$BG$42,$A34+2,FALSE)/Data_5!$BI29))))))),"")</f>
        <v/>
      </c>
      <c r="BW34" s="1122" t="str">
        <f>IFERROR(IF(VLOOKUP($AL34,Data_5!$B$12:$E$42,4,FALSE)="BASIC","",(IF(HLOOKUP(BW$15,Data_5!$F$10:$BG$42,$A34+2,FALSE)="NO","NO",IF(HLOOKUP(BW$15,Data_5!$F$10:$BG$42,$A34+2,FALSE)="IE","IE",IF(HLOOKUP(BW$15,Data_5!$F$10:$BG$42,$A34+2,FALSE)="NE","NE",IF(HLOOKUP(BW$15,Data_5!$F$10:$BG$42,$A34+2,FALSE)="C","C",IF(HLOOKUP(BW$15,Data_5!$F$10:$BG$42,$A34+2,FALSE)="NO","NO",HLOOKUP(BW$15,Data_5!$F$10:$BG$42,$A34+2,FALSE)/Data_5!$BI29))))))),"")</f>
        <v/>
      </c>
      <c r="BX34" s="1122" t="str">
        <f>IFERROR(IF(VLOOKUP($AL34,Data_5!$B$12:$E$42,4,FALSE)="BASIC","",(IF(HLOOKUP(BX$15,Data_5!$F$10:$BG$42,$A34+2,FALSE)="NO","NO",IF(HLOOKUP(BX$15,Data_5!$F$10:$BG$42,$A34+2,FALSE)="IE","IE",IF(HLOOKUP(BX$15,Data_5!$F$10:$BG$42,$A34+2,FALSE)="NE","NE",IF(HLOOKUP(BX$15,Data_5!$F$10:$BG$42,$A34+2,FALSE)="C","C",IF(HLOOKUP(BX$15,Data_5!$F$10:$BG$42,$A34+2,FALSE)="NO","NO",HLOOKUP(BX$15,Data_5!$F$10:$BG$42,$A34+2,FALSE)/Data_5!$BI29))))))),"")</f>
        <v/>
      </c>
      <c r="BY34" s="1122" t="str">
        <f>IFERROR(IF(VLOOKUP($AL34,Data_5!$B$12:$E$42,4,FALSE)="BASIC","",(IF(HLOOKUP(BY$15,Data_5!$F$10:$BG$42,$A34+2,FALSE)="NO","NO",IF(HLOOKUP(BY$15,Data_5!$F$10:$BG$42,$A34+2,FALSE)="IE","IE",IF(HLOOKUP(BY$15,Data_5!$F$10:$BG$42,$A34+2,FALSE)="NE","NE",IF(HLOOKUP(BY$15,Data_5!$F$10:$BG$42,$A34+2,FALSE)="C","C",IF(HLOOKUP(BY$15,Data_5!$F$10:$BG$42,$A34+2,FALSE)="NO","NO",HLOOKUP(BY$15,Data_5!$F$10:$BG$42,$A34+2,FALSE)/Data_5!$BI29))))))),"")</f>
        <v/>
      </c>
      <c r="BZ34" s="1122" t="str">
        <f>IFERROR(IF(VLOOKUP($AL34,Data_5!$B$12:$E$42,4,FALSE)="BASIC","",(IF(HLOOKUP(BZ$15,Data_5!$F$10:$BG$42,$A34+2,FALSE)="NO","NO",IF(HLOOKUP(BZ$15,Data_5!$F$10:$BG$42,$A34+2,FALSE)="IE","IE",IF(HLOOKUP(BZ$15,Data_5!$F$10:$BG$42,$A34+2,FALSE)="NE","NE",IF(HLOOKUP(BZ$15,Data_5!$F$10:$BG$42,$A34+2,FALSE)="C","C",IF(HLOOKUP(BZ$15,Data_5!$F$10:$BG$42,$A34+2,FALSE)="NO","NO",HLOOKUP(BZ$15,Data_5!$F$10:$BG$42,$A34+2,FALSE)/Data_5!$BI29))))))),"")</f>
        <v/>
      </c>
      <c r="CA34" s="1122" t="str">
        <f>IFERROR(IF(VLOOKUP($AL34,Data_5!$B$12:$E$42,4,FALSE)="BASIC","",(IF(HLOOKUP(CA$15,Data_5!$F$10:$BG$42,$A34+2,FALSE)="NO","NO",IF(HLOOKUP(CA$15,Data_5!$F$10:$BG$42,$A34+2,FALSE)="IE","IE",IF(HLOOKUP(CA$15,Data_5!$F$10:$BG$42,$A34+2,FALSE)="NE","NE",IF(HLOOKUP(CA$15,Data_5!$F$10:$BG$42,$A34+2,FALSE)="C","C",IF(HLOOKUP(CA$15,Data_5!$F$10:$BG$42,$A34+2,FALSE)="NO","NO",HLOOKUP(CA$15,Data_5!$F$10:$BG$42,$A34+2,FALSE)/Data_5!$BI29))))))),"")</f>
        <v/>
      </c>
      <c r="CB34" s="1122" t="str">
        <f>IFERROR(IF(VLOOKUP($AL34,Data_5!$B$12:$E$42,4,FALSE)="BASIC","",(IF(HLOOKUP(CB$15,Data_5!$F$10:$BG$42,$A34+2,FALSE)="NO","NO",IF(HLOOKUP(CB$15,Data_5!$F$10:$BG$42,$A34+2,FALSE)="IE","IE",IF(HLOOKUP(CB$15,Data_5!$F$10:$BG$42,$A34+2,FALSE)="NE","NE",IF(HLOOKUP(CB$15,Data_5!$F$10:$BG$42,$A34+2,FALSE)="C","C",IF(HLOOKUP(CB$15,Data_5!$F$10:$BG$42,$A34+2,FALSE)="NO","NO",HLOOKUP(CB$15,Data_5!$F$10:$BG$42,$A34+2,FALSE)/Data_5!$BI29))))))),"")</f>
        <v/>
      </c>
      <c r="CC34" s="1122" t="str">
        <f>IFERROR(IF(VLOOKUP($AL34,Data_5!$B$12:$E$42,4,FALSE)="BASIC","",(IF(HLOOKUP(CC$15,Data_5!$F$10:$BG$42,$A34+2,FALSE)="NO","NO",IF(HLOOKUP(CC$15,Data_5!$F$10:$BG$42,$A34+2,FALSE)="IE","IE",IF(HLOOKUP(CC$15,Data_5!$F$10:$BG$42,$A34+2,FALSE)="NE","NE",IF(HLOOKUP(CC$15,Data_5!$F$10:$BG$42,$A34+2,FALSE)="C","C",IF(HLOOKUP(CC$15,Data_5!$F$10:$BG$42,$A34+2,FALSE)="NO","NO",HLOOKUP(CC$15,Data_5!$F$10:$BG$42,$A34+2,FALSE)/Data_5!$BI29))))))),"")</f>
        <v/>
      </c>
      <c r="CD34" s="1122" t="str">
        <f>IFERROR(IF(VLOOKUP($AL34,Data_5!$B$12:$E$42,4,FALSE)="BASIC","",(IF(HLOOKUP(CD$15,Data_5!$F$10:$BG$42,$A34+2,FALSE)="NO","NO",IF(HLOOKUP(CD$15,Data_5!$F$10:$BG$42,$A34+2,FALSE)="IE","IE",IF(HLOOKUP(CD$15,Data_5!$F$10:$BG$42,$A34+2,FALSE)="NE","NE",IF(HLOOKUP(CD$15,Data_5!$F$10:$BG$42,$A34+2,FALSE)="C","C",IF(HLOOKUP(CD$15,Data_5!$F$10:$BG$42,$A34+2,FALSE)="NO","NO",HLOOKUP(CD$15,Data_5!$F$10:$BG$42,$A34+2,FALSE)/Data_5!$BI29))))))),"")</f>
        <v/>
      </c>
      <c r="CE34" s="1122" t="str">
        <f>IFERROR(IF(VLOOKUP($AL34,Data_5!$B$12:$E$42,4,FALSE)="BASIC","",(IF(HLOOKUP(CE$15,Data_5!$F$10:$BG$42,$A34+2,FALSE)="NO","NO",IF(HLOOKUP(CE$15,Data_5!$F$10:$BG$42,$A34+2,FALSE)="IE","IE",IF(HLOOKUP(CE$15,Data_5!$F$10:$BG$42,$A34+2,FALSE)="NE","NE",IF(HLOOKUP(CE$15,Data_5!$F$10:$BG$42,$A34+2,FALSE)="C","C",IF(HLOOKUP(CE$15,Data_5!$F$10:$BG$42,$A34+2,FALSE)="NO","NO",HLOOKUP(CE$15,Data_5!$F$10:$BG$42,$A34+2,FALSE)/Data_5!$BI29))))))),"")</f>
        <v/>
      </c>
      <c r="CF34" s="1122" t="str">
        <f>IFERROR(IF(VLOOKUP($AL34,Data_5!$B$12:$E$42,4,FALSE)="BASIC","",(IF(HLOOKUP(CF$15,Data_5!$F$10:$BG$42,$A34+2,FALSE)="NO","NO",IF(HLOOKUP(CF$15,Data_5!$F$10:$BG$42,$A34+2,FALSE)="IE","IE",IF(HLOOKUP(CF$15,Data_5!$F$10:$BG$42,$A34+2,FALSE)="NE","NE",IF(HLOOKUP(CF$15,Data_5!$F$10:$BG$42,$A34+2,FALSE)="C","C",IF(HLOOKUP(CF$15,Data_5!$F$10:$BG$42,$A34+2,FALSE)="NO","NO",HLOOKUP(CF$15,Data_5!$F$10:$BG$42,$A34+2,FALSE)/Data_5!$BI29))))))),"")</f>
        <v/>
      </c>
      <c r="CG34" s="1122" t="str">
        <f>IFERROR(IF(VLOOKUP($AL34,Data_5!$B$12:$E$42,4,FALSE)="BASIC","",(IF(HLOOKUP(CG$15,Data_5!$F$10:$BG$42,$A34+2,FALSE)="NO","NO",IF(HLOOKUP(CG$15,Data_5!$F$10:$BG$42,$A34+2,FALSE)="IE","IE",IF(HLOOKUP(CG$15,Data_5!$F$10:$BG$42,$A34+2,FALSE)="NE","NE",IF(HLOOKUP(CG$15,Data_5!$F$10:$BG$42,$A34+2,FALSE)="C","C",IF(HLOOKUP(CG$15,Data_5!$F$10:$BG$42,$A34+2,FALSE)="NO","NO",HLOOKUP(CG$15,Data_5!$F$10:$BG$42,$A34+2,FALSE)/Data_5!$BI29))))))),"")</f>
        <v/>
      </c>
      <c r="CH34" s="1122" t="str">
        <f>IFERROR(IF(VLOOKUP($AL34,Data_5!$B$12:$E$42,4,FALSE)="BASIC","",(IF(HLOOKUP(CH$15,Data_5!$F$10:$BG$42,$A34+2,FALSE)="NO","NO",IF(HLOOKUP(CH$15,Data_5!$F$10:$BG$42,$A34+2,FALSE)="IE","IE",IF(HLOOKUP(CH$15,Data_5!$F$10:$BG$42,$A34+2,FALSE)="NE","NE",IF(HLOOKUP(CH$15,Data_5!$F$10:$BG$42,$A34+2,FALSE)="C","C",IF(HLOOKUP(CH$15,Data_5!$F$10:$BG$42,$A34+2,FALSE)="NO","NO",HLOOKUP(CH$15,Data_5!$F$10:$BG$42,$A34+2,FALSE)/Data_5!$BI29))))))),"")</f>
        <v/>
      </c>
      <c r="CI34" s="1122" t="str">
        <f>IFERROR(IF(VLOOKUP($AL34,Data_5!$B$12:$E$42,4,FALSE)="BASIC","",(IF(HLOOKUP(CI$15,Data_5!$F$10:$BG$42,$A34+2,FALSE)="NO","NO",IF(HLOOKUP(CI$15,Data_5!$F$10:$BG$42,$A34+2,FALSE)="IE","IE",IF(HLOOKUP(CI$15,Data_5!$F$10:$BG$42,$A34+2,FALSE)="NE","NE",IF(HLOOKUP(CI$15,Data_5!$F$10:$BG$42,$A34+2,FALSE)="C","C",IF(HLOOKUP(CI$15,Data_5!$F$10:$BG$42,$A34+2,FALSE)="NO","NO",HLOOKUP(CI$15,Data_5!$F$10:$BG$42,$A34+2,FALSE)/Data_5!$BI29))))))),"")</f>
        <v/>
      </c>
      <c r="CJ34" s="1122" t="str">
        <f>IFERROR(IF(VLOOKUP($AL34,Data_5!$B$12:$E$42,4,FALSE)="BASIC","",(IF(HLOOKUP(CJ$15,Data_5!$F$10:$BG$42,$A34+2,FALSE)="NO","NO",IF(HLOOKUP(CJ$15,Data_5!$F$10:$BG$42,$A34+2,FALSE)="IE","IE",IF(HLOOKUP(CJ$15,Data_5!$F$10:$BG$42,$A34+2,FALSE)="NE","NE",IF(HLOOKUP(CJ$15,Data_5!$F$10:$BG$42,$A34+2,FALSE)="C","C",IF(HLOOKUP(CJ$15,Data_5!$F$10:$BG$42,$A34+2,FALSE)="NO","NO",HLOOKUP(CJ$15,Data_5!$F$10:$BG$42,$A34+2,FALSE)/Data_5!$BI29))))))),"")</f>
        <v/>
      </c>
      <c r="CL34" s="2628" t="str">
        <f t="shared" si="2"/>
        <v>Paris</v>
      </c>
      <c r="CM34" s="2629"/>
      <c r="CN34" s="1100">
        <f t="shared" si="3"/>
        <v>2009</v>
      </c>
      <c r="CO34" s="1122">
        <f>IFERROR(IF(HLOOKUP(CO$15,Data_5!$F$10:$BG$42,$A34+2,FALSE)="NO","NO",IF(HLOOKUP(CO$15,Data_5!$F$10:$BG$42,$A34+2,FALSE)="IE","IE",IF(HLOOKUP(CO$15,Data_5!$F$10:$BG$42,$A34+2,FALSE)="NE","NE",IF(HLOOKUP(CO$15,Data_5!$F$10:$BG$42,$A34+2,FALSE)="C","C",IF(HLOOKUP(CO$15,Data_5!$F$10:$BG$42,$A34+2,FALSE)="NO","NO",HLOOKUP(CO$15,Data_5!$F$10:$BG$42,$A34+2,FALSE)/Data_5!$BK29))))),"")</f>
        <v>0.24693098544676434</v>
      </c>
      <c r="CP34" s="1122">
        <f>IFERROR(IF(HLOOKUP(CP$15,Data_5!$F$10:$BG$42,$A34+2,FALSE)="NO","NO",IF(HLOOKUP(CP$15,Data_5!$F$10:$BG$42,$A34+2,FALSE)="IE","IE",IF(HLOOKUP(CP$15,Data_5!$F$10:$BG$42,$A34+2,FALSE)="NE","NE",IF(HLOOKUP(CP$15,Data_5!$F$10:$BG$42,$A34+2,FALSE)="C","C",IF(HLOOKUP(CP$15,Data_5!$F$10:$BG$42,$A34+2,FALSE)="NO","NO",HLOOKUP(CP$15,Data_5!$F$10:$BG$42,$A34+2,FALSE)/Data_5!$BK29))))),"")</f>
        <v>0.21879104350323225</v>
      </c>
      <c r="CQ34" s="1122" t="str">
        <f>IFERROR(IF(HLOOKUP(CQ$15,Data_5!$F$10:$BG$42,$A34+2,FALSE)="NO","NO",IF(HLOOKUP(CQ$15,Data_5!$F$10:$BG$42,$A34+2,FALSE)="IE","IE",IF(HLOOKUP(CQ$15,Data_5!$F$10:$BG$42,$A34+2,FALSE)="NE","NE",IF(HLOOKUP(CQ$15,Data_5!$F$10:$BG$42,$A34+2,FALSE)="C","C",IF(HLOOKUP(CQ$15,Data_5!$F$10:$BG$42,$A34+2,FALSE)="NO","NO",HLOOKUP(CQ$15,Data_5!$F$10:$BG$42,$A34+2,FALSE)/Data_5!$BK29))))),"")</f>
        <v>NO</v>
      </c>
      <c r="CR34" s="1122" t="str">
        <f>IFERROR(IF(HLOOKUP(CR$15,Data_5!$F$10:$BG$42,$A34+2,FALSE)="NO","NO",IF(HLOOKUP(CR$15,Data_5!$F$10:$BG$42,$A34+2,FALSE)="IE","IE",IF(HLOOKUP(CR$15,Data_5!$F$10:$BG$42,$A34+2,FALSE)="NE","NE",IF(HLOOKUP(CR$15,Data_5!$F$10:$BG$42,$A34+2,FALSE)="C","C",IF(HLOOKUP(CR$15,Data_5!$F$10:$BG$42,$A34+2,FALSE)="NO","NO",HLOOKUP(CR$15,Data_5!$F$10:$BG$42,$A34+2,FALSE)/Data_5!$BK29))))),"")</f>
        <v>NO</v>
      </c>
      <c r="CS34" s="1122">
        <f>IFERROR(IF(HLOOKUP(CS$15,Data_5!$F$10:$BG$42,$A34+2,FALSE)="NO","NO",IF(HLOOKUP(CS$15,Data_5!$F$10:$BG$42,$A34+2,FALSE)="IE","IE",IF(HLOOKUP(CS$15,Data_5!$F$10:$BG$42,$A34+2,FALSE)="NE","NE",IF(HLOOKUP(CS$15,Data_5!$F$10:$BG$42,$A34+2,FALSE)="C","C",IF(HLOOKUP(CS$15,Data_5!$F$10:$BG$42,$A34+2,FALSE)="NO","NO",HLOOKUP(CS$15,Data_5!$F$10:$BG$42,$A34+2,FALSE)/Data_5!$BK29))))),"")</f>
        <v>2.6698985084028713E-2</v>
      </c>
      <c r="CT34" s="1122" t="str">
        <f>IFERROR(IF(HLOOKUP(CT$15,Data_5!$F$10:$BG$42,$A34+2,FALSE)="NO","NO",IF(HLOOKUP(CT$15,Data_5!$F$10:$BG$42,$A34+2,FALSE)="IE","IE",IF(HLOOKUP(CT$15,Data_5!$F$10:$BG$42,$A34+2,FALSE)="NE","NE",IF(HLOOKUP(CT$15,Data_5!$F$10:$BG$42,$A34+2,FALSE)="C","C",IF(HLOOKUP(CT$15,Data_5!$F$10:$BG$42,$A34+2,FALSE)="NO","NO",HLOOKUP(CT$15,Data_5!$F$10:$BG$42,$A34+2,FALSE)/Data_5!$BK29))))),"")</f>
        <v>NO</v>
      </c>
      <c r="CU34" s="1122" t="str">
        <f>IFERROR(IF(HLOOKUP(CU$15,Data_5!$F$10:$BG$42,$A34+2,FALSE)="NO","NO",IF(HLOOKUP(CU$15,Data_5!$F$10:$BG$42,$A34+2,FALSE)="IE","IE",IF(HLOOKUP(CU$15,Data_5!$F$10:$BG$42,$A34+2,FALSE)="NE","NE",IF(HLOOKUP(CU$15,Data_5!$F$10:$BG$42,$A34+2,FALSE)="C","C",IF(HLOOKUP(CU$15,Data_5!$F$10:$BG$42,$A34+2,FALSE)="NO","NO",HLOOKUP(CU$15,Data_5!$F$10:$BG$42,$A34+2,FALSE)/Data_5!$BK29))))),"")</f>
        <v>NO</v>
      </c>
      <c r="CV34" s="1122" t="str">
        <f>IFERROR(IF(HLOOKUP(CV$15,Data_5!$F$10:$BG$42,$A34+2,FALSE)="NO","NO",IF(HLOOKUP(CV$15,Data_5!$F$10:$BG$42,$A34+2,FALSE)="IE","IE",IF(HLOOKUP(CV$15,Data_5!$F$10:$BG$42,$A34+2,FALSE)="NE","NE",IF(HLOOKUP(CV$15,Data_5!$F$10:$BG$42,$A34+2,FALSE)="C","C",IF(HLOOKUP(CV$15,Data_5!$F$10:$BG$42,$A34+2,FALSE)="NO","NO",HLOOKUP(CV$15,Data_5!$F$10:$BG$42,$A34+2,FALSE)/Data_5!$BK29))))),"")</f>
        <v>NO</v>
      </c>
      <c r="CW34" s="1122" t="str">
        <f>IFERROR(IF(HLOOKUP(CW$15,Data_5!$F$10:$BG$42,$A34+2,FALSE)="NO","NO",IF(HLOOKUP(CW$15,Data_5!$F$10:$BG$42,$A34+2,FALSE)="IE","IE",IF(HLOOKUP(CW$15,Data_5!$F$10:$BG$42,$A34+2,FALSE)="NE","NE",IF(HLOOKUP(CW$15,Data_5!$F$10:$BG$42,$A34+2,FALSE)="C","C",IF(HLOOKUP(CW$15,Data_5!$F$10:$BG$42,$A34+2,FALSE)="NO","NO",HLOOKUP(CW$15,Data_5!$F$10:$BG$42,$A34+2,FALSE)/Data_5!$BK29))))),"")</f>
        <v>IE</v>
      </c>
      <c r="CX34" s="1122">
        <f>IFERROR(IF(HLOOKUP(CX$15,Data_5!$F$10:$BG$42,$A34+2,FALSE)="NO","NO",IF(HLOOKUP(CX$15,Data_5!$F$10:$BG$42,$A34+2,FALSE)="IE","IE",IF(HLOOKUP(CX$15,Data_5!$F$10:$BG$42,$A34+2,FALSE)="NE","NE",IF(HLOOKUP(CX$15,Data_5!$F$10:$BG$42,$A34+2,FALSE)="C","C",IF(HLOOKUP(CX$15,Data_5!$F$10:$BG$42,$A34+2,FALSE)="NO","NO",HLOOKUP(CX$15,Data_5!$F$10:$BG$42,$A34+2,FALSE)/Data_5!$BK29))))),"")</f>
        <v>0.13141172157263953</v>
      </c>
      <c r="CY34" s="1122">
        <f>IFERROR(IF(HLOOKUP(CY$15,Data_5!$F$10:$BG$42,$A34+2,FALSE)="NO","NO",IF(HLOOKUP(CY$15,Data_5!$F$10:$BG$42,$A34+2,FALSE)="IE","IE",IF(HLOOKUP(CY$15,Data_5!$F$10:$BG$42,$A34+2,FALSE)="NE","NE",IF(HLOOKUP(CY$15,Data_5!$F$10:$BG$42,$A34+2,FALSE)="C","C",IF(HLOOKUP(CY$15,Data_5!$F$10:$BG$42,$A34+2,FALSE)="NO","NO",HLOOKUP(CY$15,Data_5!$F$10:$BG$42,$A34+2,FALSE)/Data_5!$BK29))))),"")</f>
        <v>1.2691754709061377E-2</v>
      </c>
      <c r="CZ34" s="1122" t="str">
        <f>IFERROR(IF(HLOOKUP(CZ$15,Data_5!$F$10:$BG$42,$A34+2,FALSE)="NO","NO",IF(HLOOKUP(CZ$15,Data_5!$F$10:$BG$42,$A34+2,FALSE)="IE","IE",IF(HLOOKUP(CZ$15,Data_5!$F$10:$BG$42,$A34+2,FALSE)="NE","NE",IF(HLOOKUP(CZ$15,Data_5!$F$10:$BG$42,$A34+2,FALSE)="C","C",IF(HLOOKUP(CZ$15,Data_5!$F$10:$BG$42,$A34+2,FALSE)="NO","NO",HLOOKUP(CZ$15,Data_5!$F$10:$BG$42,$A34+2,FALSE)/Data_5!$BK29))))),"")</f>
        <v>NO</v>
      </c>
      <c r="DA34" s="1122">
        <f>IFERROR(IF(HLOOKUP(DA$15,Data_5!$F$10:$BG$42,$A34+2,FALSE)="NO","NO",IF(HLOOKUP(DA$15,Data_5!$F$10:$BG$42,$A34+2,FALSE)="IE","IE",IF(HLOOKUP(DA$15,Data_5!$F$10:$BG$42,$A34+2,FALSE)="NE","NE",IF(HLOOKUP(DA$15,Data_5!$F$10:$BG$42,$A34+2,FALSE)="C","C",IF(HLOOKUP(DA$15,Data_5!$F$10:$BG$42,$A34+2,FALSE)="NO","NO",HLOOKUP(DA$15,Data_5!$F$10:$BG$42,$A34+2,FALSE)/Data_5!$BK29))))),"")</f>
        <v>8.0777953044954747E-4</v>
      </c>
      <c r="DB34" s="1122" t="str">
        <f>IFERROR(IF(HLOOKUP(DB$15,Data_5!$F$10:$BG$42,$A34+2,FALSE)="NO","NO",IF(HLOOKUP(DB$15,Data_5!$F$10:$BG$42,$A34+2,FALSE)="IE","IE",IF(HLOOKUP(DB$15,Data_5!$F$10:$BG$42,$A34+2,FALSE)="NE","NE",IF(HLOOKUP(DB$15,Data_5!$F$10:$BG$42,$A34+2,FALSE)="C","C",IF(HLOOKUP(DB$15,Data_5!$F$10:$BG$42,$A34+2,FALSE)="NO","NO",HLOOKUP(DB$15,Data_5!$F$10:$BG$42,$A34+2,FALSE)/Data_5!$BK29))))),"")</f>
        <v>IE</v>
      </c>
      <c r="DC34" s="1122" t="str">
        <f>IFERROR(IF(HLOOKUP(DC$15,Data_5!$F$10:$BG$42,$A34+2,FALSE)="NO","NO",IF(HLOOKUP(DC$15,Data_5!$F$10:$BG$42,$A34+2,FALSE)="IE","IE",IF(HLOOKUP(DC$15,Data_5!$F$10:$BG$42,$A34+2,FALSE)="NE","NE",IF(HLOOKUP(DC$15,Data_5!$F$10:$BG$42,$A34+2,FALSE)="C","C",IF(HLOOKUP(DC$15,Data_5!$F$10:$BG$42,$A34+2,FALSE)="NO","NO",HLOOKUP(DC$15,Data_5!$F$10:$BG$42,$A34+2,FALSE)/Data_5!$BK29))))),"")</f>
        <v>NO</v>
      </c>
      <c r="DD34" s="1122" t="str">
        <f>IFERROR(IF(HLOOKUP(DD$15,Data_5!$F$10:$BG$42,$A34+2,FALSE)="NO","NO",IF(HLOOKUP(DD$15,Data_5!$F$10:$BG$42,$A34+2,FALSE)="IE","IE",IF(HLOOKUP(DD$15,Data_5!$F$10:$BG$42,$A34+2,FALSE)="NE","NE",IF(HLOOKUP(DD$15,Data_5!$F$10:$BG$42,$A34+2,FALSE)="C","C",IF(HLOOKUP(DD$15,Data_5!$F$10:$BG$42,$A34+2,FALSE)="NO","NO",HLOOKUP(DD$15,Data_5!$F$10:$BG$42,$A34+2,FALSE)/Data_5!$BK29))))),"")</f>
        <v>NO</v>
      </c>
      <c r="DE34" s="1122" t="str">
        <f>IFERROR(IF(HLOOKUP(DE$15,Data_5!$F$10:$BG$42,$A34+2,FALSE)="NO","NO",IF(HLOOKUP(DE$15,Data_5!$F$10:$BG$42,$A34+2,FALSE)="IE","IE",IF(HLOOKUP(DE$15,Data_5!$F$10:$BG$42,$A34+2,FALSE)="NE","NE",IF(HLOOKUP(DE$15,Data_5!$F$10:$BG$42,$A34+2,FALSE)="C","C",IF(HLOOKUP(DE$15,Data_5!$F$10:$BG$42,$A34+2,FALSE)="NO","NO",HLOOKUP(DE$15,Data_5!$F$10:$BG$42,$A34+2,FALSE)/Data_5!$BK29))))),"")</f>
        <v>NO</v>
      </c>
      <c r="DF34" s="1122" t="str">
        <f>IFERROR(IF(HLOOKUP(DF$15,Data_5!$F$10:$BG$42,$A34+2,FALSE)="NO","NO",IF(HLOOKUP(DF$15,Data_5!$F$10:$BG$42,$A34+2,FALSE)="IE","IE",IF(HLOOKUP(DF$15,Data_5!$F$10:$BG$42,$A34+2,FALSE)="NE","NE",IF(HLOOKUP(DF$15,Data_5!$F$10:$BG$42,$A34+2,FALSE)="C","C",IF(HLOOKUP(DF$15,Data_5!$F$10:$BG$42,$A34+2,FALSE)="NO","NO",HLOOKUP(DF$15,Data_5!$F$10:$BG$42,$A34+2,FALSE)/Data_5!$BK29))))),"")</f>
        <v>NO</v>
      </c>
      <c r="DG34" s="1122" t="str">
        <f>IFERROR(IF(HLOOKUP(DG$15,Data_5!$F$10:$BG$42,$A34+2,FALSE)="NO","NO",IF(HLOOKUP(DG$15,Data_5!$F$10:$BG$42,$A34+2,FALSE)="IE","IE",IF(HLOOKUP(DG$15,Data_5!$F$10:$BG$42,$A34+2,FALSE)="NE","NE",IF(HLOOKUP(DG$15,Data_5!$F$10:$BG$42,$A34+2,FALSE)="C","C",IF(HLOOKUP(DG$15,Data_5!$F$10:$BG$42,$A34+2,FALSE)="NO","NO",HLOOKUP(DG$15,Data_5!$F$10:$BG$42,$A34+2,FALSE)/Data_5!$BK29))))),"")</f>
        <v>NO</v>
      </c>
      <c r="DH34" s="1122" t="str">
        <f>IFERROR(IF(HLOOKUP(DH$15,Data_5!$F$10:$BG$42,$A34+2,FALSE)="NO","NO",IF(HLOOKUP(DH$15,Data_5!$F$10:$BG$42,$A34+2,FALSE)="IE","IE",IF(HLOOKUP(DH$15,Data_5!$F$10:$BG$42,$A34+2,FALSE)="NE","NE",IF(HLOOKUP(DH$15,Data_5!$F$10:$BG$42,$A34+2,FALSE)="C","C",IF(HLOOKUP(DH$15,Data_5!$F$10:$BG$42,$A34+2,FALSE)="NO","NO",HLOOKUP(DH$15,Data_5!$F$10:$BG$42,$A34+2,FALSE)/Data_5!$BK29))))),"")</f>
        <v>NO</v>
      </c>
      <c r="DI34" s="1122" t="str">
        <f>IFERROR(IF(HLOOKUP(DI$15,Data_5!$F$10:$BG$42,$A34+2,FALSE)="NO","NO",IF(HLOOKUP(DI$15,Data_5!$F$10:$BG$42,$A34+2,FALSE)="IE","IE",IF(HLOOKUP(DI$15,Data_5!$F$10:$BG$42,$A34+2,FALSE)="NE","NE",IF(HLOOKUP(DI$15,Data_5!$F$10:$BG$42,$A34+2,FALSE)="C","C",IF(HLOOKUP(DI$15,Data_5!$F$10:$BG$42,$A34+2,FALSE)="NO","NO",HLOOKUP(DI$15,Data_5!$F$10:$BG$42,$A34+2,FALSE)/Data_5!$BK29))))),"")</f>
        <v>NO</v>
      </c>
      <c r="DJ34" s="1122" t="str">
        <f>IFERROR(IF(HLOOKUP(DJ$15,Data_5!$F$10:$BG$42,$A34+2,FALSE)="NO","NO",IF(HLOOKUP(DJ$15,Data_5!$F$10:$BG$42,$A34+2,FALSE)="IE","IE",IF(HLOOKUP(DJ$15,Data_5!$F$10:$BG$42,$A34+2,FALSE)="NE","NE",IF(HLOOKUP(DJ$15,Data_5!$F$10:$BG$42,$A34+2,FALSE)="C","C",IF(HLOOKUP(DJ$15,Data_5!$F$10:$BG$42,$A34+2,FALSE)="NO","NO",HLOOKUP(DJ$15,Data_5!$F$10:$BG$42,$A34+2,FALSE)/Data_5!$BK29))))),"")</f>
        <v>NO</v>
      </c>
      <c r="DK34" s="1122">
        <f>IFERROR(IF(HLOOKUP(DK$15,Data_5!$F$10:$BG$42,$A34+2,FALSE)="NO","NO",IF(HLOOKUP(DK$15,Data_5!$F$10:$BG$42,$A34+2,FALSE)="IE","IE",IF(HLOOKUP(DK$15,Data_5!$F$10:$BG$42,$A34+2,FALSE)="NE","NE",IF(HLOOKUP(DK$15,Data_5!$F$10:$BG$42,$A34+2,FALSE)="C","C",IF(HLOOKUP(DK$15,Data_5!$F$10:$BG$42,$A34+2,FALSE)="NO","NO",HLOOKUP(DK$15,Data_5!$F$10:$BG$42,$A34+2,FALSE)/Data_5!$BK29))))),"")</f>
        <v>0.36446311495656586</v>
      </c>
      <c r="DL34" s="1122" t="str">
        <f>IFERROR(IF(HLOOKUP(DL$15,Data_5!$F$10:$BG$42,$A34+2,FALSE)="NO","NO",IF(HLOOKUP(DL$15,Data_5!$F$10:$BG$42,$A34+2,FALSE)="IE","IE",IF(HLOOKUP(DL$15,Data_5!$F$10:$BG$42,$A34+2,FALSE)="NE","NE",IF(HLOOKUP(DL$15,Data_5!$F$10:$BG$42,$A34+2,FALSE)="C","C",IF(HLOOKUP(DL$15,Data_5!$F$10:$BG$42,$A34+2,FALSE)="NO","NO",HLOOKUP(DL$15,Data_5!$F$10:$BG$42,$A34+2,FALSE)/Data_5!$BK29))))),"")</f>
        <v>NE</v>
      </c>
      <c r="DM34" s="1122" t="str">
        <f>IFERROR(IF(HLOOKUP(DM$15,Data_5!$F$10:$BG$42,$A34+2,FALSE)="NO","NO",IF(HLOOKUP(DM$15,Data_5!$F$10:$BG$42,$A34+2,FALSE)="IE","IE",IF(HLOOKUP(DM$15,Data_5!$F$10:$BG$42,$A34+2,FALSE)="NE","NE",IF(HLOOKUP(DM$15,Data_5!$F$10:$BG$42,$A34+2,FALSE)="C","C",IF(HLOOKUP(DM$15,Data_5!$F$10:$BG$42,$A34+2,FALSE)="NO","NO",HLOOKUP(DM$15,Data_5!$F$10:$BG$42,$A34+2,FALSE)/Data_5!$BK29))))),"")</f>
        <v>NO</v>
      </c>
      <c r="DN34" s="1122">
        <f>IFERROR(IF(HLOOKUP(DN$15,Data_5!$F$10:$BG$42,$A34+2,FALSE)="NO","NO",IF(HLOOKUP(DN$15,Data_5!$F$10:$BG$42,$A34+2,FALSE)="IE","IE",IF(HLOOKUP(DN$15,Data_5!$F$10:$BG$42,$A34+2,FALSE)="NE","NE",IF(HLOOKUP(DN$15,Data_5!$F$10:$BG$42,$A34+2,FALSE)="C","C",IF(HLOOKUP(DN$15,Data_5!$F$10:$BG$42,$A34+2,FALSE)="NO","NO",HLOOKUP(DN$15,Data_5!$F$10:$BG$42,$A34+2,FALSE)/Data_5!$BK29))))),"")</f>
        <v>-1.7953848027417038E-3</v>
      </c>
      <c r="DO34" s="1122" t="str">
        <f>IFERROR(IF(HLOOKUP(DO$15,Data_5!$F$10:$BG$42,$A34+2,FALSE)="NO","NO",IF(HLOOKUP(DO$15,Data_5!$F$10:$BG$42,$A34+2,FALSE)="IE","IE",IF(HLOOKUP(DO$15,Data_5!$F$10:$BG$42,$A34+2,FALSE)="NE","NE",IF(HLOOKUP(DO$15,Data_5!$F$10:$BG$42,$A34+2,FALSE)="C","C",IF(HLOOKUP(DO$15,Data_5!$F$10:$BG$42,$A34+2,FALSE)="NO","NO",HLOOKUP(DO$15,Data_5!$F$10:$BG$42,$A34+2,FALSE)/Data_5!$BK29))))),"")</f>
        <v>NO</v>
      </c>
    </row>
    <row r="35" spans="1:119" s="15" customFormat="1" ht="15" customHeight="1">
      <c r="A35" s="1789">
        <v>19</v>
      </c>
      <c r="B35" s="2628" t="str">
        <f>IF(Data_5!B30&lt;&gt;"",Data_5!B30,"")</f>
        <v>Philadelphia</v>
      </c>
      <c r="C35" s="2629"/>
      <c r="D35" s="1462">
        <f>IFERROR(VLOOKUP($B35,Data_5!$B$12:$C$42,2,FALSE),"")</f>
        <v>2012</v>
      </c>
      <c r="E35" s="1122">
        <f>IFERROR(IF(HLOOKUP(E$15,Data_5!$F$10:$BG$42,$A35+2,FALSE)="NO","NO",IF(HLOOKUP(E$15,Data_5!$F$10:$BG$42,$A35+2,FALSE)="IE","IE",IF(HLOOKUP(E$15,Data_5!$F$10:$BG$42,$A35+2,FALSE)="NE","NE",IF(HLOOKUP(E$15,Data_5!$F$10:$BG$42,$A35+2,FALSE)="C","C",IF(HLOOKUP(E$15,Data_5!$F$10:$BG$42,$A35+2,FALSE)="NO","NO",HLOOKUP(E$15,Data_5!$F$10:$BG$42,$A35+2,FALSE)/Data_5!$BH30))))),"")</f>
        <v>0.10404721739100707</v>
      </c>
      <c r="F35" s="1122">
        <f>IFERROR(IF(HLOOKUP(F$15,Data_5!$F$10:$BG$42,$A35+2,FALSE)="NO","NO",IF(HLOOKUP(F$15,Data_5!$F$10:$BG$42,$A35+2,FALSE)="IE","IE",IF(HLOOKUP(F$15,Data_5!$F$10:$BG$42,$A35+2,FALSE)="NE","NE",IF(HLOOKUP(F$15,Data_5!$F$10:$BG$42,$A35+2,FALSE)="C","C",IF(HLOOKUP(F$15,Data_5!$F$10:$BG$42,$A35+2,FALSE)="NO","NO",HLOOKUP(F$15,Data_5!$F$10:$BG$42,$A35+2,FALSE)/Data_5!$BH30))))),"")</f>
        <v>9.5478202594122819E-2</v>
      </c>
      <c r="G35" s="1122">
        <f>IFERROR(IF(HLOOKUP(G$15,Data_5!$F$10:$BG$42,$A35+2,FALSE)="NO","NO",IF(HLOOKUP(G$15,Data_5!$F$10:$BG$42,$A35+2,FALSE)="IE","IE",IF(HLOOKUP(G$15,Data_5!$F$10:$BG$42,$A35+2,FALSE)="NE","NE",IF(HLOOKUP(G$15,Data_5!$F$10:$BG$42,$A35+2,FALSE)="C","C",IF(HLOOKUP(G$15,Data_5!$F$10:$BG$42,$A35+2,FALSE)="NO","NO",HLOOKUP(G$15,Data_5!$F$10:$BG$42,$A35+2,FALSE)/Data_5!$BH30))))),"")</f>
        <v>0.11646371470622162</v>
      </c>
      <c r="H35" s="1122">
        <f>IFERROR(IF(HLOOKUP(H$15,Data_5!$F$10:$BG$42,$A35+2,FALSE)="NO","NO",IF(HLOOKUP(H$15,Data_5!$F$10:$BG$42,$A35+2,FALSE)="IE","IE",IF(HLOOKUP(H$15,Data_5!$F$10:$BG$42,$A35+2,FALSE)="NE","NE",IF(HLOOKUP(H$15,Data_5!$F$10:$BG$42,$A35+2,FALSE)="C","C",IF(HLOOKUP(H$15,Data_5!$F$10:$BG$42,$A35+2,FALSE)="NO","NO",HLOOKUP(H$15,Data_5!$F$10:$BG$42,$A35+2,FALSE)/Data_5!$BH30))))),"")</f>
        <v>0.24080201053420089</v>
      </c>
      <c r="I35" s="1122">
        <f>IFERROR(IF(HLOOKUP(I$15,Data_5!$F$10:$BG$42,$A35+2,FALSE)="NO","NO",IF(HLOOKUP(I$15,Data_5!$F$10:$BG$42,$A35+2,FALSE)="IE","IE",IF(HLOOKUP(I$15,Data_5!$F$10:$BG$42,$A35+2,FALSE)="NE","NE",IF(HLOOKUP(I$15,Data_5!$F$10:$BG$42,$A35+2,FALSE)="C","C",IF(HLOOKUP(I$15,Data_5!$F$10:$BG$42,$A35+2,FALSE)="NO","NO",HLOOKUP(I$15,Data_5!$F$10:$BG$42,$A35+2,FALSE)/Data_5!$BH30))))),"")</f>
        <v>0.14666366705550307</v>
      </c>
      <c r="J35" s="1122" t="str">
        <f>IFERROR(IF(HLOOKUP(J$15,Data_5!$F$10:$BG$42,$A35+2,FALSE)="NO","NO",IF(HLOOKUP(J$15,Data_5!$F$10:$BG$42,$A35+2,FALSE)="IE","IE",IF(HLOOKUP(J$15,Data_5!$F$10:$BG$42,$A35+2,FALSE)="NE","NE",IF(HLOOKUP(J$15,Data_5!$F$10:$BG$42,$A35+2,FALSE)="C","C",IF(HLOOKUP(J$15,Data_5!$F$10:$BG$42,$A35+2,FALSE)="NO","NO",HLOOKUP(J$15,Data_5!$F$10:$BG$42,$A35+2,FALSE)/Data_5!$BH30))))),"")</f>
        <v>IE</v>
      </c>
      <c r="K35" s="1122" t="str">
        <f>IFERROR(IF(HLOOKUP(K$15,Data_5!$F$10:$BG$42,$A35+2,FALSE)="NO","NO",IF(HLOOKUP(K$15,Data_5!$F$10:$BG$42,$A35+2,FALSE)="IE","IE",IF(HLOOKUP(K$15,Data_5!$F$10:$BG$42,$A35+2,FALSE)="NE","NE",IF(HLOOKUP(K$15,Data_5!$F$10:$BG$42,$A35+2,FALSE)="C","C",IF(HLOOKUP(K$15,Data_5!$F$10:$BG$42,$A35+2,FALSE)="NO","NO",HLOOKUP(K$15,Data_5!$F$10:$BG$42,$A35+2,FALSE)/Data_5!$BH30))))),"")</f>
        <v>IE</v>
      </c>
      <c r="L35" s="1122" t="str">
        <f>IFERROR(IF(HLOOKUP(L$15,Data_5!$F$10:$BG$42,$A35+2,FALSE)="NO","NO",IF(HLOOKUP(L$15,Data_5!$F$10:$BG$42,$A35+2,FALSE)="IE","IE",IF(HLOOKUP(L$15,Data_5!$F$10:$BG$42,$A35+2,FALSE)="NE","NE",IF(HLOOKUP(L$15,Data_5!$F$10:$BG$42,$A35+2,FALSE)="C","C",IF(HLOOKUP(L$15,Data_5!$F$10:$BG$42,$A35+2,FALSE)="NO","NO",HLOOKUP(L$15,Data_5!$F$10:$BG$42,$A35+2,FALSE)/Data_5!$BH30))))),"")</f>
        <v>IE</v>
      </c>
      <c r="M35" s="1122" t="str">
        <f>IFERROR(IF(HLOOKUP(M$15,Data_5!$F$10:$BG$42,$A35+2,FALSE)="NO","NO",IF(HLOOKUP(M$15,Data_5!$F$10:$BG$42,$A35+2,FALSE)="IE","IE",IF(HLOOKUP(M$15,Data_5!$F$10:$BG$42,$A35+2,FALSE)="NE","NE",IF(HLOOKUP(M$15,Data_5!$F$10:$BG$42,$A35+2,FALSE)="C","C",IF(HLOOKUP(M$15,Data_5!$F$10:$BG$42,$A35+2,FALSE)="NO","NO",HLOOKUP(M$15,Data_5!$F$10:$BG$42,$A35+2,FALSE)/Data_5!$BH30))))),"")</f>
        <v>NO</v>
      </c>
      <c r="N35" s="1122" t="str">
        <f>IFERROR(IF(HLOOKUP(N$15,Data_5!$F$10:$BG$42,$A35+2,FALSE)="NO","NO",IF(HLOOKUP(N$15,Data_5!$F$10:$BG$42,$A35+2,FALSE)="IE","IE",IF(HLOOKUP(N$15,Data_5!$F$10:$BG$42,$A35+2,FALSE)="NE","NE",IF(HLOOKUP(N$15,Data_5!$F$10:$BG$42,$A35+2,FALSE)="C","C",IF(HLOOKUP(N$15,Data_5!$F$10:$BG$42,$A35+2,FALSE)="NO","NO",HLOOKUP(N$15,Data_5!$F$10:$BG$42,$A35+2,FALSE)/Data_5!$BH30))))),"")</f>
        <v>NO</v>
      </c>
      <c r="O35" s="1122" t="str">
        <f>IFERROR(IF(HLOOKUP(O$15,Data_5!$F$10:$BG$42,$A35+2,FALSE)="NO","NO",IF(HLOOKUP(O$15,Data_5!$F$10:$BG$42,$A35+2,FALSE)="IE","IE",IF(HLOOKUP(O$15,Data_5!$F$10:$BG$42,$A35+2,FALSE)="NE","NE",IF(HLOOKUP(O$15,Data_5!$F$10:$BG$42,$A35+2,FALSE)="C","C",IF(HLOOKUP(O$15,Data_5!$F$10:$BG$42,$A35+2,FALSE)="NO","NO",HLOOKUP(O$15,Data_5!$F$10:$BG$42,$A35+2,FALSE)/Data_5!$BH30))))),"")</f>
        <v>NO</v>
      </c>
      <c r="P35" s="1122" t="str">
        <f>IFERROR(IF(HLOOKUP(P$15,Data_5!$F$10:$BG$42,$A35+2,FALSE)="NO","NO",IF(HLOOKUP(P$15,Data_5!$F$10:$BG$42,$A35+2,FALSE)="IE","IE",IF(HLOOKUP(P$15,Data_5!$F$10:$BG$42,$A35+2,FALSE)="NE","NE",IF(HLOOKUP(P$15,Data_5!$F$10:$BG$42,$A35+2,FALSE)="C","C",IF(HLOOKUP(P$15,Data_5!$F$10:$BG$42,$A35+2,FALSE)="NO","NO",HLOOKUP(P$15,Data_5!$F$10:$BG$42,$A35+2,FALSE)/Data_5!$BH30))))),"")</f>
        <v>NO</v>
      </c>
      <c r="Q35" s="1122" t="str">
        <f>IFERROR(IF(HLOOKUP(Q$15,Data_5!$F$10:$BG$42,$A35+2,FALSE)="NO","NO",IF(HLOOKUP(Q$15,Data_5!$F$10:$BG$42,$A35+2,FALSE)="IE","IE",IF(HLOOKUP(Q$15,Data_5!$F$10:$BG$42,$A35+2,FALSE)="NE","NE",IF(HLOOKUP(Q$15,Data_5!$F$10:$BG$42,$A35+2,FALSE)="C","C",IF(HLOOKUP(Q$15,Data_5!$F$10:$BG$42,$A35+2,FALSE)="NO","NO",HLOOKUP(Q$15,Data_5!$F$10:$BG$42,$A35+2,FALSE)/Data_5!$BH30))))),"")</f>
        <v>NO</v>
      </c>
      <c r="R35" s="1122">
        <f>IFERROR(IF(HLOOKUP(R$15,Data_5!$F$10:$BG$42,$A35+2,FALSE)="NO","NO",IF(HLOOKUP(R$15,Data_5!$F$10:$BG$42,$A35+2,FALSE)="IE","IE",IF(HLOOKUP(R$15,Data_5!$F$10:$BG$42,$A35+2,FALSE)="NE","NE",IF(HLOOKUP(R$15,Data_5!$F$10:$BG$42,$A35+2,FALSE)="C","C",IF(HLOOKUP(R$15,Data_5!$F$10:$BG$42,$A35+2,FALSE)="NO","NO",HLOOKUP(R$15,Data_5!$F$10:$BG$42,$A35+2,FALSE)/Data_5!$BH30))))),"")</f>
        <v>2.6346836496853751E-2</v>
      </c>
      <c r="S35" s="1122">
        <f>IFERROR(IF(HLOOKUP(S$15,Data_5!$F$10:$BG$42,$A35+2,FALSE)="NO","NO",IF(HLOOKUP(S$15,Data_5!$F$10:$BG$42,$A35+2,FALSE)="IE","IE",IF(HLOOKUP(S$15,Data_5!$F$10:$BG$42,$A35+2,FALSE)="NE","NE",IF(HLOOKUP(S$15,Data_5!$F$10:$BG$42,$A35+2,FALSE)="C","C",IF(HLOOKUP(S$15,Data_5!$F$10:$BG$42,$A35+2,FALSE)="NO","NO",HLOOKUP(S$15,Data_5!$F$10:$BG$42,$A35+2,FALSE)/Data_5!$BH30))))),"")</f>
        <v>0.1604322547248328</v>
      </c>
      <c r="T35" s="1122" t="str">
        <f>IFERROR(IF(HLOOKUP(T$15,Data_5!$F$10:$BG$42,$A35+2,FALSE)="NO","NO",IF(HLOOKUP(T$15,Data_5!$F$10:$BG$42,$A35+2,FALSE)="IE","IE",IF(HLOOKUP(T$15,Data_5!$F$10:$BG$42,$A35+2,FALSE)="NE","NE",IF(HLOOKUP(T$15,Data_5!$F$10:$BG$42,$A35+2,FALSE)="C","C",IF(HLOOKUP(T$15,Data_5!$F$10:$BG$42,$A35+2,FALSE)="NO","NO",HLOOKUP(T$15,Data_5!$F$10:$BG$42,$A35+2,FALSE)/Data_5!$BH30))))),"")</f>
        <v>IE</v>
      </c>
      <c r="U35" s="1122" t="str">
        <f>IFERROR(IF(HLOOKUP(U$15,Data_5!$F$10:$BG$42,$A35+2,FALSE)="NO","NO",IF(HLOOKUP(U$15,Data_5!$F$10:$BG$42,$A35+2,FALSE)="IE","IE",IF(HLOOKUP(U$15,Data_5!$F$10:$BG$42,$A35+2,FALSE)="NE","NE",IF(HLOOKUP(U$15,Data_5!$F$10:$BG$42,$A35+2,FALSE)="C","C",IF(HLOOKUP(U$15,Data_5!$F$10:$BG$42,$A35+2,FALSE)="NO","NO",HLOOKUP(U$15,Data_5!$F$10:$BG$42,$A35+2,FALSE)/Data_5!$BH30))))),"")</f>
        <v>NO</v>
      </c>
      <c r="V35" s="1122">
        <f>IFERROR(IF(HLOOKUP(V$15,Data_5!$F$10:$BG$42,$A35+2,FALSE)="NO","NO",IF(HLOOKUP(V$15,Data_5!$F$10:$BG$42,$A35+2,FALSE)="IE","IE",IF(HLOOKUP(V$15,Data_5!$F$10:$BG$42,$A35+2,FALSE)="NE","NE",IF(HLOOKUP(V$15,Data_5!$F$10:$BG$42,$A35+2,FALSE)="C","C",IF(HLOOKUP(V$15,Data_5!$F$10:$BG$42,$A35+2,FALSE)="NO","NO",HLOOKUP(V$15,Data_5!$F$10:$BG$42,$A35+2,FALSE)/Data_5!$BH30))))),"")</f>
        <v>1.7756469975961944E-2</v>
      </c>
      <c r="W35" s="1122" t="str">
        <f>IFERROR(IF(HLOOKUP(W$15,Data_5!$F$10:$BG$42,$A35+2,FALSE)="NO","NO",IF(HLOOKUP(W$15,Data_5!$F$10:$BG$42,$A35+2,FALSE)="IE","IE",IF(HLOOKUP(W$15,Data_5!$F$10:$BG$42,$A35+2,FALSE)="NE","NE",IF(HLOOKUP(W$15,Data_5!$F$10:$BG$42,$A35+2,FALSE)="C","C",IF(HLOOKUP(W$15,Data_5!$F$10:$BG$42,$A35+2,FALSE)="NO","NO",HLOOKUP(W$15,Data_5!$F$10:$BG$42,$A35+2,FALSE)/Data_5!$BH30))))),"")</f>
        <v>NO</v>
      </c>
      <c r="X35" s="1122" t="str">
        <f>IFERROR(IF(HLOOKUP(X$15,Data_5!$F$10:$BG$42,$A35+2,FALSE)="NO","NO",IF(HLOOKUP(X$15,Data_5!$F$10:$BG$42,$A35+2,FALSE)="IE","IE",IF(HLOOKUP(X$15,Data_5!$F$10:$BG$42,$A35+2,FALSE)="NE","NE",IF(HLOOKUP(X$15,Data_5!$F$10:$BG$42,$A35+2,FALSE)="C","C",IF(HLOOKUP(X$15,Data_5!$F$10:$BG$42,$A35+2,FALSE)="NO","NO",HLOOKUP(X$15,Data_5!$F$10:$BG$42,$A35+2,FALSE)/Data_5!$BH30))))),"")</f>
        <v>NO</v>
      </c>
      <c r="Y35" s="1122" t="str">
        <f>IFERROR(IF(HLOOKUP(Y$15,Data_5!$F$10:$BG$42,$A35+2,FALSE)="NO","NO",IF(HLOOKUP(Y$15,Data_5!$F$10:$BG$42,$A35+2,FALSE)="IE","IE",IF(HLOOKUP(Y$15,Data_5!$F$10:$BG$42,$A35+2,FALSE)="NE","NE",IF(HLOOKUP(Y$15,Data_5!$F$10:$BG$42,$A35+2,FALSE)="C","C",IF(HLOOKUP(Y$15,Data_5!$F$10:$BG$42,$A35+2,FALSE)="NO","NO",HLOOKUP(Y$15,Data_5!$F$10:$BG$42,$A35+2,FALSE)/Data_5!$BH30))))),"")</f>
        <v>NO</v>
      </c>
      <c r="Z35" s="1122" t="str">
        <f>IFERROR(IF(HLOOKUP(Z$15,Data_5!$F$10:$BG$42,$A35+2,FALSE)="NO","NO",IF(HLOOKUP(Z$15,Data_5!$F$10:$BG$42,$A35+2,FALSE)="IE","IE",IF(HLOOKUP(Z$15,Data_5!$F$10:$BG$42,$A35+2,FALSE)="NE","NE",IF(HLOOKUP(Z$15,Data_5!$F$10:$BG$42,$A35+2,FALSE)="C","C",IF(HLOOKUP(Z$15,Data_5!$F$10:$BG$42,$A35+2,FALSE)="NO","NO",HLOOKUP(Z$15,Data_5!$F$10:$BG$42,$A35+2,FALSE)/Data_5!$BH30))))),"")</f>
        <v>NO</v>
      </c>
      <c r="AA35" s="1122" t="str">
        <f>IFERROR(IF(HLOOKUP(AA$15,Data_5!$F$10:$BG$42,$A35+2,FALSE)="NO","NO",IF(HLOOKUP(AA$15,Data_5!$F$10:$BG$42,$A35+2,FALSE)="IE","IE",IF(HLOOKUP(AA$15,Data_5!$F$10:$BG$42,$A35+2,FALSE)="NE","NE",IF(HLOOKUP(AA$15,Data_5!$F$10:$BG$42,$A35+2,FALSE)="C","C",IF(HLOOKUP(AA$15,Data_5!$F$10:$BG$42,$A35+2,FALSE)="NO","NO",HLOOKUP(AA$15,Data_5!$F$10:$BG$42,$A35+2,FALSE)/Data_5!$BH30))))),"")</f>
        <v>IE</v>
      </c>
      <c r="AB35" s="1122" t="str">
        <f>IFERROR(IF(HLOOKUP(AB$15,Data_5!$F$10:$BG$42,$A35+2,FALSE)="NO","NO",IF(HLOOKUP(AB$15,Data_5!$F$10:$BG$42,$A35+2,FALSE)="IE","IE",IF(HLOOKUP(AB$15,Data_5!$F$10:$BG$42,$A35+2,FALSE)="NE","NE",IF(HLOOKUP(AB$15,Data_5!$F$10:$BG$42,$A35+2,FALSE)="C","C",IF(HLOOKUP(AB$15,Data_5!$F$10:$BG$42,$A35+2,FALSE)="NO","NO",HLOOKUP(AB$15,Data_5!$F$10:$BG$42,$A35+2,FALSE)/Data_5!$BH30))))),"")</f>
        <v>IE</v>
      </c>
      <c r="AC35" s="1122" t="str">
        <f>IFERROR(IF(HLOOKUP(AC$15,Data_5!$F$10:$BG$42,$A35+2,FALSE)="NO","NO",IF(HLOOKUP(AC$15,Data_5!$F$10:$BG$42,$A35+2,FALSE)="IE","IE",IF(HLOOKUP(AC$15,Data_5!$F$10:$BG$42,$A35+2,FALSE)="NE","NE",IF(HLOOKUP(AC$15,Data_5!$F$10:$BG$42,$A35+2,FALSE)="C","C",IF(HLOOKUP(AC$15,Data_5!$F$10:$BG$42,$A35+2,FALSE)="NO","NO",HLOOKUP(AC$15,Data_5!$F$10:$BG$42,$A35+2,FALSE)/Data_5!$BH30))))),"")</f>
        <v>NO</v>
      </c>
      <c r="AD35" s="1122">
        <f>IFERROR(IF(HLOOKUP(AD$15,Data_5!$F$10:$BG$42,$A35+2,FALSE)="NO","NO",IF(HLOOKUP(AD$15,Data_5!$F$10:$BG$42,$A35+2,FALSE)="IE","IE",IF(HLOOKUP(AD$15,Data_5!$F$10:$BG$42,$A35+2,FALSE)="NE","NE",IF(HLOOKUP(AD$15,Data_5!$F$10:$BG$42,$A35+2,FALSE)="C","C",IF(HLOOKUP(AD$15,Data_5!$F$10:$BG$42,$A35+2,FALSE)="NO","NO",HLOOKUP(AD$15,Data_5!$F$10:$BG$42,$A35+2,FALSE)/Data_5!$BH30))))),"")</f>
        <v>7.8667126126125114E-2</v>
      </c>
      <c r="AE35" s="1122" t="str">
        <f>IFERROR(IF(HLOOKUP(AE$15,Data_5!$F$10:$BG$42,$A35+2,FALSE)="NO","NO",IF(HLOOKUP(AE$15,Data_5!$F$10:$BG$42,$A35+2,FALSE)="IE","IE",IF(HLOOKUP(AE$15,Data_5!$F$10:$BG$42,$A35+2,FALSE)="NE","NE",IF(HLOOKUP(AE$15,Data_5!$F$10:$BG$42,$A35+2,FALSE)="C","C",IF(HLOOKUP(AE$15,Data_5!$F$10:$BG$42,$A35+2,FALSE)="NO","NO",HLOOKUP(AE$15,Data_5!$F$10:$BG$42,$A35+2,FALSE)/Data_5!$BH30))))),"")</f>
        <v>NO</v>
      </c>
      <c r="AF35" s="1122" t="str">
        <f>IFERROR(IF(HLOOKUP(AF$15,Data_5!$F$10:$BG$42,$A35+2,FALSE)="NO","NO",IF(HLOOKUP(AF$15,Data_5!$F$10:$BG$42,$A35+2,FALSE)="IE","IE",IF(HLOOKUP(AF$15,Data_5!$F$10:$BG$42,$A35+2,FALSE)="NE","NE",IF(HLOOKUP(AF$15,Data_5!$F$10:$BG$42,$A35+2,FALSE)="C","C",IF(HLOOKUP(AF$15,Data_5!$F$10:$BG$42,$A35+2,FALSE)="NO","NO",HLOOKUP(AF$15,Data_5!$F$10:$BG$42,$A35+2,FALSE)/Data_5!$BH30))))),"")</f>
        <v>NO</v>
      </c>
      <c r="AG35" s="1122" t="str">
        <f>IFERROR(IF(HLOOKUP(AG$15,Data_5!$F$10:$BG$42,$A35+2,FALSE)="NO","NO",IF(HLOOKUP(AG$15,Data_5!$F$10:$BG$42,$A35+2,FALSE)="IE","IE",IF(HLOOKUP(AG$15,Data_5!$F$10:$BG$42,$A35+2,FALSE)="NE","NE",IF(HLOOKUP(AG$15,Data_5!$F$10:$BG$42,$A35+2,FALSE)="C","C",IF(HLOOKUP(AG$15,Data_5!$F$10:$BG$42,$A35+2,FALSE)="NO","NO",HLOOKUP(AG$15,Data_5!$F$10:$BG$42,$A35+2,FALSE)/Data_5!$BH30))))),"")</f>
        <v>NO</v>
      </c>
      <c r="AH35" s="1122">
        <f>IFERROR(IF(HLOOKUP(AH$15,Data_5!$F$10:$BG$42,$A35+2,FALSE)="NO","NO",IF(HLOOKUP(AH$15,Data_5!$F$10:$BG$42,$A35+2,FALSE)="IE","IE",IF(HLOOKUP(AH$15,Data_5!$F$10:$BG$42,$A35+2,FALSE)="NE","NE",IF(HLOOKUP(AH$15,Data_5!$F$10:$BG$42,$A35+2,FALSE)="C","C",IF(HLOOKUP(AH$15,Data_5!$F$10:$BG$42,$A35+2,FALSE)="NO","NO",HLOOKUP(AH$15,Data_5!$F$10:$BG$42,$A35+2,FALSE)/Data_5!$BH30))))),"")</f>
        <v>1.1721062578414917E-2</v>
      </c>
      <c r="AI35" s="1122">
        <f>IFERROR(IF(HLOOKUP(AI$15,Data_5!$F$10:$BG$42,$A35+2,FALSE)="NO","NO",IF(HLOOKUP(AI$15,Data_5!$F$10:$BG$42,$A35+2,FALSE)="IE","IE",IF(HLOOKUP(AI$15,Data_5!$F$10:$BG$42,$A35+2,FALSE)="NE","NE",IF(HLOOKUP(AI$15,Data_5!$F$10:$BG$42,$A35+2,FALSE)="C","C",IF(HLOOKUP(AI$15,Data_5!$F$10:$BG$42,$A35+2,FALSE)="NO","NO",HLOOKUP(AI$15,Data_5!$F$10:$BG$42,$A35+2,FALSE)/Data_5!$BH30))))),"")</f>
        <v>1.6214378167559401E-3</v>
      </c>
      <c r="AJ35" s="1122" t="str">
        <f>IFERROR(IF(HLOOKUP(AJ$15,Data_5!$F$10:$BG$42,$A35+2,FALSE)="NO","NO",IF(HLOOKUP(AJ$15,Data_5!$F$10:$BG$42,$A35+2,FALSE)="IE","IE",IF(HLOOKUP(AJ$15,Data_5!$F$10:$BG$42,$A35+2,FALSE)="NE","NE",IF(HLOOKUP(AJ$15,Data_5!$F$10:$BG$42,$A35+2,FALSE)="C","C",IF(HLOOKUP(AJ$15,Data_5!$F$10:$BG$42,$A35+2,FALSE)="NO","NO",HLOOKUP(AJ$15,Data_5!$F$10:$BG$42,$A35+2,FALSE)/Data_5!$BH30))))),"")</f>
        <v>NO</v>
      </c>
      <c r="AL35" s="2628" t="str">
        <f t="shared" si="0"/>
        <v>Philadelphia</v>
      </c>
      <c r="AM35" s="2629"/>
      <c r="AN35" s="1100">
        <f t="shared" si="1"/>
        <v>2012</v>
      </c>
      <c r="AO35" s="1122" t="str">
        <f>IFERROR(IF(VLOOKUP($AL35,Data_5!$B$12:$E$42,4,FALSE)="BASIC","",(IF(HLOOKUP(AO$15,Data_5!$F$10:$BG$42,$A35+2,FALSE)="NO","NO",IF(HLOOKUP(AO$15,Data_5!$F$10:$BG$42,$A35+2,FALSE)="IE","IE",IF(HLOOKUP(AO$15,Data_5!$F$10:$BG$42,$A35+2,FALSE)="NE","NE",IF(HLOOKUP(AO$15,Data_5!$F$10:$BG$42,$A35+2,FALSE)="C","C",IF(HLOOKUP(AO$15,Data_5!$F$10:$BG$42,$A35+2,FALSE)="NO","NO",HLOOKUP(AO$15,Data_5!$F$10:$BG$42,$A35+2,FALSE)/Data_5!$BI30))))))),"")</f>
        <v/>
      </c>
      <c r="AP35" s="1122" t="str">
        <f>IFERROR(IF(VLOOKUP($AL35,Data_5!$B$12:$E$42,4,FALSE)="BASIC","",(IF(HLOOKUP(AP$15,Data_5!$F$10:$BG$42,$A35+2,FALSE)="NO","NO",IF(HLOOKUP(AP$15,Data_5!$F$10:$BG$42,$A35+2,FALSE)="IE","IE",IF(HLOOKUP(AP$15,Data_5!$F$10:$BG$42,$A35+2,FALSE)="NE","NE",IF(HLOOKUP(AP$15,Data_5!$F$10:$BG$42,$A35+2,FALSE)="C","C",IF(HLOOKUP(AP$15,Data_5!$F$10:$BG$42,$A35+2,FALSE)="NO","NO",HLOOKUP(AP$15,Data_5!$F$10:$BG$42,$A35+2,FALSE)/Data_5!$BI30))))))),"")</f>
        <v/>
      </c>
      <c r="AQ35" s="1122" t="str">
        <f>IFERROR(IF(VLOOKUP($AL35,Data_5!$B$12:$E$42,4,FALSE)="BASIC","",(IF(HLOOKUP(AQ$15,Data_5!$F$10:$BG$42,$A35+2,FALSE)="NO","NO",IF(HLOOKUP(AQ$15,Data_5!$F$10:$BG$42,$A35+2,FALSE)="IE","IE",IF(HLOOKUP(AQ$15,Data_5!$F$10:$BG$42,$A35+2,FALSE)="NE","NE",IF(HLOOKUP(AQ$15,Data_5!$F$10:$BG$42,$A35+2,FALSE)="C","C",IF(HLOOKUP(AQ$15,Data_5!$F$10:$BG$42,$A35+2,FALSE)="NO","NO",HLOOKUP(AQ$15,Data_5!$F$10:$BG$42,$A35+2,FALSE)/Data_5!$BI30))))))),"")</f>
        <v/>
      </c>
      <c r="AR35" s="1122" t="str">
        <f>IFERROR(IF(VLOOKUP($AL35,Data_5!$B$12:$E$42,4,FALSE)="BASIC","",(IF(HLOOKUP(AR$15,Data_5!$F$10:$BG$42,$A35+2,FALSE)="NO","NO",IF(HLOOKUP(AR$15,Data_5!$F$10:$BG$42,$A35+2,FALSE)="IE","IE",IF(HLOOKUP(AR$15,Data_5!$F$10:$BG$42,$A35+2,FALSE)="NE","NE",IF(HLOOKUP(AR$15,Data_5!$F$10:$BG$42,$A35+2,FALSE)="C","C",IF(HLOOKUP(AR$15,Data_5!$F$10:$BG$42,$A35+2,FALSE)="NO","NO",HLOOKUP(AR$15,Data_5!$F$10:$BG$42,$A35+2,FALSE)/Data_5!$BI30))))))),"")</f>
        <v/>
      </c>
      <c r="AS35" s="1122" t="str">
        <f>IFERROR(IF(VLOOKUP($AL35,Data_5!$B$12:$E$42,4,FALSE)="BASIC","",(IF(HLOOKUP(AS$15,Data_5!$F$10:$BG$42,$A35+2,FALSE)="NO","NO",IF(HLOOKUP(AS$15,Data_5!$F$10:$BG$42,$A35+2,FALSE)="IE","IE",IF(HLOOKUP(AS$15,Data_5!$F$10:$BG$42,$A35+2,FALSE)="NE","NE",IF(HLOOKUP(AS$15,Data_5!$F$10:$BG$42,$A35+2,FALSE)="C","C",IF(HLOOKUP(AS$15,Data_5!$F$10:$BG$42,$A35+2,FALSE)="NO","NO",HLOOKUP(AS$15,Data_5!$F$10:$BG$42,$A35+2,FALSE)/Data_5!$BI30))))))),"")</f>
        <v/>
      </c>
      <c r="AT35" s="1122" t="str">
        <f>IFERROR(IF(VLOOKUP($AL35,Data_5!$B$12:$E$42,4,FALSE)="BASIC","",(IF(HLOOKUP(AT$15,Data_5!$F$10:$BG$42,$A35+2,FALSE)="NO","NO",IF(HLOOKUP(AT$15,Data_5!$F$10:$BG$42,$A35+2,FALSE)="IE","IE",IF(HLOOKUP(AT$15,Data_5!$F$10:$BG$42,$A35+2,FALSE)="NE","NE",IF(HLOOKUP(AT$15,Data_5!$F$10:$BG$42,$A35+2,FALSE)="C","C",IF(HLOOKUP(AT$15,Data_5!$F$10:$BG$42,$A35+2,FALSE)="NO","NO",HLOOKUP(AT$15,Data_5!$F$10:$BG$42,$A35+2,FALSE)/Data_5!$BI30))))))),"")</f>
        <v/>
      </c>
      <c r="AU35" s="1122" t="str">
        <f>IFERROR(IF(VLOOKUP($AL35,Data_5!$B$12:$E$42,4,FALSE)="BASIC","",(IF(HLOOKUP(AU$15,Data_5!$F$10:$BG$42,$A35+2,FALSE)="NO","NO",IF(HLOOKUP(AU$15,Data_5!$F$10:$BG$42,$A35+2,FALSE)="IE","IE",IF(HLOOKUP(AU$15,Data_5!$F$10:$BG$42,$A35+2,FALSE)="NE","NE",IF(HLOOKUP(AU$15,Data_5!$F$10:$BG$42,$A35+2,FALSE)="C","C",IF(HLOOKUP(AU$15,Data_5!$F$10:$BG$42,$A35+2,FALSE)="NO","NO",HLOOKUP(AU$15,Data_5!$F$10:$BG$42,$A35+2,FALSE)/Data_5!$BI30))))))),"")</f>
        <v/>
      </c>
      <c r="AV35" s="1122" t="str">
        <f>IFERROR(IF(VLOOKUP($AL35,Data_5!$B$12:$E$42,4,FALSE)="BASIC","",(IF(HLOOKUP(AV$15,Data_5!$F$10:$BG$42,$A35+2,FALSE)="NO","NO",IF(HLOOKUP(AV$15,Data_5!$F$10:$BG$42,$A35+2,FALSE)="IE","IE",IF(HLOOKUP(AV$15,Data_5!$F$10:$BG$42,$A35+2,FALSE)="NE","NE",IF(HLOOKUP(AV$15,Data_5!$F$10:$BG$42,$A35+2,FALSE)="C","C",IF(HLOOKUP(AV$15,Data_5!$F$10:$BG$42,$A35+2,FALSE)="NO","NO",HLOOKUP(AV$15,Data_5!$F$10:$BG$42,$A35+2,FALSE)/Data_5!$BI30))))))),"")</f>
        <v/>
      </c>
      <c r="AW35" s="1122" t="str">
        <f>IFERROR(IF(VLOOKUP($AL35,Data_5!$B$12:$E$42,4,FALSE)="BASIC","",(IF(HLOOKUP(AW$15,Data_5!$F$10:$BG$42,$A35+2,FALSE)="NO","NO",IF(HLOOKUP(AW$15,Data_5!$F$10:$BG$42,$A35+2,FALSE)="IE","IE",IF(HLOOKUP(AW$15,Data_5!$F$10:$BG$42,$A35+2,FALSE)="NE","NE",IF(HLOOKUP(AW$15,Data_5!$F$10:$BG$42,$A35+2,FALSE)="C","C",IF(HLOOKUP(AW$15,Data_5!$F$10:$BG$42,$A35+2,FALSE)="NO","NO",HLOOKUP(AW$15,Data_5!$F$10:$BG$42,$A35+2,FALSE)/Data_5!$BI30))))))),"")</f>
        <v/>
      </c>
      <c r="AX35" s="1122" t="str">
        <f>IFERROR(IF(VLOOKUP($AL35,Data_5!$B$12:$E$42,4,FALSE)="BASIC","",(IF(HLOOKUP(AX$15,Data_5!$F$10:$BG$42,$A35+2,FALSE)="NO","NO",IF(HLOOKUP(AX$15,Data_5!$F$10:$BG$42,$A35+2,FALSE)="IE","IE",IF(HLOOKUP(AX$15,Data_5!$F$10:$BG$42,$A35+2,FALSE)="NE","NE",IF(HLOOKUP(AX$15,Data_5!$F$10:$BG$42,$A35+2,FALSE)="C","C",IF(HLOOKUP(AX$15,Data_5!$F$10:$BG$42,$A35+2,FALSE)="NO","NO",HLOOKUP(AX$15,Data_5!$F$10:$BG$42,$A35+2,FALSE)/Data_5!$BI30))))))),"")</f>
        <v/>
      </c>
      <c r="AY35" s="1122" t="str">
        <f>IFERROR(IF(VLOOKUP($AL35,Data_5!$B$12:$E$42,4,FALSE)="BASIC","",(IF(HLOOKUP(AY$15,Data_5!$F$10:$BG$42,$A35+2,FALSE)="NO","NO",IF(HLOOKUP(AY$15,Data_5!$F$10:$BG$42,$A35+2,FALSE)="IE","IE",IF(HLOOKUP(AY$15,Data_5!$F$10:$BG$42,$A35+2,FALSE)="NE","NE",IF(HLOOKUP(AY$15,Data_5!$F$10:$BG$42,$A35+2,FALSE)="C","C",IF(HLOOKUP(AY$15,Data_5!$F$10:$BG$42,$A35+2,FALSE)="NO","NO",HLOOKUP(AY$15,Data_5!$F$10:$BG$42,$A35+2,FALSE)/Data_5!$BI30))))))),"")</f>
        <v/>
      </c>
      <c r="AZ35" s="1122" t="str">
        <f>IFERROR(IF(VLOOKUP($AL35,Data_5!$B$12:$E$42,4,FALSE)="BASIC","",(IF(HLOOKUP(AZ$15,Data_5!$F$10:$BG$42,$A35+2,FALSE)="NO","NO",IF(HLOOKUP(AZ$15,Data_5!$F$10:$BG$42,$A35+2,FALSE)="IE","IE",IF(HLOOKUP(AZ$15,Data_5!$F$10:$BG$42,$A35+2,FALSE)="NE","NE",IF(HLOOKUP(AZ$15,Data_5!$F$10:$BG$42,$A35+2,FALSE)="C","C",IF(HLOOKUP(AZ$15,Data_5!$F$10:$BG$42,$A35+2,FALSE)="NO","NO",HLOOKUP(AZ$15,Data_5!$F$10:$BG$42,$A35+2,FALSE)/Data_5!$BI30))))))),"")</f>
        <v/>
      </c>
      <c r="BA35" s="1122" t="str">
        <f>IFERROR(IF(VLOOKUP($AL35,Data_5!$B$12:$E$42,4,FALSE)="BASIC","",(IF(HLOOKUP(BA$15,Data_5!$F$10:$BG$42,$A35+2,FALSE)="NO","NO",IF(HLOOKUP(BA$15,Data_5!$F$10:$BG$42,$A35+2,FALSE)="IE","IE",IF(HLOOKUP(BA$15,Data_5!$F$10:$BG$42,$A35+2,FALSE)="NE","NE",IF(HLOOKUP(BA$15,Data_5!$F$10:$BG$42,$A35+2,FALSE)="C","C",IF(HLOOKUP(BA$15,Data_5!$F$10:$BG$42,$A35+2,FALSE)="NO","NO",HLOOKUP(BA$15,Data_5!$F$10:$BG$42,$A35+2,FALSE)/Data_5!$BI30))))))),"")</f>
        <v/>
      </c>
      <c r="BB35" s="1122" t="str">
        <f>IFERROR(IF(VLOOKUP($AL35,Data_5!$B$12:$E$42,4,FALSE)="BASIC","",(IF(HLOOKUP(BB$15,Data_5!$F$10:$BG$42,$A35+2,FALSE)="NO","NO",IF(HLOOKUP(BB$15,Data_5!$F$10:$BG$42,$A35+2,FALSE)="IE","IE",IF(HLOOKUP(BB$15,Data_5!$F$10:$BG$42,$A35+2,FALSE)="NE","NE",IF(HLOOKUP(BB$15,Data_5!$F$10:$BG$42,$A35+2,FALSE)="C","C",IF(HLOOKUP(BB$15,Data_5!$F$10:$BG$42,$A35+2,FALSE)="NO","NO",HLOOKUP(BB$15,Data_5!$F$10:$BG$42,$A35+2,FALSE)/Data_5!$BI30))))))),"")</f>
        <v/>
      </c>
      <c r="BC35" s="1122" t="str">
        <f>IFERROR(IF(VLOOKUP($AL35,Data_5!$B$12:$E$42,4,FALSE)="BASIC","",(IF(HLOOKUP(BC$15,Data_5!$F$10:$BG$42,$A35+2,FALSE)="NO","NO",IF(HLOOKUP(BC$15,Data_5!$F$10:$BG$42,$A35+2,FALSE)="IE","IE",IF(HLOOKUP(BC$15,Data_5!$F$10:$BG$42,$A35+2,FALSE)="NE","NE",IF(HLOOKUP(BC$15,Data_5!$F$10:$BG$42,$A35+2,FALSE)="C","C",IF(HLOOKUP(BC$15,Data_5!$F$10:$BG$42,$A35+2,FALSE)="NO","NO",HLOOKUP(BC$15,Data_5!$F$10:$BG$42,$A35+2,FALSE)/Data_5!$BI30))))))),"")</f>
        <v/>
      </c>
      <c r="BD35" s="1122" t="str">
        <f>IFERROR(IF(VLOOKUP($AL35,Data_5!$B$12:$E$42,4,FALSE)="BASIC","",(IF(HLOOKUP(BD$15,Data_5!$F$10:$BG$42,$A35+2,FALSE)="NO","NO",IF(HLOOKUP(BD$15,Data_5!$F$10:$BG$42,$A35+2,FALSE)="IE","IE",IF(HLOOKUP(BD$15,Data_5!$F$10:$BG$42,$A35+2,FALSE)="NE","NE",IF(HLOOKUP(BD$15,Data_5!$F$10:$BG$42,$A35+2,FALSE)="C","C",IF(HLOOKUP(BD$15,Data_5!$F$10:$BG$42,$A35+2,FALSE)="NO","NO",HLOOKUP(BD$15,Data_5!$F$10:$BG$42,$A35+2,FALSE)/Data_5!$BI30))))))),"")</f>
        <v/>
      </c>
      <c r="BE35" s="1122" t="str">
        <f>IFERROR(IF(VLOOKUP($AL35,Data_5!$B$12:$E$42,4,FALSE)="BASIC","",(IF(HLOOKUP(BE$15,Data_5!$F$10:$BG$42,$A35+2,FALSE)="NO","NO",IF(HLOOKUP(BE$15,Data_5!$F$10:$BG$42,$A35+2,FALSE)="IE","IE",IF(HLOOKUP(BE$15,Data_5!$F$10:$BG$42,$A35+2,FALSE)="NE","NE",IF(HLOOKUP(BE$15,Data_5!$F$10:$BG$42,$A35+2,FALSE)="C","C",IF(HLOOKUP(BE$15,Data_5!$F$10:$BG$42,$A35+2,FALSE)="NO","NO",HLOOKUP(BE$15,Data_5!$F$10:$BG$42,$A35+2,FALSE)/Data_5!$BI30))))))),"")</f>
        <v/>
      </c>
      <c r="BF35" s="1122" t="str">
        <f>IFERROR(IF(VLOOKUP($AL35,Data_5!$B$12:$E$42,4,FALSE)="BASIC","",(IF(HLOOKUP(BF$15,Data_5!$F$10:$BG$42,$A35+2,FALSE)="NO","NO",IF(HLOOKUP(BF$15,Data_5!$F$10:$BG$42,$A35+2,FALSE)="IE","IE",IF(HLOOKUP(BF$15,Data_5!$F$10:$BG$42,$A35+2,FALSE)="NE","NE",IF(HLOOKUP(BF$15,Data_5!$F$10:$BG$42,$A35+2,FALSE)="C","C",IF(HLOOKUP(BF$15,Data_5!$F$10:$BG$42,$A35+2,FALSE)="NO","NO",HLOOKUP(BF$15,Data_5!$F$10:$BG$42,$A35+2,FALSE)/Data_5!$BI30))))))),"")</f>
        <v/>
      </c>
      <c r="BG35" s="1122" t="str">
        <f>IFERROR(IF(VLOOKUP($AL35,Data_5!$B$12:$E$42,4,FALSE)="BASIC","",(IF(HLOOKUP(BG$15,Data_5!$F$10:$BG$42,$A35+2,FALSE)="NO","NO",IF(HLOOKUP(BG$15,Data_5!$F$10:$BG$42,$A35+2,FALSE)="IE","IE",IF(HLOOKUP(BG$15,Data_5!$F$10:$BG$42,$A35+2,FALSE)="NE","NE",IF(HLOOKUP(BG$15,Data_5!$F$10:$BG$42,$A35+2,FALSE)="C","C",IF(HLOOKUP(BG$15,Data_5!$F$10:$BG$42,$A35+2,FALSE)="NO","NO",HLOOKUP(BG$15,Data_5!$F$10:$BG$42,$A35+2,FALSE)/Data_5!$BI30))))))),"")</f>
        <v/>
      </c>
      <c r="BH35" s="1122" t="str">
        <f>IFERROR(IF(VLOOKUP($AL35,Data_5!$B$12:$E$42,4,FALSE)="BASIC","",(IF(HLOOKUP(BH$15,Data_5!$F$10:$BG$42,$A35+2,FALSE)="NO","NO",IF(HLOOKUP(BH$15,Data_5!$F$10:$BG$42,$A35+2,FALSE)="IE","IE",IF(HLOOKUP(BH$15,Data_5!$F$10:$BG$42,$A35+2,FALSE)="NE","NE",IF(HLOOKUP(BH$15,Data_5!$F$10:$BG$42,$A35+2,FALSE)="C","C",IF(HLOOKUP(BH$15,Data_5!$F$10:$BG$42,$A35+2,FALSE)="NO","NO",HLOOKUP(BH$15,Data_5!$F$10:$BG$42,$A35+2,FALSE)/Data_5!$BI30))))))),"")</f>
        <v/>
      </c>
      <c r="BI35" s="1122" t="str">
        <f>IFERROR(IF(VLOOKUP($AL35,Data_5!$B$12:$E$42,4,FALSE)="BASIC","",(IF(HLOOKUP(BI$15,Data_5!$F$10:$BG$42,$A35+2,FALSE)="NO","NO",IF(HLOOKUP(BI$15,Data_5!$F$10:$BG$42,$A35+2,FALSE)="IE","IE",IF(HLOOKUP(BI$15,Data_5!$F$10:$BG$42,$A35+2,FALSE)="NE","NE",IF(HLOOKUP(BI$15,Data_5!$F$10:$BG$42,$A35+2,FALSE)="C","C",IF(HLOOKUP(BI$15,Data_5!$F$10:$BG$42,$A35+2,FALSE)="NO","NO",HLOOKUP(BI$15,Data_5!$F$10:$BG$42,$A35+2,FALSE)/Data_5!$BI30))))))),"")</f>
        <v/>
      </c>
      <c r="BJ35" s="1122" t="str">
        <f>IFERROR(IF(VLOOKUP($AL35,Data_5!$B$12:$E$42,4,FALSE)="BASIC","",(IF(HLOOKUP(BJ$15,Data_5!$F$10:$BG$42,$A35+2,FALSE)="NO","NO",IF(HLOOKUP(BJ$15,Data_5!$F$10:$BG$42,$A35+2,FALSE)="IE","IE",IF(HLOOKUP(BJ$15,Data_5!$F$10:$BG$42,$A35+2,FALSE)="NE","NE",IF(HLOOKUP(BJ$15,Data_5!$F$10:$BG$42,$A35+2,FALSE)="C","C",IF(HLOOKUP(BJ$15,Data_5!$F$10:$BG$42,$A35+2,FALSE)="NO","NO",HLOOKUP(BJ$15,Data_5!$F$10:$BG$42,$A35+2,FALSE)/Data_5!$BI30))))))),"")</f>
        <v/>
      </c>
      <c r="BK35" s="1122" t="str">
        <f>IFERROR(IF(VLOOKUP($AL35,Data_5!$B$12:$E$42,4,FALSE)="BASIC","",(IF(HLOOKUP(BK$15,Data_5!$F$10:$BG$42,$A35+2,FALSE)="NO","NO",IF(HLOOKUP(BK$15,Data_5!$F$10:$BG$42,$A35+2,FALSE)="IE","IE",IF(HLOOKUP(BK$15,Data_5!$F$10:$BG$42,$A35+2,FALSE)="NE","NE",IF(HLOOKUP(BK$15,Data_5!$F$10:$BG$42,$A35+2,FALSE)="C","C",IF(HLOOKUP(BK$15,Data_5!$F$10:$BG$42,$A35+2,FALSE)="NO","NO",HLOOKUP(BK$15,Data_5!$F$10:$BG$42,$A35+2,FALSE)/Data_5!$BI30))))))),"")</f>
        <v/>
      </c>
      <c r="BL35" s="1122" t="str">
        <f>IFERROR(IF(VLOOKUP($AL35,Data_5!$B$12:$E$42,4,FALSE)="BASIC","",(IF(HLOOKUP(BL$15,Data_5!$F$10:$BG$42,$A35+2,FALSE)="NO","NO",IF(HLOOKUP(BL$15,Data_5!$F$10:$BG$42,$A35+2,FALSE)="IE","IE",IF(HLOOKUP(BL$15,Data_5!$F$10:$BG$42,$A35+2,FALSE)="NE","NE",IF(HLOOKUP(BL$15,Data_5!$F$10:$BG$42,$A35+2,FALSE)="C","C",IF(HLOOKUP(BL$15,Data_5!$F$10:$BG$42,$A35+2,FALSE)="NO","NO",HLOOKUP(BL$15,Data_5!$F$10:$BG$42,$A35+2,FALSE)/Data_5!$BI30))))))),"")</f>
        <v/>
      </c>
      <c r="BM35" s="1122" t="str">
        <f>IFERROR(IF(VLOOKUP($AL35,Data_5!$B$12:$E$42,4,FALSE)="BASIC","",(IF(HLOOKUP(BM$15,Data_5!$F$10:$BG$42,$A35+2,FALSE)="NO","NO",IF(HLOOKUP(BM$15,Data_5!$F$10:$BG$42,$A35+2,FALSE)="IE","IE",IF(HLOOKUP(BM$15,Data_5!$F$10:$BG$42,$A35+2,FALSE)="NE","NE",IF(HLOOKUP(BM$15,Data_5!$F$10:$BG$42,$A35+2,FALSE)="C","C",IF(HLOOKUP(BM$15,Data_5!$F$10:$BG$42,$A35+2,FALSE)="NO","NO",HLOOKUP(BM$15,Data_5!$F$10:$BG$42,$A35+2,FALSE)/Data_5!$BI30))))))),"")</f>
        <v/>
      </c>
      <c r="BN35" s="1122" t="str">
        <f>IFERROR(IF(VLOOKUP($AL35,Data_5!$B$12:$E$42,4,FALSE)="BASIC","",(IF(HLOOKUP(BN$15,Data_5!$F$10:$BG$42,$A35+2,FALSE)="NO","NO",IF(HLOOKUP(BN$15,Data_5!$F$10:$BG$42,$A35+2,FALSE)="IE","IE",IF(HLOOKUP(BN$15,Data_5!$F$10:$BG$42,$A35+2,FALSE)="NE","NE",IF(HLOOKUP(BN$15,Data_5!$F$10:$BG$42,$A35+2,FALSE)="C","C",IF(HLOOKUP(BN$15,Data_5!$F$10:$BG$42,$A35+2,FALSE)="NO","NO",HLOOKUP(BN$15,Data_5!$F$10:$BG$42,$A35+2,FALSE)/Data_5!$BI30))))))),"")</f>
        <v/>
      </c>
      <c r="BO35" s="1122" t="str">
        <f>IFERROR(IF(VLOOKUP($AL35,Data_5!$B$12:$E$42,4,FALSE)="BASIC","",(IF(HLOOKUP(BO$15,Data_5!$F$10:$BG$42,$A35+2,FALSE)="NO","NO",IF(HLOOKUP(BO$15,Data_5!$F$10:$BG$42,$A35+2,FALSE)="IE","IE",IF(HLOOKUP(BO$15,Data_5!$F$10:$BG$42,$A35+2,FALSE)="NE","NE",IF(HLOOKUP(BO$15,Data_5!$F$10:$BG$42,$A35+2,FALSE)="C","C",IF(HLOOKUP(BO$15,Data_5!$F$10:$BG$42,$A35+2,FALSE)="NO","NO",HLOOKUP(BO$15,Data_5!$F$10:$BG$42,$A35+2,FALSE)/Data_5!$BI30))))))),"")</f>
        <v/>
      </c>
      <c r="BP35" s="1122" t="str">
        <f>IFERROR(IF(VLOOKUP($AL35,Data_5!$B$12:$E$42,4,FALSE)="BASIC","",(IF(HLOOKUP(BP$15,Data_5!$F$10:$BG$42,$A35+2,FALSE)="NO","NO",IF(HLOOKUP(BP$15,Data_5!$F$10:$BG$42,$A35+2,FALSE)="IE","IE",IF(HLOOKUP(BP$15,Data_5!$F$10:$BG$42,$A35+2,FALSE)="NE","NE",IF(HLOOKUP(BP$15,Data_5!$F$10:$BG$42,$A35+2,FALSE)="C","C",IF(HLOOKUP(BP$15,Data_5!$F$10:$BG$42,$A35+2,FALSE)="NO","NO",HLOOKUP(BP$15,Data_5!$F$10:$BG$42,$A35+2,FALSE)/Data_5!$BI30))))))),"")</f>
        <v/>
      </c>
      <c r="BQ35" s="1122" t="str">
        <f>IFERROR(IF(VLOOKUP($AL35,Data_5!$B$12:$E$42,4,FALSE)="BASIC","",(IF(HLOOKUP(BQ$15,Data_5!$F$10:$BG$42,$A35+2,FALSE)="NO","NO",IF(HLOOKUP(BQ$15,Data_5!$F$10:$BG$42,$A35+2,FALSE)="IE","IE",IF(HLOOKUP(BQ$15,Data_5!$F$10:$BG$42,$A35+2,FALSE)="NE","NE",IF(HLOOKUP(BQ$15,Data_5!$F$10:$BG$42,$A35+2,FALSE)="C","C",IF(HLOOKUP(BQ$15,Data_5!$F$10:$BG$42,$A35+2,FALSE)="NO","NO",HLOOKUP(BQ$15,Data_5!$F$10:$BG$42,$A35+2,FALSE)/Data_5!$BI30))))))),"")</f>
        <v/>
      </c>
      <c r="BR35" s="1122" t="str">
        <f>IFERROR(IF(VLOOKUP($AL35,Data_5!$B$12:$E$42,4,FALSE)="BASIC","",(IF(HLOOKUP(BR$15,Data_5!$F$10:$BG$42,$A35+2,FALSE)="NO","NO",IF(HLOOKUP(BR$15,Data_5!$F$10:$BG$42,$A35+2,FALSE)="IE","IE",IF(HLOOKUP(BR$15,Data_5!$F$10:$BG$42,$A35+2,FALSE)="NE","NE",IF(HLOOKUP(BR$15,Data_5!$F$10:$BG$42,$A35+2,FALSE)="C","C",IF(HLOOKUP(BR$15,Data_5!$F$10:$BG$42,$A35+2,FALSE)="NO","NO",HLOOKUP(BR$15,Data_5!$F$10:$BG$42,$A35+2,FALSE)/Data_5!$BI30))))))),"")</f>
        <v/>
      </c>
      <c r="BS35" s="1122" t="str">
        <f>IFERROR(IF(VLOOKUP($AL35,Data_5!$B$12:$E$42,4,FALSE)="BASIC","",(IF(HLOOKUP(BS$15,Data_5!$F$10:$BG$42,$A35+2,FALSE)="NO","NO",IF(HLOOKUP(BS$15,Data_5!$F$10:$BG$42,$A35+2,FALSE)="IE","IE",IF(HLOOKUP(BS$15,Data_5!$F$10:$BG$42,$A35+2,FALSE)="NE","NE",IF(HLOOKUP(BS$15,Data_5!$F$10:$BG$42,$A35+2,FALSE)="C","C",IF(HLOOKUP(BS$15,Data_5!$F$10:$BG$42,$A35+2,FALSE)="NO","NO",HLOOKUP(BS$15,Data_5!$F$10:$BG$42,$A35+2,FALSE)/Data_5!$BI30))))))),"")</f>
        <v/>
      </c>
      <c r="BT35" s="1122" t="str">
        <f>IFERROR(IF(VLOOKUP($AL35,Data_5!$B$12:$E$42,4,FALSE)="BASIC","",(IF(HLOOKUP(BT$15,Data_5!$F$10:$BG$42,$A35+2,FALSE)="NO","NO",IF(HLOOKUP(BT$15,Data_5!$F$10:$BG$42,$A35+2,FALSE)="IE","IE",IF(HLOOKUP(BT$15,Data_5!$F$10:$BG$42,$A35+2,FALSE)="NE","NE",IF(HLOOKUP(BT$15,Data_5!$F$10:$BG$42,$A35+2,FALSE)="C","C",IF(HLOOKUP(BT$15,Data_5!$F$10:$BG$42,$A35+2,FALSE)="NO","NO",HLOOKUP(BT$15,Data_5!$F$10:$BG$42,$A35+2,FALSE)/Data_5!$BI30))))))),"")</f>
        <v/>
      </c>
      <c r="BU35" s="1122" t="str">
        <f>IFERROR(IF(VLOOKUP($AL35,Data_5!$B$12:$E$42,4,FALSE)="BASIC","",(IF(HLOOKUP(BU$15,Data_5!$F$10:$BG$42,$A35+2,FALSE)="NO","NO",IF(HLOOKUP(BU$15,Data_5!$F$10:$BG$42,$A35+2,FALSE)="IE","IE",IF(HLOOKUP(BU$15,Data_5!$F$10:$BG$42,$A35+2,FALSE)="NE","NE",IF(HLOOKUP(BU$15,Data_5!$F$10:$BG$42,$A35+2,FALSE)="C","C",IF(HLOOKUP(BU$15,Data_5!$F$10:$BG$42,$A35+2,FALSE)="NO","NO",HLOOKUP(BU$15,Data_5!$F$10:$BG$42,$A35+2,FALSE)/Data_5!$BI30))))))),"")</f>
        <v/>
      </c>
      <c r="BV35" s="1122" t="str">
        <f>IFERROR(IF(VLOOKUP($AL35,Data_5!$B$12:$E$42,4,FALSE)="BASIC","",(IF(HLOOKUP(BV$15,Data_5!$F$10:$BG$42,$A35+2,FALSE)="NO","NO",IF(HLOOKUP(BV$15,Data_5!$F$10:$BG$42,$A35+2,FALSE)="IE","IE",IF(HLOOKUP(BV$15,Data_5!$F$10:$BG$42,$A35+2,FALSE)="NE","NE",IF(HLOOKUP(BV$15,Data_5!$F$10:$BG$42,$A35+2,FALSE)="C","C",IF(HLOOKUP(BV$15,Data_5!$F$10:$BG$42,$A35+2,FALSE)="NO","NO",HLOOKUP(BV$15,Data_5!$F$10:$BG$42,$A35+2,FALSE)/Data_5!$BI30))))))),"")</f>
        <v/>
      </c>
      <c r="BW35" s="1122" t="str">
        <f>IFERROR(IF(VLOOKUP($AL35,Data_5!$B$12:$E$42,4,FALSE)="BASIC","",(IF(HLOOKUP(BW$15,Data_5!$F$10:$BG$42,$A35+2,FALSE)="NO","NO",IF(HLOOKUP(BW$15,Data_5!$F$10:$BG$42,$A35+2,FALSE)="IE","IE",IF(HLOOKUP(BW$15,Data_5!$F$10:$BG$42,$A35+2,FALSE)="NE","NE",IF(HLOOKUP(BW$15,Data_5!$F$10:$BG$42,$A35+2,FALSE)="C","C",IF(HLOOKUP(BW$15,Data_5!$F$10:$BG$42,$A35+2,FALSE)="NO","NO",HLOOKUP(BW$15,Data_5!$F$10:$BG$42,$A35+2,FALSE)/Data_5!$BI30))))))),"")</f>
        <v/>
      </c>
      <c r="BX35" s="1122" t="str">
        <f>IFERROR(IF(VLOOKUP($AL35,Data_5!$B$12:$E$42,4,FALSE)="BASIC","",(IF(HLOOKUP(BX$15,Data_5!$F$10:$BG$42,$A35+2,FALSE)="NO","NO",IF(HLOOKUP(BX$15,Data_5!$F$10:$BG$42,$A35+2,FALSE)="IE","IE",IF(HLOOKUP(BX$15,Data_5!$F$10:$BG$42,$A35+2,FALSE)="NE","NE",IF(HLOOKUP(BX$15,Data_5!$F$10:$BG$42,$A35+2,FALSE)="C","C",IF(HLOOKUP(BX$15,Data_5!$F$10:$BG$42,$A35+2,FALSE)="NO","NO",HLOOKUP(BX$15,Data_5!$F$10:$BG$42,$A35+2,FALSE)/Data_5!$BI30))))))),"")</f>
        <v/>
      </c>
      <c r="BY35" s="1122" t="str">
        <f>IFERROR(IF(VLOOKUP($AL35,Data_5!$B$12:$E$42,4,FALSE)="BASIC","",(IF(HLOOKUP(BY$15,Data_5!$F$10:$BG$42,$A35+2,FALSE)="NO","NO",IF(HLOOKUP(BY$15,Data_5!$F$10:$BG$42,$A35+2,FALSE)="IE","IE",IF(HLOOKUP(BY$15,Data_5!$F$10:$BG$42,$A35+2,FALSE)="NE","NE",IF(HLOOKUP(BY$15,Data_5!$F$10:$BG$42,$A35+2,FALSE)="C","C",IF(HLOOKUP(BY$15,Data_5!$F$10:$BG$42,$A35+2,FALSE)="NO","NO",HLOOKUP(BY$15,Data_5!$F$10:$BG$42,$A35+2,FALSE)/Data_5!$BI30))))))),"")</f>
        <v/>
      </c>
      <c r="BZ35" s="1122" t="str">
        <f>IFERROR(IF(VLOOKUP($AL35,Data_5!$B$12:$E$42,4,FALSE)="BASIC","",(IF(HLOOKUP(BZ$15,Data_5!$F$10:$BG$42,$A35+2,FALSE)="NO","NO",IF(HLOOKUP(BZ$15,Data_5!$F$10:$BG$42,$A35+2,FALSE)="IE","IE",IF(HLOOKUP(BZ$15,Data_5!$F$10:$BG$42,$A35+2,FALSE)="NE","NE",IF(HLOOKUP(BZ$15,Data_5!$F$10:$BG$42,$A35+2,FALSE)="C","C",IF(HLOOKUP(BZ$15,Data_5!$F$10:$BG$42,$A35+2,FALSE)="NO","NO",HLOOKUP(BZ$15,Data_5!$F$10:$BG$42,$A35+2,FALSE)/Data_5!$BI30))))))),"")</f>
        <v/>
      </c>
      <c r="CA35" s="1122" t="str">
        <f>IFERROR(IF(VLOOKUP($AL35,Data_5!$B$12:$E$42,4,FALSE)="BASIC","",(IF(HLOOKUP(CA$15,Data_5!$F$10:$BG$42,$A35+2,FALSE)="NO","NO",IF(HLOOKUP(CA$15,Data_5!$F$10:$BG$42,$A35+2,FALSE)="IE","IE",IF(HLOOKUP(CA$15,Data_5!$F$10:$BG$42,$A35+2,FALSE)="NE","NE",IF(HLOOKUP(CA$15,Data_5!$F$10:$BG$42,$A35+2,FALSE)="C","C",IF(HLOOKUP(CA$15,Data_5!$F$10:$BG$42,$A35+2,FALSE)="NO","NO",HLOOKUP(CA$15,Data_5!$F$10:$BG$42,$A35+2,FALSE)/Data_5!$BI30))))))),"")</f>
        <v/>
      </c>
      <c r="CB35" s="1122" t="str">
        <f>IFERROR(IF(VLOOKUP($AL35,Data_5!$B$12:$E$42,4,FALSE)="BASIC","",(IF(HLOOKUP(CB$15,Data_5!$F$10:$BG$42,$A35+2,FALSE)="NO","NO",IF(HLOOKUP(CB$15,Data_5!$F$10:$BG$42,$A35+2,FALSE)="IE","IE",IF(HLOOKUP(CB$15,Data_5!$F$10:$BG$42,$A35+2,FALSE)="NE","NE",IF(HLOOKUP(CB$15,Data_5!$F$10:$BG$42,$A35+2,FALSE)="C","C",IF(HLOOKUP(CB$15,Data_5!$F$10:$BG$42,$A35+2,FALSE)="NO","NO",HLOOKUP(CB$15,Data_5!$F$10:$BG$42,$A35+2,FALSE)/Data_5!$BI30))))))),"")</f>
        <v/>
      </c>
      <c r="CC35" s="1122" t="str">
        <f>IFERROR(IF(VLOOKUP($AL35,Data_5!$B$12:$E$42,4,FALSE)="BASIC","",(IF(HLOOKUP(CC$15,Data_5!$F$10:$BG$42,$A35+2,FALSE)="NO","NO",IF(HLOOKUP(CC$15,Data_5!$F$10:$BG$42,$A35+2,FALSE)="IE","IE",IF(HLOOKUP(CC$15,Data_5!$F$10:$BG$42,$A35+2,FALSE)="NE","NE",IF(HLOOKUP(CC$15,Data_5!$F$10:$BG$42,$A35+2,FALSE)="C","C",IF(HLOOKUP(CC$15,Data_5!$F$10:$BG$42,$A35+2,FALSE)="NO","NO",HLOOKUP(CC$15,Data_5!$F$10:$BG$42,$A35+2,FALSE)/Data_5!$BI30))))))),"")</f>
        <v/>
      </c>
      <c r="CD35" s="1122" t="str">
        <f>IFERROR(IF(VLOOKUP($AL35,Data_5!$B$12:$E$42,4,FALSE)="BASIC","",(IF(HLOOKUP(CD$15,Data_5!$F$10:$BG$42,$A35+2,FALSE)="NO","NO",IF(HLOOKUP(CD$15,Data_5!$F$10:$BG$42,$A35+2,FALSE)="IE","IE",IF(HLOOKUP(CD$15,Data_5!$F$10:$BG$42,$A35+2,FALSE)="NE","NE",IF(HLOOKUP(CD$15,Data_5!$F$10:$BG$42,$A35+2,FALSE)="C","C",IF(HLOOKUP(CD$15,Data_5!$F$10:$BG$42,$A35+2,FALSE)="NO","NO",HLOOKUP(CD$15,Data_5!$F$10:$BG$42,$A35+2,FALSE)/Data_5!$BI30))))))),"")</f>
        <v/>
      </c>
      <c r="CE35" s="1122" t="str">
        <f>IFERROR(IF(VLOOKUP($AL35,Data_5!$B$12:$E$42,4,FALSE)="BASIC","",(IF(HLOOKUP(CE$15,Data_5!$F$10:$BG$42,$A35+2,FALSE)="NO","NO",IF(HLOOKUP(CE$15,Data_5!$F$10:$BG$42,$A35+2,FALSE)="IE","IE",IF(HLOOKUP(CE$15,Data_5!$F$10:$BG$42,$A35+2,FALSE)="NE","NE",IF(HLOOKUP(CE$15,Data_5!$F$10:$BG$42,$A35+2,FALSE)="C","C",IF(HLOOKUP(CE$15,Data_5!$F$10:$BG$42,$A35+2,FALSE)="NO","NO",HLOOKUP(CE$15,Data_5!$F$10:$BG$42,$A35+2,FALSE)/Data_5!$BI30))))))),"")</f>
        <v/>
      </c>
      <c r="CF35" s="1122" t="str">
        <f>IFERROR(IF(VLOOKUP($AL35,Data_5!$B$12:$E$42,4,FALSE)="BASIC","",(IF(HLOOKUP(CF$15,Data_5!$F$10:$BG$42,$A35+2,FALSE)="NO","NO",IF(HLOOKUP(CF$15,Data_5!$F$10:$BG$42,$A35+2,FALSE)="IE","IE",IF(HLOOKUP(CF$15,Data_5!$F$10:$BG$42,$A35+2,FALSE)="NE","NE",IF(HLOOKUP(CF$15,Data_5!$F$10:$BG$42,$A35+2,FALSE)="C","C",IF(HLOOKUP(CF$15,Data_5!$F$10:$BG$42,$A35+2,FALSE)="NO","NO",HLOOKUP(CF$15,Data_5!$F$10:$BG$42,$A35+2,FALSE)/Data_5!$BI30))))))),"")</f>
        <v/>
      </c>
      <c r="CG35" s="1122" t="str">
        <f>IFERROR(IF(VLOOKUP($AL35,Data_5!$B$12:$E$42,4,FALSE)="BASIC","",(IF(HLOOKUP(CG$15,Data_5!$F$10:$BG$42,$A35+2,FALSE)="NO","NO",IF(HLOOKUP(CG$15,Data_5!$F$10:$BG$42,$A35+2,FALSE)="IE","IE",IF(HLOOKUP(CG$15,Data_5!$F$10:$BG$42,$A35+2,FALSE)="NE","NE",IF(HLOOKUP(CG$15,Data_5!$F$10:$BG$42,$A35+2,FALSE)="C","C",IF(HLOOKUP(CG$15,Data_5!$F$10:$BG$42,$A35+2,FALSE)="NO","NO",HLOOKUP(CG$15,Data_5!$F$10:$BG$42,$A35+2,FALSE)/Data_5!$BI30))))))),"")</f>
        <v/>
      </c>
      <c r="CH35" s="1122" t="str">
        <f>IFERROR(IF(VLOOKUP($AL35,Data_5!$B$12:$E$42,4,FALSE)="BASIC","",(IF(HLOOKUP(CH$15,Data_5!$F$10:$BG$42,$A35+2,FALSE)="NO","NO",IF(HLOOKUP(CH$15,Data_5!$F$10:$BG$42,$A35+2,FALSE)="IE","IE",IF(HLOOKUP(CH$15,Data_5!$F$10:$BG$42,$A35+2,FALSE)="NE","NE",IF(HLOOKUP(CH$15,Data_5!$F$10:$BG$42,$A35+2,FALSE)="C","C",IF(HLOOKUP(CH$15,Data_5!$F$10:$BG$42,$A35+2,FALSE)="NO","NO",HLOOKUP(CH$15,Data_5!$F$10:$BG$42,$A35+2,FALSE)/Data_5!$BI30))))))),"")</f>
        <v/>
      </c>
      <c r="CI35" s="1122" t="str">
        <f>IFERROR(IF(VLOOKUP($AL35,Data_5!$B$12:$E$42,4,FALSE)="BASIC","",(IF(HLOOKUP(CI$15,Data_5!$F$10:$BG$42,$A35+2,FALSE)="NO","NO",IF(HLOOKUP(CI$15,Data_5!$F$10:$BG$42,$A35+2,FALSE)="IE","IE",IF(HLOOKUP(CI$15,Data_5!$F$10:$BG$42,$A35+2,FALSE)="NE","NE",IF(HLOOKUP(CI$15,Data_5!$F$10:$BG$42,$A35+2,FALSE)="C","C",IF(HLOOKUP(CI$15,Data_5!$F$10:$BG$42,$A35+2,FALSE)="NO","NO",HLOOKUP(CI$15,Data_5!$F$10:$BG$42,$A35+2,FALSE)/Data_5!$BI30))))))),"")</f>
        <v/>
      </c>
      <c r="CJ35" s="1122" t="str">
        <f>IFERROR(IF(VLOOKUP($AL35,Data_5!$B$12:$E$42,4,FALSE)="BASIC","",(IF(HLOOKUP(CJ$15,Data_5!$F$10:$BG$42,$A35+2,FALSE)="NO","NO",IF(HLOOKUP(CJ$15,Data_5!$F$10:$BG$42,$A35+2,FALSE)="IE","IE",IF(HLOOKUP(CJ$15,Data_5!$F$10:$BG$42,$A35+2,FALSE)="NE","NE",IF(HLOOKUP(CJ$15,Data_5!$F$10:$BG$42,$A35+2,FALSE)="C","C",IF(HLOOKUP(CJ$15,Data_5!$F$10:$BG$42,$A35+2,FALSE)="NO","NO",HLOOKUP(CJ$15,Data_5!$F$10:$BG$42,$A35+2,FALSE)/Data_5!$BI30))))))),"")</f>
        <v/>
      </c>
      <c r="CL35" s="2628" t="str">
        <f t="shared" si="2"/>
        <v>Philadelphia</v>
      </c>
      <c r="CM35" s="2629"/>
      <c r="CN35" s="1100">
        <f t="shared" si="3"/>
        <v>2012</v>
      </c>
      <c r="CO35" s="1122">
        <f>IFERROR(IF(HLOOKUP(CO$15,Data_5!$F$10:$BG$42,$A35+2,FALSE)="NO","NO",IF(HLOOKUP(CO$15,Data_5!$F$10:$BG$42,$A35+2,FALSE)="IE","IE",IF(HLOOKUP(CO$15,Data_5!$F$10:$BG$42,$A35+2,FALSE)="NE","NE",IF(HLOOKUP(CO$15,Data_5!$F$10:$BG$42,$A35+2,FALSE)="C","C",IF(HLOOKUP(CO$15,Data_5!$F$10:$BG$42,$A35+2,FALSE)="NO","NO",HLOOKUP(CO$15,Data_5!$F$10:$BG$42,$A35+2,FALSE)/Data_5!$BK30))))),"")</f>
        <v>0.15298308654613221</v>
      </c>
      <c r="CP35" s="1122">
        <f>IFERROR(IF(HLOOKUP(CP$15,Data_5!$F$10:$BG$42,$A35+2,FALSE)="NO","NO",IF(HLOOKUP(CP$15,Data_5!$F$10:$BG$42,$A35+2,FALSE)="IE","IE",IF(HLOOKUP(CP$15,Data_5!$F$10:$BG$42,$A35+2,FALSE)="NE","NE",IF(HLOOKUP(CP$15,Data_5!$F$10:$BG$42,$A35+2,FALSE)="C","C",IF(HLOOKUP(CP$15,Data_5!$F$10:$BG$42,$A35+2,FALSE)="NO","NO",HLOOKUP(CP$15,Data_5!$F$10:$BG$42,$A35+2,FALSE)/Data_5!$BK30))))),"")</f>
        <v>0.1712393564493912</v>
      </c>
      <c r="CQ35" s="1122">
        <f>IFERROR(IF(HLOOKUP(CQ$15,Data_5!$F$10:$BG$42,$A35+2,FALSE)="NO","NO",IF(HLOOKUP(CQ$15,Data_5!$F$10:$BG$42,$A35+2,FALSE)="IE","IE",IF(HLOOKUP(CQ$15,Data_5!$F$10:$BG$42,$A35+2,FALSE)="NE","NE",IF(HLOOKUP(CQ$15,Data_5!$F$10:$BG$42,$A35+2,FALSE)="C","C",IF(HLOOKUP(CQ$15,Data_5!$F$10:$BG$42,$A35+2,FALSE)="NO","NO",HLOOKUP(CQ$15,Data_5!$F$10:$BG$42,$A35+2,FALSE)/Data_5!$BK30))))),"")</f>
        <v>0.21564306122678117</v>
      </c>
      <c r="CR35" s="1122" t="str">
        <f>IFERROR(IF(HLOOKUP(CR$15,Data_5!$F$10:$BG$42,$A35+2,FALSE)="NO","NO",IF(HLOOKUP(CR$15,Data_5!$F$10:$BG$42,$A35+2,FALSE)="IE","IE",IF(HLOOKUP(CR$15,Data_5!$F$10:$BG$42,$A35+2,FALSE)="NE","NE",IF(HLOOKUP(CR$15,Data_5!$F$10:$BG$42,$A35+2,FALSE)="C","C",IF(HLOOKUP(CR$15,Data_5!$F$10:$BG$42,$A35+2,FALSE)="NO","NO",HLOOKUP(CR$15,Data_5!$F$10:$BG$42,$A35+2,FALSE)/Data_5!$BK30))))),"")</f>
        <v>IE</v>
      </c>
      <c r="CS35" s="1122">
        <f>IFERROR(IF(HLOOKUP(CS$15,Data_5!$F$10:$BG$42,$A35+2,FALSE)="NO","NO",IF(HLOOKUP(CS$15,Data_5!$F$10:$BG$42,$A35+2,FALSE)="IE","IE",IF(HLOOKUP(CS$15,Data_5!$F$10:$BG$42,$A35+2,FALSE)="NE","NE",IF(HLOOKUP(CS$15,Data_5!$F$10:$BG$42,$A35+2,FALSE)="C","C",IF(HLOOKUP(CS$15,Data_5!$F$10:$BG$42,$A35+2,FALSE)="NO","NO",HLOOKUP(CS$15,Data_5!$F$10:$BG$42,$A35+2,FALSE)/Data_5!$BK30))))),"")</f>
        <v>5.5296555127851969E-2</v>
      </c>
      <c r="CT35" s="1122" t="str">
        <f>IFERROR(IF(HLOOKUP(CT$15,Data_5!$F$10:$BG$42,$A35+2,FALSE)="NO","NO",IF(HLOOKUP(CT$15,Data_5!$F$10:$BG$42,$A35+2,FALSE)="IE","IE",IF(HLOOKUP(CT$15,Data_5!$F$10:$BG$42,$A35+2,FALSE)="NE","NE",IF(HLOOKUP(CT$15,Data_5!$F$10:$BG$42,$A35+2,FALSE)="C","C",IF(HLOOKUP(CT$15,Data_5!$F$10:$BG$42,$A35+2,FALSE)="NO","NO",HLOOKUP(CT$15,Data_5!$F$10:$BG$42,$A35+2,FALSE)/Data_5!$BK30))))),"")</f>
        <v>NO</v>
      </c>
      <c r="CU35" s="1122" t="str">
        <f>IFERROR(IF(HLOOKUP(CU$15,Data_5!$F$10:$BG$42,$A35+2,FALSE)="NO","NO",IF(HLOOKUP(CU$15,Data_5!$F$10:$BG$42,$A35+2,FALSE)="IE","IE",IF(HLOOKUP(CU$15,Data_5!$F$10:$BG$42,$A35+2,FALSE)="NE","NE",IF(HLOOKUP(CU$15,Data_5!$F$10:$BG$42,$A35+2,FALSE)="C","C",IF(HLOOKUP(CU$15,Data_5!$F$10:$BG$42,$A35+2,FALSE)="NO","NO",HLOOKUP(CU$15,Data_5!$F$10:$BG$42,$A35+2,FALSE)/Data_5!$BK30))))),"")</f>
        <v>NO</v>
      </c>
      <c r="CV35" s="1122" t="str">
        <f>IFERROR(IF(HLOOKUP(CV$15,Data_5!$F$10:$BG$42,$A35+2,FALSE)="NO","NO",IF(HLOOKUP(CV$15,Data_5!$F$10:$BG$42,$A35+2,FALSE)="IE","IE",IF(HLOOKUP(CV$15,Data_5!$F$10:$BG$42,$A35+2,FALSE)="NE","NE",IF(HLOOKUP(CV$15,Data_5!$F$10:$BG$42,$A35+2,FALSE)="C","C",IF(HLOOKUP(CV$15,Data_5!$F$10:$BG$42,$A35+2,FALSE)="NO","NO",HLOOKUP(CV$15,Data_5!$F$10:$BG$42,$A35+2,FALSE)/Data_5!$BK30))))),"")</f>
        <v>NO</v>
      </c>
      <c r="CW35" s="1122">
        <f>IFERROR(IF(HLOOKUP(CW$15,Data_5!$F$10:$BG$42,$A35+2,FALSE)="NO","NO",IF(HLOOKUP(CW$15,Data_5!$F$10:$BG$42,$A35+2,FALSE)="IE","IE",IF(HLOOKUP(CW$15,Data_5!$F$10:$BG$42,$A35+2,FALSE)="NE","NE",IF(HLOOKUP(CW$15,Data_5!$F$10:$BG$42,$A35+2,FALSE)="C","C",IF(HLOOKUP(CW$15,Data_5!$F$10:$BG$42,$A35+2,FALSE)="NO","NO",HLOOKUP(CW$15,Data_5!$F$10:$BG$42,$A35+2,FALSE)/Data_5!$BK30))))),"")</f>
        <v>3.8738377335628238E-2</v>
      </c>
      <c r="CX35" s="1122">
        <f>IFERROR(IF(HLOOKUP(CX$15,Data_5!$F$10:$BG$42,$A35+2,FALSE)="NO","NO",IF(HLOOKUP(CX$15,Data_5!$F$10:$BG$42,$A35+2,FALSE)="IE","IE",IF(HLOOKUP(CX$15,Data_5!$F$10:$BG$42,$A35+2,FALSE)="NE","NE",IF(HLOOKUP(CX$15,Data_5!$F$10:$BG$42,$A35+2,FALSE)="C","C",IF(HLOOKUP(CX$15,Data_5!$F$10:$BG$42,$A35+2,FALSE)="NO","NO",HLOOKUP(CX$15,Data_5!$F$10:$BG$42,$A35+2,FALSE)/Data_5!$BK30))))),"")</f>
        <v>0.23588734158191477</v>
      </c>
      <c r="CY35" s="1122" t="str">
        <f>IFERROR(IF(HLOOKUP(CY$15,Data_5!$F$10:$BG$42,$A35+2,FALSE)="NO","NO",IF(HLOOKUP(CY$15,Data_5!$F$10:$BG$42,$A35+2,FALSE)="IE","IE",IF(HLOOKUP(CY$15,Data_5!$F$10:$BG$42,$A35+2,FALSE)="NE","NE",IF(HLOOKUP(CY$15,Data_5!$F$10:$BG$42,$A35+2,FALSE)="C","C",IF(HLOOKUP(CY$15,Data_5!$F$10:$BG$42,$A35+2,FALSE)="NO","NO",HLOOKUP(CY$15,Data_5!$F$10:$BG$42,$A35+2,FALSE)/Data_5!$BK30))))),"")</f>
        <v>NO</v>
      </c>
      <c r="CZ35" s="1122" t="str">
        <f>IFERROR(IF(HLOOKUP(CZ$15,Data_5!$F$10:$BG$42,$A35+2,FALSE)="NO","NO",IF(HLOOKUP(CZ$15,Data_5!$F$10:$BG$42,$A35+2,FALSE)="IE","IE",IF(HLOOKUP(CZ$15,Data_5!$F$10:$BG$42,$A35+2,FALSE)="NE","NE",IF(HLOOKUP(CZ$15,Data_5!$F$10:$BG$42,$A35+2,FALSE)="C","C",IF(HLOOKUP(CZ$15,Data_5!$F$10:$BG$42,$A35+2,FALSE)="NO","NO",HLOOKUP(CZ$15,Data_5!$F$10:$BG$42,$A35+2,FALSE)/Data_5!$BK30))))),"")</f>
        <v>NO</v>
      </c>
      <c r="DA35" s="1122" t="str">
        <f>IFERROR(IF(HLOOKUP(DA$15,Data_5!$F$10:$BG$42,$A35+2,FALSE)="NO","NO",IF(HLOOKUP(DA$15,Data_5!$F$10:$BG$42,$A35+2,FALSE)="IE","IE",IF(HLOOKUP(DA$15,Data_5!$F$10:$BG$42,$A35+2,FALSE)="NE","NE",IF(HLOOKUP(DA$15,Data_5!$F$10:$BG$42,$A35+2,FALSE)="C","C",IF(HLOOKUP(DA$15,Data_5!$F$10:$BG$42,$A35+2,FALSE)="NO","NO",HLOOKUP(DA$15,Data_5!$F$10:$BG$42,$A35+2,FALSE)/Data_5!$BK30))))),"")</f>
        <v>NO</v>
      </c>
      <c r="DB35" s="1122" t="str">
        <f>IFERROR(IF(HLOOKUP(DB$15,Data_5!$F$10:$BG$42,$A35+2,FALSE)="NO","NO",IF(HLOOKUP(DB$15,Data_5!$F$10:$BG$42,$A35+2,FALSE)="IE","IE",IF(HLOOKUP(DB$15,Data_5!$F$10:$BG$42,$A35+2,FALSE)="NE","NE",IF(HLOOKUP(DB$15,Data_5!$F$10:$BG$42,$A35+2,FALSE)="C","C",IF(HLOOKUP(DB$15,Data_5!$F$10:$BG$42,$A35+2,FALSE)="NO","NO",HLOOKUP(DB$15,Data_5!$F$10:$BG$42,$A35+2,FALSE)/Data_5!$BK30))))),"")</f>
        <v>IE</v>
      </c>
      <c r="DC35" s="1122" t="str">
        <f>IFERROR(IF(HLOOKUP(DC$15,Data_5!$F$10:$BG$42,$A35+2,FALSE)="NO","NO",IF(HLOOKUP(DC$15,Data_5!$F$10:$BG$42,$A35+2,FALSE)="IE","IE",IF(HLOOKUP(DC$15,Data_5!$F$10:$BG$42,$A35+2,FALSE)="NE","NE",IF(HLOOKUP(DC$15,Data_5!$F$10:$BG$42,$A35+2,FALSE)="C","C",IF(HLOOKUP(DC$15,Data_5!$F$10:$BG$42,$A35+2,FALSE)="NO","NO",HLOOKUP(DC$15,Data_5!$F$10:$BG$42,$A35+2,FALSE)/Data_5!$BK30))))),"")</f>
        <v>NO</v>
      </c>
      <c r="DD35" s="1122" t="str">
        <f>IFERROR(IF(HLOOKUP(DD$15,Data_5!$F$10:$BG$42,$A35+2,FALSE)="NO","NO",IF(HLOOKUP(DD$15,Data_5!$F$10:$BG$42,$A35+2,FALSE)="IE","IE",IF(HLOOKUP(DD$15,Data_5!$F$10:$BG$42,$A35+2,FALSE)="NE","NE",IF(HLOOKUP(DD$15,Data_5!$F$10:$BG$42,$A35+2,FALSE)="C","C",IF(HLOOKUP(DD$15,Data_5!$F$10:$BG$42,$A35+2,FALSE)="NO","NO",HLOOKUP(DD$15,Data_5!$F$10:$BG$42,$A35+2,FALSE)/Data_5!$BK30))))),"")</f>
        <v>NO</v>
      </c>
      <c r="DE35" s="1122" t="str">
        <f>IFERROR(IF(HLOOKUP(DE$15,Data_5!$F$10:$BG$42,$A35+2,FALSE)="NO","NO",IF(HLOOKUP(DE$15,Data_5!$F$10:$BG$42,$A35+2,FALSE)="IE","IE",IF(HLOOKUP(DE$15,Data_5!$F$10:$BG$42,$A35+2,FALSE)="NE","NE",IF(HLOOKUP(DE$15,Data_5!$F$10:$BG$42,$A35+2,FALSE)="C","C",IF(HLOOKUP(DE$15,Data_5!$F$10:$BG$42,$A35+2,FALSE)="NO","NO",HLOOKUP(DE$15,Data_5!$F$10:$BG$42,$A35+2,FALSE)/Data_5!$BK30))))),"")</f>
        <v>NO</v>
      </c>
      <c r="DF35" s="1122" t="str">
        <f>IFERROR(IF(HLOOKUP(DF$15,Data_5!$F$10:$BG$42,$A35+2,FALSE)="NO","NO",IF(HLOOKUP(DF$15,Data_5!$F$10:$BG$42,$A35+2,FALSE)="IE","IE",IF(HLOOKUP(DF$15,Data_5!$F$10:$BG$42,$A35+2,FALSE)="NE","NE",IF(HLOOKUP(DF$15,Data_5!$F$10:$BG$42,$A35+2,FALSE)="C","C",IF(HLOOKUP(DF$15,Data_5!$F$10:$BG$42,$A35+2,FALSE)="NO","NO",HLOOKUP(DF$15,Data_5!$F$10:$BG$42,$A35+2,FALSE)/Data_5!$BK30))))),"")</f>
        <v>NO</v>
      </c>
      <c r="DG35" s="1122" t="str">
        <f>IFERROR(IF(HLOOKUP(DG$15,Data_5!$F$10:$BG$42,$A35+2,FALSE)="NO","NO",IF(HLOOKUP(DG$15,Data_5!$F$10:$BG$42,$A35+2,FALSE)="IE","IE",IF(HLOOKUP(DG$15,Data_5!$F$10:$BG$42,$A35+2,FALSE)="NE","NE",IF(HLOOKUP(DG$15,Data_5!$F$10:$BG$42,$A35+2,FALSE)="C","C",IF(HLOOKUP(DG$15,Data_5!$F$10:$BG$42,$A35+2,FALSE)="NO","NO",HLOOKUP(DG$15,Data_5!$F$10:$BG$42,$A35+2,FALSE)/Data_5!$BK30))))),"")</f>
        <v>NO</v>
      </c>
      <c r="DH35" s="1122" t="str">
        <f>IFERROR(IF(HLOOKUP(DH$15,Data_5!$F$10:$BG$42,$A35+2,FALSE)="NO","NO",IF(HLOOKUP(DH$15,Data_5!$F$10:$BG$42,$A35+2,FALSE)="IE","IE",IF(HLOOKUP(DH$15,Data_5!$F$10:$BG$42,$A35+2,FALSE)="NE","NE",IF(HLOOKUP(DH$15,Data_5!$F$10:$BG$42,$A35+2,FALSE)="C","C",IF(HLOOKUP(DH$15,Data_5!$F$10:$BG$42,$A35+2,FALSE)="NO","NO",HLOOKUP(DH$15,Data_5!$F$10:$BG$42,$A35+2,FALSE)/Data_5!$BK30))))),"")</f>
        <v>NO</v>
      </c>
      <c r="DI35" s="1122">
        <f>IFERROR(IF(HLOOKUP(DI$15,Data_5!$F$10:$BG$42,$A35+2,FALSE)="NO","NO",IF(HLOOKUP(DI$15,Data_5!$F$10:$BG$42,$A35+2,FALSE)="IE","IE",IF(HLOOKUP(DI$15,Data_5!$F$10:$BG$42,$A35+2,FALSE)="NE","NE",IF(HLOOKUP(DI$15,Data_5!$F$10:$BG$42,$A35+2,FALSE)="C","C",IF(HLOOKUP(DI$15,Data_5!$F$10:$BG$42,$A35+2,FALSE)="NO","NO",HLOOKUP(DI$15,Data_5!$F$10:$BG$42,$A35+2,FALSE)/Data_5!$BK30))))),"")</f>
        <v>2.3840384016976619E-3</v>
      </c>
      <c r="DJ35" s="1122" t="str">
        <f>IFERROR(IF(HLOOKUP(DJ$15,Data_5!$F$10:$BG$42,$A35+2,FALSE)="NO","NO",IF(HLOOKUP(DJ$15,Data_5!$F$10:$BG$42,$A35+2,FALSE)="IE","IE",IF(HLOOKUP(DJ$15,Data_5!$F$10:$BG$42,$A35+2,FALSE)="NE","NE",IF(HLOOKUP(DJ$15,Data_5!$F$10:$BG$42,$A35+2,FALSE)="C","C",IF(HLOOKUP(DJ$15,Data_5!$F$10:$BG$42,$A35+2,FALSE)="NO","NO",HLOOKUP(DJ$15,Data_5!$F$10:$BG$42,$A35+2,FALSE)/Data_5!$BK30))))),"")</f>
        <v>NO</v>
      </c>
      <c r="DK35" s="1122">
        <f>IFERROR(IF(HLOOKUP(DK$15,Data_5!$F$10:$BG$42,$A35+2,FALSE)="NO","NO",IF(HLOOKUP(DK$15,Data_5!$F$10:$BG$42,$A35+2,FALSE)="IE","IE",IF(HLOOKUP(DK$15,Data_5!$F$10:$BG$42,$A35+2,FALSE)="NE","NE",IF(HLOOKUP(DK$15,Data_5!$F$10:$BG$42,$A35+2,FALSE)="C","C",IF(HLOOKUP(DK$15,Data_5!$F$10:$BG$42,$A35+2,FALSE)="NO","NO",HLOOKUP(DK$15,Data_5!$F$10:$BG$42,$A35+2,FALSE)/Data_5!$BK30))))),"")</f>
        <v>0.12696346539546394</v>
      </c>
      <c r="DL35" s="1122">
        <f>IFERROR(IF(HLOOKUP(DL$15,Data_5!$F$10:$BG$42,$A35+2,FALSE)="NO","NO",IF(HLOOKUP(DL$15,Data_5!$F$10:$BG$42,$A35+2,FALSE)="IE","IE",IF(HLOOKUP(DL$15,Data_5!$F$10:$BG$42,$A35+2,FALSE)="NE","NE",IF(HLOOKUP(DL$15,Data_5!$F$10:$BG$42,$A35+2,FALSE)="C","C",IF(HLOOKUP(DL$15,Data_5!$F$10:$BG$42,$A35+2,FALSE)="NO","NO",HLOOKUP(DL$15,Data_5!$F$10:$BG$42,$A35+2,FALSE)/Data_5!$BK30))))),"")</f>
        <v>8.6471793513889577E-4</v>
      </c>
      <c r="DM35" s="1122" t="str">
        <f>IFERROR(IF(HLOOKUP(DM$15,Data_5!$F$10:$BG$42,$A35+2,FALSE)="NO","NO",IF(HLOOKUP(DM$15,Data_5!$F$10:$BG$42,$A35+2,FALSE)="IE","IE",IF(HLOOKUP(DM$15,Data_5!$F$10:$BG$42,$A35+2,FALSE)="NE","NE",IF(HLOOKUP(DM$15,Data_5!$F$10:$BG$42,$A35+2,FALSE)="C","C",IF(HLOOKUP(DM$15,Data_5!$F$10:$BG$42,$A35+2,FALSE)="NO","NO",HLOOKUP(DM$15,Data_5!$F$10:$BG$42,$A35+2,FALSE)/Data_5!$BK30))))),"")</f>
        <v>NE</v>
      </c>
      <c r="DN35" s="1122" t="str">
        <f>IFERROR(IF(HLOOKUP(DN$15,Data_5!$F$10:$BG$42,$A35+2,FALSE)="NO","NO",IF(HLOOKUP(DN$15,Data_5!$F$10:$BG$42,$A35+2,FALSE)="IE","IE",IF(HLOOKUP(DN$15,Data_5!$F$10:$BG$42,$A35+2,FALSE)="NE","NE",IF(HLOOKUP(DN$15,Data_5!$F$10:$BG$42,$A35+2,FALSE)="C","C",IF(HLOOKUP(DN$15,Data_5!$F$10:$BG$42,$A35+2,FALSE)="NO","NO",HLOOKUP(DN$15,Data_5!$F$10:$BG$42,$A35+2,FALSE)/Data_5!$BK30))))),"")</f>
        <v>NE</v>
      </c>
      <c r="DO35" s="1122" t="str">
        <f>IFERROR(IF(HLOOKUP(DO$15,Data_5!$F$10:$BG$42,$A35+2,FALSE)="NO","NO",IF(HLOOKUP(DO$15,Data_5!$F$10:$BG$42,$A35+2,FALSE)="IE","IE",IF(HLOOKUP(DO$15,Data_5!$F$10:$BG$42,$A35+2,FALSE)="NE","NE",IF(HLOOKUP(DO$15,Data_5!$F$10:$BG$42,$A35+2,FALSE)="C","C",IF(HLOOKUP(DO$15,Data_5!$F$10:$BG$42,$A35+2,FALSE)="NO","NO",HLOOKUP(DO$15,Data_5!$F$10:$BG$42,$A35+2,FALSE)/Data_5!$BK30))))),"")</f>
        <v>NE</v>
      </c>
    </row>
    <row r="36" spans="1:119" s="15" customFormat="1" ht="15" customHeight="1">
      <c r="A36" s="1789">
        <v>20</v>
      </c>
      <c r="B36" s="2628" t="str">
        <f>IF(Data_5!B31&lt;&gt;"",Data_5!B31,"")</f>
        <v>Portland</v>
      </c>
      <c r="C36" s="2629"/>
      <c r="D36" s="1462">
        <f>IFERROR(VLOOKUP($B36,Data_5!$B$12:$C$42,2,FALSE),"")</f>
        <v>2013</v>
      </c>
      <c r="E36" s="1122">
        <f>IFERROR(IF(HLOOKUP(E$15,Data_5!$F$10:$BG$42,$A36+2,FALSE)="NO","NO",IF(HLOOKUP(E$15,Data_5!$F$10:$BG$42,$A36+2,FALSE)="IE","IE",IF(HLOOKUP(E$15,Data_5!$F$10:$BG$42,$A36+2,FALSE)="NE","NE",IF(HLOOKUP(E$15,Data_5!$F$10:$BG$42,$A36+2,FALSE)="C","C",IF(HLOOKUP(E$15,Data_5!$F$10:$BG$42,$A36+2,FALSE)="NO","NO",HLOOKUP(E$15,Data_5!$F$10:$BG$42,$A36+2,FALSE)/Data_5!$BH31))))),"")</f>
        <v>8.1073917206614957E-2</v>
      </c>
      <c r="F36" s="1122">
        <f>IFERROR(IF(HLOOKUP(F$15,Data_5!$F$10:$BG$42,$A36+2,FALSE)="NO","NO",IF(HLOOKUP(F$15,Data_5!$F$10:$BG$42,$A36+2,FALSE)="IE","IE",IF(HLOOKUP(F$15,Data_5!$F$10:$BG$42,$A36+2,FALSE)="NE","NE",IF(HLOOKUP(F$15,Data_5!$F$10:$BG$42,$A36+2,FALSE)="C","C",IF(HLOOKUP(F$15,Data_5!$F$10:$BG$42,$A36+2,FALSE)="NO","NO",HLOOKUP(F$15,Data_5!$F$10:$BG$42,$A36+2,FALSE)/Data_5!$BH31))))),"")</f>
        <v>0.11871536821594246</v>
      </c>
      <c r="G36" s="1122">
        <f>IFERROR(IF(HLOOKUP(G$15,Data_5!$F$10:$BG$42,$A36+2,FALSE)="NO","NO",IF(HLOOKUP(G$15,Data_5!$F$10:$BG$42,$A36+2,FALSE)="IE","IE",IF(HLOOKUP(G$15,Data_5!$F$10:$BG$42,$A36+2,FALSE)="NE","NE",IF(HLOOKUP(G$15,Data_5!$F$10:$BG$42,$A36+2,FALSE)="C","C",IF(HLOOKUP(G$15,Data_5!$F$10:$BG$42,$A36+2,FALSE)="NO","NO",HLOOKUP(G$15,Data_5!$F$10:$BG$42,$A36+2,FALSE)/Data_5!$BH31))))),"")</f>
        <v>6.2326827148292727E-2</v>
      </c>
      <c r="H36" s="1122">
        <f>IFERROR(IF(HLOOKUP(H$15,Data_5!$F$10:$BG$42,$A36+2,FALSE)="NO","NO",IF(HLOOKUP(H$15,Data_5!$F$10:$BG$42,$A36+2,FALSE)="IE","IE",IF(HLOOKUP(H$15,Data_5!$F$10:$BG$42,$A36+2,FALSE)="NE","NE",IF(HLOOKUP(H$15,Data_5!$F$10:$BG$42,$A36+2,FALSE)="C","C",IF(HLOOKUP(H$15,Data_5!$F$10:$BG$42,$A36+2,FALSE)="NO","NO",HLOOKUP(H$15,Data_5!$F$10:$BG$42,$A36+2,FALSE)/Data_5!$BH31))))),"")</f>
        <v>0.1819976679313127</v>
      </c>
      <c r="I36" s="1122">
        <f>IFERROR(IF(HLOOKUP(I$15,Data_5!$F$10:$BG$42,$A36+2,FALSE)="NO","NO",IF(HLOOKUP(I$15,Data_5!$F$10:$BG$42,$A36+2,FALSE)="IE","IE",IF(HLOOKUP(I$15,Data_5!$F$10:$BG$42,$A36+2,FALSE)="NE","NE",IF(HLOOKUP(I$15,Data_5!$F$10:$BG$42,$A36+2,FALSE)="C","C",IF(HLOOKUP(I$15,Data_5!$F$10:$BG$42,$A36+2,FALSE)="NO","NO",HLOOKUP(I$15,Data_5!$F$10:$BG$42,$A36+2,FALSE)/Data_5!$BH31))))),"")</f>
        <v>9.163608391707144E-2</v>
      </c>
      <c r="J36" s="1122">
        <f>IFERROR(IF(HLOOKUP(J$15,Data_5!$F$10:$BG$42,$A36+2,FALSE)="NO","NO",IF(HLOOKUP(J$15,Data_5!$F$10:$BG$42,$A36+2,FALSE)="IE","IE",IF(HLOOKUP(J$15,Data_5!$F$10:$BG$42,$A36+2,FALSE)="NE","NE",IF(HLOOKUP(J$15,Data_5!$F$10:$BG$42,$A36+2,FALSE)="C","C",IF(HLOOKUP(J$15,Data_5!$F$10:$BG$42,$A36+2,FALSE)="NO","NO",HLOOKUP(J$15,Data_5!$F$10:$BG$42,$A36+2,FALSE)/Data_5!$BH31))))),"")</f>
        <v>8.0929820132110447E-2</v>
      </c>
      <c r="K36" s="1122" t="str">
        <f>IFERROR(IF(HLOOKUP(K$15,Data_5!$F$10:$BG$42,$A36+2,FALSE)="NO","NO",IF(HLOOKUP(K$15,Data_5!$F$10:$BG$42,$A36+2,FALSE)="IE","IE",IF(HLOOKUP(K$15,Data_5!$F$10:$BG$42,$A36+2,FALSE)="NE","NE",IF(HLOOKUP(K$15,Data_5!$F$10:$BG$42,$A36+2,FALSE)="C","C",IF(HLOOKUP(K$15,Data_5!$F$10:$BG$42,$A36+2,FALSE)="NO","NO",HLOOKUP(K$15,Data_5!$F$10:$BG$42,$A36+2,FALSE)/Data_5!$BH31))))),"")</f>
        <v>NO</v>
      </c>
      <c r="L36" s="1122" t="str">
        <f>IFERROR(IF(HLOOKUP(L$15,Data_5!$F$10:$BG$42,$A36+2,FALSE)="NO","NO",IF(HLOOKUP(L$15,Data_5!$F$10:$BG$42,$A36+2,FALSE)="IE","IE",IF(HLOOKUP(L$15,Data_5!$F$10:$BG$42,$A36+2,FALSE)="NE","NE",IF(HLOOKUP(L$15,Data_5!$F$10:$BG$42,$A36+2,FALSE)="C","C",IF(HLOOKUP(L$15,Data_5!$F$10:$BG$42,$A36+2,FALSE)="NO","NO",HLOOKUP(L$15,Data_5!$F$10:$BG$42,$A36+2,FALSE)/Data_5!$BH31))))),"")</f>
        <v>NO</v>
      </c>
      <c r="M36" s="1122" t="str">
        <f>IFERROR(IF(HLOOKUP(M$15,Data_5!$F$10:$BG$42,$A36+2,FALSE)="NO","NO",IF(HLOOKUP(M$15,Data_5!$F$10:$BG$42,$A36+2,FALSE)="IE","IE",IF(HLOOKUP(M$15,Data_5!$F$10:$BG$42,$A36+2,FALSE)="NE","NE",IF(HLOOKUP(M$15,Data_5!$F$10:$BG$42,$A36+2,FALSE)="C","C",IF(HLOOKUP(M$15,Data_5!$F$10:$BG$42,$A36+2,FALSE)="NO","NO",HLOOKUP(M$15,Data_5!$F$10:$BG$42,$A36+2,FALSE)/Data_5!$BH31))))),"")</f>
        <v>NO</v>
      </c>
      <c r="N36" s="1122" t="str">
        <f>IFERROR(IF(HLOOKUP(N$15,Data_5!$F$10:$BG$42,$A36+2,FALSE)="NO","NO",IF(HLOOKUP(N$15,Data_5!$F$10:$BG$42,$A36+2,FALSE)="IE","IE",IF(HLOOKUP(N$15,Data_5!$F$10:$BG$42,$A36+2,FALSE)="NE","NE",IF(HLOOKUP(N$15,Data_5!$F$10:$BG$42,$A36+2,FALSE)="C","C",IF(HLOOKUP(N$15,Data_5!$F$10:$BG$42,$A36+2,FALSE)="NO","NO",HLOOKUP(N$15,Data_5!$F$10:$BG$42,$A36+2,FALSE)/Data_5!$BH31))))),"")</f>
        <v>NO</v>
      </c>
      <c r="O36" s="1122" t="str">
        <f>IFERROR(IF(HLOOKUP(O$15,Data_5!$F$10:$BG$42,$A36+2,FALSE)="NO","NO",IF(HLOOKUP(O$15,Data_5!$F$10:$BG$42,$A36+2,FALSE)="IE","IE",IF(HLOOKUP(O$15,Data_5!$F$10:$BG$42,$A36+2,FALSE)="NE","NE",IF(HLOOKUP(O$15,Data_5!$F$10:$BG$42,$A36+2,FALSE)="C","C",IF(HLOOKUP(O$15,Data_5!$F$10:$BG$42,$A36+2,FALSE)="NO","NO",HLOOKUP(O$15,Data_5!$F$10:$BG$42,$A36+2,FALSE)/Data_5!$BH31))))),"")</f>
        <v>NO</v>
      </c>
      <c r="P36" s="1122" t="str">
        <f>IFERROR(IF(HLOOKUP(P$15,Data_5!$F$10:$BG$42,$A36+2,FALSE)="NO","NO",IF(HLOOKUP(P$15,Data_5!$F$10:$BG$42,$A36+2,FALSE)="IE","IE",IF(HLOOKUP(P$15,Data_5!$F$10:$BG$42,$A36+2,FALSE)="NE","NE",IF(HLOOKUP(P$15,Data_5!$F$10:$BG$42,$A36+2,FALSE)="C","C",IF(HLOOKUP(P$15,Data_5!$F$10:$BG$42,$A36+2,FALSE)="NO","NO",HLOOKUP(P$15,Data_5!$F$10:$BG$42,$A36+2,FALSE)/Data_5!$BH31))))),"")</f>
        <v>NO</v>
      </c>
      <c r="Q36" s="1122" t="str">
        <f>IFERROR(IF(HLOOKUP(Q$15,Data_5!$F$10:$BG$42,$A36+2,FALSE)="NO","NO",IF(HLOOKUP(Q$15,Data_5!$F$10:$BG$42,$A36+2,FALSE)="IE","IE",IF(HLOOKUP(Q$15,Data_5!$F$10:$BG$42,$A36+2,FALSE)="NE","NE",IF(HLOOKUP(Q$15,Data_5!$F$10:$BG$42,$A36+2,FALSE)="C","C",IF(HLOOKUP(Q$15,Data_5!$F$10:$BG$42,$A36+2,FALSE)="NO","NO",HLOOKUP(Q$15,Data_5!$F$10:$BG$42,$A36+2,FALSE)/Data_5!$BH31))))),"")</f>
        <v>NO</v>
      </c>
      <c r="R36" s="1122">
        <f>IFERROR(IF(HLOOKUP(R$15,Data_5!$F$10:$BG$42,$A36+2,FALSE)="NO","NO",IF(HLOOKUP(R$15,Data_5!$F$10:$BG$42,$A36+2,FALSE)="IE","IE",IF(HLOOKUP(R$15,Data_5!$F$10:$BG$42,$A36+2,FALSE)="NE","NE",IF(HLOOKUP(R$15,Data_5!$F$10:$BG$42,$A36+2,FALSE)="C","C",IF(HLOOKUP(R$15,Data_5!$F$10:$BG$42,$A36+2,FALSE)="NO","NO",HLOOKUP(R$15,Data_5!$F$10:$BG$42,$A36+2,FALSE)/Data_5!$BH31))))),"")</f>
        <v>1.9166643671187243E-3</v>
      </c>
      <c r="S36" s="1122">
        <f>IFERROR(IF(HLOOKUP(S$15,Data_5!$F$10:$BG$42,$A36+2,FALSE)="NO","NO",IF(HLOOKUP(S$15,Data_5!$F$10:$BG$42,$A36+2,FALSE)="IE","IE",IF(HLOOKUP(S$15,Data_5!$F$10:$BG$42,$A36+2,FALSE)="NE","NE",IF(HLOOKUP(S$15,Data_5!$F$10:$BG$42,$A36+2,FALSE)="C","C",IF(HLOOKUP(S$15,Data_5!$F$10:$BG$42,$A36+2,FALSE)="NO","NO",HLOOKUP(S$15,Data_5!$F$10:$BG$42,$A36+2,FALSE)/Data_5!$BH31))))),"")</f>
        <v>0.36705901745941605</v>
      </c>
      <c r="T36" s="1122" t="str">
        <f>IFERROR(IF(HLOOKUP(T$15,Data_5!$F$10:$BG$42,$A36+2,FALSE)="NO","NO",IF(HLOOKUP(T$15,Data_5!$F$10:$BG$42,$A36+2,FALSE)="IE","IE",IF(HLOOKUP(T$15,Data_5!$F$10:$BG$42,$A36+2,FALSE)="NE","NE",IF(HLOOKUP(T$15,Data_5!$F$10:$BG$42,$A36+2,FALSE)="C","C",IF(HLOOKUP(T$15,Data_5!$F$10:$BG$42,$A36+2,FALSE)="NO","NO",HLOOKUP(T$15,Data_5!$F$10:$BG$42,$A36+2,FALSE)/Data_5!$BH31))))),"")</f>
        <v>IE</v>
      </c>
      <c r="U36" s="1122" t="str">
        <f>IFERROR(IF(HLOOKUP(U$15,Data_5!$F$10:$BG$42,$A36+2,FALSE)="NO","NO",IF(HLOOKUP(U$15,Data_5!$F$10:$BG$42,$A36+2,FALSE)="IE","IE",IF(HLOOKUP(U$15,Data_5!$F$10:$BG$42,$A36+2,FALSE)="NE","NE",IF(HLOOKUP(U$15,Data_5!$F$10:$BG$42,$A36+2,FALSE)="C","C",IF(HLOOKUP(U$15,Data_5!$F$10:$BG$42,$A36+2,FALSE)="NO","NO",HLOOKUP(U$15,Data_5!$F$10:$BG$42,$A36+2,FALSE)/Data_5!$BH31))))),"")</f>
        <v>NO</v>
      </c>
      <c r="V36" s="1122" t="str">
        <f>IFERROR(IF(HLOOKUP(V$15,Data_5!$F$10:$BG$42,$A36+2,FALSE)="NO","NO",IF(HLOOKUP(V$15,Data_5!$F$10:$BG$42,$A36+2,FALSE)="IE","IE",IF(HLOOKUP(V$15,Data_5!$F$10:$BG$42,$A36+2,FALSE)="NE","NE",IF(HLOOKUP(V$15,Data_5!$F$10:$BG$42,$A36+2,FALSE)="C","C",IF(HLOOKUP(V$15,Data_5!$F$10:$BG$42,$A36+2,FALSE)="NO","NO",HLOOKUP(V$15,Data_5!$F$10:$BG$42,$A36+2,FALSE)/Data_5!$BH31))))),"")</f>
        <v>IE</v>
      </c>
      <c r="W36" s="1122" t="str">
        <f>IFERROR(IF(HLOOKUP(W$15,Data_5!$F$10:$BG$42,$A36+2,FALSE)="NO","NO",IF(HLOOKUP(W$15,Data_5!$F$10:$BG$42,$A36+2,FALSE)="IE","IE",IF(HLOOKUP(W$15,Data_5!$F$10:$BG$42,$A36+2,FALSE)="NE","NE",IF(HLOOKUP(W$15,Data_5!$F$10:$BG$42,$A36+2,FALSE)="C","C",IF(HLOOKUP(W$15,Data_5!$F$10:$BG$42,$A36+2,FALSE)="NO","NO",HLOOKUP(W$15,Data_5!$F$10:$BG$42,$A36+2,FALSE)/Data_5!$BH31))))),"")</f>
        <v>NO</v>
      </c>
      <c r="X36" s="1122" t="str">
        <f>IFERROR(IF(HLOOKUP(X$15,Data_5!$F$10:$BG$42,$A36+2,FALSE)="NO","NO",IF(HLOOKUP(X$15,Data_5!$F$10:$BG$42,$A36+2,FALSE)="IE","IE",IF(HLOOKUP(X$15,Data_5!$F$10:$BG$42,$A36+2,FALSE)="NE","NE",IF(HLOOKUP(X$15,Data_5!$F$10:$BG$42,$A36+2,FALSE)="C","C",IF(HLOOKUP(X$15,Data_5!$F$10:$BG$42,$A36+2,FALSE)="NO","NO",HLOOKUP(X$15,Data_5!$F$10:$BG$42,$A36+2,FALSE)/Data_5!$BH31))))),"")</f>
        <v>NO</v>
      </c>
      <c r="Y36" s="1122" t="str">
        <f>IFERROR(IF(HLOOKUP(Y$15,Data_5!$F$10:$BG$42,$A36+2,FALSE)="NO","NO",IF(HLOOKUP(Y$15,Data_5!$F$10:$BG$42,$A36+2,FALSE)="IE","IE",IF(HLOOKUP(Y$15,Data_5!$F$10:$BG$42,$A36+2,FALSE)="NE","NE",IF(HLOOKUP(Y$15,Data_5!$F$10:$BG$42,$A36+2,FALSE)="C","C",IF(HLOOKUP(Y$15,Data_5!$F$10:$BG$42,$A36+2,FALSE)="NO","NO",HLOOKUP(Y$15,Data_5!$F$10:$BG$42,$A36+2,FALSE)/Data_5!$BH31))))),"")</f>
        <v>NO</v>
      </c>
      <c r="Z36" s="1122" t="str">
        <f>IFERROR(IF(HLOOKUP(Z$15,Data_5!$F$10:$BG$42,$A36+2,FALSE)="NO","NO",IF(HLOOKUP(Z$15,Data_5!$F$10:$BG$42,$A36+2,FALSE)="IE","IE",IF(HLOOKUP(Z$15,Data_5!$F$10:$BG$42,$A36+2,FALSE)="NE","NE",IF(HLOOKUP(Z$15,Data_5!$F$10:$BG$42,$A36+2,FALSE)="C","C",IF(HLOOKUP(Z$15,Data_5!$F$10:$BG$42,$A36+2,FALSE)="NO","NO",HLOOKUP(Z$15,Data_5!$F$10:$BG$42,$A36+2,FALSE)/Data_5!$BH31))))),"")</f>
        <v>NO</v>
      </c>
      <c r="AA36" s="1122" t="str">
        <f>IFERROR(IF(HLOOKUP(AA$15,Data_5!$F$10:$BG$42,$A36+2,FALSE)="NO","NO",IF(HLOOKUP(AA$15,Data_5!$F$10:$BG$42,$A36+2,FALSE)="IE","IE",IF(HLOOKUP(AA$15,Data_5!$F$10:$BG$42,$A36+2,FALSE)="NE","NE",IF(HLOOKUP(AA$15,Data_5!$F$10:$BG$42,$A36+2,FALSE)="C","C",IF(HLOOKUP(AA$15,Data_5!$F$10:$BG$42,$A36+2,FALSE)="NO","NO",HLOOKUP(AA$15,Data_5!$F$10:$BG$42,$A36+2,FALSE)/Data_5!$BH31))))),"")</f>
        <v>IE</v>
      </c>
      <c r="AB36" s="1122" t="str">
        <f>IFERROR(IF(HLOOKUP(AB$15,Data_5!$F$10:$BG$42,$A36+2,FALSE)="NO","NO",IF(HLOOKUP(AB$15,Data_5!$F$10:$BG$42,$A36+2,FALSE)="IE","IE",IF(HLOOKUP(AB$15,Data_5!$F$10:$BG$42,$A36+2,FALSE)="NE","NE",IF(HLOOKUP(AB$15,Data_5!$F$10:$BG$42,$A36+2,FALSE)="C","C",IF(HLOOKUP(AB$15,Data_5!$F$10:$BG$42,$A36+2,FALSE)="NO","NO",HLOOKUP(AB$15,Data_5!$F$10:$BG$42,$A36+2,FALSE)/Data_5!$BH31))))),"")</f>
        <v>IE</v>
      </c>
      <c r="AC36" s="1122" t="str">
        <f>IFERROR(IF(HLOOKUP(AC$15,Data_5!$F$10:$BG$42,$A36+2,FALSE)="NO","NO",IF(HLOOKUP(AC$15,Data_5!$F$10:$BG$42,$A36+2,FALSE)="IE","IE",IF(HLOOKUP(AC$15,Data_5!$F$10:$BG$42,$A36+2,FALSE)="NE","NE",IF(HLOOKUP(AC$15,Data_5!$F$10:$BG$42,$A36+2,FALSE)="C","C",IF(HLOOKUP(AC$15,Data_5!$F$10:$BG$42,$A36+2,FALSE)="NO","NO",HLOOKUP(AC$15,Data_5!$F$10:$BG$42,$A36+2,FALSE)/Data_5!$BH31))))),"")</f>
        <v>NO</v>
      </c>
      <c r="AD36" s="1122">
        <f>IFERROR(IF(HLOOKUP(AD$15,Data_5!$F$10:$BG$42,$A36+2,FALSE)="NO","NO",IF(HLOOKUP(AD$15,Data_5!$F$10:$BG$42,$A36+2,FALSE)="IE","IE",IF(HLOOKUP(AD$15,Data_5!$F$10:$BG$42,$A36+2,FALSE)="NE","NE",IF(HLOOKUP(AD$15,Data_5!$F$10:$BG$42,$A36+2,FALSE)="C","C",IF(HLOOKUP(AD$15,Data_5!$F$10:$BG$42,$A36+2,FALSE)="NO","NO",HLOOKUP(AD$15,Data_5!$F$10:$BG$42,$A36+2,FALSE)/Data_5!$BH31))))),"")</f>
        <v>1.2072209994005337E-2</v>
      </c>
      <c r="AE36" s="1122" t="str">
        <f>IFERROR(IF(HLOOKUP(AE$15,Data_5!$F$10:$BG$42,$A36+2,FALSE)="NO","NO",IF(HLOOKUP(AE$15,Data_5!$F$10:$BG$42,$A36+2,FALSE)="IE","IE",IF(HLOOKUP(AE$15,Data_5!$F$10:$BG$42,$A36+2,FALSE)="NE","NE",IF(HLOOKUP(AE$15,Data_5!$F$10:$BG$42,$A36+2,FALSE)="C","C",IF(HLOOKUP(AE$15,Data_5!$F$10:$BG$42,$A36+2,FALSE)="NO","NO",HLOOKUP(AE$15,Data_5!$F$10:$BG$42,$A36+2,FALSE)/Data_5!$BH31))))),"")</f>
        <v>NO</v>
      </c>
      <c r="AF36" s="1122" t="str">
        <f>IFERROR(IF(HLOOKUP(AF$15,Data_5!$F$10:$BG$42,$A36+2,FALSE)="NO","NO",IF(HLOOKUP(AF$15,Data_5!$F$10:$BG$42,$A36+2,FALSE)="IE","IE",IF(HLOOKUP(AF$15,Data_5!$F$10:$BG$42,$A36+2,FALSE)="NE","NE",IF(HLOOKUP(AF$15,Data_5!$F$10:$BG$42,$A36+2,FALSE)="C","C",IF(HLOOKUP(AF$15,Data_5!$F$10:$BG$42,$A36+2,FALSE)="NO","NO",HLOOKUP(AF$15,Data_5!$F$10:$BG$42,$A36+2,FALSE)/Data_5!$BH31))))),"")</f>
        <v>NO</v>
      </c>
      <c r="AG36" s="1122" t="str">
        <f>IFERROR(IF(HLOOKUP(AG$15,Data_5!$F$10:$BG$42,$A36+2,FALSE)="NO","NO",IF(HLOOKUP(AG$15,Data_5!$F$10:$BG$42,$A36+2,FALSE)="IE","IE",IF(HLOOKUP(AG$15,Data_5!$F$10:$BG$42,$A36+2,FALSE)="NE","NE",IF(HLOOKUP(AG$15,Data_5!$F$10:$BG$42,$A36+2,FALSE)="C","C",IF(HLOOKUP(AG$15,Data_5!$F$10:$BG$42,$A36+2,FALSE)="NO","NO",HLOOKUP(AG$15,Data_5!$F$10:$BG$42,$A36+2,FALSE)/Data_5!$BH31))))),"")</f>
        <v>NO</v>
      </c>
      <c r="AH36" s="1122" t="str">
        <f>IFERROR(IF(HLOOKUP(AH$15,Data_5!$F$10:$BG$42,$A36+2,FALSE)="NO","NO",IF(HLOOKUP(AH$15,Data_5!$F$10:$BG$42,$A36+2,FALSE)="IE","IE",IF(HLOOKUP(AH$15,Data_5!$F$10:$BG$42,$A36+2,FALSE)="NE","NE",IF(HLOOKUP(AH$15,Data_5!$F$10:$BG$42,$A36+2,FALSE)="C","C",IF(HLOOKUP(AH$15,Data_5!$F$10:$BG$42,$A36+2,FALSE)="NO","NO",HLOOKUP(AH$15,Data_5!$F$10:$BG$42,$A36+2,FALSE)/Data_5!$BH31))))),"")</f>
        <v>NO</v>
      </c>
      <c r="AI36" s="1122">
        <f>IFERROR(IF(HLOOKUP(AI$15,Data_5!$F$10:$BG$42,$A36+2,FALSE)="NO","NO",IF(HLOOKUP(AI$15,Data_5!$F$10:$BG$42,$A36+2,FALSE)="IE","IE",IF(HLOOKUP(AI$15,Data_5!$F$10:$BG$42,$A36+2,FALSE)="NE","NE",IF(HLOOKUP(AI$15,Data_5!$F$10:$BG$42,$A36+2,FALSE)="C","C",IF(HLOOKUP(AI$15,Data_5!$F$10:$BG$42,$A36+2,FALSE)="NO","NO",HLOOKUP(AI$15,Data_5!$F$10:$BG$42,$A36+2,FALSE)/Data_5!$BH31))))),"")</f>
        <v>2.2724236281152503E-3</v>
      </c>
      <c r="AJ36" s="1122" t="str">
        <f>IFERROR(IF(HLOOKUP(AJ$15,Data_5!$F$10:$BG$42,$A36+2,FALSE)="NO","NO",IF(HLOOKUP(AJ$15,Data_5!$F$10:$BG$42,$A36+2,FALSE)="IE","IE",IF(HLOOKUP(AJ$15,Data_5!$F$10:$BG$42,$A36+2,FALSE)="NE","NE",IF(HLOOKUP(AJ$15,Data_5!$F$10:$BG$42,$A36+2,FALSE)="C","C",IF(HLOOKUP(AJ$15,Data_5!$F$10:$BG$42,$A36+2,FALSE)="NO","NO",HLOOKUP(AJ$15,Data_5!$F$10:$BG$42,$A36+2,FALSE)/Data_5!$BH31))))),"")</f>
        <v>NO</v>
      </c>
      <c r="AL36" s="2628" t="str">
        <f t="shared" si="0"/>
        <v>Portland</v>
      </c>
      <c r="AM36" s="2629"/>
      <c r="AN36" s="1100">
        <f t="shared" si="1"/>
        <v>2013</v>
      </c>
      <c r="AO36" s="1122" t="str">
        <f>IFERROR(IF(VLOOKUP($AL36,Data_5!$B$12:$E$42,4,FALSE)="BASIC","",(IF(HLOOKUP(AO$15,Data_5!$F$10:$BG$42,$A36+2,FALSE)="NO","NO",IF(HLOOKUP(AO$15,Data_5!$F$10:$BG$42,$A36+2,FALSE)="IE","IE",IF(HLOOKUP(AO$15,Data_5!$F$10:$BG$42,$A36+2,FALSE)="NE","NE",IF(HLOOKUP(AO$15,Data_5!$F$10:$BG$42,$A36+2,FALSE)="C","C",IF(HLOOKUP(AO$15,Data_5!$F$10:$BG$42,$A36+2,FALSE)="NO","NO",HLOOKUP(AO$15,Data_5!$F$10:$BG$42,$A36+2,FALSE)/Data_5!$BI31))))))),"")</f>
        <v/>
      </c>
      <c r="AP36" s="1122" t="str">
        <f>IFERROR(IF(VLOOKUP($AL36,Data_5!$B$12:$E$42,4,FALSE)="BASIC","",(IF(HLOOKUP(AP$15,Data_5!$F$10:$BG$42,$A36+2,FALSE)="NO","NO",IF(HLOOKUP(AP$15,Data_5!$F$10:$BG$42,$A36+2,FALSE)="IE","IE",IF(HLOOKUP(AP$15,Data_5!$F$10:$BG$42,$A36+2,FALSE)="NE","NE",IF(HLOOKUP(AP$15,Data_5!$F$10:$BG$42,$A36+2,FALSE)="C","C",IF(HLOOKUP(AP$15,Data_5!$F$10:$BG$42,$A36+2,FALSE)="NO","NO",HLOOKUP(AP$15,Data_5!$F$10:$BG$42,$A36+2,FALSE)/Data_5!$BI31))))))),"")</f>
        <v/>
      </c>
      <c r="AQ36" s="1122" t="str">
        <f>IFERROR(IF(VLOOKUP($AL36,Data_5!$B$12:$E$42,4,FALSE)="BASIC","",(IF(HLOOKUP(AQ$15,Data_5!$F$10:$BG$42,$A36+2,FALSE)="NO","NO",IF(HLOOKUP(AQ$15,Data_5!$F$10:$BG$42,$A36+2,FALSE)="IE","IE",IF(HLOOKUP(AQ$15,Data_5!$F$10:$BG$42,$A36+2,FALSE)="NE","NE",IF(HLOOKUP(AQ$15,Data_5!$F$10:$BG$42,$A36+2,FALSE)="C","C",IF(HLOOKUP(AQ$15,Data_5!$F$10:$BG$42,$A36+2,FALSE)="NO","NO",HLOOKUP(AQ$15,Data_5!$F$10:$BG$42,$A36+2,FALSE)/Data_5!$BI31))))))),"")</f>
        <v/>
      </c>
      <c r="AR36" s="1122" t="str">
        <f>IFERROR(IF(VLOOKUP($AL36,Data_5!$B$12:$E$42,4,FALSE)="BASIC","",(IF(HLOOKUP(AR$15,Data_5!$F$10:$BG$42,$A36+2,FALSE)="NO","NO",IF(HLOOKUP(AR$15,Data_5!$F$10:$BG$42,$A36+2,FALSE)="IE","IE",IF(HLOOKUP(AR$15,Data_5!$F$10:$BG$42,$A36+2,FALSE)="NE","NE",IF(HLOOKUP(AR$15,Data_5!$F$10:$BG$42,$A36+2,FALSE)="C","C",IF(HLOOKUP(AR$15,Data_5!$F$10:$BG$42,$A36+2,FALSE)="NO","NO",HLOOKUP(AR$15,Data_5!$F$10:$BG$42,$A36+2,FALSE)/Data_5!$BI31))))))),"")</f>
        <v/>
      </c>
      <c r="AS36" s="1122" t="str">
        <f>IFERROR(IF(VLOOKUP($AL36,Data_5!$B$12:$E$42,4,FALSE)="BASIC","",(IF(HLOOKUP(AS$15,Data_5!$F$10:$BG$42,$A36+2,FALSE)="NO","NO",IF(HLOOKUP(AS$15,Data_5!$F$10:$BG$42,$A36+2,FALSE)="IE","IE",IF(HLOOKUP(AS$15,Data_5!$F$10:$BG$42,$A36+2,FALSE)="NE","NE",IF(HLOOKUP(AS$15,Data_5!$F$10:$BG$42,$A36+2,FALSE)="C","C",IF(HLOOKUP(AS$15,Data_5!$F$10:$BG$42,$A36+2,FALSE)="NO","NO",HLOOKUP(AS$15,Data_5!$F$10:$BG$42,$A36+2,FALSE)/Data_5!$BI31))))))),"")</f>
        <v/>
      </c>
      <c r="AT36" s="1122" t="str">
        <f>IFERROR(IF(VLOOKUP($AL36,Data_5!$B$12:$E$42,4,FALSE)="BASIC","",(IF(HLOOKUP(AT$15,Data_5!$F$10:$BG$42,$A36+2,FALSE)="NO","NO",IF(HLOOKUP(AT$15,Data_5!$F$10:$BG$42,$A36+2,FALSE)="IE","IE",IF(HLOOKUP(AT$15,Data_5!$F$10:$BG$42,$A36+2,FALSE)="NE","NE",IF(HLOOKUP(AT$15,Data_5!$F$10:$BG$42,$A36+2,FALSE)="C","C",IF(HLOOKUP(AT$15,Data_5!$F$10:$BG$42,$A36+2,FALSE)="NO","NO",HLOOKUP(AT$15,Data_5!$F$10:$BG$42,$A36+2,FALSE)/Data_5!$BI31))))))),"")</f>
        <v/>
      </c>
      <c r="AU36" s="1122" t="str">
        <f>IFERROR(IF(VLOOKUP($AL36,Data_5!$B$12:$E$42,4,FALSE)="BASIC","",(IF(HLOOKUP(AU$15,Data_5!$F$10:$BG$42,$A36+2,FALSE)="NO","NO",IF(HLOOKUP(AU$15,Data_5!$F$10:$BG$42,$A36+2,FALSE)="IE","IE",IF(HLOOKUP(AU$15,Data_5!$F$10:$BG$42,$A36+2,FALSE)="NE","NE",IF(HLOOKUP(AU$15,Data_5!$F$10:$BG$42,$A36+2,FALSE)="C","C",IF(HLOOKUP(AU$15,Data_5!$F$10:$BG$42,$A36+2,FALSE)="NO","NO",HLOOKUP(AU$15,Data_5!$F$10:$BG$42,$A36+2,FALSE)/Data_5!$BI31))))))),"")</f>
        <v/>
      </c>
      <c r="AV36" s="1122" t="str">
        <f>IFERROR(IF(VLOOKUP($AL36,Data_5!$B$12:$E$42,4,FALSE)="BASIC","",(IF(HLOOKUP(AV$15,Data_5!$F$10:$BG$42,$A36+2,FALSE)="NO","NO",IF(HLOOKUP(AV$15,Data_5!$F$10:$BG$42,$A36+2,FALSE)="IE","IE",IF(HLOOKUP(AV$15,Data_5!$F$10:$BG$42,$A36+2,FALSE)="NE","NE",IF(HLOOKUP(AV$15,Data_5!$F$10:$BG$42,$A36+2,FALSE)="C","C",IF(HLOOKUP(AV$15,Data_5!$F$10:$BG$42,$A36+2,FALSE)="NO","NO",HLOOKUP(AV$15,Data_5!$F$10:$BG$42,$A36+2,FALSE)/Data_5!$BI31))))))),"")</f>
        <v/>
      </c>
      <c r="AW36" s="1122" t="str">
        <f>IFERROR(IF(VLOOKUP($AL36,Data_5!$B$12:$E$42,4,FALSE)="BASIC","",(IF(HLOOKUP(AW$15,Data_5!$F$10:$BG$42,$A36+2,FALSE)="NO","NO",IF(HLOOKUP(AW$15,Data_5!$F$10:$BG$42,$A36+2,FALSE)="IE","IE",IF(HLOOKUP(AW$15,Data_5!$F$10:$BG$42,$A36+2,FALSE)="NE","NE",IF(HLOOKUP(AW$15,Data_5!$F$10:$BG$42,$A36+2,FALSE)="C","C",IF(HLOOKUP(AW$15,Data_5!$F$10:$BG$42,$A36+2,FALSE)="NO","NO",HLOOKUP(AW$15,Data_5!$F$10:$BG$42,$A36+2,FALSE)/Data_5!$BI31))))))),"")</f>
        <v/>
      </c>
      <c r="AX36" s="1122" t="str">
        <f>IFERROR(IF(VLOOKUP($AL36,Data_5!$B$12:$E$42,4,FALSE)="BASIC","",(IF(HLOOKUP(AX$15,Data_5!$F$10:$BG$42,$A36+2,FALSE)="NO","NO",IF(HLOOKUP(AX$15,Data_5!$F$10:$BG$42,$A36+2,FALSE)="IE","IE",IF(HLOOKUP(AX$15,Data_5!$F$10:$BG$42,$A36+2,FALSE)="NE","NE",IF(HLOOKUP(AX$15,Data_5!$F$10:$BG$42,$A36+2,FALSE)="C","C",IF(HLOOKUP(AX$15,Data_5!$F$10:$BG$42,$A36+2,FALSE)="NO","NO",HLOOKUP(AX$15,Data_5!$F$10:$BG$42,$A36+2,FALSE)/Data_5!$BI31))))))),"")</f>
        <v/>
      </c>
      <c r="AY36" s="1122" t="str">
        <f>IFERROR(IF(VLOOKUP($AL36,Data_5!$B$12:$E$42,4,FALSE)="BASIC","",(IF(HLOOKUP(AY$15,Data_5!$F$10:$BG$42,$A36+2,FALSE)="NO","NO",IF(HLOOKUP(AY$15,Data_5!$F$10:$BG$42,$A36+2,FALSE)="IE","IE",IF(HLOOKUP(AY$15,Data_5!$F$10:$BG$42,$A36+2,FALSE)="NE","NE",IF(HLOOKUP(AY$15,Data_5!$F$10:$BG$42,$A36+2,FALSE)="C","C",IF(HLOOKUP(AY$15,Data_5!$F$10:$BG$42,$A36+2,FALSE)="NO","NO",HLOOKUP(AY$15,Data_5!$F$10:$BG$42,$A36+2,FALSE)/Data_5!$BI31))))))),"")</f>
        <v/>
      </c>
      <c r="AZ36" s="1122" t="str">
        <f>IFERROR(IF(VLOOKUP($AL36,Data_5!$B$12:$E$42,4,FALSE)="BASIC","",(IF(HLOOKUP(AZ$15,Data_5!$F$10:$BG$42,$A36+2,FALSE)="NO","NO",IF(HLOOKUP(AZ$15,Data_5!$F$10:$BG$42,$A36+2,FALSE)="IE","IE",IF(HLOOKUP(AZ$15,Data_5!$F$10:$BG$42,$A36+2,FALSE)="NE","NE",IF(HLOOKUP(AZ$15,Data_5!$F$10:$BG$42,$A36+2,FALSE)="C","C",IF(HLOOKUP(AZ$15,Data_5!$F$10:$BG$42,$A36+2,FALSE)="NO","NO",HLOOKUP(AZ$15,Data_5!$F$10:$BG$42,$A36+2,FALSE)/Data_5!$BI31))))))),"")</f>
        <v/>
      </c>
      <c r="BA36" s="1122" t="str">
        <f>IFERROR(IF(VLOOKUP($AL36,Data_5!$B$12:$E$42,4,FALSE)="BASIC","",(IF(HLOOKUP(BA$15,Data_5!$F$10:$BG$42,$A36+2,FALSE)="NO","NO",IF(HLOOKUP(BA$15,Data_5!$F$10:$BG$42,$A36+2,FALSE)="IE","IE",IF(HLOOKUP(BA$15,Data_5!$F$10:$BG$42,$A36+2,FALSE)="NE","NE",IF(HLOOKUP(BA$15,Data_5!$F$10:$BG$42,$A36+2,FALSE)="C","C",IF(HLOOKUP(BA$15,Data_5!$F$10:$BG$42,$A36+2,FALSE)="NO","NO",HLOOKUP(BA$15,Data_5!$F$10:$BG$42,$A36+2,FALSE)/Data_5!$BI31))))))),"")</f>
        <v/>
      </c>
      <c r="BB36" s="1122" t="str">
        <f>IFERROR(IF(VLOOKUP($AL36,Data_5!$B$12:$E$42,4,FALSE)="BASIC","",(IF(HLOOKUP(BB$15,Data_5!$F$10:$BG$42,$A36+2,FALSE)="NO","NO",IF(HLOOKUP(BB$15,Data_5!$F$10:$BG$42,$A36+2,FALSE)="IE","IE",IF(HLOOKUP(BB$15,Data_5!$F$10:$BG$42,$A36+2,FALSE)="NE","NE",IF(HLOOKUP(BB$15,Data_5!$F$10:$BG$42,$A36+2,FALSE)="C","C",IF(HLOOKUP(BB$15,Data_5!$F$10:$BG$42,$A36+2,FALSE)="NO","NO",HLOOKUP(BB$15,Data_5!$F$10:$BG$42,$A36+2,FALSE)/Data_5!$BI31))))))),"")</f>
        <v/>
      </c>
      <c r="BC36" s="1122" t="str">
        <f>IFERROR(IF(VLOOKUP($AL36,Data_5!$B$12:$E$42,4,FALSE)="BASIC","",(IF(HLOOKUP(BC$15,Data_5!$F$10:$BG$42,$A36+2,FALSE)="NO","NO",IF(HLOOKUP(BC$15,Data_5!$F$10:$BG$42,$A36+2,FALSE)="IE","IE",IF(HLOOKUP(BC$15,Data_5!$F$10:$BG$42,$A36+2,FALSE)="NE","NE",IF(HLOOKUP(BC$15,Data_5!$F$10:$BG$42,$A36+2,FALSE)="C","C",IF(HLOOKUP(BC$15,Data_5!$F$10:$BG$42,$A36+2,FALSE)="NO","NO",HLOOKUP(BC$15,Data_5!$F$10:$BG$42,$A36+2,FALSE)/Data_5!$BI31))))))),"")</f>
        <v/>
      </c>
      <c r="BD36" s="1122" t="str">
        <f>IFERROR(IF(VLOOKUP($AL36,Data_5!$B$12:$E$42,4,FALSE)="BASIC","",(IF(HLOOKUP(BD$15,Data_5!$F$10:$BG$42,$A36+2,FALSE)="NO","NO",IF(HLOOKUP(BD$15,Data_5!$F$10:$BG$42,$A36+2,FALSE)="IE","IE",IF(HLOOKUP(BD$15,Data_5!$F$10:$BG$42,$A36+2,FALSE)="NE","NE",IF(HLOOKUP(BD$15,Data_5!$F$10:$BG$42,$A36+2,FALSE)="C","C",IF(HLOOKUP(BD$15,Data_5!$F$10:$BG$42,$A36+2,FALSE)="NO","NO",HLOOKUP(BD$15,Data_5!$F$10:$BG$42,$A36+2,FALSE)/Data_5!$BI31))))))),"")</f>
        <v/>
      </c>
      <c r="BE36" s="1122" t="str">
        <f>IFERROR(IF(VLOOKUP($AL36,Data_5!$B$12:$E$42,4,FALSE)="BASIC","",(IF(HLOOKUP(BE$15,Data_5!$F$10:$BG$42,$A36+2,FALSE)="NO","NO",IF(HLOOKUP(BE$15,Data_5!$F$10:$BG$42,$A36+2,FALSE)="IE","IE",IF(HLOOKUP(BE$15,Data_5!$F$10:$BG$42,$A36+2,FALSE)="NE","NE",IF(HLOOKUP(BE$15,Data_5!$F$10:$BG$42,$A36+2,FALSE)="C","C",IF(HLOOKUP(BE$15,Data_5!$F$10:$BG$42,$A36+2,FALSE)="NO","NO",HLOOKUP(BE$15,Data_5!$F$10:$BG$42,$A36+2,FALSE)/Data_5!$BI31))))))),"")</f>
        <v/>
      </c>
      <c r="BF36" s="1122" t="str">
        <f>IFERROR(IF(VLOOKUP($AL36,Data_5!$B$12:$E$42,4,FALSE)="BASIC","",(IF(HLOOKUP(BF$15,Data_5!$F$10:$BG$42,$A36+2,FALSE)="NO","NO",IF(HLOOKUP(BF$15,Data_5!$F$10:$BG$42,$A36+2,FALSE)="IE","IE",IF(HLOOKUP(BF$15,Data_5!$F$10:$BG$42,$A36+2,FALSE)="NE","NE",IF(HLOOKUP(BF$15,Data_5!$F$10:$BG$42,$A36+2,FALSE)="C","C",IF(HLOOKUP(BF$15,Data_5!$F$10:$BG$42,$A36+2,FALSE)="NO","NO",HLOOKUP(BF$15,Data_5!$F$10:$BG$42,$A36+2,FALSE)/Data_5!$BI31))))))),"")</f>
        <v/>
      </c>
      <c r="BG36" s="1122" t="str">
        <f>IFERROR(IF(VLOOKUP($AL36,Data_5!$B$12:$E$42,4,FALSE)="BASIC","",(IF(HLOOKUP(BG$15,Data_5!$F$10:$BG$42,$A36+2,FALSE)="NO","NO",IF(HLOOKUP(BG$15,Data_5!$F$10:$BG$42,$A36+2,FALSE)="IE","IE",IF(HLOOKUP(BG$15,Data_5!$F$10:$BG$42,$A36+2,FALSE)="NE","NE",IF(HLOOKUP(BG$15,Data_5!$F$10:$BG$42,$A36+2,FALSE)="C","C",IF(HLOOKUP(BG$15,Data_5!$F$10:$BG$42,$A36+2,FALSE)="NO","NO",HLOOKUP(BG$15,Data_5!$F$10:$BG$42,$A36+2,FALSE)/Data_5!$BI31))))))),"")</f>
        <v/>
      </c>
      <c r="BH36" s="1122" t="str">
        <f>IFERROR(IF(VLOOKUP($AL36,Data_5!$B$12:$E$42,4,FALSE)="BASIC","",(IF(HLOOKUP(BH$15,Data_5!$F$10:$BG$42,$A36+2,FALSE)="NO","NO",IF(HLOOKUP(BH$15,Data_5!$F$10:$BG$42,$A36+2,FALSE)="IE","IE",IF(HLOOKUP(BH$15,Data_5!$F$10:$BG$42,$A36+2,FALSE)="NE","NE",IF(HLOOKUP(BH$15,Data_5!$F$10:$BG$42,$A36+2,FALSE)="C","C",IF(HLOOKUP(BH$15,Data_5!$F$10:$BG$42,$A36+2,FALSE)="NO","NO",HLOOKUP(BH$15,Data_5!$F$10:$BG$42,$A36+2,FALSE)/Data_5!$BI31))))))),"")</f>
        <v/>
      </c>
      <c r="BI36" s="1122" t="str">
        <f>IFERROR(IF(VLOOKUP($AL36,Data_5!$B$12:$E$42,4,FALSE)="BASIC","",(IF(HLOOKUP(BI$15,Data_5!$F$10:$BG$42,$A36+2,FALSE)="NO","NO",IF(HLOOKUP(BI$15,Data_5!$F$10:$BG$42,$A36+2,FALSE)="IE","IE",IF(HLOOKUP(BI$15,Data_5!$F$10:$BG$42,$A36+2,FALSE)="NE","NE",IF(HLOOKUP(BI$15,Data_5!$F$10:$BG$42,$A36+2,FALSE)="C","C",IF(HLOOKUP(BI$15,Data_5!$F$10:$BG$42,$A36+2,FALSE)="NO","NO",HLOOKUP(BI$15,Data_5!$F$10:$BG$42,$A36+2,FALSE)/Data_5!$BI31))))))),"")</f>
        <v/>
      </c>
      <c r="BJ36" s="1122" t="str">
        <f>IFERROR(IF(VLOOKUP($AL36,Data_5!$B$12:$E$42,4,FALSE)="BASIC","",(IF(HLOOKUP(BJ$15,Data_5!$F$10:$BG$42,$A36+2,FALSE)="NO","NO",IF(HLOOKUP(BJ$15,Data_5!$F$10:$BG$42,$A36+2,FALSE)="IE","IE",IF(HLOOKUP(BJ$15,Data_5!$F$10:$BG$42,$A36+2,FALSE)="NE","NE",IF(HLOOKUP(BJ$15,Data_5!$F$10:$BG$42,$A36+2,FALSE)="C","C",IF(HLOOKUP(BJ$15,Data_5!$F$10:$BG$42,$A36+2,FALSE)="NO","NO",HLOOKUP(BJ$15,Data_5!$F$10:$BG$42,$A36+2,FALSE)/Data_5!$BI31))))))),"")</f>
        <v/>
      </c>
      <c r="BK36" s="1122" t="str">
        <f>IFERROR(IF(VLOOKUP($AL36,Data_5!$B$12:$E$42,4,FALSE)="BASIC","",(IF(HLOOKUP(BK$15,Data_5!$F$10:$BG$42,$A36+2,FALSE)="NO","NO",IF(HLOOKUP(BK$15,Data_5!$F$10:$BG$42,$A36+2,FALSE)="IE","IE",IF(HLOOKUP(BK$15,Data_5!$F$10:$BG$42,$A36+2,FALSE)="NE","NE",IF(HLOOKUP(BK$15,Data_5!$F$10:$BG$42,$A36+2,FALSE)="C","C",IF(HLOOKUP(BK$15,Data_5!$F$10:$BG$42,$A36+2,FALSE)="NO","NO",HLOOKUP(BK$15,Data_5!$F$10:$BG$42,$A36+2,FALSE)/Data_5!$BI31))))))),"")</f>
        <v/>
      </c>
      <c r="BL36" s="1122" t="str">
        <f>IFERROR(IF(VLOOKUP($AL36,Data_5!$B$12:$E$42,4,FALSE)="BASIC","",(IF(HLOOKUP(BL$15,Data_5!$F$10:$BG$42,$A36+2,FALSE)="NO","NO",IF(HLOOKUP(BL$15,Data_5!$F$10:$BG$42,$A36+2,FALSE)="IE","IE",IF(HLOOKUP(BL$15,Data_5!$F$10:$BG$42,$A36+2,FALSE)="NE","NE",IF(HLOOKUP(BL$15,Data_5!$F$10:$BG$42,$A36+2,FALSE)="C","C",IF(HLOOKUP(BL$15,Data_5!$F$10:$BG$42,$A36+2,FALSE)="NO","NO",HLOOKUP(BL$15,Data_5!$F$10:$BG$42,$A36+2,FALSE)/Data_5!$BI31))))))),"")</f>
        <v/>
      </c>
      <c r="BM36" s="1122" t="str">
        <f>IFERROR(IF(VLOOKUP($AL36,Data_5!$B$12:$E$42,4,FALSE)="BASIC","",(IF(HLOOKUP(BM$15,Data_5!$F$10:$BG$42,$A36+2,FALSE)="NO","NO",IF(HLOOKUP(BM$15,Data_5!$F$10:$BG$42,$A36+2,FALSE)="IE","IE",IF(HLOOKUP(BM$15,Data_5!$F$10:$BG$42,$A36+2,FALSE)="NE","NE",IF(HLOOKUP(BM$15,Data_5!$F$10:$BG$42,$A36+2,FALSE)="C","C",IF(HLOOKUP(BM$15,Data_5!$F$10:$BG$42,$A36+2,FALSE)="NO","NO",HLOOKUP(BM$15,Data_5!$F$10:$BG$42,$A36+2,FALSE)/Data_5!$BI31))))))),"")</f>
        <v/>
      </c>
      <c r="BN36" s="1122" t="str">
        <f>IFERROR(IF(VLOOKUP($AL36,Data_5!$B$12:$E$42,4,FALSE)="BASIC","",(IF(HLOOKUP(BN$15,Data_5!$F$10:$BG$42,$A36+2,FALSE)="NO","NO",IF(HLOOKUP(BN$15,Data_5!$F$10:$BG$42,$A36+2,FALSE)="IE","IE",IF(HLOOKUP(BN$15,Data_5!$F$10:$BG$42,$A36+2,FALSE)="NE","NE",IF(HLOOKUP(BN$15,Data_5!$F$10:$BG$42,$A36+2,FALSE)="C","C",IF(HLOOKUP(BN$15,Data_5!$F$10:$BG$42,$A36+2,FALSE)="NO","NO",HLOOKUP(BN$15,Data_5!$F$10:$BG$42,$A36+2,FALSE)/Data_5!$BI31))))))),"")</f>
        <v/>
      </c>
      <c r="BO36" s="1122" t="str">
        <f>IFERROR(IF(VLOOKUP($AL36,Data_5!$B$12:$E$42,4,FALSE)="BASIC","",(IF(HLOOKUP(BO$15,Data_5!$F$10:$BG$42,$A36+2,FALSE)="NO","NO",IF(HLOOKUP(BO$15,Data_5!$F$10:$BG$42,$A36+2,FALSE)="IE","IE",IF(HLOOKUP(BO$15,Data_5!$F$10:$BG$42,$A36+2,FALSE)="NE","NE",IF(HLOOKUP(BO$15,Data_5!$F$10:$BG$42,$A36+2,FALSE)="C","C",IF(HLOOKUP(BO$15,Data_5!$F$10:$BG$42,$A36+2,FALSE)="NO","NO",HLOOKUP(BO$15,Data_5!$F$10:$BG$42,$A36+2,FALSE)/Data_5!$BI31))))))),"")</f>
        <v/>
      </c>
      <c r="BP36" s="1122" t="str">
        <f>IFERROR(IF(VLOOKUP($AL36,Data_5!$B$12:$E$42,4,FALSE)="BASIC","",(IF(HLOOKUP(BP$15,Data_5!$F$10:$BG$42,$A36+2,FALSE)="NO","NO",IF(HLOOKUP(BP$15,Data_5!$F$10:$BG$42,$A36+2,FALSE)="IE","IE",IF(HLOOKUP(BP$15,Data_5!$F$10:$BG$42,$A36+2,FALSE)="NE","NE",IF(HLOOKUP(BP$15,Data_5!$F$10:$BG$42,$A36+2,FALSE)="C","C",IF(HLOOKUP(BP$15,Data_5!$F$10:$BG$42,$A36+2,FALSE)="NO","NO",HLOOKUP(BP$15,Data_5!$F$10:$BG$42,$A36+2,FALSE)/Data_5!$BI31))))))),"")</f>
        <v/>
      </c>
      <c r="BQ36" s="1122" t="str">
        <f>IFERROR(IF(VLOOKUP($AL36,Data_5!$B$12:$E$42,4,FALSE)="BASIC","",(IF(HLOOKUP(BQ$15,Data_5!$F$10:$BG$42,$A36+2,FALSE)="NO","NO",IF(HLOOKUP(BQ$15,Data_5!$F$10:$BG$42,$A36+2,FALSE)="IE","IE",IF(HLOOKUP(BQ$15,Data_5!$F$10:$BG$42,$A36+2,FALSE)="NE","NE",IF(HLOOKUP(BQ$15,Data_5!$F$10:$BG$42,$A36+2,FALSE)="C","C",IF(HLOOKUP(BQ$15,Data_5!$F$10:$BG$42,$A36+2,FALSE)="NO","NO",HLOOKUP(BQ$15,Data_5!$F$10:$BG$42,$A36+2,FALSE)/Data_5!$BI31))))))),"")</f>
        <v/>
      </c>
      <c r="BR36" s="1122" t="str">
        <f>IFERROR(IF(VLOOKUP($AL36,Data_5!$B$12:$E$42,4,FALSE)="BASIC","",(IF(HLOOKUP(BR$15,Data_5!$F$10:$BG$42,$A36+2,FALSE)="NO","NO",IF(HLOOKUP(BR$15,Data_5!$F$10:$BG$42,$A36+2,FALSE)="IE","IE",IF(HLOOKUP(BR$15,Data_5!$F$10:$BG$42,$A36+2,FALSE)="NE","NE",IF(HLOOKUP(BR$15,Data_5!$F$10:$BG$42,$A36+2,FALSE)="C","C",IF(HLOOKUP(BR$15,Data_5!$F$10:$BG$42,$A36+2,FALSE)="NO","NO",HLOOKUP(BR$15,Data_5!$F$10:$BG$42,$A36+2,FALSE)/Data_5!$BI31))))))),"")</f>
        <v/>
      </c>
      <c r="BS36" s="1122" t="str">
        <f>IFERROR(IF(VLOOKUP($AL36,Data_5!$B$12:$E$42,4,FALSE)="BASIC","",(IF(HLOOKUP(BS$15,Data_5!$F$10:$BG$42,$A36+2,FALSE)="NO","NO",IF(HLOOKUP(BS$15,Data_5!$F$10:$BG$42,$A36+2,FALSE)="IE","IE",IF(HLOOKUP(BS$15,Data_5!$F$10:$BG$42,$A36+2,FALSE)="NE","NE",IF(HLOOKUP(BS$15,Data_5!$F$10:$BG$42,$A36+2,FALSE)="C","C",IF(HLOOKUP(BS$15,Data_5!$F$10:$BG$42,$A36+2,FALSE)="NO","NO",HLOOKUP(BS$15,Data_5!$F$10:$BG$42,$A36+2,FALSE)/Data_5!$BI31))))))),"")</f>
        <v/>
      </c>
      <c r="BT36" s="1122" t="str">
        <f>IFERROR(IF(VLOOKUP($AL36,Data_5!$B$12:$E$42,4,FALSE)="BASIC","",(IF(HLOOKUP(BT$15,Data_5!$F$10:$BG$42,$A36+2,FALSE)="NO","NO",IF(HLOOKUP(BT$15,Data_5!$F$10:$BG$42,$A36+2,FALSE)="IE","IE",IF(HLOOKUP(BT$15,Data_5!$F$10:$BG$42,$A36+2,FALSE)="NE","NE",IF(HLOOKUP(BT$15,Data_5!$F$10:$BG$42,$A36+2,FALSE)="C","C",IF(HLOOKUP(BT$15,Data_5!$F$10:$BG$42,$A36+2,FALSE)="NO","NO",HLOOKUP(BT$15,Data_5!$F$10:$BG$42,$A36+2,FALSE)/Data_5!$BI31))))))),"")</f>
        <v/>
      </c>
      <c r="BU36" s="1122" t="str">
        <f>IFERROR(IF(VLOOKUP($AL36,Data_5!$B$12:$E$42,4,FALSE)="BASIC","",(IF(HLOOKUP(BU$15,Data_5!$F$10:$BG$42,$A36+2,FALSE)="NO","NO",IF(HLOOKUP(BU$15,Data_5!$F$10:$BG$42,$A36+2,FALSE)="IE","IE",IF(HLOOKUP(BU$15,Data_5!$F$10:$BG$42,$A36+2,FALSE)="NE","NE",IF(HLOOKUP(BU$15,Data_5!$F$10:$BG$42,$A36+2,FALSE)="C","C",IF(HLOOKUP(BU$15,Data_5!$F$10:$BG$42,$A36+2,FALSE)="NO","NO",HLOOKUP(BU$15,Data_5!$F$10:$BG$42,$A36+2,FALSE)/Data_5!$BI31))))))),"")</f>
        <v/>
      </c>
      <c r="BV36" s="1122" t="str">
        <f>IFERROR(IF(VLOOKUP($AL36,Data_5!$B$12:$E$42,4,FALSE)="BASIC","",(IF(HLOOKUP(BV$15,Data_5!$F$10:$BG$42,$A36+2,FALSE)="NO","NO",IF(HLOOKUP(BV$15,Data_5!$F$10:$BG$42,$A36+2,FALSE)="IE","IE",IF(HLOOKUP(BV$15,Data_5!$F$10:$BG$42,$A36+2,FALSE)="NE","NE",IF(HLOOKUP(BV$15,Data_5!$F$10:$BG$42,$A36+2,FALSE)="C","C",IF(HLOOKUP(BV$15,Data_5!$F$10:$BG$42,$A36+2,FALSE)="NO","NO",HLOOKUP(BV$15,Data_5!$F$10:$BG$42,$A36+2,FALSE)/Data_5!$BI31))))))),"")</f>
        <v/>
      </c>
      <c r="BW36" s="1122" t="str">
        <f>IFERROR(IF(VLOOKUP($AL36,Data_5!$B$12:$E$42,4,FALSE)="BASIC","",(IF(HLOOKUP(BW$15,Data_5!$F$10:$BG$42,$A36+2,FALSE)="NO","NO",IF(HLOOKUP(BW$15,Data_5!$F$10:$BG$42,$A36+2,FALSE)="IE","IE",IF(HLOOKUP(BW$15,Data_5!$F$10:$BG$42,$A36+2,FALSE)="NE","NE",IF(HLOOKUP(BW$15,Data_5!$F$10:$BG$42,$A36+2,FALSE)="C","C",IF(HLOOKUP(BW$15,Data_5!$F$10:$BG$42,$A36+2,FALSE)="NO","NO",HLOOKUP(BW$15,Data_5!$F$10:$BG$42,$A36+2,FALSE)/Data_5!$BI31))))))),"")</f>
        <v/>
      </c>
      <c r="BX36" s="1122" t="str">
        <f>IFERROR(IF(VLOOKUP($AL36,Data_5!$B$12:$E$42,4,FALSE)="BASIC","",(IF(HLOOKUP(BX$15,Data_5!$F$10:$BG$42,$A36+2,FALSE)="NO","NO",IF(HLOOKUP(BX$15,Data_5!$F$10:$BG$42,$A36+2,FALSE)="IE","IE",IF(HLOOKUP(BX$15,Data_5!$F$10:$BG$42,$A36+2,FALSE)="NE","NE",IF(HLOOKUP(BX$15,Data_5!$F$10:$BG$42,$A36+2,FALSE)="C","C",IF(HLOOKUP(BX$15,Data_5!$F$10:$BG$42,$A36+2,FALSE)="NO","NO",HLOOKUP(BX$15,Data_5!$F$10:$BG$42,$A36+2,FALSE)/Data_5!$BI31))))))),"")</f>
        <v/>
      </c>
      <c r="BY36" s="1122" t="str">
        <f>IFERROR(IF(VLOOKUP($AL36,Data_5!$B$12:$E$42,4,FALSE)="BASIC","",(IF(HLOOKUP(BY$15,Data_5!$F$10:$BG$42,$A36+2,FALSE)="NO","NO",IF(HLOOKUP(BY$15,Data_5!$F$10:$BG$42,$A36+2,FALSE)="IE","IE",IF(HLOOKUP(BY$15,Data_5!$F$10:$BG$42,$A36+2,FALSE)="NE","NE",IF(HLOOKUP(BY$15,Data_5!$F$10:$BG$42,$A36+2,FALSE)="C","C",IF(HLOOKUP(BY$15,Data_5!$F$10:$BG$42,$A36+2,FALSE)="NO","NO",HLOOKUP(BY$15,Data_5!$F$10:$BG$42,$A36+2,FALSE)/Data_5!$BI31))))))),"")</f>
        <v/>
      </c>
      <c r="BZ36" s="1122" t="str">
        <f>IFERROR(IF(VLOOKUP($AL36,Data_5!$B$12:$E$42,4,FALSE)="BASIC","",(IF(HLOOKUP(BZ$15,Data_5!$F$10:$BG$42,$A36+2,FALSE)="NO","NO",IF(HLOOKUP(BZ$15,Data_5!$F$10:$BG$42,$A36+2,FALSE)="IE","IE",IF(HLOOKUP(BZ$15,Data_5!$F$10:$BG$42,$A36+2,FALSE)="NE","NE",IF(HLOOKUP(BZ$15,Data_5!$F$10:$BG$42,$A36+2,FALSE)="C","C",IF(HLOOKUP(BZ$15,Data_5!$F$10:$BG$42,$A36+2,FALSE)="NO","NO",HLOOKUP(BZ$15,Data_5!$F$10:$BG$42,$A36+2,FALSE)/Data_5!$BI31))))))),"")</f>
        <v/>
      </c>
      <c r="CA36" s="1122" t="str">
        <f>IFERROR(IF(VLOOKUP($AL36,Data_5!$B$12:$E$42,4,FALSE)="BASIC","",(IF(HLOOKUP(CA$15,Data_5!$F$10:$BG$42,$A36+2,FALSE)="NO","NO",IF(HLOOKUP(CA$15,Data_5!$F$10:$BG$42,$A36+2,FALSE)="IE","IE",IF(HLOOKUP(CA$15,Data_5!$F$10:$BG$42,$A36+2,FALSE)="NE","NE",IF(HLOOKUP(CA$15,Data_5!$F$10:$BG$42,$A36+2,FALSE)="C","C",IF(HLOOKUP(CA$15,Data_5!$F$10:$BG$42,$A36+2,FALSE)="NO","NO",HLOOKUP(CA$15,Data_5!$F$10:$BG$42,$A36+2,FALSE)/Data_5!$BI31))))))),"")</f>
        <v/>
      </c>
      <c r="CB36" s="1122" t="str">
        <f>IFERROR(IF(VLOOKUP($AL36,Data_5!$B$12:$E$42,4,FALSE)="BASIC","",(IF(HLOOKUP(CB$15,Data_5!$F$10:$BG$42,$A36+2,FALSE)="NO","NO",IF(HLOOKUP(CB$15,Data_5!$F$10:$BG$42,$A36+2,FALSE)="IE","IE",IF(HLOOKUP(CB$15,Data_5!$F$10:$BG$42,$A36+2,FALSE)="NE","NE",IF(HLOOKUP(CB$15,Data_5!$F$10:$BG$42,$A36+2,FALSE)="C","C",IF(HLOOKUP(CB$15,Data_5!$F$10:$BG$42,$A36+2,FALSE)="NO","NO",HLOOKUP(CB$15,Data_5!$F$10:$BG$42,$A36+2,FALSE)/Data_5!$BI31))))))),"")</f>
        <v/>
      </c>
      <c r="CC36" s="1122" t="str">
        <f>IFERROR(IF(VLOOKUP($AL36,Data_5!$B$12:$E$42,4,FALSE)="BASIC","",(IF(HLOOKUP(CC$15,Data_5!$F$10:$BG$42,$A36+2,FALSE)="NO","NO",IF(HLOOKUP(CC$15,Data_5!$F$10:$BG$42,$A36+2,FALSE)="IE","IE",IF(HLOOKUP(CC$15,Data_5!$F$10:$BG$42,$A36+2,FALSE)="NE","NE",IF(HLOOKUP(CC$15,Data_5!$F$10:$BG$42,$A36+2,FALSE)="C","C",IF(HLOOKUP(CC$15,Data_5!$F$10:$BG$42,$A36+2,FALSE)="NO","NO",HLOOKUP(CC$15,Data_5!$F$10:$BG$42,$A36+2,FALSE)/Data_5!$BI31))))))),"")</f>
        <v/>
      </c>
      <c r="CD36" s="1122" t="str">
        <f>IFERROR(IF(VLOOKUP($AL36,Data_5!$B$12:$E$42,4,FALSE)="BASIC","",(IF(HLOOKUP(CD$15,Data_5!$F$10:$BG$42,$A36+2,FALSE)="NO","NO",IF(HLOOKUP(CD$15,Data_5!$F$10:$BG$42,$A36+2,FALSE)="IE","IE",IF(HLOOKUP(CD$15,Data_5!$F$10:$BG$42,$A36+2,FALSE)="NE","NE",IF(HLOOKUP(CD$15,Data_5!$F$10:$BG$42,$A36+2,FALSE)="C","C",IF(HLOOKUP(CD$15,Data_5!$F$10:$BG$42,$A36+2,FALSE)="NO","NO",HLOOKUP(CD$15,Data_5!$F$10:$BG$42,$A36+2,FALSE)/Data_5!$BI31))))))),"")</f>
        <v/>
      </c>
      <c r="CE36" s="1122" t="str">
        <f>IFERROR(IF(VLOOKUP($AL36,Data_5!$B$12:$E$42,4,FALSE)="BASIC","",(IF(HLOOKUP(CE$15,Data_5!$F$10:$BG$42,$A36+2,FALSE)="NO","NO",IF(HLOOKUP(CE$15,Data_5!$F$10:$BG$42,$A36+2,FALSE)="IE","IE",IF(HLOOKUP(CE$15,Data_5!$F$10:$BG$42,$A36+2,FALSE)="NE","NE",IF(HLOOKUP(CE$15,Data_5!$F$10:$BG$42,$A36+2,FALSE)="C","C",IF(HLOOKUP(CE$15,Data_5!$F$10:$BG$42,$A36+2,FALSE)="NO","NO",HLOOKUP(CE$15,Data_5!$F$10:$BG$42,$A36+2,FALSE)/Data_5!$BI31))))))),"")</f>
        <v/>
      </c>
      <c r="CF36" s="1122" t="str">
        <f>IFERROR(IF(VLOOKUP($AL36,Data_5!$B$12:$E$42,4,FALSE)="BASIC","",(IF(HLOOKUP(CF$15,Data_5!$F$10:$BG$42,$A36+2,FALSE)="NO","NO",IF(HLOOKUP(CF$15,Data_5!$F$10:$BG$42,$A36+2,FALSE)="IE","IE",IF(HLOOKUP(CF$15,Data_5!$F$10:$BG$42,$A36+2,FALSE)="NE","NE",IF(HLOOKUP(CF$15,Data_5!$F$10:$BG$42,$A36+2,FALSE)="C","C",IF(HLOOKUP(CF$15,Data_5!$F$10:$BG$42,$A36+2,FALSE)="NO","NO",HLOOKUP(CF$15,Data_5!$F$10:$BG$42,$A36+2,FALSE)/Data_5!$BI31))))))),"")</f>
        <v/>
      </c>
      <c r="CG36" s="1122" t="str">
        <f>IFERROR(IF(VLOOKUP($AL36,Data_5!$B$12:$E$42,4,FALSE)="BASIC","",(IF(HLOOKUP(CG$15,Data_5!$F$10:$BG$42,$A36+2,FALSE)="NO","NO",IF(HLOOKUP(CG$15,Data_5!$F$10:$BG$42,$A36+2,FALSE)="IE","IE",IF(HLOOKUP(CG$15,Data_5!$F$10:$BG$42,$A36+2,FALSE)="NE","NE",IF(HLOOKUP(CG$15,Data_5!$F$10:$BG$42,$A36+2,FALSE)="C","C",IF(HLOOKUP(CG$15,Data_5!$F$10:$BG$42,$A36+2,FALSE)="NO","NO",HLOOKUP(CG$15,Data_5!$F$10:$BG$42,$A36+2,FALSE)/Data_5!$BI31))))))),"")</f>
        <v/>
      </c>
      <c r="CH36" s="1122" t="str">
        <f>IFERROR(IF(VLOOKUP($AL36,Data_5!$B$12:$E$42,4,FALSE)="BASIC","",(IF(HLOOKUP(CH$15,Data_5!$F$10:$BG$42,$A36+2,FALSE)="NO","NO",IF(HLOOKUP(CH$15,Data_5!$F$10:$BG$42,$A36+2,FALSE)="IE","IE",IF(HLOOKUP(CH$15,Data_5!$F$10:$BG$42,$A36+2,FALSE)="NE","NE",IF(HLOOKUP(CH$15,Data_5!$F$10:$BG$42,$A36+2,FALSE)="C","C",IF(HLOOKUP(CH$15,Data_5!$F$10:$BG$42,$A36+2,FALSE)="NO","NO",HLOOKUP(CH$15,Data_5!$F$10:$BG$42,$A36+2,FALSE)/Data_5!$BI31))))))),"")</f>
        <v/>
      </c>
      <c r="CI36" s="1122" t="str">
        <f>IFERROR(IF(VLOOKUP($AL36,Data_5!$B$12:$E$42,4,FALSE)="BASIC","",(IF(HLOOKUP(CI$15,Data_5!$F$10:$BG$42,$A36+2,FALSE)="NO","NO",IF(HLOOKUP(CI$15,Data_5!$F$10:$BG$42,$A36+2,FALSE)="IE","IE",IF(HLOOKUP(CI$15,Data_5!$F$10:$BG$42,$A36+2,FALSE)="NE","NE",IF(HLOOKUP(CI$15,Data_5!$F$10:$BG$42,$A36+2,FALSE)="C","C",IF(HLOOKUP(CI$15,Data_5!$F$10:$BG$42,$A36+2,FALSE)="NO","NO",HLOOKUP(CI$15,Data_5!$F$10:$BG$42,$A36+2,FALSE)/Data_5!$BI31))))))),"")</f>
        <v/>
      </c>
      <c r="CJ36" s="1122" t="str">
        <f>IFERROR(IF(VLOOKUP($AL36,Data_5!$B$12:$E$42,4,FALSE)="BASIC","",(IF(HLOOKUP(CJ$15,Data_5!$F$10:$BG$42,$A36+2,FALSE)="NO","NO",IF(HLOOKUP(CJ$15,Data_5!$F$10:$BG$42,$A36+2,FALSE)="IE","IE",IF(HLOOKUP(CJ$15,Data_5!$F$10:$BG$42,$A36+2,FALSE)="NE","NE",IF(HLOOKUP(CJ$15,Data_5!$F$10:$BG$42,$A36+2,FALSE)="C","C",IF(HLOOKUP(CJ$15,Data_5!$F$10:$BG$42,$A36+2,FALSE)="NO","NO",HLOOKUP(CJ$15,Data_5!$F$10:$BG$42,$A36+2,FALSE)/Data_5!$BI31))))))),"")</f>
        <v/>
      </c>
      <c r="CL36" s="2628" t="str">
        <f t="shared" si="2"/>
        <v>Portland</v>
      </c>
      <c r="CM36" s="2629"/>
      <c r="CN36" s="1100">
        <f t="shared" si="3"/>
        <v>2013</v>
      </c>
      <c r="CO36" s="1122">
        <f>IFERROR(IF(HLOOKUP(CO$15,Data_5!$F$10:$BG$42,$A36+2,FALSE)="NO","NO",IF(HLOOKUP(CO$15,Data_5!$F$10:$BG$42,$A36+2,FALSE)="IE","IE",IF(HLOOKUP(CO$15,Data_5!$F$10:$BG$42,$A36+2,FALSE)="NE","NE",IF(HLOOKUP(CO$15,Data_5!$F$10:$BG$42,$A36+2,FALSE)="C","C",IF(HLOOKUP(CO$15,Data_5!$F$10:$BG$42,$A36+2,FALSE)="NO","NO",HLOOKUP(CO$15,Data_5!$F$10:$BG$42,$A36+2,FALSE)/Data_5!$BK31))))),"")</f>
        <v>0.13372246727010173</v>
      </c>
      <c r="CP36" s="1122">
        <f>IFERROR(IF(HLOOKUP(CP$15,Data_5!$F$10:$BG$42,$A36+2,FALSE)="NO","NO",IF(HLOOKUP(CP$15,Data_5!$F$10:$BG$42,$A36+2,FALSE)="IE","IE",IF(HLOOKUP(CP$15,Data_5!$F$10:$BG$42,$A36+2,FALSE)="NE","NE",IF(HLOOKUP(CP$15,Data_5!$F$10:$BG$42,$A36+2,FALSE)="C","C",IF(HLOOKUP(CP$15,Data_5!$F$10:$BG$42,$A36+2,FALSE)="NO","NO",HLOOKUP(CP$15,Data_5!$F$10:$BG$42,$A36+2,FALSE)/Data_5!$BK31))))),"")</f>
        <v>0.10280121388666337</v>
      </c>
      <c r="CQ36" s="1122">
        <f>IFERROR(IF(HLOOKUP(CQ$15,Data_5!$F$10:$BG$42,$A36+2,FALSE)="NO","NO",IF(HLOOKUP(CQ$15,Data_5!$F$10:$BG$42,$A36+2,FALSE)="IE","IE",IF(HLOOKUP(CQ$15,Data_5!$F$10:$BG$42,$A36+2,FALSE)="NE","NE",IF(HLOOKUP(CQ$15,Data_5!$F$10:$BG$42,$A36+2,FALSE)="C","C",IF(HLOOKUP(CQ$15,Data_5!$F$10:$BG$42,$A36+2,FALSE)="NO","NO",HLOOKUP(CQ$15,Data_5!$F$10:$BG$42,$A36+2,FALSE)/Data_5!$BK31))))),"")</f>
        <v>0.15114359407517405</v>
      </c>
      <c r="CR36" s="1122" t="str">
        <f>IFERROR(IF(HLOOKUP(CR$15,Data_5!$F$10:$BG$42,$A36+2,FALSE)="NO","NO",IF(HLOOKUP(CR$15,Data_5!$F$10:$BG$42,$A36+2,FALSE)="IE","IE",IF(HLOOKUP(CR$15,Data_5!$F$10:$BG$42,$A36+2,FALSE)="NE","NE",IF(HLOOKUP(CR$15,Data_5!$F$10:$BG$42,$A36+2,FALSE)="C","C",IF(HLOOKUP(CR$15,Data_5!$F$10:$BG$42,$A36+2,FALSE)="NO","NO",HLOOKUP(CR$15,Data_5!$F$10:$BG$42,$A36+2,FALSE)/Data_5!$BK31))))),"")</f>
        <v>NO</v>
      </c>
      <c r="CS36" s="1122" t="str">
        <f>IFERROR(IF(HLOOKUP(CS$15,Data_5!$F$10:$BG$42,$A36+2,FALSE)="NO","NO",IF(HLOOKUP(CS$15,Data_5!$F$10:$BG$42,$A36+2,FALSE)="IE","IE",IF(HLOOKUP(CS$15,Data_5!$F$10:$BG$42,$A36+2,FALSE)="NE","NE",IF(HLOOKUP(CS$15,Data_5!$F$10:$BG$42,$A36+2,FALSE)="C","C",IF(HLOOKUP(CS$15,Data_5!$F$10:$BG$42,$A36+2,FALSE)="NO","NO",HLOOKUP(CS$15,Data_5!$F$10:$BG$42,$A36+2,FALSE)/Data_5!$BK31))))),"")</f>
        <v>NO</v>
      </c>
      <c r="CT36" s="1122" t="str">
        <f>IFERROR(IF(HLOOKUP(CT$15,Data_5!$F$10:$BG$42,$A36+2,FALSE)="NO","NO",IF(HLOOKUP(CT$15,Data_5!$F$10:$BG$42,$A36+2,FALSE)="IE","IE",IF(HLOOKUP(CT$15,Data_5!$F$10:$BG$42,$A36+2,FALSE)="NE","NE",IF(HLOOKUP(CT$15,Data_5!$F$10:$BG$42,$A36+2,FALSE)="C","C",IF(HLOOKUP(CT$15,Data_5!$F$10:$BG$42,$A36+2,FALSE)="NO","NO",HLOOKUP(CT$15,Data_5!$F$10:$BG$42,$A36+2,FALSE)/Data_5!$BK31))))),"")</f>
        <v>NO</v>
      </c>
      <c r="CU36" s="1122" t="str">
        <f>IFERROR(IF(HLOOKUP(CU$15,Data_5!$F$10:$BG$42,$A36+2,FALSE)="NO","NO",IF(HLOOKUP(CU$15,Data_5!$F$10:$BG$42,$A36+2,FALSE)="IE","IE",IF(HLOOKUP(CU$15,Data_5!$F$10:$BG$42,$A36+2,FALSE)="NE","NE",IF(HLOOKUP(CU$15,Data_5!$F$10:$BG$42,$A36+2,FALSE)="C","C",IF(HLOOKUP(CU$15,Data_5!$F$10:$BG$42,$A36+2,FALSE)="NO","NO",HLOOKUP(CU$15,Data_5!$F$10:$BG$42,$A36+2,FALSE)/Data_5!$BK31))))),"")</f>
        <v>NO</v>
      </c>
      <c r="CV36" s="1122" t="str">
        <f>IFERROR(IF(HLOOKUP(CV$15,Data_5!$F$10:$BG$42,$A36+2,FALSE)="NO","NO",IF(HLOOKUP(CV$15,Data_5!$F$10:$BG$42,$A36+2,FALSE)="IE","IE",IF(HLOOKUP(CV$15,Data_5!$F$10:$BG$42,$A36+2,FALSE)="NE","NE",IF(HLOOKUP(CV$15,Data_5!$F$10:$BG$42,$A36+2,FALSE)="C","C",IF(HLOOKUP(CV$15,Data_5!$F$10:$BG$42,$A36+2,FALSE)="NO","NO",HLOOKUP(CV$15,Data_5!$F$10:$BG$42,$A36+2,FALSE)/Data_5!$BK31))))),"")</f>
        <v>NO</v>
      </c>
      <c r="CW36" s="1122">
        <f>IFERROR(IF(HLOOKUP(CW$15,Data_5!$F$10:$BG$42,$A36+2,FALSE)="NO","NO",IF(HLOOKUP(CW$15,Data_5!$F$10:$BG$42,$A36+2,FALSE)="IE","IE",IF(HLOOKUP(CW$15,Data_5!$F$10:$BG$42,$A36+2,FALSE)="NE","NE",IF(HLOOKUP(CW$15,Data_5!$F$10:$BG$42,$A36+2,FALSE)="C","C",IF(HLOOKUP(CW$15,Data_5!$F$10:$BG$42,$A36+2,FALSE)="NO","NO",HLOOKUP(CW$15,Data_5!$F$10:$BG$42,$A36+2,FALSE)/Data_5!$BK31))))),"")</f>
        <v>3.1613260704626694E-3</v>
      </c>
      <c r="CX36" s="1122">
        <f>IFERROR(IF(HLOOKUP(CX$15,Data_5!$F$10:$BG$42,$A36+2,FALSE)="NO","NO",IF(HLOOKUP(CX$15,Data_5!$F$10:$BG$42,$A36+2,FALSE)="IE","IE",IF(HLOOKUP(CX$15,Data_5!$F$10:$BG$42,$A36+2,FALSE)="NE","NE",IF(HLOOKUP(CX$15,Data_5!$F$10:$BG$42,$A36+2,FALSE)="C","C",IF(HLOOKUP(CX$15,Data_5!$F$10:$BG$42,$A36+2,FALSE)="NO","NO",HLOOKUP(CX$15,Data_5!$F$10:$BG$42,$A36+2,FALSE)/Data_5!$BK31))))),"")</f>
        <v>0.6054232870396894</v>
      </c>
      <c r="CY36" s="1122" t="str">
        <f>IFERROR(IF(HLOOKUP(CY$15,Data_5!$F$10:$BG$42,$A36+2,FALSE)="NO","NO",IF(HLOOKUP(CY$15,Data_5!$F$10:$BG$42,$A36+2,FALSE)="IE","IE",IF(HLOOKUP(CY$15,Data_5!$F$10:$BG$42,$A36+2,FALSE)="NE","NE",IF(HLOOKUP(CY$15,Data_5!$F$10:$BG$42,$A36+2,FALSE)="C","C",IF(HLOOKUP(CY$15,Data_5!$F$10:$BG$42,$A36+2,FALSE)="NO","NO",HLOOKUP(CY$15,Data_5!$F$10:$BG$42,$A36+2,FALSE)/Data_5!$BK31))))),"")</f>
        <v>NO</v>
      </c>
      <c r="CZ36" s="1122" t="str">
        <f>IFERROR(IF(HLOOKUP(CZ$15,Data_5!$F$10:$BG$42,$A36+2,FALSE)="NO","NO",IF(HLOOKUP(CZ$15,Data_5!$F$10:$BG$42,$A36+2,FALSE)="IE","IE",IF(HLOOKUP(CZ$15,Data_5!$F$10:$BG$42,$A36+2,FALSE)="NE","NE",IF(HLOOKUP(CZ$15,Data_5!$F$10:$BG$42,$A36+2,FALSE)="C","C",IF(HLOOKUP(CZ$15,Data_5!$F$10:$BG$42,$A36+2,FALSE)="NO","NO",HLOOKUP(CZ$15,Data_5!$F$10:$BG$42,$A36+2,FALSE)/Data_5!$BK31))))),"")</f>
        <v>NO</v>
      </c>
      <c r="DA36" s="1122" t="str">
        <f>IFERROR(IF(HLOOKUP(DA$15,Data_5!$F$10:$BG$42,$A36+2,FALSE)="NO","NO",IF(HLOOKUP(DA$15,Data_5!$F$10:$BG$42,$A36+2,FALSE)="IE","IE",IF(HLOOKUP(DA$15,Data_5!$F$10:$BG$42,$A36+2,FALSE)="NE","NE",IF(HLOOKUP(DA$15,Data_5!$F$10:$BG$42,$A36+2,FALSE)="C","C",IF(HLOOKUP(DA$15,Data_5!$F$10:$BG$42,$A36+2,FALSE)="NO","NO",HLOOKUP(DA$15,Data_5!$F$10:$BG$42,$A36+2,FALSE)/Data_5!$BK31))))),"")</f>
        <v>NO</v>
      </c>
      <c r="DB36" s="1122" t="str">
        <f>IFERROR(IF(HLOOKUP(DB$15,Data_5!$F$10:$BG$42,$A36+2,FALSE)="NO","NO",IF(HLOOKUP(DB$15,Data_5!$F$10:$BG$42,$A36+2,FALSE)="IE","IE",IF(HLOOKUP(DB$15,Data_5!$F$10:$BG$42,$A36+2,FALSE)="NE","NE",IF(HLOOKUP(DB$15,Data_5!$F$10:$BG$42,$A36+2,FALSE)="C","C",IF(HLOOKUP(DB$15,Data_5!$F$10:$BG$42,$A36+2,FALSE)="NO","NO",HLOOKUP(DB$15,Data_5!$F$10:$BG$42,$A36+2,FALSE)/Data_5!$BK31))))),"")</f>
        <v>IE</v>
      </c>
      <c r="DC36" s="1122" t="str">
        <f>IFERROR(IF(HLOOKUP(DC$15,Data_5!$F$10:$BG$42,$A36+2,FALSE)="NO","NO",IF(HLOOKUP(DC$15,Data_5!$F$10:$BG$42,$A36+2,FALSE)="IE","IE",IF(HLOOKUP(DC$15,Data_5!$F$10:$BG$42,$A36+2,FALSE)="NE","NE",IF(HLOOKUP(DC$15,Data_5!$F$10:$BG$42,$A36+2,FALSE)="C","C",IF(HLOOKUP(DC$15,Data_5!$F$10:$BG$42,$A36+2,FALSE)="NO","NO",HLOOKUP(DC$15,Data_5!$F$10:$BG$42,$A36+2,FALSE)/Data_5!$BK31))))),"")</f>
        <v>NO</v>
      </c>
      <c r="DD36" s="1122" t="str">
        <f>IFERROR(IF(HLOOKUP(DD$15,Data_5!$F$10:$BG$42,$A36+2,FALSE)="NO","NO",IF(HLOOKUP(DD$15,Data_5!$F$10:$BG$42,$A36+2,FALSE)="IE","IE",IF(HLOOKUP(DD$15,Data_5!$F$10:$BG$42,$A36+2,FALSE)="NE","NE",IF(HLOOKUP(DD$15,Data_5!$F$10:$BG$42,$A36+2,FALSE)="C","C",IF(HLOOKUP(DD$15,Data_5!$F$10:$BG$42,$A36+2,FALSE)="NO","NO",HLOOKUP(DD$15,Data_5!$F$10:$BG$42,$A36+2,FALSE)/Data_5!$BK31))))),"")</f>
        <v>NO</v>
      </c>
      <c r="DE36" s="1122" t="str">
        <f>IFERROR(IF(HLOOKUP(DE$15,Data_5!$F$10:$BG$42,$A36+2,FALSE)="NO","NO",IF(HLOOKUP(DE$15,Data_5!$F$10:$BG$42,$A36+2,FALSE)="IE","IE",IF(HLOOKUP(DE$15,Data_5!$F$10:$BG$42,$A36+2,FALSE)="NE","NE",IF(HLOOKUP(DE$15,Data_5!$F$10:$BG$42,$A36+2,FALSE)="C","C",IF(HLOOKUP(DE$15,Data_5!$F$10:$BG$42,$A36+2,FALSE)="NO","NO",HLOOKUP(DE$15,Data_5!$F$10:$BG$42,$A36+2,FALSE)/Data_5!$BK31))))),"")</f>
        <v>NO</v>
      </c>
      <c r="DF36" s="1122" t="str">
        <f>IFERROR(IF(HLOOKUP(DF$15,Data_5!$F$10:$BG$42,$A36+2,FALSE)="NO","NO",IF(HLOOKUP(DF$15,Data_5!$F$10:$BG$42,$A36+2,FALSE)="IE","IE",IF(HLOOKUP(DF$15,Data_5!$F$10:$BG$42,$A36+2,FALSE)="NE","NE",IF(HLOOKUP(DF$15,Data_5!$F$10:$BG$42,$A36+2,FALSE)="C","C",IF(HLOOKUP(DF$15,Data_5!$F$10:$BG$42,$A36+2,FALSE)="NO","NO",HLOOKUP(DF$15,Data_5!$F$10:$BG$42,$A36+2,FALSE)/Data_5!$BK31))))),"")</f>
        <v>NO</v>
      </c>
      <c r="DG36" s="1122" t="str">
        <f>IFERROR(IF(HLOOKUP(DG$15,Data_5!$F$10:$BG$42,$A36+2,FALSE)="NO","NO",IF(HLOOKUP(DG$15,Data_5!$F$10:$BG$42,$A36+2,FALSE)="IE","IE",IF(HLOOKUP(DG$15,Data_5!$F$10:$BG$42,$A36+2,FALSE)="NE","NE",IF(HLOOKUP(DG$15,Data_5!$F$10:$BG$42,$A36+2,FALSE)="C","C",IF(HLOOKUP(DG$15,Data_5!$F$10:$BG$42,$A36+2,FALSE)="NO","NO",HLOOKUP(DG$15,Data_5!$F$10:$BG$42,$A36+2,FALSE)/Data_5!$BK31))))),"")</f>
        <v>NO</v>
      </c>
      <c r="DH36" s="1122" t="str">
        <f>IFERROR(IF(HLOOKUP(DH$15,Data_5!$F$10:$BG$42,$A36+2,FALSE)="NO","NO",IF(HLOOKUP(DH$15,Data_5!$F$10:$BG$42,$A36+2,FALSE)="IE","IE",IF(HLOOKUP(DH$15,Data_5!$F$10:$BG$42,$A36+2,FALSE)="NE","NE",IF(HLOOKUP(DH$15,Data_5!$F$10:$BG$42,$A36+2,FALSE)="C","C",IF(HLOOKUP(DH$15,Data_5!$F$10:$BG$42,$A36+2,FALSE)="NO","NO",HLOOKUP(DH$15,Data_5!$F$10:$BG$42,$A36+2,FALSE)/Data_5!$BK31))))),"")</f>
        <v>NO</v>
      </c>
      <c r="DI36" s="1122">
        <f>IFERROR(IF(HLOOKUP(DI$15,Data_5!$F$10:$BG$42,$A36+2,FALSE)="NO","NO",IF(HLOOKUP(DI$15,Data_5!$F$10:$BG$42,$A36+2,FALSE)="IE","IE",IF(HLOOKUP(DI$15,Data_5!$F$10:$BG$42,$A36+2,FALSE)="NE","NE",IF(HLOOKUP(DI$15,Data_5!$F$10:$BG$42,$A36+2,FALSE)="C","C",IF(HLOOKUP(DI$15,Data_5!$F$10:$BG$42,$A36+2,FALSE)="NO","NO",HLOOKUP(DI$15,Data_5!$F$10:$BG$42,$A36+2,FALSE)/Data_5!$BK31))))),"")</f>
        <v>3.7481116579088122E-3</v>
      </c>
      <c r="DJ36" s="1122" t="str">
        <f>IFERROR(IF(HLOOKUP(DJ$15,Data_5!$F$10:$BG$42,$A36+2,FALSE)="NO","NO",IF(HLOOKUP(DJ$15,Data_5!$F$10:$BG$42,$A36+2,FALSE)="IE","IE",IF(HLOOKUP(DJ$15,Data_5!$F$10:$BG$42,$A36+2,FALSE)="NE","NE",IF(HLOOKUP(DJ$15,Data_5!$F$10:$BG$42,$A36+2,FALSE)="C","C",IF(HLOOKUP(DJ$15,Data_5!$F$10:$BG$42,$A36+2,FALSE)="NO","NO",HLOOKUP(DJ$15,Data_5!$F$10:$BG$42,$A36+2,FALSE)/Data_5!$BK31))))),"")</f>
        <v>NO</v>
      </c>
      <c r="DK36" s="1122" t="str">
        <f>IFERROR(IF(HLOOKUP(DK$15,Data_5!$F$10:$BG$42,$A36+2,FALSE)="NO","NO",IF(HLOOKUP(DK$15,Data_5!$F$10:$BG$42,$A36+2,FALSE)="IE","IE",IF(HLOOKUP(DK$15,Data_5!$F$10:$BG$42,$A36+2,FALSE)="NE","NE",IF(HLOOKUP(DK$15,Data_5!$F$10:$BG$42,$A36+2,FALSE)="C","C",IF(HLOOKUP(DK$15,Data_5!$F$10:$BG$42,$A36+2,FALSE)="NO","NO",HLOOKUP(DK$15,Data_5!$F$10:$BG$42,$A36+2,FALSE)/Data_5!$BK31))))),"")</f>
        <v>NE</v>
      </c>
      <c r="DL36" s="1122" t="str">
        <f>IFERROR(IF(HLOOKUP(DL$15,Data_5!$F$10:$BG$42,$A36+2,FALSE)="NO","NO",IF(HLOOKUP(DL$15,Data_5!$F$10:$BG$42,$A36+2,FALSE)="IE","IE",IF(HLOOKUP(DL$15,Data_5!$F$10:$BG$42,$A36+2,FALSE)="NE","NE",IF(HLOOKUP(DL$15,Data_5!$F$10:$BG$42,$A36+2,FALSE)="C","C",IF(HLOOKUP(DL$15,Data_5!$F$10:$BG$42,$A36+2,FALSE)="NO","NO",HLOOKUP(DL$15,Data_5!$F$10:$BG$42,$A36+2,FALSE)/Data_5!$BK31))))),"")</f>
        <v>NE</v>
      </c>
      <c r="DM36" s="1122" t="str">
        <f>IFERROR(IF(HLOOKUP(DM$15,Data_5!$F$10:$BG$42,$A36+2,FALSE)="NO","NO",IF(HLOOKUP(DM$15,Data_5!$F$10:$BG$42,$A36+2,FALSE)="IE","IE",IF(HLOOKUP(DM$15,Data_5!$F$10:$BG$42,$A36+2,FALSE)="NE","NE",IF(HLOOKUP(DM$15,Data_5!$F$10:$BG$42,$A36+2,FALSE)="C","C",IF(HLOOKUP(DM$15,Data_5!$F$10:$BG$42,$A36+2,FALSE)="NO","NO",HLOOKUP(DM$15,Data_5!$F$10:$BG$42,$A36+2,FALSE)/Data_5!$BK31))))),"")</f>
        <v>NE</v>
      </c>
      <c r="DN36" s="1122" t="str">
        <f>IFERROR(IF(HLOOKUP(DN$15,Data_5!$F$10:$BG$42,$A36+2,FALSE)="NO","NO",IF(HLOOKUP(DN$15,Data_5!$F$10:$BG$42,$A36+2,FALSE)="IE","IE",IF(HLOOKUP(DN$15,Data_5!$F$10:$BG$42,$A36+2,FALSE)="NE","NE",IF(HLOOKUP(DN$15,Data_5!$F$10:$BG$42,$A36+2,FALSE)="C","C",IF(HLOOKUP(DN$15,Data_5!$F$10:$BG$42,$A36+2,FALSE)="NO","NO",HLOOKUP(DN$15,Data_5!$F$10:$BG$42,$A36+2,FALSE)/Data_5!$BK31))))),"")</f>
        <v>NE</v>
      </c>
      <c r="DO36" s="1122" t="str">
        <f>IFERROR(IF(HLOOKUP(DO$15,Data_5!$F$10:$BG$42,$A36+2,FALSE)="NO","NO",IF(HLOOKUP(DO$15,Data_5!$F$10:$BG$42,$A36+2,FALSE)="IE","IE",IF(HLOOKUP(DO$15,Data_5!$F$10:$BG$42,$A36+2,FALSE)="NE","NE",IF(HLOOKUP(DO$15,Data_5!$F$10:$BG$42,$A36+2,FALSE)="C","C",IF(HLOOKUP(DO$15,Data_5!$F$10:$BG$42,$A36+2,FALSE)="NO","NO",HLOOKUP(DO$15,Data_5!$F$10:$BG$42,$A36+2,FALSE)/Data_5!$BK31))))),"")</f>
        <v>NE</v>
      </c>
    </row>
    <row r="37" spans="1:119" s="15" customFormat="1" ht="15" customHeight="1">
      <c r="A37" s="1789">
        <v>21</v>
      </c>
      <c r="B37" s="2628" t="str">
        <f>IF(Data_5!B32&lt;&gt;"",Data_5!B32,"")</f>
        <v>Quito</v>
      </c>
      <c r="C37" s="2629"/>
      <c r="D37" s="1462">
        <f>IFERROR(VLOOKUP($B37,Data_5!$B$12:$C$42,2,FALSE),"")</f>
        <v>2011</v>
      </c>
      <c r="E37" s="1122">
        <f>IFERROR(IF(HLOOKUP(E$15,Data_5!$F$10:$BG$42,$A37+2,FALSE)="NO","NO",IF(HLOOKUP(E$15,Data_5!$F$10:$BG$42,$A37+2,FALSE)="IE","IE",IF(HLOOKUP(E$15,Data_5!$F$10:$BG$42,$A37+2,FALSE)="NE","NE",IF(HLOOKUP(E$15,Data_5!$F$10:$BG$42,$A37+2,FALSE)="C","C",IF(HLOOKUP(E$15,Data_5!$F$10:$BG$42,$A37+2,FALSE)="NO","NO",HLOOKUP(E$15,Data_5!$F$10:$BG$42,$A37+2,FALSE)/Data_5!$BH32))))),"")</f>
        <v>0.10889416655611209</v>
      </c>
      <c r="F37" s="1122">
        <f>IFERROR(IF(HLOOKUP(F$15,Data_5!$F$10:$BG$42,$A37+2,FALSE)="NO","NO",IF(HLOOKUP(F$15,Data_5!$F$10:$BG$42,$A37+2,FALSE)="IE","IE",IF(HLOOKUP(F$15,Data_5!$F$10:$BG$42,$A37+2,FALSE)="NE","NE",IF(HLOOKUP(F$15,Data_5!$F$10:$BG$42,$A37+2,FALSE)="C","C",IF(HLOOKUP(F$15,Data_5!$F$10:$BG$42,$A37+2,FALSE)="NO","NO",HLOOKUP(F$15,Data_5!$F$10:$BG$42,$A37+2,FALSE)/Data_5!$BH32))))),"")</f>
        <v>4.5098934482313731E-2</v>
      </c>
      <c r="G37" s="1122" t="str">
        <f>IFERROR(IF(HLOOKUP(G$15,Data_5!$F$10:$BG$42,$A37+2,FALSE)="NO","NO",IF(HLOOKUP(G$15,Data_5!$F$10:$BG$42,$A37+2,FALSE)="IE","IE",IF(HLOOKUP(G$15,Data_5!$F$10:$BG$42,$A37+2,FALSE)="NE","NE",IF(HLOOKUP(G$15,Data_5!$F$10:$BG$42,$A37+2,FALSE)="C","C",IF(HLOOKUP(G$15,Data_5!$F$10:$BG$42,$A37+2,FALSE)="NO","NO",HLOOKUP(G$15,Data_5!$F$10:$BG$42,$A37+2,FALSE)/Data_5!$BH32))))),"")</f>
        <v>IE</v>
      </c>
      <c r="H37" s="1122">
        <f>IFERROR(IF(HLOOKUP(H$15,Data_5!$F$10:$BG$42,$A37+2,FALSE)="NO","NO",IF(HLOOKUP(H$15,Data_5!$F$10:$BG$42,$A37+2,FALSE)="IE","IE",IF(HLOOKUP(H$15,Data_5!$F$10:$BG$42,$A37+2,FALSE)="NE","NE",IF(HLOOKUP(H$15,Data_5!$F$10:$BG$42,$A37+2,FALSE)="C","C",IF(HLOOKUP(H$15,Data_5!$F$10:$BG$42,$A37+2,FALSE)="NO","NO",HLOOKUP(H$15,Data_5!$F$10:$BG$42,$A37+2,FALSE)/Data_5!$BH32))))),"")</f>
        <v>4.3217053215656165E-2</v>
      </c>
      <c r="I37" s="1122">
        <f>IFERROR(IF(HLOOKUP(I$15,Data_5!$F$10:$BG$42,$A37+2,FALSE)="NO","NO",IF(HLOOKUP(I$15,Data_5!$F$10:$BG$42,$A37+2,FALSE)="IE","IE",IF(HLOOKUP(I$15,Data_5!$F$10:$BG$42,$A37+2,FALSE)="NE","NE",IF(HLOOKUP(I$15,Data_5!$F$10:$BG$42,$A37+2,FALSE)="C","C",IF(HLOOKUP(I$15,Data_5!$F$10:$BG$42,$A37+2,FALSE)="NO","NO",HLOOKUP(I$15,Data_5!$F$10:$BG$42,$A37+2,FALSE)/Data_5!$BH32))))),"")</f>
        <v>8.9495921995954686E-2</v>
      </c>
      <c r="J37" s="1122">
        <f>IFERROR(IF(HLOOKUP(J$15,Data_5!$F$10:$BG$42,$A37+2,FALSE)="NO","NO",IF(HLOOKUP(J$15,Data_5!$F$10:$BG$42,$A37+2,FALSE)="IE","IE",IF(HLOOKUP(J$15,Data_5!$F$10:$BG$42,$A37+2,FALSE)="NE","NE",IF(HLOOKUP(J$15,Data_5!$F$10:$BG$42,$A37+2,FALSE)="C","C",IF(HLOOKUP(J$15,Data_5!$F$10:$BG$42,$A37+2,FALSE)="NO","NO",HLOOKUP(J$15,Data_5!$F$10:$BG$42,$A37+2,FALSE)/Data_5!$BH32))))),"")</f>
        <v>2.375398242585831E-2</v>
      </c>
      <c r="K37" s="1122" t="str">
        <f>IFERROR(IF(HLOOKUP(K$15,Data_5!$F$10:$BG$42,$A37+2,FALSE)="NO","NO",IF(HLOOKUP(K$15,Data_5!$F$10:$BG$42,$A37+2,FALSE)="IE","IE",IF(HLOOKUP(K$15,Data_5!$F$10:$BG$42,$A37+2,FALSE)="NE","NE",IF(HLOOKUP(K$15,Data_5!$F$10:$BG$42,$A37+2,FALSE)="C","C",IF(HLOOKUP(K$15,Data_5!$F$10:$BG$42,$A37+2,FALSE)="NO","NO",HLOOKUP(K$15,Data_5!$F$10:$BG$42,$A37+2,FALSE)/Data_5!$BH32))))),"")</f>
        <v>IE</v>
      </c>
      <c r="L37" s="1122" t="str">
        <f>IFERROR(IF(HLOOKUP(L$15,Data_5!$F$10:$BG$42,$A37+2,FALSE)="NO","NO",IF(HLOOKUP(L$15,Data_5!$F$10:$BG$42,$A37+2,FALSE)="IE","IE",IF(HLOOKUP(L$15,Data_5!$F$10:$BG$42,$A37+2,FALSE)="NE","NE",IF(HLOOKUP(L$15,Data_5!$F$10:$BG$42,$A37+2,FALSE)="C","C",IF(HLOOKUP(L$15,Data_5!$F$10:$BG$42,$A37+2,FALSE)="NO","NO",HLOOKUP(L$15,Data_5!$F$10:$BG$42,$A37+2,FALSE)/Data_5!$BH32))))),"")</f>
        <v>IE</v>
      </c>
      <c r="M37" s="1122" t="str">
        <f>IFERROR(IF(HLOOKUP(M$15,Data_5!$F$10:$BG$42,$A37+2,FALSE)="NO","NO",IF(HLOOKUP(M$15,Data_5!$F$10:$BG$42,$A37+2,FALSE)="IE","IE",IF(HLOOKUP(M$15,Data_5!$F$10:$BG$42,$A37+2,FALSE)="NE","NE",IF(HLOOKUP(M$15,Data_5!$F$10:$BG$42,$A37+2,FALSE)="C","C",IF(HLOOKUP(M$15,Data_5!$F$10:$BG$42,$A37+2,FALSE)="NO","NO",HLOOKUP(M$15,Data_5!$F$10:$BG$42,$A37+2,FALSE)/Data_5!$BH32))))),"")</f>
        <v>NO</v>
      </c>
      <c r="N37" s="1122" t="str">
        <f>IFERROR(IF(HLOOKUP(N$15,Data_5!$F$10:$BG$42,$A37+2,FALSE)="NO","NO",IF(HLOOKUP(N$15,Data_5!$F$10:$BG$42,$A37+2,FALSE)="IE","IE",IF(HLOOKUP(N$15,Data_5!$F$10:$BG$42,$A37+2,FALSE)="NE","NE",IF(HLOOKUP(N$15,Data_5!$F$10:$BG$42,$A37+2,FALSE)="C","C",IF(HLOOKUP(N$15,Data_5!$F$10:$BG$42,$A37+2,FALSE)="NO","NO",HLOOKUP(N$15,Data_5!$F$10:$BG$42,$A37+2,FALSE)/Data_5!$BH32))))),"")</f>
        <v>NO</v>
      </c>
      <c r="O37" s="1122" t="str">
        <f>IFERROR(IF(HLOOKUP(O$15,Data_5!$F$10:$BG$42,$A37+2,FALSE)="NO","NO",IF(HLOOKUP(O$15,Data_5!$F$10:$BG$42,$A37+2,FALSE)="IE","IE",IF(HLOOKUP(O$15,Data_5!$F$10:$BG$42,$A37+2,FALSE)="NE","NE",IF(HLOOKUP(O$15,Data_5!$F$10:$BG$42,$A37+2,FALSE)="C","C",IF(HLOOKUP(O$15,Data_5!$F$10:$BG$42,$A37+2,FALSE)="NO","NO",HLOOKUP(O$15,Data_5!$F$10:$BG$42,$A37+2,FALSE)/Data_5!$BH32))))),"")</f>
        <v>NO</v>
      </c>
      <c r="P37" s="1122" t="str">
        <f>IFERROR(IF(HLOOKUP(P$15,Data_5!$F$10:$BG$42,$A37+2,FALSE)="NO","NO",IF(HLOOKUP(P$15,Data_5!$F$10:$BG$42,$A37+2,FALSE)="IE","IE",IF(HLOOKUP(P$15,Data_5!$F$10:$BG$42,$A37+2,FALSE)="NE","NE",IF(HLOOKUP(P$15,Data_5!$F$10:$BG$42,$A37+2,FALSE)="C","C",IF(HLOOKUP(P$15,Data_5!$F$10:$BG$42,$A37+2,FALSE)="NO","NO",HLOOKUP(P$15,Data_5!$F$10:$BG$42,$A37+2,FALSE)/Data_5!$BH32))))),"")</f>
        <v>NO</v>
      </c>
      <c r="Q37" s="1122" t="str">
        <f>IFERROR(IF(HLOOKUP(Q$15,Data_5!$F$10:$BG$42,$A37+2,FALSE)="NO","NO",IF(HLOOKUP(Q$15,Data_5!$F$10:$BG$42,$A37+2,FALSE)="IE","IE",IF(HLOOKUP(Q$15,Data_5!$F$10:$BG$42,$A37+2,FALSE)="NE","NE",IF(HLOOKUP(Q$15,Data_5!$F$10:$BG$42,$A37+2,FALSE)="C","C",IF(HLOOKUP(Q$15,Data_5!$F$10:$BG$42,$A37+2,FALSE)="NO","NO",HLOOKUP(Q$15,Data_5!$F$10:$BG$42,$A37+2,FALSE)/Data_5!$BH32))))),"")</f>
        <v>NO</v>
      </c>
      <c r="R37" s="1122" t="str">
        <f>IFERROR(IF(HLOOKUP(R$15,Data_5!$F$10:$BG$42,$A37+2,FALSE)="NO","NO",IF(HLOOKUP(R$15,Data_5!$F$10:$BG$42,$A37+2,FALSE)="IE","IE",IF(HLOOKUP(R$15,Data_5!$F$10:$BG$42,$A37+2,FALSE)="NE","NE",IF(HLOOKUP(R$15,Data_5!$F$10:$BG$42,$A37+2,FALSE)="C","C",IF(HLOOKUP(R$15,Data_5!$F$10:$BG$42,$A37+2,FALSE)="NO","NO",HLOOKUP(R$15,Data_5!$F$10:$BG$42,$A37+2,FALSE)/Data_5!$BH32))))),"")</f>
        <v>NO</v>
      </c>
      <c r="S37" s="1122">
        <f>IFERROR(IF(HLOOKUP(S$15,Data_5!$F$10:$BG$42,$A37+2,FALSE)="NO","NO",IF(HLOOKUP(S$15,Data_5!$F$10:$BG$42,$A37+2,FALSE)="IE","IE",IF(HLOOKUP(S$15,Data_5!$F$10:$BG$42,$A37+2,FALSE)="NE","NE",IF(HLOOKUP(S$15,Data_5!$F$10:$BG$42,$A37+2,FALSE)="C","C",IF(HLOOKUP(S$15,Data_5!$F$10:$BG$42,$A37+2,FALSE)="NO","NO",HLOOKUP(S$15,Data_5!$F$10:$BG$42,$A37+2,FALSE)/Data_5!$BH32))))),"")</f>
        <v>0.56143277252808621</v>
      </c>
      <c r="T37" s="1122">
        <f>IFERROR(IF(HLOOKUP(T$15,Data_5!$F$10:$BG$42,$A37+2,FALSE)="NO","NO",IF(HLOOKUP(T$15,Data_5!$F$10:$BG$42,$A37+2,FALSE)="IE","IE",IF(HLOOKUP(T$15,Data_5!$F$10:$BG$42,$A37+2,FALSE)="NE","NE",IF(HLOOKUP(T$15,Data_5!$F$10:$BG$42,$A37+2,FALSE)="C","C",IF(HLOOKUP(T$15,Data_5!$F$10:$BG$42,$A37+2,FALSE)="NO","NO",HLOOKUP(T$15,Data_5!$F$10:$BG$42,$A37+2,FALSE)/Data_5!$BH32))))),"")</f>
        <v>9.1195790554108067E-5</v>
      </c>
      <c r="U37" s="1122" t="str">
        <f>IFERROR(IF(HLOOKUP(U$15,Data_5!$F$10:$BG$42,$A37+2,FALSE)="NO","NO",IF(HLOOKUP(U$15,Data_5!$F$10:$BG$42,$A37+2,FALSE)="IE","IE",IF(HLOOKUP(U$15,Data_5!$F$10:$BG$42,$A37+2,FALSE)="NE","NE",IF(HLOOKUP(U$15,Data_5!$F$10:$BG$42,$A37+2,FALSE)="C","C",IF(HLOOKUP(U$15,Data_5!$F$10:$BG$42,$A37+2,FALSE)="NO","NO",HLOOKUP(U$15,Data_5!$F$10:$BG$42,$A37+2,FALSE)/Data_5!$BH32))))),"")</f>
        <v>NO</v>
      </c>
      <c r="V37" s="1122" t="str">
        <f>IFERROR(IF(HLOOKUP(V$15,Data_5!$F$10:$BG$42,$A37+2,FALSE)="NO","NO",IF(HLOOKUP(V$15,Data_5!$F$10:$BG$42,$A37+2,FALSE)="IE","IE",IF(HLOOKUP(V$15,Data_5!$F$10:$BG$42,$A37+2,FALSE)="NE","NE",IF(HLOOKUP(V$15,Data_5!$F$10:$BG$42,$A37+2,FALSE)="C","C",IF(HLOOKUP(V$15,Data_5!$F$10:$BG$42,$A37+2,FALSE)="NO","NO",HLOOKUP(V$15,Data_5!$F$10:$BG$42,$A37+2,FALSE)/Data_5!$BH32))))),"")</f>
        <v>NO</v>
      </c>
      <c r="W37" s="1122" t="str">
        <f>IFERROR(IF(HLOOKUP(W$15,Data_5!$F$10:$BG$42,$A37+2,FALSE)="NO","NO",IF(HLOOKUP(W$15,Data_5!$F$10:$BG$42,$A37+2,FALSE)="IE","IE",IF(HLOOKUP(W$15,Data_5!$F$10:$BG$42,$A37+2,FALSE)="NE","NE",IF(HLOOKUP(W$15,Data_5!$F$10:$BG$42,$A37+2,FALSE)="C","C",IF(HLOOKUP(W$15,Data_5!$F$10:$BG$42,$A37+2,FALSE)="NO","NO",HLOOKUP(W$15,Data_5!$F$10:$BG$42,$A37+2,FALSE)/Data_5!$BH32))))),"")</f>
        <v>NO</v>
      </c>
      <c r="X37" s="1122" t="str">
        <f>IFERROR(IF(HLOOKUP(X$15,Data_5!$F$10:$BG$42,$A37+2,FALSE)="NO","NO",IF(HLOOKUP(X$15,Data_5!$F$10:$BG$42,$A37+2,FALSE)="IE","IE",IF(HLOOKUP(X$15,Data_5!$F$10:$BG$42,$A37+2,FALSE)="NE","NE",IF(HLOOKUP(X$15,Data_5!$F$10:$BG$42,$A37+2,FALSE)="C","C",IF(HLOOKUP(X$15,Data_5!$F$10:$BG$42,$A37+2,FALSE)="NO","NO",HLOOKUP(X$15,Data_5!$F$10:$BG$42,$A37+2,FALSE)/Data_5!$BH32))))),"")</f>
        <v>NO</v>
      </c>
      <c r="Y37" s="1122" t="str">
        <f>IFERROR(IF(HLOOKUP(Y$15,Data_5!$F$10:$BG$42,$A37+2,FALSE)="NO","NO",IF(HLOOKUP(Y$15,Data_5!$F$10:$BG$42,$A37+2,FALSE)="IE","IE",IF(HLOOKUP(Y$15,Data_5!$F$10:$BG$42,$A37+2,FALSE)="NE","NE",IF(HLOOKUP(Y$15,Data_5!$F$10:$BG$42,$A37+2,FALSE)="C","C",IF(HLOOKUP(Y$15,Data_5!$F$10:$BG$42,$A37+2,FALSE)="NO","NO",HLOOKUP(Y$15,Data_5!$F$10:$BG$42,$A37+2,FALSE)/Data_5!$BH32))))),"")</f>
        <v>NO</v>
      </c>
      <c r="Z37" s="1122" t="str">
        <f>IFERROR(IF(HLOOKUP(Z$15,Data_5!$F$10:$BG$42,$A37+2,FALSE)="NO","NO",IF(HLOOKUP(Z$15,Data_5!$F$10:$BG$42,$A37+2,FALSE)="IE","IE",IF(HLOOKUP(Z$15,Data_5!$F$10:$BG$42,$A37+2,FALSE)="NE","NE",IF(HLOOKUP(Z$15,Data_5!$F$10:$BG$42,$A37+2,FALSE)="C","C",IF(HLOOKUP(Z$15,Data_5!$F$10:$BG$42,$A37+2,FALSE)="NO","NO",HLOOKUP(Z$15,Data_5!$F$10:$BG$42,$A37+2,FALSE)/Data_5!$BH32))))),"")</f>
        <v>NO</v>
      </c>
      <c r="AA37" s="1122" t="str">
        <f>IFERROR(IF(HLOOKUP(AA$15,Data_5!$F$10:$BG$42,$A37+2,FALSE)="NO","NO",IF(HLOOKUP(AA$15,Data_5!$F$10:$BG$42,$A37+2,FALSE)="IE","IE",IF(HLOOKUP(AA$15,Data_5!$F$10:$BG$42,$A37+2,FALSE)="NE","NE",IF(HLOOKUP(AA$15,Data_5!$F$10:$BG$42,$A37+2,FALSE)="C","C",IF(HLOOKUP(AA$15,Data_5!$F$10:$BG$42,$A37+2,FALSE)="NO","NO",HLOOKUP(AA$15,Data_5!$F$10:$BG$42,$A37+2,FALSE)/Data_5!$BH32))))),"")</f>
        <v>IE</v>
      </c>
      <c r="AB37" s="1122" t="str">
        <f>IFERROR(IF(HLOOKUP(AB$15,Data_5!$F$10:$BG$42,$A37+2,FALSE)="NO","NO",IF(HLOOKUP(AB$15,Data_5!$F$10:$BG$42,$A37+2,FALSE)="IE","IE",IF(HLOOKUP(AB$15,Data_5!$F$10:$BG$42,$A37+2,FALSE)="NE","NE",IF(HLOOKUP(AB$15,Data_5!$F$10:$BG$42,$A37+2,FALSE)="C","C",IF(HLOOKUP(AB$15,Data_5!$F$10:$BG$42,$A37+2,FALSE)="NO","NO",HLOOKUP(AB$15,Data_5!$F$10:$BG$42,$A37+2,FALSE)/Data_5!$BH32))))),"")</f>
        <v>NO</v>
      </c>
      <c r="AC37" s="1122">
        <f>IFERROR(IF(HLOOKUP(AC$15,Data_5!$F$10:$BG$42,$A37+2,FALSE)="NO","NO",IF(HLOOKUP(AC$15,Data_5!$F$10:$BG$42,$A37+2,FALSE)="IE","IE",IF(HLOOKUP(AC$15,Data_5!$F$10:$BG$42,$A37+2,FALSE)="NE","NE",IF(HLOOKUP(AC$15,Data_5!$F$10:$BG$42,$A37+2,FALSE)="C","C",IF(HLOOKUP(AC$15,Data_5!$F$10:$BG$42,$A37+2,FALSE)="NO","NO",HLOOKUP(AC$15,Data_5!$F$10:$BG$42,$A37+2,FALSE)/Data_5!$BH32))))),"")</f>
        <v>0.12751363669666074</v>
      </c>
      <c r="AD37" s="1122" t="str">
        <f>IFERROR(IF(HLOOKUP(AD$15,Data_5!$F$10:$BG$42,$A37+2,FALSE)="NO","NO",IF(HLOOKUP(AD$15,Data_5!$F$10:$BG$42,$A37+2,FALSE)="IE","IE",IF(HLOOKUP(AD$15,Data_5!$F$10:$BG$42,$A37+2,FALSE)="NE","NE",IF(HLOOKUP(AD$15,Data_5!$F$10:$BG$42,$A37+2,FALSE)="C","C",IF(HLOOKUP(AD$15,Data_5!$F$10:$BG$42,$A37+2,FALSE)="NO","NO",HLOOKUP(AD$15,Data_5!$F$10:$BG$42,$A37+2,FALSE)/Data_5!$BH32))))),"")</f>
        <v>NO</v>
      </c>
      <c r="AE37" s="1122" t="str">
        <f>IFERROR(IF(HLOOKUP(AE$15,Data_5!$F$10:$BG$42,$A37+2,FALSE)="NO","NO",IF(HLOOKUP(AE$15,Data_5!$F$10:$BG$42,$A37+2,FALSE)="IE","IE",IF(HLOOKUP(AE$15,Data_5!$F$10:$BG$42,$A37+2,FALSE)="NE","NE",IF(HLOOKUP(AE$15,Data_5!$F$10:$BG$42,$A37+2,FALSE)="C","C",IF(HLOOKUP(AE$15,Data_5!$F$10:$BG$42,$A37+2,FALSE)="NO","NO",HLOOKUP(AE$15,Data_5!$F$10:$BG$42,$A37+2,FALSE)/Data_5!$BH32))))),"")</f>
        <v>NO</v>
      </c>
      <c r="AF37" s="1122" t="str">
        <f>IFERROR(IF(HLOOKUP(AF$15,Data_5!$F$10:$BG$42,$A37+2,FALSE)="NO","NO",IF(HLOOKUP(AF$15,Data_5!$F$10:$BG$42,$A37+2,FALSE)="IE","IE",IF(HLOOKUP(AF$15,Data_5!$F$10:$BG$42,$A37+2,FALSE)="NE","NE",IF(HLOOKUP(AF$15,Data_5!$F$10:$BG$42,$A37+2,FALSE)="C","C",IF(HLOOKUP(AF$15,Data_5!$F$10:$BG$42,$A37+2,FALSE)="NO","NO",HLOOKUP(AF$15,Data_5!$F$10:$BG$42,$A37+2,FALSE)/Data_5!$BH32))))),"")</f>
        <v>NO</v>
      </c>
      <c r="AG37" s="1122">
        <f>IFERROR(IF(HLOOKUP(AG$15,Data_5!$F$10:$BG$42,$A37+2,FALSE)="NO","NO",IF(HLOOKUP(AG$15,Data_5!$F$10:$BG$42,$A37+2,FALSE)="IE","IE",IF(HLOOKUP(AG$15,Data_5!$F$10:$BG$42,$A37+2,FALSE)="NE","NE",IF(HLOOKUP(AG$15,Data_5!$F$10:$BG$42,$A37+2,FALSE)="C","C",IF(HLOOKUP(AG$15,Data_5!$F$10:$BG$42,$A37+2,FALSE)="NO","NO",HLOOKUP(AG$15,Data_5!$F$10:$BG$42,$A37+2,FALSE)/Data_5!$BH32))))),"")</f>
        <v>5.0233630880387086E-4</v>
      </c>
      <c r="AH37" s="1122" t="str">
        <f>IFERROR(IF(HLOOKUP(AH$15,Data_5!$F$10:$BG$42,$A37+2,FALSE)="NO","NO",IF(HLOOKUP(AH$15,Data_5!$F$10:$BG$42,$A37+2,FALSE)="IE","IE",IF(HLOOKUP(AH$15,Data_5!$F$10:$BG$42,$A37+2,FALSE)="NE","NE",IF(HLOOKUP(AH$15,Data_5!$F$10:$BG$42,$A37+2,FALSE)="C","C",IF(HLOOKUP(AH$15,Data_5!$F$10:$BG$42,$A37+2,FALSE)="NO","NO",HLOOKUP(AH$15,Data_5!$F$10:$BG$42,$A37+2,FALSE)/Data_5!$BH32))))),"")</f>
        <v>NO</v>
      </c>
      <c r="AI37" s="1122">
        <f>IFERROR(IF(HLOOKUP(AI$15,Data_5!$F$10:$BG$42,$A37+2,FALSE)="NO","NO",IF(HLOOKUP(AI$15,Data_5!$F$10:$BG$42,$A37+2,FALSE)="IE","IE",IF(HLOOKUP(AI$15,Data_5!$F$10:$BG$42,$A37+2,FALSE)="NE","NE",IF(HLOOKUP(AI$15,Data_5!$F$10:$BG$42,$A37+2,FALSE)="C","C",IF(HLOOKUP(AI$15,Data_5!$F$10:$BG$42,$A37+2,FALSE)="NO","NO",HLOOKUP(AI$15,Data_5!$F$10:$BG$42,$A37+2,FALSE)/Data_5!$BH32))))),"")</f>
        <v>0</v>
      </c>
      <c r="AJ37" s="1122" t="str">
        <f>IFERROR(IF(HLOOKUP(AJ$15,Data_5!$F$10:$BG$42,$A37+2,FALSE)="NO","NO",IF(HLOOKUP(AJ$15,Data_5!$F$10:$BG$42,$A37+2,FALSE)="IE","IE",IF(HLOOKUP(AJ$15,Data_5!$F$10:$BG$42,$A37+2,FALSE)="NE","NE",IF(HLOOKUP(AJ$15,Data_5!$F$10:$BG$42,$A37+2,FALSE)="C","C",IF(HLOOKUP(AJ$15,Data_5!$F$10:$BG$42,$A37+2,FALSE)="NO","NO",HLOOKUP(AJ$15,Data_5!$F$10:$BG$42,$A37+2,FALSE)/Data_5!$BH32))))),"")</f>
        <v>NO</v>
      </c>
      <c r="AL37" s="2628" t="str">
        <f t="shared" si="0"/>
        <v>Quito</v>
      </c>
      <c r="AM37" s="2629"/>
      <c r="AN37" s="1100">
        <f t="shared" si="1"/>
        <v>2011</v>
      </c>
      <c r="AO37" s="1122" t="str">
        <f>IFERROR(IF(VLOOKUP($AL37,Data_5!$B$12:$E$42,4,FALSE)="BASIC","",(IF(HLOOKUP(AO$15,Data_5!$F$10:$BG$42,$A37+2,FALSE)="NO","NO",IF(HLOOKUP(AO$15,Data_5!$F$10:$BG$42,$A37+2,FALSE)="IE","IE",IF(HLOOKUP(AO$15,Data_5!$F$10:$BG$42,$A37+2,FALSE)="NE","NE",IF(HLOOKUP(AO$15,Data_5!$F$10:$BG$42,$A37+2,FALSE)="C","C",IF(HLOOKUP(AO$15,Data_5!$F$10:$BG$42,$A37+2,FALSE)="NO","NO",HLOOKUP(AO$15,Data_5!$F$10:$BG$42,$A37+2,FALSE)/Data_5!$BI32))))))),"")</f>
        <v/>
      </c>
      <c r="AP37" s="1122" t="str">
        <f>IFERROR(IF(VLOOKUP($AL37,Data_5!$B$12:$E$42,4,FALSE)="BASIC","",(IF(HLOOKUP(AP$15,Data_5!$F$10:$BG$42,$A37+2,FALSE)="NO","NO",IF(HLOOKUP(AP$15,Data_5!$F$10:$BG$42,$A37+2,FALSE)="IE","IE",IF(HLOOKUP(AP$15,Data_5!$F$10:$BG$42,$A37+2,FALSE)="NE","NE",IF(HLOOKUP(AP$15,Data_5!$F$10:$BG$42,$A37+2,FALSE)="C","C",IF(HLOOKUP(AP$15,Data_5!$F$10:$BG$42,$A37+2,FALSE)="NO","NO",HLOOKUP(AP$15,Data_5!$F$10:$BG$42,$A37+2,FALSE)/Data_5!$BI32))))))),"")</f>
        <v/>
      </c>
      <c r="AQ37" s="1122" t="str">
        <f>IFERROR(IF(VLOOKUP($AL37,Data_5!$B$12:$E$42,4,FALSE)="BASIC","",(IF(HLOOKUP(AQ$15,Data_5!$F$10:$BG$42,$A37+2,FALSE)="NO","NO",IF(HLOOKUP(AQ$15,Data_5!$F$10:$BG$42,$A37+2,FALSE)="IE","IE",IF(HLOOKUP(AQ$15,Data_5!$F$10:$BG$42,$A37+2,FALSE)="NE","NE",IF(HLOOKUP(AQ$15,Data_5!$F$10:$BG$42,$A37+2,FALSE)="C","C",IF(HLOOKUP(AQ$15,Data_5!$F$10:$BG$42,$A37+2,FALSE)="NO","NO",HLOOKUP(AQ$15,Data_5!$F$10:$BG$42,$A37+2,FALSE)/Data_5!$BI32))))))),"")</f>
        <v/>
      </c>
      <c r="AR37" s="1122" t="str">
        <f>IFERROR(IF(VLOOKUP($AL37,Data_5!$B$12:$E$42,4,FALSE)="BASIC","",(IF(HLOOKUP(AR$15,Data_5!$F$10:$BG$42,$A37+2,FALSE)="NO","NO",IF(HLOOKUP(AR$15,Data_5!$F$10:$BG$42,$A37+2,FALSE)="IE","IE",IF(HLOOKUP(AR$15,Data_5!$F$10:$BG$42,$A37+2,FALSE)="NE","NE",IF(HLOOKUP(AR$15,Data_5!$F$10:$BG$42,$A37+2,FALSE)="C","C",IF(HLOOKUP(AR$15,Data_5!$F$10:$BG$42,$A37+2,FALSE)="NO","NO",HLOOKUP(AR$15,Data_5!$F$10:$BG$42,$A37+2,FALSE)/Data_5!$BI32))))))),"")</f>
        <v/>
      </c>
      <c r="AS37" s="1122" t="str">
        <f>IFERROR(IF(VLOOKUP($AL37,Data_5!$B$12:$E$42,4,FALSE)="BASIC","",(IF(HLOOKUP(AS$15,Data_5!$F$10:$BG$42,$A37+2,FALSE)="NO","NO",IF(HLOOKUP(AS$15,Data_5!$F$10:$BG$42,$A37+2,FALSE)="IE","IE",IF(HLOOKUP(AS$15,Data_5!$F$10:$BG$42,$A37+2,FALSE)="NE","NE",IF(HLOOKUP(AS$15,Data_5!$F$10:$BG$42,$A37+2,FALSE)="C","C",IF(HLOOKUP(AS$15,Data_5!$F$10:$BG$42,$A37+2,FALSE)="NO","NO",HLOOKUP(AS$15,Data_5!$F$10:$BG$42,$A37+2,FALSE)/Data_5!$BI32))))))),"")</f>
        <v/>
      </c>
      <c r="AT37" s="1122" t="str">
        <f>IFERROR(IF(VLOOKUP($AL37,Data_5!$B$12:$E$42,4,FALSE)="BASIC","",(IF(HLOOKUP(AT$15,Data_5!$F$10:$BG$42,$A37+2,FALSE)="NO","NO",IF(HLOOKUP(AT$15,Data_5!$F$10:$BG$42,$A37+2,FALSE)="IE","IE",IF(HLOOKUP(AT$15,Data_5!$F$10:$BG$42,$A37+2,FALSE)="NE","NE",IF(HLOOKUP(AT$15,Data_5!$F$10:$BG$42,$A37+2,FALSE)="C","C",IF(HLOOKUP(AT$15,Data_5!$F$10:$BG$42,$A37+2,FALSE)="NO","NO",HLOOKUP(AT$15,Data_5!$F$10:$BG$42,$A37+2,FALSE)/Data_5!$BI32))))))),"")</f>
        <v/>
      </c>
      <c r="AU37" s="1122" t="str">
        <f>IFERROR(IF(VLOOKUP($AL37,Data_5!$B$12:$E$42,4,FALSE)="BASIC","",(IF(HLOOKUP(AU$15,Data_5!$F$10:$BG$42,$A37+2,FALSE)="NO","NO",IF(HLOOKUP(AU$15,Data_5!$F$10:$BG$42,$A37+2,FALSE)="IE","IE",IF(HLOOKUP(AU$15,Data_5!$F$10:$BG$42,$A37+2,FALSE)="NE","NE",IF(HLOOKUP(AU$15,Data_5!$F$10:$BG$42,$A37+2,FALSE)="C","C",IF(HLOOKUP(AU$15,Data_5!$F$10:$BG$42,$A37+2,FALSE)="NO","NO",HLOOKUP(AU$15,Data_5!$F$10:$BG$42,$A37+2,FALSE)/Data_5!$BI32))))))),"")</f>
        <v/>
      </c>
      <c r="AV37" s="1122" t="str">
        <f>IFERROR(IF(VLOOKUP($AL37,Data_5!$B$12:$E$42,4,FALSE)="BASIC","",(IF(HLOOKUP(AV$15,Data_5!$F$10:$BG$42,$A37+2,FALSE)="NO","NO",IF(HLOOKUP(AV$15,Data_5!$F$10:$BG$42,$A37+2,FALSE)="IE","IE",IF(HLOOKUP(AV$15,Data_5!$F$10:$BG$42,$A37+2,FALSE)="NE","NE",IF(HLOOKUP(AV$15,Data_5!$F$10:$BG$42,$A37+2,FALSE)="C","C",IF(HLOOKUP(AV$15,Data_5!$F$10:$BG$42,$A37+2,FALSE)="NO","NO",HLOOKUP(AV$15,Data_5!$F$10:$BG$42,$A37+2,FALSE)/Data_5!$BI32))))))),"")</f>
        <v/>
      </c>
      <c r="AW37" s="1122" t="str">
        <f>IFERROR(IF(VLOOKUP($AL37,Data_5!$B$12:$E$42,4,FALSE)="BASIC","",(IF(HLOOKUP(AW$15,Data_5!$F$10:$BG$42,$A37+2,FALSE)="NO","NO",IF(HLOOKUP(AW$15,Data_5!$F$10:$BG$42,$A37+2,FALSE)="IE","IE",IF(HLOOKUP(AW$15,Data_5!$F$10:$BG$42,$A37+2,FALSE)="NE","NE",IF(HLOOKUP(AW$15,Data_5!$F$10:$BG$42,$A37+2,FALSE)="C","C",IF(HLOOKUP(AW$15,Data_5!$F$10:$BG$42,$A37+2,FALSE)="NO","NO",HLOOKUP(AW$15,Data_5!$F$10:$BG$42,$A37+2,FALSE)/Data_5!$BI32))))))),"")</f>
        <v/>
      </c>
      <c r="AX37" s="1122" t="str">
        <f>IFERROR(IF(VLOOKUP($AL37,Data_5!$B$12:$E$42,4,FALSE)="BASIC","",(IF(HLOOKUP(AX$15,Data_5!$F$10:$BG$42,$A37+2,FALSE)="NO","NO",IF(HLOOKUP(AX$15,Data_5!$F$10:$BG$42,$A37+2,FALSE)="IE","IE",IF(HLOOKUP(AX$15,Data_5!$F$10:$BG$42,$A37+2,FALSE)="NE","NE",IF(HLOOKUP(AX$15,Data_5!$F$10:$BG$42,$A37+2,FALSE)="C","C",IF(HLOOKUP(AX$15,Data_5!$F$10:$BG$42,$A37+2,FALSE)="NO","NO",HLOOKUP(AX$15,Data_5!$F$10:$BG$42,$A37+2,FALSE)/Data_5!$BI32))))))),"")</f>
        <v/>
      </c>
      <c r="AY37" s="1122" t="str">
        <f>IFERROR(IF(VLOOKUP($AL37,Data_5!$B$12:$E$42,4,FALSE)="BASIC","",(IF(HLOOKUP(AY$15,Data_5!$F$10:$BG$42,$A37+2,FALSE)="NO","NO",IF(HLOOKUP(AY$15,Data_5!$F$10:$BG$42,$A37+2,FALSE)="IE","IE",IF(HLOOKUP(AY$15,Data_5!$F$10:$BG$42,$A37+2,FALSE)="NE","NE",IF(HLOOKUP(AY$15,Data_5!$F$10:$BG$42,$A37+2,FALSE)="C","C",IF(HLOOKUP(AY$15,Data_5!$F$10:$BG$42,$A37+2,FALSE)="NO","NO",HLOOKUP(AY$15,Data_5!$F$10:$BG$42,$A37+2,FALSE)/Data_5!$BI32))))))),"")</f>
        <v/>
      </c>
      <c r="AZ37" s="1122" t="str">
        <f>IFERROR(IF(VLOOKUP($AL37,Data_5!$B$12:$E$42,4,FALSE)="BASIC","",(IF(HLOOKUP(AZ$15,Data_5!$F$10:$BG$42,$A37+2,FALSE)="NO","NO",IF(HLOOKUP(AZ$15,Data_5!$F$10:$BG$42,$A37+2,FALSE)="IE","IE",IF(HLOOKUP(AZ$15,Data_5!$F$10:$BG$42,$A37+2,FALSE)="NE","NE",IF(HLOOKUP(AZ$15,Data_5!$F$10:$BG$42,$A37+2,FALSE)="C","C",IF(HLOOKUP(AZ$15,Data_5!$F$10:$BG$42,$A37+2,FALSE)="NO","NO",HLOOKUP(AZ$15,Data_5!$F$10:$BG$42,$A37+2,FALSE)/Data_5!$BI32))))))),"")</f>
        <v/>
      </c>
      <c r="BA37" s="1122" t="str">
        <f>IFERROR(IF(VLOOKUP($AL37,Data_5!$B$12:$E$42,4,FALSE)="BASIC","",(IF(HLOOKUP(BA$15,Data_5!$F$10:$BG$42,$A37+2,FALSE)="NO","NO",IF(HLOOKUP(BA$15,Data_5!$F$10:$BG$42,$A37+2,FALSE)="IE","IE",IF(HLOOKUP(BA$15,Data_5!$F$10:$BG$42,$A37+2,FALSE)="NE","NE",IF(HLOOKUP(BA$15,Data_5!$F$10:$BG$42,$A37+2,FALSE)="C","C",IF(HLOOKUP(BA$15,Data_5!$F$10:$BG$42,$A37+2,FALSE)="NO","NO",HLOOKUP(BA$15,Data_5!$F$10:$BG$42,$A37+2,FALSE)/Data_5!$BI32))))))),"")</f>
        <v/>
      </c>
      <c r="BB37" s="1122" t="str">
        <f>IFERROR(IF(VLOOKUP($AL37,Data_5!$B$12:$E$42,4,FALSE)="BASIC","",(IF(HLOOKUP(BB$15,Data_5!$F$10:$BG$42,$A37+2,FALSE)="NO","NO",IF(HLOOKUP(BB$15,Data_5!$F$10:$BG$42,$A37+2,FALSE)="IE","IE",IF(HLOOKUP(BB$15,Data_5!$F$10:$BG$42,$A37+2,FALSE)="NE","NE",IF(HLOOKUP(BB$15,Data_5!$F$10:$BG$42,$A37+2,FALSE)="C","C",IF(HLOOKUP(BB$15,Data_5!$F$10:$BG$42,$A37+2,FALSE)="NO","NO",HLOOKUP(BB$15,Data_5!$F$10:$BG$42,$A37+2,FALSE)/Data_5!$BI32))))))),"")</f>
        <v/>
      </c>
      <c r="BC37" s="1122" t="str">
        <f>IFERROR(IF(VLOOKUP($AL37,Data_5!$B$12:$E$42,4,FALSE)="BASIC","",(IF(HLOOKUP(BC$15,Data_5!$F$10:$BG$42,$A37+2,FALSE)="NO","NO",IF(HLOOKUP(BC$15,Data_5!$F$10:$BG$42,$A37+2,FALSE)="IE","IE",IF(HLOOKUP(BC$15,Data_5!$F$10:$BG$42,$A37+2,FALSE)="NE","NE",IF(HLOOKUP(BC$15,Data_5!$F$10:$BG$42,$A37+2,FALSE)="C","C",IF(HLOOKUP(BC$15,Data_5!$F$10:$BG$42,$A37+2,FALSE)="NO","NO",HLOOKUP(BC$15,Data_5!$F$10:$BG$42,$A37+2,FALSE)/Data_5!$BI32))))))),"")</f>
        <v/>
      </c>
      <c r="BD37" s="1122" t="str">
        <f>IFERROR(IF(VLOOKUP($AL37,Data_5!$B$12:$E$42,4,FALSE)="BASIC","",(IF(HLOOKUP(BD$15,Data_5!$F$10:$BG$42,$A37+2,FALSE)="NO","NO",IF(HLOOKUP(BD$15,Data_5!$F$10:$BG$42,$A37+2,FALSE)="IE","IE",IF(HLOOKUP(BD$15,Data_5!$F$10:$BG$42,$A37+2,FALSE)="NE","NE",IF(HLOOKUP(BD$15,Data_5!$F$10:$BG$42,$A37+2,FALSE)="C","C",IF(HLOOKUP(BD$15,Data_5!$F$10:$BG$42,$A37+2,FALSE)="NO","NO",HLOOKUP(BD$15,Data_5!$F$10:$BG$42,$A37+2,FALSE)/Data_5!$BI32))))))),"")</f>
        <v/>
      </c>
      <c r="BE37" s="1122" t="str">
        <f>IFERROR(IF(VLOOKUP($AL37,Data_5!$B$12:$E$42,4,FALSE)="BASIC","",(IF(HLOOKUP(BE$15,Data_5!$F$10:$BG$42,$A37+2,FALSE)="NO","NO",IF(HLOOKUP(BE$15,Data_5!$F$10:$BG$42,$A37+2,FALSE)="IE","IE",IF(HLOOKUP(BE$15,Data_5!$F$10:$BG$42,$A37+2,FALSE)="NE","NE",IF(HLOOKUP(BE$15,Data_5!$F$10:$BG$42,$A37+2,FALSE)="C","C",IF(HLOOKUP(BE$15,Data_5!$F$10:$BG$42,$A37+2,FALSE)="NO","NO",HLOOKUP(BE$15,Data_5!$F$10:$BG$42,$A37+2,FALSE)/Data_5!$BI32))))))),"")</f>
        <v/>
      </c>
      <c r="BF37" s="1122" t="str">
        <f>IFERROR(IF(VLOOKUP($AL37,Data_5!$B$12:$E$42,4,FALSE)="BASIC","",(IF(HLOOKUP(BF$15,Data_5!$F$10:$BG$42,$A37+2,FALSE)="NO","NO",IF(HLOOKUP(BF$15,Data_5!$F$10:$BG$42,$A37+2,FALSE)="IE","IE",IF(HLOOKUP(BF$15,Data_5!$F$10:$BG$42,$A37+2,FALSE)="NE","NE",IF(HLOOKUP(BF$15,Data_5!$F$10:$BG$42,$A37+2,FALSE)="C","C",IF(HLOOKUP(BF$15,Data_5!$F$10:$BG$42,$A37+2,FALSE)="NO","NO",HLOOKUP(BF$15,Data_5!$F$10:$BG$42,$A37+2,FALSE)/Data_5!$BI32))))))),"")</f>
        <v/>
      </c>
      <c r="BG37" s="1122" t="str">
        <f>IFERROR(IF(VLOOKUP($AL37,Data_5!$B$12:$E$42,4,FALSE)="BASIC","",(IF(HLOOKUP(BG$15,Data_5!$F$10:$BG$42,$A37+2,FALSE)="NO","NO",IF(HLOOKUP(BG$15,Data_5!$F$10:$BG$42,$A37+2,FALSE)="IE","IE",IF(HLOOKUP(BG$15,Data_5!$F$10:$BG$42,$A37+2,FALSE)="NE","NE",IF(HLOOKUP(BG$15,Data_5!$F$10:$BG$42,$A37+2,FALSE)="C","C",IF(HLOOKUP(BG$15,Data_5!$F$10:$BG$42,$A37+2,FALSE)="NO","NO",HLOOKUP(BG$15,Data_5!$F$10:$BG$42,$A37+2,FALSE)/Data_5!$BI32))))))),"")</f>
        <v/>
      </c>
      <c r="BH37" s="1122" t="str">
        <f>IFERROR(IF(VLOOKUP($AL37,Data_5!$B$12:$E$42,4,FALSE)="BASIC","",(IF(HLOOKUP(BH$15,Data_5!$F$10:$BG$42,$A37+2,FALSE)="NO","NO",IF(HLOOKUP(BH$15,Data_5!$F$10:$BG$42,$A37+2,FALSE)="IE","IE",IF(HLOOKUP(BH$15,Data_5!$F$10:$BG$42,$A37+2,FALSE)="NE","NE",IF(HLOOKUP(BH$15,Data_5!$F$10:$BG$42,$A37+2,FALSE)="C","C",IF(HLOOKUP(BH$15,Data_5!$F$10:$BG$42,$A37+2,FALSE)="NO","NO",HLOOKUP(BH$15,Data_5!$F$10:$BG$42,$A37+2,FALSE)/Data_5!$BI32))))))),"")</f>
        <v/>
      </c>
      <c r="BI37" s="1122" t="str">
        <f>IFERROR(IF(VLOOKUP($AL37,Data_5!$B$12:$E$42,4,FALSE)="BASIC","",(IF(HLOOKUP(BI$15,Data_5!$F$10:$BG$42,$A37+2,FALSE)="NO","NO",IF(HLOOKUP(BI$15,Data_5!$F$10:$BG$42,$A37+2,FALSE)="IE","IE",IF(HLOOKUP(BI$15,Data_5!$F$10:$BG$42,$A37+2,FALSE)="NE","NE",IF(HLOOKUP(BI$15,Data_5!$F$10:$BG$42,$A37+2,FALSE)="C","C",IF(HLOOKUP(BI$15,Data_5!$F$10:$BG$42,$A37+2,FALSE)="NO","NO",HLOOKUP(BI$15,Data_5!$F$10:$BG$42,$A37+2,FALSE)/Data_5!$BI32))))))),"")</f>
        <v/>
      </c>
      <c r="BJ37" s="1122" t="str">
        <f>IFERROR(IF(VLOOKUP($AL37,Data_5!$B$12:$E$42,4,FALSE)="BASIC","",(IF(HLOOKUP(BJ$15,Data_5!$F$10:$BG$42,$A37+2,FALSE)="NO","NO",IF(HLOOKUP(BJ$15,Data_5!$F$10:$BG$42,$A37+2,FALSE)="IE","IE",IF(HLOOKUP(BJ$15,Data_5!$F$10:$BG$42,$A37+2,FALSE)="NE","NE",IF(HLOOKUP(BJ$15,Data_5!$F$10:$BG$42,$A37+2,FALSE)="C","C",IF(HLOOKUP(BJ$15,Data_5!$F$10:$BG$42,$A37+2,FALSE)="NO","NO",HLOOKUP(BJ$15,Data_5!$F$10:$BG$42,$A37+2,FALSE)/Data_5!$BI32))))))),"")</f>
        <v/>
      </c>
      <c r="BK37" s="1122" t="str">
        <f>IFERROR(IF(VLOOKUP($AL37,Data_5!$B$12:$E$42,4,FALSE)="BASIC","",(IF(HLOOKUP(BK$15,Data_5!$F$10:$BG$42,$A37+2,FALSE)="NO","NO",IF(HLOOKUP(BK$15,Data_5!$F$10:$BG$42,$A37+2,FALSE)="IE","IE",IF(HLOOKUP(BK$15,Data_5!$F$10:$BG$42,$A37+2,FALSE)="NE","NE",IF(HLOOKUP(BK$15,Data_5!$F$10:$BG$42,$A37+2,FALSE)="C","C",IF(HLOOKUP(BK$15,Data_5!$F$10:$BG$42,$A37+2,FALSE)="NO","NO",HLOOKUP(BK$15,Data_5!$F$10:$BG$42,$A37+2,FALSE)/Data_5!$BI32))))))),"")</f>
        <v/>
      </c>
      <c r="BL37" s="1122" t="str">
        <f>IFERROR(IF(VLOOKUP($AL37,Data_5!$B$12:$E$42,4,FALSE)="BASIC","",(IF(HLOOKUP(BL$15,Data_5!$F$10:$BG$42,$A37+2,FALSE)="NO","NO",IF(HLOOKUP(BL$15,Data_5!$F$10:$BG$42,$A37+2,FALSE)="IE","IE",IF(HLOOKUP(BL$15,Data_5!$F$10:$BG$42,$A37+2,FALSE)="NE","NE",IF(HLOOKUP(BL$15,Data_5!$F$10:$BG$42,$A37+2,FALSE)="C","C",IF(HLOOKUP(BL$15,Data_5!$F$10:$BG$42,$A37+2,FALSE)="NO","NO",HLOOKUP(BL$15,Data_5!$F$10:$BG$42,$A37+2,FALSE)/Data_5!$BI32))))))),"")</f>
        <v/>
      </c>
      <c r="BM37" s="1122" t="str">
        <f>IFERROR(IF(VLOOKUP($AL37,Data_5!$B$12:$E$42,4,FALSE)="BASIC","",(IF(HLOOKUP(BM$15,Data_5!$F$10:$BG$42,$A37+2,FALSE)="NO","NO",IF(HLOOKUP(BM$15,Data_5!$F$10:$BG$42,$A37+2,FALSE)="IE","IE",IF(HLOOKUP(BM$15,Data_5!$F$10:$BG$42,$A37+2,FALSE)="NE","NE",IF(HLOOKUP(BM$15,Data_5!$F$10:$BG$42,$A37+2,FALSE)="C","C",IF(HLOOKUP(BM$15,Data_5!$F$10:$BG$42,$A37+2,FALSE)="NO","NO",HLOOKUP(BM$15,Data_5!$F$10:$BG$42,$A37+2,FALSE)/Data_5!$BI32))))))),"")</f>
        <v/>
      </c>
      <c r="BN37" s="1122" t="str">
        <f>IFERROR(IF(VLOOKUP($AL37,Data_5!$B$12:$E$42,4,FALSE)="BASIC","",(IF(HLOOKUP(BN$15,Data_5!$F$10:$BG$42,$A37+2,FALSE)="NO","NO",IF(HLOOKUP(BN$15,Data_5!$F$10:$BG$42,$A37+2,FALSE)="IE","IE",IF(HLOOKUP(BN$15,Data_5!$F$10:$BG$42,$A37+2,FALSE)="NE","NE",IF(HLOOKUP(BN$15,Data_5!$F$10:$BG$42,$A37+2,FALSE)="C","C",IF(HLOOKUP(BN$15,Data_5!$F$10:$BG$42,$A37+2,FALSE)="NO","NO",HLOOKUP(BN$15,Data_5!$F$10:$BG$42,$A37+2,FALSE)/Data_5!$BI32))))))),"")</f>
        <v/>
      </c>
      <c r="BO37" s="1122" t="str">
        <f>IFERROR(IF(VLOOKUP($AL37,Data_5!$B$12:$E$42,4,FALSE)="BASIC","",(IF(HLOOKUP(BO$15,Data_5!$F$10:$BG$42,$A37+2,FALSE)="NO","NO",IF(HLOOKUP(BO$15,Data_5!$F$10:$BG$42,$A37+2,FALSE)="IE","IE",IF(HLOOKUP(BO$15,Data_5!$F$10:$BG$42,$A37+2,FALSE)="NE","NE",IF(HLOOKUP(BO$15,Data_5!$F$10:$BG$42,$A37+2,FALSE)="C","C",IF(HLOOKUP(BO$15,Data_5!$F$10:$BG$42,$A37+2,FALSE)="NO","NO",HLOOKUP(BO$15,Data_5!$F$10:$BG$42,$A37+2,FALSE)/Data_5!$BI32))))))),"")</f>
        <v/>
      </c>
      <c r="BP37" s="1122" t="str">
        <f>IFERROR(IF(VLOOKUP($AL37,Data_5!$B$12:$E$42,4,FALSE)="BASIC","",(IF(HLOOKUP(BP$15,Data_5!$F$10:$BG$42,$A37+2,FALSE)="NO","NO",IF(HLOOKUP(BP$15,Data_5!$F$10:$BG$42,$A37+2,FALSE)="IE","IE",IF(HLOOKUP(BP$15,Data_5!$F$10:$BG$42,$A37+2,FALSE)="NE","NE",IF(HLOOKUP(BP$15,Data_5!$F$10:$BG$42,$A37+2,FALSE)="C","C",IF(HLOOKUP(BP$15,Data_5!$F$10:$BG$42,$A37+2,FALSE)="NO","NO",HLOOKUP(BP$15,Data_5!$F$10:$BG$42,$A37+2,FALSE)/Data_5!$BI32))))))),"")</f>
        <v/>
      </c>
      <c r="BQ37" s="1122" t="str">
        <f>IFERROR(IF(VLOOKUP($AL37,Data_5!$B$12:$E$42,4,FALSE)="BASIC","",(IF(HLOOKUP(BQ$15,Data_5!$F$10:$BG$42,$A37+2,FALSE)="NO","NO",IF(HLOOKUP(BQ$15,Data_5!$F$10:$BG$42,$A37+2,FALSE)="IE","IE",IF(HLOOKUP(BQ$15,Data_5!$F$10:$BG$42,$A37+2,FALSE)="NE","NE",IF(HLOOKUP(BQ$15,Data_5!$F$10:$BG$42,$A37+2,FALSE)="C","C",IF(HLOOKUP(BQ$15,Data_5!$F$10:$BG$42,$A37+2,FALSE)="NO","NO",HLOOKUP(BQ$15,Data_5!$F$10:$BG$42,$A37+2,FALSE)/Data_5!$BI32))))))),"")</f>
        <v/>
      </c>
      <c r="BR37" s="1122" t="str">
        <f>IFERROR(IF(VLOOKUP($AL37,Data_5!$B$12:$E$42,4,FALSE)="BASIC","",(IF(HLOOKUP(BR$15,Data_5!$F$10:$BG$42,$A37+2,FALSE)="NO","NO",IF(HLOOKUP(BR$15,Data_5!$F$10:$BG$42,$A37+2,FALSE)="IE","IE",IF(HLOOKUP(BR$15,Data_5!$F$10:$BG$42,$A37+2,FALSE)="NE","NE",IF(HLOOKUP(BR$15,Data_5!$F$10:$BG$42,$A37+2,FALSE)="C","C",IF(HLOOKUP(BR$15,Data_5!$F$10:$BG$42,$A37+2,FALSE)="NO","NO",HLOOKUP(BR$15,Data_5!$F$10:$BG$42,$A37+2,FALSE)/Data_5!$BI32))))))),"")</f>
        <v/>
      </c>
      <c r="BS37" s="1122" t="str">
        <f>IFERROR(IF(VLOOKUP($AL37,Data_5!$B$12:$E$42,4,FALSE)="BASIC","",(IF(HLOOKUP(BS$15,Data_5!$F$10:$BG$42,$A37+2,FALSE)="NO","NO",IF(HLOOKUP(BS$15,Data_5!$F$10:$BG$42,$A37+2,FALSE)="IE","IE",IF(HLOOKUP(BS$15,Data_5!$F$10:$BG$42,$A37+2,FALSE)="NE","NE",IF(HLOOKUP(BS$15,Data_5!$F$10:$BG$42,$A37+2,FALSE)="C","C",IF(HLOOKUP(BS$15,Data_5!$F$10:$BG$42,$A37+2,FALSE)="NO","NO",HLOOKUP(BS$15,Data_5!$F$10:$BG$42,$A37+2,FALSE)/Data_5!$BI32))))))),"")</f>
        <v/>
      </c>
      <c r="BT37" s="1122" t="str">
        <f>IFERROR(IF(VLOOKUP($AL37,Data_5!$B$12:$E$42,4,FALSE)="BASIC","",(IF(HLOOKUP(BT$15,Data_5!$F$10:$BG$42,$A37+2,FALSE)="NO","NO",IF(HLOOKUP(BT$15,Data_5!$F$10:$BG$42,$A37+2,FALSE)="IE","IE",IF(HLOOKUP(BT$15,Data_5!$F$10:$BG$42,$A37+2,FALSE)="NE","NE",IF(HLOOKUP(BT$15,Data_5!$F$10:$BG$42,$A37+2,FALSE)="C","C",IF(HLOOKUP(BT$15,Data_5!$F$10:$BG$42,$A37+2,FALSE)="NO","NO",HLOOKUP(BT$15,Data_5!$F$10:$BG$42,$A37+2,FALSE)/Data_5!$BI32))))))),"")</f>
        <v/>
      </c>
      <c r="BU37" s="1122" t="str">
        <f>IFERROR(IF(VLOOKUP($AL37,Data_5!$B$12:$E$42,4,FALSE)="BASIC","",(IF(HLOOKUP(BU$15,Data_5!$F$10:$BG$42,$A37+2,FALSE)="NO","NO",IF(HLOOKUP(BU$15,Data_5!$F$10:$BG$42,$A37+2,FALSE)="IE","IE",IF(HLOOKUP(BU$15,Data_5!$F$10:$BG$42,$A37+2,FALSE)="NE","NE",IF(HLOOKUP(BU$15,Data_5!$F$10:$BG$42,$A37+2,FALSE)="C","C",IF(HLOOKUP(BU$15,Data_5!$F$10:$BG$42,$A37+2,FALSE)="NO","NO",HLOOKUP(BU$15,Data_5!$F$10:$BG$42,$A37+2,FALSE)/Data_5!$BI32))))))),"")</f>
        <v/>
      </c>
      <c r="BV37" s="1122" t="str">
        <f>IFERROR(IF(VLOOKUP($AL37,Data_5!$B$12:$E$42,4,FALSE)="BASIC","",(IF(HLOOKUP(BV$15,Data_5!$F$10:$BG$42,$A37+2,FALSE)="NO","NO",IF(HLOOKUP(BV$15,Data_5!$F$10:$BG$42,$A37+2,FALSE)="IE","IE",IF(HLOOKUP(BV$15,Data_5!$F$10:$BG$42,$A37+2,FALSE)="NE","NE",IF(HLOOKUP(BV$15,Data_5!$F$10:$BG$42,$A37+2,FALSE)="C","C",IF(HLOOKUP(BV$15,Data_5!$F$10:$BG$42,$A37+2,FALSE)="NO","NO",HLOOKUP(BV$15,Data_5!$F$10:$BG$42,$A37+2,FALSE)/Data_5!$BI32))))))),"")</f>
        <v/>
      </c>
      <c r="BW37" s="1122" t="str">
        <f>IFERROR(IF(VLOOKUP($AL37,Data_5!$B$12:$E$42,4,FALSE)="BASIC","",(IF(HLOOKUP(BW$15,Data_5!$F$10:$BG$42,$A37+2,FALSE)="NO","NO",IF(HLOOKUP(BW$15,Data_5!$F$10:$BG$42,$A37+2,FALSE)="IE","IE",IF(HLOOKUP(BW$15,Data_5!$F$10:$BG$42,$A37+2,FALSE)="NE","NE",IF(HLOOKUP(BW$15,Data_5!$F$10:$BG$42,$A37+2,FALSE)="C","C",IF(HLOOKUP(BW$15,Data_5!$F$10:$BG$42,$A37+2,FALSE)="NO","NO",HLOOKUP(BW$15,Data_5!$F$10:$BG$42,$A37+2,FALSE)/Data_5!$BI32))))))),"")</f>
        <v/>
      </c>
      <c r="BX37" s="1122" t="str">
        <f>IFERROR(IF(VLOOKUP($AL37,Data_5!$B$12:$E$42,4,FALSE)="BASIC","",(IF(HLOOKUP(BX$15,Data_5!$F$10:$BG$42,$A37+2,FALSE)="NO","NO",IF(HLOOKUP(BX$15,Data_5!$F$10:$BG$42,$A37+2,FALSE)="IE","IE",IF(HLOOKUP(BX$15,Data_5!$F$10:$BG$42,$A37+2,FALSE)="NE","NE",IF(HLOOKUP(BX$15,Data_5!$F$10:$BG$42,$A37+2,FALSE)="C","C",IF(HLOOKUP(BX$15,Data_5!$F$10:$BG$42,$A37+2,FALSE)="NO","NO",HLOOKUP(BX$15,Data_5!$F$10:$BG$42,$A37+2,FALSE)/Data_5!$BI32))))))),"")</f>
        <v/>
      </c>
      <c r="BY37" s="1122" t="str">
        <f>IFERROR(IF(VLOOKUP($AL37,Data_5!$B$12:$E$42,4,FALSE)="BASIC","",(IF(HLOOKUP(BY$15,Data_5!$F$10:$BG$42,$A37+2,FALSE)="NO","NO",IF(HLOOKUP(BY$15,Data_5!$F$10:$BG$42,$A37+2,FALSE)="IE","IE",IF(HLOOKUP(BY$15,Data_5!$F$10:$BG$42,$A37+2,FALSE)="NE","NE",IF(HLOOKUP(BY$15,Data_5!$F$10:$BG$42,$A37+2,FALSE)="C","C",IF(HLOOKUP(BY$15,Data_5!$F$10:$BG$42,$A37+2,FALSE)="NO","NO",HLOOKUP(BY$15,Data_5!$F$10:$BG$42,$A37+2,FALSE)/Data_5!$BI32))))))),"")</f>
        <v/>
      </c>
      <c r="BZ37" s="1122" t="str">
        <f>IFERROR(IF(VLOOKUP($AL37,Data_5!$B$12:$E$42,4,FALSE)="BASIC","",(IF(HLOOKUP(BZ$15,Data_5!$F$10:$BG$42,$A37+2,FALSE)="NO","NO",IF(HLOOKUP(BZ$15,Data_5!$F$10:$BG$42,$A37+2,FALSE)="IE","IE",IF(HLOOKUP(BZ$15,Data_5!$F$10:$BG$42,$A37+2,FALSE)="NE","NE",IF(HLOOKUP(BZ$15,Data_5!$F$10:$BG$42,$A37+2,FALSE)="C","C",IF(HLOOKUP(BZ$15,Data_5!$F$10:$BG$42,$A37+2,FALSE)="NO","NO",HLOOKUP(BZ$15,Data_5!$F$10:$BG$42,$A37+2,FALSE)/Data_5!$BI32))))))),"")</f>
        <v/>
      </c>
      <c r="CA37" s="1122" t="str">
        <f>IFERROR(IF(VLOOKUP($AL37,Data_5!$B$12:$E$42,4,FALSE)="BASIC","",(IF(HLOOKUP(CA$15,Data_5!$F$10:$BG$42,$A37+2,FALSE)="NO","NO",IF(HLOOKUP(CA$15,Data_5!$F$10:$BG$42,$A37+2,FALSE)="IE","IE",IF(HLOOKUP(CA$15,Data_5!$F$10:$BG$42,$A37+2,FALSE)="NE","NE",IF(HLOOKUP(CA$15,Data_5!$F$10:$BG$42,$A37+2,FALSE)="C","C",IF(HLOOKUP(CA$15,Data_5!$F$10:$BG$42,$A37+2,FALSE)="NO","NO",HLOOKUP(CA$15,Data_5!$F$10:$BG$42,$A37+2,FALSE)/Data_5!$BI32))))))),"")</f>
        <v/>
      </c>
      <c r="CB37" s="1122" t="str">
        <f>IFERROR(IF(VLOOKUP($AL37,Data_5!$B$12:$E$42,4,FALSE)="BASIC","",(IF(HLOOKUP(CB$15,Data_5!$F$10:$BG$42,$A37+2,FALSE)="NO","NO",IF(HLOOKUP(CB$15,Data_5!$F$10:$BG$42,$A37+2,FALSE)="IE","IE",IF(HLOOKUP(CB$15,Data_5!$F$10:$BG$42,$A37+2,FALSE)="NE","NE",IF(HLOOKUP(CB$15,Data_5!$F$10:$BG$42,$A37+2,FALSE)="C","C",IF(HLOOKUP(CB$15,Data_5!$F$10:$BG$42,$A37+2,FALSE)="NO","NO",HLOOKUP(CB$15,Data_5!$F$10:$BG$42,$A37+2,FALSE)/Data_5!$BI32))))))),"")</f>
        <v/>
      </c>
      <c r="CC37" s="1122" t="str">
        <f>IFERROR(IF(VLOOKUP($AL37,Data_5!$B$12:$E$42,4,FALSE)="BASIC","",(IF(HLOOKUP(CC$15,Data_5!$F$10:$BG$42,$A37+2,FALSE)="NO","NO",IF(HLOOKUP(CC$15,Data_5!$F$10:$BG$42,$A37+2,FALSE)="IE","IE",IF(HLOOKUP(CC$15,Data_5!$F$10:$BG$42,$A37+2,FALSE)="NE","NE",IF(HLOOKUP(CC$15,Data_5!$F$10:$BG$42,$A37+2,FALSE)="C","C",IF(HLOOKUP(CC$15,Data_5!$F$10:$BG$42,$A37+2,FALSE)="NO","NO",HLOOKUP(CC$15,Data_5!$F$10:$BG$42,$A37+2,FALSE)/Data_5!$BI32))))))),"")</f>
        <v/>
      </c>
      <c r="CD37" s="1122" t="str">
        <f>IFERROR(IF(VLOOKUP($AL37,Data_5!$B$12:$E$42,4,FALSE)="BASIC","",(IF(HLOOKUP(CD$15,Data_5!$F$10:$BG$42,$A37+2,FALSE)="NO","NO",IF(HLOOKUP(CD$15,Data_5!$F$10:$BG$42,$A37+2,FALSE)="IE","IE",IF(HLOOKUP(CD$15,Data_5!$F$10:$BG$42,$A37+2,FALSE)="NE","NE",IF(HLOOKUP(CD$15,Data_5!$F$10:$BG$42,$A37+2,FALSE)="C","C",IF(HLOOKUP(CD$15,Data_5!$F$10:$BG$42,$A37+2,FALSE)="NO","NO",HLOOKUP(CD$15,Data_5!$F$10:$BG$42,$A37+2,FALSE)/Data_5!$BI32))))))),"")</f>
        <v/>
      </c>
      <c r="CE37" s="1122" t="str">
        <f>IFERROR(IF(VLOOKUP($AL37,Data_5!$B$12:$E$42,4,FALSE)="BASIC","",(IF(HLOOKUP(CE$15,Data_5!$F$10:$BG$42,$A37+2,FALSE)="NO","NO",IF(HLOOKUP(CE$15,Data_5!$F$10:$BG$42,$A37+2,FALSE)="IE","IE",IF(HLOOKUP(CE$15,Data_5!$F$10:$BG$42,$A37+2,FALSE)="NE","NE",IF(HLOOKUP(CE$15,Data_5!$F$10:$BG$42,$A37+2,FALSE)="C","C",IF(HLOOKUP(CE$15,Data_5!$F$10:$BG$42,$A37+2,FALSE)="NO","NO",HLOOKUP(CE$15,Data_5!$F$10:$BG$42,$A37+2,FALSE)/Data_5!$BI32))))))),"")</f>
        <v/>
      </c>
      <c r="CF37" s="1122" t="str">
        <f>IFERROR(IF(VLOOKUP($AL37,Data_5!$B$12:$E$42,4,FALSE)="BASIC","",(IF(HLOOKUP(CF$15,Data_5!$F$10:$BG$42,$A37+2,FALSE)="NO","NO",IF(HLOOKUP(CF$15,Data_5!$F$10:$BG$42,$A37+2,FALSE)="IE","IE",IF(HLOOKUP(CF$15,Data_5!$F$10:$BG$42,$A37+2,FALSE)="NE","NE",IF(HLOOKUP(CF$15,Data_5!$F$10:$BG$42,$A37+2,FALSE)="C","C",IF(HLOOKUP(CF$15,Data_5!$F$10:$BG$42,$A37+2,FALSE)="NO","NO",HLOOKUP(CF$15,Data_5!$F$10:$BG$42,$A37+2,FALSE)/Data_5!$BI32))))))),"")</f>
        <v/>
      </c>
      <c r="CG37" s="1122" t="str">
        <f>IFERROR(IF(VLOOKUP($AL37,Data_5!$B$12:$E$42,4,FALSE)="BASIC","",(IF(HLOOKUP(CG$15,Data_5!$F$10:$BG$42,$A37+2,FALSE)="NO","NO",IF(HLOOKUP(CG$15,Data_5!$F$10:$BG$42,$A37+2,FALSE)="IE","IE",IF(HLOOKUP(CG$15,Data_5!$F$10:$BG$42,$A37+2,FALSE)="NE","NE",IF(HLOOKUP(CG$15,Data_5!$F$10:$BG$42,$A37+2,FALSE)="C","C",IF(HLOOKUP(CG$15,Data_5!$F$10:$BG$42,$A37+2,FALSE)="NO","NO",HLOOKUP(CG$15,Data_5!$F$10:$BG$42,$A37+2,FALSE)/Data_5!$BI32))))))),"")</f>
        <v/>
      </c>
      <c r="CH37" s="1122" t="str">
        <f>IFERROR(IF(VLOOKUP($AL37,Data_5!$B$12:$E$42,4,FALSE)="BASIC","",(IF(HLOOKUP(CH$15,Data_5!$F$10:$BG$42,$A37+2,FALSE)="NO","NO",IF(HLOOKUP(CH$15,Data_5!$F$10:$BG$42,$A37+2,FALSE)="IE","IE",IF(HLOOKUP(CH$15,Data_5!$F$10:$BG$42,$A37+2,FALSE)="NE","NE",IF(HLOOKUP(CH$15,Data_5!$F$10:$BG$42,$A37+2,FALSE)="C","C",IF(HLOOKUP(CH$15,Data_5!$F$10:$BG$42,$A37+2,FALSE)="NO","NO",HLOOKUP(CH$15,Data_5!$F$10:$BG$42,$A37+2,FALSE)/Data_5!$BI32))))))),"")</f>
        <v/>
      </c>
      <c r="CI37" s="1122" t="str">
        <f>IFERROR(IF(VLOOKUP($AL37,Data_5!$B$12:$E$42,4,FALSE)="BASIC","",(IF(HLOOKUP(CI$15,Data_5!$F$10:$BG$42,$A37+2,FALSE)="NO","NO",IF(HLOOKUP(CI$15,Data_5!$F$10:$BG$42,$A37+2,FALSE)="IE","IE",IF(HLOOKUP(CI$15,Data_5!$F$10:$BG$42,$A37+2,FALSE)="NE","NE",IF(HLOOKUP(CI$15,Data_5!$F$10:$BG$42,$A37+2,FALSE)="C","C",IF(HLOOKUP(CI$15,Data_5!$F$10:$BG$42,$A37+2,FALSE)="NO","NO",HLOOKUP(CI$15,Data_5!$F$10:$BG$42,$A37+2,FALSE)/Data_5!$BI32))))))),"")</f>
        <v/>
      </c>
      <c r="CJ37" s="1122" t="str">
        <f>IFERROR(IF(VLOOKUP($AL37,Data_5!$B$12:$E$42,4,FALSE)="BASIC","",(IF(HLOOKUP(CJ$15,Data_5!$F$10:$BG$42,$A37+2,FALSE)="NO","NO",IF(HLOOKUP(CJ$15,Data_5!$F$10:$BG$42,$A37+2,FALSE)="IE","IE",IF(HLOOKUP(CJ$15,Data_5!$F$10:$BG$42,$A37+2,FALSE)="NE","NE",IF(HLOOKUP(CJ$15,Data_5!$F$10:$BG$42,$A37+2,FALSE)="C","C",IF(HLOOKUP(CJ$15,Data_5!$F$10:$BG$42,$A37+2,FALSE)="NO","NO",HLOOKUP(CJ$15,Data_5!$F$10:$BG$42,$A37+2,FALSE)/Data_5!$BI32))))))),"")</f>
        <v/>
      </c>
      <c r="CL37" s="2628" t="str">
        <f t="shared" si="2"/>
        <v>Quito</v>
      </c>
      <c r="CM37" s="2629"/>
      <c r="CN37" s="1100">
        <f t="shared" si="3"/>
        <v>2011</v>
      </c>
      <c r="CO37" s="1122">
        <f>IFERROR(IF(HLOOKUP(CO$15,Data_5!$F$10:$BG$42,$A37+2,FALSE)="NO","NO",IF(HLOOKUP(CO$15,Data_5!$F$10:$BG$42,$A37+2,FALSE)="IE","IE",IF(HLOOKUP(CO$15,Data_5!$F$10:$BG$42,$A37+2,FALSE)="NE","NE",IF(HLOOKUP(CO$15,Data_5!$F$10:$BG$42,$A37+2,FALSE)="C","C",IF(HLOOKUP(CO$15,Data_5!$F$10:$BG$42,$A37+2,FALSE)="NO","NO",HLOOKUP(CO$15,Data_5!$F$10:$BG$42,$A37+2,FALSE)/Data_5!$BK32))))),"")</f>
        <v>0.1222503976272044</v>
      </c>
      <c r="CP37" s="1122" t="str">
        <f>IFERROR(IF(HLOOKUP(CP$15,Data_5!$F$10:$BG$42,$A37+2,FALSE)="NO","NO",IF(HLOOKUP(CP$15,Data_5!$F$10:$BG$42,$A37+2,FALSE)="IE","IE",IF(HLOOKUP(CP$15,Data_5!$F$10:$BG$42,$A37+2,FALSE)="NE","NE",IF(HLOOKUP(CP$15,Data_5!$F$10:$BG$42,$A37+2,FALSE)="C","C",IF(HLOOKUP(CP$15,Data_5!$F$10:$BG$42,$A37+2,FALSE)="NO","NO",HLOOKUP(CP$15,Data_5!$F$10:$BG$42,$A37+2,FALSE)/Data_5!$BK32))))),"")</f>
        <v>IE</v>
      </c>
      <c r="CQ37" s="1122">
        <f>IFERROR(IF(HLOOKUP(CQ$15,Data_5!$F$10:$BG$42,$A37+2,FALSE)="NO","NO",IF(HLOOKUP(CQ$15,Data_5!$F$10:$BG$42,$A37+2,FALSE)="IE","IE",IF(HLOOKUP(CQ$15,Data_5!$F$10:$BG$42,$A37+2,FALSE)="NE","NE",IF(HLOOKUP(CQ$15,Data_5!$F$10:$BG$42,$A37+2,FALSE)="C","C",IF(HLOOKUP(CQ$15,Data_5!$F$10:$BG$42,$A37+2,FALSE)="NO","NO",HLOOKUP(CQ$15,Data_5!$F$10:$BG$42,$A37+2,FALSE)/Data_5!$BK32))))),"")</f>
        <v>0.10047289396701507</v>
      </c>
      <c r="CR37" s="1122" t="str">
        <f>IFERROR(IF(HLOOKUP(CR$15,Data_5!$F$10:$BG$42,$A37+2,FALSE)="NO","NO",IF(HLOOKUP(CR$15,Data_5!$F$10:$BG$42,$A37+2,FALSE)="IE","IE",IF(HLOOKUP(CR$15,Data_5!$F$10:$BG$42,$A37+2,FALSE)="NE","NE",IF(HLOOKUP(CR$15,Data_5!$F$10:$BG$42,$A37+2,FALSE)="C","C",IF(HLOOKUP(CR$15,Data_5!$F$10:$BG$42,$A37+2,FALSE)="NO","NO",HLOOKUP(CR$15,Data_5!$F$10:$BG$42,$A37+2,FALSE)/Data_5!$BK32))))),"")</f>
        <v>IE</v>
      </c>
      <c r="CS37" s="1122">
        <f>IFERROR(IF(HLOOKUP(CS$15,Data_5!$F$10:$BG$42,$A37+2,FALSE)="NO","NO",IF(HLOOKUP(CS$15,Data_5!$F$10:$BG$42,$A37+2,FALSE)="IE","IE",IF(HLOOKUP(CS$15,Data_5!$F$10:$BG$42,$A37+2,FALSE)="NE","NE",IF(HLOOKUP(CS$15,Data_5!$F$10:$BG$42,$A37+2,FALSE)="C","C",IF(HLOOKUP(CS$15,Data_5!$F$10:$BG$42,$A37+2,FALSE)="NO","NO",HLOOKUP(CS$15,Data_5!$F$10:$BG$42,$A37+2,FALSE)/Data_5!$BK32))))),"")</f>
        <v>3.2647851718354743E-3</v>
      </c>
      <c r="CT37" s="1122" t="str">
        <f>IFERROR(IF(HLOOKUP(CT$15,Data_5!$F$10:$BG$42,$A37+2,FALSE)="NO","NO",IF(HLOOKUP(CT$15,Data_5!$F$10:$BG$42,$A37+2,FALSE)="IE","IE",IF(HLOOKUP(CT$15,Data_5!$F$10:$BG$42,$A37+2,FALSE)="NE","NE",IF(HLOOKUP(CT$15,Data_5!$F$10:$BG$42,$A37+2,FALSE)="C","C",IF(HLOOKUP(CT$15,Data_5!$F$10:$BG$42,$A37+2,FALSE)="NO","NO",HLOOKUP(CT$15,Data_5!$F$10:$BG$42,$A37+2,FALSE)/Data_5!$BK32))))),"")</f>
        <v>NO</v>
      </c>
      <c r="CU37" s="1122" t="str">
        <f>IFERROR(IF(HLOOKUP(CU$15,Data_5!$F$10:$BG$42,$A37+2,FALSE)="NO","NO",IF(HLOOKUP(CU$15,Data_5!$F$10:$BG$42,$A37+2,FALSE)="IE","IE",IF(HLOOKUP(CU$15,Data_5!$F$10:$BG$42,$A37+2,FALSE)="NE","NE",IF(HLOOKUP(CU$15,Data_5!$F$10:$BG$42,$A37+2,FALSE)="C","C",IF(HLOOKUP(CU$15,Data_5!$F$10:$BG$42,$A37+2,FALSE)="NO","NO",HLOOKUP(CU$15,Data_5!$F$10:$BG$42,$A37+2,FALSE)/Data_5!$BK32))))),"")</f>
        <v>NO</v>
      </c>
      <c r="CV37" s="1122" t="str">
        <f>IFERROR(IF(HLOOKUP(CV$15,Data_5!$F$10:$BG$42,$A37+2,FALSE)="NO","NO",IF(HLOOKUP(CV$15,Data_5!$F$10:$BG$42,$A37+2,FALSE)="IE","IE",IF(HLOOKUP(CV$15,Data_5!$F$10:$BG$42,$A37+2,FALSE)="NE","NE",IF(HLOOKUP(CV$15,Data_5!$F$10:$BG$42,$A37+2,FALSE)="C","C",IF(HLOOKUP(CV$15,Data_5!$F$10:$BG$42,$A37+2,FALSE)="NO","NO",HLOOKUP(CV$15,Data_5!$F$10:$BG$42,$A37+2,FALSE)/Data_5!$BK32))))),"")</f>
        <v>NO</v>
      </c>
      <c r="CW37" s="1122" t="str">
        <f>IFERROR(IF(HLOOKUP(CW$15,Data_5!$F$10:$BG$42,$A37+2,FALSE)="NO","NO",IF(HLOOKUP(CW$15,Data_5!$F$10:$BG$42,$A37+2,FALSE)="IE","IE",IF(HLOOKUP(CW$15,Data_5!$F$10:$BG$42,$A37+2,FALSE)="NE","NE",IF(HLOOKUP(CW$15,Data_5!$F$10:$BG$42,$A37+2,FALSE)="C","C",IF(HLOOKUP(CW$15,Data_5!$F$10:$BG$42,$A37+2,FALSE)="NO","NO",HLOOKUP(CW$15,Data_5!$F$10:$BG$42,$A37+2,FALSE)/Data_5!$BK32))))),"")</f>
        <v>NO</v>
      </c>
      <c r="CX37" s="1122">
        <f>IFERROR(IF(HLOOKUP(CX$15,Data_5!$F$10:$BG$42,$A37+2,FALSE)="NO","NO",IF(HLOOKUP(CX$15,Data_5!$F$10:$BG$42,$A37+2,FALSE)="IE","IE",IF(HLOOKUP(CX$15,Data_5!$F$10:$BG$42,$A37+2,FALSE)="NE","NE",IF(HLOOKUP(CX$15,Data_5!$F$10:$BG$42,$A37+2,FALSE)="C","C",IF(HLOOKUP(CX$15,Data_5!$F$10:$BG$42,$A37+2,FALSE)="NO","NO",HLOOKUP(CX$15,Data_5!$F$10:$BG$42,$A37+2,FALSE)/Data_5!$BK32))))),"")</f>
        <v>0.63029436610945733</v>
      </c>
      <c r="CY37" s="1122" t="str">
        <f>IFERROR(IF(HLOOKUP(CY$15,Data_5!$F$10:$BG$42,$A37+2,FALSE)="NO","NO",IF(HLOOKUP(CY$15,Data_5!$F$10:$BG$42,$A37+2,FALSE)="IE","IE",IF(HLOOKUP(CY$15,Data_5!$F$10:$BG$42,$A37+2,FALSE)="NE","NE",IF(HLOOKUP(CY$15,Data_5!$F$10:$BG$42,$A37+2,FALSE)="C","C",IF(HLOOKUP(CY$15,Data_5!$F$10:$BG$42,$A37+2,FALSE)="NO","NO",HLOOKUP(CY$15,Data_5!$F$10:$BG$42,$A37+2,FALSE)/Data_5!$BK32))))),"")</f>
        <v>NO</v>
      </c>
      <c r="CZ37" s="1122" t="str">
        <f>IFERROR(IF(HLOOKUP(CZ$15,Data_5!$F$10:$BG$42,$A37+2,FALSE)="NO","NO",IF(HLOOKUP(CZ$15,Data_5!$F$10:$BG$42,$A37+2,FALSE)="IE","IE",IF(HLOOKUP(CZ$15,Data_5!$F$10:$BG$42,$A37+2,FALSE)="NE","NE",IF(HLOOKUP(CZ$15,Data_5!$F$10:$BG$42,$A37+2,FALSE)="C","C",IF(HLOOKUP(CZ$15,Data_5!$F$10:$BG$42,$A37+2,FALSE)="NO","NO",HLOOKUP(CZ$15,Data_5!$F$10:$BG$42,$A37+2,FALSE)/Data_5!$BK32))))),"")</f>
        <v>NO</v>
      </c>
      <c r="DA37" s="1122" t="str">
        <f>IFERROR(IF(HLOOKUP(DA$15,Data_5!$F$10:$BG$42,$A37+2,FALSE)="NO","NO",IF(HLOOKUP(DA$15,Data_5!$F$10:$BG$42,$A37+2,FALSE)="IE","IE",IF(HLOOKUP(DA$15,Data_5!$F$10:$BG$42,$A37+2,FALSE)="NE","NE",IF(HLOOKUP(DA$15,Data_5!$F$10:$BG$42,$A37+2,FALSE)="C","C",IF(HLOOKUP(DA$15,Data_5!$F$10:$BG$42,$A37+2,FALSE)="NO","NO",HLOOKUP(DA$15,Data_5!$F$10:$BG$42,$A37+2,FALSE)/Data_5!$BK32))))),"")</f>
        <v>NO</v>
      </c>
      <c r="DB37" s="1122" t="str">
        <f>IFERROR(IF(HLOOKUP(DB$15,Data_5!$F$10:$BG$42,$A37+2,FALSE)="NO","NO",IF(HLOOKUP(DB$15,Data_5!$F$10:$BG$42,$A37+2,FALSE)="IE","IE",IF(HLOOKUP(DB$15,Data_5!$F$10:$BG$42,$A37+2,FALSE)="NE","NE",IF(HLOOKUP(DB$15,Data_5!$F$10:$BG$42,$A37+2,FALSE)="C","C",IF(HLOOKUP(DB$15,Data_5!$F$10:$BG$42,$A37+2,FALSE)="NO","NO",HLOOKUP(DB$15,Data_5!$F$10:$BG$42,$A37+2,FALSE)/Data_5!$BK32))))),"")</f>
        <v>IE</v>
      </c>
      <c r="DC37" s="1122">
        <f>IFERROR(IF(HLOOKUP(DC$15,Data_5!$F$10:$BG$42,$A37+2,FALSE)="NO","NO",IF(HLOOKUP(DC$15,Data_5!$F$10:$BG$42,$A37+2,FALSE)="IE","IE",IF(HLOOKUP(DC$15,Data_5!$F$10:$BG$42,$A37+2,FALSE)="NE","NE",IF(HLOOKUP(DC$15,Data_5!$F$10:$BG$42,$A37+2,FALSE)="C","C",IF(HLOOKUP(DC$15,Data_5!$F$10:$BG$42,$A37+2,FALSE)="NO","NO",HLOOKUP(DC$15,Data_5!$F$10:$BG$42,$A37+2,FALSE)/Data_5!$BK32))))),"")</f>
        <v>0.14315360759958623</v>
      </c>
      <c r="DD37" s="1122" t="str">
        <f>IFERROR(IF(HLOOKUP(DD$15,Data_5!$F$10:$BG$42,$A37+2,FALSE)="NO","NO",IF(HLOOKUP(DD$15,Data_5!$F$10:$BG$42,$A37+2,FALSE)="IE","IE",IF(HLOOKUP(DD$15,Data_5!$F$10:$BG$42,$A37+2,FALSE)="NE","NE",IF(HLOOKUP(DD$15,Data_5!$F$10:$BG$42,$A37+2,FALSE)="C","C",IF(HLOOKUP(DD$15,Data_5!$F$10:$BG$42,$A37+2,FALSE)="NO","NO",HLOOKUP(DD$15,Data_5!$F$10:$BG$42,$A37+2,FALSE)/Data_5!$BK32))))),"")</f>
        <v>NO</v>
      </c>
      <c r="DE37" s="1122" t="str">
        <f>IFERROR(IF(HLOOKUP(DE$15,Data_5!$F$10:$BG$42,$A37+2,FALSE)="NO","NO",IF(HLOOKUP(DE$15,Data_5!$F$10:$BG$42,$A37+2,FALSE)="IE","IE",IF(HLOOKUP(DE$15,Data_5!$F$10:$BG$42,$A37+2,FALSE)="NE","NE",IF(HLOOKUP(DE$15,Data_5!$F$10:$BG$42,$A37+2,FALSE)="C","C",IF(HLOOKUP(DE$15,Data_5!$F$10:$BG$42,$A37+2,FALSE)="NO","NO",HLOOKUP(DE$15,Data_5!$F$10:$BG$42,$A37+2,FALSE)/Data_5!$BK32))))),"")</f>
        <v>NO</v>
      </c>
      <c r="DF37" s="1122" t="str">
        <f>IFERROR(IF(HLOOKUP(DF$15,Data_5!$F$10:$BG$42,$A37+2,FALSE)="NO","NO",IF(HLOOKUP(DF$15,Data_5!$F$10:$BG$42,$A37+2,FALSE)="IE","IE",IF(HLOOKUP(DF$15,Data_5!$F$10:$BG$42,$A37+2,FALSE)="NE","NE",IF(HLOOKUP(DF$15,Data_5!$F$10:$BG$42,$A37+2,FALSE)="C","C",IF(HLOOKUP(DF$15,Data_5!$F$10:$BG$42,$A37+2,FALSE)="NO","NO",HLOOKUP(DF$15,Data_5!$F$10:$BG$42,$A37+2,FALSE)/Data_5!$BK32))))),"")</f>
        <v>NO</v>
      </c>
      <c r="DG37" s="1122">
        <f>IFERROR(IF(HLOOKUP(DG$15,Data_5!$F$10:$BG$42,$A37+2,FALSE)="NO","NO",IF(HLOOKUP(DG$15,Data_5!$F$10:$BG$42,$A37+2,FALSE)="IE","IE",IF(HLOOKUP(DG$15,Data_5!$F$10:$BG$42,$A37+2,FALSE)="NE","NE",IF(HLOOKUP(DG$15,Data_5!$F$10:$BG$42,$A37+2,FALSE)="C","C",IF(HLOOKUP(DG$15,Data_5!$F$10:$BG$42,$A37+2,FALSE)="NO","NO",HLOOKUP(DG$15,Data_5!$F$10:$BG$42,$A37+2,FALSE)/Data_5!$BK32))))),"")</f>
        <v>5.6394952490141856E-4</v>
      </c>
      <c r="DH37" s="1122" t="str">
        <f>IFERROR(IF(HLOOKUP(DH$15,Data_5!$F$10:$BG$42,$A37+2,FALSE)="NO","NO",IF(HLOOKUP(DH$15,Data_5!$F$10:$BG$42,$A37+2,FALSE)="IE","IE",IF(HLOOKUP(DH$15,Data_5!$F$10:$BG$42,$A37+2,FALSE)="NE","NE",IF(HLOOKUP(DH$15,Data_5!$F$10:$BG$42,$A37+2,FALSE)="C","C",IF(HLOOKUP(DH$15,Data_5!$F$10:$BG$42,$A37+2,FALSE)="NO","NO",HLOOKUP(DH$15,Data_5!$F$10:$BG$42,$A37+2,FALSE)/Data_5!$BK32))))),"")</f>
        <v>NO</v>
      </c>
      <c r="DI37" s="1122">
        <f>IFERROR(IF(HLOOKUP(DI$15,Data_5!$F$10:$BG$42,$A37+2,FALSE)="NO","NO",IF(HLOOKUP(DI$15,Data_5!$F$10:$BG$42,$A37+2,FALSE)="IE","IE",IF(HLOOKUP(DI$15,Data_5!$F$10:$BG$42,$A37+2,FALSE)="NE","NE",IF(HLOOKUP(DI$15,Data_5!$F$10:$BG$42,$A37+2,FALSE)="C","C",IF(HLOOKUP(DI$15,Data_5!$F$10:$BG$42,$A37+2,FALSE)="NO","NO",HLOOKUP(DI$15,Data_5!$F$10:$BG$42,$A37+2,FALSE)/Data_5!$BK32))))),"")</f>
        <v>0</v>
      </c>
      <c r="DJ37" s="1122" t="str">
        <f>IFERROR(IF(HLOOKUP(DJ$15,Data_5!$F$10:$BG$42,$A37+2,FALSE)="NO","NO",IF(HLOOKUP(DJ$15,Data_5!$F$10:$BG$42,$A37+2,FALSE)="IE","IE",IF(HLOOKUP(DJ$15,Data_5!$F$10:$BG$42,$A37+2,FALSE)="NE","NE",IF(HLOOKUP(DJ$15,Data_5!$F$10:$BG$42,$A37+2,FALSE)="C","C",IF(HLOOKUP(DJ$15,Data_5!$F$10:$BG$42,$A37+2,FALSE)="NO","NO",HLOOKUP(DJ$15,Data_5!$F$10:$BG$42,$A37+2,FALSE)/Data_5!$BK32))))),"")</f>
        <v>NO</v>
      </c>
      <c r="DK37" s="1122" t="str">
        <f>IFERROR(IF(HLOOKUP(DK$15,Data_5!$F$10:$BG$42,$A37+2,FALSE)="NO","NO",IF(HLOOKUP(DK$15,Data_5!$F$10:$BG$42,$A37+2,FALSE)="IE","IE",IF(HLOOKUP(DK$15,Data_5!$F$10:$BG$42,$A37+2,FALSE)="NE","NE",IF(HLOOKUP(DK$15,Data_5!$F$10:$BG$42,$A37+2,FALSE)="C","C",IF(HLOOKUP(DK$15,Data_5!$F$10:$BG$42,$A37+2,FALSE)="NO","NO",HLOOKUP(DK$15,Data_5!$F$10:$BG$42,$A37+2,FALSE)/Data_5!$BK32))))),"")</f>
        <v>NE</v>
      </c>
      <c r="DL37" s="1122" t="str">
        <f>IFERROR(IF(HLOOKUP(DL$15,Data_5!$F$10:$BG$42,$A37+2,FALSE)="NO","NO",IF(HLOOKUP(DL$15,Data_5!$F$10:$BG$42,$A37+2,FALSE)="IE","IE",IF(HLOOKUP(DL$15,Data_5!$F$10:$BG$42,$A37+2,FALSE)="NE","NE",IF(HLOOKUP(DL$15,Data_5!$F$10:$BG$42,$A37+2,FALSE)="C","C",IF(HLOOKUP(DL$15,Data_5!$F$10:$BG$42,$A37+2,FALSE)="NO","NO",HLOOKUP(DL$15,Data_5!$F$10:$BG$42,$A37+2,FALSE)/Data_5!$BK32))))),"")</f>
        <v>NE</v>
      </c>
      <c r="DM37" s="1122" t="str">
        <f>IFERROR(IF(HLOOKUP(DM$15,Data_5!$F$10:$BG$42,$A37+2,FALSE)="NO","NO",IF(HLOOKUP(DM$15,Data_5!$F$10:$BG$42,$A37+2,FALSE)="IE","IE",IF(HLOOKUP(DM$15,Data_5!$F$10:$BG$42,$A37+2,FALSE)="NE","NE",IF(HLOOKUP(DM$15,Data_5!$F$10:$BG$42,$A37+2,FALSE)="C","C",IF(HLOOKUP(DM$15,Data_5!$F$10:$BG$42,$A37+2,FALSE)="NO","NO",HLOOKUP(DM$15,Data_5!$F$10:$BG$42,$A37+2,FALSE)/Data_5!$BK32))))),"")</f>
        <v>NE</v>
      </c>
      <c r="DN37" s="1122" t="str">
        <f>IFERROR(IF(HLOOKUP(DN$15,Data_5!$F$10:$BG$42,$A37+2,FALSE)="NO","NO",IF(HLOOKUP(DN$15,Data_5!$F$10:$BG$42,$A37+2,FALSE)="IE","IE",IF(HLOOKUP(DN$15,Data_5!$F$10:$BG$42,$A37+2,FALSE)="NE","NE",IF(HLOOKUP(DN$15,Data_5!$F$10:$BG$42,$A37+2,FALSE)="C","C",IF(HLOOKUP(DN$15,Data_5!$F$10:$BG$42,$A37+2,FALSE)="NO","NO",HLOOKUP(DN$15,Data_5!$F$10:$BG$42,$A37+2,FALSE)/Data_5!$BK32))))),"")</f>
        <v>NE</v>
      </c>
      <c r="DO37" s="1122" t="str">
        <f>IFERROR(IF(HLOOKUP(DO$15,Data_5!$F$10:$BG$42,$A37+2,FALSE)="NO","NO",IF(HLOOKUP(DO$15,Data_5!$F$10:$BG$42,$A37+2,FALSE)="IE","IE",IF(HLOOKUP(DO$15,Data_5!$F$10:$BG$42,$A37+2,FALSE)="NE","NE",IF(HLOOKUP(DO$15,Data_5!$F$10:$BG$42,$A37+2,FALSE)="C","C",IF(HLOOKUP(DO$15,Data_5!$F$10:$BG$42,$A37+2,FALSE)="NO","NO",HLOOKUP(DO$15,Data_5!$F$10:$BG$42,$A37+2,FALSE)/Data_5!$BK32))))),"")</f>
        <v>NE</v>
      </c>
    </row>
    <row r="38" spans="1:119" s="15" customFormat="1" ht="15" customHeight="1">
      <c r="A38" s="1789">
        <v>22</v>
      </c>
      <c r="B38" s="2628" t="str">
        <f>IF(Data_5!B33&lt;&gt;"",Data_5!B33,"")</f>
        <v>Rio de Janeiro</v>
      </c>
      <c r="C38" s="2629"/>
      <c r="D38" s="1462">
        <f>IFERROR(VLOOKUP($B38,Data_5!$B$12:$C$42,2,FALSE),"")</f>
        <v>2012</v>
      </c>
      <c r="E38" s="1122">
        <f>IFERROR(IF(HLOOKUP(E$15,Data_5!$F$10:$BG$42,$A38+2,FALSE)="NO","NO",IF(HLOOKUP(E$15,Data_5!$F$10:$BG$42,$A38+2,FALSE)="IE","IE",IF(HLOOKUP(E$15,Data_5!$F$10:$BG$42,$A38+2,FALSE)="NE","NE",IF(HLOOKUP(E$15,Data_5!$F$10:$BG$42,$A38+2,FALSE)="C","C",IF(HLOOKUP(E$15,Data_5!$F$10:$BG$42,$A38+2,FALSE)="NO","NO",HLOOKUP(E$15,Data_5!$F$10:$BG$42,$A38+2,FALSE)/Data_5!$BH33))))),"")</f>
        <v>3.9066570872841898E-2</v>
      </c>
      <c r="F38" s="1122">
        <f>IFERROR(IF(HLOOKUP(F$15,Data_5!$F$10:$BG$42,$A38+2,FALSE)="NO","NO",IF(HLOOKUP(F$15,Data_5!$F$10:$BG$42,$A38+2,FALSE)="IE","IE",IF(HLOOKUP(F$15,Data_5!$F$10:$BG$42,$A38+2,FALSE)="NE","NE",IF(HLOOKUP(F$15,Data_5!$F$10:$BG$42,$A38+2,FALSE)="C","C",IF(HLOOKUP(F$15,Data_5!$F$10:$BG$42,$A38+2,FALSE)="NO","NO",HLOOKUP(F$15,Data_5!$F$10:$BG$42,$A38+2,FALSE)/Data_5!$BH33))))),"")</f>
        <v>8.6060183524305889E-2</v>
      </c>
      <c r="G38" s="1122">
        <f>IFERROR(IF(HLOOKUP(G$15,Data_5!$F$10:$BG$42,$A38+2,FALSE)="NO","NO",IF(HLOOKUP(G$15,Data_5!$F$10:$BG$42,$A38+2,FALSE)="IE","IE",IF(HLOOKUP(G$15,Data_5!$F$10:$BG$42,$A38+2,FALSE)="NE","NE",IF(HLOOKUP(G$15,Data_5!$F$10:$BG$42,$A38+2,FALSE)="C","C",IF(HLOOKUP(G$15,Data_5!$F$10:$BG$42,$A38+2,FALSE)="NO","NO",HLOOKUP(G$15,Data_5!$F$10:$BG$42,$A38+2,FALSE)/Data_5!$BH33))))),"")</f>
        <v>7.575069590247667E-3</v>
      </c>
      <c r="H38" s="1122">
        <f>IFERROR(IF(HLOOKUP(H$15,Data_5!$F$10:$BG$42,$A38+2,FALSE)="NO","NO",IF(HLOOKUP(H$15,Data_5!$F$10:$BG$42,$A38+2,FALSE)="IE","IE",IF(HLOOKUP(H$15,Data_5!$F$10:$BG$42,$A38+2,FALSE)="NE","NE",IF(HLOOKUP(H$15,Data_5!$F$10:$BG$42,$A38+2,FALSE)="C","C",IF(HLOOKUP(H$15,Data_5!$F$10:$BG$42,$A38+2,FALSE)="NO","NO",HLOOKUP(H$15,Data_5!$F$10:$BG$42,$A38+2,FALSE)/Data_5!$BH33))))),"")</f>
        <v>0.12768508476318693</v>
      </c>
      <c r="I38" s="1122">
        <f>IFERROR(IF(HLOOKUP(I$15,Data_5!$F$10:$BG$42,$A38+2,FALSE)="NO","NO",IF(HLOOKUP(I$15,Data_5!$F$10:$BG$42,$A38+2,FALSE)="IE","IE",IF(HLOOKUP(I$15,Data_5!$F$10:$BG$42,$A38+2,FALSE)="NE","NE",IF(HLOOKUP(I$15,Data_5!$F$10:$BG$42,$A38+2,FALSE)="C","C",IF(HLOOKUP(I$15,Data_5!$F$10:$BG$42,$A38+2,FALSE)="NO","NO",HLOOKUP(I$15,Data_5!$F$10:$BG$42,$A38+2,FALSE)/Data_5!$BH33))))),"")</f>
        <v>5.7362299765311209E-2</v>
      </c>
      <c r="J38" s="1122">
        <f>IFERROR(IF(HLOOKUP(J$15,Data_5!$F$10:$BG$42,$A38+2,FALSE)="NO","NO",IF(HLOOKUP(J$15,Data_5!$F$10:$BG$42,$A38+2,FALSE)="IE","IE",IF(HLOOKUP(J$15,Data_5!$F$10:$BG$42,$A38+2,FALSE)="NE","NE",IF(HLOOKUP(J$15,Data_5!$F$10:$BG$42,$A38+2,FALSE)="C","C",IF(HLOOKUP(J$15,Data_5!$F$10:$BG$42,$A38+2,FALSE)="NO","NO",HLOOKUP(J$15,Data_5!$F$10:$BG$42,$A38+2,FALSE)/Data_5!$BH33))))),"")</f>
        <v>3.7941024804628527E-2</v>
      </c>
      <c r="K38" s="1122">
        <f>IFERROR(IF(HLOOKUP(K$15,Data_5!$F$10:$BG$42,$A38+2,FALSE)="NO","NO",IF(HLOOKUP(K$15,Data_5!$F$10:$BG$42,$A38+2,FALSE)="IE","IE",IF(HLOOKUP(K$15,Data_5!$F$10:$BG$42,$A38+2,FALSE)="NE","NE",IF(HLOOKUP(K$15,Data_5!$F$10:$BG$42,$A38+2,FALSE)="C","C",IF(HLOOKUP(K$15,Data_5!$F$10:$BG$42,$A38+2,FALSE)="NO","NO",HLOOKUP(K$15,Data_5!$F$10:$BG$42,$A38+2,FALSE)/Data_5!$BH33))))),"")</f>
        <v>8.5360064793629759E-2</v>
      </c>
      <c r="L38" s="1122" t="str">
        <f>IFERROR(IF(HLOOKUP(L$15,Data_5!$F$10:$BG$42,$A38+2,FALSE)="NO","NO",IF(HLOOKUP(L$15,Data_5!$F$10:$BG$42,$A38+2,FALSE)="IE","IE",IF(HLOOKUP(L$15,Data_5!$F$10:$BG$42,$A38+2,FALSE)="NE","NE",IF(HLOOKUP(L$15,Data_5!$F$10:$BG$42,$A38+2,FALSE)="C","C",IF(HLOOKUP(L$15,Data_5!$F$10:$BG$42,$A38+2,FALSE)="NO","NO",HLOOKUP(L$15,Data_5!$F$10:$BG$42,$A38+2,FALSE)/Data_5!$BH33))))),"")</f>
        <v>NO</v>
      </c>
      <c r="M38" s="1122">
        <f>IFERROR(IF(HLOOKUP(M$15,Data_5!$F$10:$BG$42,$A38+2,FALSE)="NO","NO",IF(HLOOKUP(M$15,Data_5!$F$10:$BG$42,$A38+2,FALSE)="IE","IE",IF(HLOOKUP(M$15,Data_5!$F$10:$BG$42,$A38+2,FALSE)="NE","NE",IF(HLOOKUP(M$15,Data_5!$F$10:$BG$42,$A38+2,FALSE)="C","C",IF(HLOOKUP(M$15,Data_5!$F$10:$BG$42,$A38+2,FALSE)="NO","NO",HLOOKUP(M$15,Data_5!$F$10:$BG$42,$A38+2,FALSE)/Data_5!$BH33))))),"")</f>
        <v>3.9133301462512056E-6</v>
      </c>
      <c r="N38" s="1122">
        <f>IFERROR(IF(HLOOKUP(N$15,Data_5!$F$10:$BG$42,$A38+2,FALSE)="NO","NO",IF(HLOOKUP(N$15,Data_5!$F$10:$BG$42,$A38+2,FALSE)="IE","IE",IF(HLOOKUP(N$15,Data_5!$F$10:$BG$42,$A38+2,FALSE)="NE","NE",IF(HLOOKUP(N$15,Data_5!$F$10:$BG$42,$A38+2,FALSE)="C","C",IF(HLOOKUP(N$15,Data_5!$F$10:$BG$42,$A38+2,FALSE)="NO","NO",HLOOKUP(N$15,Data_5!$F$10:$BG$42,$A38+2,FALSE)/Data_5!$BH33))))),"")</f>
        <v>3.7921770360685953E-5</v>
      </c>
      <c r="O38" s="1122">
        <f>IFERROR(IF(HLOOKUP(O$15,Data_5!$F$10:$BG$42,$A38+2,FALSE)="NO","NO",IF(HLOOKUP(O$15,Data_5!$F$10:$BG$42,$A38+2,FALSE)="IE","IE",IF(HLOOKUP(O$15,Data_5!$F$10:$BG$42,$A38+2,FALSE)="NE","NE",IF(HLOOKUP(O$15,Data_5!$F$10:$BG$42,$A38+2,FALSE)="C","C",IF(HLOOKUP(O$15,Data_5!$F$10:$BG$42,$A38+2,FALSE)="NO","NO",HLOOKUP(O$15,Data_5!$F$10:$BG$42,$A38+2,FALSE)/Data_5!$BH33))))),"")</f>
        <v>1.847819044759505E-3</v>
      </c>
      <c r="P38" s="1122">
        <f>IFERROR(IF(HLOOKUP(P$15,Data_5!$F$10:$BG$42,$A38+2,FALSE)="NO","NO",IF(HLOOKUP(P$15,Data_5!$F$10:$BG$42,$A38+2,FALSE)="IE","IE",IF(HLOOKUP(P$15,Data_5!$F$10:$BG$42,$A38+2,FALSE)="NE","NE",IF(HLOOKUP(P$15,Data_5!$F$10:$BG$42,$A38+2,FALSE)="C","C",IF(HLOOKUP(P$15,Data_5!$F$10:$BG$42,$A38+2,FALSE)="NO","NO",HLOOKUP(P$15,Data_5!$F$10:$BG$42,$A38+2,FALSE)/Data_5!$BH33))))),"")</f>
        <v>1.1257301087857785E-3</v>
      </c>
      <c r="Q38" s="1122">
        <f>IFERROR(IF(HLOOKUP(Q$15,Data_5!$F$10:$BG$42,$A38+2,FALSE)="NO","NO",IF(HLOOKUP(Q$15,Data_5!$F$10:$BG$42,$A38+2,FALSE)="IE","IE",IF(HLOOKUP(Q$15,Data_5!$F$10:$BG$42,$A38+2,FALSE)="NE","NE",IF(HLOOKUP(Q$15,Data_5!$F$10:$BG$42,$A38+2,FALSE)="C","C",IF(HLOOKUP(Q$15,Data_5!$F$10:$BG$42,$A38+2,FALSE)="NO","NO",HLOOKUP(Q$15,Data_5!$F$10:$BG$42,$A38+2,FALSE)/Data_5!$BH33))))),"")</f>
        <v>5.8108057115020373E-2</v>
      </c>
      <c r="R38" s="1122">
        <f>IFERROR(IF(HLOOKUP(R$15,Data_5!$F$10:$BG$42,$A38+2,FALSE)="NO","NO",IF(HLOOKUP(R$15,Data_5!$F$10:$BG$42,$A38+2,FALSE)="IE","IE",IF(HLOOKUP(R$15,Data_5!$F$10:$BG$42,$A38+2,FALSE)="NE","NE",IF(HLOOKUP(R$15,Data_5!$F$10:$BG$42,$A38+2,FALSE)="C","C",IF(HLOOKUP(R$15,Data_5!$F$10:$BG$42,$A38+2,FALSE)="NO","NO",HLOOKUP(R$15,Data_5!$F$10:$BG$42,$A38+2,FALSE)/Data_5!$BH33))))),"")</f>
        <v>7.6384663632123361E-3</v>
      </c>
      <c r="S38" s="1122">
        <f>IFERROR(IF(HLOOKUP(S$15,Data_5!$F$10:$BG$42,$A38+2,FALSE)="NO","NO",IF(HLOOKUP(S$15,Data_5!$F$10:$BG$42,$A38+2,FALSE)="IE","IE",IF(HLOOKUP(S$15,Data_5!$F$10:$BG$42,$A38+2,FALSE)="NE","NE",IF(HLOOKUP(S$15,Data_5!$F$10:$BG$42,$A38+2,FALSE)="C","C",IF(HLOOKUP(S$15,Data_5!$F$10:$BG$42,$A38+2,FALSE)="NO","NO",HLOOKUP(S$15,Data_5!$F$10:$BG$42,$A38+2,FALSE)/Data_5!$BH33))))),"")</f>
        <v>0.33653044769259521</v>
      </c>
      <c r="T38" s="1122" t="str">
        <f>IFERROR(IF(HLOOKUP(T$15,Data_5!$F$10:$BG$42,$A38+2,FALSE)="NO","NO",IF(HLOOKUP(T$15,Data_5!$F$10:$BG$42,$A38+2,FALSE)="IE","IE",IF(HLOOKUP(T$15,Data_5!$F$10:$BG$42,$A38+2,FALSE)="NE","NE",IF(HLOOKUP(T$15,Data_5!$F$10:$BG$42,$A38+2,FALSE)="C","C",IF(HLOOKUP(T$15,Data_5!$F$10:$BG$42,$A38+2,FALSE)="NO","NO",HLOOKUP(T$15,Data_5!$F$10:$BG$42,$A38+2,FALSE)/Data_5!$BH33))))),"")</f>
        <v>NO</v>
      </c>
      <c r="U38" s="1122">
        <f>IFERROR(IF(HLOOKUP(U$15,Data_5!$F$10:$BG$42,$A38+2,FALSE)="NO","NO",IF(HLOOKUP(U$15,Data_5!$F$10:$BG$42,$A38+2,FALSE)="IE","IE",IF(HLOOKUP(U$15,Data_5!$F$10:$BG$42,$A38+2,FALSE)="NE","NE",IF(HLOOKUP(U$15,Data_5!$F$10:$BG$42,$A38+2,FALSE)="C","C",IF(HLOOKUP(U$15,Data_5!$F$10:$BG$42,$A38+2,FALSE)="NO","NO",HLOOKUP(U$15,Data_5!$F$10:$BG$42,$A38+2,FALSE)/Data_5!$BH33))))),"")</f>
        <v>2.3332113470468901E-4</v>
      </c>
      <c r="V38" s="1122">
        <f>IFERROR(IF(HLOOKUP(V$15,Data_5!$F$10:$BG$42,$A38+2,FALSE)="NO","NO",IF(HLOOKUP(V$15,Data_5!$F$10:$BG$42,$A38+2,FALSE)="IE","IE",IF(HLOOKUP(V$15,Data_5!$F$10:$BG$42,$A38+2,FALSE)="NE","NE",IF(HLOOKUP(V$15,Data_5!$F$10:$BG$42,$A38+2,FALSE)="C","C",IF(HLOOKUP(V$15,Data_5!$F$10:$BG$42,$A38+2,FALSE)="NO","NO",HLOOKUP(V$15,Data_5!$F$10:$BG$42,$A38+2,FALSE)/Data_5!$BH33))))),"")</f>
        <v>5.492474987047513E-3</v>
      </c>
      <c r="W38" s="1122">
        <f>IFERROR(IF(HLOOKUP(W$15,Data_5!$F$10:$BG$42,$A38+2,FALSE)="NO","NO",IF(HLOOKUP(W$15,Data_5!$F$10:$BG$42,$A38+2,FALSE)="IE","IE",IF(HLOOKUP(W$15,Data_5!$F$10:$BG$42,$A38+2,FALSE)="NE","NE",IF(HLOOKUP(W$15,Data_5!$F$10:$BG$42,$A38+2,FALSE)="C","C",IF(HLOOKUP(W$15,Data_5!$F$10:$BG$42,$A38+2,FALSE)="NO","NO",HLOOKUP(W$15,Data_5!$F$10:$BG$42,$A38+2,FALSE)/Data_5!$BH33))))),"")</f>
        <v>6.2659421891640081E-4</v>
      </c>
      <c r="X38" s="1122" t="str">
        <f>IFERROR(IF(HLOOKUP(X$15,Data_5!$F$10:$BG$42,$A38+2,FALSE)="NO","NO",IF(HLOOKUP(X$15,Data_5!$F$10:$BG$42,$A38+2,FALSE)="IE","IE",IF(HLOOKUP(X$15,Data_5!$F$10:$BG$42,$A38+2,FALSE)="NE","NE",IF(HLOOKUP(X$15,Data_5!$F$10:$BG$42,$A38+2,FALSE)="C","C",IF(HLOOKUP(X$15,Data_5!$F$10:$BG$42,$A38+2,FALSE)="NO","NO",HLOOKUP(X$15,Data_5!$F$10:$BG$42,$A38+2,FALSE)/Data_5!$BH33))))),"")</f>
        <v>NO</v>
      </c>
      <c r="Y38" s="1122" t="str">
        <f>IFERROR(IF(HLOOKUP(Y$15,Data_5!$F$10:$BG$42,$A38+2,FALSE)="NO","NO",IF(HLOOKUP(Y$15,Data_5!$F$10:$BG$42,$A38+2,FALSE)="IE","IE",IF(HLOOKUP(Y$15,Data_5!$F$10:$BG$42,$A38+2,FALSE)="NE","NE",IF(HLOOKUP(Y$15,Data_5!$F$10:$BG$42,$A38+2,FALSE)="C","C",IF(HLOOKUP(Y$15,Data_5!$F$10:$BG$42,$A38+2,FALSE)="NO","NO",HLOOKUP(Y$15,Data_5!$F$10:$BG$42,$A38+2,FALSE)/Data_5!$BH33))))),"")</f>
        <v>IE</v>
      </c>
      <c r="Z38" s="1122" t="str">
        <f>IFERROR(IF(HLOOKUP(Z$15,Data_5!$F$10:$BG$42,$A38+2,FALSE)="NO","NO",IF(HLOOKUP(Z$15,Data_5!$F$10:$BG$42,$A38+2,FALSE)="IE","IE",IF(HLOOKUP(Z$15,Data_5!$F$10:$BG$42,$A38+2,FALSE)="NE","NE",IF(HLOOKUP(Z$15,Data_5!$F$10:$BG$42,$A38+2,FALSE)="C","C",IF(HLOOKUP(Z$15,Data_5!$F$10:$BG$42,$A38+2,FALSE)="NO","NO",HLOOKUP(Z$15,Data_5!$F$10:$BG$42,$A38+2,FALSE)/Data_5!$BH33))))),"")</f>
        <v>NO</v>
      </c>
      <c r="AA38" s="1122" t="str">
        <f>IFERROR(IF(HLOOKUP(AA$15,Data_5!$F$10:$BG$42,$A38+2,FALSE)="NO","NO",IF(HLOOKUP(AA$15,Data_5!$F$10:$BG$42,$A38+2,FALSE)="IE","IE",IF(HLOOKUP(AA$15,Data_5!$F$10:$BG$42,$A38+2,FALSE)="NE","NE",IF(HLOOKUP(AA$15,Data_5!$F$10:$BG$42,$A38+2,FALSE)="C","C",IF(HLOOKUP(AA$15,Data_5!$F$10:$BG$42,$A38+2,FALSE)="NO","NO",HLOOKUP(AA$15,Data_5!$F$10:$BG$42,$A38+2,FALSE)/Data_5!$BH33))))),"")</f>
        <v>IE</v>
      </c>
      <c r="AB38" s="1122" t="str">
        <f>IFERROR(IF(HLOOKUP(AB$15,Data_5!$F$10:$BG$42,$A38+2,FALSE)="NO","NO",IF(HLOOKUP(AB$15,Data_5!$F$10:$BG$42,$A38+2,FALSE)="IE","IE",IF(HLOOKUP(AB$15,Data_5!$F$10:$BG$42,$A38+2,FALSE)="NE","NE",IF(HLOOKUP(AB$15,Data_5!$F$10:$BG$42,$A38+2,FALSE)="C","C",IF(HLOOKUP(AB$15,Data_5!$F$10:$BG$42,$A38+2,FALSE)="NO","NO",HLOOKUP(AB$15,Data_5!$F$10:$BG$42,$A38+2,FALSE)/Data_5!$BH33))))),"")</f>
        <v>NO</v>
      </c>
      <c r="AC38" s="1122">
        <f>IFERROR(IF(HLOOKUP(AC$15,Data_5!$F$10:$BG$42,$A38+2,FALSE)="NO","NO",IF(HLOOKUP(AC$15,Data_5!$F$10:$BG$42,$A38+2,FALSE)="IE","IE",IF(HLOOKUP(AC$15,Data_5!$F$10:$BG$42,$A38+2,FALSE)="NE","NE",IF(HLOOKUP(AC$15,Data_5!$F$10:$BG$42,$A38+2,FALSE)="C","C",IF(HLOOKUP(AC$15,Data_5!$F$10:$BG$42,$A38+2,FALSE)="NO","NO",HLOOKUP(AC$15,Data_5!$F$10:$BG$42,$A38+2,FALSE)/Data_5!$BH33))))),"")</f>
        <v>2.9195523373637636E-2</v>
      </c>
      <c r="AD38" s="1122">
        <f>IFERROR(IF(HLOOKUP(AD$15,Data_5!$F$10:$BG$42,$A38+2,FALSE)="NO","NO",IF(HLOOKUP(AD$15,Data_5!$F$10:$BG$42,$A38+2,FALSE)="IE","IE",IF(HLOOKUP(AD$15,Data_5!$F$10:$BG$42,$A38+2,FALSE)="NE","NE",IF(HLOOKUP(AD$15,Data_5!$F$10:$BG$42,$A38+2,FALSE)="C","C",IF(HLOOKUP(AD$15,Data_5!$F$10:$BG$42,$A38+2,FALSE)="NO","NO",HLOOKUP(AD$15,Data_5!$F$10:$BG$42,$A38+2,FALSE)/Data_5!$BH33))))),"")</f>
        <v>7.8666825930985521E-2</v>
      </c>
      <c r="AE38" s="1122">
        <f>IFERROR(IF(HLOOKUP(AE$15,Data_5!$F$10:$BG$42,$A38+2,FALSE)="NO","NO",IF(HLOOKUP(AE$15,Data_5!$F$10:$BG$42,$A38+2,FALSE)="IE","IE",IF(HLOOKUP(AE$15,Data_5!$F$10:$BG$42,$A38+2,FALSE)="NE","NE",IF(HLOOKUP(AE$15,Data_5!$F$10:$BG$42,$A38+2,FALSE)="C","C",IF(HLOOKUP(AE$15,Data_5!$F$10:$BG$42,$A38+2,FALSE)="NO","NO",HLOOKUP(AE$15,Data_5!$F$10:$BG$42,$A38+2,FALSE)/Data_5!$BH33))))),"")</f>
        <v>4.6133211587137656E-5</v>
      </c>
      <c r="AF38" s="1122" t="str">
        <f>IFERROR(IF(HLOOKUP(AF$15,Data_5!$F$10:$BG$42,$A38+2,FALSE)="NO","NO",IF(HLOOKUP(AF$15,Data_5!$F$10:$BG$42,$A38+2,FALSE)="IE","IE",IF(HLOOKUP(AF$15,Data_5!$F$10:$BG$42,$A38+2,FALSE)="NE","NE",IF(HLOOKUP(AF$15,Data_5!$F$10:$BG$42,$A38+2,FALSE)="C","C",IF(HLOOKUP(AF$15,Data_5!$F$10:$BG$42,$A38+2,FALSE)="NO","NO",HLOOKUP(AF$15,Data_5!$F$10:$BG$42,$A38+2,FALSE)/Data_5!$BH33))))),"")</f>
        <v>NO</v>
      </c>
      <c r="AG38" s="1122">
        <f>IFERROR(IF(HLOOKUP(AG$15,Data_5!$F$10:$BG$42,$A38+2,FALSE)="NO","NO",IF(HLOOKUP(AG$15,Data_5!$F$10:$BG$42,$A38+2,FALSE)="IE","IE",IF(HLOOKUP(AG$15,Data_5!$F$10:$BG$42,$A38+2,FALSE)="NE","NE",IF(HLOOKUP(AG$15,Data_5!$F$10:$BG$42,$A38+2,FALSE)="C","C",IF(HLOOKUP(AG$15,Data_5!$F$10:$BG$42,$A38+2,FALSE)="NO","NO",HLOOKUP(AG$15,Data_5!$F$10:$BG$42,$A38+2,FALSE)/Data_5!$BH33))))),"")</f>
        <v>2.8371171511229752E-5</v>
      </c>
      <c r="AH38" s="1122" t="str">
        <f>IFERROR(IF(HLOOKUP(AH$15,Data_5!$F$10:$BG$42,$A38+2,FALSE)="NO","NO",IF(HLOOKUP(AH$15,Data_5!$F$10:$BG$42,$A38+2,FALSE)="IE","IE",IF(HLOOKUP(AH$15,Data_5!$F$10:$BG$42,$A38+2,FALSE)="NE","NE",IF(HLOOKUP(AH$15,Data_5!$F$10:$BG$42,$A38+2,FALSE)="C","C",IF(HLOOKUP(AH$15,Data_5!$F$10:$BG$42,$A38+2,FALSE)="NO","NO",HLOOKUP(AH$15,Data_5!$F$10:$BG$42,$A38+2,FALSE)/Data_5!$BH33))))),"")</f>
        <v>NO</v>
      </c>
      <c r="AI38" s="1122">
        <f>IFERROR(IF(HLOOKUP(AI$15,Data_5!$F$10:$BG$42,$A38+2,FALSE)="NO","NO",IF(HLOOKUP(AI$15,Data_5!$F$10:$BG$42,$A38+2,FALSE)="IE","IE",IF(HLOOKUP(AI$15,Data_5!$F$10:$BG$42,$A38+2,FALSE)="NE","NE",IF(HLOOKUP(AI$15,Data_5!$F$10:$BG$42,$A38+2,FALSE)="C","C",IF(HLOOKUP(AI$15,Data_5!$F$10:$BG$42,$A38+2,FALSE)="NO","NO",HLOOKUP(AI$15,Data_5!$F$10:$BG$42,$A38+2,FALSE)/Data_5!$BH33))))),"")</f>
        <v>3.9368102432577858E-2</v>
      </c>
      <c r="AJ38" s="1122" t="str">
        <f>IFERROR(IF(HLOOKUP(AJ$15,Data_5!$F$10:$BG$42,$A38+2,FALSE)="NO","NO",IF(HLOOKUP(AJ$15,Data_5!$F$10:$BG$42,$A38+2,FALSE)="IE","IE",IF(HLOOKUP(AJ$15,Data_5!$F$10:$BG$42,$A38+2,FALSE)="NE","NE",IF(HLOOKUP(AJ$15,Data_5!$F$10:$BG$42,$A38+2,FALSE)="C","C",IF(HLOOKUP(AJ$15,Data_5!$F$10:$BG$42,$A38+2,FALSE)="NO","NO",HLOOKUP(AJ$15,Data_5!$F$10:$BG$42,$A38+2,FALSE)/Data_5!$BH33))))),"")</f>
        <v>NO</v>
      </c>
      <c r="AL38" s="2628" t="str">
        <f t="shared" si="0"/>
        <v>Rio de Janeiro</v>
      </c>
      <c r="AM38" s="2629"/>
      <c r="AN38" s="1100">
        <f t="shared" si="1"/>
        <v>2012</v>
      </c>
      <c r="AO38" s="1122" t="str">
        <f>IFERROR(IF(VLOOKUP($AL38,Data_5!$B$12:$E$42,4,FALSE)="BASIC","",(IF(HLOOKUP(AO$15,Data_5!$F$10:$BG$42,$A38+2,FALSE)="NO","NO",IF(HLOOKUP(AO$15,Data_5!$F$10:$BG$42,$A38+2,FALSE)="IE","IE",IF(HLOOKUP(AO$15,Data_5!$F$10:$BG$42,$A38+2,FALSE)="NE","NE",IF(HLOOKUP(AO$15,Data_5!$F$10:$BG$42,$A38+2,FALSE)="C","C",IF(HLOOKUP(AO$15,Data_5!$F$10:$BG$42,$A38+2,FALSE)="NO","NO",HLOOKUP(AO$15,Data_5!$F$10:$BG$42,$A38+2,FALSE)/Data_5!$BI33))))))),"")</f>
        <v/>
      </c>
      <c r="AP38" s="1122" t="str">
        <f>IFERROR(IF(VLOOKUP($AL38,Data_5!$B$12:$E$42,4,FALSE)="BASIC","",(IF(HLOOKUP(AP$15,Data_5!$F$10:$BG$42,$A38+2,FALSE)="NO","NO",IF(HLOOKUP(AP$15,Data_5!$F$10:$BG$42,$A38+2,FALSE)="IE","IE",IF(HLOOKUP(AP$15,Data_5!$F$10:$BG$42,$A38+2,FALSE)="NE","NE",IF(HLOOKUP(AP$15,Data_5!$F$10:$BG$42,$A38+2,FALSE)="C","C",IF(HLOOKUP(AP$15,Data_5!$F$10:$BG$42,$A38+2,FALSE)="NO","NO",HLOOKUP(AP$15,Data_5!$F$10:$BG$42,$A38+2,FALSE)/Data_5!$BI33))))))),"")</f>
        <v/>
      </c>
      <c r="AQ38" s="1122" t="str">
        <f>IFERROR(IF(VLOOKUP($AL38,Data_5!$B$12:$E$42,4,FALSE)="BASIC","",(IF(HLOOKUP(AQ$15,Data_5!$F$10:$BG$42,$A38+2,FALSE)="NO","NO",IF(HLOOKUP(AQ$15,Data_5!$F$10:$BG$42,$A38+2,FALSE)="IE","IE",IF(HLOOKUP(AQ$15,Data_5!$F$10:$BG$42,$A38+2,FALSE)="NE","NE",IF(HLOOKUP(AQ$15,Data_5!$F$10:$BG$42,$A38+2,FALSE)="C","C",IF(HLOOKUP(AQ$15,Data_5!$F$10:$BG$42,$A38+2,FALSE)="NO","NO",HLOOKUP(AQ$15,Data_5!$F$10:$BG$42,$A38+2,FALSE)/Data_5!$BI33))))))),"")</f>
        <v/>
      </c>
      <c r="AR38" s="1122" t="str">
        <f>IFERROR(IF(VLOOKUP($AL38,Data_5!$B$12:$E$42,4,FALSE)="BASIC","",(IF(HLOOKUP(AR$15,Data_5!$F$10:$BG$42,$A38+2,FALSE)="NO","NO",IF(HLOOKUP(AR$15,Data_5!$F$10:$BG$42,$A38+2,FALSE)="IE","IE",IF(HLOOKUP(AR$15,Data_5!$F$10:$BG$42,$A38+2,FALSE)="NE","NE",IF(HLOOKUP(AR$15,Data_5!$F$10:$BG$42,$A38+2,FALSE)="C","C",IF(HLOOKUP(AR$15,Data_5!$F$10:$BG$42,$A38+2,FALSE)="NO","NO",HLOOKUP(AR$15,Data_5!$F$10:$BG$42,$A38+2,FALSE)/Data_5!$BI33))))))),"")</f>
        <v/>
      </c>
      <c r="AS38" s="1122" t="str">
        <f>IFERROR(IF(VLOOKUP($AL38,Data_5!$B$12:$E$42,4,FALSE)="BASIC","",(IF(HLOOKUP(AS$15,Data_5!$F$10:$BG$42,$A38+2,FALSE)="NO","NO",IF(HLOOKUP(AS$15,Data_5!$F$10:$BG$42,$A38+2,FALSE)="IE","IE",IF(HLOOKUP(AS$15,Data_5!$F$10:$BG$42,$A38+2,FALSE)="NE","NE",IF(HLOOKUP(AS$15,Data_5!$F$10:$BG$42,$A38+2,FALSE)="C","C",IF(HLOOKUP(AS$15,Data_5!$F$10:$BG$42,$A38+2,FALSE)="NO","NO",HLOOKUP(AS$15,Data_5!$F$10:$BG$42,$A38+2,FALSE)/Data_5!$BI33))))))),"")</f>
        <v/>
      </c>
      <c r="AT38" s="1122" t="str">
        <f>IFERROR(IF(VLOOKUP($AL38,Data_5!$B$12:$E$42,4,FALSE)="BASIC","",(IF(HLOOKUP(AT$15,Data_5!$F$10:$BG$42,$A38+2,FALSE)="NO","NO",IF(HLOOKUP(AT$15,Data_5!$F$10:$BG$42,$A38+2,FALSE)="IE","IE",IF(HLOOKUP(AT$15,Data_5!$F$10:$BG$42,$A38+2,FALSE)="NE","NE",IF(HLOOKUP(AT$15,Data_5!$F$10:$BG$42,$A38+2,FALSE)="C","C",IF(HLOOKUP(AT$15,Data_5!$F$10:$BG$42,$A38+2,FALSE)="NO","NO",HLOOKUP(AT$15,Data_5!$F$10:$BG$42,$A38+2,FALSE)/Data_5!$BI33))))))),"")</f>
        <v/>
      </c>
      <c r="AU38" s="1122" t="str">
        <f>IFERROR(IF(VLOOKUP($AL38,Data_5!$B$12:$E$42,4,FALSE)="BASIC","",(IF(HLOOKUP(AU$15,Data_5!$F$10:$BG$42,$A38+2,FALSE)="NO","NO",IF(HLOOKUP(AU$15,Data_5!$F$10:$BG$42,$A38+2,FALSE)="IE","IE",IF(HLOOKUP(AU$15,Data_5!$F$10:$BG$42,$A38+2,FALSE)="NE","NE",IF(HLOOKUP(AU$15,Data_5!$F$10:$BG$42,$A38+2,FALSE)="C","C",IF(HLOOKUP(AU$15,Data_5!$F$10:$BG$42,$A38+2,FALSE)="NO","NO",HLOOKUP(AU$15,Data_5!$F$10:$BG$42,$A38+2,FALSE)/Data_5!$BI33))))))),"")</f>
        <v/>
      </c>
      <c r="AV38" s="1122" t="str">
        <f>IFERROR(IF(VLOOKUP($AL38,Data_5!$B$12:$E$42,4,FALSE)="BASIC","",(IF(HLOOKUP(AV$15,Data_5!$F$10:$BG$42,$A38+2,FALSE)="NO","NO",IF(HLOOKUP(AV$15,Data_5!$F$10:$BG$42,$A38+2,FALSE)="IE","IE",IF(HLOOKUP(AV$15,Data_5!$F$10:$BG$42,$A38+2,FALSE)="NE","NE",IF(HLOOKUP(AV$15,Data_5!$F$10:$BG$42,$A38+2,FALSE)="C","C",IF(HLOOKUP(AV$15,Data_5!$F$10:$BG$42,$A38+2,FALSE)="NO","NO",HLOOKUP(AV$15,Data_5!$F$10:$BG$42,$A38+2,FALSE)/Data_5!$BI33))))))),"")</f>
        <v/>
      </c>
      <c r="AW38" s="1122" t="str">
        <f>IFERROR(IF(VLOOKUP($AL38,Data_5!$B$12:$E$42,4,FALSE)="BASIC","",(IF(HLOOKUP(AW$15,Data_5!$F$10:$BG$42,$A38+2,FALSE)="NO","NO",IF(HLOOKUP(AW$15,Data_5!$F$10:$BG$42,$A38+2,FALSE)="IE","IE",IF(HLOOKUP(AW$15,Data_5!$F$10:$BG$42,$A38+2,FALSE)="NE","NE",IF(HLOOKUP(AW$15,Data_5!$F$10:$BG$42,$A38+2,FALSE)="C","C",IF(HLOOKUP(AW$15,Data_5!$F$10:$BG$42,$A38+2,FALSE)="NO","NO",HLOOKUP(AW$15,Data_5!$F$10:$BG$42,$A38+2,FALSE)/Data_5!$BI33))))))),"")</f>
        <v/>
      </c>
      <c r="AX38" s="1122" t="str">
        <f>IFERROR(IF(VLOOKUP($AL38,Data_5!$B$12:$E$42,4,FALSE)="BASIC","",(IF(HLOOKUP(AX$15,Data_5!$F$10:$BG$42,$A38+2,FALSE)="NO","NO",IF(HLOOKUP(AX$15,Data_5!$F$10:$BG$42,$A38+2,FALSE)="IE","IE",IF(HLOOKUP(AX$15,Data_5!$F$10:$BG$42,$A38+2,FALSE)="NE","NE",IF(HLOOKUP(AX$15,Data_5!$F$10:$BG$42,$A38+2,FALSE)="C","C",IF(HLOOKUP(AX$15,Data_5!$F$10:$BG$42,$A38+2,FALSE)="NO","NO",HLOOKUP(AX$15,Data_5!$F$10:$BG$42,$A38+2,FALSE)/Data_5!$BI33))))))),"")</f>
        <v/>
      </c>
      <c r="AY38" s="1122" t="str">
        <f>IFERROR(IF(VLOOKUP($AL38,Data_5!$B$12:$E$42,4,FALSE)="BASIC","",(IF(HLOOKUP(AY$15,Data_5!$F$10:$BG$42,$A38+2,FALSE)="NO","NO",IF(HLOOKUP(AY$15,Data_5!$F$10:$BG$42,$A38+2,FALSE)="IE","IE",IF(HLOOKUP(AY$15,Data_5!$F$10:$BG$42,$A38+2,FALSE)="NE","NE",IF(HLOOKUP(AY$15,Data_5!$F$10:$BG$42,$A38+2,FALSE)="C","C",IF(HLOOKUP(AY$15,Data_5!$F$10:$BG$42,$A38+2,FALSE)="NO","NO",HLOOKUP(AY$15,Data_5!$F$10:$BG$42,$A38+2,FALSE)/Data_5!$BI33))))))),"")</f>
        <v/>
      </c>
      <c r="AZ38" s="1122" t="str">
        <f>IFERROR(IF(VLOOKUP($AL38,Data_5!$B$12:$E$42,4,FALSE)="BASIC","",(IF(HLOOKUP(AZ$15,Data_5!$F$10:$BG$42,$A38+2,FALSE)="NO","NO",IF(HLOOKUP(AZ$15,Data_5!$F$10:$BG$42,$A38+2,FALSE)="IE","IE",IF(HLOOKUP(AZ$15,Data_5!$F$10:$BG$42,$A38+2,FALSE)="NE","NE",IF(HLOOKUP(AZ$15,Data_5!$F$10:$BG$42,$A38+2,FALSE)="C","C",IF(HLOOKUP(AZ$15,Data_5!$F$10:$BG$42,$A38+2,FALSE)="NO","NO",HLOOKUP(AZ$15,Data_5!$F$10:$BG$42,$A38+2,FALSE)/Data_5!$BI33))))))),"")</f>
        <v/>
      </c>
      <c r="BA38" s="1122" t="str">
        <f>IFERROR(IF(VLOOKUP($AL38,Data_5!$B$12:$E$42,4,FALSE)="BASIC","",(IF(HLOOKUP(BA$15,Data_5!$F$10:$BG$42,$A38+2,FALSE)="NO","NO",IF(HLOOKUP(BA$15,Data_5!$F$10:$BG$42,$A38+2,FALSE)="IE","IE",IF(HLOOKUP(BA$15,Data_5!$F$10:$BG$42,$A38+2,FALSE)="NE","NE",IF(HLOOKUP(BA$15,Data_5!$F$10:$BG$42,$A38+2,FALSE)="C","C",IF(HLOOKUP(BA$15,Data_5!$F$10:$BG$42,$A38+2,FALSE)="NO","NO",HLOOKUP(BA$15,Data_5!$F$10:$BG$42,$A38+2,FALSE)/Data_5!$BI33))))))),"")</f>
        <v/>
      </c>
      <c r="BB38" s="1122" t="str">
        <f>IFERROR(IF(VLOOKUP($AL38,Data_5!$B$12:$E$42,4,FALSE)="BASIC","",(IF(HLOOKUP(BB$15,Data_5!$F$10:$BG$42,$A38+2,FALSE)="NO","NO",IF(HLOOKUP(BB$15,Data_5!$F$10:$BG$42,$A38+2,FALSE)="IE","IE",IF(HLOOKUP(BB$15,Data_5!$F$10:$BG$42,$A38+2,FALSE)="NE","NE",IF(HLOOKUP(BB$15,Data_5!$F$10:$BG$42,$A38+2,FALSE)="C","C",IF(HLOOKUP(BB$15,Data_5!$F$10:$BG$42,$A38+2,FALSE)="NO","NO",HLOOKUP(BB$15,Data_5!$F$10:$BG$42,$A38+2,FALSE)/Data_5!$BI33))))))),"")</f>
        <v/>
      </c>
      <c r="BC38" s="1122" t="str">
        <f>IFERROR(IF(VLOOKUP($AL38,Data_5!$B$12:$E$42,4,FALSE)="BASIC","",(IF(HLOOKUP(BC$15,Data_5!$F$10:$BG$42,$A38+2,FALSE)="NO","NO",IF(HLOOKUP(BC$15,Data_5!$F$10:$BG$42,$A38+2,FALSE)="IE","IE",IF(HLOOKUP(BC$15,Data_5!$F$10:$BG$42,$A38+2,FALSE)="NE","NE",IF(HLOOKUP(BC$15,Data_5!$F$10:$BG$42,$A38+2,FALSE)="C","C",IF(HLOOKUP(BC$15,Data_5!$F$10:$BG$42,$A38+2,FALSE)="NO","NO",HLOOKUP(BC$15,Data_5!$F$10:$BG$42,$A38+2,FALSE)/Data_5!$BI33))))))),"")</f>
        <v/>
      </c>
      <c r="BD38" s="1122" t="str">
        <f>IFERROR(IF(VLOOKUP($AL38,Data_5!$B$12:$E$42,4,FALSE)="BASIC","",(IF(HLOOKUP(BD$15,Data_5!$F$10:$BG$42,$A38+2,FALSE)="NO","NO",IF(HLOOKUP(BD$15,Data_5!$F$10:$BG$42,$A38+2,FALSE)="IE","IE",IF(HLOOKUP(BD$15,Data_5!$F$10:$BG$42,$A38+2,FALSE)="NE","NE",IF(HLOOKUP(BD$15,Data_5!$F$10:$BG$42,$A38+2,FALSE)="C","C",IF(HLOOKUP(BD$15,Data_5!$F$10:$BG$42,$A38+2,FALSE)="NO","NO",HLOOKUP(BD$15,Data_5!$F$10:$BG$42,$A38+2,FALSE)/Data_5!$BI33))))))),"")</f>
        <v/>
      </c>
      <c r="BE38" s="1122" t="str">
        <f>IFERROR(IF(VLOOKUP($AL38,Data_5!$B$12:$E$42,4,FALSE)="BASIC","",(IF(HLOOKUP(BE$15,Data_5!$F$10:$BG$42,$A38+2,FALSE)="NO","NO",IF(HLOOKUP(BE$15,Data_5!$F$10:$BG$42,$A38+2,FALSE)="IE","IE",IF(HLOOKUP(BE$15,Data_5!$F$10:$BG$42,$A38+2,FALSE)="NE","NE",IF(HLOOKUP(BE$15,Data_5!$F$10:$BG$42,$A38+2,FALSE)="C","C",IF(HLOOKUP(BE$15,Data_5!$F$10:$BG$42,$A38+2,FALSE)="NO","NO",HLOOKUP(BE$15,Data_5!$F$10:$BG$42,$A38+2,FALSE)/Data_5!$BI33))))))),"")</f>
        <v/>
      </c>
      <c r="BF38" s="1122" t="str">
        <f>IFERROR(IF(VLOOKUP($AL38,Data_5!$B$12:$E$42,4,FALSE)="BASIC","",(IF(HLOOKUP(BF$15,Data_5!$F$10:$BG$42,$A38+2,FALSE)="NO","NO",IF(HLOOKUP(BF$15,Data_5!$F$10:$BG$42,$A38+2,FALSE)="IE","IE",IF(HLOOKUP(BF$15,Data_5!$F$10:$BG$42,$A38+2,FALSE)="NE","NE",IF(HLOOKUP(BF$15,Data_5!$F$10:$BG$42,$A38+2,FALSE)="C","C",IF(HLOOKUP(BF$15,Data_5!$F$10:$BG$42,$A38+2,FALSE)="NO","NO",HLOOKUP(BF$15,Data_5!$F$10:$BG$42,$A38+2,FALSE)/Data_5!$BI33))))))),"")</f>
        <v/>
      </c>
      <c r="BG38" s="1122" t="str">
        <f>IFERROR(IF(VLOOKUP($AL38,Data_5!$B$12:$E$42,4,FALSE)="BASIC","",(IF(HLOOKUP(BG$15,Data_5!$F$10:$BG$42,$A38+2,FALSE)="NO","NO",IF(HLOOKUP(BG$15,Data_5!$F$10:$BG$42,$A38+2,FALSE)="IE","IE",IF(HLOOKUP(BG$15,Data_5!$F$10:$BG$42,$A38+2,FALSE)="NE","NE",IF(HLOOKUP(BG$15,Data_5!$F$10:$BG$42,$A38+2,FALSE)="C","C",IF(HLOOKUP(BG$15,Data_5!$F$10:$BG$42,$A38+2,FALSE)="NO","NO",HLOOKUP(BG$15,Data_5!$F$10:$BG$42,$A38+2,FALSE)/Data_5!$BI33))))))),"")</f>
        <v/>
      </c>
      <c r="BH38" s="1122" t="str">
        <f>IFERROR(IF(VLOOKUP($AL38,Data_5!$B$12:$E$42,4,FALSE)="BASIC","",(IF(HLOOKUP(BH$15,Data_5!$F$10:$BG$42,$A38+2,FALSE)="NO","NO",IF(HLOOKUP(BH$15,Data_5!$F$10:$BG$42,$A38+2,FALSE)="IE","IE",IF(HLOOKUP(BH$15,Data_5!$F$10:$BG$42,$A38+2,FALSE)="NE","NE",IF(HLOOKUP(BH$15,Data_5!$F$10:$BG$42,$A38+2,FALSE)="C","C",IF(HLOOKUP(BH$15,Data_5!$F$10:$BG$42,$A38+2,FALSE)="NO","NO",HLOOKUP(BH$15,Data_5!$F$10:$BG$42,$A38+2,FALSE)/Data_5!$BI33))))))),"")</f>
        <v/>
      </c>
      <c r="BI38" s="1122" t="str">
        <f>IFERROR(IF(VLOOKUP($AL38,Data_5!$B$12:$E$42,4,FALSE)="BASIC","",(IF(HLOOKUP(BI$15,Data_5!$F$10:$BG$42,$A38+2,FALSE)="NO","NO",IF(HLOOKUP(BI$15,Data_5!$F$10:$BG$42,$A38+2,FALSE)="IE","IE",IF(HLOOKUP(BI$15,Data_5!$F$10:$BG$42,$A38+2,FALSE)="NE","NE",IF(HLOOKUP(BI$15,Data_5!$F$10:$BG$42,$A38+2,FALSE)="C","C",IF(HLOOKUP(BI$15,Data_5!$F$10:$BG$42,$A38+2,FALSE)="NO","NO",HLOOKUP(BI$15,Data_5!$F$10:$BG$42,$A38+2,FALSE)/Data_5!$BI33))))))),"")</f>
        <v/>
      </c>
      <c r="BJ38" s="1122" t="str">
        <f>IFERROR(IF(VLOOKUP($AL38,Data_5!$B$12:$E$42,4,FALSE)="BASIC","",(IF(HLOOKUP(BJ$15,Data_5!$F$10:$BG$42,$A38+2,FALSE)="NO","NO",IF(HLOOKUP(BJ$15,Data_5!$F$10:$BG$42,$A38+2,FALSE)="IE","IE",IF(HLOOKUP(BJ$15,Data_5!$F$10:$BG$42,$A38+2,FALSE)="NE","NE",IF(HLOOKUP(BJ$15,Data_5!$F$10:$BG$42,$A38+2,FALSE)="C","C",IF(HLOOKUP(BJ$15,Data_5!$F$10:$BG$42,$A38+2,FALSE)="NO","NO",HLOOKUP(BJ$15,Data_5!$F$10:$BG$42,$A38+2,FALSE)/Data_5!$BI33))))))),"")</f>
        <v/>
      </c>
      <c r="BK38" s="1122" t="str">
        <f>IFERROR(IF(VLOOKUP($AL38,Data_5!$B$12:$E$42,4,FALSE)="BASIC","",(IF(HLOOKUP(BK$15,Data_5!$F$10:$BG$42,$A38+2,FALSE)="NO","NO",IF(HLOOKUP(BK$15,Data_5!$F$10:$BG$42,$A38+2,FALSE)="IE","IE",IF(HLOOKUP(BK$15,Data_5!$F$10:$BG$42,$A38+2,FALSE)="NE","NE",IF(HLOOKUP(BK$15,Data_5!$F$10:$BG$42,$A38+2,FALSE)="C","C",IF(HLOOKUP(BK$15,Data_5!$F$10:$BG$42,$A38+2,FALSE)="NO","NO",HLOOKUP(BK$15,Data_5!$F$10:$BG$42,$A38+2,FALSE)/Data_5!$BI33))))))),"")</f>
        <v/>
      </c>
      <c r="BL38" s="1122" t="str">
        <f>IFERROR(IF(VLOOKUP($AL38,Data_5!$B$12:$E$42,4,FALSE)="BASIC","",(IF(HLOOKUP(BL$15,Data_5!$F$10:$BG$42,$A38+2,FALSE)="NO","NO",IF(HLOOKUP(BL$15,Data_5!$F$10:$BG$42,$A38+2,FALSE)="IE","IE",IF(HLOOKUP(BL$15,Data_5!$F$10:$BG$42,$A38+2,FALSE)="NE","NE",IF(HLOOKUP(BL$15,Data_5!$F$10:$BG$42,$A38+2,FALSE)="C","C",IF(HLOOKUP(BL$15,Data_5!$F$10:$BG$42,$A38+2,FALSE)="NO","NO",HLOOKUP(BL$15,Data_5!$F$10:$BG$42,$A38+2,FALSE)/Data_5!$BI33))))))),"")</f>
        <v/>
      </c>
      <c r="BM38" s="1122" t="str">
        <f>IFERROR(IF(VLOOKUP($AL38,Data_5!$B$12:$E$42,4,FALSE)="BASIC","",(IF(HLOOKUP(BM$15,Data_5!$F$10:$BG$42,$A38+2,FALSE)="NO","NO",IF(HLOOKUP(BM$15,Data_5!$F$10:$BG$42,$A38+2,FALSE)="IE","IE",IF(HLOOKUP(BM$15,Data_5!$F$10:$BG$42,$A38+2,FALSE)="NE","NE",IF(HLOOKUP(BM$15,Data_5!$F$10:$BG$42,$A38+2,FALSE)="C","C",IF(HLOOKUP(BM$15,Data_5!$F$10:$BG$42,$A38+2,FALSE)="NO","NO",HLOOKUP(BM$15,Data_5!$F$10:$BG$42,$A38+2,FALSE)/Data_5!$BI33))))))),"")</f>
        <v/>
      </c>
      <c r="BN38" s="1122" t="str">
        <f>IFERROR(IF(VLOOKUP($AL38,Data_5!$B$12:$E$42,4,FALSE)="BASIC","",(IF(HLOOKUP(BN$15,Data_5!$F$10:$BG$42,$A38+2,FALSE)="NO","NO",IF(HLOOKUP(BN$15,Data_5!$F$10:$BG$42,$A38+2,FALSE)="IE","IE",IF(HLOOKUP(BN$15,Data_5!$F$10:$BG$42,$A38+2,FALSE)="NE","NE",IF(HLOOKUP(BN$15,Data_5!$F$10:$BG$42,$A38+2,FALSE)="C","C",IF(HLOOKUP(BN$15,Data_5!$F$10:$BG$42,$A38+2,FALSE)="NO","NO",HLOOKUP(BN$15,Data_5!$F$10:$BG$42,$A38+2,FALSE)/Data_5!$BI33))))))),"")</f>
        <v/>
      </c>
      <c r="BO38" s="1122" t="str">
        <f>IFERROR(IF(VLOOKUP($AL38,Data_5!$B$12:$E$42,4,FALSE)="BASIC","",(IF(HLOOKUP(BO$15,Data_5!$F$10:$BG$42,$A38+2,FALSE)="NO","NO",IF(HLOOKUP(BO$15,Data_5!$F$10:$BG$42,$A38+2,FALSE)="IE","IE",IF(HLOOKUP(BO$15,Data_5!$F$10:$BG$42,$A38+2,FALSE)="NE","NE",IF(HLOOKUP(BO$15,Data_5!$F$10:$BG$42,$A38+2,FALSE)="C","C",IF(HLOOKUP(BO$15,Data_5!$F$10:$BG$42,$A38+2,FALSE)="NO","NO",HLOOKUP(BO$15,Data_5!$F$10:$BG$42,$A38+2,FALSE)/Data_5!$BI33))))))),"")</f>
        <v/>
      </c>
      <c r="BP38" s="1122" t="str">
        <f>IFERROR(IF(VLOOKUP($AL38,Data_5!$B$12:$E$42,4,FALSE)="BASIC","",(IF(HLOOKUP(BP$15,Data_5!$F$10:$BG$42,$A38+2,FALSE)="NO","NO",IF(HLOOKUP(BP$15,Data_5!$F$10:$BG$42,$A38+2,FALSE)="IE","IE",IF(HLOOKUP(BP$15,Data_5!$F$10:$BG$42,$A38+2,FALSE)="NE","NE",IF(HLOOKUP(BP$15,Data_5!$F$10:$BG$42,$A38+2,FALSE)="C","C",IF(HLOOKUP(BP$15,Data_5!$F$10:$BG$42,$A38+2,FALSE)="NO","NO",HLOOKUP(BP$15,Data_5!$F$10:$BG$42,$A38+2,FALSE)/Data_5!$BI33))))))),"")</f>
        <v/>
      </c>
      <c r="BQ38" s="1122" t="str">
        <f>IFERROR(IF(VLOOKUP($AL38,Data_5!$B$12:$E$42,4,FALSE)="BASIC","",(IF(HLOOKUP(BQ$15,Data_5!$F$10:$BG$42,$A38+2,FALSE)="NO","NO",IF(HLOOKUP(BQ$15,Data_5!$F$10:$BG$42,$A38+2,FALSE)="IE","IE",IF(HLOOKUP(BQ$15,Data_5!$F$10:$BG$42,$A38+2,FALSE)="NE","NE",IF(HLOOKUP(BQ$15,Data_5!$F$10:$BG$42,$A38+2,FALSE)="C","C",IF(HLOOKUP(BQ$15,Data_5!$F$10:$BG$42,$A38+2,FALSE)="NO","NO",HLOOKUP(BQ$15,Data_5!$F$10:$BG$42,$A38+2,FALSE)/Data_5!$BI33))))))),"")</f>
        <v/>
      </c>
      <c r="BR38" s="1122" t="str">
        <f>IFERROR(IF(VLOOKUP($AL38,Data_5!$B$12:$E$42,4,FALSE)="BASIC","",(IF(HLOOKUP(BR$15,Data_5!$F$10:$BG$42,$A38+2,FALSE)="NO","NO",IF(HLOOKUP(BR$15,Data_5!$F$10:$BG$42,$A38+2,FALSE)="IE","IE",IF(HLOOKUP(BR$15,Data_5!$F$10:$BG$42,$A38+2,FALSE)="NE","NE",IF(HLOOKUP(BR$15,Data_5!$F$10:$BG$42,$A38+2,FALSE)="C","C",IF(HLOOKUP(BR$15,Data_5!$F$10:$BG$42,$A38+2,FALSE)="NO","NO",HLOOKUP(BR$15,Data_5!$F$10:$BG$42,$A38+2,FALSE)/Data_5!$BI33))))))),"")</f>
        <v/>
      </c>
      <c r="BS38" s="1122" t="str">
        <f>IFERROR(IF(VLOOKUP($AL38,Data_5!$B$12:$E$42,4,FALSE)="BASIC","",(IF(HLOOKUP(BS$15,Data_5!$F$10:$BG$42,$A38+2,FALSE)="NO","NO",IF(HLOOKUP(BS$15,Data_5!$F$10:$BG$42,$A38+2,FALSE)="IE","IE",IF(HLOOKUP(BS$15,Data_5!$F$10:$BG$42,$A38+2,FALSE)="NE","NE",IF(HLOOKUP(BS$15,Data_5!$F$10:$BG$42,$A38+2,FALSE)="C","C",IF(HLOOKUP(BS$15,Data_5!$F$10:$BG$42,$A38+2,FALSE)="NO","NO",HLOOKUP(BS$15,Data_5!$F$10:$BG$42,$A38+2,FALSE)/Data_5!$BI33))))))),"")</f>
        <v/>
      </c>
      <c r="BT38" s="1122" t="str">
        <f>IFERROR(IF(VLOOKUP($AL38,Data_5!$B$12:$E$42,4,FALSE)="BASIC","",(IF(HLOOKUP(BT$15,Data_5!$F$10:$BG$42,$A38+2,FALSE)="NO","NO",IF(HLOOKUP(BT$15,Data_5!$F$10:$BG$42,$A38+2,FALSE)="IE","IE",IF(HLOOKUP(BT$15,Data_5!$F$10:$BG$42,$A38+2,FALSE)="NE","NE",IF(HLOOKUP(BT$15,Data_5!$F$10:$BG$42,$A38+2,FALSE)="C","C",IF(HLOOKUP(BT$15,Data_5!$F$10:$BG$42,$A38+2,FALSE)="NO","NO",HLOOKUP(BT$15,Data_5!$F$10:$BG$42,$A38+2,FALSE)/Data_5!$BI33))))))),"")</f>
        <v/>
      </c>
      <c r="BU38" s="1122" t="str">
        <f>IFERROR(IF(VLOOKUP($AL38,Data_5!$B$12:$E$42,4,FALSE)="BASIC","",(IF(HLOOKUP(BU$15,Data_5!$F$10:$BG$42,$A38+2,FALSE)="NO","NO",IF(HLOOKUP(BU$15,Data_5!$F$10:$BG$42,$A38+2,FALSE)="IE","IE",IF(HLOOKUP(BU$15,Data_5!$F$10:$BG$42,$A38+2,FALSE)="NE","NE",IF(HLOOKUP(BU$15,Data_5!$F$10:$BG$42,$A38+2,FALSE)="C","C",IF(HLOOKUP(BU$15,Data_5!$F$10:$BG$42,$A38+2,FALSE)="NO","NO",HLOOKUP(BU$15,Data_5!$F$10:$BG$42,$A38+2,FALSE)/Data_5!$BI33))))))),"")</f>
        <v/>
      </c>
      <c r="BV38" s="1122" t="str">
        <f>IFERROR(IF(VLOOKUP($AL38,Data_5!$B$12:$E$42,4,FALSE)="BASIC","",(IF(HLOOKUP(BV$15,Data_5!$F$10:$BG$42,$A38+2,FALSE)="NO","NO",IF(HLOOKUP(BV$15,Data_5!$F$10:$BG$42,$A38+2,FALSE)="IE","IE",IF(HLOOKUP(BV$15,Data_5!$F$10:$BG$42,$A38+2,FALSE)="NE","NE",IF(HLOOKUP(BV$15,Data_5!$F$10:$BG$42,$A38+2,FALSE)="C","C",IF(HLOOKUP(BV$15,Data_5!$F$10:$BG$42,$A38+2,FALSE)="NO","NO",HLOOKUP(BV$15,Data_5!$F$10:$BG$42,$A38+2,FALSE)/Data_5!$BI33))))))),"")</f>
        <v/>
      </c>
      <c r="BW38" s="1122" t="str">
        <f>IFERROR(IF(VLOOKUP($AL38,Data_5!$B$12:$E$42,4,FALSE)="BASIC","",(IF(HLOOKUP(BW$15,Data_5!$F$10:$BG$42,$A38+2,FALSE)="NO","NO",IF(HLOOKUP(BW$15,Data_5!$F$10:$BG$42,$A38+2,FALSE)="IE","IE",IF(HLOOKUP(BW$15,Data_5!$F$10:$BG$42,$A38+2,FALSE)="NE","NE",IF(HLOOKUP(BW$15,Data_5!$F$10:$BG$42,$A38+2,FALSE)="C","C",IF(HLOOKUP(BW$15,Data_5!$F$10:$BG$42,$A38+2,FALSE)="NO","NO",HLOOKUP(BW$15,Data_5!$F$10:$BG$42,$A38+2,FALSE)/Data_5!$BI33))))))),"")</f>
        <v/>
      </c>
      <c r="BX38" s="1122" t="str">
        <f>IFERROR(IF(VLOOKUP($AL38,Data_5!$B$12:$E$42,4,FALSE)="BASIC","",(IF(HLOOKUP(BX$15,Data_5!$F$10:$BG$42,$A38+2,FALSE)="NO","NO",IF(HLOOKUP(BX$15,Data_5!$F$10:$BG$42,$A38+2,FALSE)="IE","IE",IF(HLOOKUP(BX$15,Data_5!$F$10:$BG$42,$A38+2,FALSE)="NE","NE",IF(HLOOKUP(BX$15,Data_5!$F$10:$BG$42,$A38+2,FALSE)="C","C",IF(HLOOKUP(BX$15,Data_5!$F$10:$BG$42,$A38+2,FALSE)="NO","NO",HLOOKUP(BX$15,Data_5!$F$10:$BG$42,$A38+2,FALSE)/Data_5!$BI33))))))),"")</f>
        <v/>
      </c>
      <c r="BY38" s="1122" t="str">
        <f>IFERROR(IF(VLOOKUP($AL38,Data_5!$B$12:$E$42,4,FALSE)="BASIC","",(IF(HLOOKUP(BY$15,Data_5!$F$10:$BG$42,$A38+2,FALSE)="NO","NO",IF(HLOOKUP(BY$15,Data_5!$F$10:$BG$42,$A38+2,FALSE)="IE","IE",IF(HLOOKUP(BY$15,Data_5!$F$10:$BG$42,$A38+2,FALSE)="NE","NE",IF(HLOOKUP(BY$15,Data_5!$F$10:$BG$42,$A38+2,FALSE)="C","C",IF(HLOOKUP(BY$15,Data_5!$F$10:$BG$42,$A38+2,FALSE)="NO","NO",HLOOKUP(BY$15,Data_5!$F$10:$BG$42,$A38+2,FALSE)/Data_5!$BI33))))))),"")</f>
        <v/>
      </c>
      <c r="BZ38" s="1122" t="str">
        <f>IFERROR(IF(VLOOKUP($AL38,Data_5!$B$12:$E$42,4,FALSE)="BASIC","",(IF(HLOOKUP(BZ$15,Data_5!$F$10:$BG$42,$A38+2,FALSE)="NO","NO",IF(HLOOKUP(BZ$15,Data_5!$F$10:$BG$42,$A38+2,FALSE)="IE","IE",IF(HLOOKUP(BZ$15,Data_5!$F$10:$BG$42,$A38+2,FALSE)="NE","NE",IF(HLOOKUP(BZ$15,Data_5!$F$10:$BG$42,$A38+2,FALSE)="C","C",IF(HLOOKUP(BZ$15,Data_5!$F$10:$BG$42,$A38+2,FALSE)="NO","NO",HLOOKUP(BZ$15,Data_5!$F$10:$BG$42,$A38+2,FALSE)/Data_5!$BI33))))))),"")</f>
        <v/>
      </c>
      <c r="CA38" s="1122" t="str">
        <f>IFERROR(IF(VLOOKUP($AL38,Data_5!$B$12:$E$42,4,FALSE)="BASIC","",(IF(HLOOKUP(CA$15,Data_5!$F$10:$BG$42,$A38+2,FALSE)="NO","NO",IF(HLOOKUP(CA$15,Data_5!$F$10:$BG$42,$A38+2,FALSE)="IE","IE",IF(HLOOKUP(CA$15,Data_5!$F$10:$BG$42,$A38+2,FALSE)="NE","NE",IF(HLOOKUP(CA$15,Data_5!$F$10:$BG$42,$A38+2,FALSE)="C","C",IF(HLOOKUP(CA$15,Data_5!$F$10:$BG$42,$A38+2,FALSE)="NO","NO",HLOOKUP(CA$15,Data_5!$F$10:$BG$42,$A38+2,FALSE)/Data_5!$BI33))))))),"")</f>
        <v/>
      </c>
      <c r="CB38" s="1122" t="str">
        <f>IFERROR(IF(VLOOKUP($AL38,Data_5!$B$12:$E$42,4,FALSE)="BASIC","",(IF(HLOOKUP(CB$15,Data_5!$F$10:$BG$42,$A38+2,FALSE)="NO","NO",IF(HLOOKUP(CB$15,Data_5!$F$10:$BG$42,$A38+2,FALSE)="IE","IE",IF(HLOOKUP(CB$15,Data_5!$F$10:$BG$42,$A38+2,FALSE)="NE","NE",IF(HLOOKUP(CB$15,Data_5!$F$10:$BG$42,$A38+2,FALSE)="C","C",IF(HLOOKUP(CB$15,Data_5!$F$10:$BG$42,$A38+2,FALSE)="NO","NO",HLOOKUP(CB$15,Data_5!$F$10:$BG$42,$A38+2,FALSE)/Data_5!$BI33))))))),"")</f>
        <v/>
      </c>
      <c r="CC38" s="1122" t="str">
        <f>IFERROR(IF(VLOOKUP($AL38,Data_5!$B$12:$E$42,4,FALSE)="BASIC","",(IF(HLOOKUP(CC$15,Data_5!$F$10:$BG$42,$A38+2,FALSE)="NO","NO",IF(HLOOKUP(CC$15,Data_5!$F$10:$BG$42,$A38+2,FALSE)="IE","IE",IF(HLOOKUP(CC$15,Data_5!$F$10:$BG$42,$A38+2,FALSE)="NE","NE",IF(HLOOKUP(CC$15,Data_5!$F$10:$BG$42,$A38+2,FALSE)="C","C",IF(HLOOKUP(CC$15,Data_5!$F$10:$BG$42,$A38+2,FALSE)="NO","NO",HLOOKUP(CC$15,Data_5!$F$10:$BG$42,$A38+2,FALSE)/Data_5!$BI33))))))),"")</f>
        <v/>
      </c>
      <c r="CD38" s="1122" t="str">
        <f>IFERROR(IF(VLOOKUP($AL38,Data_5!$B$12:$E$42,4,FALSE)="BASIC","",(IF(HLOOKUP(CD$15,Data_5!$F$10:$BG$42,$A38+2,FALSE)="NO","NO",IF(HLOOKUP(CD$15,Data_5!$F$10:$BG$42,$A38+2,FALSE)="IE","IE",IF(HLOOKUP(CD$15,Data_5!$F$10:$BG$42,$A38+2,FALSE)="NE","NE",IF(HLOOKUP(CD$15,Data_5!$F$10:$BG$42,$A38+2,FALSE)="C","C",IF(HLOOKUP(CD$15,Data_5!$F$10:$BG$42,$A38+2,FALSE)="NO","NO",HLOOKUP(CD$15,Data_5!$F$10:$BG$42,$A38+2,FALSE)/Data_5!$BI33))))))),"")</f>
        <v/>
      </c>
      <c r="CE38" s="1122" t="str">
        <f>IFERROR(IF(VLOOKUP($AL38,Data_5!$B$12:$E$42,4,FALSE)="BASIC","",(IF(HLOOKUP(CE$15,Data_5!$F$10:$BG$42,$A38+2,FALSE)="NO","NO",IF(HLOOKUP(CE$15,Data_5!$F$10:$BG$42,$A38+2,FALSE)="IE","IE",IF(HLOOKUP(CE$15,Data_5!$F$10:$BG$42,$A38+2,FALSE)="NE","NE",IF(HLOOKUP(CE$15,Data_5!$F$10:$BG$42,$A38+2,FALSE)="C","C",IF(HLOOKUP(CE$15,Data_5!$F$10:$BG$42,$A38+2,FALSE)="NO","NO",HLOOKUP(CE$15,Data_5!$F$10:$BG$42,$A38+2,FALSE)/Data_5!$BI33))))))),"")</f>
        <v/>
      </c>
      <c r="CF38" s="1122" t="str">
        <f>IFERROR(IF(VLOOKUP($AL38,Data_5!$B$12:$E$42,4,FALSE)="BASIC","",(IF(HLOOKUP(CF$15,Data_5!$F$10:$BG$42,$A38+2,FALSE)="NO","NO",IF(HLOOKUP(CF$15,Data_5!$F$10:$BG$42,$A38+2,FALSE)="IE","IE",IF(HLOOKUP(CF$15,Data_5!$F$10:$BG$42,$A38+2,FALSE)="NE","NE",IF(HLOOKUP(CF$15,Data_5!$F$10:$BG$42,$A38+2,FALSE)="C","C",IF(HLOOKUP(CF$15,Data_5!$F$10:$BG$42,$A38+2,FALSE)="NO","NO",HLOOKUP(CF$15,Data_5!$F$10:$BG$42,$A38+2,FALSE)/Data_5!$BI33))))))),"")</f>
        <v/>
      </c>
      <c r="CG38" s="1122" t="str">
        <f>IFERROR(IF(VLOOKUP($AL38,Data_5!$B$12:$E$42,4,FALSE)="BASIC","",(IF(HLOOKUP(CG$15,Data_5!$F$10:$BG$42,$A38+2,FALSE)="NO","NO",IF(HLOOKUP(CG$15,Data_5!$F$10:$BG$42,$A38+2,FALSE)="IE","IE",IF(HLOOKUP(CG$15,Data_5!$F$10:$BG$42,$A38+2,FALSE)="NE","NE",IF(HLOOKUP(CG$15,Data_5!$F$10:$BG$42,$A38+2,FALSE)="C","C",IF(HLOOKUP(CG$15,Data_5!$F$10:$BG$42,$A38+2,FALSE)="NO","NO",HLOOKUP(CG$15,Data_5!$F$10:$BG$42,$A38+2,FALSE)/Data_5!$BI33))))))),"")</f>
        <v/>
      </c>
      <c r="CH38" s="1122" t="str">
        <f>IFERROR(IF(VLOOKUP($AL38,Data_5!$B$12:$E$42,4,FALSE)="BASIC","",(IF(HLOOKUP(CH$15,Data_5!$F$10:$BG$42,$A38+2,FALSE)="NO","NO",IF(HLOOKUP(CH$15,Data_5!$F$10:$BG$42,$A38+2,FALSE)="IE","IE",IF(HLOOKUP(CH$15,Data_5!$F$10:$BG$42,$A38+2,FALSE)="NE","NE",IF(HLOOKUP(CH$15,Data_5!$F$10:$BG$42,$A38+2,FALSE)="C","C",IF(HLOOKUP(CH$15,Data_5!$F$10:$BG$42,$A38+2,FALSE)="NO","NO",HLOOKUP(CH$15,Data_5!$F$10:$BG$42,$A38+2,FALSE)/Data_5!$BI33))))))),"")</f>
        <v/>
      </c>
      <c r="CI38" s="1122" t="str">
        <f>IFERROR(IF(VLOOKUP($AL38,Data_5!$B$12:$E$42,4,FALSE)="BASIC","",(IF(HLOOKUP(CI$15,Data_5!$F$10:$BG$42,$A38+2,FALSE)="NO","NO",IF(HLOOKUP(CI$15,Data_5!$F$10:$BG$42,$A38+2,FALSE)="IE","IE",IF(HLOOKUP(CI$15,Data_5!$F$10:$BG$42,$A38+2,FALSE)="NE","NE",IF(HLOOKUP(CI$15,Data_5!$F$10:$BG$42,$A38+2,FALSE)="C","C",IF(HLOOKUP(CI$15,Data_5!$F$10:$BG$42,$A38+2,FALSE)="NO","NO",HLOOKUP(CI$15,Data_5!$F$10:$BG$42,$A38+2,FALSE)/Data_5!$BI33))))))),"")</f>
        <v/>
      </c>
      <c r="CJ38" s="1122" t="str">
        <f>IFERROR(IF(VLOOKUP($AL38,Data_5!$B$12:$E$42,4,FALSE)="BASIC","",(IF(HLOOKUP(CJ$15,Data_5!$F$10:$BG$42,$A38+2,FALSE)="NO","NO",IF(HLOOKUP(CJ$15,Data_5!$F$10:$BG$42,$A38+2,FALSE)="IE","IE",IF(HLOOKUP(CJ$15,Data_5!$F$10:$BG$42,$A38+2,FALSE)="NE","NE",IF(HLOOKUP(CJ$15,Data_5!$F$10:$BG$42,$A38+2,FALSE)="C","C",IF(HLOOKUP(CJ$15,Data_5!$F$10:$BG$42,$A38+2,FALSE)="NO","NO",HLOOKUP(CJ$15,Data_5!$F$10:$BG$42,$A38+2,FALSE)/Data_5!$BI33))))))),"")</f>
        <v/>
      </c>
      <c r="CL38" s="2628" t="str">
        <f t="shared" si="2"/>
        <v>Rio de Janeiro</v>
      </c>
      <c r="CM38" s="2629"/>
      <c r="CN38" s="1100">
        <f t="shared" si="3"/>
        <v>2012</v>
      </c>
      <c r="CO38" s="1122">
        <f>IFERROR(IF(HLOOKUP(CO$15,Data_5!$F$10:$BG$42,$A38+2,FALSE)="NO","NO",IF(HLOOKUP(CO$15,Data_5!$F$10:$BG$42,$A38+2,FALSE)="IE","IE",IF(HLOOKUP(CO$15,Data_5!$F$10:$BG$42,$A38+2,FALSE)="NE","NE",IF(HLOOKUP(CO$15,Data_5!$F$10:$BG$42,$A38+2,FALSE)="C","C",IF(HLOOKUP(CO$15,Data_5!$F$10:$BG$42,$A38+2,FALSE)="NO","NO",HLOOKUP(CO$15,Data_5!$F$10:$BG$42,$A38+2,FALSE)/Data_5!$BK33))))),"")</f>
        <v>3.8306503560475449E-2</v>
      </c>
      <c r="CP38" s="1122">
        <f>IFERROR(IF(HLOOKUP(CP$15,Data_5!$F$10:$BG$42,$A38+2,FALSE)="NO","NO",IF(HLOOKUP(CP$15,Data_5!$F$10:$BG$42,$A38+2,FALSE)="IE","IE",IF(HLOOKUP(CP$15,Data_5!$F$10:$BG$42,$A38+2,FALSE)="NE","NE",IF(HLOOKUP(CP$15,Data_5!$F$10:$BG$42,$A38+2,FALSE)="C","C",IF(HLOOKUP(CP$15,Data_5!$F$10:$BG$42,$A38+2,FALSE)="NO","NO",HLOOKUP(CP$15,Data_5!$F$10:$BG$42,$A38+2,FALSE)/Data_5!$BK33))))),"")</f>
        <v>7.4276913418933723E-3</v>
      </c>
      <c r="CQ38" s="1122">
        <f>IFERROR(IF(HLOOKUP(CQ$15,Data_5!$F$10:$BG$42,$A38+2,FALSE)="NO","NO",IF(HLOOKUP(CQ$15,Data_5!$F$10:$BG$42,$A38+2,FALSE)="IE","IE",IF(HLOOKUP(CQ$15,Data_5!$F$10:$BG$42,$A38+2,FALSE)="NE","NE",IF(HLOOKUP(CQ$15,Data_5!$F$10:$BG$42,$A38+2,FALSE)="C","C",IF(HLOOKUP(CQ$15,Data_5!$F$10:$BG$42,$A38+2,FALSE)="NO","NO",HLOOKUP(CQ$15,Data_5!$F$10:$BG$42,$A38+2,FALSE)/Data_5!$BK33))))),"")</f>
        <v>5.6246276320210543E-2</v>
      </c>
      <c r="CR38" s="1122">
        <f>IFERROR(IF(HLOOKUP(CR$15,Data_5!$F$10:$BG$42,$A38+2,FALSE)="NO","NO",IF(HLOOKUP(CR$15,Data_5!$F$10:$BG$42,$A38+2,FALSE)="IE","IE",IF(HLOOKUP(CR$15,Data_5!$F$10:$BG$42,$A38+2,FALSE)="NE","NE",IF(HLOOKUP(CR$15,Data_5!$F$10:$BG$42,$A38+2,FALSE)="C","C",IF(HLOOKUP(CR$15,Data_5!$F$10:$BG$42,$A38+2,FALSE)="NO","NO",HLOOKUP(CR$15,Data_5!$F$10:$BG$42,$A38+2,FALSE)/Data_5!$BK33))))),"")</f>
        <v>8.3699325353705639E-2</v>
      </c>
      <c r="CS38" s="1122">
        <f>IFERROR(IF(HLOOKUP(CS$15,Data_5!$F$10:$BG$42,$A38+2,FALSE)="NO","NO",IF(HLOOKUP(CS$15,Data_5!$F$10:$BG$42,$A38+2,FALSE)="IE","IE",IF(HLOOKUP(CS$15,Data_5!$F$10:$BG$42,$A38+2,FALSE)="NE","NE",IF(HLOOKUP(CS$15,Data_5!$F$10:$BG$42,$A38+2,FALSE)="C","C",IF(HLOOKUP(CS$15,Data_5!$F$10:$BG$42,$A38+2,FALSE)="NO","NO",HLOOKUP(CS$15,Data_5!$F$10:$BG$42,$A38+2,FALSE)/Data_5!$BK33))))),"")</f>
        <v>0.20107170523535051</v>
      </c>
      <c r="CT38" s="1122">
        <f>IFERROR(IF(HLOOKUP(CT$15,Data_5!$F$10:$BG$42,$A38+2,FALSE)="NO","NO",IF(HLOOKUP(CT$15,Data_5!$F$10:$BG$42,$A38+2,FALSE)="IE","IE",IF(HLOOKUP(CT$15,Data_5!$F$10:$BG$42,$A38+2,FALSE)="NE","NE",IF(HLOOKUP(CT$15,Data_5!$F$10:$BG$42,$A38+2,FALSE)="C","C",IF(HLOOKUP(CT$15,Data_5!$F$10:$BG$42,$A38+2,FALSE)="NO","NO",HLOOKUP(CT$15,Data_5!$F$10:$BG$42,$A38+2,FALSE)/Data_5!$BK33))))),"")</f>
        <v>3.8371935860103513E-6</v>
      </c>
      <c r="CU38" s="1122">
        <f>IFERROR(IF(HLOOKUP(CU$15,Data_5!$F$10:$BG$42,$A38+2,FALSE)="NO","NO",IF(HLOOKUP(CU$15,Data_5!$F$10:$BG$42,$A38+2,FALSE)="IE","IE",IF(HLOOKUP(CU$15,Data_5!$F$10:$BG$42,$A38+2,FALSE)="NE","NE",IF(HLOOKUP(CU$15,Data_5!$F$10:$BG$42,$A38+2,FALSE)="C","C",IF(HLOOKUP(CU$15,Data_5!$F$10:$BG$42,$A38+2,FALSE)="NO","NO",HLOOKUP(CU$15,Data_5!$F$10:$BG$42,$A38+2,FALSE)/Data_5!$BK33))))),"")</f>
        <v>1.8118684398379392E-3</v>
      </c>
      <c r="CV38" s="1122">
        <f>IFERROR(IF(HLOOKUP(CV$15,Data_5!$F$10:$BG$42,$A38+2,FALSE)="NO","NO",IF(HLOOKUP(CV$15,Data_5!$F$10:$BG$42,$A38+2,FALSE)="IE","IE",IF(HLOOKUP(CV$15,Data_5!$F$10:$BG$42,$A38+2,FALSE)="NE","NE",IF(HLOOKUP(CV$15,Data_5!$F$10:$BG$42,$A38+2,FALSE)="C","C",IF(HLOOKUP(CV$15,Data_5!$F$10:$BG$42,$A38+2,FALSE)="NO","NO",HLOOKUP(CV$15,Data_5!$F$10:$BG$42,$A38+2,FALSE)/Data_5!$BK33))))),"")</f>
        <v>5.6977524441906943E-2</v>
      </c>
      <c r="CW38" s="1122">
        <f>IFERROR(IF(HLOOKUP(CW$15,Data_5!$F$10:$BG$42,$A38+2,FALSE)="NO","NO",IF(HLOOKUP(CW$15,Data_5!$F$10:$BG$42,$A38+2,FALSE)="IE","IE",IF(HLOOKUP(CW$15,Data_5!$F$10:$BG$42,$A38+2,FALSE)="NE","NE",IF(HLOOKUP(CW$15,Data_5!$F$10:$BG$42,$A38+2,FALSE)="C","C",IF(HLOOKUP(CW$15,Data_5!$F$10:$BG$42,$A38+2,FALSE)="NO","NO",HLOOKUP(CW$15,Data_5!$F$10:$BG$42,$A38+2,FALSE)/Data_5!$BK33))))),"")</f>
        <v>7.4898546865390632E-3</v>
      </c>
      <c r="CX38" s="1122">
        <f>IFERROR(IF(HLOOKUP(CX$15,Data_5!$F$10:$BG$42,$A38+2,FALSE)="NO","NO",IF(HLOOKUP(CX$15,Data_5!$F$10:$BG$42,$A38+2,FALSE)="IE","IE",IF(HLOOKUP(CX$15,Data_5!$F$10:$BG$42,$A38+2,FALSE)="NE","NE",IF(HLOOKUP(CX$15,Data_5!$F$10:$BG$42,$A38+2,FALSE)="C","C",IF(HLOOKUP(CX$15,Data_5!$F$10:$BG$42,$A38+2,FALSE)="NO","NO",HLOOKUP(CX$15,Data_5!$F$10:$BG$42,$A38+2,FALSE)/Data_5!$BK33))))),"")</f>
        <v>0.32998301373071137</v>
      </c>
      <c r="CY38" s="1122">
        <f>IFERROR(IF(HLOOKUP(CY$15,Data_5!$F$10:$BG$42,$A38+2,FALSE)="NO","NO",IF(HLOOKUP(CY$15,Data_5!$F$10:$BG$42,$A38+2,FALSE)="IE","IE",IF(HLOOKUP(CY$15,Data_5!$F$10:$BG$42,$A38+2,FALSE)="NE","NE",IF(HLOOKUP(CY$15,Data_5!$F$10:$BG$42,$A38+2,FALSE)="C","C",IF(HLOOKUP(CY$15,Data_5!$F$10:$BG$42,$A38+2,FALSE)="NO","NO",HLOOKUP(CY$15,Data_5!$F$10:$BG$42,$A38+2,FALSE)/Data_5!$BK33))))),"")</f>
        <v>2.2878170972289301E-4</v>
      </c>
      <c r="CZ38" s="1122">
        <f>IFERROR(IF(HLOOKUP(CZ$15,Data_5!$F$10:$BG$42,$A38+2,FALSE)="NO","NO",IF(HLOOKUP(CZ$15,Data_5!$F$10:$BG$42,$A38+2,FALSE)="IE","IE",IF(HLOOKUP(CZ$15,Data_5!$F$10:$BG$42,$A38+2,FALSE)="NE","NE",IF(HLOOKUP(CZ$15,Data_5!$F$10:$BG$42,$A38+2,FALSE)="C","C",IF(HLOOKUP(CZ$15,Data_5!$F$10:$BG$42,$A38+2,FALSE)="NO","NO",HLOOKUP(CZ$15,Data_5!$F$10:$BG$42,$A38+2,FALSE)/Data_5!$BK33))))),"")</f>
        <v>6.144033925071338E-4</v>
      </c>
      <c r="DA38" s="1122" t="str">
        <f>IFERROR(IF(HLOOKUP(DA$15,Data_5!$F$10:$BG$42,$A38+2,FALSE)="NO","NO",IF(HLOOKUP(DA$15,Data_5!$F$10:$BG$42,$A38+2,FALSE)="IE","IE",IF(HLOOKUP(DA$15,Data_5!$F$10:$BG$42,$A38+2,FALSE)="NE","NE",IF(HLOOKUP(DA$15,Data_5!$F$10:$BG$42,$A38+2,FALSE)="C","C",IF(HLOOKUP(DA$15,Data_5!$F$10:$BG$42,$A38+2,FALSE)="NO","NO",HLOOKUP(DA$15,Data_5!$F$10:$BG$42,$A38+2,FALSE)/Data_5!$BK33))))),"")</f>
        <v>IE</v>
      </c>
      <c r="DB38" s="1122" t="str">
        <f>IFERROR(IF(HLOOKUP(DB$15,Data_5!$F$10:$BG$42,$A38+2,FALSE)="NO","NO",IF(HLOOKUP(DB$15,Data_5!$F$10:$BG$42,$A38+2,FALSE)="IE","IE",IF(HLOOKUP(DB$15,Data_5!$F$10:$BG$42,$A38+2,FALSE)="NE","NE",IF(HLOOKUP(DB$15,Data_5!$F$10:$BG$42,$A38+2,FALSE)="C","C",IF(HLOOKUP(DB$15,Data_5!$F$10:$BG$42,$A38+2,FALSE)="NO","NO",HLOOKUP(DB$15,Data_5!$F$10:$BG$42,$A38+2,FALSE)/Data_5!$BK33))))),"")</f>
        <v>IE</v>
      </c>
      <c r="DC38" s="1122">
        <f>IFERROR(IF(HLOOKUP(DC$15,Data_5!$F$10:$BG$42,$A38+2,FALSE)="NO","NO",IF(HLOOKUP(DC$15,Data_5!$F$10:$BG$42,$A38+2,FALSE)="IE","IE",IF(HLOOKUP(DC$15,Data_5!$F$10:$BG$42,$A38+2,FALSE)="NE","NE",IF(HLOOKUP(DC$15,Data_5!$F$10:$BG$42,$A38+2,FALSE)="C","C",IF(HLOOKUP(DC$15,Data_5!$F$10:$BG$42,$A38+2,FALSE)="NO","NO",HLOOKUP(DC$15,Data_5!$F$10:$BG$42,$A38+2,FALSE)/Data_5!$BK33))))),"")</f>
        <v>2.8627504157004553E-2</v>
      </c>
      <c r="DD38" s="1122" t="str">
        <f>IFERROR(IF(HLOOKUP(DD$15,Data_5!$F$10:$BG$42,$A38+2,FALSE)="NO","NO",IF(HLOOKUP(DD$15,Data_5!$F$10:$BG$42,$A38+2,FALSE)="IE","IE",IF(HLOOKUP(DD$15,Data_5!$F$10:$BG$42,$A38+2,FALSE)="NE","NE",IF(HLOOKUP(DD$15,Data_5!$F$10:$BG$42,$A38+2,FALSE)="C","C",IF(HLOOKUP(DD$15,Data_5!$F$10:$BG$42,$A38+2,FALSE)="NO","NO",HLOOKUP(DD$15,Data_5!$F$10:$BG$42,$A38+2,FALSE)/Data_5!$BK33))))),"")</f>
        <v>NO</v>
      </c>
      <c r="DE38" s="1122">
        <f>IFERROR(IF(HLOOKUP(DE$15,Data_5!$F$10:$BG$42,$A38+2,FALSE)="NO","NO",IF(HLOOKUP(DE$15,Data_5!$F$10:$BG$42,$A38+2,FALSE)="IE","IE",IF(HLOOKUP(DE$15,Data_5!$F$10:$BG$42,$A38+2,FALSE)="NE","NE",IF(HLOOKUP(DE$15,Data_5!$F$10:$BG$42,$A38+2,FALSE)="C","C",IF(HLOOKUP(DE$15,Data_5!$F$10:$BG$42,$A38+2,FALSE)="NO","NO",HLOOKUP(DE$15,Data_5!$F$10:$BG$42,$A38+2,FALSE)/Data_5!$BK33))))),"")</f>
        <v>4.5235657863878976E-5</v>
      </c>
      <c r="DF38" s="1122" t="str">
        <f>IFERROR(IF(HLOOKUP(DF$15,Data_5!$F$10:$BG$42,$A38+2,FALSE)="NO","NO",IF(HLOOKUP(DF$15,Data_5!$F$10:$BG$42,$A38+2,FALSE)="IE","IE",IF(HLOOKUP(DF$15,Data_5!$F$10:$BG$42,$A38+2,FALSE)="NE","NE",IF(HLOOKUP(DF$15,Data_5!$F$10:$BG$42,$A38+2,FALSE)="C","C",IF(HLOOKUP(DF$15,Data_5!$F$10:$BG$42,$A38+2,FALSE)="NO","NO",HLOOKUP(DF$15,Data_5!$F$10:$BG$42,$A38+2,FALSE)/Data_5!$BK33))))),"")</f>
        <v>NO</v>
      </c>
      <c r="DG38" s="1122">
        <f>IFERROR(IF(HLOOKUP(DG$15,Data_5!$F$10:$BG$42,$A38+2,FALSE)="NO","NO",IF(HLOOKUP(DG$15,Data_5!$F$10:$BG$42,$A38+2,FALSE)="IE","IE",IF(HLOOKUP(DG$15,Data_5!$F$10:$BG$42,$A38+2,FALSE)="NE","NE",IF(HLOOKUP(DG$15,Data_5!$F$10:$BG$42,$A38+2,FALSE)="C","C",IF(HLOOKUP(DG$15,Data_5!$F$10:$BG$42,$A38+2,FALSE)="NO","NO",HLOOKUP(DG$15,Data_5!$F$10:$BG$42,$A38+2,FALSE)/Data_5!$BK33))))),"")</f>
        <v>2.7819190633527002E-5</v>
      </c>
      <c r="DH38" s="1122" t="str">
        <f>IFERROR(IF(HLOOKUP(DH$15,Data_5!$F$10:$BG$42,$A38+2,FALSE)="NO","NO",IF(HLOOKUP(DH$15,Data_5!$F$10:$BG$42,$A38+2,FALSE)="IE","IE",IF(HLOOKUP(DH$15,Data_5!$F$10:$BG$42,$A38+2,FALSE)="NE","NE",IF(HLOOKUP(DH$15,Data_5!$F$10:$BG$42,$A38+2,FALSE)="C","C",IF(HLOOKUP(DH$15,Data_5!$F$10:$BG$42,$A38+2,FALSE)="NO","NO",HLOOKUP(DH$15,Data_5!$F$10:$BG$42,$A38+2,FALSE)/Data_5!$BK33))))),"")</f>
        <v>NO</v>
      </c>
      <c r="DI38" s="1122">
        <f>IFERROR(IF(HLOOKUP(DI$15,Data_5!$F$10:$BG$42,$A38+2,FALSE)="NO","NO",IF(HLOOKUP(DI$15,Data_5!$F$10:$BG$42,$A38+2,FALSE)="IE","IE",IF(HLOOKUP(DI$15,Data_5!$F$10:$BG$42,$A38+2,FALSE)="NE","NE",IF(HLOOKUP(DI$15,Data_5!$F$10:$BG$42,$A38+2,FALSE)="C","C",IF(HLOOKUP(DI$15,Data_5!$F$10:$BG$42,$A38+2,FALSE)="NO","NO",HLOOKUP(DI$15,Data_5!$F$10:$BG$42,$A38+2,FALSE)/Data_5!$BK33))))),"")</f>
        <v>3.8602168613961145E-2</v>
      </c>
      <c r="DJ38" s="1122" t="str">
        <f>IFERROR(IF(HLOOKUP(DJ$15,Data_5!$F$10:$BG$42,$A38+2,FALSE)="NO","NO",IF(HLOOKUP(DJ$15,Data_5!$F$10:$BG$42,$A38+2,FALSE)="IE","IE",IF(HLOOKUP(DJ$15,Data_5!$F$10:$BG$42,$A38+2,FALSE)="NE","NE",IF(HLOOKUP(DJ$15,Data_5!$F$10:$BG$42,$A38+2,FALSE)="C","C",IF(HLOOKUP(DJ$15,Data_5!$F$10:$BG$42,$A38+2,FALSE)="NO","NO",HLOOKUP(DJ$15,Data_5!$F$10:$BG$42,$A38+2,FALSE)/Data_5!$BK33))))),"")</f>
        <v>NO</v>
      </c>
      <c r="DK38" s="1122">
        <f>IFERROR(IF(HLOOKUP(DK$15,Data_5!$F$10:$BG$42,$A38+2,FALSE)="NO","NO",IF(HLOOKUP(DK$15,Data_5!$F$10:$BG$42,$A38+2,FALSE)="IE","IE",IF(HLOOKUP(DK$15,Data_5!$F$10:$BG$42,$A38+2,FALSE)="NE","NE",IF(HLOOKUP(DK$15,Data_5!$F$10:$BG$42,$A38+2,FALSE)="C","C",IF(HLOOKUP(DK$15,Data_5!$F$10:$BG$42,$A38+2,FALSE)="NO","NO",HLOOKUP(DK$15,Data_5!$F$10:$BG$42,$A38+2,FALSE)/Data_5!$BK33))))),"")</f>
        <v>0.14248802065856114</v>
      </c>
      <c r="DL38" s="1122">
        <f>IFERROR(IF(HLOOKUP(DL$15,Data_5!$F$10:$BG$42,$A38+2,FALSE)="NO","NO",IF(HLOOKUP(DL$15,Data_5!$F$10:$BG$42,$A38+2,FALSE)="IE","IE",IF(HLOOKUP(DL$15,Data_5!$F$10:$BG$42,$A38+2,FALSE)="NE","NE",IF(HLOOKUP(DL$15,Data_5!$F$10:$BG$42,$A38+2,FALSE)="C","C",IF(HLOOKUP(DL$15,Data_5!$F$10:$BG$42,$A38+2,FALSE)="NO","NO",HLOOKUP(DL$15,Data_5!$F$10:$BG$42,$A38+2,FALSE)/Data_5!$BK33))))),"")</f>
        <v>5.8175084343701777E-3</v>
      </c>
      <c r="DM38" s="1122">
        <f>IFERROR(IF(HLOOKUP(DM$15,Data_5!$F$10:$BG$42,$A38+2,FALSE)="NO","NO",IF(HLOOKUP(DM$15,Data_5!$F$10:$BG$42,$A38+2,FALSE)="IE","IE",IF(HLOOKUP(DM$15,Data_5!$F$10:$BG$42,$A38+2,FALSE)="NE","NE",IF(HLOOKUP(DM$15,Data_5!$F$10:$BG$42,$A38+2,FALSE)="C","C",IF(HLOOKUP(DM$15,Data_5!$F$10:$BG$42,$A38+2,FALSE)="NO","NO",HLOOKUP(DM$15,Data_5!$F$10:$BG$42,$A38+2,FALSE)/Data_5!$BK33))))),"")</f>
        <v>8.919343067758643E-4</v>
      </c>
      <c r="DN38" s="1122">
        <f>IFERROR(IF(HLOOKUP(DN$15,Data_5!$F$10:$BG$42,$A38+2,FALSE)="NO","NO",IF(HLOOKUP(DN$15,Data_5!$F$10:$BG$42,$A38+2,FALSE)="IE","IE",IF(HLOOKUP(DN$15,Data_5!$F$10:$BG$42,$A38+2,FALSE)="NE","NE",IF(HLOOKUP(DN$15,Data_5!$F$10:$BG$42,$A38+2,FALSE)="C","C",IF(HLOOKUP(DN$15,Data_5!$F$10:$BG$42,$A38+2,FALSE)="NO","NO",HLOOKUP(DN$15,Data_5!$F$10:$BG$42,$A38+2,FALSE)/Data_5!$BK33))))),"")</f>
        <v>-7.1973856954063702E-4</v>
      </c>
      <c r="DO38" s="1122">
        <f>IFERROR(IF(HLOOKUP(DO$15,Data_5!$F$10:$BG$42,$A38+2,FALSE)="NO","NO",IF(HLOOKUP(DO$15,Data_5!$F$10:$BG$42,$A38+2,FALSE)="IE","IE",IF(HLOOKUP(DO$15,Data_5!$F$10:$BG$42,$A38+2,FALSE)="NE","NE",IF(HLOOKUP(DO$15,Data_5!$F$10:$BG$42,$A38+2,FALSE)="C","C",IF(HLOOKUP(DO$15,Data_5!$F$10:$BG$42,$A38+2,FALSE)="NO","NO",HLOOKUP(DO$15,Data_5!$F$10:$BG$42,$A38+2,FALSE)/Data_5!$BK33))))),"")</f>
        <v>3.5876214392333553E-4</v>
      </c>
    </row>
    <row r="39" spans="1:119" ht="15" customHeight="1">
      <c r="A39" s="1789">
        <v>23</v>
      </c>
      <c r="B39" s="2628" t="str">
        <f>IF(Data_5!B34&lt;&gt;"",Data_5!B34,"")</f>
        <v>San Francisco</v>
      </c>
      <c r="C39" s="2629"/>
      <c r="D39" s="1462">
        <f>IFERROR(VLOOKUP($B39,Data_5!$B$12:$C$42,2,FALSE),"")</f>
        <v>2012</v>
      </c>
      <c r="E39" s="1122">
        <f>IFERROR(IF(HLOOKUP(E$15,Data_5!$F$10:$BG$42,$A39+2,FALSE)="NO","NO",IF(HLOOKUP(E$15,Data_5!$F$10:$BG$42,$A39+2,FALSE)="IE","IE",IF(HLOOKUP(E$15,Data_5!$F$10:$BG$42,$A39+2,FALSE)="NE","NE",IF(HLOOKUP(E$15,Data_5!$F$10:$BG$42,$A39+2,FALSE)="C","C",IF(HLOOKUP(E$15,Data_5!$F$10:$BG$42,$A39+2,FALSE)="NO","NO",HLOOKUP(E$15,Data_5!$F$10:$BG$42,$A39+2,FALSE)/Data_5!$BH34))))),"")</f>
        <v>0.13972376015414312</v>
      </c>
      <c r="F39" s="1122">
        <f>IFERROR(IF(HLOOKUP(F$15,Data_5!$F$10:$BG$42,$A39+2,FALSE)="NO","NO",IF(HLOOKUP(F$15,Data_5!$F$10:$BG$42,$A39+2,FALSE)="IE","IE",IF(HLOOKUP(F$15,Data_5!$F$10:$BG$42,$A39+2,FALSE)="NE","NE",IF(HLOOKUP(F$15,Data_5!$F$10:$BG$42,$A39+2,FALSE)="C","C",IF(HLOOKUP(F$15,Data_5!$F$10:$BG$42,$A39+2,FALSE)="NO","NO",HLOOKUP(F$15,Data_5!$F$10:$BG$42,$A39+2,FALSE)/Data_5!$BH34))))),"")</f>
        <v>5.1539175346549074E-2</v>
      </c>
      <c r="G39" s="1122">
        <f>IFERROR(IF(HLOOKUP(G$15,Data_5!$F$10:$BG$42,$A39+2,FALSE)="NO","NO",IF(HLOOKUP(G$15,Data_5!$F$10:$BG$42,$A39+2,FALSE)="IE","IE",IF(HLOOKUP(G$15,Data_5!$F$10:$BG$42,$A39+2,FALSE)="NE","NE",IF(HLOOKUP(G$15,Data_5!$F$10:$BG$42,$A39+2,FALSE)="C","C",IF(HLOOKUP(G$15,Data_5!$F$10:$BG$42,$A39+2,FALSE)="NO","NO",HLOOKUP(G$15,Data_5!$F$10:$BG$42,$A39+2,FALSE)/Data_5!$BH34))))),"")</f>
        <v>0.12460365457476646</v>
      </c>
      <c r="H39" s="1122">
        <f>IFERROR(IF(HLOOKUP(H$15,Data_5!$F$10:$BG$42,$A39+2,FALSE)="NO","NO",IF(HLOOKUP(H$15,Data_5!$F$10:$BG$42,$A39+2,FALSE)="IE","IE",IF(HLOOKUP(H$15,Data_5!$F$10:$BG$42,$A39+2,FALSE)="NE","NE",IF(HLOOKUP(H$15,Data_5!$F$10:$BG$42,$A39+2,FALSE)="C","C",IF(HLOOKUP(H$15,Data_5!$F$10:$BG$42,$A39+2,FALSE)="NO","NO",HLOOKUP(H$15,Data_5!$F$10:$BG$42,$A39+2,FALSE)/Data_5!$BH34))))),"")</f>
        <v>0.14404484176343851</v>
      </c>
      <c r="I39" s="1122" t="str">
        <f>IFERROR(IF(HLOOKUP(I$15,Data_5!$F$10:$BG$42,$A39+2,FALSE)="NO","NO",IF(HLOOKUP(I$15,Data_5!$F$10:$BG$42,$A39+2,FALSE)="IE","IE",IF(HLOOKUP(I$15,Data_5!$F$10:$BG$42,$A39+2,FALSE)="NE","NE",IF(HLOOKUP(I$15,Data_5!$F$10:$BG$42,$A39+2,FALSE)="C","C",IF(HLOOKUP(I$15,Data_5!$F$10:$BG$42,$A39+2,FALSE)="NO","NO",HLOOKUP(I$15,Data_5!$F$10:$BG$42,$A39+2,FALSE)/Data_5!$BH34))))),"")</f>
        <v>IE</v>
      </c>
      <c r="J39" s="1122" t="str">
        <f>IFERROR(IF(HLOOKUP(J$15,Data_5!$F$10:$BG$42,$A39+2,FALSE)="NO","NO",IF(HLOOKUP(J$15,Data_5!$F$10:$BG$42,$A39+2,FALSE)="IE","IE",IF(HLOOKUP(J$15,Data_5!$F$10:$BG$42,$A39+2,FALSE)="NE","NE",IF(HLOOKUP(J$15,Data_5!$F$10:$BG$42,$A39+2,FALSE)="C","C",IF(HLOOKUP(J$15,Data_5!$F$10:$BG$42,$A39+2,FALSE)="NO","NO",HLOOKUP(J$15,Data_5!$F$10:$BG$42,$A39+2,FALSE)/Data_5!$BH34))))),"")</f>
        <v>IE</v>
      </c>
      <c r="K39" s="1122">
        <f>IFERROR(IF(HLOOKUP(K$15,Data_5!$F$10:$BG$42,$A39+2,FALSE)="NO","NO",IF(HLOOKUP(K$15,Data_5!$F$10:$BG$42,$A39+2,FALSE)="IE","IE",IF(HLOOKUP(K$15,Data_5!$F$10:$BG$42,$A39+2,FALSE)="NE","NE",IF(HLOOKUP(K$15,Data_5!$F$10:$BG$42,$A39+2,FALSE)="C","C",IF(HLOOKUP(K$15,Data_5!$F$10:$BG$42,$A39+2,FALSE)="NO","NO",HLOOKUP(K$15,Data_5!$F$10:$BG$42,$A39+2,FALSE)/Data_5!$BH34))))),"")</f>
        <v>1.2835654066581058E-5</v>
      </c>
      <c r="L39" s="1122" t="str">
        <f>IFERROR(IF(HLOOKUP(L$15,Data_5!$F$10:$BG$42,$A39+2,FALSE)="NO","NO",IF(HLOOKUP(L$15,Data_5!$F$10:$BG$42,$A39+2,FALSE)="IE","IE",IF(HLOOKUP(L$15,Data_5!$F$10:$BG$42,$A39+2,FALSE)="NE","NE",IF(HLOOKUP(L$15,Data_5!$F$10:$BG$42,$A39+2,FALSE)="C","C",IF(HLOOKUP(L$15,Data_5!$F$10:$BG$42,$A39+2,FALSE)="NO","NO",HLOOKUP(L$15,Data_5!$F$10:$BG$42,$A39+2,FALSE)/Data_5!$BH34))))),"")</f>
        <v>NO</v>
      </c>
      <c r="M39" s="1122">
        <f>IFERROR(IF(HLOOKUP(M$15,Data_5!$F$10:$BG$42,$A39+2,FALSE)="NO","NO",IF(HLOOKUP(M$15,Data_5!$F$10:$BG$42,$A39+2,FALSE)="IE","IE",IF(HLOOKUP(M$15,Data_5!$F$10:$BG$42,$A39+2,FALSE)="NE","NE",IF(HLOOKUP(M$15,Data_5!$F$10:$BG$42,$A39+2,FALSE)="C","C",IF(HLOOKUP(M$15,Data_5!$F$10:$BG$42,$A39+2,FALSE)="NO","NO",HLOOKUP(M$15,Data_5!$F$10:$BG$42,$A39+2,FALSE)/Data_5!$BH34))))),"")</f>
        <v>1.9845195649040216E-5</v>
      </c>
      <c r="N39" s="1122" t="str">
        <f>IFERROR(IF(HLOOKUP(N$15,Data_5!$F$10:$BG$42,$A39+2,FALSE)="NO","NO",IF(HLOOKUP(N$15,Data_5!$F$10:$BG$42,$A39+2,FALSE)="IE","IE",IF(HLOOKUP(N$15,Data_5!$F$10:$BG$42,$A39+2,FALSE)="NE","NE",IF(HLOOKUP(N$15,Data_5!$F$10:$BG$42,$A39+2,FALSE)="C","C",IF(HLOOKUP(N$15,Data_5!$F$10:$BG$42,$A39+2,FALSE)="NO","NO",HLOOKUP(N$15,Data_5!$F$10:$BG$42,$A39+2,FALSE)/Data_5!$BH34))))),"")</f>
        <v>NO</v>
      </c>
      <c r="O39" s="1122">
        <f>IFERROR(IF(HLOOKUP(O$15,Data_5!$F$10:$BG$42,$A39+2,FALSE)="NO","NO",IF(HLOOKUP(O$15,Data_5!$F$10:$BG$42,$A39+2,FALSE)="IE","IE",IF(HLOOKUP(O$15,Data_5!$F$10:$BG$42,$A39+2,FALSE)="NE","NE",IF(HLOOKUP(O$15,Data_5!$F$10:$BG$42,$A39+2,FALSE)="C","C",IF(HLOOKUP(O$15,Data_5!$F$10:$BG$42,$A39+2,FALSE)="NO","NO",HLOOKUP(O$15,Data_5!$F$10:$BG$42,$A39+2,FALSE)/Data_5!$BH34))))),"")</f>
        <v>3.0783903903994211E-2</v>
      </c>
      <c r="P39" s="1122" t="str">
        <f>IFERROR(IF(HLOOKUP(P$15,Data_5!$F$10:$BG$42,$A39+2,FALSE)="NO","NO",IF(HLOOKUP(P$15,Data_5!$F$10:$BG$42,$A39+2,FALSE)="IE","IE",IF(HLOOKUP(P$15,Data_5!$F$10:$BG$42,$A39+2,FALSE)="NE","NE",IF(HLOOKUP(P$15,Data_5!$F$10:$BG$42,$A39+2,FALSE)="C","C",IF(HLOOKUP(P$15,Data_5!$F$10:$BG$42,$A39+2,FALSE)="NO","NO",HLOOKUP(P$15,Data_5!$F$10:$BG$42,$A39+2,FALSE)/Data_5!$BH34))))),"")</f>
        <v>NO</v>
      </c>
      <c r="Q39" s="1122">
        <f>IFERROR(IF(HLOOKUP(Q$15,Data_5!$F$10:$BG$42,$A39+2,FALSE)="NO","NO",IF(HLOOKUP(Q$15,Data_5!$F$10:$BG$42,$A39+2,FALSE)="IE","IE",IF(HLOOKUP(Q$15,Data_5!$F$10:$BG$42,$A39+2,FALSE)="NE","NE",IF(HLOOKUP(Q$15,Data_5!$F$10:$BG$42,$A39+2,FALSE)="C","C",IF(HLOOKUP(Q$15,Data_5!$F$10:$BG$42,$A39+2,FALSE)="NO","NO",HLOOKUP(Q$15,Data_5!$F$10:$BG$42,$A39+2,FALSE)/Data_5!$BH34))))),"")</f>
        <v>0</v>
      </c>
      <c r="R39" s="1122">
        <f>IFERROR(IF(HLOOKUP(R$15,Data_5!$F$10:$BG$42,$A39+2,FALSE)="NO","NO",IF(HLOOKUP(R$15,Data_5!$F$10:$BG$42,$A39+2,FALSE)="IE","IE",IF(HLOOKUP(R$15,Data_5!$F$10:$BG$42,$A39+2,FALSE)="NE","NE",IF(HLOOKUP(R$15,Data_5!$F$10:$BG$42,$A39+2,FALSE)="C","C",IF(HLOOKUP(R$15,Data_5!$F$10:$BG$42,$A39+2,FALSE)="NO","NO",HLOOKUP(R$15,Data_5!$F$10:$BG$42,$A39+2,FALSE)/Data_5!$BH34))))),"")</f>
        <v>2.417739270968671E-3</v>
      </c>
      <c r="S39" s="1122">
        <f>IFERROR(IF(HLOOKUP(S$15,Data_5!$F$10:$BG$42,$A39+2,FALSE)="NO","NO",IF(HLOOKUP(S$15,Data_5!$F$10:$BG$42,$A39+2,FALSE)="IE","IE",IF(HLOOKUP(S$15,Data_5!$F$10:$BG$42,$A39+2,FALSE)="NE","NE",IF(HLOOKUP(S$15,Data_5!$F$10:$BG$42,$A39+2,FALSE)="C","C",IF(HLOOKUP(S$15,Data_5!$F$10:$BG$42,$A39+2,FALSE)="NO","NO",HLOOKUP(S$15,Data_5!$F$10:$BG$42,$A39+2,FALSE)/Data_5!$BH34))))),"")</f>
        <v>0.35883290567201326</v>
      </c>
      <c r="T39" s="1122" t="str">
        <f>IFERROR(IF(HLOOKUP(T$15,Data_5!$F$10:$BG$42,$A39+2,FALSE)="NO","NO",IF(HLOOKUP(T$15,Data_5!$F$10:$BG$42,$A39+2,FALSE)="IE","IE",IF(HLOOKUP(T$15,Data_5!$F$10:$BG$42,$A39+2,FALSE)="NE","NE",IF(HLOOKUP(T$15,Data_5!$F$10:$BG$42,$A39+2,FALSE)="C","C",IF(HLOOKUP(T$15,Data_5!$F$10:$BG$42,$A39+2,FALSE)="NO","NO",HLOOKUP(T$15,Data_5!$F$10:$BG$42,$A39+2,FALSE)/Data_5!$BH34))))),"")</f>
        <v>IE</v>
      </c>
      <c r="U39" s="1122">
        <f>IFERROR(IF(HLOOKUP(U$15,Data_5!$F$10:$BG$42,$A39+2,FALSE)="NO","NO",IF(HLOOKUP(U$15,Data_5!$F$10:$BG$42,$A39+2,FALSE)="IE","IE",IF(HLOOKUP(U$15,Data_5!$F$10:$BG$42,$A39+2,FALSE)="NE","NE",IF(HLOOKUP(U$15,Data_5!$F$10:$BG$42,$A39+2,FALSE)="C","C",IF(HLOOKUP(U$15,Data_5!$F$10:$BG$42,$A39+2,FALSE)="NO","NO",HLOOKUP(U$15,Data_5!$F$10:$BG$42,$A39+2,FALSE)/Data_5!$BH34))))),"")</f>
        <v>2.0977135335653475E-3</v>
      </c>
      <c r="V39" s="1122">
        <f>IFERROR(IF(HLOOKUP(V$15,Data_5!$F$10:$BG$42,$A39+2,FALSE)="NO","NO",IF(HLOOKUP(V$15,Data_5!$F$10:$BG$42,$A39+2,FALSE)="IE","IE",IF(HLOOKUP(V$15,Data_5!$F$10:$BG$42,$A39+2,FALSE)="NE","NE",IF(HLOOKUP(V$15,Data_5!$F$10:$BG$42,$A39+2,FALSE)="C","C",IF(HLOOKUP(V$15,Data_5!$F$10:$BG$42,$A39+2,FALSE)="NO","NO",HLOOKUP(V$15,Data_5!$F$10:$BG$42,$A39+2,FALSE)/Data_5!$BH34))))),"")</f>
        <v>1.0396683879706291E-2</v>
      </c>
      <c r="W39" s="1122">
        <f>IFERROR(IF(HLOOKUP(W$15,Data_5!$F$10:$BG$42,$A39+2,FALSE)="NO","NO",IF(HLOOKUP(W$15,Data_5!$F$10:$BG$42,$A39+2,FALSE)="IE","IE",IF(HLOOKUP(W$15,Data_5!$F$10:$BG$42,$A39+2,FALSE)="NE","NE",IF(HLOOKUP(W$15,Data_5!$F$10:$BG$42,$A39+2,FALSE)="C","C",IF(HLOOKUP(W$15,Data_5!$F$10:$BG$42,$A39+2,FALSE)="NO","NO",HLOOKUP(W$15,Data_5!$F$10:$BG$42,$A39+2,FALSE)/Data_5!$BH34))))),"")</f>
        <v>0.10098491801736051</v>
      </c>
      <c r="X39" s="1122" t="str">
        <f>IFERROR(IF(HLOOKUP(X$15,Data_5!$F$10:$BG$42,$A39+2,FALSE)="NO","NO",IF(HLOOKUP(X$15,Data_5!$F$10:$BG$42,$A39+2,FALSE)="IE","IE",IF(HLOOKUP(X$15,Data_5!$F$10:$BG$42,$A39+2,FALSE)="NE","NE",IF(HLOOKUP(X$15,Data_5!$F$10:$BG$42,$A39+2,FALSE)="C","C",IF(HLOOKUP(X$15,Data_5!$F$10:$BG$42,$A39+2,FALSE)="NO","NO",HLOOKUP(X$15,Data_5!$F$10:$BG$42,$A39+2,FALSE)/Data_5!$BH34))))),"")</f>
        <v>NO</v>
      </c>
      <c r="Y39" s="1122" t="str">
        <f>IFERROR(IF(HLOOKUP(Y$15,Data_5!$F$10:$BG$42,$A39+2,FALSE)="NO","NO",IF(HLOOKUP(Y$15,Data_5!$F$10:$BG$42,$A39+2,FALSE)="IE","IE",IF(HLOOKUP(Y$15,Data_5!$F$10:$BG$42,$A39+2,FALSE)="NE","NE",IF(HLOOKUP(Y$15,Data_5!$F$10:$BG$42,$A39+2,FALSE)="C","C",IF(HLOOKUP(Y$15,Data_5!$F$10:$BG$42,$A39+2,FALSE)="NO","NO",HLOOKUP(Y$15,Data_5!$F$10:$BG$42,$A39+2,FALSE)/Data_5!$BH34))))),"")</f>
        <v>NO</v>
      </c>
      <c r="Z39" s="1122" t="str">
        <f>IFERROR(IF(HLOOKUP(Z$15,Data_5!$F$10:$BG$42,$A39+2,FALSE)="NO","NO",IF(HLOOKUP(Z$15,Data_5!$F$10:$BG$42,$A39+2,FALSE)="IE","IE",IF(HLOOKUP(Z$15,Data_5!$F$10:$BG$42,$A39+2,FALSE)="NE","NE",IF(HLOOKUP(Z$15,Data_5!$F$10:$BG$42,$A39+2,FALSE)="C","C",IF(HLOOKUP(Z$15,Data_5!$F$10:$BG$42,$A39+2,FALSE)="NO","NO",HLOOKUP(Z$15,Data_5!$F$10:$BG$42,$A39+2,FALSE)/Data_5!$BH34))))),"")</f>
        <v>NO</v>
      </c>
      <c r="AA39" s="1122" t="str">
        <f>IFERROR(IF(HLOOKUP(AA$15,Data_5!$F$10:$BG$42,$A39+2,FALSE)="NO","NO",IF(HLOOKUP(AA$15,Data_5!$F$10:$BG$42,$A39+2,FALSE)="IE","IE",IF(HLOOKUP(AA$15,Data_5!$F$10:$BG$42,$A39+2,FALSE)="NE","NE",IF(HLOOKUP(AA$15,Data_5!$F$10:$BG$42,$A39+2,FALSE)="C","C",IF(HLOOKUP(AA$15,Data_5!$F$10:$BG$42,$A39+2,FALSE)="NO","NO",HLOOKUP(AA$15,Data_5!$F$10:$BG$42,$A39+2,FALSE)/Data_5!$BH34))))),"")</f>
        <v>NO</v>
      </c>
      <c r="AB39" s="1122" t="str">
        <f>IFERROR(IF(HLOOKUP(AB$15,Data_5!$F$10:$BG$42,$A39+2,FALSE)="NO","NO",IF(HLOOKUP(AB$15,Data_5!$F$10:$BG$42,$A39+2,FALSE)="IE","IE",IF(HLOOKUP(AB$15,Data_5!$F$10:$BG$42,$A39+2,FALSE)="NE","NE",IF(HLOOKUP(AB$15,Data_5!$F$10:$BG$42,$A39+2,FALSE)="C","C",IF(HLOOKUP(AB$15,Data_5!$F$10:$BG$42,$A39+2,FALSE)="NO","NO",HLOOKUP(AB$15,Data_5!$F$10:$BG$42,$A39+2,FALSE)/Data_5!$BH34))))),"")</f>
        <v>NO</v>
      </c>
      <c r="AC39" s="1122" t="str">
        <f>IFERROR(IF(HLOOKUP(AC$15,Data_5!$F$10:$BG$42,$A39+2,FALSE)="NO","NO",IF(HLOOKUP(AC$15,Data_5!$F$10:$BG$42,$A39+2,FALSE)="IE","IE",IF(HLOOKUP(AC$15,Data_5!$F$10:$BG$42,$A39+2,FALSE)="NE","NE",IF(HLOOKUP(AC$15,Data_5!$F$10:$BG$42,$A39+2,FALSE)="C","C",IF(HLOOKUP(AC$15,Data_5!$F$10:$BG$42,$A39+2,FALSE)="NO","NO",HLOOKUP(AC$15,Data_5!$F$10:$BG$42,$A39+2,FALSE)/Data_5!$BH34))))),"")</f>
        <v>NO</v>
      </c>
      <c r="AD39" s="1122">
        <f>IFERROR(IF(HLOOKUP(AD$15,Data_5!$F$10:$BG$42,$A39+2,FALSE)="NO","NO",IF(HLOOKUP(AD$15,Data_5!$F$10:$BG$42,$A39+2,FALSE)="IE","IE",IF(HLOOKUP(AD$15,Data_5!$F$10:$BG$42,$A39+2,FALSE)="NE","NE",IF(HLOOKUP(AD$15,Data_5!$F$10:$BG$42,$A39+2,FALSE)="C","C",IF(HLOOKUP(AD$15,Data_5!$F$10:$BG$42,$A39+2,FALSE)="NO","NO",HLOOKUP(AD$15,Data_5!$F$10:$BG$42,$A39+2,FALSE)/Data_5!$BH34))))),"")</f>
        <v>3.2844258528492425E-2</v>
      </c>
      <c r="AE39" s="1122" t="str">
        <f>IFERROR(IF(HLOOKUP(AE$15,Data_5!$F$10:$BG$42,$A39+2,FALSE)="NO","NO",IF(HLOOKUP(AE$15,Data_5!$F$10:$BG$42,$A39+2,FALSE)="IE","IE",IF(HLOOKUP(AE$15,Data_5!$F$10:$BG$42,$A39+2,FALSE)="NE","NE",IF(HLOOKUP(AE$15,Data_5!$F$10:$BG$42,$A39+2,FALSE)="C","C",IF(HLOOKUP(AE$15,Data_5!$F$10:$BG$42,$A39+2,FALSE)="NO","NO",HLOOKUP(AE$15,Data_5!$F$10:$BG$42,$A39+2,FALSE)/Data_5!$BH34))))),"")</f>
        <v>NO</v>
      </c>
      <c r="AF39" s="1122" t="str">
        <f>IFERROR(IF(HLOOKUP(AF$15,Data_5!$F$10:$BG$42,$A39+2,FALSE)="NO","NO",IF(HLOOKUP(AF$15,Data_5!$F$10:$BG$42,$A39+2,FALSE)="IE","IE",IF(HLOOKUP(AF$15,Data_5!$F$10:$BG$42,$A39+2,FALSE)="NE","NE",IF(HLOOKUP(AF$15,Data_5!$F$10:$BG$42,$A39+2,FALSE)="C","C",IF(HLOOKUP(AF$15,Data_5!$F$10:$BG$42,$A39+2,FALSE)="NO","NO",HLOOKUP(AF$15,Data_5!$F$10:$BG$42,$A39+2,FALSE)/Data_5!$BH34))))),"")</f>
        <v>NO</v>
      </c>
      <c r="AG39" s="1122" t="str">
        <f>IFERROR(IF(HLOOKUP(AG$15,Data_5!$F$10:$BG$42,$A39+2,FALSE)="NO","NO",IF(HLOOKUP(AG$15,Data_5!$F$10:$BG$42,$A39+2,FALSE)="IE","IE",IF(HLOOKUP(AG$15,Data_5!$F$10:$BG$42,$A39+2,FALSE)="NE","NE",IF(HLOOKUP(AG$15,Data_5!$F$10:$BG$42,$A39+2,FALSE)="C","C",IF(HLOOKUP(AG$15,Data_5!$F$10:$BG$42,$A39+2,FALSE)="NO","NO",HLOOKUP(AG$15,Data_5!$F$10:$BG$42,$A39+2,FALSE)/Data_5!$BH34))))),"")</f>
        <v>NO</v>
      </c>
      <c r="AH39" s="1122" t="str">
        <f>IFERROR(IF(HLOOKUP(AH$15,Data_5!$F$10:$BG$42,$A39+2,FALSE)="NO","NO",IF(HLOOKUP(AH$15,Data_5!$F$10:$BG$42,$A39+2,FALSE)="IE","IE",IF(HLOOKUP(AH$15,Data_5!$F$10:$BG$42,$A39+2,FALSE)="NE","NE",IF(HLOOKUP(AH$15,Data_5!$F$10:$BG$42,$A39+2,FALSE)="C","C",IF(HLOOKUP(AH$15,Data_5!$F$10:$BG$42,$A39+2,FALSE)="NO","NO",HLOOKUP(AH$15,Data_5!$F$10:$BG$42,$A39+2,FALSE)/Data_5!$BH34))))),"")</f>
        <v>NO</v>
      </c>
      <c r="AI39" s="1122">
        <f>IFERROR(IF(HLOOKUP(AI$15,Data_5!$F$10:$BG$42,$A39+2,FALSE)="NO","NO",IF(HLOOKUP(AI$15,Data_5!$F$10:$BG$42,$A39+2,FALSE)="IE","IE",IF(HLOOKUP(AI$15,Data_5!$F$10:$BG$42,$A39+2,FALSE)="NE","NE",IF(HLOOKUP(AI$15,Data_5!$F$10:$BG$42,$A39+2,FALSE)="C","C",IF(HLOOKUP(AI$15,Data_5!$F$10:$BG$42,$A39+2,FALSE)="NO","NO",HLOOKUP(AI$15,Data_5!$F$10:$BG$42,$A39+2,FALSE)/Data_5!$BH34))))),"")</f>
        <v>1.6977645052865639E-3</v>
      </c>
      <c r="AJ39" s="1122" t="str">
        <f>IFERROR(IF(HLOOKUP(AJ$15,Data_5!$F$10:$BG$42,$A39+2,FALSE)="NO","NO",IF(HLOOKUP(AJ$15,Data_5!$F$10:$BG$42,$A39+2,FALSE)="IE","IE",IF(HLOOKUP(AJ$15,Data_5!$F$10:$BG$42,$A39+2,FALSE)="NE","NE",IF(HLOOKUP(AJ$15,Data_5!$F$10:$BG$42,$A39+2,FALSE)="C","C",IF(HLOOKUP(AJ$15,Data_5!$F$10:$BG$42,$A39+2,FALSE)="NO","NO",HLOOKUP(AJ$15,Data_5!$F$10:$BG$42,$A39+2,FALSE)/Data_5!$BH34))))),"")</f>
        <v>NO</v>
      </c>
      <c r="AK39" s="15"/>
      <c r="AL39" s="2628" t="str">
        <f t="shared" si="0"/>
        <v>San Francisco</v>
      </c>
      <c r="AM39" s="2629"/>
      <c r="AN39" s="1100">
        <f t="shared" si="1"/>
        <v>2012</v>
      </c>
      <c r="AO39" s="1122" t="str">
        <f>IFERROR(IF(VLOOKUP($AL39,Data_5!$B$12:$E$42,4,FALSE)="BASIC","",(IF(HLOOKUP(AO$15,Data_5!$F$10:$BG$42,$A39+2,FALSE)="NO","NO",IF(HLOOKUP(AO$15,Data_5!$F$10:$BG$42,$A39+2,FALSE)="IE","IE",IF(HLOOKUP(AO$15,Data_5!$F$10:$BG$42,$A39+2,FALSE)="NE","NE",IF(HLOOKUP(AO$15,Data_5!$F$10:$BG$42,$A39+2,FALSE)="C","C",IF(HLOOKUP(AO$15,Data_5!$F$10:$BG$42,$A39+2,FALSE)="NO","NO",HLOOKUP(AO$15,Data_5!$F$10:$BG$42,$A39+2,FALSE)/Data_5!$BI34))))))),"")</f>
        <v/>
      </c>
      <c r="AP39" s="1122" t="str">
        <f>IFERROR(IF(VLOOKUP($AL39,Data_5!$B$12:$E$42,4,FALSE)="BASIC","",(IF(HLOOKUP(AP$15,Data_5!$F$10:$BG$42,$A39+2,FALSE)="NO","NO",IF(HLOOKUP(AP$15,Data_5!$F$10:$BG$42,$A39+2,FALSE)="IE","IE",IF(HLOOKUP(AP$15,Data_5!$F$10:$BG$42,$A39+2,FALSE)="NE","NE",IF(HLOOKUP(AP$15,Data_5!$F$10:$BG$42,$A39+2,FALSE)="C","C",IF(HLOOKUP(AP$15,Data_5!$F$10:$BG$42,$A39+2,FALSE)="NO","NO",HLOOKUP(AP$15,Data_5!$F$10:$BG$42,$A39+2,FALSE)/Data_5!$BI34))))))),"")</f>
        <v/>
      </c>
      <c r="AQ39" s="1122" t="str">
        <f>IFERROR(IF(VLOOKUP($AL39,Data_5!$B$12:$E$42,4,FALSE)="BASIC","",(IF(HLOOKUP(AQ$15,Data_5!$F$10:$BG$42,$A39+2,FALSE)="NO","NO",IF(HLOOKUP(AQ$15,Data_5!$F$10:$BG$42,$A39+2,FALSE)="IE","IE",IF(HLOOKUP(AQ$15,Data_5!$F$10:$BG$42,$A39+2,FALSE)="NE","NE",IF(HLOOKUP(AQ$15,Data_5!$F$10:$BG$42,$A39+2,FALSE)="C","C",IF(HLOOKUP(AQ$15,Data_5!$F$10:$BG$42,$A39+2,FALSE)="NO","NO",HLOOKUP(AQ$15,Data_5!$F$10:$BG$42,$A39+2,FALSE)/Data_5!$BI34))))))),"")</f>
        <v/>
      </c>
      <c r="AR39" s="1122" t="str">
        <f>IFERROR(IF(VLOOKUP($AL39,Data_5!$B$12:$E$42,4,FALSE)="BASIC","",(IF(HLOOKUP(AR$15,Data_5!$F$10:$BG$42,$A39+2,FALSE)="NO","NO",IF(HLOOKUP(AR$15,Data_5!$F$10:$BG$42,$A39+2,FALSE)="IE","IE",IF(HLOOKUP(AR$15,Data_5!$F$10:$BG$42,$A39+2,FALSE)="NE","NE",IF(HLOOKUP(AR$15,Data_5!$F$10:$BG$42,$A39+2,FALSE)="C","C",IF(HLOOKUP(AR$15,Data_5!$F$10:$BG$42,$A39+2,FALSE)="NO","NO",HLOOKUP(AR$15,Data_5!$F$10:$BG$42,$A39+2,FALSE)/Data_5!$BI34))))))),"")</f>
        <v/>
      </c>
      <c r="AS39" s="1122" t="str">
        <f>IFERROR(IF(VLOOKUP($AL39,Data_5!$B$12:$E$42,4,FALSE)="BASIC","",(IF(HLOOKUP(AS$15,Data_5!$F$10:$BG$42,$A39+2,FALSE)="NO","NO",IF(HLOOKUP(AS$15,Data_5!$F$10:$BG$42,$A39+2,FALSE)="IE","IE",IF(HLOOKUP(AS$15,Data_5!$F$10:$BG$42,$A39+2,FALSE)="NE","NE",IF(HLOOKUP(AS$15,Data_5!$F$10:$BG$42,$A39+2,FALSE)="C","C",IF(HLOOKUP(AS$15,Data_5!$F$10:$BG$42,$A39+2,FALSE)="NO","NO",HLOOKUP(AS$15,Data_5!$F$10:$BG$42,$A39+2,FALSE)/Data_5!$BI34))))))),"")</f>
        <v/>
      </c>
      <c r="AT39" s="1122" t="str">
        <f>IFERROR(IF(VLOOKUP($AL39,Data_5!$B$12:$E$42,4,FALSE)="BASIC","",(IF(HLOOKUP(AT$15,Data_5!$F$10:$BG$42,$A39+2,FALSE)="NO","NO",IF(HLOOKUP(AT$15,Data_5!$F$10:$BG$42,$A39+2,FALSE)="IE","IE",IF(HLOOKUP(AT$15,Data_5!$F$10:$BG$42,$A39+2,FALSE)="NE","NE",IF(HLOOKUP(AT$15,Data_5!$F$10:$BG$42,$A39+2,FALSE)="C","C",IF(HLOOKUP(AT$15,Data_5!$F$10:$BG$42,$A39+2,FALSE)="NO","NO",HLOOKUP(AT$15,Data_5!$F$10:$BG$42,$A39+2,FALSE)/Data_5!$BI34))))))),"")</f>
        <v/>
      </c>
      <c r="AU39" s="1122" t="str">
        <f>IFERROR(IF(VLOOKUP($AL39,Data_5!$B$12:$E$42,4,FALSE)="BASIC","",(IF(HLOOKUP(AU$15,Data_5!$F$10:$BG$42,$A39+2,FALSE)="NO","NO",IF(HLOOKUP(AU$15,Data_5!$F$10:$BG$42,$A39+2,FALSE)="IE","IE",IF(HLOOKUP(AU$15,Data_5!$F$10:$BG$42,$A39+2,FALSE)="NE","NE",IF(HLOOKUP(AU$15,Data_5!$F$10:$BG$42,$A39+2,FALSE)="C","C",IF(HLOOKUP(AU$15,Data_5!$F$10:$BG$42,$A39+2,FALSE)="NO","NO",HLOOKUP(AU$15,Data_5!$F$10:$BG$42,$A39+2,FALSE)/Data_5!$BI34))))))),"")</f>
        <v/>
      </c>
      <c r="AV39" s="1122" t="str">
        <f>IFERROR(IF(VLOOKUP($AL39,Data_5!$B$12:$E$42,4,FALSE)="BASIC","",(IF(HLOOKUP(AV$15,Data_5!$F$10:$BG$42,$A39+2,FALSE)="NO","NO",IF(HLOOKUP(AV$15,Data_5!$F$10:$BG$42,$A39+2,FALSE)="IE","IE",IF(HLOOKUP(AV$15,Data_5!$F$10:$BG$42,$A39+2,FALSE)="NE","NE",IF(HLOOKUP(AV$15,Data_5!$F$10:$BG$42,$A39+2,FALSE)="C","C",IF(HLOOKUP(AV$15,Data_5!$F$10:$BG$42,$A39+2,FALSE)="NO","NO",HLOOKUP(AV$15,Data_5!$F$10:$BG$42,$A39+2,FALSE)/Data_5!$BI34))))))),"")</f>
        <v/>
      </c>
      <c r="AW39" s="1122" t="str">
        <f>IFERROR(IF(VLOOKUP($AL39,Data_5!$B$12:$E$42,4,FALSE)="BASIC","",(IF(HLOOKUP(AW$15,Data_5!$F$10:$BG$42,$A39+2,FALSE)="NO","NO",IF(HLOOKUP(AW$15,Data_5!$F$10:$BG$42,$A39+2,FALSE)="IE","IE",IF(HLOOKUP(AW$15,Data_5!$F$10:$BG$42,$A39+2,FALSE)="NE","NE",IF(HLOOKUP(AW$15,Data_5!$F$10:$BG$42,$A39+2,FALSE)="C","C",IF(HLOOKUP(AW$15,Data_5!$F$10:$BG$42,$A39+2,FALSE)="NO","NO",HLOOKUP(AW$15,Data_5!$F$10:$BG$42,$A39+2,FALSE)/Data_5!$BI34))))))),"")</f>
        <v/>
      </c>
      <c r="AX39" s="1122" t="str">
        <f>IFERROR(IF(VLOOKUP($AL39,Data_5!$B$12:$E$42,4,FALSE)="BASIC","",(IF(HLOOKUP(AX$15,Data_5!$F$10:$BG$42,$A39+2,FALSE)="NO","NO",IF(HLOOKUP(AX$15,Data_5!$F$10:$BG$42,$A39+2,FALSE)="IE","IE",IF(HLOOKUP(AX$15,Data_5!$F$10:$BG$42,$A39+2,FALSE)="NE","NE",IF(HLOOKUP(AX$15,Data_5!$F$10:$BG$42,$A39+2,FALSE)="C","C",IF(HLOOKUP(AX$15,Data_5!$F$10:$BG$42,$A39+2,FALSE)="NO","NO",HLOOKUP(AX$15,Data_5!$F$10:$BG$42,$A39+2,FALSE)/Data_5!$BI34))))))),"")</f>
        <v/>
      </c>
      <c r="AY39" s="1122" t="str">
        <f>IFERROR(IF(VLOOKUP($AL39,Data_5!$B$12:$E$42,4,FALSE)="BASIC","",(IF(HLOOKUP(AY$15,Data_5!$F$10:$BG$42,$A39+2,FALSE)="NO","NO",IF(HLOOKUP(AY$15,Data_5!$F$10:$BG$42,$A39+2,FALSE)="IE","IE",IF(HLOOKUP(AY$15,Data_5!$F$10:$BG$42,$A39+2,FALSE)="NE","NE",IF(HLOOKUP(AY$15,Data_5!$F$10:$BG$42,$A39+2,FALSE)="C","C",IF(HLOOKUP(AY$15,Data_5!$F$10:$BG$42,$A39+2,FALSE)="NO","NO",HLOOKUP(AY$15,Data_5!$F$10:$BG$42,$A39+2,FALSE)/Data_5!$BI34))))))),"")</f>
        <v/>
      </c>
      <c r="AZ39" s="1122" t="str">
        <f>IFERROR(IF(VLOOKUP($AL39,Data_5!$B$12:$E$42,4,FALSE)="BASIC","",(IF(HLOOKUP(AZ$15,Data_5!$F$10:$BG$42,$A39+2,FALSE)="NO","NO",IF(HLOOKUP(AZ$15,Data_5!$F$10:$BG$42,$A39+2,FALSE)="IE","IE",IF(HLOOKUP(AZ$15,Data_5!$F$10:$BG$42,$A39+2,FALSE)="NE","NE",IF(HLOOKUP(AZ$15,Data_5!$F$10:$BG$42,$A39+2,FALSE)="C","C",IF(HLOOKUP(AZ$15,Data_5!$F$10:$BG$42,$A39+2,FALSE)="NO","NO",HLOOKUP(AZ$15,Data_5!$F$10:$BG$42,$A39+2,FALSE)/Data_5!$BI34))))))),"")</f>
        <v/>
      </c>
      <c r="BA39" s="1122" t="str">
        <f>IFERROR(IF(VLOOKUP($AL39,Data_5!$B$12:$E$42,4,FALSE)="BASIC","",(IF(HLOOKUP(BA$15,Data_5!$F$10:$BG$42,$A39+2,FALSE)="NO","NO",IF(HLOOKUP(BA$15,Data_5!$F$10:$BG$42,$A39+2,FALSE)="IE","IE",IF(HLOOKUP(BA$15,Data_5!$F$10:$BG$42,$A39+2,FALSE)="NE","NE",IF(HLOOKUP(BA$15,Data_5!$F$10:$BG$42,$A39+2,FALSE)="C","C",IF(HLOOKUP(BA$15,Data_5!$F$10:$BG$42,$A39+2,FALSE)="NO","NO",HLOOKUP(BA$15,Data_5!$F$10:$BG$42,$A39+2,FALSE)/Data_5!$BI34))))))),"")</f>
        <v/>
      </c>
      <c r="BB39" s="1122" t="str">
        <f>IFERROR(IF(VLOOKUP($AL39,Data_5!$B$12:$E$42,4,FALSE)="BASIC","",(IF(HLOOKUP(BB$15,Data_5!$F$10:$BG$42,$A39+2,FALSE)="NO","NO",IF(HLOOKUP(BB$15,Data_5!$F$10:$BG$42,$A39+2,FALSE)="IE","IE",IF(HLOOKUP(BB$15,Data_5!$F$10:$BG$42,$A39+2,FALSE)="NE","NE",IF(HLOOKUP(BB$15,Data_5!$F$10:$BG$42,$A39+2,FALSE)="C","C",IF(HLOOKUP(BB$15,Data_5!$F$10:$BG$42,$A39+2,FALSE)="NO","NO",HLOOKUP(BB$15,Data_5!$F$10:$BG$42,$A39+2,FALSE)/Data_5!$BI34))))))),"")</f>
        <v/>
      </c>
      <c r="BC39" s="1122" t="str">
        <f>IFERROR(IF(VLOOKUP($AL39,Data_5!$B$12:$E$42,4,FALSE)="BASIC","",(IF(HLOOKUP(BC$15,Data_5!$F$10:$BG$42,$A39+2,FALSE)="NO","NO",IF(HLOOKUP(BC$15,Data_5!$F$10:$BG$42,$A39+2,FALSE)="IE","IE",IF(HLOOKUP(BC$15,Data_5!$F$10:$BG$42,$A39+2,FALSE)="NE","NE",IF(HLOOKUP(BC$15,Data_5!$F$10:$BG$42,$A39+2,FALSE)="C","C",IF(HLOOKUP(BC$15,Data_5!$F$10:$BG$42,$A39+2,FALSE)="NO","NO",HLOOKUP(BC$15,Data_5!$F$10:$BG$42,$A39+2,FALSE)/Data_5!$BI34))))))),"")</f>
        <v/>
      </c>
      <c r="BD39" s="1122" t="str">
        <f>IFERROR(IF(VLOOKUP($AL39,Data_5!$B$12:$E$42,4,FALSE)="BASIC","",(IF(HLOOKUP(BD$15,Data_5!$F$10:$BG$42,$A39+2,FALSE)="NO","NO",IF(HLOOKUP(BD$15,Data_5!$F$10:$BG$42,$A39+2,FALSE)="IE","IE",IF(HLOOKUP(BD$15,Data_5!$F$10:$BG$42,$A39+2,FALSE)="NE","NE",IF(HLOOKUP(BD$15,Data_5!$F$10:$BG$42,$A39+2,FALSE)="C","C",IF(HLOOKUP(BD$15,Data_5!$F$10:$BG$42,$A39+2,FALSE)="NO","NO",HLOOKUP(BD$15,Data_5!$F$10:$BG$42,$A39+2,FALSE)/Data_5!$BI34))))))),"")</f>
        <v/>
      </c>
      <c r="BE39" s="1122" t="str">
        <f>IFERROR(IF(VLOOKUP($AL39,Data_5!$B$12:$E$42,4,FALSE)="BASIC","",(IF(HLOOKUP(BE$15,Data_5!$F$10:$BG$42,$A39+2,FALSE)="NO","NO",IF(HLOOKUP(BE$15,Data_5!$F$10:$BG$42,$A39+2,FALSE)="IE","IE",IF(HLOOKUP(BE$15,Data_5!$F$10:$BG$42,$A39+2,FALSE)="NE","NE",IF(HLOOKUP(BE$15,Data_5!$F$10:$BG$42,$A39+2,FALSE)="C","C",IF(HLOOKUP(BE$15,Data_5!$F$10:$BG$42,$A39+2,FALSE)="NO","NO",HLOOKUP(BE$15,Data_5!$F$10:$BG$42,$A39+2,FALSE)/Data_5!$BI34))))))),"")</f>
        <v/>
      </c>
      <c r="BF39" s="1122" t="str">
        <f>IFERROR(IF(VLOOKUP($AL39,Data_5!$B$12:$E$42,4,FALSE)="BASIC","",(IF(HLOOKUP(BF$15,Data_5!$F$10:$BG$42,$A39+2,FALSE)="NO","NO",IF(HLOOKUP(BF$15,Data_5!$F$10:$BG$42,$A39+2,FALSE)="IE","IE",IF(HLOOKUP(BF$15,Data_5!$F$10:$BG$42,$A39+2,FALSE)="NE","NE",IF(HLOOKUP(BF$15,Data_5!$F$10:$BG$42,$A39+2,FALSE)="C","C",IF(HLOOKUP(BF$15,Data_5!$F$10:$BG$42,$A39+2,FALSE)="NO","NO",HLOOKUP(BF$15,Data_5!$F$10:$BG$42,$A39+2,FALSE)/Data_5!$BI34))))))),"")</f>
        <v/>
      </c>
      <c r="BG39" s="1122" t="str">
        <f>IFERROR(IF(VLOOKUP($AL39,Data_5!$B$12:$E$42,4,FALSE)="BASIC","",(IF(HLOOKUP(BG$15,Data_5!$F$10:$BG$42,$A39+2,FALSE)="NO","NO",IF(HLOOKUP(BG$15,Data_5!$F$10:$BG$42,$A39+2,FALSE)="IE","IE",IF(HLOOKUP(BG$15,Data_5!$F$10:$BG$42,$A39+2,FALSE)="NE","NE",IF(HLOOKUP(BG$15,Data_5!$F$10:$BG$42,$A39+2,FALSE)="C","C",IF(HLOOKUP(BG$15,Data_5!$F$10:$BG$42,$A39+2,FALSE)="NO","NO",HLOOKUP(BG$15,Data_5!$F$10:$BG$42,$A39+2,FALSE)/Data_5!$BI34))))))),"")</f>
        <v/>
      </c>
      <c r="BH39" s="1122" t="str">
        <f>IFERROR(IF(VLOOKUP($AL39,Data_5!$B$12:$E$42,4,FALSE)="BASIC","",(IF(HLOOKUP(BH$15,Data_5!$F$10:$BG$42,$A39+2,FALSE)="NO","NO",IF(HLOOKUP(BH$15,Data_5!$F$10:$BG$42,$A39+2,FALSE)="IE","IE",IF(HLOOKUP(BH$15,Data_5!$F$10:$BG$42,$A39+2,FALSE)="NE","NE",IF(HLOOKUP(BH$15,Data_5!$F$10:$BG$42,$A39+2,FALSE)="C","C",IF(HLOOKUP(BH$15,Data_5!$F$10:$BG$42,$A39+2,FALSE)="NO","NO",HLOOKUP(BH$15,Data_5!$F$10:$BG$42,$A39+2,FALSE)/Data_5!$BI34))))))),"")</f>
        <v/>
      </c>
      <c r="BI39" s="1122" t="str">
        <f>IFERROR(IF(VLOOKUP($AL39,Data_5!$B$12:$E$42,4,FALSE)="BASIC","",(IF(HLOOKUP(BI$15,Data_5!$F$10:$BG$42,$A39+2,FALSE)="NO","NO",IF(HLOOKUP(BI$15,Data_5!$F$10:$BG$42,$A39+2,FALSE)="IE","IE",IF(HLOOKUP(BI$15,Data_5!$F$10:$BG$42,$A39+2,FALSE)="NE","NE",IF(HLOOKUP(BI$15,Data_5!$F$10:$BG$42,$A39+2,FALSE)="C","C",IF(HLOOKUP(BI$15,Data_5!$F$10:$BG$42,$A39+2,FALSE)="NO","NO",HLOOKUP(BI$15,Data_5!$F$10:$BG$42,$A39+2,FALSE)/Data_5!$BI34))))))),"")</f>
        <v/>
      </c>
      <c r="BJ39" s="1122" t="str">
        <f>IFERROR(IF(VLOOKUP($AL39,Data_5!$B$12:$E$42,4,FALSE)="BASIC","",(IF(HLOOKUP(BJ$15,Data_5!$F$10:$BG$42,$A39+2,FALSE)="NO","NO",IF(HLOOKUP(BJ$15,Data_5!$F$10:$BG$42,$A39+2,FALSE)="IE","IE",IF(HLOOKUP(BJ$15,Data_5!$F$10:$BG$42,$A39+2,FALSE)="NE","NE",IF(HLOOKUP(BJ$15,Data_5!$F$10:$BG$42,$A39+2,FALSE)="C","C",IF(HLOOKUP(BJ$15,Data_5!$F$10:$BG$42,$A39+2,FALSE)="NO","NO",HLOOKUP(BJ$15,Data_5!$F$10:$BG$42,$A39+2,FALSE)/Data_5!$BI34))))))),"")</f>
        <v/>
      </c>
      <c r="BK39" s="1122" t="str">
        <f>IFERROR(IF(VLOOKUP($AL39,Data_5!$B$12:$E$42,4,FALSE)="BASIC","",(IF(HLOOKUP(BK$15,Data_5!$F$10:$BG$42,$A39+2,FALSE)="NO","NO",IF(HLOOKUP(BK$15,Data_5!$F$10:$BG$42,$A39+2,FALSE)="IE","IE",IF(HLOOKUP(BK$15,Data_5!$F$10:$BG$42,$A39+2,FALSE)="NE","NE",IF(HLOOKUP(BK$15,Data_5!$F$10:$BG$42,$A39+2,FALSE)="C","C",IF(HLOOKUP(BK$15,Data_5!$F$10:$BG$42,$A39+2,FALSE)="NO","NO",HLOOKUP(BK$15,Data_5!$F$10:$BG$42,$A39+2,FALSE)/Data_5!$BI34))))))),"")</f>
        <v/>
      </c>
      <c r="BL39" s="1122" t="str">
        <f>IFERROR(IF(VLOOKUP($AL39,Data_5!$B$12:$E$42,4,FALSE)="BASIC","",(IF(HLOOKUP(BL$15,Data_5!$F$10:$BG$42,$A39+2,FALSE)="NO","NO",IF(HLOOKUP(BL$15,Data_5!$F$10:$BG$42,$A39+2,FALSE)="IE","IE",IF(HLOOKUP(BL$15,Data_5!$F$10:$BG$42,$A39+2,FALSE)="NE","NE",IF(HLOOKUP(BL$15,Data_5!$F$10:$BG$42,$A39+2,FALSE)="C","C",IF(HLOOKUP(BL$15,Data_5!$F$10:$BG$42,$A39+2,FALSE)="NO","NO",HLOOKUP(BL$15,Data_5!$F$10:$BG$42,$A39+2,FALSE)/Data_5!$BI34))))))),"")</f>
        <v/>
      </c>
      <c r="BM39" s="1122" t="str">
        <f>IFERROR(IF(VLOOKUP($AL39,Data_5!$B$12:$E$42,4,FALSE)="BASIC","",(IF(HLOOKUP(BM$15,Data_5!$F$10:$BG$42,$A39+2,FALSE)="NO","NO",IF(HLOOKUP(BM$15,Data_5!$F$10:$BG$42,$A39+2,FALSE)="IE","IE",IF(HLOOKUP(BM$15,Data_5!$F$10:$BG$42,$A39+2,FALSE)="NE","NE",IF(HLOOKUP(BM$15,Data_5!$F$10:$BG$42,$A39+2,FALSE)="C","C",IF(HLOOKUP(BM$15,Data_5!$F$10:$BG$42,$A39+2,FALSE)="NO","NO",HLOOKUP(BM$15,Data_5!$F$10:$BG$42,$A39+2,FALSE)/Data_5!$BI34))))))),"")</f>
        <v/>
      </c>
      <c r="BN39" s="1122" t="str">
        <f>IFERROR(IF(VLOOKUP($AL39,Data_5!$B$12:$E$42,4,FALSE)="BASIC","",(IF(HLOOKUP(BN$15,Data_5!$F$10:$BG$42,$A39+2,FALSE)="NO","NO",IF(HLOOKUP(BN$15,Data_5!$F$10:$BG$42,$A39+2,FALSE)="IE","IE",IF(HLOOKUP(BN$15,Data_5!$F$10:$BG$42,$A39+2,FALSE)="NE","NE",IF(HLOOKUP(BN$15,Data_5!$F$10:$BG$42,$A39+2,FALSE)="C","C",IF(HLOOKUP(BN$15,Data_5!$F$10:$BG$42,$A39+2,FALSE)="NO","NO",HLOOKUP(BN$15,Data_5!$F$10:$BG$42,$A39+2,FALSE)/Data_5!$BI34))))))),"")</f>
        <v/>
      </c>
      <c r="BO39" s="1122" t="str">
        <f>IFERROR(IF(VLOOKUP($AL39,Data_5!$B$12:$E$42,4,FALSE)="BASIC","",(IF(HLOOKUP(BO$15,Data_5!$F$10:$BG$42,$A39+2,FALSE)="NO","NO",IF(HLOOKUP(BO$15,Data_5!$F$10:$BG$42,$A39+2,FALSE)="IE","IE",IF(HLOOKUP(BO$15,Data_5!$F$10:$BG$42,$A39+2,FALSE)="NE","NE",IF(HLOOKUP(BO$15,Data_5!$F$10:$BG$42,$A39+2,FALSE)="C","C",IF(HLOOKUP(BO$15,Data_5!$F$10:$BG$42,$A39+2,FALSE)="NO","NO",HLOOKUP(BO$15,Data_5!$F$10:$BG$42,$A39+2,FALSE)/Data_5!$BI34))))))),"")</f>
        <v/>
      </c>
      <c r="BP39" s="1122" t="str">
        <f>IFERROR(IF(VLOOKUP($AL39,Data_5!$B$12:$E$42,4,FALSE)="BASIC","",(IF(HLOOKUP(BP$15,Data_5!$F$10:$BG$42,$A39+2,FALSE)="NO","NO",IF(HLOOKUP(BP$15,Data_5!$F$10:$BG$42,$A39+2,FALSE)="IE","IE",IF(HLOOKUP(BP$15,Data_5!$F$10:$BG$42,$A39+2,FALSE)="NE","NE",IF(HLOOKUP(BP$15,Data_5!$F$10:$BG$42,$A39+2,FALSE)="C","C",IF(HLOOKUP(BP$15,Data_5!$F$10:$BG$42,$A39+2,FALSE)="NO","NO",HLOOKUP(BP$15,Data_5!$F$10:$BG$42,$A39+2,FALSE)/Data_5!$BI34))))))),"")</f>
        <v/>
      </c>
      <c r="BQ39" s="1122" t="str">
        <f>IFERROR(IF(VLOOKUP($AL39,Data_5!$B$12:$E$42,4,FALSE)="BASIC","",(IF(HLOOKUP(BQ$15,Data_5!$F$10:$BG$42,$A39+2,FALSE)="NO","NO",IF(HLOOKUP(BQ$15,Data_5!$F$10:$BG$42,$A39+2,FALSE)="IE","IE",IF(HLOOKUP(BQ$15,Data_5!$F$10:$BG$42,$A39+2,FALSE)="NE","NE",IF(HLOOKUP(BQ$15,Data_5!$F$10:$BG$42,$A39+2,FALSE)="C","C",IF(HLOOKUP(BQ$15,Data_5!$F$10:$BG$42,$A39+2,FALSE)="NO","NO",HLOOKUP(BQ$15,Data_5!$F$10:$BG$42,$A39+2,FALSE)/Data_5!$BI34))))))),"")</f>
        <v/>
      </c>
      <c r="BR39" s="1122" t="str">
        <f>IFERROR(IF(VLOOKUP($AL39,Data_5!$B$12:$E$42,4,FALSE)="BASIC","",(IF(HLOOKUP(BR$15,Data_5!$F$10:$BG$42,$A39+2,FALSE)="NO","NO",IF(HLOOKUP(BR$15,Data_5!$F$10:$BG$42,$A39+2,FALSE)="IE","IE",IF(HLOOKUP(BR$15,Data_5!$F$10:$BG$42,$A39+2,FALSE)="NE","NE",IF(HLOOKUP(BR$15,Data_5!$F$10:$BG$42,$A39+2,FALSE)="C","C",IF(HLOOKUP(BR$15,Data_5!$F$10:$BG$42,$A39+2,FALSE)="NO","NO",HLOOKUP(BR$15,Data_5!$F$10:$BG$42,$A39+2,FALSE)/Data_5!$BI34))))))),"")</f>
        <v/>
      </c>
      <c r="BS39" s="1122" t="str">
        <f>IFERROR(IF(VLOOKUP($AL39,Data_5!$B$12:$E$42,4,FALSE)="BASIC","",(IF(HLOOKUP(BS$15,Data_5!$F$10:$BG$42,$A39+2,FALSE)="NO","NO",IF(HLOOKUP(BS$15,Data_5!$F$10:$BG$42,$A39+2,FALSE)="IE","IE",IF(HLOOKUP(BS$15,Data_5!$F$10:$BG$42,$A39+2,FALSE)="NE","NE",IF(HLOOKUP(BS$15,Data_5!$F$10:$BG$42,$A39+2,FALSE)="C","C",IF(HLOOKUP(BS$15,Data_5!$F$10:$BG$42,$A39+2,FALSE)="NO","NO",HLOOKUP(BS$15,Data_5!$F$10:$BG$42,$A39+2,FALSE)/Data_5!$BI34))))))),"")</f>
        <v/>
      </c>
      <c r="BT39" s="1122" t="str">
        <f>IFERROR(IF(VLOOKUP($AL39,Data_5!$B$12:$E$42,4,FALSE)="BASIC","",(IF(HLOOKUP(BT$15,Data_5!$F$10:$BG$42,$A39+2,FALSE)="NO","NO",IF(HLOOKUP(BT$15,Data_5!$F$10:$BG$42,$A39+2,FALSE)="IE","IE",IF(HLOOKUP(BT$15,Data_5!$F$10:$BG$42,$A39+2,FALSE)="NE","NE",IF(HLOOKUP(BT$15,Data_5!$F$10:$BG$42,$A39+2,FALSE)="C","C",IF(HLOOKUP(BT$15,Data_5!$F$10:$BG$42,$A39+2,FALSE)="NO","NO",HLOOKUP(BT$15,Data_5!$F$10:$BG$42,$A39+2,FALSE)/Data_5!$BI34))))))),"")</f>
        <v/>
      </c>
      <c r="BU39" s="1122" t="str">
        <f>IFERROR(IF(VLOOKUP($AL39,Data_5!$B$12:$E$42,4,FALSE)="BASIC","",(IF(HLOOKUP(BU$15,Data_5!$F$10:$BG$42,$A39+2,FALSE)="NO","NO",IF(HLOOKUP(BU$15,Data_5!$F$10:$BG$42,$A39+2,FALSE)="IE","IE",IF(HLOOKUP(BU$15,Data_5!$F$10:$BG$42,$A39+2,FALSE)="NE","NE",IF(HLOOKUP(BU$15,Data_5!$F$10:$BG$42,$A39+2,FALSE)="C","C",IF(HLOOKUP(BU$15,Data_5!$F$10:$BG$42,$A39+2,FALSE)="NO","NO",HLOOKUP(BU$15,Data_5!$F$10:$BG$42,$A39+2,FALSE)/Data_5!$BI34))))))),"")</f>
        <v/>
      </c>
      <c r="BV39" s="1122" t="str">
        <f>IFERROR(IF(VLOOKUP($AL39,Data_5!$B$12:$E$42,4,FALSE)="BASIC","",(IF(HLOOKUP(BV$15,Data_5!$F$10:$BG$42,$A39+2,FALSE)="NO","NO",IF(HLOOKUP(BV$15,Data_5!$F$10:$BG$42,$A39+2,FALSE)="IE","IE",IF(HLOOKUP(BV$15,Data_5!$F$10:$BG$42,$A39+2,FALSE)="NE","NE",IF(HLOOKUP(BV$15,Data_5!$F$10:$BG$42,$A39+2,FALSE)="C","C",IF(HLOOKUP(BV$15,Data_5!$F$10:$BG$42,$A39+2,FALSE)="NO","NO",HLOOKUP(BV$15,Data_5!$F$10:$BG$42,$A39+2,FALSE)/Data_5!$BI34))))))),"")</f>
        <v/>
      </c>
      <c r="BW39" s="1122" t="str">
        <f>IFERROR(IF(VLOOKUP($AL39,Data_5!$B$12:$E$42,4,FALSE)="BASIC","",(IF(HLOOKUP(BW$15,Data_5!$F$10:$BG$42,$A39+2,FALSE)="NO","NO",IF(HLOOKUP(BW$15,Data_5!$F$10:$BG$42,$A39+2,FALSE)="IE","IE",IF(HLOOKUP(BW$15,Data_5!$F$10:$BG$42,$A39+2,FALSE)="NE","NE",IF(HLOOKUP(BW$15,Data_5!$F$10:$BG$42,$A39+2,FALSE)="C","C",IF(HLOOKUP(BW$15,Data_5!$F$10:$BG$42,$A39+2,FALSE)="NO","NO",HLOOKUP(BW$15,Data_5!$F$10:$BG$42,$A39+2,FALSE)/Data_5!$BI34))))))),"")</f>
        <v/>
      </c>
      <c r="BX39" s="1122" t="str">
        <f>IFERROR(IF(VLOOKUP($AL39,Data_5!$B$12:$E$42,4,FALSE)="BASIC","",(IF(HLOOKUP(BX$15,Data_5!$F$10:$BG$42,$A39+2,FALSE)="NO","NO",IF(HLOOKUP(BX$15,Data_5!$F$10:$BG$42,$A39+2,FALSE)="IE","IE",IF(HLOOKUP(BX$15,Data_5!$F$10:$BG$42,$A39+2,FALSE)="NE","NE",IF(HLOOKUP(BX$15,Data_5!$F$10:$BG$42,$A39+2,FALSE)="C","C",IF(HLOOKUP(BX$15,Data_5!$F$10:$BG$42,$A39+2,FALSE)="NO","NO",HLOOKUP(BX$15,Data_5!$F$10:$BG$42,$A39+2,FALSE)/Data_5!$BI34))))))),"")</f>
        <v/>
      </c>
      <c r="BY39" s="1122" t="str">
        <f>IFERROR(IF(VLOOKUP($AL39,Data_5!$B$12:$E$42,4,FALSE)="BASIC","",(IF(HLOOKUP(BY$15,Data_5!$F$10:$BG$42,$A39+2,FALSE)="NO","NO",IF(HLOOKUP(BY$15,Data_5!$F$10:$BG$42,$A39+2,FALSE)="IE","IE",IF(HLOOKUP(BY$15,Data_5!$F$10:$BG$42,$A39+2,FALSE)="NE","NE",IF(HLOOKUP(BY$15,Data_5!$F$10:$BG$42,$A39+2,FALSE)="C","C",IF(HLOOKUP(BY$15,Data_5!$F$10:$BG$42,$A39+2,FALSE)="NO","NO",HLOOKUP(BY$15,Data_5!$F$10:$BG$42,$A39+2,FALSE)/Data_5!$BI34))))))),"")</f>
        <v/>
      </c>
      <c r="BZ39" s="1122" t="str">
        <f>IFERROR(IF(VLOOKUP($AL39,Data_5!$B$12:$E$42,4,FALSE)="BASIC","",(IF(HLOOKUP(BZ$15,Data_5!$F$10:$BG$42,$A39+2,FALSE)="NO","NO",IF(HLOOKUP(BZ$15,Data_5!$F$10:$BG$42,$A39+2,FALSE)="IE","IE",IF(HLOOKUP(BZ$15,Data_5!$F$10:$BG$42,$A39+2,FALSE)="NE","NE",IF(HLOOKUP(BZ$15,Data_5!$F$10:$BG$42,$A39+2,FALSE)="C","C",IF(HLOOKUP(BZ$15,Data_5!$F$10:$BG$42,$A39+2,FALSE)="NO","NO",HLOOKUP(BZ$15,Data_5!$F$10:$BG$42,$A39+2,FALSE)/Data_5!$BI34))))))),"")</f>
        <v/>
      </c>
      <c r="CA39" s="1122" t="str">
        <f>IFERROR(IF(VLOOKUP($AL39,Data_5!$B$12:$E$42,4,FALSE)="BASIC","",(IF(HLOOKUP(CA$15,Data_5!$F$10:$BG$42,$A39+2,FALSE)="NO","NO",IF(HLOOKUP(CA$15,Data_5!$F$10:$BG$42,$A39+2,FALSE)="IE","IE",IF(HLOOKUP(CA$15,Data_5!$F$10:$BG$42,$A39+2,FALSE)="NE","NE",IF(HLOOKUP(CA$15,Data_5!$F$10:$BG$42,$A39+2,FALSE)="C","C",IF(HLOOKUP(CA$15,Data_5!$F$10:$BG$42,$A39+2,FALSE)="NO","NO",HLOOKUP(CA$15,Data_5!$F$10:$BG$42,$A39+2,FALSE)/Data_5!$BI34))))))),"")</f>
        <v/>
      </c>
      <c r="CB39" s="1122" t="str">
        <f>IFERROR(IF(VLOOKUP($AL39,Data_5!$B$12:$E$42,4,FALSE)="BASIC","",(IF(HLOOKUP(CB$15,Data_5!$F$10:$BG$42,$A39+2,FALSE)="NO","NO",IF(HLOOKUP(CB$15,Data_5!$F$10:$BG$42,$A39+2,FALSE)="IE","IE",IF(HLOOKUP(CB$15,Data_5!$F$10:$BG$42,$A39+2,FALSE)="NE","NE",IF(HLOOKUP(CB$15,Data_5!$F$10:$BG$42,$A39+2,FALSE)="C","C",IF(HLOOKUP(CB$15,Data_5!$F$10:$BG$42,$A39+2,FALSE)="NO","NO",HLOOKUP(CB$15,Data_5!$F$10:$BG$42,$A39+2,FALSE)/Data_5!$BI34))))))),"")</f>
        <v/>
      </c>
      <c r="CC39" s="1122" t="str">
        <f>IFERROR(IF(VLOOKUP($AL39,Data_5!$B$12:$E$42,4,FALSE)="BASIC","",(IF(HLOOKUP(CC$15,Data_5!$F$10:$BG$42,$A39+2,FALSE)="NO","NO",IF(HLOOKUP(CC$15,Data_5!$F$10:$BG$42,$A39+2,FALSE)="IE","IE",IF(HLOOKUP(CC$15,Data_5!$F$10:$BG$42,$A39+2,FALSE)="NE","NE",IF(HLOOKUP(CC$15,Data_5!$F$10:$BG$42,$A39+2,FALSE)="C","C",IF(HLOOKUP(CC$15,Data_5!$F$10:$BG$42,$A39+2,FALSE)="NO","NO",HLOOKUP(CC$15,Data_5!$F$10:$BG$42,$A39+2,FALSE)/Data_5!$BI34))))))),"")</f>
        <v/>
      </c>
      <c r="CD39" s="1122" t="str">
        <f>IFERROR(IF(VLOOKUP($AL39,Data_5!$B$12:$E$42,4,FALSE)="BASIC","",(IF(HLOOKUP(CD$15,Data_5!$F$10:$BG$42,$A39+2,FALSE)="NO","NO",IF(HLOOKUP(CD$15,Data_5!$F$10:$BG$42,$A39+2,FALSE)="IE","IE",IF(HLOOKUP(CD$15,Data_5!$F$10:$BG$42,$A39+2,FALSE)="NE","NE",IF(HLOOKUP(CD$15,Data_5!$F$10:$BG$42,$A39+2,FALSE)="C","C",IF(HLOOKUP(CD$15,Data_5!$F$10:$BG$42,$A39+2,FALSE)="NO","NO",HLOOKUP(CD$15,Data_5!$F$10:$BG$42,$A39+2,FALSE)/Data_5!$BI34))))))),"")</f>
        <v/>
      </c>
      <c r="CE39" s="1122" t="str">
        <f>IFERROR(IF(VLOOKUP($AL39,Data_5!$B$12:$E$42,4,FALSE)="BASIC","",(IF(HLOOKUP(CE$15,Data_5!$F$10:$BG$42,$A39+2,FALSE)="NO","NO",IF(HLOOKUP(CE$15,Data_5!$F$10:$BG$42,$A39+2,FALSE)="IE","IE",IF(HLOOKUP(CE$15,Data_5!$F$10:$BG$42,$A39+2,FALSE)="NE","NE",IF(HLOOKUP(CE$15,Data_5!$F$10:$BG$42,$A39+2,FALSE)="C","C",IF(HLOOKUP(CE$15,Data_5!$F$10:$BG$42,$A39+2,FALSE)="NO","NO",HLOOKUP(CE$15,Data_5!$F$10:$BG$42,$A39+2,FALSE)/Data_5!$BI34))))))),"")</f>
        <v/>
      </c>
      <c r="CF39" s="1122" t="str">
        <f>IFERROR(IF(VLOOKUP($AL39,Data_5!$B$12:$E$42,4,FALSE)="BASIC","",(IF(HLOOKUP(CF$15,Data_5!$F$10:$BG$42,$A39+2,FALSE)="NO","NO",IF(HLOOKUP(CF$15,Data_5!$F$10:$BG$42,$A39+2,FALSE)="IE","IE",IF(HLOOKUP(CF$15,Data_5!$F$10:$BG$42,$A39+2,FALSE)="NE","NE",IF(HLOOKUP(CF$15,Data_5!$F$10:$BG$42,$A39+2,FALSE)="C","C",IF(HLOOKUP(CF$15,Data_5!$F$10:$BG$42,$A39+2,FALSE)="NO","NO",HLOOKUP(CF$15,Data_5!$F$10:$BG$42,$A39+2,FALSE)/Data_5!$BI34))))))),"")</f>
        <v/>
      </c>
      <c r="CG39" s="1122" t="str">
        <f>IFERROR(IF(VLOOKUP($AL39,Data_5!$B$12:$E$42,4,FALSE)="BASIC","",(IF(HLOOKUP(CG$15,Data_5!$F$10:$BG$42,$A39+2,FALSE)="NO","NO",IF(HLOOKUP(CG$15,Data_5!$F$10:$BG$42,$A39+2,FALSE)="IE","IE",IF(HLOOKUP(CG$15,Data_5!$F$10:$BG$42,$A39+2,FALSE)="NE","NE",IF(HLOOKUP(CG$15,Data_5!$F$10:$BG$42,$A39+2,FALSE)="C","C",IF(HLOOKUP(CG$15,Data_5!$F$10:$BG$42,$A39+2,FALSE)="NO","NO",HLOOKUP(CG$15,Data_5!$F$10:$BG$42,$A39+2,FALSE)/Data_5!$BI34))))))),"")</f>
        <v/>
      </c>
      <c r="CH39" s="1122" t="str">
        <f>IFERROR(IF(VLOOKUP($AL39,Data_5!$B$12:$E$42,4,FALSE)="BASIC","",(IF(HLOOKUP(CH$15,Data_5!$F$10:$BG$42,$A39+2,FALSE)="NO","NO",IF(HLOOKUP(CH$15,Data_5!$F$10:$BG$42,$A39+2,FALSE)="IE","IE",IF(HLOOKUP(CH$15,Data_5!$F$10:$BG$42,$A39+2,FALSE)="NE","NE",IF(HLOOKUP(CH$15,Data_5!$F$10:$BG$42,$A39+2,FALSE)="C","C",IF(HLOOKUP(CH$15,Data_5!$F$10:$BG$42,$A39+2,FALSE)="NO","NO",HLOOKUP(CH$15,Data_5!$F$10:$BG$42,$A39+2,FALSE)/Data_5!$BI34))))))),"")</f>
        <v/>
      </c>
      <c r="CI39" s="1122" t="str">
        <f>IFERROR(IF(VLOOKUP($AL39,Data_5!$B$12:$E$42,4,FALSE)="BASIC","",(IF(HLOOKUP(CI$15,Data_5!$F$10:$BG$42,$A39+2,FALSE)="NO","NO",IF(HLOOKUP(CI$15,Data_5!$F$10:$BG$42,$A39+2,FALSE)="IE","IE",IF(HLOOKUP(CI$15,Data_5!$F$10:$BG$42,$A39+2,FALSE)="NE","NE",IF(HLOOKUP(CI$15,Data_5!$F$10:$BG$42,$A39+2,FALSE)="C","C",IF(HLOOKUP(CI$15,Data_5!$F$10:$BG$42,$A39+2,FALSE)="NO","NO",HLOOKUP(CI$15,Data_5!$F$10:$BG$42,$A39+2,FALSE)/Data_5!$BI34))))))),"")</f>
        <v/>
      </c>
      <c r="CJ39" s="1122" t="str">
        <f>IFERROR(IF(VLOOKUP($AL39,Data_5!$B$12:$E$42,4,FALSE)="BASIC","",(IF(HLOOKUP(CJ$15,Data_5!$F$10:$BG$42,$A39+2,FALSE)="NO","NO",IF(HLOOKUP(CJ$15,Data_5!$F$10:$BG$42,$A39+2,FALSE)="IE","IE",IF(HLOOKUP(CJ$15,Data_5!$F$10:$BG$42,$A39+2,FALSE)="NE","NE",IF(HLOOKUP(CJ$15,Data_5!$F$10:$BG$42,$A39+2,FALSE)="C","C",IF(HLOOKUP(CJ$15,Data_5!$F$10:$BG$42,$A39+2,FALSE)="NO","NO",HLOOKUP(CJ$15,Data_5!$F$10:$BG$42,$A39+2,FALSE)/Data_5!$BI34))))))),"")</f>
        <v/>
      </c>
      <c r="CK39" s="15"/>
      <c r="CL39" s="2628" t="str">
        <f t="shared" si="2"/>
        <v>San Francisco</v>
      </c>
      <c r="CM39" s="2629"/>
      <c r="CN39" s="1100">
        <f t="shared" si="3"/>
        <v>2012</v>
      </c>
      <c r="CO39" s="1122">
        <f>IFERROR(IF(HLOOKUP(CO$15,Data_5!$F$10:$BG$42,$A39+2,FALSE)="NO","NO",IF(HLOOKUP(CO$15,Data_5!$F$10:$BG$42,$A39+2,FALSE)="IE","IE",IF(HLOOKUP(CO$15,Data_5!$F$10:$BG$42,$A39+2,FALSE)="NE","NE",IF(HLOOKUP(CO$15,Data_5!$F$10:$BG$42,$A39+2,FALSE)="C","C",IF(HLOOKUP(CO$15,Data_5!$F$10:$BG$42,$A39+2,FALSE)="NO","NO",HLOOKUP(CO$15,Data_5!$F$10:$BG$42,$A39+2,FALSE)/Data_5!$BK34))))),"")</f>
        <v>0.18055863659311791</v>
      </c>
      <c r="CP39" s="1122">
        <f>IFERROR(IF(HLOOKUP(CP$15,Data_5!$F$10:$BG$42,$A39+2,FALSE)="NO","NO",IF(HLOOKUP(CP$15,Data_5!$F$10:$BG$42,$A39+2,FALSE)="IE","IE",IF(HLOOKUP(CP$15,Data_5!$F$10:$BG$42,$A39+2,FALSE)="NE","NE",IF(HLOOKUP(CP$15,Data_5!$F$10:$BG$42,$A39+2,FALSE)="C","C",IF(HLOOKUP(CP$15,Data_5!$F$10:$BG$42,$A39+2,FALSE)="NO","NO",HLOOKUP(CP$15,Data_5!$F$10:$BG$42,$A39+2,FALSE)/Data_5!$BK34))))),"")</f>
        <v>0.1610196144143243</v>
      </c>
      <c r="CQ39" s="1122" t="str">
        <f>IFERROR(IF(HLOOKUP(CQ$15,Data_5!$F$10:$BG$42,$A39+2,FALSE)="NO","NO",IF(HLOOKUP(CQ$15,Data_5!$F$10:$BG$42,$A39+2,FALSE)="IE","IE",IF(HLOOKUP(CQ$15,Data_5!$F$10:$BG$42,$A39+2,FALSE)="NE","NE",IF(HLOOKUP(CQ$15,Data_5!$F$10:$BG$42,$A39+2,FALSE)="C","C",IF(HLOOKUP(CQ$15,Data_5!$F$10:$BG$42,$A39+2,FALSE)="NO","NO",HLOOKUP(CQ$15,Data_5!$F$10:$BG$42,$A39+2,FALSE)/Data_5!$BK34))))),"")</f>
        <v>IE</v>
      </c>
      <c r="CR39" s="1122">
        <f>IFERROR(IF(HLOOKUP(CR$15,Data_5!$F$10:$BG$42,$A39+2,FALSE)="NO","NO",IF(HLOOKUP(CR$15,Data_5!$F$10:$BG$42,$A39+2,FALSE)="IE","IE",IF(HLOOKUP(CR$15,Data_5!$F$10:$BG$42,$A39+2,FALSE)="NE","NE",IF(HLOOKUP(CR$15,Data_5!$F$10:$BG$42,$A39+2,FALSE)="C","C",IF(HLOOKUP(CR$15,Data_5!$F$10:$BG$42,$A39+2,FALSE)="NO","NO",HLOOKUP(CR$15,Data_5!$F$10:$BG$42,$A39+2,FALSE)/Data_5!$BK34))))),"")</f>
        <v>1.6586929778342812E-5</v>
      </c>
      <c r="CS39" s="1122">
        <f>IFERROR(IF(HLOOKUP(CS$15,Data_5!$F$10:$BG$42,$A39+2,FALSE)="NO","NO",IF(HLOOKUP(CS$15,Data_5!$F$10:$BG$42,$A39+2,FALSE)="IE","IE",IF(HLOOKUP(CS$15,Data_5!$F$10:$BG$42,$A39+2,FALSE)="NE","NE",IF(HLOOKUP(CS$15,Data_5!$F$10:$BG$42,$A39+2,FALSE)="C","C",IF(HLOOKUP(CS$15,Data_5!$F$10:$BG$42,$A39+2,FALSE)="NO","NO",HLOOKUP(CS$15,Data_5!$F$10:$BG$42,$A39+2,FALSE)/Data_5!$BK34))))),"")</f>
        <v>1.5110249162492626E-2</v>
      </c>
      <c r="CT39" s="1122">
        <f>IFERROR(IF(HLOOKUP(CT$15,Data_5!$F$10:$BG$42,$A39+2,FALSE)="NO","NO",IF(HLOOKUP(CT$15,Data_5!$F$10:$BG$42,$A39+2,FALSE)="IE","IE",IF(HLOOKUP(CT$15,Data_5!$F$10:$BG$42,$A39+2,FALSE)="NE","NE",IF(HLOOKUP(CT$15,Data_5!$F$10:$BG$42,$A39+2,FALSE)="C","C",IF(HLOOKUP(CT$15,Data_5!$F$10:$BG$42,$A39+2,FALSE)="NO","NO",HLOOKUP(CT$15,Data_5!$F$10:$BG$42,$A39+2,FALSE)/Data_5!$BK34))))),"")</f>
        <v>2.5645040366515837E-5</v>
      </c>
      <c r="CU39" s="1122">
        <f>IFERROR(IF(HLOOKUP(CU$15,Data_5!$F$10:$BG$42,$A39+2,FALSE)="NO","NO",IF(HLOOKUP(CU$15,Data_5!$F$10:$BG$42,$A39+2,FALSE)="IE","IE",IF(HLOOKUP(CU$15,Data_5!$F$10:$BG$42,$A39+2,FALSE)="NE","NE",IF(HLOOKUP(CU$15,Data_5!$F$10:$BG$42,$A39+2,FALSE)="C","C",IF(HLOOKUP(CU$15,Data_5!$F$10:$BG$42,$A39+2,FALSE)="NO","NO",HLOOKUP(CU$15,Data_5!$F$10:$BG$42,$A39+2,FALSE)/Data_5!$BK34))))),"")</f>
        <v>3.9780633671659307E-2</v>
      </c>
      <c r="CV39" s="1122">
        <f>IFERROR(IF(HLOOKUP(CV$15,Data_5!$F$10:$BG$42,$A39+2,FALSE)="NO","NO",IF(HLOOKUP(CV$15,Data_5!$F$10:$BG$42,$A39+2,FALSE)="IE","IE",IF(HLOOKUP(CV$15,Data_5!$F$10:$BG$42,$A39+2,FALSE)="NE","NE",IF(HLOOKUP(CV$15,Data_5!$F$10:$BG$42,$A39+2,FALSE)="C","C",IF(HLOOKUP(CV$15,Data_5!$F$10:$BG$42,$A39+2,FALSE)="NO","NO",HLOOKUP(CV$15,Data_5!$F$10:$BG$42,$A39+2,FALSE)/Data_5!$BK34))))),"")</f>
        <v>0</v>
      </c>
      <c r="CW39" s="1122">
        <f>IFERROR(IF(HLOOKUP(CW$15,Data_5!$F$10:$BG$42,$A39+2,FALSE)="NO","NO",IF(HLOOKUP(CW$15,Data_5!$F$10:$BG$42,$A39+2,FALSE)="IE","IE",IF(HLOOKUP(CW$15,Data_5!$F$10:$BG$42,$A39+2,FALSE)="NE","NE",IF(HLOOKUP(CW$15,Data_5!$F$10:$BG$42,$A39+2,FALSE)="C","C",IF(HLOOKUP(CW$15,Data_5!$F$10:$BG$42,$A39+2,FALSE)="NO","NO",HLOOKUP(CW$15,Data_5!$F$10:$BG$42,$A39+2,FALSE)/Data_5!$BK34))))),"")</f>
        <v>3.1243340854994707E-3</v>
      </c>
      <c r="CX39" s="1122">
        <f>IFERROR(IF(HLOOKUP(CX$15,Data_5!$F$10:$BG$42,$A39+2,FALSE)="NO","NO",IF(HLOOKUP(CX$15,Data_5!$F$10:$BG$42,$A39+2,FALSE)="IE","IE",IF(HLOOKUP(CX$15,Data_5!$F$10:$BG$42,$A39+2,FALSE)="NE","NE",IF(HLOOKUP(CX$15,Data_5!$F$10:$BG$42,$A39+2,FALSE)="C","C",IF(HLOOKUP(CX$15,Data_5!$F$10:$BG$42,$A39+2,FALSE)="NO","NO",HLOOKUP(CX$15,Data_5!$F$10:$BG$42,$A39+2,FALSE)/Data_5!$BK34))))),"")</f>
        <v>0.46370338259869986</v>
      </c>
      <c r="CY39" s="1122">
        <f>IFERROR(IF(HLOOKUP(CY$15,Data_5!$F$10:$BG$42,$A39+2,FALSE)="NO","NO",IF(HLOOKUP(CY$15,Data_5!$F$10:$BG$42,$A39+2,FALSE)="IE","IE",IF(HLOOKUP(CY$15,Data_5!$F$10:$BG$42,$A39+2,FALSE)="NE","NE",IF(HLOOKUP(CY$15,Data_5!$F$10:$BG$42,$A39+2,FALSE)="C","C",IF(HLOOKUP(CY$15,Data_5!$F$10:$BG$42,$A39+2,FALSE)="NO","NO",HLOOKUP(CY$15,Data_5!$F$10:$BG$42,$A39+2,FALSE)/Data_5!$BK34))))),"")</f>
        <v>2.7107794348337232E-3</v>
      </c>
      <c r="CZ39" s="1122">
        <f>IFERROR(IF(HLOOKUP(CZ$15,Data_5!$F$10:$BG$42,$A39+2,FALSE)="NO","NO",IF(HLOOKUP(CZ$15,Data_5!$F$10:$BG$42,$A39+2,FALSE)="IE","IE",IF(HLOOKUP(CZ$15,Data_5!$F$10:$BG$42,$A39+2,FALSE)="NE","NE",IF(HLOOKUP(CZ$15,Data_5!$F$10:$BG$42,$A39+2,FALSE)="C","C",IF(HLOOKUP(CZ$15,Data_5!$F$10:$BG$42,$A39+2,FALSE)="NO","NO",HLOOKUP(CZ$15,Data_5!$F$10:$BG$42,$A39+2,FALSE)/Data_5!$BK34))))),"")</f>
        <v>0.13049819940121138</v>
      </c>
      <c r="DA39" s="1122" t="str">
        <f>IFERROR(IF(HLOOKUP(DA$15,Data_5!$F$10:$BG$42,$A39+2,FALSE)="NO","NO",IF(HLOOKUP(DA$15,Data_5!$F$10:$BG$42,$A39+2,FALSE)="IE","IE",IF(HLOOKUP(DA$15,Data_5!$F$10:$BG$42,$A39+2,FALSE)="NE","NE",IF(HLOOKUP(DA$15,Data_5!$F$10:$BG$42,$A39+2,FALSE)="C","C",IF(HLOOKUP(DA$15,Data_5!$F$10:$BG$42,$A39+2,FALSE)="NO","NO",HLOOKUP(DA$15,Data_5!$F$10:$BG$42,$A39+2,FALSE)/Data_5!$BK34))))),"")</f>
        <v>NO</v>
      </c>
      <c r="DB39" s="1122" t="str">
        <f>IFERROR(IF(HLOOKUP(DB$15,Data_5!$F$10:$BG$42,$A39+2,FALSE)="NO","NO",IF(HLOOKUP(DB$15,Data_5!$F$10:$BG$42,$A39+2,FALSE)="IE","IE",IF(HLOOKUP(DB$15,Data_5!$F$10:$BG$42,$A39+2,FALSE)="NE","NE",IF(HLOOKUP(DB$15,Data_5!$F$10:$BG$42,$A39+2,FALSE)="C","C",IF(HLOOKUP(DB$15,Data_5!$F$10:$BG$42,$A39+2,FALSE)="NO","NO",HLOOKUP(DB$15,Data_5!$F$10:$BG$42,$A39+2,FALSE)/Data_5!$BK34))))),"")</f>
        <v>NO</v>
      </c>
      <c r="DC39" s="1122" t="str">
        <f>IFERROR(IF(HLOOKUP(DC$15,Data_5!$F$10:$BG$42,$A39+2,FALSE)="NO","NO",IF(HLOOKUP(DC$15,Data_5!$F$10:$BG$42,$A39+2,FALSE)="IE","IE",IF(HLOOKUP(DC$15,Data_5!$F$10:$BG$42,$A39+2,FALSE)="NE","NE",IF(HLOOKUP(DC$15,Data_5!$F$10:$BG$42,$A39+2,FALSE)="C","C",IF(HLOOKUP(DC$15,Data_5!$F$10:$BG$42,$A39+2,FALSE)="NO","NO",HLOOKUP(DC$15,Data_5!$F$10:$BG$42,$A39+2,FALSE)/Data_5!$BK34))))),"")</f>
        <v>NO</v>
      </c>
      <c r="DD39" s="1122" t="str">
        <f>IFERROR(IF(HLOOKUP(DD$15,Data_5!$F$10:$BG$42,$A39+2,FALSE)="NO","NO",IF(HLOOKUP(DD$15,Data_5!$F$10:$BG$42,$A39+2,FALSE)="IE","IE",IF(HLOOKUP(DD$15,Data_5!$F$10:$BG$42,$A39+2,FALSE)="NE","NE",IF(HLOOKUP(DD$15,Data_5!$F$10:$BG$42,$A39+2,FALSE)="C","C",IF(HLOOKUP(DD$15,Data_5!$F$10:$BG$42,$A39+2,FALSE)="NO","NO",HLOOKUP(DD$15,Data_5!$F$10:$BG$42,$A39+2,FALSE)/Data_5!$BK34))))),"")</f>
        <v>NO</v>
      </c>
      <c r="DE39" s="1122" t="str">
        <f>IFERROR(IF(HLOOKUP(DE$15,Data_5!$F$10:$BG$42,$A39+2,FALSE)="NO","NO",IF(HLOOKUP(DE$15,Data_5!$F$10:$BG$42,$A39+2,FALSE)="IE","IE",IF(HLOOKUP(DE$15,Data_5!$F$10:$BG$42,$A39+2,FALSE)="NE","NE",IF(HLOOKUP(DE$15,Data_5!$F$10:$BG$42,$A39+2,FALSE)="C","C",IF(HLOOKUP(DE$15,Data_5!$F$10:$BG$42,$A39+2,FALSE)="NO","NO",HLOOKUP(DE$15,Data_5!$F$10:$BG$42,$A39+2,FALSE)/Data_5!$BK34))))),"")</f>
        <v>NO</v>
      </c>
      <c r="DF39" s="1122" t="str">
        <f>IFERROR(IF(HLOOKUP(DF$15,Data_5!$F$10:$BG$42,$A39+2,FALSE)="NO","NO",IF(HLOOKUP(DF$15,Data_5!$F$10:$BG$42,$A39+2,FALSE)="IE","IE",IF(HLOOKUP(DF$15,Data_5!$F$10:$BG$42,$A39+2,FALSE)="NE","NE",IF(HLOOKUP(DF$15,Data_5!$F$10:$BG$42,$A39+2,FALSE)="C","C",IF(HLOOKUP(DF$15,Data_5!$F$10:$BG$42,$A39+2,FALSE)="NO","NO",HLOOKUP(DF$15,Data_5!$F$10:$BG$42,$A39+2,FALSE)/Data_5!$BK34))))),"")</f>
        <v>NO</v>
      </c>
      <c r="DG39" s="1122" t="str">
        <f>IFERROR(IF(HLOOKUP(DG$15,Data_5!$F$10:$BG$42,$A39+2,FALSE)="NO","NO",IF(HLOOKUP(DG$15,Data_5!$F$10:$BG$42,$A39+2,FALSE)="IE","IE",IF(HLOOKUP(DG$15,Data_5!$F$10:$BG$42,$A39+2,FALSE)="NE","NE",IF(HLOOKUP(DG$15,Data_5!$F$10:$BG$42,$A39+2,FALSE)="C","C",IF(HLOOKUP(DG$15,Data_5!$F$10:$BG$42,$A39+2,FALSE)="NO","NO",HLOOKUP(DG$15,Data_5!$F$10:$BG$42,$A39+2,FALSE)/Data_5!$BK34))))),"")</f>
        <v>NO</v>
      </c>
      <c r="DH39" s="1122" t="str">
        <f>IFERROR(IF(HLOOKUP(DH$15,Data_5!$F$10:$BG$42,$A39+2,FALSE)="NO","NO",IF(HLOOKUP(DH$15,Data_5!$F$10:$BG$42,$A39+2,FALSE)="IE","IE",IF(HLOOKUP(DH$15,Data_5!$F$10:$BG$42,$A39+2,FALSE)="NE","NE",IF(HLOOKUP(DH$15,Data_5!$F$10:$BG$42,$A39+2,FALSE)="C","C",IF(HLOOKUP(DH$15,Data_5!$F$10:$BG$42,$A39+2,FALSE)="NO","NO",HLOOKUP(DH$15,Data_5!$F$10:$BG$42,$A39+2,FALSE)/Data_5!$BK34))))),"")</f>
        <v>NO</v>
      </c>
      <c r="DI39" s="1122">
        <f>IFERROR(IF(HLOOKUP(DI$15,Data_5!$F$10:$BG$42,$A39+2,FALSE)="NO","NO",IF(HLOOKUP(DI$15,Data_5!$F$10:$BG$42,$A39+2,FALSE)="IE","IE",IF(HLOOKUP(DI$15,Data_5!$F$10:$BG$42,$A39+2,FALSE)="NE","NE",IF(HLOOKUP(DI$15,Data_5!$F$10:$BG$42,$A39+2,FALSE)="C","C",IF(HLOOKUP(DI$15,Data_5!$F$10:$BG$42,$A39+2,FALSE)="NO","NO",HLOOKUP(DI$15,Data_5!$F$10:$BG$42,$A39+2,FALSE)/Data_5!$BK34))))),"")</f>
        <v>2.1939435640191047E-3</v>
      </c>
      <c r="DJ39" s="1122" t="str">
        <f>IFERROR(IF(HLOOKUP(DJ$15,Data_5!$F$10:$BG$42,$A39+2,FALSE)="NO","NO",IF(HLOOKUP(DJ$15,Data_5!$F$10:$BG$42,$A39+2,FALSE)="IE","IE",IF(HLOOKUP(DJ$15,Data_5!$F$10:$BG$42,$A39+2,FALSE)="NE","NE",IF(HLOOKUP(DJ$15,Data_5!$F$10:$BG$42,$A39+2,FALSE)="C","C",IF(HLOOKUP(DJ$15,Data_5!$F$10:$BG$42,$A39+2,FALSE)="NO","NO",HLOOKUP(DJ$15,Data_5!$F$10:$BG$42,$A39+2,FALSE)/Data_5!$BK34))))),"")</f>
        <v>NO</v>
      </c>
      <c r="DK39" s="1122" t="str">
        <f>IFERROR(IF(HLOOKUP(DK$15,Data_5!$F$10:$BG$42,$A39+2,FALSE)="NO","NO",IF(HLOOKUP(DK$15,Data_5!$F$10:$BG$42,$A39+2,FALSE)="IE","IE",IF(HLOOKUP(DK$15,Data_5!$F$10:$BG$42,$A39+2,FALSE)="NE","NE",IF(HLOOKUP(DK$15,Data_5!$F$10:$BG$42,$A39+2,FALSE)="C","C",IF(HLOOKUP(DK$15,Data_5!$F$10:$BG$42,$A39+2,FALSE)="NO","NO",HLOOKUP(DK$15,Data_5!$F$10:$BG$42,$A39+2,FALSE)/Data_5!$BK34))))),"")</f>
        <v>NO</v>
      </c>
      <c r="DL39" s="1122" t="str">
        <f>IFERROR(IF(HLOOKUP(DL$15,Data_5!$F$10:$BG$42,$A39+2,FALSE)="NO","NO",IF(HLOOKUP(DL$15,Data_5!$F$10:$BG$42,$A39+2,FALSE)="IE","IE",IF(HLOOKUP(DL$15,Data_5!$F$10:$BG$42,$A39+2,FALSE)="NE","NE",IF(HLOOKUP(DL$15,Data_5!$F$10:$BG$42,$A39+2,FALSE)="C","C",IF(HLOOKUP(DL$15,Data_5!$F$10:$BG$42,$A39+2,FALSE)="NO","NO",HLOOKUP(DL$15,Data_5!$F$10:$BG$42,$A39+2,FALSE)/Data_5!$BK34))))),"")</f>
        <v>NE</v>
      </c>
      <c r="DM39" s="1122" t="str">
        <f>IFERROR(IF(HLOOKUP(DM$15,Data_5!$F$10:$BG$42,$A39+2,FALSE)="NO","NO",IF(HLOOKUP(DM$15,Data_5!$F$10:$BG$42,$A39+2,FALSE)="IE","IE",IF(HLOOKUP(DM$15,Data_5!$F$10:$BG$42,$A39+2,FALSE)="NE","NE",IF(HLOOKUP(DM$15,Data_5!$F$10:$BG$42,$A39+2,FALSE)="C","C",IF(HLOOKUP(DM$15,Data_5!$F$10:$BG$42,$A39+2,FALSE)="NO","NO",HLOOKUP(DM$15,Data_5!$F$10:$BG$42,$A39+2,FALSE)/Data_5!$BK34))))),"")</f>
        <v>NO</v>
      </c>
      <c r="DN39" s="1122">
        <f>IFERROR(IF(HLOOKUP(DN$15,Data_5!$F$10:$BG$42,$A39+2,FALSE)="NO","NO",IF(HLOOKUP(DN$15,Data_5!$F$10:$BG$42,$A39+2,FALSE)="IE","IE",IF(HLOOKUP(DN$15,Data_5!$F$10:$BG$42,$A39+2,FALSE)="NE","NE",IF(HLOOKUP(DN$15,Data_5!$F$10:$BG$42,$A39+2,FALSE)="C","C",IF(HLOOKUP(DN$15,Data_5!$F$10:$BG$42,$A39+2,FALSE)="NO","NO",HLOOKUP(DN$15,Data_5!$F$10:$BG$42,$A39+2,FALSE)/Data_5!$BK34))))),"")</f>
        <v>1.2579951039974635E-3</v>
      </c>
      <c r="DO39" s="1122" t="str">
        <f>IFERROR(IF(HLOOKUP(DO$15,Data_5!$F$10:$BG$42,$A39+2,FALSE)="NO","NO",IF(HLOOKUP(DO$15,Data_5!$F$10:$BG$42,$A39+2,FALSE)="IE","IE",IF(HLOOKUP(DO$15,Data_5!$F$10:$BG$42,$A39+2,FALSE)="NE","NE",IF(HLOOKUP(DO$15,Data_5!$F$10:$BG$42,$A39+2,FALSE)="C","C",IF(HLOOKUP(DO$15,Data_5!$F$10:$BG$42,$A39+2,FALSE)="NO","NO",HLOOKUP(DO$15,Data_5!$F$10:$BG$42,$A39+2,FALSE)/Data_5!$BK34))))),"")</f>
        <v>NO</v>
      </c>
    </row>
    <row r="40" spans="1:119" ht="15" customHeight="1">
      <c r="A40" s="1789">
        <v>24</v>
      </c>
      <c r="B40" s="2628" t="str">
        <f>IF(Data_5!B35&lt;&gt;"",Data_5!B35,"")</f>
        <v>Seattle</v>
      </c>
      <c r="C40" s="2629"/>
      <c r="D40" s="1462">
        <f>IFERROR(VLOOKUP($B40,Data_5!$B$12:$C$42,2,FALSE),"")</f>
        <v>2012</v>
      </c>
      <c r="E40" s="1122">
        <f>IFERROR(IF(HLOOKUP(E$15,Data_5!$F$10:$BG$42,$A40+2,FALSE)="NO","NO",IF(HLOOKUP(E$15,Data_5!$F$10:$BG$42,$A40+2,FALSE)="IE","IE",IF(HLOOKUP(E$15,Data_5!$F$10:$BG$42,$A40+2,FALSE)="NE","NE",IF(HLOOKUP(E$15,Data_5!$F$10:$BG$42,$A40+2,FALSE)="C","C",IF(HLOOKUP(E$15,Data_5!$F$10:$BG$42,$A40+2,FALSE)="NO","NO",HLOOKUP(E$15,Data_5!$F$10:$BG$42,$A40+2,FALSE)/Data_5!$BH35))))),"")</f>
        <v>0.12115059951651543</v>
      </c>
      <c r="F40" s="1122">
        <f>IFERROR(IF(HLOOKUP(F$15,Data_5!$F$10:$BG$42,$A40+2,FALSE)="NO","NO",IF(HLOOKUP(F$15,Data_5!$F$10:$BG$42,$A40+2,FALSE)="IE","IE",IF(HLOOKUP(F$15,Data_5!$F$10:$BG$42,$A40+2,FALSE)="NE","NE",IF(HLOOKUP(F$15,Data_5!$F$10:$BG$42,$A40+2,FALSE)="C","C",IF(HLOOKUP(F$15,Data_5!$F$10:$BG$42,$A40+2,FALSE)="NO","NO",HLOOKUP(F$15,Data_5!$F$10:$BG$42,$A40+2,FALSE)/Data_5!$BH35))))),"")</f>
        <v>6.6854885087117991E-3</v>
      </c>
      <c r="G40" s="1122">
        <f>IFERROR(IF(HLOOKUP(G$15,Data_5!$F$10:$BG$42,$A40+2,FALSE)="NO","NO",IF(HLOOKUP(G$15,Data_5!$F$10:$BG$42,$A40+2,FALSE)="IE","IE",IF(HLOOKUP(G$15,Data_5!$F$10:$BG$42,$A40+2,FALSE)="NE","NE",IF(HLOOKUP(G$15,Data_5!$F$10:$BG$42,$A40+2,FALSE)="C","C",IF(HLOOKUP(G$15,Data_5!$F$10:$BG$42,$A40+2,FALSE)="NO","NO",HLOOKUP(G$15,Data_5!$F$10:$BG$42,$A40+2,FALSE)/Data_5!$BH35))))),"")</f>
        <v>0.1691406064669482</v>
      </c>
      <c r="H40" s="1122">
        <f>IFERROR(IF(HLOOKUP(H$15,Data_5!$F$10:$BG$42,$A40+2,FALSE)="NO","NO",IF(HLOOKUP(H$15,Data_5!$F$10:$BG$42,$A40+2,FALSE)="IE","IE",IF(HLOOKUP(H$15,Data_5!$F$10:$BG$42,$A40+2,FALSE)="NE","NE",IF(HLOOKUP(H$15,Data_5!$F$10:$BG$42,$A40+2,FALSE)="C","C",IF(HLOOKUP(H$15,Data_5!$F$10:$BG$42,$A40+2,FALSE)="NO","NO",HLOOKUP(H$15,Data_5!$F$10:$BG$42,$A40+2,FALSE)/Data_5!$BH35))))),"")</f>
        <v>3.0019710465812449E-2</v>
      </c>
      <c r="I40" s="1122">
        <f>IFERROR(IF(HLOOKUP(I$15,Data_5!$F$10:$BG$42,$A40+2,FALSE)="NO","NO",IF(HLOOKUP(I$15,Data_5!$F$10:$BG$42,$A40+2,FALSE)="IE","IE",IF(HLOOKUP(I$15,Data_5!$F$10:$BG$42,$A40+2,FALSE)="NE","NE",IF(HLOOKUP(I$15,Data_5!$F$10:$BG$42,$A40+2,FALSE)="C","C",IF(HLOOKUP(I$15,Data_5!$F$10:$BG$42,$A40+2,FALSE)="NO","NO",HLOOKUP(I$15,Data_5!$F$10:$BG$42,$A40+2,FALSE)/Data_5!$BH35))))),"")</f>
        <v>0.1095338065774572</v>
      </c>
      <c r="J40" s="1122">
        <f>IFERROR(IF(HLOOKUP(J$15,Data_5!$F$10:$BG$42,$A40+2,FALSE)="NO","NO",IF(HLOOKUP(J$15,Data_5!$F$10:$BG$42,$A40+2,FALSE)="IE","IE",IF(HLOOKUP(J$15,Data_5!$F$10:$BG$42,$A40+2,FALSE)="NE","NE",IF(HLOOKUP(J$15,Data_5!$F$10:$BG$42,$A40+2,FALSE)="C","C",IF(HLOOKUP(J$15,Data_5!$F$10:$BG$42,$A40+2,FALSE)="NO","NO",HLOOKUP(J$15,Data_5!$F$10:$BG$42,$A40+2,FALSE)/Data_5!$BH35))))),"")</f>
        <v>2.4539041643974347E-3</v>
      </c>
      <c r="K40" s="1122" t="str">
        <f>IFERROR(IF(HLOOKUP(K$15,Data_5!$F$10:$BG$42,$A40+2,FALSE)="NO","NO",IF(HLOOKUP(K$15,Data_5!$F$10:$BG$42,$A40+2,FALSE)="IE","IE",IF(HLOOKUP(K$15,Data_5!$F$10:$BG$42,$A40+2,FALSE)="NE","NE",IF(HLOOKUP(K$15,Data_5!$F$10:$BG$42,$A40+2,FALSE)="C","C",IF(HLOOKUP(K$15,Data_5!$F$10:$BG$42,$A40+2,FALSE)="NO","NO",HLOOKUP(K$15,Data_5!$F$10:$BG$42,$A40+2,FALSE)/Data_5!$BH35))))),"")</f>
        <v>NO</v>
      </c>
      <c r="L40" s="1122" t="str">
        <f>IFERROR(IF(HLOOKUP(L$15,Data_5!$F$10:$BG$42,$A40+2,FALSE)="NO","NO",IF(HLOOKUP(L$15,Data_5!$F$10:$BG$42,$A40+2,FALSE)="IE","IE",IF(HLOOKUP(L$15,Data_5!$F$10:$BG$42,$A40+2,FALSE)="NE","NE",IF(HLOOKUP(L$15,Data_5!$F$10:$BG$42,$A40+2,FALSE)="C","C",IF(HLOOKUP(L$15,Data_5!$F$10:$BG$42,$A40+2,FALSE)="NO","NO",HLOOKUP(L$15,Data_5!$F$10:$BG$42,$A40+2,FALSE)/Data_5!$BH35))))),"")</f>
        <v>NO</v>
      </c>
      <c r="M40" s="1122" t="str">
        <f>IFERROR(IF(HLOOKUP(M$15,Data_5!$F$10:$BG$42,$A40+2,FALSE)="NO","NO",IF(HLOOKUP(M$15,Data_5!$F$10:$BG$42,$A40+2,FALSE)="IE","IE",IF(HLOOKUP(M$15,Data_5!$F$10:$BG$42,$A40+2,FALSE)="NE","NE",IF(HLOOKUP(M$15,Data_5!$F$10:$BG$42,$A40+2,FALSE)="C","C",IF(HLOOKUP(M$15,Data_5!$F$10:$BG$42,$A40+2,FALSE)="NO","NO",HLOOKUP(M$15,Data_5!$F$10:$BG$42,$A40+2,FALSE)/Data_5!$BH35))))),"")</f>
        <v>NO</v>
      </c>
      <c r="N40" s="1122" t="str">
        <f>IFERROR(IF(HLOOKUP(N$15,Data_5!$F$10:$BG$42,$A40+2,FALSE)="NO","NO",IF(HLOOKUP(N$15,Data_5!$F$10:$BG$42,$A40+2,FALSE)="IE","IE",IF(HLOOKUP(N$15,Data_5!$F$10:$BG$42,$A40+2,FALSE)="NE","NE",IF(HLOOKUP(N$15,Data_5!$F$10:$BG$42,$A40+2,FALSE)="C","C",IF(HLOOKUP(N$15,Data_5!$F$10:$BG$42,$A40+2,FALSE)="NO","NO",HLOOKUP(N$15,Data_5!$F$10:$BG$42,$A40+2,FALSE)/Data_5!$BH35))))),"")</f>
        <v>NO</v>
      </c>
      <c r="O40" s="1122" t="str">
        <f>IFERROR(IF(HLOOKUP(O$15,Data_5!$F$10:$BG$42,$A40+2,FALSE)="NO","NO",IF(HLOOKUP(O$15,Data_5!$F$10:$BG$42,$A40+2,FALSE)="IE","IE",IF(HLOOKUP(O$15,Data_5!$F$10:$BG$42,$A40+2,FALSE)="NE","NE",IF(HLOOKUP(O$15,Data_5!$F$10:$BG$42,$A40+2,FALSE)="C","C",IF(HLOOKUP(O$15,Data_5!$F$10:$BG$42,$A40+2,FALSE)="NO","NO",HLOOKUP(O$15,Data_5!$F$10:$BG$42,$A40+2,FALSE)/Data_5!$BH35))))),"")</f>
        <v>NO</v>
      </c>
      <c r="P40" s="1122" t="str">
        <f>IFERROR(IF(HLOOKUP(P$15,Data_5!$F$10:$BG$42,$A40+2,FALSE)="NO","NO",IF(HLOOKUP(P$15,Data_5!$F$10:$BG$42,$A40+2,FALSE)="IE","IE",IF(HLOOKUP(P$15,Data_5!$F$10:$BG$42,$A40+2,FALSE)="NE","NE",IF(HLOOKUP(P$15,Data_5!$F$10:$BG$42,$A40+2,FALSE)="C","C",IF(HLOOKUP(P$15,Data_5!$F$10:$BG$42,$A40+2,FALSE)="NO","NO",HLOOKUP(P$15,Data_5!$F$10:$BG$42,$A40+2,FALSE)/Data_5!$BH35))))),"")</f>
        <v>NO</v>
      </c>
      <c r="Q40" s="1122" t="str">
        <f>IFERROR(IF(HLOOKUP(Q$15,Data_5!$F$10:$BG$42,$A40+2,FALSE)="NO","NO",IF(HLOOKUP(Q$15,Data_5!$F$10:$BG$42,$A40+2,FALSE)="IE","IE",IF(HLOOKUP(Q$15,Data_5!$F$10:$BG$42,$A40+2,FALSE)="NE","NE",IF(HLOOKUP(Q$15,Data_5!$F$10:$BG$42,$A40+2,FALSE)="C","C",IF(HLOOKUP(Q$15,Data_5!$F$10:$BG$42,$A40+2,FALSE)="NO","NO",HLOOKUP(Q$15,Data_5!$F$10:$BG$42,$A40+2,FALSE)/Data_5!$BH35))))),"")</f>
        <v>NO</v>
      </c>
      <c r="R40" s="1122">
        <f>IFERROR(IF(HLOOKUP(R$15,Data_5!$F$10:$BG$42,$A40+2,FALSE)="NO","NO",IF(HLOOKUP(R$15,Data_5!$F$10:$BG$42,$A40+2,FALSE)="IE","IE",IF(HLOOKUP(R$15,Data_5!$F$10:$BG$42,$A40+2,FALSE)="NE","NE",IF(HLOOKUP(R$15,Data_5!$F$10:$BG$42,$A40+2,FALSE)="C","C",IF(HLOOKUP(R$15,Data_5!$F$10:$BG$42,$A40+2,FALSE)="NO","NO",HLOOKUP(R$15,Data_5!$F$10:$BG$42,$A40+2,FALSE)/Data_5!$BH35))))),"")</f>
        <v>3.411507204563033E-3</v>
      </c>
      <c r="S40" s="1122">
        <f>IFERROR(IF(HLOOKUP(S$15,Data_5!$F$10:$BG$42,$A40+2,FALSE)="NO","NO",IF(HLOOKUP(S$15,Data_5!$F$10:$BG$42,$A40+2,FALSE)="IE","IE",IF(HLOOKUP(S$15,Data_5!$F$10:$BG$42,$A40+2,FALSE)="NE","NE",IF(HLOOKUP(S$15,Data_5!$F$10:$BG$42,$A40+2,FALSE)="C","C",IF(HLOOKUP(S$15,Data_5!$F$10:$BG$42,$A40+2,FALSE)="NO","NO",HLOOKUP(S$15,Data_5!$F$10:$BG$42,$A40+2,FALSE)/Data_5!$BH35))))),"")</f>
        <v>0.49086850672114307</v>
      </c>
      <c r="T40" s="1122" t="str">
        <f>IFERROR(IF(HLOOKUP(T$15,Data_5!$F$10:$BG$42,$A40+2,FALSE)="NO","NO",IF(HLOOKUP(T$15,Data_5!$F$10:$BG$42,$A40+2,FALSE)="IE","IE",IF(HLOOKUP(T$15,Data_5!$F$10:$BG$42,$A40+2,FALSE)="NE","NE",IF(HLOOKUP(T$15,Data_5!$F$10:$BG$42,$A40+2,FALSE)="C","C",IF(HLOOKUP(T$15,Data_5!$F$10:$BG$42,$A40+2,FALSE)="NO","NO",HLOOKUP(T$15,Data_5!$F$10:$BG$42,$A40+2,FALSE)/Data_5!$BH35))))),"")</f>
        <v>NO</v>
      </c>
      <c r="U40" s="1122">
        <f>IFERROR(IF(HLOOKUP(U$15,Data_5!$F$10:$BG$42,$A40+2,FALSE)="NO","NO",IF(HLOOKUP(U$15,Data_5!$F$10:$BG$42,$A40+2,FALSE)="IE","IE",IF(HLOOKUP(U$15,Data_5!$F$10:$BG$42,$A40+2,FALSE)="NE","NE",IF(HLOOKUP(U$15,Data_5!$F$10:$BG$42,$A40+2,FALSE)="C","C",IF(HLOOKUP(U$15,Data_5!$F$10:$BG$42,$A40+2,FALSE)="NO","NO",HLOOKUP(U$15,Data_5!$F$10:$BG$42,$A40+2,FALSE)/Data_5!$BH35))))),"")</f>
        <v>1.4741936182242149E-2</v>
      </c>
      <c r="V40" s="1122">
        <f>IFERROR(IF(HLOOKUP(V$15,Data_5!$F$10:$BG$42,$A40+2,FALSE)="NO","NO",IF(HLOOKUP(V$15,Data_5!$F$10:$BG$42,$A40+2,FALSE)="IE","IE",IF(HLOOKUP(V$15,Data_5!$F$10:$BG$42,$A40+2,FALSE)="NE","NE",IF(HLOOKUP(V$15,Data_5!$F$10:$BG$42,$A40+2,FALSE)="C","C",IF(HLOOKUP(V$15,Data_5!$F$10:$BG$42,$A40+2,FALSE)="NO","NO",HLOOKUP(V$15,Data_5!$F$10:$BG$42,$A40+2,FALSE)/Data_5!$BH35))))),"")</f>
        <v>5.2358947960572069E-5</v>
      </c>
      <c r="W40" s="1122">
        <f>IFERROR(IF(HLOOKUP(W$15,Data_5!$F$10:$BG$42,$A40+2,FALSE)="NO","NO",IF(HLOOKUP(W$15,Data_5!$F$10:$BG$42,$A40+2,FALSE)="IE","IE",IF(HLOOKUP(W$15,Data_5!$F$10:$BG$42,$A40+2,FALSE)="NE","NE",IF(HLOOKUP(W$15,Data_5!$F$10:$BG$42,$A40+2,FALSE)="C","C",IF(HLOOKUP(W$15,Data_5!$F$10:$BG$42,$A40+2,FALSE)="NO","NO",HLOOKUP(W$15,Data_5!$F$10:$BG$42,$A40+2,FALSE)/Data_5!$BH35))))),"")</f>
        <v>4.1179666565389308E-2</v>
      </c>
      <c r="X40" s="1122" t="str">
        <f>IFERROR(IF(HLOOKUP(X$15,Data_5!$F$10:$BG$42,$A40+2,FALSE)="NO","NO",IF(HLOOKUP(X$15,Data_5!$F$10:$BG$42,$A40+2,FALSE)="IE","IE",IF(HLOOKUP(X$15,Data_5!$F$10:$BG$42,$A40+2,FALSE)="NE","NE",IF(HLOOKUP(X$15,Data_5!$F$10:$BG$42,$A40+2,FALSE)="C","C",IF(HLOOKUP(X$15,Data_5!$F$10:$BG$42,$A40+2,FALSE)="NO","NO",HLOOKUP(X$15,Data_5!$F$10:$BG$42,$A40+2,FALSE)/Data_5!$BH35))))),"")</f>
        <v>NO</v>
      </c>
      <c r="Y40" s="1122" t="str">
        <f>IFERROR(IF(HLOOKUP(Y$15,Data_5!$F$10:$BG$42,$A40+2,FALSE)="NO","NO",IF(HLOOKUP(Y$15,Data_5!$F$10:$BG$42,$A40+2,FALSE)="IE","IE",IF(HLOOKUP(Y$15,Data_5!$F$10:$BG$42,$A40+2,FALSE)="NE","NE",IF(HLOOKUP(Y$15,Data_5!$F$10:$BG$42,$A40+2,FALSE)="C","C",IF(HLOOKUP(Y$15,Data_5!$F$10:$BG$42,$A40+2,FALSE)="NO","NO",HLOOKUP(Y$15,Data_5!$F$10:$BG$42,$A40+2,FALSE)/Data_5!$BH35))))),"")</f>
        <v>NO</v>
      </c>
      <c r="Z40" s="1122" t="str">
        <f>IFERROR(IF(HLOOKUP(Z$15,Data_5!$F$10:$BG$42,$A40+2,FALSE)="NO","NO",IF(HLOOKUP(Z$15,Data_5!$F$10:$BG$42,$A40+2,FALSE)="IE","IE",IF(HLOOKUP(Z$15,Data_5!$F$10:$BG$42,$A40+2,FALSE)="NE","NE",IF(HLOOKUP(Z$15,Data_5!$F$10:$BG$42,$A40+2,FALSE)="C","C",IF(HLOOKUP(Z$15,Data_5!$F$10:$BG$42,$A40+2,FALSE)="NO","NO",HLOOKUP(Z$15,Data_5!$F$10:$BG$42,$A40+2,FALSE)/Data_5!$BH35))))),"")</f>
        <v>NO</v>
      </c>
      <c r="AA40" s="1122" t="str">
        <f>IFERROR(IF(HLOOKUP(AA$15,Data_5!$F$10:$BG$42,$A40+2,FALSE)="NO","NO",IF(HLOOKUP(AA$15,Data_5!$F$10:$BG$42,$A40+2,FALSE)="IE","IE",IF(HLOOKUP(AA$15,Data_5!$F$10:$BG$42,$A40+2,FALSE)="NE","NE",IF(HLOOKUP(AA$15,Data_5!$F$10:$BG$42,$A40+2,FALSE)="C","C",IF(HLOOKUP(AA$15,Data_5!$F$10:$BG$42,$A40+2,FALSE)="NO","NO",HLOOKUP(AA$15,Data_5!$F$10:$BG$42,$A40+2,FALSE)/Data_5!$BH35))))),"")</f>
        <v>NO</v>
      </c>
      <c r="AB40" s="1122" t="str">
        <f>IFERROR(IF(HLOOKUP(AB$15,Data_5!$F$10:$BG$42,$A40+2,FALSE)="NO","NO",IF(HLOOKUP(AB$15,Data_5!$F$10:$BG$42,$A40+2,FALSE)="IE","IE",IF(HLOOKUP(AB$15,Data_5!$F$10:$BG$42,$A40+2,FALSE)="NE","NE",IF(HLOOKUP(AB$15,Data_5!$F$10:$BG$42,$A40+2,FALSE)="C","C",IF(HLOOKUP(AB$15,Data_5!$F$10:$BG$42,$A40+2,FALSE)="NO","NO",HLOOKUP(AB$15,Data_5!$F$10:$BG$42,$A40+2,FALSE)/Data_5!$BH35))))),"")</f>
        <v>NO</v>
      </c>
      <c r="AC40" s="1122" t="str">
        <f>IFERROR(IF(HLOOKUP(AC$15,Data_5!$F$10:$BG$42,$A40+2,FALSE)="NO","NO",IF(HLOOKUP(AC$15,Data_5!$F$10:$BG$42,$A40+2,FALSE)="IE","IE",IF(HLOOKUP(AC$15,Data_5!$F$10:$BG$42,$A40+2,FALSE)="NE","NE",IF(HLOOKUP(AC$15,Data_5!$F$10:$BG$42,$A40+2,FALSE)="C","C",IF(HLOOKUP(AC$15,Data_5!$F$10:$BG$42,$A40+2,FALSE)="NO","NO",HLOOKUP(AC$15,Data_5!$F$10:$BG$42,$A40+2,FALSE)/Data_5!$BH35))))),"")</f>
        <v>NO</v>
      </c>
      <c r="AD40" s="1122">
        <f>IFERROR(IF(HLOOKUP(AD$15,Data_5!$F$10:$BG$42,$A40+2,FALSE)="NO","NO",IF(HLOOKUP(AD$15,Data_5!$F$10:$BG$42,$A40+2,FALSE)="IE","IE",IF(HLOOKUP(AD$15,Data_5!$F$10:$BG$42,$A40+2,FALSE)="NE","NE",IF(HLOOKUP(AD$15,Data_5!$F$10:$BG$42,$A40+2,FALSE)="C","C",IF(HLOOKUP(AD$15,Data_5!$F$10:$BG$42,$A40+2,FALSE)="NO","NO",HLOOKUP(AD$15,Data_5!$F$10:$BG$42,$A40+2,FALSE)/Data_5!$BH35))))),"")</f>
        <v>1.0328112535717708E-2</v>
      </c>
      <c r="AE40" s="1122" t="str">
        <f>IFERROR(IF(HLOOKUP(AE$15,Data_5!$F$10:$BG$42,$A40+2,FALSE)="NO","NO",IF(HLOOKUP(AE$15,Data_5!$F$10:$BG$42,$A40+2,FALSE)="IE","IE",IF(HLOOKUP(AE$15,Data_5!$F$10:$BG$42,$A40+2,FALSE)="NE","NE",IF(HLOOKUP(AE$15,Data_5!$F$10:$BG$42,$A40+2,FALSE)="C","C",IF(HLOOKUP(AE$15,Data_5!$F$10:$BG$42,$A40+2,FALSE)="NO","NO",HLOOKUP(AE$15,Data_5!$F$10:$BG$42,$A40+2,FALSE)/Data_5!$BH35))))),"")</f>
        <v>NO</v>
      </c>
      <c r="AF40" s="1122" t="str">
        <f>IFERROR(IF(HLOOKUP(AF$15,Data_5!$F$10:$BG$42,$A40+2,FALSE)="NO","NO",IF(HLOOKUP(AF$15,Data_5!$F$10:$BG$42,$A40+2,FALSE)="IE","IE",IF(HLOOKUP(AF$15,Data_5!$F$10:$BG$42,$A40+2,FALSE)="NE","NE",IF(HLOOKUP(AF$15,Data_5!$F$10:$BG$42,$A40+2,FALSE)="C","C",IF(HLOOKUP(AF$15,Data_5!$F$10:$BG$42,$A40+2,FALSE)="NO","NO",HLOOKUP(AF$15,Data_5!$F$10:$BG$42,$A40+2,FALSE)/Data_5!$BH35))))),"")</f>
        <v>NO</v>
      </c>
      <c r="AG40" s="1122" t="str">
        <f>IFERROR(IF(HLOOKUP(AG$15,Data_5!$F$10:$BG$42,$A40+2,FALSE)="NO","NO",IF(HLOOKUP(AG$15,Data_5!$F$10:$BG$42,$A40+2,FALSE)="IE","IE",IF(HLOOKUP(AG$15,Data_5!$F$10:$BG$42,$A40+2,FALSE)="NE","NE",IF(HLOOKUP(AG$15,Data_5!$F$10:$BG$42,$A40+2,FALSE)="C","C",IF(HLOOKUP(AG$15,Data_5!$F$10:$BG$42,$A40+2,FALSE)="NO","NO",HLOOKUP(AG$15,Data_5!$F$10:$BG$42,$A40+2,FALSE)/Data_5!$BH35))))),"")</f>
        <v>NO</v>
      </c>
      <c r="AH40" s="1122" t="str">
        <f>IFERROR(IF(HLOOKUP(AH$15,Data_5!$F$10:$BG$42,$A40+2,FALSE)="NO","NO",IF(HLOOKUP(AH$15,Data_5!$F$10:$BG$42,$A40+2,FALSE)="IE","IE",IF(HLOOKUP(AH$15,Data_5!$F$10:$BG$42,$A40+2,FALSE)="NE","NE",IF(HLOOKUP(AH$15,Data_5!$F$10:$BG$42,$A40+2,FALSE)="C","C",IF(HLOOKUP(AH$15,Data_5!$F$10:$BG$42,$A40+2,FALSE)="NO","NO",HLOOKUP(AH$15,Data_5!$F$10:$BG$42,$A40+2,FALSE)/Data_5!$BH35))))),"")</f>
        <v>NO</v>
      </c>
      <c r="AI40" s="1122">
        <f>IFERROR(IF(HLOOKUP(AI$15,Data_5!$F$10:$BG$42,$A40+2,FALSE)="NO","NO",IF(HLOOKUP(AI$15,Data_5!$F$10:$BG$42,$A40+2,FALSE)="IE","IE",IF(HLOOKUP(AI$15,Data_5!$F$10:$BG$42,$A40+2,FALSE)="NE","NE",IF(HLOOKUP(AI$15,Data_5!$F$10:$BG$42,$A40+2,FALSE)="C","C",IF(HLOOKUP(AI$15,Data_5!$F$10:$BG$42,$A40+2,FALSE)="NO","NO",HLOOKUP(AI$15,Data_5!$F$10:$BG$42,$A40+2,FALSE)/Data_5!$BH35))))),"")</f>
        <v>4.3379614314167827E-4</v>
      </c>
      <c r="AJ40" s="1122" t="str">
        <f>IFERROR(IF(HLOOKUP(AJ$15,Data_5!$F$10:$BG$42,$A40+2,FALSE)="NO","NO",IF(HLOOKUP(AJ$15,Data_5!$F$10:$BG$42,$A40+2,FALSE)="IE","IE",IF(HLOOKUP(AJ$15,Data_5!$F$10:$BG$42,$A40+2,FALSE)="NE","NE",IF(HLOOKUP(AJ$15,Data_5!$F$10:$BG$42,$A40+2,FALSE)="C","C",IF(HLOOKUP(AJ$15,Data_5!$F$10:$BG$42,$A40+2,FALSE)="NO","NO",HLOOKUP(AJ$15,Data_5!$F$10:$BG$42,$A40+2,FALSE)/Data_5!$BH35))))),"")</f>
        <v>NO</v>
      </c>
      <c r="AK40" s="15"/>
      <c r="AL40" s="2628" t="str">
        <f t="shared" si="0"/>
        <v>Seattle</v>
      </c>
      <c r="AM40" s="2629"/>
      <c r="AN40" s="1100">
        <f t="shared" si="1"/>
        <v>2012</v>
      </c>
      <c r="AO40" s="1122" t="str">
        <f>IFERROR(IF(VLOOKUP($AL40,Data_5!$B$12:$E$42,4,FALSE)="BASIC","",(IF(HLOOKUP(AO$15,Data_5!$F$10:$BG$42,$A40+2,FALSE)="NO","NO",IF(HLOOKUP(AO$15,Data_5!$F$10:$BG$42,$A40+2,FALSE)="IE","IE",IF(HLOOKUP(AO$15,Data_5!$F$10:$BG$42,$A40+2,FALSE)="NE","NE",IF(HLOOKUP(AO$15,Data_5!$F$10:$BG$42,$A40+2,FALSE)="C","C",IF(HLOOKUP(AO$15,Data_5!$F$10:$BG$42,$A40+2,FALSE)="NO","NO",HLOOKUP(AO$15,Data_5!$F$10:$BG$42,$A40+2,FALSE)/Data_5!$BI35))))))),"")</f>
        <v/>
      </c>
      <c r="AP40" s="1122" t="str">
        <f>IFERROR(IF(VLOOKUP($AL40,Data_5!$B$12:$E$42,4,FALSE)="BASIC","",(IF(HLOOKUP(AP$15,Data_5!$F$10:$BG$42,$A40+2,FALSE)="NO","NO",IF(HLOOKUP(AP$15,Data_5!$F$10:$BG$42,$A40+2,FALSE)="IE","IE",IF(HLOOKUP(AP$15,Data_5!$F$10:$BG$42,$A40+2,FALSE)="NE","NE",IF(HLOOKUP(AP$15,Data_5!$F$10:$BG$42,$A40+2,FALSE)="C","C",IF(HLOOKUP(AP$15,Data_5!$F$10:$BG$42,$A40+2,FALSE)="NO","NO",HLOOKUP(AP$15,Data_5!$F$10:$BG$42,$A40+2,FALSE)/Data_5!$BI35))))))),"")</f>
        <v/>
      </c>
      <c r="AQ40" s="1122" t="str">
        <f>IFERROR(IF(VLOOKUP($AL40,Data_5!$B$12:$E$42,4,FALSE)="BASIC","",(IF(HLOOKUP(AQ$15,Data_5!$F$10:$BG$42,$A40+2,FALSE)="NO","NO",IF(HLOOKUP(AQ$15,Data_5!$F$10:$BG$42,$A40+2,FALSE)="IE","IE",IF(HLOOKUP(AQ$15,Data_5!$F$10:$BG$42,$A40+2,FALSE)="NE","NE",IF(HLOOKUP(AQ$15,Data_5!$F$10:$BG$42,$A40+2,FALSE)="C","C",IF(HLOOKUP(AQ$15,Data_5!$F$10:$BG$42,$A40+2,FALSE)="NO","NO",HLOOKUP(AQ$15,Data_5!$F$10:$BG$42,$A40+2,FALSE)/Data_5!$BI35))))))),"")</f>
        <v/>
      </c>
      <c r="AR40" s="1122" t="str">
        <f>IFERROR(IF(VLOOKUP($AL40,Data_5!$B$12:$E$42,4,FALSE)="BASIC","",(IF(HLOOKUP(AR$15,Data_5!$F$10:$BG$42,$A40+2,FALSE)="NO","NO",IF(HLOOKUP(AR$15,Data_5!$F$10:$BG$42,$A40+2,FALSE)="IE","IE",IF(HLOOKUP(AR$15,Data_5!$F$10:$BG$42,$A40+2,FALSE)="NE","NE",IF(HLOOKUP(AR$15,Data_5!$F$10:$BG$42,$A40+2,FALSE)="C","C",IF(HLOOKUP(AR$15,Data_5!$F$10:$BG$42,$A40+2,FALSE)="NO","NO",HLOOKUP(AR$15,Data_5!$F$10:$BG$42,$A40+2,FALSE)/Data_5!$BI35))))))),"")</f>
        <v/>
      </c>
      <c r="AS40" s="1122" t="str">
        <f>IFERROR(IF(VLOOKUP($AL40,Data_5!$B$12:$E$42,4,FALSE)="BASIC","",(IF(HLOOKUP(AS$15,Data_5!$F$10:$BG$42,$A40+2,FALSE)="NO","NO",IF(HLOOKUP(AS$15,Data_5!$F$10:$BG$42,$A40+2,FALSE)="IE","IE",IF(HLOOKUP(AS$15,Data_5!$F$10:$BG$42,$A40+2,FALSE)="NE","NE",IF(HLOOKUP(AS$15,Data_5!$F$10:$BG$42,$A40+2,FALSE)="C","C",IF(HLOOKUP(AS$15,Data_5!$F$10:$BG$42,$A40+2,FALSE)="NO","NO",HLOOKUP(AS$15,Data_5!$F$10:$BG$42,$A40+2,FALSE)/Data_5!$BI35))))))),"")</f>
        <v/>
      </c>
      <c r="AT40" s="1122" t="str">
        <f>IFERROR(IF(VLOOKUP($AL40,Data_5!$B$12:$E$42,4,FALSE)="BASIC","",(IF(HLOOKUP(AT$15,Data_5!$F$10:$BG$42,$A40+2,FALSE)="NO","NO",IF(HLOOKUP(AT$15,Data_5!$F$10:$BG$42,$A40+2,FALSE)="IE","IE",IF(HLOOKUP(AT$15,Data_5!$F$10:$BG$42,$A40+2,FALSE)="NE","NE",IF(HLOOKUP(AT$15,Data_5!$F$10:$BG$42,$A40+2,FALSE)="C","C",IF(HLOOKUP(AT$15,Data_5!$F$10:$BG$42,$A40+2,FALSE)="NO","NO",HLOOKUP(AT$15,Data_5!$F$10:$BG$42,$A40+2,FALSE)/Data_5!$BI35))))))),"")</f>
        <v/>
      </c>
      <c r="AU40" s="1122" t="str">
        <f>IFERROR(IF(VLOOKUP($AL40,Data_5!$B$12:$E$42,4,FALSE)="BASIC","",(IF(HLOOKUP(AU$15,Data_5!$F$10:$BG$42,$A40+2,FALSE)="NO","NO",IF(HLOOKUP(AU$15,Data_5!$F$10:$BG$42,$A40+2,FALSE)="IE","IE",IF(HLOOKUP(AU$15,Data_5!$F$10:$BG$42,$A40+2,FALSE)="NE","NE",IF(HLOOKUP(AU$15,Data_5!$F$10:$BG$42,$A40+2,FALSE)="C","C",IF(HLOOKUP(AU$15,Data_5!$F$10:$BG$42,$A40+2,FALSE)="NO","NO",HLOOKUP(AU$15,Data_5!$F$10:$BG$42,$A40+2,FALSE)/Data_5!$BI35))))))),"")</f>
        <v/>
      </c>
      <c r="AV40" s="1122" t="str">
        <f>IFERROR(IF(VLOOKUP($AL40,Data_5!$B$12:$E$42,4,FALSE)="BASIC","",(IF(HLOOKUP(AV$15,Data_5!$F$10:$BG$42,$A40+2,FALSE)="NO","NO",IF(HLOOKUP(AV$15,Data_5!$F$10:$BG$42,$A40+2,FALSE)="IE","IE",IF(HLOOKUP(AV$15,Data_5!$F$10:$BG$42,$A40+2,FALSE)="NE","NE",IF(HLOOKUP(AV$15,Data_5!$F$10:$BG$42,$A40+2,FALSE)="C","C",IF(HLOOKUP(AV$15,Data_5!$F$10:$BG$42,$A40+2,FALSE)="NO","NO",HLOOKUP(AV$15,Data_5!$F$10:$BG$42,$A40+2,FALSE)/Data_5!$BI35))))))),"")</f>
        <v/>
      </c>
      <c r="AW40" s="1122" t="str">
        <f>IFERROR(IF(VLOOKUP($AL40,Data_5!$B$12:$E$42,4,FALSE)="BASIC","",(IF(HLOOKUP(AW$15,Data_5!$F$10:$BG$42,$A40+2,FALSE)="NO","NO",IF(HLOOKUP(AW$15,Data_5!$F$10:$BG$42,$A40+2,FALSE)="IE","IE",IF(HLOOKUP(AW$15,Data_5!$F$10:$BG$42,$A40+2,FALSE)="NE","NE",IF(HLOOKUP(AW$15,Data_5!$F$10:$BG$42,$A40+2,FALSE)="C","C",IF(HLOOKUP(AW$15,Data_5!$F$10:$BG$42,$A40+2,FALSE)="NO","NO",HLOOKUP(AW$15,Data_5!$F$10:$BG$42,$A40+2,FALSE)/Data_5!$BI35))))))),"")</f>
        <v/>
      </c>
      <c r="AX40" s="1122" t="str">
        <f>IFERROR(IF(VLOOKUP($AL40,Data_5!$B$12:$E$42,4,FALSE)="BASIC","",(IF(HLOOKUP(AX$15,Data_5!$F$10:$BG$42,$A40+2,FALSE)="NO","NO",IF(HLOOKUP(AX$15,Data_5!$F$10:$BG$42,$A40+2,FALSE)="IE","IE",IF(HLOOKUP(AX$15,Data_5!$F$10:$BG$42,$A40+2,FALSE)="NE","NE",IF(HLOOKUP(AX$15,Data_5!$F$10:$BG$42,$A40+2,FALSE)="C","C",IF(HLOOKUP(AX$15,Data_5!$F$10:$BG$42,$A40+2,FALSE)="NO","NO",HLOOKUP(AX$15,Data_5!$F$10:$BG$42,$A40+2,FALSE)/Data_5!$BI35))))))),"")</f>
        <v/>
      </c>
      <c r="AY40" s="1122" t="str">
        <f>IFERROR(IF(VLOOKUP($AL40,Data_5!$B$12:$E$42,4,FALSE)="BASIC","",(IF(HLOOKUP(AY$15,Data_5!$F$10:$BG$42,$A40+2,FALSE)="NO","NO",IF(HLOOKUP(AY$15,Data_5!$F$10:$BG$42,$A40+2,FALSE)="IE","IE",IF(HLOOKUP(AY$15,Data_5!$F$10:$BG$42,$A40+2,FALSE)="NE","NE",IF(HLOOKUP(AY$15,Data_5!$F$10:$BG$42,$A40+2,FALSE)="C","C",IF(HLOOKUP(AY$15,Data_5!$F$10:$BG$42,$A40+2,FALSE)="NO","NO",HLOOKUP(AY$15,Data_5!$F$10:$BG$42,$A40+2,FALSE)/Data_5!$BI35))))))),"")</f>
        <v/>
      </c>
      <c r="AZ40" s="1122" t="str">
        <f>IFERROR(IF(VLOOKUP($AL40,Data_5!$B$12:$E$42,4,FALSE)="BASIC","",(IF(HLOOKUP(AZ$15,Data_5!$F$10:$BG$42,$A40+2,FALSE)="NO","NO",IF(HLOOKUP(AZ$15,Data_5!$F$10:$BG$42,$A40+2,FALSE)="IE","IE",IF(HLOOKUP(AZ$15,Data_5!$F$10:$BG$42,$A40+2,FALSE)="NE","NE",IF(HLOOKUP(AZ$15,Data_5!$F$10:$BG$42,$A40+2,FALSE)="C","C",IF(HLOOKUP(AZ$15,Data_5!$F$10:$BG$42,$A40+2,FALSE)="NO","NO",HLOOKUP(AZ$15,Data_5!$F$10:$BG$42,$A40+2,FALSE)/Data_5!$BI35))))))),"")</f>
        <v/>
      </c>
      <c r="BA40" s="1122" t="str">
        <f>IFERROR(IF(VLOOKUP($AL40,Data_5!$B$12:$E$42,4,FALSE)="BASIC","",(IF(HLOOKUP(BA$15,Data_5!$F$10:$BG$42,$A40+2,FALSE)="NO","NO",IF(HLOOKUP(BA$15,Data_5!$F$10:$BG$42,$A40+2,FALSE)="IE","IE",IF(HLOOKUP(BA$15,Data_5!$F$10:$BG$42,$A40+2,FALSE)="NE","NE",IF(HLOOKUP(BA$15,Data_5!$F$10:$BG$42,$A40+2,FALSE)="C","C",IF(HLOOKUP(BA$15,Data_5!$F$10:$BG$42,$A40+2,FALSE)="NO","NO",HLOOKUP(BA$15,Data_5!$F$10:$BG$42,$A40+2,FALSE)/Data_5!$BI35))))))),"")</f>
        <v/>
      </c>
      <c r="BB40" s="1122" t="str">
        <f>IFERROR(IF(VLOOKUP($AL40,Data_5!$B$12:$E$42,4,FALSE)="BASIC","",(IF(HLOOKUP(BB$15,Data_5!$F$10:$BG$42,$A40+2,FALSE)="NO","NO",IF(HLOOKUP(BB$15,Data_5!$F$10:$BG$42,$A40+2,FALSE)="IE","IE",IF(HLOOKUP(BB$15,Data_5!$F$10:$BG$42,$A40+2,FALSE)="NE","NE",IF(HLOOKUP(BB$15,Data_5!$F$10:$BG$42,$A40+2,FALSE)="C","C",IF(HLOOKUP(BB$15,Data_5!$F$10:$BG$42,$A40+2,FALSE)="NO","NO",HLOOKUP(BB$15,Data_5!$F$10:$BG$42,$A40+2,FALSE)/Data_5!$BI35))))))),"")</f>
        <v/>
      </c>
      <c r="BC40" s="1122" t="str">
        <f>IFERROR(IF(VLOOKUP($AL40,Data_5!$B$12:$E$42,4,FALSE)="BASIC","",(IF(HLOOKUP(BC$15,Data_5!$F$10:$BG$42,$A40+2,FALSE)="NO","NO",IF(HLOOKUP(BC$15,Data_5!$F$10:$BG$42,$A40+2,FALSE)="IE","IE",IF(HLOOKUP(BC$15,Data_5!$F$10:$BG$42,$A40+2,FALSE)="NE","NE",IF(HLOOKUP(BC$15,Data_5!$F$10:$BG$42,$A40+2,FALSE)="C","C",IF(HLOOKUP(BC$15,Data_5!$F$10:$BG$42,$A40+2,FALSE)="NO","NO",HLOOKUP(BC$15,Data_5!$F$10:$BG$42,$A40+2,FALSE)/Data_5!$BI35))))))),"")</f>
        <v/>
      </c>
      <c r="BD40" s="1122" t="str">
        <f>IFERROR(IF(VLOOKUP($AL40,Data_5!$B$12:$E$42,4,FALSE)="BASIC","",(IF(HLOOKUP(BD$15,Data_5!$F$10:$BG$42,$A40+2,FALSE)="NO","NO",IF(HLOOKUP(BD$15,Data_5!$F$10:$BG$42,$A40+2,FALSE)="IE","IE",IF(HLOOKUP(BD$15,Data_5!$F$10:$BG$42,$A40+2,FALSE)="NE","NE",IF(HLOOKUP(BD$15,Data_5!$F$10:$BG$42,$A40+2,FALSE)="C","C",IF(HLOOKUP(BD$15,Data_5!$F$10:$BG$42,$A40+2,FALSE)="NO","NO",HLOOKUP(BD$15,Data_5!$F$10:$BG$42,$A40+2,FALSE)/Data_5!$BI35))))))),"")</f>
        <v/>
      </c>
      <c r="BE40" s="1122" t="str">
        <f>IFERROR(IF(VLOOKUP($AL40,Data_5!$B$12:$E$42,4,FALSE)="BASIC","",(IF(HLOOKUP(BE$15,Data_5!$F$10:$BG$42,$A40+2,FALSE)="NO","NO",IF(HLOOKUP(BE$15,Data_5!$F$10:$BG$42,$A40+2,FALSE)="IE","IE",IF(HLOOKUP(BE$15,Data_5!$F$10:$BG$42,$A40+2,FALSE)="NE","NE",IF(HLOOKUP(BE$15,Data_5!$F$10:$BG$42,$A40+2,FALSE)="C","C",IF(HLOOKUP(BE$15,Data_5!$F$10:$BG$42,$A40+2,FALSE)="NO","NO",HLOOKUP(BE$15,Data_5!$F$10:$BG$42,$A40+2,FALSE)/Data_5!$BI35))))))),"")</f>
        <v/>
      </c>
      <c r="BF40" s="1122" t="str">
        <f>IFERROR(IF(VLOOKUP($AL40,Data_5!$B$12:$E$42,4,FALSE)="BASIC","",(IF(HLOOKUP(BF$15,Data_5!$F$10:$BG$42,$A40+2,FALSE)="NO","NO",IF(HLOOKUP(BF$15,Data_5!$F$10:$BG$42,$A40+2,FALSE)="IE","IE",IF(HLOOKUP(BF$15,Data_5!$F$10:$BG$42,$A40+2,FALSE)="NE","NE",IF(HLOOKUP(BF$15,Data_5!$F$10:$BG$42,$A40+2,FALSE)="C","C",IF(HLOOKUP(BF$15,Data_5!$F$10:$BG$42,$A40+2,FALSE)="NO","NO",HLOOKUP(BF$15,Data_5!$F$10:$BG$42,$A40+2,FALSE)/Data_5!$BI35))))))),"")</f>
        <v/>
      </c>
      <c r="BG40" s="1122" t="str">
        <f>IFERROR(IF(VLOOKUP($AL40,Data_5!$B$12:$E$42,4,FALSE)="BASIC","",(IF(HLOOKUP(BG$15,Data_5!$F$10:$BG$42,$A40+2,FALSE)="NO","NO",IF(HLOOKUP(BG$15,Data_5!$F$10:$BG$42,$A40+2,FALSE)="IE","IE",IF(HLOOKUP(BG$15,Data_5!$F$10:$BG$42,$A40+2,FALSE)="NE","NE",IF(HLOOKUP(BG$15,Data_5!$F$10:$BG$42,$A40+2,FALSE)="C","C",IF(HLOOKUP(BG$15,Data_5!$F$10:$BG$42,$A40+2,FALSE)="NO","NO",HLOOKUP(BG$15,Data_5!$F$10:$BG$42,$A40+2,FALSE)/Data_5!$BI35))))))),"")</f>
        <v/>
      </c>
      <c r="BH40" s="1122" t="str">
        <f>IFERROR(IF(VLOOKUP($AL40,Data_5!$B$12:$E$42,4,FALSE)="BASIC","",(IF(HLOOKUP(BH$15,Data_5!$F$10:$BG$42,$A40+2,FALSE)="NO","NO",IF(HLOOKUP(BH$15,Data_5!$F$10:$BG$42,$A40+2,FALSE)="IE","IE",IF(HLOOKUP(BH$15,Data_5!$F$10:$BG$42,$A40+2,FALSE)="NE","NE",IF(HLOOKUP(BH$15,Data_5!$F$10:$BG$42,$A40+2,FALSE)="C","C",IF(HLOOKUP(BH$15,Data_5!$F$10:$BG$42,$A40+2,FALSE)="NO","NO",HLOOKUP(BH$15,Data_5!$F$10:$BG$42,$A40+2,FALSE)/Data_5!$BI35))))))),"")</f>
        <v/>
      </c>
      <c r="BI40" s="1122" t="str">
        <f>IFERROR(IF(VLOOKUP($AL40,Data_5!$B$12:$E$42,4,FALSE)="BASIC","",(IF(HLOOKUP(BI$15,Data_5!$F$10:$BG$42,$A40+2,FALSE)="NO","NO",IF(HLOOKUP(BI$15,Data_5!$F$10:$BG$42,$A40+2,FALSE)="IE","IE",IF(HLOOKUP(BI$15,Data_5!$F$10:$BG$42,$A40+2,FALSE)="NE","NE",IF(HLOOKUP(BI$15,Data_5!$F$10:$BG$42,$A40+2,FALSE)="C","C",IF(HLOOKUP(BI$15,Data_5!$F$10:$BG$42,$A40+2,FALSE)="NO","NO",HLOOKUP(BI$15,Data_5!$F$10:$BG$42,$A40+2,FALSE)/Data_5!$BI35))))))),"")</f>
        <v/>
      </c>
      <c r="BJ40" s="1122" t="str">
        <f>IFERROR(IF(VLOOKUP($AL40,Data_5!$B$12:$E$42,4,FALSE)="BASIC","",(IF(HLOOKUP(BJ$15,Data_5!$F$10:$BG$42,$A40+2,FALSE)="NO","NO",IF(HLOOKUP(BJ$15,Data_5!$F$10:$BG$42,$A40+2,FALSE)="IE","IE",IF(HLOOKUP(BJ$15,Data_5!$F$10:$BG$42,$A40+2,FALSE)="NE","NE",IF(HLOOKUP(BJ$15,Data_5!$F$10:$BG$42,$A40+2,FALSE)="C","C",IF(HLOOKUP(BJ$15,Data_5!$F$10:$BG$42,$A40+2,FALSE)="NO","NO",HLOOKUP(BJ$15,Data_5!$F$10:$BG$42,$A40+2,FALSE)/Data_5!$BI35))))))),"")</f>
        <v/>
      </c>
      <c r="BK40" s="1122" t="str">
        <f>IFERROR(IF(VLOOKUP($AL40,Data_5!$B$12:$E$42,4,FALSE)="BASIC","",(IF(HLOOKUP(BK$15,Data_5!$F$10:$BG$42,$A40+2,FALSE)="NO","NO",IF(HLOOKUP(BK$15,Data_5!$F$10:$BG$42,$A40+2,FALSE)="IE","IE",IF(HLOOKUP(BK$15,Data_5!$F$10:$BG$42,$A40+2,FALSE)="NE","NE",IF(HLOOKUP(BK$15,Data_5!$F$10:$BG$42,$A40+2,FALSE)="C","C",IF(HLOOKUP(BK$15,Data_5!$F$10:$BG$42,$A40+2,FALSE)="NO","NO",HLOOKUP(BK$15,Data_5!$F$10:$BG$42,$A40+2,FALSE)/Data_5!$BI35))))))),"")</f>
        <v/>
      </c>
      <c r="BL40" s="1122" t="str">
        <f>IFERROR(IF(VLOOKUP($AL40,Data_5!$B$12:$E$42,4,FALSE)="BASIC","",(IF(HLOOKUP(BL$15,Data_5!$F$10:$BG$42,$A40+2,FALSE)="NO","NO",IF(HLOOKUP(BL$15,Data_5!$F$10:$BG$42,$A40+2,FALSE)="IE","IE",IF(HLOOKUP(BL$15,Data_5!$F$10:$BG$42,$A40+2,FALSE)="NE","NE",IF(HLOOKUP(BL$15,Data_5!$F$10:$BG$42,$A40+2,FALSE)="C","C",IF(HLOOKUP(BL$15,Data_5!$F$10:$BG$42,$A40+2,FALSE)="NO","NO",HLOOKUP(BL$15,Data_5!$F$10:$BG$42,$A40+2,FALSE)/Data_5!$BI35))))))),"")</f>
        <v/>
      </c>
      <c r="BM40" s="1122" t="str">
        <f>IFERROR(IF(VLOOKUP($AL40,Data_5!$B$12:$E$42,4,FALSE)="BASIC","",(IF(HLOOKUP(BM$15,Data_5!$F$10:$BG$42,$A40+2,FALSE)="NO","NO",IF(HLOOKUP(BM$15,Data_5!$F$10:$BG$42,$A40+2,FALSE)="IE","IE",IF(HLOOKUP(BM$15,Data_5!$F$10:$BG$42,$A40+2,FALSE)="NE","NE",IF(HLOOKUP(BM$15,Data_5!$F$10:$BG$42,$A40+2,FALSE)="C","C",IF(HLOOKUP(BM$15,Data_5!$F$10:$BG$42,$A40+2,FALSE)="NO","NO",HLOOKUP(BM$15,Data_5!$F$10:$BG$42,$A40+2,FALSE)/Data_5!$BI35))))))),"")</f>
        <v/>
      </c>
      <c r="BN40" s="1122" t="str">
        <f>IFERROR(IF(VLOOKUP($AL40,Data_5!$B$12:$E$42,4,FALSE)="BASIC","",(IF(HLOOKUP(BN$15,Data_5!$F$10:$BG$42,$A40+2,FALSE)="NO","NO",IF(HLOOKUP(BN$15,Data_5!$F$10:$BG$42,$A40+2,FALSE)="IE","IE",IF(HLOOKUP(BN$15,Data_5!$F$10:$BG$42,$A40+2,FALSE)="NE","NE",IF(HLOOKUP(BN$15,Data_5!$F$10:$BG$42,$A40+2,FALSE)="C","C",IF(HLOOKUP(BN$15,Data_5!$F$10:$BG$42,$A40+2,FALSE)="NO","NO",HLOOKUP(BN$15,Data_5!$F$10:$BG$42,$A40+2,FALSE)/Data_5!$BI35))))))),"")</f>
        <v/>
      </c>
      <c r="BO40" s="1122" t="str">
        <f>IFERROR(IF(VLOOKUP($AL40,Data_5!$B$12:$E$42,4,FALSE)="BASIC","",(IF(HLOOKUP(BO$15,Data_5!$F$10:$BG$42,$A40+2,FALSE)="NO","NO",IF(HLOOKUP(BO$15,Data_5!$F$10:$BG$42,$A40+2,FALSE)="IE","IE",IF(HLOOKUP(BO$15,Data_5!$F$10:$BG$42,$A40+2,FALSE)="NE","NE",IF(HLOOKUP(BO$15,Data_5!$F$10:$BG$42,$A40+2,FALSE)="C","C",IF(HLOOKUP(BO$15,Data_5!$F$10:$BG$42,$A40+2,FALSE)="NO","NO",HLOOKUP(BO$15,Data_5!$F$10:$BG$42,$A40+2,FALSE)/Data_5!$BI35))))))),"")</f>
        <v/>
      </c>
      <c r="BP40" s="1122" t="str">
        <f>IFERROR(IF(VLOOKUP($AL40,Data_5!$B$12:$E$42,4,FALSE)="BASIC","",(IF(HLOOKUP(BP$15,Data_5!$F$10:$BG$42,$A40+2,FALSE)="NO","NO",IF(HLOOKUP(BP$15,Data_5!$F$10:$BG$42,$A40+2,FALSE)="IE","IE",IF(HLOOKUP(BP$15,Data_5!$F$10:$BG$42,$A40+2,FALSE)="NE","NE",IF(HLOOKUP(BP$15,Data_5!$F$10:$BG$42,$A40+2,FALSE)="C","C",IF(HLOOKUP(BP$15,Data_5!$F$10:$BG$42,$A40+2,FALSE)="NO","NO",HLOOKUP(BP$15,Data_5!$F$10:$BG$42,$A40+2,FALSE)/Data_5!$BI35))))))),"")</f>
        <v/>
      </c>
      <c r="BQ40" s="1122" t="str">
        <f>IFERROR(IF(VLOOKUP($AL40,Data_5!$B$12:$E$42,4,FALSE)="BASIC","",(IF(HLOOKUP(BQ$15,Data_5!$F$10:$BG$42,$A40+2,FALSE)="NO","NO",IF(HLOOKUP(BQ$15,Data_5!$F$10:$BG$42,$A40+2,FALSE)="IE","IE",IF(HLOOKUP(BQ$15,Data_5!$F$10:$BG$42,$A40+2,FALSE)="NE","NE",IF(HLOOKUP(BQ$15,Data_5!$F$10:$BG$42,$A40+2,FALSE)="C","C",IF(HLOOKUP(BQ$15,Data_5!$F$10:$BG$42,$A40+2,FALSE)="NO","NO",HLOOKUP(BQ$15,Data_5!$F$10:$BG$42,$A40+2,FALSE)/Data_5!$BI35))))))),"")</f>
        <v/>
      </c>
      <c r="BR40" s="1122" t="str">
        <f>IFERROR(IF(VLOOKUP($AL40,Data_5!$B$12:$E$42,4,FALSE)="BASIC","",(IF(HLOOKUP(BR$15,Data_5!$F$10:$BG$42,$A40+2,FALSE)="NO","NO",IF(HLOOKUP(BR$15,Data_5!$F$10:$BG$42,$A40+2,FALSE)="IE","IE",IF(HLOOKUP(BR$15,Data_5!$F$10:$BG$42,$A40+2,FALSE)="NE","NE",IF(HLOOKUP(BR$15,Data_5!$F$10:$BG$42,$A40+2,FALSE)="C","C",IF(HLOOKUP(BR$15,Data_5!$F$10:$BG$42,$A40+2,FALSE)="NO","NO",HLOOKUP(BR$15,Data_5!$F$10:$BG$42,$A40+2,FALSE)/Data_5!$BI35))))))),"")</f>
        <v/>
      </c>
      <c r="BS40" s="1122" t="str">
        <f>IFERROR(IF(VLOOKUP($AL40,Data_5!$B$12:$E$42,4,FALSE)="BASIC","",(IF(HLOOKUP(BS$15,Data_5!$F$10:$BG$42,$A40+2,FALSE)="NO","NO",IF(HLOOKUP(BS$15,Data_5!$F$10:$BG$42,$A40+2,FALSE)="IE","IE",IF(HLOOKUP(BS$15,Data_5!$F$10:$BG$42,$A40+2,FALSE)="NE","NE",IF(HLOOKUP(BS$15,Data_5!$F$10:$BG$42,$A40+2,FALSE)="C","C",IF(HLOOKUP(BS$15,Data_5!$F$10:$BG$42,$A40+2,FALSE)="NO","NO",HLOOKUP(BS$15,Data_5!$F$10:$BG$42,$A40+2,FALSE)/Data_5!$BI35))))))),"")</f>
        <v/>
      </c>
      <c r="BT40" s="1122" t="str">
        <f>IFERROR(IF(VLOOKUP($AL40,Data_5!$B$12:$E$42,4,FALSE)="BASIC","",(IF(HLOOKUP(BT$15,Data_5!$F$10:$BG$42,$A40+2,FALSE)="NO","NO",IF(HLOOKUP(BT$15,Data_5!$F$10:$BG$42,$A40+2,FALSE)="IE","IE",IF(HLOOKUP(BT$15,Data_5!$F$10:$BG$42,$A40+2,FALSE)="NE","NE",IF(HLOOKUP(BT$15,Data_5!$F$10:$BG$42,$A40+2,FALSE)="C","C",IF(HLOOKUP(BT$15,Data_5!$F$10:$BG$42,$A40+2,FALSE)="NO","NO",HLOOKUP(BT$15,Data_5!$F$10:$BG$42,$A40+2,FALSE)/Data_5!$BI35))))))),"")</f>
        <v/>
      </c>
      <c r="BU40" s="1122" t="str">
        <f>IFERROR(IF(VLOOKUP($AL40,Data_5!$B$12:$E$42,4,FALSE)="BASIC","",(IF(HLOOKUP(BU$15,Data_5!$F$10:$BG$42,$A40+2,FALSE)="NO","NO",IF(HLOOKUP(BU$15,Data_5!$F$10:$BG$42,$A40+2,FALSE)="IE","IE",IF(HLOOKUP(BU$15,Data_5!$F$10:$BG$42,$A40+2,FALSE)="NE","NE",IF(HLOOKUP(BU$15,Data_5!$F$10:$BG$42,$A40+2,FALSE)="C","C",IF(HLOOKUP(BU$15,Data_5!$F$10:$BG$42,$A40+2,FALSE)="NO","NO",HLOOKUP(BU$15,Data_5!$F$10:$BG$42,$A40+2,FALSE)/Data_5!$BI35))))))),"")</f>
        <v/>
      </c>
      <c r="BV40" s="1122" t="str">
        <f>IFERROR(IF(VLOOKUP($AL40,Data_5!$B$12:$E$42,4,FALSE)="BASIC","",(IF(HLOOKUP(BV$15,Data_5!$F$10:$BG$42,$A40+2,FALSE)="NO","NO",IF(HLOOKUP(BV$15,Data_5!$F$10:$BG$42,$A40+2,FALSE)="IE","IE",IF(HLOOKUP(BV$15,Data_5!$F$10:$BG$42,$A40+2,FALSE)="NE","NE",IF(HLOOKUP(BV$15,Data_5!$F$10:$BG$42,$A40+2,FALSE)="C","C",IF(HLOOKUP(BV$15,Data_5!$F$10:$BG$42,$A40+2,FALSE)="NO","NO",HLOOKUP(BV$15,Data_5!$F$10:$BG$42,$A40+2,FALSE)/Data_5!$BI35))))))),"")</f>
        <v/>
      </c>
      <c r="BW40" s="1122" t="str">
        <f>IFERROR(IF(VLOOKUP($AL40,Data_5!$B$12:$E$42,4,FALSE)="BASIC","",(IF(HLOOKUP(BW$15,Data_5!$F$10:$BG$42,$A40+2,FALSE)="NO","NO",IF(HLOOKUP(BW$15,Data_5!$F$10:$BG$42,$A40+2,FALSE)="IE","IE",IF(HLOOKUP(BW$15,Data_5!$F$10:$BG$42,$A40+2,FALSE)="NE","NE",IF(HLOOKUP(BW$15,Data_5!$F$10:$BG$42,$A40+2,FALSE)="C","C",IF(HLOOKUP(BW$15,Data_5!$F$10:$BG$42,$A40+2,FALSE)="NO","NO",HLOOKUP(BW$15,Data_5!$F$10:$BG$42,$A40+2,FALSE)/Data_5!$BI35))))))),"")</f>
        <v/>
      </c>
      <c r="BX40" s="1122" t="str">
        <f>IFERROR(IF(VLOOKUP($AL40,Data_5!$B$12:$E$42,4,FALSE)="BASIC","",(IF(HLOOKUP(BX$15,Data_5!$F$10:$BG$42,$A40+2,FALSE)="NO","NO",IF(HLOOKUP(BX$15,Data_5!$F$10:$BG$42,$A40+2,FALSE)="IE","IE",IF(HLOOKUP(BX$15,Data_5!$F$10:$BG$42,$A40+2,FALSE)="NE","NE",IF(HLOOKUP(BX$15,Data_5!$F$10:$BG$42,$A40+2,FALSE)="C","C",IF(HLOOKUP(BX$15,Data_5!$F$10:$BG$42,$A40+2,FALSE)="NO","NO",HLOOKUP(BX$15,Data_5!$F$10:$BG$42,$A40+2,FALSE)/Data_5!$BI35))))))),"")</f>
        <v/>
      </c>
      <c r="BY40" s="1122" t="str">
        <f>IFERROR(IF(VLOOKUP($AL40,Data_5!$B$12:$E$42,4,FALSE)="BASIC","",(IF(HLOOKUP(BY$15,Data_5!$F$10:$BG$42,$A40+2,FALSE)="NO","NO",IF(HLOOKUP(BY$15,Data_5!$F$10:$BG$42,$A40+2,FALSE)="IE","IE",IF(HLOOKUP(BY$15,Data_5!$F$10:$BG$42,$A40+2,FALSE)="NE","NE",IF(HLOOKUP(BY$15,Data_5!$F$10:$BG$42,$A40+2,FALSE)="C","C",IF(HLOOKUP(BY$15,Data_5!$F$10:$BG$42,$A40+2,FALSE)="NO","NO",HLOOKUP(BY$15,Data_5!$F$10:$BG$42,$A40+2,FALSE)/Data_5!$BI35))))))),"")</f>
        <v/>
      </c>
      <c r="BZ40" s="1122" t="str">
        <f>IFERROR(IF(VLOOKUP($AL40,Data_5!$B$12:$E$42,4,FALSE)="BASIC","",(IF(HLOOKUP(BZ$15,Data_5!$F$10:$BG$42,$A40+2,FALSE)="NO","NO",IF(HLOOKUP(BZ$15,Data_5!$F$10:$BG$42,$A40+2,FALSE)="IE","IE",IF(HLOOKUP(BZ$15,Data_5!$F$10:$BG$42,$A40+2,FALSE)="NE","NE",IF(HLOOKUP(BZ$15,Data_5!$F$10:$BG$42,$A40+2,FALSE)="C","C",IF(HLOOKUP(BZ$15,Data_5!$F$10:$BG$42,$A40+2,FALSE)="NO","NO",HLOOKUP(BZ$15,Data_5!$F$10:$BG$42,$A40+2,FALSE)/Data_5!$BI35))))))),"")</f>
        <v/>
      </c>
      <c r="CA40" s="1122" t="str">
        <f>IFERROR(IF(VLOOKUP($AL40,Data_5!$B$12:$E$42,4,FALSE)="BASIC","",(IF(HLOOKUP(CA$15,Data_5!$F$10:$BG$42,$A40+2,FALSE)="NO","NO",IF(HLOOKUP(CA$15,Data_5!$F$10:$BG$42,$A40+2,FALSE)="IE","IE",IF(HLOOKUP(CA$15,Data_5!$F$10:$BG$42,$A40+2,FALSE)="NE","NE",IF(HLOOKUP(CA$15,Data_5!$F$10:$BG$42,$A40+2,FALSE)="C","C",IF(HLOOKUP(CA$15,Data_5!$F$10:$BG$42,$A40+2,FALSE)="NO","NO",HLOOKUP(CA$15,Data_5!$F$10:$BG$42,$A40+2,FALSE)/Data_5!$BI35))))))),"")</f>
        <v/>
      </c>
      <c r="CB40" s="1122" t="str">
        <f>IFERROR(IF(VLOOKUP($AL40,Data_5!$B$12:$E$42,4,FALSE)="BASIC","",(IF(HLOOKUP(CB$15,Data_5!$F$10:$BG$42,$A40+2,FALSE)="NO","NO",IF(HLOOKUP(CB$15,Data_5!$F$10:$BG$42,$A40+2,FALSE)="IE","IE",IF(HLOOKUP(CB$15,Data_5!$F$10:$BG$42,$A40+2,FALSE)="NE","NE",IF(HLOOKUP(CB$15,Data_5!$F$10:$BG$42,$A40+2,FALSE)="C","C",IF(HLOOKUP(CB$15,Data_5!$F$10:$BG$42,$A40+2,FALSE)="NO","NO",HLOOKUP(CB$15,Data_5!$F$10:$BG$42,$A40+2,FALSE)/Data_5!$BI35))))))),"")</f>
        <v/>
      </c>
      <c r="CC40" s="1122" t="str">
        <f>IFERROR(IF(VLOOKUP($AL40,Data_5!$B$12:$E$42,4,FALSE)="BASIC","",(IF(HLOOKUP(CC$15,Data_5!$F$10:$BG$42,$A40+2,FALSE)="NO","NO",IF(HLOOKUP(CC$15,Data_5!$F$10:$BG$42,$A40+2,FALSE)="IE","IE",IF(HLOOKUP(CC$15,Data_5!$F$10:$BG$42,$A40+2,FALSE)="NE","NE",IF(HLOOKUP(CC$15,Data_5!$F$10:$BG$42,$A40+2,FALSE)="C","C",IF(HLOOKUP(CC$15,Data_5!$F$10:$BG$42,$A40+2,FALSE)="NO","NO",HLOOKUP(CC$15,Data_5!$F$10:$BG$42,$A40+2,FALSE)/Data_5!$BI35))))))),"")</f>
        <v/>
      </c>
      <c r="CD40" s="1122" t="str">
        <f>IFERROR(IF(VLOOKUP($AL40,Data_5!$B$12:$E$42,4,FALSE)="BASIC","",(IF(HLOOKUP(CD$15,Data_5!$F$10:$BG$42,$A40+2,FALSE)="NO","NO",IF(HLOOKUP(CD$15,Data_5!$F$10:$BG$42,$A40+2,FALSE)="IE","IE",IF(HLOOKUP(CD$15,Data_5!$F$10:$BG$42,$A40+2,FALSE)="NE","NE",IF(HLOOKUP(CD$15,Data_5!$F$10:$BG$42,$A40+2,FALSE)="C","C",IF(HLOOKUP(CD$15,Data_5!$F$10:$BG$42,$A40+2,FALSE)="NO","NO",HLOOKUP(CD$15,Data_5!$F$10:$BG$42,$A40+2,FALSE)/Data_5!$BI35))))))),"")</f>
        <v/>
      </c>
      <c r="CE40" s="1122" t="str">
        <f>IFERROR(IF(VLOOKUP($AL40,Data_5!$B$12:$E$42,4,FALSE)="BASIC","",(IF(HLOOKUP(CE$15,Data_5!$F$10:$BG$42,$A40+2,FALSE)="NO","NO",IF(HLOOKUP(CE$15,Data_5!$F$10:$BG$42,$A40+2,FALSE)="IE","IE",IF(HLOOKUP(CE$15,Data_5!$F$10:$BG$42,$A40+2,FALSE)="NE","NE",IF(HLOOKUP(CE$15,Data_5!$F$10:$BG$42,$A40+2,FALSE)="C","C",IF(HLOOKUP(CE$15,Data_5!$F$10:$BG$42,$A40+2,FALSE)="NO","NO",HLOOKUP(CE$15,Data_5!$F$10:$BG$42,$A40+2,FALSE)/Data_5!$BI35))))))),"")</f>
        <v/>
      </c>
      <c r="CF40" s="1122" t="str">
        <f>IFERROR(IF(VLOOKUP($AL40,Data_5!$B$12:$E$42,4,FALSE)="BASIC","",(IF(HLOOKUP(CF$15,Data_5!$F$10:$BG$42,$A40+2,FALSE)="NO","NO",IF(HLOOKUP(CF$15,Data_5!$F$10:$BG$42,$A40+2,FALSE)="IE","IE",IF(HLOOKUP(CF$15,Data_5!$F$10:$BG$42,$A40+2,FALSE)="NE","NE",IF(HLOOKUP(CF$15,Data_5!$F$10:$BG$42,$A40+2,FALSE)="C","C",IF(HLOOKUP(CF$15,Data_5!$F$10:$BG$42,$A40+2,FALSE)="NO","NO",HLOOKUP(CF$15,Data_5!$F$10:$BG$42,$A40+2,FALSE)/Data_5!$BI35))))))),"")</f>
        <v/>
      </c>
      <c r="CG40" s="1122" t="str">
        <f>IFERROR(IF(VLOOKUP($AL40,Data_5!$B$12:$E$42,4,FALSE)="BASIC","",(IF(HLOOKUP(CG$15,Data_5!$F$10:$BG$42,$A40+2,FALSE)="NO","NO",IF(HLOOKUP(CG$15,Data_5!$F$10:$BG$42,$A40+2,FALSE)="IE","IE",IF(HLOOKUP(CG$15,Data_5!$F$10:$BG$42,$A40+2,FALSE)="NE","NE",IF(HLOOKUP(CG$15,Data_5!$F$10:$BG$42,$A40+2,FALSE)="C","C",IF(HLOOKUP(CG$15,Data_5!$F$10:$BG$42,$A40+2,FALSE)="NO","NO",HLOOKUP(CG$15,Data_5!$F$10:$BG$42,$A40+2,FALSE)/Data_5!$BI35))))))),"")</f>
        <v/>
      </c>
      <c r="CH40" s="1122" t="str">
        <f>IFERROR(IF(VLOOKUP($AL40,Data_5!$B$12:$E$42,4,FALSE)="BASIC","",(IF(HLOOKUP(CH$15,Data_5!$F$10:$BG$42,$A40+2,FALSE)="NO","NO",IF(HLOOKUP(CH$15,Data_5!$F$10:$BG$42,$A40+2,FALSE)="IE","IE",IF(HLOOKUP(CH$15,Data_5!$F$10:$BG$42,$A40+2,FALSE)="NE","NE",IF(HLOOKUP(CH$15,Data_5!$F$10:$BG$42,$A40+2,FALSE)="C","C",IF(HLOOKUP(CH$15,Data_5!$F$10:$BG$42,$A40+2,FALSE)="NO","NO",HLOOKUP(CH$15,Data_5!$F$10:$BG$42,$A40+2,FALSE)/Data_5!$BI35))))))),"")</f>
        <v/>
      </c>
      <c r="CI40" s="1122" t="str">
        <f>IFERROR(IF(VLOOKUP($AL40,Data_5!$B$12:$E$42,4,FALSE)="BASIC","",(IF(HLOOKUP(CI$15,Data_5!$F$10:$BG$42,$A40+2,FALSE)="NO","NO",IF(HLOOKUP(CI$15,Data_5!$F$10:$BG$42,$A40+2,FALSE)="IE","IE",IF(HLOOKUP(CI$15,Data_5!$F$10:$BG$42,$A40+2,FALSE)="NE","NE",IF(HLOOKUP(CI$15,Data_5!$F$10:$BG$42,$A40+2,FALSE)="C","C",IF(HLOOKUP(CI$15,Data_5!$F$10:$BG$42,$A40+2,FALSE)="NO","NO",HLOOKUP(CI$15,Data_5!$F$10:$BG$42,$A40+2,FALSE)/Data_5!$BI35))))))),"")</f>
        <v/>
      </c>
      <c r="CJ40" s="1122" t="str">
        <f>IFERROR(IF(VLOOKUP($AL40,Data_5!$B$12:$E$42,4,FALSE)="BASIC","",(IF(HLOOKUP(CJ$15,Data_5!$F$10:$BG$42,$A40+2,FALSE)="NO","NO",IF(HLOOKUP(CJ$15,Data_5!$F$10:$BG$42,$A40+2,FALSE)="IE","IE",IF(HLOOKUP(CJ$15,Data_5!$F$10:$BG$42,$A40+2,FALSE)="NE","NE",IF(HLOOKUP(CJ$15,Data_5!$F$10:$BG$42,$A40+2,FALSE)="C","C",IF(HLOOKUP(CJ$15,Data_5!$F$10:$BG$42,$A40+2,FALSE)="NO","NO",HLOOKUP(CJ$15,Data_5!$F$10:$BG$42,$A40+2,FALSE)/Data_5!$BI35))))))),"")</f>
        <v/>
      </c>
      <c r="CK40" s="15"/>
      <c r="CL40" s="2628" t="str">
        <f t="shared" si="2"/>
        <v>Seattle</v>
      </c>
      <c r="CM40" s="2629"/>
      <c r="CN40" s="1100">
        <f t="shared" si="3"/>
        <v>2012</v>
      </c>
      <c r="CO40" s="1122">
        <f>IFERROR(IF(HLOOKUP(CO$15,Data_5!$F$10:$BG$42,$A40+2,FALSE)="NO","NO",IF(HLOOKUP(CO$15,Data_5!$F$10:$BG$42,$A40+2,FALSE)="IE","IE",IF(HLOOKUP(CO$15,Data_5!$F$10:$BG$42,$A40+2,FALSE)="NE","NE",IF(HLOOKUP(CO$15,Data_5!$F$10:$BG$42,$A40+2,FALSE)="C","C",IF(HLOOKUP(CO$15,Data_5!$F$10:$BG$42,$A40+2,FALSE)="NO","NO",HLOOKUP(CO$15,Data_5!$F$10:$BG$42,$A40+2,FALSE)/Data_5!$BK35))))),"")</f>
        <v>0.1086198255539934</v>
      </c>
      <c r="CP40" s="1122">
        <f>IFERROR(IF(HLOOKUP(CP$15,Data_5!$F$10:$BG$42,$A40+2,FALSE)="NO","NO",IF(HLOOKUP(CP$15,Data_5!$F$10:$BG$42,$A40+2,FALSE)="IE","IE",IF(HLOOKUP(CP$15,Data_5!$F$10:$BG$42,$A40+2,FALSE)="NE","NE",IF(HLOOKUP(CP$15,Data_5!$F$10:$BG$42,$A40+2,FALSE)="C","C",IF(HLOOKUP(CP$15,Data_5!$F$10:$BG$42,$A40+2,FALSE)="NO","NO",HLOOKUP(CP$15,Data_5!$F$10:$BG$42,$A40+2,FALSE)/Data_5!$BK35))))),"")</f>
        <v>0.15164615975368789</v>
      </c>
      <c r="CQ40" s="1122">
        <f>IFERROR(IF(HLOOKUP(CQ$15,Data_5!$F$10:$BG$42,$A40+2,FALSE)="NO","NO",IF(HLOOKUP(CQ$15,Data_5!$F$10:$BG$42,$A40+2,FALSE)="IE","IE",IF(HLOOKUP(CQ$15,Data_5!$F$10:$BG$42,$A40+2,FALSE)="NE","NE",IF(HLOOKUP(CQ$15,Data_5!$F$10:$BG$42,$A40+2,FALSE)="C","C",IF(HLOOKUP(CQ$15,Data_5!$F$10:$BG$42,$A40+2,FALSE)="NO","NO",HLOOKUP(CQ$15,Data_5!$F$10:$BG$42,$A40+2,FALSE)/Data_5!$BK35))))),"")</f>
        <v>9.8204573565369491E-2</v>
      </c>
      <c r="CR40" s="1122" t="str">
        <f>IFERROR(IF(HLOOKUP(CR$15,Data_5!$F$10:$BG$42,$A40+2,FALSE)="NO","NO",IF(HLOOKUP(CR$15,Data_5!$F$10:$BG$42,$A40+2,FALSE)="IE","IE",IF(HLOOKUP(CR$15,Data_5!$F$10:$BG$42,$A40+2,FALSE)="NE","NE",IF(HLOOKUP(CR$15,Data_5!$F$10:$BG$42,$A40+2,FALSE)="C","C",IF(HLOOKUP(CR$15,Data_5!$F$10:$BG$42,$A40+2,FALSE)="NO","NO",HLOOKUP(CR$15,Data_5!$F$10:$BG$42,$A40+2,FALSE)/Data_5!$BK35))))),"")</f>
        <v>NO</v>
      </c>
      <c r="CS40" s="1122">
        <f>IFERROR(IF(HLOOKUP(CS$15,Data_5!$F$10:$BG$42,$A40+2,FALSE)="NO","NO",IF(HLOOKUP(CS$15,Data_5!$F$10:$BG$42,$A40+2,FALSE)="IE","IE",IF(HLOOKUP(CS$15,Data_5!$F$10:$BG$42,$A40+2,FALSE)="NE","NE",IF(HLOOKUP(CS$15,Data_5!$F$10:$BG$42,$A40+2,FALSE)="C","C",IF(HLOOKUP(CS$15,Data_5!$F$10:$BG$42,$A40+2,FALSE)="NO","NO",HLOOKUP(CS$15,Data_5!$F$10:$BG$42,$A40+2,FALSE)/Data_5!$BK35))))),"")</f>
        <v>1.5637184964809828E-2</v>
      </c>
      <c r="CT40" s="1122" t="str">
        <f>IFERROR(IF(HLOOKUP(CT$15,Data_5!$F$10:$BG$42,$A40+2,FALSE)="NO","NO",IF(HLOOKUP(CT$15,Data_5!$F$10:$BG$42,$A40+2,FALSE)="IE","IE",IF(HLOOKUP(CT$15,Data_5!$F$10:$BG$42,$A40+2,FALSE)="NE","NE",IF(HLOOKUP(CT$15,Data_5!$F$10:$BG$42,$A40+2,FALSE)="C","C",IF(HLOOKUP(CT$15,Data_5!$F$10:$BG$42,$A40+2,FALSE)="NO","NO",HLOOKUP(CT$15,Data_5!$F$10:$BG$42,$A40+2,FALSE)/Data_5!$BK35))))),"")</f>
        <v>NO</v>
      </c>
      <c r="CU40" s="1122" t="str">
        <f>IFERROR(IF(HLOOKUP(CU$15,Data_5!$F$10:$BG$42,$A40+2,FALSE)="NO","NO",IF(HLOOKUP(CU$15,Data_5!$F$10:$BG$42,$A40+2,FALSE)="IE","IE",IF(HLOOKUP(CU$15,Data_5!$F$10:$BG$42,$A40+2,FALSE)="NE","NE",IF(HLOOKUP(CU$15,Data_5!$F$10:$BG$42,$A40+2,FALSE)="C","C",IF(HLOOKUP(CU$15,Data_5!$F$10:$BG$42,$A40+2,FALSE)="NO","NO",HLOOKUP(CU$15,Data_5!$F$10:$BG$42,$A40+2,FALSE)/Data_5!$BK35))))),"")</f>
        <v>NO</v>
      </c>
      <c r="CV40" s="1122" t="str">
        <f>IFERROR(IF(HLOOKUP(CV$15,Data_5!$F$10:$BG$42,$A40+2,FALSE)="NO","NO",IF(HLOOKUP(CV$15,Data_5!$F$10:$BG$42,$A40+2,FALSE)="IE","IE",IF(HLOOKUP(CV$15,Data_5!$F$10:$BG$42,$A40+2,FALSE)="NE","NE",IF(HLOOKUP(CV$15,Data_5!$F$10:$BG$42,$A40+2,FALSE)="C","C",IF(HLOOKUP(CV$15,Data_5!$F$10:$BG$42,$A40+2,FALSE)="NO","NO",HLOOKUP(CV$15,Data_5!$F$10:$BG$42,$A40+2,FALSE)/Data_5!$BK35))))),"")</f>
        <v>NO</v>
      </c>
      <c r="CW40" s="1122">
        <f>IFERROR(IF(HLOOKUP(CW$15,Data_5!$F$10:$BG$42,$A40+2,FALSE)="NO","NO",IF(HLOOKUP(CW$15,Data_5!$F$10:$BG$42,$A40+2,FALSE)="IE","IE",IF(HLOOKUP(CW$15,Data_5!$F$10:$BG$42,$A40+2,FALSE)="NE","NE",IF(HLOOKUP(CW$15,Data_5!$F$10:$BG$42,$A40+2,FALSE)="C","C",IF(HLOOKUP(CW$15,Data_5!$F$10:$BG$42,$A40+2,FALSE)="NO","NO",HLOOKUP(CW$15,Data_5!$F$10:$BG$42,$A40+2,FALSE)/Data_5!$BK35))))),"")</f>
        <v>3.0586502990050278E-3</v>
      </c>
      <c r="CX40" s="1122">
        <f>IFERROR(IF(HLOOKUP(CX$15,Data_5!$F$10:$BG$42,$A40+2,FALSE)="NO","NO",IF(HLOOKUP(CX$15,Data_5!$F$10:$BG$42,$A40+2,FALSE)="IE","IE",IF(HLOOKUP(CX$15,Data_5!$F$10:$BG$42,$A40+2,FALSE)="NE","NE",IF(HLOOKUP(CX$15,Data_5!$F$10:$BG$42,$A40+2,FALSE)="C","C",IF(HLOOKUP(CX$15,Data_5!$F$10:$BG$42,$A40+2,FALSE)="NO","NO",HLOOKUP(CX$15,Data_5!$F$10:$BG$42,$A40+2,FALSE)/Data_5!$BK35))))),"")</f>
        <v>0.44009729859183572</v>
      </c>
      <c r="CY40" s="1122">
        <f>IFERROR(IF(HLOOKUP(CY$15,Data_5!$F$10:$BG$42,$A40+2,FALSE)="NO","NO",IF(HLOOKUP(CY$15,Data_5!$F$10:$BG$42,$A40+2,FALSE)="IE","IE",IF(HLOOKUP(CY$15,Data_5!$F$10:$BG$42,$A40+2,FALSE)="NE","NE",IF(HLOOKUP(CY$15,Data_5!$F$10:$BG$42,$A40+2,FALSE)="C","C",IF(HLOOKUP(CY$15,Data_5!$F$10:$BG$42,$A40+2,FALSE)="NO","NO",HLOOKUP(CY$15,Data_5!$F$10:$BG$42,$A40+2,FALSE)/Data_5!$BK35))))),"")</f>
        <v>1.3217157346587944E-2</v>
      </c>
      <c r="CZ40" s="1122">
        <f>IFERROR(IF(HLOOKUP(CZ$15,Data_5!$F$10:$BG$42,$A40+2,FALSE)="NO","NO",IF(HLOOKUP(CZ$15,Data_5!$F$10:$BG$42,$A40+2,FALSE)="IE","IE",IF(HLOOKUP(CZ$15,Data_5!$F$10:$BG$42,$A40+2,FALSE)="NE","NE",IF(HLOOKUP(CZ$15,Data_5!$F$10:$BG$42,$A40+2,FALSE)="C","C",IF(HLOOKUP(CZ$15,Data_5!$F$10:$BG$42,$A40+2,FALSE)="NO","NO",HLOOKUP(CZ$15,Data_5!$F$10:$BG$42,$A40+2,FALSE)/Data_5!$BK35))))),"")</f>
        <v>3.6920396733938113E-2</v>
      </c>
      <c r="DA40" s="1122" t="str">
        <f>IFERROR(IF(HLOOKUP(DA$15,Data_5!$F$10:$BG$42,$A40+2,FALSE)="NO","NO",IF(HLOOKUP(DA$15,Data_5!$F$10:$BG$42,$A40+2,FALSE)="IE","IE",IF(HLOOKUP(DA$15,Data_5!$F$10:$BG$42,$A40+2,FALSE)="NE","NE",IF(HLOOKUP(DA$15,Data_5!$F$10:$BG$42,$A40+2,FALSE)="C","C",IF(HLOOKUP(DA$15,Data_5!$F$10:$BG$42,$A40+2,FALSE)="NO","NO",HLOOKUP(DA$15,Data_5!$F$10:$BG$42,$A40+2,FALSE)/Data_5!$BK35))))),"")</f>
        <v>NO</v>
      </c>
      <c r="DB40" s="1122" t="str">
        <f>IFERROR(IF(HLOOKUP(DB$15,Data_5!$F$10:$BG$42,$A40+2,FALSE)="NO","NO",IF(HLOOKUP(DB$15,Data_5!$F$10:$BG$42,$A40+2,FALSE)="IE","IE",IF(HLOOKUP(DB$15,Data_5!$F$10:$BG$42,$A40+2,FALSE)="NE","NE",IF(HLOOKUP(DB$15,Data_5!$F$10:$BG$42,$A40+2,FALSE)="C","C",IF(HLOOKUP(DB$15,Data_5!$F$10:$BG$42,$A40+2,FALSE)="NO","NO",HLOOKUP(DB$15,Data_5!$F$10:$BG$42,$A40+2,FALSE)/Data_5!$BK35))))),"")</f>
        <v>NO</v>
      </c>
      <c r="DC40" s="1122" t="str">
        <f>IFERROR(IF(HLOOKUP(DC$15,Data_5!$F$10:$BG$42,$A40+2,FALSE)="NO","NO",IF(HLOOKUP(DC$15,Data_5!$F$10:$BG$42,$A40+2,FALSE)="IE","IE",IF(HLOOKUP(DC$15,Data_5!$F$10:$BG$42,$A40+2,FALSE)="NE","NE",IF(HLOOKUP(DC$15,Data_5!$F$10:$BG$42,$A40+2,FALSE)="C","C",IF(HLOOKUP(DC$15,Data_5!$F$10:$BG$42,$A40+2,FALSE)="NO","NO",HLOOKUP(DC$15,Data_5!$F$10:$BG$42,$A40+2,FALSE)/Data_5!$BK35))))),"")</f>
        <v>NO</v>
      </c>
      <c r="DD40" s="1122" t="str">
        <f>IFERROR(IF(HLOOKUP(DD$15,Data_5!$F$10:$BG$42,$A40+2,FALSE)="NO","NO",IF(HLOOKUP(DD$15,Data_5!$F$10:$BG$42,$A40+2,FALSE)="IE","IE",IF(HLOOKUP(DD$15,Data_5!$F$10:$BG$42,$A40+2,FALSE)="NE","NE",IF(HLOOKUP(DD$15,Data_5!$F$10:$BG$42,$A40+2,FALSE)="C","C",IF(HLOOKUP(DD$15,Data_5!$F$10:$BG$42,$A40+2,FALSE)="NO","NO",HLOOKUP(DD$15,Data_5!$F$10:$BG$42,$A40+2,FALSE)/Data_5!$BK35))))),"")</f>
        <v>NO</v>
      </c>
      <c r="DE40" s="1122" t="str">
        <f>IFERROR(IF(HLOOKUP(DE$15,Data_5!$F$10:$BG$42,$A40+2,FALSE)="NO","NO",IF(HLOOKUP(DE$15,Data_5!$F$10:$BG$42,$A40+2,FALSE)="IE","IE",IF(HLOOKUP(DE$15,Data_5!$F$10:$BG$42,$A40+2,FALSE)="NE","NE",IF(HLOOKUP(DE$15,Data_5!$F$10:$BG$42,$A40+2,FALSE)="C","C",IF(HLOOKUP(DE$15,Data_5!$F$10:$BG$42,$A40+2,FALSE)="NO","NO",HLOOKUP(DE$15,Data_5!$F$10:$BG$42,$A40+2,FALSE)/Data_5!$BK35))))),"")</f>
        <v>NO</v>
      </c>
      <c r="DF40" s="1122" t="str">
        <f>IFERROR(IF(HLOOKUP(DF$15,Data_5!$F$10:$BG$42,$A40+2,FALSE)="NO","NO",IF(HLOOKUP(DF$15,Data_5!$F$10:$BG$42,$A40+2,FALSE)="IE","IE",IF(HLOOKUP(DF$15,Data_5!$F$10:$BG$42,$A40+2,FALSE)="NE","NE",IF(HLOOKUP(DF$15,Data_5!$F$10:$BG$42,$A40+2,FALSE)="C","C",IF(HLOOKUP(DF$15,Data_5!$F$10:$BG$42,$A40+2,FALSE)="NO","NO",HLOOKUP(DF$15,Data_5!$F$10:$BG$42,$A40+2,FALSE)/Data_5!$BK35))))),"")</f>
        <v>NO</v>
      </c>
      <c r="DG40" s="1122" t="str">
        <f>IFERROR(IF(HLOOKUP(DG$15,Data_5!$F$10:$BG$42,$A40+2,FALSE)="NO","NO",IF(HLOOKUP(DG$15,Data_5!$F$10:$BG$42,$A40+2,FALSE)="IE","IE",IF(HLOOKUP(DG$15,Data_5!$F$10:$BG$42,$A40+2,FALSE)="NE","NE",IF(HLOOKUP(DG$15,Data_5!$F$10:$BG$42,$A40+2,FALSE)="C","C",IF(HLOOKUP(DG$15,Data_5!$F$10:$BG$42,$A40+2,FALSE)="NO","NO",HLOOKUP(DG$15,Data_5!$F$10:$BG$42,$A40+2,FALSE)/Data_5!$BK35))))),"")</f>
        <v>NO</v>
      </c>
      <c r="DH40" s="1122" t="str">
        <f>IFERROR(IF(HLOOKUP(DH$15,Data_5!$F$10:$BG$42,$A40+2,FALSE)="NO","NO",IF(HLOOKUP(DH$15,Data_5!$F$10:$BG$42,$A40+2,FALSE)="IE","IE",IF(HLOOKUP(DH$15,Data_5!$F$10:$BG$42,$A40+2,FALSE)="NE","NE",IF(HLOOKUP(DH$15,Data_5!$F$10:$BG$42,$A40+2,FALSE)="C","C",IF(HLOOKUP(DH$15,Data_5!$F$10:$BG$42,$A40+2,FALSE)="NO","NO",HLOOKUP(DH$15,Data_5!$F$10:$BG$42,$A40+2,FALSE)/Data_5!$BK35))))),"")</f>
        <v>NO</v>
      </c>
      <c r="DI40" s="1122">
        <f>IFERROR(IF(HLOOKUP(DI$15,Data_5!$F$10:$BG$42,$A40+2,FALSE)="NO","NO",IF(HLOOKUP(DI$15,Data_5!$F$10:$BG$42,$A40+2,FALSE)="IE","IE",IF(HLOOKUP(DI$15,Data_5!$F$10:$BG$42,$A40+2,FALSE)="NE","NE",IF(HLOOKUP(DI$15,Data_5!$F$10:$BG$42,$A40+2,FALSE)="C","C",IF(HLOOKUP(DI$15,Data_5!$F$10:$BG$42,$A40+2,FALSE)="NO","NO",HLOOKUP(DI$15,Data_5!$F$10:$BG$42,$A40+2,FALSE)/Data_5!$BK35))))),"")</f>
        <v>3.8892800846289605E-4</v>
      </c>
      <c r="DJ40" s="1122" t="str">
        <f>IFERROR(IF(HLOOKUP(DJ$15,Data_5!$F$10:$BG$42,$A40+2,FALSE)="NO","NO",IF(HLOOKUP(DJ$15,Data_5!$F$10:$BG$42,$A40+2,FALSE)="IE","IE",IF(HLOOKUP(DJ$15,Data_5!$F$10:$BG$42,$A40+2,FALSE)="NE","NE",IF(HLOOKUP(DJ$15,Data_5!$F$10:$BG$42,$A40+2,FALSE)="C","C",IF(HLOOKUP(DJ$15,Data_5!$F$10:$BG$42,$A40+2,FALSE)="NO","NO",HLOOKUP(DJ$15,Data_5!$F$10:$BG$42,$A40+2,FALSE)/Data_5!$BK35))))),"")</f>
        <v>NO</v>
      </c>
      <c r="DK40" s="1122">
        <f>IFERROR(IF(HLOOKUP(DK$15,Data_5!$F$10:$BG$42,$A40+2,FALSE)="NO","NO",IF(HLOOKUP(DK$15,Data_5!$F$10:$BG$42,$A40+2,FALSE)="IE","IE",IF(HLOOKUP(DK$15,Data_5!$F$10:$BG$42,$A40+2,FALSE)="NE","NE",IF(HLOOKUP(DK$15,Data_5!$F$10:$BG$42,$A40+2,FALSE)="C","C",IF(HLOOKUP(DK$15,Data_5!$F$10:$BG$42,$A40+2,FALSE)="NO","NO",HLOOKUP(DK$15,Data_5!$F$10:$BG$42,$A40+2,FALSE)/Data_5!$BK35))))),"")</f>
        <v>8.3850578004166815E-2</v>
      </c>
      <c r="DL40" s="1122">
        <f>IFERROR(IF(HLOOKUP(DL$15,Data_5!$F$10:$BG$42,$A40+2,FALSE)="NO","NO",IF(HLOOKUP(DL$15,Data_5!$F$10:$BG$42,$A40+2,FALSE)="IE","IE",IF(HLOOKUP(DL$15,Data_5!$F$10:$BG$42,$A40+2,FALSE)="NE","NE",IF(HLOOKUP(DL$15,Data_5!$F$10:$BG$42,$A40+2,FALSE)="C","C",IF(HLOOKUP(DL$15,Data_5!$F$10:$BG$42,$A40+2,FALSE)="NO","NO",HLOOKUP(DL$15,Data_5!$F$10:$BG$42,$A40+2,FALSE)/Data_5!$BK35))))),"")</f>
        <v>4.8359247178142738E-2</v>
      </c>
      <c r="DM40" s="1122" t="str">
        <f>IFERROR(IF(HLOOKUP(DM$15,Data_5!$F$10:$BG$42,$A40+2,FALSE)="NO","NO",IF(HLOOKUP(DM$15,Data_5!$F$10:$BG$42,$A40+2,FALSE)="IE","IE",IF(HLOOKUP(DM$15,Data_5!$F$10:$BG$42,$A40+2,FALSE)="NE","NE",IF(HLOOKUP(DM$15,Data_5!$F$10:$BG$42,$A40+2,FALSE)="C","C",IF(HLOOKUP(DM$15,Data_5!$F$10:$BG$42,$A40+2,FALSE)="NO","NO",HLOOKUP(DM$15,Data_5!$F$10:$BG$42,$A40+2,FALSE)/Data_5!$BK35))))),"")</f>
        <v>NE</v>
      </c>
      <c r="DN40" s="1122" t="str">
        <f>IFERROR(IF(HLOOKUP(DN$15,Data_5!$F$10:$BG$42,$A40+2,FALSE)="NO","NO",IF(HLOOKUP(DN$15,Data_5!$F$10:$BG$42,$A40+2,FALSE)="IE","IE",IF(HLOOKUP(DN$15,Data_5!$F$10:$BG$42,$A40+2,FALSE)="NE","NE",IF(HLOOKUP(DN$15,Data_5!$F$10:$BG$42,$A40+2,FALSE)="C","C",IF(HLOOKUP(DN$15,Data_5!$F$10:$BG$42,$A40+2,FALSE)="NO","NO",HLOOKUP(DN$15,Data_5!$F$10:$BG$42,$A40+2,FALSE)/Data_5!$BK35))))),"")</f>
        <v>NE</v>
      </c>
      <c r="DO40" s="1122" t="str">
        <f>IFERROR(IF(HLOOKUP(DO$15,Data_5!$F$10:$BG$42,$A40+2,FALSE)="NO","NO",IF(HLOOKUP(DO$15,Data_5!$F$10:$BG$42,$A40+2,FALSE)="IE","IE",IF(HLOOKUP(DO$15,Data_5!$F$10:$BG$42,$A40+2,FALSE)="NE","NE",IF(HLOOKUP(DO$15,Data_5!$F$10:$BG$42,$A40+2,FALSE)="C","C",IF(HLOOKUP(DO$15,Data_5!$F$10:$BG$42,$A40+2,FALSE)="NO","NO",HLOOKUP(DO$15,Data_5!$F$10:$BG$42,$A40+2,FALSE)/Data_5!$BK35))))),"")</f>
        <v>NE</v>
      </c>
    </row>
    <row r="41" spans="1:119" ht="15" customHeight="1">
      <c r="A41" s="1789">
        <v>25</v>
      </c>
      <c r="B41" s="2628" t="str">
        <f>IF(Data_5!B36&lt;&gt;"",Data_5!B36,"")</f>
        <v>Stockholm</v>
      </c>
      <c r="C41" s="2629"/>
      <c r="D41" s="1462">
        <f>IFERROR(VLOOKUP($B41,Data_5!$B$12:$C$42,2,FALSE),"")</f>
        <v>2012</v>
      </c>
      <c r="E41" s="1122">
        <f>IFERROR(IF(HLOOKUP(E$15,Data_5!$F$10:$BG$42,$A41+2,FALSE)="NO","NO",IF(HLOOKUP(E$15,Data_5!$F$10:$BG$42,$A41+2,FALSE)="IE","IE",IF(HLOOKUP(E$15,Data_5!$F$10:$BG$42,$A41+2,FALSE)="NE","NE",IF(HLOOKUP(E$15,Data_5!$F$10:$BG$42,$A41+2,FALSE)="C","C",IF(HLOOKUP(E$15,Data_5!$F$10:$BG$42,$A41+2,FALSE)="NO","NO",HLOOKUP(E$15,Data_5!$F$10:$BG$42,$A41+2,FALSE)/Data_5!$BH36))))),"")</f>
        <v>3.789286977372526E-2</v>
      </c>
      <c r="F41" s="1122">
        <f>IFERROR(IF(HLOOKUP(F$15,Data_5!$F$10:$BG$42,$A41+2,FALSE)="NO","NO",IF(HLOOKUP(F$15,Data_5!$F$10:$BG$42,$A41+2,FALSE)="IE","IE",IF(HLOOKUP(F$15,Data_5!$F$10:$BG$42,$A41+2,FALSE)="NE","NE",IF(HLOOKUP(F$15,Data_5!$F$10:$BG$42,$A41+2,FALSE)="C","C",IF(HLOOKUP(F$15,Data_5!$F$10:$BG$42,$A41+2,FALSE)="NO","NO",HLOOKUP(F$15,Data_5!$F$10:$BG$42,$A41+2,FALSE)/Data_5!$BH36))))),"")</f>
        <v>0.28600959992359593</v>
      </c>
      <c r="G41" s="1122">
        <f>IFERROR(IF(HLOOKUP(G$15,Data_5!$F$10:$BG$42,$A41+2,FALSE)="NO","NO",IF(HLOOKUP(G$15,Data_5!$F$10:$BG$42,$A41+2,FALSE)="IE","IE",IF(HLOOKUP(G$15,Data_5!$F$10:$BG$42,$A41+2,FALSE)="NE","NE",IF(HLOOKUP(G$15,Data_5!$F$10:$BG$42,$A41+2,FALSE)="C","C",IF(HLOOKUP(G$15,Data_5!$F$10:$BG$42,$A41+2,FALSE)="NO","NO",HLOOKUP(G$15,Data_5!$F$10:$BG$42,$A41+2,FALSE)/Data_5!$BH36))))),"")</f>
        <v>2.8693603256154131E-2</v>
      </c>
      <c r="H41" s="1122">
        <f>IFERROR(IF(HLOOKUP(H$15,Data_5!$F$10:$BG$42,$A41+2,FALSE)="NO","NO",IF(HLOOKUP(H$15,Data_5!$F$10:$BG$42,$A41+2,FALSE)="IE","IE",IF(HLOOKUP(H$15,Data_5!$F$10:$BG$42,$A41+2,FALSE)="NE","NE",IF(HLOOKUP(H$15,Data_5!$F$10:$BG$42,$A41+2,FALSE)="C","C",IF(HLOOKUP(H$15,Data_5!$F$10:$BG$42,$A41+2,FALSE)="NO","NO",HLOOKUP(H$15,Data_5!$F$10:$BG$42,$A41+2,FALSE)/Data_5!$BH36))))),"")</f>
        <v>0.19338278542426834</v>
      </c>
      <c r="I41" s="1122">
        <f>IFERROR(IF(HLOOKUP(I$15,Data_5!$F$10:$BG$42,$A41+2,FALSE)="NO","NO",IF(HLOOKUP(I$15,Data_5!$F$10:$BG$42,$A41+2,FALSE)="IE","IE",IF(HLOOKUP(I$15,Data_5!$F$10:$BG$42,$A41+2,FALSE)="NE","NE",IF(HLOOKUP(I$15,Data_5!$F$10:$BG$42,$A41+2,FALSE)="C","C",IF(HLOOKUP(I$15,Data_5!$F$10:$BG$42,$A41+2,FALSE)="NO","NO",HLOOKUP(I$15,Data_5!$F$10:$BG$42,$A41+2,FALSE)/Data_5!$BH36))))),"")</f>
        <v>6.4862275420314681E-3</v>
      </c>
      <c r="J41" s="1122">
        <f>IFERROR(IF(HLOOKUP(J$15,Data_5!$F$10:$BG$42,$A41+2,FALSE)="NO","NO",IF(HLOOKUP(J$15,Data_5!$F$10:$BG$42,$A41+2,FALSE)="IE","IE",IF(HLOOKUP(J$15,Data_5!$F$10:$BG$42,$A41+2,FALSE)="NE","NE",IF(HLOOKUP(J$15,Data_5!$F$10:$BG$42,$A41+2,FALSE)="C","C",IF(HLOOKUP(J$15,Data_5!$F$10:$BG$42,$A41+2,FALSE)="NO","NO",HLOOKUP(J$15,Data_5!$F$10:$BG$42,$A41+2,FALSE)/Data_5!$BH36))))),"")</f>
        <v>1.7075293207238943E-2</v>
      </c>
      <c r="K41" s="1122" t="str">
        <f>IFERROR(IF(HLOOKUP(K$15,Data_5!$F$10:$BG$42,$A41+2,FALSE)="NO","NO",IF(HLOOKUP(K$15,Data_5!$F$10:$BG$42,$A41+2,FALSE)="IE","IE",IF(HLOOKUP(K$15,Data_5!$F$10:$BG$42,$A41+2,FALSE)="NE","NE",IF(HLOOKUP(K$15,Data_5!$F$10:$BG$42,$A41+2,FALSE)="C","C",IF(HLOOKUP(K$15,Data_5!$F$10:$BG$42,$A41+2,FALSE)="NO","NO",HLOOKUP(K$15,Data_5!$F$10:$BG$42,$A41+2,FALSE)/Data_5!$BH36))))),"")</f>
        <v>IE</v>
      </c>
      <c r="L41" s="1122" t="str">
        <f>IFERROR(IF(HLOOKUP(L$15,Data_5!$F$10:$BG$42,$A41+2,FALSE)="NO","NO",IF(HLOOKUP(L$15,Data_5!$F$10:$BG$42,$A41+2,FALSE)="IE","IE",IF(HLOOKUP(L$15,Data_5!$F$10:$BG$42,$A41+2,FALSE)="NE","NE",IF(HLOOKUP(L$15,Data_5!$F$10:$BG$42,$A41+2,FALSE)="C","C",IF(HLOOKUP(L$15,Data_5!$F$10:$BG$42,$A41+2,FALSE)="NO","NO",HLOOKUP(L$15,Data_5!$F$10:$BG$42,$A41+2,FALSE)/Data_5!$BH36))))),"")</f>
        <v>IE</v>
      </c>
      <c r="M41" s="1122" t="str">
        <f>IFERROR(IF(HLOOKUP(M$15,Data_5!$F$10:$BG$42,$A41+2,FALSE)="NO","NO",IF(HLOOKUP(M$15,Data_5!$F$10:$BG$42,$A41+2,FALSE)="IE","IE",IF(HLOOKUP(M$15,Data_5!$F$10:$BG$42,$A41+2,FALSE)="NE","NE",IF(HLOOKUP(M$15,Data_5!$F$10:$BG$42,$A41+2,FALSE)="C","C",IF(HLOOKUP(M$15,Data_5!$F$10:$BG$42,$A41+2,FALSE)="NO","NO",HLOOKUP(M$15,Data_5!$F$10:$BG$42,$A41+2,FALSE)/Data_5!$BH36))))),"")</f>
        <v>NO</v>
      </c>
      <c r="N41" s="1122" t="str">
        <f>IFERROR(IF(HLOOKUP(N$15,Data_5!$F$10:$BG$42,$A41+2,FALSE)="NO","NO",IF(HLOOKUP(N$15,Data_5!$F$10:$BG$42,$A41+2,FALSE)="IE","IE",IF(HLOOKUP(N$15,Data_5!$F$10:$BG$42,$A41+2,FALSE)="NE","NE",IF(HLOOKUP(N$15,Data_5!$F$10:$BG$42,$A41+2,FALSE)="C","C",IF(HLOOKUP(N$15,Data_5!$F$10:$BG$42,$A41+2,FALSE)="NO","NO",HLOOKUP(N$15,Data_5!$F$10:$BG$42,$A41+2,FALSE)/Data_5!$BH36))))),"")</f>
        <v>NO</v>
      </c>
      <c r="O41" s="1122" t="str">
        <f>IFERROR(IF(HLOOKUP(O$15,Data_5!$F$10:$BG$42,$A41+2,FALSE)="NO","NO",IF(HLOOKUP(O$15,Data_5!$F$10:$BG$42,$A41+2,FALSE)="IE","IE",IF(HLOOKUP(O$15,Data_5!$F$10:$BG$42,$A41+2,FALSE)="NE","NE",IF(HLOOKUP(O$15,Data_5!$F$10:$BG$42,$A41+2,FALSE)="C","C",IF(HLOOKUP(O$15,Data_5!$F$10:$BG$42,$A41+2,FALSE)="NO","NO",HLOOKUP(O$15,Data_5!$F$10:$BG$42,$A41+2,FALSE)/Data_5!$BH36))))),"")</f>
        <v>NO</v>
      </c>
      <c r="P41" s="1122" t="str">
        <f>IFERROR(IF(HLOOKUP(P$15,Data_5!$F$10:$BG$42,$A41+2,FALSE)="NO","NO",IF(HLOOKUP(P$15,Data_5!$F$10:$BG$42,$A41+2,FALSE)="IE","IE",IF(HLOOKUP(P$15,Data_5!$F$10:$BG$42,$A41+2,FALSE)="NE","NE",IF(HLOOKUP(P$15,Data_5!$F$10:$BG$42,$A41+2,FALSE)="C","C",IF(HLOOKUP(P$15,Data_5!$F$10:$BG$42,$A41+2,FALSE)="NO","NO",HLOOKUP(P$15,Data_5!$F$10:$BG$42,$A41+2,FALSE)/Data_5!$BH36))))),"")</f>
        <v>NO</v>
      </c>
      <c r="Q41" s="1122" t="str">
        <f>IFERROR(IF(HLOOKUP(Q$15,Data_5!$F$10:$BG$42,$A41+2,FALSE)="NO","NO",IF(HLOOKUP(Q$15,Data_5!$F$10:$BG$42,$A41+2,FALSE)="IE","IE",IF(HLOOKUP(Q$15,Data_5!$F$10:$BG$42,$A41+2,FALSE)="NE","NE",IF(HLOOKUP(Q$15,Data_5!$F$10:$BG$42,$A41+2,FALSE)="C","C",IF(HLOOKUP(Q$15,Data_5!$F$10:$BG$42,$A41+2,FALSE)="NO","NO",HLOOKUP(Q$15,Data_5!$F$10:$BG$42,$A41+2,FALSE)/Data_5!$BH36))))),"")</f>
        <v>NO</v>
      </c>
      <c r="R41" s="1122">
        <f>IFERROR(IF(HLOOKUP(R$15,Data_5!$F$10:$BG$42,$A41+2,FALSE)="NO","NO",IF(HLOOKUP(R$15,Data_5!$F$10:$BG$42,$A41+2,FALSE)="IE","IE",IF(HLOOKUP(R$15,Data_5!$F$10:$BG$42,$A41+2,FALSE)="NE","NE",IF(HLOOKUP(R$15,Data_5!$F$10:$BG$42,$A41+2,FALSE)="C","C",IF(HLOOKUP(R$15,Data_5!$F$10:$BG$42,$A41+2,FALSE)="NO","NO",HLOOKUP(R$15,Data_5!$F$10:$BG$42,$A41+2,FALSE)/Data_5!$BH36))))),"")</f>
        <v>1.5395802441998737E-5</v>
      </c>
      <c r="S41" s="1122">
        <f>IFERROR(IF(HLOOKUP(S$15,Data_5!$F$10:$BG$42,$A41+2,FALSE)="NO","NO",IF(HLOOKUP(S$15,Data_5!$F$10:$BG$42,$A41+2,FALSE)="IE","IE",IF(HLOOKUP(S$15,Data_5!$F$10:$BG$42,$A41+2,FALSE)="NE","NE",IF(HLOOKUP(S$15,Data_5!$F$10:$BG$42,$A41+2,FALSE)="C","C",IF(HLOOKUP(S$15,Data_5!$F$10:$BG$42,$A41+2,FALSE)="NO","NO",HLOOKUP(S$15,Data_5!$F$10:$BG$42,$A41+2,FALSE)/Data_5!$BH36))))),"")</f>
        <v>0.30249392714358353</v>
      </c>
      <c r="T41" s="1122" t="str">
        <f>IFERROR(IF(HLOOKUP(T$15,Data_5!$F$10:$BG$42,$A41+2,FALSE)="NO","NO",IF(HLOOKUP(T$15,Data_5!$F$10:$BG$42,$A41+2,FALSE)="IE","IE",IF(HLOOKUP(T$15,Data_5!$F$10:$BG$42,$A41+2,FALSE)="NE","NE",IF(HLOOKUP(T$15,Data_5!$F$10:$BG$42,$A41+2,FALSE)="C","C",IF(HLOOKUP(T$15,Data_5!$F$10:$BG$42,$A41+2,FALSE)="NO","NO",HLOOKUP(T$15,Data_5!$F$10:$BG$42,$A41+2,FALSE)/Data_5!$BH36))))),"")</f>
        <v>IE</v>
      </c>
      <c r="U41" s="1122" t="str">
        <f>IFERROR(IF(HLOOKUP(U$15,Data_5!$F$10:$BG$42,$A41+2,FALSE)="NO","NO",IF(HLOOKUP(U$15,Data_5!$F$10:$BG$42,$A41+2,FALSE)="IE","IE",IF(HLOOKUP(U$15,Data_5!$F$10:$BG$42,$A41+2,FALSE)="NE","NE",IF(HLOOKUP(U$15,Data_5!$F$10:$BG$42,$A41+2,FALSE)="C","C",IF(HLOOKUP(U$15,Data_5!$F$10:$BG$42,$A41+2,FALSE)="NO","NO",HLOOKUP(U$15,Data_5!$F$10:$BG$42,$A41+2,FALSE)/Data_5!$BH36))))),"")</f>
        <v>NO</v>
      </c>
      <c r="V41" s="1122">
        <f>IFERROR(IF(HLOOKUP(V$15,Data_5!$F$10:$BG$42,$A41+2,FALSE)="NO","NO",IF(HLOOKUP(V$15,Data_5!$F$10:$BG$42,$A41+2,FALSE)="IE","IE",IF(HLOOKUP(V$15,Data_5!$F$10:$BG$42,$A41+2,FALSE)="NE","NE",IF(HLOOKUP(V$15,Data_5!$F$10:$BG$42,$A41+2,FALSE)="C","C",IF(HLOOKUP(V$15,Data_5!$F$10:$BG$42,$A41+2,FALSE)="NO","NO",HLOOKUP(V$15,Data_5!$F$10:$BG$42,$A41+2,FALSE)/Data_5!$BH36))))),"")</f>
        <v>1.5484736528074677E-2</v>
      </c>
      <c r="W41" s="1122">
        <f>IFERROR(IF(HLOOKUP(W$15,Data_5!$F$10:$BG$42,$A41+2,FALSE)="NO","NO",IF(HLOOKUP(W$15,Data_5!$F$10:$BG$42,$A41+2,FALSE)="IE","IE",IF(HLOOKUP(W$15,Data_5!$F$10:$BG$42,$A41+2,FALSE)="NE","NE",IF(HLOOKUP(W$15,Data_5!$F$10:$BG$42,$A41+2,FALSE)="C","C",IF(HLOOKUP(W$15,Data_5!$F$10:$BG$42,$A41+2,FALSE)="NO","NO",HLOOKUP(W$15,Data_5!$F$10:$BG$42,$A41+2,FALSE)/Data_5!$BH36))))),"")</f>
        <v>4.2921631050420718E-2</v>
      </c>
      <c r="X41" s="1122" t="str">
        <f>IFERROR(IF(HLOOKUP(X$15,Data_5!$F$10:$BG$42,$A41+2,FALSE)="NO","NO",IF(HLOOKUP(X$15,Data_5!$F$10:$BG$42,$A41+2,FALSE)="IE","IE",IF(HLOOKUP(X$15,Data_5!$F$10:$BG$42,$A41+2,FALSE)="NE","NE",IF(HLOOKUP(X$15,Data_5!$F$10:$BG$42,$A41+2,FALSE)="C","C",IF(HLOOKUP(X$15,Data_5!$F$10:$BG$42,$A41+2,FALSE)="NO","NO",HLOOKUP(X$15,Data_5!$F$10:$BG$42,$A41+2,FALSE)/Data_5!$BH36))))),"")</f>
        <v>IE</v>
      </c>
      <c r="Y41" s="1122">
        <f>IFERROR(IF(HLOOKUP(Y$15,Data_5!$F$10:$BG$42,$A41+2,FALSE)="NO","NO",IF(HLOOKUP(Y$15,Data_5!$F$10:$BG$42,$A41+2,FALSE)="IE","IE",IF(HLOOKUP(Y$15,Data_5!$F$10:$BG$42,$A41+2,FALSE)="NE","NE",IF(HLOOKUP(Y$15,Data_5!$F$10:$BG$42,$A41+2,FALSE)="C","C",IF(HLOOKUP(Y$15,Data_5!$F$10:$BG$42,$A41+2,FALSE)="NO","NO",HLOOKUP(Y$15,Data_5!$F$10:$BG$42,$A41+2,FALSE)/Data_5!$BH36))))),"")</f>
        <v>9.2841354119931781E-3</v>
      </c>
      <c r="Z41" s="1122" t="str">
        <f>IFERROR(IF(HLOOKUP(Z$15,Data_5!$F$10:$BG$42,$A41+2,FALSE)="NO","NO",IF(HLOOKUP(Z$15,Data_5!$F$10:$BG$42,$A41+2,FALSE)="IE","IE",IF(HLOOKUP(Z$15,Data_5!$F$10:$BG$42,$A41+2,FALSE)="NE","NE",IF(HLOOKUP(Z$15,Data_5!$F$10:$BG$42,$A41+2,FALSE)="C","C",IF(HLOOKUP(Z$15,Data_5!$F$10:$BG$42,$A41+2,FALSE)="NO","NO",HLOOKUP(Z$15,Data_5!$F$10:$BG$42,$A41+2,FALSE)/Data_5!$BH36))))),"")</f>
        <v>NO</v>
      </c>
      <c r="AA41" s="1122">
        <f>IFERROR(IF(HLOOKUP(AA$15,Data_5!$F$10:$BG$42,$A41+2,FALSE)="NO","NO",IF(HLOOKUP(AA$15,Data_5!$F$10:$BG$42,$A41+2,FALSE)="IE","IE",IF(HLOOKUP(AA$15,Data_5!$F$10:$BG$42,$A41+2,FALSE)="NE","NE",IF(HLOOKUP(AA$15,Data_5!$F$10:$BG$42,$A41+2,FALSE)="C","C",IF(HLOOKUP(AA$15,Data_5!$F$10:$BG$42,$A41+2,FALSE)="NO","NO",HLOOKUP(AA$15,Data_5!$F$10:$BG$42,$A41+2,FALSE)/Data_5!$BH36))))),"")</f>
        <v>5.6637891407837773E-2</v>
      </c>
      <c r="AB41" s="1122" t="str">
        <f>IFERROR(IF(HLOOKUP(AB$15,Data_5!$F$10:$BG$42,$A41+2,FALSE)="NO","NO",IF(HLOOKUP(AB$15,Data_5!$F$10:$BG$42,$A41+2,FALSE)="IE","IE",IF(HLOOKUP(AB$15,Data_5!$F$10:$BG$42,$A41+2,FALSE)="NE","NE",IF(HLOOKUP(AB$15,Data_5!$F$10:$BG$42,$A41+2,FALSE)="C","C",IF(HLOOKUP(AB$15,Data_5!$F$10:$BG$42,$A41+2,FALSE)="NO","NO",HLOOKUP(AB$15,Data_5!$F$10:$BG$42,$A41+2,FALSE)/Data_5!$BH36))))),"")</f>
        <v>IE</v>
      </c>
      <c r="AC41" s="1122" t="str">
        <f>IFERROR(IF(HLOOKUP(AC$15,Data_5!$F$10:$BG$42,$A41+2,FALSE)="NO","NO",IF(HLOOKUP(AC$15,Data_5!$F$10:$BG$42,$A41+2,FALSE)="IE","IE",IF(HLOOKUP(AC$15,Data_5!$F$10:$BG$42,$A41+2,FALSE)="NE","NE",IF(HLOOKUP(AC$15,Data_5!$F$10:$BG$42,$A41+2,FALSE)="C","C",IF(HLOOKUP(AC$15,Data_5!$F$10:$BG$42,$A41+2,FALSE)="NO","NO",HLOOKUP(AC$15,Data_5!$F$10:$BG$42,$A41+2,FALSE)/Data_5!$BH36))))),"")</f>
        <v>NO</v>
      </c>
      <c r="AD41" s="1122" t="str">
        <f>IFERROR(IF(HLOOKUP(AD$15,Data_5!$F$10:$BG$42,$A41+2,FALSE)="NO","NO",IF(HLOOKUP(AD$15,Data_5!$F$10:$BG$42,$A41+2,FALSE)="IE","IE",IF(HLOOKUP(AD$15,Data_5!$F$10:$BG$42,$A41+2,FALSE)="NE","NE",IF(HLOOKUP(AD$15,Data_5!$F$10:$BG$42,$A41+2,FALSE)="C","C",IF(HLOOKUP(AD$15,Data_5!$F$10:$BG$42,$A41+2,FALSE)="NO","NO",HLOOKUP(AD$15,Data_5!$F$10:$BG$42,$A41+2,FALSE)/Data_5!$BH36))))),"")</f>
        <v>NO</v>
      </c>
      <c r="AE41" s="1122" t="str">
        <f>IFERROR(IF(HLOOKUP(AE$15,Data_5!$F$10:$BG$42,$A41+2,FALSE)="NO","NO",IF(HLOOKUP(AE$15,Data_5!$F$10:$BG$42,$A41+2,FALSE)="IE","IE",IF(HLOOKUP(AE$15,Data_5!$F$10:$BG$42,$A41+2,FALSE)="NE","NE",IF(HLOOKUP(AE$15,Data_5!$F$10:$BG$42,$A41+2,FALSE)="C","C",IF(HLOOKUP(AE$15,Data_5!$F$10:$BG$42,$A41+2,FALSE)="NO","NO",HLOOKUP(AE$15,Data_5!$F$10:$BG$42,$A41+2,FALSE)/Data_5!$BH36))))),"")</f>
        <v>IE</v>
      </c>
      <c r="AF41" s="1122" t="str">
        <f>IFERROR(IF(HLOOKUP(AF$15,Data_5!$F$10:$BG$42,$A41+2,FALSE)="NO","NO",IF(HLOOKUP(AF$15,Data_5!$F$10:$BG$42,$A41+2,FALSE)="IE","IE",IF(HLOOKUP(AF$15,Data_5!$F$10:$BG$42,$A41+2,FALSE)="NE","NE",IF(HLOOKUP(AF$15,Data_5!$F$10:$BG$42,$A41+2,FALSE)="C","C",IF(HLOOKUP(AF$15,Data_5!$F$10:$BG$42,$A41+2,FALSE)="NO","NO",HLOOKUP(AF$15,Data_5!$F$10:$BG$42,$A41+2,FALSE)/Data_5!$BH36))))),"")</f>
        <v>IE</v>
      </c>
      <c r="AG41" s="1122" t="str">
        <f>IFERROR(IF(HLOOKUP(AG$15,Data_5!$F$10:$BG$42,$A41+2,FALSE)="NO","NO",IF(HLOOKUP(AG$15,Data_5!$F$10:$BG$42,$A41+2,FALSE)="IE","IE",IF(HLOOKUP(AG$15,Data_5!$F$10:$BG$42,$A41+2,FALSE)="NE","NE",IF(HLOOKUP(AG$15,Data_5!$F$10:$BG$42,$A41+2,FALSE)="C","C",IF(HLOOKUP(AG$15,Data_5!$F$10:$BG$42,$A41+2,FALSE)="NO","NO",HLOOKUP(AG$15,Data_5!$F$10:$BG$42,$A41+2,FALSE)/Data_5!$BH36))))),"")</f>
        <v>IE</v>
      </c>
      <c r="AH41" s="1122" t="str">
        <f>IFERROR(IF(HLOOKUP(AH$15,Data_5!$F$10:$BG$42,$A41+2,FALSE)="NO","NO",IF(HLOOKUP(AH$15,Data_5!$F$10:$BG$42,$A41+2,FALSE)="IE","IE",IF(HLOOKUP(AH$15,Data_5!$F$10:$BG$42,$A41+2,FALSE)="NE","NE",IF(HLOOKUP(AH$15,Data_5!$F$10:$BG$42,$A41+2,FALSE)="C","C",IF(HLOOKUP(AH$15,Data_5!$F$10:$BG$42,$A41+2,FALSE)="NO","NO",HLOOKUP(AH$15,Data_5!$F$10:$BG$42,$A41+2,FALSE)/Data_5!$BH36))))),"")</f>
        <v>NO</v>
      </c>
      <c r="AI41" s="1122">
        <f>IFERROR(IF(HLOOKUP(AI$15,Data_5!$F$10:$BG$42,$A41+2,FALSE)="NO","NO",IF(HLOOKUP(AI$15,Data_5!$F$10:$BG$42,$A41+2,FALSE)="IE","IE",IF(HLOOKUP(AI$15,Data_5!$F$10:$BG$42,$A41+2,FALSE)="NE","NE",IF(HLOOKUP(AI$15,Data_5!$F$10:$BG$42,$A41+2,FALSE)="C","C",IF(HLOOKUP(AI$15,Data_5!$F$10:$BG$42,$A41+2,FALSE)="NO","NO",HLOOKUP(AI$15,Data_5!$F$10:$BG$42,$A41+2,FALSE)/Data_5!$BH36))))),"")</f>
        <v>3.6219035286340403E-3</v>
      </c>
      <c r="AJ41" s="1122" t="str">
        <f>IFERROR(IF(HLOOKUP(AJ$15,Data_5!$F$10:$BG$42,$A41+2,FALSE)="NO","NO",IF(HLOOKUP(AJ$15,Data_5!$F$10:$BG$42,$A41+2,FALSE)="IE","IE",IF(HLOOKUP(AJ$15,Data_5!$F$10:$BG$42,$A41+2,FALSE)="NE","NE",IF(HLOOKUP(AJ$15,Data_5!$F$10:$BG$42,$A41+2,FALSE)="C","C",IF(HLOOKUP(AJ$15,Data_5!$F$10:$BG$42,$A41+2,FALSE)="NO","NO",HLOOKUP(AJ$15,Data_5!$F$10:$BG$42,$A41+2,FALSE)/Data_5!$BH36))))),"")</f>
        <v>IE</v>
      </c>
      <c r="AK41" s="15"/>
      <c r="AL41" s="2628" t="str">
        <f t="shared" si="0"/>
        <v>Stockholm</v>
      </c>
      <c r="AM41" s="2629"/>
      <c r="AN41" s="1100">
        <f t="shared" si="1"/>
        <v>2012</v>
      </c>
      <c r="AO41" s="1122" t="str">
        <f>IFERROR(IF(VLOOKUP($AL41,Data_5!$B$12:$E$42,4,FALSE)="BASIC","",(IF(HLOOKUP(AO$15,Data_5!$F$10:$BG$42,$A41+2,FALSE)="NO","NO",IF(HLOOKUP(AO$15,Data_5!$F$10:$BG$42,$A41+2,FALSE)="IE","IE",IF(HLOOKUP(AO$15,Data_5!$F$10:$BG$42,$A41+2,FALSE)="NE","NE",IF(HLOOKUP(AO$15,Data_5!$F$10:$BG$42,$A41+2,FALSE)="C","C",IF(HLOOKUP(AO$15,Data_5!$F$10:$BG$42,$A41+2,FALSE)="NO","NO",HLOOKUP(AO$15,Data_5!$F$10:$BG$42,$A41+2,FALSE)/Data_5!$BI36))))))),"")</f>
        <v/>
      </c>
      <c r="AP41" s="1122" t="str">
        <f>IFERROR(IF(VLOOKUP($AL41,Data_5!$B$12:$E$42,4,FALSE)="BASIC","",(IF(HLOOKUP(AP$15,Data_5!$F$10:$BG$42,$A41+2,FALSE)="NO","NO",IF(HLOOKUP(AP$15,Data_5!$F$10:$BG$42,$A41+2,FALSE)="IE","IE",IF(HLOOKUP(AP$15,Data_5!$F$10:$BG$42,$A41+2,FALSE)="NE","NE",IF(HLOOKUP(AP$15,Data_5!$F$10:$BG$42,$A41+2,FALSE)="C","C",IF(HLOOKUP(AP$15,Data_5!$F$10:$BG$42,$A41+2,FALSE)="NO","NO",HLOOKUP(AP$15,Data_5!$F$10:$BG$42,$A41+2,FALSE)/Data_5!$BI36))))))),"")</f>
        <v/>
      </c>
      <c r="AQ41" s="1122" t="str">
        <f>IFERROR(IF(VLOOKUP($AL41,Data_5!$B$12:$E$42,4,FALSE)="BASIC","",(IF(HLOOKUP(AQ$15,Data_5!$F$10:$BG$42,$A41+2,FALSE)="NO","NO",IF(HLOOKUP(AQ$15,Data_5!$F$10:$BG$42,$A41+2,FALSE)="IE","IE",IF(HLOOKUP(AQ$15,Data_5!$F$10:$BG$42,$A41+2,FALSE)="NE","NE",IF(HLOOKUP(AQ$15,Data_5!$F$10:$BG$42,$A41+2,FALSE)="C","C",IF(HLOOKUP(AQ$15,Data_5!$F$10:$BG$42,$A41+2,FALSE)="NO","NO",HLOOKUP(AQ$15,Data_5!$F$10:$BG$42,$A41+2,FALSE)/Data_5!$BI36))))))),"")</f>
        <v/>
      </c>
      <c r="AR41" s="1122" t="str">
        <f>IFERROR(IF(VLOOKUP($AL41,Data_5!$B$12:$E$42,4,FALSE)="BASIC","",(IF(HLOOKUP(AR$15,Data_5!$F$10:$BG$42,$A41+2,FALSE)="NO","NO",IF(HLOOKUP(AR$15,Data_5!$F$10:$BG$42,$A41+2,FALSE)="IE","IE",IF(HLOOKUP(AR$15,Data_5!$F$10:$BG$42,$A41+2,FALSE)="NE","NE",IF(HLOOKUP(AR$15,Data_5!$F$10:$BG$42,$A41+2,FALSE)="C","C",IF(HLOOKUP(AR$15,Data_5!$F$10:$BG$42,$A41+2,FALSE)="NO","NO",HLOOKUP(AR$15,Data_5!$F$10:$BG$42,$A41+2,FALSE)/Data_5!$BI36))))))),"")</f>
        <v/>
      </c>
      <c r="AS41" s="1122" t="str">
        <f>IFERROR(IF(VLOOKUP($AL41,Data_5!$B$12:$E$42,4,FALSE)="BASIC","",(IF(HLOOKUP(AS$15,Data_5!$F$10:$BG$42,$A41+2,FALSE)="NO","NO",IF(HLOOKUP(AS$15,Data_5!$F$10:$BG$42,$A41+2,FALSE)="IE","IE",IF(HLOOKUP(AS$15,Data_5!$F$10:$BG$42,$A41+2,FALSE)="NE","NE",IF(HLOOKUP(AS$15,Data_5!$F$10:$BG$42,$A41+2,FALSE)="C","C",IF(HLOOKUP(AS$15,Data_5!$F$10:$BG$42,$A41+2,FALSE)="NO","NO",HLOOKUP(AS$15,Data_5!$F$10:$BG$42,$A41+2,FALSE)/Data_5!$BI36))))))),"")</f>
        <v/>
      </c>
      <c r="AT41" s="1122" t="str">
        <f>IFERROR(IF(VLOOKUP($AL41,Data_5!$B$12:$E$42,4,FALSE)="BASIC","",(IF(HLOOKUP(AT$15,Data_5!$F$10:$BG$42,$A41+2,FALSE)="NO","NO",IF(HLOOKUP(AT$15,Data_5!$F$10:$BG$42,$A41+2,FALSE)="IE","IE",IF(HLOOKUP(AT$15,Data_5!$F$10:$BG$42,$A41+2,FALSE)="NE","NE",IF(HLOOKUP(AT$15,Data_5!$F$10:$BG$42,$A41+2,FALSE)="C","C",IF(HLOOKUP(AT$15,Data_5!$F$10:$BG$42,$A41+2,FALSE)="NO","NO",HLOOKUP(AT$15,Data_5!$F$10:$BG$42,$A41+2,FALSE)/Data_5!$BI36))))))),"")</f>
        <v/>
      </c>
      <c r="AU41" s="1122" t="str">
        <f>IFERROR(IF(VLOOKUP($AL41,Data_5!$B$12:$E$42,4,FALSE)="BASIC","",(IF(HLOOKUP(AU$15,Data_5!$F$10:$BG$42,$A41+2,FALSE)="NO","NO",IF(HLOOKUP(AU$15,Data_5!$F$10:$BG$42,$A41+2,FALSE)="IE","IE",IF(HLOOKUP(AU$15,Data_5!$F$10:$BG$42,$A41+2,FALSE)="NE","NE",IF(HLOOKUP(AU$15,Data_5!$F$10:$BG$42,$A41+2,FALSE)="C","C",IF(HLOOKUP(AU$15,Data_5!$F$10:$BG$42,$A41+2,FALSE)="NO","NO",HLOOKUP(AU$15,Data_5!$F$10:$BG$42,$A41+2,FALSE)/Data_5!$BI36))))))),"")</f>
        <v/>
      </c>
      <c r="AV41" s="1122" t="str">
        <f>IFERROR(IF(VLOOKUP($AL41,Data_5!$B$12:$E$42,4,FALSE)="BASIC","",(IF(HLOOKUP(AV$15,Data_5!$F$10:$BG$42,$A41+2,FALSE)="NO","NO",IF(HLOOKUP(AV$15,Data_5!$F$10:$BG$42,$A41+2,FALSE)="IE","IE",IF(HLOOKUP(AV$15,Data_5!$F$10:$BG$42,$A41+2,FALSE)="NE","NE",IF(HLOOKUP(AV$15,Data_5!$F$10:$BG$42,$A41+2,FALSE)="C","C",IF(HLOOKUP(AV$15,Data_5!$F$10:$BG$42,$A41+2,FALSE)="NO","NO",HLOOKUP(AV$15,Data_5!$F$10:$BG$42,$A41+2,FALSE)/Data_5!$BI36))))))),"")</f>
        <v/>
      </c>
      <c r="AW41" s="1122" t="str">
        <f>IFERROR(IF(VLOOKUP($AL41,Data_5!$B$12:$E$42,4,FALSE)="BASIC","",(IF(HLOOKUP(AW$15,Data_5!$F$10:$BG$42,$A41+2,FALSE)="NO","NO",IF(HLOOKUP(AW$15,Data_5!$F$10:$BG$42,$A41+2,FALSE)="IE","IE",IF(HLOOKUP(AW$15,Data_5!$F$10:$BG$42,$A41+2,FALSE)="NE","NE",IF(HLOOKUP(AW$15,Data_5!$F$10:$BG$42,$A41+2,FALSE)="C","C",IF(HLOOKUP(AW$15,Data_5!$F$10:$BG$42,$A41+2,FALSE)="NO","NO",HLOOKUP(AW$15,Data_5!$F$10:$BG$42,$A41+2,FALSE)/Data_5!$BI36))))))),"")</f>
        <v/>
      </c>
      <c r="AX41" s="1122" t="str">
        <f>IFERROR(IF(VLOOKUP($AL41,Data_5!$B$12:$E$42,4,FALSE)="BASIC","",(IF(HLOOKUP(AX$15,Data_5!$F$10:$BG$42,$A41+2,FALSE)="NO","NO",IF(HLOOKUP(AX$15,Data_5!$F$10:$BG$42,$A41+2,FALSE)="IE","IE",IF(HLOOKUP(AX$15,Data_5!$F$10:$BG$42,$A41+2,FALSE)="NE","NE",IF(HLOOKUP(AX$15,Data_5!$F$10:$BG$42,$A41+2,FALSE)="C","C",IF(HLOOKUP(AX$15,Data_5!$F$10:$BG$42,$A41+2,FALSE)="NO","NO",HLOOKUP(AX$15,Data_5!$F$10:$BG$42,$A41+2,FALSE)/Data_5!$BI36))))))),"")</f>
        <v/>
      </c>
      <c r="AY41" s="1122" t="str">
        <f>IFERROR(IF(VLOOKUP($AL41,Data_5!$B$12:$E$42,4,FALSE)="BASIC","",(IF(HLOOKUP(AY$15,Data_5!$F$10:$BG$42,$A41+2,FALSE)="NO","NO",IF(HLOOKUP(AY$15,Data_5!$F$10:$BG$42,$A41+2,FALSE)="IE","IE",IF(HLOOKUP(AY$15,Data_5!$F$10:$BG$42,$A41+2,FALSE)="NE","NE",IF(HLOOKUP(AY$15,Data_5!$F$10:$BG$42,$A41+2,FALSE)="C","C",IF(HLOOKUP(AY$15,Data_5!$F$10:$BG$42,$A41+2,FALSE)="NO","NO",HLOOKUP(AY$15,Data_5!$F$10:$BG$42,$A41+2,FALSE)/Data_5!$BI36))))))),"")</f>
        <v/>
      </c>
      <c r="AZ41" s="1122" t="str">
        <f>IFERROR(IF(VLOOKUP($AL41,Data_5!$B$12:$E$42,4,FALSE)="BASIC","",(IF(HLOOKUP(AZ$15,Data_5!$F$10:$BG$42,$A41+2,FALSE)="NO","NO",IF(HLOOKUP(AZ$15,Data_5!$F$10:$BG$42,$A41+2,FALSE)="IE","IE",IF(HLOOKUP(AZ$15,Data_5!$F$10:$BG$42,$A41+2,FALSE)="NE","NE",IF(HLOOKUP(AZ$15,Data_5!$F$10:$BG$42,$A41+2,FALSE)="C","C",IF(HLOOKUP(AZ$15,Data_5!$F$10:$BG$42,$A41+2,FALSE)="NO","NO",HLOOKUP(AZ$15,Data_5!$F$10:$BG$42,$A41+2,FALSE)/Data_5!$BI36))))))),"")</f>
        <v/>
      </c>
      <c r="BA41" s="1122" t="str">
        <f>IFERROR(IF(VLOOKUP($AL41,Data_5!$B$12:$E$42,4,FALSE)="BASIC","",(IF(HLOOKUP(BA$15,Data_5!$F$10:$BG$42,$A41+2,FALSE)="NO","NO",IF(HLOOKUP(BA$15,Data_5!$F$10:$BG$42,$A41+2,FALSE)="IE","IE",IF(HLOOKUP(BA$15,Data_5!$F$10:$BG$42,$A41+2,FALSE)="NE","NE",IF(HLOOKUP(BA$15,Data_5!$F$10:$BG$42,$A41+2,FALSE)="C","C",IF(HLOOKUP(BA$15,Data_5!$F$10:$BG$42,$A41+2,FALSE)="NO","NO",HLOOKUP(BA$15,Data_5!$F$10:$BG$42,$A41+2,FALSE)/Data_5!$BI36))))))),"")</f>
        <v/>
      </c>
      <c r="BB41" s="1122" t="str">
        <f>IFERROR(IF(VLOOKUP($AL41,Data_5!$B$12:$E$42,4,FALSE)="BASIC","",(IF(HLOOKUP(BB$15,Data_5!$F$10:$BG$42,$A41+2,FALSE)="NO","NO",IF(HLOOKUP(BB$15,Data_5!$F$10:$BG$42,$A41+2,FALSE)="IE","IE",IF(HLOOKUP(BB$15,Data_5!$F$10:$BG$42,$A41+2,FALSE)="NE","NE",IF(HLOOKUP(BB$15,Data_5!$F$10:$BG$42,$A41+2,FALSE)="C","C",IF(HLOOKUP(BB$15,Data_5!$F$10:$BG$42,$A41+2,FALSE)="NO","NO",HLOOKUP(BB$15,Data_5!$F$10:$BG$42,$A41+2,FALSE)/Data_5!$BI36))))))),"")</f>
        <v/>
      </c>
      <c r="BC41" s="1122" t="str">
        <f>IFERROR(IF(VLOOKUP($AL41,Data_5!$B$12:$E$42,4,FALSE)="BASIC","",(IF(HLOOKUP(BC$15,Data_5!$F$10:$BG$42,$A41+2,FALSE)="NO","NO",IF(HLOOKUP(BC$15,Data_5!$F$10:$BG$42,$A41+2,FALSE)="IE","IE",IF(HLOOKUP(BC$15,Data_5!$F$10:$BG$42,$A41+2,FALSE)="NE","NE",IF(HLOOKUP(BC$15,Data_5!$F$10:$BG$42,$A41+2,FALSE)="C","C",IF(HLOOKUP(BC$15,Data_5!$F$10:$BG$42,$A41+2,FALSE)="NO","NO",HLOOKUP(BC$15,Data_5!$F$10:$BG$42,$A41+2,FALSE)/Data_5!$BI36))))))),"")</f>
        <v/>
      </c>
      <c r="BD41" s="1122" t="str">
        <f>IFERROR(IF(VLOOKUP($AL41,Data_5!$B$12:$E$42,4,FALSE)="BASIC","",(IF(HLOOKUP(BD$15,Data_5!$F$10:$BG$42,$A41+2,FALSE)="NO","NO",IF(HLOOKUP(BD$15,Data_5!$F$10:$BG$42,$A41+2,FALSE)="IE","IE",IF(HLOOKUP(BD$15,Data_5!$F$10:$BG$42,$A41+2,FALSE)="NE","NE",IF(HLOOKUP(BD$15,Data_5!$F$10:$BG$42,$A41+2,FALSE)="C","C",IF(HLOOKUP(BD$15,Data_5!$F$10:$BG$42,$A41+2,FALSE)="NO","NO",HLOOKUP(BD$15,Data_5!$F$10:$BG$42,$A41+2,FALSE)/Data_5!$BI36))))))),"")</f>
        <v/>
      </c>
      <c r="BE41" s="1122" t="str">
        <f>IFERROR(IF(VLOOKUP($AL41,Data_5!$B$12:$E$42,4,FALSE)="BASIC","",(IF(HLOOKUP(BE$15,Data_5!$F$10:$BG$42,$A41+2,FALSE)="NO","NO",IF(HLOOKUP(BE$15,Data_5!$F$10:$BG$42,$A41+2,FALSE)="IE","IE",IF(HLOOKUP(BE$15,Data_5!$F$10:$BG$42,$A41+2,FALSE)="NE","NE",IF(HLOOKUP(BE$15,Data_5!$F$10:$BG$42,$A41+2,FALSE)="C","C",IF(HLOOKUP(BE$15,Data_5!$F$10:$BG$42,$A41+2,FALSE)="NO","NO",HLOOKUP(BE$15,Data_5!$F$10:$BG$42,$A41+2,FALSE)/Data_5!$BI36))))))),"")</f>
        <v/>
      </c>
      <c r="BF41" s="1122" t="str">
        <f>IFERROR(IF(VLOOKUP($AL41,Data_5!$B$12:$E$42,4,FALSE)="BASIC","",(IF(HLOOKUP(BF$15,Data_5!$F$10:$BG$42,$A41+2,FALSE)="NO","NO",IF(HLOOKUP(BF$15,Data_5!$F$10:$BG$42,$A41+2,FALSE)="IE","IE",IF(HLOOKUP(BF$15,Data_5!$F$10:$BG$42,$A41+2,FALSE)="NE","NE",IF(HLOOKUP(BF$15,Data_5!$F$10:$BG$42,$A41+2,FALSE)="C","C",IF(HLOOKUP(BF$15,Data_5!$F$10:$BG$42,$A41+2,FALSE)="NO","NO",HLOOKUP(BF$15,Data_5!$F$10:$BG$42,$A41+2,FALSE)/Data_5!$BI36))))))),"")</f>
        <v/>
      </c>
      <c r="BG41" s="1122" t="str">
        <f>IFERROR(IF(VLOOKUP($AL41,Data_5!$B$12:$E$42,4,FALSE)="BASIC","",(IF(HLOOKUP(BG$15,Data_5!$F$10:$BG$42,$A41+2,FALSE)="NO","NO",IF(HLOOKUP(BG$15,Data_5!$F$10:$BG$42,$A41+2,FALSE)="IE","IE",IF(HLOOKUP(BG$15,Data_5!$F$10:$BG$42,$A41+2,FALSE)="NE","NE",IF(HLOOKUP(BG$15,Data_5!$F$10:$BG$42,$A41+2,FALSE)="C","C",IF(HLOOKUP(BG$15,Data_5!$F$10:$BG$42,$A41+2,FALSE)="NO","NO",HLOOKUP(BG$15,Data_5!$F$10:$BG$42,$A41+2,FALSE)/Data_5!$BI36))))))),"")</f>
        <v/>
      </c>
      <c r="BH41" s="1122" t="str">
        <f>IFERROR(IF(VLOOKUP($AL41,Data_5!$B$12:$E$42,4,FALSE)="BASIC","",(IF(HLOOKUP(BH$15,Data_5!$F$10:$BG$42,$A41+2,FALSE)="NO","NO",IF(HLOOKUP(BH$15,Data_5!$F$10:$BG$42,$A41+2,FALSE)="IE","IE",IF(HLOOKUP(BH$15,Data_5!$F$10:$BG$42,$A41+2,FALSE)="NE","NE",IF(HLOOKUP(BH$15,Data_5!$F$10:$BG$42,$A41+2,FALSE)="C","C",IF(HLOOKUP(BH$15,Data_5!$F$10:$BG$42,$A41+2,FALSE)="NO","NO",HLOOKUP(BH$15,Data_5!$F$10:$BG$42,$A41+2,FALSE)/Data_5!$BI36))))))),"")</f>
        <v/>
      </c>
      <c r="BI41" s="1122" t="str">
        <f>IFERROR(IF(VLOOKUP($AL41,Data_5!$B$12:$E$42,4,FALSE)="BASIC","",(IF(HLOOKUP(BI$15,Data_5!$F$10:$BG$42,$A41+2,FALSE)="NO","NO",IF(HLOOKUP(BI$15,Data_5!$F$10:$BG$42,$A41+2,FALSE)="IE","IE",IF(HLOOKUP(BI$15,Data_5!$F$10:$BG$42,$A41+2,FALSE)="NE","NE",IF(HLOOKUP(BI$15,Data_5!$F$10:$BG$42,$A41+2,FALSE)="C","C",IF(HLOOKUP(BI$15,Data_5!$F$10:$BG$42,$A41+2,FALSE)="NO","NO",HLOOKUP(BI$15,Data_5!$F$10:$BG$42,$A41+2,FALSE)/Data_5!$BI36))))))),"")</f>
        <v/>
      </c>
      <c r="BJ41" s="1122" t="str">
        <f>IFERROR(IF(VLOOKUP($AL41,Data_5!$B$12:$E$42,4,FALSE)="BASIC","",(IF(HLOOKUP(BJ$15,Data_5!$F$10:$BG$42,$A41+2,FALSE)="NO","NO",IF(HLOOKUP(BJ$15,Data_5!$F$10:$BG$42,$A41+2,FALSE)="IE","IE",IF(HLOOKUP(BJ$15,Data_5!$F$10:$BG$42,$A41+2,FALSE)="NE","NE",IF(HLOOKUP(BJ$15,Data_5!$F$10:$BG$42,$A41+2,FALSE)="C","C",IF(HLOOKUP(BJ$15,Data_5!$F$10:$BG$42,$A41+2,FALSE)="NO","NO",HLOOKUP(BJ$15,Data_5!$F$10:$BG$42,$A41+2,FALSE)/Data_5!$BI36))))))),"")</f>
        <v/>
      </c>
      <c r="BK41" s="1122" t="str">
        <f>IFERROR(IF(VLOOKUP($AL41,Data_5!$B$12:$E$42,4,FALSE)="BASIC","",(IF(HLOOKUP(BK$15,Data_5!$F$10:$BG$42,$A41+2,FALSE)="NO","NO",IF(HLOOKUP(BK$15,Data_5!$F$10:$BG$42,$A41+2,FALSE)="IE","IE",IF(HLOOKUP(BK$15,Data_5!$F$10:$BG$42,$A41+2,FALSE)="NE","NE",IF(HLOOKUP(BK$15,Data_5!$F$10:$BG$42,$A41+2,FALSE)="C","C",IF(HLOOKUP(BK$15,Data_5!$F$10:$BG$42,$A41+2,FALSE)="NO","NO",HLOOKUP(BK$15,Data_5!$F$10:$BG$42,$A41+2,FALSE)/Data_5!$BI36))))))),"")</f>
        <v/>
      </c>
      <c r="BL41" s="1122" t="str">
        <f>IFERROR(IF(VLOOKUP($AL41,Data_5!$B$12:$E$42,4,FALSE)="BASIC","",(IF(HLOOKUP(BL$15,Data_5!$F$10:$BG$42,$A41+2,FALSE)="NO","NO",IF(HLOOKUP(BL$15,Data_5!$F$10:$BG$42,$A41+2,FALSE)="IE","IE",IF(HLOOKUP(BL$15,Data_5!$F$10:$BG$42,$A41+2,FALSE)="NE","NE",IF(HLOOKUP(BL$15,Data_5!$F$10:$BG$42,$A41+2,FALSE)="C","C",IF(HLOOKUP(BL$15,Data_5!$F$10:$BG$42,$A41+2,FALSE)="NO","NO",HLOOKUP(BL$15,Data_5!$F$10:$BG$42,$A41+2,FALSE)/Data_5!$BI36))))))),"")</f>
        <v/>
      </c>
      <c r="BM41" s="1122" t="str">
        <f>IFERROR(IF(VLOOKUP($AL41,Data_5!$B$12:$E$42,4,FALSE)="BASIC","",(IF(HLOOKUP(BM$15,Data_5!$F$10:$BG$42,$A41+2,FALSE)="NO","NO",IF(HLOOKUP(BM$15,Data_5!$F$10:$BG$42,$A41+2,FALSE)="IE","IE",IF(HLOOKUP(BM$15,Data_5!$F$10:$BG$42,$A41+2,FALSE)="NE","NE",IF(HLOOKUP(BM$15,Data_5!$F$10:$BG$42,$A41+2,FALSE)="C","C",IF(HLOOKUP(BM$15,Data_5!$F$10:$BG$42,$A41+2,FALSE)="NO","NO",HLOOKUP(BM$15,Data_5!$F$10:$BG$42,$A41+2,FALSE)/Data_5!$BI36))))))),"")</f>
        <v/>
      </c>
      <c r="BN41" s="1122" t="str">
        <f>IFERROR(IF(VLOOKUP($AL41,Data_5!$B$12:$E$42,4,FALSE)="BASIC","",(IF(HLOOKUP(BN$15,Data_5!$F$10:$BG$42,$A41+2,FALSE)="NO","NO",IF(HLOOKUP(BN$15,Data_5!$F$10:$BG$42,$A41+2,FALSE)="IE","IE",IF(HLOOKUP(BN$15,Data_5!$F$10:$BG$42,$A41+2,FALSE)="NE","NE",IF(HLOOKUP(BN$15,Data_5!$F$10:$BG$42,$A41+2,FALSE)="C","C",IF(HLOOKUP(BN$15,Data_5!$F$10:$BG$42,$A41+2,FALSE)="NO","NO",HLOOKUP(BN$15,Data_5!$F$10:$BG$42,$A41+2,FALSE)/Data_5!$BI36))))))),"")</f>
        <v/>
      </c>
      <c r="BO41" s="1122" t="str">
        <f>IFERROR(IF(VLOOKUP($AL41,Data_5!$B$12:$E$42,4,FALSE)="BASIC","",(IF(HLOOKUP(BO$15,Data_5!$F$10:$BG$42,$A41+2,FALSE)="NO","NO",IF(HLOOKUP(BO$15,Data_5!$F$10:$BG$42,$A41+2,FALSE)="IE","IE",IF(HLOOKUP(BO$15,Data_5!$F$10:$BG$42,$A41+2,FALSE)="NE","NE",IF(HLOOKUP(BO$15,Data_5!$F$10:$BG$42,$A41+2,FALSE)="C","C",IF(HLOOKUP(BO$15,Data_5!$F$10:$BG$42,$A41+2,FALSE)="NO","NO",HLOOKUP(BO$15,Data_5!$F$10:$BG$42,$A41+2,FALSE)/Data_5!$BI36))))))),"")</f>
        <v/>
      </c>
      <c r="BP41" s="1122" t="str">
        <f>IFERROR(IF(VLOOKUP($AL41,Data_5!$B$12:$E$42,4,FALSE)="BASIC","",(IF(HLOOKUP(BP$15,Data_5!$F$10:$BG$42,$A41+2,FALSE)="NO","NO",IF(HLOOKUP(BP$15,Data_5!$F$10:$BG$42,$A41+2,FALSE)="IE","IE",IF(HLOOKUP(BP$15,Data_5!$F$10:$BG$42,$A41+2,FALSE)="NE","NE",IF(HLOOKUP(BP$15,Data_5!$F$10:$BG$42,$A41+2,FALSE)="C","C",IF(HLOOKUP(BP$15,Data_5!$F$10:$BG$42,$A41+2,FALSE)="NO","NO",HLOOKUP(BP$15,Data_5!$F$10:$BG$42,$A41+2,FALSE)/Data_5!$BI36))))))),"")</f>
        <v/>
      </c>
      <c r="BQ41" s="1122" t="str">
        <f>IFERROR(IF(VLOOKUP($AL41,Data_5!$B$12:$E$42,4,FALSE)="BASIC","",(IF(HLOOKUP(BQ$15,Data_5!$F$10:$BG$42,$A41+2,FALSE)="NO","NO",IF(HLOOKUP(BQ$15,Data_5!$F$10:$BG$42,$A41+2,FALSE)="IE","IE",IF(HLOOKUP(BQ$15,Data_5!$F$10:$BG$42,$A41+2,FALSE)="NE","NE",IF(HLOOKUP(BQ$15,Data_5!$F$10:$BG$42,$A41+2,FALSE)="C","C",IF(HLOOKUP(BQ$15,Data_5!$F$10:$BG$42,$A41+2,FALSE)="NO","NO",HLOOKUP(BQ$15,Data_5!$F$10:$BG$42,$A41+2,FALSE)/Data_5!$BI36))))))),"")</f>
        <v/>
      </c>
      <c r="BR41" s="1122" t="str">
        <f>IFERROR(IF(VLOOKUP($AL41,Data_5!$B$12:$E$42,4,FALSE)="BASIC","",(IF(HLOOKUP(BR$15,Data_5!$F$10:$BG$42,$A41+2,FALSE)="NO","NO",IF(HLOOKUP(BR$15,Data_5!$F$10:$BG$42,$A41+2,FALSE)="IE","IE",IF(HLOOKUP(BR$15,Data_5!$F$10:$BG$42,$A41+2,FALSE)="NE","NE",IF(HLOOKUP(BR$15,Data_5!$F$10:$BG$42,$A41+2,FALSE)="C","C",IF(HLOOKUP(BR$15,Data_5!$F$10:$BG$42,$A41+2,FALSE)="NO","NO",HLOOKUP(BR$15,Data_5!$F$10:$BG$42,$A41+2,FALSE)/Data_5!$BI36))))))),"")</f>
        <v/>
      </c>
      <c r="BS41" s="1122" t="str">
        <f>IFERROR(IF(VLOOKUP($AL41,Data_5!$B$12:$E$42,4,FALSE)="BASIC","",(IF(HLOOKUP(BS$15,Data_5!$F$10:$BG$42,$A41+2,FALSE)="NO","NO",IF(HLOOKUP(BS$15,Data_5!$F$10:$BG$42,$A41+2,FALSE)="IE","IE",IF(HLOOKUP(BS$15,Data_5!$F$10:$BG$42,$A41+2,FALSE)="NE","NE",IF(HLOOKUP(BS$15,Data_5!$F$10:$BG$42,$A41+2,FALSE)="C","C",IF(HLOOKUP(BS$15,Data_5!$F$10:$BG$42,$A41+2,FALSE)="NO","NO",HLOOKUP(BS$15,Data_5!$F$10:$BG$42,$A41+2,FALSE)/Data_5!$BI36))))))),"")</f>
        <v/>
      </c>
      <c r="BT41" s="1122" t="str">
        <f>IFERROR(IF(VLOOKUP($AL41,Data_5!$B$12:$E$42,4,FALSE)="BASIC","",(IF(HLOOKUP(BT$15,Data_5!$F$10:$BG$42,$A41+2,FALSE)="NO","NO",IF(HLOOKUP(BT$15,Data_5!$F$10:$BG$42,$A41+2,FALSE)="IE","IE",IF(HLOOKUP(BT$15,Data_5!$F$10:$BG$42,$A41+2,FALSE)="NE","NE",IF(HLOOKUP(BT$15,Data_5!$F$10:$BG$42,$A41+2,FALSE)="C","C",IF(HLOOKUP(BT$15,Data_5!$F$10:$BG$42,$A41+2,FALSE)="NO","NO",HLOOKUP(BT$15,Data_5!$F$10:$BG$42,$A41+2,FALSE)/Data_5!$BI36))))))),"")</f>
        <v/>
      </c>
      <c r="BU41" s="1122" t="str">
        <f>IFERROR(IF(VLOOKUP($AL41,Data_5!$B$12:$E$42,4,FALSE)="BASIC","",(IF(HLOOKUP(BU$15,Data_5!$F$10:$BG$42,$A41+2,FALSE)="NO","NO",IF(HLOOKUP(BU$15,Data_5!$F$10:$BG$42,$A41+2,FALSE)="IE","IE",IF(HLOOKUP(BU$15,Data_5!$F$10:$BG$42,$A41+2,FALSE)="NE","NE",IF(HLOOKUP(BU$15,Data_5!$F$10:$BG$42,$A41+2,FALSE)="C","C",IF(HLOOKUP(BU$15,Data_5!$F$10:$BG$42,$A41+2,FALSE)="NO","NO",HLOOKUP(BU$15,Data_5!$F$10:$BG$42,$A41+2,FALSE)/Data_5!$BI36))))))),"")</f>
        <v/>
      </c>
      <c r="BV41" s="1122" t="str">
        <f>IFERROR(IF(VLOOKUP($AL41,Data_5!$B$12:$E$42,4,FALSE)="BASIC","",(IF(HLOOKUP(BV$15,Data_5!$F$10:$BG$42,$A41+2,FALSE)="NO","NO",IF(HLOOKUP(BV$15,Data_5!$F$10:$BG$42,$A41+2,FALSE)="IE","IE",IF(HLOOKUP(BV$15,Data_5!$F$10:$BG$42,$A41+2,FALSE)="NE","NE",IF(HLOOKUP(BV$15,Data_5!$F$10:$BG$42,$A41+2,FALSE)="C","C",IF(HLOOKUP(BV$15,Data_5!$F$10:$BG$42,$A41+2,FALSE)="NO","NO",HLOOKUP(BV$15,Data_5!$F$10:$BG$42,$A41+2,FALSE)/Data_5!$BI36))))))),"")</f>
        <v/>
      </c>
      <c r="BW41" s="1122" t="str">
        <f>IFERROR(IF(VLOOKUP($AL41,Data_5!$B$12:$E$42,4,FALSE)="BASIC","",(IF(HLOOKUP(BW$15,Data_5!$F$10:$BG$42,$A41+2,FALSE)="NO","NO",IF(HLOOKUP(BW$15,Data_5!$F$10:$BG$42,$A41+2,FALSE)="IE","IE",IF(HLOOKUP(BW$15,Data_5!$F$10:$BG$42,$A41+2,FALSE)="NE","NE",IF(HLOOKUP(BW$15,Data_5!$F$10:$BG$42,$A41+2,FALSE)="C","C",IF(HLOOKUP(BW$15,Data_5!$F$10:$BG$42,$A41+2,FALSE)="NO","NO",HLOOKUP(BW$15,Data_5!$F$10:$BG$42,$A41+2,FALSE)/Data_5!$BI36))))))),"")</f>
        <v/>
      </c>
      <c r="BX41" s="1122" t="str">
        <f>IFERROR(IF(VLOOKUP($AL41,Data_5!$B$12:$E$42,4,FALSE)="BASIC","",(IF(HLOOKUP(BX$15,Data_5!$F$10:$BG$42,$A41+2,FALSE)="NO","NO",IF(HLOOKUP(BX$15,Data_5!$F$10:$BG$42,$A41+2,FALSE)="IE","IE",IF(HLOOKUP(BX$15,Data_5!$F$10:$BG$42,$A41+2,FALSE)="NE","NE",IF(HLOOKUP(BX$15,Data_5!$F$10:$BG$42,$A41+2,FALSE)="C","C",IF(HLOOKUP(BX$15,Data_5!$F$10:$BG$42,$A41+2,FALSE)="NO","NO",HLOOKUP(BX$15,Data_5!$F$10:$BG$42,$A41+2,FALSE)/Data_5!$BI36))))))),"")</f>
        <v/>
      </c>
      <c r="BY41" s="1122" t="str">
        <f>IFERROR(IF(VLOOKUP($AL41,Data_5!$B$12:$E$42,4,FALSE)="BASIC","",(IF(HLOOKUP(BY$15,Data_5!$F$10:$BG$42,$A41+2,FALSE)="NO","NO",IF(HLOOKUP(BY$15,Data_5!$F$10:$BG$42,$A41+2,FALSE)="IE","IE",IF(HLOOKUP(BY$15,Data_5!$F$10:$BG$42,$A41+2,FALSE)="NE","NE",IF(HLOOKUP(BY$15,Data_5!$F$10:$BG$42,$A41+2,FALSE)="C","C",IF(HLOOKUP(BY$15,Data_5!$F$10:$BG$42,$A41+2,FALSE)="NO","NO",HLOOKUP(BY$15,Data_5!$F$10:$BG$42,$A41+2,FALSE)/Data_5!$BI36))))))),"")</f>
        <v/>
      </c>
      <c r="BZ41" s="1122" t="str">
        <f>IFERROR(IF(VLOOKUP($AL41,Data_5!$B$12:$E$42,4,FALSE)="BASIC","",(IF(HLOOKUP(BZ$15,Data_5!$F$10:$BG$42,$A41+2,FALSE)="NO","NO",IF(HLOOKUP(BZ$15,Data_5!$F$10:$BG$42,$A41+2,FALSE)="IE","IE",IF(HLOOKUP(BZ$15,Data_5!$F$10:$BG$42,$A41+2,FALSE)="NE","NE",IF(HLOOKUP(BZ$15,Data_5!$F$10:$BG$42,$A41+2,FALSE)="C","C",IF(HLOOKUP(BZ$15,Data_5!$F$10:$BG$42,$A41+2,FALSE)="NO","NO",HLOOKUP(BZ$15,Data_5!$F$10:$BG$42,$A41+2,FALSE)/Data_5!$BI36))))))),"")</f>
        <v/>
      </c>
      <c r="CA41" s="1122" t="str">
        <f>IFERROR(IF(VLOOKUP($AL41,Data_5!$B$12:$E$42,4,FALSE)="BASIC","",(IF(HLOOKUP(CA$15,Data_5!$F$10:$BG$42,$A41+2,FALSE)="NO","NO",IF(HLOOKUP(CA$15,Data_5!$F$10:$BG$42,$A41+2,FALSE)="IE","IE",IF(HLOOKUP(CA$15,Data_5!$F$10:$BG$42,$A41+2,FALSE)="NE","NE",IF(HLOOKUP(CA$15,Data_5!$F$10:$BG$42,$A41+2,FALSE)="C","C",IF(HLOOKUP(CA$15,Data_5!$F$10:$BG$42,$A41+2,FALSE)="NO","NO",HLOOKUP(CA$15,Data_5!$F$10:$BG$42,$A41+2,FALSE)/Data_5!$BI36))))))),"")</f>
        <v/>
      </c>
      <c r="CB41" s="1122" t="str">
        <f>IFERROR(IF(VLOOKUP($AL41,Data_5!$B$12:$E$42,4,FALSE)="BASIC","",(IF(HLOOKUP(CB$15,Data_5!$F$10:$BG$42,$A41+2,FALSE)="NO","NO",IF(HLOOKUP(CB$15,Data_5!$F$10:$BG$42,$A41+2,FALSE)="IE","IE",IF(HLOOKUP(CB$15,Data_5!$F$10:$BG$42,$A41+2,FALSE)="NE","NE",IF(HLOOKUP(CB$15,Data_5!$F$10:$BG$42,$A41+2,FALSE)="C","C",IF(HLOOKUP(CB$15,Data_5!$F$10:$BG$42,$A41+2,FALSE)="NO","NO",HLOOKUP(CB$15,Data_5!$F$10:$BG$42,$A41+2,FALSE)/Data_5!$BI36))))))),"")</f>
        <v/>
      </c>
      <c r="CC41" s="1122" t="str">
        <f>IFERROR(IF(VLOOKUP($AL41,Data_5!$B$12:$E$42,4,FALSE)="BASIC","",(IF(HLOOKUP(CC$15,Data_5!$F$10:$BG$42,$A41+2,FALSE)="NO","NO",IF(HLOOKUP(CC$15,Data_5!$F$10:$BG$42,$A41+2,FALSE)="IE","IE",IF(HLOOKUP(CC$15,Data_5!$F$10:$BG$42,$A41+2,FALSE)="NE","NE",IF(HLOOKUP(CC$15,Data_5!$F$10:$BG$42,$A41+2,FALSE)="C","C",IF(HLOOKUP(CC$15,Data_5!$F$10:$BG$42,$A41+2,FALSE)="NO","NO",HLOOKUP(CC$15,Data_5!$F$10:$BG$42,$A41+2,FALSE)/Data_5!$BI36))))))),"")</f>
        <v/>
      </c>
      <c r="CD41" s="1122" t="str">
        <f>IFERROR(IF(VLOOKUP($AL41,Data_5!$B$12:$E$42,4,FALSE)="BASIC","",(IF(HLOOKUP(CD$15,Data_5!$F$10:$BG$42,$A41+2,FALSE)="NO","NO",IF(HLOOKUP(CD$15,Data_5!$F$10:$BG$42,$A41+2,FALSE)="IE","IE",IF(HLOOKUP(CD$15,Data_5!$F$10:$BG$42,$A41+2,FALSE)="NE","NE",IF(HLOOKUP(CD$15,Data_5!$F$10:$BG$42,$A41+2,FALSE)="C","C",IF(HLOOKUP(CD$15,Data_5!$F$10:$BG$42,$A41+2,FALSE)="NO","NO",HLOOKUP(CD$15,Data_5!$F$10:$BG$42,$A41+2,FALSE)/Data_5!$BI36))))))),"")</f>
        <v/>
      </c>
      <c r="CE41" s="1122" t="str">
        <f>IFERROR(IF(VLOOKUP($AL41,Data_5!$B$12:$E$42,4,FALSE)="BASIC","",(IF(HLOOKUP(CE$15,Data_5!$F$10:$BG$42,$A41+2,FALSE)="NO","NO",IF(HLOOKUP(CE$15,Data_5!$F$10:$BG$42,$A41+2,FALSE)="IE","IE",IF(HLOOKUP(CE$15,Data_5!$F$10:$BG$42,$A41+2,FALSE)="NE","NE",IF(HLOOKUP(CE$15,Data_5!$F$10:$BG$42,$A41+2,FALSE)="C","C",IF(HLOOKUP(CE$15,Data_5!$F$10:$BG$42,$A41+2,FALSE)="NO","NO",HLOOKUP(CE$15,Data_5!$F$10:$BG$42,$A41+2,FALSE)/Data_5!$BI36))))))),"")</f>
        <v/>
      </c>
      <c r="CF41" s="1122" t="str">
        <f>IFERROR(IF(VLOOKUP($AL41,Data_5!$B$12:$E$42,4,FALSE)="BASIC","",(IF(HLOOKUP(CF$15,Data_5!$F$10:$BG$42,$A41+2,FALSE)="NO","NO",IF(HLOOKUP(CF$15,Data_5!$F$10:$BG$42,$A41+2,FALSE)="IE","IE",IF(HLOOKUP(CF$15,Data_5!$F$10:$BG$42,$A41+2,FALSE)="NE","NE",IF(HLOOKUP(CF$15,Data_5!$F$10:$BG$42,$A41+2,FALSE)="C","C",IF(HLOOKUP(CF$15,Data_5!$F$10:$BG$42,$A41+2,FALSE)="NO","NO",HLOOKUP(CF$15,Data_5!$F$10:$BG$42,$A41+2,FALSE)/Data_5!$BI36))))))),"")</f>
        <v/>
      </c>
      <c r="CG41" s="1122" t="str">
        <f>IFERROR(IF(VLOOKUP($AL41,Data_5!$B$12:$E$42,4,FALSE)="BASIC","",(IF(HLOOKUP(CG$15,Data_5!$F$10:$BG$42,$A41+2,FALSE)="NO","NO",IF(HLOOKUP(CG$15,Data_5!$F$10:$BG$42,$A41+2,FALSE)="IE","IE",IF(HLOOKUP(CG$15,Data_5!$F$10:$BG$42,$A41+2,FALSE)="NE","NE",IF(HLOOKUP(CG$15,Data_5!$F$10:$BG$42,$A41+2,FALSE)="C","C",IF(HLOOKUP(CG$15,Data_5!$F$10:$BG$42,$A41+2,FALSE)="NO","NO",HLOOKUP(CG$15,Data_5!$F$10:$BG$42,$A41+2,FALSE)/Data_5!$BI36))))))),"")</f>
        <v/>
      </c>
      <c r="CH41" s="1122" t="str">
        <f>IFERROR(IF(VLOOKUP($AL41,Data_5!$B$12:$E$42,4,FALSE)="BASIC","",(IF(HLOOKUP(CH$15,Data_5!$F$10:$BG$42,$A41+2,FALSE)="NO","NO",IF(HLOOKUP(CH$15,Data_5!$F$10:$BG$42,$A41+2,FALSE)="IE","IE",IF(HLOOKUP(CH$15,Data_5!$F$10:$BG$42,$A41+2,FALSE)="NE","NE",IF(HLOOKUP(CH$15,Data_5!$F$10:$BG$42,$A41+2,FALSE)="C","C",IF(HLOOKUP(CH$15,Data_5!$F$10:$BG$42,$A41+2,FALSE)="NO","NO",HLOOKUP(CH$15,Data_5!$F$10:$BG$42,$A41+2,FALSE)/Data_5!$BI36))))))),"")</f>
        <v/>
      </c>
      <c r="CI41" s="1122" t="str">
        <f>IFERROR(IF(VLOOKUP($AL41,Data_5!$B$12:$E$42,4,FALSE)="BASIC","",(IF(HLOOKUP(CI$15,Data_5!$F$10:$BG$42,$A41+2,FALSE)="NO","NO",IF(HLOOKUP(CI$15,Data_5!$F$10:$BG$42,$A41+2,FALSE)="IE","IE",IF(HLOOKUP(CI$15,Data_5!$F$10:$BG$42,$A41+2,FALSE)="NE","NE",IF(HLOOKUP(CI$15,Data_5!$F$10:$BG$42,$A41+2,FALSE)="C","C",IF(HLOOKUP(CI$15,Data_5!$F$10:$BG$42,$A41+2,FALSE)="NO","NO",HLOOKUP(CI$15,Data_5!$F$10:$BG$42,$A41+2,FALSE)/Data_5!$BI36))))))),"")</f>
        <v/>
      </c>
      <c r="CJ41" s="1122" t="str">
        <f>IFERROR(IF(VLOOKUP($AL41,Data_5!$B$12:$E$42,4,FALSE)="BASIC","",(IF(HLOOKUP(CJ$15,Data_5!$F$10:$BG$42,$A41+2,FALSE)="NO","NO",IF(HLOOKUP(CJ$15,Data_5!$F$10:$BG$42,$A41+2,FALSE)="IE","IE",IF(HLOOKUP(CJ$15,Data_5!$F$10:$BG$42,$A41+2,FALSE)="NE","NE",IF(HLOOKUP(CJ$15,Data_5!$F$10:$BG$42,$A41+2,FALSE)="C","C",IF(HLOOKUP(CJ$15,Data_5!$F$10:$BG$42,$A41+2,FALSE)="NO","NO",HLOOKUP(CJ$15,Data_5!$F$10:$BG$42,$A41+2,FALSE)/Data_5!$BI36))))))),"")</f>
        <v/>
      </c>
      <c r="CK41" s="15"/>
      <c r="CL41" s="2628" t="str">
        <f t="shared" si="2"/>
        <v>Stockholm</v>
      </c>
      <c r="CM41" s="2629"/>
      <c r="CN41" s="1100">
        <f t="shared" si="3"/>
        <v>2012</v>
      </c>
      <c r="CO41" s="1122">
        <f>IFERROR(IF(HLOOKUP(CO$15,Data_5!$F$10:$BG$42,$A41+2,FALSE)="NO","NO",IF(HLOOKUP(CO$15,Data_5!$F$10:$BG$42,$A41+2,FALSE)="IE","IE",IF(HLOOKUP(CO$15,Data_5!$F$10:$BG$42,$A41+2,FALSE)="NE","NE",IF(HLOOKUP(CO$15,Data_5!$F$10:$BG$42,$A41+2,FALSE)="C","C",IF(HLOOKUP(CO$15,Data_5!$F$10:$BG$42,$A41+2,FALSE)="NO","NO",HLOOKUP(CO$15,Data_5!$F$10:$BG$42,$A41+2,FALSE)/Data_5!$BK36))))),"")</f>
        <v>3.9522179556144323E-2</v>
      </c>
      <c r="CP41" s="1122">
        <f>IFERROR(IF(HLOOKUP(CP$15,Data_5!$F$10:$BG$42,$A41+2,FALSE)="NO","NO",IF(HLOOKUP(CP$15,Data_5!$F$10:$BG$42,$A41+2,FALSE)="IE","IE",IF(HLOOKUP(CP$15,Data_5!$F$10:$BG$42,$A41+2,FALSE)="NE","NE",IF(HLOOKUP(CP$15,Data_5!$F$10:$BG$42,$A41+2,FALSE)="C","C",IF(HLOOKUP(CP$15,Data_5!$F$10:$BG$42,$A41+2,FALSE)="NO","NO",HLOOKUP(CP$15,Data_5!$F$10:$BG$42,$A41+2,FALSE)/Data_5!$BK36))))),"")</f>
        <v>2.99273648782554E-2</v>
      </c>
      <c r="CQ41" s="1122">
        <f>IFERROR(IF(HLOOKUP(CQ$15,Data_5!$F$10:$BG$42,$A41+2,FALSE)="NO","NO",IF(HLOOKUP(CQ$15,Data_5!$F$10:$BG$42,$A41+2,FALSE)="IE","IE",IF(HLOOKUP(CQ$15,Data_5!$F$10:$BG$42,$A41+2,FALSE)="NE","NE",IF(HLOOKUP(CQ$15,Data_5!$F$10:$BG$42,$A41+2,FALSE)="C","C",IF(HLOOKUP(CQ$15,Data_5!$F$10:$BG$42,$A41+2,FALSE)="NO","NO",HLOOKUP(CQ$15,Data_5!$F$10:$BG$42,$A41+2,FALSE)/Data_5!$BK36))))),"")</f>
        <v>6.7651210132394918E-3</v>
      </c>
      <c r="CR41" s="1122" t="str">
        <f>IFERROR(IF(HLOOKUP(CR$15,Data_5!$F$10:$BG$42,$A41+2,FALSE)="NO","NO",IF(HLOOKUP(CR$15,Data_5!$F$10:$BG$42,$A41+2,FALSE)="IE","IE",IF(HLOOKUP(CR$15,Data_5!$F$10:$BG$42,$A41+2,FALSE)="NE","NE",IF(HLOOKUP(CR$15,Data_5!$F$10:$BG$42,$A41+2,FALSE)="C","C",IF(HLOOKUP(CR$15,Data_5!$F$10:$BG$42,$A41+2,FALSE)="NO","NO",HLOOKUP(CR$15,Data_5!$F$10:$BG$42,$A41+2,FALSE)/Data_5!$BK36))))),"")</f>
        <v>IE</v>
      </c>
      <c r="CS41" s="1122">
        <f>IFERROR(IF(HLOOKUP(CS$15,Data_5!$F$10:$BG$42,$A41+2,FALSE)="NO","NO",IF(HLOOKUP(CS$15,Data_5!$F$10:$BG$42,$A41+2,FALSE)="IE","IE",IF(HLOOKUP(CS$15,Data_5!$F$10:$BG$42,$A41+2,FALSE)="NE","NE",IF(HLOOKUP(CS$15,Data_5!$F$10:$BG$42,$A41+2,FALSE)="C","C",IF(HLOOKUP(CS$15,Data_5!$F$10:$BG$42,$A41+2,FALSE)="NO","NO",HLOOKUP(CS$15,Data_5!$F$10:$BG$42,$A41+2,FALSE)/Data_5!$BK36))))),"")</f>
        <v>0.48983906070812033</v>
      </c>
      <c r="CT41" s="1122" t="str">
        <f>IFERROR(IF(HLOOKUP(CT$15,Data_5!$F$10:$BG$42,$A41+2,FALSE)="NO","NO",IF(HLOOKUP(CT$15,Data_5!$F$10:$BG$42,$A41+2,FALSE)="IE","IE",IF(HLOOKUP(CT$15,Data_5!$F$10:$BG$42,$A41+2,FALSE)="NE","NE",IF(HLOOKUP(CT$15,Data_5!$F$10:$BG$42,$A41+2,FALSE)="C","C",IF(HLOOKUP(CT$15,Data_5!$F$10:$BG$42,$A41+2,FALSE)="NO","NO",HLOOKUP(CT$15,Data_5!$F$10:$BG$42,$A41+2,FALSE)/Data_5!$BK36))))),"")</f>
        <v>NO</v>
      </c>
      <c r="CU41" s="1122" t="str">
        <f>IFERROR(IF(HLOOKUP(CU$15,Data_5!$F$10:$BG$42,$A41+2,FALSE)="NO","NO",IF(HLOOKUP(CU$15,Data_5!$F$10:$BG$42,$A41+2,FALSE)="IE","IE",IF(HLOOKUP(CU$15,Data_5!$F$10:$BG$42,$A41+2,FALSE)="NE","NE",IF(HLOOKUP(CU$15,Data_5!$F$10:$BG$42,$A41+2,FALSE)="C","C",IF(HLOOKUP(CU$15,Data_5!$F$10:$BG$42,$A41+2,FALSE)="NO","NO",HLOOKUP(CU$15,Data_5!$F$10:$BG$42,$A41+2,FALSE)/Data_5!$BK36))))),"")</f>
        <v>NO</v>
      </c>
      <c r="CV41" s="1122" t="str">
        <f>IFERROR(IF(HLOOKUP(CV$15,Data_5!$F$10:$BG$42,$A41+2,FALSE)="NO","NO",IF(HLOOKUP(CV$15,Data_5!$F$10:$BG$42,$A41+2,FALSE)="IE","IE",IF(HLOOKUP(CV$15,Data_5!$F$10:$BG$42,$A41+2,FALSE)="NE","NE",IF(HLOOKUP(CV$15,Data_5!$F$10:$BG$42,$A41+2,FALSE)="C","C",IF(HLOOKUP(CV$15,Data_5!$F$10:$BG$42,$A41+2,FALSE)="NO","NO",HLOOKUP(CV$15,Data_5!$F$10:$BG$42,$A41+2,FALSE)/Data_5!$BK36))))),"")</f>
        <v>NO</v>
      </c>
      <c r="CW41" s="1122">
        <f>IFERROR(IF(HLOOKUP(CW$15,Data_5!$F$10:$BG$42,$A41+2,FALSE)="NO","NO",IF(HLOOKUP(CW$15,Data_5!$F$10:$BG$42,$A41+2,FALSE)="IE","IE",IF(HLOOKUP(CW$15,Data_5!$F$10:$BG$42,$A41+2,FALSE)="NE","NE",IF(HLOOKUP(CW$15,Data_5!$F$10:$BG$42,$A41+2,FALSE)="C","C",IF(HLOOKUP(CW$15,Data_5!$F$10:$BG$42,$A41+2,FALSE)="NO","NO",HLOOKUP(CW$15,Data_5!$F$10:$BG$42,$A41+2,FALSE)/Data_5!$BK36))))),"")</f>
        <v>1.6057787973227448E-5</v>
      </c>
      <c r="CX41" s="1122">
        <f>IFERROR(IF(HLOOKUP(CX$15,Data_5!$F$10:$BG$42,$A41+2,FALSE)="NO","NO",IF(HLOOKUP(CX$15,Data_5!$F$10:$BG$42,$A41+2,FALSE)="IE","IE",IF(HLOOKUP(CX$15,Data_5!$F$10:$BG$42,$A41+2,FALSE)="NE","NE",IF(HLOOKUP(CX$15,Data_5!$F$10:$BG$42,$A41+2,FALSE)="C","C",IF(HLOOKUP(CX$15,Data_5!$F$10:$BG$42,$A41+2,FALSE)="NO","NO",HLOOKUP(CX$15,Data_5!$F$10:$BG$42,$A41+2,FALSE)/Data_5!$BK36))))),"")</f>
        <v>0.31550049850015954</v>
      </c>
      <c r="CY41" s="1122" t="str">
        <f>IFERROR(IF(HLOOKUP(CY$15,Data_5!$F$10:$BG$42,$A41+2,FALSE)="NO","NO",IF(HLOOKUP(CY$15,Data_5!$F$10:$BG$42,$A41+2,FALSE)="IE","IE",IF(HLOOKUP(CY$15,Data_5!$F$10:$BG$42,$A41+2,FALSE)="NE","NE",IF(HLOOKUP(CY$15,Data_5!$F$10:$BG$42,$A41+2,FALSE)="C","C",IF(HLOOKUP(CY$15,Data_5!$F$10:$BG$42,$A41+2,FALSE)="NO","NO",HLOOKUP(CY$15,Data_5!$F$10:$BG$42,$A41+2,FALSE)/Data_5!$BK36))))),"")</f>
        <v>NO</v>
      </c>
      <c r="CZ41" s="1122">
        <f>IFERROR(IF(HLOOKUP(CZ$15,Data_5!$F$10:$BG$42,$A41+2,FALSE)="NO","NO",IF(HLOOKUP(CZ$15,Data_5!$F$10:$BG$42,$A41+2,FALSE)="IE","IE",IF(HLOOKUP(CZ$15,Data_5!$F$10:$BG$42,$A41+2,FALSE)="NE","NE",IF(HLOOKUP(CZ$15,Data_5!$F$10:$BG$42,$A41+2,FALSE)="C","C",IF(HLOOKUP(CZ$15,Data_5!$F$10:$BG$42,$A41+2,FALSE)="NO","NO",HLOOKUP(CZ$15,Data_5!$F$10:$BG$42,$A41+2,FALSE)/Data_5!$BK36))))),"")</f>
        <v>4.4767166470815911E-2</v>
      </c>
      <c r="DA41" s="1122">
        <f>IFERROR(IF(HLOOKUP(DA$15,Data_5!$F$10:$BG$42,$A41+2,FALSE)="NO","NO",IF(HLOOKUP(DA$15,Data_5!$F$10:$BG$42,$A41+2,FALSE)="IE","IE",IF(HLOOKUP(DA$15,Data_5!$F$10:$BG$42,$A41+2,FALSE)="NE","NE",IF(HLOOKUP(DA$15,Data_5!$F$10:$BG$42,$A41+2,FALSE)="C","C",IF(HLOOKUP(DA$15,Data_5!$F$10:$BG$42,$A41+2,FALSE)="NO","NO",HLOOKUP(DA$15,Data_5!$F$10:$BG$42,$A41+2,FALSE)/Data_5!$BK36))))),"")</f>
        <v>9.6833327474917033E-3</v>
      </c>
      <c r="DB41" s="1122">
        <f>IFERROR(IF(HLOOKUP(DB$15,Data_5!$F$10:$BG$42,$A41+2,FALSE)="NO","NO",IF(HLOOKUP(DB$15,Data_5!$F$10:$BG$42,$A41+2,FALSE)="IE","IE",IF(HLOOKUP(DB$15,Data_5!$F$10:$BG$42,$A41+2,FALSE)="NE","NE",IF(HLOOKUP(DB$15,Data_5!$F$10:$BG$42,$A41+2,FALSE)="C","C",IF(HLOOKUP(DB$15,Data_5!$F$10:$BG$42,$A41+2,FALSE)="NO","NO",HLOOKUP(DB$15,Data_5!$F$10:$BG$42,$A41+2,FALSE)/Data_5!$BK36))))),"")</f>
        <v>5.9073195756054915E-2</v>
      </c>
      <c r="DC41" s="1122" t="str">
        <f>IFERROR(IF(HLOOKUP(DC$15,Data_5!$F$10:$BG$42,$A41+2,FALSE)="NO","NO",IF(HLOOKUP(DC$15,Data_5!$F$10:$BG$42,$A41+2,FALSE)="IE","IE",IF(HLOOKUP(DC$15,Data_5!$F$10:$BG$42,$A41+2,FALSE)="NE","NE",IF(HLOOKUP(DC$15,Data_5!$F$10:$BG$42,$A41+2,FALSE)="C","C",IF(HLOOKUP(DC$15,Data_5!$F$10:$BG$42,$A41+2,FALSE)="NO","NO",HLOOKUP(DC$15,Data_5!$F$10:$BG$42,$A41+2,FALSE)/Data_5!$BK36))))),"")</f>
        <v>NO</v>
      </c>
      <c r="DD41" s="1122" t="str">
        <f>IFERROR(IF(HLOOKUP(DD$15,Data_5!$F$10:$BG$42,$A41+2,FALSE)="NO","NO",IF(HLOOKUP(DD$15,Data_5!$F$10:$BG$42,$A41+2,FALSE)="IE","IE",IF(HLOOKUP(DD$15,Data_5!$F$10:$BG$42,$A41+2,FALSE)="NE","NE",IF(HLOOKUP(DD$15,Data_5!$F$10:$BG$42,$A41+2,FALSE)="C","C",IF(HLOOKUP(DD$15,Data_5!$F$10:$BG$42,$A41+2,FALSE)="NO","NO",HLOOKUP(DD$15,Data_5!$F$10:$BG$42,$A41+2,FALSE)/Data_5!$BK36))))),"")</f>
        <v>NO</v>
      </c>
      <c r="DE41" s="1122" t="str">
        <f>IFERROR(IF(HLOOKUP(DE$15,Data_5!$F$10:$BG$42,$A41+2,FALSE)="NO","NO",IF(HLOOKUP(DE$15,Data_5!$F$10:$BG$42,$A41+2,FALSE)="IE","IE",IF(HLOOKUP(DE$15,Data_5!$F$10:$BG$42,$A41+2,FALSE)="NE","NE",IF(HLOOKUP(DE$15,Data_5!$F$10:$BG$42,$A41+2,FALSE)="C","C",IF(HLOOKUP(DE$15,Data_5!$F$10:$BG$42,$A41+2,FALSE)="NO","NO",HLOOKUP(DE$15,Data_5!$F$10:$BG$42,$A41+2,FALSE)/Data_5!$BK36))))),"")</f>
        <v>IE</v>
      </c>
      <c r="DF41" s="1122" t="str">
        <f>IFERROR(IF(HLOOKUP(DF$15,Data_5!$F$10:$BG$42,$A41+2,FALSE)="NO","NO",IF(HLOOKUP(DF$15,Data_5!$F$10:$BG$42,$A41+2,FALSE)="IE","IE",IF(HLOOKUP(DF$15,Data_5!$F$10:$BG$42,$A41+2,FALSE)="NE","NE",IF(HLOOKUP(DF$15,Data_5!$F$10:$BG$42,$A41+2,FALSE)="C","C",IF(HLOOKUP(DF$15,Data_5!$F$10:$BG$42,$A41+2,FALSE)="NO","NO",HLOOKUP(DF$15,Data_5!$F$10:$BG$42,$A41+2,FALSE)/Data_5!$BK36))))),"")</f>
        <v>NO</v>
      </c>
      <c r="DG41" s="1122" t="str">
        <f>IFERROR(IF(HLOOKUP(DG$15,Data_5!$F$10:$BG$42,$A41+2,FALSE)="NO","NO",IF(HLOOKUP(DG$15,Data_5!$F$10:$BG$42,$A41+2,FALSE)="IE","IE",IF(HLOOKUP(DG$15,Data_5!$F$10:$BG$42,$A41+2,FALSE)="NE","NE",IF(HLOOKUP(DG$15,Data_5!$F$10:$BG$42,$A41+2,FALSE)="C","C",IF(HLOOKUP(DG$15,Data_5!$F$10:$BG$42,$A41+2,FALSE)="NO","NO",HLOOKUP(DG$15,Data_5!$F$10:$BG$42,$A41+2,FALSE)/Data_5!$BK36))))),"")</f>
        <v>IE</v>
      </c>
      <c r="DH41" s="1122" t="str">
        <f>IFERROR(IF(HLOOKUP(DH$15,Data_5!$F$10:$BG$42,$A41+2,FALSE)="NO","NO",IF(HLOOKUP(DH$15,Data_5!$F$10:$BG$42,$A41+2,FALSE)="IE","IE",IF(HLOOKUP(DH$15,Data_5!$F$10:$BG$42,$A41+2,FALSE)="NE","NE",IF(HLOOKUP(DH$15,Data_5!$F$10:$BG$42,$A41+2,FALSE)="C","C",IF(HLOOKUP(DH$15,Data_5!$F$10:$BG$42,$A41+2,FALSE)="NO","NO",HLOOKUP(DH$15,Data_5!$F$10:$BG$42,$A41+2,FALSE)/Data_5!$BK36))))),"")</f>
        <v>IE</v>
      </c>
      <c r="DI41" s="1122">
        <f>IFERROR(IF(HLOOKUP(DI$15,Data_5!$F$10:$BG$42,$A41+2,FALSE)="NO","NO",IF(HLOOKUP(DI$15,Data_5!$F$10:$BG$42,$A41+2,FALSE)="IE","IE",IF(HLOOKUP(DI$15,Data_5!$F$10:$BG$42,$A41+2,FALSE)="NE","NE",IF(HLOOKUP(DI$15,Data_5!$F$10:$BG$42,$A41+2,FALSE)="C","C",IF(HLOOKUP(DI$15,Data_5!$F$10:$BG$42,$A41+2,FALSE)="NO","NO",HLOOKUP(DI$15,Data_5!$F$10:$BG$42,$A41+2,FALSE)/Data_5!$BK36))))),"")</f>
        <v>3.7776373879437261E-3</v>
      </c>
      <c r="DJ41" s="1122">
        <f>IFERROR(IF(HLOOKUP(DJ$15,Data_5!$F$10:$BG$42,$A41+2,FALSE)="NO","NO",IF(HLOOKUP(DJ$15,Data_5!$F$10:$BG$42,$A41+2,FALSE)="IE","IE",IF(HLOOKUP(DJ$15,Data_5!$F$10:$BG$42,$A41+2,FALSE)="NE","NE",IF(HLOOKUP(DJ$15,Data_5!$F$10:$BG$42,$A41+2,FALSE)="C","C",IF(HLOOKUP(DJ$15,Data_5!$F$10:$BG$42,$A41+2,FALSE)="NO","NO",HLOOKUP(DJ$15,Data_5!$F$10:$BG$42,$A41+2,FALSE)/Data_5!$BK36))))),"")</f>
        <v>1.1283851938013727E-3</v>
      </c>
      <c r="DK41" s="1122" t="str">
        <f>IFERROR(IF(HLOOKUP(DK$15,Data_5!$F$10:$BG$42,$A41+2,FALSE)="NO","NO",IF(HLOOKUP(DK$15,Data_5!$F$10:$BG$42,$A41+2,FALSE)="IE","IE",IF(HLOOKUP(DK$15,Data_5!$F$10:$BG$42,$A41+2,FALSE)="NE","NE",IF(HLOOKUP(DK$15,Data_5!$F$10:$BG$42,$A41+2,FALSE)="C","C",IF(HLOOKUP(DK$15,Data_5!$F$10:$BG$42,$A41+2,FALSE)="NO","NO",HLOOKUP(DK$15,Data_5!$F$10:$BG$42,$A41+2,FALSE)/Data_5!$BK36))))),"")</f>
        <v>NE</v>
      </c>
      <c r="DL41" s="1122" t="str">
        <f>IFERROR(IF(HLOOKUP(DL$15,Data_5!$F$10:$BG$42,$A41+2,FALSE)="NO","NO",IF(HLOOKUP(DL$15,Data_5!$F$10:$BG$42,$A41+2,FALSE)="IE","IE",IF(HLOOKUP(DL$15,Data_5!$F$10:$BG$42,$A41+2,FALSE)="NE","NE",IF(HLOOKUP(DL$15,Data_5!$F$10:$BG$42,$A41+2,FALSE)="C","C",IF(HLOOKUP(DL$15,Data_5!$F$10:$BG$42,$A41+2,FALSE)="NO","NO",HLOOKUP(DL$15,Data_5!$F$10:$BG$42,$A41+2,FALSE)/Data_5!$BK36))))),"")</f>
        <v>NE</v>
      </c>
      <c r="DM41" s="1122" t="str">
        <f>IFERROR(IF(HLOOKUP(DM$15,Data_5!$F$10:$BG$42,$A41+2,FALSE)="NO","NO",IF(HLOOKUP(DM$15,Data_5!$F$10:$BG$42,$A41+2,FALSE)="IE","IE",IF(HLOOKUP(DM$15,Data_5!$F$10:$BG$42,$A41+2,FALSE)="NE","NE",IF(HLOOKUP(DM$15,Data_5!$F$10:$BG$42,$A41+2,FALSE)="C","C",IF(HLOOKUP(DM$15,Data_5!$F$10:$BG$42,$A41+2,FALSE)="NO","NO",HLOOKUP(DM$15,Data_5!$F$10:$BG$42,$A41+2,FALSE)/Data_5!$BK36))))),"")</f>
        <v>NE</v>
      </c>
      <c r="DN41" s="1122" t="str">
        <f>IFERROR(IF(HLOOKUP(DN$15,Data_5!$F$10:$BG$42,$A41+2,FALSE)="NO","NO",IF(HLOOKUP(DN$15,Data_5!$F$10:$BG$42,$A41+2,FALSE)="IE","IE",IF(HLOOKUP(DN$15,Data_5!$F$10:$BG$42,$A41+2,FALSE)="NE","NE",IF(HLOOKUP(DN$15,Data_5!$F$10:$BG$42,$A41+2,FALSE)="C","C",IF(HLOOKUP(DN$15,Data_5!$F$10:$BG$42,$A41+2,FALSE)="NO","NO",HLOOKUP(DN$15,Data_5!$F$10:$BG$42,$A41+2,FALSE)/Data_5!$BK36))))),"")</f>
        <v>NE</v>
      </c>
      <c r="DO41" s="1122" t="str">
        <f>IFERROR(IF(HLOOKUP(DO$15,Data_5!$F$10:$BG$42,$A41+2,FALSE)="NO","NO",IF(HLOOKUP(DO$15,Data_5!$F$10:$BG$42,$A41+2,FALSE)="IE","IE",IF(HLOOKUP(DO$15,Data_5!$F$10:$BG$42,$A41+2,FALSE)="NE","NE",IF(HLOOKUP(DO$15,Data_5!$F$10:$BG$42,$A41+2,FALSE)="C","C",IF(HLOOKUP(DO$15,Data_5!$F$10:$BG$42,$A41+2,FALSE)="NO","NO",HLOOKUP(DO$15,Data_5!$F$10:$BG$42,$A41+2,FALSE)/Data_5!$BK36))))),"")</f>
        <v>NE</v>
      </c>
    </row>
    <row r="42" spans="1:119" ht="15" customHeight="1">
      <c r="A42" s="1789">
        <v>26</v>
      </c>
      <c r="B42" s="2628" t="str">
        <f>IF(Data_5!B37&lt;&gt;"",Data_5!B37,"")</f>
        <v>City of Sydney</v>
      </c>
      <c r="C42" s="2629"/>
      <c r="D42" s="1462">
        <f>IFERROR(VLOOKUP($B42,Data_5!$B$12:$C$42,2,FALSE),"")</f>
        <v>2014</v>
      </c>
      <c r="E42" s="1122">
        <f>IFERROR(IF(HLOOKUP(E$15,Data_5!$F$10:$BG$42,$A42+2,FALSE)="NO","NO",IF(HLOOKUP(E$15,Data_5!$F$10:$BG$42,$A42+2,FALSE)="IE","IE",IF(HLOOKUP(E$15,Data_5!$F$10:$BG$42,$A42+2,FALSE)="NE","NE",IF(HLOOKUP(E$15,Data_5!$F$10:$BG$42,$A42+2,FALSE)="C","C",IF(HLOOKUP(E$15,Data_5!$F$10:$BG$42,$A42+2,FALSE)="NO","NO",HLOOKUP(E$15,Data_5!$F$10:$BG$42,$A42+2,FALSE)/Data_5!$BH37))))),"")</f>
        <v>1.8250927829527495E-2</v>
      </c>
      <c r="F42" s="1122">
        <f>IFERROR(IF(HLOOKUP(F$15,Data_5!$F$10:$BG$42,$A42+2,FALSE)="NO","NO",IF(HLOOKUP(F$15,Data_5!$F$10:$BG$42,$A42+2,FALSE)="IE","IE",IF(HLOOKUP(F$15,Data_5!$F$10:$BG$42,$A42+2,FALSE)="NE","NE",IF(HLOOKUP(F$15,Data_5!$F$10:$BG$42,$A42+2,FALSE)="C","C",IF(HLOOKUP(F$15,Data_5!$F$10:$BG$42,$A42+2,FALSE)="NO","NO",HLOOKUP(F$15,Data_5!$F$10:$BG$42,$A42+2,FALSE)/Data_5!$BH37))))),"")</f>
        <v>9.244679943128277E-2</v>
      </c>
      <c r="G42" s="1122">
        <f>IFERROR(IF(HLOOKUP(G$15,Data_5!$F$10:$BG$42,$A42+2,FALSE)="NO","NO",IF(HLOOKUP(G$15,Data_5!$F$10:$BG$42,$A42+2,FALSE)="IE","IE",IF(HLOOKUP(G$15,Data_5!$F$10:$BG$42,$A42+2,FALSE)="NE","NE",IF(HLOOKUP(G$15,Data_5!$F$10:$BG$42,$A42+2,FALSE)="C","C",IF(HLOOKUP(G$15,Data_5!$F$10:$BG$42,$A42+2,FALSE)="NO","NO",HLOOKUP(G$15,Data_5!$F$10:$BG$42,$A42+2,FALSE)/Data_5!$BH37))))),"")</f>
        <v>2.996508291340037E-2</v>
      </c>
      <c r="H42" s="1122">
        <f>IFERROR(IF(HLOOKUP(H$15,Data_5!$F$10:$BG$42,$A42+2,FALSE)="NO","NO",IF(HLOOKUP(H$15,Data_5!$F$10:$BG$42,$A42+2,FALSE)="IE","IE",IF(HLOOKUP(H$15,Data_5!$F$10:$BG$42,$A42+2,FALSE)="NE","NE",IF(HLOOKUP(H$15,Data_5!$F$10:$BG$42,$A42+2,FALSE)="C","C",IF(HLOOKUP(H$15,Data_5!$F$10:$BG$42,$A42+2,FALSE)="NO","NO",HLOOKUP(H$15,Data_5!$F$10:$BG$42,$A42+2,FALSE)/Data_5!$BH37))))),"")</f>
        <v>0.7403221285676711</v>
      </c>
      <c r="I42" s="1122" t="str">
        <f>IFERROR(IF(HLOOKUP(I$15,Data_5!$F$10:$BG$42,$A42+2,FALSE)="NO","NO",IF(HLOOKUP(I$15,Data_5!$F$10:$BG$42,$A42+2,FALSE)="IE","IE",IF(HLOOKUP(I$15,Data_5!$F$10:$BG$42,$A42+2,FALSE)="NE","NE",IF(HLOOKUP(I$15,Data_5!$F$10:$BG$42,$A42+2,FALSE)="C","C",IF(HLOOKUP(I$15,Data_5!$F$10:$BG$42,$A42+2,FALSE)="NO","NO",HLOOKUP(I$15,Data_5!$F$10:$BG$42,$A42+2,FALSE)/Data_5!$BH37))))),"")</f>
        <v>IE</v>
      </c>
      <c r="J42" s="1122" t="str">
        <f>IFERROR(IF(HLOOKUP(J$15,Data_5!$F$10:$BG$42,$A42+2,FALSE)="NO","NO",IF(HLOOKUP(J$15,Data_5!$F$10:$BG$42,$A42+2,FALSE)="IE","IE",IF(HLOOKUP(J$15,Data_5!$F$10:$BG$42,$A42+2,FALSE)="NE","NE",IF(HLOOKUP(J$15,Data_5!$F$10:$BG$42,$A42+2,FALSE)="C","C",IF(HLOOKUP(J$15,Data_5!$F$10:$BG$42,$A42+2,FALSE)="NO","NO",HLOOKUP(J$15,Data_5!$F$10:$BG$42,$A42+2,FALSE)/Data_5!$BH37))))),"")</f>
        <v>IE</v>
      </c>
      <c r="K42" s="1122" t="str">
        <f>IFERROR(IF(HLOOKUP(K$15,Data_5!$F$10:$BG$42,$A42+2,FALSE)="NO","NO",IF(HLOOKUP(K$15,Data_5!$F$10:$BG$42,$A42+2,FALSE)="IE","IE",IF(HLOOKUP(K$15,Data_5!$F$10:$BG$42,$A42+2,FALSE)="NE","NE",IF(HLOOKUP(K$15,Data_5!$F$10:$BG$42,$A42+2,FALSE)="C","C",IF(HLOOKUP(K$15,Data_5!$F$10:$BG$42,$A42+2,FALSE)="NO","NO",HLOOKUP(K$15,Data_5!$F$10:$BG$42,$A42+2,FALSE)/Data_5!$BH37))))),"")</f>
        <v>NO</v>
      </c>
      <c r="L42" s="1122" t="str">
        <f>IFERROR(IF(HLOOKUP(L$15,Data_5!$F$10:$BG$42,$A42+2,FALSE)="NO","NO",IF(HLOOKUP(L$15,Data_5!$F$10:$BG$42,$A42+2,FALSE)="IE","IE",IF(HLOOKUP(L$15,Data_5!$F$10:$BG$42,$A42+2,FALSE)="NE","NE",IF(HLOOKUP(L$15,Data_5!$F$10:$BG$42,$A42+2,FALSE)="C","C",IF(HLOOKUP(L$15,Data_5!$F$10:$BG$42,$A42+2,FALSE)="NO","NO",HLOOKUP(L$15,Data_5!$F$10:$BG$42,$A42+2,FALSE)/Data_5!$BH37))))),"")</f>
        <v>NO</v>
      </c>
      <c r="M42" s="1122" t="str">
        <f>IFERROR(IF(HLOOKUP(M$15,Data_5!$F$10:$BG$42,$A42+2,FALSE)="NO","NO",IF(HLOOKUP(M$15,Data_5!$F$10:$BG$42,$A42+2,FALSE)="IE","IE",IF(HLOOKUP(M$15,Data_5!$F$10:$BG$42,$A42+2,FALSE)="NE","NE",IF(HLOOKUP(M$15,Data_5!$F$10:$BG$42,$A42+2,FALSE)="C","C",IF(HLOOKUP(M$15,Data_5!$F$10:$BG$42,$A42+2,FALSE)="NO","NO",HLOOKUP(M$15,Data_5!$F$10:$BG$42,$A42+2,FALSE)/Data_5!$BH37))))),"")</f>
        <v>NO</v>
      </c>
      <c r="N42" s="1122" t="str">
        <f>IFERROR(IF(HLOOKUP(N$15,Data_5!$F$10:$BG$42,$A42+2,FALSE)="NO","NO",IF(HLOOKUP(N$15,Data_5!$F$10:$BG$42,$A42+2,FALSE)="IE","IE",IF(HLOOKUP(N$15,Data_5!$F$10:$BG$42,$A42+2,FALSE)="NE","NE",IF(HLOOKUP(N$15,Data_5!$F$10:$BG$42,$A42+2,FALSE)="C","C",IF(HLOOKUP(N$15,Data_5!$F$10:$BG$42,$A42+2,FALSE)="NO","NO",HLOOKUP(N$15,Data_5!$F$10:$BG$42,$A42+2,FALSE)/Data_5!$BH37))))),"")</f>
        <v>NO</v>
      </c>
      <c r="O42" s="1122" t="str">
        <f>IFERROR(IF(HLOOKUP(O$15,Data_5!$F$10:$BG$42,$A42+2,FALSE)="NO","NO",IF(HLOOKUP(O$15,Data_5!$F$10:$BG$42,$A42+2,FALSE)="IE","IE",IF(HLOOKUP(O$15,Data_5!$F$10:$BG$42,$A42+2,FALSE)="NE","NE",IF(HLOOKUP(O$15,Data_5!$F$10:$BG$42,$A42+2,FALSE)="C","C",IF(HLOOKUP(O$15,Data_5!$F$10:$BG$42,$A42+2,FALSE)="NO","NO",HLOOKUP(O$15,Data_5!$F$10:$BG$42,$A42+2,FALSE)/Data_5!$BH37))))),"")</f>
        <v>NO</v>
      </c>
      <c r="P42" s="1122" t="str">
        <f>IFERROR(IF(HLOOKUP(P$15,Data_5!$F$10:$BG$42,$A42+2,FALSE)="NO","NO",IF(HLOOKUP(P$15,Data_5!$F$10:$BG$42,$A42+2,FALSE)="IE","IE",IF(HLOOKUP(P$15,Data_5!$F$10:$BG$42,$A42+2,FALSE)="NE","NE",IF(HLOOKUP(P$15,Data_5!$F$10:$BG$42,$A42+2,FALSE)="C","C",IF(HLOOKUP(P$15,Data_5!$F$10:$BG$42,$A42+2,FALSE)="NO","NO",HLOOKUP(P$15,Data_5!$F$10:$BG$42,$A42+2,FALSE)/Data_5!$BH37))))),"")</f>
        <v>NO</v>
      </c>
      <c r="Q42" s="1122" t="str">
        <f>IFERROR(IF(HLOOKUP(Q$15,Data_5!$F$10:$BG$42,$A42+2,FALSE)="NO","NO",IF(HLOOKUP(Q$15,Data_5!$F$10:$BG$42,$A42+2,FALSE)="IE","IE",IF(HLOOKUP(Q$15,Data_5!$F$10:$BG$42,$A42+2,FALSE)="NE","NE",IF(HLOOKUP(Q$15,Data_5!$F$10:$BG$42,$A42+2,FALSE)="C","C",IF(HLOOKUP(Q$15,Data_5!$F$10:$BG$42,$A42+2,FALSE)="NO","NO",HLOOKUP(Q$15,Data_5!$F$10:$BG$42,$A42+2,FALSE)/Data_5!$BH37))))),"")</f>
        <v>NO</v>
      </c>
      <c r="R42" s="1122">
        <f>IFERROR(IF(HLOOKUP(R$15,Data_5!$F$10:$BG$42,$A42+2,FALSE)="NO","NO",IF(HLOOKUP(R$15,Data_5!$F$10:$BG$42,$A42+2,FALSE)="IE","IE",IF(HLOOKUP(R$15,Data_5!$F$10:$BG$42,$A42+2,FALSE)="NE","NE",IF(HLOOKUP(R$15,Data_5!$F$10:$BG$42,$A42+2,FALSE)="C","C",IF(HLOOKUP(R$15,Data_5!$F$10:$BG$42,$A42+2,FALSE)="NO","NO",HLOOKUP(R$15,Data_5!$F$10:$BG$42,$A42+2,FALSE)/Data_5!$BH37))))),"")</f>
        <v>4.0768595594394266E-3</v>
      </c>
      <c r="S42" s="1122">
        <f>IFERROR(IF(HLOOKUP(S$15,Data_5!$F$10:$BG$42,$A42+2,FALSE)="NO","NO",IF(HLOOKUP(S$15,Data_5!$F$10:$BG$42,$A42+2,FALSE)="IE","IE",IF(HLOOKUP(S$15,Data_5!$F$10:$BG$42,$A42+2,FALSE)="NE","NE",IF(HLOOKUP(S$15,Data_5!$F$10:$BG$42,$A42+2,FALSE)="C","C",IF(HLOOKUP(S$15,Data_5!$F$10:$BG$42,$A42+2,FALSE)="NO","NO",HLOOKUP(S$15,Data_5!$F$10:$BG$42,$A42+2,FALSE)/Data_5!$BH37))))),"")</f>
        <v>4.2494230086017833E-2</v>
      </c>
      <c r="T42" s="1122" t="str">
        <f>IFERROR(IF(HLOOKUP(T$15,Data_5!$F$10:$BG$42,$A42+2,FALSE)="NO","NO",IF(HLOOKUP(T$15,Data_5!$F$10:$BG$42,$A42+2,FALSE)="IE","IE",IF(HLOOKUP(T$15,Data_5!$F$10:$BG$42,$A42+2,FALSE)="NE","NE",IF(HLOOKUP(T$15,Data_5!$F$10:$BG$42,$A42+2,FALSE)="C","C",IF(HLOOKUP(T$15,Data_5!$F$10:$BG$42,$A42+2,FALSE)="NO","NO",HLOOKUP(T$15,Data_5!$F$10:$BG$42,$A42+2,FALSE)/Data_5!$BH37))))),"")</f>
        <v>NO</v>
      </c>
      <c r="U42" s="1122" t="str">
        <f>IFERROR(IF(HLOOKUP(U$15,Data_5!$F$10:$BG$42,$A42+2,FALSE)="NO","NO",IF(HLOOKUP(U$15,Data_5!$F$10:$BG$42,$A42+2,FALSE)="IE","IE",IF(HLOOKUP(U$15,Data_5!$F$10:$BG$42,$A42+2,FALSE)="NE","NE",IF(HLOOKUP(U$15,Data_5!$F$10:$BG$42,$A42+2,FALSE)="C","C",IF(HLOOKUP(U$15,Data_5!$F$10:$BG$42,$A42+2,FALSE)="NO","NO",HLOOKUP(U$15,Data_5!$F$10:$BG$42,$A42+2,FALSE)/Data_5!$BH37))))),"")</f>
        <v>NO</v>
      </c>
      <c r="V42" s="1122">
        <f>IFERROR(IF(HLOOKUP(V$15,Data_5!$F$10:$BG$42,$A42+2,FALSE)="NO","NO",IF(HLOOKUP(V$15,Data_5!$F$10:$BG$42,$A42+2,FALSE)="IE","IE",IF(HLOOKUP(V$15,Data_5!$F$10:$BG$42,$A42+2,FALSE)="NE","NE",IF(HLOOKUP(V$15,Data_5!$F$10:$BG$42,$A42+2,FALSE)="C","C",IF(HLOOKUP(V$15,Data_5!$F$10:$BG$42,$A42+2,FALSE)="NO","NO",HLOOKUP(V$15,Data_5!$F$10:$BG$42,$A42+2,FALSE)/Data_5!$BH37))))),"")</f>
        <v>2.2885866327523569E-2</v>
      </c>
      <c r="W42" s="1122">
        <f>IFERROR(IF(HLOOKUP(W$15,Data_5!$F$10:$BG$42,$A42+2,FALSE)="NO","NO",IF(HLOOKUP(W$15,Data_5!$F$10:$BG$42,$A42+2,FALSE)="IE","IE",IF(HLOOKUP(W$15,Data_5!$F$10:$BG$42,$A42+2,FALSE)="NE","NE",IF(HLOOKUP(W$15,Data_5!$F$10:$BG$42,$A42+2,FALSE)="C","C",IF(HLOOKUP(W$15,Data_5!$F$10:$BG$42,$A42+2,FALSE)="NO","NO",HLOOKUP(W$15,Data_5!$F$10:$BG$42,$A42+2,FALSE)/Data_5!$BH37))))),"")</f>
        <v>1.2999183892360047E-3</v>
      </c>
      <c r="X42" s="1122" t="str">
        <f>IFERROR(IF(HLOOKUP(X$15,Data_5!$F$10:$BG$42,$A42+2,FALSE)="NO","NO",IF(HLOOKUP(X$15,Data_5!$F$10:$BG$42,$A42+2,FALSE)="IE","IE",IF(HLOOKUP(X$15,Data_5!$F$10:$BG$42,$A42+2,FALSE)="NE","NE",IF(HLOOKUP(X$15,Data_5!$F$10:$BG$42,$A42+2,FALSE)="C","C",IF(HLOOKUP(X$15,Data_5!$F$10:$BG$42,$A42+2,FALSE)="NO","NO",HLOOKUP(X$15,Data_5!$F$10:$BG$42,$A42+2,FALSE)/Data_5!$BH37))))),"")</f>
        <v>NO</v>
      </c>
      <c r="Y42" s="1122" t="str">
        <f>IFERROR(IF(HLOOKUP(Y$15,Data_5!$F$10:$BG$42,$A42+2,FALSE)="NO","NO",IF(HLOOKUP(Y$15,Data_5!$F$10:$BG$42,$A42+2,FALSE)="IE","IE",IF(HLOOKUP(Y$15,Data_5!$F$10:$BG$42,$A42+2,FALSE)="NE","NE",IF(HLOOKUP(Y$15,Data_5!$F$10:$BG$42,$A42+2,FALSE)="C","C",IF(HLOOKUP(Y$15,Data_5!$F$10:$BG$42,$A42+2,FALSE)="NO","NO",HLOOKUP(Y$15,Data_5!$F$10:$BG$42,$A42+2,FALSE)/Data_5!$BH37))))),"")</f>
        <v>NO</v>
      </c>
      <c r="Z42" s="1122" t="str">
        <f>IFERROR(IF(HLOOKUP(Z$15,Data_5!$F$10:$BG$42,$A42+2,FALSE)="NO","NO",IF(HLOOKUP(Z$15,Data_5!$F$10:$BG$42,$A42+2,FALSE)="IE","IE",IF(HLOOKUP(Z$15,Data_5!$F$10:$BG$42,$A42+2,FALSE)="NE","NE",IF(HLOOKUP(Z$15,Data_5!$F$10:$BG$42,$A42+2,FALSE)="C","C",IF(HLOOKUP(Z$15,Data_5!$F$10:$BG$42,$A42+2,FALSE)="NO","NO",HLOOKUP(Z$15,Data_5!$F$10:$BG$42,$A42+2,FALSE)/Data_5!$BH37))))),"")</f>
        <v>NO</v>
      </c>
      <c r="AA42" s="1122" t="str">
        <f>IFERROR(IF(HLOOKUP(AA$15,Data_5!$F$10:$BG$42,$A42+2,FALSE)="NO","NO",IF(HLOOKUP(AA$15,Data_5!$F$10:$BG$42,$A42+2,FALSE)="IE","IE",IF(HLOOKUP(AA$15,Data_5!$F$10:$BG$42,$A42+2,FALSE)="NE","NE",IF(HLOOKUP(AA$15,Data_5!$F$10:$BG$42,$A42+2,FALSE)="C","C",IF(HLOOKUP(AA$15,Data_5!$F$10:$BG$42,$A42+2,FALSE)="NO","NO",HLOOKUP(AA$15,Data_5!$F$10:$BG$42,$A42+2,FALSE)/Data_5!$BH37))))),"")</f>
        <v>IE</v>
      </c>
      <c r="AB42" s="1122" t="str">
        <f>IFERROR(IF(HLOOKUP(AB$15,Data_5!$F$10:$BG$42,$A42+2,FALSE)="NO","NO",IF(HLOOKUP(AB$15,Data_5!$F$10:$BG$42,$A42+2,FALSE)="IE","IE",IF(HLOOKUP(AB$15,Data_5!$F$10:$BG$42,$A42+2,FALSE)="NE","NE",IF(HLOOKUP(AB$15,Data_5!$F$10:$BG$42,$A42+2,FALSE)="C","C",IF(HLOOKUP(AB$15,Data_5!$F$10:$BG$42,$A42+2,FALSE)="NO","NO",HLOOKUP(AB$15,Data_5!$F$10:$BG$42,$A42+2,FALSE)/Data_5!$BH37))))),"")</f>
        <v>NO</v>
      </c>
      <c r="AC42" s="1122" t="str">
        <f>IFERROR(IF(HLOOKUP(AC$15,Data_5!$F$10:$BG$42,$A42+2,FALSE)="NO","NO",IF(HLOOKUP(AC$15,Data_5!$F$10:$BG$42,$A42+2,FALSE)="IE","IE",IF(HLOOKUP(AC$15,Data_5!$F$10:$BG$42,$A42+2,FALSE)="NE","NE",IF(HLOOKUP(AC$15,Data_5!$F$10:$BG$42,$A42+2,FALSE)="C","C",IF(HLOOKUP(AC$15,Data_5!$F$10:$BG$42,$A42+2,FALSE)="NO","NO",HLOOKUP(AC$15,Data_5!$F$10:$BG$42,$A42+2,FALSE)/Data_5!$BH37))))),"")</f>
        <v>NO</v>
      </c>
      <c r="AD42" s="1122">
        <f>IFERROR(IF(HLOOKUP(AD$15,Data_5!$F$10:$BG$42,$A42+2,FALSE)="NO","NO",IF(HLOOKUP(AD$15,Data_5!$F$10:$BG$42,$A42+2,FALSE)="IE","IE",IF(HLOOKUP(AD$15,Data_5!$F$10:$BG$42,$A42+2,FALSE)="NE","NE",IF(HLOOKUP(AD$15,Data_5!$F$10:$BG$42,$A42+2,FALSE)="C","C",IF(HLOOKUP(AD$15,Data_5!$F$10:$BG$42,$A42+2,FALSE)="NO","NO",HLOOKUP(AD$15,Data_5!$F$10:$BG$42,$A42+2,FALSE)/Data_5!$BH37))))),"")</f>
        <v>4.6835676417288322E-2</v>
      </c>
      <c r="AE42" s="1122" t="str">
        <f>IFERROR(IF(HLOOKUP(AE$15,Data_5!$F$10:$BG$42,$A42+2,FALSE)="NO","NO",IF(HLOOKUP(AE$15,Data_5!$F$10:$BG$42,$A42+2,FALSE)="IE","IE",IF(HLOOKUP(AE$15,Data_5!$F$10:$BG$42,$A42+2,FALSE)="NE","NE",IF(HLOOKUP(AE$15,Data_5!$F$10:$BG$42,$A42+2,FALSE)="C","C",IF(HLOOKUP(AE$15,Data_5!$F$10:$BG$42,$A42+2,FALSE)="NO","NO",HLOOKUP(AE$15,Data_5!$F$10:$BG$42,$A42+2,FALSE)/Data_5!$BH37))))),"")</f>
        <v>NO</v>
      </c>
      <c r="AF42" s="1122">
        <f>IFERROR(IF(HLOOKUP(AF$15,Data_5!$F$10:$BG$42,$A42+2,FALSE)="NO","NO",IF(HLOOKUP(AF$15,Data_5!$F$10:$BG$42,$A42+2,FALSE)="IE","IE",IF(HLOOKUP(AF$15,Data_5!$F$10:$BG$42,$A42+2,FALSE)="NE","NE",IF(HLOOKUP(AF$15,Data_5!$F$10:$BG$42,$A42+2,FALSE)="C","C",IF(HLOOKUP(AF$15,Data_5!$F$10:$BG$42,$A42+2,FALSE)="NO","NO",HLOOKUP(AF$15,Data_5!$F$10:$BG$42,$A42+2,FALSE)/Data_5!$BH37))))),"")</f>
        <v>5.2407489124242168E-5</v>
      </c>
      <c r="AG42" s="1122" t="str">
        <f>IFERROR(IF(HLOOKUP(AG$15,Data_5!$F$10:$BG$42,$A42+2,FALSE)="NO","NO",IF(HLOOKUP(AG$15,Data_5!$F$10:$BG$42,$A42+2,FALSE)="IE","IE",IF(HLOOKUP(AG$15,Data_5!$F$10:$BG$42,$A42+2,FALSE)="NE","NE",IF(HLOOKUP(AG$15,Data_5!$F$10:$BG$42,$A42+2,FALSE)="C","C",IF(HLOOKUP(AG$15,Data_5!$F$10:$BG$42,$A42+2,FALSE)="NO","NO",HLOOKUP(AG$15,Data_5!$F$10:$BG$42,$A42+2,FALSE)/Data_5!$BH37))))),"")</f>
        <v>NO</v>
      </c>
      <c r="AH42" s="1122" t="str">
        <f>IFERROR(IF(HLOOKUP(AH$15,Data_5!$F$10:$BG$42,$A42+2,FALSE)="NO","NO",IF(HLOOKUP(AH$15,Data_5!$F$10:$BG$42,$A42+2,FALSE)="IE","IE",IF(HLOOKUP(AH$15,Data_5!$F$10:$BG$42,$A42+2,FALSE)="NE","NE",IF(HLOOKUP(AH$15,Data_5!$F$10:$BG$42,$A42+2,FALSE)="C","C",IF(HLOOKUP(AH$15,Data_5!$F$10:$BG$42,$A42+2,FALSE)="NO","NO",HLOOKUP(AH$15,Data_5!$F$10:$BG$42,$A42+2,FALSE)/Data_5!$BH37))))),"")</f>
        <v>NO</v>
      </c>
      <c r="AI42" s="1122" t="str">
        <f>IFERROR(IF(HLOOKUP(AI$15,Data_5!$F$10:$BG$42,$A42+2,FALSE)="NO","NO",IF(HLOOKUP(AI$15,Data_5!$F$10:$BG$42,$A42+2,FALSE)="IE","IE",IF(HLOOKUP(AI$15,Data_5!$F$10:$BG$42,$A42+2,FALSE)="NE","NE",IF(HLOOKUP(AI$15,Data_5!$F$10:$BG$42,$A42+2,FALSE)="C","C",IF(HLOOKUP(AI$15,Data_5!$F$10:$BG$42,$A42+2,FALSE)="NO","NO",HLOOKUP(AI$15,Data_5!$F$10:$BG$42,$A42+2,FALSE)/Data_5!$BH37))))),"")</f>
        <v>NO</v>
      </c>
      <c r="AJ42" s="1122">
        <f>IFERROR(IF(HLOOKUP(AJ$15,Data_5!$F$10:$BG$42,$A42+2,FALSE)="NO","NO",IF(HLOOKUP(AJ$15,Data_5!$F$10:$BG$42,$A42+2,FALSE)="IE","IE",IF(HLOOKUP(AJ$15,Data_5!$F$10:$BG$42,$A42+2,FALSE)="NE","NE",IF(HLOOKUP(AJ$15,Data_5!$F$10:$BG$42,$A42+2,FALSE)="C","C",IF(HLOOKUP(AJ$15,Data_5!$F$10:$BG$42,$A42+2,FALSE)="NO","NO",HLOOKUP(AJ$15,Data_5!$F$10:$BG$42,$A42+2,FALSE)/Data_5!$BH37))))),"")</f>
        <v>1.3701029894889903E-3</v>
      </c>
      <c r="AK42" s="15"/>
      <c r="AL42" s="2628" t="str">
        <f t="shared" si="0"/>
        <v>City of Sydney</v>
      </c>
      <c r="AM42" s="2629"/>
      <c r="AN42" s="1100">
        <f t="shared" si="1"/>
        <v>2014</v>
      </c>
      <c r="AO42" s="1122" t="str">
        <f>IFERROR(IF(VLOOKUP($AL42,Data_5!$B$12:$E$42,4,FALSE)="BASIC","",(IF(HLOOKUP(AO$15,Data_5!$F$10:$BG$42,$A42+2,FALSE)="NO","NO",IF(HLOOKUP(AO$15,Data_5!$F$10:$BG$42,$A42+2,FALSE)="IE","IE",IF(HLOOKUP(AO$15,Data_5!$F$10:$BG$42,$A42+2,FALSE)="NE","NE",IF(HLOOKUP(AO$15,Data_5!$F$10:$BG$42,$A42+2,FALSE)="C","C",IF(HLOOKUP(AO$15,Data_5!$F$10:$BG$42,$A42+2,FALSE)="NO","NO",HLOOKUP(AO$15,Data_5!$F$10:$BG$42,$A42+2,FALSE)/Data_5!$BI37))))))),"")</f>
        <v/>
      </c>
      <c r="AP42" s="1122" t="str">
        <f>IFERROR(IF(VLOOKUP($AL42,Data_5!$B$12:$E$42,4,FALSE)="BASIC","",(IF(HLOOKUP(AP$15,Data_5!$F$10:$BG$42,$A42+2,FALSE)="NO","NO",IF(HLOOKUP(AP$15,Data_5!$F$10:$BG$42,$A42+2,FALSE)="IE","IE",IF(HLOOKUP(AP$15,Data_5!$F$10:$BG$42,$A42+2,FALSE)="NE","NE",IF(HLOOKUP(AP$15,Data_5!$F$10:$BG$42,$A42+2,FALSE)="C","C",IF(HLOOKUP(AP$15,Data_5!$F$10:$BG$42,$A42+2,FALSE)="NO","NO",HLOOKUP(AP$15,Data_5!$F$10:$BG$42,$A42+2,FALSE)/Data_5!$BI37))))))),"")</f>
        <v/>
      </c>
      <c r="AQ42" s="1122" t="str">
        <f>IFERROR(IF(VLOOKUP($AL42,Data_5!$B$12:$E$42,4,FALSE)="BASIC","",(IF(HLOOKUP(AQ$15,Data_5!$F$10:$BG$42,$A42+2,FALSE)="NO","NO",IF(HLOOKUP(AQ$15,Data_5!$F$10:$BG$42,$A42+2,FALSE)="IE","IE",IF(HLOOKUP(AQ$15,Data_5!$F$10:$BG$42,$A42+2,FALSE)="NE","NE",IF(HLOOKUP(AQ$15,Data_5!$F$10:$BG$42,$A42+2,FALSE)="C","C",IF(HLOOKUP(AQ$15,Data_5!$F$10:$BG$42,$A42+2,FALSE)="NO","NO",HLOOKUP(AQ$15,Data_5!$F$10:$BG$42,$A42+2,FALSE)/Data_5!$BI37))))))),"")</f>
        <v/>
      </c>
      <c r="AR42" s="1122" t="str">
        <f>IFERROR(IF(VLOOKUP($AL42,Data_5!$B$12:$E$42,4,FALSE)="BASIC","",(IF(HLOOKUP(AR$15,Data_5!$F$10:$BG$42,$A42+2,FALSE)="NO","NO",IF(HLOOKUP(AR$15,Data_5!$F$10:$BG$42,$A42+2,FALSE)="IE","IE",IF(HLOOKUP(AR$15,Data_5!$F$10:$BG$42,$A42+2,FALSE)="NE","NE",IF(HLOOKUP(AR$15,Data_5!$F$10:$BG$42,$A42+2,FALSE)="C","C",IF(HLOOKUP(AR$15,Data_5!$F$10:$BG$42,$A42+2,FALSE)="NO","NO",HLOOKUP(AR$15,Data_5!$F$10:$BG$42,$A42+2,FALSE)/Data_5!$BI37))))))),"")</f>
        <v/>
      </c>
      <c r="AS42" s="1122" t="str">
        <f>IFERROR(IF(VLOOKUP($AL42,Data_5!$B$12:$E$42,4,FALSE)="BASIC","",(IF(HLOOKUP(AS$15,Data_5!$F$10:$BG$42,$A42+2,FALSE)="NO","NO",IF(HLOOKUP(AS$15,Data_5!$F$10:$BG$42,$A42+2,FALSE)="IE","IE",IF(HLOOKUP(AS$15,Data_5!$F$10:$BG$42,$A42+2,FALSE)="NE","NE",IF(HLOOKUP(AS$15,Data_5!$F$10:$BG$42,$A42+2,FALSE)="C","C",IF(HLOOKUP(AS$15,Data_5!$F$10:$BG$42,$A42+2,FALSE)="NO","NO",HLOOKUP(AS$15,Data_5!$F$10:$BG$42,$A42+2,FALSE)/Data_5!$BI37))))))),"")</f>
        <v/>
      </c>
      <c r="AT42" s="1122" t="str">
        <f>IFERROR(IF(VLOOKUP($AL42,Data_5!$B$12:$E$42,4,FALSE)="BASIC","",(IF(HLOOKUP(AT$15,Data_5!$F$10:$BG$42,$A42+2,FALSE)="NO","NO",IF(HLOOKUP(AT$15,Data_5!$F$10:$BG$42,$A42+2,FALSE)="IE","IE",IF(HLOOKUP(AT$15,Data_5!$F$10:$BG$42,$A42+2,FALSE)="NE","NE",IF(HLOOKUP(AT$15,Data_5!$F$10:$BG$42,$A42+2,FALSE)="C","C",IF(HLOOKUP(AT$15,Data_5!$F$10:$BG$42,$A42+2,FALSE)="NO","NO",HLOOKUP(AT$15,Data_5!$F$10:$BG$42,$A42+2,FALSE)/Data_5!$BI37))))))),"")</f>
        <v/>
      </c>
      <c r="AU42" s="1122" t="str">
        <f>IFERROR(IF(VLOOKUP($AL42,Data_5!$B$12:$E$42,4,FALSE)="BASIC","",(IF(HLOOKUP(AU$15,Data_5!$F$10:$BG$42,$A42+2,FALSE)="NO","NO",IF(HLOOKUP(AU$15,Data_5!$F$10:$BG$42,$A42+2,FALSE)="IE","IE",IF(HLOOKUP(AU$15,Data_5!$F$10:$BG$42,$A42+2,FALSE)="NE","NE",IF(HLOOKUP(AU$15,Data_5!$F$10:$BG$42,$A42+2,FALSE)="C","C",IF(HLOOKUP(AU$15,Data_5!$F$10:$BG$42,$A42+2,FALSE)="NO","NO",HLOOKUP(AU$15,Data_5!$F$10:$BG$42,$A42+2,FALSE)/Data_5!$BI37))))))),"")</f>
        <v/>
      </c>
      <c r="AV42" s="1122" t="str">
        <f>IFERROR(IF(VLOOKUP($AL42,Data_5!$B$12:$E$42,4,FALSE)="BASIC","",(IF(HLOOKUP(AV$15,Data_5!$F$10:$BG$42,$A42+2,FALSE)="NO","NO",IF(HLOOKUP(AV$15,Data_5!$F$10:$BG$42,$A42+2,FALSE)="IE","IE",IF(HLOOKUP(AV$15,Data_5!$F$10:$BG$42,$A42+2,FALSE)="NE","NE",IF(HLOOKUP(AV$15,Data_5!$F$10:$BG$42,$A42+2,FALSE)="C","C",IF(HLOOKUP(AV$15,Data_5!$F$10:$BG$42,$A42+2,FALSE)="NO","NO",HLOOKUP(AV$15,Data_5!$F$10:$BG$42,$A42+2,FALSE)/Data_5!$BI37))))))),"")</f>
        <v/>
      </c>
      <c r="AW42" s="1122" t="str">
        <f>IFERROR(IF(VLOOKUP($AL42,Data_5!$B$12:$E$42,4,FALSE)="BASIC","",(IF(HLOOKUP(AW$15,Data_5!$F$10:$BG$42,$A42+2,FALSE)="NO","NO",IF(HLOOKUP(AW$15,Data_5!$F$10:$BG$42,$A42+2,FALSE)="IE","IE",IF(HLOOKUP(AW$15,Data_5!$F$10:$BG$42,$A42+2,FALSE)="NE","NE",IF(HLOOKUP(AW$15,Data_5!$F$10:$BG$42,$A42+2,FALSE)="C","C",IF(HLOOKUP(AW$15,Data_5!$F$10:$BG$42,$A42+2,FALSE)="NO","NO",HLOOKUP(AW$15,Data_5!$F$10:$BG$42,$A42+2,FALSE)/Data_5!$BI37))))))),"")</f>
        <v/>
      </c>
      <c r="AX42" s="1122" t="str">
        <f>IFERROR(IF(VLOOKUP($AL42,Data_5!$B$12:$E$42,4,FALSE)="BASIC","",(IF(HLOOKUP(AX$15,Data_5!$F$10:$BG$42,$A42+2,FALSE)="NO","NO",IF(HLOOKUP(AX$15,Data_5!$F$10:$BG$42,$A42+2,FALSE)="IE","IE",IF(HLOOKUP(AX$15,Data_5!$F$10:$BG$42,$A42+2,FALSE)="NE","NE",IF(HLOOKUP(AX$15,Data_5!$F$10:$BG$42,$A42+2,FALSE)="C","C",IF(HLOOKUP(AX$15,Data_5!$F$10:$BG$42,$A42+2,FALSE)="NO","NO",HLOOKUP(AX$15,Data_5!$F$10:$BG$42,$A42+2,FALSE)/Data_5!$BI37))))))),"")</f>
        <v/>
      </c>
      <c r="AY42" s="1122" t="str">
        <f>IFERROR(IF(VLOOKUP($AL42,Data_5!$B$12:$E$42,4,FALSE)="BASIC","",(IF(HLOOKUP(AY$15,Data_5!$F$10:$BG$42,$A42+2,FALSE)="NO","NO",IF(HLOOKUP(AY$15,Data_5!$F$10:$BG$42,$A42+2,FALSE)="IE","IE",IF(HLOOKUP(AY$15,Data_5!$F$10:$BG$42,$A42+2,FALSE)="NE","NE",IF(HLOOKUP(AY$15,Data_5!$F$10:$BG$42,$A42+2,FALSE)="C","C",IF(HLOOKUP(AY$15,Data_5!$F$10:$BG$42,$A42+2,FALSE)="NO","NO",HLOOKUP(AY$15,Data_5!$F$10:$BG$42,$A42+2,FALSE)/Data_5!$BI37))))))),"")</f>
        <v/>
      </c>
      <c r="AZ42" s="1122" t="str">
        <f>IFERROR(IF(VLOOKUP($AL42,Data_5!$B$12:$E$42,4,FALSE)="BASIC","",(IF(HLOOKUP(AZ$15,Data_5!$F$10:$BG$42,$A42+2,FALSE)="NO","NO",IF(HLOOKUP(AZ$15,Data_5!$F$10:$BG$42,$A42+2,FALSE)="IE","IE",IF(HLOOKUP(AZ$15,Data_5!$F$10:$BG$42,$A42+2,FALSE)="NE","NE",IF(HLOOKUP(AZ$15,Data_5!$F$10:$BG$42,$A42+2,FALSE)="C","C",IF(HLOOKUP(AZ$15,Data_5!$F$10:$BG$42,$A42+2,FALSE)="NO","NO",HLOOKUP(AZ$15,Data_5!$F$10:$BG$42,$A42+2,FALSE)/Data_5!$BI37))))))),"")</f>
        <v/>
      </c>
      <c r="BA42" s="1122" t="str">
        <f>IFERROR(IF(VLOOKUP($AL42,Data_5!$B$12:$E$42,4,FALSE)="BASIC","",(IF(HLOOKUP(BA$15,Data_5!$F$10:$BG$42,$A42+2,FALSE)="NO","NO",IF(HLOOKUP(BA$15,Data_5!$F$10:$BG$42,$A42+2,FALSE)="IE","IE",IF(HLOOKUP(BA$15,Data_5!$F$10:$BG$42,$A42+2,FALSE)="NE","NE",IF(HLOOKUP(BA$15,Data_5!$F$10:$BG$42,$A42+2,FALSE)="C","C",IF(HLOOKUP(BA$15,Data_5!$F$10:$BG$42,$A42+2,FALSE)="NO","NO",HLOOKUP(BA$15,Data_5!$F$10:$BG$42,$A42+2,FALSE)/Data_5!$BI37))))))),"")</f>
        <v/>
      </c>
      <c r="BB42" s="1122" t="str">
        <f>IFERROR(IF(VLOOKUP($AL42,Data_5!$B$12:$E$42,4,FALSE)="BASIC","",(IF(HLOOKUP(BB$15,Data_5!$F$10:$BG$42,$A42+2,FALSE)="NO","NO",IF(HLOOKUP(BB$15,Data_5!$F$10:$BG$42,$A42+2,FALSE)="IE","IE",IF(HLOOKUP(BB$15,Data_5!$F$10:$BG$42,$A42+2,FALSE)="NE","NE",IF(HLOOKUP(BB$15,Data_5!$F$10:$BG$42,$A42+2,FALSE)="C","C",IF(HLOOKUP(BB$15,Data_5!$F$10:$BG$42,$A42+2,FALSE)="NO","NO",HLOOKUP(BB$15,Data_5!$F$10:$BG$42,$A42+2,FALSE)/Data_5!$BI37))))))),"")</f>
        <v/>
      </c>
      <c r="BC42" s="1122" t="str">
        <f>IFERROR(IF(VLOOKUP($AL42,Data_5!$B$12:$E$42,4,FALSE)="BASIC","",(IF(HLOOKUP(BC$15,Data_5!$F$10:$BG$42,$A42+2,FALSE)="NO","NO",IF(HLOOKUP(BC$15,Data_5!$F$10:$BG$42,$A42+2,FALSE)="IE","IE",IF(HLOOKUP(BC$15,Data_5!$F$10:$BG$42,$A42+2,FALSE)="NE","NE",IF(HLOOKUP(BC$15,Data_5!$F$10:$BG$42,$A42+2,FALSE)="C","C",IF(HLOOKUP(BC$15,Data_5!$F$10:$BG$42,$A42+2,FALSE)="NO","NO",HLOOKUP(BC$15,Data_5!$F$10:$BG$42,$A42+2,FALSE)/Data_5!$BI37))))))),"")</f>
        <v/>
      </c>
      <c r="BD42" s="1122" t="str">
        <f>IFERROR(IF(VLOOKUP($AL42,Data_5!$B$12:$E$42,4,FALSE)="BASIC","",(IF(HLOOKUP(BD$15,Data_5!$F$10:$BG$42,$A42+2,FALSE)="NO","NO",IF(HLOOKUP(BD$15,Data_5!$F$10:$BG$42,$A42+2,FALSE)="IE","IE",IF(HLOOKUP(BD$15,Data_5!$F$10:$BG$42,$A42+2,FALSE)="NE","NE",IF(HLOOKUP(BD$15,Data_5!$F$10:$BG$42,$A42+2,FALSE)="C","C",IF(HLOOKUP(BD$15,Data_5!$F$10:$BG$42,$A42+2,FALSE)="NO","NO",HLOOKUP(BD$15,Data_5!$F$10:$BG$42,$A42+2,FALSE)/Data_5!$BI37))))))),"")</f>
        <v/>
      </c>
      <c r="BE42" s="1122" t="str">
        <f>IFERROR(IF(VLOOKUP($AL42,Data_5!$B$12:$E$42,4,FALSE)="BASIC","",(IF(HLOOKUP(BE$15,Data_5!$F$10:$BG$42,$A42+2,FALSE)="NO","NO",IF(HLOOKUP(BE$15,Data_5!$F$10:$BG$42,$A42+2,FALSE)="IE","IE",IF(HLOOKUP(BE$15,Data_5!$F$10:$BG$42,$A42+2,FALSE)="NE","NE",IF(HLOOKUP(BE$15,Data_5!$F$10:$BG$42,$A42+2,FALSE)="C","C",IF(HLOOKUP(BE$15,Data_5!$F$10:$BG$42,$A42+2,FALSE)="NO","NO",HLOOKUP(BE$15,Data_5!$F$10:$BG$42,$A42+2,FALSE)/Data_5!$BI37))))))),"")</f>
        <v/>
      </c>
      <c r="BF42" s="1122" t="str">
        <f>IFERROR(IF(VLOOKUP($AL42,Data_5!$B$12:$E$42,4,FALSE)="BASIC","",(IF(HLOOKUP(BF$15,Data_5!$F$10:$BG$42,$A42+2,FALSE)="NO","NO",IF(HLOOKUP(BF$15,Data_5!$F$10:$BG$42,$A42+2,FALSE)="IE","IE",IF(HLOOKUP(BF$15,Data_5!$F$10:$BG$42,$A42+2,FALSE)="NE","NE",IF(HLOOKUP(BF$15,Data_5!$F$10:$BG$42,$A42+2,FALSE)="C","C",IF(HLOOKUP(BF$15,Data_5!$F$10:$BG$42,$A42+2,FALSE)="NO","NO",HLOOKUP(BF$15,Data_5!$F$10:$BG$42,$A42+2,FALSE)/Data_5!$BI37))))))),"")</f>
        <v/>
      </c>
      <c r="BG42" s="1122" t="str">
        <f>IFERROR(IF(VLOOKUP($AL42,Data_5!$B$12:$E$42,4,FALSE)="BASIC","",(IF(HLOOKUP(BG$15,Data_5!$F$10:$BG$42,$A42+2,FALSE)="NO","NO",IF(HLOOKUP(BG$15,Data_5!$F$10:$BG$42,$A42+2,FALSE)="IE","IE",IF(HLOOKUP(BG$15,Data_5!$F$10:$BG$42,$A42+2,FALSE)="NE","NE",IF(HLOOKUP(BG$15,Data_5!$F$10:$BG$42,$A42+2,FALSE)="C","C",IF(HLOOKUP(BG$15,Data_5!$F$10:$BG$42,$A42+2,FALSE)="NO","NO",HLOOKUP(BG$15,Data_5!$F$10:$BG$42,$A42+2,FALSE)/Data_5!$BI37))))))),"")</f>
        <v/>
      </c>
      <c r="BH42" s="1122" t="str">
        <f>IFERROR(IF(VLOOKUP($AL42,Data_5!$B$12:$E$42,4,FALSE)="BASIC","",(IF(HLOOKUP(BH$15,Data_5!$F$10:$BG$42,$A42+2,FALSE)="NO","NO",IF(HLOOKUP(BH$15,Data_5!$F$10:$BG$42,$A42+2,FALSE)="IE","IE",IF(HLOOKUP(BH$15,Data_5!$F$10:$BG$42,$A42+2,FALSE)="NE","NE",IF(HLOOKUP(BH$15,Data_5!$F$10:$BG$42,$A42+2,FALSE)="C","C",IF(HLOOKUP(BH$15,Data_5!$F$10:$BG$42,$A42+2,FALSE)="NO","NO",HLOOKUP(BH$15,Data_5!$F$10:$BG$42,$A42+2,FALSE)/Data_5!$BI37))))))),"")</f>
        <v/>
      </c>
      <c r="BI42" s="1122" t="str">
        <f>IFERROR(IF(VLOOKUP($AL42,Data_5!$B$12:$E$42,4,FALSE)="BASIC","",(IF(HLOOKUP(BI$15,Data_5!$F$10:$BG$42,$A42+2,FALSE)="NO","NO",IF(HLOOKUP(BI$15,Data_5!$F$10:$BG$42,$A42+2,FALSE)="IE","IE",IF(HLOOKUP(BI$15,Data_5!$F$10:$BG$42,$A42+2,FALSE)="NE","NE",IF(HLOOKUP(BI$15,Data_5!$F$10:$BG$42,$A42+2,FALSE)="C","C",IF(HLOOKUP(BI$15,Data_5!$F$10:$BG$42,$A42+2,FALSE)="NO","NO",HLOOKUP(BI$15,Data_5!$F$10:$BG$42,$A42+2,FALSE)/Data_5!$BI37))))))),"")</f>
        <v/>
      </c>
      <c r="BJ42" s="1122" t="str">
        <f>IFERROR(IF(VLOOKUP($AL42,Data_5!$B$12:$E$42,4,FALSE)="BASIC","",(IF(HLOOKUP(BJ$15,Data_5!$F$10:$BG$42,$A42+2,FALSE)="NO","NO",IF(HLOOKUP(BJ$15,Data_5!$F$10:$BG$42,$A42+2,FALSE)="IE","IE",IF(HLOOKUP(BJ$15,Data_5!$F$10:$BG$42,$A42+2,FALSE)="NE","NE",IF(HLOOKUP(BJ$15,Data_5!$F$10:$BG$42,$A42+2,FALSE)="C","C",IF(HLOOKUP(BJ$15,Data_5!$F$10:$BG$42,$A42+2,FALSE)="NO","NO",HLOOKUP(BJ$15,Data_5!$F$10:$BG$42,$A42+2,FALSE)/Data_5!$BI37))))))),"")</f>
        <v/>
      </c>
      <c r="BK42" s="1122" t="str">
        <f>IFERROR(IF(VLOOKUP($AL42,Data_5!$B$12:$E$42,4,FALSE)="BASIC","",(IF(HLOOKUP(BK$15,Data_5!$F$10:$BG$42,$A42+2,FALSE)="NO","NO",IF(HLOOKUP(BK$15,Data_5!$F$10:$BG$42,$A42+2,FALSE)="IE","IE",IF(HLOOKUP(BK$15,Data_5!$F$10:$BG$42,$A42+2,FALSE)="NE","NE",IF(HLOOKUP(BK$15,Data_5!$F$10:$BG$42,$A42+2,FALSE)="C","C",IF(HLOOKUP(BK$15,Data_5!$F$10:$BG$42,$A42+2,FALSE)="NO","NO",HLOOKUP(BK$15,Data_5!$F$10:$BG$42,$A42+2,FALSE)/Data_5!$BI37))))))),"")</f>
        <v/>
      </c>
      <c r="BL42" s="1122" t="str">
        <f>IFERROR(IF(VLOOKUP($AL42,Data_5!$B$12:$E$42,4,FALSE)="BASIC","",(IF(HLOOKUP(BL$15,Data_5!$F$10:$BG$42,$A42+2,FALSE)="NO","NO",IF(HLOOKUP(BL$15,Data_5!$F$10:$BG$42,$A42+2,FALSE)="IE","IE",IF(HLOOKUP(BL$15,Data_5!$F$10:$BG$42,$A42+2,FALSE)="NE","NE",IF(HLOOKUP(BL$15,Data_5!$F$10:$BG$42,$A42+2,FALSE)="C","C",IF(HLOOKUP(BL$15,Data_5!$F$10:$BG$42,$A42+2,FALSE)="NO","NO",HLOOKUP(BL$15,Data_5!$F$10:$BG$42,$A42+2,FALSE)/Data_5!$BI37))))))),"")</f>
        <v/>
      </c>
      <c r="BM42" s="1122" t="str">
        <f>IFERROR(IF(VLOOKUP($AL42,Data_5!$B$12:$E$42,4,FALSE)="BASIC","",(IF(HLOOKUP(BM$15,Data_5!$F$10:$BG$42,$A42+2,FALSE)="NO","NO",IF(HLOOKUP(BM$15,Data_5!$F$10:$BG$42,$A42+2,FALSE)="IE","IE",IF(HLOOKUP(BM$15,Data_5!$F$10:$BG$42,$A42+2,FALSE)="NE","NE",IF(HLOOKUP(BM$15,Data_5!$F$10:$BG$42,$A42+2,FALSE)="C","C",IF(HLOOKUP(BM$15,Data_5!$F$10:$BG$42,$A42+2,FALSE)="NO","NO",HLOOKUP(BM$15,Data_5!$F$10:$BG$42,$A42+2,FALSE)/Data_5!$BI37))))))),"")</f>
        <v/>
      </c>
      <c r="BN42" s="1122" t="str">
        <f>IFERROR(IF(VLOOKUP($AL42,Data_5!$B$12:$E$42,4,FALSE)="BASIC","",(IF(HLOOKUP(BN$15,Data_5!$F$10:$BG$42,$A42+2,FALSE)="NO","NO",IF(HLOOKUP(BN$15,Data_5!$F$10:$BG$42,$A42+2,FALSE)="IE","IE",IF(HLOOKUP(BN$15,Data_5!$F$10:$BG$42,$A42+2,FALSE)="NE","NE",IF(HLOOKUP(BN$15,Data_5!$F$10:$BG$42,$A42+2,FALSE)="C","C",IF(HLOOKUP(BN$15,Data_5!$F$10:$BG$42,$A42+2,FALSE)="NO","NO",HLOOKUP(BN$15,Data_5!$F$10:$BG$42,$A42+2,FALSE)/Data_5!$BI37))))))),"")</f>
        <v/>
      </c>
      <c r="BO42" s="1122" t="str">
        <f>IFERROR(IF(VLOOKUP($AL42,Data_5!$B$12:$E$42,4,FALSE)="BASIC","",(IF(HLOOKUP(BO$15,Data_5!$F$10:$BG$42,$A42+2,FALSE)="NO","NO",IF(HLOOKUP(BO$15,Data_5!$F$10:$BG$42,$A42+2,FALSE)="IE","IE",IF(HLOOKUP(BO$15,Data_5!$F$10:$BG$42,$A42+2,FALSE)="NE","NE",IF(HLOOKUP(BO$15,Data_5!$F$10:$BG$42,$A42+2,FALSE)="C","C",IF(HLOOKUP(BO$15,Data_5!$F$10:$BG$42,$A42+2,FALSE)="NO","NO",HLOOKUP(BO$15,Data_5!$F$10:$BG$42,$A42+2,FALSE)/Data_5!$BI37))))))),"")</f>
        <v/>
      </c>
      <c r="BP42" s="1122" t="str">
        <f>IFERROR(IF(VLOOKUP($AL42,Data_5!$B$12:$E$42,4,FALSE)="BASIC","",(IF(HLOOKUP(BP$15,Data_5!$F$10:$BG$42,$A42+2,FALSE)="NO","NO",IF(HLOOKUP(BP$15,Data_5!$F$10:$BG$42,$A42+2,FALSE)="IE","IE",IF(HLOOKUP(BP$15,Data_5!$F$10:$BG$42,$A42+2,FALSE)="NE","NE",IF(HLOOKUP(BP$15,Data_5!$F$10:$BG$42,$A42+2,FALSE)="C","C",IF(HLOOKUP(BP$15,Data_5!$F$10:$BG$42,$A42+2,FALSE)="NO","NO",HLOOKUP(BP$15,Data_5!$F$10:$BG$42,$A42+2,FALSE)/Data_5!$BI37))))))),"")</f>
        <v/>
      </c>
      <c r="BQ42" s="1122" t="str">
        <f>IFERROR(IF(VLOOKUP($AL42,Data_5!$B$12:$E$42,4,FALSE)="BASIC","",(IF(HLOOKUP(BQ$15,Data_5!$F$10:$BG$42,$A42+2,FALSE)="NO","NO",IF(HLOOKUP(BQ$15,Data_5!$F$10:$BG$42,$A42+2,FALSE)="IE","IE",IF(HLOOKUP(BQ$15,Data_5!$F$10:$BG$42,$A42+2,FALSE)="NE","NE",IF(HLOOKUP(BQ$15,Data_5!$F$10:$BG$42,$A42+2,FALSE)="C","C",IF(HLOOKUP(BQ$15,Data_5!$F$10:$BG$42,$A42+2,FALSE)="NO","NO",HLOOKUP(BQ$15,Data_5!$F$10:$BG$42,$A42+2,FALSE)/Data_5!$BI37))))))),"")</f>
        <v/>
      </c>
      <c r="BR42" s="1122" t="str">
        <f>IFERROR(IF(VLOOKUP($AL42,Data_5!$B$12:$E$42,4,FALSE)="BASIC","",(IF(HLOOKUP(BR$15,Data_5!$F$10:$BG$42,$A42+2,FALSE)="NO","NO",IF(HLOOKUP(BR$15,Data_5!$F$10:$BG$42,$A42+2,FALSE)="IE","IE",IF(HLOOKUP(BR$15,Data_5!$F$10:$BG$42,$A42+2,FALSE)="NE","NE",IF(HLOOKUP(BR$15,Data_5!$F$10:$BG$42,$A42+2,FALSE)="C","C",IF(HLOOKUP(BR$15,Data_5!$F$10:$BG$42,$A42+2,FALSE)="NO","NO",HLOOKUP(BR$15,Data_5!$F$10:$BG$42,$A42+2,FALSE)/Data_5!$BI37))))))),"")</f>
        <v/>
      </c>
      <c r="BS42" s="1122" t="str">
        <f>IFERROR(IF(VLOOKUP($AL42,Data_5!$B$12:$E$42,4,FALSE)="BASIC","",(IF(HLOOKUP(BS$15,Data_5!$F$10:$BG$42,$A42+2,FALSE)="NO","NO",IF(HLOOKUP(BS$15,Data_5!$F$10:$BG$42,$A42+2,FALSE)="IE","IE",IF(HLOOKUP(BS$15,Data_5!$F$10:$BG$42,$A42+2,FALSE)="NE","NE",IF(HLOOKUP(BS$15,Data_5!$F$10:$BG$42,$A42+2,FALSE)="C","C",IF(HLOOKUP(BS$15,Data_5!$F$10:$BG$42,$A42+2,FALSE)="NO","NO",HLOOKUP(BS$15,Data_5!$F$10:$BG$42,$A42+2,FALSE)/Data_5!$BI37))))))),"")</f>
        <v/>
      </c>
      <c r="BT42" s="1122" t="str">
        <f>IFERROR(IF(VLOOKUP($AL42,Data_5!$B$12:$E$42,4,FALSE)="BASIC","",(IF(HLOOKUP(BT$15,Data_5!$F$10:$BG$42,$A42+2,FALSE)="NO","NO",IF(HLOOKUP(BT$15,Data_5!$F$10:$BG$42,$A42+2,FALSE)="IE","IE",IF(HLOOKUP(BT$15,Data_5!$F$10:$BG$42,$A42+2,FALSE)="NE","NE",IF(HLOOKUP(BT$15,Data_5!$F$10:$BG$42,$A42+2,FALSE)="C","C",IF(HLOOKUP(BT$15,Data_5!$F$10:$BG$42,$A42+2,FALSE)="NO","NO",HLOOKUP(BT$15,Data_5!$F$10:$BG$42,$A42+2,FALSE)/Data_5!$BI37))))))),"")</f>
        <v/>
      </c>
      <c r="BU42" s="1122" t="str">
        <f>IFERROR(IF(VLOOKUP($AL42,Data_5!$B$12:$E$42,4,FALSE)="BASIC","",(IF(HLOOKUP(BU$15,Data_5!$F$10:$BG$42,$A42+2,FALSE)="NO","NO",IF(HLOOKUP(BU$15,Data_5!$F$10:$BG$42,$A42+2,FALSE)="IE","IE",IF(HLOOKUP(BU$15,Data_5!$F$10:$BG$42,$A42+2,FALSE)="NE","NE",IF(HLOOKUP(BU$15,Data_5!$F$10:$BG$42,$A42+2,FALSE)="C","C",IF(HLOOKUP(BU$15,Data_5!$F$10:$BG$42,$A42+2,FALSE)="NO","NO",HLOOKUP(BU$15,Data_5!$F$10:$BG$42,$A42+2,FALSE)/Data_5!$BI37))))))),"")</f>
        <v/>
      </c>
      <c r="BV42" s="1122" t="str">
        <f>IFERROR(IF(VLOOKUP($AL42,Data_5!$B$12:$E$42,4,FALSE)="BASIC","",(IF(HLOOKUP(BV$15,Data_5!$F$10:$BG$42,$A42+2,FALSE)="NO","NO",IF(HLOOKUP(BV$15,Data_5!$F$10:$BG$42,$A42+2,FALSE)="IE","IE",IF(HLOOKUP(BV$15,Data_5!$F$10:$BG$42,$A42+2,FALSE)="NE","NE",IF(HLOOKUP(BV$15,Data_5!$F$10:$BG$42,$A42+2,FALSE)="C","C",IF(HLOOKUP(BV$15,Data_5!$F$10:$BG$42,$A42+2,FALSE)="NO","NO",HLOOKUP(BV$15,Data_5!$F$10:$BG$42,$A42+2,FALSE)/Data_5!$BI37))))))),"")</f>
        <v/>
      </c>
      <c r="BW42" s="1122" t="str">
        <f>IFERROR(IF(VLOOKUP($AL42,Data_5!$B$12:$E$42,4,FALSE)="BASIC","",(IF(HLOOKUP(BW$15,Data_5!$F$10:$BG$42,$A42+2,FALSE)="NO","NO",IF(HLOOKUP(BW$15,Data_5!$F$10:$BG$42,$A42+2,FALSE)="IE","IE",IF(HLOOKUP(BW$15,Data_5!$F$10:$BG$42,$A42+2,FALSE)="NE","NE",IF(HLOOKUP(BW$15,Data_5!$F$10:$BG$42,$A42+2,FALSE)="C","C",IF(HLOOKUP(BW$15,Data_5!$F$10:$BG$42,$A42+2,FALSE)="NO","NO",HLOOKUP(BW$15,Data_5!$F$10:$BG$42,$A42+2,FALSE)/Data_5!$BI37))))))),"")</f>
        <v/>
      </c>
      <c r="BX42" s="1122" t="str">
        <f>IFERROR(IF(VLOOKUP($AL42,Data_5!$B$12:$E$42,4,FALSE)="BASIC","",(IF(HLOOKUP(BX$15,Data_5!$F$10:$BG$42,$A42+2,FALSE)="NO","NO",IF(HLOOKUP(BX$15,Data_5!$F$10:$BG$42,$A42+2,FALSE)="IE","IE",IF(HLOOKUP(BX$15,Data_5!$F$10:$BG$42,$A42+2,FALSE)="NE","NE",IF(HLOOKUP(BX$15,Data_5!$F$10:$BG$42,$A42+2,FALSE)="C","C",IF(HLOOKUP(BX$15,Data_5!$F$10:$BG$42,$A42+2,FALSE)="NO","NO",HLOOKUP(BX$15,Data_5!$F$10:$BG$42,$A42+2,FALSE)/Data_5!$BI37))))))),"")</f>
        <v/>
      </c>
      <c r="BY42" s="1122" t="str">
        <f>IFERROR(IF(VLOOKUP($AL42,Data_5!$B$12:$E$42,4,FALSE)="BASIC","",(IF(HLOOKUP(BY$15,Data_5!$F$10:$BG$42,$A42+2,FALSE)="NO","NO",IF(HLOOKUP(BY$15,Data_5!$F$10:$BG$42,$A42+2,FALSE)="IE","IE",IF(HLOOKUP(BY$15,Data_5!$F$10:$BG$42,$A42+2,FALSE)="NE","NE",IF(HLOOKUP(BY$15,Data_5!$F$10:$BG$42,$A42+2,FALSE)="C","C",IF(HLOOKUP(BY$15,Data_5!$F$10:$BG$42,$A42+2,FALSE)="NO","NO",HLOOKUP(BY$15,Data_5!$F$10:$BG$42,$A42+2,FALSE)/Data_5!$BI37))))))),"")</f>
        <v/>
      </c>
      <c r="BZ42" s="1122" t="str">
        <f>IFERROR(IF(VLOOKUP($AL42,Data_5!$B$12:$E$42,4,FALSE)="BASIC","",(IF(HLOOKUP(BZ$15,Data_5!$F$10:$BG$42,$A42+2,FALSE)="NO","NO",IF(HLOOKUP(BZ$15,Data_5!$F$10:$BG$42,$A42+2,FALSE)="IE","IE",IF(HLOOKUP(BZ$15,Data_5!$F$10:$BG$42,$A42+2,FALSE)="NE","NE",IF(HLOOKUP(BZ$15,Data_5!$F$10:$BG$42,$A42+2,FALSE)="C","C",IF(HLOOKUP(BZ$15,Data_5!$F$10:$BG$42,$A42+2,FALSE)="NO","NO",HLOOKUP(BZ$15,Data_5!$F$10:$BG$42,$A42+2,FALSE)/Data_5!$BI37))))))),"")</f>
        <v/>
      </c>
      <c r="CA42" s="1122" t="str">
        <f>IFERROR(IF(VLOOKUP($AL42,Data_5!$B$12:$E$42,4,FALSE)="BASIC","",(IF(HLOOKUP(CA$15,Data_5!$F$10:$BG$42,$A42+2,FALSE)="NO","NO",IF(HLOOKUP(CA$15,Data_5!$F$10:$BG$42,$A42+2,FALSE)="IE","IE",IF(HLOOKUP(CA$15,Data_5!$F$10:$BG$42,$A42+2,FALSE)="NE","NE",IF(HLOOKUP(CA$15,Data_5!$F$10:$BG$42,$A42+2,FALSE)="C","C",IF(HLOOKUP(CA$15,Data_5!$F$10:$BG$42,$A42+2,FALSE)="NO","NO",HLOOKUP(CA$15,Data_5!$F$10:$BG$42,$A42+2,FALSE)/Data_5!$BI37))))))),"")</f>
        <v/>
      </c>
      <c r="CB42" s="1122" t="str">
        <f>IFERROR(IF(VLOOKUP($AL42,Data_5!$B$12:$E$42,4,FALSE)="BASIC","",(IF(HLOOKUP(CB$15,Data_5!$F$10:$BG$42,$A42+2,FALSE)="NO","NO",IF(HLOOKUP(CB$15,Data_5!$F$10:$BG$42,$A42+2,FALSE)="IE","IE",IF(HLOOKUP(CB$15,Data_5!$F$10:$BG$42,$A42+2,FALSE)="NE","NE",IF(HLOOKUP(CB$15,Data_5!$F$10:$BG$42,$A42+2,FALSE)="C","C",IF(HLOOKUP(CB$15,Data_5!$F$10:$BG$42,$A42+2,FALSE)="NO","NO",HLOOKUP(CB$15,Data_5!$F$10:$BG$42,$A42+2,FALSE)/Data_5!$BI37))))))),"")</f>
        <v/>
      </c>
      <c r="CC42" s="1122" t="str">
        <f>IFERROR(IF(VLOOKUP($AL42,Data_5!$B$12:$E$42,4,FALSE)="BASIC","",(IF(HLOOKUP(CC$15,Data_5!$F$10:$BG$42,$A42+2,FALSE)="NO","NO",IF(HLOOKUP(CC$15,Data_5!$F$10:$BG$42,$A42+2,FALSE)="IE","IE",IF(HLOOKUP(CC$15,Data_5!$F$10:$BG$42,$A42+2,FALSE)="NE","NE",IF(HLOOKUP(CC$15,Data_5!$F$10:$BG$42,$A42+2,FALSE)="C","C",IF(HLOOKUP(CC$15,Data_5!$F$10:$BG$42,$A42+2,FALSE)="NO","NO",HLOOKUP(CC$15,Data_5!$F$10:$BG$42,$A42+2,FALSE)/Data_5!$BI37))))))),"")</f>
        <v/>
      </c>
      <c r="CD42" s="1122" t="str">
        <f>IFERROR(IF(VLOOKUP($AL42,Data_5!$B$12:$E$42,4,FALSE)="BASIC","",(IF(HLOOKUP(CD$15,Data_5!$F$10:$BG$42,$A42+2,FALSE)="NO","NO",IF(HLOOKUP(CD$15,Data_5!$F$10:$BG$42,$A42+2,FALSE)="IE","IE",IF(HLOOKUP(CD$15,Data_5!$F$10:$BG$42,$A42+2,FALSE)="NE","NE",IF(HLOOKUP(CD$15,Data_5!$F$10:$BG$42,$A42+2,FALSE)="C","C",IF(HLOOKUP(CD$15,Data_5!$F$10:$BG$42,$A42+2,FALSE)="NO","NO",HLOOKUP(CD$15,Data_5!$F$10:$BG$42,$A42+2,FALSE)/Data_5!$BI37))))))),"")</f>
        <v/>
      </c>
      <c r="CE42" s="1122" t="str">
        <f>IFERROR(IF(VLOOKUP($AL42,Data_5!$B$12:$E$42,4,FALSE)="BASIC","",(IF(HLOOKUP(CE$15,Data_5!$F$10:$BG$42,$A42+2,FALSE)="NO","NO",IF(HLOOKUP(CE$15,Data_5!$F$10:$BG$42,$A42+2,FALSE)="IE","IE",IF(HLOOKUP(CE$15,Data_5!$F$10:$BG$42,$A42+2,FALSE)="NE","NE",IF(HLOOKUP(CE$15,Data_5!$F$10:$BG$42,$A42+2,FALSE)="C","C",IF(HLOOKUP(CE$15,Data_5!$F$10:$BG$42,$A42+2,FALSE)="NO","NO",HLOOKUP(CE$15,Data_5!$F$10:$BG$42,$A42+2,FALSE)/Data_5!$BI37))))))),"")</f>
        <v/>
      </c>
      <c r="CF42" s="1122" t="str">
        <f>IFERROR(IF(VLOOKUP($AL42,Data_5!$B$12:$E$42,4,FALSE)="BASIC","",(IF(HLOOKUP(CF$15,Data_5!$F$10:$BG$42,$A42+2,FALSE)="NO","NO",IF(HLOOKUP(CF$15,Data_5!$F$10:$BG$42,$A42+2,FALSE)="IE","IE",IF(HLOOKUP(CF$15,Data_5!$F$10:$BG$42,$A42+2,FALSE)="NE","NE",IF(HLOOKUP(CF$15,Data_5!$F$10:$BG$42,$A42+2,FALSE)="C","C",IF(HLOOKUP(CF$15,Data_5!$F$10:$BG$42,$A42+2,FALSE)="NO","NO",HLOOKUP(CF$15,Data_5!$F$10:$BG$42,$A42+2,FALSE)/Data_5!$BI37))))))),"")</f>
        <v/>
      </c>
      <c r="CG42" s="1122" t="str">
        <f>IFERROR(IF(VLOOKUP($AL42,Data_5!$B$12:$E$42,4,FALSE)="BASIC","",(IF(HLOOKUP(CG$15,Data_5!$F$10:$BG$42,$A42+2,FALSE)="NO","NO",IF(HLOOKUP(CG$15,Data_5!$F$10:$BG$42,$A42+2,FALSE)="IE","IE",IF(HLOOKUP(CG$15,Data_5!$F$10:$BG$42,$A42+2,FALSE)="NE","NE",IF(HLOOKUP(CG$15,Data_5!$F$10:$BG$42,$A42+2,FALSE)="C","C",IF(HLOOKUP(CG$15,Data_5!$F$10:$BG$42,$A42+2,FALSE)="NO","NO",HLOOKUP(CG$15,Data_5!$F$10:$BG$42,$A42+2,FALSE)/Data_5!$BI37))))))),"")</f>
        <v/>
      </c>
      <c r="CH42" s="1122" t="str">
        <f>IFERROR(IF(VLOOKUP($AL42,Data_5!$B$12:$E$42,4,FALSE)="BASIC","",(IF(HLOOKUP(CH$15,Data_5!$F$10:$BG$42,$A42+2,FALSE)="NO","NO",IF(HLOOKUP(CH$15,Data_5!$F$10:$BG$42,$A42+2,FALSE)="IE","IE",IF(HLOOKUP(CH$15,Data_5!$F$10:$BG$42,$A42+2,FALSE)="NE","NE",IF(HLOOKUP(CH$15,Data_5!$F$10:$BG$42,$A42+2,FALSE)="C","C",IF(HLOOKUP(CH$15,Data_5!$F$10:$BG$42,$A42+2,FALSE)="NO","NO",HLOOKUP(CH$15,Data_5!$F$10:$BG$42,$A42+2,FALSE)/Data_5!$BI37))))))),"")</f>
        <v/>
      </c>
      <c r="CI42" s="1122" t="str">
        <f>IFERROR(IF(VLOOKUP($AL42,Data_5!$B$12:$E$42,4,FALSE)="BASIC","",(IF(HLOOKUP(CI$15,Data_5!$F$10:$BG$42,$A42+2,FALSE)="NO","NO",IF(HLOOKUP(CI$15,Data_5!$F$10:$BG$42,$A42+2,FALSE)="IE","IE",IF(HLOOKUP(CI$15,Data_5!$F$10:$BG$42,$A42+2,FALSE)="NE","NE",IF(HLOOKUP(CI$15,Data_5!$F$10:$BG$42,$A42+2,FALSE)="C","C",IF(HLOOKUP(CI$15,Data_5!$F$10:$BG$42,$A42+2,FALSE)="NO","NO",HLOOKUP(CI$15,Data_5!$F$10:$BG$42,$A42+2,FALSE)/Data_5!$BI37))))))),"")</f>
        <v/>
      </c>
      <c r="CJ42" s="1122" t="str">
        <f>IFERROR(IF(VLOOKUP($AL42,Data_5!$B$12:$E$42,4,FALSE)="BASIC","",(IF(HLOOKUP(CJ$15,Data_5!$F$10:$BG$42,$A42+2,FALSE)="NO","NO",IF(HLOOKUP(CJ$15,Data_5!$F$10:$BG$42,$A42+2,FALSE)="IE","IE",IF(HLOOKUP(CJ$15,Data_5!$F$10:$BG$42,$A42+2,FALSE)="NE","NE",IF(HLOOKUP(CJ$15,Data_5!$F$10:$BG$42,$A42+2,FALSE)="C","C",IF(HLOOKUP(CJ$15,Data_5!$F$10:$BG$42,$A42+2,FALSE)="NO","NO",HLOOKUP(CJ$15,Data_5!$F$10:$BG$42,$A42+2,FALSE)/Data_5!$BI37))))))),"")</f>
        <v/>
      </c>
      <c r="CK42" s="15"/>
      <c r="CL42" s="2628" t="str">
        <f t="shared" si="2"/>
        <v>City of Sydney</v>
      </c>
      <c r="CM42" s="2629"/>
      <c r="CN42" s="1100">
        <f t="shared" si="3"/>
        <v>2014</v>
      </c>
      <c r="CO42" s="1122">
        <f>IFERROR(IF(HLOOKUP(CO$15,Data_5!$F$10:$BG$42,$A42+2,FALSE)="NO","NO",IF(HLOOKUP(CO$15,Data_5!$F$10:$BG$42,$A42+2,FALSE)="IE","IE",IF(HLOOKUP(CO$15,Data_5!$F$10:$BG$42,$A42+2,FALSE)="NE","NE",IF(HLOOKUP(CO$15,Data_5!$F$10:$BG$42,$A42+2,FALSE)="C","C",IF(HLOOKUP(CO$15,Data_5!$F$10:$BG$42,$A42+2,FALSE)="NO","NO",HLOOKUP(CO$15,Data_5!$F$10:$BG$42,$A42+2,FALSE)/Data_5!$BK37))))),"")</f>
        <v>0.18994165977577585</v>
      </c>
      <c r="CP42" s="1122">
        <f>IFERROR(IF(HLOOKUP(CP$15,Data_5!$F$10:$BG$42,$A42+2,FALSE)="NO","NO",IF(HLOOKUP(CP$15,Data_5!$F$10:$BG$42,$A42+2,FALSE)="IE","IE",IF(HLOOKUP(CP$15,Data_5!$F$10:$BG$42,$A42+2,FALSE)="NE","NE",IF(HLOOKUP(CP$15,Data_5!$F$10:$BG$42,$A42+2,FALSE)="C","C",IF(HLOOKUP(CP$15,Data_5!$F$10:$BG$42,$A42+2,FALSE)="NO","NO",HLOOKUP(CP$15,Data_5!$F$10:$BG$42,$A42+2,FALSE)/Data_5!$BK37))))),"")</f>
        <v>0.31185360202245455</v>
      </c>
      <c r="CQ42" s="1122" t="str">
        <f>IFERROR(IF(HLOOKUP(CQ$15,Data_5!$F$10:$BG$42,$A42+2,FALSE)="NO","NO",IF(HLOOKUP(CQ$15,Data_5!$F$10:$BG$42,$A42+2,FALSE)="IE","IE",IF(HLOOKUP(CQ$15,Data_5!$F$10:$BG$42,$A42+2,FALSE)="NE","NE",IF(HLOOKUP(CQ$15,Data_5!$F$10:$BG$42,$A42+2,FALSE)="C","C",IF(HLOOKUP(CQ$15,Data_5!$F$10:$BG$42,$A42+2,FALSE)="NO","NO",HLOOKUP(CQ$15,Data_5!$F$10:$BG$42,$A42+2,FALSE)/Data_5!$BK37))))),"")</f>
        <v>IE</v>
      </c>
      <c r="CR42" s="1122" t="str">
        <f>IFERROR(IF(HLOOKUP(CR$15,Data_5!$F$10:$BG$42,$A42+2,FALSE)="NO","NO",IF(HLOOKUP(CR$15,Data_5!$F$10:$BG$42,$A42+2,FALSE)="IE","IE",IF(HLOOKUP(CR$15,Data_5!$F$10:$BG$42,$A42+2,FALSE)="NE","NE",IF(HLOOKUP(CR$15,Data_5!$F$10:$BG$42,$A42+2,FALSE)="C","C",IF(HLOOKUP(CR$15,Data_5!$F$10:$BG$42,$A42+2,FALSE)="NO","NO",HLOOKUP(CR$15,Data_5!$F$10:$BG$42,$A42+2,FALSE)/Data_5!$BK37))))),"")</f>
        <v>NO</v>
      </c>
      <c r="CS42" s="1122" t="str">
        <f>IFERROR(IF(HLOOKUP(CS$15,Data_5!$F$10:$BG$42,$A42+2,FALSE)="NO","NO",IF(HLOOKUP(CS$15,Data_5!$F$10:$BG$42,$A42+2,FALSE)="IE","IE",IF(HLOOKUP(CS$15,Data_5!$F$10:$BG$42,$A42+2,FALSE)="NE","NE",IF(HLOOKUP(CS$15,Data_5!$F$10:$BG$42,$A42+2,FALSE)="C","C",IF(HLOOKUP(CS$15,Data_5!$F$10:$BG$42,$A42+2,FALSE)="NO","NO",HLOOKUP(CS$15,Data_5!$F$10:$BG$42,$A42+2,FALSE)/Data_5!$BK37))))),"")</f>
        <v>NO</v>
      </c>
      <c r="CT42" s="1122" t="str">
        <f>IFERROR(IF(HLOOKUP(CT$15,Data_5!$F$10:$BG$42,$A42+2,FALSE)="NO","NO",IF(HLOOKUP(CT$15,Data_5!$F$10:$BG$42,$A42+2,FALSE)="IE","IE",IF(HLOOKUP(CT$15,Data_5!$F$10:$BG$42,$A42+2,FALSE)="NE","NE",IF(HLOOKUP(CT$15,Data_5!$F$10:$BG$42,$A42+2,FALSE)="C","C",IF(HLOOKUP(CT$15,Data_5!$F$10:$BG$42,$A42+2,FALSE)="NO","NO",HLOOKUP(CT$15,Data_5!$F$10:$BG$42,$A42+2,FALSE)/Data_5!$BK37))))),"")</f>
        <v>NO</v>
      </c>
      <c r="CU42" s="1122" t="str">
        <f>IFERROR(IF(HLOOKUP(CU$15,Data_5!$F$10:$BG$42,$A42+2,FALSE)="NO","NO",IF(HLOOKUP(CU$15,Data_5!$F$10:$BG$42,$A42+2,FALSE)="IE","IE",IF(HLOOKUP(CU$15,Data_5!$F$10:$BG$42,$A42+2,FALSE)="NE","NE",IF(HLOOKUP(CU$15,Data_5!$F$10:$BG$42,$A42+2,FALSE)="C","C",IF(HLOOKUP(CU$15,Data_5!$F$10:$BG$42,$A42+2,FALSE)="NO","NO",HLOOKUP(CU$15,Data_5!$F$10:$BG$42,$A42+2,FALSE)/Data_5!$BK37))))),"")</f>
        <v>NO</v>
      </c>
      <c r="CV42" s="1122" t="str">
        <f>IFERROR(IF(HLOOKUP(CV$15,Data_5!$F$10:$BG$42,$A42+2,FALSE)="NO","NO",IF(HLOOKUP(CV$15,Data_5!$F$10:$BG$42,$A42+2,FALSE)="IE","IE",IF(HLOOKUP(CV$15,Data_5!$F$10:$BG$42,$A42+2,FALSE)="NE","NE",IF(HLOOKUP(CV$15,Data_5!$F$10:$BG$42,$A42+2,FALSE)="C","C",IF(HLOOKUP(CV$15,Data_5!$F$10:$BG$42,$A42+2,FALSE)="NO","NO",HLOOKUP(CV$15,Data_5!$F$10:$BG$42,$A42+2,FALSE)/Data_5!$BK37))))),"")</f>
        <v>NO</v>
      </c>
      <c r="CW42" s="1122">
        <f>IFERROR(IF(HLOOKUP(CW$15,Data_5!$F$10:$BG$42,$A42+2,FALSE)="NO","NO",IF(HLOOKUP(CW$15,Data_5!$F$10:$BG$42,$A42+2,FALSE)="IE","IE",IF(HLOOKUP(CW$15,Data_5!$F$10:$BG$42,$A42+2,FALSE)="NE","NE",IF(HLOOKUP(CW$15,Data_5!$F$10:$BG$42,$A42+2,FALSE)="C","C",IF(HLOOKUP(CW$15,Data_5!$F$10:$BG$42,$A42+2,FALSE)="NO","NO",HLOOKUP(CW$15,Data_5!$F$10:$BG$42,$A42+2,FALSE)/Data_5!$BK37))))),"")</f>
        <v>4.2428827653345158E-2</v>
      </c>
      <c r="CX42" s="1122">
        <f>IFERROR(IF(HLOOKUP(CX$15,Data_5!$F$10:$BG$42,$A42+2,FALSE)="NO","NO",IF(HLOOKUP(CX$15,Data_5!$F$10:$BG$42,$A42+2,FALSE)="IE","IE",IF(HLOOKUP(CX$15,Data_5!$F$10:$BG$42,$A42+2,FALSE)="NE","NE",IF(HLOOKUP(CX$15,Data_5!$F$10:$BG$42,$A42+2,FALSE)="C","C",IF(HLOOKUP(CX$15,Data_5!$F$10:$BG$42,$A42+2,FALSE)="NO","NO",HLOOKUP(CX$15,Data_5!$F$10:$BG$42,$A42+2,FALSE)/Data_5!$BK37))))),"")</f>
        <v>0.44224735689182221</v>
      </c>
      <c r="CY42" s="1122" t="str">
        <f>IFERROR(IF(HLOOKUP(CY$15,Data_5!$F$10:$BG$42,$A42+2,FALSE)="NO","NO",IF(HLOOKUP(CY$15,Data_5!$F$10:$BG$42,$A42+2,FALSE)="IE","IE",IF(HLOOKUP(CY$15,Data_5!$F$10:$BG$42,$A42+2,FALSE)="NE","NE",IF(HLOOKUP(CY$15,Data_5!$F$10:$BG$42,$A42+2,FALSE)="C","C",IF(HLOOKUP(CY$15,Data_5!$F$10:$BG$42,$A42+2,FALSE)="NO","NO",HLOOKUP(CY$15,Data_5!$F$10:$BG$42,$A42+2,FALSE)/Data_5!$BK37))))),"")</f>
        <v>NO</v>
      </c>
      <c r="CZ42" s="1122">
        <f>IFERROR(IF(HLOOKUP(CZ$15,Data_5!$F$10:$BG$42,$A42+2,FALSE)="NO","NO",IF(HLOOKUP(CZ$15,Data_5!$F$10:$BG$42,$A42+2,FALSE)="IE","IE",IF(HLOOKUP(CZ$15,Data_5!$F$10:$BG$42,$A42+2,FALSE)="NE","NE",IF(HLOOKUP(CZ$15,Data_5!$F$10:$BG$42,$A42+2,FALSE)="C","C",IF(HLOOKUP(CZ$15,Data_5!$F$10:$BG$42,$A42+2,FALSE)="NO","NO",HLOOKUP(CZ$15,Data_5!$F$10:$BG$42,$A42+2,FALSE)/Data_5!$BK37))))),"")</f>
        <v>1.3528553656602348E-2</v>
      </c>
      <c r="DA42" s="1122" t="str">
        <f>IFERROR(IF(HLOOKUP(DA$15,Data_5!$F$10:$BG$42,$A42+2,FALSE)="NO","NO",IF(HLOOKUP(DA$15,Data_5!$F$10:$BG$42,$A42+2,FALSE)="IE","IE",IF(HLOOKUP(DA$15,Data_5!$F$10:$BG$42,$A42+2,FALSE)="NE","NE",IF(HLOOKUP(DA$15,Data_5!$F$10:$BG$42,$A42+2,FALSE)="C","C",IF(HLOOKUP(DA$15,Data_5!$F$10:$BG$42,$A42+2,FALSE)="NO","NO",HLOOKUP(DA$15,Data_5!$F$10:$BG$42,$A42+2,FALSE)/Data_5!$BK37))))),"")</f>
        <v>NO</v>
      </c>
      <c r="DB42" s="1122" t="str">
        <f>IFERROR(IF(HLOOKUP(DB$15,Data_5!$F$10:$BG$42,$A42+2,FALSE)="NO","NO",IF(HLOOKUP(DB$15,Data_5!$F$10:$BG$42,$A42+2,FALSE)="IE","IE",IF(HLOOKUP(DB$15,Data_5!$F$10:$BG$42,$A42+2,FALSE)="NE","NE",IF(HLOOKUP(DB$15,Data_5!$F$10:$BG$42,$A42+2,FALSE)="C","C",IF(HLOOKUP(DB$15,Data_5!$F$10:$BG$42,$A42+2,FALSE)="NO","NO",HLOOKUP(DB$15,Data_5!$F$10:$BG$42,$A42+2,FALSE)/Data_5!$BK37))))),"")</f>
        <v>IE</v>
      </c>
      <c r="DC42" s="1122" t="str">
        <f>IFERROR(IF(HLOOKUP(DC$15,Data_5!$F$10:$BG$42,$A42+2,FALSE)="NO","NO",IF(HLOOKUP(DC$15,Data_5!$F$10:$BG$42,$A42+2,FALSE)="IE","IE",IF(HLOOKUP(DC$15,Data_5!$F$10:$BG$42,$A42+2,FALSE)="NE","NE",IF(HLOOKUP(DC$15,Data_5!$F$10:$BG$42,$A42+2,FALSE)="C","C",IF(HLOOKUP(DC$15,Data_5!$F$10:$BG$42,$A42+2,FALSE)="NO","NO",HLOOKUP(DC$15,Data_5!$F$10:$BG$42,$A42+2,FALSE)/Data_5!$BK37))))),"")</f>
        <v>NO</v>
      </c>
      <c r="DD42" s="1122" t="str">
        <f>IFERROR(IF(HLOOKUP(DD$15,Data_5!$F$10:$BG$42,$A42+2,FALSE)="NO","NO",IF(HLOOKUP(DD$15,Data_5!$F$10:$BG$42,$A42+2,FALSE)="IE","IE",IF(HLOOKUP(DD$15,Data_5!$F$10:$BG$42,$A42+2,FALSE)="NE","NE",IF(HLOOKUP(DD$15,Data_5!$F$10:$BG$42,$A42+2,FALSE)="C","C",IF(HLOOKUP(DD$15,Data_5!$F$10:$BG$42,$A42+2,FALSE)="NO","NO",HLOOKUP(DD$15,Data_5!$F$10:$BG$42,$A42+2,FALSE)/Data_5!$BK37))))),"")</f>
        <v>NO</v>
      </c>
      <c r="DE42" s="1122" t="str">
        <f>IFERROR(IF(HLOOKUP(DE$15,Data_5!$F$10:$BG$42,$A42+2,FALSE)="NO","NO",IF(HLOOKUP(DE$15,Data_5!$F$10:$BG$42,$A42+2,FALSE)="IE","IE",IF(HLOOKUP(DE$15,Data_5!$F$10:$BG$42,$A42+2,FALSE)="NE","NE",IF(HLOOKUP(DE$15,Data_5!$F$10:$BG$42,$A42+2,FALSE)="C","C",IF(HLOOKUP(DE$15,Data_5!$F$10:$BG$42,$A42+2,FALSE)="NO","NO",HLOOKUP(DE$15,Data_5!$F$10:$BG$42,$A42+2,FALSE)/Data_5!$BK37))))),"")</f>
        <v>NO</v>
      </c>
      <c r="DF42" s="1122" t="str">
        <f>IFERROR(IF(HLOOKUP(DF$15,Data_5!$F$10:$BG$42,$A42+2,FALSE)="NO","NO",IF(HLOOKUP(DF$15,Data_5!$F$10:$BG$42,$A42+2,FALSE)="IE","IE",IF(HLOOKUP(DF$15,Data_5!$F$10:$BG$42,$A42+2,FALSE)="NE","NE",IF(HLOOKUP(DF$15,Data_5!$F$10:$BG$42,$A42+2,FALSE)="C","C",IF(HLOOKUP(DF$15,Data_5!$F$10:$BG$42,$A42+2,FALSE)="NO","NO",HLOOKUP(DF$15,Data_5!$F$10:$BG$42,$A42+2,FALSE)/Data_5!$BK37))))),"")</f>
        <v>NO</v>
      </c>
      <c r="DG42" s="1122" t="str">
        <f>IFERROR(IF(HLOOKUP(DG$15,Data_5!$F$10:$BG$42,$A42+2,FALSE)="NO","NO",IF(HLOOKUP(DG$15,Data_5!$F$10:$BG$42,$A42+2,FALSE)="IE","IE",IF(HLOOKUP(DG$15,Data_5!$F$10:$BG$42,$A42+2,FALSE)="NE","NE",IF(HLOOKUP(DG$15,Data_5!$F$10:$BG$42,$A42+2,FALSE)="C","C",IF(HLOOKUP(DG$15,Data_5!$F$10:$BG$42,$A42+2,FALSE)="NO","NO",HLOOKUP(DG$15,Data_5!$F$10:$BG$42,$A42+2,FALSE)/Data_5!$BK37))))),"")</f>
        <v>NO</v>
      </c>
      <c r="DH42" s="1122" t="str">
        <f>IFERROR(IF(HLOOKUP(DH$15,Data_5!$F$10:$BG$42,$A42+2,FALSE)="NO","NO",IF(HLOOKUP(DH$15,Data_5!$F$10:$BG$42,$A42+2,FALSE)="IE","IE",IF(HLOOKUP(DH$15,Data_5!$F$10:$BG$42,$A42+2,FALSE)="NE","NE",IF(HLOOKUP(DH$15,Data_5!$F$10:$BG$42,$A42+2,FALSE)="C","C",IF(HLOOKUP(DH$15,Data_5!$F$10:$BG$42,$A42+2,FALSE)="NO","NO",HLOOKUP(DH$15,Data_5!$F$10:$BG$42,$A42+2,FALSE)/Data_5!$BK37))))),"")</f>
        <v>NO</v>
      </c>
      <c r="DI42" s="1122" t="str">
        <f>IFERROR(IF(HLOOKUP(DI$15,Data_5!$F$10:$BG$42,$A42+2,FALSE)="NO","NO",IF(HLOOKUP(DI$15,Data_5!$F$10:$BG$42,$A42+2,FALSE)="IE","IE",IF(HLOOKUP(DI$15,Data_5!$F$10:$BG$42,$A42+2,FALSE)="NE","NE",IF(HLOOKUP(DI$15,Data_5!$F$10:$BG$42,$A42+2,FALSE)="C","C",IF(HLOOKUP(DI$15,Data_5!$F$10:$BG$42,$A42+2,FALSE)="NO","NO",HLOOKUP(DI$15,Data_5!$F$10:$BG$42,$A42+2,FALSE)/Data_5!$BK37))))),"")</f>
        <v>NO</v>
      </c>
      <c r="DJ42" s="1122" t="str">
        <f>IFERROR(IF(HLOOKUP(DJ$15,Data_5!$F$10:$BG$42,$A42+2,FALSE)="NO","NO",IF(HLOOKUP(DJ$15,Data_5!$F$10:$BG$42,$A42+2,FALSE)="IE","IE",IF(HLOOKUP(DJ$15,Data_5!$F$10:$BG$42,$A42+2,FALSE)="NE","NE",IF(HLOOKUP(DJ$15,Data_5!$F$10:$BG$42,$A42+2,FALSE)="C","C",IF(HLOOKUP(DJ$15,Data_5!$F$10:$BG$42,$A42+2,FALSE)="NO","NO",HLOOKUP(DJ$15,Data_5!$F$10:$BG$42,$A42+2,FALSE)/Data_5!$BK37))))),"")</f>
        <v>NO</v>
      </c>
      <c r="DK42" s="1122" t="str">
        <f>IFERROR(IF(HLOOKUP(DK$15,Data_5!$F$10:$BG$42,$A42+2,FALSE)="NO","NO",IF(HLOOKUP(DK$15,Data_5!$F$10:$BG$42,$A42+2,FALSE)="IE","IE",IF(HLOOKUP(DK$15,Data_5!$F$10:$BG$42,$A42+2,FALSE)="NE","NE",IF(HLOOKUP(DK$15,Data_5!$F$10:$BG$42,$A42+2,FALSE)="C","C",IF(HLOOKUP(DK$15,Data_5!$F$10:$BG$42,$A42+2,FALSE)="NO","NO",HLOOKUP(DK$15,Data_5!$F$10:$BG$42,$A42+2,FALSE)/Data_5!$BK37))))),"")</f>
        <v>NE</v>
      </c>
      <c r="DL42" s="1122" t="str">
        <f>IFERROR(IF(HLOOKUP(DL$15,Data_5!$F$10:$BG$42,$A42+2,FALSE)="NO","NO",IF(HLOOKUP(DL$15,Data_5!$F$10:$BG$42,$A42+2,FALSE)="IE","IE",IF(HLOOKUP(DL$15,Data_5!$F$10:$BG$42,$A42+2,FALSE)="NE","NE",IF(HLOOKUP(DL$15,Data_5!$F$10:$BG$42,$A42+2,FALSE)="C","C",IF(HLOOKUP(DL$15,Data_5!$F$10:$BG$42,$A42+2,FALSE)="NO","NO",HLOOKUP(DL$15,Data_5!$F$10:$BG$42,$A42+2,FALSE)/Data_5!$BK37))))),"")</f>
        <v>NE</v>
      </c>
      <c r="DM42" s="1122" t="str">
        <f>IFERROR(IF(HLOOKUP(DM$15,Data_5!$F$10:$BG$42,$A42+2,FALSE)="NO","NO",IF(HLOOKUP(DM$15,Data_5!$F$10:$BG$42,$A42+2,FALSE)="IE","IE",IF(HLOOKUP(DM$15,Data_5!$F$10:$BG$42,$A42+2,FALSE)="NE","NE",IF(HLOOKUP(DM$15,Data_5!$F$10:$BG$42,$A42+2,FALSE)="C","C",IF(HLOOKUP(DM$15,Data_5!$F$10:$BG$42,$A42+2,FALSE)="NO","NO",HLOOKUP(DM$15,Data_5!$F$10:$BG$42,$A42+2,FALSE)/Data_5!$BK37))))),"")</f>
        <v>NE</v>
      </c>
      <c r="DN42" s="1122" t="str">
        <f>IFERROR(IF(HLOOKUP(DN$15,Data_5!$F$10:$BG$42,$A42+2,FALSE)="NO","NO",IF(HLOOKUP(DN$15,Data_5!$F$10:$BG$42,$A42+2,FALSE)="IE","IE",IF(HLOOKUP(DN$15,Data_5!$F$10:$BG$42,$A42+2,FALSE)="NE","NE",IF(HLOOKUP(DN$15,Data_5!$F$10:$BG$42,$A42+2,FALSE)="C","C",IF(HLOOKUP(DN$15,Data_5!$F$10:$BG$42,$A42+2,FALSE)="NO","NO",HLOOKUP(DN$15,Data_5!$F$10:$BG$42,$A42+2,FALSE)/Data_5!$BK37))))),"")</f>
        <v>NE</v>
      </c>
      <c r="DO42" s="1122" t="str">
        <f>IFERROR(IF(HLOOKUP(DO$15,Data_5!$F$10:$BG$42,$A42+2,FALSE)="NO","NO",IF(HLOOKUP(DO$15,Data_5!$F$10:$BG$42,$A42+2,FALSE)="IE","IE",IF(HLOOKUP(DO$15,Data_5!$F$10:$BG$42,$A42+2,FALSE)="NE","NE",IF(HLOOKUP(DO$15,Data_5!$F$10:$BG$42,$A42+2,FALSE)="C","C",IF(HLOOKUP(DO$15,Data_5!$F$10:$BG$42,$A42+2,FALSE)="NO","NO",HLOOKUP(DO$15,Data_5!$F$10:$BG$42,$A42+2,FALSE)/Data_5!$BK37))))),"")</f>
        <v>NE</v>
      </c>
    </row>
    <row r="43" spans="1:119" ht="15" customHeight="1">
      <c r="A43" s="1789">
        <v>27</v>
      </c>
      <c r="B43" s="2628" t="str">
        <f>IF(Data_5!B38&lt;&gt;"",Data_5!B38,"")</f>
        <v>Toronto</v>
      </c>
      <c r="C43" s="2629"/>
      <c r="D43" s="1462">
        <f>IFERROR(VLOOKUP($B43,Data_5!$B$12:$C$42,2,FALSE),"")</f>
        <v>2013</v>
      </c>
      <c r="E43" s="1122">
        <f>IFERROR(IF(HLOOKUP(E$15,Data_5!$F$10:$BG$42,$A43+2,FALSE)="NO","NO",IF(HLOOKUP(E$15,Data_5!$F$10:$BG$42,$A43+2,FALSE)="IE","IE",IF(HLOOKUP(E$15,Data_5!$F$10:$BG$42,$A43+2,FALSE)="NE","NE",IF(HLOOKUP(E$15,Data_5!$F$10:$BG$42,$A43+2,FALSE)="C","C",IF(HLOOKUP(E$15,Data_5!$F$10:$BG$42,$A43+2,FALSE)="NO","NO",HLOOKUP(E$15,Data_5!$F$10:$BG$42,$A43+2,FALSE)/Data_5!$BH38))))),"")</f>
        <v>0.21728827393700759</v>
      </c>
      <c r="F43" s="1122">
        <f>IFERROR(IF(HLOOKUP(F$15,Data_5!$F$10:$BG$42,$A43+2,FALSE)="NO","NO",IF(HLOOKUP(F$15,Data_5!$F$10:$BG$42,$A43+2,FALSE)="IE","IE",IF(HLOOKUP(F$15,Data_5!$F$10:$BG$42,$A43+2,FALSE)="NE","NE",IF(HLOOKUP(F$15,Data_5!$F$10:$BG$42,$A43+2,FALSE)="C","C",IF(HLOOKUP(F$15,Data_5!$F$10:$BG$42,$A43+2,FALSE)="NO","NO",HLOOKUP(F$15,Data_5!$F$10:$BG$42,$A43+2,FALSE)/Data_5!$BH38))))),"")</f>
        <v>2.2655064835592355E-2</v>
      </c>
      <c r="G43" s="1122">
        <f>IFERROR(IF(HLOOKUP(G$15,Data_5!$F$10:$BG$42,$A43+2,FALSE)="NO","NO",IF(HLOOKUP(G$15,Data_5!$F$10:$BG$42,$A43+2,FALSE)="IE","IE",IF(HLOOKUP(G$15,Data_5!$F$10:$BG$42,$A43+2,FALSE)="NE","NE",IF(HLOOKUP(G$15,Data_5!$F$10:$BG$42,$A43+2,FALSE)="C","C",IF(HLOOKUP(G$15,Data_5!$F$10:$BG$42,$A43+2,FALSE)="NO","NO",HLOOKUP(G$15,Data_5!$F$10:$BG$42,$A43+2,FALSE)/Data_5!$BH38))))),"")</f>
        <v>0.13109898149215241</v>
      </c>
      <c r="H43" s="1122">
        <f>IFERROR(IF(HLOOKUP(H$15,Data_5!$F$10:$BG$42,$A43+2,FALSE)="NO","NO",IF(HLOOKUP(H$15,Data_5!$F$10:$BG$42,$A43+2,FALSE)="IE","IE",IF(HLOOKUP(H$15,Data_5!$F$10:$BG$42,$A43+2,FALSE)="NE","NE",IF(HLOOKUP(H$15,Data_5!$F$10:$BG$42,$A43+2,FALSE)="C","C",IF(HLOOKUP(H$15,Data_5!$F$10:$BG$42,$A43+2,FALSE)="NO","NO",HLOOKUP(H$15,Data_5!$F$10:$BG$42,$A43+2,FALSE)/Data_5!$BH38))))),"")</f>
        <v>7.676921621753599E-2</v>
      </c>
      <c r="I43" s="1122">
        <f>IFERROR(IF(HLOOKUP(I$15,Data_5!$F$10:$BG$42,$A43+2,FALSE)="NO","NO",IF(HLOOKUP(I$15,Data_5!$F$10:$BG$42,$A43+2,FALSE)="IE","IE",IF(HLOOKUP(I$15,Data_5!$F$10:$BG$42,$A43+2,FALSE)="NE","NE",IF(HLOOKUP(I$15,Data_5!$F$10:$BG$42,$A43+2,FALSE)="C","C",IF(HLOOKUP(I$15,Data_5!$F$10:$BG$42,$A43+2,FALSE)="NO","NO",HLOOKUP(I$15,Data_5!$F$10:$BG$42,$A43+2,FALSE)/Data_5!$BH38))))),"")</f>
        <v>5.2745352242266598E-2</v>
      </c>
      <c r="J43" s="1122">
        <f>IFERROR(IF(HLOOKUP(J$15,Data_5!$F$10:$BG$42,$A43+2,FALSE)="NO","NO",IF(HLOOKUP(J$15,Data_5!$F$10:$BG$42,$A43+2,FALSE)="IE","IE",IF(HLOOKUP(J$15,Data_5!$F$10:$BG$42,$A43+2,FALSE)="NE","NE",IF(HLOOKUP(J$15,Data_5!$F$10:$BG$42,$A43+2,FALSE)="C","C",IF(HLOOKUP(J$15,Data_5!$F$10:$BG$42,$A43+2,FALSE)="NO","NO",HLOOKUP(J$15,Data_5!$F$10:$BG$42,$A43+2,FALSE)/Data_5!$BH38))))),"")</f>
        <v>1.118643387636859E-2</v>
      </c>
      <c r="K43" s="1122" t="str">
        <f>IFERROR(IF(HLOOKUP(K$15,Data_5!$F$10:$BG$42,$A43+2,FALSE)="NO","NO",IF(HLOOKUP(K$15,Data_5!$F$10:$BG$42,$A43+2,FALSE)="IE","IE",IF(HLOOKUP(K$15,Data_5!$F$10:$BG$42,$A43+2,FALSE)="NE","NE",IF(HLOOKUP(K$15,Data_5!$F$10:$BG$42,$A43+2,FALSE)="C","C",IF(HLOOKUP(K$15,Data_5!$F$10:$BG$42,$A43+2,FALSE)="NO","NO",HLOOKUP(K$15,Data_5!$F$10:$BG$42,$A43+2,FALSE)/Data_5!$BH38))))),"")</f>
        <v>IE</v>
      </c>
      <c r="L43" s="1122" t="str">
        <f>IFERROR(IF(HLOOKUP(L$15,Data_5!$F$10:$BG$42,$A43+2,FALSE)="NO","NO",IF(HLOOKUP(L$15,Data_5!$F$10:$BG$42,$A43+2,FALSE)="IE","IE",IF(HLOOKUP(L$15,Data_5!$F$10:$BG$42,$A43+2,FALSE)="NE","NE",IF(HLOOKUP(L$15,Data_5!$F$10:$BG$42,$A43+2,FALSE)="C","C",IF(HLOOKUP(L$15,Data_5!$F$10:$BG$42,$A43+2,FALSE)="NO","NO",HLOOKUP(L$15,Data_5!$F$10:$BG$42,$A43+2,FALSE)/Data_5!$BH38))))),"")</f>
        <v>IE</v>
      </c>
      <c r="M43" s="1122" t="str">
        <f>IFERROR(IF(HLOOKUP(M$15,Data_5!$F$10:$BG$42,$A43+2,FALSE)="NO","NO",IF(HLOOKUP(M$15,Data_5!$F$10:$BG$42,$A43+2,FALSE)="IE","IE",IF(HLOOKUP(M$15,Data_5!$F$10:$BG$42,$A43+2,FALSE)="NE","NE",IF(HLOOKUP(M$15,Data_5!$F$10:$BG$42,$A43+2,FALSE)="C","C",IF(HLOOKUP(M$15,Data_5!$F$10:$BG$42,$A43+2,FALSE)="NO","NO",HLOOKUP(M$15,Data_5!$F$10:$BG$42,$A43+2,FALSE)/Data_5!$BH38))))),"")</f>
        <v>NO</v>
      </c>
      <c r="N43" s="1122" t="str">
        <f>IFERROR(IF(HLOOKUP(N$15,Data_5!$F$10:$BG$42,$A43+2,FALSE)="NO","NO",IF(HLOOKUP(N$15,Data_5!$F$10:$BG$42,$A43+2,FALSE)="IE","IE",IF(HLOOKUP(N$15,Data_5!$F$10:$BG$42,$A43+2,FALSE)="NE","NE",IF(HLOOKUP(N$15,Data_5!$F$10:$BG$42,$A43+2,FALSE)="C","C",IF(HLOOKUP(N$15,Data_5!$F$10:$BG$42,$A43+2,FALSE)="NO","NO",HLOOKUP(N$15,Data_5!$F$10:$BG$42,$A43+2,FALSE)/Data_5!$BH38))))),"")</f>
        <v>NO</v>
      </c>
      <c r="O43" s="1122" t="str">
        <f>IFERROR(IF(HLOOKUP(O$15,Data_5!$F$10:$BG$42,$A43+2,FALSE)="NO","NO",IF(HLOOKUP(O$15,Data_5!$F$10:$BG$42,$A43+2,FALSE)="IE","IE",IF(HLOOKUP(O$15,Data_5!$F$10:$BG$42,$A43+2,FALSE)="NE","NE",IF(HLOOKUP(O$15,Data_5!$F$10:$BG$42,$A43+2,FALSE)="C","C",IF(HLOOKUP(O$15,Data_5!$F$10:$BG$42,$A43+2,FALSE)="NO","NO",HLOOKUP(O$15,Data_5!$F$10:$BG$42,$A43+2,FALSE)/Data_5!$BH38))))),"")</f>
        <v>NO</v>
      </c>
      <c r="P43" s="1122" t="str">
        <f>IFERROR(IF(HLOOKUP(P$15,Data_5!$F$10:$BG$42,$A43+2,FALSE)="NO","NO",IF(HLOOKUP(P$15,Data_5!$F$10:$BG$42,$A43+2,FALSE)="IE","IE",IF(HLOOKUP(P$15,Data_5!$F$10:$BG$42,$A43+2,FALSE)="NE","NE",IF(HLOOKUP(P$15,Data_5!$F$10:$BG$42,$A43+2,FALSE)="C","C",IF(HLOOKUP(P$15,Data_5!$F$10:$BG$42,$A43+2,FALSE)="NO","NO",HLOOKUP(P$15,Data_5!$F$10:$BG$42,$A43+2,FALSE)/Data_5!$BH38))))),"")</f>
        <v>NO</v>
      </c>
      <c r="Q43" s="1122" t="str">
        <f>IFERROR(IF(HLOOKUP(Q$15,Data_5!$F$10:$BG$42,$A43+2,FALSE)="NO","NO",IF(HLOOKUP(Q$15,Data_5!$F$10:$BG$42,$A43+2,FALSE)="IE","IE",IF(HLOOKUP(Q$15,Data_5!$F$10:$BG$42,$A43+2,FALSE)="NE","NE",IF(HLOOKUP(Q$15,Data_5!$F$10:$BG$42,$A43+2,FALSE)="C","C",IF(HLOOKUP(Q$15,Data_5!$F$10:$BG$42,$A43+2,FALSE)="NO","NO",HLOOKUP(Q$15,Data_5!$F$10:$BG$42,$A43+2,FALSE)/Data_5!$BH38))))),"")</f>
        <v>NO</v>
      </c>
      <c r="R43" s="1122">
        <f>IFERROR(IF(HLOOKUP(R$15,Data_5!$F$10:$BG$42,$A43+2,FALSE)="NO","NO",IF(HLOOKUP(R$15,Data_5!$F$10:$BG$42,$A43+2,FALSE)="IE","IE",IF(HLOOKUP(R$15,Data_5!$F$10:$BG$42,$A43+2,FALSE)="NE","NE",IF(HLOOKUP(R$15,Data_5!$F$10:$BG$42,$A43+2,FALSE)="C","C",IF(HLOOKUP(R$15,Data_5!$F$10:$BG$42,$A43+2,FALSE)="NO","NO",HLOOKUP(R$15,Data_5!$F$10:$BG$42,$A43+2,FALSE)/Data_5!$BH38))))),"")</f>
        <v>6.5155497941517954E-3</v>
      </c>
      <c r="S43" s="1122">
        <f>IFERROR(IF(HLOOKUP(S$15,Data_5!$F$10:$BG$42,$A43+2,FALSE)="NO","NO",IF(HLOOKUP(S$15,Data_5!$F$10:$BG$42,$A43+2,FALSE)="IE","IE",IF(HLOOKUP(S$15,Data_5!$F$10:$BG$42,$A43+2,FALSE)="NE","NE",IF(HLOOKUP(S$15,Data_5!$F$10:$BG$42,$A43+2,FALSE)="C","C",IF(HLOOKUP(S$15,Data_5!$F$10:$BG$42,$A43+2,FALSE)="NO","NO",HLOOKUP(S$15,Data_5!$F$10:$BG$42,$A43+2,FALSE)/Data_5!$BH38))))),"")</f>
        <v>0.35596177998099232</v>
      </c>
      <c r="T43" s="1122" t="str">
        <f>IFERROR(IF(HLOOKUP(T$15,Data_5!$F$10:$BG$42,$A43+2,FALSE)="NO","NO",IF(HLOOKUP(T$15,Data_5!$F$10:$BG$42,$A43+2,FALSE)="IE","IE",IF(HLOOKUP(T$15,Data_5!$F$10:$BG$42,$A43+2,FALSE)="NE","NE",IF(HLOOKUP(T$15,Data_5!$F$10:$BG$42,$A43+2,FALSE)="C","C",IF(HLOOKUP(T$15,Data_5!$F$10:$BG$42,$A43+2,FALSE)="NO","NO",HLOOKUP(T$15,Data_5!$F$10:$BG$42,$A43+2,FALSE)/Data_5!$BH38))))),"")</f>
        <v>IE</v>
      </c>
      <c r="U43" s="1122">
        <f>IFERROR(IF(HLOOKUP(U$15,Data_5!$F$10:$BG$42,$A43+2,FALSE)="NO","NO",IF(HLOOKUP(U$15,Data_5!$F$10:$BG$42,$A43+2,FALSE)="IE","IE",IF(HLOOKUP(U$15,Data_5!$F$10:$BG$42,$A43+2,FALSE)="NE","NE",IF(HLOOKUP(U$15,Data_5!$F$10:$BG$42,$A43+2,FALSE)="C","C",IF(HLOOKUP(U$15,Data_5!$F$10:$BG$42,$A43+2,FALSE)="NO","NO",HLOOKUP(U$15,Data_5!$F$10:$BG$42,$A43+2,FALSE)/Data_5!$BH38))))),"")</f>
        <v>6.5712310380124867E-3</v>
      </c>
      <c r="V43" s="1122">
        <f>IFERROR(IF(HLOOKUP(V$15,Data_5!$F$10:$BG$42,$A43+2,FALSE)="NO","NO",IF(HLOOKUP(V$15,Data_5!$F$10:$BG$42,$A43+2,FALSE)="IE","IE",IF(HLOOKUP(V$15,Data_5!$F$10:$BG$42,$A43+2,FALSE)="NE","NE",IF(HLOOKUP(V$15,Data_5!$F$10:$BG$42,$A43+2,FALSE)="C","C",IF(HLOOKUP(V$15,Data_5!$F$10:$BG$42,$A43+2,FALSE)="NO","NO",HLOOKUP(V$15,Data_5!$F$10:$BG$42,$A43+2,FALSE)/Data_5!$BH38))))),"")</f>
        <v>1.4488702229869879E-3</v>
      </c>
      <c r="W43" s="1122">
        <f>IFERROR(IF(HLOOKUP(W$15,Data_5!$F$10:$BG$42,$A43+2,FALSE)="NO","NO",IF(HLOOKUP(W$15,Data_5!$F$10:$BG$42,$A43+2,FALSE)="IE","IE",IF(HLOOKUP(W$15,Data_5!$F$10:$BG$42,$A43+2,FALSE)="NE","NE",IF(HLOOKUP(W$15,Data_5!$F$10:$BG$42,$A43+2,FALSE)="C","C",IF(HLOOKUP(W$15,Data_5!$F$10:$BG$42,$A43+2,FALSE)="NO","NO",HLOOKUP(W$15,Data_5!$F$10:$BG$42,$A43+2,FALSE)/Data_5!$BH38))))),"")</f>
        <v>7.379619068011312E-5</v>
      </c>
      <c r="X43" s="1122" t="str">
        <f>IFERROR(IF(HLOOKUP(X$15,Data_5!$F$10:$BG$42,$A43+2,FALSE)="NO","NO",IF(HLOOKUP(X$15,Data_5!$F$10:$BG$42,$A43+2,FALSE)="IE","IE",IF(HLOOKUP(X$15,Data_5!$F$10:$BG$42,$A43+2,FALSE)="NE","NE",IF(HLOOKUP(X$15,Data_5!$F$10:$BG$42,$A43+2,FALSE)="C","C",IF(HLOOKUP(X$15,Data_5!$F$10:$BG$42,$A43+2,FALSE)="NO","NO",HLOOKUP(X$15,Data_5!$F$10:$BG$42,$A43+2,FALSE)/Data_5!$BH38))))),"")</f>
        <v>NO</v>
      </c>
      <c r="Y43" s="1122" t="str">
        <f>IFERROR(IF(HLOOKUP(Y$15,Data_5!$F$10:$BG$42,$A43+2,FALSE)="NO","NO",IF(HLOOKUP(Y$15,Data_5!$F$10:$BG$42,$A43+2,FALSE)="IE","IE",IF(HLOOKUP(Y$15,Data_5!$F$10:$BG$42,$A43+2,FALSE)="NE","NE",IF(HLOOKUP(Y$15,Data_5!$F$10:$BG$42,$A43+2,FALSE)="C","C",IF(HLOOKUP(Y$15,Data_5!$F$10:$BG$42,$A43+2,FALSE)="NO","NO",HLOOKUP(Y$15,Data_5!$F$10:$BG$42,$A43+2,FALSE)/Data_5!$BH38))))),"")</f>
        <v>NO</v>
      </c>
      <c r="Z43" s="1122" t="str">
        <f>IFERROR(IF(HLOOKUP(Z$15,Data_5!$F$10:$BG$42,$A43+2,FALSE)="NO","NO",IF(HLOOKUP(Z$15,Data_5!$F$10:$BG$42,$A43+2,FALSE)="IE","IE",IF(HLOOKUP(Z$15,Data_5!$F$10:$BG$42,$A43+2,FALSE)="NE","NE",IF(HLOOKUP(Z$15,Data_5!$F$10:$BG$42,$A43+2,FALSE)="C","C",IF(HLOOKUP(Z$15,Data_5!$F$10:$BG$42,$A43+2,FALSE)="NO","NO",HLOOKUP(Z$15,Data_5!$F$10:$BG$42,$A43+2,FALSE)/Data_5!$BH38))))),"")</f>
        <v>NO</v>
      </c>
      <c r="AA43" s="1122" t="str">
        <f>IFERROR(IF(HLOOKUP(AA$15,Data_5!$F$10:$BG$42,$A43+2,FALSE)="NO","NO",IF(HLOOKUP(AA$15,Data_5!$F$10:$BG$42,$A43+2,FALSE)="IE","IE",IF(HLOOKUP(AA$15,Data_5!$F$10:$BG$42,$A43+2,FALSE)="NE","NE",IF(HLOOKUP(AA$15,Data_5!$F$10:$BG$42,$A43+2,FALSE)="C","C",IF(HLOOKUP(AA$15,Data_5!$F$10:$BG$42,$A43+2,FALSE)="NO","NO",HLOOKUP(AA$15,Data_5!$F$10:$BG$42,$A43+2,FALSE)/Data_5!$BH38))))),"")</f>
        <v>NO</v>
      </c>
      <c r="AB43" s="1122" t="str">
        <f>IFERROR(IF(HLOOKUP(AB$15,Data_5!$F$10:$BG$42,$A43+2,FALSE)="NO","NO",IF(HLOOKUP(AB$15,Data_5!$F$10:$BG$42,$A43+2,FALSE)="IE","IE",IF(HLOOKUP(AB$15,Data_5!$F$10:$BG$42,$A43+2,FALSE)="NE","NE",IF(HLOOKUP(AB$15,Data_5!$F$10:$BG$42,$A43+2,FALSE)="C","C",IF(HLOOKUP(AB$15,Data_5!$F$10:$BG$42,$A43+2,FALSE)="NO","NO",HLOOKUP(AB$15,Data_5!$F$10:$BG$42,$A43+2,FALSE)/Data_5!$BH38))))),"")</f>
        <v>NO</v>
      </c>
      <c r="AC43" s="1122">
        <f>IFERROR(IF(HLOOKUP(AC$15,Data_5!$F$10:$BG$42,$A43+2,FALSE)="NO","NO",IF(HLOOKUP(AC$15,Data_5!$F$10:$BG$42,$A43+2,FALSE)="IE","IE",IF(HLOOKUP(AC$15,Data_5!$F$10:$BG$42,$A43+2,FALSE)="NE","NE",IF(HLOOKUP(AC$15,Data_5!$F$10:$BG$42,$A43+2,FALSE)="C","C",IF(HLOOKUP(AC$15,Data_5!$F$10:$BG$42,$A43+2,FALSE)="NO","NO",HLOOKUP(AC$15,Data_5!$F$10:$BG$42,$A43+2,FALSE)/Data_5!$BH38))))),"")</f>
        <v>1.7175200183287283E-2</v>
      </c>
      <c r="AD43" s="1122">
        <f>IFERROR(IF(HLOOKUP(AD$15,Data_5!$F$10:$BG$42,$A43+2,FALSE)="NO","NO",IF(HLOOKUP(AD$15,Data_5!$F$10:$BG$42,$A43+2,FALSE)="IE","IE",IF(HLOOKUP(AD$15,Data_5!$F$10:$BG$42,$A43+2,FALSE)="NE","NE",IF(HLOOKUP(AD$15,Data_5!$F$10:$BG$42,$A43+2,FALSE)="C","C",IF(HLOOKUP(AD$15,Data_5!$F$10:$BG$42,$A43+2,FALSE)="NO","NO",HLOOKUP(AD$15,Data_5!$F$10:$BG$42,$A43+2,FALSE)/Data_5!$BH38))))),"")</f>
        <v>9.9164995652960886E-2</v>
      </c>
      <c r="AE43" s="1122" t="str">
        <f>IFERROR(IF(HLOOKUP(AE$15,Data_5!$F$10:$BG$42,$A43+2,FALSE)="NO","NO",IF(HLOOKUP(AE$15,Data_5!$F$10:$BG$42,$A43+2,FALSE)="IE","IE",IF(HLOOKUP(AE$15,Data_5!$F$10:$BG$42,$A43+2,FALSE)="NE","NE",IF(HLOOKUP(AE$15,Data_5!$F$10:$BG$42,$A43+2,FALSE)="C","C",IF(HLOOKUP(AE$15,Data_5!$F$10:$BG$42,$A43+2,FALSE)="NO","NO",HLOOKUP(AE$15,Data_5!$F$10:$BG$42,$A43+2,FALSE)/Data_5!$BH38))))),"")</f>
        <v>NO</v>
      </c>
      <c r="AF43" s="1122" t="str">
        <f>IFERROR(IF(HLOOKUP(AF$15,Data_5!$F$10:$BG$42,$A43+2,FALSE)="NO","NO",IF(HLOOKUP(AF$15,Data_5!$F$10:$BG$42,$A43+2,FALSE)="IE","IE",IF(HLOOKUP(AF$15,Data_5!$F$10:$BG$42,$A43+2,FALSE)="NE","NE",IF(HLOOKUP(AF$15,Data_5!$F$10:$BG$42,$A43+2,FALSE)="C","C",IF(HLOOKUP(AF$15,Data_5!$F$10:$BG$42,$A43+2,FALSE)="NO","NO",HLOOKUP(AF$15,Data_5!$F$10:$BG$42,$A43+2,FALSE)/Data_5!$BH38))))),"")</f>
        <v>NO</v>
      </c>
      <c r="AG43" s="1122" t="str">
        <f>IFERROR(IF(HLOOKUP(AG$15,Data_5!$F$10:$BG$42,$A43+2,FALSE)="NO","NO",IF(HLOOKUP(AG$15,Data_5!$F$10:$BG$42,$A43+2,FALSE)="IE","IE",IF(HLOOKUP(AG$15,Data_5!$F$10:$BG$42,$A43+2,FALSE)="NE","NE",IF(HLOOKUP(AG$15,Data_5!$F$10:$BG$42,$A43+2,FALSE)="C","C",IF(HLOOKUP(AG$15,Data_5!$F$10:$BG$42,$A43+2,FALSE)="NO","NO",HLOOKUP(AG$15,Data_5!$F$10:$BG$42,$A43+2,FALSE)/Data_5!$BH38))))),"")</f>
        <v>NO</v>
      </c>
      <c r="AH43" s="1122" t="str">
        <f>IFERROR(IF(HLOOKUP(AH$15,Data_5!$F$10:$BG$42,$A43+2,FALSE)="NO","NO",IF(HLOOKUP(AH$15,Data_5!$F$10:$BG$42,$A43+2,FALSE)="IE","IE",IF(HLOOKUP(AH$15,Data_5!$F$10:$BG$42,$A43+2,FALSE)="NE","NE",IF(HLOOKUP(AH$15,Data_5!$F$10:$BG$42,$A43+2,FALSE)="C","C",IF(HLOOKUP(AH$15,Data_5!$F$10:$BG$42,$A43+2,FALSE)="NO","NO",HLOOKUP(AH$15,Data_5!$F$10:$BG$42,$A43+2,FALSE)/Data_5!$BH38))))),"")</f>
        <v>NO</v>
      </c>
      <c r="AI43" s="1122">
        <f>IFERROR(IF(HLOOKUP(AI$15,Data_5!$F$10:$BG$42,$A43+2,FALSE)="NO","NO",IF(HLOOKUP(AI$15,Data_5!$F$10:$BG$42,$A43+2,FALSE)="IE","IE",IF(HLOOKUP(AI$15,Data_5!$F$10:$BG$42,$A43+2,FALSE)="NE","NE",IF(HLOOKUP(AI$15,Data_5!$F$10:$BG$42,$A43+2,FALSE)="C","C",IF(HLOOKUP(AI$15,Data_5!$F$10:$BG$42,$A43+2,FALSE)="NO","NO",HLOOKUP(AI$15,Data_5!$F$10:$BG$42,$A43+2,FALSE)/Data_5!$BH38))))),"")</f>
        <v>1.3452543360046299E-3</v>
      </c>
      <c r="AJ43" s="1122" t="str">
        <f>IFERROR(IF(HLOOKUP(AJ$15,Data_5!$F$10:$BG$42,$A43+2,FALSE)="NO","NO",IF(HLOOKUP(AJ$15,Data_5!$F$10:$BG$42,$A43+2,FALSE)="IE","IE",IF(HLOOKUP(AJ$15,Data_5!$F$10:$BG$42,$A43+2,FALSE)="NE","NE",IF(HLOOKUP(AJ$15,Data_5!$F$10:$BG$42,$A43+2,FALSE)="C","C",IF(HLOOKUP(AJ$15,Data_5!$F$10:$BG$42,$A43+2,FALSE)="NO","NO",HLOOKUP(AJ$15,Data_5!$F$10:$BG$42,$A43+2,FALSE)/Data_5!$BH38))))),"")</f>
        <v>NO</v>
      </c>
      <c r="AK43" s="15"/>
      <c r="AL43" s="2628" t="str">
        <f t="shared" si="0"/>
        <v>Toronto</v>
      </c>
      <c r="AM43" s="2629"/>
      <c r="AN43" s="1100">
        <f t="shared" si="1"/>
        <v>2013</v>
      </c>
      <c r="AO43" s="1122" t="str">
        <f>IFERROR(IF(VLOOKUP($AL43,Data_5!$B$12:$E$42,4,FALSE)="BASIC","",(IF(HLOOKUP(AO$15,Data_5!$F$10:$BG$42,$A43+2,FALSE)="NO","NO",IF(HLOOKUP(AO$15,Data_5!$F$10:$BG$42,$A43+2,FALSE)="IE","IE",IF(HLOOKUP(AO$15,Data_5!$F$10:$BG$42,$A43+2,FALSE)="NE","NE",IF(HLOOKUP(AO$15,Data_5!$F$10:$BG$42,$A43+2,FALSE)="C","C",IF(HLOOKUP(AO$15,Data_5!$F$10:$BG$42,$A43+2,FALSE)="NO","NO",HLOOKUP(AO$15,Data_5!$F$10:$BG$42,$A43+2,FALSE)/Data_5!$BI38))))))),"")</f>
        <v/>
      </c>
      <c r="AP43" s="1122" t="str">
        <f>IFERROR(IF(VLOOKUP($AL43,Data_5!$B$12:$E$42,4,FALSE)="BASIC","",(IF(HLOOKUP(AP$15,Data_5!$F$10:$BG$42,$A43+2,FALSE)="NO","NO",IF(HLOOKUP(AP$15,Data_5!$F$10:$BG$42,$A43+2,FALSE)="IE","IE",IF(HLOOKUP(AP$15,Data_5!$F$10:$BG$42,$A43+2,FALSE)="NE","NE",IF(HLOOKUP(AP$15,Data_5!$F$10:$BG$42,$A43+2,FALSE)="C","C",IF(HLOOKUP(AP$15,Data_5!$F$10:$BG$42,$A43+2,FALSE)="NO","NO",HLOOKUP(AP$15,Data_5!$F$10:$BG$42,$A43+2,FALSE)/Data_5!$BI38))))))),"")</f>
        <v/>
      </c>
      <c r="AQ43" s="1122" t="str">
        <f>IFERROR(IF(VLOOKUP($AL43,Data_5!$B$12:$E$42,4,FALSE)="BASIC","",(IF(HLOOKUP(AQ$15,Data_5!$F$10:$BG$42,$A43+2,FALSE)="NO","NO",IF(HLOOKUP(AQ$15,Data_5!$F$10:$BG$42,$A43+2,FALSE)="IE","IE",IF(HLOOKUP(AQ$15,Data_5!$F$10:$BG$42,$A43+2,FALSE)="NE","NE",IF(HLOOKUP(AQ$15,Data_5!$F$10:$BG$42,$A43+2,FALSE)="C","C",IF(HLOOKUP(AQ$15,Data_5!$F$10:$BG$42,$A43+2,FALSE)="NO","NO",HLOOKUP(AQ$15,Data_5!$F$10:$BG$42,$A43+2,FALSE)/Data_5!$BI38))))))),"")</f>
        <v/>
      </c>
      <c r="AR43" s="1122" t="str">
        <f>IFERROR(IF(VLOOKUP($AL43,Data_5!$B$12:$E$42,4,FALSE)="BASIC","",(IF(HLOOKUP(AR$15,Data_5!$F$10:$BG$42,$A43+2,FALSE)="NO","NO",IF(HLOOKUP(AR$15,Data_5!$F$10:$BG$42,$A43+2,FALSE)="IE","IE",IF(HLOOKUP(AR$15,Data_5!$F$10:$BG$42,$A43+2,FALSE)="NE","NE",IF(HLOOKUP(AR$15,Data_5!$F$10:$BG$42,$A43+2,FALSE)="C","C",IF(HLOOKUP(AR$15,Data_5!$F$10:$BG$42,$A43+2,FALSE)="NO","NO",HLOOKUP(AR$15,Data_5!$F$10:$BG$42,$A43+2,FALSE)/Data_5!$BI38))))))),"")</f>
        <v/>
      </c>
      <c r="AS43" s="1122" t="str">
        <f>IFERROR(IF(VLOOKUP($AL43,Data_5!$B$12:$E$42,4,FALSE)="BASIC","",(IF(HLOOKUP(AS$15,Data_5!$F$10:$BG$42,$A43+2,FALSE)="NO","NO",IF(HLOOKUP(AS$15,Data_5!$F$10:$BG$42,$A43+2,FALSE)="IE","IE",IF(HLOOKUP(AS$15,Data_5!$F$10:$BG$42,$A43+2,FALSE)="NE","NE",IF(HLOOKUP(AS$15,Data_5!$F$10:$BG$42,$A43+2,FALSE)="C","C",IF(HLOOKUP(AS$15,Data_5!$F$10:$BG$42,$A43+2,FALSE)="NO","NO",HLOOKUP(AS$15,Data_5!$F$10:$BG$42,$A43+2,FALSE)/Data_5!$BI38))))))),"")</f>
        <v/>
      </c>
      <c r="AT43" s="1122" t="str">
        <f>IFERROR(IF(VLOOKUP($AL43,Data_5!$B$12:$E$42,4,FALSE)="BASIC","",(IF(HLOOKUP(AT$15,Data_5!$F$10:$BG$42,$A43+2,FALSE)="NO","NO",IF(HLOOKUP(AT$15,Data_5!$F$10:$BG$42,$A43+2,FALSE)="IE","IE",IF(HLOOKUP(AT$15,Data_5!$F$10:$BG$42,$A43+2,FALSE)="NE","NE",IF(HLOOKUP(AT$15,Data_5!$F$10:$BG$42,$A43+2,FALSE)="C","C",IF(HLOOKUP(AT$15,Data_5!$F$10:$BG$42,$A43+2,FALSE)="NO","NO",HLOOKUP(AT$15,Data_5!$F$10:$BG$42,$A43+2,FALSE)/Data_5!$BI38))))))),"")</f>
        <v/>
      </c>
      <c r="AU43" s="1122" t="str">
        <f>IFERROR(IF(VLOOKUP($AL43,Data_5!$B$12:$E$42,4,FALSE)="BASIC","",(IF(HLOOKUP(AU$15,Data_5!$F$10:$BG$42,$A43+2,FALSE)="NO","NO",IF(HLOOKUP(AU$15,Data_5!$F$10:$BG$42,$A43+2,FALSE)="IE","IE",IF(HLOOKUP(AU$15,Data_5!$F$10:$BG$42,$A43+2,FALSE)="NE","NE",IF(HLOOKUP(AU$15,Data_5!$F$10:$BG$42,$A43+2,FALSE)="C","C",IF(HLOOKUP(AU$15,Data_5!$F$10:$BG$42,$A43+2,FALSE)="NO","NO",HLOOKUP(AU$15,Data_5!$F$10:$BG$42,$A43+2,FALSE)/Data_5!$BI38))))))),"")</f>
        <v/>
      </c>
      <c r="AV43" s="1122" t="str">
        <f>IFERROR(IF(VLOOKUP($AL43,Data_5!$B$12:$E$42,4,FALSE)="BASIC","",(IF(HLOOKUP(AV$15,Data_5!$F$10:$BG$42,$A43+2,FALSE)="NO","NO",IF(HLOOKUP(AV$15,Data_5!$F$10:$BG$42,$A43+2,FALSE)="IE","IE",IF(HLOOKUP(AV$15,Data_5!$F$10:$BG$42,$A43+2,FALSE)="NE","NE",IF(HLOOKUP(AV$15,Data_5!$F$10:$BG$42,$A43+2,FALSE)="C","C",IF(HLOOKUP(AV$15,Data_5!$F$10:$BG$42,$A43+2,FALSE)="NO","NO",HLOOKUP(AV$15,Data_5!$F$10:$BG$42,$A43+2,FALSE)/Data_5!$BI38))))))),"")</f>
        <v/>
      </c>
      <c r="AW43" s="1122" t="str">
        <f>IFERROR(IF(VLOOKUP($AL43,Data_5!$B$12:$E$42,4,FALSE)="BASIC","",(IF(HLOOKUP(AW$15,Data_5!$F$10:$BG$42,$A43+2,FALSE)="NO","NO",IF(HLOOKUP(AW$15,Data_5!$F$10:$BG$42,$A43+2,FALSE)="IE","IE",IF(HLOOKUP(AW$15,Data_5!$F$10:$BG$42,$A43+2,FALSE)="NE","NE",IF(HLOOKUP(AW$15,Data_5!$F$10:$BG$42,$A43+2,FALSE)="C","C",IF(HLOOKUP(AW$15,Data_5!$F$10:$BG$42,$A43+2,FALSE)="NO","NO",HLOOKUP(AW$15,Data_5!$F$10:$BG$42,$A43+2,FALSE)/Data_5!$BI38))))))),"")</f>
        <v/>
      </c>
      <c r="AX43" s="1122" t="str">
        <f>IFERROR(IF(VLOOKUP($AL43,Data_5!$B$12:$E$42,4,FALSE)="BASIC","",(IF(HLOOKUP(AX$15,Data_5!$F$10:$BG$42,$A43+2,FALSE)="NO","NO",IF(HLOOKUP(AX$15,Data_5!$F$10:$BG$42,$A43+2,FALSE)="IE","IE",IF(HLOOKUP(AX$15,Data_5!$F$10:$BG$42,$A43+2,FALSE)="NE","NE",IF(HLOOKUP(AX$15,Data_5!$F$10:$BG$42,$A43+2,FALSE)="C","C",IF(HLOOKUP(AX$15,Data_5!$F$10:$BG$42,$A43+2,FALSE)="NO","NO",HLOOKUP(AX$15,Data_5!$F$10:$BG$42,$A43+2,FALSE)/Data_5!$BI38))))))),"")</f>
        <v/>
      </c>
      <c r="AY43" s="1122" t="str">
        <f>IFERROR(IF(VLOOKUP($AL43,Data_5!$B$12:$E$42,4,FALSE)="BASIC","",(IF(HLOOKUP(AY$15,Data_5!$F$10:$BG$42,$A43+2,FALSE)="NO","NO",IF(HLOOKUP(AY$15,Data_5!$F$10:$BG$42,$A43+2,FALSE)="IE","IE",IF(HLOOKUP(AY$15,Data_5!$F$10:$BG$42,$A43+2,FALSE)="NE","NE",IF(HLOOKUP(AY$15,Data_5!$F$10:$BG$42,$A43+2,FALSE)="C","C",IF(HLOOKUP(AY$15,Data_5!$F$10:$BG$42,$A43+2,FALSE)="NO","NO",HLOOKUP(AY$15,Data_5!$F$10:$BG$42,$A43+2,FALSE)/Data_5!$BI38))))))),"")</f>
        <v/>
      </c>
      <c r="AZ43" s="1122" t="str">
        <f>IFERROR(IF(VLOOKUP($AL43,Data_5!$B$12:$E$42,4,FALSE)="BASIC","",(IF(HLOOKUP(AZ$15,Data_5!$F$10:$BG$42,$A43+2,FALSE)="NO","NO",IF(HLOOKUP(AZ$15,Data_5!$F$10:$BG$42,$A43+2,FALSE)="IE","IE",IF(HLOOKUP(AZ$15,Data_5!$F$10:$BG$42,$A43+2,FALSE)="NE","NE",IF(HLOOKUP(AZ$15,Data_5!$F$10:$BG$42,$A43+2,FALSE)="C","C",IF(HLOOKUP(AZ$15,Data_5!$F$10:$BG$42,$A43+2,FALSE)="NO","NO",HLOOKUP(AZ$15,Data_5!$F$10:$BG$42,$A43+2,FALSE)/Data_5!$BI38))))))),"")</f>
        <v/>
      </c>
      <c r="BA43" s="1122" t="str">
        <f>IFERROR(IF(VLOOKUP($AL43,Data_5!$B$12:$E$42,4,FALSE)="BASIC","",(IF(HLOOKUP(BA$15,Data_5!$F$10:$BG$42,$A43+2,FALSE)="NO","NO",IF(HLOOKUP(BA$15,Data_5!$F$10:$BG$42,$A43+2,FALSE)="IE","IE",IF(HLOOKUP(BA$15,Data_5!$F$10:$BG$42,$A43+2,FALSE)="NE","NE",IF(HLOOKUP(BA$15,Data_5!$F$10:$BG$42,$A43+2,FALSE)="C","C",IF(HLOOKUP(BA$15,Data_5!$F$10:$BG$42,$A43+2,FALSE)="NO","NO",HLOOKUP(BA$15,Data_5!$F$10:$BG$42,$A43+2,FALSE)/Data_5!$BI38))))))),"")</f>
        <v/>
      </c>
      <c r="BB43" s="1122" t="str">
        <f>IFERROR(IF(VLOOKUP($AL43,Data_5!$B$12:$E$42,4,FALSE)="BASIC","",(IF(HLOOKUP(BB$15,Data_5!$F$10:$BG$42,$A43+2,FALSE)="NO","NO",IF(HLOOKUP(BB$15,Data_5!$F$10:$BG$42,$A43+2,FALSE)="IE","IE",IF(HLOOKUP(BB$15,Data_5!$F$10:$BG$42,$A43+2,FALSE)="NE","NE",IF(HLOOKUP(BB$15,Data_5!$F$10:$BG$42,$A43+2,FALSE)="C","C",IF(HLOOKUP(BB$15,Data_5!$F$10:$BG$42,$A43+2,FALSE)="NO","NO",HLOOKUP(BB$15,Data_5!$F$10:$BG$42,$A43+2,FALSE)/Data_5!$BI38))))))),"")</f>
        <v/>
      </c>
      <c r="BC43" s="1122" t="str">
        <f>IFERROR(IF(VLOOKUP($AL43,Data_5!$B$12:$E$42,4,FALSE)="BASIC","",(IF(HLOOKUP(BC$15,Data_5!$F$10:$BG$42,$A43+2,FALSE)="NO","NO",IF(HLOOKUP(BC$15,Data_5!$F$10:$BG$42,$A43+2,FALSE)="IE","IE",IF(HLOOKUP(BC$15,Data_5!$F$10:$BG$42,$A43+2,FALSE)="NE","NE",IF(HLOOKUP(BC$15,Data_5!$F$10:$BG$42,$A43+2,FALSE)="C","C",IF(HLOOKUP(BC$15,Data_5!$F$10:$BG$42,$A43+2,FALSE)="NO","NO",HLOOKUP(BC$15,Data_5!$F$10:$BG$42,$A43+2,FALSE)/Data_5!$BI38))))))),"")</f>
        <v/>
      </c>
      <c r="BD43" s="1122" t="str">
        <f>IFERROR(IF(VLOOKUP($AL43,Data_5!$B$12:$E$42,4,FALSE)="BASIC","",(IF(HLOOKUP(BD$15,Data_5!$F$10:$BG$42,$A43+2,FALSE)="NO","NO",IF(HLOOKUP(BD$15,Data_5!$F$10:$BG$42,$A43+2,FALSE)="IE","IE",IF(HLOOKUP(BD$15,Data_5!$F$10:$BG$42,$A43+2,FALSE)="NE","NE",IF(HLOOKUP(BD$15,Data_5!$F$10:$BG$42,$A43+2,FALSE)="C","C",IF(HLOOKUP(BD$15,Data_5!$F$10:$BG$42,$A43+2,FALSE)="NO","NO",HLOOKUP(BD$15,Data_5!$F$10:$BG$42,$A43+2,FALSE)/Data_5!$BI38))))))),"")</f>
        <v/>
      </c>
      <c r="BE43" s="1122" t="str">
        <f>IFERROR(IF(VLOOKUP($AL43,Data_5!$B$12:$E$42,4,FALSE)="BASIC","",(IF(HLOOKUP(BE$15,Data_5!$F$10:$BG$42,$A43+2,FALSE)="NO","NO",IF(HLOOKUP(BE$15,Data_5!$F$10:$BG$42,$A43+2,FALSE)="IE","IE",IF(HLOOKUP(BE$15,Data_5!$F$10:$BG$42,$A43+2,FALSE)="NE","NE",IF(HLOOKUP(BE$15,Data_5!$F$10:$BG$42,$A43+2,FALSE)="C","C",IF(HLOOKUP(BE$15,Data_5!$F$10:$BG$42,$A43+2,FALSE)="NO","NO",HLOOKUP(BE$15,Data_5!$F$10:$BG$42,$A43+2,FALSE)/Data_5!$BI38))))))),"")</f>
        <v/>
      </c>
      <c r="BF43" s="1122" t="str">
        <f>IFERROR(IF(VLOOKUP($AL43,Data_5!$B$12:$E$42,4,FALSE)="BASIC","",(IF(HLOOKUP(BF$15,Data_5!$F$10:$BG$42,$A43+2,FALSE)="NO","NO",IF(HLOOKUP(BF$15,Data_5!$F$10:$BG$42,$A43+2,FALSE)="IE","IE",IF(HLOOKUP(BF$15,Data_5!$F$10:$BG$42,$A43+2,FALSE)="NE","NE",IF(HLOOKUP(BF$15,Data_5!$F$10:$BG$42,$A43+2,FALSE)="C","C",IF(HLOOKUP(BF$15,Data_5!$F$10:$BG$42,$A43+2,FALSE)="NO","NO",HLOOKUP(BF$15,Data_5!$F$10:$BG$42,$A43+2,FALSE)/Data_5!$BI38))))))),"")</f>
        <v/>
      </c>
      <c r="BG43" s="1122" t="str">
        <f>IFERROR(IF(VLOOKUP($AL43,Data_5!$B$12:$E$42,4,FALSE)="BASIC","",(IF(HLOOKUP(BG$15,Data_5!$F$10:$BG$42,$A43+2,FALSE)="NO","NO",IF(HLOOKUP(BG$15,Data_5!$F$10:$BG$42,$A43+2,FALSE)="IE","IE",IF(HLOOKUP(BG$15,Data_5!$F$10:$BG$42,$A43+2,FALSE)="NE","NE",IF(HLOOKUP(BG$15,Data_5!$F$10:$BG$42,$A43+2,FALSE)="C","C",IF(HLOOKUP(BG$15,Data_5!$F$10:$BG$42,$A43+2,FALSE)="NO","NO",HLOOKUP(BG$15,Data_5!$F$10:$BG$42,$A43+2,FALSE)/Data_5!$BI38))))))),"")</f>
        <v/>
      </c>
      <c r="BH43" s="1122" t="str">
        <f>IFERROR(IF(VLOOKUP($AL43,Data_5!$B$12:$E$42,4,FALSE)="BASIC","",(IF(HLOOKUP(BH$15,Data_5!$F$10:$BG$42,$A43+2,FALSE)="NO","NO",IF(HLOOKUP(BH$15,Data_5!$F$10:$BG$42,$A43+2,FALSE)="IE","IE",IF(HLOOKUP(BH$15,Data_5!$F$10:$BG$42,$A43+2,FALSE)="NE","NE",IF(HLOOKUP(BH$15,Data_5!$F$10:$BG$42,$A43+2,FALSE)="C","C",IF(HLOOKUP(BH$15,Data_5!$F$10:$BG$42,$A43+2,FALSE)="NO","NO",HLOOKUP(BH$15,Data_5!$F$10:$BG$42,$A43+2,FALSE)/Data_5!$BI38))))))),"")</f>
        <v/>
      </c>
      <c r="BI43" s="1122" t="str">
        <f>IFERROR(IF(VLOOKUP($AL43,Data_5!$B$12:$E$42,4,FALSE)="BASIC","",(IF(HLOOKUP(BI$15,Data_5!$F$10:$BG$42,$A43+2,FALSE)="NO","NO",IF(HLOOKUP(BI$15,Data_5!$F$10:$BG$42,$A43+2,FALSE)="IE","IE",IF(HLOOKUP(BI$15,Data_5!$F$10:$BG$42,$A43+2,FALSE)="NE","NE",IF(HLOOKUP(BI$15,Data_5!$F$10:$BG$42,$A43+2,FALSE)="C","C",IF(HLOOKUP(BI$15,Data_5!$F$10:$BG$42,$A43+2,FALSE)="NO","NO",HLOOKUP(BI$15,Data_5!$F$10:$BG$42,$A43+2,FALSE)/Data_5!$BI38))))))),"")</f>
        <v/>
      </c>
      <c r="BJ43" s="1122" t="str">
        <f>IFERROR(IF(VLOOKUP($AL43,Data_5!$B$12:$E$42,4,FALSE)="BASIC","",(IF(HLOOKUP(BJ$15,Data_5!$F$10:$BG$42,$A43+2,FALSE)="NO","NO",IF(HLOOKUP(BJ$15,Data_5!$F$10:$BG$42,$A43+2,FALSE)="IE","IE",IF(HLOOKUP(BJ$15,Data_5!$F$10:$BG$42,$A43+2,FALSE)="NE","NE",IF(HLOOKUP(BJ$15,Data_5!$F$10:$BG$42,$A43+2,FALSE)="C","C",IF(HLOOKUP(BJ$15,Data_5!$F$10:$BG$42,$A43+2,FALSE)="NO","NO",HLOOKUP(BJ$15,Data_5!$F$10:$BG$42,$A43+2,FALSE)/Data_5!$BI38))))))),"")</f>
        <v/>
      </c>
      <c r="BK43" s="1122" t="str">
        <f>IFERROR(IF(VLOOKUP($AL43,Data_5!$B$12:$E$42,4,FALSE)="BASIC","",(IF(HLOOKUP(BK$15,Data_5!$F$10:$BG$42,$A43+2,FALSE)="NO","NO",IF(HLOOKUP(BK$15,Data_5!$F$10:$BG$42,$A43+2,FALSE)="IE","IE",IF(HLOOKUP(BK$15,Data_5!$F$10:$BG$42,$A43+2,FALSE)="NE","NE",IF(HLOOKUP(BK$15,Data_5!$F$10:$BG$42,$A43+2,FALSE)="C","C",IF(HLOOKUP(BK$15,Data_5!$F$10:$BG$42,$A43+2,FALSE)="NO","NO",HLOOKUP(BK$15,Data_5!$F$10:$BG$42,$A43+2,FALSE)/Data_5!$BI38))))))),"")</f>
        <v/>
      </c>
      <c r="BL43" s="1122" t="str">
        <f>IFERROR(IF(VLOOKUP($AL43,Data_5!$B$12:$E$42,4,FALSE)="BASIC","",(IF(HLOOKUP(BL$15,Data_5!$F$10:$BG$42,$A43+2,FALSE)="NO","NO",IF(HLOOKUP(BL$15,Data_5!$F$10:$BG$42,$A43+2,FALSE)="IE","IE",IF(HLOOKUP(BL$15,Data_5!$F$10:$BG$42,$A43+2,FALSE)="NE","NE",IF(HLOOKUP(BL$15,Data_5!$F$10:$BG$42,$A43+2,FALSE)="C","C",IF(HLOOKUP(BL$15,Data_5!$F$10:$BG$42,$A43+2,FALSE)="NO","NO",HLOOKUP(BL$15,Data_5!$F$10:$BG$42,$A43+2,FALSE)/Data_5!$BI38))))))),"")</f>
        <v/>
      </c>
      <c r="BM43" s="1122" t="str">
        <f>IFERROR(IF(VLOOKUP($AL43,Data_5!$B$12:$E$42,4,FALSE)="BASIC","",(IF(HLOOKUP(BM$15,Data_5!$F$10:$BG$42,$A43+2,FALSE)="NO","NO",IF(HLOOKUP(BM$15,Data_5!$F$10:$BG$42,$A43+2,FALSE)="IE","IE",IF(HLOOKUP(BM$15,Data_5!$F$10:$BG$42,$A43+2,FALSE)="NE","NE",IF(HLOOKUP(BM$15,Data_5!$F$10:$BG$42,$A43+2,FALSE)="C","C",IF(HLOOKUP(BM$15,Data_5!$F$10:$BG$42,$A43+2,FALSE)="NO","NO",HLOOKUP(BM$15,Data_5!$F$10:$BG$42,$A43+2,FALSE)/Data_5!$BI38))))))),"")</f>
        <v/>
      </c>
      <c r="BN43" s="1122" t="str">
        <f>IFERROR(IF(VLOOKUP($AL43,Data_5!$B$12:$E$42,4,FALSE)="BASIC","",(IF(HLOOKUP(BN$15,Data_5!$F$10:$BG$42,$A43+2,FALSE)="NO","NO",IF(HLOOKUP(BN$15,Data_5!$F$10:$BG$42,$A43+2,FALSE)="IE","IE",IF(HLOOKUP(BN$15,Data_5!$F$10:$BG$42,$A43+2,FALSE)="NE","NE",IF(HLOOKUP(BN$15,Data_5!$F$10:$BG$42,$A43+2,FALSE)="C","C",IF(HLOOKUP(BN$15,Data_5!$F$10:$BG$42,$A43+2,FALSE)="NO","NO",HLOOKUP(BN$15,Data_5!$F$10:$BG$42,$A43+2,FALSE)/Data_5!$BI38))))))),"")</f>
        <v/>
      </c>
      <c r="BO43" s="1122" t="str">
        <f>IFERROR(IF(VLOOKUP($AL43,Data_5!$B$12:$E$42,4,FALSE)="BASIC","",(IF(HLOOKUP(BO$15,Data_5!$F$10:$BG$42,$A43+2,FALSE)="NO","NO",IF(HLOOKUP(BO$15,Data_5!$F$10:$BG$42,$A43+2,FALSE)="IE","IE",IF(HLOOKUP(BO$15,Data_5!$F$10:$BG$42,$A43+2,FALSE)="NE","NE",IF(HLOOKUP(BO$15,Data_5!$F$10:$BG$42,$A43+2,FALSE)="C","C",IF(HLOOKUP(BO$15,Data_5!$F$10:$BG$42,$A43+2,FALSE)="NO","NO",HLOOKUP(BO$15,Data_5!$F$10:$BG$42,$A43+2,FALSE)/Data_5!$BI38))))))),"")</f>
        <v/>
      </c>
      <c r="BP43" s="1122" t="str">
        <f>IFERROR(IF(VLOOKUP($AL43,Data_5!$B$12:$E$42,4,FALSE)="BASIC","",(IF(HLOOKUP(BP$15,Data_5!$F$10:$BG$42,$A43+2,FALSE)="NO","NO",IF(HLOOKUP(BP$15,Data_5!$F$10:$BG$42,$A43+2,FALSE)="IE","IE",IF(HLOOKUP(BP$15,Data_5!$F$10:$BG$42,$A43+2,FALSE)="NE","NE",IF(HLOOKUP(BP$15,Data_5!$F$10:$BG$42,$A43+2,FALSE)="C","C",IF(HLOOKUP(BP$15,Data_5!$F$10:$BG$42,$A43+2,FALSE)="NO","NO",HLOOKUP(BP$15,Data_5!$F$10:$BG$42,$A43+2,FALSE)/Data_5!$BI38))))))),"")</f>
        <v/>
      </c>
      <c r="BQ43" s="1122" t="str">
        <f>IFERROR(IF(VLOOKUP($AL43,Data_5!$B$12:$E$42,4,FALSE)="BASIC","",(IF(HLOOKUP(BQ$15,Data_5!$F$10:$BG$42,$A43+2,FALSE)="NO","NO",IF(HLOOKUP(BQ$15,Data_5!$F$10:$BG$42,$A43+2,FALSE)="IE","IE",IF(HLOOKUP(BQ$15,Data_5!$F$10:$BG$42,$A43+2,FALSE)="NE","NE",IF(HLOOKUP(BQ$15,Data_5!$F$10:$BG$42,$A43+2,FALSE)="C","C",IF(HLOOKUP(BQ$15,Data_5!$F$10:$BG$42,$A43+2,FALSE)="NO","NO",HLOOKUP(BQ$15,Data_5!$F$10:$BG$42,$A43+2,FALSE)/Data_5!$BI38))))))),"")</f>
        <v/>
      </c>
      <c r="BR43" s="1122" t="str">
        <f>IFERROR(IF(VLOOKUP($AL43,Data_5!$B$12:$E$42,4,FALSE)="BASIC","",(IF(HLOOKUP(BR$15,Data_5!$F$10:$BG$42,$A43+2,FALSE)="NO","NO",IF(HLOOKUP(BR$15,Data_5!$F$10:$BG$42,$A43+2,FALSE)="IE","IE",IF(HLOOKUP(BR$15,Data_5!$F$10:$BG$42,$A43+2,FALSE)="NE","NE",IF(HLOOKUP(BR$15,Data_5!$F$10:$BG$42,$A43+2,FALSE)="C","C",IF(HLOOKUP(BR$15,Data_5!$F$10:$BG$42,$A43+2,FALSE)="NO","NO",HLOOKUP(BR$15,Data_5!$F$10:$BG$42,$A43+2,FALSE)/Data_5!$BI38))))))),"")</f>
        <v/>
      </c>
      <c r="BS43" s="1122" t="str">
        <f>IFERROR(IF(VLOOKUP($AL43,Data_5!$B$12:$E$42,4,FALSE)="BASIC","",(IF(HLOOKUP(BS$15,Data_5!$F$10:$BG$42,$A43+2,FALSE)="NO","NO",IF(HLOOKUP(BS$15,Data_5!$F$10:$BG$42,$A43+2,FALSE)="IE","IE",IF(HLOOKUP(BS$15,Data_5!$F$10:$BG$42,$A43+2,FALSE)="NE","NE",IF(HLOOKUP(BS$15,Data_5!$F$10:$BG$42,$A43+2,FALSE)="C","C",IF(HLOOKUP(BS$15,Data_5!$F$10:$BG$42,$A43+2,FALSE)="NO","NO",HLOOKUP(BS$15,Data_5!$F$10:$BG$42,$A43+2,FALSE)/Data_5!$BI38))))))),"")</f>
        <v/>
      </c>
      <c r="BT43" s="1122" t="str">
        <f>IFERROR(IF(VLOOKUP($AL43,Data_5!$B$12:$E$42,4,FALSE)="BASIC","",(IF(HLOOKUP(BT$15,Data_5!$F$10:$BG$42,$A43+2,FALSE)="NO","NO",IF(HLOOKUP(BT$15,Data_5!$F$10:$BG$42,$A43+2,FALSE)="IE","IE",IF(HLOOKUP(BT$15,Data_5!$F$10:$BG$42,$A43+2,FALSE)="NE","NE",IF(HLOOKUP(BT$15,Data_5!$F$10:$BG$42,$A43+2,FALSE)="C","C",IF(HLOOKUP(BT$15,Data_5!$F$10:$BG$42,$A43+2,FALSE)="NO","NO",HLOOKUP(BT$15,Data_5!$F$10:$BG$42,$A43+2,FALSE)/Data_5!$BI38))))))),"")</f>
        <v/>
      </c>
      <c r="BU43" s="1122" t="str">
        <f>IFERROR(IF(VLOOKUP($AL43,Data_5!$B$12:$E$42,4,FALSE)="BASIC","",(IF(HLOOKUP(BU$15,Data_5!$F$10:$BG$42,$A43+2,FALSE)="NO","NO",IF(HLOOKUP(BU$15,Data_5!$F$10:$BG$42,$A43+2,FALSE)="IE","IE",IF(HLOOKUP(BU$15,Data_5!$F$10:$BG$42,$A43+2,FALSE)="NE","NE",IF(HLOOKUP(BU$15,Data_5!$F$10:$BG$42,$A43+2,FALSE)="C","C",IF(HLOOKUP(BU$15,Data_5!$F$10:$BG$42,$A43+2,FALSE)="NO","NO",HLOOKUP(BU$15,Data_5!$F$10:$BG$42,$A43+2,FALSE)/Data_5!$BI38))))))),"")</f>
        <v/>
      </c>
      <c r="BV43" s="1122" t="str">
        <f>IFERROR(IF(VLOOKUP($AL43,Data_5!$B$12:$E$42,4,FALSE)="BASIC","",(IF(HLOOKUP(BV$15,Data_5!$F$10:$BG$42,$A43+2,FALSE)="NO","NO",IF(HLOOKUP(BV$15,Data_5!$F$10:$BG$42,$A43+2,FALSE)="IE","IE",IF(HLOOKUP(BV$15,Data_5!$F$10:$BG$42,$A43+2,FALSE)="NE","NE",IF(HLOOKUP(BV$15,Data_5!$F$10:$BG$42,$A43+2,FALSE)="C","C",IF(HLOOKUP(BV$15,Data_5!$F$10:$BG$42,$A43+2,FALSE)="NO","NO",HLOOKUP(BV$15,Data_5!$F$10:$BG$42,$A43+2,FALSE)/Data_5!$BI38))))))),"")</f>
        <v/>
      </c>
      <c r="BW43" s="1122" t="str">
        <f>IFERROR(IF(VLOOKUP($AL43,Data_5!$B$12:$E$42,4,FALSE)="BASIC","",(IF(HLOOKUP(BW$15,Data_5!$F$10:$BG$42,$A43+2,FALSE)="NO","NO",IF(HLOOKUP(BW$15,Data_5!$F$10:$BG$42,$A43+2,FALSE)="IE","IE",IF(HLOOKUP(BW$15,Data_5!$F$10:$BG$42,$A43+2,FALSE)="NE","NE",IF(HLOOKUP(BW$15,Data_5!$F$10:$BG$42,$A43+2,FALSE)="C","C",IF(HLOOKUP(BW$15,Data_5!$F$10:$BG$42,$A43+2,FALSE)="NO","NO",HLOOKUP(BW$15,Data_5!$F$10:$BG$42,$A43+2,FALSE)/Data_5!$BI38))))))),"")</f>
        <v/>
      </c>
      <c r="BX43" s="1122" t="str">
        <f>IFERROR(IF(VLOOKUP($AL43,Data_5!$B$12:$E$42,4,FALSE)="BASIC","",(IF(HLOOKUP(BX$15,Data_5!$F$10:$BG$42,$A43+2,FALSE)="NO","NO",IF(HLOOKUP(BX$15,Data_5!$F$10:$BG$42,$A43+2,FALSE)="IE","IE",IF(HLOOKUP(BX$15,Data_5!$F$10:$BG$42,$A43+2,FALSE)="NE","NE",IF(HLOOKUP(BX$15,Data_5!$F$10:$BG$42,$A43+2,FALSE)="C","C",IF(HLOOKUP(BX$15,Data_5!$F$10:$BG$42,$A43+2,FALSE)="NO","NO",HLOOKUP(BX$15,Data_5!$F$10:$BG$42,$A43+2,FALSE)/Data_5!$BI38))))))),"")</f>
        <v/>
      </c>
      <c r="BY43" s="1122" t="str">
        <f>IFERROR(IF(VLOOKUP($AL43,Data_5!$B$12:$E$42,4,FALSE)="BASIC","",(IF(HLOOKUP(BY$15,Data_5!$F$10:$BG$42,$A43+2,FALSE)="NO","NO",IF(HLOOKUP(BY$15,Data_5!$F$10:$BG$42,$A43+2,FALSE)="IE","IE",IF(HLOOKUP(BY$15,Data_5!$F$10:$BG$42,$A43+2,FALSE)="NE","NE",IF(HLOOKUP(BY$15,Data_5!$F$10:$BG$42,$A43+2,FALSE)="C","C",IF(HLOOKUP(BY$15,Data_5!$F$10:$BG$42,$A43+2,FALSE)="NO","NO",HLOOKUP(BY$15,Data_5!$F$10:$BG$42,$A43+2,FALSE)/Data_5!$BI38))))))),"")</f>
        <v/>
      </c>
      <c r="BZ43" s="1122" t="str">
        <f>IFERROR(IF(VLOOKUP($AL43,Data_5!$B$12:$E$42,4,FALSE)="BASIC","",(IF(HLOOKUP(BZ$15,Data_5!$F$10:$BG$42,$A43+2,FALSE)="NO","NO",IF(HLOOKUP(BZ$15,Data_5!$F$10:$BG$42,$A43+2,FALSE)="IE","IE",IF(HLOOKUP(BZ$15,Data_5!$F$10:$BG$42,$A43+2,FALSE)="NE","NE",IF(HLOOKUP(BZ$15,Data_5!$F$10:$BG$42,$A43+2,FALSE)="C","C",IF(HLOOKUP(BZ$15,Data_5!$F$10:$BG$42,$A43+2,FALSE)="NO","NO",HLOOKUP(BZ$15,Data_5!$F$10:$BG$42,$A43+2,FALSE)/Data_5!$BI38))))))),"")</f>
        <v/>
      </c>
      <c r="CA43" s="1122" t="str">
        <f>IFERROR(IF(VLOOKUP($AL43,Data_5!$B$12:$E$42,4,FALSE)="BASIC","",(IF(HLOOKUP(CA$15,Data_5!$F$10:$BG$42,$A43+2,FALSE)="NO","NO",IF(HLOOKUP(CA$15,Data_5!$F$10:$BG$42,$A43+2,FALSE)="IE","IE",IF(HLOOKUP(CA$15,Data_5!$F$10:$BG$42,$A43+2,FALSE)="NE","NE",IF(HLOOKUP(CA$15,Data_5!$F$10:$BG$42,$A43+2,FALSE)="C","C",IF(HLOOKUP(CA$15,Data_5!$F$10:$BG$42,$A43+2,FALSE)="NO","NO",HLOOKUP(CA$15,Data_5!$F$10:$BG$42,$A43+2,FALSE)/Data_5!$BI38))))))),"")</f>
        <v/>
      </c>
      <c r="CB43" s="1122" t="str">
        <f>IFERROR(IF(VLOOKUP($AL43,Data_5!$B$12:$E$42,4,FALSE)="BASIC","",(IF(HLOOKUP(CB$15,Data_5!$F$10:$BG$42,$A43+2,FALSE)="NO","NO",IF(HLOOKUP(CB$15,Data_5!$F$10:$BG$42,$A43+2,FALSE)="IE","IE",IF(HLOOKUP(CB$15,Data_5!$F$10:$BG$42,$A43+2,FALSE)="NE","NE",IF(HLOOKUP(CB$15,Data_5!$F$10:$BG$42,$A43+2,FALSE)="C","C",IF(HLOOKUP(CB$15,Data_5!$F$10:$BG$42,$A43+2,FALSE)="NO","NO",HLOOKUP(CB$15,Data_5!$F$10:$BG$42,$A43+2,FALSE)/Data_5!$BI38))))))),"")</f>
        <v/>
      </c>
      <c r="CC43" s="1122" t="str">
        <f>IFERROR(IF(VLOOKUP($AL43,Data_5!$B$12:$E$42,4,FALSE)="BASIC","",(IF(HLOOKUP(CC$15,Data_5!$F$10:$BG$42,$A43+2,FALSE)="NO","NO",IF(HLOOKUP(CC$15,Data_5!$F$10:$BG$42,$A43+2,FALSE)="IE","IE",IF(HLOOKUP(CC$15,Data_5!$F$10:$BG$42,$A43+2,FALSE)="NE","NE",IF(HLOOKUP(CC$15,Data_5!$F$10:$BG$42,$A43+2,FALSE)="C","C",IF(HLOOKUP(CC$15,Data_5!$F$10:$BG$42,$A43+2,FALSE)="NO","NO",HLOOKUP(CC$15,Data_5!$F$10:$BG$42,$A43+2,FALSE)/Data_5!$BI38))))))),"")</f>
        <v/>
      </c>
      <c r="CD43" s="1122" t="str">
        <f>IFERROR(IF(VLOOKUP($AL43,Data_5!$B$12:$E$42,4,FALSE)="BASIC","",(IF(HLOOKUP(CD$15,Data_5!$F$10:$BG$42,$A43+2,FALSE)="NO","NO",IF(HLOOKUP(CD$15,Data_5!$F$10:$BG$42,$A43+2,FALSE)="IE","IE",IF(HLOOKUP(CD$15,Data_5!$F$10:$BG$42,$A43+2,FALSE)="NE","NE",IF(HLOOKUP(CD$15,Data_5!$F$10:$BG$42,$A43+2,FALSE)="C","C",IF(HLOOKUP(CD$15,Data_5!$F$10:$BG$42,$A43+2,FALSE)="NO","NO",HLOOKUP(CD$15,Data_5!$F$10:$BG$42,$A43+2,FALSE)/Data_5!$BI38))))))),"")</f>
        <v/>
      </c>
      <c r="CE43" s="1122" t="str">
        <f>IFERROR(IF(VLOOKUP($AL43,Data_5!$B$12:$E$42,4,FALSE)="BASIC","",(IF(HLOOKUP(CE$15,Data_5!$F$10:$BG$42,$A43+2,FALSE)="NO","NO",IF(HLOOKUP(CE$15,Data_5!$F$10:$BG$42,$A43+2,FALSE)="IE","IE",IF(HLOOKUP(CE$15,Data_5!$F$10:$BG$42,$A43+2,FALSE)="NE","NE",IF(HLOOKUP(CE$15,Data_5!$F$10:$BG$42,$A43+2,FALSE)="C","C",IF(HLOOKUP(CE$15,Data_5!$F$10:$BG$42,$A43+2,FALSE)="NO","NO",HLOOKUP(CE$15,Data_5!$F$10:$BG$42,$A43+2,FALSE)/Data_5!$BI38))))))),"")</f>
        <v/>
      </c>
      <c r="CF43" s="1122" t="str">
        <f>IFERROR(IF(VLOOKUP($AL43,Data_5!$B$12:$E$42,4,FALSE)="BASIC","",(IF(HLOOKUP(CF$15,Data_5!$F$10:$BG$42,$A43+2,FALSE)="NO","NO",IF(HLOOKUP(CF$15,Data_5!$F$10:$BG$42,$A43+2,FALSE)="IE","IE",IF(HLOOKUP(CF$15,Data_5!$F$10:$BG$42,$A43+2,FALSE)="NE","NE",IF(HLOOKUP(CF$15,Data_5!$F$10:$BG$42,$A43+2,FALSE)="C","C",IF(HLOOKUP(CF$15,Data_5!$F$10:$BG$42,$A43+2,FALSE)="NO","NO",HLOOKUP(CF$15,Data_5!$F$10:$BG$42,$A43+2,FALSE)/Data_5!$BI38))))))),"")</f>
        <v/>
      </c>
      <c r="CG43" s="1122" t="str">
        <f>IFERROR(IF(VLOOKUP($AL43,Data_5!$B$12:$E$42,4,FALSE)="BASIC","",(IF(HLOOKUP(CG$15,Data_5!$F$10:$BG$42,$A43+2,FALSE)="NO","NO",IF(HLOOKUP(CG$15,Data_5!$F$10:$BG$42,$A43+2,FALSE)="IE","IE",IF(HLOOKUP(CG$15,Data_5!$F$10:$BG$42,$A43+2,FALSE)="NE","NE",IF(HLOOKUP(CG$15,Data_5!$F$10:$BG$42,$A43+2,FALSE)="C","C",IF(HLOOKUP(CG$15,Data_5!$F$10:$BG$42,$A43+2,FALSE)="NO","NO",HLOOKUP(CG$15,Data_5!$F$10:$BG$42,$A43+2,FALSE)/Data_5!$BI38))))))),"")</f>
        <v/>
      </c>
      <c r="CH43" s="1122" t="str">
        <f>IFERROR(IF(VLOOKUP($AL43,Data_5!$B$12:$E$42,4,FALSE)="BASIC","",(IF(HLOOKUP(CH$15,Data_5!$F$10:$BG$42,$A43+2,FALSE)="NO","NO",IF(HLOOKUP(CH$15,Data_5!$F$10:$BG$42,$A43+2,FALSE)="IE","IE",IF(HLOOKUP(CH$15,Data_5!$F$10:$BG$42,$A43+2,FALSE)="NE","NE",IF(HLOOKUP(CH$15,Data_5!$F$10:$BG$42,$A43+2,FALSE)="C","C",IF(HLOOKUP(CH$15,Data_5!$F$10:$BG$42,$A43+2,FALSE)="NO","NO",HLOOKUP(CH$15,Data_5!$F$10:$BG$42,$A43+2,FALSE)/Data_5!$BI38))))))),"")</f>
        <v/>
      </c>
      <c r="CI43" s="1122" t="str">
        <f>IFERROR(IF(VLOOKUP($AL43,Data_5!$B$12:$E$42,4,FALSE)="BASIC","",(IF(HLOOKUP(CI$15,Data_5!$F$10:$BG$42,$A43+2,FALSE)="NO","NO",IF(HLOOKUP(CI$15,Data_5!$F$10:$BG$42,$A43+2,FALSE)="IE","IE",IF(HLOOKUP(CI$15,Data_5!$F$10:$BG$42,$A43+2,FALSE)="NE","NE",IF(HLOOKUP(CI$15,Data_5!$F$10:$BG$42,$A43+2,FALSE)="C","C",IF(HLOOKUP(CI$15,Data_5!$F$10:$BG$42,$A43+2,FALSE)="NO","NO",HLOOKUP(CI$15,Data_5!$F$10:$BG$42,$A43+2,FALSE)/Data_5!$BI38))))))),"")</f>
        <v/>
      </c>
      <c r="CJ43" s="1122" t="str">
        <f>IFERROR(IF(VLOOKUP($AL43,Data_5!$B$12:$E$42,4,FALSE)="BASIC","",(IF(HLOOKUP(CJ$15,Data_5!$F$10:$BG$42,$A43+2,FALSE)="NO","NO",IF(HLOOKUP(CJ$15,Data_5!$F$10:$BG$42,$A43+2,FALSE)="IE","IE",IF(HLOOKUP(CJ$15,Data_5!$F$10:$BG$42,$A43+2,FALSE)="NE","NE",IF(HLOOKUP(CJ$15,Data_5!$F$10:$BG$42,$A43+2,FALSE)="C","C",IF(HLOOKUP(CJ$15,Data_5!$F$10:$BG$42,$A43+2,FALSE)="NO","NO",HLOOKUP(CJ$15,Data_5!$F$10:$BG$42,$A43+2,FALSE)/Data_5!$BI38))))))),"")</f>
        <v/>
      </c>
      <c r="CK43" s="15"/>
      <c r="CL43" s="2628" t="str">
        <f t="shared" si="2"/>
        <v>Toronto</v>
      </c>
      <c r="CM43" s="2629"/>
      <c r="CN43" s="1100">
        <f t="shared" si="3"/>
        <v>2013</v>
      </c>
      <c r="CO43" s="1122">
        <f>IFERROR(IF(HLOOKUP(CO$15,Data_5!$F$10:$BG$42,$A43+2,FALSE)="NO","NO",IF(HLOOKUP(CO$15,Data_5!$F$10:$BG$42,$A43+2,FALSE)="IE","IE",IF(HLOOKUP(CO$15,Data_5!$F$10:$BG$42,$A43+2,FALSE)="NE","NE",IF(HLOOKUP(CO$15,Data_5!$F$10:$BG$42,$A43+2,FALSE)="C","C",IF(HLOOKUP(CO$15,Data_5!$F$10:$BG$42,$A43+2,FALSE)="NO","NO",HLOOKUP(CO$15,Data_5!$F$10:$BG$42,$A43+2,FALSE)/Data_5!$BK38))))),"")</f>
        <v>0.26785635119327977</v>
      </c>
      <c r="CP43" s="1122">
        <f>IFERROR(IF(HLOOKUP(CP$15,Data_5!$F$10:$BG$42,$A43+2,FALSE)="NO","NO",IF(HLOOKUP(CP$15,Data_5!$F$10:$BG$42,$A43+2,FALSE)="IE","IE",IF(HLOOKUP(CP$15,Data_5!$F$10:$BG$42,$A43+2,FALSE)="NE","NE",IF(HLOOKUP(CP$15,Data_5!$F$10:$BG$42,$A43+2,FALSE)="C","C",IF(HLOOKUP(CP$15,Data_5!$F$10:$BG$42,$A43+2,FALSE)="NO","NO",HLOOKUP(CP$15,Data_5!$F$10:$BG$42,$A43+2,FALSE)/Data_5!$BK38))))),"")</f>
        <v>0.16160878905883064</v>
      </c>
      <c r="CQ43" s="1122">
        <f>IFERROR(IF(HLOOKUP(CQ$15,Data_5!$F$10:$BG$42,$A43+2,FALSE)="NO","NO",IF(HLOOKUP(CQ$15,Data_5!$F$10:$BG$42,$A43+2,FALSE)="IE","IE",IF(HLOOKUP(CQ$15,Data_5!$F$10:$BG$42,$A43+2,FALSE)="NE","NE",IF(HLOOKUP(CQ$15,Data_5!$F$10:$BG$42,$A43+2,FALSE)="C","C",IF(HLOOKUP(CQ$15,Data_5!$F$10:$BG$42,$A43+2,FALSE)="NO","NO",HLOOKUP(CQ$15,Data_5!$F$10:$BG$42,$A43+2,FALSE)/Data_5!$BK38))))),"")</f>
        <v>6.5020432709192597E-2</v>
      </c>
      <c r="CR43" s="1122" t="str">
        <f>IFERROR(IF(HLOOKUP(CR$15,Data_5!$F$10:$BG$42,$A43+2,FALSE)="NO","NO",IF(HLOOKUP(CR$15,Data_5!$F$10:$BG$42,$A43+2,FALSE)="IE","IE",IF(HLOOKUP(CR$15,Data_5!$F$10:$BG$42,$A43+2,FALSE)="NE","NE",IF(HLOOKUP(CR$15,Data_5!$F$10:$BG$42,$A43+2,FALSE)="C","C",IF(HLOOKUP(CR$15,Data_5!$F$10:$BG$42,$A43+2,FALSE)="NO","NO",HLOOKUP(CR$15,Data_5!$F$10:$BG$42,$A43+2,FALSE)/Data_5!$BK38))))),"")</f>
        <v>IE</v>
      </c>
      <c r="CS43" s="1122">
        <f>IFERROR(IF(HLOOKUP(CS$15,Data_5!$F$10:$BG$42,$A43+2,FALSE)="NO","NO",IF(HLOOKUP(CS$15,Data_5!$F$10:$BG$42,$A43+2,FALSE)="IE","IE",IF(HLOOKUP(CS$15,Data_5!$F$10:$BG$42,$A43+2,FALSE)="NE","NE",IF(HLOOKUP(CS$15,Data_5!$F$10:$BG$42,$A43+2,FALSE)="C","C",IF(HLOOKUP(CS$15,Data_5!$F$10:$BG$42,$A43+2,FALSE)="NO","NO",HLOOKUP(CS$15,Data_5!$F$10:$BG$42,$A43+2,FALSE)/Data_5!$BK38))))),"")</f>
        <v>2.7658042156230484E-2</v>
      </c>
      <c r="CT43" s="1122" t="str">
        <f>IFERROR(IF(HLOOKUP(CT$15,Data_5!$F$10:$BG$42,$A43+2,FALSE)="NO","NO",IF(HLOOKUP(CT$15,Data_5!$F$10:$BG$42,$A43+2,FALSE)="IE","IE",IF(HLOOKUP(CT$15,Data_5!$F$10:$BG$42,$A43+2,FALSE)="NE","NE",IF(HLOOKUP(CT$15,Data_5!$F$10:$BG$42,$A43+2,FALSE)="C","C",IF(HLOOKUP(CT$15,Data_5!$F$10:$BG$42,$A43+2,FALSE)="NO","NO",HLOOKUP(CT$15,Data_5!$F$10:$BG$42,$A43+2,FALSE)/Data_5!$BK38))))),"")</f>
        <v>NO</v>
      </c>
      <c r="CU43" s="1122" t="str">
        <f>IFERROR(IF(HLOOKUP(CU$15,Data_5!$F$10:$BG$42,$A43+2,FALSE)="NO","NO",IF(HLOOKUP(CU$15,Data_5!$F$10:$BG$42,$A43+2,FALSE)="IE","IE",IF(HLOOKUP(CU$15,Data_5!$F$10:$BG$42,$A43+2,FALSE)="NE","NE",IF(HLOOKUP(CU$15,Data_5!$F$10:$BG$42,$A43+2,FALSE)="C","C",IF(HLOOKUP(CU$15,Data_5!$F$10:$BG$42,$A43+2,FALSE)="NO","NO",HLOOKUP(CU$15,Data_5!$F$10:$BG$42,$A43+2,FALSE)/Data_5!$BK38))))),"")</f>
        <v>NO</v>
      </c>
      <c r="CV43" s="1122" t="str">
        <f>IFERROR(IF(HLOOKUP(CV$15,Data_5!$F$10:$BG$42,$A43+2,FALSE)="NO","NO",IF(HLOOKUP(CV$15,Data_5!$F$10:$BG$42,$A43+2,FALSE)="IE","IE",IF(HLOOKUP(CV$15,Data_5!$F$10:$BG$42,$A43+2,FALSE)="NE","NE",IF(HLOOKUP(CV$15,Data_5!$F$10:$BG$42,$A43+2,FALSE)="C","C",IF(HLOOKUP(CV$15,Data_5!$F$10:$BG$42,$A43+2,FALSE)="NO","NO",HLOOKUP(CV$15,Data_5!$F$10:$BG$42,$A43+2,FALSE)/Data_5!$BK38))))),"")</f>
        <v>NO</v>
      </c>
      <c r="CW43" s="1122">
        <f>IFERROR(IF(HLOOKUP(CW$15,Data_5!$F$10:$BG$42,$A43+2,FALSE)="NO","NO",IF(HLOOKUP(CW$15,Data_5!$F$10:$BG$42,$A43+2,FALSE)="IE","IE",IF(HLOOKUP(CW$15,Data_5!$F$10:$BG$42,$A43+2,FALSE)="NE","NE",IF(HLOOKUP(CW$15,Data_5!$F$10:$BG$42,$A43+2,FALSE)="C","C",IF(HLOOKUP(CW$15,Data_5!$F$10:$BG$42,$A43+2,FALSE)="NO","NO",HLOOKUP(CW$15,Data_5!$F$10:$BG$42,$A43+2,FALSE)/Data_5!$BK38))))),"")</f>
        <v>8.0318710359196469E-3</v>
      </c>
      <c r="CX43" s="1122">
        <f>IFERROR(IF(HLOOKUP(CX$15,Data_5!$F$10:$BG$42,$A43+2,FALSE)="NO","NO",IF(HLOOKUP(CX$15,Data_5!$F$10:$BG$42,$A43+2,FALSE)="IE","IE",IF(HLOOKUP(CX$15,Data_5!$F$10:$BG$42,$A43+2,FALSE)="NE","NE",IF(HLOOKUP(CX$15,Data_5!$F$10:$BG$42,$A43+2,FALSE)="C","C",IF(HLOOKUP(CX$15,Data_5!$F$10:$BG$42,$A43+2,FALSE)="NO","NO",HLOOKUP(CX$15,Data_5!$F$10:$BG$42,$A43+2,FALSE)/Data_5!$BK38))))),"")</f>
        <v>0.43880243430722315</v>
      </c>
      <c r="CY43" s="1122">
        <f>IFERROR(IF(HLOOKUP(CY$15,Data_5!$F$10:$BG$42,$A43+2,FALSE)="NO","NO",IF(HLOOKUP(CY$15,Data_5!$F$10:$BG$42,$A43+2,FALSE)="IE","IE",IF(HLOOKUP(CY$15,Data_5!$F$10:$BG$42,$A43+2,FALSE)="NE","NE",IF(HLOOKUP(CY$15,Data_5!$F$10:$BG$42,$A43+2,FALSE)="C","C",IF(HLOOKUP(CY$15,Data_5!$F$10:$BG$42,$A43+2,FALSE)="NO","NO",HLOOKUP(CY$15,Data_5!$F$10:$BG$42,$A43+2,FALSE)/Data_5!$BK38))))),"")</f>
        <v>8.1005106110803009E-3</v>
      </c>
      <c r="CZ43" s="1122">
        <f>IFERROR(IF(HLOOKUP(CZ$15,Data_5!$F$10:$BG$42,$A43+2,FALSE)="NO","NO",IF(HLOOKUP(CZ$15,Data_5!$F$10:$BG$42,$A43+2,FALSE)="IE","IE",IF(HLOOKUP(CZ$15,Data_5!$F$10:$BG$42,$A43+2,FALSE)="NE","NE",IF(HLOOKUP(CZ$15,Data_5!$F$10:$BG$42,$A43+2,FALSE)="C","C",IF(HLOOKUP(CZ$15,Data_5!$F$10:$BG$42,$A43+2,FALSE)="NO","NO",HLOOKUP(CZ$15,Data_5!$F$10:$BG$42,$A43+2,FALSE)/Data_5!$BK38))))),"")</f>
        <v>9.0970294942234486E-5</v>
      </c>
      <c r="DA43" s="1122" t="str">
        <f>IFERROR(IF(HLOOKUP(DA$15,Data_5!$F$10:$BG$42,$A43+2,FALSE)="NO","NO",IF(HLOOKUP(DA$15,Data_5!$F$10:$BG$42,$A43+2,FALSE)="IE","IE",IF(HLOOKUP(DA$15,Data_5!$F$10:$BG$42,$A43+2,FALSE)="NE","NE",IF(HLOOKUP(DA$15,Data_5!$F$10:$BG$42,$A43+2,FALSE)="C","C",IF(HLOOKUP(DA$15,Data_5!$F$10:$BG$42,$A43+2,FALSE)="NO","NO",HLOOKUP(DA$15,Data_5!$F$10:$BG$42,$A43+2,FALSE)/Data_5!$BK38))))),"")</f>
        <v>NO</v>
      </c>
      <c r="DB43" s="1122" t="str">
        <f>IFERROR(IF(HLOOKUP(DB$15,Data_5!$F$10:$BG$42,$A43+2,FALSE)="NO","NO",IF(HLOOKUP(DB$15,Data_5!$F$10:$BG$42,$A43+2,FALSE)="IE","IE",IF(HLOOKUP(DB$15,Data_5!$F$10:$BG$42,$A43+2,FALSE)="NE","NE",IF(HLOOKUP(DB$15,Data_5!$F$10:$BG$42,$A43+2,FALSE)="C","C",IF(HLOOKUP(DB$15,Data_5!$F$10:$BG$42,$A43+2,FALSE)="NO","NO",HLOOKUP(DB$15,Data_5!$F$10:$BG$42,$A43+2,FALSE)/Data_5!$BK38))))),"")</f>
        <v>NO</v>
      </c>
      <c r="DC43" s="1122">
        <f>IFERROR(IF(HLOOKUP(DC$15,Data_5!$F$10:$BG$42,$A43+2,FALSE)="NO","NO",IF(HLOOKUP(DC$15,Data_5!$F$10:$BG$42,$A43+2,FALSE)="IE","IE",IF(HLOOKUP(DC$15,Data_5!$F$10:$BG$42,$A43+2,FALSE)="NE","NE",IF(HLOOKUP(DC$15,Data_5!$F$10:$BG$42,$A43+2,FALSE)="C","C",IF(HLOOKUP(DC$15,Data_5!$F$10:$BG$42,$A43+2,FALSE)="NO","NO",HLOOKUP(DC$15,Data_5!$F$10:$BG$42,$A43+2,FALSE)/Data_5!$BK38))))),"")</f>
        <v>2.11722720639917E-2</v>
      </c>
      <c r="DD43" s="1122" t="str">
        <f>IFERROR(IF(HLOOKUP(DD$15,Data_5!$F$10:$BG$42,$A43+2,FALSE)="NO","NO",IF(HLOOKUP(DD$15,Data_5!$F$10:$BG$42,$A43+2,FALSE)="IE","IE",IF(HLOOKUP(DD$15,Data_5!$F$10:$BG$42,$A43+2,FALSE)="NE","NE",IF(HLOOKUP(DD$15,Data_5!$F$10:$BG$42,$A43+2,FALSE)="C","C",IF(HLOOKUP(DD$15,Data_5!$F$10:$BG$42,$A43+2,FALSE)="NO","NO",HLOOKUP(DD$15,Data_5!$F$10:$BG$42,$A43+2,FALSE)/Data_5!$BK38))))),"")</f>
        <v>NO</v>
      </c>
      <c r="DE43" s="1122" t="str">
        <f>IFERROR(IF(HLOOKUP(DE$15,Data_5!$F$10:$BG$42,$A43+2,FALSE)="NO","NO",IF(HLOOKUP(DE$15,Data_5!$F$10:$BG$42,$A43+2,FALSE)="IE","IE",IF(HLOOKUP(DE$15,Data_5!$F$10:$BG$42,$A43+2,FALSE)="NE","NE",IF(HLOOKUP(DE$15,Data_5!$F$10:$BG$42,$A43+2,FALSE)="C","C",IF(HLOOKUP(DE$15,Data_5!$F$10:$BG$42,$A43+2,FALSE)="NO","NO",HLOOKUP(DE$15,Data_5!$F$10:$BG$42,$A43+2,FALSE)/Data_5!$BK38))))),"")</f>
        <v>NO</v>
      </c>
      <c r="DF43" s="1122" t="str">
        <f>IFERROR(IF(HLOOKUP(DF$15,Data_5!$F$10:$BG$42,$A43+2,FALSE)="NO","NO",IF(HLOOKUP(DF$15,Data_5!$F$10:$BG$42,$A43+2,FALSE)="IE","IE",IF(HLOOKUP(DF$15,Data_5!$F$10:$BG$42,$A43+2,FALSE)="NE","NE",IF(HLOOKUP(DF$15,Data_5!$F$10:$BG$42,$A43+2,FALSE)="C","C",IF(HLOOKUP(DF$15,Data_5!$F$10:$BG$42,$A43+2,FALSE)="NO","NO",HLOOKUP(DF$15,Data_5!$F$10:$BG$42,$A43+2,FALSE)/Data_5!$BK38))))),"")</f>
        <v>NO</v>
      </c>
      <c r="DG43" s="1122" t="str">
        <f>IFERROR(IF(HLOOKUP(DG$15,Data_5!$F$10:$BG$42,$A43+2,FALSE)="NO","NO",IF(HLOOKUP(DG$15,Data_5!$F$10:$BG$42,$A43+2,FALSE)="IE","IE",IF(HLOOKUP(DG$15,Data_5!$F$10:$BG$42,$A43+2,FALSE)="NE","NE",IF(HLOOKUP(DG$15,Data_5!$F$10:$BG$42,$A43+2,FALSE)="C","C",IF(HLOOKUP(DG$15,Data_5!$F$10:$BG$42,$A43+2,FALSE)="NO","NO",HLOOKUP(DG$15,Data_5!$F$10:$BG$42,$A43+2,FALSE)/Data_5!$BK38))))),"")</f>
        <v>NO</v>
      </c>
      <c r="DH43" s="1122" t="str">
        <f>IFERROR(IF(HLOOKUP(DH$15,Data_5!$F$10:$BG$42,$A43+2,FALSE)="NO","NO",IF(HLOOKUP(DH$15,Data_5!$F$10:$BG$42,$A43+2,FALSE)="IE","IE",IF(HLOOKUP(DH$15,Data_5!$F$10:$BG$42,$A43+2,FALSE)="NE","NE",IF(HLOOKUP(DH$15,Data_5!$F$10:$BG$42,$A43+2,FALSE)="C","C",IF(HLOOKUP(DH$15,Data_5!$F$10:$BG$42,$A43+2,FALSE)="NO","NO",HLOOKUP(DH$15,Data_5!$F$10:$BG$42,$A43+2,FALSE)/Data_5!$BK38))))),"")</f>
        <v>NO</v>
      </c>
      <c r="DI43" s="1122">
        <f>IFERROR(IF(HLOOKUP(DI$15,Data_5!$F$10:$BG$42,$A43+2,FALSE)="NO","NO",IF(HLOOKUP(DI$15,Data_5!$F$10:$BG$42,$A43+2,FALSE)="IE","IE",IF(HLOOKUP(DI$15,Data_5!$F$10:$BG$42,$A43+2,FALSE)="NE","NE",IF(HLOOKUP(DI$15,Data_5!$F$10:$BG$42,$A43+2,FALSE)="C","C",IF(HLOOKUP(DI$15,Data_5!$F$10:$BG$42,$A43+2,FALSE)="NO","NO",HLOOKUP(DI$15,Data_5!$F$10:$BG$42,$A43+2,FALSE)/Data_5!$BK38))))),"")</f>
        <v>1.6583265693094905E-3</v>
      </c>
      <c r="DJ43" s="1122" t="str">
        <f>IFERROR(IF(HLOOKUP(DJ$15,Data_5!$F$10:$BG$42,$A43+2,FALSE)="NO","NO",IF(HLOOKUP(DJ$15,Data_5!$F$10:$BG$42,$A43+2,FALSE)="IE","IE",IF(HLOOKUP(DJ$15,Data_5!$F$10:$BG$42,$A43+2,FALSE)="NE","NE",IF(HLOOKUP(DJ$15,Data_5!$F$10:$BG$42,$A43+2,FALSE)="C","C",IF(HLOOKUP(DJ$15,Data_5!$F$10:$BG$42,$A43+2,FALSE)="NO","NO",HLOOKUP(DJ$15,Data_5!$F$10:$BG$42,$A43+2,FALSE)/Data_5!$BK38))))),"")</f>
        <v>NO</v>
      </c>
      <c r="DK43" s="1122" t="str">
        <f>IFERROR(IF(HLOOKUP(DK$15,Data_5!$F$10:$BG$42,$A43+2,FALSE)="NO","NO",IF(HLOOKUP(DK$15,Data_5!$F$10:$BG$42,$A43+2,FALSE)="IE","IE",IF(HLOOKUP(DK$15,Data_5!$F$10:$BG$42,$A43+2,FALSE)="NE","NE",IF(HLOOKUP(DK$15,Data_5!$F$10:$BG$42,$A43+2,FALSE)="C","C",IF(HLOOKUP(DK$15,Data_5!$F$10:$BG$42,$A43+2,FALSE)="NO","NO",HLOOKUP(DK$15,Data_5!$F$10:$BG$42,$A43+2,FALSE)/Data_5!$BK38))))),"")</f>
        <v>NE</v>
      </c>
      <c r="DL43" s="1122" t="str">
        <f>IFERROR(IF(HLOOKUP(DL$15,Data_5!$F$10:$BG$42,$A43+2,FALSE)="NO","NO",IF(HLOOKUP(DL$15,Data_5!$F$10:$BG$42,$A43+2,FALSE)="IE","IE",IF(HLOOKUP(DL$15,Data_5!$F$10:$BG$42,$A43+2,FALSE)="NE","NE",IF(HLOOKUP(DL$15,Data_5!$F$10:$BG$42,$A43+2,FALSE)="C","C",IF(HLOOKUP(DL$15,Data_5!$F$10:$BG$42,$A43+2,FALSE)="NO","NO",HLOOKUP(DL$15,Data_5!$F$10:$BG$42,$A43+2,FALSE)/Data_5!$BK38))))),"")</f>
        <v>NE</v>
      </c>
      <c r="DM43" s="1122" t="str">
        <f>IFERROR(IF(HLOOKUP(DM$15,Data_5!$F$10:$BG$42,$A43+2,FALSE)="NO","NO",IF(HLOOKUP(DM$15,Data_5!$F$10:$BG$42,$A43+2,FALSE)="IE","IE",IF(HLOOKUP(DM$15,Data_5!$F$10:$BG$42,$A43+2,FALSE)="NE","NE",IF(HLOOKUP(DM$15,Data_5!$F$10:$BG$42,$A43+2,FALSE)="C","C",IF(HLOOKUP(DM$15,Data_5!$F$10:$BG$42,$A43+2,FALSE)="NO","NO",HLOOKUP(DM$15,Data_5!$F$10:$BG$42,$A43+2,FALSE)/Data_5!$BK38))))),"")</f>
        <v>NE</v>
      </c>
      <c r="DN43" s="1122" t="str">
        <f>IFERROR(IF(HLOOKUP(DN$15,Data_5!$F$10:$BG$42,$A43+2,FALSE)="NO","NO",IF(HLOOKUP(DN$15,Data_5!$F$10:$BG$42,$A43+2,FALSE)="IE","IE",IF(HLOOKUP(DN$15,Data_5!$F$10:$BG$42,$A43+2,FALSE)="NE","NE",IF(HLOOKUP(DN$15,Data_5!$F$10:$BG$42,$A43+2,FALSE)="C","C",IF(HLOOKUP(DN$15,Data_5!$F$10:$BG$42,$A43+2,FALSE)="NO","NO",HLOOKUP(DN$15,Data_5!$F$10:$BG$42,$A43+2,FALSE)/Data_5!$BK38))))),"")</f>
        <v>NE</v>
      </c>
      <c r="DO43" s="1122" t="str">
        <f>IFERROR(IF(HLOOKUP(DO$15,Data_5!$F$10:$BG$42,$A43+2,FALSE)="NO","NO",IF(HLOOKUP(DO$15,Data_5!$F$10:$BG$42,$A43+2,FALSE)="IE","IE",IF(HLOOKUP(DO$15,Data_5!$F$10:$BG$42,$A43+2,FALSE)="NE","NE",IF(HLOOKUP(DO$15,Data_5!$F$10:$BG$42,$A43+2,FALSE)="C","C",IF(HLOOKUP(DO$15,Data_5!$F$10:$BG$42,$A43+2,FALSE)="NO","NO",HLOOKUP(DO$15,Data_5!$F$10:$BG$42,$A43+2,FALSE)/Data_5!$BK38))))),"")</f>
        <v>NE</v>
      </c>
    </row>
    <row r="44" spans="1:119" ht="15" customHeight="1">
      <c r="A44" s="1789">
        <v>28</v>
      </c>
      <c r="B44" s="2628" t="str">
        <f>IF(Data_5!B39&lt;&gt;"",Data_5!B39,"")</f>
        <v>City of Vancouver</v>
      </c>
      <c r="C44" s="2629"/>
      <c r="D44" s="1462">
        <f>IFERROR(VLOOKUP($B44,Data_5!$B$12:$C$42,2,FALSE),"")</f>
        <v>2014</v>
      </c>
      <c r="E44" s="1122">
        <f>IFERROR(IF(HLOOKUP(E$15,Data_5!$F$10:$BG$42,$A44+2,FALSE)="NO","NO",IF(HLOOKUP(E$15,Data_5!$F$10:$BG$42,$A44+2,FALSE)="IE","IE",IF(HLOOKUP(E$15,Data_5!$F$10:$BG$42,$A44+2,FALSE)="NE","NE",IF(HLOOKUP(E$15,Data_5!$F$10:$BG$42,$A44+2,FALSE)="C","C",IF(HLOOKUP(E$15,Data_5!$F$10:$BG$42,$A44+2,FALSE)="NO","NO",HLOOKUP(E$15,Data_5!$F$10:$BG$42,$A44+2,FALSE)/Data_5!$BH39))))),"")</f>
        <v>0.18252425149615256</v>
      </c>
      <c r="F44" s="1122">
        <f>IFERROR(IF(HLOOKUP(F$15,Data_5!$F$10:$BG$42,$A44+2,FALSE)="NO","NO",IF(HLOOKUP(F$15,Data_5!$F$10:$BG$42,$A44+2,FALSE)="IE","IE",IF(HLOOKUP(F$15,Data_5!$F$10:$BG$42,$A44+2,FALSE)="NE","NE",IF(HLOOKUP(F$15,Data_5!$F$10:$BG$42,$A44+2,FALSE)="C","C",IF(HLOOKUP(F$15,Data_5!$F$10:$BG$42,$A44+2,FALSE)="NO","NO",HLOOKUP(F$15,Data_5!$F$10:$BG$42,$A44+2,FALSE)/Data_5!$BH39))))),"")</f>
        <v>6.9378225723248374E-3</v>
      </c>
      <c r="G44" s="1122">
        <f>IFERROR(IF(HLOOKUP(G$15,Data_5!$F$10:$BG$42,$A44+2,FALSE)="NO","NO",IF(HLOOKUP(G$15,Data_5!$F$10:$BG$42,$A44+2,FALSE)="IE","IE",IF(HLOOKUP(G$15,Data_5!$F$10:$BG$42,$A44+2,FALSE)="NE","NE",IF(HLOOKUP(G$15,Data_5!$F$10:$BG$42,$A44+2,FALSE)="C","C",IF(HLOOKUP(G$15,Data_5!$F$10:$BG$42,$A44+2,FALSE)="NO","NO",HLOOKUP(G$15,Data_5!$F$10:$BG$42,$A44+2,FALSE)/Data_5!$BH39))))),"")</f>
        <v>0.20406007140986332</v>
      </c>
      <c r="H44" s="1122">
        <f>IFERROR(IF(HLOOKUP(H$15,Data_5!$F$10:$BG$42,$A44+2,FALSE)="NO","NO",IF(HLOOKUP(H$15,Data_5!$F$10:$BG$42,$A44+2,FALSE)="IE","IE",IF(HLOOKUP(H$15,Data_5!$F$10:$BG$42,$A44+2,FALSE)="NE","NE",IF(HLOOKUP(H$15,Data_5!$F$10:$BG$42,$A44+2,FALSE)="C","C",IF(HLOOKUP(H$15,Data_5!$F$10:$BG$42,$A44+2,FALSE)="NO","NO",HLOOKUP(H$15,Data_5!$F$10:$BG$42,$A44+2,FALSE)/Data_5!$BH39))))),"")</f>
        <v>1.2794013155459846E-2</v>
      </c>
      <c r="I44" s="1122">
        <f>IFERROR(IF(HLOOKUP(I$15,Data_5!$F$10:$BG$42,$A44+2,FALSE)="NO","NO",IF(HLOOKUP(I$15,Data_5!$F$10:$BG$42,$A44+2,FALSE)="IE","IE",IF(HLOOKUP(I$15,Data_5!$F$10:$BG$42,$A44+2,FALSE)="NE","NE",IF(HLOOKUP(I$15,Data_5!$F$10:$BG$42,$A44+2,FALSE)="C","C",IF(HLOOKUP(I$15,Data_5!$F$10:$BG$42,$A44+2,FALSE)="NO","NO",HLOOKUP(I$15,Data_5!$F$10:$BG$42,$A44+2,FALSE)/Data_5!$BH39))))),"")</f>
        <v>0.13480943599315376</v>
      </c>
      <c r="J44" s="1122">
        <f>IFERROR(IF(HLOOKUP(J$15,Data_5!$F$10:$BG$42,$A44+2,FALSE)="NO","NO",IF(HLOOKUP(J$15,Data_5!$F$10:$BG$42,$A44+2,FALSE)="IE","IE",IF(HLOOKUP(J$15,Data_5!$F$10:$BG$42,$A44+2,FALSE)="NE","NE",IF(HLOOKUP(J$15,Data_5!$F$10:$BG$42,$A44+2,FALSE)="C","C",IF(HLOOKUP(J$15,Data_5!$F$10:$BG$42,$A44+2,FALSE)="NO","NO",HLOOKUP(J$15,Data_5!$F$10:$BG$42,$A44+2,FALSE)/Data_5!$BH39))))),"")</f>
        <v>9.2681730705838265E-4</v>
      </c>
      <c r="K44" s="1122" t="str">
        <f>IFERROR(IF(HLOOKUP(K$15,Data_5!$F$10:$BG$42,$A44+2,FALSE)="NO","NO",IF(HLOOKUP(K$15,Data_5!$F$10:$BG$42,$A44+2,FALSE)="IE","IE",IF(HLOOKUP(K$15,Data_5!$F$10:$BG$42,$A44+2,FALSE)="NE","NE",IF(HLOOKUP(K$15,Data_5!$F$10:$BG$42,$A44+2,FALSE)="C","C",IF(HLOOKUP(K$15,Data_5!$F$10:$BG$42,$A44+2,FALSE)="NO","NO",HLOOKUP(K$15,Data_5!$F$10:$BG$42,$A44+2,FALSE)/Data_5!$BH39))))),"")</f>
        <v>IE</v>
      </c>
      <c r="L44" s="1122" t="str">
        <f>IFERROR(IF(HLOOKUP(L$15,Data_5!$F$10:$BG$42,$A44+2,FALSE)="NO","NO",IF(HLOOKUP(L$15,Data_5!$F$10:$BG$42,$A44+2,FALSE)="IE","IE",IF(HLOOKUP(L$15,Data_5!$F$10:$BG$42,$A44+2,FALSE)="NE","NE",IF(HLOOKUP(L$15,Data_5!$F$10:$BG$42,$A44+2,FALSE)="C","C",IF(HLOOKUP(L$15,Data_5!$F$10:$BG$42,$A44+2,FALSE)="NO","NO",HLOOKUP(L$15,Data_5!$F$10:$BG$42,$A44+2,FALSE)/Data_5!$BH39))))),"")</f>
        <v>IE</v>
      </c>
      <c r="M44" s="1122" t="str">
        <f>IFERROR(IF(HLOOKUP(M$15,Data_5!$F$10:$BG$42,$A44+2,FALSE)="NO","NO",IF(HLOOKUP(M$15,Data_5!$F$10:$BG$42,$A44+2,FALSE)="IE","IE",IF(HLOOKUP(M$15,Data_5!$F$10:$BG$42,$A44+2,FALSE)="NE","NE",IF(HLOOKUP(M$15,Data_5!$F$10:$BG$42,$A44+2,FALSE)="C","C",IF(HLOOKUP(M$15,Data_5!$F$10:$BG$42,$A44+2,FALSE)="NO","NO",HLOOKUP(M$15,Data_5!$F$10:$BG$42,$A44+2,FALSE)/Data_5!$BH39))))),"")</f>
        <v>NO</v>
      </c>
      <c r="N44" s="1122" t="str">
        <f>IFERROR(IF(HLOOKUP(N$15,Data_5!$F$10:$BG$42,$A44+2,FALSE)="NO","NO",IF(HLOOKUP(N$15,Data_5!$F$10:$BG$42,$A44+2,FALSE)="IE","IE",IF(HLOOKUP(N$15,Data_5!$F$10:$BG$42,$A44+2,FALSE)="NE","NE",IF(HLOOKUP(N$15,Data_5!$F$10:$BG$42,$A44+2,FALSE)="C","C",IF(HLOOKUP(N$15,Data_5!$F$10:$BG$42,$A44+2,FALSE)="NO","NO",HLOOKUP(N$15,Data_5!$F$10:$BG$42,$A44+2,FALSE)/Data_5!$BH39))))),"")</f>
        <v>NO</v>
      </c>
      <c r="O44" s="1122" t="str">
        <f>IFERROR(IF(HLOOKUP(O$15,Data_5!$F$10:$BG$42,$A44+2,FALSE)="NO","NO",IF(HLOOKUP(O$15,Data_5!$F$10:$BG$42,$A44+2,FALSE)="IE","IE",IF(HLOOKUP(O$15,Data_5!$F$10:$BG$42,$A44+2,FALSE)="NE","NE",IF(HLOOKUP(O$15,Data_5!$F$10:$BG$42,$A44+2,FALSE)="C","C",IF(HLOOKUP(O$15,Data_5!$F$10:$BG$42,$A44+2,FALSE)="NO","NO",HLOOKUP(O$15,Data_5!$F$10:$BG$42,$A44+2,FALSE)/Data_5!$BH39))))),"")</f>
        <v>NO</v>
      </c>
      <c r="P44" s="1122" t="str">
        <f>IFERROR(IF(HLOOKUP(P$15,Data_5!$F$10:$BG$42,$A44+2,FALSE)="NO","NO",IF(HLOOKUP(P$15,Data_5!$F$10:$BG$42,$A44+2,FALSE)="IE","IE",IF(HLOOKUP(P$15,Data_5!$F$10:$BG$42,$A44+2,FALSE)="NE","NE",IF(HLOOKUP(P$15,Data_5!$F$10:$BG$42,$A44+2,FALSE)="C","C",IF(HLOOKUP(P$15,Data_5!$F$10:$BG$42,$A44+2,FALSE)="NO","NO",HLOOKUP(P$15,Data_5!$F$10:$BG$42,$A44+2,FALSE)/Data_5!$BH39))))),"")</f>
        <v>NO</v>
      </c>
      <c r="Q44" s="1122" t="str">
        <f>IFERROR(IF(HLOOKUP(Q$15,Data_5!$F$10:$BG$42,$A44+2,FALSE)="NO","NO",IF(HLOOKUP(Q$15,Data_5!$F$10:$BG$42,$A44+2,FALSE)="IE","IE",IF(HLOOKUP(Q$15,Data_5!$F$10:$BG$42,$A44+2,FALSE)="NE","NE",IF(HLOOKUP(Q$15,Data_5!$F$10:$BG$42,$A44+2,FALSE)="C","C",IF(HLOOKUP(Q$15,Data_5!$F$10:$BG$42,$A44+2,FALSE)="NO","NO",HLOOKUP(Q$15,Data_5!$F$10:$BG$42,$A44+2,FALSE)/Data_5!$BH39))))),"")</f>
        <v>NO</v>
      </c>
      <c r="R44" s="1122">
        <f>IFERROR(IF(HLOOKUP(R$15,Data_5!$F$10:$BG$42,$A44+2,FALSE)="NO","NO",IF(HLOOKUP(R$15,Data_5!$F$10:$BG$42,$A44+2,FALSE)="IE","IE",IF(HLOOKUP(R$15,Data_5!$F$10:$BG$42,$A44+2,FALSE)="NE","NE",IF(HLOOKUP(R$15,Data_5!$F$10:$BG$42,$A44+2,FALSE)="C","C",IF(HLOOKUP(R$15,Data_5!$F$10:$BG$42,$A44+2,FALSE)="NO","NO",HLOOKUP(R$15,Data_5!$F$10:$BG$42,$A44+2,FALSE)/Data_5!$BH39))))),"")</f>
        <v>7.5463668608662876E-3</v>
      </c>
      <c r="S44" s="1122">
        <f>IFERROR(IF(HLOOKUP(S$15,Data_5!$F$10:$BG$42,$A44+2,FALSE)="NO","NO",IF(HLOOKUP(S$15,Data_5!$F$10:$BG$42,$A44+2,FALSE)="IE","IE",IF(HLOOKUP(S$15,Data_5!$F$10:$BG$42,$A44+2,FALSE)="NE","NE",IF(HLOOKUP(S$15,Data_5!$F$10:$BG$42,$A44+2,FALSE)="C","C",IF(HLOOKUP(S$15,Data_5!$F$10:$BG$42,$A44+2,FALSE)="NO","NO",HLOOKUP(S$15,Data_5!$F$10:$BG$42,$A44+2,FALSE)/Data_5!$BH39))))),"")</f>
        <v>0.39312852215078803</v>
      </c>
      <c r="T44" s="1122" t="str">
        <f>IFERROR(IF(HLOOKUP(T$15,Data_5!$F$10:$BG$42,$A44+2,FALSE)="NO","NO",IF(HLOOKUP(T$15,Data_5!$F$10:$BG$42,$A44+2,FALSE)="IE","IE",IF(HLOOKUP(T$15,Data_5!$F$10:$BG$42,$A44+2,FALSE)="NE","NE",IF(HLOOKUP(T$15,Data_5!$F$10:$BG$42,$A44+2,FALSE)="C","C",IF(HLOOKUP(T$15,Data_5!$F$10:$BG$42,$A44+2,FALSE)="NO","NO",HLOOKUP(T$15,Data_5!$F$10:$BG$42,$A44+2,FALSE)/Data_5!$BH39))))),"")</f>
        <v>IE</v>
      </c>
      <c r="U44" s="1122">
        <f>IFERROR(IF(HLOOKUP(U$15,Data_5!$F$10:$BG$42,$A44+2,FALSE)="NO","NO",IF(HLOOKUP(U$15,Data_5!$F$10:$BG$42,$A44+2,FALSE)="IE","IE",IF(HLOOKUP(U$15,Data_5!$F$10:$BG$42,$A44+2,FALSE)="NE","NE",IF(HLOOKUP(U$15,Data_5!$F$10:$BG$42,$A44+2,FALSE)="C","C",IF(HLOOKUP(U$15,Data_5!$F$10:$BG$42,$A44+2,FALSE)="NO","NO",HLOOKUP(U$15,Data_5!$F$10:$BG$42,$A44+2,FALSE)/Data_5!$BH39))))),"")</f>
        <v>4.8620560058847163E-3</v>
      </c>
      <c r="V44" s="1122" t="str">
        <f>IFERROR(IF(HLOOKUP(V$15,Data_5!$F$10:$BG$42,$A44+2,FALSE)="NO","NO",IF(HLOOKUP(V$15,Data_5!$F$10:$BG$42,$A44+2,FALSE)="IE","IE",IF(HLOOKUP(V$15,Data_5!$F$10:$BG$42,$A44+2,FALSE)="NE","NE",IF(HLOOKUP(V$15,Data_5!$F$10:$BG$42,$A44+2,FALSE)="C","C",IF(HLOOKUP(V$15,Data_5!$F$10:$BG$42,$A44+2,FALSE)="NO","NO",HLOOKUP(V$15,Data_5!$F$10:$BG$42,$A44+2,FALSE)/Data_5!$BH39))))),"")</f>
        <v>IE</v>
      </c>
      <c r="W44" s="1122" t="str">
        <f>IFERROR(IF(HLOOKUP(W$15,Data_5!$F$10:$BG$42,$A44+2,FALSE)="NO","NO",IF(HLOOKUP(W$15,Data_5!$F$10:$BG$42,$A44+2,FALSE)="IE","IE",IF(HLOOKUP(W$15,Data_5!$F$10:$BG$42,$A44+2,FALSE)="NE","NE",IF(HLOOKUP(W$15,Data_5!$F$10:$BG$42,$A44+2,FALSE)="C","C",IF(HLOOKUP(W$15,Data_5!$F$10:$BG$42,$A44+2,FALSE)="NO","NO",HLOOKUP(W$15,Data_5!$F$10:$BG$42,$A44+2,FALSE)/Data_5!$BH39))))),"")</f>
        <v>NO</v>
      </c>
      <c r="X44" s="1122" t="str">
        <f>IFERROR(IF(HLOOKUP(X$15,Data_5!$F$10:$BG$42,$A44+2,FALSE)="NO","NO",IF(HLOOKUP(X$15,Data_5!$F$10:$BG$42,$A44+2,FALSE)="IE","IE",IF(HLOOKUP(X$15,Data_5!$F$10:$BG$42,$A44+2,FALSE)="NE","NE",IF(HLOOKUP(X$15,Data_5!$F$10:$BG$42,$A44+2,FALSE)="C","C",IF(HLOOKUP(X$15,Data_5!$F$10:$BG$42,$A44+2,FALSE)="NO","NO",HLOOKUP(X$15,Data_5!$F$10:$BG$42,$A44+2,FALSE)/Data_5!$BH39))))),"")</f>
        <v>NO</v>
      </c>
      <c r="Y44" s="1122" t="str">
        <f>IFERROR(IF(HLOOKUP(Y$15,Data_5!$F$10:$BG$42,$A44+2,FALSE)="NO","NO",IF(HLOOKUP(Y$15,Data_5!$F$10:$BG$42,$A44+2,FALSE)="IE","IE",IF(HLOOKUP(Y$15,Data_5!$F$10:$BG$42,$A44+2,FALSE)="NE","NE",IF(HLOOKUP(Y$15,Data_5!$F$10:$BG$42,$A44+2,FALSE)="C","C",IF(HLOOKUP(Y$15,Data_5!$F$10:$BG$42,$A44+2,FALSE)="NO","NO",HLOOKUP(Y$15,Data_5!$F$10:$BG$42,$A44+2,FALSE)/Data_5!$BH39))))),"")</f>
        <v>NO</v>
      </c>
      <c r="Z44" s="1122" t="str">
        <f>IFERROR(IF(HLOOKUP(Z$15,Data_5!$F$10:$BG$42,$A44+2,FALSE)="NO","NO",IF(HLOOKUP(Z$15,Data_5!$F$10:$BG$42,$A44+2,FALSE)="IE","IE",IF(HLOOKUP(Z$15,Data_5!$F$10:$BG$42,$A44+2,FALSE)="NE","NE",IF(HLOOKUP(Z$15,Data_5!$F$10:$BG$42,$A44+2,FALSE)="C","C",IF(HLOOKUP(Z$15,Data_5!$F$10:$BG$42,$A44+2,FALSE)="NO","NO",HLOOKUP(Z$15,Data_5!$F$10:$BG$42,$A44+2,FALSE)/Data_5!$BH39))))),"")</f>
        <v>NO</v>
      </c>
      <c r="AA44" s="1122">
        <f>IFERROR(IF(HLOOKUP(AA$15,Data_5!$F$10:$BG$42,$A44+2,FALSE)="NO","NO",IF(HLOOKUP(AA$15,Data_5!$F$10:$BG$42,$A44+2,FALSE)="IE","IE",IF(HLOOKUP(AA$15,Data_5!$F$10:$BG$42,$A44+2,FALSE)="NE","NE",IF(HLOOKUP(AA$15,Data_5!$F$10:$BG$42,$A44+2,FALSE)="C","C",IF(HLOOKUP(AA$15,Data_5!$F$10:$BG$42,$A44+2,FALSE)="NO","NO",HLOOKUP(AA$15,Data_5!$F$10:$BG$42,$A44+2,FALSE)/Data_5!$BH39))))),"")</f>
        <v>6.3940576343207243E-3</v>
      </c>
      <c r="AB44" s="1122" t="str">
        <f>IFERROR(IF(HLOOKUP(AB$15,Data_5!$F$10:$BG$42,$A44+2,FALSE)="NO","NO",IF(HLOOKUP(AB$15,Data_5!$F$10:$BG$42,$A44+2,FALSE)="IE","IE",IF(HLOOKUP(AB$15,Data_5!$F$10:$BG$42,$A44+2,FALSE)="NE","NE",IF(HLOOKUP(AB$15,Data_5!$F$10:$BG$42,$A44+2,FALSE)="C","C",IF(HLOOKUP(AB$15,Data_5!$F$10:$BG$42,$A44+2,FALSE)="NO","NO",HLOOKUP(AB$15,Data_5!$F$10:$BG$42,$A44+2,FALSE)/Data_5!$BH39))))),"")</f>
        <v>NO</v>
      </c>
      <c r="AC44" s="1122" t="str">
        <f>IFERROR(IF(HLOOKUP(AC$15,Data_5!$F$10:$BG$42,$A44+2,FALSE)="NO","NO",IF(HLOOKUP(AC$15,Data_5!$F$10:$BG$42,$A44+2,FALSE)="IE","IE",IF(HLOOKUP(AC$15,Data_5!$F$10:$BG$42,$A44+2,FALSE)="NE","NE",IF(HLOOKUP(AC$15,Data_5!$F$10:$BG$42,$A44+2,FALSE)="C","C",IF(HLOOKUP(AC$15,Data_5!$F$10:$BG$42,$A44+2,FALSE)="NO","NO",HLOOKUP(AC$15,Data_5!$F$10:$BG$42,$A44+2,FALSE)/Data_5!$BH39))))),"")</f>
        <v>NO</v>
      </c>
      <c r="AD44" s="1122">
        <f>IFERROR(IF(HLOOKUP(AD$15,Data_5!$F$10:$BG$42,$A44+2,FALSE)="NO","NO",IF(HLOOKUP(AD$15,Data_5!$F$10:$BG$42,$A44+2,FALSE)="IE","IE",IF(HLOOKUP(AD$15,Data_5!$F$10:$BG$42,$A44+2,FALSE)="NE","NE",IF(HLOOKUP(AD$15,Data_5!$F$10:$BG$42,$A44+2,FALSE)="C","C",IF(HLOOKUP(AD$15,Data_5!$F$10:$BG$42,$A44+2,FALSE)="NO","NO",HLOOKUP(AD$15,Data_5!$F$10:$BG$42,$A44+2,FALSE)/Data_5!$BH39))))),"")</f>
        <v>3.8862967184341179E-2</v>
      </c>
      <c r="AE44" s="1122" t="str">
        <f>IFERROR(IF(HLOOKUP(AE$15,Data_5!$F$10:$BG$42,$A44+2,FALSE)="NO","NO",IF(HLOOKUP(AE$15,Data_5!$F$10:$BG$42,$A44+2,FALSE)="IE","IE",IF(HLOOKUP(AE$15,Data_5!$F$10:$BG$42,$A44+2,FALSE)="NE","NE",IF(HLOOKUP(AE$15,Data_5!$F$10:$BG$42,$A44+2,FALSE)="C","C",IF(HLOOKUP(AE$15,Data_5!$F$10:$BG$42,$A44+2,FALSE)="NO","NO",HLOOKUP(AE$15,Data_5!$F$10:$BG$42,$A44+2,FALSE)/Data_5!$BH39))))),"")</f>
        <v>NO</v>
      </c>
      <c r="AF44" s="1122">
        <f>IFERROR(IF(HLOOKUP(AF$15,Data_5!$F$10:$BG$42,$A44+2,FALSE)="NO","NO",IF(HLOOKUP(AF$15,Data_5!$F$10:$BG$42,$A44+2,FALSE)="IE","IE",IF(HLOOKUP(AF$15,Data_5!$F$10:$BG$42,$A44+2,FALSE)="NE","NE",IF(HLOOKUP(AF$15,Data_5!$F$10:$BG$42,$A44+2,FALSE)="C","C",IF(HLOOKUP(AF$15,Data_5!$F$10:$BG$42,$A44+2,FALSE)="NO","NO",HLOOKUP(AF$15,Data_5!$F$10:$BG$42,$A44+2,FALSE)/Data_5!$BH39))))),"")</f>
        <v>5.0774763359200687E-3</v>
      </c>
      <c r="AG44" s="1122" t="str">
        <f>IFERROR(IF(HLOOKUP(AG$15,Data_5!$F$10:$BG$42,$A44+2,FALSE)="NO","NO",IF(HLOOKUP(AG$15,Data_5!$F$10:$BG$42,$A44+2,FALSE)="IE","IE",IF(HLOOKUP(AG$15,Data_5!$F$10:$BG$42,$A44+2,FALSE)="NE","NE",IF(HLOOKUP(AG$15,Data_5!$F$10:$BG$42,$A44+2,FALSE)="C","C",IF(HLOOKUP(AG$15,Data_5!$F$10:$BG$42,$A44+2,FALSE)="NO","NO",HLOOKUP(AG$15,Data_5!$F$10:$BG$42,$A44+2,FALSE)/Data_5!$BH39))))),"")</f>
        <v>NO</v>
      </c>
      <c r="AH44" s="1122" t="str">
        <f>IFERROR(IF(HLOOKUP(AH$15,Data_5!$F$10:$BG$42,$A44+2,FALSE)="NO","NO",IF(HLOOKUP(AH$15,Data_5!$F$10:$BG$42,$A44+2,FALSE)="IE","IE",IF(HLOOKUP(AH$15,Data_5!$F$10:$BG$42,$A44+2,FALSE)="NE","NE",IF(HLOOKUP(AH$15,Data_5!$F$10:$BG$42,$A44+2,FALSE)="C","C",IF(HLOOKUP(AH$15,Data_5!$F$10:$BG$42,$A44+2,FALSE)="NO","NO",HLOOKUP(AH$15,Data_5!$F$10:$BG$42,$A44+2,FALSE)/Data_5!$BH39))))),"")</f>
        <v>IE</v>
      </c>
      <c r="AI44" s="1122" t="str">
        <f>IFERROR(IF(HLOOKUP(AI$15,Data_5!$F$10:$BG$42,$A44+2,FALSE)="NO","NO",IF(HLOOKUP(AI$15,Data_5!$F$10:$BG$42,$A44+2,FALSE)="IE","IE",IF(HLOOKUP(AI$15,Data_5!$F$10:$BG$42,$A44+2,FALSE)="NE","NE",IF(HLOOKUP(AI$15,Data_5!$F$10:$BG$42,$A44+2,FALSE)="C","C",IF(HLOOKUP(AI$15,Data_5!$F$10:$BG$42,$A44+2,FALSE)="NO","NO",HLOOKUP(AI$15,Data_5!$F$10:$BG$42,$A44+2,FALSE)/Data_5!$BH39))))),"")</f>
        <v>NO</v>
      </c>
      <c r="AJ44" s="1122">
        <f>IFERROR(IF(HLOOKUP(AJ$15,Data_5!$F$10:$BG$42,$A44+2,FALSE)="NO","NO",IF(HLOOKUP(AJ$15,Data_5!$F$10:$BG$42,$A44+2,FALSE)="IE","IE",IF(HLOOKUP(AJ$15,Data_5!$F$10:$BG$42,$A44+2,FALSE)="NE","NE",IF(HLOOKUP(AJ$15,Data_5!$F$10:$BG$42,$A44+2,FALSE)="C","C",IF(HLOOKUP(AJ$15,Data_5!$F$10:$BG$42,$A44+2,FALSE)="NO","NO",HLOOKUP(AJ$15,Data_5!$F$10:$BG$42,$A44+2,FALSE)/Data_5!$BH39))))),"")</f>
        <v>2.0761418938661487E-3</v>
      </c>
      <c r="AK44" s="15"/>
      <c r="AL44" s="2628" t="str">
        <f t="shared" si="0"/>
        <v>City of Vancouver</v>
      </c>
      <c r="AM44" s="2629"/>
      <c r="AN44" s="1100">
        <f t="shared" si="1"/>
        <v>2014</v>
      </c>
      <c r="AO44" s="1122" t="str">
        <f>IFERROR(IF(VLOOKUP($AL44,Data_5!$B$12:$E$42,4,FALSE)="BASIC","",(IF(HLOOKUP(AO$15,Data_5!$F$10:$BG$42,$A44+2,FALSE)="NO","NO",IF(HLOOKUP(AO$15,Data_5!$F$10:$BG$42,$A44+2,FALSE)="IE","IE",IF(HLOOKUP(AO$15,Data_5!$F$10:$BG$42,$A44+2,FALSE)="NE","NE",IF(HLOOKUP(AO$15,Data_5!$F$10:$BG$42,$A44+2,FALSE)="C","C",IF(HLOOKUP(AO$15,Data_5!$F$10:$BG$42,$A44+2,FALSE)="NO","NO",HLOOKUP(AO$15,Data_5!$F$10:$BG$42,$A44+2,FALSE)/Data_5!$BI39))))))),"")</f>
        <v/>
      </c>
      <c r="AP44" s="1122" t="str">
        <f>IFERROR(IF(VLOOKUP($AL44,Data_5!$B$12:$E$42,4,FALSE)="BASIC","",(IF(HLOOKUP(AP$15,Data_5!$F$10:$BG$42,$A44+2,FALSE)="NO","NO",IF(HLOOKUP(AP$15,Data_5!$F$10:$BG$42,$A44+2,FALSE)="IE","IE",IF(HLOOKUP(AP$15,Data_5!$F$10:$BG$42,$A44+2,FALSE)="NE","NE",IF(HLOOKUP(AP$15,Data_5!$F$10:$BG$42,$A44+2,FALSE)="C","C",IF(HLOOKUP(AP$15,Data_5!$F$10:$BG$42,$A44+2,FALSE)="NO","NO",HLOOKUP(AP$15,Data_5!$F$10:$BG$42,$A44+2,FALSE)/Data_5!$BI39))))))),"")</f>
        <v/>
      </c>
      <c r="AQ44" s="1122" t="str">
        <f>IFERROR(IF(VLOOKUP($AL44,Data_5!$B$12:$E$42,4,FALSE)="BASIC","",(IF(HLOOKUP(AQ$15,Data_5!$F$10:$BG$42,$A44+2,FALSE)="NO","NO",IF(HLOOKUP(AQ$15,Data_5!$F$10:$BG$42,$A44+2,FALSE)="IE","IE",IF(HLOOKUP(AQ$15,Data_5!$F$10:$BG$42,$A44+2,FALSE)="NE","NE",IF(HLOOKUP(AQ$15,Data_5!$F$10:$BG$42,$A44+2,FALSE)="C","C",IF(HLOOKUP(AQ$15,Data_5!$F$10:$BG$42,$A44+2,FALSE)="NO","NO",HLOOKUP(AQ$15,Data_5!$F$10:$BG$42,$A44+2,FALSE)/Data_5!$BI39))))))),"")</f>
        <v/>
      </c>
      <c r="AR44" s="1122" t="str">
        <f>IFERROR(IF(VLOOKUP($AL44,Data_5!$B$12:$E$42,4,FALSE)="BASIC","",(IF(HLOOKUP(AR$15,Data_5!$F$10:$BG$42,$A44+2,FALSE)="NO","NO",IF(HLOOKUP(AR$15,Data_5!$F$10:$BG$42,$A44+2,FALSE)="IE","IE",IF(HLOOKUP(AR$15,Data_5!$F$10:$BG$42,$A44+2,FALSE)="NE","NE",IF(HLOOKUP(AR$15,Data_5!$F$10:$BG$42,$A44+2,FALSE)="C","C",IF(HLOOKUP(AR$15,Data_5!$F$10:$BG$42,$A44+2,FALSE)="NO","NO",HLOOKUP(AR$15,Data_5!$F$10:$BG$42,$A44+2,FALSE)/Data_5!$BI39))))))),"")</f>
        <v/>
      </c>
      <c r="AS44" s="1122" t="str">
        <f>IFERROR(IF(VLOOKUP($AL44,Data_5!$B$12:$E$42,4,FALSE)="BASIC","",(IF(HLOOKUP(AS$15,Data_5!$F$10:$BG$42,$A44+2,FALSE)="NO","NO",IF(HLOOKUP(AS$15,Data_5!$F$10:$BG$42,$A44+2,FALSE)="IE","IE",IF(HLOOKUP(AS$15,Data_5!$F$10:$BG$42,$A44+2,FALSE)="NE","NE",IF(HLOOKUP(AS$15,Data_5!$F$10:$BG$42,$A44+2,FALSE)="C","C",IF(HLOOKUP(AS$15,Data_5!$F$10:$BG$42,$A44+2,FALSE)="NO","NO",HLOOKUP(AS$15,Data_5!$F$10:$BG$42,$A44+2,FALSE)/Data_5!$BI39))))))),"")</f>
        <v/>
      </c>
      <c r="AT44" s="1122" t="str">
        <f>IFERROR(IF(VLOOKUP($AL44,Data_5!$B$12:$E$42,4,FALSE)="BASIC","",(IF(HLOOKUP(AT$15,Data_5!$F$10:$BG$42,$A44+2,FALSE)="NO","NO",IF(HLOOKUP(AT$15,Data_5!$F$10:$BG$42,$A44+2,FALSE)="IE","IE",IF(HLOOKUP(AT$15,Data_5!$F$10:$BG$42,$A44+2,FALSE)="NE","NE",IF(HLOOKUP(AT$15,Data_5!$F$10:$BG$42,$A44+2,FALSE)="C","C",IF(HLOOKUP(AT$15,Data_5!$F$10:$BG$42,$A44+2,FALSE)="NO","NO",HLOOKUP(AT$15,Data_5!$F$10:$BG$42,$A44+2,FALSE)/Data_5!$BI39))))))),"")</f>
        <v/>
      </c>
      <c r="AU44" s="1122" t="str">
        <f>IFERROR(IF(VLOOKUP($AL44,Data_5!$B$12:$E$42,4,FALSE)="BASIC","",(IF(HLOOKUP(AU$15,Data_5!$F$10:$BG$42,$A44+2,FALSE)="NO","NO",IF(HLOOKUP(AU$15,Data_5!$F$10:$BG$42,$A44+2,FALSE)="IE","IE",IF(HLOOKUP(AU$15,Data_5!$F$10:$BG$42,$A44+2,FALSE)="NE","NE",IF(HLOOKUP(AU$15,Data_5!$F$10:$BG$42,$A44+2,FALSE)="C","C",IF(HLOOKUP(AU$15,Data_5!$F$10:$BG$42,$A44+2,FALSE)="NO","NO",HLOOKUP(AU$15,Data_5!$F$10:$BG$42,$A44+2,FALSE)/Data_5!$BI39))))))),"")</f>
        <v/>
      </c>
      <c r="AV44" s="1122" t="str">
        <f>IFERROR(IF(VLOOKUP($AL44,Data_5!$B$12:$E$42,4,FALSE)="BASIC","",(IF(HLOOKUP(AV$15,Data_5!$F$10:$BG$42,$A44+2,FALSE)="NO","NO",IF(HLOOKUP(AV$15,Data_5!$F$10:$BG$42,$A44+2,FALSE)="IE","IE",IF(HLOOKUP(AV$15,Data_5!$F$10:$BG$42,$A44+2,FALSE)="NE","NE",IF(HLOOKUP(AV$15,Data_5!$F$10:$BG$42,$A44+2,FALSE)="C","C",IF(HLOOKUP(AV$15,Data_5!$F$10:$BG$42,$A44+2,FALSE)="NO","NO",HLOOKUP(AV$15,Data_5!$F$10:$BG$42,$A44+2,FALSE)/Data_5!$BI39))))))),"")</f>
        <v/>
      </c>
      <c r="AW44" s="1122" t="str">
        <f>IFERROR(IF(VLOOKUP($AL44,Data_5!$B$12:$E$42,4,FALSE)="BASIC","",(IF(HLOOKUP(AW$15,Data_5!$F$10:$BG$42,$A44+2,FALSE)="NO","NO",IF(HLOOKUP(AW$15,Data_5!$F$10:$BG$42,$A44+2,FALSE)="IE","IE",IF(HLOOKUP(AW$15,Data_5!$F$10:$BG$42,$A44+2,FALSE)="NE","NE",IF(HLOOKUP(AW$15,Data_5!$F$10:$BG$42,$A44+2,FALSE)="C","C",IF(HLOOKUP(AW$15,Data_5!$F$10:$BG$42,$A44+2,FALSE)="NO","NO",HLOOKUP(AW$15,Data_5!$F$10:$BG$42,$A44+2,FALSE)/Data_5!$BI39))))))),"")</f>
        <v/>
      </c>
      <c r="AX44" s="1122" t="str">
        <f>IFERROR(IF(VLOOKUP($AL44,Data_5!$B$12:$E$42,4,FALSE)="BASIC","",(IF(HLOOKUP(AX$15,Data_5!$F$10:$BG$42,$A44+2,FALSE)="NO","NO",IF(HLOOKUP(AX$15,Data_5!$F$10:$BG$42,$A44+2,FALSE)="IE","IE",IF(HLOOKUP(AX$15,Data_5!$F$10:$BG$42,$A44+2,FALSE)="NE","NE",IF(HLOOKUP(AX$15,Data_5!$F$10:$BG$42,$A44+2,FALSE)="C","C",IF(HLOOKUP(AX$15,Data_5!$F$10:$BG$42,$A44+2,FALSE)="NO","NO",HLOOKUP(AX$15,Data_5!$F$10:$BG$42,$A44+2,FALSE)/Data_5!$BI39))))))),"")</f>
        <v/>
      </c>
      <c r="AY44" s="1122" t="str">
        <f>IFERROR(IF(VLOOKUP($AL44,Data_5!$B$12:$E$42,4,FALSE)="BASIC","",(IF(HLOOKUP(AY$15,Data_5!$F$10:$BG$42,$A44+2,FALSE)="NO","NO",IF(HLOOKUP(AY$15,Data_5!$F$10:$BG$42,$A44+2,FALSE)="IE","IE",IF(HLOOKUP(AY$15,Data_5!$F$10:$BG$42,$A44+2,FALSE)="NE","NE",IF(HLOOKUP(AY$15,Data_5!$F$10:$BG$42,$A44+2,FALSE)="C","C",IF(HLOOKUP(AY$15,Data_5!$F$10:$BG$42,$A44+2,FALSE)="NO","NO",HLOOKUP(AY$15,Data_5!$F$10:$BG$42,$A44+2,FALSE)/Data_5!$BI39))))))),"")</f>
        <v/>
      </c>
      <c r="AZ44" s="1122" t="str">
        <f>IFERROR(IF(VLOOKUP($AL44,Data_5!$B$12:$E$42,4,FALSE)="BASIC","",(IF(HLOOKUP(AZ$15,Data_5!$F$10:$BG$42,$A44+2,FALSE)="NO","NO",IF(HLOOKUP(AZ$15,Data_5!$F$10:$BG$42,$A44+2,FALSE)="IE","IE",IF(HLOOKUP(AZ$15,Data_5!$F$10:$BG$42,$A44+2,FALSE)="NE","NE",IF(HLOOKUP(AZ$15,Data_5!$F$10:$BG$42,$A44+2,FALSE)="C","C",IF(HLOOKUP(AZ$15,Data_5!$F$10:$BG$42,$A44+2,FALSE)="NO","NO",HLOOKUP(AZ$15,Data_5!$F$10:$BG$42,$A44+2,FALSE)/Data_5!$BI39))))))),"")</f>
        <v/>
      </c>
      <c r="BA44" s="1122" t="str">
        <f>IFERROR(IF(VLOOKUP($AL44,Data_5!$B$12:$E$42,4,FALSE)="BASIC","",(IF(HLOOKUP(BA$15,Data_5!$F$10:$BG$42,$A44+2,FALSE)="NO","NO",IF(HLOOKUP(BA$15,Data_5!$F$10:$BG$42,$A44+2,FALSE)="IE","IE",IF(HLOOKUP(BA$15,Data_5!$F$10:$BG$42,$A44+2,FALSE)="NE","NE",IF(HLOOKUP(BA$15,Data_5!$F$10:$BG$42,$A44+2,FALSE)="C","C",IF(HLOOKUP(BA$15,Data_5!$F$10:$BG$42,$A44+2,FALSE)="NO","NO",HLOOKUP(BA$15,Data_5!$F$10:$BG$42,$A44+2,FALSE)/Data_5!$BI39))))))),"")</f>
        <v/>
      </c>
      <c r="BB44" s="1122" t="str">
        <f>IFERROR(IF(VLOOKUP($AL44,Data_5!$B$12:$E$42,4,FALSE)="BASIC","",(IF(HLOOKUP(BB$15,Data_5!$F$10:$BG$42,$A44+2,FALSE)="NO","NO",IF(HLOOKUP(BB$15,Data_5!$F$10:$BG$42,$A44+2,FALSE)="IE","IE",IF(HLOOKUP(BB$15,Data_5!$F$10:$BG$42,$A44+2,FALSE)="NE","NE",IF(HLOOKUP(BB$15,Data_5!$F$10:$BG$42,$A44+2,FALSE)="C","C",IF(HLOOKUP(BB$15,Data_5!$F$10:$BG$42,$A44+2,FALSE)="NO","NO",HLOOKUP(BB$15,Data_5!$F$10:$BG$42,$A44+2,FALSE)/Data_5!$BI39))))))),"")</f>
        <v/>
      </c>
      <c r="BC44" s="1122" t="str">
        <f>IFERROR(IF(VLOOKUP($AL44,Data_5!$B$12:$E$42,4,FALSE)="BASIC","",(IF(HLOOKUP(BC$15,Data_5!$F$10:$BG$42,$A44+2,FALSE)="NO","NO",IF(HLOOKUP(BC$15,Data_5!$F$10:$BG$42,$A44+2,FALSE)="IE","IE",IF(HLOOKUP(BC$15,Data_5!$F$10:$BG$42,$A44+2,FALSE)="NE","NE",IF(HLOOKUP(BC$15,Data_5!$F$10:$BG$42,$A44+2,FALSE)="C","C",IF(HLOOKUP(BC$15,Data_5!$F$10:$BG$42,$A44+2,FALSE)="NO","NO",HLOOKUP(BC$15,Data_5!$F$10:$BG$42,$A44+2,FALSE)/Data_5!$BI39))))))),"")</f>
        <v/>
      </c>
      <c r="BD44" s="1122" t="str">
        <f>IFERROR(IF(VLOOKUP($AL44,Data_5!$B$12:$E$42,4,FALSE)="BASIC","",(IF(HLOOKUP(BD$15,Data_5!$F$10:$BG$42,$A44+2,FALSE)="NO","NO",IF(HLOOKUP(BD$15,Data_5!$F$10:$BG$42,$A44+2,FALSE)="IE","IE",IF(HLOOKUP(BD$15,Data_5!$F$10:$BG$42,$A44+2,FALSE)="NE","NE",IF(HLOOKUP(BD$15,Data_5!$F$10:$BG$42,$A44+2,FALSE)="C","C",IF(HLOOKUP(BD$15,Data_5!$F$10:$BG$42,$A44+2,FALSE)="NO","NO",HLOOKUP(BD$15,Data_5!$F$10:$BG$42,$A44+2,FALSE)/Data_5!$BI39))))))),"")</f>
        <v/>
      </c>
      <c r="BE44" s="1122" t="str">
        <f>IFERROR(IF(VLOOKUP($AL44,Data_5!$B$12:$E$42,4,FALSE)="BASIC","",(IF(HLOOKUP(BE$15,Data_5!$F$10:$BG$42,$A44+2,FALSE)="NO","NO",IF(HLOOKUP(BE$15,Data_5!$F$10:$BG$42,$A44+2,FALSE)="IE","IE",IF(HLOOKUP(BE$15,Data_5!$F$10:$BG$42,$A44+2,FALSE)="NE","NE",IF(HLOOKUP(BE$15,Data_5!$F$10:$BG$42,$A44+2,FALSE)="C","C",IF(HLOOKUP(BE$15,Data_5!$F$10:$BG$42,$A44+2,FALSE)="NO","NO",HLOOKUP(BE$15,Data_5!$F$10:$BG$42,$A44+2,FALSE)/Data_5!$BI39))))))),"")</f>
        <v/>
      </c>
      <c r="BF44" s="1122" t="str">
        <f>IFERROR(IF(VLOOKUP($AL44,Data_5!$B$12:$E$42,4,FALSE)="BASIC","",(IF(HLOOKUP(BF$15,Data_5!$F$10:$BG$42,$A44+2,FALSE)="NO","NO",IF(HLOOKUP(BF$15,Data_5!$F$10:$BG$42,$A44+2,FALSE)="IE","IE",IF(HLOOKUP(BF$15,Data_5!$F$10:$BG$42,$A44+2,FALSE)="NE","NE",IF(HLOOKUP(BF$15,Data_5!$F$10:$BG$42,$A44+2,FALSE)="C","C",IF(HLOOKUP(BF$15,Data_5!$F$10:$BG$42,$A44+2,FALSE)="NO","NO",HLOOKUP(BF$15,Data_5!$F$10:$BG$42,$A44+2,FALSE)/Data_5!$BI39))))))),"")</f>
        <v/>
      </c>
      <c r="BG44" s="1122" t="str">
        <f>IFERROR(IF(VLOOKUP($AL44,Data_5!$B$12:$E$42,4,FALSE)="BASIC","",(IF(HLOOKUP(BG$15,Data_5!$F$10:$BG$42,$A44+2,FALSE)="NO","NO",IF(HLOOKUP(BG$15,Data_5!$F$10:$BG$42,$A44+2,FALSE)="IE","IE",IF(HLOOKUP(BG$15,Data_5!$F$10:$BG$42,$A44+2,FALSE)="NE","NE",IF(HLOOKUP(BG$15,Data_5!$F$10:$BG$42,$A44+2,FALSE)="C","C",IF(HLOOKUP(BG$15,Data_5!$F$10:$BG$42,$A44+2,FALSE)="NO","NO",HLOOKUP(BG$15,Data_5!$F$10:$BG$42,$A44+2,FALSE)/Data_5!$BI39))))))),"")</f>
        <v/>
      </c>
      <c r="BH44" s="1122" t="str">
        <f>IFERROR(IF(VLOOKUP($AL44,Data_5!$B$12:$E$42,4,FALSE)="BASIC","",(IF(HLOOKUP(BH$15,Data_5!$F$10:$BG$42,$A44+2,FALSE)="NO","NO",IF(HLOOKUP(BH$15,Data_5!$F$10:$BG$42,$A44+2,FALSE)="IE","IE",IF(HLOOKUP(BH$15,Data_5!$F$10:$BG$42,$A44+2,FALSE)="NE","NE",IF(HLOOKUP(BH$15,Data_5!$F$10:$BG$42,$A44+2,FALSE)="C","C",IF(HLOOKUP(BH$15,Data_5!$F$10:$BG$42,$A44+2,FALSE)="NO","NO",HLOOKUP(BH$15,Data_5!$F$10:$BG$42,$A44+2,FALSE)/Data_5!$BI39))))))),"")</f>
        <v/>
      </c>
      <c r="BI44" s="1122" t="str">
        <f>IFERROR(IF(VLOOKUP($AL44,Data_5!$B$12:$E$42,4,FALSE)="BASIC","",(IF(HLOOKUP(BI$15,Data_5!$F$10:$BG$42,$A44+2,FALSE)="NO","NO",IF(HLOOKUP(BI$15,Data_5!$F$10:$BG$42,$A44+2,FALSE)="IE","IE",IF(HLOOKUP(BI$15,Data_5!$F$10:$BG$42,$A44+2,FALSE)="NE","NE",IF(HLOOKUP(BI$15,Data_5!$F$10:$BG$42,$A44+2,FALSE)="C","C",IF(HLOOKUP(BI$15,Data_5!$F$10:$BG$42,$A44+2,FALSE)="NO","NO",HLOOKUP(BI$15,Data_5!$F$10:$BG$42,$A44+2,FALSE)/Data_5!$BI39))))))),"")</f>
        <v/>
      </c>
      <c r="BJ44" s="1122" t="str">
        <f>IFERROR(IF(VLOOKUP($AL44,Data_5!$B$12:$E$42,4,FALSE)="BASIC","",(IF(HLOOKUP(BJ$15,Data_5!$F$10:$BG$42,$A44+2,FALSE)="NO","NO",IF(HLOOKUP(BJ$15,Data_5!$F$10:$BG$42,$A44+2,FALSE)="IE","IE",IF(HLOOKUP(BJ$15,Data_5!$F$10:$BG$42,$A44+2,FALSE)="NE","NE",IF(HLOOKUP(BJ$15,Data_5!$F$10:$BG$42,$A44+2,FALSE)="C","C",IF(HLOOKUP(BJ$15,Data_5!$F$10:$BG$42,$A44+2,FALSE)="NO","NO",HLOOKUP(BJ$15,Data_5!$F$10:$BG$42,$A44+2,FALSE)/Data_5!$BI39))))))),"")</f>
        <v/>
      </c>
      <c r="BK44" s="1122" t="str">
        <f>IFERROR(IF(VLOOKUP($AL44,Data_5!$B$12:$E$42,4,FALSE)="BASIC","",(IF(HLOOKUP(BK$15,Data_5!$F$10:$BG$42,$A44+2,FALSE)="NO","NO",IF(HLOOKUP(BK$15,Data_5!$F$10:$BG$42,$A44+2,FALSE)="IE","IE",IF(HLOOKUP(BK$15,Data_5!$F$10:$BG$42,$A44+2,FALSE)="NE","NE",IF(HLOOKUP(BK$15,Data_5!$F$10:$BG$42,$A44+2,FALSE)="C","C",IF(HLOOKUP(BK$15,Data_5!$F$10:$BG$42,$A44+2,FALSE)="NO","NO",HLOOKUP(BK$15,Data_5!$F$10:$BG$42,$A44+2,FALSE)/Data_5!$BI39))))))),"")</f>
        <v/>
      </c>
      <c r="BL44" s="1122" t="str">
        <f>IFERROR(IF(VLOOKUP($AL44,Data_5!$B$12:$E$42,4,FALSE)="BASIC","",(IF(HLOOKUP(BL$15,Data_5!$F$10:$BG$42,$A44+2,FALSE)="NO","NO",IF(HLOOKUP(BL$15,Data_5!$F$10:$BG$42,$A44+2,FALSE)="IE","IE",IF(HLOOKUP(BL$15,Data_5!$F$10:$BG$42,$A44+2,FALSE)="NE","NE",IF(HLOOKUP(BL$15,Data_5!$F$10:$BG$42,$A44+2,FALSE)="C","C",IF(HLOOKUP(BL$15,Data_5!$F$10:$BG$42,$A44+2,FALSE)="NO","NO",HLOOKUP(BL$15,Data_5!$F$10:$BG$42,$A44+2,FALSE)/Data_5!$BI39))))))),"")</f>
        <v/>
      </c>
      <c r="BM44" s="1122" t="str">
        <f>IFERROR(IF(VLOOKUP($AL44,Data_5!$B$12:$E$42,4,FALSE)="BASIC","",(IF(HLOOKUP(BM$15,Data_5!$F$10:$BG$42,$A44+2,FALSE)="NO","NO",IF(HLOOKUP(BM$15,Data_5!$F$10:$BG$42,$A44+2,FALSE)="IE","IE",IF(HLOOKUP(BM$15,Data_5!$F$10:$BG$42,$A44+2,FALSE)="NE","NE",IF(HLOOKUP(BM$15,Data_5!$F$10:$BG$42,$A44+2,FALSE)="C","C",IF(HLOOKUP(BM$15,Data_5!$F$10:$BG$42,$A44+2,FALSE)="NO","NO",HLOOKUP(BM$15,Data_5!$F$10:$BG$42,$A44+2,FALSE)/Data_5!$BI39))))))),"")</f>
        <v/>
      </c>
      <c r="BN44" s="1122" t="str">
        <f>IFERROR(IF(VLOOKUP($AL44,Data_5!$B$12:$E$42,4,FALSE)="BASIC","",(IF(HLOOKUP(BN$15,Data_5!$F$10:$BG$42,$A44+2,FALSE)="NO","NO",IF(HLOOKUP(BN$15,Data_5!$F$10:$BG$42,$A44+2,FALSE)="IE","IE",IF(HLOOKUP(BN$15,Data_5!$F$10:$BG$42,$A44+2,FALSE)="NE","NE",IF(HLOOKUP(BN$15,Data_5!$F$10:$BG$42,$A44+2,FALSE)="C","C",IF(HLOOKUP(BN$15,Data_5!$F$10:$BG$42,$A44+2,FALSE)="NO","NO",HLOOKUP(BN$15,Data_5!$F$10:$BG$42,$A44+2,FALSE)/Data_5!$BI39))))))),"")</f>
        <v/>
      </c>
      <c r="BO44" s="1122" t="str">
        <f>IFERROR(IF(VLOOKUP($AL44,Data_5!$B$12:$E$42,4,FALSE)="BASIC","",(IF(HLOOKUP(BO$15,Data_5!$F$10:$BG$42,$A44+2,FALSE)="NO","NO",IF(HLOOKUP(BO$15,Data_5!$F$10:$BG$42,$A44+2,FALSE)="IE","IE",IF(HLOOKUP(BO$15,Data_5!$F$10:$BG$42,$A44+2,FALSE)="NE","NE",IF(HLOOKUP(BO$15,Data_5!$F$10:$BG$42,$A44+2,FALSE)="C","C",IF(HLOOKUP(BO$15,Data_5!$F$10:$BG$42,$A44+2,FALSE)="NO","NO",HLOOKUP(BO$15,Data_5!$F$10:$BG$42,$A44+2,FALSE)/Data_5!$BI39))))))),"")</f>
        <v/>
      </c>
      <c r="BP44" s="1122" t="str">
        <f>IFERROR(IF(VLOOKUP($AL44,Data_5!$B$12:$E$42,4,FALSE)="BASIC","",(IF(HLOOKUP(BP$15,Data_5!$F$10:$BG$42,$A44+2,FALSE)="NO","NO",IF(HLOOKUP(BP$15,Data_5!$F$10:$BG$42,$A44+2,FALSE)="IE","IE",IF(HLOOKUP(BP$15,Data_5!$F$10:$BG$42,$A44+2,FALSE)="NE","NE",IF(HLOOKUP(BP$15,Data_5!$F$10:$BG$42,$A44+2,FALSE)="C","C",IF(HLOOKUP(BP$15,Data_5!$F$10:$BG$42,$A44+2,FALSE)="NO","NO",HLOOKUP(BP$15,Data_5!$F$10:$BG$42,$A44+2,FALSE)/Data_5!$BI39))))))),"")</f>
        <v/>
      </c>
      <c r="BQ44" s="1122" t="str">
        <f>IFERROR(IF(VLOOKUP($AL44,Data_5!$B$12:$E$42,4,FALSE)="BASIC","",(IF(HLOOKUP(BQ$15,Data_5!$F$10:$BG$42,$A44+2,FALSE)="NO","NO",IF(HLOOKUP(BQ$15,Data_5!$F$10:$BG$42,$A44+2,FALSE)="IE","IE",IF(HLOOKUP(BQ$15,Data_5!$F$10:$BG$42,$A44+2,FALSE)="NE","NE",IF(HLOOKUP(BQ$15,Data_5!$F$10:$BG$42,$A44+2,FALSE)="C","C",IF(HLOOKUP(BQ$15,Data_5!$F$10:$BG$42,$A44+2,FALSE)="NO","NO",HLOOKUP(BQ$15,Data_5!$F$10:$BG$42,$A44+2,FALSE)/Data_5!$BI39))))))),"")</f>
        <v/>
      </c>
      <c r="BR44" s="1122" t="str">
        <f>IFERROR(IF(VLOOKUP($AL44,Data_5!$B$12:$E$42,4,FALSE)="BASIC","",(IF(HLOOKUP(BR$15,Data_5!$F$10:$BG$42,$A44+2,FALSE)="NO","NO",IF(HLOOKUP(BR$15,Data_5!$F$10:$BG$42,$A44+2,FALSE)="IE","IE",IF(HLOOKUP(BR$15,Data_5!$F$10:$BG$42,$A44+2,FALSE)="NE","NE",IF(HLOOKUP(BR$15,Data_5!$F$10:$BG$42,$A44+2,FALSE)="C","C",IF(HLOOKUP(BR$15,Data_5!$F$10:$BG$42,$A44+2,FALSE)="NO","NO",HLOOKUP(BR$15,Data_5!$F$10:$BG$42,$A44+2,FALSE)/Data_5!$BI39))))))),"")</f>
        <v/>
      </c>
      <c r="BS44" s="1122" t="str">
        <f>IFERROR(IF(VLOOKUP($AL44,Data_5!$B$12:$E$42,4,FALSE)="BASIC","",(IF(HLOOKUP(BS$15,Data_5!$F$10:$BG$42,$A44+2,FALSE)="NO","NO",IF(HLOOKUP(BS$15,Data_5!$F$10:$BG$42,$A44+2,FALSE)="IE","IE",IF(HLOOKUP(BS$15,Data_5!$F$10:$BG$42,$A44+2,FALSE)="NE","NE",IF(HLOOKUP(BS$15,Data_5!$F$10:$BG$42,$A44+2,FALSE)="C","C",IF(HLOOKUP(BS$15,Data_5!$F$10:$BG$42,$A44+2,FALSE)="NO","NO",HLOOKUP(BS$15,Data_5!$F$10:$BG$42,$A44+2,FALSE)/Data_5!$BI39))))))),"")</f>
        <v/>
      </c>
      <c r="BT44" s="1122" t="str">
        <f>IFERROR(IF(VLOOKUP($AL44,Data_5!$B$12:$E$42,4,FALSE)="BASIC","",(IF(HLOOKUP(BT$15,Data_5!$F$10:$BG$42,$A44+2,FALSE)="NO","NO",IF(HLOOKUP(BT$15,Data_5!$F$10:$BG$42,$A44+2,FALSE)="IE","IE",IF(HLOOKUP(BT$15,Data_5!$F$10:$BG$42,$A44+2,FALSE)="NE","NE",IF(HLOOKUP(BT$15,Data_5!$F$10:$BG$42,$A44+2,FALSE)="C","C",IF(HLOOKUP(BT$15,Data_5!$F$10:$BG$42,$A44+2,FALSE)="NO","NO",HLOOKUP(BT$15,Data_5!$F$10:$BG$42,$A44+2,FALSE)/Data_5!$BI39))))))),"")</f>
        <v/>
      </c>
      <c r="BU44" s="1122" t="str">
        <f>IFERROR(IF(VLOOKUP($AL44,Data_5!$B$12:$E$42,4,FALSE)="BASIC","",(IF(HLOOKUP(BU$15,Data_5!$F$10:$BG$42,$A44+2,FALSE)="NO","NO",IF(HLOOKUP(BU$15,Data_5!$F$10:$BG$42,$A44+2,FALSE)="IE","IE",IF(HLOOKUP(BU$15,Data_5!$F$10:$BG$42,$A44+2,FALSE)="NE","NE",IF(HLOOKUP(BU$15,Data_5!$F$10:$BG$42,$A44+2,FALSE)="C","C",IF(HLOOKUP(BU$15,Data_5!$F$10:$BG$42,$A44+2,FALSE)="NO","NO",HLOOKUP(BU$15,Data_5!$F$10:$BG$42,$A44+2,FALSE)/Data_5!$BI39))))))),"")</f>
        <v/>
      </c>
      <c r="BV44" s="1122" t="str">
        <f>IFERROR(IF(VLOOKUP($AL44,Data_5!$B$12:$E$42,4,FALSE)="BASIC","",(IF(HLOOKUP(BV$15,Data_5!$F$10:$BG$42,$A44+2,FALSE)="NO","NO",IF(HLOOKUP(BV$15,Data_5!$F$10:$BG$42,$A44+2,FALSE)="IE","IE",IF(HLOOKUP(BV$15,Data_5!$F$10:$BG$42,$A44+2,FALSE)="NE","NE",IF(HLOOKUP(BV$15,Data_5!$F$10:$BG$42,$A44+2,FALSE)="C","C",IF(HLOOKUP(BV$15,Data_5!$F$10:$BG$42,$A44+2,FALSE)="NO","NO",HLOOKUP(BV$15,Data_5!$F$10:$BG$42,$A44+2,FALSE)/Data_5!$BI39))))))),"")</f>
        <v/>
      </c>
      <c r="BW44" s="1122" t="str">
        <f>IFERROR(IF(VLOOKUP($AL44,Data_5!$B$12:$E$42,4,FALSE)="BASIC","",(IF(HLOOKUP(BW$15,Data_5!$F$10:$BG$42,$A44+2,FALSE)="NO","NO",IF(HLOOKUP(BW$15,Data_5!$F$10:$BG$42,$A44+2,FALSE)="IE","IE",IF(HLOOKUP(BW$15,Data_5!$F$10:$BG$42,$A44+2,FALSE)="NE","NE",IF(HLOOKUP(BW$15,Data_5!$F$10:$BG$42,$A44+2,FALSE)="C","C",IF(HLOOKUP(BW$15,Data_5!$F$10:$BG$42,$A44+2,FALSE)="NO","NO",HLOOKUP(BW$15,Data_5!$F$10:$BG$42,$A44+2,FALSE)/Data_5!$BI39))))))),"")</f>
        <v/>
      </c>
      <c r="BX44" s="1122" t="str">
        <f>IFERROR(IF(VLOOKUP($AL44,Data_5!$B$12:$E$42,4,FALSE)="BASIC","",(IF(HLOOKUP(BX$15,Data_5!$F$10:$BG$42,$A44+2,FALSE)="NO","NO",IF(HLOOKUP(BX$15,Data_5!$F$10:$BG$42,$A44+2,FALSE)="IE","IE",IF(HLOOKUP(BX$15,Data_5!$F$10:$BG$42,$A44+2,FALSE)="NE","NE",IF(HLOOKUP(BX$15,Data_5!$F$10:$BG$42,$A44+2,FALSE)="C","C",IF(HLOOKUP(BX$15,Data_5!$F$10:$BG$42,$A44+2,FALSE)="NO","NO",HLOOKUP(BX$15,Data_5!$F$10:$BG$42,$A44+2,FALSE)/Data_5!$BI39))))))),"")</f>
        <v/>
      </c>
      <c r="BY44" s="1122" t="str">
        <f>IFERROR(IF(VLOOKUP($AL44,Data_5!$B$12:$E$42,4,FALSE)="BASIC","",(IF(HLOOKUP(BY$15,Data_5!$F$10:$BG$42,$A44+2,FALSE)="NO","NO",IF(HLOOKUP(BY$15,Data_5!$F$10:$BG$42,$A44+2,FALSE)="IE","IE",IF(HLOOKUP(BY$15,Data_5!$F$10:$BG$42,$A44+2,FALSE)="NE","NE",IF(HLOOKUP(BY$15,Data_5!$F$10:$BG$42,$A44+2,FALSE)="C","C",IF(HLOOKUP(BY$15,Data_5!$F$10:$BG$42,$A44+2,FALSE)="NO","NO",HLOOKUP(BY$15,Data_5!$F$10:$BG$42,$A44+2,FALSE)/Data_5!$BI39))))))),"")</f>
        <v/>
      </c>
      <c r="BZ44" s="1122" t="str">
        <f>IFERROR(IF(VLOOKUP($AL44,Data_5!$B$12:$E$42,4,FALSE)="BASIC","",(IF(HLOOKUP(BZ$15,Data_5!$F$10:$BG$42,$A44+2,FALSE)="NO","NO",IF(HLOOKUP(BZ$15,Data_5!$F$10:$BG$42,$A44+2,FALSE)="IE","IE",IF(HLOOKUP(BZ$15,Data_5!$F$10:$BG$42,$A44+2,FALSE)="NE","NE",IF(HLOOKUP(BZ$15,Data_5!$F$10:$BG$42,$A44+2,FALSE)="C","C",IF(HLOOKUP(BZ$15,Data_5!$F$10:$BG$42,$A44+2,FALSE)="NO","NO",HLOOKUP(BZ$15,Data_5!$F$10:$BG$42,$A44+2,FALSE)/Data_5!$BI39))))))),"")</f>
        <v/>
      </c>
      <c r="CA44" s="1122" t="str">
        <f>IFERROR(IF(VLOOKUP($AL44,Data_5!$B$12:$E$42,4,FALSE)="BASIC","",(IF(HLOOKUP(CA$15,Data_5!$F$10:$BG$42,$A44+2,FALSE)="NO","NO",IF(HLOOKUP(CA$15,Data_5!$F$10:$BG$42,$A44+2,FALSE)="IE","IE",IF(HLOOKUP(CA$15,Data_5!$F$10:$BG$42,$A44+2,FALSE)="NE","NE",IF(HLOOKUP(CA$15,Data_5!$F$10:$BG$42,$A44+2,FALSE)="C","C",IF(HLOOKUP(CA$15,Data_5!$F$10:$BG$42,$A44+2,FALSE)="NO","NO",HLOOKUP(CA$15,Data_5!$F$10:$BG$42,$A44+2,FALSE)/Data_5!$BI39))))))),"")</f>
        <v/>
      </c>
      <c r="CB44" s="1122" t="str">
        <f>IFERROR(IF(VLOOKUP($AL44,Data_5!$B$12:$E$42,4,FALSE)="BASIC","",(IF(HLOOKUP(CB$15,Data_5!$F$10:$BG$42,$A44+2,FALSE)="NO","NO",IF(HLOOKUP(CB$15,Data_5!$F$10:$BG$42,$A44+2,FALSE)="IE","IE",IF(HLOOKUP(CB$15,Data_5!$F$10:$BG$42,$A44+2,FALSE)="NE","NE",IF(HLOOKUP(CB$15,Data_5!$F$10:$BG$42,$A44+2,FALSE)="C","C",IF(HLOOKUP(CB$15,Data_5!$F$10:$BG$42,$A44+2,FALSE)="NO","NO",HLOOKUP(CB$15,Data_5!$F$10:$BG$42,$A44+2,FALSE)/Data_5!$BI39))))))),"")</f>
        <v/>
      </c>
      <c r="CC44" s="1122" t="str">
        <f>IFERROR(IF(VLOOKUP($AL44,Data_5!$B$12:$E$42,4,FALSE)="BASIC","",(IF(HLOOKUP(CC$15,Data_5!$F$10:$BG$42,$A44+2,FALSE)="NO","NO",IF(HLOOKUP(CC$15,Data_5!$F$10:$BG$42,$A44+2,FALSE)="IE","IE",IF(HLOOKUP(CC$15,Data_5!$F$10:$BG$42,$A44+2,FALSE)="NE","NE",IF(HLOOKUP(CC$15,Data_5!$F$10:$BG$42,$A44+2,FALSE)="C","C",IF(HLOOKUP(CC$15,Data_5!$F$10:$BG$42,$A44+2,FALSE)="NO","NO",HLOOKUP(CC$15,Data_5!$F$10:$BG$42,$A44+2,FALSE)/Data_5!$BI39))))))),"")</f>
        <v/>
      </c>
      <c r="CD44" s="1122" t="str">
        <f>IFERROR(IF(VLOOKUP($AL44,Data_5!$B$12:$E$42,4,FALSE)="BASIC","",(IF(HLOOKUP(CD$15,Data_5!$F$10:$BG$42,$A44+2,FALSE)="NO","NO",IF(HLOOKUP(CD$15,Data_5!$F$10:$BG$42,$A44+2,FALSE)="IE","IE",IF(HLOOKUP(CD$15,Data_5!$F$10:$BG$42,$A44+2,FALSE)="NE","NE",IF(HLOOKUP(CD$15,Data_5!$F$10:$BG$42,$A44+2,FALSE)="C","C",IF(HLOOKUP(CD$15,Data_5!$F$10:$BG$42,$A44+2,FALSE)="NO","NO",HLOOKUP(CD$15,Data_5!$F$10:$BG$42,$A44+2,FALSE)/Data_5!$BI39))))))),"")</f>
        <v/>
      </c>
      <c r="CE44" s="1122" t="str">
        <f>IFERROR(IF(VLOOKUP($AL44,Data_5!$B$12:$E$42,4,FALSE)="BASIC","",(IF(HLOOKUP(CE$15,Data_5!$F$10:$BG$42,$A44+2,FALSE)="NO","NO",IF(HLOOKUP(CE$15,Data_5!$F$10:$BG$42,$A44+2,FALSE)="IE","IE",IF(HLOOKUP(CE$15,Data_5!$F$10:$BG$42,$A44+2,FALSE)="NE","NE",IF(HLOOKUP(CE$15,Data_5!$F$10:$BG$42,$A44+2,FALSE)="C","C",IF(HLOOKUP(CE$15,Data_5!$F$10:$BG$42,$A44+2,FALSE)="NO","NO",HLOOKUP(CE$15,Data_5!$F$10:$BG$42,$A44+2,FALSE)/Data_5!$BI39))))))),"")</f>
        <v/>
      </c>
      <c r="CF44" s="1122" t="str">
        <f>IFERROR(IF(VLOOKUP($AL44,Data_5!$B$12:$E$42,4,FALSE)="BASIC","",(IF(HLOOKUP(CF$15,Data_5!$F$10:$BG$42,$A44+2,FALSE)="NO","NO",IF(HLOOKUP(CF$15,Data_5!$F$10:$BG$42,$A44+2,FALSE)="IE","IE",IF(HLOOKUP(CF$15,Data_5!$F$10:$BG$42,$A44+2,FALSE)="NE","NE",IF(HLOOKUP(CF$15,Data_5!$F$10:$BG$42,$A44+2,FALSE)="C","C",IF(HLOOKUP(CF$15,Data_5!$F$10:$BG$42,$A44+2,FALSE)="NO","NO",HLOOKUP(CF$15,Data_5!$F$10:$BG$42,$A44+2,FALSE)/Data_5!$BI39))))))),"")</f>
        <v/>
      </c>
      <c r="CG44" s="1122" t="str">
        <f>IFERROR(IF(VLOOKUP($AL44,Data_5!$B$12:$E$42,4,FALSE)="BASIC","",(IF(HLOOKUP(CG$15,Data_5!$F$10:$BG$42,$A44+2,FALSE)="NO","NO",IF(HLOOKUP(CG$15,Data_5!$F$10:$BG$42,$A44+2,FALSE)="IE","IE",IF(HLOOKUP(CG$15,Data_5!$F$10:$BG$42,$A44+2,FALSE)="NE","NE",IF(HLOOKUP(CG$15,Data_5!$F$10:$BG$42,$A44+2,FALSE)="C","C",IF(HLOOKUP(CG$15,Data_5!$F$10:$BG$42,$A44+2,FALSE)="NO","NO",HLOOKUP(CG$15,Data_5!$F$10:$BG$42,$A44+2,FALSE)/Data_5!$BI39))))))),"")</f>
        <v/>
      </c>
      <c r="CH44" s="1122" t="str">
        <f>IFERROR(IF(VLOOKUP($AL44,Data_5!$B$12:$E$42,4,FALSE)="BASIC","",(IF(HLOOKUP(CH$15,Data_5!$F$10:$BG$42,$A44+2,FALSE)="NO","NO",IF(HLOOKUP(CH$15,Data_5!$F$10:$BG$42,$A44+2,FALSE)="IE","IE",IF(HLOOKUP(CH$15,Data_5!$F$10:$BG$42,$A44+2,FALSE)="NE","NE",IF(HLOOKUP(CH$15,Data_5!$F$10:$BG$42,$A44+2,FALSE)="C","C",IF(HLOOKUP(CH$15,Data_5!$F$10:$BG$42,$A44+2,FALSE)="NO","NO",HLOOKUP(CH$15,Data_5!$F$10:$BG$42,$A44+2,FALSE)/Data_5!$BI39))))))),"")</f>
        <v/>
      </c>
      <c r="CI44" s="1122" t="str">
        <f>IFERROR(IF(VLOOKUP($AL44,Data_5!$B$12:$E$42,4,FALSE)="BASIC","",(IF(HLOOKUP(CI$15,Data_5!$F$10:$BG$42,$A44+2,FALSE)="NO","NO",IF(HLOOKUP(CI$15,Data_5!$F$10:$BG$42,$A44+2,FALSE)="IE","IE",IF(HLOOKUP(CI$15,Data_5!$F$10:$BG$42,$A44+2,FALSE)="NE","NE",IF(HLOOKUP(CI$15,Data_5!$F$10:$BG$42,$A44+2,FALSE)="C","C",IF(HLOOKUP(CI$15,Data_5!$F$10:$BG$42,$A44+2,FALSE)="NO","NO",HLOOKUP(CI$15,Data_5!$F$10:$BG$42,$A44+2,FALSE)/Data_5!$BI39))))))),"")</f>
        <v/>
      </c>
      <c r="CJ44" s="1122" t="str">
        <f>IFERROR(IF(VLOOKUP($AL44,Data_5!$B$12:$E$42,4,FALSE)="BASIC","",(IF(HLOOKUP(CJ$15,Data_5!$F$10:$BG$42,$A44+2,FALSE)="NO","NO",IF(HLOOKUP(CJ$15,Data_5!$F$10:$BG$42,$A44+2,FALSE)="IE","IE",IF(HLOOKUP(CJ$15,Data_5!$F$10:$BG$42,$A44+2,FALSE)="NE","NE",IF(HLOOKUP(CJ$15,Data_5!$F$10:$BG$42,$A44+2,FALSE)="C","C",IF(HLOOKUP(CJ$15,Data_5!$F$10:$BG$42,$A44+2,FALSE)="NO","NO",HLOOKUP(CJ$15,Data_5!$F$10:$BG$42,$A44+2,FALSE)/Data_5!$BI39))))))),"")</f>
        <v/>
      </c>
      <c r="CK44" s="15"/>
      <c r="CL44" s="2628" t="str">
        <f t="shared" si="2"/>
        <v>City of Vancouver</v>
      </c>
      <c r="CM44" s="2629"/>
      <c r="CN44" s="1100">
        <f t="shared" si="3"/>
        <v>2014</v>
      </c>
      <c r="CO44" s="1122">
        <f>IFERROR(IF(HLOOKUP(CO$15,Data_5!$F$10:$BG$42,$A44+2,FALSE)="NO","NO",IF(HLOOKUP(CO$15,Data_5!$F$10:$BG$42,$A44+2,FALSE)="IE","IE",IF(HLOOKUP(CO$15,Data_5!$F$10:$BG$42,$A44+2,FALSE)="NE","NE",IF(HLOOKUP(CO$15,Data_5!$F$10:$BG$42,$A44+2,FALSE)="C","C",IF(HLOOKUP(CO$15,Data_5!$F$10:$BG$42,$A44+2,FALSE)="NO","NO",HLOOKUP(CO$15,Data_5!$F$10:$BG$42,$A44+2,FALSE)/Data_5!$BK39))))),"")</f>
        <v>0.19541087811026281</v>
      </c>
      <c r="CP44" s="1122">
        <f>IFERROR(IF(HLOOKUP(CP$15,Data_5!$F$10:$BG$42,$A44+2,FALSE)="NO","NO",IF(HLOOKUP(CP$15,Data_5!$F$10:$BG$42,$A44+2,FALSE)="IE","IE",IF(HLOOKUP(CP$15,Data_5!$F$10:$BG$42,$A44+2,FALSE)="NE","NE",IF(HLOOKUP(CP$15,Data_5!$F$10:$BG$42,$A44+2,FALSE)="C","C",IF(HLOOKUP(CP$15,Data_5!$F$10:$BG$42,$A44+2,FALSE)="NO","NO",HLOOKUP(CP$15,Data_5!$F$10:$BG$42,$A44+2,FALSE)/Data_5!$BK39))))),"")</f>
        <v>0.2184671758113462</v>
      </c>
      <c r="CQ44" s="1122">
        <f>IFERROR(IF(HLOOKUP(CQ$15,Data_5!$F$10:$BG$42,$A44+2,FALSE)="NO","NO",IF(HLOOKUP(CQ$15,Data_5!$F$10:$BG$42,$A44+2,FALSE)="IE","IE",IF(HLOOKUP(CQ$15,Data_5!$F$10:$BG$42,$A44+2,FALSE)="NE","NE",IF(HLOOKUP(CQ$15,Data_5!$F$10:$BG$42,$A44+2,FALSE)="C","C",IF(HLOOKUP(CQ$15,Data_5!$F$10:$BG$42,$A44+2,FALSE)="NO","NO",HLOOKUP(CQ$15,Data_5!$F$10:$BG$42,$A44+2,FALSE)/Data_5!$BK39))))),"")</f>
        <v>0.14432728828654717</v>
      </c>
      <c r="CR44" s="1122" t="str">
        <f>IFERROR(IF(HLOOKUP(CR$15,Data_5!$F$10:$BG$42,$A44+2,FALSE)="NO","NO",IF(HLOOKUP(CR$15,Data_5!$F$10:$BG$42,$A44+2,FALSE)="IE","IE",IF(HLOOKUP(CR$15,Data_5!$F$10:$BG$42,$A44+2,FALSE)="NE","NE",IF(HLOOKUP(CR$15,Data_5!$F$10:$BG$42,$A44+2,FALSE)="C","C",IF(HLOOKUP(CR$15,Data_5!$F$10:$BG$42,$A44+2,FALSE)="NO","NO",HLOOKUP(CR$15,Data_5!$F$10:$BG$42,$A44+2,FALSE)/Data_5!$BK39))))),"")</f>
        <v>IE</v>
      </c>
      <c r="CS44" s="1122">
        <f>IFERROR(IF(HLOOKUP(CS$15,Data_5!$F$10:$BG$42,$A44+2,FALSE)="NO","NO",IF(HLOOKUP(CS$15,Data_5!$F$10:$BG$42,$A44+2,FALSE)="IE","IE",IF(HLOOKUP(CS$15,Data_5!$F$10:$BG$42,$A44+2,FALSE)="NE","NE",IF(HLOOKUP(CS$15,Data_5!$F$10:$BG$42,$A44+2,FALSE)="C","C",IF(HLOOKUP(CS$15,Data_5!$F$10:$BG$42,$A44+2,FALSE)="NO","NO",HLOOKUP(CS$15,Data_5!$F$10:$BG$42,$A44+2,FALSE)/Data_5!$BK39))))),"")</f>
        <v>7.8039097953634001E-4</v>
      </c>
      <c r="CT44" s="1122" t="str">
        <f>IFERROR(IF(HLOOKUP(CT$15,Data_5!$F$10:$BG$42,$A44+2,FALSE)="NO","NO",IF(HLOOKUP(CT$15,Data_5!$F$10:$BG$42,$A44+2,FALSE)="IE","IE",IF(HLOOKUP(CT$15,Data_5!$F$10:$BG$42,$A44+2,FALSE)="NE","NE",IF(HLOOKUP(CT$15,Data_5!$F$10:$BG$42,$A44+2,FALSE)="C","C",IF(HLOOKUP(CT$15,Data_5!$F$10:$BG$42,$A44+2,FALSE)="NO","NO",HLOOKUP(CT$15,Data_5!$F$10:$BG$42,$A44+2,FALSE)/Data_5!$BK39))))),"")</f>
        <v>NO</v>
      </c>
      <c r="CU44" s="1122" t="str">
        <f>IFERROR(IF(HLOOKUP(CU$15,Data_5!$F$10:$BG$42,$A44+2,FALSE)="NO","NO",IF(HLOOKUP(CU$15,Data_5!$F$10:$BG$42,$A44+2,FALSE)="IE","IE",IF(HLOOKUP(CU$15,Data_5!$F$10:$BG$42,$A44+2,FALSE)="NE","NE",IF(HLOOKUP(CU$15,Data_5!$F$10:$BG$42,$A44+2,FALSE)="C","C",IF(HLOOKUP(CU$15,Data_5!$F$10:$BG$42,$A44+2,FALSE)="NO","NO",HLOOKUP(CU$15,Data_5!$F$10:$BG$42,$A44+2,FALSE)/Data_5!$BK39))))),"")</f>
        <v>NO</v>
      </c>
      <c r="CV44" s="1122" t="str">
        <f>IFERROR(IF(HLOOKUP(CV$15,Data_5!$F$10:$BG$42,$A44+2,FALSE)="NO","NO",IF(HLOOKUP(CV$15,Data_5!$F$10:$BG$42,$A44+2,FALSE)="IE","IE",IF(HLOOKUP(CV$15,Data_5!$F$10:$BG$42,$A44+2,FALSE)="NE","NE",IF(HLOOKUP(CV$15,Data_5!$F$10:$BG$42,$A44+2,FALSE)="C","C",IF(HLOOKUP(CV$15,Data_5!$F$10:$BG$42,$A44+2,FALSE)="NO","NO",HLOOKUP(CV$15,Data_5!$F$10:$BG$42,$A44+2,FALSE)/Data_5!$BK39))))),"")</f>
        <v>NO</v>
      </c>
      <c r="CW44" s="1122">
        <f>IFERROR(IF(HLOOKUP(CW$15,Data_5!$F$10:$BG$42,$A44+2,FALSE)="NO","NO",IF(HLOOKUP(CW$15,Data_5!$F$10:$BG$42,$A44+2,FALSE)="IE","IE",IF(HLOOKUP(CW$15,Data_5!$F$10:$BG$42,$A44+2,FALSE)="NE","NE",IF(HLOOKUP(CW$15,Data_5!$F$10:$BG$42,$A44+2,FALSE)="C","C",IF(HLOOKUP(CW$15,Data_5!$F$10:$BG$42,$A44+2,FALSE)="NO","NO",HLOOKUP(CW$15,Data_5!$F$10:$BG$42,$A44+2,FALSE)/Data_5!$BK39))))),"")</f>
        <v>8.0791574968061327E-3</v>
      </c>
      <c r="CX44" s="1122">
        <f>IFERROR(IF(HLOOKUP(CX$15,Data_5!$F$10:$BG$42,$A44+2,FALSE)="NO","NO",IF(HLOOKUP(CX$15,Data_5!$F$10:$BG$42,$A44+2,FALSE)="IE","IE",IF(HLOOKUP(CX$15,Data_5!$F$10:$BG$42,$A44+2,FALSE)="NE","NE",IF(HLOOKUP(CX$15,Data_5!$F$10:$BG$42,$A44+2,FALSE)="C","C",IF(HLOOKUP(CX$15,Data_5!$F$10:$BG$42,$A44+2,FALSE)="NO","NO",HLOOKUP(CX$15,Data_5!$F$10:$BG$42,$A44+2,FALSE)/Data_5!$BK39))))),"")</f>
        <v>0.42088428849299908</v>
      </c>
      <c r="CY44" s="1122">
        <f>IFERROR(IF(HLOOKUP(CY$15,Data_5!$F$10:$BG$42,$A44+2,FALSE)="NO","NO",IF(HLOOKUP(CY$15,Data_5!$F$10:$BG$42,$A44+2,FALSE)="IE","IE",IF(HLOOKUP(CY$15,Data_5!$F$10:$BG$42,$A44+2,FALSE)="NE","NE",IF(HLOOKUP(CY$15,Data_5!$F$10:$BG$42,$A44+2,FALSE)="C","C",IF(HLOOKUP(CY$15,Data_5!$F$10:$BG$42,$A44+2,FALSE)="NO","NO",HLOOKUP(CY$15,Data_5!$F$10:$BG$42,$A44+2,FALSE)/Data_5!$BK39))))),"")</f>
        <v>5.2053282001884383E-3</v>
      </c>
      <c r="CZ44" s="1122" t="str">
        <f>IFERROR(IF(HLOOKUP(CZ$15,Data_5!$F$10:$BG$42,$A44+2,FALSE)="NO","NO",IF(HLOOKUP(CZ$15,Data_5!$F$10:$BG$42,$A44+2,FALSE)="IE","IE",IF(HLOOKUP(CZ$15,Data_5!$F$10:$BG$42,$A44+2,FALSE)="NE","NE",IF(HLOOKUP(CZ$15,Data_5!$F$10:$BG$42,$A44+2,FALSE)="C","C",IF(HLOOKUP(CZ$15,Data_5!$F$10:$BG$42,$A44+2,FALSE)="NO","NO",HLOOKUP(CZ$15,Data_5!$F$10:$BG$42,$A44+2,FALSE)/Data_5!$BK39))))),"")</f>
        <v>NO</v>
      </c>
      <c r="DA44" s="1122" t="str">
        <f>IFERROR(IF(HLOOKUP(DA$15,Data_5!$F$10:$BG$42,$A44+2,FALSE)="NO","NO",IF(HLOOKUP(DA$15,Data_5!$F$10:$BG$42,$A44+2,FALSE)="IE","IE",IF(HLOOKUP(DA$15,Data_5!$F$10:$BG$42,$A44+2,FALSE)="NE","NE",IF(HLOOKUP(DA$15,Data_5!$F$10:$BG$42,$A44+2,FALSE)="C","C",IF(HLOOKUP(DA$15,Data_5!$F$10:$BG$42,$A44+2,FALSE)="NO","NO",HLOOKUP(DA$15,Data_5!$F$10:$BG$42,$A44+2,FALSE)/Data_5!$BK39))))),"")</f>
        <v>NO</v>
      </c>
      <c r="DB44" s="1122">
        <f>IFERROR(IF(HLOOKUP(DB$15,Data_5!$F$10:$BG$42,$A44+2,FALSE)="NO","NO",IF(HLOOKUP(DB$15,Data_5!$F$10:$BG$42,$A44+2,FALSE)="IE","IE",IF(HLOOKUP(DB$15,Data_5!$F$10:$BG$42,$A44+2,FALSE)="NE","NE",IF(HLOOKUP(DB$15,Data_5!$F$10:$BG$42,$A44+2,FALSE)="C","C",IF(HLOOKUP(DB$15,Data_5!$F$10:$BG$42,$A44+2,FALSE)="NO","NO",HLOOKUP(DB$15,Data_5!$F$10:$BG$42,$A44+2,FALSE)/Data_5!$BK39))))),"")</f>
        <v>6.8454926223136987E-3</v>
      </c>
      <c r="DC44" s="1122" t="str">
        <f>IFERROR(IF(HLOOKUP(DC$15,Data_5!$F$10:$BG$42,$A44+2,FALSE)="NO","NO",IF(HLOOKUP(DC$15,Data_5!$F$10:$BG$42,$A44+2,FALSE)="IE","IE",IF(HLOOKUP(DC$15,Data_5!$F$10:$BG$42,$A44+2,FALSE)="NE","NE",IF(HLOOKUP(DC$15,Data_5!$F$10:$BG$42,$A44+2,FALSE)="C","C",IF(HLOOKUP(DC$15,Data_5!$F$10:$BG$42,$A44+2,FALSE)="NO","NO",HLOOKUP(DC$15,Data_5!$F$10:$BG$42,$A44+2,FALSE)/Data_5!$BK39))))),"")</f>
        <v>NO</v>
      </c>
      <c r="DD44" s="1122" t="str">
        <f>IFERROR(IF(HLOOKUP(DD$15,Data_5!$F$10:$BG$42,$A44+2,FALSE)="NO","NO",IF(HLOOKUP(DD$15,Data_5!$F$10:$BG$42,$A44+2,FALSE)="IE","IE",IF(HLOOKUP(DD$15,Data_5!$F$10:$BG$42,$A44+2,FALSE)="NE","NE",IF(HLOOKUP(DD$15,Data_5!$F$10:$BG$42,$A44+2,FALSE)="C","C",IF(HLOOKUP(DD$15,Data_5!$F$10:$BG$42,$A44+2,FALSE)="NO","NO",HLOOKUP(DD$15,Data_5!$F$10:$BG$42,$A44+2,FALSE)/Data_5!$BK39))))),"")</f>
        <v>NO</v>
      </c>
      <c r="DE44" s="1122" t="str">
        <f>IFERROR(IF(HLOOKUP(DE$15,Data_5!$F$10:$BG$42,$A44+2,FALSE)="NO","NO",IF(HLOOKUP(DE$15,Data_5!$F$10:$BG$42,$A44+2,FALSE)="IE","IE",IF(HLOOKUP(DE$15,Data_5!$F$10:$BG$42,$A44+2,FALSE)="NE","NE",IF(HLOOKUP(DE$15,Data_5!$F$10:$BG$42,$A44+2,FALSE)="C","C",IF(HLOOKUP(DE$15,Data_5!$F$10:$BG$42,$A44+2,FALSE)="NO","NO",HLOOKUP(DE$15,Data_5!$F$10:$BG$42,$A44+2,FALSE)/Data_5!$BK39))))),"")</f>
        <v>NO</v>
      </c>
      <c r="DF44" s="1122" t="str">
        <f>IFERROR(IF(HLOOKUP(DF$15,Data_5!$F$10:$BG$42,$A44+2,FALSE)="NO","NO",IF(HLOOKUP(DF$15,Data_5!$F$10:$BG$42,$A44+2,FALSE)="IE","IE",IF(HLOOKUP(DF$15,Data_5!$F$10:$BG$42,$A44+2,FALSE)="NE","NE",IF(HLOOKUP(DF$15,Data_5!$F$10:$BG$42,$A44+2,FALSE)="C","C",IF(HLOOKUP(DF$15,Data_5!$F$10:$BG$42,$A44+2,FALSE)="NO","NO",HLOOKUP(DF$15,Data_5!$F$10:$BG$42,$A44+2,FALSE)/Data_5!$BK39))))),"")</f>
        <v>NO</v>
      </c>
      <c r="DG44" s="1122" t="str">
        <f>IFERROR(IF(HLOOKUP(DG$15,Data_5!$F$10:$BG$42,$A44+2,FALSE)="NO","NO",IF(HLOOKUP(DG$15,Data_5!$F$10:$BG$42,$A44+2,FALSE)="IE","IE",IF(HLOOKUP(DG$15,Data_5!$F$10:$BG$42,$A44+2,FALSE)="NE","NE",IF(HLOOKUP(DG$15,Data_5!$F$10:$BG$42,$A44+2,FALSE)="C","C",IF(HLOOKUP(DG$15,Data_5!$F$10:$BG$42,$A44+2,FALSE)="NO","NO",HLOOKUP(DG$15,Data_5!$F$10:$BG$42,$A44+2,FALSE)/Data_5!$BK39))))),"")</f>
        <v>NO</v>
      </c>
      <c r="DH44" s="1122" t="str">
        <f>IFERROR(IF(HLOOKUP(DH$15,Data_5!$F$10:$BG$42,$A44+2,FALSE)="NO","NO",IF(HLOOKUP(DH$15,Data_5!$F$10:$BG$42,$A44+2,FALSE)="IE","IE",IF(HLOOKUP(DH$15,Data_5!$F$10:$BG$42,$A44+2,FALSE)="NE","NE",IF(HLOOKUP(DH$15,Data_5!$F$10:$BG$42,$A44+2,FALSE)="C","C",IF(HLOOKUP(DH$15,Data_5!$F$10:$BG$42,$A44+2,FALSE)="NO","NO",HLOOKUP(DH$15,Data_5!$F$10:$BG$42,$A44+2,FALSE)/Data_5!$BK39))))),"")</f>
        <v>NO</v>
      </c>
      <c r="DI44" s="1122" t="str">
        <f>IFERROR(IF(HLOOKUP(DI$15,Data_5!$F$10:$BG$42,$A44+2,FALSE)="NO","NO",IF(HLOOKUP(DI$15,Data_5!$F$10:$BG$42,$A44+2,FALSE)="IE","IE",IF(HLOOKUP(DI$15,Data_5!$F$10:$BG$42,$A44+2,FALSE)="NE","NE",IF(HLOOKUP(DI$15,Data_5!$F$10:$BG$42,$A44+2,FALSE)="C","C",IF(HLOOKUP(DI$15,Data_5!$F$10:$BG$42,$A44+2,FALSE)="NO","NO",HLOOKUP(DI$15,Data_5!$F$10:$BG$42,$A44+2,FALSE)/Data_5!$BK39))))),"")</f>
        <v>NO</v>
      </c>
      <c r="DJ44" s="1122" t="str">
        <f>IFERROR(IF(HLOOKUP(DJ$15,Data_5!$F$10:$BG$42,$A44+2,FALSE)="NO","NO",IF(HLOOKUP(DJ$15,Data_5!$F$10:$BG$42,$A44+2,FALSE)="IE","IE",IF(HLOOKUP(DJ$15,Data_5!$F$10:$BG$42,$A44+2,FALSE)="NE","NE",IF(HLOOKUP(DJ$15,Data_5!$F$10:$BG$42,$A44+2,FALSE)="C","C",IF(HLOOKUP(DJ$15,Data_5!$F$10:$BG$42,$A44+2,FALSE)="NO","NO",HLOOKUP(DJ$15,Data_5!$F$10:$BG$42,$A44+2,FALSE)/Data_5!$BK39))))),"")</f>
        <v>NO</v>
      </c>
      <c r="DK44" s="1122" t="str">
        <f>IFERROR(IF(HLOOKUP(DK$15,Data_5!$F$10:$BG$42,$A44+2,FALSE)="NO","NO",IF(HLOOKUP(DK$15,Data_5!$F$10:$BG$42,$A44+2,FALSE)="IE","IE",IF(HLOOKUP(DK$15,Data_5!$F$10:$BG$42,$A44+2,FALSE)="NE","NE",IF(HLOOKUP(DK$15,Data_5!$F$10:$BG$42,$A44+2,FALSE)="C","C",IF(HLOOKUP(DK$15,Data_5!$F$10:$BG$42,$A44+2,FALSE)="NO","NO",HLOOKUP(DK$15,Data_5!$F$10:$BG$42,$A44+2,FALSE)/Data_5!$BK39))))),"")</f>
        <v>NE</v>
      </c>
      <c r="DL44" s="1122" t="str">
        <f>IFERROR(IF(HLOOKUP(DL$15,Data_5!$F$10:$BG$42,$A44+2,FALSE)="NO","NO",IF(HLOOKUP(DL$15,Data_5!$F$10:$BG$42,$A44+2,FALSE)="IE","IE",IF(HLOOKUP(DL$15,Data_5!$F$10:$BG$42,$A44+2,FALSE)="NE","NE",IF(HLOOKUP(DL$15,Data_5!$F$10:$BG$42,$A44+2,FALSE)="C","C",IF(HLOOKUP(DL$15,Data_5!$F$10:$BG$42,$A44+2,FALSE)="NO","NO",HLOOKUP(DL$15,Data_5!$F$10:$BG$42,$A44+2,FALSE)/Data_5!$BK39))))),"")</f>
        <v>NE</v>
      </c>
      <c r="DM44" s="1122" t="str">
        <f>IFERROR(IF(HLOOKUP(DM$15,Data_5!$F$10:$BG$42,$A44+2,FALSE)="NO","NO",IF(HLOOKUP(DM$15,Data_5!$F$10:$BG$42,$A44+2,FALSE)="IE","IE",IF(HLOOKUP(DM$15,Data_5!$F$10:$BG$42,$A44+2,FALSE)="NE","NE",IF(HLOOKUP(DM$15,Data_5!$F$10:$BG$42,$A44+2,FALSE)="C","C",IF(HLOOKUP(DM$15,Data_5!$F$10:$BG$42,$A44+2,FALSE)="NO","NO",HLOOKUP(DM$15,Data_5!$F$10:$BG$42,$A44+2,FALSE)/Data_5!$BK39))))),"")</f>
        <v>NE</v>
      </c>
      <c r="DN44" s="1122" t="str">
        <f>IFERROR(IF(HLOOKUP(DN$15,Data_5!$F$10:$BG$42,$A44+2,FALSE)="NO","NO",IF(HLOOKUP(DN$15,Data_5!$F$10:$BG$42,$A44+2,FALSE)="IE","IE",IF(HLOOKUP(DN$15,Data_5!$F$10:$BG$42,$A44+2,FALSE)="NE","NE",IF(HLOOKUP(DN$15,Data_5!$F$10:$BG$42,$A44+2,FALSE)="C","C",IF(HLOOKUP(DN$15,Data_5!$F$10:$BG$42,$A44+2,FALSE)="NO","NO",HLOOKUP(DN$15,Data_5!$F$10:$BG$42,$A44+2,FALSE)/Data_5!$BK39))))),"")</f>
        <v>NE</v>
      </c>
      <c r="DO44" s="1122" t="str">
        <f>IFERROR(IF(HLOOKUP(DO$15,Data_5!$F$10:$BG$42,$A44+2,FALSE)="NO","NO",IF(HLOOKUP(DO$15,Data_5!$F$10:$BG$42,$A44+2,FALSE)="IE","IE",IF(HLOOKUP(DO$15,Data_5!$F$10:$BG$42,$A44+2,FALSE)="NE","NE",IF(HLOOKUP(DO$15,Data_5!$F$10:$BG$42,$A44+2,FALSE)="C","C",IF(HLOOKUP(DO$15,Data_5!$F$10:$BG$42,$A44+2,FALSE)="NO","NO",HLOOKUP(DO$15,Data_5!$F$10:$BG$42,$A44+2,FALSE)/Data_5!$BK39))))),"")</f>
        <v>NE</v>
      </c>
    </row>
    <row r="45" spans="1:119" ht="15" customHeight="1">
      <c r="A45" s="1789">
        <v>29</v>
      </c>
      <c r="B45" s="2628" t="str">
        <f>IF(Data_5!B40&lt;&gt;"",Data_5!B40,"")</f>
        <v/>
      </c>
      <c r="C45" s="2629"/>
      <c r="D45" s="1462">
        <f ca="1">IFERROR(VLOOKUP($B45,Data_5!$B$12:$C$42,2,FALSE),"")</f>
        <v>0</v>
      </c>
      <c r="E45" s="1122" t="str">
        <f>IFERROR(IF(HLOOKUP(E$15,Data_5!$F$10:$BG$42,$A45+2,FALSE)="NO","NO",IF(HLOOKUP(E$15,Data_5!$F$10:$BG$42,$A45+2,FALSE)="IE","IE",IF(HLOOKUP(E$15,Data_5!$F$10:$BG$42,$A45+2,FALSE)="NE","NE",IF(HLOOKUP(E$15,Data_5!$F$10:$BG$42,$A45+2,FALSE)="C","C",IF(HLOOKUP(E$15,Data_5!$F$10:$BG$42,$A45+2,FALSE)="NO","NO",HLOOKUP(E$15,Data_5!$F$10:$BG$42,$A45+2,FALSE)/Data_5!$BH40))))),"")</f>
        <v/>
      </c>
      <c r="F45" s="1122" t="str">
        <f>IFERROR(IF(HLOOKUP(F$15,Data_5!$F$10:$BG$42,$A45+2,FALSE)="NO","NO",IF(HLOOKUP(F$15,Data_5!$F$10:$BG$42,$A45+2,FALSE)="IE","IE",IF(HLOOKUP(F$15,Data_5!$F$10:$BG$42,$A45+2,FALSE)="NE","NE",IF(HLOOKUP(F$15,Data_5!$F$10:$BG$42,$A45+2,FALSE)="C","C",IF(HLOOKUP(F$15,Data_5!$F$10:$BG$42,$A45+2,FALSE)="NO","NO",HLOOKUP(F$15,Data_5!$F$10:$BG$42,$A45+2,FALSE)/Data_5!$BH40))))),"")</f>
        <v/>
      </c>
      <c r="G45" s="1122" t="str">
        <f>IFERROR(IF(HLOOKUP(G$15,Data_5!$F$10:$BG$42,$A45+2,FALSE)="NO","NO",IF(HLOOKUP(G$15,Data_5!$F$10:$BG$42,$A45+2,FALSE)="IE","IE",IF(HLOOKUP(G$15,Data_5!$F$10:$BG$42,$A45+2,FALSE)="NE","NE",IF(HLOOKUP(G$15,Data_5!$F$10:$BG$42,$A45+2,FALSE)="C","C",IF(HLOOKUP(G$15,Data_5!$F$10:$BG$42,$A45+2,FALSE)="NO","NO",HLOOKUP(G$15,Data_5!$F$10:$BG$42,$A45+2,FALSE)/Data_5!$BH40))))),"")</f>
        <v/>
      </c>
      <c r="H45" s="1122" t="str">
        <f>IFERROR(IF(HLOOKUP(H$15,Data_5!$F$10:$BG$42,$A45+2,FALSE)="NO","NO",IF(HLOOKUP(H$15,Data_5!$F$10:$BG$42,$A45+2,FALSE)="IE","IE",IF(HLOOKUP(H$15,Data_5!$F$10:$BG$42,$A45+2,FALSE)="NE","NE",IF(HLOOKUP(H$15,Data_5!$F$10:$BG$42,$A45+2,FALSE)="C","C",IF(HLOOKUP(H$15,Data_5!$F$10:$BG$42,$A45+2,FALSE)="NO","NO",HLOOKUP(H$15,Data_5!$F$10:$BG$42,$A45+2,FALSE)/Data_5!$BH40))))),"")</f>
        <v/>
      </c>
      <c r="I45" s="1122" t="str">
        <f>IFERROR(IF(HLOOKUP(I$15,Data_5!$F$10:$BG$42,$A45+2,FALSE)="NO","NO",IF(HLOOKUP(I$15,Data_5!$F$10:$BG$42,$A45+2,FALSE)="IE","IE",IF(HLOOKUP(I$15,Data_5!$F$10:$BG$42,$A45+2,FALSE)="NE","NE",IF(HLOOKUP(I$15,Data_5!$F$10:$BG$42,$A45+2,FALSE)="C","C",IF(HLOOKUP(I$15,Data_5!$F$10:$BG$42,$A45+2,FALSE)="NO","NO",HLOOKUP(I$15,Data_5!$F$10:$BG$42,$A45+2,FALSE)/Data_5!$BH40))))),"")</f>
        <v/>
      </c>
      <c r="J45" s="1122" t="str">
        <f>IFERROR(IF(HLOOKUP(J$15,Data_5!$F$10:$BG$42,$A45+2,FALSE)="NO","NO",IF(HLOOKUP(J$15,Data_5!$F$10:$BG$42,$A45+2,FALSE)="IE","IE",IF(HLOOKUP(J$15,Data_5!$F$10:$BG$42,$A45+2,FALSE)="NE","NE",IF(HLOOKUP(J$15,Data_5!$F$10:$BG$42,$A45+2,FALSE)="C","C",IF(HLOOKUP(J$15,Data_5!$F$10:$BG$42,$A45+2,FALSE)="NO","NO",HLOOKUP(J$15,Data_5!$F$10:$BG$42,$A45+2,FALSE)/Data_5!$BH40))))),"")</f>
        <v/>
      </c>
      <c r="K45" s="1122" t="str">
        <f>IFERROR(IF(HLOOKUP(K$15,Data_5!$F$10:$BG$42,$A45+2,FALSE)="NO","NO",IF(HLOOKUP(K$15,Data_5!$F$10:$BG$42,$A45+2,FALSE)="IE","IE",IF(HLOOKUP(K$15,Data_5!$F$10:$BG$42,$A45+2,FALSE)="NE","NE",IF(HLOOKUP(K$15,Data_5!$F$10:$BG$42,$A45+2,FALSE)="C","C",IF(HLOOKUP(K$15,Data_5!$F$10:$BG$42,$A45+2,FALSE)="NO","NO",HLOOKUP(K$15,Data_5!$F$10:$BG$42,$A45+2,FALSE)/Data_5!$BH40))))),"")</f>
        <v/>
      </c>
      <c r="L45" s="1122" t="str">
        <f>IFERROR(IF(HLOOKUP(L$15,Data_5!$F$10:$BG$42,$A45+2,FALSE)="NO","NO",IF(HLOOKUP(L$15,Data_5!$F$10:$BG$42,$A45+2,FALSE)="IE","IE",IF(HLOOKUP(L$15,Data_5!$F$10:$BG$42,$A45+2,FALSE)="NE","NE",IF(HLOOKUP(L$15,Data_5!$F$10:$BG$42,$A45+2,FALSE)="C","C",IF(HLOOKUP(L$15,Data_5!$F$10:$BG$42,$A45+2,FALSE)="NO","NO",HLOOKUP(L$15,Data_5!$F$10:$BG$42,$A45+2,FALSE)/Data_5!$BH40))))),"")</f>
        <v/>
      </c>
      <c r="M45" s="1122" t="str">
        <f>IFERROR(IF(HLOOKUP(M$15,Data_5!$F$10:$BG$42,$A45+2,FALSE)="NO","NO",IF(HLOOKUP(M$15,Data_5!$F$10:$BG$42,$A45+2,FALSE)="IE","IE",IF(HLOOKUP(M$15,Data_5!$F$10:$BG$42,$A45+2,FALSE)="NE","NE",IF(HLOOKUP(M$15,Data_5!$F$10:$BG$42,$A45+2,FALSE)="C","C",IF(HLOOKUP(M$15,Data_5!$F$10:$BG$42,$A45+2,FALSE)="NO","NO",HLOOKUP(M$15,Data_5!$F$10:$BG$42,$A45+2,FALSE)/Data_5!$BH40))))),"")</f>
        <v/>
      </c>
      <c r="N45" s="1122" t="str">
        <f>IFERROR(IF(HLOOKUP(N$15,Data_5!$F$10:$BG$42,$A45+2,FALSE)="NO","NO",IF(HLOOKUP(N$15,Data_5!$F$10:$BG$42,$A45+2,FALSE)="IE","IE",IF(HLOOKUP(N$15,Data_5!$F$10:$BG$42,$A45+2,FALSE)="NE","NE",IF(HLOOKUP(N$15,Data_5!$F$10:$BG$42,$A45+2,FALSE)="C","C",IF(HLOOKUP(N$15,Data_5!$F$10:$BG$42,$A45+2,FALSE)="NO","NO",HLOOKUP(N$15,Data_5!$F$10:$BG$42,$A45+2,FALSE)/Data_5!$BH40))))),"")</f>
        <v/>
      </c>
      <c r="O45" s="1122" t="str">
        <f>IFERROR(IF(HLOOKUP(O$15,Data_5!$F$10:$BG$42,$A45+2,FALSE)="NO","NO",IF(HLOOKUP(O$15,Data_5!$F$10:$BG$42,$A45+2,FALSE)="IE","IE",IF(HLOOKUP(O$15,Data_5!$F$10:$BG$42,$A45+2,FALSE)="NE","NE",IF(HLOOKUP(O$15,Data_5!$F$10:$BG$42,$A45+2,FALSE)="C","C",IF(HLOOKUP(O$15,Data_5!$F$10:$BG$42,$A45+2,FALSE)="NO","NO",HLOOKUP(O$15,Data_5!$F$10:$BG$42,$A45+2,FALSE)/Data_5!$BH40))))),"")</f>
        <v/>
      </c>
      <c r="P45" s="1122" t="str">
        <f>IFERROR(IF(HLOOKUP(P$15,Data_5!$F$10:$BG$42,$A45+2,FALSE)="NO","NO",IF(HLOOKUP(P$15,Data_5!$F$10:$BG$42,$A45+2,FALSE)="IE","IE",IF(HLOOKUP(P$15,Data_5!$F$10:$BG$42,$A45+2,FALSE)="NE","NE",IF(HLOOKUP(P$15,Data_5!$F$10:$BG$42,$A45+2,FALSE)="C","C",IF(HLOOKUP(P$15,Data_5!$F$10:$BG$42,$A45+2,FALSE)="NO","NO",HLOOKUP(P$15,Data_5!$F$10:$BG$42,$A45+2,FALSE)/Data_5!$BH40))))),"")</f>
        <v/>
      </c>
      <c r="Q45" s="1122" t="str">
        <f>IFERROR(IF(HLOOKUP(Q$15,Data_5!$F$10:$BG$42,$A45+2,FALSE)="NO","NO",IF(HLOOKUP(Q$15,Data_5!$F$10:$BG$42,$A45+2,FALSE)="IE","IE",IF(HLOOKUP(Q$15,Data_5!$F$10:$BG$42,$A45+2,FALSE)="NE","NE",IF(HLOOKUP(Q$15,Data_5!$F$10:$BG$42,$A45+2,FALSE)="C","C",IF(HLOOKUP(Q$15,Data_5!$F$10:$BG$42,$A45+2,FALSE)="NO","NO",HLOOKUP(Q$15,Data_5!$F$10:$BG$42,$A45+2,FALSE)/Data_5!$BH40))))),"")</f>
        <v/>
      </c>
      <c r="R45" s="1122" t="str">
        <f>IFERROR(IF(HLOOKUP(R$15,Data_5!$F$10:$BG$42,$A45+2,FALSE)="NO","NO",IF(HLOOKUP(R$15,Data_5!$F$10:$BG$42,$A45+2,FALSE)="IE","IE",IF(HLOOKUP(R$15,Data_5!$F$10:$BG$42,$A45+2,FALSE)="NE","NE",IF(HLOOKUP(R$15,Data_5!$F$10:$BG$42,$A45+2,FALSE)="C","C",IF(HLOOKUP(R$15,Data_5!$F$10:$BG$42,$A45+2,FALSE)="NO","NO",HLOOKUP(R$15,Data_5!$F$10:$BG$42,$A45+2,FALSE)/Data_5!$BH40))))),"")</f>
        <v/>
      </c>
      <c r="S45" s="1122" t="str">
        <f>IFERROR(IF(HLOOKUP(S$15,Data_5!$F$10:$BG$42,$A45+2,FALSE)="NO","NO",IF(HLOOKUP(S$15,Data_5!$F$10:$BG$42,$A45+2,FALSE)="IE","IE",IF(HLOOKUP(S$15,Data_5!$F$10:$BG$42,$A45+2,FALSE)="NE","NE",IF(HLOOKUP(S$15,Data_5!$F$10:$BG$42,$A45+2,FALSE)="C","C",IF(HLOOKUP(S$15,Data_5!$F$10:$BG$42,$A45+2,FALSE)="NO","NO",HLOOKUP(S$15,Data_5!$F$10:$BG$42,$A45+2,FALSE)/Data_5!$BH40))))),"")</f>
        <v/>
      </c>
      <c r="T45" s="1122" t="str">
        <f>IFERROR(IF(HLOOKUP(T$15,Data_5!$F$10:$BG$42,$A45+2,FALSE)="NO","NO",IF(HLOOKUP(T$15,Data_5!$F$10:$BG$42,$A45+2,FALSE)="IE","IE",IF(HLOOKUP(T$15,Data_5!$F$10:$BG$42,$A45+2,FALSE)="NE","NE",IF(HLOOKUP(T$15,Data_5!$F$10:$BG$42,$A45+2,FALSE)="C","C",IF(HLOOKUP(T$15,Data_5!$F$10:$BG$42,$A45+2,FALSE)="NO","NO",HLOOKUP(T$15,Data_5!$F$10:$BG$42,$A45+2,FALSE)/Data_5!$BH40))))),"")</f>
        <v/>
      </c>
      <c r="U45" s="1122" t="str">
        <f>IFERROR(IF(HLOOKUP(U$15,Data_5!$F$10:$BG$42,$A45+2,FALSE)="NO","NO",IF(HLOOKUP(U$15,Data_5!$F$10:$BG$42,$A45+2,FALSE)="IE","IE",IF(HLOOKUP(U$15,Data_5!$F$10:$BG$42,$A45+2,FALSE)="NE","NE",IF(HLOOKUP(U$15,Data_5!$F$10:$BG$42,$A45+2,FALSE)="C","C",IF(HLOOKUP(U$15,Data_5!$F$10:$BG$42,$A45+2,FALSE)="NO","NO",HLOOKUP(U$15,Data_5!$F$10:$BG$42,$A45+2,FALSE)/Data_5!$BH40))))),"")</f>
        <v/>
      </c>
      <c r="V45" s="1122" t="str">
        <f>IFERROR(IF(HLOOKUP(V$15,Data_5!$F$10:$BG$42,$A45+2,FALSE)="NO","NO",IF(HLOOKUP(V$15,Data_5!$F$10:$BG$42,$A45+2,FALSE)="IE","IE",IF(HLOOKUP(V$15,Data_5!$F$10:$BG$42,$A45+2,FALSE)="NE","NE",IF(HLOOKUP(V$15,Data_5!$F$10:$BG$42,$A45+2,FALSE)="C","C",IF(HLOOKUP(V$15,Data_5!$F$10:$BG$42,$A45+2,FALSE)="NO","NO",HLOOKUP(V$15,Data_5!$F$10:$BG$42,$A45+2,FALSE)/Data_5!$BH40))))),"")</f>
        <v/>
      </c>
      <c r="W45" s="1122" t="str">
        <f>IFERROR(IF(HLOOKUP(W$15,Data_5!$F$10:$BG$42,$A45+2,FALSE)="NO","NO",IF(HLOOKUP(W$15,Data_5!$F$10:$BG$42,$A45+2,FALSE)="IE","IE",IF(HLOOKUP(W$15,Data_5!$F$10:$BG$42,$A45+2,FALSE)="NE","NE",IF(HLOOKUP(W$15,Data_5!$F$10:$BG$42,$A45+2,FALSE)="C","C",IF(HLOOKUP(W$15,Data_5!$F$10:$BG$42,$A45+2,FALSE)="NO","NO",HLOOKUP(W$15,Data_5!$F$10:$BG$42,$A45+2,FALSE)/Data_5!$BH40))))),"")</f>
        <v/>
      </c>
      <c r="X45" s="1122" t="str">
        <f>IFERROR(IF(HLOOKUP(X$15,Data_5!$F$10:$BG$42,$A45+2,FALSE)="NO","NO",IF(HLOOKUP(X$15,Data_5!$F$10:$BG$42,$A45+2,FALSE)="IE","IE",IF(HLOOKUP(X$15,Data_5!$F$10:$BG$42,$A45+2,FALSE)="NE","NE",IF(HLOOKUP(X$15,Data_5!$F$10:$BG$42,$A45+2,FALSE)="C","C",IF(HLOOKUP(X$15,Data_5!$F$10:$BG$42,$A45+2,FALSE)="NO","NO",HLOOKUP(X$15,Data_5!$F$10:$BG$42,$A45+2,FALSE)/Data_5!$BH40))))),"")</f>
        <v/>
      </c>
      <c r="Y45" s="1122" t="str">
        <f>IFERROR(IF(HLOOKUP(Y$15,Data_5!$F$10:$BG$42,$A45+2,FALSE)="NO","NO",IF(HLOOKUP(Y$15,Data_5!$F$10:$BG$42,$A45+2,FALSE)="IE","IE",IF(HLOOKUP(Y$15,Data_5!$F$10:$BG$42,$A45+2,FALSE)="NE","NE",IF(HLOOKUP(Y$15,Data_5!$F$10:$BG$42,$A45+2,FALSE)="C","C",IF(HLOOKUP(Y$15,Data_5!$F$10:$BG$42,$A45+2,FALSE)="NO","NO",HLOOKUP(Y$15,Data_5!$F$10:$BG$42,$A45+2,FALSE)/Data_5!$BH40))))),"")</f>
        <v/>
      </c>
      <c r="Z45" s="1122" t="str">
        <f>IFERROR(IF(HLOOKUP(Z$15,Data_5!$F$10:$BG$42,$A45+2,FALSE)="NO","NO",IF(HLOOKUP(Z$15,Data_5!$F$10:$BG$42,$A45+2,FALSE)="IE","IE",IF(HLOOKUP(Z$15,Data_5!$F$10:$BG$42,$A45+2,FALSE)="NE","NE",IF(HLOOKUP(Z$15,Data_5!$F$10:$BG$42,$A45+2,FALSE)="C","C",IF(HLOOKUP(Z$15,Data_5!$F$10:$BG$42,$A45+2,FALSE)="NO","NO",HLOOKUP(Z$15,Data_5!$F$10:$BG$42,$A45+2,FALSE)/Data_5!$BH40))))),"")</f>
        <v/>
      </c>
      <c r="AA45" s="1122" t="str">
        <f>IFERROR(IF(HLOOKUP(AA$15,Data_5!$F$10:$BG$42,$A45+2,FALSE)="NO","NO",IF(HLOOKUP(AA$15,Data_5!$F$10:$BG$42,$A45+2,FALSE)="IE","IE",IF(HLOOKUP(AA$15,Data_5!$F$10:$BG$42,$A45+2,FALSE)="NE","NE",IF(HLOOKUP(AA$15,Data_5!$F$10:$BG$42,$A45+2,FALSE)="C","C",IF(HLOOKUP(AA$15,Data_5!$F$10:$BG$42,$A45+2,FALSE)="NO","NO",HLOOKUP(AA$15,Data_5!$F$10:$BG$42,$A45+2,FALSE)/Data_5!$BH40))))),"")</f>
        <v/>
      </c>
      <c r="AB45" s="1122" t="str">
        <f>IFERROR(IF(HLOOKUP(AB$15,Data_5!$F$10:$BG$42,$A45+2,FALSE)="NO","NO",IF(HLOOKUP(AB$15,Data_5!$F$10:$BG$42,$A45+2,FALSE)="IE","IE",IF(HLOOKUP(AB$15,Data_5!$F$10:$BG$42,$A45+2,FALSE)="NE","NE",IF(HLOOKUP(AB$15,Data_5!$F$10:$BG$42,$A45+2,FALSE)="C","C",IF(HLOOKUP(AB$15,Data_5!$F$10:$BG$42,$A45+2,FALSE)="NO","NO",HLOOKUP(AB$15,Data_5!$F$10:$BG$42,$A45+2,FALSE)/Data_5!$BH40))))),"")</f>
        <v/>
      </c>
      <c r="AC45" s="1122" t="str">
        <f>IFERROR(IF(HLOOKUP(AC$15,Data_5!$F$10:$BG$42,$A45+2,FALSE)="NO","NO",IF(HLOOKUP(AC$15,Data_5!$F$10:$BG$42,$A45+2,FALSE)="IE","IE",IF(HLOOKUP(AC$15,Data_5!$F$10:$BG$42,$A45+2,FALSE)="NE","NE",IF(HLOOKUP(AC$15,Data_5!$F$10:$BG$42,$A45+2,FALSE)="C","C",IF(HLOOKUP(AC$15,Data_5!$F$10:$BG$42,$A45+2,FALSE)="NO","NO",HLOOKUP(AC$15,Data_5!$F$10:$BG$42,$A45+2,FALSE)/Data_5!$BH40))))),"")</f>
        <v/>
      </c>
      <c r="AD45" s="1122" t="str">
        <f>IFERROR(IF(HLOOKUP(AD$15,Data_5!$F$10:$BG$42,$A45+2,FALSE)="NO","NO",IF(HLOOKUP(AD$15,Data_5!$F$10:$BG$42,$A45+2,FALSE)="IE","IE",IF(HLOOKUP(AD$15,Data_5!$F$10:$BG$42,$A45+2,FALSE)="NE","NE",IF(HLOOKUP(AD$15,Data_5!$F$10:$BG$42,$A45+2,FALSE)="C","C",IF(HLOOKUP(AD$15,Data_5!$F$10:$BG$42,$A45+2,FALSE)="NO","NO",HLOOKUP(AD$15,Data_5!$F$10:$BG$42,$A45+2,FALSE)/Data_5!$BH40))))),"")</f>
        <v/>
      </c>
      <c r="AE45" s="1122" t="str">
        <f>IFERROR(IF(HLOOKUP(AE$15,Data_5!$F$10:$BG$42,$A45+2,FALSE)="NO","NO",IF(HLOOKUP(AE$15,Data_5!$F$10:$BG$42,$A45+2,FALSE)="IE","IE",IF(HLOOKUP(AE$15,Data_5!$F$10:$BG$42,$A45+2,FALSE)="NE","NE",IF(HLOOKUP(AE$15,Data_5!$F$10:$BG$42,$A45+2,FALSE)="C","C",IF(HLOOKUP(AE$15,Data_5!$F$10:$BG$42,$A45+2,FALSE)="NO","NO",HLOOKUP(AE$15,Data_5!$F$10:$BG$42,$A45+2,FALSE)/Data_5!$BH40))))),"")</f>
        <v/>
      </c>
      <c r="AF45" s="1122" t="str">
        <f>IFERROR(IF(HLOOKUP(AF$15,Data_5!$F$10:$BG$42,$A45+2,FALSE)="NO","NO",IF(HLOOKUP(AF$15,Data_5!$F$10:$BG$42,$A45+2,FALSE)="IE","IE",IF(HLOOKUP(AF$15,Data_5!$F$10:$BG$42,$A45+2,FALSE)="NE","NE",IF(HLOOKUP(AF$15,Data_5!$F$10:$BG$42,$A45+2,FALSE)="C","C",IF(HLOOKUP(AF$15,Data_5!$F$10:$BG$42,$A45+2,FALSE)="NO","NO",HLOOKUP(AF$15,Data_5!$F$10:$BG$42,$A45+2,FALSE)/Data_5!$BH40))))),"")</f>
        <v/>
      </c>
      <c r="AG45" s="1122" t="str">
        <f>IFERROR(IF(HLOOKUP(AG$15,Data_5!$F$10:$BG$42,$A45+2,FALSE)="NO","NO",IF(HLOOKUP(AG$15,Data_5!$F$10:$BG$42,$A45+2,FALSE)="IE","IE",IF(HLOOKUP(AG$15,Data_5!$F$10:$BG$42,$A45+2,FALSE)="NE","NE",IF(HLOOKUP(AG$15,Data_5!$F$10:$BG$42,$A45+2,FALSE)="C","C",IF(HLOOKUP(AG$15,Data_5!$F$10:$BG$42,$A45+2,FALSE)="NO","NO",HLOOKUP(AG$15,Data_5!$F$10:$BG$42,$A45+2,FALSE)/Data_5!$BH40))))),"")</f>
        <v/>
      </c>
      <c r="AH45" s="1122" t="str">
        <f>IFERROR(IF(HLOOKUP(AH$15,Data_5!$F$10:$BG$42,$A45+2,FALSE)="NO","NO",IF(HLOOKUP(AH$15,Data_5!$F$10:$BG$42,$A45+2,FALSE)="IE","IE",IF(HLOOKUP(AH$15,Data_5!$F$10:$BG$42,$A45+2,FALSE)="NE","NE",IF(HLOOKUP(AH$15,Data_5!$F$10:$BG$42,$A45+2,FALSE)="C","C",IF(HLOOKUP(AH$15,Data_5!$F$10:$BG$42,$A45+2,FALSE)="NO","NO",HLOOKUP(AH$15,Data_5!$F$10:$BG$42,$A45+2,FALSE)/Data_5!$BH40))))),"")</f>
        <v/>
      </c>
      <c r="AI45" s="1122" t="str">
        <f>IFERROR(IF(HLOOKUP(AI$15,Data_5!$F$10:$BG$42,$A45+2,FALSE)="NO","NO",IF(HLOOKUP(AI$15,Data_5!$F$10:$BG$42,$A45+2,FALSE)="IE","IE",IF(HLOOKUP(AI$15,Data_5!$F$10:$BG$42,$A45+2,FALSE)="NE","NE",IF(HLOOKUP(AI$15,Data_5!$F$10:$BG$42,$A45+2,FALSE)="C","C",IF(HLOOKUP(AI$15,Data_5!$F$10:$BG$42,$A45+2,FALSE)="NO","NO",HLOOKUP(AI$15,Data_5!$F$10:$BG$42,$A45+2,FALSE)/Data_5!$BH40))))),"")</f>
        <v/>
      </c>
      <c r="AJ45" s="1122" t="str">
        <f>IFERROR(IF(HLOOKUP(AJ$15,Data_5!$F$10:$BG$42,$A45+2,FALSE)="NO","NO",IF(HLOOKUP(AJ$15,Data_5!$F$10:$BG$42,$A45+2,FALSE)="IE","IE",IF(HLOOKUP(AJ$15,Data_5!$F$10:$BG$42,$A45+2,FALSE)="NE","NE",IF(HLOOKUP(AJ$15,Data_5!$F$10:$BG$42,$A45+2,FALSE)="C","C",IF(HLOOKUP(AJ$15,Data_5!$F$10:$BG$42,$A45+2,FALSE)="NO","NO",HLOOKUP(AJ$15,Data_5!$F$10:$BG$42,$A45+2,FALSE)/Data_5!$BH40))))),"")</f>
        <v/>
      </c>
      <c r="AL45" s="2628" t="str">
        <f t="shared" si="0"/>
        <v/>
      </c>
      <c r="AM45" s="2629"/>
      <c r="AN45" s="1100" t="str">
        <f t="shared" ca="1" si="1"/>
        <v/>
      </c>
      <c r="AO45" s="1122" t="str">
        <f>IFERROR(IF(HLOOKUP(AO$15,Data_5!$F$10:$BG$42,$A45+2,FALSE)="NO","NO",IF(HLOOKUP(AO$15,Data_5!$F$10:$BG$42,$A45+2,FALSE)="IE","IE",IF(HLOOKUP(AO$15,Data_5!$F$10:$BG$42,$A45+2,FALSE)="NE","NE",IF(HLOOKUP(AO$15,Data_5!$F$10:$BG$42,$A45+2,FALSE)="C","C",IF(HLOOKUP(AO$15,Data_5!$F$10:$BG$42,$A45+2,FALSE)="NO","NO",HLOOKUP(AO$15,Data_5!$F$10:$BG$42,$A45+2,FALSE)/Data_5!$BI40))))),"")</f>
        <v/>
      </c>
      <c r="AP45" s="1122" t="str">
        <f>IFERROR(IF(HLOOKUP(AP$15,Data_5!$F$10:$BG$42,$A45+2,FALSE)="NO","NO",IF(HLOOKUP(AP$15,Data_5!$F$10:$BG$42,$A45+2,FALSE)="IE","IE",IF(HLOOKUP(AP$15,Data_5!$F$10:$BG$42,$A45+2,FALSE)="NE","NE",IF(HLOOKUP(AP$15,Data_5!$F$10:$BG$42,$A45+2,FALSE)="C","C",IF(HLOOKUP(AP$15,Data_5!$F$10:$BG$42,$A45+2,FALSE)="NO","NO",HLOOKUP(AP$15,Data_5!$F$10:$BG$42,$A45+2,FALSE)/Data_5!$BI40))))),"")</f>
        <v/>
      </c>
      <c r="AQ45" s="1122" t="str">
        <f>IFERROR(IF(HLOOKUP(AQ$15,Data_5!$F$10:$BG$42,$A45+2,FALSE)="NO","NO",IF(HLOOKUP(AQ$15,Data_5!$F$10:$BG$42,$A45+2,FALSE)="IE","IE",IF(HLOOKUP(AQ$15,Data_5!$F$10:$BG$42,$A45+2,FALSE)="NE","NE",IF(HLOOKUP(AQ$15,Data_5!$F$10:$BG$42,$A45+2,FALSE)="C","C",IF(HLOOKUP(AQ$15,Data_5!$F$10:$BG$42,$A45+2,FALSE)="NO","NO",HLOOKUP(AQ$15,Data_5!$F$10:$BG$42,$A45+2,FALSE)/Data_5!$BI40))))),"")</f>
        <v/>
      </c>
      <c r="AR45" s="1122" t="str">
        <f>IFERROR(IF(HLOOKUP(AR$15,Data_5!$F$10:$BG$42,$A45+2,FALSE)="NO","NO",IF(HLOOKUP(AR$15,Data_5!$F$10:$BG$42,$A45+2,FALSE)="IE","IE",IF(HLOOKUP(AR$15,Data_5!$F$10:$BG$42,$A45+2,FALSE)="NE","NE",IF(HLOOKUP(AR$15,Data_5!$F$10:$BG$42,$A45+2,FALSE)="C","C",IF(HLOOKUP(AR$15,Data_5!$F$10:$BG$42,$A45+2,FALSE)="NO","NO",HLOOKUP(AR$15,Data_5!$F$10:$BG$42,$A45+2,FALSE)/Data_5!$BI40))))),"")</f>
        <v/>
      </c>
      <c r="AS45" s="1122" t="str">
        <f>IFERROR(IF(HLOOKUP(AS$15,Data_5!$F$10:$BG$42,$A45+2,FALSE)="NO","NO",IF(HLOOKUP(AS$15,Data_5!$F$10:$BG$42,$A45+2,FALSE)="IE","IE",IF(HLOOKUP(AS$15,Data_5!$F$10:$BG$42,$A45+2,FALSE)="NE","NE",IF(HLOOKUP(AS$15,Data_5!$F$10:$BG$42,$A45+2,FALSE)="C","C",IF(HLOOKUP(AS$15,Data_5!$F$10:$BG$42,$A45+2,FALSE)="NO","NO",HLOOKUP(AS$15,Data_5!$F$10:$BG$42,$A45+2,FALSE)/Data_5!$BI40))))),"")</f>
        <v/>
      </c>
      <c r="AT45" s="1122" t="str">
        <f>IFERROR(IF(HLOOKUP(AT$15,Data_5!$F$10:$BG$42,$A45+2,FALSE)="NO","NO",IF(HLOOKUP(AT$15,Data_5!$F$10:$BG$42,$A45+2,FALSE)="IE","IE",IF(HLOOKUP(AT$15,Data_5!$F$10:$BG$42,$A45+2,FALSE)="NE","NE",IF(HLOOKUP(AT$15,Data_5!$F$10:$BG$42,$A45+2,FALSE)="C","C",IF(HLOOKUP(AT$15,Data_5!$F$10:$BG$42,$A45+2,FALSE)="NO","NO",HLOOKUP(AT$15,Data_5!$F$10:$BG$42,$A45+2,FALSE)/Data_5!$BI40))))),"")</f>
        <v/>
      </c>
      <c r="AU45" s="1122" t="str">
        <f>IFERROR(IF(HLOOKUP(AU$15,Data_5!$F$10:$BG$42,$A45+2,FALSE)="NO","NO",IF(HLOOKUP(AU$15,Data_5!$F$10:$BG$42,$A45+2,FALSE)="IE","IE",IF(HLOOKUP(AU$15,Data_5!$F$10:$BG$42,$A45+2,FALSE)="NE","NE",IF(HLOOKUP(AU$15,Data_5!$F$10:$BG$42,$A45+2,FALSE)="C","C",IF(HLOOKUP(AU$15,Data_5!$F$10:$BG$42,$A45+2,FALSE)="NO","NO",HLOOKUP(AU$15,Data_5!$F$10:$BG$42,$A45+2,FALSE)/Data_5!$BI40))))),"")</f>
        <v/>
      </c>
      <c r="AV45" s="1122" t="str">
        <f>IFERROR(IF(HLOOKUP(AV$15,Data_5!$F$10:$BG$42,$A45+2,FALSE)="NO","NO",IF(HLOOKUP(AV$15,Data_5!$F$10:$BG$42,$A45+2,FALSE)="IE","IE",IF(HLOOKUP(AV$15,Data_5!$F$10:$BG$42,$A45+2,FALSE)="NE","NE",IF(HLOOKUP(AV$15,Data_5!$F$10:$BG$42,$A45+2,FALSE)="C","C",IF(HLOOKUP(AV$15,Data_5!$F$10:$BG$42,$A45+2,FALSE)="NO","NO",HLOOKUP(AV$15,Data_5!$F$10:$BG$42,$A45+2,FALSE)/Data_5!$BI40))))),"")</f>
        <v/>
      </c>
      <c r="AW45" s="1122" t="str">
        <f>IFERROR(IF(HLOOKUP(AW$15,Data_5!$F$10:$BG$42,$A45+2,FALSE)="NO","NO",IF(HLOOKUP(AW$15,Data_5!$F$10:$BG$42,$A45+2,FALSE)="IE","IE",IF(HLOOKUP(AW$15,Data_5!$F$10:$BG$42,$A45+2,FALSE)="NE","NE",IF(HLOOKUP(AW$15,Data_5!$F$10:$BG$42,$A45+2,FALSE)="C","C",IF(HLOOKUP(AW$15,Data_5!$F$10:$BG$42,$A45+2,FALSE)="NO","NO",HLOOKUP(AW$15,Data_5!$F$10:$BG$42,$A45+2,FALSE)/Data_5!$BI40))))),"")</f>
        <v/>
      </c>
      <c r="AX45" s="1122" t="str">
        <f>IFERROR(IF(HLOOKUP(AX$15,Data_5!$F$10:$BG$42,$A45+2,FALSE)="NO","NO",IF(HLOOKUP(AX$15,Data_5!$F$10:$BG$42,$A45+2,FALSE)="IE","IE",IF(HLOOKUP(AX$15,Data_5!$F$10:$BG$42,$A45+2,FALSE)="NE","NE",IF(HLOOKUP(AX$15,Data_5!$F$10:$BG$42,$A45+2,FALSE)="C","C",IF(HLOOKUP(AX$15,Data_5!$F$10:$BG$42,$A45+2,FALSE)="NO","NO",HLOOKUP(AX$15,Data_5!$F$10:$BG$42,$A45+2,FALSE)/Data_5!$BI40))))),"")</f>
        <v/>
      </c>
      <c r="AY45" s="1122" t="str">
        <f>IFERROR(IF(HLOOKUP(AY$15,Data_5!$F$10:$BG$42,$A45+2,FALSE)="NO","NO",IF(HLOOKUP(AY$15,Data_5!$F$10:$BG$42,$A45+2,FALSE)="IE","IE",IF(HLOOKUP(AY$15,Data_5!$F$10:$BG$42,$A45+2,FALSE)="NE","NE",IF(HLOOKUP(AY$15,Data_5!$F$10:$BG$42,$A45+2,FALSE)="C","C",IF(HLOOKUP(AY$15,Data_5!$F$10:$BG$42,$A45+2,FALSE)="NO","NO",HLOOKUP(AY$15,Data_5!$F$10:$BG$42,$A45+2,FALSE)/Data_5!$BI40))))),"")</f>
        <v/>
      </c>
      <c r="AZ45" s="1122" t="str">
        <f>IFERROR(IF(HLOOKUP(AZ$15,Data_5!$F$10:$BG$42,$A45+2,FALSE)="NO","NO",IF(HLOOKUP(AZ$15,Data_5!$F$10:$BG$42,$A45+2,FALSE)="IE","IE",IF(HLOOKUP(AZ$15,Data_5!$F$10:$BG$42,$A45+2,FALSE)="NE","NE",IF(HLOOKUP(AZ$15,Data_5!$F$10:$BG$42,$A45+2,FALSE)="C","C",IF(HLOOKUP(AZ$15,Data_5!$F$10:$BG$42,$A45+2,FALSE)="NO","NO",HLOOKUP(AZ$15,Data_5!$F$10:$BG$42,$A45+2,FALSE)/Data_5!$BI40))))),"")</f>
        <v/>
      </c>
      <c r="BA45" s="1122" t="str">
        <f>IFERROR(IF(HLOOKUP(BA$15,Data_5!$F$10:$BG$42,$A45+2,FALSE)="NO","NO",IF(HLOOKUP(BA$15,Data_5!$F$10:$BG$42,$A45+2,FALSE)="IE","IE",IF(HLOOKUP(BA$15,Data_5!$F$10:$BG$42,$A45+2,FALSE)="NE","NE",IF(HLOOKUP(BA$15,Data_5!$F$10:$BG$42,$A45+2,FALSE)="C","C",IF(HLOOKUP(BA$15,Data_5!$F$10:$BG$42,$A45+2,FALSE)="NO","NO",HLOOKUP(BA$15,Data_5!$F$10:$BG$42,$A45+2,FALSE)/Data_5!$BI40))))),"")</f>
        <v/>
      </c>
      <c r="BB45" s="1122" t="str">
        <f>IFERROR(IF(HLOOKUP(BB$15,Data_5!$F$10:$BG$42,$A45+2,FALSE)="NO","NO",IF(HLOOKUP(BB$15,Data_5!$F$10:$BG$42,$A45+2,FALSE)="IE","IE",IF(HLOOKUP(BB$15,Data_5!$F$10:$BG$42,$A45+2,FALSE)="NE","NE",IF(HLOOKUP(BB$15,Data_5!$F$10:$BG$42,$A45+2,FALSE)="C","C",IF(HLOOKUP(BB$15,Data_5!$F$10:$BG$42,$A45+2,FALSE)="NO","NO",HLOOKUP(BB$15,Data_5!$F$10:$BG$42,$A45+2,FALSE)/Data_5!$BI40))))),"")</f>
        <v/>
      </c>
      <c r="BC45" s="1122" t="str">
        <f>IFERROR(IF(HLOOKUP(BC$15,Data_5!$F$10:$BG$42,$A45+2,FALSE)="NO","NO",IF(HLOOKUP(BC$15,Data_5!$F$10:$BG$42,$A45+2,FALSE)="IE","IE",IF(HLOOKUP(BC$15,Data_5!$F$10:$BG$42,$A45+2,FALSE)="NE","NE",IF(HLOOKUP(BC$15,Data_5!$F$10:$BG$42,$A45+2,FALSE)="C","C",IF(HLOOKUP(BC$15,Data_5!$F$10:$BG$42,$A45+2,FALSE)="NO","NO",HLOOKUP(BC$15,Data_5!$F$10:$BG$42,$A45+2,FALSE)/Data_5!$BI40))))),"")</f>
        <v/>
      </c>
      <c r="BD45" s="1122" t="str">
        <f>IFERROR(IF(HLOOKUP(BD$15,Data_5!$F$10:$BG$42,$A45+2,FALSE)="NO","NO",IF(HLOOKUP(BD$15,Data_5!$F$10:$BG$42,$A45+2,FALSE)="IE","IE",IF(HLOOKUP(BD$15,Data_5!$F$10:$BG$42,$A45+2,FALSE)="NE","NE",IF(HLOOKUP(BD$15,Data_5!$F$10:$BG$42,$A45+2,FALSE)="C","C",IF(HLOOKUP(BD$15,Data_5!$F$10:$BG$42,$A45+2,FALSE)="NO","NO",HLOOKUP(BD$15,Data_5!$F$10:$BG$42,$A45+2,FALSE)/Data_5!$BI40))))),"")</f>
        <v/>
      </c>
      <c r="BE45" s="1122" t="str">
        <f>IFERROR(IF(HLOOKUP(BE$15,Data_5!$F$10:$BG$42,$A45+2,FALSE)="NO","NO",IF(HLOOKUP(BE$15,Data_5!$F$10:$BG$42,$A45+2,FALSE)="IE","IE",IF(HLOOKUP(BE$15,Data_5!$F$10:$BG$42,$A45+2,FALSE)="NE","NE",IF(HLOOKUP(BE$15,Data_5!$F$10:$BG$42,$A45+2,FALSE)="C","C",IF(HLOOKUP(BE$15,Data_5!$F$10:$BG$42,$A45+2,FALSE)="NO","NO",HLOOKUP(BE$15,Data_5!$F$10:$BG$42,$A45+2,FALSE)/Data_5!$BI40))))),"")</f>
        <v/>
      </c>
      <c r="BF45" s="1122" t="str">
        <f>IFERROR(IF(HLOOKUP(BF$15,Data_5!$F$10:$BG$42,$A45+2,FALSE)="NO","NO",IF(HLOOKUP(BF$15,Data_5!$F$10:$BG$42,$A45+2,FALSE)="IE","IE",IF(HLOOKUP(BF$15,Data_5!$F$10:$BG$42,$A45+2,FALSE)="NE","NE",IF(HLOOKUP(BF$15,Data_5!$F$10:$BG$42,$A45+2,FALSE)="C","C",IF(HLOOKUP(BF$15,Data_5!$F$10:$BG$42,$A45+2,FALSE)="NO","NO",HLOOKUP(BF$15,Data_5!$F$10:$BG$42,$A45+2,FALSE)/Data_5!$BI40))))),"")</f>
        <v/>
      </c>
      <c r="BG45" s="1122" t="str">
        <f>IFERROR(IF(HLOOKUP(BG$15,Data_5!$F$10:$BG$42,$A45+2,FALSE)="NO","NO",IF(HLOOKUP(BG$15,Data_5!$F$10:$BG$42,$A45+2,FALSE)="IE","IE",IF(HLOOKUP(BG$15,Data_5!$F$10:$BG$42,$A45+2,FALSE)="NE","NE",IF(HLOOKUP(BG$15,Data_5!$F$10:$BG$42,$A45+2,FALSE)="C","C",IF(HLOOKUP(BG$15,Data_5!$F$10:$BG$42,$A45+2,FALSE)="NO","NO",HLOOKUP(BG$15,Data_5!$F$10:$BG$42,$A45+2,FALSE)/Data_5!$BI40))))),"")</f>
        <v/>
      </c>
      <c r="BH45" s="1122" t="str">
        <f>IFERROR(IF(HLOOKUP(BH$15,Data_5!$F$10:$BG$42,$A45+2,FALSE)="NO","NO",IF(HLOOKUP(BH$15,Data_5!$F$10:$BG$42,$A45+2,FALSE)="IE","IE",IF(HLOOKUP(BH$15,Data_5!$F$10:$BG$42,$A45+2,FALSE)="NE","NE",IF(HLOOKUP(BH$15,Data_5!$F$10:$BG$42,$A45+2,FALSE)="C","C",IF(HLOOKUP(BH$15,Data_5!$F$10:$BG$42,$A45+2,FALSE)="NO","NO",HLOOKUP(BH$15,Data_5!$F$10:$BG$42,$A45+2,FALSE)/Data_5!$BI40))))),"")</f>
        <v/>
      </c>
      <c r="BI45" s="1122" t="str">
        <f>IFERROR(IF(HLOOKUP(BI$15,Data_5!$F$10:$BG$42,$A45+2,FALSE)="NO","NO",IF(HLOOKUP(BI$15,Data_5!$F$10:$BG$42,$A45+2,FALSE)="IE","IE",IF(HLOOKUP(BI$15,Data_5!$F$10:$BG$42,$A45+2,FALSE)="NE","NE",IF(HLOOKUP(BI$15,Data_5!$F$10:$BG$42,$A45+2,FALSE)="C","C",IF(HLOOKUP(BI$15,Data_5!$F$10:$BG$42,$A45+2,FALSE)="NO","NO",HLOOKUP(BI$15,Data_5!$F$10:$BG$42,$A45+2,FALSE)/Data_5!$BI40))))),"")</f>
        <v/>
      </c>
      <c r="BJ45" s="1122" t="str">
        <f>IFERROR(IF(HLOOKUP(BJ$15,Data_5!$F$10:$BG$42,$A45+2,FALSE)="NO","NO",IF(HLOOKUP(BJ$15,Data_5!$F$10:$BG$42,$A45+2,FALSE)="IE","IE",IF(HLOOKUP(BJ$15,Data_5!$F$10:$BG$42,$A45+2,FALSE)="NE","NE",IF(HLOOKUP(BJ$15,Data_5!$F$10:$BG$42,$A45+2,FALSE)="C","C",IF(HLOOKUP(BJ$15,Data_5!$F$10:$BG$42,$A45+2,FALSE)="NO","NO",HLOOKUP(BJ$15,Data_5!$F$10:$BG$42,$A45+2,FALSE)/Data_5!$BI40))))),"")</f>
        <v/>
      </c>
      <c r="BK45" s="1122" t="str">
        <f>IFERROR(IF(HLOOKUP(BK$15,Data_5!$F$10:$BG$42,$A45+2,FALSE)="NO","NO",IF(HLOOKUP(BK$15,Data_5!$F$10:$BG$42,$A45+2,FALSE)="IE","IE",IF(HLOOKUP(BK$15,Data_5!$F$10:$BG$42,$A45+2,FALSE)="NE","NE",IF(HLOOKUP(BK$15,Data_5!$F$10:$BG$42,$A45+2,FALSE)="C","C",IF(HLOOKUP(BK$15,Data_5!$F$10:$BG$42,$A45+2,FALSE)="NO","NO",HLOOKUP(BK$15,Data_5!$F$10:$BG$42,$A45+2,FALSE)/Data_5!$BI40))))),"")</f>
        <v/>
      </c>
      <c r="BL45" s="1122" t="str">
        <f>IFERROR(IF(HLOOKUP(BL$15,Data_5!$F$10:$BG$42,$A45+2,FALSE)="NO","NO",IF(HLOOKUP(BL$15,Data_5!$F$10:$BG$42,$A45+2,FALSE)="IE","IE",IF(HLOOKUP(BL$15,Data_5!$F$10:$BG$42,$A45+2,FALSE)="NE","NE",IF(HLOOKUP(BL$15,Data_5!$F$10:$BG$42,$A45+2,FALSE)="C","C",IF(HLOOKUP(BL$15,Data_5!$F$10:$BG$42,$A45+2,FALSE)="NO","NO",HLOOKUP(BL$15,Data_5!$F$10:$BG$42,$A45+2,FALSE)/Data_5!$BI40))))),"")</f>
        <v/>
      </c>
      <c r="BM45" s="1122" t="str">
        <f>IFERROR(IF(HLOOKUP(BM$15,Data_5!$F$10:$BG$42,$A45+2,FALSE)="NO","NO",IF(HLOOKUP(BM$15,Data_5!$F$10:$BG$42,$A45+2,FALSE)="IE","IE",IF(HLOOKUP(BM$15,Data_5!$F$10:$BG$42,$A45+2,FALSE)="NE","NE",IF(HLOOKUP(BM$15,Data_5!$F$10:$BG$42,$A45+2,FALSE)="C","C",IF(HLOOKUP(BM$15,Data_5!$F$10:$BG$42,$A45+2,FALSE)="NO","NO",HLOOKUP(BM$15,Data_5!$F$10:$BG$42,$A45+2,FALSE)/Data_5!$BI40))))),"")</f>
        <v/>
      </c>
      <c r="BN45" s="1122" t="str">
        <f>IFERROR(IF(HLOOKUP(BN$15,Data_5!$F$10:$BG$42,$A45+2,FALSE)="NO","NO",IF(HLOOKUP(BN$15,Data_5!$F$10:$BG$42,$A45+2,FALSE)="IE","IE",IF(HLOOKUP(BN$15,Data_5!$F$10:$BG$42,$A45+2,FALSE)="NE","NE",IF(HLOOKUP(BN$15,Data_5!$F$10:$BG$42,$A45+2,FALSE)="C","C",IF(HLOOKUP(BN$15,Data_5!$F$10:$BG$42,$A45+2,FALSE)="NO","NO",HLOOKUP(BN$15,Data_5!$F$10:$BG$42,$A45+2,FALSE)/Data_5!$BI40))))),"")</f>
        <v/>
      </c>
      <c r="BO45" s="1122" t="str">
        <f>IFERROR(IF(HLOOKUP(BO$15,Data_5!$F$10:$BG$42,$A45+2,FALSE)="NO","NO",IF(HLOOKUP(BO$15,Data_5!$F$10:$BG$42,$A45+2,FALSE)="IE","IE",IF(HLOOKUP(BO$15,Data_5!$F$10:$BG$42,$A45+2,FALSE)="NE","NE",IF(HLOOKUP(BO$15,Data_5!$F$10:$BG$42,$A45+2,FALSE)="C","C",IF(HLOOKUP(BO$15,Data_5!$F$10:$BG$42,$A45+2,FALSE)="NO","NO",HLOOKUP(BO$15,Data_5!$F$10:$BG$42,$A45+2,FALSE)/Data_5!$BI40))))),"")</f>
        <v/>
      </c>
      <c r="BP45" s="1122" t="str">
        <f>IFERROR(IF(HLOOKUP(BP$15,Data_5!$F$10:$BG$42,$A45+2,FALSE)="NO","NO",IF(HLOOKUP(BP$15,Data_5!$F$10:$BG$42,$A45+2,FALSE)="IE","IE",IF(HLOOKUP(BP$15,Data_5!$F$10:$BG$42,$A45+2,FALSE)="NE","NE",IF(HLOOKUP(BP$15,Data_5!$F$10:$BG$42,$A45+2,FALSE)="C","C",IF(HLOOKUP(BP$15,Data_5!$F$10:$BG$42,$A45+2,FALSE)="NO","NO",HLOOKUP(BP$15,Data_5!$F$10:$BG$42,$A45+2,FALSE)/Data_5!$BI40))))),"")</f>
        <v/>
      </c>
      <c r="BQ45" s="1122" t="str">
        <f>IFERROR(IF(HLOOKUP(BQ$15,Data_5!$F$10:$BG$42,$A45+2,FALSE)="NO","NO",IF(HLOOKUP(BQ$15,Data_5!$F$10:$BG$42,$A45+2,FALSE)="IE","IE",IF(HLOOKUP(BQ$15,Data_5!$F$10:$BG$42,$A45+2,FALSE)="NE","NE",IF(HLOOKUP(BQ$15,Data_5!$F$10:$BG$42,$A45+2,FALSE)="C","C",IF(HLOOKUP(BQ$15,Data_5!$F$10:$BG$42,$A45+2,FALSE)="NO","NO",HLOOKUP(BQ$15,Data_5!$F$10:$BG$42,$A45+2,FALSE)/Data_5!$BI40))))),"")</f>
        <v/>
      </c>
      <c r="BR45" s="1122" t="str">
        <f>IFERROR(IF(HLOOKUP(BR$15,Data_5!$F$10:$BG$42,$A45+2,FALSE)="NO","NO",IF(HLOOKUP(BR$15,Data_5!$F$10:$BG$42,$A45+2,FALSE)="IE","IE",IF(HLOOKUP(BR$15,Data_5!$F$10:$BG$42,$A45+2,FALSE)="NE","NE",IF(HLOOKUP(BR$15,Data_5!$F$10:$BG$42,$A45+2,FALSE)="C","C",IF(HLOOKUP(BR$15,Data_5!$F$10:$BG$42,$A45+2,FALSE)="NO","NO",HLOOKUP(BR$15,Data_5!$F$10:$BG$42,$A45+2,FALSE)/Data_5!$BI40))))),"")</f>
        <v/>
      </c>
      <c r="BS45" s="1122" t="str">
        <f>IFERROR(IF(HLOOKUP(BS$15,Data_5!$F$10:$BG$42,$A45+2,FALSE)="NO","NO",IF(HLOOKUP(BS$15,Data_5!$F$10:$BG$42,$A45+2,FALSE)="IE","IE",IF(HLOOKUP(BS$15,Data_5!$F$10:$BG$42,$A45+2,FALSE)="NE","NE",IF(HLOOKUP(BS$15,Data_5!$F$10:$BG$42,$A45+2,FALSE)="C","C",IF(HLOOKUP(BS$15,Data_5!$F$10:$BG$42,$A45+2,FALSE)="NO","NO",HLOOKUP(BS$15,Data_5!$F$10:$BG$42,$A45+2,FALSE)/Data_5!$BI40))))),"")</f>
        <v/>
      </c>
      <c r="BT45" s="1122" t="str">
        <f>IFERROR(IF(HLOOKUP(BT$15,Data_5!$F$10:$BG$42,$A45+2,FALSE)="NO","NO",IF(HLOOKUP(BT$15,Data_5!$F$10:$BG$42,$A45+2,FALSE)="IE","IE",IF(HLOOKUP(BT$15,Data_5!$F$10:$BG$42,$A45+2,FALSE)="NE","NE",IF(HLOOKUP(BT$15,Data_5!$F$10:$BG$42,$A45+2,FALSE)="C","C",IF(HLOOKUP(BT$15,Data_5!$F$10:$BG$42,$A45+2,FALSE)="NO","NO",HLOOKUP(BT$15,Data_5!$F$10:$BG$42,$A45+2,FALSE)/Data_5!$BI40))))),"")</f>
        <v/>
      </c>
      <c r="BU45" s="1122" t="str">
        <f>IFERROR(IF(HLOOKUP(BU$15,Data_5!$F$10:$BG$42,$A45+2,FALSE)="NO","NO",IF(HLOOKUP(BU$15,Data_5!$F$10:$BG$42,$A45+2,FALSE)="IE","IE",IF(HLOOKUP(BU$15,Data_5!$F$10:$BG$42,$A45+2,FALSE)="NE","NE",IF(HLOOKUP(BU$15,Data_5!$F$10:$BG$42,$A45+2,FALSE)="C","C",IF(HLOOKUP(BU$15,Data_5!$F$10:$BG$42,$A45+2,FALSE)="NO","NO",HLOOKUP(BU$15,Data_5!$F$10:$BG$42,$A45+2,FALSE)/Data_5!$BI40))))),"")</f>
        <v/>
      </c>
      <c r="BV45" s="1122" t="str">
        <f>IFERROR(IF(HLOOKUP(BV$15,Data_5!$F$10:$BG$42,$A45+2,FALSE)="NO","NO",IF(HLOOKUP(BV$15,Data_5!$F$10:$BG$42,$A45+2,FALSE)="IE","IE",IF(HLOOKUP(BV$15,Data_5!$F$10:$BG$42,$A45+2,FALSE)="NE","NE",IF(HLOOKUP(BV$15,Data_5!$F$10:$BG$42,$A45+2,FALSE)="C","C",IF(HLOOKUP(BV$15,Data_5!$F$10:$BG$42,$A45+2,FALSE)="NO","NO",HLOOKUP(BV$15,Data_5!$F$10:$BG$42,$A45+2,FALSE)/Data_5!$BI40))))),"")</f>
        <v/>
      </c>
      <c r="BW45" s="1122" t="str">
        <f>IFERROR(IF(HLOOKUP(BW$15,Data_5!$F$10:$BG$42,$A45+2,FALSE)="NO","NO",IF(HLOOKUP(BW$15,Data_5!$F$10:$BG$42,$A45+2,FALSE)="IE","IE",IF(HLOOKUP(BW$15,Data_5!$F$10:$BG$42,$A45+2,FALSE)="NE","NE",IF(HLOOKUP(BW$15,Data_5!$F$10:$BG$42,$A45+2,FALSE)="C","C",IF(HLOOKUP(BW$15,Data_5!$F$10:$BG$42,$A45+2,FALSE)="NO","NO",HLOOKUP(BW$15,Data_5!$F$10:$BG$42,$A45+2,FALSE)/Data_5!$BI40))))),"")</f>
        <v/>
      </c>
      <c r="BX45" s="1122" t="str">
        <f>IFERROR(IF(HLOOKUP(BX$15,Data_5!$F$10:$BG$42,$A45+2,FALSE)="NO","NO",IF(HLOOKUP(BX$15,Data_5!$F$10:$BG$42,$A45+2,FALSE)="IE","IE",IF(HLOOKUP(BX$15,Data_5!$F$10:$BG$42,$A45+2,FALSE)="NE","NE",IF(HLOOKUP(BX$15,Data_5!$F$10:$BG$42,$A45+2,FALSE)="C","C",IF(HLOOKUP(BX$15,Data_5!$F$10:$BG$42,$A45+2,FALSE)="NO","NO",HLOOKUP(BX$15,Data_5!$F$10:$BG$42,$A45+2,FALSE)/Data_5!$BI40))))),"")</f>
        <v/>
      </c>
      <c r="BY45" s="1122" t="str">
        <f>IFERROR(IF(HLOOKUP(BY$15,Data_5!$F$10:$BG$42,$A45+2,FALSE)="NO","NO",IF(HLOOKUP(BY$15,Data_5!$F$10:$BG$42,$A45+2,FALSE)="IE","IE",IF(HLOOKUP(BY$15,Data_5!$F$10:$BG$42,$A45+2,FALSE)="NE","NE",IF(HLOOKUP(BY$15,Data_5!$F$10:$BG$42,$A45+2,FALSE)="C","C",IF(HLOOKUP(BY$15,Data_5!$F$10:$BG$42,$A45+2,FALSE)="NO","NO",HLOOKUP(BY$15,Data_5!$F$10:$BG$42,$A45+2,FALSE)/Data_5!$BI40))))),"")</f>
        <v/>
      </c>
      <c r="BZ45" s="1122" t="str">
        <f>IFERROR(IF(HLOOKUP(BZ$15,Data_5!$F$10:$BG$42,$A45+2,FALSE)="NO","NO",IF(HLOOKUP(BZ$15,Data_5!$F$10:$BG$42,$A45+2,FALSE)="IE","IE",IF(HLOOKUP(BZ$15,Data_5!$F$10:$BG$42,$A45+2,FALSE)="NE","NE",IF(HLOOKUP(BZ$15,Data_5!$F$10:$BG$42,$A45+2,FALSE)="C","C",IF(HLOOKUP(BZ$15,Data_5!$F$10:$BG$42,$A45+2,FALSE)="NO","NO",HLOOKUP(BZ$15,Data_5!$F$10:$BG$42,$A45+2,FALSE)/Data_5!$BI40))))),"")</f>
        <v/>
      </c>
      <c r="CA45" s="1122" t="str">
        <f>IFERROR(IF(HLOOKUP(CA$15,Data_5!$F$10:$BG$42,$A45+2,FALSE)="NO","NO",IF(HLOOKUP(CA$15,Data_5!$F$10:$BG$42,$A45+2,FALSE)="IE","IE",IF(HLOOKUP(CA$15,Data_5!$F$10:$BG$42,$A45+2,FALSE)="NE","NE",IF(HLOOKUP(CA$15,Data_5!$F$10:$BG$42,$A45+2,FALSE)="C","C",IF(HLOOKUP(CA$15,Data_5!$F$10:$BG$42,$A45+2,FALSE)="NO","NO",HLOOKUP(CA$15,Data_5!$F$10:$BG$42,$A45+2,FALSE)/Data_5!$BI40))))),"")</f>
        <v/>
      </c>
      <c r="CB45" s="1122" t="str">
        <f>IFERROR(IF(HLOOKUP(CB$15,Data_5!$F$10:$BG$42,$A45+2,FALSE)="NO","NO",IF(HLOOKUP(CB$15,Data_5!$F$10:$BG$42,$A45+2,FALSE)="IE","IE",IF(HLOOKUP(CB$15,Data_5!$F$10:$BG$42,$A45+2,FALSE)="NE","NE",IF(HLOOKUP(CB$15,Data_5!$F$10:$BG$42,$A45+2,FALSE)="C","C",IF(HLOOKUP(CB$15,Data_5!$F$10:$BG$42,$A45+2,FALSE)="NO","NO",HLOOKUP(CB$15,Data_5!$F$10:$BG$42,$A45+2,FALSE)/Data_5!$BI40))))),"")</f>
        <v/>
      </c>
      <c r="CC45" s="1122" t="str">
        <f>IFERROR(IF(HLOOKUP(CC$15,Data_5!$F$10:$BG$42,$A45+2,FALSE)="NO","NO",IF(HLOOKUP(CC$15,Data_5!$F$10:$BG$42,$A45+2,FALSE)="IE","IE",IF(HLOOKUP(CC$15,Data_5!$F$10:$BG$42,$A45+2,FALSE)="NE","NE",IF(HLOOKUP(CC$15,Data_5!$F$10:$BG$42,$A45+2,FALSE)="C","C",IF(HLOOKUP(CC$15,Data_5!$F$10:$BG$42,$A45+2,FALSE)="NO","NO",HLOOKUP(CC$15,Data_5!$F$10:$BG$42,$A45+2,FALSE)/Data_5!$BI40))))),"")</f>
        <v/>
      </c>
      <c r="CD45" s="1122" t="str">
        <f>IFERROR(IF(HLOOKUP(CD$15,Data_5!$F$10:$BG$42,$A45+2,FALSE)="NO","NO",IF(HLOOKUP(CD$15,Data_5!$F$10:$BG$42,$A45+2,FALSE)="IE","IE",IF(HLOOKUP(CD$15,Data_5!$F$10:$BG$42,$A45+2,FALSE)="NE","NE",IF(HLOOKUP(CD$15,Data_5!$F$10:$BG$42,$A45+2,FALSE)="C","C",IF(HLOOKUP(CD$15,Data_5!$F$10:$BG$42,$A45+2,FALSE)="NO","NO",HLOOKUP(CD$15,Data_5!$F$10:$BG$42,$A45+2,FALSE)/Data_5!$BI40))))),"")</f>
        <v/>
      </c>
      <c r="CE45" s="1122" t="str">
        <f>IFERROR(IF(HLOOKUP(CE$15,Data_5!$F$10:$BG$42,$A45+2,FALSE)="NO","NO",IF(HLOOKUP(CE$15,Data_5!$F$10:$BG$42,$A45+2,FALSE)="IE","IE",IF(HLOOKUP(CE$15,Data_5!$F$10:$BG$42,$A45+2,FALSE)="NE","NE",IF(HLOOKUP(CE$15,Data_5!$F$10:$BG$42,$A45+2,FALSE)="C","C",IF(HLOOKUP(CE$15,Data_5!$F$10:$BG$42,$A45+2,FALSE)="NO","NO",HLOOKUP(CE$15,Data_5!$F$10:$BG$42,$A45+2,FALSE)/Data_5!$BI40))))),"")</f>
        <v/>
      </c>
      <c r="CF45" s="1122" t="str">
        <f>IFERROR(IF(HLOOKUP(CF$15,Data_5!$F$10:$BG$42,$A45+2,FALSE)="NO","NO",IF(HLOOKUP(CF$15,Data_5!$F$10:$BG$42,$A45+2,FALSE)="IE","IE",IF(HLOOKUP(CF$15,Data_5!$F$10:$BG$42,$A45+2,FALSE)="NE","NE",IF(HLOOKUP(CF$15,Data_5!$F$10:$BG$42,$A45+2,FALSE)="C","C",IF(HLOOKUP(CF$15,Data_5!$F$10:$BG$42,$A45+2,FALSE)="NO","NO",HLOOKUP(CF$15,Data_5!$F$10:$BG$42,$A45+2,FALSE)/Data_5!$BI40))))),"")</f>
        <v/>
      </c>
      <c r="CG45" s="1122" t="str">
        <f>IFERROR(IF(HLOOKUP(CG$15,Data_5!$F$10:$BG$42,$A45+2,FALSE)="NO","NO",IF(HLOOKUP(CG$15,Data_5!$F$10:$BG$42,$A45+2,FALSE)="IE","IE",IF(HLOOKUP(CG$15,Data_5!$F$10:$BG$42,$A45+2,FALSE)="NE","NE",IF(HLOOKUP(CG$15,Data_5!$F$10:$BG$42,$A45+2,FALSE)="C","C",IF(HLOOKUP(CG$15,Data_5!$F$10:$BG$42,$A45+2,FALSE)="NO","NO",HLOOKUP(CG$15,Data_5!$F$10:$BG$42,$A45+2,FALSE)/Data_5!$BI40))))),"")</f>
        <v/>
      </c>
      <c r="CH45" s="1122" t="str">
        <f>IFERROR(IF(HLOOKUP(CH$15,Data_5!$F$10:$BG$42,$A45+2,FALSE)="NO","NO",IF(HLOOKUP(CH$15,Data_5!$F$10:$BG$42,$A45+2,FALSE)="IE","IE",IF(HLOOKUP(CH$15,Data_5!$F$10:$BG$42,$A45+2,FALSE)="NE","NE",IF(HLOOKUP(CH$15,Data_5!$F$10:$BG$42,$A45+2,FALSE)="C","C",IF(HLOOKUP(CH$15,Data_5!$F$10:$BG$42,$A45+2,FALSE)="NO","NO",HLOOKUP(CH$15,Data_5!$F$10:$BG$42,$A45+2,FALSE)/Data_5!$BI40))))),"")</f>
        <v/>
      </c>
      <c r="CI45" s="1122" t="str">
        <f>IFERROR(IF(HLOOKUP(CI$15,Data_5!$F$10:$BG$42,$A45+2,FALSE)="NO","NO",IF(HLOOKUP(CI$15,Data_5!$F$10:$BG$42,$A45+2,FALSE)="IE","IE",IF(HLOOKUP(CI$15,Data_5!$F$10:$BG$42,$A45+2,FALSE)="NE","NE",IF(HLOOKUP(CI$15,Data_5!$F$10:$BG$42,$A45+2,FALSE)="C","C",IF(HLOOKUP(CI$15,Data_5!$F$10:$BG$42,$A45+2,FALSE)="NO","NO",HLOOKUP(CI$15,Data_5!$F$10:$BG$42,$A45+2,FALSE)/Data_5!$BI40))))),"")</f>
        <v/>
      </c>
      <c r="CJ45" s="1122" t="str">
        <f>IFERROR(IF(HLOOKUP(CJ$15,Data_5!$F$10:$BG$42,$A45+2,FALSE)="NO","NO",IF(HLOOKUP(CJ$15,Data_5!$F$10:$BG$42,$A45+2,FALSE)="IE","IE",IF(HLOOKUP(CJ$15,Data_5!$F$10:$BG$42,$A45+2,FALSE)="NE","NE",IF(HLOOKUP(CJ$15,Data_5!$F$10:$BG$42,$A45+2,FALSE)="C","C",IF(HLOOKUP(CJ$15,Data_5!$F$10:$BG$42,$A45+2,FALSE)="NO","NO",HLOOKUP(CJ$15,Data_5!$F$10:$BG$42,$A45+2,FALSE)/Data_5!$BI40))))),"")</f>
        <v/>
      </c>
      <c r="CL45" s="2628" t="str">
        <f t="shared" ref="CL45:CL46" si="4">B45</f>
        <v/>
      </c>
      <c r="CM45" s="2629"/>
      <c r="CN45" s="1100" t="str">
        <f t="shared" ref="CN45:CN46" ca="1" si="5">D45</f>
        <v/>
      </c>
      <c r="CO45" s="1122" t="str">
        <f>IFERROR(IF(HLOOKUP(CO$15,Data_5!$F$10:$BG$42,$A45+2,FALSE)="NO","NO",IF(HLOOKUP(CO$15,Data_5!$F$10:$BG$42,$A45+2,FALSE)="IE","IE",IF(HLOOKUP(CO$15,Data_5!$F$10:$BG$42,$A45+2,FALSE)="NE","NE",IF(HLOOKUP(CO$15,Data_5!$F$10:$BG$42,$A45+2,FALSE)="C","C",IF(HLOOKUP(CO$15,Data_5!$F$10:$BG$42,$A45+2,FALSE)="NO","NO",HLOOKUP(CO$15,Data_5!$F$10:$BG$42,$A45+2,FALSE)/Data_5!$BK40))))),"")</f>
        <v/>
      </c>
      <c r="CP45" s="1122" t="str">
        <f>IFERROR(IF(HLOOKUP(CP$15,Data_5!$F$10:$BG$42,$A45+2,FALSE)="NO","NO",IF(HLOOKUP(CP$15,Data_5!$F$10:$BG$42,$A45+2,FALSE)="IE","IE",IF(HLOOKUP(CP$15,Data_5!$F$10:$BG$42,$A45+2,FALSE)="NE","NE",IF(HLOOKUP(CP$15,Data_5!$F$10:$BG$42,$A45+2,FALSE)="C","C",IF(HLOOKUP(CP$15,Data_5!$F$10:$BG$42,$A45+2,FALSE)="NO","NO",HLOOKUP(CP$15,Data_5!$F$10:$BG$42,$A45+2,FALSE)/Data_5!$BK40))))),"")</f>
        <v/>
      </c>
      <c r="CQ45" s="1122" t="str">
        <f>IFERROR(IF(HLOOKUP(CQ$15,Data_5!$F$10:$BG$42,$A45+2,FALSE)="NO","NO",IF(HLOOKUP(CQ$15,Data_5!$F$10:$BG$42,$A45+2,FALSE)="IE","IE",IF(HLOOKUP(CQ$15,Data_5!$F$10:$BG$42,$A45+2,FALSE)="NE","NE",IF(HLOOKUP(CQ$15,Data_5!$F$10:$BG$42,$A45+2,FALSE)="C","C",IF(HLOOKUP(CQ$15,Data_5!$F$10:$BG$42,$A45+2,FALSE)="NO","NO",HLOOKUP(CQ$15,Data_5!$F$10:$BG$42,$A45+2,FALSE)/Data_5!$BK40))))),"")</f>
        <v/>
      </c>
      <c r="CR45" s="1122" t="str">
        <f>IFERROR(IF(HLOOKUP(CR$15,Data_5!$F$10:$BG$42,$A45+2,FALSE)="NO","NO",IF(HLOOKUP(CR$15,Data_5!$F$10:$BG$42,$A45+2,FALSE)="IE","IE",IF(HLOOKUP(CR$15,Data_5!$F$10:$BG$42,$A45+2,FALSE)="NE","NE",IF(HLOOKUP(CR$15,Data_5!$F$10:$BG$42,$A45+2,FALSE)="C","C",IF(HLOOKUP(CR$15,Data_5!$F$10:$BG$42,$A45+2,FALSE)="NO","NO",HLOOKUP(CR$15,Data_5!$F$10:$BG$42,$A45+2,FALSE)/Data_5!$BK40))))),"")</f>
        <v/>
      </c>
      <c r="CS45" s="1122" t="str">
        <f>IFERROR(IF(HLOOKUP(CS$15,Data_5!$F$10:$BG$42,$A45+2,FALSE)="NO","NO",IF(HLOOKUP(CS$15,Data_5!$F$10:$BG$42,$A45+2,FALSE)="IE","IE",IF(HLOOKUP(CS$15,Data_5!$F$10:$BG$42,$A45+2,FALSE)="NE","NE",IF(HLOOKUP(CS$15,Data_5!$F$10:$BG$42,$A45+2,FALSE)="C","C",IF(HLOOKUP(CS$15,Data_5!$F$10:$BG$42,$A45+2,FALSE)="NO","NO",HLOOKUP(CS$15,Data_5!$F$10:$BG$42,$A45+2,FALSE)/Data_5!$BK40))))),"")</f>
        <v/>
      </c>
      <c r="CT45" s="1122" t="str">
        <f>IFERROR(IF(HLOOKUP(CT$15,Data_5!$F$10:$BG$42,$A45+2,FALSE)="NO","NO",IF(HLOOKUP(CT$15,Data_5!$F$10:$BG$42,$A45+2,FALSE)="IE","IE",IF(HLOOKUP(CT$15,Data_5!$F$10:$BG$42,$A45+2,FALSE)="NE","NE",IF(HLOOKUP(CT$15,Data_5!$F$10:$BG$42,$A45+2,FALSE)="C","C",IF(HLOOKUP(CT$15,Data_5!$F$10:$BG$42,$A45+2,FALSE)="NO","NO",HLOOKUP(CT$15,Data_5!$F$10:$BG$42,$A45+2,FALSE)/Data_5!$BK40))))),"")</f>
        <v/>
      </c>
      <c r="CU45" s="1122" t="str">
        <f>IFERROR(IF(HLOOKUP(CU$15,Data_5!$F$10:$BG$42,$A45+2,FALSE)="NO","NO",IF(HLOOKUP(CU$15,Data_5!$F$10:$BG$42,$A45+2,FALSE)="IE","IE",IF(HLOOKUP(CU$15,Data_5!$F$10:$BG$42,$A45+2,FALSE)="NE","NE",IF(HLOOKUP(CU$15,Data_5!$F$10:$BG$42,$A45+2,FALSE)="C","C",IF(HLOOKUP(CU$15,Data_5!$F$10:$BG$42,$A45+2,FALSE)="NO","NO",HLOOKUP(CU$15,Data_5!$F$10:$BG$42,$A45+2,FALSE)/Data_5!$BK40))))),"")</f>
        <v/>
      </c>
      <c r="CV45" s="1122" t="str">
        <f>IFERROR(IF(HLOOKUP(CV$15,Data_5!$F$10:$BG$42,$A45+2,FALSE)="NO","NO",IF(HLOOKUP(CV$15,Data_5!$F$10:$BG$42,$A45+2,FALSE)="IE","IE",IF(HLOOKUP(CV$15,Data_5!$F$10:$BG$42,$A45+2,FALSE)="NE","NE",IF(HLOOKUP(CV$15,Data_5!$F$10:$BG$42,$A45+2,FALSE)="C","C",IF(HLOOKUP(CV$15,Data_5!$F$10:$BG$42,$A45+2,FALSE)="NO","NO",HLOOKUP(CV$15,Data_5!$F$10:$BG$42,$A45+2,FALSE)/Data_5!$BK40))))),"")</f>
        <v/>
      </c>
      <c r="CW45" s="1122" t="str">
        <f>IFERROR(IF(HLOOKUP(CW$15,Data_5!$F$10:$BG$42,$A45+2,FALSE)="NO","NO",IF(HLOOKUP(CW$15,Data_5!$F$10:$BG$42,$A45+2,FALSE)="IE","IE",IF(HLOOKUP(CW$15,Data_5!$F$10:$BG$42,$A45+2,FALSE)="NE","NE",IF(HLOOKUP(CW$15,Data_5!$F$10:$BG$42,$A45+2,FALSE)="C","C",IF(HLOOKUP(CW$15,Data_5!$F$10:$BG$42,$A45+2,FALSE)="NO","NO",HLOOKUP(CW$15,Data_5!$F$10:$BG$42,$A45+2,FALSE)/Data_5!$BK40))))),"")</f>
        <v/>
      </c>
      <c r="CX45" s="1122" t="str">
        <f>IFERROR(IF(HLOOKUP(CX$15,Data_5!$F$10:$BG$42,$A45+2,FALSE)="NO","NO",IF(HLOOKUP(CX$15,Data_5!$F$10:$BG$42,$A45+2,FALSE)="IE","IE",IF(HLOOKUP(CX$15,Data_5!$F$10:$BG$42,$A45+2,FALSE)="NE","NE",IF(HLOOKUP(CX$15,Data_5!$F$10:$BG$42,$A45+2,FALSE)="C","C",IF(HLOOKUP(CX$15,Data_5!$F$10:$BG$42,$A45+2,FALSE)="NO","NO",HLOOKUP(CX$15,Data_5!$F$10:$BG$42,$A45+2,FALSE)/Data_5!$BK40))))),"")</f>
        <v/>
      </c>
      <c r="CY45" s="1122" t="str">
        <f>IFERROR(IF(HLOOKUP(CY$15,Data_5!$F$10:$BG$42,$A45+2,FALSE)="NO","NO",IF(HLOOKUP(CY$15,Data_5!$F$10:$BG$42,$A45+2,FALSE)="IE","IE",IF(HLOOKUP(CY$15,Data_5!$F$10:$BG$42,$A45+2,FALSE)="NE","NE",IF(HLOOKUP(CY$15,Data_5!$F$10:$BG$42,$A45+2,FALSE)="C","C",IF(HLOOKUP(CY$15,Data_5!$F$10:$BG$42,$A45+2,FALSE)="NO","NO",HLOOKUP(CY$15,Data_5!$F$10:$BG$42,$A45+2,FALSE)/Data_5!$BK40))))),"")</f>
        <v/>
      </c>
      <c r="CZ45" s="1122" t="str">
        <f>IFERROR(IF(HLOOKUP(CZ$15,Data_5!$F$10:$BG$42,$A45+2,FALSE)="NO","NO",IF(HLOOKUP(CZ$15,Data_5!$F$10:$BG$42,$A45+2,FALSE)="IE","IE",IF(HLOOKUP(CZ$15,Data_5!$F$10:$BG$42,$A45+2,FALSE)="NE","NE",IF(HLOOKUP(CZ$15,Data_5!$F$10:$BG$42,$A45+2,FALSE)="C","C",IF(HLOOKUP(CZ$15,Data_5!$F$10:$BG$42,$A45+2,FALSE)="NO","NO",HLOOKUP(CZ$15,Data_5!$F$10:$BG$42,$A45+2,FALSE)/Data_5!$BK40))))),"")</f>
        <v/>
      </c>
      <c r="DA45" s="1122" t="str">
        <f>IFERROR(IF(HLOOKUP(DA$15,Data_5!$F$10:$BG$42,$A45+2,FALSE)="NO","NO",IF(HLOOKUP(DA$15,Data_5!$F$10:$BG$42,$A45+2,FALSE)="IE","IE",IF(HLOOKUP(DA$15,Data_5!$F$10:$BG$42,$A45+2,FALSE)="NE","NE",IF(HLOOKUP(DA$15,Data_5!$F$10:$BG$42,$A45+2,FALSE)="C","C",IF(HLOOKUP(DA$15,Data_5!$F$10:$BG$42,$A45+2,FALSE)="NO","NO",HLOOKUP(DA$15,Data_5!$F$10:$BG$42,$A45+2,FALSE)/Data_5!$BK40))))),"")</f>
        <v/>
      </c>
      <c r="DB45" s="1122" t="str">
        <f>IFERROR(IF(HLOOKUP(DB$15,Data_5!$F$10:$BG$42,$A45+2,FALSE)="NO","NO",IF(HLOOKUP(DB$15,Data_5!$F$10:$BG$42,$A45+2,FALSE)="IE","IE",IF(HLOOKUP(DB$15,Data_5!$F$10:$BG$42,$A45+2,FALSE)="NE","NE",IF(HLOOKUP(DB$15,Data_5!$F$10:$BG$42,$A45+2,FALSE)="C","C",IF(HLOOKUP(DB$15,Data_5!$F$10:$BG$42,$A45+2,FALSE)="NO","NO",HLOOKUP(DB$15,Data_5!$F$10:$BG$42,$A45+2,FALSE)/Data_5!$BK40))))),"")</f>
        <v/>
      </c>
      <c r="DC45" s="1122" t="str">
        <f>IFERROR(IF(HLOOKUP(DC$15,Data_5!$F$10:$BG$42,$A45+2,FALSE)="NO","NO",IF(HLOOKUP(DC$15,Data_5!$F$10:$BG$42,$A45+2,FALSE)="IE","IE",IF(HLOOKUP(DC$15,Data_5!$F$10:$BG$42,$A45+2,FALSE)="NE","NE",IF(HLOOKUP(DC$15,Data_5!$F$10:$BG$42,$A45+2,FALSE)="C","C",IF(HLOOKUP(DC$15,Data_5!$F$10:$BG$42,$A45+2,FALSE)="NO","NO",HLOOKUP(DC$15,Data_5!$F$10:$BG$42,$A45+2,FALSE)/Data_5!$BK40))))),"")</f>
        <v/>
      </c>
      <c r="DD45" s="1122" t="str">
        <f>IFERROR(IF(HLOOKUP(DD$15,Data_5!$F$10:$BG$42,$A45+2,FALSE)="NO","NO",IF(HLOOKUP(DD$15,Data_5!$F$10:$BG$42,$A45+2,FALSE)="IE","IE",IF(HLOOKUP(DD$15,Data_5!$F$10:$BG$42,$A45+2,FALSE)="NE","NE",IF(HLOOKUP(DD$15,Data_5!$F$10:$BG$42,$A45+2,FALSE)="C","C",IF(HLOOKUP(DD$15,Data_5!$F$10:$BG$42,$A45+2,FALSE)="NO","NO",HLOOKUP(DD$15,Data_5!$F$10:$BG$42,$A45+2,FALSE)/Data_5!$BK40))))),"")</f>
        <v/>
      </c>
      <c r="DE45" s="1122" t="str">
        <f>IFERROR(IF(HLOOKUP(DE$15,Data_5!$F$10:$BG$42,$A45+2,FALSE)="NO","NO",IF(HLOOKUP(DE$15,Data_5!$F$10:$BG$42,$A45+2,FALSE)="IE","IE",IF(HLOOKUP(DE$15,Data_5!$F$10:$BG$42,$A45+2,FALSE)="NE","NE",IF(HLOOKUP(DE$15,Data_5!$F$10:$BG$42,$A45+2,FALSE)="C","C",IF(HLOOKUP(DE$15,Data_5!$F$10:$BG$42,$A45+2,FALSE)="NO","NO",HLOOKUP(DE$15,Data_5!$F$10:$BG$42,$A45+2,FALSE)/Data_5!$BK40))))),"")</f>
        <v/>
      </c>
      <c r="DF45" s="1122" t="str">
        <f>IFERROR(IF(HLOOKUP(DF$15,Data_5!$F$10:$BG$42,$A45+2,FALSE)="NO","NO",IF(HLOOKUP(DF$15,Data_5!$F$10:$BG$42,$A45+2,FALSE)="IE","IE",IF(HLOOKUP(DF$15,Data_5!$F$10:$BG$42,$A45+2,FALSE)="NE","NE",IF(HLOOKUP(DF$15,Data_5!$F$10:$BG$42,$A45+2,FALSE)="C","C",IF(HLOOKUP(DF$15,Data_5!$F$10:$BG$42,$A45+2,FALSE)="NO","NO",HLOOKUP(DF$15,Data_5!$F$10:$BG$42,$A45+2,FALSE)/Data_5!$BK40))))),"")</f>
        <v/>
      </c>
      <c r="DG45" s="1122" t="str">
        <f>IFERROR(IF(HLOOKUP(DG$15,Data_5!$F$10:$BG$42,$A45+2,FALSE)="NO","NO",IF(HLOOKUP(DG$15,Data_5!$F$10:$BG$42,$A45+2,FALSE)="IE","IE",IF(HLOOKUP(DG$15,Data_5!$F$10:$BG$42,$A45+2,FALSE)="NE","NE",IF(HLOOKUP(DG$15,Data_5!$F$10:$BG$42,$A45+2,FALSE)="C","C",IF(HLOOKUP(DG$15,Data_5!$F$10:$BG$42,$A45+2,FALSE)="NO","NO",HLOOKUP(DG$15,Data_5!$F$10:$BG$42,$A45+2,FALSE)/Data_5!$BK40))))),"")</f>
        <v/>
      </c>
      <c r="DH45" s="1122" t="str">
        <f>IFERROR(IF(HLOOKUP(DH$15,Data_5!$F$10:$BG$42,$A45+2,FALSE)="NO","NO",IF(HLOOKUP(DH$15,Data_5!$F$10:$BG$42,$A45+2,FALSE)="IE","IE",IF(HLOOKUP(DH$15,Data_5!$F$10:$BG$42,$A45+2,FALSE)="NE","NE",IF(HLOOKUP(DH$15,Data_5!$F$10:$BG$42,$A45+2,FALSE)="C","C",IF(HLOOKUP(DH$15,Data_5!$F$10:$BG$42,$A45+2,FALSE)="NO","NO",HLOOKUP(DH$15,Data_5!$F$10:$BG$42,$A45+2,FALSE)/Data_5!$BK40))))),"")</f>
        <v/>
      </c>
      <c r="DI45" s="1122" t="str">
        <f>IFERROR(IF(HLOOKUP(DI$15,Data_5!$F$10:$BG$42,$A45+2,FALSE)="NO","NO",IF(HLOOKUP(DI$15,Data_5!$F$10:$BG$42,$A45+2,FALSE)="IE","IE",IF(HLOOKUP(DI$15,Data_5!$F$10:$BG$42,$A45+2,FALSE)="NE","NE",IF(HLOOKUP(DI$15,Data_5!$F$10:$BG$42,$A45+2,FALSE)="C","C",IF(HLOOKUP(DI$15,Data_5!$F$10:$BG$42,$A45+2,FALSE)="NO","NO",HLOOKUP(DI$15,Data_5!$F$10:$BG$42,$A45+2,FALSE)/Data_5!$BK40))))),"")</f>
        <v/>
      </c>
      <c r="DJ45" s="1122" t="str">
        <f>IFERROR(IF(HLOOKUP(DJ$15,Data_5!$F$10:$BG$42,$A45+2,FALSE)="NO","NO",IF(HLOOKUP(DJ$15,Data_5!$F$10:$BG$42,$A45+2,FALSE)="IE","IE",IF(HLOOKUP(DJ$15,Data_5!$F$10:$BG$42,$A45+2,FALSE)="NE","NE",IF(HLOOKUP(DJ$15,Data_5!$F$10:$BG$42,$A45+2,FALSE)="C","C",IF(HLOOKUP(DJ$15,Data_5!$F$10:$BG$42,$A45+2,FALSE)="NO","NO",HLOOKUP(DJ$15,Data_5!$F$10:$BG$42,$A45+2,FALSE)/Data_5!$BK40))))),"")</f>
        <v/>
      </c>
      <c r="DK45" s="1122" t="str">
        <f>IFERROR(IF(HLOOKUP(DK$15,Data_5!$F$10:$BG$42,$A45+2,FALSE)="NO","NO",IF(HLOOKUP(DK$15,Data_5!$F$10:$BG$42,$A45+2,FALSE)="IE","IE",IF(HLOOKUP(DK$15,Data_5!$F$10:$BG$42,$A45+2,FALSE)="NE","NE",IF(HLOOKUP(DK$15,Data_5!$F$10:$BG$42,$A45+2,FALSE)="C","C",IF(HLOOKUP(DK$15,Data_5!$F$10:$BG$42,$A45+2,FALSE)="NO","NO",HLOOKUP(DK$15,Data_5!$F$10:$BG$42,$A45+2,FALSE)/Data_5!$BK40))))),"")</f>
        <v/>
      </c>
      <c r="DL45" s="1122" t="str">
        <f>IFERROR(IF(HLOOKUP(DL$15,Data_5!$F$10:$BG$42,$A45+2,FALSE)="NO","NO",IF(HLOOKUP(DL$15,Data_5!$F$10:$BG$42,$A45+2,FALSE)="IE","IE",IF(HLOOKUP(DL$15,Data_5!$F$10:$BG$42,$A45+2,FALSE)="NE","NE",IF(HLOOKUP(DL$15,Data_5!$F$10:$BG$42,$A45+2,FALSE)="C","C",IF(HLOOKUP(DL$15,Data_5!$F$10:$BG$42,$A45+2,FALSE)="NO","NO",HLOOKUP(DL$15,Data_5!$F$10:$BG$42,$A45+2,FALSE)/Data_5!$BK40))))),"")</f>
        <v/>
      </c>
      <c r="DM45" s="1122" t="str">
        <f>IFERROR(IF(HLOOKUP(DM$15,Data_5!$F$10:$BG$42,$A45+2,FALSE)="NO","NO",IF(HLOOKUP(DM$15,Data_5!$F$10:$BG$42,$A45+2,FALSE)="IE","IE",IF(HLOOKUP(DM$15,Data_5!$F$10:$BG$42,$A45+2,FALSE)="NE","NE",IF(HLOOKUP(DM$15,Data_5!$F$10:$BG$42,$A45+2,FALSE)="C","C",IF(HLOOKUP(DM$15,Data_5!$F$10:$BG$42,$A45+2,FALSE)="NO","NO",HLOOKUP(DM$15,Data_5!$F$10:$BG$42,$A45+2,FALSE)/Data_5!$BK40))))),"")</f>
        <v/>
      </c>
      <c r="DN45" s="1122" t="str">
        <f>IFERROR(IF(HLOOKUP(DN$15,Data_5!$F$10:$BG$42,$A45+2,FALSE)="NO","NO",IF(HLOOKUP(DN$15,Data_5!$F$10:$BG$42,$A45+2,FALSE)="IE","IE",IF(HLOOKUP(DN$15,Data_5!$F$10:$BG$42,$A45+2,FALSE)="NE","NE",IF(HLOOKUP(DN$15,Data_5!$F$10:$BG$42,$A45+2,FALSE)="C","C",IF(HLOOKUP(DN$15,Data_5!$F$10:$BG$42,$A45+2,FALSE)="NO","NO",HLOOKUP(DN$15,Data_5!$F$10:$BG$42,$A45+2,FALSE)/Data_5!$BK40))))),"")</f>
        <v/>
      </c>
      <c r="DO45" s="1122" t="str">
        <f>IFERROR(IF(HLOOKUP(DO$15,Data_5!$F$10:$BG$42,$A45+2,FALSE)="NO","NO",IF(HLOOKUP(DO$15,Data_5!$F$10:$BG$42,$A45+2,FALSE)="IE","IE",IF(HLOOKUP(DO$15,Data_5!$F$10:$BG$42,$A45+2,FALSE)="NE","NE",IF(HLOOKUP(DO$15,Data_5!$F$10:$BG$42,$A45+2,FALSE)="C","C",IF(HLOOKUP(DO$15,Data_5!$F$10:$BG$42,$A45+2,FALSE)="NO","NO",HLOOKUP(DO$15,Data_5!$F$10:$BG$42,$A45+2,FALSE)/Data_5!$BK40))))),"")</f>
        <v/>
      </c>
    </row>
    <row r="46" spans="1:119" ht="15" customHeight="1">
      <c r="A46" s="1789">
        <v>30</v>
      </c>
      <c r="B46" s="2628" t="str">
        <f ca="1">IF(Data_5!B41&lt;&gt;"",Data_5!B41,"")</f>
        <v/>
      </c>
      <c r="C46" s="2629"/>
      <c r="D46" s="1462">
        <f ca="1">IFERROR(VLOOKUP($B46,Data_5!$B$12:$C$42,2,FALSE),"")</f>
        <v>0</v>
      </c>
      <c r="E46" s="1122" t="str">
        <f ca="1">IFERROR(IF(HLOOKUP(E$15,Data_5!$F$10:$BG$42,$A46+2,FALSE)="NO","NO",IF(HLOOKUP(E$15,Data_5!$F$10:$BG$42,$A46+2,FALSE)="IE","IE",IF(HLOOKUP(E$15,Data_5!$F$10:$BG$42,$A46+2,FALSE)="NE","NE",IF(HLOOKUP(E$15,Data_5!$F$10:$BG$42,$A46+2,FALSE)="C","C",IF(HLOOKUP(E$15,Data_5!$F$10:$BG$42,$A46+2,FALSE)="NO","NO",HLOOKUP(E$15,Data_5!$F$10:$BG$42,$A46+2,FALSE)/Data_5!$BH41))))),"")</f>
        <v/>
      </c>
      <c r="F46" s="1122" t="str">
        <f ca="1">IFERROR(IF(HLOOKUP(F$15,Data_5!$F$10:$BG$42,$A46+2,FALSE)="NO","NO",IF(HLOOKUP(F$15,Data_5!$F$10:$BG$42,$A46+2,FALSE)="IE","IE",IF(HLOOKUP(F$15,Data_5!$F$10:$BG$42,$A46+2,FALSE)="NE","NE",IF(HLOOKUP(F$15,Data_5!$F$10:$BG$42,$A46+2,FALSE)="C","C",IF(HLOOKUP(F$15,Data_5!$F$10:$BG$42,$A46+2,FALSE)="NO","NO",HLOOKUP(F$15,Data_5!$F$10:$BG$42,$A46+2,FALSE)/Data_5!$BH41))))),"")</f>
        <v/>
      </c>
      <c r="G46" s="1122" t="str">
        <f ca="1">IFERROR(IF(HLOOKUP(G$15,Data_5!$F$10:$BG$42,$A46+2,FALSE)="NO","NO",IF(HLOOKUP(G$15,Data_5!$F$10:$BG$42,$A46+2,FALSE)="IE","IE",IF(HLOOKUP(G$15,Data_5!$F$10:$BG$42,$A46+2,FALSE)="NE","NE",IF(HLOOKUP(G$15,Data_5!$F$10:$BG$42,$A46+2,FALSE)="C","C",IF(HLOOKUP(G$15,Data_5!$F$10:$BG$42,$A46+2,FALSE)="NO","NO",HLOOKUP(G$15,Data_5!$F$10:$BG$42,$A46+2,FALSE)/Data_5!$BH41))))),"")</f>
        <v/>
      </c>
      <c r="H46" s="1122" t="str">
        <f ca="1">IFERROR(IF(HLOOKUP(H$15,Data_5!$F$10:$BG$42,$A46+2,FALSE)="NO","NO",IF(HLOOKUP(H$15,Data_5!$F$10:$BG$42,$A46+2,FALSE)="IE","IE",IF(HLOOKUP(H$15,Data_5!$F$10:$BG$42,$A46+2,FALSE)="NE","NE",IF(HLOOKUP(H$15,Data_5!$F$10:$BG$42,$A46+2,FALSE)="C","C",IF(HLOOKUP(H$15,Data_5!$F$10:$BG$42,$A46+2,FALSE)="NO","NO",HLOOKUP(H$15,Data_5!$F$10:$BG$42,$A46+2,FALSE)/Data_5!$BH41))))),"")</f>
        <v/>
      </c>
      <c r="I46" s="1122" t="str">
        <f ca="1">IFERROR(IF(HLOOKUP(I$15,Data_5!$F$10:$BG$42,$A46+2,FALSE)="NO","NO",IF(HLOOKUP(I$15,Data_5!$F$10:$BG$42,$A46+2,FALSE)="IE","IE",IF(HLOOKUP(I$15,Data_5!$F$10:$BG$42,$A46+2,FALSE)="NE","NE",IF(HLOOKUP(I$15,Data_5!$F$10:$BG$42,$A46+2,FALSE)="C","C",IF(HLOOKUP(I$15,Data_5!$F$10:$BG$42,$A46+2,FALSE)="NO","NO",HLOOKUP(I$15,Data_5!$F$10:$BG$42,$A46+2,FALSE)/Data_5!$BH41))))),"")</f>
        <v/>
      </c>
      <c r="J46" s="1122" t="str">
        <f ca="1">IFERROR(IF(HLOOKUP(J$15,Data_5!$F$10:$BG$42,$A46+2,FALSE)="NO","NO",IF(HLOOKUP(J$15,Data_5!$F$10:$BG$42,$A46+2,FALSE)="IE","IE",IF(HLOOKUP(J$15,Data_5!$F$10:$BG$42,$A46+2,FALSE)="NE","NE",IF(HLOOKUP(J$15,Data_5!$F$10:$BG$42,$A46+2,FALSE)="C","C",IF(HLOOKUP(J$15,Data_5!$F$10:$BG$42,$A46+2,FALSE)="NO","NO",HLOOKUP(J$15,Data_5!$F$10:$BG$42,$A46+2,FALSE)/Data_5!$BH41))))),"")</f>
        <v/>
      </c>
      <c r="K46" s="1122" t="str">
        <f ca="1">IFERROR(IF(HLOOKUP(K$15,Data_5!$F$10:$BG$42,$A46+2,FALSE)="NO","NO",IF(HLOOKUP(K$15,Data_5!$F$10:$BG$42,$A46+2,FALSE)="IE","IE",IF(HLOOKUP(K$15,Data_5!$F$10:$BG$42,$A46+2,FALSE)="NE","NE",IF(HLOOKUP(K$15,Data_5!$F$10:$BG$42,$A46+2,FALSE)="C","C",IF(HLOOKUP(K$15,Data_5!$F$10:$BG$42,$A46+2,FALSE)="NO","NO",HLOOKUP(K$15,Data_5!$F$10:$BG$42,$A46+2,FALSE)/Data_5!$BH41))))),"")</f>
        <v/>
      </c>
      <c r="L46" s="1122" t="str">
        <f ca="1">IFERROR(IF(HLOOKUP(L$15,Data_5!$F$10:$BG$42,$A46+2,FALSE)="NO","NO",IF(HLOOKUP(L$15,Data_5!$F$10:$BG$42,$A46+2,FALSE)="IE","IE",IF(HLOOKUP(L$15,Data_5!$F$10:$BG$42,$A46+2,FALSE)="NE","NE",IF(HLOOKUP(L$15,Data_5!$F$10:$BG$42,$A46+2,FALSE)="C","C",IF(HLOOKUP(L$15,Data_5!$F$10:$BG$42,$A46+2,FALSE)="NO","NO",HLOOKUP(L$15,Data_5!$F$10:$BG$42,$A46+2,FALSE)/Data_5!$BH41))))),"")</f>
        <v/>
      </c>
      <c r="M46" s="1122" t="str">
        <f ca="1">IFERROR(IF(HLOOKUP(M$15,Data_5!$F$10:$BG$42,$A46+2,FALSE)="NO","NO",IF(HLOOKUP(M$15,Data_5!$F$10:$BG$42,$A46+2,FALSE)="IE","IE",IF(HLOOKUP(M$15,Data_5!$F$10:$BG$42,$A46+2,FALSE)="NE","NE",IF(HLOOKUP(M$15,Data_5!$F$10:$BG$42,$A46+2,FALSE)="C","C",IF(HLOOKUP(M$15,Data_5!$F$10:$BG$42,$A46+2,FALSE)="NO","NO",HLOOKUP(M$15,Data_5!$F$10:$BG$42,$A46+2,FALSE)/Data_5!$BH41))))),"")</f>
        <v/>
      </c>
      <c r="N46" s="1122" t="str">
        <f ca="1">IFERROR(IF(HLOOKUP(N$15,Data_5!$F$10:$BG$42,$A46+2,FALSE)="NO","NO",IF(HLOOKUP(N$15,Data_5!$F$10:$BG$42,$A46+2,FALSE)="IE","IE",IF(HLOOKUP(N$15,Data_5!$F$10:$BG$42,$A46+2,FALSE)="NE","NE",IF(HLOOKUP(N$15,Data_5!$F$10:$BG$42,$A46+2,FALSE)="C","C",IF(HLOOKUP(N$15,Data_5!$F$10:$BG$42,$A46+2,FALSE)="NO","NO",HLOOKUP(N$15,Data_5!$F$10:$BG$42,$A46+2,FALSE)/Data_5!$BH41))))),"")</f>
        <v/>
      </c>
      <c r="O46" s="1122" t="str">
        <f ca="1">IFERROR(IF(HLOOKUP(O$15,Data_5!$F$10:$BG$42,$A46+2,FALSE)="NO","NO",IF(HLOOKUP(O$15,Data_5!$F$10:$BG$42,$A46+2,FALSE)="IE","IE",IF(HLOOKUP(O$15,Data_5!$F$10:$BG$42,$A46+2,FALSE)="NE","NE",IF(HLOOKUP(O$15,Data_5!$F$10:$BG$42,$A46+2,FALSE)="C","C",IF(HLOOKUP(O$15,Data_5!$F$10:$BG$42,$A46+2,FALSE)="NO","NO",HLOOKUP(O$15,Data_5!$F$10:$BG$42,$A46+2,FALSE)/Data_5!$BH41))))),"")</f>
        <v/>
      </c>
      <c r="P46" s="1122" t="str">
        <f ca="1">IFERROR(IF(HLOOKUP(P$15,Data_5!$F$10:$BG$42,$A46+2,FALSE)="NO","NO",IF(HLOOKUP(P$15,Data_5!$F$10:$BG$42,$A46+2,FALSE)="IE","IE",IF(HLOOKUP(P$15,Data_5!$F$10:$BG$42,$A46+2,FALSE)="NE","NE",IF(HLOOKUP(P$15,Data_5!$F$10:$BG$42,$A46+2,FALSE)="C","C",IF(HLOOKUP(P$15,Data_5!$F$10:$BG$42,$A46+2,FALSE)="NO","NO",HLOOKUP(P$15,Data_5!$F$10:$BG$42,$A46+2,FALSE)/Data_5!$BH41))))),"")</f>
        <v/>
      </c>
      <c r="Q46" s="1122" t="str">
        <f ca="1">IFERROR(IF(HLOOKUP(Q$15,Data_5!$F$10:$BG$42,$A46+2,FALSE)="NO","NO",IF(HLOOKUP(Q$15,Data_5!$F$10:$BG$42,$A46+2,FALSE)="IE","IE",IF(HLOOKUP(Q$15,Data_5!$F$10:$BG$42,$A46+2,FALSE)="NE","NE",IF(HLOOKUP(Q$15,Data_5!$F$10:$BG$42,$A46+2,FALSE)="C","C",IF(HLOOKUP(Q$15,Data_5!$F$10:$BG$42,$A46+2,FALSE)="NO","NO",HLOOKUP(Q$15,Data_5!$F$10:$BG$42,$A46+2,FALSE)/Data_5!$BH41))))),"")</f>
        <v/>
      </c>
      <c r="R46" s="1122" t="str">
        <f ca="1">IFERROR(IF(HLOOKUP(R$15,Data_5!$F$10:$BG$42,$A46+2,FALSE)="NO","NO",IF(HLOOKUP(R$15,Data_5!$F$10:$BG$42,$A46+2,FALSE)="IE","IE",IF(HLOOKUP(R$15,Data_5!$F$10:$BG$42,$A46+2,FALSE)="NE","NE",IF(HLOOKUP(R$15,Data_5!$F$10:$BG$42,$A46+2,FALSE)="C","C",IF(HLOOKUP(R$15,Data_5!$F$10:$BG$42,$A46+2,FALSE)="NO","NO",HLOOKUP(R$15,Data_5!$F$10:$BG$42,$A46+2,FALSE)/Data_5!$BH41))))),"")</f>
        <v/>
      </c>
      <c r="S46" s="1122" t="str">
        <f ca="1">IFERROR(IF(HLOOKUP(S$15,Data_5!$F$10:$BG$42,$A46+2,FALSE)="NO","NO",IF(HLOOKUP(S$15,Data_5!$F$10:$BG$42,$A46+2,FALSE)="IE","IE",IF(HLOOKUP(S$15,Data_5!$F$10:$BG$42,$A46+2,FALSE)="NE","NE",IF(HLOOKUP(S$15,Data_5!$F$10:$BG$42,$A46+2,FALSE)="C","C",IF(HLOOKUP(S$15,Data_5!$F$10:$BG$42,$A46+2,FALSE)="NO","NO",HLOOKUP(S$15,Data_5!$F$10:$BG$42,$A46+2,FALSE)/Data_5!$BH41))))),"")</f>
        <v/>
      </c>
      <c r="T46" s="1122" t="str">
        <f ca="1">IFERROR(IF(HLOOKUP(T$15,Data_5!$F$10:$BG$42,$A46+2,FALSE)="NO","NO",IF(HLOOKUP(T$15,Data_5!$F$10:$BG$42,$A46+2,FALSE)="IE","IE",IF(HLOOKUP(T$15,Data_5!$F$10:$BG$42,$A46+2,FALSE)="NE","NE",IF(HLOOKUP(T$15,Data_5!$F$10:$BG$42,$A46+2,FALSE)="C","C",IF(HLOOKUP(T$15,Data_5!$F$10:$BG$42,$A46+2,FALSE)="NO","NO",HLOOKUP(T$15,Data_5!$F$10:$BG$42,$A46+2,FALSE)/Data_5!$BH41))))),"")</f>
        <v/>
      </c>
      <c r="U46" s="1122" t="str">
        <f ca="1">IFERROR(IF(HLOOKUP(U$15,Data_5!$F$10:$BG$42,$A46+2,FALSE)="NO","NO",IF(HLOOKUP(U$15,Data_5!$F$10:$BG$42,$A46+2,FALSE)="IE","IE",IF(HLOOKUP(U$15,Data_5!$F$10:$BG$42,$A46+2,FALSE)="NE","NE",IF(HLOOKUP(U$15,Data_5!$F$10:$BG$42,$A46+2,FALSE)="C","C",IF(HLOOKUP(U$15,Data_5!$F$10:$BG$42,$A46+2,FALSE)="NO","NO",HLOOKUP(U$15,Data_5!$F$10:$BG$42,$A46+2,FALSE)/Data_5!$BH41))))),"")</f>
        <v/>
      </c>
      <c r="V46" s="1122" t="str">
        <f ca="1">IFERROR(IF(HLOOKUP(V$15,Data_5!$F$10:$BG$42,$A46+2,FALSE)="NO","NO",IF(HLOOKUP(V$15,Data_5!$F$10:$BG$42,$A46+2,FALSE)="IE","IE",IF(HLOOKUP(V$15,Data_5!$F$10:$BG$42,$A46+2,FALSE)="NE","NE",IF(HLOOKUP(V$15,Data_5!$F$10:$BG$42,$A46+2,FALSE)="C","C",IF(HLOOKUP(V$15,Data_5!$F$10:$BG$42,$A46+2,FALSE)="NO","NO",HLOOKUP(V$15,Data_5!$F$10:$BG$42,$A46+2,FALSE)/Data_5!$BH41))))),"")</f>
        <v/>
      </c>
      <c r="W46" s="1122" t="str">
        <f ca="1">IFERROR(IF(HLOOKUP(W$15,Data_5!$F$10:$BG$42,$A46+2,FALSE)="NO","NO",IF(HLOOKUP(W$15,Data_5!$F$10:$BG$42,$A46+2,FALSE)="IE","IE",IF(HLOOKUP(W$15,Data_5!$F$10:$BG$42,$A46+2,FALSE)="NE","NE",IF(HLOOKUP(W$15,Data_5!$F$10:$BG$42,$A46+2,FALSE)="C","C",IF(HLOOKUP(W$15,Data_5!$F$10:$BG$42,$A46+2,FALSE)="NO","NO",HLOOKUP(W$15,Data_5!$F$10:$BG$42,$A46+2,FALSE)/Data_5!$BH41))))),"")</f>
        <v/>
      </c>
      <c r="X46" s="1122" t="str">
        <f ca="1">IFERROR(IF(HLOOKUP(X$15,Data_5!$F$10:$BG$42,$A46+2,FALSE)="NO","NO",IF(HLOOKUP(X$15,Data_5!$F$10:$BG$42,$A46+2,FALSE)="IE","IE",IF(HLOOKUP(X$15,Data_5!$F$10:$BG$42,$A46+2,FALSE)="NE","NE",IF(HLOOKUP(X$15,Data_5!$F$10:$BG$42,$A46+2,FALSE)="C","C",IF(HLOOKUP(X$15,Data_5!$F$10:$BG$42,$A46+2,FALSE)="NO","NO",HLOOKUP(X$15,Data_5!$F$10:$BG$42,$A46+2,FALSE)/Data_5!$BH41))))),"")</f>
        <v/>
      </c>
      <c r="Y46" s="1122" t="str">
        <f ca="1">IFERROR(IF(HLOOKUP(Y$15,Data_5!$F$10:$BG$42,$A46+2,FALSE)="NO","NO",IF(HLOOKUP(Y$15,Data_5!$F$10:$BG$42,$A46+2,FALSE)="IE","IE",IF(HLOOKUP(Y$15,Data_5!$F$10:$BG$42,$A46+2,FALSE)="NE","NE",IF(HLOOKUP(Y$15,Data_5!$F$10:$BG$42,$A46+2,FALSE)="C","C",IF(HLOOKUP(Y$15,Data_5!$F$10:$BG$42,$A46+2,FALSE)="NO","NO",HLOOKUP(Y$15,Data_5!$F$10:$BG$42,$A46+2,FALSE)/Data_5!$BH41))))),"")</f>
        <v/>
      </c>
      <c r="Z46" s="1122" t="str">
        <f ca="1">IFERROR(IF(HLOOKUP(Z$15,Data_5!$F$10:$BG$42,$A46+2,FALSE)="NO","NO",IF(HLOOKUP(Z$15,Data_5!$F$10:$BG$42,$A46+2,FALSE)="IE","IE",IF(HLOOKUP(Z$15,Data_5!$F$10:$BG$42,$A46+2,FALSE)="NE","NE",IF(HLOOKUP(Z$15,Data_5!$F$10:$BG$42,$A46+2,FALSE)="C","C",IF(HLOOKUP(Z$15,Data_5!$F$10:$BG$42,$A46+2,FALSE)="NO","NO",HLOOKUP(Z$15,Data_5!$F$10:$BG$42,$A46+2,FALSE)/Data_5!$BH41))))),"")</f>
        <v/>
      </c>
      <c r="AA46" s="1122" t="str">
        <f ca="1">IFERROR(IF(HLOOKUP(AA$15,Data_5!$F$10:$BG$42,$A46+2,FALSE)="NO","NO",IF(HLOOKUP(AA$15,Data_5!$F$10:$BG$42,$A46+2,FALSE)="IE","IE",IF(HLOOKUP(AA$15,Data_5!$F$10:$BG$42,$A46+2,FALSE)="NE","NE",IF(HLOOKUP(AA$15,Data_5!$F$10:$BG$42,$A46+2,FALSE)="C","C",IF(HLOOKUP(AA$15,Data_5!$F$10:$BG$42,$A46+2,FALSE)="NO","NO",HLOOKUP(AA$15,Data_5!$F$10:$BG$42,$A46+2,FALSE)/Data_5!$BH41))))),"")</f>
        <v/>
      </c>
      <c r="AB46" s="1122" t="str">
        <f ca="1">IFERROR(IF(HLOOKUP(AB$15,Data_5!$F$10:$BG$42,$A46+2,FALSE)="NO","NO",IF(HLOOKUP(AB$15,Data_5!$F$10:$BG$42,$A46+2,FALSE)="IE","IE",IF(HLOOKUP(AB$15,Data_5!$F$10:$BG$42,$A46+2,FALSE)="NE","NE",IF(HLOOKUP(AB$15,Data_5!$F$10:$BG$42,$A46+2,FALSE)="C","C",IF(HLOOKUP(AB$15,Data_5!$F$10:$BG$42,$A46+2,FALSE)="NO","NO",HLOOKUP(AB$15,Data_5!$F$10:$BG$42,$A46+2,FALSE)/Data_5!$BH41))))),"")</f>
        <v/>
      </c>
      <c r="AC46" s="1122" t="str">
        <f ca="1">IFERROR(IF(HLOOKUP(AC$15,Data_5!$F$10:$BG$42,$A46+2,FALSE)="NO","NO",IF(HLOOKUP(AC$15,Data_5!$F$10:$BG$42,$A46+2,FALSE)="IE","IE",IF(HLOOKUP(AC$15,Data_5!$F$10:$BG$42,$A46+2,FALSE)="NE","NE",IF(HLOOKUP(AC$15,Data_5!$F$10:$BG$42,$A46+2,FALSE)="C","C",IF(HLOOKUP(AC$15,Data_5!$F$10:$BG$42,$A46+2,FALSE)="NO","NO",HLOOKUP(AC$15,Data_5!$F$10:$BG$42,$A46+2,FALSE)/Data_5!$BH41))))),"")</f>
        <v/>
      </c>
      <c r="AD46" s="1122" t="str">
        <f ca="1">IFERROR(IF(HLOOKUP(AD$15,Data_5!$F$10:$BG$42,$A46+2,FALSE)="NO","NO",IF(HLOOKUP(AD$15,Data_5!$F$10:$BG$42,$A46+2,FALSE)="IE","IE",IF(HLOOKUP(AD$15,Data_5!$F$10:$BG$42,$A46+2,FALSE)="NE","NE",IF(HLOOKUP(AD$15,Data_5!$F$10:$BG$42,$A46+2,FALSE)="C","C",IF(HLOOKUP(AD$15,Data_5!$F$10:$BG$42,$A46+2,FALSE)="NO","NO",HLOOKUP(AD$15,Data_5!$F$10:$BG$42,$A46+2,FALSE)/Data_5!$BH41))))),"")</f>
        <v/>
      </c>
      <c r="AE46" s="1122" t="str">
        <f ca="1">IFERROR(IF(HLOOKUP(AE$15,Data_5!$F$10:$BG$42,$A46+2,FALSE)="NO","NO",IF(HLOOKUP(AE$15,Data_5!$F$10:$BG$42,$A46+2,FALSE)="IE","IE",IF(HLOOKUP(AE$15,Data_5!$F$10:$BG$42,$A46+2,FALSE)="NE","NE",IF(HLOOKUP(AE$15,Data_5!$F$10:$BG$42,$A46+2,FALSE)="C","C",IF(HLOOKUP(AE$15,Data_5!$F$10:$BG$42,$A46+2,FALSE)="NO","NO",HLOOKUP(AE$15,Data_5!$F$10:$BG$42,$A46+2,FALSE)/Data_5!$BH41))))),"")</f>
        <v/>
      </c>
      <c r="AF46" s="1122" t="str">
        <f ca="1">IFERROR(IF(HLOOKUP(AF$15,Data_5!$F$10:$BG$42,$A46+2,FALSE)="NO","NO",IF(HLOOKUP(AF$15,Data_5!$F$10:$BG$42,$A46+2,FALSE)="IE","IE",IF(HLOOKUP(AF$15,Data_5!$F$10:$BG$42,$A46+2,FALSE)="NE","NE",IF(HLOOKUP(AF$15,Data_5!$F$10:$BG$42,$A46+2,FALSE)="C","C",IF(HLOOKUP(AF$15,Data_5!$F$10:$BG$42,$A46+2,FALSE)="NO","NO",HLOOKUP(AF$15,Data_5!$F$10:$BG$42,$A46+2,FALSE)/Data_5!$BH41))))),"")</f>
        <v/>
      </c>
      <c r="AG46" s="1122" t="str">
        <f ca="1">IFERROR(IF(HLOOKUP(AG$15,Data_5!$F$10:$BG$42,$A46+2,FALSE)="NO","NO",IF(HLOOKUP(AG$15,Data_5!$F$10:$BG$42,$A46+2,FALSE)="IE","IE",IF(HLOOKUP(AG$15,Data_5!$F$10:$BG$42,$A46+2,FALSE)="NE","NE",IF(HLOOKUP(AG$15,Data_5!$F$10:$BG$42,$A46+2,FALSE)="C","C",IF(HLOOKUP(AG$15,Data_5!$F$10:$BG$42,$A46+2,FALSE)="NO","NO",HLOOKUP(AG$15,Data_5!$F$10:$BG$42,$A46+2,FALSE)/Data_5!$BH41))))),"")</f>
        <v/>
      </c>
      <c r="AH46" s="1122" t="str">
        <f ca="1">IFERROR(IF(HLOOKUP(AH$15,Data_5!$F$10:$BG$42,$A46+2,FALSE)="NO","NO",IF(HLOOKUP(AH$15,Data_5!$F$10:$BG$42,$A46+2,FALSE)="IE","IE",IF(HLOOKUP(AH$15,Data_5!$F$10:$BG$42,$A46+2,FALSE)="NE","NE",IF(HLOOKUP(AH$15,Data_5!$F$10:$BG$42,$A46+2,FALSE)="C","C",IF(HLOOKUP(AH$15,Data_5!$F$10:$BG$42,$A46+2,FALSE)="NO","NO",HLOOKUP(AH$15,Data_5!$F$10:$BG$42,$A46+2,FALSE)/Data_5!$BH41))))),"")</f>
        <v/>
      </c>
      <c r="AI46" s="1122" t="str">
        <f ca="1">IFERROR(IF(HLOOKUP(AI$15,Data_5!$F$10:$BG$42,$A46+2,FALSE)="NO","NO",IF(HLOOKUP(AI$15,Data_5!$F$10:$BG$42,$A46+2,FALSE)="IE","IE",IF(HLOOKUP(AI$15,Data_5!$F$10:$BG$42,$A46+2,FALSE)="NE","NE",IF(HLOOKUP(AI$15,Data_5!$F$10:$BG$42,$A46+2,FALSE)="C","C",IF(HLOOKUP(AI$15,Data_5!$F$10:$BG$42,$A46+2,FALSE)="NO","NO",HLOOKUP(AI$15,Data_5!$F$10:$BG$42,$A46+2,FALSE)/Data_5!$BH41))))),"")</f>
        <v/>
      </c>
      <c r="AJ46" s="1122" t="str">
        <f ca="1">IFERROR(IF(HLOOKUP(AJ$15,Data_5!$F$10:$BG$42,$A46+2,FALSE)="NO","NO",IF(HLOOKUP(AJ$15,Data_5!$F$10:$BG$42,$A46+2,FALSE)="IE","IE",IF(HLOOKUP(AJ$15,Data_5!$F$10:$BG$42,$A46+2,FALSE)="NE","NE",IF(HLOOKUP(AJ$15,Data_5!$F$10:$BG$42,$A46+2,FALSE)="C","C",IF(HLOOKUP(AJ$15,Data_5!$F$10:$BG$42,$A46+2,FALSE)="NO","NO",HLOOKUP(AJ$15,Data_5!$F$10:$BG$42,$A46+2,FALSE)/Data_5!$BH41))))),"")</f>
        <v/>
      </c>
      <c r="AL46" s="2628" t="str">
        <f t="shared" ca="1" si="0"/>
        <v/>
      </c>
      <c r="AM46" s="2629"/>
      <c r="AN46" s="1100" t="str">
        <f t="shared" ca="1" si="1"/>
        <v/>
      </c>
      <c r="AO46" s="1122" t="str">
        <f ca="1">IFERROR(IF(HLOOKUP(AO$15,Data_5!$F$10:$BG$42,$A46+2,FALSE)="NO","NO",IF(HLOOKUP(AO$15,Data_5!$F$10:$BG$42,$A46+2,FALSE)="IE","IE",IF(HLOOKUP(AO$15,Data_5!$F$10:$BG$42,$A46+2,FALSE)="NE","NE",IF(HLOOKUP(AO$15,Data_5!$F$10:$BG$42,$A46+2,FALSE)="C","C",IF(HLOOKUP(AO$15,Data_5!$F$10:$BG$42,$A46+2,FALSE)="NO","NO",HLOOKUP(AO$15,Data_5!$F$10:$BG$42,$A46+2,FALSE)/Data_5!$BI41))))),"")</f>
        <v/>
      </c>
      <c r="AP46" s="1122" t="str">
        <f ca="1">IFERROR(IF(HLOOKUP(AP$15,Data_5!$F$10:$BG$42,$A46+2,FALSE)="NO","NO",IF(HLOOKUP(AP$15,Data_5!$F$10:$BG$42,$A46+2,FALSE)="IE","IE",IF(HLOOKUP(AP$15,Data_5!$F$10:$BG$42,$A46+2,FALSE)="NE","NE",IF(HLOOKUP(AP$15,Data_5!$F$10:$BG$42,$A46+2,FALSE)="C","C",IF(HLOOKUP(AP$15,Data_5!$F$10:$BG$42,$A46+2,FALSE)="NO","NO",HLOOKUP(AP$15,Data_5!$F$10:$BG$42,$A46+2,FALSE)/Data_5!$BI41))))),"")</f>
        <v/>
      </c>
      <c r="AQ46" s="1122" t="str">
        <f ca="1">IFERROR(IF(HLOOKUP(AQ$15,Data_5!$F$10:$BG$42,$A46+2,FALSE)="NO","NO",IF(HLOOKUP(AQ$15,Data_5!$F$10:$BG$42,$A46+2,FALSE)="IE","IE",IF(HLOOKUP(AQ$15,Data_5!$F$10:$BG$42,$A46+2,FALSE)="NE","NE",IF(HLOOKUP(AQ$15,Data_5!$F$10:$BG$42,$A46+2,FALSE)="C","C",IF(HLOOKUP(AQ$15,Data_5!$F$10:$BG$42,$A46+2,FALSE)="NO","NO",HLOOKUP(AQ$15,Data_5!$F$10:$BG$42,$A46+2,FALSE)/Data_5!$BI41))))),"")</f>
        <v/>
      </c>
      <c r="AR46" s="1122" t="str">
        <f ca="1">IFERROR(IF(HLOOKUP(AR$15,Data_5!$F$10:$BG$42,$A46+2,FALSE)="NO","NO",IF(HLOOKUP(AR$15,Data_5!$F$10:$BG$42,$A46+2,FALSE)="IE","IE",IF(HLOOKUP(AR$15,Data_5!$F$10:$BG$42,$A46+2,FALSE)="NE","NE",IF(HLOOKUP(AR$15,Data_5!$F$10:$BG$42,$A46+2,FALSE)="C","C",IF(HLOOKUP(AR$15,Data_5!$F$10:$BG$42,$A46+2,FALSE)="NO","NO",HLOOKUP(AR$15,Data_5!$F$10:$BG$42,$A46+2,FALSE)/Data_5!$BI41))))),"")</f>
        <v/>
      </c>
      <c r="AS46" s="1122" t="str">
        <f ca="1">IFERROR(IF(HLOOKUP(AS$15,Data_5!$F$10:$BG$42,$A46+2,FALSE)="NO","NO",IF(HLOOKUP(AS$15,Data_5!$F$10:$BG$42,$A46+2,FALSE)="IE","IE",IF(HLOOKUP(AS$15,Data_5!$F$10:$BG$42,$A46+2,FALSE)="NE","NE",IF(HLOOKUP(AS$15,Data_5!$F$10:$BG$42,$A46+2,FALSE)="C","C",IF(HLOOKUP(AS$15,Data_5!$F$10:$BG$42,$A46+2,FALSE)="NO","NO",HLOOKUP(AS$15,Data_5!$F$10:$BG$42,$A46+2,FALSE)/Data_5!$BI41))))),"")</f>
        <v/>
      </c>
      <c r="AT46" s="1122" t="str">
        <f ca="1">IFERROR(IF(HLOOKUP(AT$15,Data_5!$F$10:$BG$42,$A46+2,FALSE)="NO","NO",IF(HLOOKUP(AT$15,Data_5!$F$10:$BG$42,$A46+2,FALSE)="IE","IE",IF(HLOOKUP(AT$15,Data_5!$F$10:$BG$42,$A46+2,FALSE)="NE","NE",IF(HLOOKUP(AT$15,Data_5!$F$10:$BG$42,$A46+2,FALSE)="C","C",IF(HLOOKUP(AT$15,Data_5!$F$10:$BG$42,$A46+2,FALSE)="NO","NO",HLOOKUP(AT$15,Data_5!$F$10:$BG$42,$A46+2,FALSE)/Data_5!$BI41))))),"")</f>
        <v/>
      </c>
      <c r="AU46" s="1122" t="str">
        <f ca="1">IFERROR(IF(HLOOKUP(AU$15,Data_5!$F$10:$BG$42,$A46+2,FALSE)="NO","NO",IF(HLOOKUP(AU$15,Data_5!$F$10:$BG$42,$A46+2,FALSE)="IE","IE",IF(HLOOKUP(AU$15,Data_5!$F$10:$BG$42,$A46+2,FALSE)="NE","NE",IF(HLOOKUP(AU$15,Data_5!$F$10:$BG$42,$A46+2,FALSE)="C","C",IF(HLOOKUP(AU$15,Data_5!$F$10:$BG$42,$A46+2,FALSE)="NO","NO",HLOOKUP(AU$15,Data_5!$F$10:$BG$42,$A46+2,FALSE)/Data_5!$BI41))))),"")</f>
        <v/>
      </c>
      <c r="AV46" s="1122" t="str">
        <f ca="1">IFERROR(IF(HLOOKUP(AV$15,Data_5!$F$10:$BG$42,$A46+2,FALSE)="NO","NO",IF(HLOOKUP(AV$15,Data_5!$F$10:$BG$42,$A46+2,FALSE)="IE","IE",IF(HLOOKUP(AV$15,Data_5!$F$10:$BG$42,$A46+2,FALSE)="NE","NE",IF(HLOOKUP(AV$15,Data_5!$F$10:$BG$42,$A46+2,FALSE)="C","C",IF(HLOOKUP(AV$15,Data_5!$F$10:$BG$42,$A46+2,FALSE)="NO","NO",HLOOKUP(AV$15,Data_5!$F$10:$BG$42,$A46+2,FALSE)/Data_5!$BI41))))),"")</f>
        <v/>
      </c>
      <c r="AW46" s="1122" t="str">
        <f ca="1">IFERROR(IF(HLOOKUP(AW$15,Data_5!$F$10:$BG$42,$A46+2,FALSE)="NO","NO",IF(HLOOKUP(AW$15,Data_5!$F$10:$BG$42,$A46+2,FALSE)="IE","IE",IF(HLOOKUP(AW$15,Data_5!$F$10:$BG$42,$A46+2,FALSE)="NE","NE",IF(HLOOKUP(AW$15,Data_5!$F$10:$BG$42,$A46+2,FALSE)="C","C",IF(HLOOKUP(AW$15,Data_5!$F$10:$BG$42,$A46+2,FALSE)="NO","NO",HLOOKUP(AW$15,Data_5!$F$10:$BG$42,$A46+2,FALSE)/Data_5!$BI41))))),"")</f>
        <v/>
      </c>
      <c r="AX46" s="1122" t="str">
        <f ca="1">IFERROR(IF(HLOOKUP(AX$15,Data_5!$F$10:$BG$42,$A46+2,FALSE)="NO","NO",IF(HLOOKUP(AX$15,Data_5!$F$10:$BG$42,$A46+2,FALSE)="IE","IE",IF(HLOOKUP(AX$15,Data_5!$F$10:$BG$42,$A46+2,FALSE)="NE","NE",IF(HLOOKUP(AX$15,Data_5!$F$10:$BG$42,$A46+2,FALSE)="C","C",IF(HLOOKUP(AX$15,Data_5!$F$10:$BG$42,$A46+2,FALSE)="NO","NO",HLOOKUP(AX$15,Data_5!$F$10:$BG$42,$A46+2,FALSE)/Data_5!$BI41))))),"")</f>
        <v/>
      </c>
      <c r="AY46" s="1122" t="str">
        <f ca="1">IFERROR(IF(HLOOKUP(AY$15,Data_5!$F$10:$BG$42,$A46+2,FALSE)="NO","NO",IF(HLOOKUP(AY$15,Data_5!$F$10:$BG$42,$A46+2,FALSE)="IE","IE",IF(HLOOKUP(AY$15,Data_5!$F$10:$BG$42,$A46+2,FALSE)="NE","NE",IF(HLOOKUP(AY$15,Data_5!$F$10:$BG$42,$A46+2,FALSE)="C","C",IF(HLOOKUP(AY$15,Data_5!$F$10:$BG$42,$A46+2,FALSE)="NO","NO",HLOOKUP(AY$15,Data_5!$F$10:$BG$42,$A46+2,FALSE)/Data_5!$BI41))))),"")</f>
        <v/>
      </c>
      <c r="AZ46" s="1122" t="str">
        <f ca="1">IFERROR(IF(HLOOKUP(AZ$15,Data_5!$F$10:$BG$42,$A46+2,FALSE)="NO","NO",IF(HLOOKUP(AZ$15,Data_5!$F$10:$BG$42,$A46+2,FALSE)="IE","IE",IF(HLOOKUP(AZ$15,Data_5!$F$10:$BG$42,$A46+2,FALSE)="NE","NE",IF(HLOOKUP(AZ$15,Data_5!$F$10:$BG$42,$A46+2,FALSE)="C","C",IF(HLOOKUP(AZ$15,Data_5!$F$10:$BG$42,$A46+2,FALSE)="NO","NO",HLOOKUP(AZ$15,Data_5!$F$10:$BG$42,$A46+2,FALSE)/Data_5!$BI41))))),"")</f>
        <v/>
      </c>
      <c r="BA46" s="1122" t="str">
        <f ca="1">IFERROR(IF(HLOOKUP(BA$15,Data_5!$F$10:$BG$42,$A46+2,FALSE)="NO","NO",IF(HLOOKUP(BA$15,Data_5!$F$10:$BG$42,$A46+2,FALSE)="IE","IE",IF(HLOOKUP(BA$15,Data_5!$F$10:$BG$42,$A46+2,FALSE)="NE","NE",IF(HLOOKUP(BA$15,Data_5!$F$10:$BG$42,$A46+2,FALSE)="C","C",IF(HLOOKUP(BA$15,Data_5!$F$10:$BG$42,$A46+2,FALSE)="NO","NO",HLOOKUP(BA$15,Data_5!$F$10:$BG$42,$A46+2,FALSE)/Data_5!$BI41))))),"")</f>
        <v/>
      </c>
      <c r="BB46" s="1122" t="str">
        <f ca="1">IFERROR(IF(HLOOKUP(BB$15,Data_5!$F$10:$BG$42,$A46+2,FALSE)="NO","NO",IF(HLOOKUP(BB$15,Data_5!$F$10:$BG$42,$A46+2,FALSE)="IE","IE",IF(HLOOKUP(BB$15,Data_5!$F$10:$BG$42,$A46+2,FALSE)="NE","NE",IF(HLOOKUP(BB$15,Data_5!$F$10:$BG$42,$A46+2,FALSE)="C","C",IF(HLOOKUP(BB$15,Data_5!$F$10:$BG$42,$A46+2,FALSE)="NO","NO",HLOOKUP(BB$15,Data_5!$F$10:$BG$42,$A46+2,FALSE)/Data_5!$BI41))))),"")</f>
        <v/>
      </c>
      <c r="BC46" s="1122" t="str">
        <f ca="1">IFERROR(IF(HLOOKUP(BC$15,Data_5!$F$10:$BG$42,$A46+2,FALSE)="NO","NO",IF(HLOOKUP(BC$15,Data_5!$F$10:$BG$42,$A46+2,FALSE)="IE","IE",IF(HLOOKUP(BC$15,Data_5!$F$10:$BG$42,$A46+2,FALSE)="NE","NE",IF(HLOOKUP(BC$15,Data_5!$F$10:$BG$42,$A46+2,FALSE)="C","C",IF(HLOOKUP(BC$15,Data_5!$F$10:$BG$42,$A46+2,FALSE)="NO","NO",HLOOKUP(BC$15,Data_5!$F$10:$BG$42,$A46+2,FALSE)/Data_5!$BI41))))),"")</f>
        <v/>
      </c>
      <c r="BD46" s="1122" t="str">
        <f ca="1">IFERROR(IF(HLOOKUP(BD$15,Data_5!$F$10:$BG$42,$A46+2,FALSE)="NO","NO",IF(HLOOKUP(BD$15,Data_5!$F$10:$BG$42,$A46+2,FALSE)="IE","IE",IF(HLOOKUP(BD$15,Data_5!$F$10:$BG$42,$A46+2,FALSE)="NE","NE",IF(HLOOKUP(BD$15,Data_5!$F$10:$BG$42,$A46+2,FALSE)="C","C",IF(HLOOKUP(BD$15,Data_5!$F$10:$BG$42,$A46+2,FALSE)="NO","NO",HLOOKUP(BD$15,Data_5!$F$10:$BG$42,$A46+2,FALSE)/Data_5!$BI41))))),"")</f>
        <v/>
      </c>
      <c r="BE46" s="1122" t="str">
        <f ca="1">IFERROR(IF(HLOOKUP(BE$15,Data_5!$F$10:$BG$42,$A46+2,FALSE)="NO","NO",IF(HLOOKUP(BE$15,Data_5!$F$10:$BG$42,$A46+2,FALSE)="IE","IE",IF(HLOOKUP(BE$15,Data_5!$F$10:$BG$42,$A46+2,FALSE)="NE","NE",IF(HLOOKUP(BE$15,Data_5!$F$10:$BG$42,$A46+2,FALSE)="C","C",IF(HLOOKUP(BE$15,Data_5!$F$10:$BG$42,$A46+2,FALSE)="NO","NO",HLOOKUP(BE$15,Data_5!$F$10:$BG$42,$A46+2,FALSE)/Data_5!$BI41))))),"")</f>
        <v/>
      </c>
      <c r="BF46" s="1122" t="str">
        <f ca="1">IFERROR(IF(HLOOKUP(BF$15,Data_5!$F$10:$BG$42,$A46+2,FALSE)="NO","NO",IF(HLOOKUP(BF$15,Data_5!$F$10:$BG$42,$A46+2,FALSE)="IE","IE",IF(HLOOKUP(BF$15,Data_5!$F$10:$BG$42,$A46+2,FALSE)="NE","NE",IF(HLOOKUP(BF$15,Data_5!$F$10:$BG$42,$A46+2,FALSE)="C","C",IF(HLOOKUP(BF$15,Data_5!$F$10:$BG$42,$A46+2,FALSE)="NO","NO",HLOOKUP(BF$15,Data_5!$F$10:$BG$42,$A46+2,FALSE)/Data_5!$BI41))))),"")</f>
        <v/>
      </c>
      <c r="BG46" s="1122" t="str">
        <f ca="1">IFERROR(IF(HLOOKUP(BG$15,Data_5!$F$10:$BG$42,$A46+2,FALSE)="NO","NO",IF(HLOOKUP(BG$15,Data_5!$F$10:$BG$42,$A46+2,FALSE)="IE","IE",IF(HLOOKUP(BG$15,Data_5!$F$10:$BG$42,$A46+2,FALSE)="NE","NE",IF(HLOOKUP(BG$15,Data_5!$F$10:$BG$42,$A46+2,FALSE)="C","C",IF(HLOOKUP(BG$15,Data_5!$F$10:$BG$42,$A46+2,FALSE)="NO","NO",HLOOKUP(BG$15,Data_5!$F$10:$BG$42,$A46+2,FALSE)/Data_5!$BI41))))),"")</f>
        <v/>
      </c>
      <c r="BH46" s="1122" t="str">
        <f ca="1">IFERROR(IF(HLOOKUP(BH$15,Data_5!$F$10:$BG$42,$A46+2,FALSE)="NO","NO",IF(HLOOKUP(BH$15,Data_5!$F$10:$BG$42,$A46+2,FALSE)="IE","IE",IF(HLOOKUP(BH$15,Data_5!$F$10:$BG$42,$A46+2,FALSE)="NE","NE",IF(HLOOKUP(BH$15,Data_5!$F$10:$BG$42,$A46+2,FALSE)="C","C",IF(HLOOKUP(BH$15,Data_5!$F$10:$BG$42,$A46+2,FALSE)="NO","NO",HLOOKUP(BH$15,Data_5!$F$10:$BG$42,$A46+2,FALSE)/Data_5!$BI41))))),"")</f>
        <v/>
      </c>
      <c r="BI46" s="1122" t="str">
        <f ca="1">IFERROR(IF(HLOOKUP(BI$15,Data_5!$F$10:$BG$42,$A46+2,FALSE)="NO","NO",IF(HLOOKUP(BI$15,Data_5!$F$10:$BG$42,$A46+2,FALSE)="IE","IE",IF(HLOOKUP(BI$15,Data_5!$F$10:$BG$42,$A46+2,FALSE)="NE","NE",IF(HLOOKUP(BI$15,Data_5!$F$10:$BG$42,$A46+2,FALSE)="C","C",IF(HLOOKUP(BI$15,Data_5!$F$10:$BG$42,$A46+2,FALSE)="NO","NO",HLOOKUP(BI$15,Data_5!$F$10:$BG$42,$A46+2,FALSE)/Data_5!$BI41))))),"")</f>
        <v/>
      </c>
      <c r="BJ46" s="1122" t="str">
        <f ca="1">IFERROR(IF(HLOOKUP(BJ$15,Data_5!$F$10:$BG$42,$A46+2,FALSE)="NO","NO",IF(HLOOKUP(BJ$15,Data_5!$F$10:$BG$42,$A46+2,FALSE)="IE","IE",IF(HLOOKUP(BJ$15,Data_5!$F$10:$BG$42,$A46+2,FALSE)="NE","NE",IF(HLOOKUP(BJ$15,Data_5!$F$10:$BG$42,$A46+2,FALSE)="C","C",IF(HLOOKUP(BJ$15,Data_5!$F$10:$BG$42,$A46+2,FALSE)="NO","NO",HLOOKUP(BJ$15,Data_5!$F$10:$BG$42,$A46+2,FALSE)/Data_5!$BI41))))),"")</f>
        <v/>
      </c>
      <c r="BK46" s="1122" t="str">
        <f ca="1">IFERROR(IF(HLOOKUP(BK$15,Data_5!$F$10:$BG$42,$A46+2,FALSE)="NO","NO",IF(HLOOKUP(BK$15,Data_5!$F$10:$BG$42,$A46+2,FALSE)="IE","IE",IF(HLOOKUP(BK$15,Data_5!$F$10:$BG$42,$A46+2,FALSE)="NE","NE",IF(HLOOKUP(BK$15,Data_5!$F$10:$BG$42,$A46+2,FALSE)="C","C",IF(HLOOKUP(BK$15,Data_5!$F$10:$BG$42,$A46+2,FALSE)="NO","NO",HLOOKUP(BK$15,Data_5!$F$10:$BG$42,$A46+2,FALSE)/Data_5!$BI41))))),"")</f>
        <v/>
      </c>
      <c r="BL46" s="1122" t="str">
        <f ca="1">IFERROR(IF(HLOOKUP(BL$15,Data_5!$F$10:$BG$42,$A46+2,FALSE)="NO","NO",IF(HLOOKUP(BL$15,Data_5!$F$10:$BG$42,$A46+2,FALSE)="IE","IE",IF(HLOOKUP(BL$15,Data_5!$F$10:$BG$42,$A46+2,FALSE)="NE","NE",IF(HLOOKUP(BL$15,Data_5!$F$10:$BG$42,$A46+2,FALSE)="C","C",IF(HLOOKUP(BL$15,Data_5!$F$10:$BG$42,$A46+2,FALSE)="NO","NO",HLOOKUP(BL$15,Data_5!$F$10:$BG$42,$A46+2,FALSE)/Data_5!$BI41))))),"")</f>
        <v/>
      </c>
      <c r="BM46" s="1122" t="str">
        <f ca="1">IFERROR(IF(HLOOKUP(BM$15,Data_5!$F$10:$BG$42,$A46+2,FALSE)="NO","NO",IF(HLOOKUP(BM$15,Data_5!$F$10:$BG$42,$A46+2,FALSE)="IE","IE",IF(HLOOKUP(BM$15,Data_5!$F$10:$BG$42,$A46+2,FALSE)="NE","NE",IF(HLOOKUP(BM$15,Data_5!$F$10:$BG$42,$A46+2,FALSE)="C","C",IF(HLOOKUP(BM$15,Data_5!$F$10:$BG$42,$A46+2,FALSE)="NO","NO",HLOOKUP(BM$15,Data_5!$F$10:$BG$42,$A46+2,FALSE)/Data_5!$BI41))))),"")</f>
        <v/>
      </c>
      <c r="BN46" s="1122" t="str">
        <f ca="1">IFERROR(IF(HLOOKUP(BN$15,Data_5!$F$10:$BG$42,$A46+2,FALSE)="NO","NO",IF(HLOOKUP(BN$15,Data_5!$F$10:$BG$42,$A46+2,FALSE)="IE","IE",IF(HLOOKUP(BN$15,Data_5!$F$10:$BG$42,$A46+2,FALSE)="NE","NE",IF(HLOOKUP(BN$15,Data_5!$F$10:$BG$42,$A46+2,FALSE)="C","C",IF(HLOOKUP(BN$15,Data_5!$F$10:$BG$42,$A46+2,FALSE)="NO","NO",HLOOKUP(BN$15,Data_5!$F$10:$BG$42,$A46+2,FALSE)/Data_5!$BI41))))),"")</f>
        <v/>
      </c>
      <c r="BO46" s="1122" t="str">
        <f ca="1">IFERROR(IF(HLOOKUP(BO$15,Data_5!$F$10:$BG$42,$A46+2,FALSE)="NO","NO",IF(HLOOKUP(BO$15,Data_5!$F$10:$BG$42,$A46+2,FALSE)="IE","IE",IF(HLOOKUP(BO$15,Data_5!$F$10:$BG$42,$A46+2,FALSE)="NE","NE",IF(HLOOKUP(BO$15,Data_5!$F$10:$BG$42,$A46+2,FALSE)="C","C",IF(HLOOKUP(BO$15,Data_5!$F$10:$BG$42,$A46+2,FALSE)="NO","NO",HLOOKUP(BO$15,Data_5!$F$10:$BG$42,$A46+2,FALSE)/Data_5!$BI41))))),"")</f>
        <v/>
      </c>
      <c r="BP46" s="1122" t="str">
        <f ca="1">IFERROR(IF(HLOOKUP(BP$15,Data_5!$F$10:$BG$42,$A46+2,FALSE)="NO","NO",IF(HLOOKUP(BP$15,Data_5!$F$10:$BG$42,$A46+2,FALSE)="IE","IE",IF(HLOOKUP(BP$15,Data_5!$F$10:$BG$42,$A46+2,FALSE)="NE","NE",IF(HLOOKUP(BP$15,Data_5!$F$10:$BG$42,$A46+2,FALSE)="C","C",IF(HLOOKUP(BP$15,Data_5!$F$10:$BG$42,$A46+2,FALSE)="NO","NO",HLOOKUP(BP$15,Data_5!$F$10:$BG$42,$A46+2,FALSE)/Data_5!$BI41))))),"")</f>
        <v/>
      </c>
      <c r="BQ46" s="1122" t="str">
        <f ca="1">IFERROR(IF(HLOOKUP(BQ$15,Data_5!$F$10:$BG$42,$A46+2,FALSE)="NO","NO",IF(HLOOKUP(BQ$15,Data_5!$F$10:$BG$42,$A46+2,FALSE)="IE","IE",IF(HLOOKUP(BQ$15,Data_5!$F$10:$BG$42,$A46+2,FALSE)="NE","NE",IF(HLOOKUP(BQ$15,Data_5!$F$10:$BG$42,$A46+2,FALSE)="C","C",IF(HLOOKUP(BQ$15,Data_5!$F$10:$BG$42,$A46+2,FALSE)="NO","NO",HLOOKUP(BQ$15,Data_5!$F$10:$BG$42,$A46+2,FALSE)/Data_5!$BI41))))),"")</f>
        <v/>
      </c>
      <c r="BR46" s="1122" t="str">
        <f ca="1">IFERROR(IF(HLOOKUP(BR$15,Data_5!$F$10:$BG$42,$A46+2,FALSE)="NO","NO",IF(HLOOKUP(BR$15,Data_5!$F$10:$BG$42,$A46+2,FALSE)="IE","IE",IF(HLOOKUP(BR$15,Data_5!$F$10:$BG$42,$A46+2,FALSE)="NE","NE",IF(HLOOKUP(BR$15,Data_5!$F$10:$BG$42,$A46+2,FALSE)="C","C",IF(HLOOKUP(BR$15,Data_5!$F$10:$BG$42,$A46+2,FALSE)="NO","NO",HLOOKUP(BR$15,Data_5!$F$10:$BG$42,$A46+2,FALSE)/Data_5!$BI41))))),"")</f>
        <v/>
      </c>
      <c r="BS46" s="1122" t="str">
        <f ca="1">IFERROR(IF(HLOOKUP(BS$15,Data_5!$F$10:$BG$42,$A46+2,FALSE)="NO","NO",IF(HLOOKUP(BS$15,Data_5!$F$10:$BG$42,$A46+2,FALSE)="IE","IE",IF(HLOOKUP(BS$15,Data_5!$F$10:$BG$42,$A46+2,FALSE)="NE","NE",IF(HLOOKUP(BS$15,Data_5!$F$10:$BG$42,$A46+2,FALSE)="C","C",IF(HLOOKUP(BS$15,Data_5!$F$10:$BG$42,$A46+2,FALSE)="NO","NO",HLOOKUP(BS$15,Data_5!$F$10:$BG$42,$A46+2,FALSE)/Data_5!$BI41))))),"")</f>
        <v/>
      </c>
      <c r="BT46" s="1122" t="str">
        <f ca="1">IFERROR(IF(HLOOKUP(BT$15,Data_5!$F$10:$BG$42,$A46+2,FALSE)="NO","NO",IF(HLOOKUP(BT$15,Data_5!$F$10:$BG$42,$A46+2,FALSE)="IE","IE",IF(HLOOKUP(BT$15,Data_5!$F$10:$BG$42,$A46+2,FALSE)="NE","NE",IF(HLOOKUP(BT$15,Data_5!$F$10:$BG$42,$A46+2,FALSE)="C","C",IF(HLOOKUP(BT$15,Data_5!$F$10:$BG$42,$A46+2,FALSE)="NO","NO",HLOOKUP(BT$15,Data_5!$F$10:$BG$42,$A46+2,FALSE)/Data_5!$BI41))))),"")</f>
        <v/>
      </c>
      <c r="BU46" s="1122" t="str">
        <f ca="1">IFERROR(IF(HLOOKUP(BU$15,Data_5!$F$10:$BG$42,$A46+2,FALSE)="NO","NO",IF(HLOOKUP(BU$15,Data_5!$F$10:$BG$42,$A46+2,FALSE)="IE","IE",IF(HLOOKUP(BU$15,Data_5!$F$10:$BG$42,$A46+2,FALSE)="NE","NE",IF(HLOOKUP(BU$15,Data_5!$F$10:$BG$42,$A46+2,FALSE)="C","C",IF(HLOOKUP(BU$15,Data_5!$F$10:$BG$42,$A46+2,FALSE)="NO","NO",HLOOKUP(BU$15,Data_5!$F$10:$BG$42,$A46+2,FALSE)/Data_5!$BI41))))),"")</f>
        <v/>
      </c>
      <c r="BV46" s="1122" t="str">
        <f ca="1">IFERROR(IF(HLOOKUP(BV$15,Data_5!$F$10:$BG$42,$A46+2,FALSE)="NO","NO",IF(HLOOKUP(BV$15,Data_5!$F$10:$BG$42,$A46+2,FALSE)="IE","IE",IF(HLOOKUP(BV$15,Data_5!$F$10:$BG$42,$A46+2,FALSE)="NE","NE",IF(HLOOKUP(BV$15,Data_5!$F$10:$BG$42,$A46+2,FALSE)="C","C",IF(HLOOKUP(BV$15,Data_5!$F$10:$BG$42,$A46+2,FALSE)="NO","NO",HLOOKUP(BV$15,Data_5!$F$10:$BG$42,$A46+2,FALSE)/Data_5!$BI41))))),"")</f>
        <v/>
      </c>
      <c r="BW46" s="1122" t="str">
        <f ca="1">IFERROR(IF(HLOOKUP(BW$15,Data_5!$F$10:$BG$42,$A46+2,FALSE)="NO","NO",IF(HLOOKUP(BW$15,Data_5!$F$10:$BG$42,$A46+2,FALSE)="IE","IE",IF(HLOOKUP(BW$15,Data_5!$F$10:$BG$42,$A46+2,FALSE)="NE","NE",IF(HLOOKUP(BW$15,Data_5!$F$10:$BG$42,$A46+2,FALSE)="C","C",IF(HLOOKUP(BW$15,Data_5!$F$10:$BG$42,$A46+2,FALSE)="NO","NO",HLOOKUP(BW$15,Data_5!$F$10:$BG$42,$A46+2,FALSE)/Data_5!$BI41))))),"")</f>
        <v/>
      </c>
      <c r="BX46" s="1122" t="str">
        <f ca="1">IFERROR(IF(HLOOKUP(BX$15,Data_5!$F$10:$BG$42,$A46+2,FALSE)="NO","NO",IF(HLOOKUP(BX$15,Data_5!$F$10:$BG$42,$A46+2,FALSE)="IE","IE",IF(HLOOKUP(BX$15,Data_5!$F$10:$BG$42,$A46+2,FALSE)="NE","NE",IF(HLOOKUP(BX$15,Data_5!$F$10:$BG$42,$A46+2,FALSE)="C","C",IF(HLOOKUP(BX$15,Data_5!$F$10:$BG$42,$A46+2,FALSE)="NO","NO",HLOOKUP(BX$15,Data_5!$F$10:$BG$42,$A46+2,FALSE)/Data_5!$BI41))))),"")</f>
        <v/>
      </c>
      <c r="BY46" s="1122" t="str">
        <f ca="1">IFERROR(IF(HLOOKUP(BY$15,Data_5!$F$10:$BG$42,$A46+2,FALSE)="NO","NO",IF(HLOOKUP(BY$15,Data_5!$F$10:$BG$42,$A46+2,FALSE)="IE","IE",IF(HLOOKUP(BY$15,Data_5!$F$10:$BG$42,$A46+2,FALSE)="NE","NE",IF(HLOOKUP(BY$15,Data_5!$F$10:$BG$42,$A46+2,FALSE)="C","C",IF(HLOOKUP(BY$15,Data_5!$F$10:$BG$42,$A46+2,FALSE)="NO","NO",HLOOKUP(BY$15,Data_5!$F$10:$BG$42,$A46+2,FALSE)/Data_5!$BI41))))),"")</f>
        <v/>
      </c>
      <c r="BZ46" s="1122" t="str">
        <f ca="1">IFERROR(IF(HLOOKUP(BZ$15,Data_5!$F$10:$BG$42,$A46+2,FALSE)="NO","NO",IF(HLOOKUP(BZ$15,Data_5!$F$10:$BG$42,$A46+2,FALSE)="IE","IE",IF(HLOOKUP(BZ$15,Data_5!$F$10:$BG$42,$A46+2,FALSE)="NE","NE",IF(HLOOKUP(BZ$15,Data_5!$F$10:$BG$42,$A46+2,FALSE)="C","C",IF(HLOOKUP(BZ$15,Data_5!$F$10:$BG$42,$A46+2,FALSE)="NO","NO",HLOOKUP(BZ$15,Data_5!$F$10:$BG$42,$A46+2,FALSE)/Data_5!$BI41))))),"")</f>
        <v/>
      </c>
      <c r="CA46" s="1122" t="str">
        <f ca="1">IFERROR(IF(HLOOKUP(CA$15,Data_5!$F$10:$BG$42,$A46+2,FALSE)="NO","NO",IF(HLOOKUP(CA$15,Data_5!$F$10:$BG$42,$A46+2,FALSE)="IE","IE",IF(HLOOKUP(CA$15,Data_5!$F$10:$BG$42,$A46+2,FALSE)="NE","NE",IF(HLOOKUP(CA$15,Data_5!$F$10:$BG$42,$A46+2,FALSE)="C","C",IF(HLOOKUP(CA$15,Data_5!$F$10:$BG$42,$A46+2,FALSE)="NO","NO",HLOOKUP(CA$15,Data_5!$F$10:$BG$42,$A46+2,FALSE)/Data_5!$BI41))))),"")</f>
        <v/>
      </c>
      <c r="CB46" s="1122" t="str">
        <f ca="1">IFERROR(IF(HLOOKUP(CB$15,Data_5!$F$10:$BG$42,$A46+2,FALSE)="NO","NO",IF(HLOOKUP(CB$15,Data_5!$F$10:$BG$42,$A46+2,FALSE)="IE","IE",IF(HLOOKUP(CB$15,Data_5!$F$10:$BG$42,$A46+2,FALSE)="NE","NE",IF(HLOOKUP(CB$15,Data_5!$F$10:$BG$42,$A46+2,FALSE)="C","C",IF(HLOOKUP(CB$15,Data_5!$F$10:$BG$42,$A46+2,FALSE)="NO","NO",HLOOKUP(CB$15,Data_5!$F$10:$BG$42,$A46+2,FALSE)/Data_5!$BI41))))),"")</f>
        <v/>
      </c>
      <c r="CC46" s="1122" t="str">
        <f ca="1">IFERROR(IF(HLOOKUP(CC$15,Data_5!$F$10:$BG$42,$A46+2,FALSE)="NO","NO",IF(HLOOKUP(CC$15,Data_5!$F$10:$BG$42,$A46+2,FALSE)="IE","IE",IF(HLOOKUP(CC$15,Data_5!$F$10:$BG$42,$A46+2,FALSE)="NE","NE",IF(HLOOKUP(CC$15,Data_5!$F$10:$BG$42,$A46+2,FALSE)="C","C",IF(HLOOKUP(CC$15,Data_5!$F$10:$BG$42,$A46+2,FALSE)="NO","NO",HLOOKUP(CC$15,Data_5!$F$10:$BG$42,$A46+2,FALSE)/Data_5!$BI41))))),"")</f>
        <v/>
      </c>
      <c r="CD46" s="1122" t="str">
        <f ca="1">IFERROR(IF(HLOOKUP(CD$15,Data_5!$F$10:$BG$42,$A46+2,FALSE)="NO","NO",IF(HLOOKUP(CD$15,Data_5!$F$10:$BG$42,$A46+2,FALSE)="IE","IE",IF(HLOOKUP(CD$15,Data_5!$F$10:$BG$42,$A46+2,FALSE)="NE","NE",IF(HLOOKUP(CD$15,Data_5!$F$10:$BG$42,$A46+2,FALSE)="C","C",IF(HLOOKUP(CD$15,Data_5!$F$10:$BG$42,$A46+2,FALSE)="NO","NO",HLOOKUP(CD$15,Data_5!$F$10:$BG$42,$A46+2,FALSE)/Data_5!$BI41))))),"")</f>
        <v/>
      </c>
      <c r="CE46" s="1122" t="str">
        <f ca="1">IFERROR(IF(HLOOKUP(CE$15,Data_5!$F$10:$BG$42,$A46+2,FALSE)="NO","NO",IF(HLOOKUP(CE$15,Data_5!$F$10:$BG$42,$A46+2,FALSE)="IE","IE",IF(HLOOKUP(CE$15,Data_5!$F$10:$BG$42,$A46+2,FALSE)="NE","NE",IF(HLOOKUP(CE$15,Data_5!$F$10:$BG$42,$A46+2,FALSE)="C","C",IF(HLOOKUP(CE$15,Data_5!$F$10:$BG$42,$A46+2,FALSE)="NO","NO",HLOOKUP(CE$15,Data_5!$F$10:$BG$42,$A46+2,FALSE)/Data_5!$BI41))))),"")</f>
        <v/>
      </c>
      <c r="CF46" s="1122" t="str">
        <f ca="1">IFERROR(IF(HLOOKUP(CF$15,Data_5!$F$10:$BG$42,$A46+2,FALSE)="NO","NO",IF(HLOOKUP(CF$15,Data_5!$F$10:$BG$42,$A46+2,FALSE)="IE","IE",IF(HLOOKUP(CF$15,Data_5!$F$10:$BG$42,$A46+2,FALSE)="NE","NE",IF(HLOOKUP(CF$15,Data_5!$F$10:$BG$42,$A46+2,FALSE)="C","C",IF(HLOOKUP(CF$15,Data_5!$F$10:$BG$42,$A46+2,FALSE)="NO","NO",HLOOKUP(CF$15,Data_5!$F$10:$BG$42,$A46+2,FALSE)/Data_5!$BI41))))),"")</f>
        <v/>
      </c>
      <c r="CG46" s="1122" t="str">
        <f ca="1">IFERROR(IF(HLOOKUP(CG$15,Data_5!$F$10:$BG$42,$A46+2,FALSE)="NO","NO",IF(HLOOKUP(CG$15,Data_5!$F$10:$BG$42,$A46+2,FALSE)="IE","IE",IF(HLOOKUP(CG$15,Data_5!$F$10:$BG$42,$A46+2,FALSE)="NE","NE",IF(HLOOKUP(CG$15,Data_5!$F$10:$BG$42,$A46+2,FALSE)="C","C",IF(HLOOKUP(CG$15,Data_5!$F$10:$BG$42,$A46+2,FALSE)="NO","NO",HLOOKUP(CG$15,Data_5!$F$10:$BG$42,$A46+2,FALSE)/Data_5!$BI41))))),"")</f>
        <v/>
      </c>
      <c r="CH46" s="1122" t="str">
        <f ca="1">IFERROR(IF(HLOOKUP(CH$15,Data_5!$F$10:$BG$42,$A46+2,FALSE)="NO","NO",IF(HLOOKUP(CH$15,Data_5!$F$10:$BG$42,$A46+2,FALSE)="IE","IE",IF(HLOOKUP(CH$15,Data_5!$F$10:$BG$42,$A46+2,FALSE)="NE","NE",IF(HLOOKUP(CH$15,Data_5!$F$10:$BG$42,$A46+2,FALSE)="C","C",IF(HLOOKUP(CH$15,Data_5!$F$10:$BG$42,$A46+2,FALSE)="NO","NO",HLOOKUP(CH$15,Data_5!$F$10:$BG$42,$A46+2,FALSE)/Data_5!$BI41))))),"")</f>
        <v/>
      </c>
      <c r="CI46" s="1122" t="str">
        <f ca="1">IFERROR(IF(HLOOKUP(CI$15,Data_5!$F$10:$BG$42,$A46+2,FALSE)="NO","NO",IF(HLOOKUP(CI$15,Data_5!$F$10:$BG$42,$A46+2,FALSE)="IE","IE",IF(HLOOKUP(CI$15,Data_5!$F$10:$BG$42,$A46+2,FALSE)="NE","NE",IF(HLOOKUP(CI$15,Data_5!$F$10:$BG$42,$A46+2,FALSE)="C","C",IF(HLOOKUP(CI$15,Data_5!$F$10:$BG$42,$A46+2,FALSE)="NO","NO",HLOOKUP(CI$15,Data_5!$F$10:$BG$42,$A46+2,FALSE)/Data_5!$BI41))))),"")</f>
        <v/>
      </c>
      <c r="CJ46" s="1122" t="str">
        <f ca="1">IFERROR(IF(HLOOKUP(CJ$15,Data_5!$F$10:$BG$42,$A46+2,FALSE)="NO","NO",IF(HLOOKUP(CJ$15,Data_5!$F$10:$BG$42,$A46+2,FALSE)="IE","IE",IF(HLOOKUP(CJ$15,Data_5!$F$10:$BG$42,$A46+2,FALSE)="NE","NE",IF(HLOOKUP(CJ$15,Data_5!$F$10:$BG$42,$A46+2,FALSE)="C","C",IF(HLOOKUP(CJ$15,Data_5!$F$10:$BG$42,$A46+2,FALSE)="NO","NO",HLOOKUP(CJ$15,Data_5!$F$10:$BG$42,$A46+2,FALSE)/Data_5!$BI41))))),"")</f>
        <v/>
      </c>
      <c r="CL46" s="2628" t="str">
        <f t="shared" ca="1" si="4"/>
        <v/>
      </c>
      <c r="CM46" s="2629"/>
      <c r="CN46" s="1100" t="str">
        <f t="shared" ca="1" si="5"/>
        <v/>
      </c>
      <c r="CO46" s="1122" t="str">
        <f ca="1">IFERROR(IF(HLOOKUP(CO$15,Data_5!$F$10:$BG$42,$A46+2,FALSE)="NO","NO",IF(HLOOKUP(CO$15,Data_5!$F$10:$BG$42,$A46+2,FALSE)="IE","IE",IF(HLOOKUP(CO$15,Data_5!$F$10:$BG$42,$A46+2,FALSE)="NE","NE",IF(HLOOKUP(CO$15,Data_5!$F$10:$BG$42,$A46+2,FALSE)="C","C",IF(HLOOKUP(CO$15,Data_5!$F$10:$BG$42,$A46+2,FALSE)="NO","NO",HLOOKUP(CO$15,Data_5!$F$10:$BG$42,$A46+2,FALSE)/Data_5!$BK41))))),"")</f>
        <v/>
      </c>
      <c r="CP46" s="1122" t="str">
        <f ca="1">IFERROR(IF(HLOOKUP(CP$15,Data_5!$F$10:$BG$42,$A46+2,FALSE)="NO","NO",IF(HLOOKUP(CP$15,Data_5!$F$10:$BG$42,$A46+2,FALSE)="IE","IE",IF(HLOOKUP(CP$15,Data_5!$F$10:$BG$42,$A46+2,FALSE)="NE","NE",IF(HLOOKUP(CP$15,Data_5!$F$10:$BG$42,$A46+2,FALSE)="C","C",IF(HLOOKUP(CP$15,Data_5!$F$10:$BG$42,$A46+2,FALSE)="NO","NO",HLOOKUP(CP$15,Data_5!$F$10:$BG$42,$A46+2,FALSE)/Data_5!$BK41))))),"")</f>
        <v/>
      </c>
      <c r="CQ46" s="1122" t="str">
        <f ca="1">IFERROR(IF(HLOOKUP(CQ$15,Data_5!$F$10:$BG$42,$A46+2,FALSE)="NO","NO",IF(HLOOKUP(CQ$15,Data_5!$F$10:$BG$42,$A46+2,FALSE)="IE","IE",IF(HLOOKUP(CQ$15,Data_5!$F$10:$BG$42,$A46+2,FALSE)="NE","NE",IF(HLOOKUP(CQ$15,Data_5!$F$10:$BG$42,$A46+2,FALSE)="C","C",IF(HLOOKUP(CQ$15,Data_5!$F$10:$BG$42,$A46+2,FALSE)="NO","NO",HLOOKUP(CQ$15,Data_5!$F$10:$BG$42,$A46+2,FALSE)/Data_5!$BK41))))),"")</f>
        <v/>
      </c>
      <c r="CR46" s="1122" t="str">
        <f ca="1">IFERROR(IF(HLOOKUP(CR$15,Data_5!$F$10:$BG$42,$A46+2,FALSE)="NO","NO",IF(HLOOKUP(CR$15,Data_5!$F$10:$BG$42,$A46+2,FALSE)="IE","IE",IF(HLOOKUP(CR$15,Data_5!$F$10:$BG$42,$A46+2,FALSE)="NE","NE",IF(HLOOKUP(CR$15,Data_5!$F$10:$BG$42,$A46+2,FALSE)="C","C",IF(HLOOKUP(CR$15,Data_5!$F$10:$BG$42,$A46+2,FALSE)="NO","NO",HLOOKUP(CR$15,Data_5!$F$10:$BG$42,$A46+2,FALSE)/Data_5!$BK41))))),"")</f>
        <v/>
      </c>
      <c r="CS46" s="1122" t="str">
        <f ca="1">IFERROR(IF(HLOOKUP(CS$15,Data_5!$F$10:$BG$42,$A46+2,FALSE)="NO","NO",IF(HLOOKUP(CS$15,Data_5!$F$10:$BG$42,$A46+2,FALSE)="IE","IE",IF(HLOOKUP(CS$15,Data_5!$F$10:$BG$42,$A46+2,FALSE)="NE","NE",IF(HLOOKUP(CS$15,Data_5!$F$10:$BG$42,$A46+2,FALSE)="C","C",IF(HLOOKUP(CS$15,Data_5!$F$10:$BG$42,$A46+2,FALSE)="NO","NO",HLOOKUP(CS$15,Data_5!$F$10:$BG$42,$A46+2,FALSE)/Data_5!$BK41))))),"")</f>
        <v/>
      </c>
      <c r="CT46" s="1122" t="str">
        <f ca="1">IFERROR(IF(HLOOKUP(CT$15,Data_5!$F$10:$BG$42,$A46+2,FALSE)="NO","NO",IF(HLOOKUP(CT$15,Data_5!$F$10:$BG$42,$A46+2,FALSE)="IE","IE",IF(HLOOKUP(CT$15,Data_5!$F$10:$BG$42,$A46+2,FALSE)="NE","NE",IF(HLOOKUP(CT$15,Data_5!$F$10:$BG$42,$A46+2,FALSE)="C","C",IF(HLOOKUP(CT$15,Data_5!$F$10:$BG$42,$A46+2,FALSE)="NO","NO",HLOOKUP(CT$15,Data_5!$F$10:$BG$42,$A46+2,FALSE)/Data_5!$BK41))))),"")</f>
        <v/>
      </c>
      <c r="CU46" s="1122" t="str">
        <f ca="1">IFERROR(IF(HLOOKUP(CU$15,Data_5!$F$10:$BG$42,$A46+2,FALSE)="NO","NO",IF(HLOOKUP(CU$15,Data_5!$F$10:$BG$42,$A46+2,FALSE)="IE","IE",IF(HLOOKUP(CU$15,Data_5!$F$10:$BG$42,$A46+2,FALSE)="NE","NE",IF(HLOOKUP(CU$15,Data_5!$F$10:$BG$42,$A46+2,FALSE)="C","C",IF(HLOOKUP(CU$15,Data_5!$F$10:$BG$42,$A46+2,FALSE)="NO","NO",HLOOKUP(CU$15,Data_5!$F$10:$BG$42,$A46+2,FALSE)/Data_5!$BK41))))),"")</f>
        <v/>
      </c>
      <c r="CV46" s="1122" t="str">
        <f ca="1">IFERROR(IF(HLOOKUP(CV$15,Data_5!$F$10:$BG$42,$A46+2,FALSE)="NO","NO",IF(HLOOKUP(CV$15,Data_5!$F$10:$BG$42,$A46+2,FALSE)="IE","IE",IF(HLOOKUP(CV$15,Data_5!$F$10:$BG$42,$A46+2,FALSE)="NE","NE",IF(HLOOKUP(CV$15,Data_5!$F$10:$BG$42,$A46+2,FALSE)="C","C",IF(HLOOKUP(CV$15,Data_5!$F$10:$BG$42,$A46+2,FALSE)="NO","NO",HLOOKUP(CV$15,Data_5!$F$10:$BG$42,$A46+2,FALSE)/Data_5!$BK41))))),"")</f>
        <v/>
      </c>
      <c r="CW46" s="1122" t="str">
        <f ca="1">IFERROR(IF(HLOOKUP(CW$15,Data_5!$F$10:$BG$42,$A46+2,FALSE)="NO","NO",IF(HLOOKUP(CW$15,Data_5!$F$10:$BG$42,$A46+2,FALSE)="IE","IE",IF(HLOOKUP(CW$15,Data_5!$F$10:$BG$42,$A46+2,FALSE)="NE","NE",IF(HLOOKUP(CW$15,Data_5!$F$10:$BG$42,$A46+2,FALSE)="C","C",IF(HLOOKUP(CW$15,Data_5!$F$10:$BG$42,$A46+2,FALSE)="NO","NO",HLOOKUP(CW$15,Data_5!$F$10:$BG$42,$A46+2,FALSE)/Data_5!$BK41))))),"")</f>
        <v/>
      </c>
      <c r="CX46" s="1122" t="str">
        <f ca="1">IFERROR(IF(HLOOKUP(CX$15,Data_5!$F$10:$BG$42,$A46+2,FALSE)="NO","NO",IF(HLOOKUP(CX$15,Data_5!$F$10:$BG$42,$A46+2,FALSE)="IE","IE",IF(HLOOKUP(CX$15,Data_5!$F$10:$BG$42,$A46+2,FALSE)="NE","NE",IF(HLOOKUP(CX$15,Data_5!$F$10:$BG$42,$A46+2,FALSE)="C","C",IF(HLOOKUP(CX$15,Data_5!$F$10:$BG$42,$A46+2,FALSE)="NO","NO",HLOOKUP(CX$15,Data_5!$F$10:$BG$42,$A46+2,FALSE)/Data_5!$BK41))))),"")</f>
        <v/>
      </c>
      <c r="CY46" s="1122" t="str">
        <f ca="1">IFERROR(IF(HLOOKUP(CY$15,Data_5!$F$10:$BG$42,$A46+2,FALSE)="NO","NO",IF(HLOOKUP(CY$15,Data_5!$F$10:$BG$42,$A46+2,FALSE)="IE","IE",IF(HLOOKUP(CY$15,Data_5!$F$10:$BG$42,$A46+2,FALSE)="NE","NE",IF(HLOOKUP(CY$15,Data_5!$F$10:$BG$42,$A46+2,FALSE)="C","C",IF(HLOOKUP(CY$15,Data_5!$F$10:$BG$42,$A46+2,FALSE)="NO","NO",HLOOKUP(CY$15,Data_5!$F$10:$BG$42,$A46+2,FALSE)/Data_5!$BK41))))),"")</f>
        <v/>
      </c>
      <c r="CZ46" s="1122" t="str">
        <f ca="1">IFERROR(IF(HLOOKUP(CZ$15,Data_5!$F$10:$BG$42,$A46+2,FALSE)="NO","NO",IF(HLOOKUP(CZ$15,Data_5!$F$10:$BG$42,$A46+2,FALSE)="IE","IE",IF(HLOOKUP(CZ$15,Data_5!$F$10:$BG$42,$A46+2,FALSE)="NE","NE",IF(HLOOKUP(CZ$15,Data_5!$F$10:$BG$42,$A46+2,FALSE)="C","C",IF(HLOOKUP(CZ$15,Data_5!$F$10:$BG$42,$A46+2,FALSE)="NO","NO",HLOOKUP(CZ$15,Data_5!$F$10:$BG$42,$A46+2,FALSE)/Data_5!$BK41))))),"")</f>
        <v/>
      </c>
      <c r="DA46" s="1122" t="str">
        <f ca="1">IFERROR(IF(HLOOKUP(DA$15,Data_5!$F$10:$BG$42,$A46+2,FALSE)="NO","NO",IF(HLOOKUP(DA$15,Data_5!$F$10:$BG$42,$A46+2,FALSE)="IE","IE",IF(HLOOKUP(DA$15,Data_5!$F$10:$BG$42,$A46+2,FALSE)="NE","NE",IF(HLOOKUP(DA$15,Data_5!$F$10:$BG$42,$A46+2,FALSE)="C","C",IF(HLOOKUP(DA$15,Data_5!$F$10:$BG$42,$A46+2,FALSE)="NO","NO",HLOOKUP(DA$15,Data_5!$F$10:$BG$42,$A46+2,FALSE)/Data_5!$BK41))))),"")</f>
        <v/>
      </c>
      <c r="DB46" s="1122" t="str">
        <f ca="1">IFERROR(IF(HLOOKUP(DB$15,Data_5!$F$10:$BG$42,$A46+2,FALSE)="NO","NO",IF(HLOOKUP(DB$15,Data_5!$F$10:$BG$42,$A46+2,FALSE)="IE","IE",IF(HLOOKUP(DB$15,Data_5!$F$10:$BG$42,$A46+2,FALSE)="NE","NE",IF(HLOOKUP(DB$15,Data_5!$F$10:$BG$42,$A46+2,FALSE)="C","C",IF(HLOOKUP(DB$15,Data_5!$F$10:$BG$42,$A46+2,FALSE)="NO","NO",HLOOKUP(DB$15,Data_5!$F$10:$BG$42,$A46+2,FALSE)/Data_5!$BK41))))),"")</f>
        <v/>
      </c>
      <c r="DC46" s="1122" t="str">
        <f ca="1">IFERROR(IF(HLOOKUP(DC$15,Data_5!$F$10:$BG$42,$A46+2,FALSE)="NO","NO",IF(HLOOKUP(DC$15,Data_5!$F$10:$BG$42,$A46+2,FALSE)="IE","IE",IF(HLOOKUP(DC$15,Data_5!$F$10:$BG$42,$A46+2,FALSE)="NE","NE",IF(HLOOKUP(DC$15,Data_5!$F$10:$BG$42,$A46+2,FALSE)="C","C",IF(HLOOKUP(DC$15,Data_5!$F$10:$BG$42,$A46+2,FALSE)="NO","NO",HLOOKUP(DC$15,Data_5!$F$10:$BG$42,$A46+2,FALSE)/Data_5!$BK41))))),"")</f>
        <v/>
      </c>
      <c r="DD46" s="1122" t="str">
        <f ca="1">IFERROR(IF(HLOOKUP(DD$15,Data_5!$F$10:$BG$42,$A46+2,FALSE)="NO","NO",IF(HLOOKUP(DD$15,Data_5!$F$10:$BG$42,$A46+2,FALSE)="IE","IE",IF(HLOOKUP(DD$15,Data_5!$F$10:$BG$42,$A46+2,FALSE)="NE","NE",IF(HLOOKUP(DD$15,Data_5!$F$10:$BG$42,$A46+2,FALSE)="C","C",IF(HLOOKUP(DD$15,Data_5!$F$10:$BG$42,$A46+2,FALSE)="NO","NO",HLOOKUP(DD$15,Data_5!$F$10:$BG$42,$A46+2,FALSE)/Data_5!$BK41))))),"")</f>
        <v/>
      </c>
      <c r="DE46" s="1122" t="str">
        <f ca="1">IFERROR(IF(HLOOKUP(DE$15,Data_5!$F$10:$BG$42,$A46+2,FALSE)="NO","NO",IF(HLOOKUP(DE$15,Data_5!$F$10:$BG$42,$A46+2,FALSE)="IE","IE",IF(HLOOKUP(DE$15,Data_5!$F$10:$BG$42,$A46+2,FALSE)="NE","NE",IF(HLOOKUP(DE$15,Data_5!$F$10:$BG$42,$A46+2,FALSE)="C","C",IF(HLOOKUP(DE$15,Data_5!$F$10:$BG$42,$A46+2,FALSE)="NO","NO",HLOOKUP(DE$15,Data_5!$F$10:$BG$42,$A46+2,FALSE)/Data_5!$BK41))))),"")</f>
        <v/>
      </c>
      <c r="DF46" s="1122" t="str">
        <f ca="1">IFERROR(IF(HLOOKUP(DF$15,Data_5!$F$10:$BG$42,$A46+2,FALSE)="NO","NO",IF(HLOOKUP(DF$15,Data_5!$F$10:$BG$42,$A46+2,FALSE)="IE","IE",IF(HLOOKUP(DF$15,Data_5!$F$10:$BG$42,$A46+2,FALSE)="NE","NE",IF(HLOOKUP(DF$15,Data_5!$F$10:$BG$42,$A46+2,FALSE)="C","C",IF(HLOOKUP(DF$15,Data_5!$F$10:$BG$42,$A46+2,FALSE)="NO","NO",HLOOKUP(DF$15,Data_5!$F$10:$BG$42,$A46+2,FALSE)/Data_5!$BK41))))),"")</f>
        <v/>
      </c>
      <c r="DG46" s="1122" t="str">
        <f ca="1">IFERROR(IF(HLOOKUP(DG$15,Data_5!$F$10:$BG$42,$A46+2,FALSE)="NO","NO",IF(HLOOKUP(DG$15,Data_5!$F$10:$BG$42,$A46+2,FALSE)="IE","IE",IF(HLOOKUP(DG$15,Data_5!$F$10:$BG$42,$A46+2,FALSE)="NE","NE",IF(HLOOKUP(DG$15,Data_5!$F$10:$BG$42,$A46+2,FALSE)="C","C",IF(HLOOKUP(DG$15,Data_5!$F$10:$BG$42,$A46+2,FALSE)="NO","NO",HLOOKUP(DG$15,Data_5!$F$10:$BG$42,$A46+2,FALSE)/Data_5!$BK41))))),"")</f>
        <v/>
      </c>
      <c r="DH46" s="1122" t="str">
        <f ca="1">IFERROR(IF(HLOOKUP(DH$15,Data_5!$F$10:$BG$42,$A46+2,FALSE)="NO","NO",IF(HLOOKUP(DH$15,Data_5!$F$10:$BG$42,$A46+2,FALSE)="IE","IE",IF(HLOOKUP(DH$15,Data_5!$F$10:$BG$42,$A46+2,FALSE)="NE","NE",IF(HLOOKUP(DH$15,Data_5!$F$10:$BG$42,$A46+2,FALSE)="C","C",IF(HLOOKUP(DH$15,Data_5!$F$10:$BG$42,$A46+2,FALSE)="NO","NO",HLOOKUP(DH$15,Data_5!$F$10:$BG$42,$A46+2,FALSE)/Data_5!$BK41))))),"")</f>
        <v/>
      </c>
      <c r="DI46" s="1122" t="str">
        <f ca="1">IFERROR(IF(HLOOKUP(DI$15,Data_5!$F$10:$BG$42,$A46+2,FALSE)="NO","NO",IF(HLOOKUP(DI$15,Data_5!$F$10:$BG$42,$A46+2,FALSE)="IE","IE",IF(HLOOKUP(DI$15,Data_5!$F$10:$BG$42,$A46+2,FALSE)="NE","NE",IF(HLOOKUP(DI$15,Data_5!$F$10:$BG$42,$A46+2,FALSE)="C","C",IF(HLOOKUP(DI$15,Data_5!$F$10:$BG$42,$A46+2,FALSE)="NO","NO",HLOOKUP(DI$15,Data_5!$F$10:$BG$42,$A46+2,FALSE)/Data_5!$BK41))))),"")</f>
        <v/>
      </c>
      <c r="DJ46" s="1122" t="str">
        <f ca="1">IFERROR(IF(HLOOKUP(DJ$15,Data_5!$F$10:$BG$42,$A46+2,FALSE)="NO","NO",IF(HLOOKUP(DJ$15,Data_5!$F$10:$BG$42,$A46+2,FALSE)="IE","IE",IF(HLOOKUP(DJ$15,Data_5!$F$10:$BG$42,$A46+2,FALSE)="NE","NE",IF(HLOOKUP(DJ$15,Data_5!$F$10:$BG$42,$A46+2,FALSE)="C","C",IF(HLOOKUP(DJ$15,Data_5!$F$10:$BG$42,$A46+2,FALSE)="NO","NO",HLOOKUP(DJ$15,Data_5!$F$10:$BG$42,$A46+2,FALSE)/Data_5!$BK41))))),"")</f>
        <v/>
      </c>
      <c r="DK46" s="1122" t="str">
        <f ca="1">IFERROR(IF(HLOOKUP(DK$15,Data_5!$F$10:$BG$42,$A46+2,FALSE)="NO","NO",IF(HLOOKUP(DK$15,Data_5!$F$10:$BG$42,$A46+2,FALSE)="IE","IE",IF(HLOOKUP(DK$15,Data_5!$F$10:$BG$42,$A46+2,FALSE)="NE","NE",IF(HLOOKUP(DK$15,Data_5!$F$10:$BG$42,$A46+2,FALSE)="C","C",IF(HLOOKUP(DK$15,Data_5!$F$10:$BG$42,$A46+2,FALSE)="NO","NO",HLOOKUP(DK$15,Data_5!$F$10:$BG$42,$A46+2,FALSE)/Data_5!$BK41))))),"")</f>
        <v/>
      </c>
      <c r="DL46" s="1122" t="str">
        <f ca="1">IFERROR(IF(HLOOKUP(DL$15,Data_5!$F$10:$BG$42,$A46+2,FALSE)="NO","NO",IF(HLOOKUP(DL$15,Data_5!$F$10:$BG$42,$A46+2,FALSE)="IE","IE",IF(HLOOKUP(DL$15,Data_5!$F$10:$BG$42,$A46+2,FALSE)="NE","NE",IF(HLOOKUP(DL$15,Data_5!$F$10:$BG$42,$A46+2,FALSE)="C","C",IF(HLOOKUP(DL$15,Data_5!$F$10:$BG$42,$A46+2,FALSE)="NO","NO",HLOOKUP(DL$15,Data_5!$F$10:$BG$42,$A46+2,FALSE)/Data_5!$BK41))))),"")</f>
        <v/>
      </c>
      <c r="DM46" s="1122" t="str">
        <f ca="1">IFERROR(IF(HLOOKUP(DM$15,Data_5!$F$10:$BG$42,$A46+2,FALSE)="NO","NO",IF(HLOOKUP(DM$15,Data_5!$F$10:$BG$42,$A46+2,FALSE)="IE","IE",IF(HLOOKUP(DM$15,Data_5!$F$10:$BG$42,$A46+2,FALSE)="NE","NE",IF(HLOOKUP(DM$15,Data_5!$F$10:$BG$42,$A46+2,FALSE)="C","C",IF(HLOOKUP(DM$15,Data_5!$F$10:$BG$42,$A46+2,FALSE)="NO","NO",HLOOKUP(DM$15,Data_5!$F$10:$BG$42,$A46+2,FALSE)/Data_5!$BK41))))),"")</f>
        <v/>
      </c>
      <c r="DN46" s="1122" t="str">
        <f ca="1">IFERROR(IF(HLOOKUP(DN$15,Data_5!$F$10:$BG$42,$A46+2,FALSE)="NO","NO",IF(HLOOKUP(DN$15,Data_5!$F$10:$BG$42,$A46+2,FALSE)="IE","IE",IF(HLOOKUP(DN$15,Data_5!$F$10:$BG$42,$A46+2,FALSE)="NE","NE",IF(HLOOKUP(DN$15,Data_5!$F$10:$BG$42,$A46+2,FALSE)="C","C",IF(HLOOKUP(DN$15,Data_5!$F$10:$BG$42,$A46+2,FALSE)="NO","NO",HLOOKUP(DN$15,Data_5!$F$10:$BG$42,$A46+2,FALSE)/Data_5!$BK41))))),"")</f>
        <v/>
      </c>
      <c r="DO46" s="1122" t="str">
        <f ca="1">IFERROR(IF(HLOOKUP(DO$15,Data_5!$F$10:$BG$42,$A46+2,FALSE)="NO","NO",IF(HLOOKUP(DO$15,Data_5!$F$10:$BG$42,$A46+2,FALSE)="IE","IE",IF(HLOOKUP(DO$15,Data_5!$F$10:$BG$42,$A46+2,FALSE)="NE","NE",IF(HLOOKUP(DO$15,Data_5!$F$10:$BG$42,$A46+2,FALSE)="C","C",IF(HLOOKUP(DO$15,Data_5!$F$10:$BG$42,$A46+2,FALSE)="NO","NO",HLOOKUP(DO$15,Data_5!$F$10:$BG$42,$A46+2,FALSE)/Data_5!$BK41))))),"")</f>
        <v/>
      </c>
    </row>
    <row r="47" spans="1:119" ht="15" customHeight="1">
      <c r="A47" s="1789">
        <v>31</v>
      </c>
      <c r="B47" s="2628" t="str">
        <f ca="1">IF(Data_5!B42&lt;&gt;"",Data_5!B42,"")</f>
        <v/>
      </c>
      <c r="C47" s="2629"/>
      <c r="D47" s="1462">
        <f ca="1">IFERROR(VLOOKUP($B47,Data_5!$B$12:$C$42,2,FALSE),"")</f>
        <v>0</v>
      </c>
      <c r="E47" s="1122" t="str">
        <f ca="1">IFERROR(IF(HLOOKUP(E$15,Data_5!$F$10:$BG$42,$A47+2,FALSE)="NO","NO",IF(HLOOKUP(E$15,Data_5!$F$10:$BG$42,$A47+2,FALSE)="IE","IE",IF(HLOOKUP(E$15,Data_5!$F$10:$BG$42,$A47+2,FALSE)="NE","NE",IF(HLOOKUP(E$15,Data_5!$F$10:$BG$42,$A47+2,FALSE)="C","C",IF(HLOOKUP(E$15,Data_5!$F$10:$BG$42,$A47+2,FALSE)="NO","NO",HLOOKUP(E$15,Data_5!$F$10:$BG$42,$A47+2,FALSE)/Data_5!$BH42))))),"")</f>
        <v/>
      </c>
      <c r="F47" s="1122" t="str">
        <f ca="1">IFERROR(IF(HLOOKUP(F$15,Data_5!$F$10:$BG$42,$A47+2,FALSE)="NO","NO",IF(HLOOKUP(F$15,Data_5!$F$10:$BG$42,$A47+2,FALSE)="IE","IE",IF(HLOOKUP(F$15,Data_5!$F$10:$BG$42,$A47+2,FALSE)="NE","NE",IF(HLOOKUP(F$15,Data_5!$F$10:$BG$42,$A47+2,FALSE)="C","C",IF(HLOOKUP(F$15,Data_5!$F$10:$BG$42,$A47+2,FALSE)="NO","NO",HLOOKUP(F$15,Data_5!$F$10:$BG$42,$A47+2,FALSE)/Data_5!$BH42))))),"")</f>
        <v/>
      </c>
      <c r="G47" s="1122" t="str">
        <f ca="1">IFERROR(IF(HLOOKUP(G$15,Data_5!$F$10:$BG$42,$A47+2,FALSE)="NO","NO",IF(HLOOKUP(G$15,Data_5!$F$10:$BG$42,$A47+2,FALSE)="IE","IE",IF(HLOOKUP(G$15,Data_5!$F$10:$BG$42,$A47+2,FALSE)="NE","NE",IF(HLOOKUP(G$15,Data_5!$F$10:$BG$42,$A47+2,FALSE)="C","C",IF(HLOOKUP(G$15,Data_5!$F$10:$BG$42,$A47+2,FALSE)="NO","NO",HLOOKUP(G$15,Data_5!$F$10:$BG$42,$A47+2,FALSE)/Data_5!$BH42))))),"")</f>
        <v/>
      </c>
      <c r="H47" s="1122" t="str">
        <f ca="1">IFERROR(IF(HLOOKUP(H$15,Data_5!$F$10:$BG$42,$A47+2,FALSE)="NO","NO",IF(HLOOKUP(H$15,Data_5!$F$10:$BG$42,$A47+2,FALSE)="IE","IE",IF(HLOOKUP(H$15,Data_5!$F$10:$BG$42,$A47+2,FALSE)="NE","NE",IF(HLOOKUP(H$15,Data_5!$F$10:$BG$42,$A47+2,FALSE)="C","C",IF(HLOOKUP(H$15,Data_5!$F$10:$BG$42,$A47+2,FALSE)="NO","NO",HLOOKUP(H$15,Data_5!$F$10:$BG$42,$A47+2,FALSE)/Data_5!$BH42))))),"")</f>
        <v/>
      </c>
      <c r="I47" s="1122" t="str">
        <f ca="1">IFERROR(IF(HLOOKUP(I$15,Data_5!$F$10:$BG$42,$A47+2,FALSE)="NO","NO",IF(HLOOKUP(I$15,Data_5!$F$10:$BG$42,$A47+2,FALSE)="IE","IE",IF(HLOOKUP(I$15,Data_5!$F$10:$BG$42,$A47+2,FALSE)="NE","NE",IF(HLOOKUP(I$15,Data_5!$F$10:$BG$42,$A47+2,FALSE)="C","C",IF(HLOOKUP(I$15,Data_5!$F$10:$BG$42,$A47+2,FALSE)="NO","NO",HLOOKUP(I$15,Data_5!$F$10:$BG$42,$A47+2,FALSE)/Data_5!$BH42))))),"")</f>
        <v/>
      </c>
      <c r="J47" s="1122" t="str">
        <f ca="1">IFERROR(IF(HLOOKUP(J$15,Data_5!$F$10:$BG$42,$A47+2,FALSE)="NO","NO",IF(HLOOKUP(J$15,Data_5!$F$10:$BG$42,$A47+2,FALSE)="IE","IE",IF(HLOOKUP(J$15,Data_5!$F$10:$BG$42,$A47+2,FALSE)="NE","NE",IF(HLOOKUP(J$15,Data_5!$F$10:$BG$42,$A47+2,FALSE)="C","C",IF(HLOOKUP(J$15,Data_5!$F$10:$BG$42,$A47+2,FALSE)="NO","NO",HLOOKUP(J$15,Data_5!$F$10:$BG$42,$A47+2,FALSE)/Data_5!$BH42))))),"")</f>
        <v/>
      </c>
      <c r="K47" s="1122" t="str">
        <f ca="1">IFERROR(IF(HLOOKUP(K$15,Data_5!$F$10:$BG$42,$A47+2,FALSE)="NO","NO",IF(HLOOKUP(K$15,Data_5!$F$10:$BG$42,$A47+2,FALSE)="IE","IE",IF(HLOOKUP(K$15,Data_5!$F$10:$BG$42,$A47+2,FALSE)="NE","NE",IF(HLOOKUP(K$15,Data_5!$F$10:$BG$42,$A47+2,FALSE)="C","C",IF(HLOOKUP(K$15,Data_5!$F$10:$BG$42,$A47+2,FALSE)="NO","NO",HLOOKUP(K$15,Data_5!$F$10:$BG$42,$A47+2,FALSE)/Data_5!$BH42))))),"")</f>
        <v/>
      </c>
      <c r="L47" s="1122" t="str">
        <f ca="1">IFERROR(IF(HLOOKUP(L$15,Data_5!$F$10:$BG$42,$A47+2,FALSE)="NO","NO",IF(HLOOKUP(L$15,Data_5!$F$10:$BG$42,$A47+2,FALSE)="IE","IE",IF(HLOOKUP(L$15,Data_5!$F$10:$BG$42,$A47+2,FALSE)="NE","NE",IF(HLOOKUP(L$15,Data_5!$F$10:$BG$42,$A47+2,FALSE)="C","C",IF(HLOOKUP(L$15,Data_5!$F$10:$BG$42,$A47+2,FALSE)="NO","NO",HLOOKUP(L$15,Data_5!$F$10:$BG$42,$A47+2,FALSE)/Data_5!$BH42))))),"")</f>
        <v/>
      </c>
      <c r="M47" s="1122" t="str">
        <f ca="1">IFERROR(IF(HLOOKUP(M$15,Data_5!$F$10:$BG$42,$A47+2,FALSE)="NO","NO",IF(HLOOKUP(M$15,Data_5!$F$10:$BG$42,$A47+2,FALSE)="IE","IE",IF(HLOOKUP(M$15,Data_5!$F$10:$BG$42,$A47+2,FALSE)="NE","NE",IF(HLOOKUP(M$15,Data_5!$F$10:$BG$42,$A47+2,FALSE)="C","C",IF(HLOOKUP(M$15,Data_5!$F$10:$BG$42,$A47+2,FALSE)="NO","NO",HLOOKUP(M$15,Data_5!$F$10:$BG$42,$A47+2,FALSE)/Data_5!$BH42))))),"")</f>
        <v/>
      </c>
      <c r="N47" s="1122" t="str">
        <f ca="1">IFERROR(IF(HLOOKUP(N$15,Data_5!$F$10:$BG$42,$A47+2,FALSE)="NO","NO",IF(HLOOKUP(N$15,Data_5!$F$10:$BG$42,$A47+2,FALSE)="IE","IE",IF(HLOOKUP(N$15,Data_5!$F$10:$BG$42,$A47+2,FALSE)="NE","NE",IF(HLOOKUP(N$15,Data_5!$F$10:$BG$42,$A47+2,FALSE)="C","C",IF(HLOOKUP(N$15,Data_5!$F$10:$BG$42,$A47+2,FALSE)="NO","NO",HLOOKUP(N$15,Data_5!$F$10:$BG$42,$A47+2,FALSE)/Data_5!$BH42))))),"")</f>
        <v/>
      </c>
      <c r="O47" s="1122" t="str">
        <f ca="1">IFERROR(IF(HLOOKUP(O$15,Data_5!$F$10:$BG$42,$A47+2,FALSE)="NO","NO",IF(HLOOKUP(O$15,Data_5!$F$10:$BG$42,$A47+2,FALSE)="IE","IE",IF(HLOOKUP(O$15,Data_5!$F$10:$BG$42,$A47+2,FALSE)="NE","NE",IF(HLOOKUP(O$15,Data_5!$F$10:$BG$42,$A47+2,FALSE)="C","C",IF(HLOOKUP(O$15,Data_5!$F$10:$BG$42,$A47+2,FALSE)="NO","NO",HLOOKUP(O$15,Data_5!$F$10:$BG$42,$A47+2,FALSE)/Data_5!$BH42))))),"")</f>
        <v/>
      </c>
      <c r="P47" s="1122" t="str">
        <f ca="1">IFERROR(IF(HLOOKUP(P$15,Data_5!$F$10:$BG$42,$A47+2,FALSE)="NO","NO",IF(HLOOKUP(P$15,Data_5!$F$10:$BG$42,$A47+2,FALSE)="IE","IE",IF(HLOOKUP(P$15,Data_5!$F$10:$BG$42,$A47+2,FALSE)="NE","NE",IF(HLOOKUP(P$15,Data_5!$F$10:$BG$42,$A47+2,FALSE)="C","C",IF(HLOOKUP(P$15,Data_5!$F$10:$BG$42,$A47+2,FALSE)="NO","NO",HLOOKUP(P$15,Data_5!$F$10:$BG$42,$A47+2,FALSE)/Data_5!$BH42))))),"")</f>
        <v/>
      </c>
      <c r="Q47" s="1122" t="str">
        <f ca="1">IFERROR(IF(HLOOKUP(Q$15,Data_5!$F$10:$BG$42,$A47+2,FALSE)="NO","NO",IF(HLOOKUP(Q$15,Data_5!$F$10:$BG$42,$A47+2,FALSE)="IE","IE",IF(HLOOKUP(Q$15,Data_5!$F$10:$BG$42,$A47+2,FALSE)="NE","NE",IF(HLOOKUP(Q$15,Data_5!$F$10:$BG$42,$A47+2,FALSE)="C","C",IF(HLOOKUP(Q$15,Data_5!$F$10:$BG$42,$A47+2,FALSE)="NO","NO",HLOOKUP(Q$15,Data_5!$F$10:$BG$42,$A47+2,FALSE)/Data_5!$BH42))))),"")</f>
        <v/>
      </c>
      <c r="R47" s="1122" t="str">
        <f ca="1">IFERROR(IF(HLOOKUP(R$15,Data_5!$F$10:$BG$42,$A47+2,FALSE)="NO","NO",IF(HLOOKUP(R$15,Data_5!$F$10:$BG$42,$A47+2,FALSE)="IE","IE",IF(HLOOKUP(R$15,Data_5!$F$10:$BG$42,$A47+2,FALSE)="NE","NE",IF(HLOOKUP(R$15,Data_5!$F$10:$BG$42,$A47+2,FALSE)="C","C",IF(HLOOKUP(R$15,Data_5!$F$10:$BG$42,$A47+2,FALSE)="NO","NO",HLOOKUP(R$15,Data_5!$F$10:$BG$42,$A47+2,FALSE)/Data_5!$BH42))))),"")</f>
        <v/>
      </c>
      <c r="S47" s="1122" t="str">
        <f ca="1">IFERROR(IF(HLOOKUP(S$15,Data_5!$F$10:$BG$42,$A47+2,FALSE)="NO","NO",IF(HLOOKUP(S$15,Data_5!$F$10:$BG$42,$A47+2,FALSE)="IE","IE",IF(HLOOKUP(S$15,Data_5!$F$10:$BG$42,$A47+2,FALSE)="NE","NE",IF(HLOOKUP(S$15,Data_5!$F$10:$BG$42,$A47+2,FALSE)="C","C",IF(HLOOKUP(S$15,Data_5!$F$10:$BG$42,$A47+2,FALSE)="NO","NO",HLOOKUP(S$15,Data_5!$F$10:$BG$42,$A47+2,FALSE)/Data_5!$BH42))))),"")</f>
        <v/>
      </c>
      <c r="T47" s="1122" t="str">
        <f ca="1">IFERROR(IF(HLOOKUP(T$15,Data_5!$F$10:$BG$42,$A47+2,FALSE)="NO","NO",IF(HLOOKUP(T$15,Data_5!$F$10:$BG$42,$A47+2,FALSE)="IE","IE",IF(HLOOKUP(T$15,Data_5!$F$10:$BG$42,$A47+2,FALSE)="NE","NE",IF(HLOOKUP(T$15,Data_5!$F$10:$BG$42,$A47+2,FALSE)="C","C",IF(HLOOKUP(T$15,Data_5!$F$10:$BG$42,$A47+2,FALSE)="NO","NO",HLOOKUP(T$15,Data_5!$F$10:$BG$42,$A47+2,FALSE)/Data_5!$BH42))))),"")</f>
        <v/>
      </c>
      <c r="U47" s="1122" t="str">
        <f ca="1">IFERROR(IF(HLOOKUP(U$15,Data_5!$F$10:$BG$42,$A47+2,FALSE)="NO","NO",IF(HLOOKUP(U$15,Data_5!$F$10:$BG$42,$A47+2,FALSE)="IE","IE",IF(HLOOKUP(U$15,Data_5!$F$10:$BG$42,$A47+2,FALSE)="NE","NE",IF(HLOOKUP(U$15,Data_5!$F$10:$BG$42,$A47+2,FALSE)="C","C",IF(HLOOKUP(U$15,Data_5!$F$10:$BG$42,$A47+2,FALSE)="NO","NO",HLOOKUP(U$15,Data_5!$F$10:$BG$42,$A47+2,FALSE)/Data_5!$BH42))))),"")</f>
        <v/>
      </c>
      <c r="V47" s="1122" t="str">
        <f ca="1">IFERROR(IF(HLOOKUP(V$15,Data_5!$F$10:$BG$42,$A47+2,FALSE)="NO","NO",IF(HLOOKUP(V$15,Data_5!$F$10:$BG$42,$A47+2,FALSE)="IE","IE",IF(HLOOKUP(V$15,Data_5!$F$10:$BG$42,$A47+2,FALSE)="NE","NE",IF(HLOOKUP(V$15,Data_5!$F$10:$BG$42,$A47+2,FALSE)="C","C",IF(HLOOKUP(V$15,Data_5!$F$10:$BG$42,$A47+2,FALSE)="NO","NO",HLOOKUP(V$15,Data_5!$F$10:$BG$42,$A47+2,FALSE)/Data_5!$BH42))))),"")</f>
        <v/>
      </c>
      <c r="W47" s="1122" t="str">
        <f ca="1">IFERROR(IF(HLOOKUP(W$15,Data_5!$F$10:$BG$42,$A47+2,FALSE)="NO","NO",IF(HLOOKUP(W$15,Data_5!$F$10:$BG$42,$A47+2,FALSE)="IE","IE",IF(HLOOKUP(W$15,Data_5!$F$10:$BG$42,$A47+2,FALSE)="NE","NE",IF(HLOOKUP(W$15,Data_5!$F$10:$BG$42,$A47+2,FALSE)="C","C",IF(HLOOKUP(W$15,Data_5!$F$10:$BG$42,$A47+2,FALSE)="NO","NO",HLOOKUP(W$15,Data_5!$F$10:$BG$42,$A47+2,FALSE)/Data_5!$BH42))))),"")</f>
        <v/>
      </c>
      <c r="X47" s="1122" t="str">
        <f ca="1">IFERROR(IF(HLOOKUP(X$15,Data_5!$F$10:$BG$42,$A47+2,FALSE)="NO","NO",IF(HLOOKUP(X$15,Data_5!$F$10:$BG$42,$A47+2,FALSE)="IE","IE",IF(HLOOKUP(X$15,Data_5!$F$10:$BG$42,$A47+2,FALSE)="NE","NE",IF(HLOOKUP(X$15,Data_5!$F$10:$BG$42,$A47+2,FALSE)="C","C",IF(HLOOKUP(X$15,Data_5!$F$10:$BG$42,$A47+2,FALSE)="NO","NO",HLOOKUP(X$15,Data_5!$F$10:$BG$42,$A47+2,FALSE)/Data_5!$BH42))))),"")</f>
        <v/>
      </c>
      <c r="Y47" s="1122" t="str">
        <f ca="1">IFERROR(IF(HLOOKUP(Y$15,Data_5!$F$10:$BG$42,$A47+2,FALSE)="NO","NO",IF(HLOOKUP(Y$15,Data_5!$F$10:$BG$42,$A47+2,FALSE)="IE","IE",IF(HLOOKUP(Y$15,Data_5!$F$10:$BG$42,$A47+2,FALSE)="NE","NE",IF(HLOOKUP(Y$15,Data_5!$F$10:$BG$42,$A47+2,FALSE)="C","C",IF(HLOOKUP(Y$15,Data_5!$F$10:$BG$42,$A47+2,FALSE)="NO","NO",HLOOKUP(Y$15,Data_5!$F$10:$BG$42,$A47+2,FALSE)/Data_5!$BH42))))),"")</f>
        <v/>
      </c>
      <c r="Z47" s="1122" t="str">
        <f ca="1">IFERROR(IF(HLOOKUP(Z$15,Data_5!$F$10:$BG$42,$A47+2,FALSE)="NO","NO",IF(HLOOKUP(Z$15,Data_5!$F$10:$BG$42,$A47+2,FALSE)="IE","IE",IF(HLOOKUP(Z$15,Data_5!$F$10:$BG$42,$A47+2,FALSE)="NE","NE",IF(HLOOKUP(Z$15,Data_5!$F$10:$BG$42,$A47+2,FALSE)="C","C",IF(HLOOKUP(Z$15,Data_5!$F$10:$BG$42,$A47+2,FALSE)="NO","NO",HLOOKUP(Z$15,Data_5!$F$10:$BG$42,$A47+2,FALSE)/Data_5!$BH42))))),"")</f>
        <v/>
      </c>
      <c r="AA47" s="1122" t="str">
        <f ca="1">IFERROR(IF(HLOOKUP(AA$15,Data_5!$F$10:$BG$42,$A47+2,FALSE)="NO","NO",IF(HLOOKUP(AA$15,Data_5!$F$10:$BG$42,$A47+2,FALSE)="IE","IE",IF(HLOOKUP(AA$15,Data_5!$F$10:$BG$42,$A47+2,FALSE)="NE","NE",IF(HLOOKUP(AA$15,Data_5!$F$10:$BG$42,$A47+2,FALSE)="C","C",IF(HLOOKUP(AA$15,Data_5!$F$10:$BG$42,$A47+2,FALSE)="NO","NO",HLOOKUP(AA$15,Data_5!$F$10:$BG$42,$A47+2,FALSE)/Data_5!$BH42))))),"")</f>
        <v/>
      </c>
      <c r="AB47" s="1122" t="str">
        <f ca="1">IFERROR(IF(HLOOKUP(AB$15,Data_5!$F$10:$BG$42,$A47+2,FALSE)="NO","NO",IF(HLOOKUP(AB$15,Data_5!$F$10:$BG$42,$A47+2,FALSE)="IE","IE",IF(HLOOKUP(AB$15,Data_5!$F$10:$BG$42,$A47+2,FALSE)="NE","NE",IF(HLOOKUP(AB$15,Data_5!$F$10:$BG$42,$A47+2,FALSE)="C","C",IF(HLOOKUP(AB$15,Data_5!$F$10:$BG$42,$A47+2,FALSE)="NO","NO",HLOOKUP(AB$15,Data_5!$F$10:$BG$42,$A47+2,FALSE)/Data_5!$BH42))))),"")</f>
        <v/>
      </c>
      <c r="AC47" s="1122" t="str">
        <f ca="1">IFERROR(IF(HLOOKUP(AC$15,Data_5!$F$10:$BG$42,$A47+2,FALSE)="NO","NO",IF(HLOOKUP(AC$15,Data_5!$F$10:$BG$42,$A47+2,FALSE)="IE","IE",IF(HLOOKUP(AC$15,Data_5!$F$10:$BG$42,$A47+2,FALSE)="NE","NE",IF(HLOOKUP(AC$15,Data_5!$F$10:$BG$42,$A47+2,FALSE)="C","C",IF(HLOOKUP(AC$15,Data_5!$F$10:$BG$42,$A47+2,FALSE)="NO","NO",HLOOKUP(AC$15,Data_5!$F$10:$BG$42,$A47+2,FALSE)/Data_5!$BH42))))),"")</f>
        <v/>
      </c>
      <c r="AD47" s="1122" t="str">
        <f ca="1">IFERROR(IF(HLOOKUP(AD$15,Data_5!$F$10:$BG$42,$A47+2,FALSE)="NO","NO",IF(HLOOKUP(AD$15,Data_5!$F$10:$BG$42,$A47+2,FALSE)="IE","IE",IF(HLOOKUP(AD$15,Data_5!$F$10:$BG$42,$A47+2,FALSE)="NE","NE",IF(HLOOKUP(AD$15,Data_5!$F$10:$BG$42,$A47+2,FALSE)="C","C",IF(HLOOKUP(AD$15,Data_5!$F$10:$BG$42,$A47+2,FALSE)="NO","NO",HLOOKUP(AD$15,Data_5!$F$10:$BG$42,$A47+2,FALSE)/Data_5!$BH42))))),"")</f>
        <v/>
      </c>
      <c r="AE47" s="1122" t="str">
        <f ca="1">IFERROR(IF(HLOOKUP(AE$15,Data_5!$F$10:$BG$42,$A47+2,FALSE)="NO","NO",IF(HLOOKUP(AE$15,Data_5!$F$10:$BG$42,$A47+2,FALSE)="IE","IE",IF(HLOOKUP(AE$15,Data_5!$F$10:$BG$42,$A47+2,FALSE)="NE","NE",IF(HLOOKUP(AE$15,Data_5!$F$10:$BG$42,$A47+2,FALSE)="C","C",IF(HLOOKUP(AE$15,Data_5!$F$10:$BG$42,$A47+2,FALSE)="NO","NO",HLOOKUP(AE$15,Data_5!$F$10:$BG$42,$A47+2,FALSE)/Data_5!$BH42))))),"")</f>
        <v/>
      </c>
      <c r="AF47" s="1122" t="str">
        <f ca="1">IFERROR(IF(HLOOKUP(AF$15,Data_5!$F$10:$BG$42,$A47+2,FALSE)="NO","NO",IF(HLOOKUP(AF$15,Data_5!$F$10:$BG$42,$A47+2,FALSE)="IE","IE",IF(HLOOKUP(AF$15,Data_5!$F$10:$BG$42,$A47+2,FALSE)="NE","NE",IF(HLOOKUP(AF$15,Data_5!$F$10:$BG$42,$A47+2,FALSE)="C","C",IF(HLOOKUP(AF$15,Data_5!$F$10:$BG$42,$A47+2,FALSE)="NO","NO",HLOOKUP(AF$15,Data_5!$F$10:$BG$42,$A47+2,FALSE)/Data_5!$BH42))))),"")</f>
        <v/>
      </c>
      <c r="AG47" s="1122" t="str">
        <f ca="1">IFERROR(IF(HLOOKUP(AG$15,Data_5!$F$10:$BG$42,$A47+2,FALSE)="NO","NO",IF(HLOOKUP(AG$15,Data_5!$F$10:$BG$42,$A47+2,FALSE)="IE","IE",IF(HLOOKUP(AG$15,Data_5!$F$10:$BG$42,$A47+2,FALSE)="NE","NE",IF(HLOOKUP(AG$15,Data_5!$F$10:$BG$42,$A47+2,FALSE)="C","C",IF(HLOOKUP(AG$15,Data_5!$F$10:$BG$42,$A47+2,FALSE)="NO","NO",HLOOKUP(AG$15,Data_5!$F$10:$BG$42,$A47+2,FALSE)/Data_5!$BH42))))),"")</f>
        <v/>
      </c>
      <c r="AH47" s="1122" t="str">
        <f ca="1">IFERROR(IF(HLOOKUP(AH$15,Data_5!$F$10:$BG$42,$A47+2,FALSE)="NO","NO",IF(HLOOKUP(AH$15,Data_5!$F$10:$BG$42,$A47+2,FALSE)="IE","IE",IF(HLOOKUP(AH$15,Data_5!$F$10:$BG$42,$A47+2,FALSE)="NE","NE",IF(HLOOKUP(AH$15,Data_5!$F$10:$BG$42,$A47+2,FALSE)="C","C",IF(HLOOKUP(AH$15,Data_5!$F$10:$BG$42,$A47+2,FALSE)="NO","NO",HLOOKUP(AH$15,Data_5!$F$10:$BG$42,$A47+2,FALSE)/Data_5!$BH42))))),"")</f>
        <v/>
      </c>
      <c r="AI47" s="1122" t="str">
        <f ca="1">IFERROR(IF(HLOOKUP(AI$15,Data_5!$F$10:$BG$42,$A47+2,FALSE)="NO","NO",IF(HLOOKUP(AI$15,Data_5!$F$10:$BG$42,$A47+2,FALSE)="IE","IE",IF(HLOOKUP(AI$15,Data_5!$F$10:$BG$42,$A47+2,FALSE)="NE","NE",IF(HLOOKUP(AI$15,Data_5!$F$10:$BG$42,$A47+2,FALSE)="C","C",IF(HLOOKUP(AI$15,Data_5!$F$10:$BG$42,$A47+2,FALSE)="NO","NO",HLOOKUP(AI$15,Data_5!$F$10:$BG$42,$A47+2,FALSE)/Data_5!$BH42))))),"")</f>
        <v/>
      </c>
      <c r="AJ47" s="1122" t="str">
        <f ca="1">IFERROR(IF(HLOOKUP(AJ$15,Data_5!$F$10:$BG$42,$A47+2,FALSE)="NO","NO",IF(HLOOKUP(AJ$15,Data_5!$F$10:$BG$42,$A47+2,FALSE)="IE","IE",IF(HLOOKUP(AJ$15,Data_5!$F$10:$BG$42,$A47+2,FALSE)="NE","NE",IF(HLOOKUP(AJ$15,Data_5!$F$10:$BG$42,$A47+2,FALSE)="C","C",IF(HLOOKUP(AJ$15,Data_5!$F$10:$BG$42,$A47+2,FALSE)="NO","NO",HLOOKUP(AJ$15,Data_5!$F$10:$BG$42,$A47+2,FALSE)/Data_5!$BH42))))),"")</f>
        <v/>
      </c>
      <c r="AL47" s="2628" t="str">
        <f t="shared" ca="1" si="0"/>
        <v/>
      </c>
      <c r="AM47" s="2629"/>
      <c r="AN47" s="1100" t="str">
        <f t="shared" ca="1" si="1"/>
        <v/>
      </c>
      <c r="AO47" s="1122" t="str">
        <f ca="1">IFERROR(IF(HLOOKUP(AO$15,Data_5!$F$10:$BG$42,$A47+2,FALSE)="NO","NO",IF(HLOOKUP(AO$15,Data_5!$F$10:$BG$42,$A47+2,FALSE)="IE","IE",IF(HLOOKUP(AO$15,Data_5!$F$10:$BG$42,$A47+2,FALSE)="NE","NE",IF(HLOOKUP(AO$15,Data_5!$F$10:$BG$42,$A47+2,FALSE)="C","C",IF(HLOOKUP(AO$15,Data_5!$F$10:$BG$42,$A47+2,FALSE)="NO","NO",HLOOKUP(AO$15,Data_5!$F$10:$BG$42,$A47+2,FALSE)/Data_5!$BI42))))),"")</f>
        <v/>
      </c>
      <c r="AP47" s="1122" t="str">
        <f ca="1">IFERROR(IF(HLOOKUP(AP$15,Data_5!$F$10:$BG$42,$A47+2,FALSE)="NO","NO",IF(HLOOKUP(AP$15,Data_5!$F$10:$BG$42,$A47+2,FALSE)="IE","IE",IF(HLOOKUP(AP$15,Data_5!$F$10:$BG$42,$A47+2,FALSE)="NE","NE",IF(HLOOKUP(AP$15,Data_5!$F$10:$BG$42,$A47+2,FALSE)="C","C",IF(HLOOKUP(AP$15,Data_5!$F$10:$BG$42,$A47+2,FALSE)="NO","NO",HLOOKUP(AP$15,Data_5!$F$10:$BG$42,$A47+2,FALSE)/Data_5!$BI42))))),"")</f>
        <v/>
      </c>
      <c r="AQ47" s="1122" t="str">
        <f ca="1">IFERROR(IF(HLOOKUP(AQ$15,Data_5!$F$10:$BG$42,$A47+2,FALSE)="NO","NO",IF(HLOOKUP(AQ$15,Data_5!$F$10:$BG$42,$A47+2,FALSE)="IE","IE",IF(HLOOKUP(AQ$15,Data_5!$F$10:$BG$42,$A47+2,FALSE)="NE","NE",IF(HLOOKUP(AQ$15,Data_5!$F$10:$BG$42,$A47+2,FALSE)="C","C",IF(HLOOKUP(AQ$15,Data_5!$F$10:$BG$42,$A47+2,FALSE)="NO","NO",HLOOKUP(AQ$15,Data_5!$F$10:$BG$42,$A47+2,FALSE)/Data_5!$BI42))))),"")</f>
        <v/>
      </c>
      <c r="AR47" s="1122" t="str">
        <f ca="1">IFERROR(IF(HLOOKUP(AR$15,Data_5!$F$10:$BG$42,$A47+2,FALSE)="NO","NO",IF(HLOOKUP(AR$15,Data_5!$F$10:$BG$42,$A47+2,FALSE)="IE","IE",IF(HLOOKUP(AR$15,Data_5!$F$10:$BG$42,$A47+2,FALSE)="NE","NE",IF(HLOOKUP(AR$15,Data_5!$F$10:$BG$42,$A47+2,FALSE)="C","C",IF(HLOOKUP(AR$15,Data_5!$F$10:$BG$42,$A47+2,FALSE)="NO","NO",HLOOKUP(AR$15,Data_5!$F$10:$BG$42,$A47+2,FALSE)/Data_5!$BI42))))),"")</f>
        <v/>
      </c>
      <c r="AS47" s="1122" t="str">
        <f ca="1">IFERROR(IF(HLOOKUP(AS$15,Data_5!$F$10:$BG$42,$A47+2,FALSE)="NO","NO",IF(HLOOKUP(AS$15,Data_5!$F$10:$BG$42,$A47+2,FALSE)="IE","IE",IF(HLOOKUP(AS$15,Data_5!$F$10:$BG$42,$A47+2,FALSE)="NE","NE",IF(HLOOKUP(AS$15,Data_5!$F$10:$BG$42,$A47+2,FALSE)="C","C",IF(HLOOKUP(AS$15,Data_5!$F$10:$BG$42,$A47+2,FALSE)="NO","NO",HLOOKUP(AS$15,Data_5!$F$10:$BG$42,$A47+2,FALSE)/Data_5!$BI42))))),"")</f>
        <v/>
      </c>
      <c r="AT47" s="1122" t="str">
        <f ca="1">IFERROR(IF(HLOOKUP(AT$15,Data_5!$F$10:$BG$42,$A47+2,FALSE)="NO","NO",IF(HLOOKUP(AT$15,Data_5!$F$10:$BG$42,$A47+2,FALSE)="IE","IE",IF(HLOOKUP(AT$15,Data_5!$F$10:$BG$42,$A47+2,FALSE)="NE","NE",IF(HLOOKUP(AT$15,Data_5!$F$10:$BG$42,$A47+2,FALSE)="C","C",IF(HLOOKUP(AT$15,Data_5!$F$10:$BG$42,$A47+2,FALSE)="NO","NO",HLOOKUP(AT$15,Data_5!$F$10:$BG$42,$A47+2,FALSE)/Data_5!$BI42))))),"")</f>
        <v/>
      </c>
      <c r="AU47" s="1122" t="str">
        <f ca="1">IFERROR(IF(HLOOKUP(AU$15,Data_5!$F$10:$BG$42,$A47+2,FALSE)="NO","NO",IF(HLOOKUP(AU$15,Data_5!$F$10:$BG$42,$A47+2,FALSE)="IE","IE",IF(HLOOKUP(AU$15,Data_5!$F$10:$BG$42,$A47+2,FALSE)="NE","NE",IF(HLOOKUP(AU$15,Data_5!$F$10:$BG$42,$A47+2,FALSE)="C","C",IF(HLOOKUP(AU$15,Data_5!$F$10:$BG$42,$A47+2,FALSE)="NO","NO",HLOOKUP(AU$15,Data_5!$F$10:$BG$42,$A47+2,FALSE)/Data_5!$BI42))))),"")</f>
        <v/>
      </c>
      <c r="AV47" s="1122" t="str">
        <f ca="1">IFERROR(IF(HLOOKUP(AV$15,Data_5!$F$10:$BG$42,$A47+2,FALSE)="NO","NO",IF(HLOOKUP(AV$15,Data_5!$F$10:$BG$42,$A47+2,FALSE)="IE","IE",IF(HLOOKUP(AV$15,Data_5!$F$10:$BG$42,$A47+2,FALSE)="NE","NE",IF(HLOOKUP(AV$15,Data_5!$F$10:$BG$42,$A47+2,FALSE)="C","C",IF(HLOOKUP(AV$15,Data_5!$F$10:$BG$42,$A47+2,FALSE)="NO","NO",HLOOKUP(AV$15,Data_5!$F$10:$BG$42,$A47+2,FALSE)/Data_5!$BI42))))),"")</f>
        <v/>
      </c>
      <c r="AW47" s="1122" t="str">
        <f ca="1">IFERROR(IF(HLOOKUP(AW$15,Data_5!$F$10:$BG$42,$A47+2,FALSE)="NO","NO",IF(HLOOKUP(AW$15,Data_5!$F$10:$BG$42,$A47+2,FALSE)="IE","IE",IF(HLOOKUP(AW$15,Data_5!$F$10:$BG$42,$A47+2,FALSE)="NE","NE",IF(HLOOKUP(AW$15,Data_5!$F$10:$BG$42,$A47+2,FALSE)="C","C",IF(HLOOKUP(AW$15,Data_5!$F$10:$BG$42,$A47+2,FALSE)="NO","NO",HLOOKUP(AW$15,Data_5!$F$10:$BG$42,$A47+2,FALSE)/Data_5!$BI42))))),"")</f>
        <v/>
      </c>
      <c r="AX47" s="1122" t="str">
        <f ca="1">IFERROR(IF(HLOOKUP(AX$15,Data_5!$F$10:$BG$42,$A47+2,FALSE)="NO","NO",IF(HLOOKUP(AX$15,Data_5!$F$10:$BG$42,$A47+2,FALSE)="IE","IE",IF(HLOOKUP(AX$15,Data_5!$F$10:$BG$42,$A47+2,FALSE)="NE","NE",IF(HLOOKUP(AX$15,Data_5!$F$10:$BG$42,$A47+2,FALSE)="C","C",IF(HLOOKUP(AX$15,Data_5!$F$10:$BG$42,$A47+2,FALSE)="NO","NO",HLOOKUP(AX$15,Data_5!$F$10:$BG$42,$A47+2,FALSE)/Data_5!$BI42))))),"")</f>
        <v/>
      </c>
      <c r="AY47" s="1122" t="str">
        <f ca="1">IFERROR(IF(HLOOKUP(AY$15,Data_5!$F$10:$BG$42,$A47+2,FALSE)="NO","NO",IF(HLOOKUP(AY$15,Data_5!$F$10:$BG$42,$A47+2,FALSE)="IE","IE",IF(HLOOKUP(AY$15,Data_5!$F$10:$BG$42,$A47+2,FALSE)="NE","NE",IF(HLOOKUP(AY$15,Data_5!$F$10:$BG$42,$A47+2,FALSE)="C","C",IF(HLOOKUP(AY$15,Data_5!$F$10:$BG$42,$A47+2,FALSE)="NO","NO",HLOOKUP(AY$15,Data_5!$F$10:$BG$42,$A47+2,FALSE)/Data_5!$BI42))))),"")</f>
        <v/>
      </c>
      <c r="AZ47" s="1122" t="str">
        <f ca="1">IFERROR(IF(HLOOKUP(AZ$15,Data_5!$F$10:$BG$42,$A47+2,FALSE)="NO","NO",IF(HLOOKUP(AZ$15,Data_5!$F$10:$BG$42,$A47+2,FALSE)="IE","IE",IF(HLOOKUP(AZ$15,Data_5!$F$10:$BG$42,$A47+2,FALSE)="NE","NE",IF(HLOOKUP(AZ$15,Data_5!$F$10:$BG$42,$A47+2,FALSE)="C","C",IF(HLOOKUP(AZ$15,Data_5!$F$10:$BG$42,$A47+2,FALSE)="NO","NO",HLOOKUP(AZ$15,Data_5!$F$10:$BG$42,$A47+2,FALSE)/Data_5!$BI42))))),"")</f>
        <v/>
      </c>
      <c r="BA47" s="1122" t="str">
        <f ca="1">IFERROR(IF(HLOOKUP(BA$15,Data_5!$F$10:$BG$42,$A47+2,FALSE)="NO","NO",IF(HLOOKUP(BA$15,Data_5!$F$10:$BG$42,$A47+2,FALSE)="IE","IE",IF(HLOOKUP(BA$15,Data_5!$F$10:$BG$42,$A47+2,FALSE)="NE","NE",IF(HLOOKUP(BA$15,Data_5!$F$10:$BG$42,$A47+2,FALSE)="C","C",IF(HLOOKUP(BA$15,Data_5!$F$10:$BG$42,$A47+2,FALSE)="NO","NO",HLOOKUP(BA$15,Data_5!$F$10:$BG$42,$A47+2,FALSE)/Data_5!$BI42))))),"")</f>
        <v/>
      </c>
      <c r="BB47" s="1122" t="str">
        <f ca="1">IFERROR(IF(HLOOKUP(BB$15,Data_5!$F$10:$BG$42,$A47+2,FALSE)="NO","NO",IF(HLOOKUP(BB$15,Data_5!$F$10:$BG$42,$A47+2,FALSE)="IE","IE",IF(HLOOKUP(BB$15,Data_5!$F$10:$BG$42,$A47+2,FALSE)="NE","NE",IF(HLOOKUP(BB$15,Data_5!$F$10:$BG$42,$A47+2,FALSE)="C","C",IF(HLOOKUP(BB$15,Data_5!$F$10:$BG$42,$A47+2,FALSE)="NO","NO",HLOOKUP(BB$15,Data_5!$F$10:$BG$42,$A47+2,FALSE)/Data_5!$BI42))))),"")</f>
        <v/>
      </c>
      <c r="BC47" s="1122" t="str">
        <f ca="1">IFERROR(IF(HLOOKUP(BC$15,Data_5!$F$10:$BG$42,$A47+2,FALSE)="NO","NO",IF(HLOOKUP(BC$15,Data_5!$F$10:$BG$42,$A47+2,FALSE)="IE","IE",IF(HLOOKUP(BC$15,Data_5!$F$10:$BG$42,$A47+2,FALSE)="NE","NE",IF(HLOOKUP(BC$15,Data_5!$F$10:$BG$42,$A47+2,FALSE)="C","C",IF(HLOOKUP(BC$15,Data_5!$F$10:$BG$42,$A47+2,FALSE)="NO","NO",HLOOKUP(BC$15,Data_5!$F$10:$BG$42,$A47+2,FALSE)/Data_5!$BI42))))),"")</f>
        <v/>
      </c>
      <c r="BD47" s="1122" t="str">
        <f ca="1">IFERROR(IF(HLOOKUP(BD$15,Data_5!$F$10:$BG$42,$A47+2,FALSE)="NO","NO",IF(HLOOKUP(BD$15,Data_5!$F$10:$BG$42,$A47+2,FALSE)="IE","IE",IF(HLOOKUP(BD$15,Data_5!$F$10:$BG$42,$A47+2,FALSE)="NE","NE",IF(HLOOKUP(BD$15,Data_5!$F$10:$BG$42,$A47+2,FALSE)="C","C",IF(HLOOKUP(BD$15,Data_5!$F$10:$BG$42,$A47+2,FALSE)="NO","NO",HLOOKUP(BD$15,Data_5!$F$10:$BG$42,$A47+2,FALSE)/Data_5!$BI42))))),"")</f>
        <v/>
      </c>
      <c r="BE47" s="1122" t="str">
        <f ca="1">IFERROR(IF(HLOOKUP(BE$15,Data_5!$F$10:$BG$42,$A47+2,FALSE)="NO","NO",IF(HLOOKUP(BE$15,Data_5!$F$10:$BG$42,$A47+2,FALSE)="IE","IE",IF(HLOOKUP(BE$15,Data_5!$F$10:$BG$42,$A47+2,FALSE)="NE","NE",IF(HLOOKUP(BE$15,Data_5!$F$10:$BG$42,$A47+2,FALSE)="C","C",IF(HLOOKUP(BE$15,Data_5!$F$10:$BG$42,$A47+2,FALSE)="NO","NO",HLOOKUP(BE$15,Data_5!$F$10:$BG$42,$A47+2,FALSE)/Data_5!$BI42))))),"")</f>
        <v/>
      </c>
      <c r="BF47" s="1122" t="str">
        <f ca="1">IFERROR(IF(HLOOKUP(BF$15,Data_5!$F$10:$BG$42,$A47+2,FALSE)="NO","NO",IF(HLOOKUP(BF$15,Data_5!$F$10:$BG$42,$A47+2,FALSE)="IE","IE",IF(HLOOKUP(BF$15,Data_5!$F$10:$BG$42,$A47+2,FALSE)="NE","NE",IF(HLOOKUP(BF$15,Data_5!$F$10:$BG$42,$A47+2,FALSE)="C","C",IF(HLOOKUP(BF$15,Data_5!$F$10:$BG$42,$A47+2,FALSE)="NO","NO",HLOOKUP(BF$15,Data_5!$F$10:$BG$42,$A47+2,FALSE)/Data_5!$BI42))))),"")</f>
        <v/>
      </c>
      <c r="BG47" s="1122" t="str">
        <f ca="1">IFERROR(IF(HLOOKUP(BG$15,Data_5!$F$10:$BG$42,$A47+2,FALSE)="NO","NO",IF(HLOOKUP(BG$15,Data_5!$F$10:$BG$42,$A47+2,FALSE)="IE","IE",IF(HLOOKUP(BG$15,Data_5!$F$10:$BG$42,$A47+2,FALSE)="NE","NE",IF(HLOOKUP(BG$15,Data_5!$F$10:$BG$42,$A47+2,FALSE)="C","C",IF(HLOOKUP(BG$15,Data_5!$F$10:$BG$42,$A47+2,FALSE)="NO","NO",HLOOKUP(BG$15,Data_5!$F$10:$BG$42,$A47+2,FALSE)/Data_5!$BI42))))),"")</f>
        <v/>
      </c>
      <c r="BH47" s="1122" t="str">
        <f ca="1">IFERROR(IF(HLOOKUP(BH$15,Data_5!$F$10:$BG$42,$A47+2,FALSE)="NO","NO",IF(HLOOKUP(BH$15,Data_5!$F$10:$BG$42,$A47+2,FALSE)="IE","IE",IF(HLOOKUP(BH$15,Data_5!$F$10:$BG$42,$A47+2,FALSE)="NE","NE",IF(HLOOKUP(BH$15,Data_5!$F$10:$BG$42,$A47+2,FALSE)="C","C",IF(HLOOKUP(BH$15,Data_5!$F$10:$BG$42,$A47+2,FALSE)="NO","NO",HLOOKUP(BH$15,Data_5!$F$10:$BG$42,$A47+2,FALSE)/Data_5!$BI42))))),"")</f>
        <v/>
      </c>
      <c r="BI47" s="1122" t="str">
        <f ca="1">IFERROR(IF(HLOOKUP(BI$15,Data_5!$F$10:$BG$42,$A47+2,FALSE)="NO","NO",IF(HLOOKUP(BI$15,Data_5!$F$10:$BG$42,$A47+2,FALSE)="IE","IE",IF(HLOOKUP(BI$15,Data_5!$F$10:$BG$42,$A47+2,FALSE)="NE","NE",IF(HLOOKUP(BI$15,Data_5!$F$10:$BG$42,$A47+2,FALSE)="C","C",IF(HLOOKUP(BI$15,Data_5!$F$10:$BG$42,$A47+2,FALSE)="NO","NO",HLOOKUP(BI$15,Data_5!$F$10:$BG$42,$A47+2,FALSE)/Data_5!$BI42))))),"")</f>
        <v/>
      </c>
      <c r="BJ47" s="1122" t="str">
        <f ca="1">IFERROR(IF(HLOOKUP(BJ$15,Data_5!$F$10:$BG$42,$A47+2,FALSE)="NO","NO",IF(HLOOKUP(BJ$15,Data_5!$F$10:$BG$42,$A47+2,FALSE)="IE","IE",IF(HLOOKUP(BJ$15,Data_5!$F$10:$BG$42,$A47+2,FALSE)="NE","NE",IF(HLOOKUP(BJ$15,Data_5!$F$10:$BG$42,$A47+2,FALSE)="C","C",IF(HLOOKUP(BJ$15,Data_5!$F$10:$BG$42,$A47+2,FALSE)="NO","NO",HLOOKUP(BJ$15,Data_5!$F$10:$BG$42,$A47+2,FALSE)/Data_5!$BI42))))),"")</f>
        <v/>
      </c>
      <c r="BK47" s="1122" t="str">
        <f ca="1">IFERROR(IF(HLOOKUP(BK$15,Data_5!$F$10:$BG$42,$A47+2,FALSE)="NO","NO",IF(HLOOKUP(BK$15,Data_5!$F$10:$BG$42,$A47+2,FALSE)="IE","IE",IF(HLOOKUP(BK$15,Data_5!$F$10:$BG$42,$A47+2,FALSE)="NE","NE",IF(HLOOKUP(BK$15,Data_5!$F$10:$BG$42,$A47+2,FALSE)="C","C",IF(HLOOKUP(BK$15,Data_5!$F$10:$BG$42,$A47+2,FALSE)="NO","NO",HLOOKUP(BK$15,Data_5!$F$10:$BG$42,$A47+2,FALSE)/Data_5!$BI42))))),"")</f>
        <v/>
      </c>
      <c r="BL47" s="1122" t="str">
        <f ca="1">IFERROR(IF(HLOOKUP(BL$15,Data_5!$F$10:$BG$42,$A47+2,FALSE)="NO","NO",IF(HLOOKUP(BL$15,Data_5!$F$10:$BG$42,$A47+2,FALSE)="IE","IE",IF(HLOOKUP(BL$15,Data_5!$F$10:$BG$42,$A47+2,FALSE)="NE","NE",IF(HLOOKUP(BL$15,Data_5!$F$10:$BG$42,$A47+2,FALSE)="C","C",IF(HLOOKUP(BL$15,Data_5!$F$10:$BG$42,$A47+2,FALSE)="NO","NO",HLOOKUP(BL$15,Data_5!$F$10:$BG$42,$A47+2,FALSE)/Data_5!$BI42))))),"")</f>
        <v/>
      </c>
      <c r="BM47" s="1122" t="str">
        <f ca="1">IFERROR(IF(HLOOKUP(BM$15,Data_5!$F$10:$BG$42,$A47+2,FALSE)="NO","NO",IF(HLOOKUP(BM$15,Data_5!$F$10:$BG$42,$A47+2,FALSE)="IE","IE",IF(HLOOKUP(BM$15,Data_5!$F$10:$BG$42,$A47+2,FALSE)="NE","NE",IF(HLOOKUP(BM$15,Data_5!$F$10:$BG$42,$A47+2,FALSE)="C","C",IF(HLOOKUP(BM$15,Data_5!$F$10:$BG$42,$A47+2,FALSE)="NO","NO",HLOOKUP(BM$15,Data_5!$F$10:$BG$42,$A47+2,FALSE)/Data_5!$BI42))))),"")</f>
        <v/>
      </c>
      <c r="BN47" s="1122" t="str">
        <f ca="1">IFERROR(IF(HLOOKUP(BN$15,Data_5!$F$10:$BG$42,$A47+2,FALSE)="NO","NO",IF(HLOOKUP(BN$15,Data_5!$F$10:$BG$42,$A47+2,FALSE)="IE","IE",IF(HLOOKUP(BN$15,Data_5!$F$10:$BG$42,$A47+2,FALSE)="NE","NE",IF(HLOOKUP(BN$15,Data_5!$F$10:$BG$42,$A47+2,FALSE)="C","C",IF(HLOOKUP(BN$15,Data_5!$F$10:$BG$42,$A47+2,FALSE)="NO","NO",HLOOKUP(BN$15,Data_5!$F$10:$BG$42,$A47+2,FALSE)/Data_5!$BI42))))),"")</f>
        <v/>
      </c>
      <c r="BO47" s="1122" t="str">
        <f ca="1">IFERROR(IF(HLOOKUP(BO$15,Data_5!$F$10:$BG$42,$A47+2,FALSE)="NO","NO",IF(HLOOKUP(BO$15,Data_5!$F$10:$BG$42,$A47+2,FALSE)="IE","IE",IF(HLOOKUP(BO$15,Data_5!$F$10:$BG$42,$A47+2,FALSE)="NE","NE",IF(HLOOKUP(BO$15,Data_5!$F$10:$BG$42,$A47+2,FALSE)="C","C",IF(HLOOKUP(BO$15,Data_5!$F$10:$BG$42,$A47+2,FALSE)="NO","NO",HLOOKUP(BO$15,Data_5!$F$10:$BG$42,$A47+2,FALSE)/Data_5!$BI42))))),"")</f>
        <v/>
      </c>
      <c r="BP47" s="1122" t="str">
        <f ca="1">IFERROR(IF(HLOOKUP(BP$15,Data_5!$F$10:$BG$42,$A47+2,FALSE)="NO","NO",IF(HLOOKUP(BP$15,Data_5!$F$10:$BG$42,$A47+2,FALSE)="IE","IE",IF(HLOOKUP(BP$15,Data_5!$F$10:$BG$42,$A47+2,FALSE)="NE","NE",IF(HLOOKUP(BP$15,Data_5!$F$10:$BG$42,$A47+2,FALSE)="C","C",IF(HLOOKUP(BP$15,Data_5!$F$10:$BG$42,$A47+2,FALSE)="NO","NO",HLOOKUP(BP$15,Data_5!$F$10:$BG$42,$A47+2,FALSE)/Data_5!$BI42))))),"")</f>
        <v/>
      </c>
      <c r="BQ47" s="1122" t="str">
        <f ca="1">IFERROR(IF(HLOOKUP(BQ$15,Data_5!$F$10:$BG$42,$A47+2,FALSE)="NO","NO",IF(HLOOKUP(BQ$15,Data_5!$F$10:$BG$42,$A47+2,FALSE)="IE","IE",IF(HLOOKUP(BQ$15,Data_5!$F$10:$BG$42,$A47+2,FALSE)="NE","NE",IF(HLOOKUP(BQ$15,Data_5!$F$10:$BG$42,$A47+2,FALSE)="C","C",IF(HLOOKUP(BQ$15,Data_5!$F$10:$BG$42,$A47+2,FALSE)="NO","NO",HLOOKUP(BQ$15,Data_5!$F$10:$BG$42,$A47+2,FALSE)/Data_5!$BI42))))),"")</f>
        <v/>
      </c>
      <c r="BR47" s="1122" t="str">
        <f ca="1">IFERROR(IF(HLOOKUP(BR$15,Data_5!$F$10:$BG$42,$A47+2,FALSE)="NO","NO",IF(HLOOKUP(BR$15,Data_5!$F$10:$BG$42,$A47+2,FALSE)="IE","IE",IF(HLOOKUP(BR$15,Data_5!$F$10:$BG$42,$A47+2,FALSE)="NE","NE",IF(HLOOKUP(BR$15,Data_5!$F$10:$BG$42,$A47+2,FALSE)="C","C",IF(HLOOKUP(BR$15,Data_5!$F$10:$BG$42,$A47+2,FALSE)="NO","NO",HLOOKUP(BR$15,Data_5!$F$10:$BG$42,$A47+2,FALSE)/Data_5!$BI42))))),"")</f>
        <v/>
      </c>
      <c r="BS47" s="1122" t="str">
        <f ca="1">IFERROR(IF(HLOOKUP(BS$15,Data_5!$F$10:$BG$42,$A47+2,FALSE)="NO","NO",IF(HLOOKUP(BS$15,Data_5!$F$10:$BG$42,$A47+2,FALSE)="IE","IE",IF(HLOOKUP(BS$15,Data_5!$F$10:$BG$42,$A47+2,FALSE)="NE","NE",IF(HLOOKUP(BS$15,Data_5!$F$10:$BG$42,$A47+2,FALSE)="C","C",IF(HLOOKUP(BS$15,Data_5!$F$10:$BG$42,$A47+2,FALSE)="NO","NO",HLOOKUP(BS$15,Data_5!$F$10:$BG$42,$A47+2,FALSE)/Data_5!$BI42))))),"")</f>
        <v/>
      </c>
      <c r="BT47" s="1122" t="str">
        <f ca="1">IFERROR(IF(HLOOKUP(BT$15,Data_5!$F$10:$BG$42,$A47+2,FALSE)="NO","NO",IF(HLOOKUP(BT$15,Data_5!$F$10:$BG$42,$A47+2,FALSE)="IE","IE",IF(HLOOKUP(BT$15,Data_5!$F$10:$BG$42,$A47+2,FALSE)="NE","NE",IF(HLOOKUP(BT$15,Data_5!$F$10:$BG$42,$A47+2,FALSE)="C","C",IF(HLOOKUP(BT$15,Data_5!$F$10:$BG$42,$A47+2,FALSE)="NO","NO",HLOOKUP(BT$15,Data_5!$F$10:$BG$42,$A47+2,FALSE)/Data_5!$BI42))))),"")</f>
        <v/>
      </c>
      <c r="BU47" s="1122" t="str">
        <f ca="1">IFERROR(IF(HLOOKUP(BU$15,Data_5!$F$10:$BG$42,$A47+2,FALSE)="NO","NO",IF(HLOOKUP(BU$15,Data_5!$F$10:$BG$42,$A47+2,FALSE)="IE","IE",IF(HLOOKUP(BU$15,Data_5!$F$10:$BG$42,$A47+2,FALSE)="NE","NE",IF(HLOOKUP(BU$15,Data_5!$F$10:$BG$42,$A47+2,FALSE)="C","C",IF(HLOOKUP(BU$15,Data_5!$F$10:$BG$42,$A47+2,FALSE)="NO","NO",HLOOKUP(BU$15,Data_5!$F$10:$BG$42,$A47+2,FALSE)/Data_5!$BI42))))),"")</f>
        <v/>
      </c>
      <c r="BV47" s="1122" t="str">
        <f ca="1">IFERROR(IF(HLOOKUP(BV$15,Data_5!$F$10:$BG$42,$A47+2,FALSE)="NO","NO",IF(HLOOKUP(BV$15,Data_5!$F$10:$BG$42,$A47+2,FALSE)="IE","IE",IF(HLOOKUP(BV$15,Data_5!$F$10:$BG$42,$A47+2,FALSE)="NE","NE",IF(HLOOKUP(BV$15,Data_5!$F$10:$BG$42,$A47+2,FALSE)="C","C",IF(HLOOKUP(BV$15,Data_5!$F$10:$BG$42,$A47+2,FALSE)="NO","NO",HLOOKUP(BV$15,Data_5!$F$10:$BG$42,$A47+2,FALSE)/Data_5!$BI42))))),"")</f>
        <v/>
      </c>
      <c r="BW47" s="1122" t="str">
        <f ca="1">IFERROR(IF(HLOOKUP(BW$15,Data_5!$F$10:$BG$42,$A47+2,FALSE)="NO","NO",IF(HLOOKUP(BW$15,Data_5!$F$10:$BG$42,$A47+2,FALSE)="IE","IE",IF(HLOOKUP(BW$15,Data_5!$F$10:$BG$42,$A47+2,FALSE)="NE","NE",IF(HLOOKUP(BW$15,Data_5!$F$10:$BG$42,$A47+2,FALSE)="C","C",IF(HLOOKUP(BW$15,Data_5!$F$10:$BG$42,$A47+2,FALSE)="NO","NO",HLOOKUP(BW$15,Data_5!$F$10:$BG$42,$A47+2,FALSE)/Data_5!$BI42))))),"")</f>
        <v/>
      </c>
      <c r="BX47" s="1122" t="str">
        <f ca="1">IFERROR(IF(HLOOKUP(BX$15,Data_5!$F$10:$BG$42,$A47+2,FALSE)="NO","NO",IF(HLOOKUP(BX$15,Data_5!$F$10:$BG$42,$A47+2,FALSE)="IE","IE",IF(HLOOKUP(BX$15,Data_5!$F$10:$BG$42,$A47+2,FALSE)="NE","NE",IF(HLOOKUP(BX$15,Data_5!$F$10:$BG$42,$A47+2,FALSE)="C","C",IF(HLOOKUP(BX$15,Data_5!$F$10:$BG$42,$A47+2,FALSE)="NO","NO",HLOOKUP(BX$15,Data_5!$F$10:$BG$42,$A47+2,FALSE)/Data_5!$BI42))))),"")</f>
        <v/>
      </c>
      <c r="BY47" s="1122" t="str">
        <f ca="1">IFERROR(IF(HLOOKUP(BY$15,Data_5!$F$10:$BG$42,$A47+2,FALSE)="NO","NO",IF(HLOOKUP(BY$15,Data_5!$F$10:$BG$42,$A47+2,FALSE)="IE","IE",IF(HLOOKUP(BY$15,Data_5!$F$10:$BG$42,$A47+2,FALSE)="NE","NE",IF(HLOOKUP(BY$15,Data_5!$F$10:$BG$42,$A47+2,FALSE)="C","C",IF(HLOOKUP(BY$15,Data_5!$F$10:$BG$42,$A47+2,FALSE)="NO","NO",HLOOKUP(BY$15,Data_5!$F$10:$BG$42,$A47+2,FALSE)/Data_5!$BI42))))),"")</f>
        <v/>
      </c>
      <c r="BZ47" s="1122" t="str">
        <f ca="1">IFERROR(IF(HLOOKUP(BZ$15,Data_5!$F$10:$BG$42,$A47+2,FALSE)="NO","NO",IF(HLOOKUP(BZ$15,Data_5!$F$10:$BG$42,$A47+2,FALSE)="IE","IE",IF(HLOOKUP(BZ$15,Data_5!$F$10:$BG$42,$A47+2,FALSE)="NE","NE",IF(HLOOKUP(BZ$15,Data_5!$F$10:$BG$42,$A47+2,FALSE)="C","C",IF(HLOOKUP(BZ$15,Data_5!$F$10:$BG$42,$A47+2,FALSE)="NO","NO",HLOOKUP(BZ$15,Data_5!$F$10:$BG$42,$A47+2,FALSE)/Data_5!$BI42))))),"")</f>
        <v/>
      </c>
      <c r="CA47" s="1122" t="str">
        <f ca="1">IFERROR(IF(HLOOKUP(CA$15,Data_5!$F$10:$BG$42,$A47+2,FALSE)="NO","NO",IF(HLOOKUP(CA$15,Data_5!$F$10:$BG$42,$A47+2,FALSE)="IE","IE",IF(HLOOKUP(CA$15,Data_5!$F$10:$BG$42,$A47+2,FALSE)="NE","NE",IF(HLOOKUP(CA$15,Data_5!$F$10:$BG$42,$A47+2,FALSE)="C","C",IF(HLOOKUP(CA$15,Data_5!$F$10:$BG$42,$A47+2,FALSE)="NO","NO",HLOOKUP(CA$15,Data_5!$F$10:$BG$42,$A47+2,FALSE)/Data_5!$BI42))))),"")</f>
        <v/>
      </c>
      <c r="CB47" s="1122" t="str">
        <f ca="1">IFERROR(IF(HLOOKUP(CB$15,Data_5!$F$10:$BG$42,$A47+2,FALSE)="NO","NO",IF(HLOOKUP(CB$15,Data_5!$F$10:$BG$42,$A47+2,FALSE)="IE","IE",IF(HLOOKUP(CB$15,Data_5!$F$10:$BG$42,$A47+2,FALSE)="NE","NE",IF(HLOOKUP(CB$15,Data_5!$F$10:$BG$42,$A47+2,FALSE)="C","C",IF(HLOOKUP(CB$15,Data_5!$F$10:$BG$42,$A47+2,FALSE)="NO","NO",HLOOKUP(CB$15,Data_5!$F$10:$BG$42,$A47+2,FALSE)/Data_5!$BI42))))),"")</f>
        <v/>
      </c>
      <c r="CC47" s="1122" t="str">
        <f ca="1">IFERROR(IF(HLOOKUP(CC$15,Data_5!$F$10:$BG$42,$A47+2,FALSE)="NO","NO",IF(HLOOKUP(CC$15,Data_5!$F$10:$BG$42,$A47+2,FALSE)="IE","IE",IF(HLOOKUP(CC$15,Data_5!$F$10:$BG$42,$A47+2,FALSE)="NE","NE",IF(HLOOKUP(CC$15,Data_5!$F$10:$BG$42,$A47+2,FALSE)="C","C",IF(HLOOKUP(CC$15,Data_5!$F$10:$BG$42,$A47+2,FALSE)="NO","NO",HLOOKUP(CC$15,Data_5!$F$10:$BG$42,$A47+2,FALSE)/Data_5!$BI42))))),"")</f>
        <v/>
      </c>
      <c r="CD47" s="1122" t="str">
        <f ca="1">IFERROR(IF(HLOOKUP(CD$15,Data_5!$F$10:$BG$42,$A47+2,FALSE)="NO","NO",IF(HLOOKUP(CD$15,Data_5!$F$10:$BG$42,$A47+2,FALSE)="IE","IE",IF(HLOOKUP(CD$15,Data_5!$F$10:$BG$42,$A47+2,FALSE)="NE","NE",IF(HLOOKUP(CD$15,Data_5!$F$10:$BG$42,$A47+2,FALSE)="C","C",IF(HLOOKUP(CD$15,Data_5!$F$10:$BG$42,$A47+2,FALSE)="NO","NO",HLOOKUP(CD$15,Data_5!$F$10:$BG$42,$A47+2,FALSE)/Data_5!$BI42))))),"")</f>
        <v/>
      </c>
      <c r="CE47" s="1122" t="str">
        <f ca="1">IFERROR(IF(HLOOKUP(CE$15,Data_5!$F$10:$BG$42,$A47+2,FALSE)="NO","NO",IF(HLOOKUP(CE$15,Data_5!$F$10:$BG$42,$A47+2,FALSE)="IE","IE",IF(HLOOKUP(CE$15,Data_5!$F$10:$BG$42,$A47+2,FALSE)="NE","NE",IF(HLOOKUP(CE$15,Data_5!$F$10:$BG$42,$A47+2,FALSE)="C","C",IF(HLOOKUP(CE$15,Data_5!$F$10:$BG$42,$A47+2,FALSE)="NO","NO",HLOOKUP(CE$15,Data_5!$F$10:$BG$42,$A47+2,FALSE)/Data_5!$BI42))))),"")</f>
        <v/>
      </c>
      <c r="CF47" s="1122" t="str">
        <f ca="1">IFERROR(IF(HLOOKUP(CF$15,Data_5!$F$10:$BG$42,$A47+2,FALSE)="NO","NO",IF(HLOOKUP(CF$15,Data_5!$F$10:$BG$42,$A47+2,FALSE)="IE","IE",IF(HLOOKUP(CF$15,Data_5!$F$10:$BG$42,$A47+2,FALSE)="NE","NE",IF(HLOOKUP(CF$15,Data_5!$F$10:$BG$42,$A47+2,FALSE)="C","C",IF(HLOOKUP(CF$15,Data_5!$F$10:$BG$42,$A47+2,FALSE)="NO","NO",HLOOKUP(CF$15,Data_5!$F$10:$BG$42,$A47+2,FALSE)/Data_5!$BI42))))),"")</f>
        <v/>
      </c>
      <c r="CG47" s="1122" t="str">
        <f ca="1">IFERROR(IF(HLOOKUP(CG$15,Data_5!$F$10:$BG$42,$A47+2,FALSE)="NO","NO",IF(HLOOKUP(CG$15,Data_5!$F$10:$BG$42,$A47+2,FALSE)="IE","IE",IF(HLOOKUP(CG$15,Data_5!$F$10:$BG$42,$A47+2,FALSE)="NE","NE",IF(HLOOKUP(CG$15,Data_5!$F$10:$BG$42,$A47+2,FALSE)="C","C",IF(HLOOKUP(CG$15,Data_5!$F$10:$BG$42,$A47+2,FALSE)="NO","NO",HLOOKUP(CG$15,Data_5!$F$10:$BG$42,$A47+2,FALSE)/Data_5!$BI42))))),"")</f>
        <v/>
      </c>
      <c r="CH47" s="1122" t="str">
        <f ca="1">IFERROR(IF(HLOOKUP(CH$15,Data_5!$F$10:$BG$42,$A47+2,FALSE)="NO","NO",IF(HLOOKUP(CH$15,Data_5!$F$10:$BG$42,$A47+2,FALSE)="IE","IE",IF(HLOOKUP(CH$15,Data_5!$F$10:$BG$42,$A47+2,FALSE)="NE","NE",IF(HLOOKUP(CH$15,Data_5!$F$10:$BG$42,$A47+2,FALSE)="C","C",IF(HLOOKUP(CH$15,Data_5!$F$10:$BG$42,$A47+2,FALSE)="NO","NO",HLOOKUP(CH$15,Data_5!$F$10:$BG$42,$A47+2,FALSE)/Data_5!$BI42))))),"")</f>
        <v/>
      </c>
      <c r="CI47" s="1122" t="str">
        <f ca="1">IFERROR(IF(HLOOKUP(CI$15,Data_5!$F$10:$BG$42,$A47+2,FALSE)="NO","NO",IF(HLOOKUP(CI$15,Data_5!$F$10:$BG$42,$A47+2,FALSE)="IE","IE",IF(HLOOKUP(CI$15,Data_5!$F$10:$BG$42,$A47+2,FALSE)="NE","NE",IF(HLOOKUP(CI$15,Data_5!$F$10:$BG$42,$A47+2,FALSE)="C","C",IF(HLOOKUP(CI$15,Data_5!$F$10:$BG$42,$A47+2,FALSE)="NO","NO",HLOOKUP(CI$15,Data_5!$F$10:$BG$42,$A47+2,FALSE)/Data_5!$BI42))))),"")</f>
        <v/>
      </c>
      <c r="CJ47" s="1122" t="str">
        <f ca="1">IFERROR(IF(HLOOKUP(CJ$15,Data_5!$F$10:$BG$42,$A47+2,FALSE)="NO","NO",IF(HLOOKUP(CJ$15,Data_5!$F$10:$BG$42,$A47+2,FALSE)="IE","IE",IF(HLOOKUP(CJ$15,Data_5!$F$10:$BG$42,$A47+2,FALSE)="NE","NE",IF(HLOOKUP(CJ$15,Data_5!$F$10:$BG$42,$A47+2,FALSE)="C","C",IF(HLOOKUP(CJ$15,Data_5!$F$10:$BG$42,$A47+2,FALSE)="NO","NO",HLOOKUP(CJ$15,Data_5!$F$10:$BG$42,$A47+2,FALSE)/Data_5!$BI42))))),"")</f>
        <v/>
      </c>
      <c r="CL47" s="2628" t="str">
        <f t="shared" ref="CL47:CL65" ca="1" si="6">B47</f>
        <v/>
      </c>
      <c r="CM47" s="2629"/>
      <c r="CN47" s="1100" t="str">
        <f t="shared" ref="CN47:CN65" ca="1" si="7">D47</f>
        <v/>
      </c>
      <c r="CO47" s="1122" t="str">
        <f ca="1">IFERROR(IF(HLOOKUP(CO$15,Data_5!$F$10:$BG$42,$A47+2,FALSE)="NO","NO",IF(HLOOKUP(CO$15,Data_5!$F$10:$BG$42,$A47+2,FALSE)="IE","IE",IF(HLOOKUP(CO$15,Data_5!$F$10:$BG$42,$A47+2,FALSE)="NE","NE",IF(HLOOKUP(CO$15,Data_5!$F$10:$BG$42,$A47+2,FALSE)="C","C",IF(HLOOKUP(CO$15,Data_5!$F$10:$BG$42,$A47+2,FALSE)="NO","NO",HLOOKUP(CO$15,Data_5!$F$10:$BG$42,$A47+2,FALSE)/Data_5!$BK42))))),"")</f>
        <v/>
      </c>
      <c r="CP47" s="1122" t="str">
        <f ca="1">IFERROR(IF(HLOOKUP(CP$15,Data_5!$F$10:$BG$42,$A47+2,FALSE)="NO","NO",IF(HLOOKUP(CP$15,Data_5!$F$10:$BG$42,$A47+2,FALSE)="IE","IE",IF(HLOOKUP(CP$15,Data_5!$F$10:$BG$42,$A47+2,FALSE)="NE","NE",IF(HLOOKUP(CP$15,Data_5!$F$10:$BG$42,$A47+2,FALSE)="C","C",IF(HLOOKUP(CP$15,Data_5!$F$10:$BG$42,$A47+2,FALSE)="NO","NO",HLOOKUP(CP$15,Data_5!$F$10:$BG$42,$A47+2,FALSE)/Data_5!$BK42))))),"")</f>
        <v/>
      </c>
      <c r="CQ47" s="1122" t="str">
        <f ca="1">IFERROR(IF(HLOOKUP(CQ$15,Data_5!$F$10:$BG$42,$A47+2,FALSE)="NO","NO",IF(HLOOKUP(CQ$15,Data_5!$F$10:$BG$42,$A47+2,FALSE)="IE","IE",IF(HLOOKUP(CQ$15,Data_5!$F$10:$BG$42,$A47+2,FALSE)="NE","NE",IF(HLOOKUP(CQ$15,Data_5!$F$10:$BG$42,$A47+2,FALSE)="C","C",IF(HLOOKUP(CQ$15,Data_5!$F$10:$BG$42,$A47+2,FALSE)="NO","NO",HLOOKUP(CQ$15,Data_5!$F$10:$BG$42,$A47+2,FALSE)/Data_5!$BK42))))),"")</f>
        <v/>
      </c>
      <c r="CR47" s="1122" t="str">
        <f ca="1">IFERROR(IF(HLOOKUP(CR$15,Data_5!$F$10:$BG$42,$A47+2,FALSE)="NO","NO",IF(HLOOKUP(CR$15,Data_5!$F$10:$BG$42,$A47+2,FALSE)="IE","IE",IF(HLOOKUP(CR$15,Data_5!$F$10:$BG$42,$A47+2,FALSE)="NE","NE",IF(HLOOKUP(CR$15,Data_5!$F$10:$BG$42,$A47+2,FALSE)="C","C",IF(HLOOKUP(CR$15,Data_5!$F$10:$BG$42,$A47+2,FALSE)="NO","NO",HLOOKUP(CR$15,Data_5!$F$10:$BG$42,$A47+2,FALSE)/Data_5!$BK42))))),"")</f>
        <v/>
      </c>
      <c r="CS47" s="1122" t="str">
        <f ca="1">IFERROR(IF(HLOOKUP(CS$15,Data_5!$F$10:$BG$42,$A47+2,FALSE)="NO","NO",IF(HLOOKUP(CS$15,Data_5!$F$10:$BG$42,$A47+2,FALSE)="IE","IE",IF(HLOOKUP(CS$15,Data_5!$F$10:$BG$42,$A47+2,FALSE)="NE","NE",IF(HLOOKUP(CS$15,Data_5!$F$10:$BG$42,$A47+2,FALSE)="C","C",IF(HLOOKUP(CS$15,Data_5!$F$10:$BG$42,$A47+2,FALSE)="NO","NO",HLOOKUP(CS$15,Data_5!$F$10:$BG$42,$A47+2,FALSE)/Data_5!$BK42))))),"")</f>
        <v/>
      </c>
      <c r="CT47" s="1122" t="str">
        <f ca="1">IFERROR(IF(HLOOKUP(CT$15,Data_5!$F$10:$BG$42,$A47+2,FALSE)="NO","NO",IF(HLOOKUP(CT$15,Data_5!$F$10:$BG$42,$A47+2,FALSE)="IE","IE",IF(HLOOKUP(CT$15,Data_5!$F$10:$BG$42,$A47+2,FALSE)="NE","NE",IF(HLOOKUP(CT$15,Data_5!$F$10:$BG$42,$A47+2,FALSE)="C","C",IF(HLOOKUP(CT$15,Data_5!$F$10:$BG$42,$A47+2,FALSE)="NO","NO",HLOOKUP(CT$15,Data_5!$F$10:$BG$42,$A47+2,FALSE)/Data_5!$BK42))))),"")</f>
        <v/>
      </c>
      <c r="CU47" s="1122" t="str">
        <f ca="1">IFERROR(IF(HLOOKUP(CU$15,Data_5!$F$10:$BG$42,$A47+2,FALSE)="NO","NO",IF(HLOOKUP(CU$15,Data_5!$F$10:$BG$42,$A47+2,FALSE)="IE","IE",IF(HLOOKUP(CU$15,Data_5!$F$10:$BG$42,$A47+2,FALSE)="NE","NE",IF(HLOOKUP(CU$15,Data_5!$F$10:$BG$42,$A47+2,FALSE)="C","C",IF(HLOOKUP(CU$15,Data_5!$F$10:$BG$42,$A47+2,FALSE)="NO","NO",HLOOKUP(CU$15,Data_5!$F$10:$BG$42,$A47+2,FALSE)/Data_5!$BK42))))),"")</f>
        <v/>
      </c>
      <c r="CV47" s="1122" t="str">
        <f ca="1">IFERROR(IF(HLOOKUP(CV$15,Data_5!$F$10:$BG$42,$A47+2,FALSE)="NO","NO",IF(HLOOKUP(CV$15,Data_5!$F$10:$BG$42,$A47+2,FALSE)="IE","IE",IF(HLOOKUP(CV$15,Data_5!$F$10:$BG$42,$A47+2,FALSE)="NE","NE",IF(HLOOKUP(CV$15,Data_5!$F$10:$BG$42,$A47+2,FALSE)="C","C",IF(HLOOKUP(CV$15,Data_5!$F$10:$BG$42,$A47+2,FALSE)="NO","NO",HLOOKUP(CV$15,Data_5!$F$10:$BG$42,$A47+2,FALSE)/Data_5!$BK42))))),"")</f>
        <v/>
      </c>
      <c r="CW47" s="1122" t="str">
        <f ca="1">IFERROR(IF(HLOOKUP(CW$15,Data_5!$F$10:$BG$42,$A47+2,FALSE)="NO","NO",IF(HLOOKUP(CW$15,Data_5!$F$10:$BG$42,$A47+2,FALSE)="IE","IE",IF(HLOOKUP(CW$15,Data_5!$F$10:$BG$42,$A47+2,FALSE)="NE","NE",IF(HLOOKUP(CW$15,Data_5!$F$10:$BG$42,$A47+2,FALSE)="C","C",IF(HLOOKUP(CW$15,Data_5!$F$10:$BG$42,$A47+2,FALSE)="NO","NO",HLOOKUP(CW$15,Data_5!$F$10:$BG$42,$A47+2,FALSE)/Data_5!$BK42))))),"")</f>
        <v/>
      </c>
      <c r="CX47" s="1122" t="str">
        <f ca="1">IFERROR(IF(HLOOKUP(CX$15,Data_5!$F$10:$BG$42,$A47+2,FALSE)="NO","NO",IF(HLOOKUP(CX$15,Data_5!$F$10:$BG$42,$A47+2,FALSE)="IE","IE",IF(HLOOKUP(CX$15,Data_5!$F$10:$BG$42,$A47+2,FALSE)="NE","NE",IF(HLOOKUP(CX$15,Data_5!$F$10:$BG$42,$A47+2,FALSE)="C","C",IF(HLOOKUP(CX$15,Data_5!$F$10:$BG$42,$A47+2,FALSE)="NO","NO",HLOOKUP(CX$15,Data_5!$F$10:$BG$42,$A47+2,FALSE)/Data_5!$BK42))))),"")</f>
        <v/>
      </c>
      <c r="CY47" s="1122" t="str">
        <f ca="1">IFERROR(IF(HLOOKUP(CY$15,Data_5!$F$10:$BG$42,$A47+2,FALSE)="NO","NO",IF(HLOOKUP(CY$15,Data_5!$F$10:$BG$42,$A47+2,FALSE)="IE","IE",IF(HLOOKUP(CY$15,Data_5!$F$10:$BG$42,$A47+2,FALSE)="NE","NE",IF(HLOOKUP(CY$15,Data_5!$F$10:$BG$42,$A47+2,FALSE)="C","C",IF(HLOOKUP(CY$15,Data_5!$F$10:$BG$42,$A47+2,FALSE)="NO","NO",HLOOKUP(CY$15,Data_5!$F$10:$BG$42,$A47+2,FALSE)/Data_5!$BK42))))),"")</f>
        <v/>
      </c>
      <c r="CZ47" s="1122" t="str">
        <f ca="1">IFERROR(IF(HLOOKUP(CZ$15,Data_5!$F$10:$BG$42,$A47+2,FALSE)="NO","NO",IF(HLOOKUP(CZ$15,Data_5!$F$10:$BG$42,$A47+2,FALSE)="IE","IE",IF(HLOOKUP(CZ$15,Data_5!$F$10:$BG$42,$A47+2,FALSE)="NE","NE",IF(HLOOKUP(CZ$15,Data_5!$F$10:$BG$42,$A47+2,FALSE)="C","C",IF(HLOOKUP(CZ$15,Data_5!$F$10:$BG$42,$A47+2,FALSE)="NO","NO",HLOOKUP(CZ$15,Data_5!$F$10:$BG$42,$A47+2,FALSE)/Data_5!$BK42))))),"")</f>
        <v/>
      </c>
      <c r="DA47" s="1122" t="str">
        <f ca="1">IFERROR(IF(HLOOKUP(DA$15,Data_5!$F$10:$BG$42,$A47+2,FALSE)="NO","NO",IF(HLOOKUP(DA$15,Data_5!$F$10:$BG$42,$A47+2,FALSE)="IE","IE",IF(HLOOKUP(DA$15,Data_5!$F$10:$BG$42,$A47+2,FALSE)="NE","NE",IF(HLOOKUP(DA$15,Data_5!$F$10:$BG$42,$A47+2,FALSE)="C","C",IF(HLOOKUP(DA$15,Data_5!$F$10:$BG$42,$A47+2,FALSE)="NO","NO",HLOOKUP(DA$15,Data_5!$F$10:$BG$42,$A47+2,FALSE)/Data_5!$BK42))))),"")</f>
        <v/>
      </c>
      <c r="DB47" s="1122" t="str">
        <f ca="1">IFERROR(IF(HLOOKUP(DB$15,Data_5!$F$10:$BG$42,$A47+2,FALSE)="NO","NO",IF(HLOOKUP(DB$15,Data_5!$F$10:$BG$42,$A47+2,FALSE)="IE","IE",IF(HLOOKUP(DB$15,Data_5!$F$10:$BG$42,$A47+2,FALSE)="NE","NE",IF(HLOOKUP(DB$15,Data_5!$F$10:$BG$42,$A47+2,FALSE)="C","C",IF(HLOOKUP(DB$15,Data_5!$F$10:$BG$42,$A47+2,FALSE)="NO","NO",HLOOKUP(DB$15,Data_5!$F$10:$BG$42,$A47+2,FALSE)/Data_5!$BK42))))),"")</f>
        <v/>
      </c>
      <c r="DC47" s="1122" t="str">
        <f ca="1">IFERROR(IF(HLOOKUP(DC$15,Data_5!$F$10:$BG$42,$A47+2,FALSE)="NO","NO",IF(HLOOKUP(DC$15,Data_5!$F$10:$BG$42,$A47+2,FALSE)="IE","IE",IF(HLOOKUP(DC$15,Data_5!$F$10:$BG$42,$A47+2,FALSE)="NE","NE",IF(HLOOKUP(DC$15,Data_5!$F$10:$BG$42,$A47+2,FALSE)="C","C",IF(HLOOKUP(DC$15,Data_5!$F$10:$BG$42,$A47+2,FALSE)="NO","NO",HLOOKUP(DC$15,Data_5!$F$10:$BG$42,$A47+2,FALSE)/Data_5!$BK42))))),"")</f>
        <v/>
      </c>
      <c r="DD47" s="1122" t="str">
        <f ca="1">IFERROR(IF(HLOOKUP(DD$15,Data_5!$F$10:$BG$42,$A47+2,FALSE)="NO","NO",IF(HLOOKUP(DD$15,Data_5!$F$10:$BG$42,$A47+2,FALSE)="IE","IE",IF(HLOOKUP(DD$15,Data_5!$F$10:$BG$42,$A47+2,FALSE)="NE","NE",IF(HLOOKUP(DD$15,Data_5!$F$10:$BG$42,$A47+2,FALSE)="C","C",IF(HLOOKUP(DD$15,Data_5!$F$10:$BG$42,$A47+2,FALSE)="NO","NO",HLOOKUP(DD$15,Data_5!$F$10:$BG$42,$A47+2,FALSE)/Data_5!$BK42))))),"")</f>
        <v/>
      </c>
      <c r="DE47" s="1122" t="str">
        <f ca="1">IFERROR(IF(HLOOKUP(DE$15,Data_5!$F$10:$BG$42,$A47+2,FALSE)="NO","NO",IF(HLOOKUP(DE$15,Data_5!$F$10:$BG$42,$A47+2,FALSE)="IE","IE",IF(HLOOKUP(DE$15,Data_5!$F$10:$BG$42,$A47+2,FALSE)="NE","NE",IF(HLOOKUP(DE$15,Data_5!$F$10:$BG$42,$A47+2,FALSE)="C","C",IF(HLOOKUP(DE$15,Data_5!$F$10:$BG$42,$A47+2,FALSE)="NO","NO",HLOOKUP(DE$15,Data_5!$F$10:$BG$42,$A47+2,FALSE)/Data_5!$BK42))))),"")</f>
        <v/>
      </c>
      <c r="DF47" s="1122" t="str">
        <f ca="1">IFERROR(IF(HLOOKUP(DF$15,Data_5!$F$10:$BG$42,$A47+2,FALSE)="NO","NO",IF(HLOOKUP(DF$15,Data_5!$F$10:$BG$42,$A47+2,FALSE)="IE","IE",IF(HLOOKUP(DF$15,Data_5!$F$10:$BG$42,$A47+2,FALSE)="NE","NE",IF(HLOOKUP(DF$15,Data_5!$F$10:$BG$42,$A47+2,FALSE)="C","C",IF(HLOOKUP(DF$15,Data_5!$F$10:$BG$42,$A47+2,FALSE)="NO","NO",HLOOKUP(DF$15,Data_5!$F$10:$BG$42,$A47+2,FALSE)/Data_5!$BK42))))),"")</f>
        <v/>
      </c>
      <c r="DG47" s="1122" t="str">
        <f ca="1">IFERROR(IF(HLOOKUP(DG$15,Data_5!$F$10:$BG$42,$A47+2,FALSE)="NO","NO",IF(HLOOKUP(DG$15,Data_5!$F$10:$BG$42,$A47+2,FALSE)="IE","IE",IF(HLOOKUP(DG$15,Data_5!$F$10:$BG$42,$A47+2,FALSE)="NE","NE",IF(HLOOKUP(DG$15,Data_5!$F$10:$BG$42,$A47+2,FALSE)="C","C",IF(HLOOKUP(DG$15,Data_5!$F$10:$BG$42,$A47+2,FALSE)="NO","NO",HLOOKUP(DG$15,Data_5!$F$10:$BG$42,$A47+2,FALSE)/Data_5!$BK42))))),"")</f>
        <v/>
      </c>
      <c r="DH47" s="1122" t="str">
        <f ca="1">IFERROR(IF(HLOOKUP(DH$15,Data_5!$F$10:$BG$42,$A47+2,FALSE)="NO","NO",IF(HLOOKUP(DH$15,Data_5!$F$10:$BG$42,$A47+2,FALSE)="IE","IE",IF(HLOOKUP(DH$15,Data_5!$F$10:$BG$42,$A47+2,FALSE)="NE","NE",IF(HLOOKUP(DH$15,Data_5!$F$10:$BG$42,$A47+2,FALSE)="C","C",IF(HLOOKUP(DH$15,Data_5!$F$10:$BG$42,$A47+2,FALSE)="NO","NO",HLOOKUP(DH$15,Data_5!$F$10:$BG$42,$A47+2,FALSE)/Data_5!$BK42))))),"")</f>
        <v/>
      </c>
      <c r="DI47" s="1122" t="str">
        <f ca="1">IFERROR(IF(HLOOKUP(DI$15,Data_5!$F$10:$BG$42,$A47+2,FALSE)="NO","NO",IF(HLOOKUP(DI$15,Data_5!$F$10:$BG$42,$A47+2,FALSE)="IE","IE",IF(HLOOKUP(DI$15,Data_5!$F$10:$BG$42,$A47+2,FALSE)="NE","NE",IF(HLOOKUP(DI$15,Data_5!$F$10:$BG$42,$A47+2,FALSE)="C","C",IF(HLOOKUP(DI$15,Data_5!$F$10:$BG$42,$A47+2,FALSE)="NO","NO",HLOOKUP(DI$15,Data_5!$F$10:$BG$42,$A47+2,FALSE)/Data_5!$BK42))))),"")</f>
        <v/>
      </c>
      <c r="DJ47" s="1122" t="str">
        <f ca="1">IFERROR(IF(HLOOKUP(DJ$15,Data_5!$F$10:$BG$42,$A47+2,FALSE)="NO","NO",IF(HLOOKUP(DJ$15,Data_5!$F$10:$BG$42,$A47+2,FALSE)="IE","IE",IF(HLOOKUP(DJ$15,Data_5!$F$10:$BG$42,$A47+2,FALSE)="NE","NE",IF(HLOOKUP(DJ$15,Data_5!$F$10:$BG$42,$A47+2,FALSE)="C","C",IF(HLOOKUP(DJ$15,Data_5!$F$10:$BG$42,$A47+2,FALSE)="NO","NO",HLOOKUP(DJ$15,Data_5!$F$10:$BG$42,$A47+2,FALSE)/Data_5!$BK42))))),"")</f>
        <v/>
      </c>
      <c r="DK47" s="1122" t="str">
        <f ca="1">IFERROR(IF(HLOOKUP(DK$15,Data_5!$F$10:$BG$42,$A47+2,FALSE)="NO","NO",IF(HLOOKUP(DK$15,Data_5!$F$10:$BG$42,$A47+2,FALSE)="IE","IE",IF(HLOOKUP(DK$15,Data_5!$F$10:$BG$42,$A47+2,FALSE)="NE","NE",IF(HLOOKUP(DK$15,Data_5!$F$10:$BG$42,$A47+2,FALSE)="C","C",IF(HLOOKUP(DK$15,Data_5!$F$10:$BG$42,$A47+2,FALSE)="NO","NO",HLOOKUP(DK$15,Data_5!$F$10:$BG$42,$A47+2,FALSE)/Data_5!$BK42))))),"")</f>
        <v/>
      </c>
      <c r="DL47" s="1122" t="str">
        <f ca="1">IFERROR(IF(HLOOKUP(DL$15,Data_5!$F$10:$BG$42,$A47+2,FALSE)="NO","NO",IF(HLOOKUP(DL$15,Data_5!$F$10:$BG$42,$A47+2,FALSE)="IE","IE",IF(HLOOKUP(DL$15,Data_5!$F$10:$BG$42,$A47+2,FALSE)="NE","NE",IF(HLOOKUP(DL$15,Data_5!$F$10:$BG$42,$A47+2,FALSE)="C","C",IF(HLOOKUP(DL$15,Data_5!$F$10:$BG$42,$A47+2,FALSE)="NO","NO",HLOOKUP(DL$15,Data_5!$F$10:$BG$42,$A47+2,FALSE)/Data_5!$BK42))))),"")</f>
        <v/>
      </c>
      <c r="DM47" s="1122" t="str">
        <f ca="1">IFERROR(IF(HLOOKUP(DM$15,Data_5!$F$10:$BG$42,$A47+2,FALSE)="NO","NO",IF(HLOOKUP(DM$15,Data_5!$F$10:$BG$42,$A47+2,FALSE)="IE","IE",IF(HLOOKUP(DM$15,Data_5!$F$10:$BG$42,$A47+2,FALSE)="NE","NE",IF(HLOOKUP(DM$15,Data_5!$F$10:$BG$42,$A47+2,FALSE)="C","C",IF(HLOOKUP(DM$15,Data_5!$F$10:$BG$42,$A47+2,FALSE)="NO","NO",HLOOKUP(DM$15,Data_5!$F$10:$BG$42,$A47+2,FALSE)/Data_5!$BK42))))),"")</f>
        <v/>
      </c>
      <c r="DN47" s="1122" t="str">
        <f ca="1">IFERROR(IF(HLOOKUP(DN$15,Data_5!$F$10:$BG$42,$A47+2,FALSE)="NO","NO",IF(HLOOKUP(DN$15,Data_5!$F$10:$BG$42,$A47+2,FALSE)="IE","IE",IF(HLOOKUP(DN$15,Data_5!$F$10:$BG$42,$A47+2,FALSE)="NE","NE",IF(HLOOKUP(DN$15,Data_5!$F$10:$BG$42,$A47+2,FALSE)="C","C",IF(HLOOKUP(DN$15,Data_5!$F$10:$BG$42,$A47+2,FALSE)="NO","NO",HLOOKUP(DN$15,Data_5!$F$10:$BG$42,$A47+2,FALSE)/Data_5!$BK42))))),"")</f>
        <v/>
      </c>
      <c r="DO47" s="1122" t="str">
        <f ca="1">IFERROR(IF(HLOOKUP(DO$15,Data_5!$F$10:$BG$42,$A47+2,FALSE)="NO","NO",IF(HLOOKUP(DO$15,Data_5!$F$10:$BG$42,$A47+2,FALSE)="IE","IE",IF(HLOOKUP(DO$15,Data_5!$F$10:$BG$42,$A47+2,FALSE)="NE","NE",IF(HLOOKUP(DO$15,Data_5!$F$10:$BG$42,$A47+2,FALSE)="C","C",IF(HLOOKUP(DO$15,Data_5!$F$10:$BG$42,$A47+2,FALSE)="NO","NO",HLOOKUP(DO$15,Data_5!$F$10:$BG$42,$A47+2,FALSE)/Data_5!$BK42))))),"")</f>
        <v/>
      </c>
    </row>
    <row r="48" spans="1:119" ht="15" customHeight="1">
      <c r="A48" s="1789">
        <v>32</v>
      </c>
      <c r="B48" s="2628" t="str">
        <f ca="1">IF(Data_5!B43&lt;&gt;"",Data_5!B43,"")</f>
        <v/>
      </c>
      <c r="C48" s="2629"/>
      <c r="D48" s="1462">
        <f ca="1">IFERROR(VLOOKUP($B48,Data_5!$B$12:$C$42,2,FALSE),"")</f>
        <v>0</v>
      </c>
      <c r="E48" s="1122" t="str">
        <f>IFERROR(IF(HLOOKUP(E$15,Data_5!$F$10:$BG$42,$A48+2,FALSE)="NO","NO",IF(HLOOKUP(E$15,Data_5!$F$10:$BG$42,$A48+2,FALSE)="IE","IE",IF(HLOOKUP(E$15,Data_5!$F$10:$BG$42,$A48+2,FALSE)="NE","NE",IF(HLOOKUP(E$15,Data_5!$F$10:$BG$42,$A48+2,FALSE)="C","C",IF(HLOOKUP(E$15,Data_5!$F$10:$BG$42,$A48+2,FALSE)="NO","NO",HLOOKUP(E$15,Data_5!$F$10:$BG$42,$A48+2,FALSE)/Data_5!$BH43))))),"")</f>
        <v/>
      </c>
      <c r="F48" s="1122" t="str">
        <f>IFERROR(IF(HLOOKUP(F$15,Data_5!$F$10:$BG$42,$A48+2,FALSE)="NO","NO",IF(HLOOKUP(F$15,Data_5!$F$10:$BG$42,$A48+2,FALSE)="IE","IE",IF(HLOOKUP(F$15,Data_5!$F$10:$BG$42,$A48+2,FALSE)="NE","NE",IF(HLOOKUP(F$15,Data_5!$F$10:$BG$42,$A48+2,FALSE)="C","C",IF(HLOOKUP(F$15,Data_5!$F$10:$BG$42,$A48+2,FALSE)="NO","NO",HLOOKUP(F$15,Data_5!$F$10:$BG$42,$A48+2,FALSE)/Data_5!$BH43))))),"")</f>
        <v/>
      </c>
      <c r="G48" s="1122" t="str">
        <f>IFERROR(IF(HLOOKUP(G$15,Data_5!$F$10:$BG$42,$A48+2,FALSE)="NO","NO",IF(HLOOKUP(G$15,Data_5!$F$10:$BG$42,$A48+2,FALSE)="IE","IE",IF(HLOOKUP(G$15,Data_5!$F$10:$BG$42,$A48+2,FALSE)="NE","NE",IF(HLOOKUP(G$15,Data_5!$F$10:$BG$42,$A48+2,FALSE)="C","C",IF(HLOOKUP(G$15,Data_5!$F$10:$BG$42,$A48+2,FALSE)="NO","NO",HLOOKUP(G$15,Data_5!$F$10:$BG$42,$A48+2,FALSE)/Data_5!$BH43))))),"")</f>
        <v/>
      </c>
      <c r="H48" s="1122" t="str">
        <f>IFERROR(IF(HLOOKUP(H$15,Data_5!$F$10:$BG$42,$A48+2,FALSE)="NO","NO",IF(HLOOKUP(H$15,Data_5!$F$10:$BG$42,$A48+2,FALSE)="IE","IE",IF(HLOOKUP(H$15,Data_5!$F$10:$BG$42,$A48+2,FALSE)="NE","NE",IF(HLOOKUP(H$15,Data_5!$F$10:$BG$42,$A48+2,FALSE)="C","C",IF(HLOOKUP(H$15,Data_5!$F$10:$BG$42,$A48+2,FALSE)="NO","NO",HLOOKUP(H$15,Data_5!$F$10:$BG$42,$A48+2,FALSE)/Data_5!$BH43))))),"")</f>
        <v/>
      </c>
      <c r="I48" s="1122" t="str">
        <f>IFERROR(IF(HLOOKUP(I$15,Data_5!$F$10:$BG$42,$A48+2,FALSE)="NO","NO",IF(HLOOKUP(I$15,Data_5!$F$10:$BG$42,$A48+2,FALSE)="IE","IE",IF(HLOOKUP(I$15,Data_5!$F$10:$BG$42,$A48+2,FALSE)="NE","NE",IF(HLOOKUP(I$15,Data_5!$F$10:$BG$42,$A48+2,FALSE)="C","C",IF(HLOOKUP(I$15,Data_5!$F$10:$BG$42,$A48+2,FALSE)="NO","NO",HLOOKUP(I$15,Data_5!$F$10:$BG$42,$A48+2,FALSE)/Data_5!$BH43))))),"")</f>
        <v/>
      </c>
      <c r="J48" s="1122" t="str">
        <f>IFERROR(IF(HLOOKUP(J$15,Data_5!$F$10:$BG$42,$A48+2,FALSE)="NO","NO",IF(HLOOKUP(J$15,Data_5!$F$10:$BG$42,$A48+2,FALSE)="IE","IE",IF(HLOOKUP(J$15,Data_5!$F$10:$BG$42,$A48+2,FALSE)="NE","NE",IF(HLOOKUP(J$15,Data_5!$F$10:$BG$42,$A48+2,FALSE)="C","C",IF(HLOOKUP(J$15,Data_5!$F$10:$BG$42,$A48+2,FALSE)="NO","NO",HLOOKUP(J$15,Data_5!$F$10:$BG$42,$A48+2,FALSE)/Data_5!$BH43))))),"")</f>
        <v/>
      </c>
      <c r="K48" s="1122" t="str">
        <f>IFERROR(IF(HLOOKUP(K$15,Data_5!$F$10:$BG$42,$A48+2,FALSE)="NO","NO",IF(HLOOKUP(K$15,Data_5!$F$10:$BG$42,$A48+2,FALSE)="IE","IE",IF(HLOOKUP(K$15,Data_5!$F$10:$BG$42,$A48+2,FALSE)="NE","NE",IF(HLOOKUP(K$15,Data_5!$F$10:$BG$42,$A48+2,FALSE)="C","C",IF(HLOOKUP(K$15,Data_5!$F$10:$BG$42,$A48+2,FALSE)="NO","NO",HLOOKUP(K$15,Data_5!$F$10:$BG$42,$A48+2,FALSE)/Data_5!$BH43))))),"")</f>
        <v/>
      </c>
      <c r="L48" s="1122" t="str">
        <f>IFERROR(IF(HLOOKUP(L$15,Data_5!$F$10:$BG$42,$A48+2,FALSE)="NO","NO",IF(HLOOKUP(L$15,Data_5!$F$10:$BG$42,$A48+2,FALSE)="IE","IE",IF(HLOOKUP(L$15,Data_5!$F$10:$BG$42,$A48+2,FALSE)="NE","NE",IF(HLOOKUP(L$15,Data_5!$F$10:$BG$42,$A48+2,FALSE)="C","C",IF(HLOOKUP(L$15,Data_5!$F$10:$BG$42,$A48+2,FALSE)="NO","NO",HLOOKUP(L$15,Data_5!$F$10:$BG$42,$A48+2,FALSE)/Data_5!$BH43))))),"")</f>
        <v/>
      </c>
      <c r="M48" s="1122" t="str">
        <f>IFERROR(IF(HLOOKUP(M$15,Data_5!$F$10:$BG$42,$A48+2,FALSE)="NO","NO",IF(HLOOKUP(M$15,Data_5!$F$10:$BG$42,$A48+2,FALSE)="IE","IE",IF(HLOOKUP(M$15,Data_5!$F$10:$BG$42,$A48+2,FALSE)="NE","NE",IF(HLOOKUP(M$15,Data_5!$F$10:$BG$42,$A48+2,FALSE)="C","C",IF(HLOOKUP(M$15,Data_5!$F$10:$BG$42,$A48+2,FALSE)="NO","NO",HLOOKUP(M$15,Data_5!$F$10:$BG$42,$A48+2,FALSE)/Data_5!$BH43))))),"")</f>
        <v/>
      </c>
      <c r="N48" s="1122" t="str">
        <f>IFERROR(IF(HLOOKUP(N$15,Data_5!$F$10:$BG$42,$A48+2,FALSE)="NO","NO",IF(HLOOKUP(N$15,Data_5!$F$10:$BG$42,$A48+2,FALSE)="IE","IE",IF(HLOOKUP(N$15,Data_5!$F$10:$BG$42,$A48+2,FALSE)="NE","NE",IF(HLOOKUP(N$15,Data_5!$F$10:$BG$42,$A48+2,FALSE)="C","C",IF(HLOOKUP(N$15,Data_5!$F$10:$BG$42,$A48+2,FALSE)="NO","NO",HLOOKUP(N$15,Data_5!$F$10:$BG$42,$A48+2,FALSE)/Data_5!$BH43))))),"")</f>
        <v/>
      </c>
      <c r="O48" s="1122" t="str">
        <f>IFERROR(IF(HLOOKUP(O$15,Data_5!$F$10:$BG$42,$A48+2,FALSE)="NO","NO",IF(HLOOKUP(O$15,Data_5!$F$10:$BG$42,$A48+2,FALSE)="IE","IE",IF(HLOOKUP(O$15,Data_5!$F$10:$BG$42,$A48+2,FALSE)="NE","NE",IF(HLOOKUP(O$15,Data_5!$F$10:$BG$42,$A48+2,FALSE)="C","C",IF(HLOOKUP(O$15,Data_5!$F$10:$BG$42,$A48+2,FALSE)="NO","NO",HLOOKUP(O$15,Data_5!$F$10:$BG$42,$A48+2,FALSE)/Data_5!$BH43))))),"")</f>
        <v/>
      </c>
      <c r="P48" s="1122" t="str">
        <f>IFERROR(IF(HLOOKUP(P$15,Data_5!$F$10:$BG$42,$A48+2,FALSE)="NO","NO",IF(HLOOKUP(P$15,Data_5!$F$10:$BG$42,$A48+2,FALSE)="IE","IE",IF(HLOOKUP(P$15,Data_5!$F$10:$BG$42,$A48+2,FALSE)="NE","NE",IF(HLOOKUP(P$15,Data_5!$F$10:$BG$42,$A48+2,FALSE)="C","C",IF(HLOOKUP(P$15,Data_5!$F$10:$BG$42,$A48+2,FALSE)="NO","NO",HLOOKUP(P$15,Data_5!$F$10:$BG$42,$A48+2,FALSE)/Data_5!$BH43))))),"")</f>
        <v/>
      </c>
      <c r="Q48" s="1122" t="str">
        <f>IFERROR(IF(HLOOKUP(Q$15,Data_5!$F$10:$BG$42,$A48+2,FALSE)="NO","NO",IF(HLOOKUP(Q$15,Data_5!$F$10:$BG$42,$A48+2,FALSE)="IE","IE",IF(HLOOKUP(Q$15,Data_5!$F$10:$BG$42,$A48+2,FALSE)="NE","NE",IF(HLOOKUP(Q$15,Data_5!$F$10:$BG$42,$A48+2,FALSE)="C","C",IF(HLOOKUP(Q$15,Data_5!$F$10:$BG$42,$A48+2,FALSE)="NO","NO",HLOOKUP(Q$15,Data_5!$F$10:$BG$42,$A48+2,FALSE)/Data_5!$BH43))))),"")</f>
        <v/>
      </c>
      <c r="R48" s="1122" t="str">
        <f>IFERROR(IF(HLOOKUP(R$15,Data_5!$F$10:$BG$42,$A48+2,FALSE)="NO","NO",IF(HLOOKUP(R$15,Data_5!$F$10:$BG$42,$A48+2,FALSE)="IE","IE",IF(HLOOKUP(R$15,Data_5!$F$10:$BG$42,$A48+2,FALSE)="NE","NE",IF(HLOOKUP(R$15,Data_5!$F$10:$BG$42,$A48+2,FALSE)="C","C",IF(HLOOKUP(R$15,Data_5!$F$10:$BG$42,$A48+2,FALSE)="NO","NO",HLOOKUP(R$15,Data_5!$F$10:$BG$42,$A48+2,FALSE)/Data_5!$BH43))))),"")</f>
        <v/>
      </c>
      <c r="S48" s="1122" t="str">
        <f>IFERROR(IF(HLOOKUP(S$15,Data_5!$F$10:$BG$42,$A48+2,FALSE)="NO","NO",IF(HLOOKUP(S$15,Data_5!$F$10:$BG$42,$A48+2,FALSE)="IE","IE",IF(HLOOKUP(S$15,Data_5!$F$10:$BG$42,$A48+2,FALSE)="NE","NE",IF(HLOOKUP(S$15,Data_5!$F$10:$BG$42,$A48+2,FALSE)="C","C",IF(HLOOKUP(S$15,Data_5!$F$10:$BG$42,$A48+2,FALSE)="NO","NO",HLOOKUP(S$15,Data_5!$F$10:$BG$42,$A48+2,FALSE)/Data_5!$BH43))))),"")</f>
        <v/>
      </c>
      <c r="T48" s="1122" t="str">
        <f>IFERROR(IF(HLOOKUP(T$15,Data_5!$F$10:$BG$42,$A48+2,FALSE)="NO","NO",IF(HLOOKUP(T$15,Data_5!$F$10:$BG$42,$A48+2,FALSE)="IE","IE",IF(HLOOKUP(T$15,Data_5!$F$10:$BG$42,$A48+2,FALSE)="NE","NE",IF(HLOOKUP(T$15,Data_5!$F$10:$BG$42,$A48+2,FALSE)="C","C",IF(HLOOKUP(T$15,Data_5!$F$10:$BG$42,$A48+2,FALSE)="NO","NO",HLOOKUP(T$15,Data_5!$F$10:$BG$42,$A48+2,FALSE)/Data_5!$BH43))))),"")</f>
        <v/>
      </c>
      <c r="U48" s="1122" t="str">
        <f>IFERROR(IF(HLOOKUP(U$15,Data_5!$F$10:$BG$42,$A48+2,FALSE)="NO","NO",IF(HLOOKUP(U$15,Data_5!$F$10:$BG$42,$A48+2,FALSE)="IE","IE",IF(HLOOKUP(U$15,Data_5!$F$10:$BG$42,$A48+2,FALSE)="NE","NE",IF(HLOOKUP(U$15,Data_5!$F$10:$BG$42,$A48+2,FALSE)="C","C",IF(HLOOKUP(U$15,Data_5!$F$10:$BG$42,$A48+2,FALSE)="NO","NO",HLOOKUP(U$15,Data_5!$F$10:$BG$42,$A48+2,FALSE)/Data_5!$BH43))))),"")</f>
        <v/>
      </c>
      <c r="V48" s="1122" t="str">
        <f>IFERROR(IF(HLOOKUP(V$15,Data_5!$F$10:$BG$42,$A48+2,FALSE)="NO","NO",IF(HLOOKUP(V$15,Data_5!$F$10:$BG$42,$A48+2,FALSE)="IE","IE",IF(HLOOKUP(V$15,Data_5!$F$10:$BG$42,$A48+2,FALSE)="NE","NE",IF(HLOOKUP(V$15,Data_5!$F$10:$BG$42,$A48+2,FALSE)="C","C",IF(HLOOKUP(V$15,Data_5!$F$10:$BG$42,$A48+2,FALSE)="NO","NO",HLOOKUP(V$15,Data_5!$F$10:$BG$42,$A48+2,FALSE)/Data_5!$BH43))))),"")</f>
        <v/>
      </c>
      <c r="W48" s="1122" t="str">
        <f>IFERROR(IF(HLOOKUP(W$15,Data_5!$F$10:$BG$42,$A48+2,FALSE)="NO","NO",IF(HLOOKUP(W$15,Data_5!$F$10:$BG$42,$A48+2,FALSE)="IE","IE",IF(HLOOKUP(W$15,Data_5!$F$10:$BG$42,$A48+2,FALSE)="NE","NE",IF(HLOOKUP(W$15,Data_5!$F$10:$BG$42,$A48+2,FALSE)="C","C",IF(HLOOKUP(W$15,Data_5!$F$10:$BG$42,$A48+2,FALSE)="NO","NO",HLOOKUP(W$15,Data_5!$F$10:$BG$42,$A48+2,FALSE)/Data_5!$BH43))))),"")</f>
        <v/>
      </c>
      <c r="X48" s="1122" t="str">
        <f>IFERROR(IF(HLOOKUP(X$15,Data_5!$F$10:$BG$42,$A48+2,FALSE)="NO","NO",IF(HLOOKUP(X$15,Data_5!$F$10:$BG$42,$A48+2,FALSE)="IE","IE",IF(HLOOKUP(X$15,Data_5!$F$10:$BG$42,$A48+2,FALSE)="NE","NE",IF(HLOOKUP(X$15,Data_5!$F$10:$BG$42,$A48+2,FALSE)="C","C",IF(HLOOKUP(X$15,Data_5!$F$10:$BG$42,$A48+2,FALSE)="NO","NO",HLOOKUP(X$15,Data_5!$F$10:$BG$42,$A48+2,FALSE)/Data_5!$BH43))))),"")</f>
        <v/>
      </c>
      <c r="Y48" s="1122" t="str">
        <f>IFERROR(IF(HLOOKUP(Y$15,Data_5!$F$10:$BG$42,$A48+2,FALSE)="NO","NO",IF(HLOOKUP(Y$15,Data_5!$F$10:$BG$42,$A48+2,FALSE)="IE","IE",IF(HLOOKUP(Y$15,Data_5!$F$10:$BG$42,$A48+2,FALSE)="NE","NE",IF(HLOOKUP(Y$15,Data_5!$F$10:$BG$42,$A48+2,FALSE)="C","C",IF(HLOOKUP(Y$15,Data_5!$F$10:$BG$42,$A48+2,FALSE)="NO","NO",HLOOKUP(Y$15,Data_5!$F$10:$BG$42,$A48+2,FALSE)/Data_5!$BH43))))),"")</f>
        <v/>
      </c>
      <c r="Z48" s="1122" t="str">
        <f>IFERROR(IF(HLOOKUP(Z$15,Data_5!$F$10:$BG$42,$A48+2,FALSE)="NO","NO",IF(HLOOKUP(Z$15,Data_5!$F$10:$BG$42,$A48+2,FALSE)="IE","IE",IF(HLOOKUP(Z$15,Data_5!$F$10:$BG$42,$A48+2,FALSE)="NE","NE",IF(HLOOKUP(Z$15,Data_5!$F$10:$BG$42,$A48+2,FALSE)="C","C",IF(HLOOKUP(Z$15,Data_5!$F$10:$BG$42,$A48+2,FALSE)="NO","NO",HLOOKUP(Z$15,Data_5!$F$10:$BG$42,$A48+2,FALSE)/Data_5!$BH43))))),"")</f>
        <v/>
      </c>
      <c r="AA48" s="1122" t="str">
        <f>IFERROR(IF(HLOOKUP(AA$15,Data_5!$F$10:$BG$42,$A48+2,FALSE)="NO","NO",IF(HLOOKUP(AA$15,Data_5!$F$10:$BG$42,$A48+2,FALSE)="IE","IE",IF(HLOOKUP(AA$15,Data_5!$F$10:$BG$42,$A48+2,FALSE)="NE","NE",IF(HLOOKUP(AA$15,Data_5!$F$10:$BG$42,$A48+2,FALSE)="C","C",IF(HLOOKUP(AA$15,Data_5!$F$10:$BG$42,$A48+2,FALSE)="NO","NO",HLOOKUP(AA$15,Data_5!$F$10:$BG$42,$A48+2,FALSE)/Data_5!$BH43))))),"")</f>
        <v/>
      </c>
      <c r="AB48" s="1122" t="str">
        <f>IFERROR(IF(HLOOKUP(AB$15,Data_5!$F$10:$BG$42,$A48+2,FALSE)="NO","NO",IF(HLOOKUP(AB$15,Data_5!$F$10:$BG$42,$A48+2,FALSE)="IE","IE",IF(HLOOKUP(AB$15,Data_5!$F$10:$BG$42,$A48+2,FALSE)="NE","NE",IF(HLOOKUP(AB$15,Data_5!$F$10:$BG$42,$A48+2,FALSE)="C","C",IF(HLOOKUP(AB$15,Data_5!$F$10:$BG$42,$A48+2,FALSE)="NO","NO",HLOOKUP(AB$15,Data_5!$F$10:$BG$42,$A48+2,FALSE)/Data_5!$BH43))))),"")</f>
        <v/>
      </c>
      <c r="AC48" s="1122" t="str">
        <f>IFERROR(IF(HLOOKUP(AC$15,Data_5!$F$10:$BG$42,$A48+2,FALSE)="NO","NO",IF(HLOOKUP(AC$15,Data_5!$F$10:$BG$42,$A48+2,FALSE)="IE","IE",IF(HLOOKUP(AC$15,Data_5!$F$10:$BG$42,$A48+2,FALSE)="NE","NE",IF(HLOOKUP(AC$15,Data_5!$F$10:$BG$42,$A48+2,FALSE)="C","C",IF(HLOOKUP(AC$15,Data_5!$F$10:$BG$42,$A48+2,FALSE)="NO","NO",HLOOKUP(AC$15,Data_5!$F$10:$BG$42,$A48+2,FALSE)/Data_5!$BH43))))),"")</f>
        <v/>
      </c>
      <c r="AD48" s="1122" t="str">
        <f>IFERROR(IF(HLOOKUP(AD$15,Data_5!$F$10:$BG$42,$A48+2,FALSE)="NO","NO",IF(HLOOKUP(AD$15,Data_5!$F$10:$BG$42,$A48+2,FALSE)="IE","IE",IF(HLOOKUP(AD$15,Data_5!$F$10:$BG$42,$A48+2,FALSE)="NE","NE",IF(HLOOKUP(AD$15,Data_5!$F$10:$BG$42,$A48+2,FALSE)="C","C",IF(HLOOKUP(AD$15,Data_5!$F$10:$BG$42,$A48+2,FALSE)="NO","NO",HLOOKUP(AD$15,Data_5!$F$10:$BG$42,$A48+2,FALSE)/Data_5!$BH43))))),"")</f>
        <v/>
      </c>
      <c r="AE48" s="1122" t="str">
        <f>IFERROR(IF(HLOOKUP(AE$15,Data_5!$F$10:$BG$42,$A48+2,FALSE)="NO","NO",IF(HLOOKUP(AE$15,Data_5!$F$10:$BG$42,$A48+2,FALSE)="IE","IE",IF(HLOOKUP(AE$15,Data_5!$F$10:$BG$42,$A48+2,FALSE)="NE","NE",IF(HLOOKUP(AE$15,Data_5!$F$10:$BG$42,$A48+2,FALSE)="C","C",IF(HLOOKUP(AE$15,Data_5!$F$10:$BG$42,$A48+2,FALSE)="NO","NO",HLOOKUP(AE$15,Data_5!$F$10:$BG$42,$A48+2,FALSE)/Data_5!$BH43))))),"")</f>
        <v/>
      </c>
      <c r="AF48" s="1122" t="str">
        <f>IFERROR(IF(HLOOKUP(AF$15,Data_5!$F$10:$BG$42,$A48+2,FALSE)="NO","NO",IF(HLOOKUP(AF$15,Data_5!$F$10:$BG$42,$A48+2,FALSE)="IE","IE",IF(HLOOKUP(AF$15,Data_5!$F$10:$BG$42,$A48+2,FALSE)="NE","NE",IF(HLOOKUP(AF$15,Data_5!$F$10:$BG$42,$A48+2,FALSE)="C","C",IF(HLOOKUP(AF$15,Data_5!$F$10:$BG$42,$A48+2,FALSE)="NO","NO",HLOOKUP(AF$15,Data_5!$F$10:$BG$42,$A48+2,FALSE)/Data_5!$BH43))))),"")</f>
        <v/>
      </c>
      <c r="AG48" s="1122" t="str">
        <f>IFERROR(IF(HLOOKUP(AG$15,Data_5!$F$10:$BG$42,$A48+2,FALSE)="NO","NO",IF(HLOOKUP(AG$15,Data_5!$F$10:$BG$42,$A48+2,FALSE)="IE","IE",IF(HLOOKUP(AG$15,Data_5!$F$10:$BG$42,$A48+2,FALSE)="NE","NE",IF(HLOOKUP(AG$15,Data_5!$F$10:$BG$42,$A48+2,FALSE)="C","C",IF(HLOOKUP(AG$15,Data_5!$F$10:$BG$42,$A48+2,FALSE)="NO","NO",HLOOKUP(AG$15,Data_5!$F$10:$BG$42,$A48+2,FALSE)/Data_5!$BH43))))),"")</f>
        <v/>
      </c>
      <c r="AH48" s="1122" t="str">
        <f>IFERROR(IF(HLOOKUP(AH$15,Data_5!$F$10:$BG$42,$A48+2,FALSE)="NO","NO",IF(HLOOKUP(AH$15,Data_5!$F$10:$BG$42,$A48+2,FALSE)="IE","IE",IF(HLOOKUP(AH$15,Data_5!$F$10:$BG$42,$A48+2,FALSE)="NE","NE",IF(HLOOKUP(AH$15,Data_5!$F$10:$BG$42,$A48+2,FALSE)="C","C",IF(HLOOKUP(AH$15,Data_5!$F$10:$BG$42,$A48+2,FALSE)="NO","NO",HLOOKUP(AH$15,Data_5!$F$10:$BG$42,$A48+2,FALSE)/Data_5!$BH43))))),"")</f>
        <v/>
      </c>
      <c r="AI48" s="1122" t="str">
        <f>IFERROR(IF(HLOOKUP(AI$15,Data_5!$F$10:$BG$42,$A48+2,FALSE)="NO","NO",IF(HLOOKUP(AI$15,Data_5!$F$10:$BG$42,$A48+2,FALSE)="IE","IE",IF(HLOOKUP(AI$15,Data_5!$F$10:$BG$42,$A48+2,FALSE)="NE","NE",IF(HLOOKUP(AI$15,Data_5!$F$10:$BG$42,$A48+2,FALSE)="C","C",IF(HLOOKUP(AI$15,Data_5!$F$10:$BG$42,$A48+2,FALSE)="NO","NO",HLOOKUP(AI$15,Data_5!$F$10:$BG$42,$A48+2,FALSE)/Data_5!$BH43))))),"")</f>
        <v/>
      </c>
      <c r="AJ48" s="1122" t="str">
        <f>IFERROR(IF(HLOOKUP(AJ$15,Data_5!$F$10:$BG$42,$A48+2,FALSE)="NO","NO",IF(HLOOKUP(AJ$15,Data_5!$F$10:$BG$42,$A48+2,FALSE)="IE","IE",IF(HLOOKUP(AJ$15,Data_5!$F$10:$BG$42,$A48+2,FALSE)="NE","NE",IF(HLOOKUP(AJ$15,Data_5!$F$10:$BG$42,$A48+2,FALSE)="C","C",IF(HLOOKUP(AJ$15,Data_5!$F$10:$BG$42,$A48+2,FALSE)="NO","NO",HLOOKUP(AJ$15,Data_5!$F$10:$BG$42,$A48+2,FALSE)/Data_5!$BH43))))),"")</f>
        <v/>
      </c>
      <c r="AL48" s="2628" t="str">
        <f t="shared" ca="1" si="0"/>
        <v/>
      </c>
      <c r="AM48" s="2629"/>
      <c r="AN48" s="1100" t="str">
        <f t="shared" ca="1" si="1"/>
        <v/>
      </c>
      <c r="AO48" s="1122" t="str">
        <f>IFERROR(IF(HLOOKUP(AO$15,Data_5!$F$10:$BG$42,$A48+2,FALSE)="NO","NO",IF(HLOOKUP(AO$15,Data_5!$F$10:$BG$42,$A48+2,FALSE)="IE","IE",IF(HLOOKUP(AO$15,Data_5!$F$10:$BG$42,$A48+2,FALSE)="NE","NE",IF(HLOOKUP(AO$15,Data_5!$F$10:$BG$42,$A48+2,FALSE)="C","C",IF(HLOOKUP(AO$15,Data_5!$F$10:$BG$42,$A48+2,FALSE)="NO","NO",HLOOKUP(AO$15,Data_5!$F$10:$BG$42,$A48+2,FALSE)/Data_5!$BI43))))),"")</f>
        <v/>
      </c>
      <c r="AP48" s="1122" t="str">
        <f>IFERROR(IF(HLOOKUP(AP$15,Data_5!$F$10:$BG$42,$A48+2,FALSE)="NO","NO",IF(HLOOKUP(AP$15,Data_5!$F$10:$BG$42,$A48+2,FALSE)="IE","IE",IF(HLOOKUP(AP$15,Data_5!$F$10:$BG$42,$A48+2,FALSE)="NE","NE",IF(HLOOKUP(AP$15,Data_5!$F$10:$BG$42,$A48+2,FALSE)="C","C",IF(HLOOKUP(AP$15,Data_5!$F$10:$BG$42,$A48+2,FALSE)="NO","NO",HLOOKUP(AP$15,Data_5!$F$10:$BG$42,$A48+2,FALSE)/Data_5!$BI43))))),"")</f>
        <v/>
      </c>
      <c r="AQ48" s="1122" t="str">
        <f>IFERROR(IF(HLOOKUP(AQ$15,Data_5!$F$10:$BG$42,$A48+2,FALSE)="NO","NO",IF(HLOOKUP(AQ$15,Data_5!$F$10:$BG$42,$A48+2,FALSE)="IE","IE",IF(HLOOKUP(AQ$15,Data_5!$F$10:$BG$42,$A48+2,FALSE)="NE","NE",IF(HLOOKUP(AQ$15,Data_5!$F$10:$BG$42,$A48+2,FALSE)="C","C",IF(HLOOKUP(AQ$15,Data_5!$F$10:$BG$42,$A48+2,FALSE)="NO","NO",HLOOKUP(AQ$15,Data_5!$F$10:$BG$42,$A48+2,FALSE)/Data_5!$BI43))))),"")</f>
        <v/>
      </c>
      <c r="AR48" s="1122" t="str">
        <f>IFERROR(IF(HLOOKUP(AR$15,Data_5!$F$10:$BG$42,$A48+2,FALSE)="NO","NO",IF(HLOOKUP(AR$15,Data_5!$F$10:$BG$42,$A48+2,FALSE)="IE","IE",IF(HLOOKUP(AR$15,Data_5!$F$10:$BG$42,$A48+2,FALSE)="NE","NE",IF(HLOOKUP(AR$15,Data_5!$F$10:$BG$42,$A48+2,FALSE)="C","C",IF(HLOOKUP(AR$15,Data_5!$F$10:$BG$42,$A48+2,FALSE)="NO","NO",HLOOKUP(AR$15,Data_5!$F$10:$BG$42,$A48+2,FALSE)/Data_5!$BI43))))),"")</f>
        <v/>
      </c>
      <c r="AS48" s="1122" t="str">
        <f>IFERROR(IF(HLOOKUP(AS$15,Data_5!$F$10:$BG$42,$A48+2,FALSE)="NO","NO",IF(HLOOKUP(AS$15,Data_5!$F$10:$BG$42,$A48+2,FALSE)="IE","IE",IF(HLOOKUP(AS$15,Data_5!$F$10:$BG$42,$A48+2,FALSE)="NE","NE",IF(HLOOKUP(AS$15,Data_5!$F$10:$BG$42,$A48+2,FALSE)="C","C",IF(HLOOKUP(AS$15,Data_5!$F$10:$BG$42,$A48+2,FALSE)="NO","NO",HLOOKUP(AS$15,Data_5!$F$10:$BG$42,$A48+2,FALSE)/Data_5!$BI43))))),"")</f>
        <v/>
      </c>
      <c r="AT48" s="1122" t="str">
        <f>IFERROR(IF(HLOOKUP(AT$15,Data_5!$F$10:$BG$42,$A48+2,FALSE)="NO","NO",IF(HLOOKUP(AT$15,Data_5!$F$10:$BG$42,$A48+2,FALSE)="IE","IE",IF(HLOOKUP(AT$15,Data_5!$F$10:$BG$42,$A48+2,FALSE)="NE","NE",IF(HLOOKUP(AT$15,Data_5!$F$10:$BG$42,$A48+2,FALSE)="C","C",IF(HLOOKUP(AT$15,Data_5!$F$10:$BG$42,$A48+2,FALSE)="NO","NO",HLOOKUP(AT$15,Data_5!$F$10:$BG$42,$A48+2,FALSE)/Data_5!$BI43))))),"")</f>
        <v/>
      </c>
      <c r="AU48" s="1122" t="str">
        <f>IFERROR(IF(HLOOKUP(AU$15,Data_5!$F$10:$BG$42,$A48+2,FALSE)="NO","NO",IF(HLOOKUP(AU$15,Data_5!$F$10:$BG$42,$A48+2,FALSE)="IE","IE",IF(HLOOKUP(AU$15,Data_5!$F$10:$BG$42,$A48+2,FALSE)="NE","NE",IF(HLOOKUP(AU$15,Data_5!$F$10:$BG$42,$A48+2,FALSE)="C","C",IF(HLOOKUP(AU$15,Data_5!$F$10:$BG$42,$A48+2,FALSE)="NO","NO",HLOOKUP(AU$15,Data_5!$F$10:$BG$42,$A48+2,FALSE)/Data_5!$BI43))))),"")</f>
        <v/>
      </c>
      <c r="AV48" s="1122" t="str">
        <f>IFERROR(IF(HLOOKUP(AV$15,Data_5!$F$10:$BG$42,$A48+2,FALSE)="NO","NO",IF(HLOOKUP(AV$15,Data_5!$F$10:$BG$42,$A48+2,FALSE)="IE","IE",IF(HLOOKUP(AV$15,Data_5!$F$10:$BG$42,$A48+2,FALSE)="NE","NE",IF(HLOOKUP(AV$15,Data_5!$F$10:$BG$42,$A48+2,FALSE)="C","C",IF(HLOOKUP(AV$15,Data_5!$F$10:$BG$42,$A48+2,FALSE)="NO","NO",HLOOKUP(AV$15,Data_5!$F$10:$BG$42,$A48+2,FALSE)/Data_5!$BI43))))),"")</f>
        <v/>
      </c>
      <c r="AW48" s="1122" t="str">
        <f>IFERROR(IF(HLOOKUP(AW$15,Data_5!$F$10:$BG$42,$A48+2,FALSE)="NO","NO",IF(HLOOKUP(AW$15,Data_5!$F$10:$BG$42,$A48+2,FALSE)="IE","IE",IF(HLOOKUP(AW$15,Data_5!$F$10:$BG$42,$A48+2,FALSE)="NE","NE",IF(HLOOKUP(AW$15,Data_5!$F$10:$BG$42,$A48+2,FALSE)="C","C",IF(HLOOKUP(AW$15,Data_5!$F$10:$BG$42,$A48+2,FALSE)="NO","NO",HLOOKUP(AW$15,Data_5!$F$10:$BG$42,$A48+2,FALSE)/Data_5!$BI43))))),"")</f>
        <v/>
      </c>
      <c r="AX48" s="1122" t="str">
        <f>IFERROR(IF(HLOOKUP(AX$15,Data_5!$F$10:$BG$42,$A48+2,FALSE)="NO","NO",IF(HLOOKUP(AX$15,Data_5!$F$10:$BG$42,$A48+2,FALSE)="IE","IE",IF(HLOOKUP(AX$15,Data_5!$F$10:$BG$42,$A48+2,FALSE)="NE","NE",IF(HLOOKUP(AX$15,Data_5!$F$10:$BG$42,$A48+2,FALSE)="C","C",IF(HLOOKUP(AX$15,Data_5!$F$10:$BG$42,$A48+2,FALSE)="NO","NO",HLOOKUP(AX$15,Data_5!$F$10:$BG$42,$A48+2,FALSE)/Data_5!$BI43))))),"")</f>
        <v/>
      </c>
      <c r="AY48" s="1122" t="str">
        <f>IFERROR(IF(HLOOKUP(AY$15,Data_5!$F$10:$BG$42,$A48+2,FALSE)="NO","NO",IF(HLOOKUP(AY$15,Data_5!$F$10:$BG$42,$A48+2,FALSE)="IE","IE",IF(HLOOKUP(AY$15,Data_5!$F$10:$BG$42,$A48+2,FALSE)="NE","NE",IF(HLOOKUP(AY$15,Data_5!$F$10:$BG$42,$A48+2,FALSE)="C","C",IF(HLOOKUP(AY$15,Data_5!$F$10:$BG$42,$A48+2,FALSE)="NO","NO",HLOOKUP(AY$15,Data_5!$F$10:$BG$42,$A48+2,FALSE)/Data_5!$BI43))))),"")</f>
        <v/>
      </c>
      <c r="AZ48" s="1122" t="str">
        <f>IFERROR(IF(HLOOKUP(AZ$15,Data_5!$F$10:$BG$42,$A48+2,FALSE)="NO","NO",IF(HLOOKUP(AZ$15,Data_5!$F$10:$BG$42,$A48+2,FALSE)="IE","IE",IF(HLOOKUP(AZ$15,Data_5!$F$10:$BG$42,$A48+2,FALSE)="NE","NE",IF(HLOOKUP(AZ$15,Data_5!$F$10:$BG$42,$A48+2,FALSE)="C","C",IF(HLOOKUP(AZ$15,Data_5!$F$10:$BG$42,$A48+2,FALSE)="NO","NO",HLOOKUP(AZ$15,Data_5!$F$10:$BG$42,$A48+2,FALSE)/Data_5!$BI43))))),"")</f>
        <v/>
      </c>
      <c r="BA48" s="1122" t="str">
        <f>IFERROR(IF(HLOOKUP(BA$15,Data_5!$F$10:$BG$42,$A48+2,FALSE)="NO","NO",IF(HLOOKUP(BA$15,Data_5!$F$10:$BG$42,$A48+2,FALSE)="IE","IE",IF(HLOOKUP(BA$15,Data_5!$F$10:$BG$42,$A48+2,FALSE)="NE","NE",IF(HLOOKUP(BA$15,Data_5!$F$10:$BG$42,$A48+2,FALSE)="C","C",IF(HLOOKUP(BA$15,Data_5!$F$10:$BG$42,$A48+2,FALSE)="NO","NO",HLOOKUP(BA$15,Data_5!$F$10:$BG$42,$A48+2,FALSE)/Data_5!$BI43))))),"")</f>
        <v/>
      </c>
      <c r="BB48" s="1122" t="str">
        <f>IFERROR(IF(HLOOKUP(BB$15,Data_5!$F$10:$BG$42,$A48+2,FALSE)="NO","NO",IF(HLOOKUP(BB$15,Data_5!$F$10:$BG$42,$A48+2,FALSE)="IE","IE",IF(HLOOKUP(BB$15,Data_5!$F$10:$BG$42,$A48+2,FALSE)="NE","NE",IF(HLOOKUP(BB$15,Data_5!$F$10:$BG$42,$A48+2,FALSE)="C","C",IF(HLOOKUP(BB$15,Data_5!$F$10:$BG$42,$A48+2,FALSE)="NO","NO",HLOOKUP(BB$15,Data_5!$F$10:$BG$42,$A48+2,FALSE)/Data_5!$BI43))))),"")</f>
        <v/>
      </c>
      <c r="BC48" s="1122" t="str">
        <f>IFERROR(IF(HLOOKUP(BC$15,Data_5!$F$10:$BG$42,$A48+2,FALSE)="NO","NO",IF(HLOOKUP(BC$15,Data_5!$F$10:$BG$42,$A48+2,FALSE)="IE","IE",IF(HLOOKUP(BC$15,Data_5!$F$10:$BG$42,$A48+2,FALSE)="NE","NE",IF(HLOOKUP(BC$15,Data_5!$F$10:$BG$42,$A48+2,FALSE)="C","C",IF(HLOOKUP(BC$15,Data_5!$F$10:$BG$42,$A48+2,FALSE)="NO","NO",HLOOKUP(BC$15,Data_5!$F$10:$BG$42,$A48+2,FALSE)/Data_5!$BI43))))),"")</f>
        <v/>
      </c>
      <c r="BD48" s="1122" t="str">
        <f>IFERROR(IF(HLOOKUP(BD$15,Data_5!$F$10:$BG$42,$A48+2,FALSE)="NO","NO",IF(HLOOKUP(BD$15,Data_5!$F$10:$BG$42,$A48+2,FALSE)="IE","IE",IF(HLOOKUP(BD$15,Data_5!$F$10:$BG$42,$A48+2,FALSE)="NE","NE",IF(HLOOKUP(BD$15,Data_5!$F$10:$BG$42,$A48+2,FALSE)="C","C",IF(HLOOKUP(BD$15,Data_5!$F$10:$BG$42,$A48+2,FALSE)="NO","NO",HLOOKUP(BD$15,Data_5!$F$10:$BG$42,$A48+2,FALSE)/Data_5!$BI43))))),"")</f>
        <v/>
      </c>
      <c r="BE48" s="1122" t="str">
        <f>IFERROR(IF(HLOOKUP(BE$15,Data_5!$F$10:$BG$42,$A48+2,FALSE)="NO","NO",IF(HLOOKUP(BE$15,Data_5!$F$10:$BG$42,$A48+2,FALSE)="IE","IE",IF(HLOOKUP(BE$15,Data_5!$F$10:$BG$42,$A48+2,FALSE)="NE","NE",IF(HLOOKUP(BE$15,Data_5!$F$10:$BG$42,$A48+2,FALSE)="C","C",IF(HLOOKUP(BE$15,Data_5!$F$10:$BG$42,$A48+2,FALSE)="NO","NO",HLOOKUP(BE$15,Data_5!$F$10:$BG$42,$A48+2,FALSE)/Data_5!$BI43))))),"")</f>
        <v/>
      </c>
      <c r="BF48" s="1122" t="str">
        <f>IFERROR(IF(HLOOKUP(BF$15,Data_5!$F$10:$BG$42,$A48+2,FALSE)="NO","NO",IF(HLOOKUP(BF$15,Data_5!$F$10:$BG$42,$A48+2,FALSE)="IE","IE",IF(HLOOKUP(BF$15,Data_5!$F$10:$BG$42,$A48+2,FALSE)="NE","NE",IF(HLOOKUP(BF$15,Data_5!$F$10:$BG$42,$A48+2,FALSE)="C","C",IF(HLOOKUP(BF$15,Data_5!$F$10:$BG$42,$A48+2,FALSE)="NO","NO",HLOOKUP(BF$15,Data_5!$F$10:$BG$42,$A48+2,FALSE)/Data_5!$BI43))))),"")</f>
        <v/>
      </c>
      <c r="BG48" s="1122" t="str">
        <f>IFERROR(IF(HLOOKUP(BG$15,Data_5!$F$10:$BG$42,$A48+2,FALSE)="NO","NO",IF(HLOOKUP(BG$15,Data_5!$F$10:$BG$42,$A48+2,FALSE)="IE","IE",IF(HLOOKUP(BG$15,Data_5!$F$10:$BG$42,$A48+2,FALSE)="NE","NE",IF(HLOOKUP(BG$15,Data_5!$F$10:$BG$42,$A48+2,FALSE)="C","C",IF(HLOOKUP(BG$15,Data_5!$F$10:$BG$42,$A48+2,FALSE)="NO","NO",HLOOKUP(BG$15,Data_5!$F$10:$BG$42,$A48+2,FALSE)/Data_5!$BI43))))),"")</f>
        <v/>
      </c>
      <c r="BH48" s="1122" t="str">
        <f>IFERROR(IF(HLOOKUP(BH$15,Data_5!$F$10:$BG$42,$A48+2,FALSE)="NO","NO",IF(HLOOKUP(BH$15,Data_5!$F$10:$BG$42,$A48+2,FALSE)="IE","IE",IF(HLOOKUP(BH$15,Data_5!$F$10:$BG$42,$A48+2,FALSE)="NE","NE",IF(HLOOKUP(BH$15,Data_5!$F$10:$BG$42,$A48+2,FALSE)="C","C",IF(HLOOKUP(BH$15,Data_5!$F$10:$BG$42,$A48+2,FALSE)="NO","NO",HLOOKUP(BH$15,Data_5!$F$10:$BG$42,$A48+2,FALSE)/Data_5!$BI43))))),"")</f>
        <v/>
      </c>
      <c r="BI48" s="1122" t="str">
        <f>IFERROR(IF(HLOOKUP(BI$15,Data_5!$F$10:$BG$42,$A48+2,FALSE)="NO","NO",IF(HLOOKUP(BI$15,Data_5!$F$10:$BG$42,$A48+2,FALSE)="IE","IE",IF(HLOOKUP(BI$15,Data_5!$F$10:$BG$42,$A48+2,FALSE)="NE","NE",IF(HLOOKUP(BI$15,Data_5!$F$10:$BG$42,$A48+2,FALSE)="C","C",IF(HLOOKUP(BI$15,Data_5!$F$10:$BG$42,$A48+2,FALSE)="NO","NO",HLOOKUP(BI$15,Data_5!$F$10:$BG$42,$A48+2,FALSE)/Data_5!$BI43))))),"")</f>
        <v/>
      </c>
      <c r="BJ48" s="1122" t="str">
        <f>IFERROR(IF(HLOOKUP(BJ$15,Data_5!$F$10:$BG$42,$A48+2,FALSE)="NO","NO",IF(HLOOKUP(BJ$15,Data_5!$F$10:$BG$42,$A48+2,FALSE)="IE","IE",IF(HLOOKUP(BJ$15,Data_5!$F$10:$BG$42,$A48+2,FALSE)="NE","NE",IF(HLOOKUP(BJ$15,Data_5!$F$10:$BG$42,$A48+2,FALSE)="C","C",IF(HLOOKUP(BJ$15,Data_5!$F$10:$BG$42,$A48+2,FALSE)="NO","NO",HLOOKUP(BJ$15,Data_5!$F$10:$BG$42,$A48+2,FALSE)/Data_5!$BI43))))),"")</f>
        <v/>
      </c>
      <c r="BK48" s="1122" t="str">
        <f>IFERROR(IF(HLOOKUP(BK$15,Data_5!$F$10:$BG$42,$A48+2,FALSE)="NO","NO",IF(HLOOKUP(BK$15,Data_5!$F$10:$BG$42,$A48+2,FALSE)="IE","IE",IF(HLOOKUP(BK$15,Data_5!$F$10:$BG$42,$A48+2,FALSE)="NE","NE",IF(HLOOKUP(BK$15,Data_5!$F$10:$BG$42,$A48+2,FALSE)="C","C",IF(HLOOKUP(BK$15,Data_5!$F$10:$BG$42,$A48+2,FALSE)="NO","NO",HLOOKUP(BK$15,Data_5!$F$10:$BG$42,$A48+2,FALSE)/Data_5!$BI43))))),"")</f>
        <v/>
      </c>
      <c r="BL48" s="1122" t="str">
        <f>IFERROR(IF(HLOOKUP(BL$15,Data_5!$F$10:$BG$42,$A48+2,FALSE)="NO","NO",IF(HLOOKUP(BL$15,Data_5!$F$10:$BG$42,$A48+2,FALSE)="IE","IE",IF(HLOOKUP(BL$15,Data_5!$F$10:$BG$42,$A48+2,FALSE)="NE","NE",IF(HLOOKUP(BL$15,Data_5!$F$10:$BG$42,$A48+2,FALSE)="C","C",IF(HLOOKUP(BL$15,Data_5!$F$10:$BG$42,$A48+2,FALSE)="NO","NO",HLOOKUP(BL$15,Data_5!$F$10:$BG$42,$A48+2,FALSE)/Data_5!$BI43))))),"")</f>
        <v/>
      </c>
      <c r="BM48" s="1122" t="str">
        <f>IFERROR(IF(HLOOKUP(BM$15,Data_5!$F$10:$BG$42,$A48+2,FALSE)="NO","NO",IF(HLOOKUP(BM$15,Data_5!$F$10:$BG$42,$A48+2,FALSE)="IE","IE",IF(HLOOKUP(BM$15,Data_5!$F$10:$BG$42,$A48+2,FALSE)="NE","NE",IF(HLOOKUP(BM$15,Data_5!$F$10:$BG$42,$A48+2,FALSE)="C","C",IF(HLOOKUP(BM$15,Data_5!$F$10:$BG$42,$A48+2,FALSE)="NO","NO",HLOOKUP(BM$15,Data_5!$F$10:$BG$42,$A48+2,FALSE)/Data_5!$BI43))))),"")</f>
        <v/>
      </c>
      <c r="BN48" s="1122" t="str">
        <f>IFERROR(IF(HLOOKUP(BN$15,Data_5!$F$10:$BG$42,$A48+2,FALSE)="NO","NO",IF(HLOOKUP(BN$15,Data_5!$F$10:$BG$42,$A48+2,FALSE)="IE","IE",IF(HLOOKUP(BN$15,Data_5!$F$10:$BG$42,$A48+2,FALSE)="NE","NE",IF(HLOOKUP(BN$15,Data_5!$F$10:$BG$42,$A48+2,FALSE)="C","C",IF(HLOOKUP(BN$15,Data_5!$F$10:$BG$42,$A48+2,FALSE)="NO","NO",HLOOKUP(BN$15,Data_5!$F$10:$BG$42,$A48+2,FALSE)/Data_5!$BI43))))),"")</f>
        <v/>
      </c>
      <c r="BO48" s="1122" t="str">
        <f>IFERROR(IF(HLOOKUP(BO$15,Data_5!$F$10:$BG$42,$A48+2,FALSE)="NO","NO",IF(HLOOKUP(BO$15,Data_5!$F$10:$BG$42,$A48+2,FALSE)="IE","IE",IF(HLOOKUP(BO$15,Data_5!$F$10:$BG$42,$A48+2,FALSE)="NE","NE",IF(HLOOKUP(BO$15,Data_5!$F$10:$BG$42,$A48+2,FALSE)="C","C",IF(HLOOKUP(BO$15,Data_5!$F$10:$BG$42,$A48+2,FALSE)="NO","NO",HLOOKUP(BO$15,Data_5!$F$10:$BG$42,$A48+2,FALSE)/Data_5!$BI43))))),"")</f>
        <v/>
      </c>
      <c r="BP48" s="1122" t="str">
        <f>IFERROR(IF(HLOOKUP(BP$15,Data_5!$F$10:$BG$42,$A48+2,FALSE)="NO","NO",IF(HLOOKUP(BP$15,Data_5!$F$10:$BG$42,$A48+2,FALSE)="IE","IE",IF(HLOOKUP(BP$15,Data_5!$F$10:$BG$42,$A48+2,FALSE)="NE","NE",IF(HLOOKUP(BP$15,Data_5!$F$10:$BG$42,$A48+2,FALSE)="C","C",IF(HLOOKUP(BP$15,Data_5!$F$10:$BG$42,$A48+2,FALSE)="NO","NO",HLOOKUP(BP$15,Data_5!$F$10:$BG$42,$A48+2,FALSE)/Data_5!$BI43))))),"")</f>
        <v/>
      </c>
      <c r="BQ48" s="1122" t="str">
        <f>IFERROR(IF(HLOOKUP(BQ$15,Data_5!$F$10:$BG$42,$A48+2,FALSE)="NO","NO",IF(HLOOKUP(BQ$15,Data_5!$F$10:$BG$42,$A48+2,FALSE)="IE","IE",IF(HLOOKUP(BQ$15,Data_5!$F$10:$BG$42,$A48+2,FALSE)="NE","NE",IF(HLOOKUP(BQ$15,Data_5!$F$10:$BG$42,$A48+2,FALSE)="C","C",IF(HLOOKUP(BQ$15,Data_5!$F$10:$BG$42,$A48+2,FALSE)="NO","NO",HLOOKUP(BQ$15,Data_5!$F$10:$BG$42,$A48+2,FALSE)/Data_5!$BI43))))),"")</f>
        <v/>
      </c>
      <c r="BR48" s="1122" t="str">
        <f>IFERROR(IF(HLOOKUP(BR$15,Data_5!$F$10:$BG$42,$A48+2,FALSE)="NO","NO",IF(HLOOKUP(BR$15,Data_5!$F$10:$BG$42,$A48+2,FALSE)="IE","IE",IF(HLOOKUP(BR$15,Data_5!$F$10:$BG$42,$A48+2,FALSE)="NE","NE",IF(HLOOKUP(BR$15,Data_5!$F$10:$BG$42,$A48+2,FALSE)="C","C",IF(HLOOKUP(BR$15,Data_5!$F$10:$BG$42,$A48+2,FALSE)="NO","NO",HLOOKUP(BR$15,Data_5!$F$10:$BG$42,$A48+2,FALSE)/Data_5!$BI43))))),"")</f>
        <v/>
      </c>
      <c r="BS48" s="1122" t="str">
        <f>IFERROR(IF(HLOOKUP(BS$15,Data_5!$F$10:$BG$42,$A48+2,FALSE)="NO","NO",IF(HLOOKUP(BS$15,Data_5!$F$10:$BG$42,$A48+2,FALSE)="IE","IE",IF(HLOOKUP(BS$15,Data_5!$F$10:$BG$42,$A48+2,FALSE)="NE","NE",IF(HLOOKUP(BS$15,Data_5!$F$10:$BG$42,$A48+2,FALSE)="C","C",IF(HLOOKUP(BS$15,Data_5!$F$10:$BG$42,$A48+2,FALSE)="NO","NO",HLOOKUP(BS$15,Data_5!$F$10:$BG$42,$A48+2,FALSE)/Data_5!$BI43))))),"")</f>
        <v/>
      </c>
      <c r="BT48" s="1122" t="str">
        <f>IFERROR(IF(HLOOKUP(BT$15,Data_5!$F$10:$BG$42,$A48+2,FALSE)="NO","NO",IF(HLOOKUP(BT$15,Data_5!$F$10:$BG$42,$A48+2,FALSE)="IE","IE",IF(HLOOKUP(BT$15,Data_5!$F$10:$BG$42,$A48+2,FALSE)="NE","NE",IF(HLOOKUP(BT$15,Data_5!$F$10:$BG$42,$A48+2,FALSE)="C","C",IF(HLOOKUP(BT$15,Data_5!$F$10:$BG$42,$A48+2,FALSE)="NO","NO",HLOOKUP(BT$15,Data_5!$F$10:$BG$42,$A48+2,FALSE)/Data_5!$BI43))))),"")</f>
        <v/>
      </c>
      <c r="BU48" s="1122" t="str">
        <f>IFERROR(IF(HLOOKUP(BU$15,Data_5!$F$10:$BG$42,$A48+2,FALSE)="NO","NO",IF(HLOOKUP(BU$15,Data_5!$F$10:$BG$42,$A48+2,FALSE)="IE","IE",IF(HLOOKUP(BU$15,Data_5!$F$10:$BG$42,$A48+2,FALSE)="NE","NE",IF(HLOOKUP(BU$15,Data_5!$F$10:$BG$42,$A48+2,FALSE)="C","C",IF(HLOOKUP(BU$15,Data_5!$F$10:$BG$42,$A48+2,FALSE)="NO","NO",HLOOKUP(BU$15,Data_5!$F$10:$BG$42,$A48+2,FALSE)/Data_5!$BI43))))),"")</f>
        <v/>
      </c>
      <c r="BV48" s="1122" t="str">
        <f>IFERROR(IF(HLOOKUP(BV$15,Data_5!$F$10:$BG$42,$A48+2,FALSE)="NO","NO",IF(HLOOKUP(BV$15,Data_5!$F$10:$BG$42,$A48+2,FALSE)="IE","IE",IF(HLOOKUP(BV$15,Data_5!$F$10:$BG$42,$A48+2,FALSE)="NE","NE",IF(HLOOKUP(BV$15,Data_5!$F$10:$BG$42,$A48+2,FALSE)="C","C",IF(HLOOKUP(BV$15,Data_5!$F$10:$BG$42,$A48+2,FALSE)="NO","NO",HLOOKUP(BV$15,Data_5!$F$10:$BG$42,$A48+2,FALSE)/Data_5!$BI43))))),"")</f>
        <v/>
      </c>
      <c r="BW48" s="1122" t="str">
        <f>IFERROR(IF(HLOOKUP(BW$15,Data_5!$F$10:$BG$42,$A48+2,FALSE)="NO","NO",IF(HLOOKUP(BW$15,Data_5!$F$10:$BG$42,$A48+2,FALSE)="IE","IE",IF(HLOOKUP(BW$15,Data_5!$F$10:$BG$42,$A48+2,FALSE)="NE","NE",IF(HLOOKUP(BW$15,Data_5!$F$10:$BG$42,$A48+2,FALSE)="C","C",IF(HLOOKUP(BW$15,Data_5!$F$10:$BG$42,$A48+2,FALSE)="NO","NO",HLOOKUP(BW$15,Data_5!$F$10:$BG$42,$A48+2,FALSE)/Data_5!$BI43))))),"")</f>
        <v/>
      </c>
      <c r="BX48" s="1122" t="str">
        <f>IFERROR(IF(HLOOKUP(BX$15,Data_5!$F$10:$BG$42,$A48+2,FALSE)="NO","NO",IF(HLOOKUP(BX$15,Data_5!$F$10:$BG$42,$A48+2,FALSE)="IE","IE",IF(HLOOKUP(BX$15,Data_5!$F$10:$BG$42,$A48+2,FALSE)="NE","NE",IF(HLOOKUP(BX$15,Data_5!$F$10:$BG$42,$A48+2,FALSE)="C","C",IF(HLOOKUP(BX$15,Data_5!$F$10:$BG$42,$A48+2,FALSE)="NO","NO",HLOOKUP(BX$15,Data_5!$F$10:$BG$42,$A48+2,FALSE)/Data_5!$BI43))))),"")</f>
        <v/>
      </c>
      <c r="BY48" s="1122" t="str">
        <f>IFERROR(IF(HLOOKUP(BY$15,Data_5!$F$10:$BG$42,$A48+2,FALSE)="NO","NO",IF(HLOOKUP(BY$15,Data_5!$F$10:$BG$42,$A48+2,FALSE)="IE","IE",IF(HLOOKUP(BY$15,Data_5!$F$10:$BG$42,$A48+2,FALSE)="NE","NE",IF(HLOOKUP(BY$15,Data_5!$F$10:$BG$42,$A48+2,FALSE)="C","C",IF(HLOOKUP(BY$15,Data_5!$F$10:$BG$42,$A48+2,FALSE)="NO","NO",HLOOKUP(BY$15,Data_5!$F$10:$BG$42,$A48+2,FALSE)/Data_5!$BI43))))),"")</f>
        <v/>
      </c>
      <c r="BZ48" s="1122" t="str">
        <f>IFERROR(IF(HLOOKUP(BZ$15,Data_5!$F$10:$BG$42,$A48+2,FALSE)="NO","NO",IF(HLOOKUP(BZ$15,Data_5!$F$10:$BG$42,$A48+2,FALSE)="IE","IE",IF(HLOOKUP(BZ$15,Data_5!$F$10:$BG$42,$A48+2,FALSE)="NE","NE",IF(HLOOKUP(BZ$15,Data_5!$F$10:$BG$42,$A48+2,FALSE)="C","C",IF(HLOOKUP(BZ$15,Data_5!$F$10:$BG$42,$A48+2,FALSE)="NO","NO",HLOOKUP(BZ$15,Data_5!$F$10:$BG$42,$A48+2,FALSE)/Data_5!$BI43))))),"")</f>
        <v/>
      </c>
      <c r="CA48" s="1122" t="str">
        <f>IFERROR(IF(HLOOKUP(CA$15,Data_5!$F$10:$BG$42,$A48+2,FALSE)="NO","NO",IF(HLOOKUP(CA$15,Data_5!$F$10:$BG$42,$A48+2,FALSE)="IE","IE",IF(HLOOKUP(CA$15,Data_5!$F$10:$BG$42,$A48+2,FALSE)="NE","NE",IF(HLOOKUP(CA$15,Data_5!$F$10:$BG$42,$A48+2,FALSE)="C","C",IF(HLOOKUP(CA$15,Data_5!$F$10:$BG$42,$A48+2,FALSE)="NO","NO",HLOOKUP(CA$15,Data_5!$F$10:$BG$42,$A48+2,FALSE)/Data_5!$BI43))))),"")</f>
        <v/>
      </c>
      <c r="CB48" s="1122" t="str">
        <f>IFERROR(IF(HLOOKUP(CB$15,Data_5!$F$10:$BG$42,$A48+2,FALSE)="NO","NO",IF(HLOOKUP(CB$15,Data_5!$F$10:$BG$42,$A48+2,FALSE)="IE","IE",IF(HLOOKUP(CB$15,Data_5!$F$10:$BG$42,$A48+2,FALSE)="NE","NE",IF(HLOOKUP(CB$15,Data_5!$F$10:$BG$42,$A48+2,FALSE)="C","C",IF(HLOOKUP(CB$15,Data_5!$F$10:$BG$42,$A48+2,FALSE)="NO","NO",HLOOKUP(CB$15,Data_5!$F$10:$BG$42,$A48+2,FALSE)/Data_5!$BI43))))),"")</f>
        <v/>
      </c>
      <c r="CC48" s="1122" t="str">
        <f>IFERROR(IF(HLOOKUP(CC$15,Data_5!$F$10:$BG$42,$A48+2,FALSE)="NO","NO",IF(HLOOKUP(CC$15,Data_5!$F$10:$BG$42,$A48+2,FALSE)="IE","IE",IF(HLOOKUP(CC$15,Data_5!$F$10:$BG$42,$A48+2,FALSE)="NE","NE",IF(HLOOKUP(CC$15,Data_5!$F$10:$BG$42,$A48+2,FALSE)="C","C",IF(HLOOKUP(CC$15,Data_5!$F$10:$BG$42,$A48+2,FALSE)="NO","NO",HLOOKUP(CC$15,Data_5!$F$10:$BG$42,$A48+2,FALSE)/Data_5!$BI43))))),"")</f>
        <v/>
      </c>
      <c r="CD48" s="1122" t="str">
        <f>IFERROR(IF(HLOOKUP(CD$15,Data_5!$F$10:$BG$42,$A48+2,FALSE)="NO","NO",IF(HLOOKUP(CD$15,Data_5!$F$10:$BG$42,$A48+2,FALSE)="IE","IE",IF(HLOOKUP(CD$15,Data_5!$F$10:$BG$42,$A48+2,FALSE)="NE","NE",IF(HLOOKUP(CD$15,Data_5!$F$10:$BG$42,$A48+2,FALSE)="C","C",IF(HLOOKUP(CD$15,Data_5!$F$10:$BG$42,$A48+2,FALSE)="NO","NO",HLOOKUP(CD$15,Data_5!$F$10:$BG$42,$A48+2,FALSE)/Data_5!$BI43))))),"")</f>
        <v/>
      </c>
      <c r="CE48" s="1122" t="str">
        <f>IFERROR(IF(HLOOKUP(CE$15,Data_5!$F$10:$BG$42,$A48+2,FALSE)="NO","NO",IF(HLOOKUP(CE$15,Data_5!$F$10:$BG$42,$A48+2,FALSE)="IE","IE",IF(HLOOKUP(CE$15,Data_5!$F$10:$BG$42,$A48+2,FALSE)="NE","NE",IF(HLOOKUP(CE$15,Data_5!$F$10:$BG$42,$A48+2,FALSE)="C","C",IF(HLOOKUP(CE$15,Data_5!$F$10:$BG$42,$A48+2,FALSE)="NO","NO",HLOOKUP(CE$15,Data_5!$F$10:$BG$42,$A48+2,FALSE)/Data_5!$BI43))))),"")</f>
        <v/>
      </c>
      <c r="CF48" s="1122" t="str">
        <f>IFERROR(IF(HLOOKUP(CF$15,Data_5!$F$10:$BG$42,$A48+2,FALSE)="NO","NO",IF(HLOOKUP(CF$15,Data_5!$F$10:$BG$42,$A48+2,FALSE)="IE","IE",IF(HLOOKUP(CF$15,Data_5!$F$10:$BG$42,$A48+2,FALSE)="NE","NE",IF(HLOOKUP(CF$15,Data_5!$F$10:$BG$42,$A48+2,FALSE)="C","C",IF(HLOOKUP(CF$15,Data_5!$F$10:$BG$42,$A48+2,FALSE)="NO","NO",HLOOKUP(CF$15,Data_5!$F$10:$BG$42,$A48+2,FALSE)/Data_5!$BI43))))),"")</f>
        <v/>
      </c>
      <c r="CG48" s="1122" t="str">
        <f>IFERROR(IF(HLOOKUP(CG$15,Data_5!$F$10:$BG$42,$A48+2,FALSE)="NO","NO",IF(HLOOKUP(CG$15,Data_5!$F$10:$BG$42,$A48+2,FALSE)="IE","IE",IF(HLOOKUP(CG$15,Data_5!$F$10:$BG$42,$A48+2,FALSE)="NE","NE",IF(HLOOKUP(CG$15,Data_5!$F$10:$BG$42,$A48+2,FALSE)="C","C",IF(HLOOKUP(CG$15,Data_5!$F$10:$BG$42,$A48+2,FALSE)="NO","NO",HLOOKUP(CG$15,Data_5!$F$10:$BG$42,$A48+2,FALSE)/Data_5!$BI43))))),"")</f>
        <v/>
      </c>
      <c r="CH48" s="1122" t="str">
        <f>IFERROR(IF(HLOOKUP(CH$15,Data_5!$F$10:$BG$42,$A48+2,FALSE)="NO","NO",IF(HLOOKUP(CH$15,Data_5!$F$10:$BG$42,$A48+2,FALSE)="IE","IE",IF(HLOOKUP(CH$15,Data_5!$F$10:$BG$42,$A48+2,FALSE)="NE","NE",IF(HLOOKUP(CH$15,Data_5!$F$10:$BG$42,$A48+2,FALSE)="C","C",IF(HLOOKUP(CH$15,Data_5!$F$10:$BG$42,$A48+2,FALSE)="NO","NO",HLOOKUP(CH$15,Data_5!$F$10:$BG$42,$A48+2,FALSE)/Data_5!$BI43))))),"")</f>
        <v/>
      </c>
      <c r="CI48" s="1122" t="str">
        <f>IFERROR(IF(HLOOKUP(CI$15,Data_5!$F$10:$BG$42,$A48+2,FALSE)="NO","NO",IF(HLOOKUP(CI$15,Data_5!$F$10:$BG$42,$A48+2,FALSE)="IE","IE",IF(HLOOKUP(CI$15,Data_5!$F$10:$BG$42,$A48+2,FALSE)="NE","NE",IF(HLOOKUP(CI$15,Data_5!$F$10:$BG$42,$A48+2,FALSE)="C","C",IF(HLOOKUP(CI$15,Data_5!$F$10:$BG$42,$A48+2,FALSE)="NO","NO",HLOOKUP(CI$15,Data_5!$F$10:$BG$42,$A48+2,FALSE)/Data_5!$BI43))))),"")</f>
        <v/>
      </c>
      <c r="CJ48" s="1122" t="str">
        <f>IFERROR(IF(HLOOKUP(CJ$15,Data_5!$F$10:$BG$42,$A48+2,FALSE)="NO","NO",IF(HLOOKUP(CJ$15,Data_5!$F$10:$BG$42,$A48+2,FALSE)="IE","IE",IF(HLOOKUP(CJ$15,Data_5!$F$10:$BG$42,$A48+2,FALSE)="NE","NE",IF(HLOOKUP(CJ$15,Data_5!$F$10:$BG$42,$A48+2,FALSE)="C","C",IF(HLOOKUP(CJ$15,Data_5!$F$10:$BG$42,$A48+2,FALSE)="NO","NO",HLOOKUP(CJ$15,Data_5!$F$10:$BG$42,$A48+2,FALSE)/Data_5!$BI43))))),"")</f>
        <v/>
      </c>
      <c r="CL48" s="2628" t="str">
        <f t="shared" ca="1" si="6"/>
        <v/>
      </c>
      <c r="CM48" s="2629"/>
      <c r="CN48" s="1100" t="str">
        <f t="shared" ca="1" si="7"/>
        <v/>
      </c>
      <c r="CO48" s="1122" t="str">
        <f>IFERROR(IF(HLOOKUP(CO$15,Data_5!$F$10:$BG$42,$A48+2,FALSE)="NO","NO",IF(HLOOKUP(CO$15,Data_5!$F$10:$BG$42,$A48+2,FALSE)="IE","IE",IF(HLOOKUP(CO$15,Data_5!$F$10:$BG$42,$A48+2,FALSE)="NE","NE",IF(HLOOKUP(CO$15,Data_5!$F$10:$BG$42,$A48+2,FALSE)="C","C",IF(HLOOKUP(CO$15,Data_5!$F$10:$BG$42,$A48+2,FALSE)="NO","NO",HLOOKUP(CO$15,Data_5!$F$10:$BG$42,$A48+2,FALSE)/Data_5!$BK43))))),"")</f>
        <v/>
      </c>
      <c r="CP48" s="1122" t="str">
        <f>IFERROR(IF(HLOOKUP(CP$15,Data_5!$F$10:$BG$42,$A48+2,FALSE)="NO","NO",IF(HLOOKUP(CP$15,Data_5!$F$10:$BG$42,$A48+2,FALSE)="IE","IE",IF(HLOOKUP(CP$15,Data_5!$F$10:$BG$42,$A48+2,FALSE)="NE","NE",IF(HLOOKUP(CP$15,Data_5!$F$10:$BG$42,$A48+2,FALSE)="C","C",IF(HLOOKUP(CP$15,Data_5!$F$10:$BG$42,$A48+2,FALSE)="NO","NO",HLOOKUP(CP$15,Data_5!$F$10:$BG$42,$A48+2,FALSE)/Data_5!$BK43))))),"")</f>
        <v/>
      </c>
      <c r="CQ48" s="1122" t="str">
        <f>IFERROR(IF(HLOOKUP(CQ$15,Data_5!$F$10:$BG$42,$A48+2,FALSE)="NO","NO",IF(HLOOKUP(CQ$15,Data_5!$F$10:$BG$42,$A48+2,FALSE)="IE","IE",IF(HLOOKUP(CQ$15,Data_5!$F$10:$BG$42,$A48+2,FALSE)="NE","NE",IF(HLOOKUP(CQ$15,Data_5!$F$10:$BG$42,$A48+2,FALSE)="C","C",IF(HLOOKUP(CQ$15,Data_5!$F$10:$BG$42,$A48+2,FALSE)="NO","NO",HLOOKUP(CQ$15,Data_5!$F$10:$BG$42,$A48+2,FALSE)/Data_5!$BK43))))),"")</f>
        <v/>
      </c>
      <c r="CR48" s="1122" t="str">
        <f>IFERROR(IF(HLOOKUP(CR$15,Data_5!$F$10:$BG$42,$A48+2,FALSE)="NO","NO",IF(HLOOKUP(CR$15,Data_5!$F$10:$BG$42,$A48+2,FALSE)="IE","IE",IF(HLOOKUP(CR$15,Data_5!$F$10:$BG$42,$A48+2,FALSE)="NE","NE",IF(HLOOKUP(CR$15,Data_5!$F$10:$BG$42,$A48+2,FALSE)="C","C",IF(HLOOKUP(CR$15,Data_5!$F$10:$BG$42,$A48+2,FALSE)="NO","NO",HLOOKUP(CR$15,Data_5!$F$10:$BG$42,$A48+2,FALSE)/Data_5!$BK43))))),"")</f>
        <v/>
      </c>
      <c r="CS48" s="1122" t="str">
        <f>IFERROR(IF(HLOOKUP(CS$15,Data_5!$F$10:$BG$42,$A48+2,FALSE)="NO","NO",IF(HLOOKUP(CS$15,Data_5!$F$10:$BG$42,$A48+2,FALSE)="IE","IE",IF(HLOOKUP(CS$15,Data_5!$F$10:$BG$42,$A48+2,FALSE)="NE","NE",IF(HLOOKUP(CS$15,Data_5!$F$10:$BG$42,$A48+2,FALSE)="C","C",IF(HLOOKUP(CS$15,Data_5!$F$10:$BG$42,$A48+2,FALSE)="NO","NO",HLOOKUP(CS$15,Data_5!$F$10:$BG$42,$A48+2,FALSE)/Data_5!$BK43))))),"")</f>
        <v/>
      </c>
      <c r="CT48" s="1122" t="str">
        <f>IFERROR(IF(HLOOKUP(CT$15,Data_5!$F$10:$BG$42,$A48+2,FALSE)="NO","NO",IF(HLOOKUP(CT$15,Data_5!$F$10:$BG$42,$A48+2,FALSE)="IE","IE",IF(HLOOKUP(CT$15,Data_5!$F$10:$BG$42,$A48+2,FALSE)="NE","NE",IF(HLOOKUP(CT$15,Data_5!$F$10:$BG$42,$A48+2,FALSE)="C","C",IF(HLOOKUP(CT$15,Data_5!$F$10:$BG$42,$A48+2,FALSE)="NO","NO",HLOOKUP(CT$15,Data_5!$F$10:$BG$42,$A48+2,FALSE)/Data_5!$BK43))))),"")</f>
        <v/>
      </c>
      <c r="CU48" s="1122" t="str">
        <f>IFERROR(IF(HLOOKUP(CU$15,Data_5!$F$10:$BG$42,$A48+2,FALSE)="NO","NO",IF(HLOOKUP(CU$15,Data_5!$F$10:$BG$42,$A48+2,FALSE)="IE","IE",IF(HLOOKUP(CU$15,Data_5!$F$10:$BG$42,$A48+2,FALSE)="NE","NE",IF(HLOOKUP(CU$15,Data_5!$F$10:$BG$42,$A48+2,FALSE)="C","C",IF(HLOOKUP(CU$15,Data_5!$F$10:$BG$42,$A48+2,FALSE)="NO","NO",HLOOKUP(CU$15,Data_5!$F$10:$BG$42,$A48+2,FALSE)/Data_5!$BK43))))),"")</f>
        <v/>
      </c>
      <c r="CV48" s="1122" t="str">
        <f>IFERROR(IF(HLOOKUP(CV$15,Data_5!$F$10:$BG$42,$A48+2,FALSE)="NO","NO",IF(HLOOKUP(CV$15,Data_5!$F$10:$BG$42,$A48+2,FALSE)="IE","IE",IF(HLOOKUP(CV$15,Data_5!$F$10:$BG$42,$A48+2,FALSE)="NE","NE",IF(HLOOKUP(CV$15,Data_5!$F$10:$BG$42,$A48+2,FALSE)="C","C",IF(HLOOKUP(CV$15,Data_5!$F$10:$BG$42,$A48+2,FALSE)="NO","NO",HLOOKUP(CV$15,Data_5!$F$10:$BG$42,$A48+2,FALSE)/Data_5!$BK43))))),"")</f>
        <v/>
      </c>
      <c r="CW48" s="1122" t="str">
        <f>IFERROR(IF(HLOOKUP(CW$15,Data_5!$F$10:$BG$42,$A48+2,FALSE)="NO","NO",IF(HLOOKUP(CW$15,Data_5!$F$10:$BG$42,$A48+2,FALSE)="IE","IE",IF(HLOOKUP(CW$15,Data_5!$F$10:$BG$42,$A48+2,FALSE)="NE","NE",IF(HLOOKUP(CW$15,Data_5!$F$10:$BG$42,$A48+2,FALSE)="C","C",IF(HLOOKUP(CW$15,Data_5!$F$10:$BG$42,$A48+2,FALSE)="NO","NO",HLOOKUP(CW$15,Data_5!$F$10:$BG$42,$A48+2,FALSE)/Data_5!$BK43))))),"")</f>
        <v/>
      </c>
      <c r="CX48" s="1122" t="str">
        <f>IFERROR(IF(HLOOKUP(CX$15,Data_5!$F$10:$BG$42,$A48+2,FALSE)="NO","NO",IF(HLOOKUP(CX$15,Data_5!$F$10:$BG$42,$A48+2,FALSE)="IE","IE",IF(HLOOKUP(CX$15,Data_5!$F$10:$BG$42,$A48+2,FALSE)="NE","NE",IF(HLOOKUP(CX$15,Data_5!$F$10:$BG$42,$A48+2,FALSE)="C","C",IF(HLOOKUP(CX$15,Data_5!$F$10:$BG$42,$A48+2,FALSE)="NO","NO",HLOOKUP(CX$15,Data_5!$F$10:$BG$42,$A48+2,FALSE)/Data_5!$BK43))))),"")</f>
        <v/>
      </c>
      <c r="CY48" s="1122" t="str">
        <f>IFERROR(IF(HLOOKUP(CY$15,Data_5!$F$10:$BG$42,$A48+2,FALSE)="NO","NO",IF(HLOOKUP(CY$15,Data_5!$F$10:$BG$42,$A48+2,FALSE)="IE","IE",IF(HLOOKUP(CY$15,Data_5!$F$10:$BG$42,$A48+2,FALSE)="NE","NE",IF(HLOOKUP(CY$15,Data_5!$F$10:$BG$42,$A48+2,FALSE)="C","C",IF(HLOOKUP(CY$15,Data_5!$F$10:$BG$42,$A48+2,FALSE)="NO","NO",HLOOKUP(CY$15,Data_5!$F$10:$BG$42,$A48+2,FALSE)/Data_5!$BK43))))),"")</f>
        <v/>
      </c>
      <c r="CZ48" s="1122" t="str">
        <f>IFERROR(IF(HLOOKUP(CZ$15,Data_5!$F$10:$BG$42,$A48+2,FALSE)="NO","NO",IF(HLOOKUP(CZ$15,Data_5!$F$10:$BG$42,$A48+2,FALSE)="IE","IE",IF(HLOOKUP(CZ$15,Data_5!$F$10:$BG$42,$A48+2,FALSE)="NE","NE",IF(HLOOKUP(CZ$15,Data_5!$F$10:$BG$42,$A48+2,FALSE)="C","C",IF(HLOOKUP(CZ$15,Data_5!$F$10:$BG$42,$A48+2,FALSE)="NO","NO",HLOOKUP(CZ$15,Data_5!$F$10:$BG$42,$A48+2,FALSE)/Data_5!$BK43))))),"")</f>
        <v/>
      </c>
      <c r="DA48" s="1122" t="str">
        <f>IFERROR(IF(HLOOKUP(DA$15,Data_5!$F$10:$BG$42,$A48+2,FALSE)="NO","NO",IF(HLOOKUP(DA$15,Data_5!$F$10:$BG$42,$A48+2,FALSE)="IE","IE",IF(HLOOKUP(DA$15,Data_5!$F$10:$BG$42,$A48+2,FALSE)="NE","NE",IF(HLOOKUP(DA$15,Data_5!$F$10:$BG$42,$A48+2,FALSE)="C","C",IF(HLOOKUP(DA$15,Data_5!$F$10:$BG$42,$A48+2,FALSE)="NO","NO",HLOOKUP(DA$15,Data_5!$F$10:$BG$42,$A48+2,FALSE)/Data_5!$BK43))))),"")</f>
        <v/>
      </c>
      <c r="DB48" s="1122" t="str">
        <f>IFERROR(IF(HLOOKUP(DB$15,Data_5!$F$10:$BG$42,$A48+2,FALSE)="NO","NO",IF(HLOOKUP(DB$15,Data_5!$F$10:$BG$42,$A48+2,FALSE)="IE","IE",IF(HLOOKUP(DB$15,Data_5!$F$10:$BG$42,$A48+2,FALSE)="NE","NE",IF(HLOOKUP(DB$15,Data_5!$F$10:$BG$42,$A48+2,FALSE)="C","C",IF(HLOOKUP(DB$15,Data_5!$F$10:$BG$42,$A48+2,FALSE)="NO","NO",HLOOKUP(DB$15,Data_5!$F$10:$BG$42,$A48+2,FALSE)/Data_5!$BK43))))),"")</f>
        <v/>
      </c>
      <c r="DC48" s="1122" t="str">
        <f>IFERROR(IF(HLOOKUP(DC$15,Data_5!$F$10:$BG$42,$A48+2,FALSE)="NO","NO",IF(HLOOKUP(DC$15,Data_5!$F$10:$BG$42,$A48+2,FALSE)="IE","IE",IF(HLOOKUP(DC$15,Data_5!$F$10:$BG$42,$A48+2,FALSE)="NE","NE",IF(HLOOKUP(DC$15,Data_5!$F$10:$BG$42,$A48+2,FALSE)="C","C",IF(HLOOKUP(DC$15,Data_5!$F$10:$BG$42,$A48+2,FALSE)="NO","NO",HLOOKUP(DC$15,Data_5!$F$10:$BG$42,$A48+2,FALSE)/Data_5!$BK43))))),"")</f>
        <v/>
      </c>
      <c r="DD48" s="1122" t="str">
        <f>IFERROR(IF(HLOOKUP(DD$15,Data_5!$F$10:$BG$42,$A48+2,FALSE)="NO","NO",IF(HLOOKUP(DD$15,Data_5!$F$10:$BG$42,$A48+2,FALSE)="IE","IE",IF(HLOOKUP(DD$15,Data_5!$F$10:$BG$42,$A48+2,FALSE)="NE","NE",IF(HLOOKUP(DD$15,Data_5!$F$10:$BG$42,$A48+2,FALSE)="C","C",IF(HLOOKUP(DD$15,Data_5!$F$10:$BG$42,$A48+2,FALSE)="NO","NO",HLOOKUP(DD$15,Data_5!$F$10:$BG$42,$A48+2,FALSE)/Data_5!$BK43))))),"")</f>
        <v/>
      </c>
      <c r="DE48" s="1122" t="str">
        <f>IFERROR(IF(HLOOKUP(DE$15,Data_5!$F$10:$BG$42,$A48+2,FALSE)="NO","NO",IF(HLOOKUP(DE$15,Data_5!$F$10:$BG$42,$A48+2,FALSE)="IE","IE",IF(HLOOKUP(DE$15,Data_5!$F$10:$BG$42,$A48+2,FALSE)="NE","NE",IF(HLOOKUP(DE$15,Data_5!$F$10:$BG$42,$A48+2,FALSE)="C","C",IF(HLOOKUP(DE$15,Data_5!$F$10:$BG$42,$A48+2,FALSE)="NO","NO",HLOOKUP(DE$15,Data_5!$F$10:$BG$42,$A48+2,FALSE)/Data_5!$BK43))))),"")</f>
        <v/>
      </c>
      <c r="DF48" s="1122" t="str">
        <f>IFERROR(IF(HLOOKUP(DF$15,Data_5!$F$10:$BG$42,$A48+2,FALSE)="NO","NO",IF(HLOOKUP(DF$15,Data_5!$F$10:$BG$42,$A48+2,FALSE)="IE","IE",IF(HLOOKUP(DF$15,Data_5!$F$10:$BG$42,$A48+2,FALSE)="NE","NE",IF(HLOOKUP(DF$15,Data_5!$F$10:$BG$42,$A48+2,FALSE)="C","C",IF(HLOOKUP(DF$15,Data_5!$F$10:$BG$42,$A48+2,FALSE)="NO","NO",HLOOKUP(DF$15,Data_5!$F$10:$BG$42,$A48+2,FALSE)/Data_5!$BK43))))),"")</f>
        <v/>
      </c>
      <c r="DG48" s="1122" t="str">
        <f>IFERROR(IF(HLOOKUP(DG$15,Data_5!$F$10:$BG$42,$A48+2,FALSE)="NO","NO",IF(HLOOKUP(DG$15,Data_5!$F$10:$BG$42,$A48+2,FALSE)="IE","IE",IF(HLOOKUP(DG$15,Data_5!$F$10:$BG$42,$A48+2,FALSE)="NE","NE",IF(HLOOKUP(DG$15,Data_5!$F$10:$BG$42,$A48+2,FALSE)="C","C",IF(HLOOKUP(DG$15,Data_5!$F$10:$BG$42,$A48+2,FALSE)="NO","NO",HLOOKUP(DG$15,Data_5!$F$10:$BG$42,$A48+2,FALSE)/Data_5!$BK43))))),"")</f>
        <v/>
      </c>
      <c r="DH48" s="1122" t="str">
        <f>IFERROR(IF(HLOOKUP(DH$15,Data_5!$F$10:$BG$42,$A48+2,FALSE)="NO","NO",IF(HLOOKUP(DH$15,Data_5!$F$10:$BG$42,$A48+2,FALSE)="IE","IE",IF(HLOOKUP(DH$15,Data_5!$F$10:$BG$42,$A48+2,FALSE)="NE","NE",IF(HLOOKUP(DH$15,Data_5!$F$10:$BG$42,$A48+2,FALSE)="C","C",IF(HLOOKUP(DH$15,Data_5!$F$10:$BG$42,$A48+2,FALSE)="NO","NO",HLOOKUP(DH$15,Data_5!$F$10:$BG$42,$A48+2,FALSE)/Data_5!$BK43))))),"")</f>
        <v/>
      </c>
      <c r="DI48" s="1122" t="str">
        <f>IFERROR(IF(HLOOKUP(DI$15,Data_5!$F$10:$BG$42,$A48+2,FALSE)="NO","NO",IF(HLOOKUP(DI$15,Data_5!$F$10:$BG$42,$A48+2,FALSE)="IE","IE",IF(HLOOKUP(DI$15,Data_5!$F$10:$BG$42,$A48+2,FALSE)="NE","NE",IF(HLOOKUP(DI$15,Data_5!$F$10:$BG$42,$A48+2,FALSE)="C","C",IF(HLOOKUP(DI$15,Data_5!$F$10:$BG$42,$A48+2,FALSE)="NO","NO",HLOOKUP(DI$15,Data_5!$F$10:$BG$42,$A48+2,FALSE)/Data_5!$BK43))))),"")</f>
        <v/>
      </c>
      <c r="DJ48" s="1122" t="str">
        <f>IFERROR(IF(HLOOKUP(DJ$15,Data_5!$F$10:$BG$42,$A48+2,FALSE)="NO","NO",IF(HLOOKUP(DJ$15,Data_5!$F$10:$BG$42,$A48+2,FALSE)="IE","IE",IF(HLOOKUP(DJ$15,Data_5!$F$10:$BG$42,$A48+2,FALSE)="NE","NE",IF(HLOOKUP(DJ$15,Data_5!$F$10:$BG$42,$A48+2,FALSE)="C","C",IF(HLOOKUP(DJ$15,Data_5!$F$10:$BG$42,$A48+2,FALSE)="NO","NO",HLOOKUP(DJ$15,Data_5!$F$10:$BG$42,$A48+2,FALSE)/Data_5!$BK43))))),"")</f>
        <v/>
      </c>
      <c r="DK48" s="1122" t="str">
        <f>IFERROR(IF(HLOOKUP(DK$15,Data_5!$F$10:$BG$42,$A48+2,FALSE)="NO","NO",IF(HLOOKUP(DK$15,Data_5!$F$10:$BG$42,$A48+2,FALSE)="IE","IE",IF(HLOOKUP(DK$15,Data_5!$F$10:$BG$42,$A48+2,FALSE)="NE","NE",IF(HLOOKUP(DK$15,Data_5!$F$10:$BG$42,$A48+2,FALSE)="C","C",IF(HLOOKUP(DK$15,Data_5!$F$10:$BG$42,$A48+2,FALSE)="NO","NO",HLOOKUP(DK$15,Data_5!$F$10:$BG$42,$A48+2,FALSE)/Data_5!$BK43))))),"")</f>
        <v/>
      </c>
      <c r="DL48" s="1122" t="str">
        <f>IFERROR(IF(HLOOKUP(DL$15,Data_5!$F$10:$BG$42,$A48+2,FALSE)="NO","NO",IF(HLOOKUP(DL$15,Data_5!$F$10:$BG$42,$A48+2,FALSE)="IE","IE",IF(HLOOKUP(DL$15,Data_5!$F$10:$BG$42,$A48+2,FALSE)="NE","NE",IF(HLOOKUP(DL$15,Data_5!$F$10:$BG$42,$A48+2,FALSE)="C","C",IF(HLOOKUP(DL$15,Data_5!$F$10:$BG$42,$A48+2,FALSE)="NO","NO",HLOOKUP(DL$15,Data_5!$F$10:$BG$42,$A48+2,FALSE)/Data_5!$BK43))))),"")</f>
        <v/>
      </c>
      <c r="DM48" s="1122" t="str">
        <f>IFERROR(IF(HLOOKUP(DM$15,Data_5!$F$10:$BG$42,$A48+2,FALSE)="NO","NO",IF(HLOOKUP(DM$15,Data_5!$F$10:$BG$42,$A48+2,FALSE)="IE","IE",IF(HLOOKUP(DM$15,Data_5!$F$10:$BG$42,$A48+2,FALSE)="NE","NE",IF(HLOOKUP(DM$15,Data_5!$F$10:$BG$42,$A48+2,FALSE)="C","C",IF(HLOOKUP(DM$15,Data_5!$F$10:$BG$42,$A48+2,FALSE)="NO","NO",HLOOKUP(DM$15,Data_5!$F$10:$BG$42,$A48+2,FALSE)/Data_5!$BK43))))),"")</f>
        <v/>
      </c>
      <c r="DN48" s="1122" t="str">
        <f>IFERROR(IF(HLOOKUP(DN$15,Data_5!$F$10:$BG$42,$A48+2,FALSE)="NO","NO",IF(HLOOKUP(DN$15,Data_5!$F$10:$BG$42,$A48+2,FALSE)="IE","IE",IF(HLOOKUP(DN$15,Data_5!$F$10:$BG$42,$A48+2,FALSE)="NE","NE",IF(HLOOKUP(DN$15,Data_5!$F$10:$BG$42,$A48+2,FALSE)="C","C",IF(HLOOKUP(DN$15,Data_5!$F$10:$BG$42,$A48+2,FALSE)="NO","NO",HLOOKUP(DN$15,Data_5!$F$10:$BG$42,$A48+2,FALSE)/Data_5!$BK43))))),"")</f>
        <v/>
      </c>
      <c r="DO48" s="1122" t="str">
        <f>IFERROR(IF(HLOOKUP(DO$15,Data_5!$F$10:$BG$42,$A48+2,FALSE)="NO","NO",IF(HLOOKUP(DO$15,Data_5!$F$10:$BG$42,$A48+2,FALSE)="IE","IE",IF(HLOOKUP(DO$15,Data_5!$F$10:$BG$42,$A48+2,FALSE)="NE","NE",IF(HLOOKUP(DO$15,Data_5!$F$10:$BG$42,$A48+2,FALSE)="C","C",IF(HLOOKUP(DO$15,Data_5!$F$10:$BG$42,$A48+2,FALSE)="NO","NO",HLOOKUP(DO$15,Data_5!$F$10:$BG$42,$A48+2,FALSE)/Data_5!$BK43))))),"")</f>
        <v/>
      </c>
    </row>
    <row r="49" spans="1:119" ht="15" customHeight="1">
      <c r="A49" s="1789">
        <v>33</v>
      </c>
      <c r="B49" s="2628" t="str">
        <f ca="1">IF(Data_5!B44&lt;&gt;"",Data_5!B44,"")</f>
        <v/>
      </c>
      <c r="C49" s="2629"/>
      <c r="D49" s="1462">
        <f ca="1">IFERROR(VLOOKUP($B49,Data_5!$B$12:$C$42,2,FALSE),"")</f>
        <v>0</v>
      </c>
      <c r="E49" s="1122" t="str">
        <f>IFERROR(IF(HLOOKUP(E$15,Data_5!$F$10:$BG$42,$A49+2,FALSE)="NO","NO",IF(HLOOKUP(E$15,Data_5!$F$10:$BG$42,$A49+2,FALSE)="IE","IE",IF(HLOOKUP(E$15,Data_5!$F$10:$BG$42,$A49+2,FALSE)="NE","NE",IF(HLOOKUP(E$15,Data_5!$F$10:$BG$42,$A49+2,FALSE)="C","C",IF(HLOOKUP(E$15,Data_5!$F$10:$BG$42,$A49+2,FALSE)="NO","NO",HLOOKUP(E$15,Data_5!$F$10:$BG$42,$A49+2,FALSE)/Data_5!$BH44))))),"")</f>
        <v/>
      </c>
      <c r="F49" s="1122" t="str">
        <f>IFERROR(IF(HLOOKUP(F$15,Data_5!$F$10:$BG$42,$A49+2,FALSE)="NO","NO",IF(HLOOKUP(F$15,Data_5!$F$10:$BG$42,$A49+2,FALSE)="IE","IE",IF(HLOOKUP(F$15,Data_5!$F$10:$BG$42,$A49+2,FALSE)="NE","NE",IF(HLOOKUP(F$15,Data_5!$F$10:$BG$42,$A49+2,FALSE)="C","C",IF(HLOOKUP(F$15,Data_5!$F$10:$BG$42,$A49+2,FALSE)="NO","NO",HLOOKUP(F$15,Data_5!$F$10:$BG$42,$A49+2,FALSE)/Data_5!$BH44))))),"")</f>
        <v/>
      </c>
      <c r="G49" s="1122" t="str">
        <f>IFERROR(IF(HLOOKUP(G$15,Data_5!$F$10:$BG$42,$A49+2,FALSE)="NO","NO",IF(HLOOKUP(G$15,Data_5!$F$10:$BG$42,$A49+2,FALSE)="IE","IE",IF(HLOOKUP(G$15,Data_5!$F$10:$BG$42,$A49+2,FALSE)="NE","NE",IF(HLOOKUP(G$15,Data_5!$F$10:$BG$42,$A49+2,FALSE)="C","C",IF(HLOOKUP(G$15,Data_5!$F$10:$BG$42,$A49+2,FALSE)="NO","NO",HLOOKUP(G$15,Data_5!$F$10:$BG$42,$A49+2,FALSE)/Data_5!$BH44))))),"")</f>
        <v/>
      </c>
      <c r="H49" s="1122" t="str">
        <f>IFERROR(IF(HLOOKUP(H$15,Data_5!$F$10:$BG$42,$A49+2,FALSE)="NO","NO",IF(HLOOKUP(H$15,Data_5!$F$10:$BG$42,$A49+2,FALSE)="IE","IE",IF(HLOOKUP(H$15,Data_5!$F$10:$BG$42,$A49+2,FALSE)="NE","NE",IF(HLOOKUP(H$15,Data_5!$F$10:$BG$42,$A49+2,FALSE)="C","C",IF(HLOOKUP(H$15,Data_5!$F$10:$BG$42,$A49+2,FALSE)="NO","NO",HLOOKUP(H$15,Data_5!$F$10:$BG$42,$A49+2,FALSE)/Data_5!$BH44))))),"")</f>
        <v/>
      </c>
      <c r="I49" s="1122" t="str">
        <f>IFERROR(IF(HLOOKUP(I$15,Data_5!$F$10:$BG$42,$A49+2,FALSE)="NO","NO",IF(HLOOKUP(I$15,Data_5!$F$10:$BG$42,$A49+2,FALSE)="IE","IE",IF(HLOOKUP(I$15,Data_5!$F$10:$BG$42,$A49+2,FALSE)="NE","NE",IF(HLOOKUP(I$15,Data_5!$F$10:$BG$42,$A49+2,FALSE)="C","C",IF(HLOOKUP(I$15,Data_5!$F$10:$BG$42,$A49+2,FALSE)="NO","NO",HLOOKUP(I$15,Data_5!$F$10:$BG$42,$A49+2,FALSE)/Data_5!$BH44))))),"")</f>
        <v/>
      </c>
      <c r="J49" s="1122" t="str">
        <f>IFERROR(IF(HLOOKUP(J$15,Data_5!$F$10:$BG$42,$A49+2,FALSE)="NO","NO",IF(HLOOKUP(J$15,Data_5!$F$10:$BG$42,$A49+2,FALSE)="IE","IE",IF(HLOOKUP(J$15,Data_5!$F$10:$BG$42,$A49+2,FALSE)="NE","NE",IF(HLOOKUP(J$15,Data_5!$F$10:$BG$42,$A49+2,FALSE)="C","C",IF(HLOOKUP(J$15,Data_5!$F$10:$BG$42,$A49+2,FALSE)="NO","NO",HLOOKUP(J$15,Data_5!$F$10:$BG$42,$A49+2,FALSE)/Data_5!$BH44))))),"")</f>
        <v/>
      </c>
      <c r="K49" s="1122" t="str">
        <f>IFERROR(IF(HLOOKUP(K$15,Data_5!$F$10:$BG$42,$A49+2,FALSE)="NO","NO",IF(HLOOKUP(K$15,Data_5!$F$10:$BG$42,$A49+2,FALSE)="IE","IE",IF(HLOOKUP(K$15,Data_5!$F$10:$BG$42,$A49+2,FALSE)="NE","NE",IF(HLOOKUP(K$15,Data_5!$F$10:$BG$42,$A49+2,FALSE)="C","C",IF(HLOOKUP(K$15,Data_5!$F$10:$BG$42,$A49+2,FALSE)="NO","NO",HLOOKUP(K$15,Data_5!$F$10:$BG$42,$A49+2,FALSE)/Data_5!$BH44))))),"")</f>
        <v/>
      </c>
      <c r="L49" s="1122" t="str">
        <f>IFERROR(IF(HLOOKUP(L$15,Data_5!$F$10:$BG$42,$A49+2,FALSE)="NO","NO",IF(HLOOKUP(L$15,Data_5!$F$10:$BG$42,$A49+2,FALSE)="IE","IE",IF(HLOOKUP(L$15,Data_5!$F$10:$BG$42,$A49+2,FALSE)="NE","NE",IF(HLOOKUP(L$15,Data_5!$F$10:$BG$42,$A49+2,FALSE)="C","C",IF(HLOOKUP(L$15,Data_5!$F$10:$BG$42,$A49+2,FALSE)="NO","NO",HLOOKUP(L$15,Data_5!$F$10:$BG$42,$A49+2,FALSE)/Data_5!$BH44))))),"")</f>
        <v/>
      </c>
      <c r="M49" s="1122" t="str">
        <f>IFERROR(IF(HLOOKUP(M$15,Data_5!$F$10:$BG$42,$A49+2,FALSE)="NO","NO",IF(HLOOKUP(M$15,Data_5!$F$10:$BG$42,$A49+2,FALSE)="IE","IE",IF(HLOOKUP(M$15,Data_5!$F$10:$BG$42,$A49+2,FALSE)="NE","NE",IF(HLOOKUP(M$15,Data_5!$F$10:$BG$42,$A49+2,FALSE)="C","C",IF(HLOOKUP(M$15,Data_5!$F$10:$BG$42,$A49+2,FALSE)="NO","NO",HLOOKUP(M$15,Data_5!$F$10:$BG$42,$A49+2,FALSE)/Data_5!$BH44))))),"")</f>
        <v/>
      </c>
      <c r="N49" s="1122" t="str">
        <f>IFERROR(IF(HLOOKUP(N$15,Data_5!$F$10:$BG$42,$A49+2,FALSE)="NO","NO",IF(HLOOKUP(N$15,Data_5!$F$10:$BG$42,$A49+2,FALSE)="IE","IE",IF(HLOOKUP(N$15,Data_5!$F$10:$BG$42,$A49+2,FALSE)="NE","NE",IF(HLOOKUP(N$15,Data_5!$F$10:$BG$42,$A49+2,FALSE)="C","C",IF(HLOOKUP(N$15,Data_5!$F$10:$BG$42,$A49+2,FALSE)="NO","NO",HLOOKUP(N$15,Data_5!$F$10:$BG$42,$A49+2,FALSE)/Data_5!$BH44))))),"")</f>
        <v/>
      </c>
      <c r="O49" s="1122" t="str">
        <f>IFERROR(IF(HLOOKUP(O$15,Data_5!$F$10:$BG$42,$A49+2,FALSE)="NO","NO",IF(HLOOKUP(O$15,Data_5!$F$10:$BG$42,$A49+2,FALSE)="IE","IE",IF(HLOOKUP(O$15,Data_5!$F$10:$BG$42,$A49+2,FALSE)="NE","NE",IF(HLOOKUP(O$15,Data_5!$F$10:$BG$42,$A49+2,FALSE)="C","C",IF(HLOOKUP(O$15,Data_5!$F$10:$BG$42,$A49+2,FALSE)="NO","NO",HLOOKUP(O$15,Data_5!$F$10:$BG$42,$A49+2,FALSE)/Data_5!$BH44))))),"")</f>
        <v/>
      </c>
      <c r="P49" s="1122" t="str">
        <f>IFERROR(IF(HLOOKUP(P$15,Data_5!$F$10:$BG$42,$A49+2,FALSE)="NO","NO",IF(HLOOKUP(P$15,Data_5!$F$10:$BG$42,$A49+2,FALSE)="IE","IE",IF(HLOOKUP(P$15,Data_5!$F$10:$BG$42,$A49+2,FALSE)="NE","NE",IF(HLOOKUP(P$15,Data_5!$F$10:$BG$42,$A49+2,FALSE)="C","C",IF(HLOOKUP(P$15,Data_5!$F$10:$BG$42,$A49+2,FALSE)="NO","NO",HLOOKUP(P$15,Data_5!$F$10:$BG$42,$A49+2,FALSE)/Data_5!$BH44))))),"")</f>
        <v/>
      </c>
      <c r="Q49" s="1122" t="str">
        <f>IFERROR(IF(HLOOKUP(Q$15,Data_5!$F$10:$BG$42,$A49+2,FALSE)="NO","NO",IF(HLOOKUP(Q$15,Data_5!$F$10:$BG$42,$A49+2,FALSE)="IE","IE",IF(HLOOKUP(Q$15,Data_5!$F$10:$BG$42,$A49+2,FALSE)="NE","NE",IF(HLOOKUP(Q$15,Data_5!$F$10:$BG$42,$A49+2,FALSE)="C","C",IF(HLOOKUP(Q$15,Data_5!$F$10:$BG$42,$A49+2,FALSE)="NO","NO",HLOOKUP(Q$15,Data_5!$F$10:$BG$42,$A49+2,FALSE)/Data_5!$BH44))))),"")</f>
        <v/>
      </c>
      <c r="R49" s="1122" t="str">
        <f>IFERROR(IF(HLOOKUP(R$15,Data_5!$F$10:$BG$42,$A49+2,FALSE)="NO","NO",IF(HLOOKUP(R$15,Data_5!$F$10:$BG$42,$A49+2,FALSE)="IE","IE",IF(HLOOKUP(R$15,Data_5!$F$10:$BG$42,$A49+2,FALSE)="NE","NE",IF(HLOOKUP(R$15,Data_5!$F$10:$BG$42,$A49+2,FALSE)="C","C",IF(HLOOKUP(R$15,Data_5!$F$10:$BG$42,$A49+2,FALSE)="NO","NO",HLOOKUP(R$15,Data_5!$F$10:$BG$42,$A49+2,FALSE)/Data_5!$BH44))))),"")</f>
        <v/>
      </c>
      <c r="S49" s="1122" t="str">
        <f>IFERROR(IF(HLOOKUP(S$15,Data_5!$F$10:$BG$42,$A49+2,FALSE)="NO","NO",IF(HLOOKUP(S$15,Data_5!$F$10:$BG$42,$A49+2,FALSE)="IE","IE",IF(HLOOKUP(S$15,Data_5!$F$10:$BG$42,$A49+2,FALSE)="NE","NE",IF(HLOOKUP(S$15,Data_5!$F$10:$BG$42,$A49+2,FALSE)="C","C",IF(HLOOKUP(S$15,Data_5!$F$10:$BG$42,$A49+2,FALSE)="NO","NO",HLOOKUP(S$15,Data_5!$F$10:$BG$42,$A49+2,FALSE)/Data_5!$BH44))))),"")</f>
        <v/>
      </c>
      <c r="T49" s="1122" t="str">
        <f>IFERROR(IF(HLOOKUP(T$15,Data_5!$F$10:$BG$42,$A49+2,FALSE)="NO","NO",IF(HLOOKUP(T$15,Data_5!$F$10:$BG$42,$A49+2,FALSE)="IE","IE",IF(HLOOKUP(T$15,Data_5!$F$10:$BG$42,$A49+2,FALSE)="NE","NE",IF(HLOOKUP(T$15,Data_5!$F$10:$BG$42,$A49+2,FALSE)="C","C",IF(HLOOKUP(T$15,Data_5!$F$10:$BG$42,$A49+2,FALSE)="NO","NO",HLOOKUP(T$15,Data_5!$F$10:$BG$42,$A49+2,FALSE)/Data_5!$BH44))))),"")</f>
        <v/>
      </c>
      <c r="U49" s="1122" t="str">
        <f>IFERROR(IF(HLOOKUP(U$15,Data_5!$F$10:$BG$42,$A49+2,FALSE)="NO","NO",IF(HLOOKUP(U$15,Data_5!$F$10:$BG$42,$A49+2,FALSE)="IE","IE",IF(HLOOKUP(U$15,Data_5!$F$10:$BG$42,$A49+2,FALSE)="NE","NE",IF(HLOOKUP(U$15,Data_5!$F$10:$BG$42,$A49+2,FALSE)="C","C",IF(HLOOKUP(U$15,Data_5!$F$10:$BG$42,$A49+2,FALSE)="NO","NO",HLOOKUP(U$15,Data_5!$F$10:$BG$42,$A49+2,FALSE)/Data_5!$BH44))))),"")</f>
        <v/>
      </c>
      <c r="V49" s="1122" t="str">
        <f>IFERROR(IF(HLOOKUP(V$15,Data_5!$F$10:$BG$42,$A49+2,FALSE)="NO","NO",IF(HLOOKUP(V$15,Data_5!$F$10:$BG$42,$A49+2,FALSE)="IE","IE",IF(HLOOKUP(V$15,Data_5!$F$10:$BG$42,$A49+2,FALSE)="NE","NE",IF(HLOOKUP(V$15,Data_5!$F$10:$BG$42,$A49+2,FALSE)="C","C",IF(HLOOKUP(V$15,Data_5!$F$10:$BG$42,$A49+2,FALSE)="NO","NO",HLOOKUP(V$15,Data_5!$F$10:$BG$42,$A49+2,FALSE)/Data_5!$BH44))))),"")</f>
        <v/>
      </c>
      <c r="W49" s="1122" t="str">
        <f>IFERROR(IF(HLOOKUP(W$15,Data_5!$F$10:$BG$42,$A49+2,FALSE)="NO","NO",IF(HLOOKUP(W$15,Data_5!$F$10:$BG$42,$A49+2,FALSE)="IE","IE",IF(HLOOKUP(W$15,Data_5!$F$10:$BG$42,$A49+2,FALSE)="NE","NE",IF(HLOOKUP(W$15,Data_5!$F$10:$BG$42,$A49+2,FALSE)="C","C",IF(HLOOKUP(W$15,Data_5!$F$10:$BG$42,$A49+2,FALSE)="NO","NO",HLOOKUP(W$15,Data_5!$F$10:$BG$42,$A49+2,FALSE)/Data_5!$BH44))))),"")</f>
        <v/>
      </c>
      <c r="X49" s="1122" t="str">
        <f>IFERROR(IF(HLOOKUP(X$15,Data_5!$F$10:$BG$42,$A49+2,FALSE)="NO","NO",IF(HLOOKUP(X$15,Data_5!$F$10:$BG$42,$A49+2,FALSE)="IE","IE",IF(HLOOKUP(X$15,Data_5!$F$10:$BG$42,$A49+2,FALSE)="NE","NE",IF(HLOOKUP(X$15,Data_5!$F$10:$BG$42,$A49+2,FALSE)="C","C",IF(HLOOKUP(X$15,Data_5!$F$10:$BG$42,$A49+2,FALSE)="NO","NO",HLOOKUP(X$15,Data_5!$F$10:$BG$42,$A49+2,FALSE)/Data_5!$BH44))))),"")</f>
        <v/>
      </c>
      <c r="Y49" s="1122" t="str">
        <f>IFERROR(IF(HLOOKUP(Y$15,Data_5!$F$10:$BG$42,$A49+2,FALSE)="NO","NO",IF(HLOOKUP(Y$15,Data_5!$F$10:$BG$42,$A49+2,FALSE)="IE","IE",IF(HLOOKUP(Y$15,Data_5!$F$10:$BG$42,$A49+2,FALSE)="NE","NE",IF(HLOOKUP(Y$15,Data_5!$F$10:$BG$42,$A49+2,FALSE)="C","C",IF(HLOOKUP(Y$15,Data_5!$F$10:$BG$42,$A49+2,FALSE)="NO","NO",HLOOKUP(Y$15,Data_5!$F$10:$BG$42,$A49+2,FALSE)/Data_5!$BH44))))),"")</f>
        <v/>
      </c>
      <c r="Z49" s="1122" t="str">
        <f>IFERROR(IF(HLOOKUP(Z$15,Data_5!$F$10:$BG$42,$A49+2,FALSE)="NO","NO",IF(HLOOKUP(Z$15,Data_5!$F$10:$BG$42,$A49+2,FALSE)="IE","IE",IF(HLOOKUP(Z$15,Data_5!$F$10:$BG$42,$A49+2,FALSE)="NE","NE",IF(HLOOKUP(Z$15,Data_5!$F$10:$BG$42,$A49+2,FALSE)="C","C",IF(HLOOKUP(Z$15,Data_5!$F$10:$BG$42,$A49+2,FALSE)="NO","NO",HLOOKUP(Z$15,Data_5!$F$10:$BG$42,$A49+2,FALSE)/Data_5!$BH44))))),"")</f>
        <v/>
      </c>
      <c r="AA49" s="1122" t="str">
        <f>IFERROR(IF(HLOOKUP(AA$15,Data_5!$F$10:$BG$42,$A49+2,FALSE)="NO","NO",IF(HLOOKUP(AA$15,Data_5!$F$10:$BG$42,$A49+2,FALSE)="IE","IE",IF(HLOOKUP(AA$15,Data_5!$F$10:$BG$42,$A49+2,FALSE)="NE","NE",IF(HLOOKUP(AA$15,Data_5!$F$10:$BG$42,$A49+2,FALSE)="C","C",IF(HLOOKUP(AA$15,Data_5!$F$10:$BG$42,$A49+2,FALSE)="NO","NO",HLOOKUP(AA$15,Data_5!$F$10:$BG$42,$A49+2,FALSE)/Data_5!$BH44))))),"")</f>
        <v/>
      </c>
      <c r="AB49" s="1122" t="str">
        <f>IFERROR(IF(HLOOKUP(AB$15,Data_5!$F$10:$BG$42,$A49+2,FALSE)="NO","NO",IF(HLOOKUP(AB$15,Data_5!$F$10:$BG$42,$A49+2,FALSE)="IE","IE",IF(HLOOKUP(AB$15,Data_5!$F$10:$BG$42,$A49+2,FALSE)="NE","NE",IF(HLOOKUP(AB$15,Data_5!$F$10:$BG$42,$A49+2,FALSE)="C","C",IF(HLOOKUP(AB$15,Data_5!$F$10:$BG$42,$A49+2,FALSE)="NO","NO",HLOOKUP(AB$15,Data_5!$F$10:$BG$42,$A49+2,FALSE)/Data_5!$BH44))))),"")</f>
        <v/>
      </c>
      <c r="AC49" s="1122" t="str">
        <f>IFERROR(IF(HLOOKUP(AC$15,Data_5!$F$10:$BG$42,$A49+2,FALSE)="NO","NO",IF(HLOOKUP(AC$15,Data_5!$F$10:$BG$42,$A49+2,FALSE)="IE","IE",IF(HLOOKUP(AC$15,Data_5!$F$10:$BG$42,$A49+2,FALSE)="NE","NE",IF(HLOOKUP(AC$15,Data_5!$F$10:$BG$42,$A49+2,FALSE)="C","C",IF(HLOOKUP(AC$15,Data_5!$F$10:$BG$42,$A49+2,FALSE)="NO","NO",HLOOKUP(AC$15,Data_5!$F$10:$BG$42,$A49+2,FALSE)/Data_5!$BH44))))),"")</f>
        <v/>
      </c>
      <c r="AD49" s="1122" t="str">
        <f>IFERROR(IF(HLOOKUP(AD$15,Data_5!$F$10:$BG$42,$A49+2,FALSE)="NO","NO",IF(HLOOKUP(AD$15,Data_5!$F$10:$BG$42,$A49+2,FALSE)="IE","IE",IF(HLOOKUP(AD$15,Data_5!$F$10:$BG$42,$A49+2,FALSE)="NE","NE",IF(HLOOKUP(AD$15,Data_5!$F$10:$BG$42,$A49+2,FALSE)="C","C",IF(HLOOKUP(AD$15,Data_5!$F$10:$BG$42,$A49+2,FALSE)="NO","NO",HLOOKUP(AD$15,Data_5!$F$10:$BG$42,$A49+2,FALSE)/Data_5!$BH44))))),"")</f>
        <v/>
      </c>
      <c r="AE49" s="1122" t="str">
        <f>IFERROR(IF(HLOOKUP(AE$15,Data_5!$F$10:$BG$42,$A49+2,FALSE)="NO","NO",IF(HLOOKUP(AE$15,Data_5!$F$10:$BG$42,$A49+2,FALSE)="IE","IE",IF(HLOOKUP(AE$15,Data_5!$F$10:$BG$42,$A49+2,FALSE)="NE","NE",IF(HLOOKUP(AE$15,Data_5!$F$10:$BG$42,$A49+2,FALSE)="C","C",IF(HLOOKUP(AE$15,Data_5!$F$10:$BG$42,$A49+2,FALSE)="NO","NO",HLOOKUP(AE$15,Data_5!$F$10:$BG$42,$A49+2,FALSE)/Data_5!$BH44))))),"")</f>
        <v/>
      </c>
      <c r="AF49" s="1122" t="str">
        <f>IFERROR(IF(HLOOKUP(AF$15,Data_5!$F$10:$BG$42,$A49+2,FALSE)="NO","NO",IF(HLOOKUP(AF$15,Data_5!$F$10:$BG$42,$A49+2,FALSE)="IE","IE",IF(HLOOKUP(AF$15,Data_5!$F$10:$BG$42,$A49+2,FALSE)="NE","NE",IF(HLOOKUP(AF$15,Data_5!$F$10:$BG$42,$A49+2,FALSE)="C","C",IF(HLOOKUP(AF$15,Data_5!$F$10:$BG$42,$A49+2,FALSE)="NO","NO",HLOOKUP(AF$15,Data_5!$F$10:$BG$42,$A49+2,FALSE)/Data_5!$BH44))))),"")</f>
        <v/>
      </c>
      <c r="AG49" s="1122" t="str">
        <f>IFERROR(IF(HLOOKUP(AG$15,Data_5!$F$10:$BG$42,$A49+2,FALSE)="NO","NO",IF(HLOOKUP(AG$15,Data_5!$F$10:$BG$42,$A49+2,FALSE)="IE","IE",IF(HLOOKUP(AG$15,Data_5!$F$10:$BG$42,$A49+2,FALSE)="NE","NE",IF(HLOOKUP(AG$15,Data_5!$F$10:$BG$42,$A49+2,FALSE)="C","C",IF(HLOOKUP(AG$15,Data_5!$F$10:$BG$42,$A49+2,FALSE)="NO","NO",HLOOKUP(AG$15,Data_5!$F$10:$BG$42,$A49+2,FALSE)/Data_5!$BH44))))),"")</f>
        <v/>
      </c>
      <c r="AH49" s="1122" t="str">
        <f>IFERROR(IF(HLOOKUP(AH$15,Data_5!$F$10:$BG$42,$A49+2,FALSE)="NO","NO",IF(HLOOKUP(AH$15,Data_5!$F$10:$BG$42,$A49+2,FALSE)="IE","IE",IF(HLOOKUP(AH$15,Data_5!$F$10:$BG$42,$A49+2,FALSE)="NE","NE",IF(HLOOKUP(AH$15,Data_5!$F$10:$BG$42,$A49+2,FALSE)="C","C",IF(HLOOKUP(AH$15,Data_5!$F$10:$BG$42,$A49+2,FALSE)="NO","NO",HLOOKUP(AH$15,Data_5!$F$10:$BG$42,$A49+2,FALSE)/Data_5!$BH44))))),"")</f>
        <v/>
      </c>
      <c r="AI49" s="1122" t="str">
        <f>IFERROR(IF(HLOOKUP(AI$15,Data_5!$F$10:$BG$42,$A49+2,FALSE)="NO","NO",IF(HLOOKUP(AI$15,Data_5!$F$10:$BG$42,$A49+2,FALSE)="IE","IE",IF(HLOOKUP(AI$15,Data_5!$F$10:$BG$42,$A49+2,FALSE)="NE","NE",IF(HLOOKUP(AI$15,Data_5!$F$10:$BG$42,$A49+2,FALSE)="C","C",IF(HLOOKUP(AI$15,Data_5!$F$10:$BG$42,$A49+2,FALSE)="NO","NO",HLOOKUP(AI$15,Data_5!$F$10:$BG$42,$A49+2,FALSE)/Data_5!$BH44))))),"")</f>
        <v/>
      </c>
      <c r="AJ49" s="1122" t="str">
        <f>IFERROR(IF(HLOOKUP(AJ$15,Data_5!$F$10:$BG$42,$A49+2,FALSE)="NO","NO",IF(HLOOKUP(AJ$15,Data_5!$F$10:$BG$42,$A49+2,FALSE)="IE","IE",IF(HLOOKUP(AJ$15,Data_5!$F$10:$BG$42,$A49+2,FALSE)="NE","NE",IF(HLOOKUP(AJ$15,Data_5!$F$10:$BG$42,$A49+2,FALSE)="C","C",IF(HLOOKUP(AJ$15,Data_5!$F$10:$BG$42,$A49+2,FALSE)="NO","NO",HLOOKUP(AJ$15,Data_5!$F$10:$BG$42,$A49+2,FALSE)/Data_5!$BH44))))),"")</f>
        <v/>
      </c>
      <c r="AL49" s="2628" t="str">
        <f t="shared" ca="1" si="0"/>
        <v/>
      </c>
      <c r="AM49" s="2629"/>
      <c r="AN49" s="1100" t="str">
        <f t="shared" ca="1" si="1"/>
        <v/>
      </c>
      <c r="AO49" s="1122" t="str">
        <f>IFERROR(IF(HLOOKUP(AO$15,Data_5!$F$10:$BG$42,$A49+2,FALSE)="NO","NO",IF(HLOOKUP(AO$15,Data_5!$F$10:$BG$42,$A49+2,FALSE)="IE","IE",IF(HLOOKUP(AO$15,Data_5!$F$10:$BG$42,$A49+2,FALSE)="NE","NE",IF(HLOOKUP(AO$15,Data_5!$F$10:$BG$42,$A49+2,FALSE)="C","C",IF(HLOOKUP(AO$15,Data_5!$F$10:$BG$42,$A49+2,FALSE)="NO","NO",HLOOKUP(AO$15,Data_5!$F$10:$BG$42,$A49+2,FALSE)/Data_5!$BI44))))),"")</f>
        <v/>
      </c>
      <c r="AP49" s="1122" t="str">
        <f>IFERROR(IF(HLOOKUP(AP$15,Data_5!$F$10:$BG$42,$A49+2,FALSE)="NO","NO",IF(HLOOKUP(AP$15,Data_5!$F$10:$BG$42,$A49+2,FALSE)="IE","IE",IF(HLOOKUP(AP$15,Data_5!$F$10:$BG$42,$A49+2,FALSE)="NE","NE",IF(HLOOKUP(AP$15,Data_5!$F$10:$BG$42,$A49+2,FALSE)="C","C",IF(HLOOKUP(AP$15,Data_5!$F$10:$BG$42,$A49+2,FALSE)="NO","NO",HLOOKUP(AP$15,Data_5!$F$10:$BG$42,$A49+2,FALSE)/Data_5!$BI44))))),"")</f>
        <v/>
      </c>
      <c r="AQ49" s="1122" t="str">
        <f>IFERROR(IF(HLOOKUP(AQ$15,Data_5!$F$10:$BG$42,$A49+2,FALSE)="NO","NO",IF(HLOOKUP(AQ$15,Data_5!$F$10:$BG$42,$A49+2,FALSE)="IE","IE",IF(HLOOKUP(AQ$15,Data_5!$F$10:$BG$42,$A49+2,FALSE)="NE","NE",IF(HLOOKUP(AQ$15,Data_5!$F$10:$BG$42,$A49+2,FALSE)="C","C",IF(HLOOKUP(AQ$15,Data_5!$F$10:$BG$42,$A49+2,FALSE)="NO","NO",HLOOKUP(AQ$15,Data_5!$F$10:$BG$42,$A49+2,FALSE)/Data_5!$BI44))))),"")</f>
        <v/>
      </c>
      <c r="AR49" s="1122" t="str">
        <f>IFERROR(IF(HLOOKUP(AR$15,Data_5!$F$10:$BG$42,$A49+2,FALSE)="NO","NO",IF(HLOOKUP(AR$15,Data_5!$F$10:$BG$42,$A49+2,FALSE)="IE","IE",IF(HLOOKUP(AR$15,Data_5!$F$10:$BG$42,$A49+2,FALSE)="NE","NE",IF(HLOOKUP(AR$15,Data_5!$F$10:$BG$42,$A49+2,FALSE)="C","C",IF(HLOOKUP(AR$15,Data_5!$F$10:$BG$42,$A49+2,FALSE)="NO","NO",HLOOKUP(AR$15,Data_5!$F$10:$BG$42,$A49+2,FALSE)/Data_5!$BI44))))),"")</f>
        <v/>
      </c>
      <c r="AS49" s="1122" t="str">
        <f>IFERROR(IF(HLOOKUP(AS$15,Data_5!$F$10:$BG$42,$A49+2,FALSE)="NO","NO",IF(HLOOKUP(AS$15,Data_5!$F$10:$BG$42,$A49+2,FALSE)="IE","IE",IF(HLOOKUP(AS$15,Data_5!$F$10:$BG$42,$A49+2,FALSE)="NE","NE",IF(HLOOKUP(AS$15,Data_5!$F$10:$BG$42,$A49+2,FALSE)="C","C",IF(HLOOKUP(AS$15,Data_5!$F$10:$BG$42,$A49+2,FALSE)="NO","NO",HLOOKUP(AS$15,Data_5!$F$10:$BG$42,$A49+2,FALSE)/Data_5!$BI44))))),"")</f>
        <v/>
      </c>
      <c r="AT49" s="1122" t="str">
        <f>IFERROR(IF(HLOOKUP(AT$15,Data_5!$F$10:$BG$42,$A49+2,FALSE)="NO","NO",IF(HLOOKUP(AT$15,Data_5!$F$10:$BG$42,$A49+2,FALSE)="IE","IE",IF(HLOOKUP(AT$15,Data_5!$F$10:$BG$42,$A49+2,FALSE)="NE","NE",IF(HLOOKUP(AT$15,Data_5!$F$10:$BG$42,$A49+2,FALSE)="C","C",IF(HLOOKUP(AT$15,Data_5!$F$10:$BG$42,$A49+2,FALSE)="NO","NO",HLOOKUP(AT$15,Data_5!$F$10:$BG$42,$A49+2,FALSE)/Data_5!$BI44))))),"")</f>
        <v/>
      </c>
      <c r="AU49" s="1122" t="str">
        <f>IFERROR(IF(HLOOKUP(AU$15,Data_5!$F$10:$BG$42,$A49+2,FALSE)="NO","NO",IF(HLOOKUP(AU$15,Data_5!$F$10:$BG$42,$A49+2,FALSE)="IE","IE",IF(HLOOKUP(AU$15,Data_5!$F$10:$BG$42,$A49+2,FALSE)="NE","NE",IF(HLOOKUP(AU$15,Data_5!$F$10:$BG$42,$A49+2,FALSE)="C","C",IF(HLOOKUP(AU$15,Data_5!$F$10:$BG$42,$A49+2,FALSE)="NO","NO",HLOOKUP(AU$15,Data_5!$F$10:$BG$42,$A49+2,FALSE)/Data_5!$BI44))))),"")</f>
        <v/>
      </c>
      <c r="AV49" s="1122" t="str">
        <f>IFERROR(IF(HLOOKUP(AV$15,Data_5!$F$10:$BG$42,$A49+2,FALSE)="NO","NO",IF(HLOOKUP(AV$15,Data_5!$F$10:$BG$42,$A49+2,FALSE)="IE","IE",IF(HLOOKUP(AV$15,Data_5!$F$10:$BG$42,$A49+2,FALSE)="NE","NE",IF(HLOOKUP(AV$15,Data_5!$F$10:$BG$42,$A49+2,FALSE)="C","C",IF(HLOOKUP(AV$15,Data_5!$F$10:$BG$42,$A49+2,FALSE)="NO","NO",HLOOKUP(AV$15,Data_5!$F$10:$BG$42,$A49+2,FALSE)/Data_5!$BI44))))),"")</f>
        <v/>
      </c>
      <c r="AW49" s="1122" t="str">
        <f>IFERROR(IF(HLOOKUP(AW$15,Data_5!$F$10:$BG$42,$A49+2,FALSE)="NO","NO",IF(HLOOKUP(AW$15,Data_5!$F$10:$BG$42,$A49+2,FALSE)="IE","IE",IF(HLOOKUP(AW$15,Data_5!$F$10:$BG$42,$A49+2,FALSE)="NE","NE",IF(HLOOKUP(AW$15,Data_5!$F$10:$BG$42,$A49+2,FALSE)="C","C",IF(HLOOKUP(AW$15,Data_5!$F$10:$BG$42,$A49+2,FALSE)="NO","NO",HLOOKUP(AW$15,Data_5!$F$10:$BG$42,$A49+2,FALSE)/Data_5!$BI44))))),"")</f>
        <v/>
      </c>
      <c r="AX49" s="1122" t="str">
        <f>IFERROR(IF(HLOOKUP(AX$15,Data_5!$F$10:$BG$42,$A49+2,FALSE)="NO","NO",IF(HLOOKUP(AX$15,Data_5!$F$10:$BG$42,$A49+2,FALSE)="IE","IE",IF(HLOOKUP(AX$15,Data_5!$F$10:$BG$42,$A49+2,FALSE)="NE","NE",IF(HLOOKUP(AX$15,Data_5!$F$10:$BG$42,$A49+2,FALSE)="C","C",IF(HLOOKUP(AX$15,Data_5!$F$10:$BG$42,$A49+2,FALSE)="NO","NO",HLOOKUP(AX$15,Data_5!$F$10:$BG$42,$A49+2,FALSE)/Data_5!$BI44))))),"")</f>
        <v/>
      </c>
      <c r="AY49" s="1122" t="str">
        <f>IFERROR(IF(HLOOKUP(AY$15,Data_5!$F$10:$BG$42,$A49+2,FALSE)="NO","NO",IF(HLOOKUP(AY$15,Data_5!$F$10:$BG$42,$A49+2,FALSE)="IE","IE",IF(HLOOKUP(AY$15,Data_5!$F$10:$BG$42,$A49+2,FALSE)="NE","NE",IF(HLOOKUP(AY$15,Data_5!$F$10:$BG$42,$A49+2,FALSE)="C","C",IF(HLOOKUP(AY$15,Data_5!$F$10:$BG$42,$A49+2,FALSE)="NO","NO",HLOOKUP(AY$15,Data_5!$F$10:$BG$42,$A49+2,FALSE)/Data_5!$BI44))))),"")</f>
        <v/>
      </c>
      <c r="AZ49" s="1122" t="str">
        <f>IFERROR(IF(HLOOKUP(AZ$15,Data_5!$F$10:$BG$42,$A49+2,FALSE)="NO","NO",IF(HLOOKUP(AZ$15,Data_5!$F$10:$BG$42,$A49+2,FALSE)="IE","IE",IF(HLOOKUP(AZ$15,Data_5!$F$10:$BG$42,$A49+2,FALSE)="NE","NE",IF(HLOOKUP(AZ$15,Data_5!$F$10:$BG$42,$A49+2,FALSE)="C","C",IF(HLOOKUP(AZ$15,Data_5!$F$10:$BG$42,$A49+2,FALSE)="NO","NO",HLOOKUP(AZ$15,Data_5!$F$10:$BG$42,$A49+2,FALSE)/Data_5!$BI44))))),"")</f>
        <v/>
      </c>
      <c r="BA49" s="1122" t="str">
        <f>IFERROR(IF(HLOOKUP(BA$15,Data_5!$F$10:$BG$42,$A49+2,FALSE)="NO","NO",IF(HLOOKUP(BA$15,Data_5!$F$10:$BG$42,$A49+2,FALSE)="IE","IE",IF(HLOOKUP(BA$15,Data_5!$F$10:$BG$42,$A49+2,FALSE)="NE","NE",IF(HLOOKUP(BA$15,Data_5!$F$10:$BG$42,$A49+2,FALSE)="C","C",IF(HLOOKUP(BA$15,Data_5!$F$10:$BG$42,$A49+2,FALSE)="NO","NO",HLOOKUP(BA$15,Data_5!$F$10:$BG$42,$A49+2,FALSE)/Data_5!$BI44))))),"")</f>
        <v/>
      </c>
      <c r="BB49" s="1122" t="str">
        <f>IFERROR(IF(HLOOKUP(BB$15,Data_5!$F$10:$BG$42,$A49+2,FALSE)="NO","NO",IF(HLOOKUP(BB$15,Data_5!$F$10:$BG$42,$A49+2,FALSE)="IE","IE",IF(HLOOKUP(BB$15,Data_5!$F$10:$BG$42,$A49+2,FALSE)="NE","NE",IF(HLOOKUP(BB$15,Data_5!$F$10:$BG$42,$A49+2,FALSE)="C","C",IF(HLOOKUP(BB$15,Data_5!$F$10:$BG$42,$A49+2,FALSE)="NO","NO",HLOOKUP(BB$15,Data_5!$F$10:$BG$42,$A49+2,FALSE)/Data_5!$BI44))))),"")</f>
        <v/>
      </c>
      <c r="BC49" s="1122" t="str">
        <f>IFERROR(IF(HLOOKUP(BC$15,Data_5!$F$10:$BG$42,$A49+2,FALSE)="NO","NO",IF(HLOOKUP(BC$15,Data_5!$F$10:$BG$42,$A49+2,FALSE)="IE","IE",IF(HLOOKUP(BC$15,Data_5!$F$10:$BG$42,$A49+2,FALSE)="NE","NE",IF(HLOOKUP(BC$15,Data_5!$F$10:$BG$42,$A49+2,FALSE)="C","C",IF(HLOOKUP(BC$15,Data_5!$F$10:$BG$42,$A49+2,FALSE)="NO","NO",HLOOKUP(BC$15,Data_5!$F$10:$BG$42,$A49+2,FALSE)/Data_5!$BI44))))),"")</f>
        <v/>
      </c>
      <c r="BD49" s="1122" t="str">
        <f>IFERROR(IF(HLOOKUP(BD$15,Data_5!$F$10:$BG$42,$A49+2,FALSE)="NO","NO",IF(HLOOKUP(BD$15,Data_5!$F$10:$BG$42,$A49+2,FALSE)="IE","IE",IF(HLOOKUP(BD$15,Data_5!$F$10:$BG$42,$A49+2,FALSE)="NE","NE",IF(HLOOKUP(BD$15,Data_5!$F$10:$BG$42,$A49+2,FALSE)="C","C",IF(HLOOKUP(BD$15,Data_5!$F$10:$BG$42,$A49+2,FALSE)="NO","NO",HLOOKUP(BD$15,Data_5!$F$10:$BG$42,$A49+2,FALSE)/Data_5!$BI44))))),"")</f>
        <v/>
      </c>
      <c r="BE49" s="1122" t="str">
        <f>IFERROR(IF(HLOOKUP(BE$15,Data_5!$F$10:$BG$42,$A49+2,FALSE)="NO","NO",IF(HLOOKUP(BE$15,Data_5!$F$10:$BG$42,$A49+2,FALSE)="IE","IE",IF(HLOOKUP(BE$15,Data_5!$F$10:$BG$42,$A49+2,FALSE)="NE","NE",IF(HLOOKUP(BE$15,Data_5!$F$10:$BG$42,$A49+2,FALSE)="C","C",IF(HLOOKUP(BE$15,Data_5!$F$10:$BG$42,$A49+2,FALSE)="NO","NO",HLOOKUP(BE$15,Data_5!$F$10:$BG$42,$A49+2,FALSE)/Data_5!$BI44))))),"")</f>
        <v/>
      </c>
      <c r="BF49" s="1122" t="str">
        <f>IFERROR(IF(HLOOKUP(BF$15,Data_5!$F$10:$BG$42,$A49+2,FALSE)="NO","NO",IF(HLOOKUP(BF$15,Data_5!$F$10:$BG$42,$A49+2,FALSE)="IE","IE",IF(HLOOKUP(BF$15,Data_5!$F$10:$BG$42,$A49+2,FALSE)="NE","NE",IF(HLOOKUP(BF$15,Data_5!$F$10:$BG$42,$A49+2,FALSE)="C","C",IF(HLOOKUP(BF$15,Data_5!$F$10:$BG$42,$A49+2,FALSE)="NO","NO",HLOOKUP(BF$15,Data_5!$F$10:$BG$42,$A49+2,FALSE)/Data_5!$BI44))))),"")</f>
        <v/>
      </c>
      <c r="BG49" s="1122" t="str">
        <f>IFERROR(IF(HLOOKUP(BG$15,Data_5!$F$10:$BG$42,$A49+2,FALSE)="NO","NO",IF(HLOOKUP(BG$15,Data_5!$F$10:$BG$42,$A49+2,FALSE)="IE","IE",IF(HLOOKUP(BG$15,Data_5!$F$10:$BG$42,$A49+2,FALSE)="NE","NE",IF(HLOOKUP(BG$15,Data_5!$F$10:$BG$42,$A49+2,FALSE)="C","C",IF(HLOOKUP(BG$15,Data_5!$F$10:$BG$42,$A49+2,FALSE)="NO","NO",HLOOKUP(BG$15,Data_5!$F$10:$BG$42,$A49+2,FALSE)/Data_5!$BI44))))),"")</f>
        <v/>
      </c>
      <c r="BH49" s="1122" t="str">
        <f>IFERROR(IF(HLOOKUP(BH$15,Data_5!$F$10:$BG$42,$A49+2,FALSE)="NO","NO",IF(HLOOKUP(BH$15,Data_5!$F$10:$BG$42,$A49+2,FALSE)="IE","IE",IF(HLOOKUP(BH$15,Data_5!$F$10:$BG$42,$A49+2,FALSE)="NE","NE",IF(HLOOKUP(BH$15,Data_5!$F$10:$BG$42,$A49+2,FALSE)="C","C",IF(HLOOKUP(BH$15,Data_5!$F$10:$BG$42,$A49+2,FALSE)="NO","NO",HLOOKUP(BH$15,Data_5!$F$10:$BG$42,$A49+2,FALSE)/Data_5!$BI44))))),"")</f>
        <v/>
      </c>
      <c r="BI49" s="1122" t="str">
        <f>IFERROR(IF(HLOOKUP(BI$15,Data_5!$F$10:$BG$42,$A49+2,FALSE)="NO","NO",IF(HLOOKUP(BI$15,Data_5!$F$10:$BG$42,$A49+2,FALSE)="IE","IE",IF(HLOOKUP(BI$15,Data_5!$F$10:$BG$42,$A49+2,FALSE)="NE","NE",IF(HLOOKUP(BI$15,Data_5!$F$10:$BG$42,$A49+2,FALSE)="C","C",IF(HLOOKUP(BI$15,Data_5!$F$10:$BG$42,$A49+2,FALSE)="NO","NO",HLOOKUP(BI$15,Data_5!$F$10:$BG$42,$A49+2,FALSE)/Data_5!$BI44))))),"")</f>
        <v/>
      </c>
      <c r="BJ49" s="1122" t="str">
        <f>IFERROR(IF(HLOOKUP(BJ$15,Data_5!$F$10:$BG$42,$A49+2,FALSE)="NO","NO",IF(HLOOKUP(BJ$15,Data_5!$F$10:$BG$42,$A49+2,FALSE)="IE","IE",IF(HLOOKUP(BJ$15,Data_5!$F$10:$BG$42,$A49+2,FALSE)="NE","NE",IF(HLOOKUP(BJ$15,Data_5!$F$10:$BG$42,$A49+2,FALSE)="C","C",IF(HLOOKUP(BJ$15,Data_5!$F$10:$BG$42,$A49+2,FALSE)="NO","NO",HLOOKUP(BJ$15,Data_5!$F$10:$BG$42,$A49+2,FALSE)/Data_5!$BI44))))),"")</f>
        <v/>
      </c>
      <c r="BK49" s="1122" t="str">
        <f>IFERROR(IF(HLOOKUP(BK$15,Data_5!$F$10:$BG$42,$A49+2,FALSE)="NO","NO",IF(HLOOKUP(BK$15,Data_5!$F$10:$BG$42,$A49+2,FALSE)="IE","IE",IF(HLOOKUP(BK$15,Data_5!$F$10:$BG$42,$A49+2,FALSE)="NE","NE",IF(HLOOKUP(BK$15,Data_5!$F$10:$BG$42,$A49+2,FALSE)="C","C",IF(HLOOKUP(BK$15,Data_5!$F$10:$BG$42,$A49+2,FALSE)="NO","NO",HLOOKUP(BK$15,Data_5!$F$10:$BG$42,$A49+2,FALSE)/Data_5!$BI44))))),"")</f>
        <v/>
      </c>
      <c r="BL49" s="1122" t="str">
        <f>IFERROR(IF(HLOOKUP(BL$15,Data_5!$F$10:$BG$42,$A49+2,FALSE)="NO","NO",IF(HLOOKUP(BL$15,Data_5!$F$10:$BG$42,$A49+2,FALSE)="IE","IE",IF(HLOOKUP(BL$15,Data_5!$F$10:$BG$42,$A49+2,FALSE)="NE","NE",IF(HLOOKUP(BL$15,Data_5!$F$10:$BG$42,$A49+2,FALSE)="C","C",IF(HLOOKUP(BL$15,Data_5!$F$10:$BG$42,$A49+2,FALSE)="NO","NO",HLOOKUP(BL$15,Data_5!$F$10:$BG$42,$A49+2,FALSE)/Data_5!$BI44))))),"")</f>
        <v/>
      </c>
      <c r="BM49" s="1122" t="str">
        <f>IFERROR(IF(HLOOKUP(BM$15,Data_5!$F$10:$BG$42,$A49+2,FALSE)="NO","NO",IF(HLOOKUP(BM$15,Data_5!$F$10:$BG$42,$A49+2,FALSE)="IE","IE",IF(HLOOKUP(BM$15,Data_5!$F$10:$BG$42,$A49+2,FALSE)="NE","NE",IF(HLOOKUP(BM$15,Data_5!$F$10:$BG$42,$A49+2,FALSE)="C","C",IF(HLOOKUP(BM$15,Data_5!$F$10:$BG$42,$A49+2,FALSE)="NO","NO",HLOOKUP(BM$15,Data_5!$F$10:$BG$42,$A49+2,FALSE)/Data_5!$BI44))))),"")</f>
        <v/>
      </c>
      <c r="BN49" s="1122" t="str">
        <f>IFERROR(IF(HLOOKUP(BN$15,Data_5!$F$10:$BG$42,$A49+2,FALSE)="NO","NO",IF(HLOOKUP(BN$15,Data_5!$F$10:$BG$42,$A49+2,FALSE)="IE","IE",IF(HLOOKUP(BN$15,Data_5!$F$10:$BG$42,$A49+2,FALSE)="NE","NE",IF(HLOOKUP(BN$15,Data_5!$F$10:$BG$42,$A49+2,FALSE)="C","C",IF(HLOOKUP(BN$15,Data_5!$F$10:$BG$42,$A49+2,FALSE)="NO","NO",HLOOKUP(BN$15,Data_5!$F$10:$BG$42,$A49+2,FALSE)/Data_5!$BI44))))),"")</f>
        <v/>
      </c>
      <c r="BO49" s="1122" t="str">
        <f>IFERROR(IF(HLOOKUP(BO$15,Data_5!$F$10:$BG$42,$A49+2,FALSE)="NO","NO",IF(HLOOKUP(BO$15,Data_5!$F$10:$BG$42,$A49+2,FALSE)="IE","IE",IF(HLOOKUP(BO$15,Data_5!$F$10:$BG$42,$A49+2,FALSE)="NE","NE",IF(HLOOKUP(BO$15,Data_5!$F$10:$BG$42,$A49+2,FALSE)="C","C",IF(HLOOKUP(BO$15,Data_5!$F$10:$BG$42,$A49+2,FALSE)="NO","NO",HLOOKUP(BO$15,Data_5!$F$10:$BG$42,$A49+2,FALSE)/Data_5!$BI44))))),"")</f>
        <v/>
      </c>
      <c r="BP49" s="1122" t="str">
        <f>IFERROR(IF(HLOOKUP(BP$15,Data_5!$F$10:$BG$42,$A49+2,FALSE)="NO","NO",IF(HLOOKUP(BP$15,Data_5!$F$10:$BG$42,$A49+2,FALSE)="IE","IE",IF(HLOOKUP(BP$15,Data_5!$F$10:$BG$42,$A49+2,FALSE)="NE","NE",IF(HLOOKUP(BP$15,Data_5!$F$10:$BG$42,$A49+2,FALSE)="C","C",IF(HLOOKUP(BP$15,Data_5!$F$10:$BG$42,$A49+2,FALSE)="NO","NO",HLOOKUP(BP$15,Data_5!$F$10:$BG$42,$A49+2,FALSE)/Data_5!$BI44))))),"")</f>
        <v/>
      </c>
      <c r="BQ49" s="1122" t="str">
        <f>IFERROR(IF(HLOOKUP(BQ$15,Data_5!$F$10:$BG$42,$A49+2,FALSE)="NO","NO",IF(HLOOKUP(BQ$15,Data_5!$F$10:$BG$42,$A49+2,FALSE)="IE","IE",IF(HLOOKUP(BQ$15,Data_5!$F$10:$BG$42,$A49+2,FALSE)="NE","NE",IF(HLOOKUP(BQ$15,Data_5!$F$10:$BG$42,$A49+2,FALSE)="C","C",IF(HLOOKUP(BQ$15,Data_5!$F$10:$BG$42,$A49+2,FALSE)="NO","NO",HLOOKUP(BQ$15,Data_5!$F$10:$BG$42,$A49+2,FALSE)/Data_5!$BI44))))),"")</f>
        <v/>
      </c>
      <c r="BR49" s="1122" t="str">
        <f>IFERROR(IF(HLOOKUP(BR$15,Data_5!$F$10:$BG$42,$A49+2,FALSE)="NO","NO",IF(HLOOKUP(BR$15,Data_5!$F$10:$BG$42,$A49+2,FALSE)="IE","IE",IF(HLOOKUP(BR$15,Data_5!$F$10:$BG$42,$A49+2,FALSE)="NE","NE",IF(HLOOKUP(BR$15,Data_5!$F$10:$BG$42,$A49+2,FALSE)="C","C",IF(HLOOKUP(BR$15,Data_5!$F$10:$BG$42,$A49+2,FALSE)="NO","NO",HLOOKUP(BR$15,Data_5!$F$10:$BG$42,$A49+2,FALSE)/Data_5!$BI44))))),"")</f>
        <v/>
      </c>
      <c r="BS49" s="1122" t="str">
        <f>IFERROR(IF(HLOOKUP(BS$15,Data_5!$F$10:$BG$42,$A49+2,FALSE)="NO","NO",IF(HLOOKUP(BS$15,Data_5!$F$10:$BG$42,$A49+2,FALSE)="IE","IE",IF(HLOOKUP(BS$15,Data_5!$F$10:$BG$42,$A49+2,FALSE)="NE","NE",IF(HLOOKUP(BS$15,Data_5!$F$10:$BG$42,$A49+2,FALSE)="C","C",IF(HLOOKUP(BS$15,Data_5!$F$10:$BG$42,$A49+2,FALSE)="NO","NO",HLOOKUP(BS$15,Data_5!$F$10:$BG$42,$A49+2,FALSE)/Data_5!$BI44))))),"")</f>
        <v/>
      </c>
      <c r="BT49" s="1122" t="str">
        <f>IFERROR(IF(HLOOKUP(BT$15,Data_5!$F$10:$BG$42,$A49+2,FALSE)="NO","NO",IF(HLOOKUP(BT$15,Data_5!$F$10:$BG$42,$A49+2,FALSE)="IE","IE",IF(HLOOKUP(BT$15,Data_5!$F$10:$BG$42,$A49+2,FALSE)="NE","NE",IF(HLOOKUP(BT$15,Data_5!$F$10:$BG$42,$A49+2,FALSE)="C","C",IF(HLOOKUP(BT$15,Data_5!$F$10:$BG$42,$A49+2,FALSE)="NO","NO",HLOOKUP(BT$15,Data_5!$F$10:$BG$42,$A49+2,FALSE)/Data_5!$BI44))))),"")</f>
        <v/>
      </c>
      <c r="BU49" s="1122" t="str">
        <f>IFERROR(IF(HLOOKUP(BU$15,Data_5!$F$10:$BG$42,$A49+2,FALSE)="NO","NO",IF(HLOOKUP(BU$15,Data_5!$F$10:$BG$42,$A49+2,FALSE)="IE","IE",IF(HLOOKUP(BU$15,Data_5!$F$10:$BG$42,$A49+2,FALSE)="NE","NE",IF(HLOOKUP(BU$15,Data_5!$F$10:$BG$42,$A49+2,FALSE)="C","C",IF(HLOOKUP(BU$15,Data_5!$F$10:$BG$42,$A49+2,FALSE)="NO","NO",HLOOKUP(BU$15,Data_5!$F$10:$BG$42,$A49+2,FALSE)/Data_5!$BI44))))),"")</f>
        <v/>
      </c>
      <c r="BV49" s="1122" t="str">
        <f>IFERROR(IF(HLOOKUP(BV$15,Data_5!$F$10:$BG$42,$A49+2,FALSE)="NO","NO",IF(HLOOKUP(BV$15,Data_5!$F$10:$BG$42,$A49+2,FALSE)="IE","IE",IF(HLOOKUP(BV$15,Data_5!$F$10:$BG$42,$A49+2,FALSE)="NE","NE",IF(HLOOKUP(BV$15,Data_5!$F$10:$BG$42,$A49+2,FALSE)="C","C",IF(HLOOKUP(BV$15,Data_5!$F$10:$BG$42,$A49+2,FALSE)="NO","NO",HLOOKUP(BV$15,Data_5!$F$10:$BG$42,$A49+2,FALSE)/Data_5!$BI44))))),"")</f>
        <v/>
      </c>
      <c r="BW49" s="1122" t="str">
        <f>IFERROR(IF(HLOOKUP(BW$15,Data_5!$F$10:$BG$42,$A49+2,FALSE)="NO","NO",IF(HLOOKUP(BW$15,Data_5!$F$10:$BG$42,$A49+2,FALSE)="IE","IE",IF(HLOOKUP(BW$15,Data_5!$F$10:$BG$42,$A49+2,FALSE)="NE","NE",IF(HLOOKUP(BW$15,Data_5!$F$10:$BG$42,$A49+2,FALSE)="C","C",IF(HLOOKUP(BW$15,Data_5!$F$10:$BG$42,$A49+2,FALSE)="NO","NO",HLOOKUP(BW$15,Data_5!$F$10:$BG$42,$A49+2,FALSE)/Data_5!$BI44))))),"")</f>
        <v/>
      </c>
      <c r="BX49" s="1122" t="str">
        <f>IFERROR(IF(HLOOKUP(BX$15,Data_5!$F$10:$BG$42,$A49+2,FALSE)="NO","NO",IF(HLOOKUP(BX$15,Data_5!$F$10:$BG$42,$A49+2,FALSE)="IE","IE",IF(HLOOKUP(BX$15,Data_5!$F$10:$BG$42,$A49+2,FALSE)="NE","NE",IF(HLOOKUP(BX$15,Data_5!$F$10:$BG$42,$A49+2,FALSE)="C","C",IF(HLOOKUP(BX$15,Data_5!$F$10:$BG$42,$A49+2,FALSE)="NO","NO",HLOOKUP(BX$15,Data_5!$F$10:$BG$42,$A49+2,FALSE)/Data_5!$BI44))))),"")</f>
        <v/>
      </c>
      <c r="BY49" s="1122" t="str">
        <f>IFERROR(IF(HLOOKUP(BY$15,Data_5!$F$10:$BG$42,$A49+2,FALSE)="NO","NO",IF(HLOOKUP(BY$15,Data_5!$F$10:$BG$42,$A49+2,FALSE)="IE","IE",IF(HLOOKUP(BY$15,Data_5!$F$10:$BG$42,$A49+2,FALSE)="NE","NE",IF(HLOOKUP(BY$15,Data_5!$F$10:$BG$42,$A49+2,FALSE)="C","C",IF(HLOOKUP(BY$15,Data_5!$F$10:$BG$42,$A49+2,FALSE)="NO","NO",HLOOKUP(BY$15,Data_5!$F$10:$BG$42,$A49+2,FALSE)/Data_5!$BI44))))),"")</f>
        <v/>
      </c>
      <c r="BZ49" s="1122" t="str">
        <f>IFERROR(IF(HLOOKUP(BZ$15,Data_5!$F$10:$BG$42,$A49+2,FALSE)="NO","NO",IF(HLOOKUP(BZ$15,Data_5!$F$10:$BG$42,$A49+2,FALSE)="IE","IE",IF(HLOOKUP(BZ$15,Data_5!$F$10:$BG$42,$A49+2,FALSE)="NE","NE",IF(HLOOKUP(BZ$15,Data_5!$F$10:$BG$42,$A49+2,FALSE)="C","C",IF(HLOOKUP(BZ$15,Data_5!$F$10:$BG$42,$A49+2,FALSE)="NO","NO",HLOOKUP(BZ$15,Data_5!$F$10:$BG$42,$A49+2,FALSE)/Data_5!$BI44))))),"")</f>
        <v/>
      </c>
      <c r="CA49" s="1122" t="str">
        <f>IFERROR(IF(HLOOKUP(CA$15,Data_5!$F$10:$BG$42,$A49+2,FALSE)="NO","NO",IF(HLOOKUP(CA$15,Data_5!$F$10:$BG$42,$A49+2,FALSE)="IE","IE",IF(HLOOKUP(CA$15,Data_5!$F$10:$BG$42,$A49+2,FALSE)="NE","NE",IF(HLOOKUP(CA$15,Data_5!$F$10:$BG$42,$A49+2,FALSE)="C","C",IF(HLOOKUP(CA$15,Data_5!$F$10:$BG$42,$A49+2,FALSE)="NO","NO",HLOOKUP(CA$15,Data_5!$F$10:$BG$42,$A49+2,FALSE)/Data_5!$BI44))))),"")</f>
        <v/>
      </c>
      <c r="CB49" s="1122" t="str">
        <f>IFERROR(IF(HLOOKUP(CB$15,Data_5!$F$10:$BG$42,$A49+2,FALSE)="NO","NO",IF(HLOOKUP(CB$15,Data_5!$F$10:$BG$42,$A49+2,FALSE)="IE","IE",IF(HLOOKUP(CB$15,Data_5!$F$10:$BG$42,$A49+2,FALSE)="NE","NE",IF(HLOOKUP(CB$15,Data_5!$F$10:$BG$42,$A49+2,FALSE)="C","C",IF(HLOOKUP(CB$15,Data_5!$F$10:$BG$42,$A49+2,FALSE)="NO","NO",HLOOKUP(CB$15,Data_5!$F$10:$BG$42,$A49+2,FALSE)/Data_5!$BI44))))),"")</f>
        <v/>
      </c>
      <c r="CC49" s="1122" t="str">
        <f>IFERROR(IF(HLOOKUP(CC$15,Data_5!$F$10:$BG$42,$A49+2,FALSE)="NO","NO",IF(HLOOKUP(CC$15,Data_5!$F$10:$BG$42,$A49+2,FALSE)="IE","IE",IF(HLOOKUP(CC$15,Data_5!$F$10:$BG$42,$A49+2,FALSE)="NE","NE",IF(HLOOKUP(CC$15,Data_5!$F$10:$BG$42,$A49+2,FALSE)="C","C",IF(HLOOKUP(CC$15,Data_5!$F$10:$BG$42,$A49+2,FALSE)="NO","NO",HLOOKUP(CC$15,Data_5!$F$10:$BG$42,$A49+2,FALSE)/Data_5!$BI44))))),"")</f>
        <v/>
      </c>
      <c r="CD49" s="1122" t="str">
        <f>IFERROR(IF(HLOOKUP(CD$15,Data_5!$F$10:$BG$42,$A49+2,FALSE)="NO","NO",IF(HLOOKUP(CD$15,Data_5!$F$10:$BG$42,$A49+2,FALSE)="IE","IE",IF(HLOOKUP(CD$15,Data_5!$F$10:$BG$42,$A49+2,FALSE)="NE","NE",IF(HLOOKUP(CD$15,Data_5!$F$10:$BG$42,$A49+2,FALSE)="C","C",IF(HLOOKUP(CD$15,Data_5!$F$10:$BG$42,$A49+2,FALSE)="NO","NO",HLOOKUP(CD$15,Data_5!$F$10:$BG$42,$A49+2,FALSE)/Data_5!$BI44))))),"")</f>
        <v/>
      </c>
      <c r="CE49" s="1122" t="str">
        <f>IFERROR(IF(HLOOKUP(CE$15,Data_5!$F$10:$BG$42,$A49+2,FALSE)="NO","NO",IF(HLOOKUP(CE$15,Data_5!$F$10:$BG$42,$A49+2,FALSE)="IE","IE",IF(HLOOKUP(CE$15,Data_5!$F$10:$BG$42,$A49+2,FALSE)="NE","NE",IF(HLOOKUP(CE$15,Data_5!$F$10:$BG$42,$A49+2,FALSE)="C","C",IF(HLOOKUP(CE$15,Data_5!$F$10:$BG$42,$A49+2,FALSE)="NO","NO",HLOOKUP(CE$15,Data_5!$F$10:$BG$42,$A49+2,FALSE)/Data_5!$BI44))))),"")</f>
        <v/>
      </c>
      <c r="CF49" s="1122" t="str">
        <f>IFERROR(IF(HLOOKUP(CF$15,Data_5!$F$10:$BG$42,$A49+2,FALSE)="NO","NO",IF(HLOOKUP(CF$15,Data_5!$F$10:$BG$42,$A49+2,FALSE)="IE","IE",IF(HLOOKUP(CF$15,Data_5!$F$10:$BG$42,$A49+2,FALSE)="NE","NE",IF(HLOOKUP(CF$15,Data_5!$F$10:$BG$42,$A49+2,FALSE)="C","C",IF(HLOOKUP(CF$15,Data_5!$F$10:$BG$42,$A49+2,FALSE)="NO","NO",HLOOKUP(CF$15,Data_5!$F$10:$BG$42,$A49+2,FALSE)/Data_5!$BI44))))),"")</f>
        <v/>
      </c>
      <c r="CG49" s="1122" t="str">
        <f>IFERROR(IF(HLOOKUP(CG$15,Data_5!$F$10:$BG$42,$A49+2,FALSE)="NO","NO",IF(HLOOKUP(CG$15,Data_5!$F$10:$BG$42,$A49+2,FALSE)="IE","IE",IF(HLOOKUP(CG$15,Data_5!$F$10:$BG$42,$A49+2,FALSE)="NE","NE",IF(HLOOKUP(CG$15,Data_5!$F$10:$BG$42,$A49+2,FALSE)="C","C",IF(HLOOKUP(CG$15,Data_5!$F$10:$BG$42,$A49+2,FALSE)="NO","NO",HLOOKUP(CG$15,Data_5!$F$10:$BG$42,$A49+2,FALSE)/Data_5!$BI44))))),"")</f>
        <v/>
      </c>
      <c r="CH49" s="1122" t="str">
        <f>IFERROR(IF(HLOOKUP(CH$15,Data_5!$F$10:$BG$42,$A49+2,FALSE)="NO","NO",IF(HLOOKUP(CH$15,Data_5!$F$10:$BG$42,$A49+2,FALSE)="IE","IE",IF(HLOOKUP(CH$15,Data_5!$F$10:$BG$42,$A49+2,FALSE)="NE","NE",IF(HLOOKUP(CH$15,Data_5!$F$10:$BG$42,$A49+2,FALSE)="C","C",IF(HLOOKUP(CH$15,Data_5!$F$10:$BG$42,$A49+2,FALSE)="NO","NO",HLOOKUP(CH$15,Data_5!$F$10:$BG$42,$A49+2,FALSE)/Data_5!$BI44))))),"")</f>
        <v/>
      </c>
      <c r="CI49" s="1122" t="str">
        <f>IFERROR(IF(HLOOKUP(CI$15,Data_5!$F$10:$BG$42,$A49+2,FALSE)="NO","NO",IF(HLOOKUP(CI$15,Data_5!$F$10:$BG$42,$A49+2,FALSE)="IE","IE",IF(HLOOKUP(CI$15,Data_5!$F$10:$BG$42,$A49+2,FALSE)="NE","NE",IF(HLOOKUP(CI$15,Data_5!$F$10:$BG$42,$A49+2,FALSE)="C","C",IF(HLOOKUP(CI$15,Data_5!$F$10:$BG$42,$A49+2,FALSE)="NO","NO",HLOOKUP(CI$15,Data_5!$F$10:$BG$42,$A49+2,FALSE)/Data_5!$BI44))))),"")</f>
        <v/>
      </c>
      <c r="CJ49" s="1122" t="str">
        <f>IFERROR(IF(HLOOKUP(CJ$15,Data_5!$F$10:$BG$42,$A49+2,FALSE)="NO","NO",IF(HLOOKUP(CJ$15,Data_5!$F$10:$BG$42,$A49+2,FALSE)="IE","IE",IF(HLOOKUP(CJ$15,Data_5!$F$10:$BG$42,$A49+2,FALSE)="NE","NE",IF(HLOOKUP(CJ$15,Data_5!$F$10:$BG$42,$A49+2,FALSE)="C","C",IF(HLOOKUP(CJ$15,Data_5!$F$10:$BG$42,$A49+2,FALSE)="NO","NO",HLOOKUP(CJ$15,Data_5!$F$10:$BG$42,$A49+2,FALSE)/Data_5!$BI44))))),"")</f>
        <v/>
      </c>
      <c r="CL49" s="2628" t="str">
        <f t="shared" ca="1" si="6"/>
        <v/>
      </c>
      <c r="CM49" s="2629"/>
      <c r="CN49" s="1100" t="str">
        <f t="shared" ca="1" si="7"/>
        <v/>
      </c>
      <c r="CO49" s="1122" t="str">
        <f>IFERROR(IF(HLOOKUP(CO$15,Data_5!$F$10:$BG$42,$A49+2,FALSE)="NO","NO",IF(HLOOKUP(CO$15,Data_5!$F$10:$BG$42,$A49+2,FALSE)="IE","IE",IF(HLOOKUP(CO$15,Data_5!$F$10:$BG$42,$A49+2,FALSE)="NE","NE",IF(HLOOKUP(CO$15,Data_5!$F$10:$BG$42,$A49+2,FALSE)="C","C",IF(HLOOKUP(CO$15,Data_5!$F$10:$BG$42,$A49+2,FALSE)="NO","NO",HLOOKUP(CO$15,Data_5!$F$10:$BG$42,$A49+2,FALSE)/Data_5!$BK44))))),"")</f>
        <v/>
      </c>
      <c r="CP49" s="1122" t="str">
        <f>IFERROR(IF(HLOOKUP(CP$15,Data_5!$F$10:$BG$42,$A49+2,FALSE)="NO","NO",IF(HLOOKUP(CP$15,Data_5!$F$10:$BG$42,$A49+2,FALSE)="IE","IE",IF(HLOOKUP(CP$15,Data_5!$F$10:$BG$42,$A49+2,FALSE)="NE","NE",IF(HLOOKUP(CP$15,Data_5!$F$10:$BG$42,$A49+2,FALSE)="C","C",IF(HLOOKUP(CP$15,Data_5!$F$10:$BG$42,$A49+2,FALSE)="NO","NO",HLOOKUP(CP$15,Data_5!$F$10:$BG$42,$A49+2,FALSE)/Data_5!$BK44))))),"")</f>
        <v/>
      </c>
      <c r="CQ49" s="1122" t="str">
        <f>IFERROR(IF(HLOOKUP(CQ$15,Data_5!$F$10:$BG$42,$A49+2,FALSE)="NO","NO",IF(HLOOKUP(CQ$15,Data_5!$F$10:$BG$42,$A49+2,FALSE)="IE","IE",IF(HLOOKUP(CQ$15,Data_5!$F$10:$BG$42,$A49+2,FALSE)="NE","NE",IF(HLOOKUP(CQ$15,Data_5!$F$10:$BG$42,$A49+2,FALSE)="C","C",IF(HLOOKUP(CQ$15,Data_5!$F$10:$BG$42,$A49+2,FALSE)="NO","NO",HLOOKUP(CQ$15,Data_5!$F$10:$BG$42,$A49+2,FALSE)/Data_5!$BK44))))),"")</f>
        <v/>
      </c>
      <c r="CR49" s="1122" t="str">
        <f>IFERROR(IF(HLOOKUP(CR$15,Data_5!$F$10:$BG$42,$A49+2,FALSE)="NO","NO",IF(HLOOKUP(CR$15,Data_5!$F$10:$BG$42,$A49+2,FALSE)="IE","IE",IF(HLOOKUP(CR$15,Data_5!$F$10:$BG$42,$A49+2,FALSE)="NE","NE",IF(HLOOKUP(CR$15,Data_5!$F$10:$BG$42,$A49+2,FALSE)="C","C",IF(HLOOKUP(CR$15,Data_5!$F$10:$BG$42,$A49+2,FALSE)="NO","NO",HLOOKUP(CR$15,Data_5!$F$10:$BG$42,$A49+2,FALSE)/Data_5!$BK44))))),"")</f>
        <v/>
      </c>
      <c r="CS49" s="1122" t="str">
        <f>IFERROR(IF(HLOOKUP(CS$15,Data_5!$F$10:$BG$42,$A49+2,FALSE)="NO","NO",IF(HLOOKUP(CS$15,Data_5!$F$10:$BG$42,$A49+2,FALSE)="IE","IE",IF(HLOOKUP(CS$15,Data_5!$F$10:$BG$42,$A49+2,FALSE)="NE","NE",IF(HLOOKUP(CS$15,Data_5!$F$10:$BG$42,$A49+2,FALSE)="C","C",IF(HLOOKUP(CS$15,Data_5!$F$10:$BG$42,$A49+2,FALSE)="NO","NO",HLOOKUP(CS$15,Data_5!$F$10:$BG$42,$A49+2,FALSE)/Data_5!$BK44))))),"")</f>
        <v/>
      </c>
      <c r="CT49" s="1122" t="str">
        <f>IFERROR(IF(HLOOKUP(CT$15,Data_5!$F$10:$BG$42,$A49+2,FALSE)="NO","NO",IF(HLOOKUP(CT$15,Data_5!$F$10:$BG$42,$A49+2,FALSE)="IE","IE",IF(HLOOKUP(CT$15,Data_5!$F$10:$BG$42,$A49+2,FALSE)="NE","NE",IF(HLOOKUP(CT$15,Data_5!$F$10:$BG$42,$A49+2,FALSE)="C","C",IF(HLOOKUP(CT$15,Data_5!$F$10:$BG$42,$A49+2,FALSE)="NO","NO",HLOOKUP(CT$15,Data_5!$F$10:$BG$42,$A49+2,FALSE)/Data_5!$BK44))))),"")</f>
        <v/>
      </c>
      <c r="CU49" s="1122" t="str">
        <f>IFERROR(IF(HLOOKUP(CU$15,Data_5!$F$10:$BG$42,$A49+2,FALSE)="NO","NO",IF(HLOOKUP(CU$15,Data_5!$F$10:$BG$42,$A49+2,FALSE)="IE","IE",IF(HLOOKUP(CU$15,Data_5!$F$10:$BG$42,$A49+2,FALSE)="NE","NE",IF(HLOOKUP(CU$15,Data_5!$F$10:$BG$42,$A49+2,FALSE)="C","C",IF(HLOOKUP(CU$15,Data_5!$F$10:$BG$42,$A49+2,FALSE)="NO","NO",HLOOKUP(CU$15,Data_5!$F$10:$BG$42,$A49+2,FALSE)/Data_5!$BK44))))),"")</f>
        <v/>
      </c>
      <c r="CV49" s="1122" t="str">
        <f>IFERROR(IF(HLOOKUP(CV$15,Data_5!$F$10:$BG$42,$A49+2,FALSE)="NO","NO",IF(HLOOKUP(CV$15,Data_5!$F$10:$BG$42,$A49+2,FALSE)="IE","IE",IF(HLOOKUP(CV$15,Data_5!$F$10:$BG$42,$A49+2,FALSE)="NE","NE",IF(HLOOKUP(CV$15,Data_5!$F$10:$BG$42,$A49+2,FALSE)="C","C",IF(HLOOKUP(CV$15,Data_5!$F$10:$BG$42,$A49+2,FALSE)="NO","NO",HLOOKUP(CV$15,Data_5!$F$10:$BG$42,$A49+2,FALSE)/Data_5!$BK44))))),"")</f>
        <v/>
      </c>
      <c r="CW49" s="1122" t="str">
        <f>IFERROR(IF(HLOOKUP(CW$15,Data_5!$F$10:$BG$42,$A49+2,FALSE)="NO","NO",IF(HLOOKUP(CW$15,Data_5!$F$10:$BG$42,$A49+2,FALSE)="IE","IE",IF(HLOOKUP(CW$15,Data_5!$F$10:$BG$42,$A49+2,FALSE)="NE","NE",IF(HLOOKUP(CW$15,Data_5!$F$10:$BG$42,$A49+2,FALSE)="C","C",IF(HLOOKUP(CW$15,Data_5!$F$10:$BG$42,$A49+2,FALSE)="NO","NO",HLOOKUP(CW$15,Data_5!$F$10:$BG$42,$A49+2,FALSE)/Data_5!$BK44))))),"")</f>
        <v/>
      </c>
      <c r="CX49" s="1122" t="str">
        <f>IFERROR(IF(HLOOKUP(CX$15,Data_5!$F$10:$BG$42,$A49+2,FALSE)="NO","NO",IF(HLOOKUP(CX$15,Data_5!$F$10:$BG$42,$A49+2,FALSE)="IE","IE",IF(HLOOKUP(CX$15,Data_5!$F$10:$BG$42,$A49+2,FALSE)="NE","NE",IF(HLOOKUP(CX$15,Data_5!$F$10:$BG$42,$A49+2,FALSE)="C","C",IF(HLOOKUP(CX$15,Data_5!$F$10:$BG$42,$A49+2,FALSE)="NO","NO",HLOOKUP(CX$15,Data_5!$F$10:$BG$42,$A49+2,FALSE)/Data_5!$BK44))))),"")</f>
        <v/>
      </c>
      <c r="CY49" s="1122" t="str">
        <f>IFERROR(IF(HLOOKUP(CY$15,Data_5!$F$10:$BG$42,$A49+2,FALSE)="NO","NO",IF(HLOOKUP(CY$15,Data_5!$F$10:$BG$42,$A49+2,FALSE)="IE","IE",IF(HLOOKUP(CY$15,Data_5!$F$10:$BG$42,$A49+2,FALSE)="NE","NE",IF(HLOOKUP(CY$15,Data_5!$F$10:$BG$42,$A49+2,FALSE)="C","C",IF(HLOOKUP(CY$15,Data_5!$F$10:$BG$42,$A49+2,FALSE)="NO","NO",HLOOKUP(CY$15,Data_5!$F$10:$BG$42,$A49+2,FALSE)/Data_5!$BK44))))),"")</f>
        <v/>
      </c>
      <c r="CZ49" s="1122" t="str">
        <f>IFERROR(IF(HLOOKUP(CZ$15,Data_5!$F$10:$BG$42,$A49+2,FALSE)="NO","NO",IF(HLOOKUP(CZ$15,Data_5!$F$10:$BG$42,$A49+2,FALSE)="IE","IE",IF(HLOOKUP(CZ$15,Data_5!$F$10:$BG$42,$A49+2,FALSE)="NE","NE",IF(HLOOKUP(CZ$15,Data_5!$F$10:$BG$42,$A49+2,FALSE)="C","C",IF(HLOOKUP(CZ$15,Data_5!$F$10:$BG$42,$A49+2,FALSE)="NO","NO",HLOOKUP(CZ$15,Data_5!$F$10:$BG$42,$A49+2,FALSE)/Data_5!$BK44))))),"")</f>
        <v/>
      </c>
      <c r="DA49" s="1122" t="str">
        <f>IFERROR(IF(HLOOKUP(DA$15,Data_5!$F$10:$BG$42,$A49+2,FALSE)="NO","NO",IF(HLOOKUP(DA$15,Data_5!$F$10:$BG$42,$A49+2,FALSE)="IE","IE",IF(HLOOKUP(DA$15,Data_5!$F$10:$BG$42,$A49+2,FALSE)="NE","NE",IF(HLOOKUP(DA$15,Data_5!$F$10:$BG$42,$A49+2,FALSE)="C","C",IF(HLOOKUP(DA$15,Data_5!$F$10:$BG$42,$A49+2,FALSE)="NO","NO",HLOOKUP(DA$15,Data_5!$F$10:$BG$42,$A49+2,FALSE)/Data_5!$BK44))))),"")</f>
        <v/>
      </c>
      <c r="DB49" s="1122" t="str">
        <f>IFERROR(IF(HLOOKUP(DB$15,Data_5!$F$10:$BG$42,$A49+2,FALSE)="NO","NO",IF(HLOOKUP(DB$15,Data_5!$F$10:$BG$42,$A49+2,FALSE)="IE","IE",IF(HLOOKUP(DB$15,Data_5!$F$10:$BG$42,$A49+2,FALSE)="NE","NE",IF(HLOOKUP(DB$15,Data_5!$F$10:$BG$42,$A49+2,FALSE)="C","C",IF(HLOOKUP(DB$15,Data_5!$F$10:$BG$42,$A49+2,FALSE)="NO","NO",HLOOKUP(DB$15,Data_5!$F$10:$BG$42,$A49+2,FALSE)/Data_5!$BK44))))),"")</f>
        <v/>
      </c>
      <c r="DC49" s="1122" t="str">
        <f>IFERROR(IF(HLOOKUP(DC$15,Data_5!$F$10:$BG$42,$A49+2,FALSE)="NO","NO",IF(HLOOKUP(DC$15,Data_5!$F$10:$BG$42,$A49+2,FALSE)="IE","IE",IF(HLOOKUP(DC$15,Data_5!$F$10:$BG$42,$A49+2,FALSE)="NE","NE",IF(HLOOKUP(DC$15,Data_5!$F$10:$BG$42,$A49+2,FALSE)="C","C",IF(HLOOKUP(DC$15,Data_5!$F$10:$BG$42,$A49+2,FALSE)="NO","NO",HLOOKUP(DC$15,Data_5!$F$10:$BG$42,$A49+2,FALSE)/Data_5!$BK44))))),"")</f>
        <v/>
      </c>
      <c r="DD49" s="1122" t="str">
        <f>IFERROR(IF(HLOOKUP(DD$15,Data_5!$F$10:$BG$42,$A49+2,FALSE)="NO","NO",IF(HLOOKUP(DD$15,Data_5!$F$10:$BG$42,$A49+2,FALSE)="IE","IE",IF(HLOOKUP(DD$15,Data_5!$F$10:$BG$42,$A49+2,FALSE)="NE","NE",IF(HLOOKUP(DD$15,Data_5!$F$10:$BG$42,$A49+2,FALSE)="C","C",IF(HLOOKUP(DD$15,Data_5!$F$10:$BG$42,$A49+2,FALSE)="NO","NO",HLOOKUP(DD$15,Data_5!$F$10:$BG$42,$A49+2,FALSE)/Data_5!$BK44))))),"")</f>
        <v/>
      </c>
      <c r="DE49" s="1122" t="str">
        <f>IFERROR(IF(HLOOKUP(DE$15,Data_5!$F$10:$BG$42,$A49+2,FALSE)="NO","NO",IF(HLOOKUP(DE$15,Data_5!$F$10:$BG$42,$A49+2,FALSE)="IE","IE",IF(HLOOKUP(DE$15,Data_5!$F$10:$BG$42,$A49+2,FALSE)="NE","NE",IF(HLOOKUP(DE$15,Data_5!$F$10:$BG$42,$A49+2,FALSE)="C","C",IF(HLOOKUP(DE$15,Data_5!$F$10:$BG$42,$A49+2,FALSE)="NO","NO",HLOOKUP(DE$15,Data_5!$F$10:$BG$42,$A49+2,FALSE)/Data_5!$BK44))))),"")</f>
        <v/>
      </c>
      <c r="DF49" s="1122" t="str">
        <f>IFERROR(IF(HLOOKUP(DF$15,Data_5!$F$10:$BG$42,$A49+2,FALSE)="NO","NO",IF(HLOOKUP(DF$15,Data_5!$F$10:$BG$42,$A49+2,FALSE)="IE","IE",IF(HLOOKUP(DF$15,Data_5!$F$10:$BG$42,$A49+2,FALSE)="NE","NE",IF(HLOOKUP(DF$15,Data_5!$F$10:$BG$42,$A49+2,FALSE)="C","C",IF(HLOOKUP(DF$15,Data_5!$F$10:$BG$42,$A49+2,FALSE)="NO","NO",HLOOKUP(DF$15,Data_5!$F$10:$BG$42,$A49+2,FALSE)/Data_5!$BK44))))),"")</f>
        <v/>
      </c>
      <c r="DG49" s="1122" t="str">
        <f>IFERROR(IF(HLOOKUP(DG$15,Data_5!$F$10:$BG$42,$A49+2,FALSE)="NO","NO",IF(HLOOKUP(DG$15,Data_5!$F$10:$BG$42,$A49+2,FALSE)="IE","IE",IF(HLOOKUP(DG$15,Data_5!$F$10:$BG$42,$A49+2,FALSE)="NE","NE",IF(HLOOKUP(DG$15,Data_5!$F$10:$BG$42,$A49+2,FALSE)="C","C",IF(HLOOKUP(DG$15,Data_5!$F$10:$BG$42,$A49+2,FALSE)="NO","NO",HLOOKUP(DG$15,Data_5!$F$10:$BG$42,$A49+2,FALSE)/Data_5!$BK44))))),"")</f>
        <v/>
      </c>
      <c r="DH49" s="1122" t="str">
        <f>IFERROR(IF(HLOOKUP(DH$15,Data_5!$F$10:$BG$42,$A49+2,FALSE)="NO","NO",IF(HLOOKUP(DH$15,Data_5!$F$10:$BG$42,$A49+2,FALSE)="IE","IE",IF(HLOOKUP(DH$15,Data_5!$F$10:$BG$42,$A49+2,FALSE)="NE","NE",IF(HLOOKUP(DH$15,Data_5!$F$10:$BG$42,$A49+2,FALSE)="C","C",IF(HLOOKUP(DH$15,Data_5!$F$10:$BG$42,$A49+2,FALSE)="NO","NO",HLOOKUP(DH$15,Data_5!$F$10:$BG$42,$A49+2,FALSE)/Data_5!$BK44))))),"")</f>
        <v/>
      </c>
      <c r="DI49" s="1122" t="str">
        <f>IFERROR(IF(HLOOKUP(DI$15,Data_5!$F$10:$BG$42,$A49+2,FALSE)="NO","NO",IF(HLOOKUP(DI$15,Data_5!$F$10:$BG$42,$A49+2,FALSE)="IE","IE",IF(HLOOKUP(DI$15,Data_5!$F$10:$BG$42,$A49+2,FALSE)="NE","NE",IF(HLOOKUP(DI$15,Data_5!$F$10:$BG$42,$A49+2,FALSE)="C","C",IF(HLOOKUP(DI$15,Data_5!$F$10:$BG$42,$A49+2,FALSE)="NO","NO",HLOOKUP(DI$15,Data_5!$F$10:$BG$42,$A49+2,FALSE)/Data_5!$BK44))))),"")</f>
        <v/>
      </c>
      <c r="DJ49" s="1122" t="str">
        <f>IFERROR(IF(HLOOKUP(DJ$15,Data_5!$F$10:$BG$42,$A49+2,FALSE)="NO","NO",IF(HLOOKUP(DJ$15,Data_5!$F$10:$BG$42,$A49+2,FALSE)="IE","IE",IF(HLOOKUP(DJ$15,Data_5!$F$10:$BG$42,$A49+2,FALSE)="NE","NE",IF(HLOOKUP(DJ$15,Data_5!$F$10:$BG$42,$A49+2,FALSE)="C","C",IF(HLOOKUP(DJ$15,Data_5!$F$10:$BG$42,$A49+2,FALSE)="NO","NO",HLOOKUP(DJ$15,Data_5!$F$10:$BG$42,$A49+2,FALSE)/Data_5!$BK44))))),"")</f>
        <v/>
      </c>
      <c r="DK49" s="1122" t="str">
        <f>IFERROR(IF(HLOOKUP(DK$15,Data_5!$F$10:$BG$42,$A49+2,FALSE)="NO","NO",IF(HLOOKUP(DK$15,Data_5!$F$10:$BG$42,$A49+2,FALSE)="IE","IE",IF(HLOOKUP(DK$15,Data_5!$F$10:$BG$42,$A49+2,FALSE)="NE","NE",IF(HLOOKUP(DK$15,Data_5!$F$10:$BG$42,$A49+2,FALSE)="C","C",IF(HLOOKUP(DK$15,Data_5!$F$10:$BG$42,$A49+2,FALSE)="NO","NO",HLOOKUP(DK$15,Data_5!$F$10:$BG$42,$A49+2,FALSE)/Data_5!$BK44))))),"")</f>
        <v/>
      </c>
      <c r="DL49" s="1122" t="str">
        <f>IFERROR(IF(HLOOKUP(DL$15,Data_5!$F$10:$BG$42,$A49+2,FALSE)="NO","NO",IF(HLOOKUP(DL$15,Data_5!$F$10:$BG$42,$A49+2,FALSE)="IE","IE",IF(HLOOKUP(DL$15,Data_5!$F$10:$BG$42,$A49+2,FALSE)="NE","NE",IF(HLOOKUP(DL$15,Data_5!$F$10:$BG$42,$A49+2,FALSE)="C","C",IF(HLOOKUP(DL$15,Data_5!$F$10:$BG$42,$A49+2,FALSE)="NO","NO",HLOOKUP(DL$15,Data_5!$F$10:$BG$42,$A49+2,FALSE)/Data_5!$BK44))))),"")</f>
        <v/>
      </c>
      <c r="DM49" s="1122" t="str">
        <f>IFERROR(IF(HLOOKUP(DM$15,Data_5!$F$10:$BG$42,$A49+2,FALSE)="NO","NO",IF(HLOOKUP(DM$15,Data_5!$F$10:$BG$42,$A49+2,FALSE)="IE","IE",IF(HLOOKUP(DM$15,Data_5!$F$10:$BG$42,$A49+2,FALSE)="NE","NE",IF(HLOOKUP(DM$15,Data_5!$F$10:$BG$42,$A49+2,FALSE)="C","C",IF(HLOOKUP(DM$15,Data_5!$F$10:$BG$42,$A49+2,FALSE)="NO","NO",HLOOKUP(DM$15,Data_5!$F$10:$BG$42,$A49+2,FALSE)/Data_5!$BK44))))),"")</f>
        <v/>
      </c>
      <c r="DN49" s="1122" t="str">
        <f>IFERROR(IF(HLOOKUP(DN$15,Data_5!$F$10:$BG$42,$A49+2,FALSE)="NO","NO",IF(HLOOKUP(DN$15,Data_5!$F$10:$BG$42,$A49+2,FALSE)="IE","IE",IF(HLOOKUP(DN$15,Data_5!$F$10:$BG$42,$A49+2,FALSE)="NE","NE",IF(HLOOKUP(DN$15,Data_5!$F$10:$BG$42,$A49+2,FALSE)="C","C",IF(HLOOKUP(DN$15,Data_5!$F$10:$BG$42,$A49+2,FALSE)="NO","NO",HLOOKUP(DN$15,Data_5!$F$10:$BG$42,$A49+2,FALSE)/Data_5!$BK44))))),"")</f>
        <v/>
      </c>
      <c r="DO49" s="1122" t="str">
        <f>IFERROR(IF(HLOOKUP(DO$15,Data_5!$F$10:$BG$42,$A49+2,FALSE)="NO","NO",IF(HLOOKUP(DO$15,Data_5!$F$10:$BG$42,$A49+2,FALSE)="IE","IE",IF(HLOOKUP(DO$15,Data_5!$F$10:$BG$42,$A49+2,FALSE)="NE","NE",IF(HLOOKUP(DO$15,Data_5!$F$10:$BG$42,$A49+2,FALSE)="C","C",IF(HLOOKUP(DO$15,Data_5!$F$10:$BG$42,$A49+2,FALSE)="NO","NO",HLOOKUP(DO$15,Data_5!$F$10:$BG$42,$A49+2,FALSE)/Data_5!$BK44))))),"")</f>
        <v/>
      </c>
    </row>
    <row r="50" spans="1:119" ht="15" customHeight="1">
      <c r="A50" s="1789">
        <v>34</v>
      </c>
      <c r="B50" s="2628" t="str">
        <f ca="1">IF(Data_5!B45&lt;&gt;"",Data_5!B45,"")</f>
        <v/>
      </c>
      <c r="C50" s="2629"/>
      <c r="D50" s="1462">
        <f ca="1">IFERROR(VLOOKUP($B50,Data_5!$B$12:$C$42,2,FALSE),"")</f>
        <v>0</v>
      </c>
      <c r="E50" s="1122" t="str">
        <f>IFERROR(IF(HLOOKUP(E$15,Data_5!$F$10:$BG$42,$A50+2,FALSE)="NO","NO",IF(HLOOKUP(E$15,Data_5!$F$10:$BG$42,$A50+2,FALSE)="IE","IE",IF(HLOOKUP(E$15,Data_5!$F$10:$BG$42,$A50+2,FALSE)="NE","NE",IF(HLOOKUP(E$15,Data_5!$F$10:$BG$42,$A50+2,FALSE)="C","C",IF(HLOOKUP(E$15,Data_5!$F$10:$BG$42,$A50+2,FALSE)="NO","NO",HLOOKUP(E$15,Data_5!$F$10:$BG$42,$A50+2,FALSE)/Data_5!$BH45))))),"")</f>
        <v/>
      </c>
      <c r="F50" s="1122" t="str">
        <f>IFERROR(IF(HLOOKUP(F$15,Data_5!$F$10:$BG$42,$A50+2,FALSE)="NO","NO",IF(HLOOKUP(F$15,Data_5!$F$10:$BG$42,$A50+2,FALSE)="IE","IE",IF(HLOOKUP(F$15,Data_5!$F$10:$BG$42,$A50+2,FALSE)="NE","NE",IF(HLOOKUP(F$15,Data_5!$F$10:$BG$42,$A50+2,FALSE)="C","C",IF(HLOOKUP(F$15,Data_5!$F$10:$BG$42,$A50+2,FALSE)="NO","NO",HLOOKUP(F$15,Data_5!$F$10:$BG$42,$A50+2,FALSE)/Data_5!$BH45))))),"")</f>
        <v/>
      </c>
      <c r="G50" s="1122" t="str">
        <f>IFERROR(IF(HLOOKUP(G$15,Data_5!$F$10:$BG$42,$A50+2,FALSE)="NO","NO",IF(HLOOKUP(G$15,Data_5!$F$10:$BG$42,$A50+2,FALSE)="IE","IE",IF(HLOOKUP(G$15,Data_5!$F$10:$BG$42,$A50+2,FALSE)="NE","NE",IF(HLOOKUP(G$15,Data_5!$F$10:$BG$42,$A50+2,FALSE)="C","C",IF(HLOOKUP(G$15,Data_5!$F$10:$BG$42,$A50+2,FALSE)="NO","NO",HLOOKUP(G$15,Data_5!$F$10:$BG$42,$A50+2,FALSE)/Data_5!$BH45))))),"")</f>
        <v/>
      </c>
      <c r="H50" s="1122" t="str">
        <f>IFERROR(IF(HLOOKUP(H$15,Data_5!$F$10:$BG$42,$A50+2,FALSE)="NO","NO",IF(HLOOKUP(H$15,Data_5!$F$10:$BG$42,$A50+2,FALSE)="IE","IE",IF(HLOOKUP(H$15,Data_5!$F$10:$BG$42,$A50+2,FALSE)="NE","NE",IF(HLOOKUP(H$15,Data_5!$F$10:$BG$42,$A50+2,FALSE)="C","C",IF(HLOOKUP(H$15,Data_5!$F$10:$BG$42,$A50+2,FALSE)="NO","NO",HLOOKUP(H$15,Data_5!$F$10:$BG$42,$A50+2,FALSE)/Data_5!$BH45))))),"")</f>
        <v/>
      </c>
      <c r="I50" s="1122" t="str">
        <f>IFERROR(IF(HLOOKUP(I$15,Data_5!$F$10:$BG$42,$A50+2,FALSE)="NO","NO",IF(HLOOKUP(I$15,Data_5!$F$10:$BG$42,$A50+2,FALSE)="IE","IE",IF(HLOOKUP(I$15,Data_5!$F$10:$BG$42,$A50+2,FALSE)="NE","NE",IF(HLOOKUP(I$15,Data_5!$F$10:$BG$42,$A50+2,FALSE)="C","C",IF(HLOOKUP(I$15,Data_5!$F$10:$BG$42,$A50+2,FALSE)="NO","NO",HLOOKUP(I$15,Data_5!$F$10:$BG$42,$A50+2,FALSE)/Data_5!$BH45))))),"")</f>
        <v/>
      </c>
      <c r="J50" s="1122" t="str">
        <f>IFERROR(IF(HLOOKUP(J$15,Data_5!$F$10:$BG$42,$A50+2,FALSE)="NO","NO",IF(HLOOKUP(J$15,Data_5!$F$10:$BG$42,$A50+2,FALSE)="IE","IE",IF(HLOOKUP(J$15,Data_5!$F$10:$BG$42,$A50+2,FALSE)="NE","NE",IF(HLOOKUP(J$15,Data_5!$F$10:$BG$42,$A50+2,FALSE)="C","C",IF(HLOOKUP(J$15,Data_5!$F$10:$BG$42,$A50+2,FALSE)="NO","NO",HLOOKUP(J$15,Data_5!$F$10:$BG$42,$A50+2,FALSE)/Data_5!$BH45))))),"")</f>
        <v/>
      </c>
      <c r="K50" s="1122" t="str">
        <f>IFERROR(IF(HLOOKUP(K$15,Data_5!$F$10:$BG$42,$A50+2,FALSE)="NO","NO",IF(HLOOKUP(K$15,Data_5!$F$10:$BG$42,$A50+2,FALSE)="IE","IE",IF(HLOOKUP(K$15,Data_5!$F$10:$BG$42,$A50+2,FALSE)="NE","NE",IF(HLOOKUP(K$15,Data_5!$F$10:$BG$42,$A50+2,FALSE)="C","C",IF(HLOOKUP(K$15,Data_5!$F$10:$BG$42,$A50+2,FALSE)="NO","NO",HLOOKUP(K$15,Data_5!$F$10:$BG$42,$A50+2,FALSE)/Data_5!$BH45))))),"")</f>
        <v/>
      </c>
      <c r="L50" s="1122" t="str">
        <f>IFERROR(IF(HLOOKUP(L$15,Data_5!$F$10:$BG$42,$A50+2,FALSE)="NO","NO",IF(HLOOKUP(L$15,Data_5!$F$10:$BG$42,$A50+2,FALSE)="IE","IE",IF(HLOOKUP(L$15,Data_5!$F$10:$BG$42,$A50+2,FALSE)="NE","NE",IF(HLOOKUP(L$15,Data_5!$F$10:$BG$42,$A50+2,FALSE)="C","C",IF(HLOOKUP(L$15,Data_5!$F$10:$BG$42,$A50+2,FALSE)="NO","NO",HLOOKUP(L$15,Data_5!$F$10:$BG$42,$A50+2,FALSE)/Data_5!$BH45))))),"")</f>
        <v/>
      </c>
      <c r="M50" s="1122" t="str">
        <f>IFERROR(IF(HLOOKUP(M$15,Data_5!$F$10:$BG$42,$A50+2,FALSE)="NO","NO",IF(HLOOKUP(M$15,Data_5!$F$10:$BG$42,$A50+2,FALSE)="IE","IE",IF(HLOOKUP(M$15,Data_5!$F$10:$BG$42,$A50+2,FALSE)="NE","NE",IF(HLOOKUP(M$15,Data_5!$F$10:$BG$42,$A50+2,FALSE)="C","C",IF(HLOOKUP(M$15,Data_5!$F$10:$BG$42,$A50+2,FALSE)="NO","NO",HLOOKUP(M$15,Data_5!$F$10:$BG$42,$A50+2,FALSE)/Data_5!$BH45))))),"")</f>
        <v/>
      </c>
      <c r="N50" s="1122" t="str">
        <f>IFERROR(IF(HLOOKUP(N$15,Data_5!$F$10:$BG$42,$A50+2,FALSE)="NO","NO",IF(HLOOKUP(N$15,Data_5!$F$10:$BG$42,$A50+2,FALSE)="IE","IE",IF(HLOOKUP(N$15,Data_5!$F$10:$BG$42,$A50+2,FALSE)="NE","NE",IF(HLOOKUP(N$15,Data_5!$F$10:$BG$42,$A50+2,FALSE)="C","C",IF(HLOOKUP(N$15,Data_5!$F$10:$BG$42,$A50+2,FALSE)="NO","NO",HLOOKUP(N$15,Data_5!$F$10:$BG$42,$A50+2,FALSE)/Data_5!$BH45))))),"")</f>
        <v/>
      </c>
      <c r="O50" s="1122" t="str">
        <f>IFERROR(IF(HLOOKUP(O$15,Data_5!$F$10:$BG$42,$A50+2,FALSE)="NO","NO",IF(HLOOKUP(O$15,Data_5!$F$10:$BG$42,$A50+2,FALSE)="IE","IE",IF(HLOOKUP(O$15,Data_5!$F$10:$BG$42,$A50+2,FALSE)="NE","NE",IF(HLOOKUP(O$15,Data_5!$F$10:$BG$42,$A50+2,FALSE)="C","C",IF(HLOOKUP(O$15,Data_5!$F$10:$BG$42,$A50+2,FALSE)="NO","NO",HLOOKUP(O$15,Data_5!$F$10:$BG$42,$A50+2,FALSE)/Data_5!$BH45))))),"")</f>
        <v/>
      </c>
      <c r="P50" s="1122" t="str">
        <f>IFERROR(IF(HLOOKUP(P$15,Data_5!$F$10:$BG$42,$A50+2,FALSE)="NO","NO",IF(HLOOKUP(P$15,Data_5!$F$10:$BG$42,$A50+2,FALSE)="IE","IE",IF(HLOOKUP(P$15,Data_5!$F$10:$BG$42,$A50+2,FALSE)="NE","NE",IF(HLOOKUP(P$15,Data_5!$F$10:$BG$42,$A50+2,FALSE)="C","C",IF(HLOOKUP(P$15,Data_5!$F$10:$BG$42,$A50+2,FALSE)="NO","NO",HLOOKUP(P$15,Data_5!$F$10:$BG$42,$A50+2,FALSE)/Data_5!$BH45))))),"")</f>
        <v/>
      </c>
      <c r="Q50" s="1122" t="str">
        <f>IFERROR(IF(HLOOKUP(Q$15,Data_5!$F$10:$BG$42,$A50+2,FALSE)="NO","NO",IF(HLOOKUP(Q$15,Data_5!$F$10:$BG$42,$A50+2,FALSE)="IE","IE",IF(HLOOKUP(Q$15,Data_5!$F$10:$BG$42,$A50+2,FALSE)="NE","NE",IF(HLOOKUP(Q$15,Data_5!$F$10:$BG$42,$A50+2,FALSE)="C","C",IF(HLOOKUP(Q$15,Data_5!$F$10:$BG$42,$A50+2,FALSE)="NO","NO",HLOOKUP(Q$15,Data_5!$F$10:$BG$42,$A50+2,FALSE)/Data_5!$BH45))))),"")</f>
        <v/>
      </c>
      <c r="R50" s="1122" t="str">
        <f>IFERROR(IF(HLOOKUP(R$15,Data_5!$F$10:$BG$42,$A50+2,FALSE)="NO","NO",IF(HLOOKUP(R$15,Data_5!$F$10:$BG$42,$A50+2,FALSE)="IE","IE",IF(HLOOKUP(R$15,Data_5!$F$10:$BG$42,$A50+2,FALSE)="NE","NE",IF(HLOOKUP(R$15,Data_5!$F$10:$BG$42,$A50+2,FALSE)="C","C",IF(HLOOKUP(R$15,Data_5!$F$10:$BG$42,$A50+2,FALSE)="NO","NO",HLOOKUP(R$15,Data_5!$F$10:$BG$42,$A50+2,FALSE)/Data_5!$BH45))))),"")</f>
        <v/>
      </c>
      <c r="S50" s="1122" t="str">
        <f>IFERROR(IF(HLOOKUP(S$15,Data_5!$F$10:$BG$42,$A50+2,FALSE)="NO","NO",IF(HLOOKUP(S$15,Data_5!$F$10:$BG$42,$A50+2,FALSE)="IE","IE",IF(HLOOKUP(S$15,Data_5!$F$10:$BG$42,$A50+2,FALSE)="NE","NE",IF(HLOOKUP(S$15,Data_5!$F$10:$BG$42,$A50+2,FALSE)="C","C",IF(HLOOKUP(S$15,Data_5!$F$10:$BG$42,$A50+2,FALSE)="NO","NO",HLOOKUP(S$15,Data_5!$F$10:$BG$42,$A50+2,FALSE)/Data_5!$BH45))))),"")</f>
        <v/>
      </c>
      <c r="T50" s="1122" t="str">
        <f>IFERROR(IF(HLOOKUP(T$15,Data_5!$F$10:$BG$42,$A50+2,FALSE)="NO","NO",IF(HLOOKUP(T$15,Data_5!$F$10:$BG$42,$A50+2,FALSE)="IE","IE",IF(HLOOKUP(T$15,Data_5!$F$10:$BG$42,$A50+2,FALSE)="NE","NE",IF(HLOOKUP(T$15,Data_5!$F$10:$BG$42,$A50+2,FALSE)="C","C",IF(HLOOKUP(T$15,Data_5!$F$10:$BG$42,$A50+2,FALSE)="NO","NO",HLOOKUP(T$15,Data_5!$F$10:$BG$42,$A50+2,FALSE)/Data_5!$BH45))))),"")</f>
        <v/>
      </c>
      <c r="U50" s="1122" t="str">
        <f>IFERROR(IF(HLOOKUP(U$15,Data_5!$F$10:$BG$42,$A50+2,FALSE)="NO","NO",IF(HLOOKUP(U$15,Data_5!$F$10:$BG$42,$A50+2,FALSE)="IE","IE",IF(HLOOKUP(U$15,Data_5!$F$10:$BG$42,$A50+2,FALSE)="NE","NE",IF(HLOOKUP(U$15,Data_5!$F$10:$BG$42,$A50+2,FALSE)="C","C",IF(HLOOKUP(U$15,Data_5!$F$10:$BG$42,$A50+2,FALSE)="NO","NO",HLOOKUP(U$15,Data_5!$F$10:$BG$42,$A50+2,FALSE)/Data_5!$BH45))))),"")</f>
        <v/>
      </c>
      <c r="V50" s="1122" t="str">
        <f>IFERROR(IF(HLOOKUP(V$15,Data_5!$F$10:$BG$42,$A50+2,FALSE)="NO","NO",IF(HLOOKUP(V$15,Data_5!$F$10:$BG$42,$A50+2,FALSE)="IE","IE",IF(HLOOKUP(V$15,Data_5!$F$10:$BG$42,$A50+2,FALSE)="NE","NE",IF(HLOOKUP(V$15,Data_5!$F$10:$BG$42,$A50+2,FALSE)="C","C",IF(HLOOKUP(V$15,Data_5!$F$10:$BG$42,$A50+2,FALSE)="NO","NO",HLOOKUP(V$15,Data_5!$F$10:$BG$42,$A50+2,FALSE)/Data_5!$BH45))))),"")</f>
        <v/>
      </c>
      <c r="W50" s="1122" t="str">
        <f>IFERROR(IF(HLOOKUP(W$15,Data_5!$F$10:$BG$42,$A50+2,FALSE)="NO","NO",IF(HLOOKUP(W$15,Data_5!$F$10:$BG$42,$A50+2,FALSE)="IE","IE",IF(HLOOKUP(W$15,Data_5!$F$10:$BG$42,$A50+2,FALSE)="NE","NE",IF(HLOOKUP(W$15,Data_5!$F$10:$BG$42,$A50+2,FALSE)="C","C",IF(HLOOKUP(W$15,Data_5!$F$10:$BG$42,$A50+2,FALSE)="NO","NO",HLOOKUP(W$15,Data_5!$F$10:$BG$42,$A50+2,FALSE)/Data_5!$BH45))))),"")</f>
        <v/>
      </c>
      <c r="X50" s="1122" t="str">
        <f>IFERROR(IF(HLOOKUP(X$15,Data_5!$F$10:$BG$42,$A50+2,FALSE)="NO","NO",IF(HLOOKUP(X$15,Data_5!$F$10:$BG$42,$A50+2,FALSE)="IE","IE",IF(HLOOKUP(X$15,Data_5!$F$10:$BG$42,$A50+2,FALSE)="NE","NE",IF(HLOOKUP(X$15,Data_5!$F$10:$BG$42,$A50+2,FALSE)="C","C",IF(HLOOKUP(X$15,Data_5!$F$10:$BG$42,$A50+2,FALSE)="NO","NO",HLOOKUP(X$15,Data_5!$F$10:$BG$42,$A50+2,FALSE)/Data_5!$BH45))))),"")</f>
        <v/>
      </c>
      <c r="Y50" s="1122" t="str">
        <f>IFERROR(IF(HLOOKUP(Y$15,Data_5!$F$10:$BG$42,$A50+2,FALSE)="NO","NO",IF(HLOOKUP(Y$15,Data_5!$F$10:$BG$42,$A50+2,FALSE)="IE","IE",IF(HLOOKUP(Y$15,Data_5!$F$10:$BG$42,$A50+2,FALSE)="NE","NE",IF(HLOOKUP(Y$15,Data_5!$F$10:$BG$42,$A50+2,FALSE)="C","C",IF(HLOOKUP(Y$15,Data_5!$F$10:$BG$42,$A50+2,FALSE)="NO","NO",HLOOKUP(Y$15,Data_5!$F$10:$BG$42,$A50+2,FALSE)/Data_5!$BH45))))),"")</f>
        <v/>
      </c>
      <c r="Z50" s="1122" t="str">
        <f>IFERROR(IF(HLOOKUP(Z$15,Data_5!$F$10:$BG$42,$A50+2,FALSE)="NO","NO",IF(HLOOKUP(Z$15,Data_5!$F$10:$BG$42,$A50+2,FALSE)="IE","IE",IF(HLOOKUP(Z$15,Data_5!$F$10:$BG$42,$A50+2,FALSE)="NE","NE",IF(HLOOKUP(Z$15,Data_5!$F$10:$BG$42,$A50+2,FALSE)="C","C",IF(HLOOKUP(Z$15,Data_5!$F$10:$BG$42,$A50+2,FALSE)="NO","NO",HLOOKUP(Z$15,Data_5!$F$10:$BG$42,$A50+2,FALSE)/Data_5!$BH45))))),"")</f>
        <v/>
      </c>
      <c r="AA50" s="1122" t="str">
        <f>IFERROR(IF(HLOOKUP(AA$15,Data_5!$F$10:$BG$42,$A50+2,FALSE)="NO","NO",IF(HLOOKUP(AA$15,Data_5!$F$10:$BG$42,$A50+2,FALSE)="IE","IE",IF(HLOOKUP(AA$15,Data_5!$F$10:$BG$42,$A50+2,FALSE)="NE","NE",IF(HLOOKUP(AA$15,Data_5!$F$10:$BG$42,$A50+2,FALSE)="C","C",IF(HLOOKUP(AA$15,Data_5!$F$10:$BG$42,$A50+2,FALSE)="NO","NO",HLOOKUP(AA$15,Data_5!$F$10:$BG$42,$A50+2,FALSE)/Data_5!$BH45))))),"")</f>
        <v/>
      </c>
      <c r="AB50" s="1122" t="str">
        <f>IFERROR(IF(HLOOKUP(AB$15,Data_5!$F$10:$BG$42,$A50+2,FALSE)="NO","NO",IF(HLOOKUP(AB$15,Data_5!$F$10:$BG$42,$A50+2,FALSE)="IE","IE",IF(HLOOKUP(AB$15,Data_5!$F$10:$BG$42,$A50+2,FALSE)="NE","NE",IF(HLOOKUP(AB$15,Data_5!$F$10:$BG$42,$A50+2,FALSE)="C","C",IF(HLOOKUP(AB$15,Data_5!$F$10:$BG$42,$A50+2,FALSE)="NO","NO",HLOOKUP(AB$15,Data_5!$F$10:$BG$42,$A50+2,FALSE)/Data_5!$BH45))))),"")</f>
        <v/>
      </c>
      <c r="AC50" s="1122" t="str">
        <f>IFERROR(IF(HLOOKUP(AC$15,Data_5!$F$10:$BG$42,$A50+2,FALSE)="NO","NO",IF(HLOOKUP(AC$15,Data_5!$F$10:$BG$42,$A50+2,FALSE)="IE","IE",IF(HLOOKUP(AC$15,Data_5!$F$10:$BG$42,$A50+2,FALSE)="NE","NE",IF(HLOOKUP(AC$15,Data_5!$F$10:$BG$42,$A50+2,FALSE)="C","C",IF(HLOOKUP(AC$15,Data_5!$F$10:$BG$42,$A50+2,FALSE)="NO","NO",HLOOKUP(AC$15,Data_5!$F$10:$BG$42,$A50+2,FALSE)/Data_5!$BH45))))),"")</f>
        <v/>
      </c>
      <c r="AD50" s="1122" t="str">
        <f>IFERROR(IF(HLOOKUP(AD$15,Data_5!$F$10:$BG$42,$A50+2,FALSE)="NO","NO",IF(HLOOKUP(AD$15,Data_5!$F$10:$BG$42,$A50+2,FALSE)="IE","IE",IF(HLOOKUP(AD$15,Data_5!$F$10:$BG$42,$A50+2,FALSE)="NE","NE",IF(HLOOKUP(AD$15,Data_5!$F$10:$BG$42,$A50+2,FALSE)="C","C",IF(HLOOKUP(AD$15,Data_5!$F$10:$BG$42,$A50+2,FALSE)="NO","NO",HLOOKUP(AD$15,Data_5!$F$10:$BG$42,$A50+2,FALSE)/Data_5!$BH45))))),"")</f>
        <v/>
      </c>
      <c r="AE50" s="1122" t="str">
        <f>IFERROR(IF(HLOOKUP(AE$15,Data_5!$F$10:$BG$42,$A50+2,FALSE)="NO","NO",IF(HLOOKUP(AE$15,Data_5!$F$10:$BG$42,$A50+2,FALSE)="IE","IE",IF(HLOOKUP(AE$15,Data_5!$F$10:$BG$42,$A50+2,FALSE)="NE","NE",IF(HLOOKUP(AE$15,Data_5!$F$10:$BG$42,$A50+2,FALSE)="C","C",IF(HLOOKUP(AE$15,Data_5!$F$10:$BG$42,$A50+2,FALSE)="NO","NO",HLOOKUP(AE$15,Data_5!$F$10:$BG$42,$A50+2,FALSE)/Data_5!$BH45))))),"")</f>
        <v/>
      </c>
      <c r="AF50" s="1122" t="str">
        <f>IFERROR(IF(HLOOKUP(AF$15,Data_5!$F$10:$BG$42,$A50+2,FALSE)="NO","NO",IF(HLOOKUP(AF$15,Data_5!$F$10:$BG$42,$A50+2,FALSE)="IE","IE",IF(HLOOKUP(AF$15,Data_5!$F$10:$BG$42,$A50+2,FALSE)="NE","NE",IF(HLOOKUP(AF$15,Data_5!$F$10:$BG$42,$A50+2,FALSE)="C","C",IF(HLOOKUP(AF$15,Data_5!$F$10:$BG$42,$A50+2,FALSE)="NO","NO",HLOOKUP(AF$15,Data_5!$F$10:$BG$42,$A50+2,FALSE)/Data_5!$BH45))))),"")</f>
        <v/>
      </c>
      <c r="AG50" s="1122" t="str">
        <f>IFERROR(IF(HLOOKUP(AG$15,Data_5!$F$10:$BG$42,$A50+2,FALSE)="NO","NO",IF(HLOOKUP(AG$15,Data_5!$F$10:$BG$42,$A50+2,FALSE)="IE","IE",IF(HLOOKUP(AG$15,Data_5!$F$10:$BG$42,$A50+2,FALSE)="NE","NE",IF(HLOOKUP(AG$15,Data_5!$F$10:$BG$42,$A50+2,FALSE)="C","C",IF(HLOOKUP(AG$15,Data_5!$F$10:$BG$42,$A50+2,FALSE)="NO","NO",HLOOKUP(AG$15,Data_5!$F$10:$BG$42,$A50+2,FALSE)/Data_5!$BH45))))),"")</f>
        <v/>
      </c>
      <c r="AH50" s="1122" t="str">
        <f>IFERROR(IF(HLOOKUP(AH$15,Data_5!$F$10:$BG$42,$A50+2,FALSE)="NO","NO",IF(HLOOKUP(AH$15,Data_5!$F$10:$BG$42,$A50+2,FALSE)="IE","IE",IF(HLOOKUP(AH$15,Data_5!$F$10:$BG$42,$A50+2,FALSE)="NE","NE",IF(HLOOKUP(AH$15,Data_5!$F$10:$BG$42,$A50+2,FALSE)="C","C",IF(HLOOKUP(AH$15,Data_5!$F$10:$BG$42,$A50+2,FALSE)="NO","NO",HLOOKUP(AH$15,Data_5!$F$10:$BG$42,$A50+2,FALSE)/Data_5!$BH45))))),"")</f>
        <v/>
      </c>
      <c r="AI50" s="1122" t="str">
        <f>IFERROR(IF(HLOOKUP(AI$15,Data_5!$F$10:$BG$42,$A50+2,FALSE)="NO","NO",IF(HLOOKUP(AI$15,Data_5!$F$10:$BG$42,$A50+2,FALSE)="IE","IE",IF(HLOOKUP(AI$15,Data_5!$F$10:$BG$42,$A50+2,FALSE)="NE","NE",IF(HLOOKUP(AI$15,Data_5!$F$10:$BG$42,$A50+2,FALSE)="C","C",IF(HLOOKUP(AI$15,Data_5!$F$10:$BG$42,$A50+2,FALSE)="NO","NO",HLOOKUP(AI$15,Data_5!$F$10:$BG$42,$A50+2,FALSE)/Data_5!$BH45))))),"")</f>
        <v/>
      </c>
      <c r="AJ50" s="1122" t="str">
        <f>IFERROR(IF(HLOOKUP(AJ$15,Data_5!$F$10:$BG$42,$A50+2,FALSE)="NO","NO",IF(HLOOKUP(AJ$15,Data_5!$F$10:$BG$42,$A50+2,FALSE)="IE","IE",IF(HLOOKUP(AJ$15,Data_5!$F$10:$BG$42,$A50+2,FALSE)="NE","NE",IF(HLOOKUP(AJ$15,Data_5!$F$10:$BG$42,$A50+2,FALSE)="C","C",IF(HLOOKUP(AJ$15,Data_5!$F$10:$BG$42,$A50+2,FALSE)="NO","NO",HLOOKUP(AJ$15,Data_5!$F$10:$BG$42,$A50+2,FALSE)/Data_5!$BH45))))),"")</f>
        <v/>
      </c>
      <c r="AL50" s="2628" t="str">
        <f t="shared" ca="1" si="0"/>
        <v/>
      </c>
      <c r="AM50" s="2629"/>
      <c r="AN50" s="1100" t="str">
        <f t="shared" ca="1" si="1"/>
        <v/>
      </c>
      <c r="AO50" s="1122" t="str">
        <f>IFERROR(IF(HLOOKUP(AO$15,Data_5!$F$10:$BG$42,$A50+2,FALSE)="NO","NO",IF(HLOOKUP(AO$15,Data_5!$F$10:$BG$42,$A50+2,FALSE)="IE","IE",IF(HLOOKUP(AO$15,Data_5!$F$10:$BG$42,$A50+2,FALSE)="NE","NE",IF(HLOOKUP(AO$15,Data_5!$F$10:$BG$42,$A50+2,FALSE)="C","C",IF(HLOOKUP(AO$15,Data_5!$F$10:$BG$42,$A50+2,FALSE)="NO","NO",HLOOKUP(AO$15,Data_5!$F$10:$BG$42,$A50+2,FALSE)/Data_5!$BI45))))),"")</f>
        <v/>
      </c>
      <c r="AP50" s="1122" t="str">
        <f>IFERROR(IF(HLOOKUP(AP$15,Data_5!$F$10:$BG$42,$A50+2,FALSE)="NO","NO",IF(HLOOKUP(AP$15,Data_5!$F$10:$BG$42,$A50+2,FALSE)="IE","IE",IF(HLOOKUP(AP$15,Data_5!$F$10:$BG$42,$A50+2,FALSE)="NE","NE",IF(HLOOKUP(AP$15,Data_5!$F$10:$BG$42,$A50+2,FALSE)="C","C",IF(HLOOKUP(AP$15,Data_5!$F$10:$BG$42,$A50+2,FALSE)="NO","NO",HLOOKUP(AP$15,Data_5!$F$10:$BG$42,$A50+2,FALSE)/Data_5!$BI45))))),"")</f>
        <v/>
      </c>
      <c r="AQ50" s="1122" t="str">
        <f>IFERROR(IF(HLOOKUP(AQ$15,Data_5!$F$10:$BG$42,$A50+2,FALSE)="NO","NO",IF(HLOOKUP(AQ$15,Data_5!$F$10:$BG$42,$A50+2,FALSE)="IE","IE",IF(HLOOKUP(AQ$15,Data_5!$F$10:$BG$42,$A50+2,FALSE)="NE","NE",IF(HLOOKUP(AQ$15,Data_5!$F$10:$BG$42,$A50+2,FALSE)="C","C",IF(HLOOKUP(AQ$15,Data_5!$F$10:$BG$42,$A50+2,FALSE)="NO","NO",HLOOKUP(AQ$15,Data_5!$F$10:$BG$42,$A50+2,FALSE)/Data_5!$BI45))))),"")</f>
        <v/>
      </c>
      <c r="AR50" s="1122" t="str">
        <f>IFERROR(IF(HLOOKUP(AR$15,Data_5!$F$10:$BG$42,$A50+2,FALSE)="NO","NO",IF(HLOOKUP(AR$15,Data_5!$F$10:$BG$42,$A50+2,FALSE)="IE","IE",IF(HLOOKUP(AR$15,Data_5!$F$10:$BG$42,$A50+2,FALSE)="NE","NE",IF(HLOOKUP(AR$15,Data_5!$F$10:$BG$42,$A50+2,FALSE)="C","C",IF(HLOOKUP(AR$15,Data_5!$F$10:$BG$42,$A50+2,FALSE)="NO","NO",HLOOKUP(AR$15,Data_5!$F$10:$BG$42,$A50+2,FALSE)/Data_5!$BI45))))),"")</f>
        <v/>
      </c>
      <c r="AS50" s="1122" t="str">
        <f>IFERROR(IF(HLOOKUP(AS$15,Data_5!$F$10:$BG$42,$A50+2,FALSE)="NO","NO",IF(HLOOKUP(AS$15,Data_5!$F$10:$BG$42,$A50+2,FALSE)="IE","IE",IF(HLOOKUP(AS$15,Data_5!$F$10:$BG$42,$A50+2,FALSE)="NE","NE",IF(HLOOKUP(AS$15,Data_5!$F$10:$BG$42,$A50+2,FALSE)="C","C",IF(HLOOKUP(AS$15,Data_5!$F$10:$BG$42,$A50+2,FALSE)="NO","NO",HLOOKUP(AS$15,Data_5!$F$10:$BG$42,$A50+2,FALSE)/Data_5!$BI45))))),"")</f>
        <v/>
      </c>
      <c r="AT50" s="1122" t="str">
        <f>IFERROR(IF(HLOOKUP(AT$15,Data_5!$F$10:$BG$42,$A50+2,FALSE)="NO","NO",IF(HLOOKUP(AT$15,Data_5!$F$10:$BG$42,$A50+2,FALSE)="IE","IE",IF(HLOOKUP(AT$15,Data_5!$F$10:$BG$42,$A50+2,FALSE)="NE","NE",IF(HLOOKUP(AT$15,Data_5!$F$10:$BG$42,$A50+2,FALSE)="C","C",IF(HLOOKUP(AT$15,Data_5!$F$10:$BG$42,$A50+2,FALSE)="NO","NO",HLOOKUP(AT$15,Data_5!$F$10:$BG$42,$A50+2,FALSE)/Data_5!$BI45))))),"")</f>
        <v/>
      </c>
      <c r="AU50" s="1122" t="str">
        <f>IFERROR(IF(HLOOKUP(AU$15,Data_5!$F$10:$BG$42,$A50+2,FALSE)="NO","NO",IF(HLOOKUP(AU$15,Data_5!$F$10:$BG$42,$A50+2,FALSE)="IE","IE",IF(HLOOKUP(AU$15,Data_5!$F$10:$BG$42,$A50+2,FALSE)="NE","NE",IF(HLOOKUP(AU$15,Data_5!$F$10:$BG$42,$A50+2,FALSE)="C","C",IF(HLOOKUP(AU$15,Data_5!$F$10:$BG$42,$A50+2,FALSE)="NO","NO",HLOOKUP(AU$15,Data_5!$F$10:$BG$42,$A50+2,FALSE)/Data_5!$BI45))))),"")</f>
        <v/>
      </c>
      <c r="AV50" s="1122" t="str">
        <f>IFERROR(IF(HLOOKUP(AV$15,Data_5!$F$10:$BG$42,$A50+2,FALSE)="NO","NO",IF(HLOOKUP(AV$15,Data_5!$F$10:$BG$42,$A50+2,FALSE)="IE","IE",IF(HLOOKUP(AV$15,Data_5!$F$10:$BG$42,$A50+2,FALSE)="NE","NE",IF(HLOOKUP(AV$15,Data_5!$F$10:$BG$42,$A50+2,FALSE)="C","C",IF(HLOOKUP(AV$15,Data_5!$F$10:$BG$42,$A50+2,FALSE)="NO","NO",HLOOKUP(AV$15,Data_5!$F$10:$BG$42,$A50+2,FALSE)/Data_5!$BI45))))),"")</f>
        <v/>
      </c>
      <c r="AW50" s="1122" t="str">
        <f>IFERROR(IF(HLOOKUP(AW$15,Data_5!$F$10:$BG$42,$A50+2,FALSE)="NO","NO",IF(HLOOKUP(AW$15,Data_5!$F$10:$BG$42,$A50+2,FALSE)="IE","IE",IF(HLOOKUP(AW$15,Data_5!$F$10:$BG$42,$A50+2,FALSE)="NE","NE",IF(HLOOKUP(AW$15,Data_5!$F$10:$BG$42,$A50+2,FALSE)="C","C",IF(HLOOKUP(AW$15,Data_5!$F$10:$BG$42,$A50+2,FALSE)="NO","NO",HLOOKUP(AW$15,Data_5!$F$10:$BG$42,$A50+2,FALSE)/Data_5!$BI45))))),"")</f>
        <v/>
      </c>
      <c r="AX50" s="1122" t="str">
        <f>IFERROR(IF(HLOOKUP(AX$15,Data_5!$F$10:$BG$42,$A50+2,FALSE)="NO","NO",IF(HLOOKUP(AX$15,Data_5!$F$10:$BG$42,$A50+2,FALSE)="IE","IE",IF(HLOOKUP(AX$15,Data_5!$F$10:$BG$42,$A50+2,FALSE)="NE","NE",IF(HLOOKUP(AX$15,Data_5!$F$10:$BG$42,$A50+2,FALSE)="C","C",IF(HLOOKUP(AX$15,Data_5!$F$10:$BG$42,$A50+2,FALSE)="NO","NO",HLOOKUP(AX$15,Data_5!$F$10:$BG$42,$A50+2,FALSE)/Data_5!$BI45))))),"")</f>
        <v/>
      </c>
      <c r="AY50" s="1122" t="str">
        <f>IFERROR(IF(HLOOKUP(AY$15,Data_5!$F$10:$BG$42,$A50+2,FALSE)="NO","NO",IF(HLOOKUP(AY$15,Data_5!$F$10:$BG$42,$A50+2,FALSE)="IE","IE",IF(HLOOKUP(AY$15,Data_5!$F$10:$BG$42,$A50+2,FALSE)="NE","NE",IF(HLOOKUP(AY$15,Data_5!$F$10:$BG$42,$A50+2,FALSE)="C","C",IF(HLOOKUP(AY$15,Data_5!$F$10:$BG$42,$A50+2,FALSE)="NO","NO",HLOOKUP(AY$15,Data_5!$F$10:$BG$42,$A50+2,FALSE)/Data_5!$BI45))))),"")</f>
        <v/>
      </c>
      <c r="AZ50" s="1122" t="str">
        <f>IFERROR(IF(HLOOKUP(AZ$15,Data_5!$F$10:$BG$42,$A50+2,FALSE)="NO","NO",IF(HLOOKUP(AZ$15,Data_5!$F$10:$BG$42,$A50+2,FALSE)="IE","IE",IF(HLOOKUP(AZ$15,Data_5!$F$10:$BG$42,$A50+2,FALSE)="NE","NE",IF(HLOOKUP(AZ$15,Data_5!$F$10:$BG$42,$A50+2,FALSE)="C","C",IF(HLOOKUP(AZ$15,Data_5!$F$10:$BG$42,$A50+2,FALSE)="NO","NO",HLOOKUP(AZ$15,Data_5!$F$10:$BG$42,$A50+2,FALSE)/Data_5!$BI45))))),"")</f>
        <v/>
      </c>
      <c r="BA50" s="1122" t="str">
        <f>IFERROR(IF(HLOOKUP(BA$15,Data_5!$F$10:$BG$42,$A50+2,FALSE)="NO","NO",IF(HLOOKUP(BA$15,Data_5!$F$10:$BG$42,$A50+2,FALSE)="IE","IE",IF(HLOOKUP(BA$15,Data_5!$F$10:$BG$42,$A50+2,FALSE)="NE","NE",IF(HLOOKUP(BA$15,Data_5!$F$10:$BG$42,$A50+2,FALSE)="C","C",IF(HLOOKUP(BA$15,Data_5!$F$10:$BG$42,$A50+2,FALSE)="NO","NO",HLOOKUP(BA$15,Data_5!$F$10:$BG$42,$A50+2,FALSE)/Data_5!$BI45))))),"")</f>
        <v/>
      </c>
      <c r="BB50" s="1122" t="str">
        <f>IFERROR(IF(HLOOKUP(BB$15,Data_5!$F$10:$BG$42,$A50+2,FALSE)="NO","NO",IF(HLOOKUP(BB$15,Data_5!$F$10:$BG$42,$A50+2,FALSE)="IE","IE",IF(HLOOKUP(BB$15,Data_5!$F$10:$BG$42,$A50+2,FALSE)="NE","NE",IF(HLOOKUP(BB$15,Data_5!$F$10:$BG$42,$A50+2,FALSE)="C","C",IF(HLOOKUP(BB$15,Data_5!$F$10:$BG$42,$A50+2,FALSE)="NO","NO",HLOOKUP(BB$15,Data_5!$F$10:$BG$42,$A50+2,FALSE)/Data_5!$BI45))))),"")</f>
        <v/>
      </c>
      <c r="BC50" s="1122" t="str">
        <f>IFERROR(IF(HLOOKUP(BC$15,Data_5!$F$10:$BG$42,$A50+2,FALSE)="NO","NO",IF(HLOOKUP(BC$15,Data_5!$F$10:$BG$42,$A50+2,FALSE)="IE","IE",IF(HLOOKUP(BC$15,Data_5!$F$10:$BG$42,$A50+2,FALSE)="NE","NE",IF(HLOOKUP(BC$15,Data_5!$F$10:$BG$42,$A50+2,FALSE)="C","C",IF(HLOOKUP(BC$15,Data_5!$F$10:$BG$42,$A50+2,FALSE)="NO","NO",HLOOKUP(BC$15,Data_5!$F$10:$BG$42,$A50+2,FALSE)/Data_5!$BI45))))),"")</f>
        <v/>
      </c>
      <c r="BD50" s="1122" t="str">
        <f>IFERROR(IF(HLOOKUP(BD$15,Data_5!$F$10:$BG$42,$A50+2,FALSE)="NO","NO",IF(HLOOKUP(BD$15,Data_5!$F$10:$BG$42,$A50+2,FALSE)="IE","IE",IF(HLOOKUP(BD$15,Data_5!$F$10:$BG$42,$A50+2,FALSE)="NE","NE",IF(HLOOKUP(BD$15,Data_5!$F$10:$BG$42,$A50+2,FALSE)="C","C",IF(HLOOKUP(BD$15,Data_5!$F$10:$BG$42,$A50+2,FALSE)="NO","NO",HLOOKUP(BD$15,Data_5!$F$10:$BG$42,$A50+2,FALSE)/Data_5!$BI45))))),"")</f>
        <v/>
      </c>
      <c r="BE50" s="1122" t="str">
        <f>IFERROR(IF(HLOOKUP(BE$15,Data_5!$F$10:$BG$42,$A50+2,FALSE)="NO","NO",IF(HLOOKUP(BE$15,Data_5!$F$10:$BG$42,$A50+2,FALSE)="IE","IE",IF(HLOOKUP(BE$15,Data_5!$F$10:$BG$42,$A50+2,FALSE)="NE","NE",IF(HLOOKUP(BE$15,Data_5!$F$10:$BG$42,$A50+2,FALSE)="C","C",IF(HLOOKUP(BE$15,Data_5!$F$10:$BG$42,$A50+2,FALSE)="NO","NO",HLOOKUP(BE$15,Data_5!$F$10:$BG$42,$A50+2,FALSE)/Data_5!$BI45))))),"")</f>
        <v/>
      </c>
      <c r="BF50" s="1122" t="str">
        <f>IFERROR(IF(HLOOKUP(BF$15,Data_5!$F$10:$BG$42,$A50+2,FALSE)="NO","NO",IF(HLOOKUP(BF$15,Data_5!$F$10:$BG$42,$A50+2,FALSE)="IE","IE",IF(HLOOKUP(BF$15,Data_5!$F$10:$BG$42,$A50+2,FALSE)="NE","NE",IF(HLOOKUP(BF$15,Data_5!$F$10:$BG$42,$A50+2,FALSE)="C","C",IF(HLOOKUP(BF$15,Data_5!$F$10:$BG$42,$A50+2,FALSE)="NO","NO",HLOOKUP(BF$15,Data_5!$F$10:$BG$42,$A50+2,FALSE)/Data_5!$BI45))))),"")</f>
        <v/>
      </c>
      <c r="BG50" s="1122" t="str">
        <f>IFERROR(IF(HLOOKUP(BG$15,Data_5!$F$10:$BG$42,$A50+2,FALSE)="NO","NO",IF(HLOOKUP(BG$15,Data_5!$F$10:$BG$42,$A50+2,FALSE)="IE","IE",IF(HLOOKUP(BG$15,Data_5!$F$10:$BG$42,$A50+2,FALSE)="NE","NE",IF(HLOOKUP(BG$15,Data_5!$F$10:$BG$42,$A50+2,FALSE)="C","C",IF(HLOOKUP(BG$15,Data_5!$F$10:$BG$42,$A50+2,FALSE)="NO","NO",HLOOKUP(BG$15,Data_5!$F$10:$BG$42,$A50+2,FALSE)/Data_5!$BI45))))),"")</f>
        <v/>
      </c>
      <c r="BH50" s="1122" t="str">
        <f>IFERROR(IF(HLOOKUP(BH$15,Data_5!$F$10:$BG$42,$A50+2,FALSE)="NO","NO",IF(HLOOKUP(BH$15,Data_5!$F$10:$BG$42,$A50+2,FALSE)="IE","IE",IF(HLOOKUP(BH$15,Data_5!$F$10:$BG$42,$A50+2,FALSE)="NE","NE",IF(HLOOKUP(BH$15,Data_5!$F$10:$BG$42,$A50+2,FALSE)="C","C",IF(HLOOKUP(BH$15,Data_5!$F$10:$BG$42,$A50+2,FALSE)="NO","NO",HLOOKUP(BH$15,Data_5!$F$10:$BG$42,$A50+2,FALSE)/Data_5!$BI45))))),"")</f>
        <v/>
      </c>
      <c r="BI50" s="1122" t="str">
        <f>IFERROR(IF(HLOOKUP(BI$15,Data_5!$F$10:$BG$42,$A50+2,FALSE)="NO","NO",IF(HLOOKUP(BI$15,Data_5!$F$10:$BG$42,$A50+2,FALSE)="IE","IE",IF(HLOOKUP(BI$15,Data_5!$F$10:$BG$42,$A50+2,FALSE)="NE","NE",IF(HLOOKUP(BI$15,Data_5!$F$10:$BG$42,$A50+2,FALSE)="C","C",IF(HLOOKUP(BI$15,Data_5!$F$10:$BG$42,$A50+2,FALSE)="NO","NO",HLOOKUP(BI$15,Data_5!$F$10:$BG$42,$A50+2,FALSE)/Data_5!$BI45))))),"")</f>
        <v/>
      </c>
      <c r="BJ50" s="1122" t="str">
        <f>IFERROR(IF(HLOOKUP(BJ$15,Data_5!$F$10:$BG$42,$A50+2,FALSE)="NO","NO",IF(HLOOKUP(BJ$15,Data_5!$F$10:$BG$42,$A50+2,FALSE)="IE","IE",IF(HLOOKUP(BJ$15,Data_5!$F$10:$BG$42,$A50+2,FALSE)="NE","NE",IF(HLOOKUP(BJ$15,Data_5!$F$10:$BG$42,$A50+2,FALSE)="C","C",IF(HLOOKUP(BJ$15,Data_5!$F$10:$BG$42,$A50+2,FALSE)="NO","NO",HLOOKUP(BJ$15,Data_5!$F$10:$BG$42,$A50+2,FALSE)/Data_5!$BI45))))),"")</f>
        <v/>
      </c>
      <c r="BK50" s="1122" t="str">
        <f>IFERROR(IF(HLOOKUP(BK$15,Data_5!$F$10:$BG$42,$A50+2,FALSE)="NO","NO",IF(HLOOKUP(BK$15,Data_5!$F$10:$BG$42,$A50+2,FALSE)="IE","IE",IF(HLOOKUP(BK$15,Data_5!$F$10:$BG$42,$A50+2,FALSE)="NE","NE",IF(HLOOKUP(BK$15,Data_5!$F$10:$BG$42,$A50+2,FALSE)="C","C",IF(HLOOKUP(BK$15,Data_5!$F$10:$BG$42,$A50+2,FALSE)="NO","NO",HLOOKUP(BK$15,Data_5!$F$10:$BG$42,$A50+2,FALSE)/Data_5!$BI45))))),"")</f>
        <v/>
      </c>
      <c r="BL50" s="1122" t="str">
        <f>IFERROR(IF(HLOOKUP(BL$15,Data_5!$F$10:$BG$42,$A50+2,FALSE)="NO","NO",IF(HLOOKUP(BL$15,Data_5!$F$10:$BG$42,$A50+2,FALSE)="IE","IE",IF(HLOOKUP(BL$15,Data_5!$F$10:$BG$42,$A50+2,FALSE)="NE","NE",IF(HLOOKUP(BL$15,Data_5!$F$10:$BG$42,$A50+2,FALSE)="C","C",IF(HLOOKUP(BL$15,Data_5!$F$10:$BG$42,$A50+2,FALSE)="NO","NO",HLOOKUP(BL$15,Data_5!$F$10:$BG$42,$A50+2,FALSE)/Data_5!$BI45))))),"")</f>
        <v/>
      </c>
      <c r="BM50" s="1122" t="str">
        <f>IFERROR(IF(HLOOKUP(BM$15,Data_5!$F$10:$BG$42,$A50+2,FALSE)="NO","NO",IF(HLOOKUP(BM$15,Data_5!$F$10:$BG$42,$A50+2,FALSE)="IE","IE",IF(HLOOKUP(BM$15,Data_5!$F$10:$BG$42,$A50+2,FALSE)="NE","NE",IF(HLOOKUP(BM$15,Data_5!$F$10:$BG$42,$A50+2,FALSE)="C","C",IF(HLOOKUP(BM$15,Data_5!$F$10:$BG$42,$A50+2,FALSE)="NO","NO",HLOOKUP(BM$15,Data_5!$F$10:$BG$42,$A50+2,FALSE)/Data_5!$BI45))))),"")</f>
        <v/>
      </c>
      <c r="BN50" s="1122" t="str">
        <f>IFERROR(IF(HLOOKUP(BN$15,Data_5!$F$10:$BG$42,$A50+2,FALSE)="NO","NO",IF(HLOOKUP(BN$15,Data_5!$F$10:$BG$42,$A50+2,FALSE)="IE","IE",IF(HLOOKUP(BN$15,Data_5!$F$10:$BG$42,$A50+2,FALSE)="NE","NE",IF(HLOOKUP(BN$15,Data_5!$F$10:$BG$42,$A50+2,FALSE)="C","C",IF(HLOOKUP(BN$15,Data_5!$F$10:$BG$42,$A50+2,FALSE)="NO","NO",HLOOKUP(BN$15,Data_5!$F$10:$BG$42,$A50+2,FALSE)/Data_5!$BI45))))),"")</f>
        <v/>
      </c>
      <c r="BO50" s="1122" t="str">
        <f>IFERROR(IF(HLOOKUP(BO$15,Data_5!$F$10:$BG$42,$A50+2,FALSE)="NO","NO",IF(HLOOKUP(BO$15,Data_5!$F$10:$BG$42,$A50+2,FALSE)="IE","IE",IF(HLOOKUP(BO$15,Data_5!$F$10:$BG$42,$A50+2,FALSE)="NE","NE",IF(HLOOKUP(BO$15,Data_5!$F$10:$BG$42,$A50+2,FALSE)="C","C",IF(HLOOKUP(BO$15,Data_5!$F$10:$BG$42,$A50+2,FALSE)="NO","NO",HLOOKUP(BO$15,Data_5!$F$10:$BG$42,$A50+2,FALSE)/Data_5!$BI45))))),"")</f>
        <v/>
      </c>
      <c r="BP50" s="1122" t="str">
        <f>IFERROR(IF(HLOOKUP(BP$15,Data_5!$F$10:$BG$42,$A50+2,FALSE)="NO","NO",IF(HLOOKUP(BP$15,Data_5!$F$10:$BG$42,$A50+2,FALSE)="IE","IE",IF(HLOOKUP(BP$15,Data_5!$F$10:$BG$42,$A50+2,FALSE)="NE","NE",IF(HLOOKUP(BP$15,Data_5!$F$10:$BG$42,$A50+2,FALSE)="C","C",IF(HLOOKUP(BP$15,Data_5!$F$10:$BG$42,$A50+2,FALSE)="NO","NO",HLOOKUP(BP$15,Data_5!$F$10:$BG$42,$A50+2,FALSE)/Data_5!$BI45))))),"")</f>
        <v/>
      </c>
      <c r="BQ50" s="1122" t="str">
        <f>IFERROR(IF(HLOOKUP(BQ$15,Data_5!$F$10:$BG$42,$A50+2,FALSE)="NO","NO",IF(HLOOKUP(BQ$15,Data_5!$F$10:$BG$42,$A50+2,FALSE)="IE","IE",IF(HLOOKUP(BQ$15,Data_5!$F$10:$BG$42,$A50+2,FALSE)="NE","NE",IF(HLOOKUP(BQ$15,Data_5!$F$10:$BG$42,$A50+2,FALSE)="C","C",IF(HLOOKUP(BQ$15,Data_5!$F$10:$BG$42,$A50+2,FALSE)="NO","NO",HLOOKUP(BQ$15,Data_5!$F$10:$BG$42,$A50+2,FALSE)/Data_5!$BI45))))),"")</f>
        <v/>
      </c>
      <c r="BR50" s="1122" t="str">
        <f>IFERROR(IF(HLOOKUP(BR$15,Data_5!$F$10:$BG$42,$A50+2,FALSE)="NO","NO",IF(HLOOKUP(BR$15,Data_5!$F$10:$BG$42,$A50+2,FALSE)="IE","IE",IF(HLOOKUP(BR$15,Data_5!$F$10:$BG$42,$A50+2,FALSE)="NE","NE",IF(HLOOKUP(BR$15,Data_5!$F$10:$BG$42,$A50+2,FALSE)="C","C",IF(HLOOKUP(BR$15,Data_5!$F$10:$BG$42,$A50+2,FALSE)="NO","NO",HLOOKUP(BR$15,Data_5!$F$10:$BG$42,$A50+2,FALSE)/Data_5!$BI45))))),"")</f>
        <v/>
      </c>
      <c r="BS50" s="1122" t="str">
        <f>IFERROR(IF(HLOOKUP(BS$15,Data_5!$F$10:$BG$42,$A50+2,FALSE)="NO","NO",IF(HLOOKUP(BS$15,Data_5!$F$10:$BG$42,$A50+2,FALSE)="IE","IE",IF(HLOOKUP(BS$15,Data_5!$F$10:$BG$42,$A50+2,FALSE)="NE","NE",IF(HLOOKUP(BS$15,Data_5!$F$10:$BG$42,$A50+2,FALSE)="C","C",IF(HLOOKUP(BS$15,Data_5!$F$10:$BG$42,$A50+2,FALSE)="NO","NO",HLOOKUP(BS$15,Data_5!$F$10:$BG$42,$A50+2,FALSE)/Data_5!$BI45))))),"")</f>
        <v/>
      </c>
      <c r="BT50" s="1122" t="str">
        <f>IFERROR(IF(HLOOKUP(BT$15,Data_5!$F$10:$BG$42,$A50+2,FALSE)="NO","NO",IF(HLOOKUP(BT$15,Data_5!$F$10:$BG$42,$A50+2,FALSE)="IE","IE",IF(HLOOKUP(BT$15,Data_5!$F$10:$BG$42,$A50+2,FALSE)="NE","NE",IF(HLOOKUP(BT$15,Data_5!$F$10:$BG$42,$A50+2,FALSE)="C","C",IF(HLOOKUP(BT$15,Data_5!$F$10:$BG$42,$A50+2,FALSE)="NO","NO",HLOOKUP(BT$15,Data_5!$F$10:$BG$42,$A50+2,FALSE)/Data_5!$BI45))))),"")</f>
        <v/>
      </c>
      <c r="BU50" s="1122" t="str">
        <f>IFERROR(IF(HLOOKUP(BU$15,Data_5!$F$10:$BG$42,$A50+2,FALSE)="NO","NO",IF(HLOOKUP(BU$15,Data_5!$F$10:$BG$42,$A50+2,FALSE)="IE","IE",IF(HLOOKUP(BU$15,Data_5!$F$10:$BG$42,$A50+2,FALSE)="NE","NE",IF(HLOOKUP(BU$15,Data_5!$F$10:$BG$42,$A50+2,FALSE)="C","C",IF(HLOOKUP(BU$15,Data_5!$F$10:$BG$42,$A50+2,FALSE)="NO","NO",HLOOKUP(BU$15,Data_5!$F$10:$BG$42,$A50+2,FALSE)/Data_5!$BI45))))),"")</f>
        <v/>
      </c>
      <c r="BV50" s="1122" t="str">
        <f>IFERROR(IF(HLOOKUP(BV$15,Data_5!$F$10:$BG$42,$A50+2,FALSE)="NO","NO",IF(HLOOKUP(BV$15,Data_5!$F$10:$BG$42,$A50+2,FALSE)="IE","IE",IF(HLOOKUP(BV$15,Data_5!$F$10:$BG$42,$A50+2,FALSE)="NE","NE",IF(HLOOKUP(BV$15,Data_5!$F$10:$BG$42,$A50+2,FALSE)="C","C",IF(HLOOKUP(BV$15,Data_5!$F$10:$BG$42,$A50+2,FALSE)="NO","NO",HLOOKUP(BV$15,Data_5!$F$10:$BG$42,$A50+2,FALSE)/Data_5!$BI45))))),"")</f>
        <v/>
      </c>
      <c r="BW50" s="1122" t="str">
        <f>IFERROR(IF(HLOOKUP(BW$15,Data_5!$F$10:$BG$42,$A50+2,FALSE)="NO","NO",IF(HLOOKUP(BW$15,Data_5!$F$10:$BG$42,$A50+2,FALSE)="IE","IE",IF(HLOOKUP(BW$15,Data_5!$F$10:$BG$42,$A50+2,FALSE)="NE","NE",IF(HLOOKUP(BW$15,Data_5!$F$10:$BG$42,$A50+2,FALSE)="C","C",IF(HLOOKUP(BW$15,Data_5!$F$10:$BG$42,$A50+2,FALSE)="NO","NO",HLOOKUP(BW$15,Data_5!$F$10:$BG$42,$A50+2,FALSE)/Data_5!$BI45))))),"")</f>
        <v/>
      </c>
      <c r="BX50" s="1122" t="str">
        <f>IFERROR(IF(HLOOKUP(BX$15,Data_5!$F$10:$BG$42,$A50+2,FALSE)="NO","NO",IF(HLOOKUP(BX$15,Data_5!$F$10:$BG$42,$A50+2,FALSE)="IE","IE",IF(HLOOKUP(BX$15,Data_5!$F$10:$BG$42,$A50+2,FALSE)="NE","NE",IF(HLOOKUP(BX$15,Data_5!$F$10:$BG$42,$A50+2,FALSE)="C","C",IF(HLOOKUP(BX$15,Data_5!$F$10:$BG$42,$A50+2,FALSE)="NO","NO",HLOOKUP(BX$15,Data_5!$F$10:$BG$42,$A50+2,FALSE)/Data_5!$BI45))))),"")</f>
        <v/>
      </c>
      <c r="BY50" s="1122" t="str">
        <f>IFERROR(IF(HLOOKUP(BY$15,Data_5!$F$10:$BG$42,$A50+2,FALSE)="NO","NO",IF(HLOOKUP(BY$15,Data_5!$F$10:$BG$42,$A50+2,FALSE)="IE","IE",IF(HLOOKUP(BY$15,Data_5!$F$10:$BG$42,$A50+2,FALSE)="NE","NE",IF(HLOOKUP(BY$15,Data_5!$F$10:$BG$42,$A50+2,FALSE)="C","C",IF(HLOOKUP(BY$15,Data_5!$F$10:$BG$42,$A50+2,FALSE)="NO","NO",HLOOKUP(BY$15,Data_5!$F$10:$BG$42,$A50+2,FALSE)/Data_5!$BI45))))),"")</f>
        <v/>
      </c>
      <c r="BZ50" s="1122" t="str">
        <f>IFERROR(IF(HLOOKUP(BZ$15,Data_5!$F$10:$BG$42,$A50+2,FALSE)="NO","NO",IF(HLOOKUP(BZ$15,Data_5!$F$10:$BG$42,$A50+2,FALSE)="IE","IE",IF(HLOOKUP(BZ$15,Data_5!$F$10:$BG$42,$A50+2,FALSE)="NE","NE",IF(HLOOKUP(BZ$15,Data_5!$F$10:$BG$42,$A50+2,FALSE)="C","C",IF(HLOOKUP(BZ$15,Data_5!$F$10:$BG$42,$A50+2,FALSE)="NO","NO",HLOOKUP(BZ$15,Data_5!$F$10:$BG$42,$A50+2,FALSE)/Data_5!$BI45))))),"")</f>
        <v/>
      </c>
      <c r="CA50" s="1122" t="str">
        <f>IFERROR(IF(HLOOKUP(CA$15,Data_5!$F$10:$BG$42,$A50+2,FALSE)="NO","NO",IF(HLOOKUP(CA$15,Data_5!$F$10:$BG$42,$A50+2,FALSE)="IE","IE",IF(HLOOKUP(CA$15,Data_5!$F$10:$BG$42,$A50+2,FALSE)="NE","NE",IF(HLOOKUP(CA$15,Data_5!$F$10:$BG$42,$A50+2,FALSE)="C","C",IF(HLOOKUP(CA$15,Data_5!$F$10:$BG$42,$A50+2,FALSE)="NO","NO",HLOOKUP(CA$15,Data_5!$F$10:$BG$42,$A50+2,FALSE)/Data_5!$BI45))))),"")</f>
        <v/>
      </c>
      <c r="CB50" s="1122" t="str">
        <f>IFERROR(IF(HLOOKUP(CB$15,Data_5!$F$10:$BG$42,$A50+2,FALSE)="NO","NO",IF(HLOOKUP(CB$15,Data_5!$F$10:$BG$42,$A50+2,FALSE)="IE","IE",IF(HLOOKUP(CB$15,Data_5!$F$10:$BG$42,$A50+2,FALSE)="NE","NE",IF(HLOOKUP(CB$15,Data_5!$F$10:$BG$42,$A50+2,FALSE)="C","C",IF(HLOOKUP(CB$15,Data_5!$F$10:$BG$42,$A50+2,FALSE)="NO","NO",HLOOKUP(CB$15,Data_5!$F$10:$BG$42,$A50+2,FALSE)/Data_5!$BI45))))),"")</f>
        <v/>
      </c>
      <c r="CC50" s="1122" t="str">
        <f>IFERROR(IF(HLOOKUP(CC$15,Data_5!$F$10:$BG$42,$A50+2,FALSE)="NO","NO",IF(HLOOKUP(CC$15,Data_5!$F$10:$BG$42,$A50+2,FALSE)="IE","IE",IF(HLOOKUP(CC$15,Data_5!$F$10:$BG$42,$A50+2,FALSE)="NE","NE",IF(HLOOKUP(CC$15,Data_5!$F$10:$BG$42,$A50+2,FALSE)="C","C",IF(HLOOKUP(CC$15,Data_5!$F$10:$BG$42,$A50+2,FALSE)="NO","NO",HLOOKUP(CC$15,Data_5!$F$10:$BG$42,$A50+2,FALSE)/Data_5!$BI45))))),"")</f>
        <v/>
      </c>
      <c r="CD50" s="1122" t="str">
        <f>IFERROR(IF(HLOOKUP(CD$15,Data_5!$F$10:$BG$42,$A50+2,FALSE)="NO","NO",IF(HLOOKUP(CD$15,Data_5!$F$10:$BG$42,$A50+2,FALSE)="IE","IE",IF(HLOOKUP(CD$15,Data_5!$F$10:$BG$42,$A50+2,FALSE)="NE","NE",IF(HLOOKUP(CD$15,Data_5!$F$10:$BG$42,$A50+2,FALSE)="C","C",IF(HLOOKUP(CD$15,Data_5!$F$10:$BG$42,$A50+2,FALSE)="NO","NO",HLOOKUP(CD$15,Data_5!$F$10:$BG$42,$A50+2,FALSE)/Data_5!$BI45))))),"")</f>
        <v/>
      </c>
      <c r="CE50" s="1122" t="str">
        <f>IFERROR(IF(HLOOKUP(CE$15,Data_5!$F$10:$BG$42,$A50+2,FALSE)="NO","NO",IF(HLOOKUP(CE$15,Data_5!$F$10:$BG$42,$A50+2,FALSE)="IE","IE",IF(HLOOKUP(CE$15,Data_5!$F$10:$BG$42,$A50+2,FALSE)="NE","NE",IF(HLOOKUP(CE$15,Data_5!$F$10:$BG$42,$A50+2,FALSE)="C","C",IF(HLOOKUP(CE$15,Data_5!$F$10:$BG$42,$A50+2,FALSE)="NO","NO",HLOOKUP(CE$15,Data_5!$F$10:$BG$42,$A50+2,FALSE)/Data_5!$BI45))))),"")</f>
        <v/>
      </c>
      <c r="CF50" s="1122" t="str">
        <f>IFERROR(IF(HLOOKUP(CF$15,Data_5!$F$10:$BG$42,$A50+2,FALSE)="NO","NO",IF(HLOOKUP(CF$15,Data_5!$F$10:$BG$42,$A50+2,FALSE)="IE","IE",IF(HLOOKUP(CF$15,Data_5!$F$10:$BG$42,$A50+2,FALSE)="NE","NE",IF(HLOOKUP(CF$15,Data_5!$F$10:$BG$42,$A50+2,FALSE)="C","C",IF(HLOOKUP(CF$15,Data_5!$F$10:$BG$42,$A50+2,FALSE)="NO","NO",HLOOKUP(CF$15,Data_5!$F$10:$BG$42,$A50+2,FALSE)/Data_5!$BI45))))),"")</f>
        <v/>
      </c>
      <c r="CG50" s="1122" t="str">
        <f>IFERROR(IF(HLOOKUP(CG$15,Data_5!$F$10:$BG$42,$A50+2,FALSE)="NO","NO",IF(HLOOKUP(CG$15,Data_5!$F$10:$BG$42,$A50+2,FALSE)="IE","IE",IF(HLOOKUP(CG$15,Data_5!$F$10:$BG$42,$A50+2,FALSE)="NE","NE",IF(HLOOKUP(CG$15,Data_5!$F$10:$BG$42,$A50+2,FALSE)="C","C",IF(HLOOKUP(CG$15,Data_5!$F$10:$BG$42,$A50+2,FALSE)="NO","NO",HLOOKUP(CG$15,Data_5!$F$10:$BG$42,$A50+2,FALSE)/Data_5!$BI45))))),"")</f>
        <v/>
      </c>
      <c r="CH50" s="1122" t="str">
        <f>IFERROR(IF(HLOOKUP(CH$15,Data_5!$F$10:$BG$42,$A50+2,FALSE)="NO","NO",IF(HLOOKUP(CH$15,Data_5!$F$10:$BG$42,$A50+2,FALSE)="IE","IE",IF(HLOOKUP(CH$15,Data_5!$F$10:$BG$42,$A50+2,FALSE)="NE","NE",IF(HLOOKUP(CH$15,Data_5!$F$10:$BG$42,$A50+2,FALSE)="C","C",IF(HLOOKUP(CH$15,Data_5!$F$10:$BG$42,$A50+2,FALSE)="NO","NO",HLOOKUP(CH$15,Data_5!$F$10:$BG$42,$A50+2,FALSE)/Data_5!$BI45))))),"")</f>
        <v/>
      </c>
      <c r="CI50" s="1122" t="str">
        <f>IFERROR(IF(HLOOKUP(CI$15,Data_5!$F$10:$BG$42,$A50+2,FALSE)="NO","NO",IF(HLOOKUP(CI$15,Data_5!$F$10:$BG$42,$A50+2,FALSE)="IE","IE",IF(HLOOKUP(CI$15,Data_5!$F$10:$BG$42,$A50+2,FALSE)="NE","NE",IF(HLOOKUP(CI$15,Data_5!$F$10:$BG$42,$A50+2,FALSE)="C","C",IF(HLOOKUP(CI$15,Data_5!$F$10:$BG$42,$A50+2,FALSE)="NO","NO",HLOOKUP(CI$15,Data_5!$F$10:$BG$42,$A50+2,FALSE)/Data_5!$BI45))))),"")</f>
        <v/>
      </c>
      <c r="CJ50" s="1122" t="str">
        <f>IFERROR(IF(HLOOKUP(CJ$15,Data_5!$F$10:$BG$42,$A50+2,FALSE)="NO","NO",IF(HLOOKUP(CJ$15,Data_5!$F$10:$BG$42,$A50+2,FALSE)="IE","IE",IF(HLOOKUP(CJ$15,Data_5!$F$10:$BG$42,$A50+2,FALSE)="NE","NE",IF(HLOOKUP(CJ$15,Data_5!$F$10:$BG$42,$A50+2,FALSE)="C","C",IF(HLOOKUP(CJ$15,Data_5!$F$10:$BG$42,$A50+2,FALSE)="NO","NO",HLOOKUP(CJ$15,Data_5!$F$10:$BG$42,$A50+2,FALSE)/Data_5!$BI45))))),"")</f>
        <v/>
      </c>
      <c r="CL50" s="2628" t="str">
        <f t="shared" ca="1" si="6"/>
        <v/>
      </c>
      <c r="CM50" s="2629"/>
      <c r="CN50" s="1100" t="str">
        <f t="shared" ca="1" si="7"/>
        <v/>
      </c>
      <c r="CO50" s="1122" t="str">
        <f>IFERROR(IF(HLOOKUP(CO$15,Data_5!$F$10:$BG$42,$A50+2,FALSE)="NO","NO",IF(HLOOKUP(CO$15,Data_5!$F$10:$BG$42,$A50+2,FALSE)="IE","IE",IF(HLOOKUP(CO$15,Data_5!$F$10:$BG$42,$A50+2,FALSE)="NE","NE",IF(HLOOKUP(CO$15,Data_5!$F$10:$BG$42,$A50+2,FALSE)="C","C",IF(HLOOKUP(CO$15,Data_5!$F$10:$BG$42,$A50+2,FALSE)="NO","NO",HLOOKUP(CO$15,Data_5!$F$10:$BG$42,$A50+2,FALSE)/Data_5!$BK45))))),"")</f>
        <v/>
      </c>
      <c r="CP50" s="1122" t="str">
        <f>IFERROR(IF(HLOOKUP(CP$15,Data_5!$F$10:$BG$42,$A50+2,FALSE)="NO","NO",IF(HLOOKUP(CP$15,Data_5!$F$10:$BG$42,$A50+2,FALSE)="IE","IE",IF(HLOOKUP(CP$15,Data_5!$F$10:$BG$42,$A50+2,FALSE)="NE","NE",IF(HLOOKUP(CP$15,Data_5!$F$10:$BG$42,$A50+2,FALSE)="C","C",IF(HLOOKUP(CP$15,Data_5!$F$10:$BG$42,$A50+2,FALSE)="NO","NO",HLOOKUP(CP$15,Data_5!$F$10:$BG$42,$A50+2,FALSE)/Data_5!$BK45))))),"")</f>
        <v/>
      </c>
      <c r="CQ50" s="1122" t="str">
        <f>IFERROR(IF(HLOOKUP(CQ$15,Data_5!$F$10:$BG$42,$A50+2,FALSE)="NO","NO",IF(HLOOKUP(CQ$15,Data_5!$F$10:$BG$42,$A50+2,FALSE)="IE","IE",IF(HLOOKUP(CQ$15,Data_5!$F$10:$BG$42,$A50+2,FALSE)="NE","NE",IF(HLOOKUP(CQ$15,Data_5!$F$10:$BG$42,$A50+2,FALSE)="C","C",IF(HLOOKUP(CQ$15,Data_5!$F$10:$BG$42,$A50+2,FALSE)="NO","NO",HLOOKUP(CQ$15,Data_5!$F$10:$BG$42,$A50+2,FALSE)/Data_5!$BK45))))),"")</f>
        <v/>
      </c>
      <c r="CR50" s="1122" t="str">
        <f>IFERROR(IF(HLOOKUP(CR$15,Data_5!$F$10:$BG$42,$A50+2,FALSE)="NO","NO",IF(HLOOKUP(CR$15,Data_5!$F$10:$BG$42,$A50+2,FALSE)="IE","IE",IF(HLOOKUP(CR$15,Data_5!$F$10:$BG$42,$A50+2,FALSE)="NE","NE",IF(HLOOKUP(CR$15,Data_5!$F$10:$BG$42,$A50+2,FALSE)="C","C",IF(HLOOKUP(CR$15,Data_5!$F$10:$BG$42,$A50+2,FALSE)="NO","NO",HLOOKUP(CR$15,Data_5!$F$10:$BG$42,$A50+2,FALSE)/Data_5!$BK45))))),"")</f>
        <v/>
      </c>
      <c r="CS50" s="1122" t="str">
        <f>IFERROR(IF(HLOOKUP(CS$15,Data_5!$F$10:$BG$42,$A50+2,FALSE)="NO","NO",IF(HLOOKUP(CS$15,Data_5!$F$10:$BG$42,$A50+2,FALSE)="IE","IE",IF(HLOOKUP(CS$15,Data_5!$F$10:$BG$42,$A50+2,FALSE)="NE","NE",IF(HLOOKUP(CS$15,Data_5!$F$10:$BG$42,$A50+2,FALSE)="C","C",IF(HLOOKUP(CS$15,Data_5!$F$10:$BG$42,$A50+2,FALSE)="NO","NO",HLOOKUP(CS$15,Data_5!$F$10:$BG$42,$A50+2,FALSE)/Data_5!$BK45))))),"")</f>
        <v/>
      </c>
      <c r="CT50" s="1122" t="str">
        <f>IFERROR(IF(HLOOKUP(CT$15,Data_5!$F$10:$BG$42,$A50+2,FALSE)="NO","NO",IF(HLOOKUP(CT$15,Data_5!$F$10:$BG$42,$A50+2,FALSE)="IE","IE",IF(HLOOKUP(CT$15,Data_5!$F$10:$BG$42,$A50+2,FALSE)="NE","NE",IF(HLOOKUP(CT$15,Data_5!$F$10:$BG$42,$A50+2,FALSE)="C","C",IF(HLOOKUP(CT$15,Data_5!$F$10:$BG$42,$A50+2,FALSE)="NO","NO",HLOOKUP(CT$15,Data_5!$F$10:$BG$42,$A50+2,FALSE)/Data_5!$BK45))))),"")</f>
        <v/>
      </c>
      <c r="CU50" s="1122" t="str">
        <f>IFERROR(IF(HLOOKUP(CU$15,Data_5!$F$10:$BG$42,$A50+2,FALSE)="NO","NO",IF(HLOOKUP(CU$15,Data_5!$F$10:$BG$42,$A50+2,FALSE)="IE","IE",IF(HLOOKUP(CU$15,Data_5!$F$10:$BG$42,$A50+2,FALSE)="NE","NE",IF(HLOOKUP(CU$15,Data_5!$F$10:$BG$42,$A50+2,FALSE)="C","C",IF(HLOOKUP(CU$15,Data_5!$F$10:$BG$42,$A50+2,FALSE)="NO","NO",HLOOKUP(CU$15,Data_5!$F$10:$BG$42,$A50+2,FALSE)/Data_5!$BK45))))),"")</f>
        <v/>
      </c>
      <c r="CV50" s="1122" t="str">
        <f>IFERROR(IF(HLOOKUP(CV$15,Data_5!$F$10:$BG$42,$A50+2,FALSE)="NO","NO",IF(HLOOKUP(CV$15,Data_5!$F$10:$BG$42,$A50+2,FALSE)="IE","IE",IF(HLOOKUP(CV$15,Data_5!$F$10:$BG$42,$A50+2,FALSE)="NE","NE",IF(HLOOKUP(CV$15,Data_5!$F$10:$BG$42,$A50+2,FALSE)="C","C",IF(HLOOKUP(CV$15,Data_5!$F$10:$BG$42,$A50+2,FALSE)="NO","NO",HLOOKUP(CV$15,Data_5!$F$10:$BG$42,$A50+2,FALSE)/Data_5!$BK45))))),"")</f>
        <v/>
      </c>
      <c r="CW50" s="1122" t="str">
        <f>IFERROR(IF(HLOOKUP(CW$15,Data_5!$F$10:$BG$42,$A50+2,FALSE)="NO","NO",IF(HLOOKUP(CW$15,Data_5!$F$10:$BG$42,$A50+2,FALSE)="IE","IE",IF(HLOOKUP(CW$15,Data_5!$F$10:$BG$42,$A50+2,FALSE)="NE","NE",IF(HLOOKUP(CW$15,Data_5!$F$10:$BG$42,$A50+2,FALSE)="C","C",IF(HLOOKUP(CW$15,Data_5!$F$10:$BG$42,$A50+2,FALSE)="NO","NO",HLOOKUP(CW$15,Data_5!$F$10:$BG$42,$A50+2,FALSE)/Data_5!$BK45))))),"")</f>
        <v/>
      </c>
      <c r="CX50" s="1122" t="str">
        <f>IFERROR(IF(HLOOKUP(CX$15,Data_5!$F$10:$BG$42,$A50+2,FALSE)="NO","NO",IF(HLOOKUP(CX$15,Data_5!$F$10:$BG$42,$A50+2,FALSE)="IE","IE",IF(HLOOKUP(CX$15,Data_5!$F$10:$BG$42,$A50+2,FALSE)="NE","NE",IF(HLOOKUP(CX$15,Data_5!$F$10:$BG$42,$A50+2,FALSE)="C","C",IF(HLOOKUP(CX$15,Data_5!$F$10:$BG$42,$A50+2,FALSE)="NO","NO",HLOOKUP(CX$15,Data_5!$F$10:$BG$42,$A50+2,FALSE)/Data_5!$BK45))))),"")</f>
        <v/>
      </c>
      <c r="CY50" s="1122" t="str">
        <f>IFERROR(IF(HLOOKUP(CY$15,Data_5!$F$10:$BG$42,$A50+2,FALSE)="NO","NO",IF(HLOOKUP(CY$15,Data_5!$F$10:$BG$42,$A50+2,FALSE)="IE","IE",IF(HLOOKUP(CY$15,Data_5!$F$10:$BG$42,$A50+2,FALSE)="NE","NE",IF(HLOOKUP(CY$15,Data_5!$F$10:$BG$42,$A50+2,FALSE)="C","C",IF(HLOOKUP(CY$15,Data_5!$F$10:$BG$42,$A50+2,FALSE)="NO","NO",HLOOKUP(CY$15,Data_5!$F$10:$BG$42,$A50+2,FALSE)/Data_5!$BK45))))),"")</f>
        <v/>
      </c>
      <c r="CZ50" s="1122" t="str">
        <f>IFERROR(IF(HLOOKUP(CZ$15,Data_5!$F$10:$BG$42,$A50+2,FALSE)="NO","NO",IF(HLOOKUP(CZ$15,Data_5!$F$10:$BG$42,$A50+2,FALSE)="IE","IE",IF(HLOOKUP(CZ$15,Data_5!$F$10:$BG$42,$A50+2,FALSE)="NE","NE",IF(HLOOKUP(CZ$15,Data_5!$F$10:$BG$42,$A50+2,FALSE)="C","C",IF(HLOOKUP(CZ$15,Data_5!$F$10:$BG$42,$A50+2,FALSE)="NO","NO",HLOOKUP(CZ$15,Data_5!$F$10:$BG$42,$A50+2,FALSE)/Data_5!$BK45))))),"")</f>
        <v/>
      </c>
      <c r="DA50" s="1122" t="str">
        <f>IFERROR(IF(HLOOKUP(DA$15,Data_5!$F$10:$BG$42,$A50+2,FALSE)="NO","NO",IF(HLOOKUP(DA$15,Data_5!$F$10:$BG$42,$A50+2,FALSE)="IE","IE",IF(HLOOKUP(DA$15,Data_5!$F$10:$BG$42,$A50+2,FALSE)="NE","NE",IF(HLOOKUP(DA$15,Data_5!$F$10:$BG$42,$A50+2,FALSE)="C","C",IF(HLOOKUP(DA$15,Data_5!$F$10:$BG$42,$A50+2,FALSE)="NO","NO",HLOOKUP(DA$15,Data_5!$F$10:$BG$42,$A50+2,FALSE)/Data_5!$BK45))))),"")</f>
        <v/>
      </c>
      <c r="DB50" s="1122" t="str">
        <f>IFERROR(IF(HLOOKUP(DB$15,Data_5!$F$10:$BG$42,$A50+2,FALSE)="NO","NO",IF(HLOOKUP(DB$15,Data_5!$F$10:$BG$42,$A50+2,FALSE)="IE","IE",IF(HLOOKUP(DB$15,Data_5!$F$10:$BG$42,$A50+2,FALSE)="NE","NE",IF(HLOOKUP(DB$15,Data_5!$F$10:$BG$42,$A50+2,FALSE)="C","C",IF(HLOOKUP(DB$15,Data_5!$F$10:$BG$42,$A50+2,FALSE)="NO","NO",HLOOKUP(DB$15,Data_5!$F$10:$BG$42,$A50+2,FALSE)/Data_5!$BK45))))),"")</f>
        <v/>
      </c>
      <c r="DC50" s="1122" t="str">
        <f>IFERROR(IF(HLOOKUP(DC$15,Data_5!$F$10:$BG$42,$A50+2,FALSE)="NO","NO",IF(HLOOKUP(DC$15,Data_5!$F$10:$BG$42,$A50+2,FALSE)="IE","IE",IF(HLOOKUP(DC$15,Data_5!$F$10:$BG$42,$A50+2,FALSE)="NE","NE",IF(HLOOKUP(DC$15,Data_5!$F$10:$BG$42,$A50+2,FALSE)="C","C",IF(HLOOKUP(DC$15,Data_5!$F$10:$BG$42,$A50+2,FALSE)="NO","NO",HLOOKUP(DC$15,Data_5!$F$10:$BG$42,$A50+2,FALSE)/Data_5!$BK45))))),"")</f>
        <v/>
      </c>
      <c r="DD50" s="1122" t="str">
        <f>IFERROR(IF(HLOOKUP(DD$15,Data_5!$F$10:$BG$42,$A50+2,FALSE)="NO","NO",IF(HLOOKUP(DD$15,Data_5!$F$10:$BG$42,$A50+2,FALSE)="IE","IE",IF(HLOOKUP(DD$15,Data_5!$F$10:$BG$42,$A50+2,FALSE)="NE","NE",IF(HLOOKUP(DD$15,Data_5!$F$10:$BG$42,$A50+2,FALSE)="C","C",IF(HLOOKUP(DD$15,Data_5!$F$10:$BG$42,$A50+2,FALSE)="NO","NO",HLOOKUP(DD$15,Data_5!$F$10:$BG$42,$A50+2,FALSE)/Data_5!$BK45))))),"")</f>
        <v/>
      </c>
      <c r="DE50" s="1122" t="str">
        <f>IFERROR(IF(HLOOKUP(DE$15,Data_5!$F$10:$BG$42,$A50+2,FALSE)="NO","NO",IF(HLOOKUP(DE$15,Data_5!$F$10:$BG$42,$A50+2,FALSE)="IE","IE",IF(HLOOKUP(DE$15,Data_5!$F$10:$BG$42,$A50+2,FALSE)="NE","NE",IF(HLOOKUP(DE$15,Data_5!$F$10:$BG$42,$A50+2,FALSE)="C","C",IF(HLOOKUP(DE$15,Data_5!$F$10:$BG$42,$A50+2,FALSE)="NO","NO",HLOOKUP(DE$15,Data_5!$F$10:$BG$42,$A50+2,FALSE)/Data_5!$BK45))))),"")</f>
        <v/>
      </c>
      <c r="DF50" s="1122" t="str">
        <f>IFERROR(IF(HLOOKUP(DF$15,Data_5!$F$10:$BG$42,$A50+2,FALSE)="NO","NO",IF(HLOOKUP(DF$15,Data_5!$F$10:$BG$42,$A50+2,FALSE)="IE","IE",IF(HLOOKUP(DF$15,Data_5!$F$10:$BG$42,$A50+2,FALSE)="NE","NE",IF(HLOOKUP(DF$15,Data_5!$F$10:$BG$42,$A50+2,FALSE)="C","C",IF(HLOOKUP(DF$15,Data_5!$F$10:$BG$42,$A50+2,FALSE)="NO","NO",HLOOKUP(DF$15,Data_5!$F$10:$BG$42,$A50+2,FALSE)/Data_5!$BK45))))),"")</f>
        <v/>
      </c>
      <c r="DG50" s="1122" t="str">
        <f>IFERROR(IF(HLOOKUP(DG$15,Data_5!$F$10:$BG$42,$A50+2,FALSE)="NO","NO",IF(HLOOKUP(DG$15,Data_5!$F$10:$BG$42,$A50+2,FALSE)="IE","IE",IF(HLOOKUP(DG$15,Data_5!$F$10:$BG$42,$A50+2,FALSE)="NE","NE",IF(HLOOKUP(DG$15,Data_5!$F$10:$BG$42,$A50+2,FALSE)="C","C",IF(HLOOKUP(DG$15,Data_5!$F$10:$BG$42,$A50+2,FALSE)="NO","NO",HLOOKUP(DG$15,Data_5!$F$10:$BG$42,$A50+2,FALSE)/Data_5!$BK45))))),"")</f>
        <v/>
      </c>
      <c r="DH50" s="1122" t="str">
        <f>IFERROR(IF(HLOOKUP(DH$15,Data_5!$F$10:$BG$42,$A50+2,FALSE)="NO","NO",IF(HLOOKUP(DH$15,Data_5!$F$10:$BG$42,$A50+2,FALSE)="IE","IE",IF(HLOOKUP(DH$15,Data_5!$F$10:$BG$42,$A50+2,FALSE)="NE","NE",IF(HLOOKUP(DH$15,Data_5!$F$10:$BG$42,$A50+2,FALSE)="C","C",IF(HLOOKUP(DH$15,Data_5!$F$10:$BG$42,$A50+2,FALSE)="NO","NO",HLOOKUP(DH$15,Data_5!$F$10:$BG$42,$A50+2,FALSE)/Data_5!$BK45))))),"")</f>
        <v/>
      </c>
      <c r="DI50" s="1122" t="str">
        <f>IFERROR(IF(HLOOKUP(DI$15,Data_5!$F$10:$BG$42,$A50+2,FALSE)="NO","NO",IF(HLOOKUP(DI$15,Data_5!$F$10:$BG$42,$A50+2,FALSE)="IE","IE",IF(HLOOKUP(DI$15,Data_5!$F$10:$BG$42,$A50+2,FALSE)="NE","NE",IF(HLOOKUP(DI$15,Data_5!$F$10:$BG$42,$A50+2,FALSE)="C","C",IF(HLOOKUP(DI$15,Data_5!$F$10:$BG$42,$A50+2,FALSE)="NO","NO",HLOOKUP(DI$15,Data_5!$F$10:$BG$42,$A50+2,FALSE)/Data_5!$BK45))))),"")</f>
        <v/>
      </c>
      <c r="DJ50" s="1122" t="str">
        <f>IFERROR(IF(HLOOKUP(DJ$15,Data_5!$F$10:$BG$42,$A50+2,FALSE)="NO","NO",IF(HLOOKUP(DJ$15,Data_5!$F$10:$BG$42,$A50+2,FALSE)="IE","IE",IF(HLOOKUP(DJ$15,Data_5!$F$10:$BG$42,$A50+2,FALSE)="NE","NE",IF(HLOOKUP(DJ$15,Data_5!$F$10:$BG$42,$A50+2,FALSE)="C","C",IF(HLOOKUP(DJ$15,Data_5!$F$10:$BG$42,$A50+2,FALSE)="NO","NO",HLOOKUP(DJ$15,Data_5!$F$10:$BG$42,$A50+2,FALSE)/Data_5!$BK45))))),"")</f>
        <v/>
      </c>
      <c r="DK50" s="1122" t="str">
        <f>IFERROR(IF(HLOOKUP(DK$15,Data_5!$F$10:$BG$42,$A50+2,FALSE)="NO","NO",IF(HLOOKUP(DK$15,Data_5!$F$10:$BG$42,$A50+2,FALSE)="IE","IE",IF(HLOOKUP(DK$15,Data_5!$F$10:$BG$42,$A50+2,FALSE)="NE","NE",IF(HLOOKUP(DK$15,Data_5!$F$10:$BG$42,$A50+2,FALSE)="C","C",IF(HLOOKUP(DK$15,Data_5!$F$10:$BG$42,$A50+2,FALSE)="NO","NO",HLOOKUP(DK$15,Data_5!$F$10:$BG$42,$A50+2,FALSE)/Data_5!$BK45))))),"")</f>
        <v/>
      </c>
      <c r="DL50" s="1122" t="str">
        <f>IFERROR(IF(HLOOKUP(DL$15,Data_5!$F$10:$BG$42,$A50+2,FALSE)="NO","NO",IF(HLOOKUP(DL$15,Data_5!$F$10:$BG$42,$A50+2,FALSE)="IE","IE",IF(HLOOKUP(DL$15,Data_5!$F$10:$BG$42,$A50+2,FALSE)="NE","NE",IF(HLOOKUP(DL$15,Data_5!$F$10:$BG$42,$A50+2,FALSE)="C","C",IF(HLOOKUP(DL$15,Data_5!$F$10:$BG$42,$A50+2,FALSE)="NO","NO",HLOOKUP(DL$15,Data_5!$F$10:$BG$42,$A50+2,FALSE)/Data_5!$BK45))))),"")</f>
        <v/>
      </c>
      <c r="DM50" s="1122" t="str">
        <f>IFERROR(IF(HLOOKUP(DM$15,Data_5!$F$10:$BG$42,$A50+2,FALSE)="NO","NO",IF(HLOOKUP(DM$15,Data_5!$F$10:$BG$42,$A50+2,FALSE)="IE","IE",IF(HLOOKUP(DM$15,Data_5!$F$10:$BG$42,$A50+2,FALSE)="NE","NE",IF(HLOOKUP(DM$15,Data_5!$F$10:$BG$42,$A50+2,FALSE)="C","C",IF(HLOOKUP(DM$15,Data_5!$F$10:$BG$42,$A50+2,FALSE)="NO","NO",HLOOKUP(DM$15,Data_5!$F$10:$BG$42,$A50+2,FALSE)/Data_5!$BK45))))),"")</f>
        <v/>
      </c>
      <c r="DN50" s="1122" t="str">
        <f>IFERROR(IF(HLOOKUP(DN$15,Data_5!$F$10:$BG$42,$A50+2,FALSE)="NO","NO",IF(HLOOKUP(DN$15,Data_5!$F$10:$BG$42,$A50+2,FALSE)="IE","IE",IF(HLOOKUP(DN$15,Data_5!$F$10:$BG$42,$A50+2,FALSE)="NE","NE",IF(HLOOKUP(DN$15,Data_5!$F$10:$BG$42,$A50+2,FALSE)="C","C",IF(HLOOKUP(DN$15,Data_5!$F$10:$BG$42,$A50+2,FALSE)="NO","NO",HLOOKUP(DN$15,Data_5!$F$10:$BG$42,$A50+2,FALSE)/Data_5!$BK45))))),"")</f>
        <v/>
      </c>
      <c r="DO50" s="1122" t="str">
        <f>IFERROR(IF(HLOOKUP(DO$15,Data_5!$F$10:$BG$42,$A50+2,FALSE)="NO","NO",IF(HLOOKUP(DO$15,Data_5!$F$10:$BG$42,$A50+2,FALSE)="IE","IE",IF(HLOOKUP(DO$15,Data_5!$F$10:$BG$42,$A50+2,FALSE)="NE","NE",IF(HLOOKUP(DO$15,Data_5!$F$10:$BG$42,$A50+2,FALSE)="C","C",IF(HLOOKUP(DO$15,Data_5!$F$10:$BG$42,$A50+2,FALSE)="NO","NO",HLOOKUP(DO$15,Data_5!$F$10:$BG$42,$A50+2,FALSE)/Data_5!$BK45))))),"")</f>
        <v/>
      </c>
    </row>
    <row r="51" spans="1:119" ht="15" customHeight="1">
      <c r="A51" s="1789">
        <v>35</v>
      </c>
      <c r="B51" s="2628" t="str">
        <f ca="1">IF(Data_5!B46&lt;&gt;"",Data_5!B46,"")</f>
        <v/>
      </c>
      <c r="C51" s="2629"/>
      <c r="D51" s="1462">
        <f ca="1">IFERROR(VLOOKUP($B51,Data_5!$B$12:$C$42,2,FALSE),"")</f>
        <v>0</v>
      </c>
      <c r="E51" s="1122" t="str">
        <f>IFERROR(IF(HLOOKUP(E$15,Data_5!$F$10:$BG$42,$A51+2,FALSE)="NO","NO",IF(HLOOKUP(E$15,Data_5!$F$10:$BG$42,$A51+2,FALSE)="IE","IE",IF(HLOOKUP(E$15,Data_5!$F$10:$BG$42,$A51+2,FALSE)="NE","NE",IF(HLOOKUP(E$15,Data_5!$F$10:$BG$42,$A51+2,FALSE)="C","C",IF(HLOOKUP(E$15,Data_5!$F$10:$BG$42,$A51+2,FALSE)="NO","NO",HLOOKUP(E$15,Data_5!$F$10:$BG$42,$A51+2,FALSE)/Data_5!$BH46))))),"")</f>
        <v/>
      </c>
      <c r="F51" s="1122" t="str">
        <f>IFERROR(IF(HLOOKUP(F$15,Data_5!$F$10:$BG$42,$A51+2,FALSE)="NO","NO",IF(HLOOKUP(F$15,Data_5!$F$10:$BG$42,$A51+2,FALSE)="IE","IE",IF(HLOOKUP(F$15,Data_5!$F$10:$BG$42,$A51+2,FALSE)="NE","NE",IF(HLOOKUP(F$15,Data_5!$F$10:$BG$42,$A51+2,FALSE)="C","C",IF(HLOOKUP(F$15,Data_5!$F$10:$BG$42,$A51+2,FALSE)="NO","NO",HLOOKUP(F$15,Data_5!$F$10:$BG$42,$A51+2,FALSE)/Data_5!$BH46))))),"")</f>
        <v/>
      </c>
      <c r="G51" s="1122" t="str">
        <f>IFERROR(IF(HLOOKUP(G$15,Data_5!$F$10:$BG$42,$A51+2,FALSE)="NO","NO",IF(HLOOKUP(G$15,Data_5!$F$10:$BG$42,$A51+2,FALSE)="IE","IE",IF(HLOOKUP(G$15,Data_5!$F$10:$BG$42,$A51+2,FALSE)="NE","NE",IF(HLOOKUP(G$15,Data_5!$F$10:$BG$42,$A51+2,FALSE)="C","C",IF(HLOOKUP(G$15,Data_5!$F$10:$BG$42,$A51+2,FALSE)="NO","NO",HLOOKUP(G$15,Data_5!$F$10:$BG$42,$A51+2,FALSE)/Data_5!$BH46))))),"")</f>
        <v/>
      </c>
      <c r="H51" s="1122" t="str">
        <f>IFERROR(IF(HLOOKUP(H$15,Data_5!$F$10:$BG$42,$A51+2,FALSE)="NO","NO",IF(HLOOKUP(H$15,Data_5!$F$10:$BG$42,$A51+2,FALSE)="IE","IE",IF(HLOOKUP(H$15,Data_5!$F$10:$BG$42,$A51+2,FALSE)="NE","NE",IF(HLOOKUP(H$15,Data_5!$F$10:$BG$42,$A51+2,FALSE)="C","C",IF(HLOOKUP(H$15,Data_5!$F$10:$BG$42,$A51+2,FALSE)="NO","NO",HLOOKUP(H$15,Data_5!$F$10:$BG$42,$A51+2,FALSE)/Data_5!$BH46))))),"")</f>
        <v/>
      </c>
      <c r="I51" s="1122" t="str">
        <f>IFERROR(IF(HLOOKUP(I$15,Data_5!$F$10:$BG$42,$A51+2,FALSE)="NO","NO",IF(HLOOKUP(I$15,Data_5!$F$10:$BG$42,$A51+2,FALSE)="IE","IE",IF(HLOOKUP(I$15,Data_5!$F$10:$BG$42,$A51+2,FALSE)="NE","NE",IF(HLOOKUP(I$15,Data_5!$F$10:$BG$42,$A51+2,FALSE)="C","C",IF(HLOOKUP(I$15,Data_5!$F$10:$BG$42,$A51+2,FALSE)="NO","NO",HLOOKUP(I$15,Data_5!$F$10:$BG$42,$A51+2,FALSE)/Data_5!$BH46))))),"")</f>
        <v/>
      </c>
      <c r="J51" s="1122" t="str">
        <f>IFERROR(IF(HLOOKUP(J$15,Data_5!$F$10:$BG$42,$A51+2,FALSE)="NO","NO",IF(HLOOKUP(J$15,Data_5!$F$10:$BG$42,$A51+2,FALSE)="IE","IE",IF(HLOOKUP(J$15,Data_5!$F$10:$BG$42,$A51+2,FALSE)="NE","NE",IF(HLOOKUP(J$15,Data_5!$F$10:$BG$42,$A51+2,FALSE)="C","C",IF(HLOOKUP(J$15,Data_5!$F$10:$BG$42,$A51+2,FALSE)="NO","NO",HLOOKUP(J$15,Data_5!$F$10:$BG$42,$A51+2,FALSE)/Data_5!$BH46))))),"")</f>
        <v/>
      </c>
      <c r="K51" s="1122" t="str">
        <f>IFERROR(IF(HLOOKUP(K$15,Data_5!$F$10:$BG$42,$A51+2,FALSE)="NO","NO",IF(HLOOKUP(K$15,Data_5!$F$10:$BG$42,$A51+2,FALSE)="IE","IE",IF(HLOOKUP(K$15,Data_5!$F$10:$BG$42,$A51+2,FALSE)="NE","NE",IF(HLOOKUP(K$15,Data_5!$F$10:$BG$42,$A51+2,FALSE)="C","C",IF(HLOOKUP(K$15,Data_5!$F$10:$BG$42,$A51+2,FALSE)="NO","NO",HLOOKUP(K$15,Data_5!$F$10:$BG$42,$A51+2,FALSE)/Data_5!$BH46))))),"")</f>
        <v/>
      </c>
      <c r="L51" s="1122" t="str">
        <f>IFERROR(IF(HLOOKUP(L$15,Data_5!$F$10:$BG$42,$A51+2,FALSE)="NO","NO",IF(HLOOKUP(L$15,Data_5!$F$10:$BG$42,$A51+2,FALSE)="IE","IE",IF(HLOOKUP(L$15,Data_5!$F$10:$BG$42,$A51+2,FALSE)="NE","NE",IF(HLOOKUP(L$15,Data_5!$F$10:$BG$42,$A51+2,FALSE)="C","C",IF(HLOOKUP(L$15,Data_5!$F$10:$BG$42,$A51+2,FALSE)="NO","NO",HLOOKUP(L$15,Data_5!$F$10:$BG$42,$A51+2,FALSE)/Data_5!$BH46))))),"")</f>
        <v/>
      </c>
      <c r="M51" s="1122" t="str">
        <f>IFERROR(IF(HLOOKUP(M$15,Data_5!$F$10:$BG$42,$A51+2,FALSE)="NO","NO",IF(HLOOKUP(M$15,Data_5!$F$10:$BG$42,$A51+2,FALSE)="IE","IE",IF(HLOOKUP(M$15,Data_5!$F$10:$BG$42,$A51+2,FALSE)="NE","NE",IF(HLOOKUP(M$15,Data_5!$F$10:$BG$42,$A51+2,FALSE)="C","C",IF(HLOOKUP(M$15,Data_5!$F$10:$BG$42,$A51+2,FALSE)="NO","NO",HLOOKUP(M$15,Data_5!$F$10:$BG$42,$A51+2,FALSE)/Data_5!$BH46))))),"")</f>
        <v/>
      </c>
      <c r="N51" s="1122" t="str">
        <f>IFERROR(IF(HLOOKUP(N$15,Data_5!$F$10:$BG$42,$A51+2,FALSE)="NO","NO",IF(HLOOKUP(N$15,Data_5!$F$10:$BG$42,$A51+2,FALSE)="IE","IE",IF(HLOOKUP(N$15,Data_5!$F$10:$BG$42,$A51+2,FALSE)="NE","NE",IF(HLOOKUP(N$15,Data_5!$F$10:$BG$42,$A51+2,FALSE)="C","C",IF(HLOOKUP(N$15,Data_5!$F$10:$BG$42,$A51+2,FALSE)="NO","NO",HLOOKUP(N$15,Data_5!$F$10:$BG$42,$A51+2,FALSE)/Data_5!$BH46))))),"")</f>
        <v/>
      </c>
      <c r="O51" s="1122" t="str">
        <f>IFERROR(IF(HLOOKUP(O$15,Data_5!$F$10:$BG$42,$A51+2,FALSE)="NO","NO",IF(HLOOKUP(O$15,Data_5!$F$10:$BG$42,$A51+2,FALSE)="IE","IE",IF(HLOOKUP(O$15,Data_5!$F$10:$BG$42,$A51+2,FALSE)="NE","NE",IF(HLOOKUP(O$15,Data_5!$F$10:$BG$42,$A51+2,FALSE)="C","C",IF(HLOOKUP(O$15,Data_5!$F$10:$BG$42,$A51+2,FALSE)="NO","NO",HLOOKUP(O$15,Data_5!$F$10:$BG$42,$A51+2,FALSE)/Data_5!$BH46))))),"")</f>
        <v/>
      </c>
      <c r="P51" s="1122" t="str">
        <f>IFERROR(IF(HLOOKUP(P$15,Data_5!$F$10:$BG$42,$A51+2,FALSE)="NO","NO",IF(HLOOKUP(P$15,Data_5!$F$10:$BG$42,$A51+2,FALSE)="IE","IE",IF(HLOOKUP(P$15,Data_5!$F$10:$BG$42,$A51+2,FALSE)="NE","NE",IF(HLOOKUP(P$15,Data_5!$F$10:$BG$42,$A51+2,FALSE)="C","C",IF(HLOOKUP(P$15,Data_5!$F$10:$BG$42,$A51+2,FALSE)="NO","NO",HLOOKUP(P$15,Data_5!$F$10:$BG$42,$A51+2,FALSE)/Data_5!$BH46))))),"")</f>
        <v/>
      </c>
      <c r="Q51" s="1122" t="str">
        <f>IFERROR(IF(HLOOKUP(Q$15,Data_5!$F$10:$BG$42,$A51+2,FALSE)="NO","NO",IF(HLOOKUP(Q$15,Data_5!$F$10:$BG$42,$A51+2,FALSE)="IE","IE",IF(HLOOKUP(Q$15,Data_5!$F$10:$BG$42,$A51+2,FALSE)="NE","NE",IF(HLOOKUP(Q$15,Data_5!$F$10:$BG$42,$A51+2,FALSE)="C","C",IF(HLOOKUP(Q$15,Data_5!$F$10:$BG$42,$A51+2,FALSE)="NO","NO",HLOOKUP(Q$15,Data_5!$F$10:$BG$42,$A51+2,FALSE)/Data_5!$BH46))))),"")</f>
        <v/>
      </c>
      <c r="R51" s="1122" t="str">
        <f>IFERROR(IF(HLOOKUP(R$15,Data_5!$F$10:$BG$42,$A51+2,FALSE)="NO","NO",IF(HLOOKUP(R$15,Data_5!$F$10:$BG$42,$A51+2,FALSE)="IE","IE",IF(HLOOKUP(R$15,Data_5!$F$10:$BG$42,$A51+2,FALSE)="NE","NE",IF(HLOOKUP(R$15,Data_5!$F$10:$BG$42,$A51+2,FALSE)="C","C",IF(HLOOKUP(R$15,Data_5!$F$10:$BG$42,$A51+2,FALSE)="NO","NO",HLOOKUP(R$15,Data_5!$F$10:$BG$42,$A51+2,FALSE)/Data_5!$BH46))))),"")</f>
        <v/>
      </c>
      <c r="S51" s="1122" t="str">
        <f>IFERROR(IF(HLOOKUP(S$15,Data_5!$F$10:$BG$42,$A51+2,FALSE)="NO","NO",IF(HLOOKUP(S$15,Data_5!$F$10:$BG$42,$A51+2,FALSE)="IE","IE",IF(HLOOKUP(S$15,Data_5!$F$10:$BG$42,$A51+2,FALSE)="NE","NE",IF(HLOOKUP(S$15,Data_5!$F$10:$BG$42,$A51+2,FALSE)="C","C",IF(HLOOKUP(S$15,Data_5!$F$10:$BG$42,$A51+2,FALSE)="NO","NO",HLOOKUP(S$15,Data_5!$F$10:$BG$42,$A51+2,FALSE)/Data_5!$BH46))))),"")</f>
        <v/>
      </c>
      <c r="T51" s="1122" t="str">
        <f>IFERROR(IF(HLOOKUP(T$15,Data_5!$F$10:$BG$42,$A51+2,FALSE)="NO","NO",IF(HLOOKUP(T$15,Data_5!$F$10:$BG$42,$A51+2,FALSE)="IE","IE",IF(HLOOKUP(T$15,Data_5!$F$10:$BG$42,$A51+2,FALSE)="NE","NE",IF(HLOOKUP(T$15,Data_5!$F$10:$BG$42,$A51+2,FALSE)="C","C",IF(HLOOKUP(T$15,Data_5!$F$10:$BG$42,$A51+2,FALSE)="NO","NO",HLOOKUP(T$15,Data_5!$F$10:$BG$42,$A51+2,FALSE)/Data_5!$BH46))))),"")</f>
        <v/>
      </c>
      <c r="U51" s="1122" t="str">
        <f>IFERROR(IF(HLOOKUP(U$15,Data_5!$F$10:$BG$42,$A51+2,FALSE)="NO","NO",IF(HLOOKUP(U$15,Data_5!$F$10:$BG$42,$A51+2,FALSE)="IE","IE",IF(HLOOKUP(U$15,Data_5!$F$10:$BG$42,$A51+2,FALSE)="NE","NE",IF(HLOOKUP(U$15,Data_5!$F$10:$BG$42,$A51+2,FALSE)="C","C",IF(HLOOKUP(U$15,Data_5!$F$10:$BG$42,$A51+2,FALSE)="NO","NO",HLOOKUP(U$15,Data_5!$F$10:$BG$42,$A51+2,FALSE)/Data_5!$BH46))))),"")</f>
        <v/>
      </c>
      <c r="V51" s="1122" t="str">
        <f>IFERROR(IF(HLOOKUP(V$15,Data_5!$F$10:$BG$42,$A51+2,FALSE)="NO","NO",IF(HLOOKUP(V$15,Data_5!$F$10:$BG$42,$A51+2,FALSE)="IE","IE",IF(HLOOKUP(V$15,Data_5!$F$10:$BG$42,$A51+2,FALSE)="NE","NE",IF(HLOOKUP(V$15,Data_5!$F$10:$BG$42,$A51+2,FALSE)="C","C",IF(HLOOKUP(V$15,Data_5!$F$10:$BG$42,$A51+2,FALSE)="NO","NO",HLOOKUP(V$15,Data_5!$F$10:$BG$42,$A51+2,FALSE)/Data_5!$BH46))))),"")</f>
        <v/>
      </c>
      <c r="W51" s="1122" t="str">
        <f>IFERROR(IF(HLOOKUP(W$15,Data_5!$F$10:$BG$42,$A51+2,FALSE)="NO","NO",IF(HLOOKUP(W$15,Data_5!$F$10:$BG$42,$A51+2,FALSE)="IE","IE",IF(HLOOKUP(W$15,Data_5!$F$10:$BG$42,$A51+2,FALSE)="NE","NE",IF(HLOOKUP(W$15,Data_5!$F$10:$BG$42,$A51+2,FALSE)="C","C",IF(HLOOKUP(W$15,Data_5!$F$10:$BG$42,$A51+2,FALSE)="NO","NO",HLOOKUP(W$15,Data_5!$F$10:$BG$42,$A51+2,FALSE)/Data_5!$BH46))))),"")</f>
        <v/>
      </c>
      <c r="X51" s="1122" t="str">
        <f>IFERROR(IF(HLOOKUP(X$15,Data_5!$F$10:$BG$42,$A51+2,FALSE)="NO","NO",IF(HLOOKUP(X$15,Data_5!$F$10:$BG$42,$A51+2,FALSE)="IE","IE",IF(HLOOKUP(X$15,Data_5!$F$10:$BG$42,$A51+2,FALSE)="NE","NE",IF(HLOOKUP(X$15,Data_5!$F$10:$BG$42,$A51+2,FALSE)="C","C",IF(HLOOKUP(X$15,Data_5!$F$10:$BG$42,$A51+2,FALSE)="NO","NO",HLOOKUP(X$15,Data_5!$F$10:$BG$42,$A51+2,FALSE)/Data_5!$BH46))))),"")</f>
        <v/>
      </c>
      <c r="Y51" s="1122" t="str">
        <f>IFERROR(IF(HLOOKUP(Y$15,Data_5!$F$10:$BG$42,$A51+2,FALSE)="NO","NO",IF(HLOOKUP(Y$15,Data_5!$F$10:$BG$42,$A51+2,FALSE)="IE","IE",IF(HLOOKUP(Y$15,Data_5!$F$10:$BG$42,$A51+2,FALSE)="NE","NE",IF(HLOOKUP(Y$15,Data_5!$F$10:$BG$42,$A51+2,FALSE)="C","C",IF(HLOOKUP(Y$15,Data_5!$F$10:$BG$42,$A51+2,FALSE)="NO","NO",HLOOKUP(Y$15,Data_5!$F$10:$BG$42,$A51+2,FALSE)/Data_5!$BH46))))),"")</f>
        <v/>
      </c>
      <c r="Z51" s="1122" t="str">
        <f>IFERROR(IF(HLOOKUP(Z$15,Data_5!$F$10:$BG$42,$A51+2,FALSE)="NO","NO",IF(HLOOKUP(Z$15,Data_5!$F$10:$BG$42,$A51+2,FALSE)="IE","IE",IF(HLOOKUP(Z$15,Data_5!$F$10:$BG$42,$A51+2,FALSE)="NE","NE",IF(HLOOKUP(Z$15,Data_5!$F$10:$BG$42,$A51+2,FALSE)="C","C",IF(HLOOKUP(Z$15,Data_5!$F$10:$BG$42,$A51+2,FALSE)="NO","NO",HLOOKUP(Z$15,Data_5!$F$10:$BG$42,$A51+2,FALSE)/Data_5!$BH46))))),"")</f>
        <v/>
      </c>
      <c r="AA51" s="1122" t="str">
        <f>IFERROR(IF(HLOOKUP(AA$15,Data_5!$F$10:$BG$42,$A51+2,FALSE)="NO","NO",IF(HLOOKUP(AA$15,Data_5!$F$10:$BG$42,$A51+2,FALSE)="IE","IE",IF(HLOOKUP(AA$15,Data_5!$F$10:$BG$42,$A51+2,FALSE)="NE","NE",IF(HLOOKUP(AA$15,Data_5!$F$10:$BG$42,$A51+2,FALSE)="C","C",IF(HLOOKUP(AA$15,Data_5!$F$10:$BG$42,$A51+2,FALSE)="NO","NO",HLOOKUP(AA$15,Data_5!$F$10:$BG$42,$A51+2,FALSE)/Data_5!$BH46))))),"")</f>
        <v/>
      </c>
      <c r="AB51" s="1122" t="str">
        <f>IFERROR(IF(HLOOKUP(AB$15,Data_5!$F$10:$BG$42,$A51+2,FALSE)="NO","NO",IF(HLOOKUP(AB$15,Data_5!$F$10:$BG$42,$A51+2,FALSE)="IE","IE",IF(HLOOKUP(AB$15,Data_5!$F$10:$BG$42,$A51+2,FALSE)="NE","NE",IF(HLOOKUP(AB$15,Data_5!$F$10:$BG$42,$A51+2,FALSE)="C","C",IF(HLOOKUP(AB$15,Data_5!$F$10:$BG$42,$A51+2,FALSE)="NO","NO",HLOOKUP(AB$15,Data_5!$F$10:$BG$42,$A51+2,FALSE)/Data_5!$BH46))))),"")</f>
        <v/>
      </c>
      <c r="AC51" s="1122" t="str">
        <f>IFERROR(IF(HLOOKUP(AC$15,Data_5!$F$10:$BG$42,$A51+2,FALSE)="NO","NO",IF(HLOOKUP(AC$15,Data_5!$F$10:$BG$42,$A51+2,FALSE)="IE","IE",IF(HLOOKUP(AC$15,Data_5!$F$10:$BG$42,$A51+2,FALSE)="NE","NE",IF(HLOOKUP(AC$15,Data_5!$F$10:$BG$42,$A51+2,FALSE)="C","C",IF(HLOOKUP(AC$15,Data_5!$F$10:$BG$42,$A51+2,FALSE)="NO","NO",HLOOKUP(AC$15,Data_5!$F$10:$BG$42,$A51+2,FALSE)/Data_5!$BH46))))),"")</f>
        <v/>
      </c>
      <c r="AD51" s="1122" t="str">
        <f>IFERROR(IF(HLOOKUP(AD$15,Data_5!$F$10:$BG$42,$A51+2,FALSE)="NO","NO",IF(HLOOKUP(AD$15,Data_5!$F$10:$BG$42,$A51+2,FALSE)="IE","IE",IF(HLOOKUP(AD$15,Data_5!$F$10:$BG$42,$A51+2,FALSE)="NE","NE",IF(HLOOKUP(AD$15,Data_5!$F$10:$BG$42,$A51+2,FALSE)="C","C",IF(HLOOKUP(AD$15,Data_5!$F$10:$BG$42,$A51+2,FALSE)="NO","NO",HLOOKUP(AD$15,Data_5!$F$10:$BG$42,$A51+2,FALSE)/Data_5!$BH46))))),"")</f>
        <v/>
      </c>
      <c r="AE51" s="1122" t="str">
        <f>IFERROR(IF(HLOOKUP(AE$15,Data_5!$F$10:$BG$42,$A51+2,FALSE)="NO","NO",IF(HLOOKUP(AE$15,Data_5!$F$10:$BG$42,$A51+2,FALSE)="IE","IE",IF(HLOOKUP(AE$15,Data_5!$F$10:$BG$42,$A51+2,FALSE)="NE","NE",IF(HLOOKUP(AE$15,Data_5!$F$10:$BG$42,$A51+2,FALSE)="C","C",IF(HLOOKUP(AE$15,Data_5!$F$10:$BG$42,$A51+2,FALSE)="NO","NO",HLOOKUP(AE$15,Data_5!$F$10:$BG$42,$A51+2,FALSE)/Data_5!$BH46))))),"")</f>
        <v/>
      </c>
      <c r="AF51" s="1122" t="str">
        <f>IFERROR(IF(HLOOKUP(AF$15,Data_5!$F$10:$BG$42,$A51+2,FALSE)="NO","NO",IF(HLOOKUP(AF$15,Data_5!$F$10:$BG$42,$A51+2,FALSE)="IE","IE",IF(HLOOKUP(AF$15,Data_5!$F$10:$BG$42,$A51+2,FALSE)="NE","NE",IF(HLOOKUP(AF$15,Data_5!$F$10:$BG$42,$A51+2,FALSE)="C","C",IF(HLOOKUP(AF$15,Data_5!$F$10:$BG$42,$A51+2,FALSE)="NO","NO",HLOOKUP(AF$15,Data_5!$F$10:$BG$42,$A51+2,FALSE)/Data_5!$BH46))))),"")</f>
        <v/>
      </c>
      <c r="AG51" s="1122" t="str">
        <f>IFERROR(IF(HLOOKUP(AG$15,Data_5!$F$10:$BG$42,$A51+2,FALSE)="NO","NO",IF(HLOOKUP(AG$15,Data_5!$F$10:$BG$42,$A51+2,FALSE)="IE","IE",IF(HLOOKUP(AG$15,Data_5!$F$10:$BG$42,$A51+2,FALSE)="NE","NE",IF(HLOOKUP(AG$15,Data_5!$F$10:$BG$42,$A51+2,FALSE)="C","C",IF(HLOOKUP(AG$15,Data_5!$F$10:$BG$42,$A51+2,FALSE)="NO","NO",HLOOKUP(AG$15,Data_5!$F$10:$BG$42,$A51+2,FALSE)/Data_5!$BH46))))),"")</f>
        <v/>
      </c>
      <c r="AH51" s="1122" t="str">
        <f>IFERROR(IF(HLOOKUP(AH$15,Data_5!$F$10:$BG$42,$A51+2,FALSE)="NO","NO",IF(HLOOKUP(AH$15,Data_5!$F$10:$BG$42,$A51+2,FALSE)="IE","IE",IF(HLOOKUP(AH$15,Data_5!$F$10:$BG$42,$A51+2,FALSE)="NE","NE",IF(HLOOKUP(AH$15,Data_5!$F$10:$BG$42,$A51+2,FALSE)="C","C",IF(HLOOKUP(AH$15,Data_5!$F$10:$BG$42,$A51+2,FALSE)="NO","NO",HLOOKUP(AH$15,Data_5!$F$10:$BG$42,$A51+2,FALSE)/Data_5!$BH46))))),"")</f>
        <v/>
      </c>
      <c r="AI51" s="1122" t="str">
        <f>IFERROR(IF(HLOOKUP(AI$15,Data_5!$F$10:$BG$42,$A51+2,FALSE)="NO","NO",IF(HLOOKUP(AI$15,Data_5!$F$10:$BG$42,$A51+2,FALSE)="IE","IE",IF(HLOOKUP(AI$15,Data_5!$F$10:$BG$42,$A51+2,FALSE)="NE","NE",IF(HLOOKUP(AI$15,Data_5!$F$10:$BG$42,$A51+2,FALSE)="C","C",IF(HLOOKUP(AI$15,Data_5!$F$10:$BG$42,$A51+2,FALSE)="NO","NO",HLOOKUP(AI$15,Data_5!$F$10:$BG$42,$A51+2,FALSE)/Data_5!$BH46))))),"")</f>
        <v/>
      </c>
      <c r="AJ51" s="1122" t="str">
        <f>IFERROR(IF(HLOOKUP(AJ$15,Data_5!$F$10:$BG$42,$A51+2,FALSE)="NO","NO",IF(HLOOKUP(AJ$15,Data_5!$F$10:$BG$42,$A51+2,FALSE)="IE","IE",IF(HLOOKUP(AJ$15,Data_5!$F$10:$BG$42,$A51+2,FALSE)="NE","NE",IF(HLOOKUP(AJ$15,Data_5!$F$10:$BG$42,$A51+2,FALSE)="C","C",IF(HLOOKUP(AJ$15,Data_5!$F$10:$BG$42,$A51+2,FALSE)="NO","NO",HLOOKUP(AJ$15,Data_5!$F$10:$BG$42,$A51+2,FALSE)/Data_5!$BH46))))),"")</f>
        <v/>
      </c>
      <c r="AL51" s="2628" t="str">
        <f t="shared" ca="1" si="0"/>
        <v/>
      </c>
      <c r="AM51" s="2629"/>
      <c r="AN51" s="1100" t="str">
        <f t="shared" ca="1" si="1"/>
        <v/>
      </c>
      <c r="AO51" s="1122" t="str">
        <f>IFERROR(IF(HLOOKUP(AO$15,Data_5!$F$10:$BG$42,$A51+2,FALSE)="NO","NO",IF(HLOOKUP(AO$15,Data_5!$F$10:$BG$42,$A51+2,FALSE)="IE","IE",IF(HLOOKUP(AO$15,Data_5!$F$10:$BG$42,$A51+2,FALSE)="NE","NE",IF(HLOOKUP(AO$15,Data_5!$F$10:$BG$42,$A51+2,FALSE)="C","C",IF(HLOOKUP(AO$15,Data_5!$F$10:$BG$42,$A51+2,FALSE)="NO","NO",HLOOKUP(AO$15,Data_5!$F$10:$BG$42,$A51+2,FALSE)/Data_5!$BI46))))),"")</f>
        <v/>
      </c>
      <c r="AP51" s="1122" t="str">
        <f>IFERROR(IF(HLOOKUP(AP$15,Data_5!$F$10:$BG$42,$A51+2,FALSE)="NO","NO",IF(HLOOKUP(AP$15,Data_5!$F$10:$BG$42,$A51+2,FALSE)="IE","IE",IF(HLOOKUP(AP$15,Data_5!$F$10:$BG$42,$A51+2,FALSE)="NE","NE",IF(HLOOKUP(AP$15,Data_5!$F$10:$BG$42,$A51+2,FALSE)="C","C",IF(HLOOKUP(AP$15,Data_5!$F$10:$BG$42,$A51+2,FALSE)="NO","NO",HLOOKUP(AP$15,Data_5!$F$10:$BG$42,$A51+2,FALSE)/Data_5!$BI46))))),"")</f>
        <v/>
      </c>
      <c r="AQ51" s="1122" t="str">
        <f>IFERROR(IF(HLOOKUP(AQ$15,Data_5!$F$10:$BG$42,$A51+2,FALSE)="NO","NO",IF(HLOOKUP(AQ$15,Data_5!$F$10:$BG$42,$A51+2,FALSE)="IE","IE",IF(HLOOKUP(AQ$15,Data_5!$F$10:$BG$42,$A51+2,FALSE)="NE","NE",IF(HLOOKUP(AQ$15,Data_5!$F$10:$BG$42,$A51+2,FALSE)="C","C",IF(HLOOKUP(AQ$15,Data_5!$F$10:$BG$42,$A51+2,FALSE)="NO","NO",HLOOKUP(AQ$15,Data_5!$F$10:$BG$42,$A51+2,FALSE)/Data_5!$BI46))))),"")</f>
        <v/>
      </c>
      <c r="AR51" s="1122" t="str">
        <f>IFERROR(IF(HLOOKUP(AR$15,Data_5!$F$10:$BG$42,$A51+2,FALSE)="NO","NO",IF(HLOOKUP(AR$15,Data_5!$F$10:$BG$42,$A51+2,FALSE)="IE","IE",IF(HLOOKUP(AR$15,Data_5!$F$10:$BG$42,$A51+2,FALSE)="NE","NE",IF(HLOOKUP(AR$15,Data_5!$F$10:$BG$42,$A51+2,FALSE)="C","C",IF(HLOOKUP(AR$15,Data_5!$F$10:$BG$42,$A51+2,FALSE)="NO","NO",HLOOKUP(AR$15,Data_5!$F$10:$BG$42,$A51+2,FALSE)/Data_5!$BI46))))),"")</f>
        <v/>
      </c>
      <c r="AS51" s="1122" t="str">
        <f>IFERROR(IF(HLOOKUP(AS$15,Data_5!$F$10:$BG$42,$A51+2,FALSE)="NO","NO",IF(HLOOKUP(AS$15,Data_5!$F$10:$BG$42,$A51+2,FALSE)="IE","IE",IF(HLOOKUP(AS$15,Data_5!$F$10:$BG$42,$A51+2,FALSE)="NE","NE",IF(HLOOKUP(AS$15,Data_5!$F$10:$BG$42,$A51+2,FALSE)="C","C",IF(HLOOKUP(AS$15,Data_5!$F$10:$BG$42,$A51+2,FALSE)="NO","NO",HLOOKUP(AS$15,Data_5!$F$10:$BG$42,$A51+2,FALSE)/Data_5!$BI46))))),"")</f>
        <v/>
      </c>
      <c r="AT51" s="1122" t="str">
        <f>IFERROR(IF(HLOOKUP(AT$15,Data_5!$F$10:$BG$42,$A51+2,FALSE)="NO","NO",IF(HLOOKUP(AT$15,Data_5!$F$10:$BG$42,$A51+2,FALSE)="IE","IE",IF(HLOOKUP(AT$15,Data_5!$F$10:$BG$42,$A51+2,FALSE)="NE","NE",IF(HLOOKUP(AT$15,Data_5!$F$10:$BG$42,$A51+2,FALSE)="C","C",IF(HLOOKUP(AT$15,Data_5!$F$10:$BG$42,$A51+2,FALSE)="NO","NO",HLOOKUP(AT$15,Data_5!$F$10:$BG$42,$A51+2,FALSE)/Data_5!$BI46))))),"")</f>
        <v/>
      </c>
      <c r="AU51" s="1122" t="str">
        <f>IFERROR(IF(HLOOKUP(AU$15,Data_5!$F$10:$BG$42,$A51+2,FALSE)="NO","NO",IF(HLOOKUP(AU$15,Data_5!$F$10:$BG$42,$A51+2,FALSE)="IE","IE",IF(HLOOKUP(AU$15,Data_5!$F$10:$BG$42,$A51+2,FALSE)="NE","NE",IF(HLOOKUP(AU$15,Data_5!$F$10:$BG$42,$A51+2,FALSE)="C","C",IF(HLOOKUP(AU$15,Data_5!$F$10:$BG$42,$A51+2,FALSE)="NO","NO",HLOOKUP(AU$15,Data_5!$F$10:$BG$42,$A51+2,FALSE)/Data_5!$BI46))))),"")</f>
        <v/>
      </c>
      <c r="AV51" s="1122" t="str">
        <f>IFERROR(IF(HLOOKUP(AV$15,Data_5!$F$10:$BG$42,$A51+2,FALSE)="NO","NO",IF(HLOOKUP(AV$15,Data_5!$F$10:$BG$42,$A51+2,FALSE)="IE","IE",IF(HLOOKUP(AV$15,Data_5!$F$10:$BG$42,$A51+2,FALSE)="NE","NE",IF(HLOOKUP(AV$15,Data_5!$F$10:$BG$42,$A51+2,FALSE)="C","C",IF(HLOOKUP(AV$15,Data_5!$F$10:$BG$42,$A51+2,FALSE)="NO","NO",HLOOKUP(AV$15,Data_5!$F$10:$BG$42,$A51+2,FALSE)/Data_5!$BI46))))),"")</f>
        <v/>
      </c>
      <c r="AW51" s="1122" t="str">
        <f>IFERROR(IF(HLOOKUP(AW$15,Data_5!$F$10:$BG$42,$A51+2,FALSE)="NO","NO",IF(HLOOKUP(AW$15,Data_5!$F$10:$BG$42,$A51+2,FALSE)="IE","IE",IF(HLOOKUP(AW$15,Data_5!$F$10:$BG$42,$A51+2,FALSE)="NE","NE",IF(HLOOKUP(AW$15,Data_5!$F$10:$BG$42,$A51+2,FALSE)="C","C",IF(HLOOKUP(AW$15,Data_5!$F$10:$BG$42,$A51+2,FALSE)="NO","NO",HLOOKUP(AW$15,Data_5!$F$10:$BG$42,$A51+2,FALSE)/Data_5!$BI46))))),"")</f>
        <v/>
      </c>
      <c r="AX51" s="1122" t="str">
        <f>IFERROR(IF(HLOOKUP(AX$15,Data_5!$F$10:$BG$42,$A51+2,FALSE)="NO","NO",IF(HLOOKUP(AX$15,Data_5!$F$10:$BG$42,$A51+2,FALSE)="IE","IE",IF(HLOOKUP(AX$15,Data_5!$F$10:$BG$42,$A51+2,FALSE)="NE","NE",IF(HLOOKUP(AX$15,Data_5!$F$10:$BG$42,$A51+2,FALSE)="C","C",IF(HLOOKUP(AX$15,Data_5!$F$10:$BG$42,$A51+2,FALSE)="NO","NO",HLOOKUP(AX$15,Data_5!$F$10:$BG$42,$A51+2,FALSE)/Data_5!$BI46))))),"")</f>
        <v/>
      </c>
      <c r="AY51" s="1122" t="str">
        <f>IFERROR(IF(HLOOKUP(AY$15,Data_5!$F$10:$BG$42,$A51+2,FALSE)="NO","NO",IF(HLOOKUP(AY$15,Data_5!$F$10:$BG$42,$A51+2,FALSE)="IE","IE",IF(HLOOKUP(AY$15,Data_5!$F$10:$BG$42,$A51+2,FALSE)="NE","NE",IF(HLOOKUP(AY$15,Data_5!$F$10:$BG$42,$A51+2,FALSE)="C","C",IF(HLOOKUP(AY$15,Data_5!$F$10:$BG$42,$A51+2,FALSE)="NO","NO",HLOOKUP(AY$15,Data_5!$F$10:$BG$42,$A51+2,FALSE)/Data_5!$BI46))))),"")</f>
        <v/>
      </c>
      <c r="AZ51" s="1122" t="str">
        <f>IFERROR(IF(HLOOKUP(AZ$15,Data_5!$F$10:$BG$42,$A51+2,FALSE)="NO","NO",IF(HLOOKUP(AZ$15,Data_5!$F$10:$BG$42,$A51+2,FALSE)="IE","IE",IF(HLOOKUP(AZ$15,Data_5!$F$10:$BG$42,$A51+2,FALSE)="NE","NE",IF(HLOOKUP(AZ$15,Data_5!$F$10:$BG$42,$A51+2,FALSE)="C","C",IF(HLOOKUP(AZ$15,Data_5!$F$10:$BG$42,$A51+2,FALSE)="NO","NO",HLOOKUP(AZ$15,Data_5!$F$10:$BG$42,$A51+2,FALSE)/Data_5!$BI46))))),"")</f>
        <v/>
      </c>
      <c r="BA51" s="1122" t="str">
        <f>IFERROR(IF(HLOOKUP(BA$15,Data_5!$F$10:$BG$42,$A51+2,FALSE)="NO","NO",IF(HLOOKUP(BA$15,Data_5!$F$10:$BG$42,$A51+2,FALSE)="IE","IE",IF(HLOOKUP(BA$15,Data_5!$F$10:$BG$42,$A51+2,FALSE)="NE","NE",IF(HLOOKUP(BA$15,Data_5!$F$10:$BG$42,$A51+2,FALSE)="C","C",IF(HLOOKUP(BA$15,Data_5!$F$10:$BG$42,$A51+2,FALSE)="NO","NO",HLOOKUP(BA$15,Data_5!$F$10:$BG$42,$A51+2,FALSE)/Data_5!$BI46))))),"")</f>
        <v/>
      </c>
      <c r="BB51" s="1122" t="str">
        <f>IFERROR(IF(HLOOKUP(BB$15,Data_5!$F$10:$BG$42,$A51+2,FALSE)="NO","NO",IF(HLOOKUP(BB$15,Data_5!$F$10:$BG$42,$A51+2,FALSE)="IE","IE",IF(HLOOKUP(BB$15,Data_5!$F$10:$BG$42,$A51+2,FALSE)="NE","NE",IF(HLOOKUP(BB$15,Data_5!$F$10:$BG$42,$A51+2,FALSE)="C","C",IF(HLOOKUP(BB$15,Data_5!$F$10:$BG$42,$A51+2,FALSE)="NO","NO",HLOOKUP(BB$15,Data_5!$F$10:$BG$42,$A51+2,FALSE)/Data_5!$BI46))))),"")</f>
        <v/>
      </c>
      <c r="BC51" s="1122" t="str">
        <f>IFERROR(IF(HLOOKUP(BC$15,Data_5!$F$10:$BG$42,$A51+2,FALSE)="NO","NO",IF(HLOOKUP(BC$15,Data_5!$F$10:$BG$42,$A51+2,FALSE)="IE","IE",IF(HLOOKUP(BC$15,Data_5!$F$10:$BG$42,$A51+2,FALSE)="NE","NE",IF(HLOOKUP(BC$15,Data_5!$F$10:$BG$42,$A51+2,FALSE)="C","C",IF(HLOOKUP(BC$15,Data_5!$F$10:$BG$42,$A51+2,FALSE)="NO","NO",HLOOKUP(BC$15,Data_5!$F$10:$BG$42,$A51+2,FALSE)/Data_5!$BI46))))),"")</f>
        <v/>
      </c>
      <c r="BD51" s="1122" t="str">
        <f>IFERROR(IF(HLOOKUP(BD$15,Data_5!$F$10:$BG$42,$A51+2,FALSE)="NO","NO",IF(HLOOKUP(BD$15,Data_5!$F$10:$BG$42,$A51+2,FALSE)="IE","IE",IF(HLOOKUP(BD$15,Data_5!$F$10:$BG$42,$A51+2,FALSE)="NE","NE",IF(HLOOKUP(BD$15,Data_5!$F$10:$BG$42,$A51+2,FALSE)="C","C",IF(HLOOKUP(BD$15,Data_5!$F$10:$BG$42,$A51+2,FALSE)="NO","NO",HLOOKUP(BD$15,Data_5!$F$10:$BG$42,$A51+2,FALSE)/Data_5!$BI46))))),"")</f>
        <v/>
      </c>
      <c r="BE51" s="1122" t="str">
        <f>IFERROR(IF(HLOOKUP(BE$15,Data_5!$F$10:$BG$42,$A51+2,FALSE)="NO","NO",IF(HLOOKUP(BE$15,Data_5!$F$10:$BG$42,$A51+2,FALSE)="IE","IE",IF(HLOOKUP(BE$15,Data_5!$F$10:$BG$42,$A51+2,FALSE)="NE","NE",IF(HLOOKUP(BE$15,Data_5!$F$10:$BG$42,$A51+2,FALSE)="C","C",IF(HLOOKUP(BE$15,Data_5!$F$10:$BG$42,$A51+2,FALSE)="NO","NO",HLOOKUP(BE$15,Data_5!$F$10:$BG$42,$A51+2,FALSE)/Data_5!$BI46))))),"")</f>
        <v/>
      </c>
      <c r="BF51" s="1122" t="str">
        <f>IFERROR(IF(HLOOKUP(BF$15,Data_5!$F$10:$BG$42,$A51+2,FALSE)="NO","NO",IF(HLOOKUP(BF$15,Data_5!$F$10:$BG$42,$A51+2,FALSE)="IE","IE",IF(HLOOKUP(BF$15,Data_5!$F$10:$BG$42,$A51+2,FALSE)="NE","NE",IF(HLOOKUP(BF$15,Data_5!$F$10:$BG$42,$A51+2,FALSE)="C","C",IF(HLOOKUP(BF$15,Data_5!$F$10:$BG$42,$A51+2,FALSE)="NO","NO",HLOOKUP(BF$15,Data_5!$F$10:$BG$42,$A51+2,FALSE)/Data_5!$BI46))))),"")</f>
        <v/>
      </c>
      <c r="BG51" s="1122" t="str">
        <f>IFERROR(IF(HLOOKUP(BG$15,Data_5!$F$10:$BG$42,$A51+2,FALSE)="NO","NO",IF(HLOOKUP(BG$15,Data_5!$F$10:$BG$42,$A51+2,FALSE)="IE","IE",IF(HLOOKUP(BG$15,Data_5!$F$10:$BG$42,$A51+2,FALSE)="NE","NE",IF(HLOOKUP(BG$15,Data_5!$F$10:$BG$42,$A51+2,FALSE)="C","C",IF(HLOOKUP(BG$15,Data_5!$F$10:$BG$42,$A51+2,FALSE)="NO","NO",HLOOKUP(BG$15,Data_5!$F$10:$BG$42,$A51+2,FALSE)/Data_5!$BI46))))),"")</f>
        <v/>
      </c>
      <c r="BH51" s="1122" t="str">
        <f>IFERROR(IF(HLOOKUP(BH$15,Data_5!$F$10:$BG$42,$A51+2,FALSE)="NO","NO",IF(HLOOKUP(BH$15,Data_5!$F$10:$BG$42,$A51+2,FALSE)="IE","IE",IF(HLOOKUP(BH$15,Data_5!$F$10:$BG$42,$A51+2,FALSE)="NE","NE",IF(HLOOKUP(BH$15,Data_5!$F$10:$BG$42,$A51+2,FALSE)="C","C",IF(HLOOKUP(BH$15,Data_5!$F$10:$BG$42,$A51+2,FALSE)="NO","NO",HLOOKUP(BH$15,Data_5!$F$10:$BG$42,$A51+2,FALSE)/Data_5!$BI46))))),"")</f>
        <v/>
      </c>
      <c r="BI51" s="1122" t="str">
        <f>IFERROR(IF(HLOOKUP(BI$15,Data_5!$F$10:$BG$42,$A51+2,FALSE)="NO","NO",IF(HLOOKUP(BI$15,Data_5!$F$10:$BG$42,$A51+2,FALSE)="IE","IE",IF(HLOOKUP(BI$15,Data_5!$F$10:$BG$42,$A51+2,FALSE)="NE","NE",IF(HLOOKUP(BI$15,Data_5!$F$10:$BG$42,$A51+2,FALSE)="C","C",IF(HLOOKUP(BI$15,Data_5!$F$10:$BG$42,$A51+2,FALSE)="NO","NO",HLOOKUP(BI$15,Data_5!$F$10:$BG$42,$A51+2,FALSE)/Data_5!$BI46))))),"")</f>
        <v/>
      </c>
      <c r="BJ51" s="1122" t="str">
        <f>IFERROR(IF(HLOOKUP(BJ$15,Data_5!$F$10:$BG$42,$A51+2,FALSE)="NO","NO",IF(HLOOKUP(BJ$15,Data_5!$F$10:$BG$42,$A51+2,FALSE)="IE","IE",IF(HLOOKUP(BJ$15,Data_5!$F$10:$BG$42,$A51+2,FALSE)="NE","NE",IF(HLOOKUP(BJ$15,Data_5!$F$10:$BG$42,$A51+2,FALSE)="C","C",IF(HLOOKUP(BJ$15,Data_5!$F$10:$BG$42,$A51+2,FALSE)="NO","NO",HLOOKUP(BJ$15,Data_5!$F$10:$BG$42,$A51+2,FALSE)/Data_5!$BI46))))),"")</f>
        <v/>
      </c>
      <c r="BK51" s="1122" t="str">
        <f>IFERROR(IF(HLOOKUP(BK$15,Data_5!$F$10:$BG$42,$A51+2,FALSE)="NO","NO",IF(HLOOKUP(BK$15,Data_5!$F$10:$BG$42,$A51+2,FALSE)="IE","IE",IF(HLOOKUP(BK$15,Data_5!$F$10:$BG$42,$A51+2,FALSE)="NE","NE",IF(HLOOKUP(BK$15,Data_5!$F$10:$BG$42,$A51+2,FALSE)="C","C",IF(HLOOKUP(BK$15,Data_5!$F$10:$BG$42,$A51+2,FALSE)="NO","NO",HLOOKUP(BK$15,Data_5!$F$10:$BG$42,$A51+2,FALSE)/Data_5!$BI46))))),"")</f>
        <v/>
      </c>
      <c r="BL51" s="1122" t="str">
        <f>IFERROR(IF(HLOOKUP(BL$15,Data_5!$F$10:$BG$42,$A51+2,FALSE)="NO","NO",IF(HLOOKUP(BL$15,Data_5!$F$10:$BG$42,$A51+2,FALSE)="IE","IE",IF(HLOOKUP(BL$15,Data_5!$F$10:$BG$42,$A51+2,FALSE)="NE","NE",IF(HLOOKUP(BL$15,Data_5!$F$10:$BG$42,$A51+2,FALSE)="C","C",IF(HLOOKUP(BL$15,Data_5!$F$10:$BG$42,$A51+2,FALSE)="NO","NO",HLOOKUP(BL$15,Data_5!$F$10:$BG$42,$A51+2,FALSE)/Data_5!$BI46))))),"")</f>
        <v/>
      </c>
      <c r="BM51" s="1122" t="str">
        <f>IFERROR(IF(HLOOKUP(BM$15,Data_5!$F$10:$BG$42,$A51+2,FALSE)="NO","NO",IF(HLOOKUP(BM$15,Data_5!$F$10:$BG$42,$A51+2,FALSE)="IE","IE",IF(HLOOKUP(BM$15,Data_5!$F$10:$BG$42,$A51+2,FALSE)="NE","NE",IF(HLOOKUP(BM$15,Data_5!$F$10:$BG$42,$A51+2,FALSE)="C","C",IF(HLOOKUP(BM$15,Data_5!$F$10:$BG$42,$A51+2,FALSE)="NO","NO",HLOOKUP(BM$15,Data_5!$F$10:$BG$42,$A51+2,FALSE)/Data_5!$BI46))))),"")</f>
        <v/>
      </c>
      <c r="BN51" s="1122" t="str">
        <f>IFERROR(IF(HLOOKUP(BN$15,Data_5!$F$10:$BG$42,$A51+2,FALSE)="NO","NO",IF(HLOOKUP(BN$15,Data_5!$F$10:$BG$42,$A51+2,FALSE)="IE","IE",IF(HLOOKUP(BN$15,Data_5!$F$10:$BG$42,$A51+2,FALSE)="NE","NE",IF(HLOOKUP(BN$15,Data_5!$F$10:$BG$42,$A51+2,FALSE)="C","C",IF(HLOOKUP(BN$15,Data_5!$F$10:$BG$42,$A51+2,FALSE)="NO","NO",HLOOKUP(BN$15,Data_5!$F$10:$BG$42,$A51+2,FALSE)/Data_5!$BI46))))),"")</f>
        <v/>
      </c>
      <c r="BO51" s="1122" t="str">
        <f>IFERROR(IF(HLOOKUP(BO$15,Data_5!$F$10:$BG$42,$A51+2,FALSE)="NO","NO",IF(HLOOKUP(BO$15,Data_5!$F$10:$BG$42,$A51+2,FALSE)="IE","IE",IF(HLOOKUP(BO$15,Data_5!$F$10:$BG$42,$A51+2,FALSE)="NE","NE",IF(HLOOKUP(BO$15,Data_5!$F$10:$BG$42,$A51+2,FALSE)="C","C",IF(HLOOKUP(BO$15,Data_5!$F$10:$BG$42,$A51+2,FALSE)="NO","NO",HLOOKUP(BO$15,Data_5!$F$10:$BG$42,$A51+2,FALSE)/Data_5!$BI46))))),"")</f>
        <v/>
      </c>
      <c r="BP51" s="1122" t="str">
        <f>IFERROR(IF(HLOOKUP(BP$15,Data_5!$F$10:$BG$42,$A51+2,FALSE)="NO","NO",IF(HLOOKUP(BP$15,Data_5!$F$10:$BG$42,$A51+2,FALSE)="IE","IE",IF(HLOOKUP(BP$15,Data_5!$F$10:$BG$42,$A51+2,FALSE)="NE","NE",IF(HLOOKUP(BP$15,Data_5!$F$10:$BG$42,$A51+2,FALSE)="C","C",IF(HLOOKUP(BP$15,Data_5!$F$10:$BG$42,$A51+2,FALSE)="NO","NO",HLOOKUP(BP$15,Data_5!$F$10:$BG$42,$A51+2,FALSE)/Data_5!$BI46))))),"")</f>
        <v/>
      </c>
      <c r="BQ51" s="1122" t="str">
        <f>IFERROR(IF(HLOOKUP(BQ$15,Data_5!$F$10:$BG$42,$A51+2,FALSE)="NO","NO",IF(HLOOKUP(BQ$15,Data_5!$F$10:$BG$42,$A51+2,FALSE)="IE","IE",IF(HLOOKUP(BQ$15,Data_5!$F$10:$BG$42,$A51+2,FALSE)="NE","NE",IF(HLOOKUP(BQ$15,Data_5!$F$10:$BG$42,$A51+2,FALSE)="C","C",IF(HLOOKUP(BQ$15,Data_5!$F$10:$BG$42,$A51+2,FALSE)="NO","NO",HLOOKUP(BQ$15,Data_5!$F$10:$BG$42,$A51+2,FALSE)/Data_5!$BI46))))),"")</f>
        <v/>
      </c>
      <c r="BR51" s="1122" t="str">
        <f>IFERROR(IF(HLOOKUP(BR$15,Data_5!$F$10:$BG$42,$A51+2,FALSE)="NO","NO",IF(HLOOKUP(BR$15,Data_5!$F$10:$BG$42,$A51+2,FALSE)="IE","IE",IF(HLOOKUP(BR$15,Data_5!$F$10:$BG$42,$A51+2,FALSE)="NE","NE",IF(HLOOKUP(BR$15,Data_5!$F$10:$BG$42,$A51+2,FALSE)="C","C",IF(HLOOKUP(BR$15,Data_5!$F$10:$BG$42,$A51+2,FALSE)="NO","NO",HLOOKUP(BR$15,Data_5!$F$10:$BG$42,$A51+2,FALSE)/Data_5!$BI46))))),"")</f>
        <v/>
      </c>
      <c r="BS51" s="1122" t="str">
        <f>IFERROR(IF(HLOOKUP(BS$15,Data_5!$F$10:$BG$42,$A51+2,FALSE)="NO","NO",IF(HLOOKUP(BS$15,Data_5!$F$10:$BG$42,$A51+2,FALSE)="IE","IE",IF(HLOOKUP(BS$15,Data_5!$F$10:$BG$42,$A51+2,FALSE)="NE","NE",IF(HLOOKUP(BS$15,Data_5!$F$10:$BG$42,$A51+2,FALSE)="C","C",IF(HLOOKUP(BS$15,Data_5!$F$10:$BG$42,$A51+2,FALSE)="NO","NO",HLOOKUP(BS$15,Data_5!$F$10:$BG$42,$A51+2,FALSE)/Data_5!$BI46))))),"")</f>
        <v/>
      </c>
      <c r="BT51" s="1122" t="str">
        <f>IFERROR(IF(HLOOKUP(BT$15,Data_5!$F$10:$BG$42,$A51+2,FALSE)="NO","NO",IF(HLOOKUP(BT$15,Data_5!$F$10:$BG$42,$A51+2,FALSE)="IE","IE",IF(HLOOKUP(BT$15,Data_5!$F$10:$BG$42,$A51+2,FALSE)="NE","NE",IF(HLOOKUP(BT$15,Data_5!$F$10:$BG$42,$A51+2,FALSE)="C","C",IF(HLOOKUP(BT$15,Data_5!$F$10:$BG$42,$A51+2,FALSE)="NO","NO",HLOOKUP(BT$15,Data_5!$F$10:$BG$42,$A51+2,FALSE)/Data_5!$BI46))))),"")</f>
        <v/>
      </c>
      <c r="BU51" s="1122" t="str">
        <f>IFERROR(IF(HLOOKUP(BU$15,Data_5!$F$10:$BG$42,$A51+2,FALSE)="NO","NO",IF(HLOOKUP(BU$15,Data_5!$F$10:$BG$42,$A51+2,FALSE)="IE","IE",IF(HLOOKUP(BU$15,Data_5!$F$10:$BG$42,$A51+2,FALSE)="NE","NE",IF(HLOOKUP(BU$15,Data_5!$F$10:$BG$42,$A51+2,FALSE)="C","C",IF(HLOOKUP(BU$15,Data_5!$F$10:$BG$42,$A51+2,FALSE)="NO","NO",HLOOKUP(BU$15,Data_5!$F$10:$BG$42,$A51+2,FALSE)/Data_5!$BI46))))),"")</f>
        <v/>
      </c>
      <c r="BV51" s="1122" t="str">
        <f>IFERROR(IF(HLOOKUP(BV$15,Data_5!$F$10:$BG$42,$A51+2,FALSE)="NO","NO",IF(HLOOKUP(BV$15,Data_5!$F$10:$BG$42,$A51+2,FALSE)="IE","IE",IF(HLOOKUP(BV$15,Data_5!$F$10:$BG$42,$A51+2,FALSE)="NE","NE",IF(HLOOKUP(BV$15,Data_5!$F$10:$BG$42,$A51+2,FALSE)="C","C",IF(HLOOKUP(BV$15,Data_5!$F$10:$BG$42,$A51+2,FALSE)="NO","NO",HLOOKUP(BV$15,Data_5!$F$10:$BG$42,$A51+2,FALSE)/Data_5!$BI46))))),"")</f>
        <v/>
      </c>
      <c r="BW51" s="1122" t="str">
        <f>IFERROR(IF(HLOOKUP(BW$15,Data_5!$F$10:$BG$42,$A51+2,FALSE)="NO","NO",IF(HLOOKUP(BW$15,Data_5!$F$10:$BG$42,$A51+2,FALSE)="IE","IE",IF(HLOOKUP(BW$15,Data_5!$F$10:$BG$42,$A51+2,FALSE)="NE","NE",IF(HLOOKUP(BW$15,Data_5!$F$10:$BG$42,$A51+2,FALSE)="C","C",IF(HLOOKUP(BW$15,Data_5!$F$10:$BG$42,$A51+2,FALSE)="NO","NO",HLOOKUP(BW$15,Data_5!$F$10:$BG$42,$A51+2,FALSE)/Data_5!$BI46))))),"")</f>
        <v/>
      </c>
      <c r="BX51" s="1122" t="str">
        <f>IFERROR(IF(HLOOKUP(BX$15,Data_5!$F$10:$BG$42,$A51+2,FALSE)="NO","NO",IF(HLOOKUP(BX$15,Data_5!$F$10:$BG$42,$A51+2,FALSE)="IE","IE",IF(HLOOKUP(BX$15,Data_5!$F$10:$BG$42,$A51+2,FALSE)="NE","NE",IF(HLOOKUP(BX$15,Data_5!$F$10:$BG$42,$A51+2,FALSE)="C","C",IF(HLOOKUP(BX$15,Data_5!$F$10:$BG$42,$A51+2,FALSE)="NO","NO",HLOOKUP(BX$15,Data_5!$F$10:$BG$42,$A51+2,FALSE)/Data_5!$BI46))))),"")</f>
        <v/>
      </c>
      <c r="BY51" s="1122" t="str">
        <f>IFERROR(IF(HLOOKUP(BY$15,Data_5!$F$10:$BG$42,$A51+2,FALSE)="NO","NO",IF(HLOOKUP(BY$15,Data_5!$F$10:$BG$42,$A51+2,FALSE)="IE","IE",IF(HLOOKUP(BY$15,Data_5!$F$10:$BG$42,$A51+2,FALSE)="NE","NE",IF(HLOOKUP(BY$15,Data_5!$F$10:$BG$42,$A51+2,FALSE)="C","C",IF(HLOOKUP(BY$15,Data_5!$F$10:$BG$42,$A51+2,FALSE)="NO","NO",HLOOKUP(BY$15,Data_5!$F$10:$BG$42,$A51+2,FALSE)/Data_5!$BI46))))),"")</f>
        <v/>
      </c>
      <c r="BZ51" s="1122" t="str">
        <f>IFERROR(IF(HLOOKUP(BZ$15,Data_5!$F$10:$BG$42,$A51+2,FALSE)="NO","NO",IF(HLOOKUP(BZ$15,Data_5!$F$10:$BG$42,$A51+2,FALSE)="IE","IE",IF(HLOOKUP(BZ$15,Data_5!$F$10:$BG$42,$A51+2,FALSE)="NE","NE",IF(HLOOKUP(BZ$15,Data_5!$F$10:$BG$42,$A51+2,FALSE)="C","C",IF(HLOOKUP(BZ$15,Data_5!$F$10:$BG$42,$A51+2,FALSE)="NO","NO",HLOOKUP(BZ$15,Data_5!$F$10:$BG$42,$A51+2,FALSE)/Data_5!$BI46))))),"")</f>
        <v/>
      </c>
      <c r="CA51" s="1122" t="str">
        <f>IFERROR(IF(HLOOKUP(CA$15,Data_5!$F$10:$BG$42,$A51+2,FALSE)="NO","NO",IF(HLOOKUP(CA$15,Data_5!$F$10:$BG$42,$A51+2,FALSE)="IE","IE",IF(HLOOKUP(CA$15,Data_5!$F$10:$BG$42,$A51+2,FALSE)="NE","NE",IF(HLOOKUP(CA$15,Data_5!$F$10:$BG$42,$A51+2,FALSE)="C","C",IF(HLOOKUP(CA$15,Data_5!$F$10:$BG$42,$A51+2,FALSE)="NO","NO",HLOOKUP(CA$15,Data_5!$F$10:$BG$42,$A51+2,FALSE)/Data_5!$BI46))))),"")</f>
        <v/>
      </c>
      <c r="CB51" s="1122" t="str">
        <f>IFERROR(IF(HLOOKUP(CB$15,Data_5!$F$10:$BG$42,$A51+2,FALSE)="NO","NO",IF(HLOOKUP(CB$15,Data_5!$F$10:$BG$42,$A51+2,FALSE)="IE","IE",IF(HLOOKUP(CB$15,Data_5!$F$10:$BG$42,$A51+2,FALSE)="NE","NE",IF(HLOOKUP(CB$15,Data_5!$F$10:$BG$42,$A51+2,FALSE)="C","C",IF(HLOOKUP(CB$15,Data_5!$F$10:$BG$42,$A51+2,FALSE)="NO","NO",HLOOKUP(CB$15,Data_5!$F$10:$BG$42,$A51+2,FALSE)/Data_5!$BI46))))),"")</f>
        <v/>
      </c>
      <c r="CC51" s="1122" t="str">
        <f>IFERROR(IF(HLOOKUP(CC$15,Data_5!$F$10:$BG$42,$A51+2,FALSE)="NO","NO",IF(HLOOKUP(CC$15,Data_5!$F$10:$BG$42,$A51+2,FALSE)="IE","IE",IF(HLOOKUP(CC$15,Data_5!$F$10:$BG$42,$A51+2,FALSE)="NE","NE",IF(HLOOKUP(CC$15,Data_5!$F$10:$BG$42,$A51+2,FALSE)="C","C",IF(HLOOKUP(CC$15,Data_5!$F$10:$BG$42,$A51+2,FALSE)="NO","NO",HLOOKUP(CC$15,Data_5!$F$10:$BG$42,$A51+2,FALSE)/Data_5!$BI46))))),"")</f>
        <v/>
      </c>
      <c r="CD51" s="1122" t="str">
        <f>IFERROR(IF(HLOOKUP(CD$15,Data_5!$F$10:$BG$42,$A51+2,FALSE)="NO","NO",IF(HLOOKUP(CD$15,Data_5!$F$10:$BG$42,$A51+2,FALSE)="IE","IE",IF(HLOOKUP(CD$15,Data_5!$F$10:$BG$42,$A51+2,FALSE)="NE","NE",IF(HLOOKUP(CD$15,Data_5!$F$10:$BG$42,$A51+2,FALSE)="C","C",IF(HLOOKUP(CD$15,Data_5!$F$10:$BG$42,$A51+2,FALSE)="NO","NO",HLOOKUP(CD$15,Data_5!$F$10:$BG$42,$A51+2,FALSE)/Data_5!$BI46))))),"")</f>
        <v/>
      </c>
      <c r="CE51" s="1122" t="str">
        <f>IFERROR(IF(HLOOKUP(CE$15,Data_5!$F$10:$BG$42,$A51+2,FALSE)="NO","NO",IF(HLOOKUP(CE$15,Data_5!$F$10:$BG$42,$A51+2,FALSE)="IE","IE",IF(HLOOKUP(CE$15,Data_5!$F$10:$BG$42,$A51+2,FALSE)="NE","NE",IF(HLOOKUP(CE$15,Data_5!$F$10:$BG$42,$A51+2,FALSE)="C","C",IF(HLOOKUP(CE$15,Data_5!$F$10:$BG$42,$A51+2,FALSE)="NO","NO",HLOOKUP(CE$15,Data_5!$F$10:$BG$42,$A51+2,FALSE)/Data_5!$BI46))))),"")</f>
        <v/>
      </c>
      <c r="CF51" s="1122" t="str">
        <f>IFERROR(IF(HLOOKUP(CF$15,Data_5!$F$10:$BG$42,$A51+2,FALSE)="NO","NO",IF(HLOOKUP(CF$15,Data_5!$F$10:$BG$42,$A51+2,FALSE)="IE","IE",IF(HLOOKUP(CF$15,Data_5!$F$10:$BG$42,$A51+2,FALSE)="NE","NE",IF(HLOOKUP(CF$15,Data_5!$F$10:$BG$42,$A51+2,FALSE)="C","C",IF(HLOOKUP(CF$15,Data_5!$F$10:$BG$42,$A51+2,FALSE)="NO","NO",HLOOKUP(CF$15,Data_5!$F$10:$BG$42,$A51+2,FALSE)/Data_5!$BI46))))),"")</f>
        <v/>
      </c>
      <c r="CG51" s="1122" t="str">
        <f>IFERROR(IF(HLOOKUP(CG$15,Data_5!$F$10:$BG$42,$A51+2,FALSE)="NO","NO",IF(HLOOKUP(CG$15,Data_5!$F$10:$BG$42,$A51+2,FALSE)="IE","IE",IF(HLOOKUP(CG$15,Data_5!$F$10:$BG$42,$A51+2,FALSE)="NE","NE",IF(HLOOKUP(CG$15,Data_5!$F$10:$BG$42,$A51+2,FALSE)="C","C",IF(HLOOKUP(CG$15,Data_5!$F$10:$BG$42,$A51+2,FALSE)="NO","NO",HLOOKUP(CG$15,Data_5!$F$10:$BG$42,$A51+2,FALSE)/Data_5!$BI46))))),"")</f>
        <v/>
      </c>
      <c r="CH51" s="1122" t="str">
        <f>IFERROR(IF(HLOOKUP(CH$15,Data_5!$F$10:$BG$42,$A51+2,FALSE)="NO","NO",IF(HLOOKUP(CH$15,Data_5!$F$10:$BG$42,$A51+2,FALSE)="IE","IE",IF(HLOOKUP(CH$15,Data_5!$F$10:$BG$42,$A51+2,FALSE)="NE","NE",IF(HLOOKUP(CH$15,Data_5!$F$10:$BG$42,$A51+2,FALSE)="C","C",IF(HLOOKUP(CH$15,Data_5!$F$10:$BG$42,$A51+2,FALSE)="NO","NO",HLOOKUP(CH$15,Data_5!$F$10:$BG$42,$A51+2,FALSE)/Data_5!$BI46))))),"")</f>
        <v/>
      </c>
      <c r="CI51" s="1122" t="str">
        <f>IFERROR(IF(HLOOKUP(CI$15,Data_5!$F$10:$BG$42,$A51+2,FALSE)="NO","NO",IF(HLOOKUP(CI$15,Data_5!$F$10:$BG$42,$A51+2,FALSE)="IE","IE",IF(HLOOKUP(CI$15,Data_5!$F$10:$BG$42,$A51+2,FALSE)="NE","NE",IF(HLOOKUP(CI$15,Data_5!$F$10:$BG$42,$A51+2,FALSE)="C","C",IF(HLOOKUP(CI$15,Data_5!$F$10:$BG$42,$A51+2,FALSE)="NO","NO",HLOOKUP(CI$15,Data_5!$F$10:$BG$42,$A51+2,FALSE)/Data_5!$BI46))))),"")</f>
        <v/>
      </c>
      <c r="CJ51" s="1122" t="str">
        <f>IFERROR(IF(HLOOKUP(CJ$15,Data_5!$F$10:$BG$42,$A51+2,FALSE)="NO","NO",IF(HLOOKUP(CJ$15,Data_5!$F$10:$BG$42,$A51+2,FALSE)="IE","IE",IF(HLOOKUP(CJ$15,Data_5!$F$10:$BG$42,$A51+2,FALSE)="NE","NE",IF(HLOOKUP(CJ$15,Data_5!$F$10:$BG$42,$A51+2,FALSE)="C","C",IF(HLOOKUP(CJ$15,Data_5!$F$10:$BG$42,$A51+2,FALSE)="NO","NO",HLOOKUP(CJ$15,Data_5!$F$10:$BG$42,$A51+2,FALSE)/Data_5!$BI46))))),"")</f>
        <v/>
      </c>
      <c r="CL51" s="2628" t="str">
        <f t="shared" ca="1" si="6"/>
        <v/>
      </c>
      <c r="CM51" s="2629"/>
      <c r="CN51" s="1100" t="str">
        <f t="shared" ca="1" si="7"/>
        <v/>
      </c>
      <c r="CO51" s="1122" t="str">
        <f>IFERROR(IF(HLOOKUP(CO$15,Data_5!$F$10:$BG$42,$A51+2,FALSE)="NO","NO",IF(HLOOKUP(CO$15,Data_5!$F$10:$BG$42,$A51+2,FALSE)="IE","IE",IF(HLOOKUP(CO$15,Data_5!$F$10:$BG$42,$A51+2,FALSE)="NE","NE",IF(HLOOKUP(CO$15,Data_5!$F$10:$BG$42,$A51+2,FALSE)="C","C",IF(HLOOKUP(CO$15,Data_5!$F$10:$BG$42,$A51+2,FALSE)="NO","NO",HLOOKUP(CO$15,Data_5!$F$10:$BG$42,$A51+2,FALSE)/Data_5!$BK46))))),"")</f>
        <v/>
      </c>
      <c r="CP51" s="1122" t="str">
        <f>IFERROR(IF(HLOOKUP(CP$15,Data_5!$F$10:$BG$42,$A51+2,FALSE)="NO","NO",IF(HLOOKUP(CP$15,Data_5!$F$10:$BG$42,$A51+2,FALSE)="IE","IE",IF(HLOOKUP(CP$15,Data_5!$F$10:$BG$42,$A51+2,FALSE)="NE","NE",IF(HLOOKUP(CP$15,Data_5!$F$10:$BG$42,$A51+2,FALSE)="C","C",IF(HLOOKUP(CP$15,Data_5!$F$10:$BG$42,$A51+2,FALSE)="NO","NO",HLOOKUP(CP$15,Data_5!$F$10:$BG$42,$A51+2,FALSE)/Data_5!$BK46))))),"")</f>
        <v/>
      </c>
      <c r="CQ51" s="1122" t="str">
        <f>IFERROR(IF(HLOOKUP(CQ$15,Data_5!$F$10:$BG$42,$A51+2,FALSE)="NO","NO",IF(HLOOKUP(CQ$15,Data_5!$F$10:$BG$42,$A51+2,FALSE)="IE","IE",IF(HLOOKUP(CQ$15,Data_5!$F$10:$BG$42,$A51+2,FALSE)="NE","NE",IF(HLOOKUP(CQ$15,Data_5!$F$10:$BG$42,$A51+2,FALSE)="C","C",IF(HLOOKUP(CQ$15,Data_5!$F$10:$BG$42,$A51+2,FALSE)="NO","NO",HLOOKUP(CQ$15,Data_5!$F$10:$BG$42,$A51+2,FALSE)/Data_5!$BK46))))),"")</f>
        <v/>
      </c>
      <c r="CR51" s="1122" t="str">
        <f>IFERROR(IF(HLOOKUP(CR$15,Data_5!$F$10:$BG$42,$A51+2,FALSE)="NO","NO",IF(HLOOKUP(CR$15,Data_5!$F$10:$BG$42,$A51+2,FALSE)="IE","IE",IF(HLOOKUP(CR$15,Data_5!$F$10:$BG$42,$A51+2,FALSE)="NE","NE",IF(HLOOKUP(CR$15,Data_5!$F$10:$BG$42,$A51+2,FALSE)="C","C",IF(HLOOKUP(CR$15,Data_5!$F$10:$BG$42,$A51+2,FALSE)="NO","NO",HLOOKUP(CR$15,Data_5!$F$10:$BG$42,$A51+2,FALSE)/Data_5!$BK46))))),"")</f>
        <v/>
      </c>
      <c r="CS51" s="1122" t="str">
        <f>IFERROR(IF(HLOOKUP(CS$15,Data_5!$F$10:$BG$42,$A51+2,FALSE)="NO","NO",IF(HLOOKUP(CS$15,Data_5!$F$10:$BG$42,$A51+2,FALSE)="IE","IE",IF(HLOOKUP(CS$15,Data_5!$F$10:$BG$42,$A51+2,FALSE)="NE","NE",IF(HLOOKUP(CS$15,Data_5!$F$10:$BG$42,$A51+2,FALSE)="C","C",IF(HLOOKUP(CS$15,Data_5!$F$10:$BG$42,$A51+2,FALSE)="NO","NO",HLOOKUP(CS$15,Data_5!$F$10:$BG$42,$A51+2,FALSE)/Data_5!$BK46))))),"")</f>
        <v/>
      </c>
      <c r="CT51" s="1122" t="str">
        <f>IFERROR(IF(HLOOKUP(CT$15,Data_5!$F$10:$BG$42,$A51+2,FALSE)="NO","NO",IF(HLOOKUP(CT$15,Data_5!$F$10:$BG$42,$A51+2,FALSE)="IE","IE",IF(HLOOKUP(CT$15,Data_5!$F$10:$BG$42,$A51+2,FALSE)="NE","NE",IF(HLOOKUP(CT$15,Data_5!$F$10:$BG$42,$A51+2,FALSE)="C","C",IF(HLOOKUP(CT$15,Data_5!$F$10:$BG$42,$A51+2,FALSE)="NO","NO",HLOOKUP(CT$15,Data_5!$F$10:$BG$42,$A51+2,FALSE)/Data_5!$BK46))))),"")</f>
        <v/>
      </c>
      <c r="CU51" s="1122" t="str">
        <f>IFERROR(IF(HLOOKUP(CU$15,Data_5!$F$10:$BG$42,$A51+2,FALSE)="NO","NO",IF(HLOOKUP(CU$15,Data_5!$F$10:$BG$42,$A51+2,FALSE)="IE","IE",IF(HLOOKUP(CU$15,Data_5!$F$10:$BG$42,$A51+2,FALSE)="NE","NE",IF(HLOOKUP(CU$15,Data_5!$F$10:$BG$42,$A51+2,FALSE)="C","C",IF(HLOOKUP(CU$15,Data_5!$F$10:$BG$42,$A51+2,FALSE)="NO","NO",HLOOKUP(CU$15,Data_5!$F$10:$BG$42,$A51+2,FALSE)/Data_5!$BK46))))),"")</f>
        <v/>
      </c>
      <c r="CV51" s="1122" t="str">
        <f>IFERROR(IF(HLOOKUP(CV$15,Data_5!$F$10:$BG$42,$A51+2,FALSE)="NO","NO",IF(HLOOKUP(CV$15,Data_5!$F$10:$BG$42,$A51+2,FALSE)="IE","IE",IF(HLOOKUP(CV$15,Data_5!$F$10:$BG$42,$A51+2,FALSE)="NE","NE",IF(HLOOKUP(CV$15,Data_5!$F$10:$BG$42,$A51+2,FALSE)="C","C",IF(HLOOKUP(CV$15,Data_5!$F$10:$BG$42,$A51+2,FALSE)="NO","NO",HLOOKUP(CV$15,Data_5!$F$10:$BG$42,$A51+2,FALSE)/Data_5!$BK46))))),"")</f>
        <v/>
      </c>
      <c r="CW51" s="1122" t="str">
        <f>IFERROR(IF(HLOOKUP(CW$15,Data_5!$F$10:$BG$42,$A51+2,FALSE)="NO","NO",IF(HLOOKUP(CW$15,Data_5!$F$10:$BG$42,$A51+2,FALSE)="IE","IE",IF(HLOOKUP(CW$15,Data_5!$F$10:$BG$42,$A51+2,FALSE)="NE","NE",IF(HLOOKUP(CW$15,Data_5!$F$10:$BG$42,$A51+2,FALSE)="C","C",IF(HLOOKUP(CW$15,Data_5!$F$10:$BG$42,$A51+2,FALSE)="NO","NO",HLOOKUP(CW$15,Data_5!$F$10:$BG$42,$A51+2,FALSE)/Data_5!$BK46))))),"")</f>
        <v/>
      </c>
      <c r="CX51" s="1122" t="str">
        <f>IFERROR(IF(HLOOKUP(CX$15,Data_5!$F$10:$BG$42,$A51+2,FALSE)="NO","NO",IF(HLOOKUP(CX$15,Data_5!$F$10:$BG$42,$A51+2,FALSE)="IE","IE",IF(HLOOKUP(CX$15,Data_5!$F$10:$BG$42,$A51+2,FALSE)="NE","NE",IF(HLOOKUP(CX$15,Data_5!$F$10:$BG$42,$A51+2,FALSE)="C","C",IF(HLOOKUP(CX$15,Data_5!$F$10:$BG$42,$A51+2,FALSE)="NO","NO",HLOOKUP(CX$15,Data_5!$F$10:$BG$42,$A51+2,FALSE)/Data_5!$BK46))))),"")</f>
        <v/>
      </c>
      <c r="CY51" s="1122" t="str">
        <f>IFERROR(IF(HLOOKUP(CY$15,Data_5!$F$10:$BG$42,$A51+2,FALSE)="NO","NO",IF(HLOOKUP(CY$15,Data_5!$F$10:$BG$42,$A51+2,FALSE)="IE","IE",IF(HLOOKUP(CY$15,Data_5!$F$10:$BG$42,$A51+2,FALSE)="NE","NE",IF(HLOOKUP(CY$15,Data_5!$F$10:$BG$42,$A51+2,FALSE)="C","C",IF(HLOOKUP(CY$15,Data_5!$F$10:$BG$42,$A51+2,FALSE)="NO","NO",HLOOKUP(CY$15,Data_5!$F$10:$BG$42,$A51+2,FALSE)/Data_5!$BK46))))),"")</f>
        <v/>
      </c>
      <c r="CZ51" s="1122" t="str">
        <f>IFERROR(IF(HLOOKUP(CZ$15,Data_5!$F$10:$BG$42,$A51+2,FALSE)="NO","NO",IF(HLOOKUP(CZ$15,Data_5!$F$10:$BG$42,$A51+2,FALSE)="IE","IE",IF(HLOOKUP(CZ$15,Data_5!$F$10:$BG$42,$A51+2,FALSE)="NE","NE",IF(HLOOKUP(CZ$15,Data_5!$F$10:$BG$42,$A51+2,FALSE)="C","C",IF(HLOOKUP(CZ$15,Data_5!$F$10:$BG$42,$A51+2,FALSE)="NO","NO",HLOOKUP(CZ$15,Data_5!$F$10:$BG$42,$A51+2,FALSE)/Data_5!$BK46))))),"")</f>
        <v/>
      </c>
      <c r="DA51" s="1122" t="str">
        <f>IFERROR(IF(HLOOKUP(DA$15,Data_5!$F$10:$BG$42,$A51+2,FALSE)="NO","NO",IF(HLOOKUP(DA$15,Data_5!$F$10:$BG$42,$A51+2,FALSE)="IE","IE",IF(HLOOKUP(DA$15,Data_5!$F$10:$BG$42,$A51+2,FALSE)="NE","NE",IF(HLOOKUP(DA$15,Data_5!$F$10:$BG$42,$A51+2,FALSE)="C","C",IF(HLOOKUP(DA$15,Data_5!$F$10:$BG$42,$A51+2,FALSE)="NO","NO",HLOOKUP(DA$15,Data_5!$F$10:$BG$42,$A51+2,FALSE)/Data_5!$BK46))))),"")</f>
        <v/>
      </c>
      <c r="DB51" s="1122" t="str">
        <f>IFERROR(IF(HLOOKUP(DB$15,Data_5!$F$10:$BG$42,$A51+2,FALSE)="NO","NO",IF(HLOOKUP(DB$15,Data_5!$F$10:$BG$42,$A51+2,FALSE)="IE","IE",IF(HLOOKUP(DB$15,Data_5!$F$10:$BG$42,$A51+2,FALSE)="NE","NE",IF(HLOOKUP(DB$15,Data_5!$F$10:$BG$42,$A51+2,FALSE)="C","C",IF(HLOOKUP(DB$15,Data_5!$F$10:$BG$42,$A51+2,FALSE)="NO","NO",HLOOKUP(DB$15,Data_5!$F$10:$BG$42,$A51+2,FALSE)/Data_5!$BK46))))),"")</f>
        <v/>
      </c>
      <c r="DC51" s="1122" t="str">
        <f>IFERROR(IF(HLOOKUP(DC$15,Data_5!$F$10:$BG$42,$A51+2,FALSE)="NO","NO",IF(HLOOKUP(DC$15,Data_5!$F$10:$BG$42,$A51+2,FALSE)="IE","IE",IF(HLOOKUP(DC$15,Data_5!$F$10:$BG$42,$A51+2,FALSE)="NE","NE",IF(HLOOKUP(DC$15,Data_5!$F$10:$BG$42,$A51+2,FALSE)="C","C",IF(HLOOKUP(DC$15,Data_5!$F$10:$BG$42,$A51+2,FALSE)="NO","NO",HLOOKUP(DC$15,Data_5!$F$10:$BG$42,$A51+2,FALSE)/Data_5!$BK46))))),"")</f>
        <v/>
      </c>
      <c r="DD51" s="1122" t="str">
        <f>IFERROR(IF(HLOOKUP(DD$15,Data_5!$F$10:$BG$42,$A51+2,FALSE)="NO","NO",IF(HLOOKUP(DD$15,Data_5!$F$10:$BG$42,$A51+2,FALSE)="IE","IE",IF(HLOOKUP(DD$15,Data_5!$F$10:$BG$42,$A51+2,FALSE)="NE","NE",IF(HLOOKUP(DD$15,Data_5!$F$10:$BG$42,$A51+2,FALSE)="C","C",IF(HLOOKUP(DD$15,Data_5!$F$10:$BG$42,$A51+2,FALSE)="NO","NO",HLOOKUP(DD$15,Data_5!$F$10:$BG$42,$A51+2,FALSE)/Data_5!$BK46))))),"")</f>
        <v/>
      </c>
      <c r="DE51" s="1122" t="str">
        <f>IFERROR(IF(HLOOKUP(DE$15,Data_5!$F$10:$BG$42,$A51+2,FALSE)="NO","NO",IF(HLOOKUP(DE$15,Data_5!$F$10:$BG$42,$A51+2,FALSE)="IE","IE",IF(HLOOKUP(DE$15,Data_5!$F$10:$BG$42,$A51+2,FALSE)="NE","NE",IF(HLOOKUP(DE$15,Data_5!$F$10:$BG$42,$A51+2,FALSE)="C","C",IF(HLOOKUP(DE$15,Data_5!$F$10:$BG$42,$A51+2,FALSE)="NO","NO",HLOOKUP(DE$15,Data_5!$F$10:$BG$42,$A51+2,FALSE)/Data_5!$BK46))))),"")</f>
        <v/>
      </c>
      <c r="DF51" s="1122" t="str">
        <f>IFERROR(IF(HLOOKUP(DF$15,Data_5!$F$10:$BG$42,$A51+2,FALSE)="NO","NO",IF(HLOOKUP(DF$15,Data_5!$F$10:$BG$42,$A51+2,FALSE)="IE","IE",IF(HLOOKUP(DF$15,Data_5!$F$10:$BG$42,$A51+2,FALSE)="NE","NE",IF(HLOOKUP(DF$15,Data_5!$F$10:$BG$42,$A51+2,FALSE)="C","C",IF(HLOOKUP(DF$15,Data_5!$F$10:$BG$42,$A51+2,FALSE)="NO","NO",HLOOKUP(DF$15,Data_5!$F$10:$BG$42,$A51+2,FALSE)/Data_5!$BK46))))),"")</f>
        <v/>
      </c>
      <c r="DG51" s="1122" t="str">
        <f>IFERROR(IF(HLOOKUP(DG$15,Data_5!$F$10:$BG$42,$A51+2,FALSE)="NO","NO",IF(HLOOKUP(DG$15,Data_5!$F$10:$BG$42,$A51+2,FALSE)="IE","IE",IF(HLOOKUP(DG$15,Data_5!$F$10:$BG$42,$A51+2,FALSE)="NE","NE",IF(HLOOKUP(DG$15,Data_5!$F$10:$BG$42,$A51+2,FALSE)="C","C",IF(HLOOKUP(DG$15,Data_5!$F$10:$BG$42,$A51+2,FALSE)="NO","NO",HLOOKUP(DG$15,Data_5!$F$10:$BG$42,$A51+2,FALSE)/Data_5!$BK46))))),"")</f>
        <v/>
      </c>
      <c r="DH51" s="1122" t="str">
        <f>IFERROR(IF(HLOOKUP(DH$15,Data_5!$F$10:$BG$42,$A51+2,FALSE)="NO","NO",IF(HLOOKUP(DH$15,Data_5!$F$10:$BG$42,$A51+2,FALSE)="IE","IE",IF(HLOOKUP(DH$15,Data_5!$F$10:$BG$42,$A51+2,FALSE)="NE","NE",IF(HLOOKUP(DH$15,Data_5!$F$10:$BG$42,$A51+2,FALSE)="C","C",IF(HLOOKUP(DH$15,Data_5!$F$10:$BG$42,$A51+2,FALSE)="NO","NO",HLOOKUP(DH$15,Data_5!$F$10:$BG$42,$A51+2,FALSE)/Data_5!$BK46))))),"")</f>
        <v/>
      </c>
      <c r="DI51" s="1122" t="str">
        <f>IFERROR(IF(HLOOKUP(DI$15,Data_5!$F$10:$BG$42,$A51+2,FALSE)="NO","NO",IF(HLOOKUP(DI$15,Data_5!$F$10:$BG$42,$A51+2,FALSE)="IE","IE",IF(HLOOKUP(DI$15,Data_5!$F$10:$BG$42,$A51+2,FALSE)="NE","NE",IF(HLOOKUP(DI$15,Data_5!$F$10:$BG$42,$A51+2,FALSE)="C","C",IF(HLOOKUP(DI$15,Data_5!$F$10:$BG$42,$A51+2,FALSE)="NO","NO",HLOOKUP(DI$15,Data_5!$F$10:$BG$42,$A51+2,FALSE)/Data_5!$BK46))))),"")</f>
        <v/>
      </c>
      <c r="DJ51" s="1122" t="str">
        <f>IFERROR(IF(HLOOKUP(DJ$15,Data_5!$F$10:$BG$42,$A51+2,FALSE)="NO","NO",IF(HLOOKUP(DJ$15,Data_5!$F$10:$BG$42,$A51+2,FALSE)="IE","IE",IF(HLOOKUP(DJ$15,Data_5!$F$10:$BG$42,$A51+2,FALSE)="NE","NE",IF(HLOOKUP(DJ$15,Data_5!$F$10:$BG$42,$A51+2,FALSE)="C","C",IF(HLOOKUP(DJ$15,Data_5!$F$10:$BG$42,$A51+2,FALSE)="NO","NO",HLOOKUP(DJ$15,Data_5!$F$10:$BG$42,$A51+2,FALSE)/Data_5!$BK46))))),"")</f>
        <v/>
      </c>
      <c r="DK51" s="1122" t="str">
        <f>IFERROR(IF(HLOOKUP(DK$15,Data_5!$F$10:$BG$42,$A51+2,FALSE)="NO","NO",IF(HLOOKUP(DK$15,Data_5!$F$10:$BG$42,$A51+2,FALSE)="IE","IE",IF(HLOOKUP(DK$15,Data_5!$F$10:$BG$42,$A51+2,FALSE)="NE","NE",IF(HLOOKUP(DK$15,Data_5!$F$10:$BG$42,$A51+2,FALSE)="C","C",IF(HLOOKUP(DK$15,Data_5!$F$10:$BG$42,$A51+2,FALSE)="NO","NO",HLOOKUP(DK$15,Data_5!$F$10:$BG$42,$A51+2,FALSE)/Data_5!$BK46))))),"")</f>
        <v/>
      </c>
      <c r="DL51" s="1122" t="str">
        <f>IFERROR(IF(HLOOKUP(DL$15,Data_5!$F$10:$BG$42,$A51+2,FALSE)="NO","NO",IF(HLOOKUP(DL$15,Data_5!$F$10:$BG$42,$A51+2,FALSE)="IE","IE",IF(HLOOKUP(DL$15,Data_5!$F$10:$BG$42,$A51+2,FALSE)="NE","NE",IF(HLOOKUP(DL$15,Data_5!$F$10:$BG$42,$A51+2,FALSE)="C","C",IF(HLOOKUP(DL$15,Data_5!$F$10:$BG$42,$A51+2,FALSE)="NO","NO",HLOOKUP(DL$15,Data_5!$F$10:$BG$42,$A51+2,FALSE)/Data_5!$BK46))))),"")</f>
        <v/>
      </c>
      <c r="DM51" s="1122" t="str">
        <f>IFERROR(IF(HLOOKUP(DM$15,Data_5!$F$10:$BG$42,$A51+2,FALSE)="NO","NO",IF(HLOOKUP(DM$15,Data_5!$F$10:$BG$42,$A51+2,FALSE)="IE","IE",IF(HLOOKUP(DM$15,Data_5!$F$10:$BG$42,$A51+2,FALSE)="NE","NE",IF(HLOOKUP(DM$15,Data_5!$F$10:$BG$42,$A51+2,FALSE)="C","C",IF(HLOOKUP(DM$15,Data_5!$F$10:$BG$42,$A51+2,FALSE)="NO","NO",HLOOKUP(DM$15,Data_5!$F$10:$BG$42,$A51+2,FALSE)/Data_5!$BK46))))),"")</f>
        <v/>
      </c>
      <c r="DN51" s="1122" t="str">
        <f>IFERROR(IF(HLOOKUP(DN$15,Data_5!$F$10:$BG$42,$A51+2,FALSE)="NO","NO",IF(HLOOKUP(DN$15,Data_5!$F$10:$BG$42,$A51+2,FALSE)="IE","IE",IF(HLOOKUP(DN$15,Data_5!$F$10:$BG$42,$A51+2,FALSE)="NE","NE",IF(HLOOKUP(DN$15,Data_5!$F$10:$BG$42,$A51+2,FALSE)="C","C",IF(HLOOKUP(DN$15,Data_5!$F$10:$BG$42,$A51+2,FALSE)="NO","NO",HLOOKUP(DN$15,Data_5!$F$10:$BG$42,$A51+2,FALSE)/Data_5!$BK46))))),"")</f>
        <v/>
      </c>
      <c r="DO51" s="1122" t="str">
        <f>IFERROR(IF(HLOOKUP(DO$15,Data_5!$F$10:$BG$42,$A51+2,FALSE)="NO","NO",IF(HLOOKUP(DO$15,Data_5!$F$10:$BG$42,$A51+2,FALSE)="IE","IE",IF(HLOOKUP(DO$15,Data_5!$F$10:$BG$42,$A51+2,FALSE)="NE","NE",IF(HLOOKUP(DO$15,Data_5!$F$10:$BG$42,$A51+2,FALSE)="C","C",IF(HLOOKUP(DO$15,Data_5!$F$10:$BG$42,$A51+2,FALSE)="NO","NO",HLOOKUP(DO$15,Data_5!$F$10:$BG$42,$A51+2,FALSE)/Data_5!$BK46))))),"")</f>
        <v/>
      </c>
    </row>
    <row r="52" spans="1:119" ht="15" customHeight="1">
      <c r="A52" s="1789">
        <v>36</v>
      </c>
      <c r="B52" s="2628" t="str">
        <f ca="1">IF(Data_5!B47&lt;&gt;"",Data_5!B47,"")</f>
        <v/>
      </c>
      <c r="C52" s="2629"/>
      <c r="D52" s="1462">
        <f ca="1">IFERROR(VLOOKUP($B52,Data_5!$B$12:$C$42,2,FALSE),"")</f>
        <v>0</v>
      </c>
      <c r="E52" s="1122" t="str">
        <f>IFERROR(IF(HLOOKUP(E$15,Data_5!$F$10:$BG$42,$A52+2,FALSE)="NO","NO",IF(HLOOKUP(E$15,Data_5!$F$10:$BG$42,$A52+2,FALSE)="IE","IE",IF(HLOOKUP(E$15,Data_5!$F$10:$BG$42,$A52+2,FALSE)="NE","NE",IF(HLOOKUP(E$15,Data_5!$F$10:$BG$42,$A52+2,FALSE)="C","C",IF(HLOOKUP(E$15,Data_5!$F$10:$BG$42,$A52+2,FALSE)="NO","NO",HLOOKUP(E$15,Data_5!$F$10:$BG$42,$A52+2,FALSE)/Data_5!$BH47))))),"")</f>
        <v/>
      </c>
      <c r="F52" s="1122" t="str">
        <f>IFERROR(IF(HLOOKUP(F$15,Data_5!$F$10:$BG$42,$A52+2,FALSE)="NO","NO",IF(HLOOKUP(F$15,Data_5!$F$10:$BG$42,$A52+2,FALSE)="IE","IE",IF(HLOOKUP(F$15,Data_5!$F$10:$BG$42,$A52+2,FALSE)="NE","NE",IF(HLOOKUP(F$15,Data_5!$F$10:$BG$42,$A52+2,FALSE)="C","C",IF(HLOOKUP(F$15,Data_5!$F$10:$BG$42,$A52+2,FALSE)="NO","NO",HLOOKUP(F$15,Data_5!$F$10:$BG$42,$A52+2,FALSE)/Data_5!$BH47))))),"")</f>
        <v/>
      </c>
      <c r="G52" s="1122" t="str">
        <f>IFERROR(IF(HLOOKUP(G$15,Data_5!$F$10:$BG$42,$A52+2,FALSE)="NO","NO",IF(HLOOKUP(G$15,Data_5!$F$10:$BG$42,$A52+2,FALSE)="IE","IE",IF(HLOOKUP(G$15,Data_5!$F$10:$BG$42,$A52+2,FALSE)="NE","NE",IF(HLOOKUP(G$15,Data_5!$F$10:$BG$42,$A52+2,FALSE)="C","C",IF(HLOOKUP(G$15,Data_5!$F$10:$BG$42,$A52+2,FALSE)="NO","NO",HLOOKUP(G$15,Data_5!$F$10:$BG$42,$A52+2,FALSE)/Data_5!$BH47))))),"")</f>
        <v/>
      </c>
      <c r="H52" s="1122" t="str">
        <f>IFERROR(IF(HLOOKUP(H$15,Data_5!$F$10:$BG$42,$A52+2,FALSE)="NO","NO",IF(HLOOKUP(H$15,Data_5!$F$10:$BG$42,$A52+2,FALSE)="IE","IE",IF(HLOOKUP(H$15,Data_5!$F$10:$BG$42,$A52+2,FALSE)="NE","NE",IF(HLOOKUP(H$15,Data_5!$F$10:$BG$42,$A52+2,FALSE)="C","C",IF(HLOOKUP(H$15,Data_5!$F$10:$BG$42,$A52+2,FALSE)="NO","NO",HLOOKUP(H$15,Data_5!$F$10:$BG$42,$A52+2,FALSE)/Data_5!$BH47))))),"")</f>
        <v/>
      </c>
      <c r="I52" s="1122" t="str">
        <f>IFERROR(IF(HLOOKUP(I$15,Data_5!$F$10:$BG$42,$A52+2,FALSE)="NO","NO",IF(HLOOKUP(I$15,Data_5!$F$10:$BG$42,$A52+2,FALSE)="IE","IE",IF(HLOOKUP(I$15,Data_5!$F$10:$BG$42,$A52+2,FALSE)="NE","NE",IF(HLOOKUP(I$15,Data_5!$F$10:$BG$42,$A52+2,FALSE)="C","C",IF(HLOOKUP(I$15,Data_5!$F$10:$BG$42,$A52+2,FALSE)="NO","NO",HLOOKUP(I$15,Data_5!$F$10:$BG$42,$A52+2,FALSE)/Data_5!$BH47))))),"")</f>
        <v/>
      </c>
      <c r="J52" s="1122" t="str">
        <f>IFERROR(IF(HLOOKUP(J$15,Data_5!$F$10:$BG$42,$A52+2,FALSE)="NO","NO",IF(HLOOKUP(J$15,Data_5!$F$10:$BG$42,$A52+2,FALSE)="IE","IE",IF(HLOOKUP(J$15,Data_5!$F$10:$BG$42,$A52+2,FALSE)="NE","NE",IF(HLOOKUP(J$15,Data_5!$F$10:$BG$42,$A52+2,FALSE)="C","C",IF(HLOOKUP(J$15,Data_5!$F$10:$BG$42,$A52+2,FALSE)="NO","NO",HLOOKUP(J$15,Data_5!$F$10:$BG$42,$A52+2,FALSE)/Data_5!$BH47))))),"")</f>
        <v/>
      </c>
      <c r="K52" s="1122" t="str">
        <f>IFERROR(IF(HLOOKUP(K$15,Data_5!$F$10:$BG$42,$A52+2,FALSE)="NO","NO",IF(HLOOKUP(K$15,Data_5!$F$10:$BG$42,$A52+2,FALSE)="IE","IE",IF(HLOOKUP(K$15,Data_5!$F$10:$BG$42,$A52+2,FALSE)="NE","NE",IF(HLOOKUP(K$15,Data_5!$F$10:$BG$42,$A52+2,FALSE)="C","C",IF(HLOOKUP(K$15,Data_5!$F$10:$BG$42,$A52+2,FALSE)="NO","NO",HLOOKUP(K$15,Data_5!$F$10:$BG$42,$A52+2,FALSE)/Data_5!$BH47))))),"")</f>
        <v/>
      </c>
      <c r="L52" s="1122" t="str">
        <f>IFERROR(IF(HLOOKUP(L$15,Data_5!$F$10:$BG$42,$A52+2,FALSE)="NO","NO",IF(HLOOKUP(L$15,Data_5!$F$10:$BG$42,$A52+2,FALSE)="IE","IE",IF(HLOOKUP(L$15,Data_5!$F$10:$BG$42,$A52+2,FALSE)="NE","NE",IF(HLOOKUP(L$15,Data_5!$F$10:$BG$42,$A52+2,FALSE)="C","C",IF(HLOOKUP(L$15,Data_5!$F$10:$BG$42,$A52+2,FALSE)="NO","NO",HLOOKUP(L$15,Data_5!$F$10:$BG$42,$A52+2,FALSE)/Data_5!$BH47))))),"")</f>
        <v/>
      </c>
      <c r="M52" s="1122" t="str">
        <f>IFERROR(IF(HLOOKUP(M$15,Data_5!$F$10:$BG$42,$A52+2,FALSE)="NO","NO",IF(HLOOKUP(M$15,Data_5!$F$10:$BG$42,$A52+2,FALSE)="IE","IE",IF(HLOOKUP(M$15,Data_5!$F$10:$BG$42,$A52+2,FALSE)="NE","NE",IF(HLOOKUP(M$15,Data_5!$F$10:$BG$42,$A52+2,FALSE)="C","C",IF(HLOOKUP(M$15,Data_5!$F$10:$BG$42,$A52+2,FALSE)="NO","NO",HLOOKUP(M$15,Data_5!$F$10:$BG$42,$A52+2,FALSE)/Data_5!$BH47))))),"")</f>
        <v/>
      </c>
      <c r="N52" s="1122" t="str">
        <f>IFERROR(IF(HLOOKUP(N$15,Data_5!$F$10:$BG$42,$A52+2,FALSE)="NO","NO",IF(HLOOKUP(N$15,Data_5!$F$10:$BG$42,$A52+2,FALSE)="IE","IE",IF(HLOOKUP(N$15,Data_5!$F$10:$BG$42,$A52+2,FALSE)="NE","NE",IF(HLOOKUP(N$15,Data_5!$F$10:$BG$42,$A52+2,FALSE)="C","C",IF(HLOOKUP(N$15,Data_5!$F$10:$BG$42,$A52+2,FALSE)="NO","NO",HLOOKUP(N$15,Data_5!$F$10:$BG$42,$A52+2,FALSE)/Data_5!$BH47))))),"")</f>
        <v/>
      </c>
      <c r="O52" s="1122" t="str">
        <f>IFERROR(IF(HLOOKUP(O$15,Data_5!$F$10:$BG$42,$A52+2,FALSE)="NO","NO",IF(HLOOKUP(O$15,Data_5!$F$10:$BG$42,$A52+2,FALSE)="IE","IE",IF(HLOOKUP(O$15,Data_5!$F$10:$BG$42,$A52+2,FALSE)="NE","NE",IF(HLOOKUP(O$15,Data_5!$F$10:$BG$42,$A52+2,FALSE)="C","C",IF(HLOOKUP(O$15,Data_5!$F$10:$BG$42,$A52+2,FALSE)="NO","NO",HLOOKUP(O$15,Data_5!$F$10:$BG$42,$A52+2,FALSE)/Data_5!$BH47))))),"")</f>
        <v/>
      </c>
      <c r="P52" s="1122" t="str">
        <f>IFERROR(IF(HLOOKUP(P$15,Data_5!$F$10:$BG$42,$A52+2,FALSE)="NO","NO",IF(HLOOKUP(P$15,Data_5!$F$10:$BG$42,$A52+2,FALSE)="IE","IE",IF(HLOOKUP(P$15,Data_5!$F$10:$BG$42,$A52+2,FALSE)="NE","NE",IF(HLOOKUP(P$15,Data_5!$F$10:$BG$42,$A52+2,FALSE)="C","C",IF(HLOOKUP(P$15,Data_5!$F$10:$BG$42,$A52+2,FALSE)="NO","NO",HLOOKUP(P$15,Data_5!$F$10:$BG$42,$A52+2,FALSE)/Data_5!$BH47))))),"")</f>
        <v/>
      </c>
      <c r="Q52" s="1122" t="str">
        <f>IFERROR(IF(HLOOKUP(Q$15,Data_5!$F$10:$BG$42,$A52+2,FALSE)="NO","NO",IF(HLOOKUP(Q$15,Data_5!$F$10:$BG$42,$A52+2,FALSE)="IE","IE",IF(HLOOKUP(Q$15,Data_5!$F$10:$BG$42,$A52+2,FALSE)="NE","NE",IF(HLOOKUP(Q$15,Data_5!$F$10:$BG$42,$A52+2,FALSE)="C","C",IF(HLOOKUP(Q$15,Data_5!$F$10:$BG$42,$A52+2,FALSE)="NO","NO",HLOOKUP(Q$15,Data_5!$F$10:$BG$42,$A52+2,FALSE)/Data_5!$BH47))))),"")</f>
        <v/>
      </c>
      <c r="R52" s="1122" t="str">
        <f>IFERROR(IF(HLOOKUP(R$15,Data_5!$F$10:$BG$42,$A52+2,FALSE)="NO","NO",IF(HLOOKUP(R$15,Data_5!$F$10:$BG$42,$A52+2,FALSE)="IE","IE",IF(HLOOKUP(R$15,Data_5!$F$10:$BG$42,$A52+2,FALSE)="NE","NE",IF(HLOOKUP(R$15,Data_5!$F$10:$BG$42,$A52+2,FALSE)="C","C",IF(HLOOKUP(R$15,Data_5!$F$10:$BG$42,$A52+2,FALSE)="NO","NO",HLOOKUP(R$15,Data_5!$F$10:$BG$42,$A52+2,FALSE)/Data_5!$BH47))))),"")</f>
        <v/>
      </c>
      <c r="S52" s="1122" t="str">
        <f>IFERROR(IF(HLOOKUP(S$15,Data_5!$F$10:$BG$42,$A52+2,FALSE)="NO","NO",IF(HLOOKUP(S$15,Data_5!$F$10:$BG$42,$A52+2,FALSE)="IE","IE",IF(HLOOKUP(S$15,Data_5!$F$10:$BG$42,$A52+2,FALSE)="NE","NE",IF(HLOOKUP(S$15,Data_5!$F$10:$BG$42,$A52+2,FALSE)="C","C",IF(HLOOKUP(S$15,Data_5!$F$10:$BG$42,$A52+2,FALSE)="NO","NO",HLOOKUP(S$15,Data_5!$F$10:$BG$42,$A52+2,FALSE)/Data_5!$BH47))))),"")</f>
        <v/>
      </c>
      <c r="T52" s="1122" t="str">
        <f>IFERROR(IF(HLOOKUP(T$15,Data_5!$F$10:$BG$42,$A52+2,FALSE)="NO","NO",IF(HLOOKUP(T$15,Data_5!$F$10:$BG$42,$A52+2,FALSE)="IE","IE",IF(HLOOKUP(T$15,Data_5!$F$10:$BG$42,$A52+2,FALSE)="NE","NE",IF(HLOOKUP(T$15,Data_5!$F$10:$BG$42,$A52+2,FALSE)="C","C",IF(HLOOKUP(T$15,Data_5!$F$10:$BG$42,$A52+2,FALSE)="NO","NO",HLOOKUP(T$15,Data_5!$F$10:$BG$42,$A52+2,FALSE)/Data_5!$BH47))))),"")</f>
        <v/>
      </c>
      <c r="U52" s="1122" t="str">
        <f>IFERROR(IF(HLOOKUP(U$15,Data_5!$F$10:$BG$42,$A52+2,FALSE)="NO","NO",IF(HLOOKUP(U$15,Data_5!$F$10:$BG$42,$A52+2,FALSE)="IE","IE",IF(HLOOKUP(U$15,Data_5!$F$10:$BG$42,$A52+2,FALSE)="NE","NE",IF(HLOOKUP(U$15,Data_5!$F$10:$BG$42,$A52+2,FALSE)="C","C",IF(HLOOKUP(U$15,Data_5!$F$10:$BG$42,$A52+2,FALSE)="NO","NO",HLOOKUP(U$15,Data_5!$F$10:$BG$42,$A52+2,FALSE)/Data_5!$BH47))))),"")</f>
        <v/>
      </c>
      <c r="V52" s="1122" t="str">
        <f>IFERROR(IF(HLOOKUP(V$15,Data_5!$F$10:$BG$42,$A52+2,FALSE)="NO","NO",IF(HLOOKUP(V$15,Data_5!$F$10:$BG$42,$A52+2,FALSE)="IE","IE",IF(HLOOKUP(V$15,Data_5!$F$10:$BG$42,$A52+2,FALSE)="NE","NE",IF(HLOOKUP(V$15,Data_5!$F$10:$BG$42,$A52+2,FALSE)="C","C",IF(HLOOKUP(V$15,Data_5!$F$10:$BG$42,$A52+2,FALSE)="NO","NO",HLOOKUP(V$15,Data_5!$F$10:$BG$42,$A52+2,FALSE)/Data_5!$BH47))))),"")</f>
        <v/>
      </c>
      <c r="W52" s="1122" t="str">
        <f>IFERROR(IF(HLOOKUP(W$15,Data_5!$F$10:$BG$42,$A52+2,FALSE)="NO","NO",IF(HLOOKUP(W$15,Data_5!$F$10:$BG$42,$A52+2,FALSE)="IE","IE",IF(HLOOKUP(W$15,Data_5!$F$10:$BG$42,$A52+2,FALSE)="NE","NE",IF(HLOOKUP(W$15,Data_5!$F$10:$BG$42,$A52+2,FALSE)="C","C",IF(HLOOKUP(W$15,Data_5!$F$10:$BG$42,$A52+2,FALSE)="NO","NO",HLOOKUP(W$15,Data_5!$F$10:$BG$42,$A52+2,FALSE)/Data_5!$BH47))))),"")</f>
        <v/>
      </c>
      <c r="X52" s="1122" t="str">
        <f>IFERROR(IF(HLOOKUP(X$15,Data_5!$F$10:$BG$42,$A52+2,FALSE)="NO","NO",IF(HLOOKUP(X$15,Data_5!$F$10:$BG$42,$A52+2,FALSE)="IE","IE",IF(HLOOKUP(X$15,Data_5!$F$10:$BG$42,$A52+2,FALSE)="NE","NE",IF(HLOOKUP(X$15,Data_5!$F$10:$BG$42,$A52+2,FALSE)="C","C",IF(HLOOKUP(X$15,Data_5!$F$10:$BG$42,$A52+2,FALSE)="NO","NO",HLOOKUP(X$15,Data_5!$F$10:$BG$42,$A52+2,FALSE)/Data_5!$BH47))))),"")</f>
        <v/>
      </c>
      <c r="Y52" s="1122" t="str">
        <f>IFERROR(IF(HLOOKUP(Y$15,Data_5!$F$10:$BG$42,$A52+2,FALSE)="NO","NO",IF(HLOOKUP(Y$15,Data_5!$F$10:$BG$42,$A52+2,FALSE)="IE","IE",IF(HLOOKUP(Y$15,Data_5!$F$10:$BG$42,$A52+2,FALSE)="NE","NE",IF(HLOOKUP(Y$15,Data_5!$F$10:$BG$42,$A52+2,FALSE)="C","C",IF(HLOOKUP(Y$15,Data_5!$F$10:$BG$42,$A52+2,FALSE)="NO","NO",HLOOKUP(Y$15,Data_5!$F$10:$BG$42,$A52+2,FALSE)/Data_5!$BH47))))),"")</f>
        <v/>
      </c>
      <c r="Z52" s="1122" t="str">
        <f>IFERROR(IF(HLOOKUP(Z$15,Data_5!$F$10:$BG$42,$A52+2,FALSE)="NO","NO",IF(HLOOKUP(Z$15,Data_5!$F$10:$BG$42,$A52+2,FALSE)="IE","IE",IF(HLOOKUP(Z$15,Data_5!$F$10:$BG$42,$A52+2,FALSE)="NE","NE",IF(HLOOKUP(Z$15,Data_5!$F$10:$BG$42,$A52+2,FALSE)="C","C",IF(HLOOKUP(Z$15,Data_5!$F$10:$BG$42,$A52+2,FALSE)="NO","NO",HLOOKUP(Z$15,Data_5!$F$10:$BG$42,$A52+2,FALSE)/Data_5!$BH47))))),"")</f>
        <v/>
      </c>
      <c r="AA52" s="1122" t="str">
        <f>IFERROR(IF(HLOOKUP(AA$15,Data_5!$F$10:$BG$42,$A52+2,FALSE)="NO","NO",IF(HLOOKUP(AA$15,Data_5!$F$10:$BG$42,$A52+2,FALSE)="IE","IE",IF(HLOOKUP(AA$15,Data_5!$F$10:$BG$42,$A52+2,FALSE)="NE","NE",IF(HLOOKUP(AA$15,Data_5!$F$10:$BG$42,$A52+2,FALSE)="C","C",IF(HLOOKUP(AA$15,Data_5!$F$10:$BG$42,$A52+2,FALSE)="NO","NO",HLOOKUP(AA$15,Data_5!$F$10:$BG$42,$A52+2,FALSE)/Data_5!$BH47))))),"")</f>
        <v/>
      </c>
      <c r="AB52" s="1122" t="str">
        <f>IFERROR(IF(HLOOKUP(AB$15,Data_5!$F$10:$BG$42,$A52+2,FALSE)="NO","NO",IF(HLOOKUP(AB$15,Data_5!$F$10:$BG$42,$A52+2,FALSE)="IE","IE",IF(HLOOKUP(AB$15,Data_5!$F$10:$BG$42,$A52+2,FALSE)="NE","NE",IF(HLOOKUP(AB$15,Data_5!$F$10:$BG$42,$A52+2,FALSE)="C","C",IF(HLOOKUP(AB$15,Data_5!$F$10:$BG$42,$A52+2,FALSE)="NO","NO",HLOOKUP(AB$15,Data_5!$F$10:$BG$42,$A52+2,FALSE)/Data_5!$BH47))))),"")</f>
        <v/>
      </c>
      <c r="AC52" s="1122" t="str">
        <f>IFERROR(IF(HLOOKUP(AC$15,Data_5!$F$10:$BG$42,$A52+2,FALSE)="NO","NO",IF(HLOOKUP(AC$15,Data_5!$F$10:$BG$42,$A52+2,FALSE)="IE","IE",IF(HLOOKUP(AC$15,Data_5!$F$10:$BG$42,$A52+2,FALSE)="NE","NE",IF(HLOOKUP(AC$15,Data_5!$F$10:$BG$42,$A52+2,FALSE)="C","C",IF(HLOOKUP(AC$15,Data_5!$F$10:$BG$42,$A52+2,FALSE)="NO","NO",HLOOKUP(AC$15,Data_5!$F$10:$BG$42,$A52+2,FALSE)/Data_5!$BH47))))),"")</f>
        <v/>
      </c>
      <c r="AD52" s="1122" t="str">
        <f>IFERROR(IF(HLOOKUP(AD$15,Data_5!$F$10:$BG$42,$A52+2,FALSE)="NO","NO",IF(HLOOKUP(AD$15,Data_5!$F$10:$BG$42,$A52+2,FALSE)="IE","IE",IF(HLOOKUP(AD$15,Data_5!$F$10:$BG$42,$A52+2,FALSE)="NE","NE",IF(HLOOKUP(AD$15,Data_5!$F$10:$BG$42,$A52+2,FALSE)="C","C",IF(HLOOKUP(AD$15,Data_5!$F$10:$BG$42,$A52+2,FALSE)="NO","NO",HLOOKUP(AD$15,Data_5!$F$10:$BG$42,$A52+2,FALSE)/Data_5!$BH47))))),"")</f>
        <v/>
      </c>
      <c r="AE52" s="1122" t="str">
        <f>IFERROR(IF(HLOOKUP(AE$15,Data_5!$F$10:$BG$42,$A52+2,FALSE)="NO","NO",IF(HLOOKUP(AE$15,Data_5!$F$10:$BG$42,$A52+2,FALSE)="IE","IE",IF(HLOOKUP(AE$15,Data_5!$F$10:$BG$42,$A52+2,FALSE)="NE","NE",IF(HLOOKUP(AE$15,Data_5!$F$10:$BG$42,$A52+2,FALSE)="C","C",IF(HLOOKUP(AE$15,Data_5!$F$10:$BG$42,$A52+2,FALSE)="NO","NO",HLOOKUP(AE$15,Data_5!$F$10:$BG$42,$A52+2,FALSE)/Data_5!$BH47))))),"")</f>
        <v/>
      </c>
      <c r="AF52" s="1122" t="str">
        <f>IFERROR(IF(HLOOKUP(AF$15,Data_5!$F$10:$BG$42,$A52+2,FALSE)="NO","NO",IF(HLOOKUP(AF$15,Data_5!$F$10:$BG$42,$A52+2,FALSE)="IE","IE",IF(HLOOKUP(AF$15,Data_5!$F$10:$BG$42,$A52+2,FALSE)="NE","NE",IF(HLOOKUP(AF$15,Data_5!$F$10:$BG$42,$A52+2,FALSE)="C","C",IF(HLOOKUP(AF$15,Data_5!$F$10:$BG$42,$A52+2,FALSE)="NO","NO",HLOOKUP(AF$15,Data_5!$F$10:$BG$42,$A52+2,FALSE)/Data_5!$BH47))))),"")</f>
        <v/>
      </c>
      <c r="AG52" s="1122" t="str">
        <f>IFERROR(IF(HLOOKUP(AG$15,Data_5!$F$10:$BG$42,$A52+2,FALSE)="NO","NO",IF(HLOOKUP(AG$15,Data_5!$F$10:$BG$42,$A52+2,FALSE)="IE","IE",IF(HLOOKUP(AG$15,Data_5!$F$10:$BG$42,$A52+2,FALSE)="NE","NE",IF(HLOOKUP(AG$15,Data_5!$F$10:$BG$42,$A52+2,FALSE)="C","C",IF(HLOOKUP(AG$15,Data_5!$F$10:$BG$42,$A52+2,FALSE)="NO","NO",HLOOKUP(AG$15,Data_5!$F$10:$BG$42,$A52+2,FALSE)/Data_5!$BH47))))),"")</f>
        <v/>
      </c>
      <c r="AH52" s="1122" t="str">
        <f>IFERROR(IF(HLOOKUP(AH$15,Data_5!$F$10:$BG$42,$A52+2,FALSE)="NO","NO",IF(HLOOKUP(AH$15,Data_5!$F$10:$BG$42,$A52+2,FALSE)="IE","IE",IF(HLOOKUP(AH$15,Data_5!$F$10:$BG$42,$A52+2,FALSE)="NE","NE",IF(HLOOKUP(AH$15,Data_5!$F$10:$BG$42,$A52+2,FALSE)="C","C",IF(HLOOKUP(AH$15,Data_5!$F$10:$BG$42,$A52+2,FALSE)="NO","NO",HLOOKUP(AH$15,Data_5!$F$10:$BG$42,$A52+2,FALSE)/Data_5!$BH47))))),"")</f>
        <v/>
      </c>
      <c r="AI52" s="1122" t="str">
        <f>IFERROR(IF(HLOOKUP(AI$15,Data_5!$F$10:$BG$42,$A52+2,FALSE)="NO","NO",IF(HLOOKUP(AI$15,Data_5!$F$10:$BG$42,$A52+2,FALSE)="IE","IE",IF(HLOOKUP(AI$15,Data_5!$F$10:$BG$42,$A52+2,FALSE)="NE","NE",IF(HLOOKUP(AI$15,Data_5!$F$10:$BG$42,$A52+2,FALSE)="C","C",IF(HLOOKUP(AI$15,Data_5!$F$10:$BG$42,$A52+2,FALSE)="NO","NO",HLOOKUP(AI$15,Data_5!$F$10:$BG$42,$A52+2,FALSE)/Data_5!$BH47))))),"")</f>
        <v/>
      </c>
      <c r="AJ52" s="1122" t="str">
        <f>IFERROR(IF(HLOOKUP(AJ$15,Data_5!$F$10:$BG$42,$A52+2,FALSE)="NO","NO",IF(HLOOKUP(AJ$15,Data_5!$F$10:$BG$42,$A52+2,FALSE)="IE","IE",IF(HLOOKUP(AJ$15,Data_5!$F$10:$BG$42,$A52+2,FALSE)="NE","NE",IF(HLOOKUP(AJ$15,Data_5!$F$10:$BG$42,$A52+2,FALSE)="C","C",IF(HLOOKUP(AJ$15,Data_5!$F$10:$BG$42,$A52+2,FALSE)="NO","NO",HLOOKUP(AJ$15,Data_5!$F$10:$BG$42,$A52+2,FALSE)/Data_5!$BH47))))),"")</f>
        <v/>
      </c>
      <c r="AL52" s="2628" t="str">
        <f t="shared" ca="1" si="0"/>
        <v/>
      </c>
      <c r="AM52" s="2629"/>
      <c r="AN52" s="1100" t="str">
        <f t="shared" ca="1" si="1"/>
        <v/>
      </c>
      <c r="AO52" s="1122" t="str">
        <f>IFERROR(IF(HLOOKUP(AO$15,Data_5!$F$10:$BG$42,$A52+2,FALSE)="NO","NO",IF(HLOOKUP(AO$15,Data_5!$F$10:$BG$42,$A52+2,FALSE)="IE","IE",IF(HLOOKUP(AO$15,Data_5!$F$10:$BG$42,$A52+2,FALSE)="NE","NE",IF(HLOOKUP(AO$15,Data_5!$F$10:$BG$42,$A52+2,FALSE)="C","C",IF(HLOOKUP(AO$15,Data_5!$F$10:$BG$42,$A52+2,FALSE)="NO","NO",HLOOKUP(AO$15,Data_5!$F$10:$BG$42,$A52+2,FALSE)/Data_5!$BI47))))),"")</f>
        <v/>
      </c>
      <c r="AP52" s="1122" t="str">
        <f>IFERROR(IF(HLOOKUP(AP$15,Data_5!$F$10:$BG$42,$A52+2,FALSE)="NO","NO",IF(HLOOKUP(AP$15,Data_5!$F$10:$BG$42,$A52+2,FALSE)="IE","IE",IF(HLOOKUP(AP$15,Data_5!$F$10:$BG$42,$A52+2,FALSE)="NE","NE",IF(HLOOKUP(AP$15,Data_5!$F$10:$BG$42,$A52+2,FALSE)="C","C",IF(HLOOKUP(AP$15,Data_5!$F$10:$BG$42,$A52+2,FALSE)="NO","NO",HLOOKUP(AP$15,Data_5!$F$10:$BG$42,$A52+2,FALSE)/Data_5!$BI47))))),"")</f>
        <v/>
      </c>
      <c r="AQ52" s="1122" t="str">
        <f>IFERROR(IF(HLOOKUP(AQ$15,Data_5!$F$10:$BG$42,$A52+2,FALSE)="NO","NO",IF(HLOOKUP(AQ$15,Data_5!$F$10:$BG$42,$A52+2,FALSE)="IE","IE",IF(HLOOKUP(AQ$15,Data_5!$F$10:$BG$42,$A52+2,FALSE)="NE","NE",IF(HLOOKUP(AQ$15,Data_5!$F$10:$BG$42,$A52+2,FALSE)="C","C",IF(HLOOKUP(AQ$15,Data_5!$F$10:$BG$42,$A52+2,FALSE)="NO","NO",HLOOKUP(AQ$15,Data_5!$F$10:$BG$42,$A52+2,FALSE)/Data_5!$BI47))))),"")</f>
        <v/>
      </c>
      <c r="AR52" s="1122" t="str">
        <f>IFERROR(IF(HLOOKUP(AR$15,Data_5!$F$10:$BG$42,$A52+2,FALSE)="NO","NO",IF(HLOOKUP(AR$15,Data_5!$F$10:$BG$42,$A52+2,FALSE)="IE","IE",IF(HLOOKUP(AR$15,Data_5!$F$10:$BG$42,$A52+2,FALSE)="NE","NE",IF(HLOOKUP(AR$15,Data_5!$F$10:$BG$42,$A52+2,FALSE)="C","C",IF(HLOOKUP(AR$15,Data_5!$F$10:$BG$42,$A52+2,FALSE)="NO","NO",HLOOKUP(AR$15,Data_5!$F$10:$BG$42,$A52+2,FALSE)/Data_5!$BI47))))),"")</f>
        <v/>
      </c>
      <c r="AS52" s="1122" t="str">
        <f>IFERROR(IF(HLOOKUP(AS$15,Data_5!$F$10:$BG$42,$A52+2,FALSE)="NO","NO",IF(HLOOKUP(AS$15,Data_5!$F$10:$BG$42,$A52+2,FALSE)="IE","IE",IF(HLOOKUP(AS$15,Data_5!$F$10:$BG$42,$A52+2,FALSE)="NE","NE",IF(HLOOKUP(AS$15,Data_5!$F$10:$BG$42,$A52+2,FALSE)="C","C",IF(HLOOKUP(AS$15,Data_5!$F$10:$BG$42,$A52+2,FALSE)="NO","NO",HLOOKUP(AS$15,Data_5!$F$10:$BG$42,$A52+2,FALSE)/Data_5!$BI47))))),"")</f>
        <v/>
      </c>
      <c r="AT52" s="1122" t="str">
        <f>IFERROR(IF(HLOOKUP(AT$15,Data_5!$F$10:$BG$42,$A52+2,FALSE)="NO","NO",IF(HLOOKUP(AT$15,Data_5!$F$10:$BG$42,$A52+2,FALSE)="IE","IE",IF(HLOOKUP(AT$15,Data_5!$F$10:$BG$42,$A52+2,FALSE)="NE","NE",IF(HLOOKUP(AT$15,Data_5!$F$10:$BG$42,$A52+2,FALSE)="C","C",IF(HLOOKUP(AT$15,Data_5!$F$10:$BG$42,$A52+2,FALSE)="NO","NO",HLOOKUP(AT$15,Data_5!$F$10:$BG$42,$A52+2,FALSE)/Data_5!$BI47))))),"")</f>
        <v/>
      </c>
      <c r="AU52" s="1122" t="str">
        <f>IFERROR(IF(HLOOKUP(AU$15,Data_5!$F$10:$BG$42,$A52+2,FALSE)="NO","NO",IF(HLOOKUP(AU$15,Data_5!$F$10:$BG$42,$A52+2,FALSE)="IE","IE",IF(HLOOKUP(AU$15,Data_5!$F$10:$BG$42,$A52+2,FALSE)="NE","NE",IF(HLOOKUP(AU$15,Data_5!$F$10:$BG$42,$A52+2,FALSE)="C","C",IF(HLOOKUP(AU$15,Data_5!$F$10:$BG$42,$A52+2,FALSE)="NO","NO",HLOOKUP(AU$15,Data_5!$F$10:$BG$42,$A52+2,FALSE)/Data_5!$BI47))))),"")</f>
        <v/>
      </c>
      <c r="AV52" s="1122" t="str">
        <f>IFERROR(IF(HLOOKUP(AV$15,Data_5!$F$10:$BG$42,$A52+2,FALSE)="NO","NO",IF(HLOOKUP(AV$15,Data_5!$F$10:$BG$42,$A52+2,FALSE)="IE","IE",IF(HLOOKUP(AV$15,Data_5!$F$10:$BG$42,$A52+2,FALSE)="NE","NE",IF(HLOOKUP(AV$15,Data_5!$F$10:$BG$42,$A52+2,FALSE)="C","C",IF(HLOOKUP(AV$15,Data_5!$F$10:$BG$42,$A52+2,FALSE)="NO","NO",HLOOKUP(AV$15,Data_5!$F$10:$BG$42,$A52+2,FALSE)/Data_5!$BI47))))),"")</f>
        <v/>
      </c>
      <c r="AW52" s="1122" t="str">
        <f>IFERROR(IF(HLOOKUP(AW$15,Data_5!$F$10:$BG$42,$A52+2,FALSE)="NO","NO",IF(HLOOKUP(AW$15,Data_5!$F$10:$BG$42,$A52+2,FALSE)="IE","IE",IF(HLOOKUP(AW$15,Data_5!$F$10:$BG$42,$A52+2,FALSE)="NE","NE",IF(HLOOKUP(AW$15,Data_5!$F$10:$BG$42,$A52+2,FALSE)="C","C",IF(HLOOKUP(AW$15,Data_5!$F$10:$BG$42,$A52+2,FALSE)="NO","NO",HLOOKUP(AW$15,Data_5!$F$10:$BG$42,$A52+2,FALSE)/Data_5!$BI47))))),"")</f>
        <v/>
      </c>
      <c r="AX52" s="1122" t="str">
        <f>IFERROR(IF(HLOOKUP(AX$15,Data_5!$F$10:$BG$42,$A52+2,FALSE)="NO","NO",IF(HLOOKUP(AX$15,Data_5!$F$10:$BG$42,$A52+2,FALSE)="IE","IE",IF(HLOOKUP(AX$15,Data_5!$F$10:$BG$42,$A52+2,FALSE)="NE","NE",IF(HLOOKUP(AX$15,Data_5!$F$10:$BG$42,$A52+2,FALSE)="C","C",IF(HLOOKUP(AX$15,Data_5!$F$10:$BG$42,$A52+2,FALSE)="NO","NO",HLOOKUP(AX$15,Data_5!$F$10:$BG$42,$A52+2,FALSE)/Data_5!$BI47))))),"")</f>
        <v/>
      </c>
      <c r="AY52" s="1122" t="str">
        <f>IFERROR(IF(HLOOKUP(AY$15,Data_5!$F$10:$BG$42,$A52+2,FALSE)="NO","NO",IF(HLOOKUP(AY$15,Data_5!$F$10:$BG$42,$A52+2,FALSE)="IE","IE",IF(HLOOKUP(AY$15,Data_5!$F$10:$BG$42,$A52+2,FALSE)="NE","NE",IF(HLOOKUP(AY$15,Data_5!$F$10:$BG$42,$A52+2,FALSE)="C","C",IF(HLOOKUP(AY$15,Data_5!$F$10:$BG$42,$A52+2,FALSE)="NO","NO",HLOOKUP(AY$15,Data_5!$F$10:$BG$42,$A52+2,FALSE)/Data_5!$BI47))))),"")</f>
        <v/>
      </c>
      <c r="AZ52" s="1122" t="str">
        <f>IFERROR(IF(HLOOKUP(AZ$15,Data_5!$F$10:$BG$42,$A52+2,FALSE)="NO","NO",IF(HLOOKUP(AZ$15,Data_5!$F$10:$BG$42,$A52+2,FALSE)="IE","IE",IF(HLOOKUP(AZ$15,Data_5!$F$10:$BG$42,$A52+2,FALSE)="NE","NE",IF(HLOOKUP(AZ$15,Data_5!$F$10:$BG$42,$A52+2,FALSE)="C","C",IF(HLOOKUP(AZ$15,Data_5!$F$10:$BG$42,$A52+2,FALSE)="NO","NO",HLOOKUP(AZ$15,Data_5!$F$10:$BG$42,$A52+2,FALSE)/Data_5!$BI47))))),"")</f>
        <v/>
      </c>
      <c r="BA52" s="1122" t="str">
        <f>IFERROR(IF(HLOOKUP(BA$15,Data_5!$F$10:$BG$42,$A52+2,FALSE)="NO","NO",IF(HLOOKUP(BA$15,Data_5!$F$10:$BG$42,$A52+2,FALSE)="IE","IE",IF(HLOOKUP(BA$15,Data_5!$F$10:$BG$42,$A52+2,FALSE)="NE","NE",IF(HLOOKUP(BA$15,Data_5!$F$10:$BG$42,$A52+2,FALSE)="C","C",IF(HLOOKUP(BA$15,Data_5!$F$10:$BG$42,$A52+2,FALSE)="NO","NO",HLOOKUP(BA$15,Data_5!$F$10:$BG$42,$A52+2,FALSE)/Data_5!$BI47))))),"")</f>
        <v/>
      </c>
      <c r="BB52" s="1122" t="str">
        <f>IFERROR(IF(HLOOKUP(BB$15,Data_5!$F$10:$BG$42,$A52+2,FALSE)="NO","NO",IF(HLOOKUP(BB$15,Data_5!$F$10:$BG$42,$A52+2,FALSE)="IE","IE",IF(HLOOKUP(BB$15,Data_5!$F$10:$BG$42,$A52+2,FALSE)="NE","NE",IF(HLOOKUP(BB$15,Data_5!$F$10:$BG$42,$A52+2,FALSE)="C","C",IF(HLOOKUP(BB$15,Data_5!$F$10:$BG$42,$A52+2,FALSE)="NO","NO",HLOOKUP(BB$15,Data_5!$F$10:$BG$42,$A52+2,FALSE)/Data_5!$BI47))))),"")</f>
        <v/>
      </c>
      <c r="BC52" s="1122" t="str">
        <f>IFERROR(IF(HLOOKUP(BC$15,Data_5!$F$10:$BG$42,$A52+2,FALSE)="NO","NO",IF(HLOOKUP(BC$15,Data_5!$F$10:$BG$42,$A52+2,FALSE)="IE","IE",IF(HLOOKUP(BC$15,Data_5!$F$10:$BG$42,$A52+2,FALSE)="NE","NE",IF(HLOOKUP(BC$15,Data_5!$F$10:$BG$42,$A52+2,FALSE)="C","C",IF(HLOOKUP(BC$15,Data_5!$F$10:$BG$42,$A52+2,FALSE)="NO","NO",HLOOKUP(BC$15,Data_5!$F$10:$BG$42,$A52+2,FALSE)/Data_5!$BI47))))),"")</f>
        <v/>
      </c>
      <c r="BD52" s="1122" t="str">
        <f>IFERROR(IF(HLOOKUP(BD$15,Data_5!$F$10:$BG$42,$A52+2,FALSE)="NO","NO",IF(HLOOKUP(BD$15,Data_5!$F$10:$BG$42,$A52+2,FALSE)="IE","IE",IF(HLOOKUP(BD$15,Data_5!$F$10:$BG$42,$A52+2,FALSE)="NE","NE",IF(HLOOKUP(BD$15,Data_5!$F$10:$BG$42,$A52+2,FALSE)="C","C",IF(HLOOKUP(BD$15,Data_5!$F$10:$BG$42,$A52+2,FALSE)="NO","NO",HLOOKUP(BD$15,Data_5!$F$10:$BG$42,$A52+2,FALSE)/Data_5!$BI47))))),"")</f>
        <v/>
      </c>
      <c r="BE52" s="1122" t="str">
        <f>IFERROR(IF(HLOOKUP(BE$15,Data_5!$F$10:$BG$42,$A52+2,FALSE)="NO","NO",IF(HLOOKUP(BE$15,Data_5!$F$10:$BG$42,$A52+2,FALSE)="IE","IE",IF(HLOOKUP(BE$15,Data_5!$F$10:$BG$42,$A52+2,FALSE)="NE","NE",IF(HLOOKUP(BE$15,Data_5!$F$10:$BG$42,$A52+2,FALSE)="C","C",IF(HLOOKUP(BE$15,Data_5!$F$10:$BG$42,$A52+2,FALSE)="NO","NO",HLOOKUP(BE$15,Data_5!$F$10:$BG$42,$A52+2,FALSE)/Data_5!$BI47))))),"")</f>
        <v/>
      </c>
      <c r="BF52" s="1122" t="str">
        <f>IFERROR(IF(HLOOKUP(BF$15,Data_5!$F$10:$BG$42,$A52+2,FALSE)="NO","NO",IF(HLOOKUP(BF$15,Data_5!$F$10:$BG$42,$A52+2,FALSE)="IE","IE",IF(HLOOKUP(BF$15,Data_5!$F$10:$BG$42,$A52+2,FALSE)="NE","NE",IF(HLOOKUP(BF$15,Data_5!$F$10:$BG$42,$A52+2,FALSE)="C","C",IF(HLOOKUP(BF$15,Data_5!$F$10:$BG$42,$A52+2,FALSE)="NO","NO",HLOOKUP(BF$15,Data_5!$F$10:$BG$42,$A52+2,FALSE)/Data_5!$BI47))))),"")</f>
        <v/>
      </c>
      <c r="BG52" s="1122" t="str">
        <f>IFERROR(IF(HLOOKUP(BG$15,Data_5!$F$10:$BG$42,$A52+2,FALSE)="NO","NO",IF(HLOOKUP(BG$15,Data_5!$F$10:$BG$42,$A52+2,FALSE)="IE","IE",IF(HLOOKUP(BG$15,Data_5!$F$10:$BG$42,$A52+2,FALSE)="NE","NE",IF(HLOOKUP(BG$15,Data_5!$F$10:$BG$42,$A52+2,FALSE)="C","C",IF(HLOOKUP(BG$15,Data_5!$F$10:$BG$42,$A52+2,FALSE)="NO","NO",HLOOKUP(BG$15,Data_5!$F$10:$BG$42,$A52+2,FALSE)/Data_5!$BI47))))),"")</f>
        <v/>
      </c>
      <c r="BH52" s="1122" t="str">
        <f>IFERROR(IF(HLOOKUP(BH$15,Data_5!$F$10:$BG$42,$A52+2,FALSE)="NO","NO",IF(HLOOKUP(BH$15,Data_5!$F$10:$BG$42,$A52+2,FALSE)="IE","IE",IF(HLOOKUP(BH$15,Data_5!$F$10:$BG$42,$A52+2,FALSE)="NE","NE",IF(HLOOKUP(BH$15,Data_5!$F$10:$BG$42,$A52+2,FALSE)="C","C",IF(HLOOKUP(BH$15,Data_5!$F$10:$BG$42,$A52+2,FALSE)="NO","NO",HLOOKUP(BH$15,Data_5!$F$10:$BG$42,$A52+2,FALSE)/Data_5!$BI47))))),"")</f>
        <v/>
      </c>
      <c r="BI52" s="1122" t="str">
        <f>IFERROR(IF(HLOOKUP(BI$15,Data_5!$F$10:$BG$42,$A52+2,FALSE)="NO","NO",IF(HLOOKUP(BI$15,Data_5!$F$10:$BG$42,$A52+2,FALSE)="IE","IE",IF(HLOOKUP(BI$15,Data_5!$F$10:$BG$42,$A52+2,FALSE)="NE","NE",IF(HLOOKUP(BI$15,Data_5!$F$10:$BG$42,$A52+2,FALSE)="C","C",IF(HLOOKUP(BI$15,Data_5!$F$10:$BG$42,$A52+2,FALSE)="NO","NO",HLOOKUP(BI$15,Data_5!$F$10:$BG$42,$A52+2,FALSE)/Data_5!$BI47))))),"")</f>
        <v/>
      </c>
      <c r="BJ52" s="1122" t="str">
        <f>IFERROR(IF(HLOOKUP(BJ$15,Data_5!$F$10:$BG$42,$A52+2,FALSE)="NO","NO",IF(HLOOKUP(BJ$15,Data_5!$F$10:$BG$42,$A52+2,FALSE)="IE","IE",IF(HLOOKUP(BJ$15,Data_5!$F$10:$BG$42,$A52+2,FALSE)="NE","NE",IF(HLOOKUP(BJ$15,Data_5!$F$10:$BG$42,$A52+2,FALSE)="C","C",IF(HLOOKUP(BJ$15,Data_5!$F$10:$BG$42,$A52+2,FALSE)="NO","NO",HLOOKUP(BJ$15,Data_5!$F$10:$BG$42,$A52+2,FALSE)/Data_5!$BI47))))),"")</f>
        <v/>
      </c>
      <c r="BK52" s="1122" t="str">
        <f>IFERROR(IF(HLOOKUP(BK$15,Data_5!$F$10:$BG$42,$A52+2,FALSE)="NO","NO",IF(HLOOKUP(BK$15,Data_5!$F$10:$BG$42,$A52+2,FALSE)="IE","IE",IF(HLOOKUP(BK$15,Data_5!$F$10:$BG$42,$A52+2,FALSE)="NE","NE",IF(HLOOKUP(BK$15,Data_5!$F$10:$BG$42,$A52+2,FALSE)="C","C",IF(HLOOKUP(BK$15,Data_5!$F$10:$BG$42,$A52+2,FALSE)="NO","NO",HLOOKUP(BK$15,Data_5!$F$10:$BG$42,$A52+2,FALSE)/Data_5!$BI47))))),"")</f>
        <v/>
      </c>
      <c r="BL52" s="1122" t="str">
        <f>IFERROR(IF(HLOOKUP(BL$15,Data_5!$F$10:$BG$42,$A52+2,FALSE)="NO","NO",IF(HLOOKUP(BL$15,Data_5!$F$10:$BG$42,$A52+2,FALSE)="IE","IE",IF(HLOOKUP(BL$15,Data_5!$F$10:$BG$42,$A52+2,FALSE)="NE","NE",IF(HLOOKUP(BL$15,Data_5!$F$10:$BG$42,$A52+2,FALSE)="C","C",IF(HLOOKUP(BL$15,Data_5!$F$10:$BG$42,$A52+2,FALSE)="NO","NO",HLOOKUP(BL$15,Data_5!$F$10:$BG$42,$A52+2,FALSE)/Data_5!$BI47))))),"")</f>
        <v/>
      </c>
      <c r="BM52" s="1122" t="str">
        <f>IFERROR(IF(HLOOKUP(BM$15,Data_5!$F$10:$BG$42,$A52+2,FALSE)="NO","NO",IF(HLOOKUP(BM$15,Data_5!$F$10:$BG$42,$A52+2,FALSE)="IE","IE",IF(HLOOKUP(BM$15,Data_5!$F$10:$BG$42,$A52+2,FALSE)="NE","NE",IF(HLOOKUP(BM$15,Data_5!$F$10:$BG$42,$A52+2,FALSE)="C","C",IF(HLOOKUP(BM$15,Data_5!$F$10:$BG$42,$A52+2,FALSE)="NO","NO",HLOOKUP(BM$15,Data_5!$F$10:$BG$42,$A52+2,FALSE)/Data_5!$BI47))))),"")</f>
        <v/>
      </c>
      <c r="BN52" s="1122" t="str">
        <f>IFERROR(IF(HLOOKUP(BN$15,Data_5!$F$10:$BG$42,$A52+2,FALSE)="NO","NO",IF(HLOOKUP(BN$15,Data_5!$F$10:$BG$42,$A52+2,FALSE)="IE","IE",IF(HLOOKUP(BN$15,Data_5!$F$10:$BG$42,$A52+2,FALSE)="NE","NE",IF(HLOOKUP(BN$15,Data_5!$F$10:$BG$42,$A52+2,FALSE)="C","C",IF(HLOOKUP(BN$15,Data_5!$F$10:$BG$42,$A52+2,FALSE)="NO","NO",HLOOKUP(BN$15,Data_5!$F$10:$BG$42,$A52+2,FALSE)/Data_5!$BI47))))),"")</f>
        <v/>
      </c>
      <c r="BO52" s="1122" t="str">
        <f>IFERROR(IF(HLOOKUP(BO$15,Data_5!$F$10:$BG$42,$A52+2,FALSE)="NO","NO",IF(HLOOKUP(BO$15,Data_5!$F$10:$BG$42,$A52+2,FALSE)="IE","IE",IF(HLOOKUP(BO$15,Data_5!$F$10:$BG$42,$A52+2,FALSE)="NE","NE",IF(HLOOKUP(BO$15,Data_5!$F$10:$BG$42,$A52+2,FALSE)="C","C",IF(HLOOKUP(BO$15,Data_5!$F$10:$BG$42,$A52+2,FALSE)="NO","NO",HLOOKUP(BO$15,Data_5!$F$10:$BG$42,$A52+2,FALSE)/Data_5!$BI47))))),"")</f>
        <v/>
      </c>
      <c r="BP52" s="1122" t="str">
        <f>IFERROR(IF(HLOOKUP(BP$15,Data_5!$F$10:$BG$42,$A52+2,FALSE)="NO","NO",IF(HLOOKUP(BP$15,Data_5!$F$10:$BG$42,$A52+2,FALSE)="IE","IE",IF(HLOOKUP(BP$15,Data_5!$F$10:$BG$42,$A52+2,FALSE)="NE","NE",IF(HLOOKUP(BP$15,Data_5!$F$10:$BG$42,$A52+2,FALSE)="C","C",IF(HLOOKUP(BP$15,Data_5!$F$10:$BG$42,$A52+2,FALSE)="NO","NO",HLOOKUP(BP$15,Data_5!$F$10:$BG$42,$A52+2,FALSE)/Data_5!$BI47))))),"")</f>
        <v/>
      </c>
      <c r="BQ52" s="1122" t="str">
        <f>IFERROR(IF(HLOOKUP(BQ$15,Data_5!$F$10:$BG$42,$A52+2,FALSE)="NO","NO",IF(HLOOKUP(BQ$15,Data_5!$F$10:$BG$42,$A52+2,FALSE)="IE","IE",IF(HLOOKUP(BQ$15,Data_5!$F$10:$BG$42,$A52+2,FALSE)="NE","NE",IF(HLOOKUP(BQ$15,Data_5!$F$10:$BG$42,$A52+2,FALSE)="C","C",IF(HLOOKUP(BQ$15,Data_5!$F$10:$BG$42,$A52+2,FALSE)="NO","NO",HLOOKUP(BQ$15,Data_5!$F$10:$BG$42,$A52+2,FALSE)/Data_5!$BI47))))),"")</f>
        <v/>
      </c>
      <c r="BR52" s="1122" t="str">
        <f>IFERROR(IF(HLOOKUP(BR$15,Data_5!$F$10:$BG$42,$A52+2,FALSE)="NO","NO",IF(HLOOKUP(BR$15,Data_5!$F$10:$BG$42,$A52+2,FALSE)="IE","IE",IF(HLOOKUP(BR$15,Data_5!$F$10:$BG$42,$A52+2,FALSE)="NE","NE",IF(HLOOKUP(BR$15,Data_5!$F$10:$BG$42,$A52+2,FALSE)="C","C",IF(HLOOKUP(BR$15,Data_5!$F$10:$BG$42,$A52+2,FALSE)="NO","NO",HLOOKUP(BR$15,Data_5!$F$10:$BG$42,$A52+2,FALSE)/Data_5!$BI47))))),"")</f>
        <v/>
      </c>
      <c r="BS52" s="1122" t="str">
        <f>IFERROR(IF(HLOOKUP(BS$15,Data_5!$F$10:$BG$42,$A52+2,FALSE)="NO","NO",IF(HLOOKUP(BS$15,Data_5!$F$10:$BG$42,$A52+2,FALSE)="IE","IE",IF(HLOOKUP(BS$15,Data_5!$F$10:$BG$42,$A52+2,FALSE)="NE","NE",IF(HLOOKUP(BS$15,Data_5!$F$10:$BG$42,$A52+2,FALSE)="C","C",IF(HLOOKUP(BS$15,Data_5!$F$10:$BG$42,$A52+2,FALSE)="NO","NO",HLOOKUP(BS$15,Data_5!$F$10:$BG$42,$A52+2,FALSE)/Data_5!$BI47))))),"")</f>
        <v/>
      </c>
      <c r="BT52" s="1122" t="str">
        <f>IFERROR(IF(HLOOKUP(BT$15,Data_5!$F$10:$BG$42,$A52+2,FALSE)="NO","NO",IF(HLOOKUP(BT$15,Data_5!$F$10:$BG$42,$A52+2,FALSE)="IE","IE",IF(HLOOKUP(BT$15,Data_5!$F$10:$BG$42,$A52+2,FALSE)="NE","NE",IF(HLOOKUP(BT$15,Data_5!$F$10:$BG$42,$A52+2,FALSE)="C","C",IF(HLOOKUP(BT$15,Data_5!$F$10:$BG$42,$A52+2,FALSE)="NO","NO",HLOOKUP(BT$15,Data_5!$F$10:$BG$42,$A52+2,FALSE)/Data_5!$BI47))))),"")</f>
        <v/>
      </c>
      <c r="BU52" s="1122" t="str">
        <f>IFERROR(IF(HLOOKUP(BU$15,Data_5!$F$10:$BG$42,$A52+2,FALSE)="NO","NO",IF(HLOOKUP(BU$15,Data_5!$F$10:$BG$42,$A52+2,FALSE)="IE","IE",IF(HLOOKUP(BU$15,Data_5!$F$10:$BG$42,$A52+2,FALSE)="NE","NE",IF(HLOOKUP(BU$15,Data_5!$F$10:$BG$42,$A52+2,FALSE)="C","C",IF(HLOOKUP(BU$15,Data_5!$F$10:$BG$42,$A52+2,FALSE)="NO","NO",HLOOKUP(BU$15,Data_5!$F$10:$BG$42,$A52+2,FALSE)/Data_5!$BI47))))),"")</f>
        <v/>
      </c>
      <c r="BV52" s="1122" t="str">
        <f>IFERROR(IF(HLOOKUP(BV$15,Data_5!$F$10:$BG$42,$A52+2,FALSE)="NO","NO",IF(HLOOKUP(BV$15,Data_5!$F$10:$BG$42,$A52+2,FALSE)="IE","IE",IF(HLOOKUP(BV$15,Data_5!$F$10:$BG$42,$A52+2,FALSE)="NE","NE",IF(HLOOKUP(BV$15,Data_5!$F$10:$BG$42,$A52+2,FALSE)="C","C",IF(HLOOKUP(BV$15,Data_5!$F$10:$BG$42,$A52+2,FALSE)="NO","NO",HLOOKUP(BV$15,Data_5!$F$10:$BG$42,$A52+2,FALSE)/Data_5!$BI47))))),"")</f>
        <v/>
      </c>
      <c r="BW52" s="1122" t="str">
        <f>IFERROR(IF(HLOOKUP(BW$15,Data_5!$F$10:$BG$42,$A52+2,FALSE)="NO","NO",IF(HLOOKUP(BW$15,Data_5!$F$10:$BG$42,$A52+2,FALSE)="IE","IE",IF(HLOOKUP(BW$15,Data_5!$F$10:$BG$42,$A52+2,FALSE)="NE","NE",IF(HLOOKUP(BW$15,Data_5!$F$10:$BG$42,$A52+2,FALSE)="C","C",IF(HLOOKUP(BW$15,Data_5!$F$10:$BG$42,$A52+2,FALSE)="NO","NO",HLOOKUP(BW$15,Data_5!$F$10:$BG$42,$A52+2,FALSE)/Data_5!$BI47))))),"")</f>
        <v/>
      </c>
      <c r="BX52" s="1122" t="str">
        <f>IFERROR(IF(HLOOKUP(BX$15,Data_5!$F$10:$BG$42,$A52+2,FALSE)="NO","NO",IF(HLOOKUP(BX$15,Data_5!$F$10:$BG$42,$A52+2,FALSE)="IE","IE",IF(HLOOKUP(BX$15,Data_5!$F$10:$BG$42,$A52+2,FALSE)="NE","NE",IF(HLOOKUP(BX$15,Data_5!$F$10:$BG$42,$A52+2,FALSE)="C","C",IF(HLOOKUP(BX$15,Data_5!$F$10:$BG$42,$A52+2,FALSE)="NO","NO",HLOOKUP(BX$15,Data_5!$F$10:$BG$42,$A52+2,FALSE)/Data_5!$BI47))))),"")</f>
        <v/>
      </c>
      <c r="BY52" s="1122" t="str">
        <f>IFERROR(IF(HLOOKUP(BY$15,Data_5!$F$10:$BG$42,$A52+2,FALSE)="NO","NO",IF(HLOOKUP(BY$15,Data_5!$F$10:$BG$42,$A52+2,FALSE)="IE","IE",IF(HLOOKUP(BY$15,Data_5!$F$10:$BG$42,$A52+2,FALSE)="NE","NE",IF(HLOOKUP(BY$15,Data_5!$F$10:$BG$42,$A52+2,FALSE)="C","C",IF(HLOOKUP(BY$15,Data_5!$F$10:$BG$42,$A52+2,FALSE)="NO","NO",HLOOKUP(BY$15,Data_5!$F$10:$BG$42,$A52+2,FALSE)/Data_5!$BI47))))),"")</f>
        <v/>
      </c>
      <c r="BZ52" s="1122" t="str">
        <f>IFERROR(IF(HLOOKUP(BZ$15,Data_5!$F$10:$BG$42,$A52+2,FALSE)="NO","NO",IF(HLOOKUP(BZ$15,Data_5!$F$10:$BG$42,$A52+2,FALSE)="IE","IE",IF(HLOOKUP(BZ$15,Data_5!$F$10:$BG$42,$A52+2,FALSE)="NE","NE",IF(HLOOKUP(BZ$15,Data_5!$F$10:$BG$42,$A52+2,FALSE)="C","C",IF(HLOOKUP(BZ$15,Data_5!$F$10:$BG$42,$A52+2,FALSE)="NO","NO",HLOOKUP(BZ$15,Data_5!$F$10:$BG$42,$A52+2,FALSE)/Data_5!$BI47))))),"")</f>
        <v/>
      </c>
      <c r="CA52" s="1122" t="str">
        <f>IFERROR(IF(HLOOKUP(CA$15,Data_5!$F$10:$BG$42,$A52+2,FALSE)="NO","NO",IF(HLOOKUP(CA$15,Data_5!$F$10:$BG$42,$A52+2,FALSE)="IE","IE",IF(HLOOKUP(CA$15,Data_5!$F$10:$BG$42,$A52+2,FALSE)="NE","NE",IF(HLOOKUP(CA$15,Data_5!$F$10:$BG$42,$A52+2,FALSE)="C","C",IF(HLOOKUP(CA$15,Data_5!$F$10:$BG$42,$A52+2,FALSE)="NO","NO",HLOOKUP(CA$15,Data_5!$F$10:$BG$42,$A52+2,FALSE)/Data_5!$BI47))))),"")</f>
        <v/>
      </c>
      <c r="CB52" s="1122" t="str">
        <f>IFERROR(IF(HLOOKUP(CB$15,Data_5!$F$10:$BG$42,$A52+2,FALSE)="NO","NO",IF(HLOOKUP(CB$15,Data_5!$F$10:$BG$42,$A52+2,FALSE)="IE","IE",IF(HLOOKUP(CB$15,Data_5!$F$10:$BG$42,$A52+2,FALSE)="NE","NE",IF(HLOOKUP(CB$15,Data_5!$F$10:$BG$42,$A52+2,FALSE)="C","C",IF(HLOOKUP(CB$15,Data_5!$F$10:$BG$42,$A52+2,FALSE)="NO","NO",HLOOKUP(CB$15,Data_5!$F$10:$BG$42,$A52+2,FALSE)/Data_5!$BI47))))),"")</f>
        <v/>
      </c>
      <c r="CC52" s="1122" t="str">
        <f>IFERROR(IF(HLOOKUP(CC$15,Data_5!$F$10:$BG$42,$A52+2,FALSE)="NO","NO",IF(HLOOKUP(CC$15,Data_5!$F$10:$BG$42,$A52+2,FALSE)="IE","IE",IF(HLOOKUP(CC$15,Data_5!$F$10:$BG$42,$A52+2,FALSE)="NE","NE",IF(HLOOKUP(CC$15,Data_5!$F$10:$BG$42,$A52+2,FALSE)="C","C",IF(HLOOKUP(CC$15,Data_5!$F$10:$BG$42,$A52+2,FALSE)="NO","NO",HLOOKUP(CC$15,Data_5!$F$10:$BG$42,$A52+2,FALSE)/Data_5!$BI47))))),"")</f>
        <v/>
      </c>
      <c r="CD52" s="1122" t="str">
        <f>IFERROR(IF(HLOOKUP(CD$15,Data_5!$F$10:$BG$42,$A52+2,FALSE)="NO","NO",IF(HLOOKUP(CD$15,Data_5!$F$10:$BG$42,$A52+2,FALSE)="IE","IE",IF(HLOOKUP(CD$15,Data_5!$F$10:$BG$42,$A52+2,FALSE)="NE","NE",IF(HLOOKUP(CD$15,Data_5!$F$10:$BG$42,$A52+2,FALSE)="C","C",IF(HLOOKUP(CD$15,Data_5!$F$10:$BG$42,$A52+2,FALSE)="NO","NO",HLOOKUP(CD$15,Data_5!$F$10:$BG$42,$A52+2,FALSE)/Data_5!$BI47))))),"")</f>
        <v/>
      </c>
      <c r="CE52" s="1122" t="str">
        <f>IFERROR(IF(HLOOKUP(CE$15,Data_5!$F$10:$BG$42,$A52+2,FALSE)="NO","NO",IF(HLOOKUP(CE$15,Data_5!$F$10:$BG$42,$A52+2,FALSE)="IE","IE",IF(HLOOKUP(CE$15,Data_5!$F$10:$BG$42,$A52+2,FALSE)="NE","NE",IF(HLOOKUP(CE$15,Data_5!$F$10:$BG$42,$A52+2,FALSE)="C","C",IF(HLOOKUP(CE$15,Data_5!$F$10:$BG$42,$A52+2,FALSE)="NO","NO",HLOOKUP(CE$15,Data_5!$F$10:$BG$42,$A52+2,FALSE)/Data_5!$BI47))))),"")</f>
        <v/>
      </c>
      <c r="CF52" s="1122" t="str">
        <f>IFERROR(IF(HLOOKUP(CF$15,Data_5!$F$10:$BG$42,$A52+2,FALSE)="NO","NO",IF(HLOOKUP(CF$15,Data_5!$F$10:$BG$42,$A52+2,FALSE)="IE","IE",IF(HLOOKUP(CF$15,Data_5!$F$10:$BG$42,$A52+2,FALSE)="NE","NE",IF(HLOOKUP(CF$15,Data_5!$F$10:$BG$42,$A52+2,FALSE)="C","C",IF(HLOOKUP(CF$15,Data_5!$F$10:$BG$42,$A52+2,FALSE)="NO","NO",HLOOKUP(CF$15,Data_5!$F$10:$BG$42,$A52+2,FALSE)/Data_5!$BI47))))),"")</f>
        <v/>
      </c>
      <c r="CG52" s="1122" t="str">
        <f>IFERROR(IF(HLOOKUP(CG$15,Data_5!$F$10:$BG$42,$A52+2,FALSE)="NO","NO",IF(HLOOKUP(CG$15,Data_5!$F$10:$BG$42,$A52+2,FALSE)="IE","IE",IF(HLOOKUP(CG$15,Data_5!$F$10:$BG$42,$A52+2,FALSE)="NE","NE",IF(HLOOKUP(CG$15,Data_5!$F$10:$BG$42,$A52+2,FALSE)="C","C",IF(HLOOKUP(CG$15,Data_5!$F$10:$BG$42,$A52+2,FALSE)="NO","NO",HLOOKUP(CG$15,Data_5!$F$10:$BG$42,$A52+2,FALSE)/Data_5!$BI47))))),"")</f>
        <v/>
      </c>
      <c r="CH52" s="1122" t="str">
        <f>IFERROR(IF(HLOOKUP(CH$15,Data_5!$F$10:$BG$42,$A52+2,FALSE)="NO","NO",IF(HLOOKUP(CH$15,Data_5!$F$10:$BG$42,$A52+2,FALSE)="IE","IE",IF(HLOOKUP(CH$15,Data_5!$F$10:$BG$42,$A52+2,FALSE)="NE","NE",IF(HLOOKUP(CH$15,Data_5!$F$10:$BG$42,$A52+2,FALSE)="C","C",IF(HLOOKUP(CH$15,Data_5!$F$10:$BG$42,$A52+2,FALSE)="NO","NO",HLOOKUP(CH$15,Data_5!$F$10:$BG$42,$A52+2,FALSE)/Data_5!$BI47))))),"")</f>
        <v/>
      </c>
      <c r="CI52" s="1122" t="str">
        <f>IFERROR(IF(HLOOKUP(CI$15,Data_5!$F$10:$BG$42,$A52+2,FALSE)="NO","NO",IF(HLOOKUP(CI$15,Data_5!$F$10:$BG$42,$A52+2,FALSE)="IE","IE",IF(HLOOKUP(CI$15,Data_5!$F$10:$BG$42,$A52+2,FALSE)="NE","NE",IF(HLOOKUP(CI$15,Data_5!$F$10:$BG$42,$A52+2,FALSE)="C","C",IF(HLOOKUP(CI$15,Data_5!$F$10:$BG$42,$A52+2,FALSE)="NO","NO",HLOOKUP(CI$15,Data_5!$F$10:$BG$42,$A52+2,FALSE)/Data_5!$BI47))))),"")</f>
        <v/>
      </c>
      <c r="CJ52" s="1122" t="str">
        <f>IFERROR(IF(HLOOKUP(CJ$15,Data_5!$F$10:$BG$42,$A52+2,FALSE)="NO","NO",IF(HLOOKUP(CJ$15,Data_5!$F$10:$BG$42,$A52+2,FALSE)="IE","IE",IF(HLOOKUP(CJ$15,Data_5!$F$10:$BG$42,$A52+2,FALSE)="NE","NE",IF(HLOOKUP(CJ$15,Data_5!$F$10:$BG$42,$A52+2,FALSE)="C","C",IF(HLOOKUP(CJ$15,Data_5!$F$10:$BG$42,$A52+2,FALSE)="NO","NO",HLOOKUP(CJ$15,Data_5!$F$10:$BG$42,$A52+2,FALSE)/Data_5!$BI47))))),"")</f>
        <v/>
      </c>
      <c r="CL52" s="2628" t="str">
        <f t="shared" ca="1" si="6"/>
        <v/>
      </c>
      <c r="CM52" s="2629"/>
      <c r="CN52" s="1100" t="str">
        <f t="shared" ca="1" si="7"/>
        <v/>
      </c>
      <c r="CO52" s="1122" t="str">
        <f>IFERROR(IF(HLOOKUP(CO$15,Data_5!$F$10:$BG$42,$A52+2,FALSE)="NO","NO",IF(HLOOKUP(CO$15,Data_5!$F$10:$BG$42,$A52+2,FALSE)="IE","IE",IF(HLOOKUP(CO$15,Data_5!$F$10:$BG$42,$A52+2,FALSE)="NE","NE",IF(HLOOKUP(CO$15,Data_5!$F$10:$BG$42,$A52+2,FALSE)="C","C",IF(HLOOKUP(CO$15,Data_5!$F$10:$BG$42,$A52+2,FALSE)="NO","NO",HLOOKUP(CO$15,Data_5!$F$10:$BG$42,$A52+2,FALSE)/Data_5!$BK47))))),"")</f>
        <v/>
      </c>
      <c r="CP52" s="1122" t="str">
        <f>IFERROR(IF(HLOOKUP(CP$15,Data_5!$F$10:$BG$42,$A52+2,FALSE)="NO","NO",IF(HLOOKUP(CP$15,Data_5!$F$10:$BG$42,$A52+2,FALSE)="IE","IE",IF(HLOOKUP(CP$15,Data_5!$F$10:$BG$42,$A52+2,FALSE)="NE","NE",IF(HLOOKUP(CP$15,Data_5!$F$10:$BG$42,$A52+2,FALSE)="C","C",IF(HLOOKUP(CP$15,Data_5!$F$10:$BG$42,$A52+2,FALSE)="NO","NO",HLOOKUP(CP$15,Data_5!$F$10:$BG$42,$A52+2,FALSE)/Data_5!$BK47))))),"")</f>
        <v/>
      </c>
      <c r="CQ52" s="1122" t="str">
        <f>IFERROR(IF(HLOOKUP(CQ$15,Data_5!$F$10:$BG$42,$A52+2,FALSE)="NO","NO",IF(HLOOKUP(CQ$15,Data_5!$F$10:$BG$42,$A52+2,FALSE)="IE","IE",IF(HLOOKUP(CQ$15,Data_5!$F$10:$BG$42,$A52+2,FALSE)="NE","NE",IF(HLOOKUP(CQ$15,Data_5!$F$10:$BG$42,$A52+2,FALSE)="C","C",IF(HLOOKUP(CQ$15,Data_5!$F$10:$BG$42,$A52+2,FALSE)="NO","NO",HLOOKUP(CQ$15,Data_5!$F$10:$BG$42,$A52+2,FALSE)/Data_5!$BK47))))),"")</f>
        <v/>
      </c>
      <c r="CR52" s="1122" t="str">
        <f>IFERROR(IF(HLOOKUP(CR$15,Data_5!$F$10:$BG$42,$A52+2,FALSE)="NO","NO",IF(HLOOKUP(CR$15,Data_5!$F$10:$BG$42,$A52+2,FALSE)="IE","IE",IF(HLOOKUP(CR$15,Data_5!$F$10:$BG$42,$A52+2,FALSE)="NE","NE",IF(HLOOKUP(CR$15,Data_5!$F$10:$BG$42,$A52+2,FALSE)="C","C",IF(HLOOKUP(CR$15,Data_5!$F$10:$BG$42,$A52+2,FALSE)="NO","NO",HLOOKUP(CR$15,Data_5!$F$10:$BG$42,$A52+2,FALSE)/Data_5!$BK47))))),"")</f>
        <v/>
      </c>
      <c r="CS52" s="1122" t="str">
        <f>IFERROR(IF(HLOOKUP(CS$15,Data_5!$F$10:$BG$42,$A52+2,FALSE)="NO","NO",IF(HLOOKUP(CS$15,Data_5!$F$10:$BG$42,$A52+2,FALSE)="IE","IE",IF(HLOOKUP(CS$15,Data_5!$F$10:$BG$42,$A52+2,FALSE)="NE","NE",IF(HLOOKUP(CS$15,Data_5!$F$10:$BG$42,$A52+2,FALSE)="C","C",IF(HLOOKUP(CS$15,Data_5!$F$10:$BG$42,$A52+2,FALSE)="NO","NO",HLOOKUP(CS$15,Data_5!$F$10:$BG$42,$A52+2,FALSE)/Data_5!$BK47))))),"")</f>
        <v/>
      </c>
      <c r="CT52" s="1122" t="str">
        <f>IFERROR(IF(HLOOKUP(CT$15,Data_5!$F$10:$BG$42,$A52+2,FALSE)="NO","NO",IF(HLOOKUP(CT$15,Data_5!$F$10:$BG$42,$A52+2,FALSE)="IE","IE",IF(HLOOKUP(CT$15,Data_5!$F$10:$BG$42,$A52+2,FALSE)="NE","NE",IF(HLOOKUP(CT$15,Data_5!$F$10:$BG$42,$A52+2,FALSE)="C","C",IF(HLOOKUP(CT$15,Data_5!$F$10:$BG$42,$A52+2,FALSE)="NO","NO",HLOOKUP(CT$15,Data_5!$F$10:$BG$42,$A52+2,FALSE)/Data_5!$BK47))))),"")</f>
        <v/>
      </c>
      <c r="CU52" s="1122" t="str">
        <f>IFERROR(IF(HLOOKUP(CU$15,Data_5!$F$10:$BG$42,$A52+2,FALSE)="NO","NO",IF(HLOOKUP(CU$15,Data_5!$F$10:$BG$42,$A52+2,FALSE)="IE","IE",IF(HLOOKUP(CU$15,Data_5!$F$10:$BG$42,$A52+2,FALSE)="NE","NE",IF(HLOOKUP(CU$15,Data_5!$F$10:$BG$42,$A52+2,FALSE)="C","C",IF(HLOOKUP(CU$15,Data_5!$F$10:$BG$42,$A52+2,FALSE)="NO","NO",HLOOKUP(CU$15,Data_5!$F$10:$BG$42,$A52+2,FALSE)/Data_5!$BK47))))),"")</f>
        <v/>
      </c>
      <c r="CV52" s="1122" t="str">
        <f>IFERROR(IF(HLOOKUP(CV$15,Data_5!$F$10:$BG$42,$A52+2,FALSE)="NO","NO",IF(HLOOKUP(CV$15,Data_5!$F$10:$BG$42,$A52+2,FALSE)="IE","IE",IF(HLOOKUP(CV$15,Data_5!$F$10:$BG$42,$A52+2,FALSE)="NE","NE",IF(HLOOKUP(CV$15,Data_5!$F$10:$BG$42,$A52+2,FALSE)="C","C",IF(HLOOKUP(CV$15,Data_5!$F$10:$BG$42,$A52+2,FALSE)="NO","NO",HLOOKUP(CV$15,Data_5!$F$10:$BG$42,$A52+2,FALSE)/Data_5!$BK47))))),"")</f>
        <v/>
      </c>
      <c r="CW52" s="1122" t="str">
        <f>IFERROR(IF(HLOOKUP(CW$15,Data_5!$F$10:$BG$42,$A52+2,FALSE)="NO","NO",IF(HLOOKUP(CW$15,Data_5!$F$10:$BG$42,$A52+2,FALSE)="IE","IE",IF(HLOOKUP(CW$15,Data_5!$F$10:$BG$42,$A52+2,FALSE)="NE","NE",IF(HLOOKUP(CW$15,Data_5!$F$10:$BG$42,$A52+2,FALSE)="C","C",IF(HLOOKUP(CW$15,Data_5!$F$10:$BG$42,$A52+2,FALSE)="NO","NO",HLOOKUP(CW$15,Data_5!$F$10:$BG$42,$A52+2,FALSE)/Data_5!$BK47))))),"")</f>
        <v/>
      </c>
      <c r="CX52" s="1122" t="str">
        <f>IFERROR(IF(HLOOKUP(CX$15,Data_5!$F$10:$BG$42,$A52+2,FALSE)="NO","NO",IF(HLOOKUP(CX$15,Data_5!$F$10:$BG$42,$A52+2,FALSE)="IE","IE",IF(HLOOKUP(CX$15,Data_5!$F$10:$BG$42,$A52+2,FALSE)="NE","NE",IF(HLOOKUP(CX$15,Data_5!$F$10:$BG$42,$A52+2,FALSE)="C","C",IF(HLOOKUP(CX$15,Data_5!$F$10:$BG$42,$A52+2,FALSE)="NO","NO",HLOOKUP(CX$15,Data_5!$F$10:$BG$42,$A52+2,FALSE)/Data_5!$BK47))))),"")</f>
        <v/>
      </c>
      <c r="CY52" s="1122" t="str">
        <f>IFERROR(IF(HLOOKUP(CY$15,Data_5!$F$10:$BG$42,$A52+2,FALSE)="NO","NO",IF(HLOOKUP(CY$15,Data_5!$F$10:$BG$42,$A52+2,FALSE)="IE","IE",IF(HLOOKUP(CY$15,Data_5!$F$10:$BG$42,$A52+2,FALSE)="NE","NE",IF(HLOOKUP(CY$15,Data_5!$F$10:$BG$42,$A52+2,FALSE)="C","C",IF(HLOOKUP(CY$15,Data_5!$F$10:$BG$42,$A52+2,FALSE)="NO","NO",HLOOKUP(CY$15,Data_5!$F$10:$BG$42,$A52+2,FALSE)/Data_5!$BK47))))),"")</f>
        <v/>
      </c>
      <c r="CZ52" s="1122" t="str">
        <f>IFERROR(IF(HLOOKUP(CZ$15,Data_5!$F$10:$BG$42,$A52+2,FALSE)="NO","NO",IF(HLOOKUP(CZ$15,Data_5!$F$10:$BG$42,$A52+2,FALSE)="IE","IE",IF(HLOOKUP(CZ$15,Data_5!$F$10:$BG$42,$A52+2,FALSE)="NE","NE",IF(HLOOKUP(CZ$15,Data_5!$F$10:$BG$42,$A52+2,FALSE)="C","C",IF(HLOOKUP(CZ$15,Data_5!$F$10:$BG$42,$A52+2,FALSE)="NO","NO",HLOOKUP(CZ$15,Data_5!$F$10:$BG$42,$A52+2,FALSE)/Data_5!$BK47))))),"")</f>
        <v/>
      </c>
      <c r="DA52" s="1122" t="str">
        <f>IFERROR(IF(HLOOKUP(DA$15,Data_5!$F$10:$BG$42,$A52+2,FALSE)="NO","NO",IF(HLOOKUP(DA$15,Data_5!$F$10:$BG$42,$A52+2,FALSE)="IE","IE",IF(HLOOKUP(DA$15,Data_5!$F$10:$BG$42,$A52+2,FALSE)="NE","NE",IF(HLOOKUP(DA$15,Data_5!$F$10:$BG$42,$A52+2,FALSE)="C","C",IF(HLOOKUP(DA$15,Data_5!$F$10:$BG$42,$A52+2,FALSE)="NO","NO",HLOOKUP(DA$15,Data_5!$F$10:$BG$42,$A52+2,FALSE)/Data_5!$BK47))))),"")</f>
        <v/>
      </c>
      <c r="DB52" s="1122" t="str">
        <f>IFERROR(IF(HLOOKUP(DB$15,Data_5!$F$10:$BG$42,$A52+2,FALSE)="NO","NO",IF(HLOOKUP(DB$15,Data_5!$F$10:$BG$42,$A52+2,FALSE)="IE","IE",IF(HLOOKUP(DB$15,Data_5!$F$10:$BG$42,$A52+2,FALSE)="NE","NE",IF(HLOOKUP(DB$15,Data_5!$F$10:$BG$42,$A52+2,FALSE)="C","C",IF(HLOOKUP(DB$15,Data_5!$F$10:$BG$42,$A52+2,FALSE)="NO","NO",HLOOKUP(DB$15,Data_5!$F$10:$BG$42,$A52+2,FALSE)/Data_5!$BK47))))),"")</f>
        <v/>
      </c>
      <c r="DC52" s="1122" t="str">
        <f>IFERROR(IF(HLOOKUP(DC$15,Data_5!$F$10:$BG$42,$A52+2,FALSE)="NO","NO",IF(HLOOKUP(DC$15,Data_5!$F$10:$BG$42,$A52+2,FALSE)="IE","IE",IF(HLOOKUP(DC$15,Data_5!$F$10:$BG$42,$A52+2,FALSE)="NE","NE",IF(HLOOKUP(DC$15,Data_5!$F$10:$BG$42,$A52+2,FALSE)="C","C",IF(HLOOKUP(DC$15,Data_5!$F$10:$BG$42,$A52+2,FALSE)="NO","NO",HLOOKUP(DC$15,Data_5!$F$10:$BG$42,$A52+2,FALSE)/Data_5!$BK47))))),"")</f>
        <v/>
      </c>
      <c r="DD52" s="1122" t="str">
        <f>IFERROR(IF(HLOOKUP(DD$15,Data_5!$F$10:$BG$42,$A52+2,FALSE)="NO","NO",IF(HLOOKUP(DD$15,Data_5!$F$10:$BG$42,$A52+2,FALSE)="IE","IE",IF(HLOOKUP(DD$15,Data_5!$F$10:$BG$42,$A52+2,FALSE)="NE","NE",IF(HLOOKUP(DD$15,Data_5!$F$10:$BG$42,$A52+2,FALSE)="C","C",IF(HLOOKUP(DD$15,Data_5!$F$10:$BG$42,$A52+2,FALSE)="NO","NO",HLOOKUP(DD$15,Data_5!$F$10:$BG$42,$A52+2,FALSE)/Data_5!$BK47))))),"")</f>
        <v/>
      </c>
      <c r="DE52" s="1122" t="str">
        <f>IFERROR(IF(HLOOKUP(DE$15,Data_5!$F$10:$BG$42,$A52+2,FALSE)="NO","NO",IF(HLOOKUP(DE$15,Data_5!$F$10:$BG$42,$A52+2,FALSE)="IE","IE",IF(HLOOKUP(DE$15,Data_5!$F$10:$BG$42,$A52+2,FALSE)="NE","NE",IF(HLOOKUP(DE$15,Data_5!$F$10:$BG$42,$A52+2,FALSE)="C","C",IF(HLOOKUP(DE$15,Data_5!$F$10:$BG$42,$A52+2,FALSE)="NO","NO",HLOOKUP(DE$15,Data_5!$F$10:$BG$42,$A52+2,FALSE)/Data_5!$BK47))))),"")</f>
        <v/>
      </c>
      <c r="DF52" s="1122" t="str">
        <f>IFERROR(IF(HLOOKUP(DF$15,Data_5!$F$10:$BG$42,$A52+2,FALSE)="NO","NO",IF(HLOOKUP(DF$15,Data_5!$F$10:$BG$42,$A52+2,FALSE)="IE","IE",IF(HLOOKUP(DF$15,Data_5!$F$10:$BG$42,$A52+2,FALSE)="NE","NE",IF(HLOOKUP(DF$15,Data_5!$F$10:$BG$42,$A52+2,FALSE)="C","C",IF(HLOOKUP(DF$15,Data_5!$F$10:$BG$42,$A52+2,FALSE)="NO","NO",HLOOKUP(DF$15,Data_5!$F$10:$BG$42,$A52+2,FALSE)/Data_5!$BK47))))),"")</f>
        <v/>
      </c>
      <c r="DG52" s="1122" t="str">
        <f>IFERROR(IF(HLOOKUP(DG$15,Data_5!$F$10:$BG$42,$A52+2,FALSE)="NO","NO",IF(HLOOKUP(DG$15,Data_5!$F$10:$BG$42,$A52+2,FALSE)="IE","IE",IF(HLOOKUP(DG$15,Data_5!$F$10:$BG$42,$A52+2,FALSE)="NE","NE",IF(HLOOKUP(DG$15,Data_5!$F$10:$BG$42,$A52+2,FALSE)="C","C",IF(HLOOKUP(DG$15,Data_5!$F$10:$BG$42,$A52+2,FALSE)="NO","NO",HLOOKUP(DG$15,Data_5!$F$10:$BG$42,$A52+2,FALSE)/Data_5!$BK47))))),"")</f>
        <v/>
      </c>
      <c r="DH52" s="1122" t="str">
        <f>IFERROR(IF(HLOOKUP(DH$15,Data_5!$F$10:$BG$42,$A52+2,FALSE)="NO","NO",IF(HLOOKUP(DH$15,Data_5!$F$10:$BG$42,$A52+2,FALSE)="IE","IE",IF(HLOOKUP(DH$15,Data_5!$F$10:$BG$42,$A52+2,FALSE)="NE","NE",IF(HLOOKUP(DH$15,Data_5!$F$10:$BG$42,$A52+2,FALSE)="C","C",IF(HLOOKUP(DH$15,Data_5!$F$10:$BG$42,$A52+2,FALSE)="NO","NO",HLOOKUP(DH$15,Data_5!$F$10:$BG$42,$A52+2,FALSE)/Data_5!$BK47))))),"")</f>
        <v/>
      </c>
      <c r="DI52" s="1122" t="str">
        <f>IFERROR(IF(HLOOKUP(DI$15,Data_5!$F$10:$BG$42,$A52+2,FALSE)="NO","NO",IF(HLOOKUP(DI$15,Data_5!$F$10:$BG$42,$A52+2,FALSE)="IE","IE",IF(HLOOKUP(DI$15,Data_5!$F$10:$BG$42,$A52+2,FALSE)="NE","NE",IF(HLOOKUP(DI$15,Data_5!$F$10:$BG$42,$A52+2,FALSE)="C","C",IF(HLOOKUP(DI$15,Data_5!$F$10:$BG$42,$A52+2,FALSE)="NO","NO",HLOOKUP(DI$15,Data_5!$F$10:$BG$42,$A52+2,FALSE)/Data_5!$BK47))))),"")</f>
        <v/>
      </c>
      <c r="DJ52" s="1122" t="str">
        <f>IFERROR(IF(HLOOKUP(DJ$15,Data_5!$F$10:$BG$42,$A52+2,FALSE)="NO","NO",IF(HLOOKUP(DJ$15,Data_5!$F$10:$BG$42,$A52+2,FALSE)="IE","IE",IF(HLOOKUP(DJ$15,Data_5!$F$10:$BG$42,$A52+2,FALSE)="NE","NE",IF(HLOOKUP(DJ$15,Data_5!$F$10:$BG$42,$A52+2,FALSE)="C","C",IF(HLOOKUP(DJ$15,Data_5!$F$10:$BG$42,$A52+2,FALSE)="NO","NO",HLOOKUP(DJ$15,Data_5!$F$10:$BG$42,$A52+2,FALSE)/Data_5!$BK47))))),"")</f>
        <v/>
      </c>
      <c r="DK52" s="1122" t="str">
        <f>IFERROR(IF(HLOOKUP(DK$15,Data_5!$F$10:$BG$42,$A52+2,FALSE)="NO","NO",IF(HLOOKUP(DK$15,Data_5!$F$10:$BG$42,$A52+2,FALSE)="IE","IE",IF(HLOOKUP(DK$15,Data_5!$F$10:$BG$42,$A52+2,FALSE)="NE","NE",IF(HLOOKUP(DK$15,Data_5!$F$10:$BG$42,$A52+2,FALSE)="C","C",IF(HLOOKUP(DK$15,Data_5!$F$10:$BG$42,$A52+2,FALSE)="NO","NO",HLOOKUP(DK$15,Data_5!$F$10:$BG$42,$A52+2,FALSE)/Data_5!$BK47))))),"")</f>
        <v/>
      </c>
      <c r="DL52" s="1122" t="str">
        <f>IFERROR(IF(HLOOKUP(DL$15,Data_5!$F$10:$BG$42,$A52+2,FALSE)="NO","NO",IF(HLOOKUP(DL$15,Data_5!$F$10:$BG$42,$A52+2,FALSE)="IE","IE",IF(HLOOKUP(DL$15,Data_5!$F$10:$BG$42,$A52+2,FALSE)="NE","NE",IF(HLOOKUP(DL$15,Data_5!$F$10:$BG$42,$A52+2,FALSE)="C","C",IF(HLOOKUP(DL$15,Data_5!$F$10:$BG$42,$A52+2,FALSE)="NO","NO",HLOOKUP(DL$15,Data_5!$F$10:$BG$42,$A52+2,FALSE)/Data_5!$BK47))))),"")</f>
        <v/>
      </c>
      <c r="DM52" s="1122" t="str">
        <f>IFERROR(IF(HLOOKUP(DM$15,Data_5!$F$10:$BG$42,$A52+2,FALSE)="NO","NO",IF(HLOOKUP(DM$15,Data_5!$F$10:$BG$42,$A52+2,FALSE)="IE","IE",IF(HLOOKUP(DM$15,Data_5!$F$10:$BG$42,$A52+2,FALSE)="NE","NE",IF(HLOOKUP(DM$15,Data_5!$F$10:$BG$42,$A52+2,FALSE)="C","C",IF(HLOOKUP(DM$15,Data_5!$F$10:$BG$42,$A52+2,FALSE)="NO","NO",HLOOKUP(DM$15,Data_5!$F$10:$BG$42,$A52+2,FALSE)/Data_5!$BK47))))),"")</f>
        <v/>
      </c>
      <c r="DN52" s="1122" t="str">
        <f>IFERROR(IF(HLOOKUP(DN$15,Data_5!$F$10:$BG$42,$A52+2,FALSE)="NO","NO",IF(HLOOKUP(DN$15,Data_5!$F$10:$BG$42,$A52+2,FALSE)="IE","IE",IF(HLOOKUP(DN$15,Data_5!$F$10:$BG$42,$A52+2,FALSE)="NE","NE",IF(HLOOKUP(DN$15,Data_5!$F$10:$BG$42,$A52+2,FALSE)="C","C",IF(HLOOKUP(DN$15,Data_5!$F$10:$BG$42,$A52+2,FALSE)="NO","NO",HLOOKUP(DN$15,Data_5!$F$10:$BG$42,$A52+2,FALSE)/Data_5!$BK47))))),"")</f>
        <v/>
      </c>
      <c r="DO52" s="1122" t="str">
        <f>IFERROR(IF(HLOOKUP(DO$15,Data_5!$F$10:$BG$42,$A52+2,FALSE)="NO","NO",IF(HLOOKUP(DO$15,Data_5!$F$10:$BG$42,$A52+2,FALSE)="IE","IE",IF(HLOOKUP(DO$15,Data_5!$F$10:$BG$42,$A52+2,FALSE)="NE","NE",IF(HLOOKUP(DO$15,Data_5!$F$10:$BG$42,$A52+2,FALSE)="C","C",IF(HLOOKUP(DO$15,Data_5!$F$10:$BG$42,$A52+2,FALSE)="NO","NO",HLOOKUP(DO$15,Data_5!$F$10:$BG$42,$A52+2,FALSE)/Data_5!$BK47))))),"")</f>
        <v/>
      </c>
    </row>
    <row r="53" spans="1:119" ht="15" customHeight="1">
      <c r="A53" s="1789">
        <v>37</v>
      </c>
      <c r="B53" s="2628" t="str">
        <f ca="1">IF(Data_5!B48&lt;&gt;"",Data_5!B48,"")</f>
        <v/>
      </c>
      <c r="C53" s="2629"/>
      <c r="D53" s="1462">
        <f ca="1">IFERROR(VLOOKUP($B53,Data_5!$B$12:$C$42,2,FALSE),"")</f>
        <v>0</v>
      </c>
      <c r="E53" s="1122" t="str">
        <f>IFERROR(IF(HLOOKUP(E$15,Data_5!$F$10:$BG$42,$A53+2,FALSE)="NO","NO",IF(HLOOKUP(E$15,Data_5!$F$10:$BG$42,$A53+2,FALSE)="IE","IE",IF(HLOOKUP(E$15,Data_5!$F$10:$BG$42,$A53+2,FALSE)="NE","NE",IF(HLOOKUP(E$15,Data_5!$F$10:$BG$42,$A53+2,FALSE)="C","C",IF(HLOOKUP(E$15,Data_5!$F$10:$BG$42,$A53+2,FALSE)="NO","NO",HLOOKUP(E$15,Data_5!$F$10:$BG$42,$A53+2,FALSE)/Data_5!$BH48))))),"")</f>
        <v/>
      </c>
      <c r="F53" s="1122" t="str">
        <f>IFERROR(IF(HLOOKUP(F$15,Data_5!$F$10:$BG$42,$A53+2,FALSE)="NO","NO",IF(HLOOKUP(F$15,Data_5!$F$10:$BG$42,$A53+2,FALSE)="IE","IE",IF(HLOOKUP(F$15,Data_5!$F$10:$BG$42,$A53+2,FALSE)="NE","NE",IF(HLOOKUP(F$15,Data_5!$F$10:$BG$42,$A53+2,FALSE)="C","C",IF(HLOOKUP(F$15,Data_5!$F$10:$BG$42,$A53+2,FALSE)="NO","NO",HLOOKUP(F$15,Data_5!$F$10:$BG$42,$A53+2,FALSE)/Data_5!$BH48))))),"")</f>
        <v/>
      </c>
      <c r="G53" s="1122" t="str">
        <f>IFERROR(IF(HLOOKUP(G$15,Data_5!$F$10:$BG$42,$A53+2,FALSE)="NO","NO",IF(HLOOKUP(G$15,Data_5!$F$10:$BG$42,$A53+2,FALSE)="IE","IE",IF(HLOOKUP(G$15,Data_5!$F$10:$BG$42,$A53+2,FALSE)="NE","NE",IF(HLOOKUP(G$15,Data_5!$F$10:$BG$42,$A53+2,FALSE)="C","C",IF(HLOOKUP(G$15,Data_5!$F$10:$BG$42,$A53+2,FALSE)="NO","NO",HLOOKUP(G$15,Data_5!$F$10:$BG$42,$A53+2,FALSE)/Data_5!$BH48))))),"")</f>
        <v/>
      </c>
      <c r="H53" s="1122" t="str">
        <f>IFERROR(IF(HLOOKUP(H$15,Data_5!$F$10:$BG$42,$A53+2,FALSE)="NO","NO",IF(HLOOKUP(H$15,Data_5!$F$10:$BG$42,$A53+2,FALSE)="IE","IE",IF(HLOOKUP(H$15,Data_5!$F$10:$BG$42,$A53+2,FALSE)="NE","NE",IF(HLOOKUP(H$15,Data_5!$F$10:$BG$42,$A53+2,FALSE)="C","C",IF(HLOOKUP(H$15,Data_5!$F$10:$BG$42,$A53+2,FALSE)="NO","NO",HLOOKUP(H$15,Data_5!$F$10:$BG$42,$A53+2,FALSE)/Data_5!$BH48))))),"")</f>
        <v/>
      </c>
      <c r="I53" s="1122" t="str">
        <f>IFERROR(IF(HLOOKUP(I$15,Data_5!$F$10:$BG$42,$A53+2,FALSE)="NO","NO",IF(HLOOKUP(I$15,Data_5!$F$10:$BG$42,$A53+2,FALSE)="IE","IE",IF(HLOOKUP(I$15,Data_5!$F$10:$BG$42,$A53+2,FALSE)="NE","NE",IF(HLOOKUP(I$15,Data_5!$F$10:$BG$42,$A53+2,FALSE)="C","C",IF(HLOOKUP(I$15,Data_5!$F$10:$BG$42,$A53+2,FALSE)="NO","NO",HLOOKUP(I$15,Data_5!$F$10:$BG$42,$A53+2,FALSE)/Data_5!$BH48))))),"")</f>
        <v/>
      </c>
      <c r="J53" s="1122" t="str">
        <f>IFERROR(IF(HLOOKUP(J$15,Data_5!$F$10:$BG$42,$A53+2,FALSE)="NO","NO",IF(HLOOKUP(J$15,Data_5!$F$10:$BG$42,$A53+2,FALSE)="IE","IE",IF(HLOOKUP(J$15,Data_5!$F$10:$BG$42,$A53+2,FALSE)="NE","NE",IF(HLOOKUP(J$15,Data_5!$F$10:$BG$42,$A53+2,FALSE)="C","C",IF(HLOOKUP(J$15,Data_5!$F$10:$BG$42,$A53+2,FALSE)="NO","NO",HLOOKUP(J$15,Data_5!$F$10:$BG$42,$A53+2,FALSE)/Data_5!$BH48))))),"")</f>
        <v/>
      </c>
      <c r="K53" s="1122" t="str">
        <f>IFERROR(IF(HLOOKUP(K$15,Data_5!$F$10:$BG$42,$A53+2,FALSE)="NO","NO",IF(HLOOKUP(K$15,Data_5!$F$10:$BG$42,$A53+2,FALSE)="IE","IE",IF(HLOOKUP(K$15,Data_5!$F$10:$BG$42,$A53+2,FALSE)="NE","NE",IF(HLOOKUP(K$15,Data_5!$F$10:$BG$42,$A53+2,FALSE)="C","C",IF(HLOOKUP(K$15,Data_5!$F$10:$BG$42,$A53+2,FALSE)="NO","NO",HLOOKUP(K$15,Data_5!$F$10:$BG$42,$A53+2,FALSE)/Data_5!$BH48))))),"")</f>
        <v/>
      </c>
      <c r="L53" s="1122" t="str">
        <f>IFERROR(IF(HLOOKUP(L$15,Data_5!$F$10:$BG$42,$A53+2,FALSE)="NO","NO",IF(HLOOKUP(L$15,Data_5!$F$10:$BG$42,$A53+2,FALSE)="IE","IE",IF(HLOOKUP(L$15,Data_5!$F$10:$BG$42,$A53+2,FALSE)="NE","NE",IF(HLOOKUP(L$15,Data_5!$F$10:$BG$42,$A53+2,FALSE)="C","C",IF(HLOOKUP(L$15,Data_5!$F$10:$BG$42,$A53+2,FALSE)="NO","NO",HLOOKUP(L$15,Data_5!$F$10:$BG$42,$A53+2,FALSE)/Data_5!$BH48))))),"")</f>
        <v/>
      </c>
      <c r="M53" s="1122" t="str">
        <f>IFERROR(IF(HLOOKUP(M$15,Data_5!$F$10:$BG$42,$A53+2,FALSE)="NO","NO",IF(HLOOKUP(M$15,Data_5!$F$10:$BG$42,$A53+2,FALSE)="IE","IE",IF(HLOOKUP(M$15,Data_5!$F$10:$BG$42,$A53+2,FALSE)="NE","NE",IF(HLOOKUP(M$15,Data_5!$F$10:$BG$42,$A53+2,FALSE)="C","C",IF(HLOOKUP(M$15,Data_5!$F$10:$BG$42,$A53+2,FALSE)="NO","NO",HLOOKUP(M$15,Data_5!$F$10:$BG$42,$A53+2,FALSE)/Data_5!$BH48))))),"")</f>
        <v/>
      </c>
      <c r="N53" s="1122" t="str">
        <f>IFERROR(IF(HLOOKUP(N$15,Data_5!$F$10:$BG$42,$A53+2,FALSE)="NO","NO",IF(HLOOKUP(N$15,Data_5!$F$10:$BG$42,$A53+2,FALSE)="IE","IE",IF(HLOOKUP(N$15,Data_5!$F$10:$BG$42,$A53+2,FALSE)="NE","NE",IF(HLOOKUP(N$15,Data_5!$F$10:$BG$42,$A53+2,FALSE)="C","C",IF(HLOOKUP(N$15,Data_5!$F$10:$BG$42,$A53+2,FALSE)="NO","NO",HLOOKUP(N$15,Data_5!$F$10:$BG$42,$A53+2,FALSE)/Data_5!$BH48))))),"")</f>
        <v/>
      </c>
      <c r="O53" s="1122" t="str">
        <f>IFERROR(IF(HLOOKUP(O$15,Data_5!$F$10:$BG$42,$A53+2,FALSE)="NO","NO",IF(HLOOKUP(O$15,Data_5!$F$10:$BG$42,$A53+2,FALSE)="IE","IE",IF(HLOOKUP(O$15,Data_5!$F$10:$BG$42,$A53+2,FALSE)="NE","NE",IF(HLOOKUP(O$15,Data_5!$F$10:$BG$42,$A53+2,FALSE)="C","C",IF(HLOOKUP(O$15,Data_5!$F$10:$BG$42,$A53+2,FALSE)="NO","NO",HLOOKUP(O$15,Data_5!$F$10:$BG$42,$A53+2,FALSE)/Data_5!$BH48))))),"")</f>
        <v/>
      </c>
      <c r="P53" s="1122" t="str">
        <f>IFERROR(IF(HLOOKUP(P$15,Data_5!$F$10:$BG$42,$A53+2,FALSE)="NO","NO",IF(HLOOKUP(P$15,Data_5!$F$10:$BG$42,$A53+2,FALSE)="IE","IE",IF(HLOOKUP(P$15,Data_5!$F$10:$BG$42,$A53+2,FALSE)="NE","NE",IF(HLOOKUP(P$15,Data_5!$F$10:$BG$42,$A53+2,FALSE)="C","C",IF(HLOOKUP(P$15,Data_5!$F$10:$BG$42,$A53+2,FALSE)="NO","NO",HLOOKUP(P$15,Data_5!$F$10:$BG$42,$A53+2,FALSE)/Data_5!$BH48))))),"")</f>
        <v/>
      </c>
      <c r="Q53" s="1122" t="str">
        <f>IFERROR(IF(HLOOKUP(Q$15,Data_5!$F$10:$BG$42,$A53+2,FALSE)="NO","NO",IF(HLOOKUP(Q$15,Data_5!$F$10:$BG$42,$A53+2,FALSE)="IE","IE",IF(HLOOKUP(Q$15,Data_5!$F$10:$BG$42,$A53+2,FALSE)="NE","NE",IF(HLOOKUP(Q$15,Data_5!$F$10:$BG$42,$A53+2,FALSE)="C","C",IF(HLOOKUP(Q$15,Data_5!$F$10:$BG$42,$A53+2,FALSE)="NO","NO",HLOOKUP(Q$15,Data_5!$F$10:$BG$42,$A53+2,FALSE)/Data_5!$BH48))))),"")</f>
        <v/>
      </c>
      <c r="R53" s="1122" t="str">
        <f>IFERROR(IF(HLOOKUP(R$15,Data_5!$F$10:$BG$42,$A53+2,FALSE)="NO","NO",IF(HLOOKUP(R$15,Data_5!$F$10:$BG$42,$A53+2,FALSE)="IE","IE",IF(HLOOKUP(R$15,Data_5!$F$10:$BG$42,$A53+2,FALSE)="NE","NE",IF(HLOOKUP(R$15,Data_5!$F$10:$BG$42,$A53+2,FALSE)="C","C",IF(HLOOKUP(R$15,Data_5!$F$10:$BG$42,$A53+2,FALSE)="NO","NO",HLOOKUP(R$15,Data_5!$F$10:$BG$42,$A53+2,FALSE)/Data_5!$BH48))))),"")</f>
        <v/>
      </c>
      <c r="S53" s="1122" t="str">
        <f>IFERROR(IF(HLOOKUP(S$15,Data_5!$F$10:$BG$42,$A53+2,FALSE)="NO","NO",IF(HLOOKUP(S$15,Data_5!$F$10:$BG$42,$A53+2,FALSE)="IE","IE",IF(HLOOKUP(S$15,Data_5!$F$10:$BG$42,$A53+2,FALSE)="NE","NE",IF(HLOOKUP(S$15,Data_5!$F$10:$BG$42,$A53+2,FALSE)="C","C",IF(HLOOKUP(S$15,Data_5!$F$10:$BG$42,$A53+2,FALSE)="NO","NO",HLOOKUP(S$15,Data_5!$F$10:$BG$42,$A53+2,FALSE)/Data_5!$BH48))))),"")</f>
        <v/>
      </c>
      <c r="T53" s="1122" t="str">
        <f>IFERROR(IF(HLOOKUP(T$15,Data_5!$F$10:$BG$42,$A53+2,FALSE)="NO","NO",IF(HLOOKUP(T$15,Data_5!$F$10:$BG$42,$A53+2,FALSE)="IE","IE",IF(HLOOKUP(T$15,Data_5!$F$10:$BG$42,$A53+2,FALSE)="NE","NE",IF(HLOOKUP(T$15,Data_5!$F$10:$BG$42,$A53+2,FALSE)="C","C",IF(HLOOKUP(T$15,Data_5!$F$10:$BG$42,$A53+2,FALSE)="NO","NO",HLOOKUP(T$15,Data_5!$F$10:$BG$42,$A53+2,FALSE)/Data_5!$BH48))))),"")</f>
        <v/>
      </c>
      <c r="U53" s="1122" t="str">
        <f>IFERROR(IF(HLOOKUP(U$15,Data_5!$F$10:$BG$42,$A53+2,FALSE)="NO","NO",IF(HLOOKUP(U$15,Data_5!$F$10:$BG$42,$A53+2,FALSE)="IE","IE",IF(HLOOKUP(U$15,Data_5!$F$10:$BG$42,$A53+2,FALSE)="NE","NE",IF(HLOOKUP(U$15,Data_5!$F$10:$BG$42,$A53+2,FALSE)="C","C",IF(HLOOKUP(U$15,Data_5!$F$10:$BG$42,$A53+2,FALSE)="NO","NO",HLOOKUP(U$15,Data_5!$F$10:$BG$42,$A53+2,FALSE)/Data_5!$BH48))))),"")</f>
        <v/>
      </c>
      <c r="V53" s="1122" t="str">
        <f>IFERROR(IF(HLOOKUP(V$15,Data_5!$F$10:$BG$42,$A53+2,FALSE)="NO","NO",IF(HLOOKUP(V$15,Data_5!$F$10:$BG$42,$A53+2,FALSE)="IE","IE",IF(HLOOKUP(V$15,Data_5!$F$10:$BG$42,$A53+2,FALSE)="NE","NE",IF(HLOOKUP(V$15,Data_5!$F$10:$BG$42,$A53+2,FALSE)="C","C",IF(HLOOKUP(V$15,Data_5!$F$10:$BG$42,$A53+2,FALSE)="NO","NO",HLOOKUP(V$15,Data_5!$F$10:$BG$42,$A53+2,FALSE)/Data_5!$BH48))))),"")</f>
        <v/>
      </c>
      <c r="W53" s="1122" t="str">
        <f>IFERROR(IF(HLOOKUP(W$15,Data_5!$F$10:$BG$42,$A53+2,FALSE)="NO","NO",IF(HLOOKUP(W$15,Data_5!$F$10:$BG$42,$A53+2,FALSE)="IE","IE",IF(HLOOKUP(W$15,Data_5!$F$10:$BG$42,$A53+2,FALSE)="NE","NE",IF(HLOOKUP(W$15,Data_5!$F$10:$BG$42,$A53+2,FALSE)="C","C",IF(HLOOKUP(W$15,Data_5!$F$10:$BG$42,$A53+2,FALSE)="NO","NO",HLOOKUP(W$15,Data_5!$F$10:$BG$42,$A53+2,FALSE)/Data_5!$BH48))))),"")</f>
        <v/>
      </c>
      <c r="X53" s="1122" t="str">
        <f>IFERROR(IF(HLOOKUP(X$15,Data_5!$F$10:$BG$42,$A53+2,FALSE)="NO","NO",IF(HLOOKUP(X$15,Data_5!$F$10:$BG$42,$A53+2,FALSE)="IE","IE",IF(HLOOKUP(X$15,Data_5!$F$10:$BG$42,$A53+2,FALSE)="NE","NE",IF(HLOOKUP(X$15,Data_5!$F$10:$BG$42,$A53+2,FALSE)="C","C",IF(HLOOKUP(X$15,Data_5!$F$10:$BG$42,$A53+2,FALSE)="NO","NO",HLOOKUP(X$15,Data_5!$F$10:$BG$42,$A53+2,FALSE)/Data_5!$BH48))))),"")</f>
        <v/>
      </c>
      <c r="Y53" s="1122" t="str">
        <f>IFERROR(IF(HLOOKUP(Y$15,Data_5!$F$10:$BG$42,$A53+2,FALSE)="NO","NO",IF(HLOOKUP(Y$15,Data_5!$F$10:$BG$42,$A53+2,FALSE)="IE","IE",IF(HLOOKUP(Y$15,Data_5!$F$10:$BG$42,$A53+2,FALSE)="NE","NE",IF(HLOOKUP(Y$15,Data_5!$F$10:$BG$42,$A53+2,FALSE)="C","C",IF(HLOOKUP(Y$15,Data_5!$F$10:$BG$42,$A53+2,FALSE)="NO","NO",HLOOKUP(Y$15,Data_5!$F$10:$BG$42,$A53+2,FALSE)/Data_5!$BH48))))),"")</f>
        <v/>
      </c>
      <c r="Z53" s="1122" t="str">
        <f>IFERROR(IF(HLOOKUP(Z$15,Data_5!$F$10:$BG$42,$A53+2,FALSE)="NO","NO",IF(HLOOKUP(Z$15,Data_5!$F$10:$BG$42,$A53+2,FALSE)="IE","IE",IF(HLOOKUP(Z$15,Data_5!$F$10:$BG$42,$A53+2,FALSE)="NE","NE",IF(HLOOKUP(Z$15,Data_5!$F$10:$BG$42,$A53+2,FALSE)="C","C",IF(HLOOKUP(Z$15,Data_5!$F$10:$BG$42,$A53+2,FALSE)="NO","NO",HLOOKUP(Z$15,Data_5!$F$10:$BG$42,$A53+2,FALSE)/Data_5!$BH48))))),"")</f>
        <v/>
      </c>
      <c r="AA53" s="1122" t="str">
        <f>IFERROR(IF(HLOOKUP(AA$15,Data_5!$F$10:$BG$42,$A53+2,FALSE)="NO","NO",IF(HLOOKUP(AA$15,Data_5!$F$10:$BG$42,$A53+2,FALSE)="IE","IE",IF(HLOOKUP(AA$15,Data_5!$F$10:$BG$42,$A53+2,FALSE)="NE","NE",IF(HLOOKUP(AA$15,Data_5!$F$10:$BG$42,$A53+2,FALSE)="C","C",IF(HLOOKUP(AA$15,Data_5!$F$10:$BG$42,$A53+2,FALSE)="NO","NO",HLOOKUP(AA$15,Data_5!$F$10:$BG$42,$A53+2,FALSE)/Data_5!$BH48))))),"")</f>
        <v/>
      </c>
      <c r="AB53" s="1122" t="str">
        <f>IFERROR(IF(HLOOKUP(AB$15,Data_5!$F$10:$BG$42,$A53+2,FALSE)="NO","NO",IF(HLOOKUP(AB$15,Data_5!$F$10:$BG$42,$A53+2,FALSE)="IE","IE",IF(HLOOKUP(AB$15,Data_5!$F$10:$BG$42,$A53+2,FALSE)="NE","NE",IF(HLOOKUP(AB$15,Data_5!$F$10:$BG$42,$A53+2,FALSE)="C","C",IF(HLOOKUP(AB$15,Data_5!$F$10:$BG$42,$A53+2,FALSE)="NO","NO",HLOOKUP(AB$15,Data_5!$F$10:$BG$42,$A53+2,FALSE)/Data_5!$BH48))))),"")</f>
        <v/>
      </c>
      <c r="AC53" s="1122" t="str">
        <f>IFERROR(IF(HLOOKUP(AC$15,Data_5!$F$10:$BG$42,$A53+2,FALSE)="NO","NO",IF(HLOOKUP(AC$15,Data_5!$F$10:$BG$42,$A53+2,FALSE)="IE","IE",IF(HLOOKUP(AC$15,Data_5!$F$10:$BG$42,$A53+2,FALSE)="NE","NE",IF(HLOOKUP(AC$15,Data_5!$F$10:$BG$42,$A53+2,FALSE)="C","C",IF(HLOOKUP(AC$15,Data_5!$F$10:$BG$42,$A53+2,FALSE)="NO","NO",HLOOKUP(AC$15,Data_5!$F$10:$BG$42,$A53+2,FALSE)/Data_5!$BH48))))),"")</f>
        <v/>
      </c>
      <c r="AD53" s="1122" t="str">
        <f>IFERROR(IF(HLOOKUP(AD$15,Data_5!$F$10:$BG$42,$A53+2,FALSE)="NO","NO",IF(HLOOKUP(AD$15,Data_5!$F$10:$BG$42,$A53+2,FALSE)="IE","IE",IF(HLOOKUP(AD$15,Data_5!$F$10:$BG$42,$A53+2,FALSE)="NE","NE",IF(HLOOKUP(AD$15,Data_5!$F$10:$BG$42,$A53+2,FALSE)="C","C",IF(HLOOKUP(AD$15,Data_5!$F$10:$BG$42,$A53+2,FALSE)="NO","NO",HLOOKUP(AD$15,Data_5!$F$10:$BG$42,$A53+2,FALSE)/Data_5!$BH48))))),"")</f>
        <v/>
      </c>
      <c r="AE53" s="1122" t="str">
        <f>IFERROR(IF(HLOOKUP(AE$15,Data_5!$F$10:$BG$42,$A53+2,FALSE)="NO","NO",IF(HLOOKUP(AE$15,Data_5!$F$10:$BG$42,$A53+2,FALSE)="IE","IE",IF(HLOOKUP(AE$15,Data_5!$F$10:$BG$42,$A53+2,FALSE)="NE","NE",IF(HLOOKUP(AE$15,Data_5!$F$10:$BG$42,$A53+2,FALSE)="C","C",IF(HLOOKUP(AE$15,Data_5!$F$10:$BG$42,$A53+2,FALSE)="NO","NO",HLOOKUP(AE$15,Data_5!$F$10:$BG$42,$A53+2,FALSE)/Data_5!$BH48))))),"")</f>
        <v/>
      </c>
      <c r="AF53" s="1122" t="str">
        <f>IFERROR(IF(HLOOKUP(AF$15,Data_5!$F$10:$BG$42,$A53+2,FALSE)="NO","NO",IF(HLOOKUP(AF$15,Data_5!$F$10:$BG$42,$A53+2,FALSE)="IE","IE",IF(HLOOKUP(AF$15,Data_5!$F$10:$BG$42,$A53+2,FALSE)="NE","NE",IF(HLOOKUP(AF$15,Data_5!$F$10:$BG$42,$A53+2,FALSE)="C","C",IF(HLOOKUP(AF$15,Data_5!$F$10:$BG$42,$A53+2,FALSE)="NO","NO",HLOOKUP(AF$15,Data_5!$F$10:$BG$42,$A53+2,FALSE)/Data_5!$BH48))))),"")</f>
        <v/>
      </c>
      <c r="AG53" s="1122" t="str">
        <f>IFERROR(IF(HLOOKUP(AG$15,Data_5!$F$10:$BG$42,$A53+2,FALSE)="NO","NO",IF(HLOOKUP(AG$15,Data_5!$F$10:$BG$42,$A53+2,FALSE)="IE","IE",IF(HLOOKUP(AG$15,Data_5!$F$10:$BG$42,$A53+2,FALSE)="NE","NE",IF(HLOOKUP(AG$15,Data_5!$F$10:$BG$42,$A53+2,FALSE)="C","C",IF(HLOOKUP(AG$15,Data_5!$F$10:$BG$42,$A53+2,FALSE)="NO","NO",HLOOKUP(AG$15,Data_5!$F$10:$BG$42,$A53+2,FALSE)/Data_5!$BH48))))),"")</f>
        <v/>
      </c>
      <c r="AH53" s="1122" t="str">
        <f>IFERROR(IF(HLOOKUP(AH$15,Data_5!$F$10:$BG$42,$A53+2,FALSE)="NO","NO",IF(HLOOKUP(AH$15,Data_5!$F$10:$BG$42,$A53+2,FALSE)="IE","IE",IF(HLOOKUP(AH$15,Data_5!$F$10:$BG$42,$A53+2,FALSE)="NE","NE",IF(HLOOKUP(AH$15,Data_5!$F$10:$BG$42,$A53+2,FALSE)="C","C",IF(HLOOKUP(AH$15,Data_5!$F$10:$BG$42,$A53+2,FALSE)="NO","NO",HLOOKUP(AH$15,Data_5!$F$10:$BG$42,$A53+2,FALSE)/Data_5!$BH48))))),"")</f>
        <v/>
      </c>
      <c r="AI53" s="1122" t="str">
        <f>IFERROR(IF(HLOOKUP(AI$15,Data_5!$F$10:$BG$42,$A53+2,FALSE)="NO","NO",IF(HLOOKUP(AI$15,Data_5!$F$10:$BG$42,$A53+2,FALSE)="IE","IE",IF(HLOOKUP(AI$15,Data_5!$F$10:$BG$42,$A53+2,FALSE)="NE","NE",IF(HLOOKUP(AI$15,Data_5!$F$10:$BG$42,$A53+2,FALSE)="C","C",IF(HLOOKUP(AI$15,Data_5!$F$10:$BG$42,$A53+2,FALSE)="NO","NO",HLOOKUP(AI$15,Data_5!$F$10:$BG$42,$A53+2,FALSE)/Data_5!$BH48))))),"")</f>
        <v/>
      </c>
      <c r="AJ53" s="1122" t="str">
        <f>IFERROR(IF(HLOOKUP(AJ$15,Data_5!$F$10:$BG$42,$A53+2,FALSE)="NO","NO",IF(HLOOKUP(AJ$15,Data_5!$F$10:$BG$42,$A53+2,FALSE)="IE","IE",IF(HLOOKUP(AJ$15,Data_5!$F$10:$BG$42,$A53+2,FALSE)="NE","NE",IF(HLOOKUP(AJ$15,Data_5!$F$10:$BG$42,$A53+2,FALSE)="C","C",IF(HLOOKUP(AJ$15,Data_5!$F$10:$BG$42,$A53+2,FALSE)="NO","NO",HLOOKUP(AJ$15,Data_5!$F$10:$BG$42,$A53+2,FALSE)/Data_5!$BH48))))),"")</f>
        <v/>
      </c>
      <c r="AL53" s="2628" t="str">
        <f t="shared" ca="1" si="0"/>
        <v/>
      </c>
      <c r="AM53" s="2629"/>
      <c r="AN53" s="1100" t="str">
        <f t="shared" ca="1" si="1"/>
        <v/>
      </c>
      <c r="AO53" s="1122" t="str">
        <f>IFERROR(IF(HLOOKUP(AO$15,Data_5!$F$10:$BG$42,$A53+2,FALSE)="NO","NO",IF(HLOOKUP(AO$15,Data_5!$F$10:$BG$42,$A53+2,FALSE)="IE","IE",IF(HLOOKUP(AO$15,Data_5!$F$10:$BG$42,$A53+2,FALSE)="NE","NE",IF(HLOOKUP(AO$15,Data_5!$F$10:$BG$42,$A53+2,FALSE)="C","C",IF(HLOOKUP(AO$15,Data_5!$F$10:$BG$42,$A53+2,FALSE)="NO","NO",HLOOKUP(AO$15,Data_5!$F$10:$BG$42,$A53+2,FALSE)/Data_5!$BI48))))),"")</f>
        <v/>
      </c>
      <c r="AP53" s="1122" t="str">
        <f>IFERROR(IF(HLOOKUP(AP$15,Data_5!$F$10:$BG$42,$A53+2,FALSE)="NO","NO",IF(HLOOKUP(AP$15,Data_5!$F$10:$BG$42,$A53+2,FALSE)="IE","IE",IF(HLOOKUP(AP$15,Data_5!$F$10:$BG$42,$A53+2,FALSE)="NE","NE",IF(HLOOKUP(AP$15,Data_5!$F$10:$BG$42,$A53+2,FALSE)="C","C",IF(HLOOKUP(AP$15,Data_5!$F$10:$BG$42,$A53+2,FALSE)="NO","NO",HLOOKUP(AP$15,Data_5!$F$10:$BG$42,$A53+2,FALSE)/Data_5!$BI48))))),"")</f>
        <v/>
      </c>
      <c r="AQ53" s="1122" t="str">
        <f>IFERROR(IF(HLOOKUP(AQ$15,Data_5!$F$10:$BG$42,$A53+2,FALSE)="NO","NO",IF(HLOOKUP(AQ$15,Data_5!$F$10:$BG$42,$A53+2,FALSE)="IE","IE",IF(HLOOKUP(AQ$15,Data_5!$F$10:$BG$42,$A53+2,FALSE)="NE","NE",IF(HLOOKUP(AQ$15,Data_5!$F$10:$BG$42,$A53+2,FALSE)="C","C",IF(HLOOKUP(AQ$15,Data_5!$F$10:$BG$42,$A53+2,FALSE)="NO","NO",HLOOKUP(AQ$15,Data_5!$F$10:$BG$42,$A53+2,FALSE)/Data_5!$BI48))))),"")</f>
        <v/>
      </c>
      <c r="AR53" s="1122" t="str">
        <f>IFERROR(IF(HLOOKUP(AR$15,Data_5!$F$10:$BG$42,$A53+2,FALSE)="NO","NO",IF(HLOOKUP(AR$15,Data_5!$F$10:$BG$42,$A53+2,FALSE)="IE","IE",IF(HLOOKUP(AR$15,Data_5!$F$10:$BG$42,$A53+2,FALSE)="NE","NE",IF(HLOOKUP(AR$15,Data_5!$F$10:$BG$42,$A53+2,FALSE)="C","C",IF(HLOOKUP(AR$15,Data_5!$F$10:$BG$42,$A53+2,FALSE)="NO","NO",HLOOKUP(AR$15,Data_5!$F$10:$BG$42,$A53+2,FALSE)/Data_5!$BI48))))),"")</f>
        <v/>
      </c>
      <c r="AS53" s="1122" t="str">
        <f>IFERROR(IF(HLOOKUP(AS$15,Data_5!$F$10:$BG$42,$A53+2,FALSE)="NO","NO",IF(HLOOKUP(AS$15,Data_5!$F$10:$BG$42,$A53+2,FALSE)="IE","IE",IF(HLOOKUP(AS$15,Data_5!$F$10:$BG$42,$A53+2,FALSE)="NE","NE",IF(HLOOKUP(AS$15,Data_5!$F$10:$BG$42,$A53+2,FALSE)="C","C",IF(HLOOKUP(AS$15,Data_5!$F$10:$BG$42,$A53+2,FALSE)="NO","NO",HLOOKUP(AS$15,Data_5!$F$10:$BG$42,$A53+2,FALSE)/Data_5!$BI48))))),"")</f>
        <v/>
      </c>
      <c r="AT53" s="1122" t="str">
        <f>IFERROR(IF(HLOOKUP(AT$15,Data_5!$F$10:$BG$42,$A53+2,FALSE)="NO","NO",IF(HLOOKUP(AT$15,Data_5!$F$10:$BG$42,$A53+2,FALSE)="IE","IE",IF(HLOOKUP(AT$15,Data_5!$F$10:$BG$42,$A53+2,FALSE)="NE","NE",IF(HLOOKUP(AT$15,Data_5!$F$10:$BG$42,$A53+2,FALSE)="C","C",IF(HLOOKUP(AT$15,Data_5!$F$10:$BG$42,$A53+2,FALSE)="NO","NO",HLOOKUP(AT$15,Data_5!$F$10:$BG$42,$A53+2,FALSE)/Data_5!$BI48))))),"")</f>
        <v/>
      </c>
      <c r="AU53" s="1122" t="str">
        <f>IFERROR(IF(HLOOKUP(AU$15,Data_5!$F$10:$BG$42,$A53+2,FALSE)="NO","NO",IF(HLOOKUP(AU$15,Data_5!$F$10:$BG$42,$A53+2,FALSE)="IE","IE",IF(HLOOKUP(AU$15,Data_5!$F$10:$BG$42,$A53+2,FALSE)="NE","NE",IF(HLOOKUP(AU$15,Data_5!$F$10:$BG$42,$A53+2,FALSE)="C","C",IF(HLOOKUP(AU$15,Data_5!$F$10:$BG$42,$A53+2,FALSE)="NO","NO",HLOOKUP(AU$15,Data_5!$F$10:$BG$42,$A53+2,FALSE)/Data_5!$BI48))))),"")</f>
        <v/>
      </c>
      <c r="AV53" s="1122" t="str">
        <f>IFERROR(IF(HLOOKUP(AV$15,Data_5!$F$10:$BG$42,$A53+2,FALSE)="NO","NO",IF(HLOOKUP(AV$15,Data_5!$F$10:$BG$42,$A53+2,FALSE)="IE","IE",IF(HLOOKUP(AV$15,Data_5!$F$10:$BG$42,$A53+2,FALSE)="NE","NE",IF(HLOOKUP(AV$15,Data_5!$F$10:$BG$42,$A53+2,FALSE)="C","C",IF(HLOOKUP(AV$15,Data_5!$F$10:$BG$42,$A53+2,FALSE)="NO","NO",HLOOKUP(AV$15,Data_5!$F$10:$BG$42,$A53+2,FALSE)/Data_5!$BI48))))),"")</f>
        <v/>
      </c>
      <c r="AW53" s="1122" t="str">
        <f>IFERROR(IF(HLOOKUP(AW$15,Data_5!$F$10:$BG$42,$A53+2,FALSE)="NO","NO",IF(HLOOKUP(AW$15,Data_5!$F$10:$BG$42,$A53+2,FALSE)="IE","IE",IF(HLOOKUP(AW$15,Data_5!$F$10:$BG$42,$A53+2,FALSE)="NE","NE",IF(HLOOKUP(AW$15,Data_5!$F$10:$BG$42,$A53+2,FALSE)="C","C",IF(HLOOKUP(AW$15,Data_5!$F$10:$BG$42,$A53+2,FALSE)="NO","NO",HLOOKUP(AW$15,Data_5!$F$10:$BG$42,$A53+2,FALSE)/Data_5!$BI48))))),"")</f>
        <v/>
      </c>
      <c r="AX53" s="1122" t="str">
        <f>IFERROR(IF(HLOOKUP(AX$15,Data_5!$F$10:$BG$42,$A53+2,FALSE)="NO","NO",IF(HLOOKUP(AX$15,Data_5!$F$10:$BG$42,$A53+2,FALSE)="IE","IE",IF(HLOOKUP(AX$15,Data_5!$F$10:$BG$42,$A53+2,FALSE)="NE","NE",IF(HLOOKUP(AX$15,Data_5!$F$10:$BG$42,$A53+2,FALSE)="C","C",IF(HLOOKUP(AX$15,Data_5!$F$10:$BG$42,$A53+2,FALSE)="NO","NO",HLOOKUP(AX$15,Data_5!$F$10:$BG$42,$A53+2,FALSE)/Data_5!$BI48))))),"")</f>
        <v/>
      </c>
      <c r="AY53" s="1122" t="str">
        <f>IFERROR(IF(HLOOKUP(AY$15,Data_5!$F$10:$BG$42,$A53+2,FALSE)="NO","NO",IF(HLOOKUP(AY$15,Data_5!$F$10:$BG$42,$A53+2,FALSE)="IE","IE",IF(HLOOKUP(AY$15,Data_5!$F$10:$BG$42,$A53+2,FALSE)="NE","NE",IF(HLOOKUP(AY$15,Data_5!$F$10:$BG$42,$A53+2,FALSE)="C","C",IF(HLOOKUP(AY$15,Data_5!$F$10:$BG$42,$A53+2,FALSE)="NO","NO",HLOOKUP(AY$15,Data_5!$F$10:$BG$42,$A53+2,FALSE)/Data_5!$BI48))))),"")</f>
        <v/>
      </c>
      <c r="AZ53" s="1122" t="str">
        <f>IFERROR(IF(HLOOKUP(AZ$15,Data_5!$F$10:$BG$42,$A53+2,FALSE)="NO","NO",IF(HLOOKUP(AZ$15,Data_5!$F$10:$BG$42,$A53+2,FALSE)="IE","IE",IF(HLOOKUP(AZ$15,Data_5!$F$10:$BG$42,$A53+2,FALSE)="NE","NE",IF(HLOOKUP(AZ$15,Data_5!$F$10:$BG$42,$A53+2,FALSE)="C","C",IF(HLOOKUP(AZ$15,Data_5!$F$10:$BG$42,$A53+2,FALSE)="NO","NO",HLOOKUP(AZ$15,Data_5!$F$10:$BG$42,$A53+2,FALSE)/Data_5!$BI48))))),"")</f>
        <v/>
      </c>
      <c r="BA53" s="1122" t="str">
        <f>IFERROR(IF(HLOOKUP(BA$15,Data_5!$F$10:$BG$42,$A53+2,FALSE)="NO","NO",IF(HLOOKUP(BA$15,Data_5!$F$10:$BG$42,$A53+2,FALSE)="IE","IE",IF(HLOOKUP(BA$15,Data_5!$F$10:$BG$42,$A53+2,FALSE)="NE","NE",IF(HLOOKUP(BA$15,Data_5!$F$10:$BG$42,$A53+2,FALSE)="C","C",IF(HLOOKUP(BA$15,Data_5!$F$10:$BG$42,$A53+2,FALSE)="NO","NO",HLOOKUP(BA$15,Data_5!$F$10:$BG$42,$A53+2,FALSE)/Data_5!$BI48))))),"")</f>
        <v/>
      </c>
      <c r="BB53" s="1122" t="str">
        <f>IFERROR(IF(HLOOKUP(BB$15,Data_5!$F$10:$BG$42,$A53+2,FALSE)="NO","NO",IF(HLOOKUP(BB$15,Data_5!$F$10:$BG$42,$A53+2,FALSE)="IE","IE",IF(HLOOKUP(BB$15,Data_5!$F$10:$BG$42,$A53+2,FALSE)="NE","NE",IF(HLOOKUP(BB$15,Data_5!$F$10:$BG$42,$A53+2,FALSE)="C","C",IF(HLOOKUP(BB$15,Data_5!$F$10:$BG$42,$A53+2,FALSE)="NO","NO",HLOOKUP(BB$15,Data_5!$F$10:$BG$42,$A53+2,FALSE)/Data_5!$BI48))))),"")</f>
        <v/>
      </c>
      <c r="BC53" s="1122" t="str">
        <f>IFERROR(IF(HLOOKUP(BC$15,Data_5!$F$10:$BG$42,$A53+2,FALSE)="NO","NO",IF(HLOOKUP(BC$15,Data_5!$F$10:$BG$42,$A53+2,FALSE)="IE","IE",IF(HLOOKUP(BC$15,Data_5!$F$10:$BG$42,$A53+2,FALSE)="NE","NE",IF(HLOOKUP(BC$15,Data_5!$F$10:$BG$42,$A53+2,FALSE)="C","C",IF(HLOOKUP(BC$15,Data_5!$F$10:$BG$42,$A53+2,FALSE)="NO","NO",HLOOKUP(BC$15,Data_5!$F$10:$BG$42,$A53+2,FALSE)/Data_5!$BI48))))),"")</f>
        <v/>
      </c>
      <c r="BD53" s="1122" t="str">
        <f>IFERROR(IF(HLOOKUP(BD$15,Data_5!$F$10:$BG$42,$A53+2,FALSE)="NO","NO",IF(HLOOKUP(BD$15,Data_5!$F$10:$BG$42,$A53+2,FALSE)="IE","IE",IF(HLOOKUP(BD$15,Data_5!$F$10:$BG$42,$A53+2,FALSE)="NE","NE",IF(HLOOKUP(BD$15,Data_5!$F$10:$BG$42,$A53+2,FALSE)="C","C",IF(HLOOKUP(BD$15,Data_5!$F$10:$BG$42,$A53+2,FALSE)="NO","NO",HLOOKUP(BD$15,Data_5!$F$10:$BG$42,$A53+2,FALSE)/Data_5!$BI48))))),"")</f>
        <v/>
      </c>
      <c r="BE53" s="1122" t="str">
        <f>IFERROR(IF(HLOOKUP(BE$15,Data_5!$F$10:$BG$42,$A53+2,FALSE)="NO","NO",IF(HLOOKUP(BE$15,Data_5!$F$10:$BG$42,$A53+2,FALSE)="IE","IE",IF(HLOOKUP(BE$15,Data_5!$F$10:$BG$42,$A53+2,FALSE)="NE","NE",IF(HLOOKUP(BE$15,Data_5!$F$10:$BG$42,$A53+2,FALSE)="C","C",IF(HLOOKUP(BE$15,Data_5!$F$10:$BG$42,$A53+2,FALSE)="NO","NO",HLOOKUP(BE$15,Data_5!$F$10:$BG$42,$A53+2,FALSE)/Data_5!$BI48))))),"")</f>
        <v/>
      </c>
      <c r="BF53" s="1122" t="str">
        <f>IFERROR(IF(HLOOKUP(BF$15,Data_5!$F$10:$BG$42,$A53+2,FALSE)="NO","NO",IF(HLOOKUP(BF$15,Data_5!$F$10:$BG$42,$A53+2,FALSE)="IE","IE",IF(HLOOKUP(BF$15,Data_5!$F$10:$BG$42,$A53+2,FALSE)="NE","NE",IF(HLOOKUP(BF$15,Data_5!$F$10:$BG$42,$A53+2,FALSE)="C","C",IF(HLOOKUP(BF$15,Data_5!$F$10:$BG$42,$A53+2,FALSE)="NO","NO",HLOOKUP(BF$15,Data_5!$F$10:$BG$42,$A53+2,FALSE)/Data_5!$BI48))))),"")</f>
        <v/>
      </c>
      <c r="BG53" s="1122" t="str">
        <f>IFERROR(IF(HLOOKUP(BG$15,Data_5!$F$10:$BG$42,$A53+2,FALSE)="NO","NO",IF(HLOOKUP(BG$15,Data_5!$F$10:$BG$42,$A53+2,FALSE)="IE","IE",IF(HLOOKUP(BG$15,Data_5!$F$10:$BG$42,$A53+2,FALSE)="NE","NE",IF(HLOOKUP(BG$15,Data_5!$F$10:$BG$42,$A53+2,FALSE)="C","C",IF(HLOOKUP(BG$15,Data_5!$F$10:$BG$42,$A53+2,FALSE)="NO","NO",HLOOKUP(BG$15,Data_5!$F$10:$BG$42,$A53+2,FALSE)/Data_5!$BI48))))),"")</f>
        <v/>
      </c>
      <c r="BH53" s="1122" t="str">
        <f>IFERROR(IF(HLOOKUP(BH$15,Data_5!$F$10:$BG$42,$A53+2,FALSE)="NO","NO",IF(HLOOKUP(BH$15,Data_5!$F$10:$BG$42,$A53+2,FALSE)="IE","IE",IF(HLOOKUP(BH$15,Data_5!$F$10:$BG$42,$A53+2,FALSE)="NE","NE",IF(HLOOKUP(BH$15,Data_5!$F$10:$BG$42,$A53+2,FALSE)="C","C",IF(HLOOKUP(BH$15,Data_5!$F$10:$BG$42,$A53+2,FALSE)="NO","NO",HLOOKUP(BH$15,Data_5!$F$10:$BG$42,$A53+2,FALSE)/Data_5!$BI48))))),"")</f>
        <v/>
      </c>
      <c r="BI53" s="1122" t="str">
        <f>IFERROR(IF(HLOOKUP(BI$15,Data_5!$F$10:$BG$42,$A53+2,FALSE)="NO","NO",IF(HLOOKUP(BI$15,Data_5!$F$10:$BG$42,$A53+2,FALSE)="IE","IE",IF(HLOOKUP(BI$15,Data_5!$F$10:$BG$42,$A53+2,FALSE)="NE","NE",IF(HLOOKUP(BI$15,Data_5!$F$10:$BG$42,$A53+2,FALSE)="C","C",IF(HLOOKUP(BI$15,Data_5!$F$10:$BG$42,$A53+2,FALSE)="NO","NO",HLOOKUP(BI$15,Data_5!$F$10:$BG$42,$A53+2,FALSE)/Data_5!$BI48))))),"")</f>
        <v/>
      </c>
      <c r="BJ53" s="1122" t="str">
        <f>IFERROR(IF(HLOOKUP(BJ$15,Data_5!$F$10:$BG$42,$A53+2,FALSE)="NO","NO",IF(HLOOKUP(BJ$15,Data_5!$F$10:$BG$42,$A53+2,FALSE)="IE","IE",IF(HLOOKUP(BJ$15,Data_5!$F$10:$BG$42,$A53+2,FALSE)="NE","NE",IF(HLOOKUP(BJ$15,Data_5!$F$10:$BG$42,$A53+2,FALSE)="C","C",IF(HLOOKUP(BJ$15,Data_5!$F$10:$BG$42,$A53+2,FALSE)="NO","NO",HLOOKUP(BJ$15,Data_5!$F$10:$BG$42,$A53+2,FALSE)/Data_5!$BI48))))),"")</f>
        <v/>
      </c>
      <c r="BK53" s="1122" t="str">
        <f>IFERROR(IF(HLOOKUP(BK$15,Data_5!$F$10:$BG$42,$A53+2,FALSE)="NO","NO",IF(HLOOKUP(BK$15,Data_5!$F$10:$BG$42,$A53+2,FALSE)="IE","IE",IF(HLOOKUP(BK$15,Data_5!$F$10:$BG$42,$A53+2,FALSE)="NE","NE",IF(HLOOKUP(BK$15,Data_5!$F$10:$BG$42,$A53+2,FALSE)="C","C",IF(HLOOKUP(BK$15,Data_5!$F$10:$BG$42,$A53+2,FALSE)="NO","NO",HLOOKUP(BK$15,Data_5!$F$10:$BG$42,$A53+2,FALSE)/Data_5!$BI48))))),"")</f>
        <v/>
      </c>
      <c r="BL53" s="1122" t="str">
        <f>IFERROR(IF(HLOOKUP(BL$15,Data_5!$F$10:$BG$42,$A53+2,FALSE)="NO","NO",IF(HLOOKUP(BL$15,Data_5!$F$10:$BG$42,$A53+2,FALSE)="IE","IE",IF(HLOOKUP(BL$15,Data_5!$F$10:$BG$42,$A53+2,FALSE)="NE","NE",IF(HLOOKUP(BL$15,Data_5!$F$10:$BG$42,$A53+2,FALSE)="C","C",IF(HLOOKUP(BL$15,Data_5!$F$10:$BG$42,$A53+2,FALSE)="NO","NO",HLOOKUP(BL$15,Data_5!$F$10:$BG$42,$A53+2,FALSE)/Data_5!$BI48))))),"")</f>
        <v/>
      </c>
      <c r="BM53" s="1122" t="str">
        <f>IFERROR(IF(HLOOKUP(BM$15,Data_5!$F$10:$BG$42,$A53+2,FALSE)="NO","NO",IF(HLOOKUP(BM$15,Data_5!$F$10:$BG$42,$A53+2,FALSE)="IE","IE",IF(HLOOKUP(BM$15,Data_5!$F$10:$BG$42,$A53+2,FALSE)="NE","NE",IF(HLOOKUP(BM$15,Data_5!$F$10:$BG$42,$A53+2,FALSE)="C","C",IF(HLOOKUP(BM$15,Data_5!$F$10:$BG$42,$A53+2,FALSE)="NO","NO",HLOOKUP(BM$15,Data_5!$F$10:$BG$42,$A53+2,FALSE)/Data_5!$BI48))))),"")</f>
        <v/>
      </c>
      <c r="BN53" s="1122" t="str">
        <f>IFERROR(IF(HLOOKUP(BN$15,Data_5!$F$10:$BG$42,$A53+2,FALSE)="NO","NO",IF(HLOOKUP(BN$15,Data_5!$F$10:$BG$42,$A53+2,FALSE)="IE","IE",IF(HLOOKUP(BN$15,Data_5!$F$10:$BG$42,$A53+2,FALSE)="NE","NE",IF(HLOOKUP(BN$15,Data_5!$F$10:$BG$42,$A53+2,FALSE)="C","C",IF(HLOOKUP(BN$15,Data_5!$F$10:$BG$42,$A53+2,FALSE)="NO","NO",HLOOKUP(BN$15,Data_5!$F$10:$BG$42,$A53+2,FALSE)/Data_5!$BI48))))),"")</f>
        <v/>
      </c>
      <c r="BO53" s="1122" t="str">
        <f>IFERROR(IF(HLOOKUP(BO$15,Data_5!$F$10:$BG$42,$A53+2,FALSE)="NO","NO",IF(HLOOKUP(BO$15,Data_5!$F$10:$BG$42,$A53+2,FALSE)="IE","IE",IF(HLOOKUP(BO$15,Data_5!$F$10:$BG$42,$A53+2,FALSE)="NE","NE",IF(HLOOKUP(BO$15,Data_5!$F$10:$BG$42,$A53+2,FALSE)="C","C",IF(HLOOKUP(BO$15,Data_5!$F$10:$BG$42,$A53+2,FALSE)="NO","NO",HLOOKUP(BO$15,Data_5!$F$10:$BG$42,$A53+2,FALSE)/Data_5!$BI48))))),"")</f>
        <v/>
      </c>
      <c r="BP53" s="1122" t="str">
        <f>IFERROR(IF(HLOOKUP(BP$15,Data_5!$F$10:$BG$42,$A53+2,FALSE)="NO","NO",IF(HLOOKUP(BP$15,Data_5!$F$10:$BG$42,$A53+2,FALSE)="IE","IE",IF(HLOOKUP(BP$15,Data_5!$F$10:$BG$42,$A53+2,FALSE)="NE","NE",IF(HLOOKUP(BP$15,Data_5!$F$10:$BG$42,$A53+2,FALSE)="C","C",IF(HLOOKUP(BP$15,Data_5!$F$10:$BG$42,$A53+2,FALSE)="NO","NO",HLOOKUP(BP$15,Data_5!$F$10:$BG$42,$A53+2,FALSE)/Data_5!$BI48))))),"")</f>
        <v/>
      </c>
      <c r="BQ53" s="1122" t="str">
        <f>IFERROR(IF(HLOOKUP(BQ$15,Data_5!$F$10:$BG$42,$A53+2,FALSE)="NO","NO",IF(HLOOKUP(BQ$15,Data_5!$F$10:$BG$42,$A53+2,FALSE)="IE","IE",IF(HLOOKUP(BQ$15,Data_5!$F$10:$BG$42,$A53+2,FALSE)="NE","NE",IF(HLOOKUP(BQ$15,Data_5!$F$10:$BG$42,$A53+2,FALSE)="C","C",IF(HLOOKUP(BQ$15,Data_5!$F$10:$BG$42,$A53+2,FALSE)="NO","NO",HLOOKUP(BQ$15,Data_5!$F$10:$BG$42,$A53+2,FALSE)/Data_5!$BI48))))),"")</f>
        <v/>
      </c>
      <c r="BR53" s="1122" t="str">
        <f>IFERROR(IF(HLOOKUP(BR$15,Data_5!$F$10:$BG$42,$A53+2,FALSE)="NO","NO",IF(HLOOKUP(BR$15,Data_5!$F$10:$BG$42,$A53+2,FALSE)="IE","IE",IF(HLOOKUP(BR$15,Data_5!$F$10:$BG$42,$A53+2,FALSE)="NE","NE",IF(HLOOKUP(BR$15,Data_5!$F$10:$BG$42,$A53+2,FALSE)="C","C",IF(HLOOKUP(BR$15,Data_5!$F$10:$BG$42,$A53+2,FALSE)="NO","NO",HLOOKUP(BR$15,Data_5!$F$10:$BG$42,$A53+2,FALSE)/Data_5!$BI48))))),"")</f>
        <v/>
      </c>
      <c r="BS53" s="1122" t="str">
        <f>IFERROR(IF(HLOOKUP(BS$15,Data_5!$F$10:$BG$42,$A53+2,FALSE)="NO","NO",IF(HLOOKUP(BS$15,Data_5!$F$10:$BG$42,$A53+2,FALSE)="IE","IE",IF(HLOOKUP(BS$15,Data_5!$F$10:$BG$42,$A53+2,FALSE)="NE","NE",IF(HLOOKUP(BS$15,Data_5!$F$10:$BG$42,$A53+2,FALSE)="C","C",IF(HLOOKUP(BS$15,Data_5!$F$10:$BG$42,$A53+2,FALSE)="NO","NO",HLOOKUP(BS$15,Data_5!$F$10:$BG$42,$A53+2,FALSE)/Data_5!$BI48))))),"")</f>
        <v/>
      </c>
      <c r="BT53" s="1122" t="str">
        <f>IFERROR(IF(HLOOKUP(BT$15,Data_5!$F$10:$BG$42,$A53+2,FALSE)="NO","NO",IF(HLOOKUP(BT$15,Data_5!$F$10:$BG$42,$A53+2,FALSE)="IE","IE",IF(HLOOKUP(BT$15,Data_5!$F$10:$BG$42,$A53+2,FALSE)="NE","NE",IF(HLOOKUP(BT$15,Data_5!$F$10:$BG$42,$A53+2,FALSE)="C","C",IF(HLOOKUP(BT$15,Data_5!$F$10:$BG$42,$A53+2,FALSE)="NO","NO",HLOOKUP(BT$15,Data_5!$F$10:$BG$42,$A53+2,FALSE)/Data_5!$BI48))))),"")</f>
        <v/>
      </c>
      <c r="BU53" s="1122" t="str">
        <f>IFERROR(IF(HLOOKUP(BU$15,Data_5!$F$10:$BG$42,$A53+2,FALSE)="NO","NO",IF(HLOOKUP(BU$15,Data_5!$F$10:$BG$42,$A53+2,FALSE)="IE","IE",IF(HLOOKUP(BU$15,Data_5!$F$10:$BG$42,$A53+2,FALSE)="NE","NE",IF(HLOOKUP(BU$15,Data_5!$F$10:$BG$42,$A53+2,FALSE)="C","C",IF(HLOOKUP(BU$15,Data_5!$F$10:$BG$42,$A53+2,FALSE)="NO","NO",HLOOKUP(BU$15,Data_5!$F$10:$BG$42,$A53+2,FALSE)/Data_5!$BI48))))),"")</f>
        <v/>
      </c>
      <c r="BV53" s="1122" t="str">
        <f>IFERROR(IF(HLOOKUP(BV$15,Data_5!$F$10:$BG$42,$A53+2,FALSE)="NO","NO",IF(HLOOKUP(BV$15,Data_5!$F$10:$BG$42,$A53+2,FALSE)="IE","IE",IF(HLOOKUP(BV$15,Data_5!$F$10:$BG$42,$A53+2,FALSE)="NE","NE",IF(HLOOKUP(BV$15,Data_5!$F$10:$BG$42,$A53+2,FALSE)="C","C",IF(HLOOKUP(BV$15,Data_5!$F$10:$BG$42,$A53+2,FALSE)="NO","NO",HLOOKUP(BV$15,Data_5!$F$10:$BG$42,$A53+2,FALSE)/Data_5!$BI48))))),"")</f>
        <v/>
      </c>
      <c r="BW53" s="1122" t="str">
        <f>IFERROR(IF(HLOOKUP(BW$15,Data_5!$F$10:$BG$42,$A53+2,FALSE)="NO","NO",IF(HLOOKUP(BW$15,Data_5!$F$10:$BG$42,$A53+2,FALSE)="IE","IE",IF(HLOOKUP(BW$15,Data_5!$F$10:$BG$42,$A53+2,FALSE)="NE","NE",IF(HLOOKUP(BW$15,Data_5!$F$10:$BG$42,$A53+2,FALSE)="C","C",IF(HLOOKUP(BW$15,Data_5!$F$10:$BG$42,$A53+2,FALSE)="NO","NO",HLOOKUP(BW$15,Data_5!$F$10:$BG$42,$A53+2,FALSE)/Data_5!$BI48))))),"")</f>
        <v/>
      </c>
      <c r="BX53" s="1122" t="str">
        <f>IFERROR(IF(HLOOKUP(BX$15,Data_5!$F$10:$BG$42,$A53+2,FALSE)="NO","NO",IF(HLOOKUP(BX$15,Data_5!$F$10:$BG$42,$A53+2,FALSE)="IE","IE",IF(HLOOKUP(BX$15,Data_5!$F$10:$BG$42,$A53+2,FALSE)="NE","NE",IF(HLOOKUP(BX$15,Data_5!$F$10:$BG$42,$A53+2,FALSE)="C","C",IF(HLOOKUP(BX$15,Data_5!$F$10:$BG$42,$A53+2,FALSE)="NO","NO",HLOOKUP(BX$15,Data_5!$F$10:$BG$42,$A53+2,FALSE)/Data_5!$BI48))))),"")</f>
        <v/>
      </c>
      <c r="BY53" s="1122" t="str">
        <f>IFERROR(IF(HLOOKUP(BY$15,Data_5!$F$10:$BG$42,$A53+2,FALSE)="NO","NO",IF(HLOOKUP(BY$15,Data_5!$F$10:$BG$42,$A53+2,FALSE)="IE","IE",IF(HLOOKUP(BY$15,Data_5!$F$10:$BG$42,$A53+2,FALSE)="NE","NE",IF(HLOOKUP(BY$15,Data_5!$F$10:$BG$42,$A53+2,FALSE)="C","C",IF(HLOOKUP(BY$15,Data_5!$F$10:$BG$42,$A53+2,FALSE)="NO","NO",HLOOKUP(BY$15,Data_5!$F$10:$BG$42,$A53+2,FALSE)/Data_5!$BI48))))),"")</f>
        <v/>
      </c>
      <c r="BZ53" s="1122" t="str">
        <f>IFERROR(IF(HLOOKUP(BZ$15,Data_5!$F$10:$BG$42,$A53+2,FALSE)="NO","NO",IF(HLOOKUP(BZ$15,Data_5!$F$10:$BG$42,$A53+2,FALSE)="IE","IE",IF(HLOOKUP(BZ$15,Data_5!$F$10:$BG$42,$A53+2,FALSE)="NE","NE",IF(HLOOKUP(BZ$15,Data_5!$F$10:$BG$42,$A53+2,FALSE)="C","C",IF(HLOOKUP(BZ$15,Data_5!$F$10:$BG$42,$A53+2,FALSE)="NO","NO",HLOOKUP(BZ$15,Data_5!$F$10:$BG$42,$A53+2,FALSE)/Data_5!$BI48))))),"")</f>
        <v/>
      </c>
      <c r="CA53" s="1122" t="str">
        <f>IFERROR(IF(HLOOKUP(CA$15,Data_5!$F$10:$BG$42,$A53+2,FALSE)="NO","NO",IF(HLOOKUP(CA$15,Data_5!$F$10:$BG$42,$A53+2,FALSE)="IE","IE",IF(HLOOKUP(CA$15,Data_5!$F$10:$BG$42,$A53+2,FALSE)="NE","NE",IF(HLOOKUP(CA$15,Data_5!$F$10:$BG$42,$A53+2,FALSE)="C","C",IF(HLOOKUP(CA$15,Data_5!$F$10:$BG$42,$A53+2,FALSE)="NO","NO",HLOOKUP(CA$15,Data_5!$F$10:$BG$42,$A53+2,FALSE)/Data_5!$BI48))))),"")</f>
        <v/>
      </c>
      <c r="CB53" s="1122" t="str">
        <f>IFERROR(IF(HLOOKUP(CB$15,Data_5!$F$10:$BG$42,$A53+2,FALSE)="NO","NO",IF(HLOOKUP(CB$15,Data_5!$F$10:$BG$42,$A53+2,FALSE)="IE","IE",IF(HLOOKUP(CB$15,Data_5!$F$10:$BG$42,$A53+2,FALSE)="NE","NE",IF(HLOOKUP(CB$15,Data_5!$F$10:$BG$42,$A53+2,FALSE)="C","C",IF(HLOOKUP(CB$15,Data_5!$F$10:$BG$42,$A53+2,FALSE)="NO","NO",HLOOKUP(CB$15,Data_5!$F$10:$BG$42,$A53+2,FALSE)/Data_5!$BI48))))),"")</f>
        <v/>
      </c>
      <c r="CC53" s="1122" t="str">
        <f>IFERROR(IF(HLOOKUP(CC$15,Data_5!$F$10:$BG$42,$A53+2,FALSE)="NO","NO",IF(HLOOKUP(CC$15,Data_5!$F$10:$BG$42,$A53+2,FALSE)="IE","IE",IF(HLOOKUP(CC$15,Data_5!$F$10:$BG$42,$A53+2,FALSE)="NE","NE",IF(HLOOKUP(CC$15,Data_5!$F$10:$BG$42,$A53+2,FALSE)="C","C",IF(HLOOKUP(CC$15,Data_5!$F$10:$BG$42,$A53+2,FALSE)="NO","NO",HLOOKUP(CC$15,Data_5!$F$10:$BG$42,$A53+2,FALSE)/Data_5!$BI48))))),"")</f>
        <v/>
      </c>
      <c r="CD53" s="1122" t="str">
        <f>IFERROR(IF(HLOOKUP(CD$15,Data_5!$F$10:$BG$42,$A53+2,FALSE)="NO","NO",IF(HLOOKUP(CD$15,Data_5!$F$10:$BG$42,$A53+2,FALSE)="IE","IE",IF(HLOOKUP(CD$15,Data_5!$F$10:$BG$42,$A53+2,FALSE)="NE","NE",IF(HLOOKUP(CD$15,Data_5!$F$10:$BG$42,$A53+2,FALSE)="C","C",IF(HLOOKUP(CD$15,Data_5!$F$10:$BG$42,$A53+2,FALSE)="NO","NO",HLOOKUP(CD$15,Data_5!$F$10:$BG$42,$A53+2,FALSE)/Data_5!$BI48))))),"")</f>
        <v/>
      </c>
      <c r="CE53" s="1122" t="str">
        <f>IFERROR(IF(HLOOKUP(CE$15,Data_5!$F$10:$BG$42,$A53+2,FALSE)="NO","NO",IF(HLOOKUP(CE$15,Data_5!$F$10:$BG$42,$A53+2,FALSE)="IE","IE",IF(HLOOKUP(CE$15,Data_5!$F$10:$BG$42,$A53+2,FALSE)="NE","NE",IF(HLOOKUP(CE$15,Data_5!$F$10:$BG$42,$A53+2,FALSE)="C","C",IF(HLOOKUP(CE$15,Data_5!$F$10:$BG$42,$A53+2,FALSE)="NO","NO",HLOOKUP(CE$15,Data_5!$F$10:$BG$42,$A53+2,FALSE)/Data_5!$BI48))))),"")</f>
        <v/>
      </c>
      <c r="CF53" s="1122" t="str">
        <f>IFERROR(IF(HLOOKUP(CF$15,Data_5!$F$10:$BG$42,$A53+2,FALSE)="NO","NO",IF(HLOOKUP(CF$15,Data_5!$F$10:$BG$42,$A53+2,FALSE)="IE","IE",IF(HLOOKUP(CF$15,Data_5!$F$10:$BG$42,$A53+2,FALSE)="NE","NE",IF(HLOOKUP(CF$15,Data_5!$F$10:$BG$42,$A53+2,FALSE)="C","C",IF(HLOOKUP(CF$15,Data_5!$F$10:$BG$42,$A53+2,FALSE)="NO","NO",HLOOKUP(CF$15,Data_5!$F$10:$BG$42,$A53+2,FALSE)/Data_5!$BI48))))),"")</f>
        <v/>
      </c>
      <c r="CG53" s="1122" t="str">
        <f>IFERROR(IF(HLOOKUP(CG$15,Data_5!$F$10:$BG$42,$A53+2,FALSE)="NO","NO",IF(HLOOKUP(CG$15,Data_5!$F$10:$BG$42,$A53+2,FALSE)="IE","IE",IF(HLOOKUP(CG$15,Data_5!$F$10:$BG$42,$A53+2,FALSE)="NE","NE",IF(HLOOKUP(CG$15,Data_5!$F$10:$BG$42,$A53+2,FALSE)="C","C",IF(HLOOKUP(CG$15,Data_5!$F$10:$BG$42,$A53+2,FALSE)="NO","NO",HLOOKUP(CG$15,Data_5!$F$10:$BG$42,$A53+2,FALSE)/Data_5!$BI48))))),"")</f>
        <v/>
      </c>
      <c r="CH53" s="1122" t="str">
        <f>IFERROR(IF(HLOOKUP(CH$15,Data_5!$F$10:$BG$42,$A53+2,FALSE)="NO","NO",IF(HLOOKUP(CH$15,Data_5!$F$10:$BG$42,$A53+2,FALSE)="IE","IE",IF(HLOOKUP(CH$15,Data_5!$F$10:$BG$42,$A53+2,FALSE)="NE","NE",IF(HLOOKUP(CH$15,Data_5!$F$10:$BG$42,$A53+2,FALSE)="C","C",IF(HLOOKUP(CH$15,Data_5!$F$10:$BG$42,$A53+2,FALSE)="NO","NO",HLOOKUP(CH$15,Data_5!$F$10:$BG$42,$A53+2,FALSE)/Data_5!$BI48))))),"")</f>
        <v/>
      </c>
      <c r="CI53" s="1122" t="str">
        <f>IFERROR(IF(HLOOKUP(CI$15,Data_5!$F$10:$BG$42,$A53+2,FALSE)="NO","NO",IF(HLOOKUP(CI$15,Data_5!$F$10:$BG$42,$A53+2,FALSE)="IE","IE",IF(HLOOKUP(CI$15,Data_5!$F$10:$BG$42,$A53+2,FALSE)="NE","NE",IF(HLOOKUP(CI$15,Data_5!$F$10:$BG$42,$A53+2,FALSE)="C","C",IF(HLOOKUP(CI$15,Data_5!$F$10:$BG$42,$A53+2,FALSE)="NO","NO",HLOOKUP(CI$15,Data_5!$F$10:$BG$42,$A53+2,FALSE)/Data_5!$BI48))))),"")</f>
        <v/>
      </c>
      <c r="CJ53" s="1122" t="str">
        <f>IFERROR(IF(HLOOKUP(CJ$15,Data_5!$F$10:$BG$42,$A53+2,FALSE)="NO","NO",IF(HLOOKUP(CJ$15,Data_5!$F$10:$BG$42,$A53+2,FALSE)="IE","IE",IF(HLOOKUP(CJ$15,Data_5!$F$10:$BG$42,$A53+2,FALSE)="NE","NE",IF(HLOOKUP(CJ$15,Data_5!$F$10:$BG$42,$A53+2,FALSE)="C","C",IF(HLOOKUP(CJ$15,Data_5!$F$10:$BG$42,$A53+2,FALSE)="NO","NO",HLOOKUP(CJ$15,Data_5!$F$10:$BG$42,$A53+2,FALSE)/Data_5!$BI48))))),"")</f>
        <v/>
      </c>
      <c r="CL53" s="2628" t="str">
        <f t="shared" ca="1" si="6"/>
        <v/>
      </c>
      <c r="CM53" s="2629"/>
      <c r="CN53" s="1100" t="str">
        <f t="shared" ca="1" si="7"/>
        <v/>
      </c>
      <c r="CO53" s="1122" t="str">
        <f>IFERROR(IF(HLOOKUP(CO$15,Data_5!$F$10:$BG$42,$A53+2,FALSE)="NO","NO",IF(HLOOKUP(CO$15,Data_5!$F$10:$BG$42,$A53+2,FALSE)="IE","IE",IF(HLOOKUP(CO$15,Data_5!$F$10:$BG$42,$A53+2,FALSE)="NE","NE",IF(HLOOKUP(CO$15,Data_5!$F$10:$BG$42,$A53+2,FALSE)="C","C",IF(HLOOKUP(CO$15,Data_5!$F$10:$BG$42,$A53+2,FALSE)="NO","NO",HLOOKUP(CO$15,Data_5!$F$10:$BG$42,$A53+2,FALSE)/Data_5!$BK48))))),"")</f>
        <v/>
      </c>
      <c r="CP53" s="1122" t="str">
        <f>IFERROR(IF(HLOOKUP(CP$15,Data_5!$F$10:$BG$42,$A53+2,FALSE)="NO","NO",IF(HLOOKUP(CP$15,Data_5!$F$10:$BG$42,$A53+2,FALSE)="IE","IE",IF(HLOOKUP(CP$15,Data_5!$F$10:$BG$42,$A53+2,FALSE)="NE","NE",IF(HLOOKUP(CP$15,Data_5!$F$10:$BG$42,$A53+2,FALSE)="C","C",IF(HLOOKUP(CP$15,Data_5!$F$10:$BG$42,$A53+2,FALSE)="NO","NO",HLOOKUP(CP$15,Data_5!$F$10:$BG$42,$A53+2,FALSE)/Data_5!$BK48))))),"")</f>
        <v/>
      </c>
      <c r="CQ53" s="1122" t="str">
        <f>IFERROR(IF(HLOOKUP(CQ$15,Data_5!$F$10:$BG$42,$A53+2,FALSE)="NO","NO",IF(HLOOKUP(CQ$15,Data_5!$F$10:$BG$42,$A53+2,FALSE)="IE","IE",IF(HLOOKUP(CQ$15,Data_5!$F$10:$BG$42,$A53+2,FALSE)="NE","NE",IF(HLOOKUP(CQ$15,Data_5!$F$10:$BG$42,$A53+2,FALSE)="C","C",IF(HLOOKUP(CQ$15,Data_5!$F$10:$BG$42,$A53+2,FALSE)="NO","NO",HLOOKUP(CQ$15,Data_5!$F$10:$BG$42,$A53+2,FALSE)/Data_5!$BK48))))),"")</f>
        <v/>
      </c>
      <c r="CR53" s="1122" t="str">
        <f>IFERROR(IF(HLOOKUP(CR$15,Data_5!$F$10:$BG$42,$A53+2,FALSE)="NO","NO",IF(HLOOKUP(CR$15,Data_5!$F$10:$BG$42,$A53+2,FALSE)="IE","IE",IF(HLOOKUP(CR$15,Data_5!$F$10:$BG$42,$A53+2,FALSE)="NE","NE",IF(HLOOKUP(CR$15,Data_5!$F$10:$BG$42,$A53+2,FALSE)="C","C",IF(HLOOKUP(CR$15,Data_5!$F$10:$BG$42,$A53+2,FALSE)="NO","NO",HLOOKUP(CR$15,Data_5!$F$10:$BG$42,$A53+2,FALSE)/Data_5!$BK48))))),"")</f>
        <v/>
      </c>
      <c r="CS53" s="1122" t="str">
        <f>IFERROR(IF(HLOOKUP(CS$15,Data_5!$F$10:$BG$42,$A53+2,FALSE)="NO","NO",IF(HLOOKUP(CS$15,Data_5!$F$10:$BG$42,$A53+2,FALSE)="IE","IE",IF(HLOOKUP(CS$15,Data_5!$F$10:$BG$42,$A53+2,FALSE)="NE","NE",IF(HLOOKUP(CS$15,Data_5!$F$10:$BG$42,$A53+2,FALSE)="C","C",IF(HLOOKUP(CS$15,Data_5!$F$10:$BG$42,$A53+2,FALSE)="NO","NO",HLOOKUP(CS$15,Data_5!$F$10:$BG$42,$A53+2,FALSE)/Data_5!$BK48))))),"")</f>
        <v/>
      </c>
      <c r="CT53" s="1122" t="str">
        <f>IFERROR(IF(HLOOKUP(CT$15,Data_5!$F$10:$BG$42,$A53+2,FALSE)="NO","NO",IF(HLOOKUP(CT$15,Data_5!$F$10:$BG$42,$A53+2,FALSE)="IE","IE",IF(HLOOKUP(CT$15,Data_5!$F$10:$BG$42,$A53+2,FALSE)="NE","NE",IF(HLOOKUP(CT$15,Data_5!$F$10:$BG$42,$A53+2,FALSE)="C","C",IF(HLOOKUP(CT$15,Data_5!$F$10:$BG$42,$A53+2,FALSE)="NO","NO",HLOOKUP(CT$15,Data_5!$F$10:$BG$42,$A53+2,FALSE)/Data_5!$BK48))))),"")</f>
        <v/>
      </c>
      <c r="CU53" s="1122" t="str">
        <f>IFERROR(IF(HLOOKUP(CU$15,Data_5!$F$10:$BG$42,$A53+2,FALSE)="NO","NO",IF(HLOOKUP(CU$15,Data_5!$F$10:$BG$42,$A53+2,FALSE)="IE","IE",IF(HLOOKUP(CU$15,Data_5!$F$10:$BG$42,$A53+2,FALSE)="NE","NE",IF(HLOOKUP(CU$15,Data_5!$F$10:$BG$42,$A53+2,FALSE)="C","C",IF(HLOOKUP(CU$15,Data_5!$F$10:$BG$42,$A53+2,FALSE)="NO","NO",HLOOKUP(CU$15,Data_5!$F$10:$BG$42,$A53+2,FALSE)/Data_5!$BK48))))),"")</f>
        <v/>
      </c>
      <c r="CV53" s="1122" t="str">
        <f>IFERROR(IF(HLOOKUP(CV$15,Data_5!$F$10:$BG$42,$A53+2,FALSE)="NO","NO",IF(HLOOKUP(CV$15,Data_5!$F$10:$BG$42,$A53+2,FALSE)="IE","IE",IF(HLOOKUP(CV$15,Data_5!$F$10:$BG$42,$A53+2,FALSE)="NE","NE",IF(HLOOKUP(CV$15,Data_5!$F$10:$BG$42,$A53+2,FALSE)="C","C",IF(HLOOKUP(CV$15,Data_5!$F$10:$BG$42,$A53+2,FALSE)="NO","NO",HLOOKUP(CV$15,Data_5!$F$10:$BG$42,$A53+2,FALSE)/Data_5!$BK48))))),"")</f>
        <v/>
      </c>
      <c r="CW53" s="1122" t="str">
        <f>IFERROR(IF(HLOOKUP(CW$15,Data_5!$F$10:$BG$42,$A53+2,FALSE)="NO","NO",IF(HLOOKUP(CW$15,Data_5!$F$10:$BG$42,$A53+2,FALSE)="IE","IE",IF(HLOOKUP(CW$15,Data_5!$F$10:$BG$42,$A53+2,FALSE)="NE","NE",IF(HLOOKUP(CW$15,Data_5!$F$10:$BG$42,$A53+2,FALSE)="C","C",IF(HLOOKUP(CW$15,Data_5!$F$10:$BG$42,$A53+2,FALSE)="NO","NO",HLOOKUP(CW$15,Data_5!$F$10:$BG$42,$A53+2,FALSE)/Data_5!$BK48))))),"")</f>
        <v/>
      </c>
      <c r="CX53" s="1122" t="str">
        <f>IFERROR(IF(HLOOKUP(CX$15,Data_5!$F$10:$BG$42,$A53+2,FALSE)="NO","NO",IF(HLOOKUP(CX$15,Data_5!$F$10:$BG$42,$A53+2,FALSE)="IE","IE",IF(HLOOKUP(CX$15,Data_5!$F$10:$BG$42,$A53+2,FALSE)="NE","NE",IF(HLOOKUP(CX$15,Data_5!$F$10:$BG$42,$A53+2,FALSE)="C","C",IF(HLOOKUP(CX$15,Data_5!$F$10:$BG$42,$A53+2,FALSE)="NO","NO",HLOOKUP(CX$15,Data_5!$F$10:$BG$42,$A53+2,FALSE)/Data_5!$BK48))))),"")</f>
        <v/>
      </c>
      <c r="CY53" s="1122" t="str">
        <f>IFERROR(IF(HLOOKUP(CY$15,Data_5!$F$10:$BG$42,$A53+2,FALSE)="NO","NO",IF(HLOOKUP(CY$15,Data_5!$F$10:$BG$42,$A53+2,FALSE)="IE","IE",IF(HLOOKUP(CY$15,Data_5!$F$10:$BG$42,$A53+2,FALSE)="NE","NE",IF(HLOOKUP(CY$15,Data_5!$F$10:$BG$42,$A53+2,FALSE)="C","C",IF(HLOOKUP(CY$15,Data_5!$F$10:$BG$42,$A53+2,FALSE)="NO","NO",HLOOKUP(CY$15,Data_5!$F$10:$BG$42,$A53+2,FALSE)/Data_5!$BK48))))),"")</f>
        <v/>
      </c>
      <c r="CZ53" s="1122" t="str">
        <f>IFERROR(IF(HLOOKUP(CZ$15,Data_5!$F$10:$BG$42,$A53+2,FALSE)="NO","NO",IF(HLOOKUP(CZ$15,Data_5!$F$10:$BG$42,$A53+2,FALSE)="IE","IE",IF(HLOOKUP(CZ$15,Data_5!$F$10:$BG$42,$A53+2,FALSE)="NE","NE",IF(HLOOKUP(CZ$15,Data_5!$F$10:$BG$42,$A53+2,FALSE)="C","C",IF(HLOOKUP(CZ$15,Data_5!$F$10:$BG$42,$A53+2,FALSE)="NO","NO",HLOOKUP(CZ$15,Data_5!$F$10:$BG$42,$A53+2,FALSE)/Data_5!$BK48))))),"")</f>
        <v/>
      </c>
      <c r="DA53" s="1122" t="str">
        <f>IFERROR(IF(HLOOKUP(DA$15,Data_5!$F$10:$BG$42,$A53+2,FALSE)="NO","NO",IF(HLOOKUP(DA$15,Data_5!$F$10:$BG$42,$A53+2,FALSE)="IE","IE",IF(HLOOKUP(DA$15,Data_5!$F$10:$BG$42,$A53+2,FALSE)="NE","NE",IF(HLOOKUP(DA$15,Data_5!$F$10:$BG$42,$A53+2,FALSE)="C","C",IF(HLOOKUP(DA$15,Data_5!$F$10:$BG$42,$A53+2,FALSE)="NO","NO",HLOOKUP(DA$15,Data_5!$F$10:$BG$42,$A53+2,FALSE)/Data_5!$BK48))))),"")</f>
        <v/>
      </c>
      <c r="DB53" s="1122" t="str">
        <f>IFERROR(IF(HLOOKUP(DB$15,Data_5!$F$10:$BG$42,$A53+2,FALSE)="NO","NO",IF(HLOOKUP(DB$15,Data_5!$F$10:$BG$42,$A53+2,FALSE)="IE","IE",IF(HLOOKUP(DB$15,Data_5!$F$10:$BG$42,$A53+2,FALSE)="NE","NE",IF(HLOOKUP(DB$15,Data_5!$F$10:$BG$42,$A53+2,FALSE)="C","C",IF(HLOOKUP(DB$15,Data_5!$F$10:$BG$42,$A53+2,FALSE)="NO","NO",HLOOKUP(DB$15,Data_5!$F$10:$BG$42,$A53+2,FALSE)/Data_5!$BK48))))),"")</f>
        <v/>
      </c>
      <c r="DC53" s="1122" t="str">
        <f>IFERROR(IF(HLOOKUP(DC$15,Data_5!$F$10:$BG$42,$A53+2,FALSE)="NO","NO",IF(HLOOKUP(DC$15,Data_5!$F$10:$BG$42,$A53+2,FALSE)="IE","IE",IF(HLOOKUP(DC$15,Data_5!$F$10:$BG$42,$A53+2,FALSE)="NE","NE",IF(HLOOKUP(DC$15,Data_5!$F$10:$BG$42,$A53+2,FALSE)="C","C",IF(HLOOKUP(DC$15,Data_5!$F$10:$BG$42,$A53+2,FALSE)="NO","NO",HLOOKUP(DC$15,Data_5!$F$10:$BG$42,$A53+2,FALSE)/Data_5!$BK48))))),"")</f>
        <v/>
      </c>
      <c r="DD53" s="1122" t="str">
        <f>IFERROR(IF(HLOOKUP(DD$15,Data_5!$F$10:$BG$42,$A53+2,FALSE)="NO","NO",IF(HLOOKUP(DD$15,Data_5!$F$10:$BG$42,$A53+2,FALSE)="IE","IE",IF(HLOOKUP(DD$15,Data_5!$F$10:$BG$42,$A53+2,FALSE)="NE","NE",IF(HLOOKUP(DD$15,Data_5!$F$10:$BG$42,$A53+2,FALSE)="C","C",IF(HLOOKUP(DD$15,Data_5!$F$10:$BG$42,$A53+2,FALSE)="NO","NO",HLOOKUP(DD$15,Data_5!$F$10:$BG$42,$A53+2,FALSE)/Data_5!$BK48))))),"")</f>
        <v/>
      </c>
      <c r="DE53" s="1122" t="str">
        <f>IFERROR(IF(HLOOKUP(DE$15,Data_5!$F$10:$BG$42,$A53+2,FALSE)="NO","NO",IF(HLOOKUP(DE$15,Data_5!$F$10:$BG$42,$A53+2,FALSE)="IE","IE",IF(HLOOKUP(DE$15,Data_5!$F$10:$BG$42,$A53+2,FALSE)="NE","NE",IF(HLOOKUP(DE$15,Data_5!$F$10:$BG$42,$A53+2,FALSE)="C","C",IF(HLOOKUP(DE$15,Data_5!$F$10:$BG$42,$A53+2,FALSE)="NO","NO",HLOOKUP(DE$15,Data_5!$F$10:$BG$42,$A53+2,FALSE)/Data_5!$BK48))))),"")</f>
        <v/>
      </c>
      <c r="DF53" s="1122" t="str">
        <f>IFERROR(IF(HLOOKUP(DF$15,Data_5!$F$10:$BG$42,$A53+2,FALSE)="NO","NO",IF(HLOOKUP(DF$15,Data_5!$F$10:$BG$42,$A53+2,FALSE)="IE","IE",IF(HLOOKUP(DF$15,Data_5!$F$10:$BG$42,$A53+2,FALSE)="NE","NE",IF(HLOOKUP(DF$15,Data_5!$F$10:$BG$42,$A53+2,FALSE)="C","C",IF(HLOOKUP(DF$15,Data_5!$F$10:$BG$42,$A53+2,FALSE)="NO","NO",HLOOKUP(DF$15,Data_5!$F$10:$BG$42,$A53+2,FALSE)/Data_5!$BK48))))),"")</f>
        <v/>
      </c>
      <c r="DG53" s="1122" t="str">
        <f>IFERROR(IF(HLOOKUP(DG$15,Data_5!$F$10:$BG$42,$A53+2,FALSE)="NO","NO",IF(HLOOKUP(DG$15,Data_5!$F$10:$BG$42,$A53+2,FALSE)="IE","IE",IF(HLOOKUP(DG$15,Data_5!$F$10:$BG$42,$A53+2,FALSE)="NE","NE",IF(HLOOKUP(DG$15,Data_5!$F$10:$BG$42,$A53+2,FALSE)="C","C",IF(HLOOKUP(DG$15,Data_5!$F$10:$BG$42,$A53+2,FALSE)="NO","NO",HLOOKUP(DG$15,Data_5!$F$10:$BG$42,$A53+2,FALSE)/Data_5!$BK48))))),"")</f>
        <v/>
      </c>
      <c r="DH53" s="1122" t="str">
        <f>IFERROR(IF(HLOOKUP(DH$15,Data_5!$F$10:$BG$42,$A53+2,FALSE)="NO","NO",IF(HLOOKUP(DH$15,Data_5!$F$10:$BG$42,$A53+2,FALSE)="IE","IE",IF(HLOOKUP(DH$15,Data_5!$F$10:$BG$42,$A53+2,FALSE)="NE","NE",IF(HLOOKUP(DH$15,Data_5!$F$10:$BG$42,$A53+2,FALSE)="C","C",IF(HLOOKUP(DH$15,Data_5!$F$10:$BG$42,$A53+2,FALSE)="NO","NO",HLOOKUP(DH$15,Data_5!$F$10:$BG$42,$A53+2,FALSE)/Data_5!$BK48))))),"")</f>
        <v/>
      </c>
      <c r="DI53" s="1122" t="str">
        <f>IFERROR(IF(HLOOKUP(DI$15,Data_5!$F$10:$BG$42,$A53+2,FALSE)="NO","NO",IF(HLOOKUP(DI$15,Data_5!$F$10:$BG$42,$A53+2,FALSE)="IE","IE",IF(HLOOKUP(DI$15,Data_5!$F$10:$BG$42,$A53+2,FALSE)="NE","NE",IF(HLOOKUP(DI$15,Data_5!$F$10:$BG$42,$A53+2,FALSE)="C","C",IF(HLOOKUP(DI$15,Data_5!$F$10:$BG$42,$A53+2,FALSE)="NO","NO",HLOOKUP(DI$15,Data_5!$F$10:$BG$42,$A53+2,FALSE)/Data_5!$BK48))))),"")</f>
        <v/>
      </c>
      <c r="DJ53" s="1122" t="str">
        <f>IFERROR(IF(HLOOKUP(DJ$15,Data_5!$F$10:$BG$42,$A53+2,FALSE)="NO","NO",IF(HLOOKUP(DJ$15,Data_5!$F$10:$BG$42,$A53+2,FALSE)="IE","IE",IF(HLOOKUP(DJ$15,Data_5!$F$10:$BG$42,$A53+2,FALSE)="NE","NE",IF(HLOOKUP(DJ$15,Data_5!$F$10:$BG$42,$A53+2,FALSE)="C","C",IF(HLOOKUP(DJ$15,Data_5!$F$10:$BG$42,$A53+2,FALSE)="NO","NO",HLOOKUP(DJ$15,Data_5!$F$10:$BG$42,$A53+2,FALSE)/Data_5!$BK48))))),"")</f>
        <v/>
      </c>
      <c r="DK53" s="1122" t="str">
        <f>IFERROR(IF(HLOOKUP(DK$15,Data_5!$F$10:$BG$42,$A53+2,FALSE)="NO","NO",IF(HLOOKUP(DK$15,Data_5!$F$10:$BG$42,$A53+2,FALSE)="IE","IE",IF(HLOOKUP(DK$15,Data_5!$F$10:$BG$42,$A53+2,FALSE)="NE","NE",IF(HLOOKUP(DK$15,Data_5!$F$10:$BG$42,$A53+2,FALSE)="C","C",IF(HLOOKUP(DK$15,Data_5!$F$10:$BG$42,$A53+2,FALSE)="NO","NO",HLOOKUP(DK$15,Data_5!$F$10:$BG$42,$A53+2,FALSE)/Data_5!$BK48))))),"")</f>
        <v/>
      </c>
      <c r="DL53" s="1122" t="str">
        <f>IFERROR(IF(HLOOKUP(DL$15,Data_5!$F$10:$BG$42,$A53+2,FALSE)="NO","NO",IF(HLOOKUP(DL$15,Data_5!$F$10:$BG$42,$A53+2,FALSE)="IE","IE",IF(HLOOKUP(DL$15,Data_5!$F$10:$BG$42,$A53+2,FALSE)="NE","NE",IF(HLOOKUP(DL$15,Data_5!$F$10:$BG$42,$A53+2,FALSE)="C","C",IF(HLOOKUP(DL$15,Data_5!$F$10:$BG$42,$A53+2,FALSE)="NO","NO",HLOOKUP(DL$15,Data_5!$F$10:$BG$42,$A53+2,FALSE)/Data_5!$BK48))))),"")</f>
        <v/>
      </c>
      <c r="DM53" s="1122" t="str">
        <f>IFERROR(IF(HLOOKUP(DM$15,Data_5!$F$10:$BG$42,$A53+2,FALSE)="NO","NO",IF(HLOOKUP(DM$15,Data_5!$F$10:$BG$42,$A53+2,FALSE)="IE","IE",IF(HLOOKUP(DM$15,Data_5!$F$10:$BG$42,$A53+2,FALSE)="NE","NE",IF(HLOOKUP(DM$15,Data_5!$F$10:$BG$42,$A53+2,FALSE)="C","C",IF(HLOOKUP(DM$15,Data_5!$F$10:$BG$42,$A53+2,FALSE)="NO","NO",HLOOKUP(DM$15,Data_5!$F$10:$BG$42,$A53+2,FALSE)/Data_5!$BK48))))),"")</f>
        <v/>
      </c>
      <c r="DN53" s="1122" t="str">
        <f>IFERROR(IF(HLOOKUP(DN$15,Data_5!$F$10:$BG$42,$A53+2,FALSE)="NO","NO",IF(HLOOKUP(DN$15,Data_5!$F$10:$BG$42,$A53+2,FALSE)="IE","IE",IF(HLOOKUP(DN$15,Data_5!$F$10:$BG$42,$A53+2,FALSE)="NE","NE",IF(HLOOKUP(DN$15,Data_5!$F$10:$BG$42,$A53+2,FALSE)="C","C",IF(HLOOKUP(DN$15,Data_5!$F$10:$BG$42,$A53+2,FALSE)="NO","NO",HLOOKUP(DN$15,Data_5!$F$10:$BG$42,$A53+2,FALSE)/Data_5!$BK48))))),"")</f>
        <v/>
      </c>
      <c r="DO53" s="1122" t="str">
        <f>IFERROR(IF(HLOOKUP(DO$15,Data_5!$F$10:$BG$42,$A53+2,FALSE)="NO","NO",IF(HLOOKUP(DO$15,Data_5!$F$10:$BG$42,$A53+2,FALSE)="IE","IE",IF(HLOOKUP(DO$15,Data_5!$F$10:$BG$42,$A53+2,FALSE)="NE","NE",IF(HLOOKUP(DO$15,Data_5!$F$10:$BG$42,$A53+2,FALSE)="C","C",IF(HLOOKUP(DO$15,Data_5!$F$10:$BG$42,$A53+2,FALSE)="NO","NO",HLOOKUP(DO$15,Data_5!$F$10:$BG$42,$A53+2,FALSE)/Data_5!$BK48))))),"")</f>
        <v/>
      </c>
    </row>
    <row r="54" spans="1:119" ht="15" customHeight="1">
      <c r="A54" s="1789">
        <v>38</v>
      </c>
      <c r="B54" s="2628" t="str">
        <f ca="1">IF(Data_5!B49&lt;&gt;"",Data_5!B49,"")</f>
        <v/>
      </c>
      <c r="C54" s="2629"/>
      <c r="D54" s="1462">
        <f ca="1">IFERROR(VLOOKUP($B54,Data_5!$B$12:$C$42,2,FALSE),"")</f>
        <v>0</v>
      </c>
      <c r="E54" s="1122" t="str">
        <f>IFERROR(IF(HLOOKUP(E$15,Data_5!$F$10:$BG$42,$A54+2,FALSE)="NO","NO",IF(HLOOKUP(E$15,Data_5!$F$10:$BG$42,$A54+2,FALSE)="IE","IE",IF(HLOOKUP(E$15,Data_5!$F$10:$BG$42,$A54+2,FALSE)="NE","NE",IF(HLOOKUP(E$15,Data_5!$F$10:$BG$42,$A54+2,FALSE)="C","C",IF(HLOOKUP(E$15,Data_5!$F$10:$BG$42,$A54+2,FALSE)="NO","NO",HLOOKUP(E$15,Data_5!$F$10:$BG$42,$A54+2,FALSE)/Data_5!$BH49))))),"")</f>
        <v/>
      </c>
      <c r="F54" s="1122" t="str">
        <f>IFERROR(IF(HLOOKUP(F$15,Data_5!$F$10:$BG$42,$A54+2,FALSE)="NO","NO",IF(HLOOKUP(F$15,Data_5!$F$10:$BG$42,$A54+2,FALSE)="IE","IE",IF(HLOOKUP(F$15,Data_5!$F$10:$BG$42,$A54+2,FALSE)="NE","NE",IF(HLOOKUP(F$15,Data_5!$F$10:$BG$42,$A54+2,FALSE)="C","C",IF(HLOOKUP(F$15,Data_5!$F$10:$BG$42,$A54+2,FALSE)="NO","NO",HLOOKUP(F$15,Data_5!$F$10:$BG$42,$A54+2,FALSE)/Data_5!$BH49))))),"")</f>
        <v/>
      </c>
      <c r="G54" s="1122" t="str">
        <f>IFERROR(IF(HLOOKUP(G$15,Data_5!$F$10:$BG$42,$A54+2,FALSE)="NO","NO",IF(HLOOKUP(G$15,Data_5!$F$10:$BG$42,$A54+2,FALSE)="IE","IE",IF(HLOOKUP(G$15,Data_5!$F$10:$BG$42,$A54+2,FALSE)="NE","NE",IF(HLOOKUP(G$15,Data_5!$F$10:$BG$42,$A54+2,FALSE)="C","C",IF(HLOOKUP(G$15,Data_5!$F$10:$BG$42,$A54+2,FALSE)="NO","NO",HLOOKUP(G$15,Data_5!$F$10:$BG$42,$A54+2,FALSE)/Data_5!$BH49))))),"")</f>
        <v/>
      </c>
      <c r="H54" s="1122" t="str">
        <f>IFERROR(IF(HLOOKUP(H$15,Data_5!$F$10:$BG$42,$A54+2,FALSE)="NO","NO",IF(HLOOKUP(H$15,Data_5!$F$10:$BG$42,$A54+2,FALSE)="IE","IE",IF(HLOOKUP(H$15,Data_5!$F$10:$BG$42,$A54+2,FALSE)="NE","NE",IF(HLOOKUP(H$15,Data_5!$F$10:$BG$42,$A54+2,FALSE)="C","C",IF(HLOOKUP(H$15,Data_5!$F$10:$BG$42,$A54+2,FALSE)="NO","NO",HLOOKUP(H$15,Data_5!$F$10:$BG$42,$A54+2,FALSE)/Data_5!$BH49))))),"")</f>
        <v/>
      </c>
      <c r="I54" s="1122" t="str">
        <f>IFERROR(IF(HLOOKUP(I$15,Data_5!$F$10:$BG$42,$A54+2,FALSE)="NO","NO",IF(HLOOKUP(I$15,Data_5!$F$10:$BG$42,$A54+2,FALSE)="IE","IE",IF(HLOOKUP(I$15,Data_5!$F$10:$BG$42,$A54+2,FALSE)="NE","NE",IF(HLOOKUP(I$15,Data_5!$F$10:$BG$42,$A54+2,FALSE)="C","C",IF(HLOOKUP(I$15,Data_5!$F$10:$BG$42,$A54+2,FALSE)="NO","NO",HLOOKUP(I$15,Data_5!$F$10:$BG$42,$A54+2,FALSE)/Data_5!$BH49))))),"")</f>
        <v/>
      </c>
      <c r="J54" s="1122" t="str">
        <f>IFERROR(IF(HLOOKUP(J$15,Data_5!$F$10:$BG$42,$A54+2,FALSE)="NO","NO",IF(HLOOKUP(J$15,Data_5!$F$10:$BG$42,$A54+2,FALSE)="IE","IE",IF(HLOOKUP(J$15,Data_5!$F$10:$BG$42,$A54+2,FALSE)="NE","NE",IF(HLOOKUP(J$15,Data_5!$F$10:$BG$42,$A54+2,FALSE)="C","C",IF(HLOOKUP(J$15,Data_5!$F$10:$BG$42,$A54+2,FALSE)="NO","NO",HLOOKUP(J$15,Data_5!$F$10:$BG$42,$A54+2,FALSE)/Data_5!$BH49))))),"")</f>
        <v/>
      </c>
      <c r="K54" s="1122" t="str">
        <f>IFERROR(IF(HLOOKUP(K$15,Data_5!$F$10:$BG$42,$A54+2,FALSE)="NO","NO",IF(HLOOKUP(K$15,Data_5!$F$10:$BG$42,$A54+2,FALSE)="IE","IE",IF(HLOOKUP(K$15,Data_5!$F$10:$BG$42,$A54+2,FALSE)="NE","NE",IF(HLOOKUP(K$15,Data_5!$F$10:$BG$42,$A54+2,FALSE)="C","C",IF(HLOOKUP(K$15,Data_5!$F$10:$BG$42,$A54+2,FALSE)="NO","NO",HLOOKUP(K$15,Data_5!$F$10:$BG$42,$A54+2,FALSE)/Data_5!$BH49))))),"")</f>
        <v/>
      </c>
      <c r="L54" s="1122" t="str">
        <f>IFERROR(IF(HLOOKUP(L$15,Data_5!$F$10:$BG$42,$A54+2,FALSE)="NO","NO",IF(HLOOKUP(L$15,Data_5!$F$10:$BG$42,$A54+2,FALSE)="IE","IE",IF(HLOOKUP(L$15,Data_5!$F$10:$BG$42,$A54+2,FALSE)="NE","NE",IF(HLOOKUP(L$15,Data_5!$F$10:$BG$42,$A54+2,FALSE)="C","C",IF(HLOOKUP(L$15,Data_5!$F$10:$BG$42,$A54+2,FALSE)="NO","NO",HLOOKUP(L$15,Data_5!$F$10:$BG$42,$A54+2,FALSE)/Data_5!$BH49))))),"")</f>
        <v/>
      </c>
      <c r="M54" s="1122" t="str">
        <f>IFERROR(IF(HLOOKUP(M$15,Data_5!$F$10:$BG$42,$A54+2,FALSE)="NO","NO",IF(HLOOKUP(M$15,Data_5!$F$10:$BG$42,$A54+2,FALSE)="IE","IE",IF(HLOOKUP(M$15,Data_5!$F$10:$BG$42,$A54+2,FALSE)="NE","NE",IF(HLOOKUP(M$15,Data_5!$F$10:$BG$42,$A54+2,FALSE)="C","C",IF(HLOOKUP(M$15,Data_5!$F$10:$BG$42,$A54+2,FALSE)="NO","NO",HLOOKUP(M$15,Data_5!$F$10:$BG$42,$A54+2,FALSE)/Data_5!$BH49))))),"")</f>
        <v/>
      </c>
      <c r="N54" s="1122" t="str">
        <f>IFERROR(IF(HLOOKUP(N$15,Data_5!$F$10:$BG$42,$A54+2,FALSE)="NO","NO",IF(HLOOKUP(N$15,Data_5!$F$10:$BG$42,$A54+2,FALSE)="IE","IE",IF(HLOOKUP(N$15,Data_5!$F$10:$BG$42,$A54+2,FALSE)="NE","NE",IF(HLOOKUP(N$15,Data_5!$F$10:$BG$42,$A54+2,FALSE)="C","C",IF(HLOOKUP(N$15,Data_5!$F$10:$BG$42,$A54+2,FALSE)="NO","NO",HLOOKUP(N$15,Data_5!$F$10:$BG$42,$A54+2,FALSE)/Data_5!$BH49))))),"")</f>
        <v/>
      </c>
      <c r="O54" s="1122" t="str">
        <f>IFERROR(IF(HLOOKUP(O$15,Data_5!$F$10:$BG$42,$A54+2,FALSE)="NO","NO",IF(HLOOKUP(O$15,Data_5!$F$10:$BG$42,$A54+2,FALSE)="IE","IE",IF(HLOOKUP(O$15,Data_5!$F$10:$BG$42,$A54+2,FALSE)="NE","NE",IF(HLOOKUP(O$15,Data_5!$F$10:$BG$42,$A54+2,FALSE)="C","C",IF(HLOOKUP(O$15,Data_5!$F$10:$BG$42,$A54+2,FALSE)="NO","NO",HLOOKUP(O$15,Data_5!$F$10:$BG$42,$A54+2,FALSE)/Data_5!$BH49))))),"")</f>
        <v/>
      </c>
      <c r="P54" s="1122" t="str">
        <f>IFERROR(IF(HLOOKUP(P$15,Data_5!$F$10:$BG$42,$A54+2,FALSE)="NO","NO",IF(HLOOKUP(P$15,Data_5!$F$10:$BG$42,$A54+2,FALSE)="IE","IE",IF(HLOOKUP(P$15,Data_5!$F$10:$BG$42,$A54+2,FALSE)="NE","NE",IF(HLOOKUP(P$15,Data_5!$F$10:$BG$42,$A54+2,FALSE)="C","C",IF(HLOOKUP(P$15,Data_5!$F$10:$BG$42,$A54+2,FALSE)="NO","NO",HLOOKUP(P$15,Data_5!$F$10:$BG$42,$A54+2,FALSE)/Data_5!$BH49))))),"")</f>
        <v/>
      </c>
      <c r="Q54" s="1122" t="str">
        <f>IFERROR(IF(HLOOKUP(Q$15,Data_5!$F$10:$BG$42,$A54+2,FALSE)="NO","NO",IF(HLOOKUP(Q$15,Data_5!$F$10:$BG$42,$A54+2,FALSE)="IE","IE",IF(HLOOKUP(Q$15,Data_5!$F$10:$BG$42,$A54+2,FALSE)="NE","NE",IF(HLOOKUP(Q$15,Data_5!$F$10:$BG$42,$A54+2,FALSE)="C","C",IF(HLOOKUP(Q$15,Data_5!$F$10:$BG$42,$A54+2,FALSE)="NO","NO",HLOOKUP(Q$15,Data_5!$F$10:$BG$42,$A54+2,FALSE)/Data_5!$BH49))))),"")</f>
        <v/>
      </c>
      <c r="R54" s="1122" t="str">
        <f>IFERROR(IF(HLOOKUP(R$15,Data_5!$F$10:$BG$42,$A54+2,FALSE)="NO","NO",IF(HLOOKUP(R$15,Data_5!$F$10:$BG$42,$A54+2,FALSE)="IE","IE",IF(HLOOKUP(R$15,Data_5!$F$10:$BG$42,$A54+2,FALSE)="NE","NE",IF(HLOOKUP(R$15,Data_5!$F$10:$BG$42,$A54+2,FALSE)="C","C",IF(HLOOKUP(R$15,Data_5!$F$10:$BG$42,$A54+2,FALSE)="NO","NO",HLOOKUP(R$15,Data_5!$F$10:$BG$42,$A54+2,FALSE)/Data_5!$BH49))))),"")</f>
        <v/>
      </c>
      <c r="S54" s="1122" t="str">
        <f>IFERROR(IF(HLOOKUP(S$15,Data_5!$F$10:$BG$42,$A54+2,FALSE)="NO","NO",IF(HLOOKUP(S$15,Data_5!$F$10:$BG$42,$A54+2,FALSE)="IE","IE",IF(HLOOKUP(S$15,Data_5!$F$10:$BG$42,$A54+2,FALSE)="NE","NE",IF(HLOOKUP(S$15,Data_5!$F$10:$BG$42,$A54+2,FALSE)="C","C",IF(HLOOKUP(S$15,Data_5!$F$10:$BG$42,$A54+2,FALSE)="NO","NO",HLOOKUP(S$15,Data_5!$F$10:$BG$42,$A54+2,FALSE)/Data_5!$BH49))))),"")</f>
        <v/>
      </c>
      <c r="T54" s="1122" t="str">
        <f>IFERROR(IF(HLOOKUP(T$15,Data_5!$F$10:$BG$42,$A54+2,FALSE)="NO","NO",IF(HLOOKUP(T$15,Data_5!$F$10:$BG$42,$A54+2,FALSE)="IE","IE",IF(HLOOKUP(T$15,Data_5!$F$10:$BG$42,$A54+2,FALSE)="NE","NE",IF(HLOOKUP(T$15,Data_5!$F$10:$BG$42,$A54+2,FALSE)="C","C",IF(HLOOKUP(T$15,Data_5!$F$10:$BG$42,$A54+2,FALSE)="NO","NO",HLOOKUP(T$15,Data_5!$F$10:$BG$42,$A54+2,FALSE)/Data_5!$BH49))))),"")</f>
        <v/>
      </c>
      <c r="U54" s="1122" t="str">
        <f>IFERROR(IF(HLOOKUP(U$15,Data_5!$F$10:$BG$42,$A54+2,FALSE)="NO","NO",IF(HLOOKUP(U$15,Data_5!$F$10:$BG$42,$A54+2,FALSE)="IE","IE",IF(HLOOKUP(U$15,Data_5!$F$10:$BG$42,$A54+2,FALSE)="NE","NE",IF(HLOOKUP(U$15,Data_5!$F$10:$BG$42,$A54+2,FALSE)="C","C",IF(HLOOKUP(U$15,Data_5!$F$10:$BG$42,$A54+2,FALSE)="NO","NO",HLOOKUP(U$15,Data_5!$F$10:$BG$42,$A54+2,FALSE)/Data_5!$BH49))))),"")</f>
        <v/>
      </c>
      <c r="V54" s="1122" t="str">
        <f>IFERROR(IF(HLOOKUP(V$15,Data_5!$F$10:$BG$42,$A54+2,FALSE)="NO","NO",IF(HLOOKUP(V$15,Data_5!$F$10:$BG$42,$A54+2,FALSE)="IE","IE",IF(HLOOKUP(V$15,Data_5!$F$10:$BG$42,$A54+2,FALSE)="NE","NE",IF(HLOOKUP(V$15,Data_5!$F$10:$BG$42,$A54+2,FALSE)="C","C",IF(HLOOKUP(V$15,Data_5!$F$10:$BG$42,$A54+2,FALSE)="NO","NO",HLOOKUP(V$15,Data_5!$F$10:$BG$42,$A54+2,FALSE)/Data_5!$BH49))))),"")</f>
        <v/>
      </c>
      <c r="W54" s="1122" t="str">
        <f>IFERROR(IF(HLOOKUP(W$15,Data_5!$F$10:$BG$42,$A54+2,FALSE)="NO","NO",IF(HLOOKUP(W$15,Data_5!$F$10:$BG$42,$A54+2,FALSE)="IE","IE",IF(HLOOKUP(W$15,Data_5!$F$10:$BG$42,$A54+2,FALSE)="NE","NE",IF(HLOOKUP(W$15,Data_5!$F$10:$BG$42,$A54+2,FALSE)="C","C",IF(HLOOKUP(W$15,Data_5!$F$10:$BG$42,$A54+2,FALSE)="NO","NO",HLOOKUP(W$15,Data_5!$F$10:$BG$42,$A54+2,FALSE)/Data_5!$BH49))))),"")</f>
        <v/>
      </c>
      <c r="X54" s="1122" t="str">
        <f>IFERROR(IF(HLOOKUP(X$15,Data_5!$F$10:$BG$42,$A54+2,FALSE)="NO","NO",IF(HLOOKUP(X$15,Data_5!$F$10:$BG$42,$A54+2,FALSE)="IE","IE",IF(HLOOKUP(X$15,Data_5!$F$10:$BG$42,$A54+2,FALSE)="NE","NE",IF(HLOOKUP(X$15,Data_5!$F$10:$BG$42,$A54+2,FALSE)="C","C",IF(HLOOKUP(X$15,Data_5!$F$10:$BG$42,$A54+2,FALSE)="NO","NO",HLOOKUP(X$15,Data_5!$F$10:$BG$42,$A54+2,FALSE)/Data_5!$BH49))))),"")</f>
        <v/>
      </c>
      <c r="Y54" s="1122" t="str">
        <f>IFERROR(IF(HLOOKUP(Y$15,Data_5!$F$10:$BG$42,$A54+2,FALSE)="NO","NO",IF(HLOOKUP(Y$15,Data_5!$F$10:$BG$42,$A54+2,FALSE)="IE","IE",IF(HLOOKUP(Y$15,Data_5!$F$10:$BG$42,$A54+2,FALSE)="NE","NE",IF(HLOOKUP(Y$15,Data_5!$F$10:$BG$42,$A54+2,FALSE)="C","C",IF(HLOOKUP(Y$15,Data_5!$F$10:$BG$42,$A54+2,FALSE)="NO","NO",HLOOKUP(Y$15,Data_5!$F$10:$BG$42,$A54+2,FALSE)/Data_5!$BH49))))),"")</f>
        <v/>
      </c>
      <c r="Z54" s="1122" t="str">
        <f>IFERROR(IF(HLOOKUP(Z$15,Data_5!$F$10:$BG$42,$A54+2,FALSE)="NO","NO",IF(HLOOKUP(Z$15,Data_5!$F$10:$BG$42,$A54+2,FALSE)="IE","IE",IF(HLOOKUP(Z$15,Data_5!$F$10:$BG$42,$A54+2,FALSE)="NE","NE",IF(HLOOKUP(Z$15,Data_5!$F$10:$BG$42,$A54+2,FALSE)="C","C",IF(HLOOKUP(Z$15,Data_5!$F$10:$BG$42,$A54+2,FALSE)="NO","NO",HLOOKUP(Z$15,Data_5!$F$10:$BG$42,$A54+2,FALSE)/Data_5!$BH49))))),"")</f>
        <v/>
      </c>
      <c r="AA54" s="1122" t="str">
        <f>IFERROR(IF(HLOOKUP(AA$15,Data_5!$F$10:$BG$42,$A54+2,FALSE)="NO","NO",IF(HLOOKUP(AA$15,Data_5!$F$10:$BG$42,$A54+2,FALSE)="IE","IE",IF(HLOOKUP(AA$15,Data_5!$F$10:$BG$42,$A54+2,FALSE)="NE","NE",IF(HLOOKUP(AA$15,Data_5!$F$10:$BG$42,$A54+2,FALSE)="C","C",IF(HLOOKUP(AA$15,Data_5!$F$10:$BG$42,$A54+2,FALSE)="NO","NO",HLOOKUP(AA$15,Data_5!$F$10:$BG$42,$A54+2,FALSE)/Data_5!$BH49))))),"")</f>
        <v/>
      </c>
      <c r="AB54" s="1122" t="str">
        <f>IFERROR(IF(HLOOKUP(AB$15,Data_5!$F$10:$BG$42,$A54+2,FALSE)="NO","NO",IF(HLOOKUP(AB$15,Data_5!$F$10:$BG$42,$A54+2,FALSE)="IE","IE",IF(HLOOKUP(AB$15,Data_5!$F$10:$BG$42,$A54+2,FALSE)="NE","NE",IF(HLOOKUP(AB$15,Data_5!$F$10:$BG$42,$A54+2,FALSE)="C","C",IF(HLOOKUP(AB$15,Data_5!$F$10:$BG$42,$A54+2,FALSE)="NO","NO",HLOOKUP(AB$15,Data_5!$F$10:$BG$42,$A54+2,FALSE)/Data_5!$BH49))))),"")</f>
        <v/>
      </c>
      <c r="AC54" s="1122" t="str">
        <f>IFERROR(IF(HLOOKUP(AC$15,Data_5!$F$10:$BG$42,$A54+2,FALSE)="NO","NO",IF(HLOOKUP(AC$15,Data_5!$F$10:$BG$42,$A54+2,FALSE)="IE","IE",IF(HLOOKUP(AC$15,Data_5!$F$10:$BG$42,$A54+2,FALSE)="NE","NE",IF(HLOOKUP(AC$15,Data_5!$F$10:$BG$42,$A54+2,FALSE)="C","C",IF(HLOOKUP(AC$15,Data_5!$F$10:$BG$42,$A54+2,FALSE)="NO","NO",HLOOKUP(AC$15,Data_5!$F$10:$BG$42,$A54+2,FALSE)/Data_5!$BH49))))),"")</f>
        <v/>
      </c>
      <c r="AD54" s="1122" t="str">
        <f>IFERROR(IF(HLOOKUP(AD$15,Data_5!$F$10:$BG$42,$A54+2,FALSE)="NO","NO",IF(HLOOKUP(AD$15,Data_5!$F$10:$BG$42,$A54+2,FALSE)="IE","IE",IF(HLOOKUP(AD$15,Data_5!$F$10:$BG$42,$A54+2,FALSE)="NE","NE",IF(HLOOKUP(AD$15,Data_5!$F$10:$BG$42,$A54+2,FALSE)="C","C",IF(HLOOKUP(AD$15,Data_5!$F$10:$BG$42,$A54+2,FALSE)="NO","NO",HLOOKUP(AD$15,Data_5!$F$10:$BG$42,$A54+2,FALSE)/Data_5!$BH49))))),"")</f>
        <v/>
      </c>
      <c r="AE54" s="1122" t="str">
        <f>IFERROR(IF(HLOOKUP(AE$15,Data_5!$F$10:$BG$42,$A54+2,FALSE)="NO","NO",IF(HLOOKUP(AE$15,Data_5!$F$10:$BG$42,$A54+2,FALSE)="IE","IE",IF(HLOOKUP(AE$15,Data_5!$F$10:$BG$42,$A54+2,FALSE)="NE","NE",IF(HLOOKUP(AE$15,Data_5!$F$10:$BG$42,$A54+2,FALSE)="C","C",IF(HLOOKUP(AE$15,Data_5!$F$10:$BG$42,$A54+2,FALSE)="NO","NO",HLOOKUP(AE$15,Data_5!$F$10:$BG$42,$A54+2,FALSE)/Data_5!$BH49))))),"")</f>
        <v/>
      </c>
      <c r="AF54" s="1122" t="str">
        <f>IFERROR(IF(HLOOKUP(AF$15,Data_5!$F$10:$BG$42,$A54+2,FALSE)="NO","NO",IF(HLOOKUP(AF$15,Data_5!$F$10:$BG$42,$A54+2,FALSE)="IE","IE",IF(HLOOKUP(AF$15,Data_5!$F$10:$BG$42,$A54+2,FALSE)="NE","NE",IF(HLOOKUP(AF$15,Data_5!$F$10:$BG$42,$A54+2,FALSE)="C","C",IF(HLOOKUP(AF$15,Data_5!$F$10:$BG$42,$A54+2,FALSE)="NO","NO",HLOOKUP(AF$15,Data_5!$F$10:$BG$42,$A54+2,FALSE)/Data_5!$BH49))))),"")</f>
        <v/>
      </c>
      <c r="AG54" s="1122" t="str">
        <f>IFERROR(IF(HLOOKUP(AG$15,Data_5!$F$10:$BG$42,$A54+2,FALSE)="NO","NO",IF(HLOOKUP(AG$15,Data_5!$F$10:$BG$42,$A54+2,FALSE)="IE","IE",IF(HLOOKUP(AG$15,Data_5!$F$10:$BG$42,$A54+2,FALSE)="NE","NE",IF(HLOOKUP(AG$15,Data_5!$F$10:$BG$42,$A54+2,FALSE)="C","C",IF(HLOOKUP(AG$15,Data_5!$F$10:$BG$42,$A54+2,FALSE)="NO","NO",HLOOKUP(AG$15,Data_5!$F$10:$BG$42,$A54+2,FALSE)/Data_5!$BH49))))),"")</f>
        <v/>
      </c>
      <c r="AH54" s="1122" t="str">
        <f>IFERROR(IF(HLOOKUP(AH$15,Data_5!$F$10:$BG$42,$A54+2,FALSE)="NO","NO",IF(HLOOKUP(AH$15,Data_5!$F$10:$BG$42,$A54+2,FALSE)="IE","IE",IF(HLOOKUP(AH$15,Data_5!$F$10:$BG$42,$A54+2,FALSE)="NE","NE",IF(HLOOKUP(AH$15,Data_5!$F$10:$BG$42,$A54+2,FALSE)="C","C",IF(HLOOKUP(AH$15,Data_5!$F$10:$BG$42,$A54+2,FALSE)="NO","NO",HLOOKUP(AH$15,Data_5!$F$10:$BG$42,$A54+2,FALSE)/Data_5!$BH49))))),"")</f>
        <v/>
      </c>
      <c r="AI54" s="1122" t="str">
        <f>IFERROR(IF(HLOOKUP(AI$15,Data_5!$F$10:$BG$42,$A54+2,FALSE)="NO","NO",IF(HLOOKUP(AI$15,Data_5!$F$10:$BG$42,$A54+2,FALSE)="IE","IE",IF(HLOOKUP(AI$15,Data_5!$F$10:$BG$42,$A54+2,FALSE)="NE","NE",IF(HLOOKUP(AI$15,Data_5!$F$10:$BG$42,$A54+2,FALSE)="C","C",IF(HLOOKUP(AI$15,Data_5!$F$10:$BG$42,$A54+2,FALSE)="NO","NO",HLOOKUP(AI$15,Data_5!$F$10:$BG$42,$A54+2,FALSE)/Data_5!$BH49))))),"")</f>
        <v/>
      </c>
      <c r="AJ54" s="1122" t="str">
        <f>IFERROR(IF(HLOOKUP(AJ$15,Data_5!$F$10:$BG$42,$A54+2,FALSE)="NO","NO",IF(HLOOKUP(AJ$15,Data_5!$F$10:$BG$42,$A54+2,FALSE)="IE","IE",IF(HLOOKUP(AJ$15,Data_5!$F$10:$BG$42,$A54+2,FALSE)="NE","NE",IF(HLOOKUP(AJ$15,Data_5!$F$10:$BG$42,$A54+2,FALSE)="C","C",IF(HLOOKUP(AJ$15,Data_5!$F$10:$BG$42,$A54+2,FALSE)="NO","NO",HLOOKUP(AJ$15,Data_5!$F$10:$BG$42,$A54+2,FALSE)/Data_5!$BH49))))),"")</f>
        <v/>
      </c>
      <c r="AL54" s="2628" t="str">
        <f t="shared" ca="1" si="0"/>
        <v/>
      </c>
      <c r="AM54" s="2629"/>
      <c r="AN54" s="1100" t="str">
        <f t="shared" ca="1" si="1"/>
        <v/>
      </c>
      <c r="AO54" s="1122" t="str">
        <f>IFERROR(IF(HLOOKUP(AO$15,Data_5!$F$10:$BG$42,$A54+2,FALSE)="NO","NO",IF(HLOOKUP(AO$15,Data_5!$F$10:$BG$42,$A54+2,FALSE)="IE","IE",IF(HLOOKUP(AO$15,Data_5!$F$10:$BG$42,$A54+2,FALSE)="NE","NE",IF(HLOOKUP(AO$15,Data_5!$F$10:$BG$42,$A54+2,FALSE)="C","C",IF(HLOOKUP(AO$15,Data_5!$F$10:$BG$42,$A54+2,FALSE)="NO","NO",HLOOKUP(AO$15,Data_5!$F$10:$BG$42,$A54+2,FALSE)/Data_5!$BI49))))),"")</f>
        <v/>
      </c>
      <c r="AP54" s="1122" t="str">
        <f>IFERROR(IF(HLOOKUP(AP$15,Data_5!$F$10:$BG$42,$A54+2,FALSE)="NO","NO",IF(HLOOKUP(AP$15,Data_5!$F$10:$BG$42,$A54+2,FALSE)="IE","IE",IF(HLOOKUP(AP$15,Data_5!$F$10:$BG$42,$A54+2,FALSE)="NE","NE",IF(HLOOKUP(AP$15,Data_5!$F$10:$BG$42,$A54+2,FALSE)="C","C",IF(HLOOKUP(AP$15,Data_5!$F$10:$BG$42,$A54+2,FALSE)="NO","NO",HLOOKUP(AP$15,Data_5!$F$10:$BG$42,$A54+2,FALSE)/Data_5!$BI49))))),"")</f>
        <v/>
      </c>
      <c r="AQ54" s="1122" t="str">
        <f>IFERROR(IF(HLOOKUP(AQ$15,Data_5!$F$10:$BG$42,$A54+2,FALSE)="NO","NO",IF(HLOOKUP(AQ$15,Data_5!$F$10:$BG$42,$A54+2,FALSE)="IE","IE",IF(HLOOKUP(AQ$15,Data_5!$F$10:$BG$42,$A54+2,FALSE)="NE","NE",IF(HLOOKUP(AQ$15,Data_5!$F$10:$BG$42,$A54+2,FALSE)="C","C",IF(HLOOKUP(AQ$15,Data_5!$F$10:$BG$42,$A54+2,FALSE)="NO","NO",HLOOKUP(AQ$15,Data_5!$F$10:$BG$42,$A54+2,FALSE)/Data_5!$BI49))))),"")</f>
        <v/>
      </c>
      <c r="AR54" s="1122" t="str">
        <f>IFERROR(IF(HLOOKUP(AR$15,Data_5!$F$10:$BG$42,$A54+2,FALSE)="NO","NO",IF(HLOOKUP(AR$15,Data_5!$F$10:$BG$42,$A54+2,FALSE)="IE","IE",IF(HLOOKUP(AR$15,Data_5!$F$10:$BG$42,$A54+2,FALSE)="NE","NE",IF(HLOOKUP(AR$15,Data_5!$F$10:$BG$42,$A54+2,FALSE)="C","C",IF(HLOOKUP(AR$15,Data_5!$F$10:$BG$42,$A54+2,FALSE)="NO","NO",HLOOKUP(AR$15,Data_5!$F$10:$BG$42,$A54+2,FALSE)/Data_5!$BI49))))),"")</f>
        <v/>
      </c>
      <c r="AS54" s="1122" t="str">
        <f>IFERROR(IF(HLOOKUP(AS$15,Data_5!$F$10:$BG$42,$A54+2,FALSE)="NO","NO",IF(HLOOKUP(AS$15,Data_5!$F$10:$BG$42,$A54+2,FALSE)="IE","IE",IF(HLOOKUP(AS$15,Data_5!$F$10:$BG$42,$A54+2,FALSE)="NE","NE",IF(HLOOKUP(AS$15,Data_5!$F$10:$BG$42,$A54+2,FALSE)="C","C",IF(HLOOKUP(AS$15,Data_5!$F$10:$BG$42,$A54+2,FALSE)="NO","NO",HLOOKUP(AS$15,Data_5!$F$10:$BG$42,$A54+2,FALSE)/Data_5!$BI49))))),"")</f>
        <v/>
      </c>
      <c r="AT54" s="1122" t="str">
        <f>IFERROR(IF(HLOOKUP(AT$15,Data_5!$F$10:$BG$42,$A54+2,FALSE)="NO","NO",IF(HLOOKUP(AT$15,Data_5!$F$10:$BG$42,$A54+2,FALSE)="IE","IE",IF(HLOOKUP(AT$15,Data_5!$F$10:$BG$42,$A54+2,FALSE)="NE","NE",IF(HLOOKUP(AT$15,Data_5!$F$10:$BG$42,$A54+2,FALSE)="C","C",IF(HLOOKUP(AT$15,Data_5!$F$10:$BG$42,$A54+2,FALSE)="NO","NO",HLOOKUP(AT$15,Data_5!$F$10:$BG$42,$A54+2,FALSE)/Data_5!$BI49))))),"")</f>
        <v/>
      </c>
      <c r="AU54" s="1122" t="str">
        <f>IFERROR(IF(HLOOKUP(AU$15,Data_5!$F$10:$BG$42,$A54+2,FALSE)="NO","NO",IF(HLOOKUP(AU$15,Data_5!$F$10:$BG$42,$A54+2,FALSE)="IE","IE",IF(HLOOKUP(AU$15,Data_5!$F$10:$BG$42,$A54+2,FALSE)="NE","NE",IF(HLOOKUP(AU$15,Data_5!$F$10:$BG$42,$A54+2,FALSE)="C","C",IF(HLOOKUP(AU$15,Data_5!$F$10:$BG$42,$A54+2,FALSE)="NO","NO",HLOOKUP(AU$15,Data_5!$F$10:$BG$42,$A54+2,FALSE)/Data_5!$BI49))))),"")</f>
        <v/>
      </c>
      <c r="AV54" s="1122" t="str">
        <f>IFERROR(IF(HLOOKUP(AV$15,Data_5!$F$10:$BG$42,$A54+2,FALSE)="NO","NO",IF(HLOOKUP(AV$15,Data_5!$F$10:$BG$42,$A54+2,FALSE)="IE","IE",IF(HLOOKUP(AV$15,Data_5!$F$10:$BG$42,$A54+2,FALSE)="NE","NE",IF(HLOOKUP(AV$15,Data_5!$F$10:$BG$42,$A54+2,FALSE)="C","C",IF(HLOOKUP(AV$15,Data_5!$F$10:$BG$42,$A54+2,FALSE)="NO","NO",HLOOKUP(AV$15,Data_5!$F$10:$BG$42,$A54+2,FALSE)/Data_5!$BI49))))),"")</f>
        <v/>
      </c>
      <c r="AW54" s="1122" t="str">
        <f>IFERROR(IF(HLOOKUP(AW$15,Data_5!$F$10:$BG$42,$A54+2,FALSE)="NO","NO",IF(HLOOKUP(AW$15,Data_5!$F$10:$BG$42,$A54+2,FALSE)="IE","IE",IF(HLOOKUP(AW$15,Data_5!$F$10:$BG$42,$A54+2,FALSE)="NE","NE",IF(HLOOKUP(AW$15,Data_5!$F$10:$BG$42,$A54+2,FALSE)="C","C",IF(HLOOKUP(AW$15,Data_5!$F$10:$BG$42,$A54+2,FALSE)="NO","NO",HLOOKUP(AW$15,Data_5!$F$10:$BG$42,$A54+2,FALSE)/Data_5!$BI49))))),"")</f>
        <v/>
      </c>
      <c r="AX54" s="1122" t="str">
        <f>IFERROR(IF(HLOOKUP(AX$15,Data_5!$F$10:$BG$42,$A54+2,FALSE)="NO","NO",IF(HLOOKUP(AX$15,Data_5!$F$10:$BG$42,$A54+2,FALSE)="IE","IE",IF(HLOOKUP(AX$15,Data_5!$F$10:$BG$42,$A54+2,FALSE)="NE","NE",IF(HLOOKUP(AX$15,Data_5!$F$10:$BG$42,$A54+2,FALSE)="C","C",IF(HLOOKUP(AX$15,Data_5!$F$10:$BG$42,$A54+2,FALSE)="NO","NO",HLOOKUP(AX$15,Data_5!$F$10:$BG$42,$A54+2,FALSE)/Data_5!$BI49))))),"")</f>
        <v/>
      </c>
      <c r="AY54" s="1122" t="str">
        <f>IFERROR(IF(HLOOKUP(AY$15,Data_5!$F$10:$BG$42,$A54+2,FALSE)="NO","NO",IF(HLOOKUP(AY$15,Data_5!$F$10:$BG$42,$A54+2,FALSE)="IE","IE",IF(HLOOKUP(AY$15,Data_5!$F$10:$BG$42,$A54+2,FALSE)="NE","NE",IF(HLOOKUP(AY$15,Data_5!$F$10:$BG$42,$A54+2,FALSE)="C","C",IF(HLOOKUP(AY$15,Data_5!$F$10:$BG$42,$A54+2,FALSE)="NO","NO",HLOOKUP(AY$15,Data_5!$F$10:$BG$42,$A54+2,FALSE)/Data_5!$BI49))))),"")</f>
        <v/>
      </c>
      <c r="AZ54" s="1122" t="str">
        <f>IFERROR(IF(HLOOKUP(AZ$15,Data_5!$F$10:$BG$42,$A54+2,FALSE)="NO","NO",IF(HLOOKUP(AZ$15,Data_5!$F$10:$BG$42,$A54+2,FALSE)="IE","IE",IF(HLOOKUP(AZ$15,Data_5!$F$10:$BG$42,$A54+2,FALSE)="NE","NE",IF(HLOOKUP(AZ$15,Data_5!$F$10:$BG$42,$A54+2,FALSE)="C","C",IF(HLOOKUP(AZ$15,Data_5!$F$10:$BG$42,$A54+2,FALSE)="NO","NO",HLOOKUP(AZ$15,Data_5!$F$10:$BG$42,$A54+2,FALSE)/Data_5!$BI49))))),"")</f>
        <v/>
      </c>
      <c r="BA54" s="1122" t="str">
        <f>IFERROR(IF(HLOOKUP(BA$15,Data_5!$F$10:$BG$42,$A54+2,FALSE)="NO","NO",IF(HLOOKUP(BA$15,Data_5!$F$10:$BG$42,$A54+2,FALSE)="IE","IE",IF(HLOOKUP(BA$15,Data_5!$F$10:$BG$42,$A54+2,FALSE)="NE","NE",IF(HLOOKUP(BA$15,Data_5!$F$10:$BG$42,$A54+2,FALSE)="C","C",IF(HLOOKUP(BA$15,Data_5!$F$10:$BG$42,$A54+2,FALSE)="NO","NO",HLOOKUP(BA$15,Data_5!$F$10:$BG$42,$A54+2,FALSE)/Data_5!$BI49))))),"")</f>
        <v/>
      </c>
      <c r="BB54" s="1122" t="str">
        <f>IFERROR(IF(HLOOKUP(BB$15,Data_5!$F$10:$BG$42,$A54+2,FALSE)="NO","NO",IF(HLOOKUP(BB$15,Data_5!$F$10:$BG$42,$A54+2,FALSE)="IE","IE",IF(HLOOKUP(BB$15,Data_5!$F$10:$BG$42,$A54+2,FALSE)="NE","NE",IF(HLOOKUP(BB$15,Data_5!$F$10:$BG$42,$A54+2,FALSE)="C","C",IF(HLOOKUP(BB$15,Data_5!$F$10:$BG$42,$A54+2,FALSE)="NO","NO",HLOOKUP(BB$15,Data_5!$F$10:$BG$42,$A54+2,FALSE)/Data_5!$BI49))))),"")</f>
        <v/>
      </c>
      <c r="BC54" s="1122" t="str">
        <f>IFERROR(IF(HLOOKUP(BC$15,Data_5!$F$10:$BG$42,$A54+2,FALSE)="NO","NO",IF(HLOOKUP(BC$15,Data_5!$F$10:$BG$42,$A54+2,FALSE)="IE","IE",IF(HLOOKUP(BC$15,Data_5!$F$10:$BG$42,$A54+2,FALSE)="NE","NE",IF(HLOOKUP(BC$15,Data_5!$F$10:$BG$42,$A54+2,FALSE)="C","C",IF(HLOOKUP(BC$15,Data_5!$F$10:$BG$42,$A54+2,FALSE)="NO","NO",HLOOKUP(BC$15,Data_5!$F$10:$BG$42,$A54+2,FALSE)/Data_5!$BI49))))),"")</f>
        <v/>
      </c>
      <c r="BD54" s="1122" t="str">
        <f>IFERROR(IF(HLOOKUP(BD$15,Data_5!$F$10:$BG$42,$A54+2,FALSE)="NO","NO",IF(HLOOKUP(BD$15,Data_5!$F$10:$BG$42,$A54+2,FALSE)="IE","IE",IF(HLOOKUP(BD$15,Data_5!$F$10:$BG$42,$A54+2,FALSE)="NE","NE",IF(HLOOKUP(BD$15,Data_5!$F$10:$BG$42,$A54+2,FALSE)="C","C",IF(HLOOKUP(BD$15,Data_5!$F$10:$BG$42,$A54+2,FALSE)="NO","NO",HLOOKUP(BD$15,Data_5!$F$10:$BG$42,$A54+2,FALSE)/Data_5!$BI49))))),"")</f>
        <v/>
      </c>
      <c r="BE54" s="1122" t="str">
        <f>IFERROR(IF(HLOOKUP(BE$15,Data_5!$F$10:$BG$42,$A54+2,FALSE)="NO","NO",IF(HLOOKUP(BE$15,Data_5!$F$10:$BG$42,$A54+2,FALSE)="IE","IE",IF(HLOOKUP(BE$15,Data_5!$F$10:$BG$42,$A54+2,FALSE)="NE","NE",IF(HLOOKUP(BE$15,Data_5!$F$10:$BG$42,$A54+2,FALSE)="C","C",IF(HLOOKUP(BE$15,Data_5!$F$10:$BG$42,$A54+2,FALSE)="NO","NO",HLOOKUP(BE$15,Data_5!$F$10:$BG$42,$A54+2,FALSE)/Data_5!$BI49))))),"")</f>
        <v/>
      </c>
      <c r="BF54" s="1122" t="str">
        <f>IFERROR(IF(HLOOKUP(BF$15,Data_5!$F$10:$BG$42,$A54+2,FALSE)="NO","NO",IF(HLOOKUP(BF$15,Data_5!$F$10:$BG$42,$A54+2,FALSE)="IE","IE",IF(HLOOKUP(BF$15,Data_5!$F$10:$BG$42,$A54+2,FALSE)="NE","NE",IF(HLOOKUP(BF$15,Data_5!$F$10:$BG$42,$A54+2,FALSE)="C","C",IF(HLOOKUP(BF$15,Data_5!$F$10:$BG$42,$A54+2,FALSE)="NO","NO",HLOOKUP(BF$15,Data_5!$F$10:$BG$42,$A54+2,FALSE)/Data_5!$BI49))))),"")</f>
        <v/>
      </c>
      <c r="BG54" s="1122" t="str">
        <f>IFERROR(IF(HLOOKUP(BG$15,Data_5!$F$10:$BG$42,$A54+2,FALSE)="NO","NO",IF(HLOOKUP(BG$15,Data_5!$F$10:$BG$42,$A54+2,FALSE)="IE","IE",IF(HLOOKUP(BG$15,Data_5!$F$10:$BG$42,$A54+2,FALSE)="NE","NE",IF(HLOOKUP(BG$15,Data_5!$F$10:$BG$42,$A54+2,FALSE)="C","C",IF(HLOOKUP(BG$15,Data_5!$F$10:$BG$42,$A54+2,FALSE)="NO","NO",HLOOKUP(BG$15,Data_5!$F$10:$BG$42,$A54+2,FALSE)/Data_5!$BI49))))),"")</f>
        <v/>
      </c>
      <c r="BH54" s="1122" t="str">
        <f>IFERROR(IF(HLOOKUP(BH$15,Data_5!$F$10:$BG$42,$A54+2,FALSE)="NO","NO",IF(HLOOKUP(BH$15,Data_5!$F$10:$BG$42,$A54+2,FALSE)="IE","IE",IF(HLOOKUP(BH$15,Data_5!$F$10:$BG$42,$A54+2,FALSE)="NE","NE",IF(HLOOKUP(BH$15,Data_5!$F$10:$BG$42,$A54+2,FALSE)="C","C",IF(HLOOKUP(BH$15,Data_5!$F$10:$BG$42,$A54+2,FALSE)="NO","NO",HLOOKUP(BH$15,Data_5!$F$10:$BG$42,$A54+2,FALSE)/Data_5!$BI49))))),"")</f>
        <v/>
      </c>
      <c r="BI54" s="1122" t="str">
        <f>IFERROR(IF(HLOOKUP(BI$15,Data_5!$F$10:$BG$42,$A54+2,FALSE)="NO","NO",IF(HLOOKUP(BI$15,Data_5!$F$10:$BG$42,$A54+2,FALSE)="IE","IE",IF(HLOOKUP(BI$15,Data_5!$F$10:$BG$42,$A54+2,FALSE)="NE","NE",IF(HLOOKUP(BI$15,Data_5!$F$10:$BG$42,$A54+2,FALSE)="C","C",IF(HLOOKUP(BI$15,Data_5!$F$10:$BG$42,$A54+2,FALSE)="NO","NO",HLOOKUP(BI$15,Data_5!$F$10:$BG$42,$A54+2,FALSE)/Data_5!$BI49))))),"")</f>
        <v/>
      </c>
      <c r="BJ54" s="1122" t="str">
        <f>IFERROR(IF(HLOOKUP(BJ$15,Data_5!$F$10:$BG$42,$A54+2,FALSE)="NO","NO",IF(HLOOKUP(BJ$15,Data_5!$F$10:$BG$42,$A54+2,FALSE)="IE","IE",IF(HLOOKUP(BJ$15,Data_5!$F$10:$BG$42,$A54+2,FALSE)="NE","NE",IF(HLOOKUP(BJ$15,Data_5!$F$10:$BG$42,$A54+2,FALSE)="C","C",IF(HLOOKUP(BJ$15,Data_5!$F$10:$BG$42,$A54+2,FALSE)="NO","NO",HLOOKUP(BJ$15,Data_5!$F$10:$BG$42,$A54+2,FALSE)/Data_5!$BI49))))),"")</f>
        <v/>
      </c>
      <c r="BK54" s="1122" t="str">
        <f>IFERROR(IF(HLOOKUP(BK$15,Data_5!$F$10:$BG$42,$A54+2,FALSE)="NO","NO",IF(HLOOKUP(BK$15,Data_5!$F$10:$BG$42,$A54+2,FALSE)="IE","IE",IF(HLOOKUP(BK$15,Data_5!$F$10:$BG$42,$A54+2,FALSE)="NE","NE",IF(HLOOKUP(BK$15,Data_5!$F$10:$BG$42,$A54+2,FALSE)="C","C",IF(HLOOKUP(BK$15,Data_5!$F$10:$BG$42,$A54+2,FALSE)="NO","NO",HLOOKUP(BK$15,Data_5!$F$10:$BG$42,$A54+2,FALSE)/Data_5!$BI49))))),"")</f>
        <v/>
      </c>
      <c r="BL54" s="1122" t="str">
        <f>IFERROR(IF(HLOOKUP(BL$15,Data_5!$F$10:$BG$42,$A54+2,FALSE)="NO","NO",IF(HLOOKUP(BL$15,Data_5!$F$10:$BG$42,$A54+2,FALSE)="IE","IE",IF(HLOOKUP(BL$15,Data_5!$F$10:$BG$42,$A54+2,FALSE)="NE","NE",IF(HLOOKUP(BL$15,Data_5!$F$10:$BG$42,$A54+2,FALSE)="C","C",IF(HLOOKUP(BL$15,Data_5!$F$10:$BG$42,$A54+2,FALSE)="NO","NO",HLOOKUP(BL$15,Data_5!$F$10:$BG$42,$A54+2,FALSE)/Data_5!$BI49))))),"")</f>
        <v/>
      </c>
      <c r="BM54" s="1122" t="str">
        <f>IFERROR(IF(HLOOKUP(BM$15,Data_5!$F$10:$BG$42,$A54+2,FALSE)="NO","NO",IF(HLOOKUP(BM$15,Data_5!$F$10:$BG$42,$A54+2,FALSE)="IE","IE",IF(HLOOKUP(BM$15,Data_5!$F$10:$BG$42,$A54+2,FALSE)="NE","NE",IF(HLOOKUP(BM$15,Data_5!$F$10:$BG$42,$A54+2,FALSE)="C","C",IF(HLOOKUP(BM$15,Data_5!$F$10:$BG$42,$A54+2,FALSE)="NO","NO",HLOOKUP(BM$15,Data_5!$F$10:$BG$42,$A54+2,FALSE)/Data_5!$BI49))))),"")</f>
        <v/>
      </c>
      <c r="BN54" s="1122" t="str">
        <f>IFERROR(IF(HLOOKUP(BN$15,Data_5!$F$10:$BG$42,$A54+2,FALSE)="NO","NO",IF(HLOOKUP(BN$15,Data_5!$F$10:$BG$42,$A54+2,FALSE)="IE","IE",IF(HLOOKUP(BN$15,Data_5!$F$10:$BG$42,$A54+2,FALSE)="NE","NE",IF(HLOOKUP(BN$15,Data_5!$F$10:$BG$42,$A54+2,FALSE)="C","C",IF(HLOOKUP(BN$15,Data_5!$F$10:$BG$42,$A54+2,FALSE)="NO","NO",HLOOKUP(BN$15,Data_5!$F$10:$BG$42,$A54+2,FALSE)/Data_5!$BI49))))),"")</f>
        <v/>
      </c>
      <c r="BO54" s="1122" t="str">
        <f>IFERROR(IF(HLOOKUP(BO$15,Data_5!$F$10:$BG$42,$A54+2,FALSE)="NO","NO",IF(HLOOKUP(BO$15,Data_5!$F$10:$BG$42,$A54+2,FALSE)="IE","IE",IF(HLOOKUP(BO$15,Data_5!$F$10:$BG$42,$A54+2,FALSE)="NE","NE",IF(HLOOKUP(BO$15,Data_5!$F$10:$BG$42,$A54+2,FALSE)="C","C",IF(HLOOKUP(BO$15,Data_5!$F$10:$BG$42,$A54+2,FALSE)="NO","NO",HLOOKUP(BO$15,Data_5!$F$10:$BG$42,$A54+2,FALSE)/Data_5!$BI49))))),"")</f>
        <v/>
      </c>
      <c r="BP54" s="1122" t="str">
        <f>IFERROR(IF(HLOOKUP(BP$15,Data_5!$F$10:$BG$42,$A54+2,FALSE)="NO","NO",IF(HLOOKUP(BP$15,Data_5!$F$10:$BG$42,$A54+2,FALSE)="IE","IE",IF(HLOOKUP(BP$15,Data_5!$F$10:$BG$42,$A54+2,FALSE)="NE","NE",IF(HLOOKUP(BP$15,Data_5!$F$10:$BG$42,$A54+2,FALSE)="C","C",IF(HLOOKUP(BP$15,Data_5!$F$10:$BG$42,$A54+2,FALSE)="NO","NO",HLOOKUP(BP$15,Data_5!$F$10:$BG$42,$A54+2,FALSE)/Data_5!$BI49))))),"")</f>
        <v/>
      </c>
      <c r="BQ54" s="1122" t="str">
        <f>IFERROR(IF(HLOOKUP(BQ$15,Data_5!$F$10:$BG$42,$A54+2,FALSE)="NO","NO",IF(HLOOKUP(BQ$15,Data_5!$F$10:$BG$42,$A54+2,FALSE)="IE","IE",IF(HLOOKUP(BQ$15,Data_5!$F$10:$BG$42,$A54+2,FALSE)="NE","NE",IF(HLOOKUP(BQ$15,Data_5!$F$10:$BG$42,$A54+2,FALSE)="C","C",IF(HLOOKUP(BQ$15,Data_5!$F$10:$BG$42,$A54+2,FALSE)="NO","NO",HLOOKUP(BQ$15,Data_5!$F$10:$BG$42,$A54+2,FALSE)/Data_5!$BI49))))),"")</f>
        <v/>
      </c>
      <c r="BR54" s="1122" t="str">
        <f>IFERROR(IF(HLOOKUP(BR$15,Data_5!$F$10:$BG$42,$A54+2,FALSE)="NO","NO",IF(HLOOKUP(BR$15,Data_5!$F$10:$BG$42,$A54+2,FALSE)="IE","IE",IF(HLOOKUP(BR$15,Data_5!$F$10:$BG$42,$A54+2,FALSE)="NE","NE",IF(HLOOKUP(BR$15,Data_5!$F$10:$BG$42,$A54+2,FALSE)="C","C",IF(HLOOKUP(BR$15,Data_5!$F$10:$BG$42,$A54+2,FALSE)="NO","NO",HLOOKUP(BR$15,Data_5!$F$10:$BG$42,$A54+2,FALSE)/Data_5!$BI49))))),"")</f>
        <v/>
      </c>
      <c r="BS54" s="1122" t="str">
        <f>IFERROR(IF(HLOOKUP(BS$15,Data_5!$F$10:$BG$42,$A54+2,FALSE)="NO","NO",IF(HLOOKUP(BS$15,Data_5!$F$10:$BG$42,$A54+2,FALSE)="IE","IE",IF(HLOOKUP(BS$15,Data_5!$F$10:$BG$42,$A54+2,FALSE)="NE","NE",IF(HLOOKUP(BS$15,Data_5!$F$10:$BG$42,$A54+2,FALSE)="C","C",IF(HLOOKUP(BS$15,Data_5!$F$10:$BG$42,$A54+2,FALSE)="NO","NO",HLOOKUP(BS$15,Data_5!$F$10:$BG$42,$A54+2,FALSE)/Data_5!$BI49))))),"")</f>
        <v/>
      </c>
      <c r="BT54" s="1122" t="str">
        <f>IFERROR(IF(HLOOKUP(BT$15,Data_5!$F$10:$BG$42,$A54+2,FALSE)="NO","NO",IF(HLOOKUP(BT$15,Data_5!$F$10:$BG$42,$A54+2,FALSE)="IE","IE",IF(HLOOKUP(BT$15,Data_5!$F$10:$BG$42,$A54+2,FALSE)="NE","NE",IF(HLOOKUP(BT$15,Data_5!$F$10:$BG$42,$A54+2,FALSE)="C","C",IF(HLOOKUP(BT$15,Data_5!$F$10:$BG$42,$A54+2,FALSE)="NO","NO",HLOOKUP(BT$15,Data_5!$F$10:$BG$42,$A54+2,FALSE)/Data_5!$BI49))))),"")</f>
        <v/>
      </c>
      <c r="BU54" s="1122" t="str">
        <f>IFERROR(IF(HLOOKUP(BU$15,Data_5!$F$10:$BG$42,$A54+2,FALSE)="NO","NO",IF(HLOOKUP(BU$15,Data_5!$F$10:$BG$42,$A54+2,FALSE)="IE","IE",IF(HLOOKUP(BU$15,Data_5!$F$10:$BG$42,$A54+2,FALSE)="NE","NE",IF(HLOOKUP(BU$15,Data_5!$F$10:$BG$42,$A54+2,FALSE)="C","C",IF(HLOOKUP(BU$15,Data_5!$F$10:$BG$42,$A54+2,FALSE)="NO","NO",HLOOKUP(BU$15,Data_5!$F$10:$BG$42,$A54+2,FALSE)/Data_5!$BI49))))),"")</f>
        <v/>
      </c>
      <c r="BV54" s="1122" t="str">
        <f>IFERROR(IF(HLOOKUP(BV$15,Data_5!$F$10:$BG$42,$A54+2,FALSE)="NO","NO",IF(HLOOKUP(BV$15,Data_5!$F$10:$BG$42,$A54+2,FALSE)="IE","IE",IF(HLOOKUP(BV$15,Data_5!$F$10:$BG$42,$A54+2,FALSE)="NE","NE",IF(HLOOKUP(BV$15,Data_5!$F$10:$BG$42,$A54+2,FALSE)="C","C",IF(HLOOKUP(BV$15,Data_5!$F$10:$BG$42,$A54+2,FALSE)="NO","NO",HLOOKUP(BV$15,Data_5!$F$10:$BG$42,$A54+2,FALSE)/Data_5!$BI49))))),"")</f>
        <v/>
      </c>
      <c r="BW54" s="1122" t="str">
        <f>IFERROR(IF(HLOOKUP(BW$15,Data_5!$F$10:$BG$42,$A54+2,FALSE)="NO","NO",IF(HLOOKUP(BW$15,Data_5!$F$10:$BG$42,$A54+2,FALSE)="IE","IE",IF(HLOOKUP(BW$15,Data_5!$F$10:$BG$42,$A54+2,FALSE)="NE","NE",IF(HLOOKUP(BW$15,Data_5!$F$10:$BG$42,$A54+2,FALSE)="C","C",IF(HLOOKUP(BW$15,Data_5!$F$10:$BG$42,$A54+2,FALSE)="NO","NO",HLOOKUP(BW$15,Data_5!$F$10:$BG$42,$A54+2,FALSE)/Data_5!$BI49))))),"")</f>
        <v/>
      </c>
      <c r="BX54" s="1122" t="str">
        <f>IFERROR(IF(HLOOKUP(BX$15,Data_5!$F$10:$BG$42,$A54+2,FALSE)="NO","NO",IF(HLOOKUP(BX$15,Data_5!$F$10:$BG$42,$A54+2,FALSE)="IE","IE",IF(HLOOKUP(BX$15,Data_5!$F$10:$BG$42,$A54+2,FALSE)="NE","NE",IF(HLOOKUP(BX$15,Data_5!$F$10:$BG$42,$A54+2,FALSE)="C","C",IF(HLOOKUP(BX$15,Data_5!$F$10:$BG$42,$A54+2,FALSE)="NO","NO",HLOOKUP(BX$15,Data_5!$F$10:$BG$42,$A54+2,FALSE)/Data_5!$BI49))))),"")</f>
        <v/>
      </c>
      <c r="BY54" s="1122" t="str">
        <f>IFERROR(IF(HLOOKUP(BY$15,Data_5!$F$10:$BG$42,$A54+2,FALSE)="NO","NO",IF(HLOOKUP(BY$15,Data_5!$F$10:$BG$42,$A54+2,FALSE)="IE","IE",IF(HLOOKUP(BY$15,Data_5!$F$10:$BG$42,$A54+2,FALSE)="NE","NE",IF(HLOOKUP(BY$15,Data_5!$F$10:$BG$42,$A54+2,FALSE)="C","C",IF(HLOOKUP(BY$15,Data_5!$F$10:$BG$42,$A54+2,FALSE)="NO","NO",HLOOKUP(BY$15,Data_5!$F$10:$BG$42,$A54+2,FALSE)/Data_5!$BI49))))),"")</f>
        <v/>
      </c>
      <c r="BZ54" s="1122" t="str">
        <f>IFERROR(IF(HLOOKUP(BZ$15,Data_5!$F$10:$BG$42,$A54+2,FALSE)="NO","NO",IF(HLOOKUP(BZ$15,Data_5!$F$10:$BG$42,$A54+2,FALSE)="IE","IE",IF(HLOOKUP(BZ$15,Data_5!$F$10:$BG$42,$A54+2,FALSE)="NE","NE",IF(HLOOKUP(BZ$15,Data_5!$F$10:$BG$42,$A54+2,FALSE)="C","C",IF(HLOOKUP(BZ$15,Data_5!$F$10:$BG$42,$A54+2,FALSE)="NO","NO",HLOOKUP(BZ$15,Data_5!$F$10:$BG$42,$A54+2,FALSE)/Data_5!$BI49))))),"")</f>
        <v/>
      </c>
      <c r="CA54" s="1122" t="str">
        <f>IFERROR(IF(HLOOKUP(CA$15,Data_5!$F$10:$BG$42,$A54+2,FALSE)="NO","NO",IF(HLOOKUP(CA$15,Data_5!$F$10:$BG$42,$A54+2,FALSE)="IE","IE",IF(HLOOKUP(CA$15,Data_5!$F$10:$BG$42,$A54+2,FALSE)="NE","NE",IF(HLOOKUP(CA$15,Data_5!$F$10:$BG$42,$A54+2,FALSE)="C","C",IF(HLOOKUP(CA$15,Data_5!$F$10:$BG$42,$A54+2,FALSE)="NO","NO",HLOOKUP(CA$15,Data_5!$F$10:$BG$42,$A54+2,FALSE)/Data_5!$BI49))))),"")</f>
        <v/>
      </c>
      <c r="CB54" s="1122" t="str">
        <f>IFERROR(IF(HLOOKUP(CB$15,Data_5!$F$10:$BG$42,$A54+2,FALSE)="NO","NO",IF(HLOOKUP(CB$15,Data_5!$F$10:$BG$42,$A54+2,FALSE)="IE","IE",IF(HLOOKUP(CB$15,Data_5!$F$10:$BG$42,$A54+2,FALSE)="NE","NE",IF(HLOOKUP(CB$15,Data_5!$F$10:$BG$42,$A54+2,FALSE)="C","C",IF(HLOOKUP(CB$15,Data_5!$F$10:$BG$42,$A54+2,FALSE)="NO","NO",HLOOKUP(CB$15,Data_5!$F$10:$BG$42,$A54+2,FALSE)/Data_5!$BI49))))),"")</f>
        <v/>
      </c>
      <c r="CC54" s="1122" t="str">
        <f>IFERROR(IF(HLOOKUP(CC$15,Data_5!$F$10:$BG$42,$A54+2,FALSE)="NO","NO",IF(HLOOKUP(CC$15,Data_5!$F$10:$BG$42,$A54+2,FALSE)="IE","IE",IF(HLOOKUP(CC$15,Data_5!$F$10:$BG$42,$A54+2,FALSE)="NE","NE",IF(HLOOKUP(CC$15,Data_5!$F$10:$BG$42,$A54+2,FALSE)="C","C",IF(HLOOKUP(CC$15,Data_5!$F$10:$BG$42,$A54+2,FALSE)="NO","NO",HLOOKUP(CC$15,Data_5!$F$10:$BG$42,$A54+2,FALSE)/Data_5!$BI49))))),"")</f>
        <v/>
      </c>
      <c r="CD54" s="1122" t="str">
        <f>IFERROR(IF(HLOOKUP(CD$15,Data_5!$F$10:$BG$42,$A54+2,FALSE)="NO","NO",IF(HLOOKUP(CD$15,Data_5!$F$10:$BG$42,$A54+2,FALSE)="IE","IE",IF(HLOOKUP(CD$15,Data_5!$F$10:$BG$42,$A54+2,FALSE)="NE","NE",IF(HLOOKUP(CD$15,Data_5!$F$10:$BG$42,$A54+2,FALSE)="C","C",IF(HLOOKUP(CD$15,Data_5!$F$10:$BG$42,$A54+2,FALSE)="NO","NO",HLOOKUP(CD$15,Data_5!$F$10:$BG$42,$A54+2,FALSE)/Data_5!$BI49))))),"")</f>
        <v/>
      </c>
      <c r="CE54" s="1122" t="str">
        <f>IFERROR(IF(HLOOKUP(CE$15,Data_5!$F$10:$BG$42,$A54+2,FALSE)="NO","NO",IF(HLOOKUP(CE$15,Data_5!$F$10:$BG$42,$A54+2,FALSE)="IE","IE",IF(HLOOKUP(CE$15,Data_5!$F$10:$BG$42,$A54+2,FALSE)="NE","NE",IF(HLOOKUP(CE$15,Data_5!$F$10:$BG$42,$A54+2,FALSE)="C","C",IF(HLOOKUP(CE$15,Data_5!$F$10:$BG$42,$A54+2,FALSE)="NO","NO",HLOOKUP(CE$15,Data_5!$F$10:$BG$42,$A54+2,FALSE)/Data_5!$BI49))))),"")</f>
        <v/>
      </c>
      <c r="CF54" s="1122" t="str">
        <f>IFERROR(IF(HLOOKUP(CF$15,Data_5!$F$10:$BG$42,$A54+2,FALSE)="NO","NO",IF(HLOOKUP(CF$15,Data_5!$F$10:$BG$42,$A54+2,FALSE)="IE","IE",IF(HLOOKUP(CF$15,Data_5!$F$10:$BG$42,$A54+2,FALSE)="NE","NE",IF(HLOOKUP(CF$15,Data_5!$F$10:$BG$42,$A54+2,FALSE)="C","C",IF(HLOOKUP(CF$15,Data_5!$F$10:$BG$42,$A54+2,FALSE)="NO","NO",HLOOKUP(CF$15,Data_5!$F$10:$BG$42,$A54+2,FALSE)/Data_5!$BI49))))),"")</f>
        <v/>
      </c>
      <c r="CG54" s="1122" t="str">
        <f>IFERROR(IF(HLOOKUP(CG$15,Data_5!$F$10:$BG$42,$A54+2,FALSE)="NO","NO",IF(HLOOKUP(CG$15,Data_5!$F$10:$BG$42,$A54+2,FALSE)="IE","IE",IF(HLOOKUP(CG$15,Data_5!$F$10:$BG$42,$A54+2,FALSE)="NE","NE",IF(HLOOKUP(CG$15,Data_5!$F$10:$BG$42,$A54+2,FALSE)="C","C",IF(HLOOKUP(CG$15,Data_5!$F$10:$BG$42,$A54+2,FALSE)="NO","NO",HLOOKUP(CG$15,Data_5!$F$10:$BG$42,$A54+2,FALSE)/Data_5!$BI49))))),"")</f>
        <v/>
      </c>
      <c r="CH54" s="1122" t="str">
        <f>IFERROR(IF(HLOOKUP(CH$15,Data_5!$F$10:$BG$42,$A54+2,FALSE)="NO","NO",IF(HLOOKUP(CH$15,Data_5!$F$10:$BG$42,$A54+2,FALSE)="IE","IE",IF(HLOOKUP(CH$15,Data_5!$F$10:$BG$42,$A54+2,FALSE)="NE","NE",IF(HLOOKUP(CH$15,Data_5!$F$10:$BG$42,$A54+2,FALSE)="C","C",IF(HLOOKUP(CH$15,Data_5!$F$10:$BG$42,$A54+2,FALSE)="NO","NO",HLOOKUP(CH$15,Data_5!$F$10:$BG$42,$A54+2,FALSE)/Data_5!$BI49))))),"")</f>
        <v/>
      </c>
      <c r="CI54" s="1122" t="str">
        <f>IFERROR(IF(HLOOKUP(CI$15,Data_5!$F$10:$BG$42,$A54+2,FALSE)="NO","NO",IF(HLOOKUP(CI$15,Data_5!$F$10:$BG$42,$A54+2,FALSE)="IE","IE",IF(HLOOKUP(CI$15,Data_5!$F$10:$BG$42,$A54+2,FALSE)="NE","NE",IF(HLOOKUP(CI$15,Data_5!$F$10:$BG$42,$A54+2,FALSE)="C","C",IF(HLOOKUP(CI$15,Data_5!$F$10:$BG$42,$A54+2,FALSE)="NO","NO",HLOOKUP(CI$15,Data_5!$F$10:$BG$42,$A54+2,FALSE)/Data_5!$BI49))))),"")</f>
        <v/>
      </c>
      <c r="CJ54" s="1122" t="str">
        <f>IFERROR(IF(HLOOKUP(CJ$15,Data_5!$F$10:$BG$42,$A54+2,FALSE)="NO","NO",IF(HLOOKUP(CJ$15,Data_5!$F$10:$BG$42,$A54+2,FALSE)="IE","IE",IF(HLOOKUP(CJ$15,Data_5!$F$10:$BG$42,$A54+2,FALSE)="NE","NE",IF(HLOOKUP(CJ$15,Data_5!$F$10:$BG$42,$A54+2,FALSE)="C","C",IF(HLOOKUP(CJ$15,Data_5!$F$10:$BG$42,$A54+2,FALSE)="NO","NO",HLOOKUP(CJ$15,Data_5!$F$10:$BG$42,$A54+2,FALSE)/Data_5!$BI49))))),"")</f>
        <v/>
      </c>
      <c r="CL54" s="2628" t="str">
        <f t="shared" ca="1" si="6"/>
        <v/>
      </c>
      <c r="CM54" s="2629"/>
      <c r="CN54" s="1100" t="str">
        <f t="shared" ca="1" si="7"/>
        <v/>
      </c>
      <c r="CO54" s="1122" t="str">
        <f>IFERROR(IF(HLOOKUP(CO$15,Data_5!$F$10:$BG$42,$A54+2,FALSE)="NO","NO",IF(HLOOKUP(CO$15,Data_5!$F$10:$BG$42,$A54+2,FALSE)="IE","IE",IF(HLOOKUP(CO$15,Data_5!$F$10:$BG$42,$A54+2,FALSE)="NE","NE",IF(HLOOKUP(CO$15,Data_5!$F$10:$BG$42,$A54+2,FALSE)="C","C",IF(HLOOKUP(CO$15,Data_5!$F$10:$BG$42,$A54+2,FALSE)="NO","NO",HLOOKUP(CO$15,Data_5!$F$10:$BG$42,$A54+2,FALSE)/Data_5!$BK49))))),"")</f>
        <v/>
      </c>
      <c r="CP54" s="1122" t="str">
        <f>IFERROR(IF(HLOOKUP(CP$15,Data_5!$F$10:$BG$42,$A54+2,FALSE)="NO","NO",IF(HLOOKUP(CP$15,Data_5!$F$10:$BG$42,$A54+2,FALSE)="IE","IE",IF(HLOOKUP(CP$15,Data_5!$F$10:$BG$42,$A54+2,FALSE)="NE","NE",IF(HLOOKUP(CP$15,Data_5!$F$10:$BG$42,$A54+2,FALSE)="C","C",IF(HLOOKUP(CP$15,Data_5!$F$10:$BG$42,$A54+2,FALSE)="NO","NO",HLOOKUP(CP$15,Data_5!$F$10:$BG$42,$A54+2,FALSE)/Data_5!$BK49))))),"")</f>
        <v/>
      </c>
      <c r="CQ54" s="1122" t="str">
        <f>IFERROR(IF(HLOOKUP(CQ$15,Data_5!$F$10:$BG$42,$A54+2,FALSE)="NO","NO",IF(HLOOKUP(CQ$15,Data_5!$F$10:$BG$42,$A54+2,FALSE)="IE","IE",IF(HLOOKUP(CQ$15,Data_5!$F$10:$BG$42,$A54+2,FALSE)="NE","NE",IF(HLOOKUP(CQ$15,Data_5!$F$10:$BG$42,$A54+2,FALSE)="C","C",IF(HLOOKUP(CQ$15,Data_5!$F$10:$BG$42,$A54+2,FALSE)="NO","NO",HLOOKUP(CQ$15,Data_5!$F$10:$BG$42,$A54+2,FALSE)/Data_5!$BK49))))),"")</f>
        <v/>
      </c>
      <c r="CR54" s="1122" t="str">
        <f>IFERROR(IF(HLOOKUP(CR$15,Data_5!$F$10:$BG$42,$A54+2,FALSE)="NO","NO",IF(HLOOKUP(CR$15,Data_5!$F$10:$BG$42,$A54+2,FALSE)="IE","IE",IF(HLOOKUP(CR$15,Data_5!$F$10:$BG$42,$A54+2,FALSE)="NE","NE",IF(HLOOKUP(CR$15,Data_5!$F$10:$BG$42,$A54+2,FALSE)="C","C",IF(HLOOKUP(CR$15,Data_5!$F$10:$BG$42,$A54+2,FALSE)="NO","NO",HLOOKUP(CR$15,Data_5!$F$10:$BG$42,$A54+2,FALSE)/Data_5!$BK49))))),"")</f>
        <v/>
      </c>
      <c r="CS54" s="1122" t="str">
        <f>IFERROR(IF(HLOOKUP(CS$15,Data_5!$F$10:$BG$42,$A54+2,FALSE)="NO","NO",IF(HLOOKUP(CS$15,Data_5!$F$10:$BG$42,$A54+2,FALSE)="IE","IE",IF(HLOOKUP(CS$15,Data_5!$F$10:$BG$42,$A54+2,FALSE)="NE","NE",IF(HLOOKUP(CS$15,Data_5!$F$10:$BG$42,$A54+2,FALSE)="C","C",IF(HLOOKUP(CS$15,Data_5!$F$10:$BG$42,$A54+2,FALSE)="NO","NO",HLOOKUP(CS$15,Data_5!$F$10:$BG$42,$A54+2,FALSE)/Data_5!$BK49))))),"")</f>
        <v/>
      </c>
      <c r="CT54" s="1122" t="str">
        <f>IFERROR(IF(HLOOKUP(CT$15,Data_5!$F$10:$BG$42,$A54+2,FALSE)="NO","NO",IF(HLOOKUP(CT$15,Data_5!$F$10:$BG$42,$A54+2,FALSE)="IE","IE",IF(HLOOKUP(CT$15,Data_5!$F$10:$BG$42,$A54+2,FALSE)="NE","NE",IF(HLOOKUP(CT$15,Data_5!$F$10:$BG$42,$A54+2,FALSE)="C","C",IF(HLOOKUP(CT$15,Data_5!$F$10:$BG$42,$A54+2,FALSE)="NO","NO",HLOOKUP(CT$15,Data_5!$F$10:$BG$42,$A54+2,FALSE)/Data_5!$BK49))))),"")</f>
        <v/>
      </c>
      <c r="CU54" s="1122" t="str">
        <f>IFERROR(IF(HLOOKUP(CU$15,Data_5!$F$10:$BG$42,$A54+2,FALSE)="NO","NO",IF(HLOOKUP(CU$15,Data_5!$F$10:$BG$42,$A54+2,FALSE)="IE","IE",IF(HLOOKUP(CU$15,Data_5!$F$10:$BG$42,$A54+2,FALSE)="NE","NE",IF(HLOOKUP(CU$15,Data_5!$F$10:$BG$42,$A54+2,FALSE)="C","C",IF(HLOOKUP(CU$15,Data_5!$F$10:$BG$42,$A54+2,FALSE)="NO","NO",HLOOKUP(CU$15,Data_5!$F$10:$BG$42,$A54+2,FALSE)/Data_5!$BK49))))),"")</f>
        <v/>
      </c>
      <c r="CV54" s="1122" t="str">
        <f>IFERROR(IF(HLOOKUP(CV$15,Data_5!$F$10:$BG$42,$A54+2,FALSE)="NO","NO",IF(HLOOKUP(CV$15,Data_5!$F$10:$BG$42,$A54+2,FALSE)="IE","IE",IF(HLOOKUP(CV$15,Data_5!$F$10:$BG$42,$A54+2,FALSE)="NE","NE",IF(HLOOKUP(CV$15,Data_5!$F$10:$BG$42,$A54+2,FALSE)="C","C",IF(HLOOKUP(CV$15,Data_5!$F$10:$BG$42,$A54+2,FALSE)="NO","NO",HLOOKUP(CV$15,Data_5!$F$10:$BG$42,$A54+2,FALSE)/Data_5!$BK49))))),"")</f>
        <v/>
      </c>
      <c r="CW54" s="1122" t="str">
        <f>IFERROR(IF(HLOOKUP(CW$15,Data_5!$F$10:$BG$42,$A54+2,FALSE)="NO","NO",IF(HLOOKUP(CW$15,Data_5!$F$10:$BG$42,$A54+2,FALSE)="IE","IE",IF(HLOOKUP(CW$15,Data_5!$F$10:$BG$42,$A54+2,FALSE)="NE","NE",IF(HLOOKUP(CW$15,Data_5!$F$10:$BG$42,$A54+2,FALSE)="C","C",IF(HLOOKUP(CW$15,Data_5!$F$10:$BG$42,$A54+2,FALSE)="NO","NO",HLOOKUP(CW$15,Data_5!$F$10:$BG$42,$A54+2,FALSE)/Data_5!$BK49))))),"")</f>
        <v/>
      </c>
      <c r="CX54" s="1122" t="str">
        <f>IFERROR(IF(HLOOKUP(CX$15,Data_5!$F$10:$BG$42,$A54+2,FALSE)="NO","NO",IF(HLOOKUP(CX$15,Data_5!$F$10:$BG$42,$A54+2,FALSE)="IE","IE",IF(HLOOKUP(CX$15,Data_5!$F$10:$BG$42,$A54+2,FALSE)="NE","NE",IF(HLOOKUP(CX$15,Data_5!$F$10:$BG$42,$A54+2,FALSE)="C","C",IF(HLOOKUP(CX$15,Data_5!$F$10:$BG$42,$A54+2,FALSE)="NO","NO",HLOOKUP(CX$15,Data_5!$F$10:$BG$42,$A54+2,FALSE)/Data_5!$BK49))))),"")</f>
        <v/>
      </c>
      <c r="CY54" s="1122" t="str">
        <f>IFERROR(IF(HLOOKUP(CY$15,Data_5!$F$10:$BG$42,$A54+2,FALSE)="NO","NO",IF(HLOOKUP(CY$15,Data_5!$F$10:$BG$42,$A54+2,FALSE)="IE","IE",IF(HLOOKUP(CY$15,Data_5!$F$10:$BG$42,$A54+2,FALSE)="NE","NE",IF(HLOOKUP(CY$15,Data_5!$F$10:$BG$42,$A54+2,FALSE)="C","C",IF(HLOOKUP(CY$15,Data_5!$F$10:$BG$42,$A54+2,FALSE)="NO","NO",HLOOKUP(CY$15,Data_5!$F$10:$BG$42,$A54+2,FALSE)/Data_5!$BK49))))),"")</f>
        <v/>
      </c>
      <c r="CZ54" s="1122" t="str">
        <f>IFERROR(IF(HLOOKUP(CZ$15,Data_5!$F$10:$BG$42,$A54+2,FALSE)="NO","NO",IF(HLOOKUP(CZ$15,Data_5!$F$10:$BG$42,$A54+2,FALSE)="IE","IE",IF(HLOOKUP(CZ$15,Data_5!$F$10:$BG$42,$A54+2,FALSE)="NE","NE",IF(HLOOKUP(CZ$15,Data_5!$F$10:$BG$42,$A54+2,FALSE)="C","C",IF(HLOOKUP(CZ$15,Data_5!$F$10:$BG$42,$A54+2,FALSE)="NO","NO",HLOOKUP(CZ$15,Data_5!$F$10:$BG$42,$A54+2,FALSE)/Data_5!$BK49))))),"")</f>
        <v/>
      </c>
      <c r="DA54" s="1122" t="str">
        <f>IFERROR(IF(HLOOKUP(DA$15,Data_5!$F$10:$BG$42,$A54+2,FALSE)="NO","NO",IF(HLOOKUP(DA$15,Data_5!$F$10:$BG$42,$A54+2,FALSE)="IE","IE",IF(HLOOKUP(DA$15,Data_5!$F$10:$BG$42,$A54+2,FALSE)="NE","NE",IF(HLOOKUP(DA$15,Data_5!$F$10:$BG$42,$A54+2,FALSE)="C","C",IF(HLOOKUP(DA$15,Data_5!$F$10:$BG$42,$A54+2,FALSE)="NO","NO",HLOOKUP(DA$15,Data_5!$F$10:$BG$42,$A54+2,FALSE)/Data_5!$BK49))))),"")</f>
        <v/>
      </c>
      <c r="DB54" s="1122" t="str">
        <f>IFERROR(IF(HLOOKUP(DB$15,Data_5!$F$10:$BG$42,$A54+2,FALSE)="NO","NO",IF(HLOOKUP(DB$15,Data_5!$F$10:$BG$42,$A54+2,FALSE)="IE","IE",IF(HLOOKUP(DB$15,Data_5!$F$10:$BG$42,$A54+2,FALSE)="NE","NE",IF(HLOOKUP(DB$15,Data_5!$F$10:$BG$42,$A54+2,FALSE)="C","C",IF(HLOOKUP(DB$15,Data_5!$F$10:$BG$42,$A54+2,FALSE)="NO","NO",HLOOKUP(DB$15,Data_5!$F$10:$BG$42,$A54+2,FALSE)/Data_5!$BK49))))),"")</f>
        <v/>
      </c>
      <c r="DC54" s="1122" t="str">
        <f>IFERROR(IF(HLOOKUP(DC$15,Data_5!$F$10:$BG$42,$A54+2,FALSE)="NO","NO",IF(HLOOKUP(DC$15,Data_5!$F$10:$BG$42,$A54+2,FALSE)="IE","IE",IF(HLOOKUP(DC$15,Data_5!$F$10:$BG$42,$A54+2,FALSE)="NE","NE",IF(HLOOKUP(DC$15,Data_5!$F$10:$BG$42,$A54+2,FALSE)="C","C",IF(HLOOKUP(DC$15,Data_5!$F$10:$BG$42,$A54+2,FALSE)="NO","NO",HLOOKUP(DC$15,Data_5!$F$10:$BG$42,$A54+2,FALSE)/Data_5!$BK49))))),"")</f>
        <v/>
      </c>
      <c r="DD54" s="1122" t="str">
        <f>IFERROR(IF(HLOOKUP(DD$15,Data_5!$F$10:$BG$42,$A54+2,FALSE)="NO","NO",IF(HLOOKUP(DD$15,Data_5!$F$10:$BG$42,$A54+2,FALSE)="IE","IE",IF(HLOOKUP(DD$15,Data_5!$F$10:$BG$42,$A54+2,FALSE)="NE","NE",IF(HLOOKUP(DD$15,Data_5!$F$10:$BG$42,$A54+2,FALSE)="C","C",IF(HLOOKUP(DD$15,Data_5!$F$10:$BG$42,$A54+2,FALSE)="NO","NO",HLOOKUP(DD$15,Data_5!$F$10:$BG$42,$A54+2,FALSE)/Data_5!$BK49))))),"")</f>
        <v/>
      </c>
      <c r="DE54" s="1122" t="str">
        <f>IFERROR(IF(HLOOKUP(DE$15,Data_5!$F$10:$BG$42,$A54+2,FALSE)="NO","NO",IF(HLOOKUP(DE$15,Data_5!$F$10:$BG$42,$A54+2,FALSE)="IE","IE",IF(HLOOKUP(DE$15,Data_5!$F$10:$BG$42,$A54+2,FALSE)="NE","NE",IF(HLOOKUP(DE$15,Data_5!$F$10:$BG$42,$A54+2,FALSE)="C","C",IF(HLOOKUP(DE$15,Data_5!$F$10:$BG$42,$A54+2,FALSE)="NO","NO",HLOOKUP(DE$15,Data_5!$F$10:$BG$42,$A54+2,FALSE)/Data_5!$BK49))))),"")</f>
        <v/>
      </c>
      <c r="DF54" s="1122" t="str">
        <f>IFERROR(IF(HLOOKUP(DF$15,Data_5!$F$10:$BG$42,$A54+2,FALSE)="NO","NO",IF(HLOOKUP(DF$15,Data_5!$F$10:$BG$42,$A54+2,FALSE)="IE","IE",IF(HLOOKUP(DF$15,Data_5!$F$10:$BG$42,$A54+2,FALSE)="NE","NE",IF(HLOOKUP(DF$15,Data_5!$F$10:$BG$42,$A54+2,FALSE)="C","C",IF(HLOOKUP(DF$15,Data_5!$F$10:$BG$42,$A54+2,FALSE)="NO","NO",HLOOKUP(DF$15,Data_5!$F$10:$BG$42,$A54+2,FALSE)/Data_5!$BK49))))),"")</f>
        <v/>
      </c>
      <c r="DG54" s="1122" t="str">
        <f>IFERROR(IF(HLOOKUP(DG$15,Data_5!$F$10:$BG$42,$A54+2,FALSE)="NO","NO",IF(HLOOKUP(DG$15,Data_5!$F$10:$BG$42,$A54+2,FALSE)="IE","IE",IF(HLOOKUP(DG$15,Data_5!$F$10:$BG$42,$A54+2,FALSE)="NE","NE",IF(HLOOKUP(DG$15,Data_5!$F$10:$BG$42,$A54+2,FALSE)="C","C",IF(HLOOKUP(DG$15,Data_5!$F$10:$BG$42,$A54+2,FALSE)="NO","NO",HLOOKUP(DG$15,Data_5!$F$10:$BG$42,$A54+2,FALSE)/Data_5!$BK49))))),"")</f>
        <v/>
      </c>
      <c r="DH54" s="1122" t="str">
        <f>IFERROR(IF(HLOOKUP(DH$15,Data_5!$F$10:$BG$42,$A54+2,FALSE)="NO","NO",IF(HLOOKUP(DH$15,Data_5!$F$10:$BG$42,$A54+2,FALSE)="IE","IE",IF(HLOOKUP(DH$15,Data_5!$F$10:$BG$42,$A54+2,FALSE)="NE","NE",IF(HLOOKUP(DH$15,Data_5!$F$10:$BG$42,$A54+2,FALSE)="C","C",IF(HLOOKUP(DH$15,Data_5!$F$10:$BG$42,$A54+2,FALSE)="NO","NO",HLOOKUP(DH$15,Data_5!$F$10:$BG$42,$A54+2,FALSE)/Data_5!$BK49))))),"")</f>
        <v/>
      </c>
      <c r="DI54" s="1122" t="str">
        <f>IFERROR(IF(HLOOKUP(DI$15,Data_5!$F$10:$BG$42,$A54+2,FALSE)="NO","NO",IF(HLOOKUP(DI$15,Data_5!$F$10:$BG$42,$A54+2,FALSE)="IE","IE",IF(HLOOKUP(DI$15,Data_5!$F$10:$BG$42,$A54+2,FALSE)="NE","NE",IF(HLOOKUP(DI$15,Data_5!$F$10:$BG$42,$A54+2,FALSE)="C","C",IF(HLOOKUP(DI$15,Data_5!$F$10:$BG$42,$A54+2,FALSE)="NO","NO",HLOOKUP(DI$15,Data_5!$F$10:$BG$42,$A54+2,FALSE)/Data_5!$BK49))))),"")</f>
        <v/>
      </c>
      <c r="DJ54" s="1122" t="str">
        <f>IFERROR(IF(HLOOKUP(DJ$15,Data_5!$F$10:$BG$42,$A54+2,FALSE)="NO","NO",IF(HLOOKUP(DJ$15,Data_5!$F$10:$BG$42,$A54+2,FALSE)="IE","IE",IF(HLOOKUP(DJ$15,Data_5!$F$10:$BG$42,$A54+2,FALSE)="NE","NE",IF(HLOOKUP(DJ$15,Data_5!$F$10:$BG$42,$A54+2,FALSE)="C","C",IF(HLOOKUP(DJ$15,Data_5!$F$10:$BG$42,$A54+2,FALSE)="NO","NO",HLOOKUP(DJ$15,Data_5!$F$10:$BG$42,$A54+2,FALSE)/Data_5!$BK49))))),"")</f>
        <v/>
      </c>
      <c r="DK54" s="1122" t="str">
        <f>IFERROR(IF(HLOOKUP(DK$15,Data_5!$F$10:$BG$42,$A54+2,FALSE)="NO","NO",IF(HLOOKUP(DK$15,Data_5!$F$10:$BG$42,$A54+2,FALSE)="IE","IE",IF(HLOOKUP(DK$15,Data_5!$F$10:$BG$42,$A54+2,FALSE)="NE","NE",IF(HLOOKUP(DK$15,Data_5!$F$10:$BG$42,$A54+2,FALSE)="C","C",IF(HLOOKUP(DK$15,Data_5!$F$10:$BG$42,$A54+2,FALSE)="NO","NO",HLOOKUP(DK$15,Data_5!$F$10:$BG$42,$A54+2,FALSE)/Data_5!$BK49))))),"")</f>
        <v/>
      </c>
      <c r="DL54" s="1122" t="str">
        <f>IFERROR(IF(HLOOKUP(DL$15,Data_5!$F$10:$BG$42,$A54+2,FALSE)="NO","NO",IF(HLOOKUP(DL$15,Data_5!$F$10:$BG$42,$A54+2,FALSE)="IE","IE",IF(HLOOKUP(DL$15,Data_5!$F$10:$BG$42,$A54+2,FALSE)="NE","NE",IF(HLOOKUP(DL$15,Data_5!$F$10:$BG$42,$A54+2,FALSE)="C","C",IF(HLOOKUP(DL$15,Data_5!$F$10:$BG$42,$A54+2,FALSE)="NO","NO",HLOOKUP(DL$15,Data_5!$F$10:$BG$42,$A54+2,FALSE)/Data_5!$BK49))))),"")</f>
        <v/>
      </c>
      <c r="DM54" s="1122" t="str">
        <f>IFERROR(IF(HLOOKUP(DM$15,Data_5!$F$10:$BG$42,$A54+2,FALSE)="NO","NO",IF(HLOOKUP(DM$15,Data_5!$F$10:$BG$42,$A54+2,FALSE)="IE","IE",IF(HLOOKUP(DM$15,Data_5!$F$10:$BG$42,$A54+2,FALSE)="NE","NE",IF(HLOOKUP(DM$15,Data_5!$F$10:$BG$42,$A54+2,FALSE)="C","C",IF(HLOOKUP(DM$15,Data_5!$F$10:$BG$42,$A54+2,FALSE)="NO","NO",HLOOKUP(DM$15,Data_5!$F$10:$BG$42,$A54+2,FALSE)/Data_5!$BK49))))),"")</f>
        <v/>
      </c>
      <c r="DN54" s="1122" t="str">
        <f>IFERROR(IF(HLOOKUP(DN$15,Data_5!$F$10:$BG$42,$A54+2,FALSE)="NO","NO",IF(HLOOKUP(DN$15,Data_5!$F$10:$BG$42,$A54+2,FALSE)="IE","IE",IF(HLOOKUP(DN$15,Data_5!$F$10:$BG$42,$A54+2,FALSE)="NE","NE",IF(HLOOKUP(DN$15,Data_5!$F$10:$BG$42,$A54+2,FALSE)="C","C",IF(HLOOKUP(DN$15,Data_5!$F$10:$BG$42,$A54+2,FALSE)="NO","NO",HLOOKUP(DN$15,Data_5!$F$10:$BG$42,$A54+2,FALSE)/Data_5!$BK49))))),"")</f>
        <v/>
      </c>
      <c r="DO54" s="1122" t="str">
        <f>IFERROR(IF(HLOOKUP(DO$15,Data_5!$F$10:$BG$42,$A54+2,FALSE)="NO","NO",IF(HLOOKUP(DO$15,Data_5!$F$10:$BG$42,$A54+2,FALSE)="IE","IE",IF(HLOOKUP(DO$15,Data_5!$F$10:$BG$42,$A54+2,FALSE)="NE","NE",IF(HLOOKUP(DO$15,Data_5!$F$10:$BG$42,$A54+2,FALSE)="C","C",IF(HLOOKUP(DO$15,Data_5!$F$10:$BG$42,$A54+2,FALSE)="NO","NO",HLOOKUP(DO$15,Data_5!$F$10:$BG$42,$A54+2,FALSE)/Data_5!$BK49))))),"")</f>
        <v/>
      </c>
    </row>
    <row r="55" spans="1:119" ht="15" customHeight="1">
      <c r="A55" s="1789">
        <v>39</v>
      </c>
      <c r="B55" s="2628" t="str">
        <f ca="1">IF(Data_5!B50&lt;&gt;"",Data_5!B50,"")</f>
        <v/>
      </c>
      <c r="C55" s="2629"/>
      <c r="D55" s="1462">
        <f ca="1">IFERROR(VLOOKUP($B55,Data_5!$B$12:$C$42,2,FALSE),"")</f>
        <v>0</v>
      </c>
      <c r="E55" s="1122" t="str">
        <f>IFERROR(IF(HLOOKUP(E$15,Data_5!$F$10:$BG$42,$A55+2,FALSE)="NO","NO",IF(HLOOKUP(E$15,Data_5!$F$10:$BG$42,$A55+2,FALSE)="IE","IE",IF(HLOOKUP(E$15,Data_5!$F$10:$BG$42,$A55+2,FALSE)="NE","NE",IF(HLOOKUP(E$15,Data_5!$F$10:$BG$42,$A55+2,FALSE)="C","C",IF(HLOOKUP(E$15,Data_5!$F$10:$BG$42,$A55+2,FALSE)="NO","NO",HLOOKUP(E$15,Data_5!$F$10:$BG$42,$A55+2,FALSE)/Data_5!$BH50))))),"")</f>
        <v/>
      </c>
      <c r="F55" s="1122" t="str">
        <f>IFERROR(IF(HLOOKUP(F$15,Data_5!$F$10:$BG$42,$A55+2,FALSE)="NO","NO",IF(HLOOKUP(F$15,Data_5!$F$10:$BG$42,$A55+2,FALSE)="IE","IE",IF(HLOOKUP(F$15,Data_5!$F$10:$BG$42,$A55+2,FALSE)="NE","NE",IF(HLOOKUP(F$15,Data_5!$F$10:$BG$42,$A55+2,FALSE)="C","C",IF(HLOOKUP(F$15,Data_5!$F$10:$BG$42,$A55+2,FALSE)="NO","NO",HLOOKUP(F$15,Data_5!$F$10:$BG$42,$A55+2,FALSE)/Data_5!$BH50))))),"")</f>
        <v/>
      </c>
      <c r="G55" s="1122" t="str">
        <f>IFERROR(IF(HLOOKUP(G$15,Data_5!$F$10:$BG$42,$A55+2,FALSE)="NO","NO",IF(HLOOKUP(G$15,Data_5!$F$10:$BG$42,$A55+2,FALSE)="IE","IE",IF(HLOOKUP(G$15,Data_5!$F$10:$BG$42,$A55+2,FALSE)="NE","NE",IF(HLOOKUP(G$15,Data_5!$F$10:$BG$42,$A55+2,FALSE)="C","C",IF(HLOOKUP(G$15,Data_5!$F$10:$BG$42,$A55+2,FALSE)="NO","NO",HLOOKUP(G$15,Data_5!$F$10:$BG$42,$A55+2,FALSE)/Data_5!$BH50))))),"")</f>
        <v/>
      </c>
      <c r="H55" s="1122" t="str">
        <f>IFERROR(IF(HLOOKUP(H$15,Data_5!$F$10:$BG$42,$A55+2,FALSE)="NO","NO",IF(HLOOKUP(H$15,Data_5!$F$10:$BG$42,$A55+2,FALSE)="IE","IE",IF(HLOOKUP(H$15,Data_5!$F$10:$BG$42,$A55+2,FALSE)="NE","NE",IF(HLOOKUP(H$15,Data_5!$F$10:$BG$42,$A55+2,FALSE)="C","C",IF(HLOOKUP(H$15,Data_5!$F$10:$BG$42,$A55+2,FALSE)="NO","NO",HLOOKUP(H$15,Data_5!$F$10:$BG$42,$A55+2,FALSE)/Data_5!$BH50))))),"")</f>
        <v/>
      </c>
      <c r="I55" s="1122" t="str">
        <f>IFERROR(IF(HLOOKUP(I$15,Data_5!$F$10:$BG$42,$A55+2,FALSE)="NO","NO",IF(HLOOKUP(I$15,Data_5!$F$10:$BG$42,$A55+2,FALSE)="IE","IE",IF(HLOOKUP(I$15,Data_5!$F$10:$BG$42,$A55+2,FALSE)="NE","NE",IF(HLOOKUP(I$15,Data_5!$F$10:$BG$42,$A55+2,FALSE)="C","C",IF(HLOOKUP(I$15,Data_5!$F$10:$BG$42,$A55+2,FALSE)="NO","NO",HLOOKUP(I$15,Data_5!$F$10:$BG$42,$A55+2,FALSE)/Data_5!$BH50))))),"")</f>
        <v/>
      </c>
      <c r="J55" s="1122" t="str">
        <f>IFERROR(IF(HLOOKUP(J$15,Data_5!$F$10:$BG$42,$A55+2,FALSE)="NO","NO",IF(HLOOKUP(J$15,Data_5!$F$10:$BG$42,$A55+2,FALSE)="IE","IE",IF(HLOOKUP(J$15,Data_5!$F$10:$BG$42,$A55+2,FALSE)="NE","NE",IF(HLOOKUP(J$15,Data_5!$F$10:$BG$42,$A55+2,FALSE)="C","C",IF(HLOOKUP(J$15,Data_5!$F$10:$BG$42,$A55+2,FALSE)="NO","NO",HLOOKUP(J$15,Data_5!$F$10:$BG$42,$A55+2,FALSE)/Data_5!$BH50))))),"")</f>
        <v/>
      </c>
      <c r="K55" s="1122" t="str">
        <f>IFERROR(IF(HLOOKUP(K$15,Data_5!$F$10:$BG$42,$A55+2,FALSE)="NO","NO",IF(HLOOKUP(K$15,Data_5!$F$10:$BG$42,$A55+2,FALSE)="IE","IE",IF(HLOOKUP(K$15,Data_5!$F$10:$BG$42,$A55+2,FALSE)="NE","NE",IF(HLOOKUP(K$15,Data_5!$F$10:$BG$42,$A55+2,FALSE)="C","C",IF(HLOOKUP(K$15,Data_5!$F$10:$BG$42,$A55+2,FALSE)="NO","NO",HLOOKUP(K$15,Data_5!$F$10:$BG$42,$A55+2,FALSE)/Data_5!$BH50))))),"")</f>
        <v/>
      </c>
      <c r="L55" s="1122" t="str">
        <f>IFERROR(IF(HLOOKUP(L$15,Data_5!$F$10:$BG$42,$A55+2,FALSE)="NO","NO",IF(HLOOKUP(L$15,Data_5!$F$10:$BG$42,$A55+2,FALSE)="IE","IE",IF(HLOOKUP(L$15,Data_5!$F$10:$BG$42,$A55+2,FALSE)="NE","NE",IF(HLOOKUP(L$15,Data_5!$F$10:$BG$42,$A55+2,FALSE)="C","C",IF(HLOOKUP(L$15,Data_5!$F$10:$BG$42,$A55+2,FALSE)="NO","NO",HLOOKUP(L$15,Data_5!$F$10:$BG$42,$A55+2,FALSE)/Data_5!$BH50))))),"")</f>
        <v/>
      </c>
      <c r="M55" s="1122" t="str">
        <f>IFERROR(IF(HLOOKUP(M$15,Data_5!$F$10:$BG$42,$A55+2,FALSE)="NO","NO",IF(HLOOKUP(M$15,Data_5!$F$10:$BG$42,$A55+2,FALSE)="IE","IE",IF(HLOOKUP(M$15,Data_5!$F$10:$BG$42,$A55+2,FALSE)="NE","NE",IF(HLOOKUP(M$15,Data_5!$F$10:$BG$42,$A55+2,FALSE)="C","C",IF(HLOOKUP(M$15,Data_5!$F$10:$BG$42,$A55+2,FALSE)="NO","NO",HLOOKUP(M$15,Data_5!$F$10:$BG$42,$A55+2,FALSE)/Data_5!$BH50))))),"")</f>
        <v/>
      </c>
      <c r="N55" s="1122" t="str">
        <f>IFERROR(IF(HLOOKUP(N$15,Data_5!$F$10:$BG$42,$A55+2,FALSE)="NO","NO",IF(HLOOKUP(N$15,Data_5!$F$10:$BG$42,$A55+2,FALSE)="IE","IE",IF(HLOOKUP(N$15,Data_5!$F$10:$BG$42,$A55+2,FALSE)="NE","NE",IF(HLOOKUP(N$15,Data_5!$F$10:$BG$42,$A55+2,FALSE)="C","C",IF(HLOOKUP(N$15,Data_5!$F$10:$BG$42,$A55+2,FALSE)="NO","NO",HLOOKUP(N$15,Data_5!$F$10:$BG$42,$A55+2,FALSE)/Data_5!$BH50))))),"")</f>
        <v/>
      </c>
      <c r="O55" s="1122" t="str">
        <f>IFERROR(IF(HLOOKUP(O$15,Data_5!$F$10:$BG$42,$A55+2,FALSE)="NO","NO",IF(HLOOKUP(O$15,Data_5!$F$10:$BG$42,$A55+2,FALSE)="IE","IE",IF(HLOOKUP(O$15,Data_5!$F$10:$BG$42,$A55+2,FALSE)="NE","NE",IF(HLOOKUP(O$15,Data_5!$F$10:$BG$42,$A55+2,FALSE)="C","C",IF(HLOOKUP(O$15,Data_5!$F$10:$BG$42,$A55+2,FALSE)="NO","NO",HLOOKUP(O$15,Data_5!$F$10:$BG$42,$A55+2,FALSE)/Data_5!$BH50))))),"")</f>
        <v/>
      </c>
      <c r="P55" s="1122" t="str">
        <f>IFERROR(IF(HLOOKUP(P$15,Data_5!$F$10:$BG$42,$A55+2,FALSE)="NO","NO",IF(HLOOKUP(P$15,Data_5!$F$10:$BG$42,$A55+2,FALSE)="IE","IE",IF(HLOOKUP(P$15,Data_5!$F$10:$BG$42,$A55+2,FALSE)="NE","NE",IF(HLOOKUP(P$15,Data_5!$F$10:$BG$42,$A55+2,FALSE)="C","C",IF(HLOOKUP(P$15,Data_5!$F$10:$BG$42,$A55+2,FALSE)="NO","NO",HLOOKUP(P$15,Data_5!$F$10:$BG$42,$A55+2,FALSE)/Data_5!$BH50))))),"")</f>
        <v/>
      </c>
      <c r="Q55" s="1122" t="str">
        <f>IFERROR(IF(HLOOKUP(Q$15,Data_5!$F$10:$BG$42,$A55+2,FALSE)="NO","NO",IF(HLOOKUP(Q$15,Data_5!$F$10:$BG$42,$A55+2,FALSE)="IE","IE",IF(HLOOKUP(Q$15,Data_5!$F$10:$BG$42,$A55+2,FALSE)="NE","NE",IF(HLOOKUP(Q$15,Data_5!$F$10:$BG$42,$A55+2,FALSE)="C","C",IF(HLOOKUP(Q$15,Data_5!$F$10:$BG$42,$A55+2,FALSE)="NO","NO",HLOOKUP(Q$15,Data_5!$F$10:$BG$42,$A55+2,FALSE)/Data_5!$BH50))))),"")</f>
        <v/>
      </c>
      <c r="R55" s="1122" t="str">
        <f>IFERROR(IF(HLOOKUP(R$15,Data_5!$F$10:$BG$42,$A55+2,FALSE)="NO","NO",IF(HLOOKUP(R$15,Data_5!$F$10:$BG$42,$A55+2,FALSE)="IE","IE",IF(HLOOKUP(R$15,Data_5!$F$10:$BG$42,$A55+2,FALSE)="NE","NE",IF(HLOOKUP(R$15,Data_5!$F$10:$BG$42,$A55+2,FALSE)="C","C",IF(HLOOKUP(R$15,Data_5!$F$10:$BG$42,$A55+2,FALSE)="NO","NO",HLOOKUP(R$15,Data_5!$F$10:$BG$42,$A55+2,FALSE)/Data_5!$BH50))))),"")</f>
        <v/>
      </c>
      <c r="S55" s="1122" t="str">
        <f>IFERROR(IF(HLOOKUP(S$15,Data_5!$F$10:$BG$42,$A55+2,FALSE)="NO","NO",IF(HLOOKUP(S$15,Data_5!$F$10:$BG$42,$A55+2,FALSE)="IE","IE",IF(HLOOKUP(S$15,Data_5!$F$10:$BG$42,$A55+2,FALSE)="NE","NE",IF(HLOOKUP(S$15,Data_5!$F$10:$BG$42,$A55+2,FALSE)="C","C",IF(HLOOKUP(S$15,Data_5!$F$10:$BG$42,$A55+2,FALSE)="NO","NO",HLOOKUP(S$15,Data_5!$F$10:$BG$42,$A55+2,FALSE)/Data_5!$BH50))))),"")</f>
        <v/>
      </c>
      <c r="T55" s="1122" t="str">
        <f>IFERROR(IF(HLOOKUP(T$15,Data_5!$F$10:$BG$42,$A55+2,FALSE)="NO","NO",IF(HLOOKUP(T$15,Data_5!$F$10:$BG$42,$A55+2,FALSE)="IE","IE",IF(HLOOKUP(T$15,Data_5!$F$10:$BG$42,$A55+2,FALSE)="NE","NE",IF(HLOOKUP(T$15,Data_5!$F$10:$BG$42,$A55+2,FALSE)="C","C",IF(HLOOKUP(T$15,Data_5!$F$10:$BG$42,$A55+2,FALSE)="NO","NO",HLOOKUP(T$15,Data_5!$F$10:$BG$42,$A55+2,FALSE)/Data_5!$BH50))))),"")</f>
        <v/>
      </c>
      <c r="U55" s="1122" t="str">
        <f>IFERROR(IF(HLOOKUP(U$15,Data_5!$F$10:$BG$42,$A55+2,FALSE)="NO","NO",IF(HLOOKUP(U$15,Data_5!$F$10:$BG$42,$A55+2,FALSE)="IE","IE",IF(HLOOKUP(U$15,Data_5!$F$10:$BG$42,$A55+2,FALSE)="NE","NE",IF(HLOOKUP(U$15,Data_5!$F$10:$BG$42,$A55+2,FALSE)="C","C",IF(HLOOKUP(U$15,Data_5!$F$10:$BG$42,$A55+2,FALSE)="NO","NO",HLOOKUP(U$15,Data_5!$F$10:$BG$42,$A55+2,FALSE)/Data_5!$BH50))))),"")</f>
        <v/>
      </c>
      <c r="V55" s="1122" t="str">
        <f>IFERROR(IF(HLOOKUP(V$15,Data_5!$F$10:$BG$42,$A55+2,FALSE)="NO","NO",IF(HLOOKUP(V$15,Data_5!$F$10:$BG$42,$A55+2,FALSE)="IE","IE",IF(HLOOKUP(V$15,Data_5!$F$10:$BG$42,$A55+2,FALSE)="NE","NE",IF(HLOOKUP(V$15,Data_5!$F$10:$BG$42,$A55+2,FALSE)="C","C",IF(HLOOKUP(V$15,Data_5!$F$10:$BG$42,$A55+2,FALSE)="NO","NO",HLOOKUP(V$15,Data_5!$F$10:$BG$42,$A55+2,FALSE)/Data_5!$BH50))))),"")</f>
        <v/>
      </c>
      <c r="W55" s="1122" t="str">
        <f>IFERROR(IF(HLOOKUP(W$15,Data_5!$F$10:$BG$42,$A55+2,FALSE)="NO","NO",IF(HLOOKUP(W$15,Data_5!$F$10:$BG$42,$A55+2,FALSE)="IE","IE",IF(HLOOKUP(W$15,Data_5!$F$10:$BG$42,$A55+2,FALSE)="NE","NE",IF(HLOOKUP(W$15,Data_5!$F$10:$BG$42,$A55+2,FALSE)="C","C",IF(HLOOKUP(W$15,Data_5!$F$10:$BG$42,$A55+2,FALSE)="NO","NO",HLOOKUP(W$15,Data_5!$F$10:$BG$42,$A55+2,FALSE)/Data_5!$BH50))))),"")</f>
        <v/>
      </c>
      <c r="X55" s="1122" t="str">
        <f>IFERROR(IF(HLOOKUP(X$15,Data_5!$F$10:$BG$42,$A55+2,FALSE)="NO","NO",IF(HLOOKUP(X$15,Data_5!$F$10:$BG$42,$A55+2,FALSE)="IE","IE",IF(HLOOKUP(X$15,Data_5!$F$10:$BG$42,$A55+2,FALSE)="NE","NE",IF(HLOOKUP(X$15,Data_5!$F$10:$BG$42,$A55+2,FALSE)="C","C",IF(HLOOKUP(X$15,Data_5!$F$10:$BG$42,$A55+2,FALSE)="NO","NO",HLOOKUP(X$15,Data_5!$F$10:$BG$42,$A55+2,FALSE)/Data_5!$BH50))))),"")</f>
        <v/>
      </c>
      <c r="Y55" s="1122" t="str">
        <f>IFERROR(IF(HLOOKUP(Y$15,Data_5!$F$10:$BG$42,$A55+2,FALSE)="NO","NO",IF(HLOOKUP(Y$15,Data_5!$F$10:$BG$42,$A55+2,FALSE)="IE","IE",IF(HLOOKUP(Y$15,Data_5!$F$10:$BG$42,$A55+2,FALSE)="NE","NE",IF(HLOOKUP(Y$15,Data_5!$F$10:$BG$42,$A55+2,FALSE)="C","C",IF(HLOOKUP(Y$15,Data_5!$F$10:$BG$42,$A55+2,FALSE)="NO","NO",HLOOKUP(Y$15,Data_5!$F$10:$BG$42,$A55+2,FALSE)/Data_5!$BH50))))),"")</f>
        <v/>
      </c>
      <c r="Z55" s="1122" t="str">
        <f>IFERROR(IF(HLOOKUP(Z$15,Data_5!$F$10:$BG$42,$A55+2,FALSE)="NO","NO",IF(HLOOKUP(Z$15,Data_5!$F$10:$BG$42,$A55+2,FALSE)="IE","IE",IF(HLOOKUP(Z$15,Data_5!$F$10:$BG$42,$A55+2,FALSE)="NE","NE",IF(HLOOKUP(Z$15,Data_5!$F$10:$BG$42,$A55+2,FALSE)="C","C",IF(HLOOKUP(Z$15,Data_5!$F$10:$BG$42,$A55+2,FALSE)="NO","NO",HLOOKUP(Z$15,Data_5!$F$10:$BG$42,$A55+2,FALSE)/Data_5!$BH50))))),"")</f>
        <v/>
      </c>
      <c r="AA55" s="1122" t="str">
        <f>IFERROR(IF(HLOOKUP(AA$15,Data_5!$F$10:$BG$42,$A55+2,FALSE)="NO","NO",IF(HLOOKUP(AA$15,Data_5!$F$10:$BG$42,$A55+2,FALSE)="IE","IE",IF(HLOOKUP(AA$15,Data_5!$F$10:$BG$42,$A55+2,FALSE)="NE","NE",IF(HLOOKUP(AA$15,Data_5!$F$10:$BG$42,$A55+2,FALSE)="C","C",IF(HLOOKUP(AA$15,Data_5!$F$10:$BG$42,$A55+2,FALSE)="NO","NO",HLOOKUP(AA$15,Data_5!$F$10:$BG$42,$A55+2,FALSE)/Data_5!$BH50))))),"")</f>
        <v/>
      </c>
      <c r="AB55" s="1122" t="str">
        <f>IFERROR(IF(HLOOKUP(AB$15,Data_5!$F$10:$BG$42,$A55+2,FALSE)="NO","NO",IF(HLOOKUP(AB$15,Data_5!$F$10:$BG$42,$A55+2,FALSE)="IE","IE",IF(HLOOKUP(AB$15,Data_5!$F$10:$BG$42,$A55+2,FALSE)="NE","NE",IF(HLOOKUP(AB$15,Data_5!$F$10:$BG$42,$A55+2,FALSE)="C","C",IF(HLOOKUP(AB$15,Data_5!$F$10:$BG$42,$A55+2,FALSE)="NO","NO",HLOOKUP(AB$15,Data_5!$F$10:$BG$42,$A55+2,FALSE)/Data_5!$BH50))))),"")</f>
        <v/>
      </c>
      <c r="AC55" s="1122" t="str">
        <f>IFERROR(IF(HLOOKUP(AC$15,Data_5!$F$10:$BG$42,$A55+2,FALSE)="NO","NO",IF(HLOOKUP(AC$15,Data_5!$F$10:$BG$42,$A55+2,FALSE)="IE","IE",IF(HLOOKUP(AC$15,Data_5!$F$10:$BG$42,$A55+2,FALSE)="NE","NE",IF(HLOOKUP(AC$15,Data_5!$F$10:$BG$42,$A55+2,FALSE)="C","C",IF(HLOOKUP(AC$15,Data_5!$F$10:$BG$42,$A55+2,FALSE)="NO","NO",HLOOKUP(AC$15,Data_5!$F$10:$BG$42,$A55+2,FALSE)/Data_5!$BH50))))),"")</f>
        <v/>
      </c>
      <c r="AD55" s="1122" t="str">
        <f>IFERROR(IF(HLOOKUP(AD$15,Data_5!$F$10:$BG$42,$A55+2,FALSE)="NO","NO",IF(HLOOKUP(AD$15,Data_5!$F$10:$BG$42,$A55+2,FALSE)="IE","IE",IF(HLOOKUP(AD$15,Data_5!$F$10:$BG$42,$A55+2,FALSE)="NE","NE",IF(HLOOKUP(AD$15,Data_5!$F$10:$BG$42,$A55+2,FALSE)="C","C",IF(HLOOKUP(AD$15,Data_5!$F$10:$BG$42,$A55+2,FALSE)="NO","NO",HLOOKUP(AD$15,Data_5!$F$10:$BG$42,$A55+2,FALSE)/Data_5!$BH50))))),"")</f>
        <v/>
      </c>
      <c r="AE55" s="1122" t="str">
        <f>IFERROR(IF(HLOOKUP(AE$15,Data_5!$F$10:$BG$42,$A55+2,FALSE)="NO","NO",IF(HLOOKUP(AE$15,Data_5!$F$10:$BG$42,$A55+2,FALSE)="IE","IE",IF(HLOOKUP(AE$15,Data_5!$F$10:$BG$42,$A55+2,FALSE)="NE","NE",IF(HLOOKUP(AE$15,Data_5!$F$10:$BG$42,$A55+2,FALSE)="C","C",IF(HLOOKUP(AE$15,Data_5!$F$10:$BG$42,$A55+2,FALSE)="NO","NO",HLOOKUP(AE$15,Data_5!$F$10:$BG$42,$A55+2,FALSE)/Data_5!$BH50))))),"")</f>
        <v/>
      </c>
      <c r="AF55" s="1122" t="str">
        <f>IFERROR(IF(HLOOKUP(AF$15,Data_5!$F$10:$BG$42,$A55+2,FALSE)="NO","NO",IF(HLOOKUP(AF$15,Data_5!$F$10:$BG$42,$A55+2,FALSE)="IE","IE",IF(HLOOKUP(AF$15,Data_5!$F$10:$BG$42,$A55+2,FALSE)="NE","NE",IF(HLOOKUP(AF$15,Data_5!$F$10:$BG$42,$A55+2,FALSE)="C","C",IF(HLOOKUP(AF$15,Data_5!$F$10:$BG$42,$A55+2,FALSE)="NO","NO",HLOOKUP(AF$15,Data_5!$F$10:$BG$42,$A55+2,FALSE)/Data_5!$BH50))))),"")</f>
        <v/>
      </c>
      <c r="AG55" s="1122" t="str">
        <f>IFERROR(IF(HLOOKUP(AG$15,Data_5!$F$10:$BG$42,$A55+2,FALSE)="NO","NO",IF(HLOOKUP(AG$15,Data_5!$F$10:$BG$42,$A55+2,FALSE)="IE","IE",IF(HLOOKUP(AG$15,Data_5!$F$10:$BG$42,$A55+2,FALSE)="NE","NE",IF(HLOOKUP(AG$15,Data_5!$F$10:$BG$42,$A55+2,FALSE)="C","C",IF(HLOOKUP(AG$15,Data_5!$F$10:$BG$42,$A55+2,FALSE)="NO","NO",HLOOKUP(AG$15,Data_5!$F$10:$BG$42,$A55+2,FALSE)/Data_5!$BH50))))),"")</f>
        <v/>
      </c>
      <c r="AH55" s="1122" t="str">
        <f>IFERROR(IF(HLOOKUP(AH$15,Data_5!$F$10:$BG$42,$A55+2,FALSE)="NO","NO",IF(HLOOKUP(AH$15,Data_5!$F$10:$BG$42,$A55+2,FALSE)="IE","IE",IF(HLOOKUP(AH$15,Data_5!$F$10:$BG$42,$A55+2,FALSE)="NE","NE",IF(HLOOKUP(AH$15,Data_5!$F$10:$BG$42,$A55+2,FALSE)="C","C",IF(HLOOKUP(AH$15,Data_5!$F$10:$BG$42,$A55+2,FALSE)="NO","NO",HLOOKUP(AH$15,Data_5!$F$10:$BG$42,$A55+2,FALSE)/Data_5!$BH50))))),"")</f>
        <v/>
      </c>
      <c r="AI55" s="1122" t="str">
        <f>IFERROR(IF(HLOOKUP(AI$15,Data_5!$F$10:$BG$42,$A55+2,FALSE)="NO","NO",IF(HLOOKUP(AI$15,Data_5!$F$10:$BG$42,$A55+2,FALSE)="IE","IE",IF(HLOOKUP(AI$15,Data_5!$F$10:$BG$42,$A55+2,FALSE)="NE","NE",IF(HLOOKUP(AI$15,Data_5!$F$10:$BG$42,$A55+2,FALSE)="C","C",IF(HLOOKUP(AI$15,Data_5!$F$10:$BG$42,$A55+2,FALSE)="NO","NO",HLOOKUP(AI$15,Data_5!$F$10:$BG$42,$A55+2,FALSE)/Data_5!$BH50))))),"")</f>
        <v/>
      </c>
      <c r="AJ55" s="1122" t="str">
        <f>IFERROR(IF(HLOOKUP(AJ$15,Data_5!$F$10:$BG$42,$A55+2,FALSE)="NO","NO",IF(HLOOKUP(AJ$15,Data_5!$F$10:$BG$42,$A55+2,FALSE)="IE","IE",IF(HLOOKUP(AJ$15,Data_5!$F$10:$BG$42,$A55+2,FALSE)="NE","NE",IF(HLOOKUP(AJ$15,Data_5!$F$10:$BG$42,$A55+2,FALSE)="C","C",IF(HLOOKUP(AJ$15,Data_5!$F$10:$BG$42,$A55+2,FALSE)="NO","NO",HLOOKUP(AJ$15,Data_5!$F$10:$BG$42,$A55+2,FALSE)/Data_5!$BH50))))),"")</f>
        <v/>
      </c>
      <c r="AL55" s="2628" t="str">
        <f t="shared" ca="1" si="0"/>
        <v/>
      </c>
      <c r="AM55" s="2629"/>
      <c r="AN55" s="1100" t="str">
        <f t="shared" ca="1" si="1"/>
        <v/>
      </c>
      <c r="AO55" s="1122" t="str">
        <f>IFERROR(IF(HLOOKUP(AO$15,Data_5!$F$10:$BG$42,$A55+2,FALSE)="NO","NO",IF(HLOOKUP(AO$15,Data_5!$F$10:$BG$42,$A55+2,FALSE)="IE","IE",IF(HLOOKUP(AO$15,Data_5!$F$10:$BG$42,$A55+2,FALSE)="NE","NE",IF(HLOOKUP(AO$15,Data_5!$F$10:$BG$42,$A55+2,FALSE)="C","C",IF(HLOOKUP(AO$15,Data_5!$F$10:$BG$42,$A55+2,FALSE)="NO","NO",HLOOKUP(AO$15,Data_5!$F$10:$BG$42,$A55+2,FALSE)/Data_5!$BI50))))),"")</f>
        <v/>
      </c>
      <c r="AP55" s="1122" t="str">
        <f>IFERROR(IF(HLOOKUP(AP$15,Data_5!$F$10:$BG$42,$A55+2,FALSE)="NO","NO",IF(HLOOKUP(AP$15,Data_5!$F$10:$BG$42,$A55+2,FALSE)="IE","IE",IF(HLOOKUP(AP$15,Data_5!$F$10:$BG$42,$A55+2,FALSE)="NE","NE",IF(HLOOKUP(AP$15,Data_5!$F$10:$BG$42,$A55+2,FALSE)="C","C",IF(HLOOKUP(AP$15,Data_5!$F$10:$BG$42,$A55+2,FALSE)="NO","NO",HLOOKUP(AP$15,Data_5!$F$10:$BG$42,$A55+2,FALSE)/Data_5!$BI50))))),"")</f>
        <v/>
      </c>
      <c r="AQ55" s="1122" t="str">
        <f>IFERROR(IF(HLOOKUP(AQ$15,Data_5!$F$10:$BG$42,$A55+2,FALSE)="NO","NO",IF(HLOOKUP(AQ$15,Data_5!$F$10:$BG$42,$A55+2,FALSE)="IE","IE",IF(HLOOKUP(AQ$15,Data_5!$F$10:$BG$42,$A55+2,FALSE)="NE","NE",IF(HLOOKUP(AQ$15,Data_5!$F$10:$BG$42,$A55+2,FALSE)="C","C",IF(HLOOKUP(AQ$15,Data_5!$F$10:$BG$42,$A55+2,FALSE)="NO","NO",HLOOKUP(AQ$15,Data_5!$F$10:$BG$42,$A55+2,FALSE)/Data_5!$BI50))))),"")</f>
        <v/>
      </c>
      <c r="AR55" s="1122" t="str">
        <f>IFERROR(IF(HLOOKUP(AR$15,Data_5!$F$10:$BG$42,$A55+2,FALSE)="NO","NO",IF(HLOOKUP(AR$15,Data_5!$F$10:$BG$42,$A55+2,FALSE)="IE","IE",IF(HLOOKUP(AR$15,Data_5!$F$10:$BG$42,$A55+2,FALSE)="NE","NE",IF(HLOOKUP(AR$15,Data_5!$F$10:$BG$42,$A55+2,FALSE)="C","C",IF(HLOOKUP(AR$15,Data_5!$F$10:$BG$42,$A55+2,FALSE)="NO","NO",HLOOKUP(AR$15,Data_5!$F$10:$BG$42,$A55+2,FALSE)/Data_5!$BI50))))),"")</f>
        <v/>
      </c>
      <c r="AS55" s="1122" t="str">
        <f>IFERROR(IF(HLOOKUP(AS$15,Data_5!$F$10:$BG$42,$A55+2,FALSE)="NO","NO",IF(HLOOKUP(AS$15,Data_5!$F$10:$BG$42,$A55+2,FALSE)="IE","IE",IF(HLOOKUP(AS$15,Data_5!$F$10:$BG$42,$A55+2,FALSE)="NE","NE",IF(HLOOKUP(AS$15,Data_5!$F$10:$BG$42,$A55+2,FALSE)="C","C",IF(HLOOKUP(AS$15,Data_5!$F$10:$BG$42,$A55+2,FALSE)="NO","NO",HLOOKUP(AS$15,Data_5!$F$10:$BG$42,$A55+2,FALSE)/Data_5!$BI50))))),"")</f>
        <v/>
      </c>
      <c r="AT55" s="1122" t="str">
        <f>IFERROR(IF(HLOOKUP(AT$15,Data_5!$F$10:$BG$42,$A55+2,FALSE)="NO","NO",IF(HLOOKUP(AT$15,Data_5!$F$10:$BG$42,$A55+2,FALSE)="IE","IE",IF(HLOOKUP(AT$15,Data_5!$F$10:$BG$42,$A55+2,FALSE)="NE","NE",IF(HLOOKUP(AT$15,Data_5!$F$10:$BG$42,$A55+2,FALSE)="C","C",IF(HLOOKUP(AT$15,Data_5!$F$10:$BG$42,$A55+2,FALSE)="NO","NO",HLOOKUP(AT$15,Data_5!$F$10:$BG$42,$A55+2,FALSE)/Data_5!$BI50))))),"")</f>
        <v/>
      </c>
      <c r="AU55" s="1122" t="str">
        <f>IFERROR(IF(HLOOKUP(AU$15,Data_5!$F$10:$BG$42,$A55+2,FALSE)="NO","NO",IF(HLOOKUP(AU$15,Data_5!$F$10:$BG$42,$A55+2,FALSE)="IE","IE",IF(HLOOKUP(AU$15,Data_5!$F$10:$BG$42,$A55+2,FALSE)="NE","NE",IF(HLOOKUP(AU$15,Data_5!$F$10:$BG$42,$A55+2,FALSE)="C","C",IF(HLOOKUP(AU$15,Data_5!$F$10:$BG$42,$A55+2,FALSE)="NO","NO",HLOOKUP(AU$15,Data_5!$F$10:$BG$42,$A55+2,FALSE)/Data_5!$BI50))))),"")</f>
        <v/>
      </c>
      <c r="AV55" s="1122" t="str">
        <f>IFERROR(IF(HLOOKUP(AV$15,Data_5!$F$10:$BG$42,$A55+2,FALSE)="NO","NO",IF(HLOOKUP(AV$15,Data_5!$F$10:$BG$42,$A55+2,FALSE)="IE","IE",IF(HLOOKUP(AV$15,Data_5!$F$10:$BG$42,$A55+2,FALSE)="NE","NE",IF(HLOOKUP(AV$15,Data_5!$F$10:$BG$42,$A55+2,FALSE)="C","C",IF(HLOOKUP(AV$15,Data_5!$F$10:$BG$42,$A55+2,FALSE)="NO","NO",HLOOKUP(AV$15,Data_5!$F$10:$BG$42,$A55+2,FALSE)/Data_5!$BI50))))),"")</f>
        <v/>
      </c>
      <c r="AW55" s="1122" t="str">
        <f>IFERROR(IF(HLOOKUP(AW$15,Data_5!$F$10:$BG$42,$A55+2,FALSE)="NO","NO",IF(HLOOKUP(AW$15,Data_5!$F$10:$BG$42,$A55+2,FALSE)="IE","IE",IF(HLOOKUP(AW$15,Data_5!$F$10:$BG$42,$A55+2,FALSE)="NE","NE",IF(HLOOKUP(AW$15,Data_5!$F$10:$BG$42,$A55+2,FALSE)="C","C",IF(HLOOKUP(AW$15,Data_5!$F$10:$BG$42,$A55+2,FALSE)="NO","NO",HLOOKUP(AW$15,Data_5!$F$10:$BG$42,$A55+2,FALSE)/Data_5!$BI50))))),"")</f>
        <v/>
      </c>
      <c r="AX55" s="1122" t="str">
        <f>IFERROR(IF(HLOOKUP(AX$15,Data_5!$F$10:$BG$42,$A55+2,FALSE)="NO","NO",IF(HLOOKUP(AX$15,Data_5!$F$10:$BG$42,$A55+2,FALSE)="IE","IE",IF(HLOOKUP(AX$15,Data_5!$F$10:$BG$42,$A55+2,FALSE)="NE","NE",IF(HLOOKUP(AX$15,Data_5!$F$10:$BG$42,$A55+2,FALSE)="C","C",IF(HLOOKUP(AX$15,Data_5!$F$10:$BG$42,$A55+2,FALSE)="NO","NO",HLOOKUP(AX$15,Data_5!$F$10:$BG$42,$A55+2,FALSE)/Data_5!$BI50))))),"")</f>
        <v/>
      </c>
      <c r="AY55" s="1122" t="str">
        <f>IFERROR(IF(HLOOKUP(AY$15,Data_5!$F$10:$BG$42,$A55+2,FALSE)="NO","NO",IF(HLOOKUP(AY$15,Data_5!$F$10:$BG$42,$A55+2,FALSE)="IE","IE",IF(HLOOKUP(AY$15,Data_5!$F$10:$BG$42,$A55+2,FALSE)="NE","NE",IF(HLOOKUP(AY$15,Data_5!$F$10:$BG$42,$A55+2,FALSE)="C","C",IF(HLOOKUP(AY$15,Data_5!$F$10:$BG$42,$A55+2,FALSE)="NO","NO",HLOOKUP(AY$15,Data_5!$F$10:$BG$42,$A55+2,FALSE)/Data_5!$BI50))))),"")</f>
        <v/>
      </c>
      <c r="AZ55" s="1122" t="str">
        <f>IFERROR(IF(HLOOKUP(AZ$15,Data_5!$F$10:$BG$42,$A55+2,FALSE)="NO","NO",IF(HLOOKUP(AZ$15,Data_5!$F$10:$BG$42,$A55+2,FALSE)="IE","IE",IF(HLOOKUP(AZ$15,Data_5!$F$10:$BG$42,$A55+2,FALSE)="NE","NE",IF(HLOOKUP(AZ$15,Data_5!$F$10:$BG$42,$A55+2,FALSE)="C","C",IF(HLOOKUP(AZ$15,Data_5!$F$10:$BG$42,$A55+2,FALSE)="NO","NO",HLOOKUP(AZ$15,Data_5!$F$10:$BG$42,$A55+2,FALSE)/Data_5!$BI50))))),"")</f>
        <v/>
      </c>
      <c r="BA55" s="1122" t="str">
        <f>IFERROR(IF(HLOOKUP(BA$15,Data_5!$F$10:$BG$42,$A55+2,FALSE)="NO","NO",IF(HLOOKUP(BA$15,Data_5!$F$10:$BG$42,$A55+2,FALSE)="IE","IE",IF(HLOOKUP(BA$15,Data_5!$F$10:$BG$42,$A55+2,FALSE)="NE","NE",IF(HLOOKUP(BA$15,Data_5!$F$10:$BG$42,$A55+2,FALSE)="C","C",IF(HLOOKUP(BA$15,Data_5!$F$10:$BG$42,$A55+2,FALSE)="NO","NO",HLOOKUP(BA$15,Data_5!$F$10:$BG$42,$A55+2,FALSE)/Data_5!$BI50))))),"")</f>
        <v/>
      </c>
      <c r="BB55" s="1122" t="str">
        <f>IFERROR(IF(HLOOKUP(BB$15,Data_5!$F$10:$BG$42,$A55+2,FALSE)="NO","NO",IF(HLOOKUP(BB$15,Data_5!$F$10:$BG$42,$A55+2,FALSE)="IE","IE",IF(HLOOKUP(BB$15,Data_5!$F$10:$BG$42,$A55+2,FALSE)="NE","NE",IF(HLOOKUP(BB$15,Data_5!$F$10:$BG$42,$A55+2,FALSE)="C","C",IF(HLOOKUP(BB$15,Data_5!$F$10:$BG$42,$A55+2,FALSE)="NO","NO",HLOOKUP(BB$15,Data_5!$F$10:$BG$42,$A55+2,FALSE)/Data_5!$BI50))))),"")</f>
        <v/>
      </c>
      <c r="BC55" s="1122" t="str">
        <f>IFERROR(IF(HLOOKUP(BC$15,Data_5!$F$10:$BG$42,$A55+2,FALSE)="NO","NO",IF(HLOOKUP(BC$15,Data_5!$F$10:$BG$42,$A55+2,FALSE)="IE","IE",IF(HLOOKUP(BC$15,Data_5!$F$10:$BG$42,$A55+2,FALSE)="NE","NE",IF(HLOOKUP(BC$15,Data_5!$F$10:$BG$42,$A55+2,FALSE)="C","C",IF(HLOOKUP(BC$15,Data_5!$F$10:$BG$42,$A55+2,FALSE)="NO","NO",HLOOKUP(BC$15,Data_5!$F$10:$BG$42,$A55+2,FALSE)/Data_5!$BI50))))),"")</f>
        <v/>
      </c>
      <c r="BD55" s="1122" t="str">
        <f>IFERROR(IF(HLOOKUP(BD$15,Data_5!$F$10:$BG$42,$A55+2,FALSE)="NO","NO",IF(HLOOKUP(BD$15,Data_5!$F$10:$BG$42,$A55+2,FALSE)="IE","IE",IF(HLOOKUP(BD$15,Data_5!$F$10:$BG$42,$A55+2,FALSE)="NE","NE",IF(HLOOKUP(BD$15,Data_5!$F$10:$BG$42,$A55+2,FALSE)="C","C",IF(HLOOKUP(BD$15,Data_5!$F$10:$BG$42,$A55+2,FALSE)="NO","NO",HLOOKUP(BD$15,Data_5!$F$10:$BG$42,$A55+2,FALSE)/Data_5!$BI50))))),"")</f>
        <v/>
      </c>
      <c r="BE55" s="1122" t="str">
        <f>IFERROR(IF(HLOOKUP(BE$15,Data_5!$F$10:$BG$42,$A55+2,FALSE)="NO","NO",IF(HLOOKUP(BE$15,Data_5!$F$10:$BG$42,$A55+2,FALSE)="IE","IE",IF(HLOOKUP(BE$15,Data_5!$F$10:$BG$42,$A55+2,FALSE)="NE","NE",IF(HLOOKUP(BE$15,Data_5!$F$10:$BG$42,$A55+2,FALSE)="C","C",IF(HLOOKUP(BE$15,Data_5!$F$10:$BG$42,$A55+2,FALSE)="NO","NO",HLOOKUP(BE$15,Data_5!$F$10:$BG$42,$A55+2,FALSE)/Data_5!$BI50))))),"")</f>
        <v/>
      </c>
      <c r="BF55" s="1122" t="str">
        <f>IFERROR(IF(HLOOKUP(BF$15,Data_5!$F$10:$BG$42,$A55+2,FALSE)="NO","NO",IF(HLOOKUP(BF$15,Data_5!$F$10:$BG$42,$A55+2,FALSE)="IE","IE",IF(HLOOKUP(BF$15,Data_5!$F$10:$BG$42,$A55+2,FALSE)="NE","NE",IF(HLOOKUP(BF$15,Data_5!$F$10:$BG$42,$A55+2,FALSE)="C","C",IF(HLOOKUP(BF$15,Data_5!$F$10:$BG$42,$A55+2,FALSE)="NO","NO",HLOOKUP(BF$15,Data_5!$F$10:$BG$42,$A55+2,FALSE)/Data_5!$BI50))))),"")</f>
        <v/>
      </c>
      <c r="BG55" s="1122" t="str">
        <f>IFERROR(IF(HLOOKUP(BG$15,Data_5!$F$10:$BG$42,$A55+2,FALSE)="NO","NO",IF(HLOOKUP(BG$15,Data_5!$F$10:$BG$42,$A55+2,FALSE)="IE","IE",IF(HLOOKUP(BG$15,Data_5!$F$10:$BG$42,$A55+2,FALSE)="NE","NE",IF(HLOOKUP(BG$15,Data_5!$F$10:$BG$42,$A55+2,FALSE)="C","C",IF(HLOOKUP(BG$15,Data_5!$F$10:$BG$42,$A55+2,FALSE)="NO","NO",HLOOKUP(BG$15,Data_5!$F$10:$BG$42,$A55+2,FALSE)/Data_5!$BI50))))),"")</f>
        <v/>
      </c>
      <c r="BH55" s="1122" t="str">
        <f>IFERROR(IF(HLOOKUP(BH$15,Data_5!$F$10:$BG$42,$A55+2,FALSE)="NO","NO",IF(HLOOKUP(BH$15,Data_5!$F$10:$BG$42,$A55+2,FALSE)="IE","IE",IF(HLOOKUP(BH$15,Data_5!$F$10:$BG$42,$A55+2,FALSE)="NE","NE",IF(HLOOKUP(BH$15,Data_5!$F$10:$BG$42,$A55+2,FALSE)="C","C",IF(HLOOKUP(BH$15,Data_5!$F$10:$BG$42,$A55+2,FALSE)="NO","NO",HLOOKUP(BH$15,Data_5!$F$10:$BG$42,$A55+2,FALSE)/Data_5!$BI50))))),"")</f>
        <v/>
      </c>
      <c r="BI55" s="1122" t="str">
        <f>IFERROR(IF(HLOOKUP(BI$15,Data_5!$F$10:$BG$42,$A55+2,FALSE)="NO","NO",IF(HLOOKUP(BI$15,Data_5!$F$10:$BG$42,$A55+2,FALSE)="IE","IE",IF(HLOOKUP(BI$15,Data_5!$F$10:$BG$42,$A55+2,FALSE)="NE","NE",IF(HLOOKUP(BI$15,Data_5!$F$10:$BG$42,$A55+2,FALSE)="C","C",IF(HLOOKUP(BI$15,Data_5!$F$10:$BG$42,$A55+2,FALSE)="NO","NO",HLOOKUP(BI$15,Data_5!$F$10:$BG$42,$A55+2,FALSE)/Data_5!$BI50))))),"")</f>
        <v/>
      </c>
      <c r="BJ55" s="1122" t="str">
        <f>IFERROR(IF(HLOOKUP(BJ$15,Data_5!$F$10:$BG$42,$A55+2,FALSE)="NO","NO",IF(HLOOKUP(BJ$15,Data_5!$F$10:$BG$42,$A55+2,FALSE)="IE","IE",IF(HLOOKUP(BJ$15,Data_5!$F$10:$BG$42,$A55+2,FALSE)="NE","NE",IF(HLOOKUP(BJ$15,Data_5!$F$10:$BG$42,$A55+2,FALSE)="C","C",IF(HLOOKUP(BJ$15,Data_5!$F$10:$BG$42,$A55+2,FALSE)="NO","NO",HLOOKUP(BJ$15,Data_5!$F$10:$BG$42,$A55+2,FALSE)/Data_5!$BI50))))),"")</f>
        <v/>
      </c>
      <c r="BK55" s="1122" t="str">
        <f>IFERROR(IF(HLOOKUP(BK$15,Data_5!$F$10:$BG$42,$A55+2,FALSE)="NO","NO",IF(HLOOKUP(BK$15,Data_5!$F$10:$BG$42,$A55+2,FALSE)="IE","IE",IF(HLOOKUP(BK$15,Data_5!$F$10:$BG$42,$A55+2,FALSE)="NE","NE",IF(HLOOKUP(BK$15,Data_5!$F$10:$BG$42,$A55+2,FALSE)="C","C",IF(HLOOKUP(BK$15,Data_5!$F$10:$BG$42,$A55+2,FALSE)="NO","NO",HLOOKUP(BK$15,Data_5!$F$10:$BG$42,$A55+2,FALSE)/Data_5!$BI50))))),"")</f>
        <v/>
      </c>
      <c r="BL55" s="1122" t="str">
        <f>IFERROR(IF(HLOOKUP(BL$15,Data_5!$F$10:$BG$42,$A55+2,FALSE)="NO","NO",IF(HLOOKUP(BL$15,Data_5!$F$10:$BG$42,$A55+2,FALSE)="IE","IE",IF(HLOOKUP(BL$15,Data_5!$F$10:$BG$42,$A55+2,FALSE)="NE","NE",IF(HLOOKUP(BL$15,Data_5!$F$10:$BG$42,$A55+2,FALSE)="C","C",IF(HLOOKUP(BL$15,Data_5!$F$10:$BG$42,$A55+2,FALSE)="NO","NO",HLOOKUP(BL$15,Data_5!$F$10:$BG$42,$A55+2,FALSE)/Data_5!$BI50))))),"")</f>
        <v/>
      </c>
      <c r="BM55" s="1122" t="str">
        <f>IFERROR(IF(HLOOKUP(BM$15,Data_5!$F$10:$BG$42,$A55+2,FALSE)="NO","NO",IF(HLOOKUP(BM$15,Data_5!$F$10:$BG$42,$A55+2,FALSE)="IE","IE",IF(HLOOKUP(BM$15,Data_5!$F$10:$BG$42,$A55+2,FALSE)="NE","NE",IF(HLOOKUP(BM$15,Data_5!$F$10:$BG$42,$A55+2,FALSE)="C","C",IF(HLOOKUP(BM$15,Data_5!$F$10:$BG$42,$A55+2,FALSE)="NO","NO",HLOOKUP(BM$15,Data_5!$F$10:$BG$42,$A55+2,FALSE)/Data_5!$BI50))))),"")</f>
        <v/>
      </c>
      <c r="BN55" s="1122" t="str">
        <f>IFERROR(IF(HLOOKUP(BN$15,Data_5!$F$10:$BG$42,$A55+2,FALSE)="NO","NO",IF(HLOOKUP(BN$15,Data_5!$F$10:$BG$42,$A55+2,FALSE)="IE","IE",IF(HLOOKUP(BN$15,Data_5!$F$10:$BG$42,$A55+2,FALSE)="NE","NE",IF(HLOOKUP(BN$15,Data_5!$F$10:$BG$42,$A55+2,FALSE)="C","C",IF(HLOOKUP(BN$15,Data_5!$F$10:$BG$42,$A55+2,FALSE)="NO","NO",HLOOKUP(BN$15,Data_5!$F$10:$BG$42,$A55+2,FALSE)/Data_5!$BI50))))),"")</f>
        <v/>
      </c>
      <c r="BO55" s="1122" t="str">
        <f>IFERROR(IF(HLOOKUP(BO$15,Data_5!$F$10:$BG$42,$A55+2,FALSE)="NO","NO",IF(HLOOKUP(BO$15,Data_5!$F$10:$BG$42,$A55+2,FALSE)="IE","IE",IF(HLOOKUP(BO$15,Data_5!$F$10:$BG$42,$A55+2,FALSE)="NE","NE",IF(HLOOKUP(BO$15,Data_5!$F$10:$BG$42,$A55+2,FALSE)="C","C",IF(HLOOKUP(BO$15,Data_5!$F$10:$BG$42,$A55+2,FALSE)="NO","NO",HLOOKUP(BO$15,Data_5!$F$10:$BG$42,$A55+2,FALSE)/Data_5!$BI50))))),"")</f>
        <v/>
      </c>
      <c r="BP55" s="1122" t="str">
        <f>IFERROR(IF(HLOOKUP(BP$15,Data_5!$F$10:$BG$42,$A55+2,FALSE)="NO","NO",IF(HLOOKUP(BP$15,Data_5!$F$10:$BG$42,$A55+2,FALSE)="IE","IE",IF(HLOOKUP(BP$15,Data_5!$F$10:$BG$42,$A55+2,FALSE)="NE","NE",IF(HLOOKUP(BP$15,Data_5!$F$10:$BG$42,$A55+2,FALSE)="C","C",IF(HLOOKUP(BP$15,Data_5!$F$10:$BG$42,$A55+2,FALSE)="NO","NO",HLOOKUP(BP$15,Data_5!$F$10:$BG$42,$A55+2,FALSE)/Data_5!$BI50))))),"")</f>
        <v/>
      </c>
      <c r="BQ55" s="1122" t="str">
        <f>IFERROR(IF(HLOOKUP(BQ$15,Data_5!$F$10:$BG$42,$A55+2,FALSE)="NO","NO",IF(HLOOKUP(BQ$15,Data_5!$F$10:$BG$42,$A55+2,FALSE)="IE","IE",IF(HLOOKUP(BQ$15,Data_5!$F$10:$BG$42,$A55+2,FALSE)="NE","NE",IF(HLOOKUP(BQ$15,Data_5!$F$10:$BG$42,$A55+2,FALSE)="C","C",IF(HLOOKUP(BQ$15,Data_5!$F$10:$BG$42,$A55+2,FALSE)="NO","NO",HLOOKUP(BQ$15,Data_5!$F$10:$BG$42,$A55+2,FALSE)/Data_5!$BI50))))),"")</f>
        <v/>
      </c>
      <c r="BR55" s="1122" t="str">
        <f>IFERROR(IF(HLOOKUP(BR$15,Data_5!$F$10:$BG$42,$A55+2,FALSE)="NO","NO",IF(HLOOKUP(BR$15,Data_5!$F$10:$BG$42,$A55+2,FALSE)="IE","IE",IF(HLOOKUP(BR$15,Data_5!$F$10:$BG$42,$A55+2,FALSE)="NE","NE",IF(HLOOKUP(BR$15,Data_5!$F$10:$BG$42,$A55+2,FALSE)="C","C",IF(HLOOKUP(BR$15,Data_5!$F$10:$BG$42,$A55+2,FALSE)="NO","NO",HLOOKUP(BR$15,Data_5!$F$10:$BG$42,$A55+2,FALSE)/Data_5!$BI50))))),"")</f>
        <v/>
      </c>
      <c r="BS55" s="1122" t="str">
        <f>IFERROR(IF(HLOOKUP(BS$15,Data_5!$F$10:$BG$42,$A55+2,FALSE)="NO","NO",IF(HLOOKUP(BS$15,Data_5!$F$10:$BG$42,$A55+2,FALSE)="IE","IE",IF(HLOOKUP(BS$15,Data_5!$F$10:$BG$42,$A55+2,FALSE)="NE","NE",IF(HLOOKUP(BS$15,Data_5!$F$10:$BG$42,$A55+2,FALSE)="C","C",IF(HLOOKUP(BS$15,Data_5!$F$10:$BG$42,$A55+2,FALSE)="NO","NO",HLOOKUP(BS$15,Data_5!$F$10:$BG$42,$A55+2,FALSE)/Data_5!$BI50))))),"")</f>
        <v/>
      </c>
      <c r="BT55" s="1122" t="str">
        <f>IFERROR(IF(HLOOKUP(BT$15,Data_5!$F$10:$BG$42,$A55+2,FALSE)="NO","NO",IF(HLOOKUP(BT$15,Data_5!$F$10:$BG$42,$A55+2,FALSE)="IE","IE",IF(HLOOKUP(BT$15,Data_5!$F$10:$BG$42,$A55+2,FALSE)="NE","NE",IF(HLOOKUP(BT$15,Data_5!$F$10:$BG$42,$A55+2,FALSE)="C","C",IF(HLOOKUP(BT$15,Data_5!$F$10:$BG$42,$A55+2,FALSE)="NO","NO",HLOOKUP(BT$15,Data_5!$F$10:$BG$42,$A55+2,FALSE)/Data_5!$BI50))))),"")</f>
        <v/>
      </c>
      <c r="BU55" s="1122" t="str">
        <f>IFERROR(IF(HLOOKUP(BU$15,Data_5!$F$10:$BG$42,$A55+2,FALSE)="NO","NO",IF(HLOOKUP(BU$15,Data_5!$F$10:$BG$42,$A55+2,FALSE)="IE","IE",IF(HLOOKUP(BU$15,Data_5!$F$10:$BG$42,$A55+2,FALSE)="NE","NE",IF(HLOOKUP(BU$15,Data_5!$F$10:$BG$42,$A55+2,FALSE)="C","C",IF(HLOOKUP(BU$15,Data_5!$F$10:$BG$42,$A55+2,FALSE)="NO","NO",HLOOKUP(BU$15,Data_5!$F$10:$BG$42,$A55+2,FALSE)/Data_5!$BI50))))),"")</f>
        <v/>
      </c>
      <c r="BV55" s="1122" t="str">
        <f>IFERROR(IF(HLOOKUP(BV$15,Data_5!$F$10:$BG$42,$A55+2,FALSE)="NO","NO",IF(HLOOKUP(BV$15,Data_5!$F$10:$BG$42,$A55+2,FALSE)="IE","IE",IF(HLOOKUP(BV$15,Data_5!$F$10:$BG$42,$A55+2,FALSE)="NE","NE",IF(HLOOKUP(BV$15,Data_5!$F$10:$BG$42,$A55+2,FALSE)="C","C",IF(HLOOKUP(BV$15,Data_5!$F$10:$BG$42,$A55+2,FALSE)="NO","NO",HLOOKUP(BV$15,Data_5!$F$10:$BG$42,$A55+2,FALSE)/Data_5!$BI50))))),"")</f>
        <v/>
      </c>
      <c r="BW55" s="1122" t="str">
        <f>IFERROR(IF(HLOOKUP(BW$15,Data_5!$F$10:$BG$42,$A55+2,FALSE)="NO","NO",IF(HLOOKUP(BW$15,Data_5!$F$10:$BG$42,$A55+2,FALSE)="IE","IE",IF(HLOOKUP(BW$15,Data_5!$F$10:$BG$42,$A55+2,FALSE)="NE","NE",IF(HLOOKUP(BW$15,Data_5!$F$10:$BG$42,$A55+2,FALSE)="C","C",IF(HLOOKUP(BW$15,Data_5!$F$10:$BG$42,$A55+2,FALSE)="NO","NO",HLOOKUP(BW$15,Data_5!$F$10:$BG$42,$A55+2,FALSE)/Data_5!$BI50))))),"")</f>
        <v/>
      </c>
      <c r="BX55" s="1122" t="str">
        <f>IFERROR(IF(HLOOKUP(BX$15,Data_5!$F$10:$BG$42,$A55+2,FALSE)="NO","NO",IF(HLOOKUP(BX$15,Data_5!$F$10:$BG$42,$A55+2,FALSE)="IE","IE",IF(HLOOKUP(BX$15,Data_5!$F$10:$BG$42,$A55+2,FALSE)="NE","NE",IF(HLOOKUP(BX$15,Data_5!$F$10:$BG$42,$A55+2,FALSE)="C","C",IF(HLOOKUP(BX$15,Data_5!$F$10:$BG$42,$A55+2,FALSE)="NO","NO",HLOOKUP(BX$15,Data_5!$F$10:$BG$42,$A55+2,FALSE)/Data_5!$BI50))))),"")</f>
        <v/>
      </c>
      <c r="BY55" s="1122" t="str">
        <f>IFERROR(IF(HLOOKUP(BY$15,Data_5!$F$10:$BG$42,$A55+2,FALSE)="NO","NO",IF(HLOOKUP(BY$15,Data_5!$F$10:$BG$42,$A55+2,FALSE)="IE","IE",IF(HLOOKUP(BY$15,Data_5!$F$10:$BG$42,$A55+2,FALSE)="NE","NE",IF(HLOOKUP(BY$15,Data_5!$F$10:$BG$42,$A55+2,FALSE)="C","C",IF(HLOOKUP(BY$15,Data_5!$F$10:$BG$42,$A55+2,FALSE)="NO","NO",HLOOKUP(BY$15,Data_5!$F$10:$BG$42,$A55+2,FALSE)/Data_5!$BI50))))),"")</f>
        <v/>
      </c>
      <c r="BZ55" s="1122" t="str">
        <f>IFERROR(IF(HLOOKUP(BZ$15,Data_5!$F$10:$BG$42,$A55+2,FALSE)="NO","NO",IF(HLOOKUP(BZ$15,Data_5!$F$10:$BG$42,$A55+2,FALSE)="IE","IE",IF(HLOOKUP(BZ$15,Data_5!$F$10:$BG$42,$A55+2,FALSE)="NE","NE",IF(HLOOKUP(BZ$15,Data_5!$F$10:$BG$42,$A55+2,FALSE)="C","C",IF(HLOOKUP(BZ$15,Data_5!$F$10:$BG$42,$A55+2,FALSE)="NO","NO",HLOOKUP(BZ$15,Data_5!$F$10:$BG$42,$A55+2,FALSE)/Data_5!$BI50))))),"")</f>
        <v/>
      </c>
      <c r="CA55" s="1122" t="str">
        <f>IFERROR(IF(HLOOKUP(CA$15,Data_5!$F$10:$BG$42,$A55+2,FALSE)="NO","NO",IF(HLOOKUP(CA$15,Data_5!$F$10:$BG$42,$A55+2,FALSE)="IE","IE",IF(HLOOKUP(CA$15,Data_5!$F$10:$BG$42,$A55+2,FALSE)="NE","NE",IF(HLOOKUP(CA$15,Data_5!$F$10:$BG$42,$A55+2,FALSE)="C","C",IF(HLOOKUP(CA$15,Data_5!$F$10:$BG$42,$A55+2,FALSE)="NO","NO",HLOOKUP(CA$15,Data_5!$F$10:$BG$42,$A55+2,FALSE)/Data_5!$BI50))))),"")</f>
        <v/>
      </c>
      <c r="CB55" s="1122" t="str">
        <f>IFERROR(IF(HLOOKUP(CB$15,Data_5!$F$10:$BG$42,$A55+2,FALSE)="NO","NO",IF(HLOOKUP(CB$15,Data_5!$F$10:$BG$42,$A55+2,FALSE)="IE","IE",IF(HLOOKUP(CB$15,Data_5!$F$10:$BG$42,$A55+2,FALSE)="NE","NE",IF(HLOOKUP(CB$15,Data_5!$F$10:$BG$42,$A55+2,FALSE)="C","C",IF(HLOOKUP(CB$15,Data_5!$F$10:$BG$42,$A55+2,FALSE)="NO","NO",HLOOKUP(CB$15,Data_5!$F$10:$BG$42,$A55+2,FALSE)/Data_5!$BI50))))),"")</f>
        <v/>
      </c>
      <c r="CC55" s="1122" t="str">
        <f>IFERROR(IF(HLOOKUP(CC$15,Data_5!$F$10:$BG$42,$A55+2,FALSE)="NO","NO",IF(HLOOKUP(CC$15,Data_5!$F$10:$BG$42,$A55+2,FALSE)="IE","IE",IF(HLOOKUP(CC$15,Data_5!$F$10:$BG$42,$A55+2,FALSE)="NE","NE",IF(HLOOKUP(CC$15,Data_5!$F$10:$BG$42,$A55+2,FALSE)="C","C",IF(HLOOKUP(CC$15,Data_5!$F$10:$BG$42,$A55+2,FALSE)="NO","NO",HLOOKUP(CC$15,Data_5!$F$10:$BG$42,$A55+2,FALSE)/Data_5!$BI50))))),"")</f>
        <v/>
      </c>
      <c r="CD55" s="1122" t="str">
        <f>IFERROR(IF(HLOOKUP(CD$15,Data_5!$F$10:$BG$42,$A55+2,FALSE)="NO","NO",IF(HLOOKUP(CD$15,Data_5!$F$10:$BG$42,$A55+2,FALSE)="IE","IE",IF(HLOOKUP(CD$15,Data_5!$F$10:$BG$42,$A55+2,FALSE)="NE","NE",IF(HLOOKUP(CD$15,Data_5!$F$10:$BG$42,$A55+2,FALSE)="C","C",IF(HLOOKUP(CD$15,Data_5!$F$10:$BG$42,$A55+2,FALSE)="NO","NO",HLOOKUP(CD$15,Data_5!$F$10:$BG$42,$A55+2,FALSE)/Data_5!$BI50))))),"")</f>
        <v/>
      </c>
      <c r="CE55" s="1122" t="str">
        <f>IFERROR(IF(HLOOKUP(CE$15,Data_5!$F$10:$BG$42,$A55+2,FALSE)="NO","NO",IF(HLOOKUP(CE$15,Data_5!$F$10:$BG$42,$A55+2,FALSE)="IE","IE",IF(HLOOKUP(CE$15,Data_5!$F$10:$BG$42,$A55+2,FALSE)="NE","NE",IF(HLOOKUP(CE$15,Data_5!$F$10:$BG$42,$A55+2,FALSE)="C","C",IF(HLOOKUP(CE$15,Data_5!$F$10:$BG$42,$A55+2,FALSE)="NO","NO",HLOOKUP(CE$15,Data_5!$F$10:$BG$42,$A55+2,FALSE)/Data_5!$BI50))))),"")</f>
        <v/>
      </c>
      <c r="CF55" s="1122" t="str">
        <f>IFERROR(IF(HLOOKUP(CF$15,Data_5!$F$10:$BG$42,$A55+2,FALSE)="NO","NO",IF(HLOOKUP(CF$15,Data_5!$F$10:$BG$42,$A55+2,FALSE)="IE","IE",IF(HLOOKUP(CF$15,Data_5!$F$10:$BG$42,$A55+2,FALSE)="NE","NE",IF(HLOOKUP(CF$15,Data_5!$F$10:$BG$42,$A55+2,FALSE)="C","C",IF(HLOOKUP(CF$15,Data_5!$F$10:$BG$42,$A55+2,FALSE)="NO","NO",HLOOKUP(CF$15,Data_5!$F$10:$BG$42,$A55+2,FALSE)/Data_5!$BI50))))),"")</f>
        <v/>
      </c>
      <c r="CG55" s="1122" t="str">
        <f>IFERROR(IF(HLOOKUP(CG$15,Data_5!$F$10:$BG$42,$A55+2,FALSE)="NO","NO",IF(HLOOKUP(CG$15,Data_5!$F$10:$BG$42,$A55+2,FALSE)="IE","IE",IF(HLOOKUP(CG$15,Data_5!$F$10:$BG$42,$A55+2,FALSE)="NE","NE",IF(HLOOKUP(CG$15,Data_5!$F$10:$BG$42,$A55+2,FALSE)="C","C",IF(HLOOKUP(CG$15,Data_5!$F$10:$BG$42,$A55+2,FALSE)="NO","NO",HLOOKUP(CG$15,Data_5!$F$10:$BG$42,$A55+2,FALSE)/Data_5!$BI50))))),"")</f>
        <v/>
      </c>
      <c r="CH55" s="1122" t="str">
        <f>IFERROR(IF(HLOOKUP(CH$15,Data_5!$F$10:$BG$42,$A55+2,FALSE)="NO","NO",IF(HLOOKUP(CH$15,Data_5!$F$10:$BG$42,$A55+2,FALSE)="IE","IE",IF(HLOOKUP(CH$15,Data_5!$F$10:$BG$42,$A55+2,FALSE)="NE","NE",IF(HLOOKUP(CH$15,Data_5!$F$10:$BG$42,$A55+2,FALSE)="C","C",IF(HLOOKUP(CH$15,Data_5!$F$10:$BG$42,$A55+2,FALSE)="NO","NO",HLOOKUP(CH$15,Data_5!$F$10:$BG$42,$A55+2,FALSE)/Data_5!$BI50))))),"")</f>
        <v/>
      </c>
      <c r="CI55" s="1122" t="str">
        <f>IFERROR(IF(HLOOKUP(CI$15,Data_5!$F$10:$BG$42,$A55+2,FALSE)="NO","NO",IF(HLOOKUP(CI$15,Data_5!$F$10:$BG$42,$A55+2,FALSE)="IE","IE",IF(HLOOKUP(CI$15,Data_5!$F$10:$BG$42,$A55+2,FALSE)="NE","NE",IF(HLOOKUP(CI$15,Data_5!$F$10:$BG$42,$A55+2,FALSE)="C","C",IF(HLOOKUP(CI$15,Data_5!$F$10:$BG$42,$A55+2,FALSE)="NO","NO",HLOOKUP(CI$15,Data_5!$F$10:$BG$42,$A55+2,FALSE)/Data_5!$BI50))))),"")</f>
        <v/>
      </c>
      <c r="CJ55" s="1122" t="str">
        <f>IFERROR(IF(HLOOKUP(CJ$15,Data_5!$F$10:$BG$42,$A55+2,FALSE)="NO","NO",IF(HLOOKUP(CJ$15,Data_5!$F$10:$BG$42,$A55+2,FALSE)="IE","IE",IF(HLOOKUP(CJ$15,Data_5!$F$10:$BG$42,$A55+2,FALSE)="NE","NE",IF(HLOOKUP(CJ$15,Data_5!$F$10:$BG$42,$A55+2,FALSE)="C","C",IF(HLOOKUP(CJ$15,Data_5!$F$10:$BG$42,$A55+2,FALSE)="NO","NO",HLOOKUP(CJ$15,Data_5!$F$10:$BG$42,$A55+2,FALSE)/Data_5!$BI50))))),"")</f>
        <v/>
      </c>
      <c r="CL55" s="2628" t="str">
        <f t="shared" ca="1" si="6"/>
        <v/>
      </c>
      <c r="CM55" s="2629"/>
      <c r="CN55" s="1100" t="str">
        <f t="shared" ca="1" si="7"/>
        <v/>
      </c>
      <c r="CO55" s="1122" t="str">
        <f>IFERROR(IF(HLOOKUP(CO$15,Data_5!$F$10:$BG$42,$A55+2,FALSE)="NO","NO",IF(HLOOKUP(CO$15,Data_5!$F$10:$BG$42,$A55+2,FALSE)="IE","IE",IF(HLOOKUP(CO$15,Data_5!$F$10:$BG$42,$A55+2,FALSE)="NE","NE",IF(HLOOKUP(CO$15,Data_5!$F$10:$BG$42,$A55+2,FALSE)="C","C",IF(HLOOKUP(CO$15,Data_5!$F$10:$BG$42,$A55+2,FALSE)="NO","NO",HLOOKUP(CO$15,Data_5!$F$10:$BG$42,$A55+2,FALSE)/Data_5!$BK50))))),"")</f>
        <v/>
      </c>
      <c r="CP55" s="1122" t="str">
        <f>IFERROR(IF(HLOOKUP(CP$15,Data_5!$F$10:$BG$42,$A55+2,FALSE)="NO","NO",IF(HLOOKUP(CP$15,Data_5!$F$10:$BG$42,$A55+2,FALSE)="IE","IE",IF(HLOOKUP(CP$15,Data_5!$F$10:$BG$42,$A55+2,FALSE)="NE","NE",IF(HLOOKUP(CP$15,Data_5!$F$10:$BG$42,$A55+2,FALSE)="C","C",IF(HLOOKUP(CP$15,Data_5!$F$10:$BG$42,$A55+2,FALSE)="NO","NO",HLOOKUP(CP$15,Data_5!$F$10:$BG$42,$A55+2,FALSE)/Data_5!$BK50))))),"")</f>
        <v/>
      </c>
      <c r="CQ55" s="1122" t="str">
        <f>IFERROR(IF(HLOOKUP(CQ$15,Data_5!$F$10:$BG$42,$A55+2,FALSE)="NO","NO",IF(HLOOKUP(CQ$15,Data_5!$F$10:$BG$42,$A55+2,FALSE)="IE","IE",IF(HLOOKUP(CQ$15,Data_5!$F$10:$BG$42,$A55+2,FALSE)="NE","NE",IF(HLOOKUP(CQ$15,Data_5!$F$10:$BG$42,$A55+2,FALSE)="C","C",IF(HLOOKUP(CQ$15,Data_5!$F$10:$BG$42,$A55+2,FALSE)="NO","NO",HLOOKUP(CQ$15,Data_5!$F$10:$BG$42,$A55+2,FALSE)/Data_5!$BK50))))),"")</f>
        <v/>
      </c>
      <c r="CR55" s="1122" t="str">
        <f>IFERROR(IF(HLOOKUP(CR$15,Data_5!$F$10:$BG$42,$A55+2,FALSE)="NO","NO",IF(HLOOKUP(CR$15,Data_5!$F$10:$BG$42,$A55+2,FALSE)="IE","IE",IF(HLOOKUP(CR$15,Data_5!$F$10:$BG$42,$A55+2,FALSE)="NE","NE",IF(HLOOKUP(CR$15,Data_5!$F$10:$BG$42,$A55+2,FALSE)="C","C",IF(HLOOKUP(CR$15,Data_5!$F$10:$BG$42,$A55+2,FALSE)="NO","NO",HLOOKUP(CR$15,Data_5!$F$10:$BG$42,$A55+2,FALSE)/Data_5!$BK50))))),"")</f>
        <v/>
      </c>
      <c r="CS55" s="1122" t="str">
        <f>IFERROR(IF(HLOOKUP(CS$15,Data_5!$F$10:$BG$42,$A55+2,FALSE)="NO","NO",IF(HLOOKUP(CS$15,Data_5!$F$10:$BG$42,$A55+2,FALSE)="IE","IE",IF(HLOOKUP(CS$15,Data_5!$F$10:$BG$42,$A55+2,FALSE)="NE","NE",IF(HLOOKUP(CS$15,Data_5!$F$10:$BG$42,$A55+2,FALSE)="C","C",IF(HLOOKUP(CS$15,Data_5!$F$10:$BG$42,$A55+2,FALSE)="NO","NO",HLOOKUP(CS$15,Data_5!$F$10:$BG$42,$A55+2,FALSE)/Data_5!$BK50))))),"")</f>
        <v/>
      </c>
      <c r="CT55" s="1122" t="str">
        <f>IFERROR(IF(HLOOKUP(CT$15,Data_5!$F$10:$BG$42,$A55+2,FALSE)="NO","NO",IF(HLOOKUP(CT$15,Data_5!$F$10:$BG$42,$A55+2,FALSE)="IE","IE",IF(HLOOKUP(CT$15,Data_5!$F$10:$BG$42,$A55+2,FALSE)="NE","NE",IF(HLOOKUP(CT$15,Data_5!$F$10:$BG$42,$A55+2,FALSE)="C","C",IF(HLOOKUP(CT$15,Data_5!$F$10:$BG$42,$A55+2,FALSE)="NO","NO",HLOOKUP(CT$15,Data_5!$F$10:$BG$42,$A55+2,FALSE)/Data_5!$BK50))))),"")</f>
        <v/>
      </c>
      <c r="CU55" s="1122" t="str">
        <f>IFERROR(IF(HLOOKUP(CU$15,Data_5!$F$10:$BG$42,$A55+2,FALSE)="NO","NO",IF(HLOOKUP(CU$15,Data_5!$F$10:$BG$42,$A55+2,FALSE)="IE","IE",IF(HLOOKUP(CU$15,Data_5!$F$10:$BG$42,$A55+2,FALSE)="NE","NE",IF(HLOOKUP(CU$15,Data_5!$F$10:$BG$42,$A55+2,FALSE)="C","C",IF(HLOOKUP(CU$15,Data_5!$F$10:$BG$42,$A55+2,FALSE)="NO","NO",HLOOKUP(CU$15,Data_5!$F$10:$BG$42,$A55+2,FALSE)/Data_5!$BK50))))),"")</f>
        <v/>
      </c>
      <c r="CV55" s="1122" t="str">
        <f>IFERROR(IF(HLOOKUP(CV$15,Data_5!$F$10:$BG$42,$A55+2,FALSE)="NO","NO",IF(HLOOKUP(CV$15,Data_5!$F$10:$BG$42,$A55+2,FALSE)="IE","IE",IF(HLOOKUP(CV$15,Data_5!$F$10:$BG$42,$A55+2,FALSE)="NE","NE",IF(HLOOKUP(CV$15,Data_5!$F$10:$BG$42,$A55+2,FALSE)="C","C",IF(HLOOKUP(CV$15,Data_5!$F$10:$BG$42,$A55+2,FALSE)="NO","NO",HLOOKUP(CV$15,Data_5!$F$10:$BG$42,$A55+2,FALSE)/Data_5!$BK50))))),"")</f>
        <v/>
      </c>
      <c r="CW55" s="1122" t="str">
        <f>IFERROR(IF(HLOOKUP(CW$15,Data_5!$F$10:$BG$42,$A55+2,FALSE)="NO","NO",IF(HLOOKUP(CW$15,Data_5!$F$10:$BG$42,$A55+2,FALSE)="IE","IE",IF(HLOOKUP(CW$15,Data_5!$F$10:$BG$42,$A55+2,FALSE)="NE","NE",IF(HLOOKUP(CW$15,Data_5!$F$10:$BG$42,$A55+2,FALSE)="C","C",IF(HLOOKUP(CW$15,Data_5!$F$10:$BG$42,$A55+2,FALSE)="NO","NO",HLOOKUP(CW$15,Data_5!$F$10:$BG$42,$A55+2,FALSE)/Data_5!$BK50))))),"")</f>
        <v/>
      </c>
      <c r="CX55" s="1122" t="str">
        <f>IFERROR(IF(HLOOKUP(CX$15,Data_5!$F$10:$BG$42,$A55+2,FALSE)="NO","NO",IF(HLOOKUP(CX$15,Data_5!$F$10:$BG$42,$A55+2,FALSE)="IE","IE",IF(HLOOKUP(CX$15,Data_5!$F$10:$BG$42,$A55+2,FALSE)="NE","NE",IF(HLOOKUP(CX$15,Data_5!$F$10:$BG$42,$A55+2,FALSE)="C","C",IF(HLOOKUP(CX$15,Data_5!$F$10:$BG$42,$A55+2,FALSE)="NO","NO",HLOOKUP(CX$15,Data_5!$F$10:$BG$42,$A55+2,FALSE)/Data_5!$BK50))))),"")</f>
        <v/>
      </c>
      <c r="CY55" s="1122" t="str">
        <f>IFERROR(IF(HLOOKUP(CY$15,Data_5!$F$10:$BG$42,$A55+2,FALSE)="NO","NO",IF(HLOOKUP(CY$15,Data_5!$F$10:$BG$42,$A55+2,FALSE)="IE","IE",IF(HLOOKUP(CY$15,Data_5!$F$10:$BG$42,$A55+2,FALSE)="NE","NE",IF(HLOOKUP(CY$15,Data_5!$F$10:$BG$42,$A55+2,FALSE)="C","C",IF(HLOOKUP(CY$15,Data_5!$F$10:$BG$42,$A55+2,FALSE)="NO","NO",HLOOKUP(CY$15,Data_5!$F$10:$BG$42,$A55+2,FALSE)/Data_5!$BK50))))),"")</f>
        <v/>
      </c>
      <c r="CZ55" s="1122" t="str">
        <f>IFERROR(IF(HLOOKUP(CZ$15,Data_5!$F$10:$BG$42,$A55+2,FALSE)="NO","NO",IF(HLOOKUP(CZ$15,Data_5!$F$10:$BG$42,$A55+2,FALSE)="IE","IE",IF(HLOOKUP(CZ$15,Data_5!$F$10:$BG$42,$A55+2,FALSE)="NE","NE",IF(HLOOKUP(CZ$15,Data_5!$F$10:$BG$42,$A55+2,FALSE)="C","C",IF(HLOOKUP(CZ$15,Data_5!$F$10:$BG$42,$A55+2,FALSE)="NO","NO",HLOOKUP(CZ$15,Data_5!$F$10:$BG$42,$A55+2,FALSE)/Data_5!$BK50))))),"")</f>
        <v/>
      </c>
      <c r="DA55" s="1122" t="str">
        <f>IFERROR(IF(HLOOKUP(DA$15,Data_5!$F$10:$BG$42,$A55+2,FALSE)="NO","NO",IF(HLOOKUP(DA$15,Data_5!$F$10:$BG$42,$A55+2,FALSE)="IE","IE",IF(HLOOKUP(DA$15,Data_5!$F$10:$BG$42,$A55+2,FALSE)="NE","NE",IF(HLOOKUP(DA$15,Data_5!$F$10:$BG$42,$A55+2,FALSE)="C","C",IF(HLOOKUP(DA$15,Data_5!$F$10:$BG$42,$A55+2,FALSE)="NO","NO",HLOOKUP(DA$15,Data_5!$F$10:$BG$42,$A55+2,FALSE)/Data_5!$BK50))))),"")</f>
        <v/>
      </c>
      <c r="DB55" s="1122" t="str">
        <f>IFERROR(IF(HLOOKUP(DB$15,Data_5!$F$10:$BG$42,$A55+2,FALSE)="NO","NO",IF(HLOOKUP(DB$15,Data_5!$F$10:$BG$42,$A55+2,FALSE)="IE","IE",IF(HLOOKUP(DB$15,Data_5!$F$10:$BG$42,$A55+2,FALSE)="NE","NE",IF(HLOOKUP(DB$15,Data_5!$F$10:$BG$42,$A55+2,FALSE)="C","C",IF(HLOOKUP(DB$15,Data_5!$F$10:$BG$42,$A55+2,FALSE)="NO","NO",HLOOKUP(DB$15,Data_5!$F$10:$BG$42,$A55+2,FALSE)/Data_5!$BK50))))),"")</f>
        <v/>
      </c>
      <c r="DC55" s="1122" t="str">
        <f>IFERROR(IF(HLOOKUP(DC$15,Data_5!$F$10:$BG$42,$A55+2,FALSE)="NO","NO",IF(HLOOKUP(DC$15,Data_5!$F$10:$BG$42,$A55+2,FALSE)="IE","IE",IF(HLOOKUP(DC$15,Data_5!$F$10:$BG$42,$A55+2,FALSE)="NE","NE",IF(HLOOKUP(DC$15,Data_5!$F$10:$BG$42,$A55+2,FALSE)="C","C",IF(HLOOKUP(DC$15,Data_5!$F$10:$BG$42,$A55+2,FALSE)="NO","NO",HLOOKUP(DC$15,Data_5!$F$10:$BG$42,$A55+2,FALSE)/Data_5!$BK50))))),"")</f>
        <v/>
      </c>
      <c r="DD55" s="1122" t="str">
        <f>IFERROR(IF(HLOOKUP(DD$15,Data_5!$F$10:$BG$42,$A55+2,FALSE)="NO","NO",IF(HLOOKUP(DD$15,Data_5!$F$10:$BG$42,$A55+2,FALSE)="IE","IE",IF(HLOOKUP(DD$15,Data_5!$F$10:$BG$42,$A55+2,FALSE)="NE","NE",IF(HLOOKUP(DD$15,Data_5!$F$10:$BG$42,$A55+2,FALSE)="C","C",IF(HLOOKUP(DD$15,Data_5!$F$10:$BG$42,$A55+2,FALSE)="NO","NO",HLOOKUP(DD$15,Data_5!$F$10:$BG$42,$A55+2,FALSE)/Data_5!$BK50))))),"")</f>
        <v/>
      </c>
      <c r="DE55" s="1122" t="str">
        <f>IFERROR(IF(HLOOKUP(DE$15,Data_5!$F$10:$BG$42,$A55+2,FALSE)="NO","NO",IF(HLOOKUP(DE$15,Data_5!$F$10:$BG$42,$A55+2,FALSE)="IE","IE",IF(HLOOKUP(DE$15,Data_5!$F$10:$BG$42,$A55+2,FALSE)="NE","NE",IF(HLOOKUP(DE$15,Data_5!$F$10:$BG$42,$A55+2,FALSE)="C","C",IF(HLOOKUP(DE$15,Data_5!$F$10:$BG$42,$A55+2,FALSE)="NO","NO",HLOOKUP(DE$15,Data_5!$F$10:$BG$42,$A55+2,FALSE)/Data_5!$BK50))))),"")</f>
        <v/>
      </c>
      <c r="DF55" s="1122" t="str">
        <f>IFERROR(IF(HLOOKUP(DF$15,Data_5!$F$10:$BG$42,$A55+2,FALSE)="NO","NO",IF(HLOOKUP(DF$15,Data_5!$F$10:$BG$42,$A55+2,FALSE)="IE","IE",IF(HLOOKUP(DF$15,Data_5!$F$10:$BG$42,$A55+2,FALSE)="NE","NE",IF(HLOOKUP(DF$15,Data_5!$F$10:$BG$42,$A55+2,FALSE)="C","C",IF(HLOOKUP(DF$15,Data_5!$F$10:$BG$42,$A55+2,FALSE)="NO","NO",HLOOKUP(DF$15,Data_5!$F$10:$BG$42,$A55+2,FALSE)/Data_5!$BK50))))),"")</f>
        <v/>
      </c>
      <c r="DG55" s="1122" t="str">
        <f>IFERROR(IF(HLOOKUP(DG$15,Data_5!$F$10:$BG$42,$A55+2,FALSE)="NO","NO",IF(HLOOKUP(DG$15,Data_5!$F$10:$BG$42,$A55+2,FALSE)="IE","IE",IF(HLOOKUP(DG$15,Data_5!$F$10:$BG$42,$A55+2,FALSE)="NE","NE",IF(HLOOKUP(DG$15,Data_5!$F$10:$BG$42,$A55+2,FALSE)="C","C",IF(HLOOKUP(DG$15,Data_5!$F$10:$BG$42,$A55+2,FALSE)="NO","NO",HLOOKUP(DG$15,Data_5!$F$10:$BG$42,$A55+2,FALSE)/Data_5!$BK50))))),"")</f>
        <v/>
      </c>
      <c r="DH55" s="1122" t="str">
        <f>IFERROR(IF(HLOOKUP(DH$15,Data_5!$F$10:$BG$42,$A55+2,FALSE)="NO","NO",IF(HLOOKUP(DH$15,Data_5!$F$10:$BG$42,$A55+2,FALSE)="IE","IE",IF(HLOOKUP(DH$15,Data_5!$F$10:$BG$42,$A55+2,FALSE)="NE","NE",IF(HLOOKUP(DH$15,Data_5!$F$10:$BG$42,$A55+2,FALSE)="C","C",IF(HLOOKUP(DH$15,Data_5!$F$10:$BG$42,$A55+2,FALSE)="NO","NO",HLOOKUP(DH$15,Data_5!$F$10:$BG$42,$A55+2,FALSE)/Data_5!$BK50))))),"")</f>
        <v/>
      </c>
      <c r="DI55" s="1122" t="str">
        <f>IFERROR(IF(HLOOKUP(DI$15,Data_5!$F$10:$BG$42,$A55+2,FALSE)="NO","NO",IF(HLOOKUP(DI$15,Data_5!$F$10:$BG$42,$A55+2,FALSE)="IE","IE",IF(HLOOKUP(DI$15,Data_5!$F$10:$BG$42,$A55+2,FALSE)="NE","NE",IF(HLOOKUP(DI$15,Data_5!$F$10:$BG$42,$A55+2,FALSE)="C","C",IF(HLOOKUP(DI$15,Data_5!$F$10:$BG$42,$A55+2,FALSE)="NO","NO",HLOOKUP(DI$15,Data_5!$F$10:$BG$42,$A55+2,FALSE)/Data_5!$BK50))))),"")</f>
        <v/>
      </c>
      <c r="DJ55" s="1122" t="str">
        <f>IFERROR(IF(HLOOKUP(DJ$15,Data_5!$F$10:$BG$42,$A55+2,FALSE)="NO","NO",IF(HLOOKUP(DJ$15,Data_5!$F$10:$BG$42,$A55+2,FALSE)="IE","IE",IF(HLOOKUP(DJ$15,Data_5!$F$10:$BG$42,$A55+2,FALSE)="NE","NE",IF(HLOOKUP(DJ$15,Data_5!$F$10:$BG$42,$A55+2,FALSE)="C","C",IF(HLOOKUP(DJ$15,Data_5!$F$10:$BG$42,$A55+2,FALSE)="NO","NO",HLOOKUP(DJ$15,Data_5!$F$10:$BG$42,$A55+2,FALSE)/Data_5!$BK50))))),"")</f>
        <v/>
      </c>
      <c r="DK55" s="1122" t="str">
        <f>IFERROR(IF(HLOOKUP(DK$15,Data_5!$F$10:$BG$42,$A55+2,FALSE)="NO","NO",IF(HLOOKUP(DK$15,Data_5!$F$10:$BG$42,$A55+2,FALSE)="IE","IE",IF(HLOOKUP(DK$15,Data_5!$F$10:$BG$42,$A55+2,FALSE)="NE","NE",IF(HLOOKUP(DK$15,Data_5!$F$10:$BG$42,$A55+2,FALSE)="C","C",IF(HLOOKUP(DK$15,Data_5!$F$10:$BG$42,$A55+2,FALSE)="NO","NO",HLOOKUP(DK$15,Data_5!$F$10:$BG$42,$A55+2,FALSE)/Data_5!$BK50))))),"")</f>
        <v/>
      </c>
      <c r="DL55" s="1122" t="str">
        <f>IFERROR(IF(HLOOKUP(DL$15,Data_5!$F$10:$BG$42,$A55+2,FALSE)="NO","NO",IF(HLOOKUP(DL$15,Data_5!$F$10:$BG$42,$A55+2,FALSE)="IE","IE",IF(HLOOKUP(DL$15,Data_5!$F$10:$BG$42,$A55+2,FALSE)="NE","NE",IF(HLOOKUP(DL$15,Data_5!$F$10:$BG$42,$A55+2,FALSE)="C","C",IF(HLOOKUP(DL$15,Data_5!$F$10:$BG$42,$A55+2,FALSE)="NO","NO",HLOOKUP(DL$15,Data_5!$F$10:$BG$42,$A55+2,FALSE)/Data_5!$BK50))))),"")</f>
        <v/>
      </c>
      <c r="DM55" s="1122" t="str">
        <f>IFERROR(IF(HLOOKUP(DM$15,Data_5!$F$10:$BG$42,$A55+2,FALSE)="NO","NO",IF(HLOOKUP(DM$15,Data_5!$F$10:$BG$42,$A55+2,FALSE)="IE","IE",IF(HLOOKUP(DM$15,Data_5!$F$10:$BG$42,$A55+2,FALSE)="NE","NE",IF(HLOOKUP(DM$15,Data_5!$F$10:$BG$42,$A55+2,FALSE)="C","C",IF(HLOOKUP(DM$15,Data_5!$F$10:$BG$42,$A55+2,FALSE)="NO","NO",HLOOKUP(DM$15,Data_5!$F$10:$BG$42,$A55+2,FALSE)/Data_5!$BK50))))),"")</f>
        <v/>
      </c>
      <c r="DN55" s="1122" t="str">
        <f>IFERROR(IF(HLOOKUP(DN$15,Data_5!$F$10:$BG$42,$A55+2,FALSE)="NO","NO",IF(HLOOKUP(DN$15,Data_5!$F$10:$BG$42,$A55+2,FALSE)="IE","IE",IF(HLOOKUP(DN$15,Data_5!$F$10:$BG$42,$A55+2,FALSE)="NE","NE",IF(HLOOKUP(DN$15,Data_5!$F$10:$BG$42,$A55+2,FALSE)="C","C",IF(HLOOKUP(DN$15,Data_5!$F$10:$BG$42,$A55+2,FALSE)="NO","NO",HLOOKUP(DN$15,Data_5!$F$10:$BG$42,$A55+2,FALSE)/Data_5!$BK50))))),"")</f>
        <v/>
      </c>
      <c r="DO55" s="1122" t="str">
        <f>IFERROR(IF(HLOOKUP(DO$15,Data_5!$F$10:$BG$42,$A55+2,FALSE)="NO","NO",IF(HLOOKUP(DO$15,Data_5!$F$10:$BG$42,$A55+2,FALSE)="IE","IE",IF(HLOOKUP(DO$15,Data_5!$F$10:$BG$42,$A55+2,FALSE)="NE","NE",IF(HLOOKUP(DO$15,Data_5!$F$10:$BG$42,$A55+2,FALSE)="C","C",IF(HLOOKUP(DO$15,Data_5!$F$10:$BG$42,$A55+2,FALSE)="NO","NO",HLOOKUP(DO$15,Data_5!$F$10:$BG$42,$A55+2,FALSE)/Data_5!$BK50))))),"")</f>
        <v/>
      </c>
    </row>
    <row r="56" spans="1:119" ht="15" customHeight="1">
      <c r="A56" s="1789">
        <v>40</v>
      </c>
      <c r="B56" s="2628" t="str">
        <f ca="1">IF(Data_5!B51&lt;&gt;"",Data_5!B51,"")</f>
        <v/>
      </c>
      <c r="C56" s="2629"/>
      <c r="D56" s="1462">
        <f ca="1">IFERROR(VLOOKUP($B56,Data_5!$B$12:$C$42,2,FALSE),"")</f>
        <v>0</v>
      </c>
      <c r="E56" s="1122" t="str">
        <f>IFERROR(IF(HLOOKUP(E$15,Data_5!$F$10:$BG$42,$A56+2,FALSE)="NO","NO",IF(HLOOKUP(E$15,Data_5!$F$10:$BG$42,$A56+2,FALSE)="IE","IE",IF(HLOOKUP(E$15,Data_5!$F$10:$BG$42,$A56+2,FALSE)="NE","NE",IF(HLOOKUP(E$15,Data_5!$F$10:$BG$42,$A56+2,FALSE)="C","C",IF(HLOOKUP(E$15,Data_5!$F$10:$BG$42,$A56+2,FALSE)="NO","NO",HLOOKUP(E$15,Data_5!$F$10:$BG$42,$A56+2,FALSE)/Data_5!$BH51))))),"")</f>
        <v/>
      </c>
      <c r="F56" s="1122" t="str">
        <f>IFERROR(IF(HLOOKUP(F$15,Data_5!$F$10:$BG$42,$A56+2,FALSE)="NO","NO",IF(HLOOKUP(F$15,Data_5!$F$10:$BG$42,$A56+2,FALSE)="IE","IE",IF(HLOOKUP(F$15,Data_5!$F$10:$BG$42,$A56+2,FALSE)="NE","NE",IF(HLOOKUP(F$15,Data_5!$F$10:$BG$42,$A56+2,FALSE)="C","C",IF(HLOOKUP(F$15,Data_5!$F$10:$BG$42,$A56+2,FALSE)="NO","NO",HLOOKUP(F$15,Data_5!$F$10:$BG$42,$A56+2,FALSE)/Data_5!$BH51))))),"")</f>
        <v/>
      </c>
      <c r="G56" s="1122" t="str">
        <f>IFERROR(IF(HLOOKUP(G$15,Data_5!$F$10:$BG$42,$A56+2,FALSE)="NO","NO",IF(HLOOKUP(G$15,Data_5!$F$10:$BG$42,$A56+2,FALSE)="IE","IE",IF(HLOOKUP(G$15,Data_5!$F$10:$BG$42,$A56+2,FALSE)="NE","NE",IF(HLOOKUP(G$15,Data_5!$F$10:$BG$42,$A56+2,FALSE)="C","C",IF(HLOOKUP(G$15,Data_5!$F$10:$BG$42,$A56+2,FALSE)="NO","NO",HLOOKUP(G$15,Data_5!$F$10:$BG$42,$A56+2,FALSE)/Data_5!$BH51))))),"")</f>
        <v/>
      </c>
      <c r="H56" s="1122" t="str">
        <f>IFERROR(IF(HLOOKUP(H$15,Data_5!$F$10:$BG$42,$A56+2,FALSE)="NO","NO",IF(HLOOKUP(H$15,Data_5!$F$10:$BG$42,$A56+2,FALSE)="IE","IE",IF(HLOOKUP(H$15,Data_5!$F$10:$BG$42,$A56+2,FALSE)="NE","NE",IF(HLOOKUP(H$15,Data_5!$F$10:$BG$42,$A56+2,FALSE)="C","C",IF(HLOOKUP(H$15,Data_5!$F$10:$BG$42,$A56+2,FALSE)="NO","NO",HLOOKUP(H$15,Data_5!$F$10:$BG$42,$A56+2,FALSE)/Data_5!$BH51))))),"")</f>
        <v/>
      </c>
      <c r="I56" s="1122" t="str">
        <f>IFERROR(IF(HLOOKUP(I$15,Data_5!$F$10:$BG$42,$A56+2,FALSE)="NO","NO",IF(HLOOKUP(I$15,Data_5!$F$10:$BG$42,$A56+2,FALSE)="IE","IE",IF(HLOOKUP(I$15,Data_5!$F$10:$BG$42,$A56+2,FALSE)="NE","NE",IF(HLOOKUP(I$15,Data_5!$F$10:$BG$42,$A56+2,FALSE)="C","C",IF(HLOOKUP(I$15,Data_5!$F$10:$BG$42,$A56+2,FALSE)="NO","NO",HLOOKUP(I$15,Data_5!$F$10:$BG$42,$A56+2,FALSE)/Data_5!$BH51))))),"")</f>
        <v/>
      </c>
      <c r="J56" s="1122" t="str">
        <f>IFERROR(IF(HLOOKUP(J$15,Data_5!$F$10:$BG$42,$A56+2,FALSE)="NO","NO",IF(HLOOKUP(J$15,Data_5!$F$10:$BG$42,$A56+2,FALSE)="IE","IE",IF(HLOOKUP(J$15,Data_5!$F$10:$BG$42,$A56+2,FALSE)="NE","NE",IF(HLOOKUP(J$15,Data_5!$F$10:$BG$42,$A56+2,FALSE)="C","C",IF(HLOOKUP(J$15,Data_5!$F$10:$BG$42,$A56+2,FALSE)="NO","NO",HLOOKUP(J$15,Data_5!$F$10:$BG$42,$A56+2,FALSE)/Data_5!$BH51))))),"")</f>
        <v/>
      </c>
      <c r="K56" s="1122" t="str">
        <f>IFERROR(IF(HLOOKUP(K$15,Data_5!$F$10:$BG$42,$A56+2,FALSE)="NO","NO",IF(HLOOKUP(K$15,Data_5!$F$10:$BG$42,$A56+2,FALSE)="IE","IE",IF(HLOOKUP(K$15,Data_5!$F$10:$BG$42,$A56+2,FALSE)="NE","NE",IF(HLOOKUP(K$15,Data_5!$F$10:$BG$42,$A56+2,FALSE)="C","C",IF(HLOOKUP(K$15,Data_5!$F$10:$BG$42,$A56+2,FALSE)="NO","NO",HLOOKUP(K$15,Data_5!$F$10:$BG$42,$A56+2,FALSE)/Data_5!$BH51))))),"")</f>
        <v/>
      </c>
      <c r="L56" s="1122" t="str">
        <f>IFERROR(IF(HLOOKUP(L$15,Data_5!$F$10:$BG$42,$A56+2,FALSE)="NO","NO",IF(HLOOKUP(L$15,Data_5!$F$10:$BG$42,$A56+2,FALSE)="IE","IE",IF(HLOOKUP(L$15,Data_5!$F$10:$BG$42,$A56+2,FALSE)="NE","NE",IF(HLOOKUP(L$15,Data_5!$F$10:$BG$42,$A56+2,FALSE)="C","C",IF(HLOOKUP(L$15,Data_5!$F$10:$BG$42,$A56+2,FALSE)="NO","NO",HLOOKUP(L$15,Data_5!$F$10:$BG$42,$A56+2,FALSE)/Data_5!$BH51))))),"")</f>
        <v/>
      </c>
      <c r="M56" s="1122" t="str">
        <f>IFERROR(IF(HLOOKUP(M$15,Data_5!$F$10:$BG$42,$A56+2,FALSE)="NO","NO",IF(HLOOKUP(M$15,Data_5!$F$10:$BG$42,$A56+2,FALSE)="IE","IE",IF(HLOOKUP(M$15,Data_5!$F$10:$BG$42,$A56+2,FALSE)="NE","NE",IF(HLOOKUP(M$15,Data_5!$F$10:$BG$42,$A56+2,FALSE)="C","C",IF(HLOOKUP(M$15,Data_5!$F$10:$BG$42,$A56+2,FALSE)="NO","NO",HLOOKUP(M$15,Data_5!$F$10:$BG$42,$A56+2,FALSE)/Data_5!$BH51))))),"")</f>
        <v/>
      </c>
      <c r="N56" s="1122" t="str">
        <f>IFERROR(IF(HLOOKUP(N$15,Data_5!$F$10:$BG$42,$A56+2,FALSE)="NO","NO",IF(HLOOKUP(N$15,Data_5!$F$10:$BG$42,$A56+2,FALSE)="IE","IE",IF(HLOOKUP(N$15,Data_5!$F$10:$BG$42,$A56+2,FALSE)="NE","NE",IF(HLOOKUP(N$15,Data_5!$F$10:$BG$42,$A56+2,FALSE)="C","C",IF(HLOOKUP(N$15,Data_5!$F$10:$BG$42,$A56+2,FALSE)="NO","NO",HLOOKUP(N$15,Data_5!$F$10:$BG$42,$A56+2,FALSE)/Data_5!$BH51))))),"")</f>
        <v/>
      </c>
      <c r="O56" s="1122" t="str">
        <f>IFERROR(IF(HLOOKUP(O$15,Data_5!$F$10:$BG$42,$A56+2,FALSE)="NO","NO",IF(HLOOKUP(O$15,Data_5!$F$10:$BG$42,$A56+2,FALSE)="IE","IE",IF(HLOOKUP(O$15,Data_5!$F$10:$BG$42,$A56+2,FALSE)="NE","NE",IF(HLOOKUP(O$15,Data_5!$F$10:$BG$42,$A56+2,FALSE)="C","C",IF(HLOOKUP(O$15,Data_5!$F$10:$BG$42,$A56+2,FALSE)="NO","NO",HLOOKUP(O$15,Data_5!$F$10:$BG$42,$A56+2,FALSE)/Data_5!$BH51))))),"")</f>
        <v/>
      </c>
      <c r="P56" s="1122" t="str">
        <f>IFERROR(IF(HLOOKUP(P$15,Data_5!$F$10:$BG$42,$A56+2,FALSE)="NO","NO",IF(HLOOKUP(P$15,Data_5!$F$10:$BG$42,$A56+2,FALSE)="IE","IE",IF(HLOOKUP(P$15,Data_5!$F$10:$BG$42,$A56+2,FALSE)="NE","NE",IF(HLOOKUP(P$15,Data_5!$F$10:$BG$42,$A56+2,FALSE)="C","C",IF(HLOOKUP(P$15,Data_5!$F$10:$BG$42,$A56+2,FALSE)="NO","NO",HLOOKUP(P$15,Data_5!$F$10:$BG$42,$A56+2,FALSE)/Data_5!$BH51))))),"")</f>
        <v/>
      </c>
      <c r="Q56" s="1122" t="str">
        <f>IFERROR(IF(HLOOKUP(Q$15,Data_5!$F$10:$BG$42,$A56+2,FALSE)="NO","NO",IF(HLOOKUP(Q$15,Data_5!$F$10:$BG$42,$A56+2,FALSE)="IE","IE",IF(HLOOKUP(Q$15,Data_5!$F$10:$BG$42,$A56+2,FALSE)="NE","NE",IF(HLOOKUP(Q$15,Data_5!$F$10:$BG$42,$A56+2,FALSE)="C","C",IF(HLOOKUP(Q$15,Data_5!$F$10:$BG$42,$A56+2,FALSE)="NO","NO",HLOOKUP(Q$15,Data_5!$F$10:$BG$42,$A56+2,FALSE)/Data_5!$BH51))))),"")</f>
        <v/>
      </c>
      <c r="R56" s="1122" t="str">
        <f>IFERROR(IF(HLOOKUP(R$15,Data_5!$F$10:$BG$42,$A56+2,FALSE)="NO","NO",IF(HLOOKUP(R$15,Data_5!$F$10:$BG$42,$A56+2,FALSE)="IE","IE",IF(HLOOKUP(R$15,Data_5!$F$10:$BG$42,$A56+2,FALSE)="NE","NE",IF(HLOOKUP(R$15,Data_5!$F$10:$BG$42,$A56+2,FALSE)="C","C",IF(HLOOKUP(R$15,Data_5!$F$10:$BG$42,$A56+2,FALSE)="NO","NO",HLOOKUP(R$15,Data_5!$F$10:$BG$42,$A56+2,FALSE)/Data_5!$BH51))))),"")</f>
        <v/>
      </c>
      <c r="S56" s="1122" t="str">
        <f>IFERROR(IF(HLOOKUP(S$15,Data_5!$F$10:$BG$42,$A56+2,FALSE)="NO","NO",IF(HLOOKUP(S$15,Data_5!$F$10:$BG$42,$A56+2,FALSE)="IE","IE",IF(HLOOKUP(S$15,Data_5!$F$10:$BG$42,$A56+2,FALSE)="NE","NE",IF(HLOOKUP(S$15,Data_5!$F$10:$BG$42,$A56+2,FALSE)="C","C",IF(HLOOKUP(S$15,Data_5!$F$10:$BG$42,$A56+2,FALSE)="NO","NO",HLOOKUP(S$15,Data_5!$F$10:$BG$42,$A56+2,FALSE)/Data_5!$BH51))))),"")</f>
        <v/>
      </c>
      <c r="T56" s="1122" t="str">
        <f>IFERROR(IF(HLOOKUP(T$15,Data_5!$F$10:$BG$42,$A56+2,FALSE)="NO","NO",IF(HLOOKUP(T$15,Data_5!$F$10:$BG$42,$A56+2,FALSE)="IE","IE",IF(HLOOKUP(T$15,Data_5!$F$10:$BG$42,$A56+2,FALSE)="NE","NE",IF(HLOOKUP(T$15,Data_5!$F$10:$BG$42,$A56+2,FALSE)="C","C",IF(HLOOKUP(T$15,Data_5!$F$10:$BG$42,$A56+2,FALSE)="NO","NO",HLOOKUP(T$15,Data_5!$F$10:$BG$42,$A56+2,FALSE)/Data_5!$BH51))))),"")</f>
        <v/>
      </c>
      <c r="U56" s="1122" t="str">
        <f>IFERROR(IF(HLOOKUP(U$15,Data_5!$F$10:$BG$42,$A56+2,FALSE)="NO","NO",IF(HLOOKUP(U$15,Data_5!$F$10:$BG$42,$A56+2,FALSE)="IE","IE",IF(HLOOKUP(U$15,Data_5!$F$10:$BG$42,$A56+2,FALSE)="NE","NE",IF(HLOOKUP(U$15,Data_5!$F$10:$BG$42,$A56+2,FALSE)="C","C",IF(HLOOKUP(U$15,Data_5!$F$10:$BG$42,$A56+2,FALSE)="NO","NO",HLOOKUP(U$15,Data_5!$F$10:$BG$42,$A56+2,FALSE)/Data_5!$BH51))))),"")</f>
        <v/>
      </c>
      <c r="V56" s="1122" t="str">
        <f>IFERROR(IF(HLOOKUP(V$15,Data_5!$F$10:$BG$42,$A56+2,FALSE)="NO","NO",IF(HLOOKUP(V$15,Data_5!$F$10:$BG$42,$A56+2,FALSE)="IE","IE",IF(HLOOKUP(V$15,Data_5!$F$10:$BG$42,$A56+2,FALSE)="NE","NE",IF(HLOOKUP(V$15,Data_5!$F$10:$BG$42,$A56+2,FALSE)="C","C",IF(HLOOKUP(V$15,Data_5!$F$10:$BG$42,$A56+2,FALSE)="NO","NO",HLOOKUP(V$15,Data_5!$F$10:$BG$42,$A56+2,FALSE)/Data_5!$BH51))))),"")</f>
        <v/>
      </c>
      <c r="W56" s="1122" t="str">
        <f>IFERROR(IF(HLOOKUP(W$15,Data_5!$F$10:$BG$42,$A56+2,FALSE)="NO","NO",IF(HLOOKUP(W$15,Data_5!$F$10:$BG$42,$A56+2,FALSE)="IE","IE",IF(HLOOKUP(W$15,Data_5!$F$10:$BG$42,$A56+2,FALSE)="NE","NE",IF(HLOOKUP(W$15,Data_5!$F$10:$BG$42,$A56+2,FALSE)="C","C",IF(HLOOKUP(W$15,Data_5!$F$10:$BG$42,$A56+2,FALSE)="NO","NO",HLOOKUP(W$15,Data_5!$F$10:$BG$42,$A56+2,FALSE)/Data_5!$BH51))))),"")</f>
        <v/>
      </c>
      <c r="X56" s="1122" t="str">
        <f>IFERROR(IF(HLOOKUP(X$15,Data_5!$F$10:$BG$42,$A56+2,FALSE)="NO","NO",IF(HLOOKUP(X$15,Data_5!$F$10:$BG$42,$A56+2,FALSE)="IE","IE",IF(HLOOKUP(X$15,Data_5!$F$10:$BG$42,$A56+2,FALSE)="NE","NE",IF(HLOOKUP(X$15,Data_5!$F$10:$BG$42,$A56+2,FALSE)="C","C",IF(HLOOKUP(X$15,Data_5!$F$10:$BG$42,$A56+2,FALSE)="NO","NO",HLOOKUP(X$15,Data_5!$F$10:$BG$42,$A56+2,FALSE)/Data_5!$BH51))))),"")</f>
        <v/>
      </c>
      <c r="Y56" s="1122" t="str">
        <f>IFERROR(IF(HLOOKUP(Y$15,Data_5!$F$10:$BG$42,$A56+2,FALSE)="NO","NO",IF(HLOOKUP(Y$15,Data_5!$F$10:$BG$42,$A56+2,FALSE)="IE","IE",IF(HLOOKUP(Y$15,Data_5!$F$10:$BG$42,$A56+2,FALSE)="NE","NE",IF(HLOOKUP(Y$15,Data_5!$F$10:$BG$42,$A56+2,FALSE)="C","C",IF(HLOOKUP(Y$15,Data_5!$F$10:$BG$42,$A56+2,FALSE)="NO","NO",HLOOKUP(Y$15,Data_5!$F$10:$BG$42,$A56+2,FALSE)/Data_5!$BH51))))),"")</f>
        <v/>
      </c>
      <c r="Z56" s="1122" t="str">
        <f>IFERROR(IF(HLOOKUP(Z$15,Data_5!$F$10:$BG$42,$A56+2,FALSE)="NO","NO",IF(HLOOKUP(Z$15,Data_5!$F$10:$BG$42,$A56+2,FALSE)="IE","IE",IF(HLOOKUP(Z$15,Data_5!$F$10:$BG$42,$A56+2,FALSE)="NE","NE",IF(HLOOKUP(Z$15,Data_5!$F$10:$BG$42,$A56+2,FALSE)="C","C",IF(HLOOKUP(Z$15,Data_5!$F$10:$BG$42,$A56+2,FALSE)="NO","NO",HLOOKUP(Z$15,Data_5!$F$10:$BG$42,$A56+2,FALSE)/Data_5!$BH51))))),"")</f>
        <v/>
      </c>
      <c r="AA56" s="1122" t="str">
        <f>IFERROR(IF(HLOOKUP(AA$15,Data_5!$F$10:$BG$42,$A56+2,FALSE)="NO","NO",IF(HLOOKUP(AA$15,Data_5!$F$10:$BG$42,$A56+2,FALSE)="IE","IE",IF(HLOOKUP(AA$15,Data_5!$F$10:$BG$42,$A56+2,FALSE)="NE","NE",IF(HLOOKUP(AA$15,Data_5!$F$10:$BG$42,$A56+2,FALSE)="C","C",IF(HLOOKUP(AA$15,Data_5!$F$10:$BG$42,$A56+2,FALSE)="NO","NO",HLOOKUP(AA$15,Data_5!$F$10:$BG$42,$A56+2,FALSE)/Data_5!$BH51))))),"")</f>
        <v/>
      </c>
      <c r="AB56" s="1122" t="str">
        <f>IFERROR(IF(HLOOKUP(AB$15,Data_5!$F$10:$BG$42,$A56+2,FALSE)="NO","NO",IF(HLOOKUP(AB$15,Data_5!$F$10:$BG$42,$A56+2,FALSE)="IE","IE",IF(HLOOKUP(AB$15,Data_5!$F$10:$BG$42,$A56+2,FALSE)="NE","NE",IF(HLOOKUP(AB$15,Data_5!$F$10:$BG$42,$A56+2,FALSE)="C","C",IF(HLOOKUP(AB$15,Data_5!$F$10:$BG$42,$A56+2,FALSE)="NO","NO",HLOOKUP(AB$15,Data_5!$F$10:$BG$42,$A56+2,FALSE)/Data_5!$BH51))))),"")</f>
        <v/>
      </c>
      <c r="AC56" s="1122" t="str">
        <f>IFERROR(IF(HLOOKUP(AC$15,Data_5!$F$10:$BG$42,$A56+2,FALSE)="NO","NO",IF(HLOOKUP(AC$15,Data_5!$F$10:$BG$42,$A56+2,FALSE)="IE","IE",IF(HLOOKUP(AC$15,Data_5!$F$10:$BG$42,$A56+2,FALSE)="NE","NE",IF(HLOOKUP(AC$15,Data_5!$F$10:$BG$42,$A56+2,FALSE)="C","C",IF(HLOOKUP(AC$15,Data_5!$F$10:$BG$42,$A56+2,FALSE)="NO","NO",HLOOKUP(AC$15,Data_5!$F$10:$BG$42,$A56+2,FALSE)/Data_5!$BH51))))),"")</f>
        <v/>
      </c>
      <c r="AD56" s="1122" t="str">
        <f>IFERROR(IF(HLOOKUP(AD$15,Data_5!$F$10:$BG$42,$A56+2,FALSE)="NO","NO",IF(HLOOKUP(AD$15,Data_5!$F$10:$BG$42,$A56+2,FALSE)="IE","IE",IF(HLOOKUP(AD$15,Data_5!$F$10:$BG$42,$A56+2,FALSE)="NE","NE",IF(HLOOKUP(AD$15,Data_5!$F$10:$BG$42,$A56+2,FALSE)="C","C",IF(HLOOKUP(AD$15,Data_5!$F$10:$BG$42,$A56+2,FALSE)="NO","NO",HLOOKUP(AD$15,Data_5!$F$10:$BG$42,$A56+2,FALSE)/Data_5!$BH51))))),"")</f>
        <v/>
      </c>
      <c r="AE56" s="1122" t="str">
        <f>IFERROR(IF(HLOOKUP(AE$15,Data_5!$F$10:$BG$42,$A56+2,FALSE)="NO","NO",IF(HLOOKUP(AE$15,Data_5!$F$10:$BG$42,$A56+2,FALSE)="IE","IE",IF(HLOOKUP(AE$15,Data_5!$F$10:$BG$42,$A56+2,FALSE)="NE","NE",IF(HLOOKUP(AE$15,Data_5!$F$10:$BG$42,$A56+2,FALSE)="C","C",IF(HLOOKUP(AE$15,Data_5!$F$10:$BG$42,$A56+2,FALSE)="NO","NO",HLOOKUP(AE$15,Data_5!$F$10:$BG$42,$A56+2,FALSE)/Data_5!$BH51))))),"")</f>
        <v/>
      </c>
      <c r="AF56" s="1122" t="str">
        <f>IFERROR(IF(HLOOKUP(AF$15,Data_5!$F$10:$BG$42,$A56+2,FALSE)="NO","NO",IF(HLOOKUP(AF$15,Data_5!$F$10:$BG$42,$A56+2,FALSE)="IE","IE",IF(HLOOKUP(AF$15,Data_5!$F$10:$BG$42,$A56+2,FALSE)="NE","NE",IF(HLOOKUP(AF$15,Data_5!$F$10:$BG$42,$A56+2,FALSE)="C","C",IF(HLOOKUP(AF$15,Data_5!$F$10:$BG$42,$A56+2,FALSE)="NO","NO",HLOOKUP(AF$15,Data_5!$F$10:$BG$42,$A56+2,FALSE)/Data_5!$BH51))))),"")</f>
        <v/>
      </c>
      <c r="AG56" s="1122" t="str">
        <f>IFERROR(IF(HLOOKUP(AG$15,Data_5!$F$10:$BG$42,$A56+2,FALSE)="NO","NO",IF(HLOOKUP(AG$15,Data_5!$F$10:$BG$42,$A56+2,FALSE)="IE","IE",IF(HLOOKUP(AG$15,Data_5!$F$10:$BG$42,$A56+2,FALSE)="NE","NE",IF(HLOOKUP(AG$15,Data_5!$F$10:$BG$42,$A56+2,FALSE)="C","C",IF(HLOOKUP(AG$15,Data_5!$F$10:$BG$42,$A56+2,FALSE)="NO","NO",HLOOKUP(AG$15,Data_5!$F$10:$BG$42,$A56+2,FALSE)/Data_5!$BH51))))),"")</f>
        <v/>
      </c>
      <c r="AH56" s="1122" t="str">
        <f>IFERROR(IF(HLOOKUP(AH$15,Data_5!$F$10:$BG$42,$A56+2,FALSE)="NO","NO",IF(HLOOKUP(AH$15,Data_5!$F$10:$BG$42,$A56+2,FALSE)="IE","IE",IF(HLOOKUP(AH$15,Data_5!$F$10:$BG$42,$A56+2,FALSE)="NE","NE",IF(HLOOKUP(AH$15,Data_5!$F$10:$BG$42,$A56+2,FALSE)="C","C",IF(HLOOKUP(AH$15,Data_5!$F$10:$BG$42,$A56+2,FALSE)="NO","NO",HLOOKUP(AH$15,Data_5!$F$10:$BG$42,$A56+2,FALSE)/Data_5!$BH51))))),"")</f>
        <v/>
      </c>
      <c r="AI56" s="1122" t="str">
        <f>IFERROR(IF(HLOOKUP(AI$15,Data_5!$F$10:$BG$42,$A56+2,FALSE)="NO","NO",IF(HLOOKUP(AI$15,Data_5!$F$10:$BG$42,$A56+2,FALSE)="IE","IE",IF(HLOOKUP(AI$15,Data_5!$F$10:$BG$42,$A56+2,FALSE)="NE","NE",IF(HLOOKUP(AI$15,Data_5!$F$10:$BG$42,$A56+2,FALSE)="C","C",IF(HLOOKUP(AI$15,Data_5!$F$10:$BG$42,$A56+2,FALSE)="NO","NO",HLOOKUP(AI$15,Data_5!$F$10:$BG$42,$A56+2,FALSE)/Data_5!$BH51))))),"")</f>
        <v/>
      </c>
      <c r="AJ56" s="1122" t="str">
        <f>IFERROR(IF(HLOOKUP(AJ$15,Data_5!$F$10:$BG$42,$A56+2,FALSE)="NO","NO",IF(HLOOKUP(AJ$15,Data_5!$F$10:$BG$42,$A56+2,FALSE)="IE","IE",IF(HLOOKUP(AJ$15,Data_5!$F$10:$BG$42,$A56+2,FALSE)="NE","NE",IF(HLOOKUP(AJ$15,Data_5!$F$10:$BG$42,$A56+2,FALSE)="C","C",IF(HLOOKUP(AJ$15,Data_5!$F$10:$BG$42,$A56+2,FALSE)="NO","NO",HLOOKUP(AJ$15,Data_5!$F$10:$BG$42,$A56+2,FALSE)/Data_5!$BH51))))),"")</f>
        <v/>
      </c>
      <c r="AL56" s="2628" t="str">
        <f t="shared" ca="1" si="0"/>
        <v/>
      </c>
      <c r="AM56" s="2629"/>
      <c r="AN56" s="1100" t="str">
        <f t="shared" ca="1" si="1"/>
        <v/>
      </c>
      <c r="AO56" s="1122" t="str">
        <f>IFERROR(IF(HLOOKUP(AO$15,Data_5!$F$10:$BG$42,$A56+2,FALSE)="NO","NO",IF(HLOOKUP(AO$15,Data_5!$F$10:$BG$42,$A56+2,FALSE)="IE","IE",IF(HLOOKUP(AO$15,Data_5!$F$10:$BG$42,$A56+2,FALSE)="NE","NE",IF(HLOOKUP(AO$15,Data_5!$F$10:$BG$42,$A56+2,FALSE)="C","C",IF(HLOOKUP(AO$15,Data_5!$F$10:$BG$42,$A56+2,FALSE)="NO","NO",HLOOKUP(AO$15,Data_5!$F$10:$BG$42,$A56+2,FALSE)/Data_5!$BI51))))),"")</f>
        <v/>
      </c>
      <c r="AP56" s="1122" t="str">
        <f>IFERROR(IF(HLOOKUP(AP$15,Data_5!$F$10:$BG$42,$A56+2,FALSE)="NO","NO",IF(HLOOKUP(AP$15,Data_5!$F$10:$BG$42,$A56+2,FALSE)="IE","IE",IF(HLOOKUP(AP$15,Data_5!$F$10:$BG$42,$A56+2,FALSE)="NE","NE",IF(HLOOKUP(AP$15,Data_5!$F$10:$BG$42,$A56+2,FALSE)="C","C",IF(HLOOKUP(AP$15,Data_5!$F$10:$BG$42,$A56+2,FALSE)="NO","NO",HLOOKUP(AP$15,Data_5!$F$10:$BG$42,$A56+2,FALSE)/Data_5!$BI51))))),"")</f>
        <v/>
      </c>
      <c r="AQ56" s="1122" t="str">
        <f>IFERROR(IF(HLOOKUP(AQ$15,Data_5!$F$10:$BG$42,$A56+2,FALSE)="NO","NO",IF(HLOOKUP(AQ$15,Data_5!$F$10:$BG$42,$A56+2,FALSE)="IE","IE",IF(HLOOKUP(AQ$15,Data_5!$F$10:$BG$42,$A56+2,FALSE)="NE","NE",IF(HLOOKUP(AQ$15,Data_5!$F$10:$BG$42,$A56+2,FALSE)="C","C",IF(HLOOKUP(AQ$15,Data_5!$F$10:$BG$42,$A56+2,FALSE)="NO","NO",HLOOKUP(AQ$15,Data_5!$F$10:$BG$42,$A56+2,FALSE)/Data_5!$BI51))))),"")</f>
        <v/>
      </c>
      <c r="AR56" s="1122" t="str">
        <f>IFERROR(IF(HLOOKUP(AR$15,Data_5!$F$10:$BG$42,$A56+2,FALSE)="NO","NO",IF(HLOOKUP(AR$15,Data_5!$F$10:$BG$42,$A56+2,FALSE)="IE","IE",IF(HLOOKUP(AR$15,Data_5!$F$10:$BG$42,$A56+2,FALSE)="NE","NE",IF(HLOOKUP(AR$15,Data_5!$F$10:$BG$42,$A56+2,FALSE)="C","C",IF(HLOOKUP(AR$15,Data_5!$F$10:$BG$42,$A56+2,FALSE)="NO","NO",HLOOKUP(AR$15,Data_5!$F$10:$BG$42,$A56+2,FALSE)/Data_5!$BI51))))),"")</f>
        <v/>
      </c>
      <c r="AS56" s="1122" t="str">
        <f>IFERROR(IF(HLOOKUP(AS$15,Data_5!$F$10:$BG$42,$A56+2,FALSE)="NO","NO",IF(HLOOKUP(AS$15,Data_5!$F$10:$BG$42,$A56+2,FALSE)="IE","IE",IF(HLOOKUP(AS$15,Data_5!$F$10:$BG$42,$A56+2,FALSE)="NE","NE",IF(HLOOKUP(AS$15,Data_5!$F$10:$BG$42,$A56+2,FALSE)="C","C",IF(HLOOKUP(AS$15,Data_5!$F$10:$BG$42,$A56+2,FALSE)="NO","NO",HLOOKUP(AS$15,Data_5!$F$10:$BG$42,$A56+2,FALSE)/Data_5!$BI51))))),"")</f>
        <v/>
      </c>
      <c r="AT56" s="1122" t="str">
        <f>IFERROR(IF(HLOOKUP(AT$15,Data_5!$F$10:$BG$42,$A56+2,FALSE)="NO","NO",IF(HLOOKUP(AT$15,Data_5!$F$10:$BG$42,$A56+2,FALSE)="IE","IE",IF(HLOOKUP(AT$15,Data_5!$F$10:$BG$42,$A56+2,FALSE)="NE","NE",IF(HLOOKUP(AT$15,Data_5!$F$10:$BG$42,$A56+2,FALSE)="C","C",IF(HLOOKUP(AT$15,Data_5!$F$10:$BG$42,$A56+2,FALSE)="NO","NO",HLOOKUP(AT$15,Data_5!$F$10:$BG$42,$A56+2,FALSE)/Data_5!$BI51))))),"")</f>
        <v/>
      </c>
      <c r="AU56" s="1122" t="str">
        <f>IFERROR(IF(HLOOKUP(AU$15,Data_5!$F$10:$BG$42,$A56+2,FALSE)="NO","NO",IF(HLOOKUP(AU$15,Data_5!$F$10:$BG$42,$A56+2,FALSE)="IE","IE",IF(HLOOKUP(AU$15,Data_5!$F$10:$BG$42,$A56+2,FALSE)="NE","NE",IF(HLOOKUP(AU$15,Data_5!$F$10:$BG$42,$A56+2,FALSE)="C","C",IF(HLOOKUP(AU$15,Data_5!$F$10:$BG$42,$A56+2,FALSE)="NO","NO",HLOOKUP(AU$15,Data_5!$F$10:$BG$42,$A56+2,FALSE)/Data_5!$BI51))))),"")</f>
        <v/>
      </c>
      <c r="AV56" s="1122" t="str">
        <f>IFERROR(IF(HLOOKUP(AV$15,Data_5!$F$10:$BG$42,$A56+2,FALSE)="NO","NO",IF(HLOOKUP(AV$15,Data_5!$F$10:$BG$42,$A56+2,FALSE)="IE","IE",IF(HLOOKUP(AV$15,Data_5!$F$10:$BG$42,$A56+2,FALSE)="NE","NE",IF(HLOOKUP(AV$15,Data_5!$F$10:$BG$42,$A56+2,FALSE)="C","C",IF(HLOOKUP(AV$15,Data_5!$F$10:$BG$42,$A56+2,FALSE)="NO","NO",HLOOKUP(AV$15,Data_5!$F$10:$BG$42,$A56+2,FALSE)/Data_5!$BI51))))),"")</f>
        <v/>
      </c>
      <c r="AW56" s="1122" t="str">
        <f>IFERROR(IF(HLOOKUP(AW$15,Data_5!$F$10:$BG$42,$A56+2,FALSE)="NO","NO",IF(HLOOKUP(AW$15,Data_5!$F$10:$BG$42,$A56+2,FALSE)="IE","IE",IF(HLOOKUP(AW$15,Data_5!$F$10:$BG$42,$A56+2,FALSE)="NE","NE",IF(HLOOKUP(AW$15,Data_5!$F$10:$BG$42,$A56+2,FALSE)="C","C",IF(HLOOKUP(AW$15,Data_5!$F$10:$BG$42,$A56+2,FALSE)="NO","NO",HLOOKUP(AW$15,Data_5!$F$10:$BG$42,$A56+2,FALSE)/Data_5!$BI51))))),"")</f>
        <v/>
      </c>
      <c r="AX56" s="1122" t="str">
        <f>IFERROR(IF(HLOOKUP(AX$15,Data_5!$F$10:$BG$42,$A56+2,FALSE)="NO","NO",IF(HLOOKUP(AX$15,Data_5!$F$10:$BG$42,$A56+2,FALSE)="IE","IE",IF(HLOOKUP(AX$15,Data_5!$F$10:$BG$42,$A56+2,FALSE)="NE","NE",IF(HLOOKUP(AX$15,Data_5!$F$10:$BG$42,$A56+2,FALSE)="C","C",IF(HLOOKUP(AX$15,Data_5!$F$10:$BG$42,$A56+2,FALSE)="NO","NO",HLOOKUP(AX$15,Data_5!$F$10:$BG$42,$A56+2,FALSE)/Data_5!$BI51))))),"")</f>
        <v/>
      </c>
      <c r="AY56" s="1122" t="str">
        <f>IFERROR(IF(HLOOKUP(AY$15,Data_5!$F$10:$BG$42,$A56+2,FALSE)="NO","NO",IF(HLOOKUP(AY$15,Data_5!$F$10:$BG$42,$A56+2,FALSE)="IE","IE",IF(HLOOKUP(AY$15,Data_5!$F$10:$BG$42,$A56+2,FALSE)="NE","NE",IF(HLOOKUP(AY$15,Data_5!$F$10:$BG$42,$A56+2,FALSE)="C","C",IF(HLOOKUP(AY$15,Data_5!$F$10:$BG$42,$A56+2,FALSE)="NO","NO",HLOOKUP(AY$15,Data_5!$F$10:$BG$42,$A56+2,FALSE)/Data_5!$BI51))))),"")</f>
        <v/>
      </c>
      <c r="AZ56" s="1122" t="str">
        <f>IFERROR(IF(HLOOKUP(AZ$15,Data_5!$F$10:$BG$42,$A56+2,FALSE)="NO","NO",IF(HLOOKUP(AZ$15,Data_5!$F$10:$BG$42,$A56+2,FALSE)="IE","IE",IF(HLOOKUP(AZ$15,Data_5!$F$10:$BG$42,$A56+2,FALSE)="NE","NE",IF(HLOOKUP(AZ$15,Data_5!$F$10:$BG$42,$A56+2,FALSE)="C","C",IF(HLOOKUP(AZ$15,Data_5!$F$10:$BG$42,$A56+2,FALSE)="NO","NO",HLOOKUP(AZ$15,Data_5!$F$10:$BG$42,$A56+2,FALSE)/Data_5!$BI51))))),"")</f>
        <v/>
      </c>
      <c r="BA56" s="1122" t="str">
        <f>IFERROR(IF(HLOOKUP(BA$15,Data_5!$F$10:$BG$42,$A56+2,FALSE)="NO","NO",IF(HLOOKUP(BA$15,Data_5!$F$10:$BG$42,$A56+2,FALSE)="IE","IE",IF(HLOOKUP(BA$15,Data_5!$F$10:$BG$42,$A56+2,FALSE)="NE","NE",IF(HLOOKUP(BA$15,Data_5!$F$10:$BG$42,$A56+2,FALSE)="C","C",IF(HLOOKUP(BA$15,Data_5!$F$10:$BG$42,$A56+2,FALSE)="NO","NO",HLOOKUP(BA$15,Data_5!$F$10:$BG$42,$A56+2,FALSE)/Data_5!$BI51))))),"")</f>
        <v/>
      </c>
      <c r="BB56" s="1122" t="str">
        <f>IFERROR(IF(HLOOKUP(BB$15,Data_5!$F$10:$BG$42,$A56+2,FALSE)="NO","NO",IF(HLOOKUP(BB$15,Data_5!$F$10:$BG$42,$A56+2,FALSE)="IE","IE",IF(HLOOKUP(BB$15,Data_5!$F$10:$BG$42,$A56+2,FALSE)="NE","NE",IF(HLOOKUP(BB$15,Data_5!$F$10:$BG$42,$A56+2,FALSE)="C","C",IF(HLOOKUP(BB$15,Data_5!$F$10:$BG$42,$A56+2,FALSE)="NO","NO",HLOOKUP(BB$15,Data_5!$F$10:$BG$42,$A56+2,FALSE)/Data_5!$BI51))))),"")</f>
        <v/>
      </c>
      <c r="BC56" s="1122" t="str">
        <f>IFERROR(IF(HLOOKUP(BC$15,Data_5!$F$10:$BG$42,$A56+2,FALSE)="NO","NO",IF(HLOOKUP(BC$15,Data_5!$F$10:$BG$42,$A56+2,FALSE)="IE","IE",IF(HLOOKUP(BC$15,Data_5!$F$10:$BG$42,$A56+2,FALSE)="NE","NE",IF(HLOOKUP(BC$15,Data_5!$F$10:$BG$42,$A56+2,FALSE)="C","C",IF(HLOOKUP(BC$15,Data_5!$F$10:$BG$42,$A56+2,FALSE)="NO","NO",HLOOKUP(BC$15,Data_5!$F$10:$BG$42,$A56+2,FALSE)/Data_5!$BI51))))),"")</f>
        <v/>
      </c>
      <c r="BD56" s="1122" t="str">
        <f>IFERROR(IF(HLOOKUP(BD$15,Data_5!$F$10:$BG$42,$A56+2,FALSE)="NO","NO",IF(HLOOKUP(BD$15,Data_5!$F$10:$BG$42,$A56+2,FALSE)="IE","IE",IF(HLOOKUP(BD$15,Data_5!$F$10:$BG$42,$A56+2,FALSE)="NE","NE",IF(HLOOKUP(BD$15,Data_5!$F$10:$BG$42,$A56+2,FALSE)="C","C",IF(HLOOKUP(BD$15,Data_5!$F$10:$BG$42,$A56+2,FALSE)="NO","NO",HLOOKUP(BD$15,Data_5!$F$10:$BG$42,$A56+2,FALSE)/Data_5!$BI51))))),"")</f>
        <v/>
      </c>
      <c r="BE56" s="1122" t="str">
        <f>IFERROR(IF(HLOOKUP(BE$15,Data_5!$F$10:$BG$42,$A56+2,FALSE)="NO","NO",IF(HLOOKUP(BE$15,Data_5!$F$10:$BG$42,$A56+2,FALSE)="IE","IE",IF(HLOOKUP(BE$15,Data_5!$F$10:$BG$42,$A56+2,FALSE)="NE","NE",IF(HLOOKUP(BE$15,Data_5!$F$10:$BG$42,$A56+2,FALSE)="C","C",IF(HLOOKUP(BE$15,Data_5!$F$10:$BG$42,$A56+2,FALSE)="NO","NO",HLOOKUP(BE$15,Data_5!$F$10:$BG$42,$A56+2,FALSE)/Data_5!$BI51))))),"")</f>
        <v/>
      </c>
      <c r="BF56" s="1122" t="str">
        <f>IFERROR(IF(HLOOKUP(BF$15,Data_5!$F$10:$BG$42,$A56+2,FALSE)="NO","NO",IF(HLOOKUP(BF$15,Data_5!$F$10:$BG$42,$A56+2,FALSE)="IE","IE",IF(HLOOKUP(BF$15,Data_5!$F$10:$BG$42,$A56+2,FALSE)="NE","NE",IF(HLOOKUP(BF$15,Data_5!$F$10:$BG$42,$A56+2,FALSE)="C","C",IF(HLOOKUP(BF$15,Data_5!$F$10:$BG$42,$A56+2,FALSE)="NO","NO",HLOOKUP(BF$15,Data_5!$F$10:$BG$42,$A56+2,FALSE)/Data_5!$BI51))))),"")</f>
        <v/>
      </c>
      <c r="BG56" s="1122" t="str">
        <f>IFERROR(IF(HLOOKUP(BG$15,Data_5!$F$10:$BG$42,$A56+2,FALSE)="NO","NO",IF(HLOOKUP(BG$15,Data_5!$F$10:$BG$42,$A56+2,FALSE)="IE","IE",IF(HLOOKUP(BG$15,Data_5!$F$10:$BG$42,$A56+2,FALSE)="NE","NE",IF(HLOOKUP(BG$15,Data_5!$F$10:$BG$42,$A56+2,FALSE)="C","C",IF(HLOOKUP(BG$15,Data_5!$F$10:$BG$42,$A56+2,FALSE)="NO","NO",HLOOKUP(BG$15,Data_5!$F$10:$BG$42,$A56+2,FALSE)/Data_5!$BI51))))),"")</f>
        <v/>
      </c>
      <c r="BH56" s="1122" t="str">
        <f>IFERROR(IF(HLOOKUP(BH$15,Data_5!$F$10:$BG$42,$A56+2,FALSE)="NO","NO",IF(HLOOKUP(BH$15,Data_5!$F$10:$BG$42,$A56+2,FALSE)="IE","IE",IF(HLOOKUP(BH$15,Data_5!$F$10:$BG$42,$A56+2,FALSE)="NE","NE",IF(HLOOKUP(BH$15,Data_5!$F$10:$BG$42,$A56+2,FALSE)="C","C",IF(HLOOKUP(BH$15,Data_5!$F$10:$BG$42,$A56+2,FALSE)="NO","NO",HLOOKUP(BH$15,Data_5!$F$10:$BG$42,$A56+2,FALSE)/Data_5!$BI51))))),"")</f>
        <v/>
      </c>
      <c r="BI56" s="1122" t="str">
        <f>IFERROR(IF(HLOOKUP(BI$15,Data_5!$F$10:$BG$42,$A56+2,FALSE)="NO","NO",IF(HLOOKUP(BI$15,Data_5!$F$10:$BG$42,$A56+2,FALSE)="IE","IE",IF(HLOOKUP(BI$15,Data_5!$F$10:$BG$42,$A56+2,FALSE)="NE","NE",IF(HLOOKUP(BI$15,Data_5!$F$10:$BG$42,$A56+2,FALSE)="C","C",IF(HLOOKUP(BI$15,Data_5!$F$10:$BG$42,$A56+2,FALSE)="NO","NO",HLOOKUP(BI$15,Data_5!$F$10:$BG$42,$A56+2,FALSE)/Data_5!$BI51))))),"")</f>
        <v/>
      </c>
      <c r="BJ56" s="1122" t="str">
        <f>IFERROR(IF(HLOOKUP(BJ$15,Data_5!$F$10:$BG$42,$A56+2,FALSE)="NO","NO",IF(HLOOKUP(BJ$15,Data_5!$F$10:$BG$42,$A56+2,FALSE)="IE","IE",IF(HLOOKUP(BJ$15,Data_5!$F$10:$BG$42,$A56+2,FALSE)="NE","NE",IF(HLOOKUP(BJ$15,Data_5!$F$10:$BG$42,$A56+2,FALSE)="C","C",IF(HLOOKUP(BJ$15,Data_5!$F$10:$BG$42,$A56+2,FALSE)="NO","NO",HLOOKUP(BJ$15,Data_5!$F$10:$BG$42,$A56+2,FALSE)/Data_5!$BI51))))),"")</f>
        <v/>
      </c>
      <c r="BK56" s="1122" t="str">
        <f>IFERROR(IF(HLOOKUP(BK$15,Data_5!$F$10:$BG$42,$A56+2,FALSE)="NO","NO",IF(HLOOKUP(BK$15,Data_5!$F$10:$BG$42,$A56+2,FALSE)="IE","IE",IF(HLOOKUP(BK$15,Data_5!$F$10:$BG$42,$A56+2,FALSE)="NE","NE",IF(HLOOKUP(BK$15,Data_5!$F$10:$BG$42,$A56+2,FALSE)="C","C",IF(HLOOKUP(BK$15,Data_5!$F$10:$BG$42,$A56+2,FALSE)="NO","NO",HLOOKUP(BK$15,Data_5!$F$10:$BG$42,$A56+2,FALSE)/Data_5!$BI51))))),"")</f>
        <v/>
      </c>
      <c r="BL56" s="1122" t="str">
        <f>IFERROR(IF(HLOOKUP(BL$15,Data_5!$F$10:$BG$42,$A56+2,FALSE)="NO","NO",IF(HLOOKUP(BL$15,Data_5!$F$10:$BG$42,$A56+2,FALSE)="IE","IE",IF(HLOOKUP(BL$15,Data_5!$F$10:$BG$42,$A56+2,FALSE)="NE","NE",IF(HLOOKUP(BL$15,Data_5!$F$10:$BG$42,$A56+2,FALSE)="C","C",IF(HLOOKUP(BL$15,Data_5!$F$10:$BG$42,$A56+2,FALSE)="NO","NO",HLOOKUP(BL$15,Data_5!$F$10:$BG$42,$A56+2,FALSE)/Data_5!$BI51))))),"")</f>
        <v/>
      </c>
      <c r="BM56" s="1122" t="str">
        <f>IFERROR(IF(HLOOKUP(BM$15,Data_5!$F$10:$BG$42,$A56+2,FALSE)="NO","NO",IF(HLOOKUP(BM$15,Data_5!$F$10:$BG$42,$A56+2,FALSE)="IE","IE",IF(HLOOKUP(BM$15,Data_5!$F$10:$BG$42,$A56+2,FALSE)="NE","NE",IF(HLOOKUP(BM$15,Data_5!$F$10:$BG$42,$A56+2,FALSE)="C","C",IF(HLOOKUP(BM$15,Data_5!$F$10:$BG$42,$A56+2,FALSE)="NO","NO",HLOOKUP(BM$15,Data_5!$F$10:$BG$42,$A56+2,FALSE)/Data_5!$BI51))))),"")</f>
        <v/>
      </c>
      <c r="BN56" s="1122" t="str">
        <f>IFERROR(IF(HLOOKUP(BN$15,Data_5!$F$10:$BG$42,$A56+2,FALSE)="NO","NO",IF(HLOOKUP(BN$15,Data_5!$F$10:$BG$42,$A56+2,FALSE)="IE","IE",IF(HLOOKUP(BN$15,Data_5!$F$10:$BG$42,$A56+2,FALSE)="NE","NE",IF(HLOOKUP(BN$15,Data_5!$F$10:$BG$42,$A56+2,FALSE)="C","C",IF(HLOOKUP(BN$15,Data_5!$F$10:$BG$42,$A56+2,FALSE)="NO","NO",HLOOKUP(BN$15,Data_5!$F$10:$BG$42,$A56+2,FALSE)/Data_5!$BI51))))),"")</f>
        <v/>
      </c>
      <c r="BO56" s="1122" t="str">
        <f>IFERROR(IF(HLOOKUP(BO$15,Data_5!$F$10:$BG$42,$A56+2,FALSE)="NO","NO",IF(HLOOKUP(BO$15,Data_5!$F$10:$BG$42,$A56+2,FALSE)="IE","IE",IF(HLOOKUP(BO$15,Data_5!$F$10:$BG$42,$A56+2,FALSE)="NE","NE",IF(HLOOKUP(BO$15,Data_5!$F$10:$BG$42,$A56+2,FALSE)="C","C",IF(HLOOKUP(BO$15,Data_5!$F$10:$BG$42,$A56+2,FALSE)="NO","NO",HLOOKUP(BO$15,Data_5!$F$10:$BG$42,$A56+2,FALSE)/Data_5!$BI51))))),"")</f>
        <v/>
      </c>
      <c r="BP56" s="1122" t="str">
        <f>IFERROR(IF(HLOOKUP(BP$15,Data_5!$F$10:$BG$42,$A56+2,FALSE)="NO","NO",IF(HLOOKUP(BP$15,Data_5!$F$10:$BG$42,$A56+2,FALSE)="IE","IE",IF(HLOOKUP(BP$15,Data_5!$F$10:$BG$42,$A56+2,FALSE)="NE","NE",IF(HLOOKUP(BP$15,Data_5!$F$10:$BG$42,$A56+2,FALSE)="C","C",IF(HLOOKUP(BP$15,Data_5!$F$10:$BG$42,$A56+2,FALSE)="NO","NO",HLOOKUP(BP$15,Data_5!$F$10:$BG$42,$A56+2,FALSE)/Data_5!$BI51))))),"")</f>
        <v/>
      </c>
      <c r="BQ56" s="1122" t="str">
        <f>IFERROR(IF(HLOOKUP(BQ$15,Data_5!$F$10:$BG$42,$A56+2,FALSE)="NO","NO",IF(HLOOKUP(BQ$15,Data_5!$F$10:$BG$42,$A56+2,FALSE)="IE","IE",IF(HLOOKUP(BQ$15,Data_5!$F$10:$BG$42,$A56+2,FALSE)="NE","NE",IF(HLOOKUP(BQ$15,Data_5!$F$10:$BG$42,$A56+2,FALSE)="C","C",IF(HLOOKUP(BQ$15,Data_5!$F$10:$BG$42,$A56+2,FALSE)="NO","NO",HLOOKUP(BQ$15,Data_5!$F$10:$BG$42,$A56+2,FALSE)/Data_5!$BI51))))),"")</f>
        <v/>
      </c>
      <c r="BR56" s="1122" t="str">
        <f>IFERROR(IF(HLOOKUP(BR$15,Data_5!$F$10:$BG$42,$A56+2,FALSE)="NO","NO",IF(HLOOKUP(BR$15,Data_5!$F$10:$BG$42,$A56+2,FALSE)="IE","IE",IF(HLOOKUP(BR$15,Data_5!$F$10:$BG$42,$A56+2,FALSE)="NE","NE",IF(HLOOKUP(BR$15,Data_5!$F$10:$BG$42,$A56+2,FALSE)="C","C",IF(HLOOKUP(BR$15,Data_5!$F$10:$BG$42,$A56+2,FALSE)="NO","NO",HLOOKUP(BR$15,Data_5!$F$10:$BG$42,$A56+2,FALSE)/Data_5!$BI51))))),"")</f>
        <v/>
      </c>
      <c r="BS56" s="1122" t="str">
        <f>IFERROR(IF(HLOOKUP(BS$15,Data_5!$F$10:$BG$42,$A56+2,FALSE)="NO","NO",IF(HLOOKUP(BS$15,Data_5!$F$10:$BG$42,$A56+2,FALSE)="IE","IE",IF(HLOOKUP(BS$15,Data_5!$F$10:$BG$42,$A56+2,FALSE)="NE","NE",IF(HLOOKUP(BS$15,Data_5!$F$10:$BG$42,$A56+2,FALSE)="C","C",IF(HLOOKUP(BS$15,Data_5!$F$10:$BG$42,$A56+2,FALSE)="NO","NO",HLOOKUP(BS$15,Data_5!$F$10:$BG$42,$A56+2,FALSE)/Data_5!$BI51))))),"")</f>
        <v/>
      </c>
      <c r="BT56" s="1122" t="str">
        <f>IFERROR(IF(HLOOKUP(BT$15,Data_5!$F$10:$BG$42,$A56+2,FALSE)="NO","NO",IF(HLOOKUP(BT$15,Data_5!$F$10:$BG$42,$A56+2,FALSE)="IE","IE",IF(HLOOKUP(BT$15,Data_5!$F$10:$BG$42,$A56+2,FALSE)="NE","NE",IF(HLOOKUP(BT$15,Data_5!$F$10:$BG$42,$A56+2,FALSE)="C","C",IF(HLOOKUP(BT$15,Data_5!$F$10:$BG$42,$A56+2,FALSE)="NO","NO",HLOOKUP(BT$15,Data_5!$F$10:$BG$42,$A56+2,FALSE)/Data_5!$BI51))))),"")</f>
        <v/>
      </c>
      <c r="BU56" s="1122" t="str">
        <f>IFERROR(IF(HLOOKUP(BU$15,Data_5!$F$10:$BG$42,$A56+2,FALSE)="NO","NO",IF(HLOOKUP(BU$15,Data_5!$F$10:$BG$42,$A56+2,FALSE)="IE","IE",IF(HLOOKUP(BU$15,Data_5!$F$10:$BG$42,$A56+2,FALSE)="NE","NE",IF(HLOOKUP(BU$15,Data_5!$F$10:$BG$42,$A56+2,FALSE)="C","C",IF(HLOOKUP(BU$15,Data_5!$F$10:$BG$42,$A56+2,FALSE)="NO","NO",HLOOKUP(BU$15,Data_5!$F$10:$BG$42,$A56+2,FALSE)/Data_5!$BI51))))),"")</f>
        <v/>
      </c>
      <c r="BV56" s="1122" t="str">
        <f>IFERROR(IF(HLOOKUP(BV$15,Data_5!$F$10:$BG$42,$A56+2,FALSE)="NO","NO",IF(HLOOKUP(BV$15,Data_5!$F$10:$BG$42,$A56+2,FALSE)="IE","IE",IF(HLOOKUP(BV$15,Data_5!$F$10:$BG$42,$A56+2,FALSE)="NE","NE",IF(HLOOKUP(BV$15,Data_5!$F$10:$BG$42,$A56+2,FALSE)="C","C",IF(HLOOKUP(BV$15,Data_5!$F$10:$BG$42,$A56+2,FALSE)="NO","NO",HLOOKUP(BV$15,Data_5!$F$10:$BG$42,$A56+2,FALSE)/Data_5!$BI51))))),"")</f>
        <v/>
      </c>
      <c r="BW56" s="1122" t="str">
        <f>IFERROR(IF(HLOOKUP(BW$15,Data_5!$F$10:$BG$42,$A56+2,FALSE)="NO","NO",IF(HLOOKUP(BW$15,Data_5!$F$10:$BG$42,$A56+2,FALSE)="IE","IE",IF(HLOOKUP(BW$15,Data_5!$F$10:$BG$42,$A56+2,FALSE)="NE","NE",IF(HLOOKUP(BW$15,Data_5!$F$10:$BG$42,$A56+2,FALSE)="C","C",IF(HLOOKUP(BW$15,Data_5!$F$10:$BG$42,$A56+2,FALSE)="NO","NO",HLOOKUP(BW$15,Data_5!$F$10:$BG$42,$A56+2,FALSE)/Data_5!$BI51))))),"")</f>
        <v/>
      </c>
      <c r="BX56" s="1122" t="str">
        <f>IFERROR(IF(HLOOKUP(BX$15,Data_5!$F$10:$BG$42,$A56+2,FALSE)="NO","NO",IF(HLOOKUP(BX$15,Data_5!$F$10:$BG$42,$A56+2,FALSE)="IE","IE",IF(HLOOKUP(BX$15,Data_5!$F$10:$BG$42,$A56+2,FALSE)="NE","NE",IF(HLOOKUP(BX$15,Data_5!$F$10:$BG$42,$A56+2,FALSE)="C","C",IF(HLOOKUP(BX$15,Data_5!$F$10:$BG$42,$A56+2,FALSE)="NO","NO",HLOOKUP(BX$15,Data_5!$F$10:$BG$42,$A56+2,FALSE)/Data_5!$BI51))))),"")</f>
        <v/>
      </c>
      <c r="BY56" s="1122" t="str">
        <f>IFERROR(IF(HLOOKUP(BY$15,Data_5!$F$10:$BG$42,$A56+2,FALSE)="NO","NO",IF(HLOOKUP(BY$15,Data_5!$F$10:$BG$42,$A56+2,FALSE)="IE","IE",IF(HLOOKUP(BY$15,Data_5!$F$10:$BG$42,$A56+2,FALSE)="NE","NE",IF(HLOOKUP(BY$15,Data_5!$F$10:$BG$42,$A56+2,FALSE)="C","C",IF(HLOOKUP(BY$15,Data_5!$F$10:$BG$42,$A56+2,FALSE)="NO","NO",HLOOKUP(BY$15,Data_5!$F$10:$BG$42,$A56+2,FALSE)/Data_5!$BI51))))),"")</f>
        <v/>
      </c>
      <c r="BZ56" s="1122" t="str">
        <f>IFERROR(IF(HLOOKUP(BZ$15,Data_5!$F$10:$BG$42,$A56+2,FALSE)="NO","NO",IF(HLOOKUP(BZ$15,Data_5!$F$10:$BG$42,$A56+2,FALSE)="IE","IE",IF(HLOOKUP(BZ$15,Data_5!$F$10:$BG$42,$A56+2,FALSE)="NE","NE",IF(HLOOKUP(BZ$15,Data_5!$F$10:$BG$42,$A56+2,FALSE)="C","C",IF(HLOOKUP(BZ$15,Data_5!$F$10:$BG$42,$A56+2,FALSE)="NO","NO",HLOOKUP(BZ$15,Data_5!$F$10:$BG$42,$A56+2,FALSE)/Data_5!$BI51))))),"")</f>
        <v/>
      </c>
      <c r="CA56" s="1122" t="str">
        <f>IFERROR(IF(HLOOKUP(CA$15,Data_5!$F$10:$BG$42,$A56+2,FALSE)="NO","NO",IF(HLOOKUP(CA$15,Data_5!$F$10:$BG$42,$A56+2,FALSE)="IE","IE",IF(HLOOKUP(CA$15,Data_5!$F$10:$BG$42,$A56+2,FALSE)="NE","NE",IF(HLOOKUP(CA$15,Data_5!$F$10:$BG$42,$A56+2,FALSE)="C","C",IF(HLOOKUP(CA$15,Data_5!$F$10:$BG$42,$A56+2,FALSE)="NO","NO",HLOOKUP(CA$15,Data_5!$F$10:$BG$42,$A56+2,FALSE)/Data_5!$BI51))))),"")</f>
        <v/>
      </c>
      <c r="CB56" s="1122" t="str">
        <f>IFERROR(IF(HLOOKUP(CB$15,Data_5!$F$10:$BG$42,$A56+2,FALSE)="NO","NO",IF(HLOOKUP(CB$15,Data_5!$F$10:$BG$42,$A56+2,FALSE)="IE","IE",IF(HLOOKUP(CB$15,Data_5!$F$10:$BG$42,$A56+2,FALSE)="NE","NE",IF(HLOOKUP(CB$15,Data_5!$F$10:$BG$42,$A56+2,FALSE)="C","C",IF(HLOOKUP(CB$15,Data_5!$F$10:$BG$42,$A56+2,FALSE)="NO","NO",HLOOKUP(CB$15,Data_5!$F$10:$BG$42,$A56+2,FALSE)/Data_5!$BI51))))),"")</f>
        <v/>
      </c>
      <c r="CC56" s="1122" t="str">
        <f>IFERROR(IF(HLOOKUP(CC$15,Data_5!$F$10:$BG$42,$A56+2,FALSE)="NO","NO",IF(HLOOKUP(CC$15,Data_5!$F$10:$BG$42,$A56+2,FALSE)="IE","IE",IF(HLOOKUP(CC$15,Data_5!$F$10:$BG$42,$A56+2,FALSE)="NE","NE",IF(HLOOKUP(CC$15,Data_5!$F$10:$BG$42,$A56+2,FALSE)="C","C",IF(HLOOKUP(CC$15,Data_5!$F$10:$BG$42,$A56+2,FALSE)="NO","NO",HLOOKUP(CC$15,Data_5!$F$10:$BG$42,$A56+2,FALSE)/Data_5!$BI51))))),"")</f>
        <v/>
      </c>
      <c r="CD56" s="1122" t="str">
        <f>IFERROR(IF(HLOOKUP(CD$15,Data_5!$F$10:$BG$42,$A56+2,FALSE)="NO","NO",IF(HLOOKUP(CD$15,Data_5!$F$10:$BG$42,$A56+2,FALSE)="IE","IE",IF(HLOOKUP(CD$15,Data_5!$F$10:$BG$42,$A56+2,FALSE)="NE","NE",IF(HLOOKUP(CD$15,Data_5!$F$10:$BG$42,$A56+2,FALSE)="C","C",IF(HLOOKUP(CD$15,Data_5!$F$10:$BG$42,$A56+2,FALSE)="NO","NO",HLOOKUP(CD$15,Data_5!$F$10:$BG$42,$A56+2,FALSE)/Data_5!$BI51))))),"")</f>
        <v/>
      </c>
      <c r="CE56" s="1122" t="str">
        <f>IFERROR(IF(HLOOKUP(CE$15,Data_5!$F$10:$BG$42,$A56+2,FALSE)="NO","NO",IF(HLOOKUP(CE$15,Data_5!$F$10:$BG$42,$A56+2,FALSE)="IE","IE",IF(HLOOKUP(CE$15,Data_5!$F$10:$BG$42,$A56+2,FALSE)="NE","NE",IF(HLOOKUP(CE$15,Data_5!$F$10:$BG$42,$A56+2,FALSE)="C","C",IF(HLOOKUP(CE$15,Data_5!$F$10:$BG$42,$A56+2,FALSE)="NO","NO",HLOOKUP(CE$15,Data_5!$F$10:$BG$42,$A56+2,FALSE)/Data_5!$BI51))))),"")</f>
        <v/>
      </c>
      <c r="CF56" s="1122" t="str">
        <f>IFERROR(IF(HLOOKUP(CF$15,Data_5!$F$10:$BG$42,$A56+2,FALSE)="NO","NO",IF(HLOOKUP(CF$15,Data_5!$F$10:$BG$42,$A56+2,FALSE)="IE","IE",IF(HLOOKUP(CF$15,Data_5!$F$10:$BG$42,$A56+2,FALSE)="NE","NE",IF(HLOOKUP(CF$15,Data_5!$F$10:$BG$42,$A56+2,FALSE)="C","C",IF(HLOOKUP(CF$15,Data_5!$F$10:$BG$42,$A56+2,FALSE)="NO","NO",HLOOKUP(CF$15,Data_5!$F$10:$BG$42,$A56+2,FALSE)/Data_5!$BI51))))),"")</f>
        <v/>
      </c>
      <c r="CG56" s="1122" t="str">
        <f>IFERROR(IF(HLOOKUP(CG$15,Data_5!$F$10:$BG$42,$A56+2,FALSE)="NO","NO",IF(HLOOKUP(CG$15,Data_5!$F$10:$BG$42,$A56+2,FALSE)="IE","IE",IF(HLOOKUP(CG$15,Data_5!$F$10:$BG$42,$A56+2,FALSE)="NE","NE",IF(HLOOKUP(CG$15,Data_5!$F$10:$BG$42,$A56+2,FALSE)="C","C",IF(HLOOKUP(CG$15,Data_5!$F$10:$BG$42,$A56+2,FALSE)="NO","NO",HLOOKUP(CG$15,Data_5!$F$10:$BG$42,$A56+2,FALSE)/Data_5!$BI51))))),"")</f>
        <v/>
      </c>
      <c r="CH56" s="1122" t="str">
        <f>IFERROR(IF(HLOOKUP(CH$15,Data_5!$F$10:$BG$42,$A56+2,FALSE)="NO","NO",IF(HLOOKUP(CH$15,Data_5!$F$10:$BG$42,$A56+2,FALSE)="IE","IE",IF(HLOOKUP(CH$15,Data_5!$F$10:$BG$42,$A56+2,FALSE)="NE","NE",IF(HLOOKUP(CH$15,Data_5!$F$10:$BG$42,$A56+2,FALSE)="C","C",IF(HLOOKUP(CH$15,Data_5!$F$10:$BG$42,$A56+2,FALSE)="NO","NO",HLOOKUP(CH$15,Data_5!$F$10:$BG$42,$A56+2,FALSE)/Data_5!$BI51))))),"")</f>
        <v/>
      </c>
      <c r="CI56" s="1122" t="str">
        <f>IFERROR(IF(HLOOKUP(CI$15,Data_5!$F$10:$BG$42,$A56+2,FALSE)="NO","NO",IF(HLOOKUP(CI$15,Data_5!$F$10:$BG$42,$A56+2,FALSE)="IE","IE",IF(HLOOKUP(CI$15,Data_5!$F$10:$BG$42,$A56+2,FALSE)="NE","NE",IF(HLOOKUP(CI$15,Data_5!$F$10:$BG$42,$A56+2,FALSE)="C","C",IF(HLOOKUP(CI$15,Data_5!$F$10:$BG$42,$A56+2,FALSE)="NO","NO",HLOOKUP(CI$15,Data_5!$F$10:$BG$42,$A56+2,FALSE)/Data_5!$BI51))))),"")</f>
        <v/>
      </c>
      <c r="CJ56" s="1122" t="str">
        <f>IFERROR(IF(HLOOKUP(CJ$15,Data_5!$F$10:$BG$42,$A56+2,FALSE)="NO","NO",IF(HLOOKUP(CJ$15,Data_5!$F$10:$BG$42,$A56+2,FALSE)="IE","IE",IF(HLOOKUP(CJ$15,Data_5!$F$10:$BG$42,$A56+2,FALSE)="NE","NE",IF(HLOOKUP(CJ$15,Data_5!$F$10:$BG$42,$A56+2,FALSE)="C","C",IF(HLOOKUP(CJ$15,Data_5!$F$10:$BG$42,$A56+2,FALSE)="NO","NO",HLOOKUP(CJ$15,Data_5!$F$10:$BG$42,$A56+2,FALSE)/Data_5!$BI51))))),"")</f>
        <v/>
      </c>
      <c r="CL56" s="2628" t="str">
        <f t="shared" ca="1" si="6"/>
        <v/>
      </c>
      <c r="CM56" s="2629"/>
      <c r="CN56" s="1100" t="str">
        <f t="shared" ca="1" si="7"/>
        <v/>
      </c>
      <c r="CO56" s="1122" t="str">
        <f>IFERROR(IF(HLOOKUP(CO$15,Data_5!$F$10:$BG$42,$A56+2,FALSE)="NO","NO",IF(HLOOKUP(CO$15,Data_5!$F$10:$BG$42,$A56+2,FALSE)="IE","IE",IF(HLOOKUP(CO$15,Data_5!$F$10:$BG$42,$A56+2,FALSE)="NE","NE",IF(HLOOKUP(CO$15,Data_5!$F$10:$BG$42,$A56+2,FALSE)="C","C",IF(HLOOKUP(CO$15,Data_5!$F$10:$BG$42,$A56+2,FALSE)="NO","NO",HLOOKUP(CO$15,Data_5!$F$10:$BG$42,$A56+2,FALSE)/Data_5!$BK51))))),"")</f>
        <v/>
      </c>
      <c r="CP56" s="1122" t="str">
        <f>IFERROR(IF(HLOOKUP(CP$15,Data_5!$F$10:$BG$42,$A56+2,FALSE)="NO","NO",IF(HLOOKUP(CP$15,Data_5!$F$10:$BG$42,$A56+2,FALSE)="IE","IE",IF(HLOOKUP(CP$15,Data_5!$F$10:$BG$42,$A56+2,FALSE)="NE","NE",IF(HLOOKUP(CP$15,Data_5!$F$10:$BG$42,$A56+2,FALSE)="C","C",IF(HLOOKUP(CP$15,Data_5!$F$10:$BG$42,$A56+2,FALSE)="NO","NO",HLOOKUP(CP$15,Data_5!$F$10:$BG$42,$A56+2,FALSE)/Data_5!$BK51))))),"")</f>
        <v/>
      </c>
      <c r="CQ56" s="1122" t="str">
        <f>IFERROR(IF(HLOOKUP(CQ$15,Data_5!$F$10:$BG$42,$A56+2,FALSE)="NO","NO",IF(HLOOKUP(CQ$15,Data_5!$F$10:$BG$42,$A56+2,FALSE)="IE","IE",IF(HLOOKUP(CQ$15,Data_5!$F$10:$BG$42,$A56+2,FALSE)="NE","NE",IF(HLOOKUP(CQ$15,Data_5!$F$10:$BG$42,$A56+2,FALSE)="C","C",IF(HLOOKUP(CQ$15,Data_5!$F$10:$BG$42,$A56+2,FALSE)="NO","NO",HLOOKUP(CQ$15,Data_5!$F$10:$BG$42,$A56+2,FALSE)/Data_5!$BK51))))),"")</f>
        <v/>
      </c>
      <c r="CR56" s="1122" t="str">
        <f>IFERROR(IF(HLOOKUP(CR$15,Data_5!$F$10:$BG$42,$A56+2,FALSE)="NO","NO",IF(HLOOKUP(CR$15,Data_5!$F$10:$BG$42,$A56+2,FALSE)="IE","IE",IF(HLOOKUP(CR$15,Data_5!$F$10:$BG$42,$A56+2,FALSE)="NE","NE",IF(HLOOKUP(CR$15,Data_5!$F$10:$BG$42,$A56+2,FALSE)="C","C",IF(HLOOKUP(CR$15,Data_5!$F$10:$BG$42,$A56+2,FALSE)="NO","NO",HLOOKUP(CR$15,Data_5!$F$10:$BG$42,$A56+2,FALSE)/Data_5!$BK51))))),"")</f>
        <v/>
      </c>
      <c r="CS56" s="1122" t="str">
        <f>IFERROR(IF(HLOOKUP(CS$15,Data_5!$F$10:$BG$42,$A56+2,FALSE)="NO","NO",IF(HLOOKUP(CS$15,Data_5!$F$10:$BG$42,$A56+2,FALSE)="IE","IE",IF(HLOOKUP(CS$15,Data_5!$F$10:$BG$42,$A56+2,FALSE)="NE","NE",IF(HLOOKUP(CS$15,Data_5!$F$10:$BG$42,$A56+2,FALSE)="C","C",IF(HLOOKUP(CS$15,Data_5!$F$10:$BG$42,$A56+2,FALSE)="NO","NO",HLOOKUP(CS$15,Data_5!$F$10:$BG$42,$A56+2,FALSE)/Data_5!$BK51))))),"")</f>
        <v/>
      </c>
      <c r="CT56" s="1122" t="str">
        <f>IFERROR(IF(HLOOKUP(CT$15,Data_5!$F$10:$BG$42,$A56+2,FALSE)="NO","NO",IF(HLOOKUP(CT$15,Data_5!$F$10:$BG$42,$A56+2,FALSE)="IE","IE",IF(HLOOKUP(CT$15,Data_5!$F$10:$BG$42,$A56+2,FALSE)="NE","NE",IF(HLOOKUP(CT$15,Data_5!$F$10:$BG$42,$A56+2,FALSE)="C","C",IF(HLOOKUP(CT$15,Data_5!$F$10:$BG$42,$A56+2,FALSE)="NO","NO",HLOOKUP(CT$15,Data_5!$F$10:$BG$42,$A56+2,FALSE)/Data_5!$BK51))))),"")</f>
        <v/>
      </c>
      <c r="CU56" s="1122" t="str">
        <f>IFERROR(IF(HLOOKUP(CU$15,Data_5!$F$10:$BG$42,$A56+2,FALSE)="NO","NO",IF(HLOOKUP(CU$15,Data_5!$F$10:$BG$42,$A56+2,FALSE)="IE","IE",IF(HLOOKUP(CU$15,Data_5!$F$10:$BG$42,$A56+2,FALSE)="NE","NE",IF(HLOOKUP(CU$15,Data_5!$F$10:$BG$42,$A56+2,FALSE)="C","C",IF(HLOOKUP(CU$15,Data_5!$F$10:$BG$42,$A56+2,FALSE)="NO","NO",HLOOKUP(CU$15,Data_5!$F$10:$BG$42,$A56+2,FALSE)/Data_5!$BK51))))),"")</f>
        <v/>
      </c>
      <c r="CV56" s="1122" t="str">
        <f>IFERROR(IF(HLOOKUP(CV$15,Data_5!$F$10:$BG$42,$A56+2,FALSE)="NO","NO",IF(HLOOKUP(CV$15,Data_5!$F$10:$BG$42,$A56+2,FALSE)="IE","IE",IF(HLOOKUP(CV$15,Data_5!$F$10:$BG$42,$A56+2,FALSE)="NE","NE",IF(HLOOKUP(CV$15,Data_5!$F$10:$BG$42,$A56+2,FALSE)="C","C",IF(HLOOKUP(CV$15,Data_5!$F$10:$BG$42,$A56+2,FALSE)="NO","NO",HLOOKUP(CV$15,Data_5!$F$10:$BG$42,$A56+2,FALSE)/Data_5!$BK51))))),"")</f>
        <v/>
      </c>
      <c r="CW56" s="1122" t="str">
        <f>IFERROR(IF(HLOOKUP(CW$15,Data_5!$F$10:$BG$42,$A56+2,FALSE)="NO","NO",IF(HLOOKUP(CW$15,Data_5!$F$10:$BG$42,$A56+2,FALSE)="IE","IE",IF(HLOOKUP(CW$15,Data_5!$F$10:$BG$42,$A56+2,FALSE)="NE","NE",IF(HLOOKUP(CW$15,Data_5!$F$10:$BG$42,$A56+2,FALSE)="C","C",IF(HLOOKUP(CW$15,Data_5!$F$10:$BG$42,$A56+2,FALSE)="NO","NO",HLOOKUP(CW$15,Data_5!$F$10:$BG$42,$A56+2,FALSE)/Data_5!$BK51))))),"")</f>
        <v/>
      </c>
      <c r="CX56" s="1122" t="str">
        <f>IFERROR(IF(HLOOKUP(CX$15,Data_5!$F$10:$BG$42,$A56+2,FALSE)="NO","NO",IF(HLOOKUP(CX$15,Data_5!$F$10:$BG$42,$A56+2,FALSE)="IE","IE",IF(HLOOKUP(CX$15,Data_5!$F$10:$BG$42,$A56+2,FALSE)="NE","NE",IF(HLOOKUP(CX$15,Data_5!$F$10:$BG$42,$A56+2,FALSE)="C","C",IF(HLOOKUP(CX$15,Data_5!$F$10:$BG$42,$A56+2,FALSE)="NO","NO",HLOOKUP(CX$15,Data_5!$F$10:$BG$42,$A56+2,FALSE)/Data_5!$BK51))))),"")</f>
        <v/>
      </c>
      <c r="CY56" s="1122" t="str">
        <f>IFERROR(IF(HLOOKUP(CY$15,Data_5!$F$10:$BG$42,$A56+2,FALSE)="NO","NO",IF(HLOOKUP(CY$15,Data_5!$F$10:$BG$42,$A56+2,FALSE)="IE","IE",IF(HLOOKUP(CY$15,Data_5!$F$10:$BG$42,$A56+2,FALSE)="NE","NE",IF(HLOOKUP(CY$15,Data_5!$F$10:$BG$42,$A56+2,FALSE)="C","C",IF(HLOOKUP(CY$15,Data_5!$F$10:$BG$42,$A56+2,FALSE)="NO","NO",HLOOKUP(CY$15,Data_5!$F$10:$BG$42,$A56+2,FALSE)/Data_5!$BK51))))),"")</f>
        <v/>
      </c>
      <c r="CZ56" s="1122" t="str">
        <f>IFERROR(IF(HLOOKUP(CZ$15,Data_5!$F$10:$BG$42,$A56+2,FALSE)="NO","NO",IF(HLOOKUP(CZ$15,Data_5!$F$10:$BG$42,$A56+2,FALSE)="IE","IE",IF(HLOOKUP(CZ$15,Data_5!$F$10:$BG$42,$A56+2,FALSE)="NE","NE",IF(HLOOKUP(CZ$15,Data_5!$F$10:$BG$42,$A56+2,FALSE)="C","C",IF(HLOOKUP(CZ$15,Data_5!$F$10:$BG$42,$A56+2,FALSE)="NO","NO",HLOOKUP(CZ$15,Data_5!$F$10:$BG$42,$A56+2,FALSE)/Data_5!$BK51))))),"")</f>
        <v/>
      </c>
      <c r="DA56" s="1122" t="str">
        <f>IFERROR(IF(HLOOKUP(DA$15,Data_5!$F$10:$BG$42,$A56+2,FALSE)="NO","NO",IF(HLOOKUP(DA$15,Data_5!$F$10:$BG$42,$A56+2,FALSE)="IE","IE",IF(HLOOKUP(DA$15,Data_5!$F$10:$BG$42,$A56+2,FALSE)="NE","NE",IF(HLOOKUP(DA$15,Data_5!$F$10:$BG$42,$A56+2,FALSE)="C","C",IF(HLOOKUP(DA$15,Data_5!$F$10:$BG$42,$A56+2,FALSE)="NO","NO",HLOOKUP(DA$15,Data_5!$F$10:$BG$42,$A56+2,FALSE)/Data_5!$BK51))))),"")</f>
        <v/>
      </c>
      <c r="DB56" s="1122" t="str">
        <f>IFERROR(IF(HLOOKUP(DB$15,Data_5!$F$10:$BG$42,$A56+2,FALSE)="NO","NO",IF(HLOOKUP(DB$15,Data_5!$F$10:$BG$42,$A56+2,FALSE)="IE","IE",IF(HLOOKUP(DB$15,Data_5!$F$10:$BG$42,$A56+2,FALSE)="NE","NE",IF(HLOOKUP(DB$15,Data_5!$F$10:$BG$42,$A56+2,FALSE)="C","C",IF(HLOOKUP(DB$15,Data_5!$F$10:$BG$42,$A56+2,FALSE)="NO","NO",HLOOKUP(DB$15,Data_5!$F$10:$BG$42,$A56+2,FALSE)/Data_5!$BK51))))),"")</f>
        <v/>
      </c>
      <c r="DC56" s="1122" t="str">
        <f>IFERROR(IF(HLOOKUP(DC$15,Data_5!$F$10:$BG$42,$A56+2,FALSE)="NO","NO",IF(HLOOKUP(DC$15,Data_5!$F$10:$BG$42,$A56+2,FALSE)="IE","IE",IF(HLOOKUP(DC$15,Data_5!$F$10:$BG$42,$A56+2,FALSE)="NE","NE",IF(HLOOKUP(DC$15,Data_5!$F$10:$BG$42,$A56+2,FALSE)="C","C",IF(HLOOKUP(DC$15,Data_5!$F$10:$BG$42,$A56+2,FALSE)="NO","NO",HLOOKUP(DC$15,Data_5!$F$10:$BG$42,$A56+2,FALSE)/Data_5!$BK51))))),"")</f>
        <v/>
      </c>
      <c r="DD56" s="1122" t="str">
        <f>IFERROR(IF(HLOOKUP(DD$15,Data_5!$F$10:$BG$42,$A56+2,FALSE)="NO","NO",IF(HLOOKUP(DD$15,Data_5!$F$10:$BG$42,$A56+2,FALSE)="IE","IE",IF(HLOOKUP(DD$15,Data_5!$F$10:$BG$42,$A56+2,FALSE)="NE","NE",IF(HLOOKUP(DD$15,Data_5!$F$10:$BG$42,$A56+2,FALSE)="C","C",IF(HLOOKUP(DD$15,Data_5!$F$10:$BG$42,$A56+2,FALSE)="NO","NO",HLOOKUP(DD$15,Data_5!$F$10:$BG$42,$A56+2,FALSE)/Data_5!$BK51))))),"")</f>
        <v/>
      </c>
      <c r="DE56" s="1122" t="str">
        <f>IFERROR(IF(HLOOKUP(DE$15,Data_5!$F$10:$BG$42,$A56+2,FALSE)="NO","NO",IF(HLOOKUP(DE$15,Data_5!$F$10:$BG$42,$A56+2,FALSE)="IE","IE",IF(HLOOKUP(DE$15,Data_5!$F$10:$BG$42,$A56+2,FALSE)="NE","NE",IF(HLOOKUP(DE$15,Data_5!$F$10:$BG$42,$A56+2,FALSE)="C","C",IF(HLOOKUP(DE$15,Data_5!$F$10:$BG$42,$A56+2,FALSE)="NO","NO",HLOOKUP(DE$15,Data_5!$F$10:$BG$42,$A56+2,FALSE)/Data_5!$BK51))))),"")</f>
        <v/>
      </c>
      <c r="DF56" s="1122" t="str">
        <f>IFERROR(IF(HLOOKUP(DF$15,Data_5!$F$10:$BG$42,$A56+2,FALSE)="NO","NO",IF(HLOOKUP(DF$15,Data_5!$F$10:$BG$42,$A56+2,FALSE)="IE","IE",IF(HLOOKUP(DF$15,Data_5!$F$10:$BG$42,$A56+2,FALSE)="NE","NE",IF(HLOOKUP(DF$15,Data_5!$F$10:$BG$42,$A56+2,FALSE)="C","C",IF(HLOOKUP(DF$15,Data_5!$F$10:$BG$42,$A56+2,FALSE)="NO","NO",HLOOKUP(DF$15,Data_5!$F$10:$BG$42,$A56+2,FALSE)/Data_5!$BK51))))),"")</f>
        <v/>
      </c>
      <c r="DG56" s="1122" t="str">
        <f>IFERROR(IF(HLOOKUP(DG$15,Data_5!$F$10:$BG$42,$A56+2,FALSE)="NO","NO",IF(HLOOKUP(DG$15,Data_5!$F$10:$BG$42,$A56+2,FALSE)="IE","IE",IF(HLOOKUP(DG$15,Data_5!$F$10:$BG$42,$A56+2,FALSE)="NE","NE",IF(HLOOKUP(DG$15,Data_5!$F$10:$BG$42,$A56+2,FALSE)="C","C",IF(HLOOKUP(DG$15,Data_5!$F$10:$BG$42,$A56+2,FALSE)="NO","NO",HLOOKUP(DG$15,Data_5!$F$10:$BG$42,$A56+2,FALSE)/Data_5!$BK51))))),"")</f>
        <v/>
      </c>
      <c r="DH56" s="1122" t="str">
        <f>IFERROR(IF(HLOOKUP(DH$15,Data_5!$F$10:$BG$42,$A56+2,FALSE)="NO","NO",IF(HLOOKUP(DH$15,Data_5!$F$10:$BG$42,$A56+2,FALSE)="IE","IE",IF(HLOOKUP(DH$15,Data_5!$F$10:$BG$42,$A56+2,FALSE)="NE","NE",IF(HLOOKUP(DH$15,Data_5!$F$10:$BG$42,$A56+2,FALSE)="C","C",IF(HLOOKUP(DH$15,Data_5!$F$10:$BG$42,$A56+2,FALSE)="NO","NO",HLOOKUP(DH$15,Data_5!$F$10:$BG$42,$A56+2,FALSE)/Data_5!$BK51))))),"")</f>
        <v/>
      </c>
      <c r="DI56" s="1122" t="str">
        <f>IFERROR(IF(HLOOKUP(DI$15,Data_5!$F$10:$BG$42,$A56+2,FALSE)="NO","NO",IF(HLOOKUP(DI$15,Data_5!$F$10:$BG$42,$A56+2,FALSE)="IE","IE",IF(HLOOKUP(DI$15,Data_5!$F$10:$BG$42,$A56+2,FALSE)="NE","NE",IF(HLOOKUP(DI$15,Data_5!$F$10:$BG$42,$A56+2,FALSE)="C","C",IF(HLOOKUP(DI$15,Data_5!$F$10:$BG$42,$A56+2,FALSE)="NO","NO",HLOOKUP(DI$15,Data_5!$F$10:$BG$42,$A56+2,FALSE)/Data_5!$BK51))))),"")</f>
        <v/>
      </c>
      <c r="DJ56" s="1122" t="str">
        <f>IFERROR(IF(HLOOKUP(DJ$15,Data_5!$F$10:$BG$42,$A56+2,FALSE)="NO","NO",IF(HLOOKUP(DJ$15,Data_5!$F$10:$BG$42,$A56+2,FALSE)="IE","IE",IF(HLOOKUP(DJ$15,Data_5!$F$10:$BG$42,$A56+2,FALSE)="NE","NE",IF(HLOOKUP(DJ$15,Data_5!$F$10:$BG$42,$A56+2,FALSE)="C","C",IF(HLOOKUP(DJ$15,Data_5!$F$10:$BG$42,$A56+2,FALSE)="NO","NO",HLOOKUP(DJ$15,Data_5!$F$10:$BG$42,$A56+2,FALSE)/Data_5!$BK51))))),"")</f>
        <v/>
      </c>
      <c r="DK56" s="1122" t="str">
        <f>IFERROR(IF(HLOOKUP(DK$15,Data_5!$F$10:$BG$42,$A56+2,FALSE)="NO","NO",IF(HLOOKUP(DK$15,Data_5!$F$10:$BG$42,$A56+2,FALSE)="IE","IE",IF(HLOOKUP(DK$15,Data_5!$F$10:$BG$42,$A56+2,FALSE)="NE","NE",IF(HLOOKUP(DK$15,Data_5!$F$10:$BG$42,$A56+2,FALSE)="C","C",IF(HLOOKUP(DK$15,Data_5!$F$10:$BG$42,$A56+2,FALSE)="NO","NO",HLOOKUP(DK$15,Data_5!$F$10:$BG$42,$A56+2,FALSE)/Data_5!$BK51))))),"")</f>
        <v/>
      </c>
      <c r="DL56" s="1122" t="str">
        <f>IFERROR(IF(HLOOKUP(DL$15,Data_5!$F$10:$BG$42,$A56+2,FALSE)="NO","NO",IF(HLOOKUP(DL$15,Data_5!$F$10:$BG$42,$A56+2,FALSE)="IE","IE",IF(HLOOKUP(DL$15,Data_5!$F$10:$BG$42,$A56+2,FALSE)="NE","NE",IF(HLOOKUP(DL$15,Data_5!$F$10:$BG$42,$A56+2,FALSE)="C","C",IF(HLOOKUP(DL$15,Data_5!$F$10:$BG$42,$A56+2,FALSE)="NO","NO",HLOOKUP(DL$15,Data_5!$F$10:$BG$42,$A56+2,FALSE)/Data_5!$BK51))))),"")</f>
        <v/>
      </c>
      <c r="DM56" s="1122" t="str">
        <f>IFERROR(IF(HLOOKUP(DM$15,Data_5!$F$10:$BG$42,$A56+2,FALSE)="NO","NO",IF(HLOOKUP(DM$15,Data_5!$F$10:$BG$42,$A56+2,FALSE)="IE","IE",IF(HLOOKUP(DM$15,Data_5!$F$10:$BG$42,$A56+2,FALSE)="NE","NE",IF(HLOOKUP(DM$15,Data_5!$F$10:$BG$42,$A56+2,FALSE)="C","C",IF(HLOOKUP(DM$15,Data_5!$F$10:$BG$42,$A56+2,FALSE)="NO","NO",HLOOKUP(DM$15,Data_5!$F$10:$BG$42,$A56+2,FALSE)/Data_5!$BK51))))),"")</f>
        <v/>
      </c>
      <c r="DN56" s="1122" t="str">
        <f>IFERROR(IF(HLOOKUP(DN$15,Data_5!$F$10:$BG$42,$A56+2,FALSE)="NO","NO",IF(HLOOKUP(DN$15,Data_5!$F$10:$BG$42,$A56+2,FALSE)="IE","IE",IF(HLOOKUP(DN$15,Data_5!$F$10:$BG$42,$A56+2,FALSE)="NE","NE",IF(HLOOKUP(DN$15,Data_5!$F$10:$BG$42,$A56+2,FALSE)="C","C",IF(HLOOKUP(DN$15,Data_5!$F$10:$BG$42,$A56+2,FALSE)="NO","NO",HLOOKUP(DN$15,Data_5!$F$10:$BG$42,$A56+2,FALSE)/Data_5!$BK51))))),"")</f>
        <v/>
      </c>
      <c r="DO56" s="1122" t="str">
        <f>IFERROR(IF(HLOOKUP(DO$15,Data_5!$F$10:$BG$42,$A56+2,FALSE)="NO","NO",IF(HLOOKUP(DO$15,Data_5!$F$10:$BG$42,$A56+2,FALSE)="IE","IE",IF(HLOOKUP(DO$15,Data_5!$F$10:$BG$42,$A56+2,FALSE)="NE","NE",IF(HLOOKUP(DO$15,Data_5!$F$10:$BG$42,$A56+2,FALSE)="C","C",IF(HLOOKUP(DO$15,Data_5!$F$10:$BG$42,$A56+2,FALSE)="NO","NO",HLOOKUP(DO$15,Data_5!$F$10:$BG$42,$A56+2,FALSE)/Data_5!$BK51))))),"")</f>
        <v/>
      </c>
    </row>
    <row r="57" spans="1:119" ht="15" customHeight="1">
      <c r="A57" s="1789">
        <v>41</v>
      </c>
      <c r="B57" s="2628" t="str">
        <f ca="1">IF(Data_5!B52&lt;&gt;"",Data_5!B52,"")</f>
        <v/>
      </c>
      <c r="C57" s="2629"/>
      <c r="D57" s="1462">
        <f ca="1">IFERROR(VLOOKUP($B57,Data_5!$B$12:$C$42,2,FALSE),"")</f>
        <v>0</v>
      </c>
      <c r="E57" s="1122" t="str">
        <f>IFERROR(IF(HLOOKUP(E$15,Data_5!$F$10:$BG$42,$A57+2,FALSE)="NO","NO",IF(HLOOKUP(E$15,Data_5!$F$10:$BG$42,$A57+2,FALSE)="IE","IE",IF(HLOOKUP(E$15,Data_5!$F$10:$BG$42,$A57+2,FALSE)="NE","NE",IF(HLOOKUP(E$15,Data_5!$F$10:$BG$42,$A57+2,FALSE)="C","C",IF(HLOOKUP(E$15,Data_5!$F$10:$BG$42,$A57+2,FALSE)="NO","NO",HLOOKUP(E$15,Data_5!$F$10:$BG$42,$A57+2,FALSE)/Data_5!$BH52))))),"")</f>
        <v/>
      </c>
      <c r="F57" s="1122" t="str">
        <f>IFERROR(IF(HLOOKUP(F$15,Data_5!$F$10:$BG$42,$A57+2,FALSE)="NO","NO",IF(HLOOKUP(F$15,Data_5!$F$10:$BG$42,$A57+2,FALSE)="IE","IE",IF(HLOOKUP(F$15,Data_5!$F$10:$BG$42,$A57+2,FALSE)="NE","NE",IF(HLOOKUP(F$15,Data_5!$F$10:$BG$42,$A57+2,FALSE)="C","C",IF(HLOOKUP(F$15,Data_5!$F$10:$BG$42,$A57+2,FALSE)="NO","NO",HLOOKUP(F$15,Data_5!$F$10:$BG$42,$A57+2,FALSE)/Data_5!$BH52))))),"")</f>
        <v/>
      </c>
      <c r="G57" s="1122" t="str">
        <f>IFERROR(IF(HLOOKUP(G$15,Data_5!$F$10:$BG$42,$A57+2,FALSE)="NO","NO",IF(HLOOKUP(G$15,Data_5!$F$10:$BG$42,$A57+2,FALSE)="IE","IE",IF(HLOOKUP(G$15,Data_5!$F$10:$BG$42,$A57+2,FALSE)="NE","NE",IF(HLOOKUP(G$15,Data_5!$F$10:$BG$42,$A57+2,FALSE)="C","C",IF(HLOOKUP(G$15,Data_5!$F$10:$BG$42,$A57+2,FALSE)="NO","NO",HLOOKUP(G$15,Data_5!$F$10:$BG$42,$A57+2,FALSE)/Data_5!$BH52))))),"")</f>
        <v/>
      </c>
      <c r="H57" s="1122" t="str">
        <f>IFERROR(IF(HLOOKUP(H$15,Data_5!$F$10:$BG$42,$A57+2,FALSE)="NO","NO",IF(HLOOKUP(H$15,Data_5!$F$10:$BG$42,$A57+2,FALSE)="IE","IE",IF(HLOOKUP(H$15,Data_5!$F$10:$BG$42,$A57+2,FALSE)="NE","NE",IF(HLOOKUP(H$15,Data_5!$F$10:$BG$42,$A57+2,FALSE)="C","C",IF(HLOOKUP(H$15,Data_5!$F$10:$BG$42,$A57+2,FALSE)="NO","NO",HLOOKUP(H$15,Data_5!$F$10:$BG$42,$A57+2,FALSE)/Data_5!$BH52))))),"")</f>
        <v/>
      </c>
      <c r="I57" s="1122" t="str">
        <f>IFERROR(IF(HLOOKUP(I$15,Data_5!$F$10:$BG$42,$A57+2,FALSE)="NO","NO",IF(HLOOKUP(I$15,Data_5!$F$10:$BG$42,$A57+2,FALSE)="IE","IE",IF(HLOOKUP(I$15,Data_5!$F$10:$BG$42,$A57+2,FALSE)="NE","NE",IF(HLOOKUP(I$15,Data_5!$F$10:$BG$42,$A57+2,FALSE)="C","C",IF(HLOOKUP(I$15,Data_5!$F$10:$BG$42,$A57+2,FALSE)="NO","NO",HLOOKUP(I$15,Data_5!$F$10:$BG$42,$A57+2,FALSE)/Data_5!$BH52))))),"")</f>
        <v/>
      </c>
      <c r="J57" s="1122" t="str">
        <f>IFERROR(IF(HLOOKUP(J$15,Data_5!$F$10:$BG$42,$A57+2,FALSE)="NO","NO",IF(HLOOKUP(J$15,Data_5!$F$10:$BG$42,$A57+2,FALSE)="IE","IE",IF(HLOOKUP(J$15,Data_5!$F$10:$BG$42,$A57+2,FALSE)="NE","NE",IF(HLOOKUP(J$15,Data_5!$F$10:$BG$42,$A57+2,FALSE)="C","C",IF(HLOOKUP(J$15,Data_5!$F$10:$BG$42,$A57+2,FALSE)="NO","NO",HLOOKUP(J$15,Data_5!$F$10:$BG$42,$A57+2,FALSE)/Data_5!$BH52))))),"")</f>
        <v/>
      </c>
      <c r="K57" s="1122" t="str">
        <f>IFERROR(IF(HLOOKUP(K$15,Data_5!$F$10:$BG$42,$A57+2,FALSE)="NO","NO",IF(HLOOKUP(K$15,Data_5!$F$10:$BG$42,$A57+2,FALSE)="IE","IE",IF(HLOOKUP(K$15,Data_5!$F$10:$BG$42,$A57+2,FALSE)="NE","NE",IF(HLOOKUP(K$15,Data_5!$F$10:$BG$42,$A57+2,FALSE)="C","C",IF(HLOOKUP(K$15,Data_5!$F$10:$BG$42,$A57+2,FALSE)="NO","NO",HLOOKUP(K$15,Data_5!$F$10:$BG$42,$A57+2,FALSE)/Data_5!$BH52))))),"")</f>
        <v/>
      </c>
      <c r="L57" s="1122" t="str">
        <f>IFERROR(IF(HLOOKUP(L$15,Data_5!$F$10:$BG$42,$A57+2,FALSE)="NO","NO",IF(HLOOKUP(L$15,Data_5!$F$10:$BG$42,$A57+2,FALSE)="IE","IE",IF(HLOOKUP(L$15,Data_5!$F$10:$BG$42,$A57+2,FALSE)="NE","NE",IF(HLOOKUP(L$15,Data_5!$F$10:$BG$42,$A57+2,FALSE)="C","C",IF(HLOOKUP(L$15,Data_5!$F$10:$BG$42,$A57+2,FALSE)="NO","NO",HLOOKUP(L$15,Data_5!$F$10:$BG$42,$A57+2,FALSE)/Data_5!$BH52))))),"")</f>
        <v/>
      </c>
      <c r="M57" s="1122" t="str">
        <f>IFERROR(IF(HLOOKUP(M$15,Data_5!$F$10:$BG$42,$A57+2,FALSE)="NO","NO",IF(HLOOKUP(M$15,Data_5!$F$10:$BG$42,$A57+2,FALSE)="IE","IE",IF(HLOOKUP(M$15,Data_5!$F$10:$BG$42,$A57+2,FALSE)="NE","NE",IF(HLOOKUP(M$15,Data_5!$F$10:$BG$42,$A57+2,FALSE)="C","C",IF(HLOOKUP(M$15,Data_5!$F$10:$BG$42,$A57+2,FALSE)="NO","NO",HLOOKUP(M$15,Data_5!$F$10:$BG$42,$A57+2,FALSE)/Data_5!$BH52))))),"")</f>
        <v/>
      </c>
      <c r="N57" s="1122" t="str">
        <f>IFERROR(IF(HLOOKUP(N$15,Data_5!$F$10:$BG$42,$A57+2,FALSE)="NO","NO",IF(HLOOKUP(N$15,Data_5!$F$10:$BG$42,$A57+2,FALSE)="IE","IE",IF(HLOOKUP(N$15,Data_5!$F$10:$BG$42,$A57+2,FALSE)="NE","NE",IF(HLOOKUP(N$15,Data_5!$F$10:$BG$42,$A57+2,FALSE)="C","C",IF(HLOOKUP(N$15,Data_5!$F$10:$BG$42,$A57+2,FALSE)="NO","NO",HLOOKUP(N$15,Data_5!$F$10:$BG$42,$A57+2,FALSE)/Data_5!$BH52))))),"")</f>
        <v/>
      </c>
      <c r="O57" s="1122" t="str">
        <f>IFERROR(IF(HLOOKUP(O$15,Data_5!$F$10:$BG$42,$A57+2,FALSE)="NO","NO",IF(HLOOKUP(O$15,Data_5!$F$10:$BG$42,$A57+2,FALSE)="IE","IE",IF(HLOOKUP(O$15,Data_5!$F$10:$BG$42,$A57+2,FALSE)="NE","NE",IF(HLOOKUP(O$15,Data_5!$F$10:$BG$42,$A57+2,FALSE)="C","C",IF(HLOOKUP(O$15,Data_5!$F$10:$BG$42,$A57+2,FALSE)="NO","NO",HLOOKUP(O$15,Data_5!$F$10:$BG$42,$A57+2,FALSE)/Data_5!$BH52))))),"")</f>
        <v/>
      </c>
      <c r="P57" s="1122" t="str">
        <f>IFERROR(IF(HLOOKUP(P$15,Data_5!$F$10:$BG$42,$A57+2,FALSE)="NO","NO",IF(HLOOKUP(P$15,Data_5!$F$10:$BG$42,$A57+2,FALSE)="IE","IE",IF(HLOOKUP(P$15,Data_5!$F$10:$BG$42,$A57+2,FALSE)="NE","NE",IF(HLOOKUP(P$15,Data_5!$F$10:$BG$42,$A57+2,FALSE)="C","C",IF(HLOOKUP(P$15,Data_5!$F$10:$BG$42,$A57+2,FALSE)="NO","NO",HLOOKUP(P$15,Data_5!$F$10:$BG$42,$A57+2,FALSE)/Data_5!$BH52))))),"")</f>
        <v/>
      </c>
      <c r="Q57" s="1122" t="str">
        <f>IFERROR(IF(HLOOKUP(Q$15,Data_5!$F$10:$BG$42,$A57+2,FALSE)="NO","NO",IF(HLOOKUP(Q$15,Data_5!$F$10:$BG$42,$A57+2,FALSE)="IE","IE",IF(HLOOKUP(Q$15,Data_5!$F$10:$BG$42,$A57+2,FALSE)="NE","NE",IF(HLOOKUP(Q$15,Data_5!$F$10:$BG$42,$A57+2,FALSE)="C","C",IF(HLOOKUP(Q$15,Data_5!$F$10:$BG$42,$A57+2,FALSE)="NO","NO",HLOOKUP(Q$15,Data_5!$F$10:$BG$42,$A57+2,FALSE)/Data_5!$BH52))))),"")</f>
        <v/>
      </c>
      <c r="R57" s="1122" t="str">
        <f>IFERROR(IF(HLOOKUP(R$15,Data_5!$F$10:$BG$42,$A57+2,FALSE)="NO","NO",IF(HLOOKUP(R$15,Data_5!$F$10:$BG$42,$A57+2,FALSE)="IE","IE",IF(HLOOKUP(R$15,Data_5!$F$10:$BG$42,$A57+2,FALSE)="NE","NE",IF(HLOOKUP(R$15,Data_5!$F$10:$BG$42,$A57+2,FALSE)="C","C",IF(HLOOKUP(R$15,Data_5!$F$10:$BG$42,$A57+2,FALSE)="NO","NO",HLOOKUP(R$15,Data_5!$F$10:$BG$42,$A57+2,FALSE)/Data_5!$BH52))))),"")</f>
        <v/>
      </c>
      <c r="S57" s="1122" t="str">
        <f>IFERROR(IF(HLOOKUP(S$15,Data_5!$F$10:$BG$42,$A57+2,FALSE)="NO","NO",IF(HLOOKUP(S$15,Data_5!$F$10:$BG$42,$A57+2,FALSE)="IE","IE",IF(HLOOKUP(S$15,Data_5!$F$10:$BG$42,$A57+2,FALSE)="NE","NE",IF(HLOOKUP(S$15,Data_5!$F$10:$BG$42,$A57+2,FALSE)="C","C",IF(HLOOKUP(S$15,Data_5!$F$10:$BG$42,$A57+2,FALSE)="NO","NO",HLOOKUP(S$15,Data_5!$F$10:$BG$42,$A57+2,FALSE)/Data_5!$BH52))))),"")</f>
        <v/>
      </c>
      <c r="T57" s="1122" t="str">
        <f>IFERROR(IF(HLOOKUP(T$15,Data_5!$F$10:$BG$42,$A57+2,FALSE)="NO","NO",IF(HLOOKUP(T$15,Data_5!$F$10:$BG$42,$A57+2,FALSE)="IE","IE",IF(HLOOKUP(T$15,Data_5!$F$10:$BG$42,$A57+2,FALSE)="NE","NE",IF(HLOOKUP(T$15,Data_5!$F$10:$BG$42,$A57+2,FALSE)="C","C",IF(HLOOKUP(T$15,Data_5!$F$10:$BG$42,$A57+2,FALSE)="NO","NO",HLOOKUP(T$15,Data_5!$F$10:$BG$42,$A57+2,FALSE)/Data_5!$BH52))))),"")</f>
        <v/>
      </c>
      <c r="U57" s="1122" t="str">
        <f>IFERROR(IF(HLOOKUP(U$15,Data_5!$F$10:$BG$42,$A57+2,FALSE)="NO","NO",IF(HLOOKUP(U$15,Data_5!$F$10:$BG$42,$A57+2,FALSE)="IE","IE",IF(HLOOKUP(U$15,Data_5!$F$10:$BG$42,$A57+2,FALSE)="NE","NE",IF(HLOOKUP(U$15,Data_5!$F$10:$BG$42,$A57+2,FALSE)="C","C",IF(HLOOKUP(U$15,Data_5!$F$10:$BG$42,$A57+2,FALSE)="NO","NO",HLOOKUP(U$15,Data_5!$F$10:$BG$42,$A57+2,FALSE)/Data_5!$BH52))))),"")</f>
        <v/>
      </c>
      <c r="V57" s="1122" t="str">
        <f>IFERROR(IF(HLOOKUP(V$15,Data_5!$F$10:$BG$42,$A57+2,FALSE)="NO","NO",IF(HLOOKUP(V$15,Data_5!$F$10:$BG$42,$A57+2,FALSE)="IE","IE",IF(HLOOKUP(V$15,Data_5!$F$10:$BG$42,$A57+2,FALSE)="NE","NE",IF(HLOOKUP(V$15,Data_5!$F$10:$BG$42,$A57+2,FALSE)="C","C",IF(HLOOKUP(V$15,Data_5!$F$10:$BG$42,$A57+2,FALSE)="NO","NO",HLOOKUP(V$15,Data_5!$F$10:$BG$42,$A57+2,FALSE)/Data_5!$BH52))))),"")</f>
        <v/>
      </c>
      <c r="W57" s="1122" t="str">
        <f>IFERROR(IF(HLOOKUP(W$15,Data_5!$F$10:$BG$42,$A57+2,FALSE)="NO","NO",IF(HLOOKUP(W$15,Data_5!$F$10:$BG$42,$A57+2,FALSE)="IE","IE",IF(HLOOKUP(W$15,Data_5!$F$10:$BG$42,$A57+2,FALSE)="NE","NE",IF(HLOOKUP(W$15,Data_5!$F$10:$BG$42,$A57+2,FALSE)="C","C",IF(HLOOKUP(W$15,Data_5!$F$10:$BG$42,$A57+2,FALSE)="NO","NO",HLOOKUP(W$15,Data_5!$F$10:$BG$42,$A57+2,FALSE)/Data_5!$BH52))))),"")</f>
        <v/>
      </c>
      <c r="X57" s="1122" t="str">
        <f>IFERROR(IF(HLOOKUP(X$15,Data_5!$F$10:$BG$42,$A57+2,FALSE)="NO","NO",IF(HLOOKUP(X$15,Data_5!$F$10:$BG$42,$A57+2,FALSE)="IE","IE",IF(HLOOKUP(X$15,Data_5!$F$10:$BG$42,$A57+2,FALSE)="NE","NE",IF(HLOOKUP(X$15,Data_5!$F$10:$BG$42,$A57+2,FALSE)="C","C",IF(HLOOKUP(X$15,Data_5!$F$10:$BG$42,$A57+2,FALSE)="NO","NO",HLOOKUP(X$15,Data_5!$F$10:$BG$42,$A57+2,FALSE)/Data_5!$BH52))))),"")</f>
        <v/>
      </c>
      <c r="Y57" s="1122" t="str">
        <f>IFERROR(IF(HLOOKUP(Y$15,Data_5!$F$10:$BG$42,$A57+2,FALSE)="NO","NO",IF(HLOOKUP(Y$15,Data_5!$F$10:$BG$42,$A57+2,FALSE)="IE","IE",IF(HLOOKUP(Y$15,Data_5!$F$10:$BG$42,$A57+2,FALSE)="NE","NE",IF(HLOOKUP(Y$15,Data_5!$F$10:$BG$42,$A57+2,FALSE)="C","C",IF(HLOOKUP(Y$15,Data_5!$F$10:$BG$42,$A57+2,FALSE)="NO","NO",HLOOKUP(Y$15,Data_5!$F$10:$BG$42,$A57+2,FALSE)/Data_5!$BH52))))),"")</f>
        <v/>
      </c>
      <c r="Z57" s="1122" t="str">
        <f>IFERROR(IF(HLOOKUP(Z$15,Data_5!$F$10:$BG$42,$A57+2,FALSE)="NO","NO",IF(HLOOKUP(Z$15,Data_5!$F$10:$BG$42,$A57+2,FALSE)="IE","IE",IF(HLOOKUP(Z$15,Data_5!$F$10:$BG$42,$A57+2,FALSE)="NE","NE",IF(HLOOKUP(Z$15,Data_5!$F$10:$BG$42,$A57+2,FALSE)="C","C",IF(HLOOKUP(Z$15,Data_5!$F$10:$BG$42,$A57+2,FALSE)="NO","NO",HLOOKUP(Z$15,Data_5!$F$10:$BG$42,$A57+2,FALSE)/Data_5!$BH52))))),"")</f>
        <v/>
      </c>
      <c r="AA57" s="1122" t="str">
        <f>IFERROR(IF(HLOOKUP(AA$15,Data_5!$F$10:$BG$42,$A57+2,FALSE)="NO","NO",IF(HLOOKUP(AA$15,Data_5!$F$10:$BG$42,$A57+2,FALSE)="IE","IE",IF(HLOOKUP(AA$15,Data_5!$F$10:$BG$42,$A57+2,FALSE)="NE","NE",IF(HLOOKUP(AA$15,Data_5!$F$10:$BG$42,$A57+2,FALSE)="C","C",IF(HLOOKUP(AA$15,Data_5!$F$10:$BG$42,$A57+2,FALSE)="NO","NO",HLOOKUP(AA$15,Data_5!$F$10:$BG$42,$A57+2,FALSE)/Data_5!$BH52))))),"")</f>
        <v/>
      </c>
      <c r="AB57" s="1122" t="str">
        <f>IFERROR(IF(HLOOKUP(AB$15,Data_5!$F$10:$BG$42,$A57+2,FALSE)="NO","NO",IF(HLOOKUP(AB$15,Data_5!$F$10:$BG$42,$A57+2,FALSE)="IE","IE",IF(HLOOKUP(AB$15,Data_5!$F$10:$BG$42,$A57+2,FALSE)="NE","NE",IF(HLOOKUP(AB$15,Data_5!$F$10:$BG$42,$A57+2,FALSE)="C","C",IF(HLOOKUP(AB$15,Data_5!$F$10:$BG$42,$A57+2,FALSE)="NO","NO",HLOOKUP(AB$15,Data_5!$F$10:$BG$42,$A57+2,FALSE)/Data_5!$BH52))))),"")</f>
        <v/>
      </c>
      <c r="AC57" s="1122" t="str">
        <f>IFERROR(IF(HLOOKUP(AC$15,Data_5!$F$10:$BG$42,$A57+2,FALSE)="NO","NO",IF(HLOOKUP(AC$15,Data_5!$F$10:$BG$42,$A57+2,FALSE)="IE","IE",IF(HLOOKUP(AC$15,Data_5!$F$10:$BG$42,$A57+2,FALSE)="NE","NE",IF(HLOOKUP(AC$15,Data_5!$F$10:$BG$42,$A57+2,FALSE)="C","C",IF(HLOOKUP(AC$15,Data_5!$F$10:$BG$42,$A57+2,FALSE)="NO","NO",HLOOKUP(AC$15,Data_5!$F$10:$BG$42,$A57+2,FALSE)/Data_5!$BH52))))),"")</f>
        <v/>
      </c>
      <c r="AD57" s="1122" t="str">
        <f>IFERROR(IF(HLOOKUP(AD$15,Data_5!$F$10:$BG$42,$A57+2,FALSE)="NO","NO",IF(HLOOKUP(AD$15,Data_5!$F$10:$BG$42,$A57+2,FALSE)="IE","IE",IF(HLOOKUP(AD$15,Data_5!$F$10:$BG$42,$A57+2,FALSE)="NE","NE",IF(HLOOKUP(AD$15,Data_5!$F$10:$BG$42,$A57+2,FALSE)="C","C",IF(HLOOKUP(AD$15,Data_5!$F$10:$BG$42,$A57+2,FALSE)="NO","NO",HLOOKUP(AD$15,Data_5!$F$10:$BG$42,$A57+2,FALSE)/Data_5!$BH52))))),"")</f>
        <v/>
      </c>
      <c r="AE57" s="1122" t="str">
        <f>IFERROR(IF(HLOOKUP(AE$15,Data_5!$F$10:$BG$42,$A57+2,FALSE)="NO","NO",IF(HLOOKUP(AE$15,Data_5!$F$10:$BG$42,$A57+2,FALSE)="IE","IE",IF(HLOOKUP(AE$15,Data_5!$F$10:$BG$42,$A57+2,FALSE)="NE","NE",IF(HLOOKUP(AE$15,Data_5!$F$10:$BG$42,$A57+2,FALSE)="C","C",IF(HLOOKUP(AE$15,Data_5!$F$10:$BG$42,$A57+2,FALSE)="NO","NO",HLOOKUP(AE$15,Data_5!$F$10:$BG$42,$A57+2,FALSE)/Data_5!$BH52))))),"")</f>
        <v/>
      </c>
      <c r="AF57" s="1122" t="str">
        <f>IFERROR(IF(HLOOKUP(AF$15,Data_5!$F$10:$BG$42,$A57+2,FALSE)="NO","NO",IF(HLOOKUP(AF$15,Data_5!$F$10:$BG$42,$A57+2,FALSE)="IE","IE",IF(HLOOKUP(AF$15,Data_5!$F$10:$BG$42,$A57+2,FALSE)="NE","NE",IF(HLOOKUP(AF$15,Data_5!$F$10:$BG$42,$A57+2,FALSE)="C","C",IF(HLOOKUP(AF$15,Data_5!$F$10:$BG$42,$A57+2,FALSE)="NO","NO",HLOOKUP(AF$15,Data_5!$F$10:$BG$42,$A57+2,FALSE)/Data_5!$BH52))))),"")</f>
        <v/>
      </c>
      <c r="AG57" s="1122" t="str">
        <f>IFERROR(IF(HLOOKUP(AG$15,Data_5!$F$10:$BG$42,$A57+2,FALSE)="NO","NO",IF(HLOOKUP(AG$15,Data_5!$F$10:$BG$42,$A57+2,FALSE)="IE","IE",IF(HLOOKUP(AG$15,Data_5!$F$10:$BG$42,$A57+2,FALSE)="NE","NE",IF(HLOOKUP(AG$15,Data_5!$F$10:$BG$42,$A57+2,FALSE)="C","C",IF(HLOOKUP(AG$15,Data_5!$F$10:$BG$42,$A57+2,FALSE)="NO","NO",HLOOKUP(AG$15,Data_5!$F$10:$BG$42,$A57+2,FALSE)/Data_5!$BH52))))),"")</f>
        <v/>
      </c>
      <c r="AH57" s="1122" t="str">
        <f>IFERROR(IF(HLOOKUP(AH$15,Data_5!$F$10:$BG$42,$A57+2,FALSE)="NO","NO",IF(HLOOKUP(AH$15,Data_5!$F$10:$BG$42,$A57+2,FALSE)="IE","IE",IF(HLOOKUP(AH$15,Data_5!$F$10:$BG$42,$A57+2,FALSE)="NE","NE",IF(HLOOKUP(AH$15,Data_5!$F$10:$BG$42,$A57+2,FALSE)="C","C",IF(HLOOKUP(AH$15,Data_5!$F$10:$BG$42,$A57+2,FALSE)="NO","NO",HLOOKUP(AH$15,Data_5!$F$10:$BG$42,$A57+2,FALSE)/Data_5!$BH52))))),"")</f>
        <v/>
      </c>
      <c r="AI57" s="1122" t="str">
        <f>IFERROR(IF(HLOOKUP(AI$15,Data_5!$F$10:$BG$42,$A57+2,FALSE)="NO","NO",IF(HLOOKUP(AI$15,Data_5!$F$10:$BG$42,$A57+2,FALSE)="IE","IE",IF(HLOOKUP(AI$15,Data_5!$F$10:$BG$42,$A57+2,FALSE)="NE","NE",IF(HLOOKUP(AI$15,Data_5!$F$10:$BG$42,$A57+2,FALSE)="C","C",IF(HLOOKUP(AI$15,Data_5!$F$10:$BG$42,$A57+2,FALSE)="NO","NO",HLOOKUP(AI$15,Data_5!$F$10:$BG$42,$A57+2,FALSE)/Data_5!$BH52))))),"")</f>
        <v/>
      </c>
      <c r="AJ57" s="1122" t="str">
        <f>IFERROR(IF(HLOOKUP(AJ$15,Data_5!$F$10:$BG$42,$A57+2,FALSE)="NO","NO",IF(HLOOKUP(AJ$15,Data_5!$F$10:$BG$42,$A57+2,FALSE)="IE","IE",IF(HLOOKUP(AJ$15,Data_5!$F$10:$BG$42,$A57+2,FALSE)="NE","NE",IF(HLOOKUP(AJ$15,Data_5!$F$10:$BG$42,$A57+2,FALSE)="C","C",IF(HLOOKUP(AJ$15,Data_5!$F$10:$BG$42,$A57+2,FALSE)="NO","NO",HLOOKUP(AJ$15,Data_5!$F$10:$BG$42,$A57+2,FALSE)/Data_5!$BH52))))),"")</f>
        <v/>
      </c>
      <c r="AL57" s="2628" t="str">
        <f t="shared" ca="1" si="0"/>
        <v/>
      </c>
      <c r="AM57" s="2629"/>
      <c r="AN57" s="1100" t="str">
        <f t="shared" ca="1" si="1"/>
        <v/>
      </c>
      <c r="AO57" s="1122" t="str">
        <f>IFERROR(IF(HLOOKUP(AO$15,Data_5!$F$10:$BG$42,$A57+2,FALSE)="NO","NO",IF(HLOOKUP(AO$15,Data_5!$F$10:$BG$42,$A57+2,FALSE)="IE","IE",IF(HLOOKUP(AO$15,Data_5!$F$10:$BG$42,$A57+2,FALSE)="NE","NE",IF(HLOOKUP(AO$15,Data_5!$F$10:$BG$42,$A57+2,FALSE)="C","C",IF(HLOOKUP(AO$15,Data_5!$F$10:$BG$42,$A57+2,FALSE)="NO","NO",HLOOKUP(AO$15,Data_5!$F$10:$BG$42,$A57+2,FALSE)/Data_5!$BI52))))),"")</f>
        <v/>
      </c>
      <c r="AP57" s="1122" t="str">
        <f>IFERROR(IF(HLOOKUP(AP$15,Data_5!$F$10:$BG$42,$A57+2,FALSE)="NO","NO",IF(HLOOKUP(AP$15,Data_5!$F$10:$BG$42,$A57+2,FALSE)="IE","IE",IF(HLOOKUP(AP$15,Data_5!$F$10:$BG$42,$A57+2,FALSE)="NE","NE",IF(HLOOKUP(AP$15,Data_5!$F$10:$BG$42,$A57+2,FALSE)="C","C",IF(HLOOKUP(AP$15,Data_5!$F$10:$BG$42,$A57+2,FALSE)="NO","NO",HLOOKUP(AP$15,Data_5!$F$10:$BG$42,$A57+2,FALSE)/Data_5!$BI52))))),"")</f>
        <v/>
      </c>
      <c r="AQ57" s="1122" t="str">
        <f>IFERROR(IF(HLOOKUP(AQ$15,Data_5!$F$10:$BG$42,$A57+2,FALSE)="NO","NO",IF(HLOOKUP(AQ$15,Data_5!$F$10:$BG$42,$A57+2,FALSE)="IE","IE",IF(HLOOKUP(AQ$15,Data_5!$F$10:$BG$42,$A57+2,FALSE)="NE","NE",IF(HLOOKUP(AQ$15,Data_5!$F$10:$BG$42,$A57+2,FALSE)="C","C",IF(HLOOKUP(AQ$15,Data_5!$F$10:$BG$42,$A57+2,FALSE)="NO","NO",HLOOKUP(AQ$15,Data_5!$F$10:$BG$42,$A57+2,FALSE)/Data_5!$BI52))))),"")</f>
        <v/>
      </c>
      <c r="AR57" s="1122" t="str">
        <f>IFERROR(IF(HLOOKUP(AR$15,Data_5!$F$10:$BG$42,$A57+2,FALSE)="NO","NO",IF(HLOOKUP(AR$15,Data_5!$F$10:$BG$42,$A57+2,FALSE)="IE","IE",IF(HLOOKUP(AR$15,Data_5!$F$10:$BG$42,$A57+2,FALSE)="NE","NE",IF(HLOOKUP(AR$15,Data_5!$F$10:$BG$42,$A57+2,FALSE)="C","C",IF(HLOOKUP(AR$15,Data_5!$F$10:$BG$42,$A57+2,FALSE)="NO","NO",HLOOKUP(AR$15,Data_5!$F$10:$BG$42,$A57+2,FALSE)/Data_5!$BI52))))),"")</f>
        <v/>
      </c>
      <c r="AS57" s="1122" t="str">
        <f>IFERROR(IF(HLOOKUP(AS$15,Data_5!$F$10:$BG$42,$A57+2,FALSE)="NO","NO",IF(HLOOKUP(AS$15,Data_5!$F$10:$BG$42,$A57+2,FALSE)="IE","IE",IF(HLOOKUP(AS$15,Data_5!$F$10:$BG$42,$A57+2,FALSE)="NE","NE",IF(HLOOKUP(AS$15,Data_5!$F$10:$BG$42,$A57+2,FALSE)="C","C",IF(HLOOKUP(AS$15,Data_5!$F$10:$BG$42,$A57+2,FALSE)="NO","NO",HLOOKUP(AS$15,Data_5!$F$10:$BG$42,$A57+2,FALSE)/Data_5!$BI52))))),"")</f>
        <v/>
      </c>
      <c r="AT57" s="1122" t="str">
        <f>IFERROR(IF(HLOOKUP(AT$15,Data_5!$F$10:$BG$42,$A57+2,FALSE)="NO","NO",IF(HLOOKUP(AT$15,Data_5!$F$10:$BG$42,$A57+2,FALSE)="IE","IE",IF(HLOOKUP(AT$15,Data_5!$F$10:$BG$42,$A57+2,FALSE)="NE","NE",IF(HLOOKUP(AT$15,Data_5!$F$10:$BG$42,$A57+2,FALSE)="C","C",IF(HLOOKUP(AT$15,Data_5!$F$10:$BG$42,$A57+2,FALSE)="NO","NO",HLOOKUP(AT$15,Data_5!$F$10:$BG$42,$A57+2,FALSE)/Data_5!$BI52))))),"")</f>
        <v/>
      </c>
      <c r="AU57" s="1122" t="str">
        <f>IFERROR(IF(HLOOKUP(AU$15,Data_5!$F$10:$BG$42,$A57+2,FALSE)="NO","NO",IF(HLOOKUP(AU$15,Data_5!$F$10:$BG$42,$A57+2,FALSE)="IE","IE",IF(HLOOKUP(AU$15,Data_5!$F$10:$BG$42,$A57+2,FALSE)="NE","NE",IF(HLOOKUP(AU$15,Data_5!$F$10:$BG$42,$A57+2,FALSE)="C","C",IF(HLOOKUP(AU$15,Data_5!$F$10:$BG$42,$A57+2,FALSE)="NO","NO",HLOOKUP(AU$15,Data_5!$F$10:$BG$42,$A57+2,FALSE)/Data_5!$BI52))))),"")</f>
        <v/>
      </c>
      <c r="AV57" s="1122" t="str">
        <f>IFERROR(IF(HLOOKUP(AV$15,Data_5!$F$10:$BG$42,$A57+2,FALSE)="NO","NO",IF(HLOOKUP(AV$15,Data_5!$F$10:$BG$42,$A57+2,FALSE)="IE","IE",IF(HLOOKUP(AV$15,Data_5!$F$10:$BG$42,$A57+2,FALSE)="NE","NE",IF(HLOOKUP(AV$15,Data_5!$F$10:$BG$42,$A57+2,FALSE)="C","C",IF(HLOOKUP(AV$15,Data_5!$F$10:$BG$42,$A57+2,FALSE)="NO","NO",HLOOKUP(AV$15,Data_5!$F$10:$BG$42,$A57+2,FALSE)/Data_5!$BI52))))),"")</f>
        <v/>
      </c>
      <c r="AW57" s="1122" t="str">
        <f>IFERROR(IF(HLOOKUP(AW$15,Data_5!$F$10:$BG$42,$A57+2,FALSE)="NO","NO",IF(HLOOKUP(AW$15,Data_5!$F$10:$BG$42,$A57+2,FALSE)="IE","IE",IF(HLOOKUP(AW$15,Data_5!$F$10:$BG$42,$A57+2,FALSE)="NE","NE",IF(HLOOKUP(AW$15,Data_5!$F$10:$BG$42,$A57+2,FALSE)="C","C",IF(HLOOKUP(AW$15,Data_5!$F$10:$BG$42,$A57+2,FALSE)="NO","NO",HLOOKUP(AW$15,Data_5!$F$10:$BG$42,$A57+2,FALSE)/Data_5!$BI52))))),"")</f>
        <v/>
      </c>
      <c r="AX57" s="1122" t="str">
        <f>IFERROR(IF(HLOOKUP(AX$15,Data_5!$F$10:$BG$42,$A57+2,FALSE)="NO","NO",IF(HLOOKUP(AX$15,Data_5!$F$10:$BG$42,$A57+2,FALSE)="IE","IE",IF(HLOOKUP(AX$15,Data_5!$F$10:$BG$42,$A57+2,FALSE)="NE","NE",IF(HLOOKUP(AX$15,Data_5!$F$10:$BG$42,$A57+2,FALSE)="C","C",IF(HLOOKUP(AX$15,Data_5!$F$10:$BG$42,$A57+2,FALSE)="NO","NO",HLOOKUP(AX$15,Data_5!$F$10:$BG$42,$A57+2,FALSE)/Data_5!$BI52))))),"")</f>
        <v/>
      </c>
      <c r="AY57" s="1122" t="str">
        <f>IFERROR(IF(HLOOKUP(AY$15,Data_5!$F$10:$BG$42,$A57+2,FALSE)="NO","NO",IF(HLOOKUP(AY$15,Data_5!$F$10:$BG$42,$A57+2,FALSE)="IE","IE",IF(HLOOKUP(AY$15,Data_5!$F$10:$BG$42,$A57+2,FALSE)="NE","NE",IF(HLOOKUP(AY$15,Data_5!$F$10:$BG$42,$A57+2,FALSE)="C","C",IF(HLOOKUP(AY$15,Data_5!$F$10:$BG$42,$A57+2,FALSE)="NO","NO",HLOOKUP(AY$15,Data_5!$F$10:$BG$42,$A57+2,FALSE)/Data_5!$BI52))))),"")</f>
        <v/>
      </c>
      <c r="AZ57" s="1122" t="str">
        <f>IFERROR(IF(HLOOKUP(AZ$15,Data_5!$F$10:$BG$42,$A57+2,FALSE)="NO","NO",IF(HLOOKUP(AZ$15,Data_5!$F$10:$BG$42,$A57+2,FALSE)="IE","IE",IF(HLOOKUP(AZ$15,Data_5!$F$10:$BG$42,$A57+2,FALSE)="NE","NE",IF(HLOOKUP(AZ$15,Data_5!$F$10:$BG$42,$A57+2,FALSE)="C","C",IF(HLOOKUP(AZ$15,Data_5!$F$10:$BG$42,$A57+2,FALSE)="NO","NO",HLOOKUP(AZ$15,Data_5!$F$10:$BG$42,$A57+2,FALSE)/Data_5!$BI52))))),"")</f>
        <v/>
      </c>
      <c r="BA57" s="1122" t="str">
        <f>IFERROR(IF(HLOOKUP(BA$15,Data_5!$F$10:$BG$42,$A57+2,FALSE)="NO","NO",IF(HLOOKUP(BA$15,Data_5!$F$10:$BG$42,$A57+2,FALSE)="IE","IE",IF(HLOOKUP(BA$15,Data_5!$F$10:$BG$42,$A57+2,FALSE)="NE","NE",IF(HLOOKUP(BA$15,Data_5!$F$10:$BG$42,$A57+2,FALSE)="C","C",IF(HLOOKUP(BA$15,Data_5!$F$10:$BG$42,$A57+2,FALSE)="NO","NO",HLOOKUP(BA$15,Data_5!$F$10:$BG$42,$A57+2,FALSE)/Data_5!$BI52))))),"")</f>
        <v/>
      </c>
      <c r="BB57" s="1122" t="str">
        <f>IFERROR(IF(HLOOKUP(BB$15,Data_5!$F$10:$BG$42,$A57+2,FALSE)="NO","NO",IF(HLOOKUP(BB$15,Data_5!$F$10:$BG$42,$A57+2,FALSE)="IE","IE",IF(HLOOKUP(BB$15,Data_5!$F$10:$BG$42,$A57+2,FALSE)="NE","NE",IF(HLOOKUP(BB$15,Data_5!$F$10:$BG$42,$A57+2,FALSE)="C","C",IF(HLOOKUP(BB$15,Data_5!$F$10:$BG$42,$A57+2,FALSE)="NO","NO",HLOOKUP(BB$15,Data_5!$F$10:$BG$42,$A57+2,FALSE)/Data_5!$BI52))))),"")</f>
        <v/>
      </c>
      <c r="BC57" s="1122" t="str">
        <f>IFERROR(IF(HLOOKUP(BC$15,Data_5!$F$10:$BG$42,$A57+2,FALSE)="NO","NO",IF(HLOOKUP(BC$15,Data_5!$F$10:$BG$42,$A57+2,FALSE)="IE","IE",IF(HLOOKUP(BC$15,Data_5!$F$10:$BG$42,$A57+2,FALSE)="NE","NE",IF(HLOOKUP(BC$15,Data_5!$F$10:$BG$42,$A57+2,FALSE)="C","C",IF(HLOOKUP(BC$15,Data_5!$F$10:$BG$42,$A57+2,FALSE)="NO","NO",HLOOKUP(BC$15,Data_5!$F$10:$BG$42,$A57+2,FALSE)/Data_5!$BI52))))),"")</f>
        <v/>
      </c>
      <c r="BD57" s="1122" t="str">
        <f>IFERROR(IF(HLOOKUP(BD$15,Data_5!$F$10:$BG$42,$A57+2,FALSE)="NO","NO",IF(HLOOKUP(BD$15,Data_5!$F$10:$BG$42,$A57+2,FALSE)="IE","IE",IF(HLOOKUP(BD$15,Data_5!$F$10:$BG$42,$A57+2,FALSE)="NE","NE",IF(HLOOKUP(BD$15,Data_5!$F$10:$BG$42,$A57+2,FALSE)="C","C",IF(HLOOKUP(BD$15,Data_5!$F$10:$BG$42,$A57+2,FALSE)="NO","NO",HLOOKUP(BD$15,Data_5!$F$10:$BG$42,$A57+2,FALSE)/Data_5!$BI52))))),"")</f>
        <v/>
      </c>
      <c r="BE57" s="1122" t="str">
        <f>IFERROR(IF(HLOOKUP(BE$15,Data_5!$F$10:$BG$42,$A57+2,FALSE)="NO","NO",IF(HLOOKUP(BE$15,Data_5!$F$10:$BG$42,$A57+2,FALSE)="IE","IE",IF(HLOOKUP(BE$15,Data_5!$F$10:$BG$42,$A57+2,FALSE)="NE","NE",IF(HLOOKUP(BE$15,Data_5!$F$10:$BG$42,$A57+2,FALSE)="C","C",IF(HLOOKUP(BE$15,Data_5!$F$10:$BG$42,$A57+2,FALSE)="NO","NO",HLOOKUP(BE$15,Data_5!$F$10:$BG$42,$A57+2,FALSE)/Data_5!$BI52))))),"")</f>
        <v/>
      </c>
      <c r="BF57" s="1122" t="str">
        <f>IFERROR(IF(HLOOKUP(BF$15,Data_5!$F$10:$BG$42,$A57+2,FALSE)="NO","NO",IF(HLOOKUP(BF$15,Data_5!$F$10:$BG$42,$A57+2,FALSE)="IE","IE",IF(HLOOKUP(BF$15,Data_5!$F$10:$BG$42,$A57+2,FALSE)="NE","NE",IF(HLOOKUP(BF$15,Data_5!$F$10:$BG$42,$A57+2,FALSE)="C","C",IF(HLOOKUP(BF$15,Data_5!$F$10:$BG$42,$A57+2,FALSE)="NO","NO",HLOOKUP(BF$15,Data_5!$F$10:$BG$42,$A57+2,FALSE)/Data_5!$BI52))))),"")</f>
        <v/>
      </c>
      <c r="BG57" s="1122" t="str">
        <f>IFERROR(IF(HLOOKUP(BG$15,Data_5!$F$10:$BG$42,$A57+2,FALSE)="NO","NO",IF(HLOOKUP(BG$15,Data_5!$F$10:$BG$42,$A57+2,FALSE)="IE","IE",IF(HLOOKUP(BG$15,Data_5!$F$10:$BG$42,$A57+2,FALSE)="NE","NE",IF(HLOOKUP(BG$15,Data_5!$F$10:$BG$42,$A57+2,FALSE)="C","C",IF(HLOOKUP(BG$15,Data_5!$F$10:$BG$42,$A57+2,FALSE)="NO","NO",HLOOKUP(BG$15,Data_5!$F$10:$BG$42,$A57+2,FALSE)/Data_5!$BI52))))),"")</f>
        <v/>
      </c>
      <c r="BH57" s="1122" t="str">
        <f>IFERROR(IF(HLOOKUP(BH$15,Data_5!$F$10:$BG$42,$A57+2,FALSE)="NO","NO",IF(HLOOKUP(BH$15,Data_5!$F$10:$BG$42,$A57+2,FALSE)="IE","IE",IF(HLOOKUP(BH$15,Data_5!$F$10:$BG$42,$A57+2,FALSE)="NE","NE",IF(HLOOKUP(BH$15,Data_5!$F$10:$BG$42,$A57+2,FALSE)="C","C",IF(HLOOKUP(BH$15,Data_5!$F$10:$BG$42,$A57+2,FALSE)="NO","NO",HLOOKUP(BH$15,Data_5!$F$10:$BG$42,$A57+2,FALSE)/Data_5!$BI52))))),"")</f>
        <v/>
      </c>
      <c r="BI57" s="1122" t="str">
        <f>IFERROR(IF(HLOOKUP(BI$15,Data_5!$F$10:$BG$42,$A57+2,FALSE)="NO","NO",IF(HLOOKUP(BI$15,Data_5!$F$10:$BG$42,$A57+2,FALSE)="IE","IE",IF(HLOOKUP(BI$15,Data_5!$F$10:$BG$42,$A57+2,FALSE)="NE","NE",IF(HLOOKUP(BI$15,Data_5!$F$10:$BG$42,$A57+2,FALSE)="C","C",IF(HLOOKUP(BI$15,Data_5!$F$10:$BG$42,$A57+2,FALSE)="NO","NO",HLOOKUP(BI$15,Data_5!$F$10:$BG$42,$A57+2,FALSE)/Data_5!$BI52))))),"")</f>
        <v/>
      </c>
      <c r="BJ57" s="1122" t="str">
        <f>IFERROR(IF(HLOOKUP(BJ$15,Data_5!$F$10:$BG$42,$A57+2,FALSE)="NO","NO",IF(HLOOKUP(BJ$15,Data_5!$F$10:$BG$42,$A57+2,FALSE)="IE","IE",IF(HLOOKUP(BJ$15,Data_5!$F$10:$BG$42,$A57+2,FALSE)="NE","NE",IF(HLOOKUP(BJ$15,Data_5!$F$10:$BG$42,$A57+2,FALSE)="C","C",IF(HLOOKUP(BJ$15,Data_5!$F$10:$BG$42,$A57+2,FALSE)="NO","NO",HLOOKUP(BJ$15,Data_5!$F$10:$BG$42,$A57+2,FALSE)/Data_5!$BI52))))),"")</f>
        <v/>
      </c>
      <c r="BK57" s="1122" t="str">
        <f>IFERROR(IF(HLOOKUP(BK$15,Data_5!$F$10:$BG$42,$A57+2,FALSE)="NO","NO",IF(HLOOKUP(BK$15,Data_5!$F$10:$BG$42,$A57+2,FALSE)="IE","IE",IF(HLOOKUP(BK$15,Data_5!$F$10:$BG$42,$A57+2,FALSE)="NE","NE",IF(HLOOKUP(BK$15,Data_5!$F$10:$BG$42,$A57+2,FALSE)="C","C",IF(HLOOKUP(BK$15,Data_5!$F$10:$BG$42,$A57+2,FALSE)="NO","NO",HLOOKUP(BK$15,Data_5!$F$10:$BG$42,$A57+2,FALSE)/Data_5!$BI52))))),"")</f>
        <v/>
      </c>
      <c r="BL57" s="1122" t="str">
        <f>IFERROR(IF(HLOOKUP(BL$15,Data_5!$F$10:$BG$42,$A57+2,FALSE)="NO","NO",IF(HLOOKUP(BL$15,Data_5!$F$10:$BG$42,$A57+2,FALSE)="IE","IE",IF(HLOOKUP(BL$15,Data_5!$F$10:$BG$42,$A57+2,FALSE)="NE","NE",IF(HLOOKUP(BL$15,Data_5!$F$10:$BG$42,$A57+2,FALSE)="C","C",IF(HLOOKUP(BL$15,Data_5!$F$10:$BG$42,$A57+2,FALSE)="NO","NO",HLOOKUP(BL$15,Data_5!$F$10:$BG$42,$A57+2,FALSE)/Data_5!$BI52))))),"")</f>
        <v/>
      </c>
      <c r="BM57" s="1122" t="str">
        <f>IFERROR(IF(HLOOKUP(BM$15,Data_5!$F$10:$BG$42,$A57+2,FALSE)="NO","NO",IF(HLOOKUP(BM$15,Data_5!$F$10:$BG$42,$A57+2,FALSE)="IE","IE",IF(HLOOKUP(BM$15,Data_5!$F$10:$BG$42,$A57+2,FALSE)="NE","NE",IF(HLOOKUP(BM$15,Data_5!$F$10:$BG$42,$A57+2,FALSE)="C","C",IF(HLOOKUP(BM$15,Data_5!$F$10:$BG$42,$A57+2,FALSE)="NO","NO",HLOOKUP(BM$15,Data_5!$F$10:$BG$42,$A57+2,FALSE)/Data_5!$BI52))))),"")</f>
        <v/>
      </c>
      <c r="BN57" s="1122" t="str">
        <f>IFERROR(IF(HLOOKUP(BN$15,Data_5!$F$10:$BG$42,$A57+2,FALSE)="NO","NO",IF(HLOOKUP(BN$15,Data_5!$F$10:$BG$42,$A57+2,FALSE)="IE","IE",IF(HLOOKUP(BN$15,Data_5!$F$10:$BG$42,$A57+2,FALSE)="NE","NE",IF(HLOOKUP(BN$15,Data_5!$F$10:$BG$42,$A57+2,FALSE)="C","C",IF(HLOOKUP(BN$15,Data_5!$F$10:$BG$42,$A57+2,FALSE)="NO","NO",HLOOKUP(BN$15,Data_5!$F$10:$BG$42,$A57+2,FALSE)/Data_5!$BI52))))),"")</f>
        <v/>
      </c>
      <c r="BO57" s="1122" t="str">
        <f>IFERROR(IF(HLOOKUP(BO$15,Data_5!$F$10:$BG$42,$A57+2,FALSE)="NO","NO",IF(HLOOKUP(BO$15,Data_5!$F$10:$BG$42,$A57+2,FALSE)="IE","IE",IF(HLOOKUP(BO$15,Data_5!$F$10:$BG$42,$A57+2,FALSE)="NE","NE",IF(HLOOKUP(BO$15,Data_5!$F$10:$BG$42,$A57+2,FALSE)="C","C",IF(HLOOKUP(BO$15,Data_5!$F$10:$BG$42,$A57+2,FALSE)="NO","NO",HLOOKUP(BO$15,Data_5!$F$10:$BG$42,$A57+2,FALSE)/Data_5!$BI52))))),"")</f>
        <v/>
      </c>
      <c r="BP57" s="1122" t="str">
        <f>IFERROR(IF(HLOOKUP(BP$15,Data_5!$F$10:$BG$42,$A57+2,FALSE)="NO","NO",IF(HLOOKUP(BP$15,Data_5!$F$10:$BG$42,$A57+2,FALSE)="IE","IE",IF(HLOOKUP(BP$15,Data_5!$F$10:$BG$42,$A57+2,FALSE)="NE","NE",IF(HLOOKUP(BP$15,Data_5!$F$10:$BG$42,$A57+2,FALSE)="C","C",IF(HLOOKUP(BP$15,Data_5!$F$10:$BG$42,$A57+2,FALSE)="NO","NO",HLOOKUP(BP$15,Data_5!$F$10:$BG$42,$A57+2,FALSE)/Data_5!$BI52))))),"")</f>
        <v/>
      </c>
      <c r="BQ57" s="1122" t="str">
        <f>IFERROR(IF(HLOOKUP(BQ$15,Data_5!$F$10:$BG$42,$A57+2,FALSE)="NO","NO",IF(HLOOKUP(BQ$15,Data_5!$F$10:$BG$42,$A57+2,FALSE)="IE","IE",IF(HLOOKUP(BQ$15,Data_5!$F$10:$BG$42,$A57+2,FALSE)="NE","NE",IF(HLOOKUP(BQ$15,Data_5!$F$10:$BG$42,$A57+2,FALSE)="C","C",IF(HLOOKUP(BQ$15,Data_5!$F$10:$BG$42,$A57+2,FALSE)="NO","NO",HLOOKUP(BQ$15,Data_5!$F$10:$BG$42,$A57+2,FALSE)/Data_5!$BI52))))),"")</f>
        <v/>
      </c>
      <c r="BR57" s="1122" t="str">
        <f>IFERROR(IF(HLOOKUP(BR$15,Data_5!$F$10:$BG$42,$A57+2,FALSE)="NO","NO",IF(HLOOKUP(BR$15,Data_5!$F$10:$BG$42,$A57+2,FALSE)="IE","IE",IF(HLOOKUP(BR$15,Data_5!$F$10:$BG$42,$A57+2,FALSE)="NE","NE",IF(HLOOKUP(BR$15,Data_5!$F$10:$BG$42,$A57+2,FALSE)="C","C",IF(HLOOKUP(BR$15,Data_5!$F$10:$BG$42,$A57+2,FALSE)="NO","NO",HLOOKUP(BR$15,Data_5!$F$10:$BG$42,$A57+2,FALSE)/Data_5!$BI52))))),"")</f>
        <v/>
      </c>
      <c r="BS57" s="1122" t="str">
        <f>IFERROR(IF(HLOOKUP(BS$15,Data_5!$F$10:$BG$42,$A57+2,FALSE)="NO","NO",IF(HLOOKUP(BS$15,Data_5!$F$10:$BG$42,$A57+2,FALSE)="IE","IE",IF(HLOOKUP(BS$15,Data_5!$F$10:$BG$42,$A57+2,FALSE)="NE","NE",IF(HLOOKUP(BS$15,Data_5!$F$10:$BG$42,$A57+2,FALSE)="C","C",IF(HLOOKUP(BS$15,Data_5!$F$10:$BG$42,$A57+2,FALSE)="NO","NO",HLOOKUP(BS$15,Data_5!$F$10:$BG$42,$A57+2,FALSE)/Data_5!$BI52))))),"")</f>
        <v/>
      </c>
      <c r="BT57" s="1122" t="str">
        <f>IFERROR(IF(HLOOKUP(BT$15,Data_5!$F$10:$BG$42,$A57+2,FALSE)="NO","NO",IF(HLOOKUP(BT$15,Data_5!$F$10:$BG$42,$A57+2,FALSE)="IE","IE",IF(HLOOKUP(BT$15,Data_5!$F$10:$BG$42,$A57+2,FALSE)="NE","NE",IF(HLOOKUP(BT$15,Data_5!$F$10:$BG$42,$A57+2,FALSE)="C","C",IF(HLOOKUP(BT$15,Data_5!$F$10:$BG$42,$A57+2,FALSE)="NO","NO",HLOOKUP(BT$15,Data_5!$F$10:$BG$42,$A57+2,FALSE)/Data_5!$BI52))))),"")</f>
        <v/>
      </c>
      <c r="BU57" s="1122" t="str">
        <f>IFERROR(IF(HLOOKUP(BU$15,Data_5!$F$10:$BG$42,$A57+2,FALSE)="NO","NO",IF(HLOOKUP(BU$15,Data_5!$F$10:$BG$42,$A57+2,FALSE)="IE","IE",IF(HLOOKUP(BU$15,Data_5!$F$10:$BG$42,$A57+2,FALSE)="NE","NE",IF(HLOOKUP(BU$15,Data_5!$F$10:$BG$42,$A57+2,FALSE)="C","C",IF(HLOOKUP(BU$15,Data_5!$F$10:$BG$42,$A57+2,FALSE)="NO","NO",HLOOKUP(BU$15,Data_5!$F$10:$BG$42,$A57+2,FALSE)/Data_5!$BI52))))),"")</f>
        <v/>
      </c>
      <c r="BV57" s="1122" t="str">
        <f>IFERROR(IF(HLOOKUP(BV$15,Data_5!$F$10:$BG$42,$A57+2,FALSE)="NO","NO",IF(HLOOKUP(BV$15,Data_5!$F$10:$BG$42,$A57+2,FALSE)="IE","IE",IF(HLOOKUP(BV$15,Data_5!$F$10:$BG$42,$A57+2,FALSE)="NE","NE",IF(HLOOKUP(BV$15,Data_5!$F$10:$BG$42,$A57+2,FALSE)="C","C",IF(HLOOKUP(BV$15,Data_5!$F$10:$BG$42,$A57+2,FALSE)="NO","NO",HLOOKUP(BV$15,Data_5!$F$10:$BG$42,$A57+2,FALSE)/Data_5!$BI52))))),"")</f>
        <v/>
      </c>
      <c r="BW57" s="1122" t="str">
        <f>IFERROR(IF(HLOOKUP(BW$15,Data_5!$F$10:$BG$42,$A57+2,FALSE)="NO","NO",IF(HLOOKUP(BW$15,Data_5!$F$10:$BG$42,$A57+2,FALSE)="IE","IE",IF(HLOOKUP(BW$15,Data_5!$F$10:$BG$42,$A57+2,FALSE)="NE","NE",IF(HLOOKUP(BW$15,Data_5!$F$10:$BG$42,$A57+2,FALSE)="C","C",IF(HLOOKUP(BW$15,Data_5!$F$10:$BG$42,$A57+2,FALSE)="NO","NO",HLOOKUP(BW$15,Data_5!$F$10:$BG$42,$A57+2,FALSE)/Data_5!$BI52))))),"")</f>
        <v/>
      </c>
      <c r="BX57" s="1122" t="str">
        <f>IFERROR(IF(HLOOKUP(BX$15,Data_5!$F$10:$BG$42,$A57+2,FALSE)="NO","NO",IF(HLOOKUP(BX$15,Data_5!$F$10:$BG$42,$A57+2,FALSE)="IE","IE",IF(HLOOKUP(BX$15,Data_5!$F$10:$BG$42,$A57+2,FALSE)="NE","NE",IF(HLOOKUP(BX$15,Data_5!$F$10:$BG$42,$A57+2,FALSE)="C","C",IF(HLOOKUP(BX$15,Data_5!$F$10:$BG$42,$A57+2,FALSE)="NO","NO",HLOOKUP(BX$15,Data_5!$F$10:$BG$42,$A57+2,FALSE)/Data_5!$BI52))))),"")</f>
        <v/>
      </c>
      <c r="BY57" s="1122" t="str">
        <f>IFERROR(IF(HLOOKUP(BY$15,Data_5!$F$10:$BG$42,$A57+2,FALSE)="NO","NO",IF(HLOOKUP(BY$15,Data_5!$F$10:$BG$42,$A57+2,FALSE)="IE","IE",IF(HLOOKUP(BY$15,Data_5!$F$10:$BG$42,$A57+2,FALSE)="NE","NE",IF(HLOOKUP(BY$15,Data_5!$F$10:$BG$42,$A57+2,FALSE)="C","C",IF(HLOOKUP(BY$15,Data_5!$F$10:$BG$42,$A57+2,FALSE)="NO","NO",HLOOKUP(BY$15,Data_5!$F$10:$BG$42,$A57+2,FALSE)/Data_5!$BI52))))),"")</f>
        <v/>
      </c>
      <c r="BZ57" s="1122" t="str">
        <f>IFERROR(IF(HLOOKUP(BZ$15,Data_5!$F$10:$BG$42,$A57+2,FALSE)="NO","NO",IF(HLOOKUP(BZ$15,Data_5!$F$10:$BG$42,$A57+2,FALSE)="IE","IE",IF(HLOOKUP(BZ$15,Data_5!$F$10:$BG$42,$A57+2,FALSE)="NE","NE",IF(HLOOKUP(BZ$15,Data_5!$F$10:$BG$42,$A57+2,FALSE)="C","C",IF(HLOOKUP(BZ$15,Data_5!$F$10:$BG$42,$A57+2,FALSE)="NO","NO",HLOOKUP(BZ$15,Data_5!$F$10:$BG$42,$A57+2,FALSE)/Data_5!$BI52))))),"")</f>
        <v/>
      </c>
      <c r="CA57" s="1122" t="str">
        <f>IFERROR(IF(HLOOKUP(CA$15,Data_5!$F$10:$BG$42,$A57+2,FALSE)="NO","NO",IF(HLOOKUP(CA$15,Data_5!$F$10:$BG$42,$A57+2,FALSE)="IE","IE",IF(HLOOKUP(CA$15,Data_5!$F$10:$BG$42,$A57+2,FALSE)="NE","NE",IF(HLOOKUP(CA$15,Data_5!$F$10:$BG$42,$A57+2,FALSE)="C","C",IF(HLOOKUP(CA$15,Data_5!$F$10:$BG$42,$A57+2,FALSE)="NO","NO",HLOOKUP(CA$15,Data_5!$F$10:$BG$42,$A57+2,FALSE)/Data_5!$BI52))))),"")</f>
        <v/>
      </c>
      <c r="CB57" s="1122" t="str">
        <f>IFERROR(IF(HLOOKUP(CB$15,Data_5!$F$10:$BG$42,$A57+2,FALSE)="NO","NO",IF(HLOOKUP(CB$15,Data_5!$F$10:$BG$42,$A57+2,FALSE)="IE","IE",IF(HLOOKUP(CB$15,Data_5!$F$10:$BG$42,$A57+2,FALSE)="NE","NE",IF(HLOOKUP(CB$15,Data_5!$F$10:$BG$42,$A57+2,FALSE)="C","C",IF(HLOOKUP(CB$15,Data_5!$F$10:$BG$42,$A57+2,FALSE)="NO","NO",HLOOKUP(CB$15,Data_5!$F$10:$BG$42,$A57+2,FALSE)/Data_5!$BI52))))),"")</f>
        <v/>
      </c>
      <c r="CC57" s="1122" t="str">
        <f>IFERROR(IF(HLOOKUP(CC$15,Data_5!$F$10:$BG$42,$A57+2,FALSE)="NO","NO",IF(HLOOKUP(CC$15,Data_5!$F$10:$BG$42,$A57+2,FALSE)="IE","IE",IF(HLOOKUP(CC$15,Data_5!$F$10:$BG$42,$A57+2,FALSE)="NE","NE",IF(HLOOKUP(CC$15,Data_5!$F$10:$BG$42,$A57+2,FALSE)="C","C",IF(HLOOKUP(CC$15,Data_5!$F$10:$BG$42,$A57+2,FALSE)="NO","NO",HLOOKUP(CC$15,Data_5!$F$10:$BG$42,$A57+2,FALSE)/Data_5!$BI52))))),"")</f>
        <v/>
      </c>
      <c r="CD57" s="1122" t="str">
        <f>IFERROR(IF(HLOOKUP(CD$15,Data_5!$F$10:$BG$42,$A57+2,FALSE)="NO","NO",IF(HLOOKUP(CD$15,Data_5!$F$10:$BG$42,$A57+2,FALSE)="IE","IE",IF(HLOOKUP(CD$15,Data_5!$F$10:$BG$42,$A57+2,FALSE)="NE","NE",IF(HLOOKUP(CD$15,Data_5!$F$10:$BG$42,$A57+2,FALSE)="C","C",IF(HLOOKUP(CD$15,Data_5!$F$10:$BG$42,$A57+2,FALSE)="NO","NO",HLOOKUP(CD$15,Data_5!$F$10:$BG$42,$A57+2,FALSE)/Data_5!$BI52))))),"")</f>
        <v/>
      </c>
      <c r="CE57" s="1122" t="str">
        <f>IFERROR(IF(HLOOKUP(CE$15,Data_5!$F$10:$BG$42,$A57+2,FALSE)="NO","NO",IF(HLOOKUP(CE$15,Data_5!$F$10:$BG$42,$A57+2,FALSE)="IE","IE",IF(HLOOKUP(CE$15,Data_5!$F$10:$BG$42,$A57+2,FALSE)="NE","NE",IF(HLOOKUP(CE$15,Data_5!$F$10:$BG$42,$A57+2,FALSE)="C","C",IF(HLOOKUP(CE$15,Data_5!$F$10:$BG$42,$A57+2,FALSE)="NO","NO",HLOOKUP(CE$15,Data_5!$F$10:$BG$42,$A57+2,FALSE)/Data_5!$BI52))))),"")</f>
        <v/>
      </c>
      <c r="CF57" s="1122" t="str">
        <f>IFERROR(IF(HLOOKUP(CF$15,Data_5!$F$10:$BG$42,$A57+2,FALSE)="NO","NO",IF(HLOOKUP(CF$15,Data_5!$F$10:$BG$42,$A57+2,FALSE)="IE","IE",IF(HLOOKUP(CF$15,Data_5!$F$10:$BG$42,$A57+2,FALSE)="NE","NE",IF(HLOOKUP(CF$15,Data_5!$F$10:$BG$42,$A57+2,FALSE)="C","C",IF(HLOOKUP(CF$15,Data_5!$F$10:$BG$42,$A57+2,FALSE)="NO","NO",HLOOKUP(CF$15,Data_5!$F$10:$BG$42,$A57+2,FALSE)/Data_5!$BI52))))),"")</f>
        <v/>
      </c>
      <c r="CG57" s="1122" t="str">
        <f>IFERROR(IF(HLOOKUP(CG$15,Data_5!$F$10:$BG$42,$A57+2,FALSE)="NO","NO",IF(HLOOKUP(CG$15,Data_5!$F$10:$BG$42,$A57+2,FALSE)="IE","IE",IF(HLOOKUP(CG$15,Data_5!$F$10:$BG$42,$A57+2,FALSE)="NE","NE",IF(HLOOKUP(CG$15,Data_5!$F$10:$BG$42,$A57+2,FALSE)="C","C",IF(HLOOKUP(CG$15,Data_5!$F$10:$BG$42,$A57+2,FALSE)="NO","NO",HLOOKUP(CG$15,Data_5!$F$10:$BG$42,$A57+2,FALSE)/Data_5!$BI52))))),"")</f>
        <v/>
      </c>
      <c r="CH57" s="1122" t="str">
        <f>IFERROR(IF(HLOOKUP(CH$15,Data_5!$F$10:$BG$42,$A57+2,FALSE)="NO","NO",IF(HLOOKUP(CH$15,Data_5!$F$10:$BG$42,$A57+2,FALSE)="IE","IE",IF(HLOOKUP(CH$15,Data_5!$F$10:$BG$42,$A57+2,FALSE)="NE","NE",IF(HLOOKUP(CH$15,Data_5!$F$10:$BG$42,$A57+2,FALSE)="C","C",IF(HLOOKUP(CH$15,Data_5!$F$10:$BG$42,$A57+2,FALSE)="NO","NO",HLOOKUP(CH$15,Data_5!$F$10:$BG$42,$A57+2,FALSE)/Data_5!$BI52))))),"")</f>
        <v/>
      </c>
      <c r="CI57" s="1122" t="str">
        <f>IFERROR(IF(HLOOKUP(CI$15,Data_5!$F$10:$BG$42,$A57+2,FALSE)="NO","NO",IF(HLOOKUP(CI$15,Data_5!$F$10:$BG$42,$A57+2,FALSE)="IE","IE",IF(HLOOKUP(CI$15,Data_5!$F$10:$BG$42,$A57+2,FALSE)="NE","NE",IF(HLOOKUP(CI$15,Data_5!$F$10:$BG$42,$A57+2,FALSE)="C","C",IF(HLOOKUP(CI$15,Data_5!$F$10:$BG$42,$A57+2,FALSE)="NO","NO",HLOOKUP(CI$15,Data_5!$F$10:$BG$42,$A57+2,FALSE)/Data_5!$BI52))))),"")</f>
        <v/>
      </c>
      <c r="CJ57" s="1122" t="str">
        <f>IFERROR(IF(HLOOKUP(CJ$15,Data_5!$F$10:$BG$42,$A57+2,FALSE)="NO","NO",IF(HLOOKUP(CJ$15,Data_5!$F$10:$BG$42,$A57+2,FALSE)="IE","IE",IF(HLOOKUP(CJ$15,Data_5!$F$10:$BG$42,$A57+2,FALSE)="NE","NE",IF(HLOOKUP(CJ$15,Data_5!$F$10:$BG$42,$A57+2,FALSE)="C","C",IF(HLOOKUP(CJ$15,Data_5!$F$10:$BG$42,$A57+2,FALSE)="NO","NO",HLOOKUP(CJ$15,Data_5!$F$10:$BG$42,$A57+2,FALSE)/Data_5!$BI52))))),"")</f>
        <v/>
      </c>
      <c r="CL57" s="2628" t="str">
        <f t="shared" ca="1" si="6"/>
        <v/>
      </c>
      <c r="CM57" s="2629"/>
      <c r="CN57" s="1100" t="str">
        <f t="shared" ca="1" si="7"/>
        <v/>
      </c>
      <c r="CO57" s="1122" t="str">
        <f>IFERROR(IF(HLOOKUP(CO$15,Data_5!$F$10:$BG$42,$A57+2,FALSE)="NO","NO",IF(HLOOKUP(CO$15,Data_5!$F$10:$BG$42,$A57+2,FALSE)="IE","IE",IF(HLOOKUP(CO$15,Data_5!$F$10:$BG$42,$A57+2,FALSE)="NE","NE",IF(HLOOKUP(CO$15,Data_5!$F$10:$BG$42,$A57+2,FALSE)="C","C",IF(HLOOKUP(CO$15,Data_5!$F$10:$BG$42,$A57+2,FALSE)="NO","NO",HLOOKUP(CO$15,Data_5!$F$10:$BG$42,$A57+2,FALSE)/Data_5!$BK52))))),"")</f>
        <v/>
      </c>
      <c r="CP57" s="1122" t="str">
        <f>IFERROR(IF(HLOOKUP(CP$15,Data_5!$F$10:$BG$42,$A57+2,FALSE)="NO","NO",IF(HLOOKUP(CP$15,Data_5!$F$10:$BG$42,$A57+2,FALSE)="IE","IE",IF(HLOOKUP(CP$15,Data_5!$F$10:$BG$42,$A57+2,FALSE)="NE","NE",IF(HLOOKUP(CP$15,Data_5!$F$10:$BG$42,$A57+2,FALSE)="C","C",IF(HLOOKUP(CP$15,Data_5!$F$10:$BG$42,$A57+2,FALSE)="NO","NO",HLOOKUP(CP$15,Data_5!$F$10:$BG$42,$A57+2,FALSE)/Data_5!$BK52))))),"")</f>
        <v/>
      </c>
      <c r="CQ57" s="1122" t="str">
        <f>IFERROR(IF(HLOOKUP(CQ$15,Data_5!$F$10:$BG$42,$A57+2,FALSE)="NO","NO",IF(HLOOKUP(CQ$15,Data_5!$F$10:$BG$42,$A57+2,FALSE)="IE","IE",IF(HLOOKUP(CQ$15,Data_5!$F$10:$BG$42,$A57+2,FALSE)="NE","NE",IF(HLOOKUP(CQ$15,Data_5!$F$10:$BG$42,$A57+2,FALSE)="C","C",IF(HLOOKUP(CQ$15,Data_5!$F$10:$BG$42,$A57+2,FALSE)="NO","NO",HLOOKUP(CQ$15,Data_5!$F$10:$BG$42,$A57+2,FALSE)/Data_5!$BK52))))),"")</f>
        <v/>
      </c>
      <c r="CR57" s="1122" t="str">
        <f>IFERROR(IF(HLOOKUP(CR$15,Data_5!$F$10:$BG$42,$A57+2,FALSE)="NO","NO",IF(HLOOKUP(CR$15,Data_5!$F$10:$BG$42,$A57+2,FALSE)="IE","IE",IF(HLOOKUP(CR$15,Data_5!$F$10:$BG$42,$A57+2,FALSE)="NE","NE",IF(HLOOKUP(CR$15,Data_5!$F$10:$BG$42,$A57+2,FALSE)="C","C",IF(HLOOKUP(CR$15,Data_5!$F$10:$BG$42,$A57+2,FALSE)="NO","NO",HLOOKUP(CR$15,Data_5!$F$10:$BG$42,$A57+2,FALSE)/Data_5!$BK52))))),"")</f>
        <v/>
      </c>
      <c r="CS57" s="1122" t="str">
        <f>IFERROR(IF(HLOOKUP(CS$15,Data_5!$F$10:$BG$42,$A57+2,FALSE)="NO","NO",IF(HLOOKUP(CS$15,Data_5!$F$10:$BG$42,$A57+2,FALSE)="IE","IE",IF(HLOOKUP(CS$15,Data_5!$F$10:$BG$42,$A57+2,FALSE)="NE","NE",IF(HLOOKUP(CS$15,Data_5!$F$10:$BG$42,$A57+2,FALSE)="C","C",IF(HLOOKUP(CS$15,Data_5!$F$10:$BG$42,$A57+2,FALSE)="NO","NO",HLOOKUP(CS$15,Data_5!$F$10:$BG$42,$A57+2,FALSE)/Data_5!$BK52))))),"")</f>
        <v/>
      </c>
      <c r="CT57" s="1122" t="str">
        <f>IFERROR(IF(HLOOKUP(CT$15,Data_5!$F$10:$BG$42,$A57+2,FALSE)="NO","NO",IF(HLOOKUP(CT$15,Data_5!$F$10:$BG$42,$A57+2,FALSE)="IE","IE",IF(HLOOKUP(CT$15,Data_5!$F$10:$BG$42,$A57+2,FALSE)="NE","NE",IF(HLOOKUP(CT$15,Data_5!$F$10:$BG$42,$A57+2,FALSE)="C","C",IF(HLOOKUP(CT$15,Data_5!$F$10:$BG$42,$A57+2,FALSE)="NO","NO",HLOOKUP(CT$15,Data_5!$F$10:$BG$42,$A57+2,FALSE)/Data_5!$BK52))))),"")</f>
        <v/>
      </c>
      <c r="CU57" s="1122" t="str">
        <f>IFERROR(IF(HLOOKUP(CU$15,Data_5!$F$10:$BG$42,$A57+2,FALSE)="NO","NO",IF(HLOOKUP(CU$15,Data_5!$F$10:$BG$42,$A57+2,FALSE)="IE","IE",IF(HLOOKUP(CU$15,Data_5!$F$10:$BG$42,$A57+2,FALSE)="NE","NE",IF(HLOOKUP(CU$15,Data_5!$F$10:$BG$42,$A57+2,FALSE)="C","C",IF(HLOOKUP(CU$15,Data_5!$F$10:$BG$42,$A57+2,FALSE)="NO","NO",HLOOKUP(CU$15,Data_5!$F$10:$BG$42,$A57+2,FALSE)/Data_5!$BK52))))),"")</f>
        <v/>
      </c>
      <c r="CV57" s="1122" t="str">
        <f>IFERROR(IF(HLOOKUP(CV$15,Data_5!$F$10:$BG$42,$A57+2,FALSE)="NO","NO",IF(HLOOKUP(CV$15,Data_5!$F$10:$BG$42,$A57+2,FALSE)="IE","IE",IF(HLOOKUP(CV$15,Data_5!$F$10:$BG$42,$A57+2,FALSE)="NE","NE",IF(HLOOKUP(CV$15,Data_5!$F$10:$BG$42,$A57+2,FALSE)="C","C",IF(HLOOKUP(CV$15,Data_5!$F$10:$BG$42,$A57+2,FALSE)="NO","NO",HLOOKUP(CV$15,Data_5!$F$10:$BG$42,$A57+2,FALSE)/Data_5!$BK52))))),"")</f>
        <v/>
      </c>
      <c r="CW57" s="1122" t="str">
        <f>IFERROR(IF(HLOOKUP(CW$15,Data_5!$F$10:$BG$42,$A57+2,FALSE)="NO","NO",IF(HLOOKUP(CW$15,Data_5!$F$10:$BG$42,$A57+2,FALSE)="IE","IE",IF(HLOOKUP(CW$15,Data_5!$F$10:$BG$42,$A57+2,FALSE)="NE","NE",IF(HLOOKUP(CW$15,Data_5!$F$10:$BG$42,$A57+2,FALSE)="C","C",IF(HLOOKUP(CW$15,Data_5!$F$10:$BG$42,$A57+2,FALSE)="NO","NO",HLOOKUP(CW$15,Data_5!$F$10:$BG$42,$A57+2,FALSE)/Data_5!$BK52))))),"")</f>
        <v/>
      </c>
      <c r="CX57" s="1122" t="str">
        <f>IFERROR(IF(HLOOKUP(CX$15,Data_5!$F$10:$BG$42,$A57+2,FALSE)="NO","NO",IF(HLOOKUP(CX$15,Data_5!$F$10:$BG$42,$A57+2,FALSE)="IE","IE",IF(HLOOKUP(CX$15,Data_5!$F$10:$BG$42,$A57+2,FALSE)="NE","NE",IF(HLOOKUP(CX$15,Data_5!$F$10:$BG$42,$A57+2,FALSE)="C","C",IF(HLOOKUP(CX$15,Data_5!$F$10:$BG$42,$A57+2,FALSE)="NO","NO",HLOOKUP(CX$15,Data_5!$F$10:$BG$42,$A57+2,FALSE)/Data_5!$BK52))))),"")</f>
        <v/>
      </c>
      <c r="CY57" s="1122" t="str">
        <f>IFERROR(IF(HLOOKUP(CY$15,Data_5!$F$10:$BG$42,$A57+2,FALSE)="NO","NO",IF(HLOOKUP(CY$15,Data_5!$F$10:$BG$42,$A57+2,FALSE)="IE","IE",IF(HLOOKUP(CY$15,Data_5!$F$10:$BG$42,$A57+2,FALSE)="NE","NE",IF(HLOOKUP(CY$15,Data_5!$F$10:$BG$42,$A57+2,FALSE)="C","C",IF(HLOOKUP(CY$15,Data_5!$F$10:$BG$42,$A57+2,FALSE)="NO","NO",HLOOKUP(CY$15,Data_5!$F$10:$BG$42,$A57+2,FALSE)/Data_5!$BK52))))),"")</f>
        <v/>
      </c>
      <c r="CZ57" s="1122" t="str">
        <f>IFERROR(IF(HLOOKUP(CZ$15,Data_5!$F$10:$BG$42,$A57+2,FALSE)="NO","NO",IF(HLOOKUP(CZ$15,Data_5!$F$10:$BG$42,$A57+2,FALSE)="IE","IE",IF(HLOOKUP(CZ$15,Data_5!$F$10:$BG$42,$A57+2,FALSE)="NE","NE",IF(HLOOKUP(CZ$15,Data_5!$F$10:$BG$42,$A57+2,FALSE)="C","C",IF(HLOOKUP(CZ$15,Data_5!$F$10:$BG$42,$A57+2,FALSE)="NO","NO",HLOOKUP(CZ$15,Data_5!$F$10:$BG$42,$A57+2,FALSE)/Data_5!$BK52))))),"")</f>
        <v/>
      </c>
      <c r="DA57" s="1122" t="str">
        <f>IFERROR(IF(HLOOKUP(DA$15,Data_5!$F$10:$BG$42,$A57+2,FALSE)="NO","NO",IF(HLOOKUP(DA$15,Data_5!$F$10:$BG$42,$A57+2,FALSE)="IE","IE",IF(HLOOKUP(DA$15,Data_5!$F$10:$BG$42,$A57+2,FALSE)="NE","NE",IF(HLOOKUP(DA$15,Data_5!$F$10:$BG$42,$A57+2,FALSE)="C","C",IF(HLOOKUP(DA$15,Data_5!$F$10:$BG$42,$A57+2,FALSE)="NO","NO",HLOOKUP(DA$15,Data_5!$F$10:$BG$42,$A57+2,FALSE)/Data_5!$BK52))))),"")</f>
        <v/>
      </c>
      <c r="DB57" s="1122" t="str">
        <f>IFERROR(IF(HLOOKUP(DB$15,Data_5!$F$10:$BG$42,$A57+2,FALSE)="NO","NO",IF(HLOOKUP(DB$15,Data_5!$F$10:$BG$42,$A57+2,FALSE)="IE","IE",IF(HLOOKUP(DB$15,Data_5!$F$10:$BG$42,$A57+2,FALSE)="NE","NE",IF(HLOOKUP(DB$15,Data_5!$F$10:$BG$42,$A57+2,FALSE)="C","C",IF(HLOOKUP(DB$15,Data_5!$F$10:$BG$42,$A57+2,FALSE)="NO","NO",HLOOKUP(DB$15,Data_5!$F$10:$BG$42,$A57+2,FALSE)/Data_5!$BK52))))),"")</f>
        <v/>
      </c>
      <c r="DC57" s="1122" t="str">
        <f>IFERROR(IF(HLOOKUP(DC$15,Data_5!$F$10:$BG$42,$A57+2,FALSE)="NO","NO",IF(HLOOKUP(DC$15,Data_5!$F$10:$BG$42,$A57+2,FALSE)="IE","IE",IF(HLOOKUP(DC$15,Data_5!$F$10:$BG$42,$A57+2,FALSE)="NE","NE",IF(HLOOKUP(DC$15,Data_5!$F$10:$BG$42,$A57+2,FALSE)="C","C",IF(HLOOKUP(DC$15,Data_5!$F$10:$BG$42,$A57+2,FALSE)="NO","NO",HLOOKUP(DC$15,Data_5!$F$10:$BG$42,$A57+2,FALSE)/Data_5!$BK52))))),"")</f>
        <v/>
      </c>
      <c r="DD57" s="1122" t="str">
        <f>IFERROR(IF(HLOOKUP(DD$15,Data_5!$F$10:$BG$42,$A57+2,FALSE)="NO","NO",IF(HLOOKUP(DD$15,Data_5!$F$10:$BG$42,$A57+2,FALSE)="IE","IE",IF(HLOOKUP(DD$15,Data_5!$F$10:$BG$42,$A57+2,FALSE)="NE","NE",IF(HLOOKUP(DD$15,Data_5!$F$10:$BG$42,$A57+2,FALSE)="C","C",IF(HLOOKUP(DD$15,Data_5!$F$10:$BG$42,$A57+2,FALSE)="NO","NO",HLOOKUP(DD$15,Data_5!$F$10:$BG$42,$A57+2,FALSE)/Data_5!$BK52))))),"")</f>
        <v/>
      </c>
      <c r="DE57" s="1122" t="str">
        <f>IFERROR(IF(HLOOKUP(DE$15,Data_5!$F$10:$BG$42,$A57+2,FALSE)="NO","NO",IF(HLOOKUP(DE$15,Data_5!$F$10:$BG$42,$A57+2,FALSE)="IE","IE",IF(HLOOKUP(DE$15,Data_5!$F$10:$BG$42,$A57+2,FALSE)="NE","NE",IF(HLOOKUP(DE$15,Data_5!$F$10:$BG$42,$A57+2,FALSE)="C","C",IF(HLOOKUP(DE$15,Data_5!$F$10:$BG$42,$A57+2,FALSE)="NO","NO",HLOOKUP(DE$15,Data_5!$F$10:$BG$42,$A57+2,FALSE)/Data_5!$BK52))))),"")</f>
        <v/>
      </c>
      <c r="DF57" s="1122" t="str">
        <f>IFERROR(IF(HLOOKUP(DF$15,Data_5!$F$10:$BG$42,$A57+2,FALSE)="NO","NO",IF(HLOOKUP(DF$15,Data_5!$F$10:$BG$42,$A57+2,FALSE)="IE","IE",IF(HLOOKUP(DF$15,Data_5!$F$10:$BG$42,$A57+2,FALSE)="NE","NE",IF(HLOOKUP(DF$15,Data_5!$F$10:$BG$42,$A57+2,FALSE)="C","C",IF(HLOOKUP(DF$15,Data_5!$F$10:$BG$42,$A57+2,FALSE)="NO","NO",HLOOKUP(DF$15,Data_5!$F$10:$BG$42,$A57+2,FALSE)/Data_5!$BK52))))),"")</f>
        <v/>
      </c>
      <c r="DG57" s="1122" t="str">
        <f>IFERROR(IF(HLOOKUP(DG$15,Data_5!$F$10:$BG$42,$A57+2,FALSE)="NO","NO",IF(HLOOKUP(DG$15,Data_5!$F$10:$BG$42,$A57+2,FALSE)="IE","IE",IF(HLOOKUP(DG$15,Data_5!$F$10:$BG$42,$A57+2,FALSE)="NE","NE",IF(HLOOKUP(DG$15,Data_5!$F$10:$BG$42,$A57+2,FALSE)="C","C",IF(HLOOKUP(DG$15,Data_5!$F$10:$BG$42,$A57+2,FALSE)="NO","NO",HLOOKUP(DG$15,Data_5!$F$10:$BG$42,$A57+2,FALSE)/Data_5!$BK52))))),"")</f>
        <v/>
      </c>
      <c r="DH57" s="1122" t="str">
        <f>IFERROR(IF(HLOOKUP(DH$15,Data_5!$F$10:$BG$42,$A57+2,FALSE)="NO","NO",IF(HLOOKUP(DH$15,Data_5!$F$10:$BG$42,$A57+2,FALSE)="IE","IE",IF(HLOOKUP(DH$15,Data_5!$F$10:$BG$42,$A57+2,FALSE)="NE","NE",IF(HLOOKUP(DH$15,Data_5!$F$10:$BG$42,$A57+2,FALSE)="C","C",IF(HLOOKUP(DH$15,Data_5!$F$10:$BG$42,$A57+2,FALSE)="NO","NO",HLOOKUP(DH$15,Data_5!$F$10:$BG$42,$A57+2,FALSE)/Data_5!$BK52))))),"")</f>
        <v/>
      </c>
      <c r="DI57" s="1122" t="str">
        <f>IFERROR(IF(HLOOKUP(DI$15,Data_5!$F$10:$BG$42,$A57+2,FALSE)="NO","NO",IF(HLOOKUP(DI$15,Data_5!$F$10:$BG$42,$A57+2,FALSE)="IE","IE",IF(HLOOKUP(DI$15,Data_5!$F$10:$BG$42,$A57+2,FALSE)="NE","NE",IF(HLOOKUP(DI$15,Data_5!$F$10:$BG$42,$A57+2,FALSE)="C","C",IF(HLOOKUP(DI$15,Data_5!$F$10:$BG$42,$A57+2,FALSE)="NO","NO",HLOOKUP(DI$15,Data_5!$F$10:$BG$42,$A57+2,FALSE)/Data_5!$BK52))))),"")</f>
        <v/>
      </c>
      <c r="DJ57" s="1122" t="str">
        <f>IFERROR(IF(HLOOKUP(DJ$15,Data_5!$F$10:$BG$42,$A57+2,FALSE)="NO","NO",IF(HLOOKUP(DJ$15,Data_5!$F$10:$BG$42,$A57+2,FALSE)="IE","IE",IF(HLOOKUP(DJ$15,Data_5!$F$10:$BG$42,$A57+2,FALSE)="NE","NE",IF(HLOOKUP(DJ$15,Data_5!$F$10:$BG$42,$A57+2,FALSE)="C","C",IF(HLOOKUP(DJ$15,Data_5!$F$10:$BG$42,$A57+2,FALSE)="NO","NO",HLOOKUP(DJ$15,Data_5!$F$10:$BG$42,$A57+2,FALSE)/Data_5!$BK52))))),"")</f>
        <v/>
      </c>
      <c r="DK57" s="1122" t="str">
        <f>IFERROR(IF(HLOOKUP(DK$15,Data_5!$F$10:$BG$42,$A57+2,FALSE)="NO","NO",IF(HLOOKUP(DK$15,Data_5!$F$10:$BG$42,$A57+2,FALSE)="IE","IE",IF(HLOOKUP(DK$15,Data_5!$F$10:$BG$42,$A57+2,FALSE)="NE","NE",IF(HLOOKUP(DK$15,Data_5!$F$10:$BG$42,$A57+2,FALSE)="C","C",IF(HLOOKUP(DK$15,Data_5!$F$10:$BG$42,$A57+2,FALSE)="NO","NO",HLOOKUP(DK$15,Data_5!$F$10:$BG$42,$A57+2,FALSE)/Data_5!$BK52))))),"")</f>
        <v/>
      </c>
      <c r="DL57" s="1122" t="str">
        <f>IFERROR(IF(HLOOKUP(DL$15,Data_5!$F$10:$BG$42,$A57+2,FALSE)="NO","NO",IF(HLOOKUP(DL$15,Data_5!$F$10:$BG$42,$A57+2,FALSE)="IE","IE",IF(HLOOKUP(DL$15,Data_5!$F$10:$BG$42,$A57+2,FALSE)="NE","NE",IF(HLOOKUP(DL$15,Data_5!$F$10:$BG$42,$A57+2,FALSE)="C","C",IF(HLOOKUP(DL$15,Data_5!$F$10:$BG$42,$A57+2,FALSE)="NO","NO",HLOOKUP(DL$15,Data_5!$F$10:$BG$42,$A57+2,FALSE)/Data_5!$BK52))))),"")</f>
        <v/>
      </c>
      <c r="DM57" s="1122" t="str">
        <f>IFERROR(IF(HLOOKUP(DM$15,Data_5!$F$10:$BG$42,$A57+2,FALSE)="NO","NO",IF(HLOOKUP(DM$15,Data_5!$F$10:$BG$42,$A57+2,FALSE)="IE","IE",IF(HLOOKUP(DM$15,Data_5!$F$10:$BG$42,$A57+2,FALSE)="NE","NE",IF(HLOOKUP(DM$15,Data_5!$F$10:$BG$42,$A57+2,FALSE)="C","C",IF(HLOOKUP(DM$15,Data_5!$F$10:$BG$42,$A57+2,FALSE)="NO","NO",HLOOKUP(DM$15,Data_5!$F$10:$BG$42,$A57+2,FALSE)/Data_5!$BK52))))),"")</f>
        <v/>
      </c>
      <c r="DN57" s="1122" t="str">
        <f>IFERROR(IF(HLOOKUP(DN$15,Data_5!$F$10:$BG$42,$A57+2,FALSE)="NO","NO",IF(HLOOKUP(DN$15,Data_5!$F$10:$BG$42,$A57+2,FALSE)="IE","IE",IF(HLOOKUP(DN$15,Data_5!$F$10:$BG$42,$A57+2,FALSE)="NE","NE",IF(HLOOKUP(DN$15,Data_5!$F$10:$BG$42,$A57+2,FALSE)="C","C",IF(HLOOKUP(DN$15,Data_5!$F$10:$BG$42,$A57+2,FALSE)="NO","NO",HLOOKUP(DN$15,Data_5!$F$10:$BG$42,$A57+2,FALSE)/Data_5!$BK52))))),"")</f>
        <v/>
      </c>
      <c r="DO57" s="1122" t="str">
        <f>IFERROR(IF(HLOOKUP(DO$15,Data_5!$F$10:$BG$42,$A57+2,FALSE)="NO","NO",IF(HLOOKUP(DO$15,Data_5!$F$10:$BG$42,$A57+2,FALSE)="IE","IE",IF(HLOOKUP(DO$15,Data_5!$F$10:$BG$42,$A57+2,FALSE)="NE","NE",IF(HLOOKUP(DO$15,Data_5!$F$10:$BG$42,$A57+2,FALSE)="C","C",IF(HLOOKUP(DO$15,Data_5!$F$10:$BG$42,$A57+2,FALSE)="NO","NO",HLOOKUP(DO$15,Data_5!$F$10:$BG$42,$A57+2,FALSE)/Data_5!$BK52))))),"")</f>
        <v/>
      </c>
    </row>
    <row r="58" spans="1:119" ht="15" customHeight="1">
      <c r="A58" s="1789">
        <v>42</v>
      </c>
      <c r="B58" s="2628" t="str">
        <f ca="1">IF(Data_5!B53&lt;&gt;"",Data_5!B53,"")</f>
        <v/>
      </c>
      <c r="C58" s="2629"/>
      <c r="D58" s="1462">
        <f ca="1">IFERROR(VLOOKUP($B58,Data_5!$B$12:$C$42,2,FALSE),"")</f>
        <v>0</v>
      </c>
      <c r="E58" s="1122" t="str">
        <f>IFERROR(IF(HLOOKUP(E$15,Data_5!$F$10:$BG$42,$A58+2,FALSE)="NO","NO",IF(HLOOKUP(E$15,Data_5!$F$10:$BG$42,$A58+2,FALSE)="IE","IE",IF(HLOOKUP(E$15,Data_5!$F$10:$BG$42,$A58+2,FALSE)="NE","NE",IF(HLOOKUP(E$15,Data_5!$F$10:$BG$42,$A58+2,FALSE)="C","C",IF(HLOOKUP(E$15,Data_5!$F$10:$BG$42,$A58+2,FALSE)="NO","NO",HLOOKUP(E$15,Data_5!$F$10:$BG$42,$A58+2,FALSE)/Data_5!$BH53))))),"")</f>
        <v/>
      </c>
      <c r="F58" s="1122" t="str">
        <f>IFERROR(IF(HLOOKUP(F$15,Data_5!$F$10:$BG$42,$A58+2,FALSE)="NO","NO",IF(HLOOKUP(F$15,Data_5!$F$10:$BG$42,$A58+2,FALSE)="IE","IE",IF(HLOOKUP(F$15,Data_5!$F$10:$BG$42,$A58+2,FALSE)="NE","NE",IF(HLOOKUP(F$15,Data_5!$F$10:$BG$42,$A58+2,FALSE)="C","C",IF(HLOOKUP(F$15,Data_5!$F$10:$BG$42,$A58+2,FALSE)="NO","NO",HLOOKUP(F$15,Data_5!$F$10:$BG$42,$A58+2,FALSE)/Data_5!$BH53))))),"")</f>
        <v/>
      </c>
      <c r="G58" s="1122" t="str">
        <f>IFERROR(IF(HLOOKUP(G$15,Data_5!$F$10:$BG$42,$A58+2,FALSE)="NO","NO",IF(HLOOKUP(G$15,Data_5!$F$10:$BG$42,$A58+2,FALSE)="IE","IE",IF(HLOOKUP(G$15,Data_5!$F$10:$BG$42,$A58+2,FALSE)="NE","NE",IF(HLOOKUP(G$15,Data_5!$F$10:$BG$42,$A58+2,FALSE)="C","C",IF(HLOOKUP(G$15,Data_5!$F$10:$BG$42,$A58+2,FALSE)="NO","NO",HLOOKUP(G$15,Data_5!$F$10:$BG$42,$A58+2,FALSE)/Data_5!$BH53))))),"")</f>
        <v/>
      </c>
      <c r="H58" s="1122" t="str">
        <f>IFERROR(IF(HLOOKUP(H$15,Data_5!$F$10:$BG$42,$A58+2,FALSE)="NO","NO",IF(HLOOKUP(H$15,Data_5!$F$10:$BG$42,$A58+2,FALSE)="IE","IE",IF(HLOOKUP(H$15,Data_5!$F$10:$BG$42,$A58+2,FALSE)="NE","NE",IF(HLOOKUP(H$15,Data_5!$F$10:$BG$42,$A58+2,FALSE)="C","C",IF(HLOOKUP(H$15,Data_5!$F$10:$BG$42,$A58+2,FALSE)="NO","NO",HLOOKUP(H$15,Data_5!$F$10:$BG$42,$A58+2,FALSE)/Data_5!$BH53))))),"")</f>
        <v/>
      </c>
      <c r="I58" s="1122" t="str">
        <f>IFERROR(IF(HLOOKUP(I$15,Data_5!$F$10:$BG$42,$A58+2,FALSE)="NO","NO",IF(HLOOKUP(I$15,Data_5!$F$10:$BG$42,$A58+2,FALSE)="IE","IE",IF(HLOOKUP(I$15,Data_5!$F$10:$BG$42,$A58+2,FALSE)="NE","NE",IF(HLOOKUP(I$15,Data_5!$F$10:$BG$42,$A58+2,FALSE)="C","C",IF(HLOOKUP(I$15,Data_5!$F$10:$BG$42,$A58+2,FALSE)="NO","NO",HLOOKUP(I$15,Data_5!$F$10:$BG$42,$A58+2,FALSE)/Data_5!$BH53))))),"")</f>
        <v/>
      </c>
      <c r="J58" s="1122" t="str">
        <f>IFERROR(IF(HLOOKUP(J$15,Data_5!$F$10:$BG$42,$A58+2,FALSE)="NO","NO",IF(HLOOKUP(J$15,Data_5!$F$10:$BG$42,$A58+2,FALSE)="IE","IE",IF(HLOOKUP(J$15,Data_5!$F$10:$BG$42,$A58+2,FALSE)="NE","NE",IF(HLOOKUP(J$15,Data_5!$F$10:$BG$42,$A58+2,FALSE)="C","C",IF(HLOOKUP(J$15,Data_5!$F$10:$BG$42,$A58+2,FALSE)="NO","NO",HLOOKUP(J$15,Data_5!$F$10:$BG$42,$A58+2,FALSE)/Data_5!$BH53))))),"")</f>
        <v/>
      </c>
      <c r="K58" s="1122" t="str">
        <f>IFERROR(IF(HLOOKUP(K$15,Data_5!$F$10:$BG$42,$A58+2,FALSE)="NO","NO",IF(HLOOKUP(K$15,Data_5!$F$10:$BG$42,$A58+2,FALSE)="IE","IE",IF(HLOOKUP(K$15,Data_5!$F$10:$BG$42,$A58+2,FALSE)="NE","NE",IF(HLOOKUP(K$15,Data_5!$F$10:$BG$42,$A58+2,FALSE)="C","C",IF(HLOOKUP(K$15,Data_5!$F$10:$BG$42,$A58+2,FALSE)="NO","NO",HLOOKUP(K$15,Data_5!$F$10:$BG$42,$A58+2,FALSE)/Data_5!$BH53))))),"")</f>
        <v/>
      </c>
      <c r="L58" s="1122" t="str">
        <f>IFERROR(IF(HLOOKUP(L$15,Data_5!$F$10:$BG$42,$A58+2,FALSE)="NO","NO",IF(HLOOKUP(L$15,Data_5!$F$10:$BG$42,$A58+2,FALSE)="IE","IE",IF(HLOOKUP(L$15,Data_5!$F$10:$BG$42,$A58+2,FALSE)="NE","NE",IF(HLOOKUP(L$15,Data_5!$F$10:$BG$42,$A58+2,FALSE)="C","C",IF(HLOOKUP(L$15,Data_5!$F$10:$BG$42,$A58+2,FALSE)="NO","NO",HLOOKUP(L$15,Data_5!$F$10:$BG$42,$A58+2,FALSE)/Data_5!$BH53))))),"")</f>
        <v/>
      </c>
      <c r="M58" s="1122" t="str">
        <f>IFERROR(IF(HLOOKUP(M$15,Data_5!$F$10:$BG$42,$A58+2,FALSE)="NO","NO",IF(HLOOKUP(M$15,Data_5!$F$10:$BG$42,$A58+2,FALSE)="IE","IE",IF(HLOOKUP(M$15,Data_5!$F$10:$BG$42,$A58+2,FALSE)="NE","NE",IF(HLOOKUP(M$15,Data_5!$F$10:$BG$42,$A58+2,FALSE)="C","C",IF(HLOOKUP(M$15,Data_5!$F$10:$BG$42,$A58+2,FALSE)="NO","NO",HLOOKUP(M$15,Data_5!$F$10:$BG$42,$A58+2,FALSE)/Data_5!$BH53))))),"")</f>
        <v/>
      </c>
      <c r="N58" s="1122" t="str">
        <f>IFERROR(IF(HLOOKUP(N$15,Data_5!$F$10:$BG$42,$A58+2,FALSE)="NO","NO",IF(HLOOKUP(N$15,Data_5!$F$10:$BG$42,$A58+2,FALSE)="IE","IE",IF(HLOOKUP(N$15,Data_5!$F$10:$BG$42,$A58+2,FALSE)="NE","NE",IF(HLOOKUP(N$15,Data_5!$F$10:$BG$42,$A58+2,FALSE)="C","C",IF(HLOOKUP(N$15,Data_5!$F$10:$BG$42,$A58+2,FALSE)="NO","NO",HLOOKUP(N$15,Data_5!$F$10:$BG$42,$A58+2,FALSE)/Data_5!$BH53))))),"")</f>
        <v/>
      </c>
      <c r="O58" s="1122" t="str">
        <f>IFERROR(IF(HLOOKUP(O$15,Data_5!$F$10:$BG$42,$A58+2,FALSE)="NO","NO",IF(HLOOKUP(O$15,Data_5!$F$10:$BG$42,$A58+2,FALSE)="IE","IE",IF(HLOOKUP(O$15,Data_5!$F$10:$BG$42,$A58+2,FALSE)="NE","NE",IF(HLOOKUP(O$15,Data_5!$F$10:$BG$42,$A58+2,FALSE)="C","C",IF(HLOOKUP(O$15,Data_5!$F$10:$BG$42,$A58+2,FALSE)="NO","NO",HLOOKUP(O$15,Data_5!$F$10:$BG$42,$A58+2,FALSE)/Data_5!$BH53))))),"")</f>
        <v/>
      </c>
      <c r="P58" s="1122" t="str">
        <f>IFERROR(IF(HLOOKUP(P$15,Data_5!$F$10:$BG$42,$A58+2,FALSE)="NO","NO",IF(HLOOKUP(P$15,Data_5!$F$10:$BG$42,$A58+2,FALSE)="IE","IE",IF(HLOOKUP(P$15,Data_5!$F$10:$BG$42,$A58+2,FALSE)="NE","NE",IF(HLOOKUP(P$15,Data_5!$F$10:$BG$42,$A58+2,FALSE)="C","C",IF(HLOOKUP(P$15,Data_5!$F$10:$BG$42,$A58+2,FALSE)="NO","NO",HLOOKUP(P$15,Data_5!$F$10:$BG$42,$A58+2,FALSE)/Data_5!$BH53))))),"")</f>
        <v/>
      </c>
      <c r="Q58" s="1122" t="str">
        <f>IFERROR(IF(HLOOKUP(Q$15,Data_5!$F$10:$BG$42,$A58+2,FALSE)="NO","NO",IF(HLOOKUP(Q$15,Data_5!$F$10:$BG$42,$A58+2,FALSE)="IE","IE",IF(HLOOKUP(Q$15,Data_5!$F$10:$BG$42,$A58+2,FALSE)="NE","NE",IF(HLOOKUP(Q$15,Data_5!$F$10:$BG$42,$A58+2,FALSE)="C","C",IF(HLOOKUP(Q$15,Data_5!$F$10:$BG$42,$A58+2,FALSE)="NO","NO",HLOOKUP(Q$15,Data_5!$F$10:$BG$42,$A58+2,FALSE)/Data_5!$BH53))))),"")</f>
        <v/>
      </c>
      <c r="R58" s="1122" t="str">
        <f>IFERROR(IF(HLOOKUP(R$15,Data_5!$F$10:$BG$42,$A58+2,FALSE)="NO","NO",IF(HLOOKUP(R$15,Data_5!$F$10:$BG$42,$A58+2,FALSE)="IE","IE",IF(HLOOKUP(R$15,Data_5!$F$10:$BG$42,$A58+2,FALSE)="NE","NE",IF(HLOOKUP(R$15,Data_5!$F$10:$BG$42,$A58+2,FALSE)="C","C",IF(HLOOKUP(R$15,Data_5!$F$10:$BG$42,$A58+2,FALSE)="NO","NO",HLOOKUP(R$15,Data_5!$F$10:$BG$42,$A58+2,FALSE)/Data_5!$BH53))))),"")</f>
        <v/>
      </c>
      <c r="S58" s="1122" t="str">
        <f>IFERROR(IF(HLOOKUP(S$15,Data_5!$F$10:$BG$42,$A58+2,FALSE)="NO","NO",IF(HLOOKUP(S$15,Data_5!$F$10:$BG$42,$A58+2,FALSE)="IE","IE",IF(HLOOKUP(S$15,Data_5!$F$10:$BG$42,$A58+2,FALSE)="NE","NE",IF(HLOOKUP(S$15,Data_5!$F$10:$BG$42,$A58+2,FALSE)="C","C",IF(HLOOKUP(S$15,Data_5!$F$10:$BG$42,$A58+2,FALSE)="NO","NO",HLOOKUP(S$15,Data_5!$F$10:$BG$42,$A58+2,FALSE)/Data_5!$BH53))))),"")</f>
        <v/>
      </c>
      <c r="T58" s="1122" t="str">
        <f>IFERROR(IF(HLOOKUP(T$15,Data_5!$F$10:$BG$42,$A58+2,FALSE)="NO","NO",IF(HLOOKUP(T$15,Data_5!$F$10:$BG$42,$A58+2,FALSE)="IE","IE",IF(HLOOKUP(T$15,Data_5!$F$10:$BG$42,$A58+2,FALSE)="NE","NE",IF(HLOOKUP(T$15,Data_5!$F$10:$BG$42,$A58+2,FALSE)="C","C",IF(HLOOKUP(T$15,Data_5!$F$10:$BG$42,$A58+2,FALSE)="NO","NO",HLOOKUP(T$15,Data_5!$F$10:$BG$42,$A58+2,FALSE)/Data_5!$BH53))))),"")</f>
        <v/>
      </c>
      <c r="U58" s="1122" t="str">
        <f>IFERROR(IF(HLOOKUP(U$15,Data_5!$F$10:$BG$42,$A58+2,FALSE)="NO","NO",IF(HLOOKUP(U$15,Data_5!$F$10:$BG$42,$A58+2,FALSE)="IE","IE",IF(HLOOKUP(U$15,Data_5!$F$10:$BG$42,$A58+2,FALSE)="NE","NE",IF(HLOOKUP(U$15,Data_5!$F$10:$BG$42,$A58+2,FALSE)="C","C",IF(HLOOKUP(U$15,Data_5!$F$10:$BG$42,$A58+2,FALSE)="NO","NO",HLOOKUP(U$15,Data_5!$F$10:$BG$42,$A58+2,FALSE)/Data_5!$BH53))))),"")</f>
        <v/>
      </c>
      <c r="V58" s="1122" t="str">
        <f>IFERROR(IF(HLOOKUP(V$15,Data_5!$F$10:$BG$42,$A58+2,FALSE)="NO","NO",IF(HLOOKUP(V$15,Data_5!$F$10:$BG$42,$A58+2,FALSE)="IE","IE",IF(HLOOKUP(V$15,Data_5!$F$10:$BG$42,$A58+2,FALSE)="NE","NE",IF(HLOOKUP(V$15,Data_5!$F$10:$BG$42,$A58+2,FALSE)="C","C",IF(HLOOKUP(V$15,Data_5!$F$10:$BG$42,$A58+2,FALSE)="NO","NO",HLOOKUP(V$15,Data_5!$F$10:$BG$42,$A58+2,FALSE)/Data_5!$BH53))))),"")</f>
        <v/>
      </c>
      <c r="W58" s="1122" t="str">
        <f>IFERROR(IF(HLOOKUP(W$15,Data_5!$F$10:$BG$42,$A58+2,FALSE)="NO","NO",IF(HLOOKUP(W$15,Data_5!$F$10:$BG$42,$A58+2,FALSE)="IE","IE",IF(HLOOKUP(W$15,Data_5!$F$10:$BG$42,$A58+2,FALSE)="NE","NE",IF(HLOOKUP(W$15,Data_5!$F$10:$BG$42,$A58+2,FALSE)="C","C",IF(HLOOKUP(W$15,Data_5!$F$10:$BG$42,$A58+2,FALSE)="NO","NO",HLOOKUP(W$15,Data_5!$F$10:$BG$42,$A58+2,FALSE)/Data_5!$BH53))))),"")</f>
        <v/>
      </c>
      <c r="X58" s="1122" t="str">
        <f>IFERROR(IF(HLOOKUP(X$15,Data_5!$F$10:$BG$42,$A58+2,FALSE)="NO","NO",IF(HLOOKUP(X$15,Data_5!$F$10:$BG$42,$A58+2,FALSE)="IE","IE",IF(HLOOKUP(X$15,Data_5!$F$10:$BG$42,$A58+2,FALSE)="NE","NE",IF(HLOOKUP(X$15,Data_5!$F$10:$BG$42,$A58+2,FALSE)="C","C",IF(HLOOKUP(X$15,Data_5!$F$10:$BG$42,$A58+2,FALSE)="NO","NO",HLOOKUP(X$15,Data_5!$F$10:$BG$42,$A58+2,FALSE)/Data_5!$BH53))))),"")</f>
        <v/>
      </c>
      <c r="Y58" s="1122" t="str">
        <f>IFERROR(IF(HLOOKUP(Y$15,Data_5!$F$10:$BG$42,$A58+2,FALSE)="NO","NO",IF(HLOOKUP(Y$15,Data_5!$F$10:$BG$42,$A58+2,FALSE)="IE","IE",IF(HLOOKUP(Y$15,Data_5!$F$10:$BG$42,$A58+2,FALSE)="NE","NE",IF(HLOOKUP(Y$15,Data_5!$F$10:$BG$42,$A58+2,FALSE)="C","C",IF(HLOOKUP(Y$15,Data_5!$F$10:$BG$42,$A58+2,FALSE)="NO","NO",HLOOKUP(Y$15,Data_5!$F$10:$BG$42,$A58+2,FALSE)/Data_5!$BH53))))),"")</f>
        <v/>
      </c>
      <c r="Z58" s="1122" t="str">
        <f>IFERROR(IF(HLOOKUP(Z$15,Data_5!$F$10:$BG$42,$A58+2,FALSE)="NO","NO",IF(HLOOKUP(Z$15,Data_5!$F$10:$BG$42,$A58+2,FALSE)="IE","IE",IF(HLOOKUP(Z$15,Data_5!$F$10:$BG$42,$A58+2,FALSE)="NE","NE",IF(HLOOKUP(Z$15,Data_5!$F$10:$BG$42,$A58+2,FALSE)="C","C",IF(HLOOKUP(Z$15,Data_5!$F$10:$BG$42,$A58+2,FALSE)="NO","NO",HLOOKUP(Z$15,Data_5!$F$10:$BG$42,$A58+2,FALSE)/Data_5!$BH53))))),"")</f>
        <v/>
      </c>
      <c r="AA58" s="1122" t="str">
        <f>IFERROR(IF(HLOOKUP(AA$15,Data_5!$F$10:$BG$42,$A58+2,FALSE)="NO","NO",IF(HLOOKUP(AA$15,Data_5!$F$10:$BG$42,$A58+2,FALSE)="IE","IE",IF(HLOOKUP(AA$15,Data_5!$F$10:$BG$42,$A58+2,FALSE)="NE","NE",IF(HLOOKUP(AA$15,Data_5!$F$10:$BG$42,$A58+2,FALSE)="C","C",IF(HLOOKUP(AA$15,Data_5!$F$10:$BG$42,$A58+2,FALSE)="NO","NO",HLOOKUP(AA$15,Data_5!$F$10:$BG$42,$A58+2,FALSE)/Data_5!$BH53))))),"")</f>
        <v/>
      </c>
      <c r="AB58" s="1122" t="str">
        <f>IFERROR(IF(HLOOKUP(AB$15,Data_5!$F$10:$BG$42,$A58+2,FALSE)="NO","NO",IF(HLOOKUP(AB$15,Data_5!$F$10:$BG$42,$A58+2,FALSE)="IE","IE",IF(HLOOKUP(AB$15,Data_5!$F$10:$BG$42,$A58+2,FALSE)="NE","NE",IF(HLOOKUP(AB$15,Data_5!$F$10:$BG$42,$A58+2,FALSE)="C","C",IF(HLOOKUP(AB$15,Data_5!$F$10:$BG$42,$A58+2,FALSE)="NO","NO",HLOOKUP(AB$15,Data_5!$F$10:$BG$42,$A58+2,FALSE)/Data_5!$BH53))))),"")</f>
        <v/>
      </c>
      <c r="AC58" s="1122" t="str">
        <f>IFERROR(IF(HLOOKUP(AC$15,Data_5!$F$10:$BG$42,$A58+2,FALSE)="NO","NO",IF(HLOOKUP(AC$15,Data_5!$F$10:$BG$42,$A58+2,FALSE)="IE","IE",IF(HLOOKUP(AC$15,Data_5!$F$10:$BG$42,$A58+2,FALSE)="NE","NE",IF(HLOOKUP(AC$15,Data_5!$F$10:$BG$42,$A58+2,FALSE)="C","C",IF(HLOOKUP(AC$15,Data_5!$F$10:$BG$42,$A58+2,FALSE)="NO","NO",HLOOKUP(AC$15,Data_5!$F$10:$BG$42,$A58+2,FALSE)/Data_5!$BH53))))),"")</f>
        <v/>
      </c>
      <c r="AD58" s="1122" t="str">
        <f>IFERROR(IF(HLOOKUP(AD$15,Data_5!$F$10:$BG$42,$A58+2,FALSE)="NO","NO",IF(HLOOKUP(AD$15,Data_5!$F$10:$BG$42,$A58+2,FALSE)="IE","IE",IF(HLOOKUP(AD$15,Data_5!$F$10:$BG$42,$A58+2,FALSE)="NE","NE",IF(HLOOKUP(AD$15,Data_5!$F$10:$BG$42,$A58+2,FALSE)="C","C",IF(HLOOKUP(AD$15,Data_5!$F$10:$BG$42,$A58+2,FALSE)="NO","NO",HLOOKUP(AD$15,Data_5!$F$10:$BG$42,$A58+2,FALSE)/Data_5!$BH53))))),"")</f>
        <v/>
      </c>
      <c r="AE58" s="1122" t="str">
        <f>IFERROR(IF(HLOOKUP(AE$15,Data_5!$F$10:$BG$42,$A58+2,FALSE)="NO","NO",IF(HLOOKUP(AE$15,Data_5!$F$10:$BG$42,$A58+2,FALSE)="IE","IE",IF(HLOOKUP(AE$15,Data_5!$F$10:$BG$42,$A58+2,FALSE)="NE","NE",IF(HLOOKUP(AE$15,Data_5!$F$10:$BG$42,$A58+2,FALSE)="C","C",IF(HLOOKUP(AE$15,Data_5!$F$10:$BG$42,$A58+2,FALSE)="NO","NO",HLOOKUP(AE$15,Data_5!$F$10:$BG$42,$A58+2,FALSE)/Data_5!$BH53))))),"")</f>
        <v/>
      </c>
      <c r="AF58" s="1122" t="str">
        <f>IFERROR(IF(HLOOKUP(AF$15,Data_5!$F$10:$BG$42,$A58+2,FALSE)="NO","NO",IF(HLOOKUP(AF$15,Data_5!$F$10:$BG$42,$A58+2,FALSE)="IE","IE",IF(HLOOKUP(AF$15,Data_5!$F$10:$BG$42,$A58+2,FALSE)="NE","NE",IF(HLOOKUP(AF$15,Data_5!$F$10:$BG$42,$A58+2,FALSE)="C","C",IF(HLOOKUP(AF$15,Data_5!$F$10:$BG$42,$A58+2,FALSE)="NO","NO",HLOOKUP(AF$15,Data_5!$F$10:$BG$42,$A58+2,FALSE)/Data_5!$BH53))))),"")</f>
        <v/>
      </c>
      <c r="AG58" s="1122" t="str">
        <f>IFERROR(IF(HLOOKUP(AG$15,Data_5!$F$10:$BG$42,$A58+2,FALSE)="NO","NO",IF(HLOOKUP(AG$15,Data_5!$F$10:$BG$42,$A58+2,FALSE)="IE","IE",IF(HLOOKUP(AG$15,Data_5!$F$10:$BG$42,$A58+2,FALSE)="NE","NE",IF(HLOOKUP(AG$15,Data_5!$F$10:$BG$42,$A58+2,FALSE)="C","C",IF(HLOOKUP(AG$15,Data_5!$F$10:$BG$42,$A58+2,FALSE)="NO","NO",HLOOKUP(AG$15,Data_5!$F$10:$BG$42,$A58+2,FALSE)/Data_5!$BH53))))),"")</f>
        <v/>
      </c>
      <c r="AH58" s="1122" t="str">
        <f>IFERROR(IF(HLOOKUP(AH$15,Data_5!$F$10:$BG$42,$A58+2,FALSE)="NO","NO",IF(HLOOKUP(AH$15,Data_5!$F$10:$BG$42,$A58+2,FALSE)="IE","IE",IF(HLOOKUP(AH$15,Data_5!$F$10:$BG$42,$A58+2,FALSE)="NE","NE",IF(HLOOKUP(AH$15,Data_5!$F$10:$BG$42,$A58+2,FALSE)="C","C",IF(HLOOKUP(AH$15,Data_5!$F$10:$BG$42,$A58+2,FALSE)="NO","NO",HLOOKUP(AH$15,Data_5!$F$10:$BG$42,$A58+2,FALSE)/Data_5!$BH53))))),"")</f>
        <v/>
      </c>
      <c r="AI58" s="1122" t="str">
        <f>IFERROR(IF(HLOOKUP(AI$15,Data_5!$F$10:$BG$42,$A58+2,FALSE)="NO","NO",IF(HLOOKUP(AI$15,Data_5!$F$10:$BG$42,$A58+2,FALSE)="IE","IE",IF(HLOOKUP(AI$15,Data_5!$F$10:$BG$42,$A58+2,FALSE)="NE","NE",IF(HLOOKUP(AI$15,Data_5!$F$10:$BG$42,$A58+2,FALSE)="C","C",IF(HLOOKUP(AI$15,Data_5!$F$10:$BG$42,$A58+2,FALSE)="NO","NO",HLOOKUP(AI$15,Data_5!$F$10:$BG$42,$A58+2,FALSE)/Data_5!$BH53))))),"")</f>
        <v/>
      </c>
      <c r="AJ58" s="1122" t="str">
        <f>IFERROR(IF(HLOOKUP(AJ$15,Data_5!$F$10:$BG$42,$A58+2,FALSE)="NO","NO",IF(HLOOKUP(AJ$15,Data_5!$F$10:$BG$42,$A58+2,FALSE)="IE","IE",IF(HLOOKUP(AJ$15,Data_5!$F$10:$BG$42,$A58+2,FALSE)="NE","NE",IF(HLOOKUP(AJ$15,Data_5!$F$10:$BG$42,$A58+2,FALSE)="C","C",IF(HLOOKUP(AJ$15,Data_5!$F$10:$BG$42,$A58+2,FALSE)="NO","NO",HLOOKUP(AJ$15,Data_5!$F$10:$BG$42,$A58+2,FALSE)/Data_5!$BH53))))),"")</f>
        <v/>
      </c>
      <c r="AL58" s="2628" t="str">
        <f t="shared" ca="1" si="0"/>
        <v/>
      </c>
      <c r="AM58" s="2629"/>
      <c r="AN58" s="1100" t="str">
        <f t="shared" ca="1" si="1"/>
        <v/>
      </c>
      <c r="AO58" s="1122" t="str">
        <f>IFERROR(IF(HLOOKUP(AO$15,Data_5!$F$10:$BG$42,$A58+2,FALSE)="NO","NO",IF(HLOOKUP(AO$15,Data_5!$F$10:$BG$42,$A58+2,FALSE)="IE","IE",IF(HLOOKUP(AO$15,Data_5!$F$10:$BG$42,$A58+2,FALSE)="NE","NE",IF(HLOOKUP(AO$15,Data_5!$F$10:$BG$42,$A58+2,FALSE)="C","C",IF(HLOOKUP(AO$15,Data_5!$F$10:$BG$42,$A58+2,FALSE)="NO","NO",HLOOKUP(AO$15,Data_5!$F$10:$BG$42,$A58+2,FALSE)/Data_5!$BI53))))),"")</f>
        <v/>
      </c>
      <c r="AP58" s="1122" t="str">
        <f>IFERROR(IF(HLOOKUP(AP$15,Data_5!$F$10:$BG$42,$A58+2,FALSE)="NO","NO",IF(HLOOKUP(AP$15,Data_5!$F$10:$BG$42,$A58+2,FALSE)="IE","IE",IF(HLOOKUP(AP$15,Data_5!$F$10:$BG$42,$A58+2,FALSE)="NE","NE",IF(HLOOKUP(AP$15,Data_5!$F$10:$BG$42,$A58+2,FALSE)="C","C",IF(HLOOKUP(AP$15,Data_5!$F$10:$BG$42,$A58+2,FALSE)="NO","NO",HLOOKUP(AP$15,Data_5!$F$10:$BG$42,$A58+2,FALSE)/Data_5!$BI53))))),"")</f>
        <v/>
      </c>
      <c r="AQ58" s="1122" t="str">
        <f>IFERROR(IF(HLOOKUP(AQ$15,Data_5!$F$10:$BG$42,$A58+2,FALSE)="NO","NO",IF(HLOOKUP(AQ$15,Data_5!$F$10:$BG$42,$A58+2,FALSE)="IE","IE",IF(HLOOKUP(AQ$15,Data_5!$F$10:$BG$42,$A58+2,FALSE)="NE","NE",IF(HLOOKUP(AQ$15,Data_5!$F$10:$BG$42,$A58+2,FALSE)="C","C",IF(HLOOKUP(AQ$15,Data_5!$F$10:$BG$42,$A58+2,FALSE)="NO","NO",HLOOKUP(AQ$15,Data_5!$F$10:$BG$42,$A58+2,FALSE)/Data_5!$BI53))))),"")</f>
        <v/>
      </c>
      <c r="AR58" s="1122" t="str">
        <f>IFERROR(IF(HLOOKUP(AR$15,Data_5!$F$10:$BG$42,$A58+2,FALSE)="NO","NO",IF(HLOOKUP(AR$15,Data_5!$F$10:$BG$42,$A58+2,FALSE)="IE","IE",IF(HLOOKUP(AR$15,Data_5!$F$10:$BG$42,$A58+2,FALSE)="NE","NE",IF(HLOOKUP(AR$15,Data_5!$F$10:$BG$42,$A58+2,FALSE)="C","C",IF(HLOOKUP(AR$15,Data_5!$F$10:$BG$42,$A58+2,FALSE)="NO","NO",HLOOKUP(AR$15,Data_5!$F$10:$BG$42,$A58+2,FALSE)/Data_5!$BI53))))),"")</f>
        <v/>
      </c>
      <c r="AS58" s="1122" t="str">
        <f>IFERROR(IF(HLOOKUP(AS$15,Data_5!$F$10:$BG$42,$A58+2,FALSE)="NO","NO",IF(HLOOKUP(AS$15,Data_5!$F$10:$BG$42,$A58+2,FALSE)="IE","IE",IF(HLOOKUP(AS$15,Data_5!$F$10:$BG$42,$A58+2,FALSE)="NE","NE",IF(HLOOKUP(AS$15,Data_5!$F$10:$BG$42,$A58+2,FALSE)="C","C",IF(HLOOKUP(AS$15,Data_5!$F$10:$BG$42,$A58+2,FALSE)="NO","NO",HLOOKUP(AS$15,Data_5!$F$10:$BG$42,$A58+2,FALSE)/Data_5!$BI53))))),"")</f>
        <v/>
      </c>
      <c r="AT58" s="1122" t="str">
        <f>IFERROR(IF(HLOOKUP(AT$15,Data_5!$F$10:$BG$42,$A58+2,FALSE)="NO","NO",IF(HLOOKUP(AT$15,Data_5!$F$10:$BG$42,$A58+2,FALSE)="IE","IE",IF(HLOOKUP(AT$15,Data_5!$F$10:$BG$42,$A58+2,FALSE)="NE","NE",IF(HLOOKUP(AT$15,Data_5!$F$10:$BG$42,$A58+2,FALSE)="C","C",IF(HLOOKUP(AT$15,Data_5!$F$10:$BG$42,$A58+2,FALSE)="NO","NO",HLOOKUP(AT$15,Data_5!$F$10:$BG$42,$A58+2,FALSE)/Data_5!$BI53))))),"")</f>
        <v/>
      </c>
      <c r="AU58" s="1122" t="str">
        <f>IFERROR(IF(HLOOKUP(AU$15,Data_5!$F$10:$BG$42,$A58+2,FALSE)="NO","NO",IF(HLOOKUP(AU$15,Data_5!$F$10:$BG$42,$A58+2,FALSE)="IE","IE",IF(HLOOKUP(AU$15,Data_5!$F$10:$BG$42,$A58+2,FALSE)="NE","NE",IF(HLOOKUP(AU$15,Data_5!$F$10:$BG$42,$A58+2,FALSE)="C","C",IF(HLOOKUP(AU$15,Data_5!$F$10:$BG$42,$A58+2,FALSE)="NO","NO",HLOOKUP(AU$15,Data_5!$F$10:$BG$42,$A58+2,FALSE)/Data_5!$BI53))))),"")</f>
        <v/>
      </c>
      <c r="AV58" s="1122" t="str">
        <f>IFERROR(IF(HLOOKUP(AV$15,Data_5!$F$10:$BG$42,$A58+2,FALSE)="NO","NO",IF(HLOOKUP(AV$15,Data_5!$F$10:$BG$42,$A58+2,FALSE)="IE","IE",IF(HLOOKUP(AV$15,Data_5!$F$10:$BG$42,$A58+2,FALSE)="NE","NE",IF(HLOOKUP(AV$15,Data_5!$F$10:$BG$42,$A58+2,FALSE)="C","C",IF(HLOOKUP(AV$15,Data_5!$F$10:$BG$42,$A58+2,FALSE)="NO","NO",HLOOKUP(AV$15,Data_5!$F$10:$BG$42,$A58+2,FALSE)/Data_5!$BI53))))),"")</f>
        <v/>
      </c>
      <c r="AW58" s="1122" t="str">
        <f>IFERROR(IF(HLOOKUP(AW$15,Data_5!$F$10:$BG$42,$A58+2,FALSE)="NO","NO",IF(HLOOKUP(AW$15,Data_5!$F$10:$BG$42,$A58+2,FALSE)="IE","IE",IF(HLOOKUP(AW$15,Data_5!$F$10:$BG$42,$A58+2,FALSE)="NE","NE",IF(HLOOKUP(AW$15,Data_5!$F$10:$BG$42,$A58+2,FALSE)="C","C",IF(HLOOKUP(AW$15,Data_5!$F$10:$BG$42,$A58+2,FALSE)="NO","NO",HLOOKUP(AW$15,Data_5!$F$10:$BG$42,$A58+2,FALSE)/Data_5!$BI53))))),"")</f>
        <v/>
      </c>
      <c r="AX58" s="1122" t="str">
        <f>IFERROR(IF(HLOOKUP(AX$15,Data_5!$F$10:$BG$42,$A58+2,FALSE)="NO","NO",IF(HLOOKUP(AX$15,Data_5!$F$10:$BG$42,$A58+2,FALSE)="IE","IE",IF(HLOOKUP(AX$15,Data_5!$F$10:$BG$42,$A58+2,FALSE)="NE","NE",IF(HLOOKUP(AX$15,Data_5!$F$10:$BG$42,$A58+2,FALSE)="C","C",IF(HLOOKUP(AX$15,Data_5!$F$10:$BG$42,$A58+2,FALSE)="NO","NO",HLOOKUP(AX$15,Data_5!$F$10:$BG$42,$A58+2,FALSE)/Data_5!$BI53))))),"")</f>
        <v/>
      </c>
      <c r="AY58" s="1122" t="str">
        <f>IFERROR(IF(HLOOKUP(AY$15,Data_5!$F$10:$BG$42,$A58+2,FALSE)="NO","NO",IF(HLOOKUP(AY$15,Data_5!$F$10:$BG$42,$A58+2,FALSE)="IE","IE",IF(HLOOKUP(AY$15,Data_5!$F$10:$BG$42,$A58+2,FALSE)="NE","NE",IF(HLOOKUP(AY$15,Data_5!$F$10:$BG$42,$A58+2,FALSE)="C","C",IF(HLOOKUP(AY$15,Data_5!$F$10:$BG$42,$A58+2,FALSE)="NO","NO",HLOOKUP(AY$15,Data_5!$F$10:$BG$42,$A58+2,FALSE)/Data_5!$BI53))))),"")</f>
        <v/>
      </c>
      <c r="AZ58" s="1122" t="str">
        <f>IFERROR(IF(HLOOKUP(AZ$15,Data_5!$F$10:$BG$42,$A58+2,FALSE)="NO","NO",IF(HLOOKUP(AZ$15,Data_5!$F$10:$BG$42,$A58+2,FALSE)="IE","IE",IF(HLOOKUP(AZ$15,Data_5!$F$10:$BG$42,$A58+2,FALSE)="NE","NE",IF(HLOOKUP(AZ$15,Data_5!$F$10:$BG$42,$A58+2,FALSE)="C","C",IF(HLOOKUP(AZ$15,Data_5!$F$10:$BG$42,$A58+2,FALSE)="NO","NO",HLOOKUP(AZ$15,Data_5!$F$10:$BG$42,$A58+2,FALSE)/Data_5!$BI53))))),"")</f>
        <v/>
      </c>
      <c r="BA58" s="1122" t="str">
        <f>IFERROR(IF(HLOOKUP(BA$15,Data_5!$F$10:$BG$42,$A58+2,FALSE)="NO","NO",IF(HLOOKUP(BA$15,Data_5!$F$10:$BG$42,$A58+2,FALSE)="IE","IE",IF(HLOOKUP(BA$15,Data_5!$F$10:$BG$42,$A58+2,FALSE)="NE","NE",IF(HLOOKUP(BA$15,Data_5!$F$10:$BG$42,$A58+2,FALSE)="C","C",IF(HLOOKUP(BA$15,Data_5!$F$10:$BG$42,$A58+2,FALSE)="NO","NO",HLOOKUP(BA$15,Data_5!$F$10:$BG$42,$A58+2,FALSE)/Data_5!$BI53))))),"")</f>
        <v/>
      </c>
      <c r="BB58" s="1122" t="str">
        <f>IFERROR(IF(HLOOKUP(BB$15,Data_5!$F$10:$BG$42,$A58+2,FALSE)="NO","NO",IF(HLOOKUP(BB$15,Data_5!$F$10:$BG$42,$A58+2,FALSE)="IE","IE",IF(HLOOKUP(BB$15,Data_5!$F$10:$BG$42,$A58+2,FALSE)="NE","NE",IF(HLOOKUP(BB$15,Data_5!$F$10:$BG$42,$A58+2,FALSE)="C","C",IF(HLOOKUP(BB$15,Data_5!$F$10:$BG$42,$A58+2,FALSE)="NO","NO",HLOOKUP(BB$15,Data_5!$F$10:$BG$42,$A58+2,FALSE)/Data_5!$BI53))))),"")</f>
        <v/>
      </c>
      <c r="BC58" s="1122" t="str">
        <f>IFERROR(IF(HLOOKUP(BC$15,Data_5!$F$10:$BG$42,$A58+2,FALSE)="NO","NO",IF(HLOOKUP(BC$15,Data_5!$F$10:$BG$42,$A58+2,FALSE)="IE","IE",IF(HLOOKUP(BC$15,Data_5!$F$10:$BG$42,$A58+2,FALSE)="NE","NE",IF(HLOOKUP(BC$15,Data_5!$F$10:$BG$42,$A58+2,FALSE)="C","C",IF(HLOOKUP(BC$15,Data_5!$F$10:$BG$42,$A58+2,FALSE)="NO","NO",HLOOKUP(BC$15,Data_5!$F$10:$BG$42,$A58+2,FALSE)/Data_5!$BI53))))),"")</f>
        <v/>
      </c>
      <c r="BD58" s="1122" t="str">
        <f>IFERROR(IF(HLOOKUP(BD$15,Data_5!$F$10:$BG$42,$A58+2,FALSE)="NO","NO",IF(HLOOKUP(BD$15,Data_5!$F$10:$BG$42,$A58+2,FALSE)="IE","IE",IF(HLOOKUP(BD$15,Data_5!$F$10:$BG$42,$A58+2,FALSE)="NE","NE",IF(HLOOKUP(BD$15,Data_5!$F$10:$BG$42,$A58+2,FALSE)="C","C",IF(HLOOKUP(BD$15,Data_5!$F$10:$BG$42,$A58+2,FALSE)="NO","NO",HLOOKUP(BD$15,Data_5!$F$10:$BG$42,$A58+2,FALSE)/Data_5!$BI53))))),"")</f>
        <v/>
      </c>
      <c r="BE58" s="1122" t="str">
        <f>IFERROR(IF(HLOOKUP(BE$15,Data_5!$F$10:$BG$42,$A58+2,FALSE)="NO","NO",IF(HLOOKUP(BE$15,Data_5!$F$10:$BG$42,$A58+2,FALSE)="IE","IE",IF(HLOOKUP(BE$15,Data_5!$F$10:$BG$42,$A58+2,FALSE)="NE","NE",IF(HLOOKUP(BE$15,Data_5!$F$10:$BG$42,$A58+2,FALSE)="C","C",IF(HLOOKUP(BE$15,Data_5!$F$10:$BG$42,$A58+2,FALSE)="NO","NO",HLOOKUP(BE$15,Data_5!$F$10:$BG$42,$A58+2,FALSE)/Data_5!$BI53))))),"")</f>
        <v/>
      </c>
      <c r="BF58" s="1122" t="str">
        <f>IFERROR(IF(HLOOKUP(BF$15,Data_5!$F$10:$BG$42,$A58+2,FALSE)="NO","NO",IF(HLOOKUP(BF$15,Data_5!$F$10:$BG$42,$A58+2,FALSE)="IE","IE",IF(HLOOKUP(BF$15,Data_5!$F$10:$BG$42,$A58+2,FALSE)="NE","NE",IF(HLOOKUP(BF$15,Data_5!$F$10:$BG$42,$A58+2,FALSE)="C","C",IF(HLOOKUP(BF$15,Data_5!$F$10:$BG$42,$A58+2,FALSE)="NO","NO",HLOOKUP(BF$15,Data_5!$F$10:$BG$42,$A58+2,FALSE)/Data_5!$BI53))))),"")</f>
        <v/>
      </c>
      <c r="BG58" s="1122" t="str">
        <f>IFERROR(IF(HLOOKUP(BG$15,Data_5!$F$10:$BG$42,$A58+2,FALSE)="NO","NO",IF(HLOOKUP(BG$15,Data_5!$F$10:$BG$42,$A58+2,FALSE)="IE","IE",IF(HLOOKUP(BG$15,Data_5!$F$10:$BG$42,$A58+2,FALSE)="NE","NE",IF(HLOOKUP(BG$15,Data_5!$F$10:$BG$42,$A58+2,FALSE)="C","C",IF(HLOOKUP(BG$15,Data_5!$F$10:$BG$42,$A58+2,FALSE)="NO","NO",HLOOKUP(BG$15,Data_5!$F$10:$BG$42,$A58+2,FALSE)/Data_5!$BI53))))),"")</f>
        <v/>
      </c>
      <c r="BH58" s="1122" t="str">
        <f>IFERROR(IF(HLOOKUP(BH$15,Data_5!$F$10:$BG$42,$A58+2,FALSE)="NO","NO",IF(HLOOKUP(BH$15,Data_5!$F$10:$BG$42,$A58+2,FALSE)="IE","IE",IF(HLOOKUP(BH$15,Data_5!$F$10:$BG$42,$A58+2,FALSE)="NE","NE",IF(HLOOKUP(BH$15,Data_5!$F$10:$BG$42,$A58+2,FALSE)="C","C",IF(HLOOKUP(BH$15,Data_5!$F$10:$BG$42,$A58+2,FALSE)="NO","NO",HLOOKUP(BH$15,Data_5!$F$10:$BG$42,$A58+2,FALSE)/Data_5!$BI53))))),"")</f>
        <v/>
      </c>
      <c r="BI58" s="1122" t="str">
        <f>IFERROR(IF(HLOOKUP(BI$15,Data_5!$F$10:$BG$42,$A58+2,FALSE)="NO","NO",IF(HLOOKUP(BI$15,Data_5!$F$10:$BG$42,$A58+2,FALSE)="IE","IE",IF(HLOOKUP(BI$15,Data_5!$F$10:$BG$42,$A58+2,FALSE)="NE","NE",IF(HLOOKUP(BI$15,Data_5!$F$10:$BG$42,$A58+2,FALSE)="C","C",IF(HLOOKUP(BI$15,Data_5!$F$10:$BG$42,$A58+2,FALSE)="NO","NO",HLOOKUP(BI$15,Data_5!$F$10:$BG$42,$A58+2,FALSE)/Data_5!$BI53))))),"")</f>
        <v/>
      </c>
      <c r="BJ58" s="1122" t="str">
        <f>IFERROR(IF(HLOOKUP(BJ$15,Data_5!$F$10:$BG$42,$A58+2,FALSE)="NO","NO",IF(HLOOKUP(BJ$15,Data_5!$F$10:$BG$42,$A58+2,FALSE)="IE","IE",IF(HLOOKUP(BJ$15,Data_5!$F$10:$BG$42,$A58+2,FALSE)="NE","NE",IF(HLOOKUP(BJ$15,Data_5!$F$10:$BG$42,$A58+2,FALSE)="C","C",IF(HLOOKUP(BJ$15,Data_5!$F$10:$BG$42,$A58+2,FALSE)="NO","NO",HLOOKUP(BJ$15,Data_5!$F$10:$BG$42,$A58+2,FALSE)/Data_5!$BI53))))),"")</f>
        <v/>
      </c>
      <c r="BK58" s="1122" t="str">
        <f>IFERROR(IF(HLOOKUP(BK$15,Data_5!$F$10:$BG$42,$A58+2,FALSE)="NO","NO",IF(HLOOKUP(BK$15,Data_5!$F$10:$BG$42,$A58+2,FALSE)="IE","IE",IF(HLOOKUP(BK$15,Data_5!$F$10:$BG$42,$A58+2,FALSE)="NE","NE",IF(HLOOKUP(BK$15,Data_5!$F$10:$BG$42,$A58+2,FALSE)="C","C",IF(HLOOKUP(BK$15,Data_5!$F$10:$BG$42,$A58+2,FALSE)="NO","NO",HLOOKUP(BK$15,Data_5!$F$10:$BG$42,$A58+2,FALSE)/Data_5!$BI53))))),"")</f>
        <v/>
      </c>
      <c r="BL58" s="1122" t="str">
        <f>IFERROR(IF(HLOOKUP(BL$15,Data_5!$F$10:$BG$42,$A58+2,FALSE)="NO","NO",IF(HLOOKUP(BL$15,Data_5!$F$10:$BG$42,$A58+2,FALSE)="IE","IE",IF(HLOOKUP(BL$15,Data_5!$F$10:$BG$42,$A58+2,FALSE)="NE","NE",IF(HLOOKUP(BL$15,Data_5!$F$10:$BG$42,$A58+2,FALSE)="C","C",IF(HLOOKUP(BL$15,Data_5!$F$10:$BG$42,$A58+2,FALSE)="NO","NO",HLOOKUP(BL$15,Data_5!$F$10:$BG$42,$A58+2,FALSE)/Data_5!$BI53))))),"")</f>
        <v/>
      </c>
      <c r="BM58" s="1122" t="str">
        <f>IFERROR(IF(HLOOKUP(BM$15,Data_5!$F$10:$BG$42,$A58+2,FALSE)="NO","NO",IF(HLOOKUP(BM$15,Data_5!$F$10:$BG$42,$A58+2,FALSE)="IE","IE",IF(HLOOKUP(BM$15,Data_5!$F$10:$BG$42,$A58+2,FALSE)="NE","NE",IF(HLOOKUP(BM$15,Data_5!$F$10:$BG$42,$A58+2,FALSE)="C","C",IF(HLOOKUP(BM$15,Data_5!$F$10:$BG$42,$A58+2,FALSE)="NO","NO",HLOOKUP(BM$15,Data_5!$F$10:$BG$42,$A58+2,FALSE)/Data_5!$BI53))))),"")</f>
        <v/>
      </c>
      <c r="BN58" s="1122" t="str">
        <f>IFERROR(IF(HLOOKUP(BN$15,Data_5!$F$10:$BG$42,$A58+2,FALSE)="NO","NO",IF(HLOOKUP(BN$15,Data_5!$F$10:$BG$42,$A58+2,FALSE)="IE","IE",IF(HLOOKUP(BN$15,Data_5!$F$10:$BG$42,$A58+2,FALSE)="NE","NE",IF(HLOOKUP(BN$15,Data_5!$F$10:$BG$42,$A58+2,FALSE)="C","C",IF(HLOOKUP(BN$15,Data_5!$F$10:$BG$42,$A58+2,FALSE)="NO","NO",HLOOKUP(BN$15,Data_5!$F$10:$BG$42,$A58+2,FALSE)/Data_5!$BI53))))),"")</f>
        <v/>
      </c>
      <c r="BO58" s="1122" t="str">
        <f>IFERROR(IF(HLOOKUP(BO$15,Data_5!$F$10:$BG$42,$A58+2,FALSE)="NO","NO",IF(HLOOKUP(BO$15,Data_5!$F$10:$BG$42,$A58+2,FALSE)="IE","IE",IF(HLOOKUP(BO$15,Data_5!$F$10:$BG$42,$A58+2,FALSE)="NE","NE",IF(HLOOKUP(BO$15,Data_5!$F$10:$BG$42,$A58+2,FALSE)="C","C",IF(HLOOKUP(BO$15,Data_5!$F$10:$BG$42,$A58+2,FALSE)="NO","NO",HLOOKUP(BO$15,Data_5!$F$10:$BG$42,$A58+2,FALSE)/Data_5!$BI53))))),"")</f>
        <v/>
      </c>
      <c r="BP58" s="1122" t="str">
        <f>IFERROR(IF(HLOOKUP(BP$15,Data_5!$F$10:$BG$42,$A58+2,FALSE)="NO","NO",IF(HLOOKUP(BP$15,Data_5!$F$10:$BG$42,$A58+2,FALSE)="IE","IE",IF(HLOOKUP(BP$15,Data_5!$F$10:$BG$42,$A58+2,FALSE)="NE","NE",IF(HLOOKUP(BP$15,Data_5!$F$10:$BG$42,$A58+2,FALSE)="C","C",IF(HLOOKUP(BP$15,Data_5!$F$10:$BG$42,$A58+2,FALSE)="NO","NO",HLOOKUP(BP$15,Data_5!$F$10:$BG$42,$A58+2,FALSE)/Data_5!$BI53))))),"")</f>
        <v/>
      </c>
      <c r="BQ58" s="1122" t="str">
        <f>IFERROR(IF(HLOOKUP(BQ$15,Data_5!$F$10:$BG$42,$A58+2,FALSE)="NO","NO",IF(HLOOKUP(BQ$15,Data_5!$F$10:$BG$42,$A58+2,FALSE)="IE","IE",IF(HLOOKUP(BQ$15,Data_5!$F$10:$BG$42,$A58+2,FALSE)="NE","NE",IF(HLOOKUP(BQ$15,Data_5!$F$10:$BG$42,$A58+2,FALSE)="C","C",IF(HLOOKUP(BQ$15,Data_5!$F$10:$BG$42,$A58+2,FALSE)="NO","NO",HLOOKUP(BQ$15,Data_5!$F$10:$BG$42,$A58+2,FALSE)/Data_5!$BI53))))),"")</f>
        <v/>
      </c>
      <c r="BR58" s="1122" t="str">
        <f>IFERROR(IF(HLOOKUP(BR$15,Data_5!$F$10:$BG$42,$A58+2,FALSE)="NO","NO",IF(HLOOKUP(BR$15,Data_5!$F$10:$BG$42,$A58+2,FALSE)="IE","IE",IF(HLOOKUP(BR$15,Data_5!$F$10:$BG$42,$A58+2,FALSE)="NE","NE",IF(HLOOKUP(BR$15,Data_5!$F$10:$BG$42,$A58+2,FALSE)="C","C",IF(HLOOKUP(BR$15,Data_5!$F$10:$BG$42,$A58+2,FALSE)="NO","NO",HLOOKUP(BR$15,Data_5!$F$10:$BG$42,$A58+2,FALSE)/Data_5!$BI53))))),"")</f>
        <v/>
      </c>
      <c r="BS58" s="1122" t="str">
        <f>IFERROR(IF(HLOOKUP(BS$15,Data_5!$F$10:$BG$42,$A58+2,FALSE)="NO","NO",IF(HLOOKUP(BS$15,Data_5!$F$10:$BG$42,$A58+2,FALSE)="IE","IE",IF(HLOOKUP(BS$15,Data_5!$F$10:$BG$42,$A58+2,FALSE)="NE","NE",IF(HLOOKUP(BS$15,Data_5!$F$10:$BG$42,$A58+2,FALSE)="C","C",IF(HLOOKUP(BS$15,Data_5!$F$10:$BG$42,$A58+2,FALSE)="NO","NO",HLOOKUP(BS$15,Data_5!$F$10:$BG$42,$A58+2,FALSE)/Data_5!$BI53))))),"")</f>
        <v/>
      </c>
      <c r="BT58" s="1122" t="str">
        <f>IFERROR(IF(HLOOKUP(BT$15,Data_5!$F$10:$BG$42,$A58+2,FALSE)="NO","NO",IF(HLOOKUP(BT$15,Data_5!$F$10:$BG$42,$A58+2,FALSE)="IE","IE",IF(HLOOKUP(BT$15,Data_5!$F$10:$BG$42,$A58+2,FALSE)="NE","NE",IF(HLOOKUP(BT$15,Data_5!$F$10:$BG$42,$A58+2,FALSE)="C","C",IF(HLOOKUP(BT$15,Data_5!$F$10:$BG$42,$A58+2,FALSE)="NO","NO",HLOOKUP(BT$15,Data_5!$F$10:$BG$42,$A58+2,FALSE)/Data_5!$BI53))))),"")</f>
        <v/>
      </c>
      <c r="BU58" s="1122" t="str">
        <f>IFERROR(IF(HLOOKUP(BU$15,Data_5!$F$10:$BG$42,$A58+2,FALSE)="NO","NO",IF(HLOOKUP(BU$15,Data_5!$F$10:$BG$42,$A58+2,FALSE)="IE","IE",IF(HLOOKUP(BU$15,Data_5!$F$10:$BG$42,$A58+2,FALSE)="NE","NE",IF(HLOOKUP(BU$15,Data_5!$F$10:$BG$42,$A58+2,FALSE)="C","C",IF(HLOOKUP(BU$15,Data_5!$F$10:$BG$42,$A58+2,FALSE)="NO","NO",HLOOKUP(BU$15,Data_5!$F$10:$BG$42,$A58+2,FALSE)/Data_5!$BI53))))),"")</f>
        <v/>
      </c>
      <c r="BV58" s="1122" t="str">
        <f>IFERROR(IF(HLOOKUP(BV$15,Data_5!$F$10:$BG$42,$A58+2,FALSE)="NO","NO",IF(HLOOKUP(BV$15,Data_5!$F$10:$BG$42,$A58+2,FALSE)="IE","IE",IF(HLOOKUP(BV$15,Data_5!$F$10:$BG$42,$A58+2,FALSE)="NE","NE",IF(HLOOKUP(BV$15,Data_5!$F$10:$BG$42,$A58+2,FALSE)="C","C",IF(HLOOKUP(BV$15,Data_5!$F$10:$BG$42,$A58+2,FALSE)="NO","NO",HLOOKUP(BV$15,Data_5!$F$10:$BG$42,$A58+2,FALSE)/Data_5!$BI53))))),"")</f>
        <v/>
      </c>
      <c r="BW58" s="1122" t="str">
        <f>IFERROR(IF(HLOOKUP(BW$15,Data_5!$F$10:$BG$42,$A58+2,FALSE)="NO","NO",IF(HLOOKUP(BW$15,Data_5!$F$10:$BG$42,$A58+2,FALSE)="IE","IE",IF(HLOOKUP(BW$15,Data_5!$F$10:$BG$42,$A58+2,FALSE)="NE","NE",IF(HLOOKUP(BW$15,Data_5!$F$10:$BG$42,$A58+2,FALSE)="C","C",IF(HLOOKUP(BW$15,Data_5!$F$10:$BG$42,$A58+2,FALSE)="NO","NO",HLOOKUP(BW$15,Data_5!$F$10:$BG$42,$A58+2,FALSE)/Data_5!$BI53))))),"")</f>
        <v/>
      </c>
      <c r="BX58" s="1122" t="str">
        <f>IFERROR(IF(HLOOKUP(BX$15,Data_5!$F$10:$BG$42,$A58+2,FALSE)="NO","NO",IF(HLOOKUP(BX$15,Data_5!$F$10:$BG$42,$A58+2,FALSE)="IE","IE",IF(HLOOKUP(BX$15,Data_5!$F$10:$BG$42,$A58+2,FALSE)="NE","NE",IF(HLOOKUP(BX$15,Data_5!$F$10:$BG$42,$A58+2,FALSE)="C","C",IF(HLOOKUP(BX$15,Data_5!$F$10:$BG$42,$A58+2,FALSE)="NO","NO",HLOOKUP(BX$15,Data_5!$F$10:$BG$42,$A58+2,FALSE)/Data_5!$BI53))))),"")</f>
        <v/>
      </c>
      <c r="BY58" s="1122" t="str">
        <f>IFERROR(IF(HLOOKUP(BY$15,Data_5!$F$10:$BG$42,$A58+2,FALSE)="NO","NO",IF(HLOOKUP(BY$15,Data_5!$F$10:$BG$42,$A58+2,FALSE)="IE","IE",IF(HLOOKUP(BY$15,Data_5!$F$10:$BG$42,$A58+2,FALSE)="NE","NE",IF(HLOOKUP(BY$15,Data_5!$F$10:$BG$42,$A58+2,FALSE)="C","C",IF(HLOOKUP(BY$15,Data_5!$F$10:$BG$42,$A58+2,FALSE)="NO","NO",HLOOKUP(BY$15,Data_5!$F$10:$BG$42,$A58+2,FALSE)/Data_5!$BI53))))),"")</f>
        <v/>
      </c>
      <c r="BZ58" s="1122" t="str">
        <f>IFERROR(IF(HLOOKUP(BZ$15,Data_5!$F$10:$BG$42,$A58+2,FALSE)="NO","NO",IF(HLOOKUP(BZ$15,Data_5!$F$10:$BG$42,$A58+2,FALSE)="IE","IE",IF(HLOOKUP(BZ$15,Data_5!$F$10:$BG$42,$A58+2,FALSE)="NE","NE",IF(HLOOKUP(BZ$15,Data_5!$F$10:$BG$42,$A58+2,FALSE)="C","C",IF(HLOOKUP(BZ$15,Data_5!$F$10:$BG$42,$A58+2,FALSE)="NO","NO",HLOOKUP(BZ$15,Data_5!$F$10:$BG$42,$A58+2,FALSE)/Data_5!$BI53))))),"")</f>
        <v/>
      </c>
      <c r="CA58" s="1122" t="str">
        <f>IFERROR(IF(HLOOKUP(CA$15,Data_5!$F$10:$BG$42,$A58+2,FALSE)="NO","NO",IF(HLOOKUP(CA$15,Data_5!$F$10:$BG$42,$A58+2,FALSE)="IE","IE",IF(HLOOKUP(CA$15,Data_5!$F$10:$BG$42,$A58+2,FALSE)="NE","NE",IF(HLOOKUP(CA$15,Data_5!$F$10:$BG$42,$A58+2,FALSE)="C","C",IF(HLOOKUP(CA$15,Data_5!$F$10:$BG$42,$A58+2,FALSE)="NO","NO",HLOOKUP(CA$15,Data_5!$F$10:$BG$42,$A58+2,FALSE)/Data_5!$BI53))))),"")</f>
        <v/>
      </c>
      <c r="CB58" s="1122" t="str">
        <f>IFERROR(IF(HLOOKUP(CB$15,Data_5!$F$10:$BG$42,$A58+2,FALSE)="NO","NO",IF(HLOOKUP(CB$15,Data_5!$F$10:$BG$42,$A58+2,FALSE)="IE","IE",IF(HLOOKUP(CB$15,Data_5!$F$10:$BG$42,$A58+2,FALSE)="NE","NE",IF(HLOOKUP(CB$15,Data_5!$F$10:$BG$42,$A58+2,FALSE)="C","C",IF(HLOOKUP(CB$15,Data_5!$F$10:$BG$42,$A58+2,FALSE)="NO","NO",HLOOKUP(CB$15,Data_5!$F$10:$BG$42,$A58+2,FALSE)/Data_5!$BI53))))),"")</f>
        <v/>
      </c>
      <c r="CC58" s="1122" t="str">
        <f>IFERROR(IF(HLOOKUP(CC$15,Data_5!$F$10:$BG$42,$A58+2,FALSE)="NO","NO",IF(HLOOKUP(CC$15,Data_5!$F$10:$BG$42,$A58+2,FALSE)="IE","IE",IF(HLOOKUP(CC$15,Data_5!$F$10:$BG$42,$A58+2,FALSE)="NE","NE",IF(HLOOKUP(CC$15,Data_5!$F$10:$BG$42,$A58+2,FALSE)="C","C",IF(HLOOKUP(CC$15,Data_5!$F$10:$BG$42,$A58+2,FALSE)="NO","NO",HLOOKUP(CC$15,Data_5!$F$10:$BG$42,$A58+2,FALSE)/Data_5!$BI53))))),"")</f>
        <v/>
      </c>
      <c r="CD58" s="1122" t="str">
        <f>IFERROR(IF(HLOOKUP(CD$15,Data_5!$F$10:$BG$42,$A58+2,FALSE)="NO","NO",IF(HLOOKUP(CD$15,Data_5!$F$10:$BG$42,$A58+2,FALSE)="IE","IE",IF(HLOOKUP(CD$15,Data_5!$F$10:$BG$42,$A58+2,FALSE)="NE","NE",IF(HLOOKUP(CD$15,Data_5!$F$10:$BG$42,$A58+2,FALSE)="C","C",IF(HLOOKUP(CD$15,Data_5!$F$10:$BG$42,$A58+2,FALSE)="NO","NO",HLOOKUP(CD$15,Data_5!$F$10:$BG$42,$A58+2,FALSE)/Data_5!$BI53))))),"")</f>
        <v/>
      </c>
      <c r="CE58" s="1122" t="str">
        <f>IFERROR(IF(HLOOKUP(CE$15,Data_5!$F$10:$BG$42,$A58+2,FALSE)="NO","NO",IF(HLOOKUP(CE$15,Data_5!$F$10:$BG$42,$A58+2,FALSE)="IE","IE",IF(HLOOKUP(CE$15,Data_5!$F$10:$BG$42,$A58+2,FALSE)="NE","NE",IF(HLOOKUP(CE$15,Data_5!$F$10:$BG$42,$A58+2,FALSE)="C","C",IF(HLOOKUP(CE$15,Data_5!$F$10:$BG$42,$A58+2,FALSE)="NO","NO",HLOOKUP(CE$15,Data_5!$F$10:$BG$42,$A58+2,FALSE)/Data_5!$BI53))))),"")</f>
        <v/>
      </c>
      <c r="CF58" s="1122" t="str">
        <f>IFERROR(IF(HLOOKUP(CF$15,Data_5!$F$10:$BG$42,$A58+2,FALSE)="NO","NO",IF(HLOOKUP(CF$15,Data_5!$F$10:$BG$42,$A58+2,FALSE)="IE","IE",IF(HLOOKUP(CF$15,Data_5!$F$10:$BG$42,$A58+2,FALSE)="NE","NE",IF(HLOOKUP(CF$15,Data_5!$F$10:$BG$42,$A58+2,FALSE)="C","C",IF(HLOOKUP(CF$15,Data_5!$F$10:$BG$42,$A58+2,FALSE)="NO","NO",HLOOKUP(CF$15,Data_5!$F$10:$BG$42,$A58+2,FALSE)/Data_5!$BI53))))),"")</f>
        <v/>
      </c>
      <c r="CG58" s="1122" t="str">
        <f>IFERROR(IF(HLOOKUP(CG$15,Data_5!$F$10:$BG$42,$A58+2,FALSE)="NO","NO",IF(HLOOKUP(CG$15,Data_5!$F$10:$BG$42,$A58+2,FALSE)="IE","IE",IF(HLOOKUP(CG$15,Data_5!$F$10:$BG$42,$A58+2,FALSE)="NE","NE",IF(HLOOKUP(CG$15,Data_5!$F$10:$BG$42,$A58+2,FALSE)="C","C",IF(HLOOKUP(CG$15,Data_5!$F$10:$BG$42,$A58+2,FALSE)="NO","NO",HLOOKUP(CG$15,Data_5!$F$10:$BG$42,$A58+2,FALSE)/Data_5!$BI53))))),"")</f>
        <v/>
      </c>
      <c r="CH58" s="1122" t="str">
        <f>IFERROR(IF(HLOOKUP(CH$15,Data_5!$F$10:$BG$42,$A58+2,FALSE)="NO","NO",IF(HLOOKUP(CH$15,Data_5!$F$10:$BG$42,$A58+2,FALSE)="IE","IE",IF(HLOOKUP(CH$15,Data_5!$F$10:$BG$42,$A58+2,FALSE)="NE","NE",IF(HLOOKUP(CH$15,Data_5!$F$10:$BG$42,$A58+2,FALSE)="C","C",IF(HLOOKUP(CH$15,Data_5!$F$10:$BG$42,$A58+2,FALSE)="NO","NO",HLOOKUP(CH$15,Data_5!$F$10:$BG$42,$A58+2,FALSE)/Data_5!$BI53))))),"")</f>
        <v/>
      </c>
      <c r="CI58" s="1122" t="str">
        <f>IFERROR(IF(HLOOKUP(CI$15,Data_5!$F$10:$BG$42,$A58+2,FALSE)="NO","NO",IF(HLOOKUP(CI$15,Data_5!$F$10:$BG$42,$A58+2,FALSE)="IE","IE",IF(HLOOKUP(CI$15,Data_5!$F$10:$BG$42,$A58+2,FALSE)="NE","NE",IF(HLOOKUP(CI$15,Data_5!$F$10:$BG$42,$A58+2,FALSE)="C","C",IF(HLOOKUP(CI$15,Data_5!$F$10:$BG$42,$A58+2,FALSE)="NO","NO",HLOOKUP(CI$15,Data_5!$F$10:$BG$42,$A58+2,FALSE)/Data_5!$BI53))))),"")</f>
        <v/>
      </c>
      <c r="CJ58" s="1122" t="str">
        <f>IFERROR(IF(HLOOKUP(CJ$15,Data_5!$F$10:$BG$42,$A58+2,FALSE)="NO","NO",IF(HLOOKUP(CJ$15,Data_5!$F$10:$BG$42,$A58+2,FALSE)="IE","IE",IF(HLOOKUP(CJ$15,Data_5!$F$10:$BG$42,$A58+2,FALSE)="NE","NE",IF(HLOOKUP(CJ$15,Data_5!$F$10:$BG$42,$A58+2,FALSE)="C","C",IF(HLOOKUP(CJ$15,Data_5!$F$10:$BG$42,$A58+2,FALSE)="NO","NO",HLOOKUP(CJ$15,Data_5!$F$10:$BG$42,$A58+2,FALSE)/Data_5!$BI53))))),"")</f>
        <v/>
      </c>
      <c r="CL58" s="2628" t="str">
        <f t="shared" ca="1" si="6"/>
        <v/>
      </c>
      <c r="CM58" s="2629"/>
      <c r="CN58" s="1100" t="str">
        <f t="shared" ca="1" si="7"/>
        <v/>
      </c>
      <c r="CO58" s="1122" t="str">
        <f>IFERROR(IF(HLOOKUP(CO$15,Data_5!$F$10:$BG$42,$A58+2,FALSE)="NO","NO",IF(HLOOKUP(CO$15,Data_5!$F$10:$BG$42,$A58+2,FALSE)="IE","IE",IF(HLOOKUP(CO$15,Data_5!$F$10:$BG$42,$A58+2,FALSE)="NE","NE",IF(HLOOKUP(CO$15,Data_5!$F$10:$BG$42,$A58+2,FALSE)="C","C",IF(HLOOKUP(CO$15,Data_5!$F$10:$BG$42,$A58+2,FALSE)="NO","NO",HLOOKUP(CO$15,Data_5!$F$10:$BG$42,$A58+2,FALSE)/Data_5!$BK53))))),"")</f>
        <v/>
      </c>
      <c r="CP58" s="1122" t="str">
        <f>IFERROR(IF(HLOOKUP(CP$15,Data_5!$F$10:$BG$42,$A58+2,FALSE)="NO","NO",IF(HLOOKUP(CP$15,Data_5!$F$10:$BG$42,$A58+2,FALSE)="IE","IE",IF(HLOOKUP(CP$15,Data_5!$F$10:$BG$42,$A58+2,FALSE)="NE","NE",IF(HLOOKUP(CP$15,Data_5!$F$10:$BG$42,$A58+2,FALSE)="C","C",IF(HLOOKUP(CP$15,Data_5!$F$10:$BG$42,$A58+2,FALSE)="NO","NO",HLOOKUP(CP$15,Data_5!$F$10:$BG$42,$A58+2,FALSE)/Data_5!$BK53))))),"")</f>
        <v/>
      </c>
      <c r="CQ58" s="1122" t="str">
        <f>IFERROR(IF(HLOOKUP(CQ$15,Data_5!$F$10:$BG$42,$A58+2,FALSE)="NO","NO",IF(HLOOKUP(CQ$15,Data_5!$F$10:$BG$42,$A58+2,FALSE)="IE","IE",IF(HLOOKUP(CQ$15,Data_5!$F$10:$BG$42,$A58+2,FALSE)="NE","NE",IF(HLOOKUP(CQ$15,Data_5!$F$10:$BG$42,$A58+2,FALSE)="C","C",IF(HLOOKUP(CQ$15,Data_5!$F$10:$BG$42,$A58+2,FALSE)="NO","NO",HLOOKUP(CQ$15,Data_5!$F$10:$BG$42,$A58+2,FALSE)/Data_5!$BK53))))),"")</f>
        <v/>
      </c>
      <c r="CR58" s="1122" t="str">
        <f>IFERROR(IF(HLOOKUP(CR$15,Data_5!$F$10:$BG$42,$A58+2,FALSE)="NO","NO",IF(HLOOKUP(CR$15,Data_5!$F$10:$BG$42,$A58+2,FALSE)="IE","IE",IF(HLOOKUP(CR$15,Data_5!$F$10:$BG$42,$A58+2,FALSE)="NE","NE",IF(HLOOKUP(CR$15,Data_5!$F$10:$BG$42,$A58+2,FALSE)="C","C",IF(HLOOKUP(CR$15,Data_5!$F$10:$BG$42,$A58+2,FALSE)="NO","NO",HLOOKUP(CR$15,Data_5!$F$10:$BG$42,$A58+2,FALSE)/Data_5!$BK53))))),"")</f>
        <v/>
      </c>
      <c r="CS58" s="1122" t="str">
        <f>IFERROR(IF(HLOOKUP(CS$15,Data_5!$F$10:$BG$42,$A58+2,FALSE)="NO","NO",IF(HLOOKUP(CS$15,Data_5!$F$10:$BG$42,$A58+2,FALSE)="IE","IE",IF(HLOOKUP(CS$15,Data_5!$F$10:$BG$42,$A58+2,FALSE)="NE","NE",IF(HLOOKUP(CS$15,Data_5!$F$10:$BG$42,$A58+2,FALSE)="C","C",IF(HLOOKUP(CS$15,Data_5!$F$10:$BG$42,$A58+2,FALSE)="NO","NO",HLOOKUP(CS$15,Data_5!$F$10:$BG$42,$A58+2,FALSE)/Data_5!$BK53))))),"")</f>
        <v/>
      </c>
      <c r="CT58" s="1122" t="str">
        <f>IFERROR(IF(HLOOKUP(CT$15,Data_5!$F$10:$BG$42,$A58+2,FALSE)="NO","NO",IF(HLOOKUP(CT$15,Data_5!$F$10:$BG$42,$A58+2,FALSE)="IE","IE",IF(HLOOKUP(CT$15,Data_5!$F$10:$BG$42,$A58+2,FALSE)="NE","NE",IF(HLOOKUP(CT$15,Data_5!$F$10:$BG$42,$A58+2,FALSE)="C","C",IF(HLOOKUP(CT$15,Data_5!$F$10:$BG$42,$A58+2,FALSE)="NO","NO",HLOOKUP(CT$15,Data_5!$F$10:$BG$42,$A58+2,FALSE)/Data_5!$BK53))))),"")</f>
        <v/>
      </c>
      <c r="CU58" s="1122" t="str">
        <f>IFERROR(IF(HLOOKUP(CU$15,Data_5!$F$10:$BG$42,$A58+2,FALSE)="NO","NO",IF(HLOOKUP(CU$15,Data_5!$F$10:$BG$42,$A58+2,FALSE)="IE","IE",IF(HLOOKUP(CU$15,Data_5!$F$10:$BG$42,$A58+2,FALSE)="NE","NE",IF(HLOOKUP(CU$15,Data_5!$F$10:$BG$42,$A58+2,FALSE)="C","C",IF(HLOOKUP(CU$15,Data_5!$F$10:$BG$42,$A58+2,FALSE)="NO","NO",HLOOKUP(CU$15,Data_5!$F$10:$BG$42,$A58+2,FALSE)/Data_5!$BK53))))),"")</f>
        <v/>
      </c>
      <c r="CV58" s="1122" t="str">
        <f>IFERROR(IF(HLOOKUP(CV$15,Data_5!$F$10:$BG$42,$A58+2,FALSE)="NO","NO",IF(HLOOKUP(CV$15,Data_5!$F$10:$BG$42,$A58+2,FALSE)="IE","IE",IF(HLOOKUP(CV$15,Data_5!$F$10:$BG$42,$A58+2,FALSE)="NE","NE",IF(HLOOKUP(CV$15,Data_5!$F$10:$BG$42,$A58+2,FALSE)="C","C",IF(HLOOKUP(CV$15,Data_5!$F$10:$BG$42,$A58+2,FALSE)="NO","NO",HLOOKUP(CV$15,Data_5!$F$10:$BG$42,$A58+2,FALSE)/Data_5!$BK53))))),"")</f>
        <v/>
      </c>
      <c r="CW58" s="1122" t="str">
        <f>IFERROR(IF(HLOOKUP(CW$15,Data_5!$F$10:$BG$42,$A58+2,FALSE)="NO","NO",IF(HLOOKUP(CW$15,Data_5!$F$10:$BG$42,$A58+2,FALSE)="IE","IE",IF(HLOOKUP(CW$15,Data_5!$F$10:$BG$42,$A58+2,FALSE)="NE","NE",IF(HLOOKUP(CW$15,Data_5!$F$10:$BG$42,$A58+2,FALSE)="C","C",IF(HLOOKUP(CW$15,Data_5!$F$10:$BG$42,$A58+2,FALSE)="NO","NO",HLOOKUP(CW$15,Data_5!$F$10:$BG$42,$A58+2,FALSE)/Data_5!$BK53))))),"")</f>
        <v/>
      </c>
      <c r="CX58" s="1122" t="str">
        <f>IFERROR(IF(HLOOKUP(CX$15,Data_5!$F$10:$BG$42,$A58+2,FALSE)="NO","NO",IF(HLOOKUP(CX$15,Data_5!$F$10:$BG$42,$A58+2,FALSE)="IE","IE",IF(HLOOKUP(CX$15,Data_5!$F$10:$BG$42,$A58+2,FALSE)="NE","NE",IF(HLOOKUP(CX$15,Data_5!$F$10:$BG$42,$A58+2,FALSE)="C","C",IF(HLOOKUP(CX$15,Data_5!$F$10:$BG$42,$A58+2,FALSE)="NO","NO",HLOOKUP(CX$15,Data_5!$F$10:$BG$42,$A58+2,FALSE)/Data_5!$BK53))))),"")</f>
        <v/>
      </c>
      <c r="CY58" s="1122" t="str">
        <f>IFERROR(IF(HLOOKUP(CY$15,Data_5!$F$10:$BG$42,$A58+2,FALSE)="NO","NO",IF(HLOOKUP(CY$15,Data_5!$F$10:$BG$42,$A58+2,FALSE)="IE","IE",IF(HLOOKUP(CY$15,Data_5!$F$10:$BG$42,$A58+2,FALSE)="NE","NE",IF(HLOOKUP(CY$15,Data_5!$F$10:$BG$42,$A58+2,FALSE)="C","C",IF(HLOOKUP(CY$15,Data_5!$F$10:$BG$42,$A58+2,FALSE)="NO","NO",HLOOKUP(CY$15,Data_5!$F$10:$BG$42,$A58+2,FALSE)/Data_5!$BK53))))),"")</f>
        <v/>
      </c>
      <c r="CZ58" s="1122" t="str">
        <f>IFERROR(IF(HLOOKUP(CZ$15,Data_5!$F$10:$BG$42,$A58+2,FALSE)="NO","NO",IF(HLOOKUP(CZ$15,Data_5!$F$10:$BG$42,$A58+2,FALSE)="IE","IE",IF(HLOOKUP(CZ$15,Data_5!$F$10:$BG$42,$A58+2,FALSE)="NE","NE",IF(HLOOKUP(CZ$15,Data_5!$F$10:$BG$42,$A58+2,FALSE)="C","C",IF(HLOOKUP(CZ$15,Data_5!$F$10:$BG$42,$A58+2,FALSE)="NO","NO",HLOOKUP(CZ$15,Data_5!$F$10:$BG$42,$A58+2,FALSE)/Data_5!$BK53))))),"")</f>
        <v/>
      </c>
      <c r="DA58" s="1122" t="str">
        <f>IFERROR(IF(HLOOKUP(DA$15,Data_5!$F$10:$BG$42,$A58+2,FALSE)="NO","NO",IF(HLOOKUP(DA$15,Data_5!$F$10:$BG$42,$A58+2,FALSE)="IE","IE",IF(HLOOKUP(DA$15,Data_5!$F$10:$BG$42,$A58+2,FALSE)="NE","NE",IF(HLOOKUP(DA$15,Data_5!$F$10:$BG$42,$A58+2,FALSE)="C","C",IF(HLOOKUP(DA$15,Data_5!$F$10:$BG$42,$A58+2,FALSE)="NO","NO",HLOOKUP(DA$15,Data_5!$F$10:$BG$42,$A58+2,FALSE)/Data_5!$BK53))))),"")</f>
        <v/>
      </c>
      <c r="DB58" s="1122" t="str">
        <f>IFERROR(IF(HLOOKUP(DB$15,Data_5!$F$10:$BG$42,$A58+2,FALSE)="NO","NO",IF(HLOOKUP(DB$15,Data_5!$F$10:$BG$42,$A58+2,FALSE)="IE","IE",IF(HLOOKUP(DB$15,Data_5!$F$10:$BG$42,$A58+2,FALSE)="NE","NE",IF(HLOOKUP(DB$15,Data_5!$F$10:$BG$42,$A58+2,FALSE)="C","C",IF(HLOOKUP(DB$15,Data_5!$F$10:$BG$42,$A58+2,FALSE)="NO","NO",HLOOKUP(DB$15,Data_5!$F$10:$BG$42,$A58+2,FALSE)/Data_5!$BK53))))),"")</f>
        <v/>
      </c>
      <c r="DC58" s="1122" t="str">
        <f>IFERROR(IF(HLOOKUP(DC$15,Data_5!$F$10:$BG$42,$A58+2,FALSE)="NO","NO",IF(HLOOKUP(DC$15,Data_5!$F$10:$BG$42,$A58+2,FALSE)="IE","IE",IF(HLOOKUP(DC$15,Data_5!$F$10:$BG$42,$A58+2,FALSE)="NE","NE",IF(HLOOKUP(DC$15,Data_5!$F$10:$BG$42,$A58+2,FALSE)="C","C",IF(HLOOKUP(DC$15,Data_5!$F$10:$BG$42,$A58+2,FALSE)="NO","NO",HLOOKUP(DC$15,Data_5!$F$10:$BG$42,$A58+2,FALSE)/Data_5!$BK53))))),"")</f>
        <v/>
      </c>
      <c r="DD58" s="1122" t="str">
        <f>IFERROR(IF(HLOOKUP(DD$15,Data_5!$F$10:$BG$42,$A58+2,FALSE)="NO","NO",IF(HLOOKUP(DD$15,Data_5!$F$10:$BG$42,$A58+2,FALSE)="IE","IE",IF(HLOOKUP(DD$15,Data_5!$F$10:$BG$42,$A58+2,FALSE)="NE","NE",IF(HLOOKUP(DD$15,Data_5!$F$10:$BG$42,$A58+2,FALSE)="C","C",IF(HLOOKUP(DD$15,Data_5!$F$10:$BG$42,$A58+2,FALSE)="NO","NO",HLOOKUP(DD$15,Data_5!$F$10:$BG$42,$A58+2,FALSE)/Data_5!$BK53))))),"")</f>
        <v/>
      </c>
      <c r="DE58" s="1122" t="str">
        <f>IFERROR(IF(HLOOKUP(DE$15,Data_5!$F$10:$BG$42,$A58+2,FALSE)="NO","NO",IF(HLOOKUP(DE$15,Data_5!$F$10:$BG$42,$A58+2,FALSE)="IE","IE",IF(HLOOKUP(DE$15,Data_5!$F$10:$BG$42,$A58+2,FALSE)="NE","NE",IF(HLOOKUP(DE$15,Data_5!$F$10:$BG$42,$A58+2,FALSE)="C","C",IF(HLOOKUP(DE$15,Data_5!$F$10:$BG$42,$A58+2,FALSE)="NO","NO",HLOOKUP(DE$15,Data_5!$F$10:$BG$42,$A58+2,FALSE)/Data_5!$BK53))))),"")</f>
        <v/>
      </c>
      <c r="DF58" s="1122" t="str">
        <f>IFERROR(IF(HLOOKUP(DF$15,Data_5!$F$10:$BG$42,$A58+2,FALSE)="NO","NO",IF(HLOOKUP(DF$15,Data_5!$F$10:$BG$42,$A58+2,FALSE)="IE","IE",IF(HLOOKUP(DF$15,Data_5!$F$10:$BG$42,$A58+2,FALSE)="NE","NE",IF(HLOOKUP(DF$15,Data_5!$F$10:$BG$42,$A58+2,FALSE)="C","C",IF(HLOOKUP(DF$15,Data_5!$F$10:$BG$42,$A58+2,FALSE)="NO","NO",HLOOKUP(DF$15,Data_5!$F$10:$BG$42,$A58+2,FALSE)/Data_5!$BK53))))),"")</f>
        <v/>
      </c>
      <c r="DG58" s="1122" t="str">
        <f>IFERROR(IF(HLOOKUP(DG$15,Data_5!$F$10:$BG$42,$A58+2,FALSE)="NO","NO",IF(HLOOKUP(DG$15,Data_5!$F$10:$BG$42,$A58+2,FALSE)="IE","IE",IF(HLOOKUP(DG$15,Data_5!$F$10:$BG$42,$A58+2,FALSE)="NE","NE",IF(HLOOKUP(DG$15,Data_5!$F$10:$BG$42,$A58+2,FALSE)="C","C",IF(HLOOKUP(DG$15,Data_5!$F$10:$BG$42,$A58+2,FALSE)="NO","NO",HLOOKUP(DG$15,Data_5!$F$10:$BG$42,$A58+2,FALSE)/Data_5!$BK53))))),"")</f>
        <v/>
      </c>
      <c r="DH58" s="1122" t="str">
        <f>IFERROR(IF(HLOOKUP(DH$15,Data_5!$F$10:$BG$42,$A58+2,FALSE)="NO","NO",IF(HLOOKUP(DH$15,Data_5!$F$10:$BG$42,$A58+2,FALSE)="IE","IE",IF(HLOOKUP(DH$15,Data_5!$F$10:$BG$42,$A58+2,FALSE)="NE","NE",IF(HLOOKUP(DH$15,Data_5!$F$10:$BG$42,$A58+2,FALSE)="C","C",IF(HLOOKUP(DH$15,Data_5!$F$10:$BG$42,$A58+2,FALSE)="NO","NO",HLOOKUP(DH$15,Data_5!$F$10:$BG$42,$A58+2,FALSE)/Data_5!$BK53))))),"")</f>
        <v/>
      </c>
      <c r="DI58" s="1122" t="str">
        <f>IFERROR(IF(HLOOKUP(DI$15,Data_5!$F$10:$BG$42,$A58+2,FALSE)="NO","NO",IF(HLOOKUP(DI$15,Data_5!$F$10:$BG$42,$A58+2,FALSE)="IE","IE",IF(HLOOKUP(DI$15,Data_5!$F$10:$BG$42,$A58+2,FALSE)="NE","NE",IF(HLOOKUP(DI$15,Data_5!$F$10:$BG$42,$A58+2,FALSE)="C","C",IF(HLOOKUP(DI$15,Data_5!$F$10:$BG$42,$A58+2,FALSE)="NO","NO",HLOOKUP(DI$15,Data_5!$F$10:$BG$42,$A58+2,FALSE)/Data_5!$BK53))))),"")</f>
        <v/>
      </c>
      <c r="DJ58" s="1122" t="str">
        <f>IFERROR(IF(HLOOKUP(DJ$15,Data_5!$F$10:$BG$42,$A58+2,FALSE)="NO","NO",IF(HLOOKUP(DJ$15,Data_5!$F$10:$BG$42,$A58+2,FALSE)="IE","IE",IF(HLOOKUP(DJ$15,Data_5!$F$10:$BG$42,$A58+2,FALSE)="NE","NE",IF(HLOOKUP(DJ$15,Data_5!$F$10:$BG$42,$A58+2,FALSE)="C","C",IF(HLOOKUP(DJ$15,Data_5!$F$10:$BG$42,$A58+2,FALSE)="NO","NO",HLOOKUP(DJ$15,Data_5!$F$10:$BG$42,$A58+2,FALSE)/Data_5!$BK53))))),"")</f>
        <v/>
      </c>
      <c r="DK58" s="1122" t="str">
        <f>IFERROR(IF(HLOOKUP(DK$15,Data_5!$F$10:$BG$42,$A58+2,FALSE)="NO","NO",IF(HLOOKUP(DK$15,Data_5!$F$10:$BG$42,$A58+2,FALSE)="IE","IE",IF(HLOOKUP(DK$15,Data_5!$F$10:$BG$42,$A58+2,FALSE)="NE","NE",IF(HLOOKUP(DK$15,Data_5!$F$10:$BG$42,$A58+2,FALSE)="C","C",IF(HLOOKUP(DK$15,Data_5!$F$10:$BG$42,$A58+2,FALSE)="NO","NO",HLOOKUP(DK$15,Data_5!$F$10:$BG$42,$A58+2,FALSE)/Data_5!$BK53))))),"")</f>
        <v/>
      </c>
      <c r="DL58" s="1122" t="str">
        <f>IFERROR(IF(HLOOKUP(DL$15,Data_5!$F$10:$BG$42,$A58+2,FALSE)="NO","NO",IF(HLOOKUP(DL$15,Data_5!$F$10:$BG$42,$A58+2,FALSE)="IE","IE",IF(HLOOKUP(DL$15,Data_5!$F$10:$BG$42,$A58+2,FALSE)="NE","NE",IF(HLOOKUP(DL$15,Data_5!$F$10:$BG$42,$A58+2,FALSE)="C","C",IF(HLOOKUP(DL$15,Data_5!$F$10:$BG$42,$A58+2,FALSE)="NO","NO",HLOOKUP(DL$15,Data_5!$F$10:$BG$42,$A58+2,FALSE)/Data_5!$BK53))))),"")</f>
        <v/>
      </c>
      <c r="DM58" s="1122" t="str">
        <f>IFERROR(IF(HLOOKUP(DM$15,Data_5!$F$10:$BG$42,$A58+2,FALSE)="NO","NO",IF(HLOOKUP(DM$15,Data_5!$F$10:$BG$42,$A58+2,FALSE)="IE","IE",IF(HLOOKUP(DM$15,Data_5!$F$10:$BG$42,$A58+2,FALSE)="NE","NE",IF(HLOOKUP(DM$15,Data_5!$F$10:$BG$42,$A58+2,FALSE)="C","C",IF(HLOOKUP(DM$15,Data_5!$F$10:$BG$42,$A58+2,FALSE)="NO","NO",HLOOKUP(DM$15,Data_5!$F$10:$BG$42,$A58+2,FALSE)/Data_5!$BK53))))),"")</f>
        <v/>
      </c>
      <c r="DN58" s="1122" t="str">
        <f>IFERROR(IF(HLOOKUP(DN$15,Data_5!$F$10:$BG$42,$A58+2,FALSE)="NO","NO",IF(HLOOKUP(DN$15,Data_5!$F$10:$BG$42,$A58+2,FALSE)="IE","IE",IF(HLOOKUP(DN$15,Data_5!$F$10:$BG$42,$A58+2,FALSE)="NE","NE",IF(HLOOKUP(DN$15,Data_5!$F$10:$BG$42,$A58+2,FALSE)="C","C",IF(HLOOKUP(DN$15,Data_5!$F$10:$BG$42,$A58+2,FALSE)="NO","NO",HLOOKUP(DN$15,Data_5!$F$10:$BG$42,$A58+2,FALSE)/Data_5!$BK53))))),"")</f>
        <v/>
      </c>
      <c r="DO58" s="1122" t="str">
        <f>IFERROR(IF(HLOOKUP(DO$15,Data_5!$F$10:$BG$42,$A58+2,FALSE)="NO","NO",IF(HLOOKUP(DO$15,Data_5!$F$10:$BG$42,$A58+2,FALSE)="IE","IE",IF(HLOOKUP(DO$15,Data_5!$F$10:$BG$42,$A58+2,FALSE)="NE","NE",IF(HLOOKUP(DO$15,Data_5!$F$10:$BG$42,$A58+2,FALSE)="C","C",IF(HLOOKUP(DO$15,Data_5!$F$10:$BG$42,$A58+2,FALSE)="NO","NO",HLOOKUP(DO$15,Data_5!$F$10:$BG$42,$A58+2,FALSE)/Data_5!$BK53))))),"")</f>
        <v/>
      </c>
    </row>
    <row r="59" spans="1:119" ht="15" customHeight="1">
      <c r="A59" s="1789">
        <v>43</v>
      </c>
      <c r="B59" s="2628" t="str">
        <f ca="1">IF(Data_5!B54&lt;&gt;"",Data_5!B54,"")</f>
        <v/>
      </c>
      <c r="C59" s="2629"/>
      <c r="D59" s="1462">
        <f ca="1">IFERROR(VLOOKUP($B59,Data_5!$B$12:$C$42,2,FALSE),"")</f>
        <v>0</v>
      </c>
      <c r="E59" s="1122" t="str">
        <f>IFERROR(IF(HLOOKUP(E$15,Data_5!$F$10:$BG$42,$A59+2,FALSE)="NO","NO",IF(HLOOKUP(E$15,Data_5!$F$10:$BG$42,$A59+2,FALSE)="IE","IE",IF(HLOOKUP(E$15,Data_5!$F$10:$BG$42,$A59+2,FALSE)="NE","NE",IF(HLOOKUP(E$15,Data_5!$F$10:$BG$42,$A59+2,FALSE)="C","C",IF(HLOOKUP(E$15,Data_5!$F$10:$BG$42,$A59+2,FALSE)="NO","NO",HLOOKUP(E$15,Data_5!$F$10:$BG$42,$A59+2,FALSE)/Data_5!$BH54))))),"")</f>
        <v/>
      </c>
      <c r="F59" s="1122" t="str">
        <f>IFERROR(IF(HLOOKUP(F$15,Data_5!$F$10:$BG$42,$A59+2,FALSE)="NO","NO",IF(HLOOKUP(F$15,Data_5!$F$10:$BG$42,$A59+2,FALSE)="IE","IE",IF(HLOOKUP(F$15,Data_5!$F$10:$BG$42,$A59+2,FALSE)="NE","NE",IF(HLOOKUP(F$15,Data_5!$F$10:$BG$42,$A59+2,FALSE)="C","C",IF(HLOOKUP(F$15,Data_5!$F$10:$BG$42,$A59+2,FALSE)="NO","NO",HLOOKUP(F$15,Data_5!$F$10:$BG$42,$A59+2,FALSE)/Data_5!$BH54))))),"")</f>
        <v/>
      </c>
      <c r="G59" s="1122" t="str">
        <f>IFERROR(IF(HLOOKUP(G$15,Data_5!$F$10:$BG$42,$A59+2,FALSE)="NO","NO",IF(HLOOKUP(G$15,Data_5!$F$10:$BG$42,$A59+2,FALSE)="IE","IE",IF(HLOOKUP(G$15,Data_5!$F$10:$BG$42,$A59+2,FALSE)="NE","NE",IF(HLOOKUP(G$15,Data_5!$F$10:$BG$42,$A59+2,FALSE)="C","C",IF(HLOOKUP(G$15,Data_5!$F$10:$BG$42,$A59+2,FALSE)="NO","NO",HLOOKUP(G$15,Data_5!$F$10:$BG$42,$A59+2,FALSE)/Data_5!$BH54))))),"")</f>
        <v/>
      </c>
      <c r="H59" s="1122" t="str">
        <f>IFERROR(IF(HLOOKUP(H$15,Data_5!$F$10:$BG$42,$A59+2,FALSE)="NO","NO",IF(HLOOKUP(H$15,Data_5!$F$10:$BG$42,$A59+2,FALSE)="IE","IE",IF(HLOOKUP(H$15,Data_5!$F$10:$BG$42,$A59+2,FALSE)="NE","NE",IF(HLOOKUP(H$15,Data_5!$F$10:$BG$42,$A59+2,FALSE)="C","C",IF(HLOOKUP(H$15,Data_5!$F$10:$BG$42,$A59+2,FALSE)="NO","NO",HLOOKUP(H$15,Data_5!$F$10:$BG$42,$A59+2,FALSE)/Data_5!$BH54))))),"")</f>
        <v/>
      </c>
      <c r="I59" s="1122" t="str">
        <f>IFERROR(IF(HLOOKUP(I$15,Data_5!$F$10:$BG$42,$A59+2,FALSE)="NO","NO",IF(HLOOKUP(I$15,Data_5!$F$10:$BG$42,$A59+2,FALSE)="IE","IE",IF(HLOOKUP(I$15,Data_5!$F$10:$BG$42,$A59+2,FALSE)="NE","NE",IF(HLOOKUP(I$15,Data_5!$F$10:$BG$42,$A59+2,FALSE)="C","C",IF(HLOOKUP(I$15,Data_5!$F$10:$BG$42,$A59+2,FALSE)="NO","NO",HLOOKUP(I$15,Data_5!$F$10:$BG$42,$A59+2,FALSE)/Data_5!$BH54))))),"")</f>
        <v/>
      </c>
      <c r="J59" s="1122" t="str">
        <f>IFERROR(IF(HLOOKUP(J$15,Data_5!$F$10:$BG$42,$A59+2,FALSE)="NO","NO",IF(HLOOKUP(J$15,Data_5!$F$10:$BG$42,$A59+2,FALSE)="IE","IE",IF(HLOOKUP(J$15,Data_5!$F$10:$BG$42,$A59+2,FALSE)="NE","NE",IF(HLOOKUP(J$15,Data_5!$F$10:$BG$42,$A59+2,FALSE)="C","C",IF(HLOOKUP(J$15,Data_5!$F$10:$BG$42,$A59+2,FALSE)="NO","NO",HLOOKUP(J$15,Data_5!$F$10:$BG$42,$A59+2,FALSE)/Data_5!$BH54))))),"")</f>
        <v/>
      </c>
      <c r="K59" s="1122" t="str">
        <f>IFERROR(IF(HLOOKUP(K$15,Data_5!$F$10:$BG$42,$A59+2,FALSE)="NO","NO",IF(HLOOKUP(K$15,Data_5!$F$10:$BG$42,$A59+2,FALSE)="IE","IE",IF(HLOOKUP(K$15,Data_5!$F$10:$BG$42,$A59+2,FALSE)="NE","NE",IF(HLOOKUP(K$15,Data_5!$F$10:$BG$42,$A59+2,FALSE)="C","C",IF(HLOOKUP(K$15,Data_5!$F$10:$BG$42,$A59+2,FALSE)="NO","NO",HLOOKUP(K$15,Data_5!$F$10:$BG$42,$A59+2,FALSE)/Data_5!$BH54))))),"")</f>
        <v/>
      </c>
      <c r="L59" s="1122" t="str">
        <f>IFERROR(IF(HLOOKUP(L$15,Data_5!$F$10:$BG$42,$A59+2,FALSE)="NO","NO",IF(HLOOKUP(L$15,Data_5!$F$10:$BG$42,$A59+2,FALSE)="IE","IE",IF(HLOOKUP(L$15,Data_5!$F$10:$BG$42,$A59+2,FALSE)="NE","NE",IF(HLOOKUP(L$15,Data_5!$F$10:$BG$42,$A59+2,FALSE)="C","C",IF(HLOOKUP(L$15,Data_5!$F$10:$BG$42,$A59+2,FALSE)="NO","NO",HLOOKUP(L$15,Data_5!$F$10:$BG$42,$A59+2,FALSE)/Data_5!$BH54))))),"")</f>
        <v/>
      </c>
      <c r="M59" s="1122" t="str">
        <f>IFERROR(IF(HLOOKUP(M$15,Data_5!$F$10:$BG$42,$A59+2,FALSE)="NO","NO",IF(HLOOKUP(M$15,Data_5!$F$10:$BG$42,$A59+2,FALSE)="IE","IE",IF(HLOOKUP(M$15,Data_5!$F$10:$BG$42,$A59+2,FALSE)="NE","NE",IF(HLOOKUP(M$15,Data_5!$F$10:$BG$42,$A59+2,FALSE)="C","C",IF(HLOOKUP(M$15,Data_5!$F$10:$BG$42,$A59+2,FALSE)="NO","NO",HLOOKUP(M$15,Data_5!$F$10:$BG$42,$A59+2,FALSE)/Data_5!$BH54))))),"")</f>
        <v/>
      </c>
      <c r="N59" s="1122" t="str">
        <f>IFERROR(IF(HLOOKUP(N$15,Data_5!$F$10:$BG$42,$A59+2,FALSE)="NO","NO",IF(HLOOKUP(N$15,Data_5!$F$10:$BG$42,$A59+2,FALSE)="IE","IE",IF(HLOOKUP(N$15,Data_5!$F$10:$BG$42,$A59+2,FALSE)="NE","NE",IF(HLOOKUP(N$15,Data_5!$F$10:$BG$42,$A59+2,FALSE)="C","C",IF(HLOOKUP(N$15,Data_5!$F$10:$BG$42,$A59+2,FALSE)="NO","NO",HLOOKUP(N$15,Data_5!$F$10:$BG$42,$A59+2,FALSE)/Data_5!$BH54))))),"")</f>
        <v/>
      </c>
      <c r="O59" s="1122" t="str">
        <f>IFERROR(IF(HLOOKUP(O$15,Data_5!$F$10:$BG$42,$A59+2,FALSE)="NO","NO",IF(HLOOKUP(O$15,Data_5!$F$10:$BG$42,$A59+2,FALSE)="IE","IE",IF(HLOOKUP(O$15,Data_5!$F$10:$BG$42,$A59+2,FALSE)="NE","NE",IF(HLOOKUP(O$15,Data_5!$F$10:$BG$42,$A59+2,FALSE)="C","C",IF(HLOOKUP(O$15,Data_5!$F$10:$BG$42,$A59+2,FALSE)="NO","NO",HLOOKUP(O$15,Data_5!$F$10:$BG$42,$A59+2,FALSE)/Data_5!$BH54))))),"")</f>
        <v/>
      </c>
      <c r="P59" s="1122" t="str">
        <f>IFERROR(IF(HLOOKUP(P$15,Data_5!$F$10:$BG$42,$A59+2,FALSE)="NO","NO",IF(HLOOKUP(P$15,Data_5!$F$10:$BG$42,$A59+2,FALSE)="IE","IE",IF(HLOOKUP(P$15,Data_5!$F$10:$BG$42,$A59+2,FALSE)="NE","NE",IF(HLOOKUP(P$15,Data_5!$F$10:$BG$42,$A59+2,FALSE)="C","C",IF(HLOOKUP(P$15,Data_5!$F$10:$BG$42,$A59+2,FALSE)="NO","NO",HLOOKUP(P$15,Data_5!$F$10:$BG$42,$A59+2,FALSE)/Data_5!$BH54))))),"")</f>
        <v/>
      </c>
      <c r="Q59" s="1122" t="str">
        <f>IFERROR(IF(HLOOKUP(Q$15,Data_5!$F$10:$BG$42,$A59+2,FALSE)="NO","NO",IF(HLOOKUP(Q$15,Data_5!$F$10:$BG$42,$A59+2,FALSE)="IE","IE",IF(HLOOKUP(Q$15,Data_5!$F$10:$BG$42,$A59+2,FALSE)="NE","NE",IF(HLOOKUP(Q$15,Data_5!$F$10:$BG$42,$A59+2,FALSE)="C","C",IF(HLOOKUP(Q$15,Data_5!$F$10:$BG$42,$A59+2,FALSE)="NO","NO",HLOOKUP(Q$15,Data_5!$F$10:$BG$42,$A59+2,FALSE)/Data_5!$BH54))))),"")</f>
        <v/>
      </c>
      <c r="R59" s="1122" t="str">
        <f>IFERROR(IF(HLOOKUP(R$15,Data_5!$F$10:$BG$42,$A59+2,FALSE)="NO","NO",IF(HLOOKUP(R$15,Data_5!$F$10:$BG$42,$A59+2,FALSE)="IE","IE",IF(HLOOKUP(R$15,Data_5!$F$10:$BG$42,$A59+2,FALSE)="NE","NE",IF(HLOOKUP(R$15,Data_5!$F$10:$BG$42,$A59+2,FALSE)="C","C",IF(HLOOKUP(R$15,Data_5!$F$10:$BG$42,$A59+2,FALSE)="NO","NO",HLOOKUP(R$15,Data_5!$F$10:$BG$42,$A59+2,FALSE)/Data_5!$BH54))))),"")</f>
        <v/>
      </c>
      <c r="S59" s="1122" t="str">
        <f>IFERROR(IF(HLOOKUP(S$15,Data_5!$F$10:$BG$42,$A59+2,FALSE)="NO","NO",IF(HLOOKUP(S$15,Data_5!$F$10:$BG$42,$A59+2,FALSE)="IE","IE",IF(HLOOKUP(S$15,Data_5!$F$10:$BG$42,$A59+2,FALSE)="NE","NE",IF(HLOOKUP(S$15,Data_5!$F$10:$BG$42,$A59+2,FALSE)="C","C",IF(HLOOKUP(S$15,Data_5!$F$10:$BG$42,$A59+2,FALSE)="NO","NO",HLOOKUP(S$15,Data_5!$F$10:$BG$42,$A59+2,FALSE)/Data_5!$BH54))))),"")</f>
        <v/>
      </c>
      <c r="T59" s="1122" t="str">
        <f>IFERROR(IF(HLOOKUP(T$15,Data_5!$F$10:$BG$42,$A59+2,FALSE)="NO","NO",IF(HLOOKUP(T$15,Data_5!$F$10:$BG$42,$A59+2,FALSE)="IE","IE",IF(HLOOKUP(T$15,Data_5!$F$10:$BG$42,$A59+2,FALSE)="NE","NE",IF(HLOOKUP(T$15,Data_5!$F$10:$BG$42,$A59+2,FALSE)="C","C",IF(HLOOKUP(T$15,Data_5!$F$10:$BG$42,$A59+2,FALSE)="NO","NO",HLOOKUP(T$15,Data_5!$F$10:$BG$42,$A59+2,FALSE)/Data_5!$BH54))))),"")</f>
        <v/>
      </c>
      <c r="U59" s="1122" t="str">
        <f>IFERROR(IF(HLOOKUP(U$15,Data_5!$F$10:$BG$42,$A59+2,FALSE)="NO","NO",IF(HLOOKUP(U$15,Data_5!$F$10:$BG$42,$A59+2,FALSE)="IE","IE",IF(HLOOKUP(U$15,Data_5!$F$10:$BG$42,$A59+2,FALSE)="NE","NE",IF(HLOOKUP(U$15,Data_5!$F$10:$BG$42,$A59+2,FALSE)="C","C",IF(HLOOKUP(U$15,Data_5!$F$10:$BG$42,$A59+2,FALSE)="NO","NO",HLOOKUP(U$15,Data_5!$F$10:$BG$42,$A59+2,FALSE)/Data_5!$BH54))))),"")</f>
        <v/>
      </c>
      <c r="V59" s="1122" t="str">
        <f>IFERROR(IF(HLOOKUP(V$15,Data_5!$F$10:$BG$42,$A59+2,FALSE)="NO","NO",IF(HLOOKUP(V$15,Data_5!$F$10:$BG$42,$A59+2,FALSE)="IE","IE",IF(HLOOKUP(V$15,Data_5!$F$10:$BG$42,$A59+2,FALSE)="NE","NE",IF(HLOOKUP(V$15,Data_5!$F$10:$BG$42,$A59+2,FALSE)="C","C",IF(HLOOKUP(V$15,Data_5!$F$10:$BG$42,$A59+2,FALSE)="NO","NO",HLOOKUP(V$15,Data_5!$F$10:$BG$42,$A59+2,FALSE)/Data_5!$BH54))))),"")</f>
        <v/>
      </c>
      <c r="W59" s="1122" t="str">
        <f>IFERROR(IF(HLOOKUP(W$15,Data_5!$F$10:$BG$42,$A59+2,FALSE)="NO","NO",IF(HLOOKUP(W$15,Data_5!$F$10:$BG$42,$A59+2,FALSE)="IE","IE",IF(HLOOKUP(W$15,Data_5!$F$10:$BG$42,$A59+2,FALSE)="NE","NE",IF(HLOOKUP(W$15,Data_5!$F$10:$BG$42,$A59+2,FALSE)="C","C",IF(HLOOKUP(W$15,Data_5!$F$10:$BG$42,$A59+2,FALSE)="NO","NO",HLOOKUP(W$15,Data_5!$F$10:$BG$42,$A59+2,FALSE)/Data_5!$BH54))))),"")</f>
        <v/>
      </c>
      <c r="X59" s="1122" t="str">
        <f>IFERROR(IF(HLOOKUP(X$15,Data_5!$F$10:$BG$42,$A59+2,FALSE)="NO","NO",IF(HLOOKUP(X$15,Data_5!$F$10:$BG$42,$A59+2,FALSE)="IE","IE",IF(HLOOKUP(X$15,Data_5!$F$10:$BG$42,$A59+2,FALSE)="NE","NE",IF(HLOOKUP(X$15,Data_5!$F$10:$BG$42,$A59+2,FALSE)="C","C",IF(HLOOKUP(X$15,Data_5!$F$10:$BG$42,$A59+2,FALSE)="NO","NO",HLOOKUP(X$15,Data_5!$F$10:$BG$42,$A59+2,FALSE)/Data_5!$BH54))))),"")</f>
        <v/>
      </c>
      <c r="Y59" s="1122" t="str">
        <f>IFERROR(IF(HLOOKUP(Y$15,Data_5!$F$10:$BG$42,$A59+2,FALSE)="NO","NO",IF(HLOOKUP(Y$15,Data_5!$F$10:$BG$42,$A59+2,FALSE)="IE","IE",IF(HLOOKUP(Y$15,Data_5!$F$10:$BG$42,$A59+2,FALSE)="NE","NE",IF(HLOOKUP(Y$15,Data_5!$F$10:$BG$42,$A59+2,FALSE)="C","C",IF(HLOOKUP(Y$15,Data_5!$F$10:$BG$42,$A59+2,FALSE)="NO","NO",HLOOKUP(Y$15,Data_5!$F$10:$BG$42,$A59+2,FALSE)/Data_5!$BH54))))),"")</f>
        <v/>
      </c>
      <c r="Z59" s="1122" t="str">
        <f>IFERROR(IF(HLOOKUP(Z$15,Data_5!$F$10:$BG$42,$A59+2,FALSE)="NO","NO",IF(HLOOKUP(Z$15,Data_5!$F$10:$BG$42,$A59+2,FALSE)="IE","IE",IF(HLOOKUP(Z$15,Data_5!$F$10:$BG$42,$A59+2,FALSE)="NE","NE",IF(HLOOKUP(Z$15,Data_5!$F$10:$BG$42,$A59+2,FALSE)="C","C",IF(HLOOKUP(Z$15,Data_5!$F$10:$BG$42,$A59+2,FALSE)="NO","NO",HLOOKUP(Z$15,Data_5!$F$10:$BG$42,$A59+2,FALSE)/Data_5!$BH54))))),"")</f>
        <v/>
      </c>
      <c r="AA59" s="1122" t="str">
        <f>IFERROR(IF(HLOOKUP(AA$15,Data_5!$F$10:$BG$42,$A59+2,FALSE)="NO","NO",IF(HLOOKUP(AA$15,Data_5!$F$10:$BG$42,$A59+2,FALSE)="IE","IE",IF(HLOOKUP(AA$15,Data_5!$F$10:$BG$42,$A59+2,FALSE)="NE","NE",IF(HLOOKUP(AA$15,Data_5!$F$10:$BG$42,$A59+2,FALSE)="C","C",IF(HLOOKUP(AA$15,Data_5!$F$10:$BG$42,$A59+2,FALSE)="NO","NO",HLOOKUP(AA$15,Data_5!$F$10:$BG$42,$A59+2,FALSE)/Data_5!$BH54))))),"")</f>
        <v/>
      </c>
      <c r="AB59" s="1122" t="str">
        <f>IFERROR(IF(HLOOKUP(AB$15,Data_5!$F$10:$BG$42,$A59+2,FALSE)="NO","NO",IF(HLOOKUP(AB$15,Data_5!$F$10:$BG$42,$A59+2,FALSE)="IE","IE",IF(HLOOKUP(AB$15,Data_5!$F$10:$BG$42,$A59+2,FALSE)="NE","NE",IF(HLOOKUP(AB$15,Data_5!$F$10:$BG$42,$A59+2,FALSE)="C","C",IF(HLOOKUP(AB$15,Data_5!$F$10:$BG$42,$A59+2,FALSE)="NO","NO",HLOOKUP(AB$15,Data_5!$F$10:$BG$42,$A59+2,FALSE)/Data_5!$BH54))))),"")</f>
        <v/>
      </c>
      <c r="AC59" s="1122" t="str">
        <f>IFERROR(IF(HLOOKUP(AC$15,Data_5!$F$10:$BG$42,$A59+2,FALSE)="NO","NO",IF(HLOOKUP(AC$15,Data_5!$F$10:$BG$42,$A59+2,FALSE)="IE","IE",IF(HLOOKUP(AC$15,Data_5!$F$10:$BG$42,$A59+2,FALSE)="NE","NE",IF(HLOOKUP(AC$15,Data_5!$F$10:$BG$42,$A59+2,FALSE)="C","C",IF(HLOOKUP(AC$15,Data_5!$F$10:$BG$42,$A59+2,FALSE)="NO","NO",HLOOKUP(AC$15,Data_5!$F$10:$BG$42,$A59+2,FALSE)/Data_5!$BH54))))),"")</f>
        <v/>
      </c>
      <c r="AD59" s="1122" t="str">
        <f>IFERROR(IF(HLOOKUP(AD$15,Data_5!$F$10:$BG$42,$A59+2,FALSE)="NO","NO",IF(HLOOKUP(AD$15,Data_5!$F$10:$BG$42,$A59+2,FALSE)="IE","IE",IF(HLOOKUP(AD$15,Data_5!$F$10:$BG$42,$A59+2,FALSE)="NE","NE",IF(HLOOKUP(AD$15,Data_5!$F$10:$BG$42,$A59+2,FALSE)="C","C",IF(HLOOKUP(AD$15,Data_5!$F$10:$BG$42,$A59+2,FALSE)="NO","NO",HLOOKUP(AD$15,Data_5!$F$10:$BG$42,$A59+2,FALSE)/Data_5!$BH54))))),"")</f>
        <v/>
      </c>
      <c r="AE59" s="1122" t="str">
        <f>IFERROR(IF(HLOOKUP(AE$15,Data_5!$F$10:$BG$42,$A59+2,FALSE)="NO","NO",IF(HLOOKUP(AE$15,Data_5!$F$10:$BG$42,$A59+2,FALSE)="IE","IE",IF(HLOOKUP(AE$15,Data_5!$F$10:$BG$42,$A59+2,FALSE)="NE","NE",IF(HLOOKUP(AE$15,Data_5!$F$10:$BG$42,$A59+2,FALSE)="C","C",IF(HLOOKUP(AE$15,Data_5!$F$10:$BG$42,$A59+2,FALSE)="NO","NO",HLOOKUP(AE$15,Data_5!$F$10:$BG$42,$A59+2,FALSE)/Data_5!$BH54))))),"")</f>
        <v/>
      </c>
      <c r="AF59" s="1122" t="str">
        <f>IFERROR(IF(HLOOKUP(AF$15,Data_5!$F$10:$BG$42,$A59+2,FALSE)="NO","NO",IF(HLOOKUP(AF$15,Data_5!$F$10:$BG$42,$A59+2,FALSE)="IE","IE",IF(HLOOKUP(AF$15,Data_5!$F$10:$BG$42,$A59+2,FALSE)="NE","NE",IF(HLOOKUP(AF$15,Data_5!$F$10:$BG$42,$A59+2,FALSE)="C","C",IF(HLOOKUP(AF$15,Data_5!$F$10:$BG$42,$A59+2,FALSE)="NO","NO",HLOOKUP(AF$15,Data_5!$F$10:$BG$42,$A59+2,FALSE)/Data_5!$BH54))))),"")</f>
        <v/>
      </c>
      <c r="AG59" s="1122" t="str">
        <f>IFERROR(IF(HLOOKUP(AG$15,Data_5!$F$10:$BG$42,$A59+2,FALSE)="NO","NO",IF(HLOOKUP(AG$15,Data_5!$F$10:$BG$42,$A59+2,FALSE)="IE","IE",IF(HLOOKUP(AG$15,Data_5!$F$10:$BG$42,$A59+2,FALSE)="NE","NE",IF(HLOOKUP(AG$15,Data_5!$F$10:$BG$42,$A59+2,FALSE)="C","C",IF(HLOOKUP(AG$15,Data_5!$F$10:$BG$42,$A59+2,FALSE)="NO","NO",HLOOKUP(AG$15,Data_5!$F$10:$BG$42,$A59+2,FALSE)/Data_5!$BH54))))),"")</f>
        <v/>
      </c>
      <c r="AH59" s="1122" t="str">
        <f>IFERROR(IF(HLOOKUP(AH$15,Data_5!$F$10:$BG$42,$A59+2,FALSE)="NO","NO",IF(HLOOKUP(AH$15,Data_5!$F$10:$BG$42,$A59+2,FALSE)="IE","IE",IF(HLOOKUP(AH$15,Data_5!$F$10:$BG$42,$A59+2,FALSE)="NE","NE",IF(HLOOKUP(AH$15,Data_5!$F$10:$BG$42,$A59+2,FALSE)="C","C",IF(HLOOKUP(AH$15,Data_5!$F$10:$BG$42,$A59+2,FALSE)="NO","NO",HLOOKUP(AH$15,Data_5!$F$10:$BG$42,$A59+2,FALSE)/Data_5!$BH54))))),"")</f>
        <v/>
      </c>
      <c r="AI59" s="1122" t="str">
        <f>IFERROR(IF(HLOOKUP(AI$15,Data_5!$F$10:$BG$42,$A59+2,FALSE)="NO","NO",IF(HLOOKUP(AI$15,Data_5!$F$10:$BG$42,$A59+2,FALSE)="IE","IE",IF(HLOOKUP(AI$15,Data_5!$F$10:$BG$42,$A59+2,FALSE)="NE","NE",IF(HLOOKUP(AI$15,Data_5!$F$10:$BG$42,$A59+2,FALSE)="C","C",IF(HLOOKUP(AI$15,Data_5!$F$10:$BG$42,$A59+2,FALSE)="NO","NO",HLOOKUP(AI$15,Data_5!$F$10:$BG$42,$A59+2,FALSE)/Data_5!$BH54))))),"")</f>
        <v/>
      </c>
      <c r="AJ59" s="1122" t="str">
        <f>IFERROR(IF(HLOOKUP(AJ$15,Data_5!$F$10:$BG$42,$A59+2,FALSE)="NO","NO",IF(HLOOKUP(AJ$15,Data_5!$F$10:$BG$42,$A59+2,FALSE)="IE","IE",IF(HLOOKUP(AJ$15,Data_5!$F$10:$BG$42,$A59+2,FALSE)="NE","NE",IF(HLOOKUP(AJ$15,Data_5!$F$10:$BG$42,$A59+2,FALSE)="C","C",IF(HLOOKUP(AJ$15,Data_5!$F$10:$BG$42,$A59+2,FALSE)="NO","NO",HLOOKUP(AJ$15,Data_5!$F$10:$BG$42,$A59+2,FALSE)/Data_5!$BH54))))),"")</f>
        <v/>
      </c>
      <c r="AL59" s="2628" t="str">
        <f t="shared" ca="1" si="0"/>
        <v/>
      </c>
      <c r="AM59" s="2629"/>
      <c r="AN59" s="1100" t="str">
        <f t="shared" ca="1" si="1"/>
        <v/>
      </c>
      <c r="AO59" s="1122" t="str">
        <f>IFERROR(IF(HLOOKUP(AO$15,Data_5!$F$10:$BG$42,$A59+2,FALSE)="NO","NO",IF(HLOOKUP(AO$15,Data_5!$F$10:$BG$42,$A59+2,FALSE)="IE","IE",IF(HLOOKUP(AO$15,Data_5!$F$10:$BG$42,$A59+2,FALSE)="NE","NE",IF(HLOOKUP(AO$15,Data_5!$F$10:$BG$42,$A59+2,FALSE)="C","C",IF(HLOOKUP(AO$15,Data_5!$F$10:$BG$42,$A59+2,FALSE)="NO","NO",HLOOKUP(AO$15,Data_5!$F$10:$BG$42,$A59+2,FALSE)/Data_5!$BI54))))),"")</f>
        <v/>
      </c>
      <c r="AP59" s="1122" t="str">
        <f>IFERROR(IF(HLOOKUP(AP$15,Data_5!$F$10:$BG$42,$A59+2,FALSE)="NO","NO",IF(HLOOKUP(AP$15,Data_5!$F$10:$BG$42,$A59+2,FALSE)="IE","IE",IF(HLOOKUP(AP$15,Data_5!$F$10:$BG$42,$A59+2,FALSE)="NE","NE",IF(HLOOKUP(AP$15,Data_5!$F$10:$BG$42,$A59+2,FALSE)="C","C",IF(HLOOKUP(AP$15,Data_5!$F$10:$BG$42,$A59+2,FALSE)="NO","NO",HLOOKUP(AP$15,Data_5!$F$10:$BG$42,$A59+2,FALSE)/Data_5!$BI54))))),"")</f>
        <v/>
      </c>
      <c r="AQ59" s="1122" t="str">
        <f>IFERROR(IF(HLOOKUP(AQ$15,Data_5!$F$10:$BG$42,$A59+2,FALSE)="NO","NO",IF(HLOOKUP(AQ$15,Data_5!$F$10:$BG$42,$A59+2,FALSE)="IE","IE",IF(HLOOKUP(AQ$15,Data_5!$F$10:$BG$42,$A59+2,FALSE)="NE","NE",IF(HLOOKUP(AQ$15,Data_5!$F$10:$BG$42,$A59+2,FALSE)="C","C",IF(HLOOKUP(AQ$15,Data_5!$F$10:$BG$42,$A59+2,FALSE)="NO","NO",HLOOKUP(AQ$15,Data_5!$F$10:$BG$42,$A59+2,FALSE)/Data_5!$BI54))))),"")</f>
        <v/>
      </c>
      <c r="AR59" s="1122" t="str">
        <f>IFERROR(IF(HLOOKUP(AR$15,Data_5!$F$10:$BG$42,$A59+2,FALSE)="NO","NO",IF(HLOOKUP(AR$15,Data_5!$F$10:$BG$42,$A59+2,FALSE)="IE","IE",IF(HLOOKUP(AR$15,Data_5!$F$10:$BG$42,$A59+2,FALSE)="NE","NE",IF(HLOOKUP(AR$15,Data_5!$F$10:$BG$42,$A59+2,FALSE)="C","C",IF(HLOOKUP(AR$15,Data_5!$F$10:$BG$42,$A59+2,FALSE)="NO","NO",HLOOKUP(AR$15,Data_5!$F$10:$BG$42,$A59+2,FALSE)/Data_5!$BI54))))),"")</f>
        <v/>
      </c>
      <c r="AS59" s="1122" t="str">
        <f>IFERROR(IF(HLOOKUP(AS$15,Data_5!$F$10:$BG$42,$A59+2,FALSE)="NO","NO",IF(HLOOKUP(AS$15,Data_5!$F$10:$BG$42,$A59+2,FALSE)="IE","IE",IF(HLOOKUP(AS$15,Data_5!$F$10:$BG$42,$A59+2,FALSE)="NE","NE",IF(HLOOKUP(AS$15,Data_5!$F$10:$BG$42,$A59+2,FALSE)="C","C",IF(HLOOKUP(AS$15,Data_5!$F$10:$BG$42,$A59+2,FALSE)="NO","NO",HLOOKUP(AS$15,Data_5!$F$10:$BG$42,$A59+2,FALSE)/Data_5!$BI54))))),"")</f>
        <v/>
      </c>
      <c r="AT59" s="1122" t="str">
        <f>IFERROR(IF(HLOOKUP(AT$15,Data_5!$F$10:$BG$42,$A59+2,FALSE)="NO","NO",IF(HLOOKUP(AT$15,Data_5!$F$10:$BG$42,$A59+2,FALSE)="IE","IE",IF(HLOOKUP(AT$15,Data_5!$F$10:$BG$42,$A59+2,FALSE)="NE","NE",IF(HLOOKUP(AT$15,Data_5!$F$10:$BG$42,$A59+2,FALSE)="C","C",IF(HLOOKUP(AT$15,Data_5!$F$10:$BG$42,$A59+2,FALSE)="NO","NO",HLOOKUP(AT$15,Data_5!$F$10:$BG$42,$A59+2,FALSE)/Data_5!$BI54))))),"")</f>
        <v/>
      </c>
      <c r="AU59" s="1122" t="str">
        <f>IFERROR(IF(HLOOKUP(AU$15,Data_5!$F$10:$BG$42,$A59+2,FALSE)="NO","NO",IF(HLOOKUP(AU$15,Data_5!$F$10:$BG$42,$A59+2,FALSE)="IE","IE",IF(HLOOKUP(AU$15,Data_5!$F$10:$BG$42,$A59+2,FALSE)="NE","NE",IF(HLOOKUP(AU$15,Data_5!$F$10:$BG$42,$A59+2,FALSE)="C","C",IF(HLOOKUP(AU$15,Data_5!$F$10:$BG$42,$A59+2,FALSE)="NO","NO",HLOOKUP(AU$15,Data_5!$F$10:$BG$42,$A59+2,FALSE)/Data_5!$BI54))))),"")</f>
        <v/>
      </c>
      <c r="AV59" s="1122" t="str">
        <f>IFERROR(IF(HLOOKUP(AV$15,Data_5!$F$10:$BG$42,$A59+2,FALSE)="NO","NO",IF(HLOOKUP(AV$15,Data_5!$F$10:$BG$42,$A59+2,FALSE)="IE","IE",IF(HLOOKUP(AV$15,Data_5!$F$10:$BG$42,$A59+2,FALSE)="NE","NE",IF(HLOOKUP(AV$15,Data_5!$F$10:$BG$42,$A59+2,FALSE)="C","C",IF(HLOOKUP(AV$15,Data_5!$F$10:$BG$42,$A59+2,FALSE)="NO","NO",HLOOKUP(AV$15,Data_5!$F$10:$BG$42,$A59+2,FALSE)/Data_5!$BI54))))),"")</f>
        <v/>
      </c>
      <c r="AW59" s="1122" t="str">
        <f>IFERROR(IF(HLOOKUP(AW$15,Data_5!$F$10:$BG$42,$A59+2,FALSE)="NO","NO",IF(HLOOKUP(AW$15,Data_5!$F$10:$BG$42,$A59+2,FALSE)="IE","IE",IF(HLOOKUP(AW$15,Data_5!$F$10:$BG$42,$A59+2,FALSE)="NE","NE",IF(HLOOKUP(AW$15,Data_5!$F$10:$BG$42,$A59+2,FALSE)="C","C",IF(HLOOKUP(AW$15,Data_5!$F$10:$BG$42,$A59+2,FALSE)="NO","NO",HLOOKUP(AW$15,Data_5!$F$10:$BG$42,$A59+2,FALSE)/Data_5!$BI54))))),"")</f>
        <v/>
      </c>
      <c r="AX59" s="1122" t="str">
        <f>IFERROR(IF(HLOOKUP(AX$15,Data_5!$F$10:$BG$42,$A59+2,FALSE)="NO","NO",IF(HLOOKUP(AX$15,Data_5!$F$10:$BG$42,$A59+2,FALSE)="IE","IE",IF(HLOOKUP(AX$15,Data_5!$F$10:$BG$42,$A59+2,FALSE)="NE","NE",IF(HLOOKUP(AX$15,Data_5!$F$10:$BG$42,$A59+2,FALSE)="C","C",IF(HLOOKUP(AX$15,Data_5!$F$10:$BG$42,$A59+2,FALSE)="NO","NO",HLOOKUP(AX$15,Data_5!$F$10:$BG$42,$A59+2,FALSE)/Data_5!$BI54))))),"")</f>
        <v/>
      </c>
      <c r="AY59" s="1122" t="str">
        <f>IFERROR(IF(HLOOKUP(AY$15,Data_5!$F$10:$BG$42,$A59+2,FALSE)="NO","NO",IF(HLOOKUP(AY$15,Data_5!$F$10:$BG$42,$A59+2,FALSE)="IE","IE",IF(HLOOKUP(AY$15,Data_5!$F$10:$BG$42,$A59+2,FALSE)="NE","NE",IF(HLOOKUP(AY$15,Data_5!$F$10:$BG$42,$A59+2,FALSE)="C","C",IF(HLOOKUP(AY$15,Data_5!$F$10:$BG$42,$A59+2,FALSE)="NO","NO",HLOOKUP(AY$15,Data_5!$F$10:$BG$42,$A59+2,FALSE)/Data_5!$BI54))))),"")</f>
        <v/>
      </c>
      <c r="AZ59" s="1122" t="str">
        <f>IFERROR(IF(HLOOKUP(AZ$15,Data_5!$F$10:$BG$42,$A59+2,FALSE)="NO","NO",IF(HLOOKUP(AZ$15,Data_5!$F$10:$BG$42,$A59+2,FALSE)="IE","IE",IF(HLOOKUP(AZ$15,Data_5!$F$10:$BG$42,$A59+2,FALSE)="NE","NE",IF(HLOOKUP(AZ$15,Data_5!$F$10:$BG$42,$A59+2,FALSE)="C","C",IF(HLOOKUP(AZ$15,Data_5!$F$10:$BG$42,$A59+2,FALSE)="NO","NO",HLOOKUP(AZ$15,Data_5!$F$10:$BG$42,$A59+2,FALSE)/Data_5!$BI54))))),"")</f>
        <v/>
      </c>
      <c r="BA59" s="1122" t="str">
        <f>IFERROR(IF(HLOOKUP(BA$15,Data_5!$F$10:$BG$42,$A59+2,FALSE)="NO","NO",IF(HLOOKUP(BA$15,Data_5!$F$10:$BG$42,$A59+2,FALSE)="IE","IE",IF(HLOOKUP(BA$15,Data_5!$F$10:$BG$42,$A59+2,FALSE)="NE","NE",IF(HLOOKUP(BA$15,Data_5!$F$10:$BG$42,$A59+2,FALSE)="C","C",IF(HLOOKUP(BA$15,Data_5!$F$10:$BG$42,$A59+2,FALSE)="NO","NO",HLOOKUP(BA$15,Data_5!$F$10:$BG$42,$A59+2,FALSE)/Data_5!$BI54))))),"")</f>
        <v/>
      </c>
      <c r="BB59" s="1122" t="str">
        <f>IFERROR(IF(HLOOKUP(BB$15,Data_5!$F$10:$BG$42,$A59+2,FALSE)="NO","NO",IF(HLOOKUP(BB$15,Data_5!$F$10:$BG$42,$A59+2,FALSE)="IE","IE",IF(HLOOKUP(BB$15,Data_5!$F$10:$BG$42,$A59+2,FALSE)="NE","NE",IF(HLOOKUP(BB$15,Data_5!$F$10:$BG$42,$A59+2,FALSE)="C","C",IF(HLOOKUP(BB$15,Data_5!$F$10:$BG$42,$A59+2,FALSE)="NO","NO",HLOOKUP(BB$15,Data_5!$F$10:$BG$42,$A59+2,FALSE)/Data_5!$BI54))))),"")</f>
        <v/>
      </c>
      <c r="BC59" s="1122" t="str">
        <f>IFERROR(IF(HLOOKUP(BC$15,Data_5!$F$10:$BG$42,$A59+2,FALSE)="NO","NO",IF(HLOOKUP(BC$15,Data_5!$F$10:$BG$42,$A59+2,FALSE)="IE","IE",IF(HLOOKUP(BC$15,Data_5!$F$10:$BG$42,$A59+2,FALSE)="NE","NE",IF(HLOOKUP(BC$15,Data_5!$F$10:$BG$42,$A59+2,FALSE)="C","C",IF(HLOOKUP(BC$15,Data_5!$F$10:$BG$42,$A59+2,FALSE)="NO","NO",HLOOKUP(BC$15,Data_5!$F$10:$BG$42,$A59+2,FALSE)/Data_5!$BI54))))),"")</f>
        <v/>
      </c>
      <c r="BD59" s="1122" t="str">
        <f>IFERROR(IF(HLOOKUP(BD$15,Data_5!$F$10:$BG$42,$A59+2,FALSE)="NO","NO",IF(HLOOKUP(BD$15,Data_5!$F$10:$BG$42,$A59+2,FALSE)="IE","IE",IF(HLOOKUP(BD$15,Data_5!$F$10:$BG$42,$A59+2,FALSE)="NE","NE",IF(HLOOKUP(BD$15,Data_5!$F$10:$BG$42,$A59+2,FALSE)="C","C",IF(HLOOKUP(BD$15,Data_5!$F$10:$BG$42,$A59+2,FALSE)="NO","NO",HLOOKUP(BD$15,Data_5!$F$10:$BG$42,$A59+2,FALSE)/Data_5!$BI54))))),"")</f>
        <v/>
      </c>
      <c r="BE59" s="1122" t="str">
        <f>IFERROR(IF(HLOOKUP(BE$15,Data_5!$F$10:$BG$42,$A59+2,FALSE)="NO","NO",IF(HLOOKUP(BE$15,Data_5!$F$10:$BG$42,$A59+2,FALSE)="IE","IE",IF(HLOOKUP(BE$15,Data_5!$F$10:$BG$42,$A59+2,FALSE)="NE","NE",IF(HLOOKUP(BE$15,Data_5!$F$10:$BG$42,$A59+2,FALSE)="C","C",IF(HLOOKUP(BE$15,Data_5!$F$10:$BG$42,$A59+2,FALSE)="NO","NO",HLOOKUP(BE$15,Data_5!$F$10:$BG$42,$A59+2,FALSE)/Data_5!$BI54))))),"")</f>
        <v/>
      </c>
      <c r="BF59" s="1122" t="str">
        <f>IFERROR(IF(HLOOKUP(BF$15,Data_5!$F$10:$BG$42,$A59+2,FALSE)="NO","NO",IF(HLOOKUP(BF$15,Data_5!$F$10:$BG$42,$A59+2,FALSE)="IE","IE",IF(HLOOKUP(BF$15,Data_5!$F$10:$BG$42,$A59+2,FALSE)="NE","NE",IF(HLOOKUP(BF$15,Data_5!$F$10:$BG$42,$A59+2,FALSE)="C","C",IF(HLOOKUP(BF$15,Data_5!$F$10:$BG$42,$A59+2,FALSE)="NO","NO",HLOOKUP(BF$15,Data_5!$F$10:$BG$42,$A59+2,FALSE)/Data_5!$BI54))))),"")</f>
        <v/>
      </c>
      <c r="BG59" s="1122" t="str">
        <f>IFERROR(IF(HLOOKUP(BG$15,Data_5!$F$10:$BG$42,$A59+2,FALSE)="NO","NO",IF(HLOOKUP(BG$15,Data_5!$F$10:$BG$42,$A59+2,FALSE)="IE","IE",IF(HLOOKUP(BG$15,Data_5!$F$10:$BG$42,$A59+2,FALSE)="NE","NE",IF(HLOOKUP(BG$15,Data_5!$F$10:$BG$42,$A59+2,FALSE)="C","C",IF(HLOOKUP(BG$15,Data_5!$F$10:$BG$42,$A59+2,FALSE)="NO","NO",HLOOKUP(BG$15,Data_5!$F$10:$BG$42,$A59+2,FALSE)/Data_5!$BI54))))),"")</f>
        <v/>
      </c>
      <c r="BH59" s="1122" t="str">
        <f>IFERROR(IF(HLOOKUP(BH$15,Data_5!$F$10:$BG$42,$A59+2,FALSE)="NO","NO",IF(HLOOKUP(BH$15,Data_5!$F$10:$BG$42,$A59+2,FALSE)="IE","IE",IF(HLOOKUP(BH$15,Data_5!$F$10:$BG$42,$A59+2,FALSE)="NE","NE",IF(HLOOKUP(BH$15,Data_5!$F$10:$BG$42,$A59+2,FALSE)="C","C",IF(HLOOKUP(BH$15,Data_5!$F$10:$BG$42,$A59+2,FALSE)="NO","NO",HLOOKUP(BH$15,Data_5!$F$10:$BG$42,$A59+2,FALSE)/Data_5!$BI54))))),"")</f>
        <v/>
      </c>
      <c r="BI59" s="1122" t="str">
        <f>IFERROR(IF(HLOOKUP(BI$15,Data_5!$F$10:$BG$42,$A59+2,FALSE)="NO","NO",IF(HLOOKUP(BI$15,Data_5!$F$10:$BG$42,$A59+2,FALSE)="IE","IE",IF(HLOOKUP(BI$15,Data_5!$F$10:$BG$42,$A59+2,FALSE)="NE","NE",IF(HLOOKUP(BI$15,Data_5!$F$10:$BG$42,$A59+2,FALSE)="C","C",IF(HLOOKUP(BI$15,Data_5!$F$10:$BG$42,$A59+2,FALSE)="NO","NO",HLOOKUP(BI$15,Data_5!$F$10:$BG$42,$A59+2,FALSE)/Data_5!$BI54))))),"")</f>
        <v/>
      </c>
      <c r="BJ59" s="1122" t="str">
        <f>IFERROR(IF(HLOOKUP(BJ$15,Data_5!$F$10:$BG$42,$A59+2,FALSE)="NO","NO",IF(HLOOKUP(BJ$15,Data_5!$F$10:$BG$42,$A59+2,FALSE)="IE","IE",IF(HLOOKUP(BJ$15,Data_5!$F$10:$BG$42,$A59+2,FALSE)="NE","NE",IF(HLOOKUP(BJ$15,Data_5!$F$10:$BG$42,$A59+2,FALSE)="C","C",IF(HLOOKUP(BJ$15,Data_5!$F$10:$BG$42,$A59+2,FALSE)="NO","NO",HLOOKUP(BJ$15,Data_5!$F$10:$BG$42,$A59+2,FALSE)/Data_5!$BI54))))),"")</f>
        <v/>
      </c>
      <c r="BK59" s="1122" t="str">
        <f>IFERROR(IF(HLOOKUP(BK$15,Data_5!$F$10:$BG$42,$A59+2,FALSE)="NO","NO",IF(HLOOKUP(BK$15,Data_5!$F$10:$BG$42,$A59+2,FALSE)="IE","IE",IF(HLOOKUP(BK$15,Data_5!$F$10:$BG$42,$A59+2,FALSE)="NE","NE",IF(HLOOKUP(BK$15,Data_5!$F$10:$BG$42,$A59+2,FALSE)="C","C",IF(HLOOKUP(BK$15,Data_5!$F$10:$BG$42,$A59+2,FALSE)="NO","NO",HLOOKUP(BK$15,Data_5!$F$10:$BG$42,$A59+2,FALSE)/Data_5!$BI54))))),"")</f>
        <v/>
      </c>
      <c r="BL59" s="1122" t="str">
        <f>IFERROR(IF(HLOOKUP(BL$15,Data_5!$F$10:$BG$42,$A59+2,FALSE)="NO","NO",IF(HLOOKUP(BL$15,Data_5!$F$10:$BG$42,$A59+2,FALSE)="IE","IE",IF(HLOOKUP(BL$15,Data_5!$F$10:$BG$42,$A59+2,FALSE)="NE","NE",IF(HLOOKUP(BL$15,Data_5!$F$10:$BG$42,$A59+2,FALSE)="C","C",IF(HLOOKUP(BL$15,Data_5!$F$10:$BG$42,$A59+2,FALSE)="NO","NO",HLOOKUP(BL$15,Data_5!$F$10:$BG$42,$A59+2,FALSE)/Data_5!$BI54))))),"")</f>
        <v/>
      </c>
      <c r="BM59" s="1122" t="str">
        <f>IFERROR(IF(HLOOKUP(BM$15,Data_5!$F$10:$BG$42,$A59+2,FALSE)="NO","NO",IF(HLOOKUP(BM$15,Data_5!$F$10:$BG$42,$A59+2,FALSE)="IE","IE",IF(HLOOKUP(BM$15,Data_5!$F$10:$BG$42,$A59+2,FALSE)="NE","NE",IF(HLOOKUP(BM$15,Data_5!$F$10:$BG$42,$A59+2,FALSE)="C","C",IF(HLOOKUP(BM$15,Data_5!$F$10:$BG$42,$A59+2,FALSE)="NO","NO",HLOOKUP(BM$15,Data_5!$F$10:$BG$42,$A59+2,FALSE)/Data_5!$BI54))))),"")</f>
        <v/>
      </c>
      <c r="BN59" s="1122" t="str">
        <f>IFERROR(IF(HLOOKUP(BN$15,Data_5!$F$10:$BG$42,$A59+2,FALSE)="NO","NO",IF(HLOOKUP(BN$15,Data_5!$F$10:$BG$42,$A59+2,FALSE)="IE","IE",IF(HLOOKUP(BN$15,Data_5!$F$10:$BG$42,$A59+2,FALSE)="NE","NE",IF(HLOOKUP(BN$15,Data_5!$F$10:$BG$42,$A59+2,FALSE)="C","C",IF(HLOOKUP(BN$15,Data_5!$F$10:$BG$42,$A59+2,FALSE)="NO","NO",HLOOKUP(BN$15,Data_5!$F$10:$BG$42,$A59+2,FALSE)/Data_5!$BI54))))),"")</f>
        <v/>
      </c>
      <c r="BO59" s="1122" t="str">
        <f>IFERROR(IF(HLOOKUP(BO$15,Data_5!$F$10:$BG$42,$A59+2,FALSE)="NO","NO",IF(HLOOKUP(BO$15,Data_5!$F$10:$BG$42,$A59+2,FALSE)="IE","IE",IF(HLOOKUP(BO$15,Data_5!$F$10:$BG$42,$A59+2,FALSE)="NE","NE",IF(HLOOKUP(BO$15,Data_5!$F$10:$BG$42,$A59+2,FALSE)="C","C",IF(HLOOKUP(BO$15,Data_5!$F$10:$BG$42,$A59+2,FALSE)="NO","NO",HLOOKUP(BO$15,Data_5!$F$10:$BG$42,$A59+2,FALSE)/Data_5!$BI54))))),"")</f>
        <v/>
      </c>
      <c r="BP59" s="1122" t="str">
        <f>IFERROR(IF(HLOOKUP(BP$15,Data_5!$F$10:$BG$42,$A59+2,FALSE)="NO","NO",IF(HLOOKUP(BP$15,Data_5!$F$10:$BG$42,$A59+2,FALSE)="IE","IE",IF(HLOOKUP(BP$15,Data_5!$F$10:$BG$42,$A59+2,FALSE)="NE","NE",IF(HLOOKUP(BP$15,Data_5!$F$10:$BG$42,$A59+2,FALSE)="C","C",IF(HLOOKUP(BP$15,Data_5!$F$10:$BG$42,$A59+2,FALSE)="NO","NO",HLOOKUP(BP$15,Data_5!$F$10:$BG$42,$A59+2,FALSE)/Data_5!$BI54))))),"")</f>
        <v/>
      </c>
      <c r="BQ59" s="1122" t="str">
        <f>IFERROR(IF(HLOOKUP(BQ$15,Data_5!$F$10:$BG$42,$A59+2,FALSE)="NO","NO",IF(HLOOKUP(BQ$15,Data_5!$F$10:$BG$42,$A59+2,FALSE)="IE","IE",IF(HLOOKUP(BQ$15,Data_5!$F$10:$BG$42,$A59+2,FALSE)="NE","NE",IF(HLOOKUP(BQ$15,Data_5!$F$10:$BG$42,$A59+2,FALSE)="C","C",IF(HLOOKUP(BQ$15,Data_5!$F$10:$BG$42,$A59+2,FALSE)="NO","NO",HLOOKUP(BQ$15,Data_5!$F$10:$BG$42,$A59+2,FALSE)/Data_5!$BI54))))),"")</f>
        <v/>
      </c>
      <c r="BR59" s="1122" t="str">
        <f>IFERROR(IF(HLOOKUP(BR$15,Data_5!$F$10:$BG$42,$A59+2,FALSE)="NO","NO",IF(HLOOKUP(BR$15,Data_5!$F$10:$BG$42,$A59+2,FALSE)="IE","IE",IF(HLOOKUP(BR$15,Data_5!$F$10:$BG$42,$A59+2,FALSE)="NE","NE",IF(HLOOKUP(BR$15,Data_5!$F$10:$BG$42,$A59+2,FALSE)="C","C",IF(HLOOKUP(BR$15,Data_5!$F$10:$BG$42,$A59+2,FALSE)="NO","NO",HLOOKUP(BR$15,Data_5!$F$10:$BG$42,$A59+2,FALSE)/Data_5!$BI54))))),"")</f>
        <v/>
      </c>
      <c r="BS59" s="1122" t="str">
        <f>IFERROR(IF(HLOOKUP(BS$15,Data_5!$F$10:$BG$42,$A59+2,FALSE)="NO","NO",IF(HLOOKUP(BS$15,Data_5!$F$10:$BG$42,$A59+2,FALSE)="IE","IE",IF(HLOOKUP(BS$15,Data_5!$F$10:$BG$42,$A59+2,FALSE)="NE","NE",IF(HLOOKUP(BS$15,Data_5!$F$10:$BG$42,$A59+2,FALSE)="C","C",IF(HLOOKUP(BS$15,Data_5!$F$10:$BG$42,$A59+2,FALSE)="NO","NO",HLOOKUP(BS$15,Data_5!$F$10:$BG$42,$A59+2,FALSE)/Data_5!$BI54))))),"")</f>
        <v/>
      </c>
      <c r="BT59" s="1122" t="str">
        <f>IFERROR(IF(HLOOKUP(BT$15,Data_5!$F$10:$BG$42,$A59+2,FALSE)="NO","NO",IF(HLOOKUP(BT$15,Data_5!$F$10:$BG$42,$A59+2,FALSE)="IE","IE",IF(HLOOKUP(BT$15,Data_5!$F$10:$BG$42,$A59+2,FALSE)="NE","NE",IF(HLOOKUP(BT$15,Data_5!$F$10:$BG$42,$A59+2,FALSE)="C","C",IF(HLOOKUP(BT$15,Data_5!$F$10:$BG$42,$A59+2,FALSE)="NO","NO",HLOOKUP(BT$15,Data_5!$F$10:$BG$42,$A59+2,FALSE)/Data_5!$BI54))))),"")</f>
        <v/>
      </c>
      <c r="BU59" s="1122" t="str">
        <f>IFERROR(IF(HLOOKUP(BU$15,Data_5!$F$10:$BG$42,$A59+2,FALSE)="NO","NO",IF(HLOOKUP(BU$15,Data_5!$F$10:$BG$42,$A59+2,FALSE)="IE","IE",IF(HLOOKUP(BU$15,Data_5!$F$10:$BG$42,$A59+2,FALSE)="NE","NE",IF(HLOOKUP(BU$15,Data_5!$F$10:$BG$42,$A59+2,FALSE)="C","C",IF(HLOOKUP(BU$15,Data_5!$F$10:$BG$42,$A59+2,FALSE)="NO","NO",HLOOKUP(BU$15,Data_5!$F$10:$BG$42,$A59+2,FALSE)/Data_5!$BI54))))),"")</f>
        <v/>
      </c>
      <c r="BV59" s="1122" t="str">
        <f>IFERROR(IF(HLOOKUP(BV$15,Data_5!$F$10:$BG$42,$A59+2,FALSE)="NO","NO",IF(HLOOKUP(BV$15,Data_5!$F$10:$BG$42,$A59+2,FALSE)="IE","IE",IF(HLOOKUP(BV$15,Data_5!$F$10:$BG$42,$A59+2,FALSE)="NE","NE",IF(HLOOKUP(BV$15,Data_5!$F$10:$BG$42,$A59+2,FALSE)="C","C",IF(HLOOKUP(BV$15,Data_5!$F$10:$BG$42,$A59+2,FALSE)="NO","NO",HLOOKUP(BV$15,Data_5!$F$10:$BG$42,$A59+2,FALSE)/Data_5!$BI54))))),"")</f>
        <v/>
      </c>
      <c r="BW59" s="1122" t="str">
        <f>IFERROR(IF(HLOOKUP(BW$15,Data_5!$F$10:$BG$42,$A59+2,FALSE)="NO","NO",IF(HLOOKUP(BW$15,Data_5!$F$10:$BG$42,$A59+2,FALSE)="IE","IE",IF(HLOOKUP(BW$15,Data_5!$F$10:$BG$42,$A59+2,FALSE)="NE","NE",IF(HLOOKUP(BW$15,Data_5!$F$10:$BG$42,$A59+2,FALSE)="C","C",IF(HLOOKUP(BW$15,Data_5!$F$10:$BG$42,$A59+2,FALSE)="NO","NO",HLOOKUP(BW$15,Data_5!$F$10:$BG$42,$A59+2,FALSE)/Data_5!$BI54))))),"")</f>
        <v/>
      </c>
      <c r="BX59" s="1122" t="str">
        <f>IFERROR(IF(HLOOKUP(BX$15,Data_5!$F$10:$BG$42,$A59+2,FALSE)="NO","NO",IF(HLOOKUP(BX$15,Data_5!$F$10:$BG$42,$A59+2,FALSE)="IE","IE",IF(HLOOKUP(BX$15,Data_5!$F$10:$BG$42,$A59+2,FALSE)="NE","NE",IF(HLOOKUP(BX$15,Data_5!$F$10:$BG$42,$A59+2,FALSE)="C","C",IF(HLOOKUP(BX$15,Data_5!$F$10:$BG$42,$A59+2,FALSE)="NO","NO",HLOOKUP(BX$15,Data_5!$F$10:$BG$42,$A59+2,FALSE)/Data_5!$BI54))))),"")</f>
        <v/>
      </c>
      <c r="BY59" s="1122" t="str">
        <f>IFERROR(IF(HLOOKUP(BY$15,Data_5!$F$10:$BG$42,$A59+2,FALSE)="NO","NO",IF(HLOOKUP(BY$15,Data_5!$F$10:$BG$42,$A59+2,FALSE)="IE","IE",IF(HLOOKUP(BY$15,Data_5!$F$10:$BG$42,$A59+2,FALSE)="NE","NE",IF(HLOOKUP(BY$15,Data_5!$F$10:$BG$42,$A59+2,FALSE)="C","C",IF(HLOOKUP(BY$15,Data_5!$F$10:$BG$42,$A59+2,FALSE)="NO","NO",HLOOKUP(BY$15,Data_5!$F$10:$BG$42,$A59+2,FALSE)/Data_5!$BI54))))),"")</f>
        <v/>
      </c>
      <c r="BZ59" s="1122" t="str">
        <f>IFERROR(IF(HLOOKUP(BZ$15,Data_5!$F$10:$BG$42,$A59+2,FALSE)="NO","NO",IF(HLOOKUP(BZ$15,Data_5!$F$10:$BG$42,$A59+2,FALSE)="IE","IE",IF(HLOOKUP(BZ$15,Data_5!$F$10:$BG$42,$A59+2,FALSE)="NE","NE",IF(HLOOKUP(BZ$15,Data_5!$F$10:$BG$42,$A59+2,FALSE)="C","C",IF(HLOOKUP(BZ$15,Data_5!$F$10:$BG$42,$A59+2,FALSE)="NO","NO",HLOOKUP(BZ$15,Data_5!$F$10:$BG$42,$A59+2,FALSE)/Data_5!$BI54))))),"")</f>
        <v/>
      </c>
      <c r="CA59" s="1122" t="str">
        <f>IFERROR(IF(HLOOKUP(CA$15,Data_5!$F$10:$BG$42,$A59+2,FALSE)="NO","NO",IF(HLOOKUP(CA$15,Data_5!$F$10:$BG$42,$A59+2,FALSE)="IE","IE",IF(HLOOKUP(CA$15,Data_5!$F$10:$BG$42,$A59+2,FALSE)="NE","NE",IF(HLOOKUP(CA$15,Data_5!$F$10:$BG$42,$A59+2,FALSE)="C","C",IF(HLOOKUP(CA$15,Data_5!$F$10:$BG$42,$A59+2,FALSE)="NO","NO",HLOOKUP(CA$15,Data_5!$F$10:$BG$42,$A59+2,FALSE)/Data_5!$BI54))))),"")</f>
        <v/>
      </c>
      <c r="CB59" s="1122" t="str">
        <f>IFERROR(IF(HLOOKUP(CB$15,Data_5!$F$10:$BG$42,$A59+2,FALSE)="NO","NO",IF(HLOOKUP(CB$15,Data_5!$F$10:$BG$42,$A59+2,FALSE)="IE","IE",IF(HLOOKUP(CB$15,Data_5!$F$10:$BG$42,$A59+2,FALSE)="NE","NE",IF(HLOOKUP(CB$15,Data_5!$F$10:$BG$42,$A59+2,FALSE)="C","C",IF(HLOOKUP(CB$15,Data_5!$F$10:$BG$42,$A59+2,FALSE)="NO","NO",HLOOKUP(CB$15,Data_5!$F$10:$BG$42,$A59+2,FALSE)/Data_5!$BI54))))),"")</f>
        <v/>
      </c>
      <c r="CC59" s="1122" t="str">
        <f>IFERROR(IF(HLOOKUP(CC$15,Data_5!$F$10:$BG$42,$A59+2,FALSE)="NO","NO",IF(HLOOKUP(CC$15,Data_5!$F$10:$BG$42,$A59+2,FALSE)="IE","IE",IF(HLOOKUP(CC$15,Data_5!$F$10:$BG$42,$A59+2,FALSE)="NE","NE",IF(HLOOKUP(CC$15,Data_5!$F$10:$BG$42,$A59+2,FALSE)="C","C",IF(HLOOKUP(CC$15,Data_5!$F$10:$BG$42,$A59+2,FALSE)="NO","NO",HLOOKUP(CC$15,Data_5!$F$10:$BG$42,$A59+2,FALSE)/Data_5!$BI54))))),"")</f>
        <v/>
      </c>
      <c r="CD59" s="1122" t="str">
        <f>IFERROR(IF(HLOOKUP(CD$15,Data_5!$F$10:$BG$42,$A59+2,FALSE)="NO","NO",IF(HLOOKUP(CD$15,Data_5!$F$10:$BG$42,$A59+2,FALSE)="IE","IE",IF(HLOOKUP(CD$15,Data_5!$F$10:$BG$42,$A59+2,FALSE)="NE","NE",IF(HLOOKUP(CD$15,Data_5!$F$10:$BG$42,$A59+2,FALSE)="C","C",IF(HLOOKUP(CD$15,Data_5!$F$10:$BG$42,$A59+2,FALSE)="NO","NO",HLOOKUP(CD$15,Data_5!$F$10:$BG$42,$A59+2,FALSE)/Data_5!$BI54))))),"")</f>
        <v/>
      </c>
      <c r="CE59" s="1122" t="str">
        <f>IFERROR(IF(HLOOKUP(CE$15,Data_5!$F$10:$BG$42,$A59+2,FALSE)="NO","NO",IF(HLOOKUP(CE$15,Data_5!$F$10:$BG$42,$A59+2,FALSE)="IE","IE",IF(HLOOKUP(CE$15,Data_5!$F$10:$BG$42,$A59+2,FALSE)="NE","NE",IF(HLOOKUP(CE$15,Data_5!$F$10:$BG$42,$A59+2,FALSE)="C","C",IF(HLOOKUP(CE$15,Data_5!$F$10:$BG$42,$A59+2,FALSE)="NO","NO",HLOOKUP(CE$15,Data_5!$F$10:$BG$42,$A59+2,FALSE)/Data_5!$BI54))))),"")</f>
        <v/>
      </c>
      <c r="CF59" s="1122" t="str">
        <f>IFERROR(IF(HLOOKUP(CF$15,Data_5!$F$10:$BG$42,$A59+2,FALSE)="NO","NO",IF(HLOOKUP(CF$15,Data_5!$F$10:$BG$42,$A59+2,FALSE)="IE","IE",IF(HLOOKUP(CF$15,Data_5!$F$10:$BG$42,$A59+2,FALSE)="NE","NE",IF(HLOOKUP(CF$15,Data_5!$F$10:$BG$42,$A59+2,FALSE)="C","C",IF(HLOOKUP(CF$15,Data_5!$F$10:$BG$42,$A59+2,FALSE)="NO","NO",HLOOKUP(CF$15,Data_5!$F$10:$BG$42,$A59+2,FALSE)/Data_5!$BI54))))),"")</f>
        <v/>
      </c>
      <c r="CG59" s="1122" t="str">
        <f>IFERROR(IF(HLOOKUP(CG$15,Data_5!$F$10:$BG$42,$A59+2,FALSE)="NO","NO",IF(HLOOKUP(CG$15,Data_5!$F$10:$BG$42,$A59+2,FALSE)="IE","IE",IF(HLOOKUP(CG$15,Data_5!$F$10:$BG$42,$A59+2,FALSE)="NE","NE",IF(HLOOKUP(CG$15,Data_5!$F$10:$BG$42,$A59+2,FALSE)="C","C",IF(HLOOKUP(CG$15,Data_5!$F$10:$BG$42,$A59+2,FALSE)="NO","NO",HLOOKUP(CG$15,Data_5!$F$10:$BG$42,$A59+2,FALSE)/Data_5!$BI54))))),"")</f>
        <v/>
      </c>
      <c r="CH59" s="1122" t="str">
        <f>IFERROR(IF(HLOOKUP(CH$15,Data_5!$F$10:$BG$42,$A59+2,FALSE)="NO","NO",IF(HLOOKUP(CH$15,Data_5!$F$10:$BG$42,$A59+2,FALSE)="IE","IE",IF(HLOOKUP(CH$15,Data_5!$F$10:$BG$42,$A59+2,FALSE)="NE","NE",IF(HLOOKUP(CH$15,Data_5!$F$10:$BG$42,$A59+2,FALSE)="C","C",IF(HLOOKUP(CH$15,Data_5!$F$10:$BG$42,$A59+2,FALSE)="NO","NO",HLOOKUP(CH$15,Data_5!$F$10:$BG$42,$A59+2,FALSE)/Data_5!$BI54))))),"")</f>
        <v/>
      </c>
      <c r="CI59" s="1122" t="str">
        <f>IFERROR(IF(HLOOKUP(CI$15,Data_5!$F$10:$BG$42,$A59+2,FALSE)="NO","NO",IF(HLOOKUP(CI$15,Data_5!$F$10:$BG$42,$A59+2,FALSE)="IE","IE",IF(HLOOKUP(CI$15,Data_5!$F$10:$BG$42,$A59+2,FALSE)="NE","NE",IF(HLOOKUP(CI$15,Data_5!$F$10:$BG$42,$A59+2,FALSE)="C","C",IF(HLOOKUP(CI$15,Data_5!$F$10:$BG$42,$A59+2,FALSE)="NO","NO",HLOOKUP(CI$15,Data_5!$F$10:$BG$42,$A59+2,FALSE)/Data_5!$BI54))))),"")</f>
        <v/>
      </c>
      <c r="CJ59" s="1122" t="str">
        <f>IFERROR(IF(HLOOKUP(CJ$15,Data_5!$F$10:$BG$42,$A59+2,FALSE)="NO","NO",IF(HLOOKUP(CJ$15,Data_5!$F$10:$BG$42,$A59+2,FALSE)="IE","IE",IF(HLOOKUP(CJ$15,Data_5!$F$10:$BG$42,$A59+2,FALSE)="NE","NE",IF(HLOOKUP(CJ$15,Data_5!$F$10:$BG$42,$A59+2,FALSE)="C","C",IF(HLOOKUP(CJ$15,Data_5!$F$10:$BG$42,$A59+2,FALSE)="NO","NO",HLOOKUP(CJ$15,Data_5!$F$10:$BG$42,$A59+2,FALSE)/Data_5!$BI54))))),"")</f>
        <v/>
      </c>
      <c r="CL59" s="2628" t="str">
        <f t="shared" ca="1" si="6"/>
        <v/>
      </c>
      <c r="CM59" s="2629"/>
      <c r="CN59" s="1100" t="str">
        <f t="shared" ca="1" si="7"/>
        <v/>
      </c>
      <c r="CO59" s="1122" t="str">
        <f>IFERROR(IF(HLOOKUP(CO$15,Data_5!$F$10:$BG$42,$A59+2,FALSE)="NO","NO",IF(HLOOKUP(CO$15,Data_5!$F$10:$BG$42,$A59+2,FALSE)="IE","IE",IF(HLOOKUP(CO$15,Data_5!$F$10:$BG$42,$A59+2,FALSE)="NE","NE",IF(HLOOKUP(CO$15,Data_5!$F$10:$BG$42,$A59+2,FALSE)="C","C",IF(HLOOKUP(CO$15,Data_5!$F$10:$BG$42,$A59+2,FALSE)="NO","NO",HLOOKUP(CO$15,Data_5!$F$10:$BG$42,$A59+2,FALSE)/Data_5!$BK54))))),"")</f>
        <v/>
      </c>
      <c r="CP59" s="1122" t="str">
        <f>IFERROR(IF(HLOOKUP(CP$15,Data_5!$F$10:$BG$42,$A59+2,FALSE)="NO","NO",IF(HLOOKUP(CP$15,Data_5!$F$10:$BG$42,$A59+2,FALSE)="IE","IE",IF(HLOOKUP(CP$15,Data_5!$F$10:$BG$42,$A59+2,FALSE)="NE","NE",IF(HLOOKUP(CP$15,Data_5!$F$10:$BG$42,$A59+2,FALSE)="C","C",IF(HLOOKUP(CP$15,Data_5!$F$10:$BG$42,$A59+2,FALSE)="NO","NO",HLOOKUP(CP$15,Data_5!$F$10:$BG$42,$A59+2,FALSE)/Data_5!$BK54))))),"")</f>
        <v/>
      </c>
      <c r="CQ59" s="1122" t="str">
        <f>IFERROR(IF(HLOOKUP(CQ$15,Data_5!$F$10:$BG$42,$A59+2,FALSE)="NO","NO",IF(HLOOKUP(CQ$15,Data_5!$F$10:$BG$42,$A59+2,FALSE)="IE","IE",IF(HLOOKUP(CQ$15,Data_5!$F$10:$BG$42,$A59+2,FALSE)="NE","NE",IF(HLOOKUP(CQ$15,Data_5!$F$10:$BG$42,$A59+2,FALSE)="C","C",IF(HLOOKUP(CQ$15,Data_5!$F$10:$BG$42,$A59+2,FALSE)="NO","NO",HLOOKUP(CQ$15,Data_5!$F$10:$BG$42,$A59+2,FALSE)/Data_5!$BK54))))),"")</f>
        <v/>
      </c>
      <c r="CR59" s="1122" t="str">
        <f>IFERROR(IF(HLOOKUP(CR$15,Data_5!$F$10:$BG$42,$A59+2,FALSE)="NO","NO",IF(HLOOKUP(CR$15,Data_5!$F$10:$BG$42,$A59+2,FALSE)="IE","IE",IF(HLOOKUP(CR$15,Data_5!$F$10:$BG$42,$A59+2,FALSE)="NE","NE",IF(HLOOKUP(CR$15,Data_5!$F$10:$BG$42,$A59+2,FALSE)="C","C",IF(HLOOKUP(CR$15,Data_5!$F$10:$BG$42,$A59+2,FALSE)="NO","NO",HLOOKUP(CR$15,Data_5!$F$10:$BG$42,$A59+2,FALSE)/Data_5!$BK54))))),"")</f>
        <v/>
      </c>
      <c r="CS59" s="1122" t="str">
        <f>IFERROR(IF(HLOOKUP(CS$15,Data_5!$F$10:$BG$42,$A59+2,FALSE)="NO","NO",IF(HLOOKUP(CS$15,Data_5!$F$10:$BG$42,$A59+2,FALSE)="IE","IE",IF(HLOOKUP(CS$15,Data_5!$F$10:$BG$42,$A59+2,FALSE)="NE","NE",IF(HLOOKUP(CS$15,Data_5!$F$10:$BG$42,$A59+2,FALSE)="C","C",IF(HLOOKUP(CS$15,Data_5!$F$10:$BG$42,$A59+2,FALSE)="NO","NO",HLOOKUP(CS$15,Data_5!$F$10:$BG$42,$A59+2,FALSE)/Data_5!$BK54))))),"")</f>
        <v/>
      </c>
      <c r="CT59" s="1122" t="str">
        <f>IFERROR(IF(HLOOKUP(CT$15,Data_5!$F$10:$BG$42,$A59+2,FALSE)="NO","NO",IF(HLOOKUP(CT$15,Data_5!$F$10:$BG$42,$A59+2,FALSE)="IE","IE",IF(HLOOKUP(CT$15,Data_5!$F$10:$BG$42,$A59+2,FALSE)="NE","NE",IF(HLOOKUP(CT$15,Data_5!$F$10:$BG$42,$A59+2,FALSE)="C","C",IF(HLOOKUP(CT$15,Data_5!$F$10:$BG$42,$A59+2,FALSE)="NO","NO",HLOOKUP(CT$15,Data_5!$F$10:$BG$42,$A59+2,FALSE)/Data_5!$BK54))))),"")</f>
        <v/>
      </c>
      <c r="CU59" s="1122" t="str">
        <f>IFERROR(IF(HLOOKUP(CU$15,Data_5!$F$10:$BG$42,$A59+2,FALSE)="NO","NO",IF(HLOOKUP(CU$15,Data_5!$F$10:$BG$42,$A59+2,FALSE)="IE","IE",IF(HLOOKUP(CU$15,Data_5!$F$10:$BG$42,$A59+2,FALSE)="NE","NE",IF(HLOOKUP(CU$15,Data_5!$F$10:$BG$42,$A59+2,FALSE)="C","C",IF(HLOOKUP(CU$15,Data_5!$F$10:$BG$42,$A59+2,FALSE)="NO","NO",HLOOKUP(CU$15,Data_5!$F$10:$BG$42,$A59+2,FALSE)/Data_5!$BK54))))),"")</f>
        <v/>
      </c>
      <c r="CV59" s="1122" t="str">
        <f>IFERROR(IF(HLOOKUP(CV$15,Data_5!$F$10:$BG$42,$A59+2,FALSE)="NO","NO",IF(HLOOKUP(CV$15,Data_5!$F$10:$BG$42,$A59+2,FALSE)="IE","IE",IF(HLOOKUP(CV$15,Data_5!$F$10:$BG$42,$A59+2,FALSE)="NE","NE",IF(HLOOKUP(CV$15,Data_5!$F$10:$BG$42,$A59+2,FALSE)="C","C",IF(HLOOKUP(CV$15,Data_5!$F$10:$BG$42,$A59+2,FALSE)="NO","NO",HLOOKUP(CV$15,Data_5!$F$10:$BG$42,$A59+2,FALSE)/Data_5!$BK54))))),"")</f>
        <v/>
      </c>
      <c r="CW59" s="1122" t="str">
        <f>IFERROR(IF(HLOOKUP(CW$15,Data_5!$F$10:$BG$42,$A59+2,FALSE)="NO","NO",IF(HLOOKUP(CW$15,Data_5!$F$10:$BG$42,$A59+2,FALSE)="IE","IE",IF(HLOOKUP(CW$15,Data_5!$F$10:$BG$42,$A59+2,FALSE)="NE","NE",IF(HLOOKUP(CW$15,Data_5!$F$10:$BG$42,$A59+2,FALSE)="C","C",IF(HLOOKUP(CW$15,Data_5!$F$10:$BG$42,$A59+2,FALSE)="NO","NO",HLOOKUP(CW$15,Data_5!$F$10:$BG$42,$A59+2,FALSE)/Data_5!$BK54))))),"")</f>
        <v/>
      </c>
      <c r="CX59" s="1122" t="str">
        <f>IFERROR(IF(HLOOKUP(CX$15,Data_5!$F$10:$BG$42,$A59+2,FALSE)="NO","NO",IF(HLOOKUP(CX$15,Data_5!$F$10:$BG$42,$A59+2,FALSE)="IE","IE",IF(HLOOKUP(CX$15,Data_5!$F$10:$BG$42,$A59+2,FALSE)="NE","NE",IF(HLOOKUP(CX$15,Data_5!$F$10:$BG$42,$A59+2,FALSE)="C","C",IF(HLOOKUP(CX$15,Data_5!$F$10:$BG$42,$A59+2,FALSE)="NO","NO",HLOOKUP(CX$15,Data_5!$F$10:$BG$42,$A59+2,FALSE)/Data_5!$BK54))))),"")</f>
        <v/>
      </c>
      <c r="CY59" s="1122" t="str">
        <f>IFERROR(IF(HLOOKUP(CY$15,Data_5!$F$10:$BG$42,$A59+2,FALSE)="NO","NO",IF(HLOOKUP(CY$15,Data_5!$F$10:$BG$42,$A59+2,FALSE)="IE","IE",IF(HLOOKUP(CY$15,Data_5!$F$10:$BG$42,$A59+2,FALSE)="NE","NE",IF(HLOOKUP(CY$15,Data_5!$F$10:$BG$42,$A59+2,FALSE)="C","C",IF(HLOOKUP(CY$15,Data_5!$F$10:$BG$42,$A59+2,FALSE)="NO","NO",HLOOKUP(CY$15,Data_5!$F$10:$BG$42,$A59+2,FALSE)/Data_5!$BK54))))),"")</f>
        <v/>
      </c>
      <c r="CZ59" s="1122" t="str">
        <f>IFERROR(IF(HLOOKUP(CZ$15,Data_5!$F$10:$BG$42,$A59+2,FALSE)="NO","NO",IF(HLOOKUP(CZ$15,Data_5!$F$10:$BG$42,$A59+2,FALSE)="IE","IE",IF(HLOOKUP(CZ$15,Data_5!$F$10:$BG$42,$A59+2,FALSE)="NE","NE",IF(HLOOKUP(CZ$15,Data_5!$F$10:$BG$42,$A59+2,FALSE)="C","C",IF(HLOOKUP(CZ$15,Data_5!$F$10:$BG$42,$A59+2,FALSE)="NO","NO",HLOOKUP(CZ$15,Data_5!$F$10:$BG$42,$A59+2,FALSE)/Data_5!$BK54))))),"")</f>
        <v/>
      </c>
      <c r="DA59" s="1122" t="str">
        <f>IFERROR(IF(HLOOKUP(DA$15,Data_5!$F$10:$BG$42,$A59+2,FALSE)="NO","NO",IF(HLOOKUP(DA$15,Data_5!$F$10:$BG$42,$A59+2,FALSE)="IE","IE",IF(HLOOKUP(DA$15,Data_5!$F$10:$BG$42,$A59+2,FALSE)="NE","NE",IF(HLOOKUP(DA$15,Data_5!$F$10:$BG$42,$A59+2,FALSE)="C","C",IF(HLOOKUP(DA$15,Data_5!$F$10:$BG$42,$A59+2,FALSE)="NO","NO",HLOOKUP(DA$15,Data_5!$F$10:$BG$42,$A59+2,FALSE)/Data_5!$BK54))))),"")</f>
        <v/>
      </c>
      <c r="DB59" s="1122" t="str">
        <f>IFERROR(IF(HLOOKUP(DB$15,Data_5!$F$10:$BG$42,$A59+2,FALSE)="NO","NO",IF(HLOOKUP(DB$15,Data_5!$F$10:$BG$42,$A59+2,FALSE)="IE","IE",IF(HLOOKUP(DB$15,Data_5!$F$10:$BG$42,$A59+2,FALSE)="NE","NE",IF(HLOOKUP(DB$15,Data_5!$F$10:$BG$42,$A59+2,FALSE)="C","C",IF(HLOOKUP(DB$15,Data_5!$F$10:$BG$42,$A59+2,FALSE)="NO","NO",HLOOKUP(DB$15,Data_5!$F$10:$BG$42,$A59+2,FALSE)/Data_5!$BK54))))),"")</f>
        <v/>
      </c>
      <c r="DC59" s="1122" t="str">
        <f>IFERROR(IF(HLOOKUP(DC$15,Data_5!$F$10:$BG$42,$A59+2,FALSE)="NO","NO",IF(HLOOKUP(DC$15,Data_5!$F$10:$BG$42,$A59+2,FALSE)="IE","IE",IF(HLOOKUP(DC$15,Data_5!$F$10:$BG$42,$A59+2,FALSE)="NE","NE",IF(HLOOKUP(DC$15,Data_5!$F$10:$BG$42,$A59+2,FALSE)="C","C",IF(HLOOKUP(DC$15,Data_5!$F$10:$BG$42,$A59+2,FALSE)="NO","NO",HLOOKUP(DC$15,Data_5!$F$10:$BG$42,$A59+2,FALSE)/Data_5!$BK54))))),"")</f>
        <v/>
      </c>
      <c r="DD59" s="1122" t="str">
        <f>IFERROR(IF(HLOOKUP(DD$15,Data_5!$F$10:$BG$42,$A59+2,FALSE)="NO","NO",IF(HLOOKUP(DD$15,Data_5!$F$10:$BG$42,$A59+2,FALSE)="IE","IE",IF(HLOOKUP(DD$15,Data_5!$F$10:$BG$42,$A59+2,FALSE)="NE","NE",IF(HLOOKUP(DD$15,Data_5!$F$10:$BG$42,$A59+2,FALSE)="C","C",IF(HLOOKUP(DD$15,Data_5!$F$10:$BG$42,$A59+2,FALSE)="NO","NO",HLOOKUP(DD$15,Data_5!$F$10:$BG$42,$A59+2,FALSE)/Data_5!$BK54))))),"")</f>
        <v/>
      </c>
      <c r="DE59" s="1122" t="str">
        <f>IFERROR(IF(HLOOKUP(DE$15,Data_5!$F$10:$BG$42,$A59+2,FALSE)="NO","NO",IF(HLOOKUP(DE$15,Data_5!$F$10:$BG$42,$A59+2,FALSE)="IE","IE",IF(HLOOKUP(DE$15,Data_5!$F$10:$BG$42,$A59+2,FALSE)="NE","NE",IF(HLOOKUP(DE$15,Data_5!$F$10:$BG$42,$A59+2,FALSE)="C","C",IF(HLOOKUP(DE$15,Data_5!$F$10:$BG$42,$A59+2,FALSE)="NO","NO",HLOOKUP(DE$15,Data_5!$F$10:$BG$42,$A59+2,FALSE)/Data_5!$BK54))))),"")</f>
        <v/>
      </c>
      <c r="DF59" s="1122" t="str">
        <f>IFERROR(IF(HLOOKUP(DF$15,Data_5!$F$10:$BG$42,$A59+2,FALSE)="NO","NO",IF(HLOOKUP(DF$15,Data_5!$F$10:$BG$42,$A59+2,FALSE)="IE","IE",IF(HLOOKUP(DF$15,Data_5!$F$10:$BG$42,$A59+2,FALSE)="NE","NE",IF(HLOOKUP(DF$15,Data_5!$F$10:$BG$42,$A59+2,FALSE)="C","C",IF(HLOOKUP(DF$15,Data_5!$F$10:$BG$42,$A59+2,FALSE)="NO","NO",HLOOKUP(DF$15,Data_5!$F$10:$BG$42,$A59+2,FALSE)/Data_5!$BK54))))),"")</f>
        <v/>
      </c>
      <c r="DG59" s="1122" t="str">
        <f>IFERROR(IF(HLOOKUP(DG$15,Data_5!$F$10:$BG$42,$A59+2,FALSE)="NO","NO",IF(HLOOKUP(DG$15,Data_5!$F$10:$BG$42,$A59+2,FALSE)="IE","IE",IF(HLOOKUP(DG$15,Data_5!$F$10:$BG$42,$A59+2,FALSE)="NE","NE",IF(HLOOKUP(DG$15,Data_5!$F$10:$BG$42,$A59+2,FALSE)="C","C",IF(HLOOKUP(DG$15,Data_5!$F$10:$BG$42,$A59+2,FALSE)="NO","NO",HLOOKUP(DG$15,Data_5!$F$10:$BG$42,$A59+2,FALSE)/Data_5!$BK54))))),"")</f>
        <v/>
      </c>
      <c r="DH59" s="1122" t="str">
        <f>IFERROR(IF(HLOOKUP(DH$15,Data_5!$F$10:$BG$42,$A59+2,FALSE)="NO","NO",IF(HLOOKUP(DH$15,Data_5!$F$10:$BG$42,$A59+2,FALSE)="IE","IE",IF(HLOOKUP(DH$15,Data_5!$F$10:$BG$42,$A59+2,FALSE)="NE","NE",IF(HLOOKUP(DH$15,Data_5!$F$10:$BG$42,$A59+2,FALSE)="C","C",IF(HLOOKUP(DH$15,Data_5!$F$10:$BG$42,$A59+2,FALSE)="NO","NO",HLOOKUP(DH$15,Data_5!$F$10:$BG$42,$A59+2,FALSE)/Data_5!$BK54))))),"")</f>
        <v/>
      </c>
      <c r="DI59" s="1122" t="str">
        <f>IFERROR(IF(HLOOKUP(DI$15,Data_5!$F$10:$BG$42,$A59+2,FALSE)="NO","NO",IF(HLOOKUP(DI$15,Data_5!$F$10:$BG$42,$A59+2,FALSE)="IE","IE",IF(HLOOKUP(DI$15,Data_5!$F$10:$BG$42,$A59+2,FALSE)="NE","NE",IF(HLOOKUP(DI$15,Data_5!$F$10:$BG$42,$A59+2,FALSE)="C","C",IF(HLOOKUP(DI$15,Data_5!$F$10:$BG$42,$A59+2,FALSE)="NO","NO",HLOOKUP(DI$15,Data_5!$F$10:$BG$42,$A59+2,FALSE)/Data_5!$BK54))))),"")</f>
        <v/>
      </c>
      <c r="DJ59" s="1122" t="str">
        <f>IFERROR(IF(HLOOKUP(DJ$15,Data_5!$F$10:$BG$42,$A59+2,FALSE)="NO","NO",IF(HLOOKUP(DJ$15,Data_5!$F$10:$BG$42,$A59+2,FALSE)="IE","IE",IF(HLOOKUP(DJ$15,Data_5!$F$10:$BG$42,$A59+2,FALSE)="NE","NE",IF(HLOOKUP(DJ$15,Data_5!$F$10:$BG$42,$A59+2,FALSE)="C","C",IF(HLOOKUP(DJ$15,Data_5!$F$10:$BG$42,$A59+2,FALSE)="NO","NO",HLOOKUP(DJ$15,Data_5!$F$10:$BG$42,$A59+2,FALSE)/Data_5!$BK54))))),"")</f>
        <v/>
      </c>
      <c r="DK59" s="1122" t="str">
        <f>IFERROR(IF(HLOOKUP(DK$15,Data_5!$F$10:$BG$42,$A59+2,FALSE)="NO","NO",IF(HLOOKUP(DK$15,Data_5!$F$10:$BG$42,$A59+2,FALSE)="IE","IE",IF(HLOOKUP(DK$15,Data_5!$F$10:$BG$42,$A59+2,FALSE)="NE","NE",IF(HLOOKUP(DK$15,Data_5!$F$10:$BG$42,$A59+2,FALSE)="C","C",IF(HLOOKUP(DK$15,Data_5!$F$10:$BG$42,$A59+2,FALSE)="NO","NO",HLOOKUP(DK$15,Data_5!$F$10:$BG$42,$A59+2,FALSE)/Data_5!$BK54))))),"")</f>
        <v/>
      </c>
      <c r="DL59" s="1122" t="str">
        <f>IFERROR(IF(HLOOKUP(DL$15,Data_5!$F$10:$BG$42,$A59+2,FALSE)="NO","NO",IF(HLOOKUP(DL$15,Data_5!$F$10:$BG$42,$A59+2,FALSE)="IE","IE",IF(HLOOKUP(DL$15,Data_5!$F$10:$BG$42,$A59+2,FALSE)="NE","NE",IF(HLOOKUP(DL$15,Data_5!$F$10:$BG$42,$A59+2,FALSE)="C","C",IF(HLOOKUP(DL$15,Data_5!$F$10:$BG$42,$A59+2,FALSE)="NO","NO",HLOOKUP(DL$15,Data_5!$F$10:$BG$42,$A59+2,FALSE)/Data_5!$BK54))))),"")</f>
        <v/>
      </c>
      <c r="DM59" s="1122" t="str">
        <f>IFERROR(IF(HLOOKUP(DM$15,Data_5!$F$10:$BG$42,$A59+2,FALSE)="NO","NO",IF(HLOOKUP(DM$15,Data_5!$F$10:$BG$42,$A59+2,FALSE)="IE","IE",IF(HLOOKUP(DM$15,Data_5!$F$10:$BG$42,$A59+2,FALSE)="NE","NE",IF(HLOOKUP(DM$15,Data_5!$F$10:$BG$42,$A59+2,FALSE)="C","C",IF(HLOOKUP(DM$15,Data_5!$F$10:$BG$42,$A59+2,FALSE)="NO","NO",HLOOKUP(DM$15,Data_5!$F$10:$BG$42,$A59+2,FALSE)/Data_5!$BK54))))),"")</f>
        <v/>
      </c>
      <c r="DN59" s="1122" t="str">
        <f>IFERROR(IF(HLOOKUP(DN$15,Data_5!$F$10:$BG$42,$A59+2,FALSE)="NO","NO",IF(HLOOKUP(DN$15,Data_5!$F$10:$BG$42,$A59+2,FALSE)="IE","IE",IF(HLOOKUP(DN$15,Data_5!$F$10:$BG$42,$A59+2,FALSE)="NE","NE",IF(HLOOKUP(DN$15,Data_5!$F$10:$BG$42,$A59+2,FALSE)="C","C",IF(HLOOKUP(DN$15,Data_5!$F$10:$BG$42,$A59+2,FALSE)="NO","NO",HLOOKUP(DN$15,Data_5!$F$10:$BG$42,$A59+2,FALSE)/Data_5!$BK54))))),"")</f>
        <v/>
      </c>
      <c r="DO59" s="1122" t="str">
        <f>IFERROR(IF(HLOOKUP(DO$15,Data_5!$F$10:$BG$42,$A59+2,FALSE)="NO","NO",IF(HLOOKUP(DO$15,Data_5!$F$10:$BG$42,$A59+2,FALSE)="IE","IE",IF(HLOOKUP(DO$15,Data_5!$F$10:$BG$42,$A59+2,FALSE)="NE","NE",IF(HLOOKUP(DO$15,Data_5!$F$10:$BG$42,$A59+2,FALSE)="C","C",IF(HLOOKUP(DO$15,Data_5!$F$10:$BG$42,$A59+2,FALSE)="NO","NO",HLOOKUP(DO$15,Data_5!$F$10:$BG$42,$A59+2,FALSE)/Data_5!$BK54))))),"")</f>
        <v/>
      </c>
    </row>
    <row r="60" spans="1:119" ht="15" customHeight="1">
      <c r="A60" s="1789">
        <v>44</v>
      </c>
      <c r="B60" s="2628" t="str">
        <f ca="1">IF(Data_5!B55&lt;&gt;"",Data_5!B55,"")</f>
        <v/>
      </c>
      <c r="C60" s="2629"/>
      <c r="D60" s="1462">
        <f ca="1">IFERROR(VLOOKUP($B60,Data_5!$B$12:$C$42,2,FALSE),"")</f>
        <v>0</v>
      </c>
      <c r="E60" s="1122" t="str">
        <f>IFERROR(IF(HLOOKUP(E$15,Data_5!$F$10:$BG$42,$A60+2,FALSE)="NO","NO",IF(HLOOKUP(E$15,Data_5!$F$10:$BG$42,$A60+2,FALSE)="IE","IE",IF(HLOOKUP(E$15,Data_5!$F$10:$BG$42,$A60+2,FALSE)="NE","NE",IF(HLOOKUP(E$15,Data_5!$F$10:$BG$42,$A60+2,FALSE)="C","C",IF(HLOOKUP(E$15,Data_5!$F$10:$BG$42,$A60+2,FALSE)="NO","NO",HLOOKUP(E$15,Data_5!$F$10:$BG$42,$A60+2,FALSE)/Data_5!$BH55))))),"")</f>
        <v/>
      </c>
      <c r="F60" s="1122" t="str">
        <f>IFERROR(IF(HLOOKUP(F$15,Data_5!$F$10:$BG$42,$A60+2,FALSE)="NO","NO",IF(HLOOKUP(F$15,Data_5!$F$10:$BG$42,$A60+2,FALSE)="IE","IE",IF(HLOOKUP(F$15,Data_5!$F$10:$BG$42,$A60+2,FALSE)="NE","NE",IF(HLOOKUP(F$15,Data_5!$F$10:$BG$42,$A60+2,FALSE)="C","C",IF(HLOOKUP(F$15,Data_5!$F$10:$BG$42,$A60+2,FALSE)="NO","NO",HLOOKUP(F$15,Data_5!$F$10:$BG$42,$A60+2,FALSE)/Data_5!$BH55))))),"")</f>
        <v/>
      </c>
      <c r="G60" s="1122" t="str">
        <f>IFERROR(IF(HLOOKUP(G$15,Data_5!$F$10:$BG$42,$A60+2,FALSE)="NO","NO",IF(HLOOKUP(G$15,Data_5!$F$10:$BG$42,$A60+2,FALSE)="IE","IE",IF(HLOOKUP(G$15,Data_5!$F$10:$BG$42,$A60+2,FALSE)="NE","NE",IF(HLOOKUP(G$15,Data_5!$F$10:$BG$42,$A60+2,FALSE)="C","C",IF(HLOOKUP(G$15,Data_5!$F$10:$BG$42,$A60+2,FALSE)="NO","NO",HLOOKUP(G$15,Data_5!$F$10:$BG$42,$A60+2,FALSE)/Data_5!$BH55))))),"")</f>
        <v/>
      </c>
      <c r="H60" s="1122" t="str">
        <f>IFERROR(IF(HLOOKUP(H$15,Data_5!$F$10:$BG$42,$A60+2,FALSE)="NO","NO",IF(HLOOKUP(H$15,Data_5!$F$10:$BG$42,$A60+2,FALSE)="IE","IE",IF(HLOOKUP(H$15,Data_5!$F$10:$BG$42,$A60+2,FALSE)="NE","NE",IF(HLOOKUP(H$15,Data_5!$F$10:$BG$42,$A60+2,FALSE)="C","C",IF(HLOOKUP(H$15,Data_5!$F$10:$BG$42,$A60+2,FALSE)="NO","NO",HLOOKUP(H$15,Data_5!$F$10:$BG$42,$A60+2,FALSE)/Data_5!$BH55))))),"")</f>
        <v/>
      </c>
      <c r="I60" s="1122" t="str">
        <f>IFERROR(IF(HLOOKUP(I$15,Data_5!$F$10:$BG$42,$A60+2,FALSE)="NO","NO",IF(HLOOKUP(I$15,Data_5!$F$10:$BG$42,$A60+2,FALSE)="IE","IE",IF(HLOOKUP(I$15,Data_5!$F$10:$BG$42,$A60+2,FALSE)="NE","NE",IF(HLOOKUP(I$15,Data_5!$F$10:$BG$42,$A60+2,FALSE)="C","C",IF(HLOOKUP(I$15,Data_5!$F$10:$BG$42,$A60+2,FALSE)="NO","NO",HLOOKUP(I$15,Data_5!$F$10:$BG$42,$A60+2,FALSE)/Data_5!$BH55))))),"")</f>
        <v/>
      </c>
      <c r="J60" s="1122" t="str">
        <f>IFERROR(IF(HLOOKUP(J$15,Data_5!$F$10:$BG$42,$A60+2,FALSE)="NO","NO",IF(HLOOKUP(J$15,Data_5!$F$10:$BG$42,$A60+2,FALSE)="IE","IE",IF(HLOOKUP(J$15,Data_5!$F$10:$BG$42,$A60+2,FALSE)="NE","NE",IF(HLOOKUP(J$15,Data_5!$F$10:$BG$42,$A60+2,FALSE)="C","C",IF(HLOOKUP(J$15,Data_5!$F$10:$BG$42,$A60+2,FALSE)="NO","NO",HLOOKUP(J$15,Data_5!$F$10:$BG$42,$A60+2,FALSE)/Data_5!$BH55))))),"")</f>
        <v/>
      </c>
      <c r="K60" s="1122" t="str">
        <f>IFERROR(IF(HLOOKUP(K$15,Data_5!$F$10:$BG$42,$A60+2,FALSE)="NO","NO",IF(HLOOKUP(K$15,Data_5!$F$10:$BG$42,$A60+2,FALSE)="IE","IE",IF(HLOOKUP(K$15,Data_5!$F$10:$BG$42,$A60+2,FALSE)="NE","NE",IF(HLOOKUP(K$15,Data_5!$F$10:$BG$42,$A60+2,FALSE)="C","C",IF(HLOOKUP(K$15,Data_5!$F$10:$BG$42,$A60+2,FALSE)="NO","NO",HLOOKUP(K$15,Data_5!$F$10:$BG$42,$A60+2,FALSE)/Data_5!$BH55))))),"")</f>
        <v/>
      </c>
      <c r="L60" s="1122" t="str">
        <f>IFERROR(IF(HLOOKUP(L$15,Data_5!$F$10:$BG$42,$A60+2,FALSE)="NO","NO",IF(HLOOKUP(L$15,Data_5!$F$10:$BG$42,$A60+2,FALSE)="IE","IE",IF(HLOOKUP(L$15,Data_5!$F$10:$BG$42,$A60+2,FALSE)="NE","NE",IF(HLOOKUP(L$15,Data_5!$F$10:$BG$42,$A60+2,FALSE)="C","C",IF(HLOOKUP(L$15,Data_5!$F$10:$BG$42,$A60+2,FALSE)="NO","NO",HLOOKUP(L$15,Data_5!$F$10:$BG$42,$A60+2,FALSE)/Data_5!$BH55))))),"")</f>
        <v/>
      </c>
      <c r="M60" s="1122" t="str">
        <f>IFERROR(IF(HLOOKUP(M$15,Data_5!$F$10:$BG$42,$A60+2,FALSE)="NO","NO",IF(HLOOKUP(M$15,Data_5!$F$10:$BG$42,$A60+2,FALSE)="IE","IE",IF(HLOOKUP(M$15,Data_5!$F$10:$BG$42,$A60+2,FALSE)="NE","NE",IF(HLOOKUP(M$15,Data_5!$F$10:$BG$42,$A60+2,FALSE)="C","C",IF(HLOOKUP(M$15,Data_5!$F$10:$BG$42,$A60+2,FALSE)="NO","NO",HLOOKUP(M$15,Data_5!$F$10:$BG$42,$A60+2,FALSE)/Data_5!$BH55))))),"")</f>
        <v/>
      </c>
      <c r="N60" s="1122" t="str">
        <f>IFERROR(IF(HLOOKUP(N$15,Data_5!$F$10:$BG$42,$A60+2,FALSE)="NO","NO",IF(HLOOKUP(N$15,Data_5!$F$10:$BG$42,$A60+2,FALSE)="IE","IE",IF(HLOOKUP(N$15,Data_5!$F$10:$BG$42,$A60+2,FALSE)="NE","NE",IF(HLOOKUP(N$15,Data_5!$F$10:$BG$42,$A60+2,FALSE)="C","C",IF(HLOOKUP(N$15,Data_5!$F$10:$BG$42,$A60+2,FALSE)="NO","NO",HLOOKUP(N$15,Data_5!$F$10:$BG$42,$A60+2,FALSE)/Data_5!$BH55))))),"")</f>
        <v/>
      </c>
      <c r="O60" s="1122" t="str">
        <f>IFERROR(IF(HLOOKUP(O$15,Data_5!$F$10:$BG$42,$A60+2,FALSE)="NO","NO",IF(HLOOKUP(O$15,Data_5!$F$10:$BG$42,$A60+2,FALSE)="IE","IE",IF(HLOOKUP(O$15,Data_5!$F$10:$BG$42,$A60+2,FALSE)="NE","NE",IF(HLOOKUP(O$15,Data_5!$F$10:$BG$42,$A60+2,FALSE)="C","C",IF(HLOOKUP(O$15,Data_5!$F$10:$BG$42,$A60+2,FALSE)="NO","NO",HLOOKUP(O$15,Data_5!$F$10:$BG$42,$A60+2,FALSE)/Data_5!$BH55))))),"")</f>
        <v/>
      </c>
      <c r="P60" s="1122" t="str">
        <f>IFERROR(IF(HLOOKUP(P$15,Data_5!$F$10:$BG$42,$A60+2,FALSE)="NO","NO",IF(HLOOKUP(P$15,Data_5!$F$10:$BG$42,$A60+2,FALSE)="IE","IE",IF(HLOOKUP(P$15,Data_5!$F$10:$BG$42,$A60+2,FALSE)="NE","NE",IF(HLOOKUP(P$15,Data_5!$F$10:$BG$42,$A60+2,FALSE)="C","C",IF(HLOOKUP(P$15,Data_5!$F$10:$BG$42,$A60+2,FALSE)="NO","NO",HLOOKUP(P$15,Data_5!$F$10:$BG$42,$A60+2,FALSE)/Data_5!$BH55))))),"")</f>
        <v/>
      </c>
      <c r="Q60" s="1122" t="str">
        <f>IFERROR(IF(HLOOKUP(Q$15,Data_5!$F$10:$BG$42,$A60+2,FALSE)="NO","NO",IF(HLOOKUP(Q$15,Data_5!$F$10:$BG$42,$A60+2,FALSE)="IE","IE",IF(HLOOKUP(Q$15,Data_5!$F$10:$BG$42,$A60+2,FALSE)="NE","NE",IF(HLOOKUP(Q$15,Data_5!$F$10:$BG$42,$A60+2,FALSE)="C","C",IF(HLOOKUP(Q$15,Data_5!$F$10:$BG$42,$A60+2,FALSE)="NO","NO",HLOOKUP(Q$15,Data_5!$F$10:$BG$42,$A60+2,FALSE)/Data_5!$BH55))))),"")</f>
        <v/>
      </c>
      <c r="R60" s="1122" t="str">
        <f>IFERROR(IF(HLOOKUP(R$15,Data_5!$F$10:$BG$42,$A60+2,FALSE)="NO","NO",IF(HLOOKUP(R$15,Data_5!$F$10:$BG$42,$A60+2,FALSE)="IE","IE",IF(HLOOKUP(R$15,Data_5!$F$10:$BG$42,$A60+2,FALSE)="NE","NE",IF(HLOOKUP(R$15,Data_5!$F$10:$BG$42,$A60+2,FALSE)="C","C",IF(HLOOKUP(R$15,Data_5!$F$10:$BG$42,$A60+2,FALSE)="NO","NO",HLOOKUP(R$15,Data_5!$F$10:$BG$42,$A60+2,FALSE)/Data_5!$BH55))))),"")</f>
        <v/>
      </c>
      <c r="S60" s="1122" t="str">
        <f>IFERROR(IF(HLOOKUP(S$15,Data_5!$F$10:$BG$42,$A60+2,FALSE)="NO","NO",IF(HLOOKUP(S$15,Data_5!$F$10:$BG$42,$A60+2,FALSE)="IE","IE",IF(HLOOKUP(S$15,Data_5!$F$10:$BG$42,$A60+2,FALSE)="NE","NE",IF(HLOOKUP(S$15,Data_5!$F$10:$BG$42,$A60+2,FALSE)="C","C",IF(HLOOKUP(S$15,Data_5!$F$10:$BG$42,$A60+2,FALSE)="NO","NO",HLOOKUP(S$15,Data_5!$F$10:$BG$42,$A60+2,FALSE)/Data_5!$BH55))))),"")</f>
        <v/>
      </c>
      <c r="T60" s="1122" t="str">
        <f>IFERROR(IF(HLOOKUP(T$15,Data_5!$F$10:$BG$42,$A60+2,FALSE)="NO","NO",IF(HLOOKUP(T$15,Data_5!$F$10:$BG$42,$A60+2,FALSE)="IE","IE",IF(HLOOKUP(T$15,Data_5!$F$10:$BG$42,$A60+2,FALSE)="NE","NE",IF(HLOOKUP(T$15,Data_5!$F$10:$BG$42,$A60+2,FALSE)="C","C",IF(HLOOKUP(T$15,Data_5!$F$10:$BG$42,$A60+2,FALSE)="NO","NO",HLOOKUP(T$15,Data_5!$F$10:$BG$42,$A60+2,FALSE)/Data_5!$BH55))))),"")</f>
        <v/>
      </c>
      <c r="U60" s="1122" t="str">
        <f>IFERROR(IF(HLOOKUP(U$15,Data_5!$F$10:$BG$42,$A60+2,FALSE)="NO","NO",IF(HLOOKUP(U$15,Data_5!$F$10:$BG$42,$A60+2,FALSE)="IE","IE",IF(HLOOKUP(U$15,Data_5!$F$10:$BG$42,$A60+2,FALSE)="NE","NE",IF(HLOOKUP(U$15,Data_5!$F$10:$BG$42,$A60+2,FALSE)="C","C",IF(HLOOKUP(U$15,Data_5!$F$10:$BG$42,$A60+2,FALSE)="NO","NO",HLOOKUP(U$15,Data_5!$F$10:$BG$42,$A60+2,FALSE)/Data_5!$BH55))))),"")</f>
        <v/>
      </c>
      <c r="V60" s="1122" t="str">
        <f>IFERROR(IF(HLOOKUP(V$15,Data_5!$F$10:$BG$42,$A60+2,FALSE)="NO","NO",IF(HLOOKUP(V$15,Data_5!$F$10:$BG$42,$A60+2,FALSE)="IE","IE",IF(HLOOKUP(V$15,Data_5!$F$10:$BG$42,$A60+2,FALSE)="NE","NE",IF(HLOOKUP(V$15,Data_5!$F$10:$BG$42,$A60+2,FALSE)="C","C",IF(HLOOKUP(V$15,Data_5!$F$10:$BG$42,$A60+2,FALSE)="NO","NO",HLOOKUP(V$15,Data_5!$F$10:$BG$42,$A60+2,FALSE)/Data_5!$BH55))))),"")</f>
        <v/>
      </c>
      <c r="W60" s="1122" t="str">
        <f>IFERROR(IF(HLOOKUP(W$15,Data_5!$F$10:$BG$42,$A60+2,FALSE)="NO","NO",IF(HLOOKUP(W$15,Data_5!$F$10:$BG$42,$A60+2,FALSE)="IE","IE",IF(HLOOKUP(W$15,Data_5!$F$10:$BG$42,$A60+2,FALSE)="NE","NE",IF(HLOOKUP(W$15,Data_5!$F$10:$BG$42,$A60+2,FALSE)="C","C",IF(HLOOKUP(W$15,Data_5!$F$10:$BG$42,$A60+2,FALSE)="NO","NO",HLOOKUP(W$15,Data_5!$F$10:$BG$42,$A60+2,FALSE)/Data_5!$BH55))))),"")</f>
        <v/>
      </c>
      <c r="X60" s="1122" t="str">
        <f>IFERROR(IF(HLOOKUP(X$15,Data_5!$F$10:$BG$42,$A60+2,FALSE)="NO","NO",IF(HLOOKUP(X$15,Data_5!$F$10:$BG$42,$A60+2,FALSE)="IE","IE",IF(HLOOKUP(X$15,Data_5!$F$10:$BG$42,$A60+2,FALSE)="NE","NE",IF(HLOOKUP(X$15,Data_5!$F$10:$BG$42,$A60+2,FALSE)="C","C",IF(HLOOKUP(X$15,Data_5!$F$10:$BG$42,$A60+2,FALSE)="NO","NO",HLOOKUP(X$15,Data_5!$F$10:$BG$42,$A60+2,FALSE)/Data_5!$BH55))))),"")</f>
        <v/>
      </c>
      <c r="Y60" s="1122" t="str">
        <f>IFERROR(IF(HLOOKUP(Y$15,Data_5!$F$10:$BG$42,$A60+2,FALSE)="NO","NO",IF(HLOOKUP(Y$15,Data_5!$F$10:$BG$42,$A60+2,FALSE)="IE","IE",IF(HLOOKUP(Y$15,Data_5!$F$10:$BG$42,$A60+2,FALSE)="NE","NE",IF(HLOOKUP(Y$15,Data_5!$F$10:$BG$42,$A60+2,FALSE)="C","C",IF(HLOOKUP(Y$15,Data_5!$F$10:$BG$42,$A60+2,FALSE)="NO","NO",HLOOKUP(Y$15,Data_5!$F$10:$BG$42,$A60+2,FALSE)/Data_5!$BH55))))),"")</f>
        <v/>
      </c>
      <c r="Z60" s="1122" t="str">
        <f>IFERROR(IF(HLOOKUP(Z$15,Data_5!$F$10:$BG$42,$A60+2,FALSE)="NO","NO",IF(HLOOKUP(Z$15,Data_5!$F$10:$BG$42,$A60+2,FALSE)="IE","IE",IF(HLOOKUP(Z$15,Data_5!$F$10:$BG$42,$A60+2,FALSE)="NE","NE",IF(HLOOKUP(Z$15,Data_5!$F$10:$BG$42,$A60+2,FALSE)="C","C",IF(HLOOKUP(Z$15,Data_5!$F$10:$BG$42,$A60+2,FALSE)="NO","NO",HLOOKUP(Z$15,Data_5!$F$10:$BG$42,$A60+2,FALSE)/Data_5!$BH55))))),"")</f>
        <v/>
      </c>
      <c r="AA60" s="1122" t="str">
        <f>IFERROR(IF(HLOOKUP(AA$15,Data_5!$F$10:$BG$42,$A60+2,FALSE)="NO","NO",IF(HLOOKUP(AA$15,Data_5!$F$10:$BG$42,$A60+2,FALSE)="IE","IE",IF(HLOOKUP(AA$15,Data_5!$F$10:$BG$42,$A60+2,FALSE)="NE","NE",IF(HLOOKUP(AA$15,Data_5!$F$10:$BG$42,$A60+2,FALSE)="C","C",IF(HLOOKUP(AA$15,Data_5!$F$10:$BG$42,$A60+2,FALSE)="NO","NO",HLOOKUP(AA$15,Data_5!$F$10:$BG$42,$A60+2,FALSE)/Data_5!$BH55))))),"")</f>
        <v/>
      </c>
      <c r="AB60" s="1122" t="str">
        <f>IFERROR(IF(HLOOKUP(AB$15,Data_5!$F$10:$BG$42,$A60+2,FALSE)="NO","NO",IF(HLOOKUP(AB$15,Data_5!$F$10:$BG$42,$A60+2,FALSE)="IE","IE",IF(HLOOKUP(AB$15,Data_5!$F$10:$BG$42,$A60+2,FALSE)="NE","NE",IF(HLOOKUP(AB$15,Data_5!$F$10:$BG$42,$A60+2,FALSE)="C","C",IF(HLOOKUP(AB$15,Data_5!$F$10:$BG$42,$A60+2,FALSE)="NO","NO",HLOOKUP(AB$15,Data_5!$F$10:$BG$42,$A60+2,FALSE)/Data_5!$BH55))))),"")</f>
        <v/>
      </c>
      <c r="AC60" s="1122" t="str">
        <f>IFERROR(IF(HLOOKUP(AC$15,Data_5!$F$10:$BG$42,$A60+2,FALSE)="NO","NO",IF(HLOOKUP(AC$15,Data_5!$F$10:$BG$42,$A60+2,FALSE)="IE","IE",IF(HLOOKUP(AC$15,Data_5!$F$10:$BG$42,$A60+2,FALSE)="NE","NE",IF(HLOOKUP(AC$15,Data_5!$F$10:$BG$42,$A60+2,FALSE)="C","C",IF(HLOOKUP(AC$15,Data_5!$F$10:$BG$42,$A60+2,FALSE)="NO","NO",HLOOKUP(AC$15,Data_5!$F$10:$BG$42,$A60+2,FALSE)/Data_5!$BH55))))),"")</f>
        <v/>
      </c>
      <c r="AD60" s="1122" t="str">
        <f>IFERROR(IF(HLOOKUP(AD$15,Data_5!$F$10:$BG$42,$A60+2,FALSE)="NO","NO",IF(HLOOKUP(AD$15,Data_5!$F$10:$BG$42,$A60+2,FALSE)="IE","IE",IF(HLOOKUP(AD$15,Data_5!$F$10:$BG$42,$A60+2,FALSE)="NE","NE",IF(HLOOKUP(AD$15,Data_5!$F$10:$BG$42,$A60+2,FALSE)="C","C",IF(HLOOKUP(AD$15,Data_5!$F$10:$BG$42,$A60+2,FALSE)="NO","NO",HLOOKUP(AD$15,Data_5!$F$10:$BG$42,$A60+2,FALSE)/Data_5!$BH55))))),"")</f>
        <v/>
      </c>
      <c r="AE60" s="1122" t="str">
        <f>IFERROR(IF(HLOOKUP(AE$15,Data_5!$F$10:$BG$42,$A60+2,FALSE)="NO","NO",IF(HLOOKUP(AE$15,Data_5!$F$10:$BG$42,$A60+2,FALSE)="IE","IE",IF(HLOOKUP(AE$15,Data_5!$F$10:$BG$42,$A60+2,FALSE)="NE","NE",IF(HLOOKUP(AE$15,Data_5!$F$10:$BG$42,$A60+2,FALSE)="C","C",IF(HLOOKUP(AE$15,Data_5!$F$10:$BG$42,$A60+2,FALSE)="NO","NO",HLOOKUP(AE$15,Data_5!$F$10:$BG$42,$A60+2,FALSE)/Data_5!$BH55))))),"")</f>
        <v/>
      </c>
      <c r="AF60" s="1122" t="str">
        <f>IFERROR(IF(HLOOKUP(AF$15,Data_5!$F$10:$BG$42,$A60+2,FALSE)="NO","NO",IF(HLOOKUP(AF$15,Data_5!$F$10:$BG$42,$A60+2,FALSE)="IE","IE",IF(HLOOKUP(AF$15,Data_5!$F$10:$BG$42,$A60+2,FALSE)="NE","NE",IF(HLOOKUP(AF$15,Data_5!$F$10:$BG$42,$A60+2,FALSE)="C","C",IF(HLOOKUP(AF$15,Data_5!$F$10:$BG$42,$A60+2,FALSE)="NO","NO",HLOOKUP(AF$15,Data_5!$F$10:$BG$42,$A60+2,FALSE)/Data_5!$BH55))))),"")</f>
        <v/>
      </c>
      <c r="AG60" s="1122" t="str">
        <f>IFERROR(IF(HLOOKUP(AG$15,Data_5!$F$10:$BG$42,$A60+2,FALSE)="NO","NO",IF(HLOOKUP(AG$15,Data_5!$F$10:$BG$42,$A60+2,FALSE)="IE","IE",IF(HLOOKUP(AG$15,Data_5!$F$10:$BG$42,$A60+2,FALSE)="NE","NE",IF(HLOOKUP(AG$15,Data_5!$F$10:$BG$42,$A60+2,FALSE)="C","C",IF(HLOOKUP(AG$15,Data_5!$F$10:$BG$42,$A60+2,FALSE)="NO","NO",HLOOKUP(AG$15,Data_5!$F$10:$BG$42,$A60+2,FALSE)/Data_5!$BH55))))),"")</f>
        <v/>
      </c>
      <c r="AH60" s="1122" t="str">
        <f>IFERROR(IF(HLOOKUP(AH$15,Data_5!$F$10:$BG$42,$A60+2,FALSE)="NO","NO",IF(HLOOKUP(AH$15,Data_5!$F$10:$BG$42,$A60+2,FALSE)="IE","IE",IF(HLOOKUP(AH$15,Data_5!$F$10:$BG$42,$A60+2,FALSE)="NE","NE",IF(HLOOKUP(AH$15,Data_5!$F$10:$BG$42,$A60+2,FALSE)="C","C",IF(HLOOKUP(AH$15,Data_5!$F$10:$BG$42,$A60+2,FALSE)="NO","NO",HLOOKUP(AH$15,Data_5!$F$10:$BG$42,$A60+2,FALSE)/Data_5!$BH55))))),"")</f>
        <v/>
      </c>
      <c r="AI60" s="1122" t="str">
        <f>IFERROR(IF(HLOOKUP(AI$15,Data_5!$F$10:$BG$42,$A60+2,FALSE)="NO","NO",IF(HLOOKUP(AI$15,Data_5!$F$10:$BG$42,$A60+2,FALSE)="IE","IE",IF(HLOOKUP(AI$15,Data_5!$F$10:$BG$42,$A60+2,FALSE)="NE","NE",IF(HLOOKUP(AI$15,Data_5!$F$10:$BG$42,$A60+2,FALSE)="C","C",IF(HLOOKUP(AI$15,Data_5!$F$10:$BG$42,$A60+2,FALSE)="NO","NO",HLOOKUP(AI$15,Data_5!$F$10:$BG$42,$A60+2,FALSE)/Data_5!$BH55))))),"")</f>
        <v/>
      </c>
      <c r="AJ60" s="1122" t="str">
        <f>IFERROR(IF(HLOOKUP(AJ$15,Data_5!$F$10:$BG$42,$A60+2,FALSE)="NO","NO",IF(HLOOKUP(AJ$15,Data_5!$F$10:$BG$42,$A60+2,FALSE)="IE","IE",IF(HLOOKUP(AJ$15,Data_5!$F$10:$BG$42,$A60+2,FALSE)="NE","NE",IF(HLOOKUP(AJ$15,Data_5!$F$10:$BG$42,$A60+2,FALSE)="C","C",IF(HLOOKUP(AJ$15,Data_5!$F$10:$BG$42,$A60+2,FALSE)="NO","NO",HLOOKUP(AJ$15,Data_5!$F$10:$BG$42,$A60+2,FALSE)/Data_5!$BH55))))),"")</f>
        <v/>
      </c>
      <c r="AL60" s="2628" t="str">
        <f t="shared" ca="1" si="0"/>
        <v/>
      </c>
      <c r="AM60" s="2629"/>
      <c r="AN60" s="1100" t="str">
        <f t="shared" ca="1" si="1"/>
        <v/>
      </c>
      <c r="AO60" s="1122" t="str">
        <f>IFERROR(IF(HLOOKUP(AO$15,Data_5!$F$10:$BG$42,$A60+2,FALSE)="NO","NO",IF(HLOOKUP(AO$15,Data_5!$F$10:$BG$42,$A60+2,FALSE)="IE","IE",IF(HLOOKUP(AO$15,Data_5!$F$10:$BG$42,$A60+2,FALSE)="NE","NE",IF(HLOOKUP(AO$15,Data_5!$F$10:$BG$42,$A60+2,FALSE)="C","C",IF(HLOOKUP(AO$15,Data_5!$F$10:$BG$42,$A60+2,FALSE)="NO","NO",HLOOKUP(AO$15,Data_5!$F$10:$BG$42,$A60+2,FALSE)/Data_5!$BI55))))),"")</f>
        <v/>
      </c>
      <c r="AP60" s="1122" t="str">
        <f>IFERROR(IF(HLOOKUP(AP$15,Data_5!$F$10:$BG$42,$A60+2,FALSE)="NO","NO",IF(HLOOKUP(AP$15,Data_5!$F$10:$BG$42,$A60+2,FALSE)="IE","IE",IF(HLOOKUP(AP$15,Data_5!$F$10:$BG$42,$A60+2,FALSE)="NE","NE",IF(HLOOKUP(AP$15,Data_5!$F$10:$BG$42,$A60+2,FALSE)="C","C",IF(HLOOKUP(AP$15,Data_5!$F$10:$BG$42,$A60+2,FALSE)="NO","NO",HLOOKUP(AP$15,Data_5!$F$10:$BG$42,$A60+2,FALSE)/Data_5!$BI55))))),"")</f>
        <v/>
      </c>
      <c r="AQ60" s="1122" t="str">
        <f>IFERROR(IF(HLOOKUP(AQ$15,Data_5!$F$10:$BG$42,$A60+2,FALSE)="NO","NO",IF(HLOOKUP(AQ$15,Data_5!$F$10:$BG$42,$A60+2,FALSE)="IE","IE",IF(HLOOKUP(AQ$15,Data_5!$F$10:$BG$42,$A60+2,FALSE)="NE","NE",IF(HLOOKUP(AQ$15,Data_5!$F$10:$BG$42,$A60+2,FALSE)="C","C",IF(HLOOKUP(AQ$15,Data_5!$F$10:$BG$42,$A60+2,FALSE)="NO","NO",HLOOKUP(AQ$15,Data_5!$F$10:$BG$42,$A60+2,FALSE)/Data_5!$BI55))))),"")</f>
        <v/>
      </c>
      <c r="AR60" s="1122" t="str">
        <f>IFERROR(IF(HLOOKUP(AR$15,Data_5!$F$10:$BG$42,$A60+2,FALSE)="NO","NO",IF(HLOOKUP(AR$15,Data_5!$F$10:$BG$42,$A60+2,FALSE)="IE","IE",IF(HLOOKUP(AR$15,Data_5!$F$10:$BG$42,$A60+2,FALSE)="NE","NE",IF(HLOOKUP(AR$15,Data_5!$F$10:$BG$42,$A60+2,FALSE)="C","C",IF(HLOOKUP(AR$15,Data_5!$F$10:$BG$42,$A60+2,FALSE)="NO","NO",HLOOKUP(AR$15,Data_5!$F$10:$BG$42,$A60+2,FALSE)/Data_5!$BI55))))),"")</f>
        <v/>
      </c>
      <c r="AS60" s="1122" t="str">
        <f>IFERROR(IF(HLOOKUP(AS$15,Data_5!$F$10:$BG$42,$A60+2,FALSE)="NO","NO",IF(HLOOKUP(AS$15,Data_5!$F$10:$BG$42,$A60+2,FALSE)="IE","IE",IF(HLOOKUP(AS$15,Data_5!$F$10:$BG$42,$A60+2,FALSE)="NE","NE",IF(HLOOKUP(AS$15,Data_5!$F$10:$BG$42,$A60+2,FALSE)="C","C",IF(HLOOKUP(AS$15,Data_5!$F$10:$BG$42,$A60+2,FALSE)="NO","NO",HLOOKUP(AS$15,Data_5!$F$10:$BG$42,$A60+2,FALSE)/Data_5!$BI55))))),"")</f>
        <v/>
      </c>
      <c r="AT60" s="1122" t="str">
        <f>IFERROR(IF(HLOOKUP(AT$15,Data_5!$F$10:$BG$42,$A60+2,FALSE)="NO","NO",IF(HLOOKUP(AT$15,Data_5!$F$10:$BG$42,$A60+2,FALSE)="IE","IE",IF(HLOOKUP(AT$15,Data_5!$F$10:$BG$42,$A60+2,FALSE)="NE","NE",IF(HLOOKUP(AT$15,Data_5!$F$10:$BG$42,$A60+2,FALSE)="C","C",IF(HLOOKUP(AT$15,Data_5!$F$10:$BG$42,$A60+2,FALSE)="NO","NO",HLOOKUP(AT$15,Data_5!$F$10:$BG$42,$A60+2,FALSE)/Data_5!$BI55))))),"")</f>
        <v/>
      </c>
      <c r="AU60" s="1122" t="str">
        <f>IFERROR(IF(HLOOKUP(AU$15,Data_5!$F$10:$BG$42,$A60+2,FALSE)="NO","NO",IF(HLOOKUP(AU$15,Data_5!$F$10:$BG$42,$A60+2,FALSE)="IE","IE",IF(HLOOKUP(AU$15,Data_5!$F$10:$BG$42,$A60+2,FALSE)="NE","NE",IF(HLOOKUP(AU$15,Data_5!$F$10:$BG$42,$A60+2,FALSE)="C","C",IF(HLOOKUP(AU$15,Data_5!$F$10:$BG$42,$A60+2,FALSE)="NO","NO",HLOOKUP(AU$15,Data_5!$F$10:$BG$42,$A60+2,FALSE)/Data_5!$BI55))))),"")</f>
        <v/>
      </c>
      <c r="AV60" s="1122" t="str">
        <f>IFERROR(IF(HLOOKUP(AV$15,Data_5!$F$10:$BG$42,$A60+2,FALSE)="NO","NO",IF(HLOOKUP(AV$15,Data_5!$F$10:$BG$42,$A60+2,FALSE)="IE","IE",IF(HLOOKUP(AV$15,Data_5!$F$10:$BG$42,$A60+2,FALSE)="NE","NE",IF(HLOOKUP(AV$15,Data_5!$F$10:$BG$42,$A60+2,FALSE)="C","C",IF(HLOOKUP(AV$15,Data_5!$F$10:$BG$42,$A60+2,FALSE)="NO","NO",HLOOKUP(AV$15,Data_5!$F$10:$BG$42,$A60+2,FALSE)/Data_5!$BI55))))),"")</f>
        <v/>
      </c>
      <c r="AW60" s="1122" t="str">
        <f>IFERROR(IF(HLOOKUP(AW$15,Data_5!$F$10:$BG$42,$A60+2,FALSE)="NO","NO",IF(HLOOKUP(AW$15,Data_5!$F$10:$BG$42,$A60+2,FALSE)="IE","IE",IF(HLOOKUP(AW$15,Data_5!$F$10:$BG$42,$A60+2,FALSE)="NE","NE",IF(HLOOKUP(AW$15,Data_5!$F$10:$BG$42,$A60+2,FALSE)="C","C",IF(HLOOKUP(AW$15,Data_5!$F$10:$BG$42,$A60+2,FALSE)="NO","NO",HLOOKUP(AW$15,Data_5!$F$10:$BG$42,$A60+2,FALSE)/Data_5!$BI55))))),"")</f>
        <v/>
      </c>
      <c r="AX60" s="1122" t="str">
        <f>IFERROR(IF(HLOOKUP(AX$15,Data_5!$F$10:$BG$42,$A60+2,FALSE)="NO","NO",IF(HLOOKUP(AX$15,Data_5!$F$10:$BG$42,$A60+2,FALSE)="IE","IE",IF(HLOOKUP(AX$15,Data_5!$F$10:$BG$42,$A60+2,FALSE)="NE","NE",IF(HLOOKUP(AX$15,Data_5!$F$10:$BG$42,$A60+2,FALSE)="C","C",IF(HLOOKUP(AX$15,Data_5!$F$10:$BG$42,$A60+2,FALSE)="NO","NO",HLOOKUP(AX$15,Data_5!$F$10:$BG$42,$A60+2,FALSE)/Data_5!$BI55))))),"")</f>
        <v/>
      </c>
      <c r="AY60" s="1122" t="str">
        <f>IFERROR(IF(HLOOKUP(AY$15,Data_5!$F$10:$BG$42,$A60+2,FALSE)="NO","NO",IF(HLOOKUP(AY$15,Data_5!$F$10:$BG$42,$A60+2,FALSE)="IE","IE",IF(HLOOKUP(AY$15,Data_5!$F$10:$BG$42,$A60+2,FALSE)="NE","NE",IF(HLOOKUP(AY$15,Data_5!$F$10:$BG$42,$A60+2,FALSE)="C","C",IF(HLOOKUP(AY$15,Data_5!$F$10:$BG$42,$A60+2,FALSE)="NO","NO",HLOOKUP(AY$15,Data_5!$F$10:$BG$42,$A60+2,FALSE)/Data_5!$BI55))))),"")</f>
        <v/>
      </c>
      <c r="AZ60" s="1122" t="str">
        <f>IFERROR(IF(HLOOKUP(AZ$15,Data_5!$F$10:$BG$42,$A60+2,FALSE)="NO","NO",IF(HLOOKUP(AZ$15,Data_5!$F$10:$BG$42,$A60+2,FALSE)="IE","IE",IF(HLOOKUP(AZ$15,Data_5!$F$10:$BG$42,$A60+2,FALSE)="NE","NE",IF(HLOOKUP(AZ$15,Data_5!$F$10:$BG$42,$A60+2,FALSE)="C","C",IF(HLOOKUP(AZ$15,Data_5!$F$10:$BG$42,$A60+2,FALSE)="NO","NO",HLOOKUP(AZ$15,Data_5!$F$10:$BG$42,$A60+2,FALSE)/Data_5!$BI55))))),"")</f>
        <v/>
      </c>
      <c r="BA60" s="1122" t="str">
        <f>IFERROR(IF(HLOOKUP(BA$15,Data_5!$F$10:$BG$42,$A60+2,FALSE)="NO","NO",IF(HLOOKUP(BA$15,Data_5!$F$10:$BG$42,$A60+2,FALSE)="IE","IE",IF(HLOOKUP(BA$15,Data_5!$F$10:$BG$42,$A60+2,FALSE)="NE","NE",IF(HLOOKUP(BA$15,Data_5!$F$10:$BG$42,$A60+2,FALSE)="C","C",IF(HLOOKUP(BA$15,Data_5!$F$10:$BG$42,$A60+2,FALSE)="NO","NO",HLOOKUP(BA$15,Data_5!$F$10:$BG$42,$A60+2,FALSE)/Data_5!$BI55))))),"")</f>
        <v/>
      </c>
      <c r="BB60" s="1122" t="str">
        <f>IFERROR(IF(HLOOKUP(BB$15,Data_5!$F$10:$BG$42,$A60+2,FALSE)="NO","NO",IF(HLOOKUP(BB$15,Data_5!$F$10:$BG$42,$A60+2,FALSE)="IE","IE",IF(HLOOKUP(BB$15,Data_5!$F$10:$BG$42,$A60+2,FALSE)="NE","NE",IF(HLOOKUP(BB$15,Data_5!$F$10:$BG$42,$A60+2,FALSE)="C","C",IF(HLOOKUP(BB$15,Data_5!$F$10:$BG$42,$A60+2,FALSE)="NO","NO",HLOOKUP(BB$15,Data_5!$F$10:$BG$42,$A60+2,FALSE)/Data_5!$BI55))))),"")</f>
        <v/>
      </c>
      <c r="BC60" s="1122" t="str">
        <f>IFERROR(IF(HLOOKUP(BC$15,Data_5!$F$10:$BG$42,$A60+2,FALSE)="NO","NO",IF(HLOOKUP(BC$15,Data_5!$F$10:$BG$42,$A60+2,FALSE)="IE","IE",IF(HLOOKUP(BC$15,Data_5!$F$10:$BG$42,$A60+2,FALSE)="NE","NE",IF(HLOOKUP(BC$15,Data_5!$F$10:$BG$42,$A60+2,FALSE)="C","C",IF(HLOOKUP(BC$15,Data_5!$F$10:$BG$42,$A60+2,FALSE)="NO","NO",HLOOKUP(BC$15,Data_5!$F$10:$BG$42,$A60+2,FALSE)/Data_5!$BI55))))),"")</f>
        <v/>
      </c>
      <c r="BD60" s="1122" t="str">
        <f>IFERROR(IF(HLOOKUP(BD$15,Data_5!$F$10:$BG$42,$A60+2,FALSE)="NO","NO",IF(HLOOKUP(BD$15,Data_5!$F$10:$BG$42,$A60+2,FALSE)="IE","IE",IF(HLOOKUP(BD$15,Data_5!$F$10:$BG$42,$A60+2,FALSE)="NE","NE",IF(HLOOKUP(BD$15,Data_5!$F$10:$BG$42,$A60+2,FALSE)="C","C",IF(HLOOKUP(BD$15,Data_5!$F$10:$BG$42,$A60+2,FALSE)="NO","NO",HLOOKUP(BD$15,Data_5!$F$10:$BG$42,$A60+2,FALSE)/Data_5!$BI55))))),"")</f>
        <v/>
      </c>
      <c r="BE60" s="1122" t="str">
        <f>IFERROR(IF(HLOOKUP(BE$15,Data_5!$F$10:$BG$42,$A60+2,FALSE)="NO","NO",IF(HLOOKUP(BE$15,Data_5!$F$10:$BG$42,$A60+2,FALSE)="IE","IE",IF(HLOOKUP(BE$15,Data_5!$F$10:$BG$42,$A60+2,FALSE)="NE","NE",IF(HLOOKUP(BE$15,Data_5!$F$10:$BG$42,$A60+2,FALSE)="C","C",IF(HLOOKUP(BE$15,Data_5!$F$10:$BG$42,$A60+2,FALSE)="NO","NO",HLOOKUP(BE$15,Data_5!$F$10:$BG$42,$A60+2,FALSE)/Data_5!$BI55))))),"")</f>
        <v/>
      </c>
      <c r="BF60" s="1122" t="str">
        <f>IFERROR(IF(HLOOKUP(BF$15,Data_5!$F$10:$BG$42,$A60+2,FALSE)="NO","NO",IF(HLOOKUP(BF$15,Data_5!$F$10:$BG$42,$A60+2,FALSE)="IE","IE",IF(HLOOKUP(BF$15,Data_5!$F$10:$BG$42,$A60+2,FALSE)="NE","NE",IF(HLOOKUP(BF$15,Data_5!$F$10:$BG$42,$A60+2,FALSE)="C","C",IF(HLOOKUP(BF$15,Data_5!$F$10:$BG$42,$A60+2,FALSE)="NO","NO",HLOOKUP(BF$15,Data_5!$F$10:$BG$42,$A60+2,FALSE)/Data_5!$BI55))))),"")</f>
        <v/>
      </c>
      <c r="BG60" s="1122" t="str">
        <f>IFERROR(IF(HLOOKUP(BG$15,Data_5!$F$10:$BG$42,$A60+2,FALSE)="NO","NO",IF(HLOOKUP(BG$15,Data_5!$F$10:$BG$42,$A60+2,FALSE)="IE","IE",IF(HLOOKUP(BG$15,Data_5!$F$10:$BG$42,$A60+2,FALSE)="NE","NE",IF(HLOOKUP(BG$15,Data_5!$F$10:$BG$42,$A60+2,FALSE)="C","C",IF(HLOOKUP(BG$15,Data_5!$F$10:$BG$42,$A60+2,FALSE)="NO","NO",HLOOKUP(BG$15,Data_5!$F$10:$BG$42,$A60+2,FALSE)/Data_5!$BI55))))),"")</f>
        <v/>
      </c>
      <c r="BH60" s="1122" t="str">
        <f>IFERROR(IF(HLOOKUP(BH$15,Data_5!$F$10:$BG$42,$A60+2,FALSE)="NO","NO",IF(HLOOKUP(BH$15,Data_5!$F$10:$BG$42,$A60+2,FALSE)="IE","IE",IF(HLOOKUP(BH$15,Data_5!$F$10:$BG$42,$A60+2,FALSE)="NE","NE",IF(HLOOKUP(BH$15,Data_5!$F$10:$BG$42,$A60+2,FALSE)="C","C",IF(HLOOKUP(BH$15,Data_5!$F$10:$BG$42,$A60+2,FALSE)="NO","NO",HLOOKUP(BH$15,Data_5!$F$10:$BG$42,$A60+2,FALSE)/Data_5!$BI55))))),"")</f>
        <v/>
      </c>
      <c r="BI60" s="1122" t="str">
        <f>IFERROR(IF(HLOOKUP(BI$15,Data_5!$F$10:$BG$42,$A60+2,FALSE)="NO","NO",IF(HLOOKUP(BI$15,Data_5!$F$10:$BG$42,$A60+2,FALSE)="IE","IE",IF(HLOOKUP(BI$15,Data_5!$F$10:$BG$42,$A60+2,FALSE)="NE","NE",IF(HLOOKUP(BI$15,Data_5!$F$10:$BG$42,$A60+2,FALSE)="C","C",IF(HLOOKUP(BI$15,Data_5!$F$10:$BG$42,$A60+2,FALSE)="NO","NO",HLOOKUP(BI$15,Data_5!$F$10:$BG$42,$A60+2,FALSE)/Data_5!$BI55))))),"")</f>
        <v/>
      </c>
      <c r="BJ60" s="1122" t="str">
        <f>IFERROR(IF(HLOOKUP(BJ$15,Data_5!$F$10:$BG$42,$A60+2,FALSE)="NO","NO",IF(HLOOKUP(BJ$15,Data_5!$F$10:$BG$42,$A60+2,FALSE)="IE","IE",IF(HLOOKUP(BJ$15,Data_5!$F$10:$BG$42,$A60+2,FALSE)="NE","NE",IF(HLOOKUP(BJ$15,Data_5!$F$10:$BG$42,$A60+2,FALSE)="C","C",IF(HLOOKUP(BJ$15,Data_5!$F$10:$BG$42,$A60+2,FALSE)="NO","NO",HLOOKUP(BJ$15,Data_5!$F$10:$BG$42,$A60+2,FALSE)/Data_5!$BI55))))),"")</f>
        <v/>
      </c>
      <c r="BK60" s="1122" t="str">
        <f>IFERROR(IF(HLOOKUP(BK$15,Data_5!$F$10:$BG$42,$A60+2,FALSE)="NO","NO",IF(HLOOKUP(BK$15,Data_5!$F$10:$BG$42,$A60+2,FALSE)="IE","IE",IF(HLOOKUP(BK$15,Data_5!$F$10:$BG$42,$A60+2,FALSE)="NE","NE",IF(HLOOKUP(BK$15,Data_5!$F$10:$BG$42,$A60+2,FALSE)="C","C",IF(HLOOKUP(BK$15,Data_5!$F$10:$BG$42,$A60+2,FALSE)="NO","NO",HLOOKUP(BK$15,Data_5!$F$10:$BG$42,$A60+2,FALSE)/Data_5!$BI55))))),"")</f>
        <v/>
      </c>
      <c r="BL60" s="1122" t="str">
        <f>IFERROR(IF(HLOOKUP(BL$15,Data_5!$F$10:$BG$42,$A60+2,FALSE)="NO","NO",IF(HLOOKUP(BL$15,Data_5!$F$10:$BG$42,$A60+2,FALSE)="IE","IE",IF(HLOOKUP(BL$15,Data_5!$F$10:$BG$42,$A60+2,FALSE)="NE","NE",IF(HLOOKUP(BL$15,Data_5!$F$10:$BG$42,$A60+2,FALSE)="C","C",IF(HLOOKUP(BL$15,Data_5!$F$10:$BG$42,$A60+2,FALSE)="NO","NO",HLOOKUP(BL$15,Data_5!$F$10:$BG$42,$A60+2,FALSE)/Data_5!$BI55))))),"")</f>
        <v/>
      </c>
      <c r="BM60" s="1122" t="str">
        <f>IFERROR(IF(HLOOKUP(BM$15,Data_5!$F$10:$BG$42,$A60+2,FALSE)="NO","NO",IF(HLOOKUP(BM$15,Data_5!$F$10:$BG$42,$A60+2,FALSE)="IE","IE",IF(HLOOKUP(BM$15,Data_5!$F$10:$BG$42,$A60+2,FALSE)="NE","NE",IF(HLOOKUP(BM$15,Data_5!$F$10:$BG$42,$A60+2,FALSE)="C","C",IF(HLOOKUP(BM$15,Data_5!$F$10:$BG$42,$A60+2,FALSE)="NO","NO",HLOOKUP(BM$15,Data_5!$F$10:$BG$42,$A60+2,FALSE)/Data_5!$BI55))))),"")</f>
        <v/>
      </c>
      <c r="BN60" s="1122" t="str">
        <f>IFERROR(IF(HLOOKUP(BN$15,Data_5!$F$10:$BG$42,$A60+2,FALSE)="NO","NO",IF(HLOOKUP(BN$15,Data_5!$F$10:$BG$42,$A60+2,FALSE)="IE","IE",IF(HLOOKUP(BN$15,Data_5!$F$10:$BG$42,$A60+2,FALSE)="NE","NE",IF(HLOOKUP(BN$15,Data_5!$F$10:$BG$42,$A60+2,FALSE)="C","C",IF(HLOOKUP(BN$15,Data_5!$F$10:$BG$42,$A60+2,FALSE)="NO","NO",HLOOKUP(BN$15,Data_5!$F$10:$BG$42,$A60+2,FALSE)/Data_5!$BI55))))),"")</f>
        <v/>
      </c>
      <c r="BO60" s="1122" t="str">
        <f>IFERROR(IF(HLOOKUP(BO$15,Data_5!$F$10:$BG$42,$A60+2,FALSE)="NO","NO",IF(HLOOKUP(BO$15,Data_5!$F$10:$BG$42,$A60+2,FALSE)="IE","IE",IF(HLOOKUP(BO$15,Data_5!$F$10:$BG$42,$A60+2,FALSE)="NE","NE",IF(HLOOKUP(BO$15,Data_5!$F$10:$BG$42,$A60+2,FALSE)="C","C",IF(HLOOKUP(BO$15,Data_5!$F$10:$BG$42,$A60+2,FALSE)="NO","NO",HLOOKUP(BO$15,Data_5!$F$10:$BG$42,$A60+2,FALSE)/Data_5!$BI55))))),"")</f>
        <v/>
      </c>
      <c r="BP60" s="1122" t="str">
        <f>IFERROR(IF(HLOOKUP(BP$15,Data_5!$F$10:$BG$42,$A60+2,FALSE)="NO","NO",IF(HLOOKUP(BP$15,Data_5!$F$10:$BG$42,$A60+2,FALSE)="IE","IE",IF(HLOOKUP(BP$15,Data_5!$F$10:$BG$42,$A60+2,FALSE)="NE","NE",IF(HLOOKUP(BP$15,Data_5!$F$10:$BG$42,$A60+2,FALSE)="C","C",IF(HLOOKUP(BP$15,Data_5!$F$10:$BG$42,$A60+2,FALSE)="NO","NO",HLOOKUP(BP$15,Data_5!$F$10:$BG$42,$A60+2,FALSE)/Data_5!$BI55))))),"")</f>
        <v/>
      </c>
      <c r="BQ60" s="1122" t="str">
        <f>IFERROR(IF(HLOOKUP(BQ$15,Data_5!$F$10:$BG$42,$A60+2,FALSE)="NO","NO",IF(HLOOKUP(BQ$15,Data_5!$F$10:$BG$42,$A60+2,FALSE)="IE","IE",IF(HLOOKUP(BQ$15,Data_5!$F$10:$BG$42,$A60+2,FALSE)="NE","NE",IF(HLOOKUP(BQ$15,Data_5!$F$10:$BG$42,$A60+2,FALSE)="C","C",IF(HLOOKUP(BQ$15,Data_5!$F$10:$BG$42,$A60+2,FALSE)="NO","NO",HLOOKUP(BQ$15,Data_5!$F$10:$BG$42,$A60+2,FALSE)/Data_5!$BI55))))),"")</f>
        <v/>
      </c>
      <c r="BR60" s="1122" t="str">
        <f>IFERROR(IF(HLOOKUP(BR$15,Data_5!$F$10:$BG$42,$A60+2,FALSE)="NO","NO",IF(HLOOKUP(BR$15,Data_5!$F$10:$BG$42,$A60+2,FALSE)="IE","IE",IF(HLOOKUP(BR$15,Data_5!$F$10:$BG$42,$A60+2,FALSE)="NE","NE",IF(HLOOKUP(BR$15,Data_5!$F$10:$BG$42,$A60+2,FALSE)="C","C",IF(HLOOKUP(BR$15,Data_5!$F$10:$BG$42,$A60+2,FALSE)="NO","NO",HLOOKUP(BR$15,Data_5!$F$10:$BG$42,$A60+2,FALSE)/Data_5!$BI55))))),"")</f>
        <v/>
      </c>
      <c r="BS60" s="1122" t="str">
        <f>IFERROR(IF(HLOOKUP(BS$15,Data_5!$F$10:$BG$42,$A60+2,FALSE)="NO","NO",IF(HLOOKUP(BS$15,Data_5!$F$10:$BG$42,$A60+2,FALSE)="IE","IE",IF(HLOOKUP(BS$15,Data_5!$F$10:$BG$42,$A60+2,FALSE)="NE","NE",IF(HLOOKUP(BS$15,Data_5!$F$10:$BG$42,$A60+2,FALSE)="C","C",IF(HLOOKUP(BS$15,Data_5!$F$10:$BG$42,$A60+2,FALSE)="NO","NO",HLOOKUP(BS$15,Data_5!$F$10:$BG$42,$A60+2,FALSE)/Data_5!$BI55))))),"")</f>
        <v/>
      </c>
      <c r="BT60" s="1122" t="str">
        <f>IFERROR(IF(HLOOKUP(BT$15,Data_5!$F$10:$BG$42,$A60+2,FALSE)="NO","NO",IF(HLOOKUP(BT$15,Data_5!$F$10:$BG$42,$A60+2,FALSE)="IE","IE",IF(HLOOKUP(BT$15,Data_5!$F$10:$BG$42,$A60+2,FALSE)="NE","NE",IF(HLOOKUP(BT$15,Data_5!$F$10:$BG$42,$A60+2,FALSE)="C","C",IF(HLOOKUP(BT$15,Data_5!$F$10:$BG$42,$A60+2,FALSE)="NO","NO",HLOOKUP(BT$15,Data_5!$F$10:$BG$42,$A60+2,FALSE)/Data_5!$BI55))))),"")</f>
        <v/>
      </c>
      <c r="BU60" s="1122" t="str">
        <f>IFERROR(IF(HLOOKUP(BU$15,Data_5!$F$10:$BG$42,$A60+2,FALSE)="NO","NO",IF(HLOOKUP(BU$15,Data_5!$F$10:$BG$42,$A60+2,FALSE)="IE","IE",IF(HLOOKUP(BU$15,Data_5!$F$10:$BG$42,$A60+2,FALSE)="NE","NE",IF(HLOOKUP(BU$15,Data_5!$F$10:$BG$42,$A60+2,FALSE)="C","C",IF(HLOOKUP(BU$15,Data_5!$F$10:$BG$42,$A60+2,FALSE)="NO","NO",HLOOKUP(BU$15,Data_5!$F$10:$BG$42,$A60+2,FALSE)/Data_5!$BI55))))),"")</f>
        <v/>
      </c>
      <c r="BV60" s="1122" t="str">
        <f>IFERROR(IF(HLOOKUP(BV$15,Data_5!$F$10:$BG$42,$A60+2,FALSE)="NO","NO",IF(HLOOKUP(BV$15,Data_5!$F$10:$BG$42,$A60+2,FALSE)="IE","IE",IF(HLOOKUP(BV$15,Data_5!$F$10:$BG$42,$A60+2,FALSE)="NE","NE",IF(HLOOKUP(BV$15,Data_5!$F$10:$BG$42,$A60+2,FALSE)="C","C",IF(HLOOKUP(BV$15,Data_5!$F$10:$BG$42,$A60+2,FALSE)="NO","NO",HLOOKUP(BV$15,Data_5!$F$10:$BG$42,$A60+2,FALSE)/Data_5!$BI55))))),"")</f>
        <v/>
      </c>
      <c r="BW60" s="1122" t="str">
        <f>IFERROR(IF(HLOOKUP(BW$15,Data_5!$F$10:$BG$42,$A60+2,FALSE)="NO","NO",IF(HLOOKUP(BW$15,Data_5!$F$10:$BG$42,$A60+2,FALSE)="IE","IE",IF(HLOOKUP(BW$15,Data_5!$F$10:$BG$42,$A60+2,FALSE)="NE","NE",IF(HLOOKUP(BW$15,Data_5!$F$10:$BG$42,$A60+2,FALSE)="C","C",IF(HLOOKUP(BW$15,Data_5!$F$10:$BG$42,$A60+2,FALSE)="NO","NO",HLOOKUP(BW$15,Data_5!$F$10:$BG$42,$A60+2,FALSE)/Data_5!$BI55))))),"")</f>
        <v/>
      </c>
      <c r="BX60" s="1122" t="str">
        <f>IFERROR(IF(HLOOKUP(BX$15,Data_5!$F$10:$BG$42,$A60+2,FALSE)="NO","NO",IF(HLOOKUP(BX$15,Data_5!$F$10:$BG$42,$A60+2,FALSE)="IE","IE",IF(HLOOKUP(BX$15,Data_5!$F$10:$BG$42,$A60+2,FALSE)="NE","NE",IF(HLOOKUP(BX$15,Data_5!$F$10:$BG$42,$A60+2,FALSE)="C","C",IF(HLOOKUP(BX$15,Data_5!$F$10:$BG$42,$A60+2,FALSE)="NO","NO",HLOOKUP(BX$15,Data_5!$F$10:$BG$42,$A60+2,FALSE)/Data_5!$BI55))))),"")</f>
        <v/>
      </c>
      <c r="BY60" s="1122" t="str">
        <f>IFERROR(IF(HLOOKUP(BY$15,Data_5!$F$10:$BG$42,$A60+2,FALSE)="NO","NO",IF(HLOOKUP(BY$15,Data_5!$F$10:$BG$42,$A60+2,FALSE)="IE","IE",IF(HLOOKUP(BY$15,Data_5!$F$10:$BG$42,$A60+2,FALSE)="NE","NE",IF(HLOOKUP(BY$15,Data_5!$F$10:$BG$42,$A60+2,FALSE)="C","C",IF(HLOOKUP(BY$15,Data_5!$F$10:$BG$42,$A60+2,FALSE)="NO","NO",HLOOKUP(BY$15,Data_5!$F$10:$BG$42,$A60+2,FALSE)/Data_5!$BI55))))),"")</f>
        <v/>
      </c>
      <c r="BZ60" s="1122" t="str">
        <f>IFERROR(IF(HLOOKUP(BZ$15,Data_5!$F$10:$BG$42,$A60+2,FALSE)="NO","NO",IF(HLOOKUP(BZ$15,Data_5!$F$10:$BG$42,$A60+2,FALSE)="IE","IE",IF(HLOOKUP(BZ$15,Data_5!$F$10:$BG$42,$A60+2,FALSE)="NE","NE",IF(HLOOKUP(BZ$15,Data_5!$F$10:$BG$42,$A60+2,FALSE)="C","C",IF(HLOOKUP(BZ$15,Data_5!$F$10:$BG$42,$A60+2,FALSE)="NO","NO",HLOOKUP(BZ$15,Data_5!$F$10:$BG$42,$A60+2,FALSE)/Data_5!$BI55))))),"")</f>
        <v/>
      </c>
      <c r="CA60" s="1122" t="str">
        <f>IFERROR(IF(HLOOKUP(CA$15,Data_5!$F$10:$BG$42,$A60+2,FALSE)="NO","NO",IF(HLOOKUP(CA$15,Data_5!$F$10:$BG$42,$A60+2,FALSE)="IE","IE",IF(HLOOKUP(CA$15,Data_5!$F$10:$BG$42,$A60+2,FALSE)="NE","NE",IF(HLOOKUP(CA$15,Data_5!$F$10:$BG$42,$A60+2,FALSE)="C","C",IF(HLOOKUP(CA$15,Data_5!$F$10:$BG$42,$A60+2,FALSE)="NO","NO",HLOOKUP(CA$15,Data_5!$F$10:$BG$42,$A60+2,FALSE)/Data_5!$BI55))))),"")</f>
        <v/>
      </c>
      <c r="CB60" s="1122" t="str">
        <f>IFERROR(IF(HLOOKUP(CB$15,Data_5!$F$10:$BG$42,$A60+2,FALSE)="NO","NO",IF(HLOOKUP(CB$15,Data_5!$F$10:$BG$42,$A60+2,FALSE)="IE","IE",IF(HLOOKUP(CB$15,Data_5!$F$10:$BG$42,$A60+2,FALSE)="NE","NE",IF(HLOOKUP(CB$15,Data_5!$F$10:$BG$42,$A60+2,FALSE)="C","C",IF(HLOOKUP(CB$15,Data_5!$F$10:$BG$42,$A60+2,FALSE)="NO","NO",HLOOKUP(CB$15,Data_5!$F$10:$BG$42,$A60+2,FALSE)/Data_5!$BI55))))),"")</f>
        <v/>
      </c>
      <c r="CC60" s="1122" t="str">
        <f>IFERROR(IF(HLOOKUP(CC$15,Data_5!$F$10:$BG$42,$A60+2,FALSE)="NO","NO",IF(HLOOKUP(CC$15,Data_5!$F$10:$BG$42,$A60+2,FALSE)="IE","IE",IF(HLOOKUP(CC$15,Data_5!$F$10:$BG$42,$A60+2,FALSE)="NE","NE",IF(HLOOKUP(CC$15,Data_5!$F$10:$BG$42,$A60+2,FALSE)="C","C",IF(HLOOKUP(CC$15,Data_5!$F$10:$BG$42,$A60+2,FALSE)="NO","NO",HLOOKUP(CC$15,Data_5!$F$10:$BG$42,$A60+2,FALSE)/Data_5!$BI55))))),"")</f>
        <v/>
      </c>
      <c r="CD60" s="1122" t="str">
        <f>IFERROR(IF(HLOOKUP(CD$15,Data_5!$F$10:$BG$42,$A60+2,FALSE)="NO","NO",IF(HLOOKUP(CD$15,Data_5!$F$10:$BG$42,$A60+2,FALSE)="IE","IE",IF(HLOOKUP(CD$15,Data_5!$F$10:$BG$42,$A60+2,FALSE)="NE","NE",IF(HLOOKUP(CD$15,Data_5!$F$10:$BG$42,$A60+2,FALSE)="C","C",IF(HLOOKUP(CD$15,Data_5!$F$10:$BG$42,$A60+2,FALSE)="NO","NO",HLOOKUP(CD$15,Data_5!$F$10:$BG$42,$A60+2,FALSE)/Data_5!$BI55))))),"")</f>
        <v/>
      </c>
      <c r="CE60" s="1122" t="str">
        <f>IFERROR(IF(HLOOKUP(CE$15,Data_5!$F$10:$BG$42,$A60+2,FALSE)="NO","NO",IF(HLOOKUP(CE$15,Data_5!$F$10:$BG$42,$A60+2,FALSE)="IE","IE",IF(HLOOKUP(CE$15,Data_5!$F$10:$BG$42,$A60+2,FALSE)="NE","NE",IF(HLOOKUP(CE$15,Data_5!$F$10:$BG$42,$A60+2,FALSE)="C","C",IF(HLOOKUP(CE$15,Data_5!$F$10:$BG$42,$A60+2,FALSE)="NO","NO",HLOOKUP(CE$15,Data_5!$F$10:$BG$42,$A60+2,FALSE)/Data_5!$BI55))))),"")</f>
        <v/>
      </c>
      <c r="CF60" s="1122" t="str">
        <f>IFERROR(IF(HLOOKUP(CF$15,Data_5!$F$10:$BG$42,$A60+2,FALSE)="NO","NO",IF(HLOOKUP(CF$15,Data_5!$F$10:$BG$42,$A60+2,FALSE)="IE","IE",IF(HLOOKUP(CF$15,Data_5!$F$10:$BG$42,$A60+2,FALSE)="NE","NE",IF(HLOOKUP(CF$15,Data_5!$F$10:$BG$42,$A60+2,FALSE)="C","C",IF(HLOOKUP(CF$15,Data_5!$F$10:$BG$42,$A60+2,FALSE)="NO","NO",HLOOKUP(CF$15,Data_5!$F$10:$BG$42,$A60+2,FALSE)/Data_5!$BI55))))),"")</f>
        <v/>
      </c>
      <c r="CG60" s="1122" t="str">
        <f>IFERROR(IF(HLOOKUP(CG$15,Data_5!$F$10:$BG$42,$A60+2,FALSE)="NO","NO",IF(HLOOKUP(CG$15,Data_5!$F$10:$BG$42,$A60+2,FALSE)="IE","IE",IF(HLOOKUP(CG$15,Data_5!$F$10:$BG$42,$A60+2,FALSE)="NE","NE",IF(HLOOKUP(CG$15,Data_5!$F$10:$BG$42,$A60+2,FALSE)="C","C",IF(HLOOKUP(CG$15,Data_5!$F$10:$BG$42,$A60+2,FALSE)="NO","NO",HLOOKUP(CG$15,Data_5!$F$10:$BG$42,$A60+2,FALSE)/Data_5!$BI55))))),"")</f>
        <v/>
      </c>
      <c r="CH60" s="1122" t="str">
        <f>IFERROR(IF(HLOOKUP(CH$15,Data_5!$F$10:$BG$42,$A60+2,FALSE)="NO","NO",IF(HLOOKUP(CH$15,Data_5!$F$10:$BG$42,$A60+2,FALSE)="IE","IE",IF(HLOOKUP(CH$15,Data_5!$F$10:$BG$42,$A60+2,FALSE)="NE","NE",IF(HLOOKUP(CH$15,Data_5!$F$10:$BG$42,$A60+2,FALSE)="C","C",IF(HLOOKUP(CH$15,Data_5!$F$10:$BG$42,$A60+2,FALSE)="NO","NO",HLOOKUP(CH$15,Data_5!$F$10:$BG$42,$A60+2,FALSE)/Data_5!$BI55))))),"")</f>
        <v/>
      </c>
      <c r="CI60" s="1122" t="str">
        <f>IFERROR(IF(HLOOKUP(CI$15,Data_5!$F$10:$BG$42,$A60+2,FALSE)="NO","NO",IF(HLOOKUP(CI$15,Data_5!$F$10:$BG$42,$A60+2,FALSE)="IE","IE",IF(HLOOKUP(CI$15,Data_5!$F$10:$BG$42,$A60+2,FALSE)="NE","NE",IF(HLOOKUP(CI$15,Data_5!$F$10:$BG$42,$A60+2,FALSE)="C","C",IF(HLOOKUP(CI$15,Data_5!$F$10:$BG$42,$A60+2,FALSE)="NO","NO",HLOOKUP(CI$15,Data_5!$F$10:$BG$42,$A60+2,FALSE)/Data_5!$BI55))))),"")</f>
        <v/>
      </c>
      <c r="CJ60" s="1122" t="str">
        <f>IFERROR(IF(HLOOKUP(CJ$15,Data_5!$F$10:$BG$42,$A60+2,FALSE)="NO","NO",IF(HLOOKUP(CJ$15,Data_5!$F$10:$BG$42,$A60+2,FALSE)="IE","IE",IF(HLOOKUP(CJ$15,Data_5!$F$10:$BG$42,$A60+2,FALSE)="NE","NE",IF(HLOOKUP(CJ$15,Data_5!$F$10:$BG$42,$A60+2,FALSE)="C","C",IF(HLOOKUP(CJ$15,Data_5!$F$10:$BG$42,$A60+2,FALSE)="NO","NO",HLOOKUP(CJ$15,Data_5!$F$10:$BG$42,$A60+2,FALSE)/Data_5!$BI55))))),"")</f>
        <v/>
      </c>
      <c r="CL60" s="2628" t="str">
        <f t="shared" ca="1" si="6"/>
        <v/>
      </c>
      <c r="CM60" s="2629"/>
      <c r="CN60" s="1100" t="str">
        <f t="shared" ca="1" si="7"/>
        <v/>
      </c>
      <c r="CO60" s="1122" t="str">
        <f>IFERROR(IF(HLOOKUP(CO$15,Data_5!$F$10:$BG$42,$A60+2,FALSE)="NO","NO",IF(HLOOKUP(CO$15,Data_5!$F$10:$BG$42,$A60+2,FALSE)="IE","IE",IF(HLOOKUP(CO$15,Data_5!$F$10:$BG$42,$A60+2,FALSE)="NE","NE",IF(HLOOKUP(CO$15,Data_5!$F$10:$BG$42,$A60+2,FALSE)="C","C",IF(HLOOKUP(CO$15,Data_5!$F$10:$BG$42,$A60+2,FALSE)="NO","NO",HLOOKUP(CO$15,Data_5!$F$10:$BG$42,$A60+2,FALSE)/Data_5!$BK55))))),"")</f>
        <v/>
      </c>
      <c r="CP60" s="1122" t="str">
        <f>IFERROR(IF(HLOOKUP(CP$15,Data_5!$F$10:$BG$42,$A60+2,FALSE)="NO","NO",IF(HLOOKUP(CP$15,Data_5!$F$10:$BG$42,$A60+2,FALSE)="IE","IE",IF(HLOOKUP(CP$15,Data_5!$F$10:$BG$42,$A60+2,FALSE)="NE","NE",IF(HLOOKUP(CP$15,Data_5!$F$10:$BG$42,$A60+2,FALSE)="C","C",IF(HLOOKUP(CP$15,Data_5!$F$10:$BG$42,$A60+2,FALSE)="NO","NO",HLOOKUP(CP$15,Data_5!$F$10:$BG$42,$A60+2,FALSE)/Data_5!$BK55))))),"")</f>
        <v/>
      </c>
      <c r="CQ60" s="1122" t="str">
        <f>IFERROR(IF(HLOOKUP(CQ$15,Data_5!$F$10:$BG$42,$A60+2,FALSE)="NO","NO",IF(HLOOKUP(CQ$15,Data_5!$F$10:$BG$42,$A60+2,FALSE)="IE","IE",IF(HLOOKUP(CQ$15,Data_5!$F$10:$BG$42,$A60+2,FALSE)="NE","NE",IF(HLOOKUP(CQ$15,Data_5!$F$10:$BG$42,$A60+2,FALSE)="C","C",IF(HLOOKUP(CQ$15,Data_5!$F$10:$BG$42,$A60+2,FALSE)="NO","NO",HLOOKUP(CQ$15,Data_5!$F$10:$BG$42,$A60+2,FALSE)/Data_5!$BK55))))),"")</f>
        <v/>
      </c>
      <c r="CR60" s="1122" t="str">
        <f>IFERROR(IF(HLOOKUP(CR$15,Data_5!$F$10:$BG$42,$A60+2,FALSE)="NO","NO",IF(HLOOKUP(CR$15,Data_5!$F$10:$BG$42,$A60+2,FALSE)="IE","IE",IF(HLOOKUP(CR$15,Data_5!$F$10:$BG$42,$A60+2,FALSE)="NE","NE",IF(HLOOKUP(CR$15,Data_5!$F$10:$BG$42,$A60+2,FALSE)="C","C",IF(HLOOKUP(CR$15,Data_5!$F$10:$BG$42,$A60+2,FALSE)="NO","NO",HLOOKUP(CR$15,Data_5!$F$10:$BG$42,$A60+2,FALSE)/Data_5!$BK55))))),"")</f>
        <v/>
      </c>
      <c r="CS60" s="1122" t="str">
        <f>IFERROR(IF(HLOOKUP(CS$15,Data_5!$F$10:$BG$42,$A60+2,FALSE)="NO","NO",IF(HLOOKUP(CS$15,Data_5!$F$10:$BG$42,$A60+2,FALSE)="IE","IE",IF(HLOOKUP(CS$15,Data_5!$F$10:$BG$42,$A60+2,FALSE)="NE","NE",IF(HLOOKUP(CS$15,Data_5!$F$10:$BG$42,$A60+2,FALSE)="C","C",IF(HLOOKUP(CS$15,Data_5!$F$10:$BG$42,$A60+2,FALSE)="NO","NO",HLOOKUP(CS$15,Data_5!$F$10:$BG$42,$A60+2,FALSE)/Data_5!$BK55))))),"")</f>
        <v/>
      </c>
      <c r="CT60" s="1122" t="str">
        <f>IFERROR(IF(HLOOKUP(CT$15,Data_5!$F$10:$BG$42,$A60+2,FALSE)="NO","NO",IF(HLOOKUP(CT$15,Data_5!$F$10:$BG$42,$A60+2,FALSE)="IE","IE",IF(HLOOKUP(CT$15,Data_5!$F$10:$BG$42,$A60+2,FALSE)="NE","NE",IF(HLOOKUP(CT$15,Data_5!$F$10:$BG$42,$A60+2,FALSE)="C","C",IF(HLOOKUP(CT$15,Data_5!$F$10:$BG$42,$A60+2,FALSE)="NO","NO",HLOOKUP(CT$15,Data_5!$F$10:$BG$42,$A60+2,FALSE)/Data_5!$BK55))))),"")</f>
        <v/>
      </c>
      <c r="CU60" s="1122" t="str">
        <f>IFERROR(IF(HLOOKUP(CU$15,Data_5!$F$10:$BG$42,$A60+2,FALSE)="NO","NO",IF(HLOOKUP(CU$15,Data_5!$F$10:$BG$42,$A60+2,FALSE)="IE","IE",IF(HLOOKUP(CU$15,Data_5!$F$10:$BG$42,$A60+2,FALSE)="NE","NE",IF(HLOOKUP(CU$15,Data_5!$F$10:$BG$42,$A60+2,FALSE)="C","C",IF(HLOOKUP(CU$15,Data_5!$F$10:$BG$42,$A60+2,FALSE)="NO","NO",HLOOKUP(CU$15,Data_5!$F$10:$BG$42,$A60+2,FALSE)/Data_5!$BK55))))),"")</f>
        <v/>
      </c>
      <c r="CV60" s="1122" t="str">
        <f>IFERROR(IF(HLOOKUP(CV$15,Data_5!$F$10:$BG$42,$A60+2,FALSE)="NO","NO",IF(HLOOKUP(CV$15,Data_5!$F$10:$BG$42,$A60+2,FALSE)="IE","IE",IF(HLOOKUP(CV$15,Data_5!$F$10:$BG$42,$A60+2,FALSE)="NE","NE",IF(HLOOKUP(CV$15,Data_5!$F$10:$BG$42,$A60+2,FALSE)="C","C",IF(HLOOKUP(CV$15,Data_5!$F$10:$BG$42,$A60+2,FALSE)="NO","NO",HLOOKUP(CV$15,Data_5!$F$10:$BG$42,$A60+2,FALSE)/Data_5!$BK55))))),"")</f>
        <v/>
      </c>
      <c r="CW60" s="1122" t="str">
        <f>IFERROR(IF(HLOOKUP(CW$15,Data_5!$F$10:$BG$42,$A60+2,FALSE)="NO","NO",IF(HLOOKUP(CW$15,Data_5!$F$10:$BG$42,$A60+2,FALSE)="IE","IE",IF(HLOOKUP(CW$15,Data_5!$F$10:$BG$42,$A60+2,FALSE)="NE","NE",IF(HLOOKUP(CW$15,Data_5!$F$10:$BG$42,$A60+2,FALSE)="C","C",IF(HLOOKUP(CW$15,Data_5!$F$10:$BG$42,$A60+2,FALSE)="NO","NO",HLOOKUP(CW$15,Data_5!$F$10:$BG$42,$A60+2,FALSE)/Data_5!$BK55))))),"")</f>
        <v/>
      </c>
      <c r="CX60" s="1122" t="str">
        <f>IFERROR(IF(HLOOKUP(CX$15,Data_5!$F$10:$BG$42,$A60+2,FALSE)="NO","NO",IF(HLOOKUP(CX$15,Data_5!$F$10:$BG$42,$A60+2,FALSE)="IE","IE",IF(HLOOKUP(CX$15,Data_5!$F$10:$BG$42,$A60+2,FALSE)="NE","NE",IF(HLOOKUP(CX$15,Data_5!$F$10:$BG$42,$A60+2,FALSE)="C","C",IF(HLOOKUP(CX$15,Data_5!$F$10:$BG$42,$A60+2,FALSE)="NO","NO",HLOOKUP(CX$15,Data_5!$F$10:$BG$42,$A60+2,FALSE)/Data_5!$BK55))))),"")</f>
        <v/>
      </c>
      <c r="CY60" s="1122" t="str">
        <f>IFERROR(IF(HLOOKUP(CY$15,Data_5!$F$10:$BG$42,$A60+2,FALSE)="NO","NO",IF(HLOOKUP(CY$15,Data_5!$F$10:$BG$42,$A60+2,FALSE)="IE","IE",IF(HLOOKUP(CY$15,Data_5!$F$10:$BG$42,$A60+2,FALSE)="NE","NE",IF(HLOOKUP(CY$15,Data_5!$F$10:$BG$42,$A60+2,FALSE)="C","C",IF(HLOOKUP(CY$15,Data_5!$F$10:$BG$42,$A60+2,FALSE)="NO","NO",HLOOKUP(CY$15,Data_5!$F$10:$BG$42,$A60+2,FALSE)/Data_5!$BK55))))),"")</f>
        <v/>
      </c>
      <c r="CZ60" s="1122" t="str">
        <f>IFERROR(IF(HLOOKUP(CZ$15,Data_5!$F$10:$BG$42,$A60+2,FALSE)="NO","NO",IF(HLOOKUP(CZ$15,Data_5!$F$10:$BG$42,$A60+2,FALSE)="IE","IE",IF(HLOOKUP(CZ$15,Data_5!$F$10:$BG$42,$A60+2,FALSE)="NE","NE",IF(HLOOKUP(CZ$15,Data_5!$F$10:$BG$42,$A60+2,FALSE)="C","C",IF(HLOOKUP(CZ$15,Data_5!$F$10:$BG$42,$A60+2,FALSE)="NO","NO",HLOOKUP(CZ$15,Data_5!$F$10:$BG$42,$A60+2,FALSE)/Data_5!$BK55))))),"")</f>
        <v/>
      </c>
      <c r="DA60" s="1122" t="str">
        <f>IFERROR(IF(HLOOKUP(DA$15,Data_5!$F$10:$BG$42,$A60+2,FALSE)="NO","NO",IF(HLOOKUP(DA$15,Data_5!$F$10:$BG$42,$A60+2,FALSE)="IE","IE",IF(HLOOKUP(DA$15,Data_5!$F$10:$BG$42,$A60+2,FALSE)="NE","NE",IF(HLOOKUP(DA$15,Data_5!$F$10:$BG$42,$A60+2,FALSE)="C","C",IF(HLOOKUP(DA$15,Data_5!$F$10:$BG$42,$A60+2,FALSE)="NO","NO",HLOOKUP(DA$15,Data_5!$F$10:$BG$42,$A60+2,FALSE)/Data_5!$BK55))))),"")</f>
        <v/>
      </c>
      <c r="DB60" s="1122" t="str">
        <f>IFERROR(IF(HLOOKUP(DB$15,Data_5!$F$10:$BG$42,$A60+2,FALSE)="NO","NO",IF(HLOOKUP(DB$15,Data_5!$F$10:$BG$42,$A60+2,FALSE)="IE","IE",IF(HLOOKUP(DB$15,Data_5!$F$10:$BG$42,$A60+2,FALSE)="NE","NE",IF(HLOOKUP(DB$15,Data_5!$F$10:$BG$42,$A60+2,FALSE)="C","C",IF(HLOOKUP(DB$15,Data_5!$F$10:$BG$42,$A60+2,FALSE)="NO","NO",HLOOKUP(DB$15,Data_5!$F$10:$BG$42,$A60+2,FALSE)/Data_5!$BK55))))),"")</f>
        <v/>
      </c>
      <c r="DC60" s="1122" t="str">
        <f>IFERROR(IF(HLOOKUP(DC$15,Data_5!$F$10:$BG$42,$A60+2,FALSE)="NO","NO",IF(HLOOKUP(DC$15,Data_5!$F$10:$BG$42,$A60+2,FALSE)="IE","IE",IF(HLOOKUP(DC$15,Data_5!$F$10:$BG$42,$A60+2,FALSE)="NE","NE",IF(HLOOKUP(DC$15,Data_5!$F$10:$BG$42,$A60+2,FALSE)="C","C",IF(HLOOKUP(DC$15,Data_5!$F$10:$BG$42,$A60+2,FALSE)="NO","NO",HLOOKUP(DC$15,Data_5!$F$10:$BG$42,$A60+2,FALSE)/Data_5!$BK55))))),"")</f>
        <v/>
      </c>
      <c r="DD60" s="1122" t="str">
        <f>IFERROR(IF(HLOOKUP(DD$15,Data_5!$F$10:$BG$42,$A60+2,FALSE)="NO","NO",IF(HLOOKUP(DD$15,Data_5!$F$10:$BG$42,$A60+2,FALSE)="IE","IE",IF(HLOOKUP(DD$15,Data_5!$F$10:$BG$42,$A60+2,FALSE)="NE","NE",IF(HLOOKUP(DD$15,Data_5!$F$10:$BG$42,$A60+2,FALSE)="C","C",IF(HLOOKUP(DD$15,Data_5!$F$10:$BG$42,$A60+2,FALSE)="NO","NO",HLOOKUP(DD$15,Data_5!$F$10:$BG$42,$A60+2,FALSE)/Data_5!$BK55))))),"")</f>
        <v/>
      </c>
      <c r="DE60" s="1122" t="str">
        <f>IFERROR(IF(HLOOKUP(DE$15,Data_5!$F$10:$BG$42,$A60+2,FALSE)="NO","NO",IF(HLOOKUP(DE$15,Data_5!$F$10:$BG$42,$A60+2,FALSE)="IE","IE",IF(HLOOKUP(DE$15,Data_5!$F$10:$BG$42,$A60+2,FALSE)="NE","NE",IF(HLOOKUP(DE$15,Data_5!$F$10:$BG$42,$A60+2,FALSE)="C","C",IF(HLOOKUP(DE$15,Data_5!$F$10:$BG$42,$A60+2,FALSE)="NO","NO",HLOOKUP(DE$15,Data_5!$F$10:$BG$42,$A60+2,FALSE)/Data_5!$BK55))))),"")</f>
        <v/>
      </c>
      <c r="DF60" s="1122" t="str">
        <f>IFERROR(IF(HLOOKUP(DF$15,Data_5!$F$10:$BG$42,$A60+2,FALSE)="NO","NO",IF(HLOOKUP(DF$15,Data_5!$F$10:$BG$42,$A60+2,FALSE)="IE","IE",IF(HLOOKUP(DF$15,Data_5!$F$10:$BG$42,$A60+2,FALSE)="NE","NE",IF(HLOOKUP(DF$15,Data_5!$F$10:$BG$42,$A60+2,FALSE)="C","C",IF(HLOOKUP(DF$15,Data_5!$F$10:$BG$42,$A60+2,FALSE)="NO","NO",HLOOKUP(DF$15,Data_5!$F$10:$BG$42,$A60+2,FALSE)/Data_5!$BK55))))),"")</f>
        <v/>
      </c>
      <c r="DG60" s="1122" t="str">
        <f>IFERROR(IF(HLOOKUP(DG$15,Data_5!$F$10:$BG$42,$A60+2,FALSE)="NO","NO",IF(HLOOKUP(DG$15,Data_5!$F$10:$BG$42,$A60+2,FALSE)="IE","IE",IF(HLOOKUP(DG$15,Data_5!$F$10:$BG$42,$A60+2,FALSE)="NE","NE",IF(HLOOKUP(DG$15,Data_5!$F$10:$BG$42,$A60+2,FALSE)="C","C",IF(HLOOKUP(DG$15,Data_5!$F$10:$BG$42,$A60+2,FALSE)="NO","NO",HLOOKUP(DG$15,Data_5!$F$10:$BG$42,$A60+2,FALSE)/Data_5!$BK55))))),"")</f>
        <v/>
      </c>
      <c r="DH60" s="1122" t="str">
        <f>IFERROR(IF(HLOOKUP(DH$15,Data_5!$F$10:$BG$42,$A60+2,FALSE)="NO","NO",IF(HLOOKUP(DH$15,Data_5!$F$10:$BG$42,$A60+2,FALSE)="IE","IE",IF(HLOOKUP(DH$15,Data_5!$F$10:$BG$42,$A60+2,FALSE)="NE","NE",IF(HLOOKUP(DH$15,Data_5!$F$10:$BG$42,$A60+2,FALSE)="C","C",IF(HLOOKUP(DH$15,Data_5!$F$10:$BG$42,$A60+2,FALSE)="NO","NO",HLOOKUP(DH$15,Data_5!$F$10:$BG$42,$A60+2,FALSE)/Data_5!$BK55))))),"")</f>
        <v/>
      </c>
      <c r="DI60" s="1122" t="str">
        <f>IFERROR(IF(HLOOKUP(DI$15,Data_5!$F$10:$BG$42,$A60+2,FALSE)="NO","NO",IF(HLOOKUP(DI$15,Data_5!$F$10:$BG$42,$A60+2,FALSE)="IE","IE",IF(HLOOKUP(DI$15,Data_5!$F$10:$BG$42,$A60+2,FALSE)="NE","NE",IF(HLOOKUP(DI$15,Data_5!$F$10:$BG$42,$A60+2,FALSE)="C","C",IF(HLOOKUP(DI$15,Data_5!$F$10:$BG$42,$A60+2,FALSE)="NO","NO",HLOOKUP(DI$15,Data_5!$F$10:$BG$42,$A60+2,FALSE)/Data_5!$BK55))))),"")</f>
        <v/>
      </c>
      <c r="DJ60" s="1122" t="str">
        <f>IFERROR(IF(HLOOKUP(DJ$15,Data_5!$F$10:$BG$42,$A60+2,FALSE)="NO","NO",IF(HLOOKUP(DJ$15,Data_5!$F$10:$BG$42,$A60+2,FALSE)="IE","IE",IF(HLOOKUP(DJ$15,Data_5!$F$10:$BG$42,$A60+2,FALSE)="NE","NE",IF(HLOOKUP(DJ$15,Data_5!$F$10:$BG$42,$A60+2,FALSE)="C","C",IF(HLOOKUP(DJ$15,Data_5!$F$10:$BG$42,$A60+2,FALSE)="NO","NO",HLOOKUP(DJ$15,Data_5!$F$10:$BG$42,$A60+2,FALSE)/Data_5!$BK55))))),"")</f>
        <v/>
      </c>
      <c r="DK60" s="1122" t="str">
        <f>IFERROR(IF(HLOOKUP(DK$15,Data_5!$F$10:$BG$42,$A60+2,FALSE)="NO","NO",IF(HLOOKUP(DK$15,Data_5!$F$10:$BG$42,$A60+2,FALSE)="IE","IE",IF(HLOOKUP(DK$15,Data_5!$F$10:$BG$42,$A60+2,FALSE)="NE","NE",IF(HLOOKUP(DK$15,Data_5!$F$10:$BG$42,$A60+2,FALSE)="C","C",IF(HLOOKUP(DK$15,Data_5!$F$10:$BG$42,$A60+2,FALSE)="NO","NO",HLOOKUP(DK$15,Data_5!$F$10:$BG$42,$A60+2,FALSE)/Data_5!$BK55))))),"")</f>
        <v/>
      </c>
      <c r="DL60" s="1122" t="str">
        <f>IFERROR(IF(HLOOKUP(DL$15,Data_5!$F$10:$BG$42,$A60+2,FALSE)="NO","NO",IF(HLOOKUP(DL$15,Data_5!$F$10:$BG$42,$A60+2,FALSE)="IE","IE",IF(HLOOKUP(DL$15,Data_5!$F$10:$BG$42,$A60+2,FALSE)="NE","NE",IF(HLOOKUP(DL$15,Data_5!$F$10:$BG$42,$A60+2,FALSE)="C","C",IF(HLOOKUP(DL$15,Data_5!$F$10:$BG$42,$A60+2,FALSE)="NO","NO",HLOOKUP(DL$15,Data_5!$F$10:$BG$42,$A60+2,FALSE)/Data_5!$BK55))))),"")</f>
        <v/>
      </c>
      <c r="DM60" s="1122" t="str">
        <f>IFERROR(IF(HLOOKUP(DM$15,Data_5!$F$10:$BG$42,$A60+2,FALSE)="NO","NO",IF(HLOOKUP(DM$15,Data_5!$F$10:$BG$42,$A60+2,FALSE)="IE","IE",IF(HLOOKUP(DM$15,Data_5!$F$10:$BG$42,$A60+2,FALSE)="NE","NE",IF(HLOOKUP(DM$15,Data_5!$F$10:$BG$42,$A60+2,FALSE)="C","C",IF(HLOOKUP(DM$15,Data_5!$F$10:$BG$42,$A60+2,FALSE)="NO","NO",HLOOKUP(DM$15,Data_5!$F$10:$BG$42,$A60+2,FALSE)/Data_5!$BK55))))),"")</f>
        <v/>
      </c>
      <c r="DN60" s="1122" t="str">
        <f>IFERROR(IF(HLOOKUP(DN$15,Data_5!$F$10:$BG$42,$A60+2,FALSE)="NO","NO",IF(HLOOKUP(DN$15,Data_5!$F$10:$BG$42,$A60+2,FALSE)="IE","IE",IF(HLOOKUP(DN$15,Data_5!$F$10:$BG$42,$A60+2,FALSE)="NE","NE",IF(HLOOKUP(DN$15,Data_5!$F$10:$BG$42,$A60+2,FALSE)="C","C",IF(HLOOKUP(DN$15,Data_5!$F$10:$BG$42,$A60+2,FALSE)="NO","NO",HLOOKUP(DN$15,Data_5!$F$10:$BG$42,$A60+2,FALSE)/Data_5!$BK55))))),"")</f>
        <v/>
      </c>
      <c r="DO60" s="1122" t="str">
        <f>IFERROR(IF(HLOOKUP(DO$15,Data_5!$F$10:$BG$42,$A60+2,FALSE)="NO","NO",IF(HLOOKUP(DO$15,Data_5!$F$10:$BG$42,$A60+2,FALSE)="IE","IE",IF(HLOOKUP(DO$15,Data_5!$F$10:$BG$42,$A60+2,FALSE)="NE","NE",IF(HLOOKUP(DO$15,Data_5!$F$10:$BG$42,$A60+2,FALSE)="C","C",IF(HLOOKUP(DO$15,Data_5!$F$10:$BG$42,$A60+2,FALSE)="NO","NO",HLOOKUP(DO$15,Data_5!$F$10:$BG$42,$A60+2,FALSE)/Data_5!$BK55))))),"")</f>
        <v/>
      </c>
    </row>
    <row r="61" spans="1:119" ht="15" customHeight="1">
      <c r="A61" s="1789">
        <v>45</v>
      </c>
      <c r="B61" s="2628" t="str">
        <f ca="1">IF(Data_5!B56&lt;&gt;"",Data_5!B56,"")</f>
        <v/>
      </c>
      <c r="C61" s="2629"/>
      <c r="D61" s="1462">
        <f ca="1">IFERROR(VLOOKUP($B61,Data_5!$B$12:$C$42,2,FALSE),"")</f>
        <v>0</v>
      </c>
      <c r="E61" s="1122" t="str">
        <f>IFERROR(IF(HLOOKUP(E$15,Data_5!$F$10:$BG$42,$A61+2,FALSE)="NO","NO",IF(HLOOKUP(E$15,Data_5!$F$10:$BG$42,$A61+2,FALSE)="IE","IE",IF(HLOOKUP(E$15,Data_5!$F$10:$BG$42,$A61+2,FALSE)="NE","NE",IF(HLOOKUP(E$15,Data_5!$F$10:$BG$42,$A61+2,FALSE)="C","C",IF(HLOOKUP(E$15,Data_5!$F$10:$BG$42,$A61+2,FALSE)="NO","NO",HLOOKUP(E$15,Data_5!$F$10:$BG$42,$A61+2,FALSE)/Data_5!$BH56))))),"")</f>
        <v/>
      </c>
      <c r="F61" s="1122" t="str">
        <f>IFERROR(IF(HLOOKUP(F$15,Data_5!$F$10:$BG$42,$A61+2,FALSE)="NO","NO",IF(HLOOKUP(F$15,Data_5!$F$10:$BG$42,$A61+2,FALSE)="IE","IE",IF(HLOOKUP(F$15,Data_5!$F$10:$BG$42,$A61+2,FALSE)="NE","NE",IF(HLOOKUP(F$15,Data_5!$F$10:$BG$42,$A61+2,FALSE)="C","C",IF(HLOOKUP(F$15,Data_5!$F$10:$BG$42,$A61+2,FALSE)="NO","NO",HLOOKUP(F$15,Data_5!$F$10:$BG$42,$A61+2,FALSE)/Data_5!$BH56))))),"")</f>
        <v/>
      </c>
      <c r="G61" s="1122" t="str">
        <f>IFERROR(IF(HLOOKUP(G$15,Data_5!$F$10:$BG$42,$A61+2,FALSE)="NO","NO",IF(HLOOKUP(G$15,Data_5!$F$10:$BG$42,$A61+2,FALSE)="IE","IE",IF(HLOOKUP(G$15,Data_5!$F$10:$BG$42,$A61+2,FALSE)="NE","NE",IF(HLOOKUP(G$15,Data_5!$F$10:$BG$42,$A61+2,FALSE)="C","C",IF(HLOOKUP(G$15,Data_5!$F$10:$BG$42,$A61+2,FALSE)="NO","NO",HLOOKUP(G$15,Data_5!$F$10:$BG$42,$A61+2,FALSE)/Data_5!$BH56))))),"")</f>
        <v/>
      </c>
      <c r="H61" s="1122" t="str">
        <f>IFERROR(IF(HLOOKUP(H$15,Data_5!$F$10:$BG$42,$A61+2,FALSE)="NO","NO",IF(HLOOKUP(H$15,Data_5!$F$10:$BG$42,$A61+2,FALSE)="IE","IE",IF(HLOOKUP(H$15,Data_5!$F$10:$BG$42,$A61+2,FALSE)="NE","NE",IF(HLOOKUP(H$15,Data_5!$F$10:$BG$42,$A61+2,FALSE)="C","C",IF(HLOOKUP(H$15,Data_5!$F$10:$BG$42,$A61+2,FALSE)="NO","NO",HLOOKUP(H$15,Data_5!$F$10:$BG$42,$A61+2,FALSE)/Data_5!$BH56))))),"")</f>
        <v/>
      </c>
      <c r="I61" s="1122" t="str">
        <f>IFERROR(IF(HLOOKUP(I$15,Data_5!$F$10:$BG$42,$A61+2,FALSE)="NO","NO",IF(HLOOKUP(I$15,Data_5!$F$10:$BG$42,$A61+2,FALSE)="IE","IE",IF(HLOOKUP(I$15,Data_5!$F$10:$BG$42,$A61+2,FALSE)="NE","NE",IF(HLOOKUP(I$15,Data_5!$F$10:$BG$42,$A61+2,FALSE)="C","C",IF(HLOOKUP(I$15,Data_5!$F$10:$BG$42,$A61+2,FALSE)="NO","NO",HLOOKUP(I$15,Data_5!$F$10:$BG$42,$A61+2,FALSE)/Data_5!$BH56))))),"")</f>
        <v/>
      </c>
      <c r="J61" s="1122" t="str">
        <f>IFERROR(IF(HLOOKUP(J$15,Data_5!$F$10:$BG$42,$A61+2,FALSE)="NO","NO",IF(HLOOKUP(J$15,Data_5!$F$10:$BG$42,$A61+2,FALSE)="IE","IE",IF(HLOOKUP(J$15,Data_5!$F$10:$BG$42,$A61+2,FALSE)="NE","NE",IF(HLOOKUP(J$15,Data_5!$F$10:$BG$42,$A61+2,FALSE)="C","C",IF(HLOOKUP(J$15,Data_5!$F$10:$BG$42,$A61+2,FALSE)="NO","NO",HLOOKUP(J$15,Data_5!$F$10:$BG$42,$A61+2,FALSE)/Data_5!$BH56))))),"")</f>
        <v/>
      </c>
      <c r="K61" s="1122" t="str">
        <f>IFERROR(IF(HLOOKUP(K$15,Data_5!$F$10:$BG$42,$A61+2,FALSE)="NO","NO",IF(HLOOKUP(K$15,Data_5!$F$10:$BG$42,$A61+2,FALSE)="IE","IE",IF(HLOOKUP(K$15,Data_5!$F$10:$BG$42,$A61+2,FALSE)="NE","NE",IF(HLOOKUP(K$15,Data_5!$F$10:$BG$42,$A61+2,FALSE)="C","C",IF(HLOOKUP(K$15,Data_5!$F$10:$BG$42,$A61+2,FALSE)="NO","NO",HLOOKUP(K$15,Data_5!$F$10:$BG$42,$A61+2,FALSE)/Data_5!$BH56))))),"")</f>
        <v/>
      </c>
      <c r="L61" s="1122" t="str">
        <f>IFERROR(IF(HLOOKUP(L$15,Data_5!$F$10:$BG$42,$A61+2,FALSE)="NO","NO",IF(HLOOKUP(L$15,Data_5!$F$10:$BG$42,$A61+2,FALSE)="IE","IE",IF(HLOOKUP(L$15,Data_5!$F$10:$BG$42,$A61+2,FALSE)="NE","NE",IF(HLOOKUP(L$15,Data_5!$F$10:$BG$42,$A61+2,FALSE)="C","C",IF(HLOOKUP(L$15,Data_5!$F$10:$BG$42,$A61+2,FALSE)="NO","NO",HLOOKUP(L$15,Data_5!$F$10:$BG$42,$A61+2,FALSE)/Data_5!$BH56))))),"")</f>
        <v/>
      </c>
      <c r="M61" s="1122" t="str">
        <f>IFERROR(IF(HLOOKUP(M$15,Data_5!$F$10:$BG$42,$A61+2,FALSE)="NO","NO",IF(HLOOKUP(M$15,Data_5!$F$10:$BG$42,$A61+2,FALSE)="IE","IE",IF(HLOOKUP(M$15,Data_5!$F$10:$BG$42,$A61+2,FALSE)="NE","NE",IF(HLOOKUP(M$15,Data_5!$F$10:$BG$42,$A61+2,FALSE)="C","C",IF(HLOOKUP(M$15,Data_5!$F$10:$BG$42,$A61+2,FALSE)="NO","NO",HLOOKUP(M$15,Data_5!$F$10:$BG$42,$A61+2,FALSE)/Data_5!$BH56))))),"")</f>
        <v/>
      </c>
      <c r="N61" s="1122" t="str">
        <f>IFERROR(IF(HLOOKUP(N$15,Data_5!$F$10:$BG$42,$A61+2,FALSE)="NO","NO",IF(HLOOKUP(N$15,Data_5!$F$10:$BG$42,$A61+2,FALSE)="IE","IE",IF(HLOOKUP(N$15,Data_5!$F$10:$BG$42,$A61+2,FALSE)="NE","NE",IF(HLOOKUP(N$15,Data_5!$F$10:$BG$42,$A61+2,FALSE)="C","C",IF(HLOOKUP(N$15,Data_5!$F$10:$BG$42,$A61+2,FALSE)="NO","NO",HLOOKUP(N$15,Data_5!$F$10:$BG$42,$A61+2,FALSE)/Data_5!$BH56))))),"")</f>
        <v/>
      </c>
      <c r="O61" s="1122" t="str">
        <f>IFERROR(IF(HLOOKUP(O$15,Data_5!$F$10:$BG$42,$A61+2,FALSE)="NO","NO",IF(HLOOKUP(O$15,Data_5!$F$10:$BG$42,$A61+2,FALSE)="IE","IE",IF(HLOOKUP(O$15,Data_5!$F$10:$BG$42,$A61+2,FALSE)="NE","NE",IF(HLOOKUP(O$15,Data_5!$F$10:$BG$42,$A61+2,FALSE)="C","C",IF(HLOOKUP(O$15,Data_5!$F$10:$BG$42,$A61+2,FALSE)="NO","NO",HLOOKUP(O$15,Data_5!$F$10:$BG$42,$A61+2,FALSE)/Data_5!$BH56))))),"")</f>
        <v/>
      </c>
      <c r="P61" s="1122" t="str">
        <f>IFERROR(IF(HLOOKUP(P$15,Data_5!$F$10:$BG$42,$A61+2,FALSE)="NO","NO",IF(HLOOKUP(P$15,Data_5!$F$10:$BG$42,$A61+2,FALSE)="IE","IE",IF(HLOOKUP(P$15,Data_5!$F$10:$BG$42,$A61+2,FALSE)="NE","NE",IF(HLOOKUP(P$15,Data_5!$F$10:$BG$42,$A61+2,FALSE)="C","C",IF(HLOOKUP(P$15,Data_5!$F$10:$BG$42,$A61+2,FALSE)="NO","NO",HLOOKUP(P$15,Data_5!$F$10:$BG$42,$A61+2,FALSE)/Data_5!$BH56))))),"")</f>
        <v/>
      </c>
      <c r="Q61" s="1122" t="str">
        <f>IFERROR(IF(HLOOKUP(Q$15,Data_5!$F$10:$BG$42,$A61+2,FALSE)="NO","NO",IF(HLOOKUP(Q$15,Data_5!$F$10:$BG$42,$A61+2,FALSE)="IE","IE",IF(HLOOKUP(Q$15,Data_5!$F$10:$BG$42,$A61+2,FALSE)="NE","NE",IF(HLOOKUP(Q$15,Data_5!$F$10:$BG$42,$A61+2,FALSE)="C","C",IF(HLOOKUP(Q$15,Data_5!$F$10:$BG$42,$A61+2,FALSE)="NO","NO",HLOOKUP(Q$15,Data_5!$F$10:$BG$42,$A61+2,FALSE)/Data_5!$BH56))))),"")</f>
        <v/>
      </c>
      <c r="R61" s="1122" t="str">
        <f>IFERROR(IF(HLOOKUP(R$15,Data_5!$F$10:$BG$42,$A61+2,FALSE)="NO","NO",IF(HLOOKUP(R$15,Data_5!$F$10:$BG$42,$A61+2,FALSE)="IE","IE",IF(HLOOKUP(R$15,Data_5!$F$10:$BG$42,$A61+2,FALSE)="NE","NE",IF(HLOOKUP(R$15,Data_5!$F$10:$BG$42,$A61+2,FALSE)="C","C",IF(HLOOKUP(R$15,Data_5!$F$10:$BG$42,$A61+2,FALSE)="NO","NO",HLOOKUP(R$15,Data_5!$F$10:$BG$42,$A61+2,FALSE)/Data_5!$BH56))))),"")</f>
        <v/>
      </c>
      <c r="S61" s="1122" t="str">
        <f>IFERROR(IF(HLOOKUP(S$15,Data_5!$F$10:$BG$42,$A61+2,FALSE)="NO","NO",IF(HLOOKUP(S$15,Data_5!$F$10:$BG$42,$A61+2,FALSE)="IE","IE",IF(HLOOKUP(S$15,Data_5!$F$10:$BG$42,$A61+2,FALSE)="NE","NE",IF(HLOOKUP(S$15,Data_5!$F$10:$BG$42,$A61+2,FALSE)="C","C",IF(HLOOKUP(S$15,Data_5!$F$10:$BG$42,$A61+2,FALSE)="NO","NO",HLOOKUP(S$15,Data_5!$F$10:$BG$42,$A61+2,FALSE)/Data_5!$BH56))))),"")</f>
        <v/>
      </c>
      <c r="T61" s="1122" t="str">
        <f>IFERROR(IF(HLOOKUP(T$15,Data_5!$F$10:$BG$42,$A61+2,FALSE)="NO","NO",IF(HLOOKUP(T$15,Data_5!$F$10:$BG$42,$A61+2,FALSE)="IE","IE",IF(HLOOKUP(T$15,Data_5!$F$10:$BG$42,$A61+2,FALSE)="NE","NE",IF(HLOOKUP(T$15,Data_5!$F$10:$BG$42,$A61+2,FALSE)="C","C",IF(HLOOKUP(T$15,Data_5!$F$10:$BG$42,$A61+2,FALSE)="NO","NO",HLOOKUP(T$15,Data_5!$F$10:$BG$42,$A61+2,FALSE)/Data_5!$BH56))))),"")</f>
        <v/>
      </c>
      <c r="U61" s="1122" t="str">
        <f>IFERROR(IF(HLOOKUP(U$15,Data_5!$F$10:$BG$42,$A61+2,FALSE)="NO","NO",IF(HLOOKUP(U$15,Data_5!$F$10:$BG$42,$A61+2,FALSE)="IE","IE",IF(HLOOKUP(U$15,Data_5!$F$10:$BG$42,$A61+2,FALSE)="NE","NE",IF(HLOOKUP(U$15,Data_5!$F$10:$BG$42,$A61+2,FALSE)="C","C",IF(HLOOKUP(U$15,Data_5!$F$10:$BG$42,$A61+2,FALSE)="NO","NO",HLOOKUP(U$15,Data_5!$F$10:$BG$42,$A61+2,FALSE)/Data_5!$BH56))))),"")</f>
        <v/>
      </c>
      <c r="V61" s="1122" t="str">
        <f>IFERROR(IF(HLOOKUP(V$15,Data_5!$F$10:$BG$42,$A61+2,FALSE)="NO","NO",IF(HLOOKUP(V$15,Data_5!$F$10:$BG$42,$A61+2,FALSE)="IE","IE",IF(HLOOKUP(V$15,Data_5!$F$10:$BG$42,$A61+2,FALSE)="NE","NE",IF(HLOOKUP(V$15,Data_5!$F$10:$BG$42,$A61+2,FALSE)="C","C",IF(HLOOKUP(V$15,Data_5!$F$10:$BG$42,$A61+2,FALSE)="NO","NO",HLOOKUP(V$15,Data_5!$F$10:$BG$42,$A61+2,FALSE)/Data_5!$BH56))))),"")</f>
        <v/>
      </c>
      <c r="W61" s="1122" t="str">
        <f>IFERROR(IF(HLOOKUP(W$15,Data_5!$F$10:$BG$42,$A61+2,FALSE)="NO","NO",IF(HLOOKUP(W$15,Data_5!$F$10:$BG$42,$A61+2,FALSE)="IE","IE",IF(HLOOKUP(W$15,Data_5!$F$10:$BG$42,$A61+2,FALSE)="NE","NE",IF(HLOOKUP(W$15,Data_5!$F$10:$BG$42,$A61+2,FALSE)="C","C",IF(HLOOKUP(W$15,Data_5!$F$10:$BG$42,$A61+2,FALSE)="NO","NO",HLOOKUP(W$15,Data_5!$F$10:$BG$42,$A61+2,FALSE)/Data_5!$BH56))))),"")</f>
        <v/>
      </c>
      <c r="X61" s="1122" t="str">
        <f>IFERROR(IF(HLOOKUP(X$15,Data_5!$F$10:$BG$42,$A61+2,FALSE)="NO","NO",IF(HLOOKUP(X$15,Data_5!$F$10:$BG$42,$A61+2,FALSE)="IE","IE",IF(HLOOKUP(X$15,Data_5!$F$10:$BG$42,$A61+2,FALSE)="NE","NE",IF(HLOOKUP(X$15,Data_5!$F$10:$BG$42,$A61+2,FALSE)="C","C",IF(HLOOKUP(X$15,Data_5!$F$10:$BG$42,$A61+2,FALSE)="NO","NO",HLOOKUP(X$15,Data_5!$F$10:$BG$42,$A61+2,FALSE)/Data_5!$BH56))))),"")</f>
        <v/>
      </c>
      <c r="Y61" s="1122" t="str">
        <f>IFERROR(IF(HLOOKUP(Y$15,Data_5!$F$10:$BG$42,$A61+2,FALSE)="NO","NO",IF(HLOOKUP(Y$15,Data_5!$F$10:$BG$42,$A61+2,FALSE)="IE","IE",IF(HLOOKUP(Y$15,Data_5!$F$10:$BG$42,$A61+2,FALSE)="NE","NE",IF(HLOOKUP(Y$15,Data_5!$F$10:$BG$42,$A61+2,FALSE)="C","C",IF(HLOOKUP(Y$15,Data_5!$F$10:$BG$42,$A61+2,FALSE)="NO","NO",HLOOKUP(Y$15,Data_5!$F$10:$BG$42,$A61+2,FALSE)/Data_5!$BH56))))),"")</f>
        <v/>
      </c>
      <c r="Z61" s="1122" t="str">
        <f>IFERROR(IF(HLOOKUP(Z$15,Data_5!$F$10:$BG$42,$A61+2,FALSE)="NO","NO",IF(HLOOKUP(Z$15,Data_5!$F$10:$BG$42,$A61+2,FALSE)="IE","IE",IF(HLOOKUP(Z$15,Data_5!$F$10:$BG$42,$A61+2,FALSE)="NE","NE",IF(HLOOKUP(Z$15,Data_5!$F$10:$BG$42,$A61+2,FALSE)="C","C",IF(HLOOKUP(Z$15,Data_5!$F$10:$BG$42,$A61+2,FALSE)="NO","NO",HLOOKUP(Z$15,Data_5!$F$10:$BG$42,$A61+2,FALSE)/Data_5!$BH56))))),"")</f>
        <v/>
      </c>
      <c r="AA61" s="1122" t="str">
        <f>IFERROR(IF(HLOOKUP(AA$15,Data_5!$F$10:$BG$42,$A61+2,FALSE)="NO","NO",IF(HLOOKUP(AA$15,Data_5!$F$10:$BG$42,$A61+2,FALSE)="IE","IE",IF(HLOOKUP(AA$15,Data_5!$F$10:$BG$42,$A61+2,FALSE)="NE","NE",IF(HLOOKUP(AA$15,Data_5!$F$10:$BG$42,$A61+2,FALSE)="C","C",IF(HLOOKUP(AA$15,Data_5!$F$10:$BG$42,$A61+2,FALSE)="NO","NO",HLOOKUP(AA$15,Data_5!$F$10:$BG$42,$A61+2,FALSE)/Data_5!$BH56))))),"")</f>
        <v/>
      </c>
      <c r="AB61" s="1122" t="str">
        <f>IFERROR(IF(HLOOKUP(AB$15,Data_5!$F$10:$BG$42,$A61+2,FALSE)="NO","NO",IF(HLOOKUP(AB$15,Data_5!$F$10:$BG$42,$A61+2,FALSE)="IE","IE",IF(HLOOKUP(AB$15,Data_5!$F$10:$BG$42,$A61+2,FALSE)="NE","NE",IF(HLOOKUP(AB$15,Data_5!$F$10:$BG$42,$A61+2,FALSE)="C","C",IF(HLOOKUP(AB$15,Data_5!$F$10:$BG$42,$A61+2,FALSE)="NO","NO",HLOOKUP(AB$15,Data_5!$F$10:$BG$42,$A61+2,FALSE)/Data_5!$BH56))))),"")</f>
        <v/>
      </c>
      <c r="AC61" s="1122" t="str">
        <f>IFERROR(IF(HLOOKUP(AC$15,Data_5!$F$10:$BG$42,$A61+2,FALSE)="NO","NO",IF(HLOOKUP(AC$15,Data_5!$F$10:$BG$42,$A61+2,FALSE)="IE","IE",IF(HLOOKUP(AC$15,Data_5!$F$10:$BG$42,$A61+2,FALSE)="NE","NE",IF(HLOOKUP(AC$15,Data_5!$F$10:$BG$42,$A61+2,FALSE)="C","C",IF(HLOOKUP(AC$15,Data_5!$F$10:$BG$42,$A61+2,FALSE)="NO","NO",HLOOKUP(AC$15,Data_5!$F$10:$BG$42,$A61+2,FALSE)/Data_5!$BH56))))),"")</f>
        <v/>
      </c>
      <c r="AD61" s="1122" t="str">
        <f>IFERROR(IF(HLOOKUP(AD$15,Data_5!$F$10:$BG$42,$A61+2,FALSE)="NO","NO",IF(HLOOKUP(AD$15,Data_5!$F$10:$BG$42,$A61+2,FALSE)="IE","IE",IF(HLOOKUP(AD$15,Data_5!$F$10:$BG$42,$A61+2,FALSE)="NE","NE",IF(HLOOKUP(AD$15,Data_5!$F$10:$BG$42,$A61+2,FALSE)="C","C",IF(HLOOKUP(AD$15,Data_5!$F$10:$BG$42,$A61+2,FALSE)="NO","NO",HLOOKUP(AD$15,Data_5!$F$10:$BG$42,$A61+2,FALSE)/Data_5!$BH56))))),"")</f>
        <v/>
      </c>
      <c r="AE61" s="1122" t="str">
        <f>IFERROR(IF(HLOOKUP(AE$15,Data_5!$F$10:$BG$42,$A61+2,FALSE)="NO","NO",IF(HLOOKUP(AE$15,Data_5!$F$10:$BG$42,$A61+2,FALSE)="IE","IE",IF(HLOOKUP(AE$15,Data_5!$F$10:$BG$42,$A61+2,FALSE)="NE","NE",IF(HLOOKUP(AE$15,Data_5!$F$10:$BG$42,$A61+2,FALSE)="C","C",IF(HLOOKUP(AE$15,Data_5!$F$10:$BG$42,$A61+2,FALSE)="NO","NO",HLOOKUP(AE$15,Data_5!$F$10:$BG$42,$A61+2,FALSE)/Data_5!$BH56))))),"")</f>
        <v/>
      </c>
      <c r="AF61" s="1122" t="str">
        <f>IFERROR(IF(HLOOKUP(AF$15,Data_5!$F$10:$BG$42,$A61+2,FALSE)="NO","NO",IF(HLOOKUP(AF$15,Data_5!$F$10:$BG$42,$A61+2,FALSE)="IE","IE",IF(HLOOKUP(AF$15,Data_5!$F$10:$BG$42,$A61+2,FALSE)="NE","NE",IF(HLOOKUP(AF$15,Data_5!$F$10:$BG$42,$A61+2,FALSE)="C","C",IF(HLOOKUP(AF$15,Data_5!$F$10:$BG$42,$A61+2,FALSE)="NO","NO",HLOOKUP(AF$15,Data_5!$F$10:$BG$42,$A61+2,FALSE)/Data_5!$BH56))))),"")</f>
        <v/>
      </c>
      <c r="AG61" s="1122" t="str">
        <f>IFERROR(IF(HLOOKUP(AG$15,Data_5!$F$10:$BG$42,$A61+2,FALSE)="NO","NO",IF(HLOOKUP(AG$15,Data_5!$F$10:$BG$42,$A61+2,FALSE)="IE","IE",IF(HLOOKUP(AG$15,Data_5!$F$10:$BG$42,$A61+2,FALSE)="NE","NE",IF(HLOOKUP(AG$15,Data_5!$F$10:$BG$42,$A61+2,FALSE)="C","C",IF(HLOOKUP(AG$15,Data_5!$F$10:$BG$42,$A61+2,FALSE)="NO","NO",HLOOKUP(AG$15,Data_5!$F$10:$BG$42,$A61+2,FALSE)/Data_5!$BH56))))),"")</f>
        <v/>
      </c>
      <c r="AH61" s="1122" t="str">
        <f>IFERROR(IF(HLOOKUP(AH$15,Data_5!$F$10:$BG$42,$A61+2,FALSE)="NO","NO",IF(HLOOKUP(AH$15,Data_5!$F$10:$BG$42,$A61+2,FALSE)="IE","IE",IF(HLOOKUP(AH$15,Data_5!$F$10:$BG$42,$A61+2,FALSE)="NE","NE",IF(HLOOKUP(AH$15,Data_5!$F$10:$BG$42,$A61+2,FALSE)="C","C",IF(HLOOKUP(AH$15,Data_5!$F$10:$BG$42,$A61+2,FALSE)="NO","NO",HLOOKUP(AH$15,Data_5!$F$10:$BG$42,$A61+2,FALSE)/Data_5!$BH56))))),"")</f>
        <v/>
      </c>
      <c r="AI61" s="1122" t="str">
        <f>IFERROR(IF(HLOOKUP(AI$15,Data_5!$F$10:$BG$42,$A61+2,FALSE)="NO","NO",IF(HLOOKUP(AI$15,Data_5!$F$10:$BG$42,$A61+2,FALSE)="IE","IE",IF(HLOOKUP(AI$15,Data_5!$F$10:$BG$42,$A61+2,FALSE)="NE","NE",IF(HLOOKUP(AI$15,Data_5!$F$10:$BG$42,$A61+2,FALSE)="C","C",IF(HLOOKUP(AI$15,Data_5!$F$10:$BG$42,$A61+2,FALSE)="NO","NO",HLOOKUP(AI$15,Data_5!$F$10:$BG$42,$A61+2,FALSE)/Data_5!$BH56))))),"")</f>
        <v/>
      </c>
      <c r="AJ61" s="1122" t="str">
        <f>IFERROR(IF(HLOOKUP(AJ$15,Data_5!$F$10:$BG$42,$A61+2,FALSE)="NO","NO",IF(HLOOKUP(AJ$15,Data_5!$F$10:$BG$42,$A61+2,FALSE)="IE","IE",IF(HLOOKUP(AJ$15,Data_5!$F$10:$BG$42,$A61+2,FALSE)="NE","NE",IF(HLOOKUP(AJ$15,Data_5!$F$10:$BG$42,$A61+2,FALSE)="C","C",IF(HLOOKUP(AJ$15,Data_5!$F$10:$BG$42,$A61+2,FALSE)="NO","NO",HLOOKUP(AJ$15,Data_5!$F$10:$BG$42,$A61+2,FALSE)/Data_5!$BH56))))),"")</f>
        <v/>
      </c>
      <c r="AL61" s="2628" t="str">
        <f t="shared" ca="1" si="0"/>
        <v/>
      </c>
      <c r="AM61" s="2629"/>
      <c r="AN61" s="1100" t="str">
        <f t="shared" ca="1" si="1"/>
        <v/>
      </c>
      <c r="AO61" s="1122" t="str">
        <f>IFERROR(IF(HLOOKUP(AO$15,Data_5!$F$10:$BG$42,$A61+2,FALSE)="NO","NO",IF(HLOOKUP(AO$15,Data_5!$F$10:$BG$42,$A61+2,FALSE)="IE","IE",IF(HLOOKUP(AO$15,Data_5!$F$10:$BG$42,$A61+2,FALSE)="NE","NE",IF(HLOOKUP(AO$15,Data_5!$F$10:$BG$42,$A61+2,FALSE)="C","C",IF(HLOOKUP(AO$15,Data_5!$F$10:$BG$42,$A61+2,FALSE)="NO","NO",HLOOKUP(AO$15,Data_5!$F$10:$BG$42,$A61+2,FALSE)/Data_5!$BI56))))),"")</f>
        <v/>
      </c>
      <c r="AP61" s="1122" t="str">
        <f>IFERROR(IF(HLOOKUP(AP$15,Data_5!$F$10:$BG$42,$A61+2,FALSE)="NO","NO",IF(HLOOKUP(AP$15,Data_5!$F$10:$BG$42,$A61+2,FALSE)="IE","IE",IF(HLOOKUP(AP$15,Data_5!$F$10:$BG$42,$A61+2,FALSE)="NE","NE",IF(HLOOKUP(AP$15,Data_5!$F$10:$BG$42,$A61+2,FALSE)="C","C",IF(HLOOKUP(AP$15,Data_5!$F$10:$BG$42,$A61+2,FALSE)="NO","NO",HLOOKUP(AP$15,Data_5!$F$10:$BG$42,$A61+2,FALSE)/Data_5!$BI56))))),"")</f>
        <v/>
      </c>
      <c r="AQ61" s="1122" t="str">
        <f>IFERROR(IF(HLOOKUP(AQ$15,Data_5!$F$10:$BG$42,$A61+2,FALSE)="NO","NO",IF(HLOOKUP(AQ$15,Data_5!$F$10:$BG$42,$A61+2,FALSE)="IE","IE",IF(HLOOKUP(AQ$15,Data_5!$F$10:$BG$42,$A61+2,FALSE)="NE","NE",IF(HLOOKUP(AQ$15,Data_5!$F$10:$BG$42,$A61+2,FALSE)="C","C",IF(HLOOKUP(AQ$15,Data_5!$F$10:$BG$42,$A61+2,FALSE)="NO","NO",HLOOKUP(AQ$15,Data_5!$F$10:$BG$42,$A61+2,FALSE)/Data_5!$BI56))))),"")</f>
        <v/>
      </c>
      <c r="AR61" s="1122" t="str">
        <f>IFERROR(IF(HLOOKUP(AR$15,Data_5!$F$10:$BG$42,$A61+2,FALSE)="NO","NO",IF(HLOOKUP(AR$15,Data_5!$F$10:$BG$42,$A61+2,FALSE)="IE","IE",IF(HLOOKUP(AR$15,Data_5!$F$10:$BG$42,$A61+2,FALSE)="NE","NE",IF(HLOOKUP(AR$15,Data_5!$F$10:$BG$42,$A61+2,FALSE)="C","C",IF(HLOOKUP(AR$15,Data_5!$F$10:$BG$42,$A61+2,FALSE)="NO","NO",HLOOKUP(AR$15,Data_5!$F$10:$BG$42,$A61+2,FALSE)/Data_5!$BI56))))),"")</f>
        <v/>
      </c>
      <c r="AS61" s="1122" t="str">
        <f>IFERROR(IF(HLOOKUP(AS$15,Data_5!$F$10:$BG$42,$A61+2,FALSE)="NO","NO",IF(HLOOKUP(AS$15,Data_5!$F$10:$BG$42,$A61+2,FALSE)="IE","IE",IF(HLOOKUP(AS$15,Data_5!$F$10:$BG$42,$A61+2,FALSE)="NE","NE",IF(HLOOKUP(AS$15,Data_5!$F$10:$BG$42,$A61+2,FALSE)="C","C",IF(HLOOKUP(AS$15,Data_5!$F$10:$BG$42,$A61+2,FALSE)="NO","NO",HLOOKUP(AS$15,Data_5!$F$10:$BG$42,$A61+2,FALSE)/Data_5!$BI56))))),"")</f>
        <v/>
      </c>
      <c r="AT61" s="1122" t="str">
        <f>IFERROR(IF(HLOOKUP(AT$15,Data_5!$F$10:$BG$42,$A61+2,FALSE)="NO","NO",IF(HLOOKUP(AT$15,Data_5!$F$10:$BG$42,$A61+2,FALSE)="IE","IE",IF(HLOOKUP(AT$15,Data_5!$F$10:$BG$42,$A61+2,FALSE)="NE","NE",IF(HLOOKUP(AT$15,Data_5!$F$10:$BG$42,$A61+2,FALSE)="C","C",IF(HLOOKUP(AT$15,Data_5!$F$10:$BG$42,$A61+2,FALSE)="NO","NO",HLOOKUP(AT$15,Data_5!$F$10:$BG$42,$A61+2,FALSE)/Data_5!$BI56))))),"")</f>
        <v/>
      </c>
      <c r="AU61" s="1122" t="str">
        <f>IFERROR(IF(HLOOKUP(AU$15,Data_5!$F$10:$BG$42,$A61+2,FALSE)="NO","NO",IF(HLOOKUP(AU$15,Data_5!$F$10:$BG$42,$A61+2,FALSE)="IE","IE",IF(HLOOKUP(AU$15,Data_5!$F$10:$BG$42,$A61+2,FALSE)="NE","NE",IF(HLOOKUP(AU$15,Data_5!$F$10:$BG$42,$A61+2,FALSE)="C","C",IF(HLOOKUP(AU$15,Data_5!$F$10:$BG$42,$A61+2,FALSE)="NO","NO",HLOOKUP(AU$15,Data_5!$F$10:$BG$42,$A61+2,FALSE)/Data_5!$BI56))))),"")</f>
        <v/>
      </c>
      <c r="AV61" s="1122" t="str">
        <f>IFERROR(IF(HLOOKUP(AV$15,Data_5!$F$10:$BG$42,$A61+2,FALSE)="NO","NO",IF(HLOOKUP(AV$15,Data_5!$F$10:$BG$42,$A61+2,FALSE)="IE","IE",IF(HLOOKUP(AV$15,Data_5!$F$10:$BG$42,$A61+2,FALSE)="NE","NE",IF(HLOOKUP(AV$15,Data_5!$F$10:$BG$42,$A61+2,FALSE)="C","C",IF(HLOOKUP(AV$15,Data_5!$F$10:$BG$42,$A61+2,FALSE)="NO","NO",HLOOKUP(AV$15,Data_5!$F$10:$BG$42,$A61+2,FALSE)/Data_5!$BI56))))),"")</f>
        <v/>
      </c>
      <c r="AW61" s="1122" t="str">
        <f>IFERROR(IF(HLOOKUP(AW$15,Data_5!$F$10:$BG$42,$A61+2,FALSE)="NO","NO",IF(HLOOKUP(AW$15,Data_5!$F$10:$BG$42,$A61+2,FALSE)="IE","IE",IF(HLOOKUP(AW$15,Data_5!$F$10:$BG$42,$A61+2,FALSE)="NE","NE",IF(HLOOKUP(AW$15,Data_5!$F$10:$BG$42,$A61+2,FALSE)="C","C",IF(HLOOKUP(AW$15,Data_5!$F$10:$BG$42,$A61+2,FALSE)="NO","NO",HLOOKUP(AW$15,Data_5!$F$10:$BG$42,$A61+2,FALSE)/Data_5!$BI56))))),"")</f>
        <v/>
      </c>
      <c r="AX61" s="1122" t="str">
        <f>IFERROR(IF(HLOOKUP(AX$15,Data_5!$F$10:$BG$42,$A61+2,FALSE)="NO","NO",IF(HLOOKUP(AX$15,Data_5!$F$10:$BG$42,$A61+2,FALSE)="IE","IE",IF(HLOOKUP(AX$15,Data_5!$F$10:$BG$42,$A61+2,FALSE)="NE","NE",IF(HLOOKUP(AX$15,Data_5!$F$10:$BG$42,$A61+2,FALSE)="C","C",IF(HLOOKUP(AX$15,Data_5!$F$10:$BG$42,$A61+2,FALSE)="NO","NO",HLOOKUP(AX$15,Data_5!$F$10:$BG$42,$A61+2,FALSE)/Data_5!$BI56))))),"")</f>
        <v/>
      </c>
      <c r="AY61" s="1122" t="str">
        <f>IFERROR(IF(HLOOKUP(AY$15,Data_5!$F$10:$BG$42,$A61+2,FALSE)="NO","NO",IF(HLOOKUP(AY$15,Data_5!$F$10:$BG$42,$A61+2,FALSE)="IE","IE",IF(HLOOKUP(AY$15,Data_5!$F$10:$BG$42,$A61+2,FALSE)="NE","NE",IF(HLOOKUP(AY$15,Data_5!$F$10:$BG$42,$A61+2,FALSE)="C","C",IF(HLOOKUP(AY$15,Data_5!$F$10:$BG$42,$A61+2,FALSE)="NO","NO",HLOOKUP(AY$15,Data_5!$F$10:$BG$42,$A61+2,FALSE)/Data_5!$BI56))))),"")</f>
        <v/>
      </c>
      <c r="AZ61" s="1122" t="str">
        <f>IFERROR(IF(HLOOKUP(AZ$15,Data_5!$F$10:$BG$42,$A61+2,FALSE)="NO","NO",IF(HLOOKUP(AZ$15,Data_5!$F$10:$BG$42,$A61+2,FALSE)="IE","IE",IF(HLOOKUP(AZ$15,Data_5!$F$10:$BG$42,$A61+2,FALSE)="NE","NE",IF(HLOOKUP(AZ$15,Data_5!$F$10:$BG$42,$A61+2,FALSE)="C","C",IF(HLOOKUP(AZ$15,Data_5!$F$10:$BG$42,$A61+2,FALSE)="NO","NO",HLOOKUP(AZ$15,Data_5!$F$10:$BG$42,$A61+2,FALSE)/Data_5!$BI56))))),"")</f>
        <v/>
      </c>
      <c r="BA61" s="1122" t="str">
        <f>IFERROR(IF(HLOOKUP(BA$15,Data_5!$F$10:$BG$42,$A61+2,FALSE)="NO","NO",IF(HLOOKUP(BA$15,Data_5!$F$10:$BG$42,$A61+2,FALSE)="IE","IE",IF(HLOOKUP(BA$15,Data_5!$F$10:$BG$42,$A61+2,FALSE)="NE","NE",IF(HLOOKUP(BA$15,Data_5!$F$10:$BG$42,$A61+2,FALSE)="C","C",IF(HLOOKUP(BA$15,Data_5!$F$10:$BG$42,$A61+2,FALSE)="NO","NO",HLOOKUP(BA$15,Data_5!$F$10:$BG$42,$A61+2,FALSE)/Data_5!$BI56))))),"")</f>
        <v/>
      </c>
      <c r="BB61" s="1122" t="str">
        <f>IFERROR(IF(HLOOKUP(BB$15,Data_5!$F$10:$BG$42,$A61+2,FALSE)="NO","NO",IF(HLOOKUP(BB$15,Data_5!$F$10:$BG$42,$A61+2,FALSE)="IE","IE",IF(HLOOKUP(BB$15,Data_5!$F$10:$BG$42,$A61+2,FALSE)="NE","NE",IF(HLOOKUP(BB$15,Data_5!$F$10:$BG$42,$A61+2,FALSE)="C","C",IF(HLOOKUP(BB$15,Data_5!$F$10:$BG$42,$A61+2,FALSE)="NO","NO",HLOOKUP(BB$15,Data_5!$F$10:$BG$42,$A61+2,FALSE)/Data_5!$BI56))))),"")</f>
        <v/>
      </c>
      <c r="BC61" s="1122" t="str">
        <f>IFERROR(IF(HLOOKUP(BC$15,Data_5!$F$10:$BG$42,$A61+2,FALSE)="NO","NO",IF(HLOOKUP(BC$15,Data_5!$F$10:$BG$42,$A61+2,FALSE)="IE","IE",IF(HLOOKUP(BC$15,Data_5!$F$10:$BG$42,$A61+2,FALSE)="NE","NE",IF(HLOOKUP(BC$15,Data_5!$F$10:$BG$42,$A61+2,FALSE)="C","C",IF(HLOOKUP(BC$15,Data_5!$F$10:$BG$42,$A61+2,FALSE)="NO","NO",HLOOKUP(BC$15,Data_5!$F$10:$BG$42,$A61+2,FALSE)/Data_5!$BI56))))),"")</f>
        <v/>
      </c>
      <c r="BD61" s="1122" t="str">
        <f>IFERROR(IF(HLOOKUP(BD$15,Data_5!$F$10:$BG$42,$A61+2,FALSE)="NO","NO",IF(HLOOKUP(BD$15,Data_5!$F$10:$BG$42,$A61+2,FALSE)="IE","IE",IF(HLOOKUP(BD$15,Data_5!$F$10:$BG$42,$A61+2,FALSE)="NE","NE",IF(HLOOKUP(BD$15,Data_5!$F$10:$BG$42,$A61+2,FALSE)="C","C",IF(HLOOKUP(BD$15,Data_5!$F$10:$BG$42,$A61+2,FALSE)="NO","NO",HLOOKUP(BD$15,Data_5!$F$10:$BG$42,$A61+2,FALSE)/Data_5!$BI56))))),"")</f>
        <v/>
      </c>
      <c r="BE61" s="1122" t="str">
        <f>IFERROR(IF(HLOOKUP(BE$15,Data_5!$F$10:$BG$42,$A61+2,FALSE)="NO","NO",IF(HLOOKUP(BE$15,Data_5!$F$10:$BG$42,$A61+2,FALSE)="IE","IE",IF(HLOOKUP(BE$15,Data_5!$F$10:$BG$42,$A61+2,FALSE)="NE","NE",IF(HLOOKUP(BE$15,Data_5!$F$10:$BG$42,$A61+2,FALSE)="C","C",IF(HLOOKUP(BE$15,Data_5!$F$10:$BG$42,$A61+2,FALSE)="NO","NO",HLOOKUP(BE$15,Data_5!$F$10:$BG$42,$A61+2,FALSE)/Data_5!$BI56))))),"")</f>
        <v/>
      </c>
      <c r="BF61" s="1122" t="str">
        <f>IFERROR(IF(HLOOKUP(BF$15,Data_5!$F$10:$BG$42,$A61+2,FALSE)="NO","NO",IF(HLOOKUP(BF$15,Data_5!$F$10:$BG$42,$A61+2,FALSE)="IE","IE",IF(HLOOKUP(BF$15,Data_5!$F$10:$BG$42,$A61+2,FALSE)="NE","NE",IF(HLOOKUP(BF$15,Data_5!$F$10:$BG$42,$A61+2,FALSE)="C","C",IF(HLOOKUP(BF$15,Data_5!$F$10:$BG$42,$A61+2,FALSE)="NO","NO",HLOOKUP(BF$15,Data_5!$F$10:$BG$42,$A61+2,FALSE)/Data_5!$BI56))))),"")</f>
        <v/>
      </c>
      <c r="BG61" s="1122" t="str">
        <f>IFERROR(IF(HLOOKUP(BG$15,Data_5!$F$10:$BG$42,$A61+2,FALSE)="NO","NO",IF(HLOOKUP(BG$15,Data_5!$F$10:$BG$42,$A61+2,FALSE)="IE","IE",IF(HLOOKUP(BG$15,Data_5!$F$10:$BG$42,$A61+2,FALSE)="NE","NE",IF(HLOOKUP(BG$15,Data_5!$F$10:$BG$42,$A61+2,FALSE)="C","C",IF(HLOOKUP(BG$15,Data_5!$F$10:$BG$42,$A61+2,FALSE)="NO","NO",HLOOKUP(BG$15,Data_5!$F$10:$BG$42,$A61+2,FALSE)/Data_5!$BI56))))),"")</f>
        <v/>
      </c>
      <c r="BH61" s="1122" t="str">
        <f>IFERROR(IF(HLOOKUP(BH$15,Data_5!$F$10:$BG$42,$A61+2,FALSE)="NO","NO",IF(HLOOKUP(BH$15,Data_5!$F$10:$BG$42,$A61+2,FALSE)="IE","IE",IF(HLOOKUP(BH$15,Data_5!$F$10:$BG$42,$A61+2,FALSE)="NE","NE",IF(HLOOKUP(BH$15,Data_5!$F$10:$BG$42,$A61+2,FALSE)="C","C",IF(HLOOKUP(BH$15,Data_5!$F$10:$BG$42,$A61+2,FALSE)="NO","NO",HLOOKUP(BH$15,Data_5!$F$10:$BG$42,$A61+2,FALSE)/Data_5!$BI56))))),"")</f>
        <v/>
      </c>
      <c r="BI61" s="1122" t="str">
        <f>IFERROR(IF(HLOOKUP(BI$15,Data_5!$F$10:$BG$42,$A61+2,FALSE)="NO","NO",IF(HLOOKUP(BI$15,Data_5!$F$10:$BG$42,$A61+2,FALSE)="IE","IE",IF(HLOOKUP(BI$15,Data_5!$F$10:$BG$42,$A61+2,FALSE)="NE","NE",IF(HLOOKUP(BI$15,Data_5!$F$10:$BG$42,$A61+2,FALSE)="C","C",IF(HLOOKUP(BI$15,Data_5!$F$10:$BG$42,$A61+2,FALSE)="NO","NO",HLOOKUP(BI$15,Data_5!$F$10:$BG$42,$A61+2,FALSE)/Data_5!$BI56))))),"")</f>
        <v/>
      </c>
      <c r="BJ61" s="1122" t="str">
        <f>IFERROR(IF(HLOOKUP(BJ$15,Data_5!$F$10:$BG$42,$A61+2,FALSE)="NO","NO",IF(HLOOKUP(BJ$15,Data_5!$F$10:$BG$42,$A61+2,FALSE)="IE","IE",IF(HLOOKUP(BJ$15,Data_5!$F$10:$BG$42,$A61+2,FALSE)="NE","NE",IF(HLOOKUP(BJ$15,Data_5!$F$10:$BG$42,$A61+2,FALSE)="C","C",IF(HLOOKUP(BJ$15,Data_5!$F$10:$BG$42,$A61+2,FALSE)="NO","NO",HLOOKUP(BJ$15,Data_5!$F$10:$BG$42,$A61+2,FALSE)/Data_5!$BI56))))),"")</f>
        <v/>
      </c>
      <c r="BK61" s="1122" t="str">
        <f>IFERROR(IF(HLOOKUP(BK$15,Data_5!$F$10:$BG$42,$A61+2,FALSE)="NO","NO",IF(HLOOKUP(BK$15,Data_5!$F$10:$BG$42,$A61+2,FALSE)="IE","IE",IF(HLOOKUP(BK$15,Data_5!$F$10:$BG$42,$A61+2,FALSE)="NE","NE",IF(HLOOKUP(BK$15,Data_5!$F$10:$BG$42,$A61+2,FALSE)="C","C",IF(HLOOKUP(BK$15,Data_5!$F$10:$BG$42,$A61+2,FALSE)="NO","NO",HLOOKUP(BK$15,Data_5!$F$10:$BG$42,$A61+2,FALSE)/Data_5!$BI56))))),"")</f>
        <v/>
      </c>
      <c r="BL61" s="1122" t="str">
        <f>IFERROR(IF(HLOOKUP(BL$15,Data_5!$F$10:$BG$42,$A61+2,FALSE)="NO","NO",IF(HLOOKUP(BL$15,Data_5!$F$10:$BG$42,$A61+2,FALSE)="IE","IE",IF(HLOOKUP(BL$15,Data_5!$F$10:$BG$42,$A61+2,FALSE)="NE","NE",IF(HLOOKUP(BL$15,Data_5!$F$10:$BG$42,$A61+2,FALSE)="C","C",IF(HLOOKUP(BL$15,Data_5!$F$10:$BG$42,$A61+2,FALSE)="NO","NO",HLOOKUP(BL$15,Data_5!$F$10:$BG$42,$A61+2,FALSE)/Data_5!$BI56))))),"")</f>
        <v/>
      </c>
      <c r="BM61" s="1122" t="str">
        <f>IFERROR(IF(HLOOKUP(BM$15,Data_5!$F$10:$BG$42,$A61+2,FALSE)="NO","NO",IF(HLOOKUP(BM$15,Data_5!$F$10:$BG$42,$A61+2,FALSE)="IE","IE",IF(HLOOKUP(BM$15,Data_5!$F$10:$BG$42,$A61+2,FALSE)="NE","NE",IF(HLOOKUP(BM$15,Data_5!$F$10:$BG$42,$A61+2,FALSE)="C","C",IF(HLOOKUP(BM$15,Data_5!$F$10:$BG$42,$A61+2,FALSE)="NO","NO",HLOOKUP(BM$15,Data_5!$F$10:$BG$42,$A61+2,FALSE)/Data_5!$BI56))))),"")</f>
        <v/>
      </c>
      <c r="BN61" s="1122" t="str">
        <f>IFERROR(IF(HLOOKUP(BN$15,Data_5!$F$10:$BG$42,$A61+2,FALSE)="NO","NO",IF(HLOOKUP(BN$15,Data_5!$F$10:$BG$42,$A61+2,FALSE)="IE","IE",IF(HLOOKUP(BN$15,Data_5!$F$10:$BG$42,$A61+2,FALSE)="NE","NE",IF(HLOOKUP(BN$15,Data_5!$F$10:$BG$42,$A61+2,FALSE)="C","C",IF(HLOOKUP(BN$15,Data_5!$F$10:$BG$42,$A61+2,FALSE)="NO","NO",HLOOKUP(BN$15,Data_5!$F$10:$BG$42,$A61+2,FALSE)/Data_5!$BI56))))),"")</f>
        <v/>
      </c>
      <c r="BO61" s="1122" t="str">
        <f>IFERROR(IF(HLOOKUP(BO$15,Data_5!$F$10:$BG$42,$A61+2,FALSE)="NO","NO",IF(HLOOKUP(BO$15,Data_5!$F$10:$BG$42,$A61+2,FALSE)="IE","IE",IF(HLOOKUP(BO$15,Data_5!$F$10:$BG$42,$A61+2,FALSE)="NE","NE",IF(HLOOKUP(BO$15,Data_5!$F$10:$BG$42,$A61+2,FALSE)="C","C",IF(HLOOKUP(BO$15,Data_5!$F$10:$BG$42,$A61+2,FALSE)="NO","NO",HLOOKUP(BO$15,Data_5!$F$10:$BG$42,$A61+2,FALSE)/Data_5!$BI56))))),"")</f>
        <v/>
      </c>
      <c r="BP61" s="1122" t="str">
        <f>IFERROR(IF(HLOOKUP(BP$15,Data_5!$F$10:$BG$42,$A61+2,FALSE)="NO","NO",IF(HLOOKUP(BP$15,Data_5!$F$10:$BG$42,$A61+2,FALSE)="IE","IE",IF(HLOOKUP(BP$15,Data_5!$F$10:$BG$42,$A61+2,FALSE)="NE","NE",IF(HLOOKUP(BP$15,Data_5!$F$10:$BG$42,$A61+2,FALSE)="C","C",IF(HLOOKUP(BP$15,Data_5!$F$10:$BG$42,$A61+2,FALSE)="NO","NO",HLOOKUP(BP$15,Data_5!$F$10:$BG$42,$A61+2,FALSE)/Data_5!$BI56))))),"")</f>
        <v/>
      </c>
      <c r="BQ61" s="1122" t="str">
        <f>IFERROR(IF(HLOOKUP(BQ$15,Data_5!$F$10:$BG$42,$A61+2,FALSE)="NO","NO",IF(HLOOKUP(BQ$15,Data_5!$F$10:$BG$42,$A61+2,FALSE)="IE","IE",IF(HLOOKUP(BQ$15,Data_5!$F$10:$BG$42,$A61+2,FALSE)="NE","NE",IF(HLOOKUP(BQ$15,Data_5!$F$10:$BG$42,$A61+2,FALSE)="C","C",IF(HLOOKUP(BQ$15,Data_5!$F$10:$BG$42,$A61+2,FALSE)="NO","NO",HLOOKUP(BQ$15,Data_5!$F$10:$BG$42,$A61+2,FALSE)/Data_5!$BI56))))),"")</f>
        <v/>
      </c>
      <c r="BR61" s="1122" t="str">
        <f>IFERROR(IF(HLOOKUP(BR$15,Data_5!$F$10:$BG$42,$A61+2,FALSE)="NO","NO",IF(HLOOKUP(BR$15,Data_5!$F$10:$BG$42,$A61+2,FALSE)="IE","IE",IF(HLOOKUP(BR$15,Data_5!$F$10:$BG$42,$A61+2,FALSE)="NE","NE",IF(HLOOKUP(BR$15,Data_5!$F$10:$BG$42,$A61+2,FALSE)="C","C",IF(HLOOKUP(BR$15,Data_5!$F$10:$BG$42,$A61+2,FALSE)="NO","NO",HLOOKUP(BR$15,Data_5!$F$10:$BG$42,$A61+2,FALSE)/Data_5!$BI56))))),"")</f>
        <v/>
      </c>
      <c r="BS61" s="1122" t="str">
        <f>IFERROR(IF(HLOOKUP(BS$15,Data_5!$F$10:$BG$42,$A61+2,FALSE)="NO","NO",IF(HLOOKUP(BS$15,Data_5!$F$10:$BG$42,$A61+2,FALSE)="IE","IE",IF(HLOOKUP(BS$15,Data_5!$F$10:$BG$42,$A61+2,FALSE)="NE","NE",IF(HLOOKUP(BS$15,Data_5!$F$10:$BG$42,$A61+2,FALSE)="C","C",IF(HLOOKUP(BS$15,Data_5!$F$10:$BG$42,$A61+2,FALSE)="NO","NO",HLOOKUP(BS$15,Data_5!$F$10:$BG$42,$A61+2,FALSE)/Data_5!$BI56))))),"")</f>
        <v/>
      </c>
      <c r="BT61" s="1122" t="str">
        <f>IFERROR(IF(HLOOKUP(BT$15,Data_5!$F$10:$BG$42,$A61+2,FALSE)="NO","NO",IF(HLOOKUP(BT$15,Data_5!$F$10:$BG$42,$A61+2,FALSE)="IE","IE",IF(HLOOKUP(BT$15,Data_5!$F$10:$BG$42,$A61+2,FALSE)="NE","NE",IF(HLOOKUP(BT$15,Data_5!$F$10:$BG$42,$A61+2,FALSE)="C","C",IF(HLOOKUP(BT$15,Data_5!$F$10:$BG$42,$A61+2,FALSE)="NO","NO",HLOOKUP(BT$15,Data_5!$F$10:$BG$42,$A61+2,FALSE)/Data_5!$BI56))))),"")</f>
        <v/>
      </c>
      <c r="BU61" s="1122" t="str">
        <f>IFERROR(IF(HLOOKUP(BU$15,Data_5!$F$10:$BG$42,$A61+2,FALSE)="NO","NO",IF(HLOOKUP(BU$15,Data_5!$F$10:$BG$42,$A61+2,FALSE)="IE","IE",IF(HLOOKUP(BU$15,Data_5!$F$10:$BG$42,$A61+2,FALSE)="NE","NE",IF(HLOOKUP(BU$15,Data_5!$F$10:$BG$42,$A61+2,FALSE)="C","C",IF(HLOOKUP(BU$15,Data_5!$F$10:$BG$42,$A61+2,FALSE)="NO","NO",HLOOKUP(BU$15,Data_5!$F$10:$BG$42,$A61+2,FALSE)/Data_5!$BI56))))),"")</f>
        <v/>
      </c>
      <c r="BV61" s="1122" t="str">
        <f>IFERROR(IF(HLOOKUP(BV$15,Data_5!$F$10:$BG$42,$A61+2,FALSE)="NO","NO",IF(HLOOKUP(BV$15,Data_5!$F$10:$BG$42,$A61+2,FALSE)="IE","IE",IF(HLOOKUP(BV$15,Data_5!$F$10:$BG$42,$A61+2,FALSE)="NE","NE",IF(HLOOKUP(BV$15,Data_5!$F$10:$BG$42,$A61+2,FALSE)="C","C",IF(HLOOKUP(BV$15,Data_5!$F$10:$BG$42,$A61+2,FALSE)="NO","NO",HLOOKUP(BV$15,Data_5!$F$10:$BG$42,$A61+2,FALSE)/Data_5!$BI56))))),"")</f>
        <v/>
      </c>
      <c r="BW61" s="1122" t="str">
        <f>IFERROR(IF(HLOOKUP(BW$15,Data_5!$F$10:$BG$42,$A61+2,FALSE)="NO","NO",IF(HLOOKUP(BW$15,Data_5!$F$10:$BG$42,$A61+2,FALSE)="IE","IE",IF(HLOOKUP(BW$15,Data_5!$F$10:$BG$42,$A61+2,FALSE)="NE","NE",IF(HLOOKUP(BW$15,Data_5!$F$10:$BG$42,$A61+2,FALSE)="C","C",IF(HLOOKUP(BW$15,Data_5!$F$10:$BG$42,$A61+2,FALSE)="NO","NO",HLOOKUP(BW$15,Data_5!$F$10:$BG$42,$A61+2,FALSE)/Data_5!$BI56))))),"")</f>
        <v/>
      </c>
      <c r="BX61" s="1122" t="str">
        <f>IFERROR(IF(HLOOKUP(BX$15,Data_5!$F$10:$BG$42,$A61+2,FALSE)="NO","NO",IF(HLOOKUP(BX$15,Data_5!$F$10:$BG$42,$A61+2,FALSE)="IE","IE",IF(HLOOKUP(BX$15,Data_5!$F$10:$BG$42,$A61+2,FALSE)="NE","NE",IF(HLOOKUP(BX$15,Data_5!$F$10:$BG$42,$A61+2,FALSE)="C","C",IF(HLOOKUP(BX$15,Data_5!$F$10:$BG$42,$A61+2,FALSE)="NO","NO",HLOOKUP(BX$15,Data_5!$F$10:$BG$42,$A61+2,FALSE)/Data_5!$BI56))))),"")</f>
        <v/>
      </c>
      <c r="BY61" s="1122" t="str">
        <f>IFERROR(IF(HLOOKUP(BY$15,Data_5!$F$10:$BG$42,$A61+2,FALSE)="NO","NO",IF(HLOOKUP(BY$15,Data_5!$F$10:$BG$42,$A61+2,FALSE)="IE","IE",IF(HLOOKUP(BY$15,Data_5!$F$10:$BG$42,$A61+2,FALSE)="NE","NE",IF(HLOOKUP(BY$15,Data_5!$F$10:$BG$42,$A61+2,FALSE)="C","C",IF(HLOOKUP(BY$15,Data_5!$F$10:$BG$42,$A61+2,FALSE)="NO","NO",HLOOKUP(BY$15,Data_5!$F$10:$BG$42,$A61+2,FALSE)/Data_5!$BI56))))),"")</f>
        <v/>
      </c>
      <c r="BZ61" s="1122" t="str">
        <f>IFERROR(IF(HLOOKUP(BZ$15,Data_5!$F$10:$BG$42,$A61+2,FALSE)="NO","NO",IF(HLOOKUP(BZ$15,Data_5!$F$10:$BG$42,$A61+2,FALSE)="IE","IE",IF(HLOOKUP(BZ$15,Data_5!$F$10:$BG$42,$A61+2,FALSE)="NE","NE",IF(HLOOKUP(BZ$15,Data_5!$F$10:$BG$42,$A61+2,FALSE)="C","C",IF(HLOOKUP(BZ$15,Data_5!$F$10:$BG$42,$A61+2,FALSE)="NO","NO",HLOOKUP(BZ$15,Data_5!$F$10:$BG$42,$A61+2,FALSE)/Data_5!$BI56))))),"")</f>
        <v/>
      </c>
      <c r="CA61" s="1122" t="str">
        <f>IFERROR(IF(HLOOKUP(CA$15,Data_5!$F$10:$BG$42,$A61+2,FALSE)="NO","NO",IF(HLOOKUP(CA$15,Data_5!$F$10:$BG$42,$A61+2,FALSE)="IE","IE",IF(HLOOKUP(CA$15,Data_5!$F$10:$BG$42,$A61+2,FALSE)="NE","NE",IF(HLOOKUP(CA$15,Data_5!$F$10:$BG$42,$A61+2,FALSE)="C","C",IF(HLOOKUP(CA$15,Data_5!$F$10:$BG$42,$A61+2,FALSE)="NO","NO",HLOOKUP(CA$15,Data_5!$F$10:$BG$42,$A61+2,FALSE)/Data_5!$BI56))))),"")</f>
        <v/>
      </c>
      <c r="CB61" s="1122" t="str">
        <f>IFERROR(IF(HLOOKUP(CB$15,Data_5!$F$10:$BG$42,$A61+2,FALSE)="NO","NO",IF(HLOOKUP(CB$15,Data_5!$F$10:$BG$42,$A61+2,FALSE)="IE","IE",IF(HLOOKUP(CB$15,Data_5!$F$10:$BG$42,$A61+2,FALSE)="NE","NE",IF(HLOOKUP(CB$15,Data_5!$F$10:$BG$42,$A61+2,FALSE)="C","C",IF(HLOOKUP(CB$15,Data_5!$F$10:$BG$42,$A61+2,FALSE)="NO","NO",HLOOKUP(CB$15,Data_5!$F$10:$BG$42,$A61+2,FALSE)/Data_5!$BI56))))),"")</f>
        <v/>
      </c>
      <c r="CC61" s="1122" t="str">
        <f>IFERROR(IF(HLOOKUP(CC$15,Data_5!$F$10:$BG$42,$A61+2,FALSE)="NO","NO",IF(HLOOKUP(CC$15,Data_5!$F$10:$BG$42,$A61+2,FALSE)="IE","IE",IF(HLOOKUP(CC$15,Data_5!$F$10:$BG$42,$A61+2,FALSE)="NE","NE",IF(HLOOKUP(CC$15,Data_5!$F$10:$BG$42,$A61+2,FALSE)="C","C",IF(HLOOKUP(CC$15,Data_5!$F$10:$BG$42,$A61+2,FALSE)="NO","NO",HLOOKUP(CC$15,Data_5!$F$10:$BG$42,$A61+2,FALSE)/Data_5!$BI56))))),"")</f>
        <v/>
      </c>
      <c r="CD61" s="1122" t="str">
        <f>IFERROR(IF(HLOOKUP(CD$15,Data_5!$F$10:$BG$42,$A61+2,FALSE)="NO","NO",IF(HLOOKUP(CD$15,Data_5!$F$10:$BG$42,$A61+2,FALSE)="IE","IE",IF(HLOOKUP(CD$15,Data_5!$F$10:$BG$42,$A61+2,FALSE)="NE","NE",IF(HLOOKUP(CD$15,Data_5!$F$10:$BG$42,$A61+2,FALSE)="C","C",IF(HLOOKUP(CD$15,Data_5!$F$10:$BG$42,$A61+2,FALSE)="NO","NO",HLOOKUP(CD$15,Data_5!$F$10:$BG$42,$A61+2,FALSE)/Data_5!$BI56))))),"")</f>
        <v/>
      </c>
      <c r="CE61" s="1122" t="str">
        <f>IFERROR(IF(HLOOKUP(CE$15,Data_5!$F$10:$BG$42,$A61+2,FALSE)="NO","NO",IF(HLOOKUP(CE$15,Data_5!$F$10:$BG$42,$A61+2,FALSE)="IE","IE",IF(HLOOKUP(CE$15,Data_5!$F$10:$BG$42,$A61+2,FALSE)="NE","NE",IF(HLOOKUP(CE$15,Data_5!$F$10:$BG$42,$A61+2,FALSE)="C","C",IF(HLOOKUP(CE$15,Data_5!$F$10:$BG$42,$A61+2,FALSE)="NO","NO",HLOOKUP(CE$15,Data_5!$F$10:$BG$42,$A61+2,FALSE)/Data_5!$BI56))))),"")</f>
        <v/>
      </c>
      <c r="CF61" s="1122" t="str">
        <f>IFERROR(IF(HLOOKUP(CF$15,Data_5!$F$10:$BG$42,$A61+2,FALSE)="NO","NO",IF(HLOOKUP(CF$15,Data_5!$F$10:$BG$42,$A61+2,FALSE)="IE","IE",IF(HLOOKUP(CF$15,Data_5!$F$10:$BG$42,$A61+2,FALSE)="NE","NE",IF(HLOOKUP(CF$15,Data_5!$F$10:$BG$42,$A61+2,FALSE)="C","C",IF(HLOOKUP(CF$15,Data_5!$F$10:$BG$42,$A61+2,FALSE)="NO","NO",HLOOKUP(CF$15,Data_5!$F$10:$BG$42,$A61+2,FALSE)/Data_5!$BI56))))),"")</f>
        <v/>
      </c>
      <c r="CG61" s="1122" t="str">
        <f>IFERROR(IF(HLOOKUP(CG$15,Data_5!$F$10:$BG$42,$A61+2,FALSE)="NO","NO",IF(HLOOKUP(CG$15,Data_5!$F$10:$BG$42,$A61+2,FALSE)="IE","IE",IF(HLOOKUP(CG$15,Data_5!$F$10:$BG$42,$A61+2,FALSE)="NE","NE",IF(HLOOKUP(CG$15,Data_5!$F$10:$BG$42,$A61+2,FALSE)="C","C",IF(HLOOKUP(CG$15,Data_5!$F$10:$BG$42,$A61+2,FALSE)="NO","NO",HLOOKUP(CG$15,Data_5!$F$10:$BG$42,$A61+2,FALSE)/Data_5!$BI56))))),"")</f>
        <v/>
      </c>
      <c r="CH61" s="1122" t="str">
        <f>IFERROR(IF(HLOOKUP(CH$15,Data_5!$F$10:$BG$42,$A61+2,FALSE)="NO","NO",IF(HLOOKUP(CH$15,Data_5!$F$10:$BG$42,$A61+2,FALSE)="IE","IE",IF(HLOOKUP(CH$15,Data_5!$F$10:$BG$42,$A61+2,FALSE)="NE","NE",IF(HLOOKUP(CH$15,Data_5!$F$10:$BG$42,$A61+2,FALSE)="C","C",IF(HLOOKUP(CH$15,Data_5!$F$10:$BG$42,$A61+2,FALSE)="NO","NO",HLOOKUP(CH$15,Data_5!$F$10:$BG$42,$A61+2,FALSE)/Data_5!$BI56))))),"")</f>
        <v/>
      </c>
      <c r="CI61" s="1122" t="str">
        <f>IFERROR(IF(HLOOKUP(CI$15,Data_5!$F$10:$BG$42,$A61+2,FALSE)="NO","NO",IF(HLOOKUP(CI$15,Data_5!$F$10:$BG$42,$A61+2,FALSE)="IE","IE",IF(HLOOKUP(CI$15,Data_5!$F$10:$BG$42,$A61+2,FALSE)="NE","NE",IF(HLOOKUP(CI$15,Data_5!$F$10:$BG$42,$A61+2,FALSE)="C","C",IF(HLOOKUP(CI$15,Data_5!$F$10:$BG$42,$A61+2,FALSE)="NO","NO",HLOOKUP(CI$15,Data_5!$F$10:$BG$42,$A61+2,FALSE)/Data_5!$BI56))))),"")</f>
        <v/>
      </c>
      <c r="CJ61" s="1122" t="str">
        <f>IFERROR(IF(HLOOKUP(CJ$15,Data_5!$F$10:$BG$42,$A61+2,FALSE)="NO","NO",IF(HLOOKUP(CJ$15,Data_5!$F$10:$BG$42,$A61+2,FALSE)="IE","IE",IF(HLOOKUP(CJ$15,Data_5!$F$10:$BG$42,$A61+2,FALSE)="NE","NE",IF(HLOOKUP(CJ$15,Data_5!$F$10:$BG$42,$A61+2,FALSE)="C","C",IF(HLOOKUP(CJ$15,Data_5!$F$10:$BG$42,$A61+2,FALSE)="NO","NO",HLOOKUP(CJ$15,Data_5!$F$10:$BG$42,$A61+2,FALSE)/Data_5!$BI56))))),"")</f>
        <v/>
      </c>
      <c r="CL61" s="2628" t="str">
        <f t="shared" ca="1" si="6"/>
        <v/>
      </c>
      <c r="CM61" s="2629"/>
      <c r="CN61" s="1100" t="str">
        <f t="shared" ca="1" si="7"/>
        <v/>
      </c>
      <c r="CO61" s="1122" t="str">
        <f>IFERROR(IF(HLOOKUP(CO$15,Data_5!$F$10:$BG$42,$A61+2,FALSE)="NO","NO",IF(HLOOKUP(CO$15,Data_5!$F$10:$BG$42,$A61+2,FALSE)="IE","IE",IF(HLOOKUP(CO$15,Data_5!$F$10:$BG$42,$A61+2,FALSE)="NE","NE",IF(HLOOKUP(CO$15,Data_5!$F$10:$BG$42,$A61+2,FALSE)="C","C",IF(HLOOKUP(CO$15,Data_5!$F$10:$BG$42,$A61+2,FALSE)="NO","NO",HLOOKUP(CO$15,Data_5!$F$10:$BG$42,$A61+2,FALSE)/Data_5!$BK56))))),"")</f>
        <v/>
      </c>
      <c r="CP61" s="1122" t="str">
        <f>IFERROR(IF(HLOOKUP(CP$15,Data_5!$F$10:$BG$42,$A61+2,FALSE)="NO","NO",IF(HLOOKUP(CP$15,Data_5!$F$10:$BG$42,$A61+2,FALSE)="IE","IE",IF(HLOOKUP(CP$15,Data_5!$F$10:$BG$42,$A61+2,FALSE)="NE","NE",IF(HLOOKUP(CP$15,Data_5!$F$10:$BG$42,$A61+2,FALSE)="C","C",IF(HLOOKUP(CP$15,Data_5!$F$10:$BG$42,$A61+2,FALSE)="NO","NO",HLOOKUP(CP$15,Data_5!$F$10:$BG$42,$A61+2,FALSE)/Data_5!$BK56))))),"")</f>
        <v/>
      </c>
      <c r="CQ61" s="1122" t="str">
        <f>IFERROR(IF(HLOOKUP(CQ$15,Data_5!$F$10:$BG$42,$A61+2,FALSE)="NO","NO",IF(HLOOKUP(CQ$15,Data_5!$F$10:$BG$42,$A61+2,FALSE)="IE","IE",IF(HLOOKUP(CQ$15,Data_5!$F$10:$BG$42,$A61+2,FALSE)="NE","NE",IF(HLOOKUP(CQ$15,Data_5!$F$10:$BG$42,$A61+2,FALSE)="C","C",IF(HLOOKUP(CQ$15,Data_5!$F$10:$BG$42,$A61+2,FALSE)="NO","NO",HLOOKUP(CQ$15,Data_5!$F$10:$BG$42,$A61+2,FALSE)/Data_5!$BK56))))),"")</f>
        <v/>
      </c>
      <c r="CR61" s="1122" t="str">
        <f>IFERROR(IF(HLOOKUP(CR$15,Data_5!$F$10:$BG$42,$A61+2,FALSE)="NO","NO",IF(HLOOKUP(CR$15,Data_5!$F$10:$BG$42,$A61+2,FALSE)="IE","IE",IF(HLOOKUP(CR$15,Data_5!$F$10:$BG$42,$A61+2,FALSE)="NE","NE",IF(HLOOKUP(CR$15,Data_5!$F$10:$BG$42,$A61+2,FALSE)="C","C",IF(HLOOKUP(CR$15,Data_5!$F$10:$BG$42,$A61+2,FALSE)="NO","NO",HLOOKUP(CR$15,Data_5!$F$10:$BG$42,$A61+2,FALSE)/Data_5!$BK56))))),"")</f>
        <v/>
      </c>
      <c r="CS61" s="1122" t="str">
        <f>IFERROR(IF(HLOOKUP(CS$15,Data_5!$F$10:$BG$42,$A61+2,FALSE)="NO","NO",IF(HLOOKUP(CS$15,Data_5!$F$10:$BG$42,$A61+2,FALSE)="IE","IE",IF(HLOOKUP(CS$15,Data_5!$F$10:$BG$42,$A61+2,FALSE)="NE","NE",IF(HLOOKUP(CS$15,Data_5!$F$10:$BG$42,$A61+2,FALSE)="C","C",IF(HLOOKUP(CS$15,Data_5!$F$10:$BG$42,$A61+2,FALSE)="NO","NO",HLOOKUP(CS$15,Data_5!$F$10:$BG$42,$A61+2,FALSE)/Data_5!$BK56))))),"")</f>
        <v/>
      </c>
      <c r="CT61" s="1122" t="str">
        <f>IFERROR(IF(HLOOKUP(CT$15,Data_5!$F$10:$BG$42,$A61+2,FALSE)="NO","NO",IF(HLOOKUP(CT$15,Data_5!$F$10:$BG$42,$A61+2,FALSE)="IE","IE",IF(HLOOKUP(CT$15,Data_5!$F$10:$BG$42,$A61+2,FALSE)="NE","NE",IF(HLOOKUP(CT$15,Data_5!$F$10:$BG$42,$A61+2,FALSE)="C","C",IF(HLOOKUP(CT$15,Data_5!$F$10:$BG$42,$A61+2,FALSE)="NO","NO",HLOOKUP(CT$15,Data_5!$F$10:$BG$42,$A61+2,FALSE)/Data_5!$BK56))))),"")</f>
        <v/>
      </c>
      <c r="CU61" s="1122" t="str">
        <f>IFERROR(IF(HLOOKUP(CU$15,Data_5!$F$10:$BG$42,$A61+2,FALSE)="NO","NO",IF(HLOOKUP(CU$15,Data_5!$F$10:$BG$42,$A61+2,FALSE)="IE","IE",IF(HLOOKUP(CU$15,Data_5!$F$10:$BG$42,$A61+2,FALSE)="NE","NE",IF(HLOOKUP(CU$15,Data_5!$F$10:$BG$42,$A61+2,FALSE)="C","C",IF(HLOOKUP(CU$15,Data_5!$F$10:$BG$42,$A61+2,FALSE)="NO","NO",HLOOKUP(CU$15,Data_5!$F$10:$BG$42,$A61+2,FALSE)/Data_5!$BK56))))),"")</f>
        <v/>
      </c>
      <c r="CV61" s="1122" t="str">
        <f>IFERROR(IF(HLOOKUP(CV$15,Data_5!$F$10:$BG$42,$A61+2,FALSE)="NO","NO",IF(HLOOKUP(CV$15,Data_5!$F$10:$BG$42,$A61+2,FALSE)="IE","IE",IF(HLOOKUP(CV$15,Data_5!$F$10:$BG$42,$A61+2,FALSE)="NE","NE",IF(HLOOKUP(CV$15,Data_5!$F$10:$BG$42,$A61+2,FALSE)="C","C",IF(HLOOKUP(CV$15,Data_5!$F$10:$BG$42,$A61+2,FALSE)="NO","NO",HLOOKUP(CV$15,Data_5!$F$10:$BG$42,$A61+2,FALSE)/Data_5!$BK56))))),"")</f>
        <v/>
      </c>
      <c r="CW61" s="1122" t="str">
        <f>IFERROR(IF(HLOOKUP(CW$15,Data_5!$F$10:$BG$42,$A61+2,FALSE)="NO","NO",IF(HLOOKUP(CW$15,Data_5!$F$10:$BG$42,$A61+2,FALSE)="IE","IE",IF(HLOOKUP(CW$15,Data_5!$F$10:$BG$42,$A61+2,FALSE)="NE","NE",IF(HLOOKUP(CW$15,Data_5!$F$10:$BG$42,$A61+2,FALSE)="C","C",IF(HLOOKUP(CW$15,Data_5!$F$10:$BG$42,$A61+2,FALSE)="NO","NO",HLOOKUP(CW$15,Data_5!$F$10:$BG$42,$A61+2,FALSE)/Data_5!$BK56))))),"")</f>
        <v/>
      </c>
      <c r="CX61" s="1122" t="str">
        <f>IFERROR(IF(HLOOKUP(CX$15,Data_5!$F$10:$BG$42,$A61+2,FALSE)="NO","NO",IF(HLOOKUP(CX$15,Data_5!$F$10:$BG$42,$A61+2,FALSE)="IE","IE",IF(HLOOKUP(CX$15,Data_5!$F$10:$BG$42,$A61+2,FALSE)="NE","NE",IF(HLOOKUP(CX$15,Data_5!$F$10:$BG$42,$A61+2,FALSE)="C","C",IF(HLOOKUP(CX$15,Data_5!$F$10:$BG$42,$A61+2,FALSE)="NO","NO",HLOOKUP(CX$15,Data_5!$F$10:$BG$42,$A61+2,FALSE)/Data_5!$BK56))))),"")</f>
        <v/>
      </c>
      <c r="CY61" s="1122" t="str">
        <f>IFERROR(IF(HLOOKUP(CY$15,Data_5!$F$10:$BG$42,$A61+2,FALSE)="NO","NO",IF(HLOOKUP(CY$15,Data_5!$F$10:$BG$42,$A61+2,FALSE)="IE","IE",IF(HLOOKUP(CY$15,Data_5!$F$10:$BG$42,$A61+2,FALSE)="NE","NE",IF(HLOOKUP(CY$15,Data_5!$F$10:$BG$42,$A61+2,FALSE)="C","C",IF(HLOOKUP(CY$15,Data_5!$F$10:$BG$42,$A61+2,FALSE)="NO","NO",HLOOKUP(CY$15,Data_5!$F$10:$BG$42,$A61+2,FALSE)/Data_5!$BK56))))),"")</f>
        <v/>
      </c>
      <c r="CZ61" s="1122" t="str">
        <f>IFERROR(IF(HLOOKUP(CZ$15,Data_5!$F$10:$BG$42,$A61+2,FALSE)="NO","NO",IF(HLOOKUP(CZ$15,Data_5!$F$10:$BG$42,$A61+2,FALSE)="IE","IE",IF(HLOOKUP(CZ$15,Data_5!$F$10:$BG$42,$A61+2,FALSE)="NE","NE",IF(HLOOKUP(CZ$15,Data_5!$F$10:$BG$42,$A61+2,FALSE)="C","C",IF(HLOOKUP(CZ$15,Data_5!$F$10:$BG$42,$A61+2,FALSE)="NO","NO",HLOOKUP(CZ$15,Data_5!$F$10:$BG$42,$A61+2,FALSE)/Data_5!$BK56))))),"")</f>
        <v/>
      </c>
      <c r="DA61" s="1122" t="str">
        <f>IFERROR(IF(HLOOKUP(DA$15,Data_5!$F$10:$BG$42,$A61+2,FALSE)="NO","NO",IF(HLOOKUP(DA$15,Data_5!$F$10:$BG$42,$A61+2,FALSE)="IE","IE",IF(HLOOKUP(DA$15,Data_5!$F$10:$BG$42,$A61+2,FALSE)="NE","NE",IF(HLOOKUP(DA$15,Data_5!$F$10:$BG$42,$A61+2,FALSE)="C","C",IF(HLOOKUP(DA$15,Data_5!$F$10:$BG$42,$A61+2,FALSE)="NO","NO",HLOOKUP(DA$15,Data_5!$F$10:$BG$42,$A61+2,FALSE)/Data_5!$BK56))))),"")</f>
        <v/>
      </c>
      <c r="DB61" s="1122" t="str">
        <f>IFERROR(IF(HLOOKUP(DB$15,Data_5!$F$10:$BG$42,$A61+2,FALSE)="NO","NO",IF(HLOOKUP(DB$15,Data_5!$F$10:$BG$42,$A61+2,FALSE)="IE","IE",IF(HLOOKUP(DB$15,Data_5!$F$10:$BG$42,$A61+2,FALSE)="NE","NE",IF(HLOOKUP(DB$15,Data_5!$F$10:$BG$42,$A61+2,FALSE)="C","C",IF(HLOOKUP(DB$15,Data_5!$F$10:$BG$42,$A61+2,FALSE)="NO","NO",HLOOKUP(DB$15,Data_5!$F$10:$BG$42,$A61+2,FALSE)/Data_5!$BK56))))),"")</f>
        <v/>
      </c>
      <c r="DC61" s="1122" t="str">
        <f>IFERROR(IF(HLOOKUP(DC$15,Data_5!$F$10:$BG$42,$A61+2,FALSE)="NO","NO",IF(HLOOKUP(DC$15,Data_5!$F$10:$BG$42,$A61+2,FALSE)="IE","IE",IF(HLOOKUP(DC$15,Data_5!$F$10:$BG$42,$A61+2,FALSE)="NE","NE",IF(HLOOKUP(DC$15,Data_5!$F$10:$BG$42,$A61+2,FALSE)="C","C",IF(HLOOKUP(DC$15,Data_5!$F$10:$BG$42,$A61+2,FALSE)="NO","NO",HLOOKUP(DC$15,Data_5!$F$10:$BG$42,$A61+2,FALSE)/Data_5!$BK56))))),"")</f>
        <v/>
      </c>
      <c r="DD61" s="1122" t="str">
        <f>IFERROR(IF(HLOOKUP(DD$15,Data_5!$F$10:$BG$42,$A61+2,FALSE)="NO","NO",IF(HLOOKUP(DD$15,Data_5!$F$10:$BG$42,$A61+2,FALSE)="IE","IE",IF(HLOOKUP(DD$15,Data_5!$F$10:$BG$42,$A61+2,FALSE)="NE","NE",IF(HLOOKUP(DD$15,Data_5!$F$10:$BG$42,$A61+2,FALSE)="C","C",IF(HLOOKUP(DD$15,Data_5!$F$10:$BG$42,$A61+2,FALSE)="NO","NO",HLOOKUP(DD$15,Data_5!$F$10:$BG$42,$A61+2,FALSE)/Data_5!$BK56))))),"")</f>
        <v/>
      </c>
      <c r="DE61" s="1122" t="str">
        <f>IFERROR(IF(HLOOKUP(DE$15,Data_5!$F$10:$BG$42,$A61+2,FALSE)="NO","NO",IF(HLOOKUP(DE$15,Data_5!$F$10:$BG$42,$A61+2,FALSE)="IE","IE",IF(HLOOKUP(DE$15,Data_5!$F$10:$BG$42,$A61+2,FALSE)="NE","NE",IF(HLOOKUP(DE$15,Data_5!$F$10:$BG$42,$A61+2,FALSE)="C","C",IF(HLOOKUP(DE$15,Data_5!$F$10:$BG$42,$A61+2,FALSE)="NO","NO",HLOOKUP(DE$15,Data_5!$F$10:$BG$42,$A61+2,FALSE)/Data_5!$BK56))))),"")</f>
        <v/>
      </c>
      <c r="DF61" s="1122" t="str">
        <f>IFERROR(IF(HLOOKUP(DF$15,Data_5!$F$10:$BG$42,$A61+2,FALSE)="NO","NO",IF(HLOOKUP(DF$15,Data_5!$F$10:$BG$42,$A61+2,FALSE)="IE","IE",IF(HLOOKUP(DF$15,Data_5!$F$10:$BG$42,$A61+2,FALSE)="NE","NE",IF(HLOOKUP(DF$15,Data_5!$F$10:$BG$42,$A61+2,FALSE)="C","C",IF(HLOOKUP(DF$15,Data_5!$F$10:$BG$42,$A61+2,FALSE)="NO","NO",HLOOKUP(DF$15,Data_5!$F$10:$BG$42,$A61+2,FALSE)/Data_5!$BK56))))),"")</f>
        <v/>
      </c>
      <c r="DG61" s="1122" t="str">
        <f>IFERROR(IF(HLOOKUP(DG$15,Data_5!$F$10:$BG$42,$A61+2,FALSE)="NO","NO",IF(HLOOKUP(DG$15,Data_5!$F$10:$BG$42,$A61+2,FALSE)="IE","IE",IF(HLOOKUP(DG$15,Data_5!$F$10:$BG$42,$A61+2,FALSE)="NE","NE",IF(HLOOKUP(DG$15,Data_5!$F$10:$BG$42,$A61+2,FALSE)="C","C",IF(HLOOKUP(DG$15,Data_5!$F$10:$BG$42,$A61+2,FALSE)="NO","NO",HLOOKUP(DG$15,Data_5!$F$10:$BG$42,$A61+2,FALSE)/Data_5!$BK56))))),"")</f>
        <v/>
      </c>
      <c r="DH61" s="1122" t="str">
        <f>IFERROR(IF(HLOOKUP(DH$15,Data_5!$F$10:$BG$42,$A61+2,FALSE)="NO","NO",IF(HLOOKUP(DH$15,Data_5!$F$10:$BG$42,$A61+2,FALSE)="IE","IE",IF(HLOOKUP(DH$15,Data_5!$F$10:$BG$42,$A61+2,FALSE)="NE","NE",IF(HLOOKUP(DH$15,Data_5!$F$10:$BG$42,$A61+2,FALSE)="C","C",IF(HLOOKUP(DH$15,Data_5!$F$10:$BG$42,$A61+2,FALSE)="NO","NO",HLOOKUP(DH$15,Data_5!$F$10:$BG$42,$A61+2,FALSE)/Data_5!$BK56))))),"")</f>
        <v/>
      </c>
      <c r="DI61" s="1122" t="str">
        <f>IFERROR(IF(HLOOKUP(DI$15,Data_5!$F$10:$BG$42,$A61+2,FALSE)="NO","NO",IF(HLOOKUP(DI$15,Data_5!$F$10:$BG$42,$A61+2,FALSE)="IE","IE",IF(HLOOKUP(DI$15,Data_5!$F$10:$BG$42,$A61+2,FALSE)="NE","NE",IF(HLOOKUP(DI$15,Data_5!$F$10:$BG$42,$A61+2,FALSE)="C","C",IF(HLOOKUP(DI$15,Data_5!$F$10:$BG$42,$A61+2,FALSE)="NO","NO",HLOOKUP(DI$15,Data_5!$F$10:$BG$42,$A61+2,FALSE)/Data_5!$BK56))))),"")</f>
        <v/>
      </c>
      <c r="DJ61" s="1122" t="str">
        <f>IFERROR(IF(HLOOKUP(DJ$15,Data_5!$F$10:$BG$42,$A61+2,FALSE)="NO","NO",IF(HLOOKUP(DJ$15,Data_5!$F$10:$BG$42,$A61+2,FALSE)="IE","IE",IF(HLOOKUP(DJ$15,Data_5!$F$10:$BG$42,$A61+2,FALSE)="NE","NE",IF(HLOOKUP(DJ$15,Data_5!$F$10:$BG$42,$A61+2,FALSE)="C","C",IF(HLOOKUP(DJ$15,Data_5!$F$10:$BG$42,$A61+2,FALSE)="NO","NO",HLOOKUP(DJ$15,Data_5!$F$10:$BG$42,$A61+2,FALSE)/Data_5!$BK56))))),"")</f>
        <v/>
      </c>
      <c r="DK61" s="1122" t="str">
        <f>IFERROR(IF(HLOOKUP(DK$15,Data_5!$F$10:$BG$42,$A61+2,FALSE)="NO","NO",IF(HLOOKUP(DK$15,Data_5!$F$10:$BG$42,$A61+2,FALSE)="IE","IE",IF(HLOOKUP(DK$15,Data_5!$F$10:$BG$42,$A61+2,FALSE)="NE","NE",IF(HLOOKUP(DK$15,Data_5!$F$10:$BG$42,$A61+2,FALSE)="C","C",IF(HLOOKUP(DK$15,Data_5!$F$10:$BG$42,$A61+2,FALSE)="NO","NO",HLOOKUP(DK$15,Data_5!$F$10:$BG$42,$A61+2,FALSE)/Data_5!$BK56))))),"")</f>
        <v/>
      </c>
      <c r="DL61" s="1122" t="str">
        <f>IFERROR(IF(HLOOKUP(DL$15,Data_5!$F$10:$BG$42,$A61+2,FALSE)="NO","NO",IF(HLOOKUP(DL$15,Data_5!$F$10:$BG$42,$A61+2,FALSE)="IE","IE",IF(HLOOKUP(DL$15,Data_5!$F$10:$BG$42,$A61+2,FALSE)="NE","NE",IF(HLOOKUP(DL$15,Data_5!$F$10:$BG$42,$A61+2,FALSE)="C","C",IF(HLOOKUP(DL$15,Data_5!$F$10:$BG$42,$A61+2,FALSE)="NO","NO",HLOOKUP(DL$15,Data_5!$F$10:$BG$42,$A61+2,FALSE)/Data_5!$BK56))))),"")</f>
        <v/>
      </c>
      <c r="DM61" s="1122" t="str">
        <f>IFERROR(IF(HLOOKUP(DM$15,Data_5!$F$10:$BG$42,$A61+2,FALSE)="NO","NO",IF(HLOOKUP(DM$15,Data_5!$F$10:$BG$42,$A61+2,FALSE)="IE","IE",IF(HLOOKUP(DM$15,Data_5!$F$10:$BG$42,$A61+2,FALSE)="NE","NE",IF(HLOOKUP(DM$15,Data_5!$F$10:$BG$42,$A61+2,FALSE)="C","C",IF(HLOOKUP(DM$15,Data_5!$F$10:$BG$42,$A61+2,FALSE)="NO","NO",HLOOKUP(DM$15,Data_5!$F$10:$BG$42,$A61+2,FALSE)/Data_5!$BK56))))),"")</f>
        <v/>
      </c>
      <c r="DN61" s="1122" t="str">
        <f>IFERROR(IF(HLOOKUP(DN$15,Data_5!$F$10:$BG$42,$A61+2,FALSE)="NO","NO",IF(HLOOKUP(DN$15,Data_5!$F$10:$BG$42,$A61+2,FALSE)="IE","IE",IF(HLOOKUP(DN$15,Data_5!$F$10:$BG$42,$A61+2,FALSE)="NE","NE",IF(HLOOKUP(DN$15,Data_5!$F$10:$BG$42,$A61+2,FALSE)="C","C",IF(HLOOKUP(DN$15,Data_5!$F$10:$BG$42,$A61+2,FALSE)="NO","NO",HLOOKUP(DN$15,Data_5!$F$10:$BG$42,$A61+2,FALSE)/Data_5!$BK56))))),"")</f>
        <v/>
      </c>
      <c r="DO61" s="1122" t="str">
        <f>IFERROR(IF(HLOOKUP(DO$15,Data_5!$F$10:$BG$42,$A61+2,FALSE)="NO","NO",IF(HLOOKUP(DO$15,Data_5!$F$10:$BG$42,$A61+2,FALSE)="IE","IE",IF(HLOOKUP(DO$15,Data_5!$F$10:$BG$42,$A61+2,FALSE)="NE","NE",IF(HLOOKUP(DO$15,Data_5!$F$10:$BG$42,$A61+2,FALSE)="C","C",IF(HLOOKUP(DO$15,Data_5!$F$10:$BG$42,$A61+2,FALSE)="NO","NO",HLOOKUP(DO$15,Data_5!$F$10:$BG$42,$A61+2,FALSE)/Data_5!$BK56))))),"")</f>
        <v/>
      </c>
    </row>
    <row r="62" spans="1:119" ht="15" customHeight="1">
      <c r="A62" s="1789">
        <v>46</v>
      </c>
      <c r="B62" s="2628" t="str">
        <f ca="1">IF(Data_5!B57&lt;&gt;"",Data_5!B57,"")</f>
        <v/>
      </c>
      <c r="C62" s="2629"/>
      <c r="D62" s="1462">
        <f ca="1">IFERROR(VLOOKUP($B62,Data_5!$B$12:$C$42,2,FALSE),"")</f>
        <v>0</v>
      </c>
      <c r="E62" s="1122" t="str">
        <f>IFERROR(IF(HLOOKUP(E$15,Data_5!$F$10:$BG$42,$A62+2,FALSE)="NO","NO",IF(HLOOKUP(E$15,Data_5!$F$10:$BG$42,$A62+2,FALSE)="IE","IE",IF(HLOOKUP(E$15,Data_5!$F$10:$BG$42,$A62+2,FALSE)="NE","NE",IF(HLOOKUP(E$15,Data_5!$F$10:$BG$42,$A62+2,FALSE)="C","C",IF(HLOOKUP(E$15,Data_5!$F$10:$BG$42,$A62+2,FALSE)="NO","NO",HLOOKUP(E$15,Data_5!$F$10:$BG$42,$A62+2,FALSE)/Data_5!$BH57))))),"")</f>
        <v/>
      </c>
      <c r="F62" s="1122" t="str">
        <f>IFERROR(IF(HLOOKUP(F$15,Data_5!$F$10:$BG$42,$A62+2,FALSE)="NO","NO",IF(HLOOKUP(F$15,Data_5!$F$10:$BG$42,$A62+2,FALSE)="IE","IE",IF(HLOOKUP(F$15,Data_5!$F$10:$BG$42,$A62+2,FALSE)="NE","NE",IF(HLOOKUP(F$15,Data_5!$F$10:$BG$42,$A62+2,FALSE)="C","C",IF(HLOOKUP(F$15,Data_5!$F$10:$BG$42,$A62+2,FALSE)="NO","NO",HLOOKUP(F$15,Data_5!$F$10:$BG$42,$A62+2,FALSE)/Data_5!$BH57))))),"")</f>
        <v/>
      </c>
      <c r="G62" s="1122" t="str">
        <f>IFERROR(IF(HLOOKUP(G$15,Data_5!$F$10:$BG$42,$A62+2,FALSE)="NO","NO",IF(HLOOKUP(G$15,Data_5!$F$10:$BG$42,$A62+2,FALSE)="IE","IE",IF(HLOOKUP(G$15,Data_5!$F$10:$BG$42,$A62+2,FALSE)="NE","NE",IF(HLOOKUP(G$15,Data_5!$F$10:$BG$42,$A62+2,FALSE)="C","C",IF(HLOOKUP(G$15,Data_5!$F$10:$BG$42,$A62+2,FALSE)="NO","NO",HLOOKUP(G$15,Data_5!$F$10:$BG$42,$A62+2,FALSE)/Data_5!$BH57))))),"")</f>
        <v/>
      </c>
      <c r="H62" s="1122" t="str">
        <f>IFERROR(IF(HLOOKUP(H$15,Data_5!$F$10:$BG$42,$A62+2,FALSE)="NO","NO",IF(HLOOKUP(H$15,Data_5!$F$10:$BG$42,$A62+2,FALSE)="IE","IE",IF(HLOOKUP(H$15,Data_5!$F$10:$BG$42,$A62+2,FALSE)="NE","NE",IF(HLOOKUP(H$15,Data_5!$F$10:$BG$42,$A62+2,FALSE)="C","C",IF(HLOOKUP(H$15,Data_5!$F$10:$BG$42,$A62+2,FALSE)="NO","NO",HLOOKUP(H$15,Data_5!$F$10:$BG$42,$A62+2,FALSE)/Data_5!$BH57))))),"")</f>
        <v/>
      </c>
      <c r="I62" s="1122" t="str">
        <f>IFERROR(IF(HLOOKUP(I$15,Data_5!$F$10:$BG$42,$A62+2,FALSE)="NO","NO",IF(HLOOKUP(I$15,Data_5!$F$10:$BG$42,$A62+2,FALSE)="IE","IE",IF(HLOOKUP(I$15,Data_5!$F$10:$BG$42,$A62+2,FALSE)="NE","NE",IF(HLOOKUP(I$15,Data_5!$F$10:$BG$42,$A62+2,FALSE)="C","C",IF(HLOOKUP(I$15,Data_5!$F$10:$BG$42,$A62+2,FALSE)="NO","NO",HLOOKUP(I$15,Data_5!$F$10:$BG$42,$A62+2,FALSE)/Data_5!$BH57))))),"")</f>
        <v/>
      </c>
      <c r="J62" s="1122" t="str">
        <f>IFERROR(IF(HLOOKUP(J$15,Data_5!$F$10:$BG$42,$A62+2,FALSE)="NO","NO",IF(HLOOKUP(J$15,Data_5!$F$10:$BG$42,$A62+2,FALSE)="IE","IE",IF(HLOOKUP(J$15,Data_5!$F$10:$BG$42,$A62+2,FALSE)="NE","NE",IF(HLOOKUP(J$15,Data_5!$F$10:$BG$42,$A62+2,FALSE)="C","C",IF(HLOOKUP(J$15,Data_5!$F$10:$BG$42,$A62+2,FALSE)="NO","NO",HLOOKUP(J$15,Data_5!$F$10:$BG$42,$A62+2,FALSE)/Data_5!$BH57))))),"")</f>
        <v/>
      </c>
      <c r="K62" s="1122" t="str">
        <f>IFERROR(IF(HLOOKUP(K$15,Data_5!$F$10:$BG$42,$A62+2,FALSE)="NO","NO",IF(HLOOKUP(K$15,Data_5!$F$10:$BG$42,$A62+2,FALSE)="IE","IE",IF(HLOOKUP(K$15,Data_5!$F$10:$BG$42,$A62+2,FALSE)="NE","NE",IF(HLOOKUP(K$15,Data_5!$F$10:$BG$42,$A62+2,FALSE)="C","C",IF(HLOOKUP(K$15,Data_5!$F$10:$BG$42,$A62+2,FALSE)="NO","NO",HLOOKUP(K$15,Data_5!$F$10:$BG$42,$A62+2,FALSE)/Data_5!$BH57))))),"")</f>
        <v/>
      </c>
      <c r="L62" s="1122" t="str">
        <f>IFERROR(IF(HLOOKUP(L$15,Data_5!$F$10:$BG$42,$A62+2,FALSE)="NO","NO",IF(HLOOKUP(L$15,Data_5!$F$10:$BG$42,$A62+2,FALSE)="IE","IE",IF(HLOOKUP(L$15,Data_5!$F$10:$BG$42,$A62+2,FALSE)="NE","NE",IF(HLOOKUP(L$15,Data_5!$F$10:$BG$42,$A62+2,FALSE)="C","C",IF(HLOOKUP(L$15,Data_5!$F$10:$BG$42,$A62+2,FALSE)="NO","NO",HLOOKUP(L$15,Data_5!$F$10:$BG$42,$A62+2,FALSE)/Data_5!$BH57))))),"")</f>
        <v/>
      </c>
      <c r="M62" s="1122" t="str">
        <f>IFERROR(IF(HLOOKUP(M$15,Data_5!$F$10:$BG$42,$A62+2,FALSE)="NO","NO",IF(HLOOKUP(M$15,Data_5!$F$10:$BG$42,$A62+2,FALSE)="IE","IE",IF(HLOOKUP(M$15,Data_5!$F$10:$BG$42,$A62+2,FALSE)="NE","NE",IF(HLOOKUP(M$15,Data_5!$F$10:$BG$42,$A62+2,FALSE)="C","C",IF(HLOOKUP(M$15,Data_5!$F$10:$BG$42,$A62+2,FALSE)="NO","NO",HLOOKUP(M$15,Data_5!$F$10:$BG$42,$A62+2,FALSE)/Data_5!$BH57))))),"")</f>
        <v/>
      </c>
      <c r="N62" s="1122" t="str">
        <f>IFERROR(IF(HLOOKUP(N$15,Data_5!$F$10:$BG$42,$A62+2,FALSE)="NO","NO",IF(HLOOKUP(N$15,Data_5!$F$10:$BG$42,$A62+2,FALSE)="IE","IE",IF(HLOOKUP(N$15,Data_5!$F$10:$BG$42,$A62+2,FALSE)="NE","NE",IF(HLOOKUP(N$15,Data_5!$F$10:$BG$42,$A62+2,FALSE)="C","C",IF(HLOOKUP(N$15,Data_5!$F$10:$BG$42,$A62+2,FALSE)="NO","NO",HLOOKUP(N$15,Data_5!$F$10:$BG$42,$A62+2,FALSE)/Data_5!$BH57))))),"")</f>
        <v/>
      </c>
      <c r="O62" s="1122" t="str">
        <f>IFERROR(IF(HLOOKUP(O$15,Data_5!$F$10:$BG$42,$A62+2,FALSE)="NO","NO",IF(HLOOKUP(O$15,Data_5!$F$10:$BG$42,$A62+2,FALSE)="IE","IE",IF(HLOOKUP(O$15,Data_5!$F$10:$BG$42,$A62+2,FALSE)="NE","NE",IF(HLOOKUP(O$15,Data_5!$F$10:$BG$42,$A62+2,FALSE)="C","C",IF(HLOOKUP(O$15,Data_5!$F$10:$BG$42,$A62+2,FALSE)="NO","NO",HLOOKUP(O$15,Data_5!$F$10:$BG$42,$A62+2,FALSE)/Data_5!$BH57))))),"")</f>
        <v/>
      </c>
      <c r="P62" s="1122" t="str">
        <f>IFERROR(IF(HLOOKUP(P$15,Data_5!$F$10:$BG$42,$A62+2,FALSE)="NO","NO",IF(HLOOKUP(P$15,Data_5!$F$10:$BG$42,$A62+2,FALSE)="IE","IE",IF(HLOOKUP(P$15,Data_5!$F$10:$BG$42,$A62+2,FALSE)="NE","NE",IF(HLOOKUP(P$15,Data_5!$F$10:$BG$42,$A62+2,FALSE)="C","C",IF(HLOOKUP(P$15,Data_5!$F$10:$BG$42,$A62+2,FALSE)="NO","NO",HLOOKUP(P$15,Data_5!$F$10:$BG$42,$A62+2,FALSE)/Data_5!$BH57))))),"")</f>
        <v/>
      </c>
      <c r="Q62" s="1122" t="str">
        <f>IFERROR(IF(HLOOKUP(Q$15,Data_5!$F$10:$BG$42,$A62+2,FALSE)="NO","NO",IF(HLOOKUP(Q$15,Data_5!$F$10:$BG$42,$A62+2,FALSE)="IE","IE",IF(HLOOKUP(Q$15,Data_5!$F$10:$BG$42,$A62+2,FALSE)="NE","NE",IF(HLOOKUP(Q$15,Data_5!$F$10:$BG$42,$A62+2,FALSE)="C","C",IF(HLOOKUP(Q$15,Data_5!$F$10:$BG$42,$A62+2,FALSE)="NO","NO",HLOOKUP(Q$15,Data_5!$F$10:$BG$42,$A62+2,FALSE)/Data_5!$BH57))))),"")</f>
        <v/>
      </c>
      <c r="R62" s="1122" t="str">
        <f>IFERROR(IF(HLOOKUP(R$15,Data_5!$F$10:$BG$42,$A62+2,FALSE)="NO","NO",IF(HLOOKUP(R$15,Data_5!$F$10:$BG$42,$A62+2,FALSE)="IE","IE",IF(HLOOKUP(R$15,Data_5!$F$10:$BG$42,$A62+2,FALSE)="NE","NE",IF(HLOOKUP(R$15,Data_5!$F$10:$BG$42,$A62+2,FALSE)="C","C",IF(HLOOKUP(R$15,Data_5!$F$10:$BG$42,$A62+2,FALSE)="NO","NO",HLOOKUP(R$15,Data_5!$F$10:$BG$42,$A62+2,FALSE)/Data_5!$BH57))))),"")</f>
        <v/>
      </c>
      <c r="S62" s="1122" t="str">
        <f>IFERROR(IF(HLOOKUP(S$15,Data_5!$F$10:$BG$42,$A62+2,FALSE)="NO","NO",IF(HLOOKUP(S$15,Data_5!$F$10:$BG$42,$A62+2,FALSE)="IE","IE",IF(HLOOKUP(S$15,Data_5!$F$10:$BG$42,$A62+2,FALSE)="NE","NE",IF(HLOOKUP(S$15,Data_5!$F$10:$BG$42,$A62+2,FALSE)="C","C",IF(HLOOKUP(S$15,Data_5!$F$10:$BG$42,$A62+2,FALSE)="NO","NO",HLOOKUP(S$15,Data_5!$F$10:$BG$42,$A62+2,FALSE)/Data_5!$BH57))))),"")</f>
        <v/>
      </c>
      <c r="T62" s="1122" t="str">
        <f>IFERROR(IF(HLOOKUP(T$15,Data_5!$F$10:$BG$42,$A62+2,FALSE)="NO","NO",IF(HLOOKUP(T$15,Data_5!$F$10:$BG$42,$A62+2,FALSE)="IE","IE",IF(HLOOKUP(T$15,Data_5!$F$10:$BG$42,$A62+2,FALSE)="NE","NE",IF(HLOOKUP(T$15,Data_5!$F$10:$BG$42,$A62+2,FALSE)="C","C",IF(HLOOKUP(T$15,Data_5!$F$10:$BG$42,$A62+2,FALSE)="NO","NO",HLOOKUP(T$15,Data_5!$F$10:$BG$42,$A62+2,FALSE)/Data_5!$BH57))))),"")</f>
        <v/>
      </c>
      <c r="U62" s="1122" t="str">
        <f>IFERROR(IF(HLOOKUP(U$15,Data_5!$F$10:$BG$42,$A62+2,FALSE)="NO","NO",IF(HLOOKUP(U$15,Data_5!$F$10:$BG$42,$A62+2,FALSE)="IE","IE",IF(HLOOKUP(U$15,Data_5!$F$10:$BG$42,$A62+2,FALSE)="NE","NE",IF(HLOOKUP(U$15,Data_5!$F$10:$BG$42,$A62+2,FALSE)="C","C",IF(HLOOKUP(U$15,Data_5!$F$10:$BG$42,$A62+2,FALSE)="NO","NO",HLOOKUP(U$15,Data_5!$F$10:$BG$42,$A62+2,FALSE)/Data_5!$BH57))))),"")</f>
        <v/>
      </c>
      <c r="V62" s="1122" t="str">
        <f>IFERROR(IF(HLOOKUP(V$15,Data_5!$F$10:$BG$42,$A62+2,FALSE)="NO","NO",IF(HLOOKUP(V$15,Data_5!$F$10:$BG$42,$A62+2,FALSE)="IE","IE",IF(HLOOKUP(V$15,Data_5!$F$10:$BG$42,$A62+2,FALSE)="NE","NE",IF(HLOOKUP(V$15,Data_5!$F$10:$BG$42,$A62+2,FALSE)="C","C",IF(HLOOKUP(V$15,Data_5!$F$10:$BG$42,$A62+2,FALSE)="NO","NO",HLOOKUP(V$15,Data_5!$F$10:$BG$42,$A62+2,FALSE)/Data_5!$BH57))))),"")</f>
        <v/>
      </c>
      <c r="W62" s="1122" t="str">
        <f>IFERROR(IF(HLOOKUP(W$15,Data_5!$F$10:$BG$42,$A62+2,FALSE)="NO","NO",IF(HLOOKUP(W$15,Data_5!$F$10:$BG$42,$A62+2,FALSE)="IE","IE",IF(HLOOKUP(W$15,Data_5!$F$10:$BG$42,$A62+2,FALSE)="NE","NE",IF(HLOOKUP(W$15,Data_5!$F$10:$BG$42,$A62+2,FALSE)="C","C",IF(HLOOKUP(W$15,Data_5!$F$10:$BG$42,$A62+2,FALSE)="NO","NO",HLOOKUP(W$15,Data_5!$F$10:$BG$42,$A62+2,FALSE)/Data_5!$BH57))))),"")</f>
        <v/>
      </c>
      <c r="X62" s="1122" t="str">
        <f>IFERROR(IF(HLOOKUP(X$15,Data_5!$F$10:$BG$42,$A62+2,FALSE)="NO","NO",IF(HLOOKUP(X$15,Data_5!$F$10:$BG$42,$A62+2,FALSE)="IE","IE",IF(HLOOKUP(X$15,Data_5!$F$10:$BG$42,$A62+2,FALSE)="NE","NE",IF(HLOOKUP(X$15,Data_5!$F$10:$BG$42,$A62+2,FALSE)="C","C",IF(HLOOKUP(X$15,Data_5!$F$10:$BG$42,$A62+2,FALSE)="NO","NO",HLOOKUP(X$15,Data_5!$F$10:$BG$42,$A62+2,FALSE)/Data_5!$BH57))))),"")</f>
        <v/>
      </c>
      <c r="Y62" s="1122" t="str">
        <f>IFERROR(IF(HLOOKUP(Y$15,Data_5!$F$10:$BG$42,$A62+2,FALSE)="NO","NO",IF(HLOOKUP(Y$15,Data_5!$F$10:$BG$42,$A62+2,FALSE)="IE","IE",IF(HLOOKUP(Y$15,Data_5!$F$10:$BG$42,$A62+2,FALSE)="NE","NE",IF(HLOOKUP(Y$15,Data_5!$F$10:$BG$42,$A62+2,FALSE)="C","C",IF(HLOOKUP(Y$15,Data_5!$F$10:$BG$42,$A62+2,FALSE)="NO","NO",HLOOKUP(Y$15,Data_5!$F$10:$BG$42,$A62+2,FALSE)/Data_5!$BH57))))),"")</f>
        <v/>
      </c>
      <c r="Z62" s="1122" t="str">
        <f>IFERROR(IF(HLOOKUP(Z$15,Data_5!$F$10:$BG$42,$A62+2,FALSE)="NO","NO",IF(HLOOKUP(Z$15,Data_5!$F$10:$BG$42,$A62+2,FALSE)="IE","IE",IF(HLOOKUP(Z$15,Data_5!$F$10:$BG$42,$A62+2,FALSE)="NE","NE",IF(HLOOKUP(Z$15,Data_5!$F$10:$BG$42,$A62+2,FALSE)="C","C",IF(HLOOKUP(Z$15,Data_5!$F$10:$BG$42,$A62+2,FALSE)="NO","NO",HLOOKUP(Z$15,Data_5!$F$10:$BG$42,$A62+2,FALSE)/Data_5!$BH57))))),"")</f>
        <v/>
      </c>
      <c r="AA62" s="1122" t="str">
        <f>IFERROR(IF(HLOOKUP(AA$15,Data_5!$F$10:$BG$42,$A62+2,FALSE)="NO","NO",IF(HLOOKUP(AA$15,Data_5!$F$10:$BG$42,$A62+2,FALSE)="IE","IE",IF(HLOOKUP(AA$15,Data_5!$F$10:$BG$42,$A62+2,FALSE)="NE","NE",IF(HLOOKUP(AA$15,Data_5!$F$10:$BG$42,$A62+2,FALSE)="C","C",IF(HLOOKUP(AA$15,Data_5!$F$10:$BG$42,$A62+2,FALSE)="NO","NO",HLOOKUP(AA$15,Data_5!$F$10:$BG$42,$A62+2,FALSE)/Data_5!$BH57))))),"")</f>
        <v/>
      </c>
      <c r="AB62" s="1122" t="str">
        <f>IFERROR(IF(HLOOKUP(AB$15,Data_5!$F$10:$BG$42,$A62+2,FALSE)="NO","NO",IF(HLOOKUP(AB$15,Data_5!$F$10:$BG$42,$A62+2,FALSE)="IE","IE",IF(HLOOKUP(AB$15,Data_5!$F$10:$BG$42,$A62+2,FALSE)="NE","NE",IF(HLOOKUP(AB$15,Data_5!$F$10:$BG$42,$A62+2,FALSE)="C","C",IF(HLOOKUP(AB$15,Data_5!$F$10:$BG$42,$A62+2,FALSE)="NO","NO",HLOOKUP(AB$15,Data_5!$F$10:$BG$42,$A62+2,FALSE)/Data_5!$BH57))))),"")</f>
        <v/>
      </c>
      <c r="AC62" s="1122" t="str">
        <f>IFERROR(IF(HLOOKUP(AC$15,Data_5!$F$10:$BG$42,$A62+2,FALSE)="NO","NO",IF(HLOOKUP(AC$15,Data_5!$F$10:$BG$42,$A62+2,FALSE)="IE","IE",IF(HLOOKUP(AC$15,Data_5!$F$10:$BG$42,$A62+2,FALSE)="NE","NE",IF(HLOOKUP(AC$15,Data_5!$F$10:$BG$42,$A62+2,FALSE)="C","C",IF(HLOOKUP(AC$15,Data_5!$F$10:$BG$42,$A62+2,FALSE)="NO","NO",HLOOKUP(AC$15,Data_5!$F$10:$BG$42,$A62+2,FALSE)/Data_5!$BH57))))),"")</f>
        <v/>
      </c>
      <c r="AD62" s="1122" t="str">
        <f>IFERROR(IF(HLOOKUP(AD$15,Data_5!$F$10:$BG$42,$A62+2,FALSE)="NO","NO",IF(HLOOKUP(AD$15,Data_5!$F$10:$BG$42,$A62+2,FALSE)="IE","IE",IF(HLOOKUP(AD$15,Data_5!$F$10:$BG$42,$A62+2,FALSE)="NE","NE",IF(HLOOKUP(AD$15,Data_5!$F$10:$BG$42,$A62+2,FALSE)="C","C",IF(HLOOKUP(AD$15,Data_5!$F$10:$BG$42,$A62+2,FALSE)="NO","NO",HLOOKUP(AD$15,Data_5!$F$10:$BG$42,$A62+2,FALSE)/Data_5!$BH57))))),"")</f>
        <v/>
      </c>
      <c r="AE62" s="1122" t="str">
        <f>IFERROR(IF(HLOOKUP(AE$15,Data_5!$F$10:$BG$42,$A62+2,FALSE)="NO","NO",IF(HLOOKUP(AE$15,Data_5!$F$10:$BG$42,$A62+2,FALSE)="IE","IE",IF(HLOOKUP(AE$15,Data_5!$F$10:$BG$42,$A62+2,FALSE)="NE","NE",IF(HLOOKUP(AE$15,Data_5!$F$10:$BG$42,$A62+2,FALSE)="C","C",IF(HLOOKUP(AE$15,Data_5!$F$10:$BG$42,$A62+2,FALSE)="NO","NO",HLOOKUP(AE$15,Data_5!$F$10:$BG$42,$A62+2,FALSE)/Data_5!$BH57))))),"")</f>
        <v/>
      </c>
      <c r="AF62" s="1122" t="str">
        <f>IFERROR(IF(HLOOKUP(AF$15,Data_5!$F$10:$BG$42,$A62+2,FALSE)="NO","NO",IF(HLOOKUP(AF$15,Data_5!$F$10:$BG$42,$A62+2,FALSE)="IE","IE",IF(HLOOKUP(AF$15,Data_5!$F$10:$BG$42,$A62+2,FALSE)="NE","NE",IF(HLOOKUP(AF$15,Data_5!$F$10:$BG$42,$A62+2,FALSE)="C","C",IF(HLOOKUP(AF$15,Data_5!$F$10:$BG$42,$A62+2,FALSE)="NO","NO",HLOOKUP(AF$15,Data_5!$F$10:$BG$42,$A62+2,FALSE)/Data_5!$BH57))))),"")</f>
        <v/>
      </c>
      <c r="AG62" s="1122" t="str">
        <f>IFERROR(IF(HLOOKUP(AG$15,Data_5!$F$10:$BG$42,$A62+2,FALSE)="NO","NO",IF(HLOOKUP(AG$15,Data_5!$F$10:$BG$42,$A62+2,FALSE)="IE","IE",IF(HLOOKUP(AG$15,Data_5!$F$10:$BG$42,$A62+2,FALSE)="NE","NE",IF(HLOOKUP(AG$15,Data_5!$F$10:$BG$42,$A62+2,FALSE)="C","C",IF(HLOOKUP(AG$15,Data_5!$F$10:$BG$42,$A62+2,FALSE)="NO","NO",HLOOKUP(AG$15,Data_5!$F$10:$BG$42,$A62+2,FALSE)/Data_5!$BH57))))),"")</f>
        <v/>
      </c>
      <c r="AH62" s="1122" t="str">
        <f>IFERROR(IF(HLOOKUP(AH$15,Data_5!$F$10:$BG$42,$A62+2,FALSE)="NO","NO",IF(HLOOKUP(AH$15,Data_5!$F$10:$BG$42,$A62+2,FALSE)="IE","IE",IF(HLOOKUP(AH$15,Data_5!$F$10:$BG$42,$A62+2,FALSE)="NE","NE",IF(HLOOKUP(AH$15,Data_5!$F$10:$BG$42,$A62+2,FALSE)="C","C",IF(HLOOKUP(AH$15,Data_5!$F$10:$BG$42,$A62+2,FALSE)="NO","NO",HLOOKUP(AH$15,Data_5!$F$10:$BG$42,$A62+2,FALSE)/Data_5!$BH57))))),"")</f>
        <v/>
      </c>
      <c r="AI62" s="1122" t="str">
        <f>IFERROR(IF(HLOOKUP(AI$15,Data_5!$F$10:$BG$42,$A62+2,FALSE)="NO","NO",IF(HLOOKUP(AI$15,Data_5!$F$10:$BG$42,$A62+2,FALSE)="IE","IE",IF(HLOOKUP(AI$15,Data_5!$F$10:$BG$42,$A62+2,FALSE)="NE","NE",IF(HLOOKUP(AI$15,Data_5!$F$10:$BG$42,$A62+2,FALSE)="C","C",IF(HLOOKUP(AI$15,Data_5!$F$10:$BG$42,$A62+2,FALSE)="NO","NO",HLOOKUP(AI$15,Data_5!$F$10:$BG$42,$A62+2,FALSE)/Data_5!$BH57))))),"")</f>
        <v/>
      </c>
      <c r="AJ62" s="1122" t="str">
        <f>IFERROR(IF(HLOOKUP(AJ$15,Data_5!$F$10:$BG$42,$A62+2,FALSE)="NO","NO",IF(HLOOKUP(AJ$15,Data_5!$F$10:$BG$42,$A62+2,FALSE)="IE","IE",IF(HLOOKUP(AJ$15,Data_5!$F$10:$BG$42,$A62+2,FALSE)="NE","NE",IF(HLOOKUP(AJ$15,Data_5!$F$10:$BG$42,$A62+2,FALSE)="C","C",IF(HLOOKUP(AJ$15,Data_5!$F$10:$BG$42,$A62+2,FALSE)="NO","NO",HLOOKUP(AJ$15,Data_5!$F$10:$BG$42,$A62+2,FALSE)/Data_5!$BH57))))),"")</f>
        <v/>
      </c>
      <c r="AL62" s="2628" t="str">
        <f t="shared" ca="1" si="0"/>
        <v/>
      </c>
      <c r="AM62" s="2629"/>
      <c r="AN62" s="1100" t="str">
        <f t="shared" ca="1" si="1"/>
        <v/>
      </c>
      <c r="AO62" s="1122" t="str">
        <f>IFERROR(IF(HLOOKUP(AO$15,Data_5!$F$10:$BG$42,$A62+2,FALSE)="NO","NO",IF(HLOOKUP(AO$15,Data_5!$F$10:$BG$42,$A62+2,FALSE)="IE","IE",IF(HLOOKUP(AO$15,Data_5!$F$10:$BG$42,$A62+2,FALSE)="NE","NE",IF(HLOOKUP(AO$15,Data_5!$F$10:$BG$42,$A62+2,FALSE)="C","C",IF(HLOOKUP(AO$15,Data_5!$F$10:$BG$42,$A62+2,FALSE)="NO","NO",HLOOKUP(AO$15,Data_5!$F$10:$BG$42,$A62+2,FALSE)/Data_5!$BI57))))),"")</f>
        <v/>
      </c>
      <c r="AP62" s="1122" t="str">
        <f>IFERROR(IF(HLOOKUP(AP$15,Data_5!$F$10:$BG$42,$A62+2,FALSE)="NO","NO",IF(HLOOKUP(AP$15,Data_5!$F$10:$BG$42,$A62+2,FALSE)="IE","IE",IF(HLOOKUP(AP$15,Data_5!$F$10:$BG$42,$A62+2,FALSE)="NE","NE",IF(HLOOKUP(AP$15,Data_5!$F$10:$BG$42,$A62+2,FALSE)="C","C",IF(HLOOKUP(AP$15,Data_5!$F$10:$BG$42,$A62+2,FALSE)="NO","NO",HLOOKUP(AP$15,Data_5!$F$10:$BG$42,$A62+2,FALSE)/Data_5!$BI57))))),"")</f>
        <v/>
      </c>
      <c r="AQ62" s="1122" t="str">
        <f>IFERROR(IF(HLOOKUP(AQ$15,Data_5!$F$10:$BG$42,$A62+2,FALSE)="NO","NO",IF(HLOOKUP(AQ$15,Data_5!$F$10:$BG$42,$A62+2,FALSE)="IE","IE",IF(HLOOKUP(AQ$15,Data_5!$F$10:$BG$42,$A62+2,FALSE)="NE","NE",IF(HLOOKUP(AQ$15,Data_5!$F$10:$BG$42,$A62+2,FALSE)="C","C",IF(HLOOKUP(AQ$15,Data_5!$F$10:$BG$42,$A62+2,FALSE)="NO","NO",HLOOKUP(AQ$15,Data_5!$F$10:$BG$42,$A62+2,FALSE)/Data_5!$BI57))))),"")</f>
        <v/>
      </c>
      <c r="AR62" s="1122" t="str">
        <f>IFERROR(IF(HLOOKUP(AR$15,Data_5!$F$10:$BG$42,$A62+2,FALSE)="NO","NO",IF(HLOOKUP(AR$15,Data_5!$F$10:$BG$42,$A62+2,FALSE)="IE","IE",IF(HLOOKUP(AR$15,Data_5!$F$10:$BG$42,$A62+2,FALSE)="NE","NE",IF(HLOOKUP(AR$15,Data_5!$F$10:$BG$42,$A62+2,FALSE)="C","C",IF(HLOOKUP(AR$15,Data_5!$F$10:$BG$42,$A62+2,FALSE)="NO","NO",HLOOKUP(AR$15,Data_5!$F$10:$BG$42,$A62+2,FALSE)/Data_5!$BI57))))),"")</f>
        <v/>
      </c>
      <c r="AS62" s="1122" t="str">
        <f>IFERROR(IF(HLOOKUP(AS$15,Data_5!$F$10:$BG$42,$A62+2,FALSE)="NO","NO",IF(HLOOKUP(AS$15,Data_5!$F$10:$BG$42,$A62+2,FALSE)="IE","IE",IF(HLOOKUP(AS$15,Data_5!$F$10:$BG$42,$A62+2,FALSE)="NE","NE",IF(HLOOKUP(AS$15,Data_5!$F$10:$BG$42,$A62+2,FALSE)="C","C",IF(HLOOKUP(AS$15,Data_5!$F$10:$BG$42,$A62+2,FALSE)="NO","NO",HLOOKUP(AS$15,Data_5!$F$10:$BG$42,$A62+2,FALSE)/Data_5!$BI57))))),"")</f>
        <v/>
      </c>
      <c r="AT62" s="1122" t="str">
        <f>IFERROR(IF(HLOOKUP(AT$15,Data_5!$F$10:$BG$42,$A62+2,FALSE)="NO","NO",IF(HLOOKUP(AT$15,Data_5!$F$10:$BG$42,$A62+2,FALSE)="IE","IE",IF(HLOOKUP(AT$15,Data_5!$F$10:$BG$42,$A62+2,FALSE)="NE","NE",IF(HLOOKUP(AT$15,Data_5!$F$10:$BG$42,$A62+2,FALSE)="C","C",IF(HLOOKUP(AT$15,Data_5!$F$10:$BG$42,$A62+2,FALSE)="NO","NO",HLOOKUP(AT$15,Data_5!$F$10:$BG$42,$A62+2,FALSE)/Data_5!$BI57))))),"")</f>
        <v/>
      </c>
      <c r="AU62" s="1122" t="str">
        <f>IFERROR(IF(HLOOKUP(AU$15,Data_5!$F$10:$BG$42,$A62+2,FALSE)="NO","NO",IF(HLOOKUP(AU$15,Data_5!$F$10:$BG$42,$A62+2,FALSE)="IE","IE",IF(HLOOKUP(AU$15,Data_5!$F$10:$BG$42,$A62+2,FALSE)="NE","NE",IF(HLOOKUP(AU$15,Data_5!$F$10:$BG$42,$A62+2,FALSE)="C","C",IF(HLOOKUP(AU$15,Data_5!$F$10:$BG$42,$A62+2,FALSE)="NO","NO",HLOOKUP(AU$15,Data_5!$F$10:$BG$42,$A62+2,FALSE)/Data_5!$BI57))))),"")</f>
        <v/>
      </c>
      <c r="AV62" s="1122" t="str">
        <f>IFERROR(IF(HLOOKUP(AV$15,Data_5!$F$10:$BG$42,$A62+2,FALSE)="NO","NO",IF(HLOOKUP(AV$15,Data_5!$F$10:$BG$42,$A62+2,FALSE)="IE","IE",IF(HLOOKUP(AV$15,Data_5!$F$10:$BG$42,$A62+2,FALSE)="NE","NE",IF(HLOOKUP(AV$15,Data_5!$F$10:$BG$42,$A62+2,FALSE)="C","C",IF(HLOOKUP(AV$15,Data_5!$F$10:$BG$42,$A62+2,FALSE)="NO","NO",HLOOKUP(AV$15,Data_5!$F$10:$BG$42,$A62+2,FALSE)/Data_5!$BI57))))),"")</f>
        <v/>
      </c>
      <c r="AW62" s="1122" t="str">
        <f>IFERROR(IF(HLOOKUP(AW$15,Data_5!$F$10:$BG$42,$A62+2,FALSE)="NO","NO",IF(HLOOKUP(AW$15,Data_5!$F$10:$BG$42,$A62+2,FALSE)="IE","IE",IF(HLOOKUP(AW$15,Data_5!$F$10:$BG$42,$A62+2,FALSE)="NE","NE",IF(HLOOKUP(AW$15,Data_5!$F$10:$BG$42,$A62+2,FALSE)="C","C",IF(HLOOKUP(AW$15,Data_5!$F$10:$BG$42,$A62+2,FALSE)="NO","NO",HLOOKUP(AW$15,Data_5!$F$10:$BG$42,$A62+2,FALSE)/Data_5!$BI57))))),"")</f>
        <v/>
      </c>
      <c r="AX62" s="1122" t="str">
        <f>IFERROR(IF(HLOOKUP(AX$15,Data_5!$F$10:$BG$42,$A62+2,FALSE)="NO","NO",IF(HLOOKUP(AX$15,Data_5!$F$10:$BG$42,$A62+2,FALSE)="IE","IE",IF(HLOOKUP(AX$15,Data_5!$F$10:$BG$42,$A62+2,FALSE)="NE","NE",IF(HLOOKUP(AX$15,Data_5!$F$10:$BG$42,$A62+2,FALSE)="C","C",IF(HLOOKUP(AX$15,Data_5!$F$10:$BG$42,$A62+2,FALSE)="NO","NO",HLOOKUP(AX$15,Data_5!$F$10:$BG$42,$A62+2,FALSE)/Data_5!$BI57))))),"")</f>
        <v/>
      </c>
      <c r="AY62" s="1122" t="str">
        <f>IFERROR(IF(HLOOKUP(AY$15,Data_5!$F$10:$BG$42,$A62+2,FALSE)="NO","NO",IF(HLOOKUP(AY$15,Data_5!$F$10:$BG$42,$A62+2,FALSE)="IE","IE",IF(HLOOKUP(AY$15,Data_5!$F$10:$BG$42,$A62+2,FALSE)="NE","NE",IF(HLOOKUP(AY$15,Data_5!$F$10:$BG$42,$A62+2,FALSE)="C","C",IF(HLOOKUP(AY$15,Data_5!$F$10:$BG$42,$A62+2,FALSE)="NO","NO",HLOOKUP(AY$15,Data_5!$F$10:$BG$42,$A62+2,FALSE)/Data_5!$BI57))))),"")</f>
        <v/>
      </c>
      <c r="AZ62" s="1122" t="str">
        <f>IFERROR(IF(HLOOKUP(AZ$15,Data_5!$F$10:$BG$42,$A62+2,FALSE)="NO","NO",IF(HLOOKUP(AZ$15,Data_5!$F$10:$BG$42,$A62+2,FALSE)="IE","IE",IF(HLOOKUP(AZ$15,Data_5!$F$10:$BG$42,$A62+2,FALSE)="NE","NE",IF(HLOOKUP(AZ$15,Data_5!$F$10:$BG$42,$A62+2,FALSE)="C","C",IF(HLOOKUP(AZ$15,Data_5!$F$10:$BG$42,$A62+2,FALSE)="NO","NO",HLOOKUP(AZ$15,Data_5!$F$10:$BG$42,$A62+2,FALSE)/Data_5!$BI57))))),"")</f>
        <v/>
      </c>
      <c r="BA62" s="1122" t="str">
        <f>IFERROR(IF(HLOOKUP(BA$15,Data_5!$F$10:$BG$42,$A62+2,FALSE)="NO","NO",IF(HLOOKUP(BA$15,Data_5!$F$10:$BG$42,$A62+2,FALSE)="IE","IE",IF(HLOOKUP(BA$15,Data_5!$F$10:$BG$42,$A62+2,FALSE)="NE","NE",IF(HLOOKUP(BA$15,Data_5!$F$10:$BG$42,$A62+2,FALSE)="C","C",IF(HLOOKUP(BA$15,Data_5!$F$10:$BG$42,$A62+2,FALSE)="NO","NO",HLOOKUP(BA$15,Data_5!$F$10:$BG$42,$A62+2,FALSE)/Data_5!$BI57))))),"")</f>
        <v/>
      </c>
      <c r="BB62" s="1122" t="str">
        <f>IFERROR(IF(HLOOKUP(BB$15,Data_5!$F$10:$BG$42,$A62+2,FALSE)="NO","NO",IF(HLOOKUP(BB$15,Data_5!$F$10:$BG$42,$A62+2,FALSE)="IE","IE",IF(HLOOKUP(BB$15,Data_5!$F$10:$BG$42,$A62+2,FALSE)="NE","NE",IF(HLOOKUP(BB$15,Data_5!$F$10:$BG$42,$A62+2,FALSE)="C","C",IF(HLOOKUP(BB$15,Data_5!$F$10:$BG$42,$A62+2,FALSE)="NO","NO",HLOOKUP(BB$15,Data_5!$F$10:$BG$42,$A62+2,FALSE)/Data_5!$BI57))))),"")</f>
        <v/>
      </c>
      <c r="BC62" s="1122" t="str">
        <f>IFERROR(IF(HLOOKUP(BC$15,Data_5!$F$10:$BG$42,$A62+2,FALSE)="NO","NO",IF(HLOOKUP(BC$15,Data_5!$F$10:$BG$42,$A62+2,FALSE)="IE","IE",IF(HLOOKUP(BC$15,Data_5!$F$10:$BG$42,$A62+2,FALSE)="NE","NE",IF(HLOOKUP(BC$15,Data_5!$F$10:$BG$42,$A62+2,FALSE)="C","C",IF(HLOOKUP(BC$15,Data_5!$F$10:$BG$42,$A62+2,FALSE)="NO","NO",HLOOKUP(BC$15,Data_5!$F$10:$BG$42,$A62+2,FALSE)/Data_5!$BI57))))),"")</f>
        <v/>
      </c>
      <c r="BD62" s="1122" t="str">
        <f>IFERROR(IF(HLOOKUP(BD$15,Data_5!$F$10:$BG$42,$A62+2,FALSE)="NO","NO",IF(HLOOKUP(BD$15,Data_5!$F$10:$BG$42,$A62+2,FALSE)="IE","IE",IF(HLOOKUP(BD$15,Data_5!$F$10:$BG$42,$A62+2,FALSE)="NE","NE",IF(HLOOKUP(BD$15,Data_5!$F$10:$BG$42,$A62+2,FALSE)="C","C",IF(HLOOKUP(BD$15,Data_5!$F$10:$BG$42,$A62+2,FALSE)="NO","NO",HLOOKUP(BD$15,Data_5!$F$10:$BG$42,$A62+2,FALSE)/Data_5!$BI57))))),"")</f>
        <v/>
      </c>
      <c r="BE62" s="1122" t="str">
        <f>IFERROR(IF(HLOOKUP(BE$15,Data_5!$F$10:$BG$42,$A62+2,FALSE)="NO","NO",IF(HLOOKUP(BE$15,Data_5!$F$10:$BG$42,$A62+2,FALSE)="IE","IE",IF(HLOOKUP(BE$15,Data_5!$F$10:$BG$42,$A62+2,FALSE)="NE","NE",IF(HLOOKUP(BE$15,Data_5!$F$10:$BG$42,$A62+2,FALSE)="C","C",IF(HLOOKUP(BE$15,Data_5!$F$10:$BG$42,$A62+2,FALSE)="NO","NO",HLOOKUP(BE$15,Data_5!$F$10:$BG$42,$A62+2,FALSE)/Data_5!$BI57))))),"")</f>
        <v/>
      </c>
      <c r="BF62" s="1122" t="str">
        <f>IFERROR(IF(HLOOKUP(BF$15,Data_5!$F$10:$BG$42,$A62+2,FALSE)="NO","NO",IF(HLOOKUP(BF$15,Data_5!$F$10:$BG$42,$A62+2,FALSE)="IE","IE",IF(HLOOKUP(BF$15,Data_5!$F$10:$BG$42,$A62+2,FALSE)="NE","NE",IF(HLOOKUP(BF$15,Data_5!$F$10:$BG$42,$A62+2,FALSE)="C","C",IF(HLOOKUP(BF$15,Data_5!$F$10:$BG$42,$A62+2,FALSE)="NO","NO",HLOOKUP(BF$15,Data_5!$F$10:$BG$42,$A62+2,FALSE)/Data_5!$BI57))))),"")</f>
        <v/>
      </c>
      <c r="BG62" s="1122" t="str">
        <f>IFERROR(IF(HLOOKUP(BG$15,Data_5!$F$10:$BG$42,$A62+2,FALSE)="NO","NO",IF(HLOOKUP(BG$15,Data_5!$F$10:$BG$42,$A62+2,FALSE)="IE","IE",IF(HLOOKUP(BG$15,Data_5!$F$10:$BG$42,$A62+2,FALSE)="NE","NE",IF(HLOOKUP(BG$15,Data_5!$F$10:$BG$42,$A62+2,FALSE)="C","C",IF(HLOOKUP(BG$15,Data_5!$F$10:$BG$42,$A62+2,FALSE)="NO","NO",HLOOKUP(BG$15,Data_5!$F$10:$BG$42,$A62+2,FALSE)/Data_5!$BI57))))),"")</f>
        <v/>
      </c>
      <c r="BH62" s="1122" t="str">
        <f>IFERROR(IF(HLOOKUP(BH$15,Data_5!$F$10:$BG$42,$A62+2,FALSE)="NO","NO",IF(HLOOKUP(BH$15,Data_5!$F$10:$BG$42,$A62+2,FALSE)="IE","IE",IF(HLOOKUP(BH$15,Data_5!$F$10:$BG$42,$A62+2,FALSE)="NE","NE",IF(HLOOKUP(BH$15,Data_5!$F$10:$BG$42,$A62+2,FALSE)="C","C",IF(HLOOKUP(BH$15,Data_5!$F$10:$BG$42,$A62+2,FALSE)="NO","NO",HLOOKUP(BH$15,Data_5!$F$10:$BG$42,$A62+2,FALSE)/Data_5!$BI57))))),"")</f>
        <v/>
      </c>
      <c r="BI62" s="1122" t="str">
        <f>IFERROR(IF(HLOOKUP(BI$15,Data_5!$F$10:$BG$42,$A62+2,FALSE)="NO","NO",IF(HLOOKUP(BI$15,Data_5!$F$10:$BG$42,$A62+2,FALSE)="IE","IE",IF(HLOOKUP(BI$15,Data_5!$F$10:$BG$42,$A62+2,FALSE)="NE","NE",IF(HLOOKUP(BI$15,Data_5!$F$10:$BG$42,$A62+2,FALSE)="C","C",IF(HLOOKUP(BI$15,Data_5!$F$10:$BG$42,$A62+2,FALSE)="NO","NO",HLOOKUP(BI$15,Data_5!$F$10:$BG$42,$A62+2,FALSE)/Data_5!$BI57))))),"")</f>
        <v/>
      </c>
      <c r="BJ62" s="1122" t="str">
        <f>IFERROR(IF(HLOOKUP(BJ$15,Data_5!$F$10:$BG$42,$A62+2,FALSE)="NO","NO",IF(HLOOKUP(BJ$15,Data_5!$F$10:$BG$42,$A62+2,FALSE)="IE","IE",IF(HLOOKUP(BJ$15,Data_5!$F$10:$BG$42,$A62+2,FALSE)="NE","NE",IF(HLOOKUP(BJ$15,Data_5!$F$10:$BG$42,$A62+2,FALSE)="C","C",IF(HLOOKUP(BJ$15,Data_5!$F$10:$BG$42,$A62+2,FALSE)="NO","NO",HLOOKUP(BJ$15,Data_5!$F$10:$BG$42,$A62+2,FALSE)/Data_5!$BI57))))),"")</f>
        <v/>
      </c>
      <c r="BK62" s="1122" t="str">
        <f>IFERROR(IF(HLOOKUP(BK$15,Data_5!$F$10:$BG$42,$A62+2,FALSE)="NO","NO",IF(HLOOKUP(BK$15,Data_5!$F$10:$BG$42,$A62+2,FALSE)="IE","IE",IF(HLOOKUP(BK$15,Data_5!$F$10:$BG$42,$A62+2,FALSE)="NE","NE",IF(HLOOKUP(BK$15,Data_5!$F$10:$BG$42,$A62+2,FALSE)="C","C",IF(HLOOKUP(BK$15,Data_5!$F$10:$BG$42,$A62+2,FALSE)="NO","NO",HLOOKUP(BK$15,Data_5!$F$10:$BG$42,$A62+2,FALSE)/Data_5!$BI57))))),"")</f>
        <v/>
      </c>
      <c r="BL62" s="1122" t="str">
        <f>IFERROR(IF(HLOOKUP(BL$15,Data_5!$F$10:$BG$42,$A62+2,FALSE)="NO","NO",IF(HLOOKUP(BL$15,Data_5!$F$10:$BG$42,$A62+2,FALSE)="IE","IE",IF(HLOOKUP(BL$15,Data_5!$F$10:$BG$42,$A62+2,FALSE)="NE","NE",IF(HLOOKUP(BL$15,Data_5!$F$10:$BG$42,$A62+2,FALSE)="C","C",IF(HLOOKUP(BL$15,Data_5!$F$10:$BG$42,$A62+2,FALSE)="NO","NO",HLOOKUP(BL$15,Data_5!$F$10:$BG$42,$A62+2,FALSE)/Data_5!$BI57))))),"")</f>
        <v/>
      </c>
      <c r="BM62" s="1122" t="str">
        <f>IFERROR(IF(HLOOKUP(BM$15,Data_5!$F$10:$BG$42,$A62+2,FALSE)="NO","NO",IF(HLOOKUP(BM$15,Data_5!$F$10:$BG$42,$A62+2,FALSE)="IE","IE",IF(HLOOKUP(BM$15,Data_5!$F$10:$BG$42,$A62+2,FALSE)="NE","NE",IF(HLOOKUP(BM$15,Data_5!$F$10:$BG$42,$A62+2,FALSE)="C","C",IF(HLOOKUP(BM$15,Data_5!$F$10:$BG$42,$A62+2,FALSE)="NO","NO",HLOOKUP(BM$15,Data_5!$F$10:$BG$42,$A62+2,FALSE)/Data_5!$BI57))))),"")</f>
        <v/>
      </c>
      <c r="BN62" s="1122" t="str">
        <f>IFERROR(IF(HLOOKUP(BN$15,Data_5!$F$10:$BG$42,$A62+2,FALSE)="NO","NO",IF(HLOOKUP(BN$15,Data_5!$F$10:$BG$42,$A62+2,FALSE)="IE","IE",IF(HLOOKUP(BN$15,Data_5!$F$10:$BG$42,$A62+2,FALSE)="NE","NE",IF(HLOOKUP(BN$15,Data_5!$F$10:$BG$42,$A62+2,FALSE)="C","C",IF(HLOOKUP(BN$15,Data_5!$F$10:$BG$42,$A62+2,FALSE)="NO","NO",HLOOKUP(BN$15,Data_5!$F$10:$BG$42,$A62+2,FALSE)/Data_5!$BI57))))),"")</f>
        <v/>
      </c>
      <c r="BO62" s="1122" t="str">
        <f>IFERROR(IF(HLOOKUP(BO$15,Data_5!$F$10:$BG$42,$A62+2,FALSE)="NO","NO",IF(HLOOKUP(BO$15,Data_5!$F$10:$BG$42,$A62+2,FALSE)="IE","IE",IF(HLOOKUP(BO$15,Data_5!$F$10:$BG$42,$A62+2,FALSE)="NE","NE",IF(HLOOKUP(BO$15,Data_5!$F$10:$BG$42,$A62+2,FALSE)="C","C",IF(HLOOKUP(BO$15,Data_5!$F$10:$BG$42,$A62+2,FALSE)="NO","NO",HLOOKUP(BO$15,Data_5!$F$10:$BG$42,$A62+2,FALSE)/Data_5!$BI57))))),"")</f>
        <v/>
      </c>
      <c r="BP62" s="1122" t="str">
        <f>IFERROR(IF(HLOOKUP(BP$15,Data_5!$F$10:$BG$42,$A62+2,FALSE)="NO","NO",IF(HLOOKUP(BP$15,Data_5!$F$10:$BG$42,$A62+2,FALSE)="IE","IE",IF(HLOOKUP(BP$15,Data_5!$F$10:$BG$42,$A62+2,FALSE)="NE","NE",IF(HLOOKUP(BP$15,Data_5!$F$10:$BG$42,$A62+2,FALSE)="C","C",IF(HLOOKUP(BP$15,Data_5!$F$10:$BG$42,$A62+2,FALSE)="NO","NO",HLOOKUP(BP$15,Data_5!$F$10:$BG$42,$A62+2,FALSE)/Data_5!$BI57))))),"")</f>
        <v/>
      </c>
      <c r="BQ62" s="1122" t="str">
        <f>IFERROR(IF(HLOOKUP(BQ$15,Data_5!$F$10:$BG$42,$A62+2,FALSE)="NO","NO",IF(HLOOKUP(BQ$15,Data_5!$F$10:$BG$42,$A62+2,FALSE)="IE","IE",IF(HLOOKUP(BQ$15,Data_5!$F$10:$BG$42,$A62+2,FALSE)="NE","NE",IF(HLOOKUP(BQ$15,Data_5!$F$10:$BG$42,$A62+2,FALSE)="C","C",IF(HLOOKUP(BQ$15,Data_5!$F$10:$BG$42,$A62+2,FALSE)="NO","NO",HLOOKUP(BQ$15,Data_5!$F$10:$BG$42,$A62+2,FALSE)/Data_5!$BI57))))),"")</f>
        <v/>
      </c>
      <c r="BR62" s="1122" t="str">
        <f>IFERROR(IF(HLOOKUP(BR$15,Data_5!$F$10:$BG$42,$A62+2,FALSE)="NO","NO",IF(HLOOKUP(BR$15,Data_5!$F$10:$BG$42,$A62+2,FALSE)="IE","IE",IF(HLOOKUP(BR$15,Data_5!$F$10:$BG$42,$A62+2,FALSE)="NE","NE",IF(HLOOKUP(BR$15,Data_5!$F$10:$BG$42,$A62+2,FALSE)="C","C",IF(HLOOKUP(BR$15,Data_5!$F$10:$BG$42,$A62+2,FALSE)="NO","NO",HLOOKUP(BR$15,Data_5!$F$10:$BG$42,$A62+2,FALSE)/Data_5!$BI57))))),"")</f>
        <v/>
      </c>
      <c r="BS62" s="1122" t="str">
        <f>IFERROR(IF(HLOOKUP(BS$15,Data_5!$F$10:$BG$42,$A62+2,FALSE)="NO","NO",IF(HLOOKUP(BS$15,Data_5!$F$10:$BG$42,$A62+2,FALSE)="IE","IE",IF(HLOOKUP(BS$15,Data_5!$F$10:$BG$42,$A62+2,FALSE)="NE","NE",IF(HLOOKUP(BS$15,Data_5!$F$10:$BG$42,$A62+2,FALSE)="C","C",IF(HLOOKUP(BS$15,Data_5!$F$10:$BG$42,$A62+2,FALSE)="NO","NO",HLOOKUP(BS$15,Data_5!$F$10:$BG$42,$A62+2,FALSE)/Data_5!$BI57))))),"")</f>
        <v/>
      </c>
      <c r="BT62" s="1122" t="str">
        <f>IFERROR(IF(HLOOKUP(BT$15,Data_5!$F$10:$BG$42,$A62+2,FALSE)="NO","NO",IF(HLOOKUP(BT$15,Data_5!$F$10:$BG$42,$A62+2,FALSE)="IE","IE",IF(HLOOKUP(BT$15,Data_5!$F$10:$BG$42,$A62+2,FALSE)="NE","NE",IF(HLOOKUP(BT$15,Data_5!$F$10:$BG$42,$A62+2,FALSE)="C","C",IF(HLOOKUP(BT$15,Data_5!$F$10:$BG$42,$A62+2,FALSE)="NO","NO",HLOOKUP(BT$15,Data_5!$F$10:$BG$42,$A62+2,FALSE)/Data_5!$BI57))))),"")</f>
        <v/>
      </c>
      <c r="BU62" s="1122" t="str">
        <f>IFERROR(IF(HLOOKUP(BU$15,Data_5!$F$10:$BG$42,$A62+2,FALSE)="NO","NO",IF(HLOOKUP(BU$15,Data_5!$F$10:$BG$42,$A62+2,FALSE)="IE","IE",IF(HLOOKUP(BU$15,Data_5!$F$10:$BG$42,$A62+2,FALSE)="NE","NE",IF(HLOOKUP(BU$15,Data_5!$F$10:$BG$42,$A62+2,FALSE)="C","C",IF(HLOOKUP(BU$15,Data_5!$F$10:$BG$42,$A62+2,FALSE)="NO","NO",HLOOKUP(BU$15,Data_5!$F$10:$BG$42,$A62+2,FALSE)/Data_5!$BI57))))),"")</f>
        <v/>
      </c>
      <c r="BV62" s="1122" t="str">
        <f>IFERROR(IF(HLOOKUP(BV$15,Data_5!$F$10:$BG$42,$A62+2,FALSE)="NO","NO",IF(HLOOKUP(BV$15,Data_5!$F$10:$BG$42,$A62+2,FALSE)="IE","IE",IF(HLOOKUP(BV$15,Data_5!$F$10:$BG$42,$A62+2,FALSE)="NE","NE",IF(HLOOKUP(BV$15,Data_5!$F$10:$BG$42,$A62+2,FALSE)="C","C",IF(HLOOKUP(BV$15,Data_5!$F$10:$BG$42,$A62+2,FALSE)="NO","NO",HLOOKUP(BV$15,Data_5!$F$10:$BG$42,$A62+2,FALSE)/Data_5!$BI57))))),"")</f>
        <v/>
      </c>
      <c r="BW62" s="1122" t="str">
        <f>IFERROR(IF(HLOOKUP(BW$15,Data_5!$F$10:$BG$42,$A62+2,FALSE)="NO","NO",IF(HLOOKUP(BW$15,Data_5!$F$10:$BG$42,$A62+2,FALSE)="IE","IE",IF(HLOOKUP(BW$15,Data_5!$F$10:$BG$42,$A62+2,FALSE)="NE","NE",IF(HLOOKUP(BW$15,Data_5!$F$10:$BG$42,$A62+2,FALSE)="C","C",IF(HLOOKUP(BW$15,Data_5!$F$10:$BG$42,$A62+2,FALSE)="NO","NO",HLOOKUP(BW$15,Data_5!$F$10:$BG$42,$A62+2,FALSE)/Data_5!$BI57))))),"")</f>
        <v/>
      </c>
      <c r="BX62" s="1122" t="str">
        <f>IFERROR(IF(HLOOKUP(BX$15,Data_5!$F$10:$BG$42,$A62+2,FALSE)="NO","NO",IF(HLOOKUP(BX$15,Data_5!$F$10:$BG$42,$A62+2,FALSE)="IE","IE",IF(HLOOKUP(BX$15,Data_5!$F$10:$BG$42,$A62+2,FALSE)="NE","NE",IF(HLOOKUP(BX$15,Data_5!$F$10:$BG$42,$A62+2,FALSE)="C","C",IF(HLOOKUP(BX$15,Data_5!$F$10:$BG$42,$A62+2,FALSE)="NO","NO",HLOOKUP(BX$15,Data_5!$F$10:$BG$42,$A62+2,FALSE)/Data_5!$BI57))))),"")</f>
        <v/>
      </c>
      <c r="BY62" s="1122" t="str">
        <f>IFERROR(IF(HLOOKUP(BY$15,Data_5!$F$10:$BG$42,$A62+2,FALSE)="NO","NO",IF(HLOOKUP(BY$15,Data_5!$F$10:$BG$42,$A62+2,FALSE)="IE","IE",IF(HLOOKUP(BY$15,Data_5!$F$10:$BG$42,$A62+2,FALSE)="NE","NE",IF(HLOOKUP(BY$15,Data_5!$F$10:$BG$42,$A62+2,FALSE)="C","C",IF(HLOOKUP(BY$15,Data_5!$F$10:$BG$42,$A62+2,FALSE)="NO","NO",HLOOKUP(BY$15,Data_5!$F$10:$BG$42,$A62+2,FALSE)/Data_5!$BI57))))),"")</f>
        <v/>
      </c>
      <c r="BZ62" s="1122" t="str">
        <f>IFERROR(IF(HLOOKUP(BZ$15,Data_5!$F$10:$BG$42,$A62+2,FALSE)="NO","NO",IF(HLOOKUP(BZ$15,Data_5!$F$10:$BG$42,$A62+2,FALSE)="IE","IE",IF(HLOOKUP(BZ$15,Data_5!$F$10:$BG$42,$A62+2,FALSE)="NE","NE",IF(HLOOKUP(BZ$15,Data_5!$F$10:$BG$42,$A62+2,FALSE)="C","C",IF(HLOOKUP(BZ$15,Data_5!$F$10:$BG$42,$A62+2,FALSE)="NO","NO",HLOOKUP(BZ$15,Data_5!$F$10:$BG$42,$A62+2,FALSE)/Data_5!$BI57))))),"")</f>
        <v/>
      </c>
      <c r="CA62" s="1122" t="str">
        <f>IFERROR(IF(HLOOKUP(CA$15,Data_5!$F$10:$BG$42,$A62+2,FALSE)="NO","NO",IF(HLOOKUP(CA$15,Data_5!$F$10:$BG$42,$A62+2,FALSE)="IE","IE",IF(HLOOKUP(CA$15,Data_5!$F$10:$BG$42,$A62+2,FALSE)="NE","NE",IF(HLOOKUP(CA$15,Data_5!$F$10:$BG$42,$A62+2,FALSE)="C","C",IF(HLOOKUP(CA$15,Data_5!$F$10:$BG$42,$A62+2,FALSE)="NO","NO",HLOOKUP(CA$15,Data_5!$F$10:$BG$42,$A62+2,FALSE)/Data_5!$BI57))))),"")</f>
        <v/>
      </c>
      <c r="CB62" s="1122" t="str">
        <f>IFERROR(IF(HLOOKUP(CB$15,Data_5!$F$10:$BG$42,$A62+2,FALSE)="NO","NO",IF(HLOOKUP(CB$15,Data_5!$F$10:$BG$42,$A62+2,FALSE)="IE","IE",IF(HLOOKUP(CB$15,Data_5!$F$10:$BG$42,$A62+2,FALSE)="NE","NE",IF(HLOOKUP(CB$15,Data_5!$F$10:$BG$42,$A62+2,FALSE)="C","C",IF(HLOOKUP(CB$15,Data_5!$F$10:$BG$42,$A62+2,FALSE)="NO","NO",HLOOKUP(CB$15,Data_5!$F$10:$BG$42,$A62+2,FALSE)/Data_5!$BI57))))),"")</f>
        <v/>
      </c>
      <c r="CC62" s="1122" t="str">
        <f>IFERROR(IF(HLOOKUP(CC$15,Data_5!$F$10:$BG$42,$A62+2,FALSE)="NO","NO",IF(HLOOKUP(CC$15,Data_5!$F$10:$BG$42,$A62+2,FALSE)="IE","IE",IF(HLOOKUP(CC$15,Data_5!$F$10:$BG$42,$A62+2,FALSE)="NE","NE",IF(HLOOKUP(CC$15,Data_5!$F$10:$BG$42,$A62+2,FALSE)="C","C",IF(HLOOKUP(CC$15,Data_5!$F$10:$BG$42,$A62+2,FALSE)="NO","NO",HLOOKUP(CC$15,Data_5!$F$10:$BG$42,$A62+2,FALSE)/Data_5!$BI57))))),"")</f>
        <v/>
      </c>
      <c r="CD62" s="1122" t="str">
        <f>IFERROR(IF(HLOOKUP(CD$15,Data_5!$F$10:$BG$42,$A62+2,FALSE)="NO","NO",IF(HLOOKUP(CD$15,Data_5!$F$10:$BG$42,$A62+2,FALSE)="IE","IE",IF(HLOOKUP(CD$15,Data_5!$F$10:$BG$42,$A62+2,FALSE)="NE","NE",IF(HLOOKUP(CD$15,Data_5!$F$10:$BG$42,$A62+2,FALSE)="C","C",IF(HLOOKUP(CD$15,Data_5!$F$10:$BG$42,$A62+2,FALSE)="NO","NO",HLOOKUP(CD$15,Data_5!$F$10:$BG$42,$A62+2,FALSE)/Data_5!$BI57))))),"")</f>
        <v/>
      </c>
      <c r="CE62" s="1122" t="str">
        <f>IFERROR(IF(HLOOKUP(CE$15,Data_5!$F$10:$BG$42,$A62+2,FALSE)="NO","NO",IF(HLOOKUP(CE$15,Data_5!$F$10:$BG$42,$A62+2,FALSE)="IE","IE",IF(HLOOKUP(CE$15,Data_5!$F$10:$BG$42,$A62+2,FALSE)="NE","NE",IF(HLOOKUP(CE$15,Data_5!$F$10:$BG$42,$A62+2,FALSE)="C","C",IF(HLOOKUP(CE$15,Data_5!$F$10:$BG$42,$A62+2,FALSE)="NO","NO",HLOOKUP(CE$15,Data_5!$F$10:$BG$42,$A62+2,FALSE)/Data_5!$BI57))))),"")</f>
        <v/>
      </c>
      <c r="CF62" s="1122" t="str">
        <f>IFERROR(IF(HLOOKUP(CF$15,Data_5!$F$10:$BG$42,$A62+2,FALSE)="NO","NO",IF(HLOOKUP(CF$15,Data_5!$F$10:$BG$42,$A62+2,FALSE)="IE","IE",IF(HLOOKUP(CF$15,Data_5!$F$10:$BG$42,$A62+2,FALSE)="NE","NE",IF(HLOOKUP(CF$15,Data_5!$F$10:$BG$42,$A62+2,FALSE)="C","C",IF(HLOOKUP(CF$15,Data_5!$F$10:$BG$42,$A62+2,FALSE)="NO","NO",HLOOKUP(CF$15,Data_5!$F$10:$BG$42,$A62+2,FALSE)/Data_5!$BI57))))),"")</f>
        <v/>
      </c>
      <c r="CG62" s="1122" t="str">
        <f>IFERROR(IF(HLOOKUP(CG$15,Data_5!$F$10:$BG$42,$A62+2,FALSE)="NO","NO",IF(HLOOKUP(CG$15,Data_5!$F$10:$BG$42,$A62+2,FALSE)="IE","IE",IF(HLOOKUP(CG$15,Data_5!$F$10:$BG$42,$A62+2,FALSE)="NE","NE",IF(HLOOKUP(CG$15,Data_5!$F$10:$BG$42,$A62+2,FALSE)="C","C",IF(HLOOKUP(CG$15,Data_5!$F$10:$BG$42,$A62+2,FALSE)="NO","NO",HLOOKUP(CG$15,Data_5!$F$10:$BG$42,$A62+2,FALSE)/Data_5!$BI57))))),"")</f>
        <v/>
      </c>
      <c r="CH62" s="1122" t="str">
        <f>IFERROR(IF(HLOOKUP(CH$15,Data_5!$F$10:$BG$42,$A62+2,FALSE)="NO","NO",IF(HLOOKUP(CH$15,Data_5!$F$10:$BG$42,$A62+2,FALSE)="IE","IE",IF(HLOOKUP(CH$15,Data_5!$F$10:$BG$42,$A62+2,FALSE)="NE","NE",IF(HLOOKUP(CH$15,Data_5!$F$10:$BG$42,$A62+2,FALSE)="C","C",IF(HLOOKUP(CH$15,Data_5!$F$10:$BG$42,$A62+2,FALSE)="NO","NO",HLOOKUP(CH$15,Data_5!$F$10:$BG$42,$A62+2,FALSE)/Data_5!$BI57))))),"")</f>
        <v/>
      </c>
      <c r="CI62" s="1122" t="str">
        <f>IFERROR(IF(HLOOKUP(CI$15,Data_5!$F$10:$BG$42,$A62+2,FALSE)="NO","NO",IF(HLOOKUP(CI$15,Data_5!$F$10:$BG$42,$A62+2,FALSE)="IE","IE",IF(HLOOKUP(CI$15,Data_5!$F$10:$BG$42,$A62+2,FALSE)="NE","NE",IF(HLOOKUP(CI$15,Data_5!$F$10:$BG$42,$A62+2,FALSE)="C","C",IF(HLOOKUP(CI$15,Data_5!$F$10:$BG$42,$A62+2,FALSE)="NO","NO",HLOOKUP(CI$15,Data_5!$F$10:$BG$42,$A62+2,FALSE)/Data_5!$BI57))))),"")</f>
        <v/>
      </c>
      <c r="CJ62" s="1122" t="str">
        <f>IFERROR(IF(HLOOKUP(CJ$15,Data_5!$F$10:$BG$42,$A62+2,FALSE)="NO","NO",IF(HLOOKUP(CJ$15,Data_5!$F$10:$BG$42,$A62+2,FALSE)="IE","IE",IF(HLOOKUP(CJ$15,Data_5!$F$10:$BG$42,$A62+2,FALSE)="NE","NE",IF(HLOOKUP(CJ$15,Data_5!$F$10:$BG$42,$A62+2,FALSE)="C","C",IF(HLOOKUP(CJ$15,Data_5!$F$10:$BG$42,$A62+2,FALSE)="NO","NO",HLOOKUP(CJ$15,Data_5!$F$10:$BG$42,$A62+2,FALSE)/Data_5!$BI57))))),"")</f>
        <v/>
      </c>
      <c r="CL62" s="2628" t="str">
        <f t="shared" ca="1" si="6"/>
        <v/>
      </c>
      <c r="CM62" s="2629"/>
      <c r="CN62" s="1100" t="str">
        <f t="shared" ca="1" si="7"/>
        <v/>
      </c>
      <c r="CO62" s="1122" t="str">
        <f>IFERROR(IF(HLOOKUP(CO$15,Data_5!$F$10:$BG$42,$A62+2,FALSE)="NO","NO",IF(HLOOKUP(CO$15,Data_5!$F$10:$BG$42,$A62+2,FALSE)="IE","IE",IF(HLOOKUP(CO$15,Data_5!$F$10:$BG$42,$A62+2,FALSE)="NE","NE",IF(HLOOKUP(CO$15,Data_5!$F$10:$BG$42,$A62+2,FALSE)="C","C",IF(HLOOKUP(CO$15,Data_5!$F$10:$BG$42,$A62+2,FALSE)="NO","NO",HLOOKUP(CO$15,Data_5!$F$10:$BG$42,$A62+2,FALSE)/Data_5!$BK57))))),"")</f>
        <v/>
      </c>
      <c r="CP62" s="1122" t="str">
        <f>IFERROR(IF(HLOOKUP(CP$15,Data_5!$F$10:$BG$42,$A62+2,FALSE)="NO","NO",IF(HLOOKUP(CP$15,Data_5!$F$10:$BG$42,$A62+2,FALSE)="IE","IE",IF(HLOOKUP(CP$15,Data_5!$F$10:$BG$42,$A62+2,FALSE)="NE","NE",IF(HLOOKUP(CP$15,Data_5!$F$10:$BG$42,$A62+2,FALSE)="C","C",IF(HLOOKUP(CP$15,Data_5!$F$10:$BG$42,$A62+2,FALSE)="NO","NO",HLOOKUP(CP$15,Data_5!$F$10:$BG$42,$A62+2,FALSE)/Data_5!$BK57))))),"")</f>
        <v/>
      </c>
      <c r="CQ62" s="1122" t="str">
        <f>IFERROR(IF(HLOOKUP(CQ$15,Data_5!$F$10:$BG$42,$A62+2,FALSE)="NO","NO",IF(HLOOKUP(CQ$15,Data_5!$F$10:$BG$42,$A62+2,FALSE)="IE","IE",IF(HLOOKUP(CQ$15,Data_5!$F$10:$BG$42,$A62+2,FALSE)="NE","NE",IF(HLOOKUP(CQ$15,Data_5!$F$10:$BG$42,$A62+2,FALSE)="C","C",IF(HLOOKUP(CQ$15,Data_5!$F$10:$BG$42,$A62+2,FALSE)="NO","NO",HLOOKUP(CQ$15,Data_5!$F$10:$BG$42,$A62+2,FALSE)/Data_5!$BK57))))),"")</f>
        <v/>
      </c>
      <c r="CR62" s="1122" t="str">
        <f>IFERROR(IF(HLOOKUP(CR$15,Data_5!$F$10:$BG$42,$A62+2,FALSE)="NO","NO",IF(HLOOKUP(CR$15,Data_5!$F$10:$BG$42,$A62+2,FALSE)="IE","IE",IF(HLOOKUP(CR$15,Data_5!$F$10:$BG$42,$A62+2,FALSE)="NE","NE",IF(HLOOKUP(CR$15,Data_5!$F$10:$BG$42,$A62+2,FALSE)="C","C",IF(HLOOKUP(CR$15,Data_5!$F$10:$BG$42,$A62+2,FALSE)="NO","NO",HLOOKUP(CR$15,Data_5!$F$10:$BG$42,$A62+2,FALSE)/Data_5!$BK57))))),"")</f>
        <v/>
      </c>
      <c r="CS62" s="1122" t="str">
        <f>IFERROR(IF(HLOOKUP(CS$15,Data_5!$F$10:$BG$42,$A62+2,FALSE)="NO","NO",IF(HLOOKUP(CS$15,Data_5!$F$10:$BG$42,$A62+2,FALSE)="IE","IE",IF(HLOOKUP(CS$15,Data_5!$F$10:$BG$42,$A62+2,FALSE)="NE","NE",IF(HLOOKUP(CS$15,Data_5!$F$10:$BG$42,$A62+2,FALSE)="C","C",IF(HLOOKUP(CS$15,Data_5!$F$10:$BG$42,$A62+2,FALSE)="NO","NO",HLOOKUP(CS$15,Data_5!$F$10:$BG$42,$A62+2,FALSE)/Data_5!$BK57))))),"")</f>
        <v/>
      </c>
      <c r="CT62" s="1122" t="str">
        <f>IFERROR(IF(HLOOKUP(CT$15,Data_5!$F$10:$BG$42,$A62+2,FALSE)="NO","NO",IF(HLOOKUP(CT$15,Data_5!$F$10:$BG$42,$A62+2,FALSE)="IE","IE",IF(HLOOKUP(CT$15,Data_5!$F$10:$BG$42,$A62+2,FALSE)="NE","NE",IF(HLOOKUP(CT$15,Data_5!$F$10:$BG$42,$A62+2,FALSE)="C","C",IF(HLOOKUP(CT$15,Data_5!$F$10:$BG$42,$A62+2,FALSE)="NO","NO",HLOOKUP(CT$15,Data_5!$F$10:$BG$42,$A62+2,FALSE)/Data_5!$BK57))))),"")</f>
        <v/>
      </c>
      <c r="CU62" s="1122" t="str">
        <f>IFERROR(IF(HLOOKUP(CU$15,Data_5!$F$10:$BG$42,$A62+2,FALSE)="NO","NO",IF(HLOOKUP(CU$15,Data_5!$F$10:$BG$42,$A62+2,FALSE)="IE","IE",IF(HLOOKUP(CU$15,Data_5!$F$10:$BG$42,$A62+2,FALSE)="NE","NE",IF(HLOOKUP(CU$15,Data_5!$F$10:$BG$42,$A62+2,FALSE)="C","C",IF(HLOOKUP(CU$15,Data_5!$F$10:$BG$42,$A62+2,FALSE)="NO","NO",HLOOKUP(CU$15,Data_5!$F$10:$BG$42,$A62+2,FALSE)/Data_5!$BK57))))),"")</f>
        <v/>
      </c>
      <c r="CV62" s="1122" t="str">
        <f>IFERROR(IF(HLOOKUP(CV$15,Data_5!$F$10:$BG$42,$A62+2,FALSE)="NO","NO",IF(HLOOKUP(CV$15,Data_5!$F$10:$BG$42,$A62+2,FALSE)="IE","IE",IF(HLOOKUP(CV$15,Data_5!$F$10:$BG$42,$A62+2,FALSE)="NE","NE",IF(HLOOKUP(CV$15,Data_5!$F$10:$BG$42,$A62+2,FALSE)="C","C",IF(HLOOKUP(CV$15,Data_5!$F$10:$BG$42,$A62+2,FALSE)="NO","NO",HLOOKUP(CV$15,Data_5!$F$10:$BG$42,$A62+2,FALSE)/Data_5!$BK57))))),"")</f>
        <v/>
      </c>
      <c r="CW62" s="1122" t="str">
        <f>IFERROR(IF(HLOOKUP(CW$15,Data_5!$F$10:$BG$42,$A62+2,FALSE)="NO","NO",IF(HLOOKUP(CW$15,Data_5!$F$10:$BG$42,$A62+2,FALSE)="IE","IE",IF(HLOOKUP(CW$15,Data_5!$F$10:$BG$42,$A62+2,FALSE)="NE","NE",IF(HLOOKUP(CW$15,Data_5!$F$10:$BG$42,$A62+2,FALSE)="C","C",IF(HLOOKUP(CW$15,Data_5!$F$10:$BG$42,$A62+2,FALSE)="NO","NO",HLOOKUP(CW$15,Data_5!$F$10:$BG$42,$A62+2,FALSE)/Data_5!$BK57))))),"")</f>
        <v/>
      </c>
      <c r="CX62" s="1122" t="str">
        <f>IFERROR(IF(HLOOKUP(CX$15,Data_5!$F$10:$BG$42,$A62+2,FALSE)="NO","NO",IF(HLOOKUP(CX$15,Data_5!$F$10:$BG$42,$A62+2,FALSE)="IE","IE",IF(HLOOKUP(CX$15,Data_5!$F$10:$BG$42,$A62+2,FALSE)="NE","NE",IF(HLOOKUP(CX$15,Data_5!$F$10:$BG$42,$A62+2,FALSE)="C","C",IF(HLOOKUP(CX$15,Data_5!$F$10:$BG$42,$A62+2,FALSE)="NO","NO",HLOOKUP(CX$15,Data_5!$F$10:$BG$42,$A62+2,FALSE)/Data_5!$BK57))))),"")</f>
        <v/>
      </c>
      <c r="CY62" s="1122" t="str">
        <f>IFERROR(IF(HLOOKUP(CY$15,Data_5!$F$10:$BG$42,$A62+2,FALSE)="NO","NO",IF(HLOOKUP(CY$15,Data_5!$F$10:$BG$42,$A62+2,FALSE)="IE","IE",IF(HLOOKUP(CY$15,Data_5!$F$10:$BG$42,$A62+2,FALSE)="NE","NE",IF(HLOOKUP(CY$15,Data_5!$F$10:$BG$42,$A62+2,FALSE)="C","C",IF(HLOOKUP(CY$15,Data_5!$F$10:$BG$42,$A62+2,FALSE)="NO","NO",HLOOKUP(CY$15,Data_5!$F$10:$BG$42,$A62+2,FALSE)/Data_5!$BK57))))),"")</f>
        <v/>
      </c>
      <c r="CZ62" s="1122" t="str">
        <f>IFERROR(IF(HLOOKUP(CZ$15,Data_5!$F$10:$BG$42,$A62+2,FALSE)="NO","NO",IF(HLOOKUP(CZ$15,Data_5!$F$10:$BG$42,$A62+2,FALSE)="IE","IE",IF(HLOOKUP(CZ$15,Data_5!$F$10:$BG$42,$A62+2,FALSE)="NE","NE",IF(HLOOKUP(CZ$15,Data_5!$F$10:$BG$42,$A62+2,FALSE)="C","C",IF(HLOOKUP(CZ$15,Data_5!$F$10:$BG$42,$A62+2,FALSE)="NO","NO",HLOOKUP(CZ$15,Data_5!$F$10:$BG$42,$A62+2,FALSE)/Data_5!$BK57))))),"")</f>
        <v/>
      </c>
      <c r="DA62" s="1122" t="str">
        <f>IFERROR(IF(HLOOKUP(DA$15,Data_5!$F$10:$BG$42,$A62+2,FALSE)="NO","NO",IF(HLOOKUP(DA$15,Data_5!$F$10:$BG$42,$A62+2,FALSE)="IE","IE",IF(HLOOKUP(DA$15,Data_5!$F$10:$BG$42,$A62+2,FALSE)="NE","NE",IF(HLOOKUP(DA$15,Data_5!$F$10:$BG$42,$A62+2,FALSE)="C","C",IF(HLOOKUP(DA$15,Data_5!$F$10:$BG$42,$A62+2,FALSE)="NO","NO",HLOOKUP(DA$15,Data_5!$F$10:$BG$42,$A62+2,FALSE)/Data_5!$BK57))))),"")</f>
        <v/>
      </c>
      <c r="DB62" s="1122" t="str">
        <f>IFERROR(IF(HLOOKUP(DB$15,Data_5!$F$10:$BG$42,$A62+2,FALSE)="NO","NO",IF(HLOOKUP(DB$15,Data_5!$F$10:$BG$42,$A62+2,FALSE)="IE","IE",IF(HLOOKUP(DB$15,Data_5!$F$10:$BG$42,$A62+2,FALSE)="NE","NE",IF(HLOOKUP(DB$15,Data_5!$F$10:$BG$42,$A62+2,FALSE)="C","C",IF(HLOOKUP(DB$15,Data_5!$F$10:$BG$42,$A62+2,FALSE)="NO","NO",HLOOKUP(DB$15,Data_5!$F$10:$BG$42,$A62+2,FALSE)/Data_5!$BK57))))),"")</f>
        <v/>
      </c>
      <c r="DC62" s="1122" t="str">
        <f>IFERROR(IF(HLOOKUP(DC$15,Data_5!$F$10:$BG$42,$A62+2,FALSE)="NO","NO",IF(HLOOKUP(DC$15,Data_5!$F$10:$BG$42,$A62+2,FALSE)="IE","IE",IF(HLOOKUP(DC$15,Data_5!$F$10:$BG$42,$A62+2,FALSE)="NE","NE",IF(HLOOKUP(DC$15,Data_5!$F$10:$BG$42,$A62+2,FALSE)="C","C",IF(HLOOKUP(DC$15,Data_5!$F$10:$BG$42,$A62+2,FALSE)="NO","NO",HLOOKUP(DC$15,Data_5!$F$10:$BG$42,$A62+2,FALSE)/Data_5!$BK57))))),"")</f>
        <v/>
      </c>
      <c r="DD62" s="1122" t="str">
        <f>IFERROR(IF(HLOOKUP(DD$15,Data_5!$F$10:$BG$42,$A62+2,FALSE)="NO","NO",IF(HLOOKUP(DD$15,Data_5!$F$10:$BG$42,$A62+2,FALSE)="IE","IE",IF(HLOOKUP(DD$15,Data_5!$F$10:$BG$42,$A62+2,FALSE)="NE","NE",IF(HLOOKUP(DD$15,Data_5!$F$10:$BG$42,$A62+2,FALSE)="C","C",IF(HLOOKUP(DD$15,Data_5!$F$10:$BG$42,$A62+2,FALSE)="NO","NO",HLOOKUP(DD$15,Data_5!$F$10:$BG$42,$A62+2,FALSE)/Data_5!$BK57))))),"")</f>
        <v/>
      </c>
      <c r="DE62" s="1122" t="str">
        <f>IFERROR(IF(HLOOKUP(DE$15,Data_5!$F$10:$BG$42,$A62+2,FALSE)="NO","NO",IF(HLOOKUP(DE$15,Data_5!$F$10:$BG$42,$A62+2,FALSE)="IE","IE",IF(HLOOKUP(DE$15,Data_5!$F$10:$BG$42,$A62+2,FALSE)="NE","NE",IF(HLOOKUP(DE$15,Data_5!$F$10:$BG$42,$A62+2,FALSE)="C","C",IF(HLOOKUP(DE$15,Data_5!$F$10:$BG$42,$A62+2,FALSE)="NO","NO",HLOOKUP(DE$15,Data_5!$F$10:$BG$42,$A62+2,FALSE)/Data_5!$BK57))))),"")</f>
        <v/>
      </c>
      <c r="DF62" s="1122" t="str">
        <f>IFERROR(IF(HLOOKUP(DF$15,Data_5!$F$10:$BG$42,$A62+2,FALSE)="NO","NO",IF(HLOOKUP(DF$15,Data_5!$F$10:$BG$42,$A62+2,FALSE)="IE","IE",IF(HLOOKUP(DF$15,Data_5!$F$10:$BG$42,$A62+2,FALSE)="NE","NE",IF(HLOOKUP(DF$15,Data_5!$F$10:$BG$42,$A62+2,FALSE)="C","C",IF(HLOOKUP(DF$15,Data_5!$F$10:$BG$42,$A62+2,FALSE)="NO","NO",HLOOKUP(DF$15,Data_5!$F$10:$BG$42,$A62+2,FALSE)/Data_5!$BK57))))),"")</f>
        <v/>
      </c>
      <c r="DG62" s="1122" t="str">
        <f>IFERROR(IF(HLOOKUP(DG$15,Data_5!$F$10:$BG$42,$A62+2,FALSE)="NO","NO",IF(HLOOKUP(DG$15,Data_5!$F$10:$BG$42,$A62+2,FALSE)="IE","IE",IF(HLOOKUP(DG$15,Data_5!$F$10:$BG$42,$A62+2,FALSE)="NE","NE",IF(HLOOKUP(DG$15,Data_5!$F$10:$BG$42,$A62+2,FALSE)="C","C",IF(HLOOKUP(DG$15,Data_5!$F$10:$BG$42,$A62+2,FALSE)="NO","NO",HLOOKUP(DG$15,Data_5!$F$10:$BG$42,$A62+2,FALSE)/Data_5!$BK57))))),"")</f>
        <v/>
      </c>
      <c r="DH62" s="1122" t="str">
        <f>IFERROR(IF(HLOOKUP(DH$15,Data_5!$F$10:$BG$42,$A62+2,FALSE)="NO","NO",IF(HLOOKUP(DH$15,Data_5!$F$10:$BG$42,$A62+2,FALSE)="IE","IE",IF(HLOOKUP(DH$15,Data_5!$F$10:$BG$42,$A62+2,FALSE)="NE","NE",IF(HLOOKUP(DH$15,Data_5!$F$10:$BG$42,$A62+2,FALSE)="C","C",IF(HLOOKUP(DH$15,Data_5!$F$10:$BG$42,$A62+2,FALSE)="NO","NO",HLOOKUP(DH$15,Data_5!$F$10:$BG$42,$A62+2,FALSE)/Data_5!$BK57))))),"")</f>
        <v/>
      </c>
      <c r="DI62" s="1122" t="str">
        <f>IFERROR(IF(HLOOKUP(DI$15,Data_5!$F$10:$BG$42,$A62+2,FALSE)="NO","NO",IF(HLOOKUP(DI$15,Data_5!$F$10:$BG$42,$A62+2,FALSE)="IE","IE",IF(HLOOKUP(DI$15,Data_5!$F$10:$BG$42,$A62+2,FALSE)="NE","NE",IF(HLOOKUP(DI$15,Data_5!$F$10:$BG$42,$A62+2,FALSE)="C","C",IF(HLOOKUP(DI$15,Data_5!$F$10:$BG$42,$A62+2,FALSE)="NO","NO",HLOOKUP(DI$15,Data_5!$F$10:$BG$42,$A62+2,FALSE)/Data_5!$BK57))))),"")</f>
        <v/>
      </c>
      <c r="DJ62" s="1122" t="str">
        <f>IFERROR(IF(HLOOKUP(DJ$15,Data_5!$F$10:$BG$42,$A62+2,FALSE)="NO","NO",IF(HLOOKUP(DJ$15,Data_5!$F$10:$BG$42,$A62+2,FALSE)="IE","IE",IF(HLOOKUP(DJ$15,Data_5!$F$10:$BG$42,$A62+2,FALSE)="NE","NE",IF(HLOOKUP(DJ$15,Data_5!$F$10:$BG$42,$A62+2,FALSE)="C","C",IF(HLOOKUP(DJ$15,Data_5!$F$10:$BG$42,$A62+2,FALSE)="NO","NO",HLOOKUP(DJ$15,Data_5!$F$10:$BG$42,$A62+2,FALSE)/Data_5!$BK57))))),"")</f>
        <v/>
      </c>
      <c r="DK62" s="1122" t="str">
        <f>IFERROR(IF(HLOOKUP(DK$15,Data_5!$F$10:$BG$42,$A62+2,FALSE)="NO","NO",IF(HLOOKUP(DK$15,Data_5!$F$10:$BG$42,$A62+2,FALSE)="IE","IE",IF(HLOOKUP(DK$15,Data_5!$F$10:$BG$42,$A62+2,FALSE)="NE","NE",IF(HLOOKUP(DK$15,Data_5!$F$10:$BG$42,$A62+2,FALSE)="C","C",IF(HLOOKUP(DK$15,Data_5!$F$10:$BG$42,$A62+2,FALSE)="NO","NO",HLOOKUP(DK$15,Data_5!$F$10:$BG$42,$A62+2,FALSE)/Data_5!$BK57))))),"")</f>
        <v/>
      </c>
      <c r="DL62" s="1122" t="str">
        <f>IFERROR(IF(HLOOKUP(DL$15,Data_5!$F$10:$BG$42,$A62+2,FALSE)="NO","NO",IF(HLOOKUP(DL$15,Data_5!$F$10:$BG$42,$A62+2,FALSE)="IE","IE",IF(HLOOKUP(DL$15,Data_5!$F$10:$BG$42,$A62+2,FALSE)="NE","NE",IF(HLOOKUP(DL$15,Data_5!$F$10:$BG$42,$A62+2,FALSE)="C","C",IF(HLOOKUP(DL$15,Data_5!$F$10:$BG$42,$A62+2,FALSE)="NO","NO",HLOOKUP(DL$15,Data_5!$F$10:$BG$42,$A62+2,FALSE)/Data_5!$BK57))))),"")</f>
        <v/>
      </c>
      <c r="DM62" s="1122" t="str">
        <f>IFERROR(IF(HLOOKUP(DM$15,Data_5!$F$10:$BG$42,$A62+2,FALSE)="NO","NO",IF(HLOOKUP(DM$15,Data_5!$F$10:$BG$42,$A62+2,FALSE)="IE","IE",IF(HLOOKUP(DM$15,Data_5!$F$10:$BG$42,$A62+2,FALSE)="NE","NE",IF(HLOOKUP(DM$15,Data_5!$F$10:$BG$42,$A62+2,FALSE)="C","C",IF(HLOOKUP(DM$15,Data_5!$F$10:$BG$42,$A62+2,FALSE)="NO","NO",HLOOKUP(DM$15,Data_5!$F$10:$BG$42,$A62+2,FALSE)/Data_5!$BK57))))),"")</f>
        <v/>
      </c>
      <c r="DN62" s="1122" t="str">
        <f>IFERROR(IF(HLOOKUP(DN$15,Data_5!$F$10:$BG$42,$A62+2,FALSE)="NO","NO",IF(HLOOKUP(DN$15,Data_5!$F$10:$BG$42,$A62+2,FALSE)="IE","IE",IF(HLOOKUP(DN$15,Data_5!$F$10:$BG$42,$A62+2,FALSE)="NE","NE",IF(HLOOKUP(DN$15,Data_5!$F$10:$BG$42,$A62+2,FALSE)="C","C",IF(HLOOKUP(DN$15,Data_5!$F$10:$BG$42,$A62+2,FALSE)="NO","NO",HLOOKUP(DN$15,Data_5!$F$10:$BG$42,$A62+2,FALSE)/Data_5!$BK57))))),"")</f>
        <v/>
      </c>
      <c r="DO62" s="1122" t="str">
        <f>IFERROR(IF(HLOOKUP(DO$15,Data_5!$F$10:$BG$42,$A62+2,FALSE)="NO","NO",IF(HLOOKUP(DO$15,Data_5!$F$10:$BG$42,$A62+2,FALSE)="IE","IE",IF(HLOOKUP(DO$15,Data_5!$F$10:$BG$42,$A62+2,FALSE)="NE","NE",IF(HLOOKUP(DO$15,Data_5!$F$10:$BG$42,$A62+2,FALSE)="C","C",IF(HLOOKUP(DO$15,Data_5!$F$10:$BG$42,$A62+2,FALSE)="NO","NO",HLOOKUP(DO$15,Data_5!$F$10:$BG$42,$A62+2,FALSE)/Data_5!$BK57))))),"")</f>
        <v/>
      </c>
    </row>
    <row r="63" spans="1:119" ht="15" customHeight="1">
      <c r="A63" s="1789">
        <v>47</v>
      </c>
      <c r="B63" s="2628" t="str">
        <f ca="1">IF(Data_5!B58&lt;&gt;"",Data_5!B58,"")</f>
        <v/>
      </c>
      <c r="C63" s="2629"/>
      <c r="D63" s="1462">
        <f ca="1">IFERROR(VLOOKUP($B63,Data_5!$B$12:$C$42,2,FALSE),"")</f>
        <v>0</v>
      </c>
      <c r="E63" s="1122" t="str">
        <f>IFERROR(IF(HLOOKUP(E$15,Data_5!$F$10:$BG$42,$A63+2,FALSE)="NO","NO",IF(HLOOKUP(E$15,Data_5!$F$10:$BG$42,$A63+2,FALSE)="IE","IE",IF(HLOOKUP(E$15,Data_5!$F$10:$BG$42,$A63+2,FALSE)="NE","NE",IF(HLOOKUP(E$15,Data_5!$F$10:$BG$42,$A63+2,FALSE)="C","C",IF(HLOOKUP(E$15,Data_5!$F$10:$BG$42,$A63+2,FALSE)="NO","NO",HLOOKUP(E$15,Data_5!$F$10:$BG$42,$A63+2,FALSE)/Data_5!$BH58))))),"")</f>
        <v/>
      </c>
      <c r="F63" s="1122" t="str">
        <f>IFERROR(IF(HLOOKUP(F$15,Data_5!$F$10:$BG$42,$A63+2,FALSE)="NO","NO",IF(HLOOKUP(F$15,Data_5!$F$10:$BG$42,$A63+2,FALSE)="IE","IE",IF(HLOOKUP(F$15,Data_5!$F$10:$BG$42,$A63+2,FALSE)="NE","NE",IF(HLOOKUP(F$15,Data_5!$F$10:$BG$42,$A63+2,FALSE)="C","C",IF(HLOOKUP(F$15,Data_5!$F$10:$BG$42,$A63+2,FALSE)="NO","NO",HLOOKUP(F$15,Data_5!$F$10:$BG$42,$A63+2,FALSE)/Data_5!$BH58))))),"")</f>
        <v/>
      </c>
      <c r="G63" s="1122" t="str">
        <f>IFERROR(IF(HLOOKUP(G$15,Data_5!$F$10:$BG$42,$A63+2,FALSE)="NO","NO",IF(HLOOKUP(G$15,Data_5!$F$10:$BG$42,$A63+2,FALSE)="IE","IE",IF(HLOOKUP(G$15,Data_5!$F$10:$BG$42,$A63+2,FALSE)="NE","NE",IF(HLOOKUP(G$15,Data_5!$F$10:$BG$42,$A63+2,FALSE)="C","C",IF(HLOOKUP(G$15,Data_5!$F$10:$BG$42,$A63+2,FALSE)="NO","NO",HLOOKUP(G$15,Data_5!$F$10:$BG$42,$A63+2,FALSE)/Data_5!$BH58))))),"")</f>
        <v/>
      </c>
      <c r="H63" s="1122" t="str">
        <f>IFERROR(IF(HLOOKUP(H$15,Data_5!$F$10:$BG$42,$A63+2,FALSE)="NO","NO",IF(HLOOKUP(H$15,Data_5!$F$10:$BG$42,$A63+2,FALSE)="IE","IE",IF(HLOOKUP(H$15,Data_5!$F$10:$BG$42,$A63+2,FALSE)="NE","NE",IF(HLOOKUP(H$15,Data_5!$F$10:$BG$42,$A63+2,FALSE)="C","C",IF(HLOOKUP(H$15,Data_5!$F$10:$BG$42,$A63+2,FALSE)="NO","NO",HLOOKUP(H$15,Data_5!$F$10:$BG$42,$A63+2,FALSE)/Data_5!$BH58))))),"")</f>
        <v/>
      </c>
      <c r="I63" s="1122" t="str">
        <f>IFERROR(IF(HLOOKUP(I$15,Data_5!$F$10:$BG$42,$A63+2,FALSE)="NO","NO",IF(HLOOKUP(I$15,Data_5!$F$10:$BG$42,$A63+2,FALSE)="IE","IE",IF(HLOOKUP(I$15,Data_5!$F$10:$BG$42,$A63+2,FALSE)="NE","NE",IF(HLOOKUP(I$15,Data_5!$F$10:$BG$42,$A63+2,FALSE)="C","C",IF(HLOOKUP(I$15,Data_5!$F$10:$BG$42,$A63+2,FALSE)="NO","NO",HLOOKUP(I$15,Data_5!$F$10:$BG$42,$A63+2,FALSE)/Data_5!$BH58))))),"")</f>
        <v/>
      </c>
      <c r="J63" s="1122" t="str">
        <f>IFERROR(IF(HLOOKUP(J$15,Data_5!$F$10:$BG$42,$A63+2,FALSE)="NO","NO",IF(HLOOKUP(J$15,Data_5!$F$10:$BG$42,$A63+2,FALSE)="IE","IE",IF(HLOOKUP(J$15,Data_5!$F$10:$BG$42,$A63+2,FALSE)="NE","NE",IF(HLOOKUP(J$15,Data_5!$F$10:$BG$42,$A63+2,FALSE)="C","C",IF(HLOOKUP(J$15,Data_5!$F$10:$BG$42,$A63+2,FALSE)="NO","NO",HLOOKUP(J$15,Data_5!$F$10:$BG$42,$A63+2,FALSE)/Data_5!$BH58))))),"")</f>
        <v/>
      </c>
      <c r="K63" s="1122" t="str">
        <f>IFERROR(IF(HLOOKUP(K$15,Data_5!$F$10:$BG$42,$A63+2,FALSE)="NO","NO",IF(HLOOKUP(K$15,Data_5!$F$10:$BG$42,$A63+2,FALSE)="IE","IE",IF(HLOOKUP(K$15,Data_5!$F$10:$BG$42,$A63+2,FALSE)="NE","NE",IF(HLOOKUP(K$15,Data_5!$F$10:$BG$42,$A63+2,FALSE)="C","C",IF(HLOOKUP(K$15,Data_5!$F$10:$BG$42,$A63+2,FALSE)="NO","NO",HLOOKUP(K$15,Data_5!$F$10:$BG$42,$A63+2,FALSE)/Data_5!$BH58))))),"")</f>
        <v/>
      </c>
      <c r="L63" s="1122" t="str">
        <f>IFERROR(IF(HLOOKUP(L$15,Data_5!$F$10:$BG$42,$A63+2,FALSE)="NO","NO",IF(HLOOKUP(L$15,Data_5!$F$10:$BG$42,$A63+2,FALSE)="IE","IE",IF(HLOOKUP(L$15,Data_5!$F$10:$BG$42,$A63+2,FALSE)="NE","NE",IF(HLOOKUP(L$15,Data_5!$F$10:$BG$42,$A63+2,FALSE)="C","C",IF(HLOOKUP(L$15,Data_5!$F$10:$BG$42,$A63+2,FALSE)="NO","NO",HLOOKUP(L$15,Data_5!$F$10:$BG$42,$A63+2,FALSE)/Data_5!$BH58))))),"")</f>
        <v/>
      </c>
      <c r="M63" s="1122" t="str">
        <f>IFERROR(IF(HLOOKUP(M$15,Data_5!$F$10:$BG$42,$A63+2,FALSE)="NO","NO",IF(HLOOKUP(M$15,Data_5!$F$10:$BG$42,$A63+2,FALSE)="IE","IE",IF(HLOOKUP(M$15,Data_5!$F$10:$BG$42,$A63+2,FALSE)="NE","NE",IF(HLOOKUP(M$15,Data_5!$F$10:$BG$42,$A63+2,FALSE)="C","C",IF(HLOOKUP(M$15,Data_5!$F$10:$BG$42,$A63+2,FALSE)="NO","NO",HLOOKUP(M$15,Data_5!$F$10:$BG$42,$A63+2,FALSE)/Data_5!$BH58))))),"")</f>
        <v/>
      </c>
      <c r="N63" s="1122" t="str">
        <f>IFERROR(IF(HLOOKUP(N$15,Data_5!$F$10:$BG$42,$A63+2,FALSE)="NO","NO",IF(HLOOKUP(N$15,Data_5!$F$10:$BG$42,$A63+2,FALSE)="IE","IE",IF(HLOOKUP(N$15,Data_5!$F$10:$BG$42,$A63+2,FALSE)="NE","NE",IF(HLOOKUP(N$15,Data_5!$F$10:$BG$42,$A63+2,FALSE)="C","C",IF(HLOOKUP(N$15,Data_5!$F$10:$BG$42,$A63+2,FALSE)="NO","NO",HLOOKUP(N$15,Data_5!$F$10:$BG$42,$A63+2,FALSE)/Data_5!$BH58))))),"")</f>
        <v/>
      </c>
      <c r="O63" s="1122" t="str">
        <f>IFERROR(IF(HLOOKUP(O$15,Data_5!$F$10:$BG$42,$A63+2,FALSE)="NO","NO",IF(HLOOKUP(O$15,Data_5!$F$10:$BG$42,$A63+2,FALSE)="IE","IE",IF(HLOOKUP(O$15,Data_5!$F$10:$BG$42,$A63+2,FALSE)="NE","NE",IF(HLOOKUP(O$15,Data_5!$F$10:$BG$42,$A63+2,FALSE)="C","C",IF(HLOOKUP(O$15,Data_5!$F$10:$BG$42,$A63+2,FALSE)="NO","NO",HLOOKUP(O$15,Data_5!$F$10:$BG$42,$A63+2,FALSE)/Data_5!$BH58))))),"")</f>
        <v/>
      </c>
      <c r="P63" s="1122" t="str">
        <f>IFERROR(IF(HLOOKUP(P$15,Data_5!$F$10:$BG$42,$A63+2,FALSE)="NO","NO",IF(HLOOKUP(P$15,Data_5!$F$10:$BG$42,$A63+2,FALSE)="IE","IE",IF(HLOOKUP(P$15,Data_5!$F$10:$BG$42,$A63+2,FALSE)="NE","NE",IF(HLOOKUP(P$15,Data_5!$F$10:$BG$42,$A63+2,FALSE)="C","C",IF(HLOOKUP(P$15,Data_5!$F$10:$BG$42,$A63+2,FALSE)="NO","NO",HLOOKUP(P$15,Data_5!$F$10:$BG$42,$A63+2,FALSE)/Data_5!$BH58))))),"")</f>
        <v/>
      </c>
      <c r="Q63" s="1122" t="str">
        <f>IFERROR(IF(HLOOKUP(Q$15,Data_5!$F$10:$BG$42,$A63+2,FALSE)="NO","NO",IF(HLOOKUP(Q$15,Data_5!$F$10:$BG$42,$A63+2,FALSE)="IE","IE",IF(HLOOKUP(Q$15,Data_5!$F$10:$BG$42,$A63+2,FALSE)="NE","NE",IF(HLOOKUP(Q$15,Data_5!$F$10:$BG$42,$A63+2,FALSE)="C","C",IF(HLOOKUP(Q$15,Data_5!$F$10:$BG$42,$A63+2,FALSE)="NO","NO",HLOOKUP(Q$15,Data_5!$F$10:$BG$42,$A63+2,FALSE)/Data_5!$BH58))))),"")</f>
        <v/>
      </c>
      <c r="R63" s="1122" t="str">
        <f>IFERROR(IF(HLOOKUP(R$15,Data_5!$F$10:$BG$42,$A63+2,FALSE)="NO","NO",IF(HLOOKUP(R$15,Data_5!$F$10:$BG$42,$A63+2,FALSE)="IE","IE",IF(HLOOKUP(R$15,Data_5!$F$10:$BG$42,$A63+2,FALSE)="NE","NE",IF(HLOOKUP(R$15,Data_5!$F$10:$BG$42,$A63+2,FALSE)="C","C",IF(HLOOKUP(R$15,Data_5!$F$10:$BG$42,$A63+2,FALSE)="NO","NO",HLOOKUP(R$15,Data_5!$F$10:$BG$42,$A63+2,FALSE)/Data_5!$BH58))))),"")</f>
        <v/>
      </c>
      <c r="S63" s="1122" t="str">
        <f>IFERROR(IF(HLOOKUP(S$15,Data_5!$F$10:$BG$42,$A63+2,FALSE)="NO","NO",IF(HLOOKUP(S$15,Data_5!$F$10:$BG$42,$A63+2,FALSE)="IE","IE",IF(HLOOKUP(S$15,Data_5!$F$10:$BG$42,$A63+2,FALSE)="NE","NE",IF(HLOOKUP(S$15,Data_5!$F$10:$BG$42,$A63+2,FALSE)="C","C",IF(HLOOKUP(S$15,Data_5!$F$10:$BG$42,$A63+2,FALSE)="NO","NO",HLOOKUP(S$15,Data_5!$F$10:$BG$42,$A63+2,FALSE)/Data_5!$BH58))))),"")</f>
        <v/>
      </c>
      <c r="T63" s="1122" t="str">
        <f>IFERROR(IF(HLOOKUP(T$15,Data_5!$F$10:$BG$42,$A63+2,FALSE)="NO","NO",IF(HLOOKUP(T$15,Data_5!$F$10:$BG$42,$A63+2,FALSE)="IE","IE",IF(HLOOKUP(T$15,Data_5!$F$10:$BG$42,$A63+2,FALSE)="NE","NE",IF(HLOOKUP(T$15,Data_5!$F$10:$BG$42,$A63+2,FALSE)="C","C",IF(HLOOKUP(T$15,Data_5!$F$10:$BG$42,$A63+2,FALSE)="NO","NO",HLOOKUP(T$15,Data_5!$F$10:$BG$42,$A63+2,FALSE)/Data_5!$BH58))))),"")</f>
        <v/>
      </c>
      <c r="U63" s="1122" t="str">
        <f>IFERROR(IF(HLOOKUP(U$15,Data_5!$F$10:$BG$42,$A63+2,FALSE)="NO","NO",IF(HLOOKUP(U$15,Data_5!$F$10:$BG$42,$A63+2,FALSE)="IE","IE",IF(HLOOKUP(U$15,Data_5!$F$10:$BG$42,$A63+2,FALSE)="NE","NE",IF(HLOOKUP(U$15,Data_5!$F$10:$BG$42,$A63+2,FALSE)="C","C",IF(HLOOKUP(U$15,Data_5!$F$10:$BG$42,$A63+2,FALSE)="NO","NO",HLOOKUP(U$15,Data_5!$F$10:$BG$42,$A63+2,FALSE)/Data_5!$BH58))))),"")</f>
        <v/>
      </c>
      <c r="V63" s="1122" t="str">
        <f>IFERROR(IF(HLOOKUP(V$15,Data_5!$F$10:$BG$42,$A63+2,FALSE)="NO","NO",IF(HLOOKUP(V$15,Data_5!$F$10:$BG$42,$A63+2,FALSE)="IE","IE",IF(HLOOKUP(V$15,Data_5!$F$10:$BG$42,$A63+2,FALSE)="NE","NE",IF(HLOOKUP(V$15,Data_5!$F$10:$BG$42,$A63+2,FALSE)="C","C",IF(HLOOKUP(V$15,Data_5!$F$10:$BG$42,$A63+2,FALSE)="NO","NO",HLOOKUP(V$15,Data_5!$F$10:$BG$42,$A63+2,FALSE)/Data_5!$BH58))))),"")</f>
        <v/>
      </c>
      <c r="W63" s="1122" t="str">
        <f>IFERROR(IF(HLOOKUP(W$15,Data_5!$F$10:$BG$42,$A63+2,FALSE)="NO","NO",IF(HLOOKUP(W$15,Data_5!$F$10:$BG$42,$A63+2,FALSE)="IE","IE",IF(HLOOKUP(W$15,Data_5!$F$10:$BG$42,$A63+2,FALSE)="NE","NE",IF(HLOOKUP(W$15,Data_5!$F$10:$BG$42,$A63+2,FALSE)="C","C",IF(HLOOKUP(W$15,Data_5!$F$10:$BG$42,$A63+2,FALSE)="NO","NO",HLOOKUP(W$15,Data_5!$F$10:$BG$42,$A63+2,FALSE)/Data_5!$BH58))))),"")</f>
        <v/>
      </c>
      <c r="X63" s="1122" t="str">
        <f>IFERROR(IF(HLOOKUP(X$15,Data_5!$F$10:$BG$42,$A63+2,FALSE)="NO","NO",IF(HLOOKUP(X$15,Data_5!$F$10:$BG$42,$A63+2,FALSE)="IE","IE",IF(HLOOKUP(X$15,Data_5!$F$10:$BG$42,$A63+2,FALSE)="NE","NE",IF(HLOOKUP(X$15,Data_5!$F$10:$BG$42,$A63+2,FALSE)="C","C",IF(HLOOKUP(X$15,Data_5!$F$10:$BG$42,$A63+2,FALSE)="NO","NO",HLOOKUP(X$15,Data_5!$F$10:$BG$42,$A63+2,FALSE)/Data_5!$BH58))))),"")</f>
        <v/>
      </c>
      <c r="Y63" s="1122" t="str">
        <f>IFERROR(IF(HLOOKUP(Y$15,Data_5!$F$10:$BG$42,$A63+2,FALSE)="NO","NO",IF(HLOOKUP(Y$15,Data_5!$F$10:$BG$42,$A63+2,FALSE)="IE","IE",IF(HLOOKUP(Y$15,Data_5!$F$10:$BG$42,$A63+2,FALSE)="NE","NE",IF(HLOOKUP(Y$15,Data_5!$F$10:$BG$42,$A63+2,FALSE)="C","C",IF(HLOOKUP(Y$15,Data_5!$F$10:$BG$42,$A63+2,FALSE)="NO","NO",HLOOKUP(Y$15,Data_5!$F$10:$BG$42,$A63+2,FALSE)/Data_5!$BH58))))),"")</f>
        <v/>
      </c>
      <c r="Z63" s="1122" t="str">
        <f>IFERROR(IF(HLOOKUP(Z$15,Data_5!$F$10:$BG$42,$A63+2,FALSE)="NO","NO",IF(HLOOKUP(Z$15,Data_5!$F$10:$BG$42,$A63+2,FALSE)="IE","IE",IF(HLOOKUP(Z$15,Data_5!$F$10:$BG$42,$A63+2,FALSE)="NE","NE",IF(HLOOKUP(Z$15,Data_5!$F$10:$BG$42,$A63+2,FALSE)="C","C",IF(HLOOKUP(Z$15,Data_5!$F$10:$BG$42,$A63+2,FALSE)="NO","NO",HLOOKUP(Z$15,Data_5!$F$10:$BG$42,$A63+2,FALSE)/Data_5!$BH58))))),"")</f>
        <v/>
      </c>
      <c r="AA63" s="1122" t="str">
        <f>IFERROR(IF(HLOOKUP(AA$15,Data_5!$F$10:$BG$42,$A63+2,FALSE)="NO","NO",IF(HLOOKUP(AA$15,Data_5!$F$10:$BG$42,$A63+2,FALSE)="IE","IE",IF(HLOOKUP(AA$15,Data_5!$F$10:$BG$42,$A63+2,FALSE)="NE","NE",IF(HLOOKUP(AA$15,Data_5!$F$10:$BG$42,$A63+2,FALSE)="C","C",IF(HLOOKUP(AA$15,Data_5!$F$10:$BG$42,$A63+2,FALSE)="NO","NO",HLOOKUP(AA$15,Data_5!$F$10:$BG$42,$A63+2,FALSE)/Data_5!$BH58))))),"")</f>
        <v/>
      </c>
      <c r="AB63" s="1122" t="str">
        <f>IFERROR(IF(HLOOKUP(AB$15,Data_5!$F$10:$BG$42,$A63+2,FALSE)="NO","NO",IF(HLOOKUP(AB$15,Data_5!$F$10:$BG$42,$A63+2,FALSE)="IE","IE",IF(HLOOKUP(AB$15,Data_5!$F$10:$BG$42,$A63+2,FALSE)="NE","NE",IF(HLOOKUP(AB$15,Data_5!$F$10:$BG$42,$A63+2,FALSE)="C","C",IF(HLOOKUP(AB$15,Data_5!$F$10:$BG$42,$A63+2,FALSE)="NO","NO",HLOOKUP(AB$15,Data_5!$F$10:$BG$42,$A63+2,FALSE)/Data_5!$BH58))))),"")</f>
        <v/>
      </c>
      <c r="AC63" s="1122" t="str">
        <f>IFERROR(IF(HLOOKUP(AC$15,Data_5!$F$10:$BG$42,$A63+2,FALSE)="NO","NO",IF(HLOOKUP(AC$15,Data_5!$F$10:$BG$42,$A63+2,FALSE)="IE","IE",IF(HLOOKUP(AC$15,Data_5!$F$10:$BG$42,$A63+2,FALSE)="NE","NE",IF(HLOOKUP(AC$15,Data_5!$F$10:$BG$42,$A63+2,FALSE)="C","C",IF(HLOOKUP(AC$15,Data_5!$F$10:$BG$42,$A63+2,FALSE)="NO","NO",HLOOKUP(AC$15,Data_5!$F$10:$BG$42,$A63+2,FALSE)/Data_5!$BH58))))),"")</f>
        <v/>
      </c>
      <c r="AD63" s="1122" t="str">
        <f>IFERROR(IF(HLOOKUP(AD$15,Data_5!$F$10:$BG$42,$A63+2,FALSE)="NO","NO",IF(HLOOKUP(AD$15,Data_5!$F$10:$BG$42,$A63+2,FALSE)="IE","IE",IF(HLOOKUP(AD$15,Data_5!$F$10:$BG$42,$A63+2,FALSE)="NE","NE",IF(HLOOKUP(AD$15,Data_5!$F$10:$BG$42,$A63+2,FALSE)="C","C",IF(HLOOKUP(AD$15,Data_5!$F$10:$BG$42,$A63+2,FALSE)="NO","NO",HLOOKUP(AD$15,Data_5!$F$10:$BG$42,$A63+2,FALSE)/Data_5!$BH58))))),"")</f>
        <v/>
      </c>
      <c r="AE63" s="1122" t="str">
        <f>IFERROR(IF(HLOOKUP(AE$15,Data_5!$F$10:$BG$42,$A63+2,FALSE)="NO","NO",IF(HLOOKUP(AE$15,Data_5!$F$10:$BG$42,$A63+2,FALSE)="IE","IE",IF(HLOOKUP(AE$15,Data_5!$F$10:$BG$42,$A63+2,FALSE)="NE","NE",IF(HLOOKUP(AE$15,Data_5!$F$10:$BG$42,$A63+2,FALSE)="C","C",IF(HLOOKUP(AE$15,Data_5!$F$10:$BG$42,$A63+2,FALSE)="NO","NO",HLOOKUP(AE$15,Data_5!$F$10:$BG$42,$A63+2,FALSE)/Data_5!$BH58))))),"")</f>
        <v/>
      </c>
      <c r="AF63" s="1122" t="str">
        <f>IFERROR(IF(HLOOKUP(AF$15,Data_5!$F$10:$BG$42,$A63+2,FALSE)="NO","NO",IF(HLOOKUP(AF$15,Data_5!$F$10:$BG$42,$A63+2,FALSE)="IE","IE",IF(HLOOKUP(AF$15,Data_5!$F$10:$BG$42,$A63+2,FALSE)="NE","NE",IF(HLOOKUP(AF$15,Data_5!$F$10:$BG$42,$A63+2,FALSE)="C","C",IF(HLOOKUP(AF$15,Data_5!$F$10:$BG$42,$A63+2,FALSE)="NO","NO",HLOOKUP(AF$15,Data_5!$F$10:$BG$42,$A63+2,FALSE)/Data_5!$BH58))))),"")</f>
        <v/>
      </c>
      <c r="AG63" s="1122" t="str">
        <f>IFERROR(IF(HLOOKUP(AG$15,Data_5!$F$10:$BG$42,$A63+2,FALSE)="NO","NO",IF(HLOOKUP(AG$15,Data_5!$F$10:$BG$42,$A63+2,FALSE)="IE","IE",IF(HLOOKUP(AG$15,Data_5!$F$10:$BG$42,$A63+2,FALSE)="NE","NE",IF(HLOOKUP(AG$15,Data_5!$F$10:$BG$42,$A63+2,FALSE)="C","C",IF(HLOOKUP(AG$15,Data_5!$F$10:$BG$42,$A63+2,FALSE)="NO","NO",HLOOKUP(AG$15,Data_5!$F$10:$BG$42,$A63+2,FALSE)/Data_5!$BH58))))),"")</f>
        <v/>
      </c>
      <c r="AH63" s="1122" t="str">
        <f>IFERROR(IF(HLOOKUP(AH$15,Data_5!$F$10:$BG$42,$A63+2,FALSE)="NO","NO",IF(HLOOKUP(AH$15,Data_5!$F$10:$BG$42,$A63+2,FALSE)="IE","IE",IF(HLOOKUP(AH$15,Data_5!$F$10:$BG$42,$A63+2,FALSE)="NE","NE",IF(HLOOKUP(AH$15,Data_5!$F$10:$BG$42,$A63+2,FALSE)="C","C",IF(HLOOKUP(AH$15,Data_5!$F$10:$BG$42,$A63+2,FALSE)="NO","NO",HLOOKUP(AH$15,Data_5!$F$10:$BG$42,$A63+2,FALSE)/Data_5!$BH58))))),"")</f>
        <v/>
      </c>
      <c r="AI63" s="1122" t="str">
        <f>IFERROR(IF(HLOOKUP(AI$15,Data_5!$F$10:$BG$42,$A63+2,FALSE)="NO","NO",IF(HLOOKUP(AI$15,Data_5!$F$10:$BG$42,$A63+2,FALSE)="IE","IE",IF(HLOOKUP(AI$15,Data_5!$F$10:$BG$42,$A63+2,FALSE)="NE","NE",IF(HLOOKUP(AI$15,Data_5!$F$10:$BG$42,$A63+2,FALSE)="C","C",IF(HLOOKUP(AI$15,Data_5!$F$10:$BG$42,$A63+2,FALSE)="NO","NO",HLOOKUP(AI$15,Data_5!$F$10:$BG$42,$A63+2,FALSE)/Data_5!$BH58))))),"")</f>
        <v/>
      </c>
      <c r="AJ63" s="1122" t="str">
        <f>IFERROR(IF(HLOOKUP(AJ$15,Data_5!$F$10:$BG$42,$A63+2,FALSE)="NO","NO",IF(HLOOKUP(AJ$15,Data_5!$F$10:$BG$42,$A63+2,FALSE)="IE","IE",IF(HLOOKUP(AJ$15,Data_5!$F$10:$BG$42,$A63+2,FALSE)="NE","NE",IF(HLOOKUP(AJ$15,Data_5!$F$10:$BG$42,$A63+2,FALSE)="C","C",IF(HLOOKUP(AJ$15,Data_5!$F$10:$BG$42,$A63+2,FALSE)="NO","NO",HLOOKUP(AJ$15,Data_5!$F$10:$BG$42,$A63+2,FALSE)/Data_5!$BH58))))),"")</f>
        <v/>
      </c>
      <c r="AL63" s="2628" t="str">
        <f t="shared" ca="1" si="0"/>
        <v/>
      </c>
      <c r="AM63" s="2629"/>
      <c r="AN63" s="1100" t="str">
        <f t="shared" ca="1" si="1"/>
        <v/>
      </c>
      <c r="AO63" s="1122" t="str">
        <f>IFERROR(IF(HLOOKUP(AO$15,Data_5!$F$10:$BG$42,$A63+2,FALSE)="NO","NO",IF(HLOOKUP(AO$15,Data_5!$F$10:$BG$42,$A63+2,FALSE)="IE","IE",IF(HLOOKUP(AO$15,Data_5!$F$10:$BG$42,$A63+2,FALSE)="NE","NE",IF(HLOOKUP(AO$15,Data_5!$F$10:$BG$42,$A63+2,FALSE)="C","C",IF(HLOOKUP(AO$15,Data_5!$F$10:$BG$42,$A63+2,FALSE)="NO","NO",HLOOKUP(AO$15,Data_5!$F$10:$BG$42,$A63+2,FALSE)/Data_5!$BI58))))),"")</f>
        <v/>
      </c>
      <c r="AP63" s="1122" t="str">
        <f>IFERROR(IF(HLOOKUP(AP$15,Data_5!$F$10:$BG$42,$A63+2,FALSE)="NO","NO",IF(HLOOKUP(AP$15,Data_5!$F$10:$BG$42,$A63+2,FALSE)="IE","IE",IF(HLOOKUP(AP$15,Data_5!$F$10:$BG$42,$A63+2,FALSE)="NE","NE",IF(HLOOKUP(AP$15,Data_5!$F$10:$BG$42,$A63+2,FALSE)="C","C",IF(HLOOKUP(AP$15,Data_5!$F$10:$BG$42,$A63+2,FALSE)="NO","NO",HLOOKUP(AP$15,Data_5!$F$10:$BG$42,$A63+2,FALSE)/Data_5!$BI58))))),"")</f>
        <v/>
      </c>
      <c r="AQ63" s="1122" t="str">
        <f>IFERROR(IF(HLOOKUP(AQ$15,Data_5!$F$10:$BG$42,$A63+2,FALSE)="NO","NO",IF(HLOOKUP(AQ$15,Data_5!$F$10:$BG$42,$A63+2,FALSE)="IE","IE",IF(HLOOKUP(AQ$15,Data_5!$F$10:$BG$42,$A63+2,FALSE)="NE","NE",IF(HLOOKUP(AQ$15,Data_5!$F$10:$BG$42,$A63+2,FALSE)="C","C",IF(HLOOKUP(AQ$15,Data_5!$F$10:$BG$42,$A63+2,FALSE)="NO","NO",HLOOKUP(AQ$15,Data_5!$F$10:$BG$42,$A63+2,FALSE)/Data_5!$BI58))))),"")</f>
        <v/>
      </c>
      <c r="AR63" s="1122" t="str">
        <f>IFERROR(IF(HLOOKUP(AR$15,Data_5!$F$10:$BG$42,$A63+2,FALSE)="NO","NO",IF(HLOOKUP(AR$15,Data_5!$F$10:$BG$42,$A63+2,FALSE)="IE","IE",IF(HLOOKUP(AR$15,Data_5!$F$10:$BG$42,$A63+2,FALSE)="NE","NE",IF(HLOOKUP(AR$15,Data_5!$F$10:$BG$42,$A63+2,FALSE)="C","C",IF(HLOOKUP(AR$15,Data_5!$F$10:$BG$42,$A63+2,FALSE)="NO","NO",HLOOKUP(AR$15,Data_5!$F$10:$BG$42,$A63+2,FALSE)/Data_5!$BI58))))),"")</f>
        <v/>
      </c>
      <c r="AS63" s="1122" t="str">
        <f>IFERROR(IF(HLOOKUP(AS$15,Data_5!$F$10:$BG$42,$A63+2,FALSE)="NO","NO",IF(HLOOKUP(AS$15,Data_5!$F$10:$BG$42,$A63+2,FALSE)="IE","IE",IF(HLOOKUP(AS$15,Data_5!$F$10:$BG$42,$A63+2,FALSE)="NE","NE",IF(HLOOKUP(AS$15,Data_5!$F$10:$BG$42,$A63+2,FALSE)="C","C",IF(HLOOKUP(AS$15,Data_5!$F$10:$BG$42,$A63+2,FALSE)="NO","NO",HLOOKUP(AS$15,Data_5!$F$10:$BG$42,$A63+2,FALSE)/Data_5!$BI58))))),"")</f>
        <v/>
      </c>
      <c r="AT63" s="1122" t="str">
        <f>IFERROR(IF(HLOOKUP(AT$15,Data_5!$F$10:$BG$42,$A63+2,FALSE)="NO","NO",IF(HLOOKUP(AT$15,Data_5!$F$10:$BG$42,$A63+2,FALSE)="IE","IE",IF(HLOOKUP(AT$15,Data_5!$F$10:$BG$42,$A63+2,FALSE)="NE","NE",IF(HLOOKUP(AT$15,Data_5!$F$10:$BG$42,$A63+2,FALSE)="C","C",IF(HLOOKUP(AT$15,Data_5!$F$10:$BG$42,$A63+2,FALSE)="NO","NO",HLOOKUP(AT$15,Data_5!$F$10:$BG$42,$A63+2,FALSE)/Data_5!$BI58))))),"")</f>
        <v/>
      </c>
      <c r="AU63" s="1122" t="str">
        <f>IFERROR(IF(HLOOKUP(AU$15,Data_5!$F$10:$BG$42,$A63+2,FALSE)="NO","NO",IF(HLOOKUP(AU$15,Data_5!$F$10:$BG$42,$A63+2,FALSE)="IE","IE",IF(HLOOKUP(AU$15,Data_5!$F$10:$BG$42,$A63+2,FALSE)="NE","NE",IF(HLOOKUP(AU$15,Data_5!$F$10:$BG$42,$A63+2,FALSE)="C","C",IF(HLOOKUP(AU$15,Data_5!$F$10:$BG$42,$A63+2,FALSE)="NO","NO",HLOOKUP(AU$15,Data_5!$F$10:$BG$42,$A63+2,FALSE)/Data_5!$BI58))))),"")</f>
        <v/>
      </c>
      <c r="AV63" s="1122" t="str">
        <f>IFERROR(IF(HLOOKUP(AV$15,Data_5!$F$10:$BG$42,$A63+2,FALSE)="NO","NO",IF(HLOOKUP(AV$15,Data_5!$F$10:$BG$42,$A63+2,FALSE)="IE","IE",IF(HLOOKUP(AV$15,Data_5!$F$10:$BG$42,$A63+2,FALSE)="NE","NE",IF(HLOOKUP(AV$15,Data_5!$F$10:$BG$42,$A63+2,FALSE)="C","C",IF(HLOOKUP(AV$15,Data_5!$F$10:$BG$42,$A63+2,FALSE)="NO","NO",HLOOKUP(AV$15,Data_5!$F$10:$BG$42,$A63+2,FALSE)/Data_5!$BI58))))),"")</f>
        <v/>
      </c>
      <c r="AW63" s="1122" t="str">
        <f>IFERROR(IF(HLOOKUP(AW$15,Data_5!$F$10:$BG$42,$A63+2,FALSE)="NO","NO",IF(HLOOKUP(AW$15,Data_5!$F$10:$BG$42,$A63+2,FALSE)="IE","IE",IF(HLOOKUP(AW$15,Data_5!$F$10:$BG$42,$A63+2,FALSE)="NE","NE",IF(HLOOKUP(AW$15,Data_5!$F$10:$BG$42,$A63+2,FALSE)="C","C",IF(HLOOKUP(AW$15,Data_5!$F$10:$BG$42,$A63+2,FALSE)="NO","NO",HLOOKUP(AW$15,Data_5!$F$10:$BG$42,$A63+2,FALSE)/Data_5!$BI58))))),"")</f>
        <v/>
      </c>
      <c r="AX63" s="1122" t="str">
        <f>IFERROR(IF(HLOOKUP(AX$15,Data_5!$F$10:$BG$42,$A63+2,FALSE)="NO","NO",IF(HLOOKUP(AX$15,Data_5!$F$10:$BG$42,$A63+2,FALSE)="IE","IE",IF(HLOOKUP(AX$15,Data_5!$F$10:$BG$42,$A63+2,FALSE)="NE","NE",IF(HLOOKUP(AX$15,Data_5!$F$10:$BG$42,$A63+2,FALSE)="C","C",IF(HLOOKUP(AX$15,Data_5!$F$10:$BG$42,$A63+2,FALSE)="NO","NO",HLOOKUP(AX$15,Data_5!$F$10:$BG$42,$A63+2,FALSE)/Data_5!$BI58))))),"")</f>
        <v/>
      </c>
      <c r="AY63" s="1122" t="str">
        <f>IFERROR(IF(HLOOKUP(AY$15,Data_5!$F$10:$BG$42,$A63+2,FALSE)="NO","NO",IF(HLOOKUP(AY$15,Data_5!$F$10:$BG$42,$A63+2,FALSE)="IE","IE",IF(HLOOKUP(AY$15,Data_5!$F$10:$BG$42,$A63+2,FALSE)="NE","NE",IF(HLOOKUP(AY$15,Data_5!$F$10:$BG$42,$A63+2,FALSE)="C","C",IF(HLOOKUP(AY$15,Data_5!$F$10:$BG$42,$A63+2,FALSE)="NO","NO",HLOOKUP(AY$15,Data_5!$F$10:$BG$42,$A63+2,FALSE)/Data_5!$BI58))))),"")</f>
        <v/>
      </c>
      <c r="AZ63" s="1122" t="str">
        <f>IFERROR(IF(HLOOKUP(AZ$15,Data_5!$F$10:$BG$42,$A63+2,FALSE)="NO","NO",IF(HLOOKUP(AZ$15,Data_5!$F$10:$BG$42,$A63+2,FALSE)="IE","IE",IF(HLOOKUP(AZ$15,Data_5!$F$10:$BG$42,$A63+2,FALSE)="NE","NE",IF(HLOOKUP(AZ$15,Data_5!$F$10:$BG$42,$A63+2,FALSE)="C","C",IF(HLOOKUP(AZ$15,Data_5!$F$10:$BG$42,$A63+2,FALSE)="NO","NO",HLOOKUP(AZ$15,Data_5!$F$10:$BG$42,$A63+2,FALSE)/Data_5!$BI58))))),"")</f>
        <v/>
      </c>
      <c r="BA63" s="1122" t="str">
        <f>IFERROR(IF(HLOOKUP(BA$15,Data_5!$F$10:$BG$42,$A63+2,FALSE)="NO","NO",IF(HLOOKUP(BA$15,Data_5!$F$10:$BG$42,$A63+2,FALSE)="IE","IE",IF(HLOOKUP(BA$15,Data_5!$F$10:$BG$42,$A63+2,FALSE)="NE","NE",IF(HLOOKUP(BA$15,Data_5!$F$10:$BG$42,$A63+2,FALSE)="C","C",IF(HLOOKUP(BA$15,Data_5!$F$10:$BG$42,$A63+2,FALSE)="NO","NO",HLOOKUP(BA$15,Data_5!$F$10:$BG$42,$A63+2,FALSE)/Data_5!$BI58))))),"")</f>
        <v/>
      </c>
      <c r="BB63" s="1122" t="str">
        <f>IFERROR(IF(HLOOKUP(BB$15,Data_5!$F$10:$BG$42,$A63+2,FALSE)="NO","NO",IF(HLOOKUP(BB$15,Data_5!$F$10:$BG$42,$A63+2,FALSE)="IE","IE",IF(HLOOKUP(BB$15,Data_5!$F$10:$BG$42,$A63+2,FALSE)="NE","NE",IF(HLOOKUP(BB$15,Data_5!$F$10:$BG$42,$A63+2,FALSE)="C","C",IF(HLOOKUP(BB$15,Data_5!$F$10:$BG$42,$A63+2,FALSE)="NO","NO",HLOOKUP(BB$15,Data_5!$F$10:$BG$42,$A63+2,FALSE)/Data_5!$BI58))))),"")</f>
        <v/>
      </c>
      <c r="BC63" s="1122" t="str">
        <f>IFERROR(IF(HLOOKUP(BC$15,Data_5!$F$10:$BG$42,$A63+2,FALSE)="NO","NO",IF(HLOOKUP(BC$15,Data_5!$F$10:$BG$42,$A63+2,FALSE)="IE","IE",IF(HLOOKUP(BC$15,Data_5!$F$10:$BG$42,$A63+2,FALSE)="NE","NE",IF(HLOOKUP(BC$15,Data_5!$F$10:$BG$42,$A63+2,FALSE)="C","C",IF(HLOOKUP(BC$15,Data_5!$F$10:$BG$42,$A63+2,FALSE)="NO","NO",HLOOKUP(BC$15,Data_5!$F$10:$BG$42,$A63+2,FALSE)/Data_5!$BI58))))),"")</f>
        <v/>
      </c>
      <c r="BD63" s="1122" t="str">
        <f>IFERROR(IF(HLOOKUP(BD$15,Data_5!$F$10:$BG$42,$A63+2,FALSE)="NO","NO",IF(HLOOKUP(BD$15,Data_5!$F$10:$BG$42,$A63+2,FALSE)="IE","IE",IF(HLOOKUP(BD$15,Data_5!$F$10:$BG$42,$A63+2,FALSE)="NE","NE",IF(HLOOKUP(BD$15,Data_5!$F$10:$BG$42,$A63+2,FALSE)="C","C",IF(HLOOKUP(BD$15,Data_5!$F$10:$BG$42,$A63+2,FALSE)="NO","NO",HLOOKUP(BD$15,Data_5!$F$10:$BG$42,$A63+2,FALSE)/Data_5!$BI58))))),"")</f>
        <v/>
      </c>
      <c r="BE63" s="1122" t="str">
        <f>IFERROR(IF(HLOOKUP(BE$15,Data_5!$F$10:$BG$42,$A63+2,FALSE)="NO","NO",IF(HLOOKUP(BE$15,Data_5!$F$10:$BG$42,$A63+2,FALSE)="IE","IE",IF(HLOOKUP(BE$15,Data_5!$F$10:$BG$42,$A63+2,FALSE)="NE","NE",IF(HLOOKUP(BE$15,Data_5!$F$10:$BG$42,$A63+2,FALSE)="C","C",IF(HLOOKUP(BE$15,Data_5!$F$10:$BG$42,$A63+2,FALSE)="NO","NO",HLOOKUP(BE$15,Data_5!$F$10:$BG$42,$A63+2,FALSE)/Data_5!$BI58))))),"")</f>
        <v/>
      </c>
      <c r="BF63" s="1122" t="str">
        <f>IFERROR(IF(HLOOKUP(BF$15,Data_5!$F$10:$BG$42,$A63+2,FALSE)="NO","NO",IF(HLOOKUP(BF$15,Data_5!$F$10:$BG$42,$A63+2,FALSE)="IE","IE",IF(HLOOKUP(BF$15,Data_5!$F$10:$BG$42,$A63+2,FALSE)="NE","NE",IF(HLOOKUP(BF$15,Data_5!$F$10:$BG$42,$A63+2,FALSE)="C","C",IF(HLOOKUP(BF$15,Data_5!$F$10:$BG$42,$A63+2,FALSE)="NO","NO",HLOOKUP(BF$15,Data_5!$F$10:$BG$42,$A63+2,FALSE)/Data_5!$BI58))))),"")</f>
        <v/>
      </c>
      <c r="BG63" s="1122" t="str">
        <f>IFERROR(IF(HLOOKUP(BG$15,Data_5!$F$10:$BG$42,$A63+2,FALSE)="NO","NO",IF(HLOOKUP(BG$15,Data_5!$F$10:$BG$42,$A63+2,FALSE)="IE","IE",IF(HLOOKUP(BG$15,Data_5!$F$10:$BG$42,$A63+2,FALSE)="NE","NE",IF(HLOOKUP(BG$15,Data_5!$F$10:$BG$42,$A63+2,FALSE)="C","C",IF(HLOOKUP(BG$15,Data_5!$F$10:$BG$42,$A63+2,FALSE)="NO","NO",HLOOKUP(BG$15,Data_5!$F$10:$BG$42,$A63+2,FALSE)/Data_5!$BI58))))),"")</f>
        <v/>
      </c>
      <c r="BH63" s="1122" t="str">
        <f>IFERROR(IF(HLOOKUP(BH$15,Data_5!$F$10:$BG$42,$A63+2,FALSE)="NO","NO",IF(HLOOKUP(BH$15,Data_5!$F$10:$BG$42,$A63+2,FALSE)="IE","IE",IF(HLOOKUP(BH$15,Data_5!$F$10:$BG$42,$A63+2,FALSE)="NE","NE",IF(HLOOKUP(BH$15,Data_5!$F$10:$BG$42,$A63+2,FALSE)="C","C",IF(HLOOKUP(BH$15,Data_5!$F$10:$BG$42,$A63+2,FALSE)="NO","NO",HLOOKUP(BH$15,Data_5!$F$10:$BG$42,$A63+2,FALSE)/Data_5!$BI58))))),"")</f>
        <v/>
      </c>
      <c r="BI63" s="1122" t="str">
        <f>IFERROR(IF(HLOOKUP(BI$15,Data_5!$F$10:$BG$42,$A63+2,FALSE)="NO","NO",IF(HLOOKUP(BI$15,Data_5!$F$10:$BG$42,$A63+2,FALSE)="IE","IE",IF(HLOOKUP(BI$15,Data_5!$F$10:$BG$42,$A63+2,FALSE)="NE","NE",IF(HLOOKUP(BI$15,Data_5!$F$10:$BG$42,$A63+2,FALSE)="C","C",IF(HLOOKUP(BI$15,Data_5!$F$10:$BG$42,$A63+2,FALSE)="NO","NO",HLOOKUP(BI$15,Data_5!$F$10:$BG$42,$A63+2,FALSE)/Data_5!$BI58))))),"")</f>
        <v/>
      </c>
      <c r="BJ63" s="1122" t="str">
        <f>IFERROR(IF(HLOOKUP(BJ$15,Data_5!$F$10:$BG$42,$A63+2,FALSE)="NO","NO",IF(HLOOKUP(BJ$15,Data_5!$F$10:$BG$42,$A63+2,FALSE)="IE","IE",IF(HLOOKUP(BJ$15,Data_5!$F$10:$BG$42,$A63+2,FALSE)="NE","NE",IF(HLOOKUP(BJ$15,Data_5!$F$10:$BG$42,$A63+2,FALSE)="C","C",IF(HLOOKUP(BJ$15,Data_5!$F$10:$BG$42,$A63+2,FALSE)="NO","NO",HLOOKUP(BJ$15,Data_5!$F$10:$BG$42,$A63+2,FALSE)/Data_5!$BI58))))),"")</f>
        <v/>
      </c>
      <c r="BK63" s="1122" t="str">
        <f>IFERROR(IF(HLOOKUP(BK$15,Data_5!$F$10:$BG$42,$A63+2,FALSE)="NO","NO",IF(HLOOKUP(BK$15,Data_5!$F$10:$BG$42,$A63+2,FALSE)="IE","IE",IF(HLOOKUP(BK$15,Data_5!$F$10:$BG$42,$A63+2,FALSE)="NE","NE",IF(HLOOKUP(BK$15,Data_5!$F$10:$BG$42,$A63+2,FALSE)="C","C",IF(HLOOKUP(BK$15,Data_5!$F$10:$BG$42,$A63+2,FALSE)="NO","NO",HLOOKUP(BK$15,Data_5!$F$10:$BG$42,$A63+2,FALSE)/Data_5!$BI58))))),"")</f>
        <v/>
      </c>
      <c r="BL63" s="1122" t="str">
        <f>IFERROR(IF(HLOOKUP(BL$15,Data_5!$F$10:$BG$42,$A63+2,FALSE)="NO","NO",IF(HLOOKUP(BL$15,Data_5!$F$10:$BG$42,$A63+2,FALSE)="IE","IE",IF(HLOOKUP(BL$15,Data_5!$F$10:$BG$42,$A63+2,FALSE)="NE","NE",IF(HLOOKUP(BL$15,Data_5!$F$10:$BG$42,$A63+2,FALSE)="C","C",IF(HLOOKUP(BL$15,Data_5!$F$10:$BG$42,$A63+2,FALSE)="NO","NO",HLOOKUP(BL$15,Data_5!$F$10:$BG$42,$A63+2,FALSE)/Data_5!$BI58))))),"")</f>
        <v/>
      </c>
      <c r="BM63" s="1122" t="str">
        <f>IFERROR(IF(HLOOKUP(BM$15,Data_5!$F$10:$BG$42,$A63+2,FALSE)="NO","NO",IF(HLOOKUP(BM$15,Data_5!$F$10:$BG$42,$A63+2,FALSE)="IE","IE",IF(HLOOKUP(BM$15,Data_5!$F$10:$BG$42,$A63+2,FALSE)="NE","NE",IF(HLOOKUP(BM$15,Data_5!$F$10:$BG$42,$A63+2,FALSE)="C","C",IF(HLOOKUP(BM$15,Data_5!$F$10:$BG$42,$A63+2,FALSE)="NO","NO",HLOOKUP(BM$15,Data_5!$F$10:$BG$42,$A63+2,FALSE)/Data_5!$BI58))))),"")</f>
        <v/>
      </c>
      <c r="BN63" s="1122" t="str">
        <f>IFERROR(IF(HLOOKUP(BN$15,Data_5!$F$10:$BG$42,$A63+2,FALSE)="NO","NO",IF(HLOOKUP(BN$15,Data_5!$F$10:$BG$42,$A63+2,FALSE)="IE","IE",IF(HLOOKUP(BN$15,Data_5!$F$10:$BG$42,$A63+2,FALSE)="NE","NE",IF(HLOOKUP(BN$15,Data_5!$F$10:$BG$42,$A63+2,FALSE)="C","C",IF(HLOOKUP(BN$15,Data_5!$F$10:$BG$42,$A63+2,FALSE)="NO","NO",HLOOKUP(BN$15,Data_5!$F$10:$BG$42,$A63+2,FALSE)/Data_5!$BI58))))),"")</f>
        <v/>
      </c>
      <c r="BO63" s="1122" t="str">
        <f>IFERROR(IF(HLOOKUP(BO$15,Data_5!$F$10:$BG$42,$A63+2,FALSE)="NO","NO",IF(HLOOKUP(BO$15,Data_5!$F$10:$BG$42,$A63+2,FALSE)="IE","IE",IF(HLOOKUP(BO$15,Data_5!$F$10:$BG$42,$A63+2,FALSE)="NE","NE",IF(HLOOKUP(BO$15,Data_5!$F$10:$BG$42,$A63+2,FALSE)="C","C",IF(HLOOKUP(BO$15,Data_5!$F$10:$BG$42,$A63+2,FALSE)="NO","NO",HLOOKUP(BO$15,Data_5!$F$10:$BG$42,$A63+2,FALSE)/Data_5!$BI58))))),"")</f>
        <v/>
      </c>
      <c r="BP63" s="1122" t="str">
        <f>IFERROR(IF(HLOOKUP(BP$15,Data_5!$F$10:$BG$42,$A63+2,FALSE)="NO","NO",IF(HLOOKUP(BP$15,Data_5!$F$10:$BG$42,$A63+2,FALSE)="IE","IE",IF(HLOOKUP(BP$15,Data_5!$F$10:$BG$42,$A63+2,FALSE)="NE","NE",IF(HLOOKUP(BP$15,Data_5!$F$10:$BG$42,$A63+2,FALSE)="C","C",IF(HLOOKUP(BP$15,Data_5!$F$10:$BG$42,$A63+2,FALSE)="NO","NO",HLOOKUP(BP$15,Data_5!$F$10:$BG$42,$A63+2,FALSE)/Data_5!$BI58))))),"")</f>
        <v/>
      </c>
      <c r="BQ63" s="1122" t="str">
        <f>IFERROR(IF(HLOOKUP(BQ$15,Data_5!$F$10:$BG$42,$A63+2,FALSE)="NO","NO",IF(HLOOKUP(BQ$15,Data_5!$F$10:$BG$42,$A63+2,FALSE)="IE","IE",IF(HLOOKUP(BQ$15,Data_5!$F$10:$BG$42,$A63+2,FALSE)="NE","NE",IF(HLOOKUP(BQ$15,Data_5!$F$10:$BG$42,$A63+2,FALSE)="C","C",IF(HLOOKUP(BQ$15,Data_5!$F$10:$BG$42,$A63+2,FALSE)="NO","NO",HLOOKUP(BQ$15,Data_5!$F$10:$BG$42,$A63+2,FALSE)/Data_5!$BI58))))),"")</f>
        <v/>
      </c>
      <c r="BR63" s="1122" t="str">
        <f>IFERROR(IF(HLOOKUP(BR$15,Data_5!$F$10:$BG$42,$A63+2,FALSE)="NO","NO",IF(HLOOKUP(BR$15,Data_5!$F$10:$BG$42,$A63+2,FALSE)="IE","IE",IF(HLOOKUP(BR$15,Data_5!$F$10:$BG$42,$A63+2,FALSE)="NE","NE",IF(HLOOKUP(BR$15,Data_5!$F$10:$BG$42,$A63+2,FALSE)="C","C",IF(HLOOKUP(BR$15,Data_5!$F$10:$BG$42,$A63+2,FALSE)="NO","NO",HLOOKUP(BR$15,Data_5!$F$10:$BG$42,$A63+2,FALSE)/Data_5!$BI58))))),"")</f>
        <v/>
      </c>
      <c r="BS63" s="1122" t="str">
        <f>IFERROR(IF(HLOOKUP(BS$15,Data_5!$F$10:$BG$42,$A63+2,FALSE)="NO","NO",IF(HLOOKUP(BS$15,Data_5!$F$10:$BG$42,$A63+2,FALSE)="IE","IE",IF(HLOOKUP(BS$15,Data_5!$F$10:$BG$42,$A63+2,FALSE)="NE","NE",IF(HLOOKUP(BS$15,Data_5!$F$10:$BG$42,$A63+2,FALSE)="C","C",IF(HLOOKUP(BS$15,Data_5!$F$10:$BG$42,$A63+2,FALSE)="NO","NO",HLOOKUP(BS$15,Data_5!$F$10:$BG$42,$A63+2,FALSE)/Data_5!$BI58))))),"")</f>
        <v/>
      </c>
      <c r="BT63" s="1122" t="str">
        <f>IFERROR(IF(HLOOKUP(BT$15,Data_5!$F$10:$BG$42,$A63+2,FALSE)="NO","NO",IF(HLOOKUP(BT$15,Data_5!$F$10:$BG$42,$A63+2,FALSE)="IE","IE",IF(HLOOKUP(BT$15,Data_5!$F$10:$BG$42,$A63+2,FALSE)="NE","NE",IF(HLOOKUP(BT$15,Data_5!$F$10:$BG$42,$A63+2,FALSE)="C","C",IF(HLOOKUP(BT$15,Data_5!$F$10:$BG$42,$A63+2,FALSE)="NO","NO",HLOOKUP(BT$15,Data_5!$F$10:$BG$42,$A63+2,FALSE)/Data_5!$BI58))))),"")</f>
        <v/>
      </c>
      <c r="BU63" s="1122" t="str">
        <f>IFERROR(IF(HLOOKUP(BU$15,Data_5!$F$10:$BG$42,$A63+2,FALSE)="NO","NO",IF(HLOOKUP(BU$15,Data_5!$F$10:$BG$42,$A63+2,FALSE)="IE","IE",IF(HLOOKUP(BU$15,Data_5!$F$10:$BG$42,$A63+2,FALSE)="NE","NE",IF(HLOOKUP(BU$15,Data_5!$F$10:$BG$42,$A63+2,FALSE)="C","C",IF(HLOOKUP(BU$15,Data_5!$F$10:$BG$42,$A63+2,FALSE)="NO","NO",HLOOKUP(BU$15,Data_5!$F$10:$BG$42,$A63+2,FALSE)/Data_5!$BI58))))),"")</f>
        <v/>
      </c>
      <c r="BV63" s="1122" t="str">
        <f>IFERROR(IF(HLOOKUP(BV$15,Data_5!$F$10:$BG$42,$A63+2,FALSE)="NO","NO",IF(HLOOKUP(BV$15,Data_5!$F$10:$BG$42,$A63+2,FALSE)="IE","IE",IF(HLOOKUP(BV$15,Data_5!$F$10:$BG$42,$A63+2,FALSE)="NE","NE",IF(HLOOKUP(BV$15,Data_5!$F$10:$BG$42,$A63+2,FALSE)="C","C",IF(HLOOKUP(BV$15,Data_5!$F$10:$BG$42,$A63+2,FALSE)="NO","NO",HLOOKUP(BV$15,Data_5!$F$10:$BG$42,$A63+2,FALSE)/Data_5!$BI58))))),"")</f>
        <v/>
      </c>
      <c r="BW63" s="1122" t="str">
        <f>IFERROR(IF(HLOOKUP(BW$15,Data_5!$F$10:$BG$42,$A63+2,FALSE)="NO","NO",IF(HLOOKUP(BW$15,Data_5!$F$10:$BG$42,$A63+2,FALSE)="IE","IE",IF(HLOOKUP(BW$15,Data_5!$F$10:$BG$42,$A63+2,FALSE)="NE","NE",IF(HLOOKUP(BW$15,Data_5!$F$10:$BG$42,$A63+2,FALSE)="C","C",IF(HLOOKUP(BW$15,Data_5!$F$10:$BG$42,$A63+2,FALSE)="NO","NO",HLOOKUP(BW$15,Data_5!$F$10:$BG$42,$A63+2,FALSE)/Data_5!$BI58))))),"")</f>
        <v/>
      </c>
      <c r="BX63" s="1122" t="str">
        <f>IFERROR(IF(HLOOKUP(BX$15,Data_5!$F$10:$BG$42,$A63+2,FALSE)="NO","NO",IF(HLOOKUP(BX$15,Data_5!$F$10:$BG$42,$A63+2,FALSE)="IE","IE",IF(HLOOKUP(BX$15,Data_5!$F$10:$BG$42,$A63+2,FALSE)="NE","NE",IF(HLOOKUP(BX$15,Data_5!$F$10:$BG$42,$A63+2,FALSE)="C","C",IF(HLOOKUP(BX$15,Data_5!$F$10:$BG$42,$A63+2,FALSE)="NO","NO",HLOOKUP(BX$15,Data_5!$F$10:$BG$42,$A63+2,FALSE)/Data_5!$BI58))))),"")</f>
        <v/>
      </c>
      <c r="BY63" s="1122" t="str">
        <f>IFERROR(IF(HLOOKUP(BY$15,Data_5!$F$10:$BG$42,$A63+2,FALSE)="NO","NO",IF(HLOOKUP(BY$15,Data_5!$F$10:$BG$42,$A63+2,FALSE)="IE","IE",IF(HLOOKUP(BY$15,Data_5!$F$10:$BG$42,$A63+2,FALSE)="NE","NE",IF(HLOOKUP(BY$15,Data_5!$F$10:$BG$42,$A63+2,FALSE)="C","C",IF(HLOOKUP(BY$15,Data_5!$F$10:$BG$42,$A63+2,FALSE)="NO","NO",HLOOKUP(BY$15,Data_5!$F$10:$BG$42,$A63+2,FALSE)/Data_5!$BI58))))),"")</f>
        <v/>
      </c>
      <c r="BZ63" s="1122" t="str">
        <f>IFERROR(IF(HLOOKUP(BZ$15,Data_5!$F$10:$BG$42,$A63+2,FALSE)="NO","NO",IF(HLOOKUP(BZ$15,Data_5!$F$10:$BG$42,$A63+2,FALSE)="IE","IE",IF(HLOOKUP(BZ$15,Data_5!$F$10:$BG$42,$A63+2,FALSE)="NE","NE",IF(HLOOKUP(BZ$15,Data_5!$F$10:$BG$42,$A63+2,FALSE)="C","C",IF(HLOOKUP(BZ$15,Data_5!$F$10:$BG$42,$A63+2,FALSE)="NO","NO",HLOOKUP(BZ$15,Data_5!$F$10:$BG$42,$A63+2,FALSE)/Data_5!$BI58))))),"")</f>
        <v/>
      </c>
      <c r="CA63" s="1122" t="str">
        <f>IFERROR(IF(HLOOKUP(CA$15,Data_5!$F$10:$BG$42,$A63+2,FALSE)="NO","NO",IF(HLOOKUP(CA$15,Data_5!$F$10:$BG$42,$A63+2,FALSE)="IE","IE",IF(HLOOKUP(CA$15,Data_5!$F$10:$BG$42,$A63+2,FALSE)="NE","NE",IF(HLOOKUP(CA$15,Data_5!$F$10:$BG$42,$A63+2,FALSE)="C","C",IF(HLOOKUP(CA$15,Data_5!$F$10:$BG$42,$A63+2,FALSE)="NO","NO",HLOOKUP(CA$15,Data_5!$F$10:$BG$42,$A63+2,FALSE)/Data_5!$BI58))))),"")</f>
        <v/>
      </c>
      <c r="CB63" s="1122" t="str">
        <f>IFERROR(IF(HLOOKUP(CB$15,Data_5!$F$10:$BG$42,$A63+2,FALSE)="NO","NO",IF(HLOOKUP(CB$15,Data_5!$F$10:$BG$42,$A63+2,FALSE)="IE","IE",IF(HLOOKUP(CB$15,Data_5!$F$10:$BG$42,$A63+2,FALSE)="NE","NE",IF(HLOOKUP(CB$15,Data_5!$F$10:$BG$42,$A63+2,FALSE)="C","C",IF(HLOOKUP(CB$15,Data_5!$F$10:$BG$42,$A63+2,FALSE)="NO","NO",HLOOKUP(CB$15,Data_5!$F$10:$BG$42,$A63+2,FALSE)/Data_5!$BI58))))),"")</f>
        <v/>
      </c>
      <c r="CC63" s="1122" t="str">
        <f>IFERROR(IF(HLOOKUP(CC$15,Data_5!$F$10:$BG$42,$A63+2,FALSE)="NO","NO",IF(HLOOKUP(CC$15,Data_5!$F$10:$BG$42,$A63+2,FALSE)="IE","IE",IF(HLOOKUP(CC$15,Data_5!$F$10:$BG$42,$A63+2,FALSE)="NE","NE",IF(HLOOKUP(CC$15,Data_5!$F$10:$BG$42,$A63+2,FALSE)="C","C",IF(HLOOKUP(CC$15,Data_5!$F$10:$BG$42,$A63+2,FALSE)="NO","NO",HLOOKUP(CC$15,Data_5!$F$10:$BG$42,$A63+2,FALSE)/Data_5!$BI58))))),"")</f>
        <v/>
      </c>
      <c r="CD63" s="1122" t="str">
        <f>IFERROR(IF(HLOOKUP(CD$15,Data_5!$F$10:$BG$42,$A63+2,FALSE)="NO","NO",IF(HLOOKUP(CD$15,Data_5!$F$10:$BG$42,$A63+2,FALSE)="IE","IE",IF(HLOOKUP(CD$15,Data_5!$F$10:$BG$42,$A63+2,FALSE)="NE","NE",IF(HLOOKUP(CD$15,Data_5!$F$10:$BG$42,$A63+2,FALSE)="C","C",IF(HLOOKUP(CD$15,Data_5!$F$10:$BG$42,$A63+2,FALSE)="NO","NO",HLOOKUP(CD$15,Data_5!$F$10:$BG$42,$A63+2,FALSE)/Data_5!$BI58))))),"")</f>
        <v/>
      </c>
      <c r="CE63" s="1122" t="str">
        <f>IFERROR(IF(HLOOKUP(CE$15,Data_5!$F$10:$BG$42,$A63+2,FALSE)="NO","NO",IF(HLOOKUP(CE$15,Data_5!$F$10:$BG$42,$A63+2,FALSE)="IE","IE",IF(HLOOKUP(CE$15,Data_5!$F$10:$BG$42,$A63+2,FALSE)="NE","NE",IF(HLOOKUP(CE$15,Data_5!$F$10:$BG$42,$A63+2,FALSE)="C","C",IF(HLOOKUP(CE$15,Data_5!$F$10:$BG$42,$A63+2,FALSE)="NO","NO",HLOOKUP(CE$15,Data_5!$F$10:$BG$42,$A63+2,FALSE)/Data_5!$BI58))))),"")</f>
        <v/>
      </c>
      <c r="CF63" s="1122" t="str">
        <f>IFERROR(IF(HLOOKUP(CF$15,Data_5!$F$10:$BG$42,$A63+2,FALSE)="NO","NO",IF(HLOOKUP(CF$15,Data_5!$F$10:$BG$42,$A63+2,FALSE)="IE","IE",IF(HLOOKUP(CF$15,Data_5!$F$10:$BG$42,$A63+2,FALSE)="NE","NE",IF(HLOOKUP(CF$15,Data_5!$F$10:$BG$42,$A63+2,FALSE)="C","C",IF(HLOOKUP(CF$15,Data_5!$F$10:$BG$42,$A63+2,FALSE)="NO","NO",HLOOKUP(CF$15,Data_5!$F$10:$BG$42,$A63+2,FALSE)/Data_5!$BI58))))),"")</f>
        <v/>
      </c>
      <c r="CG63" s="1122" t="str">
        <f>IFERROR(IF(HLOOKUP(CG$15,Data_5!$F$10:$BG$42,$A63+2,FALSE)="NO","NO",IF(HLOOKUP(CG$15,Data_5!$F$10:$BG$42,$A63+2,FALSE)="IE","IE",IF(HLOOKUP(CG$15,Data_5!$F$10:$BG$42,$A63+2,FALSE)="NE","NE",IF(HLOOKUP(CG$15,Data_5!$F$10:$BG$42,$A63+2,FALSE)="C","C",IF(HLOOKUP(CG$15,Data_5!$F$10:$BG$42,$A63+2,FALSE)="NO","NO",HLOOKUP(CG$15,Data_5!$F$10:$BG$42,$A63+2,FALSE)/Data_5!$BI58))))),"")</f>
        <v/>
      </c>
      <c r="CH63" s="1122" t="str">
        <f>IFERROR(IF(HLOOKUP(CH$15,Data_5!$F$10:$BG$42,$A63+2,FALSE)="NO","NO",IF(HLOOKUP(CH$15,Data_5!$F$10:$BG$42,$A63+2,FALSE)="IE","IE",IF(HLOOKUP(CH$15,Data_5!$F$10:$BG$42,$A63+2,FALSE)="NE","NE",IF(HLOOKUP(CH$15,Data_5!$F$10:$BG$42,$A63+2,FALSE)="C","C",IF(HLOOKUP(CH$15,Data_5!$F$10:$BG$42,$A63+2,FALSE)="NO","NO",HLOOKUP(CH$15,Data_5!$F$10:$BG$42,$A63+2,FALSE)/Data_5!$BI58))))),"")</f>
        <v/>
      </c>
      <c r="CI63" s="1122" t="str">
        <f>IFERROR(IF(HLOOKUP(CI$15,Data_5!$F$10:$BG$42,$A63+2,FALSE)="NO","NO",IF(HLOOKUP(CI$15,Data_5!$F$10:$BG$42,$A63+2,FALSE)="IE","IE",IF(HLOOKUP(CI$15,Data_5!$F$10:$BG$42,$A63+2,FALSE)="NE","NE",IF(HLOOKUP(CI$15,Data_5!$F$10:$BG$42,$A63+2,FALSE)="C","C",IF(HLOOKUP(CI$15,Data_5!$F$10:$BG$42,$A63+2,FALSE)="NO","NO",HLOOKUP(CI$15,Data_5!$F$10:$BG$42,$A63+2,FALSE)/Data_5!$BI58))))),"")</f>
        <v/>
      </c>
      <c r="CJ63" s="1122" t="str">
        <f>IFERROR(IF(HLOOKUP(CJ$15,Data_5!$F$10:$BG$42,$A63+2,FALSE)="NO","NO",IF(HLOOKUP(CJ$15,Data_5!$F$10:$BG$42,$A63+2,FALSE)="IE","IE",IF(HLOOKUP(CJ$15,Data_5!$F$10:$BG$42,$A63+2,FALSE)="NE","NE",IF(HLOOKUP(CJ$15,Data_5!$F$10:$BG$42,$A63+2,FALSE)="C","C",IF(HLOOKUP(CJ$15,Data_5!$F$10:$BG$42,$A63+2,FALSE)="NO","NO",HLOOKUP(CJ$15,Data_5!$F$10:$BG$42,$A63+2,FALSE)/Data_5!$BI58))))),"")</f>
        <v/>
      </c>
      <c r="CL63" s="2628" t="str">
        <f t="shared" ca="1" si="6"/>
        <v/>
      </c>
      <c r="CM63" s="2629"/>
      <c r="CN63" s="1100" t="str">
        <f t="shared" ca="1" si="7"/>
        <v/>
      </c>
      <c r="CO63" s="1122" t="str">
        <f>IFERROR(IF(HLOOKUP(CO$15,Data_5!$F$10:$BG$42,$A63+2,FALSE)="NO","NO",IF(HLOOKUP(CO$15,Data_5!$F$10:$BG$42,$A63+2,FALSE)="IE","IE",IF(HLOOKUP(CO$15,Data_5!$F$10:$BG$42,$A63+2,FALSE)="NE","NE",IF(HLOOKUP(CO$15,Data_5!$F$10:$BG$42,$A63+2,FALSE)="C","C",IF(HLOOKUP(CO$15,Data_5!$F$10:$BG$42,$A63+2,FALSE)="NO","NO",HLOOKUP(CO$15,Data_5!$F$10:$BG$42,$A63+2,FALSE)/Data_5!$BK58))))),"")</f>
        <v/>
      </c>
      <c r="CP63" s="1122" t="str">
        <f>IFERROR(IF(HLOOKUP(CP$15,Data_5!$F$10:$BG$42,$A63+2,FALSE)="NO","NO",IF(HLOOKUP(CP$15,Data_5!$F$10:$BG$42,$A63+2,FALSE)="IE","IE",IF(HLOOKUP(CP$15,Data_5!$F$10:$BG$42,$A63+2,FALSE)="NE","NE",IF(HLOOKUP(CP$15,Data_5!$F$10:$BG$42,$A63+2,FALSE)="C","C",IF(HLOOKUP(CP$15,Data_5!$F$10:$BG$42,$A63+2,FALSE)="NO","NO",HLOOKUP(CP$15,Data_5!$F$10:$BG$42,$A63+2,FALSE)/Data_5!$BK58))))),"")</f>
        <v/>
      </c>
      <c r="CQ63" s="1122" t="str">
        <f>IFERROR(IF(HLOOKUP(CQ$15,Data_5!$F$10:$BG$42,$A63+2,FALSE)="NO","NO",IF(HLOOKUP(CQ$15,Data_5!$F$10:$BG$42,$A63+2,FALSE)="IE","IE",IF(HLOOKUP(CQ$15,Data_5!$F$10:$BG$42,$A63+2,FALSE)="NE","NE",IF(HLOOKUP(CQ$15,Data_5!$F$10:$BG$42,$A63+2,FALSE)="C","C",IF(HLOOKUP(CQ$15,Data_5!$F$10:$BG$42,$A63+2,FALSE)="NO","NO",HLOOKUP(CQ$15,Data_5!$F$10:$BG$42,$A63+2,FALSE)/Data_5!$BK58))))),"")</f>
        <v/>
      </c>
      <c r="CR63" s="1122" t="str">
        <f>IFERROR(IF(HLOOKUP(CR$15,Data_5!$F$10:$BG$42,$A63+2,FALSE)="NO","NO",IF(HLOOKUP(CR$15,Data_5!$F$10:$BG$42,$A63+2,FALSE)="IE","IE",IF(HLOOKUP(CR$15,Data_5!$F$10:$BG$42,$A63+2,FALSE)="NE","NE",IF(HLOOKUP(CR$15,Data_5!$F$10:$BG$42,$A63+2,FALSE)="C","C",IF(HLOOKUP(CR$15,Data_5!$F$10:$BG$42,$A63+2,FALSE)="NO","NO",HLOOKUP(CR$15,Data_5!$F$10:$BG$42,$A63+2,FALSE)/Data_5!$BK58))))),"")</f>
        <v/>
      </c>
      <c r="CS63" s="1122" t="str">
        <f>IFERROR(IF(HLOOKUP(CS$15,Data_5!$F$10:$BG$42,$A63+2,FALSE)="NO","NO",IF(HLOOKUP(CS$15,Data_5!$F$10:$BG$42,$A63+2,FALSE)="IE","IE",IF(HLOOKUP(CS$15,Data_5!$F$10:$BG$42,$A63+2,FALSE)="NE","NE",IF(HLOOKUP(CS$15,Data_5!$F$10:$BG$42,$A63+2,FALSE)="C","C",IF(HLOOKUP(CS$15,Data_5!$F$10:$BG$42,$A63+2,FALSE)="NO","NO",HLOOKUP(CS$15,Data_5!$F$10:$BG$42,$A63+2,FALSE)/Data_5!$BK58))))),"")</f>
        <v/>
      </c>
      <c r="CT63" s="1122" t="str">
        <f>IFERROR(IF(HLOOKUP(CT$15,Data_5!$F$10:$BG$42,$A63+2,FALSE)="NO","NO",IF(HLOOKUP(CT$15,Data_5!$F$10:$BG$42,$A63+2,FALSE)="IE","IE",IF(HLOOKUP(CT$15,Data_5!$F$10:$BG$42,$A63+2,FALSE)="NE","NE",IF(HLOOKUP(CT$15,Data_5!$F$10:$BG$42,$A63+2,FALSE)="C","C",IF(HLOOKUP(CT$15,Data_5!$F$10:$BG$42,$A63+2,FALSE)="NO","NO",HLOOKUP(CT$15,Data_5!$F$10:$BG$42,$A63+2,FALSE)/Data_5!$BK58))))),"")</f>
        <v/>
      </c>
      <c r="CU63" s="1122" t="str">
        <f>IFERROR(IF(HLOOKUP(CU$15,Data_5!$F$10:$BG$42,$A63+2,FALSE)="NO","NO",IF(HLOOKUP(CU$15,Data_5!$F$10:$BG$42,$A63+2,FALSE)="IE","IE",IF(HLOOKUP(CU$15,Data_5!$F$10:$BG$42,$A63+2,FALSE)="NE","NE",IF(HLOOKUP(CU$15,Data_5!$F$10:$BG$42,$A63+2,FALSE)="C","C",IF(HLOOKUP(CU$15,Data_5!$F$10:$BG$42,$A63+2,FALSE)="NO","NO",HLOOKUP(CU$15,Data_5!$F$10:$BG$42,$A63+2,FALSE)/Data_5!$BK58))))),"")</f>
        <v/>
      </c>
      <c r="CV63" s="1122" t="str">
        <f>IFERROR(IF(HLOOKUP(CV$15,Data_5!$F$10:$BG$42,$A63+2,FALSE)="NO","NO",IF(HLOOKUP(CV$15,Data_5!$F$10:$BG$42,$A63+2,FALSE)="IE","IE",IF(HLOOKUP(CV$15,Data_5!$F$10:$BG$42,$A63+2,FALSE)="NE","NE",IF(HLOOKUP(CV$15,Data_5!$F$10:$BG$42,$A63+2,FALSE)="C","C",IF(HLOOKUP(CV$15,Data_5!$F$10:$BG$42,$A63+2,FALSE)="NO","NO",HLOOKUP(CV$15,Data_5!$F$10:$BG$42,$A63+2,FALSE)/Data_5!$BK58))))),"")</f>
        <v/>
      </c>
      <c r="CW63" s="1122" t="str">
        <f>IFERROR(IF(HLOOKUP(CW$15,Data_5!$F$10:$BG$42,$A63+2,FALSE)="NO","NO",IF(HLOOKUP(CW$15,Data_5!$F$10:$BG$42,$A63+2,FALSE)="IE","IE",IF(HLOOKUP(CW$15,Data_5!$F$10:$BG$42,$A63+2,FALSE)="NE","NE",IF(HLOOKUP(CW$15,Data_5!$F$10:$BG$42,$A63+2,FALSE)="C","C",IF(HLOOKUP(CW$15,Data_5!$F$10:$BG$42,$A63+2,FALSE)="NO","NO",HLOOKUP(CW$15,Data_5!$F$10:$BG$42,$A63+2,FALSE)/Data_5!$BK58))))),"")</f>
        <v/>
      </c>
      <c r="CX63" s="1122" t="str">
        <f>IFERROR(IF(HLOOKUP(CX$15,Data_5!$F$10:$BG$42,$A63+2,FALSE)="NO","NO",IF(HLOOKUP(CX$15,Data_5!$F$10:$BG$42,$A63+2,FALSE)="IE","IE",IF(HLOOKUP(CX$15,Data_5!$F$10:$BG$42,$A63+2,FALSE)="NE","NE",IF(HLOOKUP(CX$15,Data_5!$F$10:$BG$42,$A63+2,FALSE)="C","C",IF(HLOOKUP(CX$15,Data_5!$F$10:$BG$42,$A63+2,FALSE)="NO","NO",HLOOKUP(CX$15,Data_5!$F$10:$BG$42,$A63+2,FALSE)/Data_5!$BK58))))),"")</f>
        <v/>
      </c>
      <c r="CY63" s="1122" t="str">
        <f>IFERROR(IF(HLOOKUP(CY$15,Data_5!$F$10:$BG$42,$A63+2,FALSE)="NO","NO",IF(HLOOKUP(CY$15,Data_5!$F$10:$BG$42,$A63+2,FALSE)="IE","IE",IF(HLOOKUP(CY$15,Data_5!$F$10:$BG$42,$A63+2,FALSE)="NE","NE",IF(HLOOKUP(CY$15,Data_5!$F$10:$BG$42,$A63+2,FALSE)="C","C",IF(HLOOKUP(CY$15,Data_5!$F$10:$BG$42,$A63+2,FALSE)="NO","NO",HLOOKUP(CY$15,Data_5!$F$10:$BG$42,$A63+2,FALSE)/Data_5!$BK58))))),"")</f>
        <v/>
      </c>
      <c r="CZ63" s="1122" t="str">
        <f>IFERROR(IF(HLOOKUP(CZ$15,Data_5!$F$10:$BG$42,$A63+2,FALSE)="NO","NO",IF(HLOOKUP(CZ$15,Data_5!$F$10:$BG$42,$A63+2,FALSE)="IE","IE",IF(HLOOKUP(CZ$15,Data_5!$F$10:$BG$42,$A63+2,FALSE)="NE","NE",IF(HLOOKUP(CZ$15,Data_5!$F$10:$BG$42,$A63+2,FALSE)="C","C",IF(HLOOKUP(CZ$15,Data_5!$F$10:$BG$42,$A63+2,FALSE)="NO","NO",HLOOKUP(CZ$15,Data_5!$F$10:$BG$42,$A63+2,FALSE)/Data_5!$BK58))))),"")</f>
        <v/>
      </c>
      <c r="DA63" s="1122" t="str">
        <f>IFERROR(IF(HLOOKUP(DA$15,Data_5!$F$10:$BG$42,$A63+2,FALSE)="NO","NO",IF(HLOOKUP(DA$15,Data_5!$F$10:$BG$42,$A63+2,FALSE)="IE","IE",IF(HLOOKUP(DA$15,Data_5!$F$10:$BG$42,$A63+2,FALSE)="NE","NE",IF(HLOOKUP(DA$15,Data_5!$F$10:$BG$42,$A63+2,FALSE)="C","C",IF(HLOOKUP(DA$15,Data_5!$F$10:$BG$42,$A63+2,FALSE)="NO","NO",HLOOKUP(DA$15,Data_5!$F$10:$BG$42,$A63+2,FALSE)/Data_5!$BK58))))),"")</f>
        <v/>
      </c>
      <c r="DB63" s="1122" t="str">
        <f>IFERROR(IF(HLOOKUP(DB$15,Data_5!$F$10:$BG$42,$A63+2,FALSE)="NO","NO",IF(HLOOKUP(DB$15,Data_5!$F$10:$BG$42,$A63+2,FALSE)="IE","IE",IF(HLOOKUP(DB$15,Data_5!$F$10:$BG$42,$A63+2,FALSE)="NE","NE",IF(HLOOKUP(DB$15,Data_5!$F$10:$BG$42,$A63+2,FALSE)="C","C",IF(HLOOKUP(DB$15,Data_5!$F$10:$BG$42,$A63+2,FALSE)="NO","NO",HLOOKUP(DB$15,Data_5!$F$10:$BG$42,$A63+2,FALSE)/Data_5!$BK58))))),"")</f>
        <v/>
      </c>
      <c r="DC63" s="1122" t="str">
        <f>IFERROR(IF(HLOOKUP(DC$15,Data_5!$F$10:$BG$42,$A63+2,FALSE)="NO","NO",IF(HLOOKUP(DC$15,Data_5!$F$10:$BG$42,$A63+2,FALSE)="IE","IE",IF(HLOOKUP(DC$15,Data_5!$F$10:$BG$42,$A63+2,FALSE)="NE","NE",IF(HLOOKUP(DC$15,Data_5!$F$10:$BG$42,$A63+2,FALSE)="C","C",IF(HLOOKUP(DC$15,Data_5!$F$10:$BG$42,$A63+2,FALSE)="NO","NO",HLOOKUP(DC$15,Data_5!$F$10:$BG$42,$A63+2,FALSE)/Data_5!$BK58))))),"")</f>
        <v/>
      </c>
      <c r="DD63" s="1122" t="str">
        <f>IFERROR(IF(HLOOKUP(DD$15,Data_5!$F$10:$BG$42,$A63+2,FALSE)="NO","NO",IF(HLOOKUP(DD$15,Data_5!$F$10:$BG$42,$A63+2,FALSE)="IE","IE",IF(HLOOKUP(DD$15,Data_5!$F$10:$BG$42,$A63+2,FALSE)="NE","NE",IF(HLOOKUP(DD$15,Data_5!$F$10:$BG$42,$A63+2,FALSE)="C","C",IF(HLOOKUP(DD$15,Data_5!$F$10:$BG$42,$A63+2,FALSE)="NO","NO",HLOOKUP(DD$15,Data_5!$F$10:$BG$42,$A63+2,FALSE)/Data_5!$BK58))))),"")</f>
        <v/>
      </c>
      <c r="DE63" s="1122" t="str">
        <f>IFERROR(IF(HLOOKUP(DE$15,Data_5!$F$10:$BG$42,$A63+2,FALSE)="NO","NO",IF(HLOOKUP(DE$15,Data_5!$F$10:$BG$42,$A63+2,FALSE)="IE","IE",IF(HLOOKUP(DE$15,Data_5!$F$10:$BG$42,$A63+2,FALSE)="NE","NE",IF(HLOOKUP(DE$15,Data_5!$F$10:$BG$42,$A63+2,FALSE)="C","C",IF(HLOOKUP(DE$15,Data_5!$F$10:$BG$42,$A63+2,FALSE)="NO","NO",HLOOKUP(DE$15,Data_5!$F$10:$BG$42,$A63+2,FALSE)/Data_5!$BK58))))),"")</f>
        <v/>
      </c>
      <c r="DF63" s="1122" t="str">
        <f>IFERROR(IF(HLOOKUP(DF$15,Data_5!$F$10:$BG$42,$A63+2,FALSE)="NO","NO",IF(HLOOKUP(DF$15,Data_5!$F$10:$BG$42,$A63+2,FALSE)="IE","IE",IF(HLOOKUP(DF$15,Data_5!$F$10:$BG$42,$A63+2,FALSE)="NE","NE",IF(HLOOKUP(DF$15,Data_5!$F$10:$BG$42,$A63+2,FALSE)="C","C",IF(HLOOKUP(DF$15,Data_5!$F$10:$BG$42,$A63+2,FALSE)="NO","NO",HLOOKUP(DF$15,Data_5!$F$10:$BG$42,$A63+2,FALSE)/Data_5!$BK58))))),"")</f>
        <v/>
      </c>
      <c r="DG63" s="1122" t="str">
        <f>IFERROR(IF(HLOOKUP(DG$15,Data_5!$F$10:$BG$42,$A63+2,FALSE)="NO","NO",IF(HLOOKUP(DG$15,Data_5!$F$10:$BG$42,$A63+2,FALSE)="IE","IE",IF(HLOOKUP(DG$15,Data_5!$F$10:$BG$42,$A63+2,FALSE)="NE","NE",IF(HLOOKUP(DG$15,Data_5!$F$10:$BG$42,$A63+2,FALSE)="C","C",IF(HLOOKUP(DG$15,Data_5!$F$10:$BG$42,$A63+2,FALSE)="NO","NO",HLOOKUP(DG$15,Data_5!$F$10:$BG$42,$A63+2,FALSE)/Data_5!$BK58))))),"")</f>
        <v/>
      </c>
      <c r="DH63" s="1122" t="str">
        <f>IFERROR(IF(HLOOKUP(DH$15,Data_5!$F$10:$BG$42,$A63+2,FALSE)="NO","NO",IF(HLOOKUP(DH$15,Data_5!$F$10:$BG$42,$A63+2,FALSE)="IE","IE",IF(HLOOKUP(DH$15,Data_5!$F$10:$BG$42,$A63+2,FALSE)="NE","NE",IF(HLOOKUP(DH$15,Data_5!$F$10:$BG$42,$A63+2,FALSE)="C","C",IF(HLOOKUP(DH$15,Data_5!$F$10:$BG$42,$A63+2,FALSE)="NO","NO",HLOOKUP(DH$15,Data_5!$F$10:$BG$42,$A63+2,FALSE)/Data_5!$BK58))))),"")</f>
        <v/>
      </c>
      <c r="DI63" s="1122" t="str">
        <f>IFERROR(IF(HLOOKUP(DI$15,Data_5!$F$10:$BG$42,$A63+2,FALSE)="NO","NO",IF(HLOOKUP(DI$15,Data_5!$F$10:$BG$42,$A63+2,FALSE)="IE","IE",IF(HLOOKUP(DI$15,Data_5!$F$10:$BG$42,$A63+2,FALSE)="NE","NE",IF(HLOOKUP(DI$15,Data_5!$F$10:$BG$42,$A63+2,FALSE)="C","C",IF(HLOOKUP(DI$15,Data_5!$F$10:$BG$42,$A63+2,FALSE)="NO","NO",HLOOKUP(DI$15,Data_5!$F$10:$BG$42,$A63+2,FALSE)/Data_5!$BK58))))),"")</f>
        <v/>
      </c>
      <c r="DJ63" s="1122" t="str">
        <f>IFERROR(IF(HLOOKUP(DJ$15,Data_5!$F$10:$BG$42,$A63+2,FALSE)="NO","NO",IF(HLOOKUP(DJ$15,Data_5!$F$10:$BG$42,$A63+2,FALSE)="IE","IE",IF(HLOOKUP(DJ$15,Data_5!$F$10:$BG$42,$A63+2,FALSE)="NE","NE",IF(HLOOKUP(DJ$15,Data_5!$F$10:$BG$42,$A63+2,FALSE)="C","C",IF(HLOOKUP(DJ$15,Data_5!$F$10:$BG$42,$A63+2,FALSE)="NO","NO",HLOOKUP(DJ$15,Data_5!$F$10:$BG$42,$A63+2,FALSE)/Data_5!$BK58))))),"")</f>
        <v/>
      </c>
      <c r="DK63" s="1122" t="str">
        <f>IFERROR(IF(HLOOKUP(DK$15,Data_5!$F$10:$BG$42,$A63+2,FALSE)="NO","NO",IF(HLOOKUP(DK$15,Data_5!$F$10:$BG$42,$A63+2,FALSE)="IE","IE",IF(HLOOKUP(DK$15,Data_5!$F$10:$BG$42,$A63+2,FALSE)="NE","NE",IF(HLOOKUP(DK$15,Data_5!$F$10:$BG$42,$A63+2,FALSE)="C","C",IF(HLOOKUP(DK$15,Data_5!$F$10:$BG$42,$A63+2,FALSE)="NO","NO",HLOOKUP(DK$15,Data_5!$F$10:$BG$42,$A63+2,FALSE)/Data_5!$BK58))))),"")</f>
        <v/>
      </c>
      <c r="DL63" s="1122" t="str">
        <f>IFERROR(IF(HLOOKUP(DL$15,Data_5!$F$10:$BG$42,$A63+2,FALSE)="NO","NO",IF(HLOOKUP(DL$15,Data_5!$F$10:$BG$42,$A63+2,FALSE)="IE","IE",IF(HLOOKUP(DL$15,Data_5!$F$10:$BG$42,$A63+2,FALSE)="NE","NE",IF(HLOOKUP(DL$15,Data_5!$F$10:$BG$42,$A63+2,FALSE)="C","C",IF(HLOOKUP(DL$15,Data_5!$F$10:$BG$42,$A63+2,FALSE)="NO","NO",HLOOKUP(DL$15,Data_5!$F$10:$BG$42,$A63+2,FALSE)/Data_5!$BK58))))),"")</f>
        <v/>
      </c>
      <c r="DM63" s="1122" t="str">
        <f>IFERROR(IF(HLOOKUP(DM$15,Data_5!$F$10:$BG$42,$A63+2,FALSE)="NO","NO",IF(HLOOKUP(DM$15,Data_5!$F$10:$BG$42,$A63+2,FALSE)="IE","IE",IF(HLOOKUP(DM$15,Data_5!$F$10:$BG$42,$A63+2,FALSE)="NE","NE",IF(HLOOKUP(DM$15,Data_5!$F$10:$BG$42,$A63+2,FALSE)="C","C",IF(HLOOKUP(DM$15,Data_5!$F$10:$BG$42,$A63+2,FALSE)="NO","NO",HLOOKUP(DM$15,Data_5!$F$10:$BG$42,$A63+2,FALSE)/Data_5!$BK58))))),"")</f>
        <v/>
      </c>
      <c r="DN63" s="1122" t="str">
        <f>IFERROR(IF(HLOOKUP(DN$15,Data_5!$F$10:$BG$42,$A63+2,FALSE)="NO","NO",IF(HLOOKUP(DN$15,Data_5!$F$10:$BG$42,$A63+2,FALSE)="IE","IE",IF(HLOOKUP(DN$15,Data_5!$F$10:$BG$42,$A63+2,FALSE)="NE","NE",IF(HLOOKUP(DN$15,Data_5!$F$10:$BG$42,$A63+2,FALSE)="C","C",IF(HLOOKUP(DN$15,Data_5!$F$10:$BG$42,$A63+2,FALSE)="NO","NO",HLOOKUP(DN$15,Data_5!$F$10:$BG$42,$A63+2,FALSE)/Data_5!$BK58))))),"")</f>
        <v/>
      </c>
      <c r="DO63" s="1122" t="str">
        <f>IFERROR(IF(HLOOKUP(DO$15,Data_5!$F$10:$BG$42,$A63+2,FALSE)="NO","NO",IF(HLOOKUP(DO$15,Data_5!$F$10:$BG$42,$A63+2,FALSE)="IE","IE",IF(HLOOKUP(DO$15,Data_5!$F$10:$BG$42,$A63+2,FALSE)="NE","NE",IF(HLOOKUP(DO$15,Data_5!$F$10:$BG$42,$A63+2,FALSE)="C","C",IF(HLOOKUP(DO$15,Data_5!$F$10:$BG$42,$A63+2,FALSE)="NO","NO",HLOOKUP(DO$15,Data_5!$F$10:$BG$42,$A63+2,FALSE)/Data_5!$BK58))))),"")</f>
        <v/>
      </c>
    </row>
    <row r="64" spans="1:119" ht="15" customHeight="1">
      <c r="A64" s="1789">
        <v>48</v>
      </c>
      <c r="B64" s="2628" t="str">
        <f ca="1">IF(Data_5!B59&lt;&gt;"",Data_5!B59,"")</f>
        <v/>
      </c>
      <c r="C64" s="2629"/>
      <c r="D64" s="1462">
        <f ca="1">IFERROR(VLOOKUP($B64,Data_5!$B$12:$C$42,2,FALSE),"")</f>
        <v>0</v>
      </c>
      <c r="E64" s="1122" t="str">
        <f>IFERROR(IF(HLOOKUP(E$15,Data_5!$F$10:$BG$42,$A64+2,FALSE)="NO","NO",IF(HLOOKUP(E$15,Data_5!$F$10:$BG$42,$A64+2,FALSE)="IE","IE",IF(HLOOKUP(E$15,Data_5!$F$10:$BG$42,$A64+2,FALSE)="NE","NE",IF(HLOOKUP(E$15,Data_5!$F$10:$BG$42,$A64+2,FALSE)="C","C",IF(HLOOKUP(E$15,Data_5!$F$10:$BG$42,$A64+2,FALSE)="NO","NO",HLOOKUP(E$15,Data_5!$F$10:$BG$42,$A64+2,FALSE)/Data_5!$BH59))))),"")</f>
        <v/>
      </c>
      <c r="F64" s="1122" t="str">
        <f>IFERROR(IF(HLOOKUP(F$15,Data_5!$F$10:$BG$42,$A64+2,FALSE)="NO","NO",IF(HLOOKUP(F$15,Data_5!$F$10:$BG$42,$A64+2,FALSE)="IE","IE",IF(HLOOKUP(F$15,Data_5!$F$10:$BG$42,$A64+2,FALSE)="NE","NE",IF(HLOOKUP(F$15,Data_5!$F$10:$BG$42,$A64+2,FALSE)="C","C",IF(HLOOKUP(F$15,Data_5!$F$10:$BG$42,$A64+2,FALSE)="NO","NO",HLOOKUP(F$15,Data_5!$F$10:$BG$42,$A64+2,FALSE)/Data_5!$BH59))))),"")</f>
        <v/>
      </c>
      <c r="G64" s="1122" t="str">
        <f>IFERROR(IF(HLOOKUP(G$15,Data_5!$F$10:$BG$42,$A64+2,FALSE)="NO","NO",IF(HLOOKUP(G$15,Data_5!$F$10:$BG$42,$A64+2,FALSE)="IE","IE",IF(HLOOKUP(G$15,Data_5!$F$10:$BG$42,$A64+2,FALSE)="NE","NE",IF(HLOOKUP(G$15,Data_5!$F$10:$BG$42,$A64+2,FALSE)="C","C",IF(HLOOKUP(G$15,Data_5!$F$10:$BG$42,$A64+2,FALSE)="NO","NO",HLOOKUP(G$15,Data_5!$F$10:$BG$42,$A64+2,FALSE)/Data_5!$BH59))))),"")</f>
        <v/>
      </c>
      <c r="H64" s="1122" t="str">
        <f>IFERROR(IF(HLOOKUP(H$15,Data_5!$F$10:$BG$42,$A64+2,FALSE)="NO","NO",IF(HLOOKUP(H$15,Data_5!$F$10:$BG$42,$A64+2,FALSE)="IE","IE",IF(HLOOKUP(H$15,Data_5!$F$10:$BG$42,$A64+2,FALSE)="NE","NE",IF(HLOOKUP(H$15,Data_5!$F$10:$BG$42,$A64+2,FALSE)="C","C",IF(HLOOKUP(H$15,Data_5!$F$10:$BG$42,$A64+2,FALSE)="NO","NO",HLOOKUP(H$15,Data_5!$F$10:$BG$42,$A64+2,FALSE)/Data_5!$BH59))))),"")</f>
        <v/>
      </c>
      <c r="I64" s="1122" t="str">
        <f>IFERROR(IF(HLOOKUP(I$15,Data_5!$F$10:$BG$42,$A64+2,FALSE)="NO","NO",IF(HLOOKUP(I$15,Data_5!$F$10:$BG$42,$A64+2,FALSE)="IE","IE",IF(HLOOKUP(I$15,Data_5!$F$10:$BG$42,$A64+2,FALSE)="NE","NE",IF(HLOOKUP(I$15,Data_5!$F$10:$BG$42,$A64+2,FALSE)="C","C",IF(HLOOKUP(I$15,Data_5!$F$10:$BG$42,$A64+2,FALSE)="NO","NO",HLOOKUP(I$15,Data_5!$F$10:$BG$42,$A64+2,FALSE)/Data_5!$BH59))))),"")</f>
        <v/>
      </c>
      <c r="J64" s="1122" t="str">
        <f>IFERROR(IF(HLOOKUP(J$15,Data_5!$F$10:$BG$42,$A64+2,FALSE)="NO","NO",IF(HLOOKUP(J$15,Data_5!$F$10:$BG$42,$A64+2,FALSE)="IE","IE",IF(HLOOKUP(J$15,Data_5!$F$10:$BG$42,$A64+2,FALSE)="NE","NE",IF(HLOOKUP(J$15,Data_5!$F$10:$BG$42,$A64+2,FALSE)="C","C",IF(HLOOKUP(J$15,Data_5!$F$10:$BG$42,$A64+2,FALSE)="NO","NO",HLOOKUP(J$15,Data_5!$F$10:$BG$42,$A64+2,FALSE)/Data_5!$BH59))))),"")</f>
        <v/>
      </c>
      <c r="K64" s="1122" t="str">
        <f>IFERROR(IF(HLOOKUP(K$15,Data_5!$F$10:$BG$42,$A64+2,FALSE)="NO","NO",IF(HLOOKUP(K$15,Data_5!$F$10:$BG$42,$A64+2,FALSE)="IE","IE",IF(HLOOKUP(K$15,Data_5!$F$10:$BG$42,$A64+2,FALSE)="NE","NE",IF(HLOOKUP(K$15,Data_5!$F$10:$BG$42,$A64+2,FALSE)="C","C",IF(HLOOKUP(K$15,Data_5!$F$10:$BG$42,$A64+2,FALSE)="NO","NO",HLOOKUP(K$15,Data_5!$F$10:$BG$42,$A64+2,FALSE)/Data_5!$BH59))))),"")</f>
        <v/>
      </c>
      <c r="L64" s="1122" t="str">
        <f>IFERROR(IF(HLOOKUP(L$15,Data_5!$F$10:$BG$42,$A64+2,FALSE)="NO","NO",IF(HLOOKUP(L$15,Data_5!$F$10:$BG$42,$A64+2,FALSE)="IE","IE",IF(HLOOKUP(L$15,Data_5!$F$10:$BG$42,$A64+2,FALSE)="NE","NE",IF(HLOOKUP(L$15,Data_5!$F$10:$BG$42,$A64+2,FALSE)="C","C",IF(HLOOKUP(L$15,Data_5!$F$10:$BG$42,$A64+2,FALSE)="NO","NO",HLOOKUP(L$15,Data_5!$F$10:$BG$42,$A64+2,FALSE)/Data_5!$BH59))))),"")</f>
        <v/>
      </c>
      <c r="M64" s="1122" t="str">
        <f>IFERROR(IF(HLOOKUP(M$15,Data_5!$F$10:$BG$42,$A64+2,FALSE)="NO","NO",IF(HLOOKUP(M$15,Data_5!$F$10:$BG$42,$A64+2,FALSE)="IE","IE",IF(HLOOKUP(M$15,Data_5!$F$10:$BG$42,$A64+2,FALSE)="NE","NE",IF(HLOOKUP(M$15,Data_5!$F$10:$BG$42,$A64+2,FALSE)="C","C",IF(HLOOKUP(M$15,Data_5!$F$10:$BG$42,$A64+2,FALSE)="NO","NO",HLOOKUP(M$15,Data_5!$F$10:$BG$42,$A64+2,FALSE)/Data_5!$BH59))))),"")</f>
        <v/>
      </c>
      <c r="N64" s="1122" t="str">
        <f>IFERROR(IF(HLOOKUP(N$15,Data_5!$F$10:$BG$42,$A64+2,FALSE)="NO","NO",IF(HLOOKUP(N$15,Data_5!$F$10:$BG$42,$A64+2,FALSE)="IE","IE",IF(HLOOKUP(N$15,Data_5!$F$10:$BG$42,$A64+2,FALSE)="NE","NE",IF(HLOOKUP(N$15,Data_5!$F$10:$BG$42,$A64+2,FALSE)="C","C",IF(HLOOKUP(N$15,Data_5!$F$10:$BG$42,$A64+2,FALSE)="NO","NO",HLOOKUP(N$15,Data_5!$F$10:$BG$42,$A64+2,FALSE)/Data_5!$BH59))))),"")</f>
        <v/>
      </c>
      <c r="O64" s="1122" t="str">
        <f>IFERROR(IF(HLOOKUP(O$15,Data_5!$F$10:$BG$42,$A64+2,FALSE)="NO","NO",IF(HLOOKUP(O$15,Data_5!$F$10:$BG$42,$A64+2,FALSE)="IE","IE",IF(HLOOKUP(O$15,Data_5!$F$10:$BG$42,$A64+2,FALSE)="NE","NE",IF(HLOOKUP(O$15,Data_5!$F$10:$BG$42,$A64+2,FALSE)="C","C",IF(HLOOKUP(O$15,Data_5!$F$10:$BG$42,$A64+2,FALSE)="NO","NO",HLOOKUP(O$15,Data_5!$F$10:$BG$42,$A64+2,FALSE)/Data_5!$BH59))))),"")</f>
        <v/>
      </c>
      <c r="P64" s="1122" t="str">
        <f>IFERROR(IF(HLOOKUP(P$15,Data_5!$F$10:$BG$42,$A64+2,FALSE)="NO","NO",IF(HLOOKUP(P$15,Data_5!$F$10:$BG$42,$A64+2,FALSE)="IE","IE",IF(HLOOKUP(P$15,Data_5!$F$10:$BG$42,$A64+2,FALSE)="NE","NE",IF(HLOOKUP(P$15,Data_5!$F$10:$BG$42,$A64+2,FALSE)="C","C",IF(HLOOKUP(P$15,Data_5!$F$10:$BG$42,$A64+2,FALSE)="NO","NO",HLOOKUP(P$15,Data_5!$F$10:$BG$42,$A64+2,FALSE)/Data_5!$BH59))))),"")</f>
        <v/>
      </c>
      <c r="Q64" s="1122" t="str">
        <f>IFERROR(IF(HLOOKUP(Q$15,Data_5!$F$10:$BG$42,$A64+2,FALSE)="NO","NO",IF(HLOOKUP(Q$15,Data_5!$F$10:$BG$42,$A64+2,FALSE)="IE","IE",IF(HLOOKUP(Q$15,Data_5!$F$10:$BG$42,$A64+2,FALSE)="NE","NE",IF(HLOOKUP(Q$15,Data_5!$F$10:$BG$42,$A64+2,FALSE)="C","C",IF(HLOOKUP(Q$15,Data_5!$F$10:$BG$42,$A64+2,FALSE)="NO","NO",HLOOKUP(Q$15,Data_5!$F$10:$BG$42,$A64+2,FALSE)/Data_5!$BH59))))),"")</f>
        <v/>
      </c>
      <c r="R64" s="1122" t="str">
        <f>IFERROR(IF(HLOOKUP(R$15,Data_5!$F$10:$BG$42,$A64+2,FALSE)="NO","NO",IF(HLOOKUP(R$15,Data_5!$F$10:$BG$42,$A64+2,FALSE)="IE","IE",IF(HLOOKUP(R$15,Data_5!$F$10:$BG$42,$A64+2,FALSE)="NE","NE",IF(HLOOKUP(R$15,Data_5!$F$10:$BG$42,$A64+2,FALSE)="C","C",IF(HLOOKUP(R$15,Data_5!$F$10:$BG$42,$A64+2,FALSE)="NO","NO",HLOOKUP(R$15,Data_5!$F$10:$BG$42,$A64+2,FALSE)/Data_5!$BH59))))),"")</f>
        <v/>
      </c>
      <c r="S64" s="1122" t="str">
        <f>IFERROR(IF(HLOOKUP(S$15,Data_5!$F$10:$BG$42,$A64+2,FALSE)="NO","NO",IF(HLOOKUP(S$15,Data_5!$F$10:$BG$42,$A64+2,FALSE)="IE","IE",IF(HLOOKUP(S$15,Data_5!$F$10:$BG$42,$A64+2,FALSE)="NE","NE",IF(HLOOKUP(S$15,Data_5!$F$10:$BG$42,$A64+2,FALSE)="C","C",IF(HLOOKUP(S$15,Data_5!$F$10:$BG$42,$A64+2,FALSE)="NO","NO",HLOOKUP(S$15,Data_5!$F$10:$BG$42,$A64+2,FALSE)/Data_5!$BH59))))),"")</f>
        <v/>
      </c>
      <c r="T64" s="1122" t="str">
        <f>IFERROR(IF(HLOOKUP(T$15,Data_5!$F$10:$BG$42,$A64+2,FALSE)="NO","NO",IF(HLOOKUP(T$15,Data_5!$F$10:$BG$42,$A64+2,FALSE)="IE","IE",IF(HLOOKUP(T$15,Data_5!$F$10:$BG$42,$A64+2,FALSE)="NE","NE",IF(HLOOKUP(T$15,Data_5!$F$10:$BG$42,$A64+2,FALSE)="C","C",IF(HLOOKUP(T$15,Data_5!$F$10:$BG$42,$A64+2,FALSE)="NO","NO",HLOOKUP(T$15,Data_5!$F$10:$BG$42,$A64+2,FALSE)/Data_5!$BH59))))),"")</f>
        <v/>
      </c>
      <c r="U64" s="1122" t="str">
        <f>IFERROR(IF(HLOOKUP(U$15,Data_5!$F$10:$BG$42,$A64+2,FALSE)="NO","NO",IF(HLOOKUP(U$15,Data_5!$F$10:$BG$42,$A64+2,FALSE)="IE","IE",IF(HLOOKUP(U$15,Data_5!$F$10:$BG$42,$A64+2,FALSE)="NE","NE",IF(HLOOKUP(U$15,Data_5!$F$10:$BG$42,$A64+2,FALSE)="C","C",IF(HLOOKUP(U$15,Data_5!$F$10:$BG$42,$A64+2,FALSE)="NO","NO",HLOOKUP(U$15,Data_5!$F$10:$BG$42,$A64+2,FALSE)/Data_5!$BH59))))),"")</f>
        <v/>
      </c>
      <c r="V64" s="1122" t="str">
        <f>IFERROR(IF(HLOOKUP(V$15,Data_5!$F$10:$BG$42,$A64+2,FALSE)="NO","NO",IF(HLOOKUP(V$15,Data_5!$F$10:$BG$42,$A64+2,FALSE)="IE","IE",IF(HLOOKUP(V$15,Data_5!$F$10:$BG$42,$A64+2,FALSE)="NE","NE",IF(HLOOKUP(V$15,Data_5!$F$10:$BG$42,$A64+2,FALSE)="C","C",IF(HLOOKUP(V$15,Data_5!$F$10:$BG$42,$A64+2,FALSE)="NO","NO",HLOOKUP(V$15,Data_5!$F$10:$BG$42,$A64+2,FALSE)/Data_5!$BH59))))),"")</f>
        <v/>
      </c>
      <c r="W64" s="1122" t="str">
        <f>IFERROR(IF(HLOOKUP(W$15,Data_5!$F$10:$BG$42,$A64+2,FALSE)="NO","NO",IF(HLOOKUP(W$15,Data_5!$F$10:$BG$42,$A64+2,FALSE)="IE","IE",IF(HLOOKUP(W$15,Data_5!$F$10:$BG$42,$A64+2,FALSE)="NE","NE",IF(HLOOKUP(W$15,Data_5!$F$10:$BG$42,$A64+2,FALSE)="C","C",IF(HLOOKUP(W$15,Data_5!$F$10:$BG$42,$A64+2,FALSE)="NO","NO",HLOOKUP(W$15,Data_5!$F$10:$BG$42,$A64+2,FALSE)/Data_5!$BH59))))),"")</f>
        <v/>
      </c>
      <c r="X64" s="1122" t="str">
        <f>IFERROR(IF(HLOOKUP(X$15,Data_5!$F$10:$BG$42,$A64+2,FALSE)="NO","NO",IF(HLOOKUP(X$15,Data_5!$F$10:$BG$42,$A64+2,FALSE)="IE","IE",IF(HLOOKUP(X$15,Data_5!$F$10:$BG$42,$A64+2,FALSE)="NE","NE",IF(HLOOKUP(X$15,Data_5!$F$10:$BG$42,$A64+2,FALSE)="C","C",IF(HLOOKUP(X$15,Data_5!$F$10:$BG$42,$A64+2,FALSE)="NO","NO",HLOOKUP(X$15,Data_5!$F$10:$BG$42,$A64+2,FALSE)/Data_5!$BH59))))),"")</f>
        <v/>
      </c>
      <c r="Y64" s="1122" t="str">
        <f>IFERROR(IF(HLOOKUP(Y$15,Data_5!$F$10:$BG$42,$A64+2,FALSE)="NO","NO",IF(HLOOKUP(Y$15,Data_5!$F$10:$BG$42,$A64+2,FALSE)="IE","IE",IF(HLOOKUP(Y$15,Data_5!$F$10:$BG$42,$A64+2,FALSE)="NE","NE",IF(HLOOKUP(Y$15,Data_5!$F$10:$BG$42,$A64+2,FALSE)="C","C",IF(HLOOKUP(Y$15,Data_5!$F$10:$BG$42,$A64+2,FALSE)="NO","NO",HLOOKUP(Y$15,Data_5!$F$10:$BG$42,$A64+2,FALSE)/Data_5!$BH59))))),"")</f>
        <v/>
      </c>
      <c r="Z64" s="1122" t="str">
        <f>IFERROR(IF(HLOOKUP(Z$15,Data_5!$F$10:$BG$42,$A64+2,FALSE)="NO","NO",IF(HLOOKUP(Z$15,Data_5!$F$10:$BG$42,$A64+2,FALSE)="IE","IE",IF(HLOOKUP(Z$15,Data_5!$F$10:$BG$42,$A64+2,FALSE)="NE","NE",IF(HLOOKUP(Z$15,Data_5!$F$10:$BG$42,$A64+2,FALSE)="C","C",IF(HLOOKUP(Z$15,Data_5!$F$10:$BG$42,$A64+2,FALSE)="NO","NO",HLOOKUP(Z$15,Data_5!$F$10:$BG$42,$A64+2,FALSE)/Data_5!$BH59))))),"")</f>
        <v/>
      </c>
      <c r="AA64" s="1122" t="str">
        <f>IFERROR(IF(HLOOKUP(AA$15,Data_5!$F$10:$BG$42,$A64+2,FALSE)="NO","NO",IF(HLOOKUP(AA$15,Data_5!$F$10:$BG$42,$A64+2,FALSE)="IE","IE",IF(HLOOKUP(AA$15,Data_5!$F$10:$BG$42,$A64+2,FALSE)="NE","NE",IF(HLOOKUP(AA$15,Data_5!$F$10:$BG$42,$A64+2,FALSE)="C","C",IF(HLOOKUP(AA$15,Data_5!$F$10:$BG$42,$A64+2,FALSE)="NO","NO",HLOOKUP(AA$15,Data_5!$F$10:$BG$42,$A64+2,FALSE)/Data_5!$BH59))))),"")</f>
        <v/>
      </c>
      <c r="AB64" s="1122" t="str">
        <f>IFERROR(IF(HLOOKUP(AB$15,Data_5!$F$10:$BG$42,$A64+2,FALSE)="NO","NO",IF(HLOOKUP(AB$15,Data_5!$F$10:$BG$42,$A64+2,FALSE)="IE","IE",IF(HLOOKUP(AB$15,Data_5!$F$10:$BG$42,$A64+2,FALSE)="NE","NE",IF(HLOOKUP(AB$15,Data_5!$F$10:$BG$42,$A64+2,FALSE)="C","C",IF(HLOOKUP(AB$15,Data_5!$F$10:$BG$42,$A64+2,FALSE)="NO","NO",HLOOKUP(AB$15,Data_5!$F$10:$BG$42,$A64+2,FALSE)/Data_5!$BH59))))),"")</f>
        <v/>
      </c>
      <c r="AC64" s="1122" t="str">
        <f>IFERROR(IF(HLOOKUP(AC$15,Data_5!$F$10:$BG$42,$A64+2,FALSE)="NO","NO",IF(HLOOKUP(AC$15,Data_5!$F$10:$BG$42,$A64+2,FALSE)="IE","IE",IF(HLOOKUP(AC$15,Data_5!$F$10:$BG$42,$A64+2,FALSE)="NE","NE",IF(HLOOKUP(AC$15,Data_5!$F$10:$BG$42,$A64+2,FALSE)="C","C",IF(HLOOKUP(AC$15,Data_5!$F$10:$BG$42,$A64+2,FALSE)="NO","NO",HLOOKUP(AC$15,Data_5!$F$10:$BG$42,$A64+2,FALSE)/Data_5!$BH59))))),"")</f>
        <v/>
      </c>
      <c r="AD64" s="1122" t="str">
        <f>IFERROR(IF(HLOOKUP(AD$15,Data_5!$F$10:$BG$42,$A64+2,FALSE)="NO","NO",IF(HLOOKUP(AD$15,Data_5!$F$10:$BG$42,$A64+2,FALSE)="IE","IE",IF(HLOOKUP(AD$15,Data_5!$F$10:$BG$42,$A64+2,FALSE)="NE","NE",IF(HLOOKUP(AD$15,Data_5!$F$10:$BG$42,$A64+2,FALSE)="C","C",IF(HLOOKUP(AD$15,Data_5!$F$10:$BG$42,$A64+2,FALSE)="NO","NO",HLOOKUP(AD$15,Data_5!$F$10:$BG$42,$A64+2,FALSE)/Data_5!$BH59))))),"")</f>
        <v/>
      </c>
      <c r="AE64" s="1122" t="str">
        <f>IFERROR(IF(HLOOKUP(AE$15,Data_5!$F$10:$BG$42,$A64+2,FALSE)="NO","NO",IF(HLOOKUP(AE$15,Data_5!$F$10:$BG$42,$A64+2,FALSE)="IE","IE",IF(HLOOKUP(AE$15,Data_5!$F$10:$BG$42,$A64+2,FALSE)="NE","NE",IF(HLOOKUP(AE$15,Data_5!$F$10:$BG$42,$A64+2,FALSE)="C","C",IF(HLOOKUP(AE$15,Data_5!$F$10:$BG$42,$A64+2,FALSE)="NO","NO",HLOOKUP(AE$15,Data_5!$F$10:$BG$42,$A64+2,FALSE)/Data_5!$BH59))))),"")</f>
        <v/>
      </c>
      <c r="AF64" s="1122" t="str">
        <f>IFERROR(IF(HLOOKUP(AF$15,Data_5!$F$10:$BG$42,$A64+2,FALSE)="NO","NO",IF(HLOOKUP(AF$15,Data_5!$F$10:$BG$42,$A64+2,FALSE)="IE","IE",IF(HLOOKUP(AF$15,Data_5!$F$10:$BG$42,$A64+2,FALSE)="NE","NE",IF(HLOOKUP(AF$15,Data_5!$F$10:$BG$42,$A64+2,FALSE)="C","C",IF(HLOOKUP(AF$15,Data_5!$F$10:$BG$42,$A64+2,FALSE)="NO","NO",HLOOKUP(AF$15,Data_5!$F$10:$BG$42,$A64+2,FALSE)/Data_5!$BH59))))),"")</f>
        <v/>
      </c>
      <c r="AG64" s="1122" t="str">
        <f>IFERROR(IF(HLOOKUP(AG$15,Data_5!$F$10:$BG$42,$A64+2,FALSE)="NO","NO",IF(HLOOKUP(AG$15,Data_5!$F$10:$BG$42,$A64+2,FALSE)="IE","IE",IF(HLOOKUP(AG$15,Data_5!$F$10:$BG$42,$A64+2,FALSE)="NE","NE",IF(HLOOKUP(AG$15,Data_5!$F$10:$BG$42,$A64+2,FALSE)="C","C",IF(HLOOKUP(AG$15,Data_5!$F$10:$BG$42,$A64+2,FALSE)="NO","NO",HLOOKUP(AG$15,Data_5!$F$10:$BG$42,$A64+2,FALSE)/Data_5!$BH59))))),"")</f>
        <v/>
      </c>
      <c r="AH64" s="1122" t="str">
        <f>IFERROR(IF(HLOOKUP(AH$15,Data_5!$F$10:$BG$42,$A64+2,FALSE)="NO","NO",IF(HLOOKUP(AH$15,Data_5!$F$10:$BG$42,$A64+2,FALSE)="IE","IE",IF(HLOOKUP(AH$15,Data_5!$F$10:$BG$42,$A64+2,FALSE)="NE","NE",IF(HLOOKUP(AH$15,Data_5!$F$10:$BG$42,$A64+2,FALSE)="C","C",IF(HLOOKUP(AH$15,Data_5!$F$10:$BG$42,$A64+2,FALSE)="NO","NO",HLOOKUP(AH$15,Data_5!$F$10:$BG$42,$A64+2,FALSE)/Data_5!$BH59))))),"")</f>
        <v/>
      </c>
      <c r="AI64" s="1122" t="str">
        <f>IFERROR(IF(HLOOKUP(AI$15,Data_5!$F$10:$BG$42,$A64+2,FALSE)="NO","NO",IF(HLOOKUP(AI$15,Data_5!$F$10:$BG$42,$A64+2,FALSE)="IE","IE",IF(HLOOKUP(AI$15,Data_5!$F$10:$BG$42,$A64+2,FALSE)="NE","NE",IF(HLOOKUP(AI$15,Data_5!$F$10:$BG$42,$A64+2,FALSE)="C","C",IF(HLOOKUP(AI$15,Data_5!$F$10:$BG$42,$A64+2,FALSE)="NO","NO",HLOOKUP(AI$15,Data_5!$F$10:$BG$42,$A64+2,FALSE)/Data_5!$BH59))))),"")</f>
        <v/>
      </c>
      <c r="AJ64" s="1122" t="str">
        <f>IFERROR(IF(HLOOKUP(AJ$15,Data_5!$F$10:$BG$42,$A64+2,FALSE)="NO","NO",IF(HLOOKUP(AJ$15,Data_5!$F$10:$BG$42,$A64+2,FALSE)="IE","IE",IF(HLOOKUP(AJ$15,Data_5!$F$10:$BG$42,$A64+2,FALSE)="NE","NE",IF(HLOOKUP(AJ$15,Data_5!$F$10:$BG$42,$A64+2,FALSE)="C","C",IF(HLOOKUP(AJ$15,Data_5!$F$10:$BG$42,$A64+2,FALSE)="NO","NO",HLOOKUP(AJ$15,Data_5!$F$10:$BG$42,$A64+2,FALSE)/Data_5!$BH59))))),"")</f>
        <v/>
      </c>
      <c r="AL64" s="2628" t="str">
        <f t="shared" ca="1" si="0"/>
        <v/>
      </c>
      <c r="AM64" s="2629"/>
      <c r="AN64" s="1100" t="str">
        <f t="shared" ca="1" si="1"/>
        <v/>
      </c>
      <c r="AO64" s="1122" t="str">
        <f>IFERROR(IF(HLOOKUP(AO$15,Data_5!$F$10:$BG$42,$A64+2,FALSE)="NO","NO",IF(HLOOKUP(AO$15,Data_5!$F$10:$BG$42,$A64+2,FALSE)="IE","IE",IF(HLOOKUP(AO$15,Data_5!$F$10:$BG$42,$A64+2,FALSE)="NE","NE",IF(HLOOKUP(AO$15,Data_5!$F$10:$BG$42,$A64+2,FALSE)="C","C",IF(HLOOKUP(AO$15,Data_5!$F$10:$BG$42,$A64+2,FALSE)="NO","NO",HLOOKUP(AO$15,Data_5!$F$10:$BG$42,$A64+2,FALSE)/Data_5!$BI59))))),"")</f>
        <v/>
      </c>
      <c r="AP64" s="1122" t="str">
        <f>IFERROR(IF(HLOOKUP(AP$15,Data_5!$F$10:$BG$42,$A64+2,FALSE)="NO","NO",IF(HLOOKUP(AP$15,Data_5!$F$10:$BG$42,$A64+2,FALSE)="IE","IE",IF(HLOOKUP(AP$15,Data_5!$F$10:$BG$42,$A64+2,FALSE)="NE","NE",IF(HLOOKUP(AP$15,Data_5!$F$10:$BG$42,$A64+2,FALSE)="C","C",IF(HLOOKUP(AP$15,Data_5!$F$10:$BG$42,$A64+2,FALSE)="NO","NO",HLOOKUP(AP$15,Data_5!$F$10:$BG$42,$A64+2,FALSE)/Data_5!$BI59))))),"")</f>
        <v/>
      </c>
      <c r="AQ64" s="1122" t="str">
        <f>IFERROR(IF(HLOOKUP(AQ$15,Data_5!$F$10:$BG$42,$A64+2,FALSE)="NO","NO",IF(HLOOKUP(AQ$15,Data_5!$F$10:$BG$42,$A64+2,FALSE)="IE","IE",IF(HLOOKUP(AQ$15,Data_5!$F$10:$BG$42,$A64+2,FALSE)="NE","NE",IF(HLOOKUP(AQ$15,Data_5!$F$10:$BG$42,$A64+2,FALSE)="C","C",IF(HLOOKUP(AQ$15,Data_5!$F$10:$BG$42,$A64+2,FALSE)="NO","NO",HLOOKUP(AQ$15,Data_5!$F$10:$BG$42,$A64+2,FALSE)/Data_5!$BI59))))),"")</f>
        <v/>
      </c>
      <c r="AR64" s="1122" t="str">
        <f>IFERROR(IF(HLOOKUP(AR$15,Data_5!$F$10:$BG$42,$A64+2,FALSE)="NO","NO",IF(HLOOKUP(AR$15,Data_5!$F$10:$BG$42,$A64+2,FALSE)="IE","IE",IF(HLOOKUP(AR$15,Data_5!$F$10:$BG$42,$A64+2,FALSE)="NE","NE",IF(HLOOKUP(AR$15,Data_5!$F$10:$BG$42,$A64+2,FALSE)="C","C",IF(HLOOKUP(AR$15,Data_5!$F$10:$BG$42,$A64+2,FALSE)="NO","NO",HLOOKUP(AR$15,Data_5!$F$10:$BG$42,$A64+2,FALSE)/Data_5!$BI59))))),"")</f>
        <v/>
      </c>
      <c r="AS64" s="1122" t="str">
        <f>IFERROR(IF(HLOOKUP(AS$15,Data_5!$F$10:$BG$42,$A64+2,FALSE)="NO","NO",IF(HLOOKUP(AS$15,Data_5!$F$10:$BG$42,$A64+2,FALSE)="IE","IE",IF(HLOOKUP(AS$15,Data_5!$F$10:$BG$42,$A64+2,FALSE)="NE","NE",IF(HLOOKUP(AS$15,Data_5!$F$10:$BG$42,$A64+2,FALSE)="C","C",IF(HLOOKUP(AS$15,Data_5!$F$10:$BG$42,$A64+2,FALSE)="NO","NO",HLOOKUP(AS$15,Data_5!$F$10:$BG$42,$A64+2,FALSE)/Data_5!$BI59))))),"")</f>
        <v/>
      </c>
      <c r="AT64" s="1122" t="str">
        <f>IFERROR(IF(HLOOKUP(AT$15,Data_5!$F$10:$BG$42,$A64+2,FALSE)="NO","NO",IF(HLOOKUP(AT$15,Data_5!$F$10:$BG$42,$A64+2,FALSE)="IE","IE",IF(HLOOKUP(AT$15,Data_5!$F$10:$BG$42,$A64+2,FALSE)="NE","NE",IF(HLOOKUP(AT$15,Data_5!$F$10:$BG$42,$A64+2,FALSE)="C","C",IF(HLOOKUP(AT$15,Data_5!$F$10:$BG$42,$A64+2,FALSE)="NO","NO",HLOOKUP(AT$15,Data_5!$F$10:$BG$42,$A64+2,FALSE)/Data_5!$BI59))))),"")</f>
        <v/>
      </c>
      <c r="AU64" s="1122" t="str">
        <f>IFERROR(IF(HLOOKUP(AU$15,Data_5!$F$10:$BG$42,$A64+2,FALSE)="NO","NO",IF(HLOOKUP(AU$15,Data_5!$F$10:$BG$42,$A64+2,FALSE)="IE","IE",IF(HLOOKUP(AU$15,Data_5!$F$10:$BG$42,$A64+2,FALSE)="NE","NE",IF(HLOOKUP(AU$15,Data_5!$F$10:$BG$42,$A64+2,FALSE)="C","C",IF(HLOOKUP(AU$15,Data_5!$F$10:$BG$42,$A64+2,FALSE)="NO","NO",HLOOKUP(AU$15,Data_5!$F$10:$BG$42,$A64+2,FALSE)/Data_5!$BI59))))),"")</f>
        <v/>
      </c>
      <c r="AV64" s="1122" t="str">
        <f>IFERROR(IF(HLOOKUP(AV$15,Data_5!$F$10:$BG$42,$A64+2,FALSE)="NO","NO",IF(HLOOKUP(AV$15,Data_5!$F$10:$BG$42,$A64+2,FALSE)="IE","IE",IF(HLOOKUP(AV$15,Data_5!$F$10:$BG$42,$A64+2,FALSE)="NE","NE",IF(HLOOKUP(AV$15,Data_5!$F$10:$BG$42,$A64+2,FALSE)="C","C",IF(HLOOKUP(AV$15,Data_5!$F$10:$BG$42,$A64+2,FALSE)="NO","NO",HLOOKUP(AV$15,Data_5!$F$10:$BG$42,$A64+2,FALSE)/Data_5!$BI59))))),"")</f>
        <v/>
      </c>
      <c r="AW64" s="1122" t="str">
        <f>IFERROR(IF(HLOOKUP(AW$15,Data_5!$F$10:$BG$42,$A64+2,FALSE)="NO","NO",IF(HLOOKUP(AW$15,Data_5!$F$10:$BG$42,$A64+2,FALSE)="IE","IE",IF(HLOOKUP(AW$15,Data_5!$F$10:$BG$42,$A64+2,FALSE)="NE","NE",IF(HLOOKUP(AW$15,Data_5!$F$10:$BG$42,$A64+2,FALSE)="C","C",IF(HLOOKUP(AW$15,Data_5!$F$10:$BG$42,$A64+2,FALSE)="NO","NO",HLOOKUP(AW$15,Data_5!$F$10:$BG$42,$A64+2,FALSE)/Data_5!$BI59))))),"")</f>
        <v/>
      </c>
      <c r="AX64" s="1122" t="str">
        <f>IFERROR(IF(HLOOKUP(AX$15,Data_5!$F$10:$BG$42,$A64+2,FALSE)="NO","NO",IF(HLOOKUP(AX$15,Data_5!$F$10:$BG$42,$A64+2,FALSE)="IE","IE",IF(HLOOKUP(AX$15,Data_5!$F$10:$BG$42,$A64+2,FALSE)="NE","NE",IF(HLOOKUP(AX$15,Data_5!$F$10:$BG$42,$A64+2,FALSE)="C","C",IF(HLOOKUP(AX$15,Data_5!$F$10:$BG$42,$A64+2,FALSE)="NO","NO",HLOOKUP(AX$15,Data_5!$F$10:$BG$42,$A64+2,FALSE)/Data_5!$BI59))))),"")</f>
        <v/>
      </c>
      <c r="AY64" s="1122" t="str">
        <f>IFERROR(IF(HLOOKUP(AY$15,Data_5!$F$10:$BG$42,$A64+2,FALSE)="NO","NO",IF(HLOOKUP(AY$15,Data_5!$F$10:$BG$42,$A64+2,FALSE)="IE","IE",IF(HLOOKUP(AY$15,Data_5!$F$10:$BG$42,$A64+2,FALSE)="NE","NE",IF(HLOOKUP(AY$15,Data_5!$F$10:$BG$42,$A64+2,FALSE)="C","C",IF(HLOOKUP(AY$15,Data_5!$F$10:$BG$42,$A64+2,FALSE)="NO","NO",HLOOKUP(AY$15,Data_5!$F$10:$BG$42,$A64+2,FALSE)/Data_5!$BI59))))),"")</f>
        <v/>
      </c>
      <c r="AZ64" s="1122" t="str">
        <f>IFERROR(IF(HLOOKUP(AZ$15,Data_5!$F$10:$BG$42,$A64+2,FALSE)="NO","NO",IF(HLOOKUP(AZ$15,Data_5!$F$10:$BG$42,$A64+2,FALSE)="IE","IE",IF(HLOOKUP(AZ$15,Data_5!$F$10:$BG$42,$A64+2,FALSE)="NE","NE",IF(HLOOKUP(AZ$15,Data_5!$F$10:$BG$42,$A64+2,FALSE)="C","C",IF(HLOOKUP(AZ$15,Data_5!$F$10:$BG$42,$A64+2,FALSE)="NO","NO",HLOOKUP(AZ$15,Data_5!$F$10:$BG$42,$A64+2,FALSE)/Data_5!$BI59))))),"")</f>
        <v/>
      </c>
      <c r="BA64" s="1122" t="str">
        <f>IFERROR(IF(HLOOKUP(BA$15,Data_5!$F$10:$BG$42,$A64+2,FALSE)="NO","NO",IF(HLOOKUP(BA$15,Data_5!$F$10:$BG$42,$A64+2,FALSE)="IE","IE",IF(HLOOKUP(BA$15,Data_5!$F$10:$BG$42,$A64+2,FALSE)="NE","NE",IF(HLOOKUP(BA$15,Data_5!$F$10:$BG$42,$A64+2,FALSE)="C","C",IF(HLOOKUP(BA$15,Data_5!$F$10:$BG$42,$A64+2,FALSE)="NO","NO",HLOOKUP(BA$15,Data_5!$F$10:$BG$42,$A64+2,FALSE)/Data_5!$BI59))))),"")</f>
        <v/>
      </c>
      <c r="BB64" s="1122" t="str">
        <f>IFERROR(IF(HLOOKUP(BB$15,Data_5!$F$10:$BG$42,$A64+2,FALSE)="NO","NO",IF(HLOOKUP(BB$15,Data_5!$F$10:$BG$42,$A64+2,FALSE)="IE","IE",IF(HLOOKUP(BB$15,Data_5!$F$10:$BG$42,$A64+2,FALSE)="NE","NE",IF(HLOOKUP(BB$15,Data_5!$F$10:$BG$42,$A64+2,FALSE)="C","C",IF(HLOOKUP(BB$15,Data_5!$F$10:$BG$42,$A64+2,FALSE)="NO","NO",HLOOKUP(BB$15,Data_5!$F$10:$BG$42,$A64+2,FALSE)/Data_5!$BI59))))),"")</f>
        <v/>
      </c>
      <c r="BC64" s="1122" t="str">
        <f>IFERROR(IF(HLOOKUP(BC$15,Data_5!$F$10:$BG$42,$A64+2,FALSE)="NO","NO",IF(HLOOKUP(BC$15,Data_5!$F$10:$BG$42,$A64+2,FALSE)="IE","IE",IF(HLOOKUP(BC$15,Data_5!$F$10:$BG$42,$A64+2,FALSE)="NE","NE",IF(HLOOKUP(BC$15,Data_5!$F$10:$BG$42,$A64+2,FALSE)="C","C",IF(HLOOKUP(BC$15,Data_5!$F$10:$BG$42,$A64+2,FALSE)="NO","NO",HLOOKUP(BC$15,Data_5!$F$10:$BG$42,$A64+2,FALSE)/Data_5!$BI59))))),"")</f>
        <v/>
      </c>
      <c r="BD64" s="1122" t="str">
        <f>IFERROR(IF(HLOOKUP(BD$15,Data_5!$F$10:$BG$42,$A64+2,FALSE)="NO","NO",IF(HLOOKUP(BD$15,Data_5!$F$10:$BG$42,$A64+2,FALSE)="IE","IE",IF(HLOOKUP(BD$15,Data_5!$F$10:$BG$42,$A64+2,FALSE)="NE","NE",IF(HLOOKUP(BD$15,Data_5!$F$10:$BG$42,$A64+2,FALSE)="C","C",IF(HLOOKUP(BD$15,Data_5!$F$10:$BG$42,$A64+2,FALSE)="NO","NO",HLOOKUP(BD$15,Data_5!$F$10:$BG$42,$A64+2,FALSE)/Data_5!$BI59))))),"")</f>
        <v/>
      </c>
      <c r="BE64" s="1122" t="str">
        <f>IFERROR(IF(HLOOKUP(BE$15,Data_5!$F$10:$BG$42,$A64+2,FALSE)="NO","NO",IF(HLOOKUP(BE$15,Data_5!$F$10:$BG$42,$A64+2,FALSE)="IE","IE",IF(HLOOKUP(BE$15,Data_5!$F$10:$BG$42,$A64+2,FALSE)="NE","NE",IF(HLOOKUP(BE$15,Data_5!$F$10:$BG$42,$A64+2,FALSE)="C","C",IF(HLOOKUP(BE$15,Data_5!$F$10:$BG$42,$A64+2,FALSE)="NO","NO",HLOOKUP(BE$15,Data_5!$F$10:$BG$42,$A64+2,FALSE)/Data_5!$BI59))))),"")</f>
        <v/>
      </c>
      <c r="BF64" s="1122" t="str">
        <f>IFERROR(IF(HLOOKUP(BF$15,Data_5!$F$10:$BG$42,$A64+2,FALSE)="NO","NO",IF(HLOOKUP(BF$15,Data_5!$F$10:$BG$42,$A64+2,FALSE)="IE","IE",IF(HLOOKUP(BF$15,Data_5!$F$10:$BG$42,$A64+2,FALSE)="NE","NE",IF(HLOOKUP(BF$15,Data_5!$F$10:$BG$42,$A64+2,FALSE)="C","C",IF(HLOOKUP(BF$15,Data_5!$F$10:$BG$42,$A64+2,FALSE)="NO","NO",HLOOKUP(BF$15,Data_5!$F$10:$BG$42,$A64+2,FALSE)/Data_5!$BI59))))),"")</f>
        <v/>
      </c>
      <c r="BG64" s="1122" t="str">
        <f>IFERROR(IF(HLOOKUP(BG$15,Data_5!$F$10:$BG$42,$A64+2,FALSE)="NO","NO",IF(HLOOKUP(BG$15,Data_5!$F$10:$BG$42,$A64+2,FALSE)="IE","IE",IF(HLOOKUP(BG$15,Data_5!$F$10:$BG$42,$A64+2,FALSE)="NE","NE",IF(HLOOKUP(BG$15,Data_5!$F$10:$BG$42,$A64+2,FALSE)="C","C",IF(HLOOKUP(BG$15,Data_5!$F$10:$BG$42,$A64+2,FALSE)="NO","NO",HLOOKUP(BG$15,Data_5!$F$10:$BG$42,$A64+2,FALSE)/Data_5!$BI59))))),"")</f>
        <v/>
      </c>
      <c r="BH64" s="1122" t="str">
        <f>IFERROR(IF(HLOOKUP(BH$15,Data_5!$F$10:$BG$42,$A64+2,FALSE)="NO","NO",IF(HLOOKUP(BH$15,Data_5!$F$10:$BG$42,$A64+2,FALSE)="IE","IE",IF(HLOOKUP(BH$15,Data_5!$F$10:$BG$42,$A64+2,FALSE)="NE","NE",IF(HLOOKUP(BH$15,Data_5!$F$10:$BG$42,$A64+2,FALSE)="C","C",IF(HLOOKUP(BH$15,Data_5!$F$10:$BG$42,$A64+2,FALSE)="NO","NO",HLOOKUP(BH$15,Data_5!$F$10:$BG$42,$A64+2,FALSE)/Data_5!$BI59))))),"")</f>
        <v/>
      </c>
      <c r="BI64" s="1122" t="str">
        <f>IFERROR(IF(HLOOKUP(BI$15,Data_5!$F$10:$BG$42,$A64+2,FALSE)="NO","NO",IF(HLOOKUP(BI$15,Data_5!$F$10:$BG$42,$A64+2,FALSE)="IE","IE",IF(HLOOKUP(BI$15,Data_5!$F$10:$BG$42,$A64+2,FALSE)="NE","NE",IF(HLOOKUP(BI$15,Data_5!$F$10:$BG$42,$A64+2,FALSE)="C","C",IF(HLOOKUP(BI$15,Data_5!$F$10:$BG$42,$A64+2,FALSE)="NO","NO",HLOOKUP(BI$15,Data_5!$F$10:$BG$42,$A64+2,FALSE)/Data_5!$BI59))))),"")</f>
        <v/>
      </c>
      <c r="BJ64" s="1122" t="str">
        <f>IFERROR(IF(HLOOKUP(BJ$15,Data_5!$F$10:$BG$42,$A64+2,FALSE)="NO","NO",IF(HLOOKUP(BJ$15,Data_5!$F$10:$BG$42,$A64+2,FALSE)="IE","IE",IF(HLOOKUP(BJ$15,Data_5!$F$10:$BG$42,$A64+2,FALSE)="NE","NE",IF(HLOOKUP(BJ$15,Data_5!$F$10:$BG$42,$A64+2,FALSE)="C","C",IF(HLOOKUP(BJ$15,Data_5!$F$10:$BG$42,$A64+2,FALSE)="NO","NO",HLOOKUP(BJ$15,Data_5!$F$10:$BG$42,$A64+2,FALSE)/Data_5!$BI59))))),"")</f>
        <v/>
      </c>
      <c r="BK64" s="1122" t="str">
        <f>IFERROR(IF(HLOOKUP(BK$15,Data_5!$F$10:$BG$42,$A64+2,FALSE)="NO","NO",IF(HLOOKUP(BK$15,Data_5!$F$10:$BG$42,$A64+2,FALSE)="IE","IE",IF(HLOOKUP(BK$15,Data_5!$F$10:$BG$42,$A64+2,FALSE)="NE","NE",IF(HLOOKUP(BK$15,Data_5!$F$10:$BG$42,$A64+2,FALSE)="C","C",IF(HLOOKUP(BK$15,Data_5!$F$10:$BG$42,$A64+2,FALSE)="NO","NO",HLOOKUP(BK$15,Data_5!$F$10:$BG$42,$A64+2,FALSE)/Data_5!$BI59))))),"")</f>
        <v/>
      </c>
      <c r="BL64" s="1122" t="str">
        <f>IFERROR(IF(HLOOKUP(BL$15,Data_5!$F$10:$BG$42,$A64+2,FALSE)="NO","NO",IF(HLOOKUP(BL$15,Data_5!$F$10:$BG$42,$A64+2,FALSE)="IE","IE",IF(HLOOKUP(BL$15,Data_5!$F$10:$BG$42,$A64+2,FALSE)="NE","NE",IF(HLOOKUP(BL$15,Data_5!$F$10:$BG$42,$A64+2,FALSE)="C","C",IF(HLOOKUP(BL$15,Data_5!$F$10:$BG$42,$A64+2,FALSE)="NO","NO",HLOOKUP(BL$15,Data_5!$F$10:$BG$42,$A64+2,FALSE)/Data_5!$BI59))))),"")</f>
        <v/>
      </c>
      <c r="BM64" s="1122" t="str">
        <f>IFERROR(IF(HLOOKUP(BM$15,Data_5!$F$10:$BG$42,$A64+2,FALSE)="NO","NO",IF(HLOOKUP(BM$15,Data_5!$F$10:$BG$42,$A64+2,FALSE)="IE","IE",IF(HLOOKUP(BM$15,Data_5!$F$10:$BG$42,$A64+2,FALSE)="NE","NE",IF(HLOOKUP(BM$15,Data_5!$F$10:$BG$42,$A64+2,FALSE)="C","C",IF(HLOOKUP(BM$15,Data_5!$F$10:$BG$42,$A64+2,FALSE)="NO","NO",HLOOKUP(BM$15,Data_5!$F$10:$BG$42,$A64+2,FALSE)/Data_5!$BI59))))),"")</f>
        <v/>
      </c>
      <c r="BN64" s="1122" t="str">
        <f>IFERROR(IF(HLOOKUP(BN$15,Data_5!$F$10:$BG$42,$A64+2,FALSE)="NO","NO",IF(HLOOKUP(BN$15,Data_5!$F$10:$BG$42,$A64+2,FALSE)="IE","IE",IF(HLOOKUP(BN$15,Data_5!$F$10:$BG$42,$A64+2,FALSE)="NE","NE",IF(HLOOKUP(BN$15,Data_5!$F$10:$BG$42,$A64+2,FALSE)="C","C",IF(HLOOKUP(BN$15,Data_5!$F$10:$BG$42,$A64+2,FALSE)="NO","NO",HLOOKUP(BN$15,Data_5!$F$10:$BG$42,$A64+2,FALSE)/Data_5!$BI59))))),"")</f>
        <v/>
      </c>
      <c r="BO64" s="1122" t="str">
        <f>IFERROR(IF(HLOOKUP(BO$15,Data_5!$F$10:$BG$42,$A64+2,FALSE)="NO","NO",IF(HLOOKUP(BO$15,Data_5!$F$10:$BG$42,$A64+2,FALSE)="IE","IE",IF(HLOOKUP(BO$15,Data_5!$F$10:$BG$42,$A64+2,FALSE)="NE","NE",IF(HLOOKUP(BO$15,Data_5!$F$10:$BG$42,$A64+2,FALSE)="C","C",IF(HLOOKUP(BO$15,Data_5!$F$10:$BG$42,$A64+2,FALSE)="NO","NO",HLOOKUP(BO$15,Data_5!$F$10:$BG$42,$A64+2,FALSE)/Data_5!$BI59))))),"")</f>
        <v/>
      </c>
      <c r="BP64" s="1122" t="str">
        <f>IFERROR(IF(HLOOKUP(BP$15,Data_5!$F$10:$BG$42,$A64+2,FALSE)="NO","NO",IF(HLOOKUP(BP$15,Data_5!$F$10:$BG$42,$A64+2,FALSE)="IE","IE",IF(HLOOKUP(BP$15,Data_5!$F$10:$BG$42,$A64+2,FALSE)="NE","NE",IF(HLOOKUP(BP$15,Data_5!$F$10:$BG$42,$A64+2,FALSE)="C","C",IF(HLOOKUP(BP$15,Data_5!$F$10:$BG$42,$A64+2,FALSE)="NO","NO",HLOOKUP(BP$15,Data_5!$F$10:$BG$42,$A64+2,FALSE)/Data_5!$BI59))))),"")</f>
        <v/>
      </c>
      <c r="BQ64" s="1122" t="str">
        <f>IFERROR(IF(HLOOKUP(BQ$15,Data_5!$F$10:$BG$42,$A64+2,FALSE)="NO","NO",IF(HLOOKUP(BQ$15,Data_5!$F$10:$BG$42,$A64+2,FALSE)="IE","IE",IF(HLOOKUP(BQ$15,Data_5!$F$10:$BG$42,$A64+2,FALSE)="NE","NE",IF(HLOOKUP(BQ$15,Data_5!$F$10:$BG$42,$A64+2,FALSE)="C","C",IF(HLOOKUP(BQ$15,Data_5!$F$10:$BG$42,$A64+2,FALSE)="NO","NO",HLOOKUP(BQ$15,Data_5!$F$10:$BG$42,$A64+2,FALSE)/Data_5!$BI59))))),"")</f>
        <v/>
      </c>
      <c r="BR64" s="1122" t="str">
        <f>IFERROR(IF(HLOOKUP(BR$15,Data_5!$F$10:$BG$42,$A64+2,FALSE)="NO","NO",IF(HLOOKUP(BR$15,Data_5!$F$10:$BG$42,$A64+2,FALSE)="IE","IE",IF(HLOOKUP(BR$15,Data_5!$F$10:$BG$42,$A64+2,FALSE)="NE","NE",IF(HLOOKUP(BR$15,Data_5!$F$10:$BG$42,$A64+2,FALSE)="C","C",IF(HLOOKUP(BR$15,Data_5!$F$10:$BG$42,$A64+2,FALSE)="NO","NO",HLOOKUP(BR$15,Data_5!$F$10:$BG$42,$A64+2,FALSE)/Data_5!$BI59))))),"")</f>
        <v/>
      </c>
      <c r="BS64" s="1122" t="str">
        <f>IFERROR(IF(HLOOKUP(BS$15,Data_5!$F$10:$BG$42,$A64+2,FALSE)="NO","NO",IF(HLOOKUP(BS$15,Data_5!$F$10:$BG$42,$A64+2,FALSE)="IE","IE",IF(HLOOKUP(BS$15,Data_5!$F$10:$BG$42,$A64+2,FALSE)="NE","NE",IF(HLOOKUP(BS$15,Data_5!$F$10:$BG$42,$A64+2,FALSE)="C","C",IF(HLOOKUP(BS$15,Data_5!$F$10:$BG$42,$A64+2,FALSE)="NO","NO",HLOOKUP(BS$15,Data_5!$F$10:$BG$42,$A64+2,FALSE)/Data_5!$BI59))))),"")</f>
        <v/>
      </c>
      <c r="BT64" s="1122" t="str">
        <f>IFERROR(IF(HLOOKUP(BT$15,Data_5!$F$10:$BG$42,$A64+2,FALSE)="NO","NO",IF(HLOOKUP(BT$15,Data_5!$F$10:$BG$42,$A64+2,FALSE)="IE","IE",IF(HLOOKUP(BT$15,Data_5!$F$10:$BG$42,$A64+2,FALSE)="NE","NE",IF(HLOOKUP(BT$15,Data_5!$F$10:$BG$42,$A64+2,FALSE)="C","C",IF(HLOOKUP(BT$15,Data_5!$F$10:$BG$42,$A64+2,FALSE)="NO","NO",HLOOKUP(BT$15,Data_5!$F$10:$BG$42,$A64+2,FALSE)/Data_5!$BI59))))),"")</f>
        <v/>
      </c>
      <c r="BU64" s="1122" t="str">
        <f>IFERROR(IF(HLOOKUP(BU$15,Data_5!$F$10:$BG$42,$A64+2,FALSE)="NO","NO",IF(HLOOKUP(BU$15,Data_5!$F$10:$BG$42,$A64+2,FALSE)="IE","IE",IF(HLOOKUP(BU$15,Data_5!$F$10:$BG$42,$A64+2,FALSE)="NE","NE",IF(HLOOKUP(BU$15,Data_5!$F$10:$BG$42,$A64+2,FALSE)="C","C",IF(HLOOKUP(BU$15,Data_5!$F$10:$BG$42,$A64+2,FALSE)="NO","NO",HLOOKUP(BU$15,Data_5!$F$10:$BG$42,$A64+2,FALSE)/Data_5!$BI59))))),"")</f>
        <v/>
      </c>
      <c r="BV64" s="1122" t="str">
        <f>IFERROR(IF(HLOOKUP(BV$15,Data_5!$F$10:$BG$42,$A64+2,FALSE)="NO","NO",IF(HLOOKUP(BV$15,Data_5!$F$10:$BG$42,$A64+2,FALSE)="IE","IE",IF(HLOOKUP(BV$15,Data_5!$F$10:$BG$42,$A64+2,FALSE)="NE","NE",IF(HLOOKUP(BV$15,Data_5!$F$10:$BG$42,$A64+2,FALSE)="C","C",IF(HLOOKUP(BV$15,Data_5!$F$10:$BG$42,$A64+2,FALSE)="NO","NO",HLOOKUP(BV$15,Data_5!$F$10:$BG$42,$A64+2,FALSE)/Data_5!$BI59))))),"")</f>
        <v/>
      </c>
      <c r="BW64" s="1122" t="str">
        <f>IFERROR(IF(HLOOKUP(BW$15,Data_5!$F$10:$BG$42,$A64+2,FALSE)="NO","NO",IF(HLOOKUP(BW$15,Data_5!$F$10:$BG$42,$A64+2,FALSE)="IE","IE",IF(HLOOKUP(BW$15,Data_5!$F$10:$BG$42,$A64+2,FALSE)="NE","NE",IF(HLOOKUP(BW$15,Data_5!$F$10:$BG$42,$A64+2,FALSE)="C","C",IF(HLOOKUP(BW$15,Data_5!$F$10:$BG$42,$A64+2,FALSE)="NO","NO",HLOOKUP(BW$15,Data_5!$F$10:$BG$42,$A64+2,FALSE)/Data_5!$BI59))))),"")</f>
        <v/>
      </c>
      <c r="BX64" s="1122" t="str">
        <f>IFERROR(IF(HLOOKUP(BX$15,Data_5!$F$10:$BG$42,$A64+2,FALSE)="NO","NO",IF(HLOOKUP(BX$15,Data_5!$F$10:$BG$42,$A64+2,FALSE)="IE","IE",IF(HLOOKUP(BX$15,Data_5!$F$10:$BG$42,$A64+2,FALSE)="NE","NE",IF(HLOOKUP(BX$15,Data_5!$F$10:$BG$42,$A64+2,FALSE)="C","C",IF(HLOOKUP(BX$15,Data_5!$F$10:$BG$42,$A64+2,FALSE)="NO","NO",HLOOKUP(BX$15,Data_5!$F$10:$BG$42,$A64+2,FALSE)/Data_5!$BI59))))),"")</f>
        <v/>
      </c>
      <c r="BY64" s="1122" t="str">
        <f>IFERROR(IF(HLOOKUP(BY$15,Data_5!$F$10:$BG$42,$A64+2,FALSE)="NO","NO",IF(HLOOKUP(BY$15,Data_5!$F$10:$BG$42,$A64+2,FALSE)="IE","IE",IF(HLOOKUP(BY$15,Data_5!$F$10:$BG$42,$A64+2,FALSE)="NE","NE",IF(HLOOKUP(BY$15,Data_5!$F$10:$BG$42,$A64+2,FALSE)="C","C",IF(HLOOKUP(BY$15,Data_5!$F$10:$BG$42,$A64+2,FALSE)="NO","NO",HLOOKUP(BY$15,Data_5!$F$10:$BG$42,$A64+2,FALSE)/Data_5!$BI59))))),"")</f>
        <v/>
      </c>
      <c r="BZ64" s="1122" t="str">
        <f>IFERROR(IF(HLOOKUP(BZ$15,Data_5!$F$10:$BG$42,$A64+2,FALSE)="NO","NO",IF(HLOOKUP(BZ$15,Data_5!$F$10:$BG$42,$A64+2,FALSE)="IE","IE",IF(HLOOKUP(BZ$15,Data_5!$F$10:$BG$42,$A64+2,FALSE)="NE","NE",IF(HLOOKUP(BZ$15,Data_5!$F$10:$BG$42,$A64+2,FALSE)="C","C",IF(HLOOKUP(BZ$15,Data_5!$F$10:$BG$42,$A64+2,FALSE)="NO","NO",HLOOKUP(BZ$15,Data_5!$F$10:$BG$42,$A64+2,FALSE)/Data_5!$BI59))))),"")</f>
        <v/>
      </c>
      <c r="CA64" s="1122" t="str">
        <f>IFERROR(IF(HLOOKUP(CA$15,Data_5!$F$10:$BG$42,$A64+2,FALSE)="NO","NO",IF(HLOOKUP(CA$15,Data_5!$F$10:$BG$42,$A64+2,FALSE)="IE","IE",IF(HLOOKUP(CA$15,Data_5!$F$10:$BG$42,$A64+2,FALSE)="NE","NE",IF(HLOOKUP(CA$15,Data_5!$F$10:$BG$42,$A64+2,FALSE)="C","C",IF(HLOOKUP(CA$15,Data_5!$F$10:$BG$42,$A64+2,FALSE)="NO","NO",HLOOKUP(CA$15,Data_5!$F$10:$BG$42,$A64+2,FALSE)/Data_5!$BI59))))),"")</f>
        <v/>
      </c>
      <c r="CB64" s="1122" t="str">
        <f>IFERROR(IF(HLOOKUP(CB$15,Data_5!$F$10:$BG$42,$A64+2,FALSE)="NO","NO",IF(HLOOKUP(CB$15,Data_5!$F$10:$BG$42,$A64+2,FALSE)="IE","IE",IF(HLOOKUP(CB$15,Data_5!$F$10:$BG$42,$A64+2,FALSE)="NE","NE",IF(HLOOKUP(CB$15,Data_5!$F$10:$BG$42,$A64+2,FALSE)="C","C",IF(HLOOKUP(CB$15,Data_5!$F$10:$BG$42,$A64+2,FALSE)="NO","NO",HLOOKUP(CB$15,Data_5!$F$10:$BG$42,$A64+2,FALSE)/Data_5!$BI59))))),"")</f>
        <v/>
      </c>
      <c r="CC64" s="1122" t="str">
        <f>IFERROR(IF(HLOOKUP(CC$15,Data_5!$F$10:$BG$42,$A64+2,FALSE)="NO","NO",IF(HLOOKUP(CC$15,Data_5!$F$10:$BG$42,$A64+2,FALSE)="IE","IE",IF(HLOOKUP(CC$15,Data_5!$F$10:$BG$42,$A64+2,FALSE)="NE","NE",IF(HLOOKUP(CC$15,Data_5!$F$10:$BG$42,$A64+2,FALSE)="C","C",IF(HLOOKUP(CC$15,Data_5!$F$10:$BG$42,$A64+2,FALSE)="NO","NO",HLOOKUP(CC$15,Data_5!$F$10:$BG$42,$A64+2,FALSE)/Data_5!$BI59))))),"")</f>
        <v/>
      </c>
      <c r="CD64" s="1122" t="str">
        <f>IFERROR(IF(HLOOKUP(CD$15,Data_5!$F$10:$BG$42,$A64+2,FALSE)="NO","NO",IF(HLOOKUP(CD$15,Data_5!$F$10:$BG$42,$A64+2,FALSE)="IE","IE",IF(HLOOKUP(CD$15,Data_5!$F$10:$BG$42,$A64+2,FALSE)="NE","NE",IF(HLOOKUP(CD$15,Data_5!$F$10:$BG$42,$A64+2,FALSE)="C","C",IF(HLOOKUP(CD$15,Data_5!$F$10:$BG$42,$A64+2,FALSE)="NO","NO",HLOOKUP(CD$15,Data_5!$F$10:$BG$42,$A64+2,FALSE)/Data_5!$BI59))))),"")</f>
        <v/>
      </c>
      <c r="CE64" s="1122" t="str">
        <f>IFERROR(IF(HLOOKUP(CE$15,Data_5!$F$10:$BG$42,$A64+2,FALSE)="NO","NO",IF(HLOOKUP(CE$15,Data_5!$F$10:$BG$42,$A64+2,FALSE)="IE","IE",IF(HLOOKUP(CE$15,Data_5!$F$10:$BG$42,$A64+2,FALSE)="NE","NE",IF(HLOOKUP(CE$15,Data_5!$F$10:$BG$42,$A64+2,FALSE)="C","C",IF(HLOOKUP(CE$15,Data_5!$F$10:$BG$42,$A64+2,FALSE)="NO","NO",HLOOKUP(CE$15,Data_5!$F$10:$BG$42,$A64+2,FALSE)/Data_5!$BI59))))),"")</f>
        <v/>
      </c>
      <c r="CF64" s="1122" t="str">
        <f>IFERROR(IF(HLOOKUP(CF$15,Data_5!$F$10:$BG$42,$A64+2,FALSE)="NO","NO",IF(HLOOKUP(CF$15,Data_5!$F$10:$BG$42,$A64+2,FALSE)="IE","IE",IF(HLOOKUP(CF$15,Data_5!$F$10:$BG$42,$A64+2,FALSE)="NE","NE",IF(HLOOKUP(CF$15,Data_5!$F$10:$BG$42,$A64+2,FALSE)="C","C",IF(HLOOKUP(CF$15,Data_5!$F$10:$BG$42,$A64+2,FALSE)="NO","NO",HLOOKUP(CF$15,Data_5!$F$10:$BG$42,$A64+2,FALSE)/Data_5!$BI59))))),"")</f>
        <v/>
      </c>
      <c r="CG64" s="1122" t="str">
        <f>IFERROR(IF(HLOOKUP(CG$15,Data_5!$F$10:$BG$42,$A64+2,FALSE)="NO","NO",IF(HLOOKUP(CG$15,Data_5!$F$10:$BG$42,$A64+2,FALSE)="IE","IE",IF(HLOOKUP(CG$15,Data_5!$F$10:$BG$42,$A64+2,FALSE)="NE","NE",IF(HLOOKUP(CG$15,Data_5!$F$10:$BG$42,$A64+2,FALSE)="C","C",IF(HLOOKUP(CG$15,Data_5!$F$10:$BG$42,$A64+2,FALSE)="NO","NO",HLOOKUP(CG$15,Data_5!$F$10:$BG$42,$A64+2,FALSE)/Data_5!$BI59))))),"")</f>
        <v/>
      </c>
      <c r="CH64" s="1122" t="str">
        <f>IFERROR(IF(HLOOKUP(CH$15,Data_5!$F$10:$BG$42,$A64+2,FALSE)="NO","NO",IF(HLOOKUP(CH$15,Data_5!$F$10:$BG$42,$A64+2,FALSE)="IE","IE",IF(HLOOKUP(CH$15,Data_5!$F$10:$BG$42,$A64+2,FALSE)="NE","NE",IF(HLOOKUP(CH$15,Data_5!$F$10:$BG$42,$A64+2,FALSE)="C","C",IF(HLOOKUP(CH$15,Data_5!$F$10:$BG$42,$A64+2,FALSE)="NO","NO",HLOOKUP(CH$15,Data_5!$F$10:$BG$42,$A64+2,FALSE)/Data_5!$BI59))))),"")</f>
        <v/>
      </c>
      <c r="CI64" s="1122" t="str">
        <f>IFERROR(IF(HLOOKUP(CI$15,Data_5!$F$10:$BG$42,$A64+2,FALSE)="NO","NO",IF(HLOOKUP(CI$15,Data_5!$F$10:$BG$42,$A64+2,FALSE)="IE","IE",IF(HLOOKUP(CI$15,Data_5!$F$10:$BG$42,$A64+2,FALSE)="NE","NE",IF(HLOOKUP(CI$15,Data_5!$F$10:$BG$42,$A64+2,FALSE)="C","C",IF(HLOOKUP(CI$15,Data_5!$F$10:$BG$42,$A64+2,FALSE)="NO","NO",HLOOKUP(CI$15,Data_5!$F$10:$BG$42,$A64+2,FALSE)/Data_5!$BI59))))),"")</f>
        <v/>
      </c>
      <c r="CJ64" s="1122" t="str">
        <f>IFERROR(IF(HLOOKUP(CJ$15,Data_5!$F$10:$BG$42,$A64+2,FALSE)="NO","NO",IF(HLOOKUP(CJ$15,Data_5!$F$10:$BG$42,$A64+2,FALSE)="IE","IE",IF(HLOOKUP(CJ$15,Data_5!$F$10:$BG$42,$A64+2,FALSE)="NE","NE",IF(HLOOKUP(CJ$15,Data_5!$F$10:$BG$42,$A64+2,FALSE)="C","C",IF(HLOOKUP(CJ$15,Data_5!$F$10:$BG$42,$A64+2,FALSE)="NO","NO",HLOOKUP(CJ$15,Data_5!$F$10:$BG$42,$A64+2,FALSE)/Data_5!$BI59))))),"")</f>
        <v/>
      </c>
      <c r="CL64" s="2628" t="str">
        <f t="shared" ca="1" si="6"/>
        <v/>
      </c>
      <c r="CM64" s="2629"/>
      <c r="CN64" s="1100" t="str">
        <f t="shared" ca="1" si="7"/>
        <v/>
      </c>
      <c r="CO64" s="1122" t="str">
        <f>IFERROR(IF(HLOOKUP(CO$15,Data_5!$F$10:$BG$42,$A64+2,FALSE)="NO","NO",IF(HLOOKUP(CO$15,Data_5!$F$10:$BG$42,$A64+2,FALSE)="IE","IE",IF(HLOOKUP(CO$15,Data_5!$F$10:$BG$42,$A64+2,FALSE)="NE","NE",IF(HLOOKUP(CO$15,Data_5!$F$10:$BG$42,$A64+2,FALSE)="C","C",IF(HLOOKUP(CO$15,Data_5!$F$10:$BG$42,$A64+2,FALSE)="NO","NO",HLOOKUP(CO$15,Data_5!$F$10:$BG$42,$A64+2,FALSE)/Data_5!$BK59))))),"")</f>
        <v/>
      </c>
      <c r="CP64" s="1122" t="str">
        <f>IFERROR(IF(HLOOKUP(CP$15,Data_5!$F$10:$BG$42,$A64+2,FALSE)="NO","NO",IF(HLOOKUP(CP$15,Data_5!$F$10:$BG$42,$A64+2,FALSE)="IE","IE",IF(HLOOKUP(CP$15,Data_5!$F$10:$BG$42,$A64+2,FALSE)="NE","NE",IF(HLOOKUP(CP$15,Data_5!$F$10:$BG$42,$A64+2,FALSE)="C","C",IF(HLOOKUP(CP$15,Data_5!$F$10:$BG$42,$A64+2,FALSE)="NO","NO",HLOOKUP(CP$15,Data_5!$F$10:$BG$42,$A64+2,FALSE)/Data_5!$BK59))))),"")</f>
        <v/>
      </c>
      <c r="CQ64" s="1122" t="str">
        <f>IFERROR(IF(HLOOKUP(CQ$15,Data_5!$F$10:$BG$42,$A64+2,FALSE)="NO","NO",IF(HLOOKUP(CQ$15,Data_5!$F$10:$BG$42,$A64+2,FALSE)="IE","IE",IF(HLOOKUP(CQ$15,Data_5!$F$10:$BG$42,$A64+2,FALSE)="NE","NE",IF(HLOOKUP(CQ$15,Data_5!$F$10:$BG$42,$A64+2,FALSE)="C","C",IF(HLOOKUP(CQ$15,Data_5!$F$10:$BG$42,$A64+2,FALSE)="NO","NO",HLOOKUP(CQ$15,Data_5!$F$10:$BG$42,$A64+2,FALSE)/Data_5!$BK59))))),"")</f>
        <v/>
      </c>
      <c r="CR64" s="1122" t="str">
        <f>IFERROR(IF(HLOOKUP(CR$15,Data_5!$F$10:$BG$42,$A64+2,FALSE)="NO","NO",IF(HLOOKUP(CR$15,Data_5!$F$10:$BG$42,$A64+2,FALSE)="IE","IE",IF(HLOOKUP(CR$15,Data_5!$F$10:$BG$42,$A64+2,FALSE)="NE","NE",IF(HLOOKUP(CR$15,Data_5!$F$10:$BG$42,$A64+2,FALSE)="C","C",IF(HLOOKUP(CR$15,Data_5!$F$10:$BG$42,$A64+2,FALSE)="NO","NO",HLOOKUP(CR$15,Data_5!$F$10:$BG$42,$A64+2,FALSE)/Data_5!$BK59))))),"")</f>
        <v/>
      </c>
      <c r="CS64" s="1122" t="str">
        <f>IFERROR(IF(HLOOKUP(CS$15,Data_5!$F$10:$BG$42,$A64+2,FALSE)="NO","NO",IF(HLOOKUP(CS$15,Data_5!$F$10:$BG$42,$A64+2,FALSE)="IE","IE",IF(HLOOKUP(CS$15,Data_5!$F$10:$BG$42,$A64+2,FALSE)="NE","NE",IF(HLOOKUP(CS$15,Data_5!$F$10:$BG$42,$A64+2,FALSE)="C","C",IF(HLOOKUP(CS$15,Data_5!$F$10:$BG$42,$A64+2,FALSE)="NO","NO",HLOOKUP(CS$15,Data_5!$F$10:$BG$42,$A64+2,FALSE)/Data_5!$BK59))))),"")</f>
        <v/>
      </c>
      <c r="CT64" s="1122" t="str">
        <f>IFERROR(IF(HLOOKUP(CT$15,Data_5!$F$10:$BG$42,$A64+2,FALSE)="NO","NO",IF(HLOOKUP(CT$15,Data_5!$F$10:$BG$42,$A64+2,FALSE)="IE","IE",IF(HLOOKUP(CT$15,Data_5!$F$10:$BG$42,$A64+2,FALSE)="NE","NE",IF(HLOOKUP(CT$15,Data_5!$F$10:$BG$42,$A64+2,FALSE)="C","C",IF(HLOOKUP(CT$15,Data_5!$F$10:$BG$42,$A64+2,FALSE)="NO","NO",HLOOKUP(CT$15,Data_5!$F$10:$BG$42,$A64+2,FALSE)/Data_5!$BK59))))),"")</f>
        <v/>
      </c>
      <c r="CU64" s="1122" t="str">
        <f>IFERROR(IF(HLOOKUP(CU$15,Data_5!$F$10:$BG$42,$A64+2,FALSE)="NO","NO",IF(HLOOKUP(CU$15,Data_5!$F$10:$BG$42,$A64+2,FALSE)="IE","IE",IF(HLOOKUP(CU$15,Data_5!$F$10:$BG$42,$A64+2,FALSE)="NE","NE",IF(HLOOKUP(CU$15,Data_5!$F$10:$BG$42,$A64+2,FALSE)="C","C",IF(HLOOKUP(CU$15,Data_5!$F$10:$BG$42,$A64+2,FALSE)="NO","NO",HLOOKUP(CU$15,Data_5!$F$10:$BG$42,$A64+2,FALSE)/Data_5!$BK59))))),"")</f>
        <v/>
      </c>
      <c r="CV64" s="1122" t="str">
        <f>IFERROR(IF(HLOOKUP(CV$15,Data_5!$F$10:$BG$42,$A64+2,FALSE)="NO","NO",IF(HLOOKUP(CV$15,Data_5!$F$10:$BG$42,$A64+2,FALSE)="IE","IE",IF(HLOOKUP(CV$15,Data_5!$F$10:$BG$42,$A64+2,FALSE)="NE","NE",IF(HLOOKUP(CV$15,Data_5!$F$10:$BG$42,$A64+2,FALSE)="C","C",IF(HLOOKUP(CV$15,Data_5!$F$10:$BG$42,$A64+2,FALSE)="NO","NO",HLOOKUP(CV$15,Data_5!$F$10:$BG$42,$A64+2,FALSE)/Data_5!$BK59))))),"")</f>
        <v/>
      </c>
      <c r="CW64" s="1122" t="str">
        <f>IFERROR(IF(HLOOKUP(CW$15,Data_5!$F$10:$BG$42,$A64+2,FALSE)="NO","NO",IF(HLOOKUP(CW$15,Data_5!$F$10:$BG$42,$A64+2,FALSE)="IE","IE",IF(HLOOKUP(CW$15,Data_5!$F$10:$BG$42,$A64+2,FALSE)="NE","NE",IF(HLOOKUP(CW$15,Data_5!$F$10:$BG$42,$A64+2,FALSE)="C","C",IF(HLOOKUP(CW$15,Data_5!$F$10:$BG$42,$A64+2,FALSE)="NO","NO",HLOOKUP(CW$15,Data_5!$F$10:$BG$42,$A64+2,FALSE)/Data_5!$BK59))))),"")</f>
        <v/>
      </c>
      <c r="CX64" s="1122" t="str">
        <f>IFERROR(IF(HLOOKUP(CX$15,Data_5!$F$10:$BG$42,$A64+2,FALSE)="NO","NO",IF(HLOOKUP(CX$15,Data_5!$F$10:$BG$42,$A64+2,FALSE)="IE","IE",IF(HLOOKUP(CX$15,Data_5!$F$10:$BG$42,$A64+2,FALSE)="NE","NE",IF(HLOOKUP(CX$15,Data_5!$F$10:$BG$42,$A64+2,FALSE)="C","C",IF(HLOOKUP(CX$15,Data_5!$F$10:$BG$42,$A64+2,FALSE)="NO","NO",HLOOKUP(CX$15,Data_5!$F$10:$BG$42,$A64+2,FALSE)/Data_5!$BK59))))),"")</f>
        <v/>
      </c>
      <c r="CY64" s="1122" t="str">
        <f>IFERROR(IF(HLOOKUP(CY$15,Data_5!$F$10:$BG$42,$A64+2,FALSE)="NO","NO",IF(HLOOKUP(CY$15,Data_5!$F$10:$BG$42,$A64+2,FALSE)="IE","IE",IF(HLOOKUP(CY$15,Data_5!$F$10:$BG$42,$A64+2,FALSE)="NE","NE",IF(HLOOKUP(CY$15,Data_5!$F$10:$BG$42,$A64+2,FALSE)="C","C",IF(HLOOKUP(CY$15,Data_5!$F$10:$BG$42,$A64+2,FALSE)="NO","NO",HLOOKUP(CY$15,Data_5!$F$10:$BG$42,$A64+2,FALSE)/Data_5!$BK59))))),"")</f>
        <v/>
      </c>
      <c r="CZ64" s="1122" t="str">
        <f>IFERROR(IF(HLOOKUP(CZ$15,Data_5!$F$10:$BG$42,$A64+2,FALSE)="NO","NO",IF(HLOOKUP(CZ$15,Data_5!$F$10:$BG$42,$A64+2,FALSE)="IE","IE",IF(HLOOKUP(CZ$15,Data_5!$F$10:$BG$42,$A64+2,FALSE)="NE","NE",IF(HLOOKUP(CZ$15,Data_5!$F$10:$BG$42,$A64+2,FALSE)="C","C",IF(HLOOKUP(CZ$15,Data_5!$F$10:$BG$42,$A64+2,FALSE)="NO","NO",HLOOKUP(CZ$15,Data_5!$F$10:$BG$42,$A64+2,FALSE)/Data_5!$BK59))))),"")</f>
        <v/>
      </c>
      <c r="DA64" s="1122" t="str">
        <f>IFERROR(IF(HLOOKUP(DA$15,Data_5!$F$10:$BG$42,$A64+2,FALSE)="NO","NO",IF(HLOOKUP(DA$15,Data_5!$F$10:$BG$42,$A64+2,FALSE)="IE","IE",IF(HLOOKUP(DA$15,Data_5!$F$10:$BG$42,$A64+2,FALSE)="NE","NE",IF(HLOOKUP(DA$15,Data_5!$F$10:$BG$42,$A64+2,FALSE)="C","C",IF(HLOOKUP(DA$15,Data_5!$F$10:$BG$42,$A64+2,FALSE)="NO","NO",HLOOKUP(DA$15,Data_5!$F$10:$BG$42,$A64+2,FALSE)/Data_5!$BK59))))),"")</f>
        <v/>
      </c>
      <c r="DB64" s="1122" t="str">
        <f>IFERROR(IF(HLOOKUP(DB$15,Data_5!$F$10:$BG$42,$A64+2,FALSE)="NO","NO",IF(HLOOKUP(DB$15,Data_5!$F$10:$BG$42,$A64+2,FALSE)="IE","IE",IF(HLOOKUP(DB$15,Data_5!$F$10:$BG$42,$A64+2,FALSE)="NE","NE",IF(HLOOKUP(DB$15,Data_5!$F$10:$BG$42,$A64+2,FALSE)="C","C",IF(HLOOKUP(DB$15,Data_5!$F$10:$BG$42,$A64+2,FALSE)="NO","NO",HLOOKUP(DB$15,Data_5!$F$10:$BG$42,$A64+2,FALSE)/Data_5!$BK59))))),"")</f>
        <v/>
      </c>
      <c r="DC64" s="1122" t="str">
        <f>IFERROR(IF(HLOOKUP(DC$15,Data_5!$F$10:$BG$42,$A64+2,FALSE)="NO","NO",IF(HLOOKUP(DC$15,Data_5!$F$10:$BG$42,$A64+2,FALSE)="IE","IE",IF(HLOOKUP(DC$15,Data_5!$F$10:$BG$42,$A64+2,FALSE)="NE","NE",IF(HLOOKUP(DC$15,Data_5!$F$10:$BG$42,$A64+2,FALSE)="C","C",IF(HLOOKUP(DC$15,Data_5!$F$10:$BG$42,$A64+2,FALSE)="NO","NO",HLOOKUP(DC$15,Data_5!$F$10:$BG$42,$A64+2,FALSE)/Data_5!$BK59))))),"")</f>
        <v/>
      </c>
      <c r="DD64" s="1122" t="str">
        <f>IFERROR(IF(HLOOKUP(DD$15,Data_5!$F$10:$BG$42,$A64+2,FALSE)="NO","NO",IF(HLOOKUP(DD$15,Data_5!$F$10:$BG$42,$A64+2,FALSE)="IE","IE",IF(HLOOKUP(DD$15,Data_5!$F$10:$BG$42,$A64+2,FALSE)="NE","NE",IF(HLOOKUP(DD$15,Data_5!$F$10:$BG$42,$A64+2,FALSE)="C","C",IF(HLOOKUP(DD$15,Data_5!$F$10:$BG$42,$A64+2,FALSE)="NO","NO",HLOOKUP(DD$15,Data_5!$F$10:$BG$42,$A64+2,FALSE)/Data_5!$BK59))))),"")</f>
        <v/>
      </c>
      <c r="DE64" s="1122" t="str">
        <f>IFERROR(IF(HLOOKUP(DE$15,Data_5!$F$10:$BG$42,$A64+2,FALSE)="NO","NO",IF(HLOOKUP(DE$15,Data_5!$F$10:$BG$42,$A64+2,FALSE)="IE","IE",IF(HLOOKUP(DE$15,Data_5!$F$10:$BG$42,$A64+2,FALSE)="NE","NE",IF(HLOOKUP(DE$15,Data_5!$F$10:$BG$42,$A64+2,FALSE)="C","C",IF(HLOOKUP(DE$15,Data_5!$F$10:$BG$42,$A64+2,FALSE)="NO","NO",HLOOKUP(DE$15,Data_5!$F$10:$BG$42,$A64+2,FALSE)/Data_5!$BK59))))),"")</f>
        <v/>
      </c>
      <c r="DF64" s="1122" t="str">
        <f>IFERROR(IF(HLOOKUP(DF$15,Data_5!$F$10:$BG$42,$A64+2,FALSE)="NO","NO",IF(HLOOKUP(DF$15,Data_5!$F$10:$BG$42,$A64+2,FALSE)="IE","IE",IF(HLOOKUP(DF$15,Data_5!$F$10:$BG$42,$A64+2,FALSE)="NE","NE",IF(HLOOKUP(DF$15,Data_5!$F$10:$BG$42,$A64+2,FALSE)="C","C",IF(HLOOKUP(DF$15,Data_5!$F$10:$BG$42,$A64+2,FALSE)="NO","NO",HLOOKUP(DF$15,Data_5!$F$10:$BG$42,$A64+2,FALSE)/Data_5!$BK59))))),"")</f>
        <v/>
      </c>
      <c r="DG64" s="1122" t="str">
        <f>IFERROR(IF(HLOOKUP(DG$15,Data_5!$F$10:$BG$42,$A64+2,FALSE)="NO","NO",IF(HLOOKUP(DG$15,Data_5!$F$10:$BG$42,$A64+2,FALSE)="IE","IE",IF(HLOOKUP(DG$15,Data_5!$F$10:$BG$42,$A64+2,FALSE)="NE","NE",IF(HLOOKUP(DG$15,Data_5!$F$10:$BG$42,$A64+2,FALSE)="C","C",IF(HLOOKUP(DG$15,Data_5!$F$10:$BG$42,$A64+2,FALSE)="NO","NO",HLOOKUP(DG$15,Data_5!$F$10:$BG$42,$A64+2,FALSE)/Data_5!$BK59))))),"")</f>
        <v/>
      </c>
      <c r="DH64" s="1122" t="str">
        <f>IFERROR(IF(HLOOKUP(DH$15,Data_5!$F$10:$BG$42,$A64+2,FALSE)="NO","NO",IF(HLOOKUP(DH$15,Data_5!$F$10:$BG$42,$A64+2,FALSE)="IE","IE",IF(HLOOKUP(DH$15,Data_5!$F$10:$BG$42,$A64+2,FALSE)="NE","NE",IF(HLOOKUP(DH$15,Data_5!$F$10:$BG$42,$A64+2,FALSE)="C","C",IF(HLOOKUP(DH$15,Data_5!$F$10:$BG$42,$A64+2,FALSE)="NO","NO",HLOOKUP(DH$15,Data_5!$F$10:$BG$42,$A64+2,FALSE)/Data_5!$BK59))))),"")</f>
        <v/>
      </c>
      <c r="DI64" s="1122" t="str">
        <f>IFERROR(IF(HLOOKUP(DI$15,Data_5!$F$10:$BG$42,$A64+2,FALSE)="NO","NO",IF(HLOOKUP(DI$15,Data_5!$F$10:$BG$42,$A64+2,FALSE)="IE","IE",IF(HLOOKUP(DI$15,Data_5!$F$10:$BG$42,$A64+2,FALSE)="NE","NE",IF(HLOOKUP(DI$15,Data_5!$F$10:$BG$42,$A64+2,FALSE)="C","C",IF(HLOOKUP(DI$15,Data_5!$F$10:$BG$42,$A64+2,FALSE)="NO","NO",HLOOKUP(DI$15,Data_5!$F$10:$BG$42,$A64+2,FALSE)/Data_5!$BK59))))),"")</f>
        <v/>
      </c>
      <c r="DJ64" s="1122" t="str">
        <f>IFERROR(IF(HLOOKUP(DJ$15,Data_5!$F$10:$BG$42,$A64+2,FALSE)="NO","NO",IF(HLOOKUP(DJ$15,Data_5!$F$10:$BG$42,$A64+2,FALSE)="IE","IE",IF(HLOOKUP(DJ$15,Data_5!$F$10:$BG$42,$A64+2,FALSE)="NE","NE",IF(HLOOKUP(DJ$15,Data_5!$F$10:$BG$42,$A64+2,FALSE)="C","C",IF(HLOOKUP(DJ$15,Data_5!$F$10:$BG$42,$A64+2,FALSE)="NO","NO",HLOOKUP(DJ$15,Data_5!$F$10:$BG$42,$A64+2,FALSE)/Data_5!$BK59))))),"")</f>
        <v/>
      </c>
      <c r="DK64" s="1122" t="str">
        <f>IFERROR(IF(HLOOKUP(DK$15,Data_5!$F$10:$BG$42,$A64+2,FALSE)="NO","NO",IF(HLOOKUP(DK$15,Data_5!$F$10:$BG$42,$A64+2,FALSE)="IE","IE",IF(HLOOKUP(DK$15,Data_5!$F$10:$BG$42,$A64+2,FALSE)="NE","NE",IF(HLOOKUP(DK$15,Data_5!$F$10:$BG$42,$A64+2,FALSE)="C","C",IF(HLOOKUP(DK$15,Data_5!$F$10:$BG$42,$A64+2,FALSE)="NO","NO",HLOOKUP(DK$15,Data_5!$F$10:$BG$42,$A64+2,FALSE)/Data_5!$BK59))))),"")</f>
        <v/>
      </c>
      <c r="DL64" s="1122" t="str">
        <f>IFERROR(IF(HLOOKUP(DL$15,Data_5!$F$10:$BG$42,$A64+2,FALSE)="NO","NO",IF(HLOOKUP(DL$15,Data_5!$F$10:$BG$42,$A64+2,FALSE)="IE","IE",IF(HLOOKUP(DL$15,Data_5!$F$10:$BG$42,$A64+2,FALSE)="NE","NE",IF(HLOOKUP(DL$15,Data_5!$F$10:$BG$42,$A64+2,FALSE)="C","C",IF(HLOOKUP(DL$15,Data_5!$F$10:$BG$42,$A64+2,FALSE)="NO","NO",HLOOKUP(DL$15,Data_5!$F$10:$BG$42,$A64+2,FALSE)/Data_5!$BK59))))),"")</f>
        <v/>
      </c>
      <c r="DM64" s="1122" t="str">
        <f>IFERROR(IF(HLOOKUP(DM$15,Data_5!$F$10:$BG$42,$A64+2,FALSE)="NO","NO",IF(HLOOKUP(DM$15,Data_5!$F$10:$BG$42,$A64+2,FALSE)="IE","IE",IF(HLOOKUP(DM$15,Data_5!$F$10:$BG$42,$A64+2,FALSE)="NE","NE",IF(HLOOKUP(DM$15,Data_5!$F$10:$BG$42,$A64+2,FALSE)="C","C",IF(HLOOKUP(DM$15,Data_5!$F$10:$BG$42,$A64+2,FALSE)="NO","NO",HLOOKUP(DM$15,Data_5!$F$10:$BG$42,$A64+2,FALSE)/Data_5!$BK59))))),"")</f>
        <v/>
      </c>
      <c r="DN64" s="1122" t="str">
        <f>IFERROR(IF(HLOOKUP(DN$15,Data_5!$F$10:$BG$42,$A64+2,FALSE)="NO","NO",IF(HLOOKUP(DN$15,Data_5!$F$10:$BG$42,$A64+2,FALSE)="IE","IE",IF(HLOOKUP(DN$15,Data_5!$F$10:$BG$42,$A64+2,FALSE)="NE","NE",IF(HLOOKUP(DN$15,Data_5!$F$10:$BG$42,$A64+2,FALSE)="C","C",IF(HLOOKUP(DN$15,Data_5!$F$10:$BG$42,$A64+2,FALSE)="NO","NO",HLOOKUP(DN$15,Data_5!$F$10:$BG$42,$A64+2,FALSE)/Data_5!$BK59))))),"")</f>
        <v/>
      </c>
      <c r="DO64" s="1122" t="str">
        <f>IFERROR(IF(HLOOKUP(DO$15,Data_5!$F$10:$BG$42,$A64+2,FALSE)="NO","NO",IF(HLOOKUP(DO$15,Data_5!$F$10:$BG$42,$A64+2,FALSE)="IE","IE",IF(HLOOKUP(DO$15,Data_5!$F$10:$BG$42,$A64+2,FALSE)="NE","NE",IF(HLOOKUP(DO$15,Data_5!$F$10:$BG$42,$A64+2,FALSE)="C","C",IF(HLOOKUP(DO$15,Data_5!$F$10:$BG$42,$A64+2,FALSE)="NO","NO",HLOOKUP(DO$15,Data_5!$F$10:$BG$42,$A64+2,FALSE)/Data_5!$BK59))))),"")</f>
        <v/>
      </c>
    </row>
    <row r="65" spans="1:119" ht="15" customHeight="1">
      <c r="A65" s="1789">
        <v>49</v>
      </c>
      <c r="B65" s="2628" t="str">
        <f ca="1">IF(Data_5!B60&lt;&gt;"",Data_5!B60,"")</f>
        <v/>
      </c>
      <c r="C65" s="2629"/>
      <c r="D65" s="1462">
        <f ca="1">IFERROR(VLOOKUP($B65,Data_5!$B$12:$C$42,2,FALSE),"")</f>
        <v>0</v>
      </c>
      <c r="E65" s="1122" t="str">
        <f>IFERROR(IF(HLOOKUP(E$15,Data_5!$F$10:$BG$42,$A65+2,FALSE)="NO","NO",IF(HLOOKUP(E$15,Data_5!$F$10:$BG$42,$A65+2,FALSE)="IE","IE",IF(HLOOKUP(E$15,Data_5!$F$10:$BG$42,$A65+2,FALSE)="NE","NE",IF(HLOOKUP(E$15,Data_5!$F$10:$BG$42,$A65+2,FALSE)="C","C",IF(HLOOKUP(E$15,Data_5!$F$10:$BG$42,$A65+2,FALSE)="NO","NO",HLOOKUP(E$15,Data_5!$F$10:$BG$42,$A65+2,FALSE)/Data_5!$BH60))))),"")</f>
        <v/>
      </c>
      <c r="F65" s="1122" t="str">
        <f>IFERROR(IF(HLOOKUP(F$15,Data_5!$F$10:$BG$42,$A65+2,FALSE)="NO","NO",IF(HLOOKUP(F$15,Data_5!$F$10:$BG$42,$A65+2,FALSE)="IE","IE",IF(HLOOKUP(F$15,Data_5!$F$10:$BG$42,$A65+2,FALSE)="NE","NE",IF(HLOOKUP(F$15,Data_5!$F$10:$BG$42,$A65+2,FALSE)="C","C",IF(HLOOKUP(F$15,Data_5!$F$10:$BG$42,$A65+2,FALSE)="NO","NO",HLOOKUP(F$15,Data_5!$F$10:$BG$42,$A65+2,FALSE)/Data_5!$BH60))))),"")</f>
        <v/>
      </c>
      <c r="G65" s="1122" t="str">
        <f>IFERROR(IF(HLOOKUP(G$15,Data_5!$F$10:$BG$42,$A65+2,FALSE)="NO","NO",IF(HLOOKUP(G$15,Data_5!$F$10:$BG$42,$A65+2,FALSE)="IE","IE",IF(HLOOKUP(G$15,Data_5!$F$10:$BG$42,$A65+2,FALSE)="NE","NE",IF(HLOOKUP(G$15,Data_5!$F$10:$BG$42,$A65+2,FALSE)="C","C",IF(HLOOKUP(G$15,Data_5!$F$10:$BG$42,$A65+2,FALSE)="NO","NO",HLOOKUP(G$15,Data_5!$F$10:$BG$42,$A65+2,FALSE)/Data_5!$BH60))))),"")</f>
        <v/>
      </c>
      <c r="H65" s="1122" t="str">
        <f>IFERROR(IF(HLOOKUP(H$15,Data_5!$F$10:$BG$42,$A65+2,FALSE)="NO","NO",IF(HLOOKUP(H$15,Data_5!$F$10:$BG$42,$A65+2,FALSE)="IE","IE",IF(HLOOKUP(H$15,Data_5!$F$10:$BG$42,$A65+2,FALSE)="NE","NE",IF(HLOOKUP(H$15,Data_5!$F$10:$BG$42,$A65+2,FALSE)="C","C",IF(HLOOKUP(H$15,Data_5!$F$10:$BG$42,$A65+2,FALSE)="NO","NO",HLOOKUP(H$15,Data_5!$F$10:$BG$42,$A65+2,FALSE)/Data_5!$BH60))))),"")</f>
        <v/>
      </c>
      <c r="I65" s="1122" t="str">
        <f>IFERROR(IF(HLOOKUP(I$15,Data_5!$F$10:$BG$42,$A65+2,FALSE)="NO","NO",IF(HLOOKUP(I$15,Data_5!$F$10:$BG$42,$A65+2,FALSE)="IE","IE",IF(HLOOKUP(I$15,Data_5!$F$10:$BG$42,$A65+2,FALSE)="NE","NE",IF(HLOOKUP(I$15,Data_5!$F$10:$BG$42,$A65+2,FALSE)="C","C",IF(HLOOKUP(I$15,Data_5!$F$10:$BG$42,$A65+2,FALSE)="NO","NO",HLOOKUP(I$15,Data_5!$F$10:$BG$42,$A65+2,FALSE)/Data_5!$BH60))))),"")</f>
        <v/>
      </c>
      <c r="J65" s="1122" t="str">
        <f>IFERROR(IF(HLOOKUP(J$15,Data_5!$F$10:$BG$42,$A65+2,FALSE)="NO","NO",IF(HLOOKUP(J$15,Data_5!$F$10:$BG$42,$A65+2,FALSE)="IE","IE",IF(HLOOKUP(J$15,Data_5!$F$10:$BG$42,$A65+2,FALSE)="NE","NE",IF(HLOOKUP(J$15,Data_5!$F$10:$BG$42,$A65+2,FALSE)="C","C",IF(HLOOKUP(J$15,Data_5!$F$10:$BG$42,$A65+2,FALSE)="NO","NO",HLOOKUP(J$15,Data_5!$F$10:$BG$42,$A65+2,FALSE)/Data_5!$BH60))))),"")</f>
        <v/>
      </c>
      <c r="K65" s="1122" t="str">
        <f>IFERROR(IF(HLOOKUP(K$15,Data_5!$F$10:$BG$42,$A65+2,FALSE)="NO","NO",IF(HLOOKUP(K$15,Data_5!$F$10:$BG$42,$A65+2,FALSE)="IE","IE",IF(HLOOKUP(K$15,Data_5!$F$10:$BG$42,$A65+2,FALSE)="NE","NE",IF(HLOOKUP(K$15,Data_5!$F$10:$BG$42,$A65+2,FALSE)="C","C",IF(HLOOKUP(K$15,Data_5!$F$10:$BG$42,$A65+2,FALSE)="NO","NO",HLOOKUP(K$15,Data_5!$F$10:$BG$42,$A65+2,FALSE)/Data_5!$BH60))))),"")</f>
        <v/>
      </c>
      <c r="L65" s="1122" t="str">
        <f>IFERROR(IF(HLOOKUP(L$15,Data_5!$F$10:$BG$42,$A65+2,FALSE)="NO","NO",IF(HLOOKUP(L$15,Data_5!$F$10:$BG$42,$A65+2,FALSE)="IE","IE",IF(HLOOKUP(L$15,Data_5!$F$10:$BG$42,$A65+2,FALSE)="NE","NE",IF(HLOOKUP(L$15,Data_5!$F$10:$BG$42,$A65+2,FALSE)="C","C",IF(HLOOKUP(L$15,Data_5!$F$10:$BG$42,$A65+2,FALSE)="NO","NO",HLOOKUP(L$15,Data_5!$F$10:$BG$42,$A65+2,FALSE)/Data_5!$BH60))))),"")</f>
        <v/>
      </c>
      <c r="M65" s="1122" t="str">
        <f>IFERROR(IF(HLOOKUP(M$15,Data_5!$F$10:$BG$42,$A65+2,FALSE)="NO","NO",IF(HLOOKUP(M$15,Data_5!$F$10:$BG$42,$A65+2,FALSE)="IE","IE",IF(HLOOKUP(M$15,Data_5!$F$10:$BG$42,$A65+2,FALSE)="NE","NE",IF(HLOOKUP(M$15,Data_5!$F$10:$BG$42,$A65+2,FALSE)="C","C",IF(HLOOKUP(M$15,Data_5!$F$10:$BG$42,$A65+2,FALSE)="NO","NO",HLOOKUP(M$15,Data_5!$F$10:$BG$42,$A65+2,FALSE)/Data_5!$BH60))))),"")</f>
        <v/>
      </c>
      <c r="N65" s="1122" t="str">
        <f>IFERROR(IF(HLOOKUP(N$15,Data_5!$F$10:$BG$42,$A65+2,FALSE)="NO","NO",IF(HLOOKUP(N$15,Data_5!$F$10:$BG$42,$A65+2,FALSE)="IE","IE",IF(HLOOKUP(N$15,Data_5!$F$10:$BG$42,$A65+2,FALSE)="NE","NE",IF(HLOOKUP(N$15,Data_5!$F$10:$BG$42,$A65+2,FALSE)="C","C",IF(HLOOKUP(N$15,Data_5!$F$10:$BG$42,$A65+2,FALSE)="NO","NO",HLOOKUP(N$15,Data_5!$F$10:$BG$42,$A65+2,FALSE)/Data_5!$BH60))))),"")</f>
        <v/>
      </c>
      <c r="O65" s="1122" t="str">
        <f>IFERROR(IF(HLOOKUP(O$15,Data_5!$F$10:$BG$42,$A65+2,FALSE)="NO","NO",IF(HLOOKUP(O$15,Data_5!$F$10:$BG$42,$A65+2,FALSE)="IE","IE",IF(HLOOKUP(O$15,Data_5!$F$10:$BG$42,$A65+2,FALSE)="NE","NE",IF(HLOOKUP(O$15,Data_5!$F$10:$BG$42,$A65+2,FALSE)="C","C",IF(HLOOKUP(O$15,Data_5!$F$10:$BG$42,$A65+2,FALSE)="NO","NO",HLOOKUP(O$15,Data_5!$F$10:$BG$42,$A65+2,FALSE)/Data_5!$BH60))))),"")</f>
        <v/>
      </c>
      <c r="P65" s="1122" t="str">
        <f>IFERROR(IF(HLOOKUP(P$15,Data_5!$F$10:$BG$42,$A65+2,FALSE)="NO","NO",IF(HLOOKUP(P$15,Data_5!$F$10:$BG$42,$A65+2,FALSE)="IE","IE",IF(HLOOKUP(P$15,Data_5!$F$10:$BG$42,$A65+2,FALSE)="NE","NE",IF(HLOOKUP(P$15,Data_5!$F$10:$BG$42,$A65+2,FALSE)="C","C",IF(HLOOKUP(P$15,Data_5!$F$10:$BG$42,$A65+2,FALSE)="NO","NO",HLOOKUP(P$15,Data_5!$F$10:$BG$42,$A65+2,FALSE)/Data_5!$BH60))))),"")</f>
        <v/>
      </c>
      <c r="Q65" s="1122" t="str">
        <f>IFERROR(IF(HLOOKUP(Q$15,Data_5!$F$10:$BG$42,$A65+2,FALSE)="NO","NO",IF(HLOOKUP(Q$15,Data_5!$F$10:$BG$42,$A65+2,FALSE)="IE","IE",IF(HLOOKUP(Q$15,Data_5!$F$10:$BG$42,$A65+2,FALSE)="NE","NE",IF(HLOOKUP(Q$15,Data_5!$F$10:$BG$42,$A65+2,FALSE)="C","C",IF(HLOOKUP(Q$15,Data_5!$F$10:$BG$42,$A65+2,FALSE)="NO","NO",HLOOKUP(Q$15,Data_5!$F$10:$BG$42,$A65+2,FALSE)/Data_5!$BH60))))),"")</f>
        <v/>
      </c>
      <c r="R65" s="1122" t="str">
        <f>IFERROR(IF(HLOOKUP(R$15,Data_5!$F$10:$BG$42,$A65+2,FALSE)="NO","NO",IF(HLOOKUP(R$15,Data_5!$F$10:$BG$42,$A65+2,FALSE)="IE","IE",IF(HLOOKUP(R$15,Data_5!$F$10:$BG$42,$A65+2,FALSE)="NE","NE",IF(HLOOKUP(R$15,Data_5!$F$10:$BG$42,$A65+2,FALSE)="C","C",IF(HLOOKUP(R$15,Data_5!$F$10:$BG$42,$A65+2,FALSE)="NO","NO",HLOOKUP(R$15,Data_5!$F$10:$BG$42,$A65+2,FALSE)/Data_5!$BH60))))),"")</f>
        <v/>
      </c>
      <c r="S65" s="1122" t="str">
        <f>IFERROR(IF(HLOOKUP(S$15,Data_5!$F$10:$BG$42,$A65+2,FALSE)="NO","NO",IF(HLOOKUP(S$15,Data_5!$F$10:$BG$42,$A65+2,FALSE)="IE","IE",IF(HLOOKUP(S$15,Data_5!$F$10:$BG$42,$A65+2,FALSE)="NE","NE",IF(HLOOKUP(S$15,Data_5!$F$10:$BG$42,$A65+2,FALSE)="C","C",IF(HLOOKUP(S$15,Data_5!$F$10:$BG$42,$A65+2,FALSE)="NO","NO",HLOOKUP(S$15,Data_5!$F$10:$BG$42,$A65+2,FALSE)/Data_5!$BH60))))),"")</f>
        <v/>
      </c>
      <c r="T65" s="1122" t="str">
        <f>IFERROR(IF(HLOOKUP(T$15,Data_5!$F$10:$BG$42,$A65+2,FALSE)="NO","NO",IF(HLOOKUP(T$15,Data_5!$F$10:$BG$42,$A65+2,FALSE)="IE","IE",IF(HLOOKUP(T$15,Data_5!$F$10:$BG$42,$A65+2,FALSE)="NE","NE",IF(HLOOKUP(T$15,Data_5!$F$10:$BG$42,$A65+2,FALSE)="C","C",IF(HLOOKUP(T$15,Data_5!$F$10:$BG$42,$A65+2,FALSE)="NO","NO",HLOOKUP(T$15,Data_5!$F$10:$BG$42,$A65+2,FALSE)/Data_5!$BH60))))),"")</f>
        <v/>
      </c>
      <c r="U65" s="1122" t="str">
        <f>IFERROR(IF(HLOOKUP(U$15,Data_5!$F$10:$BG$42,$A65+2,FALSE)="NO","NO",IF(HLOOKUP(U$15,Data_5!$F$10:$BG$42,$A65+2,FALSE)="IE","IE",IF(HLOOKUP(U$15,Data_5!$F$10:$BG$42,$A65+2,FALSE)="NE","NE",IF(HLOOKUP(U$15,Data_5!$F$10:$BG$42,$A65+2,FALSE)="C","C",IF(HLOOKUP(U$15,Data_5!$F$10:$BG$42,$A65+2,FALSE)="NO","NO",HLOOKUP(U$15,Data_5!$F$10:$BG$42,$A65+2,FALSE)/Data_5!$BH60))))),"")</f>
        <v/>
      </c>
      <c r="V65" s="1122" t="str">
        <f>IFERROR(IF(HLOOKUP(V$15,Data_5!$F$10:$BG$42,$A65+2,FALSE)="NO","NO",IF(HLOOKUP(V$15,Data_5!$F$10:$BG$42,$A65+2,FALSE)="IE","IE",IF(HLOOKUP(V$15,Data_5!$F$10:$BG$42,$A65+2,FALSE)="NE","NE",IF(HLOOKUP(V$15,Data_5!$F$10:$BG$42,$A65+2,FALSE)="C","C",IF(HLOOKUP(V$15,Data_5!$F$10:$BG$42,$A65+2,FALSE)="NO","NO",HLOOKUP(V$15,Data_5!$F$10:$BG$42,$A65+2,FALSE)/Data_5!$BH60))))),"")</f>
        <v/>
      </c>
      <c r="W65" s="1122" t="str">
        <f>IFERROR(IF(HLOOKUP(W$15,Data_5!$F$10:$BG$42,$A65+2,FALSE)="NO","NO",IF(HLOOKUP(W$15,Data_5!$F$10:$BG$42,$A65+2,FALSE)="IE","IE",IF(HLOOKUP(W$15,Data_5!$F$10:$BG$42,$A65+2,FALSE)="NE","NE",IF(HLOOKUP(W$15,Data_5!$F$10:$BG$42,$A65+2,FALSE)="C","C",IF(HLOOKUP(W$15,Data_5!$F$10:$BG$42,$A65+2,FALSE)="NO","NO",HLOOKUP(W$15,Data_5!$F$10:$BG$42,$A65+2,FALSE)/Data_5!$BH60))))),"")</f>
        <v/>
      </c>
      <c r="X65" s="1122" t="str">
        <f>IFERROR(IF(HLOOKUP(X$15,Data_5!$F$10:$BG$42,$A65+2,FALSE)="NO","NO",IF(HLOOKUP(X$15,Data_5!$F$10:$BG$42,$A65+2,FALSE)="IE","IE",IF(HLOOKUP(X$15,Data_5!$F$10:$BG$42,$A65+2,FALSE)="NE","NE",IF(HLOOKUP(X$15,Data_5!$F$10:$BG$42,$A65+2,FALSE)="C","C",IF(HLOOKUP(X$15,Data_5!$F$10:$BG$42,$A65+2,FALSE)="NO","NO",HLOOKUP(X$15,Data_5!$F$10:$BG$42,$A65+2,FALSE)/Data_5!$BH60))))),"")</f>
        <v/>
      </c>
      <c r="Y65" s="1122" t="str">
        <f>IFERROR(IF(HLOOKUP(Y$15,Data_5!$F$10:$BG$42,$A65+2,FALSE)="NO","NO",IF(HLOOKUP(Y$15,Data_5!$F$10:$BG$42,$A65+2,FALSE)="IE","IE",IF(HLOOKUP(Y$15,Data_5!$F$10:$BG$42,$A65+2,FALSE)="NE","NE",IF(HLOOKUP(Y$15,Data_5!$F$10:$BG$42,$A65+2,FALSE)="C","C",IF(HLOOKUP(Y$15,Data_5!$F$10:$BG$42,$A65+2,FALSE)="NO","NO",HLOOKUP(Y$15,Data_5!$F$10:$BG$42,$A65+2,FALSE)/Data_5!$BH60))))),"")</f>
        <v/>
      </c>
      <c r="Z65" s="1122" t="str">
        <f>IFERROR(IF(HLOOKUP(Z$15,Data_5!$F$10:$BG$42,$A65+2,FALSE)="NO","NO",IF(HLOOKUP(Z$15,Data_5!$F$10:$BG$42,$A65+2,FALSE)="IE","IE",IF(HLOOKUP(Z$15,Data_5!$F$10:$BG$42,$A65+2,FALSE)="NE","NE",IF(HLOOKUP(Z$15,Data_5!$F$10:$BG$42,$A65+2,FALSE)="C","C",IF(HLOOKUP(Z$15,Data_5!$F$10:$BG$42,$A65+2,FALSE)="NO","NO",HLOOKUP(Z$15,Data_5!$F$10:$BG$42,$A65+2,FALSE)/Data_5!$BH60))))),"")</f>
        <v/>
      </c>
      <c r="AA65" s="1122" t="str">
        <f>IFERROR(IF(HLOOKUP(AA$15,Data_5!$F$10:$BG$42,$A65+2,FALSE)="NO","NO",IF(HLOOKUP(AA$15,Data_5!$F$10:$BG$42,$A65+2,FALSE)="IE","IE",IF(HLOOKUP(AA$15,Data_5!$F$10:$BG$42,$A65+2,FALSE)="NE","NE",IF(HLOOKUP(AA$15,Data_5!$F$10:$BG$42,$A65+2,FALSE)="C","C",IF(HLOOKUP(AA$15,Data_5!$F$10:$BG$42,$A65+2,FALSE)="NO","NO",HLOOKUP(AA$15,Data_5!$F$10:$BG$42,$A65+2,FALSE)/Data_5!$BH60))))),"")</f>
        <v/>
      </c>
      <c r="AB65" s="1122" t="str">
        <f>IFERROR(IF(HLOOKUP(AB$15,Data_5!$F$10:$BG$42,$A65+2,FALSE)="NO","NO",IF(HLOOKUP(AB$15,Data_5!$F$10:$BG$42,$A65+2,FALSE)="IE","IE",IF(HLOOKUP(AB$15,Data_5!$F$10:$BG$42,$A65+2,FALSE)="NE","NE",IF(HLOOKUP(AB$15,Data_5!$F$10:$BG$42,$A65+2,FALSE)="C","C",IF(HLOOKUP(AB$15,Data_5!$F$10:$BG$42,$A65+2,FALSE)="NO","NO",HLOOKUP(AB$15,Data_5!$F$10:$BG$42,$A65+2,FALSE)/Data_5!$BH60))))),"")</f>
        <v/>
      </c>
      <c r="AC65" s="1122" t="str">
        <f>IFERROR(IF(HLOOKUP(AC$15,Data_5!$F$10:$BG$42,$A65+2,FALSE)="NO","NO",IF(HLOOKUP(AC$15,Data_5!$F$10:$BG$42,$A65+2,FALSE)="IE","IE",IF(HLOOKUP(AC$15,Data_5!$F$10:$BG$42,$A65+2,FALSE)="NE","NE",IF(HLOOKUP(AC$15,Data_5!$F$10:$BG$42,$A65+2,FALSE)="C","C",IF(HLOOKUP(AC$15,Data_5!$F$10:$BG$42,$A65+2,FALSE)="NO","NO",HLOOKUP(AC$15,Data_5!$F$10:$BG$42,$A65+2,FALSE)/Data_5!$BH60))))),"")</f>
        <v/>
      </c>
      <c r="AD65" s="1122" t="str">
        <f>IFERROR(IF(HLOOKUP(AD$15,Data_5!$F$10:$BG$42,$A65+2,FALSE)="NO","NO",IF(HLOOKUP(AD$15,Data_5!$F$10:$BG$42,$A65+2,FALSE)="IE","IE",IF(HLOOKUP(AD$15,Data_5!$F$10:$BG$42,$A65+2,FALSE)="NE","NE",IF(HLOOKUP(AD$15,Data_5!$F$10:$BG$42,$A65+2,FALSE)="C","C",IF(HLOOKUP(AD$15,Data_5!$F$10:$BG$42,$A65+2,FALSE)="NO","NO",HLOOKUP(AD$15,Data_5!$F$10:$BG$42,$A65+2,FALSE)/Data_5!$BH60))))),"")</f>
        <v/>
      </c>
      <c r="AE65" s="1122" t="str">
        <f>IFERROR(IF(HLOOKUP(AE$15,Data_5!$F$10:$BG$42,$A65+2,FALSE)="NO","NO",IF(HLOOKUP(AE$15,Data_5!$F$10:$BG$42,$A65+2,FALSE)="IE","IE",IF(HLOOKUP(AE$15,Data_5!$F$10:$BG$42,$A65+2,FALSE)="NE","NE",IF(HLOOKUP(AE$15,Data_5!$F$10:$BG$42,$A65+2,FALSE)="C","C",IF(HLOOKUP(AE$15,Data_5!$F$10:$BG$42,$A65+2,FALSE)="NO","NO",HLOOKUP(AE$15,Data_5!$F$10:$BG$42,$A65+2,FALSE)/Data_5!$BH60))))),"")</f>
        <v/>
      </c>
      <c r="AF65" s="1122" t="str">
        <f>IFERROR(IF(HLOOKUP(AF$15,Data_5!$F$10:$BG$42,$A65+2,FALSE)="NO","NO",IF(HLOOKUP(AF$15,Data_5!$F$10:$BG$42,$A65+2,FALSE)="IE","IE",IF(HLOOKUP(AF$15,Data_5!$F$10:$BG$42,$A65+2,FALSE)="NE","NE",IF(HLOOKUP(AF$15,Data_5!$F$10:$BG$42,$A65+2,FALSE)="C","C",IF(HLOOKUP(AF$15,Data_5!$F$10:$BG$42,$A65+2,FALSE)="NO","NO",HLOOKUP(AF$15,Data_5!$F$10:$BG$42,$A65+2,FALSE)/Data_5!$BH60))))),"")</f>
        <v/>
      </c>
      <c r="AG65" s="1122" t="str">
        <f>IFERROR(IF(HLOOKUP(AG$15,Data_5!$F$10:$BG$42,$A65+2,FALSE)="NO","NO",IF(HLOOKUP(AG$15,Data_5!$F$10:$BG$42,$A65+2,FALSE)="IE","IE",IF(HLOOKUP(AG$15,Data_5!$F$10:$BG$42,$A65+2,FALSE)="NE","NE",IF(HLOOKUP(AG$15,Data_5!$F$10:$BG$42,$A65+2,FALSE)="C","C",IF(HLOOKUP(AG$15,Data_5!$F$10:$BG$42,$A65+2,FALSE)="NO","NO",HLOOKUP(AG$15,Data_5!$F$10:$BG$42,$A65+2,FALSE)/Data_5!$BH60))))),"")</f>
        <v/>
      </c>
      <c r="AH65" s="1122" t="str">
        <f>IFERROR(IF(HLOOKUP(AH$15,Data_5!$F$10:$BG$42,$A65+2,FALSE)="NO","NO",IF(HLOOKUP(AH$15,Data_5!$F$10:$BG$42,$A65+2,FALSE)="IE","IE",IF(HLOOKUP(AH$15,Data_5!$F$10:$BG$42,$A65+2,FALSE)="NE","NE",IF(HLOOKUP(AH$15,Data_5!$F$10:$BG$42,$A65+2,FALSE)="C","C",IF(HLOOKUP(AH$15,Data_5!$F$10:$BG$42,$A65+2,FALSE)="NO","NO",HLOOKUP(AH$15,Data_5!$F$10:$BG$42,$A65+2,FALSE)/Data_5!$BH60))))),"")</f>
        <v/>
      </c>
      <c r="AI65" s="1122" t="str">
        <f>IFERROR(IF(HLOOKUP(AI$15,Data_5!$F$10:$BG$42,$A65+2,FALSE)="NO","NO",IF(HLOOKUP(AI$15,Data_5!$F$10:$BG$42,$A65+2,FALSE)="IE","IE",IF(HLOOKUP(AI$15,Data_5!$F$10:$BG$42,$A65+2,FALSE)="NE","NE",IF(HLOOKUP(AI$15,Data_5!$F$10:$BG$42,$A65+2,FALSE)="C","C",IF(HLOOKUP(AI$15,Data_5!$F$10:$BG$42,$A65+2,FALSE)="NO","NO",HLOOKUP(AI$15,Data_5!$F$10:$BG$42,$A65+2,FALSE)/Data_5!$BH60))))),"")</f>
        <v/>
      </c>
      <c r="AJ65" s="1122" t="str">
        <f>IFERROR(IF(HLOOKUP(AJ$15,Data_5!$F$10:$BG$42,$A65+2,FALSE)="NO","NO",IF(HLOOKUP(AJ$15,Data_5!$F$10:$BG$42,$A65+2,FALSE)="IE","IE",IF(HLOOKUP(AJ$15,Data_5!$F$10:$BG$42,$A65+2,FALSE)="NE","NE",IF(HLOOKUP(AJ$15,Data_5!$F$10:$BG$42,$A65+2,FALSE)="C","C",IF(HLOOKUP(AJ$15,Data_5!$F$10:$BG$42,$A65+2,FALSE)="NO","NO",HLOOKUP(AJ$15,Data_5!$F$10:$BG$42,$A65+2,FALSE)/Data_5!$BH60))))),"")</f>
        <v/>
      </c>
      <c r="AL65" s="2628" t="str">
        <f t="shared" ca="1" si="0"/>
        <v/>
      </c>
      <c r="AM65" s="2629"/>
      <c r="AN65" s="1100" t="str">
        <f t="shared" ca="1" si="1"/>
        <v/>
      </c>
      <c r="AO65" s="1122" t="str">
        <f>IFERROR(IF(HLOOKUP(AO$15,Data_5!$F$10:$BG$42,$A65+2,FALSE)="NO","NO",IF(HLOOKUP(AO$15,Data_5!$F$10:$BG$42,$A65+2,FALSE)="IE","IE",IF(HLOOKUP(AO$15,Data_5!$F$10:$BG$42,$A65+2,FALSE)="NE","NE",IF(HLOOKUP(AO$15,Data_5!$F$10:$BG$42,$A65+2,FALSE)="C","C",IF(HLOOKUP(AO$15,Data_5!$F$10:$BG$42,$A65+2,FALSE)="NO","NO",HLOOKUP(AO$15,Data_5!$F$10:$BG$42,$A65+2,FALSE)/Data_5!$BI60))))),"")</f>
        <v/>
      </c>
      <c r="AP65" s="1122" t="str">
        <f>IFERROR(IF(HLOOKUP(AP$15,Data_5!$F$10:$BG$42,$A65+2,FALSE)="NO","NO",IF(HLOOKUP(AP$15,Data_5!$F$10:$BG$42,$A65+2,FALSE)="IE","IE",IF(HLOOKUP(AP$15,Data_5!$F$10:$BG$42,$A65+2,FALSE)="NE","NE",IF(HLOOKUP(AP$15,Data_5!$F$10:$BG$42,$A65+2,FALSE)="C","C",IF(HLOOKUP(AP$15,Data_5!$F$10:$BG$42,$A65+2,FALSE)="NO","NO",HLOOKUP(AP$15,Data_5!$F$10:$BG$42,$A65+2,FALSE)/Data_5!$BI60))))),"")</f>
        <v/>
      </c>
      <c r="AQ65" s="1122" t="str">
        <f>IFERROR(IF(HLOOKUP(AQ$15,Data_5!$F$10:$BG$42,$A65+2,FALSE)="NO","NO",IF(HLOOKUP(AQ$15,Data_5!$F$10:$BG$42,$A65+2,FALSE)="IE","IE",IF(HLOOKUP(AQ$15,Data_5!$F$10:$BG$42,$A65+2,FALSE)="NE","NE",IF(HLOOKUP(AQ$15,Data_5!$F$10:$BG$42,$A65+2,FALSE)="C","C",IF(HLOOKUP(AQ$15,Data_5!$F$10:$BG$42,$A65+2,FALSE)="NO","NO",HLOOKUP(AQ$15,Data_5!$F$10:$BG$42,$A65+2,FALSE)/Data_5!$BI60))))),"")</f>
        <v/>
      </c>
      <c r="AR65" s="1122" t="str">
        <f>IFERROR(IF(HLOOKUP(AR$15,Data_5!$F$10:$BG$42,$A65+2,FALSE)="NO","NO",IF(HLOOKUP(AR$15,Data_5!$F$10:$BG$42,$A65+2,FALSE)="IE","IE",IF(HLOOKUP(AR$15,Data_5!$F$10:$BG$42,$A65+2,FALSE)="NE","NE",IF(HLOOKUP(AR$15,Data_5!$F$10:$BG$42,$A65+2,FALSE)="C","C",IF(HLOOKUP(AR$15,Data_5!$F$10:$BG$42,$A65+2,FALSE)="NO","NO",HLOOKUP(AR$15,Data_5!$F$10:$BG$42,$A65+2,FALSE)/Data_5!$BI60))))),"")</f>
        <v/>
      </c>
      <c r="AS65" s="1122" t="str">
        <f>IFERROR(IF(HLOOKUP(AS$15,Data_5!$F$10:$BG$42,$A65+2,FALSE)="NO","NO",IF(HLOOKUP(AS$15,Data_5!$F$10:$BG$42,$A65+2,FALSE)="IE","IE",IF(HLOOKUP(AS$15,Data_5!$F$10:$BG$42,$A65+2,FALSE)="NE","NE",IF(HLOOKUP(AS$15,Data_5!$F$10:$BG$42,$A65+2,FALSE)="C","C",IF(HLOOKUP(AS$15,Data_5!$F$10:$BG$42,$A65+2,FALSE)="NO","NO",HLOOKUP(AS$15,Data_5!$F$10:$BG$42,$A65+2,FALSE)/Data_5!$BI60))))),"")</f>
        <v/>
      </c>
      <c r="AT65" s="1122" t="str">
        <f>IFERROR(IF(HLOOKUP(AT$15,Data_5!$F$10:$BG$42,$A65+2,FALSE)="NO","NO",IF(HLOOKUP(AT$15,Data_5!$F$10:$BG$42,$A65+2,FALSE)="IE","IE",IF(HLOOKUP(AT$15,Data_5!$F$10:$BG$42,$A65+2,FALSE)="NE","NE",IF(HLOOKUP(AT$15,Data_5!$F$10:$BG$42,$A65+2,FALSE)="C","C",IF(HLOOKUP(AT$15,Data_5!$F$10:$BG$42,$A65+2,FALSE)="NO","NO",HLOOKUP(AT$15,Data_5!$F$10:$BG$42,$A65+2,FALSE)/Data_5!$BI60))))),"")</f>
        <v/>
      </c>
      <c r="AU65" s="1122" t="str">
        <f>IFERROR(IF(HLOOKUP(AU$15,Data_5!$F$10:$BG$42,$A65+2,FALSE)="NO","NO",IF(HLOOKUP(AU$15,Data_5!$F$10:$BG$42,$A65+2,FALSE)="IE","IE",IF(HLOOKUP(AU$15,Data_5!$F$10:$BG$42,$A65+2,FALSE)="NE","NE",IF(HLOOKUP(AU$15,Data_5!$F$10:$BG$42,$A65+2,FALSE)="C","C",IF(HLOOKUP(AU$15,Data_5!$F$10:$BG$42,$A65+2,FALSE)="NO","NO",HLOOKUP(AU$15,Data_5!$F$10:$BG$42,$A65+2,FALSE)/Data_5!$BI60))))),"")</f>
        <v/>
      </c>
      <c r="AV65" s="1122" t="str">
        <f>IFERROR(IF(HLOOKUP(AV$15,Data_5!$F$10:$BG$42,$A65+2,FALSE)="NO","NO",IF(HLOOKUP(AV$15,Data_5!$F$10:$BG$42,$A65+2,FALSE)="IE","IE",IF(HLOOKUP(AV$15,Data_5!$F$10:$BG$42,$A65+2,FALSE)="NE","NE",IF(HLOOKUP(AV$15,Data_5!$F$10:$BG$42,$A65+2,FALSE)="C","C",IF(HLOOKUP(AV$15,Data_5!$F$10:$BG$42,$A65+2,FALSE)="NO","NO",HLOOKUP(AV$15,Data_5!$F$10:$BG$42,$A65+2,FALSE)/Data_5!$BI60))))),"")</f>
        <v/>
      </c>
      <c r="AW65" s="1122" t="str">
        <f>IFERROR(IF(HLOOKUP(AW$15,Data_5!$F$10:$BG$42,$A65+2,FALSE)="NO","NO",IF(HLOOKUP(AW$15,Data_5!$F$10:$BG$42,$A65+2,FALSE)="IE","IE",IF(HLOOKUP(AW$15,Data_5!$F$10:$BG$42,$A65+2,FALSE)="NE","NE",IF(HLOOKUP(AW$15,Data_5!$F$10:$BG$42,$A65+2,FALSE)="C","C",IF(HLOOKUP(AW$15,Data_5!$F$10:$BG$42,$A65+2,FALSE)="NO","NO",HLOOKUP(AW$15,Data_5!$F$10:$BG$42,$A65+2,FALSE)/Data_5!$BI60))))),"")</f>
        <v/>
      </c>
      <c r="AX65" s="1122" t="str">
        <f>IFERROR(IF(HLOOKUP(AX$15,Data_5!$F$10:$BG$42,$A65+2,FALSE)="NO","NO",IF(HLOOKUP(AX$15,Data_5!$F$10:$BG$42,$A65+2,FALSE)="IE","IE",IF(HLOOKUP(AX$15,Data_5!$F$10:$BG$42,$A65+2,FALSE)="NE","NE",IF(HLOOKUP(AX$15,Data_5!$F$10:$BG$42,$A65+2,FALSE)="C","C",IF(HLOOKUP(AX$15,Data_5!$F$10:$BG$42,$A65+2,FALSE)="NO","NO",HLOOKUP(AX$15,Data_5!$F$10:$BG$42,$A65+2,FALSE)/Data_5!$BI60))))),"")</f>
        <v/>
      </c>
      <c r="AY65" s="1122" t="str">
        <f>IFERROR(IF(HLOOKUP(AY$15,Data_5!$F$10:$BG$42,$A65+2,FALSE)="NO","NO",IF(HLOOKUP(AY$15,Data_5!$F$10:$BG$42,$A65+2,FALSE)="IE","IE",IF(HLOOKUP(AY$15,Data_5!$F$10:$BG$42,$A65+2,FALSE)="NE","NE",IF(HLOOKUP(AY$15,Data_5!$F$10:$BG$42,$A65+2,FALSE)="C","C",IF(HLOOKUP(AY$15,Data_5!$F$10:$BG$42,$A65+2,FALSE)="NO","NO",HLOOKUP(AY$15,Data_5!$F$10:$BG$42,$A65+2,FALSE)/Data_5!$BI60))))),"")</f>
        <v/>
      </c>
      <c r="AZ65" s="1122" t="str">
        <f>IFERROR(IF(HLOOKUP(AZ$15,Data_5!$F$10:$BG$42,$A65+2,FALSE)="NO","NO",IF(HLOOKUP(AZ$15,Data_5!$F$10:$BG$42,$A65+2,FALSE)="IE","IE",IF(HLOOKUP(AZ$15,Data_5!$F$10:$BG$42,$A65+2,FALSE)="NE","NE",IF(HLOOKUP(AZ$15,Data_5!$F$10:$BG$42,$A65+2,FALSE)="C","C",IF(HLOOKUP(AZ$15,Data_5!$F$10:$BG$42,$A65+2,FALSE)="NO","NO",HLOOKUP(AZ$15,Data_5!$F$10:$BG$42,$A65+2,FALSE)/Data_5!$BI60))))),"")</f>
        <v/>
      </c>
      <c r="BA65" s="1122" t="str">
        <f>IFERROR(IF(HLOOKUP(BA$15,Data_5!$F$10:$BG$42,$A65+2,FALSE)="NO","NO",IF(HLOOKUP(BA$15,Data_5!$F$10:$BG$42,$A65+2,FALSE)="IE","IE",IF(HLOOKUP(BA$15,Data_5!$F$10:$BG$42,$A65+2,FALSE)="NE","NE",IF(HLOOKUP(BA$15,Data_5!$F$10:$BG$42,$A65+2,FALSE)="C","C",IF(HLOOKUP(BA$15,Data_5!$F$10:$BG$42,$A65+2,FALSE)="NO","NO",HLOOKUP(BA$15,Data_5!$F$10:$BG$42,$A65+2,FALSE)/Data_5!$BI60))))),"")</f>
        <v/>
      </c>
      <c r="BB65" s="1122" t="str">
        <f>IFERROR(IF(HLOOKUP(BB$15,Data_5!$F$10:$BG$42,$A65+2,FALSE)="NO","NO",IF(HLOOKUP(BB$15,Data_5!$F$10:$BG$42,$A65+2,FALSE)="IE","IE",IF(HLOOKUP(BB$15,Data_5!$F$10:$BG$42,$A65+2,FALSE)="NE","NE",IF(HLOOKUP(BB$15,Data_5!$F$10:$BG$42,$A65+2,FALSE)="C","C",IF(HLOOKUP(BB$15,Data_5!$F$10:$BG$42,$A65+2,FALSE)="NO","NO",HLOOKUP(BB$15,Data_5!$F$10:$BG$42,$A65+2,FALSE)/Data_5!$BI60))))),"")</f>
        <v/>
      </c>
      <c r="BC65" s="1122" t="str">
        <f>IFERROR(IF(HLOOKUP(BC$15,Data_5!$F$10:$BG$42,$A65+2,FALSE)="NO","NO",IF(HLOOKUP(BC$15,Data_5!$F$10:$BG$42,$A65+2,FALSE)="IE","IE",IF(HLOOKUP(BC$15,Data_5!$F$10:$BG$42,$A65+2,FALSE)="NE","NE",IF(HLOOKUP(BC$15,Data_5!$F$10:$BG$42,$A65+2,FALSE)="C","C",IF(HLOOKUP(BC$15,Data_5!$F$10:$BG$42,$A65+2,FALSE)="NO","NO",HLOOKUP(BC$15,Data_5!$F$10:$BG$42,$A65+2,FALSE)/Data_5!$BI60))))),"")</f>
        <v/>
      </c>
      <c r="BD65" s="1122" t="str">
        <f>IFERROR(IF(HLOOKUP(BD$15,Data_5!$F$10:$BG$42,$A65+2,FALSE)="NO","NO",IF(HLOOKUP(BD$15,Data_5!$F$10:$BG$42,$A65+2,FALSE)="IE","IE",IF(HLOOKUP(BD$15,Data_5!$F$10:$BG$42,$A65+2,FALSE)="NE","NE",IF(HLOOKUP(BD$15,Data_5!$F$10:$BG$42,$A65+2,FALSE)="C","C",IF(HLOOKUP(BD$15,Data_5!$F$10:$BG$42,$A65+2,FALSE)="NO","NO",HLOOKUP(BD$15,Data_5!$F$10:$BG$42,$A65+2,FALSE)/Data_5!$BI60))))),"")</f>
        <v/>
      </c>
      <c r="BE65" s="1122" t="str">
        <f>IFERROR(IF(HLOOKUP(BE$15,Data_5!$F$10:$BG$42,$A65+2,FALSE)="NO","NO",IF(HLOOKUP(BE$15,Data_5!$F$10:$BG$42,$A65+2,FALSE)="IE","IE",IF(HLOOKUP(BE$15,Data_5!$F$10:$BG$42,$A65+2,FALSE)="NE","NE",IF(HLOOKUP(BE$15,Data_5!$F$10:$BG$42,$A65+2,FALSE)="C","C",IF(HLOOKUP(BE$15,Data_5!$F$10:$BG$42,$A65+2,FALSE)="NO","NO",HLOOKUP(BE$15,Data_5!$F$10:$BG$42,$A65+2,FALSE)/Data_5!$BI60))))),"")</f>
        <v/>
      </c>
      <c r="BF65" s="1122" t="str">
        <f>IFERROR(IF(HLOOKUP(BF$15,Data_5!$F$10:$BG$42,$A65+2,FALSE)="NO","NO",IF(HLOOKUP(BF$15,Data_5!$F$10:$BG$42,$A65+2,FALSE)="IE","IE",IF(HLOOKUP(BF$15,Data_5!$F$10:$BG$42,$A65+2,FALSE)="NE","NE",IF(HLOOKUP(BF$15,Data_5!$F$10:$BG$42,$A65+2,FALSE)="C","C",IF(HLOOKUP(BF$15,Data_5!$F$10:$BG$42,$A65+2,FALSE)="NO","NO",HLOOKUP(BF$15,Data_5!$F$10:$BG$42,$A65+2,FALSE)/Data_5!$BI60))))),"")</f>
        <v/>
      </c>
      <c r="BG65" s="1122" t="str">
        <f>IFERROR(IF(HLOOKUP(BG$15,Data_5!$F$10:$BG$42,$A65+2,FALSE)="NO","NO",IF(HLOOKUP(BG$15,Data_5!$F$10:$BG$42,$A65+2,FALSE)="IE","IE",IF(HLOOKUP(BG$15,Data_5!$F$10:$BG$42,$A65+2,FALSE)="NE","NE",IF(HLOOKUP(BG$15,Data_5!$F$10:$BG$42,$A65+2,FALSE)="C","C",IF(HLOOKUP(BG$15,Data_5!$F$10:$BG$42,$A65+2,FALSE)="NO","NO",HLOOKUP(BG$15,Data_5!$F$10:$BG$42,$A65+2,FALSE)/Data_5!$BI60))))),"")</f>
        <v/>
      </c>
      <c r="BH65" s="1122" t="str">
        <f>IFERROR(IF(HLOOKUP(BH$15,Data_5!$F$10:$BG$42,$A65+2,FALSE)="NO","NO",IF(HLOOKUP(BH$15,Data_5!$F$10:$BG$42,$A65+2,FALSE)="IE","IE",IF(HLOOKUP(BH$15,Data_5!$F$10:$BG$42,$A65+2,FALSE)="NE","NE",IF(HLOOKUP(BH$15,Data_5!$F$10:$BG$42,$A65+2,FALSE)="C","C",IF(HLOOKUP(BH$15,Data_5!$F$10:$BG$42,$A65+2,FALSE)="NO","NO",HLOOKUP(BH$15,Data_5!$F$10:$BG$42,$A65+2,FALSE)/Data_5!$BI60))))),"")</f>
        <v/>
      </c>
      <c r="BI65" s="1122" t="str">
        <f>IFERROR(IF(HLOOKUP(BI$15,Data_5!$F$10:$BG$42,$A65+2,FALSE)="NO","NO",IF(HLOOKUP(BI$15,Data_5!$F$10:$BG$42,$A65+2,FALSE)="IE","IE",IF(HLOOKUP(BI$15,Data_5!$F$10:$BG$42,$A65+2,FALSE)="NE","NE",IF(HLOOKUP(BI$15,Data_5!$F$10:$BG$42,$A65+2,FALSE)="C","C",IF(HLOOKUP(BI$15,Data_5!$F$10:$BG$42,$A65+2,FALSE)="NO","NO",HLOOKUP(BI$15,Data_5!$F$10:$BG$42,$A65+2,FALSE)/Data_5!$BI60))))),"")</f>
        <v/>
      </c>
      <c r="BJ65" s="1122" t="str">
        <f>IFERROR(IF(HLOOKUP(BJ$15,Data_5!$F$10:$BG$42,$A65+2,FALSE)="NO","NO",IF(HLOOKUP(BJ$15,Data_5!$F$10:$BG$42,$A65+2,FALSE)="IE","IE",IF(HLOOKUP(BJ$15,Data_5!$F$10:$BG$42,$A65+2,FALSE)="NE","NE",IF(HLOOKUP(BJ$15,Data_5!$F$10:$BG$42,$A65+2,FALSE)="C","C",IF(HLOOKUP(BJ$15,Data_5!$F$10:$BG$42,$A65+2,FALSE)="NO","NO",HLOOKUP(BJ$15,Data_5!$F$10:$BG$42,$A65+2,FALSE)/Data_5!$BI60))))),"")</f>
        <v/>
      </c>
      <c r="BK65" s="1122" t="str">
        <f>IFERROR(IF(HLOOKUP(BK$15,Data_5!$F$10:$BG$42,$A65+2,FALSE)="NO","NO",IF(HLOOKUP(BK$15,Data_5!$F$10:$BG$42,$A65+2,FALSE)="IE","IE",IF(HLOOKUP(BK$15,Data_5!$F$10:$BG$42,$A65+2,FALSE)="NE","NE",IF(HLOOKUP(BK$15,Data_5!$F$10:$BG$42,$A65+2,FALSE)="C","C",IF(HLOOKUP(BK$15,Data_5!$F$10:$BG$42,$A65+2,FALSE)="NO","NO",HLOOKUP(BK$15,Data_5!$F$10:$BG$42,$A65+2,FALSE)/Data_5!$BI60))))),"")</f>
        <v/>
      </c>
      <c r="BL65" s="1122" t="str">
        <f>IFERROR(IF(HLOOKUP(BL$15,Data_5!$F$10:$BG$42,$A65+2,FALSE)="NO","NO",IF(HLOOKUP(BL$15,Data_5!$F$10:$BG$42,$A65+2,FALSE)="IE","IE",IF(HLOOKUP(BL$15,Data_5!$F$10:$BG$42,$A65+2,FALSE)="NE","NE",IF(HLOOKUP(BL$15,Data_5!$F$10:$BG$42,$A65+2,FALSE)="C","C",IF(HLOOKUP(BL$15,Data_5!$F$10:$BG$42,$A65+2,FALSE)="NO","NO",HLOOKUP(BL$15,Data_5!$F$10:$BG$42,$A65+2,FALSE)/Data_5!$BI60))))),"")</f>
        <v/>
      </c>
      <c r="BM65" s="1122" t="str">
        <f>IFERROR(IF(HLOOKUP(BM$15,Data_5!$F$10:$BG$42,$A65+2,FALSE)="NO","NO",IF(HLOOKUP(BM$15,Data_5!$F$10:$BG$42,$A65+2,FALSE)="IE","IE",IF(HLOOKUP(BM$15,Data_5!$F$10:$BG$42,$A65+2,FALSE)="NE","NE",IF(HLOOKUP(BM$15,Data_5!$F$10:$BG$42,$A65+2,FALSE)="C","C",IF(HLOOKUP(BM$15,Data_5!$F$10:$BG$42,$A65+2,FALSE)="NO","NO",HLOOKUP(BM$15,Data_5!$F$10:$BG$42,$A65+2,FALSE)/Data_5!$BI60))))),"")</f>
        <v/>
      </c>
      <c r="BN65" s="1122" t="str">
        <f>IFERROR(IF(HLOOKUP(BN$15,Data_5!$F$10:$BG$42,$A65+2,FALSE)="NO","NO",IF(HLOOKUP(BN$15,Data_5!$F$10:$BG$42,$A65+2,FALSE)="IE","IE",IF(HLOOKUP(BN$15,Data_5!$F$10:$BG$42,$A65+2,FALSE)="NE","NE",IF(HLOOKUP(BN$15,Data_5!$F$10:$BG$42,$A65+2,FALSE)="C","C",IF(HLOOKUP(BN$15,Data_5!$F$10:$BG$42,$A65+2,FALSE)="NO","NO",HLOOKUP(BN$15,Data_5!$F$10:$BG$42,$A65+2,FALSE)/Data_5!$BI60))))),"")</f>
        <v/>
      </c>
      <c r="BO65" s="1122" t="str">
        <f>IFERROR(IF(HLOOKUP(BO$15,Data_5!$F$10:$BG$42,$A65+2,FALSE)="NO","NO",IF(HLOOKUP(BO$15,Data_5!$F$10:$BG$42,$A65+2,FALSE)="IE","IE",IF(HLOOKUP(BO$15,Data_5!$F$10:$BG$42,$A65+2,FALSE)="NE","NE",IF(HLOOKUP(BO$15,Data_5!$F$10:$BG$42,$A65+2,FALSE)="C","C",IF(HLOOKUP(BO$15,Data_5!$F$10:$BG$42,$A65+2,FALSE)="NO","NO",HLOOKUP(BO$15,Data_5!$F$10:$BG$42,$A65+2,FALSE)/Data_5!$BI60))))),"")</f>
        <v/>
      </c>
      <c r="BP65" s="1122" t="str">
        <f>IFERROR(IF(HLOOKUP(BP$15,Data_5!$F$10:$BG$42,$A65+2,FALSE)="NO","NO",IF(HLOOKUP(BP$15,Data_5!$F$10:$BG$42,$A65+2,FALSE)="IE","IE",IF(HLOOKUP(BP$15,Data_5!$F$10:$BG$42,$A65+2,FALSE)="NE","NE",IF(HLOOKUP(BP$15,Data_5!$F$10:$BG$42,$A65+2,FALSE)="C","C",IF(HLOOKUP(BP$15,Data_5!$F$10:$BG$42,$A65+2,FALSE)="NO","NO",HLOOKUP(BP$15,Data_5!$F$10:$BG$42,$A65+2,FALSE)/Data_5!$BI60))))),"")</f>
        <v/>
      </c>
      <c r="BQ65" s="1122" t="str">
        <f>IFERROR(IF(HLOOKUP(BQ$15,Data_5!$F$10:$BG$42,$A65+2,FALSE)="NO","NO",IF(HLOOKUP(BQ$15,Data_5!$F$10:$BG$42,$A65+2,FALSE)="IE","IE",IF(HLOOKUP(BQ$15,Data_5!$F$10:$BG$42,$A65+2,FALSE)="NE","NE",IF(HLOOKUP(BQ$15,Data_5!$F$10:$BG$42,$A65+2,FALSE)="C","C",IF(HLOOKUP(BQ$15,Data_5!$F$10:$BG$42,$A65+2,FALSE)="NO","NO",HLOOKUP(BQ$15,Data_5!$F$10:$BG$42,$A65+2,FALSE)/Data_5!$BI60))))),"")</f>
        <v/>
      </c>
      <c r="BR65" s="1122" t="str">
        <f>IFERROR(IF(HLOOKUP(BR$15,Data_5!$F$10:$BG$42,$A65+2,FALSE)="NO","NO",IF(HLOOKUP(BR$15,Data_5!$F$10:$BG$42,$A65+2,FALSE)="IE","IE",IF(HLOOKUP(BR$15,Data_5!$F$10:$BG$42,$A65+2,FALSE)="NE","NE",IF(HLOOKUP(BR$15,Data_5!$F$10:$BG$42,$A65+2,FALSE)="C","C",IF(HLOOKUP(BR$15,Data_5!$F$10:$BG$42,$A65+2,FALSE)="NO","NO",HLOOKUP(BR$15,Data_5!$F$10:$BG$42,$A65+2,FALSE)/Data_5!$BI60))))),"")</f>
        <v/>
      </c>
      <c r="BS65" s="1122" t="str">
        <f>IFERROR(IF(HLOOKUP(BS$15,Data_5!$F$10:$BG$42,$A65+2,FALSE)="NO","NO",IF(HLOOKUP(BS$15,Data_5!$F$10:$BG$42,$A65+2,FALSE)="IE","IE",IF(HLOOKUP(BS$15,Data_5!$F$10:$BG$42,$A65+2,FALSE)="NE","NE",IF(HLOOKUP(BS$15,Data_5!$F$10:$BG$42,$A65+2,FALSE)="C","C",IF(HLOOKUP(BS$15,Data_5!$F$10:$BG$42,$A65+2,FALSE)="NO","NO",HLOOKUP(BS$15,Data_5!$F$10:$BG$42,$A65+2,FALSE)/Data_5!$BI60))))),"")</f>
        <v/>
      </c>
      <c r="BT65" s="1122" t="str">
        <f>IFERROR(IF(HLOOKUP(BT$15,Data_5!$F$10:$BG$42,$A65+2,FALSE)="NO","NO",IF(HLOOKUP(BT$15,Data_5!$F$10:$BG$42,$A65+2,FALSE)="IE","IE",IF(HLOOKUP(BT$15,Data_5!$F$10:$BG$42,$A65+2,FALSE)="NE","NE",IF(HLOOKUP(BT$15,Data_5!$F$10:$BG$42,$A65+2,FALSE)="C","C",IF(HLOOKUP(BT$15,Data_5!$F$10:$BG$42,$A65+2,FALSE)="NO","NO",HLOOKUP(BT$15,Data_5!$F$10:$BG$42,$A65+2,FALSE)/Data_5!$BI60))))),"")</f>
        <v/>
      </c>
      <c r="BU65" s="1122" t="str">
        <f>IFERROR(IF(HLOOKUP(BU$15,Data_5!$F$10:$BG$42,$A65+2,FALSE)="NO","NO",IF(HLOOKUP(BU$15,Data_5!$F$10:$BG$42,$A65+2,FALSE)="IE","IE",IF(HLOOKUP(BU$15,Data_5!$F$10:$BG$42,$A65+2,FALSE)="NE","NE",IF(HLOOKUP(BU$15,Data_5!$F$10:$BG$42,$A65+2,FALSE)="C","C",IF(HLOOKUP(BU$15,Data_5!$F$10:$BG$42,$A65+2,FALSE)="NO","NO",HLOOKUP(BU$15,Data_5!$F$10:$BG$42,$A65+2,FALSE)/Data_5!$BI60))))),"")</f>
        <v/>
      </c>
      <c r="BV65" s="1122" t="str">
        <f>IFERROR(IF(HLOOKUP(BV$15,Data_5!$F$10:$BG$42,$A65+2,FALSE)="NO","NO",IF(HLOOKUP(BV$15,Data_5!$F$10:$BG$42,$A65+2,FALSE)="IE","IE",IF(HLOOKUP(BV$15,Data_5!$F$10:$BG$42,$A65+2,FALSE)="NE","NE",IF(HLOOKUP(BV$15,Data_5!$F$10:$BG$42,$A65+2,FALSE)="C","C",IF(HLOOKUP(BV$15,Data_5!$F$10:$BG$42,$A65+2,FALSE)="NO","NO",HLOOKUP(BV$15,Data_5!$F$10:$BG$42,$A65+2,FALSE)/Data_5!$BI60))))),"")</f>
        <v/>
      </c>
      <c r="BW65" s="1122" t="str">
        <f>IFERROR(IF(HLOOKUP(BW$15,Data_5!$F$10:$BG$42,$A65+2,FALSE)="NO","NO",IF(HLOOKUP(BW$15,Data_5!$F$10:$BG$42,$A65+2,FALSE)="IE","IE",IF(HLOOKUP(BW$15,Data_5!$F$10:$BG$42,$A65+2,FALSE)="NE","NE",IF(HLOOKUP(BW$15,Data_5!$F$10:$BG$42,$A65+2,FALSE)="C","C",IF(HLOOKUP(BW$15,Data_5!$F$10:$BG$42,$A65+2,FALSE)="NO","NO",HLOOKUP(BW$15,Data_5!$F$10:$BG$42,$A65+2,FALSE)/Data_5!$BI60))))),"")</f>
        <v/>
      </c>
      <c r="BX65" s="1122" t="str">
        <f>IFERROR(IF(HLOOKUP(BX$15,Data_5!$F$10:$BG$42,$A65+2,FALSE)="NO","NO",IF(HLOOKUP(BX$15,Data_5!$F$10:$BG$42,$A65+2,FALSE)="IE","IE",IF(HLOOKUP(BX$15,Data_5!$F$10:$BG$42,$A65+2,FALSE)="NE","NE",IF(HLOOKUP(BX$15,Data_5!$F$10:$BG$42,$A65+2,FALSE)="C","C",IF(HLOOKUP(BX$15,Data_5!$F$10:$BG$42,$A65+2,FALSE)="NO","NO",HLOOKUP(BX$15,Data_5!$F$10:$BG$42,$A65+2,FALSE)/Data_5!$BI60))))),"")</f>
        <v/>
      </c>
      <c r="BY65" s="1122" t="str">
        <f>IFERROR(IF(HLOOKUP(BY$15,Data_5!$F$10:$BG$42,$A65+2,FALSE)="NO","NO",IF(HLOOKUP(BY$15,Data_5!$F$10:$BG$42,$A65+2,FALSE)="IE","IE",IF(HLOOKUP(BY$15,Data_5!$F$10:$BG$42,$A65+2,FALSE)="NE","NE",IF(HLOOKUP(BY$15,Data_5!$F$10:$BG$42,$A65+2,FALSE)="C","C",IF(HLOOKUP(BY$15,Data_5!$F$10:$BG$42,$A65+2,FALSE)="NO","NO",HLOOKUP(BY$15,Data_5!$F$10:$BG$42,$A65+2,FALSE)/Data_5!$BI60))))),"")</f>
        <v/>
      </c>
      <c r="BZ65" s="1122" t="str">
        <f>IFERROR(IF(HLOOKUP(BZ$15,Data_5!$F$10:$BG$42,$A65+2,FALSE)="NO","NO",IF(HLOOKUP(BZ$15,Data_5!$F$10:$BG$42,$A65+2,FALSE)="IE","IE",IF(HLOOKUP(BZ$15,Data_5!$F$10:$BG$42,$A65+2,FALSE)="NE","NE",IF(HLOOKUP(BZ$15,Data_5!$F$10:$BG$42,$A65+2,FALSE)="C","C",IF(HLOOKUP(BZ$15,Data_5!$F$10:$BG$42,$A65+2,FALSE)="NO","NO",HLOOKUP(BZ$15,Data_5!$F$10:$BG$42,$A65+2,FALSE)/Data_5!$BI60))))),"")</f>
        <v/>
      </c>
      <c r="CA65" s="1122" t="str">
        <f>IFERROR(IF(HLOOKUP(CA$15,Data_5!$F$10:$BG$42,$A65+2,FALSE)="NO","NO",IF(HLOOKUP(CA$15,Data_5!$F$10:$BG$42,$A65+2,FALSE)="IE","IE",IF(HLOOKUP(CA$15,Data_5!$F$10:$BG$42,$A65+2,FALSE)="NE","NE",IF(HLOOKUP(CA$15,Data_5!$F$10:$BG$42,$A65+2,FALSE)="C","C",IF(HLOOKUP(CA$15,Data_5!$F$10:$BG$42,$A65+2,FALSE)="NO","NO",HLOOKUP(CA$15,Data_5!$F$10:$BG$42,$A65+2,FALSE)/Data_5!$BI60))))),"")</f>
        <v/>
      </c>
      <c r="CB65" s="1122" t="str">
        <f>IFERROR(IF(HLOOKUP(CB$15,Data_5!$F$10:$BG$42,$A65+2,FALSE)="NO","NO",IF(HLOOKUP(CB$15,Data_5!$F$10:$BG$42,$A65+2,FALSE)="IE","IE",IF(HLOOKUP(CB$15,Data_5!$F$10:$BG$42,$A65+2,FALSE)="NE","NE",IF(HLOOKUP(CB$15,Data_5!$F$10:$BG$42,$A65+2,FALSE)="C","C",IF(HLOOKUP(CB$15,Data_5!$F$10:$BG$42,$A65+2,FALSE)="NO","NO",HLOOKUP(CB$15,Data_5!$F$10:$BG$42,$A65+2,FALSE)/Data_5!$BI60))))),"")</f>
        <v/>
      </c>
      <c r="CC65" s="1122" t="str">
        <f>IFERROR(IF(HLOOKUP(CC$15,Data_5!$F$10:$BG$42,$A65+2,FALSE)="NO","NO",IF(HLOOKUP(CC$15,Data_5!$F$10:$BG$42,$A65+2,FALSE)="IE","IE",IF(HLOOKUP(CC$15,Data_5!$F$10:$BG$42,$A65+2,FALSE)="NE","NE",IF(HLOOKUP(CC$15,Data_5!$F$10:$BG$42,$A65+2,FALSE)="C","C",IF(HLOOKUP(CC$15,Data_5!$F$10:$BG$42,$A65+2,FALSE)="NO","NO",HLOOKUP(CC$15,Data_5!$F$10:$BG$42,$A65+2,FALSE)/Data_5!$BI60))))),"")</f>
        <v/>
      </c>
      <c r="CD65" s="1122" t="str">
        <f>IFERROR(IF(HLOOKUP(CD$15,Data_5!$F$10:$BG$42,$A65+2,FALSE)="NO","NO",IF(HLOOKUP(CD$15,Data_5!$F$10:$BG$42,$A65+2,FALSE)="IE","IE",IF(HLOOKUP(CD$15,Data_5!$F$10:$BG$42,$A65+2,FALSE)="NE","NE",IF(HLOOKUP(CD$15,Data_5!$F$10:$BG$42,$A65+2,FALSE)="C","C",IF(HLOOKUP(CD$15,Data_5!$F$10:$BG$42,$A65+2,FALSE)="NO","NO",HLOOKUP(CD$15,Data_5!$F$10:$BG$42,$A65+2,FALSE)/Data_5!$BI60))))),"")</f>
        <v/>
      </c>
      <c r="CE65" s="1122" t="str">
        <f>IFERROR(IF(HLOOKUP(CE$15,Data_5!$F$10:$BG$42,$A65+2,FALSE)="NO","NO",IF(HLOOKUP(CE$15,Data_5!$F$10:$BG$42,$A65+2,FALSE)="IE","IE",IF(HLOOKUP(CE$15,Data_5!$F$10:$BG$42,$A65+2,FALSE)="NE","NE",IF(HLOOKUP(CE$15,Data_5!$F$10:$BG$42,$A65+2,FALSE)="C","C",IF(HLOOKUP(CE$15,Data_5!$F$10:$BG$42,$A65+2,FALSE)="NO","NO",HLOOKUP(CE$15,Data_5!$F$10:$BG$42,$A65+2,FALSE)/Data_5!$BI60))))),"")</f>
        <v/>
      </c>
      <c r="CF65" s="1122" t="str">
        <f>IFERROR(IF(HLOOKUP(CF$15,Data_5!$F$10:$BG$42,$A65+2,FALSE)="NO","NO",IF(HLOOKUP(CF$15,Data_5!$F$10:$BG$42,$A65+2,FALSE)="IE","IE",IF(HLOOKUP(CF$15,Data_5!$F$10:$BG$42,$A65+2,FALSE)="NE","NE",IF(HLOOKUP(CF$15,Data_5!$F$10:$BG$42,$A65+2,FALSE)="C","C",IF(HLOOKUP(CF$15,Data_5!$F$10:$BG$42,$A65+2,FALSE)="NO","NO",HLOOKUP(CF$15,Data_5!$F$10:$BG$42,$A65+2,FALSE)/Data_5!$BI60))))),"")</f>
        <v/>
      </c>
      <c r="CG65" s="1122" t="str">
        <f>IFERROR(IF(HLOOKUP(CG$15,Data_5!$F$10:$BG$42,$A65+2,FALSE)="NO","NO",IF(HLOOKUP(CG$15,Data_5!$F$10:$BG$42,$A65+2,FALSE)="IE","IE",IF(HLOOKUP(CG$15,Data_5!$F$10:$BG$42,$A65+2,FALSE)="NE","NE",IF(HLOOKUP(CG$15,Data_5!$F$10:$BG$42,$A65+2,FALSE)="C","C",IF(HLOOKUP(CG$15,Data_5!$F$10:$BG$42,$A65+2,FALSE)="NO","NO",HLOOKUP(CG$15,Data_5!$F$10:$BG$42,$A65+2,FALSE)/Data_5!$BI60))))),"")</f>
        <v/>
      </c>
      <c r="CH65" s="1122" t="str">
        <f>IFERROR(IF(HLOOKUP(CH$15,Data_5!$F$10:$BG$42,$A65+2,FALSE)="NO","NO",IF(HLOOKUP(CH$15,Data_5!$F$10:$BG$42,$A65+2,FALSE)="IE","IE",IF(HLOOKUP(CH$15,Data_5!$F$10:$BG$42,$A65+2,FALSE)="NE","NE",IF(HLOOKUP(CH$15,Data_5!$F$10:$BG$42,$A65+2,FALSE)="C","C",IF(HLOOKUP(CH$15,Data_5!$F$10:$BG$42,$A65+2,FALSE)="NO","NO",HLOOKUP(CH$15,Data_5!$F$10:$BG$42,$A65+2,FALSE)/Data_5!$BI60))))),"")</f>
        <v/>
      </c>
      <c r="CI65" s="1122" t="str">
        <f>IFERROR(IF(HLOOKUP(CI$15,Data_5!$F$10:$BG$42,$A65+2,FALSE)="NO","NO",IF(HLOOKUP(CI$15,Data_5!$F$10:$BG$42,$A65+2,FALSE)="IE","IE",IF(HLOOKUP(CI$15,Data_5!$F$10:$BG$42,$A65+2,FALSE)="NE","NE",IF(HLOOKUP(CI$15,Data_5!$F$10:$BG$42,$A65+2,FALSE)="C","C",IF(HLOOKUP(CI$15,Data_5!$F$10:$BG$42,$A65+2,FALSE)="NO","NO",HLOOKUP(CI$15,Data_5!$F$10:$BG$42,$A65+2,FALSE)/Data_5!$BI60))))),"")</f>
        <v/>
      </c>
      <c r="CJ65" s="1122" t="str">
        <f>IFERROR(IF(HLOOKUP(CJ$15,Data_5!$F$10:$BG$42,$A65+2,FALSE)="NO","NO",IF(HLOOKUP(CJ$15,Data_5!$F$10:$BG$42,$A65+2,FALSE)="IE","IE",IF(HLOOKUP(CJ$15,Data_5!$F$10:$BG$42,$A65+2,FALSE)="NE","NE",IF(HLOOKUP(CJ$15,Data_5!$F$10:$BG$42,$A65+2,FALSE)="C","C",IF(HLOOKUP(CJ$15,Data_5!$F$10:$BG$42,$A65+2,FALSE)="NO","NO",HLOOKUP(CJ$15,Data_5!$F$10:$BG$42,$A65+2,FALSE)/Data_5!$BI60))))),"")</f>
        <v/>
      </c>
      <c r="CL65" s="2628" t="str">
        <f t="shared" ca="1" si="6"/>
        <v/>
      </c>
      <c r="CM65" s="2629"/>
      <c r="CN65" s="1100" t="str">
        <f t="shared" ca="1" si="7"/>
        <v/>
      </c>
      <c r="CO65" s="1122" t="str">
        <f>IFERROR(IF(HLOOKUP(CO$15,Data_5!$F$10:$BG$42,$A65+2,FALSE)="NO","NO",IF(HLOOKUP(CO$15,Data_5!$F$10:$BG$42,$A65+2,FALSE)="IE","IE",IF(HLOOKUP(CO$15,Data_5!$F$10:$BG$42,$A65+2,FALSE)="NE","NE",IF(HLOOKUP(CO$15,Data_5!$F$10:$BG$42,$A65+2,FALSE)="C","C",IF(HLOOKUP(CO$15,Data_5!$F$10:$BG$42,$A65+2,FALSE)="NO","NO",HLOOKUP(CO$15,Data_5!$F$10:$BG$42,$A65+2,FALSE)/Data_5!$BK60))))),"")</f>
        <v/>
      </c>
      <c r="CP65" s="1122" t="str">
        <f>IFERROR(IF(HLOOKUP(CP$15,Data_5!$F$10:$BG$42,$A65+2,FALSE)="NO","NO",IF(HLOOKUP(CP$15,Data_5!$F$10:$BG$42,$A65+2,FALSE)="IE","IE",IF(HLOOKUP(CP$15,Data_5!$F$10:$BG$42,$A65+2,FALSE)="NE","NE",IF(HLOOKUP(CP$15,Data_5!$F$10:$BG$42,$A65+2,FALSE)="C","C",IF(HLOOKUP(CP$15,Data_5!$F$10:$BG$42,$A65+2,FALSE)="NO","NO",HLOOKUP(CP$15,Data_5!$F$10:$BG$42,$A65+2,FALSE)/Data_5!$BK60))))),"")</f>
        <v/>
      </c>
      <c r="CQ65" s="1122" t="str">
        <f>IFERROR(IF(HLOOKUP(CQ$15,Data_5!$F$10:$BG$42,$A65+2,FALSE)="NO","NO",IF(HLOOKUP(CQ$15,Data_5!$F$10:$BG$42,$A65+2,FALSE)="IE","IE",IF(HLOOKUP(CQ$15,Data_5!$F$10:$BG$42,$A65+2,FALSE)="NE","NE",IF(HLOOKUP(CQ$15,Data_5!$F$10:$BG$42,$A65+2,FALSE)="C","C",IF(HLOOKUP(CQ$15,Data_5!$F$10:$BG$42,$A65+2,FALSE)="NO","NO",HLOOKUP(CQ$15,Data_5!$F$10:$BG$42,$A65+2,FALSE)/Data_5!$BK60))))),"")</f>
        <v/>
      </c>
      <c r="CR65" s="1122" t="str">
        <f>IFERROR(IF(HLOOKUP(CR$15,Data_5!$F$10:$BG$42,$A65+2,FALSE)="NO","NO",IF(HLOOKUP(CR$15,Data_5!$F$10:$BG$42,$A65+2,FALSE)="IE","IE",IF(HLOOKUP(CR$15,Data_5!$F$10:$BG$42,$A65+2,FALSE)="NE","NE",IF(HLOOKUP(CR$15,Data_5!$F$10:$BG$42,$A65+2,FALSE)="C","C",IF(HLOOKUP(CR$15,Data_5!$F$10:$BG$42,$A65+2,FALSE)="NO","NO",HLOOKUP(CR$15,Data_5!$F$10:$BG$42,$A65+2,FALSE)/Data_5!$BK60))))),"")</f>
        <v/>
      </c>
      <c r="CS65" s="1122" t="str">
        <f>IFERROR(IF(HLOOKUP(CS$15,Data_5!$F$10:$BG$42,$A65+2,FALSE)="NO","NO",IF(HLOOKUP(CS$15,Data_5!$F$10:$BG$42,$A65+2,FALSE)="IE","IE",IF(HLOOKUP(CS$15,Data_5!$F$10:$BG$42,$A65+2,FALSE)="NE","NE",IF(HLOOKUP(CS$15,Data_5!$F$10:$BG$42,$A65+2,FALSE)="C","C",IF(HLOOKUP(CS$15,Data_5!$F$10:$BG$42,$A65+2,FALSE)="NO","NO",HLOOKUP(CS$15,Data_5!$F$10:$BG$42,$A65+2,FALSE)/Data_5!$BK60))))),"")</f>
        <v/>
      </c>
      <c r="CT65" s="1122" t="str">
        <f>IFERROR(IF(HLOOKUP(CT$15,Data_5!$F$10:$BG$42,$A65+2,FALSE)="NO","NO",IF(HLOOKUP(CT$15,Data_5!$F$10:$BG$42,$A65+2,FALSE)="IE","IE",IF(HLOOKUP(CT$15,Data_5!$F$10:$BG$42,$A65+2,FALSE)="NE","NE",IF(HLOOKUP(CT$15,Data_5!$F$10:$BG$42,$A65+2,FALSE)="C","C",IF(HLOOKUP(CT$15,Data_5!$F$10:$BG$42,$A65+2,FALSE)="NO","NO",HLOOKUP(CT$15,Data_5!$F$10:$BG$42,$A65+2,FALSE)/Data_5!$BK60))))),"")</f>
        <v/>
      </c>
      <c r="CU65" s="1122" t="str">
        <f>IFERROR(IF(HLOOKUP(CU$15,Data_5!$F$10:$BG$42,$A65+2,FALSE)="NO","NO",IF(HLOOKUP(CU$15,Data_5!$F$10:$BG$42,$A65+2,FALSE)="IE","IE",IF(HLOOKUP(CU$15,Data_5!$F$10:$BG$42,$A65+2,FALSE)="NE","NE",IF(HLOOKUP(CU$15,Data_5!$F$10:$BG$42,$A65+2,FALSE)="C","C",IF(HLOOKUP(CU$15,Data_5!$F$10:$BG$42,$A65+2,FALSE)="NO","NO",HLOOKUP(CU$15,Data_5!$F$10:$BG$42,$A65+2,FALSE)/Data_5!$BK60))))),"")</f>
        <v/>
      </c>
      <c r="CV65" s="1122" t="str">
        <f>IFERROR(IF(HLOOKUP(CV$15,Data_5!$F$10:$BG$42,$A65+2,FALSE)="NO","NO",IF(HLOOKUP(CV$15,Data_5!$F$10:$BG$42,$A65+2,FALSE)="IE","IE",IF(HLOOKUP(CV$15,Data_5!$F$10:$BG$42,$A65+2,FALSE)="NE","NE",IF(HLOOKUP(CV$15,Data_5!$F$10:$BG$42,$A65+2,FALSE)="C","C",IF(HLOOKUP(CV$15,Data_5!$F$10:$BG$42,$A65+2,FALSE)="NO","NO",HLOOKUP(CV$15,Data_5!$F$10:$BG$42,$A65+2,FALSE)/Data_5!$BK60))))),"")</f>
        <v/>
      </c>
      <c r="CW65" s="1122" t="str">
        <f>IFERROR(IF(HLOOKUP(CW$15,Data_5!$F$10:$BG$42,$A65+2,FALSE)="NO","NO",IF(HLOOKUP(CW$15,Data_5!$F$10:$BG$42,$A65+2,FALSE)="IE","IE",IF(HLOOKUP(CW$15,Data_5!$F$10:$BG$42,$A65+2,FALSE)="NE","NE",IF(HLOOKUP(CW$15,Data_5!$F$10:$BG$42,$A65+2,FALSE)="C","C",IF(HLOOKUP(CW$15,Data_5!$F$10:$BG$42,$A65+2,FALSE)="NO","NO",HLOOKUP(CW$15,Data_5!$F$10:$BG$42,$A65+2,FALSE)/Data_5!$BK60))))),"")</f>
        <v/>
      </c>
      <c r="CX65" s="1122" t="str">
        <f>IFERROR(IF(HLOOKUP(CX$15,Data_5!$F$10:$BG$42,$A65+2,FALSE)="NO","NO",IF(HLOOKUP(CX$15,Data_5!$F$10:$BG$42,$A65+2,FALSE)="IE","IE",IF(HLOOKUP(CX$15,Data_5!$F$10:$BG$42,$A65+2,FALSE)="NE","NE",IF(HLOOKUP(CX$15,Data_5!$F$10:$BG$42,$A65+2,FALSE)="C","C",IF(HLOOKUP(CX$15,Data_5!$F$10:$BG$42,$A65+2,FALSE)="NO","NO",HLOOKUP(CX$15,Data_5!$F$10:$BG$42,$A65+2,FALSE)/Data_5!$BK60))))),"")</f>
        <v/>
      </c>
      <c r="CY65" s="1122" t="str">
        <f>IFERROR(IF(HLOOKUP(CY$15,Data_5!$F$10:$BG$42,$A65+2,FALSE)="NO","NO",IF(HLOOKUP(CY$15,Data_5!$F$10:$BG$42,$A65+2,FALSE)="IE","IE",IF(HLOOKUP(CY$15,Data_5!$F$10:$BG$42,$A65+2,FALSE)="NE","NE",IF(HLOOKUP(CY$15,Data_5!$F$10:$BG$42,$A65+2,FALSE)="C","C",IF(HLOOKUP(CY$15,Data_5!$F$10:$BG$42,$A65+2,FALSE)="NO","NO",HLOOKUP(CY$15,Data_5!$F$10:$BG$42,$A65+2,FALSE)/Data_5!$BK60))))),"")</f>
        <v/>
      </c>
      <c r="CZ65" s="1122" t="str">
        <f>IFERROR(IF(HLOOKUP(CZ$15,Data_5!$F$10:$BG$42,$A65+2,FALSE)="NO","NO",IF(HLOOKUP(CZ$15,Data_5!$F$10:$BG$42,$A65+2,FALSE)="IE","IE",IF(HLOOKUP(CZ$15,Data_5!$F$10:$BG$42,$A65+2,FALSE)="NE","NE",IF(HLOOKUP(CZ$15,Data_5!$F$10:$BG$42,$A65+2,FALSE)="C","C",IF(HLOOKUP(CZ$15,Data_5!$F$10:$BG$42,$A65+2,FALSE)="NO","NO",HLOOKUP(CZ$15,Data_5!$F$10:$BG$42,$A65+2,FALSE)/Data_5!$BK60))))),"")</f>
        <v/>
      </c>
      <c r="DA65" s="1122" t="str">
        <f>IFERROR(IF(HLOOKUP(DA$15,Data_5!$F$10:$BG$42,$A65+2,FALSE)="NO","NO",IF(HLOOKUP(DA$15,Data_5!$F$10:$BG$42,$A65+2,FALSE)="IE","IE",IF(HLOOKUP(DA$15,Data_5!$F$10:$BG$42,$A65+2,FALSE)="NE","NE",IF(HLOOKUP(DA$15,Data_5!$F$10:$BG$42,$A65+2,FALSE)="C","C",IF(HLOOKUP(DA$15,Data_5!$F$10:$BG$42,$A65+2,FALSE)="NO","NO",HLOOKUP(DA$15,Data_5!$F$10:$BG$42,$A65+2,FALSE)/Data_5!$BK60))))),"")</f>
        <v/>
      </c>
      <c r="DB65" s="1122" t="str">
        <f>IFERROR(IF(HLOOKUP(DB$15,Data_5!$F$10:$BG$42,$A65+2,FALSE)="NO","NO",IF(HLOOKUP(DB$15,Data_5!$F$10:$BG$42,$A65+2,FALSE)="IE","IE",IF(HLOOKUP(DB$15,Data_5!$F$10:$BG$42,$A65+2,FALSE)="NE","NE",IF(HLOOKUP(DB$15,Data_5!$F$10:$BG$42,$A65+2,FALSE)="C","C",IF(HLOOKUP(DB$15,Data_5!$F$10:$BG$42,$A65+2,FALSE)="NO","NO",HLOOKUP(DB$15,Data_5!$F$10:$BG$42,$A65+2,FALSE)/Data_5!$BK60))))),"")</f>
        <v/>
      </c>
      <c r="DC65" s="1122" t="str">
        <f>IFERROR(IF(HLOOKUP(DC$15,Data_5!$F$10:$BG$42,$A65+2,FALSE)="NO","NO",IF(HLOOKUP(DC$15,Data_5!$F$10:$BG$42,$A65+2,FALSE)="IE","IE",IF(HLOOKUP(DC$15,Data_5!$F$10:$BG$42,$A65+2,FALSE)="NE","NE",IF(HLOOKUP(DC$15,Data_5!$F$10:$BG$42,$A65+2,FALSE)="C","C",IF(HLOOKUP(DC$15,Data_5!$F$10:$BG$42,$A65+2,FALSE)="NO","NO",HLOOKUP(DC$15,Data_5!$F$10:$BG$42,$A65+2,FALSE)/Data_5!$BK60))))),"")</f>
        <v/>
      </c>
      <c r="DD65" s="1122" t="str">
        <f>IFERROR(IF(HLOOKUP(DD$15,Data_5!$F$10:$BG$42,$A65+2,FALSE)="NO","NO",IF(HLOOKUP(DD$15,Data_5!$F$10:$BG$42,$A65+2,FALSE)="IE","IE",IF(HLOOKUP(DD$15,Data_5!$F$10:$BG$42,$A65+2,FALSE)="NE","NE",IF(HLOOKUP(DD$15,Data_5!$F$10:$BG$42,$A65+2,FALSE)="C","C",IF(HLOOKUP(DD$15,Data_5!$F$10:$BG$42,$A65+2,FALSE)="NO","NO",HLOOKUP(DD$15,Data_5!$F$10:$BG$42,$A65+2,FALSE)/Data_5!$BK60))))),"")</f>
        <v/>
      </c>
      <c r="DE65" s="1122" t="str">
        <f>IFERROR(IF(HLOOKUP(DE$15,Data_5!$F$10:$BG$42,$A65+2,FALSE)="NO","NO",IF(HLOOKUP(DE$15,Data_5!$F$10:$BG$42,$A65+2,FALSE)="IE","IE",IF(HLOOKUP(DE$15,Data_5!$F$10:$BG$42,$A65+2,FALSE)="NE","NE",IF(HLOOKUP(DE$15,Data_5!$F$10:$BG$42,$A65+2,FALSE)="C","C",IF(HLOOKUP(DE$15,Data_5!$F$10:$BG$42,$A65+2,FALSE)="NO","NO",HLOOKUP(DE$15,Data_5!$F$10:$BG$42,$A65+2,FALSE)/Data_5!$BK60))))),"")</f>
        <v/>
      </c>
      <c r="DF65" s="1122" t="str">
        <f>IFERROR(IF(HLOOKUP(DF$15,Data_5!$F$10:$BG$42,$A65+2,FALSE)="NO","NO",IF(HLOOKUP(DF$15,Data_5!$F$10:$BG$42,$A65+2,FALSE)="IE","IE",IF(HLOOKUP(DF$15,Data_5!$F$10:$BG$42,$A65+2,FALSE)="NE","NE",IF(HLOOKUP(DF$15,Data_5!$F$10:$BG$42,$A65+2,FALSE)="C","C",IF(HLOOKUP(DF$15,Data_5!$F$10:$BG$42,$A65+2,FALSE)="NO","NO",HLOOKUP(DF$15,Data_5!$F$10:$BG$42,$A65+2,FALSE)/Data_5!$BK60))))),"")</f>
        <v/>
      </c>
      <c r="DG65" s="1122" t="str">
        <f>IFERROR(IF(HLOOKUP(DG$15,Data_5!$F$10:$BG$42,$A65+2,FALSE)="NO","NO",IF(HLOOKUP(DG$15,Data_5!$F$10:$BG$42,$A65+2,FALSE)="IE","IE",IF(HLOOKUP(DG$15,Data_5!$F$10:$BG$42,$A65+2,FALSE)="NE","NE",IF(HLOOKUP(DG$15,Data_5!$F$10:$BG$42,$A65+2,FALSE)="C","C",IF(HLOOKUP(DG$15,Data_5!$F$10:$BG$42,$A65+2,FALSE)="NO","NO",HLOOKUP(DG$15,Data_5!$F$10:$BG$42,$A65+2,FALSE)/Data_5!$BK60))))),"")</f>
        <v/>
      </c>
      <c r="DH65" s="1122" t="str">
        <f>IFERROR(IF(HLOOKUP(DH$15,Data_5!$F$10:$BG$42,$A65+2,FALSE)="NO","NO",IF(HLOOKUP(DH$15,Data_5!$F$10:$BG$42,$A65+2,FALSE)="IE","IE",IF(HLOOKUP(DH$15,Data_5!$F$10:$BG$42,$A65+2,FALSE)="NE","NE",IF(HLOOKUP(DH$15,Data_5!$F$10:$BG$42,$A65+2,FALSE)="C","C",IF(HLOOKUP(DH$15,Data_5!$F$10:$BG$42,$A65+2,FALSE)="NO","NO",HLOOKUP(DH$15,Data_5!$F$10:$BG$42,$A65+2,FALSE)/Data_5!$BK60))))),"")</f>
        <v/>
      </c>
      <c r="DI65" s="1122" t="str">
        <f>IFERROR(IF(HLOOKUP(DI$15,Data_5!$F$10:$BG$42,$A65+2,FALSE)="NO","NO",IF(HLOOKUP(DI$15,Data_5!$F$10:$BG$42,$A65+2,FALSE)="IE","IE",IF(HLOOKUP(DI$15,Data_5!$F$10:$BG$42,$A65+2,FALSE)="NE","NE",IF(HLOOKUP(DI$15,Data_5!$F$10:$BG$42,$A65+2,FALSE)="C","C",IF(HLOOKUP(DI$15,Data_5!$F$10:$BG$42,$A65+2,FALSE)="NO","NO",HLOOKUP(DI$15,Data_5!$F$10:$BG$42,$A65+2,FALSE)/Data_5!$BK60))))),"")</f>
        <v/>
      </c>
      <c r="DJ65" s="1122" t="str">
        <f>IFERROR(IF(HLOOKUP(DJ$15,Data_5!$F$10:$BG$42,$A65+2,FALSE)="NO","NO",IF(HLOOKUP(DJ$15,Data_5!$F$10:$BG$42,$A65+2,FALSE)="IE","IE",IF(HLOOKUP(DJ$15,Data_5!$F$10:$BG$42,$A65+2,FALSE)="NE","NE",IF(HLOOKUP(DJ$15,Data_5!$F$10:$BG$42,$A65+2,FALSE)="C","C",IF(HLOOKUP(DJ$15,Data_5!$F$10:$BG$42,$A65+2,FALSE)="NO","NO",HLOOKUP(DJ$15,Data_5!$F$10:$BG$42,$A65+2,FALSE)/Data_5!$BK60))))),"")</f>
        <v/>
      </c>
      <c r="DK65" s="1122" t="str">
        <f>IFERROR(IF(HLOOKUP(DK$15,Data_5!$F$10:$BG$42,$A65+2,FALSE)="NO","NO",IF(HLOOKUP(DK$15,Data_5!$F$10:$BG$42,$A65+2,FALSE)="IE","IE",IF(HLOOKUP(DK$15,Data_5!$F$10:$BG$42,$A65+2,FALSE)="NE","NE",IF(HLOOKUP(DK$15,Data_5!$F$10:$BG$42,$A65+2,FALSE)="C","C",IF(HLOOKUP(DK$15,Data_5!$F$10:$BG$42,$A65+2,FALSE)="NO","NO",HLOOKUP(DK$15,Data_5!$F$10:$BG$42,$A65+2,FALSE)/Data_5!$BK60))))),"")</f>
        <v/>
      </c>
      <c r="DL65" s="1122" t="str">
        <f>IFERROR(IF(HLOOKUP(DL$15,Data_5!$F$10:$BG$42,$A65+2,FALSE)="NO","NO",IF(HLOOKUP(DL$15,Data_5!$F$10:$BG$42,$A65+2,FALSE)="IE","IE",IF(HLOOKUP(DL$15,Data_5!$F$10:$BG$42,$A65+2,FALSE)="NE","NE",IF(HLOOKUP(DL$15,Data_5!$F$10:$BG$42,$A65+2,FALSE)="C","C",IF(HLOOKUP(DL$15,Data_5!$F$10:$BG$42,$A65+2,FALSE)="NO","NO",HLOOKUP(DL$15,Data_5!$F$10:$BG$42,$A65+2,FALSE)/Data_5!$BK60))))),"")</f>
        <v/>
      </c>
      <c r="DM65" s="1122" t="str">
        <f>IFERROR(IF(HLOOKUP(DM$15,Data_5!$F$10:$BG$42,$A65+2,FALSE)="NO","NO",IF(HLOOKUP(DM$15,Data_5!$F$10:$BG$42,$A65+2,FALSE)="IE","IE",IF(HLOOKUP(DM$15,Data_5!$F$10:$BG$42,$A65+2,FALSE)="NE","NE",IF(HLOOKUP(DM$15,Data_5!$F$10:$BG$42,$A65+2,FALSE)="C","C",IF(HLOOKUP(DM$15,Data_5!$F$10:$BG$42,$A65+2,FALSE)="NO","NO",HLOOKUP(DM$15,Data_5!$F$10:$BG$42,$A65+2,FALSE)/Data_5!$BK60))))),"")</f>
        <v/>
      </c>
      <c r="DN65" s="1122" t="str">
        <f>IFERROR(IF(HLOOKUP(DN$15,Data_5!$F$10:$BG$42,$A65+2,FALSE)="NO","NO",IF(HLOOKUP(DN$15,Data_5!$F$10:$BG$42,$A65+2,FALSE)="IE","IE",IF(HLOOKUP(DN$15,Data_5!$F$10:$BG$42,$A65+2,FALSE)="NE","NE",IF(HLOOKUP(DN$15,Data_5!$F$10:$BG$42,$A65+2,FALSE)="C","C",IF(HLOOKUP(DN$15,Data_5!$F$10:$BG$42,$A65+2,FALSE)="NO","NO",HLOOKUP(DN$15,Data_5!$F$10:$BG$42,$A65+2,FALSE)/Data_5!$BK60))))),"")</f>
        <v/>
      </c>
      <c r="DO65" s="1122" t="str">
        <f>IFERROR(IF(HLOOKUP(DO$15,Data_5!$F$10:$BG$42,$A65+2,FALSE)="NO","NO",IF(HLOOKUP(DO$15,Data_5!$F$10:$BG$42,$A65+2,FALSE)="IE","IE",IF(HLOOKUP(DO$15,Data_5!$F$10:$BG$42,$A65+2,FALSE)="NE","NE",IF(HLOOKUP(DO$15,Data_5!$F$10:$BG$42,$A65+2,FALSE)="C","C",IF(HLOOKUP(DO$15,Data_5!$F$10:$BG$42,$A65+2,FALSE)="NO","NO",HLOOKUP(DO$15,Data_5!$F$10:$BG$42,$A65+2,FALSE)/Data_5!$BK60))))),"")</f>
        <v/>
      </c>
    </row>
    <row r="66" spans="1:119" ht="15" customHeight="1">
      <c r="A66" s="1789">
        <v>50</v>
      </c>
      <c r="B66" s="2630" t="str">
        <f ca="1">IF(Data_5!B61&lt;&gt;"",Data_5!B61,"")</f>
        <v/>
      </c>
      <c r="C66" s="2631"/>
      <c r="D66" s="1462">
        <f ca="1">IFERROR(VLOOKUP($B66,Data_5!$B$12:$C$42,2,FALSE),"")</f>
        <v>0</v>
      </c>
      <c r="E66" s="1122" t="str">
        <f>IFERROR(IF(HLOOKUP(E$15,Data_5!$F$10:$BG$42,$A66+2,FALSE)="NO","NO",IF(HLOOKUP(E$15,Data_5!$F$10:$BG$42,$A66+2,FALSE)="IE","IE",IF(HLOOKUP(E$15,Data_5!$F$10:$BG$42,$A66+2,FALSE)="NE","NE",IF(HLOOKUP(E$15,Data_5!$F$10:$BG$42,$A66+2,FALSE)="C","C",IF(HLOOKUP(E$15,Data_5!$F$10:$BG$42,$A66+2,FALSE)="NO","NO",HLOOKUP(E$15,Data_5!$F$10:$BG$42,$A66+2,FALSE)/Data_5!$BH61))))),"")</f>
        <v/>
      </c>
      <c r="F66" s="1122" t="str">
        <f>IFERROR(IF(HLOOKUP(F$15,Data_5!$F$10:$BG$42,$A66+2,FALSE)="NO","NO",IF(HLOOKUP(F$15,Data_5!$F$10:$BG$42,$A66+2,FALSE)="IE","IE",IF(HLOOKUP(F$15,Data_5!$F$10:$BG$42,$A66+2,FALSE)="NE","NE",IF(HLOOKUP(F$15,Data_5!$F$10:$BG$42,$A66+2,FALSE)="C","C",IF(HLOOKUP(F$15,Data_5!$F$10:$BG$42,$A66+2,FALSE)="NO","NO",HLOOKUP(F$15,Data_5!$F$10:$BG$42,$A66+2,FALSE)/Data_5!$BH61))))),"")</f>
        <v/>
      </c>
      <c r="G66" s="1122" t="str">
        <f>IFERROR(IF(HLOOKUP(G$15,Data_5!$F$10:$BG$42,$A66+2,FALSE)="NO","NO",IF(HLOOKUP(G$15,Data_5!$F$10:$BG$42,$A66+2,FALSE)="IE","IE",IF(HLOOKUP(G$15,Data_5!$F$10:$BG$42,$A66+2,FALSE)="NE","NE",IF(HLOOKUP(G$15,Data_5!$F$10:$BG$42,$A66+2,FALSE)="C","C",IF(HLOOKUP(G$15,Data_5!$F$10:$BG$42,$A66+2,FALSE)="NO","NO",HLOOKUP(G$15,Data_5!$F$10:$BG$42,$A66+2,FALSE)/Data_5!$BH61))))),"")</f>
        <v/>
      </c>
      <c r="H66" s="1122" t="str">
        <f>IFERROR(IF(HLOOKUP(H$15,Data_5!$F$10:$BG$42,$A66+2,FALSE)="NO","NO",IF(HLOOKUP(H$15,Data_5!$F$10:$BG$42,$A66+2,FALSE)="IE","IE",IF(HLOOKUP(H$15,Data_5!$F$10:$BG$42,$A66+2,FALSE)="NE","NE",IF(HLOOKUP(H$15,Data_5!$F$10:$BG$42,$A66+2,FALSE)="C","C",IF(HLOOKUP(H$15,Data_5!$F$10:$BG$42,$A66+2,FALSE)="NO","NO",HLOOKUP(H$15,Data_5!$F$10:$BG$42,$A66+2,FALSE)/Data_5!$BH61))))),"")</f>
        <v/>
      </c>
      <c r="I66" s="1122" t="str">
        <f>IFERROR(IF(HLOOKUP(I$15,Data_5!$F$10:$BG$42,$A66+2,FALSE)="NO","NO",IF(HLOOKUP(I$15,Data_5!$F$10:$BG$42,$A66+2,FALSE)="IE","IE",IF(HLOOKUP(I$15,Data_5!$F$10:$BG$42,$A66+2,FALSE)="NE","NE",IF(HLOOKUP(I$15,Data_5!$F$10:$BG$42,$A66+2,FALSE)="C","C",IF(HLOOKUP(I$15,Data_5!$F$10:$BG$42,$A66+2,FALSE)="NO","NO",HLOOKUP(I$15,Data_5!$F$10:$BG$42,$A66+2,FALSE)/Data_5!$BH61))))),"")</f>
        <v/>
      </c>
      <c r="J66" s="1122" t="str">
        <f>IFERROR(IF(HLOOKUP(J$15,Data_5!$F$10:$BG$42,$A66+2,FALSE)="NO","NO",IF(HLOOKUP(J$15,Data_5!$F$10:$BG$42,$A66+2,FALSE)="IE","IE",IF(HLOOKUP(J$15,Data_5!$F$10:$BG$42,$A66+2,FALSE)="NE","NE",IF(HLOOKUP(J$15,Data_5!$F$10:$BG$42,$A66+2,FALSE)="C","C",IF(HLOOKUP(J$15,Data_5!$F$10:$BG$42,$A66+2,FALSE)="NO","NO",HLOOKUP(J$15,Data_5!$F$10:$BG$42,$A66+2,FALSE)/Data_5!$BH61))))),"")</f>
        <v/>
      </c>
      <c r="K66" s="1122" t="str">
        <f>IFERROR(IF(HLOOKUP(K$15,Data_5!$F$10:$BG$42,$A66+2,FALSE)="NO","NO",IF(HLOOKUP(K$15,Data_5!$F$10:$BG$42,$A66+2,FALSE)="IE","IE",IF(HLOOKUP(K$15,Data_5!$F$10:$BG$42,$A66+2,FALSE)="NE","NE",IF(HLOOKUP(K$15,Data_5!$F$10:$BG$42,$A66+2,FALSE)="C","C",IF(HLOOKUP(K$15,Data_5!$F$10:$BG$42,$A66+2,FALSE)="NO","NO",HLOOKUP(K$15,Data_5!$F$10:$BG$42,$A66+2,FALSE)/Data_5!$BH61))))),"")</f>
        <v/>
      </c>
      <c r="L66" s="1122" t="str">
        <f>IFERROR(IF(HLOOKUP(L$15,Data_5!$F$10:$BG$42,$A66+2,FALSE)="NO","NO",IF(HLOOKUP(L$15,Data_5!$F$10:$BG$42,$A66+2,FALSE)="IE","IE",IF(HLOOKUP(L$15,Data_5!$F$10:$BG$42,$A66+2,FALSE)="NE","NE",IF(HLOOKUP(L$15,Data_5!$F$10:$BG$42,$A66+2,FALSE)="C","C",IF(HLOOKUP(L$15,Data_5!$F$10:$BG$42,$A66+2,FALSE)="NO","NO",HLOOKUP(L$15,Data_5!$F$10:$BG$42,$A66+2,FALSE)/Data_5!$BH61))))),"")</f>
        <v/>
      </c>
      <c r="M66" s="1122" t="str">
        <f>IFERROR(IF(HLOOKUP(M$15,Data_5!$F$10:$BG$42,$A66+2,FALSE)="NO","NO",IF(HLOOKUP(M$15,Data_5!$F$10:$BG$42,$A66+2,FALSE)="IE","IE",IF(HLOOKUP(M$15,Data_5!$F$10:$BG$42,$A66+2,FALSE)="NE","NE",IF(HLOOKUP(M$15,Data_5!$F$10:$BG$42,$A66+2,FALSE)="C","C",IF(HLOOKUP(M$15,Data_5!$F$10:$BG$42,$A66+2,FALSE)="NO","NO",HLOOKUP(M$15,Data_5!$F$10:$BG$42,$A66+2,FALSE)/Data_5!$BH61))))),"")</f>
        <v/>
      </c>
      <c r="N66" s="1122" t="str">
        <f>IFERROR(IF(HLOOKUP(N$15,Data_5!$F$10:$BG$42,$A66+2,FALSE)="NO","NO",IF(HLOOKUP(N$15,Data_5!$F$10:$BG$42,$A66+2,FALSE)="IE","IE",IF(HLOOKUP(N$15,Data_5!$F$10:$BG$42,$A66+2,FALSE)="NE","NE",IF(HLOOKUP(N$15,Data_5!$F$10:$BG$42,$A66+2,FALSE)="C","C",IF(HLOOKUP(N$15,Data_5!$F$10:$BG$42,$A66+2,FALSE)="NO","NO",HLOOKUP(N$15,Data_5!$F$10:$BG$42,$A66+2,FALSE)/Data_5!$BH61))))),"")</f>
        <v/>
      </c>
      <c r="O66" s="1122" t="str">
        <f>IFERROR(IF(HLOOKUP(O$15,Data_5!$F$10:$BG$42,$A66+2,FALSE)="NO","NO",IF(HLOOKUP(O$15,Data_5!$F$10:$BG$42,$A66+2,FALSE)="IE","IE",IF(HLOOKUP(O$15,Data_5!$F$10:$BG$42,$A66+2,FALSE)="NE","NE",IF(HLOOKUP(O$15,Data_5!$F$10:$BG$42,$A66+2,FALSE)="C","C",IF(HLOOKUP(O$15,Data_5!$F$10:$BG$42,$A66+2,FALSE)="NO","NO",HLOOKUP(O$15,Data_5!$F$10:$BG$42,$A66+2,FALSE)/Data_5!$BH61))))),"")</f>
        <v/>
      </c>
      <c r="P66" s="1122" t="str">
        <f>IFERROR(IF(HLOOKUP(P$15,Data_5!$F$10:$BG$42,$A66+2,FALSE)="NO","NO",IF(HLOOKUP(P$15,Data_5!$F$10:$BG$42,$A66+2,FALSE)="IE","IE",IF(HLOOKUP(P$15,Data_5!$F$10:$BG$42,$A66+2,FALSE)="NE","NE",IF(HLOOKUP(P$15,Data_5!$F$10:$BG$42,$A66+2,FALSE)="C","C",IF(HLOOKUP(P$15,Data_5!$F$10:$BG$42,$A66+2,FALSE)="NO","NO",HLOOKUP(P$15,Data_5!$F$10:$BG$42,$A66+2,FALSE)/Data_5!$BH61))))),"")</f>
        <v/>
      </c>
      <c r="Q66" s="1122" t="str">
        <f>IFERROR(IF(HLOOKUP(Q$15,Data_5!$F$10:$BG$42,$A66+2,FALSE)="NO","NO",IF(HLOOKUP(Q$15,Data_5!$F$10:$BG$42,$A66+2,FALSE)="IE","IE",IF(HLOOKUP(Q$15,Data_5!$F$10:$BG$42,$A66+2,FALSE)="NE","NE",IF(HLOOKUP(Q$15,Data_5!$F$10:$BG$42,$A66+2,FALSE)="C","C",IF(HLOOKUP(Q$15,Data_5!$F$10:$BG$42,$A66+2,FALSE)="NO","NO",HLOOKUP(Q$15,Data_5!$F$10:$BG$42,$A66+2,FALSE)/Data_5!$BH61))))),"")</f>
        <v/>
      </c>
      <c r="R66" s="1122" t="str">
        <f>IFERROR(IF(HLOOKUP(R$15,Data_5!$F$10:$BG$42,$A66+2,FALSE)="NO","NO",IF(HLOOKUP(R$15,Data_5!$F$10:$BG$42,$A66+2,FALSE)="IE","IE",IF(HLOOKUP(R$15,Data_5!$F$10:$BG$42,$A66+2,FALSE)="NE","NE",IF(HLOOKUP(R$15,Data_5!$F$10:$BG$42,$A66+2,FALSE)="C","C",IF(HLOOKUP(R$15,Data_5!$F$10:$BG$42,$A66+2,FALSE)="NO","NO",HLOOKUP(R$15,Data_5!$F$10:$BG$42,$A66+2,FALSE)/Data_5!$BH61))))),"")</f>
        <v/>
      </c>
      <c r="S66" s="1122" t="str">
        <f>IFERROR(IF(HLOOKUP(S$15,Data_5!$F$10:$BG$42,$A66+2,FALSE)="NO","NO",IF(HLOOKUP(S$15,Data_5!$F$10:$BG$42,$A66+2,FALSE)="IE","IE",IF(HLOOKUP(S$15,Data_5!$F$10:$BG$42,$A66+2,FALSE)="NE","NE",IF(HLOOKUP(S$15,Data_5!$F$10:$BG$42,$A66+2,FALSE)="C","C",IF(HLOOKUP(S$15,Data_5!$F$10:$BG$42,$A66+2,FALSE)="NO","NO",HLOOKUP(S$15,Data_5!$F$10:$BG$42,$A66+2,FALSE)/Data_5!$BH61))))),"")</f>
        <v/>
      </c>
      <c r="T66" s="1122" t="str">
        <f>IFERROR(IF(HLOOKUP(T$15,Data_5!$F$10:$BG$42,$A66+2,FALSE)="NO","NO",IF(HLOOKUP(T$15,Data_5!$F$10:$BG$42,$A66+2,FALSE)="IE","IE",IF(HLOOKUP(T$15,Data_5!$F$10:$BG$42,$A66+2,FALSE)="NE","NE",IF(HLOOKUP(T$15,Data_5!$F$10:$BG$42,$A66+2,FALSE)="C","C",IF(HLOOKUP(T$15,Data_5!$F$10:$BG$42,$A66+2,FALSE)="NO","NO",HLOOKUP(T$15,Data_5!$F$10:$BG$42,$A66+2,FALSE)/Data_5!$BH61))))),"")</f>
        <v/>
      </c>
      <c r="U66" s="1122" t="str">
        <f>IFERROR(IF(HLOOKUP(U$15,Data_5!$F$10:$BG$42,$A66+2,FALSE)="NO","NO",IF(HLOOKUP(U$15,Data_5!$F$10:$BG$42,$A66+2,FALSE)="IE","IE",IF(HLOOKUP(U$15,Data_5!$F$10:$BG$42,$A66+2,FALSE)="NE","NE",IF(HLOOKUP(U$15,Data_5!$F$10:$BG$42,$A66+2,FALSE)="C","C",IF(HLOOKUP(U$15,Data_5!$F$10:$BG$42,$A66+2,FALSE)="NO","NO",HLOOKUP(U$15,Data_5!$F$10:$BG$42,$A66+2,FALSE)/Data_5!$BH61))))),"")</f>
        <v/>
      </c>
      <c r="V66" s="1122" t="str">
        <f>IFERROR(IF(HLOOKUP(V$15,Data_5!$F$10:$BG$42,$A66+2,FALSE)="NO","NO",IF(HLOOKUP(V$15,Data_5!$F$10:$BG$42,$A66+2,FALSE)="IE","IE",IF(HLOOKUP(V$15,Data_5!$F$10:$BG$42,$A66+2,FALSE)="NE","NE",IF(HLOOKUP(V$15,Data_5!$F$10:$BG$42,$A66+2,FALSE)="C","C",IF(HLOOKUP(V$15,Data_5!$F$10:$BG$42,$A66+2,FALSE)="NO","NO",HLOOKUP(V$15,Data_5!$F$10:$BG$42,$A66+2,FALSE)/Data_5!$BH61))))),"")</f>
        <v/>
      </c>
      <c r="W66" s="1122" t="str">
        <f>IFERROR(IF(HLOOKUP(W$15,Data_5!$F$10:$BG$42,$A66+2,FALSE)="NO","NO",IF(HLOOKUP(W$15,Data_5!$F$10:$BG$42,$A66+2,FALSE)="IE","IE",IF(HLOOKUP(W$15,Data_5!$F$10:$BG$42,$A66+2,FALSE)="NE","NE",IF(HLOOKUP(W$15,Data_5!$F$10:$BG$42,$A66+2,FALSE)="C","C",IF(HLOOKUP(W$15,Data_5!$F$10:$BG$42,$A66+2,FALSE)="NO","NO",HLOOKUP(W$15,Data_5!$F$10:$BG$42,$A66+2,FALSE)/Data_5!$BH61))))),"")</f>
        <v/>
      </c>
      <c r="X66" s="1122" t="str">
        <f>IFERROR(IF(HLOOKUP(X$15,Data_5!$F$10:$BG$42,$A66+2,FALSE)="NO","NO",IF(HLOOKUP(X$15,Data_5!$F$10:$BG$42,$A66+2,FALSE)="IE","IE",IF(HLOOKUP(X$15,Data_5!$F$10:$BG$42,$A66+2,FALSE)="NE","NE",IF(HLOOKUP(X$15,Data_5!$F$10:$BG$42,$A66+2,FALSE)="C","C",IF(HLOOKUP(X$15,Data_5!$F$10:$BG$42,$A66+2,FALSE)="NO","NO",HLOOKUP(X$15,Data_5!$F$10:$BG$42,$A66+2,FALSE)/Data_5!$BH61))))),"")</f>
        <v/>
      </c>
      <c r="Y66" s="1122" t="str">
        <f>IFERROR(IF(HLOOKUP(Y$15,Data_5!$F$10:$BG$42,$A66+2,FALSE)="NO","NO",IF(HLOOKUP(Y$15,Data_5!$F$10:$BG$42,$A66+2,FALSE)="IE","IE",IF(HLOOKUP(Y$15,Data_5!$F$10:$BG$42,$A66+2,FALSE)="NE","NE",IF(HLOOKUP(Y$15,Data_5!$F$10:$BG$42,$A66+2,FALSE)="C","C",IF(HLOOKUP(Y$15,Data_5!$F$10:$BG$42,$A66+2,FALSE)="NO","NO",HLOOKUP(Y$15,Data_5!$F$10:$BG$42,$A66+2,FALSE)/Data_5!$BH61))))),"")</f>
        <v/>
      </c>
      <c r="Z66" s="1122" t="str">
        <f>IFERROR(IF(HLOOKUP(Z$15,Data_5!$F$10:$BG$42,$A66+2,FALSE)="NO","NO",IF(HLOOKUP(Z$15,Data_5!$F$10:$BG$42,$A66+2,FALSE)="IE","IE",IF(HLOOKUP(Z$15,Data_5!$F$10:$BG$42,$A66+2,FALSE)="NE","NE",IF(HLOOKUP(Z$15,Data_5!$F$10:$BG$42,$A66+2,FALSE)="C","C",IF(HLOOKUP(Z$15,Data_5!$F$10:$BG$42,$A66+2,FALSE)="NO","NO",HLOOKUP(Z$15,Data_5!$F$10:$BG$42,$A66+2,FALSE)/Data_5!$BH61))))),"")</f>
        <v/>
      </c>
      <c r="AA66" s="1122" t="str">
        <f>IFERROR(IF(HLOOKUP(AA$15,Data_5!$F$10:$BG$42,$A66+2,FALSE)="NO","NO",IF(HLOOKUP(AA$15,Data_5!$F$10:$BG$42,$A66+2,FALSE)="IE","IE",IF(HLOOKUP(AA$15,Data_5!$F$10:$BG$42,$A66+2,FALSE)="NE","NE",IF(HLOOKUP(AA$15,Data_5!$F$10:$BG$42,$A66+2,FALSE)="C","C",IF(HLOOKUP(AA$15,Data_5!$F$10:$BG$42,$A66+2,FALSE)="NO","NO",HLOOKUP(AA$15,Data_5!$F$10:$BG$42,$A66+2,FALSE)/Data_5!$BH61))))),"")</f>
        <v/>
      </c>
      <c r="AB66" s="1122" t="str">
        <f>IFERROR(IF(HLOOKUP(AB$15,Data_5!$F$10:$BG$42,$A66+2,FALSE)="NO","NO",IF(HLOOKUP(AB$15,Data_5!$F$10:$BG$42,$A66+2,FALSE)="IE","IE",IF(HLOOKUP(AB$15,Data_5!$F$10:$BG$42,$A66+2,FALSE)="NE","NE",IF(HLOOKUP(AB$15,Data_5!$F$10:$BG$42,$A66+2,FALSE)="C","C",IF(HLOOKUP(AB$15,Data_5!$F$10:$BG$42,$A66+2,FALSE)="NO","NO",HLOOKUP(AB$15,Data_5!$F$10:$BG$42,$A66+2,FALSE)/Data_5!$BH61))))),"")</f>
        <v/>
      </c>
      <c r="AC66" s="1122" t="str">
        <f>IFERROR(IF(HLOOKUP(AC$15,Data_5!$F$10:$BG$42,$A66+2,FALSE)="NO","NO",IF(HLOOKUP(AC$15,Data_5!$F$10:$BG$42,$A66+2,FALSE)="IE","IE",IF(HLOOKUP(AC$15,Data_5!$F$10:$BG$42,$A66+2,FALSE)="NE","NE",IF(HLOOKUP(AC$15,Data_5!$F$10:$BG$42,$A66+2,FALSE)="C","C",IF(HLOOKUP(AC$15,Data_5!$F$10:$BG$42,$A66+2,FALSE)="NO","NO",HLOOKUP(AC$15,Data_5!$F$10:$BG$42,$A66+2,FALSE)/Data_5!$BH61))))),"")</f>
        <v/>
      </c>
      <c r="AD66" s="1122" t="str">
        <f>IFERROR(IF(HLOOKUP(AD$15,Data_5!$F$10:$BG$42,$A66+2,FALSE)="NO","NO",IF(HLOOKUP(AD$15,Data_5!$F$10:$BG$42,$A66+2,FALSE)="IE","IE",IF(HLOOKUP(AD$15,Data_5!$F$10:$BG$42,$A66+2,FALSE)="NE","NE",IF(HLOOKUP(AD$15,Data_5!$F$10:$BG$42,$A66+2,FALSE)="C","C",IF(HLOOKUP(AD$15,Data_5!$F$10:$BG$42,$A66+2,FALSE)="NO","NO",HLOOKUP(AD$15,Data_5!$F$10:$BG$42,$A66+2,FALSE)/Data_5!$BH61))))),"")</f>
        <v/>
      </c>
      <c r="AE66" s="1122" t="str">
        <f>IFERROR(IF(HLOOKUP(AE$15,Data_5!$F$10:$BG$42,$A66+2,FALSE)="NO","NO",IF(HLOOKUP(AE$15,Data_5!$F$10:$BG$42,$A66+2,FALSE)="IE","IE",IF(HLOOKUP(AE$15,Data_5!$F$10:$BG$42,$A66+2,FALSE)="NE","NE",IF(HLOOKUP(AE$15,Data_5!$F$10:$BG$42,$A66+2,FALSE)="C","C",IF(HLOOKUP(AE$15,Data_5!$F$10:$BG$42,$A66+2,FALSE)="NO","NO",HLOOKUP(AE$15,Data_5!$F$10:$BG$42,$A66+2,FALSE)/Data_5!$BH61))))),"")</f>
        <v/>
      </c>
      <c r="AF66" s="1122" t="str">
        <f>IFERROR(IF(HLOOKUP(AF$15,Data_5!$F$10:$BG$42,$A66+2,FALSE)="NO","NO",IF(HLOOKUP(AF$15,Data_5!$F$10:$BG$42,$A66+2,FALSE)="IE","IE",IF(HLOOKUP(AF$15,Data_5!$F$10:$BG$42,$A66+2,FALSE)="NE","NE",IF(HLOOKUP(AF$15,Data_5!$F$10:$BG$42,$A66+2,FALSE)="C","C",IF(HLOOKUP(AF$15,Data_5!$F$10:$BG$42,$A66+2,FALSE)="NO","NO",HLOOKUP(AF$15,Data_5!$F$10:$BG$42,$A66+2,FALSE)/Data_5!$BH61))))),"")</f>
        <v/>
      </c>
      <c r="AG66" s="1122" t="str">
        <f>IFERROR(IF(HLOOKUP(AG$15,Data_5!$F$10:$BG$42,$A66+2,FALSE)="NO","NO",IF(HLOOKUP(AG$15,Data_5!$F$10:$BG$42,$A66+2,FALSE)="IE","IE",IF(HLOOKUP(AG$15,Data_5!$F$10:$BG$42,$A66+2,FALSE)="NE","NE",IF(HLOOKUP(AG$15,Data_5!$F$10:$BG$42,$A66+2,FALSE)="C","C",IF(HLOOKUP(AG$15,Data_5!$F$10:$BG$42,$A66+2,FALSE)="NO","NO",HLOOKUP(AG$15,Data_5!$F$10:$BG$42,$A66+2,FALSE)/Data_5!$BH61))))),"")</f>
        <v/>
      </c>
      <c r="AH66" s="1122" t="str">
        <f>IFERROR(IF(HLOOKUP(AH$15,Data_5!$F$10:$BG$42,$A66+2,FALSE)="NO","NO",IF(HLOOKUP(AH$15,Data_5!$F$10:$BG$42,$A66+2,FALSE)="IE","IE",IF(HLOOKUP(AH$15,Data_5!$F$10:$BG$42,$A66+2,FALSE)="NE","NE",IF(HLOOKUP(AH$15,Data_5!$F$10:$BG$42,$A66+2,FALSE)="C","C",IF(HLOOKUP(AH$15,Data_5!$F$10:$BG$42,$A66+2,FALSE)="NO","NO",HLOOKUP(AH$15,Data_5!$F$10:$BG$42,$A66+2,FALSE)/Data_5!$BH61))))),"")</f>
        <v/>
      </c>
      <c r="AI66" s="1122" t="str">
        <f>IFERROR(IF(HLOOKUP(AI$15,Data_5!$F$10:$BG$42,$A66+2,FALSE)="NO","NO",IF(HLOOKUP(AI$15,Data_5!$F$10:$BG$42,$A66+2,FALSE)="IE","IE",IF(HLOOKUP(AI$15,Data_5!$F$10:$BG$42,$A66+2,FALSE)="NE","NE",IF(HLOOKUP(AI$15,Data_5!$F$10:$BG$42,$A66+2,FALSE)="C","C",IF(HLOOKUP(AI$15,Data_5!$F$10:$BG$42,$A66+2,FALSE)="NO","NO",HLOOKUP(AI$15,Data_5!$F$10:$BG$42,$A66+2,FALSE)/Data_5!$BH61))))),"")</f>
        <v/>
      </c>
      <c r="AJ66" s="1122" t="str">
        <f>IFERROR(IF(HLOOKUP(AJ$15,Data_5!$F$10:$BG$42,$A66+2,FALSE)="NO","NO",IF(HLOOKUP(AJ$15,Data_5!$F$10:$BG$42,$A66+2,FALSE)="IE","IE",IF(HLOOKUP(AJ$15,Data_5!$F$10:$BG$42,$A66+2,FALSE)="NE","NE",IF(HLOOKUP(AJ$15,Data_5!$F$10:$BG$42,$A66+2,FALSE)="C","C",IF(HLOOKUP(AJ$15,Data_5!$F$10:$BG$42,$A66+2,FALSE)="NO","NO",HLOOKUP(AJ$15,Data_5!$F$10:$BG$42,$A66+2,FALSE)/Data_5!$BH61))))),"")</f>
        <v/>
      </c>
      <c r="AL66" s="2628" t="str">
        <f t="shared" ca="1" si="0"/>
        <v/>
      </c>
      <c r="AM66" s="2629"/>
      <c r="AN66" s="1100" t="str">
        <f t="shared" ca="1" si="1"/>
        <v/>
      </c>
      <c r="AO66" s="1122" t="str">
        <f>IFERROR(IF(HLOOKUP(AO$15,Data_5!$F$10:$BG$42,$A66+2,FALSE)="NO","NO",IF(HLOOKUP(AO$15,Data_5!$F$10:$BG$42,$A66+2,FALSE)="IE","IE",IF(HLOOKUP(AO$15,Data_5!$F$10:$BG$42,$A66+2,FALSE)="NE","NE",IF(HLOOKUP(AO$15,Data_5!$F$10:$BG$42,$A66+2,FALSE)="C","C",IF(HLOOKUP(AO$15,Data_5!$F$10:$BG$42,$A66+2,FALSE)="NO","NO",HLOOKUP(AO$15,Data_5!$F$10:$BG$42,$A66+2,FALSE)/Data_5!$BI61))))),"")</f>
        <v/>
      </c>
      <c r="AP66" s="1122" t="str">
        <f>IFERROR(IF(HLOOKUP(AP$15,Data_5!$F$10:$BG$42,$A66+2,FALSE)="NO","NO",IF(HLOOKUP(AP$15,Data_5!$F$10:$BG$42,$A66+2,FALSE)="IE","IE",IF(HLOOKUP(AP$15,Data_5!$F$10:$BG$42,$A66+2,FALSE)="NE","NE",IF(HLOOKUP(AP$15,Data_5!$F$10:$BG$42,$A66+2,FALSE)="C","C",IF(HLOOKUP(AP$15,Data_5!$F$10:$BG$42,$A66+2,FALSE)="NO","NO",HLOOKUP(AP$15,Data_5!$F$10:$BG$42,$A66+2,FALSE)/Data_5!$BI61))))),"")</f>
        <v/>
      </c>
      <c r="AQ66" s="1122" t="str">
        <f>IFERROR(IF(HLOOKUP(AQ$15,Data_5!$F$10:$BG$42,$A66+2,FALSE)="NO","NO",IF(HLOOKUP(AQ$15,Data_5!$F$10:$BG$42,$A66+2,FALSE)="IE","IE",IF(HLOOKUP(AQ$15,Data_5!$F$10:$BG$42,$A66+2,FALSE)="NE","NE",IF(HLOOKUP(AQ$15,Data_5!$F$10:$BG$42,$A66+2,FALSE)="C","C",IF(HLOOKUP(AQ$15,Data_5!$F$10:$BG$42,$A66+2,FALSE)="NO","NO",HLOOKUP(AQ$15,Data_5!$F$10:$BG$42,$A66+2,FALSE)/Data_5!$BI61))))),"")</f>
        <v/>
      </c>
      <c r="AR66" s="1122" t="str">
        <f>IFERROR(IF(HLOOKUP(AR$15,Data_5!$F$10:$BG$42,$A66+2,FALSE)="NO","NO",IF(HLOOKUP(AR$15,Data_5!$F$10:$BG$42,$A66+2,FALSE)="IE","IE",IF(HLOOKUP(AR$15,Data_5!$F$10:$BG$42,$A66+2,FALSE)="NE","NE",IF(HLOOKUP(AR$15,Data_5!$F$10:$BG$42,$A66+2,FALSE)="C","C",IF(HLOOKUP(AR$15,Data_5!$F$10:$BG$42,$A66+2,FALSE)="NO","NO",HLOOKUP(AR$15,Data_5!$F$10:$BG$42,$A66+2,FALSE)/Data_5!$BI61))))),"")</f>
        <v/>
      </c>
      <c r="AS66" s="1122" t="str">
        <f>IFERROR(IF(HLOOKUP(AS$15,Data_5!$F$10:$BG$42,$A66+2,FALSE)="NO","NO",IF(HLOOKUP(AS$15,Data_5!$F$10:$BG$42,$A66+2,FALSE)="IE","IE",IF(HLOOKUP(AS$15,Data_5!$F$10:$BG$42,$A66+2,FALSE)="NE","NE",IF(HLOOKUP(AS$15,Data_5!$F$10:$BG$42,$A66+2,FALSE)="C","C",IF(HLOOKUP(AS$15,Data_5!$F$10:$BG$42,$A66+2,FALSE)="NO","NO",HLOOKUP(AS$15,Data_5!$F$10:$BG$42,$A66+2,FALSE)/Data_5!$BI61))))),"")</f>
        <v/>
      </c>
      <c r="AT66" s="1122" t="str">
        <f>IFERROR(IF(HLOOKUP(AT$15,Data_5!$F$10:$BG$42,$A66+2,FALSE)="NO","NO",IF(HLOOKUP(AT$15,Data_5!$F$10:$BG$42,$A66+2,FALSE)="IE","IE",IF(HLOOKUP(AT$15,Data_5!$F$10:$BG$42,$A66+2,FALSE)="NE","NE",IF(HLOOKUP(AT$15,Data_5!$F$10:$BG$42,$A66+2,FALSE)="C","C",IF(HLOOKUP(AT$15,Data_5!$F$10:$BG$42,$A66+2,FALSE)="NO","NO",HLOOKUP(AT$15,Data_5!$F$10:$BG$42,$A66+2,FALSE)/Data_5!$BI61))))),"")</f>
        <v/>
      </c>
      <c r="AU66" s="1122" t="str">
        <f>IFERROR(IF(HLOOKUP(AU$15,Data_5!$F$10:$BG$42,$A66+2,FALSE)="NO","NO",IF(HLOOKUP(AU$15,Data_5!$F$10:$BG$42,$A66+2,FALSE)="IE","IE",IF(HLOOKUP(AU$15,Data_5!$F$10:$BG$42,$A66+2,FALSE)="NE","NE",IF(HLOOKUP(AU$15,Data_5!$F$10:$BG$42,$A66+2,FALSE)="C","C",IF(HLOOKUP(AU$15,Data_5!$F$10:$BG$42,$A66+2,FALSE)="NO","NO",HLOOKUP(AU$15,Data_5!$F$10:$BG$42,$A66+2,FALSE)/Data_5!$BI61))))),"")</f>
        <v/>
      </c>
      <c r="AV66" s="1122" t="str">
        <f>IFERROR(IF(HLOOKUP(AV$15,Data_5!$F$10:$BG$42,$A66+2,FALSE)="NO","NO",IF(HLOOKUP(AV$15,Data_5!$F$10:$BG$42,$A66+2,FALSE)="IE","IE",IF(HLOOKUP(AV$15,Data_5!$F$10:$BG$42,$A66+2,FALSE)="NE","NE",IF(HLOOKUP(AV$15,Data_5!$F$10:$BG$42,$A66+2,FALSE)="C","C",IF(HLOOKUP(AV$15,Data_5!$F$10:$BG$42,$A66+2,FALSE)="NO","NO",HLOOKUP(AV$15,Data_5!$F$10:$BG$42,$A66+2,FALSE)/Data_5!$BI61))))),"")</f>
        <v/>
      </c>
      <c r="AW66" s="1122" t="str">
        <f>IFERROR(IF(HLOOKUP(AW$15,Data_5!$F$10:$BG$42,$A66+2,FALSE)="NO","NO",IF(HLOOKUP(AW$15,Data_5!$F$10:$BG$42,$A66+2,FALSE)="IE","IE",IF(HLOOKUP(AW$15,Data_5!$F$10:$BG$42,$A66+2,FALSE)="NE","NE",IF(HLOOKUP(AW$15,Data_5!$F$10:$BG$42,$A66+2,FALSE)="C","C",IF(HLOOKUP(AW$15,Data_5!$F$10:$BG$42,$A66+2,FALSE)="NO","NO",HLOOKUP(AW$15,Data_5!$F$10:$BG$42,$A66+2,FALSE)/Data_5!$BI61))))),"")</f>
        <v/>
      </c>
      <c r="AX66" s="1122" t="str">
        <f>IFERROR(IF(HLOOKUP(AX$15,Data_5!$F$10:$BG$42,$A66+2,FALSE)="NO","NO",IF(HLOOKUP(AX$15,Data_5!$F$10:$BG$42,$A66+2,FALSE)="IE","IE",IF(HLOOKUP(AX$15,Data_5!$F$10:$BG$42,$A66+2,FALSE)="NE","NE",IF(HLOOKUP(AX$15,Data_5!$F$10:$BG$42,$A66+2,FALSE)="C","C",IF(HLOOKUP(AX$15,Data_5!$F$10:$BG$42,$A66+2,FALSE)="NO","NO",HLOOKUP(AX$15,Data_5!$F$10:$BG$42,$A66+2,FALSE)/Data_5!$BI61))))),"")</f>
        <v/>
      </c>
      <c r="AY66" s="1122" t="str">
        <f>IFERROR(IF(HLOOKUP(AY$15,Data_5!$F$10:$BG$42,$A66+2,FALSE)="NO","NO",IF(HLOOKUP(AY$15,Data_5!$F$10:$BG$42,$A66+2,FALSE)="IE","IE",IF(HLOOKUP(AY$15,Data_5!$F$10:$BG$42,$A66+2,FALSE)="NE","NE",IF(HLOOKUP(AY$15,Data_5!$F$10:$BG$42,$A66+2,FALSE)="C","C",IF(HLOOKUP(AY$15,Data_5!$F$10:$BG$42,$A66+2,FALSE)="NO","NO",HLOOKUP(AY$15,Data_5!$F$10:$BG$42,$A66+2,FALSE)/Data_5!$BI61))))),"")</f>
        <v/>
      </c>
      <c r="AZ66" s="1122" t="str">
        <f>IFERROR(IF(HLOOKUP(AZ$15,Data_5!$F$10:$BG$42,$A66+2,FALSE)="NO","NO",IF(HLOOKUP(AZ$15,Data_5!$F$10:$BG$42,$A66+2,FALSE)="IE","IE",IF(HLOOKUP(AZ$15,Data_5!$F$10:$BG$42,$A66+2,FALSE)="NE","NE",IF(HLOOKUP(AZ$15,Data_5!$F$10:$BG$42,$A66+2,FALSE)="C","C",IF(HLOOKUP(AZ$15,Data_5!$F$10:$BG$42,$A66+2,FALSE)="NO","NO",HLOOKUP(AZ$15,Data_5!$F$10:$BG$42,$A66+2,FALSE)/Data_5!$BI61))))),"")</f>
        <v/>
      </c>
      <c r="BA66" s="1122" t="str">
        <f>IFERROR(IF(HLOOKUP(BA$15,Data_5!$F$10:$BG$42,$A66+2,FALSE)="NO","NO",IF(HLOOKUP(BA$15,Data_5!$F$10:$BG$42,$A66+2,FALSE)="IE","IE",IF(HLOOKUP(BA$15,Data_5!$F$10:$BG$42,$A66+2,FALSE)="NE","NE",IF(HLOOKUP(BA$15,Data_5!$F$10:$BG$42,$A66+2,FALSE)="C","C",IF(HLOOKUP(BA$15,Data_5!$F$10:$BG$42,$A66+2,FALSE)="NO","NO",HLOOKUP(BA$15,Data_5!$F$10:$BG$42,$A66+2,FALSE)/Data_5!$BI61))))),"")</f>
        <v/>
      </c>
      <c r="BB66" s="1122" t="str">
        <f>IFERROR(IF(HLOOKUP(BB$15,Data_5!$F$10:$BG$42,$A66+2,FALSE)="NO","NO",IF(HLOOKUP(BB$15,Data_5!$F$10:$BG$42,$A66+2,FALSE)="IE","IE",IF(HLOOKUP(BB$15,Data_5!$F$10:$BG$42,$A66+2,FALSE)="NE","NE",IF(HLOOKUP(BB$15,Data_5!$F$10:$BG$42,$A66+2,FALSE)="C","C",IF(HLOOKUP(BB$15,Data_5!$F$10:$BG$42,$A66+2,FALSE)="NO","NO",HLOOKUP(BB$15,Data_5!$F$10:$BG$42,$A66+2,FALSE)/Data_5!$BI61))))),"")</f>
        <v/>
      </c>
      <c r="BC66" s="1122" t="str">
        <f>IFERROR(IF(HLOOKUP(BC$15,Data_5!$F$10:$BG$42,$A66+2,FALSE)="NO","NO",IF(HLOOKUP(BC$15,Data_5!$F$10:$BG$42,$A66+2,FALSE)="IE","IE",IF(HLOOKUP(BC$15,Data_5!$F$10:$BG$42,$A66+2,FALSE)="NE","NE",IF(HLOOKUP(BC$15,Data_5!$F$10:$BG$42,$A66+2,FALSE)="C","C",IF(HLOOKUP(BC$15,Data_5!$F$10:$BG$42,$A66+2,FALSE)="NO","NO",HLOOKUP(BC$15,Data_5!$F$10:$BG$42,$A66+2,FALSE)/Data_5!$BI61))))),"")</f>
        <v/>
      </c>
      <c r="BD66" s="1122" t="str">
        <f>IFERROR(IF(HLOOKUP(BD$15,Data_5!$F$10:$BG$42,$A66+2,FALSE)="NO","NO",IF(HLOOKUP(BD$15,Data_5!$F$10:$BG$42,$A66+2,FALSE)="IE","IE",IF(HLOOKUP(BD$15,Data_5!$F$10:$BG$42,$A66+2,FALSE)="NE","NE",IF(HLOOKUP(BD$15,Data_5!$F$10:$BG$42,$A66+2,FALSE)="C","C",IF(HLOOKUP(BD$15,Data_5!$F$10:$BG$42,$A66+2,FALSE)="NO","NO",HLOOKUP(BD$15,Data_5!$F$10:$BG$42,$A66+2,FALSE)/Data_5!$BI61))))),"")</f>
        <v/>
      </c>
      <c r="BE66" s="1122" t="str">
        <f>IFERROR(IF(HLOOKUP(BE$15,Data_5!$F$10:$BG$42,$A66+2,FALSE)="NO","NO",IF(HLOOKUP(BE$15,Data_5!$F$10:$BG$42,$A66+2,FALSE)="IE","IE",IF(HLOOKUP(BE$15,Data_5!$F$10:$BG$42,$A66+2,FALSE)="NE","NE",IF(HLOOKUP(BE$15,Data_5!$F$10:$BG$42,$A66+2,FALSE)="C","C",IF(HLOOKUP(BE$15,Data_5!$F$10:$BG$42,$A66+2,FALSE)="NO","NO",HLOOKUP(BE$15,Data_5!$F$10:$BG$42,$A66+2,FALSE)/Data_5!$BI61))))),"")</f>
        <v/>
      </c>
      <c r="BF66" s="1122" t="str">
        <f>IFERROR(IF(HLOOKUP(BF$15,Data_5!$F$10:$BG$42,$A66+2,FALSE)="NO","NO",IF(HLOOKUP(BF$15,Data_5!$F$10:$BG$42,$A66+2,FALSE)="IE","IE",IF(HLOOKUP(BF$15,Data_5!$F$10:$BG$42,$A66+2,FALSE)="NE","NE",IF(HLOOKUP(BF$15,Data_5!$F$10:$BG$42,$A66+2,FALSE)="C","C",IF(HLOOKUP(BF$15,Data_5!$F$10:$BG$42,$A66+2,FALSE)="NO","NO",HLOOKUP(BF$15,Data_5!$F$10:$BG$42,$A66+2,FALSE)/Data_5!$BI61))))),"")</f>
        <v/>
      </c>
      <c r="BG66" s="1122" t="str">
        <f>IFERROR(IF(HLOOKUP(BG$15,Data_5!$F$10:$BG$42,$A66+2,FALSE)="NO","NO",IF(HLOOKUP(BG$15,Data_5!$F$10:$BG$42,$A66+2,FALSE)="IE","IE",IF(HLOOKUP(BG$15,Data_5!$F$10:$BG$42,$A66+2,FALSE)="NE","NE",IF(HLOOKUP(BG$15,Data_5!$F$10:$BG$42,$A66+2,FALSE)="C","C",IF(HLOOKUP(BG$15,Data_5!$F$10:$BG$42,$A66+2,FALSE)="NO","NO",HLOOKUP(BG$15,Data_5!$F$10:$BG$42,$A66+2,FALSE)/Data_5!$BI61))))),"")</f>
        <v/>
      </c>
      <c r="BH66" s="1122" t="str">
        <f>IFERROR(IF(HLOOKUP(BH$15,Data_5!$F$10:$BG$42,$A66+2,FALSE)="NO","NO",IF(HLOOKUP(BH$15,Data_5!$F$10:$BG$42,$A66+2,FALSE)="IE","IE",IF(HLOOKUP(BH$15,Data_5!$F$10:$BG$42,$A66+2,FALSE)="NE","NE",IF(HLOOKUP(BH$15,Data_5!$F$10:$BG$42,$A66+2,FALSE)="C","C",IF(HLOOKUP(BH$15,Data_5!$F$10:$BG$42,$A66+2,FALSE)="NO","NO",HLOOKUP(BH$15,Data_5!$F$10:$BG$42,$A66+2,FALSE)/Data_5!$BI61))))),"")</f>
        <v/>
      </c>
      <c r="BI66" s="1122" t="str">
        <f>IFERROR(IF(HLOOKUP(BI$15,Data_5!$F$10:$BG$42,$A66+2,FALSE)="NO","NO",IF(HLOOKUP(BI$15,Data_5!$F$10:$BG$42,$A66+2,FALSE)="IE","IE",IF(HLOOKUP(BI$15,Data_5!$F$10:$BG$42,$A66+2,FALSE)="NE","NE",IF(HLOOKUP(BI$15,Data_5!$F$10:$BG$42,$A66+2,FALSE)="C","C",IF(HLOOKUP(BI$15,Data_5!$F$10:$BG$42,$A66+2,FALSE)="NO","NO",HLOOKUP(BI$15,Data_5!$F$10:$BG$42,$A66+2,FALSE)/Data_5!$BI61))))),"")</f>
        <v/>
      </c>
      <c r="BJ66" s="1122" t="str">
        <f>IFERROR(IF(HLOOKUP(BJ$15,Data_5!$F$10:$BG$42,$A66+2,FALSE)="NO","NO",IF(HLOOKUP(BJ$15,Data_5!$F$10:$BG$42,$A66+2,FALSE)="IE","IE",IF(HLOOKUP(BJ$15,Data_5!$F$10:$BG$42,$A66+2,FALSE)="NE","NE",IF(HLOOKUP(BJ$15,Data_5!$F$10:$BG$42,$A66+2,FALSE)="C","C",IF(HLOOKUP(BJ$15,Data_5!$F$10:$BG$42,$A66+2,FALSE)="NO","NO",HLOOKUP(BJ$15,Data_5!$F$10:$BG$42,$A66+2,FALSE)/Data_5!$BI61))))),"")</f>
        <v/>
      </c>
      <c r="BK66" s="1122" t="str">
        <f>IFERROR(IF(HLOOKUP(BK$15,Data_5!$F$10:$BG$42,$A66+2,FALSE)="NO","NO",IF(HLOOKUP(BK$15,Data_5!$F$10:$BG$42,$A66+2,FALSE)="IE","IE",IF(HLOOKUP(BK$15,Data_5!$F$10:$BG$42,$A66+2,FALSE)="NE","NE",IF(HLOOKUP(BK$15,Data_5!$F$10:$BG$42,$A66+2,FALSE)="C","C",IF(HLOOKUP(BK$15,Data_5!$F$10:$BG$42,$A66+2,FALSE)="NO","NO",HLOOKUP(BK$15,Data_5!$F$10:$BG$42,$A66+2,FALSE)/Data_5!$BI61))))),"")</f>
        <v/>
      </c>
      <c r="BL66" s="1122" t="str">
        <f>IFERROR(IF(HLOOKUP(BL$15,Data_5!$F$10:$BG$42,$A66+2,FALSE)="NO","NO",IF(HLOOKUP(BL$15,Data_5!$F$10:$BG$42,$A66+2,FALSE)="IE","IE",IF(HLOOKUP(BL$15,Data_5!$F$10:$BG$42,$A66+2,FALSE)="NE","NE",IF(HLOOKUP(BL$15,Data_5!$F$10:$BG$42,$A66+2,FALSE)="C","C",IF(HLOOKUP(BL$15,Data_5!$F$10:$BG$42,$A66+2,FALSE)="NO","NO",HLOOKUP(BL$15,Data_5!$F$10:$BG$42,$A66+2,FALSE)/Data_5!$BI61))))),"")</f>
        <v/>
      </c>
      <c r="BM66" s="1122" t="str">
        <f>IFERROR(IF(HLOOKUP(BM$15,Data_5!$F$10:$BG$42,$A66+2,FALSE)="NO","NO",IF(HLOOKUP(BM$15,Data_5!$F$10:$BG$42,$A66+2,FALSE)="IE","IE",IF(HLOOKUP(BM$15,Data_5!$F$10:$BG$42,$A66+2,FALSE)="NE","NE",IF(HLOOKUP(BM$15,Data_5!$F$10:$BG$42,$A66+2,FALSE)="C","C",IF(HLOOKUP(BM$15,Data_5!$F$10:$BG$42,$A66+2,FALSE)="NO","NO",HLOOKUP(BM$15,Data_5!$F$10:$BG$42,$A66+2,FALSE)/Data_5!$BI61))))),"")</f>
        <v/>
      </c>
      <c r="BN66" s="1122" t="str">
        <f>IFERROR(IF(HLOOKUP(BN$15,Data_5!$F$10:$BG$42,$A66+2,FALSE)="NO","NO",IF(HLOOKUP(BN$15,Data_5!$F$10:$BG$42,$A66+2,FALSE)="IE","IE",IF(HLOOKUP(BN$15,Data_5!$F$10:$BG$42,$A66+2,FALSE)="NE","NE",IF(HLOOKUP(BN$15,Data_5!$F$10:$BG$42,$A66+2,FALSE)="C","C",IF(HLOOKUP(BN$15,Data_5!$F$10:$BG$42,$A66+2,FALSE)="NO","NO",HLOOKUP(BN$15,Data_5!$F$10:$BG$42,$A66+2,FALSE)/Data_5!$BI61))))),"")</f>
        <v/>
      </c>
      <c r="BO66" s="1122" t="str">
        <f>IFERROR(IF(HLOOKUP(BO$15,Data_5!$F$10:$BG$42,$A66+2,FALSE)="NO","NO",IF(HLOOKUP(BO$15,Data_5!$F$10:$BG$42,$A66+2,FALSE)="IE","IE",IF(HLOOKUP(BO$15,Data_5!$F$10:$BG$42,$A66+2,FALSE)="NE","NE",IF(HLOOKUP(BO$15,Data_5!$F$10:$BG$42,$A66+2,FALSE)="C","C",IF(HLOOKUP(BO$15,Data_5!$F$10:$BG$42,$A66+2,FALSE)="NO","NO",HLOOKUP(BO$15,Data_5!$F$10:$BG$42,$A66+2,FALSE)/Data_5!$BI61))))),"")</f>
        <v/>
      </c>
      <c r="BP66" s="1122" t="str">
        <f>IFERROR(IF(HLOOKUP(BP$15,Data_5!$F$10:$BG$42,$A66+2,FALSE)="NO","NO",IF(HLOOKUP(BP$15,Data_5!$F$10:$BG$42,$A66+2,FALSE)="IE","IE",IF(HLOOKUP(BP$15,Data_5!$F$10:$BG$42,$A66+2,FALSE)="NE","NE",IF(HLOOKUP(BP$15,Data_5!$F$10:$BG$42,$A66+2,FALSE)="C","C",IF(HLOOKUP(BP$15,Data_5!$F$10:$BG$42,$A66+2,FALSE)="NO","NO",HLOOKUP(BP$15,Data_5!$F$10:$BG$42,$A66+2,FALSE)/Data_5!$BI61))))),"")</f>
        <v/>
      </c>
      <c r="BQ66" s="1122" t="str">
        <f>IFERROR(IF(HLOOKUP(BQ$15,Data_5!$F$10:$BG$42,$A66+2,FALSE)="NO","NO",IF(HLOOKUP(BQ$15,Data_5!$F$10:$BG$42,$A66+2,FALSE)="IE","IE",IF(HLOOKUP(BQ$15,Data_5!$F$10:$BG$42,$A66+2,FALSE)="NE","NE",IF(HLOOKUP(BQ$15,Data_5!$F$10:$BG$42,$A66+2,FALSE)="C","C",IF(HLOOKUP(BQ$15,Data_5!$F$10:$BG$42,$A66+2,FALSE)="NO","NO",HLOOKUP(BQ$15,Data_5!$F$10:$BG$42,$A66+2,FALSE)/Data_5!$BI61))))),"")</f>
        <v/>
      </c>
      <c r="BR66" s="1122" t="str">
        <f>IFERROR(IF(HLOOKUP(BR$15,Data_5!$F$10:$BG$42,$A66+2,FALSE)="NO","NO",IF(HLOOKUP(BR$15,Data_5!$F$10:$BG$42,$A66+2,FALSE)="IE","IE",IF(HLOOKUP(BR$15,Data_5!$F$10:$BG$42,$A66+2,FALSE)="NE","NE",IF(HLOOKUP(BR$15,Data_5!$F$10:$BG$42,$A66+2,FALSE)="C","C",IF(HLOOKUP(BR$15,Data_5!$F$10:$BG$42,$A66+2,FALSE)="NO","NO",HLOOKUP(BR$15,Data_5!$F$10:$BG$42,$A66+2,FALSE)/Data_5!$BI61))))),"")</f>
        <v/>
      </c>
      <c r="BS66" s="1122" t="str">
        <f>IFERROR(IF(HLOOKUP(BS$15,Data_5!$F$10:$BG$42,$A66+2,FALSE)="NO","NO",IF(HLOOKUP(BS$15,Data_5!$F$10:$BG$42,$A66+2,FALSE)="IE","IE",IF(HLOOKUP(BS$15,Data_5!$F$10:$BG$42,$A66+2,FALSE)="NE","NE",IF(HLOOKUP(BS$15,Data_5!$F$10:$BG$42,$A66+2,FALSE)="C","C",IF(HLOOKUP(BS$15,Data_5!$F$10:$BG$42,$A66+2,FALSE)="NO","NO",HLOOKUP(BS$15,Data_5!$F$10:$BG$42,$A66+2,FALSE)/Data_5!$BI61))))),"")</f>
        <v/>
      </c>
      <c r="BT66" s="1122" t="str">
        <f>IFERROR(IF(HLOOKUP(BT$15,Data_5!$F$10:$BG$42,$A66+2,FALSE)="NO","NO",IF(HLOOKUP(BT$15,Data_5!$F$10:$BG$42,$A66+2,FALSE)="IE","IE",IF(HLOOKUP(BT$15,Data_5!$F$10:$BG$42,$A66+2,FALSE)="NE","NE",IF(HLOOKUP(BT$15,Data_5!$F$10:$BG$42,$A66+2,FALSE)="C","C",IF(HLOOKUP(BT$15,Data_5!$F$10:$BG$42,$A66+2,FALSE)="NO","NO",HLOOKUP(BT$15,Data_5!$F$10:$BG$42,$A66+2,FALSE)/Data_5!$BI61))))),"")</f>
        <v/>
      </c>
      <c r="BU66" s="1122" t="str">
        <f>IFERROR(IF(HLOOKUP(BU$15,Data_5!$F$10:$BG$42,$A66+2,FALSE)="NO","NO",IF(HLOOKUP(BU$15,Data_5!$F$10:$BG$42,$A66+2,FALSE)="IE","IE",IF(HLOOKUP(BU$15,Data_5!$F$10:$BG$42,$A66+2,FALSE)="NE","NE",IF(HLOOKUP(BU$15,Data_5!$F$10:$BG$42,$A66+2,FALSE)="C","C",IF(HLOOKUP(BU$15,Data_5!$F$10:$BG$42,$A66+2,FALSE)="NO","NO",HLOOKUP(BU$15,Data_5!$F$10:$BG$42,$A66+2,FALSE)/Data_5!$BI61))))),"")</f>
        <v/>
      </c>
      <c r="BV66" s="1122" t="str">
        <f>IFERROR(IF(HLOOKUP(BV$15,Data_5!$F$10:$BG$42,$A66+2,FALSE)="NO","NO",IF(HLOOKUP(BV$15,Data_5!$F$10:$BG$42,$A66+2,FALSE)="IE","IE",IF(HLOOKUP(BV$15,Data_5!$F$10:$BG$42,$A66+2,FALSE)="NE","NE",IF(HLOOKUP(BV$15,Data_5!$F$10:$BG$42,$A66+2,FALSE)="C","C",IF(HLOOKUP(BV$15,Data_5!$F$10:$BG$42,$A66+2,FALSE)="NO","NO",HLOOKUP(BV$15,Data_5!$F$10:$BG$42,$A66+2,FALSE)/Data_5!$BI61))))),"")</f>
        <v/>
      </c>
      <c r="BW66" s="1122" t="str">
        <f>IFERROR(IF(HLOOKUP(BW$15,Data_5!$F$10:$BG$42,$A66+2,FALSE)="NO","NO",IF(HLOOKUP(BW$15,Data_5!$F$10:$BG$42,$A66+2,FALSE)="IE","IE",IF(HLOOKUP(BW$15,Data_5!$F$10:$BG$42,$A66+2,FALSE)="NE","NE",IF(HLOOKUP(BW$15,Data_5!$F$10:$BG$42,$A66+2,FALSE)="C","C",IF(HLOOKUP(BW$15,Data_5!$F$10:$BG$42,$A66+2,FALSE)="NO","NO",HLOOKUP(BW$15,Data_5!$F$10:$BG$42,$A66+2,FALSE)/Data_5!$BI61))))),"")</f>
        <v/>
      </c>
      <c r="BX66" s="1122" t="str">
        <f>IFERROR(IF(HLOOKUP(BX$15,Data_5!$F$10:$BG$42,$A66+2,FALSE)="NO","NO",IF(HLOOKUP(BX$15,Data_5!$F$10:$BG$42,$A66+2,FALSE)="IE","IE",IF(HLOOKUP(BX$15,Data_5!$F$10:$BG$42,$A66+2,FALSE)="NE","NE",IF(HLOOKUP(BX$15,Data_5!$F$10:$BG$42,$A66+2,FALSE)="C","C",IF(HLOOKUP(BX$15,Data_5!$F$10:$BG$42,$A66+2,FALSE)="NO","NO",HLOOKUP(BX$15,Data_5!$F$10:$BG$42,$A66+2,FALSE)/Data_5!$BI61))))),"")</f>
        <v/>
      </c>
      <c r="BY66" s="1122" t="str">
        <f>IFERROR(IF(HLOOKUP(BY$15,Data_5!$F$10:$BG$42,$A66+2,FALSE)="NO","NO",IF(HLOOKUP(BY$15,Data_5!$F$10:$BG$42,$A66+2,FALSE)="IE","IE",IF(HLOOKUP(BY$15,Data_5!$F$10:$BG$42,$A66+2,FALSE)="NE","NE",IF(HLOOKUP(BY$15,Data_5!$F$10:$BG$42,$A66+2,FALSE)="C","C",IF(HLOOKUP(BY$15,Data_5!$F$10:$BG$42,$A66+2,FALSE)="NO","NO",HLOOKUP(BY$15,Data_5!$F$10:$BG$42,$A66+2,FALSE)/Data_5!$BI61))))),"")</f>
        <v/>
      </c>
      <c r="BZ66" s="1122" t="str">
        <f>IFERROR(IF(HLOOKUP(BZ$15,Data_5!$F$10:$BG$42,$A66+2,FALSE)="NO","NO",IF(HLOOKUP(BZ$15,Data_5!$F$10:$BG$42,$A66+2,FALSE)="IE","IE",IF(HLOOKUP(BZ$15,Data_5!$F$10:$BG$42,$A66+2,FALSE)="NE","NE",IF(HLOOKUP(BZ$15,Data_5!$F$10:$BG$42,$A66+2,FALSE)="C","C",IF(HLOOKUP(BZ$15,Data_5!$F$10:$BG$42,$A66+2,FALSE)="NO","NO",HLOOKUP(BZ$15,Data_5!$F$10:$BG$42,$A66+2,FALSE)/Data_5!$BI61))))),"")</f>
        <v/>
      </c>
      <c r="CA66" s="1122" t="str">
        <f>IFERROR(IF(HLOOKUP(CA$15,Data_5!$F$10:$BG$42,$A66+2,FALSE)="NO","NO",IF(HLOOKUP(CA$15,Data_5!$F$10:$BG$42,$A66+2,FALSE)="IE","IE",IF(HLOOKUP(CA$15,Data_5!$F$10:$BG$42,$A66+2,FALSE)="NE","NE",IF(HLOOKUP(CA$15,Data_5!$F$10:$BG$42,$A66+2,FALSE)="C","C",IF(HLOOKUP(CA$15,Data_5!$F$10:$BG$42,$A66+2,FALSE)="NO","NO",HLOOKUP(CA$15,Data_5!$F$10:$BG$42,$A66+2,FALSE)/Data_5!$BI61))))),"")</f>
        <v/>
      </c>
      <c r="CB66" s="1122" t="str">
        <f>IFERROR(IF(HLOOKUP(CB$15,Data_5!$F$10:$BG$42,$A66+2,FALSE)="NO","NO",IF(HLOOKUP(CB$15,Data_5!$F$10:$BG$42,$A66+2,FALSE)="IE","IE",IF(HLOOKUP(CB$15,Data_5!$F$10:$BG$42,$A66+2,FALSE)="NE","NE",IF(HLOOKUP(CB$15,Data_5!$F$10:$BG$42,$A66+2,FALSE)="C","C",IF(HLOOKUP(CB$15,Data_5!$F$10:$BG$42,$A66+2,FALSE)="NO","NO",HLOOKUP(CB$15,Data_5!$F$10:$BG$42,$A66+2,FALSE)/Data_5!$BI61))))),"")</f>
        <v/>
      </c>
      <c r="CC66" s="1122" t="str">
        <f>IFERROR(IF(HLOOKUP(CC$15,Data_5!$F$10:$BG$42,$A66+2,FALSE)="NO","NO",IF(HLOOKUP(CC$15,Data_5!$F$10:$BG$42,$A66+2,FALSE)="IE","IE",IF(HLOOKUP(CC$15,Data_5!$F$10:$BG$42,$A66+2,FALSE)="NE","NE",IF(HLOOKUP(CC$15,Data_5!$F$10:$BG$42,$A66+2,FALSE)="C","C",IF(HLOOKUP(CC$15,Data_5!$F$10:$BG$42,$A66+2,FALSE)="NO","NO",HLOOKUP(CC$15,Data_5!$F$10:$BG$42,$A66+2,FALSE)/Data_5!$BI61))))),"")</f>
        <v/>
      </c>
      <c r="CD66" s="1122" t="str">
        <f>IFERROR(IF(HLOOKUP(CD$15,Data_5!$F$10:$BG$42,$A66+2,FALSE)="NO","NO",IF(HLOOKUP(CD$15,Data_5!$F$10:$BG$42,$A66+2,FALSE)="IE","IE",IF(HLOOKUP(CD$15,Data_5!$F$10:$BG$42,$A66+2,FALSE)="NE","NE",IF(HLOOKUP(CD$15,Data_5!$F$10:$BG$42,$A66+2,FALSE)="C","C",IF(HLOOKUP(CD$15,Data_5!$F$10:$BG$42,$A66+2,FALSE)="NO","NO",HLOOKUP(CD$15,Data_5!$F$10:$BG$42,$A66+2,FALSE)/Data_5!$BI61))))),"")</f>
        <v/>
      </c>
      <c r="CE66" s="1122" t="str">
        <f>IFERROR(IF(HLOOKUP(CE$15,Data_5!$F$10:$BG$42,$A66+2,FALSE)="NO","NO",IF(HLOOKUP(CE$15,Data_5!$F$10:$BG$42,$A66+2,FALSE)="IE","IE",IF(HLOOKUP(CE$15,Data_5!$F$10:$BG$42,$A66+2,FALSE)="NE","NE",IF(HLOOKUP(CE$15,Data_5!$F$10:$BG$42,$A66+2,FALSE)="C","C",IF(HLOOKUP(CE$15,Data_5!$F$10:$BG$42,$A66+2,FALSE)="NO","NO",HLOOKUP(CE$15,Data_5!$F$10:$BG$42,$A66+2,FALSE)/Data_5!$BI61))))),"")</f>
        <v/>
      </c>
      <c r="CF66" s="1122" t="str">
        <f>IFERROR(IF(HLOOKUP(CF$15,Data_5!$F$10:$BG$42,$A66+2,FALSE)="NO","NO",IF(HLOOKUP(CF$15,Data_5!$F$10:$BG$42,$A66+2,FALSE)="IE","IE",IF(HLOOKUP(CF$15,Data_5!$F$10:$BG$42,$A66+2,FALSE)="NE","NE",IF(HLOOKUP(CF$15,Data_5!$F$10:$BG$42,$A66+2,FALSE)="C","C",IF(HLOOKUP(CF$15,Data_5!$F$10:$BG$42,$A66+2,FALSE)="NO","NO",HLOOKUP(CF$15,Data_5!$F$10:$BG$42,$A66+2,FALSE)/Data_5!$BI61))))),"")</f>
        <v/>
      </c>
      <c r="CG66" s="1122" t="str">
        <f>IFERROR(IF(HLOOKUP(CG$15,Data_5!$F$10:$BG$42,$A66+2,FALSE)="NO","NO",IF(HLOOKUP(CG$15,Data_5!$F$10:$BG$42,$A66+2,FALSE)="IE","IE",IF(HLOOKUP(CG$15,Data_5!$F$10:$BG$42,$A66+2,FALSE)="NE","NE",IF(HLOOKUP(CG$15,Data_5!$F$10:$BG$42,$A66+2,FALSE)="C","C",IF(HLOOKUP(CG$15,Data_5!$F$10:$BG$42,$A66+2,FALSE)="NO","NO",HLOOKUP(CG$15,Data_5!$F$10:$BG$42,$A66+2,FALSE)/Data_5!$BI61))))),"")</f>
        <v/>
      </c>
      <c r="CH66" s="1122" t="str">
        <f>IFERROR(IF(HLOOKUP(CH$15,Data_5!$F$10:$BG$42,$A66+2,FALSE)="NO","NO",IF(HLOOKUP(CH$15,Data_5!$F$10:$BG$42,$A66+2,FALSE)="IE","IE",IF(HLOOKUP(CH$15,Data_5!$F$10:$BG$42,$A66+2,FALSE)="NE","NE",IF(HLOOKUP(CH$15,Data_5!$F$10:$BG$42,$A66+2,FALSE)="C","C",IF(HLOOKUP(CH$15,Data_5!$F$10:$BG$42,$A66+2,FALSE)="NO","NO",HLOOKUP(CH$15,Data_5!$F$10:$BG$42,$A66+2,FALSE)/Data_5!$BI61))))),"")</f>
        <v/>
      </c>
      <c r="CI66" s="1122" t="str">
        <f>IFERROR(IF(HLOOKUP(CI$15,Data_5!$F$10:$BG$42,$A66+2,FALSE)="NO","NO",IF(HLOOKUP(CI$15,Data_5!$F$10:$BG$42,$A66+2,FALSE)="IE","IE",IF(HLOOKUP(CI$15,Data_5!$F$10:$BG$42,$A66+2,FALSE)="NE","NE",IF(HLOOKUP(CI$15,Data_5!$F$10:$BG$42,$A66+2,FALSE)="C","C",IF(HLOOKUP(CI$15,Data_5!$F$10:$BG$42,$A66+2,FALSE)="NO","NO",HLOOKUP(CI$15,Data_5!$F$10:$BG$42,$A66+2,FALSE)/Data_5!$BI61))))),"")</f>
        <v/>
      </c>
      <c r="CJ66" s="1122" t="str">
        <f>IFERROR(IF(HLOOKUP(CJ$15,Data_5!$F$10:$BG$42,$A66+2,FALSE)="NO","NO",IF(HLOOKUP(CJ$15,Data_5!$F$10:$BG$42,$A66+2,FALSE)="IE","IE",IF(HLOOKUP(CJ$15,Data_5!$F$10:$BG$42,$A66+2,FALSE)="NE","NE",IF(HLOOKUP(CJ$15,Data_5!$F$10:$BG$42,$A66+2,FALSE)="C","C",IF(HLOOKUP(CJ$15,Data_5!$F$10:$BG$42,$A66+2,FALSE)="NO","NO",HLOOKUP(CJ$15,Data_5!$F$10:$BG$42,$A66+2,FALSE)/Data_5!$BI61))))),"")</f>
        <v/>
      </c>
      <c r="CL66" s="2628" t="str">
        <f t="shared" ref="CL66" ca="1" si="8">B66</f>
        <v/>
      </c>
      <c r="CM66" s="2629"/>
      <c r="CN66" s="1100" t="str">
        <f t="shared" ref="CN66" ca="1" si="9">D66</f>
        <v/>
      </c>
      <c r="CO66" s="1122" t="str">
        <f>IFERROR(IF(HLOOKUP(CO$15,Data_5!$F$10:$BG$42,$A66+2,FALSE)="NO","NO",IF(HLOOKUP(CO$15,Data_5!$F$10:$BG$42,$A66+2,FALSE)="IE","IE",IF(HLOOKUP(CO$15,Data_5!$F$10:$BG$42,$A66+2,FALSE)="NE","NE",IF(HLOOKUP(CO$15,Data_5!$F$10:$BG$42,$A66+2,FALSE)="C","C",IF(HLOOKUP(CO$15,Data_5!$F$10:$BG$42,$A66+2,FALSE)="NO","NO",HLOOKUP(CO$15,Data_5!$F$10:$BG$42,$A66+2,FALSE)/Data_5!$BK61))))),"")</f>
        <v/>
      </c>
      <c r="CP66" s="1122" t="str">
        <f>IFERROR(IF(HLOOKUP(CP$15,Data_5!$F$10:$BG$42,$A66+2,FALSE)="NO","NO",IF(HLOOKUP(CP$15,Data_5!$F$10:$BG$42,$A66+2,FALSE)="IE","IE",IF(HLOOKUP(CP$15,Data_5!$F$10:$BG$42,$A66+2,FALSE)="NE","NE",IF(HLOOKUP(CP$15,Data_5!$F$10:$BG$42,$A66+2,FALSE)="C","C",IF(HLOOKUP(CP$15,Data_5!$F$10:$BG$42,$A66+2,FALSE)="NO","NO",HLOOKUP(CP$15,Data_5!$F$10:$BG$42,$A66+2,FALSE)/Data_5!$BK61))))),"")</f>
        <v/>
      </c>
      <c r="CQ66" s="1122" t="str">
        <f>IFERROR(IF(HLOOKUP(CQ$15,Data_5!$F$10:$BG$42,$A66+2,FALSE)="NO","NO",IF(HLOOKUP(CQ$15,Data_5!$F$10:$BG$42,$A66+2,FALSE)="IE","IE",IF(HLOOKUP(CQ$15,Data_5!$F$10:$BG$42,$A66+2,FALSE)="NE","NE",IF(HLOOKUP(CQ$15,Data_5!$F$10:$BG$42,$A66+2,FALSE)="C","C",IF(HLOOKUP(CQ$15,Data_5!$F$10:$BG$42,$A66+2,FALSE)="NO","NO",HLOOKUP(CQ$15,Data_5!$F$10:$BG$42,$A66+2,FALSE)/Data_5!$BK61))))),"")</f>
        <v/>
      </c>
      <c r="CR66" s="1122" t="str">
        <f>IFERROR(IF(HLOOKUP(CR$15,Data_5!$F$10:$BG$42,$A66+2,FALSE)="NO","NO",IF(HLOOKUP(CR$15,Data_5!$F$10:$BG$42,$A66+2,FALSE)="IE","IE",IF(HLOOKUP(CR$15,Data_5!$F$10:$BG$42,$A66+2,FALSE)="NE","NE",IF(HLOOKUP(CR$15,Data_5!$F$10:$BG$42,$A66+2,FALSE)="C","C",IF(HLOOKUP(CR$15,Data_5!$F$10:$BG$42,$A66+2,FALSE)="NO","NO",HLOOKUP(CR$15,Data_5!$F$10:$BG$42,$A66+2,FALSE)/Data_5!$BK61))))),"")</f>
        <v/>
      </c>
      <c r="CS66" s="1122" t="str">
        <f>IFERROR(IF(HLOOKUP(CS$15,Data_5!$F$10:$BG$42,$A66+2,FALSE)="NO","NO",IF(HLOOKUP(CS$15,Data_5!$F$10:$BG$42,$A66+2,FALSE)="IE","IE",IF(HLOOKUP(CS$15,Data_5!$F$10:$BG$42,$A66+2,FALSE)="NE","NE",IF(HLOOKUP(CS$15,Data_5!$F$10:$BG$42,$A66+2,FALSE)="C","C",IF(HLOOKUP(CS$15,Data_5!$F$10:$BG$42,$A66+2,FALSE)="NO","NO",HLOOKUP(CS$15,Data_5!$F$10:$BG$42,$A66+2,FALSE)/Data_5!$BK61))))),"")</f>
        <v/>
      </c>
      <c r="CT66" s="1122" t="str">
        <f>IFERROR(IF(HLOOKUP(CT$15,Data_5!$F$10:$BG$42,$A66+2,FALSE)="NO","NO",IF(HLOOKUP(CT$15,Data_5!$F$10:$BG$42,$A66+2,FALSE)="IE","IE",IF(HLOOKUP(CT$15,Data_5!$F$10:$BG$42,$A66+2,FALSE)="NE","NE",IF(HLOOKUP(CT$15,Data_5!$F$10:$BG$42,$A66+2,FALSE)="C","C",IF(HLOOKUP(CT$15,Data_5!$F$10:$BG$42,$A66+2,FALSE)="NO","NO",HLOOKUP(CT$15,Data_5!$F$10:$BG$42,$A66+2,FALSE)/Data_5!$BK61))))),"")</f>
        <v/>
      </c>
      <c r="CU66" s="1122" t="str">
        <f>IFERROR(IF(HLOOKUP(CU$15,Data_5!$F$10:$BG$42,$A66+2,FALSE)="NO","NO",IF(HLOOKUP(CU$15,Data_5!$F$10:$BG$42,$A66+2,FALSE)="IE","IE",IF(HLOOKUP(CU$15,Data_5!$F$10:$BG$42,$A66+2,FALSE)="NE","NE",IF(HLOOKUP(CU$15,Data_5!$F$10:$BG$42,$A66+2,FALSE)="C","C",IF(HLOOKUP(CU$15,Data_5!$F$10:$BG$42,$A66+2,FALSE)="NO","NO",HLOOKUP(CU$15,Data_5!$F$10:$BG$42,$A66+2,FALSE)/Data_5!$BK61))))),"")</f>
        <v/>
      </c>
      <c r="CV66" s="1122" t="str">
        <f>IFERROR(IF(HLOOKUP(CV$15,Data_5!$F$10:$BG$42,$A66+2,FALSE)="NO","NO",IF(HLOOKUP(CV$15,Data_5!$F$10:$BG$42,$A66+2,FALSE)="IE","IE",IF(HLOOKUP(CV$15,Data_5!$F$10:$BG$42,$A66+2,FALSE)="NE","NE",IF(HLOOKUP(CV$15,Data_5!$F$10:$BG$42,$A66+2,FALSE)="C","C",IF(HLOOKUP(CV$15,Data_5!$F$10:$BG$42,$A66+2,FALSE)="NO","NO",HLOOKUP(CV$15,Data_5!$F$10:$BG$42,$A66+2,FALSE)/Data_5!$BK61))))),"")</f>
        <v/>
      </c>
      <c r="CW66" s="1122" t="str">
        <f>IFERROR(IF(HLOOKUP(CW$15,Data_5!$F$10:$BG$42,$A66+2,FALSE)="NO","NO",IF(HLOOKUP(CW$15,Data_5!$F$10:$BG$42,$A66+2,FALSE)="IE","IE",IF(HLOOKUP(CW$15,Data_5!$F$10:$BG$42,$A66+2,FALSE)="NE","NE",IF(HLOOKUP(CW$15,Data_5!$F$10:$BG$42,$A66+2,FALSE)="C","C",IF(HLOOKUP(CW$15,Data_5!$F$10:$BG$42,$A66+2,FALSE)="NO","NO",HLOOKUP(CW$15,Data_5!$F$10:$BG$42,$A66+2,FALSE)/Data_5!$BK61))))),"")</f>
        <v/>
      </c>
      <c r="CX66" s="1122" t="str">
        <f>IFERROR(IF(HLOOKUP(CX$15,Data_5!$F$10:$BG$42,$A66+2,FALSE)="NO","NO",IF(HLOOKUP(CX$15,Data_5!$F$10:$BG$42,$A66+2,FALSE)="IE","IE",IF(HLOOKUP(CX$15,Data_5!$F$10:$BG$42,$A66+2,FALSE)="NE","NE",IF(HLOOKUP(CX$15,Data_5!$F$10:$BG$42,$A66+2,FALSE)="C","C",IF(HLOOKUP(CX$15,Data_5!$F$10:$BG$42,$A66+2,FALSE)="NO","NO",HLOOKUP(CX$15,Data_5!$F$10:$BG$42,$A66+2,FALSE)/Data_5!$BK61))))),"")</f>
        <v/>
      </c>
      <c r="CY66" s="1122" t="str">
        <f>IFERROR(IF(HLOOKUP(CY$15,Data_5!$F$10:$BG$42,$A66+2,FALSE)="NO","NO",IF(HLOOKUP(CY$15,Data_5!$F$10:$BG$42,$A66+2,FALSE)="IE","IE",IF(HLOOKUP(CY$15,Data_5!$F$10:$BG$42,$A66+2,FALSE)="NE","NE",IF(HLOOKUP(CY$15,Data_5!$F$10:$BG$42,$A66+2,FALSE)="C","C",IF(HLOOKUP(CY$15,Data_5!$F$10:$BG$42,$A66+2,FALSE)="NO","NO",HLOOKUP(CY$15,Data_5!$F$10:$BG$42,$A66+2,FALSE)/Data_5!$BK61))))),"")</f>
        <v/>
      </c>
      <c r="CZ66" s="1122" t="str">
        <f>IFERROR(IF(HLOOKUP(CZ$15,Data_5!$F$10:$BG$42,$A66+2,FALSE)="NO","NO",IF(HLOOKUP(CZ$15,Data_5!$F$10:$BG$42,$A66+2,FALSE)="IE","IE",IF(HLOOKUP(CZ$15,Data_5!$F$10:$BG$42,$A66+2,FALSE)="NE","NE",IF(HLOOKUP(CZ$15,Data_5!$F$10:$BG$42,$A66+2,FALSE)="C","C",IF(HLOOKUP(CZ$15,Data_5!$F$10:$BG$42,$A66+2,FALSE)="NO","NO",HLOOKUP(CZ$15,Data_5!$F$10:$BG$42,$A66+2,FALSE)/Data_5!$BK61))))),"")</f>
        <v/>
      </c>
      <c r="DA66" s="1122" t="str">
        <f>IFERROR(IF(HLOOKUP(DA$15,Data_5!$F$10:$BG$42,$A66+2,FALSE)="NO","NO",IF(HLOOKUP(DA$15,Data_5!$F$10:$BG$42,$A66+2,FALSE)="IE","IE",IF(HLOOKUP(DA$15,Data_5!$F$10:$BG$42,$A66+2,FALSE)="NE","NE",IF(HLOOKUP(DA$15,Data_5!$F$10:$BG$42,$A66+2,FALSE)="C","C",IF(HLOOKUP(DA$15,Data_5!$F$10:$BG$42,$A66+2,FALSE)="NO","NO",HLOOKUP(DA$15,Data_5!$F$10:$BG$42,$A66+2,FALSE)/Data_5!$BK61))))),"")</f>
        <v/>
      </c>
      <c r="DB66" s="1122" t="str">
        <f>IFERROR(IF(HLOOKUP(DB$15,Data_5!$F$10:$BG$42,$A66+2,FALSE)="NO","NO",IF(HLOOKUP(DB$15,Data_5!$F$10:$BG$42,$A66+2,FALSE)="IE","IE",IF(HLOOKUP(DB$15,Data_5!$F$10:$BG$42,$A66+2,FALSE)="NE","NE",IF(HLOOKUP(DB$15,Data_5!$F$10:$BG$42,$A66+2,FALSE)="C","C",IF(HLOOKUP(DB$15,Data_5!$F$10:$BG$42,$A66+2,FALSE)="NO","NO",HLOOKUP(DB$15,Data_5!$F$10:$BG$42,$A66+2,FALSE)/Data_5!$BK61))))),"")</f>
        <v/>
      </c>
      <c r="DC66" s="1122" t="str">
        <f>IFERROR(IF(HLOOKUP(DC$15,Data_5!$F$10:$BG$42,$A66+2,FALSE)="NO","NO",IF(HLOOKUP(DC$15,Data_5!$F$10:$BG$42,$A66+2,FALSE)="IE","IE",IF(HLOOKUP(DC$15,Data_5!$F$10:$BG$42,$A66+2,FALSE)="NE","NE",IF(HLOOKUP(DC$15,Data_5!$F$10:$BG$42,$A66+2,FALSE)="C","C",IF(HLOOKUP(DC$15,Data_5!$F$10:$BG$42,$A66+2,FALSE)="NO","NO",HLOOKUP(DC$15,Data_5!$F$10:$BG$42,$A66+2,FALSE)/Data_5!$BK61))))),"")</f>
        <v/>
      </c>
      <c r="DD66" s="1122" t="str">
        <f>IFERROR(IF(HLOOKUP(DD$15,Data_5!$F$10:$BG$42,$A66+2,FALSE)="NO","NO",IF(HLOOKUP(DD$15,Data_5!$F$10:$BG$42,$A66+2,FALSE)="IE","IE",IF(HLOOKUP(DD$15,Data_5!$F$10:$BG$42,$A66+2,FALSE)="NE","NE",IF(HLOOKUP(DD$15,Data_5!$F$10:$BG$42,$A66+2,FALSE)="C","C",IF(HLOOKUP(DD$15,Data_5!$F$10:$BG$42,$A66+2,FALSE)="NO","NO",HLOOKUP(DD$15,Data_5!$F$10:$BG$42,$A66+2,FALSE)/Data_5!$BK61))))),"")</f>
        <v/>
      </c>
      <c r="DE66" s="1122" t="str">
        <f>IFERROR(IF(HLOOKUP(DE$15,Data_5!$F$10:$BG$42,$A66+2,FALSE)="NO","NO",IF(HLOOKUP(DE$15,Data_5!$F$10:$BG$42,$A66+2,FALSE)="IE","IE",IF(HLOOKUP(DE$15,Data_5!$F$10:$BG$42,$A66+2,FALSE)="NE","NE",IF(HLOOKUP(DE$15,Data_5!$F$10:$BG$42,$A66+2,FALSE)="C","C",IF(HLOOKUP(DE$15,Data_5!$F$10:$BG$42,$A66+2,FALSE)="NO","NO",HLOOKUP(DE$15,Data_5!$F$10:$BG$42,$A66+2,FALSE)/Data_5!$BK61))))),"")</f>
        <v/>
      </c>
      <c r="DF66" s="1122" t="str">
        <f>IFERROR(IF(HLOOKUP(DF$15,Data_5!$F$10:$BG$42,$A66+2,FALSE)="NO","NO",IF(HLOOKUP(DF$15,Data_5!$F$10:$BG$42,$A66+2,FALSE)="IE","IE",IF(HLOOKUP(DF$15,Data_5!$F$10:$BG$42,$A66+2,FALSE)="NE","NE",IF(HLOOKUP(DF$15,Data_5!$F$10:$BG$42,$A66+2,FALSE)="C","C",IF(HLOOKUP(DF$15,Data_5!$F$10:$BG$42,$A66+2,FALSE)="NO","NO",HLOOKUP(DF$15,Data_5!$F$10:$BG$42,$A66+2,FALSE)/Data_5!$BK61))))),"")</f>
        <v/>
      </c>
      <c r="DG66" s="1122" t="str">
        <f>IFERROR(IF(HLOOKUP(DG$15,Data_5!$F$10:$BG$42,$A66+2,FALSE)="NO","NO",IF(HLOOKUP(DG$15,Data_5!$F$10:$BG$42,$A66+2,FALSE)="IE","IE",IF(HLOOKUP(DG$15,Data_5!$F$10:$BG$42,$A66+2,FALSE)="NE","NE",IF(HLOOKUP(DG$15,Data_5!$F$10:$BG$42,$A66+2,FALSE)="C","C",IF(HLOOKUP(DG$15,Data_5!$F$10:$BG$42,$A66+2,FALSE)="NO","NO",HLOOKUP(DG$15,Data_5!$F$10:$BG$42,$A66+2,FALSE)/Data_5!$BK61))))),"")</f>
        <v/>
      </c>
      <c r="DH66" s="1122" t="str">
        <f>IFERROR(IF(HLOOKUP(DH$15,Data_5!$F$10:$BG$42,$A66+2,FALSE)="NO","NO",IF(HLOOKUP(DH$15,Data_5!$F$10:$BG$42,$A66+2,FALSE)="IE","IE",IF(HLOOKUP(DH$15,Data_5!$F$10:$BG$42,$A66+2,FALSE)="NE","NE",IF(HLOOKUP(DH$15,Data_5!$F$10:$BG$42,$A66+2,FALSE)="C","C",IF(HLOOKUP(DH$15,Data_5!$F$10:$BG$42,$A66+2,FALSE)="NO","NO",HLOOKUP(DH$15,Data_5!$F$10:$BG$42,$A66+2,FALSE)/Data_5!$BK61))))),"")</f>
        <v/>
      </c>
      <c r="DI66" s="1122" t="str">
        <f>IFERROR(IF(HLOOKUP(DI$15,Data_5!$F$10:$BG$42,$A66+2,FALSE)="NO","NO",IF(HLOOKUP(DI$15,Data_5!$F$10:$BG$42,$A66+2,FALSE)="IE","IE",IF(HLOOKUP(DI$15,Data_5!$F$10:$BG$42,$A66+2,FALSE)="NE","NE",IF(HLOOKUP(DI$15,Data_5!$F$10:$BG$42,$A66+2,FALSE)="C","C",IF(HLOOKUP(DI$15,Data_5!$F$10:$BG$42,$A66+2,FALSE)="NO","NO",HLOOKUP(DI$15,Data_5!$F$10:$BG$42,$A66+2,FALSE)/Data_5!$BK61))))),"")</f>
        <v/>
      </c>
      <c r="DJ66" s="1122" t="str">
        <f>IFERROR(IF(HLOOKUP(DJ$15,Data_5!$F$10:$BG$42,$A66+2,FALSE)="NO","NO",IF(HLOOKUP(DJ$15,Data_5!$F$10:$BG$42,$A66+2,FALSE)="IE","IE",IF(HLOOKUP(DJ$15,Data_5!$F$10:$BG$42,$A66+2,FALSE)="NE","NE",IF(HLOOKUP(DJ$15,Data_5!$F$10:$BG$42,$A66+2,FALSE)="C","C",IF(HLOOKUP(DJ$15,Data_5!$F$10:$BG$42,$A66+2,FALSE)="NO","NO",HLOOKUP(DJ$15,Data_5!$F$10:$BG$42,$A66+2,FALSE)/Data_5!$BK61))))),"")</f>
        <v/>
      </c>
      <c r="DK66" s="1122" t="str">
        <f>IFERROR(IF(HLOOKUP(DK$15,Data_5!$F$10:$BG$42,$A66+2,FALSE)="NO","NO",IF(HLOOKUP(DK$15,Data_5!$F$10:$BG$42,$A66+2,FALSE)="IE","IE",IF(HLOOKUP(DK$15,Data_5!$F$10:$BG$42,$A66+2,FALSE)="NE","NE",IF(HLOOKUP(DK$15,Data_5!$F$10:$BG$42,$A66+2,FALSE)="C","C",IF(HLOOKUP(DK$15,Data_5!$F$10:$BG$42,$A66+2,FALSE)="NO","NO",HLOOKUP(DK$15,Data_5!$F$10:$BG$42,$A66+2,FALSE)/Data_5!$BK61))))),"")</f>
        <v/>
      </c>
      <c r="DL66" s="1122" t="str">
        <f>IFERROR(IF(HLOOKUP(DL$15,Data_5!$F$10:$BG$42,$A66+2,FALSE)="NO","NO",IF(HLOOKUP(DL$15,Data_5!$F$10:$BG$42,$A66+2,FALSE)="IE","IE",IF(HLOOKUP(DL$15,Data_5!$F$10:$BG$42,$A66+2,FALSE)="NE","NE",IF(HLOOKUP(DL$15,Data_5!$F$10:$BG$42,$A66+2,FALSE)="C","C",IF(HLOOKUP(DL$15,Data_5!$F$10:$BG$42,$A66+2,FALSE)="NO","NO",HLOOKUP(DL$15,Data_5!$F$10:$BG$42,$A66+2,FALSE)/Data_5!$BK61))))),"")</f>
        <v/>
      </c>
      <c r="DM66" s="1122" t="str">
        <f>IFERROR(IF(HLOOKUP(DM$15,Data_5!$F$10:$BG$42,$A66+2,FALSE)="NO","NO",IF(HLOOKUP(DM$15,Data_5!$F$10:$BG$42,$A66+2,FALSE)="IE","IE",IF(HLOOKUP(DM$15,Data_5!$F$10:$BG$42,$A66+2,FALSE)="NE","NE",IF(HLOOKUP(DM$15,Data_5!$F$10:$BG$42,$A66+2,FALSE)="C","C",IF(HLOOKUP(DM$15,Data_5!$F$10:$BG$42,$A66+2,FALSE)="NO","NO",HLOOKUP(DM$15,Data_5!$F$10:$BG$42,$A66+2,FALSE)/Data_5!$BK61))))),"")</f>
        <v/>
      </c>
      <c r="DN66" s="1122" t="str">
        <f>IFERROR(IF(HLOOKUP(DN$15,Data_5!$F$10:$BG$42,$A66+2,FALSE)="NO","NO",IF(HLOOKUP(DN$15,Data_5!$F$10:$BG$42,$A66+2,FALSE)="IE","IE",IF(HLOOKUP(DN$15,Data_5!$F$10:$BG$42,$A66+2,FALSE)="NE","NE",IF(HLOOKUP(DN$15,Data_5!$F$10:$BG$42,$A66+2,FALSE)="C","C",IF(HLOOKUP(DN$15,Data_5!$F$10:$BG$42,$A66+2,FALSE)="NO","NO",HLOOKUP(DN$15,Data_5!$F$10:$BG$42,$A66+2,FALSE)/Data_5!$BK61))))),"")</f>
        <v/>
      </c>
      <c r="DO66" s="1122" t="str">
        <f>IFERROR(IF(HLOOKUP(DO$15,Data_5!$F$10:$BG$42,$A66+2,FALSE)="NO","NO",IF(HLOOKUP(DO$15,Data_5!$F$10:$BG$42,$A66+2,FALSE)="IE","IE",IF(HLOOKUP(DO$15,Data_5!$F$10:$BG$42,$A66+2,FALSE)="NE","NE",IF(HLOOKUP(DO$15,Data_5!$F$10:$BG$42,$A66+2,FALSE)="C","C",IF(HLOOKUP(DO$15,Data_5!$F$10:$BG$42,$A66+2,FALSE)="NO","NO",HLOOKUP(DO$15,Data_5!$F$10:$BG$42,$A66+2,FALSE)/Data_5!$BK61))))),"")</f>
        <v/>
      </c>
    </row>
    <row r="67" spans="1:119" ht="15" customHeight="1">
      <c r="A67" s="1789">
        <v>51</v>
      </c>
      <c r="B67" s="1562"/>
      <c r="C67" s="1561"/>
      <c r="D67" s="1561"/>
      <c r="E67" s="1558"/>
      <c r="F67" s="1558"/>
      <c r="G67" s="1558"/>
      <c r="H67" s="1558"/>
      <c r="I67" s="1558"/>
      <c r="J67" s="1558"/>
      <c r="K67" s="1559"/>
      <c r="L67" s="1559"/>
      <c r="M67" s="1559"/>
      <c r="N67" s="1560"/>
      <c r="O67" s="1560"/>
      <c r="P67" s="1560"/>
      <c r="Q67" s="1560"/>
      <c r="R67" s="1103"/>
      <c r="S67" s="1560"/>
      <c r="T67" s="1560"/>
      <c r="U67" s="1560"/>
      <c r="V67" s="1560"/>
      <c r="W67" s="1560"/>
      <c r="X67" s="1560"/>
      <c r="Y67" s="1560"/>
      <c r="Z67" s="1560"/>
      <c r="AA67" s="1560"/>
      <c r="AB67" s="1560"/>
      <c r="AC67" s="1560"/>
      <c r="AD67" s="1560"/>
      <c r="AE67" s="1560"/>
      <c r="AF67" s="1560"/>
      <c r="AG67" s="1560"/>
      <c r="AH67" s="1560"/>
      <c r="AI67" s="1560"/>
      <c r="AJ67" s="1560"/>
      <c r="AL67" s="1562"/>
      <c r="AM67" s="1561"/>
      <c r="AN67" s="1560"/>
      <c r="AO67" s="1560"/>
      <c r="AP67" s="1560"/>
      <c r="AQ67" s="1560"/>
      <c r="AR67" s="1560"/>
      <c r="AS67" s="1560"/>
      <c r="AT67" s="1560"/>
      <c r="AU67" s="1560"/>
      <c r="AV67" s="1560"/>
      <c r="AW67" s="1560"/>
      <c r="AX67" s="1560"/>
      <c r="AY67" s="1560"/>
      <c r="AZ67" s="1560"/>
      <c r="BA67" s="1560"/>
      <c r="BB67" s="1560"/>
      <c r="BC67" s="1560"/>
      <c r="BD67" s="1560"/>
      <c r="BE67" s="1560"/>
      <c r="BF67" s="1560"/>
      <c r="BG67" s="1560"/>
      <c r="BH67" s="1560"/>
      <c r="BI67" s="1560"/>
      <c r="BJ67" s="1560"/>
      <c r="BK67" s="1560"/>
      <c r="BL67" s="1560"/>
      <c r="BM67" s="1560"/>
      <c r="BN67" s="1560"/>
      <c r="BO67" s="1560"/>
      <c r="BP67" s="1560"/>
      <c r="BQ67" s="1560"/>
      <c r="BR67" s="1560"/>
      <c r="BS67" s="1560"/>
      <c r="BT67" s="1560"/>
      <c r="BU67" s="1560"/>
      <c r="BV67" s="1560"/>
      <c r="BW67" s="1560"/>
      <c r="BX67" s="1560"/>
      <c r="BY67" s="1560"/>
      <c r="BZ67" s="1560"/>
      <c r="CA67" s="1560"/>
      <c r="CB67" s="1560"/>
      <c r="CC67" s="1560"/>
      <c r="CD67" s="1560"/>
      <c r="CE67" s="1560"/>
      <c r="CF67" s="1560"/>
      <c r="CG67" s="1560"/>
      <c r="CH67" s="1560"/>
      <c r="CI67" s="1560"/>
      <c r="CJ67" s="1560"/>
      <c r="CL67" s="1562"/>
      <c r="CM67" s="1561"/>
      <c r="CN67" s="1560"/>
      <c r="CO67" s="1560"/>
      <c r="CP67" s="1560"/>
      <c r="CQ67" s="1560"/>
      <c r="CR67" s="1560"/>
      <c r="CS67" s="1560"/>
      <c r="CT67" s="1560"/>
      <c r="CU67" s="1560"/>
      <c r="CV67" s="1560"/>
      <c r="CW67" s="1560"/>
      <c r="CX67" s="1560"/>
      <c r="CY67" s="1560"/>
      <c r="CZ67" s="1560"/>
      <c r="DA67" s="1560"/>
      <c r="DB67" s="1560"/>
      <c r="DC67" s="1560"/>
      <c r="DD67" s="1560"/>
      <c r="DE67" s="1560"/>
      <c r="DF67" s="1560"/>
      <c r="DG67" s="1560"/>
      <c r="DH67" s="1560"/>
      <c r="DI67" s="1560"/>
      <c r="DJ67" s="1560"/>
      <c r="DK67" s="1560"/>
      <c r="DL67" s="1560"/>
      <c r="DM67" s="1560"/>
      <c r="DN67" s="1560"/>
      <c r="DO67" s="1560"/>
    </row>
    <row r="68" spans="1:119" ht="15" customHeight="1">
      <c r="A68" s="1789">
        <v>52</v>
      </c>
      <c r="B68" s="1562"/>
      <c r="C68" s="1561"/>
      <c r="D68" s="1557"/>
      <c r="E68" s="1558"/>
      <c r="F68" s="1558"/>
      <c r="G68" s="1558"/>
      <c r="H68" s="1558"/>
      <c r="I68" s="1558"/>
      <c r="J68" s="1558"/>
      <c r="K68" s="1559"/>
      <c r="L68" s="1559"/>
      <c r="M68" s="1559"/>
      <c r="N68" s="1560"/>
      <c r="O68" s="1560"/>
      <c r="P68" s="1560"/>
      <c r="Q68" s="1560"/>
      <c r="R68" s="1103"/>
      <c r="S68" s="1560"/>
      <c r="T68" s="1560"/>
      <c r="U68" s="1560"/>
      <c r="V68" s="1560"/>
      <c r="W68" s="1560"/>
      <c r="X68" s="1560"/>
      <c r="Y68" s="1560"/>
      <c r="Z68" s="1560"/>
      <c r="AA68" s="1560"/>
      <c r="AB68" s="1560"/>
      <c r="AC68" s="1560"/>
      <c r="AD68" s="1560"/>
      <c r="AE68" s="1560"/>
      <c r="AF68" s="1560"/>
      <c r="AG68" s="1560"/>
      <c r="AH68" s="1560"/>
      <c r="AI68" s="1560"/>
      <c r="AJ68" s="1560"/>
      <c r="AL68" s="1562"/>
      <c r="AM68" s="1561"/>
      <c r="AN68" s="1560"/>
      <c r="AO68" s="1560"/>
      <c r="AP68" s="1560"/>
      <c r="AQ68" s="1560"/>
      <c r="AR68" s="1560"/>
      <c r="AS68" s="1560"/>
      <c r="AT68" s="1560"/>
      <c r="AU68" s="1560"/>
      <c r="AV68" s="1560"/>
      <c r="AW68" s="1560"/>
      <c r="AX68" s="1560"/>
      <c r="AY68" s="1560"/>
      <c r="AZ68" s="1560"/>
      <c r="BA68" s="1560"/>
      <c r="BB68" s="1560"/>
      <c r="BC68" s="1560"/>
      <c r="BD68" s="1560"/>
      <c r="BE68" s="1560"/>
      <c r="BF68" s="1560"/>
      <c r="BG68" s="1560"/>
      <c r="BH68" s="1560"/>
      <c r="BI68" s="1560"/>
      <c r="BJ68" s="1560"/>
      <c r="BK68" s="1560"/>
      <c r="BL68" s="1560"/>
      <c r="BM68" s="1560"/>
      <c r="BN68" s="1560"/>
      <c r="BO68" s="1560"/>
      <c r="BP68" s="1560"/>
      <c r="BQ68" s="1560"/>
      <c r="BR68" s="1560"/>
      <c r="BS68" s="1560"/>
      <c r="BT68" s="1560"/>
      <c r="BU68" s="1560"/>
      <c r="BV68" s="1560"/>
      <c r="BW68" s="1560"/>
      <c r="BX68" s="1560"/>
      <c r="BY68" s="1560"/>
      <c r="BZ68" s="1560"/>
      <c r="CA68" s="1560"/>
      <c r="CB68" s="1560"/>
      <c r="CC68" s="1560"/>
      <c r="CD68" s="1560"/>
      <c r="CE68" s="1560"/>
      <c r="CF68" s="1560"/>
      <c r="CG68" s="1560"/>
      <c r="CH68" s="1560"/>
      <c r="CI68" s="1560"/>
      <c r="CJ68" s="1560"/>
      <c r="CL68" s="1562"/>
      <c r="CM68" s="1561"/>
      <c r="CN68" s="1560"/>
      <c r="CO68" s="1560"/>
      <c r="CP68" s="1560"/>
      <c r="CQ68" s="1560"/>
      <c r="CR68" s="1560"/>
      <c r="CS68" s="1560"/>
      <c r="CT68" s="1560"/>
      <c r="CU68" s="1560"/>
      <c r="CV68" s="1560"/>
      <c r="CW68" s="1560"/>
      <c r="CX68" s="1560"/>
      <c r="CY68" s="1560"/>
      <c r="CZ68" s="1560"/>
      <c r="DA68" s="1560"/>
      <c r="DB68" s="1560"/>
      <c r="DC68" s="1560"/>
      <c r="DD68" s="1560"/>
      <c r="DE68" s="1560"/>
      <c r="DF68" s="1560"/>
      <c r="DG68" s="1560"/>
      <c r="DH68" s="1560"/>
      <c r="DI68" s="1560"/>
      <c r="DJ68" s="1560"/>
      <c r="DK68" s="1560"/>
      <c r="DL68" s="1560"/>
      <c r="DM68" s="1560"/>
      <c r="DN68" s="1560"/>
      <c r="DO68" s="1560"/>
    </row>
    <row r="69" spans="1:119" ht="15" customHeight="1">
      <c r="A69" s="1789">
        <v>53</v>
      </c>
      <c r="B69" s="1562"/>
      <c r="C69" s="1561"/>
      <c r="D69" s="1557"/>
      <c r="E69" s="1558"/>
      <c r="F69" s="1558"/>
      <c r="G69" s="1558"/>
      <c r="H69" s="1558"/>
      <c r="I69" s="1558"/>
      <c r="J69" s="1558"/>
      <c r="K69" s="1559"/>
      <c r="L69" s="1559"/>
      <c r="M69" s="1559"/>
      <c r="N69" s="1560"/>
      <c r="O69" s="1560"/>
      <c r="P69" s="1560"/>
      <c r="Q69" s="1560"/>
      <c r="R69" s="1103"/>
      <c r="S69" s="1560"/>
      <c r="T69" s="1560"/>
      <c r="U69" s="1560"/>
      <c r="V69" s="1560"/>
      <c r="W69" s="1560"/>
      <c r="X69" s="1560"/>
      <c r="Y69" s="1560"/>
      <c r="Z69" s="1560"/>
      <c r="AA69" s="1560"/>
      <c r="AB69" s="1560"/>
      <c r="AC69" s="1560"/>
      <c r="AD69" s="1560"/>
      <c r="AE69" s="1560"/>
      <c r="AF69" s="1560"/>
      <c r="AG69" s="1560"/>
      <c r="AH69" s="1560"/>
      <c r="AI69" s="1560"/>
      <c r="AJ69" s="1560"/>
      <c r="AL69" s="1562"/>
      <c r="AM69" s="1561"/>
      <c r="AN69" s="1560"/>
      <c r="AO69" s="1560"/>
      <c r="AP69" s="1560"/>
      <c r="AQ69" s="1560"/>
      <c r="AR69" s="1560"/>
      <c r="AS69" s="1560"/>
      <c r="AT69" s="1560"/>
      <c r="AU69" s="1560"/>
      <c r="AV69" s="1560"/>
      <c r="AW69" s="1560"/>
      <c r="AX69" s="1560"/>
      <c r="AY69" s="1560"/>
      <c r="AZ69" s="1560"/>
      <c r="BA69" s="1560"/>
      <c r="BB69" s="1560"/>
      <c r="BC69" s="1560"/>
      <c r="BD69" s="1560"/>
      <c r="BE69" s="1560"/>
      <c r="BF69" s="1560"/>
      <c r="BG69" s="1560"/>
      <c r="BH69" s="1560"/>
      <c r="BI69" s="1560"/>
      <c r="BJ69" s="1560"/>
      <c r="BK69" s="1560"/>
      <c r="BL69" s="1560"/>
      <c r="BM69" s="1560"/>
      <c r="BN69" s="1560"/>
      <c r="BO69" s="1560"/>
      <c r="BP69" s="1560"/>
      <c r="BQ69" s="1560"/>
      <c r="BR69" s="1560"/>
      <c r="BS69" s="1560"/>
      <c r="BT69" s="1560"/>
      <c r="BU69" s="1560"/>
      <c r="BV69" s="1560"/>
      <c r="BW69" s="1560"/>
      <c r="BX69" s="1560"/>
      <c r="BY69" s="1560"/>
      <c r="BZ69" s="1560"/>
      <c r="CA69" s="1560"/>
      <c r="CB69" s="1560"/>
      <c r="CC69" s="1560"/>
      <c r="CD69" s="1560"/>
      <c r="CE69" s="1560"/>
      <c r="CF69" s="1560"/>
      <c r="CG69" s="1560"/>
      <c r="CH69" s="1560"/>
      <c r="CI69" s="1560"/>
      <c r="CJ69" s="1560"/>
      <c r="CL69" s="1562"/>
      <c r="CM69" s="1561"/>
      <c r="CN69" s="1560"/>
      <c r="CO69" s="1560"/>
      <c r="CP69" s="1560"/>
      <c r="CQ69" s="1560"/>
      <c r="CR69" s="1560"/>
      <c r="CS69" s="1560"/>
      <c r="CT69" s="1560"/>
      <c r="CU69" s="1560"/>
      <c r="CV69" s="1560"/>
      <c r="CW69" s="1560"/>
      <c r="CX69" s="1560"/>
      <c r="CY69" s="1560"/>
      <c r="CZ69" s="1560"/>
      <c r="DA69" s="1560"/>
      <c r="DB69" s="1560"/>
      <c r="DC69" s="1560"/>
      <c r="DD69" s="1560"/>
      <c r="DE69" s="1560"/>
      <c r="DF69" s="1560"/>
      <c r="DG69" s="1560"/>
      <c r="DH69" s="1560"/>
      <c r="DI69" s="1560"/>
      <c r="DJ69" s="1560"/>
      <c r="DK69" s="1560"/>
      <c r="DL69" s="1560"/>
      <c r="DM69" s="1560"/>
      <c r="DN69" s="1560"/>
      <c r="DO69" s="1560"/>
    </row>
    <row r="70" spans="1:119" ht="15" customHeight="1">
      <c r="A70" s="1789">
        <v>54</v>
      </c>
      <c r="B70" s="1562"/>
      <c r="C70" s="1561"/>
      <c r="D70" s="1557"/>
      <c r="E70" s="1558"/>
      <c r="F70" s="1558"/>
      <c r="G70" s="1558"/>
      <c r="H70" s="1558"/>
      <c r="I70" s="1558"/>
      <c r="J70" s="1558"/>
      <c r="K70" s="1559"/>
      <c r="L70" s="1559"/>
      <c r="M70" s="1559"/>
      <c r="N70" s="1560"/>
      <c r="O70" s="1560"/>
      <c r="P70" s="1560"/>
      <c r="Q70" s="1560"/>
      <c r="R70" s="1103"/>
      <c r="S70" s="1560"/>
      <c r="T70" s="1560"/>
      <c r="U70" s="1560"/>
      <c r="V70" s="1560"/>
      <c r="W70" s="1560"/>
      <c r="X70" s="1560"/>
      <c r="Y70" s="1560"/>
      <c r="Z70" s="1560"/>
      <c r="AA70" s="1560"/>
      <c r="AB70" s="1560"/>
      <c r="AC70" s="1560"/>
      <c r="AD70" s="1560"/>
      <c r="AE70" s="1560"/>
      <c r="AF70" s="1560"/>
      <c r="AG70" s="1560"/>
      <c r="AH70" s="1560"/>
      <c r="AI70" s="1560"/>
      <c r="AJ70" s="1560"/>
      <c r="AL70" s="1562"/>
      <c r="AM70" s="1561"/>
      <c r="AN70" s="1560"/>
      <c r="AO70" s="1560"/>
      <c r="AP70" s="1560"/>
      <c r="AQ70" s="1560"/>
      <c r="AR70" s="1560"/>
      <c r="AS70" s="1560"/>
      <c r="AT70" s="1560"/>
      <c r="AU70" s="1560"/>
      <c r="AV70" s="1560"/>
      <c r="AW70" s="1560"/>
      <c r="AX70" s="1560"/>
      <c r="AY70" s="1560"/>
      <c r="AZ70" s="1560"/>
      <c r="BA70" s="1560"/>
      <c r="BB70" s="1560"/>
      <c r="BC70" s="1560"/>
      <c r="BD70" s="1560"/>
      <c r="BE70" s="1560"/>
      <c r="BF70" s="1560"/>
      <c r="BG70" s="1560"/>
      <c r="BH70" s="1560"/>
      <c r="BI70" s="1560"/>
      <c r="BJ70" s="1560"/>
      <c r="BK70" s="1560"/>
      <c r="BL70" s="1560"/>
      <c r="BM70" s="1560"/>
      <c r="BN70" s="1560"/>
      <c r="BO70" s="1560"/>
      <c r="BP70" s="1560"/>
      <c r="BQ70" s="1560"/>
      <c r="BR70" s="1560"/>
      <c r="BS70" s="1560"/>
      <c r="BT70" s="1560"/>
      <c r="BU70" s="1560"/>
      <c r="BV70" s="1560"/>
      <c r="BW70" s="1560"/>
      <c r="BX70" s="1560"/>
      <c r="BY70" s="1560"/>
      <c r="BZ70" s="1560"/>
      <c r="CA70" s="1560"/>
      <c r="CB70" s="1560"/>
      <c r="CC70" s="1560"/>
      <c r="CD70" s="1560"/>
      <c r="CE70" s="1560"/>
      <c r="CF70" s="1560"/>
      <c r="CG70" s="1560"/>
      <c r="CH70" s="1560"/>
      <c r="CI70" s="1560"/>
      <c r="CJ70" s="1560"/>
      <c r="CL70" s="1562"/>
      <c r="CM70" s="1561"/>
      <c r="CN70" s="1560"/>
      <c r="CO70" s="1560"/>
      <c r="CP70" s="1560"/>
      <c r="CQ70" s="1560"/>
      <c r="CR70" s="1560"/>
      <c r="CS70" s="1560"/>
      <c r="CT70" s="1560"/>
      <c r="CU70" s="1560"/>
      <c r="CV70" s="1560"/>
      <c r="CW70" s="1560"/>
      <c r="CX70" s="1560"/>
      <c r="CY70" s="1560"/>
      <c r="CZ70" s="1560"/>
      <c r="DA70" s="1560"/>
      <c r="DB70" s="1560"/>
      <c r="DC70" s="1560"/>
      <c r="DD70" s="1560"/>
      <c r="DE70" s="1560"/>
      <c r="DF70" s="1560"/>
      <c r="DG70" s="1560"/>
      <c r="DH70" s="1560"/>
      <c r="DI70" s="1560"/>
      <c r="DJ70" s="1560"/>
      <c r="DK70" s="1560"/>
      <c r="DL70" s="1560"/>
      <c r="DM70" s="1560"/>
      <c r="DN70" s="1560"/>
      <c r="DO70" s="1560"/>
    </row>
    <row r="71" spans="1:119" ht="15" customHeight="1">
      <c r="A71" s="1789">
        <v>55</v>
      </c>
      <c r="B71" s="1562"/>
      <c r="C71" s="1561"/>
      <c r="D71" s="1557"/>
      <c r="E71" s="1558"/>
      <c r="F71" s="1558"/>
      <c r="G71" s="1558"/>
      <c r="H71" s="1558"/>
      <c r="I71" s="1558"/>
      <c r="J71" s="1558"/>
      <c r="K71" s="1559"/>
      <c r="L71" s="1559"/>
      <c r="M71" s="1559"/>
      <c r="N71" s="1560"/>
      <c r="O71" s="1560"/>
      <c r="P71" s="1560"/>
      <c r="Q71" s="1560"/>
      <c r="R71" s="1103"/>
      <c r="S71" s="1560"/>
      <c r="T71" s="1560"/>
      <c r="U71" s="1560"/>
      <c r="V71" s="1560"/>
      <c r="W71" s="1560"/>
      <c r="X71" s="1560"/>
      <c r="Y71" s="1560"/>
      <c r="Z71" s="1560"/>
      <c r="AA71" s="1560"/>
      <c r="AB71" s="1560"/>
      <c r="AC71" s="1560"/>
      <c r="AD71" s="1560"/>
      <c r="AE71" s="1560"/>
      <c r="AF71" s="1560"/>
      <c r="AG71" s="1560"/>
      <c r="AH71" s="1560"/>
      <c r="AI71" s="1560"/>
      <c r="AJ71" s="1560"/>
      <c r="AL71" s="1562"/>
      <c r="AM71" s="1561"/>
      <c r="AN71" s="1560"/>
      <c r="AO71" s="1560"/>
      <c r="AP71" s="1560"/>
      <c r="AQ71" s="1560"/>
      <c r="AR71" s="1560"/>
      <c r="AS71" s="1560"/>
      <c r="AT71" s="1560"/>
      <c r="AU71" s="1560"/>
      <c r="AV71" s="1560"/>
      <c r="AW71" s="1560"/>
      <c r="AX71" s="1560"/>
      <c r="AY71" s="1560"/>
      <c r="AZ71" s="1560"/>
      <c r="BA71" s="1560"/>
      <c r="BB71" s="1560"/>
      <c r="BC71" s="1560"/>
      <c r="BD71" s="1560"/>
      <c r="BE71" s="1560"/>
      <c r="BF71" s="1560"/>
      <c r="BG71" s="1560"/>
      <c r="BH71" s="1560"/>
      <c r="BI71" s="1560"/>
      <c r="BJ71" s="1560"/>
      <c r="BK71" s="1560"/>
      <c r="BL71" s="1560"/>
      <c r="BM71" s="1560"/>
      <c r="BN71" s="1560"/>
      <c r="BO71" s="1560"/>
      <c r="BP71" s="1560"/>
      <c r="BQ71" s="1560"/>
      <c r="BR71" s="1560"/>
      <c r="BS71" s="1560"/>
      <c r="BT71" s="1560"/>
      <c r="BU71" s="1560"/>
      <c r="BV71" s="1560"/>
      <c r="BW71" s="1560"/>
      <c r="BX71" s="1560"/>
      <c r="BY71" s="1560"/>
      <c r="BZ71" s="1560"/>
      <c r="CA71" s="1560"/>
      <c r="CB71" s="1560"/>
      <c r="CC71" s="1560"/>
      <c r="CD71" s="1560"/>
      <c r="CE71" s="1560"/>
      <c r="CF71" s="1560"/>
      <c r="CG71" s="1560"/>
      <c r="CH71" s="1560"/>
      <c r="CI71" s="1560"/>
      <c r="CJ71" s="1560"/>
      <c r="CL71" s="1562"/>
      <c r="CM71" s="1561"/>
      <c r="CN71" s="1560"/>
      <c r="CO71" s="1560"/>
      <c r="CP71" s="1560"/>
      <c r="CQ71" s="1560"/>
      <c r="CR71" s="1560"/>
      <c r="CS71" s="1560"/>
      <c r="CT71" s="1560"/>
      <c r="CU71" s="1560"/>
      <c r="CV71" s="1560"/>
      <c r="CW71" s="1560"/>
      <c r="CX71" s="1560"/>
      <c r="CY71" s="1560"/>
      <c r="CZ71" s="1560"/>
      <c r="DA71" s="1560"/>
      <c r="DB71" s="1560"/>
      <c r="DC71" s="1560"/>
      <c r="DD71" s="1560"/>
      <c r="DE71" s="1560"/>
      <c r="DF71" s="1560"/>
      <c r="DG71" s="1560"/>
      <c r="DH71" s="1560"/>
      <c r="DI71" s="1560"/>
      <c r="DJ71" s="1560"/>
      <c r="DK71" s="1560"/>
      <c r="DL71" s="1560"/>
      <c r="DM71" s="1560"/>
      <c r="DN71" s="1560"/>
      <c r="DO71" s="1560"/>
    </row>
    <row r="72" spans="1:119" ht="15" customHeight="1">
      <c r="A72" s="1789">
        <v>56</v>
      </c>
      <c r="B72" s="1562"/>
      <c r="C72" s="1561"/>
      <c r="D72" s="1557"/>
      <c r="E72" s="1558"/>
      <c r="F72" s="1558"/>
      <c r="G72" s="1558"/>
      <c r="H72" s="1558"/>
      <c r="I72" s="1558"/>
      <c r="J72" s="1558"/>
      <c r="K72" s="1559"/>
      <c r="L72" s="1559"/>
      <c r="M72" s="1559"/>
      <c r="N72" s="1560"/>
      <c r="O72" s="1560"/>
      <c r="P72" s="1560"/>
      <c r="Q72" s="1560"/>
      <c r="R72" s="1103"/>
      <c r="S72" s="1560"/>
      <c r="T72" s="1560"/>
      <c r="U72" s="1560"/>
      <c r="V72" s="1560"/>
      <c r="W72" s="1560"/>
      <c r="X72" s="1560"/>
      <c r="Y72" s="1560"/>
      <c r="Z72" s="1560"/>
      <c r="AA72" s="1560"/>
      <c r="AB72" s="1560"/>
      <c r="AC72" s="1560"/>
      <c r="AD72" s="1560"/>
      <c r="AE72" s="1560"/>
      <c r="AF72" s="1560"/>
      <c r="AG72" s="1560"/>
      <c r="AH72" s="1560"/>
      <c r="AI72" s="1560"/>
      <c r="AJ72" s="1560"/>
      <c r="AL72" s="1562"/>
      <c r="AM72" s="1561"/>
      <c r="AN72" s="1560"/>
      <c r="AO72" s="1560"/>
      <c r="AP72" s="1560"/>
      <c r="AQ72" s="1560"/>
      <c r="AR72" s="1560"/>
      <c r="AS72" s="1560"/>
      <c r="AT72" s="1560"/>
      <c r="AU72" s="1560"/>
      <c r="AV72" s="1560"/>
      <c r="AW72" s="1560"/>
      <c r="AX72" s="1560"/>
      <c r="AY72" s="1560"/>
      <c r="AZ72" s="1560"/>
      <c r="BA72" s="1560"/>
      <c r="BB72" s="1560"/>
      <c r="BC72" s="1560"/>
      <c r="BD72" s="1560"/>
      <c r="BE72" s="1560"/>
      <c r="BF72" s="1560"/>
      <c r="BG72" s="1560"/>
      <c r="BH72" s="1560"/>
      <c r="BI72" s="1560"/>
      <c r="BJ72" s="1560"/>
      <c r="BK72" s="1560"/>
      <c r="BL72" s="1560"/>
      <c r="BM72" s="1560"/>
      <c r="BN72" s="1560"/>
      <c r="BO72" s="1560"/>
      <c r="BP72" s="1560"/>
      <c r="BQ72" s="1560"/>
      <c r="BR72" s="1560"/>
      <c r="BS72" s="1560"/>
      <c r="BT72" s="1560"/>
      <c r="BU72" s="1560"/>
      <c r="BV72" s="1560"/>
      <c r="BW72" s="1560"/>
      <c r="BX72" s="1560"/>
      <c r="BY72" s="1560"/>
      <c r="BZ72" s="1560"/>
      <c r="CA72" s="1560"/>
      <c r="CB72" s="1560"/>
      <c r="CC72" s="1560"/>
      <c r="CD72" s="1560"/>
      <c r="CE72" s="1560"/>
      <c r="CF72" s="1560"/>
      <c r="CG72" s="1560"/>
      <c r="CH72" s="1560"/>
      <c r="CI72" s="1560"/>
      <c r="CJ72" s="1560"/>
      <c r="CL72" s="1562"/>
      <c r="CM72" s="1561"/>
      <c r="CN72" s="1560"/>
      <c r="CO72" s="1560"/>
      <c r="CP72" s="1560"/>
      <c r="CQ72" s="1560"/>
      <c r="CR72" s="1560"/>
      <c r="CS72" s="1560"/>
      <c r="CT72" s="1560"/>
      <c r="CU72" s="1560"/>
      <c r="CV72" s="1560"/>
      <c r="CW72" s="1560"/>
      <c r="CX72" s="1560"/>
      <c r="CY72" s="1560"/>
      <c r="CZ72" s="1560"/>
      <c r="DA72" s="1560"/>
      <c r="DB72" s="1560"/>
      <c r="DC72" s="1560"/>
      <c r="DD72" s="1560"/>
      <c r="DE72" s="1560"/>
      <c r="DF72" s="1560"/>
      <c r="DG72" s="1560"/>
      <c r="DH72" s="1560"/>
      <c r="DI72" s="1560"/>
      <c r="DJ72" s="1560"/>
      <c r="DK72" s="1560"/>
      <c r="DL72" s="1560"/>
      <c r="DM72" s="1560"/>
      <c r="DN72" s="1560"/>
      <c r="DO72" s="1560"/>
    </row>
    <row r="73" spans="1:119" ht="15" customHeight="1">
      <c r="A73" s="1789">
        <v>57</v>
      </c>
      <c r="B73" s="1562"/>
      <c r="C73" s="1561"/>
      <c r="D73" s="1557"/>
      <c r="E73" s="1558"/>
      <c r="F73" s="1558"/>
      <c r="G73" s="1558"/>
      <c r="H73" s="1558"/>
      <c r="I73" s="1558"/>
      <c r="J73" s="1558"/>
      <c r="K73" s="1559"/>
      <c r="L73" s="1559"/>
      <c r="M73" s="1559"/>
      <c r="N73" s="1560"/>
      <c r="O73" s="1560"/>
      <c r="P73" s="1560"/>
      <c r="Q73" s="1560"/>
      <c r="R73" s="1103"/>
      <c r="S73" s="1560"/>
      <c r="T73" s="1560"/>
      <c r="U73" s="1560"/>
      <c r="V73" s="1560"/>
      <c r="W73" s="1560"/>
      <c r="X73" s="1560"/>
      <c r="Y73" s="1560"/>
      <c r="Z73" s="1560"/>
      <c r="AA73" s="1560"/>
      <c r="AB73" s="1560"/>
      <c r="AC73" s="1560"/>
      <c r="AD73" s="1560"/>
      <c r="AE73" s="1560"/>
      <c r="AF73" s="1560"/>
      <c r="AG73" s="1560"/>
      <c r="AH73" s="1560"/>
      <c r="AI73" s="1560"/>
      <c r="AJ73" s="1560"/>
      <c r="AL73" s="1562"/>
      <c r="AM73" s="1561"/>
      <c r="AN73" s="1560"/>
      <c r="AO73" s="1560"/>
      <c r="AP73" s="1560"/>
      <c r="AQ73" s="1560"/>
      <c r="AR73" s="1560"/>
      <c r="AS73" s="1560"/>
      <c r="AT73" s="1560"/>
      <c r="AU73" s="1560"/>
      <c r="AV73" s="1560"/>
      <c r="AW73" s="1560"/>
      <c r="AX73" s="1560"/>
      <c r="AY73" s="1560"/>
      <c r="AZ73" s="1560"/>
      <c r="BA73" s="1560"/>
      <c r="BB73" s="1560"/>
      <c r="BC73" s="1560"/>
      <c r="BD73" s="1560"/>
      <c r="BE73" s="1560"/>
      <c r="BF73" s="1560"/>
      <c r="BG73" s="1560"/>
      <c r="BH73" s="1560"/>
      <c r="BI73" s="1560"/>
      <c r="BJ73" s="1560"/>
      <c r="BK73" s="1560"/>
      <c r="BL73" s="1560"/>
      <c r="BM73" s="1560"/>
      <c r="BN73" s="1560"/>
      <c r="BO73" s="1560"/>
      <c r="BP73" s="1560"/>
      <c r="BQ73" s="1560"/>
      <c r="BR73" s="1560"/>
      <c r="BS73" s="1560"/>
      <c r="BT73" s="1560"/>
      <c r="BU73" s="1560"/>
      <c r="BV73" s="1560"/>
      <c r="BW73" s="1560"/>
      <c r="BX73" s="1560"/>
      <c r="BY73" s="1560"/>
      <c r="BZ73" s="1560"/>
      <c r="CA73" s="1560"/>
      <c r="CB73" s="1560"/>
      <c r="CC73" s="1560"/>
      <c r="CD73" s="1560"/>
      <c r="CE73" s="1560"/>
      <c r="CF73" s="1560"/>
      <c r="CG73" s="1560"/>
      <c r="CH73" s="1560"/>
      <c r="CI73" s="1560"/>
      <c r="CJ73" s="1560"/>
      <c r="CL73" s="1562"/>
      <c r="CM73" s="1561"/>
      <c r="CN73" s="1560"/>
      <c r="CO73" s="1560"/>
      <c r="CP73" s="1560"/>
      <c r="CQ73" s="1560"/>
      <c r="CR73" s="1560"/>
      <c r="CS73" s="1560"/>
      <c r="CT73" s="1560"/>
      <c r="CU73" s="1560"/>
      <c r="CV73" s="1560"/>
      <c r="CW73" s="1560"/>
      <c r="CX73" s="1560"/>
      <c r="CY73" s="1560"/>
      <c r="CZ73" s="1560"/>
      <c r="DA73" s="1560"/>
      <c r="DB73" s="1560"/>
      <c r="DC73" s="1560"/>
      <c r="DD73" s="1560"/>
      <c r="DE73" s="1560"/>
      <c r="DF73" s="1560"/>
      <c r="DG73" s="1560"/>
      <c r="DH73" s="1560"/>
      <c r="DI73" s="1560"/>
      <c r="DJ73" s="1560"/>
      <c r="DK73" s="1560"/>
      <c r="DL73" s="1560"/>
      <c r="DM73" s="1560"/>
      <c r="DN73" s="1560"/>
      <c r="DO73" s="1560"/>
    </row>
    <row r="74" spans="1:119" ht="15" customHeight="1">
      <c r="A74" s="1789">
        <v>58</v>
      </c>
      <c r="B74" s="1562"/>
      <c r="C74" s="1561"/>
      <c r="D74" s="1557"/>
      <c r="E74" s="1558"/>
      <c r="F74" s="1558"/>
      <c r="G74" s="1558"/>
      <c r="H74" s="1558"/>
      <c r="I74" s="1558"/>
      <c r="J74" s="1558"/>
      <c r="K74" s="1559"/>
      <c r="L74" s="1559"/>
      <c r="M74" s="1559"/>
      <c r="N74" s="1560"/>
      <c r="O74" s="1560"/>
      <c r="P74" s="1560"/>
      <c r="Q74" s="1560"/>
      <c r="R74" s="1103"/>
      <c r="S74" s="1560"/>
      <c r="T74" s="1560"/>
      <c r="U74" s="1560"/>
      <c r="V74" s="1560"/>
      <c r="W74" s="1560"/>
      <c r="X74" s="1560"/>
      <c r="Y74" s="1560"/>
      <c r="Z74" s="1560"/>
      <c r="AA74" s="1560"/>
      <c r="AB74" s="1560"/>
      <c r="AC74" s="1560"/>
      <c r="AD74" s="1560"/>
      <c r="AE74" s="1560"/>
      <c r="AF74" s="1560"/>
      <c r="AG74" s="1560"/>
      <c r="AH74" s="1560"/>
      <c r="AI74" s="1560"/>
      <c r="AJ74" s="1560"/>
      <c r="AL74" s="1562"/>
      <c r="AM74" s="1561"/>
      <c r="AN74" s="1560"/>
      <c r="AO74" s="1560"/>
      <c r="AP74" s="1560"/>
      <c r="AQ74" s="1560"/>
      <c r="AR74" s="1560"/>
      <c r="AS74" s="1560"/>
      <c r="AT74" s="1560"/>
      <c r="AU74" s="1560"/>
      <c r="AV74" s="1560"/>
      <c r="AW74" s="1560"/>
      <c r="AX74" s="1560"/>
      <c r="AY74" s="1560"/>
      <c r="AZ74" s="1560"/>
      <c r="BA74" s="1560"/>
      <c r="BB74" s="1560"/>
      <c r="BC74" s="1560"/>
      <c r="BD74" s="1560"/>
      <c r="BE74" s="1560"/>
      <c r="BF74" s="1560"/>
      <c r="BG74" s="1560"/>
      <c r="BH74" s="1560"/>
      <c r="BI74" s="1560"/>
      <c r="BJ74" s="1560"/>
      <c r="BK74" s="1560"/>
      <c r="BL74" s="1560"/>
      <c r="BM74" s="1560"/>
      <c r="BN74" s="1560"/>
      <c r="BO74" s="1560"/>
      <c r="BP74" s="1560"/>
      <c r="BQ74" s="1560"/>
      <c r="BR74" s="1560"/>
      <c r="BS74" s="1560"/>
      <c r="BT74" s="1560"/>
      <c r="BU74" s="1560"/>
      <c r="BV74" s="1560"/>
      <c r="BW74" s="1560"/>
      <c r="BX74" s="1560"/>
      <c r="BY74" s="1560"/>
      <c r="BZ74" s="1560"/>
      <c r="CA74" s="1560"/>
      <c r="CB74" s="1560"/>
      <c r="CC74" s="1560"/>
      <c r="CD74" s="1560"/>
      <c r="CE74" s="1560"/>
      <c r="CF74" s="1560"/>
      <c r="CG74" s="1560"/>
      <c r="CH74" s="1560"/>
      <c r="CI74" s="1560"/>
      <c r="CJ74" s="1560"/>
      <c r="CL74" s="1562"/>
      <c r="CM74" s="1561"/>
      <c r="CN74" s="1560"/>
      <c r="CO74" s="1560"/>
      <c r="CP74" s="1560"/>
      <c r="CQ74" s="1560"/>
      <c r="CR74" s="1560"/>
      <c r="CS74" s="1560"/>
      <c r="CT74" s="1560"/>
      <c r="CU74" s="1560"/>
      <c r="CV74" s="1560"/>
      <c r="CW74" s="1560"/>
      <c r="CX74" s="1560"/>
      <c r="CY74" s="1560"/>
      <c r="CZ74" s="1560"/>
      <c r="DA74" s="1560"/>
      <c r="DB74" s="1560"/>
      <c r="DC74" s="1560"/>
      <c r="DD74" s="1560"/>
      <c r="DE74" s="1560"/>
      <c r="DF74" s="1560"/>
      <c r="DG74" s="1560"/>
      <c r="DH74" s="1560"/>
      <c r="DI74" s="1560"/>
      <c r="DJ74" s="1560"/>
      <c r="DK74" s="1560"/>
      <c r="DL74" s="1560"/>
      <c r="DM74" s="1560"/>
      <c r="DN74" s="1560"/>
      <c r="DO74" s="1560"/>
    </row>
    <row r="75" spans="1:119" ht="15" customHeight="1">
      <c r="A75" s="1789">
        <v>59</v>
      </c>
      <c r="B75" s="1562"/>
      <c r="C75" s="1561"/>
      <c r="D75" s="1557"/>
      <c r="E75" s="1558"/>
      <c r="F75" s="1558"/>
      <c r="G75" s="1558"/>
      <c r="H75" s="1558"/>
      <c r="I75" s="1558"/>
      <c r="J75" s="1558"/>
      <c r="K75" s="1559"/>
      <c r="L75" s="1559"/>
      <c r="M75" s="1559"/>
      <c r="N75" s="1560"/>
      <c r="O75" s="1560"/>
      <c r="P75" s="1560"/>
      <c r="Q75" s="1560"/>
      <c r="R75" s="1103"/>
      <c r="S75" s="1560"/>
      <c r="T75" s="1560"/>
      <c r="U75" s="1560"/>
      <c r="V75" s="1560"/>
      <c r="W75" s="1560"/>
      <c r="X75" s="1560"/>
      <c r="Y75" s="1560"/>
      <c r="Z75" s="1560"/>
      <c r="AA75" s="1560"/>
      <c r="AB75" s="1560"/>
      <c r="AC75" s="1560"/>
      <c r="AD75" s="1560"/>
      <c r="AE75" s="1560"/>
      <c r="AF75" s="1560"/>
      <c r="AG75" s="1560"/>
      <c r="AH75" s="1560"/>
      <c r="AI75" s="1560"/>
      <c r="AJ75" s="1560"/>
      <c r="AL75" s="1562"/>
      <c r="AM75" s="1561"/>
      <c r="AN75" s="1560"/>
      <c r="AO75" s="1560"/>
      <c r="AP75" s="1560"/>
      <c r="AQ75" s="1560"/>
      <c r="AR75" s="1560"/>
      <c r="AS75" s="1560"/>
      <c r="AT75" s="1560"/>
      <c r="AU75" s="1560"/>
      <c r="AV75" s="1560"/>
      <c r="AW75" s="1560"/>
      <c r="AX75" s="1560"/>
      <c r="AY75" s="1560"/>
      <c r="AZ75" s="1560"/>
      <c r="BA75" s="1560"/>
      <c r="BB75" s="1560"/>
      <c r="BC75" s="1560"/>
      <c r="BD75" s="1560"/>
      <c r="BE75" s="1560"/>
      <c r="BF75" s="1560"/>
      <c r="BG75" s="1560"/>
      <c r="BH75" s="1560"/>
      <c r="BI75" s="1560"/>
      <c r="BJ75" s="1560"/>
      <c r="BK75" s="1560"/>
      <c r="BL75" s="1560"/>
      <c r="BM75" s="1560"/>
      <c r="BN75" s="1560"/>
      <c r="BO75" s="1560"/>
      <c r="BP75" s="1560"/>
      <c r="BQ75" s="1560"/>
      <c r="BR75" s="1560"/>
      <c r="BS75" s="1560"/>
      <c r="BT75" s="1560"/>
      <c r="BU75" s="1560"/>
      <c r="BV75" s="1560"/>
      <c r="BW75" s="1560"/>
      <c r="BX75" s="1560"/>
      <c r="BY75" s="1560"/>
      <c r="BZ75" s="1560"/>
      <c r="CA75" s="1560"/>
      <c r="CB75" s="1560"/>
      <c r="CC75" s="1560"/>
      <c r="CD75" s="1560"/>
      <c r="CE75" s="1560"/>
      <c r="CF75" s="1560"/>
      <c r="CG75" s="1560"/>
      <c r="CH75" s="1560"/>
      <c r="CI75" s="1560"/>
      <c r="CJ75" s="1560"/>
      <c r="CL75" s="1562"/>
      <c r="CM75" s="1561"/>
      <c r="CN75" s="1560"/>
      <c r="CO75" s="1560"/>
      <c r="CP75" s="1560"/>
      <c r="CQ75" s="1560"/>
      <c r="CR75" s="1560"/>
      <c r="CS75" s="1560"/>
      <c r="CT75" s="1560"/>
      <c r="CU75" s="1560"/>
      <c r="CV75" s="1560"/>
      <c r="CW75" s="1560"/>
      <c r="CX75" s="1560"/>
      <c r="CY75" s="1560"/>
      <c r="CZ75" s="1560"/>
      <c r="DA75" s="1560"/>
      <c r="DB75" s="1560"/>
      <c r="DC75" s="1560"/>
      <c r="DD75" s="1560"/>
      <c r="DE75" s="1560"/>
      <c r="DF75" s="1560"/>
      <c r="DG75" s="1560"/>
      <c r="DH75" s="1560"/>
      <c r="DI75" s="1560"/>
      <c r="DJ75" s="1560"/>
      <c r="DK75" s="1560"/>
      <c r="DL75" s="1560"/>
      <c r="DM75" s="1560"/>
      <c r="DN75" s="1560"/>
      <c r="DO75" s="1560"/>
    </row>
    <row r="76" spans="1:119" ht="15" customHeight="1">
      <c r="A76" s="1789">
        <v>60</v>
      </c>
      <c r="B76" s="1562"/>
      <c r="C76" s="1561"/>
      <c r="D76" s="1557"/>
      <c r="E76" s="1558"/>
      <c r="F76" s="1558"/>
      <c r="G76" s="1558"/>
      <c r="H76" s="1558"/>
      <c r="I76" s="1558"/>
      <c r="J76" s="1558"/>
      <c r="K76" s="1559"/>
      <c r="L76" s="1559"/>
      <c r="M76" s="1559"/>
      <c r="N76" s="1560"/>
      <c r="O76" s="1560"/>
      <c r="P76" s="1560"/>
      <c r="Q76" s="1560"/>
      <c r="R76" s="1103"/>
      <c r="S76" s="1560"/>
      <c r="T76" s="1560"/>
      <c r="U76" s="1560"/>
      <c r="V76" s="1560"/>
      <c r="W76" s="1560"/>
      <c r="X76" s="1560"/>
      <c r="Y76" s="1560"/>
      <c r="Z76" s="1560"/>
      <c r="AA76" s="1560"/>
      <c r="AB76" s="1560"/>
      <c r="AC76" s="1560"/>
      <c r="AD76" s="1560"/>
      <c r="AE76" s="1560"/>
      <c r="AF76" s="1560"/>
      <c r="AG76" s="1560"/>
      <c r="AH76" s="1560"/>
      <c r="AI76" s="1560"/>
      <c r="AJ76" s="1560"/>
      <c r="AL76" s="1562"/>
      <c r="AM76" s="1561"/>
      <c r="AN76" s="1560"/>
      <c r="AO76" s="1560"/>
      <c r="AP76" s="1560"/>
      <c r="AQ76" s="1560"/>
      <c r="AR76" s="1560"/>
      <c r="AS76" s="1560"/>
      <c r="AT76" s="1560"/>
      <c r="AU76" s="1560"/>
      <c r="AV76" s="1560"/>
      <c r="AW76" s="1560"/>
      <c r="AX76" s="1560"/>
      <c r="AY76" s="1560"/>
      <c r="AZ76" s="1560"/>
      <c r="BA76" s="1560"/>
      <c r="BB76" s="1560"/>
      <c r="BC76" s="1560"/>
      <c r="BD76" s="1560"/>
      <c r="BE76" s="1560"/>
      <c r="BF76" s="1560"/>
      <c r="BG76" s="1560"/>
      <c r="BH76" s="1560"/>
      <c r="BI76" s="1560"/>
      <c r="BJ76" s="1560"/>
      <c r="BK76" s="1560"/>
      <c r="BL76" s="1560"/>
      <c r="BM76" s="1560"/>
      <c r="BN76" s="1560"/>
      <c r="BO76" s="1560"/>
      <c r="BP76" s="1560"/>
      <c r="BQ76" s="1560"/>
      <c r="BR76" s="1560"/>
      <c r="BS76" s="1560"/>
      <c r="BT76" s="1560"/>
      <c r="BU76" s="1560"/>
      <c r="BV76" s="1560"/>
      <c r="BW76" s="1560"/>
      <c r="BX76" s="1560"/>
      <c r="BY76" s="1560"/>
      <c r="BZ76" s="1560"/>
      <c r="CA76" s="1560"/>
      <c r="CB76" s="1560"/>
      <c r="CC76" s="1560"/>
      <c r="CD76" s="1560"/>
      <c r="CE76" s="1560"/>
      <c r="CF76" s="1560"/>
      <c r="CG76" s="1560"/>
      <c r="CH76" s="1560"/>
      <c r="CI76" s="1560"/>
      <c r="CJ76" s="1560"/>
      <c r="CL76" s="1562"/>
      <c r="CM76" s="1561"/>
      <c r="CN76" s="1560"/>
      <c r="CO76" s="1560"/>
      <c r="CP76" s="1560"/>
      <c r="CQ76" s="1560"/>
      <c r="CR76" s="1560"/>
      <c r="CS76" s="1560"/>
      <c r="CT76" s="1560"/>
      <c r="CU76" s="1560"/>
      <c r="CV76" s="1560"/>
      <c r="CW76" s="1560"/>
      <c r="CX76" s="1560"/>
      <c r="CY76" s="1560"/>
      <c r="CZ76" s="1560"/>
      <c r="DA76" s="1560"/>
      <c r="DB76" s="1560"/>
      <c r="DC76" s="1560"/>
      <c r="DD76" s="1560"/>
      <c r="DE76" s="1560"/>
      <c r="DF76" s="1560"/>
      <c r="DG76" s="1560"/>
      <c r="DH76" s="1560"/>
      <c r="DI76" s="1560"/>
      <c r="DJ76" s="1560"/>
      <c r="DK76" s="1560"/>
      <c r="DL76" s="1560"/>
      <c r="DM76" s="1560"/>
      <c r="DN76" s="1560"/>
      <c r="DO76" s="1560"/>
    </row>
    <row r="77" spans="1:119" ht="15" customHeight="1">
      <c r="A77" s="1789">
        <v>61</v>
      </c>
      <c r="B77" s="1562"/>
      <c r="C77" s="1561"/>
      <c r="D77" s="1557"/>
      <c r="E77" s="1558"/>
      <c r="F77" s="1558"/>
      <c r="G77" s="1558"/>
      <c r="H77" s="1558"/>
      <c r="I77" s="1558"/>
      <c r="J77" s="1558"/>
      <c r="K77" s="1559"/>
      <c r="L77" s="1559"/>
      <c r="M77" s="1559"/>
      <c r="N77" s="1560"/>
      <c r="O77" s="1560"/>
      <c r="P77" s="1560"/>
      <c r="Q77" s="1560"/>
      <c r="R77" s="1103"/>
      <c r="S77" s="1560"/>
      <c r="T77" s="1560"/>
      <c r="U77" s="1560"/>
      <c r="V77" s="1560"/>
      <c r="W77" s="1560"/>
      <c r="X77" s="1560"/>
      <c r="Y77" s="1560"/>
      <c r="Z77" s="1560"/>
      <c r="AA77" s="1560"/>
      <c r="AB77" s="1560"/>
      <c r="AC77" s="1560"/>
      <c r="AD77" s="1560"/>
      <c r="AE77" s="1560"/>
      <c r="AF77" s="1560"/>
      <c r="AG77" s="1560"/>
      <c r="AH77" s="1560"/>
      <c r="AI77" s="1560"/>
      <c r="AJ77" s="1560"/>
      <c r="AL77" s="1562"/>
      <c r="AM77" s="1561"/>
      <c r="AN77" s="1560"/>
      <c r="AO77" s="1560"/>
      <c r="AP77" s="1560"/>
      <c r="AQ77" s="1560"/>
      <c r="AR77" s="1560"/>
      <c r="AS77" s="1560"/>
      <c r="AT77" s="1560"/>
      <c r="AU77" s="1560"/>
      <c r="AV77" s="1560"/>
      <c r="AW77" s="1560"/>
      <c r="AX77" s="1560"/>
      <c r="AY77" s="1560"/>
      <c r="AZ77" s="1560"/>
      <c r="BA77" s="1560"/>
      <c r="BB77" s="1560"/>
      <c r="BC77" s="1560"/>
      <c r="BD77" s="1560"/>
      <c r="BE77" s="1560"/>
      <c r="BF77" s="1560"/>
      <c r="BG77" s="1560"/>
      <c r="BH77" s="1560"/>
      <c r="BI77" s="1560"/>
      <c r="BJ77" s="1560"/>
      <c r="BK77" s="1560"/>
      <c r="BL77" s="1560"/>
      <c r="BM77" s="1560"/>
      <c r="BN77" s="1560"/>
      <c r="BO77" s="1560"/>
      <c r="BP77" s="1560"/>
      <c r="BQ77" s="1560"/>
      <c r="BR77" s="1560"/>
      <c r="BS77" s="1560"/>
      <c r="BT77" s="1560"/>
      <c r="BU77" s="1560"/>
      <c r="BV77" s="1560"/>
      <c r="BW77" s="1560"/>
      <c r="BX77" s="1560"/>
      <c r="BY77" s="1560"/>
      <c r="BZ77" s="1560"/>
      <c r="CA77" s="1560"/>
      <c r="CB77" s="1560"/>
      <c r="CC77" s="1560"/>
      <c r="CD77" s="1560"/>
      <c r="CE77" s="1560"/>
      <c r="CF77" s="1560"/>
      <c r="CG77" s="1560"/>
      <c r="CH77" s="1560"/>
      <c r="CI77" s="1560"/>
      <c r="CJ77" s="1560"/>
      <c r="CL77" s="1562"/>
      <c r="CM77" s="1561"/>
      <c r="CN77" s="1560"/>
      <c r="CO77" s="1560"/>
      <c r="CP77" s="1560"/>
      <c r="CQ77" s="1560"/>
      <c r="CR77" s="1560"/>
      <c r="CS77" s="1560"/>
      <c r="CT77" s="1560"/>
      <c r="CU77" s="1560"/>
      <c r="CV77" s="1560"/>
      <c r="CW77" s="1560"/>
      <c r="CX77" s="1560"/>
      <c r="CY77" s="1560"/>
      <c r="CZ77" s="1560"/>
      <c r="DA77" s="1560"/>
      <c r="DB77" s="1560"/>
      <c r="DC77" s="1560"/>
      <c r="DD77" s="1560"/>
      <c r="DE77" s="1560"/>
      <c r="DF77" s="1560"/>
      <c r="DG77" s="1560"/>
      <c r="DH77" s="1560"/>
      <c r="DI77" s="1560"/>
      <c r="DJ77" s="1560"/>
      <c r="DK77" s="1560"/>
      <c r="DL77" s="1560"/>
      <c r="DM77" s="1560"/>
      <c r="DN77" s="1560"/>
      <c r="DO77" s="1560"/>
    </row>
    <row r="78" spans="1:119" ht="15" customHeight="1">
      <c r="A78" s="1789">
        <v>62</v>
      </c>
      <c r="B78" s="1562"/>
      <c r="C78" s="1561"/>
      <c r="D78" s="1557"/>
      <c r="E78" s="1558"/>
      <c r="F78" s="1558"/>
      <c r="G78" s="1558"/>
      <c r="H78" s="1558"/>
      <c r="I78" s="1558"/>
      <c r="J78" s="1558"/>
      <c r="K78" s="1559"/>
      <c r="L78" s="1559"/>
      <c r="M78" s="1559"/>
      <c r="N78" s="1560"/>
      <c r="O78" s="1560"/>
      <c r="P78" s="1560"/>
      <c r="Q78" s="1560"/>
      <c r="R78" s="1103"/>
      <c r="S78" s="1560"/>
      <c r="T78" s="1560"/>
      <c r="U78" s="1560"/>
      <c r="V78" s="1560"/>
      <c r="W78" s="1560"/>
      <c r="X78" s="1560"/>
      <c r="Y78" s="1560"/>
      <c r="Z78" s="1560"/>
      <c r="AA78" s="1560"/>
      <c r="AB78" s="1560"/>
      <c r="AC78" s="1560"/>
      <c r="AD78" s="1560"/>
      <c r="AE78" s="1560"/>
      <c r="AF78" s="1560"/>
      <c r="AG78" s="1560"/>
      <c r="AH78" s="1560"/>
      <c r="AI78" s="1560"/>
      <c r="AJ78" s="1560"/>
      <c r="AL78" s="1562"/>
      <c r="AM78" s="1561"/>
      <c r="AN78" s="1560"/>
      <c r="AO78" s="1560"/>
      <c r="AP78" s="1560"/>
      <c r="AQ78" s="1560"/>
      <c r="AR78" s="1560"/>
      <c r="AS78" s="1560"/>
      <c r="AT78" s="1560"/>
      <c r="AU78" s="1560"/>
      <c r="AV78" s="1560"/>
      <c r="AW78" s="1560"/>
      <c r="AX78" s="1560"/>
      <c r="AY78" s="1560"/>
      <c r="AZ78" s="1560"/>
      <c r="BA78" s="1560"/>
      <c r="BB78" s="1560"/>
      <c r="BC78" s="1560"/>
      <c r="BD78" s="1560"/>
      <c r="BE78" s="1560"/>
      <c r="BF78" s="1560"/>
      <c r="BG78" s="1560"/>
      <c r="BH78" s="1560"/>
      <c r="BI78" s="1560"/>
      <c r="BJ78" s="1560"/>
      <c r="BK78" s="1560"/>
      <c r="BL78" s="1560"/>
      <c r="BM78" s="1560"/>
      <c r="BN78" s="1560"/>
      <c r="BO78" s="1560"/>
      <c r="BP78" s="1560"/>
      <c r="BQ78" s="1560"/>
      <c r="BR78" s="1560"/>
      <c r="BS78" s="1560"/>
      <c r="BT78" s="1560"/>
      <c r="BU78" s="1560"/>
      <c r="BV78" s="1560"/>
      <c r="BW78" s="1560"/>
      <c r="BX78" s="1560"/>
      <c r="BY78" s="1560"/>
      <c r="BZ78" s="1560"/>
      <c r="CA78" s="1560"/>
      <c r="CB78" s="1560"/>
      <c r="CC78" s="1560"/>
      <c r="CD78" s="1560"/>
      <c r="CE78" s="1560"/>
      <c r="CF78" s="1560"/>
      <c r="CG78" s="1560"/>
      <c r="CH78" s="1560"/>
      <c r="CI78" s="1560"/>
      <c r="CJ78" s="1560"/>
      <c r="CL78" s="1562"/>
      <c r="CM78" s="1561"/>
      <c r="CN78" s="1560"/>
      <c r="CO78" s="1560"/>
      <c r="CP78" s="1560"/>
      <c r="CQ78" s="1560"/>
      <c r="CR78" s="1560"/>
      <c r="CS78" s="1560"/>
      <c r="CT78" s="1560"/>
      <c r="CU78" s="1560"/>
      <c r="CV78" s="1560"/>
      <c r="CW78" s="1560"/>
      <c r="CX78" s="1560"/>
      <c r="CY78" s="1560"/>
      <c r="CZ78" s="1560"/>
      <c r="DA78" s="1560"/>
      <c r="DB78" s="1560"/>
      <c r="DC78" s="1560"/>
      <c r="DD78" s="1560"/>
      <c r="DE78" s="1560"/>
      <c r="DF78" s="1560"/>
      <c r="DG78" s="1560"/>
      <c r="DH78" s="1560"/>
      <c r="DI78" s="1560"/>
      <c r="DJ78" s="1560"/>
      <c r="DK78" s="1560"/>
      <c r="DL78" s="1560"/>
      <c r="DM78" s="1560"/>
      <c r="DN78" s="1560"/>
      <c r="DO78" s="1560"/>
    </row>
    <row r="79" spans="1:119" ht="15" customHeight="1">
      <c r="A79" s="1789">
        <v>63</v>
      </c>
      <c r="B79" s="1562"/>
      <c r="C79" s="1561"/>
      <c r="D79" s="1557"/>
      <c r="E79" s="1558"/>
      <c r="F79" s="1558"/>
      <c r="G79" s="1558"/>
      <c r="H79" s="1558"/>
      <c r="I79" s="1558"/>
      <c r="J79" s="1558"/>
      <c r="K79" s="1559"/>
      <c r="L79" s="1559"/>
      <c r="M79" s="1559"/>
      <c r="N79" s="1560"/>
      <c r="O79" s="1560"/>
      <c r="P79" s="1560"/>
      <c r="Q79" s="1560"/>
      <c r="R79" s="1103"/>
      <c r="S79" s="1560"/>
      <c r="T79" s="1560"/>
      <c r="U79" s="1560"/>
      <c r="V79" s="1560"/>
      <c r="W79" s="1560"/>
      <c r="X79" s="1560"/>
      <c r="Y79" s="1560"/>
      <c r="Z79" s="1560"/>
      <c r="AA79" s="1560"/>
      <c r="AB79" s="1560"/>
      <c r="AC79" s="1560"/>
      <c r="AD79" s="1560"/>
      <c r="AE79" s="1560"/>
      <c r="AF79" s="1560"/>
      <c r="AG79" s="1560"/>
      <c r="AH79" s="1560"/>
      <c r="AI79" s="1560"/>
      <c r="AJ79" s="1560"/>
      <c r="AL79" s="1562"/>
      <c r="AM79" s="1561"/>
      <c r="AN79" s="1560"/>
      <c r="AO79" s="1560"/>
      <c r="AP79" s="1560"/>
      <c r="AQ79" s="1560"/>
      <c r="AR79" s="1560"/>
      <c r="AS79" s="1560"/>
      <c r="AT79" s="1560"/>
      <c r="AU79" s="1560"/>
      <c r="AV79" s="1560"/>
      <c r="AW79" s="1560"/>
      <c r="AX79" s="1560"/>
      <c r="AY79" s="1560"/>
      <c r="AZ79" s="1560"/>
      <c r="BA79" s="1560"/>
      <c r="BB79" s="1560"/>
      <c r="BC79" s="1560"/>
      <c r="BD79" s="1560"/>
      <c r="BE79" s="1560"/>
      <c r="BF79" s="1560"/>
      <c r="BG79" s="1560"/>
      <c r="BH79" s="1560"/>
      <c r="BI79" s="1560"/>
      <c r="BJ79" s="1560"/>
      <c r="BK79" s="1560"/>
      <c r="BL79" s="1560"/>
      <c r="BM79" s="1560"/>
      <c r="BN79" s="1560"/>
      <c r="BO79" s="1560"/>
      <c r="BP79" s="1560"/>
      <c r="BQ79" s="1560"/>
      <c r="BR79" s="1560"/>
      <c r="BS79" s="1560"/>
      <c r="BT79" s="1560"/>
      <c r="BU79" s="1560"/>
      <c r="BV79" s="1560"/>
      <c r="BW79" s="1560"/>
      <c r="BX79" s="1560"/>
      <c r="BY79" s="1560"/>
      <c r="BZ79" s="1560"/>
      <c r="CA79" s="1560"/>
      <c r="CB79" s="1560"/>
      <c r="CC79" s="1560"/>
      <c r="CD79" s="1560"/>
      <c r="CE79" s="1560"/>
      <c r="CF79" s="1560"/>
      <c r="CG79" s="1560"/>
      <c r="CH79" s="1560"/>
      <c r="CI79" s="1560"/>
      <c r="CJ79" s="1560"/>
      <c r="CL79" s="1562"/>
      <c r="CM79" s="1561"/>
      <c r="CN79" s="1560"/>
      <c r="CO79" s="1560"/>
      <c r="CP79" s="1560"/>
      <c r="CQ79" s="1560"/>
      <c r="CR79" s="1560"/>
      <c r="CS79" s="1560"/>
      <c r="CT79" s="1560"/>
      <c r="CU79" s="1560"/>
      <c r="CV79" s="1560"/>
      <c r="CW79" s="1560"/>
      <c r="CX79" s="1560"/>
      <c r="CY79" s="1560"/>
      <c r="CZ79" s="1560"/>
      <c r="DA79" s="1560"/>
      <c r="DB79" s="1560"/>
      <c r="DC79" s="1560"/>
      <c r="DD79" s="1560"/>
      <c r="DE79" s="1560"/>
      <c r="DF79" s="1560"/>
      <c r="DG79" s="1560"/>
      <c r="DH79" s="1560"/>
      <c r="DI79" s="1560"/>
      <c r="DJ79" s="1560"/>
      <c r="DK79" s="1560"/>
      <c r="DL79" s="1560"/>
      <c r="DM79" s="1560"/>
      <c r="DN79" s="1560"/>
      <c r="DO79" s="1560"/>
    </row>
    <row r="80" spans="1:119" ht="15" customHeight="1">
      <c r="A80" s="1789">
        <v>64</v>
      </c>
      <c r="B80" s="1562"/>
      <c r="C80" s="1561"/>
      <c r="D80" s="1557"/>
      <c r="E80" s="1558"/>
      <c r="F80" s="1558"/>
      <c r="G80" s="1558"/>
      <c r="H80" s="1558"/>
      <c r="I80" s="1558"/>
      <c r="J80" s="1558"/>
      <c r="K80" s="1559"/>
      <c r="L80" s="1559"/>
      <c r="M80" s="1559"/>
      <c r="N80" s="1560"/>
      <c r="O80" s="1560"/>
      <c r="P80" s="1560"/>
      <c r="Q80" s="1560"/>
      <c r="R80" s="1103"/>
      <c r="S80" s="1560"/>
      <c r="T80" s="1560"/>
      <c r="U80" s="1560"/>
      <c r="V80" s="1560"/>
      <c r="W80" s="1560"/>
      <c r="X80" s="1560"/>
      <c r="Y80" s="1560"/>
      <c r="Z80" s="1560"/>
      <c r="AA80" s="1560"/>
      <c r="AB80" s="1560"/>
      <c r="AC80" s="1560"/>
      <c r="AD80" s="1560"/>
      <c r="AE80" s="1560"/>
      <c r="AF80" s="1560"/>
      <c r="AG80" s="1560"/>
      <c r="AH80" s="1560"/>
      <c r="AI80" s="1560"/>
      <c r="AJ80" s="1560"/>
      <c r="AL80" s="1562"/>
      <c r="AM80" s="1561"/>
      <c r="AN80" s="1560"/>
      <c r="AO80" s="1560"/>
      <c r="AP80" s="1560"/>
      <c r="AQ80" s="1560"/>
      <c r="AR80" s="1560"/>
      <c r="AS80" s="1560"/>
      <c r="AT80" s="1560"/>
      <c r="AU80" s="1560"/>
      <c r="AV80" s="1560"/>
      <c r="AW80" s="1560"/>
      <c r="AX80" s="1560"/>
      <c r="AY80" s="1560"/>
      <c r="AZ80" s="1560"/>
      <c r="BA80" s="1560"/>
      <c r="BB80" s="1560"/>
      <c r="BC80" s="1560"/>
      <c r="BD80" s="1560"/>
      <c r="BE80" s="1560"/>
      <c r="BF80" s="1560"/>
      <c r="BG80" s="1560"/>
      <c r="BH80" s="1560"/>
      <c r="BI80" s="1560"/>
      <c r="BJ80" s="1560"/>
      <c r="BK80" s="1560"/>
      <c r="BL80" s="1560"/>
      <c r="BM80" s="1560"/>
      <c r="BN80" s="1560"/>
      <c r="BO80" s="1560"/>
      <c r="BP80" s="1560"/>
      <c r="BQ80" s="1560"/>
      <c r="BR80" s="1560"/>
      <c r="BS80" s="1560"/>
      <c r="BT80" s="1560"/>
      <c r="BU80" s="1560"/>
      <c r="BV80" s="1560"/>
      <c r="BW80" s="1560"/>
      <c r="BX80" s="1560"/>
      <c r="BY80" s="1560"/>
      <c r="BZ80" s="1560"/>
      <c r="CA80" s="1560"/>
      <c r="CB80" s="1560"/>
      <c r="CC80" s="1560"/>
      <c r="CD80" s="1560"/>
      <c r="CE80" s="1560"/>
      <c r="CF80" s="1560"/>
      <c r="CG80" s="1560"/>
      <c r="CH80" s="1560"/>
      <c r="CI80" s="1560"/>
      <c r="CJ80" s="1560"/>
      <c r="CL80" s="1562"/>
      <c r="CM80" s="1561"/>
      <c r="CN80" s="1560"/>
      <c r="CO80" s="1560"/>
      <c r="CP80" s="1560"/>
      <c r="CQ80" s="1560"/>
      <c r="CR80" s="1560"/>
      <c r="CS80" s="1560"/>
      <c r="CT80" s="1560"/>
      <c r="CU80" s="1560"/>
      <c r="CV80" s="1560"/>
      <c r="CW80" s="1560"/>
      <c r="CX80" s="1560"/>
      <c r="CY80" s="1560"/>
      <c r="CZ80" s="1560"/>
      <c r="DA80" s="1560"/>
      <c r="DB80" s="1560"/>
      <c r="DC80" s="1560"/>
      <c r="DD80" s="1560"/>
      <c r="DE80" s="1560"/>
      <c r="DF80" s="1560"/>
      <c r="DG80" s="1560"/>
      <c r="DH80" s="1560"/>
      <c r="DI80" s="1560"/>
      <c r="DJ80" s="1560"/>
      <c r="DK80" s="1560"/>
      <c r="DL80" s="1560"/>
      <c r="DM80" s="1560"/>
      <c r="DN80" s="1560"/>
      <c r="DO80" s="1560"/>
    </row>
    <row r="81" spans="1:119" ht="15" customHeight="1">
      <c r="A81" s="1789">
        <v>65</v>
      </c>
      <c r="B81" s="1562"/>
      <c r="C81" s="1561"/>
      <c r="D81" s="1557"/>
      <c r="E81" s="1558"/>
      <c r="F81" s="1558"/>
      <c r="G81" s="1558"/>
      <c r="H81" s="1558"/>
      <c r="I81" s="1558"/>
      <c r="J81" s="1558"/>
      <c r="K81" s="1559"/>
      <c r="L81" s="1559"/>
      <c r="M81" s="1559"/>
      <c r="N81" s="1560"/>
      <c r="O81" s="1560"/>
      <c r="P81" s="1560"/>
      <c r="Q81" s="1560"/>
      <c r="R81" s="1103"/>
      <c r="S81" s="1560"/>
      <c r="T81" s="1560"/>
      <c r="U81" s="1560"/>
      <c r="V81" s="1560"/>
      <c r="W81" s="1560"/>
      <c r="X81" s="1560"/>
      <c r="Y81" s="1560"/>
      <c r="Z81" s="1560"/>
      <c r="AA81" s="1560"/>
      <c r="AB81" s="1560"/>
      <c r="AC81" s="1560"/>
      <c r="AD81" s="1560"/>
      <c r="AE81" s="1560"/>
      <c r="AF81" s="1560"/>
      <c r="AG81" s="1560"/>
      <c r="AH81" s="1560"/>
      <c r="AI81" s="1560"/>
      <c r="AJ81" s="1560"/>
      <c r="AL81" s="1562"/>
      <c r="AM81" s="1561"/>
      <c r="AN81" s="1560"/>
      <c r="AO81" s="1560"/>
      <c r="AP81" s="1560"/>
      <c r="AQ81" s="1560"/>
      <c r="AR81" s="1560"/>
      <c r="AS81" s="1560"/>
      <c r="AT81" s="1560"/>
      <c r="AU81" s="1560"/>
      <c r="AV81" s="1560"/>
      <c r="AW81" s="1560"/>
      <c r="AX81" s="1560"/>
      <c r="AY81" s="1560"/>
      <c r="AZ81" s="1560"/>
      <c r="BA81" s="1560"/>
      <c r="BB81" s="1560"/>
      <c r="BC81" s="1560"/>
      <c r="BD81" s="1560"/>
      <c r="BE81" s="1560"/>
      <c r="BF81" s="1560"/>
      <c r="BG81" s="1560"/>
      <c r="BH81" s="1560"/>
      <c r="BI81" s="1560"/>
      <c r="BJ81" s="1560"/>
      <c r="BK81" s="1560"/>
      <c r="BL81" s="1560"/>
      <c r="BM81" s="1560"/>
      <c r="BN81" s="1560"/>
      <c r="BO81" s="1560"/>
      <c r="BP81" s="1560"/>
      <c r="BQ81" s="1560"/>
      <c r="BR81" s="1560"/>
      <c r="BS81" s="1560"/>
      <c r="BT81" s="1560"/>
      <c r="BU81" s="1560"/>
      <c r="BV81" s="1560"/>
      <c r="BW81" s="1560"/>
      <c r="BX81" s="1560"/>
      <c r="BY81" s="1560"/>
      <c r="BZ81" s="1560"/>
      <c r="CA81" s="1560"/>
      <c r="CB81" s="1560"/>
      <c r="CC81" s="1560"/>
      <c r="CD81" s="1560"/>
      <c r="CE81" s="1560"/>
      <c r="CF81" s="1560"/>
      <c r="CG81" s="1560"/>
      <c r="CH81" s="1560"/>
      <c r="CI81" s="1560"/>
      <c r="CJ81" s="1560"/>
      <c r="CL81" s="1562"/>
      <c r="CM81" s="1561"/>
      <c r="CN81" s="1560"/>
      <c r="CO81" s="1560"/>
      <c r="CP81" s="1560"/>
      <c r="CQ81" s="1560"/>
      <c r="CR81" s="1560"/>
      <c r="CS81" s="1560"/>
      <c r="CT81" s="1560"/>
      <c r="CU81" s="1560"/>
      <c r="CV81" s="1560"/>
      <c r="CW81" s="1560"/>
      <c r="CX81" s="1560"/>
      <c r="CY81" s="1560"/>
      <c r="CZ81" s="1560"/>
      <c r="DA81" s="1560"/>
      <c r="DB81" s="1560"/>
      <c r="DC81" s="1560"/>
      <c r="DD81" s="1560"/>
      <c r="DE81" s="1560"/>
      <c r="DF81" s="1560"/>
      <c r="DG81" s="1560"/>
      <c r="DH81" s="1560"/>
      <c r="DI81" s="1560"/>
      <c r="DJ81" s="1560"/>
      <c r="DK81" s="1560"/>
      <c r="DL81" s="1560"/>
      <c r="DM81" s="1560"/>
      <c r="DN81" s="1560"/>
      <c r="DO81" s="1560"/>
    </row>
    <row r="82" spans="1:119" ht="15" customHeight="1">
      <c r="A82" s="1789">
        <v>66</v>
      </c>
      <c r="B82" s="1562"/>
      <c r="C82" s="1561"/>
      <c r="D82" s="1557"/>
      <c r="E82" s="1558"/>
      <c r="F82" s="1558"/>
      <c r="G82" s="1558"/>
      <c r="H82" s="1558"/>
      <c r="I82" s="1558"/>
      <c r="J82" s="1558"/>
      <c r="K82" s="1559"/>
      <c r="L82" s="1559"/>
      <c r="M82" s="1559"/>
      <c r="N82" s="1560"/>
      <c r="O82" s="1560"/>
      <c r="P82" s="1560"/>
      <c r="Q82" s="1560"/>
      <c r="R82" s="1103"/>
      <c r="S82" s="1560"/>
      <c r="T82" s="1560"/>
      <c r="U82" s="1560"/>
      <c r="V82" s="1560"/>
      <c r="W82" s="1560"/>
      <c r="X82" s="1560"/>
      <c r="Y82" s="1560"/>
      <c r="Z82" s="1560"/>
      <c r="AA82" s="1560"/>
      <c r="AB82" s="1560"/>
      <c r="AC82" s="1560"/>
      <c r="AD82" s="1560"/>
      <c r="AE82" s="1560"/>
      <c r="AF82" s="1560"/>
      <c r="AG82" s="1560"/>
      <c r="AH82" s="1560"/>
      <c r="AI82" s="1560"/>
      <c r="AJ82" s="1560"/>
      <c r="AL82" s="1562"/>
      <c r="AM82" s="1561"/>
      <c r="AN82" s="1560"/>
      <c r="AO82" s="1560"/>
      <c r="AP82" s="1560"/>
      <c r="AQ82" s="1560"/>
      <c r="AR82" s="1560"/>
      <c r="AS82" s="1560"/>
      <c r="AT82" s="1560"/>
      <c r="AU82" s="1560"/>
      <c r="AV82" s="1560"/>
      <c r="AW82" s="1560"/>
      <c r="AX82" s="1560"/>
      <c r="AY82" s="1560"/>
      <c r="AZ82" s="1560"/>
      <c r="BA82" s="1560"/>
      <c r="BB82" s="1560"/>
      <c r="BC82" s="1560"/>
      <c r="BD82" s="1560"/>
      <c r="BE82" s="1560"/>
      <c r="BF82" s="1560"/>
      <c r="BG82" s="1560"/>
      <c r="BH82" s="1560"/>
      <c r="BI82" s="1560"/>
      <c r="BJ82" s="1560"/>
      <c r="BK82" s="1560"/>
      <c r="BL82" s="1560"/>
      <c r="BM82" s="1560"/>
      <c r="BN82" s="1560"/>
      <c r="BO82" s="1560"/>
      <c r="BP82" s="1560"/>
      <c r="BQ82" s="1560"/>
      <c r="BR82" s="1560"/>
      <c r="BS82" s="1560"/>
      <c r="BT82" s="1560"/>
      <c r="BU82" s="1560"/>
      <c r="BV82" s="1560"/>
      <c r="BW82" s="1560"/>
      <c r="BX82" s="1560"/>
      <c r="BY82" s="1560"/>
      <c r="BZ82" s="1560"/>
      <c r="CA82" s="1560"/>
      <c r="CB82" s="1560"/>
      <c r="CC82" s="1560"/>
      <c r="CD82" s="1560"/>
      <c r="CE82" s="1560"/>
      <c r="CF82" s="1560"/>
      <c r="CG82" s="1560"/>
      <c r="CH82" s="1560"/>
      <c r="CI82" s="1560"/>
      <c r="CJ82" s="1560"/>
      <c r="CL82" s="1562"/>
      <c r="CM82" s="1561"/>
      <c r="CN82" s="1560"/>
      <c r="CO82" s="1560"/>
      <c r="CP82" s="1560"/>
      <c r="CQ82" s="1560"/>
      <c r="CR82" s="1560"/>
      <c r="CS82" s="1560"/>
      <c r="CT82" s="1560"/>
      <c r="CU82" s="1560"/>
      <c r="CV82" s="1560"/>
      <c r="CW82" s="1560"/>
      <c r="CX82" s="1560"/>
      <c r="CY82" s="1560"/>
      <c r="CZ82" s="1560"/>
      <c r="DA82" s="1560"/>
      <c r="DB82" s="1560"/>
      <c r="DC82" s="1560"/>
      <c r="DD82" s="1560"/>
      <c r="DE82" s="1560"/>
      <c r="DF82" s="1560"/>
      <c r="DG82" s="1560"/>
      <c r="DH82" s="1560"/>
      <c r="DI82" s="1560"/>
      <c r="DJ82" s="1560"/>
      <c r="DK82" s="1560"/>
      <c r="DL82" s="1560"/>
      <c r="DM82" s="1560"/>
      <c r="DN82" s="1560"/>
      <c r="DO82" s="1560"/>
    </row>
    <row r="83" spans="1:119" ht="15" customHeight="1">
      <c r="A83" s="1789">
        <v>67</v>
      </c>
      <c r="B83" s="1562"/>
      <c r="C83" s="1561"/>
      <c r="D83" s="1557"/>
      <c r="E83" s="1558"/>
      <c r="F83" s="1558"/>
      <c r="G83" s="1558"/>
      <c r="H83" s="1558"/>
      <c r="I83" s="1558"/>
      <c r="J83" s="1558"/>
      <c r="K83" s="1559"/>
      <c r="L83" s="1559"/>
      <c r="M83" s="1559"/>
      <c r="N83" s="1560"/>
      <c r="O83" s="1560"/>
      <c r="P83" s="1560"/>
      <c r="Q83" s="1560"/>
      <c r="R83" s="1103"/>
      <c r="S83" s="1560"/>
      <c r="T83" s="1560"/>
      <c r="U83" s="1560"/>
      <c r="V83" s="1560"/>
      <c r="W83" s="1560"/>
      <c r="X83" s="1560"/>
      <c r="Y83" s="1560"/>
      <c r="Z83" s="1560"/>
      <c r="AA83" s="1560"/>
      <c r="AB83" s="1560"/>
      <c r="AC83" s="1560"/>
      <c r="AD83" s="1560"/>
      <c r="AE83" s="1560"/>
      <c r="AF83" s="1560"/>
      <c r="AG83" s="1560"/>
      <c r="AH83" s="1560"/>
      <c r="AI83" s="1560"/>
      <c r="AJ83" s="1560"/>
      <c r="AL83" s="1562"/>
      <c r="AM83" s="1561"/>
      <c r="AN83" s="1560"/>
      <c r="AO83" s="1560"/>
      <c r="AP83" s="1560"/>
      <c r="AQ83" s="1560"/>
      <c r="AR83" s="1560"/>
      <c r="AS83" s="1560"/>
      <c r="AT83" s="1560"/>
      <c r="AU83" s="1560"/>
      <c r="AV83" s="1560"/>
      <c r="AW83" s="1560"/>
      <c r="AX83" s="1560"/>
      <c r="AY83" s="1560"/>
      <c r="AZ83" s="1560"/>
      <c r="BA83" s="1560"/>
      <c r="BB83" s="1560"/>
      <c r="BC83" s="1560"/>
      <c r="BD83" s="1560"/>
      <c r="BE83" s="1560"/>
      <c r="BF83" s="1560"/>
      <c r="BG83" s="1560"/>
      <c r="BH83" s="1560"/>
      <c r="BI83" s="1560"/>
      <c r="BJ83" s="1560"/>
      <c r="BK83" s="1560"/>
      <c r="BL83" s="1560"/>
      <c r="BM83" s="1560"/>
      <c r="BN83" s="1560"/>
      <c r="BO83" s="1560"/>
      <c r="BP83" s="1560"/>
      <c r="BQ83" s="1560"/>
      <c r="BR83" s="1560"/>
      <c r="BS83" s="1560"/>
      <c r="BT83" s="1560"/>
      <c r="BU83" s="1560"/>
      <c r="BV83" s="1560"/>
      <c r="BW83" s="1560"/>
      <c r="BX83" s="1560"/>
      <c r="BY83" s="1560"/>
      <c r="BZ83" s="1560"/>
      <c r="CA83" s="1560"/>
      <c r="CB83" s="1560"/>
      <c r="CC83" s="1560"/>
      <c r="CD83" s="1560"/>
      <c r="CE83" s="1560"/>
      <c r="CF83" s="1560"/>
      <c r="CG83" s="1560"/>
      <c r="CH83" s="1560"/>
      <c r="CI83" s="1560"/>
      <c r="CJ83" s="1560"/>
      <c r="CL83" s="1562"/>
      <c r="CM83" s="1561"/>
      <c r="CN83" s="1560"/>
      <c r="CO83" s="1560"/>
      <c r="CP83" s="1560"/>
      <c r="CQ83" s="1560"/>
      <c r="CR83" s="1560"/>
      <c r="CS83" s="1560"/>
      <c r="CT83" s="1560"/>
      <c r="CU83" s="1560"/>
      <c r="CV83" s="1560"/>
      <c r="CW83" s="1560"/>
      <c r="CX83" s="1560"/>
      <c r="CY83" s="1560"/>
      <c r="CZ83" s="1560"/>
      <c r="DA83" s="1560"/>
      <c r="DB83" s="1560"/>
      <c r="DC83" s="1560"/>
      <c r="DD83" s="1560"/>
      <c r="DE83" s="1560"/>
      <c r="DF83" s="1560"/>
      <c r="DG83" s="1560"/>
      <c r="DH83" s="1560"/>
      <c r="DI83" s="1560"/>
      <c r="DJ83" s="1560"/>
      <c r="DK83" s="1560"/>
      <c r="DL83" s="1560"/>
      <c r="DM83" s="1560"/>
      <c r="DN83" s="1560"/>
      <c r="DO83" s="1560"/>
    </row>
    <row r="84" spans="1:119" ht="15" customHeight="1">
      <c r="A84" s="1789">
        <v>68</v>
      </c>
      <c r="B84" s="1562"/>
      <c r="C84" s="1561"/>
      <c r="D84" s="1557"/>
      <c r="E84" s="1558"/>
      <c r="F84" s="1558"/>
      <c r="G84" s="1558"/>
      <c r="H84" s="1558"/>
      <c r="I84" s="1558"/>
      <c r="J84" s="1558"/>
      <c r="K84" s="1559"/>
      <c r="L84" s="1559"/>
      <c r="M84" s="1559"/>
      <c r="N84" s="1560"/>
      <c r="O84" s="1560"/>
      <c r="P84" s="1560"/>
      <c r="Q84" s="1560"/>
      <c r="R84" s="1103"/>
      <c r="S84" s="1560"/>
      <c r="T84" s="1560"/>
      <c r="U84" s="1560"/>
      <c r="V84" s="1560"/>
      <c r="W84" s="1560"/>
      <c r="X84" s="1560"/>
      <c r="Y84" s="1560"/>
      <c r="Z84" s="1560"/>
      <c r="AA84" s="1560"/>
      <c r="AB84" s="1560"/>
      <c r="AC84" s="1560"/>
      <c r="AD84" s="1560"/>
      <c r="AE84" s="1560"/>
      <c r="AF84" s="1560"/>
      <c r="AG84" s="1560"/>
      <c r="AH84" s="1560"/>
      <c r="AI84" s="1560"/>
      <c r="AJ84" s="1560"/>
      <c r="AL84" s="1562"/>
      <c r="AM84" s="1561"/>
      <c r="AN84" s="1560"/>
      <c r="AO84" s="1560"/>
      <c r="AP84" s="1560"/>
      <c r="AQ84" s="1560"/>
      <c r="AR84" s="1560"/>
      <c r="AS84" s="1560"/>
      <c r="AT84" s="1560"/>
      <c r="AU84" s="1560"/>
      <c r="AV84" s="1560"/>
      <c r="AW84" s="1560"/>
      <c r="AX84" s="1560"/>
      <c r="AY84" s="1560"/>
      <c r="AZ84" s="1560"/>
      <c r="BA84" s="1560"/>
      <c r="BB84" s="1560"/>
      <c r="BC84" s="1560"/>
      <c r="BD84" s="1560"/>
      <c r="BE84" s="1560"/>
      <c r="BF84" s="1560"/>
      <c r="BG84" s="1560"/>
      <c r="BH84" s="1560"/>
      <c r="BI84" s="1560"/>
      <c r="BJ84" s="1560"/>
      <c r="BK84" s="1560"/>
      <c r="BL84" s="1560"/>
      <c r="BM84" s="1560"/>
      <c r="BN84" s="1560"/>
      <c r="BO84" s="1560"/>
      <c r="BP84" s="1560"/>
      <c r="BQ84" s="1560"/>
      <c r="BR84" s="1560"/>
      <c r="BS84" s="1560"/>
      <c r="BT84" s="1560"/>
      <c r="BU84" s="1560"/>
      <c r="BV84" s="1560"/>
      <c r="BW84" s="1560"/>
      <c r="BX84" s="1560"/>
      <c r="BY84" s="1560"/>
      <c r="BZ84" s="1560"/>
      <c r="CA84" s="1560"/>
      <c r="CB84" s="1560"/>
      <c r="CC84" s="1560"/>
      <c r="CD84" s="1560"/>
      <c r="CE84" s="1560"/>
      <c r="CF84" s="1560"/>
      <c r="CG84" s="1560"/>
      <c r="CH84" s="1560"/>
      <c r="CI84" s="1560"/>
      <c r="CJ84" s="1560"/>
      <c r="CL84" s="1562"/>
      <c r="CM84" s="1561"/>
      <c r="CN84" s="1560"/>
      <c r="CO84" s="1560"/>
      <c r="CP84" s="1560"/>
      <c r="CQ84" s="1560"/>
      <c r="CR84" s="1560"/>
      <c r="CS84" s="1560"/>
      <c r="CT84" s="1560"/>
      <c r="CU84" s="1560"/>
      <c r="CV84" s="1560"/>
      <c r="CW84" s="1560"/>
      <c r="CX84" s="1560"/>
      <c r="CY84" s="1560"/>
      <c r="CZ84" s="1560"/>
      <c r="DA84" s="1560"/>
      <c r="DB84" s="1560"/>
      <c r="DC84" s="1560"/>
      <c r="DD84" s="1560"/>
      <c r="DE84" s="1560"/>
      <c r="DF84" s="1560"/>
      <c r="DG84" s="1560"/>
      <c r="DH84" s="1560"/>
      <c r="DI84" s="1560"/>
      <c r="DJ84" s="1560"/>
      <c r="DK84" s="1560"/>
      <c r="DL84" s="1560"/>
      <c r="DM84" s="1560"/>
      <c r="DN84" s="1560"/>
      <c r="DO84" s="1560"/>
    </row>
    <row r="85" spans="1:119" ht="15" customHeight="1">
      <c r="A85" s="1789">
        <v>69</v>
      </c>
      <c r="B85" s="1562"/>
      <c r="C85" s="1561"/>
      <c r="D85" s="1557"/>
      <c r="E85" s="1558"/>
      <c r="F85" s="1558"/>
      <c r="G85" s="1558"/>
      <c r="H85" s="1558"/>
      <c r="I85" s="1558"/>
      <c r="J85" s="1558"/>
      <c r="K85" s="1559"/>
      <c r="L85" s="1559"/>
      <c r="M85" s="1559"/>
      <c r="N85" s="1560"/>
      <c r="O85" s="1560"/>
      <c r="P85" s="1560"/>
      <c r="Q85" s="1560"/>
      <c r="R85" s="1103"/>
      <c r="S85" s="1560"/>
      <c r="T85" s="1560"/>
      <c r="U85" s="1560"/>
      <c r="V85" s="1560"/>
      <c r="W85" s="1560"/>
      <c r="X85" s="1560"/>
      <c r="Y85" s="1560"/>
      <c r="Z85" s="1560"/>
      <c r="AA85" s="1560"/>
      <c r="AB85" s="1560"/>
      <c r="AC85" s="1560"/>
      <c r="AD85" s="1560"/>
      <c r="AE85" s="1560"/>
      <c r="AF85" s="1560"/>
      <c r="AG85" s="1560"/>
      <c r="AH85" s="1560"/>
      <c r="AI85" s="1560"/>
      <c r="AJ85" s="1560"/>
      <c r="AL85" s="1562"/>
      <c r="AM85" s="1561"/>
      <c r="AN85" s="1560"/>
      <c r="AO85" s="1560"/>
      <c r="AP85" s="1560"/>
      <c r="AQ85" s="1560"/>
      <c r="AR85" s="1560"/>
      <c r="AS85" s="1560"/>
      <c r="AT85" s="1560"/>
      <c r="AU85" s="1560"/>
      <c r="AV85" s="1560"/>
      <c r="AW85" s="1560"/>
      <c r="AX85" s="1560"/>
      <c r="AY85" s="1560"/>
      <c r="AZ85" s="1560"/>
      <c r="BA85" s="1560"/>
      <c r="BB85" s="1560"/>
      <c r="BC85" s="1560"/>
      <c r="BD85" s="1560"/>
      <c r="BE85" s="1560"/>
      <c r="BF85" s="1560"/>
      <c r="BG85" s="1560"/>
      <c r="BH85" s="1560"/>
      <c r="BI85" s="1560"/>
      <c r="BJ85" s="1560"/>
      <c r="BK85" s="1560"/>
      <c r="BL85" s="1560"/>
      <c r="BM85" s="1560"/>
      <c r="BN85" s="1560"/>
      <c r="BO85" s="1560"/>
      <c r="BP85" s="1560"/>
      <c r="BQ85" s="1560"/>
      <c r="BR85" s="1560"/>
      <c r="BS85" s="1560"/>
      <c r="BT85" s="1560"/>
      <c r="BU85" s="1560"/>
      <c r="BV85" s="1560"/>
      <c r="BW85" s="1560"/>
      <c r="BX85" s="1560"/>
      <c r="BY85" s="1560"/>
      <c r="BZ85" s="1560"/>
      <c r="CA85" s="1560"/>
      <c r="CB85" s="1560"/>
      <c r="CC85" s="1560"/>
      <c r="CD85" s="1560"/>
      <c r="CE85" s="1560"/>
      <c r="CF85" s="1560"/>
      <c r="CG85" s="1560"/>
      <c r="CH85" s="1560"/>
      <c r="CI85" s="1560"/>
      <c r="CJ85" s="1560"/>
      <c r="CL85" s="1562"/>
      <c r="CM85" s="1561"/>
      <c r="CN85" s="1560"/>
      <c r="CO85" s="1560"/>
      <c r="CP85" s="1560"/>
      <c r="CQ85" s="1560"/>
      <c r="CR85" s="1560"/>
      <c r="CS85" s="1560"/>
      <c r="CT85" s="1560"/>
      <c r="CU85" s="1560"/>
      <c r="CV85" s="1560"/>
      <c r="CW85" s="1560"/>
      <c r="CX85" s="1560"/>
      <c r="CY85" s="1560"/>
      <c r="CZ85" s="1560"/>
      <c r="DA85" s="1560"/>
      <c r="DB85" s="1560"/>
      <c r="DC85" s="1560"/>
      <c r="DD85" s="1560"/>
      <c r="DE85" s="1560"/>
      <c r="DF85" s="1560"/>
      <c r="DG85" s="1560"/>
      <c r="DH85" s="1560"/>
      <c r="DI85" s="1560"/>
      <c r="DJ85" s="1560"/>
      <c r="DK85" s="1560"/>
      <c r="DL85" s="1560"/>
      <c r="DM85" s="1560"/>
      <c r="DN85" s="1560"/>
      <c r="DO85" s="1560"/>
    </row>
    <row r="86" spans="1:119" ht="15" customHeight="1">
      <c r="A86" s="1789">
        <v>70</v>
      </c>
      <c r="B86" s="1562"/>
      <c r="C86" s="1561"/>
      <c r="D86" s="1557"/>
      <c r="E86" s="1558"/>
      <c r="F86" s="1558"/>
      <c r="G86" s="1558"/>
      <c r="H86" s="1558"/>
      <c r="I86" s="1558"/>
      <c r="J86" s="1558"/>
      <c r="K86" s="1559"/>
      <c r="L86" s="1559"/>
      <c r="M86" s="1559"/>
      <c r="N86" s="1560"/>
      <c r="O86" s="1560"/>
      <c r="P86" s="1560"/>
      <c r="Q86" s="1560"/>
      <c r="R86" s="1103"/>
      <c r="S86" s="1560"/>
      <c r="T86" s="1560"/>
      <c r="U86" s="1560"/>
      <c r="V86" s="1560"/>
      <c r="W86" s="1560"/>
      <c r="X86" s="1560"/>
      <c r="Y86" s="1560"/>
      <c r="Z86" s="1560"/>
      <c r="AA86" s="1560"/>
      <c r="AB86" s="1560"/>
      <c r="AC86" s="1560"/>
      <c r="AD86" s="1560"/>
      <c r="AE86" s="1560"/>
      <c r="AF86" s="1560"/>
      <c r="AG86" s="1560"/>
      <c r="AH86" s="1560"/>
      <c r="AI86" s="1560"/>
      <c r="AJ86" s="1560"/>
      <c r="AL86" s="1562"/>
      <c r="AM86" s="1561"/>
      <c r="AN86" s="1560"/>
      <c r="AO86" s="1560"/>
      <c r="AP86" s="1560"/>
      <c r="AQ86" s="1560"/>
      <c r="AR86" s="1560"/>
      <c r="AS86" s="1560"/>
      <c r="AT86" s="1560"/>
      <c r="AU86" s="1560"/>
      <c r="AV86" s="1560"/>
      <c r="AW86" s="1560"/>
      <c r="AX86" s="1560"/>
      <c r="AY86" s="1560"/>
      <c r="AZ86" s="1560"/>
      <c r="BA86" s="1560"/>
      <c r="BB86" s="1560"/>
      <c r="BC86" s="1560"/>
      <c r="BD86" s="1560"/>
      <c r="BE86" s="1560"/>
      <c r="BF86" s="1560"/>
      <c r="BG86" s="1560"/>
      <c r="BH86" s="1560"/>
      <c r="BI86" s="1560"/>
      <c r="BJ86" s="1560"/>
      <c r="BK86" s="1560"/>
      <c r="BL86" s="1560"/>
      <c r="BM86" s="1560"/>
      <c r="BN86" s="1560"/>
      <c r="BO86" s="1560"/>
      <c r="BP86" s="1560"/>
      <c r="BQ86" s="1560"/>
      <c r="BR86" s="1560"/>
      <c r="BS86" s="1560"/>
      <c r="BT86" s="1560"/>
      <c r="BU86" s="1560"/>
      <c r="BV86" s="1560"/>
      <c r="BW86" s="1560"/>
      <c r="BX86" s="1560"/>
      <c r="BY86" s="1560"/>
      <c r="BZ86" s="1560"/>
      <c r="CA86" s="1560"/>
      <c r="CB86" s="1560"/>
      <c r="CC86" s="1560"/>
      <c r="CD86" s="1560"/>
      <c r="CE86" s="1560"/>
      <c r="CF86" s="1560"/>
      <c r="CG86" s="1560"/>
      <c r="CH86" s="1560"/>
      <c r="CI86" s="1560"/>
      <c r="CJ86" s="1560"/>
      <c r="CL86" s="1562"/>
      <c r="CM86" s="1561"/>
      <c r="CN86" s="1560"/>
      <c r="CO86" s="1560"/>
      <c r="CP86" s="1560"/>
      <c r="CQ86" s="1560"/>
      <c r="CR86" s="1560"/>
      <c r="CS86" s="1560"/>
      <c r="CT86" s="1560"/>
      <c r="CU86" s="1560"/>
      <c r="CV86" s="1560"/>
      <c r="CW86" s="1560"/>
      <c r="CX86" s="1560"/>
      <c r="CY86" s="1560"/>
      <c r="CZ86" s="1560"/>
      <c r="DA86" s="1560"/>
      <c r="DB86" s="1560"/>
      <c r="DC86" s="1560"/>
      <c r="DD86" s="1560"/>
      <c r="DE86" s="1560"/>
      <c r="DF86" s="1560"/>
      <c r="DG86" s="1560"/>
      <c r="DH86" s="1560"/>
      <c r="DI86" s="1560"/>
      <c r="DJ86" s="1560"/>
      <c r="DK86" s="1560"/>
      <c r="DL86" s="1560"/>
      <c r="DM86" s="1560"/>
      <c r="DN86" s="1560"/>
      <c r="DO86" s="1560"/>
    </row>
    <row r="87" spans="1:119" ht="15" customHeight="1">
      <c r="A87" s="1789">
        <v>71</v>
      </c>
      <c r="B87" s="1562"/>
      <c r="C87" s="1561"/>
      <c r="D87" s="1557"/>
      <c r="E87" s="1558"/>
      <c r="F87" s="1558"/>
      <c r="G87" s="1558"/>
      <c r="H87" s="1558"/>
      <c r="I87" s="1558"/>
      <c r="J87" s="1558"/>
      <c r="K87" s="1559"/>
      <c r="L87" s="1559"/>
      <c r="M87" s="1559"/>
      <c r="N87" s="1560"/>
      <c r="O87" s="1560"/>
      <c r="P87" s="1560"/>
      <c r="Q87" s="1560"/>
      <c r="R87" s="1103"/>
      <c r="S87" s="1560"/>
      <c r="T87" s="1560"/>
      <c r="U87" s="1560"/>
      <c r="V87" s="1560"/>
      <c r="W87" s="1560"/>
      <c r="X87" s="1560"/>
      <c r="Y87" s="1560"/>
      <c r="Z87" s="1560"/>
      <c r="AA87" s="1560"/>
      <c r="AB87" s="1560"/>
      <c r="AC87" s="1560"/>
      <c r="AD87" s="1560"/>
      <c r="AE87" s="1560"/>
      <c r="AF87" s="1560"/>
      <c r="AG87" s="1560"/>
      <c r="AH87" s="1560"/>
      <c r="AI87" s="1560"/>
      <c r="AJ87" s="1560"/>
      <c r="AL87" s="1562"/>
      <c r="AM87" s="1561"/>
      <c r="AN87" s="1560"/>
      <c r="AO87" s="1560"/>
      <c r="AP87" s="1560"/>
      <c r="AQ87" s="1560"/>
      <c r="AR87" s="1560"/>
      <c r="AS87" s="1560"/>
      <c r="AT87" s="1560"/>
      <c r="AU87" s="1560"/>
      <c r="AV87" s="1560"/>
      <c r="AW87" s="1560"/>
      <c r="AX87" s="1560"/>
      <c r="AY87" s="1560"/>
      <c r="AZ87" s="1560"/>
      <c r="BA87" s="1560"/>
      <c r="BB87" s="1560"/>
      <c r="BC87" s="1560"/>
      <c r="BD87" s="1560"/>
      <c r="BE87" s="1560"/>
      <c r="BF87" s="1560"/>
      <c r="BG87" s="1560"/>
      <c r="BH87" s="1560"/>
      <c r="BI87" s="1560"/>
      <c r="BJ87" s="1560"/>
      <c r="BK87" s="1560"/>
      <c r="BL87" s="1560"/>
      <c r="BM87" s="1560"/>
      <c r="BN87" s="1560"/>
      <c r="BO87" s="1560"/>
      <c r="BP87" s="1560"/>
      <c r="BQ87" s="1560"/>
      <c r="BR87" s="1560"/>
      <c r="BS87" s="1560"/>
      <c r="BT87" s="1560"/>
      <c r="BU87" s="1560"/>
      <c r="BV87" s="1560"/>
      <c r="BW87" s="1560"/>
      <c r="BX87" s="1560"/>
      <c r="BY87" s="1560"/>
      <c r="BZ87" s="1560"/>
      <c r="CA87" s="1560"/>
      <c r="CB87" s="1560"/>
      <c r="CC87" s="1560"/>
      <c r="CD87" s="1560"/>
      <c r="CE87" s="1560"/>
      <c r="CF87" s="1560"/>
      <c r="CG87" s="1560"/>
      <c r="CH87" s="1560"/>
      <c r="CI87" s="1560"/>
      <c r="CJ87" s="1560"/>
      <c r="CL87" s="1562"/>
      <c r="CM87" s="1561"/>
      <c r="CN87" s="1560"/>
      <c r="CO87" s="1560"/>
      <c r="CP87" s="1560"/>
      <c r="CQ87" s="1560"/>
      <c r="CR87" s="1560"/>
      <c r="CS87" s="1560"/>
      <c r="CT87" s="1560"/>
      <c r="CU87" s="1560"/>
      <c r="CV87" s="1560"/>
      <c r="CW87" s="1560"/>
      <c r="CX87" s="1560"/>
      <c r="CY87" s="1560"/>
      <c r="CZ87" s="1560"/>
      <c r="DA87" s="1560"/>
      <c r="DB87" s="1560"/>
      <c r="DC87" s="1560"/>
      <c r="DD87" s="1560"/>
      <c r="DE87" s="1560"/>
      <c r="DF87" s="1560"/>
      <c r="DG87" s="1560"/>
      <c r="DH87" s="1560"/>
      <c r="DI87" s="1560"/>
      <c r="DJ87" s="1560"/>
      <c r="DK87" s="1560"/>
      <c r="DL87" s="1560"/>
      <c r="DM87" s="1560"/>
      <c r="DN87" s="1560"/>
      <c r="DO87" s="1560"/>
    </row>
    <row r="88" spans="1:119" ht="15" customHeight="1">
      <c r="A88" s="1789">
        <v>72</v>
      </c>
      <c r="B88" s="1562"/>
      <c r="C88" s="1561"/>
      <c r="D88" s="1557"/>
      <c r="E88" s="1558"/>
      <c r="F88" s="1558"/>
      <c r="G88" s="1558"/>
      <c r="H88" s="1558"/>
      <c r="I88" s="1558"/>
      <c r="J88" s="1558"/>
      <c r="K88" s="1559"/>
      <c r="L88" s="1559"/>
      <c r="M88" s="1559"/>
      <c r="N88" s="1560"/>
      <c r="O88" s="1560"/>
      <c r="P88" s="1560"/>
      <c r="Q88" s="1560"/>
      <c r="R88" s="1103"/>
      <c r="S88" s="1560"/>
      <c r="T88" s="1560"/>
      <c r="U88" s="1560"/>
      <c r="V88" s="1560"/>
      <c r="W88" s="1560"/>
      <c r="X88" s="1560"/>
      <c r="Y88" s="1560"/>
      <c r="Z88" s="1560"/>
      <c r="AA88" s="1560"/>
      <c r="AB88" s="1560"/>
      <c r="AC88" s="1560"/>
      <c r="AD88" s="1560"/>
      <c r="AE88" s="1560"/>
      <c r="AF88" s="1560"/>
      <c r="AG88" s="1560"/>
      <c r="AH88" s="1560"/>
      <c r="AI88" s="1560"/>
      <c r="AJ88" s="1560"/>
      <c r="AL88" s="1562"/>
      <c r="AM88" s="1561"/>
      <c r="AN88" s="1560"/>
      <c r="AO88" s="1560"/>
      <c r="AP88" s="1560"/>
      <c r="AQ88" s="1560"/>
      <c r="AR88" s="1560"/>
      <c r="AS88" s="1560"/>
      <c r="AT88" s="1560"/>
      <c r="AU88" s="1560"/>
      <c r="AV88" s="1560"/>
      <c r="AW88" s="1560"/>
      <c r="AX88" s="1560"/>
      <c r="AY88" s="1560"/>
      <c r="AZ88" s="1560"/>
      <c r="BA88" s="1560"/>
      <c r="BB88" s="1560"/>
      <c r="BC88" s="1560"/>
      <c r="BD88" s="1560"/>
      <c r="BE88" s="1560"/>
      <c r="BF88" s="1560"/>
      <c r="BG88" s="1560"/>
      <c r="BH88" s="1560"/>
      <c r="BI88" s="1560"/>
      <c r="BJ88" s="1560"/>
      <c r="BK88" s="1560"/>
      <c r="BL88" s="1560"/>
      <c r="BM88" s="1560"/>
      <c r="BN88" s="1560"/>
      <c r="BO88" s="1560"/>
      <c r="BP88" s="1560"/>
      <c r="BQ88" s="1560"/>
      <c r="BR88" s="1560"/>
      <c r="BS88" s="1560"/>
      <c r="BT88" s="1560"/>
      <c r="BU88" s="1560"/>
      <c r="BV88" s="1560"/>
      <c r="BW88" s="1560"/>
      <c r="BX88" s="1560"/>
      <c r="BY88" s="1560"/>
      <c r="BZ88" s="1560"/>
      <c r="CA88" s="1560"/>
      <c r="CB88" s="1560"/>
      <c r="CC88" s="1560"/>
      <c r="CD88" s="1560"/>
      <c r="CE88" s="1560"/>
      <c r="CF88" s="1560"/>
      <c r="CG88" s="1560"/>
      <c r="CH88" s="1560"/>
      <c r="CI88" s="1560"/>
      <c r="CJ88" s="1560"/>
      <c r="CL88" s="1562"/>
      <c r="CM88" s="1561"/>
      <c r="CN88" s="1560"/>
      <c r="CO88" s="1560"/>
      <c r="CP88" s="1560"/>
      <c r="CQ88" s="1560"/>
      <c r="CR88" s="1560"/>
      <c r="CS88" s="1560"/>
      <c r="CT88" s="1560"/>
      <c r="CU88" s="1560"/>
      <c r="CV88" s="1560"/>
      <c r="CW88" s="1560"/>
      <c r="CX88" s="1560"/>
      <c r="CY88" s="1560"/>
      <c r="CZ88" s="1560"/>
      <c r="DA88" s="1560"/>
      <c r="DB88" s="1560"/>
      <c r="DC88" s="1560"/>
      <c r="DD88" s="1560"/>
      <c r="DE88" s="1560"/>
      <c r="DF88" s="1560"/>
      <c r="DG88" s="1560"/>
      <c r="DH88" s="1560"/>
      <c r="DI88" s="1560"/>
      <c r="DJ88" s="1560"/>
      <c r="DK88" s="1560"/>
      <c r="DL88" s="1560"/>
      <c r="DM88" s="1560"/>
      <c r="DN88" s="1560"/>
      <c r="DO88" s="1560"/>
    </row>
    <row r="89" spans="1:119" ht="15" customHeight="1">
      <c r="A89" s="1789">
        <v>73</v>
      </c>
      <c r="B89" s="1562"/>
      <c r="C89" s="1561"/>
      <c r="D89" s="1557"/>
      <c r="E89" s="1558"/>
      <c r="F89" s="1558"/>
      <c r="G89" s="1558"/>
      <c r="H89" s="1558"/>
      <c r="I89" s="1558"/>
      <c r="J89" s="1558"/>
      <c r="K89" s="1559"/>
      <c r="L89" s="1559"/>
      <c r="M89" s="1559"/>
      <c r="N89" s="1560"/>
      <c r="O89" s="1560"/>
      <c r="P89" s="1560"/>
      <c r="Q89" s="1560"/>
      <c r="R89" s="1103"/>
      <c r="S89" s="1560"/>
      <c r="T89" s="1560"/>
      <c r="U89" s="1560"/>
      <c r="V89" s="1560"/>
      <c r="W89" s="1560"/>
      <c r="X89" s="1560"/>
      <c r="Y89" s="1560"/>
      <c r="Z89" s="1560"/>
      <c r="AA89" s="1560"/>
      <c r="AB89" s="1560"/>
      <c r="AC89" s="1560"/>
      <c r="AD89" s="1560"/>
      <c r="AE89" s="1560"/>
      <c r="AF89" s="1560"/>
      <c r="AG89" s="1560"/>
      <c r="AH89" s="1560"/>
      <c r="AI89" s="1560"/>
      <c r="AJ89" s="1560"/>
      <c r="AL89" s="1562"/>
      <c r="AM89" s="1561"/>
      <c r="AN89" s="1560"/>
      <c r="AO89" s="1560"/>
      <c r="AP89" s="1560"/>
      <c r="AQ89" s="1560"/>
      <c r="AR89" s="1560"/>
      <c r="AS89" s="1560"/>
      <c r="AT89" s="1560"/>
      <c r="AU89" s="1560"/>
      <c r="AV89" s="1560"/>
      <c r="AW89" s="1560"/>
      <c r="AX89" s="1560"/>
      <c r="AY89" s="1560"/>
      <c r="AZ89" s="1560"/>
      <c r="BA89" s="1560"/>
      <c r="BB89" s="1560"/>
      <c r="BC89" s="1560"/>
      <c r="BD89" s="1560"/>
      <c r="BE89" s="1560"/>
      <c r="BF89" s="1560"/>
      <c r="BG89" s="1560"/>
      <c r="BH89" s="1560"/>
      <c r="BI89" s="1560"/>
      <c r="BJ89" s="1560"/>
      <c r="BK89" s="1560"/>
      <c r="BL89" s="1560"/>
      <c r="BM89" s="1560"/>
      <c r="BN89" s="1560"/>
      <c r="BO89" s="1560"/>
      <c r="BP89" s="1560"/>
      <c r="BQ89" s="1560"/>
      <c r="BR89" s="1560"/>
      <c r="BS89" s="1560"/>
      <c r="BT89" s="1560"/>
      <c r="BU89" s="1560"/>
      <c r="BV89" s="1560"/>
      <c r="BW89" s="1560"/>
      <c r="BX89" s="1560"/>
      <c r="BY89" s="1560"/>
      <c r="BZ89" s="1560"/>
      <c r="CA89" s="1560"/>
      <c r="CB89" s="1560"/>
      <c r="CC89" s="1560"/>
      <c r="CD89" s="1560"/>
      <c r="CE89" s="1560"/>
      <c r="CF89" s="1560"/>
      <c r="CG89" s="1560"/>
      <c r="CH89" s="1560"/>
      <c r="CI89" s="1560"/>
      <c r="CJ89" s="1560"/>
      <c r="CL89" s="1562"/>
      <c r="CM89" s="1561"/>
      <c r="CN89" s="1560"/>
      <c r="CO89" s="1560"/>
      <c r="CP89" s="1560"/>
      <c r="CQ89" s="1560"/>
      <c r="CR89" s="1560"/>
      <c r="CS89" s="1560"/>
      <c r="CT89" s="1560"/>
      <c r="CU89" s="1560"/>
      <c r="CV89" s="1560"/>
      <c r="CW89" s="1560"/>
      <c r="CX89" s="1560"/>
      <c r="CY89" s="1560"/>
      <c r="CZ89" s="1560"/>
      <c r="DA89" s="1560"/>
      <c r="DB89" s="1560"/>
      <c r="DC89" s="1560"/>
      <c r="DD89" s="1560"/>
      <c r="DE89" s="1560"/>
      <c r="DF89" s="1560"/>
      <c r="DG89" s="1560"/>
      <c r="DH89" s="1560"/>
      <c r="DI89" s="1560"/>
      <c r="DJ89" s="1560"/>
      <c r="DK89" s="1560"/>
      <c r="DL89" s="1560"/>
      <c r="DM89" s="1560"/>
      <c r="DN89" s="1560"/>
      <c r="DO89" s="1560"/>
    </row>
    <row r="90" spans="1:119" ht="15" customHeight="1">
      <c r="A90" s="1789">
        <v>74</v>
      </c>
      <c r="B90" s="1562"/>
      <c r="C90" s="1561"/>
      <c r="D90" s="1557"/>
      <c r="E90" s="1558"/>
      <c r="F90" s="1558"/>
      <c r="G90" s="1558"/>
      <c r="H90" s="1558"/>
      <c r="I90" s="1558"/>
      <c r="J90" s="1558"/>
      <c r="K90" s="1559"/>
      <c r="L90" s="1559"/>
      <c r="M90" s="1559"/>
      <c r="N90" s="1560"/>
      <c r="O90" s="1560"/>
      <c r="P90" s="1560"/>
      <c r="Q90" s="1560"/>
      <c r="R90" s="1103"/>
      <c r="S90" s="1560"/>
      <c r="T90" s="1560"/>
      <c r="U90" s="1560"/>
      <c r="V90" s="1560"/>
      <c r="W90" s="1560"/>
      <c r="X90" s="1560"/>
      <c r="Y90" s="1560"/>
      <c r="Z90" s="1560"/>
      <c r="AA90" s="1560"/>
      <c r="AB90" s="1560"/>
      <c r="AC90" s="1560"/>
      <c r="AD90" s="1560"/>
      <c r="AE90" s="1560"/>
      <c r="AF90" s="1560"/>
      <c r="AG90" s="1560"/>
      <c r="AH90" s="1560"/>
      <c r="AI90" s="1560"/>
      <c r="AJ90" s="1560"/>
      <c r="AL90" s="1562"/>
      <c r="AM90" s="1561"/>
      <c r="AN90" s="1560"/>
      <c r="AO90" s="1560"/>
      <c r="AP90" s="1560"/>
      <c r="AQ90" s="1560"/>
      <c r="AR90" s="1560"/>
      <c r="AS90" s="1560"/>
      <c r="AT90" s="1560"/>
      <c r="AU90" s="1560"/>
      <c r="AV90" s="1560"/>
      <c r="AW90" s="1560"/>
      <c r="AX90" s="1560"/>
      <c r="AY90" s="1560"/>
      <c r="AZ90" s="1560"/>
      <c r="BA90" s="1560"/>
      <c r="BB90" s="1560"/>
      <c r="BC90" s="1560"/>
      <c r="BD90" s="1560"/>
      <c r="BE90" s="1560"/>
      <c r="BF90" s="1560"/>
      <c r="BG90" s="1560"/>
      <c r="BH90" s="1560"/>
      <c r="BI90" s="1560"/>
      <c r="BJ90" s="1560"/>
      <c r="BK90" s="1560"/>
      <c r="BL90" s="1560"/>
      <c r="BM90" s="1560"/>
      <c r="BN90" s="1560"/>
      <c r="BO90" s="1560"/>
      <c r="BP90" s="1560"/>
      <c r="BQ90" s="1560"/>
      <c r="BR90" s="1560"/>
      <c r="BS90" s="1560"/>
      <c r="BT90" s="1560"/>
      <c r="BU90" s="1560"/>
      <c r="BV90" s="1560"/>
      <c r="BW90" s="1560"/>
      <c r="BX90" s="1560"/>
      <c r="BY90" s="1560"/>
      <c r="BZ90" s="1560"/>
      <c r="CA90" s="1560"/>
      <c r="CB90" s="1560"/>
      <c r="CC90" s="1560"/>
      <c r="CD90" s="1560"/>
      <c r="CE90" s="1560"/>
      <c r="CF90" s="1560"/>
      <c r="CG90" s="1560"/>
      <c r="CH90" s="1560"/>
      <c r="CI90" s="1560"/>
      <c r="CJ90" s="1560"/>
      <c r="CL90" s="1562"/>
      <c r="CM90" s="1561"/>
      <c r="CN90" s="1560"/>
      <c r="CO90" s="1560"/>
      <c r="CP90" s="1560"/>
      <c r="CQ90" s="1560"/>
      <c r="CR90" s="1560"/>
      <c r="CS90" s="1560"/>
      <c r="CT90" s="1560"/>
      <c r="CU90" s="1560"/>
      <c r="CV90" s="1560"/>
      <c r="CW90" s="1560"/>
      <c r="CX90" s="1560"/>
      <c r="CY90" s="1560"/>
      <c r="CZ90" s="1560"/>
      <c r="DA90" s="1560"/>
      <c r="DB90" s="1560"/>
      <c r="DC90" s="1560"/>
      <c r="DD90" s="1560"/>
      <c r="DE90" s="1560"/>
      <c r="DF90" s="1560"/>
      <c r="DG90" s="1560"/>
      <c r="DH90" s="1560"/>
      <c r="DI90" s="1560"/>
      <c r="DJ90" s="1560"/>
      <c r="DK90" s="1560"/>
      <c r="DL90" s="1560"/>
      <c r="DM90" s="1560"/>
      <c r="DN90" s="1560"/>
      <c r="DO90" s="1560"/>
    </row>
    <row r="91" spans="1:119" ht="15" customHeight="1">
      <c r="A91" s="1789">
        <v>75</v>
      </c>
      <c r="B91" s="1562"/>
      <c r="C91" s="1561"/>
      <c r="D91" s="1557"/>
      <c r="E91" s="1558"/>
      <c r="F91" s="1558"/>
      <c r="G91" s="1558"/>
      <c r="H91" s="1558"/>
      <c r="I91" s="1558"/>
      <c r="J91" s="1558"/>
      <c r="K91" s="1559"/>
      <c r="L91" s="1559"/>
      <c r="M91" s="1559"/>
      <c r="N91" s="1560"/>
      <c r="O91" s="1560"/>
      <c r="P91" s="1560"/>
      <c r="Q91" s="1560"/>
      <c r="R91" s="1103"/>
      <c r="S91" s="1560"/>
      <c r="T91" s="1560"/>
      <c r="U91" s="1560"/>
      <c r="V91" s="1560"/>
      <c r="W91" s="1560"/>
      <c r="X91" s="1560"/>
      <c r="Y91" s="1560"/>
      <c r="Z91" s="1560"/>
      <c r="AA91" s="1560"/>
      <c r="AB91" s="1560"/>
      <c r="AC91" s="1560"/>
      <c r="AD91" s="1560"/>
      <c r="AE91" s="1560"/>
      <c r="AF91" s="1560"/>
      <c r="AG91" s="1560"/>
      <c r="AH91" s="1560"/>
      <c r="AI91" s="1560"/>
      <c r="AJ91" s="1560"/>
      <c r="AL91" s="1562"/>
      <c r="AM91" s="1561"/>
      <c r="AN91" s="1560"/>
      <c r="AO91" s="1560"/>
      <c r="AP91" s="1560"/>
      <c r="AQ91" s="1560"/>
      <c r="AR91" s="1560"/>
      <c r="AS91" s="1560"/>
      <c r="AT91" s="1560"/>
      <c r="AU91" s="1560"/>
      <c r="AV91" s="1560"/>
      <c r="AW91" s="1560"/>
      <c r="AX91" s="1560"/>
      <c r="AY91" s="1560"/>
      <c r="AZ91" s="1560"/>
      <c r="BA91" s="1560"/>
      <c r="BB91" s="1560"/>
      <c r="BC91" s="1560"/>
      <c r="BD91" s="1560"/>
      <c r="BE91" s="1560"/>
      <c r="BF91" s="1560"/>
      <c r="BG91" s="1560"/>
      <c r="BH91" s="1560"/>
      <c r="BI91" s="1560"/>
      <c r="BJ91" s="1560"/>
      <c r="BK91" s="1560"/>
      <c r="BL91" s="1560"/>
      <c r="BM91" s="1560"/>
      <c r="BN91" s="1560"/>
      <c r="BO91" s="1560"/>
      <c r="BP91" s="1560"/>
      <c r="BQ91" s="1560"/>
      <c r="BR91" s="1560"/>
      <c r="BS91" s="1560"/>
      <c r="BT91" s="1560"/>
      <c r="BU91" s="1560"/>
      <c r="BV91" s="1560"/>
      <c r="BW91" s="1560"/>
      <c r="BX91" s="1560"/>
      <c r="BY91" s="1560"/>
      <c r="BZ91" s="1560"/>
      <c r="CA91" s="1560"/>
      <c r="CB91" s="1560"/>
      <c r="CC91" s="1560"/>
      <c r="CD91" s="1560"/>
      <c r="CE91" s="1560"/>
      <c r="CF91" s="1560"/>
      <c r="CG91" s="1560"/>
      <c r="CH91" s="1560"/>
      <c r="CI91" s="1560"/>
      <c r="CJ91" s="1560"/>
      <c r="CL91" s="1562"/>
      <c r="CM91" s="1561"/>
      <c r="CN91" s="1560"/>
      <c r="CO91" s="1560"/>
      <c r="CP91" s="1560"/>
      <c r="CQ91" s="1560"/>
      <c r="CR91" s="1560"/>
      <c r="CS91" s="1560"/>
      <c r="CT91" s="1560"/>
      <c r="CU91" s="1560"/>
      <c r="CV91" s="1560"/>
      <c r="CW91" s="1560"/>
      <c r="CX91" s="1560"/>
      <c r="CY91" s="1560"/>
      <c r="CZ91" s="1560"/>
      <c r="DA91" s="1560"/>
      <c r="DB91" s="1560"/>
      <c r="DC91" s="1560"/>
      <c r="DD91" s="1560"/>
      <c r="DE91" s="1560"/>
      <c r="DF91" s="1560"/>
      <c r="DG91" s="1560"/>
      <c r="DH91" s="1560"/>
      <c r="DI91" s="1560"/>
      <c r="DJ91" s="1560"/>
      <c r="DK91" s="1560"/>
      <c r="DL91" s="1560"/>
      <c r="DM91" s="1560"/>
      <c r="DN91" s="1560"/>
      <c r="DO91" s="1560"/>
    </row>
    <row r="92" spans="1:119" ht="15" customHeight="1">
      <c r="A92" s="1789">
        <v>76</v>
      </c>
      <c r="B92" s="1562"/>
      <c r="C92" s="1561"/>
      <c r="D92" s="1557"/>
      <c r="E92" s="1558"/>
      <c r="F92" s="1558"/>
      <c r="G92" s="1558"/>
      <c r="H92" s="1558"/>
      <c r="I92" s="1558"/>
      <c r="J92" s="1558"/>
      <c r="K92" s="1559"/>
      <c r="L92" s="1559"/>
      <c r="M92" s="1559"/>
      <c r="N92" s="1560"/>
      <c r="O92" s="1560"/>
      <c r="P92" s="1560"/>
      <c r="Q92" s="1560"/>
      <c r="R92" s="1103"/>
      <c r="S92" s="1560"/>
      <c r="T92" s="1560"/>
      <c r="U92" s="1560"/>
      <c r="V92" s="1560"/>
      <c r="W92" s="1560"/>
      <c r="X92" s="1560"/>
      <c r="Y92" s="1560"/>
      <c r="Z92" s="1560"/>
      <c r="AA92" s="1560"/>
      <c r="AB92" s="1560"/>
      <c r="AC92" s="1560"/>
      <c r="AD92" s="1560"/>
      <c r="AE92" s="1560"/>
      <c r="AF92" s="1560"/>
      <c r="AG92" s="1560"/>
      <c r="AH92" s="1560"/>
      <c r="AI92" s="1560"/>
      <c r="AJ92" s="1560"/>
      <c r="AL92" s="1562"/>
      <c r="AM92" s="1561"/>
      <c r="AN92" s="1560"/>
      <c r="AO92" s="1560"/>
      <c r="AP92" s="1560"/>
      <c r="AQ92" s="1560"/>
      <c r="AR92" s="1560"/>
      <c r="AS92" s="1560"/>
      <c r="AT92" s="1560"/>
      <c r="AU92" s="1560"/>
      <c r="AV92" s="1560"/>
      <c r="AW92" s="1560"/>
      <c r="AX92" s="1560"/>
      <c r="AY92" s="1560"/>
      <c r="AZ92" s="1560"/>
      <c r="BA92" s="1560"/>
      <c r="BB92" s="1560"/>
      <c r="BC92" s="1560"/>
      <c r="BD92" s="1560"/>
      <c r="BE92" s="1560"/>
      <c r="BF92" s="1560"/>
      <c r="BG92" s="1560"/>
      <c r="BH92" s="1560"/>
      <c r="BI92" s="1560"/>
      <c r="BJ92" s="1560"/>
      <c r="BK92" s="1560"/>
      <c r="BL92" s="1560"/>
      <c r="BM92" s="1560"/>
      <c r="BN92" s="1560"/>
      <c r="BO92" s="1560"/>
      <c r="BP92" s="1560"/>
      <c r="BQ92" s="1560"/>
      <c r="BR92" s="1560"/>
      <c r="BS92" s="1560"/>
      <c r="BT92" s="1560"/>
      <c r="BU92" s="1560"/>
      <c r="BV92" s="1560"/>
      <c r="BW92" s="1560"/>
      <c r="BX92" s="1560"/>
      <c r="BY92" s="1560"/>
      <c r="BZ92" s="1560"/>
      <c r="CA92" s="1560"/>
      <c r="CB92" s="1560"/>
      <c r="CC92" s="1560"/>
      <c r="CD92" s="1560"/>
      <c r="CE92" s="1560"/>
      <c r="CF92" s="1560"/>
      <c r="CG92" s="1560"/>
      <c r="CH92" s="1560"/>
      <c r="CI92" s="1560"/>
      <c r="CJ92" s="1560"/>
      <c r="CL92" s="1562"/>
      <c r="CM92" s="1561"/>
      <c r="CN92" s="1560"/>
      <c r="CO92" s="1560"/>
      <c r="CP92" s="1560"/>
      <c r="CQ92" s="1560"/>
      <c r="CR92" s="1560"/>
      <c r="CS92" s="1560"/>
      <c r="CT92" s="1560"/>
      <c r="CU92" s="1560"/>
      <c r="CV92" s="1560"/>
      <c r="CW92" s="1560"/>
      <c r="CX92" s="1560"/>
      <c r="CY92" s="1560"/>
      <c r="CZ92" s="1560"/>
      <c r="DA92" s="1560"/>
      <c r="DB92" s="1560"/>
      <c r="DC92" s="1560"/>
      <c r="DD92" s="1560"/>
      <c r="DE92" s="1560"/>
      <c r="DF92" s="1560"/>
      <c r="DG92" s="1560"/>
      <c r="DH92" s="1560"/>
      <c r="DI92" s="1560"/>
      <c r="DJ92" s="1560"/>
      <c r="DK92" s="1560"/>
      <c r="DL92" s="1560"/>
      <c r="DM92" s="1560"/>
      <c r="DN92" s="1560"/>
      <c r="DO92" s="1560"/>
    </row>
    <row r="93" spans="1:119" ht="15" customHeight="1">
      <c r="A93" s="1789">
        <v>77</v>
      </c>
      <c r="B93" s="1562"/>
      <c r="C93" s="1561"/>
      <c r="D93" s="1557"/>
      <c r="E93" s="1558"/>
      <c r="F93" s="1558"/>
      <c r="G93" s="1558"/>
      <c r="H93" s="1558"/>
      <c r="I93" s="1558"/>
      <c r="J93" s="1558"/>
      <c r="K93" s="1559"/>
      <c r="L93" s="1559"/>
      <c r="M93" s="1559"/>
      <c r="N93" s="1560"/>
      <c r="O93" s="1560"/>
      <c r="P93" s="1560"/>
      <c r="Q93" s="1560"/>
      <c r="R93" s="1103"/>
      <c r="S93" s="1560"/>
      <c r="T93" s="1560"/>
      <c r="U93" s="1560"/>
      <c r="V93" s="1560"/>
      <c r="W93" s="1560"/>
      <c r="X93" s="1560"/>
      <c r="Y93" s="1560"/>
      <c r="Z93" s="1560"/>
      <c r="AA93" s="1560"/>
      <c r="AB93" s="1560"/>
      <c r="AC93" s="1560"/>
      <c r="AD93" s="1560"/>
      <c r="AE93" s="1560"/>
      <c r="AF93" s="1560"/>
      <c r="AG93" s="1560"/>
      <c r="AH93" s="1560"/>
      <c r="AI93" s="1560"/>
      <c r="AJ93" s="1560"/>
      <c r="AL93" s="1562"/>
      <c r="AM93" s="1561"/>
      <c r="AN93" s="1560"/>
      <c r="AO93" s="1560"/>
      <c r="AP93" s="1560"/>
      <c r="AQ93" s="1560"/>
      <c r="AR93" s="1560"/>
      <c r="AS93" s="1560"/>
      <c r="AT93" s="1560"/>
      <c r="AU93" s="1560"/>
      <c r="AV93" s="1560"/>
      <c r="AW93" s="1560"/>
      <c r="AX93" s="1560"/>
      <c r="AY93" s="1560"/>
      <c r="AZ93" s="1560"/>
      <c r="BA93" s="1560"/>
      <c r="BB93" s="1560"/>
      <c r="BC93" s="1560"/>
      <c r="BD93" s="1560"/>
      <c r="BE93" s="1560"/>
      <c r="BF93" s="1560"/>
      <c r="BG93" s="1560"/>
      <c r="BH93" s="1560"/>
      <c r="BI93" s="1560"/>
      <c r="BJ93" s="1560"/>
      <c r="BK93" s="1560"/>
      <c r="BL93" s="1560"/>
      <c r="BM93" s="1560"/>
      <c r="BN93" s="1560"/>
      <c r="BO93" s="1560"/>
      <c r="BP93" s="1560"/>
      <c r="BQ93" s="1560"/>
      <c r="BR93" s="1560"/>
      <c r="BS93" s="1560"/>
      <c r="BT93" s="1560"/>
      <c r="BU93" s="1560"/>
      <c r="BV93" s="1560"/>
      <c r="BW93" s="1560"/>
      <c r="BX93" s="1560"/>
      <c r="BY93" s="1560"/>
      <c r="BZ93" s="1560"/>
      <c r="CA93" s="1560"/>
      <c r="CB93" s="1560"/>
      <c r="CC93" s="1560"/>
      <c r="CD93" s="1560"/>
      <c r="CE93" s="1560"/>
      <c r="CF93" s="1560"/>
      <c r="CG93" s="1560"/>
      <c r="CH93" s="1560"/>
      <c r="CI93" s="1560"/>
      <c r="CJ93" s="1560"/>
      <c r="CL93" s="1562"/>
      <c r="CM93" s="1561"/>
      <c r="CN93" s="1560"/>
      <c r="CO93" s="1560"/>
      <c r="CP93" s="1560"/>
      <c r="CQ93" s="1560"/>
      <c r="CR93" s="1560"/>
      <c r="CS93" s="1560"/>
      <c r="CT93" s="1560"/>
      <c r="CU93" s="1560"/>
      <c r="CV93" s="1560"/>
      <c r="CW93" s="1560"/>
      <c r="CX93" s="1560"/>
      <c r="CY93" s="1560"/>
      <c r="CZ93" s="1560"/>
      <c r="DA93" s="1560"/>
      <c r="DB93" s="1560"/>
      <c r="DC93" s="1560"/>
      <c r="DD93" s="1560"/>
      <c r="DE93" s="1560"/>
      <c r="DF93" s="1560"/>
      <c r="DG93" s="1560"/>
      <c r="DH93" s="1560"/>
      <c r="DI93" s="1560"/>
      <c r="DJ93" s="1560"/>
      <c r="DK93" s="1560"/>
      <c r="DL93" s="1560"/>
      <c r="DM93" s="1560"/>
      <c r="DN93" s="1560"/>
      <c r="DO93" s="1560"/>
    </row>
    <row r="94" spans="1:119" ht="15" customHeight="1">
      <c r="A94" s="1789">
        <v>78</v>
      </c>
      <c r="B94" s="1562"/>
      <c r="C94" s="1561"/>
      <c r="D94" s="1557"/>
      <c r="E94" s="1558"/>
      <c r="F94" s="1558"/>
      <c r="G94" s="1558"/>
      <c r="H94" s="1558"/>
      <c r="I94" s="1558"/>
      <c r="J94" s="1558"/>
      <c r="K94" s="1559"/>
      <c r="L94" s="1559"/>
      <c r="M94" s="1559"/>
      <c r="N94" s="1560"/>
      <c r="O94" s="1560"/>
      <c r="P94" s="1560"/>
      <c r="Q94" s="1560"/>
      <c r="R94" s="1103"/>
      <c r="S94" s="1560"/>
      <c r="T94" s="1560"/>
      <c r="U94" s="1560"/>
      <c r="V94" s="1560"/>
      <c r="W94" s="1560"/>
      <c r="X94" s="1560"/>
      <c r="Y94" s="1560"/>
      <c r="Z94" s="1560"/>
      <c r="AA94" s="1560"/>
      <c r="AB94" s="1560"/>
      <c r="AC94" s="1560"/>
      <c r="AD94" s="1560"/>
      <c r="AE94" s="1560"/>
      <c r="AF94" s="1560"/>
      <c r="AG94" s="1560"/>
      <c r="AH94" s="1560"/>
      <c r="AI94" s="1560"/>
      <c r="AJ94" s="1560"/>
      <c r="AL94" s="1562"/>
      <c r="AM94" s="1561"/>
      <c r="AN94" s="1560"/>
      <c r="AO94" s="1560"/>
      <c r="AP94" s="1560"/>
      <c r="AQ94" s="1560"/>
      <c r="AR94" s="1560"/>
      <c r="AS94" s="1560"/>
      <c r="AT94" s="1560"/>
      <c r="AU94" s="1560"/>
      <c r="AV94" s="1560"/>
      <c r="AW94" s="1560"/>
      <c r="AX94" s="1560"/>
      <c r="AY94" s="1560"/>
      <c r="AZ94" s="1560"/>
      <c r="BA94" s="1560"/>
      <c r="BB94" s="1560"/>
      <c r="BC94" s="1560"/>
      <c r="BD94" s="1560"/>
      <c r="BE94" s="1560"/>
      <c r="BF94" s="1560"/>
      <c r="BG94" s="1560"/>
      <c r="BH94" s="1560"/>
      <c r="BI94" s="1560"/>
      <c r="BJ94" s="1560"/>
      <c r="BK94" s="1560"/>
      <c r="BL94" s="1560"/>
      <c r="BM94" s="1560"/>
      <c r="BN94" s="1560"/>
      <c r="BO94" s="1560"/>
      <c r="BP94" s="1560"/>
      <c r="BQ94" s="1560"/>
      <c r="BR94" s="1560"/>
      <c r="BS94" s="1560"/>
      <c r="BT94" s="1560"/>
      <c r="BU94" s="1560"/>
      <c r="BV94" s="1560"/>
      <c r="BW94" s="1560"/>
      <c r="BX94" s="1560"/>
      <c r="BY94" s="1560"/>
      <c r="BZ94" s="1560"/>
      <c r="CA94" s="1560"/>
      <c r="CB94" s="1560"/>
      <c r="CC94" s="1560"/>
      <c r="CD94" s="1560"/>
      <c r="CE94" s="1560"/>
      <c r="CF94" s="1560"/>
      <c r="CG94" s="1560"/>
      <c r="CH94" s="1560"/>
      <c r="CI94" s="1560"/>
      <c r="CJ94" s="1560"/>
      <c r="CL94" s="1562"/>
      <c r="CM94" s="1561"/>
      <c r="CN94" s="1560"/>
      <c r="CO94" s="1560"/>
      <c r="CP94" s="1560"/>
      <c r="CQ94" s="1560"/>
      <c r="CR94" s="1560"/>
      <c r="CS94" s="1560"/>
      <c r="CT94" s="1560"/>
      <c r="CU94" s="1560"/>
      <c r="CV94" s="1560"/>
      <c r="CW94" s="1560"/>
      <c r="CX94" s="1560"/>
      <c r="CY94" s="1560"/>
      <c r="CZ94" s="1560"/>
      <c r="DA94" s="1560"/>
      <c r="DB94" s="1560"/>
      <c r="DC94" s="1560"/>
      <c r="DD94" s="1560"/>
      <c r="DE94" s="1560"/>
      <c r="DF94" s="1560"/>
      <c r="DG94" s="1560"/>
      <c r="DH94" s="1560"/>
      <c r="DI94" s="1560"/>
      <c r="DJ94" s="1560"/>
      <c r="DK94" s="1560"/>
      <c r="DL94" s="1560"/>
      <c r="DM94" s="1560"/>
      <c r="DN94" s="1560"/>
      <c r="DO94" s="1560"/>
    </row>
    <row r="95" spans="1:119" ht="15" customHeight="1">
      <c r="A95" s="1789">
        <v>79</v>
      </c>
      <c r="B95" s="1562"/>
      <c r="C95" s="1561"/>
      <c r="D95" s="1557"/>
      <c r="E95" s="1558"/>
      <c r="F95" s="1558"/>
      <c r="G95" s="1558"/>
      <c r="H95" s="1558"/>
      <c r="I95" s="1558"/>
      <c r="J95" s="1558"/>
      <c r="K95" s="1559"/>
      <c r="L95" s="1559"/>
      <c r="M95" s="1559"/>
      <c r="N95" s="1560"/>
      <c r="O95" s="1560"/>
      <c r="P95" s="1560"/>
      <c r="Q95" s="1560"/>
      <c r="R95" s="1103"/>
      <c r="S95" s="1560"/>
      <c r="T95" s="1560"/>
      <c r="U95" s="1560"/>
      <c r="V95" s="1560"/>
      <c r="W95" s="1560"/>
      <c r="X95" s="1560"/>
      <c r="Y95" s="1560"/>
      <c r="Z95" s="1560"/>
      <c r="AA95" s="1560"/>
      <c r="AB95" s="1560"/>
      <c r="AC95" s="1560"/>
      <c r="AD95" s="1560"/>
      <c r="AE95" s="1560"/>
      <c r="AF95" s="1560"/>
      <c r="AG95" s="1560"/>
      <c r="AH95" s="1560"/>
      <c r="AI95" s="1560"/>
      <c r="AJ95" s="1560"/>
      <c r="AL95" s="1562"/>
      <c r="AM95" s="1561"/>
      <c r="AN95" s="1560"/>
      <c r="AO95" s="1560"/>
      <c r="AP95" s="1560"/>
      <c r="AQ95" s="1560"/>
      <c r="AR95" s="1560"/>
      <c r="AS95" s="1560"/>
      <c r="AT95" s="1560"/>
      <c r="AU95" s="1560"/>
      <c r="AV95" s="1560"/>
      <c r="AW95" s="1560"/>
      <c r="AX95" s="1560"/>
      <c r="AY95" s="1560"/>
      <c r="AZ95" s="1560"/>
      <c r="BA95" s="1560"/>
      <c r="BB95" s="1560"/>
      <c r="BC95" s="1560"/>
      <c r="BD95" s="1560"/>
      <c r="BE95" s="1560"/>
      <c r="BF95" s="1560"/>
      <c r="BG95" s="1560"/>
      <c r="BH95" s="1560"/>
      <c r="BI95" s="1560"/>
      <c r="BJ95" s="1560"/>
      <c r="BK95" s="1560"/>
      <c r="BL95" s="1560"/>
      <c r="BM95" s="1560"/>
      <c r="BN95" s="1560"/>
      <c r="BO95" s="1560"/>
      <c r="BP95" s="1560"/>
      <c r="BQ95" s="1560"/>
      <c r="BR95" s="1560"/>
      <c r="BS95" s="1560"/>
      <c r="BT95" s="1560"/>
      <c r="BU95" s="1560"/>
      <c r="BV95" s="1560"/>
      <c r="BW95" s="1560"/>
      <c r="BX95" s="1560"/>
      <c r="BY95" s="1560"/>
      <c r="BZ95" s="1560"/>
      <c r="CA95" s="1560"/>
      <c r="CB95" s="1560"/>
      <c r="CC95" s="1560"/>
      <c r="CD95" s="1560"/>
      <c r="CE95" s="1560"/>
      <c r="CF95" s="1560"/>
      <c r="CG95" s="1560"/>
      <c r="CH95" s="1560"/>
      <c r="CI95" s="1560"/>
      <c r="CJ95" s="1560"/>
      <c r="CL95" s="1562"/>
      <c r="CM95" s="1561"/>
      <c r="CN95" s="1560"/>
      <c r="CO95" s="1560"/>
      <c r="CP95" s="1560"/>
      <c r="CQ95" s="1560"/>
      <c r="CR95" s="1560"/>
      <c r="CS95" s="1560"/>
      <c r="CT95" s="1560"/>
      <c r="CU95" s="1560"/>
      <c r="CV95" s="1560"/>
      <c r="CW95" s="1560"/>
      <c r="CX95" s="1560"/>
      <c r="CY95" s="1560"/>
      <c r="CZ95" s="1560"/>
      <c r="DA95" s="1560"/>
      <c r="DB95" s="1560"/>
      <c r="DC95" s="1560"/>
      <c r="DD95" s="1560"/>
      <c r="DE95" s="1560"/>
      <c r="DF95" s="1560"/>
      <c r="DG95" s="1560"/>
      <c r="DH95" s="1560"/>
      <c r="DI95" s="1560"/>
      <c r="DJ95" s="1560"/>
      <c r="DK95" s="1560"/>
      <c r="DL95" s="1560"/>
      <c r="DM95" s="1560"/>
      <c r="DN95" s="1560"/>
      <c r="DO95" s="1560"/>
    </row>
    <row r="96" spans="1:119" ht="15" customHeight="1">
      <c r="A96" s="1789">
        <v>80</v>
      </c>
      <c r="B96" s="1562"/>
      <c r="C96" s="1561"/>
      <c r="D96" s="1557"/>
      <c r="E96" s="1558"/>
      <c r="F96" s="1558"/>
      <c r="G96" s="1558"/>
      <c r="H96" s="1558"/>
      <c r="I96" s="1558"/>
      <c r="J96" s="1558"/>
      <c r="K96" s="1559"/>
      <c r="L96" s="1559"/>
      <c r="M96" s="1559"/>
      <c r="N96" s="1560"/>
      <c r="O96" s="1560"/>
      <c r="P96" s="1560"/>
      <c r="Q96" s="1560"/>
      <c r="R96" s="1103"/>
      <c r="S96" s="1560"/>
      <c r="T96" s="1560"/>
      <c r="U96" s="1560"/>
      <c r="V96" s="1560"/>
      <c r="W96" s="1560"/>
      <c r="X96" s="1560"/>
      <c r="Y96" s="1560"/>
      <c r="Z96" s="1560"/>
      <c r="AA96" s="1560"/>
      <c r="AB96" s="1560"/>
      <c r="AC96" s="1560"/>
      <c r="AD96" s="1560"/>
      <c r="AE96" s="1560"/>
      <c r="AF96" s="1560"/>
      <c r="AG96" s="1560"/>
      <c r="AH96" s="1560"/>
      <c r="AI96" s="1560"/>
      <c r="AJ96" s="1560"/>
      <c r="AL96" s="1562"/>
      <c r="AM96" s="1561"/>
      <c r="AN96" s="1560"/>
      <c r="AO96" s="1560"/>
      <c r="AP96" s="1560"/>
      <c r="AQ96" s="1560"/>
      <c r="AR96" s="1560"/>
      <c r="AS96" s="1560"/>
      <c r="AT96" s="1560"/>
      <c r="AU96" s="1560"/>
      <c r="AV96" s="1560"/>
      <c r="AW96" s="1560"/>
      <c r="AX96" s="1560"/>
      <c r="AY96" s="1560"/>
      <c r="AZ96" s="1560"/>
      <c r="BA96" s="1560"/>
      <c r="BB96" s="1560"/>
      <c r="BC96" s="1560"/>
      <c r="BD96" s="1560"/>
      <c r="BE96" s="1560"/>
      <c r="BF96" s="1560"/>
      <c r="BG96" s="1560"/>
      <c r="BH96" s="1560"/>
      <c r="BI96" s="1560"/>
      <c r="BJ96" s="1560"/>
      <c r="BK96" s="1560"/>
      <c r="BL96" s="1560"/>
      <c r="BM96" s="1560"/>
      <c r="BN96" s="1560"/>
      <c r="BO96" s="1560"/>
      <c r="BP96" s="1560"/>
      <c r="BQ96" s="1560"/>
      <c r="BR96" s="1560"/>
      <c r="BS96" s="1560"/>
      <c r="BT96" s="1560"/>
      <c r="BU96" s="1560"/>
      <c r="BV96" s="1560"/>
      <c r="BW96" s="1560"/>
      <c r="BX96" s="1560"/>
      <c r="BY96" s="1560"/>
      <c r="BZ96" s="1560"/>
      <c r="CA96" s="1560"/>
      <c r="CB96" s="1560"/>
      <c r="CC96" s="1560"/>
      <c r="CD96" s="1560"/>
      <c r="CE96" s="1560"/>
      <c r="CF96" s="1560"/>
      <c r="CG96" s="1560"/>
      <c r="CH96" s="1560"/>
      <c r="CI96" s="1560"/>
      <c r="CJ96" s="1560"/>
      <c r="CL96" s="1562"/>
      <c r="CM96" s="1561"/>
      <c r="CN96" s="1560"/>
      <c r="CO96" s="1560"/>
      <c r="CP96" s="1560"/>
      <c r="CQ96" s="1560"/>
      <c r="CR96" s="1560"/>
      <c r="CS96" s="1560"/>
      <c r="CT96" s="1560"/>
      <c r="CU96" s="1560"/>
      <c r="CV96" s="1560"/>
      <c r="CW96" s="1560"/>
      <c r="CX96" s="1560"/>
      <c r="CY96" s="1560"/>
      <c r="CZ96" s="1560"/>
      <c r="DA96" s="1560"/>
      <c r="DB96" s="1560"/>
      <c r="DC96" s="1560"/>
      <c r="DD96" s="1560"/>
      <c r="DE96" s="1560"/>
      <c r="DF96" s="1560"/>
      <c r="DG96" s="1560"/>
      <c r="DH96" s="1560"/>
      <c r="DI96" s="1560"/>
      <c r="DJ96" s="1560"/>
      <c r="DK96" s="1560"/>
      <c r="DL96" s="1560"/>
      <c r="DM96" s="1560"/>
      <c r="DN96" s="1560"/>
      <c r="DO96" s="1560"/>
    </row>
    <row r="97" spans="1:119" ht="15" customHeight="1">
      <c r="A97" s="1789">
        <v>81</v>
      </c>
      <c r="B97" s="1562"/>
      <c r="C97" s="1561"/>
      <c r="D97" s="1557"/>
      <c r="E97" s="1558"/>
      <c r="F97" s="1558"/>
      <c r="G97" s="1558"/>
      <c r="H97" s="1558"/>
      <c r="I97" s="1558"/>
      <c r="J97" s="1558"/>
      <c r="K97" s="1559"/>
      <c r="L97" s="1559"/>
      <c r="M97" s="1559"/>
      <c r="N97" s="1560"/>
      <c r="O97" s="1560"/>
      <c r="P97" s="1560"/>
      <c r="Q97" s="1560"/>
      <c r="R97" s="1103"/>
      <c r="S97" s="1560"/>
      <c r="T97" s="1560"/>
      <c r="U97" s="1560"/>
      <c r="V97" s="1560"/>
      <c r="W97" s="1560"/>
      <c r="X97" s="1560"/>
      <c r="Y97" s="1560"/>
      <c r="Z97" s="1560"/>
      <c r="AA97" s="1560"/>
      <c r="AB97" s="1560"/>
      <c r="AC97" s="1560"/>
      <c r="AD97" s="1560"/>
      <c r="AE97" s="1560"/>
      <c r="AF97" s="1560"/>
      <c r="AG97" s="1560"/>
      <c r="AH97" s="1560"/>
      <c r="AI97" s="1560"/>
      <c r="AJ97" s="1560"/>
      <c r="AL97" s="1562"/>
      <c r="AM97" s="1561"/>
      <c r="AN97" s="1560"/>
      <c r="AO97" s="1560"/>
      <c r="AP97" s="1560"/>
      <c r="AQ97" s="1560"/>
      <c r="AR97" s="1560"/>
      <c r="AS97" s="1560"/>
      <c r="AT97" s="1560"/>
      <c r="AU97" s="1560"/>
      <c r="AV97" s="1560"/>
      <c r="AW97" s="1560"/>
      <c r="AX97" s="1560"/>
      <c r="AY97" s="1560"/>
      <c r="AZ97" s="1560"/>
      <c r="BA97" s="1560"/>
      <c r="BB97" s="1560"/>
      <c r="BC97" s="1560"/>
      <c r="BD97" s="1560"/>
      <c r="BE97" s="1560"/>
      <c r="BF97" s="1560"/>
      <c r="BG97" s="1560"/>
      <c r="BH97" s="1560"/>
      <c r="BI97" s="1560"/>
      <c r="BJ97" s="1560"/>
      <c r="BK97" s="1560"/>
      <c r="BL97" s="1560"/>
      <c r="BM97" s="1560"/>
      <c r="BN97" s="1560"/>
      <c r="BO97" s="1560"/>
      <c r="BP97" s="1560"/>
      <c r="BQ97" s="1560"/>
      <c r="BR97" s="1560"/>
      <c r="BS97" s="1560"/>
      <c r="BT97" s="1560"/>
      <c r="BU97" s="1560"/>
      <c r="BV97" s="1560"/>
      <c r="BW97" s="1560"/>
      <c r="BX97" s="1560"/>
      <c r="BY97" s="1560"/>
      <c r="BZ97" s="1560"/>
      <c r="CA97" s="1560"/>
      <c r="CB97" s="1560"/>
      <c r="CC97" s="1560"/>
      <c r="CD97" s="1560"/>
      <c r="CE97" s="1560"/>
      <c r="CF97" s="1560"/>
      <c r="CG97" s="1560"/>
      <c r="CH97" s="1560"/>
      <c r="CI97" s="1560"/>
      <c r="CJ97" s="1560"/>
      <c r="CL97" s="1562"/>
      <c r="CM97" s="1561"/>
      <c r="CN97" s="1560"/>
      <c r="CO97" s="1560"/>
      <c r="CP97" s="1560"/>
      <c r="CQ97" s="1560"/>
      <c r="CR97" s="1560"/>
      <c r="CS97" s="1560"/>
      <c r="CT97" s="1560"/>
      <c r="CU97" s="1560"/>
      <c r="CV97" s="1560"/>
      <c r="CW97" s="1560"/>
      <c r="CX97" s="1560"/>
      <c r="CY97" s="1560"/>
      <c r="CZ97" s="1560"/>
      <c r="DA97" s="1560"/>
      <c r="DB97" s="1560"/>
      <c r="DC97" s="1560"/>
      <c r="DD97" s="1560"/>
      <c r="DE97" s="1560"/>
      <c r="DF97" s="1560"/>
      <c r="DG97" s="1560"/>
      <c r="DH97" s="1560"/>
      <c r="DI97" s="1560"/>
      <c r="DJ97" s="1560"/>
      <c r="DK97" s="1560"/>
      <c r="DL97" s="1560"/>
      <c r="DM97" s="1560"/>
      <c r="DN97" s="1560"/>
      <c r="DO97" s="1560"/>
    </row>
    <row r="98" spans="1:119" ht="15" customHeight="1">
      <c r="A98" s="1789">
        <v>82</v>
      </c>
      <c r="B98" s="1562"/>
      <c r="C98" s="1561"/>
      <c r="D98" s="1557"/>
      <c r="E98" s="1558"/>
      <c r="F98" s="1558"/>
      <c r="G98" s="1558"/>
      <c r="H98" s="1558"/>
      <c r="I98" s="1558"/>
      <c r="J98" s="1558"/>
      <c r="K98" s="1559"/>
      <c r="L98" s="1559"/>
      <c r="M98" s="1559"/>
      <c r="N98" s="1560"/>
      <c r="O98" s="1560"/>
      <c r="P98" s="1560"/>
      <c r="Q98" s="1560"/>
      <c r="R98" s="1103"/>
      <c r="S98" s="1560"/>
      <c r="T98" s="1560"/>
      <c r="U98" s="1560"/>
      <c r="V98" s="1560"/>
      <c r="W98" s="1560"/>
      <c r="X98" s="1560"/>
      <c r="Y98" s="1560"/>
      <c r="Z98" s="1560"/>
      <c r="AA98" s="1560"/>
      <c r="AB98" s="1560"/>
      <c r="AC98" s="1560"/>
      <c r="AD98" s="1560"/>
      <c r="AE98" s="1560"/>
      <c r="AF98" s="1560"/>
      <c r="AG98" s="1560"/>
      <c r="AH98" s="1560"/>
      <c r="AI98" s="1560"/>
      <c r="AJ98" s="1560"/>
      <c r="AL98" s="1562"/>
      <c r="AM98" s="1561"/>
      <c r="AN98" s="1560"/>
      <c r="AO98" s="1560"/>
      <c r="AP98" s="1560"/>
      <c r="AQ98" s="1560"/>
      <c r="AR98" s="1560"/>
      <c r="AS98" s="1560"/>
      <c r="AT98" s="1560"/>
      <c r="AU98" s="1560"/>
      <c r="AV98" s="1560"/>
      <c r="AW98" s="1560"/>
      <c r="AX98" s="1560"/>
      <c r="AY98" s="1560"/>
      <c r="AZ98" s="1560"/>
      <c r="BA98" s="1560"/>
      <c r="BB98" s="1560"/>
      <c r="BC98" s="1560"/>
      <c r="BD98" s="1560"/>
      <c r="BE98" s="1560"/>
      <c r="BF98" s="1560"/>
      <c r="BG98" s="1560"/>
      <c r="BH98" s="1560"/>
      <c r="BI98" s="1560"/>
      <c r="BJ98" s="1560"/>
      <c r="BK98" s="1560"/>
      <c r="BL98" s="1560"/>
      <c r="BM98" s="1560"/>
      <c r="BN98" s="1560"/>
      <c r="BO98" s="1560"/>
      <c r="BP98" s="1560"/>
      <c r="BQ98" s="1560"/>
      <c r="BR98" s="1560"/>
      <c r="BS98" s="1560"/>
      <c r="BT98" s="1560"/>
      <c r="BU98" s="1560"/>
      <c r="BV98" s="1560"/>
      <c r="BW98" s="1560"/>
      <c r="BX98" s="1560"/>
      <c r="BY98" s="1560"/>
      <c r="BZ98" s="1560"/>
      <c r="CA98" s="1560"/>
      <c r="CB98" s="1560"/>
      <c r="CC98" s="1560"/>
      <c r="CD98" s="1560"/>
      <c r="CE98" s="1560"/>
      <c r="CF98" s="1560"/>
      <c r="CG98" s="1560"/>
      <c r="CH98" s="1560"/>
      <c r="CI98" s="1560"/>
      <c r="CJ98" s="1560"/>
      <c r="CL98" s="1562"/>
      <c r="CM98" s="1561"/>
      <c r="CN98" s="1560"/>
      <c r="CO98" s="1560"/>
      <c r="CP98" s="1560"/>
      <c r="CQ98" s="1560"/>
      <c r="CR98" s="1560"/>
      <c r="CS98" s="1560"/>
      <c r="CT98" s="1560"/>
      <c r="CU98" s="1560"/>
      <c r="CV98" s="1560"/>
      <c r="CW98" s="1560"/>
      <c r="CX98" s="1560"/>
      <c r="CY98" s="1560"/>
      <c r="CZ98" s="1560"/>
      <c r="DA98" s="1560"/>
      <c r="DB98" s="1560"/>
      <c r="DC98" s="1560"/>
      <c r="DD98" s="1560"/>
      <c r="DE98" s="1560"/>
      <c r="DF98" s="1560"/>
      <c r="DG98" s="1560"/>
      <c r="DH98" s="1560"/>
      <c r="DI98" s="1560"/>
      <c r="DJ98" s="1560"/>
      <c r="DK98" s="1560"/>
      <c r="DL98" s="1560"/>
      <c r="DM98" s="1560"/>
      <c r="DN98" s="1560"/>
      <c r="DO98" s="1560"/>
    </row>
    <row r="99" spans="1:119" ht="15" customHeight="1">
      <c r="A99" s="1789">
        <v>83</v>
      </c>
      <c r="B99" s="1562"/>
      <c r="C99" s="1561"/>
      <c r="D99" s="1557"/>
      <c r="E99" s="1558"/>
      <c r="F99" s="1558"/>
      <c r="G99" s="1558"/>
      <c r="H99" s="1558"/>
      <c r="I99" s="1558"/>
      <c r="J99" s="1558"/>
      <c r="K99" s="1559"/>
      <c r="L99" s="1559"/>
      <c r="M99" s="1559"/>
      <c r="N99" s="1560"/>
      <c r="O99" s="1560"/>
      <c r="P99" s="1560"/>
      <c r="Q99" s="1560"/>
      <c r="R99" s="1103"/>
      <c r="S99" s="1560"/>
      <c r="T99" s="1560"/>
      <c r="U99" s="1560"/>
      <c r="V99" s="1560"/>
      <c r="W99" s="1560"/>
      <c r="X99" s="1560"/>
      <c r="Y99" s="1560"/>
      <c r="Z99" s="1560"/>
      <c r="AA99" s="1560"/>
      <c r="AB99" s="1560"/>
      <c r="AC99" s="1560"/>
      <c r="AD99" s="1560"/>
      <c r="AE99" s="1560"/>
      <c r="AF99" s="1560"/>
      <c r="AG99" s="1560"/>
      <c r="AH99" s="1560"/>
      <c r="AI99" s="1560"/>
      <c r="AJ99" s="1560"/>
      <c r="AL99" s="1562"/>
      <c r="AM99" s="1561"/>
      <c r="AN99" s="1560"/>
      <c r="AO99" s="1560"/>
      <c r="AP99" s="1560"/>
      <c r="AQ99" s="1560"/>
      <c r="AR99" s="1560"/>
      <c r="AS99" s="1560"/>
      <c r="AT99" s="1560"/>
      <c r="AU99" s="1560"/>
      <c r="AV99" s="1560"/>
      <c r="AW99" s="1560"/>
      <c r="AX99" s="1560"/>
      <c r="AY99" s="1560"/>
      <c r="AZ99" s="1560"/>
      <c r="BA99" s="1560"/>
      <c r="BB99" s="1560"/>
      <c r="BC99" s="1560"/>
      <c r="BD99" s="1560"/>
      <c r="BE99" s="1560"/>
      <c r="BF99" s="1560"/>
      <c r="BG99" s="1560"/>
      <c r="BH99" s="1560"/>
      <c r="BI99" s="1560"/>
      <c r="BJ99" s="1560"/>
      <c r="BK99" s="1560"/>
      <c r="BL99" s="1560"/>
      <c r="BM99" s="1560"/>
      <c r="BN99" s="1560"/>
      <c r="BO99" s="1560"/>
      <c r="BP99" s="1560"/>
      <c r="BQ99" s="1560"/>
      <c r="BR99" s="1560"/>
      <c r="BS99" s="1560"/>
      <c r="BT99" s="1560"/>
      <c r="BU99" s="1560"/>
      <c r="BV99" s="1560"/>
      <c r="BW99" s="1560"/>
      <c r="BX99" s="1560"/>
      <c r="BY99" s="1560"/>
      <c r="BZ99" s="1560"/>
      <c r="CA99" s="1560"/>
      <c r="CB99" s="1560"/>
      <c r="CC99" s="1560"/>
      <c r="CD99" s="1560"/>
      <c r="CE99" s="1560"/>
      <c r="CF99" s="1560"/>
      <c r="CG99" s="1560"/>
      <c r="CH99" s="1560"/>
      <c r="CI99" s="1560"/>
      <c r="CJ99" s="1560"/>
      <c r="CL99" s="1562"/>
      <c r="CM99" s="1561"/>
      <c r="CN99" s="1560"/>
      <c r="CO99" s="1560"/>
      <c r="CP99" s="1560"/>
      <c r="CQ99" s="1560"/>
      <c r="CR99" s="1560"/>
      <c r="CS99" s="1560"/>
      <c r="CT99" s="1560"/>
      <c r="CU99" s="1560"/>
      <c r="CV99" s="1560"/>
      <c r="CW99" s="1560"/>
      <c r="CX99" s="1560"/>
      <c r="CY99" s="1560"/>
      <c r="CZ99" s="1560"/>
      <c r="DA99" s="1560"/>
      <c r="DB99" s="1560"/>
      <c r="DC99" s="1560"/>
      <c r="DD99" s="1560"/>
      <c r="DE99" s="1560"/>
      <c r="DF99" s="1560"/>
      <c r="DG99" s="1560"/>
      <c r="DH99" s="1560"/>
      <c r="DI99" s="1560"/>
      <c r="DJ99" s="1560"/>
      <c r="DK99" s="1560"/>
      <c r="DL99" s="1560"/>
      <c r="DM99" s="1560"/>
      <c r="DN99" s="1560"/>
      <c r="DO99" s="1560"/>
    </row>
    <row r="100" spans="1:119" ht="15" customHeight="1">
      <c r="A100" s="1789">
        <v>84</v>
      </c>
      <c r="B100" s="1562"/>
      <c r="C100" s="1561"/>
      <c r="D100" s="1557"/>
      <c r="E100" s="1558"/>
      <c r="F100" s="1558"/>
      <c r="G100" s="1558"/>
      <c r="H100" s="1558"/>
      <c r="I100" s="1558"/>
      <c r="J100" s="1558"/>
      <c r="K100" s="1559"/>
      <c r="L100" s="1559"/>
      <c r="M100" s="1559"/>
      <c r="N100" s="1560"/>
      <c r="O100" s="1560"/>
      <c r="P100" s="1560"/>
      <c r="Q100" s="1560"/>
      <c r="R100" s="1103"/>
      <c r="S100" s="1560"/>
      <c r="T100" s="1560"/>
      <c r="U100" s="1560"/>
      <c r="V100" s="1560"/>
      <c r="W100" s="1560"/>
      <c r="X100" s="1560"/>
      <c r="Y100" s="1560"/>
      <c r="Z100" s="1560"/>
      <c r="AA100" s="1560"/>
      <c r="AB100" s="1560"/>
      <c r="AC100" s="1560"/>
      <c r="AD100" s="1560"/>
      <c r="AE100" s="1560"/>
      <c r="AF100" s="1560"/>
      <c r="AG100" s="1560"/>
      <c r="AH100" s="1560"/>
      <c r="AI100" s="1560"/>
      <c r="AJ100" s="1560"/>
      <c r="AL100" s="1562"/>
      <c r="AM100" s="1561"/>
      <c r="AN100" s="1560"/>
      <c r="AO100" s="1560"/>
      <c r="AP100" s="1560"/>
      <c r="AQ100" s="1560"/>
      <c r="AR100" s="1560"/>
      <c r="AS100" s="1560"/>
      <c r="AT100" s="1560"/>
      <c r="AU100" s="1560"/>
      <c r="AV100" s="1560"/>
      <c r="AW100" s="1560"/>
      <c r="AX100" s="1560"/>
      <c r="AY100" s="1560"/>
      <c r="AZ100" s="1560"/>
      <c r="BA100" s="1560"/>
      <c r="BB100" s="1560"/>
      <c r="BC100" s="1560"/>
      <c r="BD100" s="1560"/>
      <c r="BE100" s="1560"/>
      <c r="BF100" s="1560"/>
      <c r="BG100" s="1560"/>
      <c r="BH100" s="1560"/>
      <c r="BI100" s="1560"/>
      <c r="BJ100" s="1560"/>
      <c r="BK100" s="1560"/>
      <c r="BL100" s="1560"/>
      <c r="BM100" s="1560"/>
      <c r="BN100" s="1560"/>
      <c r="BO100" s="1560"/>
      <c r="BP100" s="1560"/>
      <c r="BQ100" s="1560"/>
      <c r="BR100" s="1560"/>
      <c r="BS100" s="1560"/>
      <c r="BT100" s="1560"/>
      <c r="BU100" s="1560"/>
      <c r="BV100" s="1560"/>
      <c r="BW100" s="1560"/>
      <c r="BX100" s="1560"/>
      <c r="BY100" s="1560"/>
      <c r="BZ100" s="1560"/>
      <c r="CA100" s="1560"/>
      <c r="CB100" s="1560"/>
      <c r="CC100" s="1560"/>
      <c r="CD100" s="1560"/>
      <c r="CE100" s="1560"/>
      <c r="CF100" s="1560"/>
      <c r="CG100" s="1560"/>
      <c r="CH100" s="1560"/>
      <c r="CI100" s="1560"/>
      <c r="CJ100" s="1560"/>
      <c r="CL100" s="1562"/>
      <c r="CM100" s="1561"/>
      <c r="CN100" s="1560"/>
      <c r="CO100" s="1560"/>
      <c r="CP100" s="1560"/>
      <c r="CQ100" s="1560"/>
      <c r="CR100" s="1560"/>
      <c r="CS100" s="1560"/>
      <c r="CT100" s="1560"/>
      <c r="CU100" s="1560"/>
      <c r="CV100" s="1560"/>
      <c r="CW100" s="1560"/>
      <c r="CX100" s="1560"/>
      <c r="CY100" s="1560"/>
      <c r="CZ100" s="1560"/>
      <c r="DA100" s="1560"/>
      <c r="DB100" s="1560"/>
      <c r="DC100" s="1560"/>
      <c r="DD100" s="1560"/>
      <c r="DE100" s="1560"/>
      <c r="DF100" s="1560"/>
      <c r="DG100" s="1560"/>
      <c r="DH100" s="1560"/>
      <c r="DI100" s="1560"/>
      <c r="DJ100" s="1560"/>
      <c r="DK100" s="1560"/>
      <c r="DL100" s="1560"/>
      <c r="DM100" s="1560"/>
      <c r="DN100" s="1560"/>
      <c r="DO100" s="1560"/>
    </row>
    <row r="101" spans="1:119" ht="15" customHeight="1">
      <c r="A101" s="1789">
        <v>85</v>
      </c>
      <c r="B101" s="1562"/>
      <c r="C101" s="1561"/>
      <c r="D101" s="1557"/>
      <c r="E101" s="1558"/>
      <c r="F101" s="1558"/>
      <c r="G101" s="1558"/>
      <c r="H101" s="1558"/>
      <c r="I101" s="1558"/>
      <c r="J101" s="1558"/>
      <c r="K101" s="1559"/>
      <c r="L101" s="1559"/>
      <c r="M101" s="1559"/>
      <c r="N101" s="1560"/>
      <c r="O101" s="1560"/>
      <c r="P101" s="1560"/>
      <c r="Q101" s="1560"/>
      <c r="R101" s="1103"/>
      <c r="S101" s="1560"/>
      <c r="T101" s="1560"/>
      <c r="U101" s="1560"/>
      <c r="V101" s="1560"/>
      <c r="W101" s="1560"/>
      <c r="X101" s="1560"/>
      <c r="Y101" s="1560"/>
      <c r="Z101" s="1560"/>
      <c r="AA101" s="1560"/>
      <c r="AB101" s="1560"/>
      <c r="AC101" s="1560"/>
      <c r="AD101" s="1560"/>
      <c r="AE101" s="1560"/>
      <c r="AF101" s="1560"/>
      <c r="AG101" s="1560"/>
      <c r="AH101" s="1560"/>
      <c r="AI101" s="1560"/>
      <c r="AJ101" s="1560"/>
      <c r="AL101" s="1562"/>
      <c r="AM101" s="1561"/>
      <c r="AN101" s="1560"/>
      <c r="AO101" s="1560"/>
      <c r="AP101" s="1560"/>
      <c r="AQ101" s="1560"/>
      <c r="AR101" s="1560"/>
      <c r="AS101" s="1560"/>
      <c r="AT101" s="1560"/>
      <c r="AU101" s="1560"/>
      <c r="AV101" s="1560"/>
      <c r="AW101" s="1560"/>
      <c r="AX101" s="1560"/>
      <c r="AY101" s="1560"/>
      <c r="AZ101" s="1560"/>
      <c r="BA101" s="1560"/>
      <c r="BB101" s="1560"/>
      <c r="BC101" s="1560"/>
      <c r="BD101" s="1560"/>
      <c r="BE101" s="1560"/>
      <c r="BF101" s="1560"/>
      <c r="BG101" s="1560"/>
      <c r="BH101" s="1560"/>
      <c r="BI101" s="1560"/>
      <c r="BJ101" s="1560"/>
      <c r="BK101" s="1560"/>
      <c r="BL101" s="1560"/>
      <c r="BM101" s="1560"/>
      <c r="BN101" s="1560"/>
      <c r="BO101" s="1560"/>
      <c r="BP101" s="1560"/>
      <c r="BQ101" s="1560"/>
      <c r="BR101" s="1560"/>
      <c r="BS101" s="1560"/>
      <c r="BT101" s="1560"/>
      <c r="BU101" s="1560"/>
      <c r="BV101" s="1560"/>
      <c r="BW101" s="1560"/>
      <c r="BX101" s="1560"/>
      <c r="BY101" s="1560"/>
      <c r="BZ101" s="1560"/>
      <c r="CA101" s="1560"/>
      <c r="CB101" s="1560"/>
      <c r="CC101" s="1560"/>
      <c r="CD101" s="1560"/>
      <c r="CE101" s="1560"/>
      <c r="CF101" s="1560"/>
      <c r="CG101" s="1560"/>
      <c r="CH101" s="1560"/>
      <c r="CI101" s="1560"/>
      <c r="CJ101" s="1560"/>
      <c r="CL101" s="1562"/>
      <c r="CM101" s="1561"/>
      <c r="CN101" s="1560"/>
      <c r="CO101" s="1560"/>
      <c r="CP101" s="1560"/>
      <c r="CQ101" s="1560"/>
      <c r="CR101" s="1560"/>
      <c r="CS101" s="1560"/>
      <c r="CT101" s="1560"/>
      <c r="CU101" s="1560"/>
      <c r="CV101" s="1560"/>
      <c r="CW101" s="1560"/>
      <c r="CX101" s="1560"/>
      <c r="CY101" s="1560"/>
      <c r="CZ101" s="1560"/>
      <c r="DA101" s="1560"/>
      <c r="DB101" s="1560"/>
      <c r="DC101" s="1560"/>
      <c r="DD101" s="1560"/>
      <c r="DE101" s="1560"/>
      <c r="DF101" s="1560"/>
      <c r="DG101" s="1560"/>
      <c r="DH101" s="1560"/>
      <c r="DI101" s="1560"/>
      <c r="DJ101" s="1560"/>
      <c r="DK101" s="1560"/>
      <c r="DL101" s="1560"/>
      <c r="DM101" s="1560"/>
      <c r="DN101" s="1560"/>
      <c r="DO101" s="1560"/>
    </row>
    <row r="102" spans="1:119" ht="15" customHeight="1">
      <c r="A102" s="1789">
        <v>86</v>
      </c>
      <c r="B102" s="1562"/>
      <c r="C102" s="1561"/>
      <c r="D102" s="1557"/>
      <c r="E102" s="1558"/>
      <c r="F102" s="1558"/>
      <c r="G102" s="1558"/>
      <c r="H102" s="1558"/>
      <c r="I102" s="1558"/>
      <c r="J102" s="1558"/>
      <c r="K102" s="1559"/>
      <c r="L102" s="1559"/>
      <c r="M102" s="1559"/>
      <c r="N102" s="1560"/>
      <c r="O102" s="1560"/>
      <c r="P102" s="1560"/>
      <c r="Q102" s="1560"/>
      <c r="R102" s="1103"/>
      <c r="S102" s="1560"/>
      <c r="T102" s="1560"/>
      <c r="U102" s="1560"/>
      <c r="V102" s="1560"/>
      <c r="W102" s="1560"/>
      <c r="X102" s="1560"/>
      <c r="Y102" s="1560"/>
      <c r="Z102" s="1560"/>
      <c r="AA102" s="1560"/>
      <c r="AB102" s="1560"/>
      <c r="AC102" s="1560"/>
      <c r="AD102" s="1560"/>
      <c r="AE102" s="1560"/>
      <c r="AF102" s="1560"/>
      <c r="AG102" s="1560"/>
      <c r="AH102" s="1560"/>
      <c r="AI102" s="1560"/>
      <c r="AJ102" s="1560"/>
      <c r="AL102" s="1562"/>
      <c r="AM102" s="1561"/>
      <c r="AN102" s="1560"/>
      <c r="AO102" s="1560"/>
      <c r="AP102" s="1560"/>
      <c r="AQ102" s="1560"/>
      <c r="AR102" s="1560"/>
      <c r="AS102" s="1560"/>
      <c r="AT102" s="1560"/>
      <c r="AU102" s="1560"/>
      <c r="AV102" s="1560"/>
      <c r="AW102" s="1560"/>
      <c r="AX102" s="1560"/>
      <c r="AY102" s="1560"/>
      <c r="AZ102" s="1560"/>
      <c r="BA102" s="1560"/>
      <c r="BB102" s="1560"/>
      <c r="BC102" s="1560"/>
      <c r="BD102" s="1560"/>
      <c r="BE102" s="1560"/>
      <c r="BF102" s="1560"/>
      <c r="BG102" s="1560"/>
      <c r="BH102" s="1560"/>
      <c r="BI102" s="1560"/>
      <c r="BJ102" s="1560"/>
      <c r="BK102" s="1560"/>
      <c r="BL102" s="1560"/>
      <c r="BM102" s="1560"/>
      <c r="BN102" s="1560"/>
      <c r="BO102" s="1560"/>
      <c r="BP102" s="1560"/>
      <c r="BQ102" s="1560"/>
      <c r="BR102" s="1560"/>
      <c r="BS102" s="1560"/>
      <c r="BT102" s="1560"/>
      <c r="BU102" s="1560"/>
      <c r="BV102" s="1560"/>
      <c r="BW102" s="1560"/>
      <c r="BX102" s="1560"/>
      <c r="BY102" s="1560"/>
      <c r="BZ102" s="1560"/>
      <c r="CA102" s="1560"/>
      <c r="CB102" s="1560"/>
      <c r="CC102" s="1560"/>
      <c r="CD102" s="1560"/>
      <c r="CE102" s="1560"/>
      <c r="CF102" s="1560"/>
      <c r="CG102" s="1560"/>
      <c r="CH102" s="1560"/>
      <c r="CI102" s="1560"/>
      <c r="CJ102" s="1560"/>
      <c r="CL102" s="1562"/>
      <c r="CM102" s="1561"/>
      <c r="CN102" s="1560"/>
      <c r="CO102" s="1560"/>
      <c r="CP102" s="1560"/>
      <c r="CQ102" s="1560"/>
      <c r="CR102" s="1560"/>
      <c r="CS102" s="1560"/>
      <c r="CT102" s="1560"/>
      <c r="CU102" s="1560"/>
      <c r="CV102" s="1560"/>
      <c r="CW102" s="1560"/>
      <c r="CX102" s="1560"/>
      <c r="CY102" s="1560"/>
      <c r="CZ102" s="1560"/>
      <c r="DA102" s="1560"/>
      <c r="DB102" s="1560"/>
      <c r="DC102" s="1560"/>
      <c r="DD102" s="1560"/>
      <c r="DE102" s="1560"/>
      <c r="DF102" s="1560"/>
      <c r="DG102" s="1560"/>
      <c r="DH102" s="1560"/>
      <c r="DI102" s="1560"/>
      <c r="DJ102" s="1560"/>
      <c r="DK102" s="1560"/>
      <c r="DL102" s="1560"/>
      <c r="DM102" s="1560"/>
      <c r="DN102" s="1560"/>
      <c r="DO102" s="1560"/>
    </row>
    <row r="103" spans="1:119" ht="15" customHeight="1">
      <c r="A103" s="1789">
        <v>87</v>
      </c>
      <c r="B103" s="1562"/>
      <c r="C103" s="1561"/>
      <c r="D103" s="1557"/>
      <c r="E103" s="1558"/>
      <c r="F103" s="1558"/>
      <c r="G103" s="1558"/>
      <c r="H103" s="1558"/>
      <c r="I103" s="1558"/>
      <c r="J103" s="1558"/>
      <c r="K103" s="1559"/>
      <c r="L103" s="1559"/>
      <c r="M103" s="1559"/>
      <c r="N103" s="1560"/>
      <c r="O103" s="1560"/>
      <c r="P103" s="1560"/>
      <c r="Q103" s="1560"/>
      <c r="R103" s="1103"/>
      <c r="S103" s="1560"/>
      <c r="T103" s="1560"/>
      <c r="U103" s="1560"/>
      <c r="V103" s="1560"/>
      <c r="W103" s="1560"/>
      <c r="X103" s="1560"/>
      <c r="Y103" s="1560"/>
      <c r="Z103" s="1560"/>
      <c r="AA103" s="1560"/>
      <c r="AB103" s="1560"/>
      <c r="AC103" s="1560"/>
      <c r="AD103" s="1560"/>
      <c r="AE103" s="1560"/>
      <c r="AF103" s="1560"/>
      <c r="AG103" s="1560"/>
      <c r="AH103" s="1560"/>
      <c r="AI103" s="1560"/>
      <c r="AJ103" s="1560"/>
      <c r="AL103" s="1562"/>
      <c r="AM103" s="1561"/>
      <c r="AN103" s="1560"/>
      <c r="AO103" s="1560"/>
      <c r="AP103" s="1560"/>
      <c r="AQ103" s="1560"/>
      <c r="AR103" s="1560"/>
      <c r="AS103" s="1560"/>
      <c r="AT103" s="1560"/>
      <c r="AU103" s="1560"/>
      <c r="AV103" s="1560"/>
      <c r="AW103" s="1560"/>
      <c r="AX103" s="1560"/>
      <c r="AY103" s="1560"/>
      <c r="AZ103" s="1560"/>
      <c r="BA103" s="1560"/>
      <c r="BB103" s="1560"/>
      <c r="BC103" s="1560"/>
      <c r="BD103" s="1560"/>
      <c r="BE103" s="1560"/>
      <c r="BF103" s="1560"/>
      <c r="BG103" s="1560"/>
      <c r="BH103" s="1560"/>
      <c r="BI103" s="1560"/>
      <c r="BJ103" s="1560"/>
      <c r="BK103" s="1560"/>
      <c r="BL103" s="1560"/>
      <c r="BM103" s="1560"/>
      <c r="BN103" s="1560"/>
      <c r="BO103" s="1560"/>
      <c r="BP103" s="1560"/>
      <c r="BQ103" s="1560"/>
      <c r="BR103" s="1560"/>
      <c r="BS103" s="1560"/>
      <c r="BT103" s="1560"/>
      <c r="BU103" s="1560"/>
      <c r="BV103" s="1560"/>
      <c r="BW103" s="1560"/>
      <c r="BX103" s="1560"/>
      <c r="BY103" s="1560"/>
      <c r="BZ103" s="1560"/>
      <c r="CA103" s="1560"/>
      <c r="CB103" s="1560"/>
      <c r="CC103" s="1560"/>
      <c r="CD103" s="1560"/>
      <c r="CE103" s="1560"/>
      <c r="CF103" s="1560"/>
      <c r="CG103" s="1560"/>
      <c r="CH103" s="1560"/>
      <c r="CI103" s="1560"/>
      <c r="CJ103" s="1560"/>
      <c r="CL103" s="1562"/>
      <c r="CM103" s="1561"/>
      <c r="CN103" s="1560"/>
      <c r="CO103" s="1560"/>
      <c r="CP103" s="1560"/>
      <c r="CQ103" s="1560"/>
      <c r="CR103" s="1560"/>
      <c r="CS103" s="1560"/>
      <c r="CT103" s="1560"/>
      <c r="CU103" s="1560"/>
      <c r="CV103" s="1560"/>
      <c r="CW103" s="1560"/>
      <c r="CX103" s="1560"/>
      <c r="CY103" s="1560"/>
      <c r="CZ103" s="1560"/>
      <c r="DA103" s="1560"/>
      <c r="DB103" s="1560"/>
      <c r="DC103" s="1560"/>
      <c r="DD103" s="1560"/>
      <c r="DE103" s="1560"/>
      <c r="DF103" s="1560"/>
      <c r="DG103" s="1560"/>
      <c r="DH103" s="1560"/>
      <c r="DI103" s="1560"/>
      <c r="DJ103" s="1560"/>
      <c r="DK103" s="1560"/>
      <c r="DL103" s="1560"/>
      <c r="DM103" s="1560"/>
      <c r="DN103" s="1560"/>
      <c r="DO103" s="1560"/>
    </row>
    <row r="104" spans="1:119" ht="15" customHeight="1">
      <c r="A104" s="1789">
        <v>88</v>
      </c>
      <c r="B104" s="1562"/>
      <c r="C104" s="1561"/>
      <c r="D104" s="1557"/>
      <c r="E104" s="1558"/>
      <c r="F104" s="1558"/>
      <c r="G104" s="1558"/>
      <c r="H104" s="1558"/>
      <c r="I104" s="1558"/>
      <c r="J104" s="1558"/>
      <c r="K104" s="1559"/>
      <c r="L104" s="1559"/>
      <c r="M104" s="1559"/>
      <c r="N104" s="1560"/>
      <c r="O104" s="1560"/>
      <c r="P104" s="1560"/>
      <c r="Q104" s="1560"/>
      <c r="R104" s="1103"/>
      <c r="S104" s="1560"/>
      <c r="T104" s="1560"/>
      <c r="U104" s="1560"/>
      <c r="V104" s="1560"/>
      <c r="W104" s="1560"/>
      <c r="X104" s="1560"/>
      <c r="Y104" s="1560"/>
      <c r="Z104" s="1560"/>
      <c r="AA104" s="1560"/>
      <c r="AB104" s="1560"/>
      <c r="AC104" s="1560"/>
      <c r="AD104" s="1560"/>
      <c r="AE104" s="1560"/>
      <c r="AF104" s="1560"/>
      <c r="AG104" s="1560"/>
      <c r="AH104" s="1560"/>
      <c r="AI104" s="1560"/>
      <c r="AJ104" s="1560"/>
      <c r="AL104" s="1562"/>
      <c r="AM104" s="1561"/>
      <c r="AN104" s="1560"/>
      <c r="AO104" s="1560"/>
      <c r="AP104" s="1560"/>
      <c r="AQ104" s="1560"/>
      <c r="AR104" s="1560"/>
      <c r="AS104" s="1560"/>
      <c r="AT104" s="1560"/>
      <c r="AU104" s="1560"/>
      <c r="AV104" s="1560"/>
      <c r="AW104" s="1560"/>
      <c r="AX104" s="1560"/>
      <c r="AY104" s="1560"/>
      <c r="AZ104" s="1560"/>
      <c r="BA104" s="1560"/>
      <c r="BB104" s="1560"/>
      <c r="BC104" s="1560"/>
      <c r="BD104" s="1560"/>
      <c r="BE104" s="1560"/>
      <c r="BF104" s="1560"/>
      <c r="BG104" s="1560"/>
      <c r="BH104" s="1560"/>
      <c r="BI104" s="1560"/>
      <c r="BJ104" s="1560"/>
      <c r="BK104" s="1560"/>
      <c r="BL104" s="1560"/>
      <c r="BM104" s="1560"/>
      <c r="BN104" s="1560"/>
      <c r="BO104" s="1560"/>
      <c r="BP104" s="1560"/>
      <c r="BQ104" s="1560"/>
      <c r="BR104" s="1560"/>
      <c r="BS104" s="1560"/>
      <c r="BT104" s="1560"/>
      <c r="BU104" s="1560"/>
      <c r="BV104" s="1560"/>
      <c r="BW104" s="1560"/>
      <c r="BX104" s="1560"/>
      <c r="BY104" s="1560"/>
      <c r="BZ104" s="1560"/>
      <c r="CA104" s="1560"/>
      <c r="CB104" s="1560"/>
      <c r="CC104" s="1560"/>
      <c r="CD104" s="1560"/>
      <c r="CE104" s="1560"/>
      <c r="CF104" s="1560"/>
      <c r="CG104" s="1560"/>
      <c r="CH104" s="1560"/>
      <c r="CI104" s="1560"/>
      <c r="CJ104" s="1560"/>
      <c r="CL104" s="1562"/>
      <c r="CM104" s="1561"/>
      <c r="CN104" s="1560"/>
      <c r="CO104" s="1560"/>
      <c r="CP104" s="1560"/>
      <c r="CQ104" s="1560"/>
      <c r="CR104" s="1560"/>
      <c r="CS104" s="1560"/>
      <c r="CT104" s="1560"/>
      <c r="CU104" s="1560"/>
      <c r="CV104" s="1560"/>
      <c r="CW104" s="1560"/>
      <c r="CX104" s="1560"/>
      <c r="CY104" s="1560"/>
      <c r="CZ104" s="1560"/>
      <c r="DA104" s="1560"/>
      <c r="DB104" s="1560"/>
      <c r="DC104" s="1560"/>
      <c r="DD104" s="1560"/>
      <c r="DE104" s="1560"/>
      <c r="DF104" s="1560"/>
      <c r="DG104" s="1560"/>
      <c r="DH104" s="1560"/>
      <c r="DI104" s="1560"/>
      <c r="DJ104" s="1560"/>
      <c r="DK104" s="1560"/>
      <c r="DL104" s="1560"/>
      <c r="DM104" s="1560"/>
      <c r="DN104" s="1560"/>
      <c r="DO104" s="1560"/>
    </row>
    <row r="105" spans="1:119" ht="15" customHeight="1">
      <c r="A105" s="1789">
        <v>89</v>
      </c>
      <c r="B105" s="1562"/>
      <c r="C105" s="1561"/>
      <c r="D105" s="1557"/>
      <c r="E105" s="1558"/>
      <c r="F105" s="1558"/>
      <c r="G105" s="1558"/>
      <c r="H105" s="1558"/>
      <c r="I105" s="1558"/>
      <c r="J105" s="1558"/>
      <c r="K105" s="1559"/>
      <c r="L105" s="1559"/>
      <c r="M105" s="1559"/>
      <c r="N105" s="1560"/>
      <c r="O105" s="1560"/>
      <c r="P105" s="1560"/>
      <c r="Q105" s="1560"/>
      <c r="R105" s="1103"/>
      <c r="S105" s="1560"/>
      <c r="T105" s="1560"/>
      <c r="U105" s="1560"/>
      <c r="V105" s="1560"/>
      <c r="W105" s="1560"/>
      <c r="X105" s="1560"/>
      <c r="Y105" s="1560"/>
      <c r="Z105" s="1560"/>
      <c r="AA105" s="1560"/>
      <c r="AB105" s="1560"/>
      <c r="AC105" s="1560"/>
      <c r="AD105" s="1560"/>
      <c r="AE105" s="1560"/>
      <c r="AF105" s="1560"/>
      <c r="AG105" s="1560"/>
      <c r="AH105" s="1560"/>
      <c r="AI105" s="1560"/>
      <c r="AJ105" s="1560"/>
      <c r="AL105" s="1562"/>
      <c r="AM105" s="1561"/>
      <c r="AN105" s="1560"/>
      <c r="AO105" s="1560"/>
      <c r="AP105" s="1560"/>
      <c r="AQ105" s="1560"/>
      <c r="AR105" s="1560"/>
      <c r="AS105" s="1560"/>
      <c r="AT105" s="1560"/>
      <c r="AU105" s="1560"/>
      <c r="AV105" s="1560"/>
      <c r="AW105" s="1560"/>
      <c r="AX105" s="1560"/>
      <c r="AY105" s="1560"/>
      <c r="AZ105" s="1560"/>
      <c r="BA105" s="1560"/>
      <c r="BB105" s="1560"/>
      <c r="BC105" s="1560"/>
      <c r="BD105" s="1560"/>
      <c r="BE105" s="1560"/>
      <c r="BF105" s="1560"/>
      <c r="BG105" s="1560"/>
      <c r="BH105" s="1560"/>
      <c r="BI105" s="1560"/>
      <c r="BJ105" s="1560"/>
      <c r="BK105" s="1560"/>
      <c r="BL105" s="1560"/>
      <c r="BM105" s="1560"/>
      <c r="BN105" s="1560"/>
      <c r="BO105" s="1560"/>
      <c r="BP105" s="1560"/>
      <c r="BQ105" s="1560"/>
      <c r="BR105" s="1560"/>
      <c r="BS105" s="1560"/>
      <c r="BT105" s="1560"/>
      <c r="BU105" s="1560"/>
      <c r="BV105" s="1560"/>
      <c r="BW105" s="1560"/>
      <c r="BX105" s="1560"/>
      <c r="BY105" s="1560"/>
      <c r="BZ105" s="1560"/>
      <c r="CA105" s="1560"/>
      <c r="CB105" s="1560"/>
      <c r="CC105" s="1560"/>
      <c r="CD105" s="1560"/>
      <c r="CE105" s="1560"/>
      <c r="CF105" s="1560"/>
      <c r="CG105" s="1560"/>
      <c r="CH105" s="1560"/>
      <c r="CI105" s="1560"/>
      <c r="CJ105" s="1560"/>
      <c r="CL105" s="1562"/>
      <c r="CM105" s="1561"/>
      <c r="CN105" s="1560"/>
      <c r="CO105" s="1560"/>
      <c r="CP105" s="1560"/>
      <c r="CQ105" s="1560"/>
      <c r="CR105" s="1560"/>
      <c r="CS105" s="1560"/>
      <c r="CT105" s="1560"/>
      <c r="CU105" s="1560"/>
      <c r="CV105" s="1560"/>
      <c r="CW105" s="1560"/>
      <c r="CX105" s="1560"/>
      <c r="CY105" s="1560"/>
      <c r="CZ105" s="1560"/>
      <c r="DA105" s="1560"/>
      <c r="DB105" s="1560"/>
      <c r="DC105" s="1560"/>
      <c r="DD105" s="1560"/>
      <c r="DE105" s="1560"/>
      <c r="DF105" s="1560"/>
      <c r="DG105" s="1560"/>
      <c r="DH105" s="1560"/>
      <c r="DI105" s="1560"/>
      <c r="DJ105" s="1560"/>
      <c r="DK105" s="1560"/>
      <c r="DL105" s="1560"/>
      <c r="DM105" s="1560"/>
      <c r="DN105" s="1560"/>
      <c r="DO105" s="1560"/>
    </row>
    <row r="106" spans="1:119" ht="15" customHeight="1">
      <c r="A106" s="1789">
        <v>90</v>
      </c>
      <c r="B106" s="1562"/>
      <c r="C106" s="1561"/>
      <c r="D106" s="1557"/>
      <c r="E106" s="1558"/>
      <c r="F106" s="1558"/>
      <c r="G106" s="1558"/>
      <c r="H106" s="1558"/>
      <c r="I106" s="1558"/>
      <c r="J106" s="1558"/>
      <c r="K106" s="1559"/>
      <c r="L106" s="1559"/>
      <c r="M106" s="1559"/>
      <c r="N106" s="1560"/>
      <c r="O106" s="1560"/>
      <c r="P106" s="1560"/>
      <c r="Q106" s="1560"/>
      <c r="R106" s="1103"/>
      <c r="S106" s="1560"/>
      <c r="T106" s="1560"/>
      <c r="U106" s="1560"/>
      <c r="V106" s="1560"/>
      <c r="W106" s="1560"/>
      <c r="X106" s="1560"/>
      <c r="Y106" s="1560"/>
      <c r="Z106" s="1560"/>
      <c r="AA106" s="1560"/>
      <c r="AB106" s="1560"/>
      <c r="AC106" s="1560"/>
      <c r="AD106" s="1560"/>
      <c r="AE106" s="1560"/>
      <c r="AF106" s="1560"/>
      <c r="AG106" s="1560"/>
      <c r="AH106" s="1560"/>
      <c r="AI106" s="1560"/>
      <c r="AJ106" s="1560"/>
      <c r="AL106" s="1562"/>
      <c r="AM106" s="1561"/>
      <c r="AN106" s="1560"/>
      <c r="AO106" s="1560"/>
      <c r="AP106" s="1560"/>
      <c r="AQ106" s="1560"/>
      <c r="AR106" s="1560"/>
      <c r="AS106" s="1560"/>
      <c r="AT106" s="1560"/>
      <c r="AU106" s="1560"/>
      <c r="AV106" s="1560"/>
      <c r="AW106" s="1560"/>
      <c r="AX106" s="1560"/>
      <c r="AY106" s="1560"/>
      <c r="AZ106" s="1560"/>
      <c r="BA106" s="1560"/>
      <c r="BB106" s="1560"/>
      <c r="BC106" s="1560"/>
      <c r="BD106" s="1560"/>
      <c r="BE106" s="1560"/>
      <c r="BF106" s="1560"/>
      <c r="BG106" s="1560"/>
      <c r="BH106" s="1560"/>
      <c r="BI106" s="1560"/>
      <c r="BJ106" s="1560"/>
      <c r="BK106" s="1560"/>
      <c r="BL106" s="1560"/>
      <c r="BM106" s="1560"/>
      <c r="BN106" s="1560"/>
      <c r="BO106" s="1560"/>
      <c r="BP106" s="1560"/>
      <c r="BQ106" s="1560"/>
      <c r="BR106" s="1560"/>
      <c r="BS106" s="1560"/>
      <c r="BT106" s="1560"/>
      <c r="BU106" s="1560"/>
      <c r="BV106" s="1560"/>
      <c r="BW106" s="1560"/>
      <c r="BX106" s="1560"/>
      <c r="BY106" s="1560"/>
      <c r="BZ106" s="1560"/>
      <c r="CA106" s="1560"/>
      <c r="CB106" s="1560"/>
      <c r="CC106" s="1560"/>
      <c r="CD106" s="1560"/>
      <c r="CE106" s="1560"/>
      <c r="CF106" s="1560"/>
      <c r="CG106" s="1560"/>
      <c r="CH106" s="1560"/>
      <c r="CI106" s="1560"/>
      <c r="CJ106" s="1560"/>
      <c r="CL106" s="1562"/>
      <c r="CM106" s="1561"/>
      <c r="CN106" s="1560"/>
      <c r="CO106" s="1560"/>
      <c r="CP106" s="1560"/>
      <c r="CQ106" s="1560"/>
      <c r="CR106" s="1560"/>
      <c r="CS106" s="1560"/>
      <c r="CT106" s="1560"/>
      <c r="CU106" s="1560"/>
      <c r="CV106" s="1560"/>
      <c r="CW106" s="1560"/>
      <c r="CX106" s="1560"/>
      <c r="CY106" s="1560"/>
      <c r="CZ106" s="1560"/>
      <c r="DA106" s="1560"/>
      <c r="DB106" s="1560"/>
      <c r="DC106" s="1560"/>
      <c r="DD106" s="1560"/>
      <c r="DE106" s="1560"/>
      <c r="DF106" s="1560"/>
      <c r="DG106" s="1560"/>
      <c r="DH106" s="1560"/>
      <c r="DI106" s="1560"/>
      <c r="DJ106" s="1560"/>
      <c r="DK106" s="1560"/>
      <c r="DL106" s="1560"/>
      <c r="DM106" s="1560"/>
      <c r="DN106" s="1560"/>
      <c r="DO106" s="1560"/>
    </row>
    <row r="107" spans="1:119" ht="15" customHeight="1">
      <c r="A107" s="1789">
        <v>91</v>
      </c>
      <c r="B107" s="1562"/>
      <c r="C107" s="1561"/>
      <c r="D107" s="1557"/>
      <c r="E107" s="1558"/>
      <c r="F107" s="1558"/>
      <c r="G107" s="1558"/>
      <c r="H107" s="1558"/>
      <c r="I107" s="1558"/>
      <c r="J107" s="1558"/>
      <c r="K107" s="1559"/>
      <c r="L107" s="1559"/>
      <c r="M107" s="1559"/>
      <c r="N107" s="1560"/>
      <c r="O107" s="1560"/>
      <c r="P107" s="1560"/>
      <c r="Q107" s="1560"/>
      <c r="R107" s="1103"/>
      <c r="S107" s="1560"/>
      <c r="T107" s="1560"/>
      <c r="U107" s="1560"/>
      <c r="V107" s="1560"/>
      <c r="W107" s="1560"/>
      <c r="X107" s="1560"/>
      <c r="Y107" s="1560"/>
      <c r="Z107" s="1560"/>
      <c r="AA107" s="1560"/>
      <c r="AB107" s="1560"/>
      <c r="AC107" s="1560"/>
      <c r="AD107" s="1560"/>
      <c r="AE107" s="1560"/>
      <c r="AF107" s="1560"/>
      <c r="AG107" s="1560"/>
      <c r="AH107" s="1560"/>
      <c r="AI107" s="1560"/>
      <c r="AJ107" s="1560"/>
      <c r="AL107" s="1562"/>
      <c r="AM107" s="1561"/>
      <c r="AN107" s="1560"/>
      <c r="AO107" s="1560"/>
      <c r="AP107" s="1560"/>
      <c r="AQ107" s="1560"/>
      <c r="AR107" s="1560"/>
      <c r="AS107" s="1560"/>
      <c r="AT107" s="1560"/>
      <c r="AU107" s="1560"/>
      <c r="AV107" s="1560"/>
      <c r="AW107" s="1560"/>
      <c r="AX107" s="1560"/>
      <c r="AY107" s="1560"/>
      <c r="AZ107" s="1560"/>
      <c r="BA107" s="1560"/>
      <c r="BB107" s="1560"/>
      <c r="BC107" s="1560"/>
      <c r="BD107" s="1560"/>
      <c r="BE107" s="1560"/>
      <c r="BF107" s="1560"/>
      <c r="BG107" s="1560"/>
      <c r="BH107" s="1560"/>
      <c r="BI107" s="1560"/>
      <c r="BJ107" s="1560"/>
      <c r="BK107" s="1560"/>
      <c r="BL107" s="1560"/>
      <c r="BM107" s="1560"/>
      <c r="BN107" s="1560"/>
      <c r="BO107" s="1560"/>
      <c r="BP107" s="1560"/>
      <c r="BQ107" s="1560"/>
      <c r="BR107" s="1560"/>
      <c r="BS107" s="1560"/>
      <c r="BT107" s="1560"/>
      <c r="BU107" s="1560"/>
      <c r="BV107" s="1560"/>
      <c r="BW107" s="1560"/>
      <c r="BX107" s="1560"/>
      <c r="BY107" s="1560"/>
      <c r="BZ107" s="1560"/>
      <c r="CA107" s="1560"/>
      <c r="CB107" s="1560"/>
      <c r="CC107" s="1560"/>
      <c r="CD107" s="1560"/>
      <c r="CE107" s="1560"/>
      <c r="CF107" s="1560"/>
      <c r="CG107" s="1560"/>
      <c r="CH107" s="1560"/>
      <c r="CI107" s="1560"/>
      <c r="CJ107" s="1560"/>
      <c r="CL107" s="1562"/>
      <c r="CM107" s="1561"/>
      <c r="CN107" s="1560"/>
      <c r="CO107" s="1560"/>
      <c r="CP107" s="1560"/>
      <c r="CQ107" s="1560"/>
      <c r="CR107" s="1560"/>
      <c r="CS107" s="1560"/>
      <c r="CT107" s="1560"/>
      <c r="CU107" s="1560"/>
      <c r="CV107" s="1560"/>
      <c r="CW107" s="1560"/>
      <c r="CX107" s="1560"/>
      <c r="CY107" s="1560"/>
      <c r="CZ107" s="1560"/>
      <c r="DA107" s="1560"/>
      <c r="DB107" s="1560"/>
      <c r="DC107" s="1560"/>
      <c r="DD107" s="1560"/>
      <c r="DE107" s="1560"/>
      <c r="DF107" s="1560"/>
      <c r="DG107" s="1560"/>
      <c r="DH107" s="1560"/>
      <c r="DI107" s="1560"/>
      <c r="DJ107" s="1560"/>
      <c r="DK107" s="1560"/>
      <c r="DL107" s="1560"/>
      <c r="DM107" s="1560"/>
      <c r="DN107" s="1560"/>
      <c r="DO107" s="1560"/>
    </row>
    <row r="108" spans="1:119" ht="15" customHeight="1">
      <c r="A108" s="1789">
        <v>92</v>
      </c>
      <c r="B108" s="1562"/>
      <c r="C108" s="1561"/>
      <c r="D108" s="1557"/>
      <c r="E108" s="1558"/>
      <c r="F108" s="1558"/>
      <c r="G108" s="1558"/>
      <c r="H108" s="1558"/>
      <c r="I108" s="1558"/>
      <c r="J108" s="1558"/>
      <c r="K108" s="1559"/>
      <c r="L108" s="1559"/>
      <c r="M108" s="1559"/>
      <c r="N108" s="1560"/>
      <c r="O108" s="1560"/>
      <c r="P108" s="1560"/>
      <c r="Q108" s="1560"/>
      <c r="R108" s="1103"/>
      <c r="S108" s="1560"/>
      <c r="T108" s="1560"/>
      <c r="U108" s="1560"/>
      <c r="V108" s="1560"/>
      <c r="W108" s="1560"/>
      <c r="X108" s="1560"/>
      <c r="Y108" s="1560"/>
      <c r="Z108" s="1560"/>
      <c r="AA108" s="1560"/>
      <c r="AB108" s="1560"/>
      <c r="AC108" s="1560"/>
      <c r="AD108" s="1560"/>
      <c r="AE108" s="1560"/>
      <c r="AF108" s="1560"/>
      <c r="AG108" s="1560"/>
      <c r="AH108" s="1560"/>
      <c r="AI108" s="1560"/>
      <c r="AJ108" s="1560"/>
      <c r="AL108" s="1562"/>
      <c r="AM108" s="1561"/>
      <c r="AN108" s="1560"/>
      <c r="AO108" s="1560"/>
      <c r="AP108" s="1560"/>
      <c r="AQ108" s="1560"/>
      <c r="AR108" s="1560"/>
      <c r="AS108" s="1560"/>
      <c r="AT108" s="1560"/>
      <c r="AU108" s="1560"/>
      <c r="AV108" s="1560"/>
      <c r="AW108" s="1560"/>
      <c r="AX108" s="1560"/>
      <c r="AY108" s="1560"/>
      <c r="AZ108" s="1560"/>
      <c r="BA108" s="1560"/>
      <c r="BB108" s="1560"/>
      <c r="BC108" s="1560"/>
      <c r="BD108" s="1560"/>
      <c r="BE108" s="1560"/>
      <c r="BF108" s="1560"/>
      <c r="BG108" s="1560"/>
      <c r="BH108" s="1560"/>
      <c r="BI108" s="1560"/>
      <c r="BJ108" s="1560"/>
      <c r="BK108" s="1560"/>
      <c r="BL108" s="1560"/>
      <c r="BM108" s="1560"/>
      <c r="BN108" s="1560"/>
      <c r="BO108" s="1560"/>
      <c r="BP108" s="1560"/>
      <c r="BQ108" s="1560"/>
      <c r="BR108" s="1560"/>
      <c r="BS108" s="1560"/>
      <c r="BT108" s="1560"/>
      <c r="BU108" s="1560"/>
      <c r="BV108" s="1560"/>
      <c r="BW108" s="1560"/>
      <c r="BX108" s="1560"/>
      <c r="BY108" s="1560"/>
      <c r="BZ108" s="1560"/>
      <c r="CA108" s="1560"/>
      <c r="CB108" s="1560"/>
      <c r="CC108" s="1560"/>
      <c r="CD108" s="1560"/>
      <c r="CE108" s="1560"/>
      <c r="CF108" s="1560"/>
      <c r="CG108" s="1560"/>
      <c r="CH108" s="1560"/>
      <c r="CI108" s="1560"/>
      <c r="CJ108" s="1560"/>
      <c r="CL108" s="1562"/>
      <c r="CM108" s="1561"/>
      <c r="CN108" s="1560"/>
      <c r="CO108" s="1560"/>
      <c r="CP108" s="1560"/>
      <c r="CQ108" s="1560"/>
      <c r="CR108" s="1560"/>
      <c r="CS108" s="1560"/>
      <c r="CT108" s="1560"/>
      <c r="CU108" s="1560"/>
      <c r="CV108" s="1560"/>
      <c r="CW108" s="1560"/>
      <c r="CX108" s="1560"/>
      <c r="CY108" s="1560"/>
      <c r="CZ108" s="1560"/>
      <c r="DA108" s="1560"/>
      <c r="DB108" s="1560"/>
      <c r="DC108" s="1560"/>
      <c r="DD108" s="1560"/>
      <c r="DE108" s="1560"/>
      <c r="DF108" s="1560"/>
      <c r="DG108" s="1560"/>
      <c r="DH108" s="1560"/>
      <c r="DI108" s="1560"/>
      <c r="DJ108" s="1560"/>
      <c r="DK108" s="1560"/>
      <c r="DL108" s="1560"/>
      <c r="DM108" s="1560"/>
      <c r="DN108" s="1560"/>
      <c r="DO108" s="1560"/>
    </row>
    <row r="109" spans="1:119" ht="15" customHeight="1">
      <c r="A109" s="1789">
        <v>93</v>
      </c>
      <c r="B109" s="1562"/>
      <c r="C109" s="1561"/>
      <c r="D109" s="1557"/>
      <c r="E109" s="1558"/>
      <c r="F109" s="1558"/>
      <c r="G109" s="1558"/>
      <c r="H109" s="1558"/>
      <c r="I109" s="1558"/>
      <c r="J109" s="1558"/>
      <c r="K109" s="1559"/>
      <c r="L109" s="1559"/>
      <c r="M109" s="1559"/>
      <c r="N109" s="1560"/>
      <c r="O109" s="1560"/>
      <c r="P109" s="1560"/>
      <c r="Q109" s="1560"/>
      <c r="R109" s="1103"/>
      <c r="S109" s="1560"/>
      <c r="T109" s="1560"/>
      <c r="U109" s="1560"/>
      <c r="V109" s="1560"/>
      <c r="W109" s="1560"/>
      <c r="X109" s="1560"/>
      <c r="Y109" s="1560"/>
      <c r="Z109" s="1560"/>
      <c r="AA109" s="1560"/>
      <c r="AB109" s="1560"/>
      <c r="AC109" s="1560"/>
      <c r="AD109" s="1560"/>
      <c r="AE109" s="1560"/>
      <c r="AF109" s="1560"/>
      <c r="AG109" s="1560"/>
      <c r="AH109" s="1560"/>
      <c r="AI109" s="1560"/>
      <c r="AJ109" s="1560"/>
      <c r="AL109" s="1562"/>
      <c r="AM109" s="1561"/>
      <c r="AN109" s="1560"/>
      <c r="AO109" s="1560"/>
      <c r="AP109" s="1560"/>
      <c r="AQ109" s="1560"/>
      <c r="AR109" s="1560"/>
      <c r="AS109" s="1560"/>
      <c r="AT109" s="1560"/>
      <c r="AU109" s="1560"/>
      <c r="AV109" s="1560"/>
      <c r="AW109" s="1560"/>
      <c r="AX109" s="1560"/>
      <c r="AY109" s="1560"/>
      <c r="AZ109" s="1560"/>
      <c r="BA109" s="1560"/>
      <c r="BB109" s="1560"/>
      <c r="BC109" s="1560"/>
      <c r="BD109" s="1560"/>
      <c r="BE109" s="1560"/>
      <c r="BF109" s="1560"/>
      <c r="BG109" s="1560"/>
      <c r="BH109" s="1560"/>
      <c r="BI109" s="1560"/>
      <c r="BJ109" s="1560"/>
      <c r="BK109" s="1560"/>
      <c r="BL109" s="1560"/>
      <c r="BM109" s="1560"/>
      <c r="BN109" s="1560"/>
      <c r="BO109" s="1560"/>
      <c r="BP109" s="1560"/>
      <c r="BQ109" s="1560"/>
      <c r="BR109" s="1560"/>
      <c r="BS109" s="1560"/>
      <c r="BT109" s="1560"/>
      <c r="BU109" s="1560"/>
      <c r="BV109" s="1560"/>
      <c r="BW109" s="1560"/>
      <c r="BX109" s="1560"/>
      <c r="BY109" s="1560"/>
      <c r="BZ109" s="1560"/>
      <c r="CA109" s="1560"/>
      <c r="CB109" s="1560"/>
      <c r="CC109" s="1560"/>
      <c r="CD109" s="1560"/>
      <c r="CE109" s="1560"/>
      <c r="CF109" s="1560"/>
      <c r="CG109" s="1560"/>
      <c r="CH109" s="1560"/>
      <c r="CI109" s="1560"/>
      <c r="CJ109" s="1560"/>
      <c r="CL109" s="1562"/>
      <c r="CM109" s="1561"/>
      <c r="CN109" s="1560"/>
      <c r="CO109" s="1560"/>
      <c r="CP109" s="1560"/>
      <c r="CQ109" s="1560"/>
      <c r="CR109" s="1560"/>
      <c r="CS109" s="1560"/>
      <c r="CT109" s="1560"/>
      <c r="CU109" s="1560"/>
      <c r="CV109" s="1560"/>
      <c r="CW109" s="1560"/>
      <c r="CX109" s="1560"/>
      <c r="CY109" s="1560"/>
      <c r="CZ109" s="1560"/>
      <c r="DA109" s="1560"/>
      <c r="DB109" s="1560"/>
      <c r="DC109" s="1560"/>
      <c r="DD109" s="1560"/>
      <c r="DE109" s="1560"/>
      <c r="DF109" s="1560"/>
      <c r="DG109" s="1560"/>
      <c r="DH109" s="1560"/>
      <c r="DI109" s="1560"/>
      <c r="DJ109" s="1560"/>
      <c r="DK109" s="1560"/>
      <c r="DL109" s="1560"/>
      <c r="DM109" s="1560"/>
      <c r="DN109" s="1560"/>
      <c r="DO109" s="1560"/>
    </row>
    <row r="110" spans="1:119" ht="15" customHeight="1">
      <c r="A110" s="1789">
        <v>94</v>
      </c>
      <c r="B110" s="1562"/>
      <c r="C110" s="1561"/>
      <c r="D110" s="1557"/>
      <c r="E110" s="1558"/>
      <c r="F110" s="1558"/>
      <c r="G110" s="1558"/>
      <c r="H110" s="1558"/>
      <c r="I110" s="1558"/>
      <c r="J110" s="1558"/>
      <c r="K110" s="1559"/>
      <c r="L110" s="1559"/>
      <c r="M110" s="1559"/>
      <c r="N110" s="1560"/>
      <c r="O110" s="1560"/>
      <c r="P110" s="1560"/>
      <c r="Q110" s="1560"/>
      <c r="R110" s="1103"/>
      <c r="S110" s="1560"/>
      <c r="T110" s="1560"/>
      <c r="U110" s="1560"/>
      <c r="V110" s="1560"/>
      <c r="W110" s="1560"/>
      <c r="X110" s="1560"/>
      <c r="Y110" s="1560"/>
      <c r="Z110" s="1560"/>
      <c r="AA110" s="1560"/>
      <c r="AB110" s="1560"/>
      <c r="AC110" s="1560"/>
      <c r="AD110" s="1560"/>
      <c r="AE110" s="1560"/>
      <c r="AF110" s="1560"/>
      <c r="AG110" s="1560"/>
      <c r="AH110" s="1560"/>
      <c r="AI110" s="1560"/>
      <c r="AJ110" s="1560"/>
      <c r="AL110" s="1562"/>
      <c r="AM110" s="1561"/>
      <c r="AN110" s="1560"/>
      <c r="AO110" s="1560"/>
      <c r="AP110" s="1560"/>
      <c r="AQ110" s="1560"/>
      <c r="AR110" s="1560"/>
      <c r="AS110" s="1560"/>
      <c r="AT110" s="1560"/>
      <c r="AU110" s="1560"/>
      <c r="AV110" s="1560"/>
      <c r="AW110" s="1560"/>
      <c r="AX110" s="1560"/>
      <c r="AY110" s="1560"/>
      <c r="AZ110" s="1560"/>
      <c r="BA110" s="1560"/>
      <c r="BB110" s="1560"/>
      <c r="BC110" s="1560"/>
      <c r="BD110" s="1560"/>
      <c r="BE110" s="1560"/>
      <c r="BF110" s="1560"/>
      <c r="BG110" s="1560"/>
      <c r="BH110" s="1560"/>
      <c r="BI110" s="1560"/>
      <c r="BJ110" s="1560"/>
      <c r="BK110" s="1560"/>
      <c r="BL110" s="1560"/>
      <c r="BM110" s="1560"/>
      <c r="BN110" s="1560"/>
      <c r="BO110" s="1560"/>
      <c r="BP110" s="1560"/>
      <c r="BQ110" s="1560"/>
      <c r="BR110" s="1560"/>
      <c r="BS110" s="1560"/>
      <c r="BT110" s="1560"/>
      <c r="BU110" s="1560"/>
      <c r="BV110" s="1560"/>
      <c r="BW110" s="1560"/>
      <c r="BX110" s="1560"/>
      <c r="BY110" s="1560"/>
      <c r="BZ110" s="1560"/>
      <c r="CA110" s="1560"/>
      <c r="CB110" s="1560"/>
      <c r="CC110" s="1560"/>
      <c r="CD110" s="1560"/>
      <c r="CE110" s="1560"/>
      <c r="CF110" s="1560"/>
      <c r="CG110" s="1560"/>
      <c r="CH110" s="1560"/>
      <c r="CI110" s="1560"/>
      <c r="CJ110" s="1560"/>
      <c r="CL110" s="1562"/>
      <c r="CM110" s="1561"/>
      <c r="CN110" s="1560"/>
      <c r="CO110" s="1560"/>
      <c r="CP110" s="1560"/>
      <c r="CQ110" s="1560"/>
      <c r="CR110" s="1560"/>
      <c r="CS110" s="1560"/>
      <c r="CT110" s="1560"/>
      <c r="CU110" s="1560"/>
      <c r="CV110" s="1560"/>
      <c r="CW110" s="1560"/>
      <c r="CX110" s="1560"/>
      <c r="CY110" s="1560"/>
      <c r="CZ110" s="1560"/>
      <c r="DA110" s="1560"/>
      <c r="DB110" s="1560"/>
      <c r="DC110" s="1560"/>
      <c r="DD110" s="1560"/>
      <c r="DE110" s="1560"/>
      <c r="DF110" s="1560"/>
      <c r="DG110" s="1560"/>
      <c r="DH110" s="1560"/>
      <c r="DI110" s="1560"/>
      <c r="DJ110" s="1560"/>
      <c r="DK110" s="1560"/>
      <c r="DL110" s="1560"/>
      <c r="DM110" s="1560"/>
      <c r="DN110" s="1560"/>
      <c r="DO110" s="1560"/>
    </row>
    <row r="111" spans="1:119" ht="15" customHeight="1">
      <c r="A111" s="1789">
        <v>95</v>
      </c>
      <c r="B111" s="1562"/>
      <c r="C111" s="1561"/>
      <c r="D111" s="1557"/>
      <c r="E111" s="1558"/>
      <c r="F111" s="1558"/>
      <c r="G111" s="1558"/>
      <c r="H111" s="1558"/>
      <c r="I111" s="1558"/>
      <c r="J111" s="1558"/>
      <c r="K111" s="1559"/>
      <c r="L111" s="1559"/>
      <c r="M111" s="1559"/>
      <c r="N111" s="1560"/>
      <c r="O111" s="1560"/>
      <c r="P111" s="1560"/>
      <c r="Q111" s="1560"/>
      <c r="R111" s="1103"/>
      <c r="S111" s="1560"/>
      <c r="T111" s="1560"/>
      <c r="U111" s="1560"/>
      <c r="V111" s="1560"/>
      <c r="W111" s="1560"/>
      <c r="X111" s="1560"/>
      <c r="Y111" s="1560"/>
      <c r="Z111" s="1560"/>
      <c r="AA111" s="1560"/>
      <c r="AB111" s="1560"/>
      <c r="AC111" s="1560"/>
      <c r="AD111" s="1560"/>
      <c r="AE111" s="1560"/>
      <c r="AF111" s="1560"/>
      <c r="AG111" s="1560"/>
      <c r="AH111" s="1560"/>
      <c r="AI111" s="1560"/>
      <c r="AJ111" s="1560"/>
      <c r="AL111" s="1562"/>
      <c r="AM111" s="1561"/>
      <c r="AN111" s="1560"/>
      <c r="AO111" s="1560"/>
      <c r="AP111" s="1560"/>
      <c r="AQ111" s="1560"/>
      <c r="AR111" s="1560"/>
      <c r="AS111" s="1560"/>
      <c r="AT111" s="1560"/>
      <c r="AU111" s="1560"/>
      <c r="AV111" s="1560"/>
      <c r="AW111" s="1560"/>
      <c r="AX111" s="1560"/>
      <c r="AY111" s="1560"/>
      <c r="AZ111" s="1560"/>
      <c r="BA111" s="1560"/>
      <c r="BB111" s="1560"/>
      <c r="BC111" s="1560"/>
      <c r="BD111" s="1560"/>
      <c r="BE111" s="1560"/>
      <c r="BF111" s="1560"/>
      <c r="BG111" s="1560"/>
      <c r="BH111" s="1560"/>
      <c r="BI111" s="1560"/>
      <c r="BJ111" s="1560"/>
      <c r="BK111" s="1560"/>
      <c r="BL111" s="1560"/>
      <c r="BM111" s="1560"/>
      <c r="BN111" s="1560"/>
      <c r="BO111" s="1560"/>
      <c r="BP111" s="1560"/>
      <c r="BQ111" s="1560"/>
      <c r="BR111" s="1560"/>
      <c r="BS111" s="1560"/>
      <c r="BT111" s="1560"/>
      <c r="BU111" s="1560"/>
      <c r="BV111" s="1560"/>
      <c r="BW111" s="1560"/>
      <c r="BX111" s="1560"/>
      <c r="BY111" s="1560"/>
      <c r="BZ111" s="1560"/>
      <c r="CA111" s="1560"/>
      <c r="CB111" s="1560"/>
      <c r="CC111" s="1560"/>
      <c r="CD111" s="1560"/>
      <c r="CE111" s="1560"/>
      <c r="CF111" s="1560"/>
      <c r="CG111" s="1560"/>
      <c r="CH111" s="1560"/>
      <c r="CI111" s="1560"/>
      <c r="CJ111" s="1560"/>
      <c r="CL111" s="1562"/>
      <c r="CM111" s="1561"/>
      <c r="CN111" s="1560"/>
      <c r="CO111" s="1560"/>
      <c r="CP111" s="1560"/>
      <c r="CQ111" s="1560"/>
      <c r="CR111" s="1560"/>
      <c r="CS111" s="1560"/>
      <c r="CT111" s="1560"/>
      <c r="CU111" s="1560"/>
      <c r="CV111" s="1560"/>
      <c r="CW111" s="1560"/>
      <c r="CX111" s="1560"/>
      <c r="CY111" s="1560"/>
      <c r="CZ111" s="1560"/>
      <c r="DA111" s="1560"/>
      <c r="DB111" s="1560"/>
      <c r="DC111" s="1560"/>
      <c r="DD111" s="1560"/>
      <c r="DE111" s="1560"/>
      <c r="DF111" s="1560"/>
      <c r="DG111" s="1560"/>
      <c r="DH111" s="1560"/>
      <c r="DI111" s="1560"/>
      <c r="DJ111" s="1560"/>
      <c r="DK111" s="1560"/>
      <c r="DL111" s="1560"/>
      <c r="DM111" s="1560"/>
      <c r="DN111" s="1560"/>
      <c r="DO111" s="1560"/>
    </row>
    <row r="112" spans="1:119" ht="15" customHeight="1">
      <c r="A112" s="1789">
        <v>96</v>
      </c>
      <c r="B112" s="1562"/>
      <c r="C112" s="1561"/>
      <c r="D112" s="1557"/>
      <c r="E112" s="1558"/>
      <c r="F112" s="1558"/>
      <c r="G112" s="1558"/>
      <c r="H112" s="1558"/>
      <c r="I112" s="1558"/>
      <c r="J112" s="1558"/>
      <c r="K112" s="1559"/>
      <c r="L112" s="1559"/>
      <c r="M112" s="1559"/>
      <c r="N112" s="1560"/>
      <c r="O112" s="1560"/>
      <c r="P112" s="1560"/>
      <c r="Q112" s="1560"/>
      <c r="R112" s="1103"/>
      <c r="S112" s="1560"/>
      <c r="T112" s="1560"/>
      <c r="U112" s="1560"/>
      <c r="V112" s="1560"/>
      <c r="W112" s="1560"/>
      <c r="X112" s="1560"/>
      <c r="Y112" s="1560"/>
      <c r="Z112" s="1560"/>
      <c r="AA112" s="1560"/>
      <c r="AB112" s="1560"/>
      <c r="AC112" s="1560"/>
      <c r="AD112" s="1560"/>
      <c r="AE112" s="1560"/>
      <c r="AF112" s="1560"/>
      <c r="AG112" s="1560"/>
      <c r="AH112" s="1560"/>
      <c r="AI112" s="1560"/>
      <c r="AJ112" s="1560"/>
      <c r="AL112" s="1562"/>
      <c r="AM112" s="1561"/>
      <c r="AN112" s="1560"/>
      <c r="AO112" s="1560"/>
      <c r="AP112" s="1560"/>
      <c r="AQ112" s="1560"/>
      <c r="AR112" s="1560"/>
      <c r="AS112" s="1560"/>
      <c r="AT112" s="1560"/>
      <c r="AU112" s="1560"/>
      <c r="AV112" s="1560"/>
      <c r="AW112" s="1560"/>
      <c r="AX112" s="1560"/>
      <c r="AY112" s="1560"/>
      <c r="AZ112" s="1560"/>
      <c r="BA112" s="1560"/>
      <c r="BB112" s="1560"/>
      <c r="BC112" s="1560"/>
      <c r="BD112" s="1560"/>
      <c r="BE112" s="1560"/>
      <c r="BF112" s="1560"/>
      <c r="BG112" s="1560"/>
      <c r="BH112" s="1560"/>
      <c r="BI112" s="1560"/>
      <c r="BJ112" s="1560"/>
      <c r="BK112" s="1560"/>
      <c r="BL112" s="1560"/>
      <c r="BM112" s="1560"/>
      <c r="BN112" s="1560"/>
      <c r="BO112" s="1560"/>
      <c r="BP112" s="1560"/>
      <c r="BQ112" s="1560"/>
      <c r="BR112" s="1560"/>
      <c r="BS112" s="1560"/>
      <c r="BT112" s="1560"/>
      <c r="BU112" s="1560"/>
      <c r="BV112" s="1560"/>
      <c r="BW112" s="1560"/>
      <c r="BX112" s="1560"/>
      <c r="BY112" s="1560"/>
      <c r="BZ112" s="1560"/>
      <c r="CA112" s="1560"/>
      <c r="CB112" s="1560"/>
      <c r="CC112" s="1560"/>
      <c r="CD112" s="1560"/>
      <c r="CE112" s="1560"/>
      <c r="CF112" s="1560"/>
      <c r="CG112" s="1560"/>
      <c r="CH112" s="1560"/>
      <c r="CI112" s="1560"/>
      <c r="CJ112" s="1560"/>
      <c r="CL112" s="1562"/>
      <c r="CM112" s="1561"/>
      <c r="CN112" s="1560"/>
      <c r="CO112" s="1560"/>
      <c r="CP112" s="1560"/>
      <c r="CQ112" s="1560"/>
      <c r="CR112" s="1560"/>
      <c r="CS112" s="1560"/>
      <c r="CT112" s="1560"/>
      <c r="CU112" s="1560"/>
      <c r="CV112" s="1560"/>
      <c r="CW112" s="1560"/>
      <c r="CX112" s="1560"/>
      <c r="CY112" s="1560"/>
      <c r="CZ112" s="1560"/>
      <c r="DA112" s="1560"/>
      <c r="DB112" s="1560"/>
      <c r="DC112" s="1560"/>
      <c r="DD112" s="1560"/>
      <c r="DE112" s="1560"/>
      <c r="DF112" s="1560"/>
      <c r="DG112" s="1560"/>
      <c r="DH112" s="1560"/>
      <c r="DI112" s="1560"/>
      <c r="DJ112" s="1560"/>
      <c r="DK112" s="1560"/>
      <c r="DL112" s="1560"/>
      <c r="DM112" s="1560"/>
      <c r="DN112" s="1560"/>
      <c r="DO112" s="1560"/>
    </row>
    <row r="113" spans="1:119" ht="15" customHeight="1">
      <c r="A113" s="1789">
        <v>97</v>
      </c>
      <c r="B113" s="1562"/>
      <c r="C113" s="1561"/>
      <c r="D113" s="1557"/>
      <c r="E113" s="1558"/>
      <c r="F113" s="1558"/>
      <c r="G113" s="1558"/>
      <c r="H113" s="1558"/>
      <c r="I113" s="1558"/>
      <c r="J113" s="1558"/>
      <c r="K113" s="1559"/>
      <c r="L113" s="1559"/>
      <c r="M113" s="1559"/>
      <c r="N113" s="1560"/>
      <c r="O113" s="1560"/>
      <c r="P113" s="1560"/>
      <c r="Q113" s="1560"/>
      <c r="R113" s="1103"/>
      <c r="S113" s="1560"/>
      <c r="T113" s="1560"/>
      <c r="U113" s="1560"/>
      <c r="V113" s="1560"/>
      <c r="W113" s="1560"/>
      <c r="X113" s="1560"/>
      <c r="Y113" s="1560"/>
      <c r="Z113" s="1560"/>
      <c r="AA113" s="1560"/>
      <c r="AB113" s="1560"/>
      <c r="AC113" s="1560"/>
      <c r="AD113" s="1560"/>
      <c r="AE113" s="1560"/>
      <c r="AF113" s="1560"/>
      <c r="AG113" s="1560"/>
      <c r="AH113" s="1560"/>
      <c r="AI113" s="1560"/>
      <c r="AJ113" s="1560"/>
      <c r="AL113" s="1562"/>
      <c r="AM113" s="1561"/>
      <c r="AN113" s="1560"/>
      <c r="AO113" s="1560"/>
      <c r="AP113" s="1560"/>
      <c r="AQ113" s="1560"/>
      <c r="AR113" s="1560"/>
      <c r="AS113" s="1560"/>
      <c r="AT113" s="1560"/>
      <c r="AU113" s="1560"/>
      <c r="AV113" s="1560"/>
      <c r="AW113" s="1560"/>
      <c r="AX113" s="1560"/>
      <c r="AY113" s="1560"/>
      <c r="AZ113" s="1560"/>
      <c r="BA113" s="1560"/>
      <c r="BB113" s="1560"/>
      <c r="BC113" s="1560"/>
      <c r="BD113" s="1560"/>
      <c r="BE113" s="1560"/>
      <c r="BF113" s="1560"/>
      <c r="BG113" s="1560"/>
      <c r="BH113" s="1560"/>
      <c r="BI113" s="1560"/>
      <c r="BJ113" s="1560"/>
      <c r="BK113" s="1560"/>
      <c r="BL113" s="1560"/>
      <c r="BM113" s="1560"/>
      <c r="BN113" s="1560"/>
      <c r="BO113" s="1560"/>
      <c r="BP113" s="1560"/>
      <c r="BQ113" s="1560"/>
      <c r="BR113" s="1560"/>
      <c r="BS113" s="1560"/>
      <c r="BT113" s="1560"/>
      <c r="BU113" s="1560"/>
      <c r="BV113" s="1560"/>
      <c r="BW113" s="1560"/>
      <c r="BX113" s="1560"/>
      <c r="BY113" s="1560"/>
      <c r="BZ113" s="1560"/>
      <c r="CA113" s="1560"/>
      <c r="CB113" s="1560"/>
      <c r="CC113" s="1560"/>
      <c r="CD113" s="1560"/>
      <c r="CE113" s="1560"/>
      <c r="CF113" s="1560"/>
      <c r="CG113" s="1560"/>
      <c r="CH113" s="1560"/>
      <c r="CI113" s="1560"/>
      <c r="CJ113" s="1560"/>
      <c r="CL113" s="1562"/>
      <c r="CM113" s="1561"/>
      <c r="CN113" s="1560"/>
      <c r="CO113" s="1560"/>
      <c r="CP113" s="1560"/>
      <c r="CQ113" s="1560"/>
      <c r="CR113" s="1560"/>
      <c r="CS113" s="1560"/>
      <c r="CT113" s="1560"/>
      <c r="CU113" s="1560"/>
      <c r="CV113" s="1560"/>
      <c r="CW113" s="1560"/>
      <c r="CX113" s="1560"/>
      <c r="CY113" s="1560"/>
      <c r="CZ113" s="1560"/>
      <c r="DA113" s="1560"/>
      <c r="DB113" s="1560"/>
      <c r="DC113" s="1560"/>
      <c r="DD113" s="1560"/>
      <c r="DE113" s="1560"/>
      <c r="DF113" s="1560"/>
      <c r="DG113" s="1560"/>
      <c r="DH113" s="1560"/>
      <c r="DI113" s="1560"/>
      <c r="DJ113" s="1560"/>
      <c r="DK113" s="1560"/>
      <c r="DL113" s="1560"/>
      <c r="DM113" s="1560"/>
      <c r="DN113" s="1560"/>
      <c r="DO113" s="1560"/>
    </row>
    <row r="114" spans="1:119" ht="15" customHeight="1">
      <c r="A114" s="1789">
        <v>98</v>
      </c>
      <c r="B114" s="1562"/>
      <c r="C114" s="1561"/>
      <c r="D114" s="1557"/>
      <c r="E114" s="1558"/>
      <c r="F114" s="1558"/>
      <c r="G114" s="1558"/>
      <c r="H114" s="1558"/>
      <c r="I114" s="1558"/>
      <c r="J114" s="1558"/>
      <c r="K114" s="1559"/>
      <c r="L114" s="1559"/>
      <c r="M114" s="1559"/>
      <c r="N114" s="1560"/>
      <c r="O114" s="1560"/>
      <c r="P114" s="1560"/>
      <c r="Q114" s="1560"/>
      <c r="R114" s="1103"/>
      <c r="S114" s="1560"/>
      <c r="T114" s="1560"/>
      <c r="U114" s="1560"/>
      <c r="V114" s="1560"/>
      <c r="W114" s="1560"/>
      <c r="X114" s="1560"/>
      <c r="Y114" s="1560"/>
      <c r="Z114" s="1560"/>
      <c r="AA114" s="1560"/>
      <c r="AB114" s="1560"/>
      <c r="AC114" s="1560"/>
      <c r="AD114" s="1560"/>
      <c r="AE114" s="1560"/>
      <c r="AF114" s="1560"/>
      <c r="AG114" s="1560"/>
      <c r="AH114" s="1560"/>
      <c r="AI114" s="1560"/>
      <c r="AJ114" s="1560"/>
      <c r="AL114" s="1562"/>
      <c r="AM114" s="1561"/>
      <c r="AN114" s="1560"/>
      <c r="AO114" s="1560"/>
      <c r="AP114" s="1560"/>
      <c r="AQ114" s="1560"/>
      <c r="AR114" s="1560"/>
      <c r="AS114" s="1560"/>
      <c r="AT114" s="1560"/>
      <c r="AU114" s="1560"/>
      <c r="AV114" s="1560"/>
      <c r="AW114" s="1560"/>
      <c r="AX114" s="1560"/>
      <c r="AY114" s="1560"/>
      <c r="AZ114" s="1560"/>
      <c r="BA114" s="1560"/>
      <c r="BB114" s="1560"/>
      <c r="BC114" s="1560"/>
      <c r="BD114" s="1560"/>
      <c r="BE114" s="1560"/>
      <c r="BF114" s="1560"/>
      <c r="BG114" s="1560"/>
      <c r="BH114" s="1560"/>
      <c r="BI114" s="1560"/>
      <c r="BJ114" s="1560"/>
      <c r="BK114" s="1560"/>
      <c r="BL114" s="1560"/>
      <c r="BM114" s="1560"/>
      <c r="BN114" s="1560"/>
      <c r="BO114" s="1560"/>
      <c r="BP114" s="1560"/>
      <c r="BQ114" s="1560"/>
      <c r="BR114" s="1560"/>
      <c r="BS114" s="1560"/>
      <c r="BT114" s="1560"/>
      <c r="BU114" s="1560"/>
      <c r="BV114" s="1560"/>
      <c r="BW114" s="1560"/>
      <c r="BX114" s="1560"/>
      <c r="BY114" s="1560"/>
      <c r="BZ114" s="1560"/>
      <c r="CA114" s="1560"/>
      <c r="CB114" s="1560"/>
      <c r="CC114" s="1560"/>
      <c r="CD114" s="1560"/>
      <c r="CE114" s="1560"/>
      <c r="CF114" s="1560"/>
      <c r="CG114" s="1560"/>
      <c r="CH114" s="1560"/>
      <c r="CI114" s="1560"/>
      <c r="CJ114" s="1560"/>
      <c r="CL114" s="1562"/>
      <c r="CM114" s="1561"/>
      <c r="CN114" s="1560"/>
      <c r="CO114" s="1560"/>
      <c r="CP114" s="1560"/>
      <c r="CQ114" s="1560"/>
      <c r="CR114" s="1560"/>
      <c r="CS114" s="1560"/>
      <c r="CT114" s="1560"/>
      <c r="CU114" s="1560"/>
      <c r="CV114" s="1560"/>
      <c r="CW114" s="1560"/>
      <c r="CX114" s="1560"/>
      <c r="CY114" s="1560"/>
      <c r="CZ114" s="1560"/>
      <c r="DA114" s="1560"/>
      <c r="DB114" s="1560"/>
      <c r="DC114" s="1560"/>
      <c r="DD114" s="1560"/>
      <c r="DE114" s="1560"/>
      <c r="DF114" s="1560"/>
      <c r="DG114" s="1560"/>
      <c r="DH114" s="1560"/>
      <c r="DI114" s="1560"/>
      <c r="DJ114" s="1560"/>
      <c r="DK114" s="1560"/>
      <c r="DL114" s="1560"/>
      <c r="DM114" s="1560"/>
      <c r="DN114" s="1560"/>
      <c r="DO114" s="1560"/>
    </row>
    <row r="115" spans="1:119" ht="15" customHeight="1">
      <c r="A115" s="1789">
        <v>99</v>
      </c>
      <c r="B115" s="1562"/>
      <c r="C115" s="1561"/>
      <c r="D115" s="1557"/>
      <c r="E115" s="1558"/>
      <c r="F115" s="1558"/>
      <c r="G115" s="1558"/>
      <c r="H115" s="1558"/>
      <c r="I115" s="1558"/>
      <c r="J115" s="1558"/>
      <c r="K115" s="1559"/>
      <c r="L115" s="1559"/>
      <c r="M115" s="1559"/>
      <c r="N115" s="1560"/>
      <c r="O115" s="1560"/>
      <c r="P115" s="1560"/>
      <c r="Q115" s="1560"/>
      <c r="R115" s="1103"/>
      <c r="S115" s="1560"/>
      <c r="T115" s="1560"/>
      <c r="U115" s="1560"/>
      <c r="V115" s="1560"/>
      <c r="W115" s="1560"/>
      <c r="X115" s="1560"/>
      <c r="Y115" s="1560"/>
      <c r="Z115" s="1560"/>
      <c r="AA115" s="1560"/>
      <c r="AB115" s="1560"/>
      <c r="AC115" s="1560"/>
      <c r="AD115" s="1560"/>
      <c r="AE115" s="1560"/>
      <c r="AF115" s="1560"/>
      <c r="AG115" s="1560"/>
      <c r="AH115" s="1560"/>
      <c r="AI115" s="1560"/>
      <c r="AJ115" s="1560"/>
      <c r="AL115" s="1562"/>
      <c r="AM115" s="1561"/>
      <c r="AN115" s="1560"/>
      <c r="AO115" s="1560"/>
      <c r="AP115" s="1560"/>
      <c r="AQ115" s="1560"/>
      <c r="AR115" s="1560"/>
      <c r="AS115" s="1560"/>
      <c r="AT115" s="1560"/>
      <c r="AU115" s="1560"/>
      <c r="AV115" s="1560"/>
      <c r="AW115" s="1560"/>
      <c r="AX115" s="1560"/>
      <c r="AY115" s="1560"/>
      <c r="AZ115" s="1560"/>
      <c r="BA115" s="1560"/>
      <c r="BB115" s="1560"/>
      <c r="BC115" s="1560"/>
      <c r="BD115" s="1560"/>
      <c r="BE115" s="1560"/>
      <c r="BF115" s="1560"/>
      <c r="BG115" s="1560"/>
      <c r="BH115" s="1560"/>
      <c r="BI115" s="1560"/>
      <c r="BJ115" s="1560"/>
      <c r="BK115" s="1560"/>
      <c r="BL115" s="1560"/>
      <c r="BM115" s="1560"/>
      <c r="BN115" s="1560"/>
      <c r="BO115" s="1560"/>
      <c r="BP115" s="1560"/>
      <c r="BQ115" s="1560"/>
      <c r="BR115" s="1560"/>
      <c r="BS115" s="1560"/>
      <c r="BT115" s="1560"/>
      <c r="BU115" s="1560"/>
      <c r="BV115" s="1560"/>
      <c r="BW115" s="1560"/>
      <c r="BX115" s="1560"/>
      <c r="BY115" s="1560"/>
      <c r="BZ115" s="1560"/>
      <c r="CA115" s="1560"/>
      <c r="CB115" s="1560"/>
      <c r="CC115" s="1560"/>
      <c r="CD115" s="1560"/>
      <c r="CE115" s="1560"/>
      <c r="CF115" s="1560"/>
      <c r="CG115" s="1560"/>
      <c r="CH115" s="1560"/>
      <c r="CI115" s="1560"/>
      <c r="CJ115" s="1560"/>
      <c r="CL115" s="1562"/>
      <c r="CM115" s="1561"/>
      <c r="CN115" s="1560"/>
      <c r="CO115" s="1560"/>
      <c r="CP115" s="1560"/>
      <c r="CQ115" s="1560"/>
      <c r="CR115" s="1560"/>
      <c r="CS115" s="1560"/>
      <c r="CT115" s="1560"/>
      <c r="CU115" s="1560"/>
      <c r="CV115" s="1560"/>
      <c r="CW115" s="1560"/>
      <c r="CX115" s="1560"/>
      <c r="CY115" s="1560"/>
      <c r="CZ115" s="1560"/>
      <c r="DA115" s="1560"/>
      <c r="DB115" s="1560"/>
      <c r="DC115" s="1560"/>
      <c r="DD115" s="1560"/>
      <c r="DE115" s="1560"/>
      <c r="DF115" s="1560"/>
      <c r="DG115" s="1560"/>
      <c r="DH115" s="1560"/>
      <c r="DI115" s="1560"/>
      <c r="DJ115" s="1560"/>
      <c r="DK115" s="1560"/>
      <c r="DL115" s="1560"/>
      <c r="DM115" s="1560"/>
      <c r="DN115" s="1560"/>
      <c r="DO115" s="1560"/>
    </row>
    <row r="116" spans="1:119" ht="15" customHeight="1">
      <c r="A116" s="1789">
        <v>100</v>
      </c>
      <c r="B116" s="1562"/>
      <c r="C116" s="1561"/>
      <c r="D116" s="1557"/>
      <c r="E116" s="1558"/>
      <c r="F116" s="1558"/>
      <c r="G116" s="1558"/>
      <c r="H116" s="1558"/>
      <c r="I116" s="1558"/>
      <c r="J116" s="1558"/>
      <c r="K116" s="1559"/>
      <c r="L116" s="1559"/>
      <c r="M116" s="1559"/>
      <c r="N116" s="1560"/>
      <c r="O116" s="1560"/>
      <c r="P116" s="1560"/>
      <c r="Q116" s="1560"/>
      <c r="R116" s="1103"/>
      <c r="S116" s="1560"/>
      <c r="T116" s="1560"/>
      <c r="U116" s="1560"/>
      <c r="V116" s="1560"/>
      <c r="W116" s="1560"/>
      <c r="X116" s="1560"/>
      <c r="Y116" s="1560"/>
      <c r="Z116" s="1560"/>
      <c r="AA116" s="1560"/>
      <c r="AB116" s="1560"/>
      <c r="AC116" s="1560"/>
      <c r="AD116" s="1560"/>
      <c r="AE116" s="1560"/>
      <c r="AF116" s="1560"/>
      <c r="AG116" s="1560"/>
      <c r="AH116" s="1560"/>
      <c r="AI116" s="1560"/>
      <c r="AJ116" s="1560"/>
      <c r="AL116" s="1562"/>
      <c r="AM116" s="1561"/>
      <c r="AN116" s="1560"/>
      <c r="AO116" s="1560"/>
      <c r="AP116" s="1560"/>
      <c r="AQ116" s="1560"/>
      <c r="AR116" s="1560"/>
      <c r="AS116" s="1560"/>
      <c r="AT116" s="1560"/>
      <c r="AU116" s="1560"/>
      <c r="AV116" s="1560"/>
      <c r="AW116" s="1560"/>
      <c r="AX116" s="1560"/>
      <c r="AY116" s="1560"/>
      <c r="AZ116" s="1560"/>
      <c r="BA116" s="1560"/>
      <c r="BB116" s="1560"/>
      <c r="BC116" s="1560"/>
      <c r="BD116" s="1560"/>
      <c r="BE116" s="1560"/>
      <c r="BF116" s="1560"/>
      <c r="BG116" s="1560"/>
      <c r="BH116" s="1560"/>
      <c r="BI116" s="1560"/>
      <c r="BJ116" s="1560"/>
      <c r="BK116" s="1560"/>
      <c r="BL116" s="1560"/>
      <c r="BM116" s="1560"/>
      <c r="BN116" s="1560"/>
      <c r="BO116" s="1560"/>
      <c r="BP116" s="1560"/>
      <c r="BQ116" s="1560"/>
      <c r="BR116" s="1560"/>
      <c r="BS116" s="1560"/>
      <c r="BT116" s="1560"/>
      <c r="BU116" s="1560"/>
      <c r="BV116" s="1560"/>
      <c r="BW116" s="1560"/>
      <c r="BX116" s="1560"/>
      <c r="BY116" s="1560"/>
      <c r="BZ116" s="1560"/>
      <c r="CA116" s="1560"/>
      <c r="CB116" s="1560"/>
      <c r="CC116" s="1560"/>
      <c r="CD116" s="1560"/>
      <c r="CE116" s="1560"/>
      <c r="CF116" s="1560"/>
      <c r="CG116" s="1560"/>
      <c r="CH116" s="1560"/>
      <c r="CI116" s="1560"/>
      <c r="CJ116" s="1560"/>
      <c r="CL116" s="1562"/>
      <c r="CM116" s="1561"/>
      <c r="CN116" s="1560"/>
      <c r="CO116" s="1560"/>
      <c r="CP116" s="1560"/>
      <c r="CQ116" s="1560"/>
      <c r="CR116" s="1560"/>
      <c r="CS116" s="1560"/>
      <c r="CT116" s="1560"/>
      <c r="CU116" s="1560"/>
      <c r="CV116" s="1560"/>
      <c r="CW116" s="1560"/>
      <c r="CX116" s="1560"/>
      <c r="CY116" s="1560"/>
      <c r="CZ116" s="1560"/>
      <c r="DA116" s="1560"/>
      <c r="DB116" s="1560"/>
      <c r="DC116" s="1560"/>
      <c r="DD116" s="1560"/>
      <c r="DE116" s="1560"/>
      <c r="DF116" s="1560"/>
      <c r="DG116" s="1560"/>
      <c r="DH116" s="1560"/>
      <c r="DI116" s="1560"/>
      <c r="DJ116" s="1560"/>
      <c r="DK116" s="1560"/>
      <c r="DL116" s="1560"/>
      <c r="DM116" s="1560"/>
      <c r="DN116" s="1560"/>
      <c r="DO116" s="1560"/>
    </row>
    <row r="117" spans="1:119" ht="15" customHeight="1">
      <c r="A117" s="1789">
        <v>101</v>
      </c>
      <c r="B117" s="1562"/>
      <c r="C117" s="1561"/>
      <c r="D117" s="1557"/>
      <c r="E117" s="1558"/>
      <c r="F117" s="1558"/>
      <c r="G117" s="1558"/>
      <c r="H117" s="1558"/>
      <c r="I117" s="1558"/>
      <c r="J117" s="1558"/>
      <c r="K117" s="1559"/>
      <c r="L117" s="1559"/>
      <c r="M117" s="1559"/>
      <c r="N117" s="1560"/>
      <c r="O117" s="1560"/>
      <c r="P117" s="1560"/>
      <c r="Q117" s="1560"/>
      <c r="R117" s="1103"/>
      <c r="S117" s="1560"/>
      <c r="T117" s="1560"/>
      <c r="U117" s="1560"/>
      <c r="V117" s="1560"/>
      <c r="W117" s="1560"/>
      <c r="X117" s="1560"/>
      <c r="Y117" s="1560"/>
      <c r="Z117" s="1560"/>
      <c r="AA117" s="1560"/>
      <c r="AB117" s="1560"/>
      <c r="AC117" s="1560"/>
      <c r="AD117" s="1560"/>
      <c r="AE117" s="1560"/>
      <c r="AF117" s="1560"/>
      <c r="AG117" s="1560"/>
      <c r="AH117" s="1560"/>
      <c r="AI117" s="1560"/>
      <c r="AJ117" s="1560"/>
      <c r="AL117" s="1562"/>
      <c r="AM117" s="1561"/>
      <c r="AN117" s="1560"/>
      <c r="AO117" s="1560"/>
      <c r="AP117" s="1560"/>
      <c r="AQ117" s="1560"/>
      <c r="AR117" s="1560"/>
      <c r="AS117" s="1560"/>
      <c r="AT117" s="1560"/>
      <c r="AU117" s="1560"/>
      <c r="AV117" s="1560"/>
      <c r="AW117" s="1560"/>
      <c r="AX117" s="1560"/>
      <c r="AY117" s="1560"/>
      <c r="AZ117" s="1560"/>
      <c r="BA117" s="1560"/>
      <c r="BB117" s="1560"/>
      <c r="BC117" s="1560"/>
      <c r="BD117" s="1560"/>
      <c r="BE117" s="1560"/>
      <c r="BF117" s="1560"/>
      <c r="BG117" s="1560"/>
      <c r="BH117" s="1560"/>
      <c r="BI117" s="1560"/>
      <c r="BJ117" s="1560"/>
      <c r="BK117" s="1560"/>
      <c r="BL117" s="1560"/>
      <c r="BM117" s="1560"/>
      <c r="BN117" s="1560"/>
      <c r="BO117" s="1560"/>
      <c r="BP117" s="1560"/>
      <c r="BQ117" s="1560"/>
      <c r="BR117" s="1560"/>
      <c r="BS117" s="1560"/>
      <c r="BT117" s="1560"/>
      <c r="BU117" s="1560"/>
      <c r="BV117" s="1560"/>
      <c r="BW117" s="1560"/>
      <c r="BX117" s="1560"/>
      <c r="BY117" s="1560"/>
      <c r="BZ117" s="1560"/>
      <c r="CA117" s="1560"/>
      <c r="CB117" s="1560"/>
      <c r="CC117" s="1560"/>
      <c r="CD117" s="1560"/>
      <c r="CE117" s="1560"/>
      <c r="CF117" s="1560"/>
      <c r="CG117" s="1560"/>
      <c r="CH117" s="1560"/>
      <c r="CI117" s="1560"/>
      <c r="CJ117" s="1560"/>
      <c r="CL117" s="1562"/>
      <c r="CM117" s="1561"/>
      <c r="CN117" s="1560"/>
      <c r="CO117" s="1560"/>
      <c r="CP117" s="1560"/>
      <c r="CQ117" s="1560"/>
      <c r="CR117" s="1560"/>
      <c r="CS117" s="1560"/>
      <c r="CT117" s="1560"/>
      <c r="CU117" s="1560"/>
      <c r="CV117" s="1560"/>
      <c r="CW117" s="1560"/>
      <c r="CX117" s="1560"/>
      <c r="CY117" s="1560"/>
      <c r="CZ117" s="1560"/>
      <c r="DA117" s="1560"/>
      <c r="DB117" s="1560"/>
      <c r="DC117" s="1560"/>
      <c r="DD117" s="1560"/>
      <c r="DE117" s="1560"/>
      <c r="DF117" s="1560"/>
      <c r="DG117" s="1560"/>
      <c r="DH117" s="1560"/>
      <c r="DI117" s="1560"/>
      <c r="DJ117" s="1560"/>
      <c r="DK117" s="1560"/>
      <c r="DL117" s="1560"/>
      <c r="DM117" s="1560"/>
      <c r="DN117" s="1560"/>
      <c r="DO117" s="1560"/>
    </row>
    <row r="119" spans="1:119" ht="15" customHeight="1">
      <c r="B119" s="15"/>
      <c r="C119" s="15"/>
      <c r="D119" s="15"/>
    </row>
    <row r="120" spans="1:119" ht="15" customHeight="1">
      <c r="B120" s="15"/>
      <c r="C120" s="15"/>
      <c r="D120" s="15"/>
    </row>
  </sheetData>
  <mergeCells count="221">
    <mergeCell ref="CX13:DB13"/>
    <mergeCell ref="DC13:DJ13"/>
    <mergeCell ref="DK13:DL13"/>
    <mergeCell ref="DM13:DO13"/>
    <mergeCell ref="CR14:CS14"/>
    <mergeCell ref="B25:C25"/>
    <mergeCell ref="B26:C26"/>
    <mergeCell ref="B27:C27"/>
    <mergeCell ref="B28:C28"/>
    <mergeCell ref="CL17:CM17"/>
    <mergeCell ref="CL18:CM18"/>
    <mergeCell ref="CL19:CM19"/>
    <mergeCell ref="CL20:CM20"/>
    <mergeCell ref="CL21:CM21"/>
    <mergeCell ref="CL22:CM22"/>
    <mergeCell ref="CL23:CM23"/>
    <mergeCell ref="CL24:CM24"/>
    <mergeCell ref="CL25:CM25"/>
    <mergeCell ref="CL26:CM26"/>
    <mergeCell ref="CL27:CM27"/>
    <mergeCell ref="B21:C21"/>
    <mergeCell ref="B22:C22"/>
    <mergeCell ref="CD14:CE14"/>
    <mergeCell ref="AI14:AJ14"/>
    <mergeCell ref="N2:O2"/>
    <mergeCell ref="F3:G3"/>
    <mergeCell ref="H3:I3"/>
    <mergeCell ref="J3:K3"/>
    <mergeCell ref="L3:M3"/>
    <mergeCell ref="L2:M2"/>
    <mergeCell ref="N3:O3"/>
    <mergeCell ref="B18:C18"/>
    <mergeCell ref="B19:C19"/>
    <mergeCell ref="D2:E2"/>
    <mergeCell ref="D3:E3"/>
    <mergeCell ref="J2:K2"/>
    <mergeCell ref="H2:I2"/>
    <mergeCell ref="F2:G2"/>
    <mergeCell ref="B2:B3"/>
    <mergeCell ref="O14:P14"/>
    <mergeCell ref="C2:C3"/>
    <mergeCell ref="AG14:AH14"/>
    <mergeCell ref="AE14:AF14"/>
    <mergeCell ref="AC14:AD14"/>
    <mergeCell ref="AR14:AT14"/>
    <mergeCell ref="AU14:AW14"/>
    <mergeCell ref="AX14:AZ14"/>
    <mergeCell ref="BA14:BC14"/>
    <mergeCell ref="AC13:AJ13"/>
    <mergeCell ref="E13:R13"/>
    <mergeCell ref="E14:F14"/>
    <mergeCell ref="G14:H14"/>
    <mergeCell ref="I14:J14"/>
    <mergeCell ref="K14:L14"/>
    <mergeCell ref="M14:N14"/>
    <mergeCell ref="Q14:R14"/>
    <mergeCell ref="S13:AB13"/>
    <mergeCell ref="S14:T14"/>
    <mergeCell ref="U14:V14"/>
    <mergeCell ref="W14:X14"/>
    <mergeCell ref="Y14:Z14"/>
    <mergeCell ref="AA14:AB14"/>
    <mergeCell ref="DC14:DD14"/>
    <mergeCell ref="DE14:DF14"/>
    <mergeCell ref="DG14:DH14"/>
    <mergeCell ref="DI14:DJ14"/>
    <mergeCell ref="BG14:BH14"/>
    <mergeCell ref="CV14:CW14"/>
    <mergeCell ref="CL13:CM16"/>
    <mergeCell ref="CN13:CN16"/>
    <mergeCell ref="CO13:CW13"/>
    <mergeCell ref="AO13:BH13"/>
    <mergeCell ref="BI13:BW13"/>
    <mergeCell ref="BX13:CE13"/>
    <mergeCell ref="CF13:CG13"/>
    <mergeCell ref="CH13:CJ13"/>
    <mergeCell ref="BD14:BF14"/>
    <mergeCell ref="BI14:BK14"/>
    <mergeCell ref="BL14:BN14"/>
    <mergeCell ref="BO14:BQ14"/>
    <mergeCell ref="BR14:BT14"/>
    <mergeCell ref="AO14:AQ14"/>
    <mergeCell ref="BU14:BW14"/>
    <mergeCell ref="BX14:BY14"/>
    <mergeCell ref="BZ14:CA14"/>
    <mergeCell ref="CB14:CC14"/>
    <mergeCell ref="B34:C34"/>
    <mergeCell ref="B35:C35"/>
    <mergeCell ref="B17:C17"/>
    <mergeCell ref="B20:C20"/>
    <mergeCell ref="B13:C16"/>
    <mergeCell ref="D13:D16"/>
    <mergeCell ref="B36:C36"/>
    <mergeCell ref="B37:C37"/>
    <mergeCell ref="B38:C38"/>
    <mergeCell ref="B29:C29"/>
    <mergeCell ref="B30:C30"/>
    <mergeCell ref="B31:C31"/>
    <mergeCell ref="B32:C32"/>
    <mergeCell ref="B33:C33"/>
    <mergeCell ref="B23:C23"/>
    <mergeCell ref="B24:C24"/>
    <mergeCell ref="B44:C44"/>
    <mergeCell ref="B45:C45"/>
    <mergeCell ref="B46:C46"/>
    <mergeCell ref="B47:C47"/>
    <mergeCell ref="B48:C48"/>
    <mergeCell ref="B39:C39"/>
    <mergeCell ref="B40:C40"/>
    <mergeCell ref="B41:C41"/>
    <mergeCell ref="B42:C42"/>
    <mergeCell ref="B43:C43"/>
    <mergeCell ref="B62:C62"/>
    <mergeCell ref="B63:C63"/>
    <mergeCell ref="B54:C54"/>
    <mergeCell ref="B55:C55"/>
    <mergeCell ref="B56:C56"/>
    <mergeCell ref="B57:C57"/>
    <mergeCell ref="B58:C58"/>
    <mergeCell ref="B49:C49"/>
    <mergeCell ref="B50:C50"/>
    <mergeCell ref="B51:C51"/>
    <mergeCell ref="B52:C52"/>
    <mergeCell ref="B53:C53"/>
    <mergeCell ref="CL28:CM28"/>
    <mergeCell ref="CL29:CM29"/>
    <mergeCell ref="CL30:CM30"/>
    <mergeCell ref="CL31:CM31"/>
    <mergeCell ref="CL32:CM32"/>
    <mergeCell ref="B64:C64"/>
    <mergeCell ref="B65:C65"/>
    <mergeCell ref="B66:C66"/>
    <mergeCell ref="AL13:AM16"/>
    <mergeCell ref="AN13:AN16"/>
    <mergeCell ref="AL30:AM30"/>
    <mergeCell ref="AL31:AM31"/>
    <mergeCell ref="AL32:AM32"/>
    <mergeCell ref="AL33:AM33"/>
    <mergeCell ref="AL34:AM34"/>
    <mergeCell ref="AL35:AM35"/>
    <mergeCell ref="AL36:AM36"/>
    <mergeCell ref="AL37:AM37"/>
    <mergeCell ref="AL38:AM38"/>
    <mergeCell ref="AL39:AM39"/>
    <mergeCell ref="AL40:AM40"/>
    <mergeCell ref="B59:C59"/>
    <mergeCell ref="B60:C60"/>
    <mergeCell ref="B61:C61"/>
    <mergeCell ref="CL38:CM38"/>
    <mergeCell ref="CL39:CM39"/>
    <mergeCell ref="CL40:CM40"/>
    <mergeCell ref="CL41:CM41"/>
    <mergeCell ref="CL42:CM42"/>
    <mergeCell ref="CL33:CM33"/>
    <mergeCell ref="CL34:CM34"/>
    <mergeCell ref="CL35:CM35"/>
    <mergeCell ref="CL36:CM36"/>
    <mergeCell ref="CL37:CM37"/>
    <mergeCell ref="CL56:CM56"/>
    <mergeCell ref="CL57:CM57"/>
    <mergeCell ref="CL48:CM48"/>
    <mergeCell ref="CL49:CM49"/>
    <mergeCell ref="CL50:CM50"/>
    <mergeCell ref="CL51:CM51"/>
    <mergeCell ref="CL52:CM52"/>
    <mergeCell ref="CL43:CM43"/>
    <mergeCell ref="CL44:CM44"/>
    <mergeCell ref="CL45:CM45"/>
    <mergeCell ref="CL46:CM46"/>
    <mergeCell ref="CL47:CM47"/>
    <mergeCell ref="CL53:CM53"/>
    <mergeCell ref="CL54:CM54"/>
    <mergeCell ref="CL55:CM55"/>
    <mergeCell ref="CL63:CM63"/>
    <mergeCell ref="CL64:CM64"/>
    <mergeCell ref="CL65:CM65"/>
    <mergeCell ref="CL66:CM66"/>
    <mergeCell ref="CL58:CM58"/>
    <mergeCell ref="CL59:CM59"/>
    <mergeCell ref="CL60:CM60"/>
    <mergeCell ref="CL61:CM61"/>
    <mergeCell ref="CL62:CM62"/>
    <mergeCell ref="AL41:AM41"/>
    <mergeCell ref="AL42:AM42"/>
    <mergeCell ref="AL43:AM43"/>
    <mergeCell ref="AL44:AM44"/>
    <mergeCell ref="AL45:AM45"/>
    <mergeCell ref="AL17:AM17"/>
    <mergeCell ref="AL18:AM18"/>
    <mergeCell ref="AL19:AM19"/>
    <mergeCell ref="AL20:AM20"/>
    <mergeCell ref="AL21:AM21"/>
    <mergeCell ref="AL22:AM22"/>
    <mergeCell ref="AL23:AM23"/>
    <mergeCell ref="AL24:AM24"/>
    <mergeCell ref="AL25:AM25"/>
    <mergeCell ref="AL26:AM26"/>
    <mergeCell ref="AL27:AM27"/>
    <mergeCell ref="AL28:AM28"/>
    <mergeCell ref="AL29:AM29"/>
    <mergeCell ref="AL51:AM51"/>
    <mergeCell ref="AL52:AM52"/>
    <mergeCell ref="AL53:AM53"/>
    <mergeCell ref="AL54:AM54"/>
    <mergeCell ref="AL55:AM55"/>
    <mergeCell ref="AL46:AM46"/>
    <mergeCell ref="AL47:AM47"/>
    <mergeCell ref="AL48:AM48"/>
    <mergeCell ref="AL49:AM49"/>
    <mergeCell ref="AL50:AM50"/>
    <mergeCell ref="AL66:AM66"/>
    <mergeCell ref="AL61:AM61"/>
    <mergeCell ref="AL62:AM62"/>
    <mergeCell ref="AL63:AM63"/>
    <mergeCell ref="AL64:AM64"/>
    <mergeCell ref="AL65:AM65"/>
    <mergeCell ref="AL56:AM56"/>
    <mergeCell ref="AL57:AM57"/>
    <mergeCell ref="AL58:AM58"/>
    <mergeCell ref="AL59:AM59"/>
    <mergeCell ref="AL60:AM60"/>
  </mergeCells>
  <conditionalFormatting sqref="A17:B17 CL18:CL66 AL18:AL66 D17:AL17 CN17:XFD17 CN18:DO66 D18:AJ66 AN18:CJ66 AN17:CL17 CK18:CK44">
    <cfRule type="cellIs" dxfId="185" priority="637" operator="between">
      <formula>0.0000000001</formula>
      <formula>0.0499999999</formula>
    </cfRule>
    <cfRule type="cellIs" dxfId="184" priority="638" operator="between">
      <formula>0.05</formula>
      <formula>0.099999999</formula>
    </cfRule>
    <cfRule type="cellIs" dxfId="183" priority="639" operator="between">
      <formula>0.1</formula>
      <formula>0.149999999</formula>
    </cfRule>
    <cfRule type="cellIs" dxfId="182" priority="640" operator="between">
      <formula>0.15</formula>
      <formula>0.199999999</formula>
    </cfRule>
    <cfRule type="cellIs" dxfId="181" priority="641" operator="between">
      <formula>0.2</formula>
      <formula>0.39999999</formula>
    </cfRule>
    <cfRule type="cellIs" dxfId="180" priority="642" operator="between">
      <formula>0.4</formula>
      <formula>0.99999999</formula>
    </cfRule>
  </conditionalFormatting>
  <conditionalFormatting sqref="AK44">
    <cfRule type="cellIs" dxfId="179" priority="433" operator="between">
      <formula>0.0000000001</formula>
      <formula>0.0499999999</formula>
    </cfRule>
    <cfRule type="cellIs" dxfId="178" priority="434" operator="between">
      <formula>0.05</formula>
      <formula>0.099999999</formula>
    </cfRule>
    <cfRule type="cellIs" dxfId="177" priority="435" operator="between">
      <formula>0.1</formula>
      <formula>0.149999999</formula>
    </cfRule>
    <cfRule type="cellIs" dxfId="176" priority="436" operator="between">
      <formula>0.15</formula>
      <formula>0.199999999</formula>
    </cfRule>
    <cfRule type="cellIs" dxfId="175" priority="437" operator="between">
      <formula>0.2</formula>
      <formula>0.39999999</formula>
    </cfRule>
    <cfRule type="cellIs" dxfId="174" priority="438" operator="between">
      <formula>0.4</formula>
      <formula>0.99999999</formula>
    </cfRule>
  </conditionalFormatting>
  <conditionalFormatting sqref="AK18">
    <cfRule type="cellIs" dxfId="173" priority="631" operator="between">
      <formula>0.0000000001</formula>
      <formula>0.0499999999</formula>
    </cfRule>
    <cfRule type="cellIs" dxfId="172" priority="632" operator="between">
      <formula>0.05</formula>
      <formula>0.099999999</formula>
    </cfRule>
    <cfRule type="cellIs" dxfId="171" priority="633" operator="between">
      <formula>0.1</formula>
      <formula>0.149999999</formula>
    </cfRule>
    <cfRule type="cellIs" dxfId="170" priority="634" operator="between">
      <formula>0.15</formula>
      <formula>0.199999999</formula>
    </cfRule>
    <cfRule type="cellIs" dxfId="169" priority="635" operator="between">
      <formula>0.2</formula>
      <formula>0.39999999</formula>
    </cfRule>
    <cfRule type="cellIs" dxfId="168" priority="636" operator="between">
      <formula>0.4</formula>
      <formula>0.99999999</formula>
    </cfRule>
  </conditionalFormatting>
  <conditionalFormatting sqref="AK19">
    <cfRule type="cellIs" dxfId="167" priority="625" operator="between">
      <formula>0.0000000001</formula>
      <formula>0.0499999999</formula>
    </cfRule>
    <cfRule type="cellIs" dxfId="166" priority="626" operator="between">
      <formula>0.05</formula>
      <formula>0.099999999</formula>
    </cfRule>
    <cfRule type="cellIs" dxfId="165" priority="627" operator="between">
      <formula>0.1</formula>
      <formula>0.149999999</formula>
    </cfRule>
    <cfRule type="cellIs" dxfId="164" priority="628" operator="between">
      <formula>0.15</formula>
      <formula>0.199999999</formula>
    </cfRule>
    <cfRule type="cellIs" dxfId="163" priority="629" operator="between">
      <formula>0.2</formula>
      <formula>0.39999999</formula>
    </cfRule>
    <cfRule type="cellIs" dxfId="162" priority="630" operator="between">
      <formula>0.4</formula>
      <formula>0.99999999</formula>
    </cfRule>
  </conditionalFormatting>
  <conditionalFormatting sqref="AK20">
    <cfRule type="cellIs" dxfId="161" priority="619" operator="between">
      <formula>0.0000000001</formula>
      <formula>0.0499999999</formula>
    </cfRule>
    <cfRule type="cellIs" dxfId="160" priority="620" operator="between">
      <formula>0.05</formula>
      <formula>0.099999999</formula>
    </cfRule>
    <cfRule type="cellIs" dxfId="159" priority="621" operator="between">
      <formula>0.1</formula>
      <formula>0.149999999</formula>
    </cfRule>
    <cfRule type="cellIs" dxfId="158" priority="622" operator="between">
      <formula>0.15</formula>
      <formula>0.199999999</formula>
    </cfRule>
    <cfRule type="cellIs" dxfId="157" priority="623" operator="between">
      <formula>0.2</formula>
      <formula>0.39999999</formula>
    </cfRule>
    <cfRule type="cellIs" dxfId="156" priority="624" operator="between">
      <formula>0.4</formula>
      <formula>0.99999999</formula>
    </cfRule>
  </conditionalFormatting>
  <conditionalFormatting sqref="AK21">
    <cfRule type="cellIs" dxfId="155" priority="613" operator="between">
      <formula>0.0000000001</formula>
      <formula>0.0499999999</formula>
    </cfRule>
    <cfRule type="cellIs" dxfId="154" priority="614" operator="between">
      <formula>0.05</formula>
      <formula>0.099999999</formula>
    </cfRule>
    <cfRule type="cellIs" dxfId="153" priority="615" operator="between">
      <formula>0.1</formula>
      <formula>0.149999999</formula>
    </cfRule>
    <cfRule type="cellIs" dxfId="152" priority="616" operator="between">
      <formula>0.15</formula>
      <formula>0.199999999</formula>
    </cfRule>
    <cfRule type="cellIs" dxfId="151" priority="617" operator="between">
      <formula>0.2</formula>
      <formula>0.39999999</formula>
    </cfRule>
    <cfRule type="cellIs" dxfId="150" priority="618" operator="between">
      <formula>0.4</formula>
      <formula>0.99999999</formula>
    </cfRule>
  </conditionalFormatting>
  <conditionalFormatting sqref="AK22">
    <cfRule type="cellIs" dxfId="149" priority="607" operator="between">
      <formula>0.0000000001</formula>
      <formula>0.0499999999</formula>
    </cfRule>
    <cfRule type="cellIs" dxfId="148" priority="608" operator="between">
      <formula>0.05</formula>
      <formula>0.099999999</formula>
    </cfRule>
    <cfRule type="cellIs" dxfId="147" priority="609" operator="between">
      <formula>0.1</formula>
      <formula>0.149999999</formula>
    </cfRule>
    <cfRule type="cellIs" dxfId="146" priority="610" operator="between">
      <formula>0.15</formula>
      <formula>0.199999999</formula>
    </cfRule>
    <cfRule type="cellIs" dxfId="145" priority="611" operator="between">
      <formula>0.2</formula>
      <formula>0.39999999</formula>
    </cfRule>
    <cfRule type="cellIs" dxfId="144" priority="612" operator="between">
      <formula>0.4</formula>
      <formula>0.99999999</formula>
    </cfRule>
  </conditionalFormatting>
  <conditionalFormatting sqref="AK23">
    <cfRule type="cellIs" dxfId="143" priority="601" operator="between">
      <formula>0.0000000001</formula>
      <formula>0.0499999999</formula>
    </cfRule>
    <cfRule type="cellIs" dxfId="142" priority="602" operator="between">
      <formula>0.05</formula>
      <formula>0.099999999</formula>
    </cfRule>
    <cfRule type="cellIs" dxfId="141" priority="603" operator="between">
      <formula>0.1</formula>
      <formula>0.149999999</formula>
    </cfRule>
    <cfRule type="cellIs" dxfId="140" priority="604" operator="between">
      <formula>0.15</formula>
      <formula>0.199999999</formula>
    </cfRule>
    <cfRule type="cellIs" dxfId="139" priority="605" operator="between">
      <formula>0.2</formula>
      <formula>0.39999999</formula>
    </cfRule>
    <cfRule type="cellIs" dxfId="138" priority="606" operator="between">
      <formula>0.4</formula>
      <formula>0.99999999</formula>
    </cfRule>
  </conditionalFormatting>
  <conditionalFormatting sqref="AK24">
    <cfRule type="cellIs" dxfId="137" priority="595" operator="between">
      <formula>0.0000000001</formula>
      <formula>0.0499999999</formula>
    </cfRule>
    <cfRule type="cellIs" dxfId="136" priority="596" operator="between">
      <formula>0.05</formula>
      <formula>0.099999999</formula>
    </cfRule>
    <cfRule type="cellIs" dxfId="135" priority="597" operator="between">
      <formula>0.1</formula>
      <formula>0.149999999</formula>
    </cfRule>
    <cfRule type="cellIs" dxfId="134" priority="598" operator="between">
      <formula>0.15</formula>
      <formula>0.199999999</formula>
    </cfRule>
    <cfRule type="cellIs" dxfId="133" priority="599" operator="between">
      <formula>0.2</formula>
      <formula>0.39999999</formula>
    </cfRule>
    <cfRule type="cellIs" dxfId="132" priority="600" operator="between">
      <formula>0.4</formula>
      <formula>0.99999999</formula>
    </cfRule>
  </conditionalFormatting>
  <conditionalFormatting sqref="AK25">
    <cfRule type="cellIs" dxfId="131" priority="589" operator="between">
      <formula>0.0000000001</formula>
      <formula>0.0499999999</formula>
    </cfRule>
    <cfRule type="cellIs" dxfId="130" priority="590" operator="between">
      <formula>0.05</formula>
      <formula>0.099999999</formula>
    </cfRule>
    <cfRule type="cellIs" dxfId="129" priority="591" operator="between">
      <formula>0.1</formula>
      <formula>0.149999999</formula>
    </cfRule>
    <cfRule type="cellIs" dxfId="128" priority="592" operator="between">
      <formula>0.15</formula>
      <formula>0.199999999</formula>
    </cfRule>
    <cfRule type="cellIs" dxfId="127" priority="593" operator="between">
      <formula>0.2</formula>
      <formula>0.39999999</formula>
    </cfRule>
    <cfRule type="cellIs" dxfId="126" priority="594" operator="between">
      <formula>0.4</formula>
      <formula>0.99999999</formula>
    </cfRule>
  </conditionalFormatting>
  <conditionalFormatting sqref="AK26">
    <cfRule type="cellIs" dxfId="125" priority="583" operator="between">
      <formula>0.0000000001</formula>
      <formula>0.0499999999</formula>
    </cfRule>
    <cfRule type="cellIs" dxfId="124" priority="584" operator="between">
      <formula>0.05</formula>
      <formula>0.099999999</formula>
    </cfRule>
    <cfRule type="cellIs" dxfId="123" priority="585" operator="between">
      <formula>0.1</formula>
      <formula>0.149999999</formula>
    </cfRule>
    <cfRule type="cellIs" dxfId="122" priority="586" operator="between">
      <formula>0.15</formula>
      <formula>0.199999999</formula>
    </cfRule>
    <cfRule type="cellIs" dxfId="121" priority="587" operator="between">
      <formula>0.2</formula>
      <formula>0.39999999</formula>
    </cfRule>
    <cfRule type="cellIs" dxfId="120" priority="588" operator="between">
      <formula>0.4</formula>
      <formula>0.99999999</formula>
    </cfRule>
  </conditionalFormatting>
  <conditionalFormatting sqref="AK27">
    <cfRule type="cellIs" dxfId="119" priority="577" operator="between">
      <formula>0.0000000001</formula>
      <formula>0.0499999999</formula>
    </cfRule>
    <cfRule type="cellIs" dxfId="118" priority="578" operator="between">
      <formula>0.05</formula>
      <formula>0.099999999</formula>
    </cfRule>
    <cfRule type="cellIs" dxfId="117" priority="579" operator="between">
      <formula>0.1</formula>
      <formula>0.149999999</formula>
    </cfRule>
    <cfRule type="cellIs" dxfId="116" priority="580" operator="between">
      <formula>0.15</formula>
      <formula>0.199999999</formula>
    </cfRule>
    <cfRule type="cellIs" dxfId="115" priority="581" operator="between">
      <formula>0.2</formula>
      <formula>0.39999999</formula>
    </cfRule>
    <cfRule type="cellIs" dxfId="114" priority="582" operator="between">
      <formula>0.4</formula>
      <formula>0.99999999</formula>
    </cfRule>
  </conditionalFormatting>
  <conditionalFormatting sqref="AK28">
    <cfRule type="cellIs" dxfId="113" priority="571" operator="between">
      <formula>0.0000000001</formula>
      <formula>0.0499999999</formula>
    </cfRule>
    <cfRule type="cellIs" dxfId="112" priority="572" operator="between">
      <formula>0.05</formula>
      <formula>0.099999999</formula>
    </cfRule>
    <cfRule type="cellIs" dxfId="111" priority="573" operator="between">
      <formula>0.1</formula>
      <formula>0.149999999</formula>
    </cfRule>
    <cfRule type="cellIs" dxfId="110" priority="574" operator="between">
      <formula>0.15</formula>
      <formula>0.199999999</formula>
    </cfRule>
    <cfRule type="cellIs" dxfId="109" priority="575" operator="between">
      <formula>0.2</formula>
      <formula>0.39999999</formula>
    </cfRule>
    <cfRule type="cellIs" dxfId="108" priority="576" operator="between">
      <formula>0.4</formula>
      <formula>0.99999999</formula>
    </cfRule>
  </conditionalFormatting>
  <conditionalFormatting sqref="AK29">
    <cfRule type="cellIs" dxfId="107" priority="565" operator="between">
      <formula>0.0000000001</formula>
      <formula>0.0499999999</formula>
    </cfRule>
    <cfRule type="cellIs" dxfId="106" priority="566" operator="between">
      <formula>0.05</formula>
      <formula>0.099999999</formula>
    </cfRule>
    <cfRule type="cellIs" dxfId="105" priority="567" operator="between">
      <formula>0.1</formula>
      <formula>0.149999999</formula>
    </cfRule>
    <cfRule type="cellIs" dxfId="104" priority="568" operator="between">
      <formula>0.15</formula>
      <formula>0.199999999</formula>
    </cfRule>
    <cfRule type="cellIs" dxfId="103" priority="569" operator="between">
      <formula>0.2</formula>
      <formula>0.39999999</formula>
    </cfRule>
    <cfRule type="cellIs" dxfId="102" priority="570" operator="between">
      <formula>0.4</formula>
      <formula>0.99999999</formula>
    </cfRule>
  </conditionalFormatting>
  <conditionalFormatting sqref="AK30">
    <cfRule type="cellIs" dxfId="101" priority="559" operator="between">
      <formula>0.0000000001</formula>
      <formula>0.0499999999</formula>
    </cfRule>
    <cfRule type="cellIs" dxfId="100" priority="560" operator="between">
      <formula>0.05</formula>
      <formula>0.099999999</formula>
    </cfRule>
    <cfRule type="cellIs" dxfId="99" priority="561" operator="between">
      <formula>0.1</formula>
      <formula>0.149999999</formula>
    </cfRule>
    <cfRule type="cellIs" dxfId="98" priority="562" operator="between">
      <formula>0.15</formula>
      <formula>0.199999999</formula>
    </cfRule>
    <cfRule type="cellIs" dxfId="97" priority="563" operator="between">
      <formula>0.2</formula>
      <formula>0.39999999</formula>
    </cfRule>
    <cfRule type="cellIs" dxfId="96" priority="564" operator="between">
      <formula>0.4</formula>
      <formula>0.99999999</formula>
    </cfRule>
  </conditionalFormatting>
  <conditionalFormatting sqref="AK31">
    <cfRule type="cellIs" dxfId="95" priority="553" operator="between">
      <formula>0.0000000001</formula>
      <formula>0.0499999999</formula>
    </cfRule>
    <cfRule type="cellIs" dxfId="94" priority="554" operator="between">
      <formula>0.05</formula>
      <formula>0.099999999</formula>
    </cfRule>
    <cfRule type="cellIs" dxfId="93" priority="555" operator="between">
      <formula>0.1</formula>
      <formula>0.149999999</formula>
    </cfRule>
    <cfRule type="cellIs" dxfId="92" priority="556" operator="between">
      <formula>0.15</formula>
      <formula>0.199999999</formula>
    </cfRule>
    <cfRule type="cellIs" dxfId="91" priority="557" operator="between">
      <formula>0.2</formula>
      <formula>0.39999999</formula>
    </cfRule>
    <cfRule type="cellIs" dxfId="90" priority="558" operator="between">
      <formula>0.4</formula>
      <formula>0.99999999</formula>
    </cfRule>
  </conditionalFormatting>
  <conditionalFormatting sqref="AK38">
    <cfRule type="cellIs" dxfId="89" priority="469" operator="between">
      <formula>0.0000000001</formula>
      <formula>0.0499999999</formula>
    </cfRule>
    <cfRule type="cellIs" dxfId="88" priority="470" operator="between">
      <formula>0.05</formula>
      <formula>0.099999999</formula>
    </cfRule>
    <cfRule type="cellIs" dxfId="87" priority="471" operator="between">
      <formula>0.1</formula>
      <formula>0.149999999</formula>
    </cfRule>
    <cfRule type="cellIs" dxfId="86" priority="472" operator="between">
      <formula>0.15</formula>
      <formula>0.199999999</formula>
    </cfRule>
    <cfRule type="cellIs" dxfId="85" priority="473" operator="between">
      <formula>0.2</formula>
      <formula>0.39999999</formula>
    </cfRule>
    <cfRule type="cellIs" dxfId="84" priority="474" operator="between">
      <formula>0.4</formula>
      <formula>0.99999999</formula>
    </cfRule>
  </conditionalFormatting>
  <conditionalFormatting sqref="AK32">
    <cfRule type="cellIs" dxfId="83" priority="505" operator="between">
      <formula>0.0000000001</formula>
      <formula>0.0499999999</formula>
    </cfRule>
    <cfRule type="cellIs" dxfId="82" priority="506" operator="between">
      <formula>0.05</formula>
      <formula>0.099999999</formula>
    </cfRule>
    <cfRule type="cellIs" dxfId="81" priority="507" operator="between">
      <formula>0.1</formula>
      <formula>0.149999999</formula>
    </cfRule>
    <cfRule type="cellIs" dxfId="80" priority="508" operator="between">
      <formula>0.15</formula>
      <formula>0.199999999</formula>
    </cfRule>
    <cfRule type="cellIs" dxfId="79" priority="509" operator="between">
      <formula>0.2</formula>
      <formula>0.39999999</formula>
    </cfRule>
    <cfRule type="cellIs" dxfId="78" priority="510" operator="between">
      <formula>0.4</formula>
      <formula>0.99999999</formula>
    </cfRule>
  </conditionalFormatting>
  <conditionalFormatting sqref="AK33">
    <cfRule type="cellIs" dxfId="77" priority="499" operator="between">
      <formula>0.0000000001</formula>
      <formula>0.0499999999</formula>
    </cfRule>
    <cfRule type="cellIs" dxfId="76" priority="500" operator="between">
      <formula>0.05</formula>
      <formula>0.099999999</formula>
    </cfRule>
    <cfRule type="cellIs" dxfId="75" priority="501" operator="between">
      <formula>0.1</formula>
      <formula>0.149999999</formula>
    </cfRule>
    <cfRule type="cellIs" dxfId="74" priority="502" operator="between">
      <formula>0.15</formula>
      <formula>0.199999999</formula>
    </cfRule>
    <cfRule type="cellIs" dxfId="73" priority="503" operator="between">
      <formula>0.2</formula>
      <formula>0.39999999</formula>
    </cfRule>
    <cfRule type="cellIs" dxfId="72" priority="504" operator="between">
      <formula>0.4</formula>
      <formula>0.99999999</formula>
    </cfRule>
  </conditionalFormatting>
  <conditionalFormatting sqref="AK34">
    <cfRule type="cellIs" dxfId="71" priority="493" operator="between">
      <formula>0.0000000001</formula>
      <formula>0.0499999999</formula>
    </cfRule>
    <cfRule type="cellIs" dxfId="70" priority="494" operator="between">
      <formula>0.05</formula>
      <formula>0.099999999</formula>
    </cfRule>
    <cfRule type="cellIs" dxfId="69" priority="495" operator="between">
      <formula>0.1</formula>
      <formula>0.149999999</formula>
    </cfRule>
    <cfRule type="cellIs" dxfId="68" priority="496" operator="between">
      <formula>0.15</formula>
      <formula>0.199999999</formula>
    </cfRule>
    <cfRule type="cellIs" dxfId="67" priority="497" operator="between">
      <formula>0.2</formula>
      <formula>0.39999999</formula>
    </cfRule>
    <cfRule type="cellIs" dxfId="66" priority="498" operator="between">
      <formula>0.4</formula>
      <formula>0.99999999</formula>
    </cfRule>
  </conditionalFormatting>
  <conditionalFormatting sqref="AK35">
    <cfRule type="cellIs" dxfId="65" priority="487" operator="between">
      <formula>0.0000000001</formula>
      <formula>0.0499999999</formula>
    </cfRule>
    <cfRule type="cellIs" dxfId="64" priority="488" operator="between">
      <formula>0.05</formula>
      <formula>0.099999999</formula>
    </cfRule>
    <cfRule type="cellIs" dxfId="63" priority="489" operator="between">
      <formula>0.1</formula>
      <formula>0.149999999</formula>
    </cfRule>
    <cfRule type="cellIs" dxfId="62" priority="490" operator="between">
      <formula>0.15</formula>
      <formula>0.199999999</formula>
    </cfRule>
    <cfRule type="cellIs" dxfId="61" priority="491" operator="between">
      <formula>0.2</formula>
      <formula>0.39999999</formula>
    </cfRule>
    <cfRule type="cellIs" dxfId="60" priority="492" operator="between">
      <formula>0.4</formula>
      <formula>0.99999999</formula>
    </cfRule>
  </conditionalFormatting>
  <conditionalFormatting sqref="AK36">
    <cfRule type="cellIs" dxfId="59" priority="481" operator="between">
      <formula>0.0000000001</formula>
      <formula>0.0499999999</formula>
    </cfRule>
    <cfRule type="cellIs" dxfId="58" priority="482" operator="between">
      <formula>0.05</formula>
      <formula>0.099999999</formula>
    </cfRule>
    <cfRule type="cellIs" dxfId="57" priority="483" operator="between">
      <formula>0.1</formula>
      <formula>0.149999999</formula>
    </cfRule>
    <cfRule type="cellIs" dxfId="56" priority="484" operator="between">
      <formula>0.15</formula>
      <formula>0.199999999</formula>
    </cfRule>
    <cfRule type="cellIs" dxfId="55" priority="485" operator="between">
      <formula>0.2</formula>
      <formula>0.39999999</formula>
    </cfRule>
    <cfRule type="cellIs" dxfId="54" priority="486" operator="between">
      <formula>0.4</formula>
      <formula>0.99999999</formula>
    </cfRule>
  </conditionalFormatting>
  <conditionalFormatting sqref="AK37">
    <cfRule type="cellIs" dxfId="53" priority="475" operator="between">
      <formula>0.0000000001</formula>
      <formula>0.0499999999</formula>
    </cfRule>
    <cfRule type="cellIs" dxfId="52" priority="476" operator="between">
      <formula>0.05</formula>
      <formula>0.099999999</formula>
    </cfRule>
    <cfRule type="cellIs" dxfId="51" priority="477" operator="between">
      <formula>0.1</formula>
      <formula>0.149999999</formula>
    </cfRule>
    <cfRule type="cellIs" dxfId="50" priority="478" operator="between">
      <formula>0.15</formula>
      <formula>0.199999999</formula>
    </cfRule>
    <cfRule type="cellIs" dxfId="49" priority="479" operator="between">
      <formula>0.2</formula>
      <formula>0.39999999</formula>
    </cfRule>
    <cfRule type="cellIs" dxfId="48" priority="480" operator="between">
      <formula>0.4</formula>
      <formula>0.99999999</formula>
    </cfRule>
  </conditionalFormatting>
  <conditionalFormatting sqref="AK39">
    <cfRule type="cellIs" dxfId="47" priority="463" operator="between">
      <formula>0.0000000001</formula>
      <formula>0.0499999999</formula>
    </cfRule>
    <cfRule type="cellIs" dxfId="46" priority="464" operator="between">
      <formula>0.05</formula>
      <formula>0.099999999</formula>
    </cfRule>
    <cfRule type="cellIs" dxfId="45" priority="465" operator="between">
      <formula>0.1</formula>
      <formula>0.149999999</formula>
    </cfRule>
    <cfRule type="cellIs" dxfId="44" priority="466" operator="between">
      <formula>0.15</formula>
      <formula>0.199999999</formula>
    </cfRule>
    <cfRule type="cellIs" dxfId="43" priority="467" operator="between">
      <formula>0.2</formula>
      <formula>0.39999999</formula>
    </cfRule>
    <cfRule type="cellIs" dxfId="42" priority="468" operator="between">
      <formula>0.4</formula>
      <formula>0.99999999</formula>
    </cfRule>
  </conditionalFormatting>
  <conditionalFormatting sqref="AK40">
    <cfRule type="cellIs" dxfId="41" priority="457" operator="between">
      <formula>0.0000000001</formula>
      <formula>0.0499999999</formula>
    </cfRule>
    <cfRule type="cellIs" dxfId="40" priority="458" operator="between">
      <formula>0.05</formula>
      <formula>0.099999999</formula>
    </cfRule>
    <cfRule type="cellIs" dxfId="39" priority="459" operator="between">
      <formula>0.1</formula>
      <formula>0.149999999</formula>
    </cfRule>
    <cfRule type="cellIs" dxfId="38" priority="460" operator="between">
      <formula>0.15</formula>
      <formula>0.199999999</formula>
    </cfRule>
    <cfRule type="cellIs" dxfId="37" priority="461" operator="between">
      <formula>0.2</formula>
      <formula>0.39999999</formula>
    </cfRule>
    <cfRule type="cellIs" dxfId="36" priority="462" operator="between">
      <formula>0.4</formula>
      <formula>0.99999999</formula>
    </cfRule>
  </conditionalFormatting>
  <conditionalFormatting sqref="AK41">
    <cfRule type="cellIs" dxfId="35" priority="451" operator="between">
      <formula>0.0000000001</formula>
      <formula>0.0499999999</formula>
    </cfRule>
    <cfRule type="cellIs" dxfId="34" priority="452" operator="between">
      <formula>0.05</formula>
      <formula>0.099999999</formula>
    </cfRule>
    <cfRule type="cellIs" dxfId="33" priority="453" operator="between">
      <formula>0.1</formula>
      <formula>0.149999999</formula>
    </cfRule>
    <cfRule type="cellIs" dxfId="32" priority="454" operator="between">
      <formula>0.15</formula>
      <formula>0.199999999</formula>
    </cfRule>
    <cfRule type="cellIs" dxfId="31" priority="455" operator="between">
      <formula>0.2</formula>
      <formula>0.39999999</formula>
    </cfRule>
    <cfRule type="cellIs" dxfId="30" priority="456" operator="between">
      <formula>0.4</formula>
      <formula>0.99999999</formula>
    </cfRule>
  </conditionalFormatting>
  <conditionalFormatting sqref="AK42">
    <cfRule type="cellIs" dxfId="29" priority="445" operator="between">
      <formula>0.0000000001</formula>
      <formula>0.0499999999</formula>
    </cfRule>
    <cfRule type="cellIs" dxfId="28" priority="446" operator="between">
      <formula>0.05</formula>
      <formula>0.099999999</formula>
    </cfRule>
    <cfRule type="cellIs" dxfId="27" priority="447" operator="between">
      <formula>0.1</formula>
      <formula>0.149999999</formula>
    </cfRule>
    <cfRule type="cellIs" dxfId="26" priority="448" operator="between">
      <formula>0.15</formula>
      <formula>0.199999999</formula>
    </cfRule>
    <cfRule type="cellIs" dxfId="25" priority="449" operator="between">
      <formula>0.2</formula>
      <formula>0.39999999</formula>
    </cfRule>
    <cfRule type="cellIs" dxfId="24" priority="450" operator="between">
      <formula>0.4</formula>
      <formula>0.99999999</formula>
    </cfRule>
  </conditionalFormatting>
  <conditionalFormatting sqref="AK43">
    <cfRule type="cellIs" dxfId="23" priority="439" operator="between">
      <formula>0.0000000001</formula>
      <formula>0.0499999999</formula>
    </cfRule>
    <cfRule type="cellIs" dxfId="22" priority="440" operator="between">
      <formula>0.05</formula>
      <formula>0.099999999</formula>
    </cfRule>
    <cfRule type="cellIs" dxfId="21" priority="441" operator="between">
      <formula>0.1</formula>
      <formula>0.149999999</formula>
    </cfRule>
    <cfRule type="cellIs" dxfId="20" priority="442" operator="between">
      <formula>0.15</formula>
      <formula>0.199999999</formula>
    </cfRule>
    <cfRule type="cellIs" dxfId="19" priority="443" operator="between">
      <formula>0.2</formula>
      <formula>0.39999999</formula>
    </cfRule>
    <cfRule type="cellIs" dxfId="18" priority="444" operator="between">
      <formula>0.4</formula>
      <formula>0.99999999</formula>
    </cfRule>
  </conditionalFormatting>
  <conditionalFormatting sqref="B18">
    <cfRule type="cellIs" dxfId="17" priority="79" operator="between">
      <formula>0.0000000001</formula>
      <formula>0.0499999999</formula>
    </cfRule>
    <cfRule type="cellIs" dxfId="16" priority="80" operator="between">
      <formula>0.05</formula>
      <formula>0.099999999</formula>
    </cfRule>
    <cfRule type="cellIs" dxfId="15" priority="81" operator="between">
      <formula>0.1</formula>
      <formula>0.149999999</formula>
    </cfRule>
    <cfRule type="cellIs" dxfId="14" priority="82" operator="between">
      <formula>0.15</formula>
      <formula>0.199999999</formula>
    </cfRule>
    <cfRule type="cellIs" dxfId="13" priority="83" operator="between">
      <formula>0.2</formula>
      <formula>0.39999999</formula>
    </cfRule>
    <cfRule type="cellIs" dxfId="12" priority="84" operator="between">
      <formula>0.4</formula>
      <formula>0.99999999</formula>
    </cfRule>
  </conditionalFormatting>
  <conditionalFormatting sqref="B19">
    <cfRule type="cellIs" dxfId="11" priority="73" operator="between">
      <formula>0.0000000001</formula>
      <formula>0.0499999999</formula>
    </cfRule>
    <cfRule type="cellIs" dxfId="10" priority="74" operator="between">
      <formula>0.05</formula>
      <formula>0.099999999</formula>
    </cfRule>
    <cfRule type="cellIs" dxfId="9" priority="75" operator="between">
      <formula>0.1</formula>
      <formula>0.149999999</formula>
    </cfRule>
    <cfRule type="cellIs" dxfId="8" priority="76" operator="between">
      <formula>0.15</formula>
      <formula>0.199999999</formula>
    </cfRule>
    <cfRule type="cellIs" dxfId="7" priority="77" operator="between">
      <formula>0.2</formula>
      <formula>0.39999999</formula>
    </cfRule>
    <cfRule type="cellIs" dxfId="6" priority="78" operator="between">
      <formula>0.4</formula>
      <formula>0.99999999</formula>
    </cfRule>
  </conditionalFormatting>
  <conditionalFormatting sqref="B20:B66">
    <cfRule type="cellIs" dxfId="5" priority="67" operator="between">
      <formula>0.0000000001</formula>
      <formula>0.0499999999</formula>
    </cfRule>
    <cfRule type="cellIs" dxfId="4" priority="68" operator="between">
      <formula>0.05</formula>
      <formula>0.099999999</formula>
    </cfRule>
    <cfRule type="cellIs" dxfId="3" priority="69" operator="between">
      <formula>0.1</formula>
      <formula>0.149999999</formula>
    </cfRule>
    <cfRule type="cellIs" dxfId="2" priority="70" operator="between">
      <formula>0.15</formula>
      <formula>0.199999999</formula>
    </cfRule>
    <cfRule type="cellIs" dxfId="1" priority="71" operator="between">
      <formula>0.2</formula>
      <formula>0.39999999</formula>
    </cfRule>
    <cfRule type="cellIs" dxfId="0" priority="72" operator="between">
      <formula>0.4</formula>
      <formula>0.99999999</formula>
    </cfRule>
  </conditionalFormatting>
  <hyperlinks>
    <hyperlink ref="F2" location="'City information'!A1" display="Set-up"/>
    <hyperlink ref="H2" location="Inventory!A1" display="Inventory"/>
    <hyperlink ref="J2" location="Calculators!A1" display="Calculators"/>
    <hyperlink ref="L2" location="Results!A1" display="Results"/>
    <hyperlink ref="D2" location="Home!A1" display="Introduction"/>
    <hyperlink ref="N2" location="Analysis!A1" display="Analysis"/>
    <hyperlink ref="O2" location="Analysis!A1" display="Analysis!A1"/>
    <hyperlink ref="H3" location="Benchmark!A1" display="Benchmarking"/>
    <hyperlink ref="G3" location="Progress!A1" display="Progress!A1"/>
    <hyperlink ref="F3" location="Progress!A1" display="Progress"/>
    <hyperlink ref="D3" location="Data!A1" display="Data"/>
    <hyperlink ref="E3" location="Data!A1" display="Data!A1"/>
    <hyperlink ref="I3" location="Benchmark!A1" display="Benchmark!A1"/>
    <hyperlink ref="J3" location="'Heat map'!A1" display="Heat map"/>
    <hyperlink ref="K3" location="'Heat map'!A1" display="'Heat map'!A1"/>
    <hyperlink ref="L3" location="Overview_2!A1" display="Overview"/>
    <hyperlink ref="M3" location="Overview_2!A1" display="Overview_2!A1"/>
    <hyperlink ref="N3" location="Output!A1" display="Output"/>
    <hyperlink ref="O3" location="Output!A1" display="Output!A1"/>
  </hyperlinks>
  <pageMargins left="0.25" right="0.25" top="0.75" bottom="0.75" header="0.3" footer="0.3"/>
  <pageSetup paperSize="9" scale="10" orientation="portrait" horizontalDpi="4294967292" verticalDpi="4294967292"/>
  <headerFooter>
    <oddHeader>&amp;CTable 4.1</oddHeader>
  </headerFooter>
  <ignoredErrors>
    <ignoredError sqref="CK17:CL17 CK46:CK48 CK18 CK19:CK44 CK45 CN45:CN66 CO17:DO66 AO45:CJ66 E17:AJ45 E46:AJ66 B45 D17:D66 AO17:CJ44" emptyCellReference="1"/>
  </ignoredErrors>
  <drawing r:id="rId1"/>
  <extLst>
    <ext xmlns:mx="http://schemas.microsoft.com/office/mac/excel/2008/main" uri="{64002731-A6B0-56B0-2670-7721B7C09600}">
      <mx:PLV Mode="0" OnePage="0" WScale="71"/>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outlinePr summaryBelow="0"/>
    <pageSetUpPr autoPageBreaks="0" fitToPage="1"/>
  </sheetPr>
  <dimension ref="A1:CK264"/>
  <sheetViews>
    <sheetView showRowColHeaders="0" showZeros="0" workbookViewId="0">
      <selection activeCell="N3" sqref="N3:O3"/>
    </sheetView>
  </sheetViews>
  <sheetFormatPr baseColWidth="10" defaultColWidth="0" defaultRowHeight="15" zeroHeight="1" x14ac:dyDescent="0"/>
  <cols>
    <col min="1" max="1" width="4.83203125" style="169" customWidth="1"/>
    <col min="2" max="2" width="12.83203125" style="187" customWidth="1"/>
    <col min="3" max="10" width="12.83203125" style="183" customWidth="1"/>
    <col min="11" max="14" width="12.83203125" style="169" customWidth="1"/>
    <col min="15" max="15" width="12.83203125" style="182" customWidth="1"/>
    <col min="16" max="16" width="4.83203125" style="182" customWidth="1"/>
    <col min="17" max="19" width="10.83203125" style="182" hidden="1" customWidth="1"/>
    <col min="20" max="59" width="0" style="182" hidden="1" customWidth="1"/>
    <col min="60" max="89" width="0" style="183" hidden="1" customWidth="1"/>
    <col min="90" max="16384" width="10.83203125" style="183" hidden="1"/>
  </cols>
  <sheetData>
    <row r="1" spans="1:89" s="498" customFormat="1"/>
    <row r="2" spans="1:89" s="464" customFormat="1" ht="31" customHeight="1">
      <c r="A2" s="494"/>
      <c r="B2" s="1817" t="s">
        <v>1965</v>
      </c>
      <c r="C2" s="1819">
        <v>400</v>
      </c>
      <c r="D2" s="1849" t="s">
        <v>1555</v>
      </c>
      <c r="E2" s="1850"/>
      <c r="F2" s="1849" t="s">
        <v>1563</v>
      </c>
      <c r="G2" s="1850"/>
      <c r="H2" s="1849" t="s">
        <v>794</v>
      </c>
      <c r="I2" s="1850"/>
      <c r="J2" s="1849" t="s">
        <v>1570</v>
      </c>
      <c r="K2" s="1850"/>
      <c r="L2" s="1849" t="s">
        <v>1564</v>
      </c>
      <c r="M2" s="1850"/>
      <c r="N2" s="2047" t="s">
        <v>1602</v>
      </c>
      <c r="O2" s="2033"/>
      <c r="P2" s="494"/>
      <c r="Q2" s="494"/>
      <c r="R2" s="494"/>
      <c r="S2" s="494"/>
      <c r="T2" s="494"/>
      <c r="U2" s="494"/>
      <c r="V2" s="494"/>
      <c r="W2" s="494"/>
      <c r="X2" s="494"/>
      <c r="Y2" s="494"/>
      <c r="Z2" s="494"/>
      <c r="AA2" s="494"/>
      <c r="AB2" s="494"/>
      <c r="AC2" s="494"/>
      <c r="AD2" s="494"/>
      <c r="AE2" s="494"/>
      <c r="AF2" s="494"/>
      <c r="AG2" s="494"/>
      <c r="AH2" s="494"/>
      <c r="AI2" s="494"/>
      <c r="AJ2" s="494"/>
      <c r="AK2" s="494"/>
      <c r="AL2" s="494"/>
      <c r="AM2" s="494"/>
      <c r="AN2" s="494"/>
      <c r="AO2" s="494"/>
      <c r="AP2" s="494"/>
      <c r="AQ2" s="494"/>
      <c r="AR2" s="494"/>
      <c r="AS2" s="494"/>
      <c r="AT2" s="494"/>
      <c r="AU2" s="494"/>
      <c r="AV2" s="494"/>
      <c r="AW2" s="494"/>
      <c r="AX2" s="494"/>
      <c r="AY2" s="494"/>
      <c r="AZ2" s="494"/>
      <c r="BA2" s="494"/>
      <c r="BB2" s="494"/>
      <c r="BC2" s="494"/>
      <c r="BD2" s="494"/>
      <c r="BE2" s="494"/>
      <c r="BF2" s="494"/>
      <c r="BG2" s="494"/>
      <c r="BH2" s="494"/>
      <c r="BI2" s="494"/>
      <c r="BJ2" s="494"/>
      <c r="BK2" s="494"/>
      <c r="BL2" s="494"/>
      <c r="BM2" s="494"/>
      <c r="BN2" s="494"/>
      <c r="BO2" s="494"/>
      <c r="BP2" s="494"/>
      <c r="BQ2" s="494"/>
      <c r="BR2" s="494"/>
      <c r="BS2" s="494"/>
      <c r="BT2" s="494"/>
      <c r="BU2" s="494"/>
      <c r="BV2" s="494"/>
      <c r="BW2" s="494"/>
      <c r="BX2" s="494"/>
      <c r="BY2" s="494"/>
      <c r="BZ2" s="494"/>
      <c r="CA2" s="494"/>
      <c r="CB2" s="494"/>
      <c r="CC2" s="494"/>
      <c r="CD2" s="494"/>
      <c r="CE2" s="494"/>
      <c r="CF2" s="494"/>
      <c r="CG2" s="494"/>
      <c r="CH2" s="494"/>
      <c r="CI2" s="494"/>
      <c r="CJ2" s="494"/>
      <c r="CK2" s="494"/>
    </row>
    <row r="3" spans="1:89" s="464" customFormat="1" ht="31" customHeight="1">
      <c r="A3" s="494"/>
      <c r="B3" s="1818"/>
      <c r="C3" s="1820"/>
      <c r="D3" s="1843" t="s">
        <v>722</v>
      </c>
      <c r="E3" s="1844"/>
      <c r="F3" s="1843" t="s">
        <v>1608</v>
      </c>
      <c r="G3" s="1844"/>
      <c r="H3" s="1843" t="s">
        <v>1609</v>
      </c>
      <c r="I3" s="1844"/>
      <c r="J3" s="1843" t="s">
        <v>1909</v>
      </c>
      <c r="K3" s="1844"/>
      <c r="L3" s="2047" t="s">
        <v>1568</v>
      </c>
      <c r="M3" s="2033"/>
      <c r="N3" s="1843" t="s">
        <v>2004</v>
      </c>
      <c r="O3" s="1844"/>
      <c r="P3" s="494"/>
      <c r="Q3" s="494"/>
      <c r="R3" s="494"/>
      <c r="S3" s="494"/>
      <c r="T3" s="494"/>
      <c r="U3" s="494"/>
      <c r="V3" s="494"/>
      <c r="W3" s="494"/>
      <c r="X3" s="494"/>
      <c r="Y3" s="494"/>
      <c r="Z3" s="494"/>
      <c r="AA3" s="494"/>
      <c r="AB3" s="494"/>
      <c r="AC3" s="494"/>
      <c r="AD3" s="494"/>
      <c r="AE3" s="494"/>
      <c r="AF3" s="494"/>
      <c r="AG3" s="494"/>
      <c r="AH3" s="494"/>
      <c r="AI3" s="494"/>
      <c r="AJ3" s="494"/>
      <c r="AK3" s="494"/>
      <c r="AL3" s="494"/>
      <c r="AM3" s="494"/>
      <c r="AN3" s="494"/>
      <c r="AO3" s="494"/>
      <c r="AP3" s="494"/>
      <c r="AQ3" s="494"/>
      <c r="AR3" s="494"/>
      <c r="AS3" s="494"/>
      <c r="AT3" s="494"/>
      <c r="AU3" s="494"/>
      <c r="AV3" s="494"/>
      <c r="AW3" s="494"/>
      <c r="AX3" s="494"/>
      <c r="AY3" s="494"/>
      <c r="AZ3" s="494"/>
      <c r="BA3" s="494"/>
      <c r="BB3" s="494"/>
      <c r="BC3" s="494"/>
      <c r="BD3" s="494"/>
      <c r="BE3" s="494"/>
      <c r="BF3" s="494"/>
      <c r="BG3" s="494"/>
      <c r="BH3" s="494"/>
      <c r="BI3" s="494"/>
      <c r="BJ3" s="494"/>
      <c r="BK3" s="494"/>
      <c r="BL3" s="494"/>
      <c r="BM3" s="494"/>
      <c r="BN3" s="494"/>
      <c r="BO3" s="494"/>
      <c r="BP3" s="494"/>
      <c r="BQ3" s="494"/>
      <c r="BR3" s="494"/>
      <c r="BS3" s="494"/>
      <c r="BT3" s="494"/>
      <c r="BU3" s="494"/>
      <c r="BV3" s="494"/>
      <c r="BW3" s="494"/>
      <c r="BX3" s="494"/>
      <c r="BY3" s="494"/>
      <c r="BZ3" s="494"/>
      <c r="CA3" s="494"/>
      <c r="CB3" s="494"/>
      <c r="CC3" s="494"/>
      <c r="CD3" s="494"/>
      <c r="CE3" s="494"/>
      <c r="CF3" s="494"/>
      <c r="CG3" s="494"/>
      <c r="CH3" s="494"/>
      <c r="CI3" s="494"/>
      <c r="CJ3" s="494"/>
      <c r="CK3" s="494"/>
    </row>
    <row r="4" spans="1:89" s="494" customFormat="1" ht="15" customHeight="1">
      <c r="B4" s="492"/>
      <c r="C4" s="495"/>
      <c r="D4" s="497"/>
      <c r="E4" s="497"/>
      <c r="F4" s="497"/>
      <c r="G4" s="497"/>
      <c r="H4" s="497"/>
      <c r="I4" s="497"/>
      <c r="J4" s="497"/>
      <c r="K4" s="497"/>
      <c r="L4" s="496"/>
      <c r="M4" s="496"/>
      <c r="N4" s="496"/>
      <c r="O4" s="496"/>
    </row>
    <row r="5" spans="1:89" s="15" customFormat="1" ht="31" customHeight="1">
      <c r="O5" s="169"/>
      <c r="P5" s="169"/>
      <c r="Q5" s="182"/>
      <c r="R5" s="182"/>
      <c r="S5" s="182"/>
      <c r="T5" s="182"/>
      <c r="U5" s="182"/>
      <c r="V5" s="182"/>
      <c r="W5" s="182"/>
      <c r="X5" s="182"/>
      <c r="Y5" s="182"/>
      <c r="Z5" s="182"/>
      <c r="AA5" s="182"/>
      <c r="AB5" s="182"/>
      <c r="AC5" s="182"/>
      <c r="AD5" s="182"/>
      <c r="AE5" s="182"/>
      <c r="AF5" s="182"/>
      <c r="AG5" s="182"/>
      <c r="AH5" s="182"/>
      <c r="AI5" s="182"/>
      <c r="AJ5" s="182"/>
      <c r="AK5" s="182"/>
      <c r="AL5" s="182"/>
      <c r="AM5" s="182"/>
      <c r="AN5" s="182"/>
      <c r="AO5" s="182"/>
      <c r="AP5" s="182"/>
      <c r="AQ5" s="182"/>
      <c r="AR5" s="182"/>
      <c r="AS5" s="182"/>
      <c r="AT5" s="182"/>
      <c r="AU5" s="182"/>
      <c r="AV5" s="182"/>
      <c r="AW5" s="182"/>
      <c r="AX5" s="182"/>
      <c r="AY5" s="182"/>
      <c r="AZ5" s="182"/>
      <c r="BA5" s="182"/>
      <c r="BB5" s="182"/>
      <c r="BC5" s="182"/>
      <c r="BD5" s="182"/>
      <c r="BE5" s="182"/>
      <c r="BF5" s="182"/>
      <c r="BG5" s="182"/>
    </row>
    <row r="6" spans="1:89" s="515" customFormat="1" ht="31" customHeight="1" collapsed="1" thickBot="1">
      <c r="A6" s="15"/>
      <c r="B6" s="491" t="s">
        <v>2463</v>
      </c>
      <c r="C6" s="516"/>
      <c r="D6" s="516"/>
      <c r="E6" s="516"/>
      <c r="F6" s="516"/>
      <c r="G6" s="516"/>
      <c r="H6" s="516"/>
      <c r="I6" s="517"/>
      <c r="J6" s="517"/>
      <c r="K6" s="517"/>
      <c r="L6" s="518"/>
      <c r="M6" s="518"/>
      <c r="N6" s="518"/>
      <c r="O6" s="518"/>
      <c r="P6" s="169"/>
      <c r="Q6" s="182"/>
      <c r="R6" s="182"/>
      <c r="S6" s="182"/>
      <c r="T6" s="182"/>
      <c r="U6" s="182"/>
      <c r="V6" s="182"/>
      <c r="W6" s="182"/>
      <c r="X6" s="182"/>
      <c r="Y6" s="182"/>
      <c r="Z6" s="182"/>
      <c r="AA6" s="182"/>
      <c r="AB6" s="182"/>
      <c r="AC6" s="182"/>
      <c r="AD6" s="182"/>
      <c r="AE6" s="182"/>
      <c r="AF6" s="182"/>
      <c r="AG6" s="182"/>
      <c r="AH6" s="182"/>
      <c r="AI6" s="182"/>
      <c r="AJ6" s="182"/>
      <c r="AK6" s="182"/>
      <c r="AL6" s="182"/>
      <c r="AM6" s="182"/>
      <c r="AN6" s="182"/>
      <c r="AO6" s="182"/>
      <c r="AP6" s="182"/>
      <c r="AQ6" s="182"/>
      <c r="AR6" s="182"/>
      <c r="AS6" s="182"/>
      <c r="AT6" s="182"/>
      <c r="AU6" s="182"/>
      <c r="AV6" s="182"/>
      <c r="AW6" s="182"/>
      <c r="AX6" s="182"/>
      <c r="AY6" s="182"/>
      <c r="AZ6" s="182"/>
      <c r="BA6" s="182"/>
      <c r="BB6" s="182"/>
      <c r="BC6" s="182"/>
      <c r="BD6" s="182"/>
      <c r="BE6" s="182"/>
      <c r="BF6" s="182"/>
      <c r="BG6" s="182"/>
    </row>
    <row r="7" spans="1:89" s="515" customFormat="1" ht="15" customHeight="1" thickTop="1">
      <c r="B7" s="519"/>
      <c r="C7" s="520"/>
      <c r="D7" s="520"/>
      <c r="E7" s="520"/>
      <c r="F7" s="520"/>
      <c r="G7" s="520"/>
      <c r="H7" s="520"/>
      <c r="I7" s="521"/>
      <c r="J7" s="521"/>
      <c r="K7" s="521"/>
      <c r="L7" s="522"/>
      <c r="M7" s="522"/>
      <c r="N7" s="15"/>
      <c r="O7" s="169"/>
      <c r="P7" s="169"/>
      <c r="Q7" s="614"/>
      <c r="R7" s="614"/>
      <c r="S7" s="614"/>
      <c r="T7" s="614"/>
      <c r="U7" s="614"/>
      <c r="V7" s="182"/>
      <c r="W7" s="182"/>
      <c r="X7" s="182"/>
      <c r="Y7" s="182"/>
      <c r="Z7" s="182"/>
      <c r="AA7" s="182"/>
      <c r="AB7" s="182"/>
      <c r="AC7" s="182"/>
      <c r="AD7" s="182"/>
      <c r="AE7" s="182"/>
      <c r="AF7" s="182"/>
      <c r="AG7" s="182"/>
      <c r="AH7" s="182"/>
      <c r="AI7" s="182"/>
      <c r="AJ7" s="182"/>
      <c r="AK7" s="182"/>
      <c r="AL7" s="182"/>
      <c r="AM7" s="182"/>
      <c r="AN7" s="182"/>
      <c r="AO7" s="182"/>
      <c r="AP7" s="182"/>
      <c r="AQ7" s="182"/>
      <c r="AR7" s="182"/>
      <c r="AS7" s="182"/>
      <c r="AT7" s="182"/>
      <c r="AU7" s="182"/>
      <c r="AV7" s="182"/>
      <c r="AW7" s="182"/>
      <c r="AX7" s="182"/>
      <c r="AY7" s="182"/>
      <c r="AZ7" s="182"/>
      <c r="BA7" s="182"/>
      <c r="BB7" s="182"/>
      <c r="BC7" s="182"/>
      <c r="BD7" s="182"/>
      <c r="BE7" s="182"/>
      <c r="BF7" s="182"/>
      <c r="BG7" s="182"/>
    </row>
    <row r="8" spans="1:89" s="169" customFormat="1" ht="18" customHeight="1">
      <c r="A8" s="43"/>
      <c r="B8" s="167" t="s">
        <v>752</v>
      </c>
      <c r="C8" s="168"/>
      <c r="D8" s="2650" t="s">
        <v>182</v>
      </c>
      <c r="E8" s="2650"/>
      <c r="F8" s="2650"/>
      <c r="G8" s="2650"/>
      <c r="I8" s="167" t="s">
        <v>753</v>
      </c>
      <c r="K8" s="1425" t="str">
        <f>IFERROR(VLOOKUP(CONCATENATE($D$8,"_",$D$10),Data!$H$16:$L$1015,3,FALSE),"")</f>
        <v/>
      </c>
      <c r="L8" s="1425"/>
      <c r="M8" s="578">
        <f ca="1">VLOOKUP(D8,Data_3!$B$13:$C$92,2,FALSE)</f>
        <v>16</v>
      </c>
      <c r="N8" s="15"/>
      <c r="O8" s="2174" t="s">
        <v>1994</v>
      </c>
      <c r="Q8" s="614"/>
      <c r="R8" s="614"/>
      <c r="S8" s="614"/>
      <c r="T8" s="614"/>
      <c r="U8" s="614"/>
      <c r="V8" s="182"/>
      <c r="W8" s="182"/>
      <c r="X8" s="182"/>
      <c r="Y8" s="182"/>
      <c r="Z8" s="182"/>
      <c r="AA8" s="182"/>
      <c r="AB8" s="182"/>
      <c r="AC8" s="182"/>
      <c r="AD8" s="182"/>
      <c r="AE8" s="182"/>
      <c r="AF8" s="182"/>
      <c r="AG8" s="182"/>
      <c r="AH8" s="182"/>
      <c r="AI8" s="182"/>
      <c r="AJ8" s="182"/>
      <c r="AK8" s="182"/>
      <c r="AL8" s="182"/>
      <c r="AM8" s="182"/>
      <c r="AN8" s="182"/>
      <c r="AO8" s="182"/>
      <c r="AP8" s="182"/>
      <c r="AQ8" s="182"/>
      <c r="AR8" s="182"/>
      <c r="AS8" s="182"/>
      <c r="AT8" s="182"/>
      <c r="AU8" s="182"/>
      <c r="AV8" s="182"/>
      <c r="AW8" s="182"/>
      <c r="AX8" s="182"/>
      <c r="AY8" s="182"/>
      <c r="AZ8" s="182"/>
      <c r="BA8" s="182"/>
      <c r="BB8" s="182"/>
      <c r="BC8" s="182"/>
      <c r="BD8" s="182"/>
      <c r="BE8" s="182"/>
      <c r="BF8" s="182"/>
      <c r="BG8" s="182"/>
    </row>
    <row r="9" spans="1:89" s="169" customFormat="1" ht="18">
      <c r="A9" s="1426"/>
      <c r="B9" s="167" t="s">
        <v>2616</v>
      </c>
      <c r="C9" s="168"/>
      <c r="D9" s="1742" t="str">
        <f>IFERROR(VLOOKUP(CONCATENATE($D$8,"_",$D$10),Data!$H$16:$L$1015,2,FALSE),"")</f>
        <v/>
      </c>
      <c r="E9" s="903"/>
      <c r="F9" s="903"/>
      <c r="I9" s="167" t="s">
        <v>755</v>
      </c>
      <c r="K9" s="1425" t="str">
        <f>IFERROR(VLOOKUP(CONCATENATE($D$8,"_",$D$10),Data!$H$16:$L$1015,4,FALSE),"")</f>
        <v/>
      </c>
      <c r="L9" s="1425"/>
      <c r="O9" s="2175"/>
      <c r="Q9" s="614"/>
      <c r="R9" s="614"/>
      <c r="S9" s="614"/>
      <c r="T9" s="614"/>
      <c r="U9" s="614"/>
      <c r="V9" s="182"/>
      <c r="W9" s="182"/>
      <c r="X9" s="182"/>
      <c r="Y9" s="182"/>
      <c r="Z9" s="182"/>
      <c r="AA9" s="182"/>
      <c r="AB9" s="182"/>
      <c r="AC9" s="182"/>
      <c r="AD9" s="182"/>
      <c r="AE9" s="182"/>
      <c r="AF9" s="182"/>
      <c r="AG9" s="182"/>
      <c r="AH9" s="182"/>
      <c r="AI9" s="182"/>
      <c r="AJ9" s="182"/>
      <c r="AK9" s="182"/>
      <c r="AL9" s="182"/>
      <c r="AM9" s="182"/>
      <c r="AN9" s="182"/>
      <c r="AO9" s="182"/>
      <c r="AP9" s="182"/>
      <c r="AQ9" s="182"/>
      <c r="AR9" s="182"/>
      <c r="AS9" s="182"/>
      <c r="AT9" s="182"/>
      <c r="AU9" s="182"/>
      <c r="AV9" s="182"/>
      <c r="AW9" s="182"/>
      <c r="AX9" s="182"/>
      <c r="AY9" s="182"/>
      <c r="AZ9" s="182"/>
      <c r="BA9" s="182"/>
      <c r="BB9" s="182"/>
      <c r="BC9" s="182"/>
      <c r="BD9" s="182"/>
      <c r="BE9" s="182"/>
      <c r="BF9" s="182"/>
      <c r="BG9" s="182"/>
    </row>
    <row r="10" spans="1:89" s="169" customFormat="1" ht="18">
      <c r="A10" s="43"/>
      <c r="B10" s="167" t="s">
        <v>750</v>
      </c>
      <c r="C10" s="168"/>
      <c r="D10" s="2650" t="s">
        <v>182</v>
      </c>
      <c r="E10" s="2650"/>
      <c r="F10" s="2650"/>
      <c r="G10" s="2650"/>
      <c r="I10" s="167" t="s">
        <v>2506</v>
      </c>
      <c r="K10" s="1425" t="str">
        <f>IFERROR(VLOOKUP(CONCATENATE($D$8,"_",$D$10),Data!$H$16:$L$1015,5,FALSE)/1000000,"")</f>
        <v/>
      </c>
      <c r="L10" s="1425"/>
      <c r="O10" s="615"/>
      <c r="Q10" s="614"/>
      <c r="R10" s="614"/>
      <c r="S10" s="614"/>
      <c r="T10" s="614"/>
      <c r="U10" s="614"/>
      <c r="V10" s="182"/>
      <c r="W10" s="182"/>
      <c r="X10" s="182"/>
      <c r="Y10" s="182"/>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2"/>
      <c r="AW10" s="182"/>
      <c r="AX10" s="182"/>
      <c r="AY10" s="182"/>
      <c r="AZ10" s="182"/>
      <c r="BA10" s="182"/>
      <c r="BB10" s="182"/>
      <c r="BC10" s="182"/>
      <c r="BD10" s="182"/>
      <c r="BE10" s="182"/>
      <c r="BF10" s="182"/>
      <c r="BG10" s="182"/>
    </row>
    <row r="11" spans="1:89" s="169" customFormat="1" ht="15" customHeight="1">
      <c r="A11" s="43"/>
      <c r="B11" s="167"/>
      <c r="C11" s="168"/>
      <c r="D11" s="168"/>
      <c r="E11" s="168"/>
      <c r="F11" s="168"/>
      <c r="Q11" s="614"/>
      <c r="R11" s="614"/>
      <c r="S11" s="614"/>
      <c r="T11" s="614"/>
      <c r="U11" s="614"/>
      <c r="V11" s="182"/>
      <c r="W11" s="182"/>
      <c r="X11" s="182"/>
      <c r="Y11" s="182"/>
      <c r="Z11" s="182"/>
      <c r="AA11" s="182"/>
      <c r="AB11" s="182"/>
      <c r="AC11" s="182"/>
      <c r="AD11" s="182"/>
      <c r="AE11" s="182"/>
      <c r="AF11" s="182"/>
      <c r="AG11" s="182"/>
      <c r="AH11" s="182"/>
      <c r="AI11" s="182"/>
      <c r="AJ11" s="182"/>
      <c r="AK11" s="182"/>
      <c r="AL11" s="182"/>
      <c r="AM11" s="182"/>
      <c r="AN11" s="182"/>
      <c r="AO11" s="182"/>
      <c r="AP11" s="182"/>
      <c r="AQ11" s="182"/>
      <c r="AR11" s="182"/>
      <c r="AS11" s="182"/>
      <c r="AT11" s="182"/>
      <c r="AU11" s="182"/>
      <c r="AV11" s="182"/>
      <c r="AW11" s="182"/>
      <c r="AX11" s="182"/>
      <c r="AY11" s="182"/>
      <c r="AZ11" s="182"/>
      <c r="BA11" s="182"/>
      <c r="BB11" s="182"/>
      <c r="BC11" s="182"/>
      <c r="BD11" s="182"/>
      <c r="BE11" s="182"/>
      <c r="BF11" s="182"/>
      <c r="BG11" s="182"/>
    </row>
    <row r="12" spans="1:89" ht="19" customHeight="1">
      <c r="A12" s="43"/>
      <c r="B12" s="2185" t="s">
        <v>756</v>
      </c>
      <c r="C12" s="2186"/>
      <c r="D12" s="2186"/>
      <c r="E12" s="2186"/>
      <c r="F12" s="2186"/>
      <c r="G12" s="2186"/>
      <c r="H12" s="2197" t="s">
        <v>757</v>
      </c>
      <c r="I12" s="2197"/>
      <c r="J12" s="2197"/>
      <c r="K12" s="2197"/>
      <c r="L12" s="2197"/>
      <c r="M12" s="2198"/>
      <c r="O12" s="615"/>
      <c r="P12" s="169"/>
      <c r="Q12" s="614"/>
      <c r="R12" s="614"/>
      <c r="S12" s="614"/>
      <c r="T12" s="614"/>
      <c r="U12" s="614"/>
    </row>
    <row r="13" spans="1:89" ht="19" customHeight="1">
      <c r="A13" s="43"/>
      <c r="B13" s="2187"/>
      <c r="C13" s="2188"/>
      <c r="D13" s="2188"/>
      <c r="E13" s="2188"/>
      <c r="F13" s="2188"/>
      <c r="G13" s="2188"/>
      <c r="H13" s="503" t="s">
        <v>1</v>
      </c>
      <c r="I13" s="503" t="s">
        <v>2</v>
      </c>
      <c r="J13" s="503" t="s">
        <v>3</v>
      </c>
      <c r="K13" s="503" t="s">
        <v>172</v>
      </c>
      <c r="L13" s="503" t="s">
        <v>173</v>
      </c>
      <c r="M13" s="514" t="s">
        <v>999</v>
      </c>
      <c r="O13" s="615"/>
      <c r="P13" s="169"/>
      <c r="Q13" s="614"/>
      <c r="R13" s="614"/>
      <c r="S13" s="614"/>
      <c r="T13" s="614"/>
      <c r="U13" s="614"/>
    </row>
    <row r="14" spans="1:89" s="185" customFormat="1" ht="19" customHeight="1">
      <c r="A14" s="87"/>
      <c r="B14" s="2194" t="s">
        <v>4</v>
      </c>
      <c r="C14" s="2194"/>
      <c r="D14" s="2191" t="s">
        <v>187</v>
      </c>
      <c r="E14" s="2192"/>
      <c r="F14" s="2192"/>
      <c r="G14" s="2193"/>
      <c r="H14" s="504">
        <f>J36</f>
        <v>0</v>
      </c>
      <c r="I14" s="504">
        <f>K36</f>
        <v>0</v>
      </c>
      <c r="J14" s="505">
        <f>L36</f>
        <v>0</v>
      </c>
      <c r="K14" s="506">
        <f>H14+I14</f>
        <v>0</v>
      </c>
      <c r="L14" s="506">
        <f>SUM(H14:J14)</f>
        <v>0</v>
      </c>
      <c r="M14" s="507">
        <f>SUM(H14:J14)</f>
        <v>0</v>
      </c>
      <c r="N14" s="169"/>
      <c r="O14" s="615"/>
      <c r="P14" s="169"/>
      <c r="Q14" s="614"/>
      <c r="R14" s="614"/>
      <c r="S14" s="614"/>
      <c r="T14" s="614"/>
      <c r="U14" s="614"/>
      <c r="V14" s="184"/>
      <c r="W14" s="184"/>
      <c r="X14" s="184"/>
      <c r="Y14" s="184"/>
      <c r="Z14" s="184"/>
      <c r="AA14" s="184"/>
      <c r="AB14" s="184"/>
      <c r="AC14" s="184"/>
      <c r="AD14" s="184"/>
      <c r="AE14" s="184"/>
      <c r="AF14" s="184"/>
      <c r="AG14" s="184"/>
      <c r="AH14" s="184"/>
      <c r="AI14" s="184"/>
      <c r="AJ14" s="184"/>
      <c r="AK14" s="184"/>
      <c r="AL14" s="184"/>
      <c r="AM14" s="184"/>
      <c r="AN14" s="184"/>
      <c r="AO14" s="184"/>
      <c r="AP14" s="184"/>
      <c r="AQ14" s="184"/>
      <c r="AR14" s="184"/>
      <c r="AS14" s="184"/>
      <c r="AT14" s="184"/>
      <c r="AU14" s="184"/>
      <c r="AV14" s="184"/>
      <c r="AW14" s="184"/>
      <c r="AX14" s="184"/>
      <c r="AY14" s="184"/>
      <c r="AZ14" s="184"/>
      <c r="BA14" s="184"/>
      <c r="BB14" s="184"/>
      <c r="BC14" s="184"/>
      <c r="BD14" s="184"/>
      <c r="BE14" s="184"/>
      <c r="BF14" s="184"/>
      <c r="BG14" s="184"/>
    </row>
    <row r="15" spans="1:89" s="185" customFormat="1" ht="19" customHeight="1">
      <c r="A15" s="87"/>
      <c r="B15" s="2194"/>
      <c r="C15" s="2194"/>
      <c r="D15" s="2191" t="s">
        <v>188</v>
      </c>
      <c r="E15" s="2192"/>
      <c r="F15" s="2192"/>
      <c r="G15" s="2193"/>
      <c r="H15" s="508" t="str">
        <f>IF(J31="","",J31)</f>
        <v/>
      </c>
      <c r="I15" s="509"/>
      <c r="J15" s="509"/>
      <c r="K15" s="509"/>
      <c r="L15" s="509"/>
      <c r="M15" s="510"/>
      <c r="N15" s="169"/>
      <c r="O15" s="169"/>
      <c r="P15" s="169"/>
      <c r="Q15" s="614"/>
      <c r="R15" s="614"/>
      <c r="S15" s="614"/>
      <c r="T15" s="614"/>
      <c r="U15" s="614"/>
      <c r="V15" s="184"/>
      <c r="W15" s="184"/>
      <c r="X15" s="184"/>
      <c r="Y15" s="184"/>
      <c r="Z15" s="184"/>
      <c r="AA15" s="184"/>
      <c r="AB15" s="184"/>
      <c r="AC15" s="184"/>
      <c r="AD15" s="184"/>
      <c r="AE15" s="184"/>
      <c r="AF15" s="184"/>
      <c r="AG15" s="184"/>
      <c r="AH15" s="184"/>
      <c r="AI15" s="184"/>
      <c r="AJ15" s="184"/>
      <c r="AK15" s="184"/>
      <c r="AL15" s="184"/>
      <c r="AM15" s="184"/>
      <c r="AN15" s="184"/>
      <c r="AO15" s="184"/>
      <c r="AP15" s="184"/>
      <c r="AQ15" s="184"/>
      <c r="AR15" s="184"/>
      <c r="AS15" s="184"/>
      <c r="AT15" s="184"/>
      <c r="AU15" s="184"/>
      <c r="AV15" s="184"/>
      <c r="AW15" s="184"/>
      <c r="AX15" s="184"/>
      <c r="AY15" s="184"/>
      <c r="AZ15" s="184"/>
      <c r="BA15" s="184"/>
      <c r="BB15" s="184"/>
      <c r="BC15" s="184"/>
      <c r="BD15" s="184"/>
      <c r="BE15" s="184"/>
      <c r="BF15" s="184"/>
      <c r="BG15" s="184"/>
    </row>
    <row r="16" spans="1:89" s="185" customFormat="1" ht="19" customHeight="1">
      <c r="A16" s="87"/>
      <c r="B16" s="2194" t="s">
        <v>15</v>
      </c>
      <c r="C16" s="2194"/>
      <c r="D16" s="2191" t="s">
        <v>258</v>
      </c>
      <c r="E16" s="2192"/>
      <c r="F16" s="2192"/>
      <c r="G16" s="2193"/>
      <c r="H16" s="504">
        <f>J43</f>
        <v>0</v>
      </c>
      <c r="I16" s="504">
        <f>K43</f>
        <v>0</v>
      </c>
      <c r="J16" s="505">
        <f>L43</f>
        <v>0</v>
      </c>
      <c r="K16" s="506">
        <f>H16+I16</f>
        <v>0</v>
      </c>
      <c r="L16" s="506">
        <f>SUM(H16:J16)</f>
        <v>0</v>
      </c>
      <c r="M16" s="507">
        <f>SUM(H16:J16)</f>
        <v>0</v>
      </c>
      <c r="N16" s="169"/>
      <c r="O16" s="169"/>
      <c r="P16" s="169"/>
      <c r="Q16" s="614"/>
      <c r="R16" s="614"/>
      <c r="S16" s="614"/>
      <c r="T16" s="614"/>
      <c r="U16" s="614"/>
      <c r="V16" s="184"/>
      <c r="W16" s="184"/>
      <c r="X16" s="184"/>
      <c r="Y16" s="184"/>
      <c r="Z16" s="184"/>
      <c r="AA16" s="184"/>
      <c r="AB16" s="184"/>
      <c r="AC16" s="184"/>
      <c r="AD16" s="184"/>
      <c r="AE16" s="184"/>
      <c r="AF16" s="184"/>
      <c r="AG16" s="184"/>
      <c r="AH16" s="184"/>
      <c r="AI16" s="184"/>
      <c r="AJ16" s="184"/>
      <c r="AK16" s="184"/>
      <c r="AL16" s="184"/>
      <c r="AM16" s="184"/>
      <c r="AN16" s="184"/>
      <c r="AO16" s="184"/>
      <c r="AP16" s="184"/>
      <c r="AQ16" s="184"/>
      <c r="AR16" s="184"/>
      <c r="AS16" s="184"/>
      <c r="AT16" s="184"/>
      <c r="AU16" s="184"/>
      <c r="AV16" s="184"/>
      <c r="AW16" s="184"/>
      <c r="AX16" s="184"/>
      <c r="AY16" s="184"/>
      <c r="AZ16" s="184"/>
      <c r="BA16" s="184"/>
      <c r="BB16" s="184"/>
      <c r="BC16" s="184"/>
      <c r="BD16" s="184"/>
      <c r="BE16" s="184"/>
      <c r="BF16" s="184"/>
      <c r="BG16" s="184"/>
    </row>
    <row r="17" spans="1:59" s="185" customFormat="1" ht="19" customHeight="1">
      <c r="A17" s="87"/>
      <c r="B17" s="2194" t="s">
        <v>21</v>
      </c>
      <c r="C17" s="2194"/>
      <c r="D17" s="523" t="s">
        <v>718</v>
      </c>
      <c r="E17" s="524"/>
      <c r="F17" s="524"/>
      <c r="G17" s="524"/>
      <c r="H17" s="504">
        <f>J53</f>
        <v>0</v>
      </c>
      <c r="I17" s="509"/>
      <c r="J17" s="504">
        <f>L53</f>
        <v>0</v>
      </c>
      <c r="K17" s="506">
        <f>H17+J17</f>
        <v>0</v>
      </c>
      <c r="L17" s="506">
        <f>H17+J17</f>
        <v>0</v>
      </c>
      <c r="M17" s="507">
        <f>H17+J17</f>
        <v>0</v>
      </c>
      <c r="N17" s="169"/>
      <c r="O17" s="169"/>
      <c r="P17" s="169"/>
      <c r="Q17" s="614"/>
      <c r="R17" s="614"/>
      <c r="S17" s="614"/>
      <c r="T17" s="614"/>
      <c r="U17" s="614"/>
      <c r="V17" s="184"/>
      <c r="W17" s="184"/>
      <c r="X17" s="184"/>
      <c r="Y17" s="184"/>
      <c r="Z17" s="184"/>
      <c r="AA17" s="184"/>
      <c r="AB17" s="184"/>
      <c r="AC17" s="184"/>
      <c r="AD17" s="184"/>
      <c r="AE17" s="184"/>
      <c r="AF17" s="184"/>
      <c r="AG17" s="184"/>
      <c r="AH17" s="184"/>
      <c r="AI17" s="184"/>
      <c r="AJ17" s="184"/>
      <c r="AK17" s="184"/>
      <c r="AL17" s="184"/>
      <c r="AM17" s="184"/>
      <c r="AN17" s="184"/>
      <c r="AO17" s="184"/>
      <c r="AP17" s="184"/>
      <c r="AQ17" s="184"/>
      <c r="AR17" s="184"/>
      <c r="AS17" s="184"/>
      <c r="AT17" s="184"/>
      <c r="AU17" s="184"/>
      <c r="AV17" s="184"/>
      <c r="AW17" s="184"/>
      <c r="AX17" s="184"/>
      <c r="AY17" s="184"/>
      <c r="AZ17" s="184"/>
      <c r="BA17" s="184"/>
      <c r="BB17" s="184"/>
      <c r="BC17" s="184"/>
      <c r="BD17" s="184"/>
      <c r="BE17" s="184"/>
      <c r="BF17" s="184"/>
      <c r="BG17" s="184"/>
    </row>
    <row r="18" spans="1:59" s="185" customFormat="1" ht="19" customHeight="1">
      <c r="A18" s="87"/>
      <c r="B18" s="2194"/>
      <c r="C18" s="2194"/>
      <c r="D18" s="2191" t="s">
        <v>997</v>
      </c>
      <c r="E18" s="2192"/>
      <c r="F18" s="2192"/>
      <c r="G18" s="2193"/>
      <c r="H18" s="508">
        <f>SUM(J49:J52)</f>
        <v>0</v>
      </c>
      <c r="I18" s="509"/>
      <c r="J18" s="509"/>
      <c r="K18" s="509"/>
      <c r="L18" s="509"/>
      <c r="M18" s="510"/>
      <c r="N18" s="169"/>
      <c r="O18" s="169"/>
      <c r="P18" s="169"/>
      <c r="Q18" s="614"/>
      <c r="R18" s="614"/>
      <c r="S18" s="614"/>
      <c r="T18" s="614"/>
      <c r="U18" s="614"/>
      <c r="V18" s="184"/>
      <c r="W18" s="184"/>
      <c r="X18" s="184"/>
      <c r="Y18" s="184"/>
      <c r="Z18" s="184"/>
      <c r="AA18" s="184"/>
      <c r="AB18" s="184"/>
      <c r="AC18" s="184"/>
      <c r="AD18" s="184"/>
      <c r="AE18" s="184"/>
      <c r="AF18" s="184"/>
      <c r="AG18" s="184"/>
      <c r="AH18" s="184"/>
      <c r="AI18" s="184"/>
      <c r="AJ18" s="184"/>
      <c r="AK18" s="184"/>
      <c r="AL18" s="184"/>
      <c r="AM18" s="184"/>
      <c r="AN18" s="184"/>
      <c r="AO18" s="184"/>
      <c r="AP18" s="184"/>
      <c r="AQ18" s="184"/>
      <c r="AR18" s="184"/>
      <c r="AS18" s="184"/>
      <c r="AT18" s="184"/>
      <c r="AU18" s="184"/>
      <c r="AV18" s="184"/>
      <c r="AW18" s="184"/>
      <c r="AX18" s="184"/>
      <c r="AY18" s="184"/>
      <c r="AZ18" s="184"/>
      <c r="BA18" s="184"/>
      <c r="BB18" s="184"/>
      <c r="BC18" s="184"/>
      <c r="BD18" s="184"/>
      <c r="BE18" s="184"/>
      <c r="BF18" s="184"/>
      <c r="BG18" s="184"/>
    </row>
    <row r="19" spans="1:59" s="185" customFormat="1" ht="19" customHeight="1">
      <c r="A19" s="87"/>
      <c r="B19" s="2194" t="s">
        <v>208</v>
      </c>
      <c r="C19" s="2194"/>
      <c r="D19" s="2191" t="s">
        <v>259</v>
      </c>
      <c r="E19" s="2192"/>
      <c r="F19" s="2192"/>
      <c r="G19" s="2193"/>
      <c r="H19" s="505">
        <f>J57</f>
        <v>0</v>
      </c>
      <c r="I19" s="509"/>
      <c r="J19" s="509"/>
      <c r="K19" s="509"/>
      <c r="L19" s="506">
        <f>H19</f>
        <v>0</v>
      </c>
      <c r="M19" s="507">
        <f>H19</f>
        <v>0</v>
      </c>
      <c r="N19" s="169"/>
      <c r="O19" s="169"/>
      <c r="P19" s="169"/>
      <c r="Q19" s="614"/>
      <c r="R19" s="614"/>
      <c r="S19" s="614"/>
      <c r="T19" s="614"/>
      <c r="U19" s="614"/>
      <c r="V19" s="184"/>
      <c r="W19" s="184"/>
      <c r="X19" s="184"/>
      <c r="Y19" s="184"/>
      <c r="Z19" s="184"/>
      <c r="AA19" s="184"/>
      <c r="AB19" s="184"/>
      <c r="AC19" s="184"/>
      <c r="AD19" s="184"/>
      <c r="AE19" s="184"/>
      <c r="AF19" s="184"/>
      <c r="AG19" s="184"/>
      <c r="AH19" s="184"/>
      <c r="AI19" s="184"/>
      <c r="AJ19" s="184"/>
      <c r="AK19" s="184"/>
      <c r="AL19" s="184"/>
      <c r="AM19" s="184"/>
      <c r="AN19" s="184"/>
      <c r="AO19" s="184"/>
      <c r="AP19" s="184"/>
      <c r="AQ19" s="184"/>
      <c r="AR19" s="184"/>
      <c r="AS19" s="184"/>
      <c r="AT19" s="184"/>
      <c r="AU19" s="184"/>
      <c r="AV19" s="184"/>
      <c r="AW19" s="184"/>
      <c r="AX19" s="184"/>
      <c r="AY19" s="184"/>
      <c r="AZ19" s="184"/>
      <c r="BA19" s="184"/>
      <c r="BB19" s="184"/>
      <c r="BC19" s="184"/>
      <c r="BD19" s="184"/>
      <c r="BE19" s="184"/>
      <c r="BF19" s="184"/>
      <c r="BG19" s="184"/>
    </row>
    <row r="20" spans="1:59" s="185" customFormat="1" ht="19" customHeight="1">
      <c r="A20" s="87"/>
      <c r="B20" s="2194" t="s">
        <v>260</v>
      </c>
      <c r="C20" s="2194"/>
      <c r="D20" s="2191" t="s">
        <v>261</v>
      </c>
      <c r="E20" s="2192"/>
      <c r="F20" s="2192"/>
      <c r="G20" s="2193"/>
      <c r="H20" s="505">
        <f>J62</f>
        <v>0</v>
      </c>
      <c r="I20" s="509"/>
      <c r="J20" s="509"/>
      <c r="K20" s="509"/>
      <c r="L20" s="506">
        <f>H20</f>
        <v>0</v>
      </c>
      <c r="M20" s="507">
        <f>H20</f>
        <v>0</v>
      </c>
      <c r="N20" s="169"/>
      <c r="O20" s="169"/>
      <c r="P20" s="169"/>
      <c r="Q20" s="614"/>
      <c r="R20" s="614"/>
      <c r="S20" s="614"/>
      <c r="T20" s="614"/>
      <c r="U20" s="614"/>
      <c r="V20" s="184"/>
      <c r="W20" s="184"/>
      <c r="X20" s="184"/>
      <c r="Y20" s="184"/>
      <c r="Z20" s="184"/>
      <c r="AA20" s="184"/>
      <c r="AB20" s="184"/>
      <c r="AC20" s="184"/>
      <c r="AD20" s="184"/>
      <c r="AE20" s="184"/>
      <c r="AF20" s="184"/>
      <c r="AG20" s="184"/>
      <c r="AH20" s="184"/>
      <c r="AI20" s="184"/>
      <c r="AJ20" s="184"/>
      <c r="AK20" s="184"/>
      <c r="AL20" s="184"/>
      <c r="AM20" s="184"/>
      <c r="AN20" s="184"/>
      <c r="AO20" s="184"/>
      <c r="AP20" s="184"/>
      <c r="AQ20" s="184"/>
      <c r="AR20" s="184"/>
      <c r="AS20" s="184"/>
      <c r="AT20" s="184"/>
      <c r="AU20" s="184"/>
      <c r="AV20" s="184"/>
      <c r="AW20" s="184"/>
      <c r="AX20" s="184"/>
      <c r="AY20" s="184"/>
      <c r="AZ20" s="184"/>
      <c r="BA20" s="184"/>
      <c r="BB20" s="184"/>
      <c r="BC20" s="184"/>
      <c r="BD20" s="184"/>
      <c r="BE20" s="184"/>
      <c r="BF20" s="184"/>
      <c r="BG20" s="184"/>
    </row>
    <row r="21" spans="1:59" s="185" customFormat="1" ht="19" customHeight="1">
      <c r="A21" s="87"/>
      <c r="B21" s="2194" t="s">
        <v>35</v>
      </c>
      <c r="C21" s="2194"/>
      <c r="D21" s="2191" t="s">
        <v>717</v>
      </c>
      <c r="E21" s="2192"/>
      <c r="F21" s="2192"/>
      <c r="G21" s="2193"/>
      <c r="H21" s="509"/>
      <c r="I21" s="509"/>
      <c r="J21" s="511" t="str">
        <f>IF(ISNUMBER(L64),L64,"")</f>
        <v/>
      </c>
      <c r="K21" s="509"/>
      <c r="L21" s="509"/>
      <c r="M21" s="507">
        <f>SUM(J21)</f>
        <v>0</v>
      </c>
      <c r="N21" s="169"/>
      <c r="O21" s="169"/>
      <c r="P21" s="169"/>
      <c r="Q21" s="614"/>
      <c r="R21" s="614"/>
      <c r="S21" s="614"/>
      <c r="T21" s="614"/>
      <c r="U21" s="614"/>
      <c r="V21" s="184"/>
      <c r="W21" s="184"/>
      <c r="X21" s="184"/>
      <c r="Y21" s="184"/>
      <c r="Z21" s="184"/>
      <c r="AA21" s="184"/>
      <c r="AB21" s="184"/>
      <c r="AC21" s="184"/>
      <c r="AD21" s="184"/>
      <c r="AE21" s="184"/>
      <c r="AF21" s="184"/>
      <c r="AG21" s="184"/>
      <c r="AH21" s="184"/>
      <c r="AI21" s="184"/>
      <c r="AJ21" s="184"/>
      <c r="AK21" s="184"/>
      <c r="AL21" s="184"/>
      <c r="AM21" s="184"/>
      <c r="AN21" s="184"/>
      <c r="AO21" s="184"/>
      <c r="AP21" s="184"/>
      <c r="AQ21" s="184"/>
      <c r="AR21" s="184"/>
      <c r="AS21" s="184"/>
      <c r="AT21" s="184"/>
      <c r="AU21" s="184"/>
      <c r="AV21" s="184"/>
      <c r="AW21" s="184"/>
      <c r="AX21" s="184"/>
      <c r="AY21" s="184"/>
      <c r="AZ21" s="184"/>
      <c r="BA21" s="184"/>
      <c r="BB21" s="184"/>
      <c r="BC21" s="184"/>
      <c r="BD21" s="184"/>
      <c r="BE21" s="184"/>
      <c r="BF21" s="184"/>
      <c r="BG21" s="184"/>
    </row>
    <row r="22" spans="1:59" s="185" customFormat="1" ht="31" customHeight="1">
      <c r="A22" s="87"/>
      <c r="B22" s="2190" t="s">
        <v>684</v>
      </c>
      <c r="C22" s="2190"/>
      <c r="D22" s="2190"/>
      <c r="E22" s="2190"/>
      <c r="F22" s="2190"/>
      <c r="G22" s="2190"/>
      <c r="H22" s="512" t="str">
        <f>IF(SUM(H14:H20)=0,"All territorial emissions",SUM(H14:H20))</f>
        <v>All territorial emissions</v>
      </c>
      <c r="I22" s="513" t="str">
        <f>IF((I14+I16)=0,"",I14+I16)</f>
        <v/>
      </c>
      <c r="J22" s="513" t="str">
        <f>IF((J14+J16+J17)=0,"",(J14+J16+J17))</f>
        <v/>
      </c>
      <c r="K22" s="512" t="str">
        <f>IF((K14+K16+K17)=0,"All BASIC emissions",(K14+K16+K17))</f>
        <v>All BASIC emissions</v>
      </c>
      <c r="L22" s="512" t="str">
        <f>IF((L14+L16+L17+L19+L20)=0,"All BASIC+ emissions",(L14+L16+L17+L19+L20))</f>
        <v>All BASIC+ emissions</v>
      </c>
      <c r="M22" s="512" t="str">
        <f>IF((M14+M16+M17+M19+M20+M21)=0,"All BASIC+ S3 emissions",(M14+M16+M17+M19+M20+M21))</f>
        <v>All BASIC+ S3 emissions</v>
      </c>
      <c r="N22" s="169"/>
      <c r="O22" s="169"/>
      <c r="P22" s="169"/>
      <c r="Q22" s="614"/>
      <c r="R22" s="614"/>
      <c r="S22" s="614"/>
      <c r="T22" s="614"/>
      <c r="U22" s="61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c r="BC22" s="184"/>
      <c r="BD22" s="184"/>
      <c r="BE22" s="184"/>
      <c r="BF22" s="184"/>
      <c r="BG22" s="184"/>
    </row>
    <row r="23" spans="1:59" s="169" customFormat="1" ht="15" customHeight="1">
      <c r="A23" s="43"/>
      <c r="B23" s="170"/>
      <c r="Q23" s="614"/>
      <c r="R23" s="614"/>
      <c r="S23" s="614"/>
      <c r="T23" s="614"/>
      <c r="U23" s="614"/>
      <c r="V23" s="182"/>
      <c r="W23" s="182"/>
      <c r="X23" s="182"/>
      <c r="Y23" s="182"/>
      <c r="Z23" s="182"/>
      <c r="AA23" s="182"/>
      <c r="AB23" s="182"/>
      <c r="AC23" s="182"/>
      <c r="AD23" s="182"/>
      <c r="AE23" s="182"/>
      <c r="AF23" s="182"/>
      <c r="AG23" s="182"/>
      <c r="AH23" s="182"/>
      <c r="AI23" s="182"/>
      <c r="AJ23" s="182"/>
      <c r="AK23" s="182"/>
      <c r="AL23" s="182"/>
      <c r="AM23" s="182"/>
      <c r="AN23" s="182"/>
      <c r="AO23" s="182"/>
      <c r="AP23" s="182"/>
      <c r="AQ23" s="182"/>
      <c r="AR23" s="182"/>
      <c r="AS23" s="182"/>
      <c r="AT23" s="182"/>
      <c r="AU23" s="182"/>
      <c r="AV23" s="182"/>
      <c r="AW23" s="182"/>
      <c r="AX23" s="182"/>
      <c r="AY23" s="182"/>
      <c r="AZ23" s="182"/>
      <c r="BA23" s="182"/>
      <c r="BB23" s="182"/>
      <c r="BC23" s="182"/>
      <c r="BD23" s="182"/>
      <c r="BE23" s="182"/>
      <c r="BF23" s="182"/>
      <c r="BG23" s="182"/>
    </row>
    <row r="24" spans="1:59" s="187" customFormat="1" ht="19" customHeight="1">
      <c r="A24" s="97"/>
      <c r="B24" s="2195" t="s">
        <v>37</v>
      </c>
      <c r="C24" s="2183" t="s">
        <v>39</v>
      </c>
      <c r="D24" s="2183"/>
      <c r="E24" s="2183"/>
      <c r="F24" s="2183"/>
      <c r="G24" s="2183"/>
      <c r="H24" s="2183"/>
      <c r="I24" s="2183"/>
      <c r="J24" s="2183" t="s">
        <v>720</v>
      </c>
      <c r="K24" s="2183"/>
      <c r="L24" s="2183"/>
      <c r="M24" s="2184"/>
      <c r="N24" s="169"/>
      <c r="O24" s="169"/>
      <c r="P24" s="169"/>
      <c r="Q24" s="182"/>
      <c r="R24" s="186"/>
      <c r="S24" s="186"/>
      <c r="T24" s="186"/>
      <c r="U24" s="186"/>
      <c r="V24" s="186"/>
      <c r="W24" s="186"/>
      <c r="X24" s="186"/>
      <c r="Y24" s="186"/>
      <c r="Z24" s="186"/>
      <c r="AA24" s="186"/>
      <c r="AB24" s="186"/>
      <c r="AC24" s="186"/>
      <c r="AD24" s="186"/>
      <c r="AE24" s="186"/>
      <c r="AF24" s="186"/>
      <c r="AG24" s="186"/>
      <c r="AH24" s="186"/>
      <c r="AI24" s="186"/>
      <c r="AJ24" s="186"/>
      <c r="AK24" s="186"/>
      <c r="AL24" s="186"/>
      <c r="AM24" s="186"/>
      <c r="AN24" s="186"/>
      <c r="AO24" s="186"/>
      <c r="AP24" s="186"/>
      <c r="AQ24" s="186"/>
      <c r="AR24" s="186"/>
      <c r="AS24" s="186"/>
      <c r="AT24" s="186"/>
      <c r="AU24" s="186"/>
      <c r="AV24" s="186"/>
      <c r="AW24" s="186"/>
      <c r="AX24" s="186"/>
      <c r="AY24" s="186"/>
      <c r="AZ24" s="186"/>
      <c r="BA24" s="186"/>
      <c r="BB24" s="186"/>
      <c r="BC24" s="186"/>
      <c r="BD24" s="186"/>
      <c r="BE24" s="186"/>
      <c r="BF24" s="186"/>
      <c r="BG24" s="186"/>
    </row>
    <row r="25" spans="1:59" s="187" customFormat="1" ht="19" customHeight="1">
      <c r="A25" s="97"/>
      <c r="B25" s="2196"/>
      <c r="C25" s="2189"/>
      <c r="D25" s="2189"/>
      <c r="E25" s="2189"/>
      <c r="F25" s="2189"/>
      <c r="G25" s="2189"/>
      <c r="H25" s="2189"/>
      <c r="I25" s="2189"/>
      <c r="J25" s="601" t="s">
        <v>1</v>
      </c>
      <c r="K25" s="601" t="s">
        <v>2</v>
      </c>
      <c r="L25" s="601" t="s">
        <v>3</v>
      </c>
      <c r="M25" s="528" t="s">
        <v>174</v>
      </c>
      <c r="N25" s="170"/>
      <c r="O25" s="170"/>
      <c r="P25" s="170"/>
      <c r="Q25" s="182"/>
      <c r="R25" s="186"/>
      <c r="S25" s="186"/>
      <c r="T25" s="186"/>
      <c r="U25" s="186"/>
      <c r="V25" s="186"/>
      <c r="W25" s="186"/>
      <c r="X25" s="186"/>
      <c r="Y25" s="186"/>
      <c r="Z25" s="186"/>
      <c r="AA25" s="186"/>
      <c r="AB25" s="186"/>
      <c r="AC25" s="186"/>
      <c r="AD25" s="186"/>
      <c r="AE25" s="186"/>
      <c r="AF25" s="186"/>
      <c r="AG25" s="186"/>
      <c r="AH25" s="186"/>
      <c r="AI25" s="186"/>
      <c r="AJ25" s="186"/>
      <c r="AK25" s="186"/>
      <c r="AL25" s="186"/>
      <c r="AM25" s="186"/>
      <c r="AN25" s="186"/>
      <c r="AO25" s="186"/>
      <c r="AP25" s="186"/>
      <c r="AQ25" s="186"/>
      <c r="AR25" s="186"/>
      <c r="AS25" s="186"/>
      <c r="AT25" s="186"/>
      <c r="AU25" s="186"/>
      <c r="AV25" s="186"/>
      <c r="AW25" s="186"/>
      <c r="AX25" s="186"/>
      <c r="AY25" s="186"/>
      <c r="AZ25" s="186"/>
      <c r="BA25" s="186"/>
      <c r="BB25" s="186"/>
      <c r="BC25" s="186"/>
      <c r="BD25" s="186"/>
      <c r="BE25" s="186"/>
      <c r="BF25" s="186"/>
      <c r="BG25" s="186"/>
    </row>
    <row r="26" spans="1:59" ht="19" customHeight="1">
      <c r="A26" s="43"/>
      <c r="B26" s="540" t="s">
        <v>46</v>
      </c>
      <c r="C26" s="2180" t="s">
        <v>47</v>
      </c>
      <c r="D26" s="2181"/>
      <c r="E26" s="602"/>
      <c r="F26" s="602"/>
      <c r="G26" s="561"/>
      <c r="H26" s="561"/>
      <c r="I26" s="561"/>
      <c r="J26" s="48"/>
      <c r="K26" s="48"/>
      <c r="L26" s="48"/>
      <c r="M26" s="552"/>
      <c r="O26" s="169"/>
      <c r="P26" s="169"/>
    </row>
    <row r="27" spans="1:59" ht="19" customHeight="1">
      <c r="A27" s="43"/>
      <c r="B27" s="540" t="s">
        <v>48</v>
      </c>
      <c r="C27" s="542" t="s">
        <v>5</v>
      </c>
      <c r="D27" s="543"/>
      <c r="E27" s="543"/>
      <c r="F27" s="543"/>
      <c r="G27" s="562"/>
      <c r="H27" s="562"/>
      <c r="I27" s="563"/>
      <c r="J27" s="550" t="str">
        <f>IFERROR(VLOOKUP(CONCATENATE($D$8,"_",$D$10),Data!$H$16:$BN$1015,6,FALSE),"")</f>
        <v/>
      </c>
      <c r="K27" s="550" t="str">
        <f>IFERROR(VLOOKUP(CONCATENATE($D$8,"_",$D$10),Data!$H$16:$BN$1015,7,FALSE),"")</f>
        <v/>
      </c>
      <c r="L27" s="551" t="str">
        <f>IFERROR(VLOOKUP(CONCATENATE($D$8,"_",$D$10),Data!$H$16:$BN$1015,8,FALSE),"")</f>
        <v/>
      </c>
      <c r="M27" s="549">
        <f t="shared" ref="M27:M33" si="0">SUM(J27:L27)</f>
        <v>0</v>
      </c>
      <c r="O27" s="169"/>
      <c r="P27" s="169"/>
    </row>
    <row r="28" spans="1:59" ht="19" customHeight="1">
      <c r="A28" s="43"/>
      <c r="B28" s="529" t="s">
        <v>55</v>
      </c>
      <c r="C28" s="47" t="s">
        <v>56</v>
      </c>
      <c r="D28" s="173"/>
      <c r="E28" s="173"/>
      <c r="F28" s="173"/>
      <c r="G28" s="561"/>
      <c r="H28" s="561"/>
      <c r="I28" s="564"/>
      <c r="J28" s="550" t="str">
        <f>IFERROR(VLOOKUP(CONCATENATE($D$8,"_",$D$10),Data!$H$16:$BN$1015,9,FALSE),"")</f>
        <v/>
      </c>
      <c r="K28" s="550" t="str">
        <f>IFERROR(VLOOKUP(CONCATENATE($D$8,"_",$D$10),Data!$H$16:$BN$1015,10,FALSE),"")</f>
        <v/>
      </c>
      <c r="L28" s="551" t="str">
        <f>IFERROR(VLOOKUP(CONCATENATE($D$8,"_",$D$10),Data!$H$16:$BN$1015,11,FALSE),"")</f>
        <v/>
      </c>
      <c r="M28" s="532">
        <f t="shared" si="0"/>
        <v>0</v>
      </c>
      <c r="O28" s="169"/>
      <c r="P28" s="169"/>
    </row>
    <row r="29" spans="1:59" ht="19" customHeight="1">
      <c r="A29" s="43"/>
      <c r="B29" s="529" t="s">
        <v>60</v>
      </c>
      <c r="C29" s="47" t="s">
        <v>8</v>
      </c>
      <c r="D29" s="173"/>
      <c r="E29" s="173"/>
      <c r="F29" s="173"/>
      <c r="G29" s="561"/>
      <c r="H29" s="561"/>
      <c r="I29" s="564"/>
      <c r="J29" s="550" t="str">
        <f>IFERROR(VLOOKUP(CONCATENATE($D$8,"_",$D$10),Data!$H$16:$BN$1015,12,FALSE),"")</f>
        <v/>
      </c>
      <c r="K29" s="550" t="str">
        <f>IFERROR(VLOOKUP(CONCATENATE($D$8,"_",$D$10),Data!$H$16:$BN$1015,13,FALSE),"")</f>
        <v/>
      </c>
      <c r="L29" s="551" t="str">
        <f>IFERROR(VLOOKUP(CONCATENATE($D$8,"_",$D$10),Data!$H$16:$BN$1015,14,FALSE),"")</f>
        <v/>
      </c>
      <c r="M29" s="532">
        <f t="shared" si="0"/>
        <v>0</v>
      </c>
      <c r="O29" s="169"/>
      <c r="P29" s="169"/>
    </row>
    <row r="30" spans="1:59" ht="19" customHeight="1">
      <c r="A30" s="43"/>
      <c r="B30" s="529" t="s">
        <v>716</v>
      </c>
      <c r="C30" s="47" t="s">
        <v>9</v>
      </c>
      <c r="D30" s="173"/>
      <c r="E30" s="173"/>
      <c r="F30" s="173"/>
      <c r="G30" s="561"/>
      <c r="H30" s="561"/>
      <c r="I30" s="564"/>
      <c r="J30" s="550" t="str">
        <f>IFERROR(VLOOKUP(CONCATENATE($D$8,"_",$D$10),Data!$H$16:$BN$1015,15,FALSE),"")</f>
        <v/>
      </c>
      <c r="K30" s="550" t="str">
        <f>IFERROR(VLOOKUP(CONCATENATE($D$8,"_",$D$10),Data!$H$16:$BN$1015,16,FALSE),"")</f>
        <v/>
      </c>
      <c r="L30" s="551" t="str">
        <f>IFERROR(VLOOKUP(CONCATENATE($D$8,"_",$D$10),Data!$H$16:$BN$1015,17,FALSE),"")</f>
        <v/>
      </c>
      <c r="M30" s="532">
        <f t="shared" si="0"/>
        <v>0</v>
      </c>
      <c r="O30" s="169"/>
      <c r="P30" s="169"/>
    </row>
    <row r="31" spans="1:59" ht="19" customHeight="1">
      <c r="A31" s="43"/>
      <c r="B31" s="529" t="s">
        <v>71</v>
      </c>
      <c r="C31" s="47" t="s">
        <v>10</v>
      </c>
      <c r="D31" s="173"/>
      <c r="E31" s="173"/>
      <c r="F31" s="173"/>
      <c r="G31" s="561"/>
      <c r="H31" s="561"/>
      <c r="I31" s="564"/>
      <c r="J31" s="508" t="str">
        <f>IFERROR(VLOOKUP(CONCATENATE($D$8,"_",$D$10),Data!$H$16:$BN$1015,18,FALSE),"")</f>
        <v/>
      </c>
      <c r="K31" s="509"/>
      <c r="L31" s="509"/>
      <c r="M31" s="533"/>
      <c r="O31" s="169"/>
      <c r="P31" s="169"/>
    </row>
    <row r="32" spans="1:59" ht="19" customHeight="1">
      <c r="A32" s="43"/>
      <c r="B32" s="529" t="s">
        <v>73</v>
      </c>
      <c r="C32" s="47" t="s">
        <v>74</v>
      </c>
      <c r="D32" s="173"/>
      <c r="E32" s="173"/>
      <c r="F32" s="173"/>
      <c r="G32" s="561"/>
      <c r="H32" s="561"/>
      <c r="I32" s="564"/>
      <c r="J32" s="550" t="str">
        <f>IFERROR(VLOOKUP(CONCATENATE($D$8,"_",$D$10),Data!$H$16:$BN$1015,19,FALSE),"")</f>
        <v/>
      </c>
      <c r="K32" s="550" t="str">
        <f>IFERROR(VLOOKUP(CONCATENATE($D$8,"_",$D$10),Data!$H$16:$BN$1015,20,FALSE),"")</f>
        <v/>
      </c>
      <c r="L32" s="551" t="str">
        <f>IFERROR(VLOOKUP(CONCATENATE($D$8,"_",$D$10),Data!$H$16:$BN$1015,21,FALSE),"")</f>
        <v/>
      </c>
      <c r="M32" s="532">
        <f t="shared" si="0"/>
        <v>0</v>
      </c>
      <c r="O32" s="169"/>
      <c r="P32" s="169"/>
    </row>
    <row r="33" spans="1:59" ht="19" customHeight="1">
      <c r="A33" s="43"/>
      <c r="B33" s="529" t="s">
        <v>78</v>
      </c>
      <c r="C33" s="47" t="s">
        <v>12</v>
      </c>
      <c r="D33" s="173"/>
      <c r="E33" s="173"/>
      <c r="F33" s="173"/>
      <c r="G33" s="561"/>
      <c r="H33" s="561"/>
      <c r="I33" s="564"/>
      <c r="J33" s="550" t="str">
        <f>IFERROR(VLOOKUP(CONCATENATE($D$8,"_",$D$10),Data!$H$16:$BN$1015,22,FALSE),"")</f>
        <v/>
      </c>
      <c r="K33" s="550" t="str">
        <f>IFERROR(VLOOKUP(CONCATENATE($D$8,"_",$D$10),Data!$H$16:$BN$1015,23,FALSE),"")</f>
        <v/>
      </c>
      <c r="L33" s="551" t="str">
        <f>IFERROR(VLOOKUP(CONCATENATE($D$8,"_",$D$10),Data!$H$16:$BN$1015,24,FALSE),"")</f>
        <v/>
      </c>
      <c r="M33" s="532">
        <f t="shared" si="0"/>
        <v>0</v>
      </c>
      <c r="O33" s="169"/>
      <c r="P33" s="169"/>
    </row>
    <row r="34" spans="1:59" ht="19" customHeight="1">
      <c r="A34" s="43"/>
      <c r="B34" s="529" t="s">
        <v>82</v>
      </c>
      <c r="C34" s="47" t="s">
        <v>13</v>
      </c>
      <c r="D34" s="173"/>
      <c r="E34" s="173"/>
      <c r="F34" s="173"/>
      <c r="G34" s="561"/>
      <c r="H34" s="561"/>
      <c r="I34" s="564"/>
      <c r="J34" s="550" t="str">
        <f>IFERROR(VLOOKUP(CONCATENATE($D$8,"_",$D$10),Data!$H$16:$BN$1015,25,FALSE),"")</f>
        <v/>
      </c>
      <c r="K34" s="509"/>
      <c r="L34" s="509"/>
      <c r="M34" s="532">
        <f>SUM(J34:L34)</f>
        <v>0</v>
      </c>
      <c r="O34" s="169"/>
      <c r="P34" s="169"/>
    </row>
    <row r="35" spans="1:59" ht="19" customHeight="1">
      <c r="A35" s="43"/>
      <c r="B35" s="529" t="s">
        <v>85</v>
      </c>
      <c r="C35" s="555" t="s">
        <v>14</v>
      </c>
      <c r="D35" s="556"/>
      <c r="E35" s="556"/>
      <c r="F35" s="556"/>
      <c r="G35" s="565"/>
      <c r="H35" s="565"/>
      <c r="I35" s="566"/>
      <c r="J35" s="550" t="str">
        <f>IFERROR(VLOOKUP(CONCATENATE($D$8,"_",$D$10),Data!$H$16:$BN$1015,26,FALSE),"")</f>
        <v/>
      </c>
      <c r="K35" s="509"/>
      <c r="L35" s="509"/>
      <c r="M35" s="532">
        <f>SUM(J35:L35)</f>
        <v>0</v>
      </c>
      <c r="O35" s="169"/>
      <c r="P35" s="169"/>
    </row>
    <row r="36" spans="1:59" ht="19" customHeight="1">
      <c r="A36" s="43"/>
      <c r="B36" s="553" t="s">
        <v>683</v>
      </c>
      <c r="C36" s="2178" t="s">
        <v>719</v>
      </c>
      <c r="D36" s="2179"/>
      <c r="E36" s="2179"/>
      <c r="F36" s="2179"/>
      <c r="G36" s="557"/>
      <c r="H36" s="557"/>
      <c r="I36" s="558"/>
      <c r="J36" s="554">
        <f>SUM(J27:J30)+SUM(J32:J35)</f>
        <v>0</v>
      </c>
      <c r="K36" s="541">
        <f>SUM(K27:K35)</f>
        <v>0</v>
      </c>
      <c r="L36" s="541">
        <f>SUM(L27:L35)</f>
        <v>0</v>
      </c>
      <c r="M36" s="541">
        <f>SUM(M27:M30)+SUM(M32:M35)</f>
        <v>0</v>
      </c>
      <c r="O36" s="169"/>
      <c r="P36" s="169"/>
    </row>
    <row r="37" spans="1:59" ht="19" customHeight="1">
      <c r="A37" s="43"/>
      <c r="B37" s="540" t="s">
        <v>87</v>
      </c>
      <c r="C37" s="2203" t="s">
        <v>15</v>
      </c>
      <c r="D37" s="2204"/>
      <c r="E37" s="603"/>
      <c r="F37" s="603"/>
      <c r="G37" s="562"/>
      <c r="H37" s="562"/>
      <c r="I37" s="562"/>
      <c r="J37" s="165"/>
      <c r="K37" s="165"/>
      <c r="L37" s="165"/>
      <c r="M37" s="547"/>
      <c r="O37" s="169"/>
      <c r="P37" s="169"/>
      <c r="BD37" s="183"/>
      <c r="BE37" s="183"/>
      <c r="BF37" s="183"/>
      <c r="BG37" s="183"/>
    </row>
    <row r="38" spans="1:59" ht="19" customHeight="1">
      <c r="A38" s="43"/>
      <c r="B38" s="529" t="s">
        <v>88</v>
      </c>
      <c r="C38" s="542" t="s">
        <v>89</v>
      </c>
      <c r="D38" s="543"/>
      <c r="E38" s="543"/>
      <c r="F38" s="543"/>
      <c r="G38" s="562"/>
      <c r="H38" s="562"/>
      <c r="I38" s="563"/>
      <c r="J38" s="548" t="str">
        <f>IFERROR(VLOOKUP(CONCATENATE($D$8,"_",$D$10),Data!$H$16:$BN$1015,27,FALSE),"")</f>
        <v/>
      </c>
      <c r="K38" s="548" t="str">
        <f>IFERROR(VLOOKUP(CONCATENATE($D$8,"_",$D$10),Data!$H$16:$BN$1015,28,FALSE),"")</f>
        <v/>
      </c>
      <c r="L38" s="544" t="str">
        <f>IFERROR(VLOOKUP(CONCATENATE($D$8,"_",$D$10),Data!$H$16:$BN$1015,29,FALSE),"")</f>
        <v/>
      </c>
      <c r="M38" s="549">
        <f>SUM(J38:L38)</f>
        <v>0</v>
      </c>
      <c r="O38" s="169"/>
      <c r="P38" s="169"/>
      <c r="BD38" s="183"/>
      <c r="BE38" s="183"/>
      <c r="BF38" s="183"/>
      <c r="BG38" s="183"/>
    </row>
    <row r="39" spans="1:59" ht="19" customHeight="1">
      <c r="A39" s="43"/>
      <c r="B39" s="529" t="s">
        <v>95</v>
      </c>
      <c r="C39" s="47" t="s">
        <v>17</v>
      </c>
      <c r="D39" s="173"/>
      <c r="E39" s="173"/>
      <c r="F39" s="173"/>
      <c r="G39" s="561"/>
      <c r="H39" s="561"/>
      <c r="I39" s="564"/>
      <c r="J39" s="548" t="str">
        <f>IFERROR(VLOOKUP(CONCATENATE($D$8,"_",$D$10),Data!$H$16:$BN$1015,30,FALSE),"")</f>
        <v/>
      </c>
      <c r="K39" s="548" t="str">
        <f>IFERROR(VLOOKUP(CONCATENATE($D$8,"_",$D$10),Data!$H$16:$BN$1015,31,FALSE),"")</f>
        <v/>
      </c>
      <c r="L39" s="535" t="str">
        <f>IFERROR(VLOOKUP(CONCATENATE($D$8,"_",$D$10),Data!$H$16:$BN$1015,32,FALSE),"")</f>
        <v/>
      </c>
      <c r="M39" s="532">
        <f>SUM(J39:L39)</f>
        <v>0</v>
      </c>
      <c r="O39" s="169"/>
      <c r="P39" s="169"/>
      <c r="BD39" s="183"/>
      <c r="BE39" s="183"/>
      <c r="BF39" s="183"/>
      <c r="BG39" s="183"/>
    </row>
    <row r="40" spans="1:59" ht="19" customHeight="1">
      <c r="A40" s="43"/>
      <c r="B40" s="529" t="s">
        <v>101</v>
      </c>
      <c r="C40" s="47" t="s">
        <v>18</v>
      </c>
      <c r="D40" s="173"/>
      <c r="E40" s="173"/>
      <c r="F40" s="173"/>
      <c r="G40" s="561"/>
      <c r="H40" s="561"/>
      <c r="I40" s="564"/>
      <c r="J40" s="530" t="str">
        <f>IFERROR(VLOOKUP(CONCATENATE($D$8,"_",$D$10),Data!$H$16:$BN$1015,33,FALSE),"")</f>
        <v/>
      </c>
      <c r="K40" s="530" t="str">
        <f>IFERROR(VLOOKUP(CONCATENATE($D$8,"_",$D$10),Data!$H$16:$BN$1015,34,FALSE),"")</f>
        <v/>
      </c>
      <c r="L40" s="535" t="str">
        <f>IFERROR(VLOOKUP(CONCATENATE($D$8,"_",$D$10),Data!$H$16:$BN$1015,35,FALSE),"")</f>
        <v/>
      </c>
      <c r="M40" s="532">
        <f>SUM(J40:L40)</f>
        <v>0</v>
      </c>
      <c r="O40" s="169"/>
      <c r="P40" s="169"/>
      <c r="BD40" s="183"/>
      <c r="BE40" s="183"/>
      <c r="BF40" s="183"/>
      <c r="BG40" s="183"/>
    </row>
    <row r="41" spans="1:59" ht="19" customHeight="1">
      <c r="A41" s="43"/>
      <c r="B41" s="529" t="s">
        <v>107</v>
      </c>
      <c r="C41" s="47" t="s">
        <v>19</v>
      </c>
      <c r="D41" s="173"/>
      <c r="E41" s="173"/>
      <c r="F41" s="173"/>
      <c r="G41" s="561"/>
      <c r="H41" s="561"/>
      <c r="I41" s="564"/>
      <c r="J41" s="530" t="str">
        <f>IFERROR(VLOOKUP(CONCATENATE($D$8,"_",$D$10),Data!$H$16:$BN$1015,36,FALSE),"")</f>
        <v/>
      </c>
      <c r="K41" s="530" t="str">
        <f>IFERROR(VLOOKUP(CONCATENATE($D$8,"_",$D$10),Data!$H$16:$BN$1015,37,FALSE),"")</f>
        <v/>
      </c>
      <c r="L41" s="535" t="str">
        <f>IFERROR(VLOOKUP(CONCATENATE($D$8,"_",$D$10),Data!$H$16:$BN$1015,38,FALSE),"")</f>
        <v/>
      </c>
      <c r="M41" s="532">
        <f>SUM(J41:L41)</f>
        <v>0</v>
      </c>
      <c r="O41" s="169"/>
      <c r="P41" s="169"/>
      <c r="BD41" s="183"/>
      <c r="BE41" s="183"/>
      <c r="BF41" s="183"/>
      <c r="BG41" s="183"/>
    </row>
    <row r="42" spans="1:59" ht="19" customHeight="1">
      <c r="A42" s="43"/>
      <c r="B42" s="529" t="s">
        <v>113</v>
      </c>
      <c r="C42" s="47" t="s">
        <v>114</v>
      </c>
      <c r="D42" s="173"/>
      <c r="E42" s="173"/>
      <c r="F42" s="173"/>
      <c r="G42" s="561"/>
      <c r="H42" s="561"/>
      <c r="I42" s="564"/>
      <c r="J42" s="530" t="str">
        <f>IFERROR(VLOOKUP(CONCATENATE($D$8,"_",$D$10),Data!$H$16:$BN$1015,39,FALSE),"")</f>
        <v/>
      </c>
      <c r="K42" s="530" t="str">
        <f>IFERROR(VLOOKUP(CONCATENATE($D$8,"_",$D$10),Data!$H$16:$BN$1015,40,FALSE),"")</f>
        <v/>
      </c>
      <c r="L42" s="535" t="str">
        <f>IFERROR(VLOOKUP(CONCATENATE($D$8,"_",$D$10),Data!$H$16:$BN$1015,41,FALSE),"")</f>
        <v/>
      </c>
      <c r="M42" s="532">
        <f>SUM(J42:L42)</f>
        <v>0</v>
      </c>
      <c r="O42" s="169"/>
      <c r="P42" s="169"/>
      <c r="BD42" s="183"/>
      <c r="BE42" s="183"/>
      <c r="BF42" s="183"/>
      <c r="BG42" s="183"/>
    </row>
    <row r="43" spans="1:59" ht="19" customHeight="1">
      <c r="A43" s="43"/>
      <c r="B43" s="534" t="s">
        <v>683</v>
      </c>
      <c r="C43" s="2201" t="s">
        <v>719</v>
      </c>
      <c r="D43" s="2202"/>
      <c r="E43" s="2202"/>
      <c r="F43" s="2202"/>
      <c r="G43" s="559"/>
      <c r="H43" s="559"/>
      <c r="I43" s="560"/>
      <c r="J43" s="541">
        <f>SUM(J38:J42)</f>
        <v>0</v>
      </c>
      <c r="K43" s="541">
        <f>SUM(K38:K42)</f>
        <v>0</v>
      </c>
      <c r="L43" s="541">
        <f>SUM(L38:L42)</f>
        <v>0</v>
      </c>
      <c r="M43" s="541">
        <f>SUM(M38:M42)</f>
        <v>0</v>
      </c>
      <c r="O43" s="169"/>
      <c r="P43" s="169"/>
      <c r="BD43" s="183"/>
      <c r="BE43" s="183"/>
      <c r="BF43" s="183"/>
      <c r="BG43" s="183"/>
    </row>
    <row r="44" spans="1:59" ht="19" customHeight="1">
      <c r="A44" s="43"/>
      <c r="B44" s="540" t="s">
        <v>119</v>
      </c>
      <c r="C44" s="2180" t="s">
        <v>120</v>
      </c>
      <c r="D44" s="2181"/>
      <c r="E44" s="602"/>
      <c r="F44" s="602"/>
      <c r="G44" s="561"/>
      <c r="H44" s="561"/>
      <c r="I44" s="561"/>
      <c r="J44" s="165"/>
      <c r="K44" s="165"/>
      <c r="L44" s="165"/>
      <c r="M44" s="547"/>
      <c r="O44" s="169"/>
      <c r="P44" s="169"/>
      <c r="BD44" s="183"/>
      <c r="BE44" s="183"/>
      <c r="BF44" s="183"/>
      <c r="BG44" s="183"/>
    </row>
    <row r="45" spans="1:59" ht="19" customHeight="1">
      <c r="A45" s="43"/>
      <c r="B45" s="529" t="s">
        <v>712</v>
      </c>
      <c r="C45" s="542" t="s">
        <v>22</v>
      </c>
      <c r="D45" s="543"/>
      <c r="E45" s="543"/>
      <c r="F45" s="543"/>
      <c r="G45" s="562"/>
      <c r="H45" s="562"/>
      <c r="I45" s="563"/>
      <c r="J45" s="548" t="str">
        <f>IFERROR(VLOOKUP(CONCATENATE($D$8,"_",$D$10),Data!$H$16:$BN$1015,42,FALSE),"")</f>
        <v/>
      </c>
      <c r="K45" s="545"/>
      <c r="L45" s="548" t="str">
        <f>IFERROR(VLOOKUP(CONCATENATE($D$8,"_",$D$10),Data!$H$16:$BN$1015,43,FALSE),"")</f>
        <v/>
      </c>
      <c r="M45" s="549">
        <f>SUM(J45:L45)</f>
        <v>0</v>
      </c>
      <c r="O45" s="169"/>
      <c r="P45" s="169"/>
      <c r="BD45" s="183"/>
      <c r="BE45" s="183"/>
      <c r="BF45" s="183"/>
      <c r="BG45" s="183"/>
    </row>
    <row r="46" spans="1:59" ht="19" customHeight="1">
      <c r="A46" s="43"/>
      <c r="B46" s="529" t="s">
        <v>713</v>
      </c>
      <c r="C46" s="47" t="s">
        <v>24</v>
      </c>
      <c r="D46" s="173"/>
      <c r="E46" s="173"/>
      <c r="F46" s="173"/>
      <c r="G46" s="561"/>
      <c r="H46" s="561"/>
      <c r="I46" s="564"/>
      <c r="J46" s="548" t="str">
        <f>IFERROR(VLOOKUP(CONCATENATE($D$8,"_",$D$10),Data!$H$16:$BN$1015,45,FALSE),"")</f>
        <v/>
      </c>
      <c r="K46" s="509"/>
      <c r="L46" s="548" t="str">
        <f>IFERROR(VLOOKUP(CONCATENATE($D$8,"_",$D$10),Data!$H$16:$BN$1015,46,FALSE),"")</f>
        <v/>
      </c>
      <c r="M46" s="532">
        <f>SUM(J46:L46)</f>
        <v>0</v>
      </c>
      <c r="O46" s="169"/>
      <c r="P46" s="169"/>
      <c r="BD46" s="183"/>
      <c r="BE46" s="183"/>
      <c r="BF46" s="183"/>
      <c r="BG46" s="183"/>
    </row>
    <row r="47" spans="1:59" ht="19" customHeight="1">
      <c r="A47" s="43"/>
      <c r="B47" s="529" t="s">
        <v>714</v>
      </c>
      <c r="C47" s="47" t="s">
        <v>26</v>
      </c>
      <c r="D47" s="173"/>
      <c r="E47" s="173"/>
      <c r="F47" s="173"/>
      <c r="G47" s="561"/>
      <c r="H47" s="561"/>
      <c r="I47" s="564"/>
      <c r="J47" s="548" t="str">
        <f>IFERROR(VLOOKUP(CONCATENATE($D$8,"_",$D$10),Data!$H$16:$BN$1015,48,FALSE),"")</f>
        <v/>
      </c>
      <c r="K47" s="509"/>
      <c r="L47" s="548" t="str">
        <f>IFERROR(VLOOKUP(CONCATENATE($D$8,"_",$D$10),Data!$H$16:$BN$1015,49,FALSE),"")</f>
        <v/>
      </c>
      <c r="M47" s="532">
        <f>SUM(J47:L47)</f>
        <v>0</v>
      </c>
      <c r="O47" s="169"/>
      <c r="P47" s="169"/>
      <c r="BD47" s="183"/>
      <c r="BE47" s="183"/>
      <c r="BF47" s="183"/>
      <c r="BG47" s="183"/>
    </row>
    <row r="48" spans="1:59" ht="19" customHeight="1">
      <c r="A48" s="43"/>
      <c r="B48" s="529" t="s">
        <v>715</v>
      </c>
      <c r="C48" s="47" t="s">
        <v>28</v>
      </c>
      <c r="D48" s="173"/>
      <c r="E48" s="173"/>
      <c r="F48" s="173"/>
      <c r="G48" s="561"/>
      <c r="H48" s="561"/>
      <c r="I48" s="564"/>
      <c r="J48" s="548" t="str">
        <f>IFERROR(VLOOKUP(CONCATENATE($D$8,"_",$D$10),Data!$H$16:$BN$1015,51,FALSE),"")</f>
        <v/>
      </c>
      <c r="K48" s="509"/>
      <c r="L48" s="548" t="str">
        <f>IFERROR(VLOOKUP(CONCATENATE($D$8,"_",$D$10),Data!$H$16:$BN$1015,52,FALSE),"")</f>
        <v/>
      </c>
      <c r="M48" s="532">
        <f>SUM(J48:L48)</f>
        <v>0</v>
      </c>
      <c r="O48" s="169"/>
      <c r="P48" s="169"/>
      <c r="BD48" s="183"/>
      <c r="BE48" s="183"/>
      <c r="BF48" s="183"/>
      <c r="BG48" s="183"/>
    </row>
    <row r="49" spans="1:59" ht="19" customHeight="1">
      <c r="A49" s="43"/>
      <c r="B49" s="529" t="s">
        <v>126</v>
      </c>
      <c r="C49" s="47" t="s">
        <v>23</v>
      </c>
      <c r="D49" s="173"/>
      <c r="E49" s="173"/>
      <c r="F49" s="173"/>
      <c r="G49" s="561"/>
      <c r="H49" s="561"/>
      <c r="I49" s="564"/>
      <c r="J49" s="548" t="str">
        <f>IFERROR(VLOOKUP(CONCATENATE($D$8,"_",$D$10),Data!$H$16:$BN$1015,44,FALSE),"")</f>
        <v/>
      </c>
      <c r="K49" s="509"/>
      <c r="L49" s="509"/>
      <c r="M49" s="533"/>
      <c r="O49" s="169"/>
      <c r="P49" s="169"/>
      <c r="BD49" s="183"/>
      <c r="BE49" s="183"/>
      <c r="BF49" s="183"/>
      <c r="BG49" s="183"/>
    </row>
    <row r="50" spans="1:59" ht="19" customHeight="1">
      <c r="A50" s="43"/>
      <c r="B50" s="529" t="s">
        <v>132</v>
      </c>
      <c r="C50" s="47" t="s">
        <v>25</v>
      </c>
      <c r="D50" s="173"/>
      <c r="E50" s="173"/>
      <c r="F50" s="173"/>
      <c r="G50" s="561"/>
      <c r="H50" s="561"/>
      <c r="I50" s="564"/>
      <c r="J50" s="548" t="str">
        <f>IFERROR(VLOOKUP(CONCATENATE($D$8,"_",$D$10),Data!$H$16:$BN$1015,47,FALSE),"")</f>
        <v/>
      </c>
      <c r="K50" s="509"/>
      <c r="L50" s="509"/>
      <c r="M50" s="533"/>
      <c r="O50" s="169"/>
      <c r="P50" s="169"/>
      <c r="BD50" s="183"/>
      <c r="BE50" s="183"/>
      <c r="BF50" s="183"/>
      <c r="BG50" s="183"/>
    </row>
    <row r="51" spans="1:59" ht="19" customHeight="1">
      <c r="A51" s="43"/>
      <c r="B51" s="529" t="s">
        <v>139</v>
      </c>
      <c r="C51" s="47" t="s">
        <v>27</v>
      </c>
      <c r="D51" s="173"/>
      <c r="E51" s="173"/>
      <c r="F51" s="173"/>
      <c r="G51" s="561"/>
      <c r="H51" s="561"/>
      <c r="I51" s="564"/>
      <c r="J51" s="548" t="str">
        <f>IFERROR(VLOOKUP(CONCATENATE($D$8,"_",$D$10),Data!$H$16:$BN$1015,50,FALSE),"")</f>
        <v/>
      </c>
      <c r="K51" s="509"/>
      <c r="L51" s="509"/>
      <c r="M51" s="533"/>
      <c r="O51" s="169"/>
      <c r="P51" s="169"/>
      <c r="BD51" s="183"/>
      <c r="BE51" s="183"/>
      <c r="BF51" s="183"/>
      <c r="BG51" s="183"/>
    </row>
    <row r="52" spans="1:59" ht="19" customHeight="1">
      <c r="A52" s="43"/>
      <c r="B52" s="529" t="s">
        <v>146</v>
      </c>
      <c r="C52" s="47" t="s">
        <v>29</v>
      </c>
      <c r="D52" s="173"/>
      <c r="E52" s="173"/>
      <c r="F52" s="173"/>
      <c r="G52" s="561"/>
      <c r="H52" s="561"/>
      <c r="I52" s="564"/>
      <c r="J52" s="548" t="str">
        <f>IFERROR(VLOOKUP(CONCATENATE($D$8,"_",$D$10),Data!$H$16:$BN$1015,53,FALSE),"")</f>
        <v/>
      </c>
      <c r="K52" s="509"/>
      <c r="L52" s="509"/>
      <c r="M52" s="533"/>
      <c r="O52" s="169"/>
      <c r="P52" s="169"/>
      <c r="BD52" s="183"/>
      <c r="BE52" s="183"/>
      <c r="BF52" s="183"/>
      <c r="BG52" s="183"/>
    </row>
    <row r="53" spans="1:59" ht="19" customHeight="1">
      <c r="A53" s="43"/>
      <c r="B53" s="534" t="s">
        <v>683</v>
      </c>
      <c r="C53" s="2201" t="s">
        <v>719</v>
      </c>
      <c r="D53" s="2202"/>
      <c r="E53" s="2202"/>
      <c r="F53" s="2202"/>
      <c r="G53" s="559"/>
      <c r="H53" s="559"/>
      <c r="I53" s="560"/>
      <c r="J53" s="541">
        <f>SUM(J45:J48)</f>
        <v>0</v>
      </c>
      <c r="K53" s="541"/>
      <c r="L53" s="541">
        <f>SUM(L45:L48)</f>
        <v>0</v>
      </c>
      <c r="M53" s="541">
        <f>SUM(M45:M48)</f>
        <v>0</v>
      </c>
      <c r="O53" s="169"/>
      <c r="P53" s="169"/>
    </row>
    <row r="54" spans="1:59" ht="19" customHeight="1">
      <c r="A54" s="43"/>
      <c r="B54" s="540" t="s">
        <v>148</v>
      </c>
      <c r="C54" s="2180" t="s">
        <v>681</v>
      </c>
      <c r="D54" s="2181"/>
      <c r="E54" s="602"/>
      <c r="F54" s="602"/>
      <c r="G54" s="561"/>
      <c r="H54" s="561"/>
      <c r="I54" s="561"/>
      <c r="J54" s="165"/>
      <c r="K54" s="165"/>
      <c r="L54" s="165"/>
      <c r="M54" s="547"/>
      <c r="O54" s="169"/>
      <c r="P54" s="169"/>
    </row>
    <row r="55" spans="1:59" ht="19" customHeight="1" collapsed="1">
      <c r="A55" s="43"/>
      <c r="B55" s="536" t="s">
        <v>150</v>
      </c>
      <c r="C55" s="542" t="s">
        <v>151</v>
      </c>
      <c r="D55" s="543"/>
      <c r="E55" s="543"/>
      <c r="F55" s="543"/>
      <c r="G55" s="562"/>
      <c r="H55" s="562"/>
      <c r="I55" s="563"/>
      <c r="J55" s="551" t="str">
        <f>IFERROR(VLOOKUP(CONCATENATE($D$8,"_",$D$10),Data!$H$16:$BN$1015,54,FALSE),"")</f>
        <v/>
      </c>
      <c r="K55" s="545"/>
      <c r="L55" s="545"/>
      <c r="M55" s="546">
        <f>SUM(J55:L55)</f>
        <v>0</v>
      </c>
      <c r="O55" s="169"/>
      <c r="P55" s="169"/>
    </row>
    <row r="56" spans="1:59" ht="19" customHeight="1" collapsed="1">
      <c r="A56" s="43"/>
      <c r="B56" s="536" t="s">
        <v>152</v>
      </c>
      <c r="C56" s="47" t="s">
        <v>153</v>
      </c>
      <c r="D56" s="173"/>
      <c r="E56" s="173"/>
      <c r="F56" s="173"/>
      <c r="G56" s="561"/>
      <c r="H56" s="561"/>
      <c r="I56" s="564"/>
      <c r="J56" s="551" t="str">
        <f>IFERROR(VLOOKUP(CONCATENATE($D$8,"_",$D$10),Data!$H$16:$BN$1015,55,FALSE),"")</f>
        <v/>
      </c>
      <c r="K56" s="509"/>
      <c r="L56" s="509"/>
      <c r="M56" s="537">
        <f>SUM(J56:L56)</f>
        <v>0</v>
      </c>
      <c r="O56" s="169"/>
      <c r="P56" s="169"/>
    </row>
    <row r="57" spans="1:59" ht="19" customHeight="1">
      <c r="A57" s="43"/>
      <c r="B57" s="534" t="s">
        <v>683</v>
      </c>
      <c r="C57" s="2201" t="s">
        <v>719</v>
      </c>
      <c r="D57" s="2202"/>
      <c r="E57" s="2202"/>
      <c r="F57" s="2202"/>
      <c r="G57" s="559"/>
      <c r="H57" s="559"/>
      <c r="I57" s="560"/>
      <c r="J57" s="541">
        <f>SUM(J55:J56)</f>
        <v>0</v>
      </c>
      <c r="K57" s="567"/>
      <c r="L57" s="567"/>
      <c r="M57" s="541">
        <f>SUM(M55:M56)</f>
        <v>0</v>
      </c>
      <c r="O57" s="169"/>
      <c r="P57" s="169"/>
    </row>
    <row r="58" spans="1:59" ht="19" customHeight="1">
      <c r="A58" s="43"/>
      <c r="B58" s="569" t="s">
        <v>154</v>
      </c>
      <c r="C58" s="2180" t="s">
        <v>682</v>
      </c>
      <c r="D58" s="2181"/>
      <c r="E58" s="602"/>
      <c r="F58" s="602"/>
      <c r="G58" s="561"/>
      <c r="H58" s="561"/>
      <c r="I58" s="561"/>
      <c r="J58" s="165"/>
      <c r="K58" s="165"/>
      <c r="L58" s="165"/>
      <c r="M58" s="547"/>
      <c r="O58" s="169"/>
      <c r="P58" s="169"/>
    </row>
    <row r="59" spans="1:59" ht="19" customHeight="1" collapsed="1">
      <c r="A59" s="43"/>
      <c r="B59" s="536" t="s">
        <v>156</v>
      </c>
      <c r="C59" s="542" t="s">
        <v>157</v>
      </c>
      <c r="D59" s="543"/>
      <c r="E59" s="543"/>
      <c r="F59" s="543"/>
      <c r="G59" s="562"/>
      <c r="H59" s="562"/>
      <c r="I59" s="563"/>
      <c r="J59" s="551" t="str">
        <f>IFERROR(VLOOKUP(CONCATENATE($D$8,"_",$D$10),Data!$H$16:$BN$1015,56,FALSE),"")</f>
        <v/>
      </c>
      <c r="K59" s="545"/>
      <c r="L59" s="545"/>
      <c r="M59" s="546">
        <f>SUM(J59:L59)</f>
        <v>0</v>
      </c>
      <c r="O59" s="169"/>
      <c r="P59" s="169"/>
    </row>
    <row r="60" spans="1:59" ht="19" customHeight="1" collapsed="1">
      <c r="A60" s="43"/>
      <c r="B60" s="536" t="s">
        <v>167</v>
      </c>
      <c r="C60" s="47" t="s">
        <v>158</v>
      </c>
      <c r="D60" s="173"/>
      <c r="E60" s="173"/>
      <c r="F60" s="173"/>
      <c r="G60" s="561"/>
      <c r="H60" s="561"/>
      <c r="I60" s="564"/>
      <c r="J60" s="551" t="str">
        <f>IFERROR(VLOOKUP(CONCATENATE($D$8,"_",$D$10),Data!$H$16:$BN$1015,57,FALSE),"")</f>
        <v/>
      </c>
      <c r="K60" s="509"/>
      <c r="L60" s="509"/>
      <c r="M60" s="537">
        <f>SUM(J60:L60)</f>
        <v>0</v>
      </c>
      <c r="O60" s="169"/>
      <c r="P60" s="169"/>
    </row>
    <row r="61" spans="1:59" ht="19" customHeight="1">
      <c r="A61" s="43"/>
      <c r="B61" s="536" t="s">
        <v>168</v>
      </c>
      <c r="C61" s="47" t="s">
        <v>159</v>
      </c>
      <c r="D61" s="173"/>
      <c r="E61" s="173"/>
      <c r="F61" s="173"/>
      <c r="G61" s="561"/>
      <c r="H61" s="561"/>
      <c r="I61" s="564"/>
      <c r="J61" s="551" t="str">
        <f>IFERROR(VLOOKUP(CONCATENATE($D$8,"_",$D$10),Data!$H$16:$BN$1015,58,FALSE),"")</f>
        <v/>
      </c>
      <c r="K61" s="509"/>
      <c r="L61" s="509"/>
      <c r="M61" s="537">
        <f>SUM(J61:L61)</f>
        <v>0</v>
      </c>
      <c r="O61" s="169"/>
      <c r="P61" s="169"/>
    </row>
    <row r="62" spans="1:59" ht="19" customHeight="1">
      <c r="A62" s="43"/>
      <c r="B62" s="534" t="s">
        <v>683</v>
      </c>
      <c r="C62" s="2201" t="s">
        <v>719</v>
      </c>
      <c r="D62" s="2202"/>
      <c r="E62" s="2202"/>
      <c r="F62" s="2202"/>
      <c r="G62" s="559"/>
      <c r="H62" s="559"/>
      <c r="I62" s="560"/>
      <c r="J62" s="541">
        <f>SUM(J59:J61)</f>
        <v>0</v>
      </c>
      <c r="K62" s="567"/>
      <c r="L62" s="567"/>
      <c r="M62" s="541">
        <f>SUM(M59:M61)</f>
        <v>0</v>
      </c>
      <c r="O62" s="169"/>
      <c r="P62" s="169"/>
    </row>
    <row r="63" spans="1:59" ht="19" customHeight="1">
      <c r="A63" s="43"/>
      <c r="B63" s="540" t="s">
        <v>160</v>
      </c>
      <c r="C63" s="2180" t="s">
        <v>35</v>
      </c>
      <c r="D63" s="2181"/>
      <c r="E63" s="602"/>
      <c r="F63" s="602"/>
      <c r="G63" s="561"/>
      <c r="H63" s="561"/>
      <c r="I63" s="561"/>
      <c r="J63" s="165"/>
      <c r="K63" s="165"/>
      <c r="L63" s="165"/>
      <c r="M63" s="547"/>
      <c r="O63" s="169"/>
      <c r="P63" s="169"/>
    </row>
    <row r="64" spans="1:59" ht="19" customHeight="1">
      <c r="A64" s="43"/>
      <c r="B64" s="536" t="s">
        <v>161</v>
      </c>
      <c r="C64" s="542" t="s">
        <v>162</v>
      </c>
      <c r="D64" s="543"/>
      <c r="E64" s="543"/>
      <c r="F64" s="543"/>
      <c r="G64" s="562"/>
      <c r="H64" s="562"/>
      <c r="I64" s="563"/>
      <c r="J64" s="545"/>
      <c r="K64" s="545"/>
      <c r="L64" s="1458" t="str">
        <f>IFERROR(VLOOKUP(CONCATENATE($D$8,"_",$D$10),Data!$H$16:$BN$1015,59,FALSE),"")</f>
        <v/>
      </c>
      <c r="M64" s="546">
        <f>SUM(J64:L64)</f>
        <v>0</v>
      </c>
      <c r="O64" s="169"/>
      <c r="P64" s="169"/>
    </row>
    <row r="65" spans="1:59" s="188" customFormat="1" ht="31" customHeight="1">
      <c r="A65" s="177"/>
      <c r="B65" s="538" t="s">
        <v>684</v>
      </c>
      <c r="C65" s="2178" t="s">
        <v>719</v>
      </c>
      <c r="D65" s="2179"/>
      <c r="E65" s="2179"/>
      <c r="F65" s="2179"/>
      <c r="G65" s="557"/>
      <c r="H65" s="557"/>
      <c r="I65" s="558"/>
      <c r="J65" s="539">
        <f>J36+J43+J53+J57+J62+J64</f>
        <v>0</v>
      </c>
      <c r="K65" s="539">
        <f>K36+K43+K53+K57+K62+K64</f>
        <v>0</v>
      </c>
      <c r="L65" s="539">
        <f>L36+L43+L53+L57+L62+SUM(L64)</f>
        <v>0</v>
      </c>
      <c r="M65" s="539">
        <f>M36+M43+M53+M57+M62+M64</f>
        <v>0</v>
      </c>
      <c r="Q65" s="182"/>
      <c r="R65" s="189"/>
      <c r="S65" s="189"/>
      <c r="T65" s="189"/>
      <c r="U65" s="189"/>
      <c r="V65" s="189"/>
      <c r="W65" s="189"/>
      <c r="X65" s="189"/>
      <c r="Y65" s="189"/>
      <c r="Z65" s="189"/>
      <c r="AA65" s="189"/>
      <c r="AB65" s="189"/>
      <c r="AC65" s="189"/>
      <c r="AD65" s="189"/>
      <c r="AE65" s="189"/>
      <c r="AF65" s="189"/>
      <c r="AG65" s="189"/>
      <c r="AH65" s="189"/>
      <c r="AI65" s="189"/>
      <c r="AJ65" s="189"/>
      <c r="AK65" s="189"/>
      <c r="AL65" s="189"/>
      <c r="AM65" s="189"/>
      <c r="AN65" s="189"/>
      <c r="AO65" s="189"/>
      <c r="AP65" s="189"/>
      <c r="AQ65" s="189"/>
      <c r="AR65" s="189"/>
      <c r="AS65" s="189"/>
      <c r="AT65" s="189"/>
      <c r="AU65" s="189"/>
      <c r="AV65" s="189"/>
      <c r="AW65" s="189"/>
      <c r="AX65" s="189"/>
      <c r="AY65" s="189"/>
      <c r="AZ65" s="189"/>
      <c r="BA65" s="189"/>
      <c r="BB65" s="189"/>
      <c r="BC65" s="189"/>
      <c r="BD65" s="189"/>
      <c r="BE65" s="189"/>
      <c r="BF65" s="189"/>
      <c r="BG65" s="189"/>
    </row>
    <row r="66" spans="1:59" s="169" customFormat="1" ht="31" customHeight="1">
      <c r="A66" s="43"/>
      <c r="B66" s="170"/>
      <c r="Q66" s="182"/>
      <c r="R66" s="182"/>
      <c r="S66" s="182"/>
      <c r="T66" s="182"/>
      <c r="U66" s="182"/>
      <c r="V66" s="182"/>
      <c r="W66" s="182"/>
      <c r="X66" s="182"/>
      <c r="Y66" s="182"/>
      <c r="Z66" s="182"/>
      <c r="AA66" s="182"/>
      <c r="AB66" s="182"/>
      <c r="AC66" s="182"/>
      <c r="AD66" s="182"/>
      <c r="AE66" s="182"/>
      <c r="AF66" s="182"/>
      <c r="AG66" s="182"/>
      <c r="AH66" s="182"/>
      <c r="AI66" s="182"/>
      <c r="AJ66" s="182"/>
      <c r="AK66" s="182"/>
      <c r="AL66" s="182"/>
      <c r="AM66" s="182"/>
      <c r="AN66" s="182"/>
      <c r="AO66" s="182"/>
      <c r="AP66" s="182"/>
      <c r="AQ66" s="182"/>
      <c r="AR66" s="182"/>
      <c r="AS66" s="182"/>
      <c r="AT66" s="182"/>
      <c r="AU66" s="182"/>
      <c r="AV66" s="182"/>
      <c r="AW66" s="182"/>
      <c r="AX66" s="182"/>
      <c r="AY66" s="182"/>
      <c r="AZ66" s="182"/>
      <c r="BA66" s="182"/>
      <c r="BB66" s="182"/>
      <c r="BC66" s="182"/>
      <c r="BD66" s="182"/>
      <c r="BE66" s="182"/>
      <c r="BF66" s="182"/>
      <c r="BG66" s="182"/>
    </row>
    <row r="67" spans="1:59" customFormat="1" ht="31" hidden="1" customHeight="1"/>
    <row r="68" spans="1:59" customFormat="1" ht="30" hidden="1" customHeight="1"/>
    <row r="69" spans="1:59" customFormat="1" ht="20" hidden="1" customHeight="1"/>
    <row r="70" spans="1:59" customFormat="1" ht="20" hidden="1" customHeight="1"/>
    <row r="71" spans="1:59" customFormat="1" ht="20" hidden="1" customHeight="1"/>
    <row r="72" spans="1:59" customFormat="1" ht="20" hidden="1" customHeight="1"/>
    <row r="73" spans="1:59" customFormat="1" ht="20" hidden="1" customHeight="1"/>
    <row r="74" spans="1:59" customFormat="1" ht="20" hidden="1" customHeight="1"/>
    <row r="75" spans="1:59" customFormat="1" ht="20" hidden="1" customHeight="1"/>
    <row r="76" spans="1:59" customFormat="1" ht="20" hidden="1" customHeight="1"/>
    <row r="77" spans="1:59" customFormat="1" ht="20" hidden="1" customHeight="1"/>
    <row r="78" spans="1:59" customFormat="1" ht="20" hidden="1" customHeight="1"/>
    <row r="79" spans="1:59" customFormat="1" ht="20" hidden="1" customHeight="1"/>
    <row r="80" spans="1:59" customFormat="1" ht="20" hidden="1" customHeight="1"/>
    <row r="81" customFormat="1" ht="20" hidden="1" customHeight="1"/>
    <row r="82" customFormat="1" ht="20" hidden="1" customHeight="1"/>
    <row r="83" customFormat="1" ht="20" hidden="1" customHeight="1"/>
    <row r="84" customFormat="1" ht="20" hidden="1" customHeight="1"/>
    <row r="85" customFormat="1" ht="20" hidden="1" customHeight="1"/>
    <row r="86" customFormat="1" ht="20" hidden="1" customHeight="1"/>
    <row r="87" customFormat="1" ht="20" hidden="1" customHeight="1"/>
    <row r="88" customFormat="1" ht="20" hidden="1" customHeight="1"/>
    <row r="89" customFormat="1" ht="20" hidden="1" customHeight="1"/>
    <row r="90" customFormat="1" ht="20" hidden="1" customHeight="1"/>
    <row r="91" customFormat="1" ht="20" hidden="1" customHeight="1"/>
    <row r="92" customFormat="1" ht="20" hidden="1" customHeight="1"/>
    <row r="93" customFormat="1" ht="20" hidden="1" customHeight="1"/>
    <row r="94" customFormat="1" ht="20" hidden="1" customHeight="1"/>
    <row r="95" customFormat="1" ht="20" hidden="1" customHeight="1"/>
    <row r="96" customFormat="1" ht="20" hidden="1" customHeight="1"/>
    <row r="97" customFormat="1" ht="20" hidden="1" customHeight="1"/>
    <row r="98" customFormat="1" ht="20" hidden="1" customHeight="1"/>
    <row r="99" customFormat="1" ht="20" hidden="1" customHeight="1"/>
    <row r="100" customFormat="1" ht="20" hidden="1" customHeight="1"/>
    <row r="101" customFormat="1" ht="20" hidden="1" customHeight="1"/>
    <row r="102" customFormat="1" ht="20" hidden="1" customHeight="1"/>
    <row r="103" customFormat="1" ht="20" hidden="1" customHeight="1"/>
    <row r="104" customFormat="1" ht="20" hidden="1" customHeight="1"/>
    <row r="105" customFormat="1" ht="20" hidden="1" customHeight="1"/>
    <row r="106" customFormat="1" ht="20" hidden="1" customHeight="1"/>
    <row r="107" customFormat="1" ht="20" hidden="1" customHeight="1"/>
    <row r="108" customFormat="1" ht="20" hidden="1" customHeight="1"/>
    <row r="109" customFormat="1" ht="20" hidden="1" customHeight="1"/>
    <row r="110" customFormat="1" ht="20" hidden="1" customHeight="1"/>
    <row r="111" customFormat="1" ht="20" hidden="1" customHeight="1"/>
    <row r="112" customFormat="1" ht="20" hidden="1" customHeight="1"/>
    <row r="113" customFormat="1" ht="20" hidden="1" customHeight="1"/>
    <row r="114" customFormat="1" ht="20" hidden="1" customHeight="1"/>
    <row r="115" customFormat="1" ht="20" hidden="1" customHeight="1"/>
    <row r="116" customFormat="1" ht="20" hidden="1" customHeight="1"/>
    <row r="117" customFormat="1" ht="20" hidden="1" customHeight="1"/>
    <row r="118" customFormat="1" ht="20" hidden="1" customHeight="1"/>
    <row r="119" customFormat="1" ht="20" hidden="1" customHeight="1"/>
    <row r="120" customFormat="1" ht="20" hidden="1" customHeight="1"/>
    <row r="121" customFormat="1" ht="20" hidden="1" customHeight="1"/>
    <row r="122" customFormat="1" ht="20" hidden="1" customHeight="1"/>
    <row r="123" customFormat="1" ht="20" hidden="1" customHeight="1"/>
    <row r="124" customFormat="1" ht="20" hidden="1" customHeight="1"/>
    <row r="125" customFormat="1" ht="20" hidden="1" customHeight="1"/>
    <row r="126" customFormat="1" ht="20" hidden="1" customHeight="1"/>
    <row r="127" customFormat="1" ht="20" hidden="1" customHeight="1"/>
    <row r="128" customFormat="1" ht="20" hidden="1" customHeight="1"/>
    <row r="129" customFormat="1" hidden="1"/>
    <row r="130" customFormat="1" hidden="1"/>
    <row r="131" customFormat="1" hidden="1"/>
    <row r="132" customFormat="1" hidden="1"/>
    <row r="133" customFormat="1" hidden="1"/>
    <row r="134" customFormat="1" hidden="1"/>
    <row r="135" customFormat="1" hidden="1"/>
    <row r="136" customFormat="1" hidden="1"/>
    <row r="137" customFormat="1" hidden="1"/>
    <row r="138" customFormat="1" hidden="1"/>
    <row r="139" customFormat="1" hidden="1"/>
    <row r="140" customFormat="1" hidden="1"/>
    <row r="141" customFormat="1" hidden="1"/>
    <row r="142" customFormat="1" hidden="1"/>
    <row r="143" customFormat="1" hidden="1"/>
    <row r="144" customFormat="1" hidden="1"/>
    <row r="145" spans="2:2" customFormat="1" hidden="1"/>
    <row r="146" spans="2:2" customFormat="1" hidden="1"/>
    <row r="147" spans="2:2" customFormat="1" hidden="1"/>
    <row r="148" spans="2:2" customFormat="1" hidden="1"/>
    <row r="149" spans="2:2" customFormat="1" hidden="1"/>
    <row r="150" spans="2:2" customFormat="1" hidden="1"/>
    <row r="151" spans="2:2" customFormat="1" hidden="1"/>
    <row r="152" spans="2:2" customFormat="1" hidden="1"/>
    <row r="153" spans="2:2" customFormat="1" hidden="1"/>
    <row r="154" spans="2:2" customFormat="1" hidden="1"/>
    <row r="155" spans="2:2" customFormat="1" hidden="1"/>
    <row r="156" spans="2:2" customFormat="1" hidden="1"/>
    <row r="157" spans="2:2" s="182" customFormat="1" hidden="1">
      <c r="B157" s="186"/>
    </row>
    <row r="158" spans="2:2" s="182" customFormat="1" hidden="1">
      <c r="B158" s="186"/>
    </row>
    <row r="159" spans="2:2" s="182" customFormat="1" hidden="1">
      <c r="B159" s="186"/>
    </row>
    <row r="160" spans="2:2" s="182" customFormat="1" hidden="1">
      <c r="B160" s="186"/>
    </row>
    <row r="161" spans="2:2" s="182" customFormat="1" hidden="1">
      <c r="B161" s="186"/>
    </row>
    <row r="162" spans="2:2" s="182" customFormat="1" hidden="1">
      <c r="B162" s="186"/>
    </row>
    <row r="163" spans="2:2" s="182" customFormat="1" hidden="1">
      <c r="B163" s="186"/>
    </row>
    <row r="164" spans="2:2" s="182" customFormat="1" hidden="1">
      <c r="B164" s="186"/>
    </row>
    <row r="165" spans="2:2" s="182" customFormat="1" hidden="1">
      <c r="B165" s="186"/>
    </row>
    <row r="166" spans="2:2" s="182" customFormat="1" hidden="1">
      <c r="B166" s="186"/>
    </row>
    <row r="167" spans="2:2" s="182" customFormat="1" hidden="1">
      <c r="B167" s="186"/>
    </row>
    <row r="168" spans="2:2" s="182" customFormat="1" hidden="1">
      <c r="B168" s="186"/>
    </row>
    <row r="169" spans="2:2" s="182" customFormat="1" hidden="1">
      <c r="B169" s="186"/>
    </row>
    <row r="170" spans="2:2" s="182" customFormat="1" hidden="1">
      <c r="B170" s="186"/>
    </row>
    <row r="171" spans="2:2" s="182" customFormat="1" hidden="1">
      <c r="B171" s="186"/>
    </row>
    <row r="172" spans="2:2" s="182" customFormat="1" hidden="1">
      <c r="B172" s="186"/>
    </row>
    <row r="173" spans="2:2" s="182" customFormat="1" hidden="1">
      <c r="B173" s="186"/>
    </row>
    <row r="174" spans="2:2" s="182" customFormat="1" hidden="1">
      <c r="B174" s="186"/>
    </row>
    <row r="175" spans="2:2" s="182" customFormat="1" hidden="1">
      <c r="B175" s="186"/>
    </row>
    <row r="176" spans="2:2" s="182" customFormat="1" hidden="1">
      <c r="B176" s="186"/>
    </row>
    <row r="177" spans="2:2" s="182" customFormat="1" hidden="1">
      <c r="B177" s="186"/>
    </row>
    <row r="178" spans="2:2" s="182" customFormat="1" hidden="1">
      <c r="B178" s="186"/>
    </row>
    <row r="179" spans="2:2" s="182" customFormat="1" hidden="1">
      <c r="B179" s="186"/>
    </row>
    <row r="180" spans="2:2" s="182" customFormat="1" hidden="1">
      <c r="B180" s="186"/>
    </row>
    <row r="181" spans="2:2" s="182" customFormat="1" hidden="1">
      <c r="B181" s="186"/>
    </row>
    <row r="182" spans="2:2" s="182" customFormat="1" hidden="1">
      <c r="B182" s="186"/>
    </row>
    <row r="183" spans="2:2" s="182" customFormat="1" hidden="1">
      <c r="B183" s="186"/>
    </row>
    <row r="184" spans="2:2" s="182" customFormat="1" hidden="1">
      <c r="B184" s="186"/>
    </row>
    <row r="185" spans="2:2" s="182" customFormat="1" hidden="1">
      <c r="B185" s="186"/>
    </row>
    <row r="186" spans="2:2" s="182" customFormat="1" hidden="1">
      <c r="B186" s="186"/>
    </row>
    <row r="187" spans="2:2" s="182" customFormat="1" hidden="1">
      <c r="B187" s="186"/>
    </row>
    <row r="188" spans="2:2" s="182" customFormat="1" hidden="1">
      <c r="B188" s="186"/>
    </row>
    <row r="189" spans="2:2" s="182" customFormat="1" hidden="1">
      <c r="B189" s="186"/>
    </row>
    <row r="190" spans="2:2" s="182" customFormat="1" hidden="1">
      <c r="B190" s="186"/>
    </row>
    <row r="191" spans="2:2" s="182" customFormat="1" hidden="1">
      <c r="B191" s="186"/>
    </row>
    <row r="192" spans="2:2" s="182" customFormat="1" hidden="1">
      <c r="B192" s="186"/>
    </row>
    <row r="193" spans="1:59" s="182" customFormat="1" hidden="1">
      <c r="B193" s="186"/>
    </row>
    <row r="194" spans="1:59" s="182" customFormat="1" hidden="1">
      <c r="B194" s="186"/>
    </row>
    <row r="195" spans="1:59" s="182" customFormat="1" hidden="1">
      <c r="B195" s="186"/>
    </row>
    <row r="196" spans="1:59" s="182" customFormat="1" hidden="1">
      <c r="B196" s="186"/>
    </row>
    <row r="197" spans="1:59" s="182" customFormat="1" hidden="1">
      <c r="B197" s="186"/>
    </row>
    <row r="198" spans="1:59" s="182" customFormat="1" hidden="1">
      <c r="B198" s="186"/>
    </row>
    <row r="199" spans="1:59" s="182" customFormat="1" hidden="1">
      <c r="B199" s="186"/>
    </row>
    <row r="200" spans="1:59" hidden="1">
      <c r="A200" s="183"/>
      <c r="B200" s="170"/>
      <c r="C200" s="169"/>
      <c r="D200" s="169"/>
      <c r="E200" s="169"/>
      <c r="F200" s="169"/>
      <c r="G200" s="169"/>
      <c r="H200" s="169"/>
      <c r="I200" s="169"/>
      <c r="J200" s="169"/>
      <c r="K200" s="183"/>
      <c r="L200" s="183"/>
      <c r="M200" s="183"/>
      <c r="N200" s="183"/>
      <c r="O200" s="183"/>
      <c r="P200" s="183"/>
      <c r="Q200" s="183"/>
      <c r="R200" s="183"/>
      <c r="S200" s="183"/>
      <c r="T200" s="183"/>
      <c r="BD200" s="183"/>
      <c r="BE200" s="183"/>
      <c r="BF200" s="183"/>
      <c r="BG200" s="183"/>
    </row>
    <row r="201" spans="1:59" hidden="1">
      <c r="A201" s="183"/>
      <c r="B201" s="170"/>
      <c r="C201" s="169"/>
      <c r="D201" s="169"/>
      <c r="E201" s="169"/>
      <c r="F201" s="169"/>
      <c r="G201" s="169"/>
      <c r="H201" s="169"/>
      <c r="I201" s="169"/>
      <c r="J201" s="169"/>
      <c r="K201" s="183"/>
      <c r="L201" s="183"/>
      <c r="M201" s="183"/>
      <c r="N201" s="183"/>
      <c r="O201" s="183"/>
      <c r="P201" s="183"/>
      <c r="Q201" s="183"/>
      <c r="R201" s="183"/>
      <c r="S201" s="183"/>
      <c r="T201" s="183"/>
      <c r="BD201" s="183"/>
      <c r="BE201" s="183"/>
      <c r="BF201" s="183"/>
      <c r="BG201" s="183"/>
    </row>
    <row r="202" spans="1:59" hidden="1">
      <c r="A202" s="183"/>
      <c r="B202" s="170"/>
      <c r="C202" s="169"/>
      <c r="D202" s="169"/>
      <c r="E202" s="169"/>
      <c r="F202" s="169"/>
      <c r="G202" s="169"/>
      <c r="H202" s="169"/>
      <c r="I202" s="169"/>
      <c r="J202" s="169"/>
      <c r="K202" s="183"/>
      <c r="L202" s="183"/>
      <c r="M202" s="183"/>
      <c r="N202" s="183"/>
      <c r="O202" s="183"/>
      <c r="P202" s="183"/>
      <c r="Q202" s="183"/>
      <c r="R202" s="183"/>
      <c r="S202" s="183"/>
      <c r="T202" s="183"/>
      <c r="BD202" s="183"/>
      <c r="BE202" s="183"/>
      <c r="BF202" s="183"/>
      <c r="BG202" s="183"/>
    </row>
    <row r="203" spans="1:59" hidden="1">
      <c r="A203" s="183"/>
      <c r="B203" s="170"/>
      <c r="C203" s="169"/>
      <c r="D203" s="169"/>
      <c r="E203" s="169"/>
      <c r="F203" s="169"/>
      <c r="G203" s="169"/>
      <c r="H203" s="169"/>
      <c r="I203" s="169"/>
      <c r="J203" s="169"/>
      <c r="K203" s="183"/>
      <c r="L203" s="183"/>
      <c r="M203" s="183"/>
      <c r="N203" s="183"/>
      <c r="O203" s="183"/>
      <c r="P203" s="183"/>
      <c r="Q203" s="183"/>
      <c r="R203" s="183"/>
      <c r="S203" s="183"/>
      <c r="T203" s="183"/>
      <c r="BD203" s="183"/>
      <c r="BE203" s="183"/>
      <c r="BF203" s="183"/>
      <c r="BG203" s="183"/>
    </row>
    <row r="204" spans="1:59" hidden="1">
      <c r="A204" s="183"/>
      <c r="B204" s="170"/>
      <c r="C204" s="169"/>
      <c r="D204" s="169"/>
      <c r="E204" s="169"/>
      <c r="F204" s="169"/>
      <c r="G204" s="169"/>
      <c r="H204" s="169"/>
      <c r="I204" s="169"/>
      <c r="J204" s="169"/>
      <c r="K204" s="183"/>
      <c r="L204" s="183"/>
      <c r="M204" s="183"/>
      <c r="N204" s="183"/>
      <c r="O204" s="183"/>
      <c r="P204" s="183"/>
      <c r="Q204" s="183"/>
      <c r="R204" s="183"/>
      <c r="S204" s="183"/>
      <c r="T204" s="183"/>
      <c r="BD204" s="183"/>
      <c r="BE204" s="183"/>
      <c r="BF204" s="183"/>
      <c r="BG204" s="183"/>
    </row>
    <row r="205" spans="1:59" hidden="1">
      <c r="A205" s="183"/>
      <c r="B205" s="170"/>
      <c r="C205" s="169"/>
      <c r="D205" s="169"/>
      <c r="E205" s="169"/>
      <c r="F205" s="169"/>
      <c r="G205" s="169"/>
      <c r="H205" s="169"/>
      <c r="I205" s="169"/>
      <c r="J205" s="169"/>
      <c r="K205" s="183"/>
      <c r="L205" s="183"/>
      <c r="M205" s="183"/>
      <c r="N205" s="183"/>
      <c r="O205" s="183"/>
      <c r="P205" s="183"/>
      <c r="Q205" s="183"/>
      <c r="R205" s="183"/>
      <c r="S205" s="183"/>
      <c r="T205" s="183"/>
      <c r="BD205" s="183"/>
      <c r="BE205" s="183"/>
      <c r="BF205" s="183"/>
      <c r="BG205" s="183"/>
    </row>
    <row r="206" spans="1:59" hidden="1">
      <c r="A206" s="183"/>
      <c r="B206" s="170"/>
      <c r="C206" s="169"/>
      <c r="D206" s="169"/>
      <c r="E206" s="169"/>
      <c r="F206" s="169"/>
      <c r="G206" s="169"/>
      <c r="H206" s="169"/>
      <c r="I206" s="169"/>
      <c r="J206" s="169"/>
      <c r="K206" s="183"/>
      <c r="L206" s="183"/>
      <c r="M206" s="183"/>
      <c r="N206" s="183"/>
      <c r="O206" s="183"/>
      <c r="P206" s="183"/>
      <c r="Q206" s="183"/>
      <c r="R206" s="183"/>
      <c r="S206" s="183"/>
      <c r="T206" s="183"/>
      <c r="BD206" s="183"/>
      <c r="BE206" s="183"/>
      <c r="BF206" s="183"/>
      <c r="BG206" s="183"/>
    </row>
    <row r="207" spans="1:59" hidden="1">
      <c r="A207" s="183"/>
      <c r="B207" s="170"/>
      <c r="C207" s="169"/>
      <c r="D207" s="169"/>
      <c r="E207" s="169"/>
      <c r="F207" s="169"/>
      <c r="G207" s="169"/>
      <c r="H207" s="169"/>
      <c r="I207" s="169"/>
      <c r="J207" s="169"/>
      <c r="K207" s="183"/>
      <c r="L207" s="183"/>
      <c r="M207" s="183"/>
      <c r="N207" s="183"/>
      <c r="O207" s="183"/>
      <c r="P207" s="183"/>
      <c r="Q207" s="183"/>
      <c r="R207" s="183"/>
      <c r="S207" s="183"/>
      <c r="T207" s="183"/>
      <c r="BD207" s="183"/>
      <c r="BE207" s="183"/>
      <c r="BF207" s="183"/>
      <c r="BG207" s="183"/>
    </row>
    <row r="208" spans="1:59" hidden="1">
      <c r="A208" s="183"/>
      <c r="B208" s="170"/>
      <c r="C208" s="169"/>
      <c r="D208" s="169"/>
      <c r="E208" s="169"/>
      <c r="F208" s="169"/>
      <c r="G208" s="169"/>
      <c r="H208" s="169"/>
      <c r="I208" s="169"/>
      <c r="J208" s="169"/>
      <c r="K208" s="183"/>
      <c r="L208" s="183"/>
      <c r="M208" s="183"/>
      <c r="N208" s="183"/>
      <c r="O208" s="183"/>
      <c r="P208" s="183"/>
      <c r="Q208" s="183"/>
      <c r="R208" s="183"/>
      <c r="S208" s="183"/>
      <c r="T208" s="183"/>
      <c r="BD208" s="183"/>
      <c r="BE208" s="183"/>
      <c r="BF208" s="183"/>
      <c r="BG208" s="183"/>
    </row>
    <row r="209" spans="1:59" hidden="1">
      <c r="A209" s="183"/>
      <c r="B209" s="170"/>
      <c r="C209" s="169"/>
      <c r="D209" s="169"/>
      <c r="E209" s="169"/>
      <c r="F209" s="169"/>
      <c r="G209" s="169"/>
      <c r="H209" s="169"/>
      <c r="I209" s="169"/>
      <c r="J209" s="169"/>
      <c r="K209" s="183"/>
      <c r="L209" s="183"/>
      <c r="M209" s="183"/>
      <c r="N209" s="183"/>
      <c r="O209" s="183"/>
      <c r="P209" s="183"/>
      <c r="Q209" s="183"/>
      <c r="R209" s="183"/>
      <c r="S209" s="183"/>
      <c r="T209" s="183"/>
      <c r="BD209" s="183"/>
      <c r="BE209" s="183"/>
      <c r="BF209" s="183"/>
      <c r="BG209" s="183"/>
    </row>
    <row r="210" spans="1:59" hidden="1">
      <c r="A210" s="183"/>
      <c r="B210" s="170"/>
      <c r="C210" s="169"/>
      <c r="D210" s="169"/>
      <c r="E210" s="169"/>
      <c r="F210" s="169"/>
      <c r="G210" s="169"/>
      <c r="H210" s="169"/>
      <c r="I210" s="169"/>
      <c r="J210" s="169"/>
      <c r="K210" s="183"/>
      <c r="L210" s="183"/>
      <c r="M210" s="183"/>
      <c r="N210" s="183"/>
      <c r="O210" s="183"/>
      <c r="P210" s="183"/>
      <c r="Q210" s="183"/>
      <c r="R210" s="183"/>
      <c r="S210" s="183"/>
      <c r="T210" s="183"/>
      <c r="BD210" s="183"/>
      <c r="BE210" s="183"/>
      <c r="BF210" s="183"/>
      <c r="BG210" s="183"/>
    </row>
    <row r="211" spans="1:59" hidden="1">
      <c r="A211" s="183"/>
      <c r="B211" s="170"/>
      <c r="C211" s="169"/>
      <c r="D211" s="169"/>
      <c r="E211" s="169"/>
      <c r="F211" s="169"/>
      <c r="G211" s="169"/>
      <c r="H211" s="169"/>
      <c r="I211" s="169"/>
      <c r="J211" s="169"/>
      <c r="K211" s="183"/>
      <c r="L211" s="183"/>
      <c r="M211" s="183"/>
      <c r="N211" s="183"/>
      <c r="O211" s="183"/>
      <c r="P211" s="183"/>
      <c r="Q211" s="183"/>
      <c r="R211" s="183"/>
      <c r="S211" s="183"/>
      <c r="T211" s="183"/>
      <c r="BD211" s="183"/>
      <c r="BE211" s="183"/>
      <c r="BF211" s="183"/>
      <c r="BG211" s="183"/>
    </row>
    <row r="212" spans="1:59" hidden="1">
      <c r="A212" s="183"/>
      <c r="B212" s="170"/>
      <c r="C212" s="169"/>
      <c r="D212" s="169"/>
      <c r="E212" s="169"/>
      <c r="F212" s="169"/>
      <c r="G212" s="169"/>
      <c r="H212" s="169"/>
      <c r="I212" s="169"/>
      <c r="J212" s="169"/>
      <c r="K212" s="183"/>
      <c r="L212" s="183"/>
      <c r="M212" s="183"/>
      <c r="N212" s="183"/>
      <c r="O212" s="183"/>
      <c r="P212" s="183"/>
      <c r="Q212" s="183"/>
      <c r="R212" s="183"/>
      <c r="S212" s="183"/>
      <c r="T212" s="183"/>
      <c r="BD212" s="183"/>
      <c r="BE212" s="183"/>
      <c r="BF212" s="183"/>
      <c r="BG212" s="183"/>
    </row>
    <row r="213" spans="1:59" hidden="1">
      <c r="A213" s="183"/>
      <c r="B213" s="170"/>
      <c r="C213" s="169"/>
      <c r="D213" s="169"/>
      <c r="E213" s="169"/>
      <c r="F213" s="169"/>
      <c r="G213" s="169"/>
      <c r="H213" s="169"/>
      <c r="I213" s="169"/>
      <c r="J213" s="169"/>
      <c r="K213" s="183"/>
      <c r="L213" s="183"/>
      <c r="M213" s="183"/>
      <c r="N213" s="183"/>
      <c r="O213" s="183"/>
      <c r="P213" s="183"/>
      <c r="Q213" s="183"/>
      <c r="R213" s="183"/>
      <c r="S213" s="183"/>
      <c r="T213" s="183"/>
      <c r="BD213" s="183"/>
      <c r="BE213" s="183"/>
      <c r="BF213" s="183"/>
      <c r="BG213" s="183"/>
    </row>
    <row r="214" spans="1:59" hidden="1">
      <c r="A214" s="183"/>
      <c r="B214" s="170"/>
      <c r="C214" s="169"/>
      <c r="D214" s="169"/>
      <c r="E214" s="169"/>
      <c r="F214" s="169"/>
      <c r="G214" s="169"/>
      <c r="H214" s="169"/>
      <c r="I214" s="169"/>
      <c r="J214" s="169"/>
      <c r="K214" s="183"/>
      <c r="L214" s="183"/>
      <c r="M214" s="183"/>
      <c r="N214" s="183"/>
      <c r="O214" s="183"/>
      <c r="P214" s="183"/>
      <c r="Q214" s="183"/>
      <c r="R214" s="183"/>
      <c r="S214" s="183"/>
      <c r="T214" s="183"/>
      <c r="BD214" s="183"/>
      <c r="BE214" s="183"/>
      <c r="BF214" s="183"/>
      <c r="BG214" s="183"/>
    </row>
    <row r="215" spans="1:59" hidden="1">
      <c r="A215" s="183"/>
      <c r="B215" s="170"/>
      <c r="C215" s="169"/>
      <c r="D215" s="169"/>
      <c r="E215" s="169"/>
      <c r="F215" s="169"/>
      <c r="G215" s="169"/>
      <c r="H215" s="169"/>
      <c r="I215" s="169"/>
      <c r="J215" s="169"/>
      <c r="K215" s="183"/>
      <c r="L215" s="183"/>
      <c r="M215" s="183"/>
      <c r="N215" s="183"/>
      <c r="O215" s="183"/>
      <c r="P215" s="183"/>
      <c r="Q215" s="183"/>
      <c r="R215" s="183"/>
      <c r="S215" s="183"/>
      <c r="T215" s="183"/>
      <c r="BD215" s="183"/>
      <c r="BE215" s="183"/>
      <c r="BF215" s="183"/>
      <c r="BG215" s="183"/>
    </row>
    <row r="216" spans="1:59" hidden="1">
      <c r="A216" s="183"/>
      <c r="B216" s="170"/>
      <c r="C216" s="169"/>
      <c r="D216" s="169"/>
      <c r="E216" s="169"/>
      <c r="F216" s="169"/>
      <c r="G216" s="169"/>
      <c r="H216" s="169"/>
      <c r="I216" s="169"/>
      <c r="J216" s="169"/>
      <c r="K216" s="183"/>
      <c r="L216" s="183"/>
      <c r="M216" s="183"/>
      <c r="N216" s="183"/>
      <c r="O216" s="183"/>
      <c r="P216" s="183"/>
      <c r="Q216" s="183"/>
      <c r="R216" s="183"/>
      <c r="S216" s="183"/>
      <c r="T216" s="183"/>
      <c r="BD216" s="183"/>
      <c r="BE216" s="183"/>
      <c r="BF216" s="183"/>
      <c r="BG216" s="183"/>
    </row>
    <row r="217" spans="1:59" hidden="1">
      <c r="A217" s="183"/>
      <c r="B217" s="170"/>
      <c r="C217" s="169"/>
      <c r="D217" s="169"/>
      <c r="E217" s="169"/>
      <c r="F217" s="169"/>
      <c r="G217" s="169"/>
      <c r="H217" s="169"/>
      <c r="I217" s="169"/>
      <c r="J217" s="169"/>
      <c r="K217" s="183"/>
      <c r="L217" s="183"/>
      <c r="M217" s="183"/>
      <c r="N217" s="183"/>
      <c r="O217" s="183"/>
      <c r="P217" s="183"/>
      <c r="Q217" s="183"/>
      <c r="R217" s="183"/>
      <c r="S217" s="183"/>
      <c r="T217" s="183"/>
      <c r="BD217" s="183"/>
      <c r="BE217" s="183"/>
      <c r="BF217" s="183"/>
      <c r="BG217" s="183"/>
    </row>
    <row r="218" spans="1:59" hidden="1">
      <c r="A218" s="183"/>
      <c r="B218" s="170"/>
      <c r="C218" s="169"/>
      <c r="D218" s="169"/>
      <c r="E218" s="169"/>
      <c r="F218" s="169"/>
      <c r="G218" s="169"/>
      <c r="H218" s="169"/>
      <c r="I218" s="169"/>
      <c r="J218" s="169"/>
      <c r="K218" s="183"/>
      <c r="L218" s="183"/>
      <c r="M218" s="183"/>
      <c r="N218" s="183"/>
      <c r="O218" s="183"/>
      <c r="P218" s="183"/>
      <c r="Q218" s="183"/>
      <c r="R218" s="183"/>
      <c r="S218" s="183"/>
      <c r="T218" s="183"/>
      <c r="BD218" s="183"/>
      <c r="BE218" s="183"/>
      <c r="BF218" s="183"/>
      <c r="BG218" s="183"/>
    </row>
    <row r="219" spans="1:59" hidden="1">
      <c r="A219" s="183"/>
      <c r="B219" s="170"/>
      <c r="C219" s="169"/>
      <c r="D219" s="169"/>
      <c r="E219" s="169"/>
      <c r="F219" s="169"/>
      <c r="G219" s="169"/>
      <c r="H219" s="169"/>
      <c r="I219" s="169"/>
      <c r="J219" s="169"/>
      <c r="K219" s="183"/>
      <c r="L219" s="183"/>
      <c r="M219" s="183"/>
      <c r="N219" s="183"/>
      <c r="O219" s="183"/>
      <c r="P219" s="183"/>
      <c r="Q219" s="183"/>
      <c r="R219" s="183"/>
      <c r="S219" s="183"/>
      <c r="T219" s="183"/>
      <c r="BD219" s="183"/>
      <c r="BE219" s="183"/>
      <c r="BF219" s="183"/>
      <c r="BG219" s="183"/>
    </row>
    <row r="220" spans="1:59" hidden="1">
      <c r="A220" s="183"/>
      <c r="B220" s="170"/>
      <c r="C220" s="169"/>
      <c r="D220" s="169"/>
      <c r="E220" s="169"/>
      <c r="F220" s="169"/>
      <c r="G220" s="169"/>
      <c r="H220" s="169"/>
      <c r="I220" s="169"/>
      <c r="J220" s="169"/>
      <c r="K220" s="183"/>
      <c r="L220" s="183"/>
      <c r="M220" s="183"/>
      <c r="N220" s="183"/>
      <c r="O220" s="183"/>
      <c r="P220" s="183"/>
      <c r="Q220" s="183"/>
      <c r="R220" s="183"/>
      <c r="S220" s="183"/>
      <c r="T220" s="183"/>
      <c r="BD220" s="183"/>
      <c r="BE220" s="183"/>
      <c r="BF220" s="183"/>
      <c r="BG220" s="183"/>
    </row>
    <row r="221" spans="1:59" hidden="1">
      <c r="A221" s="183"/>
      <c r="B221" s="170"/>
      <c r="C221" s="169"/>
      <c r="D221" s="169"/>
      <c r="E221" s="169"/>
      <c r="F221" s="169"/>
      <c r="G221" s="169"/>
      <c r="H221" s="169"/>
      <c r="I221" s="169"/>
      <c r="J221" s="169"/>
      <c r="K221" s="183"/>
      <c r="L221" s="183"/>
      <c r="M221" s="183"/>
      <c r="N221" s="183"/>
      <c r="O221" s="183"/>
      <c r="P221" s="183"/>
      <c r="Q221" s="183"/>
      <c r="R221" s="183"/>
      <c r="S221" s="183"/>
      <c r="T221" s="183"/>
      <c r="BD221" s="183"/>
      <c r="BE221" s="183"/>
      <c r="BF221" s="183"/>
      <c r="BG221" s="183"/>
    </row>
    <row r="222" spans="1:59" hidden="1">
      <c r="A222" s="183"/>
      <c r="B222" s="170"/>
      <c r="C222" s="169"/>
      <c r="D222" s="169"/>
      <c r="E222" s="169"/>
      <c r="F222" s="169"/>
      <c r="G222" s="169"/>
      <c r="H222" s="169"/>
      <c r="I222" s="169"/>
      <c r="J222" s="169"/>
      <c r="K222" s="183"/>
      <c r="L222" s="183"/>
      <c r="M222" s="183"/>
      <c r="N222" s="183"/>
      <c r="O222" s="183"/>
      <c r="P222" s="183"/>
      <c r="Q222" s="183"/>
      <c r="R222" s="183"/>
      <c r="S222" s="183"/>
      <c r="T222" s="183"/>
      <c r="BD222" s="183"/>
      <c r="BE222" s="183"/>
      <c r="BF222" s="183"/>
      <c r="BG222" s="183"/>
    </row>
    <row r="223" spans="1:59" hidden="1">
      <c r="A223" s="183"/>
      <c r="B223" s="170"/>
      <c r="C223" s="169"/>
      <c r="D223" s="169"/>
      <c r="E223" s="169"/>
      <c r="F223" s="169"/>
      <c r="G223" s="169"/>
      <c r="H223" s="169"/>
      <c r="I223" s="169"/>
      <c r="J223" s="169"/>
      <c r="K223" s="183"/>
      <c r="L223" s="183"/>
      <c r="M223" s="183"/>
      <c r="N223" s="183"/>
      <c r="O223" s="183"/>
      <c r="P223" s="183"/>
      <c r="Q223" s="183"/>
      <c r="R223" s="183"/>
      <c r="S223" s="183"/>
      <c r="T223" s="183"/>
      <c r="BD223" s="183"/>
      <c r="BE223" s="183"/>
      <c r="BF223" s="183"/>
      <c r="BG223" s="183"/>
    </row>
    <row r="224" spans="1:59" hidden="1">
      <c r="A224" s="183"/>
      <c r="B224" s="170"/>
      <c r="C224" s="169"/>
      <c r="D224" s="169"/>
      <c r="E224" s="169"/>
      <c r="F224" s="169"/>
      <c r="G224" s="169"/>
      <c r="H224" s="169"/>
      <c r="I224" s="169"/>
      <c r="J224" s="169"/>
      <c r="K224" s="183"/>
      <c r="L224" s="183"/>
      <c r="M224" s="183"/>
      <c r="N224" s="183"/>
      <c r="O224" s="183"/>
      <c r="P224" s="183"/>
      <c r="Q224" s="183"/>
      <c r="R224" s="183"/>
      <c r="S224" s="183"/>
      <c r="T224" s="183"/>
      <c r="BD224" s="183"/>
      <c r="BE224" s="183"/>
      <c r="BF224" s="183"/>
      <c r="BG224" s="183"/>
    </row>
    <row r="225" spans="1:59" hidden="1">
      <c r="A225" s="183"/>
      <c r="B225" s="170"/>
      <c r="C225" s="169"/>
      <c r="D225" s="169"/>
      <c r="E225" s="169"/>
      <c r="F225" s="169"/>
      <c r="G225" s="169"/>
      <c r="H225" s="169"/>
      <c r="I225" s="169"/>
      <c r="J225" s="169"/>
      <c r="K225" s="183"/>
      <c r="L225" s="183"/>
      <c r="M225" s="183"/>
      <c r="N225" s="183"/>
      <c r="O225" s="183"/>
      <c r="P225" s="183"/>
      <c r="Q225" s="183"/>
      <c r="R225" s="183"/>
      <c r="S225" s="183"/>
      <c r="T225" s="183"/>
      <c r="BD225" s="183"/>
      <c r="BE225" s="183"/>
      <c r="BF225" s="183"/>
      <c r="BG225" s="183"/>
    </row>
    <row r="226" spans="1:59" hidden="1">
      <c r="A226" s="183"/>
      <c r="B226" s="170"/>
      <c r="C226" s="169"/>
      <c r="D226" s="169"/>
      <c r="E226" s="169"/>
      <c r="F226" s="169"/>
      <c r="G226" s="169"/>
      <c r="H226" s="169"/>
      <c r="I226" s="169"/>
      <c r="J226" s="169"/>
      <c r="K226" s="183"/>
      <c r="L226" s="183"/>
      <c r="M226" s="183"/>
      <c r="N226" s="183"/>
      <c r="O226" s="183"/>
      <c r="P226" s="183"/>
      <c r="Q226" s="183"/>
      <c r="R226" s="183"/>
      <c r="S226" s="183"/>
      <c r="T226" s="183"/>
      <c r="BD226" s="183"/>
      <c r="BE226" s="183"/>
      <c r="BF226" s="183"/>
      <c r="BG226" s="183"/>
    </row>
    <row r="227" spans="1:59" hidden="1">
      <c r="A227" s="183"/>
      <c r="B227" s="170"/>
      <c r="C227" s="169"/>
      <c r="D227" s="169"/>
      <c r="E227" s="169"/>
      <c r="F227" s="169"/>
      <c r="G227" s="169"/>
      <c r="H227" s="169"/>
      <c r="I227" s="169"/>
      <c r="J227" s="169"/>
      <c r="K227" s="183"/>
      <c r="L227" s="183"/>
      <c r="M227" s="183"/>
      <c r="N227" s="183"/>
      <c r="O227" s="183"/>
      <c r="P227" s="183"/>
      <c r="Q227" s="183"/>
      <c r="R227" s="183"/>
      <c r="S227" s="183"/>
      <c r="T227" s="183"/>
      <c r="BD227" s="183"/>
      <c r="BE227" s="183"/>
      <c r="BF227" s="183"/>
      <c r="BG227" s="183"/>
    </row>
    <row r="228" spans="1:59" hidden="1">
      <c r="A228" s="183"/>
      <c r="B228" s="170"/>
      <c r="C228" s="169"/>
      <c r="D228" s="169"/>
      <c r="E228" s="169"/>
      <c r="F228" s="169"/>
      <c r="G228" s="169"/>
      <c r="H228" s="169"/>
      <c r="I228" s="169"/>
      <c r="J228" s="169"/>
      <c r="K228" s="183"/>
      <c r="L228" s="183"/>
      <c r="M228" s="183"/>
      <c r="N228" s="183"/>
      <c r="O228" s="183"/>
      <c r="P228" s="183"/>
      <c r="Q228" s="183"/>
      <c r="R228" s="183"/>
      <c r="S228" s="183"/>
      <c r="T228" s="183"/>
      <c r="BD228" s="183"/>
      <c r="BE228" s="183"/>
      <c r="BF228" s="183"/>
      <c r="BG228" s="183"/>
    </row>
    <row r="229" spans="1:59" hidden="1">
      <c r="A229" s="183"/>
      <c r="B229" s="170"/>
      <c r="C229" s="169"/>
      <c r="D229" s="169"/>
      <c r="E229" s="169"/>
      <c r="F229" s="169"/>
      <c r="G229" s="169"/>
      <c r="H229" s="169"/>
      <c r="I229" s="169"/>
      <c r="J229" s="169"/>
      <c r="K229" s="183"/>
      <c r="L229" s="183"/>
      <c r="M229" s="183"/>
      <c r="N229" s="183"/>
      <c r="O229" s="183"/>
      <c r="P229" s="183"/>
      <c r="Q229" s="183"/>
      <c r="R229" s="183"/>
      <c r="S229" s="183"/>
      <c r="T229" s="183"/>
      <c r="BD229" s="183"/>
      <c r="BE229" s="183"/>
      <c r="BF229" s="183"/>
      <c r="BG229" s="183"/>
    </row>
    <row r="230" spans="1:59" hidden="1">
      <c r="A230" s="183"/>
      <c r="B230" s="170"/>
      <c r="C230" s="169"/>
      <c r="D230" s="169"/>
      <c r="E230" s="169"/>
      <c r="F230" s="169"/>
      <c r="G230" s="169"/>
      <c r="H230" s="169"/>
      <c r="I230" s="169"/>
      <c r="J230" s="169"/>
      <c r="K230" s="183"/>
      <c r="L230" s="183"/>
      <c r="M230" s="183"/>
      <c r="N230" s="183"/>
      <c r="O230" s="183"/>
      <c r="P230" s="183"/>
      <c r="Q230" s="183"/>
      <c r="R230" s="183"/>
      <c r="S230" s="183"/>
      <c r="T230" s="183"/>
      <c r="BD230" s="183"/>
      <c r="BE230" s="183"/>
      <c r="BF230" s="183"/>
      <c r="BG230" s="183"/>
    </row>
    <row r="231" spans="1:59" hidden="1">
      <c r="A231" s="183"/>
      <c r="B231" s="170"/>
      <c r="C231" s="169"/>
      <c r="D231" s="169"/>
      <c r="E231" s="169"/>
      <c r="F231" s="169"/>
      <c r="G231" s="169"/>
      <c r="H231" s="169"/>
      <c r="I231" s="169"/>
      <c r="J231" s="169"/>
      <c r="K231" s="183"/>
      <c r="L231" s="183"/>
      <c r="M231" s="183"/>
      <c r="N231" s="183"/>
      <c r="O231" s="183"/>
      <c r="P231" s="183"/>
      <c r="Q231" s="183"/>
      <c r="R231" s="183"/>
      <c r="S231" s="183"/>
      <c r="T231" s="183"/>
      <c r="BD231" s="183"/>
      <c r="BE231" s="183"/>
      <c r="BF231" s="183"/>
      <c r="BG231" s="183"/>
    </row>
    <row r="232" spans="1:59" hidden="1">
      <c r="A232" s="183"/>
      <c r="B232" s="170"/>
      <c r="C232" s="169"/>
      <c r="D232" s="169"/>
      <c r="E232" s="169"/>
      <c r="F232" s="169"/>
      <c r="G232" s="169"/>
      <c r="H232" s="169"/>
      <c r="I232" s="169"/>
      <c r="J232" s="169"/>
      <c r="K232" s="183"/>
      <c r="L232" s="183"/>
      <c r="M232" s="183"/>
      <c r="N232" s="183"/>
      <c r="O232" s="183"/>
      <c r="P232" s="183"/>
      <c r="Q232" s="183"/>
      <c r="R232" s="183"/>
      <c r="S232" s="183"/>
      <c r="T232" s="183"/>
      <c r="BD232" s="183"/>
      <c r="BE232" s="183"/>
      <c r="BF232" s="183"/>
      <c r="BG232" s="183"/>
    </row>
    <row r="233" spans="1:59" hidden="1">
      <c r="A233" s="183"/>
      <c r="B233" s="170"/>
      <c r="C233" s="169"/>
      <c r="D233" s="169"/>
      <c r="E233" s="169"/>
      <c r="F233" s="169"/>
      <c r="G233" s="169"/>
      <c r="H233" s="169"/>
      <c r="I233" s="169"/>
      <c r="J233" s="169"/>
      <c r="K233" s="183"/>
      <c r="L233" s="183"/>
      <c r="M233" s="183"/>
      <c r="N233" s="183"/>
      <c r="O233" s="183"/>
      <c r="P233" s="183"/>
      <c r="Q233" s="183"/>
      <c r="R233" s="183"/>
      <c r="S233" s="183"/>
      <c r="T233" s="183"/>
      <c r="BD233" s="183"/>
      <c r="BE233" s="183"/>
      <c r="BF233" s="183"/>
      <c r="BG233" s="183"/>
    </row>
    <row r="234" spans="1:59" hidden="1">
      <c r="A234" s="183"/>
      <c r="B234" s="170"/>
      <c r="C234" s="169"/>
      <c r="D234" s="169"/>
      <c r="E234" s="169"/>
      <c r="F234" s="169"/>
      <c r="G234" s="169"/>
      <c r="H234" s="169"/>
      <c r="I234" s="169"/>
      <c r="J234" s="169"/>
      <c r="K234" s="183"/>
      <c r="L234" s="183"/>
      <c r="M234" s="183"/>
      <c r="N234" s="183"/>
      <c r="O234" s="183"/>
      <c r="P234" s="183"/>
      <c r="Q234" s="183"/>
      <c r="R234" s="183"/>
      <c r="S234" s="183"/>
      <c r="T234" s="183"/>
      <c r="BD234" s="183"/>
      <c r="BE234" s="183"/>
      <c r="BF234" s="183"/>
      <c r="BG234" s="183"/>
    </row>
    <row r="235" spans="1:59" hidden="1">
      <c r="A235" s="183"/>
      <c r="B235" s="170"/>
      <c r="C235" s="169"/>
      <c r="D235" s="169"/>
      <c r="E235" s="169"/>
      <c r="F235" s="169"/>
      <c r="G235" s="169"/>
      <c r="H235" s="169"/>
      <c r="I235" s="169"/>
      <c r="J235" s="169"/>
      <c r="K235" s="183"/>
      <c r="L235" s="183"/>
      <c r="M235" s="183"/>
      <c r="N235" s="183"/>
      <c r="O235" s="183"/>
      <c r="P235" s="183"/>
      <c r="Q235" s="183"/>
      <c r="R235" s="183"/>
      <c r="S235" s="183"/>
      <c r="T235" s="183"/>
      <c r="BD235" s="183"/>
      <c r="BE235" s="183"/>
      <c r="BF235" s="183"/>
      <c r="BG235" s="183"/>
    </row>
    <row r="236" spans="1:59" hidden="1">
      <c r="A236" s="183"/>
      <c r="B236" s="170"/>
      <c r="C236" s="169"/>
      <c r="D236" s="169"/>
      <c r="E236" s="169"/>
      <c r="F236" s="169"/>
      <c r="G236" s="169"/>
      <c r="H236" s="169"/>
      <c r="I236" s="169"/>
      <c r="J236" s="169"/>
      <c r="K236" s="183"/>
      <c r="L236" s="183"/>
      <c r="M236" s="183"/>
      <c r="N236" s="183"/>
      <c r="O236" s="183"/>
      <c r="P236" s="183"/>
      <c r="Q236" s="183"/>
      <c r="R236" s="183"/>
      <c r="S236" s="183"/>
      <c r="T236" s="183"/>
      <c r="BD236" s="183"/>
      <c r="BE236" s="183"/>
      <c r="BF236" s="183"/>
      <c r="BG236" s="183"/>
    </row>
    <row r="237" spans="1:59" hidden="1">
      <c r="A237" s="183"/>
      <c r="B237" s="170"/>
      <c r="C237" s="169"/>
      <c r="D237" s="169"/>
      <c r="E237" s="169"/>
      <c r="F237" s="169"/>
      <c r="G237" s="169"/>
      <c r="H237" s="169"/>
      <c r="I237" s="169"/>
      <c r="J237" s="169"/>
      <c r="K237" s="183"/>
      <c r="L237" s="183"/>
      <c r="M237" s="183"/>
      <c r="N237" s="183"/>
      <c r="O237" s="183"/>
      <c r="P237" s="183"/>
      <c r="Q237" s="183"/>
      <c r="R237" s="183"/>
      <c r="S237" s="183"/>
      <c r="T237" s="183"/>
      <c r="BD237" s="183"/>
      <c r="BE237" s="183"/>
      <c r="BF237" s="183"/>
      <c r="BG237" s="183"/>
    </row>
    <row r="238" spans="1:59" hidden="1">
      <c r="A238" s="183"/>
      <c r="B238" s="170"/>
      <c r="C238" s="169"/>
      <c r="D238" s="169"/>
      <c r="E238" s="169"/>
      <c r="F238" s="169"/>
      <c r="G238" s="169"/>
      <c r="H238" s="169"/>
      <c r="I238" s="169"/>
      <c r="J238" s="169"/>
      <c r="K238" s="183"/>
      <c r="L238" s="183"/>
      <c r="M238" s="183"/>
      <c r="N238" s="183"/>
      <c r="O238" s="183"/>
      <c r="P238" s="183"/>
      <c r="Q238" s="183"/>
      <c r="R238" s="183"/>
      <c r="S238" s="183"/>
      <c r="T238" s="183"/>
      <c r="BD238" s="183"/>
      <c r="BE238" s="183"/>
      <c r="BF238" s="183"/>
      <c r="BG238" s="183"/>
    </row>
    <row r="239" spans="1:59" hidden="1">
      <c r="A239" s="183"/>
      <c r="B239" s="170"/>
      <c r="C239" s="169"/>
      <c r="D239" s="169"/>
      <c r="E239" s="169"/>
      <c r="F239" s="169"/>
      <c r="G239" s="169"/>
      <c r="H239" s="169"/>
      <c r="I239" s="169"/>
      <c r="J239" s="169"/>
      <c r="K239" s="183"/>
      <c r="L239" s="183"/>
      <c r="M239" s="183"/>
      <c r="N239" s="183"/>
      <c r="O239" s="183"/>
      <c r="P239" s="183"/>
      <c r="Q239" s="183"/>
      <c r="R239" s="183"/>
      <c r="S239" s="183"/>
      <c r="T239" s="183"/>
      <c r="BD239" s="183"/>
      <c r="BE239" s="183"/>
      <c r="BF239" s="183"/>
      <c r="BG239" s="183"/>
    </row>
    <row r="240" spans="1:59" hidden="1">
      <c r="A240" s="183"/>
      <c r="B240" s="170"/>
      <c r="C240" s="169"/>
      <c r="D240" s="169"/>
      <c r="E240" s="169"/>
      <c r="F240" s="169"/>
      <c r="G240" s="169"/>
      <c r="H240" s="169"/>
      <c r="I240" s="169"/>
      <c r="J240" s="169"/>
      <c r="K240" s="183"/>
      <c r="L240" s="183"/>
      <c r="M240" s="183"/>
      <c r="N240" s="183"/>
      <c r="O240" s="183"/>
      <c r="P240" s="183"/>
      <c r="Q240" s="183"/>
      <c r="R240" s="183"/>
      <c r="S240" s="183"/>
      <c r="T240" s="183"/>
      <c r="BD240" s="183"/>
      <c r="BE240" s="183"/>
      <c r="BF240" s="183"/>
      <c r="BG240" s="183"/>
    </row>
    <row r="241" spans="1:59" hidden="1">
      <c r="A241" s="183"/>
      <c r="B241" s="170"/>
      <c r="C241" s="169"/>
      <c r="D241" s="169"/>
      <c r="E241" s="169"/>
      <c r="F241" s="169"/>
      <c r="G241" s="169"/>
      <c r="H241" s="169"/>
      <c r="I241" s="169"/>
      <c r="J241" s="169"/>
      <c r="K241" s="183"/>
      <c r="L241" s="183"/>
      <c r="M241" s="183"/>
      <c r="N241" s="183"/>
      <c r="O241" s="183"/>
      <c r="P241" s="183"/>
      <c r="Q241" s="183"/>
      <c r="R241" s="183"/>
      <c r="S241" s="183"/>
      <c r="T241" s="183"/>
      <c r="BD241" s="183"/>
      <c r="BE241" s="183"/>
      <c r="BF241" s="183"/>
      <c r="BG241" s="183"/>
    </row>
    <row r="242" spans="1:59" hidden="1">
      <c r="A242" s="183"/>
      <c r="B242" s="170"/>
      <c r="C242" s="169"/>
      <c r="D242" s="169"/>
      <c r="E242" s="169"/>
      <c r="F242" s="169"/>
      <c r="G242" s="169"/>
      <c r="H242" s="169"/>
      <c r="I242" s="169"/>
      <c r="J242" s="169"/>
      <c r="K242" s="183"/>
      <c r="L242" s="183"/>
      <c r="M242" s="183"/>
      <c r="N242" s="183"/>
      <c r="O242" s="183"/>
      <c r="P242" s="183"/>
      <c r="Q242" s="183"/>
      <c r="R242" s="183"/>
      <c r="S242" s="183"/>
      <c r="T242" s="183"/>
      <c r="BD242" s="183"/>
      <c r="BE242" s="183"/>
      <c r="BF242" s="183"/>
      <c r="BG242" s="183"/>
    </row>
    <row r="243" spans="1:59" hidden="1">
      <c r="A243" s="183"/>
      <c r="B243" s="170"/>
      <c r="C243" s="169"/>
      <c r="D243" s="169"/>
      <c r="E243" s="169"/>
      <c r="F243" s="169"/>
      <c r="G243" s="169"/>
      <c r="H243" s="169"/>
      <c r="I243" s="169"/>
      <c r="J243" s="169"/>
      <c r="K243" s="183"/>
      <c r="L243" s="183"/>
      <c r="M243" s="183"/>
      <c r="N243" s="183"/>
      <c r="O243" s="183"/>
      <c r="P243" s="183"/>
      <c r="Q243" s="183"/>
      <c r="R243" s="183"/>
      <c r="S243" s="183"/>
      <c r="T243" s="183"/>
      <c r="BD243" s="183"/>
      <c r="BE243" s="183"/>
      <c r="BF243" s="183"/>
      <c r="BG243" s="183"/>
    </row>
    <row r="244" spans="1:59" hidden="1">
      <c r="A244" s="183"/>
      <c r="B244" s="170"/>
      <c r="C244" s="169"/>
      <c r="D244" s="169"/>
      <c r="E244" s="169"/>
      <c r="F244" s="169"/>
      <c r="G244" s="169"/>
      <c r="H244" s="169"/>
      <c r="I244" s="169"/>
      <c r="J244" s="169"/>
      <c r="K244" s="183"/>
      <c r="L244" s="183"/>
      <c r="M244" s="183"/>
      <c r="N244" s="183"/>
      <c r="O244" s="183"/>
      <c r="P244" s="183"/>
      <c r="Q244" s="183"/>
      <c r="R244" s="183"/>
      <c r="S244" s="183"/>
      <c r="T244" s="183"/>
      <c r="BD244" s="183"/>
      <c r="BE244" s="183"/>
      <c r="BF244" s="183"/>
      <c r="BG244" s="183"/>
    </row>
    <row r="245" spans="1:59" hidden="1">
      <c r="A245" s="183"/>
      <c r="B245" s="170"/>
      <c r="C245" s="169"/>
      <c r="D245" s="169"/>
      <c r="E245" s="169"/>
      <c r="F245" s="169"/>
      <c r="G245" s="169"/>
      <c r="H245" s="169"/>
      <c r="I245" s="169"/>
      <c r="J245" s="169"/>
      <c r="K245" s="183"/>
      <c r="L245" s="183"/>
      <c r="M245" s="183"/>
      <c r="N245" s="183"/>
      <c r="O245" s="183"/>
      <c r="P245" s="183"/>
      <c r="Q245" s="183"/>
      <c r="R245" s="183"/>
      <c r="S245" s="183"/>
      <c r="T245" s="183"/>
      <c r="BD245" s="183"/>
      <c r="BE245" s="183"/>
      <c r="BF245" s="183"/>
      <c r="BG245" s="183"/>
    </row>
    <row r="246" spans="1:59" hidden="1">
      <c r="A246" s="183"/>
      <c r="B246" s="170"/>
      <c r="C246" s="169"/>
      <c r="D246" s="169"/>
      <c r="E246" s="169"/>
      <c r="F246" s="169"/>
      <c r="G246" s="169"/>
      <c r="H246" s="169"/>
      <c r="I246" s="169"/>
      <c r="J246" s="169"/>
      <c r="K246" s="183"/>
      <c r="L246" s="183"/>
      <c r="M246" s="183"/>
      <c r="N246" s="183"/>
      <c r="O246" s="183"/>
      <c r="P246" s="183"/>
      <c r="Q246" s="183"/>
      <c r="R246" s="183"/>
      <c r="S246" s="183"/>
      <c r="T246" s="183"/>
      <c r="BD246" s="183"/>
      <c r="BE246" s="183"/>
      <c r="BF246" s="183"/>
      <c r="BG246" s="183"/>
    </row>
    <row r="247" spans="1:59" hidden="1">
      <c r="A247" s="183"/>
      <c r="B247" s="170"/>
      <c r="C247" s="169"/>
      <c r="D247" s="169"/>
      <c r="E247" s="169"/>
      <c r="F247" s="169"/>
      <c r="G247" s="169"/>
      <c r="H247" s="169"/>
      <c r="I247" s="169"/>
      <c r="J247" s="169"/>
      <c r="K247" s="183"/>
      <c r="L247" s="183"/>
      <c r="M247" s="183"/>
      <c r="N247" s="183"/>
      <c r="O247" s="183"/>
      <c r="P247" s="183"/>
      <c r="Q247" s="183"/>
      <c r="R247" s="183"/>
      <c r="S247" s="183"/>
      <c r="T247" s="183"/>
      <c r="BD247" s="183"/>
      <c r="BE247" s="183"/>
      <c r="BF247" s="183"/>
      <c r="BG247" s="183"/>
    </row>
    <row r="248" spans="1:59" hidden="1">
      <c r="A248" s="183"/>
      <c r="B248" s="170"/>
      <c r="C248" s="169"/>
      <c r="D248" s="169"/>
      <c r="E248" s="169"/>
      <c r="F248" s="169"/>
      <c r="G248" s="169"/>
      <c r="H248" s="169"/>
      <c r="I248" s="169"/>
      <c r="J248" s="169"/>
      <c r="K248" s="183"/>
      <c r="L248" s="183"/>
      <c r="M248" s="183"/>
      <c r="N248" s="183"/>
      <c r="O248" s="183"/>
      <c r="P248" s="183"/>
      <c r="Q248" s="183"/>
      <c r="R248" s="183"/>
      <c r="S248" s="183"/>
      <c r="T248" s="183"/>
      <c r="BD248" s="183"/>
      <c r="BE248" s="183"/>
      <c r="BF248" s="183"/>
      <c r="BG248" s="183"/>
    </row>
    <row r="249" spans="1:59" hidden="1">
      <c r="A249" s="183"/>
      <c r="B249" s="170"/>
      <c r="C249" s="169"/>
      <c r="D249" s="169"/>
      <c r="E249" s="169"/>
      <c r="F249" s="169"/>
      <c r="G249" s="169"/>
      <c r="H249" s="169"/>
      <c r="I249" s="169"/>
      <c r="J249" s="169"/>
      <c r="K249" s="183"/>
      <c r="L249" s="183"/>
      <c r="M249" s="183"/>
      <c r="N249" s="183"/>
      <c r="O249" s="183"/>
      <c r="P249" s="183"/>
      <c r="Q249" s="183"/>
      <c r="R249" s="183"/>
      <c r="S249" s="183"/>
      <c r="T249" s="183"/>
      <c r="BD249" s="183"/>
      <c r="BE249" s="183"/>
      <c r="BF249" s="183"/>
      <c r="BG249" s="183"/>
    </row>
    <row r="250" spans="1:59" hidden="1">
      <c r="A250" s="183"/>
      <c r="B250" s="170"/>
      <c r="C250" s="169"/>
      <c r="D250" s="169"/>
      <c r="E250" s="169"/>
      <c r="F250" s="169"/>
      <c r="G250" s="169"/>
      <c r="H250" s="169"/>
      <c r="I250" s="169"/>
      <c r="J250" s="169"/>
      <c r="K250" s="183"/>
      <c r="L250" s="183"/>
      <c r="M250" s="183"/>
      <c r="N250" s="183"/>
      <c r="O250" s="183"/>
      <c r="P250" s="183"/>
      <c r="Q250" s="183"/>
      <c r="R250" s="183"/>
      <c r="S250" s="183"/>
      <c r="T250" s="183"/>
      <c r="BD250" s="183"/>
      <c r="BE250" s="183"/>
      <c r="BF250" s="183"/>
      <c r="BG250" s="183"/>
    </row>
    <row r="251" spans="1:59" hidden="1">
      <c r="A251" s="183"/>
      <c r="B251" s="170"/>
      <c r="C251" s="169"/>
      <c r="D251" s="169"/>
      <c r="E251" s="169"/>
      <c r="F251" s="169"/>
      <c r="G251" s="169"/>
      <c r="H251" s="169"/>
      <c r="I251" s="169"/>
      <c r="J251" s="169"/>
      <c r="K251" s="183"/>
      <c r="L251" s="183"/>
      <c r="M251" s="183"/>
      <c r="N251" s="183"/>
      <c r="O251" s="183"/>
      <c r="P251" s="183"/>
      <c r="Q251" s="183"/>
      <c r="R251" s="183"/>
      <c r="S251" s="183"/>
      <c r="T251" s="183"/>
      <c r="BD251" s="183"/>
      <c r="BE251" s="183"/>
      <c r="BF251" s="183"/>
      <c r="BG251" s="183"/>
    </row>
    <row r="252" spans="1:59" hidden="1">
      <c r="A252" s="183"/>
      <c r="B252" s="170"/>
      <c r="C252" s="169"/>
      <c r="D252" s="169"/>
      <c r="E252" s="169"/>
      <c r="F252" s="169"/>
      <c r="G252" s="169"/>
      <c r="H252" s="169"/>
      <c r="I252" s="169"/>
      <c r="J252" s="169"/>
      <c r="K252" s="183"/>
      <c r="L252" s="183"/>
      <c r="M252" s="183"/>
      <c r="N252" s="183"/>
      <c r="O252" s="183"/>
      <c r="P252" s="183"/>
      <c r="Q252" s="183"/>
      <c r="R252" s="183"/>
      <c r="S252" s="183"/>
      <c r="T252" s="183"/>
      <c r="BD252" s="183"/>
      <c r="BE252" s="183"/>
      <c r="BF252" s="183"/>
      <c r="BG252" s="183"/>
    </row>
    <row r="253" spans="1:59" hidden="1">
      <c r="A253" s="183"/>
      <c r="B253" s="170"/>
      <c r="C253" s="169"/>
      <c r="D253" s="169"/>
      <c r="E253" s="169"/>
      <c r="F253" s="169"/>
      <c r="G253" s="169"/>
      <c r="H253" s="169"/>
      <c r="I253" s="169"/>
      <c r="J253" s="169"/>
      <c r="K253" s="183"/>
      <c r="L253" s="183"/>
      <c r="M253" s="183"/>
      <c r="N253" s="183"/>
      <c r="O253" s="183"/>
      <c r="P253" s="183"/>
      <c r="Q253" s="183"/>
      <c r="R253" s="183"/>
      <c r="S253" s="183"/>
      <c r="T253" s="183"/>
      <c r="BD253" s="183"/>
      <c r="BE253" s="183"/>
      <c r="BF253" s="183"/>
      <c r="BG253" s="183"/>
    </row>
    <row r="254" spans="1:59" hidden="1">
      <c r="A254" s="183"/>
      <c r="B254" s="170"/>
      <c r="C254" s="169"/>
      <c r="D254" s="169"/>
      <c r="E254" s="169"/>
      <c r="F254" s="169"/>
      <c r="G254" s="169"/>
      <c r="H254" s="169"/>
      <c r="I254" s="169"/>
      <c r="J254" s="169"/>
      <c r="K254" s="183"/>
      <c r="L254" s="183"/>
      <c r="M254" s="183"/>
      <c r="N254" s="183"/>
      <c r="O254" s="183"/>
      <c r="P254" s="183"/>
      <c r="Q254" s="183"/>
      <c r="R254" s="183"/>
      <c r="S254" s="183"/>
      <c r="T254" s="183"/>
      <c r="BD254" s="183"/>
      <c r="BE254" s="183"/>
      <c r="BF254" s="183"/>
      <c r="BG254" s="183"/>
    </row>
    <row r="255" spans="1:59" hidden="1">
      <c r="A255" s="183"/>
      <c r="B255" s="170"/>
      <c r="C255" s="169"/>
      <c r="D255" s="169"/>
      <c r="E255" s="169"/>
      <c r="F255" s="169"/>
      <c r="G255" s="169"/>
      <c r="H255" s="169"/>
      <c r="I255" s="169"/>
      <c r="J255" s="169"/>
      <c r="K255" s="183"/>
      <c r="L255" s="183"/>
      <c r="M255" s="183"/>
      <c r="N255" s="183"/>
      <c r="O255" s="183"/>
      <c r="P255" s="183"/>
      <c r="Q255" s="183"/>
      <c r="R255" s="183"/>
      <c r="S255" s="183"/>
      <c r="T255" s="183"/>
      <c r="BD255" s="183"/>
      <c r="BE255" s="183"/>
      <c r="BF255" s="183"/>
      <c r="BG255" s="183"/>
    </row>
    <row r="256" spans="1:59" hidden="1">
      <c r="A256" s="183"/>
      <c r="B256" s="170"/>
      <c r="C256" s="169"/>
      <c r="D256" s="169"/>
      <c r="E256" s="169"/>
      <c r="F256" s="169"/>
      <c r="G256" s="169"/>
      <c r="H256" s="169"/>
      <c r="I256" s="169"/>
      <c r="J256" s="169"/>
      <c r="K256" s="183"/>
      <c r="L256" s="183"/>
      <c r="M256" s="183"/>
      <c r="N256" s="183"/>
      <c r="O256" s="183"/>
      <c r="P256" s="183"/>
      <c r="Q256" s="183"/>
      <c r="R256" s="183"/>
      <c r="S256" s="183"/>
      <c r="T256" s="183"/>
      <c r="BD256" s="183"/>
      <c r="BE256" s="183"/>
      <c r="BF256" s="183"/>
      <c r="BG256" s="183"/>
    </row>
    <row r="257" spans="1:59" hidden="1">
      <c r="A257" s="183"/>
      <c r="B257" s="170"/>
      <c r="C257" s="169"/>
      <c r="D257" s="169"/>
      <c r="E257" s="169"/>
      <c r="F257" s="169"/>
      <c r="G257" s="169"/>
      <c r="H257" s="169"/>
      <c r="I257" s="169"/>
      <c r="J257" s="169"/>
      <c r="K257" s="183"/>
      <c r="L257" s="183"/>
      <c r="M257" s="183"/>
      <c r="N257" s="183"/>
      <c r="O257" s="183"/>
      <c r="P257" s="183"/>
      <c r="Q257" s="183"/>
      <c r="R257" s="183"/>
      <c r="S257" s="183"/>
      <c r="T257" s="183"/>
      <c r="BD257" s="183"/>
      <c r="BE257" s="183"/>
      <c r="BF257" s="183"/>
      <c r="BG257" s="183"/>
    </row>
    <row r="258" spans="1:59" hidden="1">
      <c r="A258" s="183"/>
      <c r="B258" s="170"/>
      <c r="C258" s="169"/>
      <c r="D258" s="169"/>
      <c r="E258" s="169"/>
      <c r="F258" s="169"/>
      <c r="G258" s="169"/>
      <c r="H258" s="169"/>
      <c r="I258" s="169"/>
      <c r="J258" s="169"/>
      <c r="K258" s="183"/>
      <c r="L258" s="183"/>
      <c r="M258" s="183"/>
      <c r="N258" s="183"/>
      <c r="O258" s="183"/>
      <c r="P258" s="183"/>
      <c r="Q258" s="183"/>
      <c r="R258" s="183"/>
      <c r="S258" s="183"/>
      <c r="T258" s="183"/>
      <c r="BD258" s="183"/>
      <c r="BE258" s="183"/>
      <c r="BF258" s="183"/>
      <c r="BG258" s="183"/>
    </row>
    <row r="259" spans="1:59" hidden="1">
      <c r="A259" s="183"/>
      <c r="B259" s="170"/>
      <c r="C259" s="169"/>
      <c r="D259" s="169"/>
      <c r="E259" s="169"/>
      <c r="F259" s="169"/>
      <c r="G259" s="169"/>
      <c r="H259" s="169"/>
      <c r="I259" s="169"/>
      <c r="J259" s="169"/>
      <c r="K259" s="183"/>
      <c r="L259" s="183"/>
      <c r="M259" s="183"/>
      <c r="N259" s="183"/>
      <c r="O259" s="183"/>
      <c r="P259" s="183"/>
      <c r="Q259" s="183"/>
      <c r="R259" s="183"/>
      <c r="S259" s="183"/>
      <c r="T259" s="183"/>
      <c r="BD259" s="183"/>
      <c r="BE259" s="183"/>
      <c r="BF259" s="183"/>
      <c r="BG259" s="183"/>
    </row>
    <row r="260" spans="1:59" hidden="1">
      <c r="A260" s="183"/>
      <c r="B260" s="170"/>
      <c r="C260" s="169"/>
      <c r="D260" s="169"/>
      <c r="E260" s="169"/>
      <c r="F260" s="169"/>
      <c r="G260" s="169"/>
      <c r="H260" s="169"/>
      <c r="I260" s="169"/>
      <c r="J260" s="169"/>
      <c r="K260" s="183"/>
      <c r="L260" s="183"/>
      <c r="M260" s="183"/>
      <c r="N260" s="183"/>
      <c r="O260" s="183"/>
      <c r="P260" s="183"/>
      <c r="Q260" s="183"/>
      <c r="R260" s="183"/>
      <c r="S260" s="183"/>
      <c r="T260" s="183"/>
      <c r="BD260" s="183"/>
      <c r="BE260" s="183"/>
      <c r="BF260" s="183"/>
      <c r="BG260" s="183"/>
    </row>
    <row r="261" spans="1:59" hidden="1">
      <c r="A261" s="183"/>
      <c r="B261" s="170"/>
      <c r="C261" s="169"/>
      <c r="D261" s="169"/>
      <c r="E261" s="169"/>
      <c r="F261" s="169"/>
      <c r="G261" s="169"/>
      <c r="H261" s="169"/>
      <c r="I261" s="169"/>
      <c r="J261" s="169"/>
      <c r="K261" s="183"/>
      <c r="L261" s="183"/>
      <c r="M261" s="183"/>
      <c r="N261" s="183"/>
      <c r="O261" s="183"/>
      <c r="P261" s="183"/>
      <c r="Q261" s="183"/>
      <c r="R261" s="183"/>
      <c r="S261" s="183"/>
      <c r="T261" s="183"/>
      <c r="BD261" s="183"/>
      <c r="BE261" s="183"/>
      <c r="BF261" s="183"/>
      <c r="BG261" s="183"/>
    </row>
    <row r="262" spans="1:59" hidden="1">
      <c r="A262" s="183"/>
      <c r="B262" s="170"/>
      <c r="C262" s="169"/>
      <c r="D262" s="169"/>
      <c r="E262" s="169"/>
      <c r="F262" s="169"/>
      <c r="G262" s="169"/>
      <c r="H262" s="169"/>
      <c r="I262" s="169"/>
      <c r="J262" s="169"/>
      <c r="K262" s="183"/>
      <c r="L262" s="183"/>
      <c r="M262" s="183"/>
      <c r="N262" s="183"/>
      <c r="O262" s="183"/>
      <c r="P262" s="183"/>
      <c r="Q262" s="183"/>
      <c r="R262" s="183"/>
      <c r="S262" s="183"/>
      <c r="T262" s="183"/>
      <c r="BD262" s="183"/>
      <c r="BE262" s="183"/>
      <c r="BF262" s="183"/>
      <c r="BG262" s="183"/>
    </row>
    <row r="263" spans="1:59" hidden="1">
      <c r="A263" s="183"/>
      <c r="B263" s="170"/>
      <c r="C263" s="169"/>
      <c r="D263" s="169"/>
      <c r="E263" s="169"/>
      <c r="F263" s="169"/>
      <c r="G263" s="169"/>
      <c r="H263" s="169"/>
      <c r="I263" s="169"/>
      <c r="J263" s="169"/>
      <c r="K263" s="183"/>
      <c r="L263" s="183"/>
      <c r="M263" s="183"/>
      <c r="N263" s="183"/>
      <c r="O263" s="183"/>
      <c r="P263" s="183"/>
      <c r="Q263" s="183"/>
      <c r="R263" s="183"/>
      <c r="S263" s="183"/>
      <c r="T263" s="183"/>
      <c r="BD263" s="183"/>
      <c r="BE263" s="183"/>
      <c r="BF263" s="183"/>
      <c r="BG263" s="183"/>
    </row>
    <row r="264" spans="1:59" hidden="1">
      <c r="A264" s="183"/>
      <c r="B264" s="170"/>
      <c r="C264" s="169"/>
      <c r="D264" s="169"/>
      <c r="E264" s="169"/>
      <c r="F264" s="169"/>
      <c r="G264" s="169"/>
      <c r="H264" s="169"/>
      <c r="I264" s="169"/>
      <c r="J264" s="169"/>
      <c r="K264" s="183"/>
      <c r="L264" s="183"/>
      <c r="M264" s="183"/>
      <c r="N264" s="183"/>
      <c r="O264" s="183"/>
      <c r="P264" s="183"/>
      <c r="Q264" s="183"/>
      <c r="R264" s="183"/>
      <c r="S264" s="183"/>
      <c r="T264" s="183"/>
      <c r="BD264" s="183"/>
      <c r="BE264" s="183"/>
      <c r="BF264" s="183"/>
      <c r="BG264" s="183"/>
    </row>
  </sheetData>
  <sheetProtection selectLockedCells="1"/>
  <mergeCells count="48">
    <mergeCell ref="C65:F65"/>
    <mergeCell ref="C53:F53"/>
    <mergeCell ref="C54:D54"/>
    <mergeCell ref="C57:F57"/>
    <mergeCell ref="C58:D58"/>
    <mergeCell ref="C62:F62"/>
    <mergeCell ref="C63:D63"/>
    <mergeCell ref="J24:M24"/>
    <mergeCell ref="C26:D26"/>
    <mergeCell ref="C36:F36"/>
    <mergeCell ref="C37:D37"/>
    <mergeCell ref="C43:F43"/>
    <mergeCell ref="B17:C18"/>
    <mergeCell ref="D18:G18"/>
    <mergeCell ref="B19:C19"/>
    <mergeCell ref="D19:G19"/>
    <mergeCell ref="C44:D44"/>
    <mergeCell ref="B20:C20"/>
    <mergeCell ref="D20:G20"/>
    <mergeCell ref="B21:C21"/>
    <mergeCell ref="D21:G21"/>
    <mergeCell ref="B22:G22"/>
    <mergeCell ref="B24:B25"/>
    <mergeCell ref="C24:I25"/>
    <mergeCell ref="O8:O9"/>
    <mergeCell ref="D8:G8"/>
    <mergeCell ref="D10:G10"/>
    <mergeCell ref="B16:C16"/>
    <mergeCell ref="D16:G16"/>
    <mergeCell ref="B12:G13"/>
    <mergeCell ref="H12:M12"/>
    <mergeCell ref="B14:C15"/>
    <mergeCell ref="D14:G14"/>
    <mergeCell ref="D15:G15"/>
    <mergeCell ref="N2:O2"/>
    <mergeCell ref="D3:E3"/>
    <mergeCell ref="F3:G3"/>
    <mergeCell ref="H3:I3"/>
    <mergeCell ref="J3:K3"/>
    <mergeCell ref="L2:M2"/>
    <mergeCell ref="L3:M3"/>
    <mergeCell ref="N3:O3"/>
    <mergeCell ref="B2:B3"/>
    <mergeCell ref="D2:E2"/>
    <mergeCell ref="F2:G2"/>
    <mergeCell ref="H2:I2"/>
    <mergeCell ref="J2:K2"/>
    <mergeCell ref="C2:C3"/>
  </mergeCells>
  <dataValidations count="1">
    <dataValidation type="list" allowBlank="1" showInputMessage="1" showErrorMessage="1" sqref="D10">
      <formula1>INDIRECT("UCL_" &amp; M8)</formula1>
    </dataValidation>
  </dataValidations>
  <hyperlinks>
    <hyperlink ref="F2" location="'City information'!A1" display="Set-up"/>
    <hyperlink ref="G2" location="'City information'!A1" display="'City information'!A1"/>
    <hyperlink ref="H2" location="Inventory!A1" display="Inventory"/>
    <hyperlink ref="I2" location="Inventory!A1" display="Inventory!A1"/>
    <hyperlink ref="J2" location="Calculators!A1" display="Calculators"/>
    <hyperlink ref="K2" location="Calculators!A1" display="Calculators!A1"/>
    <hyperlink ref="L2" location="Results!A1" display="Results"/>
    <hyperlink ref="M2" location="Results!A1" display="Results!A1"/>
    <hyperlink ref="D2" location="Home!A1" display="Introduction"/>
    <hyperlink ref="E2" location="Home!A1" display="Home!A1"/>
    <hyperlink ref="N2" location="Analysis!A1" display="Analysis"/>
    <hyperlink ref="O2" location="Analysis!A1" display="Analysis!A1"/>
    <hyperlink ref="H3" location="Benchmark!A1" display="Benchmarking"/>
    <hyperlink ref="G3" location="Progress!A1" display="Progress!A1"/>
    <hyperlink ref="F3" location="Progress!A1" display="Progress"/>
    <hyperlink ref="D3" location="Data!A1" display="Data"/>
    <hyperlink ref="E3" location="Data!A1" display="Data!A1"/>
    <hyperlink ref="I3" location="Benchmark!A1" display="Benchmark!A1"/>
    <hyperlink ref="J3" location="'Heat map'!A1" display="Heat map"/>
    <hyperlink ref="K3" location="'Heat map'!A1" display="'Heat map'!A1"/>
    <hyperlink ref="L3" location="Overview_2!A1" display="Overview"/>
    <hyperlink ref="M3" location="Overview_2!A1" display="Overview_2!A1"/>
    <hyperlink ref="N3" location="Output!A1" display="Output"/>
    <hyperlink ref="O3" location="Output!A1" display="Output!A1"/>
  </hyperlinks>
  <printOptions horizontalCentered="1" verticalCentered="1"/>
  <pageMargins left="0.16" right="0.16" top="0.2" bottom="0.08" header="0.19" footer="0.12000000000000001"/>
  <pageSetup paperSize="9" scale="66" fitToHeight="2" orientation="portrait" horizontalDpi="4294967292" verticalDpi="4294967292"/>
  <ignoredErrors>
    <ignoredError sqref="L8:L10 J36:M37 M27 M28 M29 M30 K31:M31 M32 M33 K34:M34 K35:M35 J43:M44 M38 M39 M40 M41 M42 J53:M54 K45 M45 K46 M46 K47 M47 K48 M48 K49:M49 K50:M50 K51:M51 K52:M52 J57:M58 K55:M55 K56:M56 J62:M63 K59:M59 K60:M60 K61:M61 J64:K64 M64" emptyCellReference="1"/>
  </ignoredErrors>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Data_3!$B$12:$B$92</xm:f>
          </x14:formula1>
          <xm:sqref>D8</xm:sqref>
        </x14:dataValidation>
      </x14:dataValidations>
    </ext>
    <ext xmlns:mx="http://schemas.microsoft.com/office/mac/excel/2008/main" uri="{64002731-A6B0-56B0-2670-7721B7C09600}">
      <mx:PLV Mode="0" OnePage="0" WScale="67"/>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P40"/>
  <sheetViews>
    <sheetView showRowColHeaders="0" workbookViewId="0">
      <selection activeCell="D2" sqref="D2:E2"/>
    </sheetView>
  </sheetViews>
  <sheetFormatPr baseColWidth="10" defaultColWidth="0" defaultRowHeight="15" zeroHeight="1" x14ac:dyDescent="0"/>
  <cols>
    <col min="1" max="1" width="4.83203125" style="15" customWidth="1"/>
    <col min="2" max="16" width="12.83203125" style="15" customWidth="1"/>
    <col min="17" max="146" width="0" style="15" hidden="1" customWidth="1"/>
    <col min="147" max="16384" width="12.83203125" style="15" hidden="1"/>
  </cols>
  <sheetData>
    <row r="1" spans="1:146" s="498" customFormat="1">
      <c r="T1" s="499"/>
      <c r="U1" s="499"/>
      <c r="V1" s="499"/>
      <c r="W1" s="500"/>
      <c r="X1" s="500"/>
      <c r="Y1" s="500"/>
    </row>
    <row r="2" spans="1:146" s="464" customFormat="1" ht="31" customHeight="1">
      <c r="A2" s="494"/>
      <c r="B2" s="1817" t="s">
        <v>1965</v>
      </c>
      <c r="C2" s="1819">
        <v>400</v>
      </c>
      <c r="D2" s="1849" t="s">
        <v>1555</v>
      </c>
      <c r="E2" s="1850"/>
      <c r="F2" s="1849" t="s">
        <v>1563</v>
      </c>
      <c r="G2" s="1850"/>
      <c r="H2" s="1849" t="s">
        <v>794</v>
      </c>
      <c r="I2" s="1850"/>
      <c r="J2" s="1849" t="s">
        <v>1570</v>
      </c>
      <c r="K2" s="1850"/>
      <c r="L2" s="1849" t="s">
        <v>1564</v>
      </c>
      <c r="M2" s="1850"/>
      <c r="N2" s="2047" t="s">
        <v>1602</v>
      </c>
      <c r="O2" s="2033"/>
      <c r="P2" s="496"/>
      <c r="Q2" s="496"/>
      <c r="R2" s="496"/>
      <c r="S2" s="496"/>
      <c r="T2" s="494"/>
      <c r="U2" s="494"/>
      <c r="V2" s="494"/>
      <c r="W2" s="494"/>
      <c r="X2" s="494"/>
      <c r="Y2" s="494"/>
      <c r="Z2" s="494"/>
      <c r="AA2" s="494"/>
      <c r="AB2" s="494"/>
      <c r="AC2" s="494"/>
      <c r="AD2" s="494"/>
      <c r="AE2" s="494"/>
      <c r="AF2" s="494"/>
      <c r="AG2" s="494"/>
      <c r="AH2" s="494"/>
      <c r="AI2" s="494"/>
      <c r="AJ2" s="494"/>
      <c r="AK2" s="494"/>
      <c r="AL2" s="494"/>
      <c r="AM2" s="494"/>
      <c r="AN2" s="494"/>
      <c r="AO2" s="494"/>
      <c r="AP2" s="494"/>
      <c r="AQ2" s="494"/>
      <c r="AR2" s="494"/>
      <c r="AS2" s="494"/>
      <c r="AT2" s="494"/>
      <c r="AU2" s="494"/>
      <c r="AV2" s="494"/>
      <c r="AW2" s="494"/>
      <c r="AX2" s="494"/>
      <c r="AY2" s="494"/>
      <c r="AZ2" s="494"/>
      <c r="BA2" s="494"/>
      <c r="BB2" s="494"/>
      <c r="BC2" s="494"/>
      <c r="BD2" s="494"/>
      <c r="BE2" s="494"/>
      <c r="BF2" s="494"/>
      <c r="BG2" s="494"/>
      <c r="BH2" s="494"/>
      <c r="BI2" s="494"/>
      <c r="BJ2" s="494"/>
      <c r="BK2" s="494"/>
      <c r="BL2" s="494"/>
      <c r="BM2" s="494"/>
      <c r="BN2" s="494"/>
      <c r="BO2" s="494"/>
      <c r="BP2" s="494"/>
      <c r="BQ2" s="494"/>
      <c r="BR2" s="494"/>
      <c r="BS2" s="494"/>
      <c r="BT2" s="494"/>
      <c r="BU2" s="494"/>
      <c r="BV2" s="494"/>
      <c r="BW2" s="494"/>
      <c r="BX2" s="494"/>
      <c r="BY2" s="494"/>
      <c r="BZ2" s="494"/>
      <c r="CA2" s="494"/>
      <c r="CB2" s="494"/>
      <c r="CC2" s="494"/>
      <c r="CD2" s="494"/>
      <c r="CE2" s="494"/>
      <c r="CF2" s="494"/>
      <c r="CG2" s="494"/>
      <c r="CH2" s="494"/>
      <c r="CI2" s="494"/>
      <c r="CJ2" s="494"/>
      <c r="CK2" s="494"/>
      <c r="CL2" s="494"/>
      <c r="CM2" s="494"/>
      <c r="CN2" s="494"/>
      <c r="CO2" s="494"/>
      <c r="CP2" s="494"/>
      <c r="CQ2" s="494"/>
      <c r="CR2" s="494"/>
      <c r="CS2" s="494"/>
      <c r="CT2" s="494"/>
      <c r="CU2" s="494"/>
      <c r="CV2" s="494"/>
      <c r="CW2" s="494"/>
      <c r="CX2" s="494"/>
      <c r="CY2" s="494"/>
      <c r="CZ2" s="494"/>
      <c r="DA2" s="494"/>
      <c r="DB2" s="494"/>
      <c r="DC2" s="494"/>
      <c r="DD2" s="494"/>
      <c r="DE2" s="494"/>
      <c r="DF2" s="494"/>
      <c r="DG2" s="494"/>
      <c r="DH2" s="494"/>
      <c r="DI2" s="494"/>
      <c r="DJ2" s="494"/>
      <c r="DK2" s="494"/>
      <c r="DL2" s="494"/>
      <c r="DM2" s="494"/>
      <c r="DN2" s="494"/>
      <c r="DO2" s="494"/>
      <c r="DP2" s="494"/>
      <c r="DQ2" s="494"/>
      <c r="DR2" s="494"/>
      <c r="DS2" s="494"/>
      <c r="DT2" s="494"/>
      <c r="DU2" s="494"/>
      <c r="DV2" s="494"/>
      <c r="DW2" s="494"/>
      <c r="DX2" s="494"/>
      <c r="DY2" s="494"/>
      <c r="DZ2" s="494"/>
      <c r="EA2" s="494"/>
      <c r="EB2" s="494"/>
      <c r="EC2" s="494"/>
      <c r="ED2" s="494"/>
      <c r="EE2" s="494"/>
      <c r="EF2" s="494"/>
      <c r="EG2" s="494"/>
      <c r="EH2" s="494"/>
      <c r="EI2" s="494"/>
      <c r="EJ2" s="494"/>
      <c r="EK2" s="494"/>
      <c r="EL2" s="494"/>
      <c r="EM2" s="494"/>
      <c r="EN2" s="494"/>
      <c r="EO2" s="494"/>
      <c r="EP2" s="494"/>
    </row>
    <row r="3" spans="1:146" s="464" customFormat="1" ht="31" customHeight="1">
      <c r="A3" s="494"/>
      <c r="B3" s="1818"/>
      <c r="C3" s="1820"/>
      <c r="D3" s="1843" t="s">
        <v>722</v>
      </c>
      <c r="E3" s="1844"/>
      <c r="F3" s="1843" t="s">
        <v>1608</v>
      </c>
      <c r="G3" s="1844"/>
      <c r="H3" s="1843" t="s">
        <v>1609</v>
      </c>
      <c r="I3" s="1844"/>
      <c r="J3" s="1843" t="s">
        <v>1909</v>
      </c>
      <c r="K3" s="1844"/>
      <c r="L3" s="1843" t="s">
        <v>1568</v>
      </c>
      <c r="M3" s="1844"/>
      <c r="N3" s="1847" t="s">
        <v>2004</v>
      </c>
      <c r="O3" s="1848"/>
      <c r="P3" s="496"/>
      <c r="Q3" s="496"/>
      <c r="R3" s="496"/>
      <c r="S3" s="496"/>
      <c r="T3" s="494"/>
      <c r="U3" s="494"/>
      <c r="V3" s="494"/>
      <c r="W3" s="494"/>
      <c r="X3" s="494"/>
      <c r="Y3" s="494"/>
      <c r="Z3" s="494"/>
      <c r="AA3" s="494"/>
      <c r="AB3" s="494"/>
      <c r="AC3" s="494"/>
      <c r="AD3" s="494"/>
      <c r="AE3" s="494"/>
      <c r="AF3" s="494"/>
      <c r="AG3" s="494"/>
      <c r="AH3" s="494"/>
      <c r="AI3" s="494"/>
      <c r="AJ3" s="494"/>
      <c r="AK3" s="494"/>
      <c r="AL3" s="494"/>
      <c r="AM3" s="494"/>
      <c r="AN3" s="494"/>
      <c r="AO3" s="494"/>
      <c r="AP3" s="494"/>
      <c r="AQ3" s="494"/>
      <c r="AR3" s="494"/>
      <c r="AS3" s="494"/>
      <c r="AT3" s="494"/>
      <c r="AU3" s="494"/>
      <c r="AV3" s="494"/>
      <c r="AW3" s="494"/>
      <c r="AX3" s="494"/>
      <c r="AY3" s="494"/>
      <c r="AZ3" s="494"/>
      <c r="BA3" s="494"/>
      <c r="BB3" s="494"/>
      <c r="BC3" s="494"/>
      <c r="BD3" s="494"/>
      <c r="BE3" s="494"/>
      <c r="BF3" s="494"/>
      <c r="BG3" s="494"/>
      <c r="BH3" s="494"/>
      <c r="BI3" s="494"/>
      <c r="BJ3" s="494"/>
      <c r="BK3" s="494"/>
      <c r="BL3" s="494"/>
      <c r="BM3" s="494"/>
      <c r="BN3" s="494"/>
      <c r="BO3" s="494"/>
      <c r="BP3" s="494"/>
      <c r="BQ3" s="494"/>
      <c r="BR3" s="494"/>
      <c r="BS3" s="494"/>
      <c r="BT3" s="494"/>
      <c r="BU3" s="494"/>
      <c r="BV3" s="494"/>
      <c r="BW3" s="494"/>
      <c r="BX3" s="494"/>
      <c r="BY3" s="494"/>
      <c r="BZ3" s="494"/>
      <c r="CA3" s="494"/>
      <c r="CB3" s="494"/>
      <c r="CC3" s="494"/>
      <c r="CD3" s="494"/>
      <c r="CE3" s="494"/>
      <c r="CF3" s="494"/>
      <c r="CG3" s="494"/>
      <c r="CH3" s="494"/>
      <c r="CI3" s="494"/>
      <c r="CJ3" s="494"/>
      <c r="CK3" s="494"/>
      <c r="CL3" s="494"/>
      <c r="CM3" s="494"/>
      <c r="CN3" s="494"/>
      <c r="CO3" s="494"/>
      <c r="CP3" s="494"/>
      <c r="CQ3" s="494"/>
      <c r="CR3" s="494"/>
      <c r="CS3" s="494"/>
      <c r="CT3" s="494"/>
      <c r="CU3" s="494"/>
      <c r="CV3" s="494"/>
      <c r="CW3" s="494"/>
      <c r="CX3" s="494"/>
      <c r="CY3" s="494"/>
      <c r="CZ3" s="494"/>
      <c r="DA3" s="494"/>
      <c r="DB3" s="494"/>
      <c r="DC3" s="494"/>
      <c r="DD3" s="494"/>
      <c r="DE3" s="494"/>
      <c r="DF3" s="494"/>
      <c r="DG3" s="494"/>
      <c r="DH3" s="494"/>
      <c r="DI3" s="494"/>
      <c r="DJ3" s="494"/>
      <c r="DK3" s="494"/>
      <c r="DL3" s="494"/>
      <c r="DM3" s="494"/>
      <c r="DN3" s="494"/>
      <c r="DO3" s="494"/>
      <c r="DP3" s="494"/>
      <c r="DQ3" s="494"/>
      <c r="DR3" s="494"/>
      <c r="DS3" s="494"/>
      <c r="DT3" s="494"/>
      <c r="DU3" s="494"/>
      <c r="DV3" s="494"/>
      <c r="DW3" s="494"/>
      <c r="DX3" s="494"/>
      <c r="DY3" s="494"/>
      <c r="DZ3" s="494"/>
      <c r="EA3" s="494"/>
      <c r="EB3" s="494"/>
      <c r="EC3" s="494"/>
      <c r="ED3" s="494"/>
      <c r="EE3" s="494"/>
      <c r="EF3" s="494"/>
      <c r="EG3" s="494"/>
      <c r="EH3" s="494"/>
      <c r="EI3" s="494"/>
      <c r="EJ3" s="494"/>
      <c r="EK3" s="494"/>
      <c r="EL3" s="494"/>
      <c r="EM3" s="494"/>
      <c r="EN3" s="494"/>
      <c r="EO3" s="494"/>
      <c r="EP3" s="494"/>
    </row>
    <row r="4" spans="1:146" s="494" customFormat="1" ht="15" customHeight="1">
      <c r="B4" s="492"/>
      <c r="C4" s="495"/>
      <c r="D4" s="497"/>
      <c r="E4" s="497"/>
      <c r="F4" s="497"/>
      <c r="G4" s="497"/>
      <c r="H4" s="497"/>
      <c r="I4" s="497"/>
      <c r="J4" s="497"/>
      <c r="K4" s="497"/>
      <c r="L4" s="496"/>
      <c r="M4" s="496"/>
      <c r="N4" s="496"/>
      <c r="O4" s="496"/>
      <c r="P4" s="496"/>
      <c r="Q4" s="496"/>
      <c r="R4" s="496"/>
      <c r="S4" s="496"/>
    </row>
    <row r="5" spans="1:146" s="31" customFormat="1" ht="31" customHeight="1">
      <c r="B5" s="32"/>
      <c r="C5" s="33"/>
      <c r="D5" s="33"/>
      <c r="E5" s="33"/>
      <c r="F5" s="33"/>
      <c r="G5" s="33"/>
      <c r="H5" s="33"/>
      <c r="I5" s="33"/>
      <c r="J5" s="34"/>
      <c r="K5" s="34"/>
      <c r="L5" s="34"/>
      <c r="M5" s="34"/>
      <c r="N5" s="34"/>
      <c r="O5" s="34"/>
      <c r="Y5" s="26"/>
      <c r="Z5" s="26"/>
      <c r="AA5" s="26"/>
      <c r="AB5" s="26"/>
      <c r="AC5" s="26"/>
    </row>
    <row r="6" spans="1:146" s="29" customFormat="1" ht="31" customHeight="1" thickBot="1">
      <c r="A6" s="1192"/>
      <c r="B6" s="1408" t="s">
        <v>2005</v>
      </c>
      <c r="C6" s="466"/>
      <c r="D6" s="466"/>
      <c r="E6" s="466"/>
      <c r="F6" s="466"/>
      <c r="G6" s="466"/>
      <c r="H6" s="466"/>
      <c r="I6" s="466"/>
      <c r="J6" s="467"/>
      <c r="K6" s="467"/>
      <c r="L6" s="467"/>
      <c r="M6" s="467"/>
      <c r="N6" s="467"/>
      <c r="O6" s="467"/>
      <c r="P6" s="468"/>
      <c r="Q6" s="468"/>
      <c r="R6" s="468"/>
      <c r="S6" s="468"/>
      <c r="T6" s="468"/>
      <c r="U6" s="468"/>
      <c r="V6" s="468"/>
      <c r="W6" s="468"/>
      <c r="X6" s="468"/>
      <c r="Y6" s="468"/>
      <c r="Z6" s="468"/>
      <c r="AA6" s="468"/>
      <c r="AB6" s="468"/>
      <c r="AC6" s="468"/>
      <c r="AD6" s="468"/>
      <c r="AE6" s="468"/>
      <c r="AF6" s="468"/>
      <c r="AG6" s="468"/>
      <c r="AH6" s="468"/>
      <c r="AI6" s="468"/>
      <c r="AJ6" s="468"/>
      <c r="AK6" s="468"/>
      <c r="AL6" s="468"/>
      <c r="AM6" s="468"/>
      <c r="AN6" s="468"/>
      <c r="AO6" s="468"/>
      <c r="AP6" s="468"/>
      <c r="AQ6" s="468"/>
      <c r="AR6" s="468"/>
      <c r="AS6" s="468"/>
      <c r="AT6" s="468"/>
      <c r="AU6" s="468"/>
      <c r="AV6" s="468"/>
      <c r="AW6" s="468"/>
      <c r="AX6" s="468"/>
      <c r="AY6" s="468"/>
      <c r="AZ6" s="468"/>
      <c r="BA6" s="468"/>
      <c r="BB6" s="468"/>
      <c r="BC6" s="468"/>
      <c r="BD6" s="468"/>
      <c r="BE6" s="468"/>
      <c r="BF6" s="468"/>
      <c r="BG6" s="468"/>
      <c r="BH6" s="468"/>
      <c r="BI6" s="468"/>
      <c r="BJ6" s="468"/>
      <c r="BK6" s="468"/>
      <c r="BL6" s="468"/>
      <c r="BM6" s="468"/>
      <c r="BN6" s="468"/>
      <c r="BO6" s="468"/>
      <c r="BP6" s="468"/>
      <c r="BQ6" s="468"/>
      <c r="BR6" s="468"/>
      <c r="BS6" s="468"/>
      <c r="BT6" s="468"/>
      <c r="BU6" s="468"/>
      <c r="BV6" s="468"/>
      <c r="BW6" s="468"/>
      <c r="BX6" s="468"/>
      <c r="BY6" s="468"/>
      <c r="BZ6" s="468"/>
      <c r="CA6" s="468"/>
      <c r="CB6" s="468"/>
      <c r="CC6" s="468"/>
      <c r="CD6" s="234"/>
      <c r="CE6" s="234"/>
    </row>
    <row r="7" spans="1:146" ht="16" thickTop="1"/>
    <row r="8" spans="1:146" ht="18">
      <c r="B8" s="1327"/>
      <c r="C8" s="1327" t="s">
        <v>2021</v>
      </c>
      <c r="D8" s="1327"/>
    </row>
    <row r="9" spans="1:146">
      <c r="B9" s="1328"/>
      <c r="C9" s="1328"/>
      <c r="D9" s="1328"/>
    </row>
    <row r="10" spans="1:146" ht="18">
      <c r="B10" s="1328"/>
      <c r="C10" s="1327" t="s">
        <v>2732</v>
      </c>
      <c r="D10" s="1328"/>
    </row>
    <row r="11" spans="1:146">
      <c r="B11" s="1176"/>
    </row>
    <row r="12" spans="1:146">
      <c r="B12" s="1176"/>
    </row>
    <row r="13" spans="1:146">
      <c r="B13" s="1176"/>
    </row>
    <row r="14" spans="1:146"/>
    <row r="15" spans="1:146"/>
    <row r="16" spans="1:146"/>
    <row r="17"/>
    <row r="18"/>
    <row r="19"/>
    <row r="20"/>
    <row r="21"/>
    <row r="22"/>
    <row r="23"/>
    <row r="24"/>
    <row r="25"/>
    <row r="26"/>
    <row r="27"/>
    <row r="28"/>
    <row r="29"/>
    <row r="30"/>
    <row r="31"/>
    <row r="32"/>
    <row r="33"/>
    <row r="34"/>
    <row r="35"/>
    <row r="36"/>
    <row r="37"/>
    <row r="38"/>
    <row r="39"/>
    <row r="40"/>
  </sheetData>
  <mergeCells count="14">
    <mergeCell ref="D3:E3"/>
    <mergeCell ref="F3:G3"/>
    <mergeCell ref="N3:O3"/>
    <mergeCell ref="B2:B3"/>
    <mergeCell ref="C2:C3"/>
    <mergeCell ref="D2:E2"/>
    <mergeCell ref="F2:G2"/>
    <mergeCell ref="H2:I2"/>
    <mergeCell ref="J2:K2"/>
    <mergeCell ref="H3:I3"/>
    <mergeCell ref="J3:K3"/>
    <mergeCell ref="L3:M3"/>
    <mergeCell ref="L2:M2"/>
    <mergeCell ref="N2:O2"/>
  </mergeCells>
  <hyperlinks>
    <hyperlink ref="E2" location="Home!A1" display="Home!A1"/>
    <hyperlink ref="D2" location="Home!A1" display="Introduction"/>
    <hyperlink ref="M2" location="Results!A1" display="Results!A1"/>
    <hyperlink ref="L2" location="Results!A1" display="Results"/>
    <hyperlink ref="J2" location="Calculators!A1" display="Calculators"/>
    <hyperlink ref="H2" location="Inventory!A1" display="Inventory"/>
    <hyperlink ref="G2" location="'City information'!A1" display="'City information'!A1"/>
    <hyperlink ref="F2" location="'City information'!A1" display="Set-up"/>
    <hyperlink ref="N2" location="Analysis!A1" display="Analysis"/>
    <hyperlink ref="O2" location="Analysis!A1" display="Analysis!A1"/>
    <hyperlink ref="H3" location="Benchmark!A1" display="Benchmarking"/>
    <hyperlink ref="G3" location="Progress!A1" display="Progress!A1"/>
    <hyperlink ref="F3" location="Progress!A1" display="Progress"/>
    <hyperlink ref="D3" location="Data!A1" display="Data"/>
    <hyperlink ref="E3" location="Data!A1" display="Data!A1"/>
    <hyperlink ref="I3" location="Benchmark!A1" display="Benchmark!A1"/>
    <hyperlink ref="J3" location="'Heat map'!A1" display="Heat map"/>
    <hyperlink ref="K3" location="'Heat map'!A1" display="'Heat map'!A1"/>
    <hyperlink ref="L3" location="Overview_2!A1" display="Overview"/>
    <hyperlink ref="M3" location="Overview_2!A1" display="Overview_2!A1"/>
  </hyperlinks>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theme="4"/>
    <outlinePr summaryBelow="0"/>
    <pageSetUpPr fitToPage="1"/>
  </sheetPr>
  <dimension ref="A1:ET1029"/>
  <sheetViews>
    <sheetView showRowColHeaders="0" workbookViewId="0">
      <selection activeCell="F3" sqref="F3:G3"/>
    </sheetView>
  </sheetViews>
  <sheetFormatPr baseColWidth="10" defaultColWidth="0" defaultRowHeight="15" customHeight="1" zeroHeight="1" x14ac:dyDescent="0"/>
  <cols>
    <col min="1" max="1" width="4.83203125" style="31" customWidth="1"/>
    <col min="2" max="2" width="12.83203125" style="32" customWidth="1"/>
    <col min="3" max="11" width="12.83203125" style="33" customWidth="1"/>
    <col min="12" max="13" width="12.83203125" style="34" customWidth="1"/>
    <col min="14" max="17" width="12.6640625" style="34" customWidth="1"/>
    <col min="18" max="21" width="12.83203125" style="31" customWidth="1"/>
    <col min="22" max="22" width="12.83203125" style="15" customWidth="1"/>
    <col min="23" max="26" width="12.83203125" style="31" customWidth="1"/>
    <col min="27" max="31" width="12.83203125" style="26" customWidth="1"/>
    <col min="32" max="149" width="12.83203125" style="31" customWidth="1"/>
    <col min="150" max="150" width="4.83203125" style="31" customWidth="1"/>
    <col min="151" max="16384" width="10.83203125" style="31" hidden="1"/>
  </cols>
  <sheetData>
    <row r="1" spans="1:150" s="498" customFormat="1">
      <c r="V1" s="499"/>
      <c r="W1" s="499"/>
      <c r="X1" s="499"/>
      <c r="Y1" s="500"/>
      <c r="Z1" s="500"/>
      <c r="AA1" s="500"/>
    </row>
    <row r="2" spans="1:150" s="464" customFormat="1" ht="31" customHeight="1">
      <c r="A2" s="494"/>
      <c r="B2" s="1817" t="s">
        <v>1965</v>
      </c>
      <c r="C2" s="1819">
        <v>400</v>
      </c>
      <c r="D2" s="1849" t="s">
        <v>1555</v>
      </c>
      <c r="E2" s="1850"/>
      <c r="F2" s="1849" t="s">
        <v>1563</v>
      </c>
      <c r="G2" s="1850"/>
      <c r="H2" s="1849" t="s">
        <v>794</v>
      </c>
      <c r="I2" s="1850"/>
      <c r="J2" s="1849" t="s">
        <v>1570</v>
      </c>
      <c r="K2" s="1850"/>
      <c r="L2" s="1849" t="s">
        <v>1564</v>
      </c>
      <c r="M2" s="1850"/>
      <c r="N2" s="1847" t="s">
        <v>1602</v>
      </c>
      <c r="O2" s="1848"/>
      <c r="P2" s="1472"/>
      <c r="Q2" s="1165"/>
      <c r="R2" s="1165"/>
      <c r="S2" s="1165"/>
      <c r="T2" s="1165"/>
      <c r="U2" s="496"/>
      <c r="V2" s="494"/>
      <c r="W2" s="494"/>
      <c r="X2" s="494"/>
      <c r="Y2" s="494"/>
      <c r="Z2" s="494"/>
      <c r="AA2" s="494"/>
      <c r="AB2" s="494"/>
      <c r="AC2" s="494"/>
      <c r="AD2" s="494"/>
      <c r="AE2" s="494"/>
      <c r="AF2" s="494"/>
      <c r="AG2" s="494"/>
      <c r="AH2" s="494"/>
      <c r="AI2" s="494"/>
      <c r="AJ2" s="494"/>
      <c r="AK2" s="494"/>
      <c r="AL2" s="494"/>
      <c r="AM2" s="494"/>
      <c r="AN2" s="494"/>
      <c r="AO2" s="494"/>
      <c r="AP2" s="494"/>
      <c r="AQ2" s="494"/>
      <c r="AR2" s="494"/>
      <c r="AS2" s="494"/>
      <c r="AT2" s="494"/>
      <c r="AU2" s="494"/>
      <c r="AV2" s="494"/>
      <c r="AW2" s="494"/>
      <c r="AX2" s="494"/>
      <c r="AY2" s="494"/>
      <c r="AZ2" s="494"/>
      <c r="BA2" s="494"/>
      <c r="BB2" s="494"/>
      <c r="BC2" s="494"/>
      <c r="BD2" s="494"/>
      <c r="BE2" s="494"/>
      <c r="BF2" s="494"/>
      <c r="BG2" s="494"/>
      <c r="BH2" s="494"/>
      <c r="BI2" s="494"/>
      <c r="BJ2" s="494"/>
      <c r="BK2" s="494"/>
      <c r="BL2" s="494"/>
      <c r="BM2" s="494"/>
      <c r="BN2" s="494"/>
      <c r="BO2" s="494"/>
      <c r="BP2" s="494"/>
      <c r="BQ2" s="494"/>
      <c r="BR2" s="494"/>
      <c r="BS2" s="494"/>
      <c r="BT2" s="494"/>
      <c r="BU2" s="494"/>
      <c r="BV2" s="494"/>
      <c r="BW2" s="494"/>
      <c r="BX2" s="494"/>
      <c r="BY2" s="494"/>
      <c r="BZ2" s="494"/>
      <c r="CA2" s="494"/>
      <c r="CB2" s="494"/>
      <c r="CC2" s="494"/>
      <c r="CD2" s="494"/>
      <c r="CE2" s="494"/>
      <c r="CF2" s="494"/>
      <c r="CG2" s="494"/>
      <c r="CH2" s="494"/>
      <c r="CI2" s="494"/>
      <c r="CJ2" s="494"/>
      <c r="CK2" s="494"/>
      <c r="CL2" s="494"/>
      <c r="CM2" s="494"/>
      <c r="CN2" s="494"/>
      <c r="CO2" s="494"/>
      <c r="CP2" s="494"/>
      <c r="CQ2" s="494"/>
      <c r="CR2" s="494"/>
      <c r="CS2" s="494"/>
      <c r="CT2" s="494"/>
      <c r="CU2" s="494"/>
      <c r="CV2" s="494"/>
      <c r="CW2" s="494"/>
      <c r="CX2" s="494"/>
      <c r="CY2" s="494"/>
      <c r="CZ2" s="494"/>
      <c r="DA2" s="494"/>
      <c r="DB2" s="494"/>
      <c r="DC2" s="494"/>
      <c r="DD2" s="494"/>
      <c r="DE2" s="494"/>
      <c r="DF2" s="494"/>
      <c r="DG2" s="494"/>
      <c r="DH2" s="494"/>
      <c r="DI2" s="494"/>
      <c r="DJ2" s="494"/>
      <c r="DK2" s="494"/>
      <c r="DL2" s="494"/>
      <c r="DM2" s="494"/>
      <c r="DN2" s="494"/>
      <c r="DO2" s="494"/>
      <c r="DP2" s="494"/>
      <c r="DQ2" s="494"/>
      <c r="DR2" s="494"/>
      <c r="DS2" s="494"/>
      <c r="DT2" s="494"/>
      <c r="DU2" s="494"/>
      <c r="DV2" s="494"/>
      <c r="DW2" s="494"/>
      <c r="DX2" s="494"/>
      <c r="DY2" s="494"/>
      <c r="DZ2" s="494"/>
      <c r="EA2" s="494"/>
      <c r="EB2" s="494"/>
      <c r="EC2" s="494"/>
      <c r="ED2" s="494"/>
      <c r="EE2" s="494"/>
      <c r="EF2" s="494"/>
      <c r="EG2" s="494"/>
      <c r="EH2" s="494"/>
      <c r="EI2" s="494"/>
      <c r="EJ2" s="494"/>
      <c r="EK2" s="494"/>
      <c r="EL2" s="494"/>
      <c r="EM2" s="494"/>
      <c r="EN2" s="494"/>
      <c r="EO2" s="494"/>
      <c r="EP2" s="494"/>
      <c r="EQ2" s="494"/>
      <c r="ER2" s="494"/>
      <c r="ES2" s="494"/>
      <c r="ET2" s="494"/>
    </row>
    <row r="3" spans="1:150" s="464" customFormat="1" ht="31" customHeight="1">
      <c r="A3" s="494"/>
      <c r="B3" s="1818"/>
      <c r="C3" s="1820"/>
      <c r="D3" s="2651" t="s">
        <v>722</v>
      </c>
      <c r="E3" s="2652"/>
      <c r="F3" s="1843" t="s">
        <v>1608</v>
      </c>
      <c r="G3" s="1844"/>
      <c r="H3" s="1843" t="s">
        <v>1609</v>
      </c>
      <c r="I3" s="1844"/>
      <c r="J3" s="1843" t="s">
        <v>1909</v>
      </c>
      <c r="K3" s="1844"/>
      <c r="L3" s="1843" t="s">
        <v>1568</v>
      </c>
      <c r="M3" s="1844"/>
      <c r="N3" s="1843" t="s">
        <v>2004</v>
      </c>
      <c r="O3" s="1844"/>
      <c r="P3" s="1472"/>
      <c r="Q3" s="1472"/>
      <c r="R3" s="1472"/>
      <c r="S3" s="1472"/>
      <c r="T3" s="1472"/>
      <c r="U3" s="496"/>
      <c r="V3" s="494"/>
      <c r="W3" s="494"/>
      <c r="X3" s="494"/>
      <c r="Y3" s="494"/>
      <c r="Z3" s="494"/>
      <c r="AA3" s="494"/>
      <c r="AB3" s="494"/>
      <c r="AC3" s="494"/>
      <c r="AD3" s="494"/>
      <c r="AE3" s="494"/>
      <c r="AF3" s="494"/>
      <c r="AG3" s="494"/>
      <c r="AH3" s="494"/>
      <c r="AI3" s="494"/>
      <c r="AJ3" s="494"/>
      <c r="AK3" s="494"/>
      <c r="AL3" s="494"/>
      <c r="AM3" s="494"/>
      <c r="AN3" s="494"/>
      <c r="AO3" s="494"/>
      <c r="AP3" s="494"/>
      <c r="AQ3" s="494"/>
      <c r="AR3" s="494"/>
      <c r="AS3" s="494"/>
      <c r="AT3" s="494"/>
      <c r="AU3" s="494"/>
      <c r="AV3" s="494"/>
      <c r="AW3" s="494"/>
      <c r="AX3" s="494"/>
      <c r="AY3" s="494"/>
      <c r="AZ3" s="494"/>
      <c r="BA3" s="494"/>
      <c r="BB3" s="494"/>
      <c r="BC3" s="494"/>
      <c r="BD3" s="494"/>
      <c r="BE3" s="494"/>
      <c r="BF3" s="494"/>
      <c r="BG3" s="494"/>
      <c r="BH3" s="494"/>
      <c r="BI3" s="494"/>
      <c r="BJ3" s="494"/>
      <c r="BK3" s="494"/>
      <c r="BL3" s="494"/>
      <c r="BM3" s="494"/>
      <c r="BN3" s="494"/>
      <c r="BO3" s="494"/>
      <c r="BP3" s="494"/>
      <c r="BQ3" s="494"/>
      <c r="BR3" s="494"/>
      <c r="BS3" s="494"/>
      <c r="BT3" s="494"/>
      <c r="BU3" s="494"/>
      <c r="BV3" s="494"/>
      <c r="BW3" s="494"/>
      <c r="BX3" s="494"/>
      <c r="BY3" s="494"/>
      <c r="BZ3" s="494"/>
      <c r="CA3" s="494"/>
      <c r="CB3" s="494"/>
      <c r="CC3" s="494"/>
      <c r="CD3" s="494"/>
      <c r="CE3" s="494"/>
      <c r="CF3" s="494"/>
      <c r="CG3" s="494"/>
      <c r="CH3" s="494"/>
      <c r="CI3" s="494"/>
      <c r="CJ3" s="494"/>
      <c r="CK3" s="494"/>
      <c r="CL3" s="494"/>
      <c r="CM3" s="494"/>
      <c r="CN3" s="494"/>
      <c r="CO3" s="494"/>
      <c r="CP3" s="494"/>
      <c r="CQ3" s="494"/>
      <c r="CR3" s="494"/>
      <c r="CS3" s="494"/>
      <c r="CT3" s="494"/>
      <c r="CU3" s="494"/>
      <c r="CV3" s="494"/>
      <c r="CW3" s="494"/>
      <c r="CX3" s="494"/>
      <c r="CY3" s="494"/>
      <c r="CZ3" s="494"/>
      <c r="DA3" s="494"/>
      <c r="DB3" s="494"/>
      <c r="DC3" s="494"/>
      <c r="DD3" s="494"/>
      <c r="DE3" s="494"/>
      <c r="DF3" s="494"/>
      <c r="DG3" s="494"/>
      <c r="DH3" s="494"/>
      <c r="DI3" s="494"/>
      <c r="DJ3" s="494"/>
      <c r="DK3" s="494"/>
      <c r="DL3" s="494"/>
      <c r="DM3" s="494"/>
      <c r="DN3" s="494"/>
      <c r="DO3" s="494"/>
      <c r="DP3" s="494"/>
      <c r="DQ3" s="494"/>
      <c r="DR3" s="494"/>
      <c r="DS3" s="494"/>
      <c r="DT3" s="494"/>
      <c r="DU3" s="494"/>
      <c r="DV3" s="494"/>
      <c r="DW3" s="494"/>
      <c r="DX3" s="494"/>
      <c r="DY3" s="494"/>
      <c r="DZ3" s="494"/>
      <c r="EA3" s="494"/>
      <c r="EB3" s="494"/>
      <c r="EC3" s="494"/>
      <c r="ED3" s="494"/>
      <c r="EE3" s="494"/>
      <c r="EF3" s="494"/>
      <c r="EG3" s="494"/>
      <c r="EH3" s="494"/>
      <c r="EI3" s="494"/>
      <c r="EJ3" s="494"/>
      <c r="EK3" s="494"/>
      <c r="EL3" s="494"/>
      <c r="EM3" s="494"/>
      <c r="EN3" s="494"/>
      <c r="EO3" s="494"/>
      <c r="EP3" s="494"/>
      <c r="EQ3" s="494"/>
      <c r="ER3" s="494"/>
      <c r="ES3" s="494"/>
      <c r="ET3" s="494"/>
    </row>
    <row r="4" spans="1:150" s="494" customFormat="1" ht="15" customHeight="1">
      <c r="B4" s="492"/>
      <c r="C4" s="495"/>
      <c r="D4" s="497"/>
      <c r="E4" s="497"/>
      <c r="F4" s="497"/>
      <c r="G4" s="497"/>
      <c r="H4" s="497"/>
      <c r="I4" s="497"/>
      <c r="J4" s="497"/>
      <c r="K4" s="497"/>
      <c r="L4" s="497"/>
      <c r="M4" s="497"/>
      <c r="N4" s="496"/>
      <c r="O4" s="496"/>
      <c r="P4" s="496"/>
      <c r="Q4" s="496"/>
      <c r="R4" s="496"/>
      <c r="S4" s="496"/>
      <c r="T4" s="496"/>
      <c r="U4" s="496"/>
    </row>
    <row r="5" spans="1:150" ht="31" customHeight="1">
      <c r="V5" s="31"/>
    </row>
    <row r="6" spans="1:150" s="29" customFormat="1" ht="31" customHeight="1" thickBot="1">
      <c r="A6" s="1192"/>
      <c r="B6" s="1385" t="s">
        <v>2498</v>
      </c>
      <c r="C6" s="466"/>
      <c r="D6" s="466"/>
      <c r="E6" s="466"/>
      <c r="F6" s="466"/>
      <c r="G6" s="466"/>
      <c r="H6" s="466"/>
      <c r="I6" s="466"/>
      <c r="J6" s="466"/>
      <c r="K6" s="466"/>
      <c r="L6" s="467"/>
      <c r="M6" s="467"/>
      <c r="N6" s="467"/>
      <c r="O6" s="467"/>
      <c r="P6" s="467"/>
      <c r="Q6" s="467"/>
      <c r="R6" s="468"/>
      <c r="S6" s="468"/>
      <c r="T6" s="468"/>
      <c r="U6" s="468"/>
      <c r="V6" s="468"/>
      <c r="W6" s="468"/>
      <c r="X6" s="468"/>
      <c r="Y6" s="468"/>
      <c r="Z6" s="468"/>
      <c r="AA6" s="468"/>
      <c r="AB6" s="468"/>
      <c r="AC6" s="468"/>
      <c r="AD6" s="468"/>
      <c r="AE6" s="468"/>
      <c r="AF6" s="468"/>
      <c r="AG6" s="468"/>
      <c r="AH6" s="468"/>
      <c r="AI6" s="468"/>
      <c r="AJ6" s="468"/>
      <c r="AK6" s="468"/>
      <c r="AL6" s="468"/>
      <c r="AM6" s="468"/>
      <c r="AN6" s="468"/>
      <c r="AO6" s="468"/>
      <c r="AP6" s="468"/>
      <c r="AQ6" s="468"/>
      <c r="AR6" s="468"/>
      <c r="AS6" s="468"/>
      <c r="AT6" s="468"/>
      <c r="AU6" s="468"/>
      <c r="AV6" s="468"/>
      <c r="AW6" s="468"/>
      <c r="AX6" s="468"/>
      <c r="AY6" s="468"/>
      <c r="AZ6" s="468"/>
      <c r="BA6" s="468"/>
      <c r="BB6" s="468"/>
      <c r="BC6" s="468"/>
      <c r="BD6" s="468"/>
      <c r="BE6" s="468"/>
      <c r="BF6" s="468"/>
      <c r="BG6" s="468"/>
      <c r="BH6" s="468"/>
      <c r="BI6" s="468"/>
      <c r="BJ6" s="468"/>
      <c r="BK6" s="468"/>
      <c r="BL6" s="468"/>
      <c r="BM6" s="468"/>
      <c r="BN6" s="468"/>
      <c r="BO6" s="468"/>
      <c r="BP6" s="468"/>
      <c r="BQ6" s="468"/>
      <c r="BR6" s="468"/>
      <c r="BS6" s="468"/>
      <c r="BT6" s="468"/>
      <c r="BU6" s="468"/>
      <c r="BV6" s="468"/>
      <c r="BW6" s="468"/>
      <c r="BX6" s="468"/>
      <c r="BY6" s="468"/>
      <c r="BZ6" s="468"/>
      <c r="CA6" s="468"/>
      <c r="CB6" s="468"/>
      <c r="CC6" s="468"/>
      <c r="CD6" s="468"/>
      <c r="CE6" s="468"/>
      <c r="CF6" s="468"/>
      <c r="CG6" s="468"/>
      <c r="CH6" s="468"/>
      <c r="CI6" s="468"/>
      <c r="CJ6" s="468"/>
      <c r="CK6" s="468"/>
      <c r="CL6" s="468"/>
      <c r="CM6" s="468"/>
      <c r="CN6" s="468"/>
      <c r="CO6" s="468"/>
      <c r="CP6" s="468"/>
      <c r="CQ6" s="468"/>
      <c r="CR6" s="468"/>
      <c r="CS6" s="468"/>
      <c r="CT6" s="468"/>
      <c r="CU6" s="468"/>
      <c r="CV6" s="468"/>
      <c r="CW6" s="468"/>
      <c r="CX6" s="468"/>
      <c r="CY6" s="468"/>
      <c r="CZ6" s="468"/>
      <c r="DA6" s="468"/>
      <c r="DB6" s="468"/>
      <c r="DC6" s="468"/>
      <c r="DD6" s="468"/>
      <c r="DE6" s="468"/>
      <c r="DF6" s="468"/>
      <c r="DG6" s="468"/>
      <c r="DH6" s="468"/>
      <c r="DI6" s="468"/>
      <c r="DJ6" s="468"/>
      <c r="DK6" s="468"/>
      <c r="DL6" s="468"/>
      <c r="DM6" s="468"/>
      <c r="DN6" s="468"/>
      <c r="DO6" s="468"/>
      <c r="DP6" s="468"/>
      <c r="DQ6" s="468"/>
      <c r="DR6" s="468"/>
      <c r="DS6" s="468"/>
      <c r="DT6" s="468"/>
      <c r="DU6" s="468"/>
      <c r="DV6" s="468"/>
      <c r="DW6" s="468"/>
      <c r="DX6" s="468"/>
      <c r="DY6" s="468"/>
      <c r="DZ6" s="468"/>
      <c r="EA6" s="468"/>
      <c r="EB6" s="468"/>
      <c r="EC6" s="468"/>
      <c r="ED6" s="468"/>
      <c r="EE6" s="468"/>
      <c r="EF6" s="468"/>
      <c r="EG6" s="468"/>
      <c r="EH6" s="468"/>
      <c r="EI6" s="468"/>
      <c r="EJ6" s="468"/>
      <c r="EK6" s="468"/>
      <c r="EL6" s="468"/>
      <c r="EM6" s="468"/>
      <c r="EN6" s="468"/>
      <c r="EO6" s="468"/>
      <c r="EP6" s="468"/>
      <c r="EQ6" s="468"/>
      <c r="ER6" s="468"/>
      <c r="ES6" s="468"/>
    </row>
    <row r="7" spans="1:150" s="29" customFormat="1" ht="15" customHeight="1" thickTop="1">
      <c r="B7" s="229"/>
      <c r="C7" s="230"/>
      <c r="D7" s="230"/>
      <c r="E7" s="230"/>
      <c r="F7" s="230"/>
      <c r="G7" s="230"/>
      <c r="H7" s="230"/>
      <c r="I7" s="230"/>
      <c r="J7" s="230"/>
      <c r="K7" s="230"/>
      <c r="L7" s="30"/>
      <c r="M7" s="30"/>
      <c r="N7" s="30"/>
      <c r="O7" s="30"/>
      <c r="P7" s="30"/>
      <c r="Q7" s="30"/>
      <c r="AA7" s="234"/>
      <c r="AB7" s="234"/>
      <c r="AC7" s="234"/>
      <c r="AD7" s="234"/>
      <c r="AE7" s="234"/>
    </row>
    <row r="8" spans="1:150" s="29" customFormat="1" ht="15" customHeight="1">
      <c r="B8" s="465" t="s">
        <v>2464</v>
      </c>
      <c r="C8" s="230"/>
      <c r="D8" s="230"/>
      <c r="E8" s="230"/>
      <c r="H8" s="230"/>
      <c r="I8" s="230"/>
      <c r="J8" s="230"/>
      <c r="K8" s="230"/>
      <c r="L8" s="30"/>
      <c r="M8" s="30"/>
      <c r="N8" s="30"/>
      <c r="O8" s="30"/>
      <c r="AA8" s="234"/>
      <c r="AB8" s="234"/>
      <c r="AC8" s="234"/>
      <c r="AD8" s="234"/>
      <c r="AE8" s="234"/>
      <c r="CZ8" s="1419" t="s">
        <v>2499</v>
      </c>
      <c r="DA8" s="1419"/>
    </row>
    <row r="9" spans="1:150" s="29" customFormat="1" ht="15" customHeight="1">
      <c r="B9" s="229"/>
      <c r="C9" s="230"/>
      <c r="D9" s="230"/>
      <c r="E9" s="230"/>
      <c r="H9" s="230"/>
      <c r="I9" s="230"/>
      <c r="J9" s="230"/>
      <c r="K9" s="230"/>
      <c r="L9" s="30"/>
      <c r="M9" s="30"/>
      <c r="N9" s="30"/>
      <c r="O9" s="30"/>
      <c r="AA9" s="234"/>
      <c r="AB9" s="234"/>
      <c r="AC9" s="234"/>
      <c r="AD9" s="234"/>
      <c r="AE9" s="234"/>
    </row>
    <row r="10" spans="1:150" s="642" customFormat="1" ht="31" customHeight="1">
      <c r="B10" s="1070" t="s">
        <v>1025</v>
      </c>
      <c r="C10" s="1166" t="s">
        <v>620</v>
      </c>
      <c r="D10" s="1166" t="s">
        <v>1117</v>
      </c>
      <c r="E10" s="1166" t="s">
        <v>685</v>
      </c>
      <c r="F10" s="1170" t="s">
        <v>729</v>
      </c>
      <c r="G10" s="1388" t="s">
        <v>2495</v>
      </c>
      <c r="H10" s="1387" t="s">
        <v>2494</v>
      </c>
      <c r="I10" s="1473" t="s">
        <v>1636</v>
      </c>
      <c r="J10" s="1166" t="s">
        <v>1034</v>
      </c>
      <c r="K10" s="1166" t="s">
        <v>1614</v>
      </c>
      <c r="L10" s="1166" t="s">
        <v>1613</v>
      </c>
      <c r="M10" s="1170" t="s">
        <v>49</v>
      </c>
      <c r="N10" s="1170" t="s">
        <v>51</v>
      </c>
      <c r="O10" s="1170" t="s">
        <v>53</v>
      </c>
      <c r="P10" s="1170" t="s">
        <v>57</v>
      </c>
      <c r="Q10" s="1170" t="s">
        <v>58</v>
      </c>
      <c r="R10" s="1170" t="s">
        <v>59</v>
      </c>
      <c r="S10" s="1170" t="s">
        <v>61</v>
      </c>
      <c r="T10" s="1170" t="s">
        <v>62</v>
      </c>
      <c r="U10" s="1170" t="s">
        <v>63</v>
      </c>
      <c r="V10" s="1170" t="s">
        <v>65</v>
      </c>
      <c r="W10" s="1170" t="s">
        <v>67</v>
      </c>
      <c r="X10" s="1170" t="s">
        <v>69</v>
      </c>
      <c r="Y10" s="1170" t="s">
        <v>71</v>
      </c>
      <c r="Z10" s="1170" t="s">
        <v>75</v>
      </c>
      <c r="AA10" s="1170" t="s">
        <v>76</v>
      </c>
      <c r="AB10" s="1170" t="s">
        <v>77</v>
      </c>
      <c r="AC10" s="1170" t="s">
        <v>79</v>
      </c>
      <c r="AD10" s="1170" t="s">
        <v>80</v>
      </c>
      <c r="AE10" s="1170" t="s">
        <v>81</v>
      </c>
      <c r="AF10" s="1170" t="s">
        <v>83</v>
      </c>
      <c r="AG10" s="1170" t="s">
        <v>86</v>
      </c>
      <c r="AH10" s="1170" t="s">
        <v>90</v>
      </c>
      <c r="AI10" s="1170" t="s">
        <v>92</v>
      </c>
      <c r="AJ10" s="1170" t="s">
        <v>94</v>
      </c>
      <c r="AK10" s="1170" t="s">
        <v>96</v>
      </c>
      <c r="AL10" s="1170" t="s">
        <v>98</v>
      </c>
      <c r="AM10" s="1170" t="s">
        <v>100</v>
      </c>
      <c r="AN10" s="1170" t="s">
        <v>102</v>
      </c>
      <c r="AO10" s="1170" t="s">
        <v>104</v>
      </c>
      <c r="AP10" s="1170" t="s">
        <v>106</v>
      </c>
      <c r="AQ10" s="1170" t="s">
        <v>108</v>
      </c>
      <c r="AR10" s="1170" t="s">
        <v>110</v>
      </c>
      <c r="AS10" s="1170" t="s">
        <v>112</v>
      </c>
      <c r="AT10" s="1170" t="s">
        <v>115</v>
      </c>
      <c r="AU10" s="1170" t="s">
        <v>117</v>
      </c>
      <c r="AV10" s="1170" t="s">
        <v>623</v>
      </c>
      <c r="AW10" s="1170" t="s">
        <v>122</v>
      </c>
      <c r="AX10" s="1170" t="s">
        <v>124</v>
      </c>
      <c r="AY10" s="1170" t="s">
        <v>126</v>
      </c>
      <c r="AZ10" s="1170" t="s">
        <v>129</v>
      </c>
      <c r="BA10" s="1170" t="s">
        <v>130</v>
      </c>
      <c r="BB10" s="1170" t="s">
        <v>132</v>
      </c>
      <c r="BC10" s="1170" t="s">
        <v>135</v>
      </c>
      <c r="BD10" s="1170" t="s">
        <v>137</v>
      </c>
      <c r="BE10" s="1170" t="s">
        <v>139</v>
      </c>
      <c r="BF10" s="1170" t="s">
        <v>142</v>
      </c>
      <c r="BG10" s="1170" t="s">
        <v>144</v>
      </c>
      <c r="BH10" s="1170" t="s">
        <v>146</v>
      </c>
      <c r="BI10" s="1170" t="s">
        <v>150</v>
      </c>
      <c r="BJ10" s="1170" t="s">
        <v>152</v>
      </c>
      <c r="BK10" s="1170" t="s">
        <v>156</v>
      </c>
      <c r="BL10" s="1170" t="s">
        <v>167</v>
      </c>
      <c r="BM10" s="1170" t="s">
        <v>168</v>
      </c>
      <c r="BN10" s="1170" t="s">
        <v>161</v>
      </c>
      <c r="BO10" s="1388" t="s">
        <v>2494</v>
      </c>
      <c r="BP10" s="1166" t="s">
        <v>172</v>
      </c>
      <c r="BQ10" s="1166" t="s">
        <v>173</v>
      </c>
      <c r="BR10" s="1166" t="s">
        <v>1760</v>
      </c>
      <c r="BS10" s="1166" t="s">
        <v>1714</v>
      </c>
      <c r="BT10" s="1166" t="s">
        <v>1765</v>
      </c>
      <c r="BU10" s="1166" t="s">
        <v>1764</v>
      </c>
      <c r="BV10" s="1166" t="s">
        <v>1763</v>
      </c>
      <c r="BW10" s="1166" t="s">
        <v>1762</v>
      </c>
      <c r="BX10" s="1166" t="s">
        <v>1761</v>
      </c>
      <c r="BY10" s="1166" t="s">
        <v>1766</v>
      </c>
      <c r="BZ10" s="1166" t="s">
        <v>1767</v>
      </c>
      <c r="CA10" s="1166" t="s">
        <v>1768</v>
      </c>
      <c r="CB10" s="1166" t="s">
        <v>1769</v>
      </c>
      <c r="CC10" s="1166" t="s">
        <v>1771</v>
      </c>
      <c r="CD10" s="1166" t="s">
        <v>1770</v>
      </c>
      <c r="CE10" s="1166" t="s">
        <v>1772</v>
      </c>
      <c r="CF10" s="1166" t="s">
        <v>1773</v>
      </c>
      <c r="CG10" s="1166" t="s">
        <v>1893</v>
      </c>
      <c r="CH10" s="1166" t="s">
        <v>1894</v>
      </c>
      <c r="CI10" s="1166" t="s">
        <v>1833</v>
      </c>
      <c r="CJ10" s="1166" t="s">
        <v>1834</v>
      </c>
      <c r="CK10" s="1166" t="s">
        <v>1835</v>
      </c>
      <c r="CL10" s="1166" t="s">
        <v>1836</v>
      </c>
      <c r="CM10" s="1166" t="s">
        <v>1837</v>
      </c>
      <c r="CN10" s="1166" t="s">
        <v>1838</v>
      </c>
      <c r="CO10" s="1166" t="s">
        <v>1839</v>
      </c>
      <c r="CP10" s="1166" t="s">
        <v>1840</v>
      </c>
      <c r="CQ10" s="1166" t="s">
        <v>1841</v>
      </c>
      <c r="CR10" s="1166" t="s">
        <v>1842</v>
      </c>
      <c r="CS10" s="1166" t="s">
        <v>1843</v>
      </c>
      <c r="CT10" s="1166" t="s">
        <v>1844</v>
      </c>
      <c r="CU10" s="1166" t="s">
        <v>1845</v>
      </c>
      <c r="CV10" s="1166" t="s">
        <v>1846</v>
      </c>
      <c r="CW10" s="1166" t="s">
        <v>1847</v>
      </c>
      <c r="CX10" s="1166" t="s">
        <v>1848</v>
      </c>
      <c r="CY10" s="1166" t="s">
        <v>1849</v>
      </c>
      <c r="CZ10" s="1166" t="s">
        <v>1850</v>
      </c>
      <c r="DA10" s="1166" t="s">
        <v>1851</v>
      </c>
      <c r="DB10" s="1166" t="s">
        <v>1852</v>
      </c>
      <c r="DC10" s="1166" t="s">
        <v>1853</v>
      </c>
      <c r="DD10" s="1166" t="s">
        <v>1854</v>
      </c>
      <c r="DE10" s="1166" t="s">
        <v>1855</v>
      </c>
      <c r="DF10" s="1166" t="s">
        <v>1856</v>
      </c>
      <c r="DG10" s="1166" t="s">
        <v>1857</v>
      </c>
      <c r="DH10" s="1067" t="s">
        <v>1895</v>
      </c>
      <c r="DI10" s="1166" t="s">
        <v>1858</v>
      </c>
      <c r="DJ10" s="1166" t="s">
        <v>1859</v>
      </c>
      <c r="DK10" s="1166" t="s">
        <v>1860</v>
      </c>
      <c r="DL10" s="1166" t="s">
        <v>1861</v>
      </c>
      <c r="DM10" s="1166" t="s">
        <v>1862</v>
      </c>
      <c r="DN10" s="1166" t="s">
        <v>1863</v>
      </c>
      <c r="DO10" s="1166" t="s">
        <v>1864</v>
      </c>
      <c r="DP10" s="1166" t="s">
        <v>1865</v>
      </c>
      <c r="DQ10" s="1166" t="s">
        <v>1866</v>
      </c>
      <c r="DR10" s="1166" t="s">
        <v>1867</v>
      </c>
      <c r="DS10" s="1166" t="s">
        <v>1868</v>
      </c>
      <c r="DT10" s="1166" t="s">
        <v>1869</v>
      </c>
      <c r="DU10" s="1166" t="s">
        <v>1870</v>
      </c>
      <c r="DV10" s="1166" t="s">
        <v>1871</v>
      </c>
      <c r="DW10" s="1166" t="s">
        <v>1872</v>
      </c>
      <c r="DX10" s="1166" t="s">
        <v>1873</v>
      </c>
      <c r="DY10" s="1166" t="s">
        <v>1874</v>
      </c>
      <c r="DZ10" s="1166" t="s">
        <v>1875</v>
      </c>
      <c r="EA10" s="1166" t="s">
        <v>1876</v>
      </c>
      <c r="EB10" s="1166" t="s">
        <v>1877</v>
      </c>
      <c r="EC10" s="1166" t="s">
        <v>1878</v>
      </c>
      <c r="ED10" s="1166" t="s">
        <v>1879</v>
      </c>
      <c r="EE10" s="1166" t="s">
        <v>1880</v>
      </c>
      <c r="EF10" s="1166" t="s">
        <v>1881</v>
      </c>
      <c r="EG10" s="1166" t="s">
        <v>1882</v>
      </c>
      <c r="EH10" s="1166" t="s">
        <v>1883</v>
      </c>
      <c r="EI10" s="1166" t="s">
        <v>1884</v>
      </c>
      <c r="EJ10" s="1166" t="s">
        <v>1885</v>
      </c>
      <c r="EK10" s="1166" t="s">
        <v>1886</v>
      </c>
      <c r="EL10" s="1166" t="s">
        <v>1887</v>
      </c>
      <c r="EM10" s="1166" t="s">
        <v>1888</v>
      </c>
      <c r="EN10" s="1166" t="s">
        <v>1889</v>
      </c>
      <c r="EO10" s="1166" t="s">
        <v>1890</v>
      </c>
      <c r="EP10" s="1067" t="s">
        <v>1891</v>
      </c>
      <c r="EQ10" s="1067" t="s">
        <v>2482</v>
      </c>
      <c r="ER10" s="1067" t="s">
        <v>1892</v>
      </c>
      <c r="ES10" s="1069" t="s">
        <v>2483</v>
      </c>
    </row>
    <row r="11" spans="1:150" s="34" customFormat="1" ht="15" customHeight="1">
      <c r="A11" s="642"/>
      <c r="B11" s="1055" t="str">
        <f>City_information</f>
        <v>Atlantis</v>
      </c>
      <c r="C11" s="1055" t="str">
        <f>'City information'!E11</f>
        <v>Gondwana</v>
      </c>
      <c r="D11" s="1055" t="str">
        <f>'City information'!E12</f>
        <v>Europe</v>
      </c>
      <c r="E11" s="1055" t="str">
        <f>'City information'!E14</f>
        <v>Combination of administrative divisions</v>
      </c>
      <c r="F11" s="1049">
        <f>'City information'!E13</f>
        <v>2014</v>
      </c>
      <c r="G11" s="1049">
        <v>2014</v>
      </c>
      <c r="H11" s="1049" t="str">
        <f>IF(B11="","",IF(F11="","",CONCATENATE(B11,"_",G11)))</f>
        <v>Atlantis_2014</v>
      </c>
      <c r="I11" s="1049" t="str">
        <f>'City information'!E29</f>
        <v>BASIC</v>
      </c>
      <c r="J11" s="1049">
        <f>'City information'!E18</f>
        <v>4000000</v>
      </c>
      <c r="K11" s="1049">
        <f>'City information'!E17</f>
        <v>1000</v>
      </c>
      <c r="L11" s="1043">
        <f>'City information'!E19</f>
        <v>200000000000</v>
      </c>
      <c r="M11" s="1051">
        <f>Overview!J27</f>
        <v>790498.23643500009</v>
      </c>
      <c r="N11" s="1051">
        <f>Overview!K27</f>
        <v>1213983.4125000001</v>
      </c>
      <c r="O11" s="1052" t="str">
        <f>Overview!L27</f>
        <v>NE</v>
      </c>
      <c r="P11" s="1051">
        <f>Overview!J28</f>
        <v>976200.00000000012</v>
      </c>
      <c r="Q11" s="1051">
        <f>Overview!K28</f>
        <v>1572298.1206</v>
      </c>
      <c r="R11" s="1052" t="str">
        <f>Overview!L28</f>
        <v>NE</v>
      </c>
      <c r="S11" s="1051" t="str">
        <f>Overview!J29</f>
        <v>IE</v>
      </c>
      <c r="T11" s="1051" t="str">
        <f>Overview!K29</f>
        <v>IE</v>
      </c>
      <c r="U11" s="1052" t="str">
        <f>Overview!L29</f>
        <v>NE</v>
      </c>
      <c r="V11" s="1051" t="str">
        <f>Overview!J30</f>
        <v>NO</v>
      </c>
      <c r="W11" s="1051" t="str">
        <f>Overview!K30</f>
        <v>NO</v>
      </c>
      <c r="X11" s="1052" t="str">
        <f>Overview!L30</f>
        <v>NO</v>
      </c>
      <c r="Y11" s="1053" t="str">
        <f>Overview!J31</f>
        <v>NO</v>
      </c>
      <c r="Z11" s="1051" t="str">
        <f>Overview!J32</f>
        <v>NO</v>
      </c>
      <c r="AA11" s="1051" t="str">
        <f>Overview!K32</f>
        <v>NO</v>
      </c>
      <c r="AB11" s="1052" t="str">
        <f>Overview!L32</f>
        <v>NO</v>
      </c>
      <c r="AC11" s="1051" t="str">
        <f>Overview!J33</f>
        <v>NO</v>
      </c>
      <c r="AD11" s="1051" t="str">
        <f>Overview!K33</f>
        <v>NO</v>
      </c>
      <c r="AE11" s="1052" t="str">
        <f>Overview!L33</f>
        <v>NO</v>
      </c>
      <c r="AF11" s="1051" t="str">
        <f>Overview!J34</f>
        <v>NO</v>
      </c>
      <c r="AG11" s="1051">
        <f>Overview!J35</f>
        <v>11569.125003239355</v>
      </c>
      <c r="AH11" s="1051">
        <f>Overview!J38</f>
        <v>2791098.9412952</v>
      </c>
      <c r="AI11" s="1051" t="str">
        <f>Overview!K38</f>
        <v>IE</v>
      </c>
      <c r="AJ11" s="1052" t="str">
        <f>Overview!L38</f>
        <v>NE</v>
      </c>
      <c r="AK11" s="1051">
        <f>Overview!J39</f>
        <v>588272.17892480001</v>
      </c>
      <c r="AL11" s="1051">
        <f>Overview!K39</f>
        <v>273104.54521759995</v>
      </c>
      <c r="AM11" s="1052" t="str">
        <f>Overview!L39</f>
        <v>NE</v>
      </c>
      <c r="AN11" s="1051">
        <f>Overview!J40</f>
        <v>20258.495851789849</v>
      </c>
      <c r="AO11" s="1051" t="str">
        <f>Overview!K40</f>
        <v>NO</v>
      </c>
      <c r="AP11" s="1052" t="str">
        <f>Overview!L40</f>
        <v>NE</v>
      </c>
      <c r="AQ11" s="1051" t="str">
        <f>Overview!J41</f>
        <v>NO</v>
      </c>
      <c r="AR11" s="1051" t="str">
        <f>Overview!K41</f>
        <v>NO</v>
      </c>
      <c r="AS11" s="1052" t="str">
        <f>Overview!L41</f>
        <v>NO</v>
      </c>
      <c r="AT11" s="1051" t="str">
        <f>Overview!J42</f>
        <v>NO</v>
      </c>
      <c r="AU11" s="1051" t="str">
        <f>Overview!K42</f>
        <v>NO</v>
      </c>
      <c r="AV11" s="1052" t="str">
        <f>Overview!L42</f>
        <v>NE</v>
      </c>
      <c r="AW11" s="1051">
        <f>Overview!J45</f>
        <v>300000</v>
      </c>
      <c r="AX11" s="1051" t="str">
        <f>Overview!L45</f>
        <v>NO</v>
      </c>
      <c r="AY11" s="1053" t="str">
        <f>Overview!J49</f>
        <v>NO</v>
      </c>
      <c r="AZ11" s="1051">
        <f>Overview!J46</f>
        <v>17152</v>
      </c>
      <c r="BA11" s="1051">
        <f>Overview!L46</f>
        <v>34304</v>
      </c>
      <c r="BB11" s="1054" t="str">
        <f>Overview!J50</f>
        <v>NO</v>
      </c>
      <c r="BC11" s="1051" t="str">
        <f>Overview!J47</f>
        <v>NO</v>
      </c>
      <c r="BD11" s="1051" t="str">
        <f>Overview!L47</f>
        <v>NO</v>
      </c>
      <c r="BE11" s="1054" t="str">
        <f>Overview!J51</f>
        <v>NO</v>
      </c>
      <c r="BF11" s="1051" t="str">
        <f>Overview!J48</f>
        <v>NO</v>
      </c>
      <c r="BG11" s="1051">
        <f>Overview!L48</f>
        <v>153120.66</v>
      </c>
      <c r="BH11" s="1054" t="str">
        <f>Overview!J52</f>
        <v>NO</v>
      </c>
      <c r="BI11" s="1052" t="str">
        <f>Overview!J55</f>
        <v>NO</v>
      </c>
      <c r="BJ11" s="1052">
        <f>Overview!J56</f>
        <v>75000</v>
      </c>
      <c r="BK11" s="1052">
        <f>Overview!J59</f>
        <v>150000</v>
      </c>
      <c r="BL11" s="1052" t="str">
        <f>Overview!J60</f>
        <v>NE</v>
      </c>
      <c r="BM11" s="1052" t="str">
        <f>Overview!J61</f>
        <v>NE</v>
      </c>
      <c r="BN11" s="1054">
        <f>Overview!L64</f>
        <v>168000</v>
      </c>
      <c r="BO11" s="1075" t="str">
        <f>B11</f>
        <v>Atlantis</v>
      </c>
      <c r="BP11" s="1051">
        <f>Overview!K22</f>
        <v>8741859.715827629</v>
      </c>
      <c r="BQ11" s="1052">
        <f>Overview!L22</f>
        <v>8966859.715827629</v>
      </c>
      <c r="BR11" s="1054">
        <f>Overview!M22</f>
        <v>9134859.715827629</v>
      </c>
      <c r="BS11" s="1053">
        <f>Overview!H22</f>
        <v>5720048.9775100295</v>
      </c>
      <c r="BT11" s="1051">
        <f>Overview!K14</f>
        <v>4564548.8945382396</v>
      </c>
      <c r="BU11" s="1051">
        <f>Overview!K16</f>
        <v>3672734.1612893902</v>
      </c>
      <c r="BV11" s="1051">
        <f>Overview!K17</f>
        <v>504576.66000000003</v>
      </c>
      <c r="BW11" s="1052">
        <f>Overview!L14</f>
        <v>4564548.8945382396</v>
      </c>
      <c r="BX11" s="1052">
        <f>Overview!L16</f>
        <v>3672734.1612893902</v>
      </c>
      <c r="BY11" s="1052">
        <f>Overview!L17</f>
        <v>504576.66000000003</v>
      </c>
      <c r="BZ11" s="1052">
        <f>IF(Overview!L19="","",IF(Overview!L19=0,"",Overview!L19))</f>
        <v>75000</v>
      </c>
      <c r="CA11" s="1052">
        <f>IF(Overview!L20="","",IF(Overview!L20=0,"",Overview!L20))</f>
        <v>150000</v>
      </c>
      <c r="CB11" s="1053">
        <f>Overview!H14</f>
        <v>1778267.3614382397</v>
      </c>
      <c r="CC11" s="1053" t="str">
        <f>IF(Overview!H15="","",IF(Overview!H15=0,"",Overview!H15))</f>
        <v/>
      </c>
      <c r="CD11" s="1053">
        <f>Overview!H16</f>
        <v>3399629.61607179</v>
      </c>
      <c r="CE11" s="1053">
        <f>IF(Overview!H17="","",IF(Overview!H17=0,"",Overview!H17))</f>
        <v>317152</v>
      </c>
      <c r="CF11" s="1053" t="str">
        <f>IF(Overview!H18="","",IF(Overview!H18=0,"",Overview!H18))</f>
        <v/>
      </c>
      <c r="CG11" s="1053">
        <f>IF(Overview!H19="","",IF(Overview!H19=0,"",Overview!H19))</f>
        <v>75000</v>
      </c>
      <c r="CH11" s="1053">
        <f>IF(Overview!H20="","",IF(Overview!H20=0,"",Overview!H20))</f>
        <v>150000</v>
      </c>
      <c r="CI11" s="1051">
        <f>IF(SUM(Overview!J27:K27)="","",IF(SUM(Overview!J27:K27)=0,"",SUM(Overview!J27:K27)))</f>
        <v>2004481.6489350002</v>
      </c>
      <c r="CJ11" s="1051">
        <f>IF(SUM(Overview!J28:K28)="","",IF(SUM(Overview!J28:K28)=0,"",SUM(Overview!J28:K28)))</f>
        <v>2548498.1206</v>
      </c>
      <c r="CK11" s="1051" t="str">
        <f>IF(SUM(Overview!J29:K29)="","",IF(SUM(Overview!J29:K29)=0,"",SUM(Overview!J29:K29)))</f>
        <v/>
      </c>
      <c r="CL11" s="1051" t="str">
        <f>IF(SUM(Overview!J30:K30)="","",IF(SUM(Overview!J30:K30)=0,"",SUM(Overview!J30:K30)))</f>
        <v/>
      </c>
      <c r="CM11" s="1051" t="str">
        <f>IF(SUM(Overview!J32:K32)="","",IF(SUM(Overview!J32:K32)=0,"",SUM(Overview!J32:K32)))</f>
        <v/>
      </c>
      <c r="CN11" s="1051" t="str">
        <f>IF(SUM(Overview!J33:K33)="","",IF(SUM(Overview!J33:K33)=0,"",SUM(Overview!J33:K33)))</f>
        <v/>
      </c>
      <c r="CO11" s="1051" t="str">
        <f>IF(SUM(Overview!J34:K34)="","",IF(SUM(Overview!J34:K34)=0,"",SUM(Overview!J34:K34)))</f>
        <v/>
      </c>
      <c r="CP11" s="1051">
        <f>IF(SUM(Overview!J35:K35)="","",IF(SUM(Overview!J35:K35)=0,"",SUM(Overview!J35:K35)))</f>
        <v>11569.125003239355</v>
      </c>
      <c r="CQ11" s="1051">
        <f>IF(SUM(Overview!J38:K38)="","",IF(SUM(Overview!J38:K38)=0,"",SUM(Overview!J38:K38)))</f>
        <v>2791098.9412952</v>
      </c>
      <c r="CR11" s="1051">
        <f>IF(SUM(Overview!J39:K39)="","",IF(SUM(Overview!J39:K39)=0,"",SUM(Overview!J39:K39)))</f>
        <v>861376.72414239997</v>
      </c>
      <c r="CS11" s="1051">
        <f>IF(SUM(Overview!J40:K40)="","",IF(SUM(Overview!J40:K40)=0,"",SUM(Overview!J40:K40)))</f>
        <v>20258.495851789849</v>
      </c>
      <c r="CT11" s="1051" t="str">
        <f>IF(SUM(Overview!J41:K41)="","",IF(SUM(Overview!J41:K41)=0,"",SUM(Overview!J41:K41)))</f>
        <v/>
      </c>
      <c r="CU11" s="1051" t="str">
        <f>IF(SUM(Overview!J42:K42)="","",IF(SUM(Overview!J42:K42)=0,"",SUM(Overview!J42:K42)))</f>
        <v/>
      </c>
      <c r="CV11" s="1051">
        <f>IF(SUM(Overview!J45:L45)="","",IF(SUM(Overview!J45:L45)=0,"",SUM(Overview!J45:L45)))</f>
        <v>300000</v>
      </c>
      <c r="CW11" s="1051">
        <f>IF(SUM(Overview!J46:L46)="","",IF(SUM(Overview!J46:L46)=0,"",SUM(Overview!J46:L46)))</f>
        <v>51456</v>
      </c>
      <c r="CX11" s="1051" t="str">
        <f>IF(SUM(Overview!J47:L47)="","",IF(SUM(Overview!J47:L47)=0,"",SUM(Overview!J47:L47)))</f>
        <v/>
      </c>
      <c r="CY11" s="1051">
        <f>IF(SUM(Overview!J48:L48)="","",IF(SUM(Overview!J48:L48)=0,"",SUM(Overview!J48:L48)))</f>
        <v>153120.66</v>
      </c>
      <c r="CZ11" s="1056" t="str">
        <f>IF(SUM(Overview!J30:L30)="","",IF(SUM(Overview!J30:L30)=0,"",SUM(Overview!J30:L30)))</f>
        <v/>
      </c>
      <c r="DA11" s="1056" t="str">
        <f>IF(SUM(Overview!J31:L31)="","",IF(SUM(Overview!J31:L31)=0,"",SUM(Overview!J31:L31)))</f>
        <v/>
      </c>
      <c r="DB11" s="1056" t="str">
        <f>IF(SUM(Overview!J32:L32)="","",IF(SUM(Overview!J32:L32)=0,"",SUM(Overview!J32:L32)))</f>
        <v/>
      </c>
      <c r="DC11" s="1056" t="str">
        <f>IF(SUM(Overview!J33:L33)="","",IF(SUM(Overview!J33:L33)=0,"",SUM(Overview!J33:L33)))</f>
        <v/>
      </c>
      <c r="DD11" s="1056">
        <f>IF(SUM(Overview!J35:L35)="","",IF(SUM(Overview!J35:L35)=0,"",SUM(Overview!J35:L35)))</f>
        <v>11569.125003239355</v>
      </c>
      <c r="DE11" s="1056">
        <f>IF(SUM(Overview!J36:L36)="","",IF(SUM(Overview!J36:L36)=0,"",SUM(Overview!J36:L36)))</f>
        <v>4564548.8945382396</v>
      </c>
      <c r="DF11" s="1056" t="str">
        <f>CO11</f>
        <v/>
      </c>
      <c r="DG11" s="1056">
        <f>CP11</f>
        <v>11569.125003239355</v>
      </c>
      <c r="DH11" s="1056" t="str">
        <f>IF(SUM(Overview!J41:L41)="","",IF(SUM(Overview!J41:L41)=0,"",SUM(Overview!J41:L41)))</f>
        <v/>
      </c>
      <c r="DI11" s="1056" t="str">
        <f>IF(SUM(Overview!J42:L42)="","",IF(SUM(Overview!J42:L42)=0,"",SUM(Overview!J42:L42)))</f>
        <v/>
      </c>
      <c r="DJ11" s="1056">
        <f>IF(SUM(Overview!J43:L43)="","",IF(SUM(Overview!J43:L43)=0,"",SUM(Overview!J43:L43)))</f>
        <v>3672734.1612893902</v>
      </c>
      <c r="DK11" s="1056" t="str">
        <f>IF(SUM(Overview!J44:L44)="","",IF(SUM(Overview!J44:L44)=0,"",SUM(Overview!J44:L44)))</f>
        <v/>
      </c>
      <c r="DL11" s="1056">
        <f>IF(SUM(Overview!J45:L45)="","",IF(SUM(Overview!J45:L45)=0,"",SUM(Overview!J45:L45)))</f>
        <v>300000</v>
      </c>
      <c r="DM11" s="1056">
        <f>CV11</f>
        <v>300000</v>
      </c>
      <c r="DN11" s="1056">
        <f>CW11</f>
        <v>51456</v>
      </c>
      <c r="DO11" s="1056" t="str">
        <f>CX11</f>
        <v/>
      </c>
      <c r="DP11" s="1056">
        <f>CY11</f>
        <v>153120.66</v>
      </c>
      <c r="DQ11" s="1056" t="str">
        <f>IF(Overview!M58="","",IF(Overview!M58=0,"",Overview!M58))</f>
        <v/>
      </c>
      <c r="DR11" s="1056">
        <f>IF(Overview!M59="","",IF(Overview!M59=0,"",Overview!M59))</f>
        <v>150000</v>
      </c>
      <c r="DS11" s="1056">
        <f>IF(Overview!M62="","",IF(Overview!M62=0,"",Overview!M62))</f>
        <v>150000</v>
      </c>
      <c r="DT11" s="1056" t="str">
        <f>IF(Overview!M63="","",IF(Overview!M63=0,"",Overview!M63))</f>
        <v/>
      </c>
      <c r="DU11" s="1056">
        <f>IF(Overview!M64="","",IF(Overview!M64=0,"",Overview!M64))</f>
        <v>168000</v>
      </c>
      <c r="DV11" s="1057" t="str">
        <f>IF(Overview!M67="","",IF(Overview!M67=0,"",Overview!M67))</f>
        <v/>
      </c>
      <c r="DW11" s="1072" t="str">
        <f>IF(SUM(Overview!J30)="","",IF(SUM(Overview!J30)=0,"",SUM(Overview!J30)))</f>
        <v/>
      </c>
      <c r="DX11" s="1072" t="str">
        <f>IF(SUM(Overview!J31)="","",IF(SUM(Overview!J31)=0,"",SUM(Overview!J31)))</f>
        <v/>
      </c>
      <c r="DY11" s="1072" t="str">
        <f>IF(SUM(Overview!J32)="","",IF(SUM(Overview!J32)=0,"",SUM(Overview!J32)))</f>
        <v/>
      </c>
      <c r="DZ11" s="1072" t="str">
        <f>IF(SUM(Overview!J33)="","",IF(SUM(Overview!J33)=0,"",SUM(Overview!J33)))</f>
        <v/>
      </c>
      <c r="EA11" s="1072" t="str">
        <f>IF(SUM(Overview!J34)="","",IF(SUM(Overview!J34)=0,"",SUM(Overview!J34)))</f>
        <v/>
      </c>
      <c r="EB11" s="1072">
        <f>IF(SUM(Overview!J35)="","",IF(SUM(Overview!J35)=0,"",SUM(Overview!J35)))</f>
        <v>11569.125003239355</v>
      </c>
      <c r="EC11" s="1072">
        <f>IF(SUM(Overview!J36)="","",IF(SUM(Overview!J36)=0,"",SUM(Overview!J36)))</f>
        <v>1778267.3614382397</v>
      </c>
      <c r="ED11" s="1058" t="str">
        <f>DF11</f>
        <v/>
      </c>
      <c r="EE11" s="1058">
        <f>CP11</f>
        <v>11569.125003239355</v>
      </c>
      <c r="EF11" s="1072" t="str">
        <f>IF(SUM(Overview!J41)="","",IF(SUM(Overview!J41)=0,"",SUM(Overview!J41)))</f>
        <v/>
      </c>
      <c r="EG11" s="1072" t="str">
        <f>IF(SUM(Overview!J42)="","",IF(SUM(Overview!J42)=0,"",SUM(Overview!J42)))</f>
        <v/>
      </c>
      <c r="EH11" s="1072">
        <f>IF(SUM(Overview!J43)="","",IF(SUM(Overview!J43)=0,"",SUM(Overview!J43)))</f>
        <v>3399629.61607179</v>
      </c>
      <c r="EI11" s="1072" t="str">
        <f>IF(SUM(Overview!J44)="","",IF(SUM(Overview!J44)=0,"",SUM(Overview!J44)))</f>
        <v/>
      </c>
      <c r="EJ11" s="1072">
        <f>IF(SUM(Overview!J45)="","",IF(SUM(Overview!J45)=0,"",SUM(Overview!J45)))</f>
        <v>300000</v>
      </c>
      <c r="EK11" s="1073" t="str">
        <f>IF(SUM(Overview!J48)+SUM(Overview!J52)=0,"",SUM(Overview!J48)+SUM(Overview!J52))</f>
        <v/>
      </c>
      <c r="EL11" s="1072">
        <f>IF(SUM(Overview!J49)+SUM(Overview!J53)=0,"",SUM(Overview!J49)+SUM(Overview!J53))</f>
        <v>317152</v>
      </c>
      <c r="EM11" s="1072" t="str">
        <f>IF(SUM(Overview!J50)+SUM(Overview!J54)=0,"",SUM(Overview!J50)+SUM(Overview!J54))</f>
        <v/>
      </c>
      <c r="EN11" s="1072" t="str">
        <f>IF(SUM(Overview!J51)+SUM(Overview!J55)=0,"",SUM(Overview!J51)+SUM(Overview!J55))</f>
        <v/>
      </c>
      <c r="EO11" s="1058" t="str">
        <f>DQ11</f>
        <v/>
      </c>
      <c r="EP11" s="1058">
        <f>DR11</f>
        <v>150000</v>
      </c>
      <c r="EQ11" s="1058">
        <f>DS11</f>
        <v>150000</v>
      </c>
      <c r="ER11" s="1058" t="str">
        <f>DT11</f>
        <v/>
      </c>
      <c r="ES11" s="1058">
        <f>DU11</f>
        <v>168000</v>
      </c>
    </row>
    <row r="12" spans="1:150" s="29" customFormat="1" ht="15" customHeight="1">
      <c r="B12" s="502"/>
      <c r="C12" s="230"/>
      <c r="D12" s="230"/>
      <c r="E12" s="230"/>
      <c r="J12" s="230"/>
      <c r="K12" s="230"/>
      <c r="L12" s="230"/>
      <c r="M12" s="30"/>
      <c r="N12" s="30"/>
      <c r="O12" s="30"/>
      <c r="P12" s="30"/>
      <c r="AB12" s="234"/>
      <c r="AC12" s="234"/>
      <c r="AD12" s="234"/>
      <c r="AE12" s="234"/>
      <c r="AF12" s="234"/>
    </row>
    <row r="13" spans="1:150" s="15" customFormat="1" ht="15" customHeight="1">
      <c r="B13" s="728" t="s">
        <v>2465</v>
      </c>
      <c r="C13" s="22"/>
      <c r="D13" s="22"/>
      <c r="E13" s="22"/>
      <c r="F13" s="22"/>
      <c r="G13" s="22"/>
      <c r="H13" s="22"/>
      <c r="I13" s="22"/>
      <c r="J13" s="22"/>
      <c r="K13" s="22"/>
      <c r="L13" s="22"/>
      <c r="M13" s="22"/>
      <c r="N13" s="22"/>
      <c r="O13" s="22"/>
      <c r="P13" s="22"/>
      <c r="Q13" s="22"/>
      <c r="R13" s="22"/>
      <c r="S13" s="22"/>
      <c r="T13" s="22"/>
      <c r="U13" s="22"/>
      <c r="V13" s="22"/>
      <c r="W13" s="22"/>
      <c r="X13" s="22"/>
      <c r="Y13" s="22"/>
      <c r="Z13" s="22"/>
      <c r="AA13" s="22"/>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c r="BV13" s="22"/>
      <c r="BW13" s="22"/>
      <c r="BX13" s="22"/>
      <c r="BY13" s="22"/>
      <c r="BZ13" s="22"/>
      <c r="CA13" s="22"/>
      <c r="CB13" s="22"/>
      <c r="CC13" s="22"/>
      <c r="CD13" s="22"/>
      <c r="CE13" s="22"/>
      <c r="CF13" s="22"/>
      <c r="CG13" s="22"/>
      <c r="CH13" s="22"/>
      <c r="CI13" s="22"/>
      <c r="CJ13" s="22"/>
      <c r="CK13" s="22"/>
      <c r="CL13" s="22"/>
      <c r="CM13" s="22"/>
      <c r="CN13" s="22"/>
      <c r="CO13" s="22"/>
      <c r="CP13" s="22"/>
      <c r="CQ13" s="22"/>
      <c r="CR13" s="22"/>
      <c r="CS13" s="22"/>
      <c r="CT13" s="22"/>
      <c r="CU13" s="22"/>
      <c r="CV13" s="22"/>
      <c r="CW13" s="22"/>
      <c r="CX13" s="22"/>
      <c r="CY13" s="22"/>
      <c r="CZ13" s="22"/>
      <c r="DA13" s="22"/>
      <c r="DB13" s="22"/>
      <c r="DC13" s="22"/>
      <c r="DD13" s="22"/>
      <c r="DE13" s="22"/>
      <c r="DF13" s="22"/>
      <c r="DG13" s="22"/>
      <c r="DH13" s="22"/>
      <c r="DI13" s="22"/>
      <c r="DJ13" s="22"/>
      <c r="DK13" s="22"/>
      <c r="DL13" s="22"/>
      <c r="DM13" s="22"/>
      <c r="DN13" s="22"/>
      <c r="DO13" s="22"/>
      <c r="DP13" s="22"/>
      <c r="DQ13" s="22"/>
      <c r="DR13" s="22"/>
      <c r="DS13" s="22"/>
      <c r="DT13" s="22"/>
      <c r="DU13" s="22"/>
      <c r="DV13" s="22"/>
      <c r="DW13" s="22"/>
      <c r="DX13" s="22"/>
      <c r="DY13" s="22"/>
      <c r="DZ13" s="22"/>
      <c r="EA13" s="22"/>
      <c r="EB13" s="22"/>
      <c r="EC13" s="22"/>
      <c r="ED13" s="22"/>
      <c r="EE13" s="22"/>
      <c r="EF13" s="22"/>
      <c r="EG13" s="22"/>
      <c r="EH13" s="22"/>
      <c r="EI13" s="22"/>
      <c r="EJ13" s="22"/>
      <c r="EK13" s="22"/>
      <c r="EL13" s="22"/>
      <c r="EM13" s="22"/>
      <c r="EN13" s="22"/>
      <c r="EO13" s="22"/>
      <c r="EP13" s="22"/>
      <c r="EQ13" s="22"/>
      <c r="ER13" s="22"/>
      <c r="ES13" s="22"/>
    </row>
    <row r="14" spans="1:150" s="15" customFormat="1" ht="15" customHeight="1">
      <c r="B14" s="1799">
        <v>1</v>
      </c>
      <c r="C14" s="1799">
        <v>2</v>
      </c>
      <c r="D14" s="1799">
        <v>3</v>
      </c>
      <c r="E14" s="1799">
        <v>4</v>
      </c>
      <c r="F14" s="1799">
        <v>5</v>
      </c>
      <c r="G14" s="1799">
        <v>6</v>
      </c>
      <c r="H14" s="1799">
        <v>7</v>
      </c>
      <c r="I14" s="1799">
        <v>8</v>
      </c>
      <c r="J14" s="1799">
        <v>9</v>
      </c>
      <c r="K14" s="1799">
        <v>10</v>
      </c>
      <c r="L14" s="1799">
        <v>11</v>
      </c>
      <c r="M14" s="1799">
        <v>12</v>
      </c>
      <c r="N14" s="1799">
        <v>13</v>
      </c>
      <c r="O14" s="1799">
        <v>14</v>
      </c>
      <c r="P14" s="1799">
        <v>15</v>
      </c>
      <c r="Q14" s="1799">
        <v>16</v>
      </c>
      <c r="R14" s="1799">
        <v>17</v>
      </c>
      <c r="S14" s="1799">
        <v>18</v>
      </c>
      <c r="T14" s="1799">
        <v>19</v>
      </c>
      <c r="U14" s="1799">
        <v>20</v>
      </c>
      <c r="V14" s="1799">
        <v>21</v>
      </c>
      <c r="W14" s="1799">
        <v>22</v>
      </c>
      <c r="X14" s="1799">
        <v>23</v>
      </c>
      <c r="Y14" s="1799">
        <v>24</v>
      </c>
      <c r="Z14" s="1799">
        <v>25</v>
      </c>
      <c r="AA14" s="1799">
        <v>26</v>
      </c>
      <c r="AB14" s="1799">
        <v>27</v>
      </c>
      <c r="AC14" s="1799">
        <v>28</v>
      </c>
      <c r="AD14" s="1799">
        <v>29</v>
      </c>
      <c r="AE14" s="1799">
        <v>30</v>
      </c>
      <c r="AF14" s="1799">
        <v>31</v>
      </c>
      <c r="AG14" s="1799">
        <v>32</v>
      </c>
      <c r="AH14" s="1799">
        <v>33</v>
      </c>
      <c r="AI14" s="1799">
        <v>34</v>
      </c>
      <c r="AJ14" s="1799">
        <v>35</v>
      </c>
      <c r="AK14" s="1799">
        <v>36</v>
      </c>
      <c r="AL14" s="1799">
        <v>37</v>
      </c>
      <c r="AM14" s="1799">
        <v>38</v>
      </c>
      <c r="AN14" s="1799">
        <v>39</v>
      </c>
      <c r="AO14" s="1799">
        <v>40</v>
      </c>
      <c r="AP14" s="1799">
        <v>41</v>
      </c>
      <c r="AQ14" s="1799">
        <v>42</v>
      </c>
      <c r="AR14" s="1799">
        <v>43</v>
      </c>
      <c r="AS14" s="1799">
        <v>44</v>
      </c>
      <c r="AT14" s="1799">
        <v>45</v>
      </c>
      <c r="AU14" s="1799">
        <v>46</v>
      </c>
      <c r="AV14" s="1799">
        <v>47</v>
      </c>
      <c r="AW14" s="1799">
        <v>48</v>
      </c>
      <c r="AX14" s="1799">
        <v>49</v>
      </c>
      <c r="AY14" s="1799">
        <v>50</v>
      </c>
      <c r="AZ14" s="1799">
        <v>51</v>
      </c>
      <c r="BA14" s="1799">
        <v>52</v>
      </c>
      <c r="BB14" s="1799">
        <v>53</v>
      </c>
      <c r="BC14" s="1799">
        <v>54</v>
      </c>
      <c r="BD14" s="1799">
        <v>55</v>
      </c>
      <c r="BE14" s="1799">
        <v>56</v>
      </c>
      <c r="BF14" s="1799">
        <v>57</v>
      </c>
      <c r="BG14" s="1799">
        <v>58</v>
      </c>
      <c r="BH14" s="1799">
        <v>59</v>
      </c>
      <c r="BI14" s="1799">
        <v>60</v>
      </c>
      <c r="BJ14" s="1799">
        <v>61</v>
      </c>
      <c r="BK14" s="1799">
        <v>62</v>
      </c>
      <c r="BL14" s="1799">
        <v>63</v>
      </c>
      <c r="BM14" s="1799">
        <v>64</v>
      </c>
      <c r="BN14" s="1799">
        <v>65</v>
      </c>
      <c r="BO14" s="1799">
        <v>1</v>
      </c>
      <c r="BP14" s="1799">
        <v>2</v>
      </c>
      <c r="BQ14" s="1799">
        <v>3</v>
      </c>
      <c r="BR14" s="1799">
        <v>4</v>
      </c>
      <c r="BS14" s="1799">
        <v>5</v>
      </c>
      <c r="BT14" s="1799">
        <v>6</v>
      </c>
      <c r="BU14" s="1799">
        <v>7</v>
      </c>
      <c r="BV14" s="1799">
        <v>8</v>
      </c>
      <c r="BW14" s="1799">
        <v>9</v>
      </c>
      <c r="BX14" s="1799">
        <v>10</v>
      </c>
      <c r="BY14" s="1799">
        <v>11</v>
      </c>
      <c r="BZ14" s="1799">
        <v>12</v>
      </c>
      <c r="CA14" s="1799">
        <v>13</v>
      </c>
      <c r="CB14" s="1799">
        <v>14</v>
      </c>
      <c r="CC14" s="1799">
        <v>15</v>
      </c>
      <c r="CD14" s="1799">
        <v>16</v>
      </c>
      <c r="CE14" s="1799">
        <v>17</v>
      </c>
      <c r="CF14" s="1799">
        <v>18</v>
      </c>
      <c r="CG14" s="1799">
        <v>19</v>
      </c>
      <c r="CH14" s="1799">
        <v>20</v>
      </c>
      <c r="CI14" s="1799">
        <v>21</v>
      </c>
      <c r="CJ14" s="1799">
        <v>22</v>
      </c>
      <c r="CK14" s="1799">
        <v>23</v>
      </c>
      <c r="CL14" s="1799">
        <v>24</v>
      </c>
      <c r="CM14" s="1799">
        <v>25</v>
      </c>
      <c r="CN14" s="1799">
        <v>26</v>
      </c>
      <c r="CO14" s="1799">
        <v>27</v>
      </c>
      <c r="CP14" s="1799">
        <v>28</v>
      </c>
      <c r="CQ14" s="1799">
        <v>29</v>
      </c>
      <c r="CR14" s="1799">
        <v>30</v>
      </c>
      <c r="CS14" s="1799">
        <v>31</v>
      </c>
      <c r="CT14" s="1799">
        <v>32</v>
      </c>
      <c r="CU14" s="1799">
        <v>33</v>
      </c>
      <c r="CV14" s="1799">
        <v>34</v>
      </c>
      <c r="CW14" s="1799">
        <v>35</v>
      </c>
      <c r="CX14" s="1799">
        <v>36</v>
      </c>
      <c r="CY14" s="1799">
        <v>37</v>
      </c>
      <c r="CZ14" s="1799">
        <v>38</v>
      </c>
      <c r="DA14" s="1799">
        <v>39</v>
      </c>
      <c r="DB14" s="1799">
        <v>40</v>
      </c>
      <c r="DC14" s="1799">
        <v>41</v>
      </c>
      <c r="DD14" s="1799">
        <v>42</v>
      </c>
      <c r="DE14" s="1799">
        <v>43</v>
      </c>
      <c r="DF14" s="1799">
        <v>44</v>
      </c>
      <c r="DG14" s="1799">
        <v>45</v>
      </c>
      <c r="DH14" s="1799">
        <v>46</v>
      </c>
      <c r="DI14" s="1799">
        <v>47</v>
      </c>
      <c r="DJ14" s="1799">
        <v>48</v>
      </c>
      <c r="DK14" s="1799">
        <v>49</v>
      </c>
      <c r="DL14" s="1799">
        <v>50</v>
      </c>
      <c r="DM14" s="1799">
        <v>51</v>
      </c>
      <c r="DN14" s="1799">
        <v>52</v>
      </c>
      <c r="DO14" s="1799">
        <v>53</v>
      </c>
      <c r="DP14" s="1799">
        <v>54</v>
      </c>
      <c r="DQ14" s="1799">
        <v>55</v>
      </c>
      <c r="DR14" s="1799">
        <v>56</v>
      </c>
      <c r="DS14" s="1799">
        <v>57</v>
      </c>
      <c r="DT14" s="1799">
        <v>58</v>
      </c>
      <c r="DU14" s="1799">
        <v>59</v>
      </c>
      <c r="DV14" s="1799">
        <v>60</v>
      </c>
      <c r="DW14" s="1799">
        <v>61</v>
      </c>
      <c r="DX14" s="1799">
        <v>62</v>
      </c>
      <c r="DY14" s="1799">
        <v>63</v>
      </c>
      <c r="DZ14" s="1799">
        <v>64</v>
      </c>
      <c r="EA14" s="1799">
        <v>65</v>
      </c>
      <c r="EB14" s="1799">
        <v>66</v>
      </c>
      <c r="EC14" s="1799">
        <v>67</v>
      </c>
      <c r="ED14" s="1799">
        <v>68</v>
      </c>
      <c r="EE14" s="1799">
        <v>69</v>
      </c>
      <c r="EF14" s="1799">
        <v>70</v>
      </c>
      <c r="EG14" s="1799">
        <v>71</v>
      </c>
      <c r="EH14" s="1799">
        <v>72</v>
      </c>
      <c r="EI14" s="1799">
        <v>73</v>
      </c>
      <c r="EJ14" s="1799">
        <v>74</v>
      </c>
      <c r="EK14" s="1799">
        <v>75</v>
      </c>
      <c r="EL14" s="1799">
        <v>76</v>
      </c>
      <c r="EM14" s="1799">
        <v>77</v>
      </c>
      <c r="EN14" s="1799">
        <v>78</v>
      </c>
      <c r="EO14" s="1799">
        <v>79</v>
      </c>
      <c r="EP14" s="1799">
        <v>80</v>
      </c>
      <c r="EQ14" s="1799">
        <v>81</v>
      </c>
      <c r="ER14" s="1799">
        <v>82</v>
      </c>
      <c r="ES14" s="1799">
        <v>83</v>
      </c>
    </row>
    <row r="15" spans="1:150" s="642" customFormat="1" ht="31" customHeight="1">
      <c r="B15" s="1066" t="s">
        <v>1025</v>
      </c>
      <c r="C15" s="1067" t="s">
        <v>620</v>
      </c>
      <c r="D15" s="1067" t="s">
        <v>1117</v>
      </c>
      <c r="E15" s="1067" t="s">
        <v>685</v>
      </c>
      <c r="F15" s="1068" t="s">
        <v>729</v>
      </c>
      <c r="G15" s="1388" t="s">
        <v>2495</v>
      </c>
      <c r="H15" s="1387" t="s">
        <v>2494</v>
      </c>
      <c r="I15" s="1473" t="s">
        <v>1636</v>
      </c>
      <c r="J15" s="1067" t="s">
        <v>1034</v>
      </c>
      <c r="K15" s="1067" t="s">
        <v>1614</v>
      </c>
      <c r="L15" s="1067" t="s">
        <v>1613</v>
      </c>
      <c r="M15" s="1068" t="s">
        <v>49</v>
      </c>
      <c r="N15" s="1068" t="s">
        <v>51</v>
      </c>
      <c r="O15" s="1068" t="s">
        <v>53</v>
      </c>
      <c r="P15" s="1068" t="s">
        <v>57</v>
      </c>
      <c r="Q15" s="1068" t="s">
        <v>58</v>
      </c>
      <c r="R15" s="1068" t="s">
        <v>59</v>
      </c>
      <c r="S15" s="1068" t="s">
        <v>61</v>
      </c>
      <c r="T15" s="1068" t="s">
        <v>62</v>
      </c>
      <c r="U15" s="1068" t="s">
        <v>63</v>
      </c>
      <c r="V15" s="1068" t="s">
        <v>65</v>
      </c>
      <c r="W15" s="1068" t="s">
        <v>67</v>
      </c>
      <c r="X15" s="1068" t="s">
        <v>69</v>
      </c>
      <c r="Y15" s="1068" t="s">
        <v>71</v>
      </c>
      <c r="Z15" s="1068" t="s">
        <v>75</v>
      </c>
      <c r="AA15" s="1068" t="s">
        <v>76</v>
      </c>
      <c r="AB15" s="1068" t="s">
        <v>77</v>
      </c>
      <c r="AC15" s="1068" t="s">
        <v>79</v>
      </c>
      <c r="AD15" s="1068" t="s">
        <v>80</v>
      </c>
      <c r="AE15" s="1068" t="s">
        <v>81</v>
      </c>
      <c r="AF15" s="1068" t="s">
        <v>83</v>
      </c>
      <c r="AG15" s="1068" t="s">
        <v>86</v>
      </c>
      <c r="AH15" s="1068" t="s">
        <v>90</v>
      </c>
      <c r="AI15" s="1068" t="s">
        <v>92</v>
      </c>
      <c r="AJ15" s="1068" t="s">
        <v>94</v>
      </c>
      <c r="AK15" s="1068" t="s">
        <v>96</v>
      </c>
      <c r="AL15" s="1068" t="s">
        <v>98</v>
      </c>
      <c r="AM15" s="1068" t="s">
        <v>100</v>
      </c>
      <c r="AN15" s="1068" t="s">
        <v>102</v>
      </c>
      <c r="AO15" s="1068" t="s">
        <v>104</v>
      </c>
      <c r="AP15" s="1068" t="s">
        <v>106</v>
      </c>
      <c r="AQ15" s="1068" t="s">
        <v>108</v>
      </c>
      <c r="AR15" s="1068" t="s">
        <v>110</v>
      </c>
      <c r="AS15" s="1068" t="s">
        <v>112</v>
      </c>
      <c r="AT15" s="1068" t="s">
        <v>115</v>
      </c>
      <c r="AU15" s="1068" t="s">
        <v>117</v>
      </c>
      <c r="AV15" s="1068" t="s">
        <v>623</v>
      </c>
      <c r="AW15" s="1068" t="s">
        <v>122</v>
      </c>
      <c r="AX15" s="1068" t="s">
        <v>124</v>
      </c>
      <c r="AY15" s="1068" t="s">
        <v>126</v>
      </c>
      <c r="AZ15" s="1068" t="s">
        <v>129</v>
      </c>
      <c r="BA15" s="1068" t="s">
        <v>130</v>
      </c>
      <c r="BB15" s="1068" t="s">
        <v>132</v>
      </c>
      <c r="BC15" s="1068" t="s">
        <v>135</v>
      </c>
      <c r="BD15" s="1068" t="s">
        <v>137</v>
      </c>
      <c r="BE15" s="1068" t="s">
        <v>139</v>
      </c>
      <c r="BF15" s="1068" t="s">
        <v>142</v>
      </c>
      <c r="BG15" s="1068" t="s">
        <v>144</v>
      </c>
      <c r="BH15" s="1068" t="s">
        <v>146</v>
      </c>
      <c r="BI15" s="1068" t="s">
        <v>150</v>
      </c>
      <c r="BJ15" s="1068" t="s">
        <v>152</v>
      </c>
      <c r="BK15" s="1068" t="s">
        <v>156</v>
      </c>
      <c r="BL15" s="1068" t="s">
        <v>167</v>
      </c>
      <c r="BM15" s="1388" t="s">
        <v>168</v>
      </c>
      <c r="BN15" s="1388" t="s">
        <v>161</v>
      </c>
      <c r="BO15" s="1388" t="s">
        <v>2494</v>
      </c>
      <c r="BP15" s="1387" t="s">
        <v>172</v>
      </c>
      <c r="BQ15" s="1067" t="s">
        <v>173</v>
      </c>
      <c r="BR15" s="1067" t="s">
        <v>1760</v>
      </c>
      <c r="BS15" s="1067" t="s">
        <v>1714</v>
      </c>
      <c r="BT15" s="1067" t="s">
        <v>1765</v>
      </c>
      <c r="BU15" s="1067" t="s">
        <v>1764</v>
      </c>
      <c r="BV15" s="1067" t="s">
        <v>1763</v>
      </c>
      <c r="BW15" s="1067" t="s">
        <v>1762</v>
      </c>
      <c r="BX15" s="1067" t="s">
        <v>1761</v>
      </c>
      <c r="BY15" s="1067" t="s">
        <v>1766</v>
      </c>
      <c r="BZ15" s="1067" t="s">
        <v>1767</v>
      </c>
      <c r="CA15" s="1067" t="s">
        <v>1768</v>
      </c>
      <c r="CB15" s="1067" t="s">
        <v>1769</v>
      </c>
      <c r="CC15" s="1067" t="s">
        <v>1771</v>
      </c>
      <c r="CD15" s="1067" t="s">
        <v>1770</v>
      </c>
      <c r="CE15" s="1067" t="s">
        <v>1772</v>
      </c>
      <c r="CF15" s="1067" t="s">
        <v>1773</v>
      </c>
      <c r="CG15" s="1387" t="s">
        <v>1893</v>
      </c>
      <c r="CH15" s="1387" t="s">
        <v>1894</v>
      </c>
      <c r="CI15" s="1067" t="s">
        <v>1833</v>
      </c>
      <c r="CJ15" s="1067" t="s">
        <v>1834</v>
      </c>
      <c r="CK15" s="1067" t="s">
        <v>1835</v>
      </c>
      <c r="CL15" s="1067" t="s">
        <v>1836</v>
      </c>
      <c r="CM15" s="1067" t="s">
        <v>1837</v>
      </c>
      <c r="CN15" s="1067" t="s">
        <v>1838</v>
      </c>
      <c r="CO15" s="1067" t="s">
        <v>1839</v>
      </c>
      <c r="CP15" s="1067" t="s">
        <v>1840</v>
      </c>
      <c r="CQ15" s="1067" t="s">
        <v>1841</v>
      </c>
      <c r="CR15" s="1067" t="s">
        <v>1842</v>
      </c>
      <c r="CS15" s="1067" t="s">
        <v>1843</v>
      </c>
      <c r="CT15" s="1067" t="s">
        <v>1844</v>
      </c>
      <c r="CU15" s="1067" t="s">
        <v>1845</v>
      </c>
      <c r="CV15" s="1067" t="s">
        <v>1846</v>
      </c>
      <c r="CW15" s="1067" t="s">
        <v>1847</v>
      </c>
      <c r="CX15" s="1067" t="s">
        <v>1848</v>
      </c>
      <c r="CY15" s="1067" t="s">
        <v>1849</v>
      </c>
      <c r="CZ15" s="1067" t="s">
        <v>1850</v>
      </c>
      <c r="DA15" s="1067" t="s">
        <v>1851</v>
      </c>
      <c r="DB15" s="1067" t="s">
        <v>1852</v>
      </c>
      <c r="DC15" s="1067" t="s">
        <v>1853</v>
      </c>
      <c r="DD15" s="1067" t="s">
        <v>1854</v>
      </c>
      <c r="DE15" s="1067" t="s">
        <v>1855</v>
      </c>
      <c r="DF15" s="1067" t="s">
        <v>1856</v>
      </c>
      <c r="DG15" s="1067" t="s">
        <v>1857</v>
      </c>
      <c r="DH15" s="1067" t="s">
        <v>1895</v>
      </c>
      <c r="DI15" s="1067" t="s">
        <v>1858</v>
      </c>
      <c r="DJ15" s="1067" t="s">
        <v>1859</v>
      </c>
      <c r="DK15" s="1067" t="s">
        <v>1860</v>
      </c>
      <c r="DL15" s="1067" t="s">
        <v>1861</v>
      </c>
      <c r="DM15" s="1067" t="s">
        <v>1862</v>
      </c>
      <c r="DN15" s="1067" t="s">
        <v>1863</v>
      </c>
      <c r="DO15" s="1067" t="s">
        <v>1864</v>
      </c>
      <c r="DP15" s="1067" t="s">
        <v>1865</v>
      </c>
      <c r="DQ15" s="1067" t="s">
        <v>1866</v>
      </c>
      <c r="DR15" s="1067" t="s">
        <v>1867</v>
      </c>
      <c r="DS15" s="1067" t="s">
        <v>1868</v>
      </c>
      <c r="DT15" s="1067" t="s">
        <v>1869</v>
      </c>
      <c r="DU15" s="1067" t="s">
        <v>1870</v>
      </c>
      <c r="DV15" s="1067" t="s">
        <v>1871</v>
      </c>
      <c r="DW15" s="1067" t="s">
        <v>1872</v>
      </c>
      <c r="DX15" s="1067" t="s">
        <v>1873</v>
      </c>
      <c r="DY15" s="1067" t="s">
        <v>1874</v>
      </c>
      <c r="DZ15" s="1067" t="s">
        <v>1875</v>
      </c>
      <c r="EA15" s="1067" t="s">
        <v>1876</v>
      </c>
      <c r="EB15" s="1067" t="s">
        <v>1877</v>
      </c>
      <c r="EC15" s="1067" t="s">
        <v>1878</v>
      </c>
      <c r="ED15" s="1067" t="s">
        <v>1879</v>
      </c>
      <c r="EE15" s="1067" t="s">
        <v>1880</v>
      </c>
      <c r="EF15" s="1067" t="s">
        <v>1881</v>
      </c>
      <c r="EG15" s="1067" t="s">
        <v>1882</v>
      </c>
      <c r="EH15" s="1067" t="s">
        <v>1883</v>
      </c>
      <c r="EI15" s="1067" t="s">
        <v>1884</v>
      </c>
      <c r="EJ15" s="1067" t="s">
        <v>1885</v>
      </c>
      <c r="EK15" s="1067" t="s">
        <v>1886</v>
      </c>
      <c r="EL15" s="1067" t="s">
        <v>1887</v>
      </c>
      <c r="EM15" s="1067" t="s">
        <v>1888</v>
      </c>
      <c r="EN15" s="1067" t="s">
        <v>1889</v>
      </c>
      <c r="EO15" s="1067" t="s">
        <v>1890</v>
      </c>
      <c r="EP15" s="1067" t="s">
        <v>1891</v>
      </c>
      <c r="EQ15" s="1067" t="s">
        <v>2482</v>
      </c>
      <c r="ER15" s="1067" t="s">
        <v>1892</v>
      </c>
      <c r="ES15" s="1069" t="s">
        <v>2483</v>
      </c>
    </row>
    <row r="16" spans="1:150" s="34" customFormat="1" ht="15" customHeight="1">
      <c r="A16" s="1799">
        <v>1</v>
      </c>
      <c r="B16" s="1041" t="str">
        <f>B11</f>
        <v>Atlantis</v>
      </c>
      <c r="C16" s="1041" t="str">
        <f>C11</f>
        <v>Gondwana</v>
      </c>
      <c r="D16" s="1041" t="str">
        <f>D11</f>
        <v>Europe</v>
      </c>
      <c r="E16" s="1041" t="str">
        <f>E11</f>
        <v>Combination of administrative divisions</v>
      </c>
      <c r="F16" s="1049">
        <f>F11</f>
        <v>2014</v>
      </c>
      <c r="G16" s="1457" t="str">
        <f>LEFT(F16,4)</f>
        <v>2014</v>
      </c>
      <c r="H16" s="1117" t="str">
        <f t="shared" ref="H16:AN16" si="0">H11</f>
        <v>Atlantis_2014</v>
      </c>
      <c r="I16" s="1049" t="str">
        <f>I11</f>
        <v>BASIC</v>
      </c>
      <c r="J16" s="1042">
        <f t="shared" si="0"/>
        <v>4000000</v>
      </c>
      <c r="K16" s="1042">
        <f t="shared" si="0"/>
        <v>1000</v>
      </c>
      <c r="L16" s="1043">
        <f t="shared" si="0"/>
        <v>200000000000</v>
      </c>
      <c r="M16" s="1051">
        <f t="shared" si="0"/>
        <v>790498.23643500009</v>
      </c>
      <c r="N16" s="1051">
        <f t="shared" si="0"/>
        <v>1213983.4125000001</v>
      </c>
      <c r="O16" s="1052" t="str">
        <f t="shared" si="0"/>
        <v>NE</v>
      </c>
      <c r="P16" s="1051">
        <f t="shared" si="0"/>
        <v>976200.00000000012</v>
      </c>
      <c r="Q16" s="1051">
        <f t="shared" si="0"/>
        <v>1572298.1206</v>
      </c>
      <c r="R16" s="1052" t="str">
        <f t="shared" si="0"/>
        <v>NE</v>
      </c>
      <c r="S16" s="1051" t="str">
        <f t="shared" si="0"/>
        <v>IE</v>
      </c>
      <c r="T16" s="1051" t="str">
        <f t="shared" si="0"/>
        <v>IE</v>
      </c>
      <c r="U16" s="1052" t="str">
        <f t="shared" si="0"/>
        <v>NE</v>
      </c>
      <c r="V16" s="1051" t="str">
        <f t="shared" si="0"/>
        <v>NO</v>
      </c>
      <c r="W16" s="1051" t="str">
        <f t="shared" si="0"/>
        <v>NO</v>
      </c>
      <c r="X16" s="1052" t="str">
        <f t="shared" si="0"/>
        <v>NO</v>
      </c>
      <c r="Y16" s="1053" t="str">
        <f t="shared" si="0"/>
        <v>NO</v>
      </c>
      <c r="Z16" s="1051" t="str">
        <f t="shared" si="0"/>
        <v>NO</v>
      </c>
      <c r="AA16" s="1051" t="str">
        <f t="shared" si="0"/>
        <v>NO</v>
      </c>
      <c r="AB16" s="1052" t="str">
        <f t="shared" si="0"/>
        <v>NO</v>
      </c>
      <c r="AC16" s="1051" t="str">
        <f t="shared" si="0"/>
        <v>NO</v>
      </c>
      <c r="AD16" s="1051" t="str">
        <f t="shared" si="0"/>
        <v>NO</v>
      </c>
      <c r="AE16" s="1052" t="str">
        <f t="shared" si="0"/>
        <v>NO</v>
      </c>
      <c r="AF16" s="1051" t="str">
        <f t="shared" si="0"/>
        <v>NO</v>
      </c>
      <c r="AG16" s="1051">
        <f t="shared" si="0"/>
        <v>11569.125003239355</v>
      </c>
      <c r="AH16" s="1051">
        <f t="shared" si="0"/>
        <v>2791098.9412952</v>
      </c>
      <c r="AI16" s="1051" t="str">
        <f t="shared" si="0"/>
        <v>IE</v>
      </c>
      <c r="AJ16" s="1052" t="str">
        <f t="shared" si="0"/>
        <v>NE</v>
      </c>
      <c r="AK16" s="1051">
        <f t="shared" si="0"/>
        <v>588272.17892480001</v>
      </c>
      <c r="AL16" s="1051">
        <f t="shared" si="0"/>
        <v>273104.54521759995</v>
      </c>
      <c r="AM16" s="1052" t="str">
        <f t="shared" si="0"/>
        <v>NE</v>
      </c>
      <c r="AN16" s="1051">
        <f t="shared" si="0"/>
        <v>20258.495851789849</v>
      </c>
      <c r="AO16" s="1051" t="str">
        <f t="shared" ref="AO16:BN16" si="1">AO11</f>
        <v>NO</v>
      </c>
      <c r="AP16" s="1052" t="str">
        <f t="shared" si="1"/>
        <v>NE</v>
      </c>
      <c r="AQ16" s="1051" t="str">
        <f t="shared" si="1"/>
        <v>NO</v>
      </c>
      <c r="AR16" s="1051" t="str">
        <f t="shared" si="1"/>
        <v>NO</v>
      </c>
      <c r="AS16" s="1052" t="str">
        <f t="shared" si="1"/>
        <v>NO</v>
      </c>
      <c r="AT16" s="1051" t="str">
        <f t="shared" si="1"/>
        <v>NO</v>
      </c>
      <c r="AU16" s="1051" t="str">
        <f t="shared" si="1"/>
        <v>NO</v>
      </c>
      <c r="AV16" s="1052" t="str">
        <f t="shared" si="1"/>
        <v>NE</v>
      </c>
      <c r="AW16" s="1051">
        <f t="shared" si="1"/>
        <v>300000</v>
      </c>
      <c r="AX16" s="1051" t="str">
        <f t="shared" si="1"/>
        <v>NO</v>
      </c>
      <c r="AY16" s="1053" t="str">
        <f t="shared" si="1"/>
        <v>NO</v>
      </c>
      <c r="AZ16" s="1051">
        <f t="shared" si="1"/>
        <v>17152</v>
      </c>
      <c r="BA16" s="1051">
        <f t="shared" si="1"/>
        <v>34304</v>
      </c>
      <c r="BB16" s="1053" t="str">
        <f t="shared" si="1"/>
        <v>NO</v>
      </c>
      <c r="BC16" s="1051" t="str">
        <f t="shared" si="1"/>
        <v>NO</v>
      </c>
      <c r="BD16" s="1051" t="str">
        <f t="shared" si="1"/>
        <v>NO</v>
      </c>
      <c r="BE16" s="1053" t="str">
        <f t="shared" si="1"/>
        <v>NO</v>
      </c>
      <c r="BF16" s="1051" t="str">
        <f t="shared" si="1"/>
        <v>NO</v>
      </c>
      <c r="BG16" s="1051">
        <f t="shared" si="1"/>
        <v>153120.66</v>
      </c>
      <c r="BH16" s="1053" t="str">
        <f t="shared" si="1"/>
        <v>NO</v>
      </c>
      <c r="BI16" s="1052" t="str">
        <f t="shared" si="1"/>
        <v>NO</v>
      </c>
      <c r="BJ16" s="1052">
        <f t="shared" si="1"/>
        <v>75000</v>
      </c>
      <c r="BK16" s="1052">
        <f t="shared" si="1"/>
        <v>150000</v>
      </c>
      <c r="BL16" s="1052" t="str">
        <f t="shared" si="1"/>
        <v>NE</v>
      </c>
      <c r="BM16" s="1052" t="str">
        <f t="shared" si="1"/>
        <v>NE</v>
      </c>
      <c r="BN16" s="1054">
        <f t="shared" si="1"/>
        <v>168000</v>
      </c>
      <c r="BO16" s="1413" t="str">
        <f t="shared" ref="BO16:BO21" si="2">H16</f>
        <v>Atlantis_2014</v>
      </c>
      <c r="BP16" s="1051">
        <f t="shared" ref="BP16:CF16" si="3">BP11</f>
        <v>8741859.715827629</v>
      </c>
      <c r="BQ16" s="1052">
        <f t="shared" si="3"/>
        <v>8966859.715827629</v>
      </c>
      <c r="BR16" s="1054">
        <f t="shared" si="3"/>
        <v>9134859.715827629</v>
      </c>
      <c r="BS16" s="1053">
        <f t="shared" si="3"/>
        <v>5720048.9775100295</v>
      </c>
      <c r="BT16" s="1051">
        <f t="shared" si="3"/>
        <v>4564548.8945382396</v>
      </c>
      <c r="BU16" s="1051">
        <f t="shared" si="3"/>
        <v>3672734.1612893902</v>
      </c>
      <c r="BV16" s="1051">
        <f t="shared" si="3"/>
        <v>504576.66000000003</v>
      </c>
      <c r="BW16" s="1052">
        <f t="shared" si="3"/>
        <v>4564548.8945382396</v>
      </c>
      <c r="BX16" s="1052">
        <f t="shared" si="3"/>
        <v>3672734.1612893902</v>
      </c>
      <c r="BY16" s="1052">
        <f t="shared" si="3"/>
        <v>504576.66000000003</v>
      </c>
      <c r="BZ16" s="1052">
        <f t="shared" si="3"/>
        <v>75000</v>
      </c>
      <c r="CA16" s="1052">
        <f t="shared" si="3"/>
        <v>150000</v>
      </c>
      <c r="CB16" s="1053">
        <f t="shared" si="3"/>
        <v>1778267.3614382397</v>
      </c>
      <c r="CC16" s="1053" t="str">
        <f t="shared" si="3"/>
        <v/>
      </c>
      <c r="CD16" s="1053">
        <f t="shared" si="3"/>
        <v>3399629.61607179</v>
      </c>
      <c r="CE16" s="1053">
        <f t="shared" si="3"/>
        <v>317152</v>
      </c>
      <c r="CF16" s="1053" t="str">
        <f t="shared" si="3"/>
        <v/>
      </c>
      <c r="CG16" s="1053"/>
      <c r="CH16" s="1053"/>
      <c r="CI16" s="1190"/>
      <c r="CJ16" s="1190"/>
      <c r="CK16" s="1190"/>
      <c r="CL16" s="1190"/>
      <c r="CM16" s="1190"/>
      <c r="CN16" s="1190"/>
      <c r="CO16" s="1190"/>
      <c r="CP16" s="1190"/>
      <c r="CQ16" s="1190"/>
      <c r="CR16" s="1190"/>
      <c r="CS16" s="1190"/>
      <c r="CT16" s="1190"/>
      <c r="CU16" s="1190"/>
      <c r="CV16" s="1190"/>
      <c r="CW16" s="1190"/>
      <c r="CX16" s="1190"/>
      <c r="CY16" s="1190"/>
      <c r="CZ16" s="1114"/>
      <c r="DA16" s="1114"/>
      <c r="DB16" s="1114"/>
      <c r="DC16" s="1114"/>
      <c r="DD16" s="1114"/>
      <c r="DE16" s="1114"/>
      <c r="DF16" s="1114"/>
      <c r="DG16" s="1114"/>
      <c r="DH16" s="1114"/>
      <c r="DI16" s="1114"/>
      <c r="DJ16" s="1114"/>
      <c r="DK16" s="1114"/>
      <c r="DL16" s="1114"/>
      <c r="DM16" s="1114"/>
      <c r="DN16" s="1114"/>
      <c r="DO16" s="1114"/>
      <c r="DP16" s="1114"/>
      <c r="DQ16" s="1114"/>
      <c r="DR16" s="1114"/>
      <c r="DS16" s="1114"/>
      <c r="DT16" s="1114"/>
      <c r="DU16" s="1114"/>
      <c r="DV16" s="1115"/>
      <c r="DW16" s="1116"/>
      <c r="DX16" s="1116"/>
      <c r="DY16" s="1116"/>
      <c r="DZ16" s="1116"/>
      <c r="EA16" s="1116"/>
      <c r="EB16" s="1116"/>
      <c r="EC16" s="1116"/>
      <c r="ED16" s="1116"/>
      <c r="EE16" s="1116"/>
      <c r="EF16" s="1116"/>
      <c r="EG16" s="1116"/>
      <c r="EH16" s="1116"/>
      <c r="EI16" s="1116"/>
      <c r="EJ16" s="1116"/>
      <c r="EK16" s="1116"/>
      <c r="EL16" s="1116"/>
      <c r="EM16" s="1116"/>
      <c r="EN16" s="1116"/>
      <c r="EO16" s="1116"/>
      <c r="EP16" s="1116"/>
      <c r="EQ16" s="1116"/>
      <c r="ER16" s="1116"/>
      <c r="ES16" s="1116"/>
    </row>
    <row r="17" spans="1:149" s="1121" customFormat="1" ht="15" customHeight="1">
      <c r="A17" s="1799">
        <v>2</v>
      </c>
      <c r="B17" s="1055" t="s">
        <v>1753</v>
      </c>
      <c r="C17" s="1055" t="s">
        <v>1313</v>
      </c>
      <c r="D17" s="1055" t="s">
        <v>1645</v>
      </c>
      <c r="E17" s="1055" t="s">
        <v>689</v>
      </c>
      <c r="F17" s="1049">
        <v>2014</v>
      </c>
      <c r="G17" s="1457" t="str">
        <f t="shared" ref="G17:G28" si="4">LEFT(F17,4)</f>
        <v>2014</v>
      </c>
      <c r="H17" s="1117" t="str">
        <f>IF(B17="","",IF(F17="","",CONCATENATE(B17,"_",G17)))</f>
        <v>Amman_2014</v>
      </c>
      <c r="I17" s="1049" t="s">
        <v>172</v>
      </c>
      <c r="J17" s="1049">
        <v>3400000</v>
      </c>
      <c r="K17" s="1049">
        <v>801.92</v>
      </c>
      <c r="L17" s="1043">
        <v>15068000000</v>
      </c>
      <c r="M17" s="1051">
        <v>483248.6152</v>
      </c>
      <c r="N17" s="1051">
        <v>1968947.0314325637</v>
      </c>
      <c r="O17" s="1052" t="s">
        <v>177</v>
      </c>
      <c r="P17" s="1051">
        <v>324177.9565731418</v>
      </c>
      <c r="Q17" s="1051">
        <v>1650150.0633058769</v>
      </c>
      <c r="R17" s="1052" t="s">
        <v>177</v>
      </c>
      <c r="S17" s="1051">
        <v>54447.44720000001</v>
      </c>
      <c r="T17" s="1051">
        <v>273706.57809387986</v>
      </c>
      <c r="U17" s="1052" t="s">
        <v>177</v>
      </c>
      <c r="V17" s="1051" t="s">
        <v>175</v>
      </c>
      <c r="W17" s="1051" t="s">
        <v>175</v>
      </c>
      <c r="X17" s="1052" t="s">
        <v>175</v>
      </c>
      <c r="Y17" s="1053" t="s">
        <v>175</v>
      </c>
      <c r="Z17" s="1051" t="s">
        <v>175</v>
      </c>
      <c r="AA17" s="1051" t="s">
        <v>175</v>
      </c>
      <c r="AB17" s="1052" t="s">
        <v>175</v>
      </c>
      <c r="AC17" s="1051" t="s">
        <v>175</v>
      </c>
      <c r="AD17" s="1051" t="s">
        <v>175</v>
      </c>
      <c r="AE17" s="1052" t="s">
        <v>175</v>
      </c>
      <c r="AF17" s="1051" t="s">
        <v>175</v>
      </c>
      <c r="AG17" s="1051" t="s">
        <v>175</v>
      </c>
      <c r="AH17" s="1051">
        <v>2267555.2573226788</v>
      </c>
      <c r="AI17" s="1051" t="s">
        <v>175</v>
      </c>
      <c r="AJ17" s="1052" t="s">
        <v>177</v>
      </c>
      <c r="AK17" s="1051" t="s">
        <v>175</v>
      </c>
      <c r="AL17" s="1051" t="s">
        <v>175</v>
      </c>
      <c r="AM17" s="1052" t="s">
        <v>175</v>
      </c>
      <c r="AN17" s="1051" t="s">
        <v>175</v>
      </c>
      <c r="AO17" s="1051" t="s">
        <v>175</v>
      </c>
      <c r="AP17" s="1052" t="s">
        <v>175</v>
      </c>
      <c r="AQ17" s="1051" t="s">
        <v>175</v>
      </c>
      <c r="AR17" s="1051" t="s">
        <v>175</v>
      </c>
      <c r="AS17" s="1052" t="s">
        <v>177</v>
      </c>
      <c r="AT17" s="1051" t="s">
        <v>175</v>
      </c>
      <c r="AU17" s="1051" t="s">
        <v>175</v>
      </c>
      <c r="AV17" s="1052" t="s">
        <v>177</v>
      </c>
      <c r="AW17" s="1051">
        <v>164198.02410000007</v>
      </c>
      <c r="AX17" s="1051" t="s">
        <v>175</v>
      </c>
      <c r="AY17" s="1053">
        <v>28976.121900000006</v>
      </c>
      <c r="AZ17" s="1051" t="s">
        <v>175</v>
      </c>
      <c r="BA17" s="1051" t="s">
        <v>175</v>
      </c>
      <c r="BB17" s="1053" t="s">
        <v>175</v>
      </c>
      <c r="BC17" s="1051" t="s">
        <v>175</v>
      </c>
      <c r="BD17" s="1051" t="s">
        <v>175</v>
      </c>
      <c r="BE17" s="1053" t="s">
        <v>175</v>
      </c>
      <c r="BF17" s="1051" t="s">
        <v>175</v>
      </c>
      <c r="BG17" s="1051">
        <v>244990.84</v>
      </c>
      <c r="BH17" s="1053" t="s">
        <v>175</v>
      </c>
      <c r="BI17" s="1052" t="s">
        <v>177</v>
      </c>
      <c r="BJ17" s="1052" t="s">
        <v>177</v>
      </c>
      <c r="BK17" s="1052" t="s">
        <v>177</v>
      </c>
      <c r="BL17" s="1052" t="s">
        <v>177</v>
      </c>
      <c r="BM17" s="1052" t="s">
        <v>177</v>
      </c>
      <c r="BN17" s="1054" t="s">
        <v>177</v>
      </c>
      <c r="BO17" s="1076" t="str">
        <f t="shared" si="2"/>
        <v>Amman_2014</v>
      </c>
      <c r="BP17" s="1051">
        <v>7431421.8132281415</v>
      </c>
      <c r="BQ17" s="1052">
        <v>7431421.8132281415</v>
      </c>
      <c r="BR17" s="1054">
        <v>7431421.8132281415</v>
      </c>
      <c r="BS17" s="1053">
        <v>3322603.4222958209</v>
      </c>
      <c r="BT17" s="1051">
        <v>4754677.6918054624</v>
      </c>
      <c r="BU17" s="1051">
        <v>2267555.2573226788</v>
      </c>
      <c r="BV17" s="1051">
        <v>409188.86410000006</v>
      </c>
      <c r="BW17" s="1052">
        <v>4754677.6918054624</v>
      </c>
      <c r="BX17" s="1052">
        <v>2267555.2573226788</v>
      </c>
      <c r="BY17" s="1052">
        <v>409188.86410000006</v>
      </c>
      <c r="BZ17" s="1052" t="s">
        <v>1637</v>
      </c>
      <c r="CA17" s="1052" t="s">
        <v>1637</v>
      </c>
      <c r="CB17" s="1053">
        <v>861874.01897314191</v>
      </c>
      <c r="CC17" s="1053" t="s">
        <v>1637</v>
      </c>
      <c r="CD17" s="1053">
        <v>2267555.2573226788</v>
      </c>
      <c r="CE17" s="1053">
        <v>164198.02410000007</v>
      </c>
      <c r="CF17" s="1053">
        <v>28976.121900000006</v>
      </c>
      <c r="CG17" s="1053" t="s">
        <v>1637</v>
      </c>
      <c r="CH17" s="1053" t="s">
        <v>1637</v>
      </c>
      <c r="CI17" s="1051">
        <v>2452195.6466325638</v>
      </c>
      <c r="CJ17" s="1051">
        <v>1974328.0198790187</v>
      </c>
      <c r="CK17" s="1051">
        <v>328154.02529387985</v>
      </c>
      <c r="CL17" s="1051" t="s">
        <v>1637</v>
      </c>
      <c r="CM17" s="1051" t="s">
        <v>1637</v>
      </c>
      <c r="CN17" s="1051" t="s">
        <v>1637</v>
      </c>
      <c r="CO17" s="1051" t="s">
        <v>1637</v>
      </c>
      <c r="CP17" s="1051" t="s">
        <v>1637</v>
      </c>
      <c r="CQ17" s="1051">
        <v>2267555.2573226788</v>
      </c>
      <c r="CR17" s="1051" t="s">
        <v>1637</v>
      </c>
      <c r="CS17" s="1051" t="s">
        <v>1637</v>
      </c>
      <c r="CT17" s="1051" t="s">
        <v>1637</v>
      </c>
      <c r="CU17" s="1051" t="s">
        <v>1637</v>
      </c>
      <c r="CV17" s="1051">
        <v>164198.02410000007</v>
      </c>
      <c r="CW17" s="1051" t="s">
        <v>1637</v>
      </c>
      <c r="CX17" s="1051" t="s">
        <v>1637</v>
      </c>
      <c r="CY17" s="1051">
        <v>244990.84</v>
      </c>
      <c r="CZ17" s="1118">
        <v>2452195.6466325638</v>
      </c>
      <c r="DA17" s="1118">
        <v>1974328.0198790187</v>
      </c>
      <c r="DB17" s="1118">
        <v>328154.02529387985</v>
      </c>
      <c r="DC17" s="1118" t="s">
        <v>1637</v>
      </c>
      <c r="DD17" s="1118" t="s">
        <v>1637</v>
      </c>
      <c r="DE17" s="1118" t="s">
        <v>1637</v>
      </c>
      <c r="DF17" s="1118" t="s">
        <v>1637</v>
      </c>
      <c r="DG17" s="1118" t="s">
        <v>1637</v>
      </c>
      <c r="DH17" s="1118">
        <v>2267555.2573226788</v>
      </c>
      <c r="DI17" s="1118" t="s">
        <v>1637</v>
      </c>
      <c r="DJ17" s="1118" t="s">
        <v>1637</v>
      </c>
      <c r="DK17" s="1118" t="s">
        <v>1637</v>
      </c>
      <c r="DL17" s="1118" t="s">
        <v>1637</v>
      </c>
      <c r="DM17" s="1118">
        <v>164198.02410000007</v>
      </c>
      <c r="DN17" s="1118" t="s">
        <v>1637</v>
      </c>
      <c r="DO17" s="1118" t="s">
        <v>1637</v>
      </c>
      <c r="DP17" s="1118">
        <v>244990.84</v>
      </c>
      <c r="DQ17" s="1118" t="s">
        <v>1637</v>
      </c>
      <c r="DR17" s="1118" t="s">
        <v>1637</v>
      </c>
      <c r="DS17" s="1118" t="s">
        <v>1637</v>
      </c>
      <c r="DT17" s="1118" t="s">
        <v>1637</v>
      </c>
      <c r="DU17" s="1118" t="s">
        <v>1637</v>
      </c>
      <c r="DV17" s="1119" t="s">
        <v>1637</v>
      </c>
      <c r="DW17" s="1120">
        <v>483248.6152</v>
      </c>
      <c r="DX17" s="1120">
        <v>324177.9565731418</v>
      </c>
      <c r="DY17" s="1120">
        <v>54447.44720000001</v>
      </c>
      <c r="DZ17" s="1120" t="s">
        <v>1637</v>
      </c>
      <c r="EA17" s="1120" t="s">
        <v>1637</v>
      </c>
      <c r="EB17" s="1120" t="s">
        <v>1637</v>
      </c>
      <c r="EC17" s="1120" t="s">
        <v>1637</v>
      </c>
      <c r="ED17" s="1120" t="s">
        <v>1637</v>
      </c>
      <c r="EE17" s="1120" t="s">
        <v>1637</v>
      </c>
      <c r="EF17" s="1120">
        <v>2267555.2573226788</v>
      </c>
      <c r="EG17" s="1120" t="s">
        <v>1637</v>
      </c>
      <c r="EH17" s="1120" t="s">
        <v>1637</v>
      </c>
      <c r="EI17" s="1120" t="s">
        <v>1637</v>
      </c>
      <c r="EJ17" s="1120" t="s">
        <v>1637</v>
      </c>
      <c r="EK17" s="1120">
        <v>193174.14600000007</v>
      </c>
      <c r="EL17" s="1120" t="s">
        <v>1637</v>
      </c>
      <c r="EM17" s="1120" t="s">
        <v>1637</v>
      </c>
      <c r="EN17" s="1120" t="s">
        <v>1637</v>
      </c>
      <c r="EO17" s="1120" t="s">
        <v>1637</v>
      </c>
      <c r="EP17" s="1120" t="s">
        <v>1637</v>
      </c>
      <c r="EQ17" s="1120" t="s">
        <v>1637</v>
      </c>
      <c r="ER17" s="1120" t="s">
        <v>1637</v>
      </c>
      <c r="ES17" s="1120" t="s">
        <v>1637</v>
      </c>
    </row>
    <row r="18" spans="1:149" s="1121" customFormat="1" ht="15" customHeight="1">
      <c r="A18" s="1799">
        <v>3</v>
      </c>
      <c r="B18" s="1055" t="s">
        <v>1743</v>
      </c>
      <c r="C18" s="1055" t="s">
        <v>1173</v>
      </c>
      <c r="D18" s="1055" t="s">
        <v>1134</v>
      </c>
      <c r="E18" s="1055" t="s">
        <v>687</v>
      </c>
      <c r="F18" s="1049">
        <v>2014</v>
      </c>
      <c r="G18" s="1457" t="str">
        <f t="shared" si="4"/>
        <v>2014</v>
      </c>
      <c r="H18" s="1117" t="str">
        <f>IF(B18="","",IF(F18="","",CONCATENATE(B18,"_",G18)))</f>
        <v>Athens_2014</v>
      </c>
      <c r="I18" s="1049" t="s">
        <v>172</v>
      </c>
      <c r="J18" s="1049">
        <v>664046</v>
      </c>
      <c r="K18" s="1049">
        <v>39</v>
      </c>
      <c r="L18" s="1043">
        <v>22249382330</v>
      </c>
      <c r="M18" s="1051">
        <v>276488.06254906149</v>
      </c>
      <c r="N18" s="1051">
        <v>1685927.8579662237</v>
      </c>
      <c r="O18" s="1052" t="s">
        <v>176</v>
      </c>
      <c r="P18" s="1051">
        <v>713.89134517095306</v>
      </c>
      <c r="Q18" s="1051">
        <v>1330926.5965112215</v>
      </c>
      <c r="R18" s="1052" t="s">
        <v>176</v>
      </c>
      <c r="S18" s="1051">
        <v>19266.569691914003</v>
      </c>
      <c r="T18" s="1051">
        <v>18002.491181884183</v>
      </c>
      <c r="U18" s="1052" t="s">
        <v>177</v>
      </c>
      <c r="V18" s="1051" t="s">
        <v>175</v>
      </c>
      <c r="W18" s="1051" t="s">
        <v>175</v>
      </c>
      <c r="X18" s="1052" t="s">
        <v>175</v>
      </c>
      <c r="Y18" s="1053" t="s">
        <v>175</v>
      </c>
      <c r="Z18" s="1051" t="s">
        <v>175</v>
      </c>
      <c r="AA18" s="1051" t="s">
        <v>175</v>
      </c>
      <c r="AB18" s="1052" t="s">
        <v>175</v>
      </c>
      <c r="AC18" s="1051" t="s">
        <v>175</v>
      </c>
      <c r="AD18" s="1051" t="s">
        <v>175</v>
      </c>
      <c r="AE18" s="1052" t="s">
        <v>175</v>
      </c>
      <c r="AF18" s="1051" t="s">
        <v>175</v>
      </c>
      <c r="AG18" s="1051">
        <v>365.80226524816146</v>
      </c>
      <c r="AH18" s="1051">
        <v>988587.28605382703</v>
      </c>
      <c r="AI18" s="1051">
        <v>27166.739133837291</v>
      </c>
      <c r="AJ18" s="1052" t="s">
        <v>177</v>
      </c>
      <c r="AK18" s="1051" t="s">
        <v>175</v>
      </c>
      <c r="AL18" s="1051">
        <v>48775.41055224336</v>
      </c>
      <c r="AM18" s="1052" t="s">
        <v>175</v>
      </c>
      <c r="AN18" s="1051" t="s">
        <v>175</v>
      </c>
      <c r="AO18" s="1051" t="s">
        <v>175</v>
      </c>
      <c r="AP18" s="1052" t="s">
        <v>175</v>
      </c>
      <c r="AQ18" s="1051" t="s">
        <v>175</v>
      </c>
      <c r="AR18" s="1051" t="s">
        <v>175</v>
      </c>
      <c r="AS18" s="1052">
        <v>66349.7505400144</v>
      </c>
      <c r="AT18" s="1051" t="s">
        <v>175</v>
      </c>
      <c r="AU18" s="1051" t="s">
        <v>175</v>
      </c>
      <c r="AV18" s="1052" t="s">
        <v>175</v>
      </c>
      <c r="AW18" s="1051" t="s">
        <v>175</v>
      </c>
      <c r="AX18" s="1051">
        <v>334081.98494235403</v>
      </c>
      <c r="AY18" s="1053" t="s">
        <v>175</v>
      </c>
      <c r="AZ18" s="1051" t="s">
        <v>175</v>
      </c>
      <c r="BA18" s="1051">
        <v>40.565692000000006</v>
      </c>
      <c r="BB18" s="1053" t="s">
        <v>175</v>
      </c>
      <c r="BC18" s="1051" t="s">
        <v>175</v>
      </c>
      <c r="BD18" s="1051" t="s">
        <v>175</v>
      </c>
      <c r="BE18" s="1053" t="s">
        <v>175</v>
      </c>
      <c r="BF18" s="1051" t="s">
        <v>175</v>
      </c>
      <c r="BG18" s="1051">
        <v>23341.621173909993</v>
      </c>
      <c r="BH18" s="1053" t="s">
        <v>175</v>
      </c>
      <c r="BI18" s="1052" t="s">
        <v>177</v>
      </c>
      <c r="BJ18" s="1052" t="s">
        <v>177</v>
      </c>
      <c r="BK18" s="1052" t="s">
        <v>175</v>
      </c>
      <c r="BL18" s="1052" t="s">
        <v>175</v>
      </c>
      <c r="BM18" s="1052" t="s">
        <v>175</v>
      </c>
      <c r="BN18" s="1054" t="s">
        <v>177</v>
      </c>
      <c r="BO18" s="1076" t="str">
        <f t="shared" si="2"/>
        <v>Athens_2014</v>
      </c>
      <c r="BP18" s="1051">
        <v>4753684.8790588956</v>
      </c>
      <c r="BQ18" s="1052">
        <v>4820034.62959891</v>
      </c>
      <c r="BR18" s="1054">
        <v>4820034.62959891</v>
      </c>
      <c r="BS18" s="1053">
        <v>1285421.6119052216</v>
      </c>
      <c r="BT18" s="1051">
        <v>3331691.271510724</v>
      </c>
      <c r="BU18" s="1051">
        <v>1064529.4357399077</v>
      </c>
      <c r="BV18" s="1051">
        <v>357464.17180826399</v>
      </c>
      <c r="BW18" s="1052">
        <v>3331691.271510724</v>
      </c>
      <c r="BX18" s="1052">
        <v>1130879.186279922</v>
      </c>
      <c r="BY18" s="1052">
        <v>357464.17180826399</v>
      </c>
      <c r="BZ18" s="1052" t="s">
        <v>1637</v>
      </c>
      <c r="CA18" s="1052" t="s">
        <v>1637</v>
      </c>
      <c r="CB18" s="1053">
        <v>296834.32585139462</v>
      </c>
      <c r="CC18" s="1053" t="s">
        <v>1637</v>
      </c>
      <c r="CD18" s="1053">
        <v>988587.28605382703</v>
      </c>
      <c r="CE18" s="1053" t="s">
        <v>1637</v>
      </c>
      <c r="CF18" s="1053" t="s">
        <v>1637</v>
      </c>
      <c r="CG18" s="1053" t="s">
        <v>1637</v>
      </c>
      <c r="CH18" s="1053" t="s">
        <v>1637</v>
      </c>
      <c r="CI18" s="1051">
        <v>1962415.9205152853</v>
      </c>
      <c r="CJ18" s="1051">
        <v>1331640.4878563925</v>
      </c>
      <c r="CK18" s="1051">
        <v>37269.060873798182</v>
      </c>
      <c r="CL18" s="1051" t="s">
        <v>1637</v>
      </c>
      <c r="CM18" s="1051" t="s">
        <v>1637</v>
      </c>
      <c r="CN18" s="1051" t="s">
        <v>1637</v>
      </c>
      <c r="CO18" s="1051" t="s">
        <v>1637</v>
      </c>
      <c r="CP18" s="1051">
        <v>365.80226524816146</v>
      </c>
      <c r="CQ18" s="1051">
        <v>1015754.0251876643</v>
      </c>
      <c r="CR18" s="1051">
        <v>48775.41055224336</v>
      </c>
      <c r="CS18" s="1051" t="s">
        <v>1637</v>
      </c>
      <c r="CT18" s="1051" t="s">
        <v>1637</v>
      </c>
      <c r="CU18" s="1051" t="s">
        <v>1637</v>
      </c>
      <c r="CV18" s="1051">
        <v>334081.98494235403</v>
      </c>
      <c r="CW18" s="1051">
        <v>40.565692000000006</v>
      </c>
      <c r="CX18" s="1051" t="s">
        <v>1637</v>
      </c>
      <c r="CY18" s="1051">
        <v>23341.621173909993</v>
      </c>
      <c r="CZ18" s="1118">
        <v>1962415.9205152853</v>
      </c>
      <c r="DA18" s="1118">
        <v>1331640.4878563925</v>
      </c>
      <c r="DB18" s="1118">
        <v>37269.060873798182</v>
      </c>
      <c r="DC18" s="1118" t="s">
        <v>1637</v>
      </c>
      <c r="DD18" s="1118" t="s">
        <v>1637</v>
      </c>
      <c r="DE18" s="1118" t="s">
        <v>1637</v>
      </c>
      <c r="DF18" s="1118" t="s">
        <v>1637</v>
      </c>
      <c r="DG18" s="1118">
        <v>365.80226524816146</v>
      </c>
      <c r="DH18" s="1118">
        <v>1015754.0251876643</v>
      </c>
      <c r="DI18" s="1118">
        <v>48775.41055224336</v>
      </c>
      <c r="DJ18" s="1118" t="s">
        <v>1637</v>
      </c>
      <c r="DK18" s="1118">
        <v>66349.7505400144</v>
      </c>
      <c r="DL18" s="1118" t="s">
        <v>1637</v>
      </c>
      <c r="DM18" s="1118">
        <v>334081.98494235403</v>
      </c>
      <c r="DN18" s="1118">
        <v>40.565692000000006</v>
      </c>
      <c r="DO18" s="1118" t="s">
        <v>1637</v>
      </c>
      <c r="DP18" s="1118">
        <v>23341.621173909993</v>
      </c>
      <c r="DQ18" s="1118" t="s">
        <v>1637</v>
      </c>
      <c r="DR18" s="1118" t="s">
        <v>1637</v>
      </c>
      <c r="DS18" s="1118" t="s">
        <v>1637</v>
      </c>
      <c r="DT18" s="1118" t="s">
        <v>1637</v>
      </c>
      <c r="DU18" s="1118" t="s">
        <v>1637</v>
      </c>
      <c r="DV18" s="1119" t="s">
        <v>1637</v>
      </c>
      <c r="DW18" s="1120">
        <v>276488.06254906149</v>
      </c>
      <c r="DX18" s="1120">
        <v>713.89134517095306</v>
      </c>
      <c r="DY18" s="1120">
        <v>19266.569691914003</v>
      </c>
      <c r="DZ18" s="1120" t="s">
        <v>1637</v>
      </c>
      <c r="EA18" s="1120" t="s">
        <v>1637</v>
      </c>
      <c r="EB18" s="1120" t="s">
        <v>1637</v>
      </c>
      <c r="EC18" s="1120" t="s">
        <v>1637</v>
      </c>
      <c r="ED18" s="1120" t="s">
        <v>1637</v>
      </c>
      <c r="EE18" s="1120">
        <v>365.80226524816146</v>
      </c>
      <c r="EF18" s="1120">
        <v>988587.28605382703</v>
      </c>
      <c r="EG18" s="1120" t="s">
        <v>1637</v>
      </c>
      <c r="EH18" s="1120" t="s">
        <v>1637</v>
      </c>
      <c r="EI18" s="1120" t="s">
        <v>1637</v>
      </c>
      <c r="EJ18" s="1120" t="s">
        <v>1637</v>
      </c>
      <c r="EK18" s="1120" t="s">
        <v>1637</v>
      </c>
      <c r="EL18" s="1120" t="s">
        <v>1637</v>
      </c>
      <c r="EM18" s="1120" t="s">
        <v>1637</v>
      </c>
      <c r="EN18" s="1120" t="s">
        <v>1637</v>
      </c>
      <c r="EO18" s="1120" t="s">
        <v>1637</v>
      </c>
      <c r="EP18" s="1120" t="s">
        <v>1637</v>
      </c>
      <c r="EQ18" s="1120" t="s">
        <v>1637</v>
      </c>
      <c r="ER18" s="1120" t="s">
        <v>1637</v>
      </c>
      <c r="ES18" s="1120" t="s">
        <v>1637</v>
      </c>
    </row>
    <row r="19" spans="1:149" s="1121" customFormat="1" ht="15" customHeight="1">
      <c r="A19" s="1799">
        <v>4</v>
      </c>
      <c r="B19" s="1055" t="s">
        <v>2632</v>
      </c>
      <c r="C19" s="1055" t="s">
        <v>1748</v>
      </c>
      <c r="D19" s="1048" t="s">
        <v>1641</v>
      </c>
      <c r="E19" s="1055" t="s">
        <v>687</v>
      </c>
      <c r="F19" s="1049">
        <v>2012</v>
      </c>
      <c r="G19" s="1457" t="str">
        <f t="shared" si="4"/>
        <v>2012</v>
      </c>
      <c r="H19" s="1117" t="str">
        <f>IF(B19="","",IF(F19="","",CONCATENATE(B19,"_",G19)))</f>
        <v>Bogota_2012</v>
      </c>
      <c r="I19" s="1049" t="s">
        <v>172</v>
      </c>
      <c r="J19" s="1049">
        <v>7571345</v>
      </c>
      <c r="K19" s="1049">
        <v>1636.6</v>
      </c>
      <c r="L19" s="1043">
        <f>(1/1797)*122994*1000000000</f>
        <v>68444073455.759605</v>
      </c>
      <c r="M19" s="1051">
        <v>765140.46046302898</v>
      </c>
      <c r="N19" s="1051">
        <v>1394887.7965676526</v>
      </c>
      <c r="O19" s="1052" t="s">
        <v>177</v>
      </c>
      <c r="P19" s="1051">
        <v>1776265.5309885843</v>
      </c>
      <c r="Q19" s="1051">
        <v>782986.45746494574</v>
      </c>
      <c r="R19" s="1052" t="s">
        <v>177</v>
      </c>
      <c r="S19" s="1051">
        <v>1672673.8942635136</v>
      </c>
      <c r="T19" s="1051">
        <v>223495.33346062616</v>
      </c>
      <c r="U19" s="1052" t="s">
        <v>177</v>
      </c>
      <c r="V19" s="1051" t="s">
        <v>175</v>
      </c>
      <c r="W19" s="1051" t="s">
        <v>175</v>
      </c>
      <c r="X19" s="1052" t="s">
        <v>175</v>
      </c>
      <c r="Y19" s="1053" t="s">
        <v>175</v>
      </c>
      <c r="Z19" s="1051">
        <v>49732.085577456193</v>
      </c>
      <c r="AA19" s="1051" t="s">
        <v>176</v>
      </c>
      <c r="AB19" s="1052" t="s">
        <v>177</v>
      </c>
      <c r="AC19" s="1051">
        <v>1374.7727342043763</v>
      </c>
      <c r="AD19" s="1051">
        <v>80028.249042327559</v>
      </c>
      <c r="AE19" s="1052" t="s">
        <v>177</v>
      </c>
      <c r="AF19" s="1051" t="s">
        <v>175</v>
      </c>
      <c r="AG19" s="1051">
        <v>38226.44732715407</v>
      </c>
      <c r="AH19" s="1051">
        <v>4691955.43</v>
      </c>
      <c r="AI19" s="1051" t="s">
        <v>175</v>
      </c>
      <c r="AJ19" s="1052" t="s">
        <v>177</v>
      </c>
      <c r="AK19" s="1051">
        <v>213.26374879327605</v>
      </c>
      <c r="AL19" s="1051" t="s">
        <v>175</v>
      </c>
      <c r="AM19" s="1052" t="s">
        <v>177</v>
      </c>
      <c r="AN19" s="1051" t="s">
        <v>175</v>
      </c>
      <c r="AO19" s="1051" t="s">
        <v>175</v>
      </c>
      <c r="AP19" s="1052" t="s">
        <v>175</v>
      </c>
      <c r="AQ19" s="1051" t="s">
        <v>175</v>
      </c>
      <c r="AR19" s="1051" t="s">
        <v>175</v>
      </c>
      <c r="AS19" s="1052" t="s">
        <v>177</v>
      </c>
      <c r="AT19" s="1051" t="s">
        <v>176</v>
      </c>
      <c r="AU19" s="1051" t="s">
        <v>175</v>
      </c>
      <c r="AV19" s="1052" t="s">
        <v>175</v>
      </c>
      <c r="AW19" s="1051">
        <v>47973.854107185711</v>
      </c>
      <c r="AX19" s="1051" t="s">
        <v>175</v>
      </c>
      <c r="AY19" s="1053">
        <v>98.376299401197585</v>
      </c>
      <c r="AZ19" s="1051">
        <v>10.9619988</v>
      </c>
      <c r="BA19" s="1051" t="s">
        <v>175</v>
      </c>
      <c r="BB19" s="1053" t="s">
        <v>175</v>
      </c>
      <c r="BC19" s="1051">
        <v>9.59558</v>
      </c>
      <c r="BD19" s="1051">
        <v>127.85769999999999</v>
      </c>
      <c r="BE19" s="1053" t="s">
        <v>175</v>
      </c>
      <c r="BF19" s="1051">
        <v>884380.95173532935</v>
      </c>
      <c r="BG19" s="1051" t="s">
        <v>175</v>
      </c>
      <c r="BH19" s="1053" t="s">
        <v>175</v>
      </c>
      <c r="BI19" s="1052">
        <v>425.67</v>
      </c>
      <c r="BJ19" s="1052">
        <v>155136.10174985998</v>
      </c>
      <c r="BK19" s="1052">
        <v>65355.743233876252</v>
      </c>
      <c r="BL19" s="1052">
        <v>294849.74570664071</v>
      </c>
      <c r="BM19" s="1052">
        <v>5103569.7805090211</v>
      </c>
      <c r="BN19" s="1054" t="s">
        <v>177</v>
      </c>
      <c r="BO19" s="1076" t="str">
        <f t="shared" si="2"/>
        <v>Bogota_2012</v>
      </c>
      <c r="BP19" s="1051">
        <v>12409482.942759601</v>
      </c>
      <c r="BQ19" s="1052">
        <v>18028819.983958997</v>
      </c>
      <c r="BR19" s="1054">
        <v>18028819.983958997</v>
      </c>
      <c r="BS19" s="1053">
        <v>15547392.666022848</v>
      </c>
      <c r="BT19" s="1051">
        <v>6784811.0278894939</v>
      </c>
      <c r="BU19" s="1051">
        <v>4692168.6937487926</v>
      </c>
      <c r="BV19" s="1051">
        <v>932503.22112131515</v>
      </c>
      <c r="BW19" s="1052">
        <v>6784811.0278894939</v>
      </c>
      <c r="BX19" s="1052">
        <v>4692168.6937487926</v>
      </c>
      <c r="BY19" s="1052">
        <v>932503.22112131515</v>
      </c>
      <c r="BZ19" s="1052">
        <v>155561.77174986</v>
      </c>
      <c r="CA19" s="1052">
        <v>5463775.2694495376</v>
      </c>
      <c r="CB19" s="1053">
        <v>4303413.1913539413</v>
      </c>
      <c r="CC19" s="1053" t="s">
        <v>1637</v>
      </c>
      <c r="CD19" s="1053">
        <v>4692168.6937487926</v>
      </c>
      <c r="CE19" s="1053">
        <v>932375.36342131509</v>
      </c>
      <c r="CF19" s="1053">
        <v>98.376299401197585</v>
      </c>
      <c r="CG19" s="1053">
        <v>155561.77174986</v>
      </c>
      <c r="CH19" s="1053">
        <v>5463775.2694495376</v>
      </c>
      <c r="CI19" s="1051">
        <v>2160028.2570306817</v>
      </c>
      <c r="CJ19" s="1051">
        <v>2559251.9884535298</v>
      </c>
      <c r="CK19" s="1051">
        <v>1896169.2277241398</v>
      </c>
      <c r="CL19" s="1051" t="s">
        <v>1637</v>
      </c>
      <c r="CM19" s="1051">
        <v>49732.085577456193</v>
      </c>
      <c r="CN19" s="1051">
        <v>81403.021776531939</v>
      </c>
      <c r="CO19" s="1051" t="s">
        <v>1637</v>
      </c>
      <c r="CP19" s="1051">
        <v>38226.44732715407</v>
      </c>
      <c r="CQ19" s="1051">
        <v>4691955.43</v>
      </c>
      <c r="CR19" s="1051">
        <v>213.26374879327605</v>
      </c>
      <c r="CS19" s="1051" t="s">
        <v>1637</v>
      </c>
      <c r="CT19" s="1051" t="s">
        <v>1637</v>
      </c>
      <c r="CU19" s="1051" t="s">
        <v>1637</v>
      </c>
      <c r="CV19" s="1051">
        <v>47973.854107185711</v>
      </c>
      <c r="CW19" s="1051">
        <v>10.9619988</v>
      </c>
      <c r="CX19" s="1051">
        <v>137.45328000000001</v>
      </c>
      <c r="CY19" s="1051">
        <v>884380.95173532935</v>
      </c>
      <c r="CZ19" s="1118">
        <v>2160028.2570306817</v>
      </c>
      <c r="DA19" s="1118">
        <v>2559251.9884535298</v>
      </c>
      <c r="DB19" s="1118">
        <v>1896169.2277241398</v>
      </c>
      <c r="DC19" s="1118" t="s">
        <v>1637</v>
      </c>
      <c r="DD19" s="1118">
        <v>49732.085577456193</v>
      </c>
      <c r="DE19" s="1118">
        <v>81403.021776531939</v>
      </c>
      <c r="DF19" s="1118" t="s">
        <v>1637</v>
      </c>
      <c r="DG19" s="1118">
        <v>38226.44732715407</v>
      </c>
      <c r="DH19" s="1118">
        <v>4691955.43</v>
      </c>
      <c r="DI19" s="1118">
        <v>213.26374879327605</v>
      </c>
      <c r="DJ19" s="1118" t="s">
        <v>1637</v>
      </c>
      <c r="DK19" s="1118" t="s">
        <v>1637</v>
      </c>
      <c r="DL19" s="1118" t="s">
        <v>1637</v>
      </c>
      <c r="DM19" s="1118">
        <v>47973.854107185711</v>
      </c>
      <c r="DN19" s="1118">
        <v>10.9619988</v>
      </c>
      <c r="DO19" s="1118">
        <v>137.45328000000001</v>
      </c>
      <c r="DP19" s="1118">
        <v>884380.95173532935</v>
      </c>
      <c r="DQ19" s="1118">
        <v>425.67</v>
      </c>
      <c r="DR19" s="1118">
        <v>155136.10174985998</v>
      </c>
      <c r="DS19" s="1118">
        <v>65355.743233876252</v>
      </c>
      <c r="DT19" s="1118">
        <v>294849.74570664071</v>
      </c>
      <c r="DU19" s="1118">
        <v>5103569.7805090211</v>
      </c>
      <c r="DV19" s="1119" t="s">
        <v>1637</v>
      </c>
      <c r="DW19" s="1120">
        <v>765140.46046302898</v>
      </c>
      <c r="DX19" s="1120">
        <v>1776265.5309885843</v>
      </c>
      <c r="DY19" s="1120">
        <v>1672673.8942635136</v>
      </c>
      <c r="DZ19" s="1120" t="s">
        <v>1637</v>
      </c>
      <c r="EA19" s="1120" t="s">
        <v>1637</v>
      </c>
      <c r="EB19" s="1120">
        <v>49732.085577456193</v>
      </c>
      <c r="EC19" s="1120">
        <v>1374.7727342043763</v>
      </c>
      <c r="ED19" s="1120" t="s">
        <v>1637</v>
      </c>
      <c r="EE19" s="1120">
        <v>38226.44732715407</v>
      </c>
      <c r="EF19" s="1120">
        <v>4691955.43</v>
      </c>
      <c r="EG19" s="1120">
        <v>213.26374879327605</v>
      </c>
      <c r="EH19" s="1120" t="s">
        <v>1637</v>
      </c>
      <c r="EI19" s="1120" t="s">
        <v>1637</v>
      </c>
      <c r="EJ19" s="1120" t="s">
        <v>1637</v>
      </c>
      <c r="EK19" s="1120">
        <v>48072.23040658691</v>
      </c>
      <c r="EL19" s="1120">
        <v>10.9619988</v>
      </c>
      <c r="EM19" s="1120">
        <v>9.59558</v>
      </c>
      <c r="EN19" s="1120">
        <v>884380.95173532935</v>
      </c>
      <c r="EO19" s="1120">
        <v>425.67</v>
      </c>
      <c r="EP19" s="1120">
        <v>155136.10174985998</v>
      </c>
      <c r="EQ19" s="1120">
        <v>65355.743233876252</v>
      </c>
      <c r="ER19" s="1120">
        <v>294849.74570664071</v>
      </c>
      <c r="ES19" s="1120">
        <v>5103569.7805090211</v>
      </c>
    </row>
    <row r="20" spans="1:149" s="1121" customFormat="1" ht="15" customHeight="1">
      <c r="A20" s="1799">
        <v>5</v>
      </c>
      <c r="B20" s="1055" t="s">
        <v>1752</v>
      </c>
      <c r="C20" s="1055" t="s">
        <v>1737</v>
      </c>
      <c r="D20" s="1048" t="s">
        <v>1141</v>
      </c>
      <c r="E20" s="1055" t="s">
        <v>687</v>
      </c>
      <c r="F20" s="1049">
        <v>2013</v>
      </c>
      <c r="G20" s="1457" t="str">
        <f t="shared" si="4"/>
        <v>2013</v>
      </c>
      <c r="H20" s="1117" t="str">
        <f>IF(B20="","",IF(F20="","",CONCATENATE(B20,"_",G20)))</f>
        <v>Boston_2013</v>
      </c>
      <c r="I20" s="1049" t="s">
        <v>172</v>
      </c>
      <c r="J20" s="1049">
        <v>644710</v>
      </c>
      <c r="K20" s="1049">
        <v>125</v>
      </c>
      <c r="L20" s="1043">
        <v>109829400000</v>
      </c>
      <c r="M20" s="1051">
        <v>835785.2789264</v>
      </c>
      <c r="N20" s="1051">
        <v>453026.13390925678</v>
      </c>
      <c r="O20" s="1052" t="s">
        <v>177</v>
      </c>
      <c r="P20" s="1051">
        <v>1179180.4138613134</v>
      </c>
      <c r="Q20" s="1051">
        <v>1920851.019574417</v>
      </c>
      <c r="R20" s="1052" t="s">
        <v>177</v>
      </c>
      <c r="S20" s="1051" t="s">
        <v>176</v>
      </c>
      <c r="T20" s="1051" t="s">
        <v>176</v>
      </c>
      <c r="U20" s="1052" t="s">
        <v>177</v>
      </c>
      <c r="V20" s="1051" t="s">
        <v>175</v>
      </c>
      <c r="W20" s="1051" t="s">
        <v>175</v>
      </c>
      <c r="X20" s="1052" t="s">
        <v>175</v>
      </c>
      <c r="Y20" s="1053">
        <v>184998.88686706795</v>
      </c>
      <c r="Z20" s="1051" t="s">
        <v>175</v>
      </c>
      <c r="AA20" s="1051" t="s">
        <v>175</v>
      </c>
      <c r="AB20" s="1052" t="s">
        <v>175</v>
      </c>
      <c r="AC20" s="1051" t="s">
        <v>175</v>
      </c>
      <c r="AD20" s="1051" t="s">
        <v>175</v>
      </c>
      <c r="AE20" s="1052" t="s">
        <v>175</v>
      </c>
      <c r="AF20" s="1051" t="s">
        <v>175</v>
      </c>
      <c r="AG20" s="1051">
        <v>22586.198969997196</v>
      </c>
      <c r="AH20" s="1051">
        <v>1506122.2340378426</v>
      </c>
      <c r="AI20" s="1051" t="s">
        <v>175</v>
      </c>
      <c r="AJ20" s="1052" t="s">
        <v>177</v>
      </c>
      <c r="AK20" s="1051">
        <v>15466.198512840001</v>
      </c>
      <c r="AL20" s="1051">
        <v>55082.925822987258</v>
      </c>
      <c r="AM20" s="1052" t="s">
        <v>177</v>
      </c>
      <c r="AN20" s="1051">
        <v>385.67362240000006</v>
      </c>
      <c r="AO20" s="1051" t="s">
        <v>175</v>
      </c>
      <c r="AP20" s="1052" t="s">
        <v>177</v>
      </c>
      <c r="AQ20" s="1051" t="s">
        <v>175</v>
      </c>
      <c r="AR20" s="1051" t="s">
        <v>175</v>
      </c>
      <c r="AS20" s="1052" t="s">
        <v>177</v>
      </c>
      <c r="AT20" s="1051">
        <v>19754.778761830741</v>
      </c>
      <c r="AU20" s="1051" t="s">
        <v>175</v>
      </c>
      <c r="AV20" s="1052" t="s">
        <v>177</v>
      </c>
      <c r="AW20" s="1051" t="s">
        <v>175</v>
      </c>
      <c r="AX20" s="1051" t="s">
        <v>175</v>
      </c>
      <c r="AY20" s="1053" t="s">
        <v>175</v>
      </c>
      <c r="AZ20" s="1051" t="s">
        <v>175</v>
      </c>
      <c r="BA20" s="1051" t="s">
        <v>175</v>
      </c>
      <c r="BB20" s="1053" t="s">
        <v>175</v>
      </c>
      <c r="BC20" s="1051" t="s">
        <v>175</v>
      </c>
      <c r="BD20" s="1051">
        <v>0</v>
      </c>
      <c r="BE20" s="1053" t="s">
        <v>175</v>
      </c>
      <c r="BF20" s="1051">
        <v>17120.961810486329</v>
      </c>
      <c r="BG20" s="1051" t="s">
        <v>175</v>
      </c>
      <c r="BH20" s="1053">
        <v>34760.740645532846</v>
      </c>
      <c r="BI20" s="1052" t="s">
        <v>177</v>
      </c>
      <c r="BJ20" s="1052" t="s">
        <v>177</v>
      </c>
      <c r="BK20" s="1052" t="s">
        <v>177</v>
      </c>
      <c r="BL20" s="1052" t="s">
        <v>177</v>
      </c>
      <c r="BM20" s="1052" t="s">
        <v>177</v>
      </c>
      <c r="BN20" s="1054" t="s">
        <v>177</v>
      </c>
      <c r="BO20" s="1076" t="str">
        <f t="shared" si="2"/>
        <v>Boston_2013</v>
      </c>
      <c r="BP20" s="1051">
        <v>6025361.8178097717</v>
      </c>
      <c r="BQ20" s="1052">
        <v>6025361.8178097717</v>
      </c>
      <c r="BR20" s="1054">
        <v>6025361.8178097717</v>
      </c>
      <c r="BS20" s="1053">
        <v>3816161.3660157113</v>
      </c>
      <c r="BT20" s="1051">
        <v>4411429.0452413848</v>
      </c>
      <c r="BU20" s="1051">
        <v>1596811.8107579006</v>
      </c>
      <c r="BV20" s="1051">
        <v>17120.961810486329</v>
      </c>
      <c r="BW20" s="1052">
        <v>4411429.0452413848</v>
      </c>
      <c r="BX20" s="1052">
        <v>1596811.8107579006</v>
      </c>
      <c r="BY20" s="1052">
        <v>17120.961810486329</v>
      </c>
      <c r="BZ20" s="1052" t="s">
        <v>1637</v>
      </c>
      <c r="CA20" s="1052" t="s">
        <v>1637</v>
      </c>
      <c r="CB20" s="1053">
        <v>2037551.8917577106</v>
      </c>
      <c r="CC20" s="1053">
        <v>184998.88686706795</v>
      </c>
      <c r="CD20" s="1053">
        <v>1541728.8849349134</v>
      </c>
      <c r="CE20" s="1053">
        <v>17120.961810486329</v>
      </c>
      <c r="CF20" s="1053">
        <v>34760.740645532846</v>
      </c>
      <c r="CG20" s="1053" t="s">
        <v>1637</v>
      </c>
      <c r="CH20" s="1053" t="s">
        <v>1637</v>
      </c>
      <c r="CI20" s="1051">
        <v>1288811.4128356567</v>
      </c>
      <c r="CJ20" s="1051">
        <v>3100031.4334357306</v>
      </c>
      <c r="CK20" s="1051" t="s">
        <v>1637</v>
      </c>
      <c r="CL20" s="1051" t="s">
        <v>1637</v>
      </c>
      <c r="CM20" s="1051" t="s">
        <v>1637</v>
      </c>
      <c r="CN20" s="1051" t="s">
        <v>1637</v>
      </c>
      <c r="CO20" s="1051" t="s">
        <v>1637</v>
      </c>
      <c r="CP20" s="1051">
        <v>22586.198969997196</v>
      </c>
      <c r="CQ20" s="1051">
        <v>1506122.2340378426</v>
      </c>
      <c r="CR20" s="1051">
        <v>70549.124335827262</v>
      </c>
      <c r="CS20" s="1051">
        <v>385.67362240000006</v>
      </c>
      <c r="CT20" s="1051" t="s">
        <v>1637</v>
      </c>
      <c r="CU20" s="1051">
        <v>19754.778761830741</v>
      </c>
      <c r="CV20" s="1051" t="s">
        <v>1637</v>
      </c>
      <c r="CW20" s="1051" t="s">
        <v>1637</v>
      </c>
      <c r="CX20" s="1051" t="s">
        <v>1637</v>
      </c>
      <c r="CY20" s="1051">
        <v>17120.961810486329</v>
      </c>
      <c r="CZ20" s="1118">
        <v>1288811.4128356567</v>
      </c>
      <c r="DA20" s="1118">
        <v>3100031.4334357306</v>
      </c>
      <c r="DB20" s="1118" t="s">
        <v>1637</v>
      </c>
      <c r="DC20" s="1118" t="s">
        <v>1637</v>
      </c>
      <c r="DD20" s="1118" t="s">
        <v>1637</v>
      </c>
      <c r="DE20" s="1118" t="s">
        <v>1637</v>
      </c>
      <c r="DF20" s="1118" t="s">
        <v>1637</v>
      </c>
      <c r="DG20" s="1118">
        <v>22586.198969997196</v>
      </c>
      <c r="DH20" s="1118">
        <v>1506122.2340378426</v>
      </c>
      <c r="DI20" s="1118">
        <v>70549.124335827262</v>
      </c>
      <c r="DJ20" s="1118">
        <v>385.67362240000006</v>
      </c>
      <c r="DK20" s="1118" t="s">
        <v>1637</v>
      </c>
      <c r="DL20" s="1118">
        <v>19754.778761830741</v>
      </c>
      <c r="DM20" s="1118" t="s">
        <v>1637</v>
      </c>
      <c r="DN20" s="1118" t="s">
        <v>1637</v>
      </c>
      <c r="DO20" s="1118" t="s">
        <v>1637</v>
      </c>
      <c r="DP20" s="1118">
        <v>17120.961810486329</v>
      </c>
      <c r="DQ20" s="1118" t="s">
        <v>1637</v>
      </c>
      <c r="DR20" s="1118" t="s">
        <v>1637</v>
      </c>
      <c r="DS20" s="1118" t="s">
        <v>1637</v>
      </c>
      <c r="DT20" s="1118" t="s">
        <v>1637</v>
      </c>
      <c r="DU20" s="1118" t="s">
        <v>1637</v>
      </c>
      <c r="DV20" s="1119" t="s">
        <v>1637</v>
      </c>
      <c r="DW20" s="1120">
        <v>835785.2789264</v>
      </c>
      <c r="DX20" s="1120">
        <v>1179180.4138613134</v>
      </c>
      <c r="DY20" s="1120" t="s">
        <v>1637</v>
      </c>
      <c r="DZ20" s="1120" t="s">
        <v>1637</v>
      </c>
      <c r="EA20" s="1120">
        <v>184998.88686706795</v>
      </c>
      <c r="EB20" s="1120" t="s">
        <v>1637</v>
      </c>
      <c r="EC20" s="1120" t="s">
        <v>1637</v>
      </c>
      <c r="ED20" s="1120" t="s">
        <v>1637</v>
      </c>
      <c r="EE20" s="1120">
        <v>22586.198969997196</v>
      </c>
      <c r="EF20" s="1120">
        <v>1506122.2340378426</v>
      </c>
      <c r="EG20" s="1120">
        <v>15466.198512840001</v>
      </c>
      <c r="EH20" s="1120">
        <v>385.67362240000006</v>
      </c>
      <c r="EI20" s="1120" t="s">
        <v>1637</v>
      </c>
      <c r="EJ20" s="1120">
        <v>19754.778761830741</v>
      </c>
      <c r="EK20" s="1120" t="s">
        <v>1637</v>
      </c>
      <c r="EL20" s="1120" t="s">
        <v>1637</v>
      </c>
      <c r="EM20" s="1120" t="s">
        <v>1637</v>
      </c>
      <c r="EN20" s="1120">
        <v>51881.702456019178</v>
      </c>
      <c r="EO20" s="1120" t="s">
        <v>1637</v>
      </c>
      <c r="EP20" s="1120" t="s">
        <v>1637</v>
      </c>
      <c r="EQ20" s="1120" t="s">
        <v>1637</v>
      </c>
      <c r="ER20" s="1120" t="s">
        <v>1637</v>
      </c>
      <c r="ES20" s="1120" t="s">
        <v>1637</v>
      </c>
    </row>
    <row r="21" spans="1:149" s="1121" customFormat="1" ht="15" customHeight="1">
      <c r="A21" s="1799">
        <v>6</v>
      </c>
      <c r="B21" s="1055" t="s">
        <v>2631</v>
      </c>
      <c r="C21" s="1055" t="s">
        <v>1235</v>
      </c>
      <c r="D21" s="1048" t="s">
        <v>1641</v>
      </c>
      <c r="E21" s="1055" t="s">
        <v>687</v>
      </c>
      <c r="F21" s="1049">
        <v>2013</v>
      </c>
      <c r="G21" s="1457" t="str">
        <f t="shared" si="4"/>
        <v>2013</v>
      </c>
      <c r="H21" s="1117" t="str">
        <f>IF(B21="","",IF(F21="","",CONCATENATE(B21,"_",G21)))</f>
        <v>Buenos Aires_2013</v>
      </c>
      <c r="I21" s="1049" t="s">
        <v>172</v>
      </c>
      <c r="J21" s="1049">
        <v>3079071</v>
      </c>
      <c r="K21" s="1049">
        <v>202.04</v>
      </c>
      <c r="L21" s="1043">
        <v>79384000000</v>
      </c>
      <c r="M21" s="1051">
        <v>2394807.3141091089</v>
      </c>
      <c r="N21" s="1051">
        <v>1454197.0477896938</v>
      </c>
      <c r="O21" s="1052">
        <v>214828.84228037242</v>
      </c>
      <c r="P21" s="1051">
        <v>846725.14632999885</v>
      </c>
      <c r="Q21" s="1051">
        <v>2075330.0732117784</v>
      </c>
      <c r="R21" s="1052">
        <v>254434.50119400752</v>
      </c>
      <c r="S21" s="1051">
        <v>370560.2434413209</v>
      </c>
      <c r="T21" s="1051">
        <v>369535.32667138078</v>
      </c>
      <c r="U21" s="1052">
        <v>49271.372881174597</v>
      </c>
      <c r="V21" s="1051" t="s">
        <v>176</v>
      </c>
      <c r="W21" s="1051" t="s">
        <v>176</v>
      </c>
      <c r="X21" s="1052" t="s">
        <v>176</v>
      </c>
      <c r="Y21" s="1053">
        <v>9574078.306376053</v>
      </c>
      <c r="Z21" s="1051" t="s">
        <v>175</v>
      </c>
      <c r="AA21" s="1051" t="s">
        <v>175</v>
      </c>
      <c r="AB21" s="1052" t="s">
        <v>175</v>
      </c>
      <c r="AC21" s="1051" t="s">
        <v>175</v>
      </c>
      <c r="AD21" s="1051" t="s">
        <v>175</v>
      </c>
      <c r="AE21" s="1052" t="s">
        <v>175</v>
      </c>
      <c r="AF21" s="1051" t="s">
        <v>175</v>
      </c>
      <c r="AG21" s="1051">
        <v>147197.6506580743</v>
      </c>
      <c r="AH21" s="1051">
        <v>3994892.8588032145</v>
      </c>
      <c r="AI21" s="1051" t="s">
        <v>175</v>
      </c>
      <c r="AJ21" s="1052" t="s">
        <v>177</v>
      </c>
      <c r="AK21" s="1051">
        <v>17541.769469090708</v>
      </c>
      <c r="AL21" s="1051">
        <v>78892.884675146299</v>
      </c>
      <c r="AM21" s="1052">
        <v>17033.43541626689</v>
      </c>
      <c r="AN21" s="1051" t="s">
        <v>175</v>
      </c>
      <c r="AO21" s="1051" t="s">
        <v>175</v>
      </c>
      <c r="AP21" s="1052" t="s">
        <v>177</v>
      </c>
      <c r="AQ21" s="1051" t="s">
        <v>175</v>
      </c>
      <c r="AR21" s="1051" t="s">
        <v>175</v>
      </c>
      <c r="AS21" s="1052" t="s">
        <v>177</v>
      </c>
      <c r="AT21" s="1051" t="s">
        <v>176</v>
      </c>
      <c r="AU21" s="1051" t="s">
        <v>175</v>
      </c>
      <c r="AV21" s="1052" t="s">
        <v>177</v>
      </c>
      <c r="AW21" s="1051" t="s">
        <v>175</v>
      </c>
      <c r="AX21" s="1051">
        <v>1637774</v>
      </c>
      <c r="AY21" s="1053" t="s">
        <v>175</v>
      </c>
      <c r="AZ21" s="1051" t="s">
        <v>175</v>
      </c>
      <c r="BA21" s="1051">
        <v>5261.6500000000005</v>
      </c>
      <c r="BB21" s="1053" t="s">
        <v>175</v>
      </c>
      <c r="BC21" s="1051" t="s">
        <v>175</v>
      </c>
      <c r="BD21" s="1051" t="s">
        <v>175</v>
      </c>
      <c r="BE21" s="1053" t="s">
        <v>175</v>
      </c>
      <c r="BF21" s="1051">
        <v>55390.376263450562</v>
      </c>
      <c r="BG21" s="1051">
        <v>83186</v>
      </c>
      <c r="BH21" s="1053" t="s">
        <v>175</v>
      </c>
      <c r="BI21" s="1052" t="s">
        <v>175</v>
      </c>
      <c r="BJ21" s="1052" t="s">
        <v>177</v>
      </c>
      <c r="BK21" s="1052" t="s">
        <v>175</v>
      </c>
      <c r="BL21" s="1052" t="s">
        <v>175</v>
      </c>
      <c r="BM21" s="1052" t="s">
        <v>175</v>
      </c>
      <c r="BN21" s="1054" t="s">
        <v>175</v>
      </c>
      <c r="BO21" s="1076" t="str">
        <f t="shared" si="2"/>
        <v>Buenos Aires_2013</v>
      </c>
      <c r="BP21" s="1051">
        <v>13531292.341422258</v>
      </c>
      <c r="BQ21" s="1052">
        <v>14066860.493194081</v>
      </c>
      <c r="BR21" s="1054">
        <v>14066860.493194079</v>
      </c>
      <c r="BS21" s="1053">
        <v>17401193.665450312</v>
      </c>
      <c r="BT21" s="1051">
        <v>7658352.8022113563</v>
      </c>
      <c r="BU21" s="1051">
        <v>4091327.5129474513</v>
      </c>
      <c r="BV21" s="1051">
        <v>1781612.0262634505</v>
      </c>
      <c r="BW21" s="1052">
        <v>8176887.5185669111</v>
      </c>
      <c r="BX21" s="1052">
        <v>4108360.9483637181</v>
      </c>
      <c r="BY21" s="1052">
        <v>1781612.0262634505</v>
      </c>
      <c r="BZ21" s="1052" t="s">
        <v>1637</v>
      </c>
      <c r="CA21" s="1052" t="s">
        <v>1637</v>
      </c>
      <c r="CB21" s="1053">
        <v>3759290.3545385031</v>
      </c>
      <c r="CC21" s="1053">
        <v>9574078.306376053</v>
      </c>
      <c r="CD21" s="1053">
        <v>4012434.6282723052</v>
      </c>
      <c r="CE21" s="1053">
        <v>55390.376263450562</v>
      </c>
      <c r="CF21" s="1053" t="s">
        <v>1637</v>
      </c>
      <c r="CG21" s="1053" t="s">
        <v>1637</v>
      </c>
      <c r="CH21" s="1053" t="s">
        <v>1637</v>
      </c>
      <c r="CI21" s="1051">
        <v>3849004.3618988027</v>
      </c>
      <c r="CJ21" s="1051">
        <v>2922055.2195417774</v>
      </c>
      <c r="CK21" s="1051">
        <v>740095.57011270174</v>
      </c>
      <c r="CL21" s="1051" t="s">
        <v>1637</v>
      </c>
      <c r="CM21" s="1051" t="s">
        <v>1637</v>
      </c>
      <c r="CN21" s="1051" t="s">
        <v>1637</v>
      </c>
      <c r="CO21" s="1051" t="s">
        <v>1637</v>
      </c>
      <c r="CP21" s="1051">
        <v>147197.6506580743</v>
      </c>
      <c r="CQ21" s="1051">
        <v>3994892.8588032145</v>
      </c>
      <c r="CR21" s="1051">
        <v>96434.654144237007</v>
      </c>
      <c r="CS21" s="1051" t="s">
        <v>1637</v>
      </c>
      <c r="CT21" s="1051" t="s">
        <v>1637</v>
      </c>
      <c r="CU21" s="1051" t="s">
        <v>1637</v>
      </c>
      <c r="CV21" s="1051">
        <v>1637774</v>
      </c>
      <c r="CW21" s="1051">
        <v>5261.6500000000005</v>
      </c>
      <c r="CX21" s="1051" t="s">
        <v>1637</v>
      </c>
      <c r="CY21" s="1051">
        <v>138576.37626345057</v>
      </c>
      <c r="CZ21" s="1118">
        <v>4063833.2041791752</v>
      </c>
      <c r="DA21" s="1118">
        <v>3176489.7207357851</v>
      </c>
      <c r="DB21" s="1118">
        <v>789366.94299387629</v>
      </c>
      <c r="DC21" s="1118" t="s">
        <v>1637</v>
      </c>
      <c r="DD21" s="1118" t="s">
        <v>1637</v>
      </c>
      <c r="DE21" s="1118" t="s">
        <v>1637</v>
      </c>
      <c r="DF21" s="1118" t="s">
        <v>1637</v>
      </c>
      <c r="DG21" s="1118">
        <v>147197.6506580743</v>
      </c>
      <c r="DH21" s="1118">
        <v>3994892.8588032145</v>
      </c>
      <c r="DI21" s="1118">
        <v>113468.0895605039</v>
      </c>
      <c r="DJ21" s="1118" t="s">
        <v>1637</v>
      </c>
      <c r="DK21" s="1118" t="s">
        <v>1637</v>
      </c>
      <c r="DL21" s="1118" t="s">
        <v>1637</v>
      </c>
      <c r="DM21" s="1118">
        <v>1637774</v>
      </c>
      <c r="DN21" s="1118">
        <v>5261.6500000000005</v>
      </c>
      <c r="DO21" s="1118" t="s">
        <v>1637</v>
      </c>
      <c r="DP21" s="1118">
        <v>138576.37626345057</v>
      </c>
      <c r="DQ21" s="1118" t="s">
        <v>1637</v>
      </c>
      <c r="DR21" s="1118" t="s">
        <v>1637</v>
      </c>
      <c r="DS21" s="1118" t="s">
        <v>1637</v>
      </c>
      <c r="DT21" s="1118" t="s">
        <v>1637</v>
      </c>
      <c r="DU21" s="1118" t="s">
        <v>1637</v>
      </c>
      <c r="DV21" s="1119" t="s">
        <v>1637</v>
      </c>
      <c r="DW21" s="1120">
        <v>2394807.3141091089</v>
      </c>
      <c r="DX21" s="1120">
        <v>846725.14632999885</v>
      </c>
      <c r="DY21" s="1120">
        <v>370560.2434413209</v>
      </c>
      <c r="DZ21" s="1120" t="s">
        <v>1637</v>
      </c>
      <c r="EA21" s="1120">
        <v>9574078.306376053</v>
      </c>
      <c r="EB21" s="1120" t="s">
        <v>1637</v>
      </c>
      <c r="EC21" s="1120" t="s">
        <v>1637</v>
      </c>
      <c r="ED21" s="1120" t="s">
        <v>1637</v>
      </c>
      <c r="EE21" s="1120">
        <v>147197.6506580743</v>
      </c>
      <c r="EF21" s="1120">
        <v>3994892.8588032145</v>
      </c>
      <c r="EG21" s="1120">
        <v>17541.769469090708</v>
      </c>
      <c r="EH21" s="1120" t="s">
        <v>1637</v>
      </c>
      <c r="EI21" s="1120" t="s">
        <v>1637</v>
      </c>
      <c r="EJ21" s="1120" t="s">
        <v>1637</v>
      </c>
      <c r="EK21" s="1120" t="s">
        <v>1637</v>
      </c>
      <c r="EL21" s="1120" t="s">
        <v>1637</v>
      </c>
      <c r="EM21" s="1120" t="s">
        <v>1637</v>
      </c>
      <c r="EN21" s="1120">
        <v>55390.376263450562</v>
      </c>
      <c r="EO21" s="1120" t="s">
        <v>1637</v>
      </c>
      <c r="EP21" s="1120" t="s">
        <v>1637</v>
      </c>
      <c r="EQ21" s="1120" t="s">
        <v>1637</v>
      </c>
      <c r="ER21" s="1120" t="s">
        <v>1637</v>
      </c>
      <c r="ES21" s="1120" t="s">
        <v>1637</v>
      </c>
    </row>
    <row r="22" spans="1:149" s="1121" customFormat="1" ht="15" customHeight="1">
      <c r="A22" s="1799">
        <v>7</v>
      </c>
      <c r="B22" s="1055" t="s">
        <v>1741</v>
      </c>
      <c r="C22" s="1055" t="s">
        <v>1030</v>
      </c>
      <c r="D22" s="1055" t="s">
        <v>1027</v>
      </c>
      <c r="E22" s="1055" t="s">
        <v>687</v>
      </c>
      <c r="F22" s="1049">
        <v>2012</v>
      </c>
      <c r="G22" s="1457" t="str">
        <f t="shared" si="4"/>
        <v>2012</v>
      </c>
      <c r="H22" s="1117" t="str">
        <f t="shared" ref="H22:H45" si="5">IF(B22="","",IF(F22="","",CONCATENATE(B22,"_",G22)))</f>
        <v>Cape Town_2012</v>
      </c>
      <c r="I22" s="1049" t="s">
        <v>172</v>
      </c>
      <c r="J22" s="1049">
        <v>3837414</v>
      </c>
      <c r="K22" s="1049">
        <v>2455</v>
      </c>
      <c r="L22" s="1043">
        <v>17454000000</v>
      </c>
      <c r="M22" s="1051">
        <v>153682.01889099999</v>
      </c>
      <c r="N22" s="1051">
        <v>4420213.5690900004</v>
      </c>
      <c r="O22" s="1052">
        <v>178594.48764000001</v>
      </c>
      <c r="P22" s="1051">
        <v>69967.809854000006</v>
      </c>
      <c r="Q22" s="1051">
        <v>5652332.0756100006</v>
      </c>
      <c r="R22" s="1052">
        <v>228377.05356000003</v>
      </c>
      <c r="S22" s="1051">
        <v>663784.28619200003</v>
      </c>
      <c r="T22" s="1051">
        <v>1433450.304</v>
      </c>
      <c r="U22" s="1052">
        <v>57917.184000000001</v>
      </c>
      <c r="V22" s="1051" t="s">
        <v>176</v>
      </c>
      <c r="W22" s="1051" t="s">
        <v>176</v>
      </c>
      <c r="X22" s="1052" t="s">
        <v>176</v>
      </c>
      <c r="Y22" s="1053">
        <v>729083.78302399989</v>
      </c>
      <c r="Z22" s="1051">
        <v>22.641521999999998</v>
      </c>
      <c r="AA22" s="1051">
        <v>209156.85053999998</v>
      </c>
      <c r="AB22" s="1052">
        <v>8450.7818400000015</v>
      </c>
      <c r="AC22" s="1051" t="s">
        <v>175</v>
      </c>
      <c r="AD22" s="1051">
        <v>1042806.48615</v>
      </c>
      <c r="AE22" s="1052">
        <v>42133.595400000006</v>
      </c>
      <c r="AF22" s="1051" t="s">
        <v>175</v>
      </c>
      <c r="AG22" s="1051" t="s">
        <v>175</v>
      </c>
      <c r="AH22" s="1051">
        <v>5743301.3041220009</v>
      </c>
      <c r="AI22" s="1051" t="s">
        <v>175</v>
      </c>
      <c r="AJ22" s="1052" t="s">
        <v>177</v>
      </c>
      <c r="AK22" s="1051" t="s">
        <v>175</v>
      </c>
      <c r="AL22" s="1051">
        <v>102152.22336</v>
      </c>
      <c r="AM22" s="1052">
        <v>4127.3625600000005</v>
      </c>
      <c r="AN22" s="1051" t="s">
        <v>176</v>
      </c>
      <c r="AO22" s="1051" t="s">
        <v>175</v>
      </c>
      <c r="AP22" s="1052">
        <v>531665.96062999999</v>
      </c>
      <c r="AQ22" s="1051" t="s">
        <v>176</v>
      </c>
      <c r="AR22" s="1051" t="s">
        <v>175</v>
      </c>
      <c r="AS22" s="1052">
        <v>740101.58374100004</v>
      </c>
      <c r="AT22" s="1051" t="s">
        <v>176</v>
      </c>
      <c r="AU22" s="1051" t="s">
        <v>175</v>
      </c>
      <c r="AV22" s="1052" t="s">
        <v>177</v>
      </c>
      <c r="AW22" s="1051">
        <v>2286195.1755999997</v>
      </c>
      <c r="AX22" s="1051" t="s">
        <v>175</v>
      </c>
      <c r="AY22" s="1053" t="s">
        <v>176</v>
      </c>
      <c r="AZ22" s="1051" t="s">
        <v>175</v>
      </c>
      <c r="BA22" s="1051" t="s">
        <v>175</v>
      </c>
      <c r="BB22" s="1053" t="s">
        <v>175</v>
      </c>
      <c r="BC22" s="1051" t="s">
        <v>175</v>
      </c>
      <c r="BD22" s="1051" t="s">
        <v>175</v>
      </c>
      <c r="BE22" s="1053" t="s">
        <v>175</v>
      </c>
      <c r="BF22" s="1051">
        <v>137697</v>
      </c>
      <c r="BG22" s="1051" t="s">
        <v>175</v>
      </c>
      <c r="BH22" s="1053" t="s">
        <v>176</v>
      </c>
      <c r="BI22" s="1052" t="s">
        <v>177</v>
      </c>
      <c r="BJ22" s="1052" t="s">
        <v>177</v>
      </c>
      <c r="BK22" s="1052" t="s">
        <v>177</v>
      </c>
      <c r="BL22" s="1052" t="s">
        <v>177</v>
      </c>
      <c r="BM22" s="1052" t="s">
        <v>177</v>
      </c>
      <c r="BN22" s="1054" t="s">
        <v>177</v>
      </c>
      <c r="BO22" s="1076" t="str">
        <f t="shared" ref="BO22:BO80" si="6">H22</f>
        <v>Cape Town_2012</v>
      </c>
      <c r="BP22" s="1051">
        <v>21914761.744931001</v>
      </c>
      <c r="BQ22" s="1052">
        <v>23706129.754302002</v>
      </c>
      <c r="BR22" s="1054">
        <v>23706129.754302002</v>
      </c>
      <c r="BS22" s="1053">
        <v>9783734.0192050003</v>
      </c>
      <c r="BT22" s="1051">
        <v>13645416.041849</v>
      </c>
      <c r="BU22" s="1051">
        <v>5845453.5274820011</v>
      </c>
      <c r="BV22" s="1051">
        <v>2423892.1755999997</v>
      </c>
      <c r="BW22" s="1052">
        <v>14160889.144289</v>
      </c>
      <c r="BX22" s="1052">
        <v>7121348.4344130009</v>
      </c>
      <c r="BY22" s="1052">
        <v>2423892.1755999997</v>
      </c>
      <c r="BZ22" s="1052" t="s">
        <v>1637</v>
      </c>
      <c r="CA22" s="1052" t="s">
        <v>1637</v>
      </c>
      <c r="CB22" s="1053">
        <v>887456.75645899994</v>
      </c>
      <c r="CC22" s="1053">
        <v>729083.78302399989</v>
      </c>
      <c r="CD22" s="1053">
        <v>5743301.3041220009</v>
      </c>
      <c r="CE22" s="1053">
        <v>2423892.1755999997</v>
      </c>
      <c r="CF22" s="1053" t="s">
        <v>1637</v>
      </c>
      <c r="CG22" s="1053" t="s">
        <v>1637</v>
      </c>
      <c r="CH22" s="1053" t="s">
        <v>1637</v>
      </c>
      <c r="CI22" s="1051">
        <v>4573895.5879810005</v>
      </c>
      <c r="CJ22" s="1051">
        <v>5722299.8854640005</v>
      </c>
      <c r="CK22" s="1051">
        <v>2097234.5901919999</v>
      </c>
      <c r="CL22" s="1051" t="s">
        <v>1637</v>
      </c>
      <c r="CM22" s="1051">
        <v>209179.49206199998</v>
      </c>
      <c r="CN22" s="1051">
        <v>1042806.48615</v>
      </c>
      <c r="CO22" s="1051" t="s">
        <v>1637</v>
      </c>
      <c r="CP22" s="1051" t="s">
        <v>1637</v>
      </c>
      <c r="CQ22" s="1051">
        <v>5743301.3041220009</v>
      </c>
      <c r="CR22" s="1051">
        <v>102152.22336</v>
      </c>
      <c r="CS22" s="1051" t="s">
        <v>1637</v>
      </c>
      <c r="CT22" s="1051" t="s">
        <v>1637</v>
      </c>
      <c r="CU22" s="1051" t="s">
        <v>1637</v>
      </c>
      <c r="CV22" s="1051">
        <v>2286195.1755999997</v>
      </c>
      <c r="CW22" s="1051" t="s">
        <v>1637</v>
      </c>
      <c r="CX22" s="1051" t="s">
        <v>1637</v>
      </c>
      <c r="CY22" s="1051">
        <v>137697</v>
      </c>
      <c r="CZ22" s="1118">
        <v>4752490.0756210005</v>
      </c>
      <c r="DA22" s="1118">
        <v>5950676.9390240004</v>
      </c>
      <c r="DB22" s="1118">
        <v>2155151.7741919998</v>
      </c>
      <c r="DC22" s="1118" t="s">
        <v>1637</v>
      </c>
      <c r="DD22" s="1118">
        <v>217630.27390199999</v>
      </c>
      <c r="DE22" s="1118">
        <v>1084940.08155</v>
      </c>
      <c r="DF22" s="1118" t="s">
        <v>1637</v>
      </c>
      <c r="DG22" s="1118" t="s">
        <v>1637</v>
      </c>
      <c r="DH22" s="1118">
        <v>5743301.3041220009</v>
      </c>
      <c r="DI22" s="1118">
        <v>106279.58592</v>
      </c>
      <c r="DJ22" s="1118">
        <v>531665.96062999999</v>
      </c>
      <c r="DK22" s="1118">
        <v>740101.58374100004</v>
      </c>
      <c r="DL22" s="1118" t="s">
        <v>1637</v>
      </c>
      <c r="DM22" s="1118">
        <v>2286195.1755999997</v>
      </c>
      <c r="DN22" s="1118" t="s">
        <v>1637</v>
      </c>
      <c r="DO22" s="1118" t="s">
        <v>1637</v>
      </c>
      <c r="DP22" s="1118">
        <v>137697</v>
      </c>
      <c r="DQ22" s="1118" t="s">
        <v>1637</v>
      </c>
      <c r="DR22" s="1118" t="s">
        <v>1637</v>
      </c>
      <c r="DS22" s="1118" t="s">
        <v>1637</v>
      </c>
      <c r="DT22" s="1118" t="s">
        <v>1637</v>
      </c>
      <c r="DU22" s="1118" t="s">
        <v>1637</v>
      </c>
      <c r="DV22" s="1119" t="s">
        <v>1637</v>
      </c>
      <c r="DW22" s="1120">
        <v>153682.01889099999</v>
      </c>
      <c r="DX22" s="1120">
        <v>69967.809854000006</v>
      </c>
      <c r="DY22" s="1120">
        <v>663784.28619200003</v>
      </c>
      <c r="DZ22" s="1120" t="s">
        <v>1637</v>
      </c>
      <c r="EA22" s="1120">
        <v>729083.78302399989</v>
      </c>
      <c r="EB22" s="1120">
        <v>22.641521999999998</v>
      </c>
      <c r="EC22" s="1120" t="s">
        <v>1637</v>
      </c>
      <c r="ED22" s="1120" t="s">
        <v>1637</v>
      </c>
      <c r="EE22" s="1120" t="s">
        <v>1637</v>
      </c>
      <c r="EF22" s="1120">
        <v>5743301.3041220009</v>
      </c>
      <c r="EG22" s="1120" t="s">
        <v>1637</v>
      </c>
      <c r="EH22" s="1120" t="s">
        <v>1637</v>
      </c>
      <c r="EI22" s="1120" t="s">
        <v>1637</v>
      </c>
      <c r="EJ22" s="1120" t="s">
        <v>1637</v>
      </c>
      <c r="EK22" s="1120">
        <v>2286195.1755999997</v>
      </c>
      <c r="EL22" s="1120" t="s">
        <v>1637</v>
      </c>
      <c r="EM22" s="1120" t="s">
        <v>1637</v>
      </c>
      <c r="EN22" s="1120">
        <v>137697</v>
      </c>
      <c r="EO22" s="1120" t="s">
        <v>1637</v>
      </c>
      <c r="EP22" s="1120" t="s">
        <v>1637</v>
      </c>
      <c r="EQ22" s="1120" t="s">
        <v>1637</v>
      </c>
      <c r="ER22" s="1120" t="s">
        <v>1637</v>
      </c>
      <c r="ES22" s="1120" t="s">
        <v>1637</v>
      </c>
    </row>
    <row r="23" spans="1:149" s="1121" customFormat="1" ht="15" customHeight="1">
      <c r="A23" s="1799">
        <v>8</v>
      </c>
      <c r="B23" s="1055" t="s">
        <v>1924</v>
      </c>
      <c r="C23" s="1055" t="s">
        <v>1737</v>
      </c>
      <c r="D23" s="1055" t="s">
        <v>1134</v>
      </c>
      <c r="E23" s="1055" t="s">
        <v>687</v>
      </c>
      <c r="F23" s="1049">
        <v>2010</v>
      </c>
      <c r="G23" s="1457" t="str">
        <f t="shared" si="4"/>
        <v>2010</v>
      </c>
      <c r="H23" s="1117" t="str">
        <f>IF(B23="","",IF(F23="","",CONCATENATE(B23,"_",G23)))</f>
        <v>Chicago_2010</v>
      </c>
      <c r="I23" s="1049" t="s">
        <v>172</v>
      </c>
      <c r="J23" s="1049">
        <v>2695598</v>
      </c>
      <c r="K23" s="1049">
        <v>606</v>
      </c>
      <c r="L23" s="1043">
        <v>496400000000</v>
      </c>
      <c r="M23" s="1051">
        <v>5715207.9086837154</v>
      </c>
      <c r="N23" s="1051">
        <v>4062733.7041084813</v>
      </c>
      <c r="O23" s="1052" t="s">
        <v>177</v>
      </c>
      <c r="P23" s="1051">
        <v>2996949.1307490799</v>
      </c>
      <c r="Q23" s="1051">
        <v>10747371.550037861</v>
      </c>
      <c r="R23" s="1052" t="s">
        <v>177</v>
      </c>
      <c r="S23" s="1051">
        <v>1350940.5697192827</v>
      </c>
      <c r="T23" s="1051" t="s">
        <v>176</v>
      </c>
      <c r="U23" s="1052" t="s">
        <v>177</v>
      </c>
      <c r="V23" s="1051" t="s">
        <v>175</v>
      </c>
      <c r="W23" s="1051" t="s">
        <v>175</v>
      </c>
      <c r="X23" s="1052" t="s">
        <v>175</v>
      </c>
      <c r="Y23" s="1053" t="s">
        <v>175</v>
      </c>
      <c r="Z23" s="1051" t="s">
        <v>175</v>
      </c>
      <c r="AA23" s="1051" t="s">
        <v>175</v>
      </c>
      <c r="AB23" s="1052" t="s">
        <v>175</v>
      </c>
      <c r="AC23" s="1051" t="s">
        <v>175</v>
      </c>
      <c r="AD23" s="1051" t="s">
        <v>175</v>
      </c>
      <c r="AE23" s="1052" t="s">
        <v>175</v>
      </c>
      <c r="AF23" s="1051" t="s">
        <v>175</v>
      </c>
      <c r="AG23" s="1051" t="s">
        <v>177</v>
      </c>
      <c r="AH23" s="1051">
        <v>6783031.2123398855</v>
      </c>
      <c r="AI23" s="1051" t="s">
        <v>176</v>
      </c>
      <c r="AJ23" s="1052" t="s">
        <v>177</v>
      </c>
      <c r="AK23" s="1051">
        <v>62587.199999999997</v>
      </c>
      <c r="AL23" s="1051">
        <v>251555.59406062285</v>
      </c>
      <c r="AM23" s="1052" t="s">
        <v>177</v>
      </c>
      <c r="AN23" s="1051">
        <v>246.86441798931068</v>
      </c>
      <c r="AO23" s="1051" t="s">
        <v>175</v>
      </c>
      <c r="AP23" s="1052" t="s">
        <v>175</v>
      </c>
      <c r="AQ23" s="1051" t="s">
        <v>175</v>
      </c>
      <c r="AR23" s="1051" t="s">
        <v>175</v>
      </c>
      <c r="AS23" s="1052" t="s">
        <v>175</v>
      </c>
      <c r="AT23" s="1051">
        <v>1011.6726599300484</v>
      </c>
      <c r="AU23" s="1051" t="s">
        <v>175</v>
      </c>
      <c r="AV23" s="1052" t="s">
        <v>175</v>
      </c>
      <c r="AW23" s="1051">
        <v>1291449.0378922205</v>
      </c>
      <c r="AX23" s="1051" t="s">
        <v>175</v>
      </c>
      <c r="AY23" s="1053" t="s">
        <v>175</v>
      </c>
      <c r="AZ23" s="1051" t="s">
        <v>175</v>
      </c>
      <c r="BA23" s="1051" t="s">
        <v>175</v>
      </c>
      <c r="BB23" s="1053" t="s">
        <v>175</v>
      </c>
      <c r="BC23" s="1051" t="s">
        <v>175</v>
      </c>
      <c r="BD23" s="1051" t="s">
        <v>175</v>
      </c>
      <c r="BE23" s="1053" t="s">
        <v>175</v>
      </c>
      <c r="BF23" s="1051">
        <v>35213.692568407758</v>
      </c>
      <c r="BG23" s="1051" t="s">
        <v>175</v>
      </c>
      <c r="BH23" s="1053" t="s">
        <v>175</v>
      </c>
      <c r="BI23" s="1052">
        <v>53738</v>
      </c>
      <c r="BJ23" s="1052">
        <v>193540.9803106488</v>
      </c>
      <c r="BK23" s="1052" t="s">
        <v>177</v>
      </c>
      <c r="BL23" s="1052" t="s">
        <v>177</v>
      </c>
      <c r="BM23" s="1052" t="s">
        <v>177</v>
      </c>
      <c r="BN23" s="1054" t="s">
        <v>177</v>
      </c>
      <c r="BO23" s="1076" t="str">
        <f>H23</f>
        <v>Chicago_2010</v>
      </c>
      <c r="BP23" s="1051">
        <v>33298298.137237478</v>
      </c>
      <c r="BQ23" s="1052">
        <v>33545577.117548127</v>
      </c>
      <c r="BR23" s="1054">
        <v>33545577.117548127</v>
      </c>
      <c r="BS23" s="1053">
        <v>18483916.269341163</v>
      </c>
      <c r="BT23" s="1051">
        <v>24873202.86329842</v>
      </c>
      <c r="BU23" s="1051">
        <v>7098432.5434784284</v>
      </c>
      <c r="BV23" s="1051">
        <v>1326662.7304606284</v>
      </c>
      <c r="BW23" s="1052">
        <v>24873202.86329842</v>
      </c>
      <c r="BX23" s="1052">
        <v>7098432.5434784284</v>
      </c>
      <c r="BY23" s="1052">
        <v>1326662.7304606284</v>
      </c>
      <c r="BZ23" s="1052">
        <v>247278.9803106488</v>
      </c>
      <c r="CA23" s="1052" t="s">
        <v>1637</v>
      </c>
      <c r="CB23" s="1053">
        <v>10063097.609152079</v>
      </c>
      <c r="CC23" s="1053" t="s">
        <v>1637</v>
      </c>
      <c r="CD23" s="1053">
        <v>6846876.9494178053</v>
      </c>
      <c r="CE23" s="1053">
        <v>1326662.7304606284</v>
      </c>
      <c r="CF23" s="1053" t="s">
        <v>1637</v>
      </c>
      <c r="CG23" s="1053">
        <v>247278.9803106488</v>
      </c>
      <c r="CH23" s="1053" t="s">
        <v>1637</v>
      </c>
      <c r="CI23" s="1051">
        <v>9777941.6127921976</v>
      </c>
      <c r="CJ23" s="1051">
        <v>13744320.680786941</v>
      </c>
      <c r="CK23" s="1051">
        <v>1350940.5697192827</v>
      </c>
      <c r="CL23" s="1051" t="s">
        <v>1637</v>
      </c>
      <c r="CM23" s="1051" t="s">
        <v>1637</v>
      </c>
      <c r="CN23" s="1051" t="s">
        <v>1637</v>
      </c>
      <c r="CO23" s="1051" t="s">
        <v>1637</v>
      </c>
      <c r="CP23" s="1051" t="s">
        <v>1637</v>
      </c>
      <c r="CQ23" s="1051">
        <v>6783031.2123398855</v>
      </c>
      <c r="CR23" s="1051">
        <v>314142.79406062287</v>
      </c>
      <c r="CS23" s="1051">
        <v>246.86441798931068</v>
      </c>
      <c r="CT23" s="1051" t="s">
        <v>1637</v>
      </c>
      <c r="CU23" s="1051">
        <v>1011.6726599300484</v>
      </c>
      <c r="CV23" s="1051">
        <v>1291449.0378922205</v>
      </c>
      <c r="CW23" s="1051" t="s">
        <v>1637</v>
      </c>
      <c r="CX23" s="1051" t="s">
        <v>1637</v>
      </c>
      <c r="CY23" s="1051">
        <v>35213.692568407758</v>
      </c>
      <c r="CZ23" s="1118">
        <v>9777941.6127921976</v>
      </c>
      <c r="DA23" s="1118">
        <v>13744320.680786941</v>
      </c>
      <c r="DB23" s="1118">
        <v>1350940.5697192827</v>
      </c>
      <c r="DC23" s="1118" t="s">
        <v>1637</v>
      </c>
      <c r="DD23" s="1118" t="s">
        <v>1637</v>
      </c>
      <c r="DE23" s="1118" t="s">
        <v>1637</v>
      </c>
      <c r="DF23" s="1118" t="s">
        <v>1637</v>
      </c>
      <c r="DG23" s="1118" t="s">
        <v>1637</v>
      </c>
      <c r="DH23" s="1118">
        <v>6783031.2123398855</v>
      </c>
      <c r="DI23" s="1118">
        <v>314142.79406062287</v>
      </c>
      <c r="DJ23" s="1118">
        <v>246.86441798931068</v>
      </c>
      <c r="DK23" s="1118" t="s">
        <v>1637</v>
      </c>
      <c r="DL23" s="1118">
        <v>1011.6726599300484</v>
      </c>
      <c r="DM23" s="1118">
        <v>1291449.0378922205</v>
      </c>
      <c r="DN23" s="1118" t="s">
        <v>1637</v>
      </c>
      <c r="DO23" s="1118" t="s">
        <v>1637</v>
      </c>
      <c r="DP23" s="1118">
        <v>35213.692568407758</v>
      </c>
      <c r="DQ23" s="1118">
        <v>53738</v>
      </c>
      <c r="DR23" s="1118">
        <v>193540.9803106488</v>
      </c>
      <c r="DS23" s="1118" t="s">
        <v>1637</v>
      </c>
      <c r="DT23" s="1118" t="s">
        <v>1637</v>
      </c>
      <c r="DU23" s="1118" t="s">
        <v>1637</v>
      </c>
      <c r="DV23" s="1119" t="s">
        <v>1637</v>
      </c>
      <c r="DW23" s="1120">
        <v>5715207.9086837154</v>
      </c>
      <c r="DX23" s="1120">
        <v>2996949.1307490799</v>
      </c>
      <c r="DY23" s="1120">
        <v>1350940.5697192827</v>
      </c>
      <c r="DZ23" s="1120" t="s">
        <v>1637</v>
      </c>
      <c r="EA23" s="1120" t="s">
        <v>1637</v>
      </c>
      <c r="EB23" s="1120" t="s">
        <v>1637</v>
      </c>
      <c r="EC23" s="1120" t="s">
        <v>1637</v>
      </c>
      <c r="ED23" s="1120" t="s">
        <v>1637</v>
      </c>
      <c r="EE23" s="1120" t="s">
        <v>1637</v>
      </c>
      <c r="EF23" s="1120">
        <v>6783031.2123398855</v>
      </c>
      <c r="EG23" s="1120">
        <v>62587.199999999997</v>
      </c>
      <c r="EH23" s="1120">
        <v>246.86441798931068</v>
      </c>
      <c r="EI23" s="1120" t="s">
        <v>1637</v>
      </c>
      <c r="EJ23" s="1120">
        <v>1011.6726599300484</v>
      </c>
      <c r="EK23" s="1120">
        <v>1291449.0378922205</v>
      </c>
      <c r="EL23" s="1120" t="s">
        <v>1637</v>
      </c>
      <c r="EM23" s="1120" t="s">
        <v>1637</v>
      </c>
      <c r="EN23" s="1120">
        <v>35213.692568407758</v>
      </c>
      <c r="EO23" s="1120">
        <v>53738</v>
      </c>
      <c r="EP23" s="1120">
        <v>193540.9803106488</v>
      </c>
      <c r="EQ23" s="1120" t="s">
        <v>1637</v>
      </c>
      <c r="ER23" s="1120" t="s">
        <v>1637</v>
      </c>
      <c r="ES23" s="1120" t="s">
        <v>1637</v>
      </c>
    </row>
    <row r="24" spans="1:149" s="1121" customFormat="1" ht="15" customHeight="1">
      <c r="A24" s="1799">
        <v>9</v>
      </c>
      <c r="B24" s="1055" t="s">
        <v>1744</v>
      </c>
      <c r="C24" s="1055" t="s">
        <v>1172</v>
      </c>
      <c r="D24" s="1055" t="s">
        <v>1134</v>
      </c>
      <c r="E24" s="1055" t="s">
        <v>687</v>
      </c>
      <c r="F24" s="1049">
        <v>2014</v>
      </c>
      <c r="G24" s="1457" t="str">
        <f t="shared" si="4"/>
        <v>2014</v>
      </c>
      <c r="H24" s="1117" t="str">
        <f>IF(B24="","",IF(F24="","",CONCATENATE(B24,"_",G24)))</f>
        <v>Copenhagen_2014</v>
      </c>
      <c r="I24" s="1049" t="s">
        <v>172</v>
      </c>
      <c r="J24" s="1049">
        <v>580184</v>
      </c>
      <c r="K24" s="1049">
        <v>86.22</v>
      </c>
      <c r="L24" s="1043">
        <v>51910270000</v>
      </c>
      <c r="M24" s="1051">
        <v>18042.118571428571</v>
      </c>
      <c r="N24" s="1051">
        <v>423356.77251277125</v>
      </c>
      <c r="O24" s="1052">
        <v>48721.384733215884</v>
      </c>
      <c r="P24" s="1051">
        <v>9077.5999999999985</v>
      </c>
      <c r="Q24" s="1051">
        <v>577454.55220211134</v>
      </c>
      <c r="R24" s="1052">
        <v>43996.499556875096</v>
      </c>
      <c r="S24" s="1051">
        <v>10672</v>
      </c>
      <c r="T24" s="1051">
        <v>91105.080029116914</v>
      </c>
      <c r="U24" s="1052">
        <v>6213.2441789566346</v>
      </c>
      <c r="V24" s="1051" t="s">
        <v>176</v>
      </c>
      <c r="W24" s="1051" t="s">
        <v>176</v>
      </c>
      <c r="X24" s="1052" t="s">
        <v>176</v>
      </c>
      <c r="Y24" s="1053">
        <v>1755238.487</v>
      </c>
      <c r="Z24" s="1051" t="s">
        <v>176</v>
      </c>
      <c r="AA24" s="1051">
        <v>64.129779990392024</v>
      </c>
      <c r="AB24" s="1052">
        <v>3.3150000000000004</v>
      </c>
      <c r="AC24" s="1051" t="s">
        <v>175</v>
      </c>
      <c r="AD24" s="1051" t="s">
        <v>175</v>
      </c>
      <c r="AE24" s="1052" t="s">
        <v>177</v>
      </c>
      <c r="AF24" s="1051" t="s">
        <v>175</v>
      </c>
      <c r="AG24" s="1051" t="s">
        <v>175</v>
      </c>
      <c r="AH24" s="1051">
        <v>349230.57939226693</v>
      </c>
      <c r="AI24" s="1051" t="s">
        <v>176</v>
      </c>
      <c r="AJ24" s="1052" t="s">
        <v>177</v>
      </c>
      <c r="AK24" s="1051">
        <v>2930.6437489999998</v>
      </c>
      <c r="AL24" s="1051">
        <v>25544.033381946716</v>
      </c>
      <c r="AM24" s="1052">
        <v>1320.4235329333728</v>
      </c>
      <c r="AN24" s="1051">
        <v>140000</v>
      </c>
      <c r="AO24" s="1051" t="s">
        <v>175</v>
      </c>
      <c r="AP24" s="1052" t="s">
        <v>177</v>
      </c>
      <c r="AQ24" s="1051" t="s">
        <v>175</v>
      </c>
      <c r="AR24" s="1051" t="s">
        <v>175</v>
      </c>
      <c r="AS24" s="1052">
        <v>14400</v>
      </c>
      <c r="AT24" s="1051">
        <v>62470</v>
      </c>
      <c r="AU24" s="1051" t="s">
        <v>176</v>
      </c>
      <c r="AV24" s="1052" t="s">
        <v>175</v>
      </c>
      <c r="AW24" s="1051" t="s">
        <v>175</v>
      </c>
      <c r="AX24" s="1051">
        <v>750</v>
      </c>
      <c r="AY24" s="1053" t="s">
        <v>175</v>
      </c>
      <c r="AZ24" s="1051" t="s">
        <v>175</v>
      </c>
      <c r="BA24" s="1051" t="s">
        <v>175</v>
      </c>
      <c r="BB24" s="1053" t="s">
        <v>175</v>
      </c>
      <c r="BC24" s="1051" t="s">
        <v>176</v>
      </c>
      <c r="BD24" s="1051" t="s">
        <v>176</v>
      </c>
      <c r="BE24" s="1053" t="s">
        <v>176</v>
      </c>
      <c r="BF24" s="1051">
        <v>16588</v>
      </c>
      <c r="BG24" s="1051" t="s">
        <v>175</v>
      </c>
      <c r="BH24" s="1053" t="s">
        <v>175</v>
      </c>
      <c r="BI24" s="1052">
        <v>3733.4</v>
      </c>
      <c r="BJ24" s="1052">
        <v>80384</v>
      </c>
      <c r="BK24" s="1052" t="s">
        <v>175</v>
      </c>
      <c r="BL24" s="1052">
        <v>-2218.8294000000001</v>
      </c>
      <c r="BM24" s="1052">
        <v>25</v>
      </c>
      <c r="BN24" s="1054" t="s">
        <v>177</v>
      </c>
      <c r="BO24" s="1076" t="str">
        <f>H24</f>
        <v>Copenhagen_2014</v>
      </c>
      <c r="BP24" s="1051">
        <v>1727285.509618632</v>
      </c>
      <c r="BQ24" s="1052">
        <v>1923863.947220613</v>
      </c>
      <c r="BR24" s="1054">
        <v>1923863.947220613</v>
      </c>
      <c r="BS24" s="1053">
        <v>2446172.9993126956</v>
      </c>
      <c r="BT24" s="1051">
        <v>1129772.2530954184</v>
      </c>
      <c r="BU24" s="1051">
        <v>580175.2565232137</v>
      </c>
      <c r="BV24" s="1051">
        <v>17338</v>
      </c>
      <c r="BW24" s="1052">
        <v>1228706.696564466</v>
      </c>
      <c r="BX24" s="1052">
        <v>595895.68005614704</v>
      </c>
      <c r="BY24" s="1052">
        <v>17338</v>
      </c>
      <c r="BZ24" s="1052">
        <v>84117.4</v>
      </c>
      <c r="CA24" s="1052">
        <v>-2193.8294000000001</v>
      </c>
      <c r="CB24" s="1053">
        <v>37791.718571428573</v>
      </c>
      <c r="CC24" s="1053">
        <v>1755238.487</v>
      </c>
      <c r="CD24" s="1053">
        <v>554631.22314126696</v>
      </c>
      <c r="CE24" s="1053">
        <v>16588</v>
      </c>
      <c r="CF24" s="1053" t="s">
        <v>1637</v>
      </c>
      <c r="CG24" s="1053">
        <v>84117.4</v>
      </c>
      <c r="CH24" s="1053">
        <v>-2193.8294000000001</v>
      </c>
      <c r="CI24" s="1051">
        <v>441398.89108419983</v>
      </c>
      <c r="CJ24" s="1051">
        <v>586532.15220211132</v>
      </c>
      <c r="CK24" s="1051">
        <v>101777.08002911691</v>
      </c>
      <c r="CL24" s="1051" t="s">
        <v>1637</v>
      </c>
      <c r="CM24" s="1051">
        <v>64.129779990392024</v>
      </c>
      <c r="CN24" s="1051" t="s">
        <v>1637</v>
      </c>
      <c r="CO24" s="1051" t="s">
        <v>1637</v>
      </c>
      <c r="CP24" s="1051" t="s">
        <v>1637</v>
      </c>
      <c r="CQ24" s="1051">
        <v>349230.57939226693</v>
      </c>
      <c r="CR24" s="1051">
        <v>28474.677130946715</v>
      </c>
      <c r="CS24" s="1051">
        <v>140000</v>
      </c>
      <c r="CT24" s="1051" t="s">
        <v>1637</v>
      </c>
      <c r="CU24" s="1051">
        <v>62470</v>
      </c>
      <c r="CV24" s="1051">
        <v>750</v>
      </c>
      <c r="CW24" s="1051" t="s">
        <v>1637</v>
      </c>
      <c r="CX24" s="1051" t="s">
        <v>1637</v>
      </c>
      <c r="CY24" s="1051">
        <v>16588</v>
      </c>
      <c r="CZ24" s="1118">
        <v>490120.27581741574</v>
      </c>
      <c r="DA24" s="1118">
        <v>630528.65175898641</v>
      </c>
      <c r="DB24" s="1118">
        <v>107990.32420807355</v>
      </c>
      <c r="DC24" s="1118" t="s">
        <v>1637</v>
      </c>
      <c r="DD24" s="1118">
        <v>67.444779990392021</v>
      </c>
      <c r="DE24" s="1118" t="s">
        <v>1637</v>
      </c>
      <c r="DF24" s="1118" t="s">
        <v>1637</v>
      </c>
      <c r="DG24" s="1118" t="s">
        <v>1637</v>
      </c>
      <c r="DH24" s="1118">
        <v>349230.57939226693</v>
      </c>
      <c r="DI24" s="1118">
        <v>29795.100663880086</v>
      </c>
      <c r="DJ24" s="1118">
        <v>140000</v>
      </c>
      <c r="DK24" s="1118">
        <v>14400</v>
      </c>
      <c r="DL24" s="1118">
        <v>62470</v>
      </c>
      <c r="DM24" s="1118">
        <v>750</v>
      </c>
      <c r="DN24" s="1118" t="s">
        <v>1637</v>
      </c>
      <c r="DO24" s="1118" t="s">
        <v>1637</v>
      </c>
      <c r="DP24" s="1118">
        <v>16588</v>
      </c>
      <c r="DQ24" s="1118">
        <v>3733.4</v>
      </c>
      <c r="DR24" s="1118">
        <v>80384</v>
      </c>
      <c r="DS24" s="1118" t="s">
        <v>1637</v>
      </c>
      <c r="DT24" s="1118">
        <v>-2218.8294000000001</v>
      </c>
      <c r="DU24" s="1118">
        <v>25</v>
      </c>
      <c r="DV24" s="1119" t="s">
        <v>1637</v>
      </c>
      <c r="DW24" s="1120">
        <v>18042.118571428571</v>
      </c>
      <c r="DX24" s="1120">
        <v>9077.5999999999985</v>
      </c>
      <c r="DY24" s="1120">
        <v>10672</v>
      </c>
      <c r="DZ24" s="1120" t="s">
        <v>1637</v>
      </c>
      <c r="EA24" s="1120">
        <v>1755238.487</v>
      </c>
      <c r="EB24" s="1120" t="s">
        <v>1637</v>
      </c>
      <c r="EC24" s="1120" t="s">
        <v>1637</v>
      </c>
      <c r="ED24" s="1120" t="s">
        <v>1637</v>
      </c>
      <c r="EE24" s="1120" t="s">
        <v>1637</v>
      </c>
      <c r="EF24" s="1120">
        <v>349230.57939226693</v>
      </c>
      <c r="EG24" s="1120">
        <v>2930.6437489999998</v>
      </c>
      <c r="EH24" s="1120">
        <v>140000</v>
      </c>
      <c r="EI24" s="1120" t="s">
        <v>1637</v>
      </c>
      <c r="EJ24" s="1120">
        <v>62470</v>
      </c>
      <c r="EK24" s="1120" t="s">
        <v>1637</v>
      </c>
      <c r="EL24" s="1120" t="s">
        <v>1637</v>
      </c>
      <c r="EM24" s="1120" t="s">
        <v>1637</v>
      </c>
      <c r="EN24" s="1120">
        <v>16588</v>
      </c>
      <c r="EO24" s="1120">
        <v>3733.4</v>
      </c>
      <c r="EP24" s="1120">
        <v>80384</v>
      </c>
      <c r="EQ24" s="1120" t="s">
        <v>1637</v>
      </c>
      <c r="ER24" s="1120">
        <v>-2218.8294000000001</v>
      </c>
      <c r="ES24" s="1120">
        <v>25</v>
      </c>
    </row>
    <row r="25" spans="1:149" s="1121" customFormat="1" ht="15" customHeight="1">
      <c r="A25" s="1799">
        <v>10</v>
      </c>
      <c r="B25" s="1055" t="s">
        <v>1759</v>
      </c>
      <c r="C25" s="1055" t="s">
        <v>1142</v>
      </c>
      <c r="D25" s="1055" t="s">
        <v>1134</v>
      </c>
      <c r="E25" s="1055" t="s">
        <v>687</v>
      </c>
      <c r="F25" s="1049">
        <v>2013</v>
      </c>
      <c r="G25" s="1457" t="str">
        <f t="shared" si="4"/>
        <v>2013</v>
      </c>
      <c r="H25" s="1117" t="str">
        <f>IF(B25="","",IF(F25="","",CONCATENATE(B25,"_",G25)))</f>
        <v>District of Columbia_2013</v>
      </c>
      <c r="I25" s="1049" t="s">
        <v>172</v>
      </c>
      <c r="J25" s="1049">
        <v>649111</v>
      </c>
      <c r="K25" s="1049">
        <v>158</v>
      </c>
      <c r="L25" s="1043">
        <v>113362000000</v>
      </c>
      <c r="M25" s="1051">
        <v>599361.3757320001</v>
      </c>
      <c r="N25" s="1051">
        <v>835970.07342038478</v>
      </c>
      <c r="O25" s="1052" t="s">
        <v>177</v>
      </c>
      <c r="P25" s="1051">
        <v>1011169.493264</v>
      </c>
      <c r="Q25" s="1051">
        <v>4002984.6193531207</v>
      </c>
      <c r="R25" s="1052" t="s">
        <v>177</v>
      </c>
      <c r="S25" s="1051" t="s">
        <v>175</v>
      </c>
      <c r="T25" s="1051" t="s">
        <v>175</v>
      </c>
      <c r="U25" s="1052" t="s">
        <v>175</v>
      </c>
      <c r="V25" s="1051" t="s">
        <v>175</v>
      </c>
      <c r="W25" s="1051" t="s">
        <v>175</v>
      </c>
      <c r="X25" s="1052" t="s">
        <v>175</v>
      </c>
      <c r="Y25" s="1053" t="s">
        <v>175</v>
      </c>
      <c r="Z25" s="1051" t="s">
        <v>175</v>
      </c>
      <c r="AA25" s="1051" t="s">
        <v>175</v>
      </c>
      <c r="AB25" s="1052" t="s">
        <v>175</v>
      </c>
      <c r="AC25" s="1051" t="s">
        <v>175</v>
      </c>
      <c r="AD25" s="1051" t="s">
        <v>175</v>
      </c>
      <c r="AE25" s="1052" t="s">
        <v>175</v>
      </c>
      <c r="AF25" s="1051" t="s">
        <v>175</v>
      </c>
      <c r="AG25" s="1051">
        <v>21897.049049259589</v>
      </c>
      <c r="AH25" s="1051">
        <v>1477997.8682300001</v>
      </c>
      <c r="AI25" s="1051" t="s">
        <v>176</v>
      </c>
      <c r="AJ25" s="1052" t="s">
        <v>177</v>
      </c>
      <c r="AK25" s="1051" t="s">
        <v>175</v>
      </c>
      <c r="AL25" s="1051">
        <v>126294.63039770231</v>
      </c>
      <c r="AM25" s="1052" t="s">
        <v>177</v>
      </c>
      <c r="AN25" s="1051" t="s">
        <v>175</v>
      </c>
      <c r="AO25" s="1051" t="s">
        <v>175</v>
      </c>
      <c r="AP25" s="1052" t="s">
        <v>175</v>
      </c>
      <c r="AQ25" s="1051" t="s">
        <v>175</v>
      </c>
      <c r="AR25" s="1051" t="s">
        <v>175</v>
      </c>
      <c r="AS25" s="1052" t="s">
        <v>177</v>
      </c>
      <c r="AT25" s="1051" t="s">
        <v>175</v>
      </c>
      <c r="AU25" s="1051" t="s">
        <v>175</v>
      </c>
      <c r="AV25" s="1052" t="s">
        <v>175</v>
      </c>
      <c r="AW25" s="1051" t="s">
        <v>175</v>
      </c>
      <c r="AX25" s="1051">
        <v>181385</v>
      </c>
      <c r="AY25" s="1053" t="s">
        <v>175</v>
      </c>
      <c r="AZ25" s="1051" t="s">
        <v>175</v>
      </c>
      <c r="BA25" s="1051" t="s">
        <v>175</v>
      </c>
      <c r="BB25" s="1053" t="s">
        <v>175</v>
      </c>
      <c r="BC25" s="1051" t="s">
        <v>175</v>
      </c>
      <c r="BD25" s="1051" t="s">
        <v>176</v>
      </c>
      <c r="BE25" s="1053" t="s">
        <v>175</v>
      </c>
      <c r="BF25" s="1051">
        <v>6006.1726960337119</v>
      </c>
      <c r="BG25" s="1051" t="s">
        <v>175</v>
      </c>
      <c r="BH25" s="1053">
        <v>16238.911363350402</v>
      </c>
      <c r="BI25" s="1052" t="s">
        <v>175</v>
      </c>
      <c r="BJ25" s="1052" t="s">
        <v>177</v>
      </c>
      <c r="BK25" s="1052" t="s">
        <v>175</v>
      </c>
      <c r="BL25" s="1052" t="s">
        <v>175</v>
      </c>
      <c r="BM25" s="1052" t="s">
        <v>175</v>
      </c>
      <c r="BN25" s="1054" t="s">
        <v>177</v>
      </c>
      <c r="BO25" s="1076" t="str">
        <f>H25</f>
        <v>District of Columbia_2013</v>
      </c>
      <c r="BP25" s="1051">
        <v>8263066.2821425013</v>
      </c>
      <c r="BQ25" s="1052">
        <v>8263066.2821425013</v>
      </c>
      <c r="BR25" s="1054">
        <v>8263066.2821425013</v>
      </c>
      <c r="BS25" s="1053">
        <v>3132670.8703346439</v>
      </c>
      <c r="BT25" s="1051">
        <v>6471382.6108187651</v>
      </c>
      <c r="BU25" s="1051">
        <v>1604292.4986277025</v>
      </c>
      <c r="BV25" s="1051">
        <v>187391.17269603373</v>
      </c>
      <c r="BW25" s="1052">
        <v>6471382.6108187651</v>
      </c>
      <c r="BX25" s="1052">
        <v>1604292.4986277025</v>
      </c>
      <c r="BY25" s="1052">
        <v>187391.17269603373</v>
      </c>
      <c r="BZ25" s="1052" t="s">
        <v>1637</v>
      </c>
      <c r="CA25" s="1052" t="s">
        <v>1637</v>
      </c>
      <c r="CB25" s="1053">
        <v>1632427.9180452598</v>
      </c>
      <c r="CC25" s="1053" t="s">
        <v>1637</v>
      </c>
      <c r="CD25" s="1053">
        <v>1477997.8682300001</v>
      </c>
      <c r="CE25" s="1053">
        <v>6006.1726960337119</v>
      </c>
      <c r="CF25" s="1053">
        <v>16238.911363350402</v>
      </c>
      <c r="CG25" s="1053" t="s">
        <v>1637</v>
      </c>
      <c r="CH25" s="1053" t="s">
        <v>1637</v>
      </c>
      <c r="CI25" s="1051">
        <v>1435331.4491523849</v>
      </c>
      <c r="CJ25" s="1051">
        <v>5014154.1126171211</v>
      </c>
      <c r="CK25" s="1051" t="s">
        <v>1637</v>
      </c>
      <c r="CL25" s="1051" t="s">
        <v>1637</v>
      </c>
      <c r="CM25" s="1051" t="s">
        <v>1637</v>
      </c>
      <c r="CN25" s="1051" t="s">
        <v>1637</v>
      </c>
      <c r="CO25" s="1051" t="s">
        <v>1637</v>
      </c>
      <c r="CP25" s="1051">
        <v>21897.049049259589</v>
      </c>
      <c r="CQ25" s="1051">
        <v>1477997.8682300001</v>
      </c>
      <c r="CR25" s="1051">
        <v>126294.63039770231</v>
      </c>
      <c r="CS25" s="1051" t="s">
        <v>1637</v>
      </c>
      <c r="CT25" s="1051" t="s">
        <v>1637</v>
      </c>
      <c r="CU25" s="1051" t="s">
        <v>1637</v>
      </c>
      <c r="CV25" s="1051">
        <v>181385</v>
      </c>
      <c r="CW25" s="1051" t="s">
        <v>1637</v>
      </c>
      <c r="CX25" s="1051" t="s">
        <v>1637</v>
      </c>
      <c r="CY25" s="1051">
        <v>6006.1726960337119</v>
      </c>
      <c r="CZ25" s="1118">
        <v>1435331.4491523849</v>
      </c>
      <c r="DA25" s="1118">
        <v>5014154.1126171211</v>
      </c>
      <c r="DB25" s="1118" t="s">
        <v>1637</v>
      </c>
      <c r="DC25" s="1118" t="s">
        <v>1637</v>
      </c>
      <c r="DD25" s="1118" t="s">
        <v>1637</v>
      </c>
      <c r="DE25" s="1118" t="s">
        <v>1637</v>
      </c>
      <c r="DF25" s="1118" t="s">
        <v>1637</v>
      </c>
      <c r="DG25" s="1118">
        <v>21897.049049259589</v>
      </c>
      <c r="DH25" s="1118">
        <v>1477997.8682300001</v>
      </c>
      <c r="DI25" s="1118">
        <v>126294.63039770231</v>
      </c>
      <c r="DJ25" s="1118" t="s">
        <v>1637</v>
      </c>
      <c r="DK25" s="1118" t="s">
        <v>1637</v>
      </c>
      <c r="DL25" s="1118" t="s">
        <v>1637</v>
      </c>
      <c r="DM25" s="1118">
        <v>181385</v>
      </c>
      <c r="DN25" s="1118" t="s">
        <v>1637</v>
      </c>
      <c r="DO25" s="1118" t="s">
        <v>1637</v>
      </c>
      <c r="DP25" s="1118">
        <v>6006.1726960337119</v>
      </c>
      <c r="DQ25" s="1118" t="s">
        <v>1637</v>
      </c>
      <c r="DR25" s="1118" t="s">
        <v>1637</v>
      </c>
      <c r="DS25" s="1118" t="s">
        <v>1637</v>
      </c>
      <c r="DT25" s="1118" t="s">
        <v>1637</v>
      </c>
      <c r="DU25" s="1118" t="s">
        <v>1637</v>
      </c>
      <c r="DV25" s="1119" t="s">
        <v>1637</v>
      </c>
      <c r="DW25" s="1120">
        <v>599361.3757320001</v>
      </c>
      <c r="DX25" s="1120">
        <v>1011169.493264</v>
      </c>
      <c r="DY25" s="1120" t="s">
        <v>1637</v>
      </c>
      <c r="DZ25" s="1120" t="s">
        <v>1637</v>
      </c>
      <c r="EA25" s="1120" t="s">
        <v>1637</v>
      </c>
      <c r="EB25" s="1120" t="s">
        <v>1637</v>
      </c>
      <c r="EC25" s="1120" t="s">
        <v>1637</v>
      </c>
      <c r="ED25" s="1120" t="s">
        <v>1637</v>
      </c>
      <c r="EE25" s="1120">
        <v>21897.049049259589</v>
      </c>
      <c r="EF25" s="1120">
        <v>1477997.8682300001</v>
      </c>
      <c r="EG25" s="1120" t="s">
        <v>1637</v>
      </c>
      <c r="EH25" s="1120" t="s">
        <v>1637</v>
      </c>
      <c r="EI25" s="1120" t="s">
        <v>1637</v>
      </c>
      <c r="EJ25" s="1120" t="s">
        <v>1637</v>
      </c>
      <c r="EK25" s="1120" t="s">
        <v>1637</v>
      </c>
      <c r="EL25" s="1120" t="s">
        <v>1637</v>
      </c>
      <c r="EM25" s="1120" t="s">
        <v>1637</v>
      </c>
      <c r="EN25" s="1120">
        <v>22245.084059384113</v>
      </c>
      <c r="EO25" s="1120" t="s">
        <v>1637</v>
      </c>
      <c r="EP25" s="1120" t="s">
        <v>1637</v>
      </c>
      <c r="EQ25" s="1120" t="s">
        <v>1637</v>
      </c>
      <c r="ER25" s="1120" t="s">
        <v>1637</v>
      </c>
      <c r="ES25" s="1120" t="s">
        <v>1637</v>
      </c>
    </row>
    <row r="26" spans="1:149" s="1121" customFormat="1" ht="15" customHeight="1">
      <c r="A26" s="1799">
        <v>11</v>
      </c>
      <c r="B26" s="1055" t="s">
        <v>1742</v>
      </c>
      <c r="C26" s="1055" t="s">
        <v>1030</v>
      </c>
      <c r="D26" s="1055" t="s">
        <v>1027</v>
      </c>
      <c r="E26" s="1055" t="s">
        <v>687</v>
      </c>
      <c r="F26" s="1049">
        <v>2014</v>
      </c>
      <c r="G26" s="1457" t="str">
        <f t="shared" si="4"/>
        <v>2014</v>
      </c>
      <c r="H26" s="1117" t="str">
        <f>IF(B26="","",IF(F26="","",CONCATENATE(B26,"_",G26)))</f>
        <v>Johannesburg_2014</v>
      </c>
      <c r="I26" s="1049" t="s">
        <v>172</v>
      </c>
      <c r="J26" s="1049">
        <v>4765329</v>
      </c>
      <c r="K26" s="1049">
        <v>1648</v>
      </c>
      <c r="L26" s="1043">
        <v>35684773914.663498</v>
      </c>
      <c r="M26" s="1051">
        <v>111086.04174139972</v>
      </c>
      <c r="N26" s="1051">
        <v>7064517.8217781894</v>
      </c>
      <c r="O26" s="1052">
        <v>467706.93777428096</v>
      </c>
      <c r="P26" s="1051">
        <v>120611.9438723268</v>
      </c>
      <c r="Q26" s="1051">
        <v>8227790.7469278369</v>
      </c>
      <c r="R26" s="1052">
        <v>657948.26290984929</v>
      </c>
      <c r="S26" s="1051">
        <v>207194.00789240401</v>
      </c>
      <c r="T26" s="1051">
        <v>38550.671549999999</v>
      </c>
      <c r="U26" s="1052" t="s">
        <v>176</v>
      </c>
      <c r="V26" s="1051" t="s">
        <v>176</v>
      </c>
      <c r="W26" s="1051" t="s">
        <v>176</v>
      </c>
      <c r="X26" s="1052" t="s">
        <v>177</v>
      </c>
      <c r="Y26" s="1053" t="s">
        <v>175</v>
      </c>
      <c r="Z26" s="1051" t="s">
        <v>175</v>
      </c>
      <c r="AA26" s="1051" t="s">
        <v>175</v>
      </c>
      <c r="AB26" s="1052" t="s">
        <v>175</v>
      </c>
      <c r="AC26" s="1051" t="s">
        <v>175</v>
      </c>
      <c r="AD26" s="1051" t="s">
        <v>175</v>
      </c>
      <c r="AE26" s="1052" t="s">
        <v>175</v>
      </c>
      <c r="AF26" s="1051" t="s">
        <v>175</v>
      </c>
      <c r="AG26" s="1051">
        <v>3222.5977544956122</v>
      </c>
      <c r="AH26" s="1051">
        <v>6875121.110458347</v>
      </c>
      <c r="AI26" s="1051" t="s">
        <v>175</v>
      </c>
      <c r="AJ26" s="1052" t="s">
        <v>177</v>
      </c>
      <c r="AK26" s="1051" t="s">
        <v>175</v>
      </c>
      <c r="AL26" s="1051">
        <v>330171.96207917598</v>
      </c>
      <c r="AM26" s="1052">
        <v>14049.514396056868</v>
      </c>
      <c r="AN26" s="1051" t="s">
        <v>175</v>
      </c>
      <c r="AO26" s="1051" t="s">
        <v>175</v>
      </c>
      <c r="AP26" s="1052" t="s">
        <v>175</v>
      </c>
      <c r="AQ26" s="1051" t="s">
        <v>175</v>
      </c>
      <c r="AR26" s="1051" t="s">
        <v>175</v>
      </c>
      <c r="AS26" s="1052">
        <v>1494181.5135538871</v>
      </c>
      <c r="AT26" s="1051" t="s">
        <v>176</v>
      </c>
      <c r="AU26" s="1051" t="s">
        <v>175</v>
      </c>
      <c r="AV26" s="1052" t="s">
        <v>175</v>
      </c>
      <c r="AW26" s="1051">
        <v>1619552.25</v>
      </c>
      <c r="AX26" s="1051" t="s">
        <v>175</v>
      </c>
      <c r="AY26" s="1053" t="s">
        <v>175</v>
      </c>
      <c r="AZ26" s="1051">
        <v>3315</v>
      </c>
      <c r="BA26" s="1051" t="s">
        <v>175</v>
      </c>
      <c r="BB26" s="1053" t="s">
        <v>175</v>
      </c>
      <c r="BC26" s="1051">
        <v>7228</v>
      </c>
      <c r="BD26" s="1051" t="s">
        <v>175</v>
      </c>
      <c r="BE26" s="1053" t="s">
        <v>175</v>
      </c>
      <c r="BF26" s="1051">
        <v>108350.70945459536</v>
      </c>
      <c r="BG26" s="1051" t="s">
        <v>175</v>
      </c>
      <c r="BH26" s="1053">
        <v>12675.890545404634</v>
      </c>
      <c r="BI26" s="1052" t="s">
        <v>177</v>
      </c>
      <c r="BJ26" s="1052" t="s">
        <v>177</v>
      </c>
      <c r="BK26" s="1052" t="s">
        <v>177</v>
      </c>
      <c r="BL26" s="1052" t="s">
        <v>177</v>
      </c>
      <c r="BM26" s="1052" t="s">
        <v>177</v>
      </c>
      <c r="BN26" s="1054" t="s">
        <v>177</v>
      </c>
      <c r="BO26" s="1076" t="str">
        <f>H26</f>
        <v>Johannesburg_2014</v>
      </c>
      <c r="BP26" s="1051">
        <v>24716712.863508772</v>
      </c>
      <c r="BQ26" s="1052">
        <v>27350599.092142846</v>
      </c>
      <c r="BR26" s="1054">
        <v>27350599.092142846</v>
      </c>
      <c r="BS26" s="1053">
        <v>9068357.5517189745</v>
      </c>
      <c r="BT26" s="1051">
        <v>15772973.831516653</v>
      </c>
      <c r="BU26" s="1051">
        <v>7205293.0725375228</v>
      </c>
      <c r="BV26" s="1051">
        <v>1738445.9594545953</v>
      </c>
      <c r="BW26" s="1052">
        <v>16898629.032200783</v>
      </c>
      <c r="BX26" s="1052">
        <v>8713524.1004874669</v>
      </c>
      <c r="BY26" s="1052">
        <v>1738445.9594545953</v>
      </c>
      <c r="BZ26" s="1052" t="s">
        <v>1637</v>
      </c>
      <c r="CA26" s="1052" t="s">
        <v>1637</v>
      </c>
      <c r="CB26" s="1053">
        <v>442114.59126062616</v>
      </c>
      <c r="CC26" s="1053" t="s">
        <v>1637</v>
      </c>
      <c r="CD26" s="1053">
        <v>6875121.110458347</v>
      </c>
      <c r="CE26" s="1053">
        <v>1738445.9594545953</v>
      </c>
      <c r="CF26" s="1053">
        <v>12675.890545404634</v>
      </c>
      <c r="CG26" s="1053" t="s">
        <v>1637</v>
      </c>
      <c r="CH26" s="1053" t="s">
        <v>1637</v>
      </c>
      <c r="CI26" s="1051">
        <v>7175603.8635195894</v>
      </c>
      <c r="CJ26" s="1051">
        <v>8348402.6908001639</v>
      </c>
      <c r="CK26" s="1051">
        <v>245744.67944240401</v>
      </c>
      <c r="CL26" s="1051" t="s">
        <v>1637</v>
      </c>
      <c r="CM26" s="1051" t="s">
        <v>1637</v>
      </c>
      <c r="CN26" s="1051" t="s">
        <v>1637</v>
      </c>
      <c r="CO26" s="1051" t="s">
        <v>1637</v>
      </c>
      <c r="CP26" s="1051">
        <v>3222.5977544956122</v>
      </c>
      <c r="CQ26" s="1051">
        <v>6875121.110458347</v>
      </c>
      <c r="CR26" s="1051">
        <v>330171.96207917598</v>
      </c>
      <c r="CS26" s="1051" t="s">
        <v>1637</v>
      </c>
      <c r="CT26" s="1051" t="s">
        <v>1637</v>
      </c>
      <c r="CU26" s="1051" t="s">
        <v>1637</v>
      </c>
      <c r="CV26" s="1051">
        <v>1619552.25</v>
      </c>
      <c r="CW26" s="1051">
        <v>3315</v>
      </c>
      <c r="CX26" s="1051">
        <v>7228</v>
      </c>
      <c r="CY26" s="1051">
        <v>108350.70945459536</v>
      </c>
      <c r="CZ26" s="1118">
        <v>7643310.8012938704</v>
      </c>
      <c r="DA26" s="1118">
        <v>9006350.953710014</v>
      </c>
      <c r="DB26" s="1118">
        <v>245744.67944240401</v>
      </c>
      <c r="DC26" s="1118" t="s">
        <v>1637</v>
      </c>
      <c r="DD26" s="1118" t="s">
        <v>1637</v>
      </c>
      <c r="DE26" s="1118" t="s">
        <v>1637</v>
      </c>
      <c r="DF26" s="1118" t="s">
        <v>1637</v>
      </c>
      <c r="DG26" s="1118">
        <v>3222.5977544956122</v>
      </c>
      <c r="DH26" s="1118">
        <v>6875121.110458347</v>
      </c>
      <c r="DI26" s="1118">
        <v>344221.47647523286</v>
      </c>
      <c r="DJ26" s="1118" t="s">
        <v>1637</v>
      </c>
      <c r="DK26" s="1118">
        <v>1494181.5135538871</v>
      </c>
      <c r="DL26" s="1118" t="s">
        <v>1637</v>
      </c>
      <c r="DM26" s="1118">
        <v>1619552.25</v>
      </c>
      <c r="DN26" s="1118">
        <v>3315</v>
      </c>
      <c r="DO26" s="1118">
        <v>7228</v>
      </c>
      <c r="DP26" s="1118">
        <v>108350.70945459536</v>
      </c>
      <c r="DQ26" s="1118" t="s">
        <v>1637</v>
      </c>
      <c r="DR26" s="1118" t="s">
        <v>1637</v>
      </c>
      <c r="DS26" s="1118" t="s">
        <v>1637</v>
      </c>
      <c r="DT26" s="1118" t="s">
        <v>1637</v>
      </c>
      <c r="DU26" s="1118" t="s">
        <v>1637</v>
      </c>
      <c r="DV26" s="1119" t="s">
        <v>1637</v>
      </c>
      <c r="DW26" s="1120">
        <v>111086.04174139972</v>
      </c>
      <c r="DX26" s="1120">
        <v>120611.9438723268</v>
      </c>
      <c r="DY26" s="1120">
        <v>207194.00789240401</v>
      </c>
      <c r="DZ26" s="1120" t="s">
        <v>1637</v>
      </c>
      <c r="EA26" s="1120" t="s">
        <v>1637</v>
      </c>
      <c r="EB26" s="1120" t="s">
        <v>1637</v>
      </c>
      <c r="EC26" s="1120" t="s">
        <v>1637</v>
      </c>
      <c r="ED26" s="1120" t="s">
        <v>1637</v>
      </c>
      <c r="EE26" s="1120">
        <v>3222.5977544956122</v>
      </c>
      <c r="EF26" s="1120">
        <v>6875121.110458347</v>
      </c>
      <c r="EG26" s="1120" t="s">
        <v>1637</v>
      </c>
      <c r="EH26" s="1120" t="s">
        <v>1637</v>
      </c>
      <c r="EI26" s="1120" t="s">
        <v>1637</v>
      </c>
      <c r="EJ26" s="1120" t="s">
        <v>1637</v>
      </c>
      <c r="EK26" s="1120">
        <v>1619552.25</v>
      </c>
      <c r="EL26" s="1120">
        <v>3315</v>
      </c>
      <c r="EM26" s="1120">
        <v>7228</v>
      </c>
      <c r="EN26" s="1120">
        <v>121026.59999999999</v>
      </c>
      <c r="EO26" s="1120" t="s">
        <v>1637</v>
      </c>
      <c r="EP26" s="1120" t="s">
        <v>1637</v>
      </c>
      <c r="EQ26" s="1120" t="s">
        <v>1637</v>
      </c>
      <c r="ER26" s="1120" t="s">
        <v>1637</v>
      </c>
      <c r="ES26" s="1120" t="s">
        <v>1637</v>
      </c>
    </row>
    <row r="27" spans="1:149" s="1039" customFormat="1" ht="15" customHeight="1">
      <c r="A27" s="1799">
        <v>12</v>
      </c>
      <c r="B27" s="1055" t="s">
        <v>1615</v>
      </c>
      <c r="C27" s="1055" t="s">
        <v>1138</v>
      </c>
      <c r="D27" s="1055" t="s">
        <v>1134</v>
      </c>
      <c r="E27" s="1055" t="s">
        <v>687</v>
      </c>
      <c r="F27" s="1049">
        <v>2013</v>
      </c>
      <c r="G27" s="1457" t="str">
        <f t="shared" si="4"/>
        <v>2013</v>
      </c>
      <c r="H27" s="1117" t="str">
        <f>IF(B27="","",IF(F27="","",CONCATENATE(B27,"_",G27)))</f>
        <v>London_2013</v>
      </c>
      <c r="I27" s="1049" t="s">
        <v>172</v>
      </c>
      <c r="J27" s="1049">
        <v>8416500</v>
      </c>
      <c r="K27" s="1049">
        <v>1595</v>
      </c>
      <c r="L27" s="1043">
        <v>481061890500</v>
      </c>
      <c r="M27" s="1051">
        <v>8332650.5438481253</v>
      </c>
      <c r="N27" s="1051">
        <v>5836566.4188330807</v>
      </c>
      <c r="O27" s="1052">
        <v>499045.55736139003</v>
      </c>
      <c r="P27" s="1051">
        <v>5371230.7406843342</v>
      </c>
      <c r="Q27" s="1051">
        <v>11130687.466505319</v>
      </c>
      <c r="R27" s="1052">
        <v>951710.25769773626</v>
      </c>
      <c r="S27" s="1051" t="s">
        <v>176</v>
      </c>
      <c r="T27" s="1051" t="s">
        <v>176</v>
      </c>
      <c r="U27" s="1052" t="s">
        <v>176</v>
      </c>
      <c r="V27" s="1051" t="s">
        <v>176</v>
      </c>
      <c r="W27" s="1051" t="s">
        <v>176</v>
      </c>
      <c r="X27" s="1052" t="s">
        <v>177</v>
      </c>
      <c r="Y27" s="1053">
        <v>2558703.7892530733</v>
      </c>
      <c r="Z27" s="1051" t="s">
        <v>176</v>
      </c>
      <c r="AA27" s="1051" t="s">
        <v>176</v>
      </c>
      <c r="AB27" s="1052" t="s">
        <v>176</v>
      </c>
      <c r="AC27" s="1051" t="s">
        <v>175</v>
      </c>
      <c r="AD27" s="1051" t="s">
        <v>175</v>
      </c>
      <c r="AE27" s="1052" t="s">
        <v>175</v>
      </c>
      <c r="AF27" s="1051" t="s">
        <v>175</v>
      </c>
      <c r="AG27" s="1051">
        <v>11787.7</v>
      </c>
      <c r="AH27" s="1051">
        <v>6034654.4213315966</v>
      </c>
      <c r="AI27" s="1051" t="s">
        <v>176</v>
      </c>
      <c r="AJ27" s="1052" t="s">
        <v>176</v>
      </c>
      <c r="AK27" s="1051">
        <v>133889.96835635888</v>
      </c>
      <c r="AL27" s="1051">
        <v>1064893.3006678231</v>
      </c>
      <c r="AM27" s="1052">
        <v>91051.867249792107</v>
      </c>
      <c r="AN27" s="1051">
        <v>20258.495851789849</v>
      </c>
      <c r="AO27" s="1051" t="s">
        <v>176</v>
      </c>
      <c r="AP27" s="1052" t="s">
        <v>177</v>
      </c>
      <c r="AQ27" s="1051" t="s">
        <v>176</v>
      </c>
      <c r="AR27" s="1051" t="s">
        <v>175</v>
      </c>
      <c r="AS27" s="1052">
        <v>943023.180779282</v>
      </c>
      <c r="AT27" s="1051">
        <v>36153</v>
      </c>
      <c r="AU27" s="1051" t="s">
        <v>176</v>
      </c>
      <c r="AV27" s="1052" t="s">
        <v>175</v>
      </c>
      <c r="AW27" s="1051">
        <v>290890.71849776397</v>
      </c>
      <c r="AX27" s="1051">
        <v>1219506.3215999999</v>
      </c>
      <c r="AY27" s="1053" t="s">
        <v>175</v>
      </c>
      <c r="AZ27" s="1051">
        <v>23.876478112901914</v>
      </c>
      <c r="BA27" s="1051">
        <v>55.71178226343779</v>
      </c>
      <c r="BB27" s="1046" t="s">
        <v>175</v>
      </c>
      <c r="BC27" s="1051">
        <v>100585.61477551328</v>
      </c>
      <c r="BD27" s="1051">
        <v>234699.76780953095</v>
      </c>
      <c r="BE27" s="1046" t="s">
        <v>175</v>
      </c>
      <c r="BF27" s="1051">
        <v>5516.8898455531235</v>
      </c>
      <c r="BG27" s="1051">
        <v>1112.8895495167251</v>
      </c>
      <c r="BH27" s="1046" t="s">
        <v>175</v>
      </c>
      <c r="BI27" s="1052" t="s">
        <v>177</v>
      </c>
      <c r="BJ27" s="1052" t="s">
        <v>177</v>
      </c>
      <c r="BK27" s="1052" t="s">
        <v>177</v>
      </c>
      <c r="BL27" s="1052" t="s">
        <v>177</v>
      </c>
      <c r="BM27" s="1052" t="s">
        <v>177</v>
      </c>
      <c r="BN27" s="1054" t="s">
        <v>177</v>
      </c>
      <c r="BO27" s="1076" t="str">
        <f>H27</f>
        <v>London_2013</v>
      </c>
      <c r="BP27" s="1051">
        <v>39825163.846416682</v>
      </c>
      <c r="BQ27" s="1052">
        <v>42309994.70950488</v>
      </c>
      <c r="BR27" s="1054">
        <v>42309994.70950488</v>
      </c>
      <c r="BS27" s="1053">
        <v>22896345.758922219</v>
      </c>
      <c r="BT27" s="1051">
        <v>30682922.869870856</v>
      </c>
      <c r="BU27" s="1051">
        <v>7289849.1862075683</v>
      </c>
      <c r="BV27" s="1051">
        <v>1852391.7903382543</v>
      </c>
      <c r="BW27" s="1052">
        <v>32133678.684929982</v>
      </c>
      <c r="BX27" s="1052">
        <v>8323924.2342366427</v>
      </c>
      <c r="BY27" s="1052">
        <v>1852391.7903382543</v>
      </c>
      <c r="BZ27" s="1052" t="s">
        <v>1637</v>
      </c>
      <c r="CA27" s="1052" t="s">
        <v>1637</v>
      </c>
      <c r="CB27" s="1053">
        <v>13715668.984532459</v>
      </c>
      <c r="CC27" s="1053">
        <v>2558703.7892530733</v>
      </c>
      <c r="CD27" s="1053">
        <v>6224955.885539745</v>
      </c>
      <c r="CE27" s="1053">
        <v>397017.0995969433</v>
      </c>
      <c r="CF27" s="1053" t="s">
        <v>1637</v>
      </c>
      <c r="CG27" s="1053" t="s">
        <v>1637</v>
      </c>
      <c r="CH27" s="1053" t="s">
        <v>1637</v>
      </c>
      <c r="CI27" s="1051">
        <v>14169216.962681206</v>
      </c>
      <c r="CJ27" s="1051">
        <v>16501918.207189653</v>
      </c>
      <c r="CK27" s="1051" t="s">
        <v>1637</v>
      </c>
      <c r="CL27" s="1051" t="s">
        <v>1637</v>
      </c>
      <c r="CM27" s="1051" t="s">
        <v>1637</v>
      </c>
      <c r="CN27" s="1051" t="s">
        <v>1637</v>
      </c>
      <c r="CO27" s="1051" t="s">
        <v>1637</v>
      </c>
      <c r="CP27" s="1051">
        <v>11787.7</v>
      </c>
      <c r="CQ27" s="1051">
        <v>6034654.4213315966</v>
      </c>
      <c r="CR27" s="1051">
        <v>1198783.2690241819</v>
      </c>
      <c r="CS27" s="1051">
        <v>20258.495851789849</v>
      </c>
      <c r="CT27" s="1051" t="s">
        <v>1637</v>
      </c>
      <c r="CU27" s="1051">
        <v>36153</v>
      </c>
      <c r="CV27" s="1051">
        <v>1510397.0400977638</v>
      </c>
      <c r="CW27" s="1051">
        <v>79.588260376339704</v>
      </c>
      <c r="CX27" s="1051">
        <v>335285.38258504425</v>
      </c>
      <c r="CY27" s="1051">
        <v>6629.7793950698488</v>
      </c>
      <c r="CZ27" s="1114">
        <v>14668262.520042596</v>
      </c>
      <c r="DA27" s="1114">
        <v>17453628.464887388</v>
      </c>
      <c r="DB27" s="1114" t="s">
        <v>1637</v>
      </c>
      <c r="DC27" s="1114" t="s">
        <v>1637</v>
      </c>
      <c r="DD27" s="1114" t="s">
        <v>1637</v>
      </c>
      <c r="DE27" s="1114" t="s">
        <v>1637</v>
      </c>
      <c r="DF27" s="1114" t="s">
        <v>1637</v>
      </c>
      <c r="DG27" s="1114">
        <v>11787.7</v>
      </c>
      <c r="DH27" s="1114">
        <v>6034654.4213315966</v>
      </c>
      <c r="DI27" s="1114">
        <v>1289835.1362739741</v>
      </c>
      <c r="DJ27" s="1114">
        <v>20258.495851789849</v>
      </c>
      <c r="DK27" s="1114">
        <v>943023.180779282</v>
      </c>
      <c r="DL27" s="1114">
        <v>36153</v>
      </c>
      <c r="DM27" s="1114">
        <v>1510397.0400977638</v>
      </c>
      <c r="DN27" s="1114">
        <v>79.588260376339704</v>
      </c>
      <c r="DO27" s="1114">
        <v>335285.38258504425</v>
      </c>
      <c r="DP27" s="1114">
        <v>6629.7793950698488</v>
      </c>
      <c r="DQ27" s="1114" t="s">
        <v>1637</v>
      </c>
      <c r="DR27" s="1114" t="s">
        <v>1637</v>
      </c>
      <c r="DS27" s="1114" t="s">
        <v>1637</v>
      </c>
      <c r="DT27" s="1114" t="s">
        <v>1637</v>
      </c>
      <c r="DU27" s="1114" t="s">
        <v>1637</v>
      </c>
      <c r="DV27" s="1115" t="s">
        <v>1637</v>
      </c>
      <c r="DW27" s="1116">
        <v>8332650.5438481253</v>
      </c>
      <c r="DX27" s="1116">
        <v>5371230.7406843342</v>
      </c>
      <c r="DY27" s="1116" t="s">
        <v>1637</v>
      </c>
      <c r="DZ27" s="1116" t="s">
        <v>1637</v>
      </c>
      <c r="EA27" s="1116">
        <v>2558703.7892530733</v>
      </c>
      <c r="EB27" s="1116" t="s">
        <v>1637</v>
      </c>
      <c r="EC27" s="1116" t="s">
        <v>1637</v>
      </c>
      <c r="ED27" s="1116" t="s">
        <v>1637</v>
      </c>
      <c r="EE27" s="1116">
        <v>11787.7</v>
      </c>
      <c r="EF27" s="1116">
        <v>6034654.4213315966</v>
      </c>
      <c r="EG27" s="1116">
        <v>133889.96835635888</v>
      </c>
      <c r="EH27" s="1116">
        <v>20258.495851789849</v>
      </c>
      <c r="EI27" s="1116" t="s">
        <v>1637</v>
      </c>
      <c r="EJ27" s="1116">
        <v>36153</v>
      </c>
      <c r="EK27" s="1116">
        <v>290890.71849776397</v>
      </c>
      <c r="EL27" s="1116">
        <v>23.876478112901914</v>
      </c>
      <c r="EM27" s="1116">
        <v>100585.61477551328</v>
      </c>
      <c r="EN27" s="1116">
        <v>5516.8898455531235</v>
      </c>
      <c r="EO27" s="1116" t="s">
        <v>1637</v>
      </c>
      <c r="EP27" s="1116" t="s">
        <v>1637</v>
      </c>
      <c r="EQ27" s="1116" t="s">
        <v>1637</v>
      </c>
      <c r="ER27" s="1116" t="s">
        <v>1637</v>
      </c>
      <c r="ES27" s="1116" t="s">
        <v>1637</v>
      </c>
    </row>
    <row r="28" spans="1:149" s="34" customFormat="1" ht="15" customHeight="1">
      <c r="A28" s="1799">
        <v>13</v>
      </c>
      <c r="B28" s="1041" t="s">
        <v>1734</v>
      </c>
      <c r="C28" s="1048" t="s">
        <v>1394</v>
      </c>
      <c r="D28" s="1048" t="s">
        <v>1134</v>
      </c>
      <c r="E28" s="1048" t="s">
        <v>687</v>
      </c>
      <c r="F28" s="1049">
        <v>2013</v>
      </c>
      <c r="G28" s="1457" t="str">
        <f t="shared" si="4"/>
        <v>2013</v>
      </c>
      <c r="H28" s="1117" t="str">
        <f t="shared" si="5"/>
        <v>Madrid_2013</v>
      </c>
      <c r="I28" s="1049" t="s">
        <v>172</v>
      </c>
      <c r="J28" s="1050">
        <v>3207247</v>
      </c>
      <c r="K28" s="1050">
        <v>606</v>
      </c>
      <c r="L28" s="1043">
        <v>103261000000</v>
      </c>
      <c r="M28" s="1051">
        <v>1690972.4176907854</v>
      </c>
      <c r="N28" s="1051">
        <v>1115983.2500104399</v>
      </c>
      <c r="O28" s="1052">
        <v>139838.35649208806</v>
      </c>
      <c r="P28" s="1051">
        <v>712706.49062100879</v>
      </c>
      <c r="Q28" s="1051">
        <v>1686344.2572374691</v>
      </c>
      <c r="R28" s="1052">
        <v>211307.48101259817</v>
      </c>
      <c r="S28" s="1051">
        <v>323384.91365221376</v>
      </c>
      <c r="T28" s="1051">
        <v>181414.07972758432</v>
      </c>
      <c r="U28" s="1052">
        <v>22732.103509073902</v>
      </c>
      <c r="V28" s="1051">
        <v>37818.168982663905</v>
      </c>
      <c r="W28" s="1051" t="s">
        <v>175</v>
      </c>
      <c r="X28" s="1052" t="s">
        <v>175</v>
      </c>
      <c r="Y28" s="1053">
        <v>190899.55310656875</v>
      </c>
      <c r="Z28" s="1051">
        <v>27971.650063522313</v>
      </c>
      <c r="AA28" s="1051">
        <v>1311.1932314670059</v>
      </c>
      <c r="AB28" s="1052">
        <v>164.29915639879081</v>
      </c>
      <c r="AC28" s="1051">
        <v>49379.37165943643</v>
      </c>
      <c r="AD28" s="1051" t="s">
        <v>175</v>
      </c>
      <c r="AE28" s="1052" t="s">
        <v>175</v>
      </c>
      <c r="AF28" s="1051" t="s">
        <v>175</v>
      </c>
      <c r="AG28" s="1051">
        <v>17964.392896713704</v>
      </c>
      <c r="AH28" s="1051">
        <v>2149069.2879714854</v>
      </c>
      <c r="AI28" s="1051">
        <v>95.588835299722717</v>
      </c>
      <c r="AJ28" s="1052">
        <v>11.977765461247801</v>
      </c>
      <c r="AK28" s="1051">
        <v>4676.4334073592154</v>
      </c>
      <c r="AL28" s="1051">
        <v>265654.99018543016</v>
      </c>
      <c r="AM28" s="1052">
        <v>33287.916481815308</v>
      </c>
      <c r="AN28" s="1051" t="s">
        <v>175</v>
      </c>
      <c r="AO28" s="1051" t="s">
        <v>175</v>
      </c>
      <c r="AP28" s="1052" t="s">
        <v>175</v>
      </c>
      <c r="AQ28" s="1051">
        <v>506167.72730000003</v>
      </c>
      <c r="AR28" s="1051" t="s">
        <v>175</v>
      </c>
      <c r="AS28" s="1052" t="s">
        <v>177</v>
      </c>
      <c r="AT28" s="1051" t="s">
        <v>175</v>
      </c>
      <c r="AU28" s="1051" t="s">
        <v>175</v>
      </c>
      <c r="AV28" s="1052" t="s">
        <v>175</v>
      </c>
      <c r="AW28" s="1051">
        <v>338011.17891383066</v>
      </c>
      <c r="AX28" s="1051" t="s">
        <v>175</v>
      </c>
      <c r="AY28" s="1053">
        <v>5775.6181913673263</v>
      </c>
      <c r="AZ28" s="1051">
        <v>3675.2000000000003</v>
      </c>
      <c r="BA28" s="1051" t="s">
        <v>175</v>
      </c>
      <c r="BB28" s="1053" t="s">
        <v>176</v>
      </c>
      <c r="BC28" s="1051">
        <v>374.96522800000008</v>
      </c>
      <c r="BD28" s="1051" t="s">
        <v>175</v>
      </c>
      <c r="BE28" s="1053" t="s">
        <v>176</v>
      </c>
      <c r="BF28" s="1051">
        <v>89419.992247772228</v>
      </c>
      <c r="BG28" s="1051" t="s">
        <v>175</v>
      </c>
      <c r="BH28" s="1053" t="s">
        <v>175</v>
      </c>
      <c r="BI28" s="1052">
        <v>1175.1687465468124</v>
      </c>
      <c r="BJ28" s="1052">
        <v>678567.17631955422</v>
      </c>
      <c r="BK28" s="1052">
        <v>2268.4796248140938</v>
      </c>
      <c r="BL28" s="1052">
        <v>-43398.890789941084</v>
      </c>
      <c r="BM28" s="1052">
        <v>8698.028993038899</v>
      </c>
      <c r="BN28" s="1054" t="s">
        <v>177</v>
      </c>
      <c r="BO28" s="1076" t="str">
        <f t="shared" si="6"/>
        <v>Madrid_2013</v>
      </c>
      <c r="BP28" s="1051">
        <v>9202395.5498624835</v>
      </c>
      <c r="BQ28" s="1052">
        <v>10257047.647173932</v>
      </c>
      <c r="BR28" s="1054">
        <v>10257047.647173932</v>
      </c>
      <c r="BS28" s="1053">
        <v>6795577.3248267416</v>
      </c>
      <c r="BT28" s="1051">
        <v>5845250.1857733056</v>
      </c>
      <c r="BU28" s="1051">
        <v>2925664.0276995744</v>
      </c>
      <c r="BV28" s="1051">
        <v>431481.33638960292</v>
      </c>
      <c r="BW28" s="1052">
        <v>6219292.425943464</v>
      </c>
      <c r="BX28" s="1052">
        <v>2958963.9219468511</v>
      </c>
      <c r="BY28" s="1052">
        <v>431481.33638960292</v>
      </c>
      <c r="BZ28" s="1052">
        <v>679742.34506610106</v>
      </c>
      <c r="CA28" s="1052">
        <v>-32432.382172088095</v>
      </c>
      <c r="CB28" s="1053">
        <v>2860197.4055663445</v>
      </c>
      <c r="CC28" s="1053">
        <v>190899.55310656875</v>
      </c>
      <c r="CD28" s="1053">
        <v>2659913.4486788446</v>
      </c>
      <c r="CE28" s="1053">
        <v>431481.33638960292</v>
      </c>
      <c r="CF28" s="1053">
        <v>5775.6181913673263</v>
      </c>
      <c r="CG28" s="1053">
        <v>679742.34506610106</v>
      </c>
      <c r="CH28" s="1053">
        <v>-32432.382172088095</v>
      </c>
      <c r="CI28" s="1123">
        <v>2806955.6677012253</v>
      </c>
      <c r="CJ28" s="1123">
        <v>2399050.7478584778</v>
      </c>
      <c r="CK28" s="1123">
        <v>504798.99337979808</v>
      </c>
      <c r="CL28" s="1123">
        <v>37818.168982663905</v>
      </c>
      <c r="CM28" s="1123">
        <v>29282.843294989318</v>
      </c>
      <c r="CN28" s="1123">
        <v>49379.37165943643</v>
      </c>
      <c r="CO28" s="1123" t="s">
        <v>1637</v>
      </c>
      <c r="CP28" s="1123">
        <v>17964.392896713704</v>
      </c>
      <c r="CQ28" s="1123">
        <v>2149164.8768067854</v>
      </c>
      <c r="CR28" s="1123">
        <v>270331.42359278939</v>
      </c>
      <c r="CS28" s="1123" t="s">
        <v>1637</v>
      </c>
      <c r="CT28" s="1123">
        <v>506167.72730000003</v>
      </c>
      <c r="CU28" s="1123" t="s">
        <v>1637</v>
      </c>
      <c r="CV28" s="1123">
        <v>338011.17891383066</v>
      </c>
      <c r="CW28" s="1123">
        <v>3675.2000000000003</v>
      </c>
      <c r="CX28" s="1123">
        <v>374.96522800000008</v>
      </c>
      <c r="CY28" s="1123">
        <v>89419.992247772228</v>
      </c>
      <c r="CZ28" s="1114">
        <v>2946794.0241933134</v>
      </c>
      <c r="DA28" s="1114">
        <v>2610358.2288710759</v>
      </c>
      <c r="DB28" s="1114">
        <v>527531.09688887198</v>
      </c>
      <c r="DC28" s="1114">
        <v>37818.168982663905</v>
      </c>
      <c r="DD28" s="1114">
        <v>29447.14245138811</v>
      </c>
      <c r="DE28" s="1114">
        <v>49379.37165943643</v>
      </c>
      <c r="DF28" s="1114" t="s">
        <v>1637</v>
      </c>
      <c r="DG28" s="1114">
        <v>17964.392896713704</v>
      </c>
      <c r="DH28" s="1114">
        <v>2149176.8545722468</v>
      </c>
      <c r="DI28" s="1114">
        <v>303619.34007460473</v>
      </c>
      <c r="DJ28" s="1114" t="s">
        <v>1637</v>
      </c>
      <c r="DK28" s="1114">
        <v>506167.72730000003</v>
      </c>
      <c r="DL28" s="1114" t="s">
        <v>1637</v>
      </c>
      <c r="DM28" s="1114">
        <v>338011.17891383066</v>
      </c>
      <c r="DN28" s="1114">
        <v>3675.2000000000003</v>
      </c>
      <c r="DO28" s="1114">
        <v>374.96522800000008</v>
      </c>
      <c r="DP28" s="1114">
        <v>89419.992247772228</v>
      </c>
      <c r="DQ28" s="1114">
        <v>1175.1687465468124</v>
      </c>
      <c r="DR28" s="1114">
        <v>678567.17631955422</v>
      </c>
      <c r="DS28" s="1114">
        <v>2268.4796248140938</v>
      </c>
      <c r="DT28" s="1114">
        <v>-43398.890789941084</v>
      </c>
      <c r="DU28" s="1114">
        <v>8698.028993038899</v>
      </c>
      <c r="DV28" s="1115" t="s">
        <v>1637</v>
      </c>
      <c r="DW28" s="1116">
        <v>1690972.4176907854</v>
      </c>
      <c r="DX28" s="1116">
        <v>712706.49062100879</v>
      </c>
      <c r="DY28" s="1116">
        <v>323384.91365221376</v>
      </c>
      <c r="DZ28" s="1116">
        <v>37818.168982663905</v>
      </c>
      <c r="EA28" s="1116">
        <v>190899.55310656875</v>
      </c>
      <c r="EB28" s="1116">
        <v>27971.650063522313</v>
      </c>
      <c r="EC28" s="1116">
        <v>49379.37165943643</v>
      </c>
      <c r="ED28" s="1116" t="s">
        <v>1637</v>
      </c>
      <c r="EE28" s="1116">
        <v>17964.392896713704</v>
      </c>
      <c r="EF28" s="1116">
        <v>2149069.2879714854</v>
      </c>
      <c r="EG28" s="1116">
        <v>4676.4334073592154</v>
      </c>
      <c r="EH28" s="1116" t="s">
        <v>1637</v>
      </c>
      <c r="EI28" s="1116">
        <v>506167.72730000003</v>
      </c>
      <c r="EJ28" s="1116" t="s">
        <v>1637</v>
      </c>
      <c r="EK28" s="1116">
        <v>343786.79710519797</v>
      </c>
      <c r="EL28" s="1116">
        <v>3675.2000000000003</v>
      </c>
      <c r="EM28" s="1116">
        <v>374.96522800000008</v>
      </c>
      <c r="EN28" s="1116">
        <v>89419.992247772228</v>
      </c>
      <c r="EO28" s="1116">
        <v>1175.1687465468124</v>
      </c>
      <c r="EP28" s="1116">
        <v>678567.17631955422</v>
      </c>
      <c r="EQ28" s="1116">
        <v>2268.4796248140938</v>
      </c>
      <c r="ER28" s="1116">
        <v>-43398.890789941084</v>
      </c>
      <c r="ES28" s="1116">
        <v>8698.028993038899</v>
      </c>
    </row>
    <row r="29" spans="1:149" s="1121" customFormat="1" ht="15" customHeight="1">
      <c r="A29" s="1799">
        <v>14</v>
      </c>
      <c r="B29" s="1055" t="s">
        <v>1922</v>
      </c>
      <c r="C29" s="1055" t="s">
        <v>1149</v>
      </c>
      <c r="D29" s="1055" t="s">
        <v>1925</v>
      </c>
      <c r="E29" s="1055" t="s">
        <v>687</v>
      </c>
      <c r="F29" s="1049" t="s">
        <v>1751</v>
      </c>
      <c r="G29" s="1457" t="str">
        <f>LEFT(F29,4)</f>
        <v>2013</v>
      </c>
      <c r="H29" s="1117" t="str">
        <f>IF(B29="","",IF(F29="","",CONCATENATE(B29,"_",G29)))</f>
        <v>City of Melbourne_2013</v>
      </c>
      <c r="I29" s="1049" t="s">
        <v>172</v>
      </c>
      <c r="J29" s="1049">
        <v>116431</v>
      </c>
      <c r="K29" s="1049">
        <v>37.6</v>
      </c>
      <c r="L29" s="1043">
        <v>67700000000</v>
      </c>
      <c r="M29" s="1051">
        <v>43262.172687650542</v>
      </c>
      <c r="N29" s="1051">
        <v>333044.23891802377</v>
      </c>
      <c r="O29" s="1052">
        <v>42336.13206585047</v>
      </c>
      <c r="P29" s="1051">
        <v>112602.27730931039</v>
      </c>
      <c r="Q29" s="1051">
        <v>4241813.0011191145</v>
      </c>
      <c r="R29" s="1052">
        <v>539213.5170914128</v>
      </c>
      <c r="S29" s="1051">
        <v>120654.11276590444</v>
      </c>
      <c r="T29" s="1051">
        <v>166757.40997694948</v>
      </c>
      <c r="U29" s="1052">
        <v>21197.975844527475</v>
      </c>
      <c r="V29" s="1051" t="s">
        <v>175</v>
      </c>
      <c r="W29" s="1051" t="s">
        <v>175</v>
      </c>
      <c r="X29" s="1052" t="s">
        <v>175</v>
      </c>
      <c r="Y29" s="1053" t="s">
        <v>175</v>
      </c>
      <c r="Z29" s="1051" t="s">
        <v>175</v>
      </c>
      <c r="AA29" s="1051" t="s">
        <v>175</v>
      </c>
      <c r="AB29" s="1052" t="s">
        <v>175</v>
      </c>
      <c r="AC29" s="1051" t="s">
        <v>176</v>
      </c>
      <c r="AD29" s="1051" t="s">
        <v>176</v>
      </c>
      <c r="AE29" s="1052" t="s">
        <v>176</v>
      </c>
      <c r="AF29" s="1051" t="s">
        <v>175</v>
      </c>
      <c r="AG29" s="1051" t="s">
        <v>175</v>
      </c>
      <c r="AH29" s="1051">
        <v>447971.45541720005</v>
      </c>
      <c r="AI29" s="1051" t="s">
        <v>176</v>
      </c>
      <c r="AJ29" s="1052">
        <v>7560.5794371999991</v>
      </c>
      <c r="AK29" s="1051" t="s">
        <v>175</v>
      </c>
      <c r="AL29" s="1051">
        <v>203757.1436035783</v>
      </c>
      <c r="AM29" s="1052" t="s">
        <v>177</v>
      </c>
      <c r="AN29" s="1051" t="s">
        <v>175</v>
      </c>
      <c r="AO29" s="1051" t="s">
        <v>176</v>
      </c>
      <c r="AP29" s="1052">
        <v>228119</v>
      </c>
      <c r="AQ29" s="1051" t="s">
        <v>175</v>
      </c>
      <c r="AR29" s="1051" t="s">
        <v>175</v>
      </c>
      <c r="AS29" s="1052" t="s">
        <v>177</v>
      </c>
      <c r="AT29" s="1051">
        <v>5850.3187762000007</v>
      </c>
      <c r="AU29" s="1051" t="s">
        <v>175</v>
      </c>
      <c r="AV29" s="1052" t="s">
        <v>177</v>
      </c>
      <c r="AW29" s="1051" t="s">
        <v>175</v>
      </c>
      <c r="AX29" s="1051">
        <v>148917.6</v>
      </c>
      <c r="AY29" s="1053" t="s">
        <v>175</v>
      </c>
      <c r="AZ29" s="1051" t="s">
        <v>175</v>
      </c>
      <c r="BA29" s="1051" t="s">
        <v>175</v>
      </c>
      <c r="BB29" s="1053" t="s">
        <v>175</v>
      </c>
      <c r="BC29" s="1051" t="s">
        <v>175</v>
      </c>
      <c r="BD29" s="1051" t="s">
        <v>175</v>
      </c>
      <c r="BE29" s="1053" t="s">
        <v>175</v>
      </c>
      <c r="BF29" s="1051" t="s">
        <v>175</v>
      </c>
      <c r="BG29" s="1051">
        <v>2898</v>
      </c>
      <c r="BH29" s="1053" t="s">
        <v>175</v>
      </c>
      <c r="BI29" s="1052" t="s">
        <v>175</v>
      </c>
      <c r="BJ29" s="1052" t="s">
        <v>177</v>
      </c>
      <c r="BK29" s="1052" t="s">
        <v>175</v>
      </c>
      <c r="BL29" s="1052" t="s">
        <v>175</v>
      </c>
      <c r="BM29" s="1052" t="s">
        <v>175</v>
      </c>
      <c r="BN29" s="1054">
        <v>81581.807942888554</v>
      </c>
      <c r="BO29" s="1076" t="str">
        <f>H29</f>
        <v>City of Melbourne_2013</v>
      </c>
      <c r="BP29" s="1051">
        <v>5827527.7305739326</v>
      </c>
      <c r="BQ29" s="1052">
        <v>6665954.9350129236</v>
      </c>
      <c r="BR29" s="1054">
        <v>6747536.7429558104</v>
      </c>
      <c r="BS29" s="1053">
        <v>730340.33695626538</v>
      </c>
      <c r="BT29" s="1051">
        <v>5018133.2127769543</v>
      </c>
      <c r="BU29" s="1051">
        <v>657578.91779697838</v>
      </c>
      <c r="BV29" s="1051">
        <v>151815.6</v>
      </c>
      <c r="BW29" s="1052">
        <v>5620880.8377787452</v>
      </c>
      <c r="BX29" s="1052">
        <v>893258.49723417836</v>
      </c>
      <c r="BY29" s="1052">
        <v>151815.6</v>
      </c>
      <c r="BZ29" s="1052" t="s">
        <v>1637</v>
      </c>
      <c r="CA29" s="1052" t="s">
        <v>1637</v>
      </c>
      <c r="CB29" s="1053">
        <v>276518.56276286539</v>
      </c>
      <c r="CC29" s="1053" t="s">
        <v>1923</v>
      </c>
      <c r="CD29" s="1053">
        <v>453821.77419340005</v>
      </c>
      <c r="CE29" s="1053" t="s">
        <v>1923</v>
      </c>
      <c r="CF29" s="1053" t="s">
        <v>1923</v>
      </c>
      <c r="CG29" s="1053" t="s">
        <v>1637</v>
      </c>
      <c r="CH29" s="1053" t="s">
        <v>1637</v>
      </c>
      <c r="CI29" s="1051">
        <v>376306.41160567431</v>
      </c>
      <c r="CJ29" s="1051">
        <v>4354415.2784284251</v>
      </c>
      <c r="CK29" s="1051">
        <v>287411.52274285391</v>
      </c>
      <c r="CL29" s="1051" t="s">
        <v>1637</v>
      </c>
      <c r="CM29" s="1051" t="s">
        <v>1637</v>
      </c>
      <c r="CN29" s="1051" t="s">
        <v>1637</v>
      </c>
      <c r="CO29" s="1051" t="s">
        <v>1637</v>
      </c>
      <c r="CP29" s="1051" t="s">
        <v>1637</v>
      </c>
      <c r="CQ29" s="1051">
        <v>447971.45541720005</v>
      </c>
      <c r="CR29" s="1051">
        <v>203757.1436035783</v>
      </c>
      <c r="CS29" s="1051" t="s">
        <v>1637</v>
      </c>
      <c r="CT29" s="1051" t="s">
        <v>1637</v>
      </c>
      <c r="CU29" s="1051">
        <v>5850.3187762000007</v>
      </c>
      <c r="CV29" s="1051">
        <v>148917.6</v>
      </c>
      <c r="CW29" s="1051" t="s">
        <v>1637</v>
      </c>
      <c r="CX29" s="1051" t="s">
        <v>1637</v>
      </c>
      <c r="CY29" s="1051">
        <v>2898</v>
      </c>
      <c r="CZ29" s="1118">
        <v>418642.54367152479</v>
      </c>
      <c r="DA29" s="1118">
        <v>4893628.7955198381</v>
      </c>
      <c r="DB29" s="1118">
        <v>308609.49858738139</v>
      </c>
      <c r="DC29" s="1118" t="s">
        <v>1637</v>
      </c>
      <c r="DD29" s="1118" t="s">
        <v>1637</v>
      </c>
      <c r="DE29" s="1118" t="s">
        <v>1637</v>
      </c>
      <c r="DF29" s="1118" t="s">
        <v>1637</v>
      </c>
      <c r="DG29" s="1118" t="s">
        <v>1637</v>
      </c>
      <c r="DH29" s="1118">
        <v>455532.03485440003</v>
      </c>
      <c r="DI29" s="1118">
        <v>203757.1436035783</v>
      </c>
      <c r="DJ29" s="1118">
        <v>228119</v>
      </c>
      <c r="DK29" s="1118" t="s">
        <v>1637</v>
      </c>
      <c r="DL29" s="1118">
        <v>5850.3187762000007</v>
      </c>
      <c r="DM29" s="1118">
        <v>148917.6</v>
      </c>
      <c r="DN29" s="1118" t="s">
        <v>1637</v>
      </c>
      <c r="DO29" s="1118" t="s">
        <v>1637</v>
      </c>
      <c r="DP29" s="1118">
        <v>2898</v>
      </c>
      <c r="DQ29" s="1118" t="s">
        <v>1637</v>
      </c>
      <c r="DR29" s="1118" t="s">
        <v>1637</v>
      </c>
      <c r="DS29" s="1118" t="s">
        <v>1637</v>
      </c>
      <c r="DT29" s="1118" t="s">
        <v>1637</v>
      </c>
      <c r="DU29" s="1118" t="s">
        <v>1637</v>
      </c>
      <c r="DV29" s="1119">
        <v>81581.807942888554</v>
      </c>
      <c r="DW29" s="1120">
        <v>43262.172687650542</v>
      </c>
      <c r="DX29" s="1120">
        <v>112602.27730931039</v>
      </c>
      <c r="DY29" s="1120">
        <v>120654.11276590444</v>
      </c>
      <c r="DZ29" s="1120" t="s">
        <v>1637</v>
      </c>
      <c r="EA29" s="1120" t="s">
        <v>1637</v>
      </c>
      <c r="EB29" s="1120" t="s">
        <v>1637</v>
      </c>
      <c r="EC29" s="1120" t="s">
        <v>1637</v>
      </c>
      <c r="ED29" s="1120" t="s">
        <v>1637</v>
      </c>
      <c r="EE29" s="1120" t="s">
        <v>1637</v>
      </c>
      <c r="EF29" s="1120">
        <v>447971.45541720005</v>
      </c>
      <c r="EG29" s="1120" t="s">
        <v>1637</v>
      </c>
      <c r="EH29" s="1120" t="s">
        <v>1637</v>
      </c>
      <c r="EI29" s="1120" t="s">
        <v>1637</v>
      </c>
      <c r="EJ29" s="1120">
        <v>5850.3187762000007</v>
      </c>
      <c r="EK29" s="1120" t="s">
        <v>1637</v>
      </c>
      <c r="EL29" s="1120" t="s">
        <v>1637</v>
      </c>
      <c r="EM29" s="1120" t="s">
        <v>1637</v>
      </c>
      <c r="EN29" s="1120" t="s">
        <v>1637</v>
      </c>
      <c r="EO29" s="1120" t="s">
        <v>1637</v>
      </c>
      <c r="EP29" s="1120" t="s">
        <v>1637</v>
      </c>
      <c r="EQ29" s="1120" t="s">
        <v>1637</v>
      </c>
      <c r="ER29" s="1120" t="s">
        <v>1637</v>
      </c>
      <c r="ES29" s="1120" t="s">
        <v>1637</v>
      </c>
    </row>
    <row r="30" spans="1:149" s="1121" customFormat="1" ht="15" customHeight="1">
      <c r="A30" s="1799">
        <v>15</v>
      </c>
      <c r="B30" s="1055" t="s">
        <v>1640</v>
      </c>
      <c r="C30" s="1055" t="s">
        <v>1147</v>
      </c>
      <c r="D30" s="1048" t="s">
        <v>1641</v>
      </c>
      <c r="E30" s="1055" t="s">
        <v>1750</v>
      </c>
      <c r="F30" s="1049">
        <v>2012</v>
      </c>
      <c r="G30" s="1457" t="str">
        <f t="shared" ref="G30:G45" si="7">LEFT(F30,4)</f>
        <v>2012</v>
      </c>
      <c r="H30" s="1117" t="str">
        <f>IF(B30="","",IF(F30="","",CONCATENATE(B30,"_",G30)))</f>
        <v>Mexico City_2012</v>
      </c>
      <c r="I30" s="1049" t="s">
        <v>173</v>
      </c>
      <c r="J30" s="1049">
        <v>8911664.7271708604</v>
      </c>
      <c r="K30" s="1049">
        <v>1485</v>
      </c>
      <c r="L30" s="1043">
        <v>169784923077</v>
      </c>
      <c r="M30" s="1051">
        <v>1974692.4294502581</v>
      </c>
      <c r="N30" s="1051">
        <v>2024295.6656560001</v>
      </c>
      <c r="O30" s="1052">
        <v>402917.14333200001</v>
      </c>
      <c r="P30" s="1051">
        <v>341201.14</v>
      </c>
      <c r="Q30" s="1051">
        <v>2077054.7976772001</v>
      </c>
      <c r="R30" s="1052">
        <v>413419.04779120005</v>
      </c>
      <c r="S30" s="1051">
        <v>1259693.4803487947</v>
      </c>
      <c r="T30" s="1051">
        <v>4107954.6661934</v>
      </c>
      <c r="U30" s="1052">
        <v>679119.15038218687</v>
      </c>
      <c r="V30" s="1051">
        <v>24036.725211199999</v>
      </c>
      <c r="W30" s="1051" t="s">
        <v>175</v>
      </c>
      <c r="X30" s="1052" t="s">
        <v>175</v>
      </c>
      <c r="Y30" s="1053">
        <v>0</v>
      </c>
      <c r="Z30" s="1051">
        <v>5503.1675999999998</v>
      </c>
      <c r="AA30" s="1051">
        <v>944.20432700000003</v>
      </c>
      <c r="AB30" s="1052">
        <v>188.1874368</v>
      </c>
      <c r="AC30" s="1051" t="s">
        <v>175</v>
      </c>
      <c r="AD30" s="1051" t="s">
        <v>175</v>
      </c>
      <c r="AE30" s="1052" t="s">
        <v>175</v>
      </c>
      <c r="AF30" s="1051" t="s">
        <v>175</v>
      </c>
      <c r="AG30" s="1051">
        <v>600</v>
      </c>
      <c r="AH30" s="1051">
        <v>11457963</v>
      </c>
      <c r="AI30" s="1051">
        <v>30843.136777200001</v>
      </c>
      <c r="AJ30" s="1052">
        <v>2759361.9616970001</v>
      </c>
      <c r="AK30" s="1051">
        <v>5108.3471456332591</v>
      </c>
      <c r="AL30" s="1051">
        <v>668562.65980460017</v>
      </c>
      <c r="AM30" s="1052">
        <v>133071.38781860002</v>
      </c>
      <c r="AN30" s="1051" t="s">
        <v>175</v>
      </c>
      <c r="AO30" s="1051" t="s">
        <v>175</v>
      </c>
      <c r="AP30" s="1052" t="s">
        <v>175</v>
      </c>
      <c r="AQ30" s="1051">
        <v>1398451.1388702944</v>
      </c>
      <c r="AR30" s="1051" t="s">
        <v>175</v>
      </c>
      <c r="AS30" s="1052">
        <v>1766282.4095717589</v>
      </c>
      <c r="AT30" s="1051">
        <v>115264.06240507808</v>
      </c>
      <c r="AU30" s="1051" t="s">
        <v>175</v>
      </c>
      <c r="AV30" s="1052" t="s">
        <v>175</v>
      </c>
      <c r="AW30" s="1051">
        <v>114575</v>
      </c>
      <c r="AX30" s="1051">
        <v>3731450</v>
      </c>
      <c r="AY30" s="1053" t="s">
        <v>175</v>
      </c>
      <c r="AZ30" s="1051">
        <v>616.87819999999999</v>
      </c>
      <c r="BA30" s="1051">
        <v>164578.9448</v>
      </c>
      <c r="BB30" s="1053" t="s">
        <v>175</v>
      </c>
      <c r="BC30" s="1051" t="s">
        <v>175</v>
      </c>
      <c r="BD30" s="1051" t="s">
        <v>175</v>
      </c>
      <c r="BE30" s="1053" t="s">
        <v>175</v>
      </c>
      <c r="BF30" s="1051">
        <v>54269.285432995624</v>
      </c>
      <c r="BG30" s="1051">
        <v>615828.14132365957</v>
      </c>
      <c r="BH30" s="1053" t="s">
        <v>175</v>
      </c>
      <c r="BI30" s="1052">
        <v>40098.843749312669</v>
      </c>
      <c r="BJ30" s="1052">
        <v>98347.229883404259</v>
      </c>
      <c r="BK30" s="1052">
        <v>19082.815994528086</v>
      </c>
      <c r="BL30" s="1052">
        <v>0</v>
      </c>
      <c r="BM30" s="1052">
        <v>8642</v>
      </c>
      <c r="BN30" s="1054">
        <v>1080.1224319999999</v>
      </c>
      <c r="BO30" s="1076" t="str">
        <f>H30</f>
        <v>Mexico City_2012</v>
      </c>
      <c r="BP30" s="1051">
        <v>30173486.871223316</v>
      </c>
      <c r="BQ30" s="1052">
        <v>36494017.048880115</v>
      </c>
      <c r="BR30" s="1054">
        <v>36495097.171312109</v>
      </c>
      <c r="BS30" s="1053">
        <v>16918145.5442915</v>
      </c>
      <c r="BT30" s="1051">
        <v>11815976.276463853</v>
      </c>
      <c r="BU30" s="1051">
        <v>13676192.345002808</v>
      </c>
      <c r="BV30" s="1051">
        <v>4681318.2497566557</v>
      </c>
      <c r="BW30" s="1052">
        <v>13311619.80540604</v>
      </c>
      <c r="BX30" s="1052">
        <v>18334908.104090169</v>
      </c>
      <c r="BY30" s="1052">
        <v>4681318.2497566557</v>
      </c>
      <c r="BZ30" s="1052">
        <v>138446.07363271693</v>
      </c>
      <c r="CA30" s="1052">
        <v>27724.815994528086</v>
      </c>
      <c r="CB30" s="1053">
        <v>3605726.9426102526</v>
      </c>
      <c r="CC30" s="1053" t="s">
        <v>1637</v>
      </c>
      <c r="CD30" s="1053">
        <v>12976786.548421007</v>
      </c>
      <c r="CE30" s="1053">
        <v>169461.16363299562</v>
      </c>
      <c r="CF30" s="1053" t="s">
        <v>1637</v>
      </c>
      <c r="CG30" s="1053">
        <v>138446.07363271693</v>
      </c>
      <c r="CH30" s="1053">
        <v>27724.815994528086</v>
      </c>
      <c r="CI30" s="1051">
        <v>3998988.0951062581</v>
      </c>
      <c r="CJ30" s="1051">
        <v>2418255.9376772</v>
      </c>
      <c r="CK30" s="1051">
        <v>5367648.1465421952</v>
      </c>
      <c r="CL30" s="1051">
        <v>24036.725211199999</v>
      </c>
      <c r="CM30" s="1051">
        <v>6447.3719270000001</v>
      </c>
      <c r="CN30" s="1051" t="s">
        <v>1637</v>
      </c>
      <c r="CO30" s="1051" t="s">
        <v>1637</v>
      </c>
      <c r="CP30" s="1051">
        <v>600</v>
      </c>
      <c r="CQ30" s="1051">
        <v>11488806.1367772</v>
      </c>
      <c r="CR30" s="1051">
        <v>673671.00695023348</v>
      </c>
      <c r="CS30" s="1051" t="s">
        <v>1637</v>
      </c>
      <c r="CT30" s="1051">
        <v>1398451.1388702944</v>
      </c>
      <c r="CU30" s="1051">
        <v>115264.06240507808</v>
      </c>
      <c r="CV30" s="1051">
        <v>3846025</v>
      </c>
      <c r="CW30" s="1051">
        <v>165195.823</v>
      </c>
      <c r="CX30" s="1051" t="s">
        <v>1637</v>
      </c>
      <c r="CY30" s="1051">
        <v>670097.42675665522</v>
      </c>
      <c r="CZ30" s="1118">
        <v>4401905.2384382579</v>
      </c>
      <c r="DA30" s="1118">
        <v>2831674.9854684002</v>
      </c>
      <c r="DB30" s="1118">
        <v>6046767.2969243824</v>
      </c>
      <c r="DC30" s="1118">
        <v>24036.725211199999</v>
      </c>
      <c r="DD30" s="1118">
        <v>6635.5593638</v>
      </c>
      <c r="DE30" s="1118" t="s">
        <v>1637</v>
      </c>
      <c r="DF30" s="1118" t="s">
        <v>1637</v>
      </c>
      <c r="DG30" s="1118">
        <v>600</v>
      </c>
      <c r="DH30" s="1118">
        <v>14248168.098474201</v>
      </c>
      <c r="DI30" s="1118">
        <v>806742.39476883353</v>
      </c>
      <c r="DJ30" s="1118" t="s">
        <v>1637</v>
      </c>
      <c r="DK30" s="1118">
        <v>3164733.5484420536</v>
      </c>
      <c r="DL30" s="1118">
        <v>115264.06240507808</v>
      </c>
      <c r="DM30" s="1118">
        <v>3846025</v>
      </c>
      <c r="DN30" s="1118">
        <v>165195.823</v>
      </c>
      <c r="DO30" s="1118" t="s">
        <v>1637</v>
      </c>
      <c r="DP30" s="1118">
        <v>670097.42675665522</v>
      </c>
      <c r="DQ30" s="1118">
        <v>40098.843749312669</v>
      </c>
      <c r="DR30" s="1118">
        <v>98347.229883404259</v>
      </c>
      <c r="DS30" s="1118">
        <v>19082.815994528086</v>
      </c>
      <c r="DT30" s="1118" t="s">
        <v>1637</v>
      </c>
      <c r="DU30" s="1118">
        <v>8642</v>
      </c>
      <c r="DV30" s="1119">
        <v>1080.1224319999999</v>
      </c>
      <c r="DW30" s="1120">
        <v>1974692.4294502581</v>
      </c>
      <c r="DX30" s="1120">
        <v>341201.14</v>
      </c>
      <c r="DY30" s="1120">
        <v>1259693.4803487947</v>
      </c>
      <c r="DZ30" s="1120">
        <v>24036.725211199999</v>
      </c>
      <c r="EA30" s="1120" t="s">
        <v>1637</v>
      </c>
      <c r="EB30" s="1120">
        <v>5503.1675999999998</v>
      </c>
      <c r="EC30" s="1120" t="s">
        <v>1637</v>
      </c>
      <c r="ED30" s="1120" t="s">
        <v>1637</v>
      </c>
      <c r="EE30" s="1120">
        <v>600</v>
      </c>
      <c r="EF30" s="1120">
        <v>11457963</v>
      </c>
      <c r="EG30" s="1120">
        <v>5108.3471456332591</v>
      </c>
      <c r="EH30" s="1120" t="s">
        <v>1637</v>
      </c>
      <c r="EI30" s="1120">
        <v>1398451.1388702944</v>
      </c>
      <c r="EJ30" s="1120">
        <v>115264.06240507808</v>
      </c>
      <c r="EK30" s="1120">
        <v>114575</v>
      </c>
      <c r="EL30" s="1120">
        <v>616.87819999999999</v>
      </c>
      <c r="EM30" s="1120" t="s">
        <v>1637</v>
      </c>
      <c r="EN30" s="1120">
        <v>54269.285432995624</v>
      </c>
      <c r="EO30" s="1120">
        <v>40098.843749312669</v>
      </c>
      <c r="EP30" s="1120">
        <v>98347.229883404259</v>
      </c>
      <c r="EQ30" s="1120">
        <v>19082.815994528086</v>
      </c>
      <c r="ER30" s="1120" t="s">
        <v>1637</v>
      </c>
      <c r="ES30" s="1120">
        <v>8642</v>
      </c>
    </row>
    <row r="31" spans="1:149" s="1121" customFormat="1" ht="15" customHeight="1">
      <c r="A31" s="1799">
        <v>16</v>
      </c>
      <c r="B31" s="1055" t="s">
        <v>1736</v>
      </c>
      <c r="C31" s="1055" t="s">
        <v>1737</v>
      </c>
      <c r="D31" s="1048" t="s">
        <v>1141</v>
      </c>
      <c r="E31" s="1055" t="s">
        <v>687</v>
      </c>
      <c r="F31" s="1049">
        <v>2014</v>
      </c>
      <c r="G31" s="1457" t="str">
        <f t="shared" si="7"/>
        <v>2014</v>
      </c>
      <c r="H31" s="1117" t="str">
        <f>IF(B31="","",IF(F31="","",CONCATENATE(B31,"_",G31)))</f>
        <v>New York City_2014</v>
      </c>
      <c r="I31" s="1049" t="s">
        <v>172</v>
      </c>
      <c r="J31" s="1049">
        <v>8491079</v>
      </c>
      <c r="K31" s="1049">
        <v>783.8</v>
      </c>
      <c r="L31" s="1043">
        <v>778000000000</v>
      </c>
      <c r="M31" s="1051">
        <v>12473016.674175525</v>
      </c>
      <c r="N31" s="1051">
        <v>4948626.6313407924</v>
      </c>
      <c r="O31" s="1052" t="s">
        <v>177</v>
      </c>
      <c r="P31" s="1051">
        <v>6726920.5643910356</v>
      </c>
      <c r="Q31" s="1051">
        <v>7968472.6632246189</v>
      </c>
      <c r="R31" s="1052" t="s">
        <v>177</v>
      </c>
      <c r="S31" s="1051">
        <v>1574821.8984741361</v>
      </c>
      <c r="T31" s="1051">
        <v>2894286.7229397646</v>
      </c>
      <c r="U31" s="1052" t="s">
        <v>177</v>
      </c>
      <c r="V31" s="1051" t="s">
        <v>176</v>
      </c>
      <c r="W31" s="1051" t="s">
        <v>176</v>
      </c>
      <c r="X31" s="1052" t="s">
        <v>177</v>
      </c>
      <c r="Y31" s="1053">
        <v>11501119.360133234</v>
      </c>
      <c r="Z31" s="1051" t="s">
        <v>175</v>
      </c>
      <c r="AA31" s="1051" t="s">
        <v>175</v>
      </c>
      <c r="AB31" s="1052" t="s">
        <v>175</v>
      </c>
      <c r="AC31" s="1051" t="s">
        <v>175</v>
      </c>
      <c r="AD31" s="1051" t="s">
        <v>175</v>
      </c>
      <c r="AE31" s="1052" t="s">
        <v>175</v>
      </c>
      <c r="AF31" s="1051" t="s">
        <v>175</v>
      </c>
      <c r="AG31" s="1051">
        <v>220859.4716810603</v>
      </c>
      <c r="AH31" s="1051">
        <v>10909755.63631295</v>
      </c>
      <c r="AI31" s="1051" t="s">
        <v>176</v>
      </c>
      <c r="AJ31" s="1052">
        <v>592.23559614710268</v>
      </c>
      <c r="AK31" s="1051">
        <v>14801.209979342193</v>
      </c>
      <c r="AL31" s="1051">
        <v>854337.52940495266</v>
      </c>
      <c r="AM31" s="1052">
        <v>75451.635895589992</v>
      </c>
      <c r="AN31" s="1051">
        <v>37815.617446276767</v>
      </c>
      <c r="AO31" s="1051" t="s">
        <v>175</v>
      </c>
      <c r="AP31" s="1052" t="s">
        <v>175</v>
      </c>
      <c r="AQ31" s="1051">
        <v>2338.0227676172349</v>
      </c>
      <c r="AR31" s="1051" t="s">
        <v>175</v>
      </c>
      <c r="AS31" s="1052">
        <v>16013185.586246293</v>
      </c>
      <c r="AT31" s="1051" t="s">
        <v>175</v>
      </c>
      <c r="AU31" s="1051" t="s">
        <v>176</v>
      </c>
      <c r="AV31" s="1052" t="s">
        <v>177</v>
      </c>
      <c r="AW31" s="1051">
        <v>76625.640066178064</v>
      </c>
      <c r="AX31" s="1051">
        <v>2228483.5187383043</v>
      </c>
      <c r="AY31" s="1053" t="s">
        <v>175</v>
      </c>
      <c r="AZ31" s="1051" t="s">
        <v>175</v>
      </c>
      <c r="BA31" s="1051" t="s">
        <v>175</v>
      </c>
      <c r="BB31" s="1053" t="s">
        <v>175</v>
      </c>
      <c r="BC31" s="1051" t="s">
        <v>175</v>
      </c>
      <c r="BD31" s="1051">
        <v>162459.47862631147</v>
      </c>
      <c r="BE31" s="1053" t="s">
        <v>175</v>
      </c>
      <c r="BF31" s="1051">
        <v>217357.21084569639</v>
      </c>
      <c r="BG31" s="1051" t="s">
        <v>175</v>
      </c>
      <c r="BH31" s="1053" t="s">
        <v>175</v>
      </c>
      <c r="BI31" s="1052" t="s">
        <v>177</v>
      </c>
      <c r="BJ31" s="1052">
        <v>172383.9346463336</v>
      </c>
      <c r="BK31" s="1052" t="s">
        <v>177</v>
      </c>
      <c r="BL31" s="1052" t="s">
        <v>177</v>
      </c>
      <c r="BM31" s="1052" t="s">
        <v>177</v>
      </c>
      <c r="BN31" s="1054" t="s">
        <v>177</v>
      </c>
      <c r="BO31" s="1076" t="str">
        <f>H31</f>
        <v>New York City_2014</v>
      </c>
      <c r="BP31" s="1051">
        <v>51310978.49041456</v>
      </c>
      <c r="BQ31" s="1052">
        <v>67572591.88279894</v>
      </c>
      <c r="BR31" s="1054">
        <v>67572591.882798925</v>
      </c>
      <c r="BS31" s="1053">
        <v>43927815.240919389</v>
      </c>
      <c r="BT31" s="1051">
        <v>36807004.626226932</v>
      </c>
      <c r="BU31" s="1051">
        <v>11819048.01591114</v>
      </c>
      <c r="BV31" s="1051">
        <v>2684925.8482764899</v>
      </c>
      <c r="BW31" s="1052">
        <v>36807004.626226932</v>
      </c>
      <c r="BX31" s="1052">
        <v>27908277.47364917</v>
      </c>
      <c r="BY31" s="1052">
        <v>2684925.8482764899</v>
      </c>
      <c r="BZ31" s="1052">
        <v>172383.9346463336</v>
      </c>
      <c r="CA31" s="1052" t="s">
        <v>1637</v>
      </c>
      <c r="CB31" s="1053">
        <v>20995618.608721759</v>
      </c>
      <c r="CC31" s="1053">
        <v>11501119.360133234</v>
      </c>
      <c r="CD31" s="1053">
        <v>10964710.486506186</v>
      </c>
      <c r="CE31" s="1053">
        <v>293982.85091187444</v>
      </c>
      <c r="CF31" s="1053" t="s">
        <v>1637</v>
      </c>
      <c r="CG31" s="1053">
        <v>172383.9346463336</v>
      </c>
      <c r="CH31" s="1053" t="s">
        <v>1637</v>
      </c>
      <c r="CI31" s="1051">
        <v>17421643.305516317</v>
      </c>
      <c r="CJ31" s="1051">
        <v>14695393.227615654</v>
      </c>
      <c r="CK31" s="1051">
        <v>4469108.6214139005</v>
      </c>
      <c r="CL31" s="1051" t="s">
        <v>1637</v>
      </c>
      <c r="CM31" s="1051" t="s">
        <v>1637</v>
      </c>
      <c r="CN31" s="1051" t="s">
        <v>1637</v>
      </c>
      <c r="CO31" s="1051" t="s">
        <v>1637</v>
      </c>
      <c r="CP31" s="1051">
        <v>220859.4716810603</v>
      </c>
      <c r="CQ31" s="1051">
        <v>10909755.63631295</v>
      </c>
      <c r="CR31" s="1051">
        <v>869138.73938429484</v>
      </c>
      <c r="CS31" s="1051">
        <v>37815.617446276767</v>
      </c>
      <c r="CT31" s="1051">
        <v>2338.0227676172349</v>
      </c>
      <c r="CU31" s="1051" t="s">
        <v>1637</v>
      </c>
      <c r="CV31" s="1051">
        <v>2305109.1588044823</v>
      </c>
      <c r="CW31" s="1051" t="s">
        <v>1637</v>
      </c>
      <c r="CX31" s="1051">
        <v>162459.47862631147</v>
      </c>
      <c r="CY31" s="1051">
        <v>217357.21084569639</v>
      </c>
      <c r="CZ31" s="1118">
        <v>17421643.305516317</v>
      </c>
      <c r="DA31" s="1118">
        <v>14695393.227615654</v>
      </c>
      <c r="DB31" s="1118">
        <v>4469108.6214139005</v>
      </c>
      <c r="DC31" s="1118" t="s">
        <v>1637</v>
      </c>
      <c r="DD31" s="1118" t="s">
        <v>1637</v>
      </c>
      <c r="DE31" s="1118" t="s">
        <v>1637</v>
      </c>
      <c r="DF31" s="1118" t="s">
        <v>1637</v>
      </c>
      <c r="DG31" s="1118">
        <v>220859.4716810603</v>
      </c>
      <c r="DH31" s="1118">
        <v>10910347.871909097</v>
      </c>
      <c r="DI31" s="1118">
        <v>944590.37527988479</v>
      </c>
      <c r="DJ31" s="1118">
        <v>37815.617446276767</v>
      </c>
      <c r="DK31" s="1118">
        <v>16015523.609013909</v>
      </c>
      <c r="DL31" s="1118" t="s">
        <v>1637</v>
      </c>
      <c r="DM31" s="1118">
        <v>2305109.1588044823</v>
      </c>
      <c r="DN31" s="1118" t="s">
        <v>1637</v>
      </c>
      <c r="DO31" s="1118">
        <v>162459.47862631147</v>
      </c>
      <c r="DP31" s="1118">
        <v>217357.21084569639</v>
      </c>
      <c r="DQ31" s="1118" t="s">
        <v>1637</v>
      </c>
      <c r="DR31" s="1118">
        <v>172383.9346463336</v>
      </c>
      <c r="DS31" s="1118" t="s">
        <v>1637</v>
      </c>
      <c r="DT31" s="1118" t="s">
        <v>1637</v>
      </c>
      <c r="DU31" s="1118" t="s">
        <v>1637</v>
      </c>
      <c r="DV31" s="1119" t="s">
        <v>1637</v>
      </c>
      <c r="DW31" s="1120">
        <v>12473016.674175525</v>
      </c>
      <c r="DX31" s="1120">
        <v>6726920.5643910356</v>
      </c>
      <c r="DY31" s="1120">
        <v>1574821.8984741361</v>
      </c>
      <c r="DZ31" s="1120" t="s">
        <v>1637</v>
      </c>
      <c r="EA31" s="1120">
        <v>11501119.360133234</v>
      </c>
      <c r="EB31" s="1120" t="s">
        <v>1637</v>
      </c>
      <c r="EC31" s="1120" t="s">
        <v>1637</v>
      </c>
      <c r="ED31" s="1120" t="s">
        <v>1637</v>
      </c>
      <c r="EE31" s="1120">
        <v>220859.4716810603</v>
      </c>
      <c r="EF31" s="1120">
        <v>10909755.63631295</v>
      </c>
      <c r="EG31" s="1120">
        <v>14801.209979342193</v>
      </c>
      <c r="EH31" s="1120">
        <v>37815.617446276767</v>
      </c>
      <c r="EI31" s="1120">
        <v>2338.0227676172349</v>
      </c>
      <c r="EJ31" s="1120" t="s">
        <v>1637</v>
      </c>
      <c r="EK31" s="1120">
        <v>76625.640066178064</v>
      </c>
      <c r="EL31" s="1120" t="s">
        <v>1637</v>
      </c>
      <c r="EM31" s="1120" t="s">
        <v>1637</v>
      </c>
      <c r="EN31" s="1120">
        <v>217357.21084569639</v>
      </c>
      <c r="EO31" s="1120" t="s">
        <v>1637</v>
      </c>
      <c r="EP31" s="1120">
        <v>172383.9346463336</v>
      </c>
      <c r="EQ31" s="1120" t="s">
        <v>1637</v>
      </c>
      <c r="ER31" s="1120" t="s">
        <v>1637</v>
      </c>
      <c r="ES31" s="1120" t="s">
        <v>1637</v>
      </c>
    </row>
    <row r="32" spans="1:149" s="1121" customFormat="1" ht="15" customHeight="1">
      <c r="A32" s="1799">
        <v>17</v>
      </c>
      <c r="B32" s="1055" t="s">
        <v>1745</v>
      </c>
      <c r="C32" s="1055" t="s">
        <v>1356</v>
      </c>
      <c r="D32" s="1055" t="s">
        <v>1134</v>
      </c>
      <c r="E32" s="1055" t="s">
        <v>687</v>
      </c>
      <c r="F32" s="1049">
        <v>2013</v>
      </c>
      <c r="G32" s="1457" t="str">
        <f t="shared" si="7"/>
        <v>2013</v>
      </c>
      <c r="H32" s="1117" t="str">
        <f t="shared" si="5"/>
        <v>Oslo_2013</v>
      </c>
      <c r="I32" s="1049" t="s">
        <v>172</v>
      </c>
      <c r="J32" s="1049">
        <v>623966</v>
      </c>
      <c r="K32" s="1049">
        <v>454</v>
      </c>
      <c r="L32" s="1043">
        <v>54510377469</v>
      </c>
      <c r="M32" s="1051">
        <v>238000.00048000002</v>
      </c>
      <c r="N32" s="1051">
        <v>84242.568383999998</v>
      </c>
      <c r="O32" s="1052" t="s">
        <v>177</v>
      </c>
      <c r="P32" s="1051" t="s">
        <v>176</v>
      </c>
      <c r="Q32" s="1051">
        <v>161757.43165399999</v>
      </c>
      <c r="R32" s="1052" t="s">
        <v>177</v>
      </c>
      <c r="S32" s="1051">
        <v>23999.998960000001</v>
      </c>
      <c r="T32" s="1051">
        <v>0</v>
      </c>
      <c r="U32" s="1052" t="s">
        <v>177</v>
      </c>
      <c r="V32" s="1051" t="s">
        <v>175</v>
      </c>
      <c r="W32" s="1051">
        <v>0</v>
      </c>
      <c r="X32" s="1052" t="s">
        <v>177</v>
      </c>
      <c r="Y32" s="1053">
        <v>245008.4995495991</v>
      </c>
      <c r="Z32" s="1051" t="s">
        <v>176</v>
      </c>
      <c r="AA32" s="1051">
        <v>0</v>
      </c>
      <c r="AB32" s="1052" t="s">
        <v>177</v>
      </c>
      <c r="AC32" s="1051" t="s">
        <v>175</v>
      </c>
      <c r="AD32" s="1051" t="s">
        <v>175</v>
      </c>
      <c r="AE32" s="1052" t="s">
        <v>177</v>
      </c>
      <c r="AF32" s="1051" t="s">
        <v>175</v>
      </c>
      <c r="AG32" s="1051" t="s">
        <v>175</v>
      </c>
      <c r="AH32" s="1051">
        <v>498000</v>
      </c>
      <c r="AI32" s="1051" t="s">
        <v>176</v>
      </c>
      <c r="AJ32" s="1052" t="s">
        <v>177</v>
      </c>
      <c r="AK32" s="1051" t="s">
        <v>175</v>
      </c>
      <c r="AL32" s="1051">
        <v>0</v>
      </c>
      <c r="AM32" s="1052" t="s">
        <v>177</v>
      </c>
      <c r="AN32" s="1051">
        <v>34992.997379</v>
      </c>
      <c r="AO32" s="1051">
        <v>0</v>
      </c>
      <c r="AP32" s="1052" t="s">
        <v>177</v>
      </c>
      <c r="AQ32" s="1051" t="s">
        <v>175</v>
      </c>
      <c r="AR32" s="1051" t="s">
        <v>175</v>
      </c>
      <c r="AS32" s="1052" t="s">
        <v>177</v>
      </c>
      <c r="AT32" s="1051">
        <v>244999.99982600001</v>
      </c>
      <c r="AU32" s="1051" t="s">
        <v>175</v>
      </c>
      <c r="AV32" s="1052" t="s">
        <v>177</v>
      </c>
      <c r="AW32" s="1051">
        <v>16000</v>
      </c>
      <c r="AX32" s="1051" t="s">
        <v>175</v>
      </c>
      <c r="AY32" s="1053" t="s">
        <v>175</v>
      </c>
      <c r="AZ32" s="1051">
        <v>9429.3119999999999</v>
      </c>
      <c r="BA32" s="1051" t="s">
        <v>176</v>
      </c>
      <c r="BB32" s="1053" t="s">
        <v>175</v>
      </c>
      <c r="BC32" s="1051" t="s">
        <v>176</v>
      </c>
      <c r="BD32" s="1051" t="s">
        <v>175</v>
      </c>
      <c r="BE32" s="1053" t="s">
        <v>176</v>
      </c>
      <c r="BF32" s="1051">
        <v>29000</v>
      </c>
      <c r="BG32" s="1051" t="s">
        <v>176</v>
      </c>
      <c r="BH32" s="1053" t="s">
        <v>175</v>
      </c>
      <c r="BI32" s="1052" t="s">
        <v>177</v>
      </c>
      <c r="BJ32" s="1052" t="s">
        <v>177</v>
      </c>
      <c r="BK32" s="1052" t="s">
        <v>177</v>
      </c>
      <c r="BL32" s="1052" t="s">
        <v>177</v>
      </c>
      <c r="BM32" s="1052" t="s">
        <v>177</v>
      </c>
      <c r="BN32" s="1054">
        <v>65000</v>
      </c>
      <c r="BO32" s="1076" t="str">
        <f t="shared" si="6"/>
        <v>Oslo_2013</v>
      </c>
      <c r="BP32" s="1051">
        <v>1340422.3086829998</v>
      </c>
      <c r="BQ32" s="1052">
        <v>1340422.3086829998</v>
      </c>
      <c r="BR32" s="1054">
        <v>1405422.3086829998</v>
      </c>
      <c r="BS32" s="1053">
        <v>1339430.8081945989</v>
      </c>
      <c r="BT32" s="1051">
        <v>507999.99947799998</v>
      </c>
      <c r="BU32" s="1051">
        <v>777992.99720499991</v>
      </c>
      <c r="BV32" s="1051">
        <v>54429.311999999998</v>
      </c>
      <c r="BW32" s="1052">
        <v>507999.99947799998</v>
      </c>
      <c r="BX32" s="1052">
        <v>777992.99720499991</v>
      </c>
      <c r="BY32" s="1052">
        <v>54429.311999999998</v>
      </c>
      <c r="BZ32" s="1052" t="s">
        <v>1637</v>
      </c>
      <c r="CA32" s="1052" t="s">
        <v>1637</v>
      </c>
      <c r="CB32" s="1053">
        <v>261999.99944000001</v>
      </c>
      <c r="CC32" s="1053">
        <v>245008.4995495991</v>
      </c>
      <c r="CD32" s="1053">
        <v>777992.99720499991</v>
      </c>
      <c r="CE32" s="1053">
        <v>54429.311999999998</v>
      </c>
      <c r="CF32" s="1053" t="s">
        <v>1637</v>
      </c>
      <c r="CG32" s="1053" t="s">
        <v>1637</v>
      </c>
      <c r="CH32" s="1053" t="s">
        <v>1637</v>
      </c>
      <c r="CI32" s="1051">
        <v>322242.56886400003</v>
      </c>
      <c r="CJ32" s="1051">
        <v>161757.43165399999</v>
      </c>
      <c r="CK32" s="1051">
        <v>23999.998960000001</v>
      </c>
      <c r="CL32" s="1051" t="s">
        <v>1637</v>
      </c>
      <c r="CM32" s="1051" t="s">
        <v>1637</v>
      </c>
      <c r="CN32" s="1051" t="s">
        <v>1637</v>
      </c>
      <c r="CO32" s="1051" t="s">
        <v>1637</v>
      </c>
      <c r="CP32" s="1051" t="s">
        <v>1637</v>
      </c>
      <c r="CQ32" s="1051">
        <v>498000</v>
      </c>
      <c r="CR32" s="1051" t="s">
        <v>1637</v>
      </c>
      <c r="CS32" s="1051">
        <v>34992.997379</v>
      </c>
      <c r="CT32" s="1051" t="s">
        <v>1637</v>
      </c>
      <c r="CU32" s="1051">
        <v>244999.99982600001</v>
      </c>
      <c r="CV32" s="1051">
        <v>16000</v>
      </c>
      <c r="CW32" s="1051">
        <v>9429.3119999999999</v>
      </c>
      <c r="CX32" s="1051" t="s">
        <v>1637</v>
      </c>
      <c r="CY32" s="1051">
        <v>29000</v>
      </c>
      <c r="CZ32" s="1118">
        <v>322242.56886400003</v>
      </c>
      <c r="DA32" s="1118">
        <v>161757.43165399999</v>
      </c>
      <c r="DB32" s="1118">
        <v>23999.998960000001</v>
      </c>
      <c r="DC32" s="1118" t="s">
        <v>1637</v>
      </c>
      <c r="DD32" s="1118" t="s">
        <v>1637</v>
      </c>
      <c r="DE32" s="1118" t="s">
        <v>1637</v>
      </c>
      <c r="DF32" s="1118" t="s">
        <v>1637</v>
      </c>
      <c r="DG32" s="1118" t="s">
        <v>1637</v>
      </c>
      <c r="DH32" s="1118">
        <v>498000</v>
      </c>
      <c r="DI32" s="1118" t="s">
        <v>1637</v>
      </c>
      <c r="DJ32" s="1118">
        <v>34992.997379</v>
      </c>
      <c r="DK32" s="1118" t="s">
        <v>1637</v>
      </c>
      <c r="DL32" s="1118">
        <v>244999.99982600001</v>
      </c>
      <c r="DM32" s="1118">
        <v>16000</v>
      </c>
      <c r="DN32" s="1118">
        <v>9429.3119999999999</v>
      </c>
      <c r="DO32" s="1118" t="s">
        <v>1637</v>
      </c>
      <c r="DP32" s="1118">
        <v>29000</v>
      </c>
      <c r="DQ32" s="1118" t="s">
        <v>1637</v>
      </c>
      <c r="DR32" s="1118" t="s">
        <v>1637</v>
      </c>
      <c r="DS32" s="1118" t="s">
        <v>1637</v>
      </c>
      <c r="DT32" s="1118" t="s">
        <v>1637</v>
      </c>
      <c r="DU32" s="1118" t="s">
        <v>1637</v>
      </c>
      <c r="DV32" s="1119">
        <v>65000</v>
      </c>
      <c r="DW32" s="1120">
        <v>238000.00048000002</v>
      </c>
      <c r="DX32" s="1120" t="s">
        <v>1637</v>
      </c>
      <c r="DY32" s="1120">
        <v>23999.998960000001</v>
      </c>
      <c r="DZ32" s="1120" t="s">
        <v>1637</v>
      </c>
      <c r="EA32" s="1120">
        <v>245008.4995495991</v>
      </c>
      <c r="EB32" s="1120" t="s">
        <v>1637</v>
      </c>
      <c r="EC32" s="1120" t="s">
        <v>1637</v>
      </c>
      <c r="ED32" s="1120" t="s">
        <v>1637</v>
      </c>
      <c r="EE32" s="1120" t="s">
        <v>1637</v>
      </c>
      <c r="EF32" s="1120">
        <v>498000</v>
      </c>
      <c r="EG32" s="1120" t="s">
        <v>1637</v>
      </c>
      <c r="EH32" s="1120">
        <v>34992.997379</v>
      </c>
      <c r="EI32" s="1120" t="s">
        <v>1637</v>
      </c>
      <c r="EJ32" s="1120">
        <v>244999.99982600001</v>
      </c>
      <c r="EK32" s="1120">
        <v>16000</v>
      </c>
      <c r="EL32" s="1120">
        <v>9429.3119999999999</v>
      </c>
      <c r="EM32" s="1120" t="s">
        <v>1637</v>
      </c>
      <c r="EN32" s="1120">
        <v>29000</v>
      </c>
      <c r="EO32" s="1120" t="s">
        <v>1637</v>
      </c>
      <c r="EP32" s="1120" t="s">
        <v>1637</v>
      </c>
      <c r="EQ32" s="1120" t="s">
        <v>1637</v>
      </c>
      <c r="ER32" s="1120" t="s">
        <v>1637</v>
      </c>
      <c r="ES32" s="1120" t="s">
        <v>1637</v>
      </c>
    </row>
    <row r="33" spans="1:150" s="34" customFormat="1" ht="15" customHeight="1">
      <c r="A33" s="1799">
        <v>18</v>
      </c>
      <c r="B33" s="1041" t="s">
        <v>1735</v>
      </c>
      <c r="C33" s="1048" t="s">
        <v>1139</v>
      </c>
      <c r="D33" s="1048" t="s">
        <v>1134</v>
      </c>
      <c r="E33" s="1048" t="s">
        <v>687</v>
      </c>
      <c r="F33" s="1049">
        <v>2009</v>
      </c>
      <c r="G33" s="1457" t="str">
        <f t="shared" si="7"/>
        <v>2009</v>
      </c>
      <c r="H33" s="1117" t="str">
        <f t="shared" si="5"/>
        <v>Paris_2009</v>
      </c>
      <c r="I33" s="1049" t="s">
        <v>172</v>
      </c>
      <c r="J33" s="1050">
        <v>2270000</v>
      </c>
      <c r="K33" s="1050">
        <v>105</v>
      </c>
      <c r="L33" s="1043">
        <v>715000000000</v>
      </c>
      <c r="M33" s="1051">
        <v>1512901.7666666664</v>
      </c>
      <c r="N33" s="1051">
        <v>780120.00000000047</v>
      </c>
      <c r="O33" s="1052">
        <v>327450.13549472787</v>
      </c>
      <c r="P33" s="1051">
        <v>1340493.3999999994</v>
      </c>
      <c r="Q33" s="1051">
        <v>1050890.0000000007</v>
      </c>
      <c r="R33" s="1052">
        <v>294228.6652072802</v>
      </c>
      <c r="S33" s="1051" t="s">
        <v>175</v>
      </c>
      <c r="T33" s="1051" t="s">
        <v>175</v>
      </c>
      <c r="U33" s="1052" t="s">
        <v>175</v>
      </c>
      <c r="V33" s="1051" t="s">
        <v>175</v>
      </c>
      <c r="W33" s="1051" t="s">
        <v>175</v>
      </c>
      <c r="X33" s="1052" t="s">
        <v>175</v>
      </c>
      <c r="Y33" s="1053">
        <v>163579.88297318117</v>
      </c>
      <c r="Z33" s="1051" t="s">
        <v>175</v>
      </c>
      <c r="AA33" s="1051" t="s">
        <v>175</v>
      </c>
      <c r="AB33" s="1052" t="s">
        <v>175</v>
      </c>
      <c r="AC33" s="1051" t="s">
        <v>175</v>
      </c>
      <c r="AD33" s="1051" t="s">
        <v>175</v>
      </c>
      <c r="AE33" s="1052" t="s">
        <v>175</v>
      </c>
      <c r="AF33" s="1051" t="s">
        <v>175</v>
      </c>
      <c r="AG33" s="1051" t="s">
        <v>176</v>
      </c>
      <c r="AH33" s="1051">
        <v>805135.99930866656</v>
      </c>
      <c r="AI33" s="1051" t="s">
        <v>175</v>
      </c>
      <c r="AJ33" s="1052">
        <v>1950927.8273099998</v>
      </c>
      <c r="AK33" s="1051">
        <v>77760.099999999991</v>
      </c>
      <c r="AL33" s="1051">
        <v>150421.03333333315</v>
      </c>
      <c r="AM33" s="1052">
        <v>104.5</v>
      </c>
      <c r="AN33" s="1051" t="s">
        <v>175</v>
      </c>
      <c r="AO33" s="1051" t="s">
        <v>175</v>
      </c>
      <c r="AP33" s="1052">
        <v>10152.317712544978</v>
      </c>
      <c r="AQ33" s="1051">
        <v>4949.1200000000008</v>
      </c>
      <c r="AR33" s="1051" t="s">
        <v>175</v>
      </c>
      <c r="AS33" s="1052">
        <v>432.58493023255818</v>
      </c>
      <c r="AT33" s="1051" t="s">
        <v>176</v>
      </c>
      <c r="AU33" s="1051" t="s">
        <v>175</v>
      </c>
      <c r="AV33" s="1052" t="s">
        <v>175</v>
      </c>
      <c r="AW33" s="1051" t="s">
        <v>175</v>
      </c>
      <c r="AX33" s="1051">
        <v>58783.274000000005</v>
      </c>
      <c r="AY33" s="1053" t="s">
        <v>175</v>
      </c>
      <c r="AZ33" s="1051" t="s">
        <v>175</v>
      </c>
      <c r="BA33" s="1051">
        <v>4425.5305919999992</v>
      </c>
      <c r="BB33" s="1053" t="s">
        <v>175</v>
      </c>
      <c r="BC33" s="1051" t="s">
        <v>175</v>
      </c>
      <c r="BD33" s="1051">
        <v>403599.50033333345</v>
      </c>
      <c r="BE33" s="1053" t="s">
        <v>175</v>
      </c>
      <c r="BF33" s="1051" t="s">
        <v>175</v>
      </c>
      <c r="BG33" s="1051">
        <v>709.0625</v>
      </c>
      <c r="BH33" s="1053" t="s">
        <v>175</v>
      </c>
      <c r="BI33" s="1052">
        <v>2233000</v>
      </c>
      <c r="BJ33" s="1052" t="s">
        <v>177</v>
      </c>
      <c r="BK33" s="1052" t="s">
        <v>175</v>
      </c>
      <c r="BL33" s="1052">
        <v>-11000</v>
      </c>
      <c r="BM33" s="1052" t="s">
        <v>175</v>
      </c>
      <c r="BN33" s="1054">
        <v>7058894.2178288614</v>
      </c>
      <c r="BO33" s="1076" t="str">
        <f t="shared" si="6"/>
        <v>Paris_2009</v>
      </c>
      <c r="BP33" s="1051">
        <v>6190188.7867339998</v>
      </c>
      <c r="BQ33" s="1052">
        <v>10995484.817388786</v>
      </c>
      <c r="BR33" s="1054">
        <v>18054379.035217647</v>
      </c>
      <c r="BS33" s="1053">
        <v>6126820.268948514</v>
      </c>
      <c r="BT33" s="1051">
        <v>4684405.166666667</v>
      </c>
      <c r="BU33" s="1051">
        <v>1038266.2526419996</v>
      </c>
      <c r="BV33" s="1051">
        <v>467517.36742533348</v>
      </c>
      <c r="BW33" s="1052">
        <v>5306083.9673686754</v>
      </c>
      <c r="BX33" s="1052">
        <v>2999883.4825947769</v>
      </c>
      <c r="BY33" s="1052">
        <v>467517.36742533348</v>
      </c>
      <c r="BZ33" s="1052">
        <v>2233000</v>
      </c>
      <c r="CA33" s="1052">
        <v>-11000</v>
      </c>
      <c r="CB33" s="1053">
        <v>2853395.166666666</v>
      </c>
      <c r="CC33" s="1053">
        <v>163579.88297318117</v>
      </c>
      <c r="CD33" s="1053">
        <v>887845.21930866654</v>
      </c>
      <c r="CE33" s="1053" t="s">
        <v>1637</v>
      </c>
      <c r="CF33" s="1053" t="s">
        <v>1637</v>
      </c>
      <c r="CG33" s="1053">
        <v>2233000</v>
      </c>
      <c r="CH33" s="1053">
        <v>-11000</v>
      </c>
      <c r="CI33" s="1123">
        <v>2293021.7666666666</v>
      </c>
      <c r="CJ33" s="1123">
        <v>2391383.4000000004</v>
      </c>
      <c r="CK33" s="1123" t="s">
        <v>1637</v>
      </c>
      <c r="CL33" s="1123" t="s">
        <v>1637</v>
      </c>
      <c r="CM33" s="1123" t="s">
        <v>1637</v>
      </c>
      <c r="CN33" s="1123" t="s">
        <v>1637</v>
      </c>
      <c r="CO33" s="1123" t="s">
        <v>1637</v>
      </c>
      <c r="CP33" s="1123" t="s">
        <v>1637</v>
      </c>
      <c r="CQ33" s="1123">
        <v>805135.99930866656</v>
      </c>
      <c r="CR33" s="1123">
        <v>228181.13333333313</v>
      </c>
      <c r="CS33" s="1123" t="s">
        <v>1637</v>
      </c>
      <c r="CT33" s="1123">
        <v>4949.1200000000008</v>
      </c>
      <c r="CU33" s="1123" t="s">
        <v>1637</v>
      </c>
      <c r="CV33" s="1123">
        <v>58783.274000000005</v>
      </c>
      <c r="CW33" s="1123">
        <v>4425.5305919999992</v>
      </c>
      <c r="CX33" s="1123">
        <v>403599.50033333345</v>
      </c>
      <c r="CY33" s="1123">
        <v>709.0625</v>
      </c>
      <c r="CZ33" s="1114">
        <v>2620471.9021613942</v>
      </c>
      <c r="DA33" s="1114">
        <v>2685612.0652072807</v>
      </c>
      <c r="DB33" s="1114" t="s">
        <v>1637</v>
      </c>
      <c r="DC33" s="1114" t="s">
        <v>1637</v>
      </c>
      <c r="DD33" s="1114" t="s">
        <v>1637</v>
      </c>
      <c r="DE33" s="1114" t="s">
        <v>1637</v>
      </c>
      <c r="DF33" s="1114" t="s">
        <v>1637</v>
      </c>
      <c r="DG33" s="1114" t="s">
        <v>1637</v>
      </c>
      <c r="DH33" s="1114">
        <v>2756063.8266186663</v>
      </c>
      <c r="DI33" s="1114">
        <v>228285.63333333313</v>
      </c>
      <c r="DJ33" s="1114">
        <v>10152.317712544978</v>
      </c>
      <c r="DK33" s="1114">
        <v>5381.7049302325586</v>
      </c>
      <c r="DL33" s="1114" t="s">
        <v>1637</v>
      </c>
      <c r="DM33" s="1114">
        <v>58783.274000000005</v>
      </c>
      <c r="DN33" s="1114">
        <v>4425.5305919999992</v>
      </c>
      <c r="DO33" s="1114">
        <v>403599.50033333345</v>
      </c>
      <c r="DP33" s="1114">
        <v>709.0625</v>
      </c>
      <c r="DQ33" s="1114">
        <v>2233000</v>
      </c>
      <c r="DR33" s="1114" t="s">
        <v>1637</v>
      </c>
      <c r="DS33" s="1114" t="s">
        <v>1637</v>
      </c>
      <c r="DT33" s="1114">
        <v>-11000</v>
      </c>
      <c r="DU33" s="1114" t="s">
        <v>1637</v>
      </c>
      <c r="DV33" s="1115">
        <v>7058894.2178288614</v>
      </c>
      <c r="DW33" s="1116">
        <v>1512901.7666666664</v>
      </c>
      <c r="DX33" s="1116">
        <v>1340493.3999999994</v>
      </c>
      <c r="DY33" s="1116" t="s">
        <v>1637</v>
      </c>
      <c r="DZ33" s="1116" t="s">
        <v>1637</v>
      </c>
      <c r="EA33" s="1116">
        <v>163579.88297318117</v>
      </c>
      <c r="EB33" s="1116" t="s">
        <v>1637</v>
      </c>
      <c r="EC33" s="1116" t="s">
        <v>1637</v>
      </c>
      <c r="ED33" s="1116" t="s">
        <v>1637</v>
      </c>
      <c r="EE33" s="1116" t="s">
        <v>1637</v>
      </c>
      <c r="EF33" s="1116">
        <v>805135.99930866656</v>
      </c>
      <c r="EG33" s="1116">
        <v>77760.099999999991</v>
      </c>
      <c r="EH33" s="1116" t="s">
        <v>1637</v>
      </c>
      <c r="EI33" s="1116">
        <v>4949.1200000000008</v>
      </c>
      <c r="EJ33" s="1116" t="s">
        <v>1637</v>
      </c>
      <c r="EK33" s="1116" t="s">
        <v>1637</v>
      </c>
      <c r="EL33" s="1116" t="s">
        <v>1637</v>
      </c>
      <c r="EM33" s="1116" t="s">
        <v>1637</v>
      </c>
      <c r="EN33" s="1116" t="s">
        <v>1637</v>
      </c>
      <c r="EO33" s="1116">
        <v>2233000</v>
      </c>
      <c r="EP33" s="1116" t="s">
        <v>1637</v>
      </c>
      <c r="EQ33" s="1116" t="s">
        <v>1637</v>
      </c>
      <c r="ER33" s="1116">
        <v>-11000</v>
      </c>
      <c r="ES33" s="1116" t="s">
        <v>1637</v>
      </c>
    </row>
    <row r="34" spans="1:150" s="1039" customFormat="1" ht="15" customHeight="1">
      <c r="A34" s="1799">
        <v>19</v>
      </c>
      <c r="B34" s="1055" t="s">
        <v>1738</v>
      </c>
      <c r="C34" s="1055" t="s">
        <v>1737</v>
      </c>
      <c r="D34" s="1048" t="s">
        <v>1141</v>
      </c>
      <c r="E34" s="1055" t="s">
        <v>687</v>
      </c>
      <c r="F34" s="1049">
        <v>2012</v>
      </c>
      <c r="G34" s="1457" t="str">
        <f t="shared" si="7"/>
        <v>2012</v>
      </c>
      <c r="H34" s="1117" t="str">
        <f t="shared" ref="H34:H43" si="8">IF(B34="","",IF(F34="","",CONCATENATE(B34,"_",G34)))</f>
        <v>Philadelphia_2012</v>
      </c>
      <c r="I34" s="1049" t="s">
        <v>172</v>
      </c>
      <c r="J34" s="1049">
        <v>1547607</v>
      </c>
      <c r="K34" s="1049">
        <v>347.31741</v>
      </c>
      <c r="L34" s="1043">
        <v>367916000000</v>
      </c>
      <c r="M34" s="1051">
        <v>1923615.8201678949</v>
      </c>
      <c r="N34" s="1051">
        <v>1765192.6269305907</v>
      </c>
      <c r="O34" s="1052" t="s">
        <v>177</v>
      </c>
      <c r="P34" s="1051">
        <v>2153170.932409496</v>
      </c>
      <c r="Q34" s="1051">
        <v>4451926.4292392386</v>
      </c>
      <c r="R34" s="1052" t="s">
        <v>177</v>
      </c>
      <c r="S34" s="1051">
        <v>2711505</v>
      </c>
      <c r="T34" s="1051" t="s">
        <v>176</v>
      </c>
      <c r="U34" s="1052" t="s">
        <v>177</v>
      </c>
      <c r="V34" s="1051" t="s">
        <v>176</v>
      </c>
      <c r="W34" s="1051" t="s">
        <v>176</v>
      </c>
      <c r="X34" s="1052" t="s">
        <v>177</v>
      </c>
      <c r="Y34" s="1053">
        <v>695301.23</v>
      </c>
      <c r="Z34" s="1051" t="s">
        <v>175</v>
      </c>
      <c r="AA34" s="1051" t="s">
        <v>175</v>
      </c>
      <c r="AB34" s="1052" t="s">
        <v>175</v>
      </c>
      <c r="AC34" s="1051" t="s">
        <v>175</v>
      </c>
      <c r="AD34" s="1051" t="s">
        <v>175</v>
      </c>
      <c r="AE34" s="1052" t="s">
        <v>175</v>
      </c>
      <c r="AF34" s="1051" t="s">
        <v>175</v>
      </c>
      <c r="AG34" s="1051">
        <v>487098</v>
      </c>
      <c r="AH34" s="1051">
        <v>2966057.44</v>
      </c>
      <c r="AI34" s="1051" t="s">
        <v>176</v>
      </c>
      <c r="AJ34" s="1052" t="s">
        <v>177</v>
      </c>
      <c r="AK34" s="1051" t="s">
        <v>175</v>
      </c>
      <c r="AL34" s="1051">
        <v>328280.05796384555</v>
      </c>
      <c r="AM34" s="1052" t="s">
        <v>177</v>
      </c>
      <c r="AN34" s="1051" t="s">
        <v>175</v>
      </c>
      <c r="AO34" s="1051" t="s">
        <v>175</v>
      </c>
      <c r="AP34" s="1052" t="s">
        <v>175</v>
      </c>
      <c r="AQ34" s="1051" t="s">
        <v>175</v>
      </c>
      <c r="AR34" s="1051" t="s">
        <v>175</v>
      </c>
      <c r="AS34" s="1052" t="s">
        <v>177</v>
      </c>
      <c r="AT34" s="1051" t="s">
        <v>176</v>
      </c>
      <c r="AU34" s="1051" t="s">
        <v>176</v>
      </c>
      <c r="AV34" s="1052" t="s">
        <v>175</v>
      </c>
      <c r="AW34" s="1051" t="s">
        <v>175</v>
      </c>
      <c r="AX34" s="1051">
        <v>1454390.9211399693</v>
      </c>
      <c r="AY34" s="1053" t="s">
        <v>175</v>
      </c>
      <c r="AZ34" s="1051" t="s">
        <v>175</v>
      </c>
      <c r="BA34" s="1051" t="s">
        <v>175</v>
      </c>
      <c r="BB34" s="1046" t="s">
        <v>175</v>
      </c>
      <c r="BC34" s="1051" t="s">
        <v>175</v>
      </c>
      <c r="BD34" s="1051">
        <v>216697.97588422181</v>
      </c>
      <c r="BE34" s="1046" t="s">
        <v>175</v>
      </c>
      <c r="BF34" s="1051">
        <v>29977</v>
      </c>
      <c r="BG34" s="1051" t="s">
        <v>175</v>
      </c>
      <c r="BH34" s="1046" t="s">
        <v>175</v>
      </c>
      <c r="BI34" s="1052">
        <v>1596444</v>
      </c>
      <c r="BJ34" s="1052">
        <v>10873</v>
      </c>
      <c r="BK34" s="1052" t="s">
        <v>177</v>
      </c>
      <c r="BL34" s="1052" t="s">
        <v>177</v>
      </c>
      <c r="BM34" s="1052" t="s">
        <v>177</v>
      </c>
      <c r="BN34" s="1054" t="s">
        <v>177</v>
      </c>
      <c r="BO34" s="1076" t="str">
        <f t="shared" ref="BO34:BO43" si="9">H34</f>
        <v>Philadelphia_2012</v>
      </c>
      <c r="BP34" s="1051">
        <v>18487912.203735258</v>
      </c>
      <c r="BQ34" s="1052">
        <v>20095229.203735258</v>
      </c>
      <c r="BR34" s="1054">
        <v>20095229.203735258</v>
      </c>
      <c r="BS34" s="1053">
        <v>12574042.42257739</v>
      </c>
      <c r="BT34" s="1051">
        <v>13492508.808747221</v>
      </c>
      <c r="BU34" s="1051">
        <v>3294337.4979638457</v>
      </c>
      <c r="BV34" s="1051">
        <v>1701065.897024191</v>
      </c>
      <c r="BW34" s="1052">
        <v>13492508.808747221</v>
      </c>
      <c r="BX34" s="1052">
        <v>3294337.4979638457</v>
      </c>
      <c r="BY34" s="1052">
        <v>1701065.897024191</v>
      </c>
      <c r="BZ34" s="1052">
        <v>1607317</v>
      </c>
      <c r="CA34" s="1052" t="s">
        <v>1637</v>
      </c>
      <c r="CB34" s="1053">
        <v>7275389.7525773905</v>
      </c>
      <c r="CC34" s="1053">
        <v>695301.23</v>
      </c>
      <c r="CD34" s="1053">
        <v>2966057.44</v>
      </c>
      <c r="CE34" s="1053">
        <v>29977</v>
      </c>
      <c r="CF34" s="1053" t="s">
        <v>1637</v>
      </c>
      <c r="CG34" s="1053">
        <v>1607317</v>
      </c>
      <c r="CH34" s="1053" t="s">
        <v>1637</v>
      </c>
      <c r="CI34" s="1051">
        <v>3688808.4470984857</v>
      </c>
      <c r="CJ34" s="1051">
        <v>6605097.3616487347</v>
      </c>
      <c r="CK34" s="1051">
        <v>2711505</v>
      </c>
      <c r="CL34" s="1051" t="s">
        <v>1637</v>
      </c>
      <c r="CM34" s="1051" t="s">
        <v>1637</v>
      </c>
      <c r="CN34" s="1051" t="s">
        <v>1637</v>
      </c>
      <c r="CO34" s="1051" t="s">
        <v>1637</v>
      </c>
      <c r="CP34" s="1051">
        <v>487098</v>
      </c>
      <c r="CQ34" s="1051">
        <v>2966057.44</v>
      </c>
      <c r="CR34" s="1051">
        <v>328280.05796384555</v>
      </c>
      <c r="CS34" s="1051" t="s">
        <v>1637</v>
      </c>
      <c r="CT34" s="1051" t="s">
        <v>1637</v>
      </c>
      <c r="CU34" s="1051" t="s">
        <v>1637</v>
      </c>
      <c r="CV34" s="1051">
        <v>1454390.9211399693</v>
      </c>
      <c r="CW34" s="1051" t="s">
        <v>1637</v>
      </c>
      <c r="CX34" s="1051">
        <v>216697.97588422181</v>
      </c>
      <c r="CY34" s="1051">
        <v>29977</v>
      </c>
      <c r="CZ34" s="1114">
        <v>3688808.4470984857</v>
      </c>
      <c r="DA34" s="1114">
        <v>6605097.3616487347</v>
      </c>
      <c r="DB34" s="1114">
        <v>2711505</v>
      </c>
      <c r="DC34" s="1114" t="s">
        <v>1637</v>
      </c>
      <c r="DD34" s="1114" t="s">
        <v>1637</v>
      </c>
      <c r="DE34" s="1114" t="s">
        <v>1637</v>
      </c>
      <c r="DF34" s="1114" t="s">
        <v>1637</v>
      </c>
      <c r="DG34" s="1114">
        <v>487098</v>
      </c>
      <c r="DH34" s="1114">
        <v>2966057.44</v>
      </c>
      <c r="DI34" s="1114">
        <v>328280.05796384555</v>
      </c>
      <c r="DJ34" s="1114" t="s">
        <v>1637</v>
      </c>
      <c r="DK34" s="1114" t="s">
        <v>1637</v>
      </c>
      <c r="DL34" s="1114" t="s">
        <v>1637</v>
      </c>
      <c r="DM34" s="1114">
        <v>1454390.9211399693</v>
      </c>
      <c r="DN34" s="1114" t="s">
        <v>1637</v>
      </c>
      <c r="DO34" s="1114">
        <v>216697.97588422181</v>
      </c>
      <c r="DP34" s="1114">
        <v>29977</v>
      </c>
      <c r="DQ34" s="1114">
        <v>1596444</v>
      </c>
      <c r="DR34" s="1114">
        <v>10873</v>
      </c>
      <c r="DS34" s="1114" t="s">
        <v>1637</v>
      </c>
      <c r="DT34" s="1114" t="s">
        <v>1637</v>
      </c>
      <c r="DU34" s="1114" t="s">
        <v>1637</v>
      </c>
      <c r="DV34" s="1115" t="s">
        <v>1637</v>
      </c>
      <c r="DW34" s="1116">
        <v>1923615.8201678949</v>
      </c>
      <c r="DX34" s="1116">
        <v>2153170.932409496</v>
      </c>
      <c r="DY34" s="1116">
        <v>2711505</v>
      </c>
      <c r="DZ34" s="1116" t="s">
        <v>1637</v>
      </c>
      <c r="EA34" s="1116">
        <v>695301.23</v>
      </c>
      <c r="EB34" s="1116" t="s">
        <v>1637</v>
      </c>
      <c r="EC34" s="1116" t="s">
        <v>1637</v>
      </c>
      <c r="ED34" s="1116" t="s">
        <v>1637</v>
      </c>
      <c r="EE34" s="1116">
        <v>487098</v>
      </c>
      <c r="EF34" s="1116">
        <v>2966057.44</v>
      </c>
      <c r="EG34" s="1116" t="s">
        <v>1637</v>
      </c>
      <c r="EH34" s="1116" t="s">
        <v>1637</v>
      </c>
      <c r="EI34" s="1116" t="s">
        <v>1637</v>
      </c>
      <c r="EJ34" s="1116" t="s">
        <v>1637</v>
      </c>
      <c r="EK34" s="1116" t="s">
        <v>1637</v>
      </c>
      <c r="EL34" s="1116" t="s">
        <v>1637</v>
      </c>
      <c r="EM34" s="1116" t="s">
        <v>1637</v>
      </c>
      <c r="EN34" s="1116">
        <v>29977</v>
      </c>
      <c r="EO34" s="1116">
        <v>1596444</v>
      </c>
      <c r="EP34" s="1116">
        <v>10873</v>
      </c>
      <c r="EQ34" s="1116" t="s">
        <v>1637</v>
      </c>
      <c r="ER34" s="1116" t="s">
        <v>1637</v>
      </c>
      <c r="ES34" s="1116" t="s">
        <v>1637</v>
      </c>
    </row>
    <row r="35" spans="1:150" s="1121" customFormat="1" ht="15" customHeight="1">
      <c r="A35" s="1799">
        <v>20</v>
      </c>
      <c r="B35" s="1055" t="s">
        <v>1754</v>
      </c>
      <c r="C35" s="1055" t="s">
        <v>1418</v>
      </c>
      <c r="D35" s="1048" t="s">
        <v>1141</v>
      </c>
      <c r="E35" s="1055" t="s">
        <v>1755</v>
      </c>
      <c r="F35" s="1049">
        <v>2013</v>
      </c>
      <c r="G35" s="1457" t="str">
        <f t="shared" si="7"/>
        <v>2013</v>
      </c>
      <c r="H35" s="1117" t="str">
        <f t="shared" si="8"/>
        <v>Portland_2013</v>
      </c>
      <c r="I35" s="1049" t="s">
        <v>172</v>
      </c>
      <c r="J35" s="1049">
        <v>766135</v>
      </c>
      <c r="K35" s="1049">
        <v>1206.2</v>
      </c>
      <c r="L35" s="1043">
        <v>163692000000</v>
      </c>
      <c r="M35" s="1051">
        <v>625101.80135526101</v>
      </c>
      <c r="N35" s="1051">
        <v>915327.55634858948</v>
      </c>
      <c r="O35" s="1052" t="s">
        <v>177</v>
      </c>
      <c r="P35" s="1051">
        <v>480556.67304030189</v>
      </c>
      <c r="Q35" s="1051">
        <v>1403251.1809733764</v>
      </c>
      <c r="R35" s="1052" t="s">
        <v>177</v>
      </c>
      <c r="S35" s="1051">
        <v>706538.95974610059</v>
      </c>
      <c r="T35" s="1051">
        <v>623990.7739873192</v>
      </c>
      <c r="U35" s="1052" t="s">
        <v>177</v>
      </c>
      <c r="V35" s="1051" t="s">
        <v>175</v>
      </c>
      <c r="W35" s="1051" t="s">
        <v>175</v>
      </c>
      <c r="X35" s="1052" t="s">
        <v>175</v>
      </c>
      <c r="Y35" s="1053" t="s">
        <v>175</v>
      </c>
      <c r="Z35" s="1051" t="s">
        <v>175</v>
      </c>
      <c r="AA35" s="1051" t="s">
        <v>175</v>
      </c>
      <c r="AB35" s="1052" t="s">
        <v>175</v>
      </c>
      <c r="AC35" s="1051" t="s">
        <v>175</v>
      </c>
      <c r="AD35" s="1051" t="s">
        <v>175</v>
      </c>
      <c r="AE35" s="1052" t="s">
        <v>175</v>
      </c>
      <c r="AF35" s="1051" t="s">
        <v>175</v>
      </c>
      <c r="AG35" s="1051">
        <v>14778</v>
      </c>
      <c r="AH35" s="1051">
        <v>2830124.1746198987</v>
      </c>
      <c r="AI35" s="1051" t="s">
        <v>176</v>
      </c>
      <c r="AJ35" s="1052" t="s">
        <v>177</v>
      </c>
      <c r="AK35" s="1051" t="s">
        <v>175</v>
      </c>
      <c r="AL35" s="1051" t="s">
        <v>176</v>
      </c>
      <c r="AM35" s="1052" t="s">
        <v>177</v>
      </c>
      <c r="AN35" s="1051" t="s">
        <v>175</v>
      </c>
      <c r="AO35" s="1051" t="s">
        <v>175</v>
      </c>
      <c r="AP35" s="1052" t="s">
        <v>177</v>
      </c>
      <c r="AQ35" s="1051" t="s">
        <v>175</v>
      </c>
      <c r="AR35" s="1051" t="s">
        <v>175</v>
      </c>
      <c r="AS35" s="1052" t="s">
        <v>177</v>
      </c>
      <c r="AT35" s="1051" t="s">
        <v>176</v>
      </c>
      <c r="AU35" s="1051" t="s">
        <v>176</v>
      </c>
      <c r="AV35" s="1052" t="s">
        <v>177</v>
      </c>
      <c r="AW35" s="1051" t="s">
        <v>175</v>
      </c>
      <c r="AX35" s="1051">
        <v>93080</v>
      </c>
      <c r="AY35" s="1053" t="s">
        <v>175</v>
      </c>
      <c r="AZ35" s="1051" t="s">
        <v>175</v>
      </c>
      <c r="BA35" s="1051" t="s">
        <v>175</v>
      </c>
      <c r="BB35" s="1053" t="s">
        <v>175</v>
      </c>
      <c r="BC35" s="1051" t="s">
        <v>175</v>
      </c>
      <c r="BD35" s="1051" t="s">
        <v>175</v>
      </c>
      <c r="BE35" s="1053" t="s">
        <v>175</v>
      </c>
      <c r="BF35" s="1051">
        <v>17521</v>
      </c>
      <c r="BG35" s="1051" t="s">
        <v>175</v>
      </c>
      <c r="BH35" s="1053" t="s">
        <v>175</v>
      </c>
      <c r="BI35" s="1052" t="s">
        <v>177</v>
      </c>
      <c r="BJ35" s="1052" t="s">
        <v>177</v>
      </c>
      <c r="BK35" s="1052" t="s">
        <v>177</v>
      </c>
      <c r="BL35" s="1052" t="s">
        <v>177</v>
      </c>
      <c r="BM35" s="1052" t="s">
        <v>177</v>
      </c>
      <c r="BN35" s="1054" t="s">
        <v>177</v>
      </c>
      <c r="BO35" s="1076" t="str">
        <f t="shared" si="9"/>
        <v>Portland_2013</v>
      </c>
      <c r="BP35" s="1051">
        <v>7710270.1200708468</v>
      </c>
      <c r="BQ35" s="1052">
        <v>7710270.1200708468</v>
      </c>
      <c r="BR35" s="1054">
        <v>7710270.1200708468</v>
      </c>
      <c r="BS35" s="1053">
        <v>4674620.608761562</v>
      </c>
      <c r="BT35" s="1051">
        <v>4769544.9454509486</v>
      </c>
      <c r="BU35" s="1051">
        <v>2830124.1746198987</v>
      </c>
      <c r="BV35" s="1051">
        <v>110601</v>
      </c>
      <c r="BW35" s="1052">
        <v>4769544.9454509486</v>
      </c>
      <c r="BX35" s="1052">
        <v>2830124.1746198987</v>
      </c>
      <c r="BY35" s="1052">
        <v>110601</v>
      </c>
      <c r="BZ35" s="1052" t="s">
        <v>1637</v>
      </c>
      <c r="CA35" s="1052" t="s">
        <v>1637</v>
      </c>
      <c r="CB35" s="1053">
        <v>1826975.4341416634</v>
      </c>
      <c r="CC35" s="1053" t="s">
        <v>1637</v>
      </c>
      <c r="CD35" s="1053">
        <v>2830124.1746198987</v>
      </c>
      <c r="CE35" s="1053">
        <v>17521</v>
      </c>
      <c r="CF35" s="1053" t="s">
        <v>1637</v>
      </c>
      <c r="CG35" s="1053" t="s">
        <v>1637</v>
      </c>
      <c r="CH35" s="1053" t="s">
        <v>1637</v>
      </c>
      <c r="CI35" s="1051">
        <v>1540429.3577038506</v>
      </c>
      <c r="CJ35" s="1051">
        <v>1883807.8540136782</v>
      </c>
      <c r="CK35" s="1051">
        <v>1330529.7337334198</v>
      </c>
      <c r="CL35" s="1051" t="s">
        <v>1637</v>
      </c>
      <c r="CM35" s="1051" t="s">
        <v>1637</v>
      </c>
      <c r="CN35" s="1051" t="s">
        <v>1637</v>
      </c>
      <c r="CO35" s="1051" t="s">
        <v>1637</v>
      </c>
      <c r="CP35" s="1051">
        <v>14778</v>
      </c>
      <c r="CQ35" s="1051">
        <v>2830124.1746198987</v>
      </c>
      <c r="CR35" s="1051" t="s">
        <v>1637</v>
      </c>
      <c r="CS35" s="1051" t="s">
        <v>1637</v>
      </c>
      <c r="CT35" s="1051" t="s">
        <v>1637</v>
      </c>
      <c r="CU35" s="1051" t="s">
        <v>1637</v>
      </c>
      <c r="CV35" s="1051">
        <v>93080</v>
      </c>
      <c r="CW35" s="1051" t="s">
        <v>1637</v>
      </c>
      <c r="CX35" s="1051" t="s">
        <v>1637</v>
      </c>
      <c r="CY35" s="1051">
        <v>17521</v>
      </c>
      <c r="CZ35" s="1118">
        <v>1540429.3577038506</v>
      </c>
      <c r="DA35" s="1118">
        <v>1883807.8540136782</v>
      </c>
      <c r="DB35" s="1118">
        <v>1330529.7337334198</v>
      </c>
      <c r="DC35" s="1118" t="s">
        <v>1637</v>
      </c>
      <c r="DD35" s="1118" t="s">
        <v>1637</v>
      </c>
      <c r="DE35" s="1118" t="s">
        <v>1637</v>
      </c>
      <c r="DF35" s="1118" t="s">
        <v>1637</v>
      </c>
      <c r="DG35" s="1118">
        <v>14778</v>
      </c>
      <c r="DH35" s="1118">
        <v>2830124.1746198987</v>
      </c>
      <c r="DI35" s="1118" t="s">
        <v>1637</v>
      </c>
      <c r="DJ35" s="1118" t="s">
        <v>1637</v>
      </c>
      <c r="DK35" s="1118" t="s">
        <v>1637</v>
      </c>
      <c r="DL35" s="1118" t="s">
        <v>1637</v>
      </c>
      <c r="DM35" s="1118">
        <v>93080</v>
      </c>
      <c r="DN35" s="1118" t="s">
        <v>1637</v>
      </c>
      <c r="DO35" s="1118" t="s">
        <v>1637</v>
      </c>
      <c r="DP35" s="1118">
        <v>17521</v>
      </c>
      <c r="DQ35" s="1118" t="s">
        <v>1637</v>
      </c>
      <c r="DR35" s="1118" t="s">
        <v>1637</v>
      </c>
      <c r="DS35" s="1118" t="s">
        <v>1637</v>
      </c>
      <c r="DT35" s="1118" t="s">
        <v>1637</v>
      </c>
      <c r="DU35" s="1118" t="s">
        <v>1637</v>
      </c>
      <c r="DV35" s="1119" t="s">
        <v>1637</v>
      </c>
      <c r="DW35" s="1120">
        <v>625101.80135526101</v>
      </c>
      <c r="DX35" s="1120">
        <v>480556.67304030189</v>
      </c>
      <c r="DY35" s="1120">
        <v>706538.95974610059</v>
      </c>
      <c r="DZ35" s="1120" t="s">
        <v>1637</v>
      </c>
      <c r="EA35" s="1120" t="s">
        <v>1637</v>
      </c>
      <c r="EB35" s="1120" t="s">
        <v>1637</v>
      </c>
      <c r="EC35" s="1120" t="s">
        <v>1637</v>
      </c>
      <c r="ED35" s="1120" t="s">
        <v>1637</v>
      </c>
      <c r="EE35" s="1120">
        <v>14778</v>
      </c>
      <c r="EF35" s="1120">
        <v>2830124.1746198987</v>
      </c>
      <c r="EG35" s="1120" t="s">
        <v>1637</v>
      </c>
      <c r="EH35" s="1120" t="s">
        <v>1637</v>
      </c>
      <c r="EI35" s="1120" t="s">
        <v>1637</v>
      </c>
      <c r="EJ35" s="1120" t="s">
        <v>1637</v>
      </c>
      <c r="EK35" s="1120" t="s">
        <v>1637</v>
      </c>
      <c r="EL35" s="1120" t="s">
        <v>1637</v>
      </c>
      <c r="EM35" s="1120" t="s">
        <v>1637</v>
      </c>
      <c r="EN35" s="1120">
        <v>17521</v>
      </c>
      <c r="EO35" s="1120" t="s">
        <v>1637</v>
      </c>
      <c r="EP35" s="1120" t="s">
        <v>1637</v>
      </c>
      <c r="EQ35" s="1120" t="s">
        <v>1637</v>
      </c>
      <c r="ER35" s="1120" t="s">
        <v>1637</v>
      </c>
      <c r="ES35" s="1120" t="s">
        <v>1637</v>
      </c>
    </row>
    <row r="36" spans="1:150" s="34" customFormat="1" ht="15" customHeight="1">
      <c r="A36" s="1799">
        <v>21</v>
      </c>
      <c r="B36" s="1041" t="s">
        <v>1749</v>
      </c>
      <c r="C36" s="1048" t="s">
        <v>1279</v>
      </c>
      <c r="D36" s="1048" t="s">
        <v>1641</v>
      </c>
      <c r="E36" s="1048" t="s">
        <v>320</v>
      </c>
      <c r="F36" s="1049">
        <v>2011</v>
      </c>
      <c r="G36" s="1457" t="str">
        <f t="shared" si="7"/>
        <v>2011</v>
      </c>
      <c r="H36" s="1117" t="str">
        <f t="shared" si="8"/>
        <v>Quito_2011</v>
      </c>
      <c r="I36" s="1049" t="s">
        <v>172</v>
      </c>
      <c r="J36" s="1050">
        <v>1607734</v>
      </c>
      <c r="K36" s="1050">
        <v>372.39</v>
      </c>
      <c r="L36" s="1043">
        <v>16511524155.5264</v>
      </c>
      <c r="M36" s="1051">
        <v>562852.16181189939</v>
      </c>
      <c r="N36" s="1051">
        <v>233107.36994991699</v>
      </c>
      <c r="O36" s="1052" t="s">
        <v>177</v>
      </c>
      <c r="P36" s="1051" t="s">
        <v>176</v>
      </c>
      <c r="Q36" s="1051">
        <v>223380.30216740433</v>
      </c>
      <c r="R36" s="1052" t="s">
        <v>177</v>
      </c>
      <c r="S36" s="1051">
        <v>462586.51644866139</v>
      </c>
      <c r="T36" s="1051">
        <v>122779.58299214127</v>
      </c>
      <c r="U36" s="1052" t="s">
        <v>177</v>
      </c>
      <c r="V36" s="1051" t="s">
        <v>176</v>
      </c>
      <c r="W36" s="1051" t="s">
        <v>176</v>
      </c>
      <c r="X36" s="1052" t="s">
        <v>177</v>
      </c>
      <c r="Y36" s="1053">
        <v>15031.373537308731</v>
      </c>
      <c r="Z36" s="1051" t="s">
        <v>175</v>
      </c>
      <c r="AA36" s="1051" t="s">
        <v>175</v>
      </c>
      <c r="AB36" s="1052" t="s">
        <v>175</v>
      </c>
      <c r="AC36" s="1051" t="s">
        <v>175</v>
      </c>
      <c r="AD36" s="1051" t="s">
        <v>175</v>
      </c>
      <c r="AE36" s="1052" t="s">
        <v>177</v>
      </c>
      <c r="AF36" s="1051" t="s">
        <v>175</v>
      </c>
      <c r="AG36" s="1051" t="s">
        <v>175</v>
      </c>
      <c r="AH36" s="1051">
        <v>2901933.6822477826</v>
      </c>
      <c r="AI36" s="1051">
        <v>471.37279695396001</v>
      </c>
      <c r="AJ36" s="1052" t="s">
        <v>177</v>
      </c>
      <c r="AK36" s="1051" t="s">
        <v>175</v>
      </c>
      <c r="AL36" s="1051" t="s">
        <v>175</v>
      </c>
      <c r="AM36" s="1052" t="s">
        <v>177</v>
      </c>
      <c r="AN36" s="1051" t="s">
        <v>175</v>
      </c>
      <c r="AO36" s="1051" t="s">
        <v>175</v>
      </c>
      <c r="AP36" s="1052" t="s">
        <v>175</v>
      </c>
      <c r="AQ36" s="1051" t="s">
        <v>175</v>
      </c>
      <c r="AR36" s="1051" t="s">
        <v>175</v>
      </c>
      <c r="AS36" s="1052" t="s">
        <v>177</v>
      </c>
      <c r="AT36" s="1051" t="s">
        <v>176</v>
      </c>
      <c r="AU36" s="1051" t="s">
        <v>175</v>
      </c>
      <c r="AV36" s="1052" t="s">
        <v>175</v>
      </c>
      <c r="AW36" s="1051">
        <v>659092.478</v>
      </c>
      <c r="AX36" s="1051" t="s">
        <v>175</v>
      </c>
      <c r="AY36" s="1053" t="s">
        <v>175</v>
      </c>
      <c r="AZ36" s="1051" t="s">
        <v>175</v>
      </c>
      <c r="BA36" s="1051" t="s">
        <v>175</v>
      </c>
      <c r="BB36" s="1053" t="s">
        <v>175</v>
      </c>
      <c r="BC36" s="1051">
        <v>2596.4758839599999</v>
      </c>
      <c r="BD36" s="1051" t="s">
        <v>175</v>
      </c>
      <c r="BE36" s="1053" t="s">
        <v>175</v>
      </c>
      <c r="BF36" s="1051">
        <v>0</v>
      </c>
      <c r="BG36" s="1051" t="s">
        <v>175</v>
      </c>
      <c r="BH36" s="1053" t="s">
        <v>175</v>
      </c>
      <c r="BI36" s="1052" t="s">
        <v>177</v>
      </c>
      <c r="BJ36" s="1052" t="s">
        <v>177</v>
      </c>
      <c r="BK36" s="1052" t="s">
        <v>177</v>
      </c>
      <c r="BL36" s="1052" t="s">
        <v>177</v>
      </c>
      <c r="BM36" s="1052" t="s">
        <v>177</v>
      </c>
      <c r="BN36" s="1054" t="s">
        <v>177</v>
      </c>
      <c r="BO36" s="1076" t="str">
        <f t="shared" si="9"/>
        <v>Quito_2011</v>
      </c>
      <c r="BP36" s="1051">
        <v>5168799.9422987206</v>
      </c>
      <c r="BQ36" s="1052">
        <v>5168799.9422987206</v>
      </c>
      <c r="BR36" s="1054">
        <v>5168799.9422987206</v>
      </c>
      <c r="BS36" s="1053">
        <v>4604092.6879296126</v>
      </c>
      <c r="BT36" s="1051">
        <v>1604705.9333700235</v>
      </c>
      <c r="BU36" s="1051">
        <v>2902405.0550447367</v>
      </c>
      <c r="BV36" s="1051">
        <v>661688.95388396003</v>
      </c>
      <c r="BW36" s="1052">
        <v>1604705.9333700235</v>
      </c>
      <c r="BX36" s="1052">
        <v>2902405.0550447367</v>
      </c>
      <c r="BY36" s="1052">
        <v>661688.95388396003</v>
      </c>
      <c r="BZ36" s="1052" t="s">
        <v>1637</v>
      </c>
      <c r="CA36" s="1052" t="s">
        <v>1637</v>
      </c>
      <c r="CB36" s="1053">
        <v>1025438.6782605608</v>
      </c>
      <c r="CC36" s="1053">
        <v>15031.373537308731</v>
      </c>
      <c r="CD36" s="1053">
        <v>2901933.6822477826</v>
      </c>
      <c r="CE36" s="1053">
        <v>661688.95388396003</v>
      </c>
      <c r="CF36" s="1053" t="s">
        <v>1637</v>
      </c>
      <c r="CG36" s="1053" t="s">
        <v>1637</v>
      </c>
      <c r="CH36" s="1053" t="s">
        <v>1637</v>
      </c>
      <c r="CI36" s="1123">
        <v>795959.53176181635</v>
      </c>
      <c r="CJ36" s="1123">
        <v>223380.30216740433</v>
      </c>
      <c r="CK36" s="1123">
        <v>585366.0994408027</v>
      </c>
      <c r="CL36" s="1123" t="s">
        <v>1637</v>
      </c>
      <c r="CM36" s="1123" t="s">
        <v>1637</v>
      </c>
      <c r="CN36" s="1123" t="s">
        <v>1637</v>
      </c>
      <c r="CO36" s="1123" t="s">
        <v>1637</v>
      </c>
      <c r="CP36" s="1123" t="s">
        <v>1637</v>
      </c>
      <c r="CQ36" s="1123">
        <v>2902405.0550447367</v>
      </c>
      <c r="CR36" s="1123" t="s">
        <v>1637</v>
      </c>
      <c r="CS36" s="1123" t="s">
        <v>1637</v>
      </c>
      <c r="CT36" s="1123" t="s">
        <v>1637</v>
      </c>
      <c r="CU36" s="1123" t="s">
        <v>1637</v>
      </c>
      <c r="CV36" s="1123">
        <v>659092.478</v>
      </c>
      <c r="CW36" s="1123" t="s">
        <v>1637</v>
      </c>
      <c r="CX36" s="1123">
        <v>2596.4758839599999</v>
      </c>
      <c r="CY36" s="1123" t="s">
        <v>1637</v>
      </c>
      <c r="CZ36" s="1114">
        <v>795959.53176181635</v>
      </c>
      <c r="DA36" s="1114">
        <v>223380.30216740433</v>
      </c>
      <c r="DB36" s="1114">
        <v>585366.0994408027</v>
      </c>
      <c r="DC36" s="1114" t="s">
        <v>1637</v>
      </c>
      <c r="DD36" s="1114" t="s">
        <v>1637</v>
      </c>
      <c r="DE36" s="1114" t="s">
        <v>1637</v>
      </c>
      <c r="DF36" s="1114" t="s">
        <v>1637</v>
      </c>
      <c r="DG36" s="1114" t="s">
        <v>1637</v>
      </c>
      <c r="DH36" s="1114">
        <v>2902405.0550447367</v>
      </c>
      <c r="DI36" s="1114" t="s">
        <v>1637</v>
      </c>
      <c r="DJ36" s="1114" t="s">
        <v>1637</v>
      </c>
      <c r="DK36" s="1114" t="s">
        <v>1637</v>
      </c>
      <c r="DL36" s="1114" t="s">
        <v>1637</v>
      </c>
      <c r="DM36" s="1114">
        <v>659092.478</v>
      </c>
      <c r="DN36" s="1114" t="s">
        <v>1637</v>
      </c>
      <c r="DO36" s="1114">
        <v>2596.4758839599999</v>
      </c>
      <c r="DP36" s="1114" t="s">
        <v>1637</v>
      </c>
      <c r="DQ36" s="1114" t="s">
        <v>1637</v>
      </c>
      <c r="DR36" s="1114" t="s">
        <v>1637</v>
      </c>
      <c r="DS36" s="1114" t="s">
        <v>1637</v>
      </c>
      <c r="DT36" s="1114" t="s">
        <v>1637</v>
      </c>
      <c r="DU36" s="1114" t="s">
        <v>1637</v>
      </c>
      <c r="DV36" s="1115" t="s">
        <v>1637</v>
      </c>
      <c r="DW36" s="1116">
        <v>562852.16181189939</v>
      </c>
      <c r="DX36" s="1116" t="s">
        <v>1637</v>
      </c>
      <c r="DY36" s="1116">
        <v>462586.51644866139</v>
      </c>
      <c r="DZ36" s="1116" t="s">
        <v>1637</v>
      </c>
      <c r="EA36" s="1116">
        <v>15031.373537308731</v>
      </c>
      <c r="EB36" s="1116" t="s">
        <v>1637</v>
      </c>
      <c r="EC36" s="1116" t="s">
        <v>1637</v>
      </c>
      <c r="ED36" s="1116" t="s">
        <v>1637</v>
      </c>
      <c r="EE36" s="1116" t="s">
        <v>1637</v>
      </c>
      <c r="EF36" s="1116">
        <v>2901933.6822477826</v>
      </c>
      <c r="EG36" s="1116" t="s">
        <v>1637</v>
      </c>
      <c r="EH36" s="1116" t="s">
        <v>1637</v>
      </c>
      <c r="EI36" s="1116" t="s">
        <v>1637</v>
      </c>
      <c r="EJ36" s="1116" t="s">
        <v>1637</v>
      </c>
      <c r="EK36" s="1116">
        <v>659092.478</v>
      </c>
      <c r="EL36" s="1116" t="s">
        <v>1637</v>
      </c>
      <c r="EM36" s="1116">
        <v>2596.4758839599999</v>
      </c>
      <c r="EN36" s="1116" t="s">
        <v>1637</v>
      </c>
      <c r="EO36" s="1116" t="s">
        <v>1637</v>
      </c>
      <c r="EP36" s="1116" t="s">
        <v>1637</v>
      </c>
      <c r="EQ36" s="1116" t="s">
        <v>1637</v>
      </c>
      <c r="ER36" s="1116" t="s">
        <v>1637</v>
      </c>
      <c r="ES36" s="1116" t="s">
        <v>1637</v>
      </c>
    </row>
    <row r="37" spans="1:150" s="1121" customFormat="1" ht="15" customHeight="1">
      <c r="A37" s="1799">
        <v>22</v>
      </c>
      <c r="B37" s="1055" t="s">
        <v>1642</v>
      </c>
      <c r="C37" s="1055" t="s">
        <v>1145</v>
      </c>
      <c r="D37" s="1048" t="s">
        <v>1641</v>
      </c>
      <c r="E37" s="1055" t="s">
        <v>687</v>
      </c>
      <c r="F37" s="1049">
        <v>2012</v>
      </c>
      <c r="G37" s="1457" t="str">
        <f t="shared" si="7"/>
        <v>2012</v>
      </c>
      <c r="H37" s="1117" t="str">
        <f t="shared" si="8"/>
        <v>Rio de Janeiro_2012</v>
      </c>
      <c r="I37" s="1049" t="s">
        <v>172</v>
      </c>
      <c r="J37" s="1049">
        <v>6390290</v>
      </c>
      <c r="K37" s="1049">
        <v>1224.56</v>
      </c>
      <c r="L37" s="1043">
        <v>75060683634</v>
      </c>
      <c r="M37" s="1051">
        <v>619474.94239871937</v>
      </c>
      <c r="N37" s="1051">
        <v>1364648.2412052159</v>
      </c>
      <c r="O37" s="1052" t="s">
        <v>177</v>
      </c>
      <c r="P37" s="1051">
        <v>120117.16649917484</v>
      </c>
      <c r="Q37" s="1051">
        <v>2024690.3877564943</v>
      </c>
      <c r="R37" s="1052" t="s">
        <v>177</v>
      </c>
      <c r="S37" s="1051">
        <v>909588.59580063471</v>
      </c>
      <c r="T37" s="1051">
        <v>601627.26418700593</v>
      </c>
      <c r="U37" s="1052" t="s">
        <v>177</v>
      </c>
      <c r="V37" s="1051">
        <v>1353546.5242982078</v>
      </c>
      <c r="W37" s="1051" t="s">
        <v>175</v>
      </c>
      <c r="X37" s="1052" t="s">
        <v>177</v>
      </c>
      <c r="Y37" s="1053">
        <v>3251638.0102933897</v>
      </c>
      <c r="Z37" s="1051">
        <v>62.053308308700011</v>
      </c>
      <c r="AA37" s="1051">
        <v>601.32194827916567</v>
      </c>
      <c r="AB37" s="1052" t="s">
        <v>177</v>
      </c>
      <c r="AC37" s="1051">
        <v>29300.692913167924</v>
      </c>
      <c r="AD37" s="1051">
        <v>17850.596525771925</v>
      </c>
      <c r="AE37" s="1052">
        <v>1495373.8418812777</v>
      </c>
      <c r="AF37" s="1051">
        <v>921414</v>
      </c>
      <c r="AG37" s="1051">
        <v>121122.44316930753</v>
      </c>
      <c r="AH37" s="1051">
        <v>5336331.6780053079</v>
      </c>
      <c r="AI37" s="1051" t="s">
        <v>175</v>
      </c>
      <c r="AJ37" s="1052" t="s">
        <v>177</v>
      </c>
      <c r="AK37" s="1051">
        <v>3699.7513027709656</v>
      </c>
      <c r="AL37" s="1051">
        <v>87093.65962275854</v>
      </c>
      <c r="AM37" s="1052" t="s">
        <v>177</v>
      </c>
      <c r="AN37" s="1051">
        <v>9935.8456347251777</v>
      </c>
      <c r="AO37" s="1051" t="s">
        <v>175</v>
      </c>
      <c r="AP37" s="1052" t="s">
        <v>177</v>
      </c>
      <c r="AQ37" s="1051" t="s">
        <v>176</v>
      </c>
      <c r="AR37" s="1051" t="s">
        <v>175</v>
      </c>
      <c r="AS37" s="1052">
        <v>1665804.7248953958</v>
      </c>
      <c r="AT37" s="1051" t="s">
        <v>176</v>
      </c>
      <c r="AU37" s="1051" t="s">
        <v>175</v>
      </c>
      <c r="AV37" s="1052" t="s">
        <v>177</v>
      </c>
      <c r="AW37" s="1051">
        <v>462950.67</v>
      </c>
      <c r="AX37" s="1051">
        <v>1247412.4647619047</v>
      </c>
      <c r="AY37" s="1053" t="s">
        <v>175</v>
      </c>
      <c r="AZ37" s="1051">
        <v>731.53</v>
      </c>
      <c r="BA37" s="1051" t="s">
        <v>175</v>
      </c>
      <c r="BB37" s="1053" t="s">
        <v>175</v>
      </c>
      <c r="BC37" s="1051">
        <v>449.87899999999996</v>
      </c>
      <c r="BD37" s="1051" t="s">
        <v>175</v>
      </c>
      <c r="BE37" s="1053" t="s">
        <v>175</v>
      </c>
      <c r="BF37" s="1051">
        <v>624256.30000000005</v>
      </c>
      <c r="BG37" s="1051" t="s">
        <v>175</v>
      </c>
      <c r="BH37" s="1053" t="s">
        <v>175</v>
      </c>
      <c r="BI37" s="1052">
        <v>2304249.9363226704</v>
      </c>
      <c r="BJ37" s="1052">
        <v>94078.038122067665</v>
      </c>
      <c r="BK37" s="1052">
        <v>14423.946378742858</v>
      </c>
      <c r="BL37" s="1052">
        <v>-11639.27708005071</v>
      </c>
      <c r="BM37" s="1052">
        <v>5801.7343736654757</v>
      </c>
      <c r="BN37" s="1054">
        <v>1028166.6173436131</v>
      </c>
      <c r="BO37" s="1076" t="str">
        <f t="shared" si="9"/>
        <v>Rio de Janeiro_2012</v>
      </c>
      <c r="BP37" s="1051">
        <v>15856906.008337755</v>
      </c>
      <c r="BQ37" s="1052">
        <v>21424998.953231525</v>
      </c>
      <c r="BR37" s="1054">
        <v>22453165.570575137</v>
      </c>
      <c r="BS37" s="1053">
        <v>16171534.460740812</v>
      </c>
      <c r="BT37" s="1051">
        <v>8084044.2300102878</v>
      </c>
      <c r="BU37" s="1051">
        <v>5437060.9345655628</v>
      </c>
      <c r="BV37" s="1051">
        <v>2335800.8437619051</v>
      </c>
      <c r="BW37" s="1052">
        <v>9579418.0718915649</v>
      </c>
      <c r="BX37" s="1052">
        <v>7102865.6594609581</v>
      </c>
      <c r="BY37" s="1052">
        <v>2335800.8437619051</v>
      </c>
      <c r="BZ37" s="1052">
        <v>2398327.9744447381</v>
      </c>
      <c r="CA37" s="1052">
        <v>8586.4036723576246</v>
      </c>
      <c r="CB37" s="1053">
        <v>4074626.4183875211</v>
      </c>
      <c r="CC37" s="1053">
        <v>3251638.0102933897</v>
      </c>
      <c r="CD37" s="1053">
        <v>5349967.2749428041</v>
      </c>
      <c r="CE37" s="1053">
        <v>1088388.3790000002</v>
      </c>
      <c r="CF37" s="1053" t="s">
        <v>1637</v>
      </c>
      <c r="CG37" s="1053">
        <v>2398327.9744447381</v>
      </c>
      <c r="CH37" s="1053">
        <v>8586.4036723576246</v>
      </c>
      <c r="CI37" s="1051">
        <v>1984123.1836039354</v>
      </c>
      <c r="CJ37" s="1051">
        <v>2144807.554255669</v>
      </c>
      <c r="CK37" s="1051">
        <v>1511215.8599876408</v>
      </c>
      <c r="CL37" s="1051">
        <v>1353546.5242982078</v>
      </c>
      <c r="CM37" s="1051">
        <v>663.37525658786569</v>
      </c>
      <c r="CN37" s="1051">
        <v>47151.28943893985</v>
      </c>
      <c r="CO37" s="1051">
        <v>921414</v>
      </c>
      <c r="CP37" s="1051">
        <v>121122.44316930753</v>
      </c>
      <c r="CQ37" s="1051">
        <v>5336331.6780053079</v>
      </c>
      <c r="CR37" s="1051">
        <v>90793.410925529504</v>
      </c>
      <c r="CS37" s="1051">
        <v>9935.8456347251777</v>
      </c>
      <c r="CT37" s="1051" t="s">
        <v>1637</v>
      </c>
      <c r="CU37" s="1051" t="s">
        <v>1637</v>
      </c>
      <c r="CV37" s="1051">
        <v>1710363.1347619046</v>
      </c>
      <c r="CW37" s="1051">
        <v>731.53</v>
      </c>
      <c r="CX37" s="1051">
        <v>449.87899999999996</v>
      </c>
      <c r="CY37" s="1051">
        <v>624256.30000000005</v>
      </c>
      <c r="CZ37" s="1118">
        <v>1984123.1836039354</v>
      </c>
      <c r="DA37" s="1118">
        <v>2144807.554255669</v>
      </c>
      <c r="DB37" s="1118">
        <v>1511215.8599876408</v>
      </c>
      <c r="DC37" s="1118">
        <v>1353546.5242982078</v>
      </c>
      <c r="DD37" s="1118">
        <v>663.37525658786569</v>
      </c>
      <c r="DE37" s="1118">
        <v>1542525.1313202176</v>
      </c>
      <c r="DF37" s="1118">
        <v>921414</v>
      </c>
      <c r="DG37" s="1118">
        <v>121122.44316930753</v>
      </c>
      <c r="DH37" s="1118">
        <v>5336331.6780053079</v>
      </c>
      <c r="DI37" s="1118">
        <v>90793.410925529504</v>
      </c>
      <c r="DJ37" s="1118">
        <v>9935.8456347251777</v>
      </c>
      <c r="DK37" s="1118">
        <v>1665804.7248953958</v>
      </c>
      <c r="DL37" s="1118" t="s">
        <v>1637</v>
      </c>
      <c r="DM37" s="1118">
        <v>1710363.1347619046</v>
      </c>
      <c r="DN37" s="1118">
        <v>731.53</v>
      </c>
      <c r="DO37" s="1118">
        <v>449.87899999999996</v>
      </c>
      <c r="DP37" s="1118">
        <v>624256.30000000005</v>
      </c>
      <c r="DQ37" s="1118">
        <v>2304249.9363226704</v>
      </c>
      <c r="DR37" s="1118">
        <v>94078.038122067665</v>
      </c>
      <c r="DS37" s="1118">
        <v>14423.946378742858</v>
      </c>
      <c r="DT37" s="1118">
        <v>-11639.27708005071</v>
      </c>
      <c r="DU37" s="1118">
        <v>5801.7343736654757</v>
      </c>
      <c r="DV37" s="1119">
        <v>1028166.6173436131</v>
      </c>
      <c r="DW37" s="1120">
        <v>619474.94239871937</v>
      </c>
      <c r="DX37" s="1120">
        <v>120117.16649917484</v>
      </c>
      <c r="DY37" s="1120">
        <v>909588.59580063471</v>
      </c>
      <c r="DZ37" s="1120">
        <v>1353546.5242982078</v>
      </c>
      <c r="EA37" s="1120">
        <v>3251638.0102933897</v>
      </c>
      <c r="EB37" s="1120">
        <v>62.053308308700011</v>
      </c>
      <c r="EC37" s="1120">
        <v>29300.692913167924</v>
      </c>
      <c r="ED37" s="1120">
        <v>921414</v>
      </c>
      <c r="EE37" s="1120">
        <v>121122.44316930753</v>
      </c>
      <c r="EF37" s="1120">
        <v>5336331.6780053079</v>
      </c>
      <c r="EG37" s="1120">
        <v>3699.7513027709656</v>
      </c>
      <c r="EH37" s="1120">
        <v>9935.8456347251777</v>
      </c>
      <c r="EI37" s="1120" t="s">
        <v>1637</v>
      </c>
      <c r="EJ37" s="1120" t="s">
        <v>1637</v>
      </c>
      <c r="EK37" s="1120">
        <v>462950.67</v>
      </c>
      <c r="EL37" s="1120">
        <v>731.53</v>
      </c>
      <c r="EM37" s="1120">
        <v>449.87899999999996</v>
      </c>
      <c r="EN37" s="1120">
        <v>624256.30000000005</v>
      </c>
      <c r="EO37" s="1120">
        <v>2304249.9363226704</v>
      </c>
      <c r="EP37" s="1120">
        <v>94078.038122067665</v>
      </c>
      <c r="EQ37" s="1120">
        <v>14423.946378742858</v>
      </c>
      <c r="ER37" s="1120">
        <v>-11639.27708005071</v>
      </c>
      <c r="ES37" s="1120">
        <v>5801.7343736654757</v>
      </c>
    </row>
    <row r="38" spans="1:150" s="1121" customFormat="1" ht="15" customHeight="1">
      <c r="A38" s="1799">
        <v>23</v>
      </c>
      <c r="B38" s="1055" t="s">
        <v>1757</v>
      </c>
      <c r="C38" s="1055" t="s">
        <v>1737</v>
      </c>
      <c r="D38" s="1055" t="s">
        <v>1134</v>
      </c>
      <c r="E38" s="1055" t="s">
        <v>687</v>
      </c>
      <c r="F38" s="1049">
        <v>2012</v>
      </c>
      <c r="G38" s="1457" t="str">
        <f t="shared" si="7"/>
        <v>2012</v>
      </c>
      <c r="H38" s="1117" t="str">
        <f t="shared" si="8"/>
        <v>San Francisco_2012</v>
      </c>
      <c r="I38" s="1049" t="s">
        <v>172</v>
      </c>
      <c r="J38" s="1049">
        <v>827420</v>
      </c>
      <c r="K38" s="1049">
        <v>121</v>
      </c>
      <c r="L38" s="1043">
        <v>89205219000</v>
      </c>
      <c r="M38" s="1051">
        <v>767434.603626</v>
      </c>
      <c r="N38" s="1051">
        <v>283079.60335203569</v>
      </c>
      <c r="O38" s="1052">
        <v>26539.097051081186</v>
      </c>
      <c r="P38" s="1051">
        <v>684387.22342888103</v>
      </c>
      <c r="Q38" s="1051">
        <v>791168.20160823897</v>
      </c>
      <c r="R38" s="1052">
        <v>64480.793143729476</v>
      </c>
      <c r="S38" s="1051" t="s">
        <v>176</v>
      </c>
      <c r="T38" s="1051" t="s">
        <v>176</v>
      </c>
      <c r="U38" s="1052" t="s">
        <v>176</v>
      </c>
      <c r="V38" s="1051">
        <v>70.5</v>
      </c>
      <c r="W38" s="1051" t="s">
        <v>175</v>
      </c>
      <c r="X38" s="1052" t="s">
        <v>175</v>
      </c>
      <c r="Y38" s="1053">
        <v>64223.613422818788</v>
      </c>
      <c r="Z38" s="1051">
        <v>109</v>
      </c>
      <c r="AA38" s="1051" t="s">
        <v>175</v>
      </c>
      <c r="AB38" s="1052" t="s">
        <v>175</v>
      </c>
      <c r="AC38" s="1051">
        <v>169081</v>
      </c>
      <c r="AD38" s="1051" t="s">
        <v>175</v>
      </c>
      <c r="AE38" s="1052" t="s">
        <v>175</v>
      </c>
      <c r="AF38" s="1051">
        <v>0</v>
      </c>
      <c r="AG38" s="1051">
        <v>13279.46497460359</v>
      </c>
      <c r="AH38" s="1051">
        <v>1970894.4880138319</v>
      </c>
      <c r="AI38" s="1051" t="s">
        <v>176</v>
      </c>
      <c r="AJ38" s="1052" t="s">
        <v>176</v>
      </c>
      <c r="AK38" s="1051">
        <v>11521.719372400403</v>
      </c>
      <c r="AL38" s="1051">
        <v>57103.92393852731</v>
      </c>
      <c r="AM38" s="1052" t="s">
        <v>177</v>
      </c>
      <c r="AN38" s="1051">
        <v>554661</v>
      </c>
      <c r="AO38" s="1051" t="s">
        <v>175</v>
      </c>
      <c r="AP38" s="1052" t="s">
        <v>177</v>
      </c>
      <c r="AQ38" s="1051" t="s">
        <v>175</v>
      </c>
      <c r="AR38" s="1051" t="s">
        <v>175</v>
      </c>
      <c r="AS38" s="1052" t="s">
        <v>177</v>
      </c>
      <c r="AT38" s="1051" t="s">
        <v>175</v>
      </c>
      <c r="AU38" s="1051" t="s">
        <v>175</v>
      </c>
      <c r="AV38" s="1052" t="s">
        <v>177</v>
      </c>
      <c r="AW38" s="1051" t="s">
        <v>175</v>
      </c>
      <c r="AX38" s="1051">
        <v>180397.52506944002</v>
      </c>
      <c r="AY38" s="1053" t="s">
        <v>175</v>
      </c>
      <c r="AZ38" s="1051" t="s">
        <v>175</v>
      </c>
      <c r="BA38" s="1051" t="s">
        <v>175</v>
      </c>
      <c r="BB38" s="1053" t="s">
        <v>175</v>
      </c>
      <c r="BC38" s="1051" t="s">
        <v>175</v>
      </c>
      <c r="BD38" s="1051" t="s">
        <v>175</v>
      </c>
      <c r="BE38" s="1053" t="s">
        <v>175</v>
      </c>
      <c r="BF38" s="1051">
        <v>9324.9940362863308</v>
      </c>
      <c r="BG38" s="1051" t="s">
        <v>175</v>
      </c>
      <c r="BH38" s="1053" t="s">
        <v>175</v>
      </c>
      <c r="BI38" s="1052" t="s">
        <v>175</v>
      </c>
      <c r="BJ38" s="1052" t="s">
        <v>177</v>
      </c>
      <c r="BK38" s="1052" t="s">
        <v>175</v>
      </c>
      <c r="BL38" s="1052">
        <v>5346.9</v>
      </c>
      <c r="BM38" s="1052" t="s">
        <v>175</v>
      </c>
      <c r="BN38" s="1054" t="s">
        <v>177</v>
      </c>
      <c r="BO38" s="1076" t="str">
        <f t="shared" si="9"/>
        <v>San Francisco_2012</v>
      </c>
      <c r="BP38" s="1051">
        <v>5492513.2474202449</v>
      </c>
      <c r="BQ38" s="1052">
        <v>5588880.0376150552</v>
      </c>
      <c r="BR38" s="1054">
        <v>5588880.0376150561</v>
      </c>
      <c r="BS38" s="1053">
        <v>4250334.5068748221</v>
      </c>
      <c r="BT38" s="1051">
        <v>2708609.5969897592</v>
      </c>
      <c r="BU38" s="1051">
        <v>2594181.1313247592</v>
      </c>
      <c r="BV38" s="1051">
        <v>189722.51910572636</v>
      </c>
      <c r="BW38" s="1052">
        <v>2799629.4871845697</v>
      </c>
      <c r="BX38" s="1052">
        <v>2594181.1313247592</v>
      </c>
      <c r="BY38" s="1052">
        <v>189722.51910572636</v>
      </c>
      <c r="BZ38" s="1052" t="s">
        <v>1637</v>
      </c>
      <c r="CA38" s="1052">
        <v>5346.9</v>
      </c>
      <c r="CB38" s="1053">
        <v>1634361.7920294846</v>
      </c>
      <c r="CC38" s="1053">
        <v>64223.613422818788</v>
      </c>
      <c r="CD38" s="1053">
        <v>2537077.207386232</v>
      </c>
      <c r="CE38" s="1053">
        <v>9324.9940362863308</v>
      </c>
      <c r="CF38" s="1053" t="s">
        <v>1637</v>
      </c>
      <c r="CG38" s="1053" t="s">
        <v>1637</v>
      </c>
      <c r="CH38" s="1053">
        <v>5346.9</v>
      </c>
      <c r="CI38" s="1051">
        <v>1050514.2069780356</v>
      </c>
      <c r="CJ38" s="1051">
        <v>1475555.42503712</v>
      </c>
      <c r="CK38" s="1051" t="s">
        <v>1637</v>
      </c>
      <c r="CL38" s="1051">
        <v>70.5</v>
      </c>
      <c r="CM38" s="1051">
        <v>109</v>
      </c>
      <c r="CN38" s="1051">
        <v>169081</v>
      </c>
      <c r="CO38" s="1051" t="s">
        <v>1637</v>
      </c>
      <c r="CP38" s="1051">
        <v>13279.46497460359</v>
      </c>
      <c r="CQ38" s="1051">
        <v>1970894.4880138319</v>
      </c>
      <c r="CR38" s="1051">
        <v>68625.643310927713</v>
      </c>
      <c r="CS38" s="1051">
        <v>554661</v>
      </c>
      <c r="CT38" s="1051" t="s">
        <v>1637</v>
      </c>
      <c r="CU38" s="1051" t="s">
        <v>1637</v>
      </c>
      <c r="CV38" s="1051">
        <v>180397.52506944002</v>
      </c>
      <c r="CW38" s="1051" t="s">
        <v>1637</v>
      </c>
      <c r="CX38" s="1051" t="s">
        <v>1637</v>
      </c>
      <c r="CY38" s="1051">
        <v>9324.9940362863308</v>
      </c>
      <c r="CZ38" s="1118">
        <v>1077053.3040291169</v>
      </c>
      <c r="DA38" s="1118">
        <v>1540036.2181808494</v>
      </c>
      <c r="DB38" s="1118" t="s">
        <v>1637</v>
      </c>
      <c r="DC38" s="1118">
        <v>70.5</v>
      </c>
      <c r="DD38" s="1118">
        <v>109</v>
      </c>
      <c r="DE38" s="1118">
        <v>169081</v>
      </c>
      <c r="DF38" s="1118" t="s">
        <v>1637</v>
      </c>
      <c r="DG38" s="1118">
        <v>13279.46497460359</v>
      </c>
      <c r="DH38" s="1118">
        <v>1970894.4880138319</v>
      </c>
      <c r="DI38" s="1118">
        <v>68625.643310927713</v>
      </c>
      <c r="DJ38" s="1118">
        <v>554661</v>
      </c>
      <c r="DK38" s="1118" t="s">
        <v>1637</v>
      </c>
      <c r="DL38" s="1118" t="s">
        <v>1637</v>
      </c>
      <c r="DM38" s="1118">
        <v>180397.52506944002</v>
      </c>
      <c r="DN38" s="1118" t="s">
        <v>1637</v>
      </c>
      <c r="DO38" s="1118" t="s">
        <v>1637</v>
      </c>
      <c r="DP38" s="1118">
        <v>9324.9940362863308</v>
      </c>
      <c r="DQ38" s="1118" t="s">
        <v>1637</v>
      </c>
      <c r="DR38" s="1118" t="s">
        <v>1637</v>
      </c>
      <c r="DS38" s="1118" t="s">
        <v>1637</v>
      </c>
      <c r="DT38" s="1118">
        <v>5346.9</v>
      </c>
      <c r="DU38" s="1118" t="s">
        <v>1637</v>
      </c>
      <c r="DV38" s="1119" t="s">
        <v>1637</v>
      </c>
      <c r="DW38" s="1120">
        <v>767434.603626</v>
      </c>
      <c r="DX38" s="1120">
        <v>684387.22342888103</v>
      </c>
      <c r="DY38" s="1120" t="s">
        <v>1637</v>
      </c>
      <c r="DZ38" s="1120">
        <v>70.5</v>
      </c>
      <c r="EA38" s="1120">
        <v>64223.613422818788</v>
      </c>
      <c r="EB38" s="1120">
        <v>109</v>
      </c>
      <c r="EC38" s="1120">
        <v>169081</v>
      </c>
      <c r="ED38" s="1120" t="s">
        <v>1637</v>
      </c>
      <c r="EE38" s="1120">
        <v>13279.46497460359</v>
      </c>
      <c r="EF38" s="1120">
        <v>1970894.4880138319</v>
      </c>
      <c r="EG38" s="1120">
        <v>11521.719372400403</v>
      </c>
      <c r="EH38" s="1120">
        <v>554661</v>
      </c>
      <c r="EI38" s="1120" t="s">
        <v>1637</v>
      </c>
      <c r="EJ38" s="1120" t="s">
        <v>1637</v>
      </c>
      <c r="EK38" s="1120" t="s">
        <v>1637</v>
      </c>
      <c r="EL38" s="1120" t="s">
        <v>1637</v>
      </c>
      <c r="EM38" s="1120" t="s">
        <v>1637</v>
      </c>
      <c r="EN38" s="1120">
        <v>9324.9940362863308</v>
      </c>
      <c r="EO38" s="1120" t="s">
        <v>1637</v>
      </c>
      <c r="EP38" s="1120" t="s">
        <v>1637</v>
      </c>
      <c r="EQ38" s="1120" t="s">
        <v>1637</v>
      </c>
      <c r="ER38" s="1120">
        <v>5346.9</v>
      </c>
      <c r="ES38" s="1120" t="s">
        <v>1637</v>
      </c>
    </row>
    <row r="39" spans="1:150" s="1121" customFormat="1" ht="15" customHeight="1">
      <c r="A39" s="1799">
        <v>24</v>
      </c>
      <c r="B39" s="1055" t="s">
        <v>1756</v>
      </c>
      <c r="C39" s="1055" t="s">
        <v>1737</v>
      </c>
      <c r="D39" s="1048" t="s">
        <v>1141</v>
      </c>
      <c r="E39" s="1055" t="s">
        <v>687</v>
      </c>
      <c r="F39" s="1049">
        <v>2012</v>
      </c>
      <c r="G39" s="1457" t="str">
        <f t="shared" si="7"/>
        <v>2012</v>
      </c>
      <c r="H39" s="1117" t="str">
        <f t="shared" si="8"/>
        <v>Seattle_2012</v>
      </c>
      <c r="I39" s="1049" t="s">
        <v>172</v>
      </c>
      <c r="J39" s="1049">
        <v>634535</v>
      </c>
      <c r="K39" s="1049">
        <v>215</v>
      </c>
      <c r="L39" s="1043">
        <v>48900000000</v>
      </c>
      <c r="M39" s="1051">
        <v>528855.079794358</v>
      </c>
      <c r="N39" s="1051">
        <v>29183.962546194882</v>
      </c>
      <c r="O39" s="1052" t="s">
        <v>177</v>
      </c>
      <c r="P39" s="1051">
        <v>738344.41832332755</v>
      </c>
      <c r="Q39" s="1051">
        <v>131044.14206086134</v>
      </c>
      <c r="R39" s="1052" t="s">
        <v>177</v>
      </c>
      <c r="S39" s="1051">
        <v>478144.64186621003</v>
      </c>
      <c r="T39" s="1051">
        <v>10711.95427714908</v>
      </c>
      <c r="U39" s="1052" t="s">
        <v>177</v>
      </c>
      <c r="V39" s="1051" t="s">
        <v>175</v>
      </c>
      <c r="W39" s="1051" t="s">
        <v>175</v>
      </c>
      <c r="X39" s="1052" t="s">
        <v>175</v>
      </c>
      <c r="Y39" s="1053">
        <v>76135.31563087285</v>
      </c>
      <c r="Z39" s="1051" t="s">
        <v>175</v>
      </c>
      <c r="AA39" s="1051" t="s">
        <v>175</v>
      </c>
      <c r="AB39" s="1052" t="s">
        <v>175</v>
      </c>
      <c r="AC39" s="1051" t="s">
        <v>175</v>
      </c>
      <c r="AD39" s="1051" t="s">
        <v>175</v>
      </c>
      <c r="AE39" s="1052" t="s">
        <v>175</v>
      </c>
      <c r="AF39" s="1051" t="s">
        <v>175</v>
      </c>
      <c r="AG39" s="1051">
        <v>14892.150118021164</v>
      </c>
      <c r="AH39" s="1051">
        <v>2142773.5754222055</v>
      </c>
      <c r="AI39" s="1051" t="s">
        <v>175</v>
      </c>
      <c r="AJ39" s="1052" t="s">
        <v>177</v>
      </c>
      <c r="AK39" s="1051">
        <v>64352.532031178234</v>
      </c>
      <c r="AL39" s="1051">
        <v>228.5609457331839</v>
      </c>
      <c r="AM39" s="1052" t="s">
        <v>177</v>
      </c>
      <c r="AN39" s="1051">
        <v>179760.36383026894</v>
      </c>
      <c r="AO39" s="1051" t="s">
        <v>175</v>
      </c>
      <c r="AP39" s="1052" t="s">
        <v>175</v>
      </c>
      <c r="AQ39" s="1051" t="s">
        <v>175</v>
      </c>
      <c r="AR39" s="1051" t="s">
        <v>175</v>
      </c>
      <c r="AS39" s="1052">
        <v>913981.86843026942</v>
      </c>
      <c r="AT39" s="1051" t="s">
        <v>175</v>
      </c>
      <c r="AU39" s="1051" t="s">
        <v>175</v>
      </c>
      <c r="AV39" s="1052" t="s">
        <v>175</v>
      </c>
      <c r="AW39" s="1051" t="s">
        <v>175</v>
      </c>
      <c r="AX39" s="1051">
        <v>45085</v>
      </c>
      <c r="AY39" s="1053" t="s">
        <v>175</v>
      </c>
      <c r="AZ39" s="1051" t="s">
        <v>175</v>
      </c>
      <c r="BA39" s="1051" t="s">
        <v>175</v>
      </c>
      <c r="BB39" s="1053" t="s">
        <v>175</v>
      </c>
      <c r="BC39" s="1051" t="s">
        <v>175</v>
      </c>
      <c r="BD39" s="1051" t="s">
        <v>175</v>
      </c>
      <c r="BE39" s="1053" t="s">
        <v>175</v>
      </c>
      <c r="BF39" s="1051">
        <v>1893.6372978030768</v>
      </c>
      <c r="BG39" s="1051" t="s">
        <v>175</v>
      </c>
      <c r="BH39" s="1053" t="s">
        <v>175</v>
      </c>
      <c r="BI39" s="1052">
        <v>408257</v>
      </c>
      <c r="BJ39" s="1052">
        <v>235454.56268919128</v>
      </c>
      <c r="BK39" s="1052" t="s">
        <v>177</v>
      </c>
      <c r="BL39" s="1052" t="s">
        <v>177</v>
      </c>
      <c r="BM39" s="1052" t="s">
        <v>177</v>
      </c>
      <c r="BN39" s="1054" t="s">
        <v>177</v>
      </c>
      <c r="BO39" s="1076" t="str">
        <f t="shared" si="9"/>
        <v>Seattle_2012</v>
      </c>
      <c r="BP39" s="1051">
        <v>4365270.0185133107</v>
      </c>
      <c r="BQ39" s="1052">
        <v>5922963.4496327722</v>
      </c>
      <c r="BR39" s="1054">
        <v>5922963.4496327722</v>
      </c>
      <c r="BS39" s="1053">
        <v>4868863.2770034373</v>
      </c>
      <c r="BT39" s="1051">
        <v>1931176.3489861221</v>
      </c>
      <c r="BU39" s="1051">
        <v>2387115.0322293853</v>
      </c>
      <c r="BV39" s="1051">
        <v>46978.637297803078</v>
      </c>
      <c r="BW39" s="1052">
        <v>1931176.3489861221</v>
      </c>
      <c r="BX39" s="1052">
        <v>3301096.9006596548</v>
      </c>
      <c r="BY39" s="1052">
        <v>46978.637297803078</v>
      </c>
      <c r="BZ39" s="1052">
        <v>643711.56268919131</v>
      </c>
      <c r="CA39" s="1052" t="s">
        <v>1637</v>
      </c>
      <c r="CB39" s="1053">
        <v>1760236.2901019168</v>
      </c>
      <c r="CC39" s="1053">
        <v>76135.31563087285</v>
      </c>
      <c r="CD39" s="1053">
        <v>2386886.4712836524</v>
      </c>
      <c r="CE39" s="1053">
        <v>1893.6372978030768</v>
      </c>
      <c r="CF39" s="1053" t="s">
        <v>1637</v>
      </c>
      <c r="CG39" s="1053">
        <v>643711.56268919131</v>
      </c>
      <c r="CH39" s="1053" t="s">
        <v>1637</v>
      </c>
      <c r="CI39" s="1051">
        <v>558039.0423405529</v>
      </c>
      <c r="CJ39" s="1051">
        <v>869388.5603841889</v>
      </c>
      <c r="CK39" s="1051">
        <v>488856.59614335909</v>
      </c>
      <c r="CL39" s="1051" t="s">
        <v>1637</v>
      </c>
      <c r="CM39" s="1051" t="s">
        <v>1637</v>
      </c>
      <c r="CN39" s="1051" t="s">
        <v>1637</v>
      </c>
      <c r="CO39" s="1051" t="s">
        <v>1637</v>
      </c>
      <c r="CP39" s="1051">
        <v>14892.150118021164</v>
      </c>
      <c r="CQ39" s="1051">
        <v>2142773.5754222055</v>
      </c>
      <c r="CR39" s="1051">
        <v>64581.092976911415</v>
      </c>
      <c r="CS39" s="1051">
        <v>179760.36383026894</v>
      </c>
      <c r="CT39" s="1051" t="s">
        <v>1637</v>
      </c>
      <c r="CU39" s="1051" t="s">
        <v>1637</v>
      </c>
      <c r="CV39" s="1051">
        <v>45085</v>
      </c>
      <c r="CW39" s="1051" t="s">
        <v>1637</v>
      </c>
      <c r="CX39" s="1051" t="s">
        <v>1637</v>
      </c>
      <c r="CY39" s="1051">
        <v>1893.6372978030768</v>
      </c>
      <c r="CZ39" s="1118">
        <v>558039.0423405529</v>
      </c>
      <c r="DA39" s="1118">
        <v>869388.5603841889</v>
      </c>
      <c r="DB39" s="1118">
        <v>488856.59614335909</v>
      </c>
      <c r="DC39" s="1118" t="s">
        <v>1637</v>
      </c>
      <c r="DD39" s="1118" t="s">
        <v>1637</v>
      </c>
      <c r="DE39" s="1118" t="s">
        <v>1637</v>
      </c>
      <c r="DF39" s="1118" t="s">
        <v>1637</v>
      </c>
      <c r="DG39" s="1118">
        <v>14892.150118021164</v>
      </c>
      <c r="DH39" s="1118">
        <v>2142773.5754222055</v>
      </c>
      <c r="DI39" s="1118">
        <v>64581.092976911415</v>
      </c>
      <c r="DJ39" s="1118">
        <v>179760.36383026894</v>
      </c>
      <c r="DK39" s="1118">
        <v>913981.86843026942</v>
      </c>
      <c r="DL39" s="1118" t="s">
        <v>1637</v>
      </c>
      <c r="DM39" s="1118">
        <v>45085</v>
      </c>
      <c r="DN39" s="1118" t="s">
        <v>1637</v>
      </c>
      <c r="DO39" s="1118" t="s">
        <v>1637</v>
      </c>
      <c r="DP39" s="1118">
        <v>1893.6372978030768</v>
      </c>
      <c r="DQ39" s="1118">
        <v>408257</v>
      </c>
      <c r="DR39" s="1118">
        <v>235454.56268919128</v>
      </c>
      <c r="DS39" s="1118" t="s">
        <v>1637</v>
      </c>
      <c r="DT39" s="1118" t="s">
        <v>1637</v>
      </c>
      <c r="DU39" s="1118" t="s">
        <v>1637</v>
      </c>
      <c r="DV39" s="1119" t="s">
        <v>1637</v>
      </c>
      <c r="DW39" s="1120">
        <v>528855.079794358</v>
      </c>
      <c r="DX39" s="1120">
        <v>738344.41832332755</v>
      </c>
      <c r="DY39" s="1120">
        <v>478144.64186621003</v>
      </c>
      <c r="DZ39" s="1120" t="s">
        <v>1637</v>
      </c>
      <c r="EA39" s="1120">
        <v>76135.31563087285</v>
      </c>
      <c r="EB39" s="1120" t="s">
        <v>1637</v>
      </c>
      <c r="EC39" s="1120" t="s">
        <v>1637</v>
      </c>
      <c r="ED39" s="1120" t="s">
        <v>1637</v>
      </c>
      <c r="EE39" s="1120">
        <v>14892.150118021164</v>
      </c>
      <c r="EF39" s="1120">
        <v>2142773.5754222055</v>
      </c>
      <c r="EG39" s="1120">
        <v>64352.532031178234</v>
      </c>
      <c r="EH39" s="1120">
        <v>179760.36383026894</v>
      </c>
      <c r="EI39" s="1120" t="s">
        <v>1637</v>
      </c>
      <c r="EJ39" s="1120" t="s">
        <v>1637</v>
      </c>
      <c r="EK39" s="1120" t="s">
        <v>1637</v>
      </c>
      <c r="EL39" s="1120" t="s">
        <v>1637</v>
      </c>
      <c r="EM39" s="1120" t="s">
        <v>1637</v>
      </c>
      <c r="EN39" s="1120">
        <v>1893.6372978030768</v>
      </c>
      <c r="EO39" s="1120">
        <v>408257</v>
      </c>
      <c r="EP39" s="1120">
        <v>235454.56268919128</v>
      </c>
      <c r="EQ39" s="1120" t="s">
        <v>1637</v>
      </c>
      <c r="ER39" s="1120" t="s">
        <v>1637</v>
      </c>
      <c r="ES39" s="1120" t="s">
        <v>1637</v>
      </c>
    </row>
    <row r="40" spans="1:150" s="1121" customFormat="1" ht="15" customHeight="1">
      <c r="A40" s="1799">
        <v>25</v>
      </c>
      <c r="B40" s="1055" t="s">
        <v>1746</v>
      </c>
      <c r="C40" s="1055" t="s">
        <v>1174</v>
      </c>
      <c r="D40" s="1055" t="s">
        <v>1134</v>
      </c>
      <c r="E40" s="1055" t="s">
        <v>687</v>
      </c>
      <c r="F40" s="1049">
        <v>2012</v>
      </c>
      <c r="G40" s="1457" t="str">
        <f t="shared" si="7"/>
        <v>2012</v>
      </c>
      <c r="H40" s="1117" t="str">
        <f t="shared" si="8"/>
        <v>Stockholm_2012</v>
      </c>
      <c r="I40" s="1049" t="s">
        <v>172</v>
      </c>
      <c r="J40" s="1049">
        <v>881235</v>
      </c>
      <c r="K40" s="1049">
        <v>216</v>
      </c>
      <c r="L40" s="1043">
        <v>416797000000</v>
      </c>
      <c r="M40" s="1051">
        <v>81221.145000000004</v>
      </c>
      <c r="N40" s="1051">
        <v>613044.81095000007</v>
      </c>
      <c r="O40" s="1052">
        <v>31087.049449999995</v>
      </c>
      <c r="P40" s="1051">
        <v>61503.056500000006</v>
      </c>
      <c r="Q40" s="1051">
        <v>414504.66404999996</v>
      </c>
      <c r="R40" s="1052">
        <v>21816.034950000001</v>
      </c>
      <c r="S40" s="1051">
        <v>13902.848499999998</v>
      </c>
      <c r="T40" s="1051">
        <v>36599.89</v>
      </c>
      <c r="U40" s="1052">
        <v>1926.31</v>
      </c>
      <c r="V40" s="1051" t="s">
        <v>176</v>
      </c>
      <c r="W40" s="1051" t="s">
        <v>176</v>
      </c>
      <c r="X40" s="1052" t="s">
        <v>176</v>
      </c>
      <c r="Y40" s="1053">
        <v>1006657.2699999998</v>
      </c>
      <c r="Z40" s="1051" t="s">
        <v>175</v>
      </c>
      <c r="AA40" s="1051" t="s">
        <v>175</v>
      </c>
      <c r="AB40" s="1052" t="s">
        <v>175</v>
      </c>
      <c r="AC40" s="1051" t="s">
        <v>175</v>
      </c>
      <c r="AD40" s="1051" t="s">
        <v>175</v>
      </c>
      <c r="AE40" s="1052" t="s">
        <v>175</v>
      </c>
      <c r="AF40" s="1051" t="s">
        <v>175</v>
      </c>
      <c r="AG40" s="1051">
        <v>33</v>
      </c>
      <c r="AH40" s="1051">
        <v>648378</v>
      </c>
      <c r="AI40" s="1051" t="s">
        <v>176</v>
      </c>
      <c r="AJ40" s="1052" t="s">
        <v>177</v>
      </c>
      <c r="AK40" s="1051" t="s">
        <v>175</v>
      </c>
      <c r="AL40" s="1051">
        <v>33190.625</v>
      </c>
      <c r="AM40" s="1052">
        <v>1746.875</v>
      </c>
      <c r="AN40" s="1051">
        <v>92000</v>
      </c>
      <c r="AO40" s="1051" t="s">
        <v>176</v>
      </c>
      <c r="AP40" s="1052" t="s">
        <v>177</v>
      </c>
      <c r="AQ40" s="1051">
        <v>19900</v>
      </c>
      <c r="AR40" s="1051" t="s">
        <v>175</v>
      </c>
      <c r="AS40" s="1052" t="s">
        <v>177</v>
      </c>
      <c r="AT40" s="1051">
        <v>121400</v>
      </c>
      <c r="AU40" s="1051" t="s">
        <v>176</v>
      </c>
      <c r="AV40" s="1052" t="s">
        <v>175</v>
      </c>
      <c r="AW40" s="1051" t="s">
        <v>175</v>
      </c>
      <c r="AX40" s="1051" t="s">
        <v>175</v>
      </c>
      <c r="AY40" s="1053" t="s">
        <v>175</v>
      </c>
      <c r="AZ40" s="1051" t="s">
        <v>176</v>
      </c>
      <c r="BA40" s="1051" t="s">
        <v>176</v>
      </c>
      <c r="BB40" s="1053" t="s">
        <v>175</v>
      </c>
      <c r="BC40" s="1051" t="s">
        <v>176</v>
      </c>
      <c r="BD40" s="1051" t="s">
        <v>175</v>
      </c>
      <c r="BE40" s="1053" t="s">
        <v>176</v>
      </c>
      <c r="BF40" s="1051">
        <v>7763.3378900000007</v>
      </c>
      <c r="BG40" s="1051" t="s">
        <v>176</v>
      </c>
      <c r="BH40" s="1053">
        <v>2318.9191100000003</v>
      </c>
      <c r="BI40" s="1052" t="s">
        <v>177</v>
      </c>
      <c r="BJ40" s="1052" t="s">
        <v>177</v>
      </c>
      <c r="BK40" s="1052" t="s">
        <v>177</v>
      </c>
      <c r="BL40" s="1052" t="s">
        <v>177</v>
      </c>
      <c r="BM40" s="1052" t="s">
        <v>177</v>
      </c>
      <c r="BN40" s="1054">
        <v>453622.99</v>
      </c>
      <c r="BO40" s="1076" t="str">
        <f t="shared" si="9"/>
        <v>Stockholm_2012</v>
      </c>
      <c r="BP40" s="1051">
        <v>2143441.3778900001</v>
      </c>
      <c r="BQ40" s="1052">
        <v>2200017.6472900002</v>
      </c>
      <c r="BR40" s="1054">
        <v>2653640.63729</v>
      </c>
      <c r="BS40" s="1053">
        <v>2055077.5769999998</v>
      </c>
      <c r="BT40" s="1051">
        <v>1220809.415</v>
      </c>
      <c r="BU40" s="1051">
        <v>914868.625</v>
      </c>
      <c r="BV40" s="1051">
        <v>7763.3378900000007</v>
      </c>
      <c r="BW40" s="1052">
        <v>1275638.8094000001</v>
      </c>
      <c r="BX40" s="1052">
        <v>916615.5</v>
      </c>
      <c r="BY40" s="1052">
        <v>7763.3378900000007</v>
      </c>
      <c r="BZ40" s="1052" t="s">
        <v>1637</v>
      </c>
      <c r="CA40" s="1052" t="s">
        <v>1637</v>
      </c>
      <c r="CB40" s="1053">
        <v>156660.05000000002</v>
      </c>
      <c r="CC40" s="1053">
        <v>1006657.2699999998</v>
      </c>
      <c r="CD40" s="1053">
        <v>881678</v>
      </c>
      <c r="CE40" s="1053">
        <v>7763.3378900000007</v>
      </c>
      <c r="CF40" s="1053">
        <v>2318.9191100000003</v>
      </c>
      <c r="CG40" s="1053" t="s">
        <v>1637</v>
      </c>
      <c r="CH40" s="1053" t="s">
        <v>1637</v>
      </c>
      <c r="CI40" s="1051">
        <v>694265.95595000009</v>
      </c>
      <c r="CJ40" s="1051">
        <v>476007.72054999997</v>
      </c>
      <c r="CK40" s="1051">
        <v>50502.738499999999</v>
      </c>
      <c r="CL40" s="1051" t="s">
        <v>1637</v>
      </c>
      <c r="CM40" s="1051" t="s">
        <v>1637</v>
      </c>
      <c r="CN40" s="1051" t="s">
        <v>1637</v>
      </c>
      <c r="CO40" s="1051" t="s">
        <v>1637</v>
      </c>
      <c r="CP40" s="1051">
        <v>33</v>
      </c>
      <c r="CQ40" s="1051">
        <v>648378</v>
      </c>
      <c r="CR40" s="1051">
        <v>33190.625</v>
      </c>
      <c r="CS40" s="1051">
        <v>92000</v>
      </c>
      <c r="CT40" s="1051">
        <v>19900</v>
      </c>
      <c r="CU40" s="1051">
        <v>121400</v>
      </c>
      <c r="CV40" s="1051" t="s">
        <v>1637</v>
      </c>
      <c r="CW40" s="1051" t="s">
        <v>1637</v>
      </c>
      <c r="CX40" s="1051" t="s">
        <v>1637</v>
      </c>
      <c r="CY40" s="1051">
        <v>7763.3378900000007</v>
      </c>
      <c r="CZ40" s="1118">
        <v>725353.00540000014</v>
      </c>
      <c r="DA40" s="1118">
        <v>497823.75549999997</v>
      </c>
      <c r="DB40" s="1118">
        <v>52429.048499999997</v>
      </c>
      <c r="DC40" s="1118" t="s">
        <v>1637</v>
      </c>
      <c r="DD40" s="1118" t="s">
        <v>1637</v>
      </c>
      <c r="DE40" s="1118" t="s">
        <v>1637</v>
      </c>
      <c r="DF40" s="1118" t="s">
        <v>1637</v>
      </c>
      <c r="DG40" s="1118">
        <v>33</v>
      </c>
      <c r="DH40" s="1118">
        <v>648378</v>
      </c>
      <c r="DI40" s="1118">
        <v>34937.5</v>
      </c>
      <c r="DJ40" s="1118">
        <v>92000</v>
      </c>
      <c r="DK40" s="1118">
        <v>19900</v>
      </c>
      <c r="DL40" s="1118">
        <v>121400</v>
      </c>
      <c r="DM40" s="1118" t="s">
        <v>1637</v>
      </c>
      <c r="DN40" s="1118" t="s">
        <v>1637</v>
      </c>
      <c r="DO40" s="1118" t="s">
        <v>1637</v>
      </c>
      <c r="DP40" s="1118">
        <v>7763.3378900000007</v>
      </c>
      <c r="DQ40" s="1118" t="s">
        <v>1637</v>
      </c>
      <c r="DR40" s="1118" t="s">
        <v>1637</v>
      </c>
      <c r="DS40" s="1118" t="s">
        <v>1637</v>
      </c>
      <c r="DT40" s="1118" t="s">
        <v>1637</v>
      </c>
      <c r="DU40" s="1118" t="s">
        <v>1637</v>
      </c>
      <c r="DV40" s="1119">
        <v>453622.99</v>
      </c>
      <c r="DW40" s="1120">
        <v>81221.145000000004</v>
      </c>
      <c r="DX40" s="1120">
        <v>61503.056500000006</v>
      </c>
      <c r="DY40" s="1120">
        <v>13902.848499999998</v>
      </c>
      <c r="DZ40" s="1120" t="s">
        <v>1637</v>
      </c>
      <c r="EA40" s="1120">
        <v>1006657.2699999998</v>
      </c>
      <c r="EB40" s="1120" t="s">
        <v>1637</v>
      </c>
      <c r="EC40" s="1120" t="s">
        <v>1637</v>
      </c>
      <c r="ED40" s="1120" t="s">
        <v>1637</v>
      </c>
      <c r="EE40" s="1120">
        <v>33</v>
      </c>
      <c r="EF40" s="1120">
        <v>648378</v>
      </c>
      <c r="EG40" s="1120" t="s">
        <v>1637</v>
      </c>
      <c r="EH40" s="1120">
        <v>92000</v>
      </c>
      <c r="EI40" s="1120">
        <v>19900</v>
      </c>
      <c r="EJ40" s="1120">
        <v>121400</v>
      </c>
      <c r="EK40" s="1120" t="s">
        <v>1637</v>
      </c>
      <c r="EL40" s="1120" t="s">
        <v>1637</v>
      </c>
      <c r="EM40" s="1120" t="s">
        <v>1637</v>
      </c>
      <c r="EN40" s="1120">
        <v>10082.257000000001</v>
      </c>
      <c r="EO40" s="1120" t="s">
        <v>1637</v>
      </c>
      <c r="EP40" s="1120" t="s">
        <v>1637</v>
      </c>
      <c r="EQ40" s="1120" t="s">
        <v>1637</v>
      </c>
      <c r="ER40" s="1120" t="s">
        <v>1637</v>
      </c>
      <c r="ES40" s="1120" t="s">
        <v>1637</v>
      </c>
    </row>
    <row r="41" spans="1:150" s="34" customFormat="1" ht="15" customHeight="1">
      <c r="A41" s="1799">
        <v>26</v>
      </c>
      <c r="B41" s="1055" t="s">
        <v>1906</v>
      </c>
      <c r="C41" s="1048" t="s">
        <v>1149</v>
      </c>
      <c r="D41" s="1055" t="s">
        <v>1925</v>
      </c>
      <c r="E41" s="1048" t="s">
        <v>687</v>
      </c>
      <c r="F41" s="1049" t="s">
        <v>1751</v>
      </c>
      <c r="G41" s="1457" t="str">
        <f t="shared" si="7"/>
        <v>2013</v>
      </c>
      <c r="H41" s="1117" t="str">
        <f t="shared" si="8"/>
        <v>City of Sydney_2013</v>
      </c>
      <c r="I41" s="1049" t="s">
        <v>172</v>
      </c>
      <c r="J41" s="1049">
        <v>197318.72159999999</v>
      </c>
      <c r="K41" s="1050">
        <v>26.15</v>
      </c>
      <c r="L41" s="1043">
        <v>73012549539.320007</v>
      </c>
      <c r="M41" s="1051">
        <v>62918.876760000014</v>
      </c>
      <c r="N41" s="1051">
        <v>328407.59999999998</v>
      </c>
      <c r="O41" s="1052" t="s">
        <v>176</v>
      </c>
      <c r="P41" s="1051">
        <v>108777.20142000003</v>
      </c>
      <c r="Q41" s="1051">
        <v>2830533.69</v>
      </c>
      <c r="R41" s="1052" t="s">
        <v>176</v>
      </c>
      <c r="S41" s="1051" t="s">
        <v>176</v>
      </c>
      <c r="T41" s="1051" t="s">
        <v>176</v>
      </c>
      <c r="U41" s="1052" t="s">
        <v>176</v>
      </c>
      <c r="V41" s="1051" t="s">
        <v>175</v>
      </c>
      <c r="W41" s="1051" t="s">
        <v>175</v>
      </c>
      <c r="X41" s="1052" t="s">
        <v>175</v>
      </c>
      <c r="Y41" s="1053" t="s">
        <v>175</v>
      </c>
      <c r="Z41" s="1051" t="s">
        <v>175</v>
      </c>
      <c r="AA41" s="1051" t="s">
        <v>175</v>
      </c>
      <c r="AB41" s="1052" t="s">
        <v>175</v>
      </c>
      <c r="AC41" s="1051" t="s">
        <v>175</v>
      </c>
      <c r="AD41" s="1051" t="s">
        <v>175</v>
      </c>
      <c r="AE41" s="1052" t="s">
        <v>175</v>
      </c>
      <c r="AF41" s="1051" t="s">
        <v>175</v>
      </c>
      <c r="AG41" s="1051">
        <v>14517.60083136</v>
      </c>
      <c r="AH41" s="1051">
        <v>296086.9382137084</v>
      </c>
      <c r="AI41" s="1051" t="s">
        <v>175</v>
      </c>
      <c r="AJ41" s="1052">
        <v>592173.87642741681</v>
      </c>
      <c r="AK41" s="1051" t="s">
        <v>175</v>
      </c>
      <c r="AL41" s="1051">
        <v>6437.8445753166661</v>
      </c>
      <c r="AM41" s="1052">
        <v>12875.689150633332</v>
      </c>
      <c r="AN41" s="1051" t="s">
        <v>175</v>
      </c>
      <c r="AO41" s="1051" t="s">
        <v>175</v>
      </c>
      <c r="AP41" s="1052" t="s">
        <v>177</v>
      </c>
      <c r="AQ41" s="1051" t="s">
        <v>175</v>
      </c>
      <c r="AR41" s="1051" t="s">
        <v>175</v>
      </c>
      <c r="AS41" s="1052" t="s">
        <v>177</v>
      </c>
      <c r="AT41" s="1051" t="s">
        <v>176</v>
      </c>
      <c r="AU41" s="1051" t="s">
        <v>175</v>
      </c>
      <c r="AV41" s="1052" t="s">
        <v>177</v>
      </c>
      <c r="AW41" s="1051" t="s">
        <v>175</v>
      </c>
      <c r="AX41" s="1051">
        <v>187326</v>
      </c>
      <c r="AY41" s="1053" t="s">
        <v>175</v>
      </c>
      <c r="AZ41" s="1051" t="s">
        <v>175</v>
      </c>
      <c r="BA41" s="1051">
        <v>166.8614</v>
      </c>
      <c r="BB41" s="1053" t="s">
        <v>175</v>
      </c>
      <c r="BC41" s="1051" t="s">
        <v>175</v>
      </c>
      <c r="BD41" s="1051" t="s">
        <v>175</v>
      </c>
      <c r="BE41" s="1053" t="s">
        <v>175</v>
      </c>
      <c r="BF41" s="1051" t="s">
        <v>175</v>
      </c>
      <c r="BG41" s="1051">
        <v>4996.5276366720009</v>
      </c>
      <c r="BH41" s="1053" t="s">
        <v>175</v>
      </c>
      <c r="BI41" s="1052" t="s">
        <v>177</v>
      </c>
      <c r="BJ41" s="1052" t="s">
        <v>177</v>
      </c>
      <c r="BK41" s="1052" t="s">
        <v>177</v>
      </c>
      <c r="BL41" s="1052" t="s">
        <v>177</v>
      </c>
      <c r="BM41" s="1052" t="s">
        <v>177</v>
      </c>
      <c r="BN41" s="1054">
        <v>466677.683654978</v>
      </c>
      <c r="BO41" s="1076" t="str">
        <f t="shared" si="9"/>
        <v>City of Sydney_2013</v>
      </c>
      <c r="BP41" s="1051">
        <v>3840169.140837057</v>
      </c>
      <c r="BQ41" s="1052">
        <v>4445218.7064151075</v>
      </c>
      <c r="BR41" s="1054">
        <v>4911896.3900700854</v>
      </c>
      <c r="BS41" s="1053">
        <v>482300.61722506845</v>
      </c>
      <c r="BT41" s="1051">
        <v>3345154.9690113598</v>
      </c>
      <c r="BU41" s="1051">
        <v>302524.78278902505</v>
      </c>
      <c r="BV41" s="1051">
        <v>192489.38903667199</v>
      </c>
      <c r="BW41" s="1052">
        <v>3345154.9690113598</v>
      </c>
      <c r="BX41" s="1052">
        <v>907574.3483670752</v>
      </c>
      <c r="BY41" s="1052">
        <v>192489.38903667199</v>
      </c>
      <c r="BZ41" s="1052" t="s">
        <v>1637</v>
      </c>
      <c r="CA41" s="1052" t="s">
        <v>1637</v>
      </c>
      <c r="CB41" s="1053">
        <v>186213.67901136004</v>
      </c>
      <c r="CC41" s="1053" t="s">
        <v>1637</v>
      </c>
      <c r="CD41" s="1053">
        <v>296086.9382137084</v>
      </c>
      <c r="CE41" s="1053" t="s">
        <v>1637</v>
      </c>
      <c r="CF41" s="1053" t="s">
        <v>1637</v>
      </c>
      <c r="CG41" s="1053" t="s">
        <v>1637</v>
      </c>
      <c r="CH41" s="1053" t="s">
        <v>1637</v>
      </c>
      <c r="CI41" s="1123">
        <v>391326.47675999999</v>
      </c>
      <c r="CJ41" s="1123">
        <v>2939310.8914199998</v>
      </c>
      <c r="CK41" s="1123" t="s">
        <v>1637</v>
      </c>
      <c r="CL41" s="1123" t="s">
        <v>1637</v>
      </c>
      <c r="CM41" s="1123" t="s">
        <v>1637</v>
      </c>
      <c r="CN41" s="1123" t="s">
        <v>1637</v>
      </c>
      <c r="CO41" s="1123" t="s">
        <v>1637</v>
      </c>
      <c r="CP41" s="1123">
        <v>14517.60083136</v>
      </c>
      <c r="CQ41" s="1123">
        <v>296086.9382137084</v>
      </c>
      <c r="CR41" s="1123">
        <v>6437.8445753166661</v>
      </c>
      <c r="CS41" s="1123" t="s">
        <v>1637</v>
      </c>
      <c r="CT41" s="1123" t="s">
        <v>1637</v>
      </c>
      <c r="CU41" s="1123" t="s">
        <v>1637</v>
      </c>
      <c r="CV41" s="1123">
        <v>187326</v>
      </c>
      <c r="CW41" s="1123">
        <v>166.8614</v>
      </c>
      <c r="CX41" s="1123" t="s">
        <v>1637</v>
      </c>
      <c r="CY41" s="1123">
        <v>4996.5276366720009</v>
      </c>
      <c r="CZ41" s="1114">
        <v>391326.47675999999</v>
      </c>
      <c r="DA41" s="1114">
        <v>2939310.8914199998</v>
      </c>
      <c r="DB41" s="1114" t="s">
        <v>1637</v>
      </c>
      <c r="DC41" s="1114" t="s">
        <v>1637</v>
      </c>
      <c r="DD41" s="1114" t="s">
        <v>1637</v>
      </c>
      <c r="DE41" s="1114" t="s">
        <v>1637</v>
      </c>
      <c r="DF41" s="1114" t="s">
        <v>1637</v>
      </c>
      <c r="DG41" s="1114">
        <v>14517.60083136</v>
      </c>
      <c r="DH41" s="1114">
        <v>888260.81464112527</v>
      </c>
      <c r="DI41" s="1114">
        <v>19313.533725949997</v>
      </c>
      <c r="DJ41" s="1114" t="s">
        <v>1637</v>
      </c>
      <c r="DK41" s="1114" t="s">
        <v>1637</v>
      </c>
      <c r="DL41" s="1114" t="s">
        <v>1637</v>
      </c>
      <c r="DM41" s="1114">
        <v>187326</v>
      </c>
      <c r="DN41" s="1114">
        <v>166.8614</v>
      </c>
      <c r="DO41" s="1114" t="s">
        <v>1637</v>
      </c>
      <c r="DP41" s="1114">
        <v>4996.5276366720009</v>
      </c>
      <c r="DQ41" s="1114" t="s">
        <v>1637</v>
      </c>
      <c r="DR41" s="1114" t="s">
        <v>1637</v>
      </c>
      <c r="DS41" s="1114" t="s">
        <v>1637</v>
      </c>
      <c r="DT41" s="1114" t="s">
        <v>1637</v>
      </c>
      <c r="DU41" s="1114" t="s">
        <v>1637</v>
      </c>
      <c r="DV41" s="1115">
        <v>466677.683654978</v>
      </c>
      <c r="DW41" s="1116">
        <v>62918.876760000014</v>
      </c>
      <c r="DX41" s="1116">
        <v>108777.20142000003</v>
      </c>
      <c r="DY41" s="1116" t="s">
        <v>1637</v>
      </c>
      <c r="DZ41" s="1116" t="s">
        <v>1637</v>
      </c>
      <c r="EA41" s="1116" t="s">
        <v>1637</v>
      </c>
      <c r="EB41" s="1116" t="s">
        <v>1637</v>
      </c>
      <c r="EC41" s="1116" t="s">
        <v>1637</v>
      </c>
      <c r="ED41" s="1116" t="s">
        <v>1637</v>
      </c>
      <c r="EE41" s="1116">
        <v>14517.60083136</v>
      </c>
      <c r="EF41" s="1116">
        <v>296086.9382137084</v>
      </c>
      <c r="EG41" s="1116" t="s">
        <v>1637</v>
      </c>
      <c r="EH41" s="1116" t="s">
        <v>1637</v>
      </c>
      <c r="EI41" s="1116" t="s">
        <v>1637</v>
      </c>
      <c r="EJ41" s="1116" t="s">
        <v>1637</v>
      </c>
      <c r="EK41" s="1116" t="s">
        <v>1637</v>
      </c>
      <c r="EL41" s="1116" t="s">
        <v>1637</v>
      </c>
      <c r="EM41" s="1116" t="s">
        <v>1637</v>
      </c>
      <c r="EN41" s="1116" t="s">
        <v>1637</v>
      </c>
      <c r="EO41" s="1116" t="s">
        <v>1637</v>
      </c>
      <c r="EP41" s="1116" t="s">
        <v>1637</v>
      </c>
      <c r="EQ41" s="1116" t="s">
        <v>1637</v>
      </c>
      <c r="ER41" s="1116" t="s">
        <v>1637</v>
      </c>
      <c r="ES41" s="1116" t="s">
        <v>1637</v>
      </c>
    </row>
    <row r="42" spans="1:150" s="1121" customFormat="1" ht="15" customHeight="1">
      <c r="A42" s="1799">
        <v>27</v>
      </c>
      <c r="B42" s="1055" t="s">
        <v>1906</v>
      </c>
      <c r="C42" s="1055" t="s">
        <v>1149</v>
      </c>
      <c r="D42" s="1055" t="s">
        <v>1134</v>
      </c>
      <c r="E42" s="1055" t="s">
        <v>687</v>
      </c>
      <c r="F42" s="1049" t="s">
        <v>1974</v>
      </c>
      <c r="G42" s="1457" t="str">
        <f t="shared" si="7"/>
        <v>2005</v>
      </c>
      <c r="H42" s="1117" t="str">
        <f t="shared" si="8"/>
        <v>City of Sydney_2005</v>
      </c>
      <c r="I42" s="1049" t="s">
        <v>172</v>
      </c>
      <c r="J42" s="1049">
        <v>156572</v>
      </c>
      <c r="K42" s="1049">
        <v>26.15</v>
      </c>
      <c r="L42" s="1043">
        <v>73012549539.320007</v>
      </c>
      <c r="M42" s="1051">
        <v>53399.501012000001</v>
      </c>
      <c r="N42" s="1051">
        <v>387052.17743000004</v>
      </c>
      <c r="O42" s="1052" t="s">
        <v>176</v>
      </c>
      <c r="P42" s="1051">
        <v>108299.34843200001</v>
      </c>
      <c r="Q42" s="1051">
        <v>3350783.9744600002</v>
      </c>
      <c r="R42" s="1052" t="s">
        <v>176</v>
      </c>
      <c r="S42" s="1051" t="s">
        <v>176</v>
      </c>
      <c r="T42" s="1051" t="s">
        <v>176</v>
      </c>
      <c r="U42" s="1052" t="s">
        <v>176</v>
      </c>
      <c r="V42" s="1051" t="s">
        <v>175</v>
      </c>
      <c r="W42" s="1051" t="s">
        <v>175</v>
      </c>
      <c r="X42" s="1052" t="s">
        <v>175</v>
      </c>
      <c r="Y42" s="1053" t="s">
        <v>175</v>
      </c>
      <c r="Z42" s="1051" t="s">
        <v>175</v>
      </c>
      <c r="AA42" s="1051" t="s">
        <v>175</v>
      </c>
      <c r="AB42" s="1052" t="s">
        <v>175</v>
      </c>
      <c r="AC42" s="1051" t="s">
        <v>175</v>
      </c>
      <c r="AD42" s="1051" t="s">
        <v>175</v>
      </c>
      <c r="AE42" s="1052" t="s">
        <v>175</v>
      </c>
      <c r="AF42" s="1051" t="s">
        <v>175</v>
      </c>
      <c r="AG42" s="1051">
        <v>13574.4463907712</v>
      </c>
      <c r="AH42" s="1051">
        <v>167387.04462199917</v>
      </c>
      <c r="AI42" s="1051" t="s">
        <v>175</v>
      </c>
      <c r="AJ42" s="1052">
        <v>343160.28680626495</v>
      </c>
      <c r="AK42" s="1051" t="s">
        <v>175</v>
      </c>
      <c r="AL42" s="1051">
        <v>96520.604843666937</v>
      </c>
      <c r="AM42" s="1052">
        <v>193041.20968733387</v>
      </c>
      <c r="AN42" s="1051">
        <v>8064.9257331500012</v>
      </c>
      <c r="AO42" s="1051" t="s">
        <v>175</v>
      </c>
      <c r="AP42" s="1052">
        <v>16129.851466300002</v>
      </c>
      <c r="AQ42" s="1051" t="s">
        <v>175</v>
      </c>
      <c r="AR42" s="1051" t="s">
        <v>175</v>
      </c>
      <c r="AS42" s="1052" t="s">
        <v>177</v>
      </c>
      <c r="AT42" s="1051" t="s">
        <v>176</v>
      </c>
      <c r="AU42" s="1051" t="s">
        <v>175</v>
      </c>
      <c r="AV42" s="1052" t="s">
        <v>177</v>
      </c>
      <c r="AW42" s="1051" t="s">
        <v>175</v>
      </c>
      <c r="AX42" s="1051">
        <v>338878.68</v>
      </c>
      <c r="AY42" s="1053" t="s">
        <v>175</v>
      </c>
      <c r="AZ42" s="1051" t="s">
        <v>175</v>
      </c>
      <c r="BA42" s="1051">
        <v>42.046799999999998</v>
      </c>
      <c r="BB42" s="1053" t="s">
        <v>175</v>
      </c>
      <c r="BC42" s="1051" t="s">
        <v>175</v>
      </c>
      <c r="BD42" s="1051" t="s">
        <v>175</v>
      </c>
      <c r="BE42" s="1053" t="s">
        <v>175</v>
      </c>
      <c r="BF42" s="1051" t="s">
        <v>175</v>
      </c>
      <c r="BG42" s="1051">
        <v>3896.5409774719997</v>
      </c>
      <c r="BH42" s="1053" t="s">
        <v>175</v>
      </c>
      <c r="BI42" s="1052" t="s">
        <v>177</v>
      </c>
      <c r="BJ42" s="1052" t="s">
        <v>177</v>
      </c>
      <c r="BK42" s="1052" t="s">
        <v>177</v>
      </c>
      <c r="BL42" s="1052" t="s">
        <v>177</v>
      </c>
      <c r="BM42" s="1052" t="s">
        <v>177</v>
      </c>
      <c r="BN42" s="1054">
        <v>764760.65864389169</v>
      </c>
      <c r="BO42" s="1076" t="str">
        <f t="shared" si="9"/>
        <v>City of Sydney_2005</v>
      </c>
      <c r="BP42" s="1051">
        <v>4527899.2907010596</v>
      </c>
      <c r="BQ42" s="1052">
        <v>5080230.638660958</v>
      </c>
      <c r="BR42" s="1054">
        <v>5844991.2973048501</v>
      </c>
      <c r="BS42" s="1053">
        <v>350725.26618992037</v>
      </c>
      <c r="BT42" s="1051">
        <v>3913109.4477247698</v>
      </c>
      <c r="BU42" s="1051">
        <v>271972.57519881614</v>
      </c>
      <c r="BV42" s="1051">
        <v>342817.26777747198</v>
      </c>
      <c r="BW42" s="1052">
        <v>3913109.4477247717</v>
      </c>
      <c r="BX42" s="1052">
        <v>824303.9231587149</v>
      </c>
      <c r="BY42" s="1052">
        <v>342817.26777747198</v>
      </c>
      <c r="BZ42" s="1052" t="s">
        <v>1637</v>
      </c>
      <c r="CA42" s="1052" t="s">
        <v>1637</v>
      </c>
      <c r="CB42" s="1053">
        <v>175273.29583477121</v>
      </c>
      <c r="CC42" s="1053" t="s">
        <v>1637</v>
      </c>
      <c r="CD42" s="1053">
        <v>175451.97035514918</v>
      </c>
      <c r="CE42" s="1053" t="s">
        <v>1637</v>
      </c>
      <c r="CF42" s="1053" t="s">
        <v>1637</v>
      </c>
      <c r="CG42" s="1053" t="s">
        <v>1637</v>
      </c>
      <c r="CH42" s="1053" t="s">
        <v>1637</v>
      </c>
      <c r="CI42" s="1051">
        <v>440451.67844200006</v>
      </c>
      <c r="CJ42" s="1051">
        <v>3459083.322892</v>
      </c>
      <c r="CK42" s="1051" t="s">
        <v>1637</v>
      </c>
      <c r="CL42" s="1051" t="s">
        <v>1637</v>
      </c>
      <c r="CM42" s="1051" t="s">
        <v>1637</v>
      </c>
      <c r="CN42" s="1051" t="s">
        <v>1637</v>
      </c>
      <c r="CO42" s="1051" t="s">
        <v>1637</v>
      </c>
      <c r="CP42" s="1051">
        <v>13574.4463907712</v>
      </c>
      <c r="CQ42" s="1051">
        <v>167387.04462199917</v>
      </c>
      <c r="CR42" s="1051">
        <v>96520.604843666937</v>
      </c>
      <c r="CS42" s="1051">
        <v>8064.9257331500012</v>
      </c>
      <c r="CT42" s="1051" t="s">
        <v>1637</v>
      </c>
      <c r="CU42" s="1051" t="s">
        <v>1637</v>
      </c>
      <c r="CV42" s="1051">
        <v>338878.68</v>
      </c>
      <c r="CW42" s="1051">
        <v>42.046799999999998</v>
      </c>
      <c r="CX42" s="1051" t="s">
        <v>1637</v>
      </c>
      <c r="CY42" s="1051">
        <v>3896.5409774719997</v>
      </c>
      <c r="CZ42" s="1118">
        <v>440451.67844200006</v>
      </c>
      <c r="DA42" s="1118">
        <v>3459083.322892</v>
      </c>
      <c r="DB42" s="1118" t="s">
        <v>1637</v>
      </c>
      <c r="DC42" s="1118" t="s">
        <v>1637</v>
      </c>
      <c r="DD42" s="1118" t="s">
        <v>1637</v>
      </c>
      <c r="DE42" s="1118" t="s">
        <v>1637</v>
      </c>
      <c r="DF42" s="1118" t="s">
        <v>1637</v>
      </c>
      <c r="DG42" s="1118">
        <v>13574.4463907712</v>
      </c>
      <c r="DH42" s="1118">
        <v>510547.33142826415</v>
      </c>
      <c r="DI42" s="1118">
        <v>289561.8145310008</v>
      </c>
      <c r="DJ42" s="1118">
        <v>24194.777199450004</v>
      </c>
      <c r="DK42" s="1118" t="s">
        <v>1637</v>
      </c>
      <c r="DL42" s="1118" t="s">
        <v>1637</v>
      </c>
      <c r="DM42" s="1118">
        <v>338878.68</v>
      </c>
      <c r="DN42" s="1118">
        <v>42.046799999999998</v>
      </c>
      <c r="DO42" s="1118" t="s">
        <v>1637</v>
      </c>
      <c r="DP42" s="1118">
        <v>3896.5409774719997</v>
      </c>
      <c r="DQ42" s="1118" t="s">
        <v>1637</v>
      </c>
      <c r="DR42" s="1118" t="s">
        <v>1637</v>
      </c>
      <c r="DS42" s="1118" t="s">
        <v>1637</v>
      </c>
      <c r="DT42" s="1118" t="s">
        <v>1637</v>
      </c>
      <c r="DU42" s="1118" t="s">
        <v>1637</v>
      </c>
      <c r="DV42" s="1119">
        <v>764760.65864389169</v>
      </c>
      <c r="DW42" s="1120">
        <v>53399.501012000001</v>
      </c>
      <c r="DX42" s="1120">
        <v>108299.34843200001</v>
      </c>
      <c r="DY42" s="1120" t="s">
        <v>1637</v>
      </c>
      <c r="DZ42" s="1120" t="s">
        <v>1637</v>
      </c>
      <c r="EA42" s="1120" t="s">
        <v>1637</v>
      </c>
      <c r="EB42" s="1120" t="s">
        <v>1637</v>
      </c>
      <c r="EC42" s="1120" t="s">
        <v>1637</v>
      </c>
      <c r="ED42" s="1120" t="s">
        <v>1637</v>
      </c>
      <c r="EE42" s="1120">
        <v>13574.4463907712</v>
      </c>
      <c r="EF42" s="1120">
        <v>167387.04462199917</v>
      </c>
      <c r="EG42" s="1120" t="s">
        <v>1637</v>
      </c>
      <c r="EH42" s="1120">
        <v>8064.9257331500012</v>
      </c>
      <c r="EI42" s="1120" t="s">
        <v>1637</v>
      </c>
      <c r="EJ42" s="1120" t="s">
        <v>1637</v>
      </c>
      <c r="EK42" s="1120" t="s">
        <v>1637</v>
      </c>
      <c r="EL42" s="1120" t="s">
        <v>1637</v>
      </c>
      <c r="EM42" s="1120" t="s">
        <v>1637</v>
      </c>
      <c r="EN42" s="1120" t="s">
        <v>1637</v>
      </c>
      <c r="EO42" s="1120" t="s">
        <v>1637</v>
      </c>
      <c r="EP42" s="1120" t="s">
        <v>1637</v>
      </c>
      <c r="EQ42" s="1120" t="s">
        <v>1637</v>
      </c>
      <c r="ER42" s="1120" t="s">
        <v>1637</v>
      </c>
      <c r="ES42" s="1120" t="s">
        <v>1637</v>
      </c>
    </row>
    <row r="43" spans="1:150" s="1121" customFormat="1" ht="15" customHeight="1">
      <c r="A43" s="1799">
        <v>28</v>
      </c>
      <c r="B43" s="1055" t="s">
        <v>1906</v>
      </c>
      <c r="C43" s="1055" t="s">
        <v>1149</v>
      </c>
      <c r="D43" s="1055" t="s">
        <v>1134</v>
      </c>
      <c r="E43" s="1055" t="s">
        <v>687</v>
      </c>
      <c r="F43" s="1049" t="s">
        <v>1975</v>
      </c>
      <c r="G43" s="1457" t="str">
        <f t="shared" si="7"/>
        <v>2014</v>
      </c>
      <c r="H43" s="1117" t="str">
        <f t="shared" si="8"/>
        <v>City of Sydney_2014</v>
      </c>
      <c r="I43" s="1049" t="s">
        <v>172</v>
      </c>
      <c r="J43" s="1049">
        <v>205728.86297376096</v>
      </c>
      <c r="K43" s="1049">
        <v>26.15</v>
      </c>
      <c r="L43" s="1043">
        <v>73012549539.320007</v>
      </c>
      <c r="M43" s="1051">
        <v>68201.214473184664</v>
      </c>
      <c r="N43" s="1051">
        <v>345461.01185999997</v>
      </c>
      <c r="O43" s="1052" t="s">
        <v>176</v>
      </c>
      <c r="P43" s="1051">
        <v>111975.40561073429</v>
      </c>
      <c r="Q43" s="1051">
        <v>2766482.2709999997</v>
      </c>
      <c r="R43" s="1052" t="s">
        <v>176</v>
      </c>
      <c r="S43" s="1051" t="s">
        <v>176</v>
      </c>
      <c r="T43" s="1051" t="s">
        <v>176</v>
      </c>
      <c r="U43" s="1052" t="s">
        <v>176</v>
      </c>
      <c r="V43" s="1051" t="s">
        <v>175</v>
      </c>
      <c r="W43" s="1051" t="s">
        <v>175</v>
      </c>
      <c r="X43" s="1052" t="s">
        <v>175</v>
      </c>
      <c r="Y43" s="1053" t="s">
        <v>175</v>
      </c>
      <c r="Z43" s="1051" t="s">
        <v>175</v>
      </c>
      <c r="AA43" s="1051" t="s">
        <v>175</v>
      </c>
      <c r="AB43" s="1052" t="s">
        <v>175</v>
      </c>
      <c r="AC43" s="1051" t="s">
        <v>175</v>
      </c>
      <c r="AD43" s="1051" t="s">
        <v>175</v>
      </c>
      <c r="AE43" s="1052" t="s">
        <v>175</v>
      </c>
      <c r="AF43" s="1051" t="s">
        <v>175</v>
      </c>
      <c r="AG43" s="1051">
        <v>15234.665096891125</v>
      </c>
      <c r="AH43" s="1051">
        <v>158795.11042066236</v>
      </c>
      <c r="AI43" s="1051" t="s">
        <v>175</v>
      </c>
      <c r="AJ43" s="1052">
        <v>317590.22084132471</v>
      </c>
      <c r="AK43" s="1051" t="s">
        <v>175</v>
      </c>
      <c r="AL43" s="1051">
        <v>85521.344031772387</v>
      </c>
      <c r="AM43" s="1052">
        <v>171042.68806354477</v>
      </c>
      <c r="AN43" s="1051">
        <v>4857.6167573512748</v>
      </c>
      <c r="AO43" s="1051" t="s">
        <v>175</v>
      </c>
      <c r="AP43" s="1052">
        <v>9715.2335147025497</v>
      </c>
      <c r="AQ43" s="1051" t="s">
        <v>175</v>
      </c>
      <c r="AR43" s="1051" t="s">
        <v>175</v>
      </c>
      <c r="AS43" s="1052" t="s">
        <v>177</v>
      </c>
      <c r="AT43" s="1051" t="s">
        <v>176</v>
      </c>
      <c r="AU43" s="1051" t="s">
        <v>175</v>
      </c>
      <c r="AV43" s="1052" t="s">
        <v>177</v>
      </c>
      <c r="AW43" s="1051" t="s">
        <v>175</v>
      </c>
      <c r="AX43" s="1051">
        <v>175018.5</v>
      </c>
      <c r="AY43" s="1053" t="s">
        <v>175</v>
      </c>
      <c r="AZ43" s="1051" t="s">
        <v>175</v>
      </c>
      <c r="BA43" s="1051">
        <v>195.83959999999999</v>
      </c>
      <c r="BB43" s="1053" t="s">
        <v>175</v>
      </c>
      <c r="BC43" s="1051" t="s">
        <v>175</v>
      </c>
      <c r="BD43" s="1051" t="s">
        <v>175</v>
      </c>
      <c r="BE43" s="1053" t="s">
        <v>175</v>
      </c>
      <c r="BF43" s="1051" t="s">
        <v>175</v>
      </c>
      <c r="BG43" s="1051">
        <v>5119.8869837900875</v>
      </c>
      <c r="BH43" s="1053" t="s">
        <v>175</v>
      </c>
      <c r="BI43" s="1052" t="s">
        <v>177</v>
      </c>
      <c r="BJ43" s="1052" t="s">
        <v>177</v>
      </c>
      <c r="BK43" s="1052" t="s">
        <v>177</v>
      </c>
      <c r="BL43" s="1052" t="s">
        <v>177</v>
      </c>
      <c r="BM43" s="1052" t="s">
        <v>177</v>
      </c>
      <c r="BN43" s="1054">
        <v>518805.89412175561</v>
      </c>
      <c r="BO43" s="1076" t="str">
        <f t="shared" si="9"/>
        <v>City of Sydney_2014</v>
      </c>
      <c r="BP43" s="1051">
        <v>3736862.8658343856</v>
      </c>
      <c r="BQ43" s="1052">
        <v>4235211.0082539581</v>
      </c>
      <c r="BR43" s="1054">
        <v>4754016.9023757139</v>
      </c>
      <c r="BS43" s="1053">
        <v>359064.01235882367</v>
      </c>
      <c r="BT43" s="1051">
        <v>3307354.5680408096</v>
      </c>
      <c r="BU43" s="1051">
        <v>249174.07120978599</v>
      </c>
      <c r="BV43" s="1051">
        <v>180334.22658379009</v>
      </c>
      <c r="BW43" s="1052">
        <v>3307354.5680408096</v>
      </c>
      <c r="BX43" s="1052">
        <v>747522.21362935798</v>
      </c>
      <c r="BY43" s="1052">
        <v>180334.22658379009</v>
      </c>
      <c r="BZ43" s="1052" t="s">
        <v>1637</v>
      </c>
      <c r="CA43" s="1052" t="s">
        <v>1637</v>
      </c>
      <c r="CB43" s="1053">
        <v>195411.28518081008</v>
      </c>
      <c r="CC43" s="1053" t="s">
        <v>1637</v>
      </c>
      <c r="CD43" s="1053">
        <v>163652.72717801362</v>
      </c>
      <c r="CE43" s="1053" t="s">
        <v>1637</v>
      </c>
      <c r="CF43" s="1053" t="s">
        <v>1637</v>
      </c>
      <c r="CG43" s="1053" t="s">
        <v>1637</v>
      </c>
      <c r="CH43" s="1053" t="s">
        <v>1637</v>
      </c>
      <c r="CI43" s="1051">
        <v>413662.22633318463</v>
      </c>
      <c r="CJ43" s="1051">
        <v>2878457.6766107338</v>
      </c>
      <c r="CK43" s="1051" t="s">
        <v>1637</v>
      </c>
      <c r="CL43" s="1051" t="s">
        <v>1637</v>
      </c>
      <c r="CM43" s="1051" t="s">
        <v>1637</v>
      </c>
      <c r="CN43" s="1051" t="s">
        <v>1637</v>
      </c>
      <c r="CO43" s="1051" t="s">
        <v>1637</v>
      </c>
      <c r="CP43" s="1051">
        <v>15234.665096891125</v>
      </c>
      <c r="CQ43" s="1051">
        <v>158795.11042066236</v>
      </c>
      <c r="CR43" s="1051">
        <v>85521.344031772387</v>
      </c>
      <c r="CS43" s="1051">
        <v>4857.6167573512748</v>
      </c>
      <c r="CT43" s="1051" t="s">
        <v>1637</v>
      </c>
      <c r="CU43" s="1051" t="s">
        <v>1637</v>
      </c>
      <c r="CV43" s="1051">
        <v>175018.5</v>
      </c>
      <c r="CW43" s="1051">
        <v>195.83959999999999</v>
      </c>
      <c r="CX43" s="1051" t="s">
        <v>1637</v>
      </c>
      <c r="CY43" s="1051">
        <v>5119.8869837900875</v>
      </c>
      <c r="CZ43" s="1118">
        <v>413662.22633318463</v>
      </c>
      <c r="DA43" s="1118">
        <v>2878457.6766107338</v>
      </c>
      <c r="DB43" s="1118" t="s">
        <v>1637</v>
      </c>
      <c r="DC43" s="1118" t="s">
        <v>1637</v>
      </c>
      <c r="DD43" s="1118" t="s">
        <v>1637</v>
      </c>
      <c r="DE43" s="1118" t="s">
        <v>1637</v>
      </c>
      <c r="DF43" s="1118" t="s">
        <v>1637</v>
      </c>
      <c r="DG43" s="1118">
        <v>15234.665096891125</v>
      </c>
      <c r="DH43" s="1118">
        <v>476385.3312619871</v>
      </c>
      <c r="DI43" s="1118">
        <v>256564.03209531715</v>
      </c>
      <c r="DJ43" s="1118">
        <v>14572.850272053824</v>
      </c>
      <c r="DK43" s="1118" t="s">
        <v>1637</v>
      </c>
      <c r="DL43" s="1118" t="s">
        <v>1637</v>
      </c>
      <c r="DM43" s="1118">
        <v>175018.5</v>
      </c>
      <c r="DN43" s="1118">
        <v>195.83959999999999</v>
      </c>
      <c r="DO43" s="1118" t="s">
        <v>1637</v>
      </c>
      <c r="DP43" s="1118">
        <v>5119.8869837900875</v>
      </c>
      <c r="DQ43" s="1118" t="s">
        <v>1637</v>
      </c>
      <c r="DR43" s="1118" t="s">
        <v>1637</v>
      </c>
      <c r="DS43" s="1118" t="s">
        <v>1637</v>
      </c>
      <c r="DT43" s="1118" t="s">
        <v>1637</v>
      </c>
      <c r="DU43" s="1118" t="s">
        <v>1637</v>
      </c>
      <c r="DV43" s="1119">
        <v>518805.89412175561</v>
      </c>
      <c r="DW43" s="1120">
        <v>68201.214473184664</v>
      </c>
      <c r="DX43" s="1120">
        <v>111975.40561073429</v>
      </c>
      <c r="DY43" s="1120" t="s">
        <v>1637</v>
      </c>
      <c r="DZ43" s="1120" t="s">
        <v>1637</v>
      </c>
      <c r="EA43" s="1120" t="s">
        <v>1637</v>
      </c>
      <c r="EB43" s="1120" t="s">
        <v>1637</v>
      </c>
      <c r="EC43" s="1120" t="s">
        <v>1637</v>
      </c>
      <c r="ED43" s="1120" t="s">
        <v>1637</v>
      </c>
      <c r="EE43" s="1120">
        <v>15234.665096891125</v>
      </c>
      <c r="EF43" s="1120">
        <v>158795.11042066236</v>
      </c>
      <c r="EG43" s="1120" t="s">
        <v>1637</v>
      </c>
      <c r="EH43" s="1120">
        <v>4857.6167573512748</v>
      </c>
      <c r="EI43" s="1120" t="s">
        <v>1637</v>
      </c>
      <c r="EJ43" s="1120" t="s">
        <v>1637</v>
      </c>
      <c r="EK43" s="1120" t="s">
        <v>1637</v>
      </c>
      <c r="EL43" s="1120" t="s">
        <v>1637</v>
      </c>
      <c r="EM43" s="1120" t="s">
        <v>1637</v>
      </c>
      <c r="EN43" s="1120" t="s">
        <v>1637</v>
      </c>
      <c r="EO43" s="1120" t="s">
        <v>1637</v>
      </c>
      <c r="EP43" s="1120" t="s">
        <v>1637</v>
      </c>
      <c r="EQ43" s="1120" t="s">
        <v>1637</v>
      </c>
      <c r="ER43" s="1120" t="s">
        <v>1637</v>
      </c>
      <c r="ES43" s="1120" t="s">
        <v>1637</v>
      </c>
    </row>
    <row r="44" spans="1:150" s="1121" customFormat="1" ht="15" customHeight="1">
      <c r="A44" s="1799">
        <v>29</v>
      </c>
      <c r="B44" s="1055" t="s">
        <v>1739</v>
      </c>
      <c r="C44" s="1055" t="s">
        <v>1143</v>
      </c>
      <c r="D44" s="1055" t="s">
        <v>1134</v>
      </c>
      <c r="E44" s="1055" t="s">
        <v>689</v>
      </c>
      <c r="F44" s="1049">
        <v>2013</v>
      </c>
      <c r="G44" s="1457" t="str">
        <f t="shared" si="7"/>
        <v>2013</v>
      </c>
      <c r="H44" s="1117" t="str">
        <f t="shared" si="5"/>
        <v>Toronto_2013</v>
      </c>
      <c r="I44" s="1049" t="s">
        <v>172</v>
      </c>
      <c r="J44" s="1049">
        <v>2741280</v>
      </c>
      <c r="K44" s="1049">
        <v>641</v>
      </c>
      <c r="L44" s="1043">
        <v>157000000000</v>
      </c>
      <c r="M44" s="1051">
        <v>4207619.0211084448</v>
      </c>
      <c r="N44" s="1051">
        <v>438697.77231659583</v>
      </c>
      <c r="O44" s="1052" t="s">
        <v>177</v>
      </c>
      <c r="P44" s="1051">
        <v>2538630.171705625</v>
      </c>
      <c r="Q44" s="1051">
        <v>1486576.374048304</v>
      </c>
      <c r="R44" s="1052" t="s">
        <v>177</v>
      </c>
      <c r="S44" s="1051">
        <v>1021372.86724439</v>
      </c>
      <c r="T44" s="1051">
        <v>216616.62225834402</v>
      </c>
      <c r="U44" s="1052" t="s">
        <v>177</v>
      </c>
      <c r="V44" s="1051" t="s">
        <v>176</v>
      </c>
      <c r="W44" s="1051" t="s">
        <v>176</v>
      </c>
      <c r="X44" s="1052" t="s">
        <v>177</v>
      </c>
      <c r="Y44" s="1053">
        <v>434466.1</v>
      </c>
      <c r="Z44" s="1051" t="s">
        <v>175</v>
      </c>
      <c r="AA44" s="1051" t="s">
        <v>175</v>
      </c>
      <c r="AB44" s="1052" t="s">
        <v>175</v>
      </c>
      <c r="AC44" s="1051" t="s">
        <v>175</v>
      </c>
      <c r="AD44" s="1051" t="s">
        <v>175</v>
      </c>
      <c r="AE44" s="1052" t="s">
        <v>175</v>
      </c>
      <c r="AF44" s="1051" t="s">
        <v>175</v>
      </c>
      <c r="AG44" s="1051">
        <v>126168.572054652</v>
      </c>
      <c r="AH44" s="1051">
        <v>6892923.9903200874</v>
      </c>
      <c r="AI44" s="1051" t="s">
        <v>176</v>
      </c>
      <c r="AJ44" s="1052">
        <v>15197.340155400001</v>
      </c>
      <c r="AK44" s="1051">
        <v>127246.79618769999</v>
      </c>
      <c r="AL44" s="1051">
        <v>28056.248958584001</v>
      </c>
      <c r="AM44" s="1052" t="s">
        <v>175</v>
      </c>
      <c r="AN44" s="1051">
        <v>1429.0060386829998</v>
      </c>
      <c r="AO44" s="1051" t="s">
        <v>175</v>
      </c>
      <c r="AP44" s="1052" t="s">
        <v>175</v>
      </c>
      <c r="AQ44" s="1051" t="s">
        <v>175</v>
      </c>
      <c r="AR44" s="1051" t="s">
        <v>175</v>
      </c>
      <c r="AS44" s="1052" t="s">
        <v>175</v>
      </c>
      <c r="AT44" s="1051" t="s">
        <v>175</v>
      </c>
      <c r="AU44" s="1051" t="s">
        <v>175</v>
      </c>
      <c r="AV44" s="1052" t="s">
        <v>175</v>
      </c>
      <c r="AW44" s="1051">
        <v>332584.44035270449</v>
      </c>
      <c r="AX44" s="1051">
        <v>1920253.28554313</v>
      </c>
      <c r="AY44" s="1053" t="s">
        <v>175</v>
      </c>
      <c r="AZ44" s="1051" t="s">
        <v>175</v>
      </c>
      <c r="BA44" s="1051" t="s">
        <v>175</v>
      </c>
      <c r="BB44" s="1053" t="s">
        <v>175</v>
      </c>
      <c r="BC44" s="1051" t="s">
        <v>175</v>
      </c>
      <c r="BD44" s="1051" t="s">
        <v>175</v>
      </c>
      <c r="BE44" s="1053" t="s">
        <v>175</v>
      </c>
      <c r="BF44" s="1051">
        <v>26049.807611995813</v>
      </c>
      <c r="BG44" s="1051" t="s">
        <v>175</v>
      </c>
      <c r="BH44" s="1053" t="s">
        <v>175</v>
      </c>
      <c r="BI44" s="1052" t="s">
        <v>177</v>
      </c>
      <c r="BJ44" s="1052" t="s">
        <v>177</v>
      </c>
      <c r="BK44" s="1052" t="s">
        <v>177</v>
      </c>
      <c r="BL44" s="1052" t="s">
        <v>177</v>
      </c>
      <c r="BM44" s="1052" t="s">
        <v>177</v>
      </c>
      <c r="BN44" s="1054" t="s">
        <v>177</v>
      </c>
      <c r="BO44" s="1076" t="str">
        <f t="shared" si="6"/>
        <v>Toronto_2013</v>
      </c>
      <c r="BP44" s="1051">
        <v>19364224.975749239</v>
      </c>
      <c r="BQ44" s="1052">
        <v>19379422.31590464</v>
      </c>
      <c r="BR44" s="1054">
        <v>19379422.31590464</v>
      </c>
      <c r="BS44" s="1053">
        <v>15708490.772624282</v>
      </c>
      <c r="BT44" s="1051">
        <v>10035681.400736354</v>
      </c>
      <c r="BU44" s="1051">
        <v>7049656.0415050536</v>
      </c>
      <c r="BV44" s="1051">
        <v>2278887.5335078305</v>
      </c>
      <c r="BW44" s="1052">
        <v>10035681.400736354</v>
      </c>
      <c r="BX44" s="1052">
        <v>7064853.381660454</v>
      </c>
      <c r="BY44" s="1052">
        <v>2278887.5335078305</v>
      </c>
      <c r="BZ44" s="1052" t="s">
        <v>1637</v>
      </c>
      <c r="CA44" s="1052" t="s">
        <v>1637</v>
      </c>
      <c r="CB44" s="1053">
        <v>7893790.6321131112</v>
      </c>
      <c r="CC44" s="1053">
        <v>434466.1</v>
      </c>
      <c r="CD44" s="1053">
        <v>7021599.7925464697</v>
      </c>
      <c r="CE44" s="1053">
        <v>358634.24796470033</v>
      </c>
      <c r="CF44" s="1053" t="s">
        <v>1637</v>
      </c>
      <c r="CG44" s="1053" t="s">
        <v>1637</v>
      </c>
      <c r="CH44" s="1053" t="s">
        <v>1637</v>
      </c>
      <c r="CI44" s="1051">
        <v>4646316.7934250403</v>
      </c>
      <c r="CJ44" s="1051">
        <v>4025206.5457539288</v>
      </c>
      <c r="CK44" s="1051">
        <v>1237989.489502734</v>
      </c>
      <c r="CL44" s="1051" t="s">
        <v>1637</v>
      </c>
      <c r="CM44" s="1051" t="s">
        <v>1637</v>
      </c>
      <c r="CN44" s="1051" t="s">
        <v>1637</v>
      </c>
      <c r="CO44" s="1051" t="s">
        <v>1637</v>
      </c>
      <c r="CP44" s="1051">
        <v>126168.572054652</v>
      </c>
      <c r="CQ44" s="1051">
        <v>6892923.9903200874</v>
      </c>
      <c r="CR44" s="1051">
        <v>155303.04514628398</v>
      </c>
      <c r="CS44" s="1051">
        <v>1429.0060386829998</v>
      </c>
      <c r="CT44" s="1051" t="s">
        <v>1637</v>
      </c>
      <c r="CU44" s="1051" t="s">
        <v>1637</v>
      </c>
      <c r="CV44" s="1051">
        <v>2252837.7258958346</v>
      </c>
      <c r="CW44" s="1051" t="s">
        <v>1637</v>
      </c>
      <c r="CX44" s="1051" t="s">
        <v>1637</v>
      </c>
      <c r="CY44" s="1051">
        <v>26049.807611995813</v>
      </c>
      <c r="CZ44" s="1118">
        <v>4646316.7934250403</v>
      </c>
      <c r="DA44" s="1118">
        <v>4025206.5457539288</v>
      </c>
      <c r="DB44" s="1118">
        <v>1237989.489502734</v>
      </c>
      <c r="DC44" s="1118" t="s">
        <v>1637</v>
      </c>
      <c r="DD44" s="1118" t="s">
        <v>1637</v>
      </c>
      <c r="DE44" s="1118" t="s">
        <v>1637</v>
      </c>
      <c r="DF44" s="1118" t="s">
        <v>1637</v>
      </c>
      <c r="DG44" s="1118">
        <v>126168.572054652</v>
      </c>
      <c r="DH44" s="1118">
        <v>6908121.3304754877</v>
      </c>
      <c r="DI44" s="1118">
        <v>155303.04514628398</v>
      </c>
      <c r="DJ44" s="1118">
        <v>1429.0060386829998</v>
      </c>
      <c r="DK44" s="1118" t="s">
        <v>1637</v>
      </c>
      <c r="DL44" s="1118" t="s">
        <v>1637</v>
      </c>
      <c r="DM44" s="1118">
        <v>2252837.7258958346</v>
      </c>
      <c r="DN44" s="1118" t="s">
        <v>1637</v>
      </c>
      <c r="DO44" s="1118" t="s">
        <v>1637</v>
      </c>
      <c r="DP44" s="1118">
        <v>26049.807611995813</v>
      </c>
      <c r="DQ44" s="1118" t="s">
        <v>1637</v>
      </c>
      <c r="DR44" s="1118" t="s">
        <v>1637</v>
      </c>
      <c r="DS44" s="1118" t="s">
        <v>1637</v>
      </c>
      <c r="DT44" s="1118" t="s">
        <v>1637</v>
      </c>
      <c r="DU44" s="1118" t="s">
        <v>1637</v>
      </c>
      <c r="DV44" s="1119" t="s">
        <v>1637</v>
      </c>
      <c r="DW44" s="1120">
        <v>4207619.0211084448</v>
      </c>
      <c r="DX44" s="1120">
        <v>2538630.171705625</v>
      </c>
      <c r="DY44" s="1120">
        <v>1021372.86724439</v>
      </c>
      <c r="DZ44" s="1120" t="s">
        <v>1637</v>
      </c>
      <c r="EA44" s="1120">
        <v>434466.1</v>
      </c>
      <c r="EB44" s="1120" t="s">
        <v>1637</v>
      </c>
      <c r="EC44" s="1120" t="s">
        <v>1637</v>
      </c>
      <c r="ED44" s="1120" t="s">
        <v>1637</v>
      </c>
      <c r="EE44" s="1120">
        <v>126168.572054652</v>
      </c>
      <c r="EF44" s="1120">
        <v>6892923.9903200874</v>
      </c>
      <c r="EG44" s="1120">
        <v>127246.79618769999</v>
      </c>
      <c r="EH44" s="1120">
        <v>1429.0060386829998</v>
      </c>
      <c r="EI44" s="1120" t="s">
        <v>1637</v>
      </c>
      <c r="EJ44" s="1120" t="s">
        <v>1637</v>
      </c>
      <c r="EK44" s="1120">
        <v>332584.44035270449</v>
      </c>
      <c r="EL44" s="1120" t="s">
        <v>1637</v>
      </c>
      <c r="EM44" s="1120" t="s">
        <v>1637</v>
      </c>
      <c r="EN44" s="1120">
        <v>26049.807611995813</v>
      </c>
      <c r="EO44" s="1120" t="s">
        <v>1637</v>
      </c>
      <c r="EP44" s="1120" t="s">
        <v>1637</v>
      </c>
      <c r="EQ44" s="1120" t="s">
        <v>1637</v>
      </c>
      <c r="ER44" s="1120" t="s">
        <v>1637</v>
      </c>
      <c r="ES44" s="1120" t="s">
        <v>1637</v>
      </c>
    </row>
    <row r="45" spans="1:150" s="1121" customFormat="1" ht="15" customHeight="1">
      <c r="A45" s="1799">
        <v>30</v>
      </c>
      <c r="B45" s="1055" t="s">
        <v>1758</v>
      </c>
      <c r="C45" s="1055" t="s">
        <v>1143</v>
      </c>
      <c r="D45" s="1055" t="s">
        <v>1134</v>
      </c>
      <c r="E45" s="1055" t="s">
        <v>687</v>
      </c>
      <c r="F45" s="1049">
        <v>2014</v>
      </c>
      <c r="G45" s="1457" t="str">
        <f t="shared" si="7"/>
        <v>2014</v>
      </c>
      <c r="H45" s="1117" t="str">
        <f t="shared" si="5"/>
        <v>City of Vancouver_2014</v>
      </c>
      <c r="I45" s="1049" t="s">
        <v>172</v>
      </c>
      <c r="J45" s="1049">
        <v>618502</v>
      </c>
      <c r="K45" s="1049">
        <v>114.97</v>
      </c>
      <c r="L45" s="1043">
        <v>84415033680.342926</v>
      </c>
      <c r="M45" s="1051">
        <v>466982.6893956</v>
      </c>
      <c r="N45" s="1051">
        <v>17750.205886706761</v>
      </c>
      <c r="O45" s="1052" t="s">
        <v>177</v>
      </c>
      <c r="P45" s="1051">
        <v>522081.42295680003</v>
      </c>
      <c r="Q45" s="1051">
        <v>32733.08956221231</v>
      </c>
      <c r="R45" s="1052" t="s">
        <v>177</v>
      </c>
      <c r="S45" s="1051">
        <v>344905.79996880004</v>
      </c>
      <c r="T45" s="1051">
        <v>2371.2336036487422</v>
      </c>
      <c r="U45" s="1052" t="s">
        <v>177</v>
      </c>
      <c r="V45" s="1051" t="s">
        <v>176</v>
      </c>
      <c r="W45" s="1051" t="s">
        <v>176</v>
      </c>
      <c r="X45" s="1052" t="s">
        <v>175</v>
      </c>
      <c r="Y45" s="1053">
        <v>1864.937519999851</v>
      </c>
      <c r="Z45" s="1051" t="s">
        <v>175</v>
      </c>
      <c r="AA45" s="1051" t="s">
        <v>175</v>
      </c>
      <c r="AB45" s="1052" t="s">
        <v>175</v>
      </c>
      <c r="AC45" s="1051" t="s">
        <v>175</v>
      </c>
      <c r="AD45" s="1051" t="s">
        <v>175</v>
      </c>
      <c r="AE45" s="1052" t="s">
        <v>175</v>
      </c>
      <c r="AF45" s="1051" t="s">
        <v>175</v>
      </c>
      <c r="AG45" s="1051">
        <v>19307.147751417866</v>
      </c>
      <c r="AH45" s="1051">
        <v>1005807.2450496393</v>
      </c>
      <c r="AI45" s="1051" t="s">
        <v>176</v>
      </c>
      <c r="AJ45" s="1052" t="s">
        <v>177</v>
      </c>
      <c r="AK45" s="1051">
        <v>12439.420904393815</v>
      </c>
      <c r="AL45" s="1051" t="s">
        <v>176</v>
      </c>
      <c r="AM45" s="1052" t="s">
        <v>177</v>
      </c>
      <c r="AN45" s="1051" t="s">
        <v>175</v>
      </c>
      <c r="AO45" s="1051" t="s">
        <v>175</v>
      </c>
      <c r="AP45" s="1052" t="s">
        <v>177</v>
      </c>
      <c r="AQ45" s="1051" t="s">
        <v>175</v>
      </c>
      <c r="AR45" s="1051" t="s">
        <v>175</v>
      </c>
      <c r="AS45" s="1052" t="s">
        <v>177</v>
      </c>
      <c r="AT45" s="1051">
        <v>16359</v>
      </c>
      <c r="AU45" s="1051" t="s">
        <v>175</v>
      </c>
      <c r="AV45" s="1052" t="s">
        <v>177</v>
      </c>
      <c r="AW45" s="1051" t="s">
        <v>175</v>
      </c>
      <c r="AX45" s="1051">
        <v>99429.707476538504</v>
      </c>
      <c r="AY45" s="1053" t="s">
        <v>175</v>
      </c>
      <c r="AZ45" s="1051" t="s">
        <v>175</v>
      </c>
      <c r="BA45" s="1051">
        <v>12990.567200000001</v>
      </c>
      <c r="BB45" s="1053" t="s">
        <v>175</v>
      </c>
      <c r="BC45" s="1051" t="s">
        <v>175</v>
      </c>
      <c r="BD45" s="1051" t="s">
        <v>176</v>
      </c>
      <c r="BE45" s="1053" t="s">
        <v>175</v>
      </c>
      <c r="BF45" s="1051" t="s">
        <v>175</v>
      </c>
      <c r="BG45" s="1051">
        <v>5311.7452460005024</v>
      </c>
      <c r="BH45" s="1053" t="s">
        <v>175</v>
      </c>
      <c r="BI45" s="1052" t="s">
        <v>177</v>
      </c>
      <c r="BJ45" s="1052" t="s">
        <v>177</v>
      </c>
      <c r="BK45" s="1052" t="s">
        <v>177</v>
      </c>
      <c r="BL45" s="1052" t="s">
        <v>177</v>
      </c>
      <c r="BM45" s="1052" t="s">
        <v>177</v>
      </c>
      <c r="BN45" s="1054" t="s">
        <v>177</v>
      </c>
      <c r="BO45" s="1076" t="str">
        <f t="shared" si="6"/>
        <v>City of Vancouver_2014</v>
      </c>
      <c r="BP45" s="1051">
        <v>2558469.2750017582</v>
      </c>
      <c r="BQ45" s="1052">
        <v>2558469.2750017582</v>
      </c>
      <c r="BR45" s="1054">
        <v>2558469.2750017578</v>
      </c>
      <c r="BS45" s="1053">
        <v>2389747.6635466511</v>
      </c>
      <c r="BT45" s="1051">
        <v>1406131.589125186</v>
      </c>
      <c r="BU45" s="1051">
        <v>1034605.665954033</v>
      </c>
      <c r="BV45" s="1051">
        <v>117732.01992253901</v>
      </c>
      <c r="BW45" s="1052">
        <v>1406131.589125186</v>
      </c>
      <c r="BX45" s="1052">
        <v>1034605.665954033</v>
      </c>
      <c r="BY45" s="1052">
        <v>117732.01992253901</v>
      </c>
      <c r="BZ45" s="1052" t="s">
        <v>1637</v>
      </c>
      <c r="CA45" s="1052" t="s">
        <v>1637</v>
      </c>
      <c r="CB45" s="1053">
        <v>1353277.0600726181</v>
      </c>
      <c r="CC45" s="1053">
        <v>1864.937519999851</v>
      </c>
      <c r="CD45" s="1053">
        <v>1034605.665954033</v>
      </c>
      <c r="CE45" s="1053" t="s">
        <v>1637</v>
      </c>
      <c r="CF45" s="1053" t="s">
        <v>1637</v>
      </c>
      <c r="CG45" s="1053" t="s">
        <v>1637</v>
      </c>
      <c r="CH45" s="1053" t="s">
        <v>1637</v>
      </c>
      <c r="CI45" s="1051">
        <v>484732.89528230677</v>
      </c>
      <c r="CJ45" s="1051">
        <v>554814.51251901232</v>
      </c>
      <c r="CK45" s="1051">
        <v>347277.03357244877</v>
      </c>
      <c r="CL45" s="1051" t="s">
        <v>1637</v>
      </c>
      <c r="CM45" s="1051" t="s">
        <v>1637</v>
      </c>
      <c r="CN45" s="1051" t="s">
        <v>1637</v>
      </c>
      <c r="CO45" s="1051" t="s">
        <v>1637</v>
      </c>
      <c r="CP45" s="1051">
        <v>19307.147751417866</v>
      </c>
      <c r="CQ45" s="1051">
        <v>1005807.2450496393</v>
      </c>
      <c r="CR45" s="1051">
        <v>12439.420904393815</v>
      </c>
      <c r="CS45" s="1051" t="s">
        <v>1637</v>
      </c>
      <c r="CT45" s="1051" t="s">
        <v>1637</v>
      </c>
      <c r="CU45" s="1051">
        <v>16359</v>
      </c>
      <c r="CV45" s="1051">
        <v>99429.707476538504</v>
      </c>
      <c r="CW45" s="1051">
        <v>12990.567200000001</v>
      </c>
      <c r="CX45" s="1051" t="s">
        <v>1637</v>
      </c>
      <c r="CY45" s="1051">
        <v>5311.7452460005024</v>
      </c>
      <c r="CZ45" s="1118">
        <v>484732.89528230677</v>
      </c>
      <c r="DA45" s="1118">
        <v>554814.51251901232</v>
      </c>
      <c r="DB45" s="1118">
        <v>347277.03357244877</v>
      </c>
      <c r="DC45" s="1118" t="s">
        <v>1637</v>
      </c>
      <c r="DD45" s="1118" t="s">
        <v>1637</v>
      </c>
      <c r="DE45" s="1118" t="s">
        <v>1637</v>
      </c>
      <c r="DF45" s="1118" t="s">
        <v>1637</v>
      </c>
      <c r="DG45" s="1118">
        <v>19307.147751417866</v>
      </c>
      <c r="DH45" s="1118">
        <v>1005807.2450496393</v>
      </c>
      <c r="DI45" s="1118">
        <v>12439.420904393815</v>
      </c>
      <c r="DJ45" s="1118" t="s">
        <v>1637</v>
      </c>
      <c r="DK45" s="1118" t="s">
        <v>1637</v>
      </c>
      <c r="DL45" s="1118">
        <v>16359</v>
      </c>
      <c r="DM45" s="1118">
        <v>99429.707476538504</v>
      </c>
      <c r="DN45" s="1118">
        <v>12990.567200000001</v>
      </c>
      <c r="DO45" s="1118" t="s">
        <v>1637</v>
      </c>
      <c r="DP45" s="1118">
        <v>5311.7452460005024</v>
      </c>
      <c r="DQ45" s="1118" t="s">
        <v>1637</v>
      </c>
      <c r="DR45" s="1118" t="s">
        <v>1637</v>
      </c>
      <c r="DS45" s="1118" t="s">
        <v>1637</v>
      </c>
      <c r="DT45" s="1118" t="s">
        <v>1637</v>
      </c>
      <c r="DU45" s="1118" t="s">
        <v>1637</v>
      </c>
      <c r="DV45" s="1119" t="s">
        <v>1637</v>
      </c>
      <c r="DW45" s="1120">
        <v>466982.6893956</v>
      </c>
      <c r="DX45" s="1120">
        <v>522081.42295680003</v>
      </c>
      <c r="DY45" s="1120">
        <v>344905.79996880004</v>
      </c>
      <c r="DZ45" s="1120" t="s">
        <v>1637</v>
      </c>
      <c r="EA45" s="1120">
        <v>1864.937519999851</v>
      </c>
      <c r="EB45" s="1120" t="s">
        <v>1637</v>
      </c>
      <c r="EC45" s="1120" t="s">
        <v>1637</v>
      </c>
      <c r="ED45" s="1120" t="s">
        <v>1637</v>
      </c>
      <c r="EE45" s="1120">
        <v>19307.147751417866</v>
      </c>
      <c r="EF45" s="1120">
        <v>1005807.2450496393</v>
      </c>
      <c r="EG45" s="1120">
        <v>12439.420904393815</v>
      </c>
      <c r="EH45" s="1120" t="s">
        <v>1637</v>
      </c>
      <c r="EI45" s="1120" t="s">
        <v>1637</v>
      </c>
      <c r="EJ45" s="1120">
        <v>16359</v>
      </c>
      <c r="EK45" s="1120" t="s">
        <v>1637</v>
      </c>
      <c r="EL45" s="1120" t="s">
        <v>1637</v>
      </c>
      <c r="EM45" s="1120" t="s">
        <v>1637</v>
      </c>
      <c r="EN45" s="1120" t="s">
        <v>1637</v>
      </c>
      <c r="EO45" s="1120" t="s">
        <v>1637</v>
      </c>
      <c r="EP45" s="1120" t="s">
        <v>1637</v>
      </c>
      <c r="EQ45" s="1120" t="s">
        <v>1637</v>
      </c>
      <c r="ER45" s="1120" t="s">
        <v>1637</v>
      </c>
      <c r="ES45" s="1120" t="s">
        <v>1637</v>
      </c>
    </row>
    <row r="46" spans="1:150" s="1121" customFormat="1" ht="15" customHeight="1">
      <c r="A46" s="1799">
        <v>31</v>
      </c>
      <c r="B46" s="1055" t="s">
        <v>2631</v>
      </c>
      <c r="C46" s="1055" t="s">
        <v>1235</v>
      </c>
      <c r="D46" s="1048" t="s">
        <v>1641</v>
      </c>
      <c r="E46" s="1055" t="s">
        <v>687</v>
      </c>
      <c r="F46" s="1049">
        <v>2000</v>
      </c>
      <c r="G46" s="1457" t="str">
        <f t="shared" ref="G46:G59" si="10">LEFT(F46,4)</f>
        <v>2000</v>
      </c>
      <c r="H46" s="1117" t="str">
        <f t="shared" ref="H46:H59" si="11">IF(B46="","",IF(F46="","",CONCATENATE(B46,"_",G46)))</f>
        <v>Buenos Aires_2000</v>
      </c>
      <c r="I46" s="1049" t="s">
        <v>172</v>
      </c>
      <c r="J46" s="1758"/>
      <c r="K46" s="1758"/>
      <c r="L46" s="1759"/>
      <c r="M46" s="1760"/>
      <c r="N46" s="1760"/>
      <c r="O46" s="1761"/>
      <c r="P46" s="1760"/>
      <c r="Q46" s="1760"/>
      <c r="R46" s="1761"/>
      <c r="S46" s="1760"/>
      <c r="T46" s="1760"/>
      <c r="U46" s="1761"/>
      <c r="V46" s="1760"/>
      <c r="W46" s="1760"/>
      <c r="X46" s="1761"/>
      <c r="Y46" s="1762"/>
      <c r="Z46" s="1760"/>
      <c r="AA46" s="1760"/>
      <c r="AB46" s="1761"/>
      <c r="AC46" s="1760"/>
      <c r="AD46" s="1760"/>
      <c r="AE46" s="1761"/>
      <c r="AF46" s="1760"/>
      <c r="AG46" s="1760"/>
      <c r="AH46" s="1760"/>
      <c r="AI46" s="1760"/>
      <c r="AJ46" s="1761"/>
      <c r="AK46" s="1760"/>
      <c r="AL46" s="1760"/>
      <c r="AM46" s="1761"/>
      <c r="AN46" s="1760"/>
      <c r="AO46" s="1760"/>
      <c r="AP46" s="1761"/>
      <c r="AQ46" s="1760"/>
      <c r="AR46" s="1760"/>
      <c r="AS46" s="1761"/>
      <c r="AT46" s="1760"/>
      <c r="AU46" s="1760"/>
      <c r="AV46" s="1761"/>
      <c r="AW46" s="1760"/>
      <c r="AX46" s="1760"/>
      <c r="AY46" s="1762"/>
      <c r="AZ46" s="1760"/>
      <c r="BA46" s="1760"/>
      <c r="BB46" s="1762"/>
      <c r="BC46" s="1760"/>
      <c r="BD46" s="1760"/>
      <c r="BE46" s="1762"/>
      <c r="BF46" s="1760"/>
      <c r="BG46" s="1760"/>
      <c r="BH46" s="1762"/>
      <c r="BI46" s="1761"/>
      <c r="BJ46" s="1761"/>
      <c r="BK46" s="1761"/>
      <c r="BL46" s="1761"/>
      <c r="BM46" s="1761"/>
      <c r="BN46" s="1763"/>
      <c r="BO46" s="1076" t="str">
        <f t="shared" si="6"/>
        <v>Buenos Aires_2000</v>
      </c>
      <c r="BP46" s="1051">
        <v>11057020.161364088</v>
      </c>
      <c r="BQ46" s="1761"/>
      <c r="BR46" s="1763"/>
      <c r="BS46" s="1762"/>
      <c r="BT46" s="1051">
        <v>5937834.7268060381</v>
      </c>
      <c r="BU46" s="1051">
        <v>3455392.7964259563</v>
      </c>
      <c r="BV46" s="1051">
        <v>1663792.6381320932</v>
      </c>
      <c r="BW46" s="1761"/>
      <c r="BX46" s="1761"/>
      <c r="BY46" s="1761"/>
      <c r="BZ46" s="1761"/>
      <c r="CA46" s="1761"/>
      <c r="CB46" s="1762"/>
      <c r="CC46" s="1762"/>
      <c r="CD46" s="1762"/>
      <c r="CE46" s="1762"/>
      <c r="CF46" s="1762"/>
      <c r="CG46" s="1762"/>
      <c r="CH46" s="1762"/>
      <c r="CI46" s="1760"/>
      <c r="CJ46" s="1760"/>
      <c r="CK46" s="1760"/>
      <c r="CL46" s="1760"/>
      <c r="CM46" s="1760"/>
      <c r="CN46" s="1760"/>
      <c r="CO46" s="1760"/>
      <c r="CP46" s="1760"/>
      <c r="CQ46" s="1760"/>
      <c r="CR46" s="1760"/>
      <c r="CS46" s="1760"/>
      <c r="CT46" s="1760"/>
      <c r="CU46" s="1760"/>
      <c r="CV46" s="1760"/>
      <c r="CW46" s="1760"/>
      <c r="CX46" s="1760"/>
      <c r="CY46" s="1760"/>
      <c r="CZ46" s="1770"/>
      <c r="DA46" s="1770"/>
      <c r="DB46" s="1770"/>
      <c r="DC46" s="1770"/>
      <c r="DD46" s="1770"/>
      <c r="DE46" s="1770"/>
      <c r="DF46" s="1770"/>
      <c r="DG46" s="1770"/>
      <c r="DH46" s="1770"/>
      <c r="DI46" s="1770"/>
      <c r="DJ46" s="1770"/>
      <c r="DK46" s="1770"/>
      <c r="DL46" s="1770"/>
      <c r="DM46" s="1770"/>
      <c r="DN46" s="1770"/>
      <c r="DO46" s="1770"/>
      <c r="DP46" s="1770"/>
      <c r="DQ46" s="1770"/>
      <c r="DR46" s="1770"/>
      <c r="DS46" s="1770"/>
      <c r="DT46" s="1770"/>
      <c r="DU46" s="1770"/>
      <c r="DV46" s="1771"/>
      <c r="DW46" s="1772"/>
      <c r="DX46" s="1772"/>
      <c r="DY46" s="1772"/>
      <c r="DZ46" s="1772"/>
      <c r="EA46" s="1772"/>
      <c r="EB46" s="1772"/>
      <c r="EC46" s="1772"/>
      <c r="ED46" s="1772"/>
      <c r="EE46" s="1772"/>
      <c r="EF46" s="1772"/>
      <c r="EG46" s="1772"/>
      <c r="EH46" s="1772"/>
      <c r="EI46" s="1772"/>
      <c r="EJ46" s="1772"/>
      <c r="EK46" s="1772"/>
      <c r="EL46" s="1772"/>
      <c r="EM46" s="1772"/>
      <c r="EN46" s="1772"/>
      <c r="EO46" s="1772"/>
      <c r="EP46" s="1772"/>
      <c r="EQ46" s="1772"/>
      <c r="ER46" s="1772"/>
      <c r="ES46" s="1772"/>
    </row>
    <row r="47" spans="1:150" s="34" customFormat="1" ht="15" customHeight="1">
      <c r="A47" s="1799">
        <v>32</v>
      </c>
      <c r="B47" s="1055" t="s">
        <v>2631</v>
      </c>
      <c r="C47" s="1753" t="s">
        <v>1235</v>
      </c>
      <c r="D47" s="1754" t="s">
        <v>1641</v>
      </c>
      <c r="E47" s="1753" t="s">
        <v>687</v>
      </c>
      <c r="F47" s="1755">
        <v>2001</v>
      </c>
      <c r="G47" s="1457" t="str">
        <f t="shared" si="10"/>
        <v>2001</v>
      </c>
      <c r="H47" s="1117" t="str">
        <f t="shared" si="11"/>
        <v>Buenos Aires_2001</v>
      </c>
      <c r="I47" s="1049" t="s">
        <v>172</v>
      </c>
      <c r="J47" s="1764"/>
      <c r="K47" s="1764"/>
      <c r="L47" s="1765"/>
      <c r="M47" s="1766"/>
      <c r="N47" s="1766"/>
      <c r="O47" s="1767"/>
      <c r="P47" s="1766"/>
      <c r="Q47" s="1766"/>
      <c r="R47" s="1767"/>
      <c r="S47" s="1766"/>
      <c r="T47" s="1766"/>
      <c r="U47" s="1767"/>
      <c r="V47" s="1766"/>
      <c r="W47" s="1766"/>
      <c r="X47" s="1767"/>
      <c r="Y47" s="1768"/>
      <c r="Z47" s="1766"/>
      <c r="AA47" s="1766"/>
      <c r="AB47" s="1767"/>
      <c r="AC47" s="1766"/>
      <c r="AD47" s="1766"/>
      <c r="AE47" s="1767"/>
      <c r="AF47" s="1766"/>
      <c r="AG47" s="1766"/>
      <c r="AH47" s="1766"/>
      <c r="AI47" s="1766"/>
      <c r="AJ47" s="1767"/>
      <c r="AK47" s="1766"/>
      <c r="AL47" s="1766"/>
      <c r="AM47" s="1767"/>
      <c r="AN47" s="1766"/>
      <c r="AO47" s="1766"/>
      <c r="AP47" s="1767"/>
      <c r="AQ47" s="1766"/>
      <c r="AR47" s="1766"/>
      <c r="AS47" s="1767"/>
      <c r="AT47" s="1766"/>
      <c r="AU47" s="1766"/>
      <c r="AV47" s="1767"/>
      <c r="AW47" s="1766"/>
      <c r="AX47" s="1766"/>
      <c r="AY47" s="1768"/>
      <c r="AZ47" s="1766"/>
      <c r="BA47" s="1766"/>
      <c r="BB47" s="1768"/>
      <c r="BC47" s="1766"/>
      <c r="BD47" s="1766"/>
      <c r="BE47" s="1768"/>
      <c r="BF47" s="1766"/>
      <c r="BG47" s="1766"/>
      <c r="BH47" s="1768"/>
      <c r="BI47" s="1767"/>
      <c r="BJ47" s="1767"/>
      <c r="BK47" s="1767"/>
      <c r="BL47" s="1767"/>
      <c r="BM47" s="1767"/>
      <c r="BN47" s="1769"/>
      <c r="BO47" s="1076" t="str">
        <f t="shared" si="6"/>
        <v>Buenos Aires_2001</v>
      </c>
      <c r="BP47" s="1051">
        <v>10619165.146137672</v>
      </c>
      <c r="BQ47" s="1761"/>
      <c r="BR47" s="1763"/>
      <c r="BS47" s="1762"/>
      <c r="BT47" s="1051">
        <v>5356910.321424311</v>
      </c>
      <c r="BU47" s="1051">
        <v>3593863.5685165208</v>
      </c>
      <c r="BV47" s="1051">
        <v>1668391.2561968388</v>
      </c>
      <c r="BW47" s="1761"/>
      <c r="BX47" s="1761"/>
      <c r="BY47" s="1761"/>
      <c r="BZ47" s="1761"/>
      <c r="CA47" s="1761"/>
      <c r="CB47" s="1762"/>
      <c r="CC47" s="1762"/>
      <c r="CD47" s="1762"/>
      <c r="CE47" s="1762"/>
      <c r="CF47" s="1762"/>
      <c r="CG47" s="1762"/>
      <c r="CH47" s="1762"/>
      <c r="CI47" s="1760"/>
      <c r="CJ47" s="1760"/>
      <c r="CK47" s="1760"/>
      <c r="CL47" s="1760"/>
      <c r="CM47" s="1760"/>
      <c r="CN47" s="1760"/>
      <c r="CO47" s="1760"/>
      <c r="CP47" s="1760"/>
      <c r="CQ47" s="1760"/>
      <c r="CR47" s="1760"/>
      <c r="CS47" s="1760"/>
      <c r="CT47" s="1760"/>
      <c r="CU47" s="1760"/>
      <c r="CV47" s="1760"/>
      <c r="CW47" s="1760"/>
      <c r="CX47" s="1760"/>
      <c r="CY47" s="1760"/>
      <c r="CZ47" s="1770"/>
      <c r="DA47" s="1770"/>
      <c r="DB47" s="1770"/>
      <c r="DC47" s="1770"/>
      <c r="DD47" s="1770"/>
      <c r="DE47" s="1770"/>
      <c r="DF47" s="1770"/>
      <c r="DG47" s="1770"/>
      <c r="DH47" s="1770"/>
      <c r="DI47" s="1770"/>
      <c r="DJ47" s="1770"/>
      <c r="DK47" s="1770"/>
      <c r="DL47" s="1770"/>
      <c r="DM47" s="1770"/>
      <c r="DN47" s="1770"/>
      <c r="DO47" s="1770"/>
      <c r="DP47" s="1770"/>
      <c r="DQ47" s="1770"/>
      <c r="DR47" s="1770"/>
      <c r="DS47" s="1770"/>
      <c r="DT47" s="1770"/>
      <c r="DU47" s="1770"/>
      <c r="DV47" s="1771"/>
      <c r="DW47" s="1772"/>
      <c r="DX47" s="1772"/>
      <c r="DY47" s="1772"/>
      <c r="DZ47" s="1772"/>
      <c r="EA47" s="1772"/>
      <c r="EB47" s="1772"/>
      <c r="EC47" s="1772"/>
      <c r="ED47" s="1772"/>
      <c r="EE47" s="1772"/>
      <c r="EF47" s="1772"/>
      <c r="EG47" s="1772"/>
      <c r="EH47" s="1772"/>
      <c r="EI47" s="1772"/>
      <c r="EJ47" s="1772"/>
      <c r="EK47" s="1772"/>
      <c r="EL47" s="1772"/>
      <c r="EM47" s="1772"/>
      <c r="EN47" s="1772"/>
      <c r="EO47" s="1772"/>
      <c r="EP47" s="1772"/>
      <c r="EQ47" s="1772"/>
      <c r="ER47" s="1772"/>
      <c r="ES47" s="1772"/>
      <c r="ET47" s="1121"/>
    </row>
    <row r="48" spans="1:150" s="34" customFormat="1" ht="15" customHeight="1">
      <c r="A48" s="1799">
        <v>33</v>
      </c>
      <c r="B48" s="1055" t="s">
        <v>2631</v>
      </c>
      <c r="C48" s="1753" t="s">
        <v>1235</v>
      </c>
      <c r="D48" s="1754" t="s">
        <v>1641</v>
      </c>
      <c r="E48" s="1753" t="s">
        <v>687</v>
      </c>
      <c r="F48" s="1755">
        <v>2002</v>
      </c>
      <c r="G48" s="1457" t="str">
        <f t="shared" si="10"/>
        <v>2002</v>
      </c>
      <c r="H48" s="1117" t="str">
        <f t="shared" si="11"/>
        <v>Buenos Aires_2002</v>
      </c>
      <c r="I48" s="1049" t="s">
        <v>172</v>
      </c>
      <c r="J48" s="1764"/>
      <c r="K48" s="1764"/>
      <c r="L48" s="1765"/>
      <c r="M48" s="1766"/>
      <c r="N48" s="1766"/>
      <c r="O48" s="1767"/>
      <c r="P48" s="1766"/>
      <c r="Q48" s="1766"/>
      <c r="R48" s="1767"/>
      <c r="S48" s="1766"/>
      <c r="T48" s="1766"/>
      <c r="U48" s="1767"/>
      <c r="V48" s="1766"/>
      <c r="W48" s="1766"/>
      <c r="X48" s="1767"/>
      <c r="Y48" s="1768"/>
      <c r="Z48" s="1766"/>
      <c r="AA48" s="1766"/>
      <c r="AB48" s="1767"/>
      <c r="AC48" s="1766"/>
      <c r="AD48" s="1766"/>
      <c r="AE48" s="1767"/>
      <c r="AF48" s="1766"/>
      <c r="AG48" s="1766"/>
      <c r="AH48" s="1766"/>
      <c r="AI48" s="1766"/>
      <c r="AJ48" s="1767"/>
      <c r="AK48" s="1766"/>
      <c r="AL48" s="1766"/>
      <c r="AM48" s="1767"/>
      <c r="AN48" s="1766"/>
      <c r="AO48" s="1766"/>
      <c r="AP48" s="1767"/>
      <c r="AQ48" s="1766"/>
      <c r="AR48" s="1766"/>
      <c r="AS48" s="1767"/>
      <c r="AT48" s="1766"/>
      <c r="AU48" s="1766"/>
      <c r="AV48" s="1767"/>
      <c r="AW48" s="1766"/>
      <c r="AX48" s="1766"/>
      <c r="AY48" s="1768"/>
      <c r="AZ48" s="1766"/>
      <c r="BA48" s="1766"/>
      <c r="BB48" s="1768"/>
      <c r="BC48" s="1766"/>
      <c r="BD48" s="1766"/>
      <c r="BE48" s="1768"/>
      <c r="BF48" s="1766"/>
      <c r="BG48" s="1766"/>
      <c r="BH48" s="1768"/>
      <c r="BI48" s="1767"/>
      <c r="BJ48" s="1767"/>
      <c r="BK48" s="1767"/>
      <c r="BL48" s="1767"/>
      <c r="BM48" s="1767"/>
      <c r="BN48" s="1769"/>
      <c r="BO48" s="1076" t="str">
        <f t="shared" si="6"/>
        <v>Buenos Aires_2002</v>
      </c>
      <c r="BP48" s="1756">
        <v>10083642.440074343</v>
      </c>
      <c r="BQ48" s="1767"/>
      <c r="BR48" s="1769"/>
      <c r="BS48" s="1768"/>
      <c r="BT48" s="1756">
        <v>4920970.0677615916</v>
      </c>
      <c r="BU48" s="1756">
        <v>3487261.772628325</v>
      </c>
      <c r="BV48" s="1756">
        <v>1675410.5996844266</v>
      </c>
      <c r="BW48" s="1767"/>
      <c r="BX48" s="1767"/>
      <c r="BY48" s="1767"/>
      <c r="BZ48" s="1767"/>
      <c r="CA48" s="1767"/>
      <c r="CB48" s="1768"/>
      <c r="CC48" s="1768"/>
      <c r="CD48" s="1768"/>
      <c r="CE48" s="1768"/>
      <c r="CF48" s="1768"/>
      <c r="CG48" s="1768"/>
      <c r="CH48" s="1768"/>
      <c r="CI48" s="1766"/>
      <c r="CJ48" s="1766"/>
      <c r="CK48" s="1766"/>
      <c r="CL48" s="1766"/>
      <c r="CM48" s="1766"/>
      <c r="CN48" s="1766"/>
      <c r="CO48" s="1766"/>
      <c r="CP48" s="1766"/>
      <c r="CQ48" s="1766"/>
      <c r="CR48" s="1766"/>
      <c r="CS48" s="1766"/>
      <c r="CT48" s="1766"/>
      <c r="CU48" s="1766"/>
      <c r="CV48" s="1766"/>
      <c r="CW48" s="1766"/>
      <c r="CX48" s="1766"/>
      <c r="CY48" s="1766"/>
      <c r="CZ48" s="1773"/>
      <c r="DA48" s="1773"/>
      <c r="DB48" s="1773"/>
      <c r="DC48" s="1773"/>
      <c r="DD48" s="1773"/>
      <c r="DE48" s="1773"/>
      <c r="DF48" s="1773"/>
      <c r="DG48" s="1773"/>
      <c r="DH48" s="1773"/>
      <c r="DI48" s="1773"/>
      <c r="DJ48" s="1773"/>
      <c r="DK48" s="1773"/>
      <c r="DL48" s="1773"/>
      <c r="DM48" s="1773"/>
      <c r="DN48" s="1773"/>
      <c r="DO48" s="1773"/>
      <c r="DP48" s="1773"/>
      <c r="DQ48" s="1773"/>
      <c r="DR48" s="1773"/>
      <c r="DS48" s="1773"/>
      <c r="DT48" s="1773"/>
      <c r="DU48" s="1773"/>
      <c r="DV48" s="1774"/>
      <c r="DW48" s="1775"/>
      <c r="DX48" s="1775"/>
      <c r="DY48" s="1775"/>
      <c r="DZ48" s="1775"/>
      <c r="EA48" s="1775"/>
      <c r="EB48" s="1775"/>
      <c r="EC48" s="1775"/>
      <c r="ED48" s="1775"/>
      <c r="EE48" s="1775"/>
      <c r="EF48" s="1775"/>
      <c r="EG48" s="1775"/>
      <c r="EH48" s="1775"/>
      <c r="EI48" s="1775"/>
      <c r="EJ48" s="1775"/>
      <c r="EK48" s="1775"/>
      <c r="EL48" s="1775"/>
      <c r="EM48" s="1775"/>
      <c r="EN48" s="1775"/>
      <c r="EO48" s="1775"/>
      <c r="EP48" s="1775"/>
      <c r="EQ48" s="1775"/>
      <c r="ER48" s="1775"/>
      <c r="ES48" s="1775"/>
      <c r="ET48" s="1121"/>
    </row>
    <row r="49" spans="1:150" s="34" customFormat="1" ht="15" customHeight="1">
      <c r="A49" s="1799">
        <v>34</v>
      </c>
      <c r="B49" s="1055" t="s">
        <v>2631</v>
      </c>
      <c r="C49" s="1753" t="s">
        <v>1235</v>
      </c>
      <c r="D49" s="1754" t="s">
        <v>1641</v>
      </c>
      <c r="E49" s="1753" t="s">
        <v>687</v>
      </c>
      <c r="F49" s="1049">
        <v>2003</v>
      </c>
      <c r="G49" s="1457" t="str">
        <f t="shared" si="10"/>
        <v>2003</v>
      </c>
      <c r="H49" s="1117" t="str">
        <f t="shared" si="11"/>
        <v>Buenos Aires_2003</v>
      </c>
      <c r="I49" s="1049" t="s">
        <v>172</v>
      </c>
      <c r="J49" s="1764"/>
      <c r="K49" s="1764"/>
      <c r="L49" s="1765"/>
      <c r="M49" s="1766"/>
      <c r="N49" s="1766"/>
      <c r="O49" s="1767"/>
      <c r="P49" s="1766"/>
      <c r="Q49" s="1766"/>
      <c r="R49" s="1767"/>
      <c r="S49" s="1766"/>
      <c r="T49" s="1766"/>
      <c r="U49" s="1767"/>
      <c r="V49" s="1766"/>
      <c r="W49" s="1766"/>
      <c r="X49" s="1767"/>
      <c r="Y49" s="1768"/>
      <c r="Z49" s="1766"/>
      <c r="AA49" s="1766"/>
      <c r="AB49" s="1767"/>
      <c r="AC49" s="1766"/>
      <c r="AD49" s="1766"/>
      <c r="AE49" s="1767"/>
      <c r="AF49" s="1766"/>
      <c r="AG49" s="1766"/>
      <c r="AH49" s="1766"/>
      <c r="AI49" s="1766"/>
      <c r="AJ49" s="1767"/>
      <c r="AK49" s="1766"/>
      <c r="AL49" s="1766"/>
      <c r="AM49" s="1767"/>
      <c r="AN49" s="1766"/>
      <c r="AO49" s="1766"/>
      <c r="AP49" s="1767"/>
      <c r="AQ49" s="1766"/>
      <c r="AR49" s="1766"/>
      <c r="AS49" s="1767"/>
      <c r="AT49" s="1766"/>
      <c r="AU49" s="1766"/>
      <c r="AV49" s="1767"/>
      <c r="AW49" s="1766"/>
      <c r="AX49" s="1766"/>
      <c r="AY49" s="1768"/>
      <c r="AZ49" s="1766"/>
      <c r="BA49" s="1766"/>
      <c r="BB49" s="1768"/>
      <c r="BC49" s="1766"/>
      <c r="BD49" s="1766"/>
      <c r="BE49" s="1768"/>
      <c r="BF49" s="1766"/>
      <c r="BG49" s="1766"/>
      <c r="BH49" s="1768"/>
      <c r="BI49" s="1767"/>
      <c r="BJ49" s="1767"/>
      <c r="BK49" s="1767"/>
      <c r="BL49" s="1767"/>
      <c r="BM49" s="1767"/>
      <c r="BN49" s="1769"/>
      <c r="BO49" s="1076" t="str">
        <f t="shared" si="6"/>
        <v>Buenos Aires_2003</v>
      </c>
      <c r="BP49" s="1756">
        <v>10705140.408090981</v>
      </c>
      <c r="BQ49" s="1767"/>
      <c r="BR49" s="1769"/>
      <c r="BS49" s="1768"/>
      <c r="BT49" s="1756">
        <v>5479268.6676445641</v>
      </c>
      <c r="BU49" s="1756">
        <v>3575510.2153425352</v>
      </c>
      <c r="BV49" s="1756">
        <v>1650361.5251038815</v>
      </c>
      <c r="BW49" s="1767"/>
      <c r="BX49" s="1767"/>
      <c r="BY49" s="1767"/>
      <c r="BZ49" s="1767"/>
      <c r="CA49" s="1767"/>
      <c r="CB49" s="1768"/>
      <c r="CC49" s="1768"/>
      <c r="CD49" s="1768"/>
      <c r="CE49" s="1768"/>
      <c r="CF49" s="1768"/>
      <c r="CG49" s="1768"/>
      <c r="CH49" s="1768"/>
      <c r="CI49" s="1766"/>
      <c r="CJ49" s="1766"/>
      <c r="CK49" s="1766"/>
      <c r="CL49" s="1766"/>
      <c r="CM49" s="1766"/>
      <c r="CN49" s="1766"/>
      <c r="CO49" s="1766"/>
      <c r="CP49" s="1766"/>
      <c r="CQ49" s="1766"/>
      <c r="CR49" s="1766"/>
      <c r="CS49" s="1766"/>
      <c r="CT49" s="1766"/>
      <c r="CU49" s="1766"/>
      <c r="CV49" s="1766"/>
      <c r="CW49" s="1766"/>
      <c r="CX49" s="1766"/>
      <c r="CY49" s="1766"/>
      <c r="CZ49" s="1773"/>
      <c r="DA49" s="1773"/>
      <c r="DB49" s="1773"/>
      <c r="DC49" s="1773"/>
      <c r="DD49" s="1773"/>
      <c r="DE49" s="1773"/>
      <c r="DF49" s="1773"/>
      <c r="DG49" s="1773"/>
      <c r="DH49" s="1773"/>
      <c r="DI49" s="1773"/>
      <c r="DJ49" s="1773"/>
      <c r="DK49" s="1773"/>
      <c r="DL49" s="1773"/>
      <c r="DM49" s="1773"/>
      <c r="DN49" s="1773"/>
      <c r="DO49" s="1773"/>
      <c r="DP49" s="1773"/>
      <c r="DQ49" s="1773"/>
      <c r="DR49" s="1773"/>
      <c r="DS49" s="1773"/>
      <c r="DT49" s="1773"/>
      <c r="DU49" s="1773"/>
      <c r="DV49" s="1774"/>
      <c r="DW49" s="1775"/>
      <c r="DX49" s="1775"/>
      <c r="DY49" s="1775"/>
      <c r="DZ49" s="1775"/>
      <c r="EA49" s="1775"/>
      <c r="EB49" s="1775"/>
      <c r="EC49" s="1775"/>
      <c r="ED49" s="1775"/>
      <c r="EE49" s="1775"/>
      <c r="EF49" s="1775"/>
      <c r="EG49" s="1775"/>
      <c r="EH49" s="1775"/>
      <c r="EI49" s="1775"/>
      <c r="EJ49" s="1775"/>
      <c r="EK49" s="1775"/>
      <c r="EL49" s="1775"/>
      <c r="EM49" s="1775"/>
      <c r="EN49" s="1775"/>
      <c r="EO49" s="1775"/>
      <c r="EP49" s="1775"/>
      <c r="EQ49" s="1775"/>
      <c r="ER49" s="1775"/>
      <c r="ES49" s="1775"/>
      <c r="ET49" s="1757"/>
    </row>
    <row r="50" spans="1:150" s="34" customFormat="1" ht="15" customHeight="1">
      <c r="A50" s="1799">
        <v>35</v>
      </c>
      <c r="B50" s="1055" t="s">
        <v>2631</v>
      </c>
      <c r="C50" s="1753" t="s">
        <v>1235</v>
      </c>
      <c r="D50" s="1754" t="s">
        <v>1641</v>
      </c>
      <c r="E50" s="1753" t="s">
        <v>687</v>
      </c>
      <c r="F50" s="1755">
        <v>2004</v>
      </c>
      <c r="G50" s="1457" t="str">
        <f t="shared" si="10"/>
        <v>2004</v>
      </c>
      <c r="H50" s="1117" t="str">
        <f t="shared" si="11"/>
        <v>Buenos Aires_2004</v>
      </c>
      <c r="I50" s="1049" t="s">
        <v>172</v>
      </c>
      <c r="J50" s="1764"/>
      <c r="K50" s="1764"/>
      <c r="L50" s="1765"/>
      <c r="M50" s="1766"/>
      <c r="N50" s="1766"/>
      <c r="O50" s="1767"/>
      <c r="P50" s="1766"/>
      <c r="Q50" s="1766"/>
      <c r="R50" s="1767"/>
      <c r="S50" s="1766"/>
      <c r="T50" s="1766"/>
      <c r="U50" s="1767"/>
      <c r="V50" s="1766"/>
      <c r="W50" s="1766"/>
      <c r="X50" s="1767"/>
      <c r="Y50" s="1768"/>
      <c r="Z50" s="1766"/>
      <c r="AA50" s="1766"/>
      <c r="AB50" s="1767"/>
      <c r="AC50" s="1766"/>
      <c r="AD50" s="1766"/>
      <c r="AE50" s="1767"/>
      <c r="AF50" s="1766"/>
      <c r="AG50" s="1766"/>
      <c r="AH50" s="1766"/>
      <c r="AI50" s="1766"/>
      <c r="AJ50" s="1767"/>
      <c r="AK50" s="1766"/>
      <c r="AL50" s="1766"/>
      <c r="AM50" s="1767"/>
      <c r="AN50" s="1766"/>
      <c r="AO50" s="1766"/>
      <c r="AP50" s="1767"/>
      <c r="AQ50" s="1766"/>
      <c r="AR50" s="1766"/>
      <c r="AS50" s="1767"/>
      <c r="AT50" s="1766"/>
      <c r="AU50" s="1766"/>
      <c r="AV50" s="1767"/>
      <c r="AW50" s="1766"/>
      <c r="AX50" s="1766"/>
      <c r="AY50" s="1768"/>
      <c r="AZ50" s="1766"/>
      <c r="BA50" s="1766"/>
      <c r="BB50" s="1768"/>
      <c r="BC50" s="1766"/>
      <c r="BD50" s="1766"/>
      <c r="BE50" s="1768"/>
      <c r="BF50" s="1766"/>
      <c r="BG50" s="1766"/>
      <c r="BH50" s="1768"/>
      <c r="BI50" s="1767"/>
      <c r="BJ50" s="1767"/>
      <c r="BK50" s="1767"/>
      <c r="BL50" s="1767"/>
      <c r="BM50" s="1767"/>
      <c r="BN50" s="1769"/>
      <c r="BO50" s="1076" t="str">
        <f t="shared" si="6"/>
        <v>Buenos Aires_2004</v>
      </c>
      <c r="BP50" s="1756">
        <v>11492856.970562156</v>
      </c>
      <c r="BQ50" s="1767"/>
      <c r="BR50" s="1769"/>
      <c r="BS50" s="1768"/>
      <c r="BT50" s="1756">
        <v>6317377.8287884407</v>
      </c>
      <c r="BU50" s="1756">
        <v>3544821.8676974261</v>
      </c>
      <c r="BV50" s="1756">
        <v>1630657.2740762897</v>
      </c>
      <c r="BW50" s="1767"/>
      <c r="BX50" s="1767"/>
      <c r="BY50" s="1767"/>
      <c r="BZ50" s="1767"/>
      <c r="CA50" s="1767"/>
      <c r="CB50" s="1768"/>
      <c r="CC50" s="1768"/>
      <c r="CD50" s="1768"/>
      <c r="CE50" s="1768"/>
      <c r="CF50" s="1768"/>
      <c r="CG50" s="1768"/>
      <c r="CH50" s="1768"/>
      <c r="CI50" s="1766"/>
      <c r="CJ50" s="1766"/>
      <c r="CK50" s="1766"/>
      <c r="CL50" s="1766"/>
      <c r="CM50" s="1766"/>
      <c r="CN50" s="1766"/>
      <c r="CO50" s="1766"/>
      <c r="CP50" s="1766"/>
      <c r="CQ50" s="1766"/>
      <c r="CR50" s="1766"/>
      <c r="CS50" s="1766"/>
      <c r="CT50" s="1766"/>
      <c r="CU50" s="1766"/>
      <c r="CV50" s="1766"/>
      <c r="CW50" s="1766"/>
      <c r="CX50" s="1766"/>
      <c r="CY50" s="1766"/>
      <c r="CZ50" s="1773"/>
      <c r="DA50" s="1773"/>
      <c r="DB50" s="1773"/>
      <c r="DC50" s="1773"/>
      <c r="DD50" s="1773"/>
      <c r="DE50" s="1773"/>
      <c r="DF50" s="1773"/>
      <c r="DG50" s="1773"/>
      <c r="DH50" s="1773"/>
      <c r="DI50" s="1773"/>
      <c r="DJ50" s="1773"/>
      <c r="DK50" s="1773"/>
      <c r="DL50" s="1773"/>
      <c r="DM50" s="1773"/>
      <c r="DN50" s="1773"/>
      <c r="DO50" s="1773"/>
      <c r="DP50" s="1773"/>
      <c r="DQ50" s="1773"/>
      <c r="DR50" s="1773"/>
      <c r="DS50" s="1773"/>
      <c r="DT50" s="1773"/>
      <c r="DU50" s="1773"/>
      <c r="DV50" s="1774"/>
      <c r="DW50" s="1775"/>
      <c r="DX50" s="1775"/>
      <c r="DY50" s="1775"/>
      <c r="DZ50" s="1775"/>
      <c r="EA50" s="1775"/>
      <c r="EB50" s="1775"/>
      <c r="EC50" s="1775"/>
      <c r="ED50" s="1775"/>
      <c r="EE50" s="1775"/>
      <c r="EF50" s="1775"/>
      <c r="EG50" s="1775"/>
      <c r="EH50" s="1775"/>
      <c r="EI50" s="1775"/>
      <c r="EJ50" s="1775"/>
      <c r="EK50" s="1775"/>
      <c r="EL50" s="1775"/>
      <c r="EM50" s="1775"/>
      <c r="EN50" s="1775"/>
      <c r="EO50" s="1775"/>
      <c r="EP50" s="1775"/>
      <c r="EQ50" s="1775"/>
      <c r="ER50" s="1775"/>
      <c r="ES50" s="1775"/>
      <c r="ET50" s="1757"/>
    </row>
    <row r="51" spans="1:150" s="34" customFormat="1" ht="15" customHeight="1">
      <c r="A51" s="1799">
        <v>36</v>
      </c>
      <c r="B51" s="1055" t="s">
        <v>2631</v>
      </c>
      <c r="C51" s="1753" t="s">
        <v>1235</v>
      </c>
      <c r="D51" s="1754" t="s">
        <v>1641</v>
      </c>
      <c r="E51" s="1753" t="s">
        <v>687</v>
      </c>
      <c r="F51" s="1755">
        <v>2005</v>
      </c>
      <c r="G51" s="1457" t="str">
        <f t="shared" si="10"/>
        <v>2005</v>
      </c>
      <c r="H51" s="1117" t="str">
        <f t="shared" si="11"/>
        <v>Buenos Aires_2005</v>
      </c>
      <c r="I51" s="1049" t="s">
        <v>172</v>
      </c>
      <c r="J51" s="1764"/>
      <c r="K51" s="1764"/>
      <c r="L51" s="1765"/>
      <c r="M51" s="1766"/>
      <c r="N51" s="1766"/>
      <c r="O51" s="1767"/>
      <c r="P51" s="1766"/>
      <c r="Q51" s="1766"/>
      <c r="R51" s="1767"/>
      <c r="S51" s="1766"/>
      <c r="T51" s="1766"/>
      <c r="U51" s="1767"/>
      <c r="V51" s="1766"/>
      <c r="W51" s="1766"/>
      <c r="X51" s="1767"/>
      <c r="Y51" s="1768"/>
      <c r="Z51" s="1766"/>
      <c r="AA51" s="1766"/>
      <c r="AB51" s="1767"/>
      <c r="AC51" s="1766"/>
      <c r="AD51" s="1766"/>
      <c r="AE51" s="1767"/>
      <c r="AF51" s="1766"/>
      <c r="AG51" s="1766"/>
      <c r="AH51" s="1766"/>
      <c r="AI51" s="1766"/>
      <c r="AJ51" s="1767"/>
      <c r="AK51" s="1766"/>
      <c r="AL51" s="1766"/>
      <c r="AM51" s="1767"/>
      <c r="AN51" s="1766"/>
      <c r="AO51" s="1766"/>
      <c r="AP51" s="1767"/>
      <c r="AQ51" s="1766"/>
      <c r="AR51" s="1766"/>
      <c r="AS51" s="1767"/>
      <c r="AT51" s="1766"/>
      <c r="AU51" s="1766"/>
      <c r="AV51" s="1767"/>
      <c r="AW51" s="1766"/>
      <c r="AX51" s="1766"/>
      <c r="AY51" s="1768"/>
      <c r="AZ51" s="1766"/>
      <c r="BA51" s="1766"/>
      <c r="BB51" s="1768"/>
      <c r="BC51" s="1766"/>
      <c r="BD51" s="1766"/>
      <c r="BE51" s="1768"/>
      <c r="BF51" s="1766"/>
      <c r="BG51" s="1766"/>
      <c r="BH51" s="1768"/>
      <c r="BI51" s="1767"/>
      <c r="BJ51" s="1767"/>
      <c r="BK51" s="1767"/>
      <c r="BL51" s="1767"/>
      <c r="BM51" s="1767"/>
      <c r="BN51" s="1769"/>
      <c r="BO51" s="1076" t="str">
        <f t="shared" si="6"/>
        <v>Buenos Aires_2005</v>
      </c>
      <c r="BP51" s="1756">
        <v>11440872.066532677</v>
      </c>
      <c r="BQ51" s="1767"/>
      <c r="BR51" s="1769"/>
      <c r="BS51" s="1768"/>
      <c r="BT51" s="1756">
        <v>6377457.3421082143</v>
      </c>
      <c r="BU51" s="1756">
        <v>3437972.5997500056</v>
      </c>
      <c r="BV51" s="1756">
        <v>1625442.1246744585</v>
      </c>
      <c r="BW51" s="1767"/>
      <c r="BX51" s="1767"/>
      <c r="BY51" s="1767"/>
      <c r="BZ51" s="1767"/>
      <c r="CA51" s="1767"/>
      <c r="CB51" s="1768"/>
      <c r="CC51" s="1768"/>
      <c r="CD51" s="1768"/>
      <c r="CE51" s="1768"/>
      <c r="CF51" s="1768"/>
      <c r="CG51" s="1768"/>
      <c r="CH51" s="1768"/>
      <c r="CI51" s="1766"/>
      <c r="CJ51" s="1766"/>
      <c r="CK51" s="1766"/>
      <c r="CL51" s="1766"/>
      <c r="CM51" s="1766"/>
      <c r="CN51" s="1766"/>
      <c r="CO51" s="1766"/>
      <c r="CP51" s="1766"/>
      <c r="CQ51" s="1766"/>
      <c r="CR51" s="1766"/>
      <c r="CS51" s="1766"/>
      <c r="CT51" s="1766"/>
      <c r="CU51" s="1766"/>
      <c r="CV51" s="1766"/>
      <c r="CW51" s="1766"/>
      <c r="CX51" s="1766"/>
      <c r="CY51" s="1766"/>
      <c r="CZ51" s="1773"/>
      <c r="DA51" s="1773"/>
      <c r="DB51" s="1773"/>
      <c r="DC51" s="1773"/>
      <c r="DD51" s="1773"/>
      <c r="DE51" s="1773"/>
      <c r="DF51" s="1773"/>
      <c r="DG51" s="1773"/>
      <c r="DH51" s="1773"/>
      <c r="DI51" s="1773"/>
      <c r="DJ51" s="1773"/>
      <c r="DK51" s="1773"/>
      <c r="DL51" s="1773"/>
      <c r="DM51" s="1773"/>
      <c r="DN51" s="1773"/>
      <c r="DO51" s="1773"/>
      <c r="DP51" s="1773"/>
      <c r="DQ51" s="1773"/>
      <c r="DR51" s="1773"/>
      <c r="DS51" s="1773"/>
      <c r="DT51" s="1773"/>
      <c r="DU51" s="1773"/>
      <c r="DV51" s="1774"/>
      <c r="DW51" s="1775"/>
      <c r="DX51" s="1775"/>
      <c r="DY51" s="1775"/>
      <c r="DZ51" s="1775"/>
      <c r="EA51" s="1775"/>
      <c r="EB51" s="1775"/>
      <c r="EC51" s="1775"/>
      <c r="ED51" s="1775"/>
      <c r="EE51" s="1775"/>
      <c r="EF51" s="1775"/>
      <c r="EG51" s="1775"/>
      <c r="EH51" s="1775"/>
      <c r="EI51" s="1775"/>
      <c r="EJ51" s="1775"/>
      <c r="EK51" s="1775"/>
      <c r="EL51" s="1775"/>
      <c r="EM51" s="1775"/>
      <c r="EN51" s="1775"/>
      <c r="EO51" s="1775"/>
      <c r="EP51" s="1775"/>
      <c r="EQ51" s="1775"/>
      <c r="ER51" s="1775"/>
      <c r="ES51" s="1775"/>
      <c r="ET51" s="1757"/>
    </row>
    <row r="52" spans="1:150" s="1121" customFormat="1" ht="15" customHeight="1">
      <c r="A52" s="1799">
        <v>37</v>
      </c>
      <c r="B52" s="1055" t="s">
        <v>2631</v>
      </c>
      <c r="C52" s="1753" t="s">
        <v>1235</v>
      </c>
      <c r="D52" s="1754" t="s">
        <v>1641</v>
      </c>
      <c r="E52" s="1753" t="s">
        <v>687</v>
      </c>
      <c r="F52" s="1049">
        <v>2006</v>
      </c>
      <c r="G52" s="1457" t="str">
        <f t="shared" si="10"/>
        <v>2006</v>
      </c>
      <c r="H52" s="1117" t="str">
        <f t="shared" si="11"/>
        <v>Buenos Aires_2006</v>
      </c>
      <c r="I52" s="1049" t="s">
        <v>172</v>
      </c>
      <c r="J52" s="1764"/>
      <c r="K52" s="1764"/>
      <c r="L52" s="1765"/>
      <c r="M52" s="1766"/>
      <c r="N52" s="1766"/>
      <c r="O52" s="1767"/>
      <c r="P52" s="1766"/>
      <c r="Q52" s="1766"/>
      <c r="R52" s="1767"/>
      <c r="S52" s="1766"/>
      <c r="T52" s="1766"/>
      <c r="U52" s="1767"/>
      <c r="V52" s="1766"/>
      <c r="W52" s="1766"/>
      <c r="X52" s="1767"/>
      <c r="Y52" s="1768"/>
      <c r="Z52" s="1766"/>
      <c r="AA52" s="1766"/>
      <c r="AB52" s="1767"/>
      <c r="AC52" s="1766"/>
      <c r="AD52" s="1766"/>
      <c r="AE52" s="1767"/>
      <c r="AF52" s="1766"/>
      <c r="AG52" s="1766"/>
      <c r="AH52" s="1766"/>
      <c r="AI52" s="1766"/>
      <c r="AJ52" s="1767"/>
      <c r="AK52" s="1766"/>
      <c r="AL52" s="1766"/>
      <c r="AM52" s="1767"/>
      <c r="AN52" s="1766"/>
      <c r="AO52" s="1766"/>
      <c r="AP52" s="1767"/>
      <c r="AQ52" s="1766"/>
      <c r="AR52" s="1766"/>
      <c r="AS52" s="1767"/>
      <c r="AT52" s="1766"/>
      <c r="AU52" s="1766"/>
      <c r="AV52" s="1767"/>
      <c r="AW52" s="1766"/>
      <c r="AX52" s="1766"/>
      <c r="AY52" s="1768"/>
      <c r="AZ52" s="1766"/>
      <c r="BA52" s="1766"/>
      <c r="BB52" s="1768"/>
      <c r="BC52" s="1766"/>
      <c r="BD52" s="1766"/>
      <c r="BE52" s="1768"/>
      <c r="BF52" s="1766"/>
      <c r="BG52" s="1766"/>
      <c r="BH52" s="1768"/>
      <c r="BI52" s="1767"/>
      <c r="BJ52" s="1767"/>
      <c r="BK52" s="1767"/>
      <c r="BL52" s="1767"/>
      <c r="BM52" s="1767"/>
      <c r="BN52" s="1769"/>
      <c r="BO52" s="1076" t="str">
        <f t="shared" si="6"/>
        <v>Buenos Aires_2006</v>
      </c>
      <c r="BP52" s="1756">
        <v>11298569.588887533</v>
      </c>
      <c r="BQ52" s="1767"/>
      <c r="BR52" s="1769"/>
      <c r="BS52" s="1768"/>
      <c r="BT52" s="1756">
        <v>6398197.1101883724</v>
      </c>
      <c r="BU52" s="1756">
        <v>3282210.5928544537</v>
      </c>
      <c r="BV52" s="1756">
        <v>1618161.885844707</v>
      </c>
      <c r="BW52" s="1767"/>
      <c r="BX52" s="1767"/>
      <c r="BY52" s="1767"/>
      <c r="BZ52" s="1767"/>
      <c r="CA52" s="1767"/>
      <c r="CB52" s="1768"/>
      <c r="CC52" s="1768"/>
      <c r="CD52" s="1768"/>
      <c r="CE52" s="1768"/>
      <c r="CF52" s="1768"/>
      <c r="CG52" s="1768"/>
      <c r="CH52" s="1768"/>
      <c r="CI52" s="1766"/>
      <c r="CJ52" s="1766"/>
      <c r="CK52" s="1766"/>
      <c r="CL52" s="1766"/>
      <c r="CM52" s="1766"/>
      <c r="CN52" s="1766"/>
      <c r="CO52" s="1766"/>
      <c r="CP52" s="1766"/>
      <c r="CQ52" s="1766"/>
      <c r="CR52" s="1766"/>
      <c r="CS52" s="1766"/>
      <c r="CT52" s="1766"/>
      <c r="CU52" s="1766"/>
      <c r="CV52" s="1766"/>
      <c r="CW52" s="1766"/>
      <c r="CX52" s="1766"/>
      <c r="CY52" s="1766"/>
      <c r="CZ52" s="1773"/>
      <c r="DA52" s="1773"/>
      <c r="DB52" s="1773"/>
      <c r="DC52" s="1773"/>
      <c r="DD52" s="1773"/>
      <c r="DE52" s="1773"/>
      <c r="DF52" s="1773"/>
      <c r="DG52" s="1773"/>
      <c r="DH52" s="1773"/>
      <c r="DI52" s="1773"/>
      <c r="DJ52" s="1773"/>
      <c r="DK52" s="1773"/>
      <c r="DL52" s="1773"/>
      <c r="DM52" s="1773"/>
      <c r="DN52" s="1773"/>
      <c r="DO52" s="1773"/>
      <c r="DP52" s="1773"/>
      <c r="DQ52" s="1773"/>
      <c r="DR52" s="1773"/>
      <c r="DS52" s="1773"/>
      <c r="DT52" s="1773"/>
      <c r="DU52" s="1773"/>
      <c r="DV52" s="1774"/>
      <c r="DW52" s="1775"/>
      <c r="DX52" s="1775"/>
      <c r="DY52" s="1775"/>
      <c r="DZ52" s="1775"/>
      <c r="EA52" s="1775"/>
      <c r="EB52" s="1775"/>
      <c r="EC52" s="1775"/>
      <c r="ED52" s="1775"/>
      <c r="EE52" s="1775"/>
      <c r="EF52" s="1775"/>
      <c r="EG52" s="1775"/>
      <c r="EH52" s="1775"/>
      <c r="EI52" s="1775"/>
      <c r="EJ52" s="1775"/>
      <c r="EK52" s="1775"/>
      <c r="EL52" s="1775"/>
      <c r="EM52" s="1775"/>
      <c r="EN52" s="1775"/>
      <c r="EO52" s="1775"/>
      <c r="EP52" s="1775"/>
      <c r="EQ52" s="1775"/>
      <c r="ER52" s="1775"/>
      <c r="ES52" s="1775"/>
      <c r="ET52" s="1757"/>
    </row>
    <row r="53" spans="1:150" s="1121" customFormat="1" ht="15" customHeight="1">
      <c r="A53" s="1799">
        <v>38</v>
      </c>
      <c r="B53" s="1055" t="s">
        <v>2631</v>
      </c>
      <c r="C53" s="1753" t="s">
        <v>1235</v>
      </c>
      <c r="D53" s="1754" t="s">
        <v>1641</v>
      </c>
      <c r="E53" s="1753" t="s">
        <v>687</v>
      </c>
      <c r="F53" s="1755">
        <v>2007</v>
      </c>
      <c r="G53" s="1457" t="str">
        <f t="shared" si="10"/>
        <v>2007</v>
      </c>
      <c r="H53" s="1117" t="str">
        <f t="shared" si="11"/>
        <v>Buenos Aires_2007</v>
      </c>
      <c r="I53" s="1049" t="s">
        <v>172</v>
      </c>
      <c r="J53" s="1764"/>
      <c r="K53" s="1764"/>
      <c r="L53" s="1765"/>
      <c r="M53" s="1766"/>
      <c r="N53" s="1766"/>
      <c r="O53" s="1767"/>
      <c r="P53" s="1766"/>
      <c r="Q53" s="1766"/>
      <c r="R53" s="1767"/>
      <c r="S53" s="1766"/>
      <c r="T53" s="1766"/>
      <c r="U53" s="1767"/>
      <c r="V53" s="1766"/>
      <c r="W53" s="1766"/>
      <c r="X53" s="1767"/>
      <c r="Y53" s="1768"/>
      <c r="Z53" s="1766"/>
      <c r="AA53" s="1766"/>
      <c r="AB53" s="1767"/>
      <c r="AC53" s="1766"/>
      <c r="AD53" s="1766"/>
      <c r="AE53" s="1767"/>
      <c r="AF53" s="1766"/>
      <c r="AG53" s="1766"/>
      <c r="AH53" s="1766"/>
      <c r="AI53" s="1766"/>
      <c r="AJ53" s="1767"/>
      <c r="AK53" s="1766"/>
      <c r="AL53" s="1766"/>
      <c r="AM53" s="1767"/>
      <c r="AN53" s="1766"/>
      <c r="AO53" s="1766"/>
      <c r="AP53" s="1767"/>
      <c r="AQ53" s="1766"/>
      <c r="AR53" s="1766"/>
      <c r="AS53" s="1767"/>
      <c r="AT53" s="1766"/>
      <c r="AU53" s="1766"/>
      <c r="AV53" s="1767"/>
      <c r="AW53" s="1766"/>
      <c r="AX53" s="1766"/>
      <c r="AY53" s="1768"/>
      <c r="AZ53" s="1766"/>
      <c r="BA53" s="1766"/>
      <c r="BB53" s="1768"/>
      <c r="BC53" s="1766"/>
      <c r="BD53" s="1766"/>
      <c r="BE53" s="1768"/>
      <c r="BF53" s="1766"/>
      <c r="BG53" s="1766"/>
      <c r="BH53" s="1768"/>
      <c r="BI53" s="1767"/>
      <c r="BJ53" s="1767"/>
      <c r="BK53" s="1767"/>
      <c r="BL53" s="1767"/>
      <c r="BM53" s="1767"/>
      <c r="BN53" s="1769"/>
      <c r="BO53" s="1076" t="str">
        <f t="shared" si="6"/>
        <v>Buenos Aires_2007</v>
      </c>
      <c r="BP53" s="1756">
        <v>12551729.050772822</v>
      </c>
      <c r="BQ53" s="1767"/>
      <c r="BR53" s="1769"/>
      <c r="BS53" s="1768"/>
      <c r="BT53" s="1756">
        <v>7350058.4963835571</v>
      </c>
      <c r="BU53" s="1756">
        <v>3570334.6289775167</v>
      </c>
      <c r="BV53" s="1756">
        <v>1631335.9254117478</v>
      </c>
      <c r="BW53" s="1767"/>
      <c r="BX53" s="1767"/>
      <c r="BY53" s="1767"/>
      <c r="BZ53" s="1767"/>
      <c r="CA53" s="1767"/>
      <c r="CB53" s="1768"/>
      <c r="CC53" s="1768"/>
      <c r="CD53" s="1768"/>
      <c r="CE53" s="1768"/>
      <c r="CF53" s="1768"/>
      <c r="CG53" s="1768"/>
      <c r="CH53" s="1768"/>
      <c r="CI53" s="1766"/>
      <c r="CJ53" s="1766"/>
      <c r="CK53" s="1766"/>
      <c r="CL53" s="1766"/>
      <c r="CM53" s="1766"/>
      <c r="CN53" s="1766"/>
      <c r="CO53" s="1766"/>
      <c r="CP53" s="1766"/>
      <c r="CQ53" s="1766"/>
      <c r="CR53" s="1766"/>
      <c r="CS53" s="1766"/>
      <c r="CT53" s="1766"/>
      <c r="CU53" s="1766"/>
      <c r="CV53" s="1766"/>
      <c r="CW53" s="1766"/>
      <c r="CX53" s="1766"/>
      <c r="CY53" s="1766"/>
      <c r="CZ53" s="1773"/>
      <c r="DA53" s="1773"/>
      <c r="DB53" s="1773"/>
      <c r="DC53" s="1773"/>
      <c r="DD53" s="1773"/>
      <c r="DE53" s="1773"/>
      <c r="DF53" s="1773"/>
      <c r="DG53" s="1773"/>
      <c r="DH53" s="1773"/>
      <c r="DI53" s="1773"/>
      <c r="DJ53" s="1773"/>
      <c r="DK53" s="1773"/>
      <c r="DL53" s="1773"/>
      <c r="DM53" s="1773"/>
      <c r="DN53" s="1773"/>
      <c r="DO53" s="1773"/>
      <c r="DP53" s="1773"/>
      <c r="DQ53" s="1773"/>
      <c r="DR53" s="1773"/>
      <c r="DS53" s="1773"/>
      <c r="DT53" s="1773"/>
      <c r="DU53" s="1773"/>
      <c r="DV53" s="1774"/>
      <c r="DW53" s="1775"/>
      <c r="DX53" s="1775"/>
      <c r="DY53" s="1775"/>
      <c r="DZ53" s="1775"/>
      <c r="EA53" s="1775"/>
      <c r="EB53" s="1775"/>
      <c r="EC53" s="1775"/>
      <c r="ED53" s="1775"/>
      <c r="EE53" s="1775"/>
      <c r="EF53" s="1775"/>
      <c r="EG53" s="1775"/>
      <c r="EH53" s="1775"/>
      <c r="EI53" s="1775"/>
      <c r="EJ53" s="1775"/>
      <c r="EK53" s="1775"/>
      <c r="EL53" s="1775"/>
      <c r="EM53" s="1775"/>
      <c r="EN53" s="1775"/>
      <c r="EO53" s="1775"/>
      <c r="EP53" s="1775"/>
      <c r="EQ53" s="1775"/>
      <c r="ER53" s="1775"/>
      <c r="ES53" s="1775"/>
      <c r="ET53" s="1757"/>
    </row>
    <row r="54" spans="1:150" s="34" customFormat="1" ht="15" customHeight="1">
      <c r="A54" s="1799">
        <v>39</v>
      </c>
      <c r="B54" s="1055" t="s">
        <v>2631</v>
      </c>
      <c r="C54" s="1753" t="s">
        <v>1235</v>
      </c>
      <c r="D54" s="1754" t="s">
        <v>1641</v>
      </c>
      <c r="E54" s="1753" t="s">
        <v>687</v>
      </c>
      <c r="F54" s="1755">
        <v>2008</v>
      </c>
      <c r="G54" s="1457" t="str">
        <f t="shared" si="10"/>
        <v>2008</v>
      </c>
      <c r="H54" s="1117" t="str">
        <f t="shared" si="11"/>
        <v>Buenos Aires_2008</v>
      </c>
      <c r="I54" s="1049" t="s">
        <v>172</v>
      </c>
      <c r="J54" s="1764"/>
      <c r="K54" s="1764"/>
      <c r="L54" s="1765"/>
      <c r="M54" s="1766"/>
      <c r="N54" s="1766"/>
      <c r="O54" s="1767"/>
      <c r="P54" s="1766"/>
      <c r="Q54" s="1766"/>
      <c r="R54" s="1767"/>
      <c r="S54" s="1766"/>
      <c r="T54" s="1766"/>
      <c r="U54" s="1767"/>
      <c r="V54" s="1766"/>
      <c r="W54" s="1766"/>
      <c r="X54" s="1767"/>
      <c r="Y54" s="1768"/>
      <c r="Z54" s="1766"/>
      <c r="AA54" s="1766"/>
      <c r="AB54" s="1767"/>
      <c r="AC54" s="1766"/>
      <c r="AD54" s="1766"/>
      <c r="AE54" s="1767"/>
      <c r="AF54" s="1766"/>
      <c r="AG54" s="1766"/>
      <c r="AH54" s="1766"/>
      <c r="AI54" s="1766"/>
      <c r="AJ54" s="1767"/>
      <c r="AK54" s="1766"/>
      <c r="AL54" s="1766"/>
      <c r="AM54" s="1767"/>
      <c r="AN54" s="1766"/>
      <c r="AO54" s="1766"/>
      <c r="AP54" s="1767"/>
      <c r="AQ54" s="1766"/>
      <c r="AR54" s="1766"/>
      <c r="AS54" s="1767"/>
      <c r="AT54" s="1766"/>
      <c r="AU54" s="1766"/>
      <c r="AV54" s="1767"/>
      <c r="AW54" s="1766"/>
      <c r="AX54" s="1766"/>
      <c r="AY54" s="1768"/>
      <c r="AZ54" s="1766"/>
      <c r="BA54" s="1766"/>
      <c r="BB54" s="1768"/>
      <c r="BC54" s="1766"/>
      <c r="BD54" s="1766"/>
      <c r="BE54" s="1768"/>
      <c r="BF54" s="1766"/>
      <c r="BG54" s="1766"/>
      <c r="BH54" s="1768"/>
      <c r="BI54" s="1767"/>
      <c r="BJ54" s="1767"/>
      <c r="BK54" s="1767"/>
      <c r="BL54" s="1767"/>
      <c r="BM54" s="1767"/>
      <c r="BN54" s="1769"/>
      <c r="BO54" s="1076" t="str">
        <f t="shared" si="6"/>
        <v>Buenos Aires_2008</v>
      </c>
      <c r="BP54" s="1756">
        <v>12742478.276032597</v>
      </c>
      <c r="BQ54" s="1767"/>
      <c r="BR54" s="1769"/>
      <c r="BS54" s="1768"/>
      <c r="BT54" s="1756">
        <v>7508607.9555215836</v>
      </c>
      <c r="BU54" s="1756">
        <v>3650739.4465314052</v>
      </c>
      <c r="BV54" s="1756">
        <v>1583130.8739796069</v>
      </c>
      <c r="BW54" s="1767"/>
      <c r="BX54" s="1767"/>
      <c r="BY54" s="1767"/>
      <c r="BZ54" s="1767"/>
      <c r="CA54" s="1767"/>
      <c r="CB54" s="1768"/>
      <c r="CC54" s="1768"/>
      <c r="CD54" s="1768"/>
      <c r="CE54" s="1768"/>
      <c r="CF54" s="1768"/>
      <c r="CG54" s="1768"/>
      <c r="CH54" s="1768"/>
      <c r="CI54" s="1766"/>
      <c r="CJ54" s="1766"/>
      <c r="CK54" s="1766"/>
      <c r="CL54" s="1766"/>
      <c r="CM54" s="1766"/>
      <c r="CN54" s="1766"/>
      <c r="CO54" s="1766"/>
      <c r="CP54" s="1766"/>
      <c r="CQ54" s="1766"/>
      <c r="CR54" s="1766"/>
      <c r="CS54" s="1766"/>
      <c r="CT54" s="1766"/>
      <c r="CU54" s="1766"/>
      <c r="CV54" s="1766"/>
      <c r="CW54" s="1766"/>
      <c r="CX54" s="1766"/>
      <c r="CY54" s="1766"/>
      <c r="CZ54" s="1773"/>
      <c r="DA54" s="1773"/>
      <c r="DB54" s="1773"/>
      <c r="DC54" s="1773"/>
      <c r="DD54" s="1773"/>
      <c r="DE54" s="1773"/>
      <c r="DF54" s="1773"/>
      <c r="DG54" s="1773"/>
      <c r="DH54" s="1773"/>
      <c r="DI54" s="1773"/>
      <c r="DJ54" s="1773"/>
      <c r="DK54" s="1773"/>
      <c r="DL54" s="1773"/>
      <c r="DM54" s="1773"/>
      <c r="DN54" s="1773"/>
      <c r="DO54" s="1773"/>
      <c r="DP54" s="1773"/>
      <c r="DQ54" s="1773"/>
      <c r="DR54" s="1773"/>
      <c r="DS54" s="1773"/>
      <c r="DT54" s="1773"/>
      <c r="DU54" s="1773"/>
      <c r="DV54" s="1774"/>
      <c r="DW54" s="1775"/>
      <c r="DX54" s="1775"/>
      <c r="DY54" s="1775"/>
      <c r="DZ54" s="1775"/>
      <c r="EA54" s="1775"/>
      <c r="EB54" s="1775"/>
      <c r="EC54" s="1775"/>
      <c r="ED54" s="1775"/>
      <c r="EE54" s="1775"/>
      <c r="EF54" s="1775"/>
      <c r="EG54" s="1775"/>
      <c r="EH54" s="1775"/>
      <c r="EI54" s="1775"/>
      <c r="EJ54" s="1775"/>
      <c r="EK54" s="1775"/>
      <c r="EL54" s="1775"/>
      <c r="EM54" s="1775"/>
      <c r="EN54" s="1775"/>
      <c r="EO54" s="1775"/>
      <c r="EP54" s="1775"/>
      <c r="EQ54" s="1775"/>
      <c r="ER54" s="1775"/>
      <c r="ES54" s="1775"/>
      <c r="ET54" s="1757"/>
    </row>
    <row r="55" spans="1:150" s="34" customFormat="1" ht="15" customHeight="1">
      <c r="A55" s="1799">
        <v>40</v>
      </c>
      <c r="B55" s="1055" t="s">
        <v>2631</v>
      </c>
      <c r="C55" s="1753" t="s">
        <v>1235</v>
      </c>
      <c r="D55" s="1754" t="s">
        <v>1641</v>
      </c>
      <c r="E55" s="1753" t="s">
        <v>687</v>
      </c>
      <c r="F55" s="1049">
        <v>2009</v>
      </c>
      <c r="G55" s="1457" t="str">
        <f t="shared" si="10"/>
        <v>2009</v>
      </c>
      <c r="H55" s="1117" t="str">
        <f t="shared" si="11"/>
        <v>Buenos Aires_2009</v>
      </c>
      <c r="I55" s="1049" t="s">
        <v>172</v>
      </c>
      <c r="J55" s="1764"/>
      <c r="K55" s="1764"/>
      <c r="L55" s="1765"/>
      <c r="M55" s="1766"/>
      <c r="N55" s="1766"/>
      <c r="O55" s="1767"/>
      <c r="P55" s="1766"/>
      <c r="Q55" s="1766"/>
      <c r="R55" s="1767"/>
      <c r="S55" s="1766"/>
      <c r="T55" s="1766"/>
      <c r="U55" s="1767"/>
      <c r="V55" s="1766"/>
      <c r="W55" s="1766"/>
      <c r="X55" s="1767"/>
      <c r="Y55" s="1768"/>
      <c r="Z55" s="1766"/>
      <c r="AA55" s="1766"/>
      <c r="AB55" s="1767"/>
      <c r="AC55" s="1766"/>
      <c r="AD55" s="1766"/>
      <c r="AE55" s="1767"/>
      <c r="AF55" s="1766"/>
      <c r="AG55" s="1766"/>
      <c r="AH55" s="1766"/>
      <c r="AI55" s="1766"/>
      <c r="AJ55" s="1767"/>
      <c r="AK55" s="1766"/>
      <c r="AL55" s="1766"/>
      <c r="AM55" s="1767"/>
      <c r="AN55" s="1766"/>
      <c r="AO55" s="1766"/>
      <c r="AP55" s="1767"/>
      <c r="AQ55" s="1766"/>
      <c r="AR55" s="1766"/>
      <c r="AS55" s="1767"/>
      <c r="AT55" s="1766"/>
      <c r="AU55" s="1766"/>
      <c r="AV55" s="1767"/>
      <c r="AW55" s="1766"/>
      <c r="AX55" s="1766"/>
      <c r="AY55" s="1768"/>
      <c r="AZ55" s="1766"/>
      <c r="BA55" s="1766"/>
      <c r="BB55" s="1768"/>
      <c r="BC55" s="1766"/>
      <c r="BD55" s="1766"/>
      <c r="BE55" s="1768"/>
      <c r="BF55" s="1766"/>
      <c r="BG55" s="1766"/>
      <c r="BH55" s="1768"/>
      <c r="BI55" s="1767"/>
      <c r="BJ55" s="1767"/>
      <c r="BK55" s="1767"/>
      <c r="BL55" s="1767"/>
      <c r="BM55" s="1767"/>
      <c r="BN55" s="1769"/>
      <c r="BO55" s="1076" t="str">
        <f t="shared" si="6"/>
        <v>Buenos Aires_2009</v>
      </c>
      <c r="BP55" s="1756">
        <v>12296278.254700819</v>
      </c>
      <c r="BQ55" s="1767"/>
      <c r="BR55" s="1769"/>
      <c r="BS55" s="1768"/>
      <c r="BT55" s="1756">
        <v>7137983.6383096632</v>
      </c>
      <c r="BU55" s="1756">
        <v>3615911.828781229</v>
      </c>
      <c r="BV55" s="1756">
        <v>1542382.7876099269</v>
      </c>
      <c r="BW55" s="1767"/>
      <c r="BX55" s="1767"/>
      <c r="BY55" s="1767"/>
      <c r="BZ55" s="1767"/>
      <c r="CA55" s="1767"/>
      <c r="CB55" s="1768"/>
      <c r="CC55" s="1768"/>
      <c r="CD55" s="1768"/>
      <c r="CE55" s="1768"/>
      <c r="CF55" s="1768"/>
      <c r="CG55" s="1768"/>
      <c r="CH55" s="1768"/>
      <c r="CI55" s="1766"/>
      <c r="CJ55" s="1766"/>
      <c r="CK55" s="1766"/>
      <c r="CL55" s="1766"/>
      <c r="CM55" s="1766"/>
      <c r="CN55" s="1766"/>
      <c r="CO55" s="1766"/>
      <c r="CP55" s="1766"/>
      <c r="CQ55" s="1766"/>
      <c r="CR55" s="1766"/>
      <c r="CS55" s="1766"/>
      <c r="CT55" s="1766"/>
      <c r="CU55" s="1766"/>
      <c r="CV55" s="1766"/>
      <c r="CW55" s="1766"/>
      <c r="CX55" s="1766"/>
      <c r="CY55" s="1766"/>
      <c r="CZ55" s="1773"/>
      <c r="DA55" s="1773"/>
      <c r="DB55" s="1773"/>
      <c r="DC55" s="1773"/>
      <c r="DD55" s="1773"/>
      <c r="DE55" s="1773"/>
      <c r="DF55" s="1773"/>
      <c r="DG55" s="1773"/>
      <c r="DH55" s="1773"/>
      <c r="DI55" s="1773"/>
      <c r="DJ55" s="1773"/>
      <c r="DK55" s="1773"/>
      <c r="DL55" s="1773"/>
      <c r="DM55" s="1773"/>
      <c r="DN55" s="1773"/>
      <c r="DO55" s="1773"/>
      <c r="DP55" s="1773"/>
      <c r="DQ55" s="1773"/>
      <c r="DR55" s="1773"/>
      <c r="DS55" s="1773"/>
      <c r="DT55" s="1773"/>
      <c r="DU55" s="1773"/>
      <c r="DV55" s="1774"/>
      <c r="DW55" s="1775"/>
      <c r="DX55" s="1775"/>
      <c r="DY55" s="1775"/>
      <c r="DZ55" s="1775"/>
      <c r="EA55" s="1775"/>
      <c r="EB55" s="1775"/>
      <c r="EC55" s="1775"/>
      <c r="ED55" s="1775"/>
      <c r="EE55" s="1775"/>
      <c r="EF55" s="1775"/>
      <c r="EG55" s="1775"/>
      <c r="EH55" s="1775"/>
      <c r="EI55" s="1775"/>
      <c r="EJ55" s="1775"/>
      <c r="EK55" s="1775"/>
      <c r="EL55" s="1775"/>
      <c r="EM55" s="1775"/>
      <c r="EN55" s="1775"/>
      <c r="EO55" s="1775"/>
      <c r="EP55" s="1775"/>
      <c r="EQ55" s="1775"/>
      <c r="ER55" s="1775"/>
      <c r="ES55" s="1775"/>
      <c r="ET55" s="1757"/>
    </row>
    <row r="56" spans="1:150" s="34" customFormat="1" ht="15" customHeight="1">
      <c r="A56" s="1799">
        <v>41</v>
      </c>
      <c r="B56" s="1055" t="s">
        <v>2631</v>
      </c>
      <c r="C56" s="1753" t="s">
        <v>1235</v>
      </c>
      <c r="D56" s="1754" t="s">
        <v>1641</v>
      </c>
      <c r="E56" s="1753" t="s">
        <v>687</v>
      </c>
      <c r="F56" s="1755">
        <v>2010</v>
      </c>
      <c r="G56" s="1457" t="str">
        <f t="shared" si="10"/>
        <v>2010</v>
      </c>
      <c r="H56" s="1117" t="str">
        <f t="shared" si="11"/>
        <v>Buenos Aires_2010</v>
      </c>
      <c r="I56" s="1049" t="s">
        <v>172</v>
      </c>
      <c r="J56" s="1764"/>
      <c r="K56" s="1764"/>
      <c r="L56" s="1765"/>
      <c r="M56" s="1766"/>
      <c r="N56" s="1766"/>
      <c r="O56" s="1767"/>
      <c r="P56" s="1766"/>
      <c r="Q56" s="1766"/>
      <c r="R56" s="1767"/>
      <c r="S56" s="1766"/>
      <c r="T56" s="1766"/>
      <c r="U56" s="1767"/>
      <c r="V56" s="1766"/>
      <c r="W56" s="1766"/>
      <c r="X56" s="1767"/>
      <c r="Y56" s="1768"/>
      <c r="Z56" s="1766"/>
      <c r="AA56" s="1766"/>
      <c r="AB56" s="1767"/>
      <c r="AC56" s="1766"/>
      <c r="AD56" s="1766"/>
      <c r="AE56" s="1767"/>
      <c r="AF56" s="1766"/>
      <c r="AG56" s="1766"/>
      <c r="AH56" s="1766"/>
      <c r="AI56" s="1766"/>
      <c r="AJ56" s="1767"/>
      <c r="AK56" s="1766"/>
      <c r="AL56" s="1766"/>
      <c r="AM56" s="1767"/>
      <c r="AN56" s="1766"/>
      <c r="AO56" s="1766"/>
      <c r="AP56" s="1767"/>
      <c r="AQ56" s="1766"/>
      <c r="AR56" s="1766"/>
      <c r="AS56" s="1767"/>
      <c r="AT56" s="1766"/>
      <c r="AU56" s="1766"/>
      <c r="AV56" s="1767"/>
      <c r="AW56" s="1766"/>
      <c r="AX56" s="1766"/>
      <c r="AY56" s="1768"/>
      <c r="AZ56" s="1766"/>
      <c r="BA56" s="1766"/>
      <c r="BB56" s="1768"/>
      <c r="BC56" s="1766"/>
      <c r="BD56" s="1766"/>
      <c r="BE56" s="1768"/>
      <c r="BF56" s="1766"/>
      <c r="BG56" s="1766"/>
      <c r="BH56" s="1768"/>
      <c r="BI56" s="1767"/>
      <c r="BJ56" s="1767"/>
      <c r="BK56" s="1767"/>
      <c r="BL56" s="1767"/>
      <c r="BM56" s="1767"/>
      <c r="BN56" s="1769"/>
      <c r="BO56" s="1076" t="str">
        <f t="shared" si="6"/>
        <v>Buenos Aires_2010</v>
      </c>
      <c r="BP56" s="1756">
        <v>12919018.780264398</v>
      </c>
      <c r="BQ56" s="1767"/>
      <c r="BR56" s="1769"/>
      <c r="BS56" s="1768"/>
      <c r="BT56" s="1756">
        <v>7235582.1049556658</v>
      </c>
      <c r="BU56" s="1756">
        <v>4197498.4725974631</v>
      </c>
      <c r="BV56" s="1756">
        <v>1485938.2027112674</v>
      </c>
      <c r="BW56" s="1767"/>
      <c r="BX56" s="1767"/>
      <c r="BY56" s="1767"/>
      <c r="BZ56" s="1767"/>
      <c r="CA56" s="1767"/>
      <c r="CB56" s="1768"/>
      <c r="CC56" s="1768"/>
      <c r="CD56" s="1768"/>
      <c r="CE56" s="1768"/>
      <c r="CF56" s="1768"/>
      <c r="CG56" s="1768"/>
      <c r="CH56" s="1768"/>
      <c r="CI56" s="1766"/>
      <c r="CJ56" s="1766"/>
      <c r="CK56" s="1766"/>
      <c r="CL56" s="1766"/>
      <c r="CM56" s="1766"/>
      <c r="CN56" s="1766"/>
      <c r="CO56" s="1766"/>
      <c r="CP56" s="1766"/>
      <c r="CQ56" s="1766"/>
      <c r="CR56" s="1766"/>
      <c r="CS56" s="1766"/>
      <c r="CT56" s="1766"/>
      <c r="CU56" s="1766"/>
      <c r="CV56" s="1766"/>
      <c r="CW56" s="1766"/>
      <c r="CX56" s="1766"/>
      <c r="CY56" s="1766"/>
      <c r="CZ56" s="1773"/>
      <c r="DA56" s="1773"/>
      <c r="DB56" s="1773"/>
      <c r="DC56" s="1773"/>
      <c r="DD56" s="1773"/>
      <c r="DE56" s="1773"/>
      <c r="DF56" s="1773"/>
      <c r="DG56" s="1773"/>
      <c r="DH56" s="1773"/>
      <c r="DI56" s="1773"/>
      <c r="DJ56" s="1773"/>
      <c r="DK56" s="1773"/>
      <c r="DL56" s="1773"/>
      <c r="DM56" s="1773"/>
      <c r="DN56" s="1773"/>
      <c r="DO56" s="1773"/>
      <c r="DP56" s="1773"/>
      <c r="DQ56" s="1773"/>
      <c r="DR56" s="1773"/>
      <c r="DS56" s="1773"/>
      <c r="DT56" s="1773"/>
      <c r="DU56" s="1773"/>
      <c r="DV56" s="1774"/>
      <c r="DW56" s="1775"/>
      <c r="DX56" s="1775"/>
      <c r="DY56" s="1775"/>
      <c r="DZ56" s="1775"/>
      <c r="EA56" s="1775"/>
      <c r="EB56" s="1775"/>
      <c r="EC56" s="1775"/>
      <c r="ED56" s="1775"/>
      <c r="EE56" s="1775"/>
      <c r="EF56" s="1775"/>
      <c r="EG56" s="1775"/>
      <c r="EH56" s="1775"/>
      <c r="EI56" s="1775"/>
      <c r="EJ56" s="1775"/>
      <c r="EK56" s="1775"/>
      <c r="EL56" s="1775"/>
      <c r="EM56" s="1775"/>
      <c r="EN56" s="1775"/>
      <c r="EO56" s="1775"/>
      <c r="EP56" s="1775"/>
      <c r="EQ56" s="1775"/>
      <c r="ER56" s="1775"/>
      <c r="ES56" s="1775"/>
      <c r="ET56" s="1757"/>
    </row>
    <row r="57" spans="1:150" s="34" customFormat="1" ht="15" customHeight="1">
      <c r="A57" s="1799">
        <v>42</v>
      </c>
      <c r="B57" s="1055" t="s">
        <v>2631</v>
      </c>
      <c r="C57" s="1753" t="s">
        <v>1235</v>
      </c>
      <c r="D57" s="1754" t="s">
        <v>1641</v>
      </c>
      <c r="E57" s="1753" t="s">
        <v>687</v>
      </c>
      <c r="F57" s="1755">
        <v>2011</v>
      </c>
      <c r="G57" s="1457" t="str">
        <f t="shared" si="10"/>
        <v>2011</v>
      </c>
      <c r="H57" s="1117" t="str">
        <f t="shared" si="11"/>
        <v>Buenos Aires_2011</v>
      </c>
      <c r="I57" s="1049" t="s">
        <v>172</v>
      </c>
      <c r="J57" s="1764"/>
      <c r="K57" s="1764"/>
      <c r="L57" s="1765"/>
      <c r="M57" s="1766"/>
      <c r="N57" s="1766"/>
      <c r="O57" s="1767"/>
      <c r="P57" s="1766"/>
      <c r="Q57" s="1766"/>
      <c r="R57" s="1767"/>
      <c r="S57" s="1766"/>
      <c r="T57" s="1766"/>
      <c r="U57" s="1767"/>
      <c r="V57" s="1766"/>
      <c r="W57" s="1766"/>
      <c r="X57" s="1767"/>
      <c r="Y57" s="1768"/>
      <c r="Z57" s="1766"/>
      <c r="AA57" s="1766"/>
      <c r="AB57" s="1767"/>
      <c r="AC57" s="1766"/>
      <c r="AD57" s="1766"/>
      <c r="AE57" s="1767"/>
      <c r="AF57" s="1766"/>
      <c r="AG57" s="1766"/>
      <c r="AH57" s="1766"/>
      <c r="AI57" s="1766"/>
      <c r="AJ57" s="1767"/>
      <c r="AK57" s="1766"/>
      <c r="AL57" s="1766"/>
      <c r="AM57" s="1767"/>
      <c r="AN57" s="1766"/>
      <c r="AO57" s="1766"/>
      <c r="AP57" s="1767"/>
      <c r="AQ57" s="1766"/>
      <c r="AR57" s="1766"/>
      <c r="AS57" s="1767"/>
      <c r="AT57" s="1766"/>
      <c r="AU57" s="1766"/>
      <c r="AV57" s="1767"/>
      <c r="AW57" s="1766"/>
      <c r="AX57" s="1766"/>
      <c r="AY57" s="1768"/>
      <c r="AZ57" s="1766"/>
      <c r="BA57" s="1766"/>
      <c r="BB57" s="1768"/>
      <c r="BC57" s="1766"/>
      <c r="BD57" s="1766"/>
      <c r="BE57" s="1768"/>
      <c r="BF57" s="1766"/>
      <c r="BG57" s="1766"/>
      <c r="BH57" s="1768"/>
      <c r="BI57" s="1767"/>
      <c r="BJ57" s="1767"/>
      <c r="BK57" s="1767"/>
      <c r="BL57" s="1767"/>
      <c r="BM57" s="1767"/>
      <c r="BN57" s="1769"/>
      <c r="BO57" s="1076" t="str">
        <f t="shared" si="6"/>
        <v>Buenos Aires_2011</v>
      </c>
      <c r="BP57" s="1756">
        <v>12782056.549339209</v>
      </c>
      <c r="BQ57" s="1767"/>
      <c r="BR57" s="1769"/>
      <c r="BS57" s="1768"/>
      <c r="BT57" s="1756">
        <v>7537607.4992190842</v>
      </c>
      <c r="BU57" s="1756">
        <v>3715647.823259369</v>
      </c>
      <c r="BV57" s="1756">
        <v>1528801.2268607554</v>
      </c>
      <c r="BW57" s="1767"/>
      <c r="BX57" s="1767"/>
      <c r="BY57" s="1767"/>
      <c r="BZ57" s="1767"/>
      <c r="CA57" s="1767"/>
      <c r="CB57" s="1768"/>
      <c r="CC57" s="1768"/>
      <c r="CD57" s="1768"/>
      <c r="CE57" s="1768"/>
      <c r="CF57" s="1768"/>
      <c r="CG57" s="1768"/>
      <c r="CH57" s="1768"/>
      <c r="CI57" s="1766"/>
      <c r="CJ57" s="1766"/>
      <c r="CK57" s="1766"/>
      <c r="CL57" s="1766"/>
      <c r="CM57" s="1766"/>
      <c r="CN57" s="1766"/>
      <c r="CO57" s="1766"/>
      <c r="CP57" s="1766"/>
      <c r="CQ57" s="1766"/>
      <c r="CR57" s="1766"/>
      <c r="CS57" s="1766"/>
      <c r="CT57" s="1766"/>
      <c r="CU57" s="1766"/>
      <c r="CV57" s="1766"/>
      <c r="CW57" s="1766"/>
      <c r="CX57" s="1766"/>
      <c r="CY57" s="1766"/>
      <c r="CZ57" s="1773"/>
      <c r="DA57" s="1773"/>
      <c r="DB57" s="1773"/>
      <c r="DC57" s="1773"/>
      <c r="DD57" s="1773"/>
      <c r="DE57" s="1773"/>
      <c r="DF57" s="1773"/>
      <c r="DG57" s="1773"/>
      <c r="DH57" s="1773"/>
      <c r="DI57" s="1773"/>
      <c r="DJ57" s="1773"/>
      <c r="DK57" s="1773"/>
      <c r="DL57" s="1773"/>
      <c r="DM57" s="1773"/>
      <c r="DN57" s="1773"/>
      <c r="DO57" s="1773"/>
      <c r="DP57" s="1773"/>
      <c r="DQ57" s="1773"/>
      <c r="DR57" s="1773"/>
      <c r="DS57" s="1773"/>
      <c r="DT57" s="1773"/>
      <c r="DU57" s="1773"/>
      <c r="DV57" s="1774"/>
      <c r="DW57" s="1775"/>
      <c r="DX57" s="1775"/>
      <c r="DY57" s="1775"/>
      <c r="DZ57" s="1775"/>
      <c r="EA57" s="1775"/>
      <c r="EB57" s="1775"/>
      <c r="EC57" s="1775"/>
      <c r="ED57" s="1775"/>
      <c r="EE57" s="1775"/>
      <c r="EF57" s="1775"/>
      <c r="EG57" s="1775"/>
      <c r="EH57" s="1775"/>
      <c r="EI57" s="1775"/>
      <c r="EJ57" s="1775"/>
      <c r="EK57" s="1775"/>
      <c r="EL57" s="1775"/>
      <c r="EM57" s="1775"/>
      <c r="EN57" s="1775"/>
      <c r="EO57" s="1775"/>
      <c r="EP57" s="1775"/>
      <c r="EQ57" s="1775"/>
      <c r="ER57" s="1775"/>
      <c r="ES57" s="1775"/>
      <c r="ET57" s="1757"/>
    </row>
    <row r="58" spans="1:150" s="34" customFormat="1" ht="15" customHeight="1">
      <c r="A58" s="1799">
        <v>43</v>
      </c>
      <c r="B58" s="1055" t="s">
        <v>2631</v>
      </c>
      <c r="C58" s="1753" t="s">
        <v>1235</v>
      </c>
      <c r="D58" s="1754" t="s">
        <v>1641</v>
      </c>
      <c r="E58" s="1753" t="s">
        <v>687</v>
      </c>
      <c r="F58" s="1049">
        <v>2012</v>
      </c>
      <c r="G58" s="1457" t="str">
        <f t="shared" si="10"/>
        <v>2012</v>
      </c>
      <c r="H58" s="1117" t="str">
        <f t="shared" si="11"/>
        <v>Buenos Aires_2012</v>
      </c>
      <c r="I58" s="1049" t="s">
        <v>172</v>
      </c>
      <c r="J58" s="1764"/>
      <c r="K58" s="1764"/>
      <c r="L58" s="1765"/>
      <c r="M58" s="1766"/>
      <c r="N58" s="1766"/>
      <c r="O58" s="1767"/>
      <c r="P58" s="1766"/>
      <c r="Q58" s="1766"/>
      <c r="R58" s="1767"/>
      <c r="S58" s="1766"/>
      <c r="T58" s="1766"/>
      <c r="U58" s="1767"/>
      <c r="V58" s="1766"/>
      <c r="W58" s="1766"/>
      <c r="X58" s="1767"/>
      <c r="Y58" s="1768"/>
      <c r="Z58" s="1766"/>
      <c r="AA58" s="1766"/>
      <c r="AB58" s="1767"/>
      <c r="AC58" s="1766"/>
      <c r="AD58" s="1766"/>
      <c r="AE58" s="1767"/>
      <c r="AF58" s="1766"/>
      <c r="AG58" s="1766"/>
      <c r="AH58" s="1766"/>
      <c r="AI58" s="1766"/>
      <c r="AJ58" s="1767"/>
      <c r="AK58" s="1766"/>
      <c r="AL58" s="1766"/>
      <c r="AM58" s="1767"/>
      <c r="AN58" s="1766"/>
      <c r="AO58" s="1766"/>
      <c r="AP58" s="1767"/>
      <c r="AQ58" s="1766"/>
      <c r="AR58" s="1766"/>
      <c r="AS58" s="1767"/>
      <c r="AT58" s="1766"/>
      <c r="AU58" s="1766"/>
      <c r="AV58" s="1767"/>
      <c r="AW58" s="1766"/>
      <c r="AX58" s="1766"/>
      <c r="AY58" s="1768"/>
      <c r="AZ58" s="1766"/>
      <c r="BA58" s="1766"/>
      <c r="BB58" s="1768"/>
      <c r="BC58" s="1766"/>
      <c r="BD58" s="1766"/>
      <c r="BE58" s="1768"/>
      <c r="BF58" s="1766"/>
      <c r="BG58" s="1766"/>
      <c r="BH58" s="1768"/>
      <c r="BI58" s="1767"/>
      <c r="BJ58" s="1767"/>
      <c r="BK58" s="1767"/>
      <c r="BL58" s="1767"/>
      <c r="BM58" s="1767"/>
      <c r="BN58" s="1769"/>
      <c r="BO58" s="1076" t="str">
        <f t="shared" si="6"/>
        <v>Buenos Aires_2012</v>
      </c>
      <c r="BP58" s="1756">
        <v>13434140.053075185</v>
      </c>
      <c r="BQ58" s="1767"/>
      <c r="BR58" s="1769"/>
      <c r="BS58" s="1768"/>
      <c r="BT58" s="1756">
        <v>7929095.8966760449</v>
      </c>
      <c r="BU58" s="1756">
        <v>3804757.1748643974</v>
      </c>
      <c r="BV58" s="1756">
        <v>1700286.9815347409</v>
      </c>
      <c r="BW58" s="1767"/>
      <c r="BX58" s="1767"/>
      <c r="BY58" s="1767"/>
      <c r="BZ58" s="1767"/>
      <c r="CA58" s="1767"/>
      <c r="CB58" s="1768"/>
      <c r="CC58" s="1768"/>
      <c r="CD58" s="1768"/>
      <c r="CE58" s="1768"/>
      <c r="CF58" s="1768"/>
      <c r="CG58" s="1768"/>
      <c r="CH58" s="1768"/>
      <c r="CI58" s="1766"/>
      <c r="CJ58" s="1766"/>
      <c r="CK58" s="1766"/>
      <c r="CL58" s="1766"/>
      <c r="CM58" s="1766"/>
      <c r="CN58" s="1766"/>
      <c r="CO58" s="1766"/>
      <c r="CP58" s="1766"/>
      <c r="CQ58" s="1766"/>
      <c r="CR58" s="1766"/>
      <c r="CS58" s="1766"/>
      <c r="CT58" s="1766"/>
      <c r="CU58" s="1766"/>
      <c r="CV58" s="1766"/>
      <c r="CW58" s="1766"/>
      <c r="CX58" s="1766"/>
      <c r="CY58" s="1766"/>
      <c r="CZ58" s="1773"/>
      <c r="DA58" s="1773"/>
      <c r="DB58" s="1773"/>
      <c r="DC58" s="1773"/>
      <c r="DD58" s="1773"/>
      <c r="DE58" s="1773"/>
      <c r="DF58" s="1773"/>
      <c r="DG58" s="1773"/>
      <c r="DH58" s="1773"/>
      <c r="DI58" s="1773"/>
      <c r="DJ58" s="1773"/>
      <c r="DK58" s="1773"/>
      <c r="DL58" s="1773"/>
      <c r="DM58" s="1773"/>
      <c r="DN58" s="1773"/>
      <c r="DO58" s="1773"/>
      <c r="DP58" s="1773"/>
      <c r="DQ58" s="1773"/>
      <c r="DR58" s="1773"/>
      <c r="DS58" s="1773"/>
      <c r="DT58" s="1773"/>
      <c r="DU58" s="1773"/>
      <c r="DV58" s="1774"/>
      <c r="DW58" s="1775"/>
      <c r="DX58" s="1775"/>
      <c r="DY58" s="1775"/>
      <c r="DZ58" s="1775"/>
      <c r="EA58" s="1775"/>
      <c r="EB58" s="1775"/>
      <c r="EC58" s="1775"/>
      <c r="ED58" s="1775"/>
      <c r="EE58" s="1775"/>
      <c r="EF58" s="1775"/>
      <c r="EG58" s="1775"/>
      <c r="EH58" s="1775"/>
      <c r="EI58" s="1775"/>
      <c r="EJ58" s="1775"/>
      <c r="EK58" s="1775"/>
      <c r="EL58" s="1775"/>
      <c r="EM58" s="1775"/>
      <c r="EN58" s="1775"/>
      <c r="EO58" s="1775"/>
      <c r="EP58" s="1775"/>
      <c r="EQ58" s="1775"/>
      <c r="ER58" s="1775"/>
      <c r="ES58" s="1775"/>
      <c r="ET58" s="1757"/>
    </row>
    <row r="59" spans="1:150" s="34" customFormat="1" ht="15" customHeight="1">
      <c r="A59" s="1799">
        <v>44</v>
      </c>
      <c r="B59" s="1055" t="s">
        <v>2631</v>
      </c>
      <c r="C59" s="1753" t="s">
        <v>1235</v>
      </c>
      <c r="D59" s="1754" t="s">
        <v>1641</v>
      </c>
      <c r="E59" s="1753" t="s">
        <v>687</v>
      </c>
      <c r="F59" s="1755">
        <v>2014</v>
      </c>
      <c r="G59" s="1457" t="str">
        <f t="shared" si="10"/>
        <v>2014</v>
      </c>
      <c r="H59" s="1117" t="str">
        <f t="shared" si="11"/>
        <v>Buenos Aires_2014</v>
      </c>
      <c r="I59" s="1049" t="s">
        <v>172</v>
      </c>
      <c r="J59" s="1764"/>
      <c r="K59" s="1764"/>
      <c r="L59" s="1765"/>
      <c r="M59" s="1766"/>
      <c r="N59" s="1766"/>
      <c r="O59" s="1767"/>
      <c r="P59" s="1766"/>
      <c r="Q59" s="1766"/>
      <c r="R59" s="1767"/>
      <c r="S59" s="1766"/>
      <c r="T59" s="1766"/>
      <c r="U59" s="1767"/>
      <c r="V59" s="1766"/>
      <c r="W59" s="1766"/>
      <c r="X59" s="1767"/>
      <c r="Y59" s="1768"/>
      <c r="Z59" s="1766"/>
      <c r="AA59" s="1766"/>
      <c r="AB59" s="1767"/>
      <c r="AC59" s="1766"/>
      <c r="AD59" s="1766"/>
      <c r="AE59" s="1767"/>
      <c r="AF59" s="1766"/>
      <c r="AG59" s="1766"/>
      <c r="AH59" s="1766"/>
      <c r="AI59" s="1766"/>
      <c r="AJ59" s="1767"/>
      <c r="AK59" s="1766"/>
      <c r="AL59" s="1766"/>
      <c r="AM59" s="1767"/>
      <c r="AN59" s="1766"/>
      <c r="AO59" s="1766"/>
      <c r="AP59" s="1767"/>
      <c r="AQ59" s="1766"/>
      <c r="AR59" s="1766"/>
      <c r="AS59" s="1767"/>
      <c r="AT59" s="1766"/>
      <c r="AU59" s="1766"/>
      <c r="AV59" s="1767"/>
      <c r="AW59" s="1766"/>
      <c r="AX59" s="1766"/>
      <c r="AY59" s="1768"/>
      <c r="AZ59" s="1766"/>
      <c r="BA59" s="1766"/>
      <c r="BB59" s="1768"/>
      <c r="BC59" s="1766"/>
      <c r="BD59" s="1766"/>
      <c r="BE59" s="1768"/>
      <c r="BF59" s="1766"/>
      <c r="BG59" s="1766"/>
      <c r="BH59" s="1768"/>
      <c r="BI59" s="1767"/>
      <c r="BJ59" s="1767"/>
      <c r="BK59" s="1767"/>
      <c r="BL59" s="1767"/>
      <c r="BM59" s="1767"/>
      <c r="BN59" s="1769"/>
      <c r="BO59" s="1076" t="str">
        <f t="shared" si="6"/>
        <v>Buenos Aires_2014</v>
      </c>
      <c r="BP59" s="1051">
        <v>12928645.752935115</v>
      </c>
      <c r="BQ59" s="1767"/>
      <c r="BR59" s="1769"/>
      <c r="BS59" s="1768"/>
      <c r="BT59" s="1051">
        <v>7481617.2258303259</v>
      </c>
      <c r="BU59" s="1051">
        <v>3654887.7894731089</v>
      </c>
      <c r="BV59" s="1051">
        <v>1792140.7376316802</v>
      </c>
      <c r="BW59" s="1767"/>
      <c r="BX59" s="1767"/>
      <c r="BY59" s="1767"/>
      <c r="BZ59" s="1767"/>
      <c r="CA59" s="1767"/>
      <c r="CB59" s="1768"/>
      <c r="CC59" s="1768"/>
      <c r="CD59" s="1768"/>
      <c r="CE59" s="1768"/>
      <c r="CF59" s="1768"/>
      <c r="CG59" s="1768"/>
      <c r="CH59" s="1768"/>
      <c r="CI59" s="1766"/>
      <c r="CJ59" s="1766"/>
      <c r="CK59" s="1766"/>
      <c r="CL59" s="1766"/>
      <c r="CM59" s="1766"/>
      <c r="CN59" s="1766"/>
      <c r="CO59" s="1766"/>
      <c r="CP59" s="1766"/>
      <c r="CQ59" s="1766"/>
      <c r="CR59" s="1766"/>
      <c r="CS59" s="1766"/>
      <c r="CT59" s="1766"/>
      <c r="CU59" s="1766"/>
      <c r="CV59" s="1766"/>
      <c r="CW59" s="1766"/>
      <c r="CX59" s="1766"/>
      <c r="CY59" s="1766"/>
      <c r="CZ59" s="1773"/>
      <c r="DA59" s="1773"/>
      <c r="DB59" s="1773"/>
      <c r="DC59" s="1773"/>
      <c r="DD59" s="1773"/>
      <c r="DE59" s="1773"/>
      <c r="DF59" s="1773"/>
      <c r="DG59" s="1773"/>
      <c r="DH59" s="1773"/>
      <c r="DI59" s="1773"/>
      <c r="DJ59" s="1773"/>
      <c r="DK59" s="1773"/>
      <c r="DL59" s="1773"/>
      <c r="DM59" s="1773"/>
      <c r="DN59" s="1773"/>
      <c r="DO59" s="1773"/>
      <c r="DP59" s="1773"/>
      <c r="DQ59" s="1773"/>
      <c r="DR59" s="1773"/>
      <c r="DS59" s="1773"/>
      <c r="DT59" s="1773"/>
      <c r="DU59" s="1773"/>
      <c r="DV59" s="1774"/>
      <c r="DW59" s="1775"/>
      <c r="DX59" s="1775"/>
      <c r="DY59" s="1775"/>
      <c r="DZ59" s="1775"/>
      <c r="EA59" s="1775"/>
      <c r="EB59" s="1775"/>
      <c r="EC59" s="1775"/>
      <c r="ED59" s="1775"/>
      <c r="EE59" s="1775"/>
      <c r="EF59" s="1775"/>
      <c r="EG59" s="1775"/>
      <c r="EH59" s="1775"/>
      <c r="EI59" s="1775"/>
      <c r="EJ59" s="1775"/>
      <c r="EK59" s="1775"/>
      <c r="EL59" s="1775"/>
      <c r="EM59" s="1775"/>
      <c r="EN59" s="1775"/>
      <c r="EO59" s="1775"/>
      <c r="EP59" s="1775"/>
      <c r="EQ59" s="1775"/>
      <c r="ER59" s="1775"/>
      <c r="ES59" s="1775"/>
      <c r="ET59" s="1757"/>
    </row>
    <row r="60" spans="1:150" s="34" customFormat="1" ht="15" customHeight="1">
      <c r="A60" s="1799">
        <v>45</v>
      </c>
      <c r="B60" s="1041"/>
      <c r="C60" s="1050"/>
      <c r="D60" s="1050"/>
      <c r="E60" s="1050"/>
      <c r="F60" s="1049"/>
      <c r="G60" s="1457"/>
      <c r="H60" s="1049"/>
      <c r="I60" s="1049"/>
      <c r="J60" s="1050"/>
      <c r="K60" s="1050"/>
      <c r="L60" s="1043"/>
      <c r="M60" s="1051"/>
      <c r="N60" s="1051"/>
      <c r="O60" s="1052"/>
      <c r="P60" s="1051"/>
      <c r="Q60" s="1051"/>
      <c r="R60" s="1052"/>
      <c r="S60" s="1051"/>
      <c r="T60" s="1051"/>
      <c r="U60" s="1052"/>
      <c r="V60" s="1051"/>
      <c r="W60" s="1051"/>
      <c r="X60" s="1052"/>
      <c r="Y60" s="1053"/>
      <c r="Z60" s="1051"/>
      <c r="AA60" s="1051"/>
      <c r="AB60" s="1052"/>
      <c r="AC60" s="1051"/>
      <c r="AD60" s="1051"/>
      <c r="AE60" s="1052"/>
      <c r="AF60" s="1051"/>
      <c r="AG60" s="1051"/>
      <c r="AH60" s="1051"/>
      <c r="AI60" s="1051"/>
      <c r="AJ60" s="1052"/>
      <c r="AK60" s="1051"/>
      <c r="AL60" s="1051"/>
      <c r="AM60" s="1052"/>
      <c r="AN60" s="1051"/>
      <c r="AO60" s="1051"/>
      <c r="AP60" s="1052"/>
      <c r="AQ60" s="1051"/>
      <c r="AR60" s="1051"/>
      <c r="AS60" s="1052"/>
      <c r="AT60" s="1051"/>
      <c r="AU60" s="1051"/>
      <c r="AV60" s="1052"/>
      <c r="AW60" s="1051"/>
      <c r="AX60" s="1051"/>
      <c r="AY60" s="1053"/>
      <c r="AZ60" s="1051"/>
      <c r="BA60" s="1051"/>
      <c r="BB60" s="1053"/>
      <c r="BC60" s="1051"/>
      <c r="BD60" s="1051"/>
      <c r="BE60" s="1053"/>
      <c r="BF60" s="1051"/>
      <c r="BG60" s="1051"/>
      <c r="BH60" s="1053"/>
      <c r="BI60" s="1052"/>
      <c r="BJ60" s="1052"/>
      <c r="BK60" s="1052"/>
      <c r="BL60" s="1052"/>
      <c r="BM60" s="1052"/>
      <c r="BN60" s="1054"/>
      <c r="BO60" s="1076">
        <f t="shared" si="6"/>
        <v>0</v>
      </c>
      <c r="BP60" s="1051"/>
      <c r="BQ60" s="1052"/>
      <c r="BR60" s="1054"/>
      <c r="BS60" s="1053"/>
      <c r="BT60" s="1051"/>
      <c r="BU60" s="1051"/>
      <c r="BV60" s="1051"/>
      <c r="BW60" s="1052"/>
      <c r="BX60" s="1052"/>
      <c r="BY60" s="1052"/>
      <c r="BZ60" s="1052"/>
      <c r="CA60" s="1052"/>
      <c r="CB60" s="1053"/>
      <c r="CC60" s="1053"/>
      <c r="CD60" s="1053"/>
      <c r="CE60" s="1053"/>
      <c r="CF60" s="1053"/>
      <c r="CG60" s="1053"/>
      <c r="CH60" s="1053"/>
      <c r="CI60" s="1123"/>
      <c r="CJ60" s="1123"/>
      <c r="CK60" s="1123"/>
      <c r="CL60" s="1123"/>
      <c r="CM60" s="1123"/>
      <c r="CN60" s="1123"/>
      <c r="CO60" s="1123"/>
      <c r="CP60" s="1123"/>
      <c r="CQ60" s="1123"/>
      <c r="CR60" s="1123"/>
      <c r="CS60" s="1123"/>
      <c r="CT60" s="1123"/>
      <c r="CU60" s="1123"/>
      <c r="CV60" s="1123"/>
      <c r="CW60" s="1123"/>
      <c r="CX60" s="1123"/>
      <c r="CY60" s="1123"/>
      <c r="CZ60" s="1114"/>
      <c r="DA60" s="1114"/>
      <c r="DB60" s="1114"/>
      <c r="DC60" s="1114"/>
      <c r="DD60" s="1114"/>
      <c r="DE60" s="1114"/>
      <c r="DF60" s="1114"/>
      <c r="DG60" s="1114"/>
      <c r="DH60" s="1114"/>
      <c r="DI60" s="1114"/>
      <c r="DJ60" s="1114"/>
      <c r="DK60" s="1114"/>
      <c r="DL60" s="1114"/>
      <c r="DM60" s="1114"/>
      <c r="DN60" s="1114"/>
      <c r="DO60" s="1114"/>
      <c r="DP60" s="1114"/>
      <c r="DQ60" s="1114"/>
      <c r="DR60" s="1114"/>
      <c r="DS60" s="1114"/>
      <c r="DT60" s="1114"/>
      <c r="DU60" s="1114"/>
      <c r="DV60" s="1115"/>
      <c r="DW60" s="1116"/>
      <c r="DX60" s="1116"/>
      <c r="DY60" s="1116"/>
      <c r="DZ60" s="1116"/>
      <c r="EA60" s="1116"/>
      <c r="EB60" s="1116"/>
      <c r="EC60" s="1116"/>
      <c r="ED60" s="1116"/>
      <c r="EE60" s="1116"/>
      <c r="EF60" s="1116"/>
      <c r="EG60" s="1116"/>
      <c r="EH60" s="1116"/>
      <c r="EI60" s="1116"/>
      <c r="EJ60" s="1116"/>
      <c r="EK60" s="1116"/>
      <c r="EL60" s="1116"/>
      <c r="EM60" s="1116"/>
      <c r="EN60" s="1116"/>
      <c r="EO60" s="1116"/>
      <c r="EP60" s="1116"/>
      <c r="EQ60" s="1116"/>
      <c r="ER60" s="1116"/>
      <c r="ES60" s="1116"/>
    </row>
    <row r="61" spans="1:150" s="34" customFormat="1" ht="15" customHeight="1">
      <c r="A61" s="1799">
        <v>46</v>
      </c>
      <c r="B61" s="1041"/>
      <c r="C61" s="1050"/>
      <c r="D61" s="1050"/>
      <c r="E61" s="1050"/>
      <c r="F61" s="1049"/>
      <c r="G61" s="1457"/>
      <c r="H61" s="1049"/>
      <c r="I61" s="1049"/>
      <c r="J61" s="1050"/>
      <c r="K61" s="1050"/>
      <c r="L61" s="1043"/>
      <c r="M61" s="1051"/>
      <c r="N61" s="1051"/>
      <c r="O61" s="1052"/>
      <c r="P61" s="1051"/>
      <c r="Q61" s="1051"/>
      <c r="R61" s="1052"/>
      <c r="S61" s="1051"/>
      <c r="T61" s="1051"/>
      <c r="U61" s="1052"/>
      <c r="V61" s="1051"/>
      <c r="W61" s="1051"/>
      <c r="X61" s="1052"/>
      <c r="Y61" s="1053"/>
      <c r="Z61" s="1051"/>
      <c r="AA61" s="1051"/>
      <c r="AB61" s="1052"/>
      <c r="AC61" s="1051"/>
      <c r="AD61" s="1051"/>
      <c r="AE61" s="1052"/>
      <c r="AF61" s="1051"/>
      <c r="AG61" s="1051"/>
      <c r="AH61" s="1051"/>
      <c r="AI61" s="1051"/>
      <c r="AJ61" s="1052"/>
      <c r="AK61" s="1051"/>
      <c r="AL61" s="1051"/>
      <c r="AM61" s="1052"/>
      <c r="AN61" s="1051"/>
      <c r="AO61" s="1051"/>
      <c r="AP61" s="1052"/>
      <c r="AQ61" s="1051"/>
      <c r="AR61" s="1051"/>
      <c r="AS61" s="1052"/>
      <c r="AT61" s="1051"/>
      <c r="AU61" s="1051"/>
      <c r="AV61" s="1052"/>
      <c r="AW61" s="1051"/>
      <c r="AX61" s="1051"/>
      <c r="AY61" s="1053"/>
      <c r="AZ61" s="1051"/>
      <c r="BA61" s="1051"/>
      <c r="BB61" s="1053"/>
      <c r="BC61" s="1051"/>
      <c r="BD61" s="1051"/>
      <c r="BE61" s="1053"/>
      <c r="BF61" s="1051"/>
      <c r="BG61" s="1051"/>
      <c r="BH61" s="1053"/>
      <c r="BI61" s="1052"/>
      <c r="BJ61" s="1052"/>
      <c r="BK61" s="1052"/>
      <c r="BL61" s="1052"/>
      <c r="BM61" s="1052"/>
      <c r="BN61" s="1054"/>
      <c r="BO61" s="1076">
        <f t="shared" si="6"/>
        <v>0</v>
      </c>
      <c r="BP61" s="1051"/>
      <c r="BQ61" s="1052"/>
      <c r="BR61" s="1054"/>
      <c r="BS61" s="1053"/>
      <c r="BT61" s="1051"/>
      <c r="BU61" s="1051"/>
      <c r="BV61" s="1051"/>
      <c r="BW61" s="1052"/>
      <c r="BX61" s="1052"/>
      <c r="BY61" s="1052"/>
      <c r="BZ61" s="1052"/>
      <c r="CA61" s="1052"/>
      <c r="CB61" s="1053"/>
      <c r="CC61" s="1053"/>
      <c r="CD61" s="1053"/>
      <c r="CE61" s="1053"/>
      <c r="CF61" s="1053"/>
      <c r="CG61" s="1053"/>
      <c r="CH61" s="1053"/>
      <c r="CI61" s="1123"/>
      <c r="CJ61" s="1123"/>
      <c r="CK61" s="1123"/>
      <c r="CL61" s="1123"/>
      <c r="CM61" s="1123"/>
      <c r="CN61" s="1123"/>
      <c r="CO61" s="1123"/>
      <c r="CP61" s="1123"/>
      <c r="CQ61" s="1123"/>
      <c r="CR61" s="1123"/>
      <c r="CS61" s="1123"/>
      <c r="CT61" s="1123"/>
      <c r="CU61" s="1123"/>
      <c r="CV61" s="1123"/>
      <c r="CW61" s="1123"/>
      <c r="CX61" s="1123"/>
      <c r="CY61" s="1123"/>
      <c r="CZ61" s="1114"/>
      <c r="DA61" s="1114"/>
      <c r="DB61" s="1114"/>
      <c r="DC61" s="1114"/>
      <c r="DD61" s="1114"/>
      <c r="DE61" s="1114"/>
      <c r="DF61" s="1114"/>
      <c r="DG61" s="1114"/>
      <c r="DH61" s="1114"/>
      <c r="DI61" s="1114"/>
      <c r="DJ61" s="1114"/>
      <c r="DK61" s="1114"/>
      <c r="DL61" s="1114"/>
      <c r="DM61" s="1114"/>
      <c r="DN61" s="1114"/>
      <c r="DO61" s="1114"/>
      <c r="DP61" s="1114"/>
      <c r="DQ61" s="1114"/>
      <c r="DR61" s="1114"/>
      <c r="DS61" s="1114"/>
      <c r="DT61" s="1114"/>
      <c r="DU61" s="1114"/>
      <c r="DV61" s="1115"/>
      <c r="DW61" s="1116"/>
      <c r="DX61" s="1116"/>
      <c r="DY61" s="1116"/>
      <c r="DZ61" s="1116"/>
      <c r="EA61" s="1116"/>
      <c r="EB61" s="1116"/>
      <c r="EC61" s="1116"/>
      <c r="ED61" s="1116"/>
      <c r="EE61" s="1116"/>
      <c r="EF61" s="1116"/>
      <c r="EG61" s="1116"/>
      <c r="EH61" s="1116"/>
      <c r="EI61" s="1116"/>
      <c r="EJ61" s="1116"/>
      <c r="EK61" s="1116"/>
      <c r="EL61" s="1116"/>
      <c r="EM61" s="1116"/>
      <c r="EN61" s="1116"/>
      <c r="EO61" s="1116"/>
      <c r="EP61" s="1116"/>
      <c r="EQ61" s="1116"/>
      <c r="ER61" s="1116"/>
      <c r="ES61" s="1116"/>
    </row>
    <row r="62" spans="1:150" s="34" customFormat="1" ht="15" customHeight="1">
      <c r="A62" s="1799">
        <v>47</v>
      </c>
      <c r="B62" s="1041"/>
      <c r="C62" s="1050"/>
      <c r="D62" s="1050"/>
      <c r="E62" s="1050"/>
      <c r="F62" s="1049"/>
      <c r="G62" s="1457"/>
      <c r="H62" s="1049"/>
      <c r="I62" s="1049"/>
      <c r="J62" s="1050"/>
      <c r="K62" s="1050"/>
      <c r="L62" s="1043"/>
      <c r="M62" s="1051"/>
      <c r="N62" s="1051"/>
      <c r="O62" s="1052"/>
      <c r="P62" s="1051"/>
      <c r="Q62" s="1051"/>
      <c r="R62" s="1052"/>
      <c r="S62" s="1051"/>
      <c r="T62" s="1051"/>
      <c r="U62" s="1052"/>
      <c r="V62" s="1051"/>
      <c r="W62" s="1051"/>
      <c r="X62" s="1052"/>
      <c r="Y62" s="1053"/>
      <c r="Z62" s="1051"/>
      <c r="AA62" s="1051"/>
      <c r="AB62" s="1052"/>
      <c r="AC62" s="1051"/>
      <c r="AD62" s="1051"/>
      <c r="AE62" s="1052"/>
      <c r="AF62" s="1051"/>
      <c r="AG62" s="1051"/>
      <c r="AH62" s="1051"/>
      <c r="AI62" s="1051"/>
      <c r="AJ62" s="1052"/>
      <c r="AK62" s="1051"/>
      <c r="AL62" s="1051"/>
      <c r="AM62" s="1052"/>
      <c r="AN62" s="1051"/>
      <c r="AO62" s="1051"/>
      <c r="AP62" s="1052"/>
      <c r="AQ62" s="1051"/>
      <c r="AR62" s="1051"/>
      <c r="AS62" s="1052"/>
      <c r="AT62" s="1051"/>
      <c r="AU62" s="1051"/>
      <c r="AV62" s="1052"/>
      <c r="AW62" s="1051"/>
      <c r="AX62" s="1051"/>
      <c r="AY62" s="1053"/>
      <c r="AZ62" s="1051"/>
      <c r="BA62" s="1051"/>
      <c r="BB62" s="1053"/>
      <c r="BC62" s="1051"/>
      <c r="BD62" s="1051"/>
      <c r="BE62" s="1053"/>
      <c r="BF62" s="1051"/>
      <c r="BG62" s="1051"/>
      <c r="BH62" s="1053"/>
      <c r="BI62" s="1052"/>
      <c r="BJ62" s="1052"/>
      <c r="BK62" s="1052"/>
      <c r="BL62" s="1052"/>
      <c r="BM62" s="1052"/>
      <c r="BN62" s="1054"/>
      <c r="BO62" s="1076">
        <f t="shared" si="6"/>
        <v>0</v>
      </c>
      <c r="BP62" s="1051"/>
      <c r="BQ62" s="1052"/>
      <c r="BR62" s="1054"/>
      <c r="BS62" s="1053"/>
      <c r="BT62" s="1051"/>
      <c r="BU62" s="1051"/>
      <c r="BV62" s="1051"/>
      <c r="BW62" s="1052"/>
      <c r="BX62" s="1052"/>
      <c r="BY62" s="1052"/>
      <c r="BZ62" s="1052"/>
      <c r="CA62" s="1052"/>
      <c r="CB62" s="1053"/>
      <c r="CC62" s="1053"/>
      <c r="CD62" s="1053"/>
      <c r="CE62" s="1053"/>
      <c r="CF62" s="1053"/>
      <c r="CG62" s="1053"/>
      <c r="CH62" s="1053"/>
      <c r="CI62" s="1123"/>
      <c r="CJ62" s="1123"/>
      <c r="CK62" s="1123"/>
      <c r="CL62" s="1123"/>
      <c r="CM62" s="1123"/>
      <c r="CN62" s="1123"/>
      <c r="CO62" s="1123"/>
      <c r="CP62" s="1123"/>
      <c r="CQ62" s="1123"/>
      <c r="CR62" s="1123"/>
      <c r="CS62" s="1123"/>
      <c r="CT62" s="1123"/>
      <c r="CU62" s="1123"/>
      <c r="CV62" s="1123"/>
      <c r="CW62" s="1123"/>
      <c r="CX62" s="1123"/>
      <c r="CY62" s="1123"/>
      <c r="CZ62" s="1114"/>
      <c r="DA62" s="1114"/>
      <c r="DB62" s="1114"/>
      <c r="DC62" s="1114"/>
      <c r="DD62" s="1114"/>
      <c r="DE62" s="1114"/>
      <c r="DF62" s="1114"/>
      <c r="DG62" s="1114"/>
      <c r="DH62" s="1114"/>
      <c r="DI62" s="1114"/>
      <c r="DJ62" s="1114"/>
      <c r="DK62" s="1114"/>
      <c r="DL62" s="1114"/>
      <c r="DM62" s="1114"/>
      <c r="DN62" s="1114"/>
      <c r="DO62" s="1114"/>
      <c r="DP62" s="1114"/>
      <c r="DQ62" s="1114"/>
      <c r="DR62" s="1114"/>
      <c r="DS62" s="1114"/>
      <c r="DT62" s="1114"/>
      <c r="DU62" s="1114"/>
      <c r="DV62" s="1115"/>
      <c r="DW62" s="1116"/>
      <c r="DX62" s="1116"/>
      <c r="DY62" s="1116"/>
      <c r="DZ62" s="1116"/>
      <c r="EA62" s="1116"/>
      <c r="EB62" s="1116"/>
      <c r="EC62" s="1116"/>
      <c r="ED62" s="1116"/>
      <c r="EE62" s="1116"/>
      <c r="EF62" s="1116"/>
      <c r="EG62" s="1116"/>
      <c r="EH62" s="1116"/>
      <c r="EI62" s="1116"/>
      <c r="EJ62" s="1116"/>
      <c r="EK62" s="1116"/>
      <c r="EL62" s="1116"/>
      <c r="EM62" s="1116"/>
      <c r="EN62" s="1116"/>
      <c r="EO62" s="1116"/>
      <c r="EP62" s="1116"/>
      <c r="EQ62" s="1116"/>
      <c r="ER62" s="1116"/>
      <c r="ES62" s="1116"/>
    </row>
    <row r="63" spans="1:150" s="34" customFormat="1" ht="15" customHeight="1">
      <c r="A63" s="1799">
        <v>48</v>
      </c>
      <c r="B63" s="1041"/>
      <c r="C63" s="1050"/>
      <c r="D63" s="1050"/>
      <c r="E63" s="1050"/>
      <c r="F63" s="1049"/>
      <c r="G63" s="1457"/>
      <c r="H63" s="1049"/>
      <c r="I63" s="1049"/>
      <c r="J63" s="1050"/>
      <c r="K63" s="1050"/>
      <c r="L63" s="1043"/>
      <c r="M63" s="1051"/>
      <c r="N63" s="1051"/>
      <c r="O63" s="1052"/>
      <c r="P63" s="1051"/>
      <c r="Q63" s="1051"/>
      <c r="R63" s="1052"/>
      <c r="S63" s="1051"/>
      <c r="T63" s="1051"/>
      <c r="U63" s="1052"/>
      <c r="V63" s="1051"/>
      <c r="W63" s="1051"/>
      <c r="X63" s="1052"/>
      <c r="Y63" s="1053"/>
      <c r="Z63" s="1051"/>
      <c r="AA63" s="1051"/>
      <c r="AB63" s="1052"/>
      <c r="AC63" s="1051"/>
      <c r="AD63" s="1051"/>
      <c r="AE63" s="1052"/>
      <c r="AF63" s="1051"/>
      <c r="AG63" s="1051"/>
      <c r="AH63" s="1051"/>
      <c r="AI63" s="1051"/>
      <c r="AJ63" s="1052"/>
      <c r="AK63" s="1051"/>
      <c r="AL63" s="1051"/>
      <c r="AM63" s="1052"/>
      <c r="AN63" s="1051"/>
      <c r="AO63" s="1051"/>
      <c r="AP63" s="1052"/>
      <c r="AQ63" s="1051"/>
      <c r="AR63" s="1051"/>
      <c r="AS63" s="1052"/>
      <c r="AT63" s="1051"/>
      <c r="AU63" s="1051"/>
      <c r="AV63" s="1052"/>
      <c r="AW63" s="1051"/>
      <c r="AX63" s="1051"/>
      <c r="AY63" s="1053"/>
      <c r="AZ63" s="1051"/>
      <c r="BA63" s="1051"/>
      <c r="BB63" s="1053"/>
      <c r="BC63" s="1051"/>
      <c r="BD63" s="1051"/>
      <c r="BE63" s="1053"/>
      <c r="BF63" s="1051"/>
      <c r="BG63" s="1051"/>
      <c r="BH63" s="1053"/>
      <c r="BI63" s="1052"/>
      <c r="BJ63" s="1052"/>
      <c r="BK63" s="1052"/>
      <c r="BL63" s="1052"/>
      <c r="BM63" s="1052"/>
      <c r="BN63" s="1054"/>
      <c r="BO63" s="1076">
        <f t="shared" si="6"/>
        <v>0</v>
      </c>
      <c r="BP63" s="1051"/>
      <c r="BQ63" s="1052"/>
      <c r="BR63" s="1054"/>
      <c r="BS63" s="1053"/>
      <c r="BT63" s="1051"/>
      <c r="BU63" s="1051"/>
      <c r="BV63" s="1051"/>
      <c r="BW63" s="1052"/>
      <c r="BX63" s="1052"/>
      <c r="BY63" s="1052"/>
      <c r="BZ63" s="1052"/>
      <c r="CA63" s="1052"/>
      <c r="CB63" s="1053"/>
      <c r="CC63" s="1053"/>
      <c r="CD63" s="1053"/>
      <c r="CE63" s="1053"/>
      <c r="CF63" s="1053"/>
      <c r="CG63" s="1053"/>
      <c r="CH63" s="1053"/>
      <c r="CI63" s="1123"/>
      <c r="CJ63" s="1123"/>
      <c r="CK63" s="1123"/>
      <c r="CL63" s="1123"/>
      <c r="CM63" s="1123"/>
      <c r="CN63" s="1123"/>
      <c r="CO63" s="1123"/>
      <c r="CP63" s="1123"/>
      <c r="CQ63" s="1123"/>
      <c r="CR63" s="1123"/>
      <c r="CS63" s="1123"/>
      <c r="CT63" s="1123"/>
      <c r="CU63" s="1123"/>
      <c r="CV63" s="1123"/>
      <c r="CW63" s="1123"/>
      <c r="CX63" s="1123"/>
      <c r="CY63" s="1123"/>
      <c r="CZ63" s="1114"/>
      <c r="DA63" s="1114"/>
      <c r="DB63" s="1114"/>
      <c r="DC63" s="1114"/>
      <c r="DD63" s="1114"/>
      <c r="DE63" s="1114"/>
      <c r="DF63" s="1114"/>
      <c r="DG63" s="1114"/>
      <c r="DH63" s="1114"/>
      <c r="DI63" s="1114"/>
      <c r="DJ63" s="1114"/>
      <c r="DK63" s="1114"/>
      <c r="DL63" s="1114"/>
      <c r="DM63" s="1114"/>
      <c r="DN63" s="1114"/>
      <c r="DO63" s="1114"/>
      <c r="DP63" s="1114"/>
      <c r="DQ63" s="1114"/>
      <c r="DR63" s="1114"/>
      <c r="DS63" s="1114"/>
      <c r="DT63" s="1114"/>
      <c r="DU63" s="1114"/>
      <c r="DV63" s="1115"/>
      <c r="DW63" s="1116"/>
      <c r="DX63" s="1116"/>
      <c r="DY63" s="1116"/>
      <c r="DZ63" s="1116"/>
      <c r="EA63" s="1116"/>
      <c r="EB63" s="1116"/>
      <c r="EC63" s="1116"/>
      <c r="ED63" s="1116"/>
      <c r="EE63" s="1116"/>
      <c r="EF63" s="1116"/>
      <c r="EG63" s="1116"/>
      <c r="EH63" s="1116"/>
      <c r="EI63" s="1116"/>
      <c r="EJ63" s="1116"/>
      <c r="EK63" s="1116"/>
      <c r="EL63" s="1116"/>
      <c r="EM63" s="1116"/>
      <c r="EN63" s="1116"/>
      <c r="EO63" s="1116"/>
      <c r="EP63" s="1116"/>
      <c r="EQ63" s="1116"/>
      <c r="ER63" s="1116"/>
      <c r="ES63" s="1116"/>
    </row>
    <row r="64" spans="1:150" s="34" customFormat="1" ht="15" customHeight="1">
      <c r="A64" s="1799">
        <v>49</v>
      </c>
      <c r="B64" s="1041"/>
      <c r="C64" s="1050"/>
      <c r="D64" s="1050"/>
      <c r="E64" s="1050"/>
      <c r="F64" s="1049"/>
      <c r="G64" s="1457"/>
      <c r="H64" s="1049"/>
      <c r="I64" s="1049"/>
      <c r="J64" s="1050"/>
      <c r="K64" s="1050"/>
      <c r="L64" s="1043"/>
      <c r="M64" s="1051"/>
      <c r="N64" s="1051"/>
      <c r="O64" s="1052"/>
      <c r="P64" s="1051"/>
      <c r="Q64" s="1051"/>
      <c r="R64" s="1052"/>
      <c r="S64" s="1051"/>
      <c r="T64" s="1051"/>
      <c r="U64" s="1052"/>
      <c r="V64" s="1051"/>
      <c r="W64" s="1051"/>
      <c r="X64" s="1052"/>
      <c r="Y64" s="1053"/>
      <c r="Z64" s="1051"/>
      <c r="AA64" s="1051"/>
      <c r="AB64" s="1052"/>
      <c r="AC64" s="1051"/>
      <c r="AD64" s="1051"/>
      <c r="AE64" s="1052"/>
      <c r="AF64" s="1051"/>
      <c r="AG64" s="1051"/>
      <c r="AH64" s="1051"/>
      <c r="AI64" s="1051"/>
      <c r="AJ64" s="1052"/>
      <c r="AK64" s="1051"/>
      <c r="AL64" s="1051"/>
      <c r="AM64" s="1052"/>
      <c r="AN64" s="1051"/>
      <c r="AO64" s="1051"/>
      <c r="AP64" s="1052"/>
      <c r="AQ64" s="1051"/>
      <c r="AR64" s="1051"/>
      <c r="AS64" s="1052"/>
      <c r="AT64" s="1051"/>
      <c r="AU64" s="1051"/>
      <c r="AV64" s="1052"/>
      <c r="AW64" s="1051"/>
      <c r="AX64" s="1051"/>
      <c r="AY64" s="1053"/>
      <c r="AZ64" s="1051"/>
      <c r="BA64" s="1051"/>
      <c r="BB64" s="1053"/>
      <c r="BC64" s="1051"/>
      <c r="BD64" s="1051"/>
      <c r="BE64" s="1053"/>
      <c r="BF64" s="1051"/>
      <c r="BG64" s="1051"/>
      <c r="BH64" s="1053"/>
      <c r="BI64" s="1052"/>
      <c r="BJ64" s="1052"/>
      <c r="BK64" s="1052"/>
      <c r="BL64" s="1052"/>
      <c r="BM64" s="1052"/>
      <c r="BN64" s="1054"/>
      <c r="BO64" s="1076">
        <f t="shared" si="6"/>
        <v>0</v>
      </c>
      <c r="BP64" s="1051"/>
      <c r="BQ64" s="1052"/>
      <c r="BR64" s="1054"/>
      <c r="BS64" s="1053"/>
      <c r="BT64" s="1051"/>
      <c r="BU64" s="1051"/>
      <c r="BV64" s="1051"/>
      <c r="BW64" s="1052"/>
      <c r="BX64" s="1052"/>
      <c r="BY64" s="1052"/>
      <c r="BZ64" s="1052"/>
      <c r="CA64" s="1052"/>
      <c r="CB64" s="1053"/>
      <c r="CC64" s="1053"/>
      <c r="CD64" s="1053"/>
      <c r="CE64" s="1053"/>
      <c r="CF64" s="1053"/>
      <c r="CG64" s="1053"/>
      <c r="CH64" s="1053"/>
      <c r="CI64" s="1123"/>
      <c r="CJ64" s="1123"/>
      <c r="CK64" s="1123"/>
      <c r="CL64" s="1123"/>
      <c r="CM64" s="1123"/>
      <c r="CN64" s="1123"/>
      <c r="CO64" s="1123"/>
      <c r="CP64" s="1123"/>
      <c r="CQ64" s="1123"/>
      <c r="CR64" s="1123"/>
      <c r="CS64" s="1123"/>
      <c r="CT64" s="1123"/>
      <c r="CU64" s="1123"/>
      <c r="CV64" s="1123"/>
      <c r="CW64" s="1123"/>
      <c r="CX64" s="1123"/>
      <c r="CY64" s="1123"/>
      <c r="CZ64" s="1114"/>
      <c r="DA64" s="1114"/>
      <c r="DB64" s="1114"/>
      <c r="DC64" s="1114"/>
      <c r="DD64" s="1114"/>
      <c r="DE64" s="1114"/>
      <c r="DF64" s="1114"/>
      <c r="DG64" s="1114"/>
      <c r="DH64" s="1114"/>
      <c r="DI64" s="1114"/>
      <c r="DJ64" s="1114"/>
      <c r="DK64" s="1114"/>
      <c r="DL64" s="1114"/>
      <c r="DM64" s="1114"/>
      <c r="DN64" s="1114"/>
      <c r="DO64" s="1114"/>
      <c r="DP64" s="1114"/>
      <c r="DQ64" s="1114"/>
      <c r="DR64" s="1114"/>
      <c r="DS64" s="1114"/>
      <c r="DT64" s="1114"/>
      <c r="DU64" s="1114"/>
      <c r="DV64" s="1115"/>
      <c r="DW64" s="1116"/>
      <c r="DX64" s="1116"/>
      <c r="DY64" s="1116"/>
      <c r="DZ64" s="1116"/>
      <c r="EA64" s="1116"/>
      <c r="EB64" s="1116"/>
      <c r="EC64" s="1116"/>
      <c r="ED64" s="1116"/>
      <c r="EE64" s="1116"/>
      <c r="EF64" s="1116"/>
      <c r="EG64" s="1116"/>
      <c r="EH64" s="1116"/>
      <c r="EI64" s="1116"/>
      <c r="EJ64" s="1116"/>
      <c r="EK64" s="1116"/>
      <c r="EL64" s="1116"/>
      <c r="EM64" s="1116"/>
      <c r="EN64" s="1116"/>
      <c r="EO64" s="1116"/>
      <c r="EP64" s="1116"/>
      <c r="EQ64" s="1116"/>
      <c r="ER64" s="1116"/>
      <c r="ES64" s="1116"/>
    </row>
    <row r="65" spans="1:149" s="34" customFormat="1" ht="15" customHeight="1">
      <c r="A65" s="1799">
        <v>50</v>
      </c>
      <c r="B65" s="1041"/>
      <c r="C65" s="1050"/>
      <c r="D65" s="1050"/>
      <c r="E65" s="1050"/>
      <c r="F65" s="1049"/>
      <c r="G65" s="1457"/>
      <c r="H65" s="1049"/>
      <c r="I65" s="1049"/>
      <c r="J65" s="1050"/>
      <c r="K65" s="1050"/>
      <c r="L65" s="1043"/>
      <c r="M65" s="1051"/>
      <c r="N65" s="1051"/>
      <c r="O65" s="1052"/>
      <c r="P65" s="1051"/>
      <c r="Q65" s="1051"/>
      <c r="R65" s="1052"/>
      <c r="S65" s="1051"/>
      <c r="T65" s="1051"/>
      <c r="U65" s="1052"/>
      <c r="V65" s="1051"/>
      <c r="W65" s="1051"/>
      <c r="X65" s="1052"/>
      <c r="Y65" s="1053"/>
      <c r="Z65" s="1051"/>
      <c r="AA65" s="1051"/>
      <c r="AB65" s="1052"/>
      <c r="AC65" s="1051"/>
      <c r="AD65" s="1051"/>
      <c r="AE65" s="1052"/>
      <c r="AF65" s="1051"/>
      <c r="AG65" s="1051"/>
      <c r="AH65" s="1051"/>
      <c r="AI65" s="1051"/>
      <c r="AJ65" s="1052"/>
      <c r="AK65" s="1051"/>
      <c r="AL65" s="1051"/>
      <c r="AM65" s="1052"/>
      <c r="AN65" s="1051"/>
      <c r="AO65" s="1051"/>
      <c r="AP65" s="1052"/>
      <c r="AQ65" s="1051"/>
      <c r="AR65" s="1051"/>
      <c r="AS65" s="1052"/>
      <c r="AT65" s="1051"/>
      <c r="AU65" s="1051"/>
      <c r="AV65" s="1052"/>
      <c r="AW65" s="1051"/>
      <c r="AX65" s="1051"/>
      <c r="AY65" s="1053"/>
      <c r="AZ65" s="1051"/>
      <c r="BA65" s="1051"/>
      <c r="BB65" s="1053"/>
      <c r="BC65" s="1051"/>
      <c r="BD65" s="1051"/>
      <c r="BE65" s="1053"/>
      <c r="BF65" s="1051"/>
      <c r="BG65" s="1051"/>
      <c r="BH65" s="1053"/>
      <c r="BI65" s="1052"/>
      <c r="BJ65" s="1052"/>
      <c r="BK65" s="1052"/>
      <c r="BL65" s="1052"/>
      <c r="BM65" s="1052"/>
      <c r="BN65" s="1054"/>
      <c r="BO65" s="1076">
        <f t="shared" si="6"/>
        <v>0</v>
      </c>
      <c r="BP65" s="1051"/>
      <c r="BQ65" s="1052"/>
      <c r="BR65" s="1054"/>
      <c r="BS65" s="1053"/>
      <c r="BT65" s="1051"/>
      <c r="BU65" s="1051"/>
      <c r="BV65" s="1051"/>
      <c r="BW65" s="1052"/>
      <c r="BX65" s="1052"/>
      <c r="BY65" s="1052"/>
      <c r="BZ65" s="1052"/>
      <c r="CA65" s="1052"/>
      <c r="CB65" s="1053"/>
      <c r="CC65" s="1053"/>
      <c r="CD65" s="1053"/>
      <c r="CE65" s="1053"/>
      <c r="CF65" s="1053"/>
      <c r="CG65" s="1053"/>
      <c r="CH65" s="1053"/>
      <c r="CI65" s="1123"/>
      <c r="CJ65" s="1123"/>
      <c r="CK65" s="1123"/>
      <c r="CL65" s="1123"/>
      <c r="CM65" s="1123"/>
      <c r="CN65" s="1123"/>
      <c r="CO65" s="1123"/>
      <c r="CP65" s="1123"/>
      <c r="CQ65" s="1123"/>
      <c r="CR65" s="1123"/>
      <c r="CS65" s="1123"/>
      <c r="CT65" s="1123"/>
      <c r="CU65" s="1123"/>
      <c r="CV65" s="1123"/>
      <c r="CW65" s="1123"/>
      <c r="CX65" s="1123"/>
      <c r="CY65" s="1123"/>
      <c r="CZ65" s="1114"/>
      <c r="DA65" s="1114"/>
      <c r="DB65" s="1114"/>
      <c r="DC65" s="1114"/>
      <c r="DD65" s="1114"/>
      <c r="DE65" s="1114"/>
      <c r="DF65" s="1114"/>
      <c r="DG65" s="1114"/>
      <c r="DH65" s="1114"/>
      <c r="DI65" s="1114"/>
      <c r="DJ65" s="1114"/>
      <c r="DK65" s="1114"/>
      <c r="DL65" s="1114"/>
      <c r="DM65" s="1114"/>
      <c r="DN65" s="1114"/>
      <c r="DO65" s="1114"/>
      <c r="DP65" s="1114"/>
      <c r="DQ65" s="1114"/>
      <c r="DR65" s="1114"/>
      <c r="DS65" s="1114"/>
      <c r="DT65" s="1114"/>
      <c r="DU65" s="1114"/>
      <c r="DV65" s="1115"/>
      <c r="DW65" s="1116"/>
      <c r="DX65" s="1116"/>
      <c r="DY65" s="1116"/>
      <c r="DZ65" s="1116"/>
      <c r="EA65" s="1116"/>
      <c r="EB65" s="1116"/>
      <c r="EC65" s="1116"/>
      <c r="ED65" s="1116"/>
      <c r="EE65" s="1116"/>
      <c r="EF65" s="1116"/>
      <c r="EG65" s="1116"/>
      <c r="EH65" s="1116"/>
      <c r="EI65" s="1116"/>
      <c r="EJ65" s="1116"/>
      <c r="EK65" s="1116"/>
      <c r="EL65" s="1116"/>
      <c r="EM65" s="1116"/>
      <c r="EN65" s="1116"/>
      <c r="EO65" s="1116"/>
      <c r="EP65" s="1116"/>
      <c r="EQ65" s="1116"/>
      <c r="ER65" s="1116"/>
      <c r="ES65" s="1116"/>
    </row>
    <row r="66" spans="1:149" s="34" customFormat="1" ht="15" customHeight="1">
      <c r="A66" s="1799">
        <v>51</v>
      </c>
      <c r="B66" s="1041"/>
      <c r="C66" s="1050"/>
      <c r="D66" s="1050"/>
      <c r="E66" s="1050"/>
      <c r="F66" s="1049"/>
      <c r="G66" s="1457"/>
      <c r="H66" s="1049"/>
      <c r="I66" s="1049"/>
      <c r="J66" s="1050"/>
      <c r="K66" s="1050"/>
      <c r="L66" s="1043"/>
      <c r="M66" s="1051"/>
      <c r="N66" s="1051"/>
      <c r="O66" s="1052"/>
      <c r="P66" s="1051"/>
      <c r="Q66" s="1051"/>
      <c r="R66" s="1052"/>
      <c r="S66" s="1051"/>
      <c r="T66" s="1051"/>
      <c r="U66" s="1052"/>
      <c r="V66" s="1051"/>
      <c r="W66" s="1051"/>
      <c r="X66" s="1052"/>
      <c r="Y66" s="1053"/>
      <c r="Z66" s="1051"/>
      <c r="AA66" s="1051"/>
      <c r="AB66" s="1052"/>
      <c r="AC66" s="1051"/>
      <c r="AD66" s="1051"/>
      <c r="AE66" s="1052"/>
      <c r="AF66" s="1051"/>
      <c r="AG66" s="1051"/>
      <c r="AH66" s="1051"/>
      <c r="AI66" s="1051"/>
      <c r="AJ66" s="1052"/>
      <c r="AK66" s="1051"/>
      <c r="AL66" s="1051"/>
      <c r="AM66" s="1052"/>
      <c r="AN66" s="1051"/>
      <c r="AO66" s="1051"/>
      <c r="AP66" s="1052"/>
      <c r="AQ66" s="1051"/>
      <c r="AR66" s="1051"/>
      <c r="AS66" s="1052"/>
      <c r="AT66" s="1051"/>
      <c r="AU66" s="1051"/>
      <c r="AV66" s="1052"/>
      <c r="AW66" s="1051"/>
      <c r="AX66" s="1051"/>
      <c r="AY66" s="1053"/>
      <c r="AZ66" s="1051"/>
      <c r="BA66" s="1051"/>
      <c r="BB66" s="1053"/>
      <c r="BC66" s="1051"/>
      <c r="BD66" s="1051"/>
      <c r="BE66" s="1053"/>
      <c r="BF66" s="1051"/>
      <c r="BG66" s="1051"/>
      <c r="BH66" s="1053"/>
      <c r="BI66" s="1052"/>
      <c r="BJ66" s="1052"/>
      <c r="BK66" s="1052"/>
      <c r="BL66" s="1052"/>
      <c r="BM66" s="1052"/>
      <c r="BN66" s="1054"/>
      <c r="BO66" s="1076">
        <f t="shared" si="6"/>
        <v>0</v>
      </c>
      <c r="BP66" s="1051"/>
      <c r="BQ66" s="1052"/>
      <c r="BR66" s="1054"/>
      <c r="BS66" s="1053"/>
      <c r="BT66" s="1051"/>
      <c r="BU66" s="1051"/>
      <c r="BV66" s="1051"/>
      <c r="BW66" s="1052"/>
      <c r="BX66" s="1052"/>
      <c r="BY66" s="1052"/>
      <c r="BZ66" s="1052"/>
      <c r="CA66" s="1052"/>
      <c r="CB66" s="1053"/>
      <c r="CC66" s="1053"/>
      <c r="CD66" s="1053"/>
      <c r="CE66" s="1053"/>
      <c r="CF66" s="1053"/>
      <c r="CG66" s="1053"/>
      <c r="CH66" s="1053"/>
      <c r="CI66" s="1123"/>
      <c r="CJ66" s="1123"/>
      <c r="CK66" s="1123"/>
      <c r="CL66" s="1123"/>
      <c r="CM66" s="1123"/>
      <c r="CN66" s="1123"/>
      <c r="CO66" s="1123"/>
      <c r="CP66" s="1123"/>
      <c r="CQ66" s="1123"/>
      <c r="CR66" s="1123"/>
      <c r="CS66" s="1123"/>
      <c r="CT66" s="1123"/>
      <c r="CU66" s="1123"/>
      <c r="CV66" s="1123"/>
      <c r="CW66" s="1123"/>
      <c r="CX66" s="1123"/>
      <c r="CY66" s="1123"/>
      <c r="CZ66" s="1114"/>
      <c r="DA66" s="1114"/>
      <c r="DB66" s="1114"/>
      <c r="DC66" s="1114"/>
      <c r="DD66" s="1114"/>
      <c r="DE66" s="1114"/>
      <c r="DF66" s="1114"/>
      <c r="DG66" s="1114"/>
      <c r="DH66" s="1114"/>
      <c r="DI66" s="1114"/>
      <c r="DJ66" s="1114"/>
      <c r="DK66" s="1114"/>
      <c r="DL66" s="1114"/>
      <c r="DM66" s="1114"/>
      <c r="DN66" s="1114"/>
      <c r="DO66" s="1114"/>
      <c r="DP66" s="1114"/>
      <c r="DQ66" s="1114"/>
      <c r="DR66" s="1114"/>
      <c r="DS66" s="1114"/>
      <c r="DT66" s="1114"/>
      <c r="DU66" s="1114"/>
      <c r="DV66" s="1115"/>
      <c r="DW66" s="1116"/>
      <c r="DX66" s="1116"/>
      <c r="DY66" s="1116"/>
      <c r="DZ66" s="1116"/>
      <c r="EA66" s="1116"/>
      <c r="EB66" s="1116"/>
      <c r="EC66" s="1116"/>
      <c r="ED66" s="1116"/>
      <c r="EE66" s="1116"/>
      <c r="EF66" s="1116"/>
      <c r="EG66" s="1116"/>
      <c r="EH66" s="1116"/>
      <c r="EI66" s="1116"/>
      <c r="EJ66" s="1116"/>
      <c r="EK66" s="1116"/>
      <c r="EL66" s="1116"/>
      <c r="EM66" s="1116"/>
      <c r="EN66" s="1116"/>
      <c r="EO66" s="1116"/>
      <c r="EP66" s="1116"/>
      <c r="EQ66" s="1116"/>
      <c r="ER66" s="1116"/>
      <c r="ES66" s="1116"/>
    </row>
    <row r="67" spans="1:149" s="34" customFormat="1" ht="15" customHeight="1">
      <c r="A67" s="1799">
        <v>52</v>
      </c>
      <c r="B67" s="1041"/>
      <c r="C67" s="1050"/>
      <c r="D67" s="1050"/>
      <c r="E67" s="1050"/>
      <c r="F67" s="1049"/>
      <c r="G67" s="1457"/>
      <c r="H67" s="1049"/>
      <c r="I67" s="1049"/>
      <c r="J67" s="1050"/>
      <c r="K67" s="1050"/>
      <c r="L67" s="1043"/>
      <c r="M67" s="1051"/>
      <c r="N67" s="1051"/>
      <c r="O67" s="1052"/>
      <c r="P67" s="1051"/>
      <c r="Q67" s="1051"/>
      <c r="R67" s="1052"/>
      <c r="S67" s="1051"/>
      <c r="T67" s="1051"/>
      <c r="U67" s="1052"/>
      <c r="V67" s="1051"/>
      <c r="W67" s="1051"/>
      <c r="X67" s="1052"/>
      <c r="Y67" s="1053"/>
      <c r="Z67" s="1051"/>
      <c r="AA67" s="1051"/>
      <c r="AB67" s="1052"/>
      <c r="AC67" s="1051"/>
      <c r="AD67" s="1051"/>
      <c r="AE67" s="1052"/>
      <c r="AF67" s="1051"/>
      <c r="AG67" s="1051"/>
      <c r="AH67" s="1051"/>
      <c r="AI67" s="1051"/>
      <c r="AJ67" s="1052"/>
      <c r="AK67" s="1051"/>
      <c r="AL67" s="1051"/>
      <c r="AM67" s="1052"/>
      <c r="AN67" s="1051"/>
      <c r="AO67" s="1051"/>
      <c r="AP67" s="1052"/>
      <c r="AQ67" s="1051"/>
      <c r="AR67" s="1051"/>
      <c r="AS67" s="1052"/>
      <c r="AT67" s="1051"/>
      <c r="AU67" s="1051"/>
      <c r="AV67" s="1052"/>
      <c r="AW67" s="1051"/>
      <c r="AX67" s="1051"/>
      <c r="AY67" s="1053"/>
      <c r="AZ67" s="1051"/>
      <c r="BA67" s="1051"/>
      <c r="BB67" s="1053"/>
      <c r="BC67" s="1051"/>
      <c r="BD67" s="1051"/>
      <c r="BE67" s="1053"/>
      <c r="BF67" s="1051"/>
      <c r="BG67" s="1051"/>
      <c r="BH67" s="1053"/>
      <c r="BI67" s="1052"/>
      <c r="BJ67" s="1052"/>
      <c r="BK67" s="1052"/>
      <c r="BL67" s="1052"/>
      <c r="BM67" s="1052"/>
      <c r="BN67" s="1054"/>
      <c r="BO67" s="1076">
        <f t="shared" si="6"/>
        <v>0</v>
      </c>
      <c r="BP67" s="1051"/>
      <c r="BQ67" s="1052"/>
      <c r="BR67" s="1054"/>
      <c r="BS67" s="1053"/>
      <c r="BT67" s="1051"/>
      <c r="BU67" s="1051"/>
      <c r="BV67" s="1051"/>
      <c r="BW67" s="1052"/>
      <c r="BX67" s="1052"/>
      <c r="BY67" s="1052"/>
      <c r="BZ67" s="1052"/>
      <c r="CA67" s="1052"/>
      <c r="CB67" s="1053"/>
      <c r="CC67" s="1053"/>
      <c r="CD67" s="1053"/>
      <c r="CE67" s="1053"/>
      <c r="CF67" s="1053"/>
      <c r="CG67" s="1053"/>
      <c r="CH67" s="1053"/>
      <c r="CI67" s="1123"/>
      <c r="CJ67" s="1123"/>
      <c r="CK67" s="1123"/>
      <c r="CL67" s="1123"/>
      <c r="CM67" s="1123"/>
      <c r="CN67" s="1123"/>
      <c r="CO67" s="1123"/>
      <c r="CP67" s="1123"/>
      <c r="CQ67" s="1123"/>
      <c r="CR67" s="1123"/>
      <c r="CS67" s="1123"/>
      <c r="CT67" s="1123"/>
      <c r="CU67" s="1123"/>
      <c r="CV67" s="1123"/>
      <c r="CW67" s="1123"/>
      <c r="CX67" s="1123"/>
      <c r="CY67" s="1123"/>
      <c r="CZ67" s="1114"/>
      <c r="DA67" s="1114"/>
      <c r="DB67" s="1114"/>
      <c r="DC67" s="1114"/>
      <c r="DD67" s="1114"/>
      <c r="DE67" s="1114"/>
      <c r="DF67" s="1114"/>
      <c r="DG67" s="1114"/>
      <c r="DH67" s="1114"/>
      <c r="DI67" s="1114"/>
      <c r="DJ67" s="1114"/>
      <c r="DK67" s="1114"/>
      <c r="DL67" s="1114"/>
      <c r="DM67" s="1114"/>
      <c r="DN67" s="1114"/>
      <c r="DO67" s="1114"/>
      <c r="DP67" s="1114"/>
      <c r="DQ67" s="1114"/>
      <c r="DR67" s="1114"/>
      <c r="DS67" s="1114"/>
      <c r="DT67" s="1114"/>
      <c r="DU67" s="1114"/>
      <c r="DV67" s="1115"/>
      <c r="DW67" s="1116"/>
      <c r="DX67" s="1116"/>
      <c r="DY67" s="1116"/>
      <c r="DZ67" s="1116"/>
      <c r="EA67" s="1116"/>
      <c r="EB67" s="1116"/>
      <c r="EC67" s="1116"/>
      <c r="ED67" s="1116"/>
      <c r="EE67" s="1116"/>
      <c r="EF67" s="1116"/>
      <c r="EG67" s="1116"/>
      <c r="EH67" s="1116"/>
      <c r="EI67" s="1116"/>
      <c r="EJ67" s="1116"/>
      <c r="EK67" s="1116"/>
      <c r="EL67" s="1116"/>
      <c r="EM67" s="1116"/>
      <c r="EN67" s="1116"/>
      <c r="EO67" s="1116"/>
      <c r="EP67" s="1116"/>
      <c r="EQ67" s="1116"/>
      <c r="ER67" s="1116"/>
      <c r="ES67" s="1116"/>
    </row>
    <row r="68" spans="1:149" s="34" customFormat="1" ht="15" customHeight="1">
      <c r="A68" s="1799">
        <v>53</v>
      </c>
      <c r="B68" s="1041"/>
      <c r="C68" s="1050"/>
      <c r="D68" s="1050"/>
      <c r="E68" s="1050"/>
      <c r="F68" s="1049"/>
      <c r="G68" s="1457"/>
      <c r="H68" s="1049"/>
      <c r="I68" s="1049"/>
      <c r="J68" s="1050"/>
      <c r="K68" s="1050"/>
      <c r="L68" s="1043"/>
      <c r="M68" s="1051"/>
      <c r="N68" s="1051"/>
      <c r="O68" s="1052"/>
      <c r="P68" s="1051"/>
      <c r="Q68" s="1051"/>
      <c r="R68" s="1052"/>
      <c r="S68" s="1051"/>
      <c r="T68" s="1051"/>
      <c r="U68" s="1052"/>
      <c r="V68" s="1051"/>
      <c r="W68" s="1051"/>
      <c r="X68" s="1052"/>
      <c r="Y68" s="1053"/>
      <c r="Z68" s="1051"/>
      <c r="AA68" s="1051"/>
      <c r="AB68" s="1052"/>
      <c r="AC68" s="1051"/>
      <c r="AD68" s="1051"/>
      <c r="AE68" s="1052"/>
      <c r="AF68" s="1051"/>
      <c r="AG68" s="1051"/>
      <c r="AH68" s="1051"/>
      <c r="AI68" s="1051"/>
      <c r="AJ68" s="1052"/>
      <c r="AK68" s="1051"/>
      <c r="AL68" s="1051"/>
      <c r="AM68" s="1052"/>
      <c r="AN68" s="1051"/>
      <c r="AO68" s="1051"/>
      <c r="AP68" s="1052"/>
      <c r="AQ68" s="1051"/>
      <c r="AR68" s="1051"/>
      <c r="AS68" s="1052"/>
      <c r="AT68" s="1051"/>
      <c r="AU68" s="1051"/>
      <c r="AV68" s="1052"/>
      <c r="AW68" s="1051"/>
      <c r="AX68" s="1051"/>
      <c r="AY68" s="1053"/>
      <c r="AZ68" s="1051"/>
      <c r="BA68" s="1051"/>
      <c r="BB68" s="1053"/>
      <c r="BC68" s="1051"/>
      <c r="BD68" s="1051"/>
      <c r="BE68" s="1053"/>
      <c r="BF68" s="1051"/>
      <c r="BG68" s="1051"/>
      <c r="BH68" s="1053"/>
      <c r="BI68" s="1052"/>
      <c r="BJ68" s="1052"/>
      <c r="BK68" s="1052"/>
      <c r="BL68" s="1052"/>
      <c r="BM68" s="1052"/>
      <c r="BN68" s="1054"/>
      <c r="BO68" s="1076">
        <f t="shared" si="6"/>
        <v>0</v>
      </c>
      <c r="BP68" s="1051"/>
      <c r="BQ68" s="1052"/>
      <c r="BR68" s="1054"/>
      <c r="BS68" s="1053"/>
      <c r="BT68" s="1051"/>
      <c r="BU68" s="1051"/>
      <c r="BV68" s="1051"/>
      <c r="BW68" s="1052"/>
      <c r="BX68" s="1052"/>
      <c r="BY68" s="1052"/>
      <c r="BZ68" s="1052"/>
      <c r="CA68" s="1052"/>
      <c r="CB68" s="1053"/>
      <c r="CC68" s="1053"/>
      <c r="CD68" s="1053"/>
      <c r="CE68" s="1053"/>
      <c r="CF68" s="1053"/>
      <c r="CG68" s="1053"/>
      <c r="CH68" s="1053"/>
      <c r="CI68" s="1123"/>
      <c r="CJ68" s="1123"/>
      <c r="CK68" s="1123"/>
      <c r="CL68" s="1123"/>
      <c r="CM68" s="1123"/>
      <c r="CN68" s="1123"/>
      <c r="CO68" s="1123"/>
      <c r="CP68" s="1123"/>
      <c r="CQ68" s="1123"/>
      <c r="CR68" s="1123"/>
      <c r="CS68" s="1123"/>
      <c r="CT68" s="1123"/>
      <c r="CU68" s="1123"/>
      <c r="CV68" s="1123"/>
      <c r="CW68" s="1123"/>
      <c r="CX68" s="1123"/>
      <c r="CY68" s="1123"/>
      <c r="CZ68" s="1114"/>
      <c r="DA68" s="1114"/>
      <c r="DB68" s="1114"/>
      <c r="DC68" s="1114"/>
      <c r="DD68" s="1114"/>
      <c r="DE68" s="1114"/>
      <c r="DF68" s="1114"/>
      <c r="DG68" s="1114"/>
      <c r="DH68" s="1114"/>
      <c r="DI68" s="1114"/>
      <c r="DJ68" s="1114"/>
      <c r="DK68" s="1114"/>
      <c r="DL68" s="1114"/>
      <c r="DM68" s="1114"/>
      <c r="DN68" s="1114"/>
      <c r="DO68" s="1114"/>
      <c r="DP68" s="1114"/>
      <c r="DQ68" s="1114"/>
      <c r="DR68" s="1114"/>
      <c r="DS68" s="1114"/>
      <c r="DT68" s="1114"/>
      <c r="DU68" s="1114"/>
      <c r="DV68" s="1115"/>
      <c r="DW68" s="1116"/>
      <c r="DX68" s="1116"/>
      <c r="DY68" s="1116"/>
      <c r="DZ68" s="1116"/>
      <c r="EA68" s="1116"/>
      <c r="EB68" s="1116"/>
      <c r="EC68" s="1116"/>
      <c r="ED68" s="1116"/>
      <c r="EE68" s="1116"/>
      <c r="EF68" s="1116"/>
      <c r="EG68" s="1116"/>
      <c r="EH68" s="1116"/>
      <c r="EI68" s="1116"/>
      <c r="EJ68" s="1116"/>
      <c r="EK68" s="1116"/>
      <c r="EL68" s="1116"/>
      <c r="EM68" s="1116"/>
      <c r="EN68" s="1116"/>
      <c r="EO68" s="1116"/>
      <c r="EP68" s="1116"/>
      <c r="EQ68" s="1116"/>
      <c r="ER68" s="1116"/>
      <c r="ES68" s="1116"/>
    </row>
    <row r="69" spans="1:149" s="34" customFormat="1" ht="15" customHeight="1">
      <c r="A69" s="1799">
        <v>54</v>
      </c>
      <c r="B69" s="1041"/>
      <c r="C69" s="1050"/>
      <c r="D69" s="1050"/>
      <c r="E69" s="1050"/>
      <c r="F69" s="1049"/>
      <c r="G69" s="1457"/>
      <c r="H69" s="1049"/>
      <c r="I69" s="1049"/>
      <c r="J69" s="1050"/>
      <c r="K69" s="1050"/>
      <c r="L69" s="1043"/>
      <c r="M69" s="1051"/>
      <c r="N69" s="1051"/>
      <c r="O69" s="1052"/>
      <c r="P69" s="1051"/>
      <c r="Q69" s="1051"/>
      <c r="R69" s="1052"/>
      <c r="S69" s="1051"/>
      <c r="T69" s="1051"/>
      <c r="U69" s="1052"/>
      <c r="V69" s="1051"/>
      <c r="W69" s="1051"/>
      <c r="X69" s="1052"/>
      <c r="Y69" s="1053"/>
      <c r="Z69" s="1051"/>
      <c r="AA69" s="1051"/>
      <c r="AB69" s="1052"/>
      <c r="AC69" s="1051"/>
      <c r="AD69" s="1051"/>
      <c r="AE69" s="1052"/>
      <c r="AF69" s="1051"/>
      <c r="AG69" s="1051"/>
      <c r="AH69" s="1051"/>
      <c r="AI69" s="1051"/>
      <c r="AJ69" s="1052"/>
      <c r="AK69" s="1051"/>
      <c r="AL69" s="1051"/>
      <c r="AM69" s="1052"/>
      <c r="AN69" s="1051"/>
      <c r="AO69" s="1051"/>
      <c r="AP69" s="1052"/>
      <c r="AQ69" s="1051"/>
      <c r="AR69" s="1051"/>
      <c r="AS69" s="1052"/>
      <c r="AT69" s="1051"/>
      <c r="AU69" s="1051"/>
      <c r="AV69" s="1052"/>
      <c r="AW69" s="1051"/>
      <c r="AX69" s="1051"/>
      <c r="AY69" s="1053"/>
      <c r="AZ69" s="1051"/>
      <c r="BA69" s="1051"/>
      <c r="BB69" s="1053"/>
      <c r="BC69" s="1051"/>
      <c r="BD69" s="1051"/>
      <c r="BE69" s="1053"/>
      <c r="BF69" s="1051"/>
      <c r="BG69" s="1051"/>
      <c r="BH69" s="1053"/>
      <c r="BI69" s="1052"/>
      <c r="BJ69" s="1052"/>
      <c r="BK69" s="1052"/>
      <c r="BL69" s="1052"/>
      <c r="BM69" s="1052"/>
      <c r="BN69" s="1054"/>
      <c r="BO69" s="1076">
        <f t="shared" si="6"/>
        <v>0</v>
      </c>
      <c r="BP69" s="1051"/>
      <c r="BQ69" s="1052"/>
      <c r="BR69" s="1054"/>
      <c r="BS69" s="1053"/>
      <c r="BT69" s="1051"/>
      <c r="BU69" s="1051"/>
      <c r="BV69" s="1051"/>
      <c r="BW69" s="1052"/>
      <c r="BX69" s="1052"/>
      <c r="BY69" s="1052"/>
      <c r="BZ69" s="1052"/>
      <c r="CA69" s="1052"/>
      <c r="CB69" s="1053"/>
      <c r="CC69" s="1053"/>
      <c r="CD69" s="1053"/>
      <c r="CE69" s="1053"/>
      <c r="CF69" s="1053"/>
      <c r="CG69" s="1053"/>
      <c r="CH69" s="1053"/>
      <c r="CI69" s="1123"/>
      <c r="CJ69" s="1123"/>
      <c r="CK69" s="1123"/>
      <c r="CL69" s="1123"/>
      <c r="CM69" s="1123"/>
      <c r="CN69" s="1123"/>
      <c r="CO69" s="1123"/>
      <c r="CP69" s="1123"/>
      <c r="CQ69" s="1123"/>
      <c r="CR69" s="1123"/>
      <c r="CS69" s="1123"/>
      <c r="CT69" s="1123"/>
      <c r="CU69" s="1123"/>
      <c r="CV69" s="1123"/>
      <c r="CW69" s="1123"/>
      <c r="CX69" s="1123"/>
      <c r="CY69" s="1123"/>
      <c r="CZ69" s="1114"/>
      <c r="DA69" s="1114"/>
      <c r="DB69" s="1114"/>
      <c r="DC69" s="1114"/>
      <c r="DD69" s="1114"/>
      <c r="DE69" s="1114"/>
      <c r="DF69" s="1114"/>
      <c r="DG69" s="1114"/>
      <c r="DH69" s="1114"/>
      <c r="DI69" s="1114"/>
      <c r="DJ69" s="1114"/>
      <c r="DK69" s="1114"/>
      <c r="DL69" s="1114"/>
      <c r="DM69" s="1114"/>
      <c r="DN69" s="1114"/>
      <c r="DO69" s="1114"/>
      <c r="DP69" s="1114"/>
      <c r="DQ69" s="1114"/>
      <c r="DR69" s="1114"/>
      <c r="DS69" s="1114"/>
      <c r="DT69" s="1114"/>
      <c r="DU69" s="1114"/>
      <c r="DV69" s="1115"/>
      <c r="DW69" s="1116"/>
      <c r="DX69" s="1116"/>
      <c r="DY69" s="1116"/>
      <c r="DZ69" s="1116"/>
      <c r="EA69" s="1116"/>
      <c r="EB69" s="1116"/>
      <c r="EC69" s="1116"/>
      <c r="ED69" s="1116"/>
      <c r="EE69" s="1116"/>
      <c r="EF69" s="1116"/>
      <c r="EG69" s="1116"/>
      <c r="EH69" s="1116"/>
      <c r="EI69" s="1116"/>
      <c r="EJ69" s="1116"/>
      <c r="EK69" s="1116"/>
      <c r="EL69" s="1116"/>
      <c r="EM69" s="1116"/>
      <c r="EN69" s="1116"/>
      <c r="EO69" s="1116"/>
      <c r="EP69" s="1116"/>
      <c r="EQ69" s="1116"/>
      <c r="ER69" s="1116"/>
      <c r="ES69" s="1116"/>
    </row>
    <row r="70" spans="1:149" s="34" customFormat="1" ht="15" customHeight="1">
      <c r="A70" s="1799">
        <v>55</v>
      </c>
      <c r="B70" s="1041"/>
      <c r="C70" s="1050"/>
      <c r="D70" s="1050"/>
      <c r="E70" s="1050"/>
      <c r="F70" s="1049"/>
      <c r="G70" s="1457"/>
      <c r="H70" s="1049"/>
      <c r="I70" s="1049"/>
      <c r="J70" s="1050"/>
      <c r="K70" s="1050"/>
      <c r="L70" s="1043"/>
      <c r="M70" s="1051"/>
      <c r="N70" s="1051"/>
      <c r="O70" s="1052"/>
      <c r="P70" s="1051"/>
      <c r="Q70" s="1051"/>
      <c r="R70" s="1052"/>
      <c r="S70" s="1051"/>
      <c r="T70" s="1051"/>
      <c r="U70" s="1052"/>
      <c r="V70" s="1051"/>
      <c r="W70" s="1051"/>
      <c r="X70" s="1052"/>
      <c r="Y70" s="1053"/>
      <c r="Z70" s="1051"/>
      <c r="AA70" s="1051"/>
      <c r="AB70" s="1052"/>
      <c r="AC70" s="1051"/>
      <c r="AD70" s="1051"/>
      <c r="AE70" s="1052"/>
      <c r="AF70" s="1051"/>
      <c r="AG70" s="1051"/>
      <c r="AH70" s="1051"/>
      <c r="AI70" s="1051"/>
      <c r="AJ70" s="1052"/>
      <c r="AK70" s="1051"/>
      <c r="AL70" s="1051"/>
      <c r="AM70" s="1052"/>
      <c r="AN70" s="1051"/>
      <c r="AO70" s="1051"/>
      <c r="AP70" s="1052"/>
      <c r="AQ70" s="1051"/>
      <c r="AR70" s="1051"/>
      <c r="AS70" s="1052"/>
      <c r="AT70" s="1051"/>
      <c r="AU70" s="1051"/>
      <c r="AV70" s="1052"/>
      <c r="AW70" s="1051"/>
      <c r="AX70" s="1051"/>
      <c r="AY70" s="1053"/>
      <c r="AZ70" s="1051"/>
      <c r="BA70" s="1051"/>
      <c r="BB70" s="1053"/>
      <c r="BC70" s="1051"/>
      <c r="BD70" s="1051"/>
      <c r="BE70" s="1053"/>
      <c r="BF70" s="1051"/>
      <c r="BG70" s="1051"/>
      <c r="BH70" s="1053"/>
      <c r="BI70" s="1052"/>
      <c r="BJ70" s="1052"/>
      <c r="BK70" s="1052"/>
      <c r="BL70" s="1052"/>
      <c r="BM70" s="1052"/>
      <c r="BN70" s="1054"/>
      <c r="BO70" s="1076">
        <f t="shared" si="6"/>
        <v>0</v>
      </c>
      <c r="BP70" s="1051"/>
      <c r="BQ70" s="1052"/>
      <c r="BR70" s="1054"/>
      <c r="BS70" s="1053"/>
      <c r="BT70" s="1051"/>
      <c r="BU70" s="1051"/>
      <c r="BV70" s="1051"/>
      <c r="BW70" s="1052"/>
      <c r="BX70" s="1052"/>
      <c r="BY70" s="1052"/>
      <c r="BZ70" s="1052"/>
      <c r="CA70" s="1052"/>
      <c r="CB70" s="1053"/>
      <c r="CC70" s="1053"/>
      <c r="CD70" s="1053"/>
      <c r="CE70" s="1053"/>
      <c r="CF70" s="1053"/>
      <c r="CG70" s="1053"/>
      <c r="CH70" s="1053"/>
      <c r="CI70" s="1123"/>
      <c r="CJ70" s="1123"/>
      <c r="CK70" s="1123"/>
      <c r="CL70" s="1123"/>
      <c r="CM70" s="1123"/>
      <c r="CN70" s="1123"/>
      <c r="CO70" s="1123"/>
      <c r="CP70" s="1123"/>
      <c r="CQ70" s="1123"/>
      <c r="CR70" s="1123"/>
      <c r="CS70" s="1123"/>
      <c r="CT70" s="1123"/>
      <c r="CU70" s="1123"/>
      <c r="CV70" s="1123"/>
      <c r="CW70" s="1123"/>
      <c r="CX70" s="1123"/>
      <c r="CY70" s="1123"/>
      <c r="CZ70" s="1114"/>
      <c r="DA70" s="1114"/>
      <c r="DB70" s="1114"/>
      <c r="DC70" s="1114"/>
      <c r="DD70" s="1114"/>
      <c r="DE70" s="1114"/>
      <c r="DF70" s="1114"/>
      <c r="DG70" s="1114"/>
      <c r="DH70" s="1114"/>
      <c r="DI70" s="1114"/>
      <c r="DJ70" s="1114"/>
      <c r="DK70" s="1114"/>
      <c r="DL70" s="1114"/>
      <c r="DM70" s="1114"/>
      <c r="DN70" s="1114"/>
      <c r="DO70" s="1114"/>
      <c r="DP70" s="1114"/>
      <c r="DQ70" s="1114"/>
      <c r="DR70" s="1114"/>
      <c r="DS70" s="1114"/>
      <c r="DT70" s="1114"/>
      <c r="DU70" s="1114"/>
      <c r="DV70" s="1115"/>
      <c r="DW70" s="1116"/>
      <c r="DX70" s="1116"/>
      <c r="DY70" s="1116"/>
      <c r="DZ70" s="1116"/>
      <c r="EA70" s="1116"/>
      <c r="EB70" s="1116"/>
      <c r="EC70" s="1116"/>
      <c r="ED70" s="1116"/>
      <c r="EE70" s="1116"/>
      <c r="EF70" s="1116"/>
      <c r="EG70" s="1116"/>
      <c r="EH70" s="1116"/>
      <c r="EI70" s="1116"/>
      <c r="EJ70" s="1116"/>
      <c r="EK70" s="1116"/>
      <c r="EL70" s="1116"/>
      <c r="EM70" s="1116"/>
      <c r="EN70" s="1116"/>
      <c r="EO70" s="1116"/>
      <c r="EP70" s="1116"/>
      <c r="EQ70" s="1116"/>
      <c r="ER70" s="1116"/>
      <c r="ES70" s="1116"/>
    </row>
    <row r="71" spans="1:149" s="34" customFormat="1" ht="15" customHeight="1">
      <c r="A71" s="1799">
        <v>56</v>
      </c>
      <c r="B71" s="1041"/>
      <c r="C71" s="1050"/>
      <c r="D71" s="1050"/>
      <c r="E71" s="1050"/>
      <c r="F71" s="1049"/>
      <c r="G71" s="1457"/>
      <c r="H71" s="1049"/>
      <c r="I71" s="1049"/>
      <c r="J71" s="1050"/>
      <c r="K71" s="1050"/>
      <c r="L71" s="1043"/>
      <c r="M71" s="1051"/>
      <c r="N71" s="1051"/>
      <c r="O71" s="1052"/>
      <c r="P71" s="1051"/>
      <c r="Q71" s="1051"/>
      <c r="R71" s="1052"/>
      <c r="S71" s="1051"/>
      <c r="T71" s="1051"/>
      <c r="U71" s="1052"/>
      <c r="V71" s="1051"/>
      <c r="W71" s="1051"/>
      <c r="X71" s="1052"/>
      <c r="Y71" s="1053"/>
      <c r="Z71" s="1051"/>
      <c r="AA71" s="1051"/>
      <c r="AB71" s="1052"/>
      <c r="AC71" s="1051"/>
      <c r="AD71" s="1051"/>
      <c r="AE71" s="1052"/>
      <c r="AF71" s="1051"/>
      <c r="AG71" s="1051"/>
      <c r="AH71" s="1051"/>
      <c r="AI71" s="1051"/>
      <c r="AJ71" s="1052"/>
      <c r="AK71" s="1051"/>
      <c r="AL71" s="1051"/>
      <c r="AM71" s="1052"/>
      <c r="AN71" s="1051"/>
      <c r="AO71" s="1051"/>
      <c r="AP71" s="1052"/>
      <c r="AQ71" s="1051"/>
      <c r="AR71" s="1051"/>
      <c r="AS71" s="1052"/>
      <c r="AT71" s="1051"/>
      <c r="AU71" s="1051"/>
      <c r="AV71" s="1052"/>
      <c r="AW71" s="1051"/>
      <c r="AX71" s="1051"/>
      <c r="AY71" s="1053"/>
      <c r="AZ71" s="1051"/>
      <c r="BA71" s="1051"/>
      <c r="BB71" s="1053"/>
      <c r="BC71" s="1051"/>
      <c r="BD71" s="1051"/>
      <c r="BE71" s="1053"/>
      <c r="BF71" s="1051"/>
      <c r="BG71" s="1051"/>
      <c r="BH71" s="1053"/>
      <c r="BI71" s="1052"/>
      <c r="BJ71" s="1052"/>
      <c r="BK71" s="1052"/>
      <c r="BL71" s="1052"/>
      <c r="BM71" s="1052"/>
      <c r="BN71" s="1054"/>
      <c r="BO71" s="1076">
        <f t="shared" si="6"/>
        <v>0</v>
      </c>
      <c r="BP71" s="1051"/>
      <c r="BQ71" s="1052"/>
      <c r="BR71" s="1054"/>
      <c r="BS71" s="1053"/>
      <c r="BT71" s="1051"/>
      <c r="BU71" s="1051"/>
      <c r="BV71" s="1051"/>
      <c r="BW71" s="1052"/>
      <c r="BX71" s="1052"/>
      <c r="BY71" s="1052"/>
      <c r="BZ71" s="1052"/>
      <c r="CA71" s="1052"/>
      <c r="CB71" s="1053"/>
      <c r="CC71" s="1053"/>
      <c r="CD71" s="1053"/>
      <c r="CE71" s="1053"/>
      <c r="CF71" s="1053"/>
      <c r="CG71" s="1053"/>
      <c r="CH71" s="1053"/>
      <c r="CI71" s="1123"/>
      <c r="CJ71" s="1123"/>
      <c r="CK71" s="1123"/>
      <c r="CL71" s="1123"/>
      <c r="CM71" s="1123"/>
      <c r="CN71" s="1123"/>
      <c r="CO71" s="1123"/>
      <c r="CP71" s="1123"/>
      <c r="CQ71" s="1123"/>
      <c r="CR71" s="1123"/>
      <c r="CS71" s="1123"/>
      <c r="CT71" s="1123"/>
      <c r="CU71" s="1123"/>
      <c r="CV71" s="1123"/>
      <c r="CW71" s="1123"/>
      <c r="CX71" s="1123"/>
      <c r="CY71" s="1123"/>
      <c r="CZ71" s="1114"/>
      <c r="DA71" s="1114"/>
      <c r="DB71" s="1114"/>
      <c r="DC71" s="1114"/>
      <c r="DD71" s="1114"/>
      <c r="DE71" s="1114"/>
      <c r="DF71" s="1114"/>
      <c r="DG71" s="1114"/>
      <c r="DH71" s="1114"/>
      <c r="DI71" s="1114"/>
      <c r="DJ71" s="1114"/>
      <c r="DK71" s="1114"/>
      <c r="DL71" s="1114"/>
      <c r="DM71" s="1114"/>
      <c r="DN71" s="1114"/>
      <c r="DO71" s="1114"/>
      <c r="DP71" s="1114"/>
      <c r="DQ71" s="1114"/>
      <c r="DR71" s="1114"/>
      <c r="DS71" s="1114"/>
      <c r="DT71" s="1114"/>
      <c r="DU71" s="1114"/>
      <c r="DV71" s="1115"/>
      <c r="DW71" s="1116"/>
      <c r="DX71" s="1116"/>
      <c r="DY71" s="1116"/>
      <c r="DZ71" s="1116"/>
      <c r="EA71" s="1116"/>
      <c r="EB71" s="1116"/>
      <c r="EC71" s="1116"/>
      <c r="ED71" s="1116"/>
      <c r="EE71" s="1116"/>
      <c r="EF71" s="1116"/>
      <c r="EG71" s="1116"/>
      <c r="EH71" s="1116"/>
      <c r="EI71" s="1116"/>
      <c r="EJ71" s="1116"/>
      <c r="EK71" s="1116"/>
      <c r="EL71" s="1116"/>
      <c r="EM71" s="1116"/>
      <c r="EN71" s="1116"/>
      <c r="EO71" s="1116"/>
      <c r="EP71" s="1116"/>
      <c r="EQ71" s="1116"/>
      <c r="ER71" s="1116"/>
      <c r="ES71" s="1116"/>
    </row>
    <row r="72" spans="1:149" s="34" customFormat="1" ht="15" customHeight="1">
      <c r="A72" s="1799">
        <v>57</v>
      </c>
      <c r="B72" s="1041"/>
      <c r="C72" s="1050"/>
      <c r="D72" s="1050"/>
      <c r="E72" s="1050"/>
      <c r="F72" s="1049"/>
      <c r="G72" s="1457"/>
      <c r="H72" s="1049"/>
      <c r="I72" s="1049"/>
      <c r="J72" s="1050"/>
      <c r="K72" s="1050"/>
      <c r="L72" s="1043"/>
      <c r="M72" s="1051"/>
      <c r="N72" s="1051"/>
      <c r="O72" s="1052"/>
      <c r="P72" s="1051"/>
      <c r="Q72" s="1051"/>
      <c r="R72" s="1052"/>
      <c r="S72" s="1051"/>
      <c r="T72" s="1051"/>
      <c r="U72" s="1052"/>
      <c r="V72" s="1051"/>
      <c r="W72" s="1051"/>
      <c r="X72" s="1052"/>
      <c r="Y72" s="1053"/>
      <c r="Z72" s="1051"/>
      <c r="AA72" s="1051"/>
      <c r="AB72" s="1052"/>
      <c r="AC72" s="1051"/>
      <c r="AD72" s="1051"/>
      <c r="AE72" s="1052"/>
      <c r="AF72" s="1051"/>
      <c r="AG72" s="1051"/>
      <c r="AH72" s="1051"/>
      <c r="AI72" s="1051"/>
      <c r="AJ72" s="1052"/>
      <c r="AK72" s="1051"/>
      <c r="AL72" s="1051"/>
      <c r="AM72" s="1052"/>
      <c r="AN72" s="1051"/>
      <c r="AO72" s="1051"/>
      <c r="AP72" s="1052"/>
      <c r="AQ72" s="1051"/>
      <c r="AR72" s="1051"/>
      <c r="AS72" s="1052"/>
      <c r="AT72" s="1051"/>
      <c r="AU72" s="1051"/>
      <c r="AV72" s="1052"/>
      <c r="AW72" s="1051"/>
      <c r="AX72" s="1051"/>
      <c r="AY72" s="1053"/>
      <c r="AZ72" s="1051"/>
      <c r="BA72" s="1051"/>
      <c r="BB72" s="1053"/>
      <c r="BC72" s="1051"/>
      <c r="BD72" s="1051"/>
      <c r="BE72" s="1053"/>
      <c r="BF72" s="1051"/>
      <c r="BG72" s="1051"/>
      <c r="BH72" s="1053"/>
      <c r="BI72" s="1052"/>
      <c r="BJ72" s="1052"/>
      <c r="BK72" s="1052"/>
      <c r="BL72" s="1052"/>
      <c r="BM72" s="1052"/>
      <c r="BN72" s="1054"/>
      <c r="BO72" s="1076">
        <f t="shared" si="6"/>
        <v>0</v>
      </c>
      <c r="BP72" s="1051"/>
      <c r="BQ72" s="1052"/>
      <c r="BR72" s="1054"/>
      <c r="BS72" s="1053"/>
      <c r="BT72" s="1051"/>
      <c r="BU72" s="1051"/>
      <c r="BV72" s="1051"/>
      <c r="BW72" s="1052"/>
      <c r="BX72" s="1052"/>
      <c r="BY72" s="1052"/>
      <c r="BZ72" s="1052"/>
      <c r="CA72" s="1052"/>
      <c r="CB72" s="1053"/>
      <c r="CC72" s="1053"/>
      <c r="CD72" s="1053"/>
      <c r="CE72" s="1053"/>
      <c r="CF72" s="1053"/>
      <c r="CG72" s="1053"/>
      <c r="CH72" s="1053"/>
      <c r="CI72" s="1123"/>
      <c r="CJ72" s="1123"/>
      <c r="CK72" s="1123"/>
      <c r="CL72" s="1123"/>
      <c r="CM72" s="1123"/>
      <c r="CN72" s="1123"/>
      <c r="CO72" s="1123"/>
      <c r="CP72" s="1123"/>
      <c r="CQ72" s="1123"/>
      <c r="CR72" s="1123"/>
      <c r="CS72" s="1123"/>
      <c r="CT72" s="1123"/>
      <c r="CU72" s="1123"/>
      <c r="CV72" s="1123"/>
      <c r="CW72" s="1123"/>
      <c r="CX72" s="1123"/>
      <c r="CY72" s="1123"/>
      <c r="CZ72" s="1114"/>
      <c r="DA72" s="1114"/>
      <c r="DB72" s="1114"/>
      <c r="DC72" s="1114"/>
      <c r="DD72" s="1114"/>
      <c r="DE72" s="1114"/>
      <c r="DF72" s="1114"/>
      <c r="DG72" s="1114"/>
      <c r="DH72" s="1114"/>
      <c r="DI72" s="1114"/>
      <c r="DJ72" s="1114"/>
      <c r="DK72" s="1114"/>
      <c r="DL72" s="1114"/>
      <c r="DM72" s="1114"/>
      <c r="DN72" s="1114"/>
      <c r="DO72" s="1114"/>
      <c r="DP72" s="1114"/>
      <c r="DQ72" s="1114"/>
      <c r="DR72" s="1114"/>
      <c r="DS72" s="1114"/>
      <c r="DT72" s="1114"/>
      <c r="DU72" s="1114"/>
      <c r="DV72" s="1115"/>
      <c r="DW72" s="1116"/>
      <c r="DX72" s="1116"/>
      <c r="DY72" s="1116"/>
      <c r="DZ72" s="1116"/>
      <c r="EA72" s="1116"/>
      <c r="EB72" s="1116"/>
      <c r="EC72" s="1116"/>
      <c r="ED72" s="1116"/>
      <c r="EE72" s="1116"/>
      <c r="EF72" s="1116"/>
      <c r="EG72" s="1116"/>
      <c r="EH72" s="1116"/>
      <c r="EI72" s="1116"/>
      <c r="EJ72" s="1116"/>
      <c r="EK72" s="1116"/>
      <c r="EL72" s="1116"/>
      <c r="EM72" s="1116"/>
      <c r="EN72" s="1116"/>
      <c r="EO72" s="1116"/>
      <c r="EP72" s="1116"/>
      <c r="EQ72" s="1116"/>
      <c r="ER72" s="1116"/>
      <c r="ES72" s="1116"/>
    </row>
    <row r="73" spans="1:149" s="34" customFormat="1" ht="15" customHeight="1">
      <c r="A73" s="1799">
        <v>58</v>
      </c>
      <c r="B73" s="1041"/>
      <c r="C73" s="1050"/>
      <c r="D73" s="1050"/>
      <c r="E73" s="1050"/>
      <c r="F73" s="1049"/>
      <c r="G73" s="1457"/>
      <c r="H73" s="1049"/>
      <c r="I73" s="1049"/>
      <c r="J73" s="1050"/>
      <c r="K73" s="1050"/>
      <c r="L73" s="1043"/>
      <c r="M73" s="1051"/>
      <c r="N73" s="1051"/>
      <c r="O73" s="1052"/>
      <c r="P73" s="1051"/>
      <c r="Q73" s="1051"/>
      <c r="R73" s="1052"/>
      <c r="S73" s="1051"/>
      <c r="T73" s="1051"/>
      <c r="U73" s="1052"/>
      <c r="V73" s="1051"/>
      <c r="W73" s="1051"/>
      <c r="X73" s="1052"/>
      <c r="Y73" s="1053"/>
      <c r="Z73" s="1051"/>
      <c r="AA73" s="1051"/>
      <c r="AB73" s="1052"/>
      <c r="AC73" s="1051"/>
      <c r="AD73" s="1051"/>
      <c r="AE73" s="1052"/>
      <c r="AF73" s="1051"/>
      <c r="AG73" s="1051"/>
      <c r="AH73" s="1051"/>
      <c r="AI73" s="1051"/>
      <c r="AJ73" s="1052"/>
      <c r="AK73" s="1051"/>
      <c r="AL73" s="1051"/>
      <c r="AM73" s="1052"/>
      <c r="AN73" s="1051"/>
      <c r="AO73" s="1051"/>
      <c r="AP73" s="1052"/>
      <c r="AQ73" s="1051"/>
      <c r="AR73" s="1051"/>
      <c r="AS73" s="1052"/>
      <c r="AT73" s="1051"/>
      <c r="AU73" s="1051"/>
      <c r="AV73" s="1052"/>
      <c r="AW73" s="1051"/>
      <c r="AX73" s="1051"/>
      <c r="AY73" s="1053"/>
      <c r="AZ73" s="1051"/>
      <c r="BA73" s="1051"/>
      <c r="BB73" s="1053"/>
      <c r="BC73" s="1051"/>
      <c r="BD73" s="1051"/>
      <c r="BE73" s="1053"/>
      <c r="BF73" s="1051"/>
      <c r="BG73" s="1051"/>
      <c r="BH73" s="1053"/>
      <c r="BI73" s="1052"/>
      <c r="BJ73" s="1052"/>
      <c r="BK73" s="1052"/>
      <c r="BL73" s="1052"/>
      <c r="BM73" s="1052"/>
      <c r="BN73" s="1054"/>
      <c r="BO73" s="1076">
        <f t="shared" si="6"/>
        <v>0</v>
      </c>
      <c r="BP73" s="1051"/>
      <c r="BQ73" s="1052"/>
      <c r="BR73" s="1054"/>
      <c r="BS73" s="1053"/>
      <c r="BT73" s="1051"/>
      <c r="BU73" s="1051"/>
      <c r="BV73" s="1051"/>
      <c r="BW73" s="1052"/>
      <c r="BX73" s="1052"/>
      <c r="BY73" s="1052"/>
      <c r="BZ73" s="1052"/>
      <c r="CA73" s="1052"/>
      <c r="CB73" s="1053"/>
      <c r="CC73" s="1053"/>
      <c r="CD73" s="1053"/>
      <c r="CE73" s="1053"/>
      <c r="CF73" s="1053"/>
      <c r="CG73" s="1053"/>
      <c r="CH73" s="1053"/>
      <c r="CI73" s="1123"/>
      <c r="CJ73" s="1123"/>
      <c r="CK73" s="1123"/>
      <c r="CL73" s="1123"/>
      <c r="CM73" s="1123"/>
      <c r="CN73" s="1123"/>
      <c r="CO73" s="1123"/>
      <c r="CP73" s="1123"/>
      <c r="CQ73" s="1123"/>
      <c r="CR73" s="1123"/>
      <c r="CS73" s="1123"/>
      <c r="CT73" s="1123"/>
      <c r="CU73" s="1123"/>
      <c r="CV73" s="1123"/>
      <c r="CW73" s="1123"/>
      <c r="CX73" s="1123"/>
      <c r="CY73" s="1123"/>
      <c r="CZ73" s="1114"/>
      <c r="DA73" s="1114"/>
      <c r="DB73" s="1114"/>
      <c r="DC73" s="1114"/>
      <c r="DD73" s="1114"/>
      <c r="DE73" s="1114"/>
      <c r="DF73" s="1114"/>
      <c r="DG73" s="1114"/>
      <c r="DH73" s="1114"/>
      <c r="DI73" s="1114"/>
      <c r="DJ73" s="1114"/>
      <c r="DK73" s="1114"/>
      <c r="DL73" s="1114"/>
      <c r="DM73" s="1114"/>
      <c r="DN73" s="1114"/>
      <c r="DO73" s="1114"/>
      <c r="DP73" s="1114"/>
      <c r="DQ73" s="1114"/>
      <c r="DR73" s="1114"/>
      <c r="DS73" s="1114"/>
      <c r="DT73" s="1114"/>
      <c r="DU73" s="1114"/>
      <c r="DV73" s="1115"/>
      <c r="DW73" s="1116"/>
      <c r="DX73" s="1116"/>
      <c r="DY73" s="1116"/>
      <c r="DZ73" s="1116"/>
      <c r="EA73" s="1116"/>
      <c r="EB73" s="1116"/>
      <c r="EC73" s="1116"/>
      <c r="ED73" s="1116"/>
      <c r="EE73" s="1116"/>
      <c r="EF73" s="1116"/>
      <c r="EG73" s="1116"/>
      <c r="EH73" s="1116"/>
      <c r="EI73" s="1116"/>
      <c r="EJ73" s="1116"/>
      <c r="EK73" s="1116"/>
      <c r="EL73" s="1116"/>
      <c r="EM73" s="1116"/>
      <c r="EN73" s="1116"/>
      <c r="EO73" s="1116"/>
      <c r="EP73" s="1116"/>
      <c r="EQ73" s="1116"/>
      <c r="ER73" s="1116"/>
      <c r="ES73" s="1116"/>
    </row>
    <row r="74" spans="1:149" s="34" customFormat="1" ht="15" customHeight="1">
      <c r="A74" s="1799">
        <v>59</v>
      </c>
      <c r="B74" s="1041"/>
      <c r="C74" s="1050"/>
      <c r="D74" s="1050"/>
      <c r="E74" s="1050"/>
      <c r="F74" s="1049"/>
      <c r="G74" s="1457"/>
      <c r="H74" s="1049"/>
      <c r="I74" s="1049"/>
      <c r="J74" s="1050"/>
      <c r="K74" s="1050"/>
      <c r="L74" s="1043"/>
      <c r="M74" s="1051"/>
      <c r="N74" s="1051"/>
      <c r="O74" s="1052"/>
      <c r="P74" s="1051"/>
      <c r="Q74" s="1051"/>
      <c r="R74" s="1052"/>
      <c r="S74" s="1051"/>
      <c r="T74" s="1051"/>
      <c r="U74" s="1052"/>
      <c r="V74" s="1051"/>
      <c r="W74" s="1051"/>
      <c r="X74" s="1052"/>
      <c r="Y74" s="1053"/>
      <c r="Z74" s="1051"/>
      <c r="AA74" s="1051"/>
      <c r="AB74" s="1052"/>
      <c r="AC74" s="1051"/>
      <c r="AD74" s="1051"/>
      <c r="AE74" s="1052"/>
      <c r="AF74" s="1051"/>
      <c r="AG74" s="1051"/>
      <c r="AH74" s="1051"/>
      <c r="AI74" s="1051"/>
      <c r="AJ74" s="1052"/>
      <c r="AK74" s="1051"/>
      <c r="AL74" s="1051"/>
      <c r="AM74" s="1052"/>
      <c r="AN74" s="1051"/>
      <c r="AO74" s="1051"/>
      <c r="AP74" s="1052"/>
      <c r="AQ74" s="1051"/>
      <c r="AR74" s="1051"/>
      <c r="AS74" s="1052"/>
      <c r="AT74" s="1051"/>
      <c r="AU74" s="1051"/>
      <c r="AV74" s="1052"/>
      <c r="AW74" s="1051"/>
      <c r="AX74" s="1051"/>
      <c r="AY74" s="1053"/>
      <c r="AZ74" s="1051"/>
      <c r="BA74" s="1051"/>
      <c r="BB74" s="1053"/>
      <c r="BC74" s="1051"/>
      <c r="BD74" s="1051"/>
      <c r="BE74" s="1053"/>
      <c r="BF74" s="1051"/>
      <c r="BG74" s="1051"/>
      <c r="BH74" s="1053"/>
      <c r="BI74" s="1052"/>
      <c r="BJ74" s="1052"/>
      <c r="BK74" s="1052"/>
      <c r="BL74" s="1052"/>
      <c r="BM74" s="1052"/>
      <c r="BN74" s="1054"/>
      <c r="BO74" s="1076">
        <f t="shared" si="6"/>
        <v>0</v>
      </c>
      <c r="BP74" s="1051"/>
      <c r="BQ74" s="1052"/>
      <c r="BR74" s="1054"/>
      <c r="BS74" s="1053"/>
      <c r="BT74" s="1051"/>
      <c r="BU74" s="1051"/>
      <c r="BV74" s="1051"/>
      <c r="BW74" s="1052"/>
      <c r="BX74" s="1052"/>
      <c r="BY74" s="1052"/>
      <c r="BZ74" s="1052"/>
      <c r="CA74" s="1052"/>
      <c r="CB74" s="1053"/>
      <c r="CC74" s="1053"/>
      <c r="CD74" s="1053"/>
      <c r="CE74" s="1053"/>
      <c r="CF74" s="1053"/>
      <c r="CG74" s="1053"/>
      <c r="CH74" s="1053"/>
      <c r="CI74" s="1123"/>
      <c r="CJ74" s="1123"/>
      <c r="CK74" s="1123"/>
      <c r="CL74" s="1123"/>
      <c r="CM74" s="1123"/>
      <c r="CN74" s="1123"/>
      <c r="CO74" s="1123"/>
      <c r="CP74" s="1123"/>
      <c r="CQ74" s="1123"/>
      <c r="CR74" s="1123"/>
      <c r="CS74" s="1123"/>
      <c r="CT74" s="1123"/>
      <c r="CU74" s="1123"/>
      <c r="CV74" s="1123"/>
      <c r="CW74" s="1123"/>
      <c r="CX74" s="1123"/>
      <c r="CY74" s="1123"/>
      <c r="CZ74" s="1114"/>
      <c r="DA74" s="1114"/>
      <c r="DB74" s="1114"/>
      <c r="DC74" s="1114"/>
      <c r="DD74" s="1114"/>
      <c r="DE74" s="1114"/>
      <c r="DF74" s="1114"/>
      <c r="DG74" s="1114"/>
      <c r="DH74" s="1114"/>
      <c r="DI74" s="1114"/>
      <c r="DJ74" s="1114"/>
      <c r="DK74" s="1114"/>
      <c r="DL74" s="1114"/>
      <c r="DM74" s="1114"/>
      <c r="DN74" s="1114"/>
      <c r="DO74" s="1114"/>
      <c r="DP74" s="1114"/>
      <c r="DQ74" s="1114"/>
      <c r="DR74" s="1114"/>
      <c r="DS74" s="1114"/>
      <c r="DT74" s="1114"/>
      <c r="DU74" s="1114"/>
      <c r="DV74" s="1115"/>
      <c r="DW74" s="1116"/>
      <c r="DX74" s="1116"/>
      <c r="DY74" s="1116"/>
      <c r="DZ74" s="1116"/>
      <c r="EA74" s="1116"/>
      <c r="EB74" s="1116"/>
      <c r="EC74" s="1116"/>
      <c r="ED74" s="1116"/>
      <c r="EE74" s="1116"/>
      <c r="EF74" s="1116"/>
      <c r="EG74" s="1116"/>
      <c r="EH74" s="1116"/>
      <c r="EI74" s="1116"/>
      <c r="EJ74" s="1116"/>
      <c r="EK74" s="1116"/>
      <c r="EL74" s="1116"/>
      <c r="EM74" s="1116"/>
      <c r="EN74" s="1116"/>
      <c r="EO74" s="1116"/>
      <c r="EP74" s="1116"/>
      <c r="EQ74" s="1116"/>
      <c r="ER74" s="1116"/>
      <c r="ES74" s="1116"/>
    </row>
    <row r="75" spans="1:149" s="34" customFormat="1" ht="15" customHeight="1">
      <c r="A75" s="1799">
        <v>60</v>
      </c>
      <c r="B75" s="1041"/>
      <c r="C75" s="1050"/>
      <c r="D75" s="1050"/>
      <c r="E75" s="1050"/>
      <c r="F75" s="1049"/>
      <c r="G75" s="1457"/>
      <c r="H75" s="1049"/>
      <c r="I75" s="1049"/>
      <c r="J75" s="1050"/>
      <c r="K75" s="1050"/>
      <c r="L75" s="1043"/>
      <c r="M75" s="1051"/>
      <c r="N75" s="1051"/>
      <c r="O75" s="1052"/>
      <c r="P75" s="1051"/>
      <c r="Q75" s="1051"/>
      <c r="R75" s="1052"/>
      <c r="S75" s="1051"/>
      <c r="T75" s="1051"/>
      <c r="U75" s="1052"/>
      <c r="V75" s="1051"/>
      <c r="W75" s="1051"/>
      <c r="X75" s="1052"/>
      <c r="Y75" s="1053"/>
      <c r="Z75" s="1051"/>
      <c r="AA75" s="1051"/>
      <c r="AB75" s="1052"/>
      <c r="AC75" s="1051"/>
      <c r="AD75" s="1051"/>
      <c r="AE75" s="1052"/>
      <c r="AF75" s="1051"/>
      <c r="AG75" s="1051"/>
      <c r="AH75" s="1051"/>
      <c r="AI75" s="1051"/>
      <c r="AJ75" s="1052"/>
      <c r="AK75" s="1051"/>
      <c r="AL75" s="1051"/>
      <c r="AM75" s="1052"/>
      <c r="AN75" s="1051"/>
      <c r="AO75" s="1051"/>
      <c r="AP75" s="1052"/>
      <c r="AQ75" s="1051"/>
      <c r="AR75" s="1051"/>
      <c r="AS75" s="1052"/>
      <c r="AT75" s="1051"/>
      <c r="AU75" s="1051"/>
      <c r="AV75" s="1052"/>
      <c r="AW75" s="1051"/>
      <c r="AX75" s="1051"/>
      <c r="AY75" s="1053"/>
      <c r="AZ75" s="1051"/>
      <c r="BA75" s="1051"/>
      <c r="BB75" s="1053"/>
      <c r="BC75" s="1051"/>
      <c r="BD75" s="1051"/>
      <c r="BE75" s="1053"/>
      <c r="BF75" s="1051"/>
      <c r="BG75" s="1051"/>
      <c r="BH75" s="1053"/>
      <c r="BI75" s="1052"/>
      <c r="BJ75" s="1052"/>
      <c r="BK75" s="1052"/>
      <c r="BL75" s="1052"/>
      <c r="BM75" s="1052"/>
      <c r="BN75" s="1054"/>
      <c r="BO75" s="1076">
        <f t="shared" si="6"/>
        <v>0</v>
      </c>
      <c r="BP75" s="1051"/>
      <c r="BQ75" s="1052"/>
      <c r="BR75" s="1054"/>
      <c r="BS75" s="1053"/>
      <c r="BT75" s="1051"/>
      <c r="BU75" s="1051"/>
      <c r="BV75" s="1051"/>
      <c r="BW75" s="1052"/>
      <c r="BX75" s="1052"/>
      <c r="BY75" s="1052"/>
      <c r="BZ75" s="1052"/>
      <c r="CA75" s="1052"/>
      <c r="CB75" s="1053"/>
      <c r="CC75" s="1053"/>
      <c r="CD75" s="1053"/>
      <c r="CE75" s="1053"/>
      <c r="CF75" s="1053"/>
      <c r="CG75" s="1053"/>
      <c r="CH75" s="1053"/>
      <c r="CI75" s="1123"/>
      <c r="CJ75" s="1123"/>
      <c r="CK75" s="1123"/>
      <c r="CL75" s="1123"/>
      <c r="CM75" s="1123"/>
      <c r="CN75" s="1123"/>
      <c r="CO75" s="1123"/>
      <c r="CP75" s="1123"/>
      <c r="CQ75" s="1123"/>
      <c r="CR75" s="1123"/>
      <c r="CS75" s="1123"/>
      <c r="CT75" s="1123"/>
      <c r="CU75" s="1123"/>
      <c r="CV75" s="1123"/>
      <c r="CW75" s="1123"/>
      <c r="CX75" s="1123"/>
      <c r="CY75" s="1123"/>
      <c r="CZ75" s="1114"/>
      <c r="DA75" s="1114"/>
      <c r="DB75" s="1114"/>
      <c r="DC75" s="1114"/>
      <c r="DD75" s="1114"/>
      <c r="DE75" s="1114"/>
      <c r="DF75" s="1114"/>
      <c r="DG75" s="1114"/>
      <c r="DH75" s="1114"/>
      <c r="DI75" s="1114"/>
      <c r="DJ75" s="1114"/>
      <c r="DK75" s="1114"/>
      <c r="DL75" s="1114"/>
      <c r="DM75" s="1114"/>
      <c r="DN75" s="1114"/>
      <c r="DO75" s="1114"/>
      <c r="DP75" s="1114"/>
      <c r="DQ75" s="1114"/>
      <c r="DR75" s="1114"/>
      <c r="DS75" s="1114"/>
      <c r="DT75" s="1114"/>
      <c r="DU75" s="1114"/>
      <c r="DV75" s="1115"/>
      <c r="DW75" s="1116"/>
      <c r="DX75" s="1116"/>
      <c r="DY75" s="1116"/>
      <c r="DZ75" s="1116"/>
      <c r="EA75" s="1116"/>
      <c r="EB75" s="1116"/>
      <c r="EC75" s="1116"/>
      <c r="ED75" s="1116"/>
      <c r="EE75" s="1116"/>
      <c r="EF75" s="1116"/>
      <c r="EG75" s="1116"/>
      <c r="EH75" s="1116"/>
      <c r="EI75" s="1116"/>
      <c r="EJ75" s="1116"/>
      <c r="EK75" s="1116"/>
      <c r="EL75" s="1116"/>
      <c r="EM75" s="1116"/>
      <c r="EN75" s="1116"/>
      <c r="EO75" s="1116"/>
      <c r="EP75" s="1116"/>
      <c r="EQ75" s="1116"/>
      <c r="ER75" s="1116"/>
      <c r="ES75" s="1116"/>
    </row>
    <row r="76" spans="1:149" s="34" customFormat="1" ht="15" customHeight="1">
      <c r="A76" s="1799">
        <v>61</v>
      </c>
      <c r="B76" s="1041"/>
      <c r="C76" s="1050"/>
      <c r="D76" s="1050"/>
      <c r="E76" s="1050"/>
      <c r="F76" s="1049"/>
      <c r="G76" s="1457"/>
      <c r="H76" s="1049"/>
      <c r="I76" s="1049"/>
      <c r="J76" s="1050"/>
      <c r="K76" s="1050"/>
      <c r="L76" s="1043"/>
      <c r="M76" s="1051"/>
      <c r="N76" s="1051"/>
      <c r="O76" s="1052"/>
      <c r="P76" s="1051"/>
      <c r="Q76" s="1051"/>
      <c r="R76" s="1052"/>
      <c r="S76" s="1051"/>
      <c r="T76" s="1051"/>
      <c r="U76" s="1052"/>
      <c r="V76" s="1051"/>
      <c r="W76" s="1051"/>
      <c r="X76" s="1052"/>
      <c r="Y76" s="1053"/>
      <c r="Z76" s="1051"/>
      <c r="AA76" s="1051"/>
      <c r="AB76" s="1052"/>
      <c r="AC76" s="1051"/>
      <c r="AD76" s="1051"/>
      <c r="AE76" s="1052"/>
      <c r="AF76" s="1051"/>
      <c r="AG76" s="1051"/>
      <c r="AH76" s="1051"/>
      <c r="AI76" s="1051"/>
      <c r="AJ76" s="1052"/>
      <c r="AK76" s="1051"/>
      <c r="AL76" s="1051"/>
      <c r="AM76" s="1052"/>
      <c r="AN76" s="1051"/>
      <c r="AO76" s="1051"/>
      <c r="AP76" s="1052"/>
      <c r="AQ76" s="1051"/>
      <c r="AR76" s="1051"/>
      <c r="AS76" s="1052"/>
      <c r="AT76" s="1051"/>
      <c r="AU76" s="1051"/>
      <c r="AV76" s="1052"/>
      <c r="AW76" s="1051"/>
      <c r="AX76" s="1051"/>
      <c r="AY76" s="1053"/>
      <c r="AZ76" s="1051"/>
      <c r="BA76" s="1051"/>
      <c r="BB76" s="1053"/>
      <c r="BC76" s="1051"/>
      <c r="BD76" s="1051"/>
      <c r="BE76" s="1053"/>
      <c r="BF76" s="1051"/>
      <c r="BG76" s="1051"/>
      <c r="BH76" s="1053"/>
      <c r="BI76" s="1052"/>
      <c r="BJ76" s="1052"/>
      <c r="BK76" s="1052"/>
      <c r="BL76" s="1052"/>
      <c r="BM76" s="1052"/>
      <c r="BN76" s="1054"/>
      <c r="BO76" s="1076">
        <f t="shared" si="6"/>
        <v>0</v>
      </c>
      <c r="BP76" s="1051"/>
      <c r="BQ76" s="1052"/>
      <c r="BR76" s="1054"/>
      <c r="BS76" s="1053"/>
      <c r="BT76" s="1051"/>
      <c r="BU76" s="1051"/>
      <c r="BV76" s="1051"/>
      <c r="BW76" s="1052"/>
      <c r="BX76" s="1052"/>
      <c r="BY76" s="1052"/>
      <c r="BZ76" s="1052"/>
      <c r="CA76" s="1052"/>
      <c r="CB76" s="1053"/>
      <c r="CC76" s="1053"/>
      <c r="CD76" s="1053"/>
      <c r="CE76" s="1053"/>
      <c r="CF76" s="1053"/>
      <c r="CG76" s="1053"/>
      <c r="CH76" s="1053"/>
      <c r="CI76" s="1123"/>
      <c r="CJ76" s="1123"/>
      <c r="CK76" s="1123"/>
      <c r="CL76" s="1123"/>
      <c r="CM76" s="1123"/>
      <c r="CN76" s="1123"/>
      <c r="CO76" s="1123"/>
      <c r="CP76" s="1123"/>
      <c r="CQ76" s="1123"/>
      <c r="CR76" s="1123"/>
      <c r="CS76" s="1123"/>
      <c r="CT76" s="1123"/>
      <c r="CU76" s="1123"/>
      <c r="CV76" s="1123"/>
      <c r="CW76" s="1123"/>
      <c r="CX76" s="1123"/>
      <c r="CY76" s="1123"/>
      <c r="CZ76" s="1114"/>
      <c r="DA76" s="1114"/>
      <c r="DB76" s="1114"/>
      <c r="DC76" s="1114"/>
      <c r="DD76" s="1114"/>
      <c r="DE76" s="1114"/>
      <c r="DF76" s="1114"/>
      <c r="DG76" s="1114"/>
      <c r="DH76" s="1114"/>
      <c r="DI76" s="1114"/>
      <c r="DJ76" s="1114"/>
      <c r="DK76" s="1114"/>
      <c r="DL76" s="1114"/>
      <c r="DM76" s="1114"/>
      <c r="DN76" s="1114"/>
      <c r="DO76" s="1114"/>
      <c r="DP76" s="1114"/>
      <c r="DQ76" s="1114"/>
      <c r="DR76" s="1114"/>
      <c r="DS76" s="1114"/>
      <c r="DT76" s="1114"/>
      <c r="DU76" s="1114"/>
      <c r="DV76" s="1115"/>
      <c r="DW76" s="1116"/>
      <c r="DX76" s="1116"/>
      <c r="DY76" s="1116"/>
      <c r="DZ76" s="1116"/>
      <c r="EA76" s="1116"/>
      <c r="EB76" s="1116"/>
      <c r="EC76" s="1116"/>
      <c r="ED76" s="1116"/>
      <c r="EE76" s="1116"/>
      <c r="EF76" s="1116"/>
      <c r="EG76" s="1116"/>
      <c r="EH76" s="1116"/>
      <c r="EI76" s="1116"/>
      <c r="EJ76" s="1116"/>
      <c r="EK76" s="1116"/>
      <c r="EL76" s="1116"/>
      <c r="EM76" s="1116"/>
      <c r="EN76" s="1116"/>
      <c r="EO76" s="1116"/>
      <c r="EP76" s="1116"/>
      <c r="EQ76" s="1116"/>
      <c r="ER76" s="1116"/>
      <c r="ES76" s="1116"/>
    </row>
    <row r="77" spans="1:149" s="34" customFormat="1" ht="15" customHeight="1">
      <c r="A77" s="1799">
        <v>62</v>
      </c>
      <c r="B77" s="1041"/>
      <c r="C77" s="1050"/>
      <c r="D77" s="1050"/>
      <c r="E77" s="1050"/>
      <c r="F77" s="1049"/>
      <c r="G77" s="1457"/>
      <c r="H77" s="1049"/>
      <c r="I77" s="1049"/>
      <c r="J77" s="1050"/>
      <c r="K77" s="1050"/>
      <c r="L77" s="1043"/>
      <c r="M77" s="1051"/>
      <c r="N77" s="1051"/>
      <c r="O77" s="1052"/>
      <c r="P77" s="1051"/>
      <c r="Q77" s="1051"/>
      <c r="R77" s="1052"/>
      <c r="S77" s="1051"/>
      <c r="T77" s="1051"/>
      <c r="U77" s="1052"/>
      <c r="V77" s="1051"/>
      <c r="W77" s="1051"/>
      <c r="X77" s="1052"/>
      <c r="Y77" s="1053"/>
      <c r="Z77" s="1051"/>
      <c r="AA77" s="1051"/>
      <c r="AB77" s="1052"/>
      <c r="AC77" s="1051"/>
      <c r="AD77" s="1051"/>
      <c r="AE77" s="1052"/>
      <c r="AF77" s="1051"/>
      <c r="AG77" s="1051"/>
      <c r="AH77" s="1051"/>
      <c r="AI77" s="1051"/>
      <c r="AJ77" s="1052"/>
      <c r="AK77" s="1051"/>
      <c r="AL77" s="1051"/>
      <c r="AM77" s="1052"/>
      <c r="AN77" s="1051"/>
      <c r="AO77" s="1051"/>
      <c r="AP77" s="1052"/>
      <c r="AQ77" s="1051"/>
      <c r="AR77" s="1051"/>
      <c r="AS77" s="1052"/>
      <c r="AT77" s="1051"/>
      <c r="AU77" s="1051"/>
      <c r="AV77" s="1052"/>
      <c r="AW77" s="1051"/>
      <c r="AX77" s="1051"/>
      <c r="AY77" s="1053"/>
      <c r="AZ77" s="1051"/>
      <c r="BA77" s="1051"/>
      <c r="BB77" s="1053"/>
      <c r="BC77" s="1051"/>
      <c r="BD77" s="1051"/>
      <c r="BE77" s="1053"/>
      <c r="BF77" s="1051"/>
      <c r="BG77" s="1051"/>
      <c r="BH77" s="1053"/>
      <c r="BI77" s="1052"/>
      <c r="BJ77" s="1052"/>
      <c r="BK77" s="1052"/>
      <c r="BL77" s="1052"/>
      <c r="BM77" s="1052"/>
      <c r="BN77" s="1054"/>
      <c r="BO77" s="1076">
        <f t="shared" si="6"/>
        <v>0</v>
      </c>
      <c r="BP77" s="1051"/>
      <c r="BQ77" s="1052"/>
      <c r="BR77" s="1054"/>
      <c r="BS77" s="1053"/>
      <c r="BT77" s="1051"/>
      <c r="BU77" s="1051"/>
      <c r="BV77" s="1051"/>
      <c r="BW77" s="1052"/>
      <c r="BX77" s="1052"/>
      <c r="BY77" s="1052"/>
      <c r="BZ77" s="1052"/>
      <c r="CA77" s="1052"/>
      <c r="CB77" s="1053"/>
      <c r="CC77" s="1053"/>
      <c r="CD77" s="1053"/>
      <c r="CE77" s="1053"/>
      <c r="CF77" s="1053"/>
      <c r="CG77" s="1053"/>
      <c r="CH77" s="1053"/>
      <c r="CI77" s="1123"/>
      <c r="CJ77" s="1123"/>
      <c r="CK77" s="1123"/>
      <c r="CL77" s="1123"/>
      <c r="CM77" s="1123"/>
      <c r="CN77" s="1123"/>
      <c r="CO77" s="1123"/>
      <c r="CP77" s="1123"/>
      <c r="CQ77" s="1123"/>
      <c r="CR77" s="1123"/>
      <c r="CS77" s="1123"/>
      <c r="CT77" s="1123"/>
      <c r="CU77" s="1123"/>
      <c r="CV77" s="1123"/>
      <c r="CW77" s="1123"/>
      <c r="CX77" s="1123"/>
      <c r="CY77" s="1123"/>
      <c r="CZ77" s="1114"/>
      <c r="DA77" s="1114"/>
      <c r="DB77" s="1114"/>
      <c r="DC77" s="1114"/>
      <c r="DD77" s="1114"/>
      <c r="DE77" s="1114"/>
      <c r="DF77" s="1114"/>
      <c r="DG77" s="1114"/>
      <c r="DH77" s="1114"/>
      <c r="DI77" s="1114"/>
      <c r="DJ77" s="1114"/>
      <c r="DK77" s="1114"/>
      <c r="DL77" s="1114"/>
      <c r="DM77" s="1114"/>
      <c r="DN77" s="1114"/>
      <c r="DO77" s="1114"/>
      <c r="DP77" s="1114"/>
      <c r="DQ77" s="1114"/>
      <c r="DR77" s="1114"/>
      <c r="DS77" s="1114"/>
      <c r="DT77" s="1114"/>
      <c r="DU77" s="1114"/>
      <c r="DV77" s="1115"/>
      <c r="DW77" s="1116"/>
      <c r="DX77" s="1116"/>
      <c r="DY77" s="1116"/>
      <c r="DZ77" s="1116"/>
      <c r="EA77" s="1116"/>
      <c r="EB77" s="1116"/>
      <c r="EC77" s="1116"/>
      <c r="ED77" s="1116"/>
      <c r="EE77" s="1116"/>
      <c r="EF77" s="1116"/>
      <c r="EG77" s="1116"/>
      <c r="EH77" s="1116"/>
      <c r="EI77" s="1116"/>
      <c r="EJ77" s="1116"/>
      <c r="EK77" s="1116"/>
      <c r="EL77" s="1116"/>
      <c r="EM77" s="1116"/>
      <c r="EN77" s="1116"/>
      <c r="EO77" s="1116"/>
      <c r="EP77" s="1116"/>
      <c r="EQ77" s="1116"/>
      <c r="ER77" s="1116"/>
      <c r="ES77" s="1116"/>
    </row>
    <row r="78" spans="1:149" s="34" customFormat="1" ht="15" customHeight="1">
      <c r="A78" s="1799">
        <v>63</v>
      </c>
      <c r="B78" s="1041"/>
      <c r="C78" s="1050"/>
      <c r="D78" s="1050"/>
      <c r="E78" s="1050"/>
      <c r="F78" s="1049"/>
      <c r="G78" s="1457"/>
      <c r="H78" s="1049"/>
      <c r="I78" s="1049"/>
      <c r="J78" s="1050"/>
      <c r="K78" s="1050"/>
      <c r="L78" s="1043"/>
      <c r="M78" s="1051"/>
      <c r="N78" s="1051"/>
      <c r="O78" s="1052"/>
      <c r="P78" s="1051"/>
      <c r="Q78" s="1051"/>
      <c r="R78" s="1052"/>
      <c r="S78" s="1051"/>
      <c r="T78" s="1051"/>
      <c r="U78" s="1052"/>
      <c r="V78" s="1051"/>
      <c r="W78" s="1051"/>
      <c r="X78" s="1052"/>
      <c r="Y78" s="1053"/>
      <c r="Z78" s="1051"/>
      <c r="AA78" s="1051"/>
      <c r="AB78" s="1052"/>
      <c r="AC78" s="1051"/>
      <c r="AD78" s="1051"/>
      <c r="AE78" s="1052"/>
      <c r="AF78" s="1051"/>
      <c r="AG78" s="1051"/>
      <c r="AH78" s="1051"/>
      <c r="AI78" s="1051"/>
      <c r="AJ78" s="1052"/>
      <c r="AK78" s="1051"/>
      <c r="AL78" s="1051"/>
      <c r="AM78" s="1052"/>
      <c r="AN78" s="1051"/>
      <c r="AO78" s="1051"/>
      <c r="AP78" s="1052"/>
      <c r="AQ78" s="1051"/>
      <c r="AR78" s="1051"/>
      <c r="AS78" s="1052"/>
      <c r="AT78" s="1051"/>
      <c r="AU78" s="1051"/>
      <c r="AV78" s="1052"/>
      <c r="AW78" s="1051"/>
      <c r="AX78" s="1051"/>
      <c r="AY78" s="1053"/>
      <c r="AZ78" s="1051"/>
      <c r="BA78" s="1051"/>
      <c r="BB78" s="1053"/>
      <c r="BC78" s="1051"/>
      <c r="BD78" s="1051"/>
      <c r="BE78" s="1053"/>
      <c r="BF78" s="1051"/>
      <c r="BG78" s="1051"/>
      <c r="BH78" s="1053"/>
      <c r="BI78" s="1052"/>
      <c r="BJ78" s="1052"/>
      <c r="BK78" s="1052"/>
      <c r="BL78" s="1052"/>
      <c r="BM78" s="1052"/>
      <c r="BN78" s="1054"/>
      <c r="BO78" s="1076">
        <f t="shared" si="6"/>
        <v>0</v>
      </c>
      <c r="BP78" s="1051"/>
      <c r="BQ78" s="1052"/>
      <c r="BR78" s="1054"/>
      <c r="BS78" s="1053"/>
      <c r="BT78" s="1051"/>
      <c r="BU78" s="1051"/>
      <c r="BV78" s="1051"/>
      <c r="BW78" s="1052"/>
      <c r="BX78" s="1052"/>
      <c r="BY78" s="1052"/>
      <c r="BZ78" s="1052"/>
      <c r="CA78" s="1052"/>
      <c r="CB78" s="1053"/>
      <c r="CC78" s="1053"/>
      <c r="CD78" s="1053"/>
      <c r="CE78" s="1053"/>
      <c r="CF78" s="1053"/>
      <c r="CG78" s="1053"/>
      <c r="CH78" s="1053"/>
      <c r="CI78" s="1123"/>
      <c r="CJ78" s="1123"/>
      <c r="CK78" s="1123"/>
      <c r="CL78" s="1123"/>
      <c r="CM78" s="1123"/>
      <c r="CN78" s="1123"/>
      <c r="CO78" s="1123"/>
      <c r="CP78" s="1123"/>
      <c r="CQ78" s="1123"/>
      <c r="CR78" s="1123"/>
      <c r="CS78" s="1123"/>
      <c r="CT78" s="1123"/>
      <c r="CU78" s="1123"/>
      <c r="CV78" s="1123"/>
      <c r="CW78" s="1123"/>
      <c r="CX78" s="1123"/>
      <c r="CY78" s="1123"/>
      <c r="CZ78" s="1114"/>
      <c r="DA78" s="1114"/>
      <c r="DB78" s="1114"/>
      <c r="DC78" s="1114"/>
      <c r="DD78" s="1114"/>
      <c r="DE78" s="1114"/>
      <c r="DF78" s="1114"/>
      <c r="DG78" s="1114"/>
      <c r="DH78" s="1114"/>
      <c r="DI78" s="1114"/>
      <c r="DJ78" s="1114"/>
      <c r="DK78" s="1114"/>
      <c r="DL78" s="1114"/>
      <c r="DM78" s="1114"/>
      <c r="DN78" s="1114"/>
      <c r="DO78" s="1114"/>
      <c r="DP78" s="1114"/>
      <c r="DQ78" s="1114"/>
      <c r="DR78" s="1114"/>
      <c r="DS78" s="1114"/>
      <c r="DT78" s="1114"/>
      <c r="DU78" s="1114"/>
      <c r="DV78" s="1115"/>
      <c r="DW78" s="1116"/>
      <c r="DX78" s="1116"/>
      <c r="DY78" s="1116"/>
      <c r="DZ78" s="1116"/>
      <c r="EA78" s="1116"/>
      <c r="EB78" s="1116"/>
      <c r="EC78" s="1116"/>
      <c r="ED78" s="1116"/>
      <c r="EE78" s="1116"/>
      <c r="EF78" s="1116"/>
      <c r="EG78" s="1116"/>
      <c r="EH78" s="1116"/>
      <c r="EI78" s="1116"/>
      <c r="EJ78" s="1116"/>
      <c r="EK78" s="1116"/>
      <c r="EL78" s="1116"/>
      <c r="EM78" s="1116"/>
      <c r="EN78" s="1116"/>
      <c r="EO78" s="1116"/>
      <c r="EP78" s="1116"/>
      <c r="EQ78" s="1116"/>
      <c r="ER78" s="1116"/>
      <c r="ES78" s="1116"/>
    </row>
    <row r="79" spans="1:149" s="34" customFormat="1" ht="15" customHeight="1">
      <c r="A79" s="1799">
        <v>64</v>
      </c>
      <c r="B79" s="1041"/>
      <c r="C79" s="1050"/>
      <c r="D79" s="1050"/>
      <c r="E79" s="1050"/>
      <c r="F79" s="1049"/>
      <c r="G79" s="1457"/>
      <c r="H79" s="1049"/>
      <c r="I79" s="1049"/>
      <c r="J79" s="1050"/>
      <c r="K79" s="1050"/>
      <c r="L79" s="1043"/>
      <c r="M79" s="1051"/>
      <c r="N79" s="1051"/>
      <c r="O79" s="1052"/>
      <c r="P79" s="1051"/>
      <c r="Q79" s="1051"/>
      <c r="R79" s="1052"/>
      <c r="S79" s="1051"/>
      <c r="T79" s="1051"/>
      <c r="U79" s="1052"/>
      <c r="V79" s="1051"/>
      <c r="W79" s="1051"/>
      <c r="X79" s="1052"/>
      <c r="Y79" s="1053"/>
      <c r="Z79" s="1051"/>
      <c r="AA79" s="1051"/>
      <c r="AB79" s="1052"/>
      <c r="AC79" s="1051"/>
      <c r="AD79" s="1051"/>
      <c r="AE79" s="1052"/>
      <c r="AF79" s="1051"/>
      <c r="AG79" s="1051"/>
      <c r="AH79" s="1051"/>
      <c r="AI79" s="1051"/>
      <c r="AJ79" s="1052"/>
      <c r="AK79" s="1051"/>
      <c r="AL79" s="1051"/>
      <c r="AM79" s="1052"/>
      <c r="AN79" s="1051"/>
      <c r="AO79" s="1051"/>
      <c r="AP79" s="1052"/>
      <c r="AQ79" s="1051"/>
      <c r="AR79" s="1051"/>
      <c r="AS79" s="1052"/>
      <c r="AT79" s="1051"/>
      <c r="AU79" s="1051"/>
      <c r="AV79" s="1052"/>
      <c r="AW79" s="1051"/>
      <c r="AX79" s="1051"/>
      <c r="AY79" s="1053"/>
      <c r="AZ79" s="1051"/>
      <c r="BA79" s="1051"/>
      <c r="BB79" s="1053"/>
      <c r="BC79" s="1051"/>
      <c r="BD79" s="1051"/>
      <c r="BE79" s="1053"/>
      <c r="BF79" s="1051"/>
      <c r="BG79" s="1051"/>
      <c r="BH79" s="1053"/>
      <c r="BI79" s="1052"/>
      <c r="BJ79" s="1052"/>
      <c r="BK79" s="1052"/>
      <c r="BL79" s="1052"/>
      <c r="BM79" s="1052"/>
      <c r="BN79" s="1054"/>
      <c r="BO79" s="1076">
        <f t="shared" si="6"/>
        <v>0</v>
      </c>
      <c r="BP79" s="1051"/>
      <c r="BQ79" s="1052"/>
      <c r="BR79" s="1054"/>
      <c r="BS79" s="1053"/>
      <c r="BT79" s="1051"/>
      <c r="BU79" s="1051"/>
      <c r="BV79" s="1051"/>
      <c r="BW79" s="1052"/>
      <c r="BX79" s="1052"/>
      <c r="BY79" s="1052"/>
      <c r="BZ79" s="1052"/>
      <c r="CA79" s="1052"/>
      <c r="CB79" s="1053"/>
      <c r="CC79" s="1053"/>
      <c r="CD79" s="1053"/>
      <c r="CE79" s="1053"/>
      <c r="CF79" s="1053"/>
      <c r="CG79" s="1053"/>
      <c r="CH79" s="1053"/>
      <c r="CI79" s="1123"/>
      <c r="CJ79" s="1123"/>
      <c r="CK79" s="1123"/>
      <c r="CL79" s="1123"/>
      <c r="CM79" s="1123"/>
      <c r="CN79" s="1123"/>
      <c r="CO79" s="1123"/>
      <c r="CP79" s="1123"/>
      <c r="CQ79" s="1123"/>
      <c r="CR79" s="1123"/>
      <c r="CS79" s="1123"/>
      <c r="CT79" s="1123"/>
      <c r="CU79" s="1123"/>
      <c r="CV79" s="1123"/>
      <c r="CW79" s="1123"/>
      <c r="CX79" s="1123"/>
      <c r="CY79" s="1123"/>
      <c r="CZ79" s="1114"/>
      <c r="DA79" s="1114"/>
      <c r="DB79" s="1114"/>
      <c r="DC79" s="1114"/>
      <c r="DD79" s="1114"/>
      <c r="DE79" s="1114"/>
      <c r="DF79" s="1114"/>
      <c r="DG79" s="1114"/>
      <c r="DH79" s="1114"/>
      <c r="DI79" s="1114"/>
      <c r="DJ79" s="1114"/>
      <c r="DK79" s="1114"/>
      <c r="DL79" s="1114"/>
      <c r="DM79" s="1114"/>
      <c r="DN79" s="1114"/>
      <c r="DO79" s="1114"/>
      <c r="DP79" s="1114"/>
      <c r="DQ79" s="1114"/>
      <c r="DR79" s="1114"/>
      <c r="DS79" s="1114"/>
      <c r="DT79" s="1114"/>
      <c r="DU79" s="1114"/>
      <c r="DV79" s="1115"/>
      <c r="DW79" s="1116"/>
      <c r="DX79" s="1116"/>
      <c r="DY79" s="1116"/>
      <c r="DZ79" s="1116"/>
      <c r="EA79" s="1116"/>
      <c r="EB79" s="1116"/>
      <c r="EC79" s="1116"/>
      <c r="ED79" s="1116"/>
      <c r="EE79" s="1116"/>
      <c r="EF79" s="1116"/>
      <c r="EG79" s="1116"/>
      <c r="EH79" s="1116"/>
      <c r="EI79" s="1116"/>
      <c r="EJ79" s="1116"/>
      <c r="EK79" s="1116"/>
      <c r="EL79" s="1116"/>
      <c r="EM79" s="1116"/>
      <c r="EN79" s="1116"/>
      <c r="EO79" s="1116"/>
      <c r="EP79" s="1116"/>
      <c r="EQ79" s="1116"/>
      <c r="ER79" s="1116"/>
      <c r="ES79" s="1116"/>
    </row>
    <row r="80" spans="1:149" s="34" customFormat="1" ht="15" customHeight="1">
      <c r="A80" s="1799">
        <v>65</v>
      </c>
      <c r="B80" s="1041"/>
      <c r="C80" s="1050"/>
      <c r="D80" s="1050"/>
      <c r="E80" s="1050"/>
      <c r="F80" s="1049"/>
      <c r="G80" s="1457"/>
      <c r="H80" s="1049"/>
      <c r="I80" s="1049"/>
      <c r="J80" s="1050"/>
      <c r="K80" s="1050"/>
      <c r="L80" s="1043"/>
      <c r="M80" s="1051"/>
      <c r="N80" s="1051"/>
      <c r="O80" s="1052"/>
      <c r="P80" s="1051"/>
      <c r="Q80" s="1051"/>
      <c r="R80" s="1052"/>
      <c r="S80" s="1051"/>
      <c r="T80" s="1051"/>
      <c r="U80" s="1052"/>
      <c r="V80" s="1051"/>
      <c r="W80" s="1051"/>
      <c r="X80" s="1052"/>
      <c r="Y80" s="1053"/>
      <c r="Z80" s="1051"/>
      <c r="AA80" s="1051"/>
      <c r="AB80" s="1052"/>
      <c r="AC80" s="1051"/>
      <c r="AD80" s="1051"/>
      <c r="AE80" s="1052"/>
      <c r="AF80" s="1051"/>
      <c r="AG80" s="1051"/>
      <c r="AH80" s="1051"/>
      <c r="AI80" s="1051"/>
      <c r="AJ80" s="1052"/>
      <c r="AK80" s="1051"/>
      <c r="AL80" s="1051"/>
      <c r="AM80" s="1052"/>
      <c r="AN80" s="1051"/>
      <c r="AO80" s="1051"/>
      <c r="AP80" s="1052"/>
      <c r="AQ80" s="1051"/>
      <c r="AR80" s="1051"/>
      <c r="AS80" s="1052"/>
      <c r="AT80" s="1051"/>
      <c r="AU80" s="1051"/>
      <c r="AV80" s="1052"/>
      <c r="AW80" s="1051"/>
      <c r="AX80" s="1051"/>
      <c r="AY80" s="1053"/>
      <c r="AZ80" s="1051"/>
      <c r="BA80" s="1051"/>
      <c r="BB80" s="1053"/>
      <c r="BC80" s="1051"/>
      <c r="BD80" s="1051"/>
      <c r="BE80" s="1053"/>
      <c r="BF80" s="1051"/>
      <c r="BG80" s="1051"/>
      <c r="BH80" s="1053"/>
      <c r="BI80" s="1052"/>
      <c r="BJ80" s="1052"/>
      <c r="BK80" s="1052"/>
      <c r="BL80" s="1052"/>
      <c r="BM80" s="1052"/>
      <c r="BN80" s="1054"/>
      <c r="BO80" s="1076">
        <f t="shared" si="6"/>
        <v>0</v>
      </c>
      <c r="BP80" s="1051"/>
      <c r="BQ80" s="1052"/>
      <c r="BR80" s="1054"/>
      <c r="BS80" s="1053"/>
      <c r="BT80" s="1051"/>
      <c r="BU80" s="1051"/>
      <c r="BV80" s="1051"/>
      <c r="BW80" s="1052"/>
      <c r="BX80" s="1052"/>
      <c r="BY80" s="1052"/>
      <c r="BZ80" s="1052"/>
      <c r="CA80" s="1052"/>
      <c r="CB80" s="1053"/>
      <c r="CC80" s="1053"/>
      <c r="CD80" s="1053"/>
      <c r="CE80" s="1053"/>
      <c r="CF80" s="1053"/>
      <c r="CG80" s="1053"/>
      <c r="CH80" s="1053"/>
      <c r="CI80" s="1123"/>
      <c r="CJ80" s="1123"/>
      <c r="CK80" s="1123"/>
      <c r="CL80" s="1123"/>
      <c r="CM80" s="1123"/>
      <c r="CN80" s="1123"/>
      <c r="CO80" s="1123"/>
      <c r="CP80" s="1123"/>
      <c r="CQ80" s="1123"/>
      <c r="CR80" s="1123"/>
      <c r="CS80" s="1123"/>
      <c r="CT80" s="1123"/>
      <c r="CU80" s="1123"/>
      <c r="CV80" s="1123"/>
      <c r="CW80" s="1123"/>
      <c r="CX80" s="1123"/>
      <c r="CY80" s="1123"/>
      <c r="CZ80" s="1114"/>
      <c r="DA80" s="1114"/>
      <c r="DB80" s="1114"/>
      <c r="DC80" s="1114"/>
      <c r="DD80" s="1114"/>
      <c r="DE80" s="1114"/>
      <c r="DF80" s="1114"/>
      <c r="DG80" s="1114"/>
      <c r="DH80" s="1114"/>
      <c r="DI80" s="1114"/>
      <c r="DJ80" s="1114"/>
      <c r="DK80" s="1114"/>
      <c r="DL80" s="1114"/>
      <c r="DM80" s="1114"/>
      <c r="DN80" s="1114"/>
      <c r="DO80" s="1114"/>
      <c r="DP80" s="1114"/>
      <c r="DQ80" s="1114"/>
      <c r="DR80" s="1114"/>
      <c r="DS80" s="1114"/>
      <c r="DT80" s="1114"/>
      <c r="DU80" s="1114"/>
      <c r="DV80" s="1115"/>
      <c r="DW80" s="1116"/>
      <c r="DX80" s="1116"/>
      <c r="DY80" s="1116"/>
      <c r="DZ80" s="1116"/>
      <c r="EA80" s="1116"/>
      <c r="EB80" s="1116"/>
      <c r="EC80" s="1116"/>
      <c r="ED80" s="1116"/>
      <c r="EE80" s="1116"/>
      <c r="EF80" s="1116"/>
      <c r="EG80" s="1116"/>
      <c r="EH80" s="1116"/>
      <c r="EI80" s="1116"/>
      <c r="EJ80" s="1116"/>
      <c r="EK80" s="1116"/>
      <c r="EL80" s="1116"/>
      <c r="EM80" s="1116"/>
      <c r="EN80" s="1116"/>
      <c r="EO80" s="1116"/>
      <c r="EP80" s="1116"/>
      <c r="EQ80" s="1116"/>
      <c r="ER80" s="1116"/>
      <c r="ES80" s="1116"/>
    </row>
    <row r="81" spans="1:149" s="34" customFormat="1" ht="15" customHeight="1">
      <c r="A81" s="1799">
        <v>66</v>
      </c>
      <c r="B81" s="1041"/>
      <c r="C81" s="1050"/>
      <c r="D81" s="1050"/>
      <c r="E81" s="1050"/>
      <c r="F81" s="1049"/>
      <c r="G81" s="1457"/>
      <c r="H81" s="1049"/>
      <c r="I81" s="1049"/>
      <c r="J81" s="1050"/>
      <c r="K81" s="1050"/>
      <c r="L81" s="1043"/>
      <c r="M81" s="1051"/>
      <c r="N81" s="1051"/>
      <c r="O81" s="1052"/>
      <c r="P81" s="1051"/>
      <c r="Q81" s="1051"/>
      <c r="R81" s="1052"/>
      <c r="S81" s="1051"/>
      <c r="T81" s="1051"/>
      <c r="U81" s="1052"/>
      <c r="V81" s="1051"/>
      <c r="W81" s="1051"/>
      <c r="X81" s="1052"/>
      <c r="Y81" s="1053"/>
      <c r="Z81" s="1051"/>
      <c r="AA81" s="1051"/>
      <c r="AB81" s="1052"/>
      <c r="AC81" s="1051"/>
      <c r="AD81" s="1051"/>
      <c r="AE81" s="1052"/>
      <c r="AF81" s="1051"/>
      <c r="AG81" s="1051"/>
      <c r="AH81" s="1051"/>
      <c r="AI81" s="1051"/>
      <c r="AJ81" s="1052"/>
      <c r="AK81" s="1051"/>
      <c r="AL81" s="1051"/>
      <c r="AM81" s="1052"/>
      <c r="AN81" s="1051"/>
      <c r="AO81" s="1051"/>
      <c r="AP81" s="1052"/>
      <c r="AQ81" s="1051"/>
      <c r="AR81" s="1051"/>
      <c r="AS81" s="1052"/>
      <c r="AT81" s="1051"/>
      <c r="AU81" s="1051"/>
      <c r="AV81" s="1052"/>
      <c r="AW81" s="1051"/>
      <c r="AX81" s="1051"/>
      <c r="AY81" s="1053"/>
      <c r="AZ81" s="1051"/>
      <c r="BA81" s="1051"/>
      <c r="BB81" s="1053"/>
      <c r="BC81" s="1051"/>
      <c r="BD81" s="1051"/>
      <c r="BE81" s="1053"/>
      <c r="BF81" s="1051"/>
      <c r="BG81" s="1051"/>
      <c r="BH81" s="1053"/>
      <c r="BI81" s="1052"/>
      <c r="BJ81" s="1052"/>
      <c r="BK81" s="1052"/>
      <c r="BL81" s="1052"/>
      <c r="BM81" s="1052"/>
      <c r="BN81" s="1054"/>
      <c r="BO81" s="1076">
        <f t="shared" ref="BO81:BO144" si="12">H81</f>
        <v>0</v>
      </c>
      <c r="BP81" s="1051"/>
      <c r="BQ81" s="1052"/>
      <c r="BR81" s="1054"/>
      <c r="BS81" s="1053"/>
      <c r="BT81" s="1051"/>
      <c r="BU81" s="1051"/>
      <c r="BV81" s="1051"/>
      <c r="BW81" s="1052"/>
      <c r="BX81" s="1052"/>
      <c r="BY81" s="1052"/>
      <c r="BZ81" s="1052"/>
      <c r="CA81" s="1052"/>
      <c r="CB81" s="1053"/>
      <c r="CC81" s="1053"/>
      <c r="CD81" s="1053"/>
      <c r="CE81" s="1053"/>
      <c r="CF81" s="1053"/>
      <c r="CG81" s="1053"/>
      <c r="CH81" s="1053"/>
      <c r="CI81" s="1123"/>
      <c r="CJ81" s="1123"/>
      <c r="CK81" s="1123"/>
      <c r="CL81" s="1123"/>
      <c r="CM81" s="1123"/>
      <c r="CN81" s="1123"/>
      <c r="CO81" s="1123"/>
      <c r="CP81" s="1123"/>
      <c r="CQ81" s="1123"/>
      <c r="CR81" s="1123"/>
      <c r="CS81" s="1123"/>
      <c r="CT81" s="1123"/>
      <c r="CU81" s="1123"/>
      <c r="CV81" s="1123"/>
      <c r="CW81" s="1123"/>
      <c r="CX81" s="1123"/>
      <c r="CY81" s="1123"/>
      <c r="CZ81" s="1114"/>
      <c r="DA81" s="1114"/>
      <c r="DB81" s="1114"/>
      <c r="DC81" s="1114"/>
      <c r="DD81" s="1114"/>
      <c r="DE81" s="1114"/>
      <c r="DF81" s="1114"/>
      <c r="DG81" s="1114"/>
      <c r="DH81" s="1114"/>
      <c r="DI81" s="1114"/>
      <c r="DJ81" s="1114"/>
      <c r="DK81" s="1114"/>
      <c r="DL81" s="1114"/>
      <c r="DM81" s="1114"/>
      <c r="DN81" s="1114"/>
      <c r="DO81" s="1114"/>
      <c r="DP81" s="1114"/>
      <c r="DQ81" s="1114"/>
      <c r="DR81" s="1114"/>
      <c r="DS81" s="1114"/>
      <c r="DT81" s="1114"/>
      <c r="DU81" s="1114"/>
      <c r="DV81" s="1115"/>
      <c r="DW81" s="1116"/>
      <c r="DX81" s="1116"/>
      <c r="DY81" s="1116"/>
      <c r="DZ81" s="1116"/>
      <c r="EA81" s="1116"/>
      <c r="EB81" s="1116"/>
      <c r="EC81" s="1116"/>
      <c r="ED81" s="1116"/>
      <c r="EE81" s="1116"/>
      <c r="EF81" s="1116"/>
      <c r="EG81" s="1116"/>
      <c r="EH81" s="1116"/>
      <c r="EI81" s="1116"/>
      <c r="EJ81" s="1116"/>
      <c r="EK81" s="1116"/>
      <c r="EL81" s="1116"/>
      <c r="EM81" s="1116"/>
      <c r="EN81" s="1116"/>
      <c r="EO81" s="1116"/>
      <c r="EP81" s="1116"/>
      <c r="EQ81" s="1116"/>
      <c r="ER81" s="1116"/>
      <c r="ES81" s="1116"/>
    </row>
    <row r="82" spans="1:149" s="34" customFormat="1" ht="15" customHeight="1">
      <c r="A82" s="1799">
        <v>67</v>
      </c>
      <c r="B82" s="1041"/>
      <c r="C82" s="1050"/>
      <c r="D82" s="1050"/>
      <c r="E82" s="1050"/>
      <c r="F82" s="1049"/>
      <c r="G82" s="1457"/>
      <c r="H82" s="1049"/>
      <c r="I82" s="1049"/>
      <c r="J82" s="1050"/>
      <c r="K82" s="1050"/>
      <c r="L82" s="1043"/>
      <c r="M82" s="1051"/>
      <c r="N82" s="1051"/>
      <c r="O82" s="1052"/>
      <c r="P82" s="1051"/>
      <c r="Q82" s="1051"/>
      <c r="R82" s="1052"/>
      <c r="S82" s="1051"/>
      <c r="T82" s="1051"/>
      <c r="U82" s="1052"/>
      <c r="V82" s="1051"/>
      <c r="W82" s="1051"/>
      <c r="X82" s="1052"/>
      <c r="Y82" s="1053"/>
      <c r="Z82" s="1051"/>
      <c r="AA82" s="1051"/>
      <c r="AB82" s="1052"/>
      <c r="AC82" s="1051"/>
      <c r="AD82" s="1051"/>
      <c r="AE82" s="1052"/>
      <c r="AF82" s="1051"/>
      <c r="AG82" s="1051"/>
      <c r="AH82" s="1051"/>
      <c r="AI82" s="1051"/>
      <c r="AJ82" s="1052"/>
      <c r="AK82" s="1051"/>
      <c r="AL82" s="1051"/>
      <c r="AM82" s="1052"/>
      <c r="AN82" s="1051"/>
      <c r="AO82" s="1051"/>
      <c r="AP82" s="1052"/>
      <c r="AQ82" s="1051"/>
      <c r="AR82" s="1051"/>
      <c r="AS82" s="1052"/>
      <c r="AT82" s="1051"/>
      <c r="AU82" s="1051"/>
      <c r="AV82" s="1052"/>
      <c r="AW82" s="1051"/>
      <c r="AX82" s="1051"/>
      <c r="AY82" s="1053"/>
      <c r="AZ82" s="1051"/>
      <c r="BA82" s="1051"/>
      <c r="BB82" s="1053"/>
      <c r="BC82" s="1051"/>
      <c r="BD82" s="1051"/>
      <c r="BE82" s="1053"/>
      <c r="BF82" s="1051"/>
      <c r="BG82" s="1051"/>
      <c r="BH82" s="1053"/>
      <c r="BI82" s="1052"/>
      <c r="BJ82" s="1052"/>
      <c r="BK82" s="1052"/>
      <c r="BL82" s="1052"/>
      <c r="BM82" s="1052"/>
      <c r="BN82" s="1054"/>
      <c r="BO82" s="1076">
        <f t="shared" si="12"/>
        <v>0</v>
      </c>
      <c r="BP82" s="1051"/>
      <c r="BQ82" s="1052"/>
      <c r="BR82" s="1054"/>
      <c r="BS82" s="1053"/>
      <c r="BT82" s="1051"/>
      <c r="BU82" s="1051"/>
      <c r="BV82" s="1051"/>
      <c r="BW82" s="1052"/>
      <c r="BX82" s="1052"/>
      <c r="BY82" s="1052"/>
      <c r="BZ82" s="1052"/>
      <c r="CA82" s="1052"/>
      <c r="CB82" s="1053"/>
      <c r="CC82" s="1053"/>
      <c r="CD82" s="1053"/>
      <c r="CE82" s="1053"/>
      <c r="CF82" s="1053"/>
      <c r="CG82" s="1053"/>
      <c r="CH82" s="1053"/>
      <c r="CI82" s="1123"/>
      <c r="CJ82" s="1123"/>
      <c r="CK82" s="1123"/>
      <c r="CL82" s="1123"/>
      <c r="CM82" s="1123"/>
      <c r="CN82" s="1123"/>
      <c r="CO82" s="1123"/>
      <c r="CP82" s="1123"/>
      <c r="CQ82" s="1123"/>
      <c r="CR82" s="1123"/>
      <c r="CS82" s="1123"/>
      <c r="CT82" s="1123"/>
      <c r="CU82" s="1123"/>
      <c r="CV82" s="1123"/>
      <c r="CW82" s="1123"/>
      <c r="CX82" s="1123"/>
      <c r="CY82" s="1123"/>
      <c r="CZ82" s="1114"/>
      <c r="DA82" s="1114"/>
      <c r="DB82" s="1114"/>
      <c r="DC82" s="1114"/>
      <c r="DD82" s="1114"/>
      <c r="DE82" s="1114"/>
      <c r="DF82" s="1114"/>
      <c r="DG82" s="1114"/>
      <c r="DH82" s="1114"/>
      <c r="DI82" s="1114"/>
      <c r="DJ82" s="1114"/>
      <c r="DK82" s="1114"/>
      <c r="DL82" s="1114"/>
      <c r="DM82" s="1114"/>
      <c r="DN82" s="1114"/>
      <c r="DO82" s="1114"/>
      <c r="DP82" s="1114"/>
      <c r="DQ82" s="1114"/>
      <c r="DR82" s="1114"/>
      <c r="DS82" s="1114"/>
      <c r="DT82" s="1114"/>
      <c r="DU82" s="1114"/>
      <c r="DV82" s="1115"/>
      <c r="DW82" s="1116"/>
      <c r="DX82" s="1116"/>
      <c r="DY82" s="1116"/>
      <c r="DZ82" s="1116"/>
      <c r="EA82" s="1116"/>
      <c r="EB82" s="1116"/>
      <c r="EC82" s="1116"/>
      <c r="ED82" s="1116"/>
      <c r="EE82" s="1116"/>
      <c r="EF82" s="1116"/>
      <c r="EG82" s="1116"/>
      <c r="EH82" s="1116"/>
      <c r="EI82" s="1116"/>
      <c r="EJ82" s="1116"/>
      <c r="EK82" s="1116"/>
      <c r="EL82" s="1116"/>
      <c r="EM82" s="1116"/>
      <c r="EN82" s="1116"/>
      <c r="EO82" s="1116"/>
      <c r="EP82" s="1116"/>
      <c r="EQ82" s="1116"/>
      <c r="ER82" s="1116"/>
      <c r="ES82" s="1116"/>
    </row>
    <row r="83" spans="1:149" s="34" customFormat="1" ht="15" customHeight="1">
      <c r="A83" s="1799">
        <v>68</v>
      </c>
      <c r="B83" s="1041"/>
      <c r="C83" s="1050"/>
      <c r="D83" s="1050"/>
      <c r="E83" s="1050"/>
      <c r="F83" s="1049"/>
      <c r="G83" s="1457"/>
      <c r="H83" s="1049"/>
      <c r="I83" s="1049"/>
      <c r="J83" s="1050"/>
      <c r="K83" s="1050"/>
      <c r="L83" s="1043"/>
      <c r="M83" s="1051"/>
      <c r="N83" s="1051"/>
      <c r="O83" s="1052"/>
      <c r="P83" s="1051"/>
      <c r="Q83" s="1051"/>
      <c r="R83" s="1052"/>
      <c r="S83" s="1051"/>
      <c r="T83" s="1051"/>
      <c r="U83" s="1052"/>
      <c r="V83" s="1051"/>
      <c r="W83" s="1051"/>
      <c r="X83" s="1052"/>
      <c r="Y83" s="1053"/>
      <c r="Z83" s="1051"/>
      <c r="AA83" s="1051"/>
      <c r="AB83" s="1052"/>
      <c r="AC83" s="1051"/>
      <c r="AD83" s="1051"/>
      <c r="AE83" s="1052"/>
      <c r="AF83" s="1051"/>
      <c r="AG83" s="1051"/>
      <c r="AH83" s="1051"/>
      <c r="AI83" s="1051"/>
      <c r="AJ83" s="1052"/>
      <c r="AK83" s="1051"/>
      <c r="AL83" s="1051"/>
      <c r="AM83" s="1052"/>
      <c r="AN83" s="1051"/>
      <c r="AO83" s="1051"/>
      <c r="AP83" s="1052"/>
      <c r="AQ83" s="1051"/>
      <c r="AR83" s="1051"/>
      <c r="AS83" s="1052"/>
      <c r="AT83" s="1051"/>
      <c r="AU83" s="1051"/>
      <c r="AV83" s="1052"/>
      <c r="AW83" s="1051"/>
      <c r="AX83" s="1051"/>
      <c r="AY83" s="1053"/>
      <c r="AZ83" s="1051"/>
      <c r="BA83" s="1051"/>
      <c r="BB83" s="1053"/>
      <c r="BC83" s="1051"/>
      <c r="BD83" s="1051"/>
      <c r="BE83" s="1053"/>
      <c r="BF83" s="1051"/>
      <c r="BG83" s="1051"/>
      <c r="BH83" s="1053"/>
      <c r="BI83" s="1052"/>
      <c r="BJ83" s="1052"/>
      <c r="BK83" s="1052"/>
      <c r="BL83" s="1052"/>
      <c r="BM83" s="1052"/>
      <c r="BN83" s="1054"/>
      <c r="BO83" s="1076">
        <f t="shared" si="12"/>
        <v>0</v>
      </c>
      <c r="BP83" s="1051"/>
      <c r="BQ83" s="1052"/>
      <c r="BR83" s="1054"/>
      <c r="BS83" s="1053"/>
      <c r="BT83" s="1051"/>
      <c r="BU83" s="1051"/>
      <c r="BV83" s="1051"/>
      <c r="BW83" s="1052"/>
      <c r="BX83" s="1052"/>
      <c r="BY83" s="1052"/>
      <c r="BZ83" s="1052"/>
      <c r="CA83" s="1052"/>
      <c r="CB83" s="1053"/>
      <c r="CC83" s="1053"/>
      <c r="CD83" s="1053"/>
      <c r="CE83" s="1053"/>
      <c r="CF83" s="1053"/>
      <c r="CG83" s="1053"/>
      <c r="CH83" s="1053"/>
      <c r="CI83" s="1123"/>
      <c r="CJ83" s="1123"/>
      <c r="CK83" s="1123"/>
      <c r="CL83" s="1123"/>
      <c r="CM83" s="1123"/>
      <c r="CN83" s="1123"/>
      <c r="CO83" s="1123"/>
      <c r="CP83" s="1123"/>
      <c r="CQ83" s="1123"/>
      <c r="CR83" s="1123"/>
      <c r="CS83" s="1123"/>
      <c r="CT83" s="1123"/>
      <c r="CU83" s="1123"/>
      <c r="CV83" s="1123"/>
      <c r="CW83" s="1123"/>
      <c r="CX83" s="1123"/>
      <c r="CY83" s="1123"/>
      <c r="CZ83" s="1114"/>
      <c r="DA83" s="1114"/>
      <c r="DB83" s="1114"/>
      <c r="DC83" s="1114"/>
      <c r="DD83" s="1114"/>
      <c r="DE83" s="1114"/>
      <c r="DF83" s="1114"/>
      <c r="DG83" s="1114"/>
      <c r="DH83" s="1114"/>
      <c r="DI83" s="1114"/>
      <c r="DJ83" s="1114"/>
      <c r="DK83" s="1114"/>
      <c r="DL83" s="1114"/>
      <c r="DM83" s="1114"/>
      <c r="DN83" s="1114"/>
      <c r="DO83" s="1114"/>
      <c r="DP83" s="1114"/>
      <c r="DQ83" s="1114"/>
      <c r="DR83" s="1114"/>
      <c r="DS83" s="1114"/>
      <c r="DT83" s="1114"/>
      <c r="DU83" s="1114"/>
      <c r="DV83" s="1115"/>
      <c r="DW83" s="1116"/>
      <c r="DX83" s="1116"/>
      <c r="DY83" s="1116"/>
      <c r="DZ83" s="1116"/>
      <c r="EA83" s="1116"/>
      <c r="EB83" s="1116"/>
      <c r="EC83" s="1116"/>
      <c r="ED83" s="1116"/>
      <c r="EE83" s="1116"/>
      <c r="EF83" s="1116"/>
      <c r="EG83" s="1116"/>
      <c r="EH83" s="1116"/>
      <c r="EI83" s="1116"/>
      <c r="EJ83" s="1116"/>
      <c r="EK83" s="1116"/>
      <c r="EL83" s="1116"/>
      <c r="EM83" s="1116"/>
      <c r="EN83" s="1116"/>
      <c r="EO83" s="1116"/>
      <c r="EP83" s="1116"/>
      <c r="EQ83" s="1116"/>
      <c r="ER83" s="1116"/>
      <c r="ES83" s="1116"/>
    </row>
    <row r="84" spans="1:149" s="34" customFormat="1" ht="15" customHeight="1">
      <c r="A84" s="1799">
        <v>69</v>
      </c>
      <c r="B84" s="1041"/>
      <c r="C84" s="1050"/>
      <c r="D84" s="1050"/>
      <c r="E84" s="1050"/>
      <c r="F84" s="1049"/>
      <c r="G84" s="1457"/>
      <c r="H84" s="1049"/>
      <c r="I84" s="1049"/>
      <c r="J84" s="1050"/>
      <c r="K84" s="1050"/>
      <c r="L84" s="1043"/>
      <c r="M84" s="1051"/>
      <c r="N84" s="1051"/>
      <c r="O84" s="1052"/>
      <c r="P84" s="1051"/>
      <c r="Q84" s="1051"/>
      <c r="R84" s="1052"/>
      <c r="S84" s="1051"/>
      <c r="T84" s="1051"/>
      <c r="U84" s="1052"/>
      <c r="V84" s="1051"/>
      <c r="W84" s="1051"/>
      <c r="X84" s="1052"/>
      <c r="Y84" s="1053"/>
      <c r="Z84" s="1051"/>
      <c r="AA84" s="1051"/>
      <c r="AB84" s="1052"/>
      <c r="AC84" s="1051"/>
      <c r="AD84" s="1051"/>
      <c r="AE84" s="1052"/>
      <c r="AF84" s="1051"/>
      <c r="AG84" s="1051"/>
      <c r="AH84" s="1051"/>
      <c r="AI84" s="1051"/>
      <c r="AJ84" s="1052"/>
      <c r="AK84" s="1051"/>
      <c r="AL84" s="1051"/>
      <c r="AM84" s="1052"/>
      <c r="AN84" s="1051"/>
      <c r="AO84" s="1051"/>
      <c r="AP84" s="1052"/>
      <c r="AQ84" s="1051"/>
      <c r="AR84" s="1051"/>
      <c r="AS84" s="1052"/>
      <c r="AT84" s="1051"/>
      <c r="AU84" s="1051"/>
      <c r="AV84" s="1052"/>
      <c r="AW84" s="1051"/>
      <c r="AX84" s="1051"/>
      <c r="AY84" s="1053"/>
      <c r="AZ84" s="1051"/>
      <c r="BA84" s="1051"/>
      <c r="BB84" s="1053"/>
      <c r="BC84" s="1051"/>
      <c r="BD84" s="1051"/>
      <c r="BE84" s="1053"/>
      <c r="BF84" s="1051"/>
      <c r="BG84" s="1051"/>
      <c r="BH84" s="1053"/>
      <c r="BI84" s="1052"/>
      <c r="BJ84" s="1052"/>
      <c r="BK84" s="1052"/>
      <c r="BL84" s="1052"/>
      <c r="BM84" s="1052"/>
      <c r="BN84" s="1054"/>
      <c r="BO84" s="1076">
        <f t="shared" si="12"/>
        <v>0</v>
      </c>
      <c r="BP84" s="1051"/>
      <c r="BQ84" s="1052"/>
      <c r="BR84" s="1054"/>
      <c r="BS84" s="1053"/>
      <c r="BT84" s="1051"/>
      <c r="BU84" s="1051"/>
      <c r="BV84" s="1051"/>
      <c r="BW84" s="1052"/>
      <c r="BX84" s="1052"/>
      <c r="BY84" s="1052"/>
      <c r="BZ84" s="1052"/>
      <c r="CA84" s="1052"/>
      <c r="CB84" s="1053"/>
      <c r="CC84" s="1053"/>
      <c r="CD84" s="1053"/>
      <c r="CE84" s="1053"/>
      <c r="CF84" s="1053"/>
      <c r="CG84" s="1053"/>
      <c r="CH84" s="1053"/>
      <c r="CI84" s="1123"/>
      <c r="CJ84" s="1123"/>
      <c r="CK84" s="1123"/>
      <c r="CL84" s="1123"/>
      <c r="CM84" s="1123"/>
      <c r="CN84" s="1123"/>
      <c r="CO84" s="1123"/>
      <c r="CP84" s="1123"/>
      <c r="CQ84" s="1123"/>
      <c r="CR84" s="1123"/>
      <c r="CS84" s="1123"/>
      <c r="CT84" s="1123"/>
      <c r="CU84" s="1123"/>
      <c r="CV84" s="1123"/>
      <c r="CW84" s="1123"/>
      <c r="CX84" s="1123"/>
      <c r="CY84" s="1123"/>
      <c r="CZ84" s="1114"/>
      <c r="DA84" s="1114"/>
      <c r="DB84" s="1114"/>
      <c r="DC84" s="1114"/>
      <c r="DD84" s="1114"/>
      <c r="DE84" s="1114"/>
      <c r="DF84" s="1114"/>
      <c r="DG84" s="1114"/>
      <c r="DH84" s="1114"/>
      <c r="DI84" s="1114"/>
      <c r="DJ84" s="1114"/>
      <c r="DK84" s="1114"/>
      <c r="DL84" s="1114"/>
      <c r="DM84" s="1114"/>
      <c r="DN84" s="1114"/>
      <c r="DO84" s="1114"/>
      <c r="DP84" s="1114"/>
      <c r="DQ84" s="1114"/>
      <c r="DR84" s="1114"/>
      <c r="DS84" s="1114"/>
      <c r="DT84" s="1114"/>
      <c r="DU84" s="1114"/>
      <c r="DV84" s="1115"/>
      <c r="DW84" s="1116"/>
      <c r="DX84" s="1116"/>
      <c r="DY84" s="1116"/>
      <c r="DZ84" s="1116"/>
      <c r="EA84" s="1116"/>
      <c r="EB84" s="1116"/>
      <c r="EC84" s="1116"/>
      <c r="ED84" s="1116"/>
      <c r="EE84" s="1116"/>
      <c r="EF84" s="1116"/>
      <c r="EG84" s="1116"/>
      <c r="EH84" s="1116"/>
      <c r="EI84" s="1116"/>
      <c r="EJ84" s="1116"/>
      <c r="EK84" s="1116"/>
      <c r="EL84" s="1116"/>
      <c r="EM84" s="1116"/>
      <c r="EN84" s="1116"/>
      <c r="EO84" s="1116"/>
      <c r="EP84" s="1116"/>
      <c r="EQ84" s="1116"/>
      <c r="ER84" s="1116"/>
      <c r="ES84" s="1116"/>
    </row>
    <row r="85" spans="1:149" s="34" customFormat="1" ht="15" customHeight="1">
      <c r="A85" s="1799">
        <v>70</v>
      </c>
      <c r="B85" s="1041"/>
      <c r="C85" s="1050"/>
      <c r="D85" s="1050"/>
      <c r="E85" s="1050"/>
      <c r="F85" s="1049"/>
      <c r="G85" s="1457"/>
      <c r="H85" s="1049"/>
      <c r="I85" s="1049"/>
      <c r="J85" s="1050"/>
      <c r="K85" s="1050"/>
      <c r="L85" s="1043"/>
      <c r="M85" s="1051"/>
      <c r="N85" s="1051"/>
      <c r="O85" s="1052"/>
      <c r="P85" s="1051"/>
      <c r="Q85" s="1051"/>
      <c r="R85" s="1052"/>
      <c r="S85" s="1051"/>
      <c r="T85" s="1051"/>
      <c r="U85" s="1052"/>
      <c r="V85" s="1051"/>
      <c r="W85" s="1051"/>
      <c r="X85" s="1052"/>
      <c r="Y85" s="1053"/>
      <c r="Z85" s="1051"/>
      <c r="AA85" s="1051"/>
      <c r="AB85" s="1052"/>
      <c r="AC85" s="1051"/>
      <c r="AD85" s="1051"/>
      <c r="AE85" s="1052"/>
      <c r="AF85" s="1051"/>
      <c r="AG85" s="1051"/>
      <c r="AH85" s="1051"/>
      <c r="AI85" s="1051"/>
      <c r="AJ85" s="1052"/>
      <c r="AK85" s="1051"/>
      <c r="AL85" s="1051"/>
      <c r="AM85" s="1052"/>
      <c r="AN85" s="1051"/>
      <c r="AO85" s="1051"/>
      <c r="AP85" s="1052"/>
      <c r="AQ85" s="1051"/>
      <c r="AR85" s="1051"/>
      <c r="AS85" s="1052"/>
      <c r="AT85" s="1051"/>
      <c r="AU85" s="1051"/>
      <c r="AV85" s="1052"/>
      <c r="AW85" s="1051"/>
      <c r="AX85" s="1051"/>
      <c r="AY85" s="1053"/>
      <c r="AZ85" s="1051"/>
      <c r="BA85" s="1051"/>
      <c r="BB85" s="1053"/>
      <c r="BC85" s="1051"/>
      <c r="BD85" s="1051"/>
      <c r="BE85" s="1053"/>
      <c r="BF85" s="1051"/>
      <c r="BG85" s="1051"/>
      <c r="BH85" s="1053"/>
      <c r="BI85" s="1052"/>
      <c r="BJ85" s="1052"/>
      <c r="BK85" s="1052"/>
      <c r="BL85" s="1052"/>
      <c r="BM85" s="1052"/>
      <c r="BN85" s="1054"/>
      <c r="BO85" s="1076">
        <f t="shared" si="12"/>
        <v>0</v>
      </c>
      <c r="BP85" s="1051"/>
      <c r="BQ85" s="1052"/>
      <c r="BR85" s="1054"/>
      <c r="BS85" s="1053"/>
      <c r="BT85" s="1051"/>
      <c r="BU85" s="1051"/>
      <c r="BV85" s="1051"/>
      <c r="BW85" s="1052"/>
      <c r="BX85" s="1052"/>
      <c r="BY85" s="1052"/>
      <c r="BZ85" s="1052"/>
      <c r="CA85" s="1052"/>
      <c r="CB85" s="1053"/>
      <c r="CC85" s="1053"/>
      <c r="CD85" s="1053"/>
      <c r="CE85" s="1053"/>
      <c r="CF85" s="1053"/>
      <c r="CG85" s="1053"/>
      <c r="CH85" s="1053"/>
      <c r="CI85" s="1123"/>
      <c r="CJ85" s="1123"/>
      <c r="CK85" s="1123"/>
      <c r="CL85" s="1123"/>
      <c r="CM85" s="1123"/>
      <c r="CN85" s="1123"/>
      <c r="CO85" s="1123"/>
      <c r="CP85" s="1123"/>
      <c r="CQ85" s="1123"/>
      <c r="CR85" s="1123"/>
      <c r="CS85" s="1123"/>
      <c r="CT85" s="1123"/>
      <c r="CU85" s="1123"/>
      <c r="CV85" s="1123"/>
      <c r="CW85" s="1123"/>
      <c r="CX85" s="1123"/>
      <c r="CY85" s="1123"/>
      <c r="CZ85" s="1114"/>
      <c r="DA85" s="1114"/>
      <c r="DB85" s="1114"/>
      <c r="DC85" s="1114"/>
      <c r="DD85" s="1114"/>
      <c r="DE85" s="1114"/>
      <c r="DF85" s="1114"/>
      <c r="DG85" s="1114"/>
      <c r="DH85" s="1114"/>
      <c r="DI85" s="1114"/>
      <c r="DJ85" s="1114"/>
      <c r="DK85" s="1114"/>
      <c r="DL85" s="1114"/>
      <c r="DM85" s="1114"/>
      <c r="DN85" s="1114"/>
      <c r="DO85" s="1114"/>
      <c r="DP85" s="1114"/>
      <c r="DQ85" s="1114"/>
      <c r="DR85" s="1114"/>
      <c r="DS85" s="1114"/>
      <c r="DT85" s="1114"/>
      <c r="DU85" s="1114"/>
      <c r="DV85" s="1115"/>
      <c r="DW85" s="1116"/>
      <c r="DX85" s="1116"/>
      <c r="DY85" s="1116"/>
      <c r="DZ85" s="1116"/>
      <c r="EA85" s="1116"/>
      <c r="EB85" s="1116"/>
      <c r="EC85" s="1116"/>
      <c r="ED85" s="1116"/>
      <c r="EE85" s="1116"/>
      <c r="EF85" s="1116"/>
      <c r="EG85" s="1116"/>
      <c r="EH85" s="1116"/>
      <c r="EI85" s="1116"/>
      <c r="EJ85" s="1116"/>
      <c r="EK85" s="1116"/>
      <c r="EL85" s="1116"/>
      <c r="EM85" s="1116"/>
      <c r="EN85" s="1116"/>
      <c r="EO85" s="1116"/>
      <c r="EP85" s="1116"/>
      <c r="EQ85" s="1116"/>
      <c r="ER85" s="1116"/>
      <c r="ES85" s="1116"/>
    </row>
    <row r="86" spans="1:149" s="34" customFormat="1" ht="15" customHeight="1">
      <c r="A86" s="1799">
        <v>71</v>
      </c>
      <c r="B86" s="1041"/>
      <c r="C86" s="1050"/>
      <c r="D86" s="1050"/>
      <c r="E86" s="1050"/>
      <c r="F86" s="1049"/>
      <c r="G86" s="1457"/>
      <c r="H86" s="1049"/>
      <c r="I86" s="1049"/>
      <c r="J86" s="1050"/>
      <c r="K86" s="1050"/>
      <c r="L86" s="1043"/>
      <c r="M86" s="1051"/>
      <c r="N86" s="1051"/>
      <c r="O86" s="1052"/>
      <c r="P86" s="1051"/>
      <c r="Q86" s="1051"/>
      <c r="R86" s="1052"/>
      <c r="S86" s="1051"/>
      <c r="T86" s="1051"/>
      <c r="U86" s="1052"/>
      <c r="V86" s="1051"/>
      <c r="W86" s="1051"/>
      <c r="X86" s="1052"/>
      <c r="Y86" s="1053"/>
      <c r="Z86" s="1051"/>
      <c r="AA86" s="1051"/>
      <c r="AB86" s="1052"/>
      <c r="AC86" s="1051"/>
      <c r="AD86" s="1051"/>
      <c r="AE86" s="1052"/>
      <c r="AF86" s="1051"/>
      <c r="AG86" s="1051"/>
      <c r="AH86" s="1051"/>
      <c r="AI86" s="1051"/>
      <c r="AJ86" s="1052"/>
      <c r="AK86" s="1051"/>
      <c r="AL86" s="1051"/>
      <c r="AM86" s="1052"/>
      <c r="AN86" s="1051"/>
      <c r="AO86" s="1051"/>
      <c r="AP86" s="1052"/>
      <c r="AQ86" s="1051"/>
      <c r="AR86" s="1051"/>
      <c r="AS86" s="1052"/>
      <c r="AT86" s="1051"/>
      <c r="AU86" s="1051"/>
      <c r="AV86" s="1052"/>
      <c r="AW86" s="1051"/>
      <c r="AX86" s="1051"/>
      <c r="AY86" s="1053"/>
      <c r="AZ86" s="1051"/>
      <c r="BA86" s="1051"/>
      <c r="BB86" s="1053"/>
      <c r="BC86" s="1051"/>
      <c r="BD86" s="1051"/>
      <c r="BE86" s="1053"/>
      <c r="BF86" s="1051"/>
      <c r="BG86" s="1051"/>
      <c r="BH86" s="1053"/>
      <c r="BI86" s="1052"/>
      <c r="BJ86" s="1052"/>
      <c r="BK86" s="1052"/>
      <c r="BL86" s="1052"/>
      <c r="BM86" s="1052"/>
      <c r="BN86" s="1054"/>
      <c r="BO86" s="1076">
        <f t="shared" si="12"/>
        <v>0</v>
      </c>
      <c r="BP86" s="1051"/>
      <c r="BQ86" s="1052"/>
      <c r="BR86" s="1054"/>
      <c r="BS86" s="1053"/>
      <c r="BT86" s="1051"/>
      <c r="BU86" s="1051"/>
      <c r="BV86" s="1051"/>
      <c r="BW86" s="1052"/>
      <c r="BX86" s="1052"/>
      <c r="BY86" s="1052"/>
      <c r="BZ86" s="1052"/>
      <c r="CA86" s="1052"/>
      <c r="CB86" s="1053"/>
      <c r="CC86" s="1053"/>
      <c r="CD86" s="1053"/>
      <c r="CE86" s="1053"/>
      <c r="CF86" s="1053"/>
      <c r="CG86" s="1053"/>
      <c r="CH86" s="1053"/>
      <c r="CI86" s="1123"/>
      <c r="CJ86" s="1123"/>
      <c r="CK86" s="1123"/>
      <c r="CL86" s="1123"/>
      <c r="CM86" s="1123"/>
      <c r="CN86" s="1123"/>
      <c r="CO86" s="1123"/>
      <c r="CP86" s="1123"/>
      <c r="CQ86" s="1123"/>
      <c r="CR86" s="1123"/>
      <c r="CS86" s="1123"/>
      <c r="CT86" s="1123"/>
      <c r="CU86" s="1123"/>
      <c r="CV86" s="1123"/>
      <c r="CW86" s="1123"/>
      <c r="CX86" s="1123"/>
      <c r="CY86" s="1123"/>
      <c r="CZ86" s="1114"/>
      <c r="DA86" s="1114"/>
      <c r="DB86" s="1114"/>
      <c r="DC86" s="1114"/>
      <c r="DD86" s="1114"/>
      <c r="DE86" s="1114"/>
      <c r="DF86" s="1114"/>
      <c r="DG86" s="1114"/>
      <c r="DH86" s="1114"/>
      <c r="DI86" s="1114"/>
      <c r="DJ86" s="1114"/>
      <c r="DK86" s="1114"/>
      <c r="DL86" s="1114"/>
      <c r="DM86" s="1114"/>
      <c r="DN86" s="1114"/>
      <c r="DO86" s="1114"/>
      <c r="DP86" s="1114"/>
      <c r="DQ86" s="1114"/>
      <c r="DR86" s="1114"/>
      <c r="DS86" s="1114"/>
      <c r="DT86" s="1114"/>
      <c r="DU86" s="1114"/>
      <c r="DV86" s="1115"/>
      <c r="DW86" s="1116"/>
      <c r="DX86" s="1116"/>
      <c r="DY86" s="1116"/>
      <c r="DZ86" s="1116"/>
      <c r="EA86" s="1116"/>
      <c r="EB86" s="1116"/>
      <c r="EC86" s="1116"/>
      <c r="ED86" s="1116"/>
      <c r="EE86" s="1116"/>
      <c r="EF86" s="1116"/>
      <c r="EG86" s="1116"/>
      <c r="EH86" s="1116"/>
      <c r="EI86" s="1116"/>
      <c r="EJ86" s="1116"/>
      <c r="EK86" s="1116"/>
      <c r="EL86" s="1116"/>
      <c r="EM86" s="1116"/>
      <c r="EN86" s="1116"/>
      <c r="EO86" s="1116"/>
      <c r="EP86" s="1116"/>
      <c r="EQ86" s="1116"/>
      <c r="ER86" s="1116"/>
      <c r="ES86" s="1116"/>
    </row>
    <row r="87" spans="1:149" s="34" customFormat="1" ht="15" customHeight="1">
      <c r="A87" s="1799">
        <v>72</v>
      </c>
      <c r="B87" s="1041"/>
      <c r="C87" s="1050"/>
      <c r="D87" s="1050"/>
      <c r="E87" s="1050"/>
      <c r="F87" s="1049"/>
      <c r="G87" s="1457"/>
      <c r="H87" s="1049"/>
      <c r="I87" s="1049"/>
      <c r="J87" s="1050"/>
      <c r="K87" s="1050"/>
      <c r="L87" s="1043"/>
      <c r="M87" s="1051"/>
      <c r="N87" s="1051"/>
      <c r="O87" s="1052"/>
      <c r="P87" s="1051"/>
      <c r="Q87" s="1051"/>
      <c r="R87" s="1052"/>
      <c r="S87" s="1051"/>
      <c r="T87" s="1051"/>
      <c r="U87" s="1052"/>
      <c r="V87" s="1051"/>
      <c r="W87" s="1051"/>
      <c r="X87" s="1052"/>
      <c r="Y87" s="1053"/>
      <c r="Z87" s="1051"/>
      <c r="AA87" s="1051"/>
      <c r="AB87" s="1052"/>
      <c r="AC87" s="1051"/>
      <c r="AD87" s="1051"/>
      <c r="AE87" s="1052"/>
      <c r="AF87" s="1051"/>
      <c r="AG87" s="1051"/>
      <c r="AH87" s="1051"/>
      <c r="AI87" s="1051"/>
      <c r="AJ87" s="1052"/>
      <c r="AK87" s="1051"/>
      <c r="AL87" s="1051"/>
      <c r="AM87" s="1052"/>
      <c r="AN87" s="1051"/>
      <c r="AO87" s="1051"/>
      <c r="AP87" s="1052"/>
      <c r="AQ87" s="1051"/>
      <c r="AR87" s="1051"/>
      <c r="AS87" s="1052"/>
      <c r="AT87" s="1051"/>
      <c r="AU87" s="1051"/>
      <c r="AV87" s="1052"/>
      <c r="AW87" s="1051"/>
      <c r="AX87" s="1051"/>
      <c r="AY87" s="1053"/>
      <c r="AZ87" s="1051"/>
      <c r="BA87" s="1051"/>
      <c r="BB87" s="1053"/>
      <c r="BC87" s="1051"/>
      <c r="BD87" s="1051"/>
      <c r="BE87" s="1053"/>
      <c r="BF87" s="1051"/>
      <c r="BG87" s="1051"/>
      <c r="BH87" s="1053"/>
      <c r="BI87" s="1052"/>
      <c r="BJ87" s="1052"/>
      <c r="BK87" s="1052"/>
      <c r="BL87" s="1052"/>
      <c r="BM87" s="1052"/>
      <c r="BN87" s="1054"/>
      <c r="BO87" s="1076">
        <f t="shared" si="12"/>
        <v>0</v>
      </c>
      <c r="BP87" s="1051"/>
      <c r="BQ87" s="1052"/>
      <c r="BR87" s="1054"/>
      <c r="BS87" s="1053"/>
      <c r="BT87" s="1051"/>
      <c r="BU87" s="1051"/>
      <c r="BV87" s="1051"/>
      <c r="BW87" s="1052"/>
      <c r="BX87" s="1052"/>
      <c r="BY87" s="1052"/>
      <c r="BZ87" s="1052"/>
      <c r="CA87" s="1052"/>
      <c r="CB87" s="1053"/>
      <c r="CC87" s="1053"/>
      <c r="CD87" s="1053"/>
      <c r="CE87" s="1053"/>
      <c r="CF87" s="1053"/>
      <c r="CG87" s="1053"/>
      <c r="CH87" s="1053"/>
      <c r="CI87" s="1123"/>
      <c r="CJ87" s="1123"/>
      <c r="CK87" s="1123"/>
      <c r="CL87" s="1123"/>
      <c r="CM87" s="1123"/>
      <c r="CN87" s="1123"/>
      <c r="CO87" s="1123"/>
      <c r="CP87" s="1123"/>
      <c r="CQ87" s="1123"/>
      <c r="CR87" s="1123"/>
      <c r="CS87" s="1123"/>
      <c r="CT87" s="1123"/>
      <c r="CU87" s="1123"/>
      <c r="CV87" s="1123"/>
      <c r="CW87" s="1123"/>
      <c r="CX87" s="1123"/>
      <c r="CY87" s="1123"/>
      <c r="CZ87" s="1114"/>
      <c r="DA87" s="1114"/>
      <c r="DB87" s="1114"/>
      <c r="DC87" s="1114"/>
      <c r="DD87" s="1114"/>
      <c r="DE87" s="1114"/>
      <c r="DF87" s="1114"/>
      <c r="DG87" s="1114"/>
      <c r="DH87" s="1114"/>
      <c r="DI87" s="1114"/>
      <c r="DJ87" s="1114"/>
      <c r="DK87" s="1114"/>
      <c r="DL87" s="1114"/>
      <c r="DM87" s="1114"/>
      <c r="DN87" s="1114"/>
      <c r="DO87" s="1114"/>
      <c r="DP87" s="1114"/>
      <c r="DQ87" s="1114"/>
      <c r="DR87" s="1114"/>
      <c r="DS87" s="1114"/>
      <c r="DT87" s="1114"/>
      <c r="DU87" s="1114"/>
      <c r="DV87" s="1115"/>
      <c r="DW87" s="1116"/>
      <c r="DX87" s="1116"/>
      <c r="DY87" s="1116"/>
      <c r="DZ87" s="1116"/>
      <c r="EA87" s="1116"/>
      <c r="EB87" s="1116"/>
      <c r="EC87" s="1116"/>
      <c r="ED87" s="1116"/>
      <c r="EE87" s="1116"/>
      <c r="EF87" s="1116"/>
      <c r="EG87" s="1116"/>
      <c r="EH87" s="1116"/>
      <c r="EI87" s="1116"/>
      <c r="EJ87" s="1116"/>
      <c r="EK87" s="1116"/>
      <c r="EL87" s="1116"/>
      <c r="EM87" s="1116"/>
      <c r="EN87" s="1116"/>
      <c r="EO87" s="1116"/>
      <c r="EP87" s="1116"/>
      <c r="EQ87" s="1116"/>
      <c r="ER87" s="1116"/>
      <c r="ES87" s="1116"/>
    </row>
    <row r="88" spans="1:149" s="34" customFormat="1" ht="15" customHeight="1">
      <c r="A88" s="1799">
        <v>73</v>
      </c>
      <c r="B88" s="1041"/>
      <c r="C88" s="1050"/>
      <c r="D88" s="1050"/>
      <c r="E88" s="1050"/>
      <c r="F88" s="1049"/>
      <c r="G88" s="1457"/>
      <c r="H88" s="1049"/>
      <c r="I88" s="1049"/>
      <c r="J88" s="1050"/>
      <c r="K88" s="1050"/>
      <c r="L88" s="1043"/>
      <c r="M88" s="1051"/>
      <c r="N88" s="1051"/>
      <c r="O88" s="1052"/>
      <c r="P88" s="1051"/>
      <c r="Q88" s="1051"/>
      <c r="R88" s="1052"/>
      <c r="S88" s="1051"/>
      <c r="T88" s="1051"/>
      <c r="U88" s="1052"/>
      <c r="V88" s="1051"/>
      <c r="W88" s="1051"/>
      <c r="X88" s="1052"/>
      <c r="Y88" s="1053"/>
      <c r="Z88" s="1051"/>
      <c r="AA88" s="1051"/>
      <c r="AB88" s="1052"/>
      <c r="AC88" s="1051"/>
      <c r="AD88" s="1051"/>
      <c r="AE88" s="1052"/>
      <c r="AF88" s="1051"/>
      <c r="AG88" s="1051"/>
      <c r="AH88" s="1051"/>
      <c r="AI88" s="1051"/>
      <c r="AJ88" s="1052"/>
      <c r="AK88" s="1051"/>
      <c r="AL88" s="1051"/>
      <c r="AM88" s="1052"/>
      <c r="AN88" s="1051"/>
      <c r="AO88" s="1051"/>
      <c r="AP88" s="1052"/>
      <c r="AQ88" s="1051"/>
      <c r="AR88" s="1051"/>
      <c r="AS88" s="1052"/>
      <c r="AT88" s="1051"/>
      <c r="AU88" s="1051"/>
      <c r="AV88" s="1052"/>
      <c r="AW88" s="1051"/>
      <c r="AX88" s="1051"/>
      <c r="AY88" s="1053"/>
      <c r="AZ88" s="1051"/>
      <c r="BA88" s="1051"/>
      <c r="BB88" s="1053"/>
      <c r="BC88" s="1051"/>
      <c r="BD88" s="1051"/>
      <c r="BE88" s="1053"/>
      <c r="BF88" s="1051"/>
      <c r="BG88" s="1051"/>
      <c r="BH88" s="1053"/>
      <c r="BI88" s="1052"/>
      <c r="BJ88" s="1052"/>
      <c r="BK88" s="1052"/>
      <c r="BL88" s="1052"/>
      <c r="BM88" s="1052"/>
      <c r="BN88" s="1054"/>
      <c r="BO88" s="1076">
        <f t="shared" si="12"/>
        <v>0</v>
      </c>
      <c r="BP88" s="1051"/>
      <c r="BQ88" s="1052"/>
      <c r="BR88" s="1054"/>
      <c r="BS88" s="1053"/>
      <c r="BT88" s="1051"/>
      <c r="BU88" s="1051"/>
      <c r="BV88" s="1051"/>
      <c r="BW88" s="1052"/>
      <c r="BX88" s="1052"/>
      <c r="BY88" s="1052"/>
      <c r="BZ88" s="1052"/>
      <c r="CA88" s="1052"/>
      <c r="CB88" s="1053"/>
      <c r="CC88" s="1053"/>
      <c r="CD88" s="1053"/>
      <c r="CE88" s="1053"/>
      <c r="CF88" s="1053"/>
      <c r="CG88" s="1053"/>
      <c r="CH88" s="1053"/>
      <c r="CI88" s="1123"/>
      <c r="CJ88" s="1123"/>
      <c r="CK88" s="1123"/>
      <c r="CL88" s="1123"/>
      <c r="CM88" s="1123"/>
      <c r="CN88" s="1123"/>
      <c r="CO88" s="1123"/>
      <c r="CP88" s="1123"/>
      <c r="CQ88" s="1123"/>
      <c r="CR88" s="1123"/>
      <c r="CS88" s="1123"/>
      <c r="CT88" s="1123"/>
      <c r="CU88" s="1123"/>
      <c r="CV88" s="1123"/>
      <c r="CW88" s="1123"/>
      <c r="CX88" s="1123"/>
      <c r="CY88" s="1123"/>
      <c r="CZ88" s="1114"/>
      <c r="DA88" s="1114"/>
      <c r="DB88" s="1114"/>
      <c r="DC88" s="1114"/>
      <c r="DD88" s="1114"/>
      <c r="DE88" s="1114"/>
      <c r="DF88" s="1114"/>
      <c r="DG88" s="1114"/>
      <c r="DH88" s="1114"/>
      <c r="DI88" s="1114"/>
      <c r="DJ88" s="1114"/>
      <c r="DK88" s="1114"/>
      <c r="DL88" s="1114"/>
      <c r="DM88" s="1114"/>
      <c r="DN88" s="1114"/>
      <c r="DO88" s="1114"/>
      <c r="DP88" s="1114"/>
      <c r="DQ88" s="1114"/>
      <c r="DR88" s="1114"/>
      <c r="DS88" s="1114"/>
      <c r="DT88" s="1114"/>
      <c r="DU88" s="1114"/>
      <c r="DV88" s="1115"/>
      <c r="DW88" s="1116"/>
      <c r="DX88" s="1116"/>
      <c r="DY88" s="1116"/>
      <c r="DZ88" s="1116"/>
      <c r="EA88" s="1116"/>
      <c r="EB88" s="1116"/>
      <c r="EC88" s="1116"/>
      <c r="ED88" s="1116"/>
      <c r="EE88" s="1116"/>
      <c r="EF88" s="1116"/>
      <c r="EG88" s="1116"/>
      <c r="EH88" s="1116"/>
      <c r="EI88" s="1116"/>
      <c r="EJ88" s="1116"/>
      <c r="EK88" s="1116"/>
      <c r="EL88" s="1116"/>
      <c r="EM88" s="1116"/>
      <c r="EN88" s="1116"/>
      <c r="EO88" s="1116"/>
      <c r="EP88" s="1116"/>
      <c r="EQ88" s="1116"/>
      <c r="ER88" s="1116"/>
      <c r="ES88" s="1116"/>
    </row>
    <row r="89" spans="1:149" s="34" customFormat="1" ht="15" customHeight="1">
      <c r="A89" s="1799">
        <v>74</v>
      </c>
      <c r="B89" s="1041"/>
      <c r="C89" s="1050"/>
      <c r="D89" s="1050"/>
      <c r="E89" s="1050"/>
      <c r="F89" s="1049"/>
      <c r="G89" s="1457"/>
      <c r="H89" s="1049"/>
      <c r="I89" s="1049"/>
      <c r="J89" s="1050"/>
      <c r="K89" s="1050"/>
      <c r="L89" s="1043"/>
      <c r="M89" s="1051"/>
      <c r="N89" s="1051"/>
      <c r="O89" s="1052"/>
      <c r="P89" s="1051"/>
      <c r="Q89" s="1051"/>
      <c r="R89" s="1052"/>
      <c r="S89" s="1051"/>
      <c r="T89" s="1051"/>
      <c r="U89" s="1052"/>
      <c r="V89" s="1051"/>
      <c r="W89" s="1051"/>
      <c r="X89" s="1052"/>
      <c r="Y89" s="1053"/>
      <c r="Z89" s="1051"/>
      <c r="AA89" s="1051"/>
      <c r="AB89" s="1052"/>
      <c r="AC89" s="1051"/>
      <c r="AD89" s="1051"/>
      <c r="AE89" s="1052"/>
      <c r="AF89" s="1051"/>
      <c r="AG89" s="1051"/>
      <c r="AH89" s="1051"/>
      <c r="AI89" s="1051"/>
      <c r="AJ89" s="1052"/>
      <c r="AK89" s="1051"/>
      <c r="AL89" s="1051"/>
      <c r="AM89" s="1052"/>
      <c r="AN89" s="1051"/>
      <c r="AO89" s="1051"/>
      <c r="AP89" s="1052"/>
      <c r="AQ89" s="1051"/>
      <c r="AR89" s="1051"/>
      <c r="AS89" s="1052"/>
      <c r="AT89" s="1051"/>
      <c r="AU89" s="1051"/>
      <c r="AV89" s="1052"/>
      <c r="AW89" s="1051"/>
      <c r="AX89" s="1051"/>
      <c r="AY89" s="1053"/>
      <c r="AZ89" s="1051"/>
      <c r="BA89" s="1051"/>
      <c r="BB89" s="1053"/>
      <c r="BC89" s="1051"/>
      <c r="BD89" s="1051"/>
      <c r="BE89" s="1053"/>
      <c r="BF89" s="1051"/>
      <c r="BG89" s="1051"/>
      <c r="BH89" s="1053"/>
      <c r="BI89" s="1052"/>
      <c r="BJ89" s="1052"/>
      <c r="BK89" s="1052"/>
      <c r="BL89" s="1052"/>
      <c r="BM89" s="1052"/>
      <c r="BN89" s="1054"/>
      <c r="BO89" s="1076">
        <f t="shared" si="12"/>
        <v>0</v>
      </c>
      <c r="BP89" s="1051"/>
      <c r="BQ89" s="1052"/>
      <c r="BR89" s="1054"/>
      <c r="BS89" s="1053"/>
      <c r="BT89" s="1051"/>
      <c r="BU89" s="1051"/>
      <c r="BV89" s="1051"/>
      <c r="BW89" s="1052"/>
      <c r="BX89" s="1052"/>
      <c r="BY89" s="1052"/>
      <c r="BZ89" s="1052"/>
      <c r="CA89" s="1052"/>
      <c r="CB89" s="1053"/>
      <c r="CC89" s="1053"/>
      <c r="CD89" s="1053"/>
      <c r="CE89" s="1053"/>
      <c r="CF89" s="1053"/>
      <c r="CG89" s="1053"/>
      <c r="CH89" s="1053"/>
      <c r="CI89" s="1123"/>
      <c r="CJ89" s="1123"/>
      <c r="CK89" s="1123"/>
      <c r="CL89" s="1123"/>
      <c r="CM89" s="1123"/>
      <c r="CN89" s="1123"/>
      <c r="CO89" s="1123"/>
      <c r="CP89" s="1123"/>
      <c r="CQ89" s="1123"/>
      <c r="CR89" s="1123"/>
      <c r="CS89" s="1123"/>
      <c r="CT89" s="1123"/>
      <c r="CU89" s="1123"/>
      <c r="CV89" s="1123"/>
      <c r="CW89" s="1123"/>
      <c r="CX89" s="1123"/>
      <c r="CY89" s="1123"/>
      <c r="CZ89" s="1114"/>
      <c r="DA89" s="1114"/>
      <c r="DB89" s="1114"/>
      <c r="DC89" s="1114"/>
      <c r="DD89" s="1114"/>
      <c r="DE89" s="1114"/>
      <c r="DF89" s="1114"/>
      <c r="DG89" s="1114"/>
      <c r="DH89" s="1114"/>
      <c r="DI89" s="1114"/>
      <c r="DJ89" s="1114"/>
      <c r="DK89" s="1114"/>
      <c r="DL89" s="1114"/>
      <c r="DM89" s="1114"/>
      <c r="DN89" s="1114"/>
      <c r="DO89" s="1114"/>
      <c r="DP89" s="1114"/>
      <c r="DQ89" s="1114"/>
      <c r="DR89" s="1114"/>
      <c r="DS89" s="1114"/>
      <c r="DT89" s="1114"/>
      <c r="DU89" s="1114"/>
      <c r="DV89" s="1115"/>
      <c r="DW89" s="1116"/>
      <c r="DX89" s="1116"/>
      <c r="DY89" s="1116"/>
      <c r="DZ89" s="1116"/>
      <c r="EA89" s="1116"/>
      <c r="EB89" s="1116"/>
      <c r="EC89" s="1116"/>
      <c r="ED89" s="1116"/>
      <c r="EE89" s="1116"/>
      <c r="EF89" s="1116"/>
      <c r="EG89" s="1116"/>
      <c r="EH89" s="1116"/>
      <c r="EI89" s="1116"/>
      <c r="EJ89" s="1116"/>
      <c r="EK89" s="1116"/>
      <c r="EL89" s="1116"/>
      <c r="EM89" s="1116"/>
      <c r="EN89" s="1116"/>
      <c r="EO89" s="1116"/>
      <c r="EP89" s="1116"/>
      <c r="EQ89" s="1116"/>
      <c r="ER89" s="1116"/>
      <c r="ES89" s="1116"/>
    </row>
    <row r="90" spans="1:149" s="34" customFormat="1" ht="15" customHeight="1">
      <c r="A90" s="1799">
        <v>75</v>
      </c>
      <c r="B90" s="1041"/>
      <c r="C90" s="1050"/>
      <c r="D90" s="1050"/>
      <c r="E90" s="1050"/>
      <c r="F90" s="1049"/>
      <c r="G90" s="1457"/>
      <c r="H90" s="1049"/>
      <c r="I90" s="1049"/>
      <c r="J90" s="1050"/>
      <c r="K90" s="1050"/>
      <c r="L90" s="1043"/>
      <c r="M90" s="1051"/>
      <c r="N90" s="1051"/>
      <c r="O90" s="1052"/>
      <c r="P90" s="1051"/>
      <c r="Q90" s="1051"/>
      <c r="R90" s="1052"/>
      <c r="S90" s="1051"/>
      <c r="T90" s="1051"/>
      <c r="U90" s="1052"/>
      <c r="V90" s="1051"/>
      <c r="W90" s="1051"/>
      <c r="X90" s="1052"/>
      <c r="Y90" s="1053"/>
      <c r="Z90" s="1051"/>
      <c r="AA90" s="1051"/>
      <c r="AB90" s="1052"/>
      <c r="AC90" s="1051"/>
      <c r="AD90" s="1051"/>
      <c r="AE90" s="1052"/>
      <c r="AF90" s="1051"/>
      <c r="AG90" s="1051"/>
      <c r="AH90" s="1051"/>
      <c r="AI90" s="1051"/>
      <c r="AJ90" s="1052"/>
      <c r="AK90" s="1051"/>
      <c r="AL90" s="1051"/>
      <c r="AM90" s="1052"/>
      <c r="AN90" s="1051"/>
      <c r="AO90" s="1051"/>
      <c r="AP90" s="1052"/>
      <c r="AQ90" s="1051"/>
      <c r="AR90" s="1051"/>
      <c r="AS90" s="1052"/>
      <c r="AT90" s="1051"/>
      <c r="AU90" s="1051"/>
      <c r="AV90" s="1052"/>
      <c r="AW90" s="1051"/>
      <c r="AX90" s="1051"/>
      <c r="AY90" s="1053"/>
      <c r="AZ90" s="1051"/>
      <c r="BA90" s="1051"/>
      <c r="BB90" s="1053"/>
      <c r="BC90" s="1051"/>
      <c r="BD90" s="1051"/>
      <c r="BE90" s="1053"/>
      <c r="BF90" s="1051"/>
      <c r="BG90" s="1051"/>
      <c r="BH90" s="1053"/>
      <c r="BI90" s="1052"/>
      <c r="BJ90" s="1052"/>
      <c r="BK90" s="1052"/>
      <c r="BL90" s="1052"/>
      <c r="BM90" s="1052"/>
      <c r="BN90" s="1054"/>
      <c r="BO90" s="1076">
        <f t="shared" si="12"/>
        <v>0</v>
      </c>
      <c r="BP90" s="1051"/>
      <c r="BQ90" s="1052"/>
      <c r="BR90" s="1054"/>
      <c r="BS90" s="1053"/>
      <c r="BT90" s="1051"/>
      <c r="BU90" s="1051"/>
      <c r="BV90" s="1051"/>
      <c r="BW90" s="1052"/>
      <c r="BX90" s="1052"/>
      <c r="BY90" s="1052"/>
      <c r="BZ90" s="1052"/>
      <c r="CA90" s="1052"/>
      <c r="CB90" s="1053"/>
      <c r="CC90" s="1053"/>
      <c r="CD90" s="1053"/>
      <c r="CE90" s="1053"/>
      <c r="CF90" s="1053"/>
      <c r="CG90" s="1053"/>
      <c r="CH90" s="1053"/>
      <c r="CI90" s="1123"/>
      <c r="CJ90" s="1123"/>
      <c r="CK90" s="1123"/>
      <c r="CL90" s="1123"/>
      <c r="CM90" s="1123"/>
      <c r="CN90" s="1123"/>
      <c r="CO90" s="1123"/>
      <c r="CP90" s="1123"/>
      <c r="CQ90" s="1123"/>
      <c r="CR90" s="1123"/>
      <c r="CS90" s="1123"/>
      <c r="CT90" s="1123"/>
      <c r="CU90" s="1123"/>
      <c r="CV90" s="1123"/>
      <c r="CW90" s="1123"/>
      <c r="CX90" s="1123"/>
      <c r="CY90" s="1123"/>
      <c r="CZ90" s="1114"/>
      <c r="DA90" s="1114"/>
      <c r="DB90" s="1114"/>
      <c r="DC90" s="1114"/>
      <c r="DD90" s="1114"/>
      <c r="DE90" s="1114"/>
      <c r="DF90" s="1114"/>
      <c r="DG90" s="1114"/>
      <c r="DH90" s="1114"/>
      <c r="DI90" s="1114"/>
      <c r="DJ90" s="1114"/>
      <c r="DK90" s="1114"/>
      <c r="DL90" s="1114"/>
      <c r="DM90" s="1114"/>
      <c r="DN90" s="1114"/>
      <c r="DO90" s="1114"/>
      <c r="DP90" s="1114"/>
      <c r="DQ90" s="1114"/>
      <c r="DR90" s="1114"/>
      <c r="DS90" s="1114"/>
      <c r="DT90" s="1114"/>
      <c r="DU90" s="1114"/>
      <c r="DV90" s="1115"/>
      <c r="DW90" s="1116"/>
      <c r="DX90" s="1116"/>
      <c r="DY90" s="1116"/>
      <c r="DZ90" s="1116"/>
      <c r="EA90" s="1116"/>
      <c r="EB90" s="1116"/>
      <c r="EC90" s="1116"/>
      <c r="ED90" s="1116"/>
      <c r="EE90" s="1116"/>
      <c r="EF90" s="1116"/>
      <c r="EG90" s="1116"/>
      <c r="EH90" s="1116"/>
      <c r="EI90" s="1116"/>
      <c r="EJ90" s="1116"/>
      <c r="EK90" s="1116"/>
      <c r="EL90" s="1116"/>
      <c r="EM90" s="1116"/>
      <c r="EN90" s="1116"/>
      <c r="EO90" s="1116"/>
      <c r="EP90" s="1116"/>
      <c r="EQ90" s="1116"/>
      <c r="ER90" s="1116"/>
      <c r="ES90" s="1116"/>
    </row>
    <row r="91" spans="1:149" s="34" customFormat="1" ht="15" customHeight="1">
      <c r="A91" s="1799">
        <v>76</v>
      </c>
      <c r="B91" s="1041"/>
      <c r="C91" s="1050"/>
      <c r="D91" s="1050"/>
      <c r="E91" s="1050"/>
      <c r="F91" s="1049"/>
      <c r="G91" s="1457"/>
      <c r="H91" s="1049"/>
      <c r="I91" s="1049"/>
      <c r="J91" s="1050"/>
      <c r="K91" s="1050"/>
      <c r="L91" s="1043"/>
      <c r="M91" s="1051"/>
      <c r="N91" s="1051"/>
      <c r="O91" s="1052"/>
      <c r="P91" s="1051"/>
      <c r="Q91" s="1051"/>
      <c r="R91" s="1052"/>
      <c r="S91" s="1051"/>
      <c r="T91" s="1051"/>
      <c r="U91" s="1052"/>
      <c r="V91" s="1051"/>
      <c r="W91" s="1051"/>
      <c r="X91" s="1052"/>
      <c r="Y91" s="1053"/>
      <c r="Z91" s="1051"/>
      <c r="AA91" s="1051"/>
      <c r="AB91" s="1052"/>
      <c r="AC91" s="1051"/>
      <c r="AD91" s="1051"/>
      <c r="AE91" s="1052"/>
      <c r="AF91" s="1051"/>
      <c r="AG91" s="1051"/>
      <c r="AH91" s="1051"/>
      <c r="AI91" s="1051"/>
      <c r="AJ91" s="1052"/>
      <c r="AK91" s="1051"/>
      <c r="AL91" s="1051"/>
      <c r="AM91" s="1052"/>
      <c r="AN91" s="1051"/>
      <c r="AO91" s="1051"/>
      <c r="AP91" s="1052"/>
      <c r="AQ91" s="1051"/>
      <c r="AR91" s="1051"/>
      <c r="AS91" s="1052"/>
      <c r="AT91" s="1051"/>
      <c r="AU91" s="1051"/>
      <c r="AV91" s="1052"/>
      <c r="AW91" s="1051"/>
      <c r="AX91" s="1051"/>
      <c r="AY91" s="1053"/>
      <c r="AZ91" s="1051"/>
      <c r="BA91" s="1051"/>
      <c r="BB91" s="1053"/>
      <c r="BC91" s="1051"/>
      <c r="BD91" s="1051"/>
      <c r="BE91" s="1053"/>
      <c r="BF91" s="1051"/>
      <c r="BG91" s="1051"/>
      <c r="BH91" s="1053"/>
      <c r="BI91" s="1052"/>
      <c r="BJ91" s="1052"/>
      <c r="BK91" s="1052"/>
      <c r="BL91" s="1052"/>
      <c r="BM91" s="1052"/>
      <c r="BN91" s="1054"/>
      <c r="BO91" s="1076">
        <f t="shared" si="12"/>
        <v>0</v>
      </c>
      <c r="BP91" s="1051"/>
      <c r="BQ91" s="1052"/>
      <c r="BR91" s="1054"/>
      <c r="BS91" s="1053"/>
      <c r="BT91" s="1051"/>
      <c r="BU91" s="1051"/>
      <c r="BV91" s="1051"/>
      <c r="BW91" s="1052"/>
      <c r="BX91" s="1052"/>
      <c r="BY91" s="1052"/>
      <c r="BZ91" s="1052"/>
      <c r="CA91" s="1052"/>
      <c r="CB91" s="1053"/>
      <c r="CC91" s="1053"/>
      <c r="CD91" s="1053"/>
      <c r="CE91" s="1053"/>
      <c r="CF91" s="1053"/>
      <c r="CG91" s="1053"/>
      <c r="CH91" s="1053"/>
      <c r="CI91" s="1123"/>
      <c r="CJ91" s="1123"/>
      <c r="CK91" s="1123"/>
      <c r="CL91" s="1123"/>
      <c r="CM91" s="1123"/>
      <c r="CN91" s="1123"/>
      <c r="CO91" s="1123"/>
      <c r="CP91" s="1123"/>
      <c r="CQ91" s="1123"/>
      <c r="CR91" s="1123"/>
      <c r="CS91" s="1123"/>
      <c r="CT91" s="1123"/>
      <c r="CU91" s="1123"/>
      <c r="CV91" s="1123"/>
      <c r="CW91" s="1123"/>
      <c r="CX91" s="1123"/>
      <c r="CY91" s="1123"/>
      <c r="CZ91" s="1114"/>
      <c r="DA91" s="1114"/>
      <c r="DB91" s="1114"/>
      <c r="DC91" s="1114"/>
      <c r="DD91" s="1114"/>
      <c r="DE91" s="1114"/>
      <c r="DF91" s="1114"/>
      <c r="DG91" s="1114"/>
      <c r="DH91" s="1114"/>
      <c r="DI91" s="1114"/>
      <c r="DJ91" s="1114"/>
      <c r="DK91" s="1114"/>
      <c r="DL91" s="1114"/>
      <c r="DM91" s="1114"/>
      <c r="DN91" s="1114"/>
      <c r="DO91" s="1114"/>
      <c r="DP91" s="1114"/>
      <c r="DQ91" s="1114"/>
      <c r="DR91" s="1114"/>
      <c r="DS91" s="1114"/>
      <c r="DT91" s="1114"/>
      <c r="DU91" s="1114"/>
      <c r="DV91" s="1115"/>
      <c r="DW91" s="1116"/>
      <c r="DX91" s="1116"/>
      <c r="DY91" s="1116"/>
      <c r="DZ91" s="1116"/>
      <c r="EA91" s="1116"/>
      <c r="EB91" s="1116"/>
      <c r="EC91" s="1116"/>
      <c r="ED91" s="1116"/>
      <c r="EE91" s="1116"/>
      <c r="EF91" s="1116"/>
      <c r="EG91" s="1116"/>
      <c r="EH91" s="1116"/>
      <c r="EI91" s="1116"/>
      <c r="EJ91" s="1116"/>
      <c r="EK91" s="1116"/>
      <c r="EL91" s="1116"/>
      <c r="EM91" s="1116"/>
      <c r="EN91" s="1116"/>
      <c r="EO91" s="1116"/>
      <c r="EP91" s="1116"/>
      <c r="EQ91" s="1116"/>
      <c r="ER91" s="1116"/>
      <c r="ES91" s="1116"/>
    </row>
    <row r="92" spans="1:149" s="34" customFormat="1" ht="15" customHeight="1">
      <c r="A92" s="1799">
        <v>77</v>
      </c>
      <c r="B92" s="1041"/>
      <c r="C92" s="1050"/>
      <c r="D92" s="1050"/>
      <c r="E92" s="1050"/>
      <c r="F92" s="1049"/>
      <c r="G92" s="1457"/>
      <c r="H92" s="1049"/>
      <c r="I92" s="1049"/>
      <c r="J92" s="1050"/>
      <c r="K92" s="1050"/>
      <c r="L92" s="1043"/>
      <c r="M92" s="1051"/>
      <c r="N92" s="1051"/>
      <c r="O92" s="1052"/>
      <c r="P92" s="1051"/>
      <c r="Q92" s="1051"/>
      <c r="R92" s="1052"/>
      <c r="S92" s="1051"/>
      <c r="T92" s="1051"/>
      <c r="U92" s="1052"/>
      <c r="V92" s="1051"/>
      <c r="W92" s="1051"/>
      <c r="X92" s="1052"/>
      <c r="Y92" s="1053"/>
      <c r="Z92" s="1051"/>
      <c r="AA92" s="1051"/>
      <c r="AB92" s="1052"/>
      <c r="AC92" s="1051"/>
      <c r="AD92" s="1051"/>
      <c r="AE92" s="1052"/>
      <c r="AF92" s="1051"/>
      <c r="AG92" s="1051"/>
      <c r="AH92" s="1051"/>
      <c r="AI92" s="1051"/>
      <c r="AJ92" s="1052"/>
      <c r="AK92" s="1051"/>
      <c r="AL92" s="1051"/>
      <c r="AM92" s="1052"/>
      <c r="AN92" s="1051"/>
      <c r="AO92" s="1051"/>
      <c r="AP92" s="1052"/>
      <c r="AQ92" s="1051"/>
      <c r="AR92" s="1051"/>
      <c r="AS92" s="1052"/>
      <c r="AT92" s="1051"/>
      <c r="AU92" s="1051"/>
      <c r="AV92" s="1052"/>
      <c r="AW92" s="1051"/>
      <c r="AX92" s="1051"/>
      <c r="AY92" s="1053"/>
      <c r="AZ92" s="1051"/>
      <c r="BA92" s="1051"/>
      <c r="BB92" s="1053"/>
      <c r="BC92" s="1051"/>
      <c r="BD92" s="1051"/>
      <c r="BE92" s="1053"/>
      <c r="BF92" s="1051"/>
      <c r="BG92" s="1051"/>
      <c r="BH92" s="1053"/>
      <c r="BI92" s="1052"/>
      <c r="BJ92" s="1052"/>
      <c r="BK92" s="1052"/>
      <c r="BL92" s="1052"/>
      <c r="BM92" s="1052"/>
      <c r="BN92" s="1054"/>
      <c r="BO92" s="1076">
        <f t="shared" si="12"/>
        <v>0</v>
      </c>
      <c r="BP92" s="1051"/>
      <c r="BQ92" s="1052"/>
      <c r="BR92" s="1054"/>
      <c r="BS92" s="1053"/>
      <c r="BT92" s="1051"/>
      <c r="BU92" s="1051"/>
      <c r="BV92" s="1051"/>
      <c r="BW92" s="1052"/>
      <c r="BX92" s="1052"/>
      <c r="BY92" s="1052"/>
      <c r="BZ92" s="1052"/>
      <c r="CA92" s="1052"/>
      <c r="CB92" s="1053"/>
      <c r="CC92" s="1053"/>
      <c r="CD92" s="1053"/>
      <c r="CE92" s="1053"/>
      <c r="CF92" s="1053"/>
      <c r="CG92" s="1053"/>
      <c r="CH92" s="1053"/>
      <c r="CI92" s="1123"/>
      <c r="CJ92" s="1123"/>
      <c r="CK92" s="1123"/>
      <c r="CL92" s="1123"/>
      <c r="CM92" s="1123"/>
      <c r="CN92" s="1123"/>
      <c r="CO92" s="1123"/>
      <c r="CP92" s="1123"/>
      <c r="CQ92" s="1123"/>
      <c r="CR92" s="1123"/>
      <c r="CS92" s="1123"/>
      <c r="CT92" s="1123"/>
      <c r="CU92" s="1123"/>
      <c r="CV92" s="1123"/>
      <c r="CW92" s="1123"/>
      <c r="CX92" s="1123"/>
      <c r="CY92" s="1123"/>
      <c r="CZ92" s="1114"/>
      <c r="DA92" s="1114"/>
      <c r="DB92" s="1114"/>
      <c r="DC92" s="1114"/>
      <c r="DD92" s="1114"/>
      <c r="DE92" s="1114"/>
      <c r="DF92" s="1114"/>
      <c r="DG92" s="1114"/>
      <c r="DH92" s="1114"/>
      <c r="DI92" s="1114"/>
      <c r="DJ92" s="1114"/>
      <c r="DK92" s="1114"/>
      <c r="DL92" s="1114"/>
      <c r="DM92" s="1114"/>
      <c r="DN92" s="1114"/>
      <c r="DO92" s="1114"/>
      <c r="DP92" s="1114"/>
      <c r="DQ92" s="1114"/>
      <c r="DR92" s="1114"/>
      <c r="DS92" s="1114"/>
      <c r="DT92" s="1114"/>
      <c r="DU92" s="1114"/>
      <c r="DV92" s="1115"/>
      <c r="DW92" s="1116"/>
      <c r="DX92" s="1116"/>
      <c r="DY92" s="1116"/>
      <c r="DZ92" s="1116"/>
      <c r="EA92" s="1116"/>
      <c r="EB92" s="1116"/>
      <c r="EC92" s="1116"/>
      <c r="ED92" s="1116"/>
      <c r="EE92" s="1116"/>
      <c r="EF92" s="1116"/>
      <c r="EG92" s="1116"/>
      <c r="EH92" s="1116"/>
      <c r="EI92" s="1116"/>
      <c r="EJ92" s="1116"/>
      <c r="EK92" s="1116"/>
      <c r="EL92" s="1116"/>
      <c r="EM92" s="1116"/>
      <c r="EN92" s="1116"/>
      <c r="EO92" s="1116"/>
      <c r="EP92" s="1116"/>
      <c r="EQ92" s="1116"/>
      <c r="ER92" s="1116"/>
      <c r="ES92" s="1116"/>
    </row>
    <row r="93" spans="1:149" s="34" customFormat="1" ht="15" customHeight="1">
      <c r="A93" s="1799">
        <v>78</v>
      </c>
      <c r="B93" s="1041"/>
      <c r="C93" s="1050"/>
      <c r="D93" s="1050"/>
      <c r="E93" s="1050"/>
      <c r="F93" s="1049"/>
      <c r="G93" s="1457"/>
      <c r="H93" s="1049"/>
      <c r="I93" s="1049"/>
      <c r="J93" s="1050"/>
      <c r="K93" s="1050"/>
      <c r="L93" s="1043"/>
      <c r="M93" s="1051"/>
      <c r="N93" s="1051"/>
      <c r="O93" s="1052"/>
      <c r="P93" s="1051"/>
      <c r="Q93" s="1051"/>
      <c r="R93" s="1052"/>
      <c r="S93" s="1051"/>
      <c r="T93" s="1051"/>
      <c r="U93" s="1052"/>
      <c r="V93" s="1051"/>
      <c r="W93" s="1051"/>
      <c r="X93" s="1052"/>
      <c r="Y93" s="1053"/>
      <c r="Z93" s="1051"/>
      <c r="AA93" s="1051"/>
      <c r="AB93" s="1052"/>
      <c r="AC93" s="1051"/>
      <c r="AD93" s="1051"/>
      <c r="AE93" s="1052"/>
      <c r="AF93" s="1051"/>
      <c r="AG93" s="1051"/>
      <c r="AH93" s="1051"/>
      <c r="AI93" s="1051"/>
      <c r="AJ93" s="1052"/>
      <c r="AK93" s="1051"/>
      <c r="AL93" s="1051"/>
      <c r="AM93" s="1052"/>
      <c r="AN93" s="1051"/>
      <c r="AO93" s="1051"/>
      <c r="AP93" s="1052"/>
      <c r="AQ93" s="1051"/>
      <c r="AR93" s="1051"/>
      <c r="AS93" s="1052"/>
      <c r="AT93" s="1051"/>
      <c r="AU93" s="1051"/>
      <c r="AV93" s="1052"/>
      <c r="AW93" s="1051"/>
      <c r="AX93" s="1051"/>
      <c r="AY93" s="1053"/>
      <c r="AZ93" s="1051"/>
      <c r="BA93" s="1051"/>
      <c r="BB93" s="1053"/>
      <c r="BC93" s="1051"/>
      <c r="BD93" s="1051"/>
      <c r="BE93" s="1053"/>
      <c r="BF93" s="1051"/>
      <c r="BG93" s="1051"/>
      <c r="BH93" s="1053"/>
      <c r="BI93" s="1052"/>
      <c r="BJ93" s="1052"/>
      <c r="BK93" s="1052"/>
      <c r="BL93" s="1052"/>
      <c r="BM93" s="1052"/>
      <c r="BN93" s="1054"/>
      <c r="BO93" s="1076">
        <f t="shared" si="12"/>
        <v>0</v>
      </c>
      <c r="BP93" s="1051"/>
      <c r="BQ93" s="1052"/>
      <c r="BR93" s="1054"/>
      <c r="BS93" s="1053"/>
      <c r="BT93" s="1051"/>
      <c r="BU93" s="1051"/>
      <c r="BV93" s="1051"/>
      <c r="BW93" s="1052"/>
      <c r="BX93" s="1052"/>
      <c r="BY93" s="1052"/>
      <c r="BZ93" s="1052"/>
      <c r="CA93" s="1052"/>
      <c r="CB93" s="1053"/>
      <c r="CC93" s="1053"/>
      <c r="CD93" s="1053"/>
      <c r="CE93" s="1053"/>
      <c r="CF93" s="1053"/>
      <c r="CG93" s="1053"/>
      <c r="CH93" s="1053"/>
      <c r="CI93" s="1123"/>
      <c r="CJ93" s="1123"/>
      <c r="CK93" s="1123"/>
      <c r="CL93" s="1123"/>
      <c r="CM93" s="1123"/>
      <c r="CN93" s="1123"/>
      <c r="CO93" s="1123"/>
      <c r="CP93" s="1123"/>
      <c r="CQ93" s="1123"/>
      <c r="CR93" s="1123"/>
      <c r="CS93" s="1123"/>
      <c r="CT93" s="1123"/>
      <c r="CU93" s="1123"/>
      <c r="CV93" s="1123"/>
      <c r="CW93" s="1123"/>
      <c r="CX93" s="1123"/>
      <c r="CY93" s="1123"/>
      <c r="CZ93" s="1114"/>
      <c r="DA93" s="1114"/>
      <c r="DB93" s="1114"/>
      <c r="DC93" s="1114"/>
      <c r="DD93" s="1114"/>
      <c r="DE93" s="1114"/>
      <c r="DF93" s="1114"/>
      <c r="DG93" s="1114"/>
      <c r="DH93" s="1114"/>
      <c r="DI93" s="1114"/>
      <c r="DJ93" s="1114"/>
      <c r="DK93" s="1114"/>
      <c r="DL93" s="1114"/>
      <c r="DM93" s="1114"/>
      <c r="DN93" s="1114"/>
      <c r="DO93" s="1114"/>
      <c r="DP93" s="1114"/>
      <c r="DQ93" s="1114"/>
      <c r="DR93" s="1114"/>
      <c r="DS93" s="1114"/>
      <c r="DT93" s="1114"/>
      <c r="DU93" s="1114"/>
      <c r="DV93" s="1115"/>
      <c r="DW93" s="1116"/>
      <c r="DX93" s="1116"/>
      <c r="DY93" s="1116"/>
      <c r="DZ93" s="1116"/>
      <c r="EA93" s="1116"/>
      <c r="EB93" s="1116"/>
      <c r="EC93" s="1116"/>
      <c r="ED93" s="1116"/>
      <c r="EE93" s="1116"/>
      <c r="EF93" s="1116"/>
      <c r="EG93" s="1116"/>
      <c r="EH93" s="1116"/>
      <c r="EI93" s="1116"/>
      <c r="EJ93" s="1116"/>
      <c r="EK93" s="1116"/>
      <c r="EL93" s="1116"/>
      <c r="EM93" s="1116"/>
      <c r="EN93" s="1116"/>
      <c r="EO93" s="1116"/>
      <c r="EP93" s="1116"/>
      <c r="EQ93" s="1116"/>
      <c r="ER93" s="1116"/>
      <c r="ES93" s="1116"/>
    </row>
    <row r="94" spans="1:149" s="34" customFormat="1" ht="15" customHeight="1">
      <c r="A94" s="1799">
        <v>79</v>
      </c>
      <c r="B94" s="1041"/>
      <c r="C94" s="1050"/>
      <c r="D94" s="1050"/>
      <c r="E94" s="1050"/>
      <c r="F94" s="1049"/>
      <c r="G94" s="1457"/>
      <c r="H94" s="1049"/>
      <c r="I94" s="1049"/>
      <c r="J94" s="1050"/>
      <c r="K94" s="1050"/>
      <c r="L94" s="1043"/>
      <c r="M94" s="1051"/>
      <c r="N94" s="1051"/>
      <c r="O94" s="1052"/>
      <c r="P94" s="1051"/>
      <c r="Q94" s="1051"/>
      <c r="R94" s="1052"/>
      <c r="S94" s="1051"/>
      <c r="T94" s="1051"/>
      <c r="U94" s="1052"/>
      <c r="V94" s="1051"/>
      <c r="W94" s="1051"/>
      <c r="X94" s="1052"/>
      <c r="Y94" s="1053"/>
      <c r="Z94" s="1051"/>
      <c r="AA94" s="1051"/>
      <c r="AB94" s="1052"/>
      <c r="AC94" s="1051"/>
      <c r="AD94" s="1051"/>
      <c r="AE94" s="1052"/>
      <c r="AF94" s="1051"/>
      <c r="AG94" s="1051"/>
      <c r="AH94" s="1051"/>
      <c r="AI94" s="1051"/>
      <c r="AJ94" s="1052"/>
      <c r="AK94" s="1051"/>
      <c r="AL94" s="1051"/>
      <c r="AM94" s="1052"/>
      <c r="AN94" s="1051"/>
      <c r="AO94" s="1051"/>
      <c r="AP94" s="1052"/>
      <c r="AQ94" s="1051"/>
      <c r="AR94" s="1051"/>
      <c r="AS94" s="1052"/>
      <c r="AT94" s="1051"/>
      <c r="AU94" s="1051"/>
      <c r="AV94" s="1052"/>
      <c r="AW94" s="1051"/>
      <c r="AX94" s="1051"/>
      <c r="AY94" s="1053"/>
      <c r="AZ94" s="1051"/>
      <c r="BA94" s="1051"/>
      <c r="BB94" s="1053"/>
      <c r="BC94" s="1051"/>
      <c r="BD94" s="1051"/>
      <c r="BE94" s="1053"/>
      <c r="BF94" s="1051"/>
      <c r="BG94" s="1051"/>
      <c r="BH94" s="1053"/>
      <c r="BI94" s="1052"/>
      <c r="BJ94" s="1052"/>
      <c r="BK94" s="1052"/>
      <c r="BL94" s="1052"/>
      <c r="BM94" s="1052"/>
      <c r="BN94" s="1054"/>
      <c r="BO94" s="1076">
        <f t="shared" si="12"/>
        <v>0</v>
      </c>
      <c r="BP94" s="1051"/>
      <c r="BQ94" s="1052"/>
      <c r="BR94" s="1054"/>
      <c r="BS94" s="1053"/>
      <c r="BT94" s="1051"/>
      <c r="BU94" s="1051"/>
      <c r="BV94" s="1051"/>
      <c r="BW94" s="1052"/>
      <c r="BX94" s="1052"/>
      <c r="BY94" s="1052"/>
      <c r="BZ94" s="1052"/>
      <c r="CA94" s="1052"/>
      <c r="CB94" s="1053"/>
      <c r="CC94" s="1053"/>
      <c r="CD94" s="1053"/>
      <c r="CE94" s="1053"/>
      <c r="CF94" s="1053"/>
      <c r="CG94" s="1053"/>
      <c r="CH94" s="1053"/>
      <c r="CI94" s="1123"/>
      <c r="CJ94" s="1123"/>
      <c r="CK94" s="1123"/>
      <c r="CL94" s="1123"/>
      <c r="CM94" s="1123"/>
      <c r="CN94" s="1123"/>
      <c r="CO94" s="1123"/>
      <c r="CP94" s="1123"/>
      <c r="CQ94" s="1123"/>
      <c r="CR94" s="1123"/>
      <c r="CS94" s="1123"/>
      <c r="CT94" s="1123"/>
      <c r="CU94" s="1123"/>
      <c r="CV94" s="1123"/>
      <c r="CW94" s="1123"/>
      <c r="CX94" s="1123"/>
      <c r="CY94" s="1123"/>
      <c r="CZ94" s="1114"/>
      <c r="DA94" s="1114"/>
      <c r="DB94" s="1114"/>
      <c r="DC94" s="1114"/>
      <c r="DD94" s="1114"/>
      <c r="DE94" s="1114"/>
      <c r="DF94" s="1114"/>
      <c r="DG94" s="1114"/>
      <c r="DH94" s="1114"/>
      <c r="DI94" s="1114"/>
      <c r="DJ94" s="1114"/>
      <c r="DK94" s="1114"/>
      <c r="DL94" s="1114"/>
      <c r="DM94" s="1114"/>
      <c r="DN94" s="1114"/>
      <c r="DO94" s="1114"/>
      <c r="DP94" s="1114"/>
      <c r="DQ94" s="1114"/>
      <c r="DR94" s="1114"/>
      <c r="DS94" s="1114"/>
      <c r="DT94" s="1114"/>
      <c r="DU94" s="1114"/>
      <c r="DV94" s="1115"/>
      <c r="DW94" s="1116"/>
      <c r="DX94" s="1116"/>
      <c r="DY94" s="1116"/>
      <c r="DZ94" s="1116"/>
      <c r="EA94" s="1116"/>
      <c r="EB94" s="1116"/>
      <c r="EC94" s="1116"/>
      <c r="ED94" s="1116"/>
      <c r="EE94" s="1116"/>
      <c r="EF94" s="1116"/>
      <c r="EG94" s="1116"/>
      <c r="EH94" s="1116"/>
      <c r="EI94" s="1116"/>
      <c r="EJ94" s="1116"/>
      <c r="EK94" s="1116"/>
      <c r="EL94" s="1116"/>
      <c r="EM94" s="1116"/>
      <c r="EN94" s="1116"/>
      <c r="EO94" s="1116"/>
      <c r="EP94" s="1116"/>
      <c r="EQ94" s="1116"/>
      <c r="ER94" s="1116"/>
      <c r="ES94" s="1116"/>
    </row>
    <row r="95" spans="1:149" s="34" customFormat="1" ht="15" customHeight="1">
      <c r="A95" s="1799">
        <v>80</v>
      </c>
      <c r="B95" s="1041"/>
      <c r="C95" s="1050"/>
      <c r="D95" s="1050"/>
      <c r="E95" s="1050"/>
      <c r="F95" s="1049"/>
      <c r="G95" s="1457"/>
      <c r="H95" s="1049"/>
      <c r="I95" s="1049"/>
      <c r="J95" s="1050"/>
      <c r="K95" s="1050"/>
      <c r="L95" s="1043"/>
      <c r="M95" s="1051"/>
      <c r="N95" s="1051"/>
      <c r="O95" s="1052"/>
      <c r="P95" s="1051"/>
      <c r="Q95" s="1051"/>
      <c r="R95" s="1052"/>
      <c r="S95" s="1051"/>
      <c r="T95" s="1051"/>
      <c r="U95" s="1052"/>
      <c r="V95" s="1051"/>
      <c r="W95" s="1051"/>
      <c r="X95" s="1052"/>
      <c r="Y95" s="1053"/>
      <c r="Z95" s="1051"/>
      <c r="AA95" s="1051"/>
      <c r="AB95" s="1052"/>
      <c r="AC95" s="1051"/>
      <c r="AD95" s="1051"/>
      <c r="AE95" s="1052"/>
      <c r="AF95" s="1051"/>
      <c r="AG95" s="1051"/>
      <c r="AH95" s="1051"/>
      <c r="AI95" s="1051"/>
      <c r="AJ95" s="1052"/>
      <c r="AK95" s="1051"/>
      <c r="AL95" s="1051"/>
      <c r="AM95" s="1052"/>
      <c r="AN95" s="1051"/>
      <c r="AO95" s="1051"/>
      <c r="AP95" s="1052"/>
      <c r="AQ95" s="1051"/>
      <c r="AR95" s="1051"/>
      <c r="AS95" s="1052"/>
      <c r="AT95" s="1051"/>
      <c r="AU95" s="1051"/>
      <c r="AV95" s="1052"/>
      <c r="AW95" s="1051"/>
      <c r="AX95" s="1051"/>
      <c r="AY95" s="1053"/>
      <c r="AZ95" s="1051"/>
      <c r="BA95" s="1051"/>
      <c r="BB95" s="1053"/>
      <c r="BC95" s="1051"/>
      <c r="BD95" s="1051"/>
      <c r="BE95" s="1053"/>
      <c r="BF95" s="1051"/>
      <c r="BG95" s="1051"/>
      <c r="BH95" s="1053"/>
      <c r="BI95" s="1052"/>
      <c r="BJ95" s="1052"/>
      <c r="BK95" s="1052"/>
      <c r="BL95" s="1052"/>
      <c r="BM95" s="1052"/>
      <c r="BN95" s="1054"/>
      <c r="BO95" s="1076">
        <f t="shared" si="12"/>
        <v>0</v>
      </c>
      <c r="BP95" s="1051"/>
      <c r="BQ95" s="1052"/>
      <c r="BR95" s="1054"/>
      <c r="BS95" s="1053"/>
      <c r="BT95" s="1051"/>
      <c r="BU95" s="1051"/>
      <c r="BV95" s="1051"/>
      <c r="BW95" s="1052"/>
      <c r="BX95" s="1052"/>
      <c r="BY95" s="1052"/>
      <c r="BZ95" s="1052"/>
      <c r="CA95" s="1052"/>
      <c r="CB95" s="1053"/>
      <c r="CC95" s="1053"/>
      <c r="CD95" s="1053"/>
      <c r="CE95" s="1053"/>
      <c r="CF95" s="1053"/>
      <c r="CG95" s="1053"/>
      <c r="CH95" s="1053"/>
      <c r="CI95" s="1123"/>
      <c r="CJ95" s="1123"/>
      <c r="CK95" s="1123"/>
      <c r="CL95" s="1123"/>
      <c r="CM95" s="1123"/>
      <c r="CN95" s="1123"/>
      <c r="CO95" s="1123"/>
      <c r="CP95" s="1123"/>
      <c r="CQ95" s="1123"/>
      <c r="CR95" s="1123"/>
      <c r="CS95" s="1123"/>
      <c r="CT95" s="1123"/>
      <c r="CU95" s="1123"/>
      <c r="CV95" s="1123"/>
      <c r="CW95" s="1123"/>
      <c r="CX95" s="1123"/>
      <c r="CY95" s="1123"/>
      <c r="CZ95" s="1114"/>
      <c r="DA95" s="1114"/>
      <c r="DB95" s="1114"/>
      <c r="DC95" s="1114"/>
      <c r="DD95" s="1114"/>
      <c r="DE95" s="1114"/>
      <c r="DF95" s="1114"/>
      <c r="DG95" s="1114"/>
      <c r="DH95" s="1114"/>
      <c r="DI95" s="1114"/>
      <c r="DJ95" s="1114"/>
      <c r="DK95" s="1114"/>
      <c r="DL95" s="1114"/>
      <c r="DM95" s="1114"/>
      <c r="DN95" s="1114"/>
      <c r="DO95" s="1114"/>
      <c r="DP95" s="1114"/>
      <c r="DQ95" s="1114"/>
      <c r="DR95" s="1114"/>
      <c r="DS95" s="1114"/>
      <c r="DT95" s="1114"/>
      <c r="DU95" s="1114"/>
      <c r="DV95" s="1115"/>
      <c r="DW95" s="1116"/>
      <c r="DX95" s="1116"/>
      <c r="DY95" s="1116"/>
      <c r="DZ95" s="1116"/>
      <c r="EA95" s="1116"/>
      <c r="EB95" s="1116"/>
      <c r="EC95" s="1116"/>
      <c r="ED95" s="1116"/>
      <c r="EE95" s="1116"/>
      <c r="EF95" s="1116"/>
      <c r="EG95" s="1116"/>
      <c r="EH95" s="1116"/>
      <c r="EI95" s="1116"/>
      <c r="EJ95" s="1116"/>
      <c r="EK95" s="1116"/>
      <c r="EL95" s="1116"/>
      <c r="EM95" s="1116"/>
      <c r="EN95" s="1116"/>
      <c r="EO95" s="1116"/>
      <c r="EP95" s="1116"/>
      <c r="EQ95" s="1116"/>
      <c r="ER95" s="1116"/>
      <c r="ES95" s="1116"/>
    </row>
    <row r="96" spans="1:149" s="34" customFormat="1" ht="15" customHeight="1">
      <c r="A96" s="1799">
        <v>81</v>
      </c>
      <c r="B96" s="1041"/>
      <c r="C96" s="1050"/>
      <c r="D96" s="1050"/>
      <c r="E96" s="1050"/>
      <c r="F96" s="1049"/>
      <c r="G96" s="1457"/>
      <c r="H96" s="1049"/>
      <c r="I96" s="1049"/>
      <c r="J96" s="1050"/>
      <c r="K96" s="1050"/>
      <c r="L96" s="1043"/>
      <c r="M96" s="1051"/>
      <c r="N96" s="1051"/>
      <c r="O96" s="1052"/>
      <c r="P96" s="1051"/>
      <c r="Q96" s="1051"/>
      <c r="R96" s="1052"/>
      <c r="S96" s="1051"/>
      <c r="T96" s="1051"/>
      <c r="U96" s="1052"/>
      <c r="V96" s="1051"/>
      <c r="W96" s="1051"/>
      <c r="X96" s="1052"/>
      <c r="Y96" s="1053"/>
      <c r="Z96" s="1051"/>
      <c r="AA96" s="1051"/>
      <c r="AB96" s="1052"/>
      <c r="AC96" s="1051"/>
      <c r="AD96" s="1051"/>
      <c r="AE96" s="1052"/>
      <c r="AF96" s="1051"/>
      <c r="AG96" s="1051"/>
      <c r="AH96" s="1051"/>
      <c r="AI96" s="1051"/>
      <c r="AJ96" s="1052"/>
      <c r="AK96" s="1051"/>
      <c r="AL96" s="1051"/>
      <c r="AM96" s="1052"/>
      <c r="AN96" s="1051"/>
      <c r="AO96" s="1051"/>
      <c r="AP96" s="1052"/>
      <c r="AQ96" s="1051"/>
      <c r="AR96" s="1051"/>
      <c r="AS96" s="1052"/>
      <c r="AT96" s="1051"/>
      <c r="AU96" s="1051"/>
      <c r="AV96" s="1052"/>
      <c r="AW96" s="1051"/>
      <c r="AX96" s="1051"/>
      <c r="AY96" s="1053"/>
      <c r="AZ96" s="1051"/>
      <c r="BA96" s="1051"/>
      <c r="BB96" s="1053"/>
      <c r="BC96" s="1051"/>
      <c r="BD96" s="1051"/>
      <c r="BE96" s="1053"/>
      <c r="BF96" s="1051"/>
      <c r="BG96" s="1051"/>
      <c r="BH96" s="1053"/>
      <c r="BI96" s="1052"/>
      <c r="BJ96" s="1052"/>
      <c r="BK96" s="1052"/>
      <c r="BL96" s="1052"/>
      <c r="BM96" s="1052"/>
      <c r="BN96" s="1054"/>
      <c r="BO96" s="1076">
        <f t="shared" si="12"/>
        <v>0</v>
      </c>
      <c r="BP96" s="1051"/>
      <c r="BQ96" s="1052"/>
      <c r="BR96" s="1054"/>
      <c r="BS96" s="1053"/>
      <c r="BT96" s="1051"/>
      <c r="BU96" s="1051"/>
      <c r="BV96" s="1051"/>
      <c r="BW96" s="1052"/>
      <c r="BX96" s="1052"/>
      <c r="BY96" s="1052"/>
      <c r="BZ96" s="1052"/>
      <c r="CA96" s="1052"/>
      <c r="CB96" s="1053"/>
      <c r="CC96" s="1053"/>
      <c r="CD96" s="1053"/>
      <c r="CE96" s="1053"/>
      <c r="CF96" s="1053"/>
      <c r="CG96" s="1053"/>
      <c r="CH96" s="1053"/>
      <c r="CI96" s="1123"/>
      <c r="CJ96" s="1123"/>
      <c r="CK96" s="1123"/>
      <c r="CL96" s="1123"/>
      <c r="CM96" s="1123"/>
      <c r="CN96" s="1123"/>
      <c r="CO96" s="1123"/>
      <c r="CP96" s="1123"/>
      <c r="CQ96" s="1123"/>
      <c r="CR96" s="1123"/>
      <c r="CS96" s="1123"/>
      <c r="CT96" s="1123"/>
      <c r="CU96" s="1123"/>
      <c r="CV96" s="1123"/>
      <c r="CW96" s="1123"/>
      <c r="CX96" s="1123"/>
      <c r="CY96" s="1123"/>
      <c r="CZ96" s="1114"/>
      <c r="DA96" s="1114"/>
      <c r="DB96" s="1114"/>
      <c r="DC96" s="1114"/>
      <c r="DD96" s="1114"/>
      <c r="DE96" s="1114"/>
      <c r="DF96" s="1114"/>
      <c r="DG96" s="1114"/>
      <c r="DH96" s="1114"/>
      <c r="DI96" s="1114"/>
      <c r="DJ96" s="1114"/>
      <c r="DK96" s="1114"/>
      <c r="DL96" s="1114"/>
      <c r="DM96" s="1114"/>
      <c r="DN96" s="1114"/>
      <c r="DO96" s="1114"/>
      <c r="DP96" s="1114"/>
      <c r="DQ96" s="1114"/>
      <c r="DR96" s="1114"/>
      <c r="DS96" s="1114"/>
      <c r="DT96" s="1114"/>
      <c r="DU96" s="1114"/>
      <c r="DV96" s="1115"/>
      <c r="DW96" s="1116"/>
      <c r="DX96" s="1116"/>
      <c r="DY96" s="1116"/>
      <c r="DZ96" s="1116"/>
      <c r="EA96" s="1116"/>
      <c r="EB96" s="1116"/>
      <c r="EC96" s="1116"/>
      <c r="ED96" s="1116"/>
      <c r="EE96" s="1116"/>
      <c r="EF96" s="1116"/>
      <c r="EG96" s="1116"/>
      <c r="EH96" s="1116"/>
      <c r="EI96" s="1116"/>
      <c r="EJ96" s="1116"/>
      <c r="EK96" s="1116"/>
      <c r="EL96" s="1116"/>
      <c r="EM96" s="1116"/>
      <c r="EN96" s="1116"/>
      <c r="EO96" s="1116"/>
      <c r="EP96" s="1116"/>
      <c r="EQ96" s="1116"/>
      <c r="ER96" s="1116"/>
      <c r="ES96" s="1116"/>
    </row>
    <row r="97" spans="1:149" ht="15" customHeight="1">
      <c r="A97" s="1799">
        <v>82</v>
      </c>
      <c r="B97" s="1041"/>
      <c r="C97" s="1050"/>
      <c r="D97" s="1050"/>
      <c r="E97" s="1050"/>
      <c r="F97" s="1049"/>
      <c r="G97" s="1457"/>
      <c r="H97" s="1049"/>
      <c r="I97" s="1049"/>
      <c r="J97" s="1050"/>
      <c r="K97" s="1050"/>
      <c r="L97" s="1043"/>
      <c r="M97" s="1051"/>
      <c r="N97" s="1051"/>
      <c r="O97" s="1052"/>
      <c r="P97" s="1051"/>
      <c r="Q97" s="1051"/>
      <c r="R97" s="1052"/>
      <c r="S97" s="1051"/>
      <c r="T97" s="1051"/>
      <c r="U97" s="1052"/>
      <c r="V97" s="1051"/>
      <c r="W97" s="1051"/>
      <c r="X97" s="1052"/>
      <c r="Y97" s="1053"/>
      <c r="Z97" s="1051"/>
      <c r="AA97" s="1051"/>
      <c r="AB97" s="1052"/>
      <c r="AC97" s="1051"/>
      <c r="AD97" s="1051"/>
      <c r="AE97" s="1052"/>
      <c r="AF97" s="1051"/>
      <c r="AG97" s="1051"/>
      <c r="AH97" s="1051"/>
      <c r="AI97" s="1051"/>
      <c r="AJ97" s="1052"/>
      <c r="AK97" s="1051"/>
      <c r="AL97" s="1051"/>
      <c r="AM97" s="1052"/>
      <c r="AN97" s="1051"/>
      <c r="AO97" s="1051"/>
      <c r="AP97" s="1052"/>
      <c r="AQ97" s="1051"/>
      <c r="AR97" s="1051"/>
      <c r="AS97" s="1052"/>
      <c r="AT97" s="1051"/>
      <c r="AU97" s="1051"/>
      <c r="AV97" s="1052"/>
      <c r="AW97" s="1051"/>
      <c r="AX97" s="1051"/>
      <c r="AY97" s="1053"/>
      <c r="AZ97" s="1051"/>
      <c r="BA97" s="1051"/>
      <c r="BB97" s="1053"/>
      <c r="BC97" s="1051"/>
      <c r="BD97" s="1051"/>
      <c r="BE97" s="1053"/>
      <c r="BF97" s="1051"/>
      <c r="BG97" s="1051"/>
      <c r="BH97" s="1053"/>
      <c r="BI97" s="1052"/>
      <c r="BJ97" s="1052"/>
      <c r="BK97" s="1052"/>
      <c r="BL97" s="1052"/>
      <c r="BM97" s="1052"/>
      <c r="BN97" s="1054"/>
      <c r="BO97" s="1076">
        <f t="shared" si="12"/>
        <v>0</v>
      </c>
      <c r="BP97" s="1051"/>
      <c r="BQ97" s="1052"/>
      <c r="BR97" s="1054"/>
      <c r="BS97" s="1053"/>
      <c r="BT97" s="1051"/>
      <c r="BU97" s="1051"/>
      <c r="BV97" s="1051"/>
      <c r="BW97" s="1052"/>
      <c r="BX97" s="1052"/>
      <c r="BY97" s="1052"/>
      <c r="BZ97" s="1052"/>
      <c r="CA97" s="1052"/>
      <c r="CB97" s="1053"/>
      <c r="CC97" s="1053"/>
      <c r="CD97" s="1053"/>
      <c r="CE97" s="1053"/>
      <c r="CF97" s="1053"/>
      <c r="CG97" s="1053"/>
      <c r="CH97" s="1053"/>
      <c r="CI97" s="1123"/>
      <c r="CJ97" s="1123"/>
      <c r="CK97" s="1123"/>
      <c r="CL97" s="1123"/>
      <c r="CM97" s="1123"/>
      <c r="CN97" s="1123"/>
      <c r="CO97" s="1123"/>
      <c r="CP97" s="1123"/>
      <c r="CQ97" s="1123"/>
      <c r="CR97" s="1123"/>
      <c r="CS97" s="1123"/>
      <c r="CT97" s="1123"/>
      <c r="CU97" s="1123"/>
      <c r="CV97" s="1123"/>
      <c r="CW97" s="1123"/>
      <c r="CX97" s="1123"/>
      <c r="CY97" s="1123"/>
      <c r="CZ97" s="1114"/>
      <c r="DA97" s="1114"/>
      <c r="DB97" s="1114"/>
      <c r="DC97" s="1114"/>
      <c r="DD97" s="1114"/>
      <c r="DE97" s="1114"/>
      <c r="DF97" s="1114"/>
      <c r="DG97" s="1114"/>
      <c r="DH97" s="1114"/>
      <c r="DI97" s="1114"/>
      <c r="DJ97" s="1114"/>
      <c r="DK97" s="1114"/>
      <c r="DL97" s="1114"/>
      <c r="DM97" s="1114"/>
      <c r="DN97" s="1114"/>
      <c r="DO97" s="1114"/>
      <c r="DP97" s="1114"/>
      <c r="DQ97" s="1114"/>
      <c r="DR97" s="1114"/>
      <c r="DS97" s="1114"/>
      <c r="DT97" s="1114"/>
      <c r="DU97" s="1114"/>
      <c r="DV97" s="1115"/>
      <c r="DW97" s="1116"/>
      <c r="DX97" s="1116"/>
      <c r="DY97" s="1116"/>
      <c r="DZ97" s="1116"/>
      <c r="EA97" s="1116"/>
      <c r="EB97" s="1116"/>
      <c r="EC97" s="1116"/>
      <c r="ED97" s="1116"/>
      <c r="EE97" s="1116"/>
      <c r="EF97" s="1116"/>
      <c r="EG97" s="1116"/>
      <c r="EH97" s="1116"/>
      <c r="EI97" s="1116"/>
      <c r="EJ97" s="1116"/>
      <c r="EK97" s="1116"/>
      <c r="EL97" s="1116"/>
      <c r="EM97" s="1116"/>
      <c r="EN97" s="1116"/>
      <c r="EO97" s="1116"/>
      <c r="EP97" s="1116"/>
      <c r="EQ97" s="1116"/>
      <c r="ER97" s="1116"/>
      <c r="ES97" s="1116"/>
    </row>
    <row r="98" spans="1:149" ht="15" customHeight="1">
      <c r="A98" s="1799">
        <v>83</v>
      </c>
      <c r="B98" s="1041"/>
      <c r="C98" s="1050"/>
      <c r="D98" s="1050"/>
      <c r="E98" s="1050"/>
      <c r="F98" s="1049"/>
      <c r="G98" s="1457"/>
      <c r="H98" s="1049"/>
      <c r="I98" s="1049"/>
      <c r="J98" s="1050"/>
      <c r="K98" s="1050"/>
      <c r="L98" s="1043"/>
      <c r="M98" s="1051"/>
      <c r="N98" s="1051"/>
      <c r="O98" s="1052"/>
      <c r="P98" s="1051"/>
      <c r="Q98" s="1051"/>
      <c r="R98" s="1052"/>
      <c r="S98" s="1051"/>
      <c r="T98" s="1051"/>
      <c r="U98" s="1052"/>
      <c r="V98" s="1051"/>
      <c r="W98" s="1051"/>
      <c r="X98" s="1052"/>
      <c r="Y98" s="1053"/>
      <c r="Z98" s="1051"/>
      <c r="AA98" s="1051"/>
      <c r="AB98" s="1052"/>
      <c r="AC98" s="1051"/>
      <c r="AD98" s="1051"/>
      <c r="AE98" s="1052"/>
      <c r="AF98" s="1051"/>
      <c r="AG98" s="1051"/>
      <c r="AH98" s="1051"/>
      <c r="AI98" s="1051"/>
      <c r="AJ98" s="1052"/>
      <c r="AK98" s="1051"/>
      <c r="AL98" s="1051"/>
      <c r="AM98" s="1052"/>
      <c r="AN98" s="1051"/>
      <c r="AO98" s="1051"/>
      <c r="AP98" s="1052"/>
      <c r="AQ98" s="1051"/>
      <c r="AR98" s="1051"/>
      <c r="AS98" s="1052"/>
      <c r="AT98" s="1051"/>
      <c r="AU98" s="1051"/>
      <c r="AV98" s="1052"/>
      <c r="AW98" s="1051"/>
      <c r="AX98" s="1051"/>
      <c r="AY98" s="1053"/>
      <c r="AZ98" s="1051"/>
      <c r="BA98" s="1051"/>
      <c r="BB98" s="1053"/>
      <c r="BC98" s="1051"/>
      <c r="BD98" s="1051"/>
      <c r="BE98" s="1053"/>
      <c r="BF98" s="1051"/>
      <c r="BG98" s="1051"/>
      <c r="BH98" s="1053"/>
      <c r="BI98" s="1052"/>
      <c r="BJ98" s="1052"/>
      <c r="BK98" s="1052"/>
      <c r="BL98" s="1052"/>
      <c r="BM98" s="1052"/>
      <c r="BN98" s="1054"/>
      <c r="BO98" s="1076">
        <f t="shared" si="12"/>
        <v>0</v>
      </c>
      <c r="BP98" s="1051"/>
      <c r="BQ98" s="1052"/>
      <c r="BR98" s="1054"/>
      <c r="BS98" s="1053"/>
      <c r="BT98" s="1051"/>
      <c r="BU98" s="1051"/>
      <c r="BV98" s="1051"/>
      <c r="BW98" s="1052"/>
      <c r="BX98" s="1052"/>
      <c r="BY98" s="1052"/>
      <c r="BZ98" s="1052"/>
      <c r="CA98" s="1052"/>
      <c r="CB98" s="1053"/>
      <c r="CC98" s="1053"/>
      <c r="CD98" s="1053"/>
      <c r="CE98" s="1053"/>
      <c r="CF98" s="1053"/>
      <c r="CG98" s="1053"/>
      <c r="CH98" s="1053"/>
      <c r="CI98" s="1123"/>
      <c r="CJ98" s="1123"/>
      <c r="CK98" s="1123"/>
      <c r="CL98" s="1123"/>
      <c r="CM98" s="1123"/>
      <c r="CN98" s="1123"/>
      <c r="CO98" s="1123"/>
      <c r="CP98" s="1123"/>
      <c r="CQ98" s="1123"/>
      <c r="CR98" s="1123"/>
      <c r="CS98" s="1123"/>
      <c r="CT98" s="1123"/>
      <c r="CU98" s="1123"/>
      <c r="CV98" s="1123"/>
      <c r="CW98" s="1123"/>
      <c r="CX98" s="1123"/>
      <c r="CY98" s="1123"/>
      <c r="CZ98" s="1114"/>
      <c r="DA98" s="1114"/>
      <c r="DB98" s="1114"/>
      <c r="DC98" s="1114"/>
      <c r="DD98" s="1114"/>
      <c r="DE98" s="1114"/>
      <c r="DF98" s="1114"/>
      <c r="DG98" s="1114"/>
      <c r="DH98" s="1114"/>
      <c r="DI98" s="1114"/>
      <c r="DJ98" s="1114"/>
      <c r="DK98" s="1114"/>
      <c r="DL98" s="1114"/>
      <c r="DM98" s="1114"/>
      <c r="DN98" s="1114"/>
      <c r="DO98" s="1114"/>
      <c r="DP98" s="1114"/>
      <c r="DQ98" s="1114"/>
      <c r="DR98" s="1114"/>
      <c r="DS98" s="1114"/>
      <c r="DT98" s="1114"/>
      <c r="DU98" s="1114"/>
      <c r="DV98" s="1115"/>
      <c r="DW98" s="1116"/>
      <c r="DX98" s="1116"/>
      <c r="DY98" s="1116"/>
      <c r="DZ98" s="1116"/>
      <c r="EA98" s="1116"/>
      <c r="EB98" s="1116"/>
      <c r="EC98" s="1116"/>
      <c r="ED98" s="1116"/>
      <c r="EE98" s="1116"/>
      <c r="EF98" s="1116"/>
      <c r="EG98" s="1116"/>
      <c r="EH98" s="1116"/>
      <c r="EI98" s="1116"/>
      <c r="EJ98" s="1116"/>
      <c r="EK98" s="1116"/>
      <c r="EL98" s="1116"/>
      <c r="EM98" s="1116"/>
      <c r="EN98" s="1116"/>
      <c r="EO98" s="1116"/>
      <c r="EP98" s="1116"/>
      <c r="EQ98" s="1116"/>
      <c r="ER98" s="1116"/>
      <c r="ES98" s="1116"/>
    </row>
    <row r="99" spans="1:149" ht="15" customHeight="1">
      <c r="A99" s="1799">
        <v>84</v>
      </c>
      <c r="B99" s="1041"/>
      <c r="C99" s="1050"/>
      <c r="D99" s="1050"/>
      <c r="E99" s="1050"/>
      <c r="F99" s="1049"/>
      <c r="G99" s="1457"/>
      <c r="H99" s="1049"/>
      <c r="I99" s="1049"/>
      <c r="J99" s="1050"/>
      <c r="K99" s="1050"/>
      <c r="L99" s="1043"/>
      <c r="M99" s="1051"/>
      <c r="N99" s="1051"/>
      <c r="O99" s="1052"/>
      <c r="P99" s="1051"/>
      <c r="Q99" s="1051"/>
      <c r="R99" s="1052"/>
      <c r="S99" s="1051"/>
      <c r="T99" s="1051"/>
      <c r="U99" s="1052"/>
      <c r="V99" s="1051"/>
      <c r="W99" s="1051"/>
      <c r="X99" s="1052"/>
      <c r="Y99" s="1053"/>
      <c r="Z99" s="1051"/>
      <c r="AA99" s="1051"/>
      <c r="AB99" s="1052"/>
      <c r="AC99" s="1051"/>
      <c r="AD99" s="1051"/>
      <c r="AE99" s="1052"/>
      <c r="AF99" s="1051"/>
      <c r="AG99" s="1051"/>
      <c r="AH99" s="1051"/>
      <c r="AI99" s="1051"/>
      <c r="AJ99" s="1052"/>
      <c r="AK99" s="1051"/>
      <c r="AL99" s="1051"/>
      <c r="AM99" s="1052"/>
      <c r="AN99" s="1051"/>
      <c r="AO99" s="1051"/>
      <c r="AP99" s="1052"/>
      <c r="AQ99" s="1051"/>
      <c r="AR99" s="1051"/>
      <c r="AS99" s="1052"/>
      <c r="AT99" s="1051"/>
      <c r="AU99" s="1051"/>
      <c r="AV99" s="1052"/>
      <c r="AW99" s="1051"/>
      <c r="AX99" s="1051"/>
      <c r="AY99" s="1053"/>
      <c r="AZ99" s="1051"/>
      <c r="BA99" s="1051"/>
      <c r="BB99" s="1053"/>
      <c r="BC99" s="1051"/>
      <c r="BD99" s="1051"/>
      <c r="BE99" s="1053"/>
      <c r="BF99" s="1051"/>
      <c r="BG99" s="1051"/>
      <c r="BH99" s="1053"/>
      <c r="BI99" s="1052"/>
      <c r="BJ99" s="1052"/>
      <c r="BK99" s="1052"/>
      <c r="BL99" s="1052"/>
      <c r="BM99" s="1052"/>
      <c r="BN99" s="1054"/>
      <c r="BO99" s="1076">
        <f t="shared" si="12"/>
        <v>0</v>
      </c>
      <c r="BP99" s="1051"/>
      <c r="BQ99" s="1052"/>
      <c r="BR99" s="1054"/>
      <c r="BS99" s="1053"/>
      <c r="BT99" s="1051"/>
      <c r="BU99" s="1051"/>
      <c r="BV99" s="1051"/>
      <c r="BW99" s="1052"/>
      <c r="BX99" s="1052"/>
      <c r="BY99" s="1052"/>
      <c r="BZ99" s="1052"/>
      <c r="CA99" s="1052"/>
      <c r="CB99" s="1053"/>
      <c r="CC99" s="1053"/>
      <c r="CD99" s="1053"/>
      <c r="CE99" s="1053"/>
      <c r="CF99" s="1053"/>
      <c r="CG99" s="1053"/>
      <c r="CH99" s="1053"/>
      <c r="CI99" s="1123"/>
      <c r="CJ99" s="1123"/>
      <c r="CK99" s="1123"/>
      <c r="CL99" s="1123"/>
      <c r="CM99" s="1123"/>
      <c r="CN99" s="1123"/>
      <c r="CO99" s="1123"/>
      <c r="CP99" s="1123"/>
      <c r="CQ99" s="1123"/>
      <c r="CR99" s="1123"/>
      <c r="CS99" s="1123"/>
      <c r="CT99" s="1123"/>
      <c r="CU99" s="1123"/>
      <c r="CV99" s="1123"/>
      <c r="CW99" s="1123"/>
      <c r="CX99" s="1123"/>
      <c r="CY99" s="1123"/>
      <c r="CZ99" s="1114"/>
      <c r="DA99" s="1114"/>
      <c r="DB99" s="1114"/>
      <c r="DC99" s="1114"/>
      <c r="DD99" s="1114"/>
      <c r="DE99" s="1114"/>
      <c r="DF99" s="1114"/>
      <c r="DG99" s="1114"/>
      <c r="DH99" s="1114"/>
      <c r="DI99" s="1114"/>
      <c r="DJ99" s="1114"/>
      <c r="DK99" s="1114"/>
      <c r="DL99" s="1114"/>
      <c r="DM99" s="1114"/>
      <c r="DN99" s="1114"/>
      <c r="DO99" s="1114"/>
      <c r="DP99" s="1114"/>
      <c r="DQ99" s="1114"/>
      <c r="DR99" s="1114"/>
      <c r="DS99" s="1114"/>
      <c r="DT99" s="1114"/>
      <c r="DU99" s="1114"/>
      <c r="DV99" s="1115"/>
      <c r="DW99" s="1116"/>
      <c r="DX99" s="1116"/>
      <c r="DY99" s="1116"/>
      <c r="DZ99" s="1116"/>
      <c r="EA99" s="1116"/>
      <c r="EB99" s="1116"/>
      <c r="EC99" s="1116"/>
      <c r="ED99" s="1116"/>
      <c r="EE99" s="1116"/>
      <c r="EF99" s="1116"/>
      <c r="EG99" s="1116"/>
      <c r="EH99" s="1116"/>
      <c r="EI99" s="1116"/>
      <c r="EJ99" s="1116"/>
      <c r="EK99" s="1116"/>
      <c r="EL99" s="1116"/>
      <c r="EM99" s="1116"/>
      <c r="EN99" s="1116"/>
      <c r="EO99" s="1116"/>
      <c r="EP99" s="1116"/>
      <c r="EQ99" s="1116"/>
      <c r="ER99" s="1116"/>
      <c r="ES99" s="1116"/>
    </row>
    <row r="100" spans="1:149" ht="15" customHeight="1">
      <c r="A100" s="1799">
        <v>85</v>
      </c>
      <c r="B100" s="1041"/>
      <c r="C100" s="1050"/>
      <c r="D100" s="1050"/>
      <c r="E100" s="1050"/>
      <c r="F100" s="1049"/>
      <c r="G100" s="1457"/>
      <c r="H100" s="1049"/>
      <c r="I100" s="1049"/>
      <c r="J100" s="1050"/>
      <c r="K100" s="1050"/>
      <c r="L100" s="1043"/>
      <c r="M100" s="1051"/>
      <c r="N100" s="1051"/>
      <c r="O100" s="1052"/>
      <c r="P100" s="1051"/>
      <c r="Q100" s="1051"/>
      <c r="R100" s="1052"/>
      <c r="S100" s="1051"/>
      <c r="T100" s="1051"/>
      <c r="U100" s="1052"/>
      <c r="V100" s="1051"/>
      <c r="W100" s="1051"/>
      <c r="X100" s="1052"/>
      <c r="Y100" s="1053"/>
      <c r="Z100" s="1051"/>
      <c r="AA100" s="1051"/>
      <c r="AB100" s="1052"/>
      <c r="AC100" s="1051"/>
      <c r="AD100" s="1051"/>
      <c r="AE100" s="1052"/>
      <c r="AF100" s="1051"/>
      <c r="AG100" s="1051"/>
      <c r="AH100" s="1051"/>
      <c r="AI100" s="1051"/>
      <c r="AJ100" s="1052"/>
      <c r="AK100" s="1051"/>
      <c r="AL100" s="1051"/>
      <c r="AM100" s="1052"/>
      <c r="AN100" s="1051"/>
      <c r="AO100" s="1051"/>
      <c r="AP100" s="1052"/>
      <c r="AQ100" s="1051"/>
      <c r="AR100" s="1051"/>
      <c r="AS100" s="1052"/>
      <c r="AT100" s="1051"/>
      <c r="AU100" s="1051"/>
      <c r="AV100" s="1052"/>
      <c r="AW100" s="1051"/>
      <c r="AX100" s="1051"/>
      <c r="AY100" s="1053"/>
      <c r="AZ100" s="1051"/>
      <c r="BA100" s="1051"/>
      <c r="BB100" s="1053"/>
      <c r="BC100" s="1051"/>
      <c r="BD100" s="1051"/>
      <c r="BE100" s="1053"/>
      <c r="BF100" s="1051"/>
      <c r="BG100" s="1051"/>
      <c r="BH100" s="1053"/>
      <c r="BI100" s="1052"/>
      <c r="BJ100" s="1052"/>
      <c r="BK100" s="1052"/>
      <c r="BL100" s="1052"/>
      <c r="BM100" s="1052"/>
      <c r="BN100" s="1054"/>
      <c r="BO100" s="1076">
        <f t="shared" si="12"/>
        <v>0</v>
      </c>
      <c r="BP100" s="1051"/>
      <c r="BQ100" s="1052"/>
      <c r="BR100" s="1054"/>
      <c r="BS100" s="1053"/>
      <c r="BT100" s="1051"/>
      <c r="BU100" s="1051"/>
      <c r="BV100" s="1051"/>
      <c r="BW100" s="1052"/>
      <c r="BX100" s="1052"/>
      <c r="BY100" s="1052"/>
      <c r="BZ100" s="1052"/>
      <c r="CA100" s="1052"/>
      <c r="CB100" s="1053"/>
      <c r="CC100" s="1053"/>
      <c r="CD100" s="1053"/>
      <c r="CE100" s="1053"/>
      <c r="CF100" s="1053"/>
      <c r="CG100" s="1053"/>
      <c r="CH100" s="1053"/>
      <c r="CI100" s="1123"/>
      <c r="CJ100" s="1123"/>
      <c r="CK100" s="1123"/>
      <c r="CL100" s="1123"/>
      <c r="CM100" s="1123"/>
      <c r="CN100" s="1123"/>
      <c r="CO100" s="1123"/>
      <c r="CP100" s="1123"/>
      <c r="CQ100" s="1123"/>
      <c r="CR100" s="1123"/>
      <c r="CS100" s="1123"/>
      <c r="CT100" s="1123"/>
      <c r="CU100" s="1123"/>
      <c r="CV100" s="1123"/>
      <c r="CW100" s="1123"/>
      <c r="CX100" s="1123"/>
      <c r="CY100" s="1123"/>
      <c r="CZ100" s="1114"/>
      <c r="DA100" s="1114"/>
      <c r="DB100" s="1114"/>
      <c r="DC100" s="1114"/>
      <c r="DD100" s="1114"/>
      <c r="DE100" s="1114"/>
      <c r="DF100" s="1114"/>
      <c r="DG100" s="1114"/>
      <c r="DH100" s="1114"/>
      <c r="DI100" s="1114"/>
      <c r="DJ100" s="1114"/>
      <c r="DK100" s="1114"/>
      <c r="DL100" s="1114"/>
      <c r="DM100" s="1114"/>
      <c r="DN100" s="1114"/>
      <c r="DO100" s="1114"/>
      <c r="DP100" s="1114"/>
      <c r="DQ100" s="1114"/>
      <c r="DR100" s="1114"/>
      <c r="DS100" s="1114"/>
      <c r="DT100" s="1114"/>
      <c r="DU100" s="1114"/>
      <c r="DV100" s="1115"/>
      <c r="DW100" s="1116"/>
      <c r="DX100" s="1116"/>
      <c r="DY100" s="1116"/>
      <c r="DZ100" s="1116"/>
      <c r="EA100" s="1116"/>
      <c r="EB100" s="1116"/>
      <c r="EC100" s="1116"/>
      <c r="ED100" s="1116"/>
      <c r="EE100" s="1116"/>
      <c r="EF100" s="1116"/>
      <c r="EG100" s="1116"/>
      <c r="EH100" s="1116"/>
      <c r="EI100" s="1116"/>
      <c r="EJ100" s="1116"/>
      <c r="EK100" s="1116"/>
      <c r="EL100" s="1116"/>
      <c r="EM100" s="1116"/>
      <c r="EN100" s="1116"/>
      <c r="EO100" s="1116"/>
      <c r="EP100" s="1116"/>
      <c r="EQ100" s="1116"/>
      <c r="ER100" s="1116"/>
      <c r="ES100" s="1116"/>
    </row>
    <row r="101" spans="1:149" ht="15" customHeight="1">
      <c r="A101" s="1799">
        <v>86</v>
      </c>
      <c r="B101" s="1041"/>
      <c r="C101" s="1050"/>
      <c r="D101" s="1050"/>
      <c r="E101" s="1050"/>
      <c r="F101" s="1049"/>
      <c r="G101" s="1457"/>
      <c r="H101" s="1049"/>
      <c r="I101" s="1049"/>
      <c r="J101" s="1050"/>
      <c r="K101" s="1050"/>
      <c r="L101" s="1043"/>
      <c r="M101" s="1051"/>
      <c r="N101" s="1051"/>
      <c r="O101" s="1052"/>
      <c r="P101" s="1051"/>
      <c r="Q101" s="1051"/>
      <c r="R101" s="1052"/>
      <c r="S101" s="1051"/>
      <c r="T101" s="1051"/>
      <c r="U101" s="1052"/>
      <c r="V101" s="1051"/>
      <c r="W101" s="1051"/>
      <c r="X101" s="1052"/>
      <c r="Y101" s="1053"/>
      <c r="Z101" s="1051"/>
      <c r="AA101" s="1051"/>
      <c r="AB101" s="1052"/>
      <c r="AC101" s="1051"/>
      <c r="AD101" s="1051"/>
      <c r="AE101" s="1052"/>
      <c r="AF101" s="1051"/>
      <c r="AG101" s="1051"/>
      <c r="AH101" s="1051"/>
      <c r="AI101" s="1051"/>
      <c r="AJ101" s="1052"/>
      <c r="AK101" s="1051"/>
      <c r="AL101" s="1051"/>
      <c r="AM101" s="1052"/>
      <c r="AN101" s="1051"/>
      <c r="AO101" s="1051"/>
      <c r="AP101" s="1052"/>
      <c r="AQ101" s="1051"/>
      <c r="AR101" s="1051"/>
      <c r="AS101" s="1052"/>
      <c r="AT101" s="1051"/>
      <c r="AU101" s="1051"/>
      <c r="AV101" s="1052"/>
      <c r="AW101" s="1051"/>
      <c r="AX101" s="1051"/>
      <c r="AY101" s="1053"/>
      <c r="AZ101" s="1051"/>
      <c r="BA101" s="1051"/>
      <c r="BB101" s="1053"/>
      <c r="BC101" s="1051"/>
      <c r="BD101" s="1051"/>
      <c r="BE101" s="1053"/>
      <c r="BF101" s="1051"/>
      <c r="BG101" s="1051"/>
      <c r="BH101" s="1053"/>
      <c r="BI101" s="1052"/>
      <c r="BJ101" s="1052"/>
      <c r="BK101" s="1052"/>
      <c r="BL101" s="1052"/>
      <c r="BM101" s="1052"/>
      <c r="BN101" s="1054"/>
      <c r="BO101" s="1076">
        <f t="shared" si="12"/>
        <v>0</v>
      </c>
      <c r="BP101" s="1051"/>
      <c r="BQ101" s="1052"/>
      <c r="BR101" s="1054"/>
      <c r="BS101" s="1053"/>
      <c r="BT101" s="1051"/>
      <c r="BU101" s="1051"/>
      <c r="BV101" s="1051"/>
      <c r="BW101" s="1052"/>
      <c r="BX101" s="1052"/>
      <c r="BY101" s="1052"/>
      <c r="BZ101" s="1052"/>
      <c r="CA101" s="1052"/>
      <c r="CB101" s="1053"/>
      <c r="CC101" s="1053"/>
      <c r="CD101" s="1053"/>
      <c r="CE101" s="1053"/>
      <c r="CF101" s="1053"/>
      <c r="CG101" s="1053"/>
      <c r="CH101" s="1053"/>
      <c r="CI101" s="1123"/>
      <c r="CJ101" s="1123"/>
      <c r="CK101" s="1123"/>
      <c r="CL101" s="1123"/>
      <c r="CM101" s="1123"/>
      <c r="CN101" s="1123"/>
      <c r="CO101" s="1123"/>
      <c r="CP101" s="1123"/>
      <c r="CQ101" s="1123"/>
      <c r="CR101" s="1123"/>
      <c r="CS101" s="1123"/>
      <c r="CT101" s="1123"/>
      <c r="CU101" s="1123"/>
      <c r="CV101" s="1123"/>
      <c r="CW101" s="1123"/>
      <c r="CX101" s="1123"/>
      <c r="CY101" s="1123"/>
      <c r="CZ101" s="1114"/>
      <c r="DA101" s="1114"/>
      <c r="DB101" s="1114"/>
      <c r="DC101" s="1114"/>
      <c r="DD101" s="1114"/>
      <c r="DE101" s="1114"/>
      <c r="DF101" s="1114"/>
      <c r="DG101" s="1114"/>
      <c r="DH101" s="1114"/>
      <c r="DI101" s="1114"/>
      <c r="DJ101" s="1114"/>
      <c r="DK101" s="1114"/>
      <c r="DL101" s="1114"/>
      <c r="DM101" s="1114"/>
      <c r="DN101" s="1114"/>
      <c r="DO101" s="1114"/>
      <c r="DP101" s="1114"/>
      <c r="DQ101" s="1114"/>
      <c r="DR101" s="1114"/>
      <c r="DS101" s="1114"/>
      <c r="DT101" s="1114"/>
      <c r="DU101" s="1114"/>
      <c r="DV101" s="1115"/>
      <c r="DW101" s="1116"/>
      <c r="DX101" s="1116"/>
      <c r="DY101" s="1116"/>
      <c r="DZ101" s="1116"/>
      <c r="EA101" s="1116"/>
      <c r="EB101" s="1116"/>
      <c r="EC101" s="1116"/>
      <c r="ED101" s="1116"/>
      <c r="EE101" s="1116"/>
      <c r="EF101" s="1116"/>
      <c r="EG101" s="1116"/>
      <c r="EH101" s="1116"/>
      <c r="EI101" s="1116"/>
      <c r="EJ101" s="1116"/>
      <c r="EK101" s="1116"/>
      <c r="EL101" s="1116"/>
      <c r="EM101" s="1116"/>
      <c r="EN101" s="1116"/>
      <c r="EO101" s="1116"/>
      <c r="EP101" s="1116"/>
      <c r="EQ101" s="1116"/>
      <c r="ER101" s="1116"/>
      <c r="ES101" s="1116"/>
    </row>
    <row r="102" spans="1:149" ht="15" customHeight="1">
      <c r="A102" s="1799">
        <v>87</v>
      </c>
      <c r="B102" s="1041"/>
      <c r="C102" s="1050"/>
      <c r="D102" s="1050"/>
      <c r="E102" s="1050"/>
      <c r="F102" s="1049"/>
      <c r="G102" s="1457"/>
      <c r="H102" s="1049"/>
      <c r="I102" s="1049"/>
      <c r="J102" s="1050"/>
      <c r="K102" s="1050"/>
      <c r="L102" s="1043"/>
      <c r="M102" s="1051"/>
      <c r="N102" s="1051"/>
      <c r="O102" s="1052"/>
      <c r="P102" s="1051"/>
      <c r="Q102" s="1051"/>
      <c r="R102" s="1052"/>
      <c r="S102" s="1051"/>
      <c r="T102" s="1051"/>
      <c r="U102" s="1052"/>
      <c r="V102" s="1051"/>
      <c r="W102" s="1051"/>
      <c r="X102" s="1052"/>
      <c r="Y102" s="1053"/>
      <c r="Z102" s="1051"/>
      <c r="AA102" s="1051"/>
      <c r="AB102" s="1052"/>
      <c r="AC102" s="1051"/>
      <c r="AD102" s="1051"/>
      <c r="AE102" s="1052"/>
      <c r="AF102" s="1051"/>
      <c r="AG102" s="1051"/>
      <c r="AH102" s="1051"/>
      <c r="AI102" s="1051"/>
      <c r="AJ102" s="1052"/>
      <c r="AK102" s="1051"/>
      <c r="AL102" s="1051"/>
      <c r="AM102" s="1052"/>
      <c r="AN102" s="1051"/>
      <c r="AO102" s="1051"/>
      <c r="AP102" s="1052"/>
      <c r="AQ102" s="1051"/>
      <c r="AR102" s="1051"/>
      <c r="AS102" s="1052"/>
      <c r="AT102" s="1051"/>
      <c r="AU102" s="1051"/>
      <c r="AV102" s="1052"/>
      <c r="AW102" s="1051"/>
      <c r="AX102" s="1051"/>
      <c r="AY102" s="1053"/>
      <c r="AZ102" s="1051"/>
      <c r="BA102" s="1051"/>
      <c r="BB102" s="1053"/>
      <c r="BC102" s="1051"/>
      <c r="BD102" s="1051"/>
      <c r="BE102" s="1053"/>
      <c r="BF102" s="1051"/>
      <c r="BG102" s="1051"/>
      <c r="BH102" s="1053"/>
      <c r="BI102" s="1052"/>
      <c r="BJ102" s="1052"/>
      <c r="BK102" s="1052"/>
      <c r="BL102" s="1052"/>
      <c r="BM102" s="1052"/>
      <c r="BN102" s="1054"/>
      <c r="BO102" s="1076">
        <f t="shared" si="12"/>
        <v>0</v>
      </c>
      <c r="BP102" s="1051"/>
      <c r="BQ102" s="1052"/>
      <c r="BR102" s="1054"/>
      <c r="BS102" s="1053"/>
      <c r="BT102" s="1051"/>
      <c r="BU102" s="1051"/>
      <c r="BV102" s="1051"/>
      <c r="BW102" s="1052"/>
      <c r="BX102" s="1052"/>
      <c r="BY102" s="1052"/>
      <c r="BZ102" s="1052"/>
      <c r="CA102" s="1052"/>
      <c r="CB102" s="1053"/>
      <c r="CC102" s="1053"/>
      <c r="CD102" s="1053"/>
      <c r="CE102" s="1053"/>
      <c r="CF102" s="1053"/>
      <c r="CG102" s="1053"/>
      <c r="CH102" s="1053"/>
      <c r="CI102" s="1123"/>
      <c r="CJ102" s="1123"/>
      <c r="CK102" s="1123"/>
      <c r="CL102" s="1123"/>
      <c r="CM102" s="1123"/>
      <c r="CN102" s="1123"/>
      <c r="CO102" s="1123"/>
      <c r="CP102" s="1123"/>
      <c r="CQ102" s="1123"/>
      <c r="CR102" s="1123"/>
      <c r="CS102" s="1123"/>
      <c r="CT102" s="1123"/>
      <c r="CU102" s="1123"/>
      <c r="CV102" s="1123"/>
      <c r="CW102" s="1123"/>
      <c r="CX102" s="1123"/>
      <c r="CY102" s="1123"/>
      <c r="CZ102" s="1114"/>
      <c r="DA102" s="1114"/>
      <c r="DB102" s="1114"/>
      <c r="DC102" s="1114"/>
      <c r="DD102" s="1114"/>
      <c r="DE102" s="1114"/>
      <c r="DF102" s="1114"/>
      <c r="DG102" s="1114"/>
      <c r="DH102" s="1114"/>
      <c r="DI102" s="1114"/>
      <c r="DJ102" s="1114"/>
      <c r="DK102" s="1114"/>
      <c r="DL102" s="1114"/>
      <c r="DM102" s="1114"/>
      <c r="DN102" s="1114"/>
      <c r="DO102" s="1114"/>
      <c r="DP102" s="1114"/>
      <c r="DQ102" s="1114"/>
      <c r="DR102" s="1114"/>
      <c r="DS102" s="1114"/>
      <c r="DT102" s="1114"/>
      <c r="DU102" s="1114"/>
      <c r="DV102" s="1115"/>
      <c r="DW102" s="1116"/>
      <c r="DX102" s="1116"/>
      <c r="DY102" s="1116"/>
      <c r="DZ102" s="1116"/>
      <c r="EA102" s="1116"/>
      <c r="EB102" s="1116"/>
      <c r="EC102" s="1116"/>
      <c r="ED102" s="1116"/>
      <c r="EE102" s="1116"/>
      <c r="EF102" s="1116"/>
      <c r="EG102" s="1116"/>
      <c r="EH102" s="1116"/>
      <c r="EI102" s="1116"/>
      <c r="EJ102" s="1116"/>
      <c r="EK102" s="1116"/>
      <c r="EL102" s="1116"/>
      <c r="EM102" s="1116"/>
      <c r="EN102" s="1116"/>
      <c r="EO102" s="1116"/>
      <c r="EP102" s="1116"/>
      <c r="EQ102" s="1116"/>
      <c r="ER102" s="1116"/>
      <c r="ES102" s="1116"/>
    </row>
    <row r="103" spans="1:149" ht="15" customHeight="1">
      <c r="A103" s="1799">
        <v>88</v>
      </c>
      <c r="B103" s="1041"/>
      <c r="C103" s="1050"/>
      <c r="D103" s="1050"/>
      <c r="E103" s="1050"/>
      <c r="F103" s="1049"/>
      <c r="G103" s="1457"/>
      <c r="H103" s="1049"/>
      <c r="I103" s="1049"/>
      <c r="J103" s="1050"/>
      <c r="K103" s="1050"/>
      <c r="L103" s="1043"/>
      <c r="M103" s="1051"/>
      <c r="N103" s="1051"/>
      <c r="O103" s="1052"/>
      <c r="P103" s="1051"/>
      <c r="Q103" s="1051"/>
      <c r="R103" s="1052"/>
      <c r="S103" s="1051"/>
      <c r="T103" s="1051"/>
      <c r="U103" s="1052"/>
      <c r="V103" s="1051"/>
      <c r="W103" s="1051"/>
      <c r="X103" s="1052"/>
      <c r="Y103" s="1053"/>
      <c r="Z103" s="1051"/>
      <c r="AA103" s="1051"/>
      <c r="AB103" s="1052"/>
      <c r="AC103" s="1051"/>
      <c r="AD103" s="1051"/>
      <c r="AE103" s="1052"/>
      <c r="AF103" s="1051"/>
      <c r="AG103" s="1051"/>
      <c r="AH103" s="1051"/>
      <c r="AI103" s="1051"/>
      <c r="AJ103" s="1052"/>
      <c r="AK103" s="1051"/>
      <c r="AL103" s="1051"/>
      <c r="AM103" s="1052"/>
      <c r="AN103" s="1051"/>
      <c r="AO103" s="1051"/>
      <c r="AP103" s="1052"/>
      <c r="AQ103" s="1051"/>
      <c r="AR103" s="1051"/>
      <c r="AS103" s="1052"/>
      <c r="AT103" s="1051"/>
      <c r="AU103" s="1051"/>
      <c r="AV103" s="1052"/>
      <c r="AW103" s="1051"/>
      <c r="AX103" s="1051"/>
      <c r="AY103" s="1053"/>
      <c r="AZ103" s="1051"/>
      <c r="BA103" s="1051"/>
      <c r="BB103" s="1053"/>
      <c r="BC103" s="1051"/>
      <c r="BD103" s="1051"/>
      <c r="BE103" s="1053"/>
      <c r="BF103" s="1051"/>
      <c r="BG103" s="1051"/>
      <c r="BH103" s="1053"/>
      <c r="BI103" s="1052"/>
      <c r="BJ103" s="1052"/>
      <c r="BK103" s="1052"/>
      <c r="BL103" s="1052"/>
      <c r="BM103" s="1052"/>
      <c r="BN103" s="1054"/>
      <c r="BO103" s="1076">
        <f t="shared" si="12"/>
        <v>0</v>
      </c>
      <c r="BP103" s="1051"/>
      <c r="BQ103" s="1052"/>
      <c r="BR103" s="1054"/>
      <c r="BS103" s="1053"/>
      <c r="BT103" s="1051"/>
      <c r="BU103" s="1051"/>
      <c r="BV103" s="1051"/>
      <c r="BW103" s="1052"/>
      <c r="BX103" s="1052"/>
      <c r="BY103" s="1052"/>
      <c r="BZ103" s="1052"/>
      <c r="CA103" s="1052"/>
      <c r="CB103" s="1053"/>
      <c r="CC103" s="1053"/>
      <c r="CD103" s="1053"/>
      <c r="CE103" s="1053"/>
      <c r="CF103" s="1053"/>
      <c r="CG103" s="1053"/>
      <c r="CH103" s="1053"/>
      <c r="CI103" s="1123"/>
      <c r="CJ103" s="1123"/>
      <c r="CK103" s="1123"/>
      <c r="CL103" s="1123"/>
      <c r="CM103" s="1123"/>
      <c r="CN103" s="1123"/>
      <c r="CO103" s="1123"/>
      <c r="CP103" s="1123"/>
      <c r="CQ103" s="1123"/>
      <c r="CR103" s="1123"/>
      <c r="CS103" s="1123"/>
      <c r="CT103" s="1123"/>
      <c r="CU103" s="1123"/>
      <c r="CV103" s="1123"/>
      <c r="CW103" s="1123"/>
      <c r="CX103" s="1123"/>
      <c r="CY103" s="1123"/>
      <c r="CZ103" s="1114"/>
      <c r="DA103" s="1114"/>
      <c r="DB103" s="1114"/>
      <c r="DC103" s="1114"/>
      <c r="DD103" s="1114"/>
      <c r="DE103" s="1114"/>
      <c r="DF103" s="1114"/>
      <c r="DG103" s="1114"/>
      <c r="DH103" s="1114"/>
      <c r="DI103" s="1114"/>
      <c r="DJ103" s="1114"/>
      <c r="DK103" s="1114"/>
      <c r="DL103" s="1114"/>
      <c r="DM103" s="1114"/>
      <c r="DN103" s="1114"/>
      <c r="DO103" s="1114"/>
      <c r="DP103" s="1114"/>
      <c r="DQ103" s="1114"/>
      <c r="DR103" s="1114"/>
      <c r="DS103" s="1114"/>
      <c r="DT103" s="1114"/>
      <c r="DU103" s="1114"/>
      <c r="DV103" s="1115"/>
      <c r="DW103" s="1116"/>
      <c r="DX103" s="1116"/>
      <c r="DY103" s="1116"/>
      <c r="DZ103" s="1116"/>
      <c r="EA103" s="1116"/>
      <c r="EB103" s="1116"/>
      <c r="EC103" s="1116"/>
      <c r="ED103" s="1116"/>
      <c r="EE103" s="1116"/>
      <c r="EF103" s="1116"/>
      <c r="EG103" s="1116"/>
      <c r="EH103" s="1116"/>
      <c r="EI103" s="1116"/>
      <c r="EJ103" s="1116"/>
      <c r="EK103" s="1116"/>
      <c r="EL103" s="1116"/>
      <c r="EM103" s="1116"/>
      <c r="EN103" s="1116"/>
      <c r="EO103" s="1116"/>
      <c r="EP103" s="1116"/>
      <c r="EQ103" s="1116"/>
      <c r="ER103" s="1116"/>
      <c r="ES103" s="1116"/>
    </row>
    <row r="104" spans="1:149" ht="15" customHeight="1">
      <c r="A104" s="1799">
        <v>89</v>
      </c>
      <c r="B104" s="1041"/>
      <c r="C104" s="1050"/>
      <c r="D104" s="1050"/>
      <c r="E104" s="1050"/>
      <c r="F104" s="1049"/>
      <c r="G104" s="1457"/>
      <c r="H104" s="1049"/>
      <c r="I104" s="1049"/>
      <c r="J104" s="1050"/>
      <c r="K104" s="1050"/>
      <c r="L104" s="1043"/>
      <c r="M104" s="1051"/>
      <c r="N104" s="1051"/>
      <c r="O104" s="1052"/>
      <c r="P104" s="1051"/>
      <c r="Q104" s="1051"/>
      <c r="R104" s="1052"/>
      <c r="S104" s="1051"/>
      <c r="T104" s="1051"/>
      <c r="U104" s="1052"/>
      <c r="V104" s="1051"/>
      <c r="W104" s="1051"/>
      <c r="X104" s="1052"/>
      <c r="Y104" s="1053"/>
      <c r="Z104" s="1051"/>
      <c r="AA104" s="1051"/>
      <c r="AB104" s="1052"/>
      <c r="AC104" s="1051"/>
      <c r="AD104" s="1051"/>
      <c r="AE104" s="1052"/>
      <c r="AF104" s="1051"/>
      <c r="AG104" s="1051"/>
      <c r="AH104" s="1051"/>
      <c r="AI104" s="1051"/>
      <c r="AJ104" s="1052"/>
      <c r="AK104" s="1051"/>
      <c r="AL104" s="1051"/>
      <c r="AM104" s="1052"/>
      <c r="AN104" s="1051"/>
      <c r="AO104" s="1051"/>
      <c r="AP104" s="1052"/>
      <c r="AQ104" s="1051"/>
      <c r="AR104" s="1051"/>
      <c r="AS104" s="1052"/>
      <c r="AT104" s="1051"/>
      <c r="AU104" s="1051"/>
      <c r="AV104" s="1052"/>
      <c r="AW104" s="1051"/>
      <c r="AX104" s="1051"/>
      <c r="AY104" s="1053"/>
      <c r="AZ104" s="1051"/>
      <c r="BA104" s="1051"/>
      <c r="BB104" s="1053"/>
      <c r="BC104" s="1051"/>
      <c r="BD104" s="1051"/>
      <c r="BE104" s="1053"/>
      <c r="BF104" s="1051"/>
      <c r="BG104" s="1051"/>
      <c r="BH104" s="1053"/>
      <c r="BI104" s="1052"/>
      <c r="BJ104" s="1052"/>
      <c r="BK104" s="1052"/>
      <c r="BL104" s="1052"/>
      <c r="BM104" s="1052"/>
      <c r="BN104" s="1054"/>
      <c r="BO104" s="1076">
        <f t="shared" si="12"/>
        <v>0</v>
      </c>
      <c r="BP104" s="1051"/>
      <c r="BQ104" s="1052"/>
      <c r="BR104" s="1054"/>
      <c r="BS104" s="1053"/>
      <c r="BT104" s="1051"/>
      <c r="BU104" s="1051"/>
      <c r="BV104" s="1051"/>
      <c r="BW104" s="1052"/>
      <c r="BX104" s="1052"/>
      <c r="BY104" s="1052"/>
      <c r="BZ104" s="1052"/>
      <c r="CA104" s="1052"/>
      <c r="CB104" s="1053"/>
      <c r="CC104" s="1053"/>
      <c r="CD104" s="1053"/>
      <c r="CE104" s="1053"/>
      <c r="CF104" s="1053"/>
      <c r="CG104" s="1053"/>
      <c r="CH104" s="1053"/>
      <c r="CI104" s="1123"/>
      <c r="CJ104" s="1123"/>
      <c r="CK104" s="1123"/>
      <c r="CL104" s="1123"/>
      <c r="CM104" s="1123"/>
      <c r="CN104" s="1123"/>
      <c r="CO104" s="1123"/>
      <c r="CP104" s="1123"/>
      <c r="CQ104" s="1123"/>
      <c r="CR104" s="1123"/>
      <c r="CS104" s="1123"/>
      <c r="CT104" s="1123"/>
      <c r="CU104" s="1123"/>
      <c r="CV104" s="1123"/>
      <c r="CW104" s="1123"/>
      <c r="CX104" s="1123"/>
      <c r="CY104" s="1123"/>
      <c r="CZ104" s="1114"/>
      <c r="DA104" s="1114"/>
      <c r="DB104" s="1114"/>
      <c r="DC104" s="1114"/>
      <c r="DD104" s="1114"/>
      <c r="DE104" s="1114"/>
      <c r="DF104" s="1114"/>
      <c r="DG104" s="1114"/>
      <c r="DH104" s="1114"/>
      <c r="DI104" s="1114"/>
      <c r="DJ104" s="1114"/>
      <c r="DK104" s="1114"/>
      <c r="DL104" s="1114"/>
      <c r="DM104" s="1114"/>
      <c r="DN104" s="1114"/>
      <c r="DO104" s="1114"/>
      <c r="DP104" s="1114"/>
      <c r="DQ104" s="1114"/>
      <c r="DR104" s="1114"/>
      <c r="DS104" s="1114"/>
      <c r="DT104" s="1114"/>
      <c r="DU104" s="1114"/>
      <c r="DV104" s="1115"/>
      <c r="DW104" s="1116"/>
      <c r="DX104" s="1116"/>
      <c r="DY104" s="1116"/>
      <c r="DZ104" s="1116"/>
      <c r="EA104" s="1116"/>
      <c r="EB104" s="1116"/>
      <c r="EC104" s="1116"/>
      <c r="ED104" s="1116"/>
      <c r="EE104" s="1116"/>
      <c r="EF104" s="1116"/>
      <c r="EG104" s="1116"/>
      <c r="EH104" s="1116"/>
      <c r="EI104" s="1116"/>
      <c r="EJ104" s="1116"/>
      <c r="EK104" s="1116"/>
      <c r="EL104" s="1116"/>
      <c r="EM104" s="1116"/>
      <c r="EN104" s="1116"/>
      <c r="EO104" s="1116"/>
      <c r="EP104" s="1116"/>
      <c r="EQ104" s="1116"/>
      <c r="ER104" s="1116"/>
      <c r="ES104" s="1116"/>
    </row>
    <row r="105" spans="1:149" ht="15" customHeight="1">
      <c r="A105" s="1799">
        <v>90</v>
      </c>
      <c r="B105" s="1041"/>
      <c r="C105" s="1050"/>
      <c r="D105" s="1050"/>
      <c r="E105" s="1050"/>
      <c r="F105" s="1049"/>
      <c r="G105" s="1457"/>
      <c r="H105" s="1049"/>
      <c r="I105" s="1049"/>
      <c r="J105" s="1050"/>
      <c r="K105" s="1050"/>
      <c r="L105" s="1043"/>
      <c r="M105" s="1051"/>
      <c r="N105" s="1051"/>
      <c r="O105" s="1052"/>
      <c r="P105" s="1051"/>
      <c r="Q105" s="1051"/>
      <c r="R105" s="1052"/>
      <c r="S105" s="1051"/>
      <c r="T105" s="1051"/>
      <c r="U105" s="1052"/>
      <c r="V105" s="1051"/>
      <c r="W105" s="1051"/>
      <c r="X105" s="1052"/>
      <c r="Y105" s="1053"/>
      <c r="Z105" s="1051"/>
      <c r="AA105" s="1051"/>
      <c r="AB105" s="1052"/>
      <c r="AC105" s="1051"/>
      <c r="AD105" s="1051"/>
      <c r="AE105" s="1052"/>
      <c r="AF105" s="1051"/>
      <c r="AG105" s="1051"/>
      <c r="AH105" s="1051"/>
      <c r="AI105" s="1051"/>
      <c r="AJ105" s="1052"/>
      <c r="AK105" s="1051"/>
      <c r="AL105" s="1051"/>
      <c r="AM105" s="1052"/>
      <c r="AN105" s="1051"/>
      <c r="AO105" s="1051"/>
      <c r="AP105" s="1052"/>
      <c r="AQ105" s="1051"/>
      <c r="AR105" s="1051"/>
      <c r="AS105" s="1052"/>
      <c r="AT105" s="1051"/>
      <c r="AU105" s="1051"/>
      <c r="AV105" s="1052"/>
      <c r="AW105" s="1051"/>
      <c r="AX105" s="1051"/>
      <c r="AY105" s="1053"/>
      <c r="AZ105" s="1051"/>
      <c r="BA105" s="1051"/>
      <c r="BB105" s="1053"/>
      <c r="BC105" s="1051"/>
      <c r="BD105" s="1051"/>
      <c r="BE105" s="1053"/>
      <c r="BF105" s="1051"/>
      <c r="BG105" s="1051"/>
      <c r="BH105" s="1053"/>
      <c r="BI105" s="1052"/>
      <c r="BJ105" s="1052"/>
      <c r="BK105" s="1052"/>
      <c r="BL105" s="1052"/>
      <c r="BM105" s="1052"/>
      <c r="BN105" s="1054"/>
      <c r="BO105" s="1076">
        <f t="shared" si="12"/>
        <v>0</v>
      </c>
      <c r="BP105" s="1051"/>
      <c r="BQ105" s="1052"/>
      <c r="BR105" s="1054"/>
      <c r="BS105" s="1053"/>
      <c r="BT105" s="1051"/>
      <c r="BU105" s="1051"/>
      <c r="BV105" s="1051"/>
      <c r="BW105" s="1052"/>
      <c r="BX105" s="1052"/>
      <c r="BY105" s="1052"/>
      <c r="BZ105" s="1052"/>
      <c r="CA105" s="1052"/>
      <c r="CB105" s="1053"/>
      <c r="CC105" s="1053"/>
      <c r="CD105" s="1053"/>
      <c r="CE105" s="1053"/>
      <c r="CF105" s="1053"/>
      <c r="CG105" s="1053"/>
      <c r="CH105" s="1053"/>
      <c r="CI105" s="1123"/>
      <c r="CJ105" s="1123"/>
      <c r="CK105" s="1123"/>
      <c r="CL105" s="1123"/>
      <c r="CM105" s="1123"/>
      <c r="CN105" s="1123"/>
      <c r="CO105" s="1123"/>
      <c r="CP105" s="1123"/>
      <c r="CQ105" s="1123"/>
      <c r="CR105" s="1123"/>
      <c r="CS105" s="1123"/>
      <c r="CT105" s="1123"/>
      <c r="CU105" s="1123"/>
      <c r="CV105" s="1123"/>
      <c r="CW105" s="1123"/>
      <c r="CX105" s="1123"/>
      <c r="CY105" s="1123"/>
      <c r="CZ105" s="1114"/>
      <c r="DA105" s="1114"/>
      <c r="DB105" s="1114"/>
      <c r="DC105" s="1114"/>
      <c r="DD105" s="1114"/>
      <c r="DE105" s="1114"/>
      <c r="DF105" s="1114"/>
      <c r="DG105" s="1114"/>
      <c r="DH105" s="1114"/>
      <c r="DI105" s="1114"/>
      <c r="DJ105" s="1114"/>
      <c r="DK105" s="1114"/>
      <c r="DL105" s="1114"/>
      <c r="DM105" s="1114"/>
      <c r="DN105" s="1114"/>
      <c r="DO105" s="1114"/>
      <c r="DP105" s="1114"/>
      <c r="DQ105" s="1114"/>
      <c r="DR105" s="1114"/>
      <c r="DS105" s="1114"/>
      <c r="DT105" s="1114"/>
      <c r="DU105" s="1114"/>
      <c r="DV105" s="1115"/>
      <c r="DW105" s="1116"/>
      <c r="DX105" s="1116"/>
      <c r="DY105" s="1116"/>
      <c r="DZ105" s="1116"/>
      <c r="EA105" s="1116"/>
      <c r="EB105" s="1116"/>
      <c r="EC105" s="1116"/>
      <c r="ED105" s="1116"/>
      <c r="EE105" s="1116"/>
      <c r="EF105" s="1116"/>
      <c r="EG105" s="1116"/>
      <c r="EH105" s="1116"/>
      <c r="EI105" s="1116"/>
      <c r="EJ105" s="1116"/>
      <c r="EK105" s="1116"/>
      <c r="EL105" s="1116"/>
      <c r="EM105" s="1116"/>
      <c r="EN105" s="1116"/>
      <c r="EO105" s="1116"/>
      <c r="EP105" s="1116"/>
      <c r="EQ105" s="1116"/>
      <c r="ER105" s="1116"/>
      <c r="ES105" s="1116"/>
    </row>
    <row r="106" spans="1:149" ht="15" customHeight="1">
      <c r="A106" s="1799">
        <v>91</v>
      </c>
      <c r="B106" s="1041"/>
      <c r="C106" s="1050"/>
      <c r="D106" s="1050"/>
      <c r="E106" s="1050"/>
      <c r="F106" s="1049"/>
      <c r="G106" s="1457"/>
      <c r="H106" s="1049"/>
      <c r="I106" s="1049"/>
      <c r="J106" s="1050"/>
      <c r="K106" s="1050"/>
      <c r="L106" s="1043"/>
      <c r="M106" s="1051"/>
      <c r="N106" s="1051"/>
      <c r="O106" s="1052"/>
      <c r="P106" s="1051"/>
      <c r="Q106" s="1051"/>
      <c r="R106" s="1052"/>
      <c r="S106" s="1051"/>
      <c r="T106" s="1051"/>
      <c r="U106" s="1052"/>
      <c r="V106" s="1051"/>
      <c r="W106" s="1051"/>
      <c r="X106" s="1052"/>
      <c r="Y106" s="1053"/>
      <c r="Z106" s="1051"/>
      <c r="AA106" s="1051"/>
      <c r="AB106" s="1052"/>
      <c r="AC106" s="1051"/>
      <c r="AD106" s="1051"/>
      <c r="AE106" s="1052"/>
      <c r="AF106" s="1051"/>
      <c r="AG106" s="1051"/>
      <c r="AH106" s="1051"/>
      <c r="AI106" s="1051"/>
      <c r="AJ106" s="1052"/>
      <c r="AK106" s="1051"/>
      <c r="AL106" s="1051"/>
      <c r="AM106" s="1052"/>
      <c r="AN106" s="1051"/>
      <c r="AO106" s="1051"/>
      <c r="AP106" s="1052"/>
      <c r="AQ106" s="1051"/>
      <c r="AR106" s="1051"/>
      <c r="AS106" s="1052"/>
      <c r="AT106" s="1051"/>
      <c r="AU106" s="1051"/>
      <c r="AV106" s="1052"/>
      <c r="AW106" s="1051"/>
      <c r="AX106" s="1051"/>
      <c r="AY106" s="1053"/>
      <c r="AZ106" s="1051"/>
      <c r="BA106" s="1051"/>
      <c r="BB106" s="1053"/>
      <c r="BC106" s="1051"/>
      <c r="BD106" s="1051"/>
      <c r="BE106" s="1053"/>
      <c r="BF106" s="1051"/>
      <c r="BG106" s="1051"/>
      <c r="BH106" s="1053"/>
      <c r="BI106" s="1052"/>
      <c r="BJ106" s="1052"/>
      <c r="BK106" s="1052"/>
      <c r="BL106" s="1052"/>
      <c r="BM106" s="1052"/>
      <c r="BN106" s="1054"/>
      <c r="BO106" s="1076">
        <f t="shared" si="12"/>
        <v>0</v>
      </c>
      <c r="BP106" s="1051"/>
      <c r="BQ106" s="1052"/>
      <c r="BR106" s="1054"/>
      <c r="BS106" s="1053"/>
      <c r="BT106" s="1051"/>
      <c r="BU106" s="1051"/>
      <c r="BV106" s="1051"/>
      <c r="BW106" s="1052"/>
      <c r="BX106" s="1052"/>
      <c r="BY106" s="1052"/>
      <c r="BZ106" s="1052"/>
      <c r="CA106" s="1052"/>
      <c r="CB106" s="1053"/>
      <c r="CC106" s="1053"/>
      <c r="CD106" s="1053"/>
      <c r="CE106" s="1053"/>
      <c r="CF106" s="1053"/>
      <c r="CG106" s="1053"/>
      <c r="CH106" s="1053"/>
      <c r="CI106" s="1123"/>
      <c r="CJ106" s="1123"/>
      <c r="CK106" s="1123"/>
      <c r="CL106" s="1123"/>
      <c r="CM106" s="1123"/>
      <c r="CN106" s="1123"/>
      <c r="CO106" s="1123"/>
      <c r="CP106" s="1123"/>
      <c r="CQ106" s="1123"/>
      <c r="CR106" s="1123"/>
      <c r="CS106" s="1123"/>
      <c r="CT106" s="1123"/>
      <c r="CU106" s="1123"/>
      <c r="CV106" s="1123"/>
      <c r="CW106" s="1123"/>
      <c r="CX106" s="1123"/>
      <c r="CY106" s="1123"/>
      <c r="CZ106" s="1114"/>
      <c r="DA106" s="1114"/>
      <c r="DB106" s="1114"/>
      <c r="DC106" s="1114"/>
      <c r="DD106" s="1114"/>
      <c r="DE106" s="1114"/>
      <c r="DF106" s="1114"/>
      <c r="DG106" s="1114"/>
      <c r="DH106" s="1114"/>
      <c r="DI106" s="1114"/>
      <c r="DJ106" s="1114"/>
      <c r="DK106" s="1114"/>
      <c r="DL106" s="1114"/>
      <c r="DM106" s="1114"/>
      <c r="DN106" s="1114"/>
      <c r="DO106" s="1114"/>
      <c r="DP106" s="1114"/>
      <c r="DQ106" s="1114"/>
      <c r="DR106" s="1114"/>
      <c r="DS106" s="1114"/>
      <c r="DT106" s="1114"/>
      <c r="DU106" s="1114"/>
      <c r="DV106" s="1115"/>
      <c r="DW106" s="1116"/>
      <c r="DX106" s="1116"/>
      <c r="DY106" s="1116"/>
      <c r="DZ106" s="1116"/>
      <c r="EA106" s="1116"/>
      <c r="EB106" s="1116"/>
      <c r="EC106" s="1116"/>
      <c r="ED106" s="1116"/>
      <c r="EE106" s="1116"/>
      <c r="EF106" s="1116"/>
      <c r="EG106" s="1116"/>
      <c r="EH106" s="1116"/>
      <c r="EI106" s="1116"/>
      <c r="EJ106" s="1116"/>
      <c r="EK106" s="1116"/>
      <c r="EL106" s="1116"/>
      <c r="EM106" s="1116"/>
      <c r="EN106" s="1116"/>
      <c r="EO106" s="1116"/>
      <c r="EP106" s="1116"/>
      <c r="EQ106" s="1116"/>
      <c r="ER106" s="1116"/>
      <c r="ES106" s="1116"/>
    </row>
    <row r="107" spans="1:149" ht="15" customHeight="1">
      <c r="A107" s="1799">
        <v>92</v>
      </c>
      <c r="B107" s="1041"/>
      <c r="C107" s="1050"/>
      <c r="D107" s="1050"/>
      <c r="E107" s="1050"/>
      <c r="F107" s="1049"/>
      <c r="G107" s="1457"/>
      <c r="H107" s="1049"/>
      <c r="I107" s="1049"/>
      <c r="J107" s="1050"/>
      <c r="K107" s="1050"/>
      <c r="L107" s="1043"/>
      <c r="M107" s="1051"/>
      <c r="N107" s="1051"/>
      <c r="O107" s="1052"/>
      <c r="P107" s="1051"/>
      <c r="Q107" s="1051"/>
      <c r="R107" s="1052"/>
      <c r="S107" s="1051"/>
      <c r="T107" s="1051"/>
      <c r="U107" s="1052"/>
      <c r="V107" s="1051"/>
      <c r="W107" s="1051"/>
      <c r="X107" s="1052"/>
      <c r="Y107" s="1053"/>
      <c r="Z107" s="1051"/>
      <c r="AA107" s="1051"/>
      <c r="AB107" s="1052"/>
      <c r="AC107" s="1051"/>
      <c r="AD107" s="1051"/>
      <c r="AE107" s="1052"/>
      <c r="AF107" s="1051"/>
      <c r="AG107" s="1051"/>
      <c r="AH107" s="1051"/>
      <c r="AI107" s="1051"/>
      <c r="AJ107" s="1052"/>
      <c r="AK107" s="1051"/>
      <c r="AL107" s="1051"/>
      <c r="AM107" s="1052"/>
      <c r="AN107" s="1051"/>
      <c r="AO107" s="1051"/>
      <c r="AP107" s="1052"/>
      <c r="AQ107" s="1051"/>
      <c r="AR107" s="1051"/>
      <c r="AS107" s="1052"/>
      <c r="AT107" s="1051"/>
      <c r="AU107" s="1051"/>
      <c r="AV107" s="1052"/>
      <c r="AW107" s="1051"/>
      <c r="AX107" s="1051"/>
      <c r="AY107" s="1053"/>
      <c r="AZ107" s="1051"/>
      <c r="BA107" s="1051"/>
      <c r="BB107" s="1053"/>
      <c r="BC107" s="1051"/>
      <c r="BD107" s="1051"/>
      <c r="BE107" s="1053"/>
      <c r="BF107" s="1051"/>
      <c r="BG107" s="1051"/>
      <c r="BH107" s="1053"/>
      <c r="BI107" s="1052"/>
      <c r="BJ107" s="1052"/>
      <c r="BK107" s="1052"/>
      <c r="BL107" s="1052"/>
      <c r="BM107" s="1052"/>
      <c r="BN107" s="1054"/>
      <c r="BO107" s="1076">
        <f t="shared" si="12"/>
        <v>0</v>
      </c>
      <c r="BP107" s="1051"/>
      <c r="BQ107" s="1052"/>
      <c r="BR107" s="1054"/>
      <c r="BS107" s="1053"/>
      <c r="BT107" s="1051"/>
      <c r="BU107" s="1051"/>
      <c r="BV107" s="1051"/>
      <c r="BW107" s="1052"/>
      <c r="BX107" s="1052"/>
      <c r="BY107" s="1052"/>
      <c r="BZ107" s="1052"/>
      <c r="CA107" s="1052"/>
      <c r="CB107" s="1053"/>
      <c r="CC107" s="1053"/>
      <c r="CD107" s="1053"/>
      <c r="CE107" s="1053"/>
      <c r="CF107" s="1053"/>
      <c r="CG107" s="1053"/>
      <c r="CH107" s="1053"/>
      <c r="CI107" s="1123"/>
      <c r="CJ107" s="1123"/>
      <c r="CK107" s="1123"/>
      <c r="CL107" s="1123"/>
      <c r="CM107" s="1123"/>
      <c r="CN107" s="1123"/>
      <c r="CO107" s="1123"/>
      <c r="CP107" s="1123"/>
      <c r="CQ107" s="1123"/>
      <c r="CR107" s="1123"/>
      <c r="CS107" s="1123"/>
      <c r="CT107" s="1123"/>
      <c r="CU107" s="1123"/>
      <c r="CV107" s="1123"/>
      <c r="CW107" s="1123"/>
      <c r="CX107" s="1123"/>
      <c r="CY107" s="1123"/>
      <c r="CZ107" s="1114"/>
      <c r="DA107" s="1114"/>
      <c r="DB107" s="1114"/>
      <c r="DC107" s="1114"/>
      <c r="DD107" s="1114"/>
      <c r="DE107" s="1114"/>
      <c r="DF107" s="1114"/>
      <c r="DG107" s="1114"/>
      <c r="DH107" s="1114"/>
      <c r="DI107" s="1114"/>
      <c r="DJ107" s="1114"/>
      <c r="DK107" s="1114"/>
      <c r="DL107" s="1114"/>
      <c r="DM107" s="1114"/>
      <c r="DN107" s="1114"/>
      <c r="DO107" s="1114"/>
      <c r="DP107" s="1114"/>
      <c r="DQ107" s="1114"/>
      <c r="DR107" s="1114"/>
      <c r="DS107" s="1114"/>
      <c r="DT107" s="1114"/>
      <c r="DU107" s="1114"/>
      <c r="DV107" s="1115"/>
      <c r="DW107" s="1116"/>
      <c r="DX107" s="1116"/>
      <c r="DY107" s="1116"/>
      <c r="DZ107" s="1116"/>
      <c r="EA107" s="1116"/>
      <c r="EB107" s="1116"/>
      <c r="EC107" s="1116"/>
      <c r="ED107" s="1116"/>
      <c r="EE107" s="1116"/>
      <c r="EF107" s="1116"/>
      <c r="EG107" s="1116"/>
      <c r="EH107" s="1116"/>
      <c r="EI107" s="1116"/>
      <c r="EJ107" s="1116"/>
      <c r="EK107" s="1116"/>
      <c r="EL107" s="1116"/>
      <c r="EM107" s="1116"/>
      <c r="EN107" s="1116"/>
      <c r="EO107" s="1116"/>
      <c r="EP107" s="1116"/>
      <c r="EQ107" s="1116"/>
      <c r="ER107" s="1116"/>
      <c r="ES107" s="1116"/>
    </row>
    <row r="108" spans="1:149" ht="15" customHeight="1">
      <c r="A108" s="1799">
        <v>93</v>
      </c>
      <c r="B108" s="1041"/>
      <c r="C108" s="1050"/>
      <c r="D108" s="1050"/>
      <c r="E108" s="1050"/>
      <c r="F108" s="1049"/>
      <c r="G108" s="1457"/>
      <c r="H108" s="1049"/>
      <c r="I108" s="1049"/>
      <c r="J108" s="1050"/>
      <c r="K108" s="1050"/>
      <c r="L108" s="1043"/>
      <c r="M108" s="1051"/>
      <c r="N108" s="1051"/>
      <c r="O108" s="1052"/>
      <c r="P108" s="1051"/>
      <c r="Q108" s="1051"/>
      <c r="R108" s="1052"/>
      <c r="S108" s="1051"/>
      <c r="T108" s="1051"/>
      <c r="U108" s="1052"/>
      <c r="V108" s="1051"/>
      <c r="W108" s="1051"/>
      <c r="X108" s="1052"/>
      <c r="Y108" s="1053"/>
      <c r="Z108" s="1051"/>
      <c r="AA108" s="1051"/>
      <c r="AB108" s="1052"/>
      <c r="AC108" s="1051"/>
      <c r="AD108" s="1051"/>
      <c r="AE108" s="1052"/>
      <c r="AF108" s="1051"/>
      <c r="AG108" s="1051"/>
      <c r="AH108" s="1051"/>
      <c r="AI108" s="1051"/>
      <c r="AJ108" s="1052"/>
      <c r="AK108" s="1051"/>
      <c r="AL108" s="1051"/>
      <c r="AM108" s="1052"/>
      <c r="AN108" s="1051"/>
      <c r="AO108" s="1051"/>
      <c r="AP108" s="1052"/>
      <c r="AQ108" s="1051"/>
      <c r="AR108" s="1051"/>
      <c r="AS108" s="1052"/>
      <c r="AT108" s="1051"/>
      <c r="AU108" s="1051"/>
      <c r="AV108" s="1052"/>
      <c r="AW108" s="1051"/>
      <c r="AX108" s="1051"/>
      <c r="AY108" s="1053"/>
      <c r="AZ108" s="1051"/>
      <c r="BA108" s="1051"/>
      <c r="BB108" s="1053"/>
      <c r="BC108" s="1051"/>
      <c r="BD108" s="1051"/>
      <c r="BE108" s="1053"/>
      <c r="BF108" s="1051"/>
      <c r="BG108" s="1051"/>
      <c r="BH108" s="1053"/>
      <c r="BI108" s="1052"/>
      <c r="BJ108" s="1052"/>
      <c r="BK108" s="1052"/>
      <c r="BL108" s="1052"/>
      <c r="BM108" s="1052"/>
      <c r="BN108" s="1054"/>
      <c r="BO108" s="1076">
        <f t="shared" si="12"/>
        <v>0</v>
      </c>
      <c r="BP108" s="1051"/>
      <c r="BQ108" s="1052"/>
      <c r="BR108" s="1054"/>
      <c r="BS108" s="1053"/>
      <c r="BT108" s="1051"/>
      <c r="BU108" s="1051"/>
      <c r="BV108" s="1051"/>
      <c r="BW108" s="1052"/>
      <c r="BX108" s="1052"/>
      <c r="BY108" s="1052"/>
      <c r="BZ108" s="1052"/>
      <c r="CA108" s="1052"/>
      <c r="CB108" s="1053"/>
      <c r="CC108" s="1053"/>
      <c r="CD108" s="1053"/>
      <c r="CE108" s="1053"/>
      <c r="CF108" s="1053"/>
      <c r="CG108" s="1053"/>
      <c r="CH108" s="1053"/>
      <c r="CI108" s="1123"/>
      <c r="CJ108" s="1123"/>
      <c r="CK108" s="1123"/>
      <c r="CL108" s="1123"/>
      <c r="CM108" s="1123"/>
      <c r="CN108" s="1123"/>
      <c r="CO108" s="1123"/>
      <c r="CP108" s="1123"/>
      <c r="CQ108" s="1123"/>
      <c r="CR108" s="1123"/>
      <c r="CS108" s="1123"/>
      <c r="CT108" s="1123"/>
      <c r="CU108" s="1123"/>
      <c r="CV108" s="1123"/>
      <c r="CW108" s="1123"/>
      <c r="CX108" s="1123"/>
      <c r="CY108" s="1123"/>
      <c r="CZ108" s="1114"/>
      <c r="DA108" s="1114"/>
      <c r="DB108" s="1114"/>
      <c r="DC108" s="1114"/>
      <c r="DD108" s="1114"/>
      <c r="DE108" s="1114"/>
      <c r="DF108" s="1114"/>
      <c r="DG108" s="1114"/>
      <c r="DH108" s="1114"/>
      <c r="DI108" s="1114"/>
      <c r="DJ108" s="1114"/>
      <c r="DK108" s="1114"/>
      <c r="DL108" s="1114"/>
      <c r="DM108" s="1114"/>
      <c r="DN108" s="1114"/>
      <c r="DO108" s="1114"/>
      <c r="DP108" s="1114"/>
      <c r="DQ108" s="1114"/>
      <c r="DR108" s="1114"/>
      <c r="DS108" s="1114"/>
      <c r="DT108" s="1114"/>
      <c r="DU108" s="1114"/>
      <c r="DV108" s="1115"/>
      <c r="DW108" s="1116"/>
      <c r="DX108" s="1116"/>
      <c r="DY108" s="1116"/>
      <c r="DZ108" s="1116"/>
      <c r="EA108" s="1116"/>
      <c r="EB108" s="1116"/>
      <c r="EC108" s="1116"/>
      <c r="ED108" s="1116"/>
      <c r="EE108" s="1116"/>
      <c r="EF108" s="1116"/>
      <c r="EG108" s="1116"/>
      <c r="EH108" s="1116"/>
      <c r="EI108" s="1116"/>
      <c r="EJ108" s="1116"/>
      <c r="EK108" s="1116"/>
      <c r="EL108" s="1116"/>
      <c r="EM108" s="1116"/>
      <c r="EN108" s="1116"/>
      <c r="EO108" s="1116"/>
      <c r="EP108" s="1116"/>
      <c r="EQ108" s="1116"/>
      <c r="ER108" s="1116"/>
      <c r="ES108" s="1116"/>
    </row>
    <row r="109" spans="1:149" ht="15" customHeight="1">
      <c r="A109" s="1799">
        <v>94</v>
      </c>
      <c r="B109" s="1041"/>
      <c r="C109" s="1050"/>
      <c r="D109" s="1050"/>
      <c r="E109" s="1050"/>
      <c r="F109" s="1049"/>
      <c r="G109" s="1457"/>
      <c r="H109" s="1049"/>
      <c r="I109" s="1049"/>
      <c r="J109" s="1050"/>
      <c r="K109" s="1050"/>
      <c r="L109" s="1043"/>
      <c r="M109" s="1051"/>
      <c r="N109" s="1051"/>
      <c r="O109" s="1052"/>
      <c r="P109" s="1051"/>
      <c r="Q109" s="1051"/>
      <c r="R109" s="1052"/>
      <c r="S109" s="1051"/>
      <c r="T109" s="1051"/>
      <c r="U109" s="1052"/>
      <c r="V109" s="1051"/>
      <c r="W109" s="1051"/>
      <c r="X109" s="1052"/>
      <c r="Y109" s="1053"/>
      <c r="Z109" s="1051"/>
      <c r="AA109" s="1051"/>
      <c r="AB109" s="1052"/>
      <c r="AC109" s="1051"/>
      <c r="AD109" s="1051"/>
      <c r="AE109" s="1052"/>
      <c r="AF109" s="1051"/>
      <c r="AG109" s="1051"/>
      <c r="AH109" s="1051"/>
      <c r="AI109" s="1051"/>
      <c r="AJ109" s="1052"/>
      <c r="AK109" s="1051"/>
      <c r="AL109" s="1051"/>
      <c r="AM109" s="1052"/>
      <c r="AN109" s="1051"/>
      <c r="AO109" s="1051"/>
      <c r="AP109" s="1052"/>
      <c r="AQ109" s="1051"/>
      <c r="AR109" s="1051"/>
      <c r="AS109" s="1052"/>
      <c r="AT109" s="1051"/>
      <c r="AU109" s="1051"/>
      <c r="AV109" s="1052"/>
      <c r="AW109" s="1051"/>
      <c r="AX109" s="1051"/>
      <c r="AY109" s="1053"/>
      <c r="AZ109" s="1051"/>
      <c r="BA109" s="1051"/>
      <c r="BB109" s="1053"/>
      <c r="BC109" s="1051"/>
      <c r="BD109" s="1051"/>
      <c r="BE109" s="1053"/>
      <c r="BF109" s="1051"/>
      <c r="BG109" s="1051"/>
      <c r="BH109" s="1053"/>
      <c r="BI109" s="1052"/>
      <c r="BJ109" s="1052"/>
      <c r="BK109" s="1052"/>
      <c r="BL109" s="1052"/>
      <c r="BM109" s="1052"/>
      <c r="BN109" s="1054"/>
      <c r="BO109" s="1076">
        <f t="shared" si="12"/>
        <v>0</v>
      </c>
      <c r="BP109" s="1051"/>
      <c r="BQ109" s="1052"/>
      <c r="BR109" s="1054"/>
      <c r="BS109" s="1053"/>
      <c r="BT109" s="1051"/>
      <c r="BU109" s="1051"/>
      <c r="BV109" s="1051"/>
      <c r="BW109" s="1052"/>
      <c r="BX109" s="1052"/>
      <c r="BY109" s="1052"/>
      <c r="BZ109" s="1052"/>
      <c r="CA109" s="1052"/>
      <c r="CB109" s="1053"/>
      <c r="CC109" s="1053"/>
      <c r="CD109" s="1053"/>
      <c r="CE109" s="1053"/>
      <c r="CF109" s="1053"/>
      <c r="CG109" s="1053"/>
      <c r="CH109" s="1053"/>
      <c r="CI109" s="1123"/>
      <c r="CJ109" s="1123"/>
      <c r="CK109" s="1123"/>
      <c r="CL109" s="1123"/>
      <c r="CM109" s="1123"/>
      <c r="CN109" s="1123"/>
      <c r="CO109" s="1123"/>
      <c r="CP109" s="1123"/>
      <c r="CQ109" s="1123"/>
      <c r="CR109" s="1123"/>
      <c r="CS109" s="1123"/>
      <c r="CT109" s="1123"/>
      <c r="CU109" s="1123"/>
      <c r="CV109" s="1123"/>
      <c r="CW109" s="1123"/>
      <c r="CX109" s="1123"/>
      <c r="CY109" s="1123"/>
      <c r="CZ109" s="1114"/>
      <c r="DA109" s="1114"/>
      <c r="DB109" s="1114"/>
      <c r="DC109" s="1114"/>
      <c r="DD109" s="1114"/>
      <c r="DE109" s="1114"/>
      <c r="DF109" s="1114"/>
      <c r="DG109" s="1114"/>
      <c r="DH109" s="1114"/>
      <c r="DI109" s="1114"/>
      <c r="DJ109" s="1114"/>
      <c r="DK109" s="1114"/>
      <c r="DL109" s="1114"/>
      <c r="DM109" s="1114"/>
      <c r="DN109" s="1114"/>
      <c r="DO109" s="1114"/>
      <c r="DP109" s="1114"/>
      <c r="DQ109" s="1114"/>
      <c r="DR109" s="1114"/>
      <c r="DS109" s="1114"/>
      <c r="DT109" s="1114"/>
      <c r="DU109" s="1114"/>
      <c r="DV109" s="1115"/>
      <c r="DW109" s="1116"/>
      <c r="DX109" s="1116"/>
      <c r="DY109" s="1116"/>
      <c r="DZ109" s="1116"/>
      <c r="EA109" s="1116"/>
      <c r="EB109" s="1116"/>
      <c r="EC109" s="1116"/>
      <c r="ED109" s="1116"/>
      <c r="EE109" s="1116"/>
      <c r="EF109" s="1116"/>
      <c r="EG109" s="1116"/>
      <c r="EH109" s="1116"/>
      <c r="EI109" s="1116"/>
      <c r="EJ109" s="1116"/>
      <c r="EK109" s="1116"/>
      <c r="EL109" s="1116"/>
      <c r="EM109" s="1116"/>
      <c r="EN109" s="1116"/>
      <c r="EO109" s="1116"/>
      <c r="EP109" s="1116"/>
      <c r="EQ109" s="1116"/>
      <c r="ER109" s="1116"/>
      <c r="ES109" s="1116"/>
    </row>
    <row r="110" spans="1:149" ht="15" customHeight="1">
      <c r="A110" s="1799">
        <v>95</v>
      </c>
      <c r="B110" s="1041"/>
      <c r="C110" s="1050"/>
      <c r="D110" s="1050"/>
      <c r="E110" s="1050"/>
      <c r="F110" s="1049"/>
      <c r="G110" s="1457"/>
      <c r="H110" s="1049"/>
      <c r="I110" s="1049"/>
      <c r="J110" s="1050"/>
      <c r="K110" s="1050"/>
      <c r="L110" s="1043"/>
      <c r="M110" s="1051"/>
      <c r="N110" s="1051"/>
      <c r="O110" s="1052"/>
      <c r="P110" s="1051"/>
      <c r="Q110" s="1051"/>
      <c r="R110" s="1052"/>
      <c r="S110" s="1051"/>
      <c r="T110" s="1051"/>
      <c r="U110" s="1052"/>
      <c r="V110" s="1051"/>
      <c r="W110" s="1051"/>
      <c r="X110" s="1052"/>
      <c r="Y110" s="1053"/>
      <c r="Z110" s="1051"/>
      <c r="AA110" s="1051"/>
      <c r="AB110" s="1052"/>
      <c r="AC110" s="1051"/>
      <c r="AD110" s="1051"/>
      <c r="AE110" s="1052"/>
      <c r="AF110" s="1051"/>
      <c r="AG110" s="1051"/>
      <c r="AH110" s="1051"/>
      <c r="AI110" s="1051"/>
      <c r="AJ110" s="1052"/>
      <c r="AK110" s="1051"/>
      <c r="AL110" s="1051"/>
      <c r="AM110" s="1052"/>
      <c r="AN110" s="1051"/>
      <c r="AO110" s="1051"/>
      <c r="AP110" s="1052"/>
      <c r="AQ110" s="1051"/>
      <c r="AR110" s="1051"/>
      <c r="AS110" s="1052"/>
      <c r="AT110" s="1051"/>
      <c r="AU110" s="1051"/>
      <c r="AV110" s="1052"/>
      <c r="AW110" s="1051"/>
      <c r="AX110" s="1051"/>
      <c r="AY110" s="1053"/>
      <c r="AZ110" s="1051"/>
      <c r="BA110" s="1051"/>
      <c r="BB110" s="1053"/>
      <c r="BC110" s="1051"/>
      <c r="BD110" s="1051"/>
      <c r="BE110" s="1053"/>
      <c r="BF110" s="1051"/>
      <c r="BG110" s="1051"/>
      <c r="BH110" s="1053"/>
      <c r="BI110" s="1052"/>
      <c r="BJ110" s="1052"/>
      <c r="BK110" s="1052"/>
      <c r="BL110" s="1052"/>
      <c r="BM110" s="1052"/>
      <c r="BN110" s="1054"/>
      <c r="BO110" s="1076">
        <f t="shared" si="12"/>
        <v>0</v>
      </c>
      <c r="BP110" s="1051"/>
      <c r="BQ110" s="1052"/>
      <c r="BR110" s="1054"/>
      <c r="BS110" s="1053"/>
      <c r="BT110" s="1051"/>
      <c r="BU110" s="1051"/>
      <c r="BV110" s="1051"/>
      <c r="BW110" s="1052"/>
      <c r="BX110" s="1052"/>
      <c r="BY110" s="1052"/>
      <c r="BZ110" s="1052"/>
      <c r="CA110" s="1052"/>
      <c r="CB110" s="1053"/>
      <c r="CC110" s="1053"/>
      <c r="CD110" s="1053"/>
      <c r="CE110" s="1053"/>
      <c r="CF110" s="1053"/>
      <c r="CG110" s="1053"/>
      <c r="CH110" s="1053"/>
      <c r="CI110" s="1123"/>
      <c r="CJ110" s="1123"/>
      <c r="CK110" s="1123"/>
      <c r="CL110" s="1123"/>
      <c r="CM110" s="1123"/>
      <c r="CN110" s="1123"/>
      <c r="CO110" s="1123"/>
      <c r="CP110" s="1123"/>
      <c r="CQ110" s="1123"/>
      <c r="CR110" s="1123"/>
      <c r="CS110" s="1123"/>
      <c r="CT110" s="1123"/>
      <c r="CU110" s="1123"/>
      <c r="CV110" s="1123"/>
      <c r="CW110" s="1123"/>
      <c r="CX110" s="1123"/>
      <c r="CY110" s="1123"/>
      <c r="CZ110" s="1114"/>
      <c r="DA110" s="1114"/>
      <c r="DB110" s="1114"/>
      <c r="DC110" s="1114"/>
      <c r="DD110" s="1114"/>
      <c r="DE110" s="1114"/>
      <c r="DF110" s="1114"/>
      <c r="DG110" s="1114"/>
      <c r="DH110" s="1114"/>
      <c r="DI110" s="1114"/>
      <c r="DJ110" s="1114"/>
      <c r="DK110" s="1114"/>
      <c r="DL110" s="1114"/>
      <c r="DM110" s="1114"/>
      <c r="DN110" s="1114"/>
      <c r="DO110" s="1114"/>
      <c r="DP110" s="1114"/>
      <c r="DQ110" s="1114"/>
      <c r="DR110" s="1114"/>
      <c r="DS110" s="1114"/>
      <c r="DT110" s="1114"/>
      <c r="DU110" s="1114"/>
      <c r="DV110" s="1115"/>
      <c r="DW110" s="1116"/>
      <c r="DX110" s="1116"/>
      <c r="DY110" s="1116"/>
      <c r="DZ110" s="1116"/>
      <c r="EA110" s="1116"/>
      <c r="EB110" s="1116"/>
      <c r="EC110" s="1116"/>
      <c r="ED110" s="1116"/>
      <c r="EE110" s="1116"/>
      <c r="EF110" s="1116"/>
      <c r="EG110" s="1116"/>
      <c r="EH110" s="1116"/>
      <c r="EI110" s="1116"/>
      <c r="EJ110" s="1116"/>
      <c r="EK110" s="1116"/>
      <c r="EL110" s="1116"/>
      <c r="EM110" s="1116"/>
      <c r="EN110" s="1116"/>
      <c r="EO110" s="1116"/>
      <c r="EP110" s="1116"/>
      <c r="EQ110" s="1116"/>
      <c r="ER110" s="1116"/>
      <c r="ES110" s="1116"/>
    </row>
    <row r="111" spans="1:149" ht="15" customHeight="1">
      <c r="A111" s="1799">
        <v>96</v>
      </c>
      <c r="B111" s="1041"/>
      <c r="C111" s="1050"/>
      <c r="D111" s="1050"/>
      <c r="E111" s="1050"/>
      <c r="F111" s="1049"/>
      <c r="G111" s="1457"/>
      <c r="H111" s="1049"/>
      <c r="I111" s="1049"/>
      <c r="J111" s="1050"/>
      <c r="K111" s="1050"/>
      <c r="L111" s="1043"/>
      <c r="M111" s="1051"/>
      <c r="N111" s="1051"/>
      <c r="O111" s="1052"/>
      <c r="P111" s="1051"/>
      <c r="Q111" s="1051"/>
      <c r="R111" s="1052"/>
      <c r="S111" s="1051"/>
      <c r="T111" s="1051"/>
      <c r="U111" s="1052"/>
      <c r="V111" s="1051"/>
      <c r="W111" s="1051"/>
      <c r="X111" s="1052"/>
      <c r="Y111" s="1053"/>
      <c r="Z111" s="1051"/>
      <c r="AA111" s="1051"/>
      <c r="AB111" s="1052"/>
      <c r="AC111" s="1051"/>
      <c r="AD111" s="1051"/>
      <c r="AE111" s="1052"/>
      <c r="AF111" s="1051"/>
      <c r="AG111" s="1051"/>
      <c r="AH111" s="1051"/>
      <c r="AI111" s="1051"/>
      <c r="AJ111" s="1052"/>
      <c r="AK111" s="1051"/>
      <c r="AL111" s="1051"/>
      <c r="AM111" s="1052"/>
      <c r="AN111" s="1051"/>
      <c r="AO111" s="1051"/>
      <c r="AP111" s="1052"/>
      <c r="AQ111" s="1051"/>
      <c r="AR111" s="1051"/>
      <c r="AS111" s="1052"/>
      <c r="AT111" s="1051"/>
      <c r="AU111" s="1051"/>
      <c r="AV111" s="1052"/>
      <c r="AW111" s="1051"/>
      <c r="AX111" s="1051"/>
      <c r="AY111" s="1053"/>
      <c r="AZ111" s="1051"/>
      <c r="BA111" s="1051"/>
      <c r="BB111" s="1053"/>
      <c r="BC111" s="1051"/>
      <c r="BD111" s="1051"/>
      <c r="BE111" s="1053"/>
      <c r="BF111" s="1051"/>
      <c r="BG111" s="1051"/>
      <c r="BH111" s="1053"/>
      <c r="BI111" s="1052"/>
      <c r="BJ111" s="1052"/>
      <c r="BK111" s="1052"/>
      <c r="BL111" s="1052"/>
      <c r="BM111" s="1052"/>
      <c r="BN111" s="1054"/>
      <c r="BO111" s="1076">
        <f t="shared" si="12"/>
        <v>0</v>
      </c>
      <c r="BP111" s="1051"/>
      <c r="BQ111" s="1052"/>
      <c r="BR111" s="1054"/>
      <c r="BS111" s="1053"/>
      <c r="BT111" s="1051"/>
      <c r="BU111" s="1051"/>
      <c r="BV111" s="1051"/>
      <c r="BW111" s="1052"/>
      <c r="BX111" s="1052"/>
      <c r="BY111" s="1052"/>
      <c r="BZ111" s="1052"/>
      <c r="CA111" s="1052"/>
      <c r="CB111" s="1053"/>
      <c r="CC111" s="1053"/>
      <c r="CD111" s="1053"/>
      <c r="CE111" s="1053"/>
      <c r="CF111" s="1053"/>
      <c r="CG111" s="1053"/>
      <c r="CH111" s="1053"/>
      <c r="CI111" s="1123"/>
      <c r="CJ111" s="1123"/>
      <c r="CK111" s="1123"/>
      <c r="CL111" s="1123"/>
      <c r="CM111" s="1123"/>
      <c r="CN111" s="1123"/>
      <c r="CO111" s="1123"/>
      <c r="CP111" s="1123"/>
      <c r="CQ111" s="1123"/>
      <c r="CR111" s="1123"/>
      <c r="CS111" s="1123"/>
      <c r="CT111" s="1123"/>
      <c r="CU111" s="1123"/>
      <c r="CV111" s="1123"/>
      <c r="CW111" s="1123"/>
      <c r="CX111" s="1123"/>
      <c r="CY111" s="1123"/>
      <c r="CZ111" s="1114"/>
      <c r="DA111" s="1114"/>
      <c r="DB111" s="1114"/>
      <c r="DC111" s="1114"/>
      <c r="DD111" s="1114"/>
      <c r="DE111" s="1114"/>
      <c r="DF111" s="1114"/>
      <c r="DG111" s="1114"/>
      <c r="DH111" s="1114"/>
      <c r="DI111" s="1114"/>
      <c r="DJ111" s="1114"/>
      <c r="DK111" s="1114"/>
      <c r="DL111" s="1114"/>
      <c r="DM111" s="1114"/>
      <c r="DN111" s="1114"/>
      <c r="DO111" s="1114"/>
      <c r="DP111" s="1114"/>
      <c r="DQ111" s="1114"/>
      <c r="DR111" s="1114"/>
      <c r="DS111" s="1114"/>
      <c r="DT111" s="1114"/>
      <c r="DU111" s="1114"/>
      <c r="DV111" s="1115"/>
      <c r="DW111" s="1116"/>
      <c r="DX111" s="1116"/>
      <c r="DY111" s="1116"/>
      <c r="DZ111" s="1116"/>
      <c r="EA111" s="1116"/>
      <c r="EB111" s="1116"/>
      <c r="EC111" s="1116"/>
      <c r="ED111" s="1116"/>
      <c r="EE111" s="1116"/>
      <c r="EF111" s="1116"/>
      <c r="EG111" s="1116"/>
      <c r="EH111" s="1116"/>
      <c r="EI111" s="1116"/>
      <c r="EJ111" s="1116"/>
      <c r="EK111" s="1116"/>
      <c r="EL111" s="1116"/>
      <c r="EM111" s="1116"/>
      <c r="EN111" s="1116"/>
      <c r="EO111" s="1116"/>
      <c r="EP111" s="1116"/>
      <c r="EQ111" s="1116"/>
      <c r="ER111" s="1116"/>
      <c r="ES111" s="1116"/>
    </row>
    <row r="112" spans="1:149" ht="15" customHeight="1">
      <c r="A112" s="1799">
        <v>97</v>
      </c>
      <c r="B112" s="1041"/>
      <c r="C112" s="1050"/>
      <c r="D112" s="1050"/>
      <c r="E112" s="1050"/>
      <c r="F112" s="1049"/>
      <c r="G112" s="1457"/>
      <c r="H112" s="1049"/>
      <c r="I112" s="1049"/>
      <c r="J112" s="1050"/>
      <c r="K112" s="1050"/>
      <c r="L112" s="1043"/>
      <c r="M112" s="1051"/>
      <c r="N112" s="1051"/>
      <c r="O112" s="1052"/>
      <c r="P112" s="1051"/>
      <c r="Q112" s="1051"/>
      <c r="R112" s="1052"/>
      <c r="S112" s="1051"/>
      <c r="T112" s="1051"/>
      <c r="U112" s="1052"/>
      <c r="V112" s="1051"/>
      <c r="W112" s="1051"/>
      <c r="X112" s="1052"/>
      <c r="Y112" s="1053"/>
      <c r="Z112" s="1051"/>
      <c r="AA112" s="1051"/>
      <c r="AB112" s="1052"/>
      <c r="AC112" s="1051"/>
      <c r="AD112" s="1051"/>
      <c r="AE112" s="1052"/>
      <c r="AF112" s="1051"/>
      <c r="AG112" s="1051"/>
      <c r="AH112" s="1051"/>
      <c r="AI112" s="1051"/>
      <c r="AJ112" s="1052"/>
      <c r="AK112" s="1051"/>
      <c r="AL112" s="1051"/>
      <c r="AM112" s="1052"/>
      <c r="AN112" s="1051"/>
      <c r="AO112" s="1051"/>
      <c r="AP112" s="1052"/>
      <c r="AQ112" s="1051"/>
      <c r="AR112" s="1051"/>
      <c r="AS112" s="1052"/>
      <c r="AT112" s="1051"/>
      <c r="AU112" s="1051"/>
      <c r="AV112" s="1052"/>
      <c r="AW112" s="1051"/>
      <c r="AX112" s="1051"/>
      <c r="AY112" s="1053"/>
      <c r="AZ112" s="1051"/>
      <c r="BA112" s="1051"/>
      <c r="BB112" s="1053"/>
      <c r="BC112" s="1051"/>
      <c r="BD112" s="1051"/>
      <c r="BE112" s="1053"/>
      <c r="BF112" s="1051"/>
      <c r="BG112" s="1051"/>
      <c r="BH112" s="1053"/>
      <c r="BI112" s="1052"/>
      <c r="BJ112" s="1052"/>
      <c r="BK112" s="1052"/>
      <c r="BL112" s="1052"/>
      <c r="BM112" s="1052"/>
      <c r="BN112" s="1054"/>
      <c r="BO112" s="1076">
        <f t="shared" si="12"/>
        <v>0</v>
      </c>
      <c r="BP112" s="1051"/>
      <c r="BQ112" s="1052"/>
      <c r="BR112" s="1054"/>
      <c r="BS112" s="1053"/>
      <c r="BT112" s="1051"/>
      <c r="BU112" s="1051"/>
      <c r="BV112" s="1051"/>
      <c r="BW112" s="1052"/>
      <c r="BX112" s="1052"/>
      <c r="BY112" s="1052"/>
      <c r="BZ112" s="1052"/>
      <c r="CA112" s="1052"/>
      <c r="CB112" s="1053"/>
      <c r="CC112" s="1053"/>
      <c r="CD112" s="1053"/>
      <c r="CE112" s="1053"/>
      <c r="CF112" s="1053"/>
      <c r="CG112" s="1053"/>
      <c r="CH112" s="1053"/>
      <c r="CI112" s="1123"/>
      <c r="CJ112" s="1123"/>
      <c r="CK112" s="1123"/>
      <c r="CL112" s="1123"/>
      <c r="CM112" s="1123"/>
      <c r="CN112" s="1123"/>
      <c r="CO112" s="1123"/>
      <c r="CP112" s="1123"/>
      <c r="CQ112" s="1123"/>
      <c r="CR112" s="1123"/>
      <c r="CS112" s="1123"/>
      <c r="CT112" s="1123"/>
      <c r="CU112" s="1123"/>
      <c r="CV112" s="1123"/>
      <c r="CW112" s="1123"/>
      <c r="CX112" s="1123"/>
      <c r="CY112" s="1123"/>
      <c r="CZ112" s="1114"/>
      <c r="DA112" s="1114"/>
      <c r="DB112" s="1114"/>
      <c r="DC112" s="1114"/>
      <c r="DD112" s="1114"/>
      <c r="DE112" s="1114"/>
      <c r="DF112" s="1114"/>
      <c r="DG112" s="1114"/>
      <c r="DH112" s="1114"/>
      <c r="DI112" s="1114"/>
      <c r="DJ112" s="1114"/>
      <c r="DK112" s="1114"/>
      <c r="DL112" s="1114"/>
      <c r="DM112" s="1114"/>
      <c r="DN112" s="1114"/>
      <c r="DO112" s="1114"/>
      <c r="DP112" s="1114"/>
      <c r="DQ112" s="1114"/>
      <c r="DR112" s="1114"/>
      <c r="DS112" s="1114"/>
      <c r="DT112" s="1114"/>
      <c r="DU112" s="1114"/>
      <c r="DV112" s="1115"/>
      <c r="DW112" s="1116"/>
      <c r="DX112" s="1116"/>
      <c r="DY112" s="1116"/>
      <c r="DZ112" s="1116"/>
      <c r="EA112" s="1116"/>
      <c r="EB112" s="1116"/>
      <c r="EC112" s="1116"/>
      <c r="ED112" s="1116"/>
      <c r="EE112" s="1116"/>
      <c r="EF112" s="1116"/>
      <c r="EG112" s="1116"/>
      <c r="EH112" s="1116"/>
      <c r="EI112" s="1116"/>
      <c r="EJ112" s="1116"/>
      <c r="EK112" s="1116"/>
      <c r="EL112" s="1116"/>
      <c r="EM112" s="1116"/>
      <c r="EN112" s="1116"/>
      <c r="EO112" s="1116"/>
      <c r="EP112" s="1116"/>
      <c r="EQ112" s="1116"/>
      <c r="ER112" s="1116"/>
      <c r="ES112" s="1116"/>
    </row>
    <row r="113" spans="1:149" ht="15" customHeight="1">
      <c r="A113" s="1799">
        <v>98</v>
      </c>
      <c r="B113" s="1041"/>
      <c r="C113" s="1050"/>
      <c r="D113" s="1050"/>
      <c r="E113" s="1050"/>
      <c r="F113" s="1049"/>
      <c r="G113" s="1457"/>
      <c r="H113" s="1049"/>
      <c r="I113" s="1049"/>
      <c r="J113" s="1050"/>
      <c r="K113" s="1050"/>
      <c r="L113" s="1043"/>
      <c r="M113" s="1051"/>
      <c r="N113" s="1051"/>
      <c r="O113" s="1052"/>
      <c r="P113" s="1051"/>
      <c r="Q113" s="1051"/>
      <c r="R113" s="1052"/>
      <c r="S113" s="1051"/>
      <c r="T113" s="1051"/>
      <c r="U113" s="1052"/>
      <c r="V113" s="1051"/>
      <c r="W113" s="1051"/>
      <c r="X113" s="1052"/>
      <c r="Y113" s="1053"/>
      <c r="Z113" s="1051"/>
      <c r="AA113" s="1051"/>
      <c r="AB113" s="1052"/>
      <c r="AC113" s="1051"/>
      <c r="AD113" s="1051"/>
      <c r="AE113" s="1052"/>
      <c r="AF113" s="1051"/>
      <c r="AG113" s="1051"/>
      <c r="AH113" s="1051"/>
      <c r="AI113" s="1051"/>
      <c r="AJ113" s="1052"/>
      <c r="AK113" s="1051"/>
      <c r="AL113" s="1051"/>
      <c r="AM113" s="1052"/>
      <c r="AN113" s="1051"/>
      <c r="AO113" s="1051"/>
      <c r="AP113" s="1052"/>
      <c r="AQ113" s="1051"/>
      <c r="AR113" s="1051"/>
      <c r="AS113" s="1052"/>
      <c r="AT113" s="1051"/>
      <c r="AU113" s="1051"/>
      <c r="AV113" s="1052"/>
      <c r="AW113" s="1051"/>
      <c r="AX113" s="1051"/>
      <c r="AY113" s="1053"/>
      <c r="AZ113" s="1051"/>
      <c r="BA113" s="1051"/>
      <c r="BB113" s="1053"/>
      <c r="BC113" s="1051"/>
      <c r="BD113" s="1051"/>
      <c r="BE113" s="1053"/>
      <c r="BF113" s="1051"/>
      <c r="BG113" s="1051"/>
      <c r="BH113" s="1053"/>
      <c r="BI113" s="1052"/>
      <c r="BJ113" s="1052"/>
      <c r="BK113" s="1052"/>
      <c r="BL113" s="1052"/>
      <c r="BM113" s="1052"/>
      <c r="BN113" s="1054"/>
      <c r="BO113" s="1076">
        <f t="shared" si="12"/>
        <v>0</v>
      </c>
      <c r="BP113" s="1051"/>
      <c r="BQ113" s="1052"/>
      <c r="BR113" s="1054"/>
      <c r="BS113" s="1053"/>
      <c r="BT113" s="1051"/>
      <c r="BU113" s="1051"/>
      <c r="BV113" s="1051"/>
      <c r="BW113" s="1052"/>
      <c r="BX113" s="1052"/>
      <c r="BY113" s="1052"/>
      <c r="BZ113" s="1052"/>
      <c r="CA113" s="1052"/>
      <c r="CB113" s="1053"/>
      <c r="CC113" s="1053"/>
      <c r="CD113" s="1053"/>
      <c r="CE113" s="1053"/>
      <c r="CF113" s="1053"/>
      <c r="CG113" s="1053"/>
      <c r="CH113" s="1053"/>
      <c r="CI113" s="1123"/>
      <c r="CJ113" s="1123"/>
      <c r="CK113" s="1123"/>
      <c r="CL113" s="1123"/>
      <c r="CM113" s="1123"/>
      <c r="CN113" s="1123"/>
      <c r="CO113" s="1123"/>
      <c r="CP113" s="1123"/>
      <c r="CQ113" s="1123"/>
      <c r="CR113" s="1123"/>
      <c r="CS113" s="1123"/>
      <c r="CT113" s="1123"/>
      <c r="CU113" s="1123"/>
      <c r="CV113" s="1123"/>
      <c r="CW113" s="1123"/>
      <c r="CX113" s="1123"/>
      <c r="CY113" s="1123"/>
      <c r="CZ113" s="1114"/>
      <c r="DA113" s="1114"/>
      <c r="DB113" s="1114"/>
      <c r="DC113" s="1114"/>
      <c r="DD113" s="1114"/>
      <c r="DE113" s="1114"/>
      <c r="DF113" s="1114"/>
      <c r="DG113" s="1114"/>
      <c r="DH113" s="1114"/>
      <c r="DI113" s="1114"/>
      <c r="DJ113" s="1114"/>
      <c r="DK113" s="1114"/>
      <c r="DL113" s="1114"/>
      <c r="DM113" s="1114"/>
      <c r="DN113" s="1114"/>
      <c r="DO113" s="1114"/>
      <c r="DP113" s="1114"/>
      <c r="DQ113" s="1114"/>
      <c r="DR113" s="1114"/>
      <c r="DS113" s="1114"/>
      <c r="DT113" s="1114"/>
      <c r="DU113" s="1114"/>
      <c r="DV113" s="1115"/>
      <c r="DW113" s="1116"/>
      <c r="DX113" s="1116"/>
      <c r="DY113" s="1116"/>
      <c r="DZ113" s="1116"/>
      <c r="EA113" s="1116"/>
      <c r="EB113" s="1116"/>
      <c r="EC113" s="1116"/>
      <c r="ED113" s="1116"/>
      <c r="EE113" s="1116"/>
      <c r="EF113" s="1116"/>
      <c r="EG113" s="1116"/>
      <c r="EH113" s="1116"/>
      <c r="EI113" s="1116"/>
      <c r="EJ113" s="1116"/>
      <c r="EK113" s="1116"/>
      <c r="EL113" s="1116"/>
      <c r="EM113" s="1116"/>
      <c r="EN113" s="1116"/>
      <c r="EO113" s="1116"/>
      <c r="EP113" s="1116"/>
      <c r="EQ113" s="1116"/>
      <c r="ER113" s="1116"/>
      <c r="ES113" s="1116"/>
    </row>
    <row r="114" spans="1:149" ht="15" customHeight="1">
      <c r="A114" s="1799">
        <v>99</v>
      </c>
      <c r="B114" s="1041"/>
      <c r="C114" s="1050"/>
      <c r="D114" s="1050"/>
      <c r="E114" s="1050"/>
      <c r="F114" s="1049"/>
      <c r="G114" s="1457"/>
      <c r="H114" s="1049"/>
      <c r="I114" s="1049"/>
      <c r="J114" s="1050"/>
      <c r="K114" s="1050"/>
      <c r="L114" s="1043"/>
      <c r="M114" s="1051"/>
      <c r="N114" s="1051"/>
      <c r="O114" s="1052"/>
      <c r="P114" s="1051"/>
      <c r="Q114" s="1051"/>
      <c r="R114" s="1052"/>
      <c r="S114" s="1051"/>
      <c r="T114" s="1051"/>
      <c r="U114" s="1052"/>
      <c r="V114" s="1051"/>
      <c r="W114" s="1051"/>
      <c r="X114" s="1052"/>
      <c r="Y114" s="1053"/>
      <c r="Z114" s="1051"/>
      <c r="AA114" s="1051"/>
      <c r="AB114" s="1052"/>
      <c r="AC114" s="1051"/>
      <c r="AD114" s="1051"/>
      <c r="AE114" s="1052"/>
      <c r="AF114" s="1051"/>
      <c r="AG114" s="1051"/>
      <c r="AH114" s="1051"/>
      <c r="AI114" s="1051"/>
      <c r="AJ114" s="1052"/>
      <c r="AK114" s="1051"/>
      <c r="AL114" s="1051"/>
      <c r="AM114" s="1052"/>
      <c r="AN114" s="1051"/>
      <c r="AO114" s="1051"/>
      <c r="AP114" s="1052"/>
      <c r="AQ114" s="1051"/>
      <c r="AR114" s="1051"/>
      <c r="AS114" s="1052"/>
      <c r="AT114" s="1051"/>
      <c r="AU114" s="1051"/>
      <c r="AV114" s="1052"/>
      <c r="AW114" s="1051"/>
      <c r="AX114" s="1051"/>
      <c r="AY114" s="1053"/>
      <c r="AZ114" s="1051"/>
      <c r="BA114" s="1051"/>
      <c r="BB114" s="1053"/>
      <c r="BC114" s="1051"/>
      <c r="BD114" s="1051"/>
      <c r="BE114" s="1053"/>
      <c r="BF114" s="1051"/>
      <c r="BG114" s="1051"/>
      <c r="BH114" s="1053"/>
      <c r="BI114" s="1052"/>
      <c r="BJ114" s="1052"/>
      <c r="BK114" s="1052"/>
      <c r="BL114" s="1052"/>
      <c r="BM114" s="1052"/>
      <c r="BN114" s="1054"/>
      <c r="BO114" s="1076">
        <f t="shared" si="12"/>
        <v>0</v>
      </c>
      <c r="BP114" s="1051"/>
      <c r="BQ114" s="1052"/>
      <c r="BR114" s="1054"/>
      <c r="BS114" s="1053"/>
      <c r="BT114" s="1051"/>
      <c r="BU114" s="1051"/>
      <c r="BV114" s="1051"/>
      <c r="BW114" s="1052"/>
      <c r="BX114" s="1052"/>
      <c r="BY114" s="1052"/>
      <c r="BZ114" s="1052"/>
      <c r="CA114" s="1052"/>
      <c r="CB114" s="1053"/>
      <c r="CC114" s="1053"/>
      <c r="CD114" s="1053"/>
      <c r="CE114" s="1053"/>
      <c r="CF114" s="1053"/>
      <c r="CG114" s="1053"/>
      <c r="CH114" s="1053"/>
      <c r="CI114" s="1123"/>
      <c r="CJ114" s="1123"/>
      <c r="CK114" s="1123"/>
      <c r="CL114" s="1123"/>
      <c r="CM114" s="1123"/>
      <c r="CN114" s="1123"/>
      <c r="CO114" s="1123"/>
      <c r="CP114" s="1123"/>
      <c r="CQ114" s="1123"/>
      <c r="CR114" s="1123"/>
      <c r="CS114" s="1123"/>
      <c r="CT114" s="1123"/>
      <c r="CU114" s="1123"/>
      <c r="CV114" s="1123"/>
      <c r="CW114" s="1123"/>
      <c r="CX114" s="1123"/>
      <c r="CY114" s="1123"/>
      <c r="CZ114" s="1114"/>
      <c r="DA114" s="1114"/>
      <c r="DB114" s="1114"/>
      <c r="DC114" s="1114"/>
      <c r="DD114" s="1114"/>
      <c r="DE114" s="1114"/>
      <c r="DF114" s="1114"/>
      <c r="DG114" s="1114"/>
      <c r="DH114" s="1114"/>
      <c r="DI114" s="1114"/>
      <c r="DJ114" s="1114"/>
      <c r="DK114" s="1114"/>
      <c r="DL114" s="1114"/>
      <c r="DM114" s="1114"/>
      <c r="DN114" s="1114"/>
      <c r="DO114" s="1114"/>
      <c r="DP114" s="1114"/>
      <c r="DQ114" s="1114"/>
      <c r="DR114" s="1114"/>
      <c r="DS114" s="1114"/>
      <c r="DT114" s="1114"/>
      <c r="DU114" s="1114"/>
      <c r="DV114" s="1115"/>
      <c r="DW114" s="1116"/>
      <c r="DX114" s="1116"/>
      <c r="DY114" s="1116"/>
      <c r="DZ114" s="1116"/>
      <c r="EA114" s="1116"/>
      <c r="EB114" s="1116"/>
      <c r="EC114" s="1116"/>
      <c r="ED114" s="1116"/>
      <c r="EE114" s="1116"/>
      <c r="EF114" s="1116"/>
      <c r="EG114" s="1116"/>
      <c r="EH114" s="1116"/>
      <c r="EI114" s="1116"/>
      <c r="EJ114" s="1116"/>
      <c r="EK114" s="1116"/>
      <c r="EL114" s="1116"/>
      <c r="EM114" s="1116"/>
      <c r="EN114" s="1116"/>
      <c r="EO114" s="1116"/>
      <c r="EP114" s="1116"/>
      <c r="EQ114" s="1116"/>
      <c r="ER114" s="1116"/>
      <c r="ES114" s="1116"/>
    </row>
    <row r="115" spans="1:149" ht="15" customHeight="1">
      <c r="A115" s="1799">
        <v>100</v>
      </c>
      <c r="B115" s="1041"/>
      <c r="C115" s="1050"/>
      <c r="D115" s="1050"/>
      <c r="E115" s="1050"/>
      <c r="F115" s="1049"/>
      <c r="G115" s="1457"/>
      <c r="H115" s="1049"/>
      <c r="I115" s="1049"/>
      <c r="J115" s="1050"/>
      <c r="K115" s="1050"/>
      <c r="L115" s="1043"/>
      <c r="M115" s="1051"/>
      <c r="N115" s="1051"/>
      <c r="O115" s="1052"/>
      <c r="P115" s="1051"/>
      <c r="Q115" s="1051"/>
      <c r="R115" s="1052"/>
      <c r="S115" s="1051"/>
      <c r="T115" s="1051"/>
      <c r="U115" s="1052"/>
      <c r="V115" s="1051"/>
      <c r="W115" s="1051"/>
      <c r="X115" s="1052"/>
      <c r="Y115" s="1053"/>
      <c r="Z115" s="1051"/>
      <c r="AA115" s="1051"/>
      <c r="AB115" s="1052"/>
      <c r="AC115" s="1051"/>
      <c r="AD115" s="1051"/>
      <c r="AE115" s="1052"/>
      <c r="AF115" s="1051"/>
      <c r="AG115" s="1051"/>
      <c r="AH115" s="1051"/>
      <c r="AI115" s="1051"/>
      <c r="AJ115" s="1052"/>
      <c r="AK115" s="1051"/>
      <c r="AL115" s="1051"/>
      <c r="AM115" s="1052"/>
      <c r="AN115" s="1051"/>
      <c r="AO115" s="1051"/>
      <c r="AP115" s="1052"/>
      <c r="AQ115" s="1051"/>
      <c r="AR115" s="1051"/>
      <c r="AS115" s="1052"/>
      <c r="AT115" s="1051"/>
      <c r="AU115" s="1051"/>
      <c r="AV115" s="1052"/>
      <c r="AW115" s="1051"/>
      <c r="AX115" s="1051"/>
      <c r="AY115" s="1053"/>
      <c r="AZ115" s="1051"/>
      <c r="BA115" s="1051"/>
      <c r="BB115" s="1053"/>
      <c r="BC115" s="1051"/>
      <c r="BD115" s="1051"/>
      <c r="BE115" s="1053"/>
      <c r="BF115" s="1051"/>
      <c r="BG115" s="1051"/>
      <c r="BH115" s="1053"/>
      <c r="BI115" s="1052"/>
      <c r="BJ115" s="1052"/>
      <c r="BK115" s="1052"/>
      <c r="BL115" s="1052"/>
      <c r="BM115" s="1052"/>
      <c r="BN115" s="1054"/>
      <c r="BO115" s="1076">
        <f t="shared" si="12"/>
        <v>0</v>
      </c>
      <c r="BP115" s="1051"/>
      <c r="BQ115" s="1052"/>
      <c r="BR115" s="1054"/>
      <c r="BS115" s="1053"/>
      <c r="BT115" s="1051"/>
      <c r="BU115" s="1051"/>
      <c r="BV115" s="1051"/>
      <c r="BW115" s="1052"/>
      <c r="BX115" s="1052"/>
      <c r="BY115" s="1052"/>
      <c r="BZ115" s="1052"/>
      <c r="CA115" s="1052"/>
      <c r="CB115" s="1053"/>
      <c r="CC115" s="1053"/>
      <c r="CD115" s="1053"/>
      <c r="CE115" s="1053"/>
      <c r="CF115" s="1053"/>
      <c r="CG115" s="1053"/>
      <c r="CH115" s="1053"/>
      <c r="CI115" s="1123"/>
      <c r="CJ115" s="1123"/>
      <c r="CK115" s="1123"/>
      <c r="CL115" s="1123"/>
      <c r="CM115" s="1123"/>
      <c r="CN115" s="1123"/>
      <c r="CO115" s="1123"/>
      <c r="CP115" s="1123"/>
      <c r="CQ115" s="1123"/>
      <c r="CR115" s="1123"/>
      <c r="CS115" s="1123"/>
      <c r="CT115" s="1123"/>
      <c r="CU115" s="1123"/>
      <c r="CV115" s="1123"/>
      <c r="CW115" s="1123"/>
      <c r="CX115" s="1123"/>
      <c r="CY115" s="1123"/>
      <c r="CZ115" s="1114"/>
      <c r="DA115" s="1114"/>
      <c r="DB115" s="1114"/>
      <c r="DC115" s="1114"/>
      <c r="DD115" s="1114"/>
      <c r="DE115" s="1114"/>
      <c r="DF115" s="1114"/>
      <c r="DG115" s="1114"/>
      <c r="DH115" s="1114"/>
      <c r="DI115" s="1114"/>
      <c r="DJ115" s="1114"/>
      <c r="DK115" s="1114"/>
      <c r="DL115" s="1114"/>
      <c r="DM115" s="1114"/>
      <c r="DN115" s="1114"/>
      <c r="DO115" s="1114"/>
      <c r="DP115" s="1114"/>
      <c r="DQ115" s="1114"/>
      <c r="DR115" s="1114"/>
      <c r="DS115" s="1114"/>
      <c r="DT115" s="1114"/>
      <c r="DU115" s="1114"/>
      <c r="DV115" s="1115"/>
      <c r="DW115" s="1116"/>
      <c r="DX115" s="1116"/>
      <c r="DY115" s="1116"/>
      <c r="DZ115" s="1116"/>
      <c r="EA115" s="1116"/>
      <c r="EB115" s="1116"/>
      <c r="EC115" s="1116"/>
      <c r="ED115" s="1116"/>
      <c r="EE115" s="1116"/>
      <c r="EF115" s="1116"/>
      <c r="EG115" s="1116"/>
      <c r="EH115" s="1116"/>
      <c r="EI115" s="1116"/>
      <c r="EJ115" s="1116"/>
      <c r="EK115" s="1116"/>
      <c r="EL115" s="1116"/>
      <c r="EM115" s="1116"/>
      <c r="EN115" s="1116"/>
      <c r="EO115" s="1116"/>
      <c r="EP115" s="1116"/>
      <c r="EQ115" s="1116"/>
      <c r="ER115" s="1116"/>
      <c r="ES115" s="1116"/>
    </row>
    <row r="116" spans="1:149" ht="15" customHeight="1">
      <c r="A116" s="1799">
        <v>101</v>
      </c>
      <c r="B116" s="1041"/>
      <c r="C116" s="1050"/>
      <c r="D116" s="1050"/>
      <c r="E116" s="1050"/>
      <c r="F116" s="1049"/>
      <c r="G116" s="1457"/>
      <c r="H116" s="1049"/>
      <c r="I116" s="1049"/>
      <c r="J116" s="1050"/>
      <c r="K116" s="1050"/>
      <c r="L116" s="1043"/>
      <c r="M116" s="1051"/>
      <c r="N116" s="1051"/>
      <c r="O116" s="1052"/>
      <c r="P116" s="1051"/>
      <c r="Q116" s="1051"/>
      <c r="R116" s="1052"/>
      <c r="S116" s="1051"/>
      <c r="T116" s="1051"/>
      <c r="U116" s="1052"/>
      <c r="V116" s="1051"/>
      <c r="W116" s="1051"/>
      <c r="X116" s="1052"/>
      <c r="Y116" s="1053"/>
      <c r="Z116" s="1051"/>
      <c r="AA116" s="1051"/>
      <c r="AB116" s="1052"/>
      <c r="AC116" s="1051"/>
      <c r="AD116" s="1051"/>
      <c r="AE116" s="1052"/>
      <c r="AF116" s="1051"/>
      <c r="AG116" s="1051"/>
      <c r="AH116" s="1051"/>
      <c r="AI116" s="1051"/>
      <c r="AJ116" s="1052"/>
      <c r="AK116" s="1051"/>
      <c r="AL116" s="1051"/>
      <c r="AM116" s="1052"/>
      <c r="AN116" s="1051"/>
      <c r="AO116" s="1051"/>
      <c r="AP116" s="1052"/>
      <c r="AQ116" s="1051"/>
      <c r="AR116" s="1051"/>
      <c r="AS116" s="1052"/>
      <c r="AT116" s="1051"/>
      <c r="AU116" s="1051"/>
      <c r="AV116" s="1052"/>
      <c r="AW116" s="1051"/>
      <c r="AX116" s="1051"/>
      <c r="AY116" s="1053"/>
      <c r="AZ116" s="1051"/>
      <c r="BA116" s="1051"/>
      <c r="BB116" s="1053"/>
      <c r="BC116" s="1051"/>
      <c r="BD116" s="1051"/>
      <c r="BE116" s="1053"/>
      <c r="BF116" s="1051"/>
      <c r="BG116" s="1051"/>
      <c r="BH116" s="1053"/>
      <c r="BI116" s="1052"/>
      <c r="BJ116" s="1052"/>
      <c r="BK116" s="1052"/>
      <c r="BL116" s="1052"/>
      <c r="BM116" s="1052"/>
      <c r="BN116" s="1054"/>
      <c r="BO116" s="1076">
        <f t="shared" si="12"/>
        <v>0</v>
      </c>
      <c r="BP116" s="1051"/>
      <c r="BQ116" s="1052"/>
      <c r="BR116" s="1054"/>
      <c r="BS116" s="1053"/>
      <c r="BT116" s="1051"/>
      <c r="BU116" s="1051"/>
      <c r="BV116" s="1051"/>
      <c r="BW116" s="1052"/>
      <c r="BX116" s="1052"/>
      <c r="BY116" s="1052"/>
      <c r="BZ116" s="1052"/>
      <c r="CA116" s="1052"/>
      <c r="CB116" s="1053"/>
      <c r="CC116" s="1053"/>
      <c r="CD116" s="1053"/>
      <c r="CE116" s="1053"/>
      <c r="CF116" s="1053"/>
      <c r="CG116" s="1053"/>
      <c r="CH116" s="1053"/>
      <c r="CI116" s="1123"/>
      <c r="CJ116" s="1123"/>
      <c r="CK116" s="1123"/>
      <c r="CL116" s="1123"/>
      <c r="CM116" s="1123"/>
      <c r="CN116" s="1123"/>
      <c r="CO116" s="1123"/>
      <c r="CP116" s="1123"/>
      <c r="CQ116" s="1123"/>
      <c r="CR116" s="1123"/>
      <c r="CS116" s="1123"/>
      <c r="CT116" s="1123"/>
      <c r="CU116" s="1123"/>
      <c r="CV116" s="1123"/>
      <c r="CW116" s="1123"/>
      <c r="CX116" s="1123"/>
      <c r="CY116" s="1123"/>
      <c r="CZ116" s="1114"/>
      <c r="DA116" s="1114"/>
      <c r="DB116" s="1114"/>
      <c r="DC116" s="1114"/>
      <c r="DD116" s="1114"/>
      <c r="DE116" s="1114"/>
      <c r="DF116" s="1114"/>
      <c r="DG116" s="1114"/>
      <c r="DH116" s="1114"/>
      <c r="DI116" s="1114"/>
      <c r="DJ116" s="1114"/>
      <c r="DK116" s="1114"/>
      <c r="DL116" s="1114"/>
      <c r="DM116" s="1114"/>
      <c r="DN116" s="1114"/>
      <c r="DO116" s="1114"/>
      <c r="DP116" s="1114"/>
      <c r="DQ116" s="1114"/>
      <c r="DR116" s="1114"/>
      <c r="DS116" s="1114"/>
      <c r="DT116" s="1114"/>
      <c r="DU116" s="1114"/>
      <c r="DV116" s="1115"/>
      <c r="DW116" s="1116"/>
      <c r="DX116" s="1116"/>
      <c r="DY116" s="1116"/>
      <c r="DZ116" s="1116"/>
      <c r="EA116" s="1116"/>
      <c r="EB116" s="1116"/>
      <c r="EC116" s="1116"/>
      <c r="ED116" s="1116"/>
      <c r="EE116" s="1116"/>
      <c r="EF116" s="1116"/>
      <c r="EG116" s="1116"/>
      <c r="EH116" s="1116"/>
      <c r="EI116" s="1116"/>
      <c r="EJ116" s="1116"/>
      <c r="EK116" s="1116"/>
      <c r="EL116" s="1116"/>
      <c r="EM116" s="1116"/>
      <c r="EN116" s="1116"/>
      <c r="EO116" s="1116"/>
      <c r="EP116" s="1116"/>
      <c r="EQ116" s="1116"/>
      <c r="ER116" s="1116"/>
      <c r="ES116" s="1116"/>
    </row>
    <row r="117" spans="1:149" ht="15" customHeight="1">
      <c r="A117" s="1799">
        <v>102</v>
      </c>
      <c r="B117" s="1041"/>
      <c r="C117" s="1050"/>
      <c r="D117" s="1050"/>
      <c r="E117" s="1050"/>
      <c r="F117" s="1049"/>
      <c r="G117" s="1457"/>
      <c r="H117" s="1049"/>
      <c r="I117" s="1049"/>
      <c r="J117" s="1050"/>
      <c r="K117" s="1050"/>
      <c r="L117" s="1043"/>
      <c r="M117" s="1051"/>
      <c r="N117" s="1051"/>
      <c r="O117" s="1052"/>
      <c r="P117" s="1051"/>
      <c r="Q117" s="1051"/>
      <c r="R117" s="1052"/>
      <c r="S117" s="1051"/>
      <c r="T117" s="1051"/>
      <c r="U117" s="1052"/>
      <c r="V117" s="1051"/>
      <c r="W117" s="1051"/>
      <c r="X117" s="1052"/>
      <c r="Y117" s="1053"/>
      <c r="Z117" s="1051"/>
      <c r="AA117" s="1051"/>
      <c r="AB117" s="1052"/>
      <c r="AC117" s="1051"/>
      <c r="AD117" s="1051"/>
      <c r="AE117" s="1052"/>
      <c r="AF117" s="1051"/>
      <c r="AG117" s="1051"/>
      <c r="AH117" s="1051"/>
      <c r="AI117" s="1051"/>
      <c r="AJ117" s="1052"/>
      <c r="AK117" s="1051"/>
      <c r="AL117" s="1051"/>
      <c r="AM117" s="1052"/>
      <c r="AN117" s="1051"/>
      <c r="AO117" s="1051"/>
      <c r="AP117" s="1052"/>
      <c r="AQ117" s="1051"/>
      <c r="AR117" s="1051"/>
      <c r="AS117" s="1052"/>
      <c r="AT117" s="1051"/>
      <c r="AU117" s="1051"/>
      <c r="AV117" s="1052"/>
      <c r="AW117" s="1051"/>
      <c r="AX117" s="1051"/>
      <c r="AY117" s="1053"/>
      <c r="AZ117" s="1051"/>
      <c r="BA117" s="1051"/>
      <c r="BB117" s="1053"/>
      <c r="BC117" s="1051"/>
      <c r="BD117" s="1051"/>
      <c r="BE117" s="1053"/>
      <c r="BF117" s="1051"/>
      <c r="BG117" s="1051"/>
      <c r="BH117" s="1053"/>
      <c r="BI117" s="1052"/>
      <c r="BJ117" s="1052"/>
      <c r="BK117" s="1052"/>
      <c r="BL117" s="1052"/>
      <c r="BM117" s="1052"/>
      <c r="BN117" s="1054"/>
      <c r="BO117" s="1076">
        <f t="shared" si="12"/>
        <v>0</v>
      </c>
      <c r="BP117" s="1051"/>
      <c r="BQ117" s="1052"/>
      <c r="BR117" s="1054"/>
      <c r="BS117" s="1053"/>
      <c r="BT117" s="1051"/>
      <c r="BU117" s="1051"/>
      <c r="BV117" s="1051"/>
      <c r="BW117" s="1052"/>
      <c r="BX117" s="1052"/>
      <c r="BY117" s="1052"/>
      <c r="BZ117" s="1052"/>
      <c r="CA117" s="1052"/>
      <c r="CB117" s="1053"/>
      <c r="CC117" s="1053"/>
      <c r="CD117" s="1053"/>
      <c r="CE117" s="1053"/>
      <c r="CF117" s="1053"/>
      <c r="CG117" s="1053"/>
      <c r="CH117" s="1053"/>
      <c r="CI117" s="1123"/>
      <c r="CJ117" s="1123"/>
      <c r="CK117" s="1123"/>
      <c r="CL117" s="1123"/>
      <c r="CM117" s="1123"/>
      <c r="CN117" s="1123"/>
      <c r="CO117" s="1123"/>
      <c r="CP117" s="1123"/>
      <c r="CQ117" s="1123"/>
      <c r="CR117" s="1123"/>
      <c r="CS117" s="1123"/>
      <c r="CT117" s="1123"/>
      <c r="CU117" s="1123"/>
      <c r="CV117" s="1123"/>
      <c r="CW117" s="1123"/>
      <c r="CX117" s="1123"/>
      <c r="CY117" s="1123"/>
      <c r="CZ117" s="1114"/>
      <c r="DA117" s="1114"/>
      <c r="DB117" s="1114"/>
      <c r="DC117" s="1114"/>
      <c r="DD117" s="1114"/>
      <c r="DE117" s="1114"/>
      <c r="DF117" s="1114"/>
      <c r="DG117" s="1114"/>
      <c r="DH117" s="1114"/>
      <c r="DI117" s="1114"/>
      <c r="DJ117" s="1114"/>
      <c r="DK117" s="1114"/>
      <c r="DL117" s="1114"/>
      <c r="DM117" s="1114"/>
      <c r="DN117" s="1114"/>
      <c r="DO117" s="1114"/>
      <c r="DP117" s="1114"/>
      <c r="DQ117" s="1114"/>
      <c r="DR117" s="1114"/>
      <c r="DS117" s="1114"/>
      <c r="DT117" s="1114"/>
      <c r="DU117" s="1114"/>
      <c r="DV117" s="1115"/>
      <c r="DW117" s="1116"/>
      <c r="DX117" s="1116"/>
      <c r="DY117" s="1116"/>
      <c r="DZ117" s="1116"/>
      <c r="EA117" s="1116"/>
      <c r="EB117" s="1116"/>
      <c r="EC117" s="1116"/>
      <c r="ED117" s="1116"/>
      <c r="EE117" s="1116"/>
      <c r="EF117" s="1116"/>
      <c r="EG117" s="1116"/>
      <c r="EH117" s="1116"/>
      <c r="EI117" s="1116"/>
      <c r="EJ117" s="1116"/>
      <c r="EK117" s="1116"/>
      <c r="EL117" s="1116"/>
      <c r="EM117" s="1116"/>
      <c r="EN117" s="1116"/>
      <c r="EO117" s="1116"/>
      <c r="EP117" s="1116"/>
      <c r="EQ117" s="1116"/>
      <c r="ER117" s="1116"/>
      <c r="ES117" s="1116"/>
    </row>
    <row r="118" spans="1:149" ht="15" customHeight="1">
      <c r="A118" s="1799">
        <v>103</v>
      </c>
      <c r="B118" s="1041"/>
      <c r="C118" s="1050"/>
      <c r="D118" s="1050"/>
      <c r="E118" s="1050"/>
      <c r="F118" s="1049"/>
      <c r="G118" s="1457"/>
      <c r="H118" s="1049"/>
      <c r="I118" s="1049"/>
      <c r="J118" s="1050"/>
      <c r="K118" s="1050"/>
      <c r="L118" s="1043"/>
      <c r="M118" s="1051"/>
      <c r="N118" s="1051"/>
      <c r="O118" s="1052"/>
      <c r="P118" s="1051"/>
      <c r="Q118" s="1051"/>
      <c r="R118" s="1052"/>
      <c r="S118" s="1051"/>
      <c r="T118" s="1051"/>
      <c r="U118" s="1052"/>
      <c r="V118" s="1051"/>
      <c r="W118" s="1051"/>
      <c r="X118" s="1052"/>
      <c r="Y118" s="1053"/>
      <c r="Z118" s="1051"/>
      <c r="AA118" s="1051"/>
      <c r="AB118" s="1052"/>
      <c r="AC118" s="1051"/>
      <c r="AD118" s="1051"/>
      <c r="AE118" s="1052"/>
      <c r="AF118" s="1051"/>
      <c r="AG118" s="1051"/>
      <c r="AH118" s="1051"/>
      <c r="AI118" s="1051"/>
      <c r="AJ118" s="1052"/>
      <c r="AK118" s="1051"/>
      <c r="AL118" s="1051"/>
      <c r="AM118" s="1052"/>
      <c r="AN118" s="1051"/>
      <c r="AO118" s="1051"/>
      <c r="AP118" s="1052"/>
      <c r="AQ118" s="1051"/>
      <c r="AR118" s="1051"/>
      <c r="AS118" s="1052"/>
      <c r="AT118" s="1051"/>
      <c r="AU118" s="1051"/>
      <c r="AV118" s="1052"/>
      <c r="AW118" s="1051"/>
      <c r="AX118" s="1051"/>
      <c r="AY118" s="1053"/>
      <c r="AZ118" s="1051"/>
      <c r="BA118" s="1051"/>
      <c r="BB118" s="1053"/>
      <c r="BC118" s="1051"/>
      <c r="BD118" s="1051"/>
      <c r="BE118" s="1053"/>
      <c r="BF118" s="1051"/>
      <c r="BG118" s="1051"/>
      <c r="BH118" s="1053"/>
      <c r="BI118" s="1052"/>
      <c r="BJ118" s="1052"/>
      <c r="BK118" s="1052"/>
      <c r="BL118" s="1052"/>
      <c r="BM118" s="1052"/>
      <c r="BN118" s="1054"/>
      <c r="BO118" s="1076">
        <f t="shared" si="12"/>
        <v>0</v>
      </c>
      <c r="BP118" s="1051"/>
      <c r="BQ118" s="1052"/>
      <c r="BR118" s="1054"/>
      <c r="BS118" s="1053"/>
      <c r="BT118" s="1051"/>
      <c r="BU118" s="1051"/>
      <c r="BV118" s="1051"/>
      <c r="BW118" s="1052"/>
      <c r="BX118" s="1052"/>
      <c r="BY118" s="1052"/>
      <c r="BZ118" s="1052"/>
      <c r="CA118" s="1052"/>
      <c r="CB118" s="1053"/>
      <c r="CC118" s="1053"/>
      <c r="CD118" s="1053"/>
      <c r="CE118" s="1053"/>
      <c r="CF118" s="1053"/>
      <c r="CG118" s="1053"/>
      <c r="CH118" s="1053"/>
      <c r="CI118" s="1123"/>
      <c r="CJ118" s="1123"/>
      <c r="CK118" s="1123"/>
      <c r="CL118" s="1123"/>
      <c r="CM118" s="1123"/>
      <c r="CN118" s="1123"/>
      <c r="CO118" s="1123"/>
      <c r="CP118" s="1123"/>
      <c r="CQ118" s="1123"/>
      <c r="CR118" s="1123"/>
      <c r="CS118" s="1123"/>
      <c r="CT118" s="1123"/>
      <c r="CU118" s="1123"/>
      <c r="CV118" s="1123"/>
      <c r="CW118" s="1123"/>
      <c r="CX118" s="1123"/>
      <c r="CY118" s="1123"/>
      <c r="CZ118" s="1114"/>
      <c r="DA118" s="1114"/>
      <c r="DB118" s="1114"/>
      <c r="DC118" s="1114"/>
      <c r="DD118" s="1114"/>
      <c r="DE118" s="1114"/>
      <c r="DF118" s="1114"/>
      <c r="DG118" s="1114"/>
      <c r="DH118" s="1114"/>
      <c r="DI118" s="1114"/>
      <c r="DJ118" s="1114"/>
      <c r="DK118" s="1114"/>
      <c r="DL118" s="1114"/>
      <c r="DM118" s="1114"/>
      <c r="DN118" s="1114"/>
      <c r="DO118" s="1114"/>
      <c r="DP118" s="1114"/>
      <c r="DQ118" s="1114"/>
      <c r="DR118" s="1114"/>
      <c r="DS118" s="1114"/>
      <c r="DT118" s="1114"/>
      <c r="DU118" s="1114"/>
      <c r="DV118" s="1115"/>
      <c r="DW118" s="1116"/>
      <c r="DX118" s="1116"/>
      <c r="DY118" s="1116"/>
      <c r="DZ118" s="1116"/>
      <c r="EA118" s="1116"/>
      <c r="EB118" s="1116"/>
      <c r="EC118" s="1116"/>
      <c r="ED118" s="1116"/>
      <c r="EE118" s="1116"/>
      <c r="EF118" s="1116"/>
      <c r="EG118" s="1116"/>
      <c r="EH118" s="1116"/>
      <c r="EI118" s="1116"/>
      <c r="EJ118" s="1116"/>
      <c r="EK118" s="1116"/>
      <c r="EL118" s="1116"/>
      <c r="EM118" s="1116"/>
      <c r="EN118" s="1116"/>
      <c r="EO118" s="1116"/>
      <c r="EP118" s="1116"/>
      <c r="EQ118" s="1116"/>
      <c r="ER118" s="1116"/>
      <c r="ES118" s="1116"/>
    </row>
    <row r="119" spans="1:149" ht="15" customHeight="1">
      <c r="A119" s="1799">
        <v>104</v>
      </c>
      <c r="B119" s="1041"/>
      <c r="C119" s="1050"/>
      <c r="D119" s="1050"/>
      <c r="E119" s="1050"/>
      <c r="F119" s="1049"/>
      <c r="G119" s="1457"/>
      <c r="H119" s="1049"/>
      <c r="I119" s="1049"/>
      <c r="J119" s="1050"/>
      <c r="K119" s="1050"/>
      <c r="L119" s="1043"/>
      <c r="M119" s="1051"/>
      <c r="N119" s="1051"/>
      <c r="O119" s="1052"/>
      <c r="P119" s="1051"/>
      <c r="Q119" s="1051"/>
      <c r="R119" s="1052"/>
      <c r="S119" s="1051"/>
      <c r="T119" s="1051"/>
      <c r="U119" s="1052"/>
      <c r="V119" s="1051"/>
      <c r="W119" s="1051"/>
      <c r="X119" s="1052"/>
      <c r="Y119" s="1053"/>
      <c r="Z119" s="1051"/>
      <c r="AA119" s="1051"/>
      <c r="AB119" s="1052"/>
      <c r="AC119" s="1051"/>
      <c r="AD119" s="1051"/>
      <c r="AE119" s="1052"/>
      <c r="AF119" s="1051"/>
      <c r="AG119" s="1051"/>
      <c r="AH119" s="1051"/>
      <c r="AI119" s="1051"/>
      <c r="AJ119" s="1052"/>
      <c r="AK119" s="1051"/>
      <c r="AL119" s="1051"/>
      <c r="AM119" s="1052"/>
      <c r="AN119" s="1051"/>
      <c r="AO119" s="1051"/>
      <c r="AP119" s="1052"/>
      <c r="AQ119" s="1051"/>
      <c r="AR119" s="1051"/>
      <c r="AS119" s="1052"/>
      <c r="AT119" s="1051"/>
      <c r="AU119" s="1051"/>
      <c r="AV119" s="1052"/>
      <c r="AW119" s="1051"/>
      <c r="AX119" s="1051"/>
      <c r="AY119" s="1053"/>
      <c r="AZ119" s="1051"/>
      <c r="BA119" s="1051"/>
      <c r="BB119" s="1053"/>
      <c r="BC119" s="1051"/>
      <c r="BD119" s="1051"/>
      <c r="BE119" s="1053"/>
      <c r="BF119" s="1051"/>
      <c r="BG119" s="1051"/>
      <c r="BH119" s="1053"/>
      <c r="BI119" s="1052"/>
      <c r="BJ119" s="1052"/>
      <c r="BK119" s="1052"/>
      <c r="BL119" s="1052"/>
      <c r="BM119" s="1052"/>
      <c r="BN119" s="1054"/>
      <c r="BO119" s="1076">
        <f t="shared" si="12"/>
        <v>0</v>
      </c>
      <c r="BP119" s="1051"/>
      <c r="BQ119" s="1052"/>
      <c r="BR119" s="1054"/>
      <c r="BS119" s="1053"/>
      <c r="BT119" s="1051"/>
      <c r="BU119" s="1051"/>
      <c r="BV119" s="1051"/>
      <c r="BW119" s="1052"/>
      <c r="BX119" s="1052"/>
      <c r="BY119" s="1052"/>
      <c r="BZ119" s="1052"/>
      <c r="CA119" s="1052"/>
      <c r="CB119" s="1053"/>
      <c r="CC119" s="1053"/>
      <c r="CD119" s="1053"/>
      <c r="CE119" s="1053"/>
      <c r="CF119" s="1053"/>
      <c r="CG119" s="1053"/>
      <c r="CH119" s="1053"/>
      <c r="CI119" s="1123"/>
      <c r="CJ119" s="1123"/>
      <c r="CK119" s="1123"/>
      <c r="CL119" s="1123"/>
      <c r="CM119" s="1123"/>
      <c r="CN119" s="1123"/>
      <c r="CO119" s="1123"/>
      <c r="CP119" s="1123"/>
      <c r="CQ119" s="1123"/>
      <c r="CR119" s="1123"/>
      <c r="CS119" s="1123"/>
      <c r="CT119" s="1123"/>
      <c r="CU119" s="1123"/>
      <c r="CV119" s="1123"/>
      <c r="CW119" s="1123"/>
      <c r="CX119" s="1123"/>
      <c r="CY119" s="1123"/>
      <c r="CZ119" s="1114"/>
      <c r="DA119" s="1114"/>
      <c r="DB119" s="1114"/>
      <c r="DC119" s="1114"/>
      <c r="DD119" s="1114"/>
      <c r="DE119" s="1114"/>
      <c r="DF119" s="1114"/>
      <c r="DG119" s="1114"/>
      <c r="DH119" s="1114"/>
      <c r="DI119" s="1114"/>
      <c r="DJ119" s="1114"/>
      <c r="DK119" s="1114"/>
      <c r="DL119" s="1114"/>
      <c r="DM119" s="1114"/>
      <c r="DN119" s="1114"/>
      <c r="DO119" s="1114"/>
      <c r="DP119" s="1114"/>
      <c r="DQ119" s="1114"/>
      <c r="DR119" s="1114"/>
      <c r="DS119" s="1114"/>
      <c r="DT119" s="1114"/>
      <c r="DU119" s="1114"/>
      <c r="DV119" s="1115"/>
      <c r="DW119" s="1116"/>
      <c r="DX119" s="1116"/>
      <c r="DY119" s="1116"/>
      <c r="DZ119" s="1116"/>
      <c r="EA119" s="1116"/>
      <c r="EB119" s="1116"/>
      <c r="EC119" s="1116"/>
      <c r="ED119" s="1116"/>
      <c r="EE119" s="1116"/>
      <c r="EF119" s="1116"/>
      <c r="EG119" s="1116"/>
      <c r="EH119" s="1116"/>
      <c r="EI119" s="1116"/>
      <c r="EJ119" s="1116"/>
      <c r="EK119" s="1116"/>
      <c r="EL119" s="1116"/>
      <c r="EM119" s="1116"/>
      <c r="EN119" s="1116"/>
      <c r="EO119" s="1116"/>
      <c r="EP119" s="1116"/>
      <c r="EQ119" s="1116"/>
      <c r="ER119" s="1116"/>
      <c r="ES119" s="1116"/>
    </row>
    <row r="120" spans="1:149" ht="15" customHeight="1">
      <c r="A120" s="1799">
        <v>105</v>
      </c>
      <c r="B120" s="1041"/>
      <c r="C120" s="1050"/>
      <c r="D120" s="1050"/>
      <c r="E120" s="1050"/>
      <c r="F120" s="1049"/>
      <c r="G120" s="1457"/>
      <c r="H120" s="1049"/>
      <c r="I120" s="1049"/>
      <c r="J120" s="1050"/>
      <c r="K120" s="1050"/>
      <c r="L120" s="1043"/>
      <c r="M120" s="1051"/>
      <c r="N120" s="1051"/>
      <c r="O120" s="1052"/>
      <c r="P120" s="1051"/>
      <c r="Q120" s="1051"/>
      <c r="R120" s="1052"/>
      <c r="S120" s="1051"/>
      <c r="T120" s="1051"/>
      <c r="U120" s="1052"/>
      <c r="V120" s="1051"/>
      <c r="W120" s="1051"/>
      <c r="X120" s="1052"/>
      <c r="Y120" s="1053"/>
      <c r="Z120" s="1051"/>
      <c r="AA120" s="1051"/>
      <c r="AB120" s="1052"/>
      <c r="AC120" s="1051"/>
      <c r="AD120" s="1051"/>
      <c r="AE120" s="1052"/>
      <c r="AF120" s="1051"/>
      <c r="AG120" s="1051"/>
      <c r="AH120" s="1051"/>
      <c r="AI120" s="1051"/>
      <c r="AJ120" s="1052"/>
      <c r="AK120" s="1051"/>
      <c r="AL120" s="1051"/>
      <c r="AM120" s="1052"/>
      <c r="AN120" s="1051"/>
      <c r="AO120" s="1051"/>
      <c r="AP120" s="1052"/>
      <c r="AQ120" s="1051"/>
      <c r="AR120" s="1051"/>
      <c r="AS120" s="1052"/>
      <c r="AT120" s="1051"/>
      <c r="AU120" s="1051"/>
      <c r="AV120" s="1052"/>
      <c r="AW120" s="1051"/>
      <c r="AX120" s="1051"/>
      <c r="AY120" s="1053"/>
      <c r="AZ120" s="1051"/>
      <c r="BA120" s="1051"/>
      <c r="BB120" s="1053"/>
      <c r="BC120" s="1051"/>
      <c r="BD120" s="1051"/>
      <c r="BE120" s="1053"/>
      <c r="BF120" s="1051"/>
      <c r="BG120" s="1051"/>
      <c r="BH120" s="1053"/>
      <c r="BI120" s="1052"/>
      <c r="BJ120" s="1052"/>
      <c r="BK120" s="1052"/>
      <c r="BL120" s="1052"/>
      <c r="BM120" s="1052"/>
      <c r="BN120" s="1054"/>
      <c r="BO120" s="1076">
        <f t="shared" si="12"/>
        <v>0</v>
      </c>
      <c r="BP120" s="1051"/>
      <c r="BQ120" s="1052"/>
      <c r="BR120" s="1054"/>
      <c r="BS120" s="1053"/>
      <c r="BT120" s="1051"/>
      <c r="BU120" s="1051"/>
      <c r="BV120" s="1051"/>
      <c r="BW120" s="1052"/>
      <c r="BX120" s="1052"/>
      <c r="BY120" s="1052"/>
      <c r="BZ120" s="1052"/>
      <c r="CA120" s="1052"/>
      <c r="CB120" s="1053"/>
      <c r="CC120" s="1053"/>
      <c r="CD120" s="1053"/>
      <c r="CE120" s="1053"/>
      <c r="CF120" s="1053"/>
      <c r="CG120" s="1053"/>
      <c r="CH120" s="1053"/>
      <c r="CI120" s="1123"/>
      <c r="CJ120" s="1123"/>
      <c r="CK120" s="1123"/>
      <c r="CL120" s="1123"/>
      <c r="CM120" s="1123"/>
      <c r="CN120" s="1123"/>
      <c r="CO120" s="1123"/>
      <c r="CP120" s="1123"/>
      <c r="CQ120" s="1123"/>
      <c r="CR120" s="1123"/>
      <c r="CS120" s="1123"/>
      <c r="CT120" s="1123"/>
      <c r="CU120" s="1123"/>
      <c r="CV120" s="1123"/>
      <c r="CW120" s="1123"/>
      <c r="CX120" s="1123"/>
      <c r="CY120" s="1123"/>
      <c r="CZ120" s="1114"/>
      <c r="DA120" s="1114"/>
      <c r="DB120" s="1114"/>
      <c r="DC120" s="1114"/>
      <c r="DD120" s="1114"/>
      <c r="DE120" s="1114"/>
      <c r="DF120" s="1114"/>
      <c r="DG120" s="1114"/>
      <c r="DH120" s="1114"/>
      <c r="DI120" s="1114"/>
      <c r="DJ120" s="1114"/>
      <c r="DK120" s="1114"/>
      <c r="DL120" s="1114"/>
      <c r="DM120" s="1114"/>
      <c r="DN120" s="1114"/>
      <c r="DO120" s="1114"/>
      <c r="DP120" s="1114"/>
      <c r="DQ120" s="1114"/>
      <c r="DR120" s="1114"/>
      <c r="DS120" s="1114"/>
      <c r="DT120" s="1114"/>
      <c r="DU120" s="1114"/>
      <c r="DV120" s="1115"/>
      <c r="DW120" s="1116"/>
      <c r="DX120" s="1116"/>
      <c r="DY120" s="1116"/>
      <c r="DZ120" s="1116"/>
      <c r="EA120" s="1116"/>
      <c r="EB120" s="1116"/>
      <c r="EC120" s="1116"/>
      <c r="ED120" s="1116"/>
      <c r="EE120" s="1116"/>
      <c r="EF120" s="1116"/>
      <c r="EG120" s="1116"/>
      <c r="EH120" s="1116"/>
      <c r="EI120" s="1116"/>
      <c r="EJ120" s="1116"/>
      <c r="EK120" s="1116"/>
      <c r="EL120" s="1116"/>
      <c r="EM120" s="1116"/>
      <c r="EN120" s="1116"/>
      <c r="EO120" s="1116"/>
      <c r="EP120" s="1116"/>
      <c r="EQ120" s="1116"/>
      <c r="ER120" s="1116"/>
      <c r="ES120" s="1116"/>
    </row>
    <row r="121" spans="1:149" ht="15" customHeight="1">
      <c r="A121" s="1799">
        <v>106</v>
      </c>
      <c r="B121" s="1041"/>
      <c r="C121" s="1050"/>
      <c r="D121" s="1050"/>
      <c r="E121" s="1050"/>
      <c r="F121" s="1049"/>
      <c r="G121" s="1457"/>
      <c r="H121" s="1049"/>
      <c r="I121" s="1049"/>
      <c r="J121" s="1050"/>
      <c r="K121" s="1050"/>
      <c r="L121" s="1043"/>
      <c r="M121" s="1051"/>
      <c r="N121" s="1051"/>
      <c r="O121" s="1052"/>
      <c r="P121" s="1051"/>
      <c r="Q121" s="1051"/>
      <c r="R121" s="1052"/>
      <c r="S121" s="1051"/>
      <c r="T121" s="1051"/>
      <c r="U121" s="1052"/>
      <c r="V121" s="1051"/>
      <c r="W121" s="1051"/>
      <c r="X121" s="1052"/>
      <c r="Y121" s="1053"/>
      <c r="Z121" s="1051"/>
      <c r="AA121" s="1051"/>
      <c r="AB121" s="1052"/>
      <c r="AC121" s="1051"/>
      <c r="AD121" s="1051"/>
      <c r="AE121" s="1052"/>
      <c r="AF121" s="1051"/>
      <c r="AG121" s="1051"/>
      <c r="AH121" s="1051"/>
      <c r="AI121" s="1051"/>
      <c r="AJ121" s="1052"/>
      <c r="AK121" s="1051"/>
      <c r="AL121" s="1051"/>
      <c r="AM121" s="1052"/>
      <c r="AN121" s="1051"/>
      <c r="AO121" s="1051"/>
      <c r="AP121" s="1052"/>
      <c r="AQ121" s="1051"/>
      <c r="AR121" s="1051"/>
      <c r="AS121" s="1052"/>
      <c r="AT121" s="1051"/>
      <c r="AU121" s="1051"/>
      <c r="AV121" s="1052"/>
      <c r="AW121" s="1051"/>
      <c r="AX121" s="1051"/>
      <c r="AY121" s="1053"/>
      <c r="AZ121" s="1051"/>
      <c r="BA121" s="1051"/>
      <c r="BB121" s="1053"/>
      <c r="BC121" s="1051"/>
      <c r="BD121" s="1051"/>
      <c r="BE121" s="1053"/>
      <c r="BF121" s="1051"/>
      <c r="BG121" s="1051"/>
      <c r="BH121" s="1053"/>
      <c r="BI121" s="1052"/>
      <c r="BJ121" s="1052"/>
      <c r="BK121" s="1052"/>
      <c r="BL121" s="1052"/>
      <c r="BM121" s="1052"/>
      <c r="BN121" s="1054"/>
      <c r="BO121" s="1076">
        <f t="shared" si="12"/>
        <v>0</v>
      </c>
      <c r="BP121" s="1051"/>
      <c r="BQ121" s="1052"/>
      <c r="BR121" s="1054"/>
      <c r="BS121" s="1053"/>
      <c r="BT121" s="1051"/>
      <c r="BU121" s="1051"/>
      <c r="BV121" s="1051"/>
      <c r="BW121" s="1052"/>
      <c r="BX121" s="1052"/>
      <c r="BY121" s="1052"/>
      <c r="BZ121" s="1052"/>
      <c r="CA121" s="1052"/>
      <c r="CB121" s="1053"/>
      <c r="CC121" s="1053"/>
      <c r="CD121" s="1053"/>
      <c r="CE121" s="1053"/>
      <c r="CF121" s="1053"/>
      <c r="CG121" s="1053"/>
      <c r="CH121" s="1053"/>
      <c r="CI121" s="1123"/>
      <c r="CJ121" s="1123"/>
      <c r="CK121" s="1123"/>
      <c r="CL121" s="1123"/>
      <c r="CM121" s="1123"/>
      <c r="CN121" s="1123"/>
      <c r="CO121" s="1123"/>
      <c r="CP121" s="1123"/>
      <c r="CQ121" s="1123"/>
      <c r="CR121" s="1123"/>
      <c r="CS121" s="1123"/>
      <c r="CT121" s="1123"/>
      <c r="CU121" s="1123"/>
      <c r="CV121" s="1123"/>
      <c r="CW121" s="1123"/>
      <c r="CX121" s="1123"/>
      <c r="CY121" s="1123"/>
      <c r="CZ121" s="1114"/>
      <c r="DA121" s="1114"/>
      <c r="DB121" s="1114"/>
      <c r="DC121" s="1114"/>
      <c r="DD121" s="1114"/>
      <c r="DE121" s="1114"/>
      <c r="DF121" s="1114"/>
      <c r="DG121" s="1114"/>
      <c r="DH121" s="1114"/>
      <c r="DI121" s="1114"/>
      <c r="DJ121" s="1114"/>
      <c r="DK121" s="1114"/>
      <c r="DL121" s="1114"/>
      <c r="DM121" s="1114"/>
      <c r="DN121" s="1114"/>
      <c r="DO121" s="1114"/>
      <c r="DP121" s="1114"/>
      <c r="DQ121" s="1114"/>
      <c r="DR121" s="1114"/>
      <c r="DS121" s="1114"/>
      <c r="DT121" s="1114"/>
      <c r="DU121" s="1114"/>
      <c r="DV121" s="1115"/>
      <c r="DW121" s="1116"/>
      <c r="DX121" s="1116"/>
      <c r="DY121" s="1116"/>
      <c r="DZ121" s="1116"/>
      <c r="EA121" s="1116"/>
      <c r="EB121" s="1116"/>
      <c r="EC121" s="1116"/>
      <c r="ED121" s="1116"/>
      <c r="EE121" s="1116"/>
      <c r="EF121" s="1116"/>
      <c r="EG121" s="1116"/>
      <c r="EH121" s="1116"/>
      <c r="EI121" s="1116"/>
      <c r="EJ121" s="1116"/>
      <c r="EK121" s="1116"/>
      <c r="EL121" s="1116"/>
      <c r="EM121" s="1116"/>
      <c r="EN121" s="1116"/>
      <c r="EO121" s="1116"/>
      <c r="EP121" s="1116"/>
      <c r="EQ121" s="1116"/>
      <c r="ER121" s="1116"/>
      <c r="ES121" s="1116"/>
    </row>
    <row r="122" spans="1:149" ht="15" customHeight="1">
      <c r="A122" s="1799">
        <v>107</v>
      </c>
      <c r="B122" s="1041"/>
      <c r="C122" s="1050"/>
      <c r="D122" s="1050"/>
      <c r="E122" s="1050"/>
      <c r="F122" s="1049"/>
      <c r="G122" s="1457"/>
      <c r="H122" s="1049"/>
      <c r="I122" s="1049"/>
      <c r="J122" s="1050"/>
      <c r="K122" s="1050"/>
      <c r="L122" s="1043"/>
      <c r="M122" s="1051"/>
      <c r="N122" s="1051"/>
      <c r="O122" s="1052"/>
      <c r="P122" s="1051"/>
      <c r="Q122" s="1051"/>
      <c r="R122" s="1052"/>
      <c r="S122" s="1051"/>
      <c r="T122" s="1051"/>
      <c r="U122" s="1052"/>
      <c r="V122" s="1051"/>
      <c r="W122" s="1051"/>
      <c r="X122" s="1052"/>
      <c r="Y122" s="1053"/>
      <c r="Z122" s="1051"/>
      <c r="AA122" s="1051"/>
      <c r="AB122" s="1052"/>
      <c r="AC122" s="1051"/>
      <c r="AD122" s="1051"/>
      <c r="AE122" s="1052"/>
      <c r="AF122" s="1051"/>
      <c r="AG122" s="1051"/>
      <c r="AH122" s="1051"/>
      <c r="AI122" s="1051"/>
      <c r="AJ122" s="1052"/>
      <c r="AK122" s="1051"/>
      <c r="AL122" s="1051"/>
      <c r="AM122" s="1052"/>
      <c r="AN122" s="1051"/>
      <c r="AO122" s="1051"/>
      <c r="AP122" s="1052"/>
      <c r="AQ122" s="1051"/>
      <c r="AR122" s="1051"/>
      <c r="AS122" s="1052"/>
      <c r="AT122" s="1051"/>
      <c r="AU122" s="1051"/>
      <c r="AV122" s="1052"/>
      <c r="AW122" s="1051"/>
      <c r="AX122" s="1051"/>
      <c r="AY122" s="1053"/>
      <c r="AZ122" s="1051"/>
      <c r="BA122" s="1051"/>
      <c r="BB122" s="1053"/>
      <c r="BC122" s="1051"/>
      <c r="BD122" s="1051"/>
      <c r="BE122" s="1053"/>
      <c r="BF122" s="1051"/>
      <c r="BG122" s="1051"/>
      <c r="BH122" s="1053"/>
      <c r="BI122" s="1052"/>
      <c r="BJ122" s="1052"/>
      <c r="BK122" s="1052"/>
      <c r="BL122" s="1052"/>
      <c r="BM122" s="1052"/>
      <c r="BN122" s="1054"/>
      <c r="BO122" s="1076">
        <f t="shared" si="12"/>
        <v>0</v>
      </c>
      <c r="BP122" s="1051"/>
      <c r="BQ122" s="1052"/>
      <c r="BR122" s="1054"/>
      <c r="BS122" s="1053"/>
      <c r="BT122" s="1051"/>
      <c r="BU122" s="1051"/>
      <c r="BV122" s="1051"/>
      <c r="BW122" s="1052"/>
      <c r="BX122" s="1052"/>
      <c r="BY122" s="1052"/>
      <c r="BZ122" s="1052"/>
      <c r="CA122" s="1052"/>
      <c r="CB122" s="1053"/>
      <c r="CC122" s="1053"/>
      <c r="CD122" s="1053"/>
      <c r="CE122" s="1053"/>
      <c r="CF122" s="1053"/>
      <c r="CG122" s="1053"/>
      <c r="CH122" s="1053"/>
      <c r="CI122" s="1123"/>
      <c r="CJ122" s="1123"/>
      <c r="CK122" s="1123"/>
      <c r="CL122" s="1123"/>
      <c r="CM122" s="1123"/>
      <c r="CN122" s="1123"/>
      <c r="CO122" s="1123"/>
      <c r="CP122" s="1123"/>
      <c r="CQ122" s="1123"/>
      <c r="CR122" s="1123"/>
      <c r="CS122" s="1123"/>
      <c r="CT122" s="1123"/>
      <c r="CU122" s="1123"/>
      <c r="CV122" s="1123"/>
      <c r="CW122" s="1123"/>
      <c r="CX122" s="1123"/>
      <c r="CY122" s="1123"/>
      <c r="CZ122" s="1114"/>
      <c r="DA122" s="1114"/>
      <c r="DB122" s="1114"/>
      <c r="DC122" s="1114"/>
      <c r="DD122" s="1114"/>
      <c r="DE122" s="1114"/>
      <c r="DF122" s="1114"/>
      <c r="DG122" s="1114"/>
      <c r="DH122" s="1114"/>
      <c r="DI122" s="1114"/>
      <c r="DJ122" s="1114"/>
      <c r="DK122" s="1114"/>
      <c r="DL122" s="1114"/>
      <c r="DM122" s="1114"/>
      <c r="DN122" s="1114"/>
      <c r="DO122" s="1114"/>
      <c r="DP122" s="1114"/>
      <c r="DQ122" s="1114"/>
      <c r="DR122" s="1114"/>
      <c r="DS122" s="1114"/>
      <c r="DT122" s="1114"/>
      <c r="DU122" s="1114"/>
      <c r="DV122" s="1115"/>
      <c r="DW122" s="1116"/>
      <c r="DX122" s="1116"/>
      <c r="DY122" s="1116"/>
      <c r="DZ122" s="1116"/>
      <c r="EA122" s="1116"/>
      <c r="EB122" s="1116"/>
      <c r="EC122" s="1116"/>
      <c r="ED122" s="1116"/>
      <c r="EE122" s="1116"/>
      <c r="EF122" s="1116"/>
      <c r="EG122" s="1116"/>
      <c r="EH122" s="1116"/>
      <c r="EI122" s="1116"/>
      <c r="EJ122" s="1116"/>
      <c r="EK122" s="1116"/>
      <c r="EL122" s="1116"/>
      <c r="EM122" s="1116"/>
      <c r="EN122" s="1116"/>
      <c r="EO122" s="1116"/>
      <c r="EP122" s="1116"/>
      <c r="EQ122" s="1116"/>
      <c r="ER122" s="1116"/>
      <c r="ES122" s="1116"/>
    </row>
    <row r="123" spans="1:149" ht="15" customHeight="1">
      <c r="A123" s="1799">
        <v>108</v>
      </c>
      <c r="B123" s="1041"/>
      <c r="C123" s="1050"/>
      <c r="D123" s="1050"/>
      <c r="E123" s="1050"/>
      <c r="F123" s="1049"/>
      <c r="G123" s="1457"/>
      <c r="H123" s="1049"/>
      <c r="I123" s="1049"/>
      <c r="J123" s="1050"/>
      <c r="K123" s="1050"/>
      <c r="L123" s="1043"/>
      <c r="M123" s="1051"/>
      <c r="N123" s="1051"/>
      <c r="O123" s="1052"/>
      <c r="P123" s="1051"/>
      <c r="Q123" s="1051"/>
      <c r="R123" s="1052"/>
      <c r="S123" s="1051"/>
      <c r="T123" s="1051"/>
      <c r="U123" s="1052"/>
      <c r="V123" s="1051"/>
      <c r="W123" s="1051"/>
      <c r="X123" s="1052"/>
      <c r="Y123" s="1053"/>
      <c r="Z123" s="1051"/>
      <c r="AA123" s="1051"/>
      <c r="AB123" s="1052"/>
      <c r="AC123" s="1051"/>
      <c r="AD123" s="1051"/>
      <c r="AE123" s="1052"/>
      <c r="AF123" s="1051"/>
      <c r="AG123" s="1051"/>
      <c r="AH123" s="1051"/>
      <c r="AI123" s="1051"/>
      <c r="AJ123" s="1052"/>
      <c r="AK123" s="1051"/>
      <c r="AL123" s="1051"/>
      <c r="AM123" s="1052"/>
      <c r="AN123" s="1051"/>
      <c r="AO123" s="1051"/>
      <c r="AP123" s="1052"/>
      <c r="AQ123" s="1051"/>
      <c r="AR123" s="1051"/>
      <c r="AS123" s="1052"/>
      <c r="AT123" s="1051"/>
      <c r="AU123" s="1051"/>
      <c r="AV123" s="1052"/>
      <c r="AW123" s="1051"/>
      <c r="AX123" s="1051"/>
      <c r="AY123" s="1053"/>
      <c r="AZ123" s="1051"/>
      <c r="BA123" s="1051"/>
      <c r="BB123" s="1053"/>
      <c r="BC123" s="1051"/>
      <c r="BD123" s="1051"/>
      <c r="BE123" s="1053"/>
      <c r="BF123" s="1051"/>
      <c r="BG123" s="1051"/>
      <c r="BH123" s="1053"/>
      <c r="BI123" s="1052"/>
      <c r="BJ123" s="1052"/>
      <c r="BK123" s="1052"/>
      <c r="BL123" s="1052"/>
      <c r="BM123" s="1052"/>
      <c r="BN123" s="1054"/>
      <c r="BO123" s="1076">
        <f t="shared" si="12"/>
        <v>0</v>
      </c>
      <c r="BP123" s="1051"/>
      <c r="BQ123" s="1052"/>
      <c r="BR123" s="1054"/>
      <c r="BS123" s="1053"/>
      <c r="BT123" s="1051"/>
      <c r="BU123" s="1051"/>
      <c r="BV123" s="1051"/>
      <c r="BW123" s="1052"/>
      <c r="BX123" s="1052"/>
      <c r="BY123" s="1052"/>
      <c r="BZ123" s="1052"/>
      <c r="CA123" s="1052"/>
      <c r="CB123" s="1053"/>
      <c r="CC123" s="1053"/>
      <c r="CD123" s="1053"/>
      <c r="CE123" s="1053"/>
      <c r="CF123" s="1053"/>
      <c r="CG123" s="1053"/>
      <c r="CH123" s="1053"/>
      <c r="CI123" s="1123"/>
      <c r="CJ123" s="1123"/>
      <c r="CK123" s="1123"/>
      <c r="CL123" s="1123"/>
      <c r="CM123" s="1123"/>
      <c r="CN123" s="1123"/>
      <c r="CO123" s="1123"/>
      <c r="CP123" s="1123"/>
      <c r="CQ123" s="1123"/>
      <c r="CR123" s="1123"/>
      <c r="CS123" s="1123"/>
      <c r="CT123" s="1123"/>
      <c r="CU123" s="1123"/>
      <c r="CV123" s="1123"/>
      <c r="CW123" s="1123"/>
      <c r="CX123" s="1123"/>
      <c r="CY123" s="1123"/>
      <c r="CZ123" s="1114"/>
      <c r="DA123" s="1114"/>
      <c r="DB123" s="1114"/>
      <c r="DC123" s="1114"/>
      <c r="DD123" s="1114"/>
      <c r="DE123" s="1114"/>
      <c r="DF123" s="1114"/>
      <c r="DG123" s="1114"/>
      <c r="DH123" s="1114"/>
      <c r="DI123" s="1114"/>
      <c r="DJ123" s="1114"/>
      <c r="DK123" s="1114"/>
      <c r="DL123" s="1114"/>
      <c r="DM123" s="1114"/>
      <c r="DN123" s="1114"/>
      <c r="DO123" s="1114"/>
      <c r="DP123" s="1114"/>
      <c r="DQ123" s="1114"/>
      <c r="DR123" s="1114"/>
      <c r="DS123" s="1114"/>
      <c r="DT123" s="1114"/>
      <c r="DU123" s="1114"/>
      <c r="DV123" s="1115"/>
      <c r="DW123" s="1116"/>
      <c r="DX123" s="1116"/>
      <c r="DY123" s="1116"/>
      <c r="DZ123" s="1116"/>
      <c r="EA123" s="1116"/>
      <c r="EB123" s="1116"/>
      <c r="EC123" s="1116"/>
      <c r="ED123" s="1116"/>
      <c r="EE123" s="1116"/>
      <c r="EF123" s="1116"/>
      <c r="EG123" s="1116"/>
      <c r="EH123" s="1116"/>
      <c r="EI123" s="1116"/>
      <c r="EJ123" s="1116"/>
      <c r="EK123" s="1116"/>
      <c r="EL123" s="1116"/>
      <c r="EM123" s="1116"/>
      <c r="EN123" s="1116"/>
      <c r="EO123" s="1116"/>
      <c r="EP123" s="1116"/>
      <c r="EQ123" s="1116"/>
      <c r="ER123" s="1116"/>
      <c r="ES123" s="1116"/>
    </row>
    <row r="124" spans="1:149" ht="15" customHeight="1">
      <c r="A124" s="1799">
        <v>109</v>
      </c>
      <c r="B124" s="1041"/>
      <c r="C124" s="1050"/>
      <c r="D124" s="1050"/>
      <c r="E124" s="1050"/>
      <c r="F124" s="1049"/>
      <c r="G124" s="1457"/>
      <c r="H124" s="1049"/>
      <c r="I124" s="1049"/>
      <c r="J124" s="1050"/>
      <c r="K124" s="1050"/>
      <c r="L124" s="1043"/>
      <c r="M124" s="1051"/>
      <c r="N124" s="1051"/>
      <c r="O124" s="1052"/>
      <c r="P124" s="1051"/>
      <c r="Q124" s="1051"/>
      <c r="R124" s="1052"/>
      <c r="S124" s="1051"/>
      <c r="T124" s="1051"/>
      <c r="U124" s="1052"/>
      <c r="V124" s="1051"/>
      <c r="W124" s="1051"/>
      <c r="X124" s="1052"/>
      <c r="Y124" s="1053"/>
      <c r="Z124" s="1051"/>
      <c r="AA124" s="1051"/>
      <c r="AB124" s="1052"/>
      <c r="AC124" s="1051"/>
      <c r="AD124" s="1051"/>
      <c r="AE124" s="1052"/>
      <c r="AF124" s="1051"/>
      <c r="AG124" s="1051"/>
      <c r="AH124" s="1051"/>
      <c r="AI124" s="1051"/>
      <c r="AJ124" s="1052"/>
      <c r="AK124" s="1051"/>
      <c r="AL124" s="1051"/>
      <c r="AM124" s="1052"/>
      <c r="AN124" s="1051"/>
      <c r="AO124" s="1051"/>
      <c r="AP124" s="1052"/>
      <c r="AQ124" s="1051"/>
      <c r="AR124" s="1051"/>
      <c r="AS124" s="1052"/>
      <c r="AT124" s="1051"/>
      <c r="AU124" s="1051"/>
      <c r="AV124" s="1052"/>
      <c r="AW124" s="1051"/>
      <c r="AX124" s="1051"/>
      <c r="AY124" s="1053"/>
      <c r="AZ124" s="1051"/>
      <c r="BA124" s="1051"/>
      <c r="BB124" s="1053"/>
      <c r="BC124" s="1051"/>
      <c r="BD124" s="1051"/>
      <c r="BE124" s="1053"/>
      <c r="BF124" s="1051"/>
      <c r="BG124" s="1051"/>
      <c r="BH124" s="1053"/>
      <c r="BI124" s="1052"/>
      <c r="BJ124" s="1052"/>
      <c r="BK124" s="1052"/>
      <c r="BL124" s="1052"/>
      <c r="BM124" s="1052"/>
      <c r="BN124" s="1054"/>
      <c r="BO124" s="1076">
        <f t="shared" si="12"/>
        <v>0</v>
      </c>
      <c r="BP124" s="1051"/>
      <c r="BQ124" s="1052"/>
      <c r="BR124" s="1054"/>
      <c r="BS124" s="1053"/>
      <c r="BT124" s="1051"/>
      <c r="BU124" s="1051"/>
      <c r="BV124" s="1051"/>
      <c r="BW124" s="1052"/>
      <c r="BX124" s="1052"/>
      <c r="BY124" s="1052"/>
      <c r="BZ124" s="1052"/>
      <c r="CA124" s="1052"/>
      <c r="CB124" s="1053"/>
      <c r="CC124" s="1053"/>
      <c r="CD124" s="1053"/>
      <c r="CE124" s="1053"/>
      <c r="CF124" s="1053"/>
      <c r="CG124" s="1053"/>
      <c r="CH124" s="1053"/>
      <c r="CI124" s="1123"/>
      <c r="CJ124" s="1123"/>
      <c r="CK124" s="1123"/>
      <c r="CL124" s="1123"/>
      <c r="CM124" s="1123"/>
      <c r="CN124" s="1123"/>
      <c r="CO124" s="1123"/>
      <c r="CP124" s="1123"/>
      <c r="CQ124" s="1123"/>
      <c r="CR124" s="1123"/>
      <c r="CS124" s="1123"/>
      <c r="CT124" s="1123"/>
      <c r="CU124" s="1123"/>
      <c r="CV124" s="1123"/>
      <c r="CW124" s="1123"/>
      <c r="CX124" s="1123"/>
      <c r="CY124" s="1123"/>
      <c r="CZ124" s="1114"/>
      <c r="DA124" s="1114"/>
      <c r="DB124" s="1114"/>
      <c r="DC124" s="1114"/>
      <c r="DD124" s="1114"/>
      <c r="DE124" s="1114"/>
      <c r="DF124" s="1114"/>
      <c r="DG124" s="1114"/>
      <c r="DH124" s="1114"/>
      <c r="DI124" s="1114"/>
      <c r="DJ124" s="1114"/>
      <c r="DK124" s="1114"/>
      <c r="DL124" s="1114"/>
      <c r="DM124" s="1114"/>
      <c r="DN124" s="1114"/>
      <c r="DO124" s="1114"/>
      <c r="DP124" s="1114"/>
      <c r="DQ124" s="1114"/>
      <c r="DR124" s="1114"/>
      <c r="DS124" s="1114"/>
      <c r="DT124" s="1114"/>
      <c r="DU124" s="1114"/>
      <c r="DV124" s="1115"/>
      <c r="DW124" s="1116"/>
      <c r="DX124" s="1116"/>
      <c r="DY124" s="1116"/>
      <c r="DZ124" s="1116"/>
      <c r="EA124" s="1116"/>
      <c r="EB124" s="1116"/>
      <c r="EC124" s="1116"/>
      <c r="ED124" s="1116"/>
      <c r="EE124" s="1116"/>
      <c r="EF124" s="1116"/>
      <c r="EG124" s="1116"/>
      <c r="EH124" s="1116"/>
      <c r="EI124" s="1116"/>
      <c r="EJ124" s="1116"/>
      <c r="EK124" s="1116"/>
      <c r="EL124" s="1116"/>
      <c r="EM124" s="1116"/>
      <c r="EN124" s="1116"/>
      <c r="EO124" s="1116"/>
      <c r="EP124" s="1116"/>
      <c r="EQ124" s="1116"/>
      <c r="ER124" s="1116"/>
      <c r="ES124" s="1116"/>
    </row>
    <row r="125" spans="1:149" ht="15" customHeight="1">
      <c r="A125" s="1799">
        <v>110</v>
      </c>
      <c r="B125" s="1041"/>
      <c r="C125" s="1050"/>
      <c r="D125" s="1050"/>
      <c r="E125" s="1050"/>
      <c r="F125" s="1049"/>
      <c r="G125" s="1457"/>
      <c r="H125" s="1049"/>
      <c r="I125" s="1049"/>
      <c r="J125" s="1050"/>
      <c r="K125" s="1050"/>
      <c r="L125" s="1043"/>
      <c r="M125" s="1051"/>
      <c r="N125" s="1051"/>
      <c r="O125" s="1052"/>
      <c r="P125" s="1051"/>
      <c r="Q125" s="1051"/>
      <c r="R125" s="1052"/>
      <c r="S125" s="1051"/>
      <c r="T125" s="1051"/>
      <c r="U125" s="1052"/>
      <c r="V125" s="1051"/>
      <c r="W125" s="1051"/>
      <c r="X125" s="1052"/>
      <c r="Y125" s="1053"/>
      <c r="Z125" s="1051"/>
      <c r="AA125" s="1051"/>
      <c r="AB125" s="1052"/>
      <c r="AC125" s="1051"/>
      <c r="AD125" s="1051"/>
      <c r="AE125" s="1052"/>
      <c r="AF125" s="1051"/>
      <c r="AG125" s="1051"/>
      <c r="AH125" s="1051"/>
      <c r="AI125" s="1051"/>
      <c r="AJ125" s="1052"/>
      <c r="AK125" s="1051"/>
      <c r="AL125" s="1051"/>
      <c r="AM125" s="1052"/>
      <c r="AN125" s="1051"/>
      <c r="AO125" s="1051"/>
      <c r="AP125" s="1052"/>
      <c r="AQ125" s="1051"/>
      <c r="AR125" s="1051"/>
      <c r="AS125" s="1052"/>
      <c r="AT125" s="1051"/>
      <c r="AU125" s="1051"/>
      <c r="AV125" s="1052"/>
      <c r="AW125" s="1051"/>
      <c r="AX125" s="1051"/>
      <c r="AY125" s="1053"/>
      <c r="AZ125" s="1051"/>
      <c r="BA125" s="1051"/>
      <c r="BB125" s="1053"/>
      <c r="BC125" s="1051"/>
      <c r="BD125" s="1051"/>
      <c r="BE125" s="1053"/>
      <c r="BF125" s="1051"/>
      <c r="BG125" s="1051"/>
      <c r="BH125" s="1053"/>
      <c r="BI125" s="1052"/>
      <c r="BJ125" s="1052"/>
      <c r="BK125" s="1052"/>
      <c r="BL125" s="1052"/>
      <c r="BM125" s="1052"/>
      <c r="BN125" s="1054"/>
      <c r="BO125" s="1076">
        <f t="shared" si="12"/>
        <v>0</v>
      </c>
      <c r="BP125" s="1051"/>
      <c r="BQ125" s="1052"/>
      <c r="BR125" s="1054"/>
      <c r="BS125" s="1053"/>
      <c r="BT125" s="1051"/>
      <c r="BU125" s="1051"/>
      <c r="BV125" s="1051"/>
      <c r="BW125" s="1052"/>
      <c r="BX125" s="1052"/>
      <c r="BY125" s="1052"/>
      <c r="BZ125" s="1052"/>
      <c r="CA125" s="1052"/>
      <c r="CB125" s="1053"/>
      <c r="CC125" s="1053"/>
      <c r="CD125" s="1053"/>
      <c r="CE125" s="1053"/>
      <c r="CF125" s="1053"/>
      <c r="CG125" s="1053"/>
      <c r="CH125" s="1053"/>
      <c r="CI125" s="1123"/>
      <c r="CJ125" s="1123"/>
      <c r="CK125" s="1123"/>
      <c r="CL125" s="1123"/>
      <c r="CM125" s="1123"/>
      <c r="CN125" s="1123"/>
      <c r="CO125" s="1123"/>
      <c r="CP125" s="1123"/>
      <c r="CQ125" s="1123"/>
      <c r="CR125" s="1123"/>
      <c r="CS125" s="1123"/>
      <c r="CT125" s="1123"/>
      <c r="CU125" s="1123"/>
      <c r="CV125" s="1123"/>
      <c r="CW125" s="1123"/>
      <c r="CX125" s="1123"/>
      <c r="CY125" s="1123"/>
      <c r="CZ125" s="1114"/>
      <c r="DA125" s="1114"/>
      <c r="DB125" s="1114"/>
      <c r="DC125" s="1114"/>
      <c r="DD125" s="1114"/>
      <c r="DE125" s="1114"/>
      <c r="DF125" s="1114"/>
      <c r="DG125" s="1114"/>
      <c r="DH125" s="1114"/>
      <c r="DI125" s="1114"/>
      <c r="DJ125" s="1114"/>
      <c r="DK125" s="1114"/>
      <c r="DL125" s="1114"/>
      <c r="DM125" s="1114"/>
      <c r="DN125" s="1114"/>
      <c r="DO125" s="1114"/>
      <c r="DP125" s="1114"/>
      <c r="DQ125" s="1114"/>
      <c r="DR125" s="1114"/>
      <c r="DS125" s="1114"/>
      <c r="DT125" s="1114"/>
      <c r="DU125" s="1114"/>
      <c r="DV125" s="1115"/>
      <c r="DW125" s="1116"/>
      <c r="DX125" s="1116"/>
      <c r="DY125" s="1116"/>
      <c r="DZ125" s="1116"/>
      <c r="EA125" s="1116"/>
      <c r="EB125" s="1116"/>
      <c r="EC125" s="1116"/>
      <c r="ED125" s="1116"/>
      <c r="EE125" s="1116"/>
      <c r="EF125" s="1116"/>
      <c r="EG125" s="1116"/>
      <c r="EH125" s="1116"/>
      <c r="EI125" s="1116"/>
      <c r="EJ125" s="1116"/>
      <c r="EK125" s="1116"/>
      <c r="EL125" s="1116"/>
      <c r="EM125" s="1116"/>
      <c r="EN125" s="1116"/>
      <c r="EO125" s="1116"/>
      <c r="EP125" s="1116"/>
      <c r="EQ125" s="1116"/>
      <c r="ER125" s="1116"/>
      <c r="ES125" s="1116"/>
    </row>
    <row r="126" spans="1:149" ht="15" customHeight="1">
      <c r="A126" s="1799">
        <v>111</v>
      </c>
      <c r="B126" s="1041"/>
      <c r="C126" s="1050"/>
      <c r="D126" s="1050"/>
      <c r="E126" s="1050"/>
      <c r="F126" s="1049"/>
      <c r="G126" s="1457"/>
      <c r="H126" s="1049"/>
      <c r="I126" s="1049"/>
      <c r="J126" s="1050"/>
      <c r="K126" s="1050"/>
      <c r="L126" s="1043"/>
      <c r="M126" s="1051"/>
      <c r="N126" s="1051"/>
      <c r="O126" s="1052"/>
      <c r="P126" s="1051"/>
      <c r="Q126" s="1051"/>
      <c r="R126" s="1052"/>
      <c r="S126" s="1051"/>
      <c r="T126" s="1051"/>
      <c r="U126" s="1052"/>
      <c r="V126" s="1051"/>
      <c r="W126" s="1051"/>
      <c r="X126" s="1052"/>
      <c r="Y126" s="1053"/>
      <c r="Z126" s="1051"/>
      <c r="AA126" s="1051"/>
      <c r="AB126" s="1052"/>
      <c r="AC126" s="1051"/>
      <c r="AD126" s="1051"/>
      <c r="AE126" s="1052"/>
      <c r="AF126" s="1051"/>
      <c r="AG126" s="1051"/>
      <c r="AH126" s="1051"/>
      <c r="AI126" s="1051"/>
      <c r="AJ126" s="1052"/>
      <c r="AK126" s="1051"/>
      <c r="AL126" s="1051"/>
      <c r="AM126" s="1052"/>
      <c r="AN126" s="1051"/>
      <c r="AO126" s="1051"/>
      <c r="AP126" s="1052"/>
      <c r="AQ126" s="1051"/>
      <c r="AR126" s="1051"/>
      <c r="AS126" s="1052"/>
      <c r="AT126" s="1051"/>
      <c r="AU126" s="1051"/>
      <c r="AV126" s="1052"/>
      <c r="AW126" s="1051"/>
      <c r="AX126" s="1051"/>
      <c r="AY126" s="1053"/>
      <c r="AZ126" s="1051"/>
      <c r="BA126" s="1051"/>
      <c r="BB126" s="1053"/>
      <c r="BC126" s="1051"/>
      <c r="BD126" s="1051"/>
      <c r="BE126" s="1053"/>
      <c r="BF126" s="1051"/>
      <c r="BG126" s="1051"/>
      <c r="BH126" s="1053"/>
      <c r="BI126" s="1052"/>
      <c r="BJ126" s="1052"/>
      <c r="BK126" s="1052"/>
      <c r="BL126" s="1052"/>
      <c r="BM126" s="1052"/>
      <c r="BN126" s="1054"/>
      <c r="BO126" s="1076">
        <f t="shared" si="12"/>
        <v>0</v>
      </c>
      <c r="BP126" s="1051"/>
      <c r="BQ126" s="1052"/>
      <c r="BR126" s="1054"/>
      <c r="BS126" s="1053"/>
      <c r="BT126" s="1051"/>
      <c r="BU126" s="1051"/>
      <c r="BV126" s="1051"/>
      <c r="BW126" s="1052"/>
      <c r="BX126" s="1052"/>
      <c r="BY126" s="1052"/>
      <c r="BZ126" s="1052"/>
      <c r="CA126" s="1052"/>
      <c r="CB126" s="1053"/>
      <c r="CC126" s="1053"/>
      <c r="CD126" s="1053"/>
      <c r="CE126" s="1053"/>
      <c r="CF126" s="1053"/>
      <c r="CG126" s="1053"/>
      <c r="CH126" s="1053"/>
      <c r="CI126" s="1123"/>
      <c r="CJ126" s="1123"/>
      <c r="CK126" s="1123"/>
      <c r="CL126" s="1123"/>
      <c r="CM126" s="1123"/>
      <c r="CN126" s="1123"/>
      <c r="CO126" s="1123"/>
      <c r="CP126" s="1123"/>
      <c r="CQ126" s="1123"/>
      <c r="CR126" s="1123"/>
      <c r="CS126" s="1123"/>
      <c r="CT126" s="1123"/>
      <c r="CU126" s="1123"/>
      <c r="CV126" s="1123"/>
      <c r="CW126" s="1123"/>
      <c r="CX126" s="1123"/>
      <c r="CY126" s="1123"/>
      <c r="CZ126" s="1114"/>
      <c r="DA126" s="1114"/>
      <c r="DB126" s="1114"/>
      <c r="DC126" s="1114"/>
      <c r="DD126" s="1114"/>
      <c r="DE126" s="1114"/>
      <c r="DF126" s="1114"/>
      <c r="DG126" s="1114"/>
      <c r="DH126" s="1114"/>
      <c r="DI126" s="1114"/>
      <c r="DJ126" s="1114"/>
      <c r="DK126" s="1114"/>
      <c r="DL126" s="1114"/>
      <c r="DM126" s="1114"/>
      <c r="DN126" s="1114"/>
      <c r="DO126" s="1114"/>
      <c r="DP126" s="1114"/>
      <c r="DQ126" s="1114"/>
      <c r="DR126" s="1114"/>
      <c r="DS126" s="1114"/>
      <c r="DT126" s="1114"/>
      <c r="DU126" s="1114"/>
      <c r="DV126" s="1115"/>
      <c r="DW126" s="1116"/>
      <c r="DX126" s="1116"/>
      <c r="DY126" s="1116"/>
      <c r="DZ126" s="1116"/>
      <c r="EA126" s="1116"/>
      <c r="EB126" s="1116"/>
      <c r="EC126" s="1116"/>
      <c r="ED126" s="1116"/>
      <c r="EE126" s="1116"/>
      <c r="EF126" s="1116"/>
      <c r="EG126" s="1116"/>
      <c r="EH126" s="1116"/>
      <c r="EI126" s="1116"/>
      <c r="EJ126" s="1116"/>
      <c r="EK126" s="1116"/>
      <c r="EL126" s="1116"/>
      <c r="EM126" s="1116"/>
      <c r="EN126" s="1116"/>
      <c r="EO126" s="1116"/>
      <c r="EP126" s="1116"/>
      <c r="EQ126" s="1116"/>
      <c r="ER126" s="1116"/>
      <c r="ES126" s="1116"/>
    </row>
    <row r="127" spans="1:149" ht="15" customHeight="1">
      <c r="A127" s="1799">
        <v>112</v>
      </c>
      <c r="B127" s="1041"/>
      <c r="C127" s="1050"/>
      <c r="D127" s="1050"/>
      <c r="E127" s="1050"/>
      <c r="F127" s="1049"/>
      <c r="G127" s="1457"/>
      <c r="H127" s="1049"/>
      <c r="I127" s="1049"/>
      <c r="J127" s="1050"/>
      <c r="K127" s="1050"/>
      <c r="L127" s="1043"/>
      <c r="M127" s="1051"/>
      <c r="N127" s="1051"/>
      <c r="O127" s="1052"/>
      <c r="P127" s="1051"/>
      <c r="Q127" s="1051"/>
      <c r="R127" s="1052"/>
      <c r="S127" s="1051"/>
      <c r="T127" s="1051"/>
      <c r="U127" s="1052"/>
      <c r="V127" s="1051"/>
      <c r="W127" s="1051"/>
      <c r="X127" s="1052"/>
      <c r="Y127" s="1053"/>
      <c r="Z127" s="1051"/>
      <c r="AA127" s="1051"/>
      <c r="AB127" s="1052"/>
      <c r="AC127" s="1051"/>
      <c r="AD127" s="1051"/>
      <c r="AE127" s="1052"/>
      <c r="AF127" s="1051"/>
      <c r="AG127" s="1051"/>
      <c r="AH127" s="1051"/>
      <c r="AI127" s="1051"/>
      <c r="AJ127" s="1052"/>
      <c r="AK127" s="1051"/>
      <c r="AL127" s="1051"/>
      <c r="AM127" s="1052"/>
      <c r="AN127" s="1051"/>
      <c r="AO127" s="1051"/>
      <c r="AP127" s="1052"/>
      <c r="AQ127" s="1051"/>
      <c r="AR127" s="1051"/>
      <c r="AS127" s="1052"/>
      <c r="AT127" s="1051"/>
      <c r="AU127" s="1051"/>
      <c r="AV127" s="1052"/>
      <c r="AW127" s="1051"/>
      <c r="AX127" s="1051"/>
      <c r="AY127" s="1053"/>
      <c r="AZ127" s="1051"/>
      <c r="BA127" s="1051"/>
      <c r="BB127" s="1053"/>
      <c r="BC127" s="1051"/>
      <c r="BD127" s="1051"/>
      <c r="BE127" s="1053"/>
      <c r="BF127" s="1051"/>
      <c r="BG127" s="1051"/>
      <c r="BH127" s="1053"/>
      <c r="BI127" s="1052"/>
      <c r="BJ127" s="1052"/>
      <c r="BK127" s="1052"/>
      <c r="BL127" s="1052"/>
      <c r="BM127" s="1052"/>
      <c r="BN127" s="1054"/>
      <c r="BO127" s="1076">
        <f t="shared" si="12"/>
        <v>0</v>
      </c>
      <c r="BP127" s="1051"/>
      <c r="BQ127" s="1052"/>
      <c r="BR127" s="1054"/>
      <c r="BS127" s="1053"/>
      <c r="BT127" s="1051"/>
      <c r="BU127" s="1051"/>
      <c r="BV127" s="1051"/>
      <c r="BW127" s="1052"/>
      <c r="BX127" s="1052"/>
      <c r="BY127" s="1052"/>
      <c r="BZ127" s="1052"/>
      <c r="CA127" s="1052"/>
      <c r="CB127" s="1053"/>
      <c r="CC127" s="1053"/>
      <c r="CD127" s="1053"/>
      <c r="CE127" s="1053"/>
      <c r="CF127" s="1053"/>
      <c r="CG127" s="1053"/>
      <c r="CH127" s="1053"/>
      <c r="CI127" s="1123"/>
      <c r="CJ127" s="1123"/>
      <c r="CK127" s="1123"/>
      <c r="CL127" s="1123"/>
      <c r="CM127" s="1123"/>
      <c r="CN127" s="1123"/>
      <c r="CO127" s="1123"/>
      <c r="CP127" s="1123"/>
      <c r="CQ127" s="1123"/>
      <c r="CR127" s="1123"/>
      <c r="CS127" s="1123"/>
      <c r="CT127" s="1123"/>
      <c r="CU127" s="1123"/>
      <c r="CV127" s="1123"/>
      <c r="CW127" s="1123"/>
      <c r="CX127" s="1123"/>
      <c r="CY127" s="1123"/>
      <c r="CZ127" s="1114"/>
      <c r="DA127" s="1114"/>
      <c r="DB127" s="1114"/>
      <c r="DC127" s="1114"/>
      <c r="DD127" s="1114"/>
      <c r="DE127" s="1114"/>
      <c r="DF127" s="1114"/>
      <c r="DG127" s="1114"/>
      <c r="DH127" s="1114"/>
      <c r="DI127" s="1114"/>
      <c r="DJ127" s="1114"/>
      <c r="DK127" s="1114"/>
      <c r="DL127" s="1114"/>
      <c r="DM127" s="1114"/>
      <c r="DN127" s="1114"/>
      <c r="DO127" s="1114"/>
      <c r="DP127" s="1114"/>
      <c r="DQ127" s="1114"/>
      <c r="DR127" s="1114"/>
      <c r="DS127" s="1114"/>
      <c r="DT127" s="1114"/>
      <c r="DU127" s="1114"/>
      <c r="DV127" s="1115"/>
      <c r="DW127" s="1116"/>
      <c r="DX127" s="1116"/>
      <c r="DY127" s="1116"/>
      <c r="DZ127" s="1116"/>
      <c r="EA127" s="1116"/>
      <c r="EB127" s="1116"/>
      <c r="EC127" s="1116"/>
      <c r="ED127" s="1116"/>
      <c r="EE127" s="1116"/>
      <c r="EF127" s="1116"/>
      <c r="EG127" s="1116"/>
      <c r="EH127" s="1116"/>
      <c r="EI127" s="1116"/>
      <c r="EJ127" s="1116"/>
      <c r="EK127" s="1116"/>
      <c r="EL127" s="1116"/>
      <c r="EM127" s="1116"/>
      <c r="EN127" s="1116"/>
      <c r="EO127" s="1116"/>
      <c r="EP127" s="1116"/>
      <c r="EQ127" s="1116"/>
      <c r="ER127" s="1116"/>
      <c r="ES127" s="1116"/>
    </row>
    <row r="128" spans="1:149" ht="15" customHeight="1">
      <c r="A128" s="1799">
        <v>113</v>
      </c>
      <c r="B128" s="1041"/>
      <c r="C128" s="1050"/>
      <c r="D128" s="1050"/>
      <c r="E128" s="1050"/>
      <c r="F128" s="1049"/>
      <c r="G128" s="1457"/>
      <c r="H128" s="1049"/>
      <c r="I128" s="1049"/>
      <c r="J128" s="1050"/>
      <c r="K128" s="1050"/>
      <c r="L128" s="1043"/>
      <c r="M128" s="1051"/>
      <c r="N128" s="1051"/>
      <c r="O128" s="1052"/>
      <c r="P128" s="1051"/>
      <c r="Q128" s="1051"/>
      <c r="R128" s="1052"/>
      <c r="S128" s="1051"/>
      <c r="T128" s="1051"/>
      <c r="U128" s="1052"/>
      <c r="V128" s="1051"/>
      <c r="W128" s="1051"/>
      <c r="X128" s="1052"/>
      <c r="Y128" s="1053"/>
      <c r="Z128" s="1051"/>
      <c r="AA128" s="1051"/>
      <c r="AB128" s="1052"/>
      <c r="AC128" s="1051"/>
      <c r="AD128" s="1051"/>
      <c r="AE128" s="1052"/>
      <c r="AF128" s="1051"/>
      <c r="AG128" s="1051"/>
      <c r="AH128" s="1051"/>
      <c r="AI128" s="1051"/>
      <c r="AJ128" s="1052"/>
      <c r="AK128" s="1051"/>
      <c r="AL128" s="1051"/>
      <c r="AM128" s="1052"/>
      <c r="AN128" s="1051"/>
      <c r="AO128" s="1051"/>
      <c r="AP128" s="1052"/>
      <c r="AQ128" s="1051"/>
      <c r="AR128" s="1051"/>
      <c r="AS128" s="1052"/>
      <c r="AT128" s="1051"/>
      <c r="AU128" s="1051"/>
      <c r="AV128" s="1052"/>
      <c r="AW128" s="1051"/>
      <c r="AX128" s="1051"/>
      <c r="AY128" s="1053"/>
      <c r="AZ128" s="1051"/>
      <c r="BA128" s="1051"/>
      <c r="BB128" s="1053"/>
      <c r="BC128" s="1051"/>
      <c r="BD128" s="1051"/>
      <c r="BE128" s="1053"/>
      <c r="BF128" s="1051"/>
      <c r="BG128" s="1051"/>
      <c r="BH128" s="1053"/>
      <c r="BI128" s="1052"/>
      <c r="BJ128" s="1052"/>
      <c r="BK128" s="1052"/>
      <c r="BL128" s="1052"/>
      <c r="BM128" s="1052"/>
      <c r="BN128" s="1054"/>
      <c r="BO128" s="1076">
        <f t="shared" si="12"/>
        <v>0</v>
      </c>
      <c r="BP128" s="1051"/>
      <c r="BQ128" s="1052"/>
      <c r="BR128" s="1054"/>
      <c r="BS128" s="1053"/>
      <c r="BT128" s="1051"/>
      <c r="BU128" s="1051"/>
      <c r="BV128" s="1051"/>
      <c r="BW128" s="1052"/>
      <c r="BX128" s="1052"/>
      <c r="BY128" s="1052"/>
      <c r="BZ128" s="1052"/>
      <c r="CA128" s="1052"/>
      <c r="CB128" s="1053"/>
      <c r="CC128" s="1053"/>
      <c r="CD128" s="1053"/>
      <c r="CE128" s="1053"/>
      <c r="CF128" s="1053"/>
      <c r="CG128" s="1053"/>
      <c r="CH128" s="1053"/>
      <c r="CI128" s="1123"/>
      <c r="CJ128" s="1123"/>
      <c r="CK128" s="1123"/>
      <c r="CL128" s="1123"/>
      <c r="CM128" s="1123"/>
      <c r="CN128" s="1123"/>
      <c r="CO128" s="1123"/>
      <c r="CP128" s="1123"/>
      <c r="CQ128" s="1123"/>
      <c r="CR128" s="1123"/>
      <c r="CS128" s="1123"/>
      <c r="CT128" s="1123"/>
      <c r="CU128" s="1123"/>
      <c r="CV128" s="1123"/>
      <c r="CW128" s="1123"/>
      <c r="CX128" s="1123"/>
      <c r="CY128" s="1123"/>
      <c r="CZ128" s="1114"/>
      <c r="DA128" s="1114"/>
      <c r="DB128" s="1114"/>
      <c r="DC128" s="1114"/>
      <c r="DD128" s="1114"/>
      <c r="DE128" s="1114"/>
      <c r="DF128" s="1114"/>
      <c r="DG128" s="1114"/>
      <c r="DH128" s="1114"/>
      <c r="DI128" s="1114"/>
      <c r="DJ128" s="1114"/>
      <c r="DK128" s="1114"/>
      <c r="DL128" s="1114"/>
      <c r="DM128" s="1114"/>
      <c r="DN128" s="1114"/>
      <c r="DO128" s="1114"/>
      <c r="DP128" s="1114"/>
      <c r="DQ128" s="1114"/>
      <c r="DR128" s="1114"/>
      <c r="DS128" s="1114"/>
      <c r="DT128" s="1114"/>
      <c r="DU128" s="1114"/>
      <c r="DV128" s="1115"/>
      <c r="DW128" s="1116"/>
      <c r="DX128" s="1116"/>
      <c r="DY128" s="1116"/>
      <c r="DZ128" s="1116"/>
      <c r="EA128" s="1116"/>
      <c r="EB128" s="1116"/>
      <c r="EC128" s="1116"/>
      <c r="ED128" s="1116"/>
      <c r="EE128" s="1116"/>
      <c r="EF128" s="1116"/>
      <c r="EG128" s="1116"/>
      <c r="EH128" s="1116"/>
      <c r="EI128" s="1116"/>
      <c r="EJ128" s="1116"/>
      <c r="EK128" s="1116"/>
      <c r="EL128" s="1116"/>
      <c r="EM128" s="1116"/>
      <c r="EN128" s="1116"/>
      <c r="EO128" s="1116"/>
      <c r="EP128" s="1116"/>
      <c r="EQ128" s="1116"/>
      <c r="ER128" s="1116"/>
      <c r="ES128" s="1116"/>
    </row>
    <row r="129" spans="1:149" ht="15" customHeight="1">
      <c r="A129" s="1799">
        <v>114</v>
      </c>
      <c r="B129" s="1041"/>
      <c r="C129" s="1050"/>
      <c r="D129" s="1050"/>
      <c r="E129" s="1050"/>
      <c r="F129" s="1049"/>
      <c r="G129" s="1457"/>
      <c r="H129" s="1049"/>
      <c r="I129" s="1049"/>
      <c r="J129" s="1050"/>
      <c r="K129" s="1050"/>
      <c r="L129" s="1043"/>
      <c r="M129" s="1051"/>
      <c r="N129" s="1051"/>
      <c r="O129" s="1052"/>
      <c r="P129" s="1051"/>
      <c r="Q129" s="1051"/>
      <c r="R129" s="1052"/>
      <c r="S129" s="1051"/>
      <c r="T129" s="1051"/>
      <c r="U129" s="1052"/>
      <c r="V129" s="1051"/>
      <c r="W129" s="1051"/>
      <c r="X129" s="1052"/>
      <c r="Y129" s="1053"/>
      <c r="Z129" s="1051"/>
      <c r="AA129" s="1051"/>
      <c r="AB129" s="1052"/>
      <c r="AC129" s="1051"/>
      <c r="AD129" s="1051"/>
      <c r="AE129" s="1052"/>
      <c r="AF129" s="1051"/>
      <c r="AG129" s="1051"/>
      <c r="AH129" s="1051"/>
      <c r="AI129" s="1051"/>
      <c r="AJ129" s="1052"/>
      <c r="AK129" s="1051"/>
      <c r="AL129" s="1051"/>
      <c r="AM129" s="1052"/>
      <c r="AN129" s="1051"/>
      <c r="AO129" s="1051"/>
      <c r="AP129" s="1052"/>
      <c r="AQ129" s="1051"/>
      <c r="AR129" s="1051"/>
      <c r="AS129" s="1052"/>
      <c r="AT129" s="1051"/>
      <c r="AU129" s="1051"/>
      <c r="AV129" s="1052"/>
      <c r="AW129" s="1051"/>
      <c r="AX129" s="1051"/>
      <c r="AY129" s="1053"/>
      <c r="AZ129" s="1051"/>
      <c r="BA129" s="1051"/>
      <c r="BB129" s="1053"/>
      <c r="BC129" s="1051"/>
      <c r="BD129" s="1051"/>
      <c r="BE129" s="1053"/>
      <c r="BF129" s="1051"/>
      <c r="BG129" s="1051"/>
      <c r="BH129" s="1053"/>
      <c r="BI129" s="1052"/>
      <c r="BJ129" s="1052"/>
      <c r="BK129" s="1052"/>
      <c r="BL129" s="1052"/>
      <c r="BM129" s="1052"/>
      <c r="BN129" s="1054"/>
      <c r="BO129" s="1076">
        <f t="shared" si="12"/>
        <v>0</v>
      </c>
      <c r="BP129" s="1051"/>
      <c r="BQ129" s="1052"/>
      <c r="BR129" s="1054"/>
      <c r="BS129" s="1053"/>
      <c r="BT129" s="1051"/>
      <c r="BU129" s="1051"/>
      <c r="BV129" s="1051"/>
      <c r="BW129" s="1052"/>
      <c r="BX129" s="1052"/>
      <c r="BY129" s="1052"/>
      <c r="BZ129" s="1052"/>
      <c r="CA129" s="1052"/>
      <c r="CB129" s="1053"/>
      <c r="CC129" s="1053"/>
      <c r="CD129" s="1053"/>
      <c r="CE129" s="1053"/>
      <c r="CF129" s="1053"/>
      <c r="CG129" s="1053"/>
      <c r="CH129" s="1053"/>
      <c r="CI129" s="1123"/>
      <c r="CJ129" s="1123"/>
      <c r="CK129" s="1123"/>
      <c r="CL129" s="1123"/>
      <c r="CM129" s="1123"/>
      <c r="CN129" s="1123"/>
      <c r="CO129" s="1123"/>
      <c r="CP129" s="1123"/>
      <c r="CQ129" s="1123"/>
      <c r="CR129" s="1123"/>
      <c r="CS129" s="1123"/>
      <c r="CT129" s="1123"/>
      <c r="CU129" s="1123"/>
      <c r="CV129" s="1123"/>
      <c r="CW129" s="1123"/>
      <c r="CX129" s="1123"/>
      <c r="CY129" s="1123"/>
      <c r="CZ129" s="1114"/>
      <c r="DA129" s="1114"/>
      <c r="DB129" s="1114"/>
      <c r="DC129" s="1114"/>
      <c r="DD129" s="1114"/>
      <c r="DE129" s="1114"/>
      <c r="DF129" s="1114"/>
      <c r="DG129" s="1114"/>
      <c r="DH129" s="1114"/>
      <c r="DI129" s="1114"/>
      <c r="DJ129" s="1114"/>
      <c r="DK129" s="1114"/>
      <c r="DL129" s="1114"/>
      <c r="DM129" s="1114"/>
      <c r="DN129" s="1114"/>
      <c r="DO129" s="1114"/>
      <c r="DP129" s="1114"/>
      <c r="DQ129" s="1114"/>
      <c r="DR129" s="1114"/>
      <c r="DS129" s="1114"/>
      <c r="DT129" s="1114"/>
      <c r="DU129" s="1114"/>
      <c r="DV129" s="1115"/>
      <c r="DW129" s="1116"/>
      <c r="DX129" s="1116"/>
      <c r="DY129" s="1116"/>
      <c r="DZ129" s="1116"/>
      <c r="EA129" s="1116"/>
      <c r="EB129" s="1116"/>
      <c r="EC129" s="1116"/>
      <c r="ED129" s="1116"/>
      <c r="EE129" s="1116"/>
      <c r="EF129" s="1116"/>
      <c r="EG129" s="1116"/>
      <c r="EH129" s="1116"/>
      <c r="EI129" s="1116"/>
      <c r="EJ129" s="1116"/>
      <c r="EK129" s="1116"/>
      <c r="EL129" s="1116"/>
      <c r="EM129" s="1116"/>
      <c r="EN129" s="1116"/>
      <c r="EO129" s="1116"/>
      <c r="EP129" s="1116"/>
      <c r="EQ129" s="1116"/>
      <c r="ER129" s="1116"/>
      <c r="ES129" s="1116"/>
    </row>
    <row r="130" spans="1:149" ht="15" customHeight="1">
      <c r="A130" s="1799">
        <v>115</v>
      </c>
      <c r="B130" s="1041"/>
      <c r="C130" s="1050"/>
      <c r="D130" s="1050"/>
      <c r="E130" s="1050"/>
      <c r="F130" s="1049"/>
      <c r="G130" s="1457"/>
      <c r="H130" s="1049"/>
      <c r="I130" s="1049"/>
      <c r="J130" s="1050"/>
      <c r="K130" s="1050"/>
      <c r="L130" s="1043"/>
      <c r="M130" s="1051"/>
      <c r="N130" s="1051"/>
      <c r="O130" s="1052"/>
      <c r="P130" s="1051"/>
      <c r="Q130" s="1051"/>
      <c r="R130" s="1052"/>
      <c r="S130" s="1051"/>
      <c r="T130" s="1051"/>
      <c r="U130" s="1052"/>
      <c r="V130" s="1051"/>
      <c r="W130" s="1051"/>
      <c r="X130" s="1052"/>
      <c r="Y130" s="1053"/>
      <c r="Z130" s="1051"/>
      <c r="AA130" s="1051"/>
      <c r="AB130" s="1052"/>
      <c r="AC130" s="1051"/>
      <c r="AD130" s="1051"/>
      <c r="AE130" s="1052"/>
      <c r="AF130" s="1051"/>
      <c r="AG130" s="1051"/>
      <c r="AH130" s="1051"/>
      <c r="AI130" s="1051"/>
      <c r="AJ130" s="1052"/>
      <c r="AK130" s="1051"/>
      <c r="AL130" s="1051"/>
      <c r="AM130" s="1052"/>
      <c r="AN130" s="1051"/>
      <c r="AO130" s="1051"/>
      <c r="AP130" s="1052"/>
      <c r="AQ130" s="1051"/>
      <c r="AR130" s="1051"/>
      <c r="AS130" s="1052"/>
      <c r="AT130" s="1051"/>
      <c r="AU130" s="1051"/>
      <c r="AV130" s="1052"/>
      <c r="AW130" s="1051"/>
      <c r="AX130" s="1051"/>
      <c r="AY130" s="1053"/>
      <c r="AZ130" s="1051"/>
      <c r="BA130" s="1051"/>
      <c r="BB130" s="1053"/>
      <c r="BC130" s="1051"/>
      <c r="BD130" s="1051"/>
      <c r="BE130" s="1053"/>
      <c r="BF130" s="1051"/>
      <c r="BG130" s="1051"/>
      <c r="BH130" s="1053"/>
      <c r="BI130" s="1052"/>
      <c r="BJ130" s="1052"/>
      <c r="BK130" s="1052"/>
      <c r="BL130" s="1052"/>
      <c r="BM130" s="1052"/>
      <c r="BN130" s="1054"/>
      <c r="BO130" s="1076">
        <f t="shared" si="12"/>
        <v>0</v>
      </c>
      <c r="BP130" s="1051"/>
      <c r="BQ130" s="1052"/>
      <c r="BR130" s="1054"/>
      <c r="BS130" s="1053"/>
      <c r="BT130" s="1051"/>
      <c r="BU130" s="1051"/>
      <c r="BV130" s="1051"/>
      <c r="BW130" s="1052"/>
      <c r="BX130" s="1052"/>
      <c r="BY130" s="1052"/>
      <c r="BZ130" s="1052"/>
      <c r="CA130" s="1052"/>
      <c r="CB130" s="1053"/>
      <c r="CC130" s="1053"/>
      <c r="CD130" s="1053"/>
      <c r="CE130" s="1053"/>
      <c r="CF130" s="1053"/>
      <c r="CG130" s="1053"/>
      <c r="CH130" s="1053"/>
      <c r="CI130" s="1123"/>
      <c r="CJ130" s="1123"/>
      <c r="CK130" s="1123"/>
      <c r="CL130" s="1123"/>
      <c r="CM130" s="1123"/>
      <c r="CN130" s="1123"/>
      <c r="CO130" s="1123"/>
      <c r="CP130" s="1123"/>
      <c r="CQ130" s="1123"/>
      <c r="CR130" s="1123"/>
      <c r="CS130" s="1123"/>
      <c r="CT130" s="1123"/>
      <c r="CU130" s="1123"/>
      <c r="CV130" s="1123"/>
      <c r="CW130" s="1123"/>
      <c r="CX130" s="1123"/>
      <c r="CY130" s="1123"/>
      <c r="CZ130" s="1114"/>
      <c r="DA130" s="1114"/>
      <c r="DB130" s="1114"/>
      <c r="DC130" s="1114"/>
      <c r="DD130" s="1114"/>
      <c r="DE130" s="1114"/>
      <c r="DF130" s="1114"/>
      <c r="DG130" s="1114"/>
      <c r="DH130" s="1114"/>
      <c r="DI130" s="1114"/>
      <c r="DJ130" s="1114"/>
      <c r="DK130" s="1114"/>
      <c r="DL130" s="1114"/>
      <c r="DM130" s="1114"/>
      <c r="DN130" s="1114"/>
      <c r="DO130" s="1114"/>
      <c r="DP130" s="1114"/>
      <c r="DQ130" s="1114"/>
      <c r="DR130" s="1114"/>
      <c r="DS130" s="1114"/>
      <c r="DT130" s="1114"/>
      <c r="DU130" s="1114"/>
      <c r="DV130" s="1115"/>
      <c r="DW130" s="1116"/>
      <c r="DX130" s="1116"/>
      <c r="DY130" s="1116"/>
      <c r="DZ130" s="1116"/>
      <c r="EA130" s="1116"/>
      <c r="EB130" s="1116"/>
      <c r="EC130" s="1116"/>
      <c r="ED130" s="1116"/>
      <c r="EE130" s="1116"/>
      <c r="EF130" s="1116"/>
      <c r="EG130" s="1116"/>
      <c r="EH130" s="1116"/>
      <c r="EI130" s="1116"/>
      <c r="EJ130" s="1116"/>
      <c r="EK130" s="1116"/>
      <c r="EL130" s="1116"/>
      <c r="EM130" s="1116"/>
      <c r="EN130" s="1116"/>
      <c r="EO130" s="1116"/>
      <c r="EP130" s="1116"/>
      <c r="EQ130" s="1116"/>
      <c r="ER130" s="1116"/>
      <c r="ES130" s="1116"/>
    </row>
    <row r="131" spans="1:149" ht="15" customHeight="1">
      <c r="A131" s="1799">
        <v>116</v>
      </c>
      <c r="B131" s="1041"/>
      <c r="C131" s="1050"/>
      <c r="D131" s="1050"/>
      <c r="E131" s="1050"/>
      <c r="F131" s="1049"/>
      <c r="G131" s="1457"/>
      <c r="H131" s="1049"/>
      <c r="I131" s="1049"/>
      <c r="J131" s="1050"/>
      <c r="K131" s="1050"/>
      <c r="L131" s="1043"/>
      <c r="M131" s="1051"/>
      <c r="N131" s="1051"/>
      <c r="O131" s="1052"/>
      <c r="P131" s="1051"/>
      <c r="Q131" s="1051"/>
      <c r="R131" s="1052"/>
      <c r="S131" s="1051"/>
      <c r="T131" s="1051"/>
      <c r="U131" s="1052"/>
      <c r="V131" s="1051"/>
      <c r="W131" s="1051"/>
      <c r="X131" s="1052"/>
      <c r="Y131" s="1053"/>
      <c r="Z131" s="1051"/>
      <c r="AA131" s="1051"/>
      <c r="AB131" s="1052"/>
      <c r="AC131" s="1051"/>
      <c r="AD131" s="1051"/>
      <c r="AE131" s="1052"/>
      <c r="AF131" s="1051"/>
      <c r="AG131" s="1051"/>
      <c r="AH131" s="1051"/>
      <c r="AI131" s="1051"/>
      <c r="AJ131" s="1052"/>
      <c r="AK131" s="1051"/>
      <c r="AL131" s="1051"/>
      <c r="AM131" s="1052"/>
      <c r="AN131" s="1051"/>
      <c r="AO131" s="1051"/>
      <c r="AP131" s="1052"/>
      <c r="AQ131" s="1051"/>
      <c r="AR131" s="1051"/>
      <c r="AS131" s="1052"/>
      <c r="AT131" s="1051"/>
      <c r="AU131" s="1051"/>
      <c r="AV131" s="1052"/>
      <c r="AW131" s="1051"/>
      <c r="AX131" s="1051"/>
      <c r="AY131" s="1053"/>
      <c r="AZ131" s="1051"/>
      <c r="BA131" s="1051"/>
      <c r="BB131" s="1053"/>
      <c r="BC131" s="1051"/>
      <c r="BD131" s="1051"/>
      <c r="BE131" s="1053"/>
      <c r="BF131" s="1051"/>
      <c r="BG131" s="1051"/>
      <c r="BH131" s="1053"/>
      <c r="BI131" s="1052"/>
      <c r="BJ131" s="1052"/>
      <c r="BK131" s="1052"/>
      <c r="BL131" s="1052"/>
      <c r="BM131" s="1052"/>
      <c r="BN131" s="1054"/>
      <c r="BO131" s="1076">
        <f t="shared" si="12"/>
        <v>0</v>
      </c>
      <c r="BP131" s="1051"/>
      <c r="BQ131" s="1052"/>
      <c r="BR131" s="1054"/>
      <c r="BS131" s="1053"/>
      <c r="BT131" s="1051"/>
      <c r="BU131" s="1051"/>
      <c r="BV131" s="1051"/>
      <c r="BW131" s="1052"/>
      <c r="BX131" s="1052"/>
      <c r="BY131" s="1052"/>
      <c r="BZ131" s="1052"/>
      <c r="CA131" s="1052"/>
      <c r="CB131" s="1053"/>
      <c r="CC131" s="1053"/>
      <c r="CD131" s="1053"/>
      <c r="CE131" s="1053"/>
      <c r="CF131" s="1053"/>
      <c r="CG131" s="1053"/>
      <c r="CH131" s="1053"/>
      <c r="CI131" s="1123"/>
      <c r="CJ131" s="1123"/>
      <c r="CK131" s="1123"/>
      <c r="CL131" s="1123"/>
      <c r="CM131" s="1123"/>
      <c r="CN131" s="1123"/>
      <c r="CO131" s="1123"/>
      <c r="CP131" s="1123"/>
      <c r="CQ131" s="1123"/>
      <c r="CR131" s="1123"/>
      <c r="CS131" s="1123"/>
      <c r="CT131" s="1123"/>
      <c r="CU131" s="1123"/>
      <c r="CV131" s="1123"/>
      <c r="CW131" s="1123"/>
      <c r="CX131" s="1123"/>
      <c r="CY131" s="1123"/>
      <c r="CZ131" s="1114"/>
      <c r="DA131" s="1114"/>
      <c r="DB131" s="1114"/>
      <c r="DC131" s="1114"/>
      <c r="DD131" s="1114"/>
      <c r="DE131" s="1114"/>
      <c r="DF131" s="1114"/>
      <c r="DG131" s="1114"/>
      <c r="DH131" s="1114"/>
      <c r="DI131" s="1114"/>
      <c r="DJ131" s="1114"/>
      <c r="DK131" s="1114"/>
      <c r="DL131" s="1114"/>
      <c r="DM131" s="1114"/>
      <c r="DN131" s="1114"/>
      <c r="DO131" s="1114"/>
      <c r="DP131" s="1114"/>
      <c r="DQ131" s="1114"/>
      <c r="DR131" s="1114"/>
      <c r="DS131" s="1114"/>
      <c r="DT131" s="1114"/>
      <c r="DU131" s="1114"/>
      <c r="DV131" s="1115"/>
      <c r="DW131" s="1116"/>
      <c r="DX131" s="1116"/>
      <c r="DY131" s="1116"/>
      <c r="DZ131" s="1116"/>
      <c r="EA131" s="1116"/>
      <c r="EB131" s="1116"/>
      <c r="EC131" s="1116"/>
      <c r="ED131" s="1116"/>
      <c r="EE131" s="1116"/>
      <c r="EF131" s="1116"/>
      <c r="EG131" s="1116"/>
      <c r="EH131" s="1116"/>
      <c r="EI131" s="1116"/>
      <c r="EJ131" s="1116"/>
      <c r="EK131" s="1116"/>
      <c r="EL131" s="1116"/>
      <c r="EM131" s="1116"/>
      <c r="EN131" s="1116"/>
      <c r="EO131" s="1116"/>
      <c r="EP131" s="1116"/>
      <c r="EQ131" s="1116"/>
      <c r="ER131" s="1116"/>
      <c r="ES131" s="1116"/>
    </row>
    <row r="132" spans="1:149" ht="15" customHeight="1">
      <c r="A132" s="1799">
        <v>117</v>
      </c>
      <c r="B132" s="1041"/>
      <c r="C132" s="1050"/>
      <c r="D132" s="1050"/>
      <c r="E132" s="1050"/>
      <c r="F132" s="1049"/>
      <c r="G132" s="1457"/>
      <c r="H132" s="1049"/>
      <c r="I132" s="1049"/>
      <c r="J132" s="1050"/>
      <c r="K132" s="1050"/>
      <c r="L132" s="1043"/>
      <c r="M132" s="1051"/>
      <c r="N132" s="1051"/>
      <c r="O132" s="1052"/>
      <c r="P132" s="1051"/>
      <c r="Q132" s="1051"/>
      <c r="R132" s="1052"/>
      <c r="S132" s="1051"/>
      <c r="T132" s="1051"/>
      <c r="U132" s="1052"/>
      <c r="V132" s="1051"/>
      <c r="W132" s="1051"/>
      <c r="X132" s="1052"/>
      <c r="Y132" s="1053"/>
      <c r="Z132" s="1051"/>
      <c r="AA132" s="1051"/>
      <c r="AB132" s="1052"/>
      <c r="AC132" s="1051"/>
      <c r="AD132" s="1051"/>
      <c r="AE132" s="1052"/>
      <c r="AF132" s="1051"/>
      <c r="AG132" s="1051"/>
      <c r="AH132" s="1051"/>
      <c r="AI132" s="1051"/>
      <c r="AJ132" s="1052"/>
      <c r="AK132" s="1051"/>
      <c r="AL132" s="1051"/>
      <c r="AM132" s="1052"/>
      <c r="AN132" s="1051"/>
      <c r="AO132" s="1051"/>
      <c r="AP132" s="1052"/>
      <c r="AQ132" s="1051"/>
      <c r="AR132" s="1051"/>
      <c r="AS132" s="1052"/>
      <c r="AT132" s="1051"/>
      <c r="AU132" s="1051"/>
      <c r="AV132" s="1052"/>
      <c r="AW132" s="1051"/>
      <c r="AX132" s="1051"/>
      <c r="AY132" s="1053"/>
      <c r="AZ132" s="1051"/>
      <c r="BA132" s="1051"/>
      <c r="BB132" s="1053"/>
      <c r="BC132" s="1051"/>
      <c r="BD132" s="1051"/>
      <c r="BE132" s="1053"/>
      <c r="BF132" s="1051"/>
      <c r="BG132" s="1051"/>
      <c r="BH132" s="1053"/>
      <c r="BI132" s="1052"/>
      <c r="BJ132" s="1052"/>
      <c r="BK132" s="1052"/>
      <c r="BL132" s="1052"/>
      <c r="BM132" s="1052"/>
      <c r="BN132" s="1054"/>
      <c r="BO132" s="1076">
        <f t="shared" si="12"/>
        <v>0</v>
      </c>
      <c r="BP132" s="1051"/>
      <c r="BQ132" s="1052"/>
      <c r="BR132" s="1054"/>
      <c r="BS132" s="1053"/>
      <c r="BT132" s="1051"/>
      <c r="BU132" s="1051"/>
      <c r="BV132" s="1051"/>
      <c r="BW132" s="1052"/>
      <c r="BX132" s="1052"/>
      <c r="BY132" s="1052"/>
      <c r="BZ132" s="1052"/>
      <c r="CA132" s="1052"/>
      <c r="CB132" s="1053"/>
      <c r="CC132" s="1053"/>
      <c r="CD132" s="1053"/>
      <c r="CE132" s="1053"/>
      <c r="CF132" s="1053"/>
      <c r="CG132" s="1053"/>
      <c r="CH132" s="1053"/>
      <c r="CI132" s="1123"/>
      <c r="CJ132" s="1123"/>
      <c r="CK132" s="1123"/>
      <c r="CL132" s="1123"/>
      <c r="CM132" s="1123"/>
      <c r="CN132" s="1123"/>
      <c r="CO132" s="1123"/>
      <c r="CP132" s="1123"/>
      <c r="CQ132" s="1123"/>
      <c r="CR132" s="1123"/>
      <c r="CS132" s="1123"/>
      <c r="CT132" s="1123"/>
      <c r="CU132" s="1123"/>
      <c r="CV132" s="1123"/>
      <c r="CW132" s="1123"/>
      <c r="CX132" s="1123"/>
      <c r="CY132" s="1123"/>
      <c r="CZ132" s="1114"/>
      <c r="DA132" s="1114"/>
      <c r="DB132" s="1114"/>
      <c r="DC132" s="1114"/>
      <c r="DD132" s="1114"/>
      <c r="DE132" s="1114"/>
      <c r="DF132" s="1114"/>
      <c r="DG132" s="1114"/>
      <c r="DH132" s="1114"/>
      <c r="DI132" s="1114"/>
      <c r="DJ132" s="1114"/>
      <c r="DK132" s="1114"/>
      <c r="DL132" s="1114"/>
      <c r="DM132" s="1114"/>
      <c r="DN132" s="1114"/>
      <c r="DO132" s="1114"/>
      <c r="DP132" s="1114"/>
      <c r="DQ132" s="1114"/>
      <c r="DR132" s="1114"/>
      <c r="DS132" s="1114"/>
      <c r="DT132" s="1114"/>
      <c r="DU132" s="1114"/>
      <c r="DV132" s="1115"/>
      <c r="DW132" s="1116"/>
      <c r="DX132" s="1116"/>
      <c r="DY132" s="1116"/>
      <c r="DZ132" s="1116"/>
      <c r="EA132" s="1116"/>
      <c r="EB132" s="1116"/>
      <c r="EC132" s="1116"/>
      <c r="ED132" s="1116"/>
      <c r="EE132" s="1116"/>
      <c r="EF132" s="1116"/>
      <c r="EG132" s="1116"/>
      <c r="EH132" s="1116"/>
      <c r="EI132" s="1116"/>
      <c r="EJ132" s="1116"/>
      <c r="EK132" s="1116"/>
      <c r="EL132" s="1116"/>
      <c r="EM132" s="1116"/>
      <c r="EN132" s="1116"/>
      <c r="EO132" s="1116"/>
      <c r="EP132" s="1116"/>
      <c r="EQ132" s="1116"/>
      <c r="ER132" s="1116"/>
      <c r="ES132" s="1116"/>
    </row>
    <row r="133" spans="1:149" ht="15" customHeight="1">
      <c r="A133" s="1799">
        <v>118</v>
      </c>
      <c r="B133" s="1041"/>
      <c r="C133" s="1050"/>
      <c r="D133" s="1050"/>
      <c r="E133" s="1050"/>
      <c r="F133" s="1049"/>
      <c r="G133" s="1457"/>
      <c r="H133" s="1049"/>
      <c r="I133" s="1049"/>
      <c r="J133" s="1050"/>
      <c r="K133" s="1050"/>
      <c r="L133" s="1043"/>
      <c r="M133" s="1051"/>
      <c r="N133" s="1051"/>
      <c r="O133" s="1052"/>
      <c r="P133" s="1051"/>
      <c r="Q133" s="1051"/>
      <c r="R133" s="1052"/>
      <c r="S133" s="1051"/>
      <c r="T133" s="1051"/>
      <c r="U133" s="1052"/>
      <c r="V133" s="1051"/>
      <c r="W133" s="1051"/>
      <c r="X133" s="1052"/>
      <c r="Y133" s="1053"/>
      <c r="Z133" s="1051"/>
      <c r="AA133" s="1051"/>
      <c r="AB133" s="1052"/>
      <c r="AC133" s="1051"/>
      <c r="AD133" s="1051"/>
      <c r="AE133" s="1052"/>
      <c r="AF133" s="1051"/>
      <c r="AG133" s="1051"/>
      <c r="AH133" s="1051"/>
      <c r="AI133" s="1051"/>
      <c r="AJ133" s="1052"/>
      <c r="AK133" s="1051"/>
      <c r="AL133" s="1051"/>
      <c r="AM133" s="1052"/>
      <c r="AN133" s="1051"/>
      <c r="AO133" s="1051"/>
      <c r="AP133" s="1052"/>
      <c r="AQ133" s="1051"/>
      <c r="AR133" s="1051"/>
      <c r="AS133" s="1052"/>
      <c r="AT133" s="1051"/>
      <c r="AU133" s="1051"/>
      <c r="AV133" s="1052"/>
      <c r="AW133" s="1051"/>
      <c r="AX133" s="1051"/>
      <c r="AY133" s="1053"/>
      <c r="AZ133" s="1051"/>
      <c r="BA133" s="1051"/>
      <c r="BB133" s="1053"/>
      <c r="BC133" s="1051"/>
      <c r="BD133" s="1051"/>
      <c r="BE133" s="1053"/>
      <c r="BF133" s="1051"/>
      <c r="BG133" s="1051"/>
      <c r="BH133" s="1053"/>
      <c r="BI133" s="1052"/>
      <c r="BJ133" s="1052"/>
      <c r="BK133" s="1052"/>
      <c r="BL133" s="1052"/>
      <c r="BM133" s="1052"/>
      <c r="BN133" s="1054"/>
      <c r="BO133" s="1076">
        <f t="shared" si="12"/>
        <v>0</v>
      </c>
      <c r="BP133" s="1051"/>
      <c r="BQ133" s="1052"/>
      <c r="BR133" s="1054"/>
      <c r="BS133" s="1053"/>
      <c r="BT133" s="1051"/>
      <c r="BU133" s="1051"/>
      <c r="BV133" s="1051"/>
      <c r="BW133" s="1052"/>
      <c r="BX133" s="1052"/>
      <c r="BY133" s="1052"/>
      <c r="BZ133" s="1052"/>
      <c r="CA133" s="1052"/>
      <c r="CB133" s="1053"/>
      <c r="CC133" s="1053"/>
      <c r="CD133" s="1053"/>
      <c r="CE133" s="1053"/>
      <c r="CF133" s="1053"/>
      <c r="CG133" s="1053"/>
      <c r="CH133" s="1053"/>
      <c r="CI133" s="1123"/>
      <c r="CJ133" s="1123"/>
      <c r="CK133" s="1123"/>
      <c r="CL133" s="1123"/>
      <c r="CM133" s="1123"/>
      <c r="CN133" s="1123"/>
      <c r="CO133" s="1123"/>
      <c r="CP133" s="1123"/>
      <c r="CQ133" s="1123"/>
      <c r="CR133" s="1123"/>
      <c r="CS133" s="1123"/>
      <c r="CT133" s="1123"/>
      <c r="CU133" s="1123"/>
      <c r="CV133" s="1123"/>
      <c r="CW133" s="1123"/>
      <c r="CX133" s="1123"/>
      <c r="CY133" s="1123"/>
      <c r="CZ133" s="1114"/>
      <c r="DA133" s="1114"/>
      <c r="DB133" s="1114"/>
      <c r="DC133" s="1114"/>
      <c r="DD133" s="1114"/>
      <c r="DE133" s="1114"/>
      <c r="DF133" s="1114"/>
      <c r="DG133" s="1114"/>
      <c r="DH133" s="1114"/>
      <c r="DI133" s="1114"/>
      <c r="DJ133" s="1114"/>
      <c r="DK133" s="1114"/>
      <c r="DL133" s="1114"/>
      <c r="DM133" s="1114"/>
      <c r="DN133" s="1114"/>
      <c r="DO133" s="1114"/>
      <c r="DP133" s="1114"/>
      <c r="DQ133" s="1114"/>
      <c r="DR133" s="1114"/>
      <c r="DS133" s="1114"/>
      <c r="DT133" s="1114"/>
      <c r="DU133" s="1114"/>
      <c r="DV133" s="1115"/>
      <c r="DW133" s="1116"/>
      <c r="DX133" s="1116"/>
      <c r="DY133" s="1116"/>
      <c r="DZ133" s="1116"/>
      <c r="EA133" s="1116"/>
      <c r="EB133" s="1116"/>
      <c r="EC133" s="1116"/>
      <c r="ED133" s="1116"/>
      <c r="EE133" s="1116"/>
      <c r="EF133" s="1116"/>
      <c r="EG133" s="1116"/>
      <c r="EH133" s="1116"/>
      <c r="EI133" s="1116"/>
      <c r="EJ133" s="1116"/>
      <c r="EK133" s="1116"/>
      <c r="EL133" s="1116"/>
      <c r="EM133" s="1116"/>
      <c r="EN133" s="1116"/>
      <c r="EO133" s="1116"/>
      <c r="EP133" s="1116"/>
      <c r="EQ133" s="1116"/>
      <c r="ER133" s="1116"/>
      <c r="ES133" s="1116"/>
    </row>
    <row r="134" spans="1:149" ht="15" customHeight="1">
      <c r="A134" s="1799">
        <v>119</v>
      </c>
      <c r="B134" s="1041"/>
      <c r="C134" s="1050"/>
      <c r="D134" s="1050"/>
      <c r="E134" s="1050"/>
      <c r="F134" s="1049"/>
      <c r="G134" s="1457"/>
      <c r="H134" s="1049"/>
      <c r="I134" s="1049"/>
      <c r="J134" s="1050"/>
      <c r="K134" s="1050"/>
      <c r="L134" s="1043"/>
      <c r="M134" s="1051"/>
      <c r="N134" s="1051"/>
      <c r="O134" s="1052"/>
      <c r="P134" s="1051"/>
      <c r="Q134" s="1051"/>
      <c r="R134" s="1052"/>
      <c r="S134" s="1051"/>
      <c r="T134" s="1051"/>
      <c r="U134" s="1052"/>
      <c r="V134" s="1051"/>
      <c r="W134" s="1051"/>
      <c r="X134" s="1052"/>
      <c r="Y134" s="1053"/>
      <c r="Z134" s="1051"/>
      <c r="AA134" s="1051"/>
      <c r="AB134" s="1052"/>
      <c r="AC134" s="1051"/>
      <c r="AD134" s="1051"/>
      <c r="AE134" s="1052"/>
      <c r="AF134" s="1051"/>
      <c r="AG134" s="1051"/>
      <c r="AH134" s="1051"/>
      <c r="AI134" s="1051"/>
      <c r="AJ134" s="1052"/>
      <c r="AK134" s="1051"/>
      <c r="AL134" s="1051"/>
      <c r="AM134" s="1052"/>
      <c r="AN134" s="1051"/>
      <c r="AO134" s="1051"/>
      <c r="AP134" s="1052"/>
      <c r="AQ134" s="1051"/>
      <c r="AR134" s="1051"/>
      <c r="AS134" s="1052"/>
      <c r="AT134" s="1051"/>
      <c r="AU134" s="1051"/>
      <c r="AV134" s="1052"/>
      <c r="AW134" s="1051"/>
      <c r="AX134" s="1051"/>
      <c r="AY134" s="1053"/>
      <c r="AZ134" s="1051"/>
      <c r="BA134" s="1051"/>
      <c r="BB134" s="1053"/>
      <c r="BC134" s="1051"/>
      <c r="BD134" s="1051"/>
      <c r="BE134" s="1053"/>
      <c r="BF134" s="1051"/>
      <c r="BG134" s="1051"/>
      <c r="BH134" s="1053"/>
      <c r="BI134" s="1052"/>
      <c r="BJ134" s="1052"/>
      <c r="BK134" s="1052"/>
      <c r="BL134" s="1052"/>
      <c r="BM134" s="1052"/>
      <c r="BN134" s="1054"/>
      <c r="BO134" s="1076">
        <f t="shared" si="12"/>
        <v>0</v>
      </c>
      <c r="BP134" s="1051"/>
      <c r="BQ134" s="1052"/>
      <c r="BR134" s="1054"/>
      <c r="BS134" s="1053"/>
      <c r="BT134" s="1051"/>
      <c r="BU134" s="1051"/>
      <c r="BV134" s="1051"/>
      <c r="BW134" s="1052"/>
      <c r="BX134" s="1052"/>
      <c r="BY134" s="1052"/>
      <c r="BZ134" s="1052"/>
      <c r="CA134" s="1052"/>
      <c r="CB134" s="1053"/>
      <c r="CC134" s="1053"/>
      <c r="CD134" s="1053"/>
      <c r="CE134" s="1053"/>
      <c r="CF134" s="1053"/>
      <c r="CG134" s="1053"/>
      <c r="CH134" s="1053"/>
      <c r="CI134" s="1123"/>
      <c r="CJ134" s="1123"/>
      <c r="CK134" s="1123"/>
      <c r="CL134" s="1123"/>
      <c r="CM134" s="1123"/>
      <c r="CN134" s="1123"/>
      <c r="CO134" s="1123"/>
      <c r="CP134" s="1123"/>
      <c r="CQ134" s="1123"/>
      <c r="CR134" s="1123"/>
      <c r="CS134" s="1123"/>
      <c r="CT134" s="1123"/>
      <c r="CU134" s="1123"/>
      <c r="CV134" s="1123"/>
      <c r="CW134" s="1123"/>
      <c r="CX134" s="1123"/>
      <c r="CY134" s="1123"/>
      <c r="CZ134" s="1114"/>
      <c r="DA134" s="1114"/>
      <c r="DB134" s="1114"/>
      <c r="DC134" s="1114"/>
      <c r="DD134" s="1114"/>
      <c r="DE134" s="1114"/>
      <c r="DF134" s="1114"/>
      <c r="DG134" s="1114"/>
      <c r="DH134" s="1114"/>
      <c r="DI134" s="1114"/>
      <c r="DJ134" s="1114"/>
      <c r="DK134" s="1114"/>
      <c r="DL134" s="1114"/>
      <c r="DM134" s="1114"/>
      <c r="DN134" s="1114"/>
      <c r="DO134" s="1114"/>
      <c r="DP134" s="1114"/>
      <c r="DQ134" s="1114"/>
      <c r="DR134" s="1114"/>
      <c r="DS134" s="1114"/>
      <c r="DT134" s="1114"/>
      <c r="DU134" s="1114"/>
      <c r="DV134" s="1115"/>
      <c r="DW134" s="1116"/>
      <c r="DX134" s="1116"/>
      <c r="DY134" s="1116"/>
      <c r="DZ134" s="1116"/>
      <c r="EA134" s="1116"/>
      <c r="EB134" s="1116"/>
      <c r="EC134" s="1116"/>
      <c r="ED134" s="1116"/>
      <c r="EE134" s="1116"/>
      <c r="EF134" s="1116"/>
      <c r="EG134" s="1116"/>
      <c r="EH134" s="1116"/>
      <c r="EI134" s="1116"/>
      <c r="EJ134" s="1116"/>
      <c r="EK134" s="1116"/>
      <c r="EL134" s="1116"/>
      <c r="EM134" s="1116"/>
      <c r="EN134" s="1116"/>
      <c r="EO134" s="1116"/>
      <c r="EP134" s="1116"/>
      <c r="EQ134" s="1116"/>
      <c r="ER134" s="1116"/>
      <c r="ES134" s="1116"/>
    </row>
    <row r="135" spans="1:149" ht="15" customHeight="1">
      <c r="A135" s="1799">
        <v>120</v>
      </c>
      <c r="B135" s="1041"/>
      <c r="C135" s="1050"/>
      <c r="D135" s="1050"/>
      <c r="E135" s="1050"/>
      <c r="F135" s="1049"/>
      <c r="G135" s="1457"/>
      <c r="H135" s="1049"/>
      <c r="I135" s="1049"/>
      <c r="J135" s="1050"/>
      <c r="K135" s="1050"/>
      <c r="L135" s="1043"/>
      <c r="M135" s="1051"/>
      <c r="N135" s="1051"/>
      <c r="O135" s="1052"/>
      <c r="P135" s="1051"/>
      <c r="Q135" s="1051"/>
      <c r="R135" s="1052"/>
      <c r="S135" s="1051"/>
      <c r="T135" s="1051"/>
      <c r="U135" s="1052"/>
      <c r="V135" s="1051"/>
      <c r="W135" s="1051"/>
      <c r="X135" s="1052"/>
      <c r="Y135" s="1053"/>
      <c r="Z135" s="1051"/>
      <c r="AA135" s="1051"/>
      <c r="AB135" s="1052"/>
      <c r="AC135" s="1051"/>
      <c r="AD135" s="1051"/>
      <c r="AE135" s="1052"/>
      <c r="AF135" s="1051"/>
      <c r="AG135" s="1051"/>
      <c r="AH135" s="1051"/>
      <c r="AI135" s="1051"/>
      <c r="AJ135" s="1052"/>
      <c r="AK135" s="1051"/>
      <c r="AL135" s="1051"/>
      <c r="AM135" s="1052"/>
      <c r="AN135" s="1051"/>
      <c r="AO135" s="1051"/>
      <c r="AP135" s="1052"/>
      <c r="AQ135" s="1051"/>
      <c r="AR135" s="1051"/>
      <c r="AS135" s="1052"/>
      <c r="AT135" s="1051"/>
      <c r="AU135" s="1051"/>
      <c r="AV135" s="1052"/>
      <c r="AW135" s="1051"/>
      <c r="AX135" s="1051"/>
      <c r="AY135" s="1053"/>
      <c r="AZ135" s="1051"/>
      <c r="BA135" s="1051"/>
      <c r="BB135" s="1053"/>
      <c r="BC135" s="1051"/>
      <c r="BD135" s="1051"/>
      <c r="BE135" s="1053"/>
      <c r="BF135" s="1051"/>
      <c r="BG135" s="1051"/>
      <c r="BH135" s="1053"/>
      <c r="BI135" s="1052"/>
      <c r="BJ135" s="1052"/>
      <c r="BK135" s="1052"/>
      <c r="BL135" s="1052"/>
      <c r="BM135" s="1052"/>
      <c r="BN135" s="1054"/>
      <c r="BO135" s="1076">
        <f t="shared" si="12"/>
        <v>0</v>
      </c>
      <c r="BP135" s="1051"/>
      <c r="BQ135" s="1052"/>
      <c r="BR135" s="1054"/>
      <c r="BS135" s="1053"/>
      <c r="BT135" s="1051"/>
      <c r="BU135" s="1051"/>
      <c r="BV135" s="1051"/>
      <c r="BW135" s="1052"/>
      <c r="BX135" s="1052"/>
      <c r="BY135" s="1052"/>
      <c r="BZ135" s="1052"/>
      <c r="CA135" s="1052"/>
      <c r="CB135" s="1053"/>
      <c r="CC135" s="1053"/>
      <c r="CD135" s="1053"/>
      <c r="CE135" s="1053"/>
      <c r="CF135" s="1053"/>
      <c r="CG135" s="1053"/>
      <c r="CH135" s="1053"/>
      <c r="CI135" s="1123"/>
      <c r="CJ135" s="1123"/>
      <c r="CK135" s="1123"/>
      <c r="CL135" s="1123"/>
      <c r="CM135" s="1123"/>
      <c r="CN135" s="1123"/>
      <c r="CO135" s="1123"/>
      <c r="CP135" s="1123"/>
      <c r="CQ135" s="1123"/>
      <c r="CR135" s="1123"/>
      <c r="CS135" s="1123"/>
      <c r="CT135" s="1123"/>
      <c r="CU135" s="1123"/>
      <c r="CV135" s="1123"/>
      <c r="CW135" s="1123"/>
      <c r="CX135" s="1123"/>
      <c r="CY135" s="1123"/>
      <c r="CZ135" s="1114"/>
      <c r="DA135" s="1114"/>
      <c r="DB135" s="1114"/>
      <c r="DC135" s="1114"/>
      <c r="DD135" s="1114"/>
      <c r="DE135" s="1114"/>
      <c r="DF135" s="1114"/>
      <c r="DG135" s="1114"/>
      <c r="DH135" s="1114"/>
      <c r="DI135" s="1114"/>
      <c r="DJ135" s="1114"/>
      <c r="DK135" s="1114"/>
      <c r="DL135" s="1114"/>
      <c r="DM135" s="1114"/>
      <c r="DN135" s="1114"/>
      <c r="DO135" s="1114"/>
      <c r="DP135" s="1114"/>
      <c r="DQ135" s="1114"/>
      <c r="DR135" s="1114"/>
      <c r="DS135" s="1114"/>
      <c r="DT135" s="1114"/>
      <c r="DU135" s="1114"/>
      <c r="DV135" s="1115"/>
      <c r="DW135" s="1116"/>
      <c r="DX135" s="1116"/>
      <c r="DY135" s="1116"/>
      <c r="DZ135" s="1116"/>
      <c r="EA135" s="1116"/>
      <c r="EB135" s="1116"/>
      <c r="EC135" s="1116"/>
      <c r="ED135" s="1116"/>
      <c r="EE135" s="1116"/>
      <c r="EF135" s="1116"/>
      <c r="EG135" s="1116"/>
      <c r="EH135" s="1116"/>
      <c r="EI135" s="1116"/>
      <c r="EJ135" s="1116"/>
      <c r="EK135" s="1116"/>
      <c r="EL135" s="1116"/>
      <c r="EM135" s="1116"/>
      <c r="EN135" s="1116"/>
      <c r="EO135" s="1116"/>
      <c r="EP135" s="1116"/>
      <c r="EQ135" s="1116"/>
      <c r="ER135" s="1116"/>
      <c r="ES135" s="1116"/>
    </row>
    <row r="136" spans="1:149" ht="15" customHeight="1">
      <c r="A136" s="1799">
        <v>121</v>
      </c>
      <c r="B136" s="1041"/>
      <c r="C136" s="1050"/>
      <c r="D136" s="1050"/>
      <c r="E136" s="1050"/>
      <c r="F136" s="1049"/>
      <c r="G136" s="1457"/>
      <c r="H136" s="1049"/>
      <c r="I136" s="1049"/>
      <c r="J136" s="1050"/>
      <c r="K136" s="1050"/>
      <c r="L136" s="1043"/>
      <c r="M136" s="1051"/>
      <c r="N136" s="1051"/>
      <c r="O136" s="1052"/>
      <c r="P136" s="1051"/>
      <c r="Q136" s="1051"/>
      <c r="R136" s="1052"/>
      <c r="S136" s="1051"/>
      <c r="T136" s="1051"/>
      <c r="U136" s="1052"/>
      <c r="V136" s="1051"/>
      <c r="W136" s="1051"/>
      <c r="X136" s="1052"/>
      <c r="Y136" s="1053"/>
      <c r="Z136" s="1051"/>
      <c r="AA136" s="1051"/>
      <c r="AB136" s="1052"/>
      <c r="AC136" s="1051"/>
      <c r="AD136" s="1051"/>
      <c r="AE136" s="1052"/>
      <c r="AF136" s="1051"/>
      <c r="AG136" s="1051"/>
      <c r="AH136" s="1051"/>
      <c r="AI136" s="1051"/>
      <c r="AJ136" s="1052"/>
      <c r="AK136" s="1051"/>
      <c r="AL136" s="1051"/>
      <c r="AM136" s="1052"/>
      <c r="AN136" s="1051"/>
      <c r="AO136" s="1051"/>
      <c r="AP136" s="1052"/>
      <c r="AQ136" s="1051"/>
      <c r="AR136" s="1051"/>
      <c r="AS136" s="1052"/>
      <c r="AT136" s="1051"/>
      <c r="AU136" s="1051"/>
      <c r="AV136" s="1052"/>
      <c r="AW136" s="1051"/>
      <c r="AX136" s="1051"/>
      <c r="AY136" s="1053"/>
      <c r="AZ136" s="1051"/>
      <c r="BA136" s="1051"/>
      <c r="BB136" s="1053"/>
      <c r="BC136" s="1051"/>
      <c r="BD136" s="1051"/>
      <c r="BE136" s="1053"/>
      <c r="BF136" s="1051"/>
      <c r="BG136" s="1051"/>
      <c r="BH136" s="1053"/>
      <c r="BI136" s="1052"/>
      <c r="BJ136" s="1052"/>
      <c r="BK136" s="1052"/>
      <c r="BL136" s="1052"/>
      <c r="BM136" s="1052"/>
      <c r="BN136" s="1054"/>
      <c r="BO136" s="1076">
        <f t="shared" si="12"/>
        <v>0</v>
      </c>
      <c r="BP136" s="1051"/>
      <c r="BQ136" s="1052"/>
      <c r="BR136" s="1054"/>
      <c r="BS136" s="1053"/>
      <c r="BT136" s="1051"/>
      <c r="BU136" s="1051"/>
      <c r="BV136" s="1051"/>
      <c r="BW136" s="1052"/>
      <c r="BX136" s="1052"/>
      <c r="BY136" s="1052"/>
      <c r="BZ136" s="1052"/>
      <c r="CA136" s="1052"/>
      <c r="CB136" s="1053"/>
      <c r="CC136" s="1053"/>
      <c r="CD136" s="1053"/>
      <c r="CE136" s="1053"/>
      <c r="CF136" s="1053"/>
      <c r="CG136" s="1053"/>
      <c r="CH136" s="1053"/>
      <c r="CI136" s="1123"/>
      <c r="CJ136" s="1123"/>
      <c r="CK136" s="1123"/>
      <c r="CL136" s="1123"/>
      <c r="CM136" s="1123"/>
      <c r="CN136" s="1123"/>
      <c r="CO136" s="1123"/>
      <c r="CP136" s="1123"/>
      <c r="CQ136" s="1123"/>
      <c r="CR136" s="1123"/>
      <c r="CS136" s="1123"/>
      <c r="CT136" s="1123"/>
      <c r="CU136" s="1123"/>
      <c r="CV136" s="1123"/>
      <c r="CW136" s="1123"/>
      <c r="CX136" s="1123"/>
      <c r="CY136" s="1123"/>
      <c r="CZ136" s="1114"/>
      <c r="DA136" s="1114"/>
      <c r="DB136" s="1114"/>
      <c r="DC136" s="1114"/>
      <c r="DD136" s="1114"/>
      <c r="DE136" s="1114"/>
      <c r="DF136" s="1114"/>
      <c r="DG136" s="1114"/>
      <c r="DH136" s="1114"/>
      <c r="DI136" s="1114"/>
      <c r="DJ136" s="1114"/>
      <c r="DK136" s="1114"/>
      <c r="DL136" s="1114"/>
      <c r="DM136" s="1114"/>
      <c r="DN136" s="1114"/>
      <c r="DO136" s="1114"/>
      <c r="DP136" s="1114"/>
      <c r="DQ136" s="1114"/>
      <c r="DR136" s="1114"/>
      <c r="DS136" s="1114"/>
      <c r="DT136" s="1114"/>
      <c r="DU136" s="1114"/>
      <c r="DV136" s="1115"/>
      <c r="DW136" s="1116"/>
      <c r="DX136" s="1116"/>
      <c r="DY136" s="1116"/>
      <c r="DZ136" s="1116"/>
      <c r="EA136" s="1116"/>
      <c r="EB136" s="1116"/>
      <c r="EC136" s="1116"/>
      <c r="ED136" s="1116"/>
      <c r="EE136" s="1116"/>
      <c r="EF136" s="1116"/>
      <c r="EG136" s="1116"/>
      <c r="EH136" s="1116"/>
      <c r="EI136" s="1116"/>
      <c r="EJ136" s="1116"/>
      <c r="EK136" s="1116"/>
      <c r="EL136" s="1116"/>
      <c r="EM136" s="1116"/>
      <c r="EN136" s="1116"/>
      <c r="EO136" s="1116"/>
      <c r="EP136" s="1116"/>
      <c r="EQ136" s="1116"/>
      <c r="ER136" s="1116"/>
      <c r="ES136" s="1116"/>
    </row>
    <row r="137" spans="1:149" ht="15" customHeight="1">
      <c r="A137" s="1799">
        <v>122</v>
      </c>
      <c r="B137" s="1041"/>
      <c r="C137" s="1050"/>
      <c r="D137" s="1050"/>
      <c r="E137" s="1050"/>
      <c r="F137" s="1049"/>
      <c r="G137" s="1457"/>
      <c r="H137" s="1049"/>
      <c r="I137" s="1049"/>
      <c r="J137" s="1050"/>
      <c r="K137" s="1050"/>
      <c r="L137" s="1043"/>
      <c r="M137" s="1051"/>
      <c r="N137" s="1051"/>
      <c r="O137" s="1052"/>
      <c r="P137" s="1051"/>
      <c r="Q137" s="1051"/>
      <c r="R137" s="1052"/>
      <c r="S137" s="1051"/>
      <c r="T137" s="1051"/>
      <c r="U137" s="1052"/>
      <c r="V137" s="1051"/>
      <c r="W137" s="1051"/>
      <c r="X137" s="1052"/>
      <c r="Y137" s="1053"/>
      <c r="Z137" s="1051"/>
      <c r="AA137" s="1051"/>
      <c r="AB137" s="1052"/>
      <c r="AC137" s="1051"/>
      <c r="AD137" s="1051"/>
      <c r="AE137" s="1052"/>
      <c r="AF137" s="1051"/>
      <c r="AG137" s="1051"/>
      <c r="AH137" s="1051"/>
      <c r="AI137" s="1051"/>
      <c r="AJ137" s="1052"/>
      <c r="AK137" s="1051"/>
      <c r="AL137" s="1051"/>
      <c r="AM137" s="1052"/>
      <c r="AN137" s="1051"/>
      <c r="AO137" s="1051"/>
      <c r="AP137" s="1052"/>
      <c r="AQ137" s="1051"/>
      <c r="AR137" s="1051"/>
      <c r="AS137" s="1052"/>
      <c r="AT137" s="1051"/>
      <c r="AU137" s="1051"/>
      <c r="AV137" s="1052"/>
      <c r="AW137" s="1051"/>
      <c r="AX137" s="1051"/>
      <c r="AY137" s="1053"/>
      <c r="AZ137" s="1051"/>
      <c r="BA137" s="1051"/>
      <c r="BB137" s="1053"/>
      <c r="BC137" s="1051"/>
      <c r="BD137" s="1051"/>
      <c r="BE137" s="1053"/>
      <c r="BF137" s="1051"/>
      <c r="BG137" s="1051"/>
      <c r="BH137" s="1053"/>
      <c r="BI137" s="1052"/>
      <c r="BJ137" s="1052"/>
      <c r="BK137" s="1052"/>
      <c r="BL137" s="1052"/>
      <c r="BM137" s="1052"/>
      <c r="BN137" s="1054"/>
      <c r="BO137" s="1076">
        <f t="shared" si="12"/>
        <v>0</v>
      </c>
      <c r="BP137" s="1051"/>
      <c r="BQ137" s="1052"/>
      <c r="BR137" s="1054"/>
      <c r="BS137" s="1053"/>
      <c r="BT137" s="1051"/>
      <c r="BU137" s="1051"/>
      <c r="BV137" s="1051"/>
      <c r="BW137" s="1052"/>
      <c r="BX137" s="1052"/>
      <c r="BY137" s="1052"/>
      <c r="BZ137" s="1052"/>
      <c r="CA137" s="1052"/>
      <c r="CB137" s="1053"/>
      <c r="CC137" s="1053"/>
      <c r="CD137" s="1053"/>
      <c r="CE137" s="1053"/>
      <c r="CF137" s="1053"/>
      <c r="CG137" s="1053"/>
      <c r="CH137" s="1053"/>
      <c r="CI137" s="1123"/>
      <c r="CJ137" s="1123"/>
      <c r="CK137" s="1123"/>
      <c r="CL137" s="1123"/>
      <c r="CM137" s="1123"/>
      <c r="CN137" s="1123"/>
      <c r="CO137" s="1123"/>
      <c r="CP137" s="1123"/>
      <c r="CQ137" s="1123"/>
      <c r="CR137" s="1123"/>
      <c r="CS137" s="1123"/>
      <c r="CT137" s="1123"/>
      <c r="CU137" s="1123"/>
      <c r="CV137" s="1123"/>
      <c r="CW137" s="1123"/>
      <c r="CX137" s="1123"/>
      <c r="CY137" s="1123"/>
      <c r="CZ137" s="1114"/>
      <c r="DA137" s="1114"/>
      <c r="DB137" s="1114"/>
      <c r="DC137" s="1114"/>
      <c r="DD137" s="1114"/>
      <c r="DE137" s="1114"/>
      <c r="DF137" s="1114"/>
      <c r="DG137" s="1114"/>
      <c r="DH137" s="1114"/>
      <c r="DI137" s="1114"/>
      <c r="DJ137" s="1114"/>
      <c r="DK137" s="1114"/>
      <c r="DL137" s="1114"/>
      <c r="DM137" s="1114"/>
      <c r="DN137" s="1114"/>
      <c r="DO137" s="1114"/>
      <c r="DP137" s="1114"/>
      <c r="DQ137" s="1114"/>
      <c r="DR137" s="1114"/>
      <c r="DS137" s="1114"/>
      <c r="DT137" s="1114"/>
      <c r="DU137" s="1114"/>
      <c r="DV137" s="1115"/>
      <c r="DW137" s="1116"/>
      <c r="DX137" s="1116"/>
      <c r="DY137" s="1116"/>
      <c r="DZ137" s="1116"/>
      <c r="EA137" s="1116"/>
      <c r="EB137" s="1116"/>
      <c r="EC137" s="1116"/>
      <c r="ED137" s="1116"/>
      <c r="EE137" s="1116"/>
      <c r="EF137" s="1116"/>
      <c r="EG137" s="1116"/>
      <c r="EH137" s="1116"/>
      <c r="EI137" s="1116"/>
      <c r="EJ137" s="1116"/>
      <c r="EK137" s="1116"/>
      <c r="EL137" s="1116"/>
      <c r="EM137" s="1116"/>
      <c r="EN137" s="1116"/>
      <c r="EO137" s="1116"/>
      <c r="EP137" s="1116"/>
      <c r="EQ137" s="1116"/>
      <c r="ER137" s="1116"/>
      <c r="ES137" s="1116"/>
    </row>
    <row r="138" spans="1:149" ht="15" customHeight="1">
      <c r="A138" s="1799">
        <v>123</v>
      </c>
      <c r="B138" s="1041"/>
      <c r="C138" s="1050"/>
      <c r="D138" s="1050"/>
      <c r="E138" s="1050"/>
      <c r="F138" s="1049"/>
      <c r="G138" s="1457"/>
      <c r="H138" s="1049"/>
      <c r="I138" s="1049"/>
      <c r="J138" s="1050"/>
      <c r="K138" s="1050"/>
      <c r="L138" s="1043"/>
      <c r="M138" s="1051"/>
      <c r="N138" s="1051"/>
      <c r="O138" s="1052"/>
      <c r="P138" s="1051"/>
      <c r="Q138" s="1051"/>
      <c r="R138" s="1052"/>
      <c r="S138" s="1051"/>
      <c r="T138" s="1051"/>
      <c r="U138" s="1052"/>
      <c r="V138" s="1051"/>
      <c r="W138" s="1051"/>
      <c r="X138" s="1052"/>
      <c r="Y138" s="1053"/>
      <c r="Z138" s="1051"/>
      <c r="AA138" s="1051"/>
      <c r="AB138" s="1052"/>
      <c r="AC138" s="1051"/>
      <c r="AD138" s="1051"/>
      <c r="AE138" s="1052"/>
      <c r="AF138" s="1051"/>
      <c r="AG138" s="1051"/>
      <c r="AH138" s="1051"/>
      <c r="AI138" s="1051"/>
      <c r="AJ138" s="1052"/>
      <c r="AK138" s="1051"/>
      <c r="AL138" s="1051"/>
      <c r="AM138" s="1052"/>
      <c r="AN138" s="1051"/>
      <c r="AO138" s="1051"/>
      <c r="AP138" s="1052"/>
      <c r="AQ138" s="1051"/>
      <c r="AR138" s="1051"/>
      <c r="AS138" s="1052"/>
      <c r="AT138" s="1051"/>
      <c r="AU138" s="1051"/>
      <c r="AV138" s="1052"/>
      <c r="AW138" s="1051"/>
      <c r="AX138" s="1051"/>
      <c r="AY138" s="1053"/>
      <c r="AZ138" s="1051"/>
      <c r="BA138" s="1051"/>
      <c r="BB138" s="1053"/>
      <c r="BC138" s="1051"/>
      <c r="BD138" s="1051"/>
      <c r="BE138" s="1053"/>
      <c r="BF138" s="1051"/>
      <c r="BG138" s="1051"/>
      <c r="BH138" s="1053"/>
      <c r="BI138" s="1052"/>
      <c r="BJ138" s="1052"/>
      <c r="BK138" s="1052"/>
      <c r="BL138" s="1052"/>
      <c r="BM138" s="1052"/>
      <c r="BN138" s="1054"/>
      <c r="BO138" s="1076">
        <f t="shared" si="12"/>
        <v>0</v>
      </c>
      <c r="BP138" s="1051"/>
      <c r="BQ138" s="1052"/>
      <c r="BR138" s="1054"/>
      <c r="BS138" s="1053"/>
      <c r="BT138" s="1051"/>
      <c r="BU138" s="1051"/>
      <c r="BV138" s="1051"/>
      <c r="BW138" s="1052"/>
      <c r="BX138" s="1052"/>
      <c r="BY138" s="1052"/>
      <c r="BZ138" s="1052"/>
      <c r="CA138" s="1052"/>
      <c r="CB138" s="1053"/>
      <c r="CC138" s="1053"/>
      <c r="CD138" s="1053"/>
      <c r="CE138" s="1053"/>
      <c r="CF138" s="1053"/>
      <c r="CG138" s="1053"/>
      <c r="CH138" s="1053"/>
      <c r="CI138" s="1123"/>
      <c r="CJ138" s="1123"/>
      <c r="CK138" s="1123"/>
      <c r="CL138" s="1123"/>
      <c r="CM138" s="1123"/>
      <c r="CN138" s="1123"/>
      <c r="CO138" s="1123"/>
      <c r="CP138" s="1123"/>
      <c r="CQ138" s="1123"/>
      <c r="CR138" s="1123"/>
      <c r="CS138" s="1123"/>
      <c r="CT138" s="1123"/>
      <c r="CU138" s="1123"/>
      <c r="CV138" s="1123"/>
      <c r="CW138" s="1123"/>
      <c r="CX138" s="1123"/>
      <c r="CY138" s="1123"/>
      <c r="CZ138" s="1114"/>
      <c r="DA138" s="1114"/>
      <c r="DB138" s="1114"/>
      <c r="DC138" s="1114"/>
      <c r="DD138" s="1114"/>
      <c r="DE138" s="1114"/>
      <c r="DF138" s="1114"/>
      <c r="DG138" s="1114"/>
      <c r="DH138" s="1114"/>
      <c r="DI138" s="1114"/>
      <c r="DJ138" s="1114"/>
      <c r="DK138" s="1114"/>
      <c r="DL138" s="1114"/>
      <c r="DM138" s="1114"/>
      <c r="DN138" s="1114"/>
      <c r="DO138" s="1114"/>
      <c r="DP138" s="1114"/>
      <c r="DQ138" s="1114"/>
      <c r="DR138" s="1114"/>
      <c r="DS138" s="1114"/>
      <c r="DT138" s="1114"/>
      <c r="DU138" s="1114"/>
      <c r="DV138" s="1115"/>
      <c r="DW138" s="1116"/>
      <c r="DX138" s="1116"/>
      <c r="DY138" s="1116"/>
      <c r="DZ138" s="1116"/>
      <c r="EA138" s="1116"/>
      <c r="EB138" s="1116"/>
      <c r="EC138" s="1116"/>
      <c r="ED138" s="1116"/>
      <c r="EE138" s="1116"/>
      <c r="EF138" s="1116"/>
      <c r="EG138" s="1116"/>
      <c r="EH138" s="1116"/>
      <c r="EI138" s="1116"/>
      <c r="EJ138" s="1116"/>
      <c r="EK138" s="1116"/>
      <c r="EL138" s="1116"/>
      <c r="EM138" s="1116"/>
      <c r="EN138" s="1116"/>
      <c r="EO138" s="1116"/>
      <c r="EP138" s="1116"/>
      <c r="EQ138" s="1116"/>
      <c r="ER138" s="1116"/>
      <c r="ES138" s="1116"/>
    </row>
    <row r="139" spans="1:149" ht="15" customHeight="1">
      <c r="A139" s="1799">
        <v>124</v>
      </c>
      <c r="B139" s="1041"/>
      <c r="C139" s="1050"/>
      <c r="D139" s="1050"/>
      <c r="E139" s="1050"/>
      <c r="F139" s="1049"/>
      <c r="G139" s="1457"/>
      <c r="H139" s="1049"/>
      <c r="I139" s="1049"/>
      <c r="J139" s="1050"/>
      <c r="K139" s="1050"/>
      <c r="L139" s="1043"/>
      <c r="M139" s="1051"/>
      <c r="N139" s="1051"/>
      <c r="O139" s="1052"/>
      <c r="P139" s="1051"/>
      <c r="Q139" s="1051"/>
      <c r="R139" s="1052"/>
      <c r="S139" s="1051"/>
      <c r="T139" s="1051"/>
      <c r="U139" s="1052"/>
      <c r="V139" s="1051"/>
      <c r="W139" s="1051"/>
      <c r="X139" s="1052"/>
      <c r="Y139" s="1053"/>
      <c r="Z139" s="1051"/>
      <c r="AA139" s="1051"/>
      <c r="AB139" s="1052"/>
      <c r="AC139" s="1051"/>
      <c r="AD139" s="1051"/>
      <c r="AE139" s="1052"/>
      <c r="AF139" s="1051"/>
      <c r="AG139" s="1051"/>
      <c r="AH139" s="1051"/>
      <c r="AI139" s="1051"/>
      <c r="AJ139" s="1052"/>
      <c r="AK139" s="1051"/>
      <c r="AL139" s="1051"/>
      <c r="AM139" s="1052"/>
      <c r="AN139" s="1051"/>
      <c r="AO139" s="1051"/>
      <c r="AP139" s="1052"/>
      <c r="AQ139" s="1051"/>
      <c r="AR139" s="1051"/>
      <c r="AS139" s="1052"/>
      <c r="AT139" s="1051"/>
      <c r="AU139" s="1051"/>
      <c r="AV139" s="1052"/>
      <c r="AW139" s="1051"/>
      <c r="AX139" s="1051"/>
      <c r="AY139" s="1053"/>
      <c r="AZ139" s="1051"/>
      <c r="BA139" s="1051"/>
      <c r="BB139" s="1053"/>
      <c r="BC139" s="1051"/>
      <c r="BD139" s="1051"/>
      <c r="BE139" s="1053"/>
      <c r="BF139" s="1051"/>
      <c r="BG139" s="1051"/>
      <c r="BH139" s="1053"/>
      <c r="BI139" s="1052"/>
      <c r="BJ139" s="1052"/>
      <c r="BK139" s="1052"/>
      <c r="BL139" s="1052"/>
      <c r="BM139" s="1052"/>
      <c r="BN139" s="1054"/>
      <c r="BO139" s="1076">
        <f t="shared" si="12"/>
        <v>0</v>
      </c>
      <c r="BP139" s="1051"/>
      <c r="BQ139" s="1052"/>
      <c r="BR139" s="1054"/>
      <c r="BS139" s="1053"/>
      <c r="BT139" s="1051"/>
      <c r="BU139" s="1051"/>
      <c r="BV139" s="1051"/>
      <c r="BW139" s="1052"/>
      <c r="BX139" s="1052"/>
      <c r="BY139" s="1052"/>
      <c r="BZ139" s="1052"/>
      <c r="CA139" s="1052"/>
      <c r="CB139" s="1053"/>
      <c r="CC139" s="1053"/>
      <c r="CD139" s="1053"/>
      <c r="CE139" s="1053"/>
      <c r="CF139" s="1053"/>
      <c r="CG139" s="1053"/>
      <c r="CH139" s="1053"/>
      <c r="CI139" s="1123"/>
      <c r="CJ139" s="1123"/>
      <c r="CK139" s="1123"/>
      <c r="CL139" s="1123"/>
      <c r="CM139" s="1123"/>
      <c r="CN139" s="1123"/>
      <c r="CO139" s="1123"/>
      <c r="CP139" s="1123"/>
      <c r="CQ139" s="1123"/>
      <c r="CR139" s="1123"/>
      <c r="CS139" s="1123"/>
      <c r="CT139" s="1123"/>
      <c r="CU139" s="1123"/>
      <c r="CV139" s="1123"/>
      <c r="CW139" s="1123"/>
      <c r="CX139" s="1123"/>
      <c r="CY139" s="1123"/>
      <c r="CZ139" s="1114"/>
      <c r="DA139" s="1114"/>
      <c r="DB139" s="1114"/>
      <c r="DC139" s="1114"/>
      <c r="DD139" s="1114"/>
      <c r="DE139" s="1114"/>
      <c r="DF139" s="1114"/>
      <c r="DG139" s="1114"/>
      <c r="DH139" s="1114"/>
      <c r="DI139" s="1114"/>
      <c r="DJ139" s="1114"/>
      <c r="DK139" s="1114"/>
      <c r="DL139" s="1114"/>
      <c r="DM139" s="1114"/>
      <c r="DN139" s="1114"/>
      <c r="DO139" s="1114"/>
      <c r="DP139" s="1114"/>
      <c r="DQ139" s="1114"/>
      <c r="DR139" s="1114"/>
      <c r="DS139" s="1114"/>
      <c r="DT139" s="1114"/>
      <c r="DU139" s="1114"/>
      <c r="DV139" s="1115"/>
      <c r="DW139" s="1116"/>
      <c r="DX139" s="1116"/>
      <c r="DY139" s="1116"/>
      <c r="DZ139" s="1116"/>
      <c r="EA139" s="1116"/>
      <c r="EB139" s="1116"/>
      <c r="EC139" s="1116"/>
      <c r="ED139" s="1116"/>
      <c r="EE139" s="1116"/>
      <c r="EF139" s="1116"/>
      <c r="EG139" s="1116"/>
      <c r="EH139" s="1116"/>
      <c r="EI139" s="1116"/>
      <c r="EJ139" s="1116"/>
      <c r="EK139" s="1116"/>
      <c r="EL139" s="1116"/>
      <c r="EM139" s="1116"/>
      <c r="EN139" s="1116"/>
      <c r="EO139" s="1116"/>
      <c r="EP139" s="1116"/>
      <c r="EQ139" s="1116"/>
      <c r="ER139" s="1116"/>
      <c r="ES139" s="1116"/>
    </row>
    <row r="140" spans="1:149" ht="15" customHeight="1">
      <c r="A140" s="1799">
        <v>125</v>
      </c>
      <c r="B140" s="1041"/>
      <c r="C140" s="1050"/>
      <c r="D140" s="1050"/>
      <c r="E140" s="1050"/>
      <c r="F140" s="1049"/>
      <c r="G140" s="1457"/>
      <c r="H140" s="1049"/>
      <c r="I140" s="1049"/>
      <c r="J140" s="1050"/>
      <c r="K140" s="1050"/>
      <c r="L140" s="1043"/>
      <c r="M140" s="1051"/>
      <c r="N140" s="1051"/>
      <c r="O140" s="1052"/>
      <c r="P140" s="1051"/>
      <c r="Q140" s="1051"/>
      <c r="R140" s="1052"/>
      <c r="S140" s="1051"/>
      <c r="T140" s="1051"/>
      <c r="U140" s="1052"/>
      <c r="V140" s="1051"/>
      <c r="W140" s="1051"/>
      <c r="X140" s="1052"/>
      <c r="Y140" s="1053"/>
      <c r="Z140" s="1051"/>
      <c r="AA140" s="1051"/>
      <c r="AB140" s="1052"/>
      <c r="AC140" s="1051"/>
      <c r="AD140" s="1051"/>
      <c r="AE140" s="1052"/>
      <c r="AF140" s="1051"/>
      <c r="AG140" s="1051"/>
      <c r="AH140" s="1051"/>
      <c r="AI140" s="1051"/>
      <c r="AJ140" s="1052"/>
      <c r="AK140" s="1051"/>
      <c r="AL140" s="1051"/>
      <c r="AM140" s="1052"/>
      <c r="AN140" s="1051"/>
      <c r="AO140" s="1051"/>
      <c r="AP140" s="1052"/>
      <c r="AQ140" s="1051"/>
      <c r="AR140" s="1051"/>
      <c r="AS140" s="1052"/>
      <c r="AT140" s="1051"/>
      <c r="AU140" s="1051"/>
      <c r="AV140" s="1052"/>
      <c r="AW140" s="1051"/>
      <c r="AX140" s="1051"/>
      <c r="AY140" s="1053"/>
      <c r="AZ140" s="1051"/>
      <c r="BA140" s="1051"/>
      <c r="BB140" s="1053"/>
      <c r="BC140" s="1051"/>
      <c r="BD140" s="1051"/>
      <c r="BE140" s="1053"/>
      <c r="BF140" s="1051"/>
      <c r="BG140" s="1051"/>
      <c r="BH140" s="1053"/>
      <c r="BI140" s="1052"/>
      <c r="BJ140" s="1052"/>
      <c r="BK140" s="1052"/>
      <c r="BL140" s="1052"/>
      <c r="BM140" s="1052"/>
      <c r="BN140" s="1054"/>
      <c r="BO140" s="1076">
        <f t="shared" si="12"/>
        <v>0</v>
      </c>
      <c r="BP140" s="1051"/>
      <c r="BQ140" s="1052"/>
      <c r="BR140" s="1054"/>
      <c r="BS140" s="1053"/>
      <c r="BT140" s="1051"/>
      <c r="BU140" s="1051"/>
      <c r="BV140" s="1051"/>
      <c r="BW140" s="1052"/>
      <c r="BX140" s="1052"/>
      <c r="BY140" s="1052"/>
      <c r="BZ140" s="1052"/>
      <c r="CA140" s="1052"/>
      <c r="CB140" s="1053"/>
      <c r="CC140" s="1053"/>
      <c r="CD140" s="1053"/>
      <c r="CE140" s="1053"/>
      <c r="CF140" s="1053"/>
      <c r="CG140" s="1053"/>
      <c r="CH140" s="1053"/>
      <c r="CI140" s="1123"/>
      <c r="CJ140" s="1123"/>
      <c r="CK140" s="1123"/>
      <c r="CL140" s="1123"/>
      <c r="CM140" s="1123"/>
      <c r="CN140" s="1123"/>
      <c r="CO140" s="1123"/>
      <c r="CP140" s="1123"/>
      <c r="CQ140" s="1123"/>
      <c r="CR140" s="1123"/>
      <c r="CS140" s="1123"/>
      <c r="CT140" s="1123"/>
      <c r="CU140" s="1123"/>
      <c r="CV140" s="1123"/>
      <c r="CW140" s="1123"/>
      <c r="CX140" s="1123"/>
      <c r="CY140" s="1123"/>
      <c r="CZ140" s="1114"/>
      <c r="DA140" s="1114"/>
      <c r="DB140" s="1114"/>
      <c r="DC140" s="1114"/>
      <c r="DD140" s="1114"/>
      <c r="DE140" s="1114"/>
      <c r="DF140" s="1114"/>
      <c r="DG140" s="1114"/>
      <c r="DH140" s="1114"/>
      <c r="DI140" s="1114"/>
      <c r="DJ140" s="1114"/>
      <c r="DK140" s="1114"/>
      <c r="DL140" s="1114"/>
      <c r="DM140" s="1114"/>
      <c r="DN140" s="1114"/>
      <c r="DO140" s="1114"/>
      <c r="DP140" s="1114"/>
      <c r="DQ140" s="1114"/>
      <c r="DR140" s="1114"/>
      <c r="DS140" s="1114"/>
      <c r="DT140" s="1114"/>
      <c r="DU140" s="1114"/>
      <c r="DV140" s="1115"/>
      <c r="DW140" s="1116"/>
      <c r="DX140" s="1116"/>
      <c r="DY140" s="1116"/>
      <c r="DZ140" s="1116"/>
      <c r="EA140" s="1116"/>
      <c r="EB140" s="1116"/>
      <c r="EC140" s="1116"/>
      <c r="ED140" s="1116"/>
      <c r="EE140" s="1116"/>
      <c r="EF140" s="1116"/>
      <c r="EG140" s="1116"/>
      <c r="EH140" s="1116"/>
      <c r="EI140" s="1116"/>
      <c r="EJ140" s="1116"/>
      <c r="EK140" s="1116"/>
      <c r="EL140" s="1116"/>
      <c r="EM140" s="1116"/>
      <c r="EN140" s="1116"/>
      <c r="EO140" s="1116"/>
      <c r="EP140" s="1116"/>
      <c r="EQ140" s="1116"/>
      <c r="ER140" s="1116"/>
      <c r="ES140" s="1116"/>
    </row>
    <row r="141" spans="1:149" ht="15" customHeight="1">
      <c r="A141" s="1799">
        <v>126</v>
      </c>
      <c r="B141" s="1041"/>
      <c r="C141" s="1050"/>
      <c r="D141" s="1050"/>
      <c r="E141" s="1050"/>
      <c r="F141" s="1049"/>
      <c r="G141" s="1457"/>
      <c r="H141" s="1049"/>
      <c r="I141" s="1049"/>
      <c r="J141" s="1050"/>
      <c r="K141" s="1050"/>
      <c r="L141" s="1043"/>
      <c r="M141" s="1051"/>
      <c r="N141" s="1051"/>
      <c r="O141" s="1052"/>
      <c r="P141" s="1051"/>
      <c r="Q141" s="1051"/>
      <c r="R141" s="1052"/>
      <c r="S141" s="1051"/>
      <c r="T141" s="1051"/>
      <c r="U141" s="1052"/>
      <c r="V141" s="1051"/>
      <c r="W141" s="1051"/>
      <c r="X141" s="1052"/>
      <c r="Y141" s="1053"/>
      <c r="Z141" s="1051"/>
      <c r="AA141" s="1051"/>
      <c r="AB141" s="1052"/>
      <c r="AC141" s="1051"/>
      <c r="AD141" s="1051"/>
      <c r="AE141" s="1052"/>
      <c r="AF141" s="1051"/>
      <c r="AG141" s="1051"/>
      <c r="AH141" s="1051"/>
      <c r="AI141" s="1051"/>
      <c r="AJ141" s="1052"/>
      <c r="AK141" s="1051"/>
      <c r="AL141" s="1051"/>
      <c r="AM141" s="1052"/>
      <c r="AN141" s="1051"/>
      <c r="AO141" s="1051"/>
      <c r="AP141" s="1052"/>
      <c r="AQ141" s="1051"/>
      <c r="AR141" s="1051"/>
      <c r="AS141" s="1052"/>
      <c r="AT141" s="1051"/>
      <c r="AU141" s="1051"/>
      <c r="AV141" s="1052"/>
      <c r="AW141" s="1051"/>
      <c r="AX141" s="1051"/>
      <c r="AY141" s="1053"/>
      <c r="AZ141" s="1051"/>
      <c r="BA141" s="1051"/>
      <c r="BB141" s="1053"/>
      <c r="BC141" s="1051"/>
      <c r="BD141" s="1051"/>
      <c r="BE141" s="1053"/>
      <c r="BF141" s="1051"/>
      <c r="BG141" s="1051"/>
      <c r="BH141" s="1053"/>
      <c r="BI141" s="1052"/>
      <c r="BJ141" s="1052"/>
      <c r="BK141" s="1052"/>
      <c r="BL141" s="1052"/>
      <c r="BM141" s="1052"/>
      <c r="BN141" s="1054"/>
      <c r="BO141" s="1076">
        <f t="shared" si="12"/>
        <v>0</v>
      </c>
      <c r="BP141" s="1051"/>
      <c r="BQ141" s="1052"/>
      <c r="BR141" s="1054"/>
      <c r="BS141" s="1053"/>
      <c r="BT141" s="1051"/>
      <c r="BU141" s="1051"/>
      <c r="BV141" s="1051"/>
      <c r="BW141" s="1052"/>
      <c r="BX141" s="1052"/>
      <c r="BY141" s="1052"/>
      <c r="BZ141" s="1052"/>
      <c r="CA141" s="1052"/>
      <c r="CB141" s="1053"/>
      <c r="CC141" s="1053"/>
      <c r="CD141" s="1053"/>
      <c r="CE141" s="1053"/>
      <c r="CF141" s="1053"/>
      <c r="CG141" s="1053"/>
      <c r="CH141" s="1053"/>
      <c r="CI141" s="1123"/>
      <c r="CJ141" s="1123"/>
      <c r="CK141" s="1123"/>
      <c r="CL141" s="1123"/>
      <c r="CM141" s="1123"/>
      <c r="CN141" s="1123"/>
      <c r="CO141" s="1123"/>
      <c r="CP141" s="1123"/>
      <c r="CQ141" s="1123"/>
      <c r="CR141" s="1123"/>
      <c r="CS141" s="1123"/>
      <c r="CT141" s="1123"/>
      <c r="CU141" s="1123"/>
      <c r="CV141" s="1123"/>
      <c r="CW141" s="1123"/>
      <c r="CX141" s="1123"/>
      <c r="CY141" s="1123"/>
      <c r="CZ141" s="1114"/>
      <c r="DA141" s="1114"/>
      <c r="DB141" s="1114"/>
      <c r="DC141" s="1114"/>
      <c r="DD141" s="1114"/>
      <c r="DE141" s="1114"/>
      <c r="DF141" s="1114"/>
      <c r="DG141" s="1114"/>
      <c r="DH141" s="1114"/>
      <c r="DI141" s="1114"/>
      <c r="DJ141" s="1114"/>
      <c r="DK141" s="1114"/>
      <c r="DL141" s="1114"/>
      <c r="DM141" s="1114"/>
      <c r="DN141" s="1114"/>
      <c r="DO141" s="1114"/>
      <c r="DP141" s="1114"/>
      <c r="DQ141" s="1114"/>
      <c r="DR141" s="1114"/>
      <c r="DS141" s="1114"/>
      <c r="DT141" s="1114"/>
      <c r="DU141" s="1114"/>
      <c r="DV141" s="1115"/>
      <c r="DW141" s="1116"/>
      <c r="DX141" s="1116"/>
      <c r="DY141" s="1116"/>
      <c r="DZ141" s="1116"/>
      <c r="EA141" s="1116"/>
      <c r="EB141" s="1116"/>
      <c r="EC141" s="1116"/>
      <c r="ED141" s="1116"/>
      <c r="EE141" s="1116"/>
      <c r="EF141" s="1116"/>
      <c r="EG141" s="1116"/>
      <c r="EH141" s="1116"/>
      <c r="EI141" s="1116"/>
      <c r="EJ141" s="1116"/>
      <c r="EK141" s="1116"/>
      <c r="EL141" s="1116"/>
      <c r="EM141" s="1116"/>
      <c r="EN141" s="1116"/>
      <c r="EO141" s="1116"/>
      <c r="EP141" s="1116"/>
      <c r="EQ141" s="1116"/>
      <c r="ER141" s="1116"/>
      <c r="ES141" s="1116"/>
    </row>
    <row r="142" spans="1:149" ht="15" customHeight="1">
      <c r="A142" s="1799">
        <v>127</v>
      </c>
      <c r="B142" s="1041"/>
      <c r="C142" s="1050"/>
      <c r="D142" s="1050"/>
      <c r="E142" s="1050"/>
      <c r="F142" s="1049"/>
      <c r="G142" s="1457"/>
      <c r="H142" s="1049"/>
      <c r="I142" s="1049"/>
      <c r="J142" s="1050"/>
      <c r="K142" s="1050"/>
      <c r="L142" s="1043"/>
      <c r="M142" s="1051"/>
      <c r="N142" s="1051"/>
      <c r="O142" s="1052"/>
      <c r="P142" s="1051"/>
      <c r="Q142" s="1051"/>
      <c r="R142" s="1052"/>
      <c r="S142" s="1051"/>
      <c r="T142" s="1051"/>
      <c r="U142" s="1052"/>
      <c r="V142" s="1051"/>
      <c r="W142" s="1051"/>
      <c r="X142" s="1052"/>
      <c r="Y142" s="1053"/>
      <c r="Z142" s="1051"/>
      <c r="AA142" s="1051"/>
      <c r="AB142" s="1052"/>
      <c r="AC142" s="1051"/>
      <c r="AD142" s="1051"/>
      <c r="AE142" s="1052"/>
      <c r="AF142" s="1051"/>
      <c r="AG142" s="1051"/>
      <c r="AH142" s="1051"/>
      <c r="AI142" s="1051"/>
      <c r="AJ142" s="1052"/>
      <c r="AK142" s="1051"/>
      <c r="AL142" s="1051"/>
      <c r="AM142" s="1052"/>
      <c r="AN142" s="1051"/>
      <c r="AO142" s="1051"/>
      <c r="AP142" s="1052"/>
      <c r="AQ142" s="1051"/>
      <c r="AR142" s="1051"/>
      <c r="AS142" s="1052"/>
      <c r="AT142" s="1051"/>
      <c r="AU142" s="1051"/>
      <c r="AV142" s="1052"/>
      <c r="AW142" s="1051"/>
      <c r="AX142" s="1051"/>
      <c r="AY142" s="1053"/>
      <c r="AZ142" s="1051"/>
      <c r="BA142" s="1051"/>
      <c r="BB142" s="1053"/>
      <c r="BC142" s="1051"/>
      <c r="BD142" s="1051"/>
      <c r="BE142" s="1053"/>
      <c r="BF142" s="1051"/>
      <c r="BG142" s="1051"/>
      <c r="BH142" s="1053"/>
      <c r="BI142" s="1052"/>
      <c r="BJ142" s="1052"/>
      <c r="BK142" s="1052"/>
      <c r="BL142" s="1052"/>
      <c r="BM142" s="1052"/>
      <c r="BN142" s="1054"/>
      <c r="BO142" s="1076">
        <f t="shared" si="12"/>
        <v>0</v>
      </c>
      <c r="BP142" s="1051"/>
      <c r="BQ142" s="1052"/>
      <c r="BR142" s="1054"/>
      <c r="BS142" s="1053"/>
      <c r="BT142" s="1051"/>
      <c r="BU142" s="1051"/>
      <c r="BV142" s="1051"/>
      <c r="BW142" s="1052"/>
      <c r="BX142" s="1052"/>
      <c r="BY142" s="1052"/>
      <c r="BZ142" s="1052"/>
      <c r="CA142" s="1052"/>
      <c r="CB142" s="1053"/>
      <c r="CC142" s="1053"/>
      <c r="CD142" s="1053"/>
      <c r="CE142" s="1053"/>
      <c r="CF142" s="1053"/>
      <c r="CG142" s="1053"/>
      <c r="CH142" s="1053"/>
      <c r="CI142" s="1123"/>
      <c r="CJ142" s="1123"/>
      <c r="CK142" s="1123"/>
      <c r="CL142" s="1123"/>
      <c r="CM142" s="1123"/>
      <c r="CN142" s="1123"/>
      <c r="CO142" s="1123"/>
      <c r="CP142" s="1123"/>
      <c r="CQ142" s="1123"/>
      <c r="CR142" s="1123"/>
      <c r="CS142" s="1123"/>
      <c r="CT142" s="1123"/>
      <c r="CU142" s="1123"/>
      <c r="CV142" s="1123"/>
      <c r="CW142" s="1123"/>
      <c r="CX142" s="1123"/>
      <c r="CY142" s="1123"/>
      <c r="CZ142" s="1114"/>
      <c r="DA142" s="1114"/>
      <c r="DB142" s="1114"/>
      <c r="DC142" s="1114"/>
      <c r="DD142" s="1114"/>
      <c r="DE142" s="1114"/>
      <c r="DF142" s="1114"/>
      <c r="DG142" s="1114"/>
      <c r="DH142" s="1114"/>
      <c r="DI142" s="1114"/>
      <c r="DJ142" s="1114"/>
      <c r="DK142" s="1114"/>
      <c r="DL142" s="1114"/>
      <c r="DM142" s="1114"/>
      <c r="DN142" s="1114"/>
      <c r="DO142" s="1114"/>
      <c r="DP142" s="1114"/>
      <c r="DQ142" s="1114"/>
      <c r="DR142" s="1114"/>
      <c r="DS142" s="1114"/>
      <c r="DT142" s="1114"/>
      <c r="DU142" s="1114"/>
      <c r="DV142" s="1115"/>
      <c r="DW142" s="1116"/>
      <c r="DX142" s="1116"/>
      <c r="DY142" s="1116"/>
      <c r="DZ142" s="1116"/>
      <c r="EA142" s="1116"/>
      <c r="EB142" s="1116"/>
      <c r="EC142" s="1116"/>
      <c r="ED142" s="1116"/>
      <c r="EE142" s="1116"/>
      <c r="EF142" s="1116"/>
      <c r="EG142" s="1116"/>
      <c r="EH142" s="1116"/>
      <c r="EI142" s="1116"/>
      <c r="EJ142" s="1116"/>
      <c r="EK142" s="1116"/>
      <c r="EL142" s="1116"/>
      <c r="EM142" s="1116"/>
      <c r="EN142" s="1116"/>
      <c r="EO142" s="1116"/>
      <c r="EP142" s="1116"/>
      <c r="EQ142" s="1116"/>
      <c r="ER142" s="1116"/>
      <c r="ES142" s="1116"/>
    </row>
    <row r="143" spans="1:149" ht="15" customHeight="1">
      <c r="A143" s="1799">
        <v>128</v>
      </c>
      <c r="B143" s="1041"/>
      <c r="C143" s="1050"/>
      <c r="D143" s="1050"/>
      <c r="E143" s="1050"/>
      <c r="F143" s="1049"/>
      <c r="G143" s="1457"/>
      <c r="H143" s="1049"/>
      <c r="I143" s="1049"/>
      <c r="J143" s="1050"/>
      <c r="K143" s="1050"/>
      <c r="L143" s="1043"/>
      <c r="M143" s="1051"/>
      <c r="N143" s="1051"/>
      <c r="O143" s="1052"/>
      <c r="P143" s="1051"/>
      <c r="Q143" s="1051"/>
      <c r="R143" s="1052"/>
      <c r="S143" s="1051"/>
      <c r="T143" s="1051"/>
      <c r="U143" s="1052"/>
      <c r="V143" s="1051"/>
      <c r="W143" s="1051"/>
      <c r="X143" s="1052"/>
      <c r="Y143" s="1053"/>
      <c r="Z143" s="1051"/>
      <c r="AA143" s="1051"/>
      <c r="AB143" s="1052"/>
      <c r="AC143" s="1051"/>
      <c r="AD143" s="1051"/>
      <c r="AE143" s="1052"/>
      <c r="AF143" s="1051"/>
      <c r="AG143" s="1051"/>
      <c r="AH143" s="1051"/>
      <c r="AI143" s="1051"/>
      <c r="AJ143" s="1052"/>
      <c r="AK143" s="1051"/>
      <c r="AL143" s="1051"/>
      <c r="AM143" s="1052"/>
      <c r="AN143" s="1051"/>
      <c r="AO143" s="1051"/>
      <c r="AP143" s="1052"/>
      <c r="AQ143" s="1051"/>
      <c r="AR143" s="1051"/>
      <c r="AS143" s="1052"/>
      <c r="AT143" s="1051"/>
      <c r="AU143" s="1051"/>
      <c r="AV143" s="1052"/>
      <c r="AW143" s="1051"/>
      <c r="AX143" s="1051"/>
      <c r="AY143" s="1053"/>
      <c r="AZ143" s="1051"/>
      <c r="BA143" s="1051"/>
      <c r="BB143" s="1053"/>
      <c r="BC143" s="1051"/>
      <c r="BD143" s="1051"/>
      <c r="BE143" s="1053"/>
      <c r="BF143" s="1051"/>
      <c r="BG143" s="1051"/>
      <c r="BH143" s="1053"/>
      <c r="BI143" s="1052"/>
      <c r="BJ143" s="1052"/>
      <c r="BK143" s="1052"/>
      <c r="BL143" s="1052"/>
      <c r="BM143" s="1052"/>
      <c r="BN143" s="1054"/>
      <c r="BO143" s="1076">
        <f t="shared" si="12"/>
        <v>0</v>
      </c>
      <c r="BP143" s="1051"/>
      <c r="BQ143" s="1052"/>
      <c r="BR143" s="1054"/>
      <c r="BS143" s="1053"/>
      <c r="BT143" s="1051"/>
      <c r="BU143" s="1051"/>
      <c r="BV143" s="1051"/>
      <c r="BW143" s="1052"/>
      <c r="BX143" s="1052"/>
      <c r="BY143" s="1052"/>
      <c r="BZ143" s="1052"/>
      <c r="CA143" s="1052"/>
      <c r="CB143" s="1053"/>
      <c r="CC143" s="1053"/>
      <c r="CD143" s="1053"/>
      <c r="CE143" s="1053"/>
      <c r="CF143" s="1053"/>
      <c r="CG143" s="1053"/>
      <c r="CH143" s="1053"/>
      <c r="CI143" s="1123"/>
      <c r="CJ143" s="1123"/>
      <c r="CK143" s="1123"/>
      <c r="CL143" s="1123"/>
      <c r="CM143" s="1123"/>
      <c r="CN143" s="1123"/>
      <c r="CO143" s="1123"/>
      <c r="CP143" s="1123"/>
      <c r="CQ143" s="1123"/>
      <c r="CR143" s="1123"/>
      <c r="CS143" s="1123"/>
      <c r="CT143" s="1123"/>
      <c r="CU143" s="1123"/>
      <c r="CV143" s="1123"/>
      <c r="CW143" s="1123"/>
      <c r="CX143" s="1123"/>
      <c r="CY143" s="1123"/>
      <c r="CZ143" s="1114"/>
      <c r="DA143" s="1114"/>
      <c r="DB143" s="1114"/>
      <c r="DC143" s="1114"/>
      <c r="DD143" s="1114"/>
      <c r="DE143" s="1114"/>
      <c r="DF143" s="1114"/>
      <c r="DG143" s="1114"/>
      <c r="DH143" s="1114"/>
      <c r="DI143" s="1114"/>
      <c r="DJ143" s="1114"/>
      <c r="DK143" s="1114"/>
      <c r="DL143" s="1114"/>
      <c r="DM143" s="1114"/>
      <c r="DN143" s="1114"/>
      <c r="DO143" s="1114"/>
      <c r="DP143" s="1114"/>
      <c r="DQ143" s="1114"/>
      <c r="DR143" s="1114"/>
      <c r="DS143" s="1114"/>
      <c r="DT143" s="1114"/>
      <c r="DU143" s="1114"/>
      <c r="DV143" s="1115"/>
      <c r="DW143" s="1116"/>
      <c r="DX143" s="1116"/>
      <c r="DY143" s="1116"/>
      <c r="DZ143" s="1116"/>
      <c r="EA143" s="1116"/>
      <c r="EB143" s="1116"/>
      <c r="EC143" s="1116"/>
      <c r="ED143" s="1116"/>
      <c r="EE143" s="1116"/>
      <c r="EF143" s="1116"/>
      <c r="EG143" s="1116"/>
      <c r="EH143" s="1116"/>
      <c r="EI143" s="1116"/>
      <c r="EJ143" s="1116"/>
      <c r="EK143" s="1116"/>
      <c r="EL143" s="1116"/>
      <c r="EM143" s="1116"/>
      <c r="EN143" s="1116"/>
      <c r="EO143" s="1116"/>
      <c r="EP143" s="1116"/>
      <c r="EQ143" s="1116"/>
      <c r="ER143" s="1116"/>
      <c r="ES143" s="1116"/>
    </row>
    <row r="144" spans="1:149" ht="15" customHeight="1">
      <c r="A144" s="1799">
        <v>129</v>
      </c>
      <c r="B144" s="1041"/>
      <c r="C144" s="1050"/>
      <c r="D144" s="1050"/>
      <c r="E144" s="1050"/>
      <c r="F144" s="1049"/>
      <c r="G144" s="1457"/>
      <c r="H144" s="1049"/>
      <c r="I144" s="1049"/>
      <c r="J144" s="1050"/>
      <c r="K144" s="1050"/>
      <c r="L144" s="1043"/>
      <c r="M144" s="1051"/>
      <c r="N144" s="1051"/>
      <c r="O144" s="1052"/>
      <c r="P144" s="1051"/>
      <c r="Q144" s="1051"/>
      <c r="R144" s="1052"/>
      <c r="S144" s="1051"/>
      <c r="T144" s="1051"/>
      <c r="U144" s="1052"/>
      <c r="V144" s="1051"/>
      <c r="W144" s="1051"/>
      <c r="X144" s="1052"/>
      <c r="Y144" s="1053"/>
      <c r="Z144" s="1051"/>
      <c r="AA144" s="1051"/>
      <c r="AB144" s="1052"/>
      <c r="AC144" s="1051"/>
      <c r="AD144" s="1051"/>
      <c r="AE144" s="1052"/>
      <c r="AF144" s="1051"/>
      <c r="AG144" s="1051"/>
      <c r="AH144" s="1051"/>
      <c r="AI144" s="1051"/>
      <c r="AJ144" s="1052"/>
      <c r="AK144" s="1051"/>
      <c r="AL144" s="1051"/>
      <c r="AM144" s="1052"/>
      <c r="AN144" s="1051"/>
      <c r="AO144" s="1051"/>
      <c r="AP144" s="1052"/>
      <c r="AQ144" s="1051"/>
      <c r="AR144" s="1051"/>
      <c r="AS144" s="1052"/>
      <c r="AT144" s="1051"/>
      <c r="AU144" s="1051"/>
      <c r="AV144" s="1052"/>
      <c r="AW144" s="1051"/>
      <c r="AX144" s="1051"/>
      <c r="AY144" s="1053"/>
      <c r="AZ144" s="1051"/>
      <c r="BA144" s="1051"/>
      <c r="BB144" s="1053"/>
      <c r="BC144" s="1051"/>
      <c r="BD144" s="1051"/>
      <c r="BE144" s="1053"/>
      <c r="BF144" s="1051"/>
      <c r="BG144" s="1051"/>
      <c r="BH144" s="1053"/>
      <c r="BI144" s="1052"/>
      <c r="BJ144" s="1052"/>
      <c r="BK144" s="1052"/>
      <c r="BL144" s="1052"/>
      <c r="BM144" s="1052"/>
      <c r="BN144" s="1054"/>
      <c r="BO144" s="1076">
        <f t="shared" si="12"/>
        <v>0</v>
      </c>
      <c r="BP144" s="1051"/>
      <c r="BQ144" s="1052"/>
      <c r="BR144" s="1054"/>
      <c r="BS144" s="1053"/>
      <c r="BT144" s="1051"/>
      <c r="BU144" s="1051"/>
      <c r="BV144" s="1051"/>
      <c r="BW144" s="1052"/>
      <c r="BX144" s="1052"/>
      <c r="BY144" s="1052"/>
      <c r="BZ144" s="1052"/>
      <c r="CA144" s="1052"/>
      <c r="CB144" s="1053"/>
      <c r="CC144" s="1053"/>
      <c r="CD144" s="1053"/>
      <c r="CE144" s="1053"/>
      <c r="CF144" s="1053"/>
      <c r="CG144" s="1053"/>
      <c r="CH144" s="1053"/>
      <c r="CI144" s="1123"/>
      <c r="CJ144" s="1123"/>
      <c r="CK144" s="1123"/>
      <c r="CL144" s="1123"/>
      <c r="CM144" s="1123"/>
      <c r="CN144" s="1123"/>
      <c r="CO144" s="1123"/>
      <c r="CP144" s="1123"/>
      <c r="CQ144" s="1123"/>
      <c r="CR144" s="1123"/>
      <c r="CS144" s="1123"/>
      <c r="CT144" s="1123"/>
      <c r="CU144" s="1123"/>
      <c r="CV144" s="1123"/>
      <c r="CW144" s="1123"/>
      <c r="CX144" s="1123"/>
      <c r="CY144" s="1123"/>
      <c r="CZ144" s="1114"/>
      <c r="DA144" s="1114"/>
      <c r="DB144" s="1114"/>
      <c r="DC144" s="1114"/>
      <c r="DD144" s="1114"/>
      <c r="DE144" s="1114"/>
      <c r="DF144" s="1114"/>
      <c r="DG144" s="1114"/>
      <c r="DH144" s="1114"/>
      <c r="DI144" s="1114"/>
      <c r="DJ144" s="1114"/>
      <c r="DK144" s="1114"/>
      <c r="DL144" s="1114"/>
      <c r="DM144" s="1114"/>
      <c r="DN144" s="1114"/>
      <c r="DO144" s="1114"/>
      <c r="DP144" s="1114"/>
      <c r="DQ144" s="1114"/>
      <c r="DR144" s="1114"/>
      <c r="DS144" s="1114"/>
      <c r="DT144" s="1114"/>
      <c r="DU144" s="1114"/>
      <c r="DV144" s="1115"/>
      <c r="DW144" s="1116"/>
      <c r="DX144" s="1116"/>
      <c r="DY144" s="1116"/>
      <c r="DZ144" s="1116"/>
      <c r="EA144" s="1116"/>
      <c r="EB144" s="1116"/>
      <c r="EC144" s="1116"/>
      <c r="ED144" s="1116"/>
      <c r="EE144" s="1116"/>
      <c r="EF144" s="1116"/>
      <c r="EG144" s="1116"/>
      <c r="EH144" s="1116"/>
      <c r="EI144" s="1116"/>
      <c r="EJ144" s="1116"/>
      <c r="EK144" s="1116"/>
      <c r="EL144" s="1116"/>
      <c r="EM144" s="1116"/>
      <c r="EN144" s="1116"/>
      <c r="EO144" s="1116"/>
      <c r="EP144" s="1116"/>
      <c r="EQ144" s="1116"/>
      <c r="ER144" s="1116"/>
      <c r="ES144" s="1116"/>
    </row>
    <row r="145" spans="1:149" ht="15" customHeight="1">
      <c r="A145" s="1799">
        <v>130</v>
      </c>
      <c r="B145" s="1041"/>
      <c r="C145" s="1050"/>
      <c r="D145" s="1050"/>
      <c r="E145" s="1050"/>
      <c r="F145" s="1049"/>
      <c r="G145" s="1457"/>
      <c r="H145" s="1049"/>
      <c r="I145" s="1049"/>
      <c r="J145" s="1050"/>
      <c r="K145" s="1050"/>
      <c r="L145" s="1043"/>
      <c r="M145" s="1051"/>
      <c r="N145" s="1051"/>
      <c r="O145" s="1052"/>
      <c r="P145" s="1051"/>
      <c r="Q145" s="1051"/>
      <c r="R145" s="1052"/>
      <c r="S145" s="1051"/>
      <c r="T145" s="1051"/>
      <c r="U145" s="1052"/>
      <c r="V145" s="1051"/>
      <c r="W145" s="1051"/>
      <c r="X145" s="1052"/>
      <c r="Y145" s="1053"/>
      <c r="Z145" s="1051"/>
      <c r="AA145" s="1051"/>
      <c r="AB145" s="1052"/>
      <c r="AC145" s="1051"/>
      <c r="AD145" s="1051"/>
      <c r="AE145" s="1052"/>
      <c r="AF145" s="1051"/>
      <c r="AG145" s="1051"/>
      <c r="AH145" s="1051"/>
      <c r="AI145" s="1051"/>
      <c r="AJ145" s="1052"/>
      <c r="AK145" s="1051"/>
      <c r="AL145" s="1051"/>
      <c r="AM145" s="1052"/>
      <c r="AN145" s="1051"/>
      <c r="AO145" s="1051"/>
      <c r="AP145" s="1052"/>
      <c r="AQ145" s="1051"/>
      <c r="AR145" s="1051"/>
      <c r="AS145" s="1052"/>
      <c r="AT145" s="1051"/>
      <c r="AU145" s="1051"/>
      <c r="AV145" s="1052"/>
      <c r="AW145" s="1051"/>
      <c r="AX145" s="1051"/>
      <c r="AY145" s="1053"/>
      <c r="AZ145" s="1051"/>
      <c r="BA145" s="1051"/>
      <c r="BB145" s="1053"/>
      <c r="BC145" s="1051"/>
      <c r="BD145" s="1051"/>
      <c r="BE145" s="1053"/>
      <c r="BF145" s="1051"/>
      <c r="BG145" s="1051"/>
      <c r="BH145" s="1053"/>
      <c r="BI145" s="1052"/>
      <c r="BJ145" s="1052"/>
      <c r="BK145" s="1052"/>
      <c r="BL145" s="1052"/>
      <c r="BM145" s="1052"/>
      <c r="BN145" s="1054"/>
      <c r="BO145" s="1076">
        <f t="shared" ref="BO145:BO208" si="13">H145</f>
        <v>0</v>
      </c>
      <c r="BP145" s="1051"/>
      <c r="BQ145" s="1052"/>
      <c r="BR145" s="1054"/>
      <c r="BS145" s="1053"/>
      <c r="BT145" s="1051"/>
      <c r="BU145" s="1051"/>
      <c r="BV145" s="1051"/>
      <c r="BW145" s="1052"/>
      <c r="BX145" s="1052"/>
      <c r="BY145" s="1052"/>
      <c r="BZ145" s="1052"/>
      <c r="CA145" s="1052"/>
      <c r="CB145" s="1053"/>
      <c r="CC145" s="1053"/>
      <c r="CD145" s="1053"/>
      <c r="CE145" s="1053"/>
      <c r="CF145" s="1053"/>
      <c r="CG145" s="1053"/>
      <c r="CH145" s="1053"/>
      <c r="CI145" s="1123"/>
      <c r="CJ145" s="1123"/>
      <c r="CK145" s="1123"/>
      <c r="CL145" s="1123"/>
      <c r="CM145" s="1123"/>
      <c r="CN145" s="1123"/>
      <c r="CO145" s="1123"/>
      <c r="CP145" s="1123"/>
      <c r="CQ145" s="1123"/>
      <c r="CR145" s="1123"/>
      <c r="CS145" s="1123"/>
      <c r="CT145" s="1123"/>
      <c r="CU145" s="1123"/>
      <c r="CV145" s="1123"/>
      <c r="CW145" s="1123"/>
      <c r="CX145" s="1123"/>
      <c r="CY145" s="1123"/>
      <c r="CZ145" s="1114"/>
      <c r="DA145" s="1114"/>
      <c r="DB145" s="1114"/>
      <c r="DC145" s="1114"/>
      <c r="DD145" s="1114"/>
      <c r="DE145" s="1114"/>
      <c r="DF145" s="1114"/>
      <c r="DG145" s="1114"/>
      <c r="DH145" s="1114"/>
      <c r="DI145" s="1114"/>
      <c r="DJ145" s="1114"/>
      <c r="DK145" s="1114"/>
      <c r="DL145" s="1114"/>
      <c r="DM145" s="1114"/>
      <c r="DN145" s="1114"/>
      <c r="DO145" s="1114"/>
      <c r="DP145" s="1114"/>
      <c r="DQ145" s="1114"/>
      <c r="DR145" s="1114"/>
      <c r="DS145" s="1114"/>
      <c r="DT145" s="1114"/>
      <c r="DU145" s="1114"/>
      <c r="DV145" s="1115"/>
      <c r="DW145" s="1116"/>
      <c r="DX145" s="1116"/>
      <c r="DY145" s="1116"/>
      <c r="DZ145" s="1116"/>
      <c r="EA145" s="1116"/>
      <c r="EB145" s="1116"/>
      <c r="EC145" s="1116"/>
      <c r="ED145" s="1116"/>
      <c r="EE145" s="1116"/>
      <c r="EF145" s="1116"/>
      <c r="EG145" s="1116"/>
      <c r="EH145" s="1116"/>
      <c r="EI145" s="1116"/>
      <c r="EJ145" s="1116"/>
      <c r="EK145" s="1116"/>
      <c r="EL145" s="1116"/>
      <c r="EM145" s="1116"/>
      <c r="EN145" s="1116"/>
      <c r="EO145" s="1116"/>
      <c r="EP145" s="1116"/>
      <c r="EQ145" s="1116"/>
      <c r="ER145" s="1116"/>
      <c r="ES145" s="1116"/>
    </row>
    <row r="146" spans="1:149" ht="15" customHeight="1">
      <c r="A146" s="1799">
        <v>131</v>
      </c>
      <c r="B146" s="1041"/>
      <c r="C146" s="1050"/>
      <c r="D146" s="1050"/>
      <c r="E146" s="1050"/>
      <c r="F146" s="1049"/>
      <c r="G146" s="1457"/>
      <c r="H146" s="1049"/>
      <c r="I146" s="1049"/>
      <c r="J146" s="1050"/>
      <c r="K146" s="1050"/>
      <c r="L146" s="1043"/>
      <c r="M146" s="1051"/>
      <c r="N146" s="1051"/>
      <c r="O146" s="1052"/>
      <c r="P146" s="1051"/>
      <c r="Q146" s="1051"/>
      <c r="R146" s="1052"/>
      <c r="S146" s="1051"/>
      <c r="T146" s="1051"/>
      <c r="U146" s="1052"/>
      <c r="V146" s="1051"/>
      <c r="W146" s="1051"/>
      <c r="X146" s="1052"/>
      <c r="Y146" s="1053"/>
      <c r="Z146" s="1051"/>
      <c r="AA146" s="1051"/>
      <c r="AB146" s="1052"/>
      <c r="AC146" s="1051"/>
      <c r="AD146" s="1051"/>
      <c r="AE146" s="1052"/>
      <c r="AF146" s="1051"/>
      <c r="AG146" s="1051"/>
      <c r="AH146" s="1051"/>
      <c r="AI146" s="1051"/>
      <c r="AJ146" s="1052"/>
      <c r="AK146" s="1051"/>
      <c r="AL146" s="1051"/>
      <c r="AM146" s="1052"/>
      <c r="AN146" s="1051"/>
      <c r="AO146" s="1051"/>
      <c r="AP146" s="1052"/>
      <c r="AQ146" s="1051"/>
      <c r="AR146" s="1051"/>
      <c r="AS146" s="1052"/>
      <c r="AT146" s="1051"/>
      <c r="AU146" s="1051"/>
      <c r="AV146" s="1052"/>
      <c r="AW146" s="1051"/>
      <c r="AX146" s="1051"/>
      <c r="AY146" s="1053"/>
      <c r="AZ146" s="1051"/>
      <c r="BA146" s="1051"/>
      <c r="BB146" s="1053"/>
      <c r="BC146" s="1051"/>
      <c r="BD146" s="1051"/>
      <c r="BE146" s="1053"/>
      <c r="BF146" s="1051"/>
      <c r="BG146" s="1051"/>
      <c r="BH146" s="1053"/>
      <c r="BI146" s="1052"/>
      <c r="BJ146" s="1052"/>
      <c r="BK146" s="1052"/>
      <c r="BL146" s="1052"/>
      <c r="BM146" s="1052"/>
      <c r="BN146" s="1054"/>
      <c r="BO146" s="1076">
        <f t="shared" si="13"/>
        <v>0</v>
      </c>
      <c r="BP146" s="1051"/>
      <c r="BQ146" s="1052"/>
      <c r="BR146" s="1054"/>
      <c r="BS146" s="1053"/>
      <c r="BT146" s="1051"/>
      <c r="BU146" s="1051"/>
      <c r="BV146" s="1051"/>
      <c r="BW146" s="1052"/>
      <c r="BX146" s="1052"/>
      <c r="BY146" s="1052"/>
      <c r="BZ146" s="1052"/>
      <c r="CA146" s="1052"/>
      <c r="CB146" s="1053"/>
      <c r="CC146" s="1053"/>
      <c r="CD146" s="1053"/>
      <c r="CE146" s="1053"/>
      <c r="CF146" s="1053"/>
      <c r="CG146" s="1053"/>
      <c r="CH146" s="1053"/>
      <c r="CI146" s="1123"/>
      <c r="CJ146" s="1123"/>
      <c r="CK146" s="1123"/>
      <c r="CL146" s="1123"/>
      <c r="CM146" s="1123"/>
      <c r="CN146" s="1123"/>
      <c r="CO146" s="1123"/>
      <c r="CP146" s="1123"/>
      <c r="CQ146" s="1123"/>
      <c r="CR146" s="1123"/>
      <c r="CS146" s="1123"/>
      <c r="CT146" s="1123"/>
      <c r="CU146" s="1123"/>
      <c r="CV146" s="1123"/>
      <c r="CW146" s="1123"/>
      <c r="CX146" s="1123"/>
      <c r="CY146" s="1123"/>
      <c r="CZ146" s="1114"/>
      <c r="DA146" s="1114"/>
      <c r="DB146" s="1114"/>
      <c r="DC146" s="1114"/>
      <c r="DD146" s="1114"/>
      <c r="DE146" s="1114"/>
      <c r="DF146" s="1114"/>
      <c r="DG146" s="1114"/>
      <c r="DH146" s="1114"/>
      <c r="DI146" s="1114"/>
      <c r="DJ146" s="1114"/>
      <c r="DK146" s="1114"/>
      <c r="DL146" s="1114"/>
      <c r="DM146" s="1114"/>
      <c r="DN146" s="1114"/>
      <c r="DO146" s="1114"/>
      <c r="DP146" s="1114"/>
      <c r="DQ146" s="1114"/>
      <c r="DR146" s="1114"/>
      <c r="DS146" s="1114"/>
      <c r="DT146" s="1114"/>
      <c r="DU146" s="1114"/>
      <c r="DV146" s="1115"/>
      <c r="DW146" s="1116"/>
      <c r="DX146" s="1116"/>
      <c r="DY146" s="1116"/>
      <c r="DZ146" s="1116"/>
      <c r="EA146" s="1116"/>
      <c r="EB146" s="1116"/>
      <c r="EC146" s="1116"/>
      <c r="ED146" s="1116"/>
      <c r="EE146" s="1116"/>
      <c r="EF146" s="1116"/>
      <c r="EG146" s="1116"/>
      <c r="EH146" s="1116"/>
      <c r="EI146" s="1116"/>
      <c r="EJ146" s="1116"/>
      <c r="EK146" s="1116"/>
      <c r="EL146" s="1116"/>
      <c r="EM146" s="1116"/>
      <c r="EN146" s="1116"/>
      <c r="EO146" s="1116"/>
      <c r="EP146" s="1116"/>
      <c r="EQ146" s="1116"/>
      <c r="ER146" s="1116"/>
      <c r="ES146" s="1116"/>
    </row>
    <row r="147" spans="1:149" ht="15" customHeight="1">
      <c r="A147" s="1799">
        <v>132</v>
      </c>
      <c r="B147" s="1041"/>
      <c r="C147" s="1050"/>
      <c r="D147" s="1050"/>
      <c r="E147" s="1050"/>
      <c r="F147" s="1049"/>
      <c r="G147" s="1457"/>
      <c r="H147" s="1049"/>
      <c r="I147" s="1049"/>
      <c r="J147" s="1050"/>
      <c r="K147" s="1050"/>
      <c r="L147" s="1043"/>
      <c r="M147" s="1051"/>
      <c r="N147" s="1051"/>
      <c r="O147" s="1052"/>
      <c r="P147" s="1051"/>
      <c r="Q147" s="1051"/>
      <c r="R147" s="1052"/>
      <c r="S147" s="1051"/>
      <c r="T147" s="1051"/>
      <c r="U147" s="1052"/>
      <c r="V147" s="1051"/>
      <c r="W147" s="1051"/>
      <c r="X147" s="1052"/>
      <c r="Y147" s="1053"/>
      <c r="Z147" s="1051"/>
      <c r="AA147" s="1051"/>
      <c r="AB147" s="1052"/>
      <c r="AC147" s="1051"/>
      <c r="AD147" s="1051"/>
      <c r="AE147" s="1052"/>
      <c r="AF147" s="1051"/>
      <c r="AG147" s="1051"/>
      <c r="AH147" s="1051"/>
      <c r="AI147" s="1051"/>
      <c r="AJ147" s="1052"/>
      <c r="AK147" s="1051"/>
      <c r="AL147" s="1051"/>
      <c r="AM147" s="1052"/>
      <c r="AN147" s="1051"/>
      <c r="AO147" s="1051"/>
      <c r="AP147" s="1052"/>
      <c r="AQ147" s="1051"/>
      <c r="AR147" s="1051"/>
      <c r="AS147" s="1052"/>
      <c r="AT147" s="1051"/>
      <c r="AU147" s="1051"/>
      <c r="AV147" s="1052"/>
      <c r="AW147" s="1051"/>
      <c r="AX147" s="1051"/>
      <c r="AY147" s="1053"/>
      <c r="AZ147" s="1051"/>
      <c r="BA147" s="1051"/>
      <c r="BB147" s="1053"/>
      <c r="BC147" s="1051"/>
      <c r="BD147" s="1051"/>
      <c r="BE147" s="1053"/>
      <c r="BF147" s="1051"/>
      <c r="BG147" s="1051"/>
      <c r="BH147" s="1053"/>
      <c r="BI147" s="1052"/>
      <c r="BJ147" s="1052"/>
      <c r="BK147" s="1052"/>
      <c r="BL147" s="1052"/>
      <c r="BM147" s="1052"/>
      <c r="BN147" s="1054"/>
      <c r="BO147" s="1076">
        <f t="shared" si="13"/>
        <v>0</v>
      </c>
      <c r="BP147" s="1051"/>
      <c r="BQ147" s="1052"/>
      <c r="BR147" s="1054"/>
      <c r="BS147" s="1053"/>
      <c r="BT147" s="1051"/>
      <c r="BU147" s="1051"/>
      <c r="BV147" s="1051"/>
      <c r="BW147" s="1052"/>
      <c r="BX147" s="1052"/>
      <c r="BY147" s="1052"/>
      <c r="BZ147" s="1052"/>
      <c r="CA147" s="1052"/>
      <c r="CB147" s="1053"/>
      <c r="CC147" s="1053"/>
      <c r="CD147" s="1053"/>
      <c r="CE147" s="1053"/>
      <c r="CF147" s="1053"/>
      <c r="CG147" s="1053"/>
      <c r="CH147" s="1053"/>
      <c r="CI147" s="1123"/>
      <c r="CJ147" s="1123"/>
      <c r="CK147" s="1123"/>
      <c r="CL147" s="1123"/>
      <c r="CM147" s="1123"/>
      <c r="CN147" s="1123"/>
      <c r="CO147" s="1123"/>
      <c r="CP147" s="1123"/>
      <c r="CQ147" s="1123"/>
      <c r="CR147" s="1123"/>
      <c r="CS147" s="1123"/>
      <c r="CT147" s="1123"/>
      <c r="CU147" s="1123"/>
      <c r="CV147" s="1123"/>
      <c r="CW147" s="1123"/>
      <c r="CX147" s="1123"/>
      <c r="CY147" s="1123"/>
      <c r="CZ147" s="1114"/>
      <c r="DA147" s="1114"/>
      <c r="DB147" s="1114"/>
      <c r="DC147" s="1114"/>
      <c r="DD147" s="1114"/>
      <c r="DE147" s="1114"/>
      <c r="DF147" s="1114"/>
      <c r="DG147" s="1114"/>
      <c r="DH147" s="1114"/>
      <c r="DI147" s="1114"/>
      <c r="DJ147" s="1114"/>
      <c r="DK147" s="1114"/>
      <c r="DL147" s="1114"/>
      <c r="DM147" s="1114"/>
      <c r="DN147" s="1114"/>
      <c r="DO147" s="1114"/>
      <c r="DP147" s="1114"/>
      <c r="DQ147" s="1114"/>
      <c r="DR147" s="1114"/>
      <c r="DS147" s="1114"/>
      <c r="DT147" s="1114"/>
      <c r="DU147" s="1114"/>
      <c r="DV147" s="1115"/>
      <c r="DW147" s="1116"/>
      <c r="DX147" s="1116"/>
      <c r="DY147" s="1116"/>
      <c r="DZ147" s="1116"/>
      <c r="EA147" s="1116"/>
      <c r="EB147" s="1116"/>
      <c r="EC147" s="1116"/>
      <c r="ED147" s="1116"/>
      <c r="EE147" s="1116"/>
      <c r="EF147" s="1116"/>
      <c r="EG147" s="1116"/>
      <c r="EH147" s="1116"/>
      <c r="EI147" s="1116"/>
      <c r="EJ147" s="1116"/>
      <c r="EK147" s="1116"/>
      <c r="EL147" s="1116"/>
      <c r="EM147" s="1116"/>
      <c r="EN147" s="1116"/>
      <c r="EO147" s="1116"/>
      <c r="EP147" s="1116"/>
      <c r="EQ147" s="1116"/>
      <c r="ER147" s="1116"/>
      <c r="ES147" s="1116"/>
    </row>
    <row r="148" spans="1:149" ht="15" customHeight="1">
      <c r="A148" s="1799">
        <v>133</v>
      </c>
      <c r="B148" s="1041"/>
      <c r="C148" s="1050"/>
      <c r="D148" s="1050"/>
      <c r="E148" s="1050"/>
      <c r="F148" s="1049"/>
      <c r="G148" s="1457"/>
      <c r="H148" s="1049"/>
      <c r="I148" s="1049"/>
      <c r="J148" s="1050"/>
      <c r="K148" s="1050"/>
      <c r="L148" s="1043"/>
      <c r="M148" s="1051"/>
      <c r="N148" s="1051"/>
      <c r="O148" s="1052"/>
      <c r="P148" s="1051"/>
      <c r="Q148" s="1051"/>
      <c r="R148" s="1052"/>
      <c r="S148" s="1051"/>
      <c r="T148" s="1051"/>
      <c r="U148" s="1052"/>
      <c r="V148" s="1051"/>
      <c r="W148" s="1051"/>
      <c r="X148" s="1052"/>
      <c r="Y148" s="1053"/>
      <c r="Z148" s="1051"/>
      <c r="AA148" s="1051"/>
      <c r="AB148" s="1052"/>
      <c r="AC148" s="1051"/>
      <c r="AD148" s="1051"/>
      <c r="AE148" s="1052"/>
      <c r="AF148" s="1051"/>
      <c r="AG148" s="1051"/>
      <c r="AH148" s="1051"/>
      <c r="AI148" s="1051"/>
      <c r="AJ148" s="1052"/>
      <c r="AK148" s="1051"/>
      <c r="AL148" s="1051"/>
      <c r="AM148" s="1052"/>
      <c r="AN148" s="1051"/>
      <c r="AO148" s="1051"/>
      <c r="AP148" s="1052"/>
      <c r="AQ148" s="1051"/>
      <c r="AR148" s="1051"/>
      <c r="AS148" s="1052"/>
      <c r="AT148" s="1051"/>
      <c r="AU148" s="1051"/>
      <c r="AV148" s="1052"/>
      <c r="AW148" s="1051"/>
      <c r="AX148" s="1051"/>
      <c r="AY148" s="1053"/>
      <c r="AZ148" s="1051"/>
      <c r="BA148" s="1051"/>
      <c r="BB148" s="1053"/>
      <c r="BC148" s="1051"/>
      <c r="BD148" s="1051"/>
      <c r="BE148" s="1053"/>
      <c r="BF148" s="1051"/>
      <c r="BG148" s="1051"/>
      <c r="BH148" s="1053"/>
      <c r="BI148" s="1052"/>
      <c r="BJ148" s="1052"/>
      <c r="BK148" s="1052"/>
      <c r="BL148" s="1052"/>
      <c r="BM148" s="1052"/>
      <c r="BN148" s="1054"/>
      <c r="BO148" s="1076">
        <f t="shared" si="13"/>
        <v>0</v>
      </c>
      <c r="BP148" s="1051"/>
      <c r="BQ148" s="1052"/>
      <c r="BR148" s="1054"/>
      <c r="BS148" s="1053"/>
      <c r="BT148" s="1051"/>
      <c r="BU148" s="1051"/>
      <c r="BV148" s="1051"/>
      <c r="BW148" s="1052"/>
      <c r="BX148" s="1052"/>
      <c r="BY148" s="1052"/>
      <c r="BZ148" s="1052"/>
      <c r="CA148" s="1052"/>
      <c r="CB148" s="1053"/>
      <c r="CC148" s="1053"/>
      <c r="CD148" s="1053"/>
      <c r="CE148" s="1053"/>
      <c r="CF148" s="1053"/>
      <c r="CG148" s="1053"/>
      <c r="CH148" s="1053"/>
      <c r="CI148" s="1123"/>
      <c r="CJ148" s="1123"/>
      <c r="CK148" s="1123"/>
      <c r="CL148" s="1123"/>
      <c r="CM148" s="1123"/>
      <c r="CN148" s="1123"/>
      <c r="CO148" s="1123"/>
      <c r="CP148" s="1123"/>
      <c r="CQ148" s="1123"/>
      <c r="CR148" s="1123"/>
      <c r="CS148" s="1123"/>
      <c r="CT148" s="1123"/>
      <c r="CU148" s="1123"/>
      <c r="CV148" s="1123"/>
      <c r="CW148" s="1123"/>
      <c r="CX148" s="1123"/>
      <c r="CY148" s="1123"/>
      <c r="CZ148" s="1114"/>
      <c r="DA148" s="1114"/>
      <c r="DB148" s="1114"/>
      <c r="DC148" s="1114"/>
      <c r="DD148" s="1114"/>
      <c r="DE148" s="1114"/>
      <c r="DF148" s="1114"/>
      <c r="DG148" s="1114"/>
      <c r="DH148" s="1114"/>
      <c r="DI148" s="1114"/>
      <c r="DJ148" s="1114"/>
      <c r="DK148" s="1114"/>
      <c r="DL148" s="1114"/>
      <c r="DM148" s="1114"/>
      <c r="DN148" s="1114"/>
      <c r="DO148" s="1114"/>
      <c r="DP148" s="1114"/>
      <c r="DQ148" s="1114"/>
      <c r="DR148" s="1114"/>
      <c r="DS148" s="1114"/>
      <c r="DT148" s="1114"/>
      <c r="DU148" s="1114"/>
      <c r="DV148" s="1115"/>
      <c r="DW148" s="1116"/>
      <c r="DX148" s="1116"/>
      <c r="DY148" s="1116"/>
      <c r="DZ148" s="1116"/>
      <c r="EA148" s="1116"/>
      <c r="EB148" s="1116"/>
      <c r="EC148" s="1116"/>
      <c r="ED148" s="1116"/>
      <c r="EE148" s="1116"/>
      <c r="EF148" s="1116"/>
      <c r="EG148" s="1116"/>
      <c r="EH148" s="1116"/>
      <c r="EI148" s="1116"/>
      <c r="EJ148" s="1116"/>
      <c r="EK148" s="1116"/>
      <c r="EL148" s="1116"/>
      <c r="EM148" s="1116"/>
      <c r="EN148" s="1116"/>
      <c r="EO148" s="1116"/>
      <c r="EP148" s="1116"/>
      <c r="EQ148" s="1116"/>
      <c r="ER148" s="1116"/>
      <c r="ES148" s="1116"/>
    </row>
    <row r="149" spans="1:149" ht="15" customHeight="1">
      <c r="A149" s="1799">
        <v>134</v>
      </c>
      <c r="B149" s="1041"/>
      <c r="C149" s="1050"/>
      <c r="D149" s="1050"/>
      <c r="E149" s="1050"/>
      <c r="F149" s="1049"/>
      <c r="G149" s="1457"/>
      <c r="H149" s="1049"/>
      <c r="I149" s="1049"/>
      <c r="J149" s="1050"/>
      <c r="K149" s="1050"/>
      <c r="L149" s="1043"/>
      <c r="M149" s="1051"/>
      <c r="N149" s="1051"/>
      <c r="O149" s="1052"/>
      <c r="P149" s="1051"/>
      <c r="Q149" s="1051"/>
      <c r="R149" s="1052"/>
      <c r="S149" s="1051"/>
      <c r="T149" s="1051"/>
      <c r="U149" s="1052"/>
      <c r="V149" s="1051"/>
      <c r="W149" s="1051"/>
      <c r="X149" s="1052"/>
      <c r="Y149" s="1053"/>
      <c r="Z149" s="1051"/>
      <c r="AA149" s="1051"/>
      <c r="AB149" s="1052"/>
      <c r="AC149" s="1051"/>
      <c r="AD149" s="1051"/>
      <c r="AE149" s="1052"/>
      <c r="AF149" s="1051"/>
      <c r="AG149" s="1051"/>
      <c r="AH149" s="1051"/>
      <c r="AI149" s="1051"/>
      <c r="AJ149" s="1052"/>
      <c r="AK149" s="1051"/>
      <c r="AL149" s="1051"/>
      <c r="AM149" s="1052"/>
      <c r="AN149" s="1051"/>
      <c r="AO149" s="1051"/>
      <c r="AP149" s="1052"/>
      <c r="AQ149" s="1051"/>
      <c r="AR149" s="1051"/>
      <c r="AS149" s="1052"/>
      <c r="AT149" s="1051"/>
      <c r="AU149" s="1051"/>
      <c r="AV149" s="1052"/>
      <c r="AW149" s="1051"/>
      <c r="AX149" s="1051"/>
      <c r="AY149" s="1053"/>
      <c r="AZ149" s="1051"/>
      <c r="BA149" s="1051"/>
      <c r="BB149" s="1053"/>
      <c r="BC149" s="1051"/>
      <c r="BD149" s="1051"/>
      <c r="BE149" s="1053"/>
      <c r="BF149" s="1051"/>
      <c r="BG149" s="1051"/>
      <c r="BH149" s="1053"/>
      <c r="BI149" s="1052"/>
      <c r="BJ149" s="1052"/>
      <c r="BK149" s="1052"/>
      <c r="BL149" s="1052"/>
      <c r="BM149" s="1052"/>
      <c r="BN149" s="1054"/>
      <c r="BO149" s="1076">
        <f t="shared" si="13"/>
        <v>0</v>
      </c>
      <c r="BP149" s="1051"/>
      <c r="BQ149" s="1052"/>
      <c r="BR149" s="1054"/>
      <c r="BS149" s="1053"/>
      <c r="BT149" s="1051"/>
      <c r="BU149" s="1051"/>
      <c r="BV149" s="1051"/>
      <c r="BW149" s="1052"/>
      <c r="BX149" s="1052"/>
      <c r="BY149" s="1052"/>
      <c r="BZ149" s="1052"/>
      <c r="CA149" s="1052"/>
      <c r="CB149" s="1053"/>
      <c r="CC149" s="1053"/>
      <c r="CD149" s="1053"/>
      <c r="CE149" s="1053"/>
      <c r="CF149" s="1053"/>
      <c r="CG149" s="1053"/>
      <c r="CH149" s="1053"/>
      <c r="CI149" s="1123"/>
      <c r="CJ149" s="1123"/>
      <c r="CK149" s="1123"/>
      <c r="CL149" s="1123"/>
      <c r="CM149" s="1123"/>
      <c r="CN149" s="1123"/>
      <c r="CO149" s="1123"/>
      <c r="CP149" s="1123"/>
      <c r="CQ149" s="1123"/>
      <c r="CR149" s="1123"/>
      <c r="CS149" s="1123"/>
      <c r="CT149" s="1123"/>
      <c r="CU149" s="1123"/>
      <c r="CV149" s="1123"/>
      <c r="CW149" s="1123"/>
      <c r="CX149" s="1123"/>
      <c r="CY149" s="1123"/>
      <c r="CZ149" s="1114"/>
      <c r="DA149" s="1114"/>
      <c r="DB149" s="1114"/>
      <c r="DC149" s="1114"/>
      <c r="DD149" s="1114"/>
      <c r="DE149" s="1114"/>
      <c r="DF149" s="1114"/>
      <c r="DG149" s="1114"/>
      <c r="DH149" s="1114"/>
      <c r="DI149" s="1114"/>
      <c r="DJ149" s="1114"/>
      <c r="DK149" s="1114"/>
      <c r="DL149" s="1114"/>
      <c r="DM149" s="1114"/>
      <c r="DN149" s="1114"/>
      <c r="DO149" s="1114"/>
      <c r="DP149" s="1114"/>
      <c r="DQ149" s="1114"/>
      <c r="DR149" s="1114"/>
      <c r="DS149" s="1114"/>
      <c r="DT149" s="1114"/>
      <c r="DU149" s="1114"/>
      <c r="DV149" s="1115"/>
      <c r="DW149" s="1116"/>
      <c r="DX149" s="1116"/>
      <c r="DY149" s="1116"/>
      <c r="DZ149" s="1116"/>
      <c r="EA149" s="1116"/>
      <c r="EB149" s="1116"/>
      <c r="EC149" s="1116"/>
      <c r="ED149" s="1116"/>
      <c r="EE149" s="1116"/>
      <c r="EF149" s="1116"/>
      <c r="EG149" s="1116"/>
      <c r="EH149" s="1116"/>
      <c r="EI149" s="1116"/>
      <c r="EJ149" s="1116"/>
      <c r="EK149" s="1116"/>
      <c r="EL149" s="1116"/>
      <c r="EM149" s="1116"/>
      <c r="EN149" s="1116"/>
      <c r="EO149" s="1116"/>
      <c r="EP149" s="1116"/>
      <c r="EQ149" s="1116"/>
      <c r="ER149" s="1116"/>
      <c r="ES149" s="1116"/>
    </row>
    <row r="150" spans="1:149" ht="15" customHeight="1">
      <c r="A150" s="1799">
        <v>135</v>
      </c>
      <c r="B150" s="1041"/>
      <c r="C150" s="1050"/>
      <c r="D150" s="1050"/>
      <c r="E150" s="1050"/>
      <c r="F150" s="1049"/>
      <c r="G150" s="1457"/>
      <c r="H150" s="1049"/>
      <c r="I150" s="1049"/>
      <c r="J150" s="1050"/>
      <c r="K150" s="1050"/>
      <c r="L150" s="1043"/>
      <c r="M150" s="1051"/>
      <c r="N150" s="1051"/>
      <c r="O150" s="1052"/>
      <c r="P150" s="1051"/>
      <c r="Q150" s="1051"/>
      <c r="R150" s="1052"/>
      <c r="S150" s="1051"/>
      <c r="T150" s="1051"/>
      <c r="U150" s="1052"/>
      <c r="V150" s="1051"/>
      <c r="W150" s="1051"/>
      <c r="X150" s="1052"/>
      <c r="Y150" s="1053"/>
      <c r="Z150" s="1051"/>
      <c r="AA150" s="1051"/>
      <c r="AB150" s="1052"/>
      <c r="AC150" s="1051"/>
      <c r="AD150" s="1051"/>
      <c r="AE150" s="1052"/>
      <c r="AF150" s="1051"/>
      <c r="AG150" s="1051"/>
      <c r="AH150" s="1051"/>
      <c r="AI150" s="1051"/>
      <c r="AJ150" s="1052"/>
      <c r="AK150" s="1051"/>
      <c r="AL150" s="1051"/>
      <c r="AM150" s="1052"/>
      <c r="AN150" s="1051"/>
      <c r="AO150" s="1051"/>
      <c r="AP150" s="1052"/>
      <c r="AQ150" s="1051"/>
      <c r="AR150" s="1051"/>
      <c r="AS150" s="1052"/>
      <c r="AT150" s="1051"/>
      <c r="AU150" s="1051"/>
      <c r="AV150" s="1052"/>
      <c r="AW150" s="1051"/>
      <c r="AX150" s="1051"/>
      <c r="AY150" s="1053"/>
      <c r="AZ150" s="1051"/>
      <c r="BA150" s="1051"/>
      <c r="BB150" s="1053"/>
      <c r="BC150" s="1051"/>
      <c r="BD150" s="1051"/>
      <c r="BE150" s="1053"/>
      <c r="BF150" s="1051"/>
      <c r="BG150" s="1051"/>
      <c r="BH150" s="1053"/>
      <c r="BI150" s="1052"/>
      <c r="BJ150" s="1052"/>
      <c r="BK150" s="1052"/>
      <c r="BL150" s="1052"/>
      <c r="BM150" s="1052"/>
      <c r="BN150" s="1054"/>
      <c r="BO150" s="1076">
        <f t="shared" si="13"/>
        <v>0</v>
      </c>
      <c r="BP150" s="1051"/>
      <c r="BQ150" s="1052"/>
      <c r="BR150" s="1054"/>
      <c r="BS150" s="1053"/>
      <c r="BT150" s="1051"/>
      <c r="BU150" s="1051"/>
      <c r="BV150" s="1051"/>
      <c r="BW150" s="1052"/>
      <c r="BX150" s="1052"/>
      <c r="BY150" s="1052"/>
      <c r="BZ150" s="1052"/>
      <c r="CA150" s="1052"/>
      <c r="CB150" s="1053"/>
      <c r="CC150" s="1053"/>
      <c r="CD150" s="1053"/>
      <c r="CE150" s="1053"/>
      <c r="CF150" s="1053"/>
      <c r="CG150" s="1053"/>
      <c r="CH150" s="1053"/>
      <c r="CI150" s="1123"/>
      <c r="CJ150" s="1123"/>
      <c r="CK150" s="1123"/>
      <c r="CL150" s="1123"/>
      <c r="CM150" s="1123"/>
      <c r="CN150" s="1123"/>
      <c r="CO150" s="1123"/>
      <c r="CP150" s="1123"/>
      <c r="CQ150" s="1123"/>
      <c r="CR150" s="1123"/>
      <c r="CS150" s="1123"/>
      <c r="CT150" s="1123"/>
      <c r="CU150" s="1123"/>
      <c r="CV150" s="1123"/>
      <c r="CW150" s="1123"/>
      <c r="CX150" s="1123"/>
      <c r="CY150" s="1123"/>
      <c r="CZ150" s="1114"/>
      <c r="DA150" s="1114"/>
      <c r="DB150" s="1114"/>
      <c r="DC150" s="1114"/>
      <c r="DD150" s="1114"/>
      <c r="DE150" s="1114"/>
      <c r="DF150" s="1114"/>
      <c r="DG150" s="1114"/>
      <c r="DH150" s="1114"/>
      <c r="DI150" s="1114"/>
      <c r="DJ150" s="1114"/>
      <c r="DK150" s="1114"/>
      <c r="DL150" s="1114"/>
      <c r="DM150" s="1114"/>
      <c r="DN150" s="1114"/>
      <c r="DO150" s="1114"/>
      <c r="DP150" s="1114"/>
      <c r="DQ150" s="1114"/>
      <c r="DR150" s="1114"/>
      <c r="DS150" s="1114"/>
      <c r="DT150" s="1114"/>
      <c r="DU150" s="1114"/>
      <c r="DV150" s="1115"/>
      <c r="DW150" s="1116"/>
      <c r="DX150" s="1116"/>
      <c r="DY150" s="1116"/>
      <c r="DZ150" s="1116"/>
      <c r="EA150" s="1116"/>
      <c r="EB150" s="1116"/>
      <c r="EC150" s="1116"/>
      <c r="ED150" s="1116"/>
      <c r="EE150" s="1116"/>
      <c r="EF150" s="1116"/>
      <c r="EG150" s="1116"/>
      <c r="EH150" s="1116"/>
      <c r="EI150" s="1116"/>
      <c r="EJ150" s="1116"/>
      <c r="EK150" s="1116"/>
      <c r="EL150" s="1116"/>
      <c r="EM150" s="1116"/>
      <c r="EN150" s="1116"/>
      <c r="EO150" s="1116"/>
      <c r="EP150" s="1116"/>
      <c r="EQ150" s="1116"/>
      <c r="ER150" s="1116"/>
      <c r="ES150" s="1116"/>
    </row>
    <row r="151" spans="1:149" ht="15" customHeight="1">
      <c r="A151" s="1799">
        <v>136</v>
      </c>
      <c r="B151" s="1041"/>
      <c r="C151" s="1050"/>
      <c r="D151" s="1050"/>
      <c r="E151" s="1050"/>
      <c r="F151" s="1049"/>
      <c r="G151" s="1457"/>
      <c r="H151" s="1049"/>
      <c r="I151" s="1049"/>
      <c r="J151" s="1050"/>
      <c r="K151" s="1050"/>
      <c r="L151" s="1043"/>
      <c r="M151" s="1051"/>
      <c r="N151" s="1051"/>
      <c r="O151" s="1052"/>
      <c r="P151" s="1051"/>
      <c r="Q151" s="1051"/>
      <c r="R151" s="1052"/>
      <c r="S151" s="1051"/>
      <c r="T151" s="1051"/>
      <c r="U151" s="1052"/>
      <c r="V151" s="1051"/>
      <c r="W151" s="1051"/>
      <c r="X151" s="1052"/>
      <c r="Y151" s="1053"/>
      <c r="Z151" s="1051"/>
      <c r="AA151" s="1051"/>
      <c r="AB151" s="1052"/>
      <c r="AC151" s="1051"/>
      <c r="AD151" s="1051"/>
      <c r="AE151" s="1052"/>
      <c r="AF151" s="1051"/>
      <c r="AG151" s="1051"/>
      <c r="AH151" s="1051"/>
      <c r="AI151" s="1051"/>
      <c r="AJ151" s="1052"/>
      <c r="AK151" s="1051"/>
      <c r="AL151" s="1051"/>
      <c r="AM151" s="1052"/>
      <c r="AN151" s="1051"/>
      <c r="AO151" s="1051"/>
      <c r="AP151" s="1052"/>
      <c r="AQ151" s="1051"/>
      <c r="AR151" s="1051"/>
      <c r="AS151" s="1052"/>
      <c r="AT151" s="1051"/>
      <c r="AU151" s="1051"/>
      <c r="AV151" s="1052"/>
      <c r="AW151" s="1051"/>
      <c r="AX151" s="1051"/>
      <c r="AY151" s="1053"/>
      <c r="AZ151" s="1051"/>
      <c r="BA151" s="1051"/>
      <c r="BB151" s="1053"/>
      <c r="BC151" s="1051"/>
      <c r="BD151" s="1051"/>
      <c r="BE151" s="1053"/>
      <c r="BF151" s="1051"/>
      <c r="BG151" s="1051"/>
      <c r="BH151" s="1053"/>
      <c r="BI151" s="1052"/>
      <c r="BJ151" s="1052"/>
      <c r="BK151" s="1052"/>
      <c r="BL151" s="1052"/>
      <c r="BM151" s="1052"/>
      <c r="BN151" s="1054"/>
      <c r="BO151" s="1076">
        <f t="shared" si="13"/>
        <v>0</v>
      </c>
      <c r="BP151" s="1051"/>
      <c r="BQ151" s="1052"/>
      <c r="BR151" s="1054"/>
      <c r="BS151" s="1053"/>
      <c r="BT151" s="1051"/>
      <c r="BU151" s="1051"/>
      <c r="BV151" s="1051"/>
      <c r="BW151" s="1052"/>
      <c r="BX151" s="1052"/>
      <c r="BY151" s="1052"/>
      <c r="BZ151" s="1052"/>
      <c r="CA151" s="1052"/>
      <c r="CB151" s="1053"/>
      <c r="CC151" s="1053"/>
      <c r="CD151" s="1053"/>
      <c r="CE151" s="1053"/>
      <c r="CF151" s="1053"/>
      <c r="CG151" s="1053"/>
      <c r="CH151" s="1053"/>
      <c r="CI151" s="1123"/>
      <c r="CJ151" s="1123"/>
      <c r="CK151" s="1123"/>
      <c r="CL151" s="1123"/>
      <c r="CM151" s="1123"/>
      <c r="CN151" s="1123"/>
      <c r="CO151" s="1123"/>
      <c r="CP151" s="1123"/>
      <c r="CQ151" s="1123"/>
      <c r="CR151" s="1123"/>
      <c r="CS151" s="1123"/>
      <c r="CT151" s="1123"/>
      <c r="CU151" s="1123"/>
      <c r="CV151" s="1123"/>
      <c r="CW151" s="1123"/>
      <c r="CX151" s="1123"/>
      <c r="CY151" s="1123"/>
      <c r="CZ151" s="1114"/>
      <c r="DA151" s="1114"/>
      <c r="DB151" s="1114"/>
      <c r="DC151" s="1114"/>
      <c r="DD151" s="1114"/>
      <c r="DE151" s="1114"/>
      <c r="DF151" s="1114"/>
      <c r="DG151" s="1114"/>
      <c r="DH151" s="1114"/>
      <c r="DI151" s="1114"/>
      <c r="DJ151" s="1114"/>
      <c r="DK151" s="1114"/>
      <c r="DL151" s="1114"/>
      <c r="DM151" s="1114"/>
      <c r="DN151" s="1114"/>
      <c r="DO151" s="1114"/>
      <c r="DP151" s="1114"/>
      <c r="DQ151" s="1114"/>
      <c r="DR151" s="1114"/>
      <c r="DS151" s="1114"/>
      <c r="DT151" s="1114"/>
      <c r="DU151" s="1114"/>
      <c r="DV151" s="1115"/>
      <c r="DW151" s="1116"/>
      <c r="DX151" s="1116"/>
      <c r="DY151" s="1116"/>
      <c r="DZ151" s="1116"/>
      <c r="EA151" s="1116"/>
      <c r="EB151" s="1116"/>
      <c r="EC151" s="1116"/>
      <c r="ED151" s="1116"/>
      <c r="EE151" s="1116"/>
      <c r="EF151" s="1116"/>
      <c r="EG151" s="1116"/>
      <c r="EH151" s="1116"/>
      <c r="EI151" s="1116"/>
      <c r="EJ151" s="1116"/>
      <c r="EK151" s="1116"/>
      <c r="EL151" s="1116"/>
      <c r="EM151" s="1116"/>
      <c r="EN151" s="1116"/>
      <c r="EO151" s="1116"/>
      <c r="EP151" s="1116"/>
      <c r="EQ151" s="1116"/>
      <c r="ER151" s="1116"/>
      <c r="ES151" s="1116"/>
    </row>
    <row r="152" spans="1:149" ht="15" customHeight="1">
      <c r="A152" s="1799">
        <v>137</v>
      </c>
      <c r="B152" s="1041"/>
      <c r="C152" s="1050"/>
      <c r="D152" s="1050"/>
      <c r="E152" s="1050"/>
      <c r="F152" s="1049"/>
      <c r="G152" s="1457"/>
      <c r="H152" s="1049"/>
      <c r="I152" s="1049"/>
      <c r="J152" s="1050"/>
      <c r="K152" s="1050"/>
      <c r="L152" s="1043"/>
      <c r="M152" s="1051"/>
      <c r="N152" s="1051"/>
      <c r="O152" s="1052"/>
      <c r="P152" s="1051"/>
      <c r="Q152" s="1051"/>
      <c r="R152" s="1052"/>
      <c r="S152" s="1051"/>
      <c r="T152" s="1051"/>
      <c r="U152" s="1052"/>
      <c r="V152" s="1051"/>
      <c r="W152" s="1051"/>
      <c r="X152" s="1052"/>
      <c r="Y152" s="1053"/>
      <c r="Z152" s="1051"/>
      <c r="AA152" s="1051"/>
      <c r="AB152" s="1052"/>
      <c r="AC152" s="1051"/>
      <c r="AD152" s="1051"/>
      <c r="AE152" s="1052"/>
      <c r="AF152" s="1051"/>
      <c r="AG152" s="1051"/>
      <c r="AH152" s="1051"/>
      <c r="AI152" s="1051"/>
      <c r="AJ152" s="1052"/>
      <c r="AK152" s="1051"/>
      <c r="AL152" s="1051"/>
      <c r="AM152" s="1052"/>
      <c r="AN152" s="1051"/>
      <c r="AO152" s="1051"/>
      <c r="AP152" s="1052"/>
      <c r="AQ152" s="1051"/>
      <c r="AR152" s="1051"/>
      <c r="AS152" s="1052"/>
      <c r="AT152" s="1051"/>
      <c r="AU152" s="1051"/>
      <c r="AV152" s="1052"/>
      <c r="AW152" s="1051"/>
      <c r="AX152" s="1051"/>
      <c r="AY152" s="1053"/>
      <c r="AZ152" s="1051"/>
      <c r="BA152" s="1051"/>
      <c r="BB152" s="1053"/>
      <c r="BC152" s="1051"/>
      <c r="BD152" s="1051"/>
      <c r="BE152" s="1053"/>
      <c r="BF152" s="1051"/>
      <c r="BG152" s="1051"/>
      <c r="BH152" s="1053"/>
      <c r="BI152" s="1052"/>
      <c r="BJ152" s="1052"/>
      <c r="BK152" s="1052"/>
      <c r="BL152" s="1052"/>
      <c r="BM152" s="1052"/>
      <c r="BN152" s="1054"/>
      <c r="BO152" s="1076">
        <f t="shared" si="13"/>
        <v>0</v>
      </c>
      <c r="BP152" s="1051"/>
      <c r="BQ152" s="1052"/>
      <c r="BR152" s="1054"/>
      <c r="BS152" s="1053"/>
      <c r="BT152" s="1051"/>
      <c r="BU152" s="1051"/>
      <c r="BV152" s="1051"/>
      <c r="BW152" s="1052"/>
      <c r="BX152" s="1052"/>
      <c r="BY152" s="1052"/>
      <c r="BZ152" s="1052"/>
      <c r="CA152" s="1052"/>
      <c r="CB152" s="1053"/>
      <c r="CC152" s="1053"/>
      <c r="CD152" s="1053"/>
      <c r="CE152" s="1053"/>
      <c r="CF152" s="1053"/>
      <c r="CG152" s="1053"/>
      <c r="CH152" s="1053"/>
      <c r="CI152" s="1123"/>
      <c r="CJ152" s="1123"/>
      <c r="CK152" s="1123"/>
      <c r="CL152" s="1123"/>
      <c r="CM152" s="1123"/>
      <c r="CN152" s="1123"/>
      <c r="CO152" s="1123"/>
      <c r="CP152" s="1123"/>
      <c r="CQ152" s="1123"/>
      <c r="CR152" s="1123"/>
      <c r="CS152" s="1123"/>
      <c r="CT152" s="1123"/>
      <c r="CU152" s="1123"/>
      <c r="CV152" s="1123"/>
      <c r="CW152" s="1123"/>
      <c r="CX152" s="1123"/>
      <c r="CY152" s="1123"/>
      <c r="CZ152" s="1114"/>
      <c r="DA152" s="1114"/>
      <c r="DB152" s="1114"/>
      <c r="DC152" s="1114"/>
      <c r="DD152" s="1114"/>
      <c r="DE152" s="1114"/>
      <c r="DF152" s="1114"/>
      <c r="DG152" s="1114"/>
      <c r="DH152" s="1114"/>
      <c r="DI152" s="1114"/>
      <c r="DJ152" s="1114"/>
      <c r="DK152" s="1114"/>
      <c r="DL152" s="1114"/>
      <c r="DM152" s="1114"/>
      <c r="DN152" s="1114"/>
      <c r="DO152" s="1114"/>
      <c r="DP152" s="1114"/>
      <c r="DQ152" s="1114"/>
      <c r="DR152" s="1114"/>
      <c r="DS152" s="1114"/>
      <c r="DT152" s="1114"/>
      <c r="DU152" s="1114"/>
      <c r="DV152" s="1115"/>
      <c r="DW152" s="1116"/>
      <c r="DX152" s="1116"/>
      <c r="DY152" s="1116"/>
      <c r="DZ152" s="1116"/>
      <c r="EA152" s="1116"/>
      <c r="EB152" s="1116"/>
      <c r="EC152" s="1116"/>
      <c r="ED152" s="1116"/>
      <c r="EE152" s="1116"/>
      <c r="EF152" s="1116"/>
      <c r="EG152" s="1116"/>
      <c r="EH152" s="1116"/>
      <c r="EI152" s="1116"/>
      <c r="EJ152" s="1116"/>
      <c r="EK152" s="1116"/>
      <c r="EL152" s="1116"/>
      <c r="EM152" s="1116"/>
      <c r="EN152" s="1116"/>
      <c r="EO152" s="1116"/>
      <c r="EP152" s="1116"/>
      <c r="EQ152" s="1116"/>
      <c r="ER152" s="1116"/>
      <c r="ES152" s="1116"/>
    </row>
    <row r="153" spans="1:149" ht="15" customHeight="1">
      <c r="A153" s="1799">
        <v>138</v>
      </c>
      <c r="B153" s="1041"/>
      <c r="C153" s="1050"/>
      <c r="D153" s="1050"/>
      <c r="E153" s="1050"/>
      <c r="F153" s="1049"/>
      <c r="G153" s="1457"/>
      <c r="H153" s="1049"/>
      <c r="I153" s="1049"/>
      <c r="J153" s="1050"/>
      <c r="K153" s="1050"/>
      <c r="L153" s="1043"/>
      <c r="M153" s="1051"/>
      <c r="N153" s="1051"/>
      <c r="O153" s="1052"/>
      <c r="P153" s="1051"/>
      <c r="Q153" s="1051"/>
      <c r="R153" s="1052"/>
      <c r="S153" s="1051"/>
      <c r="T153" s="1051"/>
      <c r="U153" s="1052"/>
      <c r="V153" s="1051"/>
      <c r="W153" s="1051"/>
      <c r="X153" s="1052"/>
      <c r="Y153" s="1053"/>
      <c r="Z153" s="1051"/>
      <c r="AA153" s="1051"/>
      <c r="AB153" s="1052"/>
      <c r="AC153" s="1051"/>
      <c r="AD153" s="1051"/>
      <c r="AE153" s="1052"/>
      <c r="AF153" s="1051"/>
      <c r="AG153" s="1051"/>
      <c r="AH153" s="1051"/>
      <c r="AI153" s="1051"/>
      <c r="AJ153" s="1052"/>
      <c r="AK153" s="1051"/>
      <c r="AL153" s="1051"/>
      <c r="AM153" s="1052"/>
      <c r="AN153" s="1051"/>
      <c r="AO153" s="1051"/>
      <c r="AP153" s="1052"/>
      <c r="AQ153" s="1051"/>
      <c r="AR153" s="1051"/>
      <c r="AS153" s="1052"/>
      <c r="AT153" s="1051"/>
      <c r="AU153" s="1051"/>
      <c r="AV153" s="1052"/>
      <c r="AW153" s="1051"/>
      <c r="AX153" s="1051"/>
      <c r="AY153" s="1053"/>
      <c r="AZ153" s="1051"/>
      <c r="BA153" s="1051"/>
      <c r="BB153" s="1053"/>
      <c r="BC153" s="1051"/>
      <c r="BD153" s="1051"/>
      <c r="BE153" s="1053"/>
      <c r="BF153" s="1051"/>
      <c r="BG153" s="1051"/>
      <c r="BH153" s="1053"/>
      <c r="BI153" s="1052"/>
      <c r="BJ153" s="1052"/>
      <c r="BK153" s="1052"/>
      <c r="BL153" s="1052"/>
      <c r="BM153" s="1052"/>
      <c r="BN153" s="1054"/>
      <c r="BO153" s="1076">
        <f t="shared" si="13"/>
        <v>0</v>
      </c>
      <c r="BP153" s="1051"/>
      <c r="BQ153" s="1052"/>
      <c r="BR153" s="1054"/>
      <c r="BS153" s="1053"/>
      <c r="BT153" s="1051"/>
      <c r="BU153" s="1051"/>
      <c r="BV153" s="1051"/>
      <c r="BW153" s="1052"/>
      <c r="BX153" s="1052"/>
      <c r="BY153" s="1052"/>
      <c r="BZ153" s="1052"/>
      <c r="CA153" s="1052"/>
      <c r="CB153" s="1053"/>
      <c r="CC153" s="1053"/>
      <c r="CD153" s="1053"/>
      <c r="CE153" s="1053"/>
      <c r="CF153" s="1053"/>
      <c r="CG153" s="1053"/>
      <c r="CH153" s="1053"/>
      <c r="CI153" s="1123"/>
      <c r="CJ153" s="1123"/>
      <c r="CK153" s="1123"/>
      <c r="CL153" s="1123"/>
      <c r="CM153" s="1123"/>
      <c r="CN153" s="1123"/>
      <c r="CO153" s="1123"/>
      <c r="CP153" s="1123"/>
      <c r="CQ153" s="1123"/>
      <c r="CR153" s="1123"/>
      <c r="CS153" s="1123"/>
      <c r="CT153" s="1123"/>
      <c r="CU153" s="1123"/>
      <c r="CV153" s="1123"/>
      <c r="CW153" s="1123"/>
      <c r="CX153" s="1123"/>
      <c r="CY153" s="1123"/>
      <c r="CZ153" s="1114"/>
      <c r="DA153" s="1114"/>
      <c r="DB153" s="1114"/>
      <c r="DC153" s="1114"/>
      <c r="DD153" s="1114"/>
      <c r="DE153" s="1114"/>
      <c r="DF153" s="1114"/>
      <c r="DG153" s="1114"/>
      <c r="DH153" s="1114"/>
      <c r="DI153" s="1114"/>
      <c r="DJ153" s="1114"/>
      <c r="DK153" s="1114"/>
      <c r="DL153" s="1114"/>
      <c r="DM153" s="1114"/>
      <c r="DN153" s="1114"/>
      <c r="DO153" s="1114"/>
      <c r="DP153" s="1114"/>
      <c r="DQ153" s="1114"/>
      <c r="DR153" s="1114"/>
      <c r="DS153" s="1114"/>
      <c r="DT153" s="1114"/>
      <c r="DU153" s="1114"/>
      <c r="DV153" s="1115"/>
      <c r="DW153" s="1116"/>
      <c r="DX153" s="1116"/>
      <c r="DY153" s="1116"/>
      <c r="DZ153" s="1116"/>
      <c r="EA153" s="1116"/>
      <c r="EB153" s="1116"/>
      <c r="EC153" s="1116"/>
      <c r="ED153" s="1116"/>
      <c r="EE153" s="1116"/>
      <c r="EF153" s="1116"/>
      <c r="EG153" s="1116"/>
      <c r="EH153" s="1116"/>
      <c r="EI153" s="1116"/>
      <c r="EJ153" s="1116"/>
      <c r="EK153" s="1116"/>
      <c r="EL153" s="1116"/>
      <c r="EM153" s="1116"/>
      <c r="EN153" s="1116"/>
      <c r="EO153" s="1116"/>
      <c r="EP153" s="1116"/>
      <c r="EQ153" s="1116"/>
      <c r="ER153" s="1116"/>
      <c r="ES153" s="1116"/>
    </row>
    <row r="154" spans="1:149" ht="15" customHeight="1">
      <c r="A154" s="1799">
        <v>139</v>
      </c>
      <c r="B154" s="1041"/>
      <c r="C154" s="1050"/>
      <c r="D154" s="1050"/>
      <c r="E154" s="1050"/>
      <c r="F154" s="1049"/>
      <c r="G154" s="1457"/>
      <c r="H154" s="1049"/>
      <c r="I154" s="1049"/>
      <c r="J154" s="1050"/>
      <c r="K154" s="1050"/>
      <c r="L154" s="1043"/>
      <c r="M154" s="1051"/>
      <c r="N154" s="1051"/>
      <c r="O154" s="1052"/>
      <c r="P154" s="1051"/>
      <c r="Q154" s="1051"/>
      <c r="R154" s="1052"/>
      <c r="S154" s="1051"/>
      <c r="T154" s="1051"/>
      <c r="U154" s="1052"/>
      <c r="V154" s="1051"/>
      <c r="W154" s="1051"/>
      <c r="X154" s="1052"/>
      <c r="Y154" s="1053"/>
      <c r="Z154" s="1051"/>
      <c r="AA154" s="1051"/>
      <c r="AB154" s="1052"/>
      <c r="AC154" s="1051"/>
      <c r="AD154" s="1051"/>
      <c r="AE154" s="1052"/>
      <c r="AF154" s="1051"/>
      <c r="AG154" s="1051"/>
      <c r="AH154" s="1051"/>
      <c r="AI154" s="1051"/>
      <c r="AJ154" s="1052"/>
      <c r="AK154" s="1051"/>
      <c r="AL154" s="1051"/>
      <c r="AM154" s="1052"/>
      <c r="AN154" s="1051"/>
      <c r="AO154" s="1051"/>
      <c r="AP154" s="1052"/>
      <c r="AQ154" s="1051"/>
      <c r="AR154" s="1051"/>
      <c r="AS154" s="1052"/>
      <c r="AT154" s="1051"/>
      <c r="AU154" s="1051"/>
      <c r="AV154" s="1052"/>
      <c r="AW154" s="1051"/>
      <c r="AX154" s="1051"/>
      <c r="AY154" s="1053"/>
      <c r="AZ154" s="1051"/>
      <c r="BA154" s="1051"/>
      <c r="BB154" s="1053"/>
      <c r="BC154" s="1051"/>
      <c r="BD154" s="1051"/>
      <c r="BE154" s="1053"/>
      <c r="BF154" s="1051"/>
      <c r="BG154" s="1051"/>
      <c r="BH154" s="1053"/>
      <c r="BI154" s="1052"/>
      <c r="BJ154" s="1052"/>
      <c r="BK154" s="1052"/>
      <c r="BL154" s="1052"/>
      <c r="BM154" s="1052"/>
      <c r="BN154" s="1054"/>
      <c r="BO154" s="1076">
        <f t="shared" si="13"/>
        <v>0</v>
      </c>
      <c r="BP154" s="1051"/>
      <c r="BQ154" s="1052"/>
      <c r="BR154" s="1054"/>
      <c r="BS154" s="1053"/>
      <c r="BT154" s="1051"/>
      <c r="BU154" s="1051"/>
      <c r="BV154" s="1051"/>
      <c r="BW154" s="1052"/>
      <c r="BX154" s="1052"/>
      <c r="BY154" s="1052"/>
      <c r="BZ154" s="1052"/>
      <c r="CA154" s="1052"/>
      <c r="CB154" s="1053"/>
      <c r="CC154" s="1053"/>
      <c r="CD154" s="1053"/>
      <c r="CE154" s="1053"/>
      <c r="CF154" s="1053"/>
      <c r="CG154" s="1053"/>
      <c r="CH154" s="1053"/>
      <c r="CI154" s="1123"/>
      <c r="CJ154" s="1123"/>
      <c r="CK154" s="1123"/>
      <c r="CL154" s="1123"/>
      <c r="CM154" s="1123"/>
      <c r="CN154" s="1123"/>
      <c r="CO154" s="1123"/>
      <c r="CP154" s="1123"/>
      <c r="CQ154" s="1123"/>
      <c r="CR154" s="1123"/>
      <c r="CS154" s="1123"/>
      <c r="CT154" s="1123"/>
      <c r="CU154" s="1123"/>
      <c r="CV154" s="1123"/>
      <c r="CW154" s="1123"/>
      <c r="CX154" s="1123"/>
      <c r="CY154" s="1123"/>
      <c r="CZ154" s="1114"/>
      <c r="DA154" s="1114"/>
      <c r="DB154" s="1114"/>
      <c r="DC154" s="1114"/>
      <c r="DD154" s="1114"/>
      <c r="DE154" s="1114"/>
      <c r="DF154" s="1114"/>
      <c r="DG154" s="1114"/>
      <c r="DH154" s="1114"/>
      <c r="DI154" s="1114"/>
      <c r="DJ154" s="1114"/>
      <c r="DK154" s="1114"/>
      <c r="DL154" s="1114"/>
      <c r="DM154" s="1114"/>
      <c r="DN154" s="1114"/>
      <c r="DO154" s="1114"/>
      <c r="DP154" s="1114"/>
      <c r="DQ154" s="1114"/>
      <c r="DR154" s="1114"/>
      <c r="DS154" s="1114"/>
      <c r="DT154" s="1114"/>
      <c r="DU154" s="1114"/>
      <c r="DV154" s="1115"/>
      <c r="DW154" s="1116"/>
      <c r="DX154" s="1116"/>
      <c r="DY154" s="1116"/>
      <c r="DZ154" s="1116"/>
      <c r="EA154" s="1116"/>
      <c r="EB154" s="1116"/>
      <c r="EC154" s="1116"/>
      <c r="ED154" s="1116"/>
      <c r="EE154" s="1116"/>
      <c r="EF154" s="1116"/>
      <c r="EG154" s="1116"/>
      <c r="EH154" s="1116"/>
      <c r="EI154" s="1116"/>
      <c r="EJ154" s="1116"/>
      <c r="EK154" s="1116"/>
      <c r="EL154" s="1116"/>
      <c r="EM154" s="1116"/>
      <c r="EN154" s="1116"/>
      <c r="EO154" s="1116"/>
      <c r="EP154" s="1116"/>
      <c r="EQ154" s="1116"/>
      <c r="ER154" s="1116"/>
      <c r="ES154" s="1116"/>
    </row>
    <row r="155" spans="1:149" ht="15" customHeight="1">
      <c r="A155" s="1799">
        <v>140</v>
      </c>
      <c r="B155" s="1041"/>
      <c r="C155" s="1050"/>
      <c r="D155" s="1050"/>
      <c r="E155" s="1050"/>
      <c r="F155" s="1049"/>
      <c r="G155" s="1457"/>
      <c r="H155" s="1049"/>
      <c r="I155" s="1049"/>
      <c r="J155" s="1050"/>
      <c r="K155" s="1050"/>
      <c r="L155" s="1043"/>
      <c r="M155" s="1051"/>
      <c r="N155" s="1051"/>
      <c r="O155" s="1052"/>
      <c r="P155" s="1051"/>
      <c r="Q155" s="1051"/>
      <c r="R155" s="1052"/>
      <c r="S155" s="1051"/>
      <c r="T155" s="1051"/>
      <c r="U155" s="1052"/>
      <c r="V155" s="1051"/>
      <c r="W155" s="1051"/>
      <c r="X155" s="1052"/>
      <c r="Y155" s="1053"/>
      <c r="Z155" s="1051"/>
      <c r="AA155" s="1051"/>
      <c r="AB155" s="1052"/>
      <c r="AC155" s="1051"/>
      <c r="AD155" s="1051"/>
      <c r="AE155" s="1052"/>
      <c r="AF155" s="1051"/>
      <c r="AG155" s="1051"/>
      <c r="AH155" s="1051"/>
      <c r="AI155" s="1051"/>
      <c r="AJ155" s="1052"/>
      <c r="AK155" s="1051"/>
      <c r="AL155" s="1051"/>
      <c r="AM155" s="1052"/>
      <c r="AN155" s="1051"/>
      <c r="AO155" s="1051"/>
      <c r="AP155" s="1052"/>
      <c r="AQ155" s="1051"/>
      <c r="AR155" s="1051"/>
      <c r="AS155" s="1052"/>
      <c r="AT155" s="1051"/>
      <c r="AU155" s="1051"/>
      <c r="AV155" s="1052"/>
      <c r="AW155" s="1051"/>
      <c r="AX155" s="1051"/>
      <c r="AY155" s="1053"/>
      <c r="AZ155" s="1051"/>
      <c r="BA155" s="1051"/>
      <c r="BB155" s="1053"/>
      <c r="BC155" s="1051"/>
      <c r="BD155" s="1051"/>
      <c r="BE155" s="1053"/>
      <c r="BF155" s="1051"/>
      <c r="BG155" s="1051"/>
      <c r="BH155" s="1053"/>
      <c r="BI155" s="1052"/>
      <c r="BJ155" s="1052"/>
      <c r="BK155" s="1052"/>
      <c r="BL155" s="1052"/>
      <c r="BM155" s="1052"/>
      <c r="BN155" s="1054"/>
      <c r="BO155" s="1076">
        <f t="shared" si="13"/>
        <v>0</v>
      </c>
      <c r="BP155" s="1051"/>
      <c r="BQ155" s="1052"/>
      <c r="BR155" s="1054"/>
      <c r="BS155" s="1053"/>
      <c r="BT155" s="1051"/>
      <c r="BU155" s="1051"/>
      <c r="BV155" s="1051"/>
      <c r="BW155" s="1052"/>
      <c r="BX155" s="1052"/>
      <c r="BY155" s="1052"/>
      <c r="BZ155" s="1052"/>
      <c r="CA155" s="1052"/>
      <c r="CB155" s="1053"/>
      <c r="CC155" s="1053"/>
      <c r="CD155" s="1053"/>
      <c r="CE155" s="1053"/>
      <c r="CF155" s="1053"/>
      <c r="CG155" s="1053"/>
      <c r="CH155" s="1053"/>
      <c r="CI155" s="1123"/>
      <c r="CJ155" s="1123"/>
      <c r="CK155" s="1123"/>
      <c r="CL155" s="1123"/>
      <c r="CM155" s="1123"/>
      <c r="CN155" s="1123"/>
      <c r="CO155" s="1123"/>
      <c r="CP155" s="1123"/>
      <c r="CQ155" s="1123"/>
      <c r="CR155" s="1123"/>
      <c r="CS155" s="1123"/>
      <c r="CT155" s="1123"/>
      <c r="CU155" s="1123"/>
      <c r="CV155" s="1123"/>
      <c r="CW155" s="1123"/>
      <c r="CX155" s="1123"/>
      <c r="CY155" s="1123"/>
      <c r="CZ155" s="1114"/>
      <c r="DA155" s="1114"/>
      <c r="DB155" s="1114"/>
      <c r="DC155" s="1114"/>
      <c r="DD155" s="1114"/>
      <c r="DE155" s="1114"/>
      <c r="DF155" s="1114"/>
      <c r="DG155" s="1114"/>
      <c r="DH155" s="1114"/>
      <c r="DI155" s="1114"/>
      <c r="DJ155" s="1114"/>
      <c r="DK155" s="1114"/>
      <c r="DL155" s="1114"/>
      <c r="DM155" s="1114"/>
      <c r="DN155" s="1114"/>
      <c r="DO155" s="1114"/>
      <c r="DP155" s="1114"/>
      <c r="DQ155" s="1114"/>
      <c r="DR155" s="1114"/>
      <c r="DS155" s="1114"/>
      <c r="DT155" s="1114"/>
      <c r="DU155" s="1114"/>
      <c r="DV155" s="1115"/>
      <c r="DW155" s="1116"/>
      <c r="DX155" s="1116"/>
      <c r="DY155" s="1116"/>
      <c r="DZ155" s="1116"/>
      <c r="EA155" s="1116"/>
      <c r="EB155" s="1116"/>
      <c r="EC155" s="1116"/>
      <c r="ED155" s="1116"/>
      <c r="EE155" s="1116"/>
      <c r="EF155" s="1116"/>
      <c r="EG155" s="1116"/>
      <c r="EH155" s="1116"/>
      <c r="EI155" s="1116"/>
      <c r="EJ155" s="1116"/>
      <c r="EK155" s="1116"/>
      <c r="EL155" s="1116"/>
      <c r="EM155" s="1116"/>
      <c r="EN155" s="1116"/>
      <c r="EO155" s="1116"/>
      <c r="EP155" s="1116"/>
      <c r="EQ155" s="1116"/>
      <c r="ER155" s="1116"/>
      <c r="ES155" s="1116"/>
    </row>
    <row r="156" spans="1:149" ht="15" customHeight="1">
      <c r="A156" s="1799">
        <v>141</v>
      </c>
      <c r="B156" s="1041"/>
      <c r="C156" s="1050"/>
      <c r="D156" s="1050"/>
      <c r="E156" s="1050"/>
      <c r="F156" s="1049"/>
      <c r="G156" s="1457"/>
      <c r="H156" s="1049"/>
      <c r="I156" s="1049"/>
      <c r="J156" s="1050"/>
      <c r="K156" s="1050"/>
      <c r="L156" s="1043"/>
      <c r="M156" s="1051"/>
      <c r="N156" s="1051"/>
      <c r="O156" s="1052"/>
      <c r="P156" s="1051"/>
      <c r="Q156" s="1051"/>
      <c r="R156" s="1052"/>
      <c r="S156" s="1051"/>
      <c r="T156" s="1051"/>
      <c r="U156" s="1052"/>
      <c r="V156" s="1051"/>
      <c r="W156" s="1051"/>
      <c r="X156" s="1052"/>
      <c r="Y156" s="1053"/>
      <c r="Z156" s="1051"/>
      <c r="AA156" s="1051"/>
      <c r="AB156" s="1052"/>
      <c r="AC156" s="1051"/>
      <c r="AD156" s="1051"/>
      <c r="AE156" s="1052"/>
      <c r="AF156" s="1051"/>
      <c r="AG156" s="1051"/>
      <c r="AH156" s="1051"/>
      <c r="AI156" s="1051"/>
      <c r="AJ156" s="1052"/>
      <c r="AK156" s="1051"/>
      <c r="AL156" s="1051"/>
      <c r="AM156" s="1052"/>
      <c r="AN156" s="1051"/>
      <c r="AO156" s="1051"/>
      <c r="AP156" s="1052"/>
      <c r="AQ156" s="1051"/>
      <c r="AR156" s="1051"/>
      <c r="AS156" s="1052"/>
      <c r="AT156" s="1051"/>
      <c r="AU156" s="1051"/>
      <c r="AV156" s="1052"/>
      <c r="AW156" s="1051"/>
      <c r="AX156" s="1051"/>
      <c r="AY156" s="1053"/>
      <c r="AZ156" s="1051"/>
      <c r="BA156" s="1051"/>
      <c r="BB156" s="1053"/>
      <c r="BC156" s="1051"/>
      <c r="BD156" s="1051"/>
      <c r="BE156" s="1053"/>
      <c r="BF156" s="1051"/>
      <c r="BG156" s="1051"/>
      <c r="BH156" s="1053"/>
      <c r="BI156" s="1052"/>
      <c r="BJ156" s="1052"/>
      <c r="BK156" s="1052"/>
      <c r="BL156" s="1052"/>
      <c r="BM156" s="1052"/>
      <c r="BN156" s="1054"/>
      <c r="BO156" s="1076">
        <f t="shared" si="13"/>
        <v>0</v>
      </c>
      <c r="BP156" s="1051"/>
      <c r="BQ156" s="1052"/>
      <c r="BR156" s="1054"/>
      <c r="BS156" s="1053"/>
      <c r="BT156" s="1051"/>
      <c r="BU156" s="1051"/>
      <c r="BV156" s="1051"/>
      <c r="BW156" s="1052"/>
      <c r="BX156" s="1052"/>
      <c r="BY156" s="1052"/>
      <c r="BZ156" s="1052"/>
      <c r="CA156" s="1052"/>
      <c r="CB156" s="1053"/>
      <c r="CC156" s="1053"/>
      <c r="CD156" s="1053"/>
      <c r="CE156" s="1053"/>
      <c r="CF156" s="1053"/>
      <c r="CG156" s="1053"/>
      <c r="CH156" s="1053"/>
      <c r="CI156" s="1123"/>
      <c r="CJ156" s="1123"/>
      <c r="CK156" s="1123"/>
      <c r="CL156" s="1123"/>
      <c r="CM156" s="1123"/>
      <c r="CN156" s="1123"/>
      <c r="CO156" s="1123"/>
      <c r="CP156" s="1123"/>
      <c r="CQ156" s="1123"/>
      <c r="CR156" s="1123"/>
      <c r="CS156" s="1123"/>
      <c r="CT156" s="1123"/>
      <c r="CU156" s="1123"/>
      <c r="CV156" s="1123"/>
      <c r="CW156" s="1123"/>
      <c r="CX156" s="1123"/>
      <c r="CY156" s="1123"/>
      <c r="CZ156" s="1114"/>
      <c r="DA156" s="1114"/>
      <c r="DB156" s="1114"/>
      <c r="DC156" s="1114"/>
      <c r="DD156" s="1114"/>
      <c r="DE156" s="1114"/>
      <c r="DF156" s="1114"/>
      <c r="DG156" s="1114"/>
      <c r="DH156" s="1114"/>
      <c r="DI156" s="1114"/>
      <c r="DJ156" s="1114"/>
      <c r="DK156" s="1114"/>
      <c r="DL156" s="1114"/>
      <c r="DM156" s="1114"/>
      <c r="DN156" s="1114"/>
      <c r="DO156" s="1114"/>
      <c r="DP156" s="1114"/>
      <c r="DQ156" s="1114"/>
      <c r="DR156" s="1114"/>
      <c r="DS156" s="1114"/>
      <c r="DT156" s="1114"/>
      <c r="DU156" s="1114"/>
      <c r="DV156" s="1115"/>
      <c r="DW156" s="1116"/>
      <c r="DX156" s="1116"/>
      <c r="DY156" s="1116"/>
      <c r="DZ156" s="1116"/>
      <c r="EA156" s="1116"/>
      <c r="EB156" s="1116"/>
      <c r="EC156" s="1116"/>
      <c r="ED156" s="1116"/>
      <c r="EE156" s="1116"/>
      <c r="EF156" s="1116"/>
      <c r="EG156" s="1116"/>
      <c r="EH156" s="1116"/>
      <c r="EI156" s="1116"/>
      <c r="EJ156" s="1116"/>
      <c r="EK156" s="1116"/>
      <c r="EL156" s="1116"/>
      <c r="EM156" s="1116"/>
      <c r="EN156" s="1116"/>
      <c r="EO156" s="1116"/>
      <c r="EP156" s="1116"/>
      <c r="EQ156" s="1116"/>
      <c r="ER156" s="1116"/>
      <c r="ES156" s="1116"/>
    </row>
    <row r="157" spans="1:149" ht="15" customHeight="1">
      <c r="A157" s="1799">
        <v>142</v>
      </c>
      <c r="B157" s="1041"/>
      <c r="C157" s="1050"/>
      <c r="D157" s="1050"/>
      <c r="E157" s="1050"/>
      <c r="F157" s="1049"/>
      <c r="G157" s="1457"/>
      <c r="H157" s="1049"/>
      <c r="I157" s="1049"/>
      <c r="J157" s="1050"/>
      <c r="K157" s="1050"/>
      <c r="L157" s="1043"/>
      <c r="M157" s="1051"/>
      <c r="N157" s="1051"/>
      <c r="O157" s="1052"/>
      <c r="P157" s="1051"/>
      <c r="Q157" s="1051"/>
      <c r="R157" s="1052"/>
      <c r="S157" s="1051"/>
      <c r="T157" s="1051"/>
      <c r="U157" s="1052"/>
      <c r="V157" s="1051"/>
      <c r="W157" s="1051"/>
      <c r="X157" s="1052"/>
      <c r="Y157" s="1053"/>
      <c r="Z157" s="1051"/>
      <c r="AA157" s="1051"/>
      <c r="AB157" s="1052"/>
      <c r="AC157" s="1051"/>
      <c r="AD157" s="1051"/>
      <c r="AE157" s="1052"/>
      <c r="AF157" s="1051"/>
      <c r="AG157" s="1051"/>
      <c r="AH157" s="1051"/>
      <c r="AI157" s="1051"/>
      <c r="AJ157" s="1052"/>
      <c r="AK157" s="1051"/>
      <c r="AL157" s="1051"/>
      <c r="AM157" s="1052"/>
      <c r="AN157" s="1051"/>
      <c r="AO157" s="1051"/>
      <c r="AP157" s="1052"/>
      <c r="AQ157" s="1051"/>
      <c r="AR157" s="1051"/>
      <c r="AS157" s="1052"/>
      <c r="AT157" s="1051"/>
      <c r="AU157" s="1051"/>
      <c r="AV157" s="1052"/>
      <c r="AW157" s="1051"/>
      <c r="AX157" s="1051"/>
      <c r="AY157" s="1053"/>
      <c r="AZ157" s="1051"/>
      <c r="BA157" s="1051"/>
      <c r="BB157" s="1053"/>
      <c r="BC157" s="1051"/>
      <c r="BD157" s="1051"/>
      <c r="BE157" s="1053"/>
      <c r="BF157" s="1051"/>
      <c r="BG157" s="1051"/>
      <c r="BH157" s="1053"/>
      <c r="BI157" s="1052"/>
      <c r="BJ157" s="1052"/>
      <c r="BK157" s="1052"/>
      <c r="BL157" s="1052"/>
      <c r="BM157" s="1052"/>
      <c r="BN157" s="1054"/>
      <c r="BO157" s="1076">
        <f t="shared" si="13"/>
        <v>0</v>
      </c>
      <c r="BP157" s="1051"/>
      <c r="BQ157" s="1052"/>
      <c r="BR157" s="1054"/>
      <c r="BS157" s="1053"/>
      <c r="BT157" s="1051"/>
      <c r="BU157" s="1051"/>
      <c r="BV157" s="1051"/>
      <c r="BW157" s="1052"/>
      <c r="BX157" s="1052"/>
      <c r="BY157" s="1052"/>
      <c r="BZ157" s="1052"/>
      <c r="CA157" s="1052"/>
      <c r="CB157" s="1053"/>
      <c r="CC157" s="1053"/>
      <c r="CD157" s="1053"/>
      <c r="CE157" s="1053"/>
      <c r="CF157" s="1053"/>
      <c r="CG157" s="1053"/>
      <c r="CH157" s="1053"/>
      <c r="CI157" s="1123"/>
      <c r="CJ157" s="1123"/>
      <c r="CK157" s="1123"/>
      <c r="CL157" s="1123"/>
      <c r="CM157" s="1123"/>
      <c r="CN157" s="1123"/>
      <c r="CO157" s="1123"/>
      <c r="CP157" s="1123"/>
      <c r="CQ157" s="1123"/>
      <c r="CR157" s="1123"/>
      <c r="CS157" s="1123"/>
      <c r="CT157" s="1123"/>
      <c r="CU157" s="1123"/>
      <c r="CV157" s="1123"/>
      <c r="CW157" s="1123"/>
      <c r="CX157" s="1123"/>
      <c r="CY157" s="1123"/>
      <c r="CZ157" s="1114"/>
      <c r="DA157" s="1114"/>
      <c r="DB157" s="1114"/>
      <c r="DC157" s="1114"/>
      <c r="DD157" s="1114"/>
      <c r="DE157" s="1114"/>
      <c r="DF157" s="1114"/>
      <c r="DG157" s="1114"/>
      <c r="DH157" s="1114"/>
      <c r="DI157" s="1114"/>
      <c r="DJ157" s="1114"/>
      <c r="DK157" s="1114"/>
      <c r="DL157" s="1114"/>
      <c r="DM157" s="1114"/>
      <c r="DN157" s="1114"/>
      <c r="DO157" s="1114"/>
      <c r="DP157" s="1114"/>
      <c r="DQ157" s="1114"/>
      <c r="DR157" s="1114"/>
      <c r="DS157" s="1114"/>
      <c r="DT157" s="1114"/>
      <c r="DU157" s="1114"/>
      <c r="DV157" s="1115"/>
      <c r="DW157" s="1116"/>
      <c r="DX157" s="1116"/>
      <c r="DY157" s="1116"/>
      <c r="DZ157" s="1116"/>
      <c r="EA157" s="1116"/>
      <c r="EB157" s="1116"/>
      <c r="EC157" s="1116"/>
      <c r="ED157" s="1116"/>
      <c r="EE157" s="1116"/>
      <c r="EF157" s="1116"/>
      <c r="EG157" s="1116"/>
      <c r="EH157" s="1116"/>
      <c r="EI157" s="1116"/>
      <c r="EJ157" s="1116"/>
      <c r="EK157" s="1116"/>
      <c r="EL157" s="1116"/>
      <c r="EM157" s="1116"/>
      <c r="EN157" s="1116"/>
      <c r="EO157" s="1116"/>
      <c r="EP157" s="1116"/>
      <c r="EQ157" s="1116"/>
      <c r="ER157" s="1116"/>
      <c r="ES157" s="1116"/>
    </row>
    <row r="158" spans="1:149" ht="15" customHeight="1">
      <c r="A158" s="1799">
        <v>143</v>
      </c>
      <c r="B158" s="1041"/>
      <c r="C158" s="1050"/>
      <c r="D158" s="1050"/>
      <c r="E158" s="1050"/>
      <c r="F158" s="1049"/>
      <c r="G158" s="1457"/>
      <c r="H158" s="1049"/>
      <c r="I158" s="1049"/>
      <c r="J158" s="1050"/>
      <c r="K158" s="1050"/>
      <c r="L158" s="1043"/>
      <c r="M158" s="1051"/>
      <c r="N158" s="1051"/>
      <c r="O158" s="1052"/>
      <c r="P158" s="1051"/>
      <c r="Q158" s="1051"/>
      <c r="R158" s="1052"/>
      <c r="S158" s="1051"/>
      <c r="T158" s="1051"/>
      <c r="U158" s="1052"/>
      <c r="V158" s="1051"/>
      <c r="W158" s="1051"/>
      <c r="X158" s="1052"/>
      <c r="Y158" s="1053"/>
      <c r="Z158" s="1051"/>
      <c r="AA158" s="1051"/>
      <c r="AB158" s="1052"/>
      <c r="AC158" s="1051"/>
      <c r="AD158" s="1051"/>
      <c r="AE158" s="1052"/>
      <c r="AF158" s="1051"/>
      <c r="AG158" s="1051"/>
      <c r="AH158" s="1051"/>
      <c r="AI158" s="1051"/>
      <c r="AJ158" s="1052"/>
      <c r="AK158" s="1051"/>
      <c r="AL158" s="1051"/>
      <c r="AM158" s="1052"/>
      <c r="AN158" s="1051"/>
      <c r="AO158" s="1051"/>
      <c r="AP158" s="1052"/>
      <c r="AQ158" s="1051"/>
      <c r="AR158" s="1051"/>
      <c r="AS158" s="1052"/>
      <c r="AT158" s="1051"/>
      <c r="AU158" s="1051"/>
      <c r="AV158" s="1052"/>
      <c r="AW158" s="1051"/>
      <c r="AX158" s="1051"/>
      <c r="AY158" s="1053"/>
      <c r="AZ158" s="1051"/>
      <c r="BA158" s="1051"/>
      <c r="BB158" s="1053"/>
      <c r="BC158" s="1051"/>
      <c r="BD158" s="1051"/>
      <c r="BE158" s="1053"/>
      <c r="BF158" s="1051"/>
      <c r="BG158" s="1051"/>
      <c r="BH158" s="1053"/>
      <c r="BI158" s="1052"/>
      <c r="BJ158" s="1052"/>
      <c r="BK158" s="1052"/>
      <c r="BL158" s="1052"/>
      <c r="BM158" s="1052"/>
      <c r="BN158" s="1054"/>
      <c r="BO158" s="1076">
        <f t="shared" si="13"/>
        <v>0</v>
      </c>
      <c r="BP158" s="1051"/>
      <c r="BQ158" s="1052"/>
      <c r="BR158" s="1054"/>
      <c r="BS158" s="1053"/>
      <c r="BT158" s="1051"/>
      <c r="BU158" s="1051"/>
      <c r="BV158" s="1051"/>
      <c r="BW158" s="1052"/>
      <c r="BX158" s="1052"/>
      <c r="BY158" s="1052"/>
      <c r="BZ158" s="1052"/>
      <c r="CA158" s="1052"/>
      <c r="CB158" s="1053"/>
      <c r="CC158" s="1053"/>
      <c r="CD158" s="1053"/>
      <c r="CE158" s="1053"/>
      <c r="CF158" s="1053"/>
      <c r="CG158" s="1053"/>
      <c r="CH158" s="1053"/>
      <c r="CI158" s="1123"/>
      <c r="CJ158" s="1123"/>
      <c r="CK158" s="1123"/>
      <c r="CL158" s="1123"/>
      <c r="CM158" s="1123"/>
      <c r="CN158" s="1123"/>
      <c r="CO158" s="1123"/>
      <c r="CP158" s="1123"/>
      <c r="CQ158" s="1123"/>
      <c r="CR158" s="1123"/>
      <c r="CS158" s="1123"/>
      <c r="CT158" s="1123"/>
      <c r="CU158" s="1123"/>
      <c r="CV158" s="1123"/>
      <c r="CW158" s="1123"/>
      <c r="CX158" s="1123"/>
      <c r="CY158" s="1123"/>
      <c r="CZ158" s="1114"/>
      <c r="DA158" s="1114"/>
      <c r="DB158" s="1114"/>
      <c r="DC158" s="1114"/>
      <c r="DD158" s="1114"/>
      <c r="DE158" s="1114"/>
      <c r="DF158" s="1114"/>
      <c r="DG158" s="1114"/>
      <c r="DH158" s="1114"/>
      <c r="DI158" s="1114"/>
      <c r="DJ158" s="1114"/>
      <c r="DK158" s="1114"/>
      <c r="DL158" s="1114"/>
      <c r="DM158" s="1114"/>
      <c r="DN158" s="1114"/>
      <c r="DO158" s="1114"/>
      <c r="DP158" s="1114"/>
      <c r="DQ158" s="1114"/>
      <c r="DR158" s="1114"/>
      <c r="DS158" s="1114"/>
      <c r="DT158" s="1114"/>
      <c r="DU158" s="1114"/>
      <c r="DV158" s="1115"/>
      <c r="DW158" s="1116"/>
      <c r="DX158" s="1116"/>
      <c r="DY158" s="1116"/>
      <c r="DZ158" s="1116"/>
      <c r="EA158" s="1116"/>
      <c r="EB158" s="1116"/>
      <c r="EC158" s="1116"/>
      <c r="ED158" s="1116"/>
      <c r="EE158" s="1116"/>
      <c r="EF158" s="1116"/>
      <c r="EG158" s="1116"/>
      <c r="EH158" s="1116"/>
      <c r="EI158" s="1116"/>
      <c r="EJ158" s="1116"/>
      <c r="EK158" s="1116"/>
      <c r="EL158" s="1116"/>
      <c r="EM158" s="1116"/>
      <c r="EN158" s="1116"/>
      <c r="EO158" s="1116"/>
      <c r="EP158" s="1116"/>
      <c r="EQ158" s="1116"/>
      <c r="ER158" s="1116"/>
      <c r="ES158" s="1116"/>
    </row>
    <row r="159" spans="1:149" ht="15" customHeight="1">
      <c r="A159" s="1799">
        <v>144</v>
      </c>
      <c r="B159" s="1041"/>
      <c r="C159" s="1050"/>
      <c r="D159" s="1050"/>
      <c r="E159" s="1050"/>
      <c r="F159" s="1049"/>
      <c r="G159" s="1457"/>
      <c r="H159" s="1049"/>
      <c r="I159" s="1049"/>
      <c r="J159" s="1050"/>
      <c r="K159" s="1050"/>
      <c r="L159" s="1043"/>
      <c r="M159" s="1051"/>
      <c r="N159" s="1051"/>
      <c r="O159" s="1052"/>
      <c r="P159" s="1051"/>
      <c r="Q159" s="1051"/>
      <c r="R159" s="1052"/>
      <c r="S159" s="1051"/>
      <c r="T159" s="1051"/>
      <c r="U159" s="1052"/>
      <c r="V159" s="1051"/>
      <c r="W159" s="1051"/>
      <c r="X159" s="1052"/>
      <c r="Y159" s="1053"/>
      <c r="Z159" s="1051"/>
      <c r="AA159" s="1051"/>
      <c r="AB159" s="1052"/>
      <c r="AC159" s="1051"/>
      <c r="AD159" s="1051"/>
      <c r="AE159" s="1052"/>
      <c r="AF159" s="1051"/>
      <c r="AG159" s="1051"/>
      <c r="AH159" s="1051"/>
      <c r="AI159" s="1051"/>
      <c r="AJ159" s="1052"/>
      <c r="AK159" s="1051"/>
      <c r="AL159" s="1051"/>
      <c r="AM159" s="1052"/>
      <c r="AN159" s="1051"/>
      <c r="AO159" s="1051"/>
      <c r="AP159" s="1052"/>
      <c r="AQ159" s="1051"/>
      <c r="AR159" s="1051"/>
      <c r="AS159" s="1052"/>
      <c r="AT159" s="1051"/>
      <c r="AU159" s="1051"/>
      <c r="AV159" s="1052"/>
      <c r="AW159" s="1051"/>
      <c r="AX159" s="1051"/>
      <c r="AY159" s="1053"/>
      <c r="AZ159" s="1051"/>
      <c r="BA159" s="1051"/>
      <c r="BB159" s="1053"/>
      <c r="BC159" s="1051"/>
      <c r="BD159" s="1051"/>
      <c r="BE159" s="1053"/>
      <c r="BF159" s="1051"/>
      <c r="BG159" s="1051"/>
      <c r="BH159" s="1053"/>
      <c r="BI159" s="1052"/>
      <c r="BJ159" s="1052"/>
      <c r="BK159" s="1052"/>
      <c r="BL159" s="1052"/>
      <c r="BM159" s="1052"/>
      <c r="BN159" s="1054"/>
      <c r="BO159" s="1076">
        <f t="shared" si="13"/>
        <v>0</v>
      </c>
      <c r="BP159" s="1051"/>
      <c r="BQ159" s="1052"/>
      <c r="BR159" s="1054"/>
      <c r="BS159" s="1053"/>
      <c r="BT159" s="1051"/>
      <c r="BU159" s="1051"/>
      <c r="BV159" s="1051"/>
      <c r="BW159" s="1052"/>
      <c r="BX159" s="1052"/>
      <c r="BY159" s="1052"/>
      <c r="BZ159" s="1052"/>
      <c r="CA159" s="1052"/>
      <c r="CB159" s="1053"/>
      <c r="CC159" s="1053"/>
      <c r="CD159" s="1053"/>
      <c r="CE159" s="1053"/>
      <c r="CF159" s="1053"/>
      <c r="CG159" s="1053"/>
      <c r="CH159" s="1053"/>
      <c r="CI159" s="1123"/>
      <c r="CJ159" s="1123"/>
      <c r="CK159" s="1123"/>
      <c r="CL159" s="1123"/>
      <c r="CM159" s="1123"/>
      <c r="CN159" s="1123"/>
      <c r="CO159" s="1123"/>
      <c r="CP159" s="1123"/>
      <c r="CQ159" s="1123"/>
      <c r="CR159" s="1123"/>
      <c r="CS159" s="1123"/>
      <c r="CT159" s="1123"/>
      <c r="CU159" s="1123"/>
      <c r="CV159" s="1123"/>
      <c r="CW159" s="1123"/>
      <c r="CX159" s="1123"/>
      <c r="CY159" s="1123"/>
      <c r="CZ159" s="1114"/>
      <c r="DA159" s="1114"/>
      <c r="DB159" s="1114"/>
      <c r="DC159" s="1114"/>
      <c r="DD159" s="1114"/>
      <c r="DE159" s="1114"/>
      <c r="DF159" s="1114"/>
      <c r="DG159" s="1114"/>
      <c r="DH159" s="1114"/>
      <c r="DI159" s="1114"/>
      <c r="DJ159" s="1114"/>
      <c r="DK159" s="1114"/>
      <c r="DL159" s="1114"/>
      <c r="DM159" s="1114"/>
      <c r="DN159" s="1114"/>
      <c r="DO159" s="1114"/>
      <c r="DP159" s="1114"/>
      <c r="DQ159" s="1114"/>
      <c r="DR159" s="1114"/>
      <c r="DS159" s="1114"/>
      <c r="DT159" s="1114"/>
      <c r="DU159" s="1114"/>
      <c r="DV159" s="1115"/>
      <c r="DW159" s="1116"/>
      <c r="DX159" s="1116"/>
      <c r="DY159" s="1116"/>
      <c r="DZ159" s="1116"/>
      <c r="EA159" s="1116"/>
      <c r="EB159" s="1116"/>
      <c r="EC159" s="1116"/>
      <c r="ED159" s="1116"/>
      <c r="EE159" s="1116"/>
      <c r="EF159" s="1116"/>
      <c r="EG159" s="1116"/>
      <c r="EH159" s="1116"/>
      <c r="EI159" s="1116"/>
      <c r="EJ159" s="1116"/>
      <c r="EK159" s="1116"/>
      <c r="EL159" s="1116"/>
      <c r="EM159" s="1116"/>
      <c r="EN159" s="1116"/>
      <c r="EO159" s="1116"/>
      <c r="EP159" s="1116"/>
      <c r="EQ159" s="1116"/>
      <c r="ER159" s="1116"/>
      <c r="ES159" s="1116"/>
    </row>
    <row r="160" spans="1:149" ht="15" customHeight="1">
      <c r="A160" s="1799">
        <v>145</v>
      </c>
      <c r="B160" s="1041"/>
      <c r="C160" s="1050"/>
      <c r="D160" s="1050"/>
      <c r="E160" s="1050"/>
      <c r="F160" s="1049"/>
      <c r="G160" s="1457"/>
      <c r="H160" s="1049"/>
      <c r="I160" s="1049"/>
      <c r="J160" s="1050"/>
      <c r="K160" s="1050"/>
      <c r="L160" s="1043"/>
      <c r="M160" s="1051"/>
      <c r="N160" s="1051"/>
      <c r="O160" s="1052"/>
      <c r="P160" s="1051"/>
      <c r="Q160" s="1051"/>
      <c r="R160" s="1052"/>
      <c r="S160" s="1051"/>
      <c r="T160" s="1051"/>
      <c r="U160" s="1052"/>
      <c r="V160" s="1051"/>
      <c r="W160" s="1051"/>
      <c r="X160" s="1052"/>
      <c r="Y160" s="1053"/>
      <c r="Z160" s="1051"/>
      <c r="AA160" s="1051"/>
      <c r="AB160" s="1052"/>
      <c r="AC160" s="1051"/>
      <c r="AD160" s="1051"/>
      <c r="AE160" s="1052"/>
      <c r="AF160" s="1051"/>
      <c r="AG160" s="1051"/>
      <c r="AH160" s="1051"/>
      <c r="AI160" s="1051"/>
      <c r="AJ160" s="1052"/>
      <c r="AK160" s="1051"/>
      <c r="AL160" s="1051"/>
      <c r="AM160" s="1052"/>
      <c r="AN160" s="1051"/>
      <c r="AO160" s="1051"/>
      <c r="AP160" s="1052"/>
      <c r="AQ160" s="1051"/>
      <c r="AR160" s="1051"/>
      <c r="AS160" s="1052"/>
      <c r="AT160" s="1051"/>
      <c r="AU160" s="1051"/>
      <c r="AV160" s="1052"/>
      <c r="AW160" s="1051"/>
      <c r="AX160" s="1051"/>
      <c r="AY160" s="1053"/>
      <c r="AZ160" s="1051"/>
      <c r="BA160" s="1051"/>
      <c r="BB160" s="1053"/>
      <c r="BC160" s="1051"/>
      <c r="BD160" s="1051"/>
      <c r="BE160" s="1053"/>
      <c r="BF160" s="1051"/>
      <c r="BG160" s="1051"/>
      <c r="BH160" s="1053"/>
      <c r="BI160" s="1052"/>
      <c r="BJ160" s="1052"/>
      <c r="BK160" s="1052"/>
      <c r="BL160" s="1052"/>
      <c r="BM160" s="1052"/>
      <c r="BN160" s="1054"/>
      <c r="BO160" s="1076">
        <f t="shared" si="13"/>
        <v>0</v>
      </c>
      <c r="BP160" s="1051"/>
      <c r="BQ160" s="1052"/>
      <c r="BR160" s="1054"/>
      <c r="BS160" s="1053"/>
      <c r="BT160" s="1051"/>
      <c r="BU160" s="1051"/>
      <c r="BV160" s="1051"/>
      <c r="BW160" s="1052"/>
      <c r="BX160" s="1052"/>
      <c r="BY160" s="1052"/>
      <c r="BZ160" s="1052"/>
      <c r="CA160" s="1052"/>
      <c r="CB160" s="1053"/>
      <c r="CC160" s="1053"/>
      <c r="CD160" s="1053"/>
      <c r="CE160" s="1053"/>
      <c r="CF160" s="1053"/>
      <c r="CG160" s="1053"/>
      <c r="CH160" s="1053"/>
      <c r="CI160" s="1123"/>
      <c r="CJ160" s="1123"/>
      <c r="CK160" s="1123"/>
      <c r="CL160" s="1123"/>
      <c r="CM160" s="1123"/>
      <c r="CN160" s="1123"/>
      <c r="CO160" s="1123"/>
      <c r="CP160" s="1123"/>
      <c r="CQ160" s="1123"/>
      <c r="CR160" s="1123"/>
      <c r="CS160" s="1123"/>
      <c r="CT160" s="1123"/>
      <c r="CU160" s="1123"/>
      <c r="CV160" s="1123"/>
      <c r="CW160" s="1123"/>
      <c r="CX160" s="1123"/>
      <c r="CY160" s="1123"/>
      <c r="CZ160" s="1114"/>
      <c r="DA160" s="1114"/>
      <c r="DB160" s="1114"/>
      <c r="DC160" s="1114"/>
      <c r="DD160" s="1114"/>
      <c r="DE160" s="1114"/>
      <c r="DF160" s="1114"/>
      <c r="DG160" s="1114"/>
      <c r="DH160" s="1114"/>
      <c r="DI160" s="1114"/>
      <c r="DJ160" s="1114"/>
      <c r="DK160" s="1114"/>
      <c r="DL160" s="1114"/>
      <c r="DM160" s="1114"/>
      <c r="DN160" s="1114"/>
      <c r="DO160" s="1114"/>
      <c r="DP160" s="1114"/>
      <c r="DQ160" s="1114"/>
      <c r="DR160" s="1114"/>
      <c r="DS160" s="1114"/>
      <c r="DT160" s="1114"/>
      <c r="DU160" s="1114"/>
      <c r="DV160" s="1115"/>
      <c r="DW160" s="1116"/>
      <c r="DX160" s="1116"/>
      <c r="DY160" s="1116"/>
      <c r="DZ160" s="1116"/>
      <c r="EA160" s="1116"/>
      <c r="EB160" s="1116"/>
      <c r="EC160" s="1116"/>
      <c r="ED160" s="1116"/>
      <c r="EE160" s="1116"/>
      <c r="EF160" s="1116"/>
      <c r="EG160" s="1116"/>
      <c r="EH160" s="1116"/>
      <c r="EI160" s="1116"/>
      <c r="EJ160" s="1116"/>
      <c r="EK160" s="1116"/>
      <c r="EL160" s="1116"/>
      <c r="EM160" s="1116"/>
      <c r="EN160" s="1116"/>
      <c r="EO160" s="1116"/>
      <c r="EP160" s="1116"/>
      <c r="EQ160" s="1116"/>
      <c r="ER160" s="1116"/>
      <c r="ES160" s="1116"/>
    </row>
    <row r="161" spans="1:149" ht="15" customHeight="1">
      <c r="A161" s="1799">
        <v>146</v>
      </c>
      <c r="B161" s="1041"/>
      <c r="C161" s="1050"/>
      <c r="D161" s="1050"/>
      <c r="E161" s="1050"/>
      <c r="F161" s="1049"/>
      <c r="G161" s="1457"/>
      <c r="H161" s="1049"/>
      <c r="I161" s="1049"/>
      <c r="J161" s="1050"/>
      <c r="K161" s="1050"/>
      <c r="L161" s="1043"/>
      <c r="M161" s="1051"/>
      <c r="N161" s="1051"/>
      <c r="O161" s="1052"/>
      <c r="P161" s="1051"/>
      <c r="Q161" s="1051"/>
      <c r="R161" s="1052"/>
      <c r="S161" s="1051"/>
      <c r="T161" s="1051"/>
      <c r="U161" s="1052"/>
      <c r="V161" s="1051"/>
      <c r="W161" s="1051"/>
      <c r="X161" s="1052"/>
      <c r="Y161" s="1053"/>
      <c r="Z161" s="1051"/>
      <c r="AA161" s="1051"/>
      <c r="AB161" s="1052"/>
      <c r="AC161" s="1051"/>
      <c r="AD161" s="1051"/>
      <c r="AE161" s="1052"/>
      <c r="AF161" s="1051"/>
      <c r="AG161" s="1051"/>
      <c r="AH161" s="1051"/>
      <c r="AI161" s="1051"/>
      <c r="AJ161" s="1052"/>
      <c r="AK161" s="1051"/>
      <c r="AL161" s="1051"/>
      <c r="AM161" s="1052"/>
      <c r="AN161" s="1051"/>
      <c r="AO161" s="1051"/>
      <c r="AP161" s="1052"/>
      <c r="AQ161" s="1051"/>
      <c r="AR161" s="1051"/>
      <c r="AS161" s="1052"/>
      <c r="AT161" s="1051"/>
      <c r="AU161" s="1051"/>
      <c r="AV161" s="1052"/>
      <c r="AW161" s="1051"/>
      <c r="AX161" s="1051"/>
      <c r="AY161" s="1053"/>
      <c r="AZ161" s="1051"/>
      <c r="BA161" s="1051"/>
      <c r="BB161" s="1053"/>
      <c r="BC161" s="1051"/>
      <c r="BD161" s="1051"/>
      <c r="BE161" s="1053"/>
      <c r="BF161" s="1051"/>
      <c r="BG161" s="1051"/>
      <c r="BH161" s="1053"/>
      <c r="BI161" s="1052"/>
      <c r="BJ161" s="1052"/>
      <c r="BK161" s="1052"/>
      <c r="BL161" s="1052"/>
      <c r="BM161" s="1052"/>
      <c r="BN161" s="1054"/>
      <c r="BO161" s="1076">
        <f t="shared" si="13"/>
        <v>0</v>
      </c>
      <c r="BP161" s="1051"/>
      <c r="BQ161" s="1052"/>
      <c r="BR161" s="1054"/>
      <c r="BS161" s="1053"/>
      <c r="BT161" s="1051"/>
      <c r="BU161" s="1051"/>
      <c r="BV161" s="1051"/>
      <c r="BW161" s="1052"/>
      <c r="BX161" s="1052"/>
      <c r="BY161" s="1052"/>
      <c r="BZ161" s="1052"/>
      <c r="CA161" s="1052"/>
      <c r="CB161" s="1053"/>
      <c r="CC161" s="1053"/>
      <c r="CD161" s="1053"/>
      <c r="CE161" s="1053"/>
      <c r="CF161" s="1053"/>
      <c r="CG161" s="1053"/>
      <c r="CH161" s="1053"/>
      <c r="CI161" s="1123"/>
      <c r="CJ161" s="1123"/>
      <c r="CK161" s="1123"/>
      <c r="CL161" s="1123"/>
      <c r="CM161" s="1123"/>
      <c r="CN161" s="1123"/>
      <c r="CO161" s="1123"/>
      <c r="CP161" s="1123"/>
      <c r="CQ161" s="1123"/>
      <c r="CR161" s="1123"/>
      <c r="CS161" s="1123"/>
      <c r="CT161" s="1123"/>
      <c r="CU161" s="1123"/>
      <c r="CV161" s="1123"/>
      <c r="CW161" s="1123"/>
      <c r="CX161" s="1123"/>
      <c r="CY161" s="1123"/>
      <c r="CZ161" s="1114"/>
      <c r="DA161" s="1114"/>
      <c r="DB161" s="1114"/>
      <c r="DC161" s="1114"/>
      <c r="DD161" s="1114"/>
      <c r="DE161" s="1114"/>
      <c r="DF161" s="1114"/>
      <c r="DG161" s="1114"/>
      <c r="DH161" s="1114"/>
      <c r="DI161" s="1114"/>
      <c r="DJ161" s="1114"/>
      <c r="DK161" s="1114"/>
      <c r="DL161" s="1114"/>
      <c r="DM161" s="1114"/>
      <c r="DN161" s="1114"/>
      <c r="DO161" s="1114"/>
      <c r="DP161" s="1114"/>
      <c r="DQ161" s="1114"/>
      <c r="DR161" s="1114"/>
      <c r="DS161" s="1114"/>
      <c r="DT161" s="1114"/>
      <c r="DU161" s="1114"/>
      <c r="DV161" s="1115"/>
      <c r="DW161" s="1116"/>
      <c r="DX161" s="1116"/>
      <c r="DY161" s="1116"/>
      <c r="DZ161" s="1116"/>
      <c r="EA161" s="1116"/>
      <c r="EB161" s="1116"/>
      <c r="EC161" s="1116"/>
      <c r="ED161" s="1116"/>
      <c r="EE161" s="1116"/>
      <c r="EF161" s="1116"/>
      <c r="EG161" s="1116"/>
      <c r="EH161" s="1116"/>
      <c r="EI161" s="1116"/>
      <c r="EJ161" s="1116"/>
      <c r="EK161" s="1116"/>
      <c r="EL161" s="1116"/>
      <c r="EM161" s="1116"/>
      <c r="EN161" s="1116"/>
      <c r="EO161" s="1116"/>
      <c r="EP161" s="1116"/>
      <c r="EQ161" s="1116"/>
      <c r="ER161" s="1116"/>
      <c r="ES161" s="1116"/>
    </row>
    <row r="162" spans="1:149" ht="15" customHeight="1">
      <c r="A162" s="1799">
        <v>147</v>
      </c>
      <c r="B162" s="1041"/>
      <c r="C162" s="1050"/>
      <c r="D162" s="1050"/>
      <c r="E162" s="1050"/>
      <c r="F162" s="1049"/>
      <c r="G162" s="1457"/>
      <c r="H162" s="1049"/>
      <c r="I162" s="1049"/>
      <c r="J162" s="1050"/>
      <c r="K162" s="1050"/>
      <c r="L162" s="1043"/>
      <c r="M162" s="1051"/>
      <c r="N162" s="1051"/>
      <c r="O162" s="1052"/>
      <c r="P162" s="1051"/>
      <c r="Q162" s="1051"/>
      <c r="R162" s="1052"/>
      <c r="S162" s="1051"/>
      <c r="T162" s="1051"/>
      <c r="U162" s="1052"/>
      <c r="V162" s="1051"/>
      <c r="W162" s="1051"/>
      <c r="X162" s="1052"/>
      <c r="Y162" s="1053"/>
      <c r="Z162" s="1051"/>
      <c r="AA162" s="1051"/>
      <c r="AB162" s="1052"/>
      <c r="AC162" s="1051"/>
      <c r="AD162" s="1051"/>
      <c r="AE162" s="1052"/>
      <c r="AF162" s="1051"/>
      <c r="AG162" s="1051"/>
      <c r="AH162" s="1051"/>
      <c r="AI162" s="1051"/>
      <c r="AJ162" s="1052"/>
      <c r="AK162" s="1051"/>
      <c r="AL162" s="1051"/>
      <c r="AM162" s="1052"/>
      <c r="AN162" s="1051"/>
      <c r="AO162" s="1051"/>
      <c r="AP162" s="1052"/>
      <c r="AQ162" s="1051"/>
      <c r="AR162" s="1051"/>
      <c r="AS162" s="1052"/>
      <c r="AT162" s="1051"/>
      <c r="AU162" s="1051"/>
      <c r="AV162" s="1052"/>
      <c r="AW162" s="1051"/>
      <c r="AX162" s="1051"/>
      <c r="AY162" s="1053"/>
      <c r="AZ162" s="1051"/>
      <c r="BA162" s="1051"/>
      <c r="BB162" s="1053"/>
      <c r="BC162" s="1051"/>
      <c r="BD162" s="1051"/>
      <c r="BE162" s="1053"/>
      <c r="BF162" s="1051"/>
      <c r="BG162" s="1051"/>
      <c r="BH162" s="1053"/>
      <c r="BI162" s="1052"/>
      <c r="BJ162" s="1052"/>
      <c r="BK162" s="1052"/>
      <c r="BL162" s="1052"/>
      <c r="BM162" s="1052"/>
      <c r="BN162" s="1054"/>
      <c r="BO162" s="1076">
        <f t="shared" si="13"/>
        <v>0</v>
      </c>
      <c r="BP162" s="1051"/>
      <c r="BQ162" s="1052"/>
      <c r="BR162" s="1054"/>
      <c r="BS162" s="1053"/>
      <c r="BT162" s="1051"/>
      <c r="BU162" s="1051"/>
      <c r="BV162" s="1051"/>
      <c r="BW162" s="1052"/>
      <c r="BX162" s="1052"/>
      <c r="BY162" s="1052"/>
      <c r="BZ162" s="1052"/>
      <c r="CA162" s="1052"/>
      <c r="CB162" s="1053"/>
      <c r="CC162" s="1053"/>
      <c r="CD162" s="1053"/>
      <c r="CE162" s="1053"/>
      <c r="CF162" s="1053"/>
      <c r="CG162" s="1053"/>
      <c r="CH162" s="1053"/>
      <c r="CI162" s="1123"/>
      <c r="CJ162" s="1123"/>
      <c r="CK162" s="1123"/>
      <c r="CL162" s="1123"/>
      <c r="CM162" s="1123"/>
      <c r="CN162" s="1123"/>
      <c r="CO162" s="1123"/>
      <c r="CP162" s="1123"/>
      <c r="CQ162" s="1123"/>
      <c r="CR162" s="1123"/>
      <c r="CS162" s="1123"/>
      <c r="CT162" s="1123"/>
      <c r="CU162" s="1123"/>
      <c r="CV162" s="1123"/>
      <c r="CW162" s="1123"/>
      <c r="CX162" s="1123"/>
      <c r="CY162" s="1123"/>
      <c r="CZ162" s="1114"/>
      <c r="DA162" s="1114"/>
      <c r="DB162" s="1114"/>
      <c r="DC162" s="1114"/>
      <c r="DD162" s="1114"/>
      <c r="DE162" s="1114"/>
      <c r="DF162" s="1114"/>
      <c r="DG162" s="1114"/>
      <c r="DH162" s="1114"/>
      <c r="DI162" s="1114"/>
      <c r="DJ162" s="1114"/>
      <c r="DK162" s="1114"/>
      <c r="DL162" s="1114"/>
      <c r="DM162" s="1114"/>
      <c r="DN162" s="1114"/>
      <c r="DO162" s="1114"/>
      <c r="DP162" s="1114"/>
      <c r="DQ162" s="1114"/>
      <c r="DR162" s="1114"/>
      <c r="DS162" s="1114"/>
      <c r="DT162" s="1114"/>
      <c r="DU162" s="1114"/>
      <c r="DV162" s="1115"/>
      <c r="DW162" s="1116"/>
      <c r="DX162" s="1116"/>
      <c r="DY162" s="1116"/>
      <c r="DZ162" s="1116"/>
      <c r="EA162" s="1116"/>
      <c r="EB162" s="1116"/>
      <c r="EC162" s="1116"/>
      <c r="ED162" s="1116"/>
      <c r="EE162" s="1116"/>
      <c r="EF162" s="1116"/>
      <c r="EG162" s="1116"/>
      <c r="EH162" s="1116"/>
      <c r="EI162" s="1116"/>
      <c r="EJ162" s="1116"/>
      <c r="EK162" s="1116"/>
      <c r="EL162" s="1116"/>
      <c r="EM162" s="1116"/>
      <c r="EN162" s="1116"/>
      <c r="EO162" s="1116"/>
      <c r="EP162" s="1116"/>
      <c r="EQ162" s="1116"/>
      <c r="ER162" s="1116"/>
      <c r="ES162" s="1116"/>
    </row>
    <row r="163" spans="1:149" ht="15" customHeight="1">
      <c r="A163" s="1799">
        <v>148</v>
      </c>
      <c r="B163" s="1041"/>
      <c r="C163" s="1050"/>
      <c r="D163" s="1050"/>
      <c r="E163" s="1050"/>
      <c r="F163" s="1049"/>
      <c r="G163" s="1457"/>
      <c r="H163" s="1049"/>
      <c r="I163" s="1049"/>
      <c r="J163" s="1050"/>
      <c r="K163" s="1050"/>
      <c r="L163" s="1043"/>
      <c r="M163" s="1051"/>
      <c r="N163" s="1051"/>
      <c r="O163" s="1052"/>
      <c r="P163" s="1051"/>
      <c r="Q163" s="1051"/>
      <c r="R163" s="1052"/>
      <c r="S163" s="1051"/>
      <c r="T163" s="1051"/>
      <c r="U163" s="1052"/>
      <c r="V163" s="1051"/>
      <c r="W163" s="1051"/>
      <c r="X163" s="1052"/>
      <c r="Y163" s="1053"/>
      <c r="Z163" s="1051"/>
      <c r="AA163" s="1051"/>
      <c r="AB163" s="1052"/>
      <c r="AC163" s="1051"/>
      <c r="AD163" s="1051"/>
      <c r="AE163" s="1052"/>
      <c r="AF163" s="1051"/>
      <c r="AG163" s="1051"/>
      <c r="AH163" s="1051"/>
      <c r="AI163" s="1051"/>
      <c r="AJ163" s="1052"/>
      <c r="AK163" s="1051"/>
      <c r="AL163" s="1051"/>
      <c r="AM163" s="1052"/>
      <c r="AN163" s="1051"/>
      <c r="AO163" s="1051"/>
      <c r="AP163" s="1052"/>
      <c r="AQ163" s="1051"/>
      <c r="AR163" s="1051"/>
      <c r="AS163" s="1052"/>
      <c r="AT163" s="1051"/>
      <c r="AU163" s="1051"/>
      <c r="AV163" s="1052"/>
      <c r="AW163" s="1051"/>
      <c r="AX163" s="1051"/>
      <c r="AY163" s="1053"/>
      <c r="AZ163" s="1051"/>
      <c r="BA163" s="1051"/>
      <c r="BB163" s="1053"/>
      <c r="BC163" s="1051"/>
      <c r="BD163" s="1051"/>
      <c r="BE163" s="1053"/>
      <c r="BF163" s="1051"/>
      <c r="BG163" s="1051"/>
      <c r="BH163" s="1053"/>
      <c r="BI163" s="1052"/>
      <c r="BJ163" s="1052"/>
      <c r="BK163" s="1052"/>
      <c r="BL163" s="1052"/>
      <c r="BM163" s="1052"/>
      <c r="BN163" s="1054"/>
      <c r="BO163" s="1076">
        <f t="shared" si="13"/>
        <v>0</v>
      </c>
      <c r="BP163" s="1051"/>
      <c r="BQ163" s="1052"/>
      <c r="BR163" s="1054"/>
      <c r="BS163" s="1053"/>
      <c r="BT163" s="1051"/>
      <c r="BU163" s="1051"/>
      <c r="BV163" s="1051"/>
      <c r="BW163" s="1052"/>
      <c r="BX163" s="1052"/>
      <c r="BY163" s="1052"/>
      <c r="BZ163" s="1052"/>
      <c r="CA163" s="1052"/>
      <c r="CB163" s="1053"/>
      <c r="CC163" s="1053"/>
      <c r="CD163" s="1053"/>
      <c r="CE163" s="1053"/>
      <c r="CF163" s="1053"/>
      <c r="CG163" s="1053"/>
      <c r="CH163" s="1053"/>
      <c r="CI163" s="1123"/>
      <c r="CJ163" s="1123"/>
      <c r="CK163" s="1123"/>
      <c r="CL163" s="1123"/>
      <c r="CM163" s="1123"/>
      <c r="CN163" s="1123"/>
      <c r="CO163" s="1123"/>
      <c r="CP163" s="1123"/>
      <c r="CQ163" s="1123"/>
      <c r="CR163" s="1123"/>
      <c r="CS163" s="1123"/>
      <c r="CT163" s="1123"/>
      <c r="CU163" s="1123"/>
      <c r="CV163" s="1123"/>
      <c r="CW163" s="1123"/>
      <c r="CX163" s="1123"/>
      <c r="CY163" s="1123"/>
      <c r="CZ163" s="1114"/>
      <c r="DA163" s="1114"/>
      <c r="DB163" s="1114"/>
      <c r="DC163" s="1114"/>
      <c r="DD163" s="1114"/>
      <c r="DE163" s="1114"/>
      <c r="DF163" s="1114"/>
      <c r="DG163" s="1114"/>
      <c r="DH163" s="1114"/>
      <c r="DI163" s="1114"/>
      <c r="DJ163" s="1114"/>
      <c r="DK163" s="1114"/>
      <c r="DL163" s="1114"/>
      <c r="DM163" s="1114"/>
      <c r="DN163" s="1114"/>
      <c r="DO163" s="1114"/>
      <c r="DP163" s="1114"/>
      <c r="DQ163" s="1114"/>
      <c r="DR163" s="1114"/>
      <c r="DS163" s="1114"/>
      <c r="DT163" s="1114"/>
      <c r="DU163" s="1114"/>
      <c r="DV163" s="1115"/>
      <c r="DW163" s="1116"/>
      <c r="DX163" s="1116"/>
      <c r="DY163" s="1116"/>
      <c r="DZ163" s="1116"/>
      <c r="EA163" s="1116"/>
      <c r="EB163" s="1116"/>
      <c r="EC163" s="1116"/>
      <c r="ED163" s="1116"/>
      <c r="EE163" s="1116"/>
      <c r="EF163" s="1116"/>
      <c r="EG163" s="1116"/>
      <c r="EH163" s="1116"/>
      <c r="EI163" s="1116"/>
      <c r="EJ163" s="1116"/>
      <c r="EK163" s="1116"/>
      <c r="EL163" s="1116"/>
      <c r="EM163" s="1116"/>
      <c r="EN163" s="1116"/>
      <c r="EO163" s="1116"/>
      <c r="EP163" s="1116"/>
      <c r="EQ163" s="1116"/>
      <c r="ER163" s="1116"/>
      <c r="ES163" s="1116"/>
    </row>
    <row r="164" spans="1:149" ht="15" customHeight="1">
      <c r="A164" s="1799">
        <v>149</v>
      </c>
      <c r="B164" s="1041"/>
      <c r="C164" s="1050"/>
      <c r="D164" s="1050"/>
      <c r="E164" s="1050"/>
      <c r="F164" s="1049"/>
      <c r="G164" s="1457"/>
      <c r="H164" s="1049"/>
      <c r="I164" s="1049"/>
      <c r="J164" s="1050"/>
      <c r="K164" s="1050"/>
      <c r="L164" s="1043"/>
      <c r="M164" s="1051"/>
      <c r="N164" s="1051"/>
      <c r="O164" s="1052"/>
      <c r="P164" s="1051"/>
      <c r="Q164" s="1051"/>
      <c r="R164" s="1052"/>
      <c r="S164" s="1051"/>
      <c r="T164" s="1051"/>
      <c r="U164" s="1052"/>
      <c r="V164" s="1051"/>
      <c r="W164" s="1051"/>
      <c r="X164" s="1052"/>
      <c r="Y164" s="1053"/>
      <c r="Z164" s="1051"/>
      <c r="AA164" s="1051"/>
      <c r="AB164" s="1052"/>
      <c r="AC164" s="1051"/>
      <c r="AD164" s="1051"/>
      <c r="AE164" s="1052"/>
      <c r="AF164" s="1051"/>
      <c r="AG164" s="1051"/>
      <c r="AH164" s="1051"/>
      <c r="AI164" s="1051"/>
      <c r="AJ164" s="1052"/>
      <c r="AK164" s="1051"/>
      <c r="AL164" s="1051"/>
      <c r="AM164" s="1052"/>
      <c r="AN164" s="1051"/>
      <c r="AO164" s="1051"/>
      <c r="AP164" s="1052"/>
      <c r="AQ164" s="1051"/>
      <c r="AR164" s="1051"/>
      <c r="AS164" s="1052"/>
      <c r="AT164" s="1051"/>
      <c r="AU164" s="1051"/>
      <c r="AV164" s="1052"/>
      <c r="AW164" s="1051"/>
      <c r="AX164" s="1051"/>
      <c r="AY164" s="1053"/>
      <c r="AZ164" s="1051"/>
      <c r="BA164" s="1051"/>
      <c r="BB164" s="1053"/>
      <c r="BC164" s="1051"/>
      <c r="BD164" s="1051"/>
      <c r="BE164" s="1053"/>
      <c r="BF164" s="1051"/>
      <c r="BG164" s="1051"/>
      <c r="BH164" s="1053"/>
      <c r="BI164" s="1052"/>
      <c r="BJ164" s="1052"/>
      <c r="BK164" s="1052"/>
      <c r="BL164" s="1052"/>
      <c r="BM164" s="1052"/>
      <c r="BN164" s="1054"/>
      <c r="BO164" s="1076">
        <f t="shared" si="13"/>
        <v>0</v>
      </c>
      <c r="BP164" s="1051"/>
      <c r="BQ164" s="1052"/>
      <c r="BR164" s="1054"/>
      <c r="BS164" s="1053"/>
      <c r="BT164" s="1051"/>
      <c r="BU164" s="1051"/>
      <c r="BV164" s="1051"/>
      <c r="BW164" s="1052"/>
      <c r="BX164" s="1052"/>
      <c r="BY164" s="1052"/>
      <c r="BZ164" s="1052"/>
      <c r="CA164" s="1052"/>
      <c r="CB164" s="1053"/>
      <c r="CC164" s="1053"/>
      <c r="CD164" s="1053"/>
      <c r="CE164" s="1053"/>
      <c r="CF164" s="1053"/>
      <c r="CG164" s="1053"/>
      <c r="CH164" s="1053"/>
      <c r="CI164" s="1123"/>
      <c r="CJ164" s="1123"/>
      <c r="CK164" s="1123"/>
      <c r="CL164" s="1123"/>
      <c r="CM164" s="1123"/>
      <c r="CN164" s="1123"/>
      <c r="CO164" s="1123"/>
      <c r="CP164" s="1123"/>
      <c r="CQ164" s="1123"/>
      <c r="CR164" s="1123"/>
      <c r="CS164" s="1123"/>
      <c r="CT164" s="1123"/>
      <c r="CU164" s="1123"/>
      <c r="CV164" s="1123"/>
      <c r="CW164" s="1123"/>
      <c r="CX164" s="1123"/>
      <c r="CY164" s="1123"/>
      <c r="CZ164" s="1114"/>
      <c r="DA164" s="1114"/>
      <c r="DB164" s="1114"/>
      <c r="DC164" s="1114"/>
      <c r="DD164" s="1114"/>
      <c r="DE164" s="1114"/>
      <c r="DF164" s="1114"/>
      <c r="DG164" s="1114"/>
      <c r="DH164" s="1114"/>
      <c r="DI164" s="1114"/>
      <c r="DJ164" s="1114"/>
      <c r="DK164" s="1114"/>
      <c r="DL164" s="1114"/>
      <c r="DM164" s="1114"/>
      <c r="DN164" s="1114"/>
      <c r="DO164" s="1114"/>
      <c r="DP164" s="1114"/>
      <c r="DQ164" s="1114"/>
      <c r="DR164" s="1114"/>
      <c r="DS164" s="1114"/>
      <c r="DT164" s="1114"/>
      <c r="DU164" s="1114"/>
      <c r="DV164" s="1115"/>
      <c r="DW164" s="1116"/>
      <c r="DX164" s="1116"/>
      <c r="DY164" s="1116"/>
      <c r="DZ164" s="1116"/>
      <c r="EA164" s="1116"/>
      <c r="EB164" s="1116"/>
      <c r="EC164" s="1116"/>
      <c r="ED164" s="1116"/>
      <c r="EE164" s="1116"/>
      <c r="EF164" s="1116"/>
      <c r="EG164" s="1116"/>
      <c r="EH164" s="1116"/>
      <c r="EI164" s="1116"/>
      <c r="EJ164" s="1116"/>
      <c r="EK164" s="1116"/>
      <c r="EL164" s="1116"/>
      <c r="EM164" s="1116"/>
      <c r="EN164" s="1116"/>
      <c r="EO164" s="1116"/>
      <c r="EP164" s="1116"/>
      <c r="EQ164" s="1116"/>
      <c r="ER164" s="1116"/>
      <c r="ES164" s="1116"/>
    </row>
    <row r="165" spans="1:149" ht="15" customHeight="1">
      <c r="A165" s="1799">
        <v>150</v>
      </c>
      <c r="B165" s="1041"/>
      <c r="C165" s="1050"/>
      <c r="D165" s="1050"/>
      <c r="E165" s="1050"/>
      <c r="F165" s="1049"/>
      <c r="G165" s="1457"/>
      <c r="H165" s="1049"/>
      <c r="I165" s="1049"/>
      <c r="J165" s="1050"/>
      <c r="K165" s="1050"/>
      <c r="L165" s="1043"/>
      <c r="M165" s="1051"/>
      <c r="N165" s="1051"/>
      <c r="O165" s="1052"/>
      <c r="P165" s="1051"/>
      <c r="Q165" s="1051"/>
      <c r="R165" s="1052"/>
      <c r="S165" s="1051"/>
      <c r="T165" s="1051"/>
      <c r="U165" s="1052"/>
      <c r="V165" s="1051"/>
      <c r="W165" s="1051"/>
      <c r="X165" s="1052"/>
      <c r="Y165" s="1053"/>
      <c r="Z165" s="1051"/>
      <c r="AA165" s="1051"/>
      <c r="AB165" s="1052"/>
      <c r="AC165" s="1051"/>
      <c r="AD165" s="1051"/>
      <c r="AE165" s="1052"/>
      <c r="AF165" s="1051"/>
      <c r="AG165" s="1051"/>
      <c r="AH165" s="1051"/>
      <c r="AI165" s="1051"/>
      <c r="AJ165" s="1052"/>
      <c r="AK165" s="1051"/>
      <c r="AL165" s="1051"/>
      <c r="AM165" s="1052"/>
      <c r="AN165" s="1051"/>
      <c r="AO165" s="1051"/>
      <c r="AP165" s="1052"/>
      <c r="AQ165" s="1051"/>
      <c r="AR165" s="1051"/>
      <c r="AS165" s="1052"/>
      <c r="AT165" s="1051"/>
      <c r="AU165" s="1051"/>
      <c r="AV165" s="1052"/>
      <c r="AW165" s="1051"/>
      <c r="AX165" s="1051"/>
      <c r="AY165" s="1053"/>
      <c r="AZ165" s="1051"/>
      <c r="BA165" s="1051"/>
      <c r="BB165" s="1053"/>
      <c r="BC165" s="1051"/>
      <c r="BD165" s="1051"/>
      <c r="BE165" s="1053"/>
      <c r="BF165" s="1051"/>
      <c r="BG165" s="1051"/>
      <c r="BH165" s="1053"/>
      <c r="BI165" s="1052"/>
      <c r="BJ165" s="1052"/>
      <c r="BK165" s="1052"/>
      <c r="BL165" s="1052"/>
      <c r="BM165" s="1052"/>
      <c r="BN165" s="1054"/>
      <c r="BO165" s="1076">
        <f t="shared" si="13"/>
        <v>0</v>
      </c>
      <c r="BP165" s="1051"/>
      <c r="BQ165" s="1052"/>
      <c r="BR165" s="1054"/>
      <c r="BS165" s="1053"/>
      <c r="BT165" s="1051"/>
      <c r="BU165" s="1051"/>
      <c r="BV165" s="1051"/>
      <c r="BW165" s="1052"/>
      <c r="BX165" s="1052"/>
      <c r="BY165" s="1052"/>
      <c r="BZ165" s="1052"/>
      <c r="CA165" s="1052"/>
      <c r="CB165" s="1053"/>
      <c r="CC165" s="1053"/>
      <c r="CD165" s="1053"/>
      <c r="CE165" s="1053"/>
      <c r="CF165" s="1053"/>
      <c r="CG165" s="1053"/>
      <c r="CH165" s="1053"/>
      <c r="CI165" s="1123"/>
      <c r="CJ165" s="1123"/>
      <c r="CK165" s="1123"/>
      <c r="CL165" s="1123"/>
      <c r="CM165" s="1123"/>
      <c r="CN165" s="1123"/>
      <c r="CO165" s="1123"/>
      <c r="CP165" s="1123"/>
      <c r="CQ165" s="1123"/>
      <c r="CR165" s="1123"/>
      <c r="CS165" s="1123"/>
      <c r="CT165" s="1123"/>
      <c r="CU165" s="1123"/>
      <c r="CV165" s="1123"/>
      <c r="CW165" s="1123"/>
      <c r="CX165" s="1123"/>
      <c r="CY165" s="1123"/>
      <c r="CZ165" s="1114"/>
      <c r="DA165" s="1114"/>
      <c r="DB165" s="1114"/>
      <c r="DC165" s="1114"/>
      <c r="DD165" s="1114"/>
      <c r="DE165" s="1114"/>
      <c r="DF165" s="1114"/>
      <c r="DG165" s="1114"/>
      <c r="DH165" s="1114"/>
      <c r="DI165" s="1114"/>
      <c r="DJ165" s="1114"/>
      <c r="DK165" s="1114"/>
      <c r="DL165" s="1114"/>
      <c r="DM165" s="1114"/>
      <c r="DN165" s="1114"/>
      <c r="DO165" s="1114"/>
      <c r="DP165" s="1114"/>
      <c r="DQ165" s="1114"/>
      <c r="DR165" s="1114"/>
      <c r="DS165" s="1114"/>
      <c r="DT165" s="1114"/>
      <c r="DU165" s="1114"/>
      <c r="DV165" s="1115"/>
      <c r="DW165" s="1116"/>
      <c r="DX165" s="1116"/>
      <c r="DY165" s="1116"/>
      <c r="DZ165" s="1116"/>
      <c r="EA165" s="1116"/>
      <c r="EB165" s="1116"/>
      <c r="EC165" s="1116"/>
      <c r="ED165" s="1116"/>
      <c r="EE165" s="1116"/>
      <c r="EF165" s="1116"/>
      <c r="EG165" s="1116"/>
      <c r="EH165" s="1116"/>
      <c r="EI165" s="1116"/>
      <c r="EJ165" s="1116"/>
      <c r="EK165" s="1116"/>
      <c r="EL165" s="1116"/>
      <c r="EM165" s="1116"/>
      <c r="EN165" s="1116"/>
      <c r="EO165" s="1116"/>
      <c r="EP165" s="1116"/>
      <c r="EQ165" s="1116"/>
      <c r="ER165" s="1116"/>
      <c r="ES165" s="1116"/>
    </row>
    <row r="166" spans="1:149" ht="15" customHeight="1">
      <c r="A166" s="1799">
        <v>151</v>
      </c>
      <c r="B166" s="1041"/>
      <c r="C166" s="1050"/>
      <c r="D166" s="1050"/>
      <c r="E166" s="1050"/>
      <c r="F166" s="1049"/>
      <c r="G166" s="1457"/>
      <c r="H166" s="1049"/>
      <c r="I166" s="1049"/>
      <c r="J166" s="1050"/>
      <c r="K166" s="1050"/>
      <c r="L166" s="1043"/>
      <c r="M166" s="1051"/>
      <c r="N166" s="1051"/>
      <c r="O166" s="1052"/>
      <c r="P166" s="1051"/>
      <c r="Q166" s="1051"/>
      <c r="R166" s="1052"/>
      <c r="S166" s="1051"/>
      <c r="T166" s="1051"/>
      <c r="U166" s="1052"/>
      <c r="V166" s="1051"/>
      <c r="W166" s="1051"/>
      <c r="X166" s="1052"/>
      <c r="Y166" s="1053"/>
      <c r="Z166" s="1051"/>
      <c r="AA166" s="1051"/>
      <c r="AB166" s="1052"/>
      <c r="AC166" s="1051"/>
      <c r="AD166" s="1051"/>
      <c r="AE166" s="1052"/>
      <c r="AF166" s="1051"/>
      <c r="AG166" s="1051"/>
      <c r="AH166" s="1051"/>
      <c r="AI166" s="1051"/>
      <c r="AJ166" s="1052"/>
      <c r="AK166" s="1051"/>
      <c r="AL166" s="1051"/>
      <c r="AM166" s="1052"/>
      <c r="AN166" s="1051"/>
      <c r="AO166" s="1051"/>
      <c r="AP166" s="1052"/>
      <c r="AQ166" s="1051"/>
      <c r="AR166" s="1051"/>
      <c r="AS166" s="1052"/>
      <c r="AT166" s="1051"/>
      <c r="AU166" s="1051"/>
      <c r="AV166" s="1052"/>
      <c r="AW166" s="1051"/>
      <c r="AX166" s="1051"/>
      <c r="AY166" s="1053"/>
      <c r="AZ166" s="1051"/>
      <c r="BA166" s="1051"/>
      <c r="BB166" s="1053"/>
      <c r="BC166" s="1051"/>
      <c r="BD166" s="1051"/>
      <c r="BE166" s="1053"/>
      <c r="BF166" s="1051"/>
      <c r="BG166" s="1051"/>
      <c r="BH166" s="1053"/>
      <c r="BI166" s="1052"/>
      <c r="BJ166" s="1052"/>
      <c r="BK166" s="1052"/>
      <c r="BL166" s="1052"/>
      <c r="BM166" s="1052"/>
      <c r="BN166" s="1054"/>
      <c r="BO166" s="1076">
        <f t="shared" si="13"/>
        <v>0</v>
      </c>
      <c r="BP166" s="1051"/>
      <c r="BQ166" s="1052"/>
      <c r="BR166" s="1054"/>
      <c r="BS166" s="1053"/>
      <c r="BT166" s="1051"/>
      <c r="BU166" s="1051"/>
      <c r="BV166" s="1051"/>
      <c r="BW166" s="1052"/>
      <c r="BX166" s="1052"/>
      <c r="BY166" s="1052"/>
      <c r="BZ166" s="1052"/>
      <c r="CA166" s="1052"/>
      <c r="CB166" s="1053"/>
      <c r="CC166" s="1053"/>
      <c r="CD166" s="1053"/>
      <c r="CE166" s="1053"/>
      <c r="CF166" s="1053"/>
      <c r="CG166" s="1053"/>
      <c r="CH166" s="1053"/>
      <c r="CI166" s="1123"/>
      <c r="CJ166" s="1123"/>
      <c r="CK166" s="1123"/>
      <c r="CL166" s="1123"/>
      <c r="CM166" s="1123"/>
      <c r="CN166" s="1123"/>
      <c r="CO166" s="1123"/>
      <c r="CP166" s="1123"/>
      <c r="CQ166" s="1123"/>
      <c r="CR166" s="1123"/>
      <c r="CS166" s="1123"/>
      <c r="CT166" s="1123"/>
      <c r="CU166" s="1123"/>
      <c r="CV166" s="1123"/>
      <c r="CW166" s="1123"/>
      <c r="CX166" s="1123"/>
      <c r="CY166" s="1123"/>
      <c r="CZ166" s="1114"/>
      <c r="DA166" s="1114"/>
      <c r="DB166" s="1114"/>
      <c r="DC166" s="1114"/>
      <c r="DD166" s="1114"/>
      <c r="DE166" s="1114"/>
      <c r="DF166" s="1114"/>
      <c r="DG166" s="1114"/>
      <c r="DH166" s="1114"/>
      <c r="DI166" s="1114"/>
      <c r="DJ166" s="1114"/>
      <c r="DK166" s="1114"/>
      <c r="DL166" s="1114"/>
      <c r="DM166" s="1114"/>
      <c r="DN166" s="1114"/>
      <c r="DO166" s="1114"/>
      <c r="DP166" s="1114"/>
      <c r="DQ166" s="1114"/>
      <c r="DR166" s="1114"/>
      <c r="DS166" s="1114"/>
      <c r="DT166" s="1114"/>
      <c r="DU166" s="1114"/>
      <c r="DV166" s="1115"/>
      <c r="DW166" s="1116"/>
      <c r="DX166" s="1116"/>
      <c r="DY166" s="1116"/>
      <c r="DZ166" s="1116"/>
      <c r="EA166" s="1116"/>
      <c r="EB166" s="1116"/>
      <c r="EC166" s="1116"/>
      <c r="ED166" s="1116"/>
      <c r="EE166" s="1116"/>
      <c r="EF166" s="1116"/>
      <c r="EG166" s="1116"/>
      <c r="EH166" s="1116"/>
      <c r="EI166" s="1116"/>
      <c r="EJ166" s="1116"/>
      <c r="EK166" s="1116"/>
      <c r="EL166" s="1116"/>
      <c r="EM166" s="1116"/>
      <c r="EN166" s="1116"/>
      <c r="EO166" s="1116"/>
      <c r="EP166" s="1116"/>
      <c r="EQ166" s="1116"/>
      <c r="ER166" s="1116"/>
      <c r="ES166" s="1116"/>
    </row>
    <row r="167" spans="1:149" ht="15" customHeight="1">
      <c r="A167" s="1799">
        <v>152</v>
      </c>
      <c r="B167" s="1041"/>
      <c r="C167" s="1050"/>
      <c r="D167" s="1050"/>
      <c r="E167" s="1050"/>
      <c r="F167" s="1049"/>
      <c r="G167" s="1457"/>
      <c r="H167" s="1049"/>
      <c r="I167" s="1049"/>
      <c r="J167" s="1050"/>
      <c r="K167" s="1050"/>
      <c r="L167" s="1043"/>
      <c r="M167" s="1051"/>
      <c r="N167" s="1051"/>
      <c r="O167" s="1052"/>
      <c r="P167" s="1051"/>
      <c r="Q167" s="1051"/>
      <c r="R167" s="1052"/>
      <c r="S167" s="1051"/>
      <c r="T167" s="1051"/>
      <c r="U167" s="1052"/>
      <c r="V167" s="1051"/>
      <c r="W167" s="1051"/>
      <c r="X167" s="1052"/>
      <c r="Y167" s="1053"/>
      <c r="Z167" s="1051"/>
      <c r="AA167" s="1051"/>
      <c r="AB167" s="1052"/>
      <c r="AC167" s="1051"/>
      <c r="AD167" s="1051"/>
      <c r="AE167" s="1052"/>
      <c r="AF167" s="1051"/>
      <c r="AG167" s="1051"/>
      <c r="AH167" s="1051"/>
      <c r="AI167" s="1051"/>
      <c r="AJ167" s="1052"/>
      <c r="AK167" s="1051"/>
      <c r="AL167" s="1051"/>
      <c r="AM167" s="1052"/>
      <c r="AN167" s="1051"/>
      <c r="AO167" s="1051"/>
      <c r="AP167" s="1052"/>
      <c r="AQ167" s="1051"/>
      <c r="AR167" s="1051"/>
      <c r="AS167" s="1052"/>
      <c r="AT167" s="1051"/>
      <c r="AU167" s="1051"/>
      <c r="AV167" s="1052"/>
      <c r="AW167" s="1051"/>
      <c r="AX167" s="1051"/>
      <c r="AY167" s="1053"/>
      <c r="AZ167" s="1051"/>
      <c r="BA167" s="1051"/>
      <c r="BB167" s="1053"/>
      <c r="BC167" s="1051"/>
      <c r="BD167" s="1051"/>
      <c r="BE167" s="1053"/>
      <c r="BF167" s="1051"/>
      <c r="BG167" s="1051"/>
      <c r="BH167" s="1053"/>
      <c r="BI167" s="1052"/>
      <c r="BJ167" s="1052"/>
      <c r="BK167" s="1052"/>
      <c r="BL167" s="1052"/>
      <c r="BM167" s="1052"/>
      <c r="BN167" s="1054"/>
      <c r="BO167" s="1076">
        <f t="shared" si="13"/>
        <v>0</v>
      </c>
      <c r="BP167" s="1051"/>
      <c r="BQ167" s="1052"/>
      <c r="BR167" s="1054"/>
      <c r="BS167" s="1053"/>
      <c r="BT167" s="1051"/>
      <c r="BU167" s="1051"/>
      <c r="BV167" s="1051"/>
      <c r="BW167" s="1052"/>
      <c r="BX167" s="1052"/>
      <c r="BY167" s="1052"/>
      <c r="BZ167" s="1052"/>
      <c r="CA167" s="1052"/>
      <c r="CB167" s="1053"/>
      <c r="CC167" s="1053"/>
      <c r="CD167" s="1053"/>
      <c r="CE167" s="1053"/>
      <c r="CF167" s="1053"/>
      <c r="CG167" s="1053"/>
      <c r="CH167" s="1053"/>
      <c r="CI167" s="1123"/>
      <c r="CJ167" s="1123"/>
      <c r="CK167" s="1123"/>
      <c r="CL167" s="1123"/>
      <c r="CM167" s="1123"/>
      <c r="CN167" s="1123"/>
      <c r="CO167" s="1123"/>
      <c r="CP167" s="1123"/>
      <c r="CQ167" s="1123"/>
      <c r="CR167" s="1123"/>
      <c r="CS167" s="1123"/>
      <c r="CT167" s="1123"/>
      <c r="CU167" s="1123"/>
      <c r="CV167" s="1123"/>
      <c r="CW167" s="1123"/>
      <c r="CX167" s="1123"/>
      <c r="CY167" s="1123"/>
      <c r="CZ167" s="1114"/>
      <c r="DA167" s="1114"/>
      <c r="DB167" s="1114"/>
      <c r="DC167" s="1114"/>
      <c r="DD167" s="1114"/>
      <c r="DE167" s="1114"/>
      <c r="DF167" s="1114"/>
      <c r="DG167" s="1114"/>
      <c r="DH167" s="1114"/>
      <c r="DI167" s="1114"/>
      <c r="DJ167" s="1114"/>
      <c r="DK167" s="1114"/>
      <c r="DL167" s="1114"/>
      <c r="DM167" s="1114"/>
      <c r="DN167" s="1114"/>
      <c r="DO167" s="1114"/>
      <c r="DP167" s="1114"/>
      <c r="DQ167" s="1114"/>
      <c r="DR167" s="1114"/>
      <c r="DS167" s="1114"/>
      <c r="DT167" s="1114"/>
      <c r="DU167" s="1114"/>
      <c r="DV167" s="1115"/>
      <c r="DW167" s="1116"/>
      <c r="DX167" s="1116"/>
      <c r="DY167" s="1116"/>
      <c r="DZ167" s="1116"/>
      <c r="EA167" s="1116"/>
      <c r="EB167" s="1116"/>
      <c r="EC167" s="1116"/>
      <c r="ED167" s="1116"/>
      <c r="EE167" s="1116"/>
      <c r="EF167" s="1116"/>
      <c r="EG167" s="1116"/>
      <c r="EH167" s="1116"/>
      <c r="EI167" s="1116"/>
      <c r="EJ167" s="1116"/>
      <c r="EK167" s="1116"/>
      <c r="EL167" s="1116"/>
      <c r="EM167" s="1116"/>
      <c r="EN167" s="1116"/>
      <c r="EO167" s="1116"/>
      <c r="EP167" s="1116"/>
      <c r="EQ167" s="1116"/>
      <c r="ER167" s="1116"/>
      <c r="ES167" s="1116"/>
    </row>
    <row r="168" spans="1:149" ht="15" customHeight="1">
      <c r="A168" s="1799">
        <v>153</v>
      </c>
      <c r="B168" s="1041"/>
      <c r="C168" s="1050"/>
      <c r="D168" s="1050"/>
      <c r="E168" s="1050"/>
      <c r="F168" s="1049"/>
      <c r="G168" s="1457"/>
      <c r="H168" s="1049"/>
      <c r="I168" s="1049"/>
      <c r="J168" s="1050"/>
      <c r="K168" s="1050"/>
      <c r="L168" s="1043"/>
      <c r="M168" s="1051"/>
      <c r="N168" s="1051"/>
      <c r="O168" s="1052"/>
      <c r="P168" s="1051"/>
      <c r="Q168" s="1051"/>
      <c r="R168" s="1052"/>
      <c r="S168" s="1051"/>
      <c r="T168" s="1051"/>
      <c r="U168" s="1052"/>
      <c r="V168" s="1051"/>
      <c r="W168" s="1051"/>
      <c r="X168" s="1052"/>
      <c r="Y168" s="1053"/>
      <c r="Z168" s="1051"/>
      <c r="AA168" s="1051"/>
      <c r="AB168" s="1052"/>
      <c r="AC168" s="1051"/>
      <c r="AD168" s="1051"/>
      <c r="AE168" s="1052"/>
      <c r="AF168" s="1051"/>
      <c r="AG168" s="1051"/>
      <c r="AH168" s="1051"/>
      <c r="AI168" s="1051"/>
      <c r="AJ168" s="1052"/>
      <c r="AK168" s="1051"/>
      <c r="AL168" s="1051"/>
      <c r="AM168" s="1052"/>
      <c r="AN168" s="1051"/>
      <c r="AO168" s="1051"/>
      <c r="AP168" s="1052"/>
      <c r="AQ168" s="1051"/>
      <c r="AR168" s="1051"/>
      <c r="AS168" s="1052"/>
      <c r="AT168" s="1051"/>
      <c r="AU168" s="1051"/>
      <c r="AV168" s="1052"/>
      <c r="AW168" s="1051"/>
      <c r="AX168" s="1051"/>
      <c r="AY168" s="1053"/>
      <c r="AZ168" s="1051"/>
      <c r="BA168" s="1051"/>
      <c r="BB168" s="1053"/>
      <c r="BC168" s="1051"/>
      <c r="BD168" s="1051"/>
      <c r="BE168" s="1053"/>
      <c r="BF168" s="1051"/>
      <c r="BG168" s="1051"/>
      <c r="BH168" s="1053"/>
      <c r="BI168" s="1052"/>
      <c r="BJ168" s="1052"/>
      <c r="BK168" s="1052"/>
      <c r="BL168" s="1052"/>
      <c r="BM168" s="1052"/>
      <c r="BN168" s="1054"/>
      <c r="BO168" s="1076">
        <f t="shared" si="13"/>
        <v>0</v>
      </c>
      <c r="BP168" s="1051"/>
      <c r="BQ168" s="1052"/>
      <c r="BR168" s="1054"/>
      <c r="BS168" s="1053"/>
      <c r="BT168" s="1051"/>
      <c r="BU168" s="1051"/>
      <c r="BV168" s="1051"/>
      <c r="BW168" s="1052"/>
      <c r="BX168" s="1052"/>
      <c r="BY168" s="1052"/>
      <c r="BZ168" s="1052"/>
      <c r="CA168" s="1052"/>
      <c r="CB168" s="1053"/>
      <c r="CC168" s="1053"/>
      <c r="CD168" s="1053"/>
      <c r="CE168" s="1053"/>
      <c r="CF168" s="1053"/>
      <c r="CG168" s="1053"/>
      <c r="CH168" s="1053"/>
      <c r="CI168" s="1123"/>
      <c r="CJ168" s="1123"/>
      <c r="CK168" s="1123"/>
      <c r="CL168" s="1123"/>
      <c r="CM168" s="1123"/>
      <c r="CN168" s="1123"/>
      <c r="CO168" s="1123"/>
      <c r="CP168" s="1123"/>
      <c r="CQ168" s="1123"/>
      <c r="CR168" s="1123"/>
      <c r="CS168" s="1123"/>
      <c r="CT168" s="1123"/>
      <c r="CU168" s="1123"/>
      <c r="CV168" s="1123"/>
      <c r="CW168" s="1123"/>
      <c r="CX168" s="1123"/>
      <c r="CY168" s="1123"/>
      <c r="CZ168" s="1114"/>
      <c r="DA168" s="1114"/>
      <c r="DB168" s="1114"/>
      <c r="DC168" s="1114"/>
      <c r="DD168" s="1114"/>
      <c r="DE168" s="1114"/>
      <c r="DF168" s="1114"/>
      <c r="DG168" s="1114"/>
      <c r="DH168" s="1114"/>
      <c r="DI168" s="1114"/>
      <c r="DJ168" s="1114"/>
      <c r="DK168" s="1114"/>
      <c r="DL168" s="1114"/>
      <c r="DM168" s="1114"/>
      <c r="DN168" s="1114"/>
      <c r="DO168" s="1114"/>
      <c r="DP168" s="1114"/>
      <c r="DQ168" s="1114"/>
      <c r="DR168" s="1114"/>
      <c r="DS168" s="1114"/>
      <c r="DT168" s="1114"/>
      <c r="DU168" s="1114"/>
      <c r="DV168" s="1115"/>
      <c r="DW168" s="1116"/>
      <c r="DX168" s="1116"/>
      <c r="DY168" s="1116"/>
      <c r="DZ168" s="1116"/>
      <c r="EA168" s="1116"/>
      <c r="EB168" s="1116"/>
      <c r="EC168" s="1116"/>
      <c r="ED168" s="1116"/>
      <c r="EE168" s="1116"/>
      <c r="EF168" s="1116"/>
      <c r="EG168" s="1116"/>
      <c r="EH168" s="1116"/>
      <c r="EI168" s="1116"/>
      <c r="EJ168" s="1116"/>
      <c r="EK168" s="1116"/>
      <c r="EL168" s="1116"/>
      <c r="EM168" s="1116"/>
      <c r="EN168" s="1116"/>
      <c r="EO168" s="1116"/>
      <c r="EP168" s="1116"/>
      <c r="EQ168" s="1116"/>
      <c r="ER168" s="1116"/>
      <c r="ES168" s="1116"/>
    </row>
    <row r="169" spans="1:149" ht="15" customHeight="1">
      <c r="A169" s="1799">
        <v>154</v>
      </c>
      <c r="B169" s="1041"/>
      <c r="C169" s="1050"/>
      <c r="D169" s="1050"/>
      <c r="E169" s="1050"/>
      <c r="F169" s="1049"/>
      <c r="G169" s="1457"/>
      <c r="H169" s="1049"/>
      <c r="I169" s="1049"/>
      <c r="J169" s="1050"/>
      <c r="K169" s="1050"/>
      <c r="L169" s="1043"/>
      <c r="M169" s="1051"/>
      <c r="N169" s="1051"/>
      <c r="O169" s="1052"/>
      <c r="P169" s="1051"/>
      <c r="Q169" s="1051"/>
      <c r="R169" s="1052"/>
      <c r="S169" s="1051"/>
      <c r="T169" s="1051"/>
      <c r="U169" s="1052"/>
      <c r="V169" s="1051"/>
      <c r="W169" s="1051"/>
      <c r="X169" s="1052"/>
      <c r="Y169" s="1053"/>
      <c r="Z169" s="1051"/>
      <c r="AA169" s="1051"/>
      <c r="AB169" s="1052"/>
      <c r="AC169" s="1051"/>
      <c r="AD169" s="1051"/>
      <c r="AE169" s="1052"/>
      <c r="AF169" s="1051"/>
      <c r="AG169" s="1051"/>
      <c r="AH169" s="1051"/>
      <c r="AI169" s="1051"/>
      <c r="AJ169" s="1052"/>
      <c r="AK169" s="1051"/>
      <c r="AL169" s="1051"/>
      <c r="AM169" s="1052"/>
      <c r="AN169" s="1051"/>
      <c r="AO169" s="1051"/>
      <c r="AP169" s="1052"/>
      <c r="AQ169" s="1051"/>
      <c r="AR169" s="1051"/>
      <c r="AS169" s="1052"/>
      <c r="AT169" s="1051"/>
      <c r="AU169" s="1051"/>
      <c r="AV169" s="1052"/>
      <c r="AW169" s="1051"/>
      <c r="AX169" s="1051"/>
      <c r="AY169" s="1053"/>
      <c r="AZ169" s="1051"/>
      <c r="BA169" s="1051"/>
      <c r="BB169" s="1053"/>
      <c r="BC169" s="1051"/>
      <c r="BD169" s="1051"/>
      <c r="BE169" s="1053"/>
      <c r="BF169" s="1051"/>
      <c r="BG169" s="1051"/>
      <c r="BH169" s="1053"/>
      <c r="BI169" s="1052"/>
      <c r="BJ169" s="1052"/>
      <c r="BK169" s="1052"/>
      <c r="BL169" s="1052"/>
      <c r="BM169" s="1052"/>
      <c r="BN169" s="1054"/>
      <c r="BO169" s="1076">
        <f t="shared" si="13"/>
        <v>0</v>
      </c>
      <c r="BP169" s="1051"/>
      <c r="BQ169" s="1052"/>
      <c r="BR169" s="1054"/>
      <c r="BS169" s="1053"/>
      <c r="BT169" s="1051"/>
      <c r="BU169" s="1051"/>
      <c r="BV169" s="1051"/>
      <c r="BW169" s="1052"/>
      <c r="BX169" s="1052"/>
      <c r="BY169" s="1052"/>
      <c r="BZ169" s="1052"/>
      <c r="CA169" s="1052"/>
      <c r="CB169" s="1053"/>
      <c r="CC169" s="1053"/>
      <c r="CD169" s="1053"/>
      <c r="CE169" s="1053"/>
      <c r="CF169" s="1053"/>
      <c r="CG169" s="1053"/>
      <c r="CH169" s="1053"/>
      <c r="CI169" s="1123"/>
      <c r="CJ169" s="1123"/>
      <c r="CK169" s="1123"/>
      <c r="CL169" s="1123"/>
      <c r="CM169" s="1123"/>
      <c r="CN169" s="1123"/>
      <c r="CO169" s="1123"/>
      <c r="CP169" s="1123"/>
      <c r="CQ169" s="1123"/>
      <c r="CR169" s="1123"/>
      <c r="CS169" s="1123"/>
      <c r="CT169" s="1123"/>
      <c r="CU169" s="1123"/>
      <c r="CV169" s="1123"/>
      <c r="CW169" s="1123"/>
      <c r="CX169" s="1123"/>
      <c r="CY169" s="1123"/>
      <c r="CZ169" s="1114"/>
      <c r="DA169" s="1114"/>
      <c r="DB169" s="1114"/>
      <c r="DC169" s="1114"/>
      <c r="DD169" s="1114"/>
      <c r="DE169" s="1114"/>
      <c r="DF169" s="1114"/>
      <c r="DG169" s="1114"/>
      <c r="DH169" s="1114"/>
      <c r="DI169" s="1114"/>
      <c r="DJ169" s="1114"/>
      <c r="DK169" s="1114"/>
      <c r="DL169" s="1114"/>
      <c r="DM169" s="1114"/>
      <c r="DN169" s="1114"/>
      <c r="DO169" s="1114"/>
      <c r="DP169" s="1114"/>
      <c r="DQ169" s="1114"/>
      <c r="DR169" s="1114"/>
      <c r="DS169" s="1114"/>
      <c r="DT169" s="1114"/>
      <c r="DU169" s="1114"/>
      <c r="DV169" s="1115"/>
      <c r="DW169" s="1116"/>
      <c r="DX169" s="1116"/>
      <c r="DY169" s="1116"/>
      <c r="DZ169" s="1116"/>
      <c r="EA169" s="1116"/>
      <c r="EB169" s="1116"/>
      <c r="EC169" s="1116"/>
      <c r="ED169" s="1116"/>
      <c r="EE169" s="1116"/>
      <c r="EF169" s="1116"/>
      <c r="EG169" s="1116"/>
      <c r="EH169" s="1116"/>
      <c r="EI169" s="1116"/>
      <c r="EJ169" s="1116"/>
      <c r="EK169" s="1116"/>
      <c r="EL169" s="1116"/>
      <c r="EM169" s="1116"/>
      <c r="EN169" s="1116"/>
      <c r="EO169" s="1116"/>
      <c r="EP169" s="1116"/>
      <c r="EQ169" s="1116"/>
      <c r="ER169" s="1116"/>
      <c r="ES169" s="1116"/>
    </row>
    <row r="170" spans="1:149" ht="15" customHeight="1">
      <c r="A170" s="1799">
        <v>155</v>
      </c>
      <c r="B170" s="1041"/>
      <c r="C170" s="1050"/>
      <c r="D170" s="1050"/>
      <c r="E170" s="1050"/>
      <c r="F170" s="1049"/>
      <c r="G170" s="1457"/>
      <c r="H170" s="1049"/>
      <c r="I170" s="1049"/>
      <c r="J170" s="1050"/>
      <c r="K170" s="1050"/>
      <c r="L170" s="1043"/>
      <c r="M170" s="1051"/>
      <c r="N170" s="1051"/>
      <c r="O170" s="1052"/>
      <c r="P170" s="1051"/>
      <c r="Q170" s="1051"/>
      <c r="R170" s="1052"/>
      <c r="S170" s="1051"/>
      <c r="T170" s="1051"/>
      <c r="U170" s="1052"/>
      <c r="V170" s="1051"/>
      <c r="W170" s="1051"/>
      <c r="X170" s="1052"/>
      <c r="Y170" s="1053"/>
      <c r="Z170" s="1051"/>
      <c r="AA170" s="1051"/>
      <c r="AB170" s="1052"/>
      <c r="AC170" s="1051"/>
      <c r="AD170" s="1051"/>
      <c r="AE170" s="1052"/>
      <c r="AF170" s="1051"/>
      <c r="AG170" s="1051"/>
      <c r="AH170" s="1051"/>
      <c r="AI170" s="1051"/>
      <c r="AJ170" s="1052"/>
      <c r="AK170" s="1051"/>
      <c r="AL170" s="1051"/>
      <c r="AM170" s="1052"/>
      <c r="AN170" s="1051"/>
      <c r="AO170" s="1051"/>
      <c r="AP170" s="1052"/>
      <c r="AQ170" s="1051"/>
      <c r="AR170" s="1051"/>
      <c r="AS170" s="1052"/>
      <c r="AT170" s="1051"/>
      <c r="AU170" s="1051"/>
      <c r="AV170" s="1052"/>
      <c r="AW170" s="1051"/>
      <c r="AX170" s="1051"/>
      <c r="AY170" s="1053"/>
      <c r="AZ170" s="1051"/>
      <c r="BA170" s="1051"/>
      <c r="BB170" s="1053"/>
      <c r="BC170" s="1051"/>
      <c r="BD170" s="1051"/>
      <c r="BE170" s="1053"/>
      <c r="BF170" s="1051"/>
      <c r="BG170" s="1051"/>
      <c r="BH170" s="1053"/>
      <c r="BI170" s="1052"/>
      <c r="BJ170" s="1052"/>
      <c r="BK170" s="1052"/>
      <c r="BL170" s="1052"/>
      <c r="BM170" s="1052"/>
      <c r="BN170" s="1054"/>
      <c r="BO170" s="1076">
        <f t="shared" si="13"/>
        <v>0</v>
      </c>
      <c r="BP170" s="1051"/>
      <c r="BQ170" s="1052"/>
      <c r="BR170" s="1054"/>
      <c r="BS170" s="1053"/>
      <c r="BT170" s="1051"/>
      <c r="BU170" s="1051"/>
      <c r="BV170" s="1051"/>
      <c r="BW170" s="1052"/>
      <c r="BX170" s="1052"/>
      <c r="BY170" s="1052"/>
      <c r="BZ170" s="1052"/>
      <c r="CA170" s="1052"/>
      <c r="CB170" s="1053"/>
      <c r="CC170" s="1053"/>
      <c r="CD170" s="1053"/>
      <c r="CE170" s="1053"/>
      <c r="CF170" s="1053"/>
      <c r="CG170" s="1053"/>
      <c r="CH170" s="1053"/>
      <c r="CI170" s="1123"/>
      <c r="CJ170" s="1123"/>
      <c r="CK170" s="1123"/>
      <c r="CL170" s="1123"/>
      <c r="CM170" s="1123"/>
      <c r="CN170" s="1123"/>
      <c r="CO170" s="1123"/>
      <c r="CP170" s="1123"/>
      <c r="CQ170" s="1123"/>
      <c r="CR170" s="1123"/>
      <c r="CS170" s="1123"/>
      <c r="CT170" s="1123"/>
      <c r="CU170" s="1123"/>
      <c r="CV170" s="1123"/>
      <c r="CW170" s="1123"/>
      <c r="CX170" s="1123"/>
      <c r="CY170" s="1123"/>
      <c r="CZ170" s="1114"/>
      <c r="DA170" s="1114"/>
      <c r="DB170" s="1114"/>
      <c r="DC170" s="1114"/>
      <c r="DD170" s="1114"/>
      <c r="DE170" s="1114"/>
      <c r="DF170" s="1114"/>
      <c r="DG170" s="1114"/>
      <c r="DH170" s="1114"/>
      <c r="DI170" s="1114"/>
      <c r="DJ170" s="1114"/>
      <c r="DK170" s="1114"/>
      <c r="DL170" s="1114"/>
      <c r="DM170" s="1114"/>
      <c r="DN170" s="1114"/>
      <c r="DO170" s="1114"/>
      <c r="DP170" s="1114"/>
      <c r="DQ170" s="1114"/>
      <c r="DR170" s="1114"/>
      <c r="DS170" s="1114"/>
      <c r="DT170" s="1114"/>
      <c r="DU170" s="1114"/>
      <c r="DV170" s="1115"/>
      <c r="DW170" s="1116"/>
      <c r="DX170" s="1116"/>
      <c r="DY170" s="1116"/>
      <c r="DZ170" s="1116"/>
      <c r="EA170" s="1116"/>
      <c r="EB170" s="1116"/>
      <c r="EC170" s="1116"/>
      <c r="ED170" s="1116"/>
      <c r="EE170" s="1116"/>
      <c r="EF170" s="1116"/>
      <c r="EG170" s="1116"/>
      <c r="EH170" s="1116"/>
      <c r="EI170" s="1116"/>
      <c r="EJ170" s="1116"/>
      <c r="EK170" s="1116"/>
      <c r="EL170" s="1116"/>
      <c r="EM170" s="1116"/>
      <c r="EN170" s="1116"/>
      <c r="EO170" s="1116"/>
      <c r="EP170" s="1116"/>
      <c r="EQ170" s="1116"/>
      <c r="ER170" s="1116"/>
      <c r="ES170" s="1116"/>
    </row>
    <row r="171" spans="1:149" ht="15" customHeight="1">
      <c r="A171" s="1799">
        <v>156</v>
      </c>
      <c r="B171" s="1041"/>
      <c r="C171" s="1050"/>
      <c r="D171" s="1050"/>
      <c r="E171" s="1050"/>
      <c r="F171" s="1049"/>
      <c r="G171" s="1457"/>
      <c r="H171" s="1049"/>
      <c r="I171" s="1049"/>
      <c r="J171" s="1050"/>
      <c r="K171" s="1050"/>
      <c r="L171" s="1043"/>
      <c r="M171" s="1051"/>
      <c r="N171" s="1051"/>
      <c r="O171" s="1052"/>
      <c r="P171" s="1051"/>
      <c r="Q171" s="1051"/>
      <c r="R171" s="1052"/>
      <c r="S171" s="1051"/>
      <c r="T171" s="1051"/>
      <c r="U171" s="1052"/>
      <c r="V171" s="1051"/>
      <c r="W171" s="1051"/>
      <c r="X171" s="1052"/>
      <c r="Y171" s="1053"/>
      <c r="Z171" s="1051"/>
      <c r="AA171" s="1051"/>
      <c r="AB171" s="1052"/>
      <c r="AC171" s="1051"/>
      <c r="AD171" s="1051"/>
      <c r="AE171" s="1052"/>
      <c r="AF171" s="1051"/>
      <c r="AG171" s="1051"/>
      <c r="AH171" s="1051"/>
      <c r="AI171" s="1051"/>
      <c r="AJ171" s="1052"/>
      <c r="AK171" s="1051"/>
      <c r="AL171" s="1051"/>
      <c r="AM171" s="1052"/>
      <c r="AN171" s="1051"/>
      <c r="AO171" s="1051"/>
      <c r="AP171" s="1052"/>
      <c r="AQ171" s="1051"/>
      <c r="AR171" s="1051"/>
      <c r="AS171" s="1052"/>
      <c r="AT171" s="1051"/>
      <c r="AU171" s="1051"/>
      <c r="AV171" s="1052"/>
      <c r="AW171" s="1051"/>
      <c r="AX171" s="1051"/>
      <c r="AY171" s="1053"/>
      <c r="AZ171" s="1051"/>
      <c r="BA171" s="1051"/>
      <c r="BB171" s="1053"/>
      <c r="BC171" s="1051"/>
      <c r="BD171" s="1051"/>
      <c r="BE171" s="1053"/>
      <c r="BF171" s="1051"/>
      <c r="BG171" s="1051"/>
      <c r="BH171" s="1053"/>
      <c r="BI171" s="1052"/>
      <c r="BJ171" s="1052"/>
      <c r="BK171" s="1052"/>
      <c r="BL171" s="1052"/>
      <c r="BM171" s="1052"/>
      <c r="BN171" s="1054"/>
      <c r="BO171" s="1076">
        <f t="shared" si="13"/>
        <v>0</v>
      </c>
      <c r="BP171" s="1051"/>
      <c r="BQ171" s="1052"/>
      <c r="BR171" s="1054"/>
      <c r="BS171" s="1053"/>
      <c r="BT171" s="1051"/>
      <c r="BU171" s="1051"/>
      <c r="BV171" s="1051"/>
      <c r="BW171" s="1052"/>
      <c r="BX171" s="1052"/>
      <c r="BY171" s="1052"/>
      <c r="BZ171" s="1052"/>
      <c r="CA171" s="1052"/>
      <c r="CB171" s="1053"/>
      <c r="CC171" s="1053"/>
      <c r="CD171" s="1053"/>
      <c r="CE171" s="1053"/>
      <c r="CF171" s="1053"/>
      <c r="CG171" s="1053"/>
      <c r="CH171" s="1053"/>
      <c r="CI171" s="1123"/>
      <c r="CJ171" s="1123"/>
      <c r="CK171" s="1123"/>
      <c r="CL171" s="1123"/>
      <c r="CM171" s="1123"/>
      <c r="CN171" s="1123"/>
      <c r="CO171" s="1123"/>
      <c r="CP171" s="1123"/>
      <c r="CQ171" s="1123"/>
      <c r="CR171" s="1123"/>
      <c r="CS171" s="1123"/>
      <c r="CT171" s="1123"/>
      <c r="CU171" s="1123"/>
      <c r="CV171" s="1123"/>
      <c r="CW171" s="1123"/>
      <c r="CX171" s="1123"/>
      <c r="CY171" s="1123"/>
      <c r="CZ171" s="1114"/>
      <c r="DA171" s="1114"/>
      <c r="DB171" s="1114"/>
      <c r="DC171" s="1114"/>
      <c r="DD171" s="1114"/>
      <c r="DE171" s="1114"/>
      <c r="DF171" s="1114"/>
      <c r="DG171" s="1114"/>
      <c r="DH171" s="1114"/>
      <c r="DI171" s="1114"/>
      <c r="DJ171" s="1114"/>
      <c r="DK171" s="1114"/>
      <c r="DL171" s="1114"/>
      <c r="DM171" s="1114"/>
      <c r="DN171" s="1114"/>
      <c r="DO171" s="1114"/>
      <c r="DP171" s="1114"/>
      <c r="DQ171" s="1114"/>
      <c r="DR171" s="1114"/>
      <c r="DS171" s="1114"/>
      <c r="DT171" s="1114"/>
      <c r="DU171" s="1114"/>
      <c r="DV171" s="1115"/>
      <c r="DW171" s="1116"/>
      <c r="DX171" s="1116"/>
      <c r="DY171" s="1116"/>
      <c r="DZ171" s="1116"/>
      <c r="EA171" s="1116"/>
      <c r="EB171" s="1116"/>
      <c r="EC171" s="1116"/>
      <c r="ED171" s="1116"/>
      <c r="EE171" s="1116"/>
      <c r="EF171" s="1116"/>
      <c r="EG171" s="1116"/>
      <c r="EH171" s="1116"/>
      <c r="EI171" s="1116"/>
      <c r="EJ171" s="1116"/>
      <c r="EK171" s="1116"/>
      <c r="EL171" s="1116"/>
      <c r="EM171" s="1116"/>
      <c r="EN171" s="1116"/>
      <c r="EO171" s="1116"/>
      <c r="EP171" s="1116"/>
      <c r="EQ171" s="1116"/>
      <c r="ER171" s="1116"/>
      <c r="ES171" s="1116"/>
    </row>
    <row r="172" spans="1:149" ht="15" customHeight="1">
      <c r="A172" s="1799">
        <v>157</v>
      </c>
      <c r="B172" s="1041"/>
      <c r="C172" s="1050"/>
      <c r="D172" s="1050"/>
      <c r="E172" s="1050"/>
      <c r="F172" s="1049"/>
      <c r="G172" s="1457"/>
      <c r="H172" s="1049"/>
      <c r="I172" s="1049"/>
      <c r="J172" s="1050"/>
      <c r="K172" s="1050"/>
      <c r="L172" s="1043"/>
      <c r="M172" s="1051"/>
      <c r="N172" s="1051"/>
      <c r="O172" s="1052"/>
      <c r="P172" s="1051"/>
      <c r="Q172" s="1051"/>
      <c r="R172" s="1052"/>
      <c r="S172" s="1051"/>
      <c r="T172" s="1051"/>
      <c r="U172" s="1052"/>
      <c r="V172" s="1051"/>
      <c r="W172" s="1051"/>
      <c r="X172" s="1052"/>
      <c r="Y172" s="1053"/>
      <c r="Z172" s="1051"/>
      <c r="AA172" s="1051"/>
      <c r="AB172" s="1052"/>
      <c r="AC172" s="1051"/>
      <c r="AD172" s="1051"/>
      <c r="AE172" s="1052"/>
      <c r="AF172" s="1051"/>
      <c r="AG172" s="1051"/>
      <c r="AH172" s="1051"/>
      <c r="AI172" s="1051"/>
      <c r="AJ172" s="1052"/>
      <c r="AK172" s="1051"/>
      <c r="AL172" s="1051"/>
      <c r="AM172" s="1052"/>
      <c r="AN172" s="1051"/>
      <c r="AO172" s="1051"/>
      <c r="AP172" s="1052"/>
      <c r="AQ172" s="1051"/>
      <c r="AR172" s="1051"/>
      <c r="AS172" s="1052"/>
      <c r="AT172" s="1051"/>
      <c r="AU172" s="1051"/>
      <c r="AV172" s="1052"/>
      <c r="AW172" s="1051"/>
      <c r="AX172" s="1051"/>
      <c r="AY172" s="1053"/>
      <c r="AZ172" s="1051"/>
      <c r="BA172" s="1051"/>
      <c r="BB172" s="1053"/>
      <c r="BC172" s="1051"/>
      <c r="BD172" s="1051"/>
      <c r="BE172" s="1053"/>
      <c r="BF172" s="1051"/>
      <c r="BG172" s="1051"/>
      <c r="BH172" s="1053"/>
      <c r="BI172" s="1052"/>
      <c r="BJ172" s="1052"/>
      <c r="BK172" s="1052"/>
      <c r="BL172" s="1052"/>
      <c r="BM172" s="1052"/>
      <c r="BN172" s="1054"/>
      <c r="BO172" s="1076">
        <f t="shared" si="13"/>
        <v>0</v>
      </c>
      <c r="BP172" s="1051"/>
      <c r="BQ172" s="1052"/>
      <c r="BR172" s="1054"/>
      <c r="BS172" s="1053"/>
      <c r="BT172" s="1051"/>
      <c r="BU172" s="1051"/>
      <c r="BV172" s="1051"/>
      <c r="BW172" s="1052"/>
      <c r="BX172" s="1052"/>
      <c r="BY172" s="1052"/>
      <c r="BZ172" s="1052"/>
      <c r="CA172" s="1052"/>
      <c r="CB172" s="1053"/>
      <c r="CC172" s="1053"/>
      <c r="CD172" s="1053"/>
      <c r="CE172" s="1053"/>
      <c r="CF172" s="1053"/>
      <c r="CG172" s="1053"/>
      <c r="CH172" s="1053"/>
      <c r="CI172" s="1123"/>
      <c r="CJ172" s="1123"/>
      <c r="CK172" s="1123"/>
      <c r="CL172" s="1123"/>
      <c r="CM172" s="1123"/>
      <c r="CN172" s="1123"/>
      <c r="CO172" s="1123"/>
      <c r="CP172" s="1123"/>
      <c r="CQ172" s="1123"/>
      <c r="CR172" s="1123"/>
      <c r="CS172" s="1123"/>
      <c r="CT172" s="1123"/>
      <c r="CU172" s="1123"/>
      <c r="CV172" s="1123"/>
      <c r="CW172" s="1123"/>
      <c r="CX172" s="1123"/>
      <c r="CY172" s="1123"/>
      <c r="CZ172" s="1114"/>
      <c r="DA172" s="1114"/>
      <c r="DB172" s="1114"/>
      <c r="DC172" s="1114"/>
      <c r="DD172" s="1114"/>
      <c r="DE172" s="1114"/>
      <c r="DF172" s="1114"/>
      <c r="DG172" s="1114"/>
      <c r="DH172" s="1114"/>
      <c r="DI172" s="1114"/>
      <c r="DJ172" s="1114"/>
      <c r="DK172" s="1114"/>
      <c r="DL172" s="1114"/>
      <c r="DM172" s="1114"/>
      <c r="DN172" s="1114"/>
      <c r="DO172" s="1114"/>
      <c r="DP172" s="1114"/>
      <c r="DQ172" s="1114"/>
      <c r="DR172" s="1114"/>
      <c r="DS172" s="1114"/>
      <c r="DT172" s="1114"/>
      <c r="DU172" s="1114"/>
      <c r="DV172" s="1115"/>
      <c r="DW172" s="1116"/>
      <c r="DX172" s="1116"/>
      <c r="DY172" s="1116"/>
      <c r="DZ172" s="1116"/>
      <c r="EA172" s="1116"/>
      <c r="EB172" s="1116"/>
      <c r="EC172" s="1116"/>
      <c r="ED172" s="1116"/>
      <c r="EE172" s="1116"/>
      <c r="EF172" s="1116"/>
      <c r="EG172" s="1116"/>
      <c r="EH172" s="1116"/>
      <c r="EI172" s="1116"/>
      <c r="EJ172" s="1116"/>
      <c r="EK172" s="1116"/>
      <c r="EL172" s="1116"/>
      <c r="EM172" s="1116"/>
      <c r="EN172" s="1116"/>
      <c r="EO172" s="1116"/>
      <c r="EP172" s="1116"/>
      <c r="EQ172" s="1116"/>
      <c r="ER172" s="1116"/>
      <c r="ES172" s="1116"/>
    </row>
    <row r="173" spans="1:149" ht="15" customHeight="1">
      <c r="A173" s="1799">
        <v>158</v>
      </c>
      <c r="B173" s="1041"/>
      <c r="C173" s="1050"/>
      <c r="D173" s="1050"/>
      <c r="E173" s="1050"/>
      <c r="F173" s="1049"/>
      <c r="G173" s="1457"/>
      <c r="H173" s="1049"/>
      <c r="I173" s="1049"/>
      <c r="J173" s="1050"/>
      <c r="K173" s="1050"/>
      <c r="L173" s="1043"/>
      <c r="M173" s="1051"/>
      <c r="N173" s="1051"/>
      <c r="O173" s="1052"/>
      <c r="P173" s="1051"/>
      <c r="Q173" s="1051"/>
      <c r="R173" s="1052"/>
      <c r="S173" s="1051"/>
      <c r="T173" s="1051"/>
      <c r="U173" s="1052"/>
      <c r="V173" s="1051"/>
      <c r="W173" s="1051"/>
      <c r="X173" s="1052"/>
      <c r="Y173" s="1053"/>
      <c r="Z173" s="1051"/>
      <c r="AA173" s="1051"/>
      <c r="AB173" s="1052"/>
      <c r="AC173" s="1051"/>
      <c r="AD173" s="1051"/>
      <c r="AE173" s="1052"/>
      <c r="AF173" s="1051"/>
      <c r="AG173" s="1051"/>
      <c r="AH173" s="1051"/>
      <c r="AI173" s="1051"/>
      <c r="AJ173" s="1052"/>
      <c r="AK173" s="1051"/>
      <c r="AL173" s="1051"/>
      <c r="AM173" s="1052"/>
      <c r="AN173" s="1051"/>
      <c r="AO173" s="1051"/>
      <c r="AP173" s="1052"/>
      <c r="AQ173" s="1051"/>
      <c r="AR173" s="1051"/>
      <c r="AS173" s="1052"/>
      <c r="AT173" s="1051"/>
      <c r="AU173" s="1051"/>
      <c r="AV173" s="1052"/>
      <c r="AW173" s="1051"/>
      <c r="AX173" s="1051"/>
      <c r="AY173" s="1053"/>
      <c r="AZ173" s="1051"/>
      <c r="BA173" s="1051"/>
      <c r="BB173" s="1053"/>
      <c r="BC173" s="1051"/>
      <c r="BD173" s="1051"/>
      <c r="BE173" s="1053"/>
      <c r="BF173" s="1051"/>
      <c r="BG173" s="1051"/>
      <c r="BH173" s="1053"/>
      <c r="BI173" s="1052"/>
      <c r="BJ173" s="1052"/>
      <c r="BK173" s="1052"/>
      <c r="BL173" s="1052"/>
      <c r="BM173" s="1052"/>
      <c r="BN173" s="1054"/>
      <c r="BO173" s="1076">
        <f t="shared" si="13"/>
        <v>0</v>
      </c>
      <c r="BP173" s="1051"/>
      <c r="BQ173" s="1052"/>
      <c r="BR173" s="1054"/>
      <c r="BS173" s="1053"/>
      <c r="BT173" s="1051"/>
      <c r="BU173" s="1051"/>
      <c r="BV173" s="1051"/>
      <c r="BW173" s="1052"/>
      <c r="BX173" s="1052"/>
      <c r="BY173" s="1052"/>
      <c r="BZ173" s="1052"/>
      <c r="CA173" s="1052"/>
      <c r="CB173" s="1053"/>
      <c r="CC173" s="1053"/>
      <c r="CD173" s="1053"/>
      <c r="CE173" s="1053"/>
      <c r="CF173" s="1053"/>
      <c r="CG173" s="1053"/>
      <c r="CH173" s="1053"/>
      <c r="CI173" s="1123"/>
      <c r="CJ173" s="1123"/>
      <c r="CK173" s="1123"/>
      <c r="CL173" s="1123"/>
      <c r="CM173" s="1123"/>
      <c r="CN173" s="1123"/>
      <c r="CO173" s="1123"/>
      <c r="CP173" s="1123"/>
      <c r="CQ173" s="1123"/>
      <c r="CR173" s="1123"/>
      <c r="CS173" s="1123"/>
      <c r="CT173" s="1123"/>
      <c r="CU173" s="1123"/>
      <c r="CV173" s="1123"/>
      <c r="CW173" s="1123"/>
      <c r="CX173" s="1123"/>
      <c r="CY173" s="1123"/>
      <c r="CZ173" s="1114"/>
      <c r="DA173" s="1114"/>
      <c r="DB173" s="1114"/>
      <c r="DC173" s="1114"/>
      <c r="DD173" s="1114"/>
      <c r="DE173" s="1114"/>
      <c r="DF173" s="1114"/>
      <c r="DG173" s="1114"/>
      <c r="DH173" s="1114"/>
      <c r="DI173" s="1114"/>
      <c r="DJ173" s="1114"/>
      <c r="DK173" s="1114"/>
      <c r="DL173" s="1114"/>
      <c r="DM173" s="1114"/>
      <c r="DN173" s="1114"/>
      <c r="DO173" s="1114"/>
      <c r="DP173" s="1114"/>
      <c r="DQ173" s="1114"/>
      <c r="DR173" s="1114"/>
      <c r="DS173" s="1114"/>
      <c r="DT173" s="1114"/>
      <c r="DU173" s="1114"/>
      <c r="DV173" s="1115"/>
      <c r="DW173" s="1116"/>
      <c r="DX173" s="1116"/>
      <c r="DY173" s="1116"/>
      <c r="DZ173" s="1116"/>
      <c r="EA173" s="1116"/>
      <c r="EB173" s="1116"/>
      <c r="EC173" s="1116"/>
      <c r="ED173" s="1116"/>
      <c r="EE173" s="1116"/>
      <c r="EF173" s="1116"/>
      <c r="EG173" s="1116"/>
      <c r="EH173" s="1116"/>
      <c r="EI173" s="1116"/>
      <c r="EJ173" s="1116"/>
      <c r="EK173" s="1116"/>
      <c r="EL173" s="1116"/>
      <c r="EM173" s="1116"/>
      <c r="EN173" s="1116"/>
      <c r="EO173" s="1116"/>
      <c r="EP173" s="1116"/>
      <c r="EQ173" s="1116"/>
      <c r="ER173" s="1116"/>
      <c r="ES173" s="1116"/>
    </row>
    <row r="174" spans="1:149" ht="15" customHeight="1">
      <c r="A174" s="1799">
        <v>159</v>
      </c>
      <c r="B174" s="1041"/>
      <c r="C174" s="1050"/>
      <c r="D174" s="1050"/>
      <c r="E174" s="1050"/>
      <c r="F174" s="1049"/>
      <c r="G174" s="1457"/>
      <c r="H174" s="1049"/>
      <c r="I174" s="1049"/>
      <c r="J174" s="1050"/>
      <c r="K174" s="1050"/>
      <c r="L174" s="1043"/>
      <c r="M174" s="1051"/>
      <c r="N174" s="1051"/>
      <c r="O174" s="1052"/>
      <c r="P174" s="1051"/>
      <c r="Q174" s="1051"/>
      <c r="R174" s="1052"/>
      <c r="S174" s="1051"/>
      <c r="T174" s="1051"/>
      <c r="U174" s="1052"/>
      <c r="V174" s="1051"/>
      <c r="W174" s="1051"/>
      <c r="X174" s="1052"/>
      <c r="Y174" s="1053"/>
      <c r="Z174" s="1051"/>
      <c r="AA174" s="1051"/>
      <c r="AB174" s="1052"/>
      <c r="AC174" s="1051"/>
      <c r="AD174" s="1051"/>
      <c r="AE174" s="1052"/>
      <c r="AF174" s="1051"/>
      <c r="AG174" s="1051"/>
      <c r="AH174" s="1051"/>
      <c r="AI174" s="1051"/>
      <c r="AJ174" s="1052"/>
      <c r="AK174" s="1051"/>
      <c r="AL174" s="1051"/>
      <c r="AM174" s="1052"/>
      <c r="AN174" s="1051"/>
      <c r="AO174" s="1051"/>
      <c r="AP174" s="1052"/>
      <c r="AQ174" s="1051"/>
      <c r="AR174" s="1051"/>
      <c r="AS174" s="1052"/>
      <c r="AT174" s="1051"/>
      <c r="AU174" s="1051"/>
      <c r="AV174" s="1052"/>
      <c r="AW174" s="1051"/>
      <c r="AX174" s="1051"/>
      <c r="AY174" s="1053"/>
      <c r="AZ174" s="1051"/>
      <c r="BA174" s="1051"/>
      <c r="BB174" s="1053"/>
      <c r="BC174" s="1051"/>
      <c r="BD174" s="1051"/>
      <c r="BE174" s="1053"/>
      <c r="BF174" s="1051"/>
      <c r="BG174" s="1051"/>
      <c r="BH174" s="1053"/>
      <c r="BI174" s="1052"/>
      <c r="BJ174" s="1052"/>
      <c r="BK174" s="1052"/>
      <c r="BL174" s="1052"/>
      <c r="BM174" s="1052"/>
      <c r="BN174" s="1054"/>
      <c r="BO174" s="1076">
        <f t="shared" si="13"/>
        <v>0</v>
      </c>
      <c r="BP174" s="1051"/>
      <c r="BQ174" s="1052"/>
      <c r="BR174" s="1054"/>
      <c r="BS174" s="1053"/>
      <c r="BT174" s="1051"/>
      <c r="BU174" s="1051"/>
      <c r="BV174" s="1051"/>
      <c r="BW174" s="1052"/>
      <c r="BX174" s="1052"/>
      <c r="BY174" s="1052"/>
      <c r="BZ174" s="1052"/>
      <c r="CA174" s="1052"/>
      <c r="CB174" s="1053"/>
      <c r="CC174" s="1053"/>
      <c r="CD174" s="1053"/>
      <c r="CE174" s="1053"/>
      <c r="CF174" s="1053"/>
      <c r="CG174" s="1053"/>
      <c r="CH174" s="1053"/>
      <c r="CI174" s="1123"/>
      <c r="CJ174" s="1123"/>
      <c r="CK174" s="1123"/>
      <c r="CL174" s="1123"/>
      <c r="CM174" s="1123"/>
      <c r="CN174" s="1123"/>
      <c r="CO174" s="1123"/>
      <c r="CP174" s="1123"/>
      <c r="CQ174" s="1123"/>
      <c r="CR174" s="1123"/>
      <c r="CS174" s="1123"/>
      <c r="CT174" s="1123"/>
      <c r="CU174" s="1123"/>
      <c r="CV174" s="1123"/>
      <c r="CW174" s="1123"/>
      <c r="CX174" s="1123"/>
      <c r="CY174" s="1123"/>
      <c r="CZ174" s="1114"/>
      <c r="DA174" s="1114"/>
      <c r="DB174" s="1114"/>
      <c r="DC174" s="1114"/>
      <c r="DD174" s="1114"/>
      <c r="DE174" s="1114"/>
      <c r="DF174" s="1114"/>
      <c r="DG174" s="1114"/>
      <c r="DH174" s="1114"/>
      <c r="DI174" s="1114"/>
      <c r="DJ174" s="1114"/>
      <c r="DK174" s="1114"/>
      <c r="DL174" s="1114"/>
      <c r="DM174" s="1114"/>
      <c r="DN174" s="1114"/>
      <c r="DO174" s="1114"/>
      <c r="DP174" s="1114"/>
      <c r="DQ174" s="1114"/>
      <c r="DR174" s="1114"/>
      <c r="DS174" s="1114"/>
      <c r="DT174" s="1114"/>
      <c r="DU174" s="1114"/>
      <c r="DV174" s="1115"/>
      <c r="DW174" s="1116"/>
      <c r="DX174" s="1116"/>
      <c r="DY174" s="1116"/>
      <c r="DZ174" s="1116"/>
      <c r="EA174" s="1116"/>
      <c r="EB174" s="1116"/>
      <c r="EC174" s="1116"/>
      <c r="ED174" s="1116"/>
      <c r="EE174" s="1116"/>
      <c r="EF174" s="1116"/>
      <c r="EG174" s="1116"/>
      <c r="EH174" s="1116"/>
      <c r="EI174" s="1116"/>
      <c r="EJ174" s="1116"/>
      <c r="EK174" s="1116"/>
      <c r="EL174" s="1116"/>
      <c r="EM174" s="1116"/>
      <c r="EN174" s="1116"/>
      <c r="EO174" s="1116"/>
      <c r="EP174" s="1116"/>
      <c r="EQ174" s="1116"/>
      <c r="ER174" s="1116"/>
      <c r="ES174" s="1116"/>
    </row>
    <row r="175" spans="1:149" ht="15" customHeight="1">
      <c r="A175" s="1799">
        <v>160</v>
      </c>
      <c r="B175" s="1041"/>
      <c r="C175" s="1050"/>
      <c r="D175" s="1050"/>
      <c r="E175" s="1050"/>
      <c r="F175" s="1049"/>
      <c r="G175" s="1457"/>
      <c r="H175" s="1049"/>
      <c r="I175" s="1049"/>
      <c r="J175" s="1050"/>
      <c r="K175" s="1050"/>
      <c r="L175" s="1043"/>
      <c r="M175" s="1051"/>
      <c r="N175" s="1051"/>
      <c r="O175" s="1052"/>
      <c r="P175" s="1051"/>
      <c r="Q175" s="1051"/>
      <c r="R175" s="1052"/>
      <c r="S175" s="1051"/>
      <c r="T175" s="1051"/>
      <c r="U175" s="1052"/>
      <c r="V175" s="1051"/>
      <c r="W175" s="1051"/>
      <c r="X175" s="1052"/>
      <c r="Y175" s="1053"/>
      <c r="Z175" s="1051"/>
      <c r="AA175" s="1051"/>
      <c r="AB175" s="1052"/>
      <c r="AC175" s="1051"/>
      <c r="AD175" s="1051"/>
      <c r="AE175" s="1052"/>
      <c r="AF175" s="1051"/>
      <c r="AG175" s="1051"/>
      <c r="AH175" s="1051"/>
      <c r="AI175" s="1051"/>
      <c r="AJ175" s="1052"/>
      <c r="AK175" s="1051"/>
      <c r="AL175" s="1051"/>
      <c r="AM175" s="1052"/>
      <c r="AN175" s="1051"/>
      <c r="AO175" s="1051"/>
      <c r="AP175" s="1052"/>
      <c r="AQ175" s="1051"/>
      <c r="AR175" s="1051"/>
      <c r="AS175" s="1052"/>
      <c r="AT175" s="1051"/>
      <c r="AU175" s="1051"/>
      <c r="AV175" s="1052"/>
      <c r="AW175" s="1051"/>
      <c r="AX175" s="1051"/>
      <c r="AY175" s="1053"/>
      <c r="AZ175" s="1051"/>
      <c r="BA175" s="1051"/>
      <c r="BB175" s="1053"/>
      <c r="BC175" s="1051"/>
      <c r="BD175" s="1051"/>
      <c r="BE175" s="1053"/>
      <c r="BF175" s="1051"/>
      <c r="BG175" s="1051"/>
      <c r="BH175" s="1053"/>
      <c r="BI175" s="1052"/>
      <c r="BJ175" s="1052"/>
      <c r="BK175" s="1052"/>
      <c r="BL175" s="1052"/>
      <c r="BM175" s="1052"/>
      <c r="BN175" s="1054"/>
      <c r="BO175" s="1076">
        <f t="shared" si="13"/>
        <v>0</v>
      </c>
      <c r="BP175" s="1051"/>
      <c r="BQ175" s="1052"/>
      <c r="BR175" s="1054"/>
      <c r="BS175" s="1053"/>
      <c r="BT175" s="1051"/>
      <c r="BU175" s="1051"/>
      <c r="BV175" s="1051"/>
      <c r="BW175" s="1052"/>
      <c r="BX175" s="1052"/>
      <c r="BY175" s="1052"/>
      <c r="BZ175" s="1052"/>
      <c r="CA175" s="1052"/>
      <c r="CB175" s="1053"/>
      <c r="CC175" s="1053"/>
      <c r="CD175" s="1053"/>
      <c r="CE175" s="1053"/>
      <c r="CF175" s="1053"/>
      <c r="CG175" s="1053"/>
      <c r="CH175" s="1053"/>
      <c r="CI175" s="1123"/>
      <c r="CJ175" s="1123"/>
      <c r="CK175" s="1123"/>
      <c r="CL175" s="1123"/>
      <c r="CM175" s="1123"/>
      <c r="CN175" s="1123"/>
      <c r="CO175" s="1123"/>
      <c r="CP175" s="1123"/>
      <c r="CQ175" s="1123"/>
      <c r="CR175" s="1123"/>
      <c r="CS175" s="1123"/>
      <c r="CT175" s="1123"/>
      <c r="CU175" s="1123"/>
      <c r="CV175" s="1123"/>
      <c r="CW175" s="1123"/>
      <c r="CX175" s="1123"/>
      <c r="CY175" s="1123"/>
      <c r="CZ175" s="1114"/>
      <c r="DA175" s="1114"/>
      <c r="DB175" s="1114"/>
      <c r="DC175" s="1114"/>
      <c r="DD175" s="1114"/>
      <c r="DE175" s="1114"/>
      <c r="DF175" s="1114"/>
      <c r="DG175" s="1114"/>
      <c r="DH175" s="1114"/>
      <c r="DI175" s="1114"/>
      <c r="DJ175" s="1114"/>
      <c r="DK175" s="1114"/>
      <c r="DL175" s="1114"/>
      <c r="DM175" s="1114"/>
      <c r="DN175" s="1114"/>
      <c r="DO175" s="1114"/>
      <c r="DP175" s="1114"/>
      <c r="DQ175" s="1114"/>
      <c r="DR175" s="1114"/>
      <c r="DS175" s="1114"/>
      <c r="DT175" s="1114"/>
      <c r="DU175" s="1114"/>
      <c r="DV175" s="1115"/>
      <c r="DW175" s="1116"/>
      <c r="DX175" s="1116"/>
      <c r="DY175" s="1116"/>
      <c r="DZ175" s="1116"/>
      <c r="EA175" s="1116"/>
      <c r="EB175" s="1116"/>
      <c r="EC175" s="1116"/>
      <c r="ED175" s="1116"/>
      <c r="EE175" s="1116"/>
      <c r="EF175" s="1116"/>
      <c r="EG175" s="1116"/>
      <c r="EH175" s="1116"/>
      <c r="EI175" s="1116"/>
      <c r="EJ175" s="1116"/>
      <c r="EK175" s="1116"/>
      <c r="EL175" s="1116"/>
      <c r="EM175" s="1116"/>
      <c r="EN175" s="1116"/>
      <c r="EO175" s="1116"/>
      <c r="EP175" s="1116"/>
      <c r="EQ175" s="1116"/>
      <c r="ER175" s="1116"/>
      <c r="ES175" s="1116"/>
    </row>
    <row r="176" spans="1:149" ht="15" customHeight="1">
      <c r="A176" s="1799">
        <v>161</v>
      </c>
      <c r="B176" s="1041"/>
      <c r="C176" s="1050"/>
      <c r="D176" s="1050"/>
      <c r="E176" s="1050"/>
      <c r="F176" s="1049"/>
      <c r="G176" s="1457"/>
      <c r="H176" s="1049"/>
      <c r="I176" s="1049"/>
      <c r="J176" s="1050"/>
      <c r="K176" s="1050"/>
      <c r="L176" s="1043"/>
      <c r="M176" s="1051"/>
      <c r="N176" s="1051"/>
      <c r="O176" s="1052"/>
      <c r="P176" s="1051"/>
      <c r="Q176" s="1051"/>
      <c r="R176" s="1052"/>
      <c r="S176" s="1051"/>
      <c r="T176" s="1051"/>
      <c r="U176" s="1052"/>
      <c r="V176" s="1051"/>
      <c r="W176" s="1051"/>
      <c r="X176" s="1052"/>
      <c r="Y176" s="1053"/>
      <c r="Z176" s="1051"/>
      <c r="AA176" s="1051"/>
      <c r="AB176" s="1052"/>
      <c r="AC176" s="1051"/>
      <c r="AD176" s="1051"/>
      <c r="AE176" s="1052"/>
      <c r="AF176" s="1051"/>
      <c r="AG176" s="1051"/>
      <c r="AH176" s="1051"/>
      <c r="AI176" s="1051"/>
      <c r="AJ176" s="1052"/>
      <c r="AK176" s="1051"/>
      <c r="AL176" s="1051"/>
      <c r="AM176" s="1052"/>
      <c r="AN176" s="1051"/>
      <c r="AO176" s="1051"/>
      <c r="AP176" s="1052"/>
      <c r="AQ176" s="1051"/>
      <c r="AR176" s="1051"/>
      <c r="AS176" s="1052"/>
      <c r="AT176" s="1051"/>
      <c r="AU176" s="1051"/>
      <c r="AV176" s="1052"/>
      <c r="AW176" s="1051"/>
      <c r="AX176" s="1051"/>
      <c r="AY176" s="1053"/>
      <c r="AZ176" s="1051"/>
      <c r="BA176" s="1051"/>
      <c r="BB176" s="1053"/>
      <c r="BC176" s="1051"/>
      <c r="BD176" s="1051"/>
      <c r="BE176" s="1053"/>
      <c r="BF176" s="1051"/>
      <c r="BG176" s="1051"/>
      <c r="BH176" s="1053"/>
      <c r="BI176" s="1052"/>
      <c r="BJ176" s="1052"/>
      <c r="BK176" s="1052"/>
      <c r="BL176" s="1052"/>
      <c r="BM176" s="1052"/>
      <c r="BN176" s="1054"/>
      <c r="BO176" s="1076">
        <f t="shared" si="13"/>
        <v>0</v>
      </c>
      <c r="BP176" s="1051"/>
      <c r="BQ176" s="1052"/>
      <c r="BR176" s="1054"/>
      <c r="BS176" s="1053"/>
      <c r="BT176" s="1051"/>
      <c r="BU176" s="1051"/>
      <c r="BV176" s="1051"/>
      <c r="BW176" s="1052"/>
      <c r="BX176" s="1052"/>
      <c r="BY176" s="1052"/>
      <c r="BZ176" s="1052"/>
      <c r="CA176" s="1052"/>
      <c r="CB176" s="1053"/>
      <c r="CC176" s="1053"/>
      <c r="CD176" s="1053"/>
      <c r="CE176" s="1053"/>
      <c r="CF176" s="1053"/>
      <c r="CG176" s="1053"/>
      <c r="CH176" s="1053"/>
      <c r="CI176" s="1123"/>
      <c r="CJ176" s="1123"/>
      <c r="CK176" s="1123"/>
      <c r="CL176" s="1123"/>
      <c r="CM176" s="1123"/>
      <c r="CN176" s="1123"/>
      <c r="CO176" s="1123"/>
      <c r="CP176" s="1123"/>
      <c r="CQ176" s="1123"/>
      <c r="CR176" s="1123"/>
      <c r="CS176" s="1123"/>
      <c r="CT176" s="1123"/>
      <c r="CU176" s="1123"/>
      <c r="CV176" s="1123"/>
      <c r="CW176" s="1123"/>
      <c r="CX176" s="1123"/>
      <c r="CY176" s="1123"/>
      <c r="CZ176" s="1114"/>
      <c r="DA176" s="1114"/>
      <c r="DB176" s="1114"/>
      <c r="DC176" s="1114"/>
      <c r="DD176" s="1114"/>
      <c r="DE176" s="1114"/>
      <c r="DF176" s="1114"/>
      <c r="DG176" s="1114"/>
      <c r="DH176" s="1114"/>
      <c r="DI176" s="1114"/>
      <c r="DJ176" s="1114"/>
      <c r="DK176" s="1114"/>
      <c r="DL176" s="1114"/>
      <c r="DM176" s="1114"/>
      <c r="DN176" s="1114"/>
      <c r="DO176" s="1114"/>
      <c r="DP176" s="1114"/>
      <c r="DQ176" s="1114"/>
      <c r="DR176" s="1114"/>
      <c r="DS176" s="1114"/>
      <c r="DT176" s="1114"/>
      <c r="DU176" s="1114"/>
      <c r="DV176" s="1115"/>
      <c r="DW176" s="1116"/>
      <c r="DX176" s="1116"/>
      <c r="DY176" s="1116"/>
      <c r="DZ176" s="1116"/>
      <c r="EA176" s="1116"/>
      <c r="EB176" s="1116"/>
      <c r="EC176" s="1116"/>
      <c r="ED176" s="1116"/>
      <c r="EE176" s="1116"/>
      <c r="EF176" s="1116"/>
      <c r="EG176" s="1116"/>
      <c r="EH176" s="1116"/>
      <c r="EI176" s="1116"/>
      <c r="EJ176" s="1116"/>
      <c r="EK176" s="1116"/>
      <c r="EL176" s="1116"/>
      <c r="EM176" s="1116"/>
      <c r="EN176" s="1116"/>
      <c r="EO176" s="1116"/>
      <c r="EP176" s="1116"/>
      <c r="EQ176" s="1116"/>
      <c r="ER176" s="1116"/>
      <c r="ES176" s="1116"/>
    </row>
    <row r="177" spans="1:149" ht="15" customHeight="1">
      <c r="A177" s="1799">
        <v>162</v>
      </c>
      <c r="B177" s="1041"/>
      <c r="C177" s="1050"/>
      <c r="D177" s="1050"/>
      <c r="E177" s="1050"/>
      <c r="F177" s="1049"/>
      <c r="G177" s="1457"/>
      <c r="H177" s="1049"/>
      <c r="I177" s="1049"/>
      <c r="J177" s="1050"/>
      <c r="K177" s="1050"/>
      <c r="L177" s="1043"/>
      <c r="M177" s="1051"/>
      <c r="N177" s="1051"/>
      <c r="O177" s="1052"/>
      <c r="P177" s="1051"/>
      <c r="Q177" s="1051"/>
      <c r="R177" s="1052"/>
      <c r="S177" s="1051"/>
      <c r="T177" s="1051"/>
      <c r="U177" s="1052"/>
      <c r="V177" s="1051"/>
      <c r="W177" s="1051"/>
      <c r="X177" s="1052"/>
      <c r="Y177" s="1053"/>
      <c r="Z177" s="1051"/>
      <c r="AA177" s="1051"/>
      <c r="AB177" s="1052"/>
      <c r="AC177" s="1051"/>
      <c r="AD177" s="1051"/>
      <c r="AE177" s="1052"/>
      <c r="AF177" s="1051"/>
      <c r="AG177" s="1051"/>
      <c r="AH177" s="1051"/>
      <c r="AI177" s="1051"/>
      <c r="AJ177" s="1052"/>
      <c r="AK177" s="1051"/>
      <c r="AL177" s="1051"/>
      <c r="AM177" s="1052"/>
      <c r="AN177" s="1051"/>
      <c r="AO177" s="1051"/>
      <c r="AP177" s="1052"/>
      <c r="AQ177" s="1051"/>
      <c r="AR177" s="1051"/>
      <c r="AS177" s="1052"/>
      <c r="AT177" s="1051"/>
      <c r="AU177" s="1051"/>
      <c r="AV177" s="1052"/>
      <c r="AW177" s="1051"/>
      <c r="AX177" s="1051"/>
      <c r="AY177" s="1053"/>
      <c r="AZ177" s="1051"/>
      <c r="BA177" s="1051"/>
      <c r="BB177" s="1053"/>
      <c r="BC177" s="1051"/>
      <c r="BD177" s="1051"/>
      <c r="BE177" s="1053"/>
      <c r="BF177" s="1051"/>
      <c r="BG177" s="1051"/>
      <c r="BH177" s="1053"/>
      <c r="BI177" s="1052"/>
      <c r="BJ177" s="1052"/>
      <c r="BK177" s="1052"/>
      <c r="BL177" s="1052"/>
      <c r="BM177" s="1052"/>
      <c r="BN177" s="1054"/>
      <c r="BO177" s="1076">
        <f t="shared" si="13"/>
        <v>0</v>
      </c>
      <c r="BP177" s="1051"/>
      <c r="BQ177" s="1052"/>
      <c r="BR177" s="1054"/>
      <c r="BS177" s="1053"/>
      <c r="BT177" s="1051"/>
      <c r="BU177" s="1051"/>
      <c r="BV177" s="1051"/>
      <c r="BW177" s="1052"/>
      <c r="BX177" s="1052"/>
      <c r="BY177" s="1052"/>
      <c r="BZ177" s="1052"/>
      <c r="CA177" s="1052"/>
      <c r="CB177" s="1053"/>
      <c r="CC177" s="1053"/>
      <c r="CD177" s="1053"/>
      <c r="CE177" s="1053"/>
      <c r="CF177" s="1053"/>
      <c r="CG177" s="1053"/>
      <c r="CH177" s="1053"/>
      <c r="CI177" s="1123"/>
      <c r="CJ177" s="1123"/>
      <c r="CK177" s="1123"/>
      <c r="CL177" s="1123"/>
      <c r="CM177" s="1123"/>
      <c r="CN177" s="1123"/>
      <c r="CO177" s="1123"/>
      <c r="CP177" s="1123"/>
      <c r="CQ177" s="1123"/>
      <c r="CR177" s="1123"/>
      <c r="CS177" s="1123"/>
      <c r="CT177" s="1123"/>
      <c r="CU177" s="1123"/>
      <c r="CV177" s="1123"/>
      <c r="CW177" s="1123"/>
      <c r="CX177" s="1123"/>
      <c r="CY177" s="1123"/>
      <c r="CZ177" s="1114"/>
      <c r="DA177" s="1114"/>
      <c r="DB177" s="1114"/>
      <c r="DC177" s="1114"/>
      <c r="DD177" s="1114"/>
      <c r="DE177" s="1114"/>
      <c r="DF177" s="1114"/>
      <c r="DG177" s="1114"/>
      <c r="DH177" s="1114"/>
      <c r="DI177" s="1114"/>
      <c r="DJ177" s="1114"/>
      <c r="DK177" s="1114"/>
      <c r="DL177" s="1114"/>
      <c r="DM177" s="1114"/>
      <c r="DN177" s="1114"/>
      <c r="DO177" s="1114"/>
      <c r="DP177" s="1114"/>
      <c r="DQ177" s="1114"/>
      <c r="DR177" s="1114"/>
      <c r="DS177" s="1114"/>
      <c r="DT177" s="1114"/>
      <c r="DU177" s="1114"/>
      <c r="DV177" s="1115"/>
      <c r="DW177" s="1116"/>
      <c r="DX177" s="1116"/>
      <c r="DY177" s="1116"/>
      <c r="DZ177" s="1116"/>
      <c r="EA177" s="1116"/>
      <c r="EB177" s="1116"/>
      <c r="EC177" s="1116"/>
      <c r="ED177" s="1116"/>
      <c r="EE177" s="1116"/>
      <c r="EF177" s="1116"/>
      <c r="EG177" s="1116"/>
      <c r="EH177" s="1116"/>
      <c r="EI177" s="1116"/>
      <c r="EJ177" s="1116"/>
      <c r="EK177" s="1116"/>
      <c r="EL177" s="1116"/>
      <c r="EM177" s="1116"/>
      <c r="EN177" s="1116"/>
      <c r="EO177" s="1116"/>
      <c r="EP177" s="1116"/>
      <c r="EQ177" s="1116"/>
      <c r="ER177" s="1116"/>
      <c r="ES177" s="1116"/>
    </row>
    <row r="178" spans="1:149" ht="15" customHeight="1">
      <c r="A178" s="1799">
        <v>163</v>
      </c>
      <c r="B178" s="1041"/>
      <c r="C178" s="1050"/>
      <c r="D178" s="1050"/>
      <c r="E178" s="1050"/>
      <c r="F178" s="1049"/>
      <c r="G178" s="1457"/>
      <c r="H178" s="1049"/>
      <c r="I178" s="1049"/>
      <c r="J178" s="1050"/>
      <c r="K178" s="1050"/>
      <c r="L178" s="1043"/>
      <c r="M178" s="1051"/>
      <c r="N178" s="1051"/>
      <c r="O178" s="1052"/>
      <c r="P178" s="1051"/>
      <c r="Q178" s="1051"/>
      <c r="R178" s="1052"/>
      <c r="S178" s="1051"/>
      <c r="T178" s="1051"/>
      <c r="U178" s="1052"/>
      <c r="V178" s="1051"/>
      <c r="W178" s="1051"/>
      <c r="X178" s="1052"/>
      <c r="Y178" s="1053"/>
      <c r="Z178" s="1051"/>
      <c r="AA178" s="1051"/>
      <c r="AB178" s="1052"/>
      <c r="AC178" s="1051"/>
      <c r="AD178" s="1051"/>
      <c r="AE178" s="1052"/>
      <c r="AF178" s="1051"/>
      <c r="AG178" s="1051"/>
      <c r="AH178" s="1051"/>
      <c r="AI178" s="1051"/>
      <c r="AJ178" s="1052"/>
      <c r="AK178" s="1051"/>
      <c r="AL178" s="1051"/>
      <c r="AM178" s="1052"/>
      <c r="AN178" s="1051"/>
      <c r="AO178" s="1051"/>
      <c r="AP178" s="1052"/>
      <c r="AQ178" s="1051"/>
      <c r="AR178" s="1051"/>
      <c r="AS178" s="1052"/>
      <c r="AT178" s="1051"/>
      <c r="AU178" s="1051"/>
      <c r="AV178" s="1052"/>
      <c r="AW178" s="1051"/>
      <c r="AX178" s="1051"/>
      <c r="AY178" s="1053"/>
      <c r="AZ178" s="1051"/>
      <c r="BA178" s="1051"/>
      <c r="BB178" s="1053"/>
      <c r="BC178" s="1051"/>
      <c r="BD178" s="1051"/>
      <c r="BE178" s="1053"/>
      <c r="BF178" s="1051"/>
      <c r="BG178" s="1051"/>
      <c r="BH178" s="1053"/>
      <c r="BI178" s="1052"/>
      <c r="BJ178" s="1052"/>
      <c r="BK178" s="1052"/>
      <c r="BL178" s="1052"/>
      <c r="BM178" s="1052"/>
      <c r="BN178" s="1054"/>
      <c r="BO178" s="1076">
        <f t="shared" si="13"/>
        <v>0</v>
      </c>
      <c r="BP178" s="1051"/>
      <c r="BQ178" s="1052"/>
      <c r="BR178" s="1054"/>
      <c r="BS178" s="1053"/>
      <c r="BT178" s="1051"/>
      <c r="BU178" s="1051"/>
      <c r="BV178" s="1051"/>
      <c r="BW178" s="1052"/>
      <c r="BX178" s="1052"/>
      <c r="BY178" s="1052"/>
      <c r="BZ178" s="1052"/>
      <c r="CA178" s="1052"/>
      <c r="CB178" s="1053"/>
      <c r="CC178" s="1053"/>
      <c r="CD178" s="1053"/>
      <c r="CE178" s="1053"/>
      <c r="CF178" s="1053"/>
      <c r="CG178" s="1053"/>
      <c r="CH178" s="1053"/>
      <c r="CI178" s="1123"/>
      <c r="CJ178" s="1123"/>
      <c r="CK178" s="1123"/>
      <c r="CL178" s="1123"/>
      <c r="CM178" s="1123"/>
      <c r="CN178" s="1123"/>
      <c r="CO178" s="1123"/>
      <c r="CP178" s="1123"/>
      <c r="CQ178" s="1123"/>
      <c r="CR178" s="1123"/>
      <c r="CS178" s="1123"/>
      <c r="CT178" s="1123"/>
      <c r="CU178" s="1123"/>
      <c r="CV178" s="1123"/>
      <c r="CW178" s="1123"/>
      <c r="CX178" s="1123"/>
      <c r="CY178" s="1123"/>
      <c r="CZ178" s="1114"/>
      <c r="DA178" s="1114"/>
      <c r="DB178" s="1114"/>
      <c r="DC178" s="1114"/>
      <c r="DD178" s="1114"/>
      <c r="DE178" s="1114"/>
      <c r="DF178" s="1114"/>
      <c r="DG178" s="1114"/>
      <c r="DH178" s="1114"/>
      <c r="DI178" s="1114"/>
      <c r="DJ178" s="1114"/>
      <c r="DK178" s="1114"/>
      <c r="DL178" s="1114"/>
      <c r="DM178" s="1114"/>
      <c r="DN178" s="1114"/>
      <c r="DO178" s="1114"/>
      <c r="DP178" s="1114"/>
      <c r="DQ178" s="1114"/>
      <c r="DR178" s="1114"/>
      <c r="DS178" s="1114"/>
      <c r="DT178" s="1114"/>
      <c r="DU178" s="1114"/>
      <c r="DV178" s="1115"/>
      <c r="DW178" s="1116"/>
      <c r="DX178" s="1116"/>
      <c r="DY178" s="1116"/>
      <c r="DZ178" s="1116"/>
      <c r="EA178" s="1116"/>
      <c r="EB178" s="1116"/>
      <c r="EC178" s="1116"/>
      <c r="ED178" s="1116"/>
      <c r="EE178" s="1116"/>
      <c r="EF178" s="1116"/>
      <c r="EG178" s="1116"/>
      <c r="EH178" s="1116"/>
      <c r="EI178" s="1116"/>
      <c r="EJ178" s="1116"/>
      <c r="EK178" s="1116"/>
      <c r="EL178" s="1116"/>
      <c r="EM178" s="1116"/>
      <c r="EN178" s="1116"/>
      <c r="EO178" s="1116"/>
      <c r="EP178" s="1116"/>
      <c r="EQ178" s="1116"/>
      <c r="ER178" s="1116"/>
      <c r="ES178" s="1116"/>
    </row>
    <row r="179" spans="1:149" ht="15" customHeight="1">
      <c r="A179" s="1799">
        <v>164</v>
      </c>
      <c r="B179" s="1041"/>
      <c r="C179" s="1050"/>
      <c r="D179" s="1050"/>
      <c r="E179" s="1050"/>
      <c r="F179" s="1049"/>
      <c r="G179" s="1457"/>
      <c r="H179" s="1049"/>
      <c r="I179" s="1049"/>
      <c r="J179" s="1050"/>
      <c r="K179" s="1050"/>
      <c r="L179" s="1043"/>
      <c r="M179" s="1051"/>
      <c r="N179" s="1051"/>
      <c r="O179" s="1052"/>
      <c r="P179" s="1051"/>
      <c r="Q179" s="1051"/>
      <c r="R179" s="1052"/>
      <c r="S179" s="1051"/>
      <c r="T179" s="1051"/>
      <c r="U179" s="1052"/>
      <c r="V179" s="1051"/>
      <c r="W179" s="1051"/>
      <c r="X179" s="1052"/>
      <c r="Y179" s="1053"/>
      <c r="Z179" s="1051"/>
      <c r="AA179" s="1051"/>
      <c r="AB179" s="1052"/>
      <c r="AC179" s="1051"/>
      <c r="AD179" s="1051"/>
      <c r="AE179" s="1052"/>
      <c r="AF179" s="1051"/>
      <c r="AG179" s="1051"/>
      <c r="AH179" s="1051"/>
      <c r="AI179" s="1051"/>
      <c r="AJ179" s="1052"/>
      <c r="AK179" s="1051"/>
      <c r="AL179" s="1051"/>
      <c r="AM179" s="1052"/>
      <c r="AN179" s="1051"/>
      <c r="AO179" s="1051"/>
      <c r="AP179" s="1052"/>
      <c r="AQ179" s="1051"/>
      <c r="AR179" s="1051"/>
      <c r="AS179" s="1052"/>
      <c r="AT179" s="1051"/>
      <c r="AU179" s="1051"/>
      <c r="AV179" s="1052"/>
      <c r="AW179" s="1051"/>
      <c r="AX179" s="1051"/>
      <c r="AY179" s="1053"/>
      <c r="AZ179" s="1051"/>
      <c r="BA179" s="1051"/>
      <c r="BB179" s="1053"/>
      <c r="BC179" s="1051"/>
      <c r="BD179" s="1051"/>
      <c r="BE179" s="1053"/>
      <c r="BF179" s="1051"/>
      <c r="BG179" s="1051"/>
      <c r="BH179" s="1053"/>
      <c r="BI179" s="1052"/>
      <c r="BJ179" s="1052"/>
      <c r="BK179" s="1052"/>
      <c r="BL179" s="1052"/>
      <c r="BM179" s="1052"/>
      <c r="BN179" s="1054"/>
      <c r="BO179" s="1076">
        <f t="shared" si="13"/>
        <v>0</v>
      </c>
      <c r="BP179" s="1051"/>
      <c r="BQ179" s="1052"/>
      <c r="BR179" s="1054"/>
      <c r="BS179" s="1053"/>
      <c r="BT179" s="1051"/>
      <c r="BU179" s="1051"/>
      <c r="BV179" s="1051"/>
      <c r="BW179" s="1052"/>
      <c r="BX179" s="1052"/>
      <c r="BY179" s="1052"/>
      <c r="BZ179" s="1052"/>
      <c r="CA179" s="1052"/>
      <c r="CB179" s="1053"/>
      <c r="CC179" s="1053"/>
      <c r="CD179" s="1053"/>
      <c r="CE179" s="1053"/>
      <c r="CF179" s="1053"/>
      <c r="CG179" s="1053"/>
      <c r="CH179" s="1053"/>
      <c r="CI179" s="1123"/>
      <c r="CJ179" s="1123"/>
      <c r="CK179" s="1123"/>
      <c r="CL179" s="1123"/>
      <c r="CM179" s="1123"/>
      <c r="CN179" s="1123"/>
      <c r="CO179" s="1123"/>
      <c r="CP179" s="1123"/>
      <c r="CQ179" s="1123"/>
      <c r="CR179" s="1123"/>
      <c r="CS179" s="1123"/>
      <c r="CT179" s="1123"/>
      <c r="CU179" s="1123"/>
      <c r="CV179" s="1123"/>
      <c r="CW179" s="1123"/>
      <c r="CX179" s="1123"/>
      <c r="CY179" s="1123"/>
      <c r="CZ179" s="1114"/>
      <c r="DA179" s="1114"/>
      <c r="DB179" s="1114"/>
      <c r="DC179" s="1114"/>
      <c r="DD179" s="1114"/>
      <c r="DE179" s="1114"/>
      <c r="DF179" s="1114"/>
      <c r="DG179" s="1114"/>
      <c r="DH179" s="1114"/>
      <c r="DI179" s="1114"/>
      <c r="DJ179" s="1114"/>
      <c r="DK179" s="1114"/>
      <c r="DL179" s="1114"/>
      <c r="DM179" s="1114"/>
      <c r="DN179" s="1114"/>
      <c r="DO179" s="1114"/>
      <c r="DP179" s="1114"/>
      <c r="DQ179" s="1114"/>
      <c r="DR179" s="1114"/>
      <c r="DS179" s="1114"/>
      <c r="DT179" s="1114"/>
      <c r="DU179" s="1114"/>
      <c r="DV179" s="1115"/>
      <c r="DW179" s="1116"/>
      <c r="DX179" s="1116"/>
      <c r="DY179" s="1116"/>
      <c r="DZ179" s="1116"/>
      <c r="EA179" s="1116"/>
      <c r="EB179" s="1116"/>
      <c r="EC179" s="1116"/>
      <c r="ED179" s="1116"/>
      <c r="EE179" s="1116"/>
      <c r="EF179" s="1116"/>
      <c r="EG179" s="1116"/>
      <c r="EH179" s="1116"/>
      <c r="EI179" s="1116"/>
      <c r="EJ179" s="1116"/>
      <c r="EK179" s="1116"/>
      <c r="EL179" s="1116"/>
      <c r="EM179" s="1116"/>
      <c r="EN179" s="1116"/>
      <c r="EO179" s="1116"/>
      <c r="EP179" s="1116"/>
      <c r="EQ179" s="1116"/>
      <c r="ER179" s="1116"/>
      <c r="ES179" s="1116"/>
    </row>
    <row r="180" spans="1:149" ht="15" customHeight="1">
      <c r="A180" s="1799">
        <v>165</v>
      </c>
      <c r="B180" s="1041"/>
      <c r="C180" s="1050"/>
      <c r="D180" s="1050"/>
      <c r="E180" s="1050"/>
      <c r="F180" s="1049"/>
      <c r="G180" s="1457"/>
      <c r="H180" s="1049"/>
      <c r="I180" s="1049"/>
      <c r="J180" s="1050"/>
      <c r="K180" s="1050"/>
      <c r="L180" s="1043"/>
      <c r="M180" s="1051"/>
      <c r="N180" s="1051"/>
      <c r="O180" s="1052"/>
      <c r="P180" s="1051"/>
      <c r="Q180" s="1051"/>
      <c r="R180" s="1052"/>
      <c r="S180" s="1051"/>
      <c r="T180" s="1051"/>
      <c r="U180" s="1052"/>
      <c r="V180" s="1051"/>
      <c r="W180" s="1051"/>
      <c r="X180" s="1052"/>
      <c r="Y180" s="1053"/>
      <c r="Z180" s="1051"/>
      <c r="AA180" s="1051"/>
      <c r="AB180" s="1052"/>
      <c r="AC180" s="1051"/>
      <c r="AD180" s="1051"/>
      <c r="AE180" s="1052"/>
      <c r="AF180" s="1051"/>
      <c r="AG180" s="1051"/>
      <c r="AH180" s="1051"/>
      <c r="AI180" s="1051"/>
      <c r="AJ180" s="1052"/>
      <c r="AK180" s="1051"/>
      <c r="AL180" s="1051"/>
      <c r="AM180" s="1052"/>
      <c r="AN180" s="1051"/>
      <c r="AO180" s="1051"/>
      <c r="AP180" s="1052"/>
      <c r="AQ180" s="1051"/>
      <c r="AR180" s="1051"/>
      <c r="AS180" s="1052"/>
      <c r="AT180" s="1051"/>
      <c r="AU180" s="1051"/>
      <c r="AV180" s="1052"/>
      <c r="AW180" s="1051"/>
      <c r="AX180" s="1051"/>
      <c r="AY180" s="1053"/>
      <c r="AZ180" s="1051"/>
      <c r="BA180" s="1051"/>
      <c r="BB180" s="1053"/>
      <c r="BC180" s="1051"/>
      <c r="BD180" s="1051"/>
      <c r="BE180" s="1053"/>
      <c r="BF180" s="1051"/>
      <c r="BG180" s="1051"/>
      <c r="BH180" s="1053"/>
      <c r="BI180" s="1052"/>
      <c r="BJ180" s="1052"/>
      <c r="BK180" s="1052"/>
      <c r="BL180" s="1052"/>
      <c r="BM180" s="1052"/>
      <c r="BN180" s="1054"/>
      <c r="BO180" s="1076">
        <f t="shared" si="13"/>
        <v>0</v>
      </c>
      <c r="BP180" s="1051"/>
      <c r="BQ180" s="1052"/>
      <c r="BR180" s="1054"/>
      <c r="BS180" s="1053"/>
      <c r="BT180" s="1051"/>
      <c r="BU180" s="1051"/>
      <c r="BV180" s="1051"/>
      <c r="BW180" s="1052"/>
      <c r="BX180" s="1052"/>
      <c r="BY180" s="1052"/>
      <c r="BZ180" s="1052"/>
      <c r="CA180" s="1052"/>
      <c r="CB180" s="1053"/>
      <c r="CC180" s="1053"/>
      <c r="CD180" s="1053"/>
      <c r="CE180" s="1053"/>
      <c r="CF180" s="1053"/>
      <c r="CG180" s="1053"/>
      <c r="CH180" s="1053"/>
      <c r="CI180" s="1123"/>
      <c r="CJ180" s="1123"/>
      <c r="CK180" s="1123"/>
      <c r="CL180" s="1123"/>
      <c r="CM180" s="1123"/>
      <c r="CN180" s="1123"/>
      <c r="CO180" s="1123"/>
      <c r="CP180" s="1123"/>
      <c r="CQ180" s="1123"/>
      <c r="CR180" s="1123"/>
      <c r="CS180" s="1123"/>
      <c r="CT180" s="1123"/>
      <c r="CU180" s="1123"/>
      <c r="CV180" s="1123"/>
      <c r="CW180" s="1123"/>
      <c r="CX180" s="1123"/>
      <c r="CY180" s="1123"/>
      <c r="CZ180" s="1114"/>
      <c r="DA180" s="1114"/>
      <c r="DB180" s="1114"/>
      <c r="DC180" s="1114"/>
      <c r="DD180" s="1114"/>
      <c r="DE180" s="1114"/>
      <c r="DF180" s="1114"/>
      <c r="DG180" s="1114"/>
      <c r="DH180" s="1114"/>
      <c r="DI180" s="1114"/>
      <c r="DJ180" s="1114"/>
      <c r="DK180" s="1114"/>
      <c r="DL180" s="1114"/>
      <c r="DM180" s="1114"/>
      <c r="DN180" s="1114"/>
      <c r="DO180" s="1114"/>
      <c r="DP180" s="1114"/>
      <c r="DQ180" s="1114"/>
      <c r="DR180" s="1114"/>
      <c r="DS180" s="1114"/>
      <c r="DT180" s="1114"/>
      <c r="DU180" s="1114"/>
      <c r="DV180" s="1115"/>
      <c r="DW180" s="1116"/>
      <c r="DX180" s="1116"/>
      <c r="DY180" s="1116"/>
      <c r="DZ180" s="1116"/>
      <c r="EA180" s="1116"/>
      <c r="EB180" s="1116"/>
      <c r="EC180" s="1116"/>
      <c r="ED180" s="1116"/>
      <c r="EE180" s="1116"/>
      <c r="EF180" s="1116"/>
      <c r="EG180" s="1116"/>
      <c r="EH180" s="1116"/>
      <c r="EI180" s="1116"/>
      <c r="EJ180" s="1116"/>
      <c r="EK180" s="1116"/>
      <c r="EL180" s="1116"/>
      <c r="EM180" s="1116"/>
      <c r="EN180" s="1116"/>
      <c r="EO180" s="1116"/>
      <c r="EP180" s="1116"/>
      <c r="EQ180" s="1116"/>
      <c r="ER180" s="1116"/>
      <c r="ES180" s="1116"/>
    </row>
    <row r="181" spans="1:149" ht="15" customHeight="1">
      <c r="A181" s="1799">
        <v>166</v>
      </c>
      <c r="B181" s="1041"/>
      <c r="C181" s="1050"/>
      <c r="D181" s="1050"/>
      <c r="E181" s="1050"/>
      <c r="F181" s="1049"/>
      <c r="G181" s="1457"/>
      <c r="H181" s="1049"/>
      <c r="I181" s="1049"/>
      <c r="J181" s="1050"/>
      <c r="K181" s="1050"/>
      <c r="L181" s="1043"/>
      <c r="M181" s="1051"/>
      <c r="N181" s="1051"/>
      <c r="O181" s="1052"/>
      <c r="P181" s="1051"/>
      <c r="Q181" s="1051"/>
      <c r="R181" s="1052"/>
      <c r="S181" s="1051"/>
      <c r="T181" s="1051"/>
      <c r="U181" s="1052"/>
      <c r="V181" s="1051"/>
      <c r="W181" s="1051"/>
      <c r="X181" s="1052"/>
      <c r="Y181" s="1053"/>
      <c r="Z181" s="1051"/>
      <c r="AA181" s="1051"/>
      <c r="AB181" s="1052"/>
      <c r="AC181" s="1051"/>
      <c r="AD181" s="1051"/>
      <c r="AE181" s="1052"/>
      <c r="AF181" s="1051"/>
      <c r="AG181" s="1051"/>
      <c r="AH181" s="1051"/>
      <c r="AI181" s="1051"/>
      <c r="AJ181" s="1052"/>
      <c r="AK181" s="1051"/>
      <c r="AL181" s="1051"/>
      <c r="AM181" s="1052"/>
      <c r="AN181" s="1051"/>
      <c r="AO181" s="1051"/>
      <c r="AP181" s="1052"/>
      <c r="AQ181" s="1051"/>
      <c r="AR181" s="1051"/>
      <c r="AS181" s="1052"/>
      <c r="AT181" s="1051"/>
      <c r="AU181" s="1051"/>
      <c r="AV181" s="1052"/>
      <c r="AW181" s="1051"/>
      <c r="AX181" s="1051"/>
      <c r="AY181" s="1053"/>
      <c r="AZ181" s="1051"/>
      <c r="BA181" s="1051"/>
      <c r="BB181" s="1053"/>
      <c r="BC181" s="1051"/>
      <c r="BD181" s="1051"/>
      <c r="BE181" s="1053"/>
      <c r="BF181" s="1051"/>
      <c r="BG181" s="1051"/>
      <c r="BH181" s="1053"/>
      <c r="BI181" s="1052"/>
      <c r="BJ181" s="1052"/>
      <c r="BK181" s="1052"/>
      <c r="BL181" s="1052"/>
      <c r="BM181" s="1052"/>
      <c r="BN181" s="1054"/>
      <c r="BO181" s="1076">
        <f t="shared" si="13"/>
        <v>0</v>
      </c>
      <c r="BP181" s="1051"/>
      <c r="BQ181" s="1052"/>
      <c r="BR181" s="1054"/>
      <c r="BS181" s="1053"/>
      <c r="BT181" s="1051"/>
      <c r="BU181" s="1051"/>
      <c r="BV181" s="1051"/>
      <c r="BW181" s="1052"/>
      <c r="BX181" s="1052"/>
      <c r="BY181" s="1052"/>
      <c r="BZ181" s="1052"/>
      <c r="CA181" s="1052"/>
      <c r="CB181" s="1053"/>
      <c r="CC181" s="1053"/>
      <c r="CD181" s="1053"/>
      <c r="CE181" s="1053"/>
      <c r="CF181" s="1053"/>
      <c r="CG181" s="1053"/>
      <c r="CH181" s="1053"/>
      <c r="CI181" s="1123"/>
      <c r="CJ181" s="1123"/>
      <c r="CK181" s="1123"/>
      <c r="CL181" s="1123"/>
      <c r="CM181" s="1123"/>
      <c r="CN181" s="1123"/>
      <c r="CO181" s="1123"/>
      <c r="CP181" s="1123"/>
      <c r="CQ181" s="1123"/>
      <c r="CR181" s="1123"/>
      <c r="CS181" s="1123"/>
      <c r="CT181" s="1123"/>
      <c r="CU181" s="1123"/>
      <c r="CV181" s="1123"/>
      <c r="CW181" s="1123"/>
      <c r="CX181" s="1123"/>
      <c r="CY181" s="1123"/>
      <c r="CZ181" s="1114"/>
      <c r="DA181" s="1114"/>
      <c r="DB181" s="1114"/>
      <c r="DC181" s="1114"/>
      <c r="DD181" s="1114"/>
      <c r="DE181" s="1114"/>
      <c r="DF181" s="1114"/>
      <c r="DG181" s="1114"/>
      <c r="DH181" s="1114"/>
      <c r="DI181" s="1114"/>
      <c r="DJ181" s="1114"/>
      <c r="DK181" s="1114"/>
      <c r="DL181" s="1114"/>
      <c r="DM181" s="1114"/>
      <c r="DN181" s="1114"/>
      <c r="DO181" s="1114"/>
      <c r="DP181" s="1114"/>
      <c r="DQ181" s="1114"/>
      <c r="DR181" s="1114"/>
      <c r="DS181" s="1114"/>
      <c r="DT181" s="1114"/>
      <c r="DU181" s="1114"/>
      <c r="DV181" s="1115"/>
      <c r="DW181" s="1116"/>
      <c r="DX181" s="1116"/>
      <c r="DY181" s="1116"/>
      <c r="DZ181" s="1116"/>
      <c r="EA181" s="1116"/>
      <c r="EB181" s="1116"/>
      <c r="EC181" s="1116"/>
      <c r="ED181" s="1116"/>
      <c r="EE181" s="1116"/>
      <c r="EF181" s="1116"/>
      <c r="EG181" s="1116"/>
      <c r="EH181" s="1116"/>
      <c r="EI181" s="1116"/>
      <c r="EJ181" s="1116"/>
      <c r="EK181" s="1116"/>
      <c r="EL181" s="1116"/>
      <c r="EM181" s="1116"/>
      <c r="EN181" s="1116"/>
      <c r="EO181" s="1116"/>
      <c r="EP181" s="1116"/>
      <c r="EQ181" s="1116"/>
      <c r="ER181" s="1116"/>
      <c r="ES181" s="1116"/>
    </row>
    <row r="182" spans="1:149" ht="15" customHeight="1">
      <c r="A182" s="1799">
        <v>167</v>
      </c>
      <c r="B182" s="1041"/>
      <c r="C182" s="1050"/>
      <c r="D182" s="1050"/>
      <c r="E182" s="1050"/>
      <c r="F182" s="1049"/>
      <c r="G182" s="1457"/>
      <c r="H182" s="1049"/>
      <c r="I182" s="1049"/>
      <c r="J182" s="1050"/>
      <c r="K182" s="1050"/>
      <c r="L182" s="1043"/>
      <c r="M182" s="1051"/>
      <c r="N182" s="1051"/>
      <c r="O182" s="1052"/>
      <c r="P182" s="1051"/>
      <c r="Q182" s="1051"/>
      <c r="R182" s="1052"/>
      <c r="S182" s="1051"/>
      <c r="T182" s="1051"/>
      <c r="U182" s="1052"/>
      <c r="V182" s="1051"/>
      <c r="W182" s="1051"/>
      <c r="X182" s="1052"/>
      <c r="Y182" s="1053"/>
      <c r="Z182" s="1051"/>
      <c r="AA182" s="1051"/>
      <c r="AB182" s="1052"/>
      <c r="AC182" s="1051"/>
      <c r="AD182" s="1051"/>
      <c r="AE182" s="1052"/>
      <c r="AF182" s="1051"/>
      <c r="AG182" s="1051"/>
      <c r="AH182" s="1051"/>
      <c r="AI182" s="1051"/>
      <c r="AJ182" s="1052"/>
      <c r="AK182" s="1051"/>
      <c r="AL182" s="1051"/>
      <c r="AM182" s="1052"/>
      <c r="AN182" s="1051"/>
      <c r="AO182" s="1051"/>
      <c r="AP182" s="1052"/>
      <c r="AQ182" s="1051"/>
      <c r="AR182" s="1051"/>
      <c r="AS182" s="1052"/>
      <c r="AT182" s="1051"/>
      <c r="AU182" s="1051"/>
      <c r="AV182" s="1052"/>
      <c r="AW182" s="1051"/>
      <c r="AX182" s="1051"/>
      <c r="AY182" s="1053"/>
      <c r="AZ182" s="1051"/>
      <c r="BA182" s="1051"/>
      <c r="BB182" s="1053"/>
      <c r="BC182" s="1051"/>
      <c r="BD182" s="1051"/>
      <c r="BE182" s="1053"/>
      <c r="BF182" s="1051"/>
      <c r="BG182" s="1051"/>
      <c r="BH182" s="1053"/>
      <c r="BI182" s="1052"/>
      <c r="BJ182" s="1052"/>
      <c r="BK182" s="1052"/>
      <c r="BL182" s="1052"/>
      <c r="BM182" s="1052"/>
      <c r="BN182" s="1054"/>
      <c r="BO182" s="1076">
        <f t="shared" si="13"/>
        <v>0</v>
      </c>
      <c r="BP182" s="1051"/>
      <c r="BQ182" s="1052"/>
      <c r="BR182" s="1054"/>
      <c r="BS182" s="1053"/>
      <c r="BT182" s="1051"/>
      <c r="BU182" s="1051"/>
      <c r="BV182" s="1051"/>
      <c r="BW182" s="1052"/>
      <c r="BX182" s="1052"/>
      <c r="BY182" s="1052"/>
      <c r="BZ182" s="1052"/>
      <c r="CA182" s="1052"/>
      <c r="CB182" s="1053"/>
      <c r="CC182" s="1053"/>
      <c r="CD182" s="1053"/>
      <c r="CE182" s="1053"/>
      <c r="CF182" s="1053"/>
      <c r="CG182" s="1053"/>
      <c r="CH182" s="1053"/>
      <c r="CI182" s="1123"/>
      <c r="CJ182" s="1123"/>
      <c r="CK182" s="1123"/>
      <c r="CL182" s="1123"/>
      <c r="CM182" s="1123"/>
      <c r="CN182" s="1123"/>
      <c r="CO182" s="1123"/>
      <c r="CP182" s="1123"/>
      <c r="CQ182" s="1123"/>
      <c r="CR182" s="1123"/>
      <c r="CS182" s="1123"/>
      <c r="CT182" s="1123"/>
      <c r="CU182" s="1123"/>
      <c r="CV182" s="1123"/>
      <c r="CW182" s="1123"/>
      <c r="CX182" s="1123"/>
      <c r="CY182" s="1123"/>
      <c r="CZ182" s="1114"/>
      <c r="DA182" s="1114"/>
      <c r="DB182" s="1114"/>
      <c r="DC182" s="1114"/>
      <c r="DD182" s="1114"/>
      <c r="DE182" s="1114"/>
      <c r="DF182" s="1114"/>
      <c r="DG182" s="1114"/>
      <c r="DH182" s="1114"/>
      <c r="DI182" s="1114"/>
      <c r="DJ182" s="1114"/>
      <c r="DK182" s="1114"/>
      <c r="DL182" s="1114"/>
      <c r="DM182" s="1114"/>
      <c r="DN182" s="1114"/>
      <c r="DO182" s="1114"/>
      <c r="DP182" s="1114"/>
      <c r="DQ182" s="1114"/>
      <c r="DR182" s="1114"/>
      <c r="DS182" s="1114"/>
      <c r="DT182" s="1114"/>
      <c r="DU182" s="1114"/>
      <c r="DV182" s="1115"/>
      <c r="DW182" s="1116"/>
      <c r="DX182" s="1116"/>
      <c r="DY182" s="1116"/>
      <c r="DZ182" s="1116"/>
      <c r="EA182" s="1116"/>
      <c r="EB182" s="1116"/>
      <c r="EC182" s="1116"/>
      <c r="ED182" s="1116"/>
      <c r="EE182" s="1116"/>
      <c r="EF182" s="1116"/>
      <c r="EG182" s="1116"/>
      <c r="EH182" s="1116"/>
      <c r="EI182" s="1116"/>
      <c r="EJ182" s="1116"/>
      <c r="EK182" s="1116"/>
      <c r="EL182" s="1116"/>
      <c r="EM182" s="1116"/>
      <c r="EN182" s="1116"/>
      <c r="EO182" s="1116"/>
      <c r="EP182" s="1116"/>
      <c r="EQ182" s="1116"/>
      <c r="ER182" s="1116"/>
      <c r="ES182" s="1116"/>
    </row>
    <row r="183" spans="1:149" ht="15" customHeight="1">
      <c r="A183" s="1799">
        <v>168</v>
      </c>
      <c r="B183" s="1041"/>
      <c r="C183" s="1050"/>
      <c r="D183" s="1050"/>
      <c r="E183" s="1050"/>
      <c r="F183" s="1049"/>
      <c r="G183" s="1457"/>
      <c r="H183" s="1049"/>
      <c r="I183" s="1049"/>
      <c r="J183" s="1050"/>
      <c r="K183" s="1050"/>
      <c r="L183" s="1043"/>
      <c r="M183" s="1051"/>
      <c r="N183" s="1051"/>
      <c r="O183" s="1052"/>
      <c r="P183" s="1051"/>
      <c r="Q183" s="1051"/>
      <c r="R183" s="1052"/>
      <c r="S183" s="1051"/>
      <c r="T183" s="1051"/>
      <c r="U183" s="1052"/>
      <c r="V183" s="1051"/>
      <c r="W183" s="1051"/>
      <c r="X183" s="1052"/>
      <c r="Y183" s="1053"/>
      <c r="Z183" s="1051"/>
      <c r="AA183" s="1051"/>
      <c r="AB183" s="1052"/>
      <c r="AC183" s="1051"/>
      <c r="AD183" s="1051"/>
      <c r="AE183" s="1052"/>
      <c r="AF183" s="1051"/>
      <c r="AG183" s="1051"/>
      <c r="AH183" s="1051"/>
      <c r="AI183" s="1051"/>
      <c r="AJ183" s="1052"/>
      <c r="AK183" s="1051"/>
      <c r="AL183" s="1051"/>
      <c r="AM183" s="1052"/>
      <c r="AN183" s="1051"/>
      <c r="AO183" s="1051"/>
      <c r="AP183" s="1052"/>
      <c r="AQ183" s="1051"/>
      <c r="AR183" s="1051"/>
      <c r="AS183" s="1052"/>
      <c r="AT183" s="1051"/>
      <c r="AU183" s="1051"/>
      <c r="AV183" s="1052"/>
      <c r="AW183" s="1051"/>
      <c r="AX183" s="1051"/>
      <c r="AY183" s="1053"/>
      <c r="AZ183" s="1051"/>
      <c r="BA183" s="1051"/>
      <c r="BB183" s="1053"/>
      <c r="BC183" s="1051"/>
      <c r="BD183" s="1051"/>
      <c r="BE183" s="1053"/>
      <c r="BF183" s="1051"/>
      <c r="BG183" s="1051"/>
      <c r="BH183" s="1053"/>
      <c r="BI183" s="1052"/>
      <c r="BJ183" s="1052"/>
      <c r="BK183" s="1052"/>
      <c r="BL183" s="1052"/>
      <c r="BM183" s="1052"/>
      <c r="BN183" s="1054"/>
      <c r="BO183" s="1076">
        <f t="shared" si="13"/>
        <v>0</v>
      </c>
      <c r="BP183" s="1051"/>
      <c r="BQ183" s="1052"/>
      <c r="BR183" s="1054"/>
      <c r="BS183" s="1053"/>
      <c r="BT183" s="1051"/>
      <c r="BU183" s="1051"/>
      <c r="BV183" s="1051"/>
      <c r="BW183" s="1052"/>
      <c r="BX183" s="1052"/>
      <c r="BY183" s="1052"/>
      <c r="BZ183" s="1052"/>
      <c r="CA183" s="1052"/>
      <c r="CB183" s="1053"/>
      <c r="CC183" s="1053"/>
      <c r="CD183" s="1053"/>
      <c r="CE183" s="1053"/>
      <c r="CF183" s="1053"/>
      <c r="CG183" s="1053"/>
      <c r="CH183" s="1053"/>
      <c r="CI183" s="1123"/>
      <c r="CJ183" s="1123"/>
      <c r="CK183" s="1123"/>
      <c r="CL183" s="1123"/>
      <c r="CM183" s="1123"/>
      <c r="CN183" s="1123"/>
      <c r="CO183" s="1123"/>
      <c r="CP183" s="1123"/>
      <c r="CQ183" s="1123"/>
      <c r="CR183" s="1123"/>
      <c r="CS183" s="1123"/>
      <c r="CT183" s="1123"/>
      <c r="CU183" s="1123"/>
      <c r="CV183" s="1123"/>
      <c r="CW183" s="1123"/>
      <c r="CX183" s="1123"/>
      <c r="CY183" s="1123"/>
      <c r="CZ183" s="1114"/>
      <c r="DA183" s="1114"/>
      <c r="DB183" s="1114"/>
      <c r="DC183" s="1114"/>
      <c r="DD183" s="1114"/>
      <c r="DE183" s="1114"/>
      <c r="DF183" s="1114"/>
      <c r="DG183" s="1114"/>
      <c r="DH183" s="1114"/>
      <c r="DI183" s="1114"/>
      <c r="DJ183" s="1114"/>
      <c r="DK183" s="1114"/>
      <c r="DL183" s="1114"/>
      <c r="DM183" s="1114"/>
      <c r="DN183" s="1114"/>
      <c r="DO183" s="1114"/>
      <c r="DP183" s="1114"/>
      <c r="DQ183" s="1114"/>
      <c r="DR183" s="1114"/>
      <c r="DS183" s="1114"/>
      <c r="DT183" s="1114"/>
      <c r="DU183" s="1114"/>
      <c r="DV183" s="1115"/>
      <c r="DW183" s="1116"/>
      <c r="DX183" s="1116"/>
      <c r="DY183" s="1116"/>
      <c r="DZ183" s="1116"/>
      <c r="EA183" s="1116"/>
      <c r="EB183" s="1116"/>
      <c r="EC183" s="1116"/>
      <c r="ED183" s="1116"/>
      <c r="EE183" s="1116"/>
      <c r="EF183" s="1116"/>
      <c r="EG183" s="1116"/>
      <c r="EH183" s="1116"/>
      <c r="EI183" s="1116"/>
      <c r="EJ183" s="1116"/>
      <c r="EK183" s="1116"/>
      <c r="EL183" s="1116"/>
      <c r="EM183" s="1116"/>
      <c r="EN183" s="1116"/>
      <c r="EO183" s="1116"/>
      <c r="EP183" s="1116"/>
      <c r="EQ183" s="1116"/>
      <c r="ER183" s="1116"/>
      <c r="ES183" s="1116"/>
    </row>
    <row r="184" spans="1:149" ht="15" customHeight="1">
      <c r="A184" s="1799">
        <v>169</v>
      </c>
      <c r="B184" s="1041"/>
      <c r="C184" s="1050"/>
      <c r="D184" s="1050"/>
      <c r="E184" s="1050"/>
      <c r="F184" s="1049"/>
      <c r="G184" s="1457"/>
      <c r="H184" s="1049"/>
      <c r="I184" s="1049"/>
      <c r="J184" s="1050"/>
      <c r="K184" s="1050"/>
      <c r="L184" s="1043"/>
      <c r="M184" s="1051"/>
      <c r="N184" s="1051"/>
      <c r="O184" s="1052"/>
      <c r="P184" s="1051"/>
      <c r="Q184" s="1051"/>
      <c r="R184" s="1052"/>
      <c r="S184" s="1051"/>
      <c r="T184" s="1051"/>
      <c r="U184" s="1052"/>
      <c r="V184" s="1051"/>
      <c r="W184" s="1051"/>
      <c r="X184" s="1052"/>
      <c r="Y184" s="1053"/>
      <c r="Z184" s="1051"/>
      <c r="AA184" s="1051"/>
      <c r="AB184" s="1052"/>
      <c r="AC184" s="1051"/>
      <c r="AD184" s="1051"/>
      <c r="AE184" s="1052"/>
      <c r="AF184" s="1051"/>
      <c r="AG184" s="1051"/>
      <c r="AH184" s="1051"/>
      <c r="AI184" s="1051"/>
      <c r="AJ184" s="1052"/>
      <c r="AK184" s="1051"/>
      <c r="AL184" s="1051"/>
      <c r="AM184" s="1052"/>
      <c r="AN184" s="1051"/>
      <c r="AO184" s="1051"/>
      <c r="AP184" s="1052"/>
      <c r="AQ184" s="1051"/>
      <c r="AR184" s="1051"/>
      <c r="AS184" s="1052"/>
      <c r="AT184" s="1051"/>
      <c r="AU184" s="1051"/>
      <c r="AV184" s="1052"/>
      <c r="AW184" s="1051"/>
      <c r="AX184" s="1051"/>
      <c r="AY184" s="1053"/>
      <c r="AZ184" s="1051"/>
      <c r="BA184" s="1051"/>
      <c r="BB184" s="1053"/>
      <c r="BC184" s="1051"/>
      <c r="BD184" s="1051"/>
      <c r="BE184" s="1053"/>
      <c r="BF184" s="1051"/>
      <c r="BG184" s="1051"/>
      <c r="BH184" s="1053"/>
      <c r="BI184" s="1052"/>
      <c r="BJ184" s="1052"/>
      <c r="BK184" s="1052"/>
      <c r="BL184" s="1052"/>
      <c r="BM184" s="1052"/>
      <c r="BN184" s="1054"/>
      <c r="BO184" s="1076">
        <f t="shared" si="13"/>
        <v>0</v>
      </c>
      <c r="BP184" s="1051"/>
      <c r="BQ184" s="1052"/>
      <c r="BR184" s="1054"/>
      <c r="BS184" s="1053"/>
      <c r="BT184" s="1051"/>
      <c r="BU184" s="1051"/>
      <c r="BV184" s="1051"/>
      <c r="BW184" s="1052"/>
      <c r="BX184" s="1052"/>
      <c r="BY184" s="1052"/>
      <c r="BZ184" s="1052"/>
      <c r="CA184" s="1052"/>
      <c r="CB184" s="1053"/>
      <c r="CC184" s="1053"/>
      <c r="CD184" s="1053"/>
      <c r="CE184" s="1053"/>
      <c r="CF184" s="1053"/>
      <c r="CG184" s="1053"/>
      <c r="CH184" s="1053"/>
      <c r="CI184" s="1123"/>
      <c r="CJ184" s="1123"/>
      <c r="CK184" s="1123"/>
      <c r="CL184" s="1123"/>
      <c r="CM184" s="1123"/>
      <c r="CN184" s="1123"/>
      <c r="CO184" s="1123"/>
      <c r="CP184" s="1123"/>
      <c r="CQ184" s="1123"/>
      <c r="CR184" s="1123"/>
      <c r="CS184" s="1123"/>
      <c r="CT184" s="1123"/>
      <c r="CU184" s="1123"/>
      <c r="CV184" s="1123"/>
      <c r="CW184" s="1123"/>
      <c r="CX184" s="1123"/>
      <c r="CY184" s="1123"/>
      <c r="CZ184" s="1114"/>
      <c r="DA184" s="1114"/>
      <c r="DB184" s="1114"/>
      <c r="DC184" s="1114"/>
      <c r="DD184" s="1114"/>
      <c r="DE184" s="1114"/>
      <c r="DF184" s="1114"/>
      <c r="DG184" s="1114"/>
      <c r="DH184" s="1114"/>
      <c r="DI184" s="1114"/>
      <c r="DJ184" s="1114"/>
      <c r="DK184" s="1114"/>
      <c r="DL184" s="1114"/>
      <c r="DM184" s="1114"/>
      <c r="DN184" s="1114"/>
      <c r="DO184" s="1114"/>
      <c r="DP184" s="1114"/>
      <c r="DQ184" s="1114"/>
      <c r="DR184" s="1114"/>
      <c r="DS184" s="1114"/>
      <c r="DT184" s="1114"/>
      <c r="DU184" s="1114"/>
      <c r="DV184" s="1115"/>
      <c r="DW184" s="1116"/>
      <c r="DX184" s="1116"/>
      <c r="DY184" s="1116"/>
      <c r="DZ184" s="1116"/>
      <c r="EA184" s="1116"/>
      <c r="EB184" s="1116"/>
      <c r="EC184" s="1116"/>
      <c r="ED184" s="1116"/>
      <c r="EE184" s="1116"/>
      <c r="EF184" s="1116"/>
      <c r="EG184" s="1116"/>
      <c r="EH184" s="1116"/>
      <c r="EI184" s="1116"/>
      <c r="EJ184" s="1116"/>
      <c r="EK184" s="1116"/>
      <c r="EL184" s="1116"/>
      <c r="EM184" s="1116"/>
      <c r="EN184" s="1116"/>
      <c r="EO184" s="1116"/>
      <c r="EP184" s="1116"/>
      <c r="EQ184" s="1116"/>
      <c r="ER184" s="1116"/>
      <c r="ES184" s="1116"/>
    </row>
    <row r="185" spans="1:149" ht="15" customHeight="1">
      <c r="A185" s="1799">
        <v>170</v>
      </c>
      <c r="B185" s="1041"/>
      <c r="C185" s="1050"/>
      <c r="D185" s="1050"/>
      <c r="E185" s="1050"/>
      <c r="F185" s="1049"/>
      <c r="G185" s="1457"/>
      <c r="H185" s="1049"/>
      <c r="I185" s="1049"/>
      <c r="J185" s="1050"/>
      <c r="K185" s="1050"/>
      <c r="L185" s="1043"/>
      <c r="M185" s="1051"/>
      <c r="N185" s="1051"/>
      <c r="O185" s="1052"/>
      <c r="P185" s="1051"/>
      <c r="Q185" s="1051"/>
      <c r="R185" s="1052"/>
      <c r="S185" s="1051"/>
      <c r="T185" s="1051"/>
      <c r="U185" s="1052"/>
      <c r="V185" s="1051"/>
      <c r="W185" s="1051"/>
      <c r="X185" s="1052"/>
      <c r="Y185" s="1053"/>
      <c r="Z185" s="1051"/>
      <c r="AA185" s="1051"/>
      <c r="AB185" s="1052"/>
      <c r="AC185" s="1051"/>
      <c r="AD185" s="1051"/>
      <c r="AE185" s="1052"/>
      <c r="AF185" s="1051"/>
      <c r="AG185" s="1051"/>
      <c r="AH185" s="1051"/>
      <c r="AI185" s="1051"/>
      <c r="AJ185" s="1052"/>
      <c r="AK185" s="1051"/>
      <c r="AL185" s="1051"/>
      <c r="AM185" s="1052"/>
      <c r="AN185" s="1051"/>
      <c r="AO185" s="1051"/>
      <c r="AP185" s="1052"/>
      <c r="AQ185" s="1051"/>
      <c r="AR185" s="1051"/>
      <c r="AS185" s="1052"/>
      <c r="AT185" s="1051"/>
      <c r="AU185" s="1051"/>
      <c r="AV185" s="1052"/>
      <c r="AW185" s="1051"/>
      <c r="AX185" s="1051"/>
      <c r="AY185" s="1053"/>
      <c r="AZ185" s="1051"/>
      <c r="BA185" s="1051"/>
      <c r="BB185" s="1053"/>
      <c r="BC185" s="1051"/>
      <c r="BD185" s="1051"/>
      <c r="BE185" s="1053"/>
      <c r="BF185" s="1051"/>
      <c r="BG185" s="1051"/>
      <c r="BH185" s="1053"/>
      <c r="BI185" s="1052"/>
      <c r="BJ185" s="1052"/>
      <c r="BK185" s="1052"/>
      <c r="BL185" s="1052"/>
      <c r="BM185" s="1052"/>
      <c r="BN185" s="1054"/>
      <c r="BO185" s="1076">
        <f t="shared" si="13"/>
        <v>0</v>
      </c>
      <c r="BP185" s="1051"/>
      <c r="BQ185" s="1052"/>
      <c r="BR185" s="1054"/>
      <c r="BS185" s="1053"/>
      <c r="BT185" s="1051"/>
      <c r="BU185" s="1051"/>
      <c r="BV185" s="1051"/>
      <c r="BW185" s="1052"/>
      <c r="BX185" s="1052"/>
      <c r="BY185" s="1052"/>
      <c r="BZ185" s="1052"/>
      <c r="CA185" s="1052"/>
      <c r="CB185" s="1053"/>
      <c r="CC185" s="1053"/>
      <c r="CD185" s="1053"/>
      <c r="CE185" s="1053"/>
      <c r="CF185" s="1053"/>
      <c r="CG185" s="1053"/>
      <c r="CH185" s="1053"/>
      <c r="CI185" s="1123"/>
      <c r="CJ185" s="1123"/>
      <c r="CK185" s="1123"/>
      <c r="CL185" s="1123"/>
      <c r="CM185" s="1123"/>
      <c r="CN185" s="1123"/>
      <c r="CO185" s="1123"/>
      <c r="CP185" s="1123"/>
      <c r="CQ185" s="1123"/>
      <c r="CR185" s="1123"/>
      <c r="CS185" s="1123"/>
      <c r="CT185" s="1123"/>
      <c r="CU185" s="1123"/>
      <c r="CV185" s="1123"/>
      <c r="CW185" s="1123"/>
      <c r="CX185" s="1123"/>
      <c r="CY185" s="1123"/>
      <c r="CZ185" s="1114"/>
      <c r="DA185" s="1114"/>
      <c r="DB185" s="1114"/>
      <c r="DC185" s="1114"/>
      <c r="DD185" s="1114"/>
      <c r="DE185" s="1114"/>
      <c r="DF185" s="1114"/>
      <c r="DG185" s="1114"/>
      <c r="DH185" s="1114"/>
      <c r="DI185" s="1114"/>
      <c r="DJ185" s="1114"/>
      <c r="DK185" s="1114"/>
      <c r="DL185" s="1114"/>
      <c r="DM185" s="1114"/>
      <c r="DN185" s="1114"/>
      <c r="DO185" s="1114"/>
      <c r="DP185" s="1114"/>
      <c r="DQ185" s="1114"/>
      <c r="DR185" s="1114"/>
      <c r="DS185" s="1114"/>
      <c r="DT185" s="1114"/>
      <c r="DU185" s="1114"/>
      <c r="DV185" s="1115"/>
      <c r="DW185" s="1116"/>
      <c r="DX185" s="1116"/>
      <c r="DY185" s="1116"/>
      <c r="DZ185" s="1116"/>
      <c r="EA185" s="1116"/>
      <c r="EB185" s="1116"/>
      <c r="EC185" s="1116"/>
      <c r="ED185" s="1116"/>
      <c r="EE185" s="1116"/>
      <c r="EF185" s="1116"/>
      <c r="EG185" s="1116"/>
      <c r="EH185" s="1116"/>
      <c r="EI185" s="1116"/>
      <c r="EJ185" s="1116"/>
      <c r="EK185" s="1116"/>
      <c r="EL185" s="1116"/>
      <c r="EM185" s="1116"/>
      <c r="EN185" s="1116"/>
      <c r="EO185" s="1116"/>
      <c r="EP185" s="1116"/>
      <c r="EQ185" s="1116"/>
      <c r="ER185" s="1116"/>
      <c r="ES185" s="1116"/>
    </row>
    <row r="186" spans="1:149" ht="15" customHeight="1">
      <c r="A186" s="1799">
        <v>171</v>
      </c>
      <c r="B186" s="1041"/>
      <c r="C186" s="1050"/>
      <c r="D186" s="1050"/>
      <c r="E186" s="1050"/>
      <c r="F186" s="1049"/>
      <c r="G186" s="1457"/>
      <c r="H186" s="1049"/>
      <c r="I186" s="1049"/>
      <c r="J186" s="1050"/>
      <c r="K186" s="1050"/>
      <c r="L186" s="1043"/>
      <c r="M186" s="1051"/>
      <c r="N186" s="1051"/>
      <c r="O186" s="1052"/>
      <c r="P186" s="1051"/>
      <c r="Q186" s="1051"/>
      <c r="R186" s="1052"/>
      <c r="S186" s="1051"/>
      <c r="T186" s="1051"/>
      <c r="U186" s="1052"/>
      <c r="V186" s="1051"/>
      <c r="W186" s="1051"/>
      <c r="X186" s="1052"/>
      <c r="Y186" s="1053"/>
      <c r="Z186" s="1051"/>
      <c r="AA186" s="1051"/>
      <c r="AB186" s="1052"/>
      <c r="AC186" s="1051"/>
      <c r="AD186" s="1051"/>
      <c r="AE186" s="1052"/>
      <c r="AF186" s="1051"/>
      <c r="AG186" s="1051"/>
      <c r="AH186" s="1051"/>
      <c r="AI186" s="1051"/>
      <c r="AJ186" s="1052"/>
      <c r="AK186" s="1051"/>
      <c r="AL186" s="1051"/>
      <c r="AM186" s="1052"/>
      <c r="AN186" s="1051"/>
      <c r="AO186" s="1051"/>
      <c r="AP186" s="1052"/>
      <c r="AQ186" s="1051"/>
      <c r="AR186" s="1051"/>
      <c r="AS186" s="1052"/>
      <c r="AT186" s="1051"/>
      <c r="AU186" s="1051"/>
      <c r="AV186" s="1052"/>
      <c r="AW186" s="1051"/>
      <c r="AX186" s="1051"/>
      <c r="AY186" s="1053"/>
      <c r="AZ186" s="1051"/>
      <c r="BA186" s="1051"/>
      <c r="BB186" s="1053"/>
      <c r="BC186" s="1051"/>
      <c r="BD186" s="1051"/>
      <c r="BE186" s="1053"/>
      <c r="BF186" s="1051"/>
      <c r="BG186" s="1051"/>
      <c r="BH186" s="1053"/>
      <c r="BI186" s="1052"/>
      <c r="BJ186" s="1052"/>
      <c r="BK186" s="1052"/>
      <c r="BL186" s="1052"/>
      <c r="BM186" s="1052"/>
      <c r="BN186" s="1054"/>
      <c r="BO186" s="1076">
        <f t="shared" si="13"/>
        <v>0</v>
      </c>
      <c r="BP186" s="1051"/>
      <c r="BQ186" s="1052"/>
      <c r="BR186" s="1054"/>
      <c r="BS186" s="1053"/>
      <c r="BT186" s="1051"/>
      <c r="BU186" s="1051"/>
      <c r="BV186" s="1051"/>
      <c r="BW186" s="1052"/>
      <c r="BX186" s="1052"/>
      <c r="BY186" s="1052"/>
      <c r="BZ186" s="1052"/>
      <c r="CA186" s="1052"/>
      <c r="CB186" s="1053"/>
      <c r="CC186" s="1053"/>
      <c r="CD186" s="1053"/>
      <c r="CE186" s="1053"/>
      <c r="CF186" s="1053"/>
      <c r="CG186" s="1053"/>
      <c r="CH186" s="1053"/>
      <c r="CI186" s="1123"/>
      <c r="CJ186" s="1123"/>
      <c r="CK186" s="1123"/>
      <c r="CL186" s="1123"/>
      <c r="CM186" s="1123"/>
      <c r="CN186" s="1123"/>
      <c r="CO186" s="1123"/>
      <c r="CP186" s="1123"/>
      <c r="CQ186" s="1123"/>
      <c r="CR186" s="1123"/>
      <c r="CS186" s="1123"/>
      <c r="CT186" s="1123"/>
      <c r="CU186" s="1123"/>
      <c r="CV186" s="1123"/>
      <c r="CW186" s="1123"/>
      <c r="CX186" s="1123"/>
      <c r="CY186" s="1123"/>
      <c r="CZ186" s="1114"/>
      <c r="DA186" s="1114"/>
      <c r="DB186" s="1114"/>
      <c r="DC186" s="1114"/>
      <c r="DD186" s="1114"/>
      <c r="DE186" s="1114"/>
      <c r="DF186" s="1114"/>
      <c r="DG186" s="1114"/>
      <c r="DH186" s="1114"/>
      <c r="DI186" s="1114"/>
      <c r="DJ186" s="1114"/>
      <c r="DK186" s="1114"/>
      <c r="DL186" s="1114"/>
      <c r="DM186" s="1114"/>
      <c r="DN186" s="1114"/>
      <c r="DO186" s="1114"/>
      <c r="DP186" s="1114"/>
      <c r="DQ186" s="1114"/>
      <c r="DR186" s="1114"/>
      <c r="DS186" s="1114"/>
      <c r="DT186" s="1114"/>
      <c r="DU186" s="1114"/>
      <c r="DV186" s="1115"/>
      <c r="DW186" s="1116"/>
      <c r="DX186" s="1116"/>
      <c r="DY186" s="1116"/>
      <c r="DZ186" s="1116"/>
      <c r="EA186" s="1116"/>
      <c r="EB186" s="1116"/>
      <c r="EC186" s="1116"/>
      <c r="ED186" s="1116"/>
      <c r="EE186" s="1116"/>
      <c r="EF186" s="1116"/>
      <c r="EG186" s="1116"/>
      <c r="EH186" s="1116"/>
      <c r="EI186" s="1116"/>
      <c r="EJ186" s="1116"/>
      <c r="EK186" s="1116"/>
      <c r="EL186" s="1116"/>
      <c r="EM186" s="1116"/>
      <c r="EN186" s="1116"/>
      <c r="EO186" s="1116"/>
      <c r="EP186" s="1116"/>
      <c r="EQ186" s="1116"/>
      <c r="ER186" s="1116"/>
      <c r="ES186" s="1116"/>
    </row>
    <row r="187" spans="1:149" ht="15" customHeight="1">
      <c r="A187" s="1799">
        <v>172</v>
      </c>
      <c r="B187" s="1041"/>
      <c r="C187" s="1050"/>
      <c r="D187" s="1050"/>
      <c r="E187" s="1050"/>
      <c r="F187" s="1049"/>
      <c r="G187" s="1457"/>
      <c r="H187" s="1049"/>
      <c r="I187" s="1049"/>
      <c r="J187" s="1050"/>
      <c r="K187" s="1050"/>
      <c r="L187" s="1043"/>
      <c r="M187" s="1051"/>
      <c r="N187" s="1051"/>
      <c r="O187" s="1052"/>
      <c r="P187" s="1051"/>
      <c r="Q187" s="1051"/>
      <c r="R187" s="1052"/>
      <c r="S187" s="1051"/>
      <c r="T187" s="1051"/>
      <c r="U187" s="1052"/>
      <c r="V187" s="1051"/>
      <c r="W187" s="1051"/>
      <c r="X187" s="1052"/>
      <c r="Y187" s="1053"/>
      <c r="Z187" s="1051"/>
      <c r="AA187" s="1051"/>
      <c r="AB187" s="1052"/>
      <c r="AC187" s="1051"/>
      <c r="AD187" s="1051"/>
      <c r="AE187" s="1052"/>
      <c r="AF187" s="1051"/>
      <c r="AG187" s="1051"/>
      <c r="AH187" s="1051"/>
      <c r="AI187" s="1051"/>
      <c r="AJ187" s="1052"/>
      <c r="AK187" s="1051"/>
      <c r="AL187" s="1051"/>
      <c r="AM187" s="1052"/>
      <c r="AN187" s="1051"/>
      <c r="AO187" s="1051"/>
      <c r="AP187" s="1052"/>
      <c r="AQ187" s="1051"/>
      <c r="AR187" s="1051"/>
      <c r="AS187" s="1052"/>
      <c r="AT187" s="1051"/>
      <c r="AU187" s="1051"/>
      <c r="AV187" s="1052"/>
      <c r="AW187" s="1051"/>
      <c r="AX187" s="1051"/>
      <c r="AY187" s="1053"/>
      <c r="AZ187" s="1051"/>
      <c r="BA187" s="1051"/>
      <c r="BB187" s="1053"/>
      <c r="BC187" s="1051"/>
      <c r="BD187" s="1051"/>
      <c r="BE187" s="1053"/>
      <c r="BF187" s="1051"/>
      <c r="BG187" s="1051"/>
      <c r="BH187" s="1053"/>
      <c r="BI187" s="1052"/>
      <c r="BJ187" s="1052"/>
      <c r="BK187" s="1052"/>
      <c r="BL187" s="1052"/>
      <c r="BM187" s="1052"/>
      <c r="BN187" s="1054"/>
      <c r="BO187" s="1076">
        <f t="shared" si="13"/>
        <v>0</v>
      </c>
      <c r="BP187" s="1051"/>
      <c r="BQ187" s="1052"/>
      <c r="BR187" s="1054"/>
      <c r="BS187" s="1053"/>
      <c r="BT187" s="1051"/>
      <c r="BU187" s="1051"/>
      <c r="BV187" s="1051"/>
      <c r="BW187" s="1052"/>
      <c r="BX187" s="1052"/>
      <c r="BY187" s="1052"/>
      <c r="BZ187" s="1052"/>
      <c r="CA187" s="1052"/>
      <c r="CB187" s="1053"/>
      <c r="CC187" s="1053"/>
      <c r="CD187" s="1053"/>
      <c r="CE187" s="1053"/>
      <c r="CF187" s="1053"/>
      <c r="CG187" s="1053"/>
      <c r="CH187" s="1053"/>
      <c r="CI187" s="1123"/>
      <c r="CJ187" s="1123"/>
      <c r="CK187" s="1123"/>
      <c r="CL187" s="1123"/>
      <c r="CM187" s="1123"/>
      <c r="CN187" s="1123"/>
      <c r="CO187" s="1123"/>
      <c r="CP187" s="1123"/>
      <c r="CQ187" s="1123"/>
      <c r="CR187" s="1123"/>
      <c r="CS187" s="1123"/>
      <c r="CT187" s="1123"/>
      <c r="CU187" s="1123"/>
      <c r="CV187" s="1123"/>
      <c r="CW187" s="1123"/>
      <c r="CX187" s="1123"/>
      <c r="CY187" s="1123"/>
      <c r="CZ187" s="1114"/>
      <c r="DA187" s="1114"/>
      <c r="DB187" s="1114"/>
      <c r="DC187" s="1114"/>
      <c r="DD187" s="1114"/>
      <c r="DE187" s="1114"/>
      <c r="DF187" s="1114"/>
      <c r="DG187" s="1114"/>
      <c r="DH187" s="1114"/>
      <c r="DI187" s="1114"/>
      <c r="DJ187" s="1114"/>
      <c r="DK187" s="1114"/>
      <c r="DL187" s="1114"/>
      <c r="DM187" s="1114"/>
      <c r="DN187" s="1114"/>
      <c r="DO187" s="1114"/>
      <c r="DP187" s="1114"/>
      <c r="DQ187" s="1114"/>
      <c r="DR187" s="1114"/>
      <c r="DS187" s="1114"/>
      <c r="DT187" s="1114"/>
      <c r="DU187" s="1114"/>
      <c r="DV187" s="1115"/>
      <c r="DW187" s="1116"/>
      <c r="DX187" s="1116"/>
      <c r="DY187" s="1116"/>
      <c r="DZ187" s="1116"/>
      <c r="EA187" s="1116"/>
      <c r="EB187" s="1116"/>
      <c r="EC187" s="1116"/>
      <c r="ED187" s="1116"/>
      <c r="EE187" s="1116"/>
      <c r="EF187" s="1116"/>
      <c r="EG187" s="1116"/>
      <c r="EH187" s="1116"/>
      <c r="EI187" s="1116"/>
      <c r="EJ187" s="1116"/>
      <c r="EK187" s="1116"/>
      <c r="EL187" s="1116"/>
      <c r="EM187" s="1116"/>
      <c r="EN187" s="1116"/>
      <c r="EO187" s="1116"/>
      <c r="EP187" s="1116"/>
      <c r="EQ187" s="1116"/>
      <c r="ER187" s="1116"/>
      <c r="ES187" s="1116"/>
    </row>
    <row r="188" spans="1:149" ht="15" customHeight="1">
      <c r="A188" s="1799">
        <v>173</v>
      </c>
      <c r="B188" s="1041"/>
      <c r="C188" s="1050"/>
      <c r="D188" s="1050"/>
      <c r="E188" s="1050"/>
      <c r="F188" s="1049"/>
      <c r="G188" s="1457"/>
      <c r="H188" s="1049"/>
      <c r="I188" s="1049"/>
      <c r="J188" s="1050"/>
      <c r="K188" s="1050"/>
      <c r="L188" s="1043"/>
      <c r="M188" s="1051"/>
      <c r="N188" s="1051"/>
      <c r="O188" s="1052"/>
      <c r="P188" s="1051"/>
      <c r="Q188" s="1051"/>
      <c r="R188" s="1052"/>
      <c r="S188" s="1051"/>
      <c r="T188" s="1051"/>
      <c r="U188" s="1052"/>
      <c r="V188" s="1051"/>
      <c r="W188" s="1051"/>
      <c r="X188" s="1052"/>
      <c r="Y188" s="1053"/>
      <c r="Z188" s="1051"/>
      <c r="AA188" s="1051"/>
      <c r="AB188" s="1052"/>
      <c r="AC188" s="1051"/>
      <c r="AD188" s="1051"/>
      <c r="AE188" s="1052"/>
      <c r="AF188" s="1051"/>
      <c r="AG188" s="1051"/>
      <c r="AH188" s="1051"/>
      <c r="AI188" s="1051"/>
      <c r="AJ188" s="1052"/>
      <c r="AK188" s="1051"/>
      <c r="AL188" s="1051"/>
      <c r="AM188" s="1052"/>
      <c r="AN188" s="1051"/>
      <c r="AO188" s="1051"/>
      <c r="AP188" s="1052"/>
      <c r="AQ188" s="1051"/>
      <c r="AR188" s="1051"/>
      <c r="AS188" s="1052"/>
      <c r="AT188" s="1051"/>
      <c r="AU188" s="1051"/>
      <c r="AV188" s="1052"/>
      <c r="AW188" s="1051"/>
      <c r="AX188" s="1051"/>
      <c r="AY188" s="1053"/>
      <c r="AZ188" s="1051"/>
      <c r="BA188" s="1051"/>
      <c r="BB188" s="1053"/>
      <c r="BC188" s="1051"/>
      <c r="BD188" s="1051"/>
      <c r="BE188" s="1053"/>
      <c r="BF188" s="1051"/>
      <c r="BG188" s="1051"/>
      <c r="BH188" s="1053"/>
      <c r="BI188" s="1052"/>
      <c r="BJ188" s="1052"/>
      <c r="BK188" s="1052"/>
      <c r="BL188" s="1052"/>
      <c r="BM188" s="1052"/>
      <c r="BN188" s="1054"/>
      <c r="BO188" s="1076">
        <f t="shared" si="13"/>
        <v>0</v>
      </c>
      <c r="BP188" s="1051"/>
      <c r="BQ188" s="1052"/>
      <c r="BR188" s="1054"/>
      <c r="BS188" s="1053"/>
      <c r="BT188" s="1051"/>
      <c r="BU188" s="1051"/>
      <c r="BV188" s="1051"/>
      <c r="BW188" s="1052"/>
      <c r="BX188" s="1052"/>
      <c r="BY188" s="1052"/>
      <c r="BZ188" s="1052"/>
      <c r="CA188" s="1052"/>
      <c r="CB188" s="1053"/>
      <c r="CC188" s="1053"/>
      <c r="CD188" s="1053"/>
      <c r="CE188" s="1053"/>
      <c r="CF188" s="1053"/>
      <c r="CG188" s="1053"/>
      <c r="CH188" s="1053"/>
      <c r="CI188" s="1123"/>
      <c r="CJ188" s="1123"/>
      <c r="CK188" s="1123"/>
      <c r="CL188" s="1123"/>
      <c r="CM188" s="1123"/>
      <c r="CN188" s="1123"/>
      <c r="CO188" s="1123"/>
      <c r="CP188" s="1123"/>
      <c r="CQ188" s="1123"/>
      <c r="CR188" s="1123"/>
      <c r="CS188" s="1123"/>
      <c r="CT188" s="1123"/>
      <c r="CU188" s="1123"/>
      <c r="CV188" s="1123"/>
      <c r="CW188" s="1123"/>
      <c r="CX188" s="1123"/>
      <c r="CY188" s="1123"/>
      <c r="CZ188" s="1114"/>
      <c r="DA188" s="1114"/>
      <c r="DB188" s="1114"/>
      <c r="DC188" s="1114"/>
      <c r="DD188" s="1114"/>
      <c r="DE188" s="1114"/>
      <c r="DF188" s="1114"/>
      <c r="DG188" s="1114"/>
      <c r="DH188" s="1114"/>
      <c r="DI188" s="1114"/>
      <c r="DJ188" s="1114"/>
      <c r="DK188" s="1114"/>
      <c r="DL188" s="1114"/>
      <c r="DM188" s="1114"/>
      <c r="DN188" s="1114"/>
      <c r="DO188" s="1114"/>
      <c r="DP188" s="1114"/>
      <c r="DQ188" s="1114"/>
      <c r="DR188" s="1114"/>
      <c r="DS188" s="1114"/>
      <c r="DT188" s="1114"/>
      <c r="DU188" s="1114"/>
      <c r="DV188" s="1115"/>
      <c r="DW188" s="1116"/>
      <c r="DX188" s="1116"/>
      <c r="DY188" s="1116"/>
      <c r="DZ188" s="1116"/>
      <c r="EA188" s="1116"/>
      <c r="EB188" s="1116"/>
      <c r="EC188" s="1116"/>
      <c r="ED188" s="1116"/>
      <c r="EE188" s="1116"/>
      <c r="EF188" s="1116"/>
      <c r="EG188" s="1116"/>
      <c r="EH188" s="1116"/>
      <c r="EI188" s="1116"/>
      <c r="EJ188" s="1116"/>
      <c r="EK188" s="1116"/>
      <c r="EL188" s="1116"/>
      <c r="EM188" s="1116"/>
      <c r="EN188" s="1116"/>
      <c r="EO188" s="1116"/>
      <c r="EP188" s="1116"/>
      <c r="EQ188" s="1116"/>
      <c r="ER188" s="1116"/>
      <c r="ES188" s="1116"/>
    </row>
    <row r="189" spans="1:149" ht="15" customHeight="1">
      <c r="A189" s="1799">
        <v>174</v>
      </c>
      <c r="B189" s="1041"/>
      <c r="C189" s="1050"/>
      <c r="D189" s="1050"/>
      <c r="E189" s="1050"/>
      <c r="F189" s="1049"/>
      <c r="G189" s="1457"/>
      <c r="H189" s="1049"/>
      <c r="I189" s="1049"/>
      <c r="J189" s="1050"/>
      <c r="K189" s="1050"/>
      <c r="L189" s="1043"/>
      <c r="M189" s="1051"/>
      <c r="N189" s="1051"/>
      <c r="O189" s="1052"/>
      <c r="P189" s="1051"/>
      <c r="Q189" s="1051"/>
      <c r="R189" s="1052"/>
      <c r="S189" s="1051"/>
      <c r="T189" s="1051"/>
      <c r="U189" s="1052"/>
      <c r="V189" s="1051"/>
      <c r="W189" s="1051"/>
      <c r="X189" s="1052"/>
      <c r="Y189" s="1053"/>
      <c r="Z189" s="1051"/>
      <c r="AA189" s="1051"/>
      <c r="AB189" s="1052"/>
      <c r="AC189" s="1051"/>
      <c r="AD189" s="1051"/>
      <c r="AE189" s="1052"/>
      <c r="AF189" s="1051"/>
      <c r="AG189" s="1051"/>
      <c r="AH189" s="1051"/>
      <c r="AI189" s="1051"/>
      <c r="AJ189" s="1052"/>
      <c r="AK189" s="1051"/>
      <c r="AL189" s="1051"/>
      <c r="AM189" s="1052"/>
      <c r="AN189" s="1051"/>
      <c r="AO189" s="1051"/>
      <c r="AP189" s="1052"/>
      <c r="AQ189" s="1051"/>
      <c r="AR189" s="1051"/>
      <c r="AS189" s="1052"/>
      <c r="AT189" s="1051"/>
      <c r="AU189" s="1051"/>
      <c r="AV189" s="1052"/>
      <c r="AW189" s="1051"/>
      <c r="AX189" s="1051"/>
      <c r="AY189" s="1053"/>
      <c r="AZ189" s="1051"/>
      <c r="BA189" s="1051"/>
      <c r="BB189" s="1053"/>
      <c r="BC189" s="1051"/>
      <c r="BD189" s="1051"/>
      <c r="BE189" s="1053"/>
      <c r="BF189" s="1051"/>
      <c r="BG189" s="1051"/>
      <c r="BH189" s="1053"/>
      <c r="BI189" s="1052"/>
      <c r="BJ189" s="1052"/>
      <c r="BK189" s="1052"/>
      <c r="BL189" s="1052"/>
      <c r="BM189" s="1052"/>
      <c r="BN189" s="1054"/>
      <c r="BO189" s="1076">
        <f t="shared" si="13"/>
        <v>0</v>
      </c>
      <c r="BP189" s="1051"/>
      <c r="BQ189" s="1052"/>
      <c r="BR189" s="1054"/>
      <c r="BS189" s="1053"/>
      <c r="BT189" s="1051"/>
      <c r="BU189" s="1051"/>
      <c r="BV189" s="1051"/>
      <c r="BW189" s="1052"/>
      <c r="BX189" s="1052"/>
      <c r="BY189" s="1052"/>
      <c r="BZ189" s="1052"/>
      <c r="CA189" s="1052"/>
      <c r="CB189" s="1053"/>
      <c r="CC189" s="1053"/>
      <c r="CD189" s="1053"/>
      <c r="CE189" s="1053"/>
      <c r="CF189" s="1053"/>
      <c r="CG189" s="1053"/>
      <c r="CH189" s="1053"/>
      <c r="CI189" s="1123"/>
      <c r="CJ189" s="1123"/>
      <c r="CK189" s="1123"/>
      <c r="CL189" s="1123"/>
      <c r="CM189" s="1123"/>
      <c r="CN189" s="1123"/>
      <c r="CO189" s="1123"/>
      <c r="CP189" s="1123"/>
      <c r="CQ189" s="1123"/>
      <c r="CR189" s="1123"/>
      <c r="CS189" s="1123"/>
      <c r="CT189" s="1123"/>
      <c r="CU189" s="1123"/>
      <c r="CV189" s="1123"/>
      <c r="CW189" s="1123"/>
      <c r="CX189" s="1123"/>
      <c r="CY189" s="1123"/>
      <c r="CZ189" s="1114"/>
      <c r="DA189" s="1114"/>
      <c r="DB189" s="1114"/>
      <c r="DC189" s="1114"/>
      <c r="DD189" s="1114"/>
      <c r="DE189" s="1114"/>
      <c r="DF189" s="1114"/>
      <c r="DG189" s="1114"/>
      <c r="DH189" s="1114"/>
      <c r="DI189" s="1114"/>
      <c r="DJ189" s="1114"/>
      <c r="DK189" s="1114"/>
      <c r="DL189" s="1114"/>
      <c r="DM189" s="1114"/>
      <c r="DN189" s="1114"/>
      <c r="DO189" s="1114"/>
      <c r="DP189" s="1114"/>
      <c r="DQ189" s="1114"/>
      <c r="DR189" s="1114"/>
      <c r="DS189" s="1114"/>
      <c r="DT189" s="1114"/>
      <c r="DU189" s="1114"/>
      <c r="DV189" s="1115"/>
      <c r="DW189" s="1116"/>
      <c r="DX189" s="1116"/>
      <c r="DY189" s="1116"/>
      <c r="DZ189" s="1116"/>
      <c r="EA189" s="1116"/>
      <c r="EB189" s="1116"/>
      <c r="EC189" s="1116"/>
      <c r="ED189" s="1116"/>
      <c r="EE189" s="1116"/>
      <c r="EF189" s="1116"/>
      <c r="EG189" s="1116"/>
      <c r="EH189" s="1116"/>
      <c r="EI189" s="1116"/>
      <c r="EJ189" s="1116"/>
      <c r="EK189" s="1116"/>
      <c r="EL189" s="1116"/>
      <c r="EM189" s="1116"/>
      <c r="EN189" s="1116"/>
      <c r="EO189" s="1116"/>
      <c r="EP189" s="1116"/>
      <c r="EQ189" s="1116"/>
      <c r="ER189" s="1116"/>
      <c r="ES189" s="1116"/>
    </row>
    <row r="190" spans="1:149" ht="15" customHeight="1">
      <c r="A190" s="1799">
        <v>175</v>
      </c>
      <c r="B190" s="1041"/>
      <c r="C190" s="1050"/>
      <c r="D190" s="1050"/>
      <c r="E190" s="1050"/>
      <c r="F190" s="1049"/>
      <c r="G190" s="1457"/>
      <c r="H190" s="1049"/>
      <c r="I190" s="1049"/>
      <c r="J190" s="1050"/>
      <c r="K190" s="1050"/>
      <c r="L190" s="1043"/>
      <c r="M190" s="1051"/>
      <c r="N190" s="1051"/>
      <c r="O190" s="1052"/>
      <c r="P190" s="1051"/>
      <c r="Q190" s="1051"/>
      <c r="R190" s="1052"/>
      <c r="S190" s="1051"/>
      <c r="T190" s="1051"/>
      <c r="U190" s="1052"/>
      <c r="V190" s="1051"/>
      <c r="W190" s="1051"/>
      <c r="X190" s="1052"/>
      <c r="Y190" s="1053"/>
      <c r="Z190" s="1051"/>
      <c r="AA190" s="1051"/>
      <c r="AB190" s="1052"/>
      <c r="AC190" s="1051"/>
      <c r="AD190" s="1051"/>
      <c r="AE190" s="1052"/>
      <c r="AF190" s="1051"/>
      <c r="AG190" s="1051"/>
      <c r="AH190" s="1051"/>
      <c r="AI190" s="1051"/>
      <c r="AJ190" s="1052"/>
      <c r="AK190" s="1051"/>
      <c r="AL190" s="1051"/>
      <c r="AM190" s="1052"/>
      <c r="AN190" s="1051"/>
      <c r="AO190" s="1051"/>
      <c r="AP190" s="1052"/>
      <c r="AQ190" s="1051"/>
      <c r="AR190" s="1051"/>
      <c r="AS190" s="1052"/>
      <c r="AT190" s="1051"/>
      <c r="AU190" s="1051"/>
      <c r="AV190" s="1052"/>
      <c r="AW190" s="1051"/>
      <c r="AX190" s="1051"/>
      <c r="AY190" s="1053"/>
      <c r="AZ190" s="1051"/>
      <c r="BA190" s="1051"/>
      <c r="BB190" s="1053"/>
      <c r="BC190" s="1051"/>
      <c r="BD190" s="1051"/>
      <c r="BE190" s="1053"/>
      <c r="BF190" s="1051"/>
      <c r="BG190" s="1051"/>
      <c r="BH190" s="1053"/>
      <c r="BI190" s="1052"/>
      <c r="BJ190" s="1052"/>
      <c r="BK190" s="1052"/>
      <c r="BL190" s="1052"/>
      <c r="BM190" s="1052"/>
      <c r="BN190" s="1054"/>
      <c r="BO190" s="1076">
        <f t="shared" si="13"/>
        <v>0</v>
      </c>
      <c r="BP190" s="1051"/>
      <c r="BQ190" s="1052"/>
      <c r="BR190" s="1054"/>
      <c r="BS190" s="1053"/>
      <c r="BT190" s="1051"/>
      <c r="BU190" s="1051"/>
      <c r="BV190" s="1051"/>
      <c r="BW190" s="1052"/>
      <c r="BX190" s="1052"/>
      <c r="BY190" s="1052"/>
      <c r="BZ190" s="1052"/>
      <c r="CA190" s="1052"/>
      <c r="CB190" s="1053"/>
      <c r="CC190" s="1053"/>
      <c r="CD190" s="1053"/>
      <c r="CE190" s="1053"/>
      <c r="CF190" s="1053"/>
      <c r="CG190" s="1053"/>
      <c r="CH190" s="1053"/>
      <c r="CI190" s="1123"/>
      <c r="CJ190" s="1123"/>
      <c r="CK190" s="1123"/>
      <c r="CL190" s="1123"/>
      <c r="CM190" s="1123"/>
      <c r="CN190" s="1123"/>
      <c r="CO190" s="1123"/>
      <c r="CP190" s="1123"/>
      <c r="CQ190" s="1123"/>
      <c r="CR190" s="1123"/>
      <c r="CS190" s="1123"/>
      <c r="CT190" s="1123"/>
      <c r="CU190" s="1123"/>
      <c r="CV190" s="1123"/>
      <c r="CW190" s="1123"/>
      <c r="CX190" s="1123"/>
      <c r="CY190" s="1123"/>
      <c r="CZ190" s="1114"/>
      <c r="DA190" s="1114"/>
      <c r="DB190" s="1114"/>
      <c r="DC190" s="1114"/>
      <c r="DD190" s="1114"/>
      <c r="DE190" s="1114"/>
      <c r="DF190" s="1114"/>
      <c r="DG190" s="1114"/>
      <c r="DH190" s="1114"/>
      <c r="DI190" s="1114"/>
      <c r="DJ190" s="1114"/>
      <c r="DK190" s="1114"/>
      <c r="DL190" s="1114"/>
      <c r="DM190" s="1114"/>
      <c r="DN190" s="1114"/>
      <c r="DO190" s="1114"/>
      <c r="DP190" s="1114"/>
      <c r="DQ190" s="1114"/>
      <c r="DR190" s="1114"/>
      <c r="DS190" s="1114"/>
      <c r="DT190" s="1114"/>
      <c r="DU190" s="1114"/>
      <c r="DV190" s="1115"/>
      <c r="DW190" s="1116"/>
      <c r="DX190" s="1116"/>
      <c r="DY190" s="1116"/>
      <c r="DZ190" s="1116"/>
      <c r="EA190" s="1116"/>
      <c r="EB190" s="1116"/>
      <c r="EC190" s="1116"/>
      <c r="ED190" s="1116"/>
      <c r="EE190" s="1116"/>
      <c r="EF190" s="1116"/>
      <c r="EG190" s="1116"/>
      <c r="EH190" s="1116"/>
      <c r="EI190" s="1116"/>
      <c r="EJ190" s="1116"/>
      <c r="EK190" s="1116"/>
      <c r="EL190" s="1116"/>
      <c r="EM190" s="1116"/>
      <c r="EN190" s="1116"/>
      <c r="EO190" s="1116"/>
      <c r="EP190" s="1116"/>
      <c r="EQ190" s="1116"/>
      <c r="ER190" s="1116"/>
      <c r="ES190" s="1116"/>
    </row>
    <row r="191" spans="1:149" ht="15" customHeight="1">
      <c r="A191" s="1799">
        <v>176</v>
      </c>
      <c r="B191" s="1041"/>
      <c r="C191" s="1050"/>
      <c r="D191" s="1050"/>
      <c r="E191" s="1050"/>
      <c r="F191" s="1049"/>
      <c r="G191" s="1457"/>
      <c r="H191" s="1049"/>
      <c r="I191" s="1049"/>
      <c r="J191" s="1050"/>
      <c r="K191" s="1050"/>
      <c r="L191" s="1043"/>
      <c r="M191" s="1051"/>
      <c r="N191" s="1051"/>
      <c r="O191" s="1052"/>
      <c r="P191" s="1051"/>
      <c r="Q191" s="1051"/>
      <c r="R191" s="1052"/>
      <c r="S191" s="1051"/>
      <c r="T191" s="1051"/>
      <c r="U191" s="1052"/>
      <c r="V191" s="1051"/>
      <c r="W191" s="1051"/>
      <c r="X191" s="1052"/>
      <c r="Y191" s="1053"/>
      <c r="Z191" s="1051"/>
      <c r="AA191" s="1051"/>
      <c r="AB191" s="1052"/>
      <c r="AC191" s="1051"/>
      <c r="AD191" s="1051"/>
      <c r="AE191" s="1052"/>
      <c r="AF191" s="1051"/>
      <c r="AG191" s="1051"/>
      <c r="AH191" s="1051"/>
      <c r="AI191" s="1051"/>
      <c r="AJ191" s="1052"/>
      <c r="AK191" s="1051"/>
      <c r="AL191" s="1051"/>
      <c r="AM191" s="1052"/>
      <c r="AN191" s="1051"/>
      <c r="AO191" s="1051"/>
      <c r="AP191" s="1052"/>
      <c r="AQ191" s="1051"/>
      <c r="AR191" s="1051"/>
      <c r="AS191" s="1052"/>
      <c r="AT191" s="1051"/>
      <c r="AU191" s="1051"/>
      <c r="AV191" s="1052"/>
      <c r="AW191" s="1051"/>
      <c r="AX191" s="1051"/>
      <c r="AY191" s="1053"/>
      <c r="AZ191" s="1051"/>
      <c r="BA191" s="1051"/>
      <c r="BB191" s="1053"/>
      <c r="BC191" s="1051"/>
      <c r="BD191" s="1051"/>
      <c r="BE191" s="1053"/>
      <c r="BF191" s="1051"/>
      <c r="BG191" s="1051"/>
      <c r="BH191" s="1053"/>
      <c r="BI191" s="1052"/>
      <c r="BJ191" s="1052"/>
      <c r="BK191" s="1052"/>
      <c r="BL191" s="1052"/>
      <c r="BM191" s="1052"/>
      <c r="BN191" s="1054"/>
      <c r="BO191" s="1076">
        <f t="shared" si="13"/>
        <v>0</v>
      </c>
      <c r="BP191" s="1051"/>
      <c r="BQ191" s="1052"/>
      <c r="BR191" s="1054"/>
      <c r="BS191" s="1053"/>
      <c r="BT191" s="1051"/>
      <c r="BU191" s="1051"/>
      <c r="BV191" s="1051"/>
      <c r="BW191" s="1052"/>
      <c r="BX191" s="1052"/>
      <c r="BY191" s="1052"/>
      <c r="BZ191" s="1052"/>
      <c r="CA191" s="1052"/>
      <c r="CB191" s="1053"/>
      <c r="CC191" s="1053"/>
      <c r="CD191" s="1053"/>
      <c r="CE191" s="1053"/>
      <c r="CF191" s="1053"/>
      <c r="CG191" s="1053"/>
      <c r="CH191" s="1053"/>
      <c r="CI191" s="1123"/>
      <c r="CJ191" s="1123"/>
      <c r="CK191" s="1123"/>
      <c r="CL191" s="1123"/>
      <c r="CM191" s="1123"/>
      <c r="CN191" s="1123"/>
      <c r="CO191" s="1123"/>
      <c r="CP191" s="1123"/>
      <c r="CQ191" s="1123"/>
      <c r="CR191" s="1123"/>
      <c r="CS191" s="1123"/>
      <c r="CT191" s="1123"/>
      <c r="CU191" s="1123"/>
      <c r="CV191" s="1123"/>
      <c r="CW191" s="1123"/>
      <c r="CX191" s="1123"/>
      <c r="CY191" s="1123"/>
      <c r="CZ191" s="1114"/>
      <c r="DA191" s="1114"/>
      <c r="DB191" s="1114"/>
      <c r="DC191" s="1114"/>
      <c r="DD191" s="1114"/>
      <c r="DE191" s="1114"/>
      <c r="DF191" s="1114"/>
      <c r="DG191" s="1114"/>
      <c r="DH191" s="1114"/>
      <c r="DI191" s="1114"/>
      <c r="DJ191" s="1114"/>
      <c r="DK191" s="1114"/>
      <c r="DL191" s="1114"/>
      <c r="DM191" s="1114"/>
      <c r="DN191" s="1114"/>
      <c r="DO191" s="1114"/>
      <c r="DP191" s="1114"/>
      <c r="DQ191" s="1114"/>
      <c r="DR191" s="1114"/>
      <c r="DS191" s="1114"/>
      <c r="DT191" s="1114"/>
      <c r="DU191" s="1114"/>
      <c r="DV191" s="1115"/>
      <c r="DW191" s="1116"/>
      <c r="DX191" s="1116"/>
      <c r="DY191" s="1116"/>
      <c r="DZ191" s="1116"/>
      <c r="EA191" s="1116"/>
      <c r="EB191" s="1116"/>
      <c r="EC191" s="1116"/>
      <c r="ED191" s="1116"/>
      <c r="EE191" s="1116"/>
      <c r="EF191" s="1116"/>
      <c r="EG191" s="1116"/>
      <c r="EH191" s="1116"/>
      <c r="EI191" s="1116"/>
      <c r="EJ191" s="1116"/>
      <c r="EK191" s="1116"/>
      <c r="EL191" s="1116"/>
      <c r="EM191" s="1116"/>
      <c r="EN191" s="1116"/>
      <c r="EO191" s="1116"/>
      <c r="EP191" s="1116"/>
      <c r="EQ191" s="1116"/>
      <c r="ER191" s="1116"/>
      <c r="ES191" s="1116"/>
    </row>
    <row r="192" spans="1:149" ht="15" customHeight="1">
      <c r="A192" s="1799">
        <v>177</v>
      </c>
      <c r="B192" s="1041"/>
      <c r="C192" s="1050"/>
      <c r="D192" s="1050"/>
      <c r="E192" s="1050"/>
      <c r="F192" s="1049"/>
      <c r="G192" s="1457"/>
      <c r="H192" s="1049"/>
      <c r="I192" s="1049"/>
      <c r="J192" s="1050"/>
      <c r="K192" s="1050"/>
      <c r="L192" s="1043"/>
      <c r="M192" s="1051"/>
      <c r="N192" s="1051"/>
      <c r="O192" s="1052"/>
      <c r="P192" s="1051"/>
      <c r="Q192" s="1051"/>
      <c r="R192" s="1052"/>
      <c r="S192" s="1051"/>
      <c r="T192" s="1051"/>
      <c r="U192" s="1052"/>
      <c r="V192" s="1051"/>
      <c r="W192" s="1051"/>
      <c r="X192" s="1052"/>
      <c r="Y192" s="1053"/>
      <c r="Z192" s="1051"/>
      <c r="AA192" s="1051"/>
      <c r="AB192" s="1052"/>
      <c r="AC192" s="1051"/>
      <c r="AD192" s="1051"/>
      <c r="AE192" s="1052"/>
      <c r="AF192" s="1051"/>
      <c r="AG192" s="1051"/>
      <c r="AH192" s="1051"/>
      <c r="AI192" s="1051"/>
      <c r="AJ192" s="1052"/>
      <c r="AK192" s="1051"/>
      <c r="AL192" s="1051"/>
      <c r="AM192" s="1052"/>
      <c r="AN192" s="1051"/>
      <c r="AO192" s="1051"/>
      <c r="AP192" s="1052"/>
      <c r="AQ192" s="1051"/>
      <c r="AR192" s="1051"/>
      <c r="AS192" s="1052"/>
      <c r="AT192" s="1051"/>
      <c r="AU192" s="1051"/>
      <c r="AV192" s="1052"/>
      <c r="AW192" s="1051"/>
      <c r="AX192" s="1051"/>
      <c r="AY192" s="1053"/>
      <c r="AZ192" s="1051"/>
      <c r="BA192" s="1051"/>
      <c r="BB192" s="1053"/>
      <c r="BC192" s="1051"/>
      <c r="BD192" s="1051"/>
      <c r="BE192" s="1053"/>
      <c r="BF192" s="1051"/>
      <c r="BG192" s="1051"/>
      <c r="BH192" s="1053"/>
      <c r="BI192" s="1052"/>
      <c r="BJ192" s="1052"/>
      <c r="BK192" s="1052"/>
      <c r="BL192" s="1052"/>
      <c r="BM192" s="1052"/>
      <c r="BN192" s="1054"/>
      <c r="BO192" s="1076">
        <f t="shared" si="13"/>
        <v>0</v>
      </c>
      <c r="BP192" s="1051"/>
      <c r="BQ192" s="1052"/>
      <c r="BR192" s="1054"/>
      <c r="BS192" s="1053"/>
      <c r="BT192" s="1051"/>
      <c r="BU192" s="1051"/>
      <c r="BV192" s="1051"/>
      <c r="BW192" s="1052"/>
      <c r="BX192" s="1052"/>
      <c r="BY192" s="1052"/>
      <c r="BZ192" s="1052"/>
      <c r="CA192" s="1052"/>
      <c r="CB192" s="1053"/>
      <c r="CC192" s="1053"/>
      <c r="CD192" s="1053"/>
      <c r="CE192" s="1053"/>
      <c r="CF192" s="1053"/>
      <c r="CG192" s="1053"/>
      <c r="CH192" s="1053"/>
      <c r="CI192" s="1123"/>
      <c r="CJ192" s="1123"/>
      <c r="CK192" s="1123"/>
      <c r="CL192" s="1123"/>
      <c r="CM192" s="1123"/>
      <c r="CN192" s="1123"/>
      <c r="CO192" s="1123"/>
      <c r="CP192" s="1123"/>
      <c r="CQ192" s="1123"/>
      <c r="CR192" s="1123"/>
      <c r="CS192" s="1123"/>
      <c r="CT192" s="1123"/>
      <c r="CU192" s="1123"/>
      <c r="CV192" s="1123"/>
      <c r="CW192" s="1123"/>
      <c r="CX192" s="1123"/>
      <c r="CY192" s="1123"/>
      <c r="CZ192" s="1114"/>
      <c r="DA192" s="1114"/>
      <c r="DB192" s="1114"/>
      <c r="DC192" s="1114"/>
      <c r="DD192" s="1114"/>
      <c r="DE192" s="1114"/>
      <c r="DF192" s="1114"/>
      <c r="DG192" s="1114"/>
      <c r="DH192" s="1114"/>
      <c r="DI192" s="1114"/>
      <c r="DJ192" s="1114"/>
      <c r="DK192" s="1114"/>
      <c r="DL192" s="1114"/>
      <c r="DM192" s="1114"/>
      <c r="DN192" s="1114"/>
      <c r="DO192" s="1114"/>
      <c r="DP192" s="1114"/>
      <c r="DQ192" s="1114"/>
      <c r="DR192" s="1114"/>
      <c r="DS192" s="1114"/>
      <c r="DT192" s="1114"/>
      <c r="DU192" s="1114"/>
      <c r="DV192" s="1115"/>
      <c r="DW192" s="1116"/>
      <c r="DX192" s="1116"/>
      <c r="DY192" s="1116"/>
      <c r="DZ192" s="1116"/>
      <c r="EA192" s="1116"/>
      <c r="EB192" s="1116"/>
      <c r="EC192" s="1116"/>
      <c r="ED192" s="1116"/>
      <c r="EE192" s="1116"/>
      <c r="EF192" s="1116"/>
      <c r="EG192" s="1116"/>
      <c r="EH192" s="1116"/>
      <c r="EI192" s="1116"/>
      <c r="EJ192" s="1116"/>
      <c r="EK192" s="1116"/>
      <c r="EL192" s="1116"/>
      <c r="EM192" s="1116"/>
      <c r="EN192" s="1116"/>
      <c r="EO192" s="1116"/>
      <c r="EP192" s="1116"/>
      <c r="EQ192" s="1116"/>
      <c r="ER192" s="1116"/>
      <c r="ES192" s="1116"/>
    </row>
    <row r="193" spans="1:149" ht="15" customHeight="1">
      <c r="A193" s="1799">
        <v>178</v>
      </c>
      <c r="B193" s="1041"/>
      <c r="C193" s="1050"/>
      <c r="D193" s="1050"/>
      <c r="E193" s="1050"/>
      <c r="F193" s="1049"/>
      <c r="G193" s="1457"/>
      <c r="H193" s="1049"/>
      <c r="I193" s="1049"/>
      <c r="J193" s="1050"/>
      <c r="K193" s="1050"/>
      <c r="L193" s="1043"/>
      <c r="M193" s="1051"/>
      <c r="N193" s="1051"/>
      <c r="O193" s="1052"/>
      <c r="P193" s="1051"/>
      <c r="Q193" s="1051"/>
      <c r="R193" s="1052"/>
      <c r="S193" s="1051"/>
      <c r="T193" s="1051"/>
      <c r="U193" s="1052"/>
      <c r="V193" s="1051"/>
      <c r="W193" s="1051"/>
      <c r="X193" s="1052"/>
      <c r="Y193" s="1053"/>
      <c r="Z193" s="1051"/>
      <c r="AA193" s="1051"/>
      <c r="AB193" s="1052"/>
      <c r="AC193" s="1051"/>
      <c r="AD193" s="1051"/>
      <c r="AE193" s="1052"/>
      <c r="AF193" s="1051"/>
      <c r="AG193" s="1051"/>
      <c r="AH193" s="1051"/>
      <c r="AI193" s="1051"/>
      <c r="AJ193" s="1052"/>
      <c r="AK193" s="1051"/>
      <c r="AL193" s="1051"/>
      <c r="AM193" s="1052"/>
      <c r="AN193" s="1051"/>
      <c r="AO193" s="1051"/>
      <c r="AP193" s="1052"/>
      <c r="AQ193" s="1051"/>
      <c r="AR193" s="1051"/>
      <c r="AS193" s="1052"/>
      <c r="AT193" s="1051"/>
      <c r="AU193" s="1051"/>
      <c r="AV193" s="1052"/>
      <c r="AW193" s="1051"/>
      <c r="AX193" s="1051"/>
      <c r="AY193" s="1053"/>
      <c r="AZ193" s="1051"/>
      <c r="BA193" s="1051"/>
      <c r="BB193" s="1053"/>
      <c r="BC193" s="1051"/>
      <c r="BD193" s="1051"/>
      <c r="BE193" s="1053"/>
      <c r="BF193" s="1051"/>
      <c r="BG193" s="1051"/>
      <c r="BH193" s="1053"/>
      <c r="BI193" s="1052"/>
      <c r="BJ193" s="1052"/>
      <c r="BK193" s="1052"/>
      <c r="BL193" s="1052"/>
      <c r="BM193" s="1052"/>
      <c r="BN193" s="1054"/>
      <c r="BO193" s="1076">
        <f t="shared" si="13"/>
        <v>0</v>
      </c>
      <c r="BP193" s="1051"/>
      <c r="BQ193" s="1052"/>
      <c r="BR193" s="1054"/>
      <c r="BS193" s="1053"/>
      <c r="BT193" s="1051"/>
      <c r="BU193" s="1051"/>
      <c r="BV193" s="1051"/>
      <c r="BW193" s="1052"/>
      <c r="BX193" s="1052"/>
      <c r="BY193" s="1052"/>
      <c r="BZ193" s="1052"/>
      <c r="CA193" s="1052"/>
      <c r="CB193" s="1053"/>
      <c r="CC193" s="1053"/>
      <c r="CD193" s="1053"/>
      <c r="CE193" s="1053"/>
      <c r="CF193" s="1053"/>
      <c r="CG193" s="1053"/>
      <c r="CH193" s="1053"/>
      <c r="CI193" s="1123"/>
      <c r="CJ193" s="1123"/>
      <c r="CK193" s="1123"/>
      <c r="CL193" s="1123"/>
      <c r="CM193" s="1123"/>
      <c r="CN193" s="1123"/>
      <c r="CO193" s="1123"/>
      <c r="CP193" s="1123"/>
      <c r="CQ193" s="1123"/>
      <c r="CR193" s="1123"/>
      <c r="CS193" s="1123"/>
      <c r="CT193" s="1123"/>
      <c r="CU193" s="1123"/>
      <c r="CV193" s="1123"/>
      <c r="CW193" s="1123"/>
      <c r="CX193" s="1123"/>
      <c r="CY193" s="1123"/>
      <c r="CZ193" s="1114"/>
      <c r="DA193" s="1114"/>
      <c r="DB193" s="1114"/>
      <c r="DC193" s="1114"/>
      <c r="DD193" s="1114"/>
      <c r="DE193" s="1114"/>
      <c r="DF193" s="1114"/>
      <c r="DG193" s="1114"/>
      <c r="DH193" s="1114"/>
      <c r="DI193" s="1114"/>
      <c r="DJ193" s="1114"/>
      <c r="DK193" s="1114"/>
      <c r="DL193" s="1114"/>
      <c r="DM193" s="1114"/>
      <c r="DN193" s="1114"/>
      <c r="DO193" s="1114"/>
      <c r="DP193" s="1114"/>
      <c r="DQ193" s="1114"/>
      <c r="DR193" s="1114"/>
      <c r="DS193" s="1114"/>
      <c r="DT193" s="1114"/>
      <c r="DU193" s="1114"/>
      <c r="DV193" s="1115"/>
      <c r="DW193" s="1116"/>
      <c r="DX193" s="1116"/>
      <c r="DY193" s="1116"/>
      <c r="DZ193" s="1116"/>
      <c r="EA193" s="1116"/>
      <c r="EB193" s="1116"/>
      <c r="EC193" s="1116"/>
      <c r="ED193" s="1116"/>
      <c r="EE193" s="1116"/>
      <c r="EF193" s="1116"/>
      <c r="EG193" s="1116"/>
      <c r="EH193" s="1116"/>
      <c r="EI193" s="1116"/>
      <c r="EJ193" s="1116"/>
      <c r="EK193" s="1116"/>
      <c r="EL193" s="1116"/>
      <c r="EM193" s="1116"/>
      <c r="EN193" s="1116"/>
      <c r="EO193" s="1116"/>
      <c r="EP193" s="1116"/>
      <c r="EQ193" s="1116"/>
      <c r="ER193" s="1116"/>
      <c r="ES193" s="1116"/>
    </row>
    <row r="194" spans="1:149" ht="15" customHeight="1">
      <c r="A194" s="1799">
        <v>179</v>
      </c>
      <c r="B194" s="1041"/>
      <c r="C194" s="1050"/>
      <c r="D194" s="1050"/>
      <c r="E194" s="1050"/>
      <c r="F194" s="1049"/>
      <c r="G194" s="1457"/>
      <c r="H194" s="1049"/>
      <c r="I194" s="1049"/>
      <c r="J194" s="1050"/>
      <c r="K194" s="1050"/>
      <c r="L194" s="1043"/>
      <c r="M194" s="1051"/>
      <c r="N194" s="1051"/>
      <c r="O194" s="1052"/>
      <c r="P194" s="1051"/>
      <c r="Q194" s="1051"/>
      <c r="R194" s="1052"/>
      <c r="S194" s="1051"/>
      <c r="T194" s="1051"/>
      <c r="U194" s="1052"/>
      <c r="V194" s="1051"/>
      <c r="W194" s="1051"/>
      <c r="X194" s="1052"/>
      <c r="Y194" s="1053"/>
      <c r="Z194" s="1051"/>
      <c r="AA194" s="1051"/>
      <c r="AB194" s="1052"/>
      <c r="AC194" s="1051"/>
      <c r="AD194" s="1051"/>
      <c r="AE194" s="1052"/>
      <c r="AF194" s="1051"/>
      <c r="AG194" s="1051"/>
      <c r="AH194" s="1051"/>
      <c r="AI194" s="1051"/>
      <c r="AJ194" s="1052"/>
      <c r="AK194" s="1051"/>
      <c r="AL194" s="1051"/>
      <c r="AM194" s="1052"/>
      <c r="AN194" s="1051"/>
      <c r="AO194" s="1051"/>
      <c r="AP194" s="1052"/>
      <c r="AQ194" s="1051"/>
      <c r="AR194" s="1051"/>
      <c r="AS194" s="1052"/>
      <c r="AT194" s="1051"/>
      <c r="AU194" s="1051"/>
      <c r="AV194" s="1052"/>
      <c r="AW194" s="1051"/>
      <c r="AX194" s="1051"/>
      <c r="AY194" s="1053"/>
      <c r="AZ194" s="1051"/>
      <c r="BA194" s="1051"/>
      <c r="BB194" s="1053"/>
      <c r="BC194" s="1051"/>
      <c r="BD194" s="1051"/>
      <c r="BE194" s="1053"/>
      <c r="BF194" s="1051"/>
      <c r="BG194" s="1051"/>
      <c r="BH194" s="1053"/>
      <c r="BI194" s="1052"/>
      <c r="BJ194" s="1052"/>
      <c r="BK194" s="1052"/>
      <c r="BL194" s="1052"/>
      <c r="BM194" s="1052"/>
      <c r="BN194" s="1054"/>
      <c r="BO194" s="1076">
        <f t="shared" si="13"/>
        <v>0</v>
      </c>
      <c r="BP194" s="1051"/>
      <c r="BQ194" s="1052"/>
      <c r="BR194" s="1054"/>
      <c r="BS194" s="1053"/>
      <c r="BT194" s="1051"/>
      <c r="BU194" s="1051"/>
      <c r="BV194" s="1051"/>
      <c r="BW194" s="1052"/>
      <c r="BX194" s="1052"/>
      <c r="BY194" s="1052"/>
      <c r="BZ194" s="1052"/>
      <c r="CA194" s="1052"/>
      <c r="CB194" s="1053"/>
      <c r="CC194" s="1053"/>
      <c r="CD194" s="1053"/>
      <c r="CE194" s="1053"/>
      <c r="CF194" s="1053"/>
      <c r="CG194" s="1053"/>
      <c r="CH194" s="1053"/>
      <c r="CI194" s="1123"/>
      <c r="CJ194" s="1123"/>
      <c r="CK194" s="1123"/>
      <c r="CL194" s="1123"/>
      <c r="CM194" s="1123"/>
      <c r="CN194" s="1123"/>
      <c r="CO194" s="1123"/>
      <c r="CP194" s="1123"/>
      <c r="CQ194" s="1123"/>
      <c r="CR194" s="1123"/>
      <c r="CS194" s="1123"/>
      <c r="CT194" s="1123"/>
      <c r="CU194" s="1123"/>
      <c r="CV194" s="1123"/>
      <c r="CW194" s="1123"/>
      <c r="CX194" s="1123"/>
      <c r="CY194" s="1123"/>
      <c r="CZ194" s="1114"/>
      <c r="DA194" s="1114"/>
      <c r="DB194" s="1114"/>
      <c r="DC194" s="1114"/>
      <c r="DD194" s="1114"/>
      <c r="DE194" s="1114"/>
      <c r="DF194" s="1114"/>
      <c r="DG194" s="1114"/>
      <c r="DH194" s="1114"/>
      <c r="DI194" s="1114"/>
      <c r="DJ194" s="1114"/>
      <c r="DK194" s="1114"/>
      <c r="DL194" s="1114"/>
      <c r="DM194" s="1114"/>
      <c r="DN194" s="1114"/>
      <c r="DO194" s="1114"/>
      <c r="DP194" s="1114"/>
      <c r="DQ194" s="1114"/>
      <c r="DR194" s="1114"/>
      <c r="DS194" s="1114"/>
      <c r="DT194" s="1114"/>
      <c r="DU194" s="1114"/>
      <c r="DV194" s="1115"/>
      <c r="DW194" s="1116"/>
      <c r="DX194" s="1116"/>
      <c r="DY194" s="1116"/>
      <c r="DZ194" s="1116"/>
      <c r="EA194" s="1116"/>
      <c r="EB194" s="1116"/>
      <c r="EC194" s="1116"/>
      <c r="ED194" s="1116"/>
      <c r="EE194" s="1116"/>
      <c r="EF194" s="1116"/>
      <c r="EG194" s="1116"/>
      <c r="EH194" s="1116"/>
      <c r="EI194" s="1116"/>
      <c r="EJ194" s="1116"/>
      <c r="EK194" s="1116"/>
      <c r="EL194" s="1116"/>
      <c r="EM194" s="1116"/>
      <c r="EN194" s="1116"/>
      <c r="EO194" s="1116"/>
      <c r="EP194" s="1116"/>
      <c r="EQ194" s="1116"/>
      <c r="ER194" s="1116"/>
      <c r="ES194" s="1116"/>
    </row>
    <row r="195" spans="1:149" ht="15" customHeight="1">
      <c r="A195" s="1799">
        <v>180</v>
      </c>
      <c r="B195" s="1041"/>
      <c r="C195" s="1050"/>
      <c r="D195" s="1050"/>
      <c r="E195" s="1050"/>
      <c r="F195" s="1049"/>
      <c r="G195" s="1457"/>
      <c r="H195" s="1049"/>
      <c r="I195" s="1049"/>
      <c r="J195" s="1050"/>
      <c r="K195" s="1050"/>
      <c r="L195" s="1043"/>
      <c r="M195" s="1051"/>
      <c r="N195" s="1051"/>
      <c r="O195" s="1052"/>
      <c r="P195" s="1051"/>
      <c r="Q195" s="1051"/>
      <c r="R195" s="1052"/>
      <c r="S195" s="1051"/>
      <c r="T195" s="1051"/>
      <c r="U195" s="1052"/>
      <c r="V195" s="1051"/>
      <c r="W195" s="1051"/>
      <c r="X195" s="1052"/>
      <c r="Y195" s="1053"/>
      <c r="Z195" s="1051"/>
      <c r="AA195" s="1051"/>
      <c r="AB195" s="1052"/>
      <c r="AC195" s="1051"/>
      <c r="AD195" s="1051"/>
      <c r="AE195" s="1052"/>
      <c r="AF195" s="1051"/>
      <c r="AG195" s="1051"/>
      <c r="AH195" s="1051"/>
      <c r="AI195" s="1051"/>
      <c r="AJ195" s="1052"/>
      <c r="AK195" s="1051"/>
      <c r="AL195" s="1051"/>
      <c r="AM195" s="1052"/>
      <c r="AN195" s="1051"/>
      <c r="AO195" s="1051"/>
      <c r="AP195" s="1052"/>
      <c r="AQ195" s="1051"/>
      <c r="AR195" s="1051"/>
      <c r="AS195" s="1052"/>
      <c r="AT195" s="1051"/>
      <c r="AU195" s="1051"/>
      <c r="AV195" s="1052"/>
      <c r="AW195" s="1051"/>
      <c r="AX195" s="1051"/>
      <c r="AY195" s="1053"/>
      <c r="AZ195" s="1051"/>
      <c r="BA195" s="1051"/>
      <c r="BB195" s="1053"/>
      <c r="BC195" s="1051"/>
      <c r="BD195" s="1051"/>
      <c r="BE195" s="1053"/>
      <c r="BF195" s="1051"/>
      <c r="BG195" s="1051"/>
      <c r="BH195" s="1053"/>
      <c r="BI195" s="1052"/>
      <c r="BJ195" s="1052"/>
      <c r="BK195" s="1052"/>
      <c r="BL195" s="1052"/>
      <c r="BM195" s="1052"/>
      <c r="BN195" s="1054"/>
      <c r="BO195" s="1076">
        <f t="shared" si="13"/>
        <v>0</v>
      </c>
      <c r="BP195" s="1051"/>
      <c r="BQ195" s="1052"/>
      <c r="BR195" s="1054"/>
      <c r="BS195" s="1053"/>
      <c r="BT195" s="1051"/>
      <c r="BU195" s="1051"/>
      <c r="BV195" s="1051"/>
      <c r="BW195" s="1052"/>
      <c r="BX195" s="1052"/>
      <c r="BY195" s="1052"/>
      <c r="BZ195" s="1052"/>
      <c r="CA195" s="1052"/>
      <c r="CB195" s="1053"/>
      <c r="CC195" s="1053"/>
      <c r="CD195" s="1053"/>
      <c r="CE195" s="1053"/>
      <c r="CF195" s="1053"/>
      <c r="CG195" s="1053"/>
      <c r="CH195" s="1053"/>
      <c r="CI195" s="1123"/>
      <c r="CJ195" s="1123"/>
      <c r="CK195" s="1123"/>
      <c r="CL195" s="1123"/>
      <c r="CM195" s="1123"/>
      <c r="CN195" s="1123"/>
      <c r="CO195" s="1123"/>
      <c r="CP195" s="1123"/>
      <c r="CQ195" s="1123"/>
      <c r="CR195" s="1123"/>
      <c r="CS195" s="1123"/>
      <c r="CT195" s="1123"/>
      <c r="CU195" s="1123"/>
      <c r="CV195" s="1123"/>
      <c r="CW195" s="1123"/>
      <c r="CX195" s="1123"/>
      <c r="CY195" s="1123"/>
      <c r="CZ195" s="1114"/>
      <c r="DA195" s="1114"/>
      <c r="DB195" s="1114"/>
      <c r="DC195" s="1114"/>
      <c r="DD195" s="1114"/>
      <c r="DE195" s="1114"/>
      <c r="DF195" s="1114"/>
      <c r="DG195" s="1114"/>
      <c r="DH195" s="1114"/>
      <c r="DI195" s="1114"/>
      <c r="DJ195" s="1114"/>
      <c r="DK195" s="1114"/>
      <c r="DL195" s="1114"/>
      <c r="DM195" s="1114"/>
      <c r="DN195" s="1114"/>
      <c r="DO195" s="1114"/>
      <c r="DP195" s="1114"/>
      <c r="DQ195" s="1114"/>
      <c r="DR195" s="1114"/>
      <c r="DS195" s="1114"/>
      <c r="DT195" s="1114"/>
      <c r="DU195" s="1114"/>
      <c r="DV195" s="1115"/>
      <c r="DW195" s="1116"/>
      <c r="DX195" s="1116"/>
      <c r="DY195" s="1116"/>
      <c r="DZ195" s="1116"/>
      <c r="EA195" s="1116"/>
      <c r="EB195" s="1116"/>
      <c r="EC195" s="1116"/>
      <c r="ED195" s="1116"/>
      <c r="EE195" s="1116"/>
      <c r="EF195" s="1116"/>
      <c r="EG195" s="1116"/>
      <c r="EH195" s="1116"/>
      <c r="EI195" s="1116"/>
      <c r="EJ195" s="1116"/>
      <c r="EK195" s="1116"/>
      <c r="EL195" s="1116"/>
      <c r="EM195" s="1116"/>
      <c r="EN195" s="1116"/>
      <c r="EO195" s="1116"/>
      <c r="EP195" s="1116"/>
      <c r="EQ195" s="1116"/>
      <c r="ER195" s="1116"/>
      <c r="ES195" s="1116"/>
    </row>
    <row r="196" spans="1:149" ht="15" customHeight="1">
      <c r="A196" s="1799">
        <v>181</v>
      </c>
      <c r="B196" s="1041"/>
      <c r="C196" s="1050"/>
      <c r="D196" s="1050"/>
      <c r="E196" s="1050"/>
      <c r="F196" s="1049"/>
      <c r="G196" s="1457"/>
      <c r="H196" s="1049"/>
      <c r="I196" s="1049"/>
      <c r="J196" s="1050"/>
      <c r="K196" s="1050"/>
      <c r="L196" s="1043"/>
      <c r="M196" s="1051"/>
      <c r="N196" s="1051"/>
      <c r="O196" s="1052"/>
      <c r="P196" s="1051"/>
      <c r="Q196" s="1051"/>
      <c r="R196" s="1052"/>
      <c r="S196" s="1051"/>
      <c r="T196" s="1051"/>
      <c r="U196" s="1052"/>
      <c r="V196" s="1051"/>
      <c r="W196" s="1051"/>
      <c r="X196" s="1052"/>
      <c r="Y196" s="1053"/>
      <c r="Z196" s="1051"/>
      <c r="AA196" s="1051"/>
      <c r="AB196" s="1052"/>
      <c r="AC196" s="1051"/>
      <c r="AD196" s="1051"/>
      <c r="AE196" s="1052"/>
      <c r="AF196" s="1051"/>
      <c r="AG196" s="1051"/>
      <c r="AH196" s="1051"/>
      <c r="AI196" s="1051"/>
      <c r="AJ196" s="1052"/>
      <c r="AK196" s="1051"/>
      <c r="AL196" s="1051"/>
      <c r="AM196" s="1052"/>
      <c r="AN196" s="1051"/>
      <c r="AO196" s="1051"/>
      <c r="AP196" s="1052"/>
      <c r="AQ196" s="1051"/>
      <c r="AR196" s="1051"/>
      <c r="AS196" s="1052"/>
      <c r="AT196" s="1051"/>
      <c r="AU196" s="1051"/>
      <c r="AV196" s="1052"/>
      <c r="AW196" s="1051"/>
      <c r="AX196" s="1051"/>
      <c r="AY196" s="1053"/>
      <c r="AZ196" s="1051"/>
      <c r="BA196" s="1051"/>
      <c r="BB196" s="1053"/>
      <c r="BC196" s="1051"/>
      <c r="BD196" s="1051"/>
      <c r="BE196" s="1053"/>
      <c r="BF196" s="1051"/>
      <c r="BG196" s="1051"/>
      <c r="BH196" s="1053"/>
      <c r="BI196" s="1052"/>
      <c r="BJ196" s="1052"/>
      <c r="BK196" s="1052"/>
      <c r="BL196" s="1052"/>
      <c r="BM196" s="1052"/>
      <c r="BN196" s="1054"/>
      <c r="BO196" s="1076">
        <f t="shared" si="13"/>
        <v>0</v>
      </c>
      <c r="BP196" s="1051"/>
      <c r="BQ196" s="1052"/>
      <c r="BR196" s="1054"/>
      <c r="BS196" s="1053"/>
      <c r="BT196" s="1051"/>
      <c r="BU196" s="1051"/>
      <c r="BV196" s="1051"/>
      <c r="BW196" s="1052"/>
      <c r="BX196" s="1052"/>
      <c r="BY196" s="1052"/>
      <c r="BZ196" s="1052"/>
      <c r="CA196" s="1052"/>
      <c r="CB196" s="1053"/>
      <c r="CC196" s="1053"/>
      <c r="CD196" s="1053"/>
      <c r="CE196" s="1053"/>
      <c r="CF196" s="1053"/>
      <c r="CG196" s="1053"/>
      <c r="CH196" s="1053"/>
      <c r="CI196" s="1123"/>
      <c r="CJ196" s="1123"/>
      <c r="CK196" s="1123"/>
      <c r="CL196" s="1123"/>
      <c r="CM196" s="1123"/>
      <c r="CN196" s="1123"/>
      <c r="CO196" s="1123"/>
      <c r="CP196" s="1123"/>
      <c r="CQ196" s="1123"/>
      <c r="CR196" s="1123"/>
      <c r="CS196" s="1123"/>
      <c r="CT196" s="1123"/>
      <c r="CU196" s="1123"/>
      <c r="CV196" s="1123"/>
      <c r="CW196" s="1123"/>
      <c r="CX196" s="1123"/>
      <c r="CY196" s="1123"/>
      <c r="CZ196" s="1114"/>
      <c r="DA196" s="1114"/>
      <c r="DB196" s="1114"/>
      <c r="DC196" s="1114"/>
      <c r="DD196" s="1114"/>
      <c r="DE196" s="1114"/>
      <c r="DF196" s="1114"/>
      <c r="DG196" s="1114"/>
      <c r="DH196" s="1114"/>
      <c r="DI196" s="1114"/>
      <c r="DJ196" s="1114"/>
      <c r="DK196" s="1114"/>
      <c r="DL196" s="1114"/>
      <c r="DM196" s="1114"/>
      <c r="DN196" s="1114"/>
      <c r="DO196" s="1114"/>
      <c r="DP196" s="1114"/>
      <c r="DQ196" s="1114"/>
      <c r="DR196" s="1114"/>
      <c r="DS196" s="1114"/>
      <c r="DT196" s="1114"/>
      <c r="DU196" s="1114"/>
      <c r="DV196" s="1115"/>
      <c r="DW196" s="1116"/>
      <c r="DX196" s="1116"/>
      <c r="DY196" s="1116"/>
      <c r="DZ196" s="1116"/>
      <c r="EA196" s="1116"/>
      <c r="EB196" s="1116"/>
      <c r="EC196" s="1116"/>
      <c r="ED196" s="1116"/>
      <c r="EE196" s="1116"/>
      <c r="EF196" s="1116"/>
      <c r="EG196" s="1116"/>
      <c r="EH196" s="1116"/>
      <c r="EI196" s="1116"/>
      <c r="EJ196" s="1116"/>
      <c r="EK196" s="1116"/>
      <c r="EL196" s="1116"/>
      <c r="EM196" s="1116"/>
      <c r="EN196" s="1116"/>
      <c r="EO196" s="1116"/>
      <c r="EP196" s="1116"/>
      <c r="EQ196" s="1116"/>
      <c r="ER196" s="1116"/>
      <c r="ES196" s="1116"/>
    </row>
    <row r="197" spans="1:149" ht="15" customHeight="1">
      <c r="A197" s="1799">
        <v>182</v>
      </c>
      <c r="B197" s="1041"/>
      <c r="C197" s="1050"/>
      <c r="D197" s="1050"/>
      <c r="E197" s="1050"/>
      <c r="F197" s="1049"/>
      <c r="G197" s="1457"/>
      <c r="H197" s="1049"/>
      <c r="I197" s="1049"/>
      <c r="J197" s="1050"/>
      <c r="K197" s="1050"/>
      <c r="L197" s="1043"/>
      <c r="M197" s="1051"/>
      <c r="N197" s="1051"/>
      <c r="O197" s="1052"/>
      <c r="P197" s="1051"/>
      <c r="Q197" s="1051"/>
      <c r="R197" s="1052"/>
      <c r="S197" s="1051"/>
      <c r="T197" s="1051"/>
      <c r="U197" s="1052"/>
      <c r="V197" s="1051"/>
      <c r="W197" s="1051"/>
      <c r="X197" s="1052"/>
      <c r="Y197" s="1053"/>
      <c r="Z197" s="1051"/>
      <c r="AA197" s="1051"/>
      <c r="AB197" s="1052"/>
      <c r="AC197" s="1051"/>
      <c r="AD197" s="1051"/>
      <c r="AE197" s="1052"/>
      <c r="AF197" s="1051"/>
      <c r="AG197" s="1051"/>
      <c r="AH197" s="1051"/>
      <c r="AI197" s="1051"/>
      <c r="AJ197" s="1052"/>
      <c r="AK197" s="1051"/>
      <c r="AL197" s="1051"/>
      <c r="AM197" s="1052"/>
      <c r="AN197" s="1051"/>
      <c r="AO197" s="1051"/>
      <c r="AP197" s="1052"/>
      <c r="AQ197" s="1051"/>
      <c r="AR197" s="1051"/>
      <c r="AS197" s="1052"/>
      <c r="AT197" s="1051"/>
      <c r="AU197" s="1051"/>
      <c r="AV197" s="1052"/>
      <c r="AW197" s="1051"/>
      <c r="AX197" s="1051"/>
      <c r="AY197" s="1053"/>
      <c r="AZ197" s="1051"/>
      <c r="BA197" s="1051"/>
      <c r="BB197" s="1053"/>
      <c r="BC197" s="1051"/>
      <c r="BD197" s="1051"/>
      <c r="BE197" s="1053"/>
      <c r="BF197" s="1051"/>
      <c r="BG197" s="1051"/>
      <c r="BH197" s="1053"/>
      <c r="BI197" s="1052"/>
      <c r="BJ197" s="1052"/>
      <c r="BK197" s="1052"/>
      <c r="BL197" s="1052"/>
      <c r="BM197" s="1052"/>
      <c r="BN197" s="1054"/>
      <c r="BO197" s="1076">
        <f t="shared" si="13"/>
        <v>0</v>
      </c>
      <c r="BP197" s="1051"/>
      <c r="BQ197" s="1052"/>
      <c r="BR197" s="1054"/>
      <c r="BS197" s="1053"/>
      <c r="BT197" s="1051"/>
      <c r="BU197" s="1051"/>
      <c r="BV197" s="1051"/>
      <c r="BW197" s="1052"/>
      <c r="BX197" s="1052"/>
      <c r="BY197" s="1052"/>
      <c r="BZ197" s="1052"/>
      <c r="CA197" s="1052"/>
      <c r="CB197" s="1053"/>
      <c r="CC197" s="1053"/>
      <c r="CD197" s="1053"/>
      <c r="CE197" s="1053"/>
      <c r="CF197" s="1053"/>
      <c r="CG197" s="1053"/>
      <c r="CH197" s="1053"/>
      <c r="CI197" s="1123"/>
      <c r="CJ197" s="1123"/>
      <c r="CK197" s="1123"/>
      <c r="CL197" s="1123"/>
      <c r="CM197" s="1123"/>
      <c r="CN197" s="1123"/>
      <c r="CO197" s="1123"/>
      <c r="CP197" s="1123"/>
      <c r="CQ197" s="1123"/>
      <c r="CR197" s="1123"/>
      <c r="CS197" s="1123"/>
      <c r="CT197" s="1123"/>
      <c r="CU197" s="1123"/>
      <c r="CV197" s="1123"/>
      <c r="CW197" s="1123"/>
      <c r="CX197" s="1123"/>
      <c r="CY197" s="1123"/>
      <c r="CZ197" s="1114"/>
      <c r="DA197" s="1114"/>
      <c r="DB197" s="1114"/>
      <c r="DC197" s="1114"/>
      <c r="DD197" s="1114"/>
      <c r="DE197" s="1114"/>
      <c r="DF197" s="1114"/>
      <c r="DG197" s="1114"/>
      <c r="DH197" s="1114"/>
      <c r="DI197" s="1114"/>
      <c r="DJ197" s="1114"/>
      <c r="DK197" s="1114"/>
      <c r="DL197" s="1114"/>
      <c r="DM197" s="1114"/>
      <c r="DN197" s="1114"/>
      <c r="DO197" s="1114"/>
      <c r="DP197" s="1114"/>
      <c r="DQ197" s="1114"/>
      <c r="DR197" s="1114"/>
      <c r="DS197" s="1114"/>
      <c r="DT197" s="1114"/>
      <c r="DU197" s="1114"/>
      <c r="DV197" s="1115"/>
      <c r="DW197" s="1116"/>
      <c r="DX197" s="1116"/>
      <c r="DY197" s="1116"/>
      <c r="DZ197" s="1116"/>
      <c r="EA197" s="1116"/>
      <c r="EB197" s="1116"/>
      <c r="EC197" s="1116"/>
      <c r="ED197" s="1116"/>
      <c r="EE197" s="1116"/>
      <c r="EF197" s="1116"/>
      <c r="EG197" s="1116"/>
      <c r="EH197" s="1116"/>
      <c r="EI197" s="1116"/>
      <c r="EJ197" s="1116"/>
      <c r="EK197" s="1116"/>
      <c r="EL197" s="1116"/>
      <c r="EM197" s="1116"/>
      <c r="EN197" s="1116"/>
      <c r="EO197" s="1116"/>
      <c r="EP197" s="1116"/>
      <c r="EQ197" s="1116"/>
      <c r="ER197" s="1116"/>
      <c r="ES197" s="1116"/>
    </row>
    <row r="198" spans="1:149" ht="15" customHeight="1">
      <c r="A198" s="1799">
        <v>183</v>
      </c>
      <c r="B198" s="1041"/>
      <c r="C198" s="1050"/>
      <c r="D198" s="1050"/>
      <c r="E198" s="1050"/>
      <c r="F198" s="1049"/>
      <c r="G198" s="1457"/>
      <c r="H198" s="1049"/>
      <c r="I198" s="1049"/>
      <c r="J198" s="1050"/>
      <c r="K198" s="1050"/>
      <c r="L198" s="1043"/>
      <c r="M198" s="1051"/>
      <c r="N198" s="1051"/>
      <c r="O198" s="1052"/>
      <c r="P198" s="1051"/>
      <c r="Q198" s="1051"/>
      <c r="R198" s="1052"/>
      <c r="S198" s="1051"/>
      <c r="T198" s="1051"/>
      <c r="U198" s="1052"/>
      <c r="V198" s="1051"/>
      <c r="W198" s="1051"/>
      <c r="X198" s="1052"/>
      <c r="Y198" s="1053"/>
      <c r="Z198" s="1051"/>
      <c r="AA198" s="1051"/>
      <c r="AB198" s="1052"/>
      <c r="AC198" s="1051"/>
      <c r="AD198" s="1051"/>
      <c r="AE198" s="1052"/>
      <c r="AF198" s="1051"/>
      <c r="AG198" s="1051"/>
      <c r="AH198" s="1051"/>
      <c r="AI198" s="1051"/>
      <c r="AJ198" s="1052"/>
      <c r="AK198" s="1051"/>
      <c r="AL198" s="1051"/>
      <c r="AM198" s="1052"/>
      <c r="AN198" s="1051"/>
      <c r="AO198" s="1051"/>
      <c r="AP198" s="1052"/>
      <c r="AQ198" s="1051"/>
      <c r="AR198" s="1051"/>
      <c r="AS198" s="1052"/>
      <c r="AT198" s="1051"/>
      <c r="AU198" s="1051"/>
      <c r="AV198" s="1052"/>
      <c r="AW198" s="1051"/>
      <c r="AX198" s="1051"/>
      <c r="AY198" s="1053"/>
      <c r="AZ198" s="1051"/>
      <c r="BA198" s="1051"/>
      <c r="BB198" s="1053"/>
      <c r="BC198" s="1051"/>
      <c r="BD198" s="1051"/>
      <c r="BE198" s="1053"/>
      <c r="BF198" s="1051"/>
      <c r="BG198" s="1051"/>
      <c r="BH198" s="1053"/>
      <c r="BI198" s="1052"/>
      <c r="BJ198" s="1052"/>
      <c r="BK198" s="1052"/>
      <c r="BL198" s="1052"/>
      <c r="BM198" s="1052"/>
      <c r="BN198" s="1054"/>
      <c r="BO198" s="1076">
        <f t="shared" si="13"/>
        <v>0</v>
      </c>
      <c r="BP198" s="1051"/>
      <c r="BQ198" s="1052"/>
      <c r="BR198" s="1054"/>
      <c r="BS198" s="1053"/>
      <c r="BT198" s="1051"/>
      <c r="BU198" s="1051"/>
      <c r="BV198" s="1051"/>
      <c r="BW198" s="1052"/>
      <c r="BX198" s="1052"/>
      <c r="BY198" s="1052"/>
      <c r="BZ198" s="1052"/>
      <c r="CA198" s="1052"/>
      <c r="CB198" s="1053"/>
      <c r="CC198" s="1053"/>
      <c r="CD198" s="1053"/>
      <c r="CE198" s="1053"/>
      <c r="CF198" s="1053"/>
      <c r="CG198" s="1053"/>
      <c r="CH198" s="1053"/>
      <c r="CI198" s="1123"/>
      <c r="CJ198" s="1123"/>
      <c r="CK198" s="1123"/>
      <c r="CL198" s="1123"/>
      <c r="CM198" s="1123"/>
      <c r="CN198" s="1123"/>
      <c r="CO198" s="1123"/>
      <c r="CP198" s="1123"/>
      <c r="CQ198" s="1123"/>
      <c r="CR198" s="1123"/>
      <c r="CS198" s="1123"/>
      <c r="CT198" s="1123"/>
      <c r="CU198" s="1123"/>
      <c r="CV198" s="1123"/>
      <c r="CW198" s="1123"/>
      <c r="CX198" s="1123"/>
      <c r="CY198" s="1123"/>
      <c r="CZ198" s="1114"/>
      <c r="DA198" s="1114"/>
      <c r="DB198" s="1114"/>
      <c r="DC198" s="1114"/>
      <c r="DD198" s="1114"/>
      <c r="DE198" s="1114"/>
      <c r="DF198" s="1114"/>
      <c r="DG198" s="1114"/>
      <c r="DH198" s="1114"/>
      <c r="DI198" s="1114"/>
      <c r="DJ198" s="1114"/>
      <c r="DK198" s="1114"/>
      <c r="DL198" s="1114"/>
      <c r="DM198" s="1114"/>
      <c r="DN198" s="1114"/>
      <c r="DO198" s="1114"/>
      <c r="DP198" s="1114"/>
      <c r="DQ198" s="1114"/>
      <c r="DR198" s="1114"/>
      <c r="DS198" s="1114"/>
      <c r="DT198" s="1114"/>
      <c r="DU198" s="1114"/>
      <c r="DV198" s="1115"/>
      <c r="DW198" s="1116"/>
      <c r="DX198" s="1116"/>
      <c r="DY198" s="1116"/>
      <c r="DZ198" s="1116"/>
      <c r="EA198" s="1116"/>
      <c r="EB198" s="1116"/>
      <c r="EC198" s="1116"/>
      <c r="ED198" s="1116"/>
      <c r="EE198" s="1116"/>
      <c r="EF198" s="1116"/>
      <c r="EG198" s="1116"/>
      <c r="EH198" s="1116"/>
      <c r="EI198" s="1116"/>
      <c r="EJ198" s="1116"/>
      <c r="EK198" s="1116"/>
      <c r="EL198" s="1116"/>
      <c r="EM198" s="1116"/>
      <c r="EN198" s="1116"/>
      <c r="EO198" s="1116"/>
      <c r="EP198" s="1116"/>
      <c r="EQ198" s="1116"/>
      <c r="ER198" s="1116"/>
      <c r="ES198" s="1116"/>
    </row>
    <row r="199" spans="1:149" ht="15" customHeight="1">
      <c r="A199" s="1799">
        <v>184</v>
      </c>
      <c r="B199" s="1041"/>
      <c r="C199" s="1050"/>
      <c r="D199" s="1050"/>
      <c r="E199" s="1050"/>
      <c r="F199" s="1049"/>
      <c r="G199" s="1457"/>
      <c r="H199" s="1049"/>
      <c r="I199" s="1049"/>
      <c r="J199" s="1050"/>
      <c r="K199" s="1050"/>
      <c r="L199" s="1043"/>
      <c r="M199" s="1051"/>
      <c r="N199" s="1051"/>
      <c r="O199" s="1052"/>
      <c r="P199" s="1051"/>
      <c r="Q199" s="1051"/>
      <c r="R199" s="1052"/>
      <c r="S199" s="1051"/>
      <c r="T199" s="1051"/>
      <c r="U199" s="1052"/>
      <c r="V199" s="1051"/>
      <c r="W199" s="1051"/>
      <c r="X199" s="1052"/>
      <c r="Y199" s="1053"/>
      <c r="Z199" s="1051"/>
      <c r="AA199" s="1051"/>
      <c r="AB199" s="1052"/>
      <c r="AC199" s="1051"/>
      <c r="AD199" s="1051"/>
      <c r="AE199" s="1052"/>
      <c r="AF199" s="1051"/>
      <c r="AG199" s="1051"/>
      <c r="AH199" s="1051"/>
      <c r="AI199" s="1051"/>
      <c r="AJ199" s="1052"/>
      <c r="AK199" s="1051"/>
      <c r="AL199" s="1051"/>
      <c r="AM199" s="1052"/>
      <c r="AN199" s="1051"/>
      <c r="AO199" s="1051"/>
      <c r="AP199" s="1052"/>
      <c r="AQ199" s="1051"/>
      <c r="AR199" s="1051"/>
      <c r="AS199" s="1052"/>
      <c r="AT199" s="1051"/>
      <c r="AU199" s="1051"/>
      <c r="AV199" s="1052"/>
      <c r="AW199" s="1051"/>
      <c r="AX199" s="1051"/>
      <c r="AY199" s="1053"/>
      <c r="AZ199" s="1051"/>
      <c r="BA199" s="1051"/>
      <c r="BB199" s="1053"/>
      <c r="BC199" s="1051"/>
      <c r="BD199" s="1051"/>
      <c r="BE199" s="1053"/>
      <c r="BF199" s="1051"/>
      <c r="BG199" s="1051"/>
      <c r="BH199" s="1053"/>
      <c r="BI199" s="1052"/>
      <c r="BJ199" s="1052"/>
      <c r="BK199" s="1052"/>
      <c r="BL199" s="1052"/>
      <c r="BM199" s="1052"/>
      <c r="BN199" s="1054"/>
      <c r="BO199" s="1076">
        <f t="shared" si="13"/>
        <v>0</v>
      </c>
      <c r="BP199" s="1051"/>
      <c r="BQ199" s="1052"/>
      <c r="BR199" s="1054"/>
      <c r="BS199" s="1053"/>
      <c r="BT199" s="1051"/>
      <c r="BU199" s="1051"/>
      <c r="BV199" s="1051"/>
      <c r="BW199" s="1052"/>
      <c r="BX199" s="1052"/>
      <c r="BY199" s="1052"/>
      <c r="BZ199" s="1052"/>
      <c r="CA199" s="1052"/>
      <c r="CB199" s="1053"/>
      <c r="CC199" s="1053"/>
      <c r="CD199" s="1053"/>
      <c r="CE199" s="1053"/>
      <c r="CF199" s="1053"/>
      <c r="CG199" s="1053"/>
      <c r="CH199" s="1053"/>
      <c r="CI199" s="1123"/>
      <c r="CJ199" s="1123"/>
      <c r="CK199" s="1123"/>
      <c r="CL199" s="1123"/>
      <c r="CM199" s="1123"/>
      <c r="CN199" s="1123"/>
      <c r="CO199" s="1123"/>
      <c r="CP199" s="1123"/>
      <c r="CQ199" s="1123"/>
      <c r="CR199" s="1123"/>
      <c r="CS199" s="1123"/>
      <c r="CT199" s="1123"/>
      <c r="CU199" s="1123"/>
      <c r="CV199" s="1123"/>
      <c r="CW199" s="1123"/>
      <c r="CX199" s="1123"/>
      <c r="CY199" s="1123"/>
      <c r="CZ199" s="1114"/>
      <c r="DA199" s="1114"/>
      <c r="DB199" s="1114"/>
      <c r="DC199" s="1114"/>
      <c r="DD199" s="1114"/>
      <c r="DE199" s="1114"/>
      <c r="DF199" s="1114"/>
      <c r="DG199" s="1114"/>
      <c r="DH199" s="1114"/>
      <c r="DI199" s="1114"/>
      <c r="DJ199" s="1114"/>
      <c r="DK199" s="1114"/>
      <c r="DL199" s="1114"/>
      <c r="DM199" s="1114"/>
      <c r="DN199" s="1114"/>
      <c r="DO199" s="1114"/>
      <c r="DP199" s="1114"/>
      <c r="DQ199" s="1114"/>
      <c r="DR199" s="1114"/>
      <c r="DS199" s="1114"/>
      <c r="DT199" s="1114"/>
      <c r="DU199" s="1114"/>
      <c r="DV199" s="1115"/>
      <c r="DW199" s="1116"/>
      <c r="DX199" s="1116"/>
      <c r="DY199" s="1116"/>
      <c r="DZ199" s="1116"/>
      <c r="EA199" s="1116"/>
      <c r="EB199" s="1116"/>
      <c r="EC199" s="1116"/>
      <c r="ED199" s="1116"/>
      <c r="EE199" s="1116"/>
      <c r="EF199" s="1116"/>
      <c r="EG199" s="1116"/>
      <c r="EH199" s="1116"/>
      <c r="EI199" s="1116"/>
      <c r="EJ199" s="1116"/>
      <c r="EK199" s="1116"/>
      <c r="EL199" s="1116"/>
      <c r="EM199" s="1116"/>
      <c r="EN199" s="1116"/>
      <c r="EO199" s="1116"/>
      <c r="EP199" s="1116"/>
      <c r="EQ199" s="1116"/>
      <c r="ER199" s="1116"/>
      <c r="ES199" s="1116"/>
    </row>
    <row r="200" spans="1:149" ht="15" customHeight="1">
      <c r="A200" s="1799">
        <v>185</v>
      </c>
      <c r="B200" s="1041"/>
      <c r="C200" s="1050"/>
      <c r="D200" s="1050"/>
      <c r="E200" s="1050"/>
      <c r="F200" s="1049"/>
      <c r="G200" s="1457"/>
      <c r="H200" s="1049"/>
      <c r="I200" s="1049"/>
      <c r="J200" s="1050"/>
      <c r="K200" s="1050"/>
      <c r="L200" s="1043"/>
      <c r="M200" s="1051"/>
      <c r="N200" s="1051"/>
      <c r="O200" s="1052"/>
      <c r="P200" s="1051"/>
      <c r="Q200" s="1051"/>
      <c r="R200" s="1052"/>
      <c r="S200" s="1051"/>
      <c r="T200" s="1051"/>
      <c r="U200" s="1052"/>
      <c r="V200" s="1051"/>
      <c r="W200" s="1051"/>
      <c r="X200" s="1052"/>
      <c r="Y200" s="1053"/>
      <c r="Z200" s="1051"/>
      <c r="AA200" s="1051"/>
      <c r="AB200" s="1052"/>
      <c r="AC200" s="1051"/>
      <c r="AD200" s="1051"/>
      <c r="AE200" s="1052"/>
      <c r="AF200" s="1051"/>
      <c r="AG200" s="1051"/>
      <c r="AH200" s="1051"/>
      <c r="AI200" s="1051"/>
      <c r="AJ200" s="1052"/>
      <c r="AK200" s="1051"/>
      <c r="AL200" s="1051"/>
      <c r="AM200" s="1052"/>
      <c r="AN200" s="1051"/>
      <c r="AO200" s="1051"/>
      <c r="AP200" s="1052"/>
      <c r="AQ200" s="1051"/>
      <c r="AR200" s="1051"/>
      <c r="AS200" s="1052"/>
      <c r="AT200" s="1051"/>
      <c r="AU200" s="1051"/>
      <c r="AV200" s="1052"/>
      <c r="AW200" s="1051"/>
      <c r="AX200" s="1051"/>
      <c r="AY200" s="1053"/>
      <c r="AZ200" s="1051"/>
      <c r="BA200" s="1051"/>
      <c r="BB200" s="1053"/>
      <c r="BC200" s="1051"/>
      <c r="BD200" s="1051"/>
      <c r="BE200" s="1053"/>
      <c r="BF200" s="1051"/>
      <c r="BG200" s="1051"/>
      <c r="BH200" s="1053"/>
      <c r="BI200" s="1052"/>
      <c r="BJ200" s="1052"/>
      <c r="BK200" s="1052"/>
      <c r="BL200" s="1052"/>
      <c r="BM200" s="1052"/>
      <c r="BN200" s="1054"/>
      <c r="BO200" s="1076">
        <f t="shared" si="13"/>
        <v>0</v>
      </c>
      <c r="BP200" s="1051"/>
      <c r="BQ200" s="1052"/>
      <c r="BR200" s="1054"/>
      <c r="BS200" s="1053"/>
      <c r="BT200" s="1051"/>
      <c r="BU200" s="1051"/>
      <c r="BV200" s="1051"/>
      <c r="BW200" s="1052"/>
      <c r="BX200" s="1052"/>
      <c r="BY200" s="1052"/>
      <c r="BZ200" s="1052"/>
      <c r="CA200" s="1052"/>
      <c r="CB200" s="1053"/>
      <c r="CC200" s="1053"/>
      <c r="CD200" s="1053"/>
      <c r="CE200" s="1053"/>
      <c r="CF200" s="1053"/>
      <c r="CG200" s="1053"/>
      <c r="CH200" s="1053"/>
      <c r="CI200" s="1123"/>
      <c r="CJ200" s="1123"/>
      <c r="CK200" s="1123"/>
      <c r="CL200" s="1123"/>
      <c r="CM200" s="1123"/>
      <c r="CN200" s="1123"/>
      <c r="CO200" s="1123"/>
      <c r="CP200" s="1123"/>
      <c r="CQ200" s="1123"/>
      <c r="CR200" s="1123"/>
      <c r="CS200" s="1123"/>
      <c r="CT200" s="1123"/>
      <c r="CU200" s="1123"/>
      <c r="CV200" s="1123"/>
      <c r="CW200" s="1123"/>
      <c r="CX200" s="1123"/>
      <c r="CY200" s="1123"/>
      <c r="CZ200" s="1114"/>
      <c r="DA200" s="1114"/>
      <c r="DB200" s="1114"/>
      <c r="DC200" s="1114"/>
      <c r="DD200" s="1114"/>
      <c r="DE200" s="1114"/>
      <c r="DF200" s="1114"/>
      <c r="DG200" s="1114"/>
      <c r="DH200" s="1114"/>
      <c r="DI200" s="1114"/>
      <c r="DJ200" s="1114"/>
      <c r="DK200" s="1114"/>
      <c r="DL200" s="1114"/>
      <c r="DM200" s="1114"/>
      <c r="DN200" s="1114"/>
      <c r="DO200" s="1114"/>
      <c r="DP200" s="1114"/>
      <c r="DQ200" s="1114"/>
      <c r="DR200" s="1114"/>
      <c r="DS200" s="1114"/>
      <c r="DT200" s="1114"/>
      <c r="DU200" s="1114"/>
      <c r="DV200" s="1115"/>
      <c r="DW200" s="1116"/>
      <c r="DX200" s="1116"/>
      <c r="DY200" s="1116"/>
      <c r="DZ200" s="1116"/>
      <c r="EA200" s="1116"/>
      <c r="EB200" s="1116"/>
      <c r="EC200" s="1116"/>
      <c r="ED200" s="1116"/>
      <c r="EE200" s="1116"/>
      <c r="EF200" s="1116"/>
      <c r="EG200" s="1116"/>
      <c r="EH200" s="1116"/>
      <c r="EI200" s="1116"/>
      <c r="EJ200" s="1116"/>
      <c r="EK200" s="1116"/>
      <c r="EL200" s="1116"/>
      <c r="EM200" s="1116"/>
      <c r="EN200" s="1116"/>
      <c r="EO200" s="1116"/>
      <c r="EP200" s="1116"/>
      <c r="EQ200" s="1116"/>
      <c r="ER200" s="1116"/>
      <c r="ES200" s="1116"/>
    </row>
    <row r="201" spans="1:149" ht="15" customHeight="1">
      <c r="A201" s="1799">
        <v>186</v>
      </c>
      <c r="B201" s="1041"/>
      <c r="C201" s="1050"/>
      <c r="D201" s="1050"/>
      <c r="E201" s="1050"/>
      <c r="F201" s="1049"/>
      <c r="G201" s="1457"/>
      <c r="H201" s="1049"/>
      <c r="I201" s="1049"/>
      <c r="J201" s="1050"/>
      <c r="K201" s="1050"/>
      <c r="L201" s="1043"/>
      <c r="M201" s="1051"/>
      <c r="N201" s="1051"/>
      <c r="O201" s="1052"/>
      <c r="P201" s="1051"/>
      <c r="Q201" s="1051"/>
      <c r="R201" s="1052"/>
      <c r="S201" s="1051"/>
      <c r="T201" s="1051"/>
      <c r="U201" s="1052"/>
      <c r="V201" s="1051"/>
      <c r="W201" s="1051"/>
      <c r="X201" s="1052"/>
      <c r="Y201" s="1053"/>
      <c r="Z201" s="1051"/>
      <c r="AA201" s="1051"/>
      <c r="AB201" s="1052"/>
      <c r="AC201" s="1051"/>
      <c r="AD201" s="1051"/>
      <c r="AE201" s="1052"/>
      <c r="AF201" s="1051"/>
      <c r="AG201" s="1051"/>
      <c r="AH201" s="1051"/>
      <c r="AI201" s="1051"/>
      <c r="AJ201" s="1052"/>
      <c r="AK201" s="1051"/>
      <c r="AL201" s="1051"/>
      <c r="AM201" s="1052"/>
      <c r="AN201" s="1051"/>
      <c r="AO201" s="1051"/>
      <c r="AP201" s="1052"/>
      <c r="AQ201" s="1051"/>
      <c r="AR201" s="1051"/>
      <c r="AS201" s="1052"/>
      <c r="AT201" s="1051"/>
      <c r="AU201" s="1051"/>
      <c r="AV201" s="1052"/>
      <c r="AW201" s="1051"/>
      <c r="AX201" s="1051"/>
      <c r="AY201" s="1053"/>
      <c r="AZ201" s="1051"/>
      <c r="BA201" s="1051"/>
      <c r="BB201" s="1053"/>
      <c r="BC201" s="1051"/>
      <c r="BD201" s="1051"/>
      <c r="BE201" s="1053"/>
      <c r="BF201" s="1051"/>
      <c r="BG201" s="1051"/>
      <c r="BH201" s="1053"/>
      <c r="BI201" s="1052"/>
      <c r="BJ201" s="1052"/>
      <c r="BK201" s="1052"/>
      <c r="BL201" s="1052"/>
      <c r="BM201" s="1052"/>
      <c r="BN201" s="1054"/>
      <c r="BO201" s="1076">
        <f t="shared" si="13"/>
        <v>0</v>
      </c>
      <c r="BP201" s="1051"/>
      <c r="BQ201" s="1052"/>
      <c r="BR201" s="1054"/>
      <c r="BS201" s="1053"/>
      <c r="BT201" s="1051"/>
      <c r="BU201" s="1051"/>
      <c r="BV201" s="1051"/>
      <c r="BW201" s="1052"/>
      <c r="BX201" s="1052"/>
      <c r="BY201" s="1052"/>
      <c r="BZ201" s="1052"/>
      <c r="CA201" s="1052"/>
      <c r="CB201" s="1053"/>
      <c r="CC201" s="1053"/>
      <c r="CD201" s="1053"/>
      <c r="CE201" s="1053"/>
      <c r="CF201" s="1053"/>
      <c r="CG201" s="1053"/>
      <c r="CH201" s="1053"/>
      <c r="CI201" s="1123"/>
      <c r="CJ201" s="1123"/>
      <c r="CK201" s="1123"/>
      <c r="CL201" s="1123"/>
      <c r="CM201" s="1123"/>
      <c r="CN201" s="1123"/>
      <c r="CO201" s="1123"/>
      <c r="CP201" s="1123"/>
      <c r="CQ201" s="1123"/>
      <c r="CR201" s="1123"/>
      <c r="CS201" s="1123"/>
      <c r="CT201" s="1123"/>
      <c r="CU201" s="1123"/>
      <c r="CV201" s="1123"/>
      <c r="CW201" s="1123"/>
      <c r="CX201" s="1123"/>
      <c r="CY201" s="1123"/>
      <c r="CZ201" s="1114"/>
      <c r="DA201" s="1114"/>
      <c r="DB201" s="1114"/>
      <c r="DC201" s="1114"/>
      <c r="DD201" s="1114"/>
      <c r="DE201" s="1114"/>
      <c r="DF201" s="1114"/>
      <c r="DG201" s="1114"/>
      <c r="DH201" s="1114"/>
      <c r="DI201" s="1114"/>
      <c r="DJ201" s="1114"/>
      <c r="DK201" s="1114"/>
      <c r="DL201" s="1114"/>
      <c r="DM201" s="1114"/>
      <c r="DN201" s="1114"/>
      <c r="DO201" s="1114"/>
      <c r="DP201" s="1114"/>
      <c r="DQ201" s="1114"/>
      <c r="DR201" s="1114"/>
      <c r="DS201" s="1114"/>
      <c r="DT201" s="1114"/>
      <c r="DU201" s="1114"/>
      <c r="DV201" s="1115"/>
      <c r="DW201" s="1116"/>
      <c r="DX201" s="1116"/>
      <c r="DY201" s="1116"/>
      <c r="DZ201" s="1116"/>
      <c r="EA201" s="1116"/>
      <c r="EB201" s="1116"/>
      <c r="EC201" s="1116"/>
      <c r="ED201" s="1116"/>
      <c r="EE201" s="1116"/>
      <c r="EF201" s="1116"/>
      <c r="EG201" s="1116"/>
      <c r="EH201" s="1116"/>
      <c r="EI201" s="1116"/>
      <c r="EJ201" s="1116"/>
      <c r="EK201" s="1116"/>
      <c r="EL201" s="1116"/>
      <c r="EM201" s="1116"/>
      <c r="EN201" s="1116"/>
      <c r="EO201" s="1116"/>
      <c r="EP201" s="1116"/>
      <c r="EQ201" s="1116"/>
      <c r="ER201" s="1116"/>
      <c r="ES201" s="1116"/>
    </row>
    <row r="202" spans="1:149" ht="15" customHeight="1">
      <c r="A202" s="1799">
        <v>187</v>
      </c>
      <c r="B202" s="1041"/>
      <c r="C202" s="1050"/>
      <c r="D202" s="1050"/>
      <c r="E202" s="1050"/>
      <c r="F202" s="1049"/>
      <c r="G202" s="1457"/>
      <c r="H202" s="1049"/>
      <c r="I202" s="1049"/>
      <c r="J202" s="1050"/>
      <c r="K202" s="1050"/>
      <c r="L202" s="1043"/>
      <c r="M202" s="1051"/>
      <c r="N202" s="1051"/>
      <c r="O202" s="1052"/>
      <c r="P202" s="1051"/>
      <c r="Q202" s="1051"/>
      <c r="R202" s="1052"/>
      <c r="S202" s="1051"/>
      <c r="T202" s="1051"/>
      <c r="U202" s="1052"/>
      <c r="V202" s="1051"/>
      <c r="W202" s="1051"/>
      <c r="X202" s="1052"/>
      <c r="Y202" s="1053"/>
      <c r="Z202" s="1051"/>
      <c r="AA202" s="1051"/>
      <c r="AB202" s="1052"/>
      <c r="AC202" s="1051"/>
      <c r="AD202" s="1051"/>
      <c r="AE202" s="1052"/>
      <c r="AF202" s="1051"/>
      <c r="AG202" s="1051"/>
      <c r="AH202" s="1051"/>
      <c r="AI202" s="1051"/>
      <c r="AJ202" s="1052"/>
      <c r="AK202" s="1051"/>
      <c r="AL202" s="1051"/>
      <c r="AM202" s="1052"/>
      <c r="AN202" s="1051"/>
      <c r="AO202" s="1051"/>
      <c r="AP202" s="1052"/>
      <c r="AQ202" s="1051"/>
      <c r="AR202" s="1051"/>
      <c r="AS202" s="1052"/>
      <c r="AT202" s="1051"/>
      <c r="AU202" s="1051"/>
      <c r="AV202" s="1052"/>
      <c r="AW202" s="1051"/>
      <c r="AX202" s="1051"/>
      <c r="AY202" s="1053"/>
      <c r="AZ202" s="1051"/>
      <c r="BA202" s="1051"/>
      <c r="BB202" s="1053"/>
      <c r="BC202" s="1051"/>
      <c r="BD202" s="1051"/>
      <c r="BE202" s="1053"/>
      <c r="BF202" s="1051"/>
      <c r="BG202" s="1051"/>
      <c r="BH202" s="1053"/>
      <c r="BI202" s="1052"/>
      <c r="BJ202" s="1052"/>
      <c r="BK202" s="1052"/>
      <c r="BL202" s="1052"/>
      <c r="BM202" s="1052"/>
      <c r="BN202" s="1054"/>
      <c r="BO202" s="1076">
        <f t="shared" si="13"/>
        <v>0</v>
      </c>
      <c r="BP202" s="1051"/>
      <c r="BQ202" s="1052"/>
      <c r="BR202" s="1054"/>
      <c r="BS202" s="1053"/>
      <c r="BT202" s="1051"/>
      <c r="BU202" s="1051"/>
      <c r="BV202" s="1051"/>
      <c r="BW202" s="1052"/>
      <c r="BX202" s="1052"/>
      <c r="BY202" s="1052"/>
      <c r="BZ202" s="1052"/>
      <c r="CA202" s="1052"/>
      <c r="CB202" s="1053"/>
      <c r="CC202" s="1053"/>
      <c r="CD202" s="1053"/>
      <c r="CE202" s="1053"/>
      <c r="CF202" s="1053"/>
      <c r="CG202" s="1053"/>
      <c r="CH202" s="1053"/>
      <c r="CI202" s="1123"/>
      <c r="CJ202" s="1123"/>
      <c r="CK202" s="1123"/>
      <c r="CL202" s="1123"/>
      <c r="CM202" s="1123"/>
      <c r="CN202" s="1123"/>
      <c r="CO202" s="1123"/>
      <c r="CP202" s="1123"/>
      <c r="CQ202" s="1123"/>
      <c r="CR202" s="1123"/>
      <c r="CS202" s="1123"/>
      <c r="CT202" s="1123"/>
      <c r="CU202" s="1123"/>
      <c r="CV202" s="1123"/>
      <c r="CW202" s="1123"/>
      <c r="CX202" s="1123"/>
      <c r="CY202" s="1123"/>
      <c r="CZ202" s="1114"/>
      <c r="DA202" s="1114"/>
      <c r="DB202" s="1114"/>
      <c r="DC202" s="1114"/>
      <c r="DD202" s="1114"/>
      <c r="DE202" s="1114"/>
      <c r="DF202" s="1114"/>
      <c r="DG202" s="1114"/>
      <c r="DH202" s="1114"/>
      <c r="DI202" s="1114"/>
      <c r="DJ202" s="1114"/>
      <c r="DK202" s="1114"/>
      <c r="DL202" s="1114"/>
      <c r="DM202" s="1114"/>
      <c r="DN202" s="1114"/>
      <c r="DO202" s="1114"/>
      <c r="DP202" s="1114"/>
      <c r="DQ202" s="1114"/>
      <c r="DR202" s="1114"/>
      <c r="DS202" s="1114"/>
      <c r="DT202" s="1114"/>
      <c r="DU202" s="1114"/>
      <c r="DV202" s="1115"/>
      <c r="DW202" s="1116"/>
      <c r="DX202" s="1116"/>
      <c r="DY202" s="1116"/>
      <c r="DZ202" s="1116"/>
      <c r="EA202" s="1116"/>
      <c r="EB202" s="1116"/>
      <c r="EC202" s="1116"/>
      <c r="ED202" s="1116"/>
      <c r="EE202" s="1116"/>
      <c r="EF202" s="1116"/>
      <c r="EG202" s="1116"/>
      <c r="EH202" s="1116"/>
      <c r="EI202" s="1116"/>
      <c r="EJ202" s="1116"/>
      <c r="EK202" s="1116"/>
      <c r="EL202" s="1116"/>
      <c r="EM202" s="1116"/>
      <c r="EN202" s="1116"/>
      <c r="EO202" s="1116"/>
      <c r="EP202" s="1116"/>
      <c r="EQ202" s="1116"/>
      <c r="ER202" s="1116"/>
      <c r="ES202" s="1116"/>
    </row>
    <row r="203" spans="1:149" ht="15" customHeight="1">
      <c r="A203" s="1799">
        <v>188</v>
      </c>
      <c r="B203" s="1041"/>
      <c r="C203" s="1050"/>
      <c r="D203" s="1050"/>
      <c r="E203" s="1050"/>
      <c r="F203" s="1049"/>
      <c r="G203" s="1457"/>
      <c r="H203" s="1049"/>
      <c r="I203" s="1049"/>
      <c r="J203" s="1050"/>
      <c r="K203" s="1050"/>
      <c r="L203" s="1043"/>
      <c r="M203" s="1051"/>
      <c r="N203" s="1051"/>
      <c r="O203" s="1052"/>
      <c r="P203" s="1051"/>
      <c r="Q203" s="1051"/>
      <c r="R203" s="1052"/>
      <c r="S203" s="1051"/>
      <c r="T203" s="1051"/>
      <c r="U203" s="1052"/>
      <c r="V203" s="1051"/>
      <c r="W203" s="1051"/>
      <c r="X203" s="1052"/>
      <c r="Y203" s="1053"/>
      <c r="Z203" s="1051"/>
      <c r="AA203" s="1051"/>
      <c r="AB203" s="1052"/>
      <c r="AC203" s="1051"/>
      <c r="AD203" s="1051"/>
      <c r="AE203" s="1052"/>
      <c r="AF203" s="1051"/>
      <c r="AG203" s="1051"/>
      <c r="AH203" s="1051"/>
      <c r="AI203" s="1051"/>
      <c r="AJ203" s="1052"/>
      <c r="AK203" s="1051"/>
      <c r="AL203" s="1051"/>
      <c r="AM203" s="1052"/>
      <c r="AN203" s="1051"/>
      <c r="AO203" s="1051"/>
      <c r="AP203" s="1052"/>
      <c r="AQ203" s="1051"/>
      <c r="AR203" s="1051"/>
      <c r="AS203" s="1052"/>
      <c r="AT203" s="1051"/>
      <c r="AU203" s="1051"/>
      <c r="AV203" s="1052"/>
      <c r="AW203" s="1051"/>
      <c r="AX203" s="1051"/>
      <c r="AY203" s="1053"/>
      <c r="AZ203" s="1051"/>
      <c r="BA203" s="1051"/>
      <c r="BB203" s="1053"/>
      <c r="BC203" s="1051"/>
      <c r="BD203" s="1051"/>
      <c r="BE203" s="1053"/>
      <c r="BF203" s="1051"/>
      <c r="BG203" s="1051"/>
      <c r="BH203" s="1053"/>
      <c r="BI203" s="1052"/>
      <c r="BJ203" s="1052"/>
      <c r="BK203" s="1052"/>
      <c r="BL203" s="1052"/>
      <c r="BM203" s="1052"/>
      <c r="BN203" s="1054"/>
      <c r="BO203" s="1076">
        <f t="shared" si="13"/>
        <v>0</v>
      </c>
      <c r="BP203" s="1051"/>
      <c r="BQ203" s="1052"/>
      <c r="BR203" s="1054"/>
      <c r="BS203" s="1053"/>
      <c r="BT203" s="1051"/>
      <c r="BU203" s="1051"/>
      <c r="BV203" s="1051"/>
      <c r="BW203" s="1052"/>
      <c r="BX203" s="1052"/>
      <c r="BY203" s="1052"/>
      <c r="BZ203" s="1052"/>
      <c r="CA203" s="1052"/>
      <c r="CB203" s="1053"/>
      <c r="CC203" s="1053"/>
      <c r="CD203" s="1053"/>
      <c r="CE203" s="1053"/>
      <c r="CF203" s="1053"/>
      <c r="CG203" s="1053"/>
      <c r="CH203" s="1053"/>
      <c r="CI203" s="1123"/>
      <c r="CJ203" s="1123"/>
      <c r="CK203" s="1123"/>
      <c r="CL203" s="1123"/>
      <c r="CM203" s="1123"/>
      <c r="CN203" s="1123"/>
      <c r="CO203" s="1123"/>
      <c r="CP203" s="1123"/>
      <c r="CQ203" s="1123"/>
      <c r="CR203" s="1123"/>
      <c r="CS203" s="1123"/>
      <c r="CT203" s="1123"/>
      <c r="CU203" s="1123"/>
      <c r="CV203" s="1123"/>
      <c r="CW203" s="1123"/>
      <c r="CX203" s="1123"/>
      <c r="CY203" s="1123"/>
      <c r="CZ203" s="1114"/>
      <c r="DA203" s="1114"/>
      <c r="DB203" s="1114"/>
      <c r="DC203" s="1114"/>
      <c r="DD203" s="1114"/>
      <c r="DE203" s="1114"/>
      <c r="DF203" s="1114"/>
      <c r="DG203" s="1114"/>
      <c r="DH203" s="1114"/>
      <c r="DI203" s="1114"/>
      <c r="DJ203" s="1114"/>
      <c r="DK203" s="1114"/>
      <c r="DL203" s="1114"/>
      <c r="DM203" s="1114"/>
      <c r="DN203" s="1114"/>
      <c r="DO203" s="1114"/>
      <c r="DP203" s="1114"/>
      <c r="DQ203" s="1114"/>
      <c r="DR203" s="1114"/>
      <c r="DS203" s="1114"/>
      <c r="DT203" s="1114"/>
      <c r="DU203" s="1114"/>
      <c r="DV203" s="1115"/>
      <c r="DW203" s="1116"/>
      <c r="DX203" s="1116"/>
      <c r="DY203" s="1116"/>
      <c r="DZ203" s="1116"/>
      <c r="EA203" s="1116"/>
      <c r="EB203" s="1116"/>
      <c r="EC203" s="1116"/>
      <c r="ED203" s="1116"/>
      <c r="EE203" s="1116"/>
      <c r="EF203" s="1116"/>
      <c r="EG203" s="1116"/>
      <c r="EH203" s="1116"/>
      <c r="EI203" s="1116"/>
      <c r="EJ203" s="1116"/>
      <c r="EK203" s="1116"/>
      <c r="EL203" s="1116"/>
      <c r="EM203" s="1116"/>
      <c r="EN203" s="1116"/>
      <c r="EO203" s="1116"/>
      <c r="EP203" s="1116"/>
      <c r="EQ203" s="1116"/>
      <c r="ER203" s="1116"/>
      <c r="ES203" s="1116"/>
    </row>
    <row r="204" spans="1:149" ht="15" customHeight="1">
      <c r="A204" s="1799">
        <v>189</v>
      </c>
      <c r="B204" s="1041"/>
      <c r="C204" s="1050"/>
      <c r="D204" s="1050"/>
      <c r="E204" s="1050"/>
      <c r="F204" s="1049"/>
      <c r="G204" s="1457"/>
      <c r="H204" s="1049"/>
      <c r="I204" s="1049"/>
      <c r="J204" s="1050"/>
      <c r="K204" s="1050"/>
      <c r="L204" s="1043"/>
      <c r="M204" s="1051"/>
      <c r="N204" s="1051"/>
      <c r="O204" s="1052"/>
      <c r="P204" s="1051"/>
      <c r="Q204" s="1051"/>
      <c r="R204" s="1052"/>
      <c r="S204" s="1051"/>
      <c r="T204" s="1051"/>
      <c r="U204" s="1052"/>
      <c r="V204" s="1051"/>
      <c r="W204" s="1051"/>
      <c r="X204" s="1052"/>
      <c r="Y204" s="1053"/>
      <c r="Z204" s="1051"/>
      <c r="AA204" s="1051"/>
      <c r="AB204" s="1052"/>
      <c r="AC204" s="1051"/>
      <c r="AD204" s="1051"/>
      <c r="AE204" s="1052"/>
      <c r="AF204" s="1051"/>
      <c r="AG204" s="1051"/>
      <c r="AH204" s="1051"/>
      <c r="AI204" s="1051"/>
      <c r="AJ204" s="1052"/>
      <c r="AK204" s="1051"/>
      <c r="AL204" s="1051"/>
      <c r="AM204" s="1052"/>
      <c r="AN204" s="1051"/>
      <c r="AO204" s="1051"/>
      <c r="AP204" s="1052"/>
      <c r="AQ204" s="1051"/>
      <c r="AR204" s="1051"/>
      <c r="AS204" s="1052"/>
      <c r="AT204" s="1051"/>
      <c r="AU204" s="1051"/>
      <c r="AV204" s="1052"/>
      <c r="AW204" s="1051"/>
      <c r="AX204" s="1051"/>
      <c r="AY204" s="1053"/>
      <c r="AZ204" s="1051"/>
      <c r="BA204" s="1051"/>
      <c r="BB204" s="1053"/>
      <c r="BC204" s="1051"/>
      <c r="BD204" s="1051"/>
      <c r="BE204" s="1053"/>
      <c r="BF204" s="1051"/>
      <c r="BG204" s="1051"/>
      <c r="BH204" s="1053"/>
      <c r="BI204" s="1052"/>
      <c r="BJ204" s="1052"/>
      <c r="BK204" s="1052"/>
      <c r="BL204" s="1052"/>
      <c r="BM204" s="1052"/>
      <c r="BN204" s="1054"/>
      <c r="BO204" s="1076">
        <f t="shared" si="13"/>
        <v>0</v>
      </c>
      <c r="BP204" s="1051"/>
      <c r="BQ204" s="1052"/>
      <c r="BR204" s="1054"/>
      <c r="BS204" s="1053"/>
      <c r="BT204" s="1051"/>
      <c r="BU204" s="1051"/>
      <c r="BV204" s="1051"/>
      <c r="BW204" s="1052"/>
      <c r="BX204" s="1052"/>
      <c r="BY204" s="1052"/>
      <c r="BZ204" s="1052"/>
      <c r="CA204" s="1052"/>
      <c r="CB204" s="1053"/>
      <c r="CC204" s="1053"/>
      <c r="CD204" s="1053"/>
      <c r="CE204" s="1053"/>
      <c r="CF204" s="1053"/>
      <c r="CG204" s="1053"/>
      <c r="CH204" s="1053"/>
      <c r="CI204" s="1123"/>
      <c r="CJ204" s="1123"/>
      <c r="CK204" s="1123"/>
      <c r="CL204" s="1123"/>
      <c r="CM204" s="1123"/>
      <c r="CN204" s="1123"/>
      <c r="CO204" s="1123"/>
      <c r="CP204" s="1123"/>
      <c r="CQ204" s="1123"/>
      <c r="CR204" s="1123"/>
      <c r="CS204" s="1123"/>
      <c r="CT204" s="1123"/>
      <c r="CU204" s="1123"/>
      <c r="CV204" s="1123"/>
      <c r="CW204" s="1123"/>
      <c r="CX204" s="1123"/>
      <c r="CY204" s="1123"/>
      <c r="CZ204" s="1114"/>
      <c r="DA204" s="1114"/>
      <c r="DB204" s="1114"/>
      <c r="DC204" s="1114"/>
      <c r="DD204" s="1114"/>
      <c r="DE204" s="1114"/>
      <c r="DF204" s="1114"/>
      <c r="DG204" s="1114"/>
      <c r="DH204" s="1114"/>
      <c r="DI204" s="1114"/>
      <c r="DJ204" s="1114"/>
      <c r="DK204" s="1114"/>
      <c r="DL204" s="1114"/>
      <c r="DM204" s="1114"/>
      <c r="DN204" s="1114"/>
      <c r="DO204" s="1114"/>
      <c r="DP204" s="1114"/>
      <c r="DQ204" s="1114"/>
      <c r="DR204" s="1114"/>
      <c r="DS204" s="1114"/>
      <c r="DT204" s="1114"/>
      <c r="DU204" s="1114"/>
      <c r="DV204" s="1115"/>
      <c r="DW204" s="1116"/>
      <c r="DX204" s="1116"/>
      <c r="DY204" s="1116"/>
      <c r="DZ204" s="1116"/>
      <c r="EA204" s="1116"/>
      <c r="EB204" s="1116"/>
      <c r="EC204" s="1116"/>
      <c r="ED204" s="1116"/>
      <c r="EE204" s="1116"/>
      <c r="EF204" s="1116"/>
      <c r="EG204" s="1116"/>
      <c r="EH204" s="1116"/>
      <c r="EI204" s="1116"/>
      <c r="EJ204" s="1116"/>
      <c r="EK204" s="1116"/>
      <c r="EL204" s="1116"/>
      <c r="EM204" s="1116"/>
      <c r="EN204" s="1116"/>
      <c r="EO204" s="1116"/>
      <c r="EP204" s="1116"/>
      <c r="EQ204" s="1116"/>
      <c r="ER204" s="1116"/>
      <c r="ES204" s="1116"/>
    </row>
    <row r="205" spans="1:149" ht="15" customHeight="1">
      <c r="A205" s="1799">
        <v>190</v>
      </c>
      <c r="B205" s="1041"/>
      <c r="C205" s="1050"/>
      <c r="D205" s="1050"/>
      <c r="E205" s="1050"/>
      <c r="F205" s="1049"/>
      <c r="G205" s="1457"/>
      <c r="H205" s="1049"/>
      <c r="I205" s="1049"/>
      <c r="J205" s="1050"/>
      <c r="K205" s="1050"/>
      <c r="L205" s="1043"/>
      <c r="M205" s="1051"/>
      <c r="N205" s="1051"/>
      <c r="O205" s="1052"/>
      <c r="P205" s="1051"/>
      <c r="Q205" s="1051"/>
      <c r="R205" s="1052"/>
      <c r="S205" s="1051"/>
      <c r="T205" s="1051"/>
      <c r="U205" s="1052"/>
      <c r="V205" s="1051"/>
      <c r="W205" s="1051"/>
      <c r="X205" s="1052"/>
      <c r="Y205" s="1053"/>
      <c r="Z205" s="1051"/>
      <c r="AA205" s="1051"/>
      <c r="AB205" s="1052"/>
      <c r="AC205" s="1051"/>
      <c r="AD205" s="1051"/>
      <c r="AE205" s="1052"/>
      <c r="AF205" s="1051"/>
      <c r="AG205" s="1051"/>
      <c r="AH205" s="1051"/>
      <c r="AI205" s="1051"/>
      <c r="AJ205" s="1052"/>
      <c r="AK205" s="1051"/>
      <c r="AL205" s="1051"/>
      <c r="AM205" s="1052"/>
      <c r="AN205" s="1051"/>
      <c r="AO205" s="1051"/>
      <c r="AP205" s="1052"/>
      <c r="AQ205" s="1051"/>
      <c r="AR205" s="1051"/>
      <c r="AS205" s="1052"/>
      <c r="AT205" s="1051"/>
      <c r="AU205" s="1051"/>
      <c r="AV205" s="1052"/>
      <c r="AW205" s="1051"/>
      <c r="AX205" s="1051"/>
      <c r="AY205" s="1053"/>
      <c r="AZ205" s="1051"/>
      <c r="BA205" s="1051"/>
      <c r="BB205" s="1053"/>
      <c r="BC205" s="1051"/>
      <c r="BD205" s="1051"/>
      <c r="BE205" s="1053"/>
      <c r="BF205" s="1051"/>
      <c r="BG205" s="1051"/>
      <c r="BH205" s="1053"/>
      <c r="BI205" s="1052"/>
      <c r="BJ205" s="1052"/>
      <c r="BK205" s="1052"/>
      <c r="BL205" s="1052"/>
      <c r="BM205" s="1052"/>
      <c r="BN205" s="1054"/>
      <c r="BO205" s="1076">
        <f t="shared" si="13"/>
        <v>0</v>
      </c>
      <c r="BP205" s="1051"/>
      <c r="BQ205" s="1052"/>
      <c r="BR205" s="1054"/>
      <c r="BS205" s="1053"/>
      <c r="BT205" s="1051"/>
      <c r="BU205" s="1051"/>
      <c r="BV205" s="1051"/>
      <c r="BW205" s="1052"/>
      <c r="BX205" s="1052"/>
      <c r="BY205" s="1052"/>
      <c r="BZ205" s="1052"/>
      <c r="CA205" s="1052"/>
      <c r="CB205" s="1053"/>
      <c r="CC205" s="1053"/>
      <c r="CD205" s="1053"/>
      <c r="CE205" s="1053"/>
      <c r="CF205" s="1053"/>
      <c r="CG205" s="1053"/>
      <c r="CH205" s="1053"/>
      <c r="CI205" s="1123"/>
      <c r="CJ205" s="1123"/>
      <c r="CK205" s="1123"/>
      <c r="CL205" s="1123"/>
      <c r="CM205" s="1123"/>
      <c r="CN205" s="1123"/>
      <c r="CO205" s="1123"/>
      <c r="CP205" s="1123"/>
      <c r="CQ205" s="1123"/>
      <c r="CR205" s="1123"/>
      <c r="CS205" s="1123"/>
      <c r="CT205" s="1123"/>
      <c r="CU205" s="1123"/>
      <c r="CV205" s="1123"/>
      <c r="CW205" s="1123"/>
      <c r="CX205" s="1123"/>
      <c r="CY205" s="1123"/>
      <c r="CZ205" s="1114"/>
      <c r="DA205" s="1114"/>
      <c r="DB205" s="1114"/>
      <c r="DC205" s="1114"/>
      <c r="DD205" s="1114"/>
      <c r="DE205" s="1114"/>
      <c r="DF205" s="1114"/>
      <c r="DG205" s="1114"/>
      <c r="DH205" s="1114"/>
      <c r="DI205" s="1114"/>
      <c r="DJ205" s="1114"/>
      <c r="DK205" s="1114"/>
      <c r="DL205" s="1114"/>
      <c r="DM205" s="1114"/>
      <c r="DN205" s="1114"/>
      <c r="DO205" s="1114"/>
      <c r="DP205" s="1114"/>
      <c r="DQ205" s="1114"/>
      <c r="DR205" s="1114"/>
      <c r="DS205" s="1114"/>
      <c r="DT205" s="1114"/>
      <c r="DU205" s="1114"/>
      <c r="DV205" s="1115"/>
      <c r="DW205" s="1116"/>
      <c r="DX205" s="1116"/>
      <c r="DY205" s="1116"/>
      <c r="DZ205" s="1116"/>
      <c r="EA205" s="1116"/>
      <c r="EB205" s="1116"/>
      <c r="EC205" s="1116"/>
      <c r="ED205" s="1116"/>
      <c r="EE205" s="1116"/>
      <c r="EF205" s="1116"/>
      <c r="EG205" s="1116"/>
      <c r="EH205" s="1116"/>
      <c r="EI205" s="1116"/>
      <c r="EJ205" s="1116"/>
      <c r="EK205" s="1116"/>
      <c r="EL205" s="1116"/>
      <c r="EM205" s="1116"/>
      <c r="EN205" s="1116"/>
      <c r="EO205" s="1116"/>
      <c r="EP205" s="1116"/>
      <c r="EQ205" s="1116"/>
      <c r="ER205" s="1116"/>
      <c r="ES205" s="1116"/>
    </row>
    <row r="206" spans="1:149" ht="15" customHeight="1">
      <c r="A206" s="1799">
        <v>191</v>
      </c>
      <c r="B206" s="1041"/>
      <c r="C206" s="1050"/>
      <c r="D206" s="1050"/>
      <c r="E206" s="1050"/>
      <c r="F206" s="1049"/>
      <c r="G206" s="1457"/>
      <c r="H206" s="1049"/>
      <c r="I206" s="1049"/>
      <c r="J206" s="1050"/>
      <c r="K206" s="1050"/>
      <c r="L206" s="1043"/>
      <c r="M206" s="1051"/>
      <c r="N206" s="1051"/>
      <c r="O206" s="1052"/>
      <c r="P206" s="1051"/>
      <c r="Q206" s="1051"/>
      <c r="R206" s="1052"/>
      <c r="S206" s="1051"/>
      <c r="T206" s="1051"/>
      <c r="U206" s="1052"/>
      <c r="V206" s="1051"/>
      <c r="W206" s="1051"/>
      <c r="X206" s="1052"/>
      <c r="Y206" s="1053"/>
      <c r="Z206" s="1051"/>
      <c r="AA206" s="1051"/>
      <c r="AB206" s="1052"/>
      <c r="AC206" s="1051"/>
      <c r="AD206" s="1051"/>
      <c r="AE206" s="1052"/>
      <c r="AF206" s="1051"/>
      <c r="AG206" s="1051"/>
      <c r="AH206" s="1051"/>
      <c r="AI206" s="1051"/>
      <c r="AJ206" s="1052"/>
      <c r="AK206" s="1051"/>
      <c r="AL206" s="1051"/>
      <c r="AM206" s="1052"/>
      <c r="AN206" s="1051"/>
      <c r="AO206" s="1051"/>
      <c r="AP206" s="1052"/>
      <c r="AQ206" s="1051"/>
      <c r="AR206" s="1051"/>
      <c r="AS206" s="1052"/>
      <c r="AT206" s="1051"/>
      <c r="AU206" s="1051"/>
      <c r="AV206" s="1052"/>
      <c r="AW206" s="1051"/>
      <c r="AX206" s="1051"/>
      <c r="AY206" s="1053"/>
      <c r="AZ206" s="1051"/>
      <c r="BA206" s="1051"/>
      <c r="BB206" s="1053"/>
      <c r="BC206" s="1051"/>
      <c r="BD206" s="1051"/>
      <c r="BE206" s="1053"/>
      <c r="BF206" s="1051"/>
      <c r="BG206" s="1051"/>
      <c r="BH206" s="1053"/>
      <c r="BI206" s="1052"/>
      <c r="BJ206" s="1052"/>
      <c r="BK206" s="1052"/>
      <c r="BL206" s="1052"/>
      <c r="BM206" s="1052"/>
      <c r="BN206" s="1054"/>
      <c r="BO206" s="1076">
        <f t="shared" si="13"/>
        <v>0</v>
      </c>
      <c r="BP206" s="1051"/>
      <c r="BQ206" s="1052"/>
      <c r="BR206" s="1054"/>
      <c r="BS206" s="1053"/>
      <c r="BT206" s="1051"/>
      <c r="BU206" s="1051"/>
      <c r="BV206" s="1051"/>
      <c r="BW206" s="1052"/>
      <c r="BX206" s="1052"/>
      <c r="BY206" s="1052"/>
      <c r="BZ206" s="1052"/>
      <c r="CA206" s="1052"/>
      <c r="CB206" s="1053"/>
      <c r="CC206" s="1053"/>
      <c r="CD206" s="1053"/>
      <c r="CE206" s="1053"/>
      <c r="CF206" s="1053"/>
      <c r="CG206" s="1053"/>
      <c r="CH206" s="1053"/>
      <c r="CI206" s="1123"/>
      <c r="CJ206" s="1123"/>
      <c r="CK206" s="1123"/>
      <c r="CL206" s="1123"/>
      <c r="CM206" s="1123"/>
      <c r="CN206" s="1123"/>
      <c r="CO206" s="1123"/>
      <c r="CP206" s="1123"/>
      <c r="CQ206" s="1123"/>
      <c r="CR206" s="1123"/>
      <c r="CS206" s="1123"/>
      <c r="CT206" s="1123"/>
      <c r="CU206" s="1123"/>
      <c r="CV206" s="1123"/>
      <c r="CW206" s="1123"/>
      <c r="CX206" s="1123"/>
      <c r="CY206" s="1123"/>
      <c r="CZ206" s="1114"/>
      <c r="DA206" s="1114"/>
      <c r="DB206" s="1114"/>
      <c r="DC206" s="1114"/>
      <c r="DD206" s="1114"/>
      <c r="DE206" s="1114"/>
      <c r="DF206" s="1114"/>
      <c r="DG206" s="1114"/>
      <c r="DH206" s="1114"/>
      <c r="DI206" s="1114"/>
      <c r="DJ206" s="1114"/>
      <c r="DK206" s="1114"/>
      <c r="DL206" s="1114"/>
      <c r="DM206" s="1114"/>
      <c r="DN206" s="1114"/>
      <c r="DO206" s="1114"/>
      <c r="DP206" s="1114"/>
      <c r="DQ206" s="1114"/>
      <c r="DR206" s="1114"/>
      <c r="DS206" s="1114"/>
      <c r="DT206" s="1114"/>
      <c r="DU206" s="1114"/>
      <c r="DV206" s="1115"/>
      <c r="DW206" s="1116"/>
      <c r="DX206" s="1116"/>
      <c r="DY206" s="1116"/>
      <c r="DZ206" s="1116"/>
      <c r="EA206" s="1116"/>
      <c r="EB206" s="1116"/>
      <c r="EC206" s="1116"/>
      <c r="ED206" s="1116"/>
      <c r="EE206" s="1116"/>
      <c r="EF206" s="1116"/>
      <c r="EG206" s="1116"/>
      <c r="EH206" s="1116"/>
      <c r="EI206" s="1116"/>
      <c r="EJ206" s="1116"/>
      <c r="EK206" s="1116"/>
      <c r="EL206" s="1116"/>
      <c r="EM206" s="1116"/>
      <c r="EN206" s="1116"/>
      <c r="EO206" s="1116"/>
      <c r="EP206" s="1116"/>
      <c r="EQ206" s="1116"/>
      <c r="ER206" s="1116"/>
      <c r="ES206" s="1116"/>
    </row>
    <row r="207" spans="1:149" ht="15" customHeight="1">
      <c r="A207" s="1799">
        <v>192</v>
      </c>
      <c r="B207" s="1041"/>
      <c r="C207" s="1050"/>
      <c r="D207" s="1050"/>
      <c r="E207" s="1050"/>
      <c r="F207" s="1049"/>
      <c r="G207" s="1457"/>
      <c r="H207" s="1049"/>
      <c r="I207" s="1049"/>
      <c r="J207" s="1050"/>
      <c r="K207" s="1050"/>
      <c r="L207" s="1043"/>
      <c r="M207" s="1051"/>
      <c r="N207" s="1051"/>
      <c r="O207" s="1052"/>
      <c r="P207" s="1051"/>
      <c r="Q207" s="1051"/>
      <c r="R207" s="1052"/>
      <c r="S207" s="1051"/>
      <c r="T207" s="1051"/>
      <c r="U207" s="1052"/>
      <c r="V207" s="1051"/>
      <c r="W207" s="1051"/>
      <c r="X207" s="1052"/>
      <c r="Y207" s="1053"/>
      <c r="Z207" s="1051"/>
      <c r="AA207" s="1051"/>
      <c r="AB207" s="1052"/>
      <c r="AC207" s="1051"/>
      <c r="AD207" s="1051"/>
      <c r="AE207" s="1052"/>
      <c r="AF207" s="1051"/>
      <c r="AG207" s="1051"/>
      <c r="AH207" s="1051"/>
      <c r="AI207" s="1051"/>
      <c r="AJ207" s="1052"/>
      <c r="AK207" s="1051"/>
      <c r="AL207" s="1051"/>
      <c r="AM207" s="1052"/>
      <c r="AN207" s="1051"/>
      <c r="AO207" s="1051"/>
      <c r="AP207" s="1052"/>
      <c r="AQ207" s="1051"/>
      <c r="AR207" s="1051"/>
      <c r="AS207" s="1052"/>
      <c r="AT207" s="1051"/>
      <c r="AU207" s="1051"/>
      <c r="AV207" s="1052"/>
      <c r="AW207" s="1051"/>
      <c r="AX207" s="1051"/>
      <c r="AY207" s="1053"/>
      <c r="AZ207" s="1051"/>
      <c r="BA207" s="1051"/>
      <c r="BB207" s="1053"/>
      <c r="BC207" s="1051"/>
      <c r="BD207" s="1051"/>
      <c r="BE207" s="1053"/>
      <c r="BF207" s="1051"/>
      <c r="BG207" s="1051"/>
      <c r="BH207" s="1053"/>
      <c r="BI207" s="1052"/>
      <c r="BJ207" s="1052"/>
      <c r="BK207" s="1052"/>
      <c r="BL207" s="1052"/>
      <c r="BM207" s="1052"/>
      <c r="BN207" s="1054"/>
      <c r="BO207" s="1076">
        <f t="shared" si="13"/>
        <v>0</v>
      </c>
      <c r="BP207" s="1051"/>
      <c r="BQ207" s="1052"/>
      <c r="BR207" s="1054"/>
      <c r="BS207" s="1053"/>
      <c r="BT207" s="1051"/>
      <c r="BU207" s="1051"/>
      <c r="BV207" s="1051"/>
      <c r="BW207" s="1052"/>
      <c r="BX207" s="1052"/>
      <c r="BY207" s="1052"/>
      <c r="BZ207" s="1052"/>
      <c r="CA207" s="1052"/>
      <c r="CB207" s="1053"/>
      <c r="CC207" s="1053"/>
      <c r="CD207" s="1053"/>
      <c r="CE207" s="1053"/>
      <c r="CF207" s="1053"/>
      <c r="CG207" s="1053"/>
      <c r="CH207" s="1053"/>
      <c r="CI207" s="1123"/>
      <c r="CJ207" s="1123"/>
      <c r="CK207" s="1123"/>
      <c r="CL207" s="1123"/>
      <c r="CM207" s="1123"/>
      <c r="CN207" s="1123"/>
      <c r="CO207" s="1123"/>
      <c r="CP207" s="1123"/>
      <c r="CQ207" s="1123"/>
      <c r="CR207" s="1123"/>
      <c r="CS207" s="1123"/>
      <c r="CT207" s="1123"/>
      <c r="CU207" s="1123"/>
      <c r="CV207" s="1123"/>
      <c r="CW207" s="1123"/>
      <c r="CX207" s="1123"/>
      <c r="CY207" s="1123"/>
      <c r="CZ207" s="1114"/>
      <c r="DA207" s="1114"/>
      <c r="DB207" s="1114"/>
      <c r="DC207" s="1114"/>
      <c r="DD207" s="1114"/>
      <c r="DE207" s="1114"/>
      <c r="DF207" s="1114"/>
      <c r="DG207" s="1114"/>
      <c r="DH207" s="1114"/>
      <c r="DI207" s="1114"/>
      <c r="DJ207" s="1114"/>
      <c r="DK207" s="1114"/>
      <c r="DL207" s="1114"/>
      <c r="DM207" s="1114"/>
      <c r="DN207" s="1114"/>
      <c r="DO207" s="1114"/>
      <c r="DP207" s="1114"/>
      <c r="DQ207" s="1114"/>
      <c r="DR207" s="1114"/>
      <c r="DS207" s="1114"/>
      <c r="DT207" s="1114"/>
      <c r="DU207" s="1114"/>
      <c r="DV207" s="1115"/>
      <c r="DW207" s="1116"/>
      <c r="DX207" s="1116"/>
      <c r="DY207" s="1116"/>
      <c r="DZ207" s="1116"/>
      <c r="EA207" s="1116"/>
      <c r="EB207" s="1116"/>
      <c r="EC207" s="1116"/>
      <c r="ED207" s="1116"/>
      <c r="EE207" s="1116"/>
      <c r="EF207" s="1116"/>
      <c r="EG207" s="1116"/>
      <c r="EH207" s="1116"/>
      <c r="EI207" s="1116"/>
      <c r="EJ207" s="1116"/>
      <c r="EK207" s="1116"/>
      <c r="EL207" s="1116"/>
      <c r="EM207" s="1116"/>
      <c r="EN207" s="1116"/>
      <c r="EO207" s="1116"/>
      <c r="EP207" s="1116"/>
      <c r="EQ207" s="1116"/>
      <c r="ER207" s="1116"/>
      <c r="ES207" s="1116"/>
    </row>
    <row r="208" spans="1:149" ht="15" customHeight="1">
      <c r="A208" s="1799">
        <v>193</v>
      </c>
      <c r="B208" s="1041"/>
      <c r="C208" s="1050"/>
      <c r="D208" s="1050"/>
      <c r="E208" s="1050"/>
      <c r="F208" s="1049"/>
      <c r="G208" s="1457"/>
      <c r="H208" s="1049"/>
      <c r="I208" s="1049"/>
      <c r="J208" s="1050"/>
      <c r="K208" s="1050"/>
      <c r="L208" s="1043"/>
      <c r="M208" s="1051"/>
      <c r="N208" s="1051"/>
      <c r="O208" s="1052"/>
      <c r="P208" s="1051"/>
      <c r="Q208" s="1051"/>
      <c r="R208" s="1052"/>
      <c r="S208" s="1051"/>
      <c r="T208" s="1051"/>
      <c r="U208" s="1052"/>
      <c r="V208" s="1051"/>
      <c r="W208" s="1051"/>
      <c r="X208" s="1052"/>
      <c r="Y208" s="1053"/>
      <c r="Z208" s="1051"/>
      <c r="AA208" s="1051"/>
      <c r="AB208" s="1052"/>
      <c r="AC208" s="1051"/>
      <c r="AD208" s="1051"/>
      <c r="AE208" s="1052"/>
      <c r="AF208" s="1051"/>
      <c r="AG208" s="1051"/>
      <c r="AH208" s="1051"/>
      <c r="AI208" s="1051"/>
      <c r="AJ208" s="1052"/>
      <c r="AK208" s="1051"/>
      <c r="AL208" s="1051"/>
      <c r="AM208" s="1052"/>
      <c r="AN208" s="1051"/>
      <c r="AO208" s="1051"/>
      <c r="AP208" s="1052"/>
      <c r="AQ208" s="1051"/>
      <c r="AR208" s="1051"/>
      <c r="AS208" s="1052"/>
      <c r="AT208" s="1051"/>
      <c r="AU208" s="1051"/>
      <c r="AV208" s="1052"/>
      <c r="AW208" s="1051"/>
      <c r="AX208" s="1051"/>
      <c r="AY208" s="1053"/>
      <c r="AZ208" s="1051"/>
      <c r="BA208" s="1051"/>
      <c r="BB208" s="1053"/>
      <c r="BC208" s="1051"/>
      <c r="BD208" s="1051"/>
      <c r="BE208" s="1053"/>
      <c r="BF208" s="1051"/>
      <c r="BG208" s="1051"/>
      <c r="BH208" s="1053"/>
      <c r="BI208" s="1052"/>
      <c r="BJ208" s="1052"/>
      <c r="BK208" s="1052"/>
      <c r="BL208" s="1052"/>
      <c r="BM208" s="1052"/>
      <c r="BN208" s="1054"/>
      <c r="BO208" s="1076">
        <f t="shared" si="13"/>
        <v>0</v>
      </c>
      <c r="BP208" s="1051"/>
      <c r="BQ208" s="1052"/>
      <c r="BR208" s="1054"/>
      <c r="BS208" s="1053"/>
      <c r="BT208" s="1051"/>
      <c r="BU208" s="1051"/>
      <c r="BV208" s="1051"/>
      <c r="BW208" s="1052"/>
      <c r="BX208" s="1052"/>
      <c r="BY208" s="1052"/>
      <c r="BZ208" s="1052"/>
      <c r="CA208" s="1052"/>
      <c r="CB208" s="1053"/>
      <c r="CC208" s="1053"/>
      <c r="CD208" s="1053"/>
      <c r="CE208" s="1053"/>
      <c r="CF208" s="1053"/>
      <c r="CG208" s="1053"/>
      <c r="CH208" s="1053"/>
      <c r="CI208" s="1123"/>
      <c r="CJ208" s="1123"/>
      <c r="CK208" s="1123"/>
      <c r="CL208" s="1123"/>
      <c r="CM208" s="1123"/>
      <c r="CN208" s="1123"/>
      <c r="CO208" s="1123"/>
      <c r="CP208" s="1123"/>
      <c r="CQ208" s="1123"/>
      <c r="CR208" s="1123"/>
      <c r="CS208" s="1123"/>
      <c r="CT208" s="1123"/>
      <c r="CU208" s="1123"/>
      <c r="CV208" s="1123"/>
      <c r="CW208" s="1123"/>
      <c r="CX208" s="1123"/>
      <c r="CY208" s="1123"/>
      <c r="CZ208" s="1114"/>
      <c r="DA208" s="1114"/>
      <c r="DB208" s="1114"/>
      <c r="DC208" s="1114"/>
      <c r="DD208" s="1114"/>
      <c r="DE208" s="1114"/>
      <c r="DF208" s="1114"/>
      <c r="DG208" s="1114"/>
      <c r="DH208" s="1114"/>
      <c r="DI208" s="1114"/>
      <c r="DJ208" s="1114"/>
      <c r="DK208" s="1114"/>
      <c r="DL208" s="1114"/>
      <c r="DM208" s="1114"/>
      <c r="DN208" s="1114"/>
      <c r="DO208" s="1114"/>
      <c r="DP208" s="1114"/>
      <c r="DQ208" s="1114"/>
      <c r="DR208" s="1114"/>
      <c r="DS208" s="1114"/>
      <c r="DT208" s="1114"/>
      <c r="DU208" s="1114"/>
      <c r="DV208" s="1115"/>
      <c r="DW208" s="1116"/>
      <c r="DX208" s="1116"/>
      <c r="DY208" s="1116"/>
      <c r="DZ208" s="1116"/>
      <c r="EA208" s="1116"/>
      <c r="EB208" s="1116"/>
      <c r="EC208" s="1116"/>
      <c r="ED208" s="1116"/>
      <c r="EE208" s="1116"/>
      <c r="EF208" s="1116"/>
      <c r="EG208" s="1116"/>
      <c r="EH208" s="1116"/>
      <c r="EI208" s="1116"/>
      <c r="EJ208" s="1116"/>
      <c r="EK208" s="1116"/>
      <c r="EL208" s="1116"/>
      <c r="EM208" s="1116"/>
      <c r="EN208" s="1116"/>
      <c r="EO208" s="1116"/>
      <c r="EP208" s="1116"/>
      <c r="EQ208" s="1116"/>
      <c r="ER208" s="1116"/>
      <c r="ES208" s="1116"/>
    </row>
    <row r="209" spans="1:149" ht="15" customHeight="1">
      <c r="A209" s="1799">
        <v>194</v>
      </c>
      <c r="B209" s="1041"/>
      <c r="C209" s="1050"/>
      <c r="D209" s="1050"/>
      <c r="E209" s="1050"/>
      <c r="F209" s="1049"/>
      <c r="G209" s="1457"/>
      <c r="H209" s="1049"/>
      <c r="I209" s="1049"/>
      <c r="J209" s="1050"/>
      <c r="K209" s="1050"/>
      <c r="L209" s="1043"/>
      <c r="M209" s="1051"/>
      <c r="N209" s="1051"/>
      <c r="O209" s="1052"/>
      <c r="P209" s="1051"/>
      <c r="Q209" s="1051"/>
      <c r="R209" s="1052"/>
      <c r="S209" s="1051"/>
      <c r="T209" s="1051"/>
      <c r="U209" s="1052"/>
      <c r="V209" s="1051"/>
      <c r="W209" s="1051"/>
      <c r="X209" s="1052"/>
      <c r="Y209" s="1053"/>
      <c r="Z209" s="1051"/>
      <c r="AA209" s="1051"/>
      <c r="AB209" s="1052"/>
      <c r="AC209" s="1051"/>
      <c r="AD209" s="1051"/>
      <c r="AE209" s="1052"/>
      <c r="AF209" s="1051"/>
      <c r="AG209" s="1051"/>
      <c r="AH209" s="1051"/>
      <c r="AI209" s="1051"/>
      <c r="AJ209" s="1052"/>
      <c r="AK209" s="1051"/>
      <c r="AL209" s="1051"/>
      <c r="AM209" s="1052"/>
      <c r="AN209" s="1051"/>
      <c r="AO209" s="1051"/>
      <c r="AP209" s="1052"/>
      <c r="AQ209" s="1051"/>
      <c r="AR209" s="1051"/>
      <c r="AS209" s="1052"/>
      <c r="AT209" s="1051"/>
      <c r="AU209" s="1051"/>
      <c r="AV209" s="1052"/>
      <c r="AW209" s="1051"/>
      <c r="AX209" s="1051"/>
      <c r="AY209" s="1053"/>
      <c r="AZ209" s="1051"/>
      <c r="BA209" s="1051"/>
      <c r="BB209" s="1053"/>
      <c r="BC209" s="1051"/>
      <c r="BD209" s="1051"/>
      <c r="BE209" s="1053"/>
      <c r="BF209" s="1051"/>
      <c r="BG209" s="1051"/>
      <c r="BH209" s="1053"/>
      <c r="BI209" s="1052"/>
      <c r="BJ209" s="1052"/>
      <c r="BK209" s="1052"/>
      <c r="BL209" s="1052"/>
      <c r="BM209" s="1052"/>
      <c r="BN209" s="1054"/>
      <c r="BO209" s="1076">
        <f t="shared" ref="BO209:BO272" si="14">H209</f>
        <v>0</v>
      </c>
      <c r="BP209" s="1051"/>
      <c r="BQ209" s="1052"/>
      <c r="BR209" s="1054"/>
      <c r="BS209" s="1053"/>
      <c r="BT209" s="1051"/>
      <c r="BU209" s="1051"/>
      <c r="BV209" s="1051"/>
      <c r="BW209" s="1052"/>
      <c r="BX209" s="1052"/>
      <c r="BY209" s="1052"/>
      <c r="BZ209" s="1052"/>
      <c r="CA209" s="1052"/>
      <c r="CB209" s="1053"/>
      <c r="CC209" s="1053"/>
      <c r="CD209" s="1053"/>
      <c r="CE209" s="1053"/>
      <c r="CF209" s="1053"/>
      <c r="CG209" s="1053"/>
      <c r="CH209" s="1053"/>
      <c r="CI209" s="1123"/>
      <c r="CJ209" s="1123"/>
      <c r="CK209" s="1123"/>
      <c r="CL209" s="1123"/>
      <c r="CM209" s="1123"/>
      <c r="CN209" s="1123"/>
      <c r="CO209" s="1123"/>
      <c r="CP209" s="1123"/>
      <c r="CQ209" s="1123"/>
      <c r="CR209" s="1123"/>
      <c r="CS209" s="1123"/>
      <c r="CT209" s="1123"/>
      <c r="CU209" s="1123"/>
      <c r="CV209" s="1123"/>
      <c r="CW209" s="1123"/>
      <c r="CX209" s="1123"/>
      <c r="CY209" s="1123"/>
      <c r="CZ209" s="1114"/>
      <c r="DA209" s="1114"/>
      <c r="DB209" s="1114"/>
      <c r="DC209" s="1114"/>
      <c r="DD209" s="1114"/>
      <c r="DE209" s="1114"/>
      <c r="DF209" s="1114"/>
      <c r="DG209" s="1114"/>
      <c r="DH209" s="1114"/>
      <c r="DI209" s="1114"/>
      <c r="DJ209" s="1114"/>
      <c r="DK209" s="1114"/>
      <c r="DL209" s="1114"/>
      <c r="DM209" s="1114"/>
      <c r="DN209" s="1114"/>
      <c r="DO209" s="1114"/>
      <c r="DP209" s="1114"/>
      <c r="DQ209" s="1114"/>
      <c r="DR209" s="1114"/>
      <c r="DS209" s="1114"/>
      <c r="DT209" s="1114"/>
      <c r="DU209" s="1114"/>
      <c r="DV209" s="1115"/>
      <c r="DW209" s="1116"/>
      <c r="DX209" s="1116"/>
      <c r="DY209" s="1116"/>
      <c r="DZ209" s="1116"/>
      <c r="EA209" s="1116"/>
      <c r="EB209" s="1116"/>
      <c r="EC209" s="1116"/>
      <c r="ED209" s="1116"/>
      <c r="EE209" s="1116"/>
      <c r="EF209" s="1116"/>
      <c r="EG209" s="1116"/>
      <c r="EH209" s="1116"/>
      <c r="EI209" s="1116"/>
      <c r="EJ209" s="1116"/>
      <c r="EK209" s="1116"/>
      <c r="EL209" s="1116"/>
      <c r="EM209" s="1116"/>
      <c r="EN209" s="1116"/>
      <c r="EO209" s="1116"/>
      <c r="EP209" s="1116"/>
      <c r="EQ209" s="1116"/>
      <c r="ER209" s="1116"/>
      <c r="ES209" s="1116"/>
    </row>
    <row r="210" spans="1:149" ht="15" customHeight="1">
      <c r="A210" s="1799">
        <v>195</v>
      </c>
      <c r="B210" s="1041"/>
      <c r="C210" s="1050"/>
      <c r="D210" s="1050"/>
      <c r="E210" s="1050"/>
      <c r="F210" s="1049"/>
      <c r="G210" s="1457"/>
      <c r="H210" s="1049"/>
      <c r="I210" s="1049"/>
      <c r="J210" s="1050"/>
      <c r="K210" s="1050"/>
      <c r="L210" s="1043"/>
      <c r="M210" s="1051"/>
      <c r="N210" s="1051"/>
      <c r="O210" s="1052"/>
      <c r="P210" s="1051"/>
      <c r="Q210" s="1051"/>
      <c r="R210" s="1052"/>
      <c r="S210" s="1051"/>
      <c r="T210" s="1051"/>
      <c r="U210" s="1052"/>
      <c r="V210" s="1051"/>
      <c r="W210" s="1051"/>
      <c r="X210" s="1052"/>
      <c r="Y210" s="1053"/>
      <c r="Z210" s="1051"/>
      <c r="AA210" s="1051"/>
      <c r="AB210" s="1052"/>
      <c r="AC210" s="1051"/>
      <c r="AD210" s="1051"/>
      <c r="AE210" s="1052"/>
      <c r="AF210" s="1051"/>
      <c r="AG210" s="1051"/>
      <c r="AH210" s="1051"/>
      <c r="AI210" s="1051"/>
      <c r="AJ210" s="1052"/>
      <c r="AK210" s="1051"/>
      <c r="AL210" s="1051"/>
      <c r="AM210" s="1052"/>
      <c r="AN210" s="1051"/>
      <c r="AO210" s="1051"/>
      <c r="AP210" s="1052"/>
      <c r="AQ210" s="1051"/>
      <c r="AR210" s="1051"/>
      <c r="AS210" s="1052"/>
      <c r="AT210" s="1051"/>
      <c r="AU210" s="1051"/>
      <c r="AV210" s="1052"/>
      <c r="AW210" s="1051"/>
      <c r="AX210" s="1051"/>
      <c r="AY210" s="1053"/>
      <c r="AZ210" s="1051"/>
      <c r="BA210" s="1051"/>
      <c r="BB210" s="1053"/>
      <c r="BC210" s="1051"/>
      <c r="BD210" s="1051"/>
      <c r="BE210" s="1053"/>
      <c r="BF210" s="1051"/>
      <c r="BG210" s="1051"/>
      <c r="BH210" s="1053"/>
      <c r="BI210" s="1052"/>
      <c r="BJ210" s="1052"/>
      <c r="BK210" s="1052"/>
      <c r="BL210" s="1052"/>
      <c r="BM210" s="1052"/>
      <c r="BN210" s="1054"/>
      <c r="BO210" s="1076">
        <f t="shared" si="14"/>
        <v>0</v>
      </c>
      <c r="BP210" s="1051"/>
      <c r="BQ210" s="1052"/>
      <c r="BR210" s="1054"/>
      <c r="BS210" s="1053"/>
      <c r="BT210" s="1051"/>
      <c r="BU210" s="1051"/>
      <c r="BV210" s="1051"/>
      <c r="BW210" s="1052"/>
      <c r="BX210" s="1052"/>
      <c r="BY210" s="1052"/>
      <c r="BZ210" s="1052"/>
      <c r="CA210" s="1052"/>
      <c r="CB210" s="1053"/>
      <c r="CC210" s="1053"/>
      <c r="CD210" s="1053"/>
      <c r="CE210" s="1053"/>
      <c r="CF210" s="1053"/>
      <c r="CG210" s="1053"/>
      <c r="CH210" s="1053"/>
      <c r="CI210" s="1123"/>
      <c r="CJ210" s="1123"/>
      <c r="CK210" s="1123"/>
      <c r="CL210" s="1123"/>
      <c r="CM210" s="1123"/>
      <c r="CN210" s="1123"/>
      <c r="CO210" s="1123"/>
      <c r="CP210" s="1123"/>
      <c r="CQ210" s="1123"/>
      <c r="CR210" s="1123"/>
      <c r="CS210" s="1123"/>
      <c r="CT210" s="1123"/>
      <c r="CU210" s="1123"/>
      <c r="CV210" s="1123"/>
      <c r="CW210" s="1123"/>
      <c r="CX210" s="1123"/>
      <c r="CY210" s="1123"/>
      <c r="CZ210" s="1114"/>
      <c r="DA210" s="1114"/>
      <c r="DB210" s="1114"/>
      <c r="DC210" s="1114"/>
      <c r="DD210" s="1114"/>
      <c r="DE210" s="1114"/>
      <c r="DF210" s="1114"/>
      <c r="DG210" s="1114"/>
      <c r="DH210" s="1114"/>
      <c r="DI210" s="1114"/>
      <c r="DJ210" s="1114"/>
      <c r="DK210" s="1114"/>
      <c r="DL210" s="1114"/>
      <c r="DM210" s="1114"/>
      <c r="DN210" s="1114"/>
      <c r="DO210" s="1114"/>
      <c r="DP210" s="1114"/>
      <c r="DQ210" s="1114"/>
      <c r="DR210" s="1114"/>
      <c r="DS210" s="1114"/>
      <c r="DT210" s="1114"/>
      <c r="DU210" s="1114"/>
      <c r="DV210" s="1115"/>
      <c r="DW210" s="1116"/>
      <c r="DX210" s="1116"/>
      <c r="DY210" s="1116"/>
      <c r="DZ210" s="1116"/>
      <c r="EA210" s="1116"/>
      <c r="EB210" s="1116"/>
      <c r="EC210" s="1116"/>
      <c r="ED210" s="1116"/>
      <c r="EE210" s="1116"/>
      <c r="EF210" s="1116"/>
      <c r="EG210" s="1116"/>
      <c r="EH210" s="1116"/>
      <c r="EI210" s="1116"/>
      <c r="EJ210" s="1116"/>
      <c r="EK210" s="1116"/>
      <c r="EL210" s="1116"/>
      <c r="EM210" s="1116"/>
      <c r="EN210" s="1116"/>
      <c r="EO210" s="1116"/>
      <c r="EP210" s="1116"/>
      <c r="EQ210" s="1116"/>
      <c r="ER210" s="1116"/>
      <c r="ES210" s="1116"/>
    </row>
    <row r="211" spans="1:149" ht="15" customHeight="1">
      <c r="A211" s="1799">
        <v>196</v>
      </c>
      <c r="B211" s="1041"/>
      <c r="C211" s="1050"/>
      <c r="D211" s="1050"/>
      <c r="E211" s="1050"/>
      <c r="F211" s="1049"/>
      <c r="G211" s="1457"/>
      <c r="H211" s="1049"/>
      <c r="I211" s="1049"/>
      <c r="J211" s="1050"/>
      <c r="K211" s="1050"/>
      <c r="L211" s="1043"/>
      <c r="M211" s="1051"/>
      <c r="N211" s="1051"/>
      <c r="O211" s="1052"/>
      <c r="P211" s="1051"/>
      <c r="Q211" s="1051"/>
      <c r="R211" s="1052"/>
      <c r="S211" s="1051"/>
      <c r="T211" s="1051"/>
      <c r="U211" s="1052"/>
      <c r="V211" s="1051"/>
      <c r="W211" s="1051"/>
      <c r="X211" s="1052"/>
      <c r="Y211" s="1053"/>
      <c r="Z211" s="1051"/>
      <c r="AA211" s="1051"/>
      <c r="AB211" s="1052"/>
      <c r="AC211" s="1051"/>
      <c r="AD211" s="1051"/>
      <c r="AE211" s="1052"/>
      <c r="AF211" s="1051"/>
      <c r="AG211" s="1051"/>
      <c r="AH211" s="1051"/>
      <c r="AI211" s="1051"/>
      <c r="AJ211" s="1052"/>
      <c r="AK211" s="1051"/>
      <c r="AL211" s="1051"/>
      <c r="AM211" s="1052"/>
      <c r="AN211" s="1051"/>
      <c r="AO211" s="1051"/>
      <c r="AP211" s="1052"/>
      <c r="AQ211" s="1051"/>
      <c r="AR211" s="1051"/>
      <c r="AS211" s="1052"/>
      <c r="AT211" s="1051"/>
      <c r="AU211" s="1051"/>
      <c r="AV211" s="1052"/>
      <c r="AW211" s="1051"/>
      <c r="AX211" s="1051"/>
      <c r="AY211" s="1053"/>
      <c r="AZ211" s="1051"/>
      <c r="BA211" s="1051"/>
      <c r="BB211" s="1053"/>
      <c r="BC211" s="1051"/>
      <c r="BD211" s="1051"/>
      <c r="BE211" s="1053"/>
      <c r="BF211" s="1051"/>
      <c r="BG211" s="1051"/>
      <c r="BH211" s="1053"/>
      <c r="BI211" s="1052"/>
      <c r="BJ211" s="1052"/>
      <c r="BK211" s="1052"/>
      <c r="BL211" s="1052"/>
      <c r="BM211" s="1052"/>
      <c r="BN211" s="1054"/>
      <c r="BO211" s="1076">
        <f t="shared" si="14"/>
        <v>0</v>
      </c>
      <c r="BP211" s="1051"/>
      <c r="BQ211" s="1052"/>
      <c r="BR211" s="1054"/>
      <c r="BS211" s="1053"/>
      <c r="BT211" s="1051"/>
      <c r="BU211" s="1051"/>
      <c r="BV211" s="1051"/>
      <c r="BW211" s="1052"/>
      <c r="BX211" s="1052"/>
      <c r="BY211" s="1052"/>
      <c r="BZ211" s="1052"/>
      <c r="CA211" s="1052"/>
      <c r="CB211" s="1053"/>
      <c r="CC211" s="1053"/>
      <c r="CD211" s="1053"/>
      <c r="CE211" s="1053"/>
      <c r="CF211" s="1053"/>
      <c r="CG211" s="1053"/>
      <c r="CH211" s="1053"/>
      <c r="CI211" s="1123"/>
      <c r="CJ211" s="1123"/>
      <c r="CK211" s="1123"/>
      <c r="CL211" s="1123"/>
      <c r="CM211" s="1123"/>
      <c r="CN211" s="1123"/>
      <c r="CO211" s="1123"/>
      <c r="CP211" s="1123"/>
      <c r="CQ211" s="1123"/>
      <c r="CR211" s="1123"/>
      <c r="CS211" s="1123"/>
      <c r="CT211" s="1123"/>
      <c r="CU211" s="1123"/>
      <c r="CV211" s="1123"/>
      <c r="CW211" s="1123"/>
      <c r="CX211" s="1123"/>
      <c r="CY211" s="1123"/>
      <c r="CZ211" s="1114"/>
      <c r="DA211" s="1114"/>
      <c r="DB211" s="1114"/>
      <c r="DC211" s="1114"/>
      <c r="DD211" s="1114"/>
      <c r="DE211" s="1114"/>
      <c r="DF211" s="1114"/>
      <c r="DG211" s="1114"/>
      <c r="DH211" s="1114"/>
      <c r="DI211" s="1114"/>
      <c r="DJ211" s="1114"/>
      <c r="DK211" s="1114"/>
      <c r="DL211" s="1114"/>
      <c r="DM211" s="1114"/>
      <c r="DN211" s="1114"/>
      <c r="DO211" s="1114"/>
      <c r="DP211" s="1114"/>
      <c r="DQ211" s="1114"/>
      <c r="DR211" s="1114"/>
      <c r="DS211" s="1114"/>
      <c r="DT211" s="1114"/>
      <c r="DU211" s="1114"/>
      <c r="DV211" s="1115"/>
      <c r="DW211" s="1116"/>
      <c r="DX211" s="1116"/>
      <c r="DY211" s="1116"/>
      <c r="DZ211" s="1116"/>
      <c r="EA211" s="1116"/>
      <c r="EB211" s="1116"/>
      <c r="EC211" s="1116"/>
      <c r="ED211" s="1116"/>
      <c r="EE211" s="1116"/>
      <c r="EF211" s="1116"/>
      <c r="EG211" s="1116"/>
      <c r="EH211" s="1116"/>
      <c r="EI211" s="1116"/>
      <c r="EJ211" s="1116"/>
      <c r="EK211" s="1116"/>
      <c r="EL211" s="1116"/>
      <c r="EM211" s="1116"/>
      <c r="EN211" s="1116"/>
      <c r="EO211" s="1116"/>
      <c r="EP211" s="1116"/>
      <c r="EQ211" s="1116"/>
      <c r="ER211" s="1116"/>
      <c r="ES211" s="1116"/>
    </row>
    <row r="212" spans="1:149" ht="15" customHeight="1">
      <c r="A212" s="1799">
        <v>197</v>
      </c>
      <c r="B212" s="1041"/>
      <c r="C212" s="1050"/>
      <c r="D212" s="1050"/>
      <c r="E212" s="1050"/>
      <c r="F212" s="1049"/>
      <c r="G212" s="1457"/>
      <c r="H212" s="1049"/>
      <c r="I212" s="1049"/>
      <c r="J212" s="1050"/>
      <c r="K212" s="1050"/>
      <c r="L212" s="1043"/>
      <c r="M212" s="1051"/>
      <c r="N212" s="1051"/>
      <c r="O212" s="1052"/>
      <c r="P212" s="1051"/>
      <c r="Q212" s="1051"/>
      <c r="R212" s="1052"/>
      <c r="S212" s="1051"/>
      <c r="T212" s="1051"/>
      <c r="U212" s="1052"/>
      <c r="V212" s="1051"/>
      <c r="W212" s="1051"/>
      <c r="X212" s="1052"/>
      <c r="Y212" s="1053"/>
      <c r="Z212" s="1051"/>
      <c r="AA212" s="1051"/>
      <c r="AB212" s="1052"/>
      <c r="AC212" s="1051"/>
      <c r="AD212" s="1051"/>
      <c r="AE212" s="1052"/>
      <c r="AF212" s="1051"/>
      <c r="AG212" s="1051"/>
      <c r="AH212" s="1051"/>
      <c r="AI212" s="1051"/>
      <c r="AJ212" s="1052"/>
      <c r="AK212" s="1051"/>
      <c r="AL212" s="1051"/>
      <c r="AM212" s="1052"/>
      <c r="AN212" s="1051"/>
      <c r="AO212" s="1051"/>
      <c r="AP212" s="1052"/>
      <c r="AQ212" s="1051"/>
      <c r="AR212" s="1051"/>
      <c r="AS212" s="1052"/>
      <c r="AT212" s="1051"/>
      <c r="AU212" s="1051"/>
      <c r="AV212" s="1052"/>
      <c r="AW212" s="1051"/>
      <c r="AX212" s="1051"/>
      <c r="AY212" s="1053"/>
      <c r="AZ212" s="1051"/>
      <c r="BA212" s="1051"/>
      <c r="BB212" s="1053"/>
      <c r="BC212" s="1051"/>
      <c r="BD212" s="1051"/>
      <c r="BE212" s="1053"/>
      <c r="BF212" s="1051"/>
      <c r="BG212" s="1051"/>
      <c r="BH212" s="1053"/>
      <c r="BI212" s="1052"/>
      <c r="BJ212" s="1052"/>
      <c r="BK212" s="1052"/>
      <c r="BL212" s="1052"/>
      <c r="BM212" s="1052"/>
      <c r="BN212" s="1054"/>
      <c r="BO212" s="1076">
        <f t="shared" si="14"/>
        <v>0</v>
      </c>
      <c r="BP212" s="1051"/>
      <c r="BQ212" s="1052"/>
      <c r="BR212" s="1054"/>
      <c r="BS212" s="1053"/>
      <c r="BT212" s="1051"/>
      <c r="BU212" s="1051"/>
      <c r="BV212" s="1051"/>
      <c r="BW212" s="1052"/>
      <c r="BX212" s="1052"/>
      <c r="BY212" s="1052"/>
      <c r="BZ212" s="1052"/>
      <c r="CA212" s="1052"/>
      <c r="CB212" s="1053"/>
      <c r="CC212" s="1053"/>
      <c r="CD212" s="1053"/>
      <c r="CE212" s="1053"/>
      <c r="CF212" s="1053"/>
      <c r="CG212" s="1053"/>
      <c r="CH212" s="1053"/>
      <c r="CI212" s="1123"/>
      <c r="CJ212" s="1123"/>
      <c r="CK212" s="1123"/>
      <c r="CL212" s="1123"/>
      <c r="CM212" s="1123"/>
      <c r="CN212" s="1123"/>
      <c r="CO212" s="1123"/>
      <c r="CP212" s="1123"/>
      <c r="CQ212" s="1123"/>
      <c r="CR212" s="1123"/>
      <c r="CS212" s="1123"/>
      <c r="CT212" s="1123"/>
      <c r="CU212" s="1123"/>
      <c r="CV212" s="1123"/>
      <c r="CW212" s="1123"/>
      <c r="CX212" s="1123"/>
      <c r="CY212" s="1123"/>
      <c r="CZ212" s="1114"/>
      <c r="DA212" s="1114"/>
      <c r="DB212" s="1114"/>
      <c r="DC212" s="1114"/>
      <c r="DD212" s="1114"/>
      <c r="DE212" s="1114"/>
      <c r="DF212" s="1114"/>
      <c r="DG212" s="1114"/>
      <c r="DH212" s="1114"/>
      <c r="DI212" s="1114"/>
      <c r="DJ212" s="1114"/>
      <c r="DK212" s="1114"/>
      <c r="DL212" s="1114"/>
      <c r="DM212" s="1114"/>
      <c r="DN212" s="1114"/>
      <c r="DO212" s="1114"/>
      <c r="DP212" s="1114"/>
      <c r="DQ212" s="1114"/>
      <c r="DR212" s="1114"/>
      <c r="DS212" s="1114"/>
      <c r="DT212" s="1114"/>
      <c r="DU212" s="1114"/>
      <c r="DV212" s="1115"/>
      <c r="DW212" s="1116"/>
      <c r="DX212" s="1116"/>
      <c r="DY212" s="1116"/>
      <c r="DZ212" s="1116"/>
      <c r="EA212" s="1116"/>
      <c r="EB212" s="1116"/>
      <c r="EC212" s="1116"/>
      <c r="ED212" s="1116"/>
      <c r="EE212" s="1116"/>
      <c r="EF212" s="1116"/>
      <c r="EG212" s="1116"/>
      <c r="EH212" s="1116"/>
      <c r="EI212" s="1116"/>
      <c r="EJ212" s="1116"/>
      <c r="EK212" s="1116"/>
      <c r="EL212" s="1116"/>
      <c r="EM212" s="1116"/>
      <c r="EN212" s="1116"/>
      <c r="EO212" s="1116"/>
      <c r="EP212" s="1116"/>
      <c r="EQ212" s="1116"/>
      <c r="ER212" s="1116"/>
      <c r="ES212" s="1116"/>
    </row>
    <row r="213" spans="1:149" ht="15" customHeight="1">
      <c r="A213" s="1799">
        <v>198</v>
      </c>
      <c r="B213" s="1041"/>
      <c r="C213" s="1050"/>
      <c r="D213" s="1050"/>
      <c r="E213" s="1050"/>
      <c r="F213" s="1049"/>
      <c r="G213" s="1457"/>
      <c r="H213" s="1049"/>
      <c r="I213" s="1049"/>
      <c r="J213" s="1050"/>
      <c r="K213" s="1050"/>
      <c r="L213" s="1043"/>
      <c r="M213" s="1051"/>
      <c r="N213" s="1051"/>
      <c r="O213" s="1052"/>
      <c r="P213" s="1051"/>
      <c r="Q213" s="1051"/>
      <c r="R213" s="1052"/>
      <c r="S213" s="1051"/>
      <c r="T213" s="1051"/>
      <c r="U213" s="1052"/>
      <c r="V213" s="1051"/>
      <c r="W213" s="1051"/>
      <c r="X213" s="1052"/>
      <c r="Y213" s="1053"/>
      <c r="Z213" s="1051"/>
      <c r="AA213" s="1051"/>
      <c r="AB213" s="1052"/>
      <c r="AC213" s="1051"/>
      <c r="AD213" s="1051"/>
      <c r="AE213" s="1052"/>
      <c r="AF213" s="1051"/>
      <c r="AG213" s="1051"/>
      <c r="AH213" s="1051"/>
      <c r="AI213" s="1051"/>
      <c r="AJ213" s="1052"/>
      <c r="AK213" s="1051"/>
      <c r="AL213" s="1051"/>
      <c r="AM213" s="1052"/>
      <c r="AN213" s="1051"/>
      <c r="AO213" s="1051"/>
      <c r="AP213" s="1052"/>
      <c r="AQ213" s="1051"/>
      <c r="AR213" s="1051"/>
      <c r="AS213" s="1052"/>
      <c r="AT213" s="1051"/>
      <c r="AU213" s="1051"/>
      <c r="AV213" s="1052"/>
      <c r="AW213" s="1051"/>
      <c r="AX213" s="1051"/>
      <c r="AY213" s="1053"/>
      <c r="AZ213" s="1051"/>
      <c r="BA213" s="1051"/>
      <c r="BB213" s="1053"/>
      <c r="BC213" s="1051"/>
      <c r="BD213" s="1051"/>
      <c r="BE213" s="1053"/>
      <c r="BF213" s="1051"/>
      <c r="BG213" s="1051"/>
      <c r="BH213" s="1053"/>
      <c r="BI213" s="1052"/>
      <c r="BJ213" s="1052"/>
      <c r="BK213" s="1052"/>
      <c r="BL213" s="1052"/>
      <c r="BM213" s="1052"/>
      <c r="BN213" s="1054"/>
      <c r="BO213" s="1076">
        <f t="shared" si="14"/>
        <v>0</v>
      </c>
      <c r="BP213" s="1051"/>
      <c r="BQ213" s="1052"/>
      <c r="BR213" s="1054"/>
      <c r="BS213" s="1053"/>
      <c r="BT213" s="1051"/>
      <c r="BU213" s="1051"/>
      <c r="BV213" s="1051"/>
      <c r="BW213" s="1052"/>
      <c r="BX213" s="1052"/>
      <c r="BY213" s="1052"/>
      <c r="BZ213" s="1052"/>
      <c r="CA213" s="1052"/>
      <c r="CB213" s="1053"/>
      <c r="CC213" s="1053"/>
      <c r="CD213" s="1053"/>
      <c r="CE213" s="1053"/>
      <c r="CF213" s="1053"/>
      <c r="CG213" s="1053"/>
      <c r="CH213" s="1053"/>
      <c r="CI213" s="1123"/>
      <c r="CJ213" s="1123"/>
      <c r="CK213" s="1123"/>
      <c r="CL213" s="1123"/>
      <c r="CM213" s="1123"/>
      <c r="CN213" s="1123"/>
      <c r="CO213" s="1123"/>
      <c r="CP213" s="1123"/>
      <c r="CQ213" s="1123"/>
      <c r="CR213" s="1123"/>
      <c r="CS213" s="1123"/>
      <c r="CT213" s="1123"/>
      <c r="CU213" s="1123"/>
      <c r="CV213" s="1123"/>
      <c r="CW213" s="1123"/>
      <c r="CX213" s="1123"/>
      <c r="CY213" s="1123"/>
      <c r="CZ213" s="1114"/>
      <c r="DA213" s="1114"/>
      <c r="DB213" s="1114"/>
      <c r="DC213" s="1114"/>
      <c r="DD213" s="1114"/>
      <c r="DE213" s="1114"/>
      <c r="DF213" s="1114"/>
      <c r="DG213" s="1114"/>
      <c r="DH213" s="1114"/>
      <c r="DI213" s="1114"/>
      <c r="DJ213" s="1114"/>
      <c r="DK213" s="1114"/>
      <c r="DL213" s="1114"/>
      <c r="DM213" s="1114"/>
      <c r="DN213" s="1114"/>
      <c r="DO213" s="1114"/>
      <c r="DP213" s="1114"/>
      <c r="DQ213" s="1114"/>
      <c r="DR213" s="1114"/>
      <c r="DS213" s="1114"/>
      <c r="DT213" s="1114"/>
      <c r="DU213" s="1114"/>
      <c r="DV213" s="1115"/>
      <c r="DW213" s="1116"/>
      <c r="DX213" s="1116"/>
      <c r="DY213" s="1116"/>
      <c r="DZ213" s="1116"/>
      <c r="EA213" s="1116"/>
      <c r="EB213" s="1116"/>
      <c r="EC213" s="1116"/>
      <c r="ED213" s="1116"/>
      <c r="EE213" s="1116"/>
      <c r="EF213" s="1116"/>
      <c r="EG213" s="1116"/>
      <c r="EH213" s="1116"/>
      <c r="EI213" s="1116"/>
      <c r="EJ213" s="1116"/>
      <c r="EK213" s="1116"/>
      <c r="EL213" s="1116"/>
      <c r="EM213" s="1116"/>
      <c r="EN213" s="1116"/>
      <c r="EO213" s="1116"/>
      <c r="EP213" s="1116"/>
      <c r="EQ213" s="1116"/>
      <c r="ER213" s="1116"/>
      <c r="ES213" s="1116"/>
    </row>
    <row r="214" spans="1:149" ht="15" customHeight="1">
      <c r="A214" s="1799">
        <v>199</v>
      </c>
      <c r="B214" s="1041"/>
      <c r="C214" s="1050"/>
      <c r="D214" s="1050"/>
      <c r="E214" s="1050"/>
      <c r="F214" s="1049"/>
      <c r="G214" s="1457"/>
      <c r="H214" s="1049"/>
      <c r="I214" s="1049"/>
      <c r="J214" s="1050"/>
      <c r="K214" s="1050"/>
      <c r="L214" s="1043"/>
      <c r="M214" s="1051"/>
      <c r="N214" s="1051"/>
      <c r="O214" s="1052"/>
      <c r="P214" s="1051"/>
      <c r="Q214" s="1051"/>
      <c r="R214" s="1052"/>
      <c r="S214" s="1051"/>
      <c r="T214" s="1051"/>
      <c r="U214" s="1052"/>
      <c r="V214" s="1051"/>
      <c r="W214" s="1051"/>
      <c r="X214" s="1052"/>
      <c r="Y214" s="1053"/>
      <c r="Z214" s="1051"/>
      <c r="AA214" s="1051"/>
      <c r="AB214" s="1052"/>
      <c r="AC214" s="1051"/>
      <c r="AD214" s="1051"/>
      <c r="AE214" s="1052"/>
      <c r="AF214" s="1051"/>
      <c r="AG214" s="1051"/>
      <c r="AH214" s="1051"/>
      <c r="AI214" s="1051"/>
      <c r="AJ214" s="1052"/>
      <c r="AK214" s="1051"/>
      <c r="AL214" s="1051"/>
      <c r="AM214" s="1052"/>
      <c r="AN214" s="1051"/>
      <c r="AO214" s="1051"/>
      <c r="AP214" s="1052"/>
      <c r="AQ214" s="1051"/>
      <c r="AR214" s="1051"/>
      <c r="AS214" s="1052"/>
      <c r="AT214" s="1051"/>
      <c r="AU214" s="1051"/>
      <c r="AV214" s="1052"/>
      <c r="AW214" s="1051"/>
      <c r="AX214" s="1051"/>
      <c r="AY214" s="1053"/>
      <c r="AZ214" s="1051"/>
      <c r="BA214" s="1051"/>
      <c r="BB214" s="1053"/>
      <c r="BC214" s="1051"/>
      <c r="BD214" s="1051"/>
      <c r="BE214" s="1053"/>
      <c r="BF214" s="1051"/>
      <c r="BG214" s="1051"/>
      <c r="BH214" s="1053"/>
      <c r="BI214" s="1052"/>
      <c r="BJ214" s="1052"/>
      <c r="BK214" s="1052"/>
      <c r="BL214" s="1052"/>
      <c r="BM214" s="1052"/>
      <c r="BN214" s="1054"/>
      <c r="BO214" s="1076">
        <f t="shared" si="14"/>
        <v>0</v>
      </c>
      <c r="BP214" s="1051"/>
      <c r="BQ214" s="1052"/>
      <c r="BR214" s="1054"/>
      <c r="BS214" s="1053"/>
      <c r="BT214" s="1051"/>
      <c r="BU214" s="1051"/>
      <c r="BV214" s="1051"/>
      <c r="BW214" s="1052"/>
      <c r="BX214" s="1052"/>
      <c r="BY214" s="1052"/>
      <c r="BZ214" s="1052"/>
      <c r="CA214" s="1052"/>
      <c r="CB214" s="1053"/>
      <c r="CC214" s="1053"/>
      <c r="CD214" s="1053"/>
      <c r="CE214" s="1053"/>
      <c r="CF214" s="1053"/>
      <c r="CG214" s="1053"/>
      <c r="CH214" s="1053"/>
      <c r="CI214" s="1123"/>
      <c r="CJ214" s="1123"/>
      <c r="CK214" s="1123"/>
      <c r="CL214" s="1123"/>
      <c r="CM214" s="1123"/>
      <c r="CN214" s="1123"/>
      <c r="CO214" s="1123"/>
      <c r="CP214" s="1123"/>
      <c r="CQ214" s="1123"/>
      <c r="CR214" s="1123"/>
      <c r="CS214" s="1123"/>
      <c r="CT214" s="1123"/>
      <c r="CU214" s="1123"/>
      <c r="CV214" s="1123"/>
      <c r="CW214" s="1123"/>
      <c r="CX214" s="1123"/>
      <c r="CY214" s="1123"/>
      <c r="CZ214" s="1114"/>
      <c r="DA214" s="1114"/>
      <c r="DB214" s="1114"/>
      <c r="DC214" s="1114"/>
      <c r="DD214" s="1114"/>
      <c r="DE214" s="1114"/>
      <c r="DF214" s="1114"/>
      <c r="DG214" s="1114"/>
      <c r="DH214" s="1114"/>
      <c r="DI214" s="1114"/>
      <c r="DJ214" s="1114"/>
      <c r="DK214" s="1114"/>
      <c r="DL214" s="1114"/>
      <c r="DM214" s="1114"/>
      <c r="DN214" s="1114"/>
      <c r="DO214" s="1114"/>
      <c r="DP214" s="1114"/>
      <c r="DQ214" s="1114"/>
      <c r="DR214" s="1114"/>
      <c r="DS214" s="1114"/>
      <c r="DT214" s="1114"/>
      <c r="DU214" s="1114"/>
      <c r="DV214" s="1115"/>
      <c r="DW214" s="1116"/>
      <c r="DX214" s="1116"/>
      <c r="DY214" s="1116"/>
      <c r="DZ214" s="1116"/>
      <c r="EA214" s="1116"/>
      <c r="EB214" s="1116"/>
      <c r="EC214" s="1116"/>
      <c r="ED214" s="1116"/>
      <c r="EE214" s="1116"/>
      <c r="EF214" s="1116"/>
      <c r="EG214" s="1116"/>
      <c r="EH214" s="1116"/>
      <c r="EI214" s="1116"/>
      <c r="EJ214" s="1116"/>
      <c r="EK214" s="1116"/>
      <c r="EL214" s="1116"/>
      <c r="EM214" s="1116"/>
      <c r="EN214" s="1116"/>
      <c r="EO214" s="1116"/>
      <c r="EP214" s="1116"/>
      <c r="EQ214" s="1116"/>
      <c r="ER214" s="1116"/>
      <c r="ES214" s="1116"/>
    </row>
    <row r="215" spans="1:149" ht="15" customHeight="1">
      <c r="A215" s="1799">
        <v>200</v>
      </c>
      <c r="B215" s="1041"/>
      <c r="C215" s="1050"/>
      <c r="D215" s="1050"/>
      <c r="E215" s="1050"/>
      <c r="F215" s="1049"/>
      <c r="G215" s="1457"/>
      <c r="H215" s="1049"/>
      <c r="I215" s="1049"/>
      <c r="J215" s="1050"/>
      <c r="K215" s="1050"/>
      <c r="L215" s="1043"/>
      <c r="M215" s="1051"/>
      <c r="N215" s="1051"/>
      <c r="O215" s="1052"/>
      <c r="P215" s="1051"/>
      <c r="Q215" s="1051"/>
      <c r="R215" s="1052"/>
      <c r="S215" s="1051"/>
      <c r="T215" s="1051"/>
      <c r="U215" s="1052"/>
      <c r="V215" s="1051"/>
      <c r="W215" s="1051"/>
      <c r="X215" s="1052"/>
      <c r="Y215" s="1053"/>
      <c r="Z215" s="1051"/>
      <c r="AA215" s="1051"/>
      <c r="AB215" s="1052"/>
      <c r="AC215" s="1051"/>
      <c r="AD215" s="1051"/>
      <c r="AE215" s="1052"/>
      <c r="AF215" s="1051"/>
      <c r="AG215" s="1051"/>
      <c r="AH215" s="1051"/>
      <c r="AI215" s="1051"/>
      <c r="AJ215" s="1052"/>
      <c r="AK215" s="1051"/>
      <c r="AL215" s="1051"/>
      <c r="AM215" s="1052"/>
      <c r="AN215" s="1051"/>
      <c r="AO215" s="1051"/>
      <c r="AP215" s="1052"/>
      <c r="AQ215" s="1051"/>
      <c r="AR215" s="1051"/>
      <c r="AS215" s="1052"/>
      <c r="AT215" s="1051"/>
      <c r="AU215" s="1051"/>
      <c r="AV215" s="1052"/>
      <c r="AW215" s="1051"/>
      <c r="AX215" s="1051"/>
      <c r="AY215" s="1053"/>
      <c r="AZ215" s="1051"/>
      <c r="BA215" s="1051"/>
      <c r="BB215" s="1053"/>
      <c r="BC215" s="1051"/>
      <c r="BD215" s="1051"/>
      <c r="BE215" s="1053"/>
      <c r="BF215" s="1051"/>
      <c r="BG215" s="1051"/>
      <c r="BH215" s="1053"/>
      <c r="BI215" s="1052"/>
      <c r="BJ215" s="1052"/>
      <c r="BK215" s="1052"/>
      <c r="BL215" s="1052"/>
      <c r="BM215" s="1052"/>
      <c r="BN215" s="1054"/>
      <c r="BO215" s="1076">
        <f t="shared" si="14"/>
        <v>0</v>
      </c>
      <c r="BP215" s="1051"/>
      <c r="BQ215" s="1052"/>
      <c r="BR215" s="1054"/>
      <c r="BS215" s="1053"/>
      <c r="BT215" s="1051"/>
      <c r="BU215" s="1051"/>
      <c r="BV215" s="1051"/>
      <c r="BW215" s="1052"/>
      <c r="BX215" s="1052"/>
      <c r="BY215" s="1052"/>
      <c r="BZ215" s="1052"/>
      <c r="CA215" s="1052"/>
      <c r="CB215" s="1053"/>
      <c r="CC215" s="1053"/>
      <c r="CD215" s="1053"/>
      <c r="CE215" s="1053"/>
      <c r="CF215" s="1053"/>
      <c r="CG215" s="1053"/>
      <c r="CH215" s="1053"/>
      <c r="CI215" s="1123"/>
      <c r="CJ215" s="1123"/>
      <c r="CK215" s="1123"/>
      <c r="CL215" s="1123"/>
      <c r="CM215" s="1123"/>
      <c r="CN215" s="1123"/>
      <c r="CO215" s="1123"/>
      <c r="CP215" s="1123"/>
      <c r="CQ215" s="1123"/>
      <c r="CR215" s="1123"/>
      <c r="CS215" s="1123"/>
      <c r="CT215" s="1123"/>
      <c r="CU215" s="1123"/>
      <c r="CV215" s="1123"/>
      <c r="CW215" s="1123"/>
      <c r="CX215" s="1123"/>
      <c r="CY215" s="1123"/>
      <c r="CZ215" s="1114"/>
      <c r="DA215" s="1114"/>
      <c r="DB215" s="1114"/>
      <c r="DC215" s="1114"/>
      <c r="DD215" s="1114"/>
      <c r="DE215" s="1114"/>
      <c r="DF215" s="1114"/>
      <c r="DG215" s="1114"/>
      <c r="DH215" s="1114"/>
      <c r="DI215" s="1114"/>
      <c r="DJ215" s="1114"/>
      <c r="DK215" s="1114"/>
      <c r="DL215" s="1114"/>
      <c r="DM215" s="1114"/>
      <c r="DN215" s="1114"/>
      <c r="DO215" s="1114"/>
      <c r="DP215" s="1114"/>
      <c r="DQ215" s="1114"/>
      <c r="DR215" s="1114"/>
      <c r="DS215" s="1114"/>
      <c r="DT215" s="1114"/>
      <c r="DU215" s="1114"/>
      <c r="DV215" s="1115"/>
      <c r="DW215" s="1116"/>
      <c r="DX215" s="1116"/>
      <c r="DY215" s="1116"/>
      <c r="DZ215" s="1116"/>
      <c r="EA215" s="1116"/>
      <c r="EB215" s="1116"/>
      <c r="EC215" s="1116"/>
      <c r="ED215" s="1116"/>
      <c r="EE215" s="1116"/>
      <c r="EF215" s="1116"/>
      <c r="EG215" s="1116"/>
      <c r="EH215" s="1116"/>
      <c r="EI215" s="1116"/>
      <c r="EJ215" s="1116"/>
      <c r="EK215" s="1116"/>
      <c r="EL215" s="1116"/>
      <c r="EM215" s="1116"/>
      <c r="EN215" s="1116"/>
      <c r="EO215" s="1116"/>
      <c r="EP215" s="1116"/>
      <c r="EQ215" s="1116"/>
      <c r="ER215" s="1116"/>
      <c r="ES215" s="1116"/>
    </row>
    <row r="216" spans="1:149" ht="15" customHeight="1">
      <c r="A216" s="1799">
        <v>201</v>
      </c>
      <c r="B216" s="1041"/>
      <c r="C216" s="1050"/>
      <c r="D216" s="1050"/>
      <c r="E216" s="1050"/>
      <c r="F216" s="1049"/>
      <c r="G216" s="1457"/>
      <c r="H216" s="1049"/>
      <c r="I216" s="1049"/>
      <c r="J216" s="1050"/>
      <c r="K216" s="1050"/>
      <c r="L216" s="1043"/>
      <c r="M216" s="1051"/>
      <c r="N216" s="1051"/>
      <c r="O216" s="1052"/>
      <c r="P216" s="1051"/>
      <c r="Q216" s="1051"/>
      <c r="R216" s="1052"/>
      <c r="S216" s="1051"/>
      <c r="T216" s="1051"/>
      <c r="U216" s="1052"/>
      <c r="V216" s="1051"/>
      <c r="W216" s="1051"/>
      <c r="X216" s="1052"/>
      <c r="Y216" s="1053"/>
      <c r="Z216" s="1051"/>
      <c r="AA216" s="1051"/>
      <c r="AB216" s="1052"/>
      <c r="AC216" s="1051"/>
      <c r="AD216" s="1051"/>
      <c r="AE216" s="1052"/>
      <c r="AF216" s="1051"/>
      <c r="AG216" s="1051"/>
      <c r="AH216" s="1051"/>
      <c r="AI216" s="1051"/>
      <c r="AJ216" s="1052"/>
      <c r="AK216" s="1051"/>
      <c r="AL216" s="1051"/>
      <c r="AM216" s="1052"/>
      <c r="AN216" s="1051"/>
      <c r="AO216" s="1051"/>
      <c r="AP216" s="1052"/>
      <c r="AQ216" s="1051"/>
      <c r="AR216" s="1051"/>
      <c r="AS216" s="1052"/>
      <c r="AT216" s="1051"/>
      <c r="AU216" s="1051"/>
      <c r="AV216" s="1052"/>
      <c r="AW216" s="1051"/>
      <c r="AX216" s="1051"/>
      <c r="AY216" s="1053"/>
      <c r="AZ216" s="1051"/>
      <c r="BA216" s="1051"/>
      <c r="BB216" s="1053"/>
      <c r="BC216" s="1051"/>
      <c r="BD216" s="1051"/>
      <c r="BE216" s="1053"/>
      <c r="BF216" s="1051"/>
      <c r="BG216" s="1051"/>
      <c r="BH216" s="1053"/>
      <c r="BI216" s="1052"/>
      <c r="BJ216" s="1052"/>
      <c r="BK216" s="1052"/>
      <c r="BL216" s="1052"/>
      <c r="BM216" s="1052"/>
      <c r="BN216" s="1054"/>
      <c r="BO216" s="1076">
        <f t="shared" si="14"/>
        <v>0</v>
      </c>
      <c r="BP216" s="1051"/>
      <c r="BQ216" s="1052"/>
      <c r="BR216" s="1054"/>
      <c r="BS216" s="1053"/>
      <c r="BT216" s="1051"/>
      <c r="BU216" s="1051"/>
      <c r="BV216" s="1051"/>
      <c r="BW216" s="1052"/>
      <c r="BX216" s="1052"/>
      <c r="BY216" s="1052"/>
      <c r="BZ216" s="1052"/>
      <c r="CA216" s="1052"/>
      <c r="CB216" s="1053"/>
      <c r="CC216" s="1053"/>
      <c r="CD216" s="1053"/>
      <c r="CE216" s="1053"/>
      <c r="CF216" s="1053"/>
      <c r="CG216" s="1053"/>
      <c r="CH216" s="1053"/>
      <c r="CI216" s="1123"/>
      <c r="CJ216" s="1123"/>
      <c r="CK216" s="1123"/>
      <c r="CL216" s="1123"/>
      <c r="CM216" s="1123"/>
      <c r="CN216" s="1123"/>
      <c r="CO216" s="1123"/>
      <c r="CP216" s="1123"/>
      <c r="CQ216" s="1123"/>
      <c r="CR216" s="1123"/>
      <c r="CS216" s="1123"/>
      <c r="CT216" s="1123"/>
      <c r="CU216" s="1123"/>
      <c r="CV216" s="1123"/>
      <c r="CW216" s="1123"/>
      <c r="CX216" s="1123"/>
      <c r="CY216" s="1123"/>
      <c r="CZ216" s="1114"/>
      <c r="DA216" s="1114"/>
      <c r="DB216" s="1114"/>
      <c r="DC216" s="1114"/>
      <c r="DD216" s="1114"/>
      <c r="DE216" s="1114"/>
      <c r="DF216" s="1114"/>
      <c r="DG216" s="1114"/>
      <c r="DH216" s="1114"/>
      <c r="DI216" s="1114"/>
      <c r="DJ216" s="1114"/>
      <c r="DK216" s="1114"/>
      <c r="DL216" s="1114"/>
      <c r="DM216" s="1114"/>
      <c r="DN216" s="1114"/>
      <c r="DO216" s="1114"/>
      <c r="DP216" s="1114"/>
      <c r="DQ216" s="1114"/>
      <c r="DR216" s="1114"/>
      <c r="DS216" s="1114"/>
      <c r="DT216" s="1114"/>
      <c r="DU216" s="1114"/>
      <c r="DV216" s="1115"/>
      <c r="DW216" s="1116"/>
      <c r="DX216" s="1116"/>
      <c r="DY216" s="1116"/>
      <c r="DZ216" s="1116"/>
      <c r="EA216" s="1116"/>
      <c r="EB216" s="1116"/>
      <c r="EC216" s="1116"/>
      <c r="ED216" s="1116"/>
      <c r="EE216" s="1116"/>
      <c r="EF216" s="1116"/>
      <c r="EG216" s="1116"/>
      <c r="EH216" s="1116"/>
      <c r="EI216" s="1116"/>
      <c r="EJ216" s="1116"/>
      <c r="EK216" s="1116"/>
      <c r="EL216" s="1116"/>
      <c r="EM216" s="1116"/>
      <c r="EN216" s="1116"/>
      <c r="EO216" s="1116"/>
      <c r="EP216" s="1116"/>
      <c r="EQ216" s="1116"/>
      <c r="ER216" s="1116"/>
      <c r="ES216" s="1116"/>
    </row>
    <row r="217" spans="1:149" ht="15" customHeight="1">
      <c r="A217" s="1799">
        <v>202</v>
      </c>
      <c r="B217" s="1041"/>
      <c r="C217" s="1050"/>
      <c r="D217" s="1050"/>
      <c r="E217" s="1050"/>
      <c r="F217" s="1049"/>
      <c r="G217" s="1457"/>
      <c r="H217" s="1049"/>
      <c r="I217" s="1049"/>
      <c r="J217" s="1050"/>
      <c r="K217" s="1050"/>
      <c r="L217" s="1043"/>
      <c r="M217" s="1051"/>
      <c r="N217" s="1051"/>
      <c r="O217" s="1052"/>
      <c r="P217" s="1051"/>
      <c r="Q217" s="1051"/>
      <c r="R217" s="1052"/>
      <c r="S217" s="1051"/>
      <c r="T217" s="1051"/>
      <c r="U217" s="1052"/>
      <c r="V217" s="1051"/>
      <c r="W217" s="1051"/>
      <c r="X217" s="1052"/>
      <c r="Y217" s="1053"/>
      <c r="Z217" s="1051"/>
      <c r="AA217" s="1051"/>
      <c r="AB217" s="1052"/>
      <c r="AC217" s="1051"/>
      <c r="AD217" s="1051"/>
      <c r="AE217" s="1052"/>
      <c r="AF217" s="1051"/>
      <c r="AG217" s="1051"/>
      <c r="AH217" s="1051"/>
      <c r="AI217" s="1051"/>
      <c r="AJ217" s="1052"/>
      <c r="AK217" s="1051"/>
      <c r="AL217" s="1051"/>
      <c r="AM217" s="1052"/>
      <c r="AN217" s="1051"/>
      <c r="AO217" s="1051"/>
      <c r="AP217" s="1052"/>
      <c r="AQ217" s="1051"/>
      <c r="AR217" s="1051"/>
      <c r="AS217" s="1052"/>
      <c r="AT217" s="1051"/>
      <c r="AU217" s="1051"/>
      <c r="AV217" s="1052"/>
      <c r="AW217" s="1051"/>
      <c r="AX217" s="1051"/>
      <c r="AY217" s="1053"/>
      <c r="AZ217" s="1051"/>
      <c r="BA217" s="1051"/>
      <c r="BB217" s="1053"/>
      <c r="BC217" s="1051"/>
      <c r="BD217" s="1051"/>
      <c r="BE217" s="1053"/>
      <c r="BF217" s="1051"/>
      <c r="BG217" s="1051"/>
      <c r="BH217" s="1053"/>
      <c r="BI217" s="1052"/>
      <c r="BJ217" s="1052"/>
      <c r="BK217" s="1052"/>
      <c r="BL217" s="1052"/>
      <c r="BM217" s="1052"/>
      <c r="BN217" s="1054"/>
      <c r="BO217" s="1076">
        <f t="shared" si="14"/>
        <v>0</v>
      </c>
      <c r="BP217" s="1051"/>
      <c r="BQ217" s="1052"/>
      <c r="BR217" s="1054"/>
      <c r="BS217" s="1053"/>
      <c r="BT217" s="1051"/>
      <c r="BU217" s="1051"/>
      <c r="BV217" s="1051"/>
      <c r="BW217" s="1052"/>
      <c r="BX217" s="1052"/>
      <c r="BY217" s="1052"/>
      <c r="BZ217" s="1052"/>
      <c r="CA217" s="1052"/>
      <c r="CB217" s="1053"/>
      <c r="CC217" s="1053"/>
      <c r="CD217" s="1053"/>
      <c r="CE217" s="1053"/>
      <c r="CF217" s="1053"/>
      <c r="CG217" s="1053"/>
      <c r="CH217" s="1053"/>
      <c r="CI217" s="1123"/>
      <c r="CJ217" s="1123"/>
      <c r="CK217" s="1123"/>
      <c r="CL217" s="1123"/>
      <c r="CM217" s="1123"/>
      <c r="CN217" s="1123"/>
      <c r="CO217" s="1123"/>
      <c r="CP217" s="1123"/>
      <c r="CQ217" s="1123"/>
      <c r="CR217" s="1123"/>
      <c r="CS217" s="1123"/>
      <c r="CT217" s="1123"/>
      <c r="CU217" s="1123"/>
      <c r="CV217" s="1123"/>
      <c r="CW217" s="1123"/>
      <c r="CX217" s="1123"/>
      <c r="CY217" s="1123"/>
      <c r="CZ217" s="1114"/>
      <c r="DA217" s="1114"/>
      <c r="DB217" s="1114"/>
      <c r="DC217" s="1114"/>
      <c r="DD217" s="1114"/>
      <c r="DE217" s="1114"/>
      <c r="DF217" s="1114"/>
      <c r="DG217" s="1114"/>
      <c r="DH217" s="1114"/>
      <c r="DI217" s="1114"/>
      <c r="DJ217" s="1114"/>
      <c r="DK217" s="1114"/>
      <c r="DL217" s="1114"/>
      <c r="DM217" s="1114"/>
      <c r="DN217" s="1114"/>
      <c r="DO217" s="1114"/>
      <c r="DP217" s="1114"/>
      <c r="DQ217" s="1114"/>
      <c r="DR217" s="1114"/>
      <c r="DS217" s="1114"/>
      <c r="DT217" s="1114"/>
      <c r="DU217" s="1114"/>
      <c r="DV217" s="1115"/>
      <c r="DW217" s="1116"/>
      <c r="DX217" s="1116"/>
      <c r="DY217" s="1116"/>
      <c r="DZ217" s="1116"/>
      <c r="EA217" s="1116"/>
      <c r="EB217" s="1116"/>
      <c r="EC217" s="1116"/>
      <c r="ED217" s="1116"/>
      <c r="EE217" s="1116"/>
      <c r="EF217" s="1116"/>
      <c r="EG217" s="1116"/>
      <c r="EH217" s="1116"/>
      <c r="EI217" s="1116"/>
      <c r="EJ217" s="1116"/>
      <c r="EK217" s="1116"/>
      <c r="EL217" s="1116"/>
      <c r="EM217" s="1116"/>
      <c r="EN217" s="1116"/>
      <c r="EO217" s="1116"/>
      <c r="EP217" s="1116"/>
      <c r="EQ217" s="1116"/>
      <c r="ER217" s="1116"/>
      <c r="ES217" s="1116"/>
    </row>
    <row r="218" spans="1:149" ht="15" customHeight="1">
      <c r="A218" s="1799">
        <v>203</v>
      </c>
      <c r="B218" s="1041"/>
      <c r="C218" s="1050"/>
      <c r="D218" s="1050"/>
      <c r="E218" s="1050"/>
      <c r="F218" s="1049"/>
      <c r="G218" s="1457"/>
      <c r="H218" s="1049"/>
      <c r="I218" s="1049"/>
      <c r="J218" s="1050"/>
      <c r="K218" s="1050"/>
      <c r="L218" s="1043"/>
      <c r="M218" s="1051"/>
      <c r="N218" s="1051"/>
      <c r="O218" s="1052"/>
      <c r="P218" s="1051"/>
      <c r="Q218" s="1051"/>
      <c r="R218" s="1052"/>
      <c r="S218" s="1051"/>
      <c r="T218" s="1051"/>
      <c r="U218" s="1052"/>
      <c r="V218" s="1051"/>
      <c r="W218" s="1051"/>
      <c r="X218" s="1052"/>
      <c r="Y218" s="1053"/>
      <c r="Z218" s="1051"/>
      <c r="AA218" s="1051"/>
      <c r="AB218" s="1052"/>
      <c r="AC218" s="1051"/>
      <c r="AD218" s="1051"/>
      <c r="AE218" s="1052"/>
      <c r="AF218" s="1051"/>
      <c r="AG218" s="1051"/>
      <c r="AH218" s="1051"/>
      <c r="AI218" s="1051"/>
      <c r="AJ218" s="1052"/>
      <c r="AK218" s="1051"/>
      <c r="AL218" s="1051"/>
      <c r="AM218" s="1052"/>
      <c r="AN218" s="1051"/>
      <c r="AO218" s="1051"/>
      <c r="AP218" s="1052"/>
      <c r="AQ218" s="1051"/>
      <c r="AR218" s="1051"/>
      <c r="AS218" s="1052"/>
      <c r="AT218" s="1051"/>
      <c r="AU218" s="1051"/>
      <c r="AV218" s="1052"/>
      <c r="AW218" s="1051"/>
      <c r="AX218" s="1051"/>
      <c r="AY218" s="1053"/>
      <c r="AZ218" s="1051"/>
      <c r="BA218" s="1051"/>
      <c r="BB218" s="1053"/>
      <c r="BC218" s="1051"/>
      <c r="BD218" s="1051"/>
      <c r="BE218" s="1053"/>
      <c r="BF218" s="1051"/>
      <c r="BG218" s="1051"/>
      <c r="BH218" s="1053"/>
      <c r="BI218" s="1052"/>
      <c r="BJ218" s="1052"/>
      <c r="BK218" s="1052"/>
      <c r="BL218" s="1052"/>
      <c r="BM218" s="1052"/>
      <c r="BN218" s="1054"/>
      <c r="BO218" s="1076">
        <f t="shared" si="14"/>
        <v>0</v>
      </c>
      <c r="BP218" s="1051"/>
      <c r="BQ218" s="1052"/>
      <c r="BR218" s="1054"/>
      <c r="BS218" s="1053"/>
      <c r="BT218" s="1051"/>
      <c r="BU218" s="1051"/>
      <c r="BV218" s="1051"/>
      <c r="BW218" s="1052"/>
      <c r="BX218" s="1052"/>
      <c r="BY218" s="1052"/>
      <c r="BZ218" s="1052"/>
      <c r="CA218" s="1052"/>
      <c r="CB218" s="1053"/>
      <c r="CC218" s="1053"/>
      <c r="CD218" s="1053"/>
      <c r="CE218" s="1053"/>
      <c r="CF218" s="1053"/>
      <c r="CG218" s="1053"/>
      <c r="CH218" s="1053"/>
      <c r="CI218" s="1123"/>
      <c r="CJ218" s="1123"/>
      <c r="CK218" s="1123"/>
      <c r="CL218" s="1123"/>
      <c r="CM218" s="1123"/>
      <c r="CN218" s="1123"/>
      <c r="CO218" s="1123"/>
      <c r="CP218" s="1123"/>
      <c r="CQ218" s="1123"/>
      <c r="CR218" s="1123"/>
      <c r="CS218" s="1123"/>
      <c r="CT218" s="1123"/>
      <c r="CU218" s="1123"/>
      <c r="CV218" s="1123"/>
      <c r="CW218" s="1123"/>
      <c r="CX218" s="1123"/>
      <c r="CY218" s="1123"/>
      <c r="CZ218" s="1114"/>
      <c r="DA218" s="1114"/>
      <c r="DB218" s="1114"/>
      <c r="DC218" s="1114"/>
      <c r="DD218" s="1114"/>
      <c r="DE218" s="1114"/>
      <c r="DF218" s="1114"/>
      <c r="DG218" s="1114"/>
      <c r="DH218" s="1114"/>
      <c r="DI218" s="1114"/>
      <c r="DJ218" s="1114"/>
      <c r="DK218" s="1114"/>
      <c r="DL218" s="1114"/>
      <c r="DM218" s="1114"/>
      <c r="DN218" s="1114"/>
      <c r="DO218" s="1114"/>
      <c r="DP218" s="1114"/>
      <c r="DQ218" s="1114"/>
      <c r="DR218" s="1114"/>
      <c r="DS218" s="1114"/>
      <c r="DT218" s="1114"/>
      <c r="DU218" s="1114"/>
      <c r="DV218" s="1115"/>
      <c r="DW218" s="1116"/>
      <c r="DX218" s="1116"/>
      <c r="DY218" s="1116"/>
      <c r="DZ218" s="1116"/>
      <c r="EA218" s="1116"/>
      <c r="EB218" s="1116"/>
      <c r="EC218" s="1116"/>
      <c r="ED218" s="1116"/>
      <c r="EE218" s="1116"/>
      <c r="EF218" s="1116"/>
      <c r="EG218" s="1116"/>
      <c r="EH218" s="1116"/>
      <c r="EI218" s="1116"/>
      <c r="EJ218" s="1116"/>
      <c r="EK218" s="1116"/>
      <c r="EL218" s="1116"/>
      <c r="EM218" s="1116"/>
      <c r="EN218" s="1116"/>
      <c r="EO218" s="1116"/>
      <c r="EP218" s="1116"/>
      <c r="EQ218" s="1116"/>
      <c r="ER218" s="1116"/>
      <c r="ES218" s="1116"/>
    </row>
    <row r="219" spans="1:149" ht="15" customHeight="1">
      <c r="A219" s="1799">
        <v>204</v>
      </c>
      <c r="B219" s="1041"/>
      <c r="C219" s="1050"/>
      <c r="D219" s="1050"/>
      <c r="E219" s="1050"/>
      <c r="F219" s="1049"/>
      <c r="G219" s="1457"/>
      <c r="H219" s="1049"/>
      <c r="I219" s="1049"/>
      <c r="J219" s="1050"/>
      <c r="K219" s="1050"/>
      <c r="L219" s="1043"/>
      <c r="M219" s="1051"/>
      <c r="N219" s="1051"/>
      <c r="O219" s="1052"/>
      <c r="P219" s="1051"/>
      <c r="Q219" s="1051"/>
      <c r="R219" s="1052"/>
      <c r="S219" s="1051"/>
      <c r="T219" s="1051"/>
      <c r="U219" s="1052"/>
      <c r="V219" s="1051"/>
      <c r="W219" s="1051"/>
      <c r="X219" s="1052"/>
      <c r="Y219" s="1053"/>
      <c r="Z219" s="1051"/>
      <c r="AA219" s="1051"/>
      <c r="AB219" s="1052"/>
      <c r="AC219" s="1051"/>
      <c r="AD219" s="1051"/>
      <c r="AE219" s="1052"/>
      <c r="AF219" s="1051"/>
      <c r="AG219" s="1051"/>
      <c r="AH219" s="1051"/>
      <c r="AI219" s="1051"/>
      <c r="AJ219" s="1052"/>
      <c r="AK219" s="1051"/>
      <c r="AL219" s="1051"/>
      <c r="AM219" s="1052"/>
      <c r="AN219" s="1051"/>
      <c r="AO219" s="1051"/>
      <c r="AP219" s="1052"/>
      <c r="AQ219" s="1051"/>
      <c r="AR219" s="1051"/>
      <c r="AS219" s="1052"/>
      <c r="AT219" s="1051"/>
      <c r="AU219" s="1051"/>
      <c r="AV219" s="1052"/>
      <c r="AW219" s="1051"/>
      <c r="AX219" s="1051"/>
      <c r="AY219" s="1053"/>
      <c r="AZ219" s="1051"/>
      <c r="BA219" s="1051"/>
      <c r="BB219" s="1053"/>
      <c r="BC219" s="1051"/>
      <c r="BD219" s="1051"/>
      <c r="BE219" s="1053"/>
      <c r="BF219" s="1051"/>
      <c r="BG219" s="1051"/>
      <c r="BH219" s="1053"/>
      <c r="BI219" s="1052"/>
      <c r="BJ219" s="1052"/>
      <c r="BK219" s="1052"/>
      <c r="BL219" s="1052"/>
      <c r="BM219" s="1052"/>
      <c r="BN219" s="1054"/>
      <c r="BO219" s="1076">
        <f t="shared" si="14"/>
        <v>0</v>
      </c>
      <c r="BP219" s="1051"/>
      <c r="BQ219" s="1052"/>
      <c r="BR219" s="1054"/>
      <c r="BS219" s="1053"/>
      <c r="BT219" s="1051"/>
      <c r="BU219" s="1051"/>
      <c r="BV219" s="1051"/>
      <c r="BW219" s="1052"/>
      <c r="BX219" s="1052"/>
      <c r="BY219" s="1052"/>
      <c r="BZ219" s="1052"/>
      <c r="CA219" s="1052"/>
      <c r="CB219" s="1053"/>
      <c r="CC219" s="1053"/>
      <c r="CD219" s="1053"/>
      <c r="CE219" s="1053"/>
      <c r="CF219" s="1053"/>
      <c r="CG219" s="1053"/>
      <c r="CH219" s="1053"/>
      <c r="CI219" s="1123"/>
      <c r="CJ219" s="1123"/>
      <c r="CK219" s="1123"/>
      <c r="CL219" s="1123"/>
      <c r="CM219" s="1123"/>
      <c r="CN219" s="1123"/>
      <c r="CO219" s="1123"/>
      <c r="CP219" s="1123"/>
      <c r="CQ219" s="1123"/>
      <c r="CR219" s="1123"/>
      <c r="CS219" s="1123"/>
      <c r="CT219" s="1123"/>
      <c r="CU219" s="1123"/>
      <c r="CV219" s="1123"/>
      <c r="CW219" s="1123"/>
      <c r="CX219" s="1123"/>
      <c r="CY219" s="1123"/>
      <c r="CZ219" s="1114"/>
      <c r="DA219" s="1114"/>
      <c r="DB219" s="1114"/>
      <c r="DC219" s="1114"/>
      <c r="DD219" s="1114"/>
      <c r="DE219" s="1114"/>
      <c r="DF219" s="1114"/>
      <c r="DG219" s="1114"/>
      <c r="DH219" s="1114"/>
      <c r="DI219" s="1114"/>
      <c r="DJ219" s="1114"/>
      <c r="DK219" s="1114"/>
      <c r="DL219" s="1114"/>
      <c r="DM219" s="1114"/>
      <c r="DN219" s="1114"/>
      <c r="DO219" s="1114"/>
      <c r="DP219" s="1114"/>
      <c r="DQ219" s="1114"/>
      <c r="DR219" s="1114"/>
      <c r="DS219" s="1114"/>
      <c r="DT219" s="1114"/>
      <c r="DU219" s="1114"/>
      <c r="DV219" s="1115"/>
      <c r="DW219" s="1116"/>
      <c r="DX219" s="1116"/>
      <c r="DY219" s="1116"/>
      <c r="DZ219" s="1116"/>
      <c r="EA219" s="1116"/>
      <c r="EB219" s="1116"/>
      <c r="EC219" s="1116"/>
      <c r="ED219" s="1116"/>
      <c r="EE219" s="1116"/>
      <c r="EF219" s="1116"/>
      <c r="EG219" s="1116"/>
      <c r="EH219" s="1116"/>
      <c r="EI219" s="1116"/>
      <c r="EJ219" s="1116"/>
      <c r="EK219" s="1116"/>
      <c r="EL219" s="1116"/>
      <c r="EM219" s="1116"/>
      <c r="EN219" s="1116"/>
      <c r="EO219" s="1116"/>
      <c r="EP219" s="1116"/>
      <c r="EQ219" s="1116"/>
      <c r="ER219" s="1116"/>
      <c r="ES219" s="1116"/>
    </row>
    <row r="220" spans="1:149" ht="15" customHeight="1">
      <c r="A220" s="1799">
        <v>205</v>
      </c>
      <c r="B220" s="1041"/>
      <c r="C220" s="1050"/>
      <c r="D220" s="1050"/>
      <c r="E220" s="1050"/>
      <c r="F220" s="1049"/>
      <c r="G220" s="1457"/>
      <c r="H220" s="1049"/>
      <c r="I220" s="1049"/>
      <c r="J220" s="1050"/>
      <c r="K220" s="1050"/>
      <c r="L220" s="1043"/>
      <c r="M220" s="1051"/>
      <c r="N220" s="1051"/>
      <c r="O220" s="1052"/>
      <c r="P220" s="1051"/>
      <c r="Q220" s="1051"/>
      <c r="R220" s="1052"/>
      <c r="S220" s="1051"/>
      <c r="T220" s="1051"/>
      <c r="U220" s="1052"/>
      <c r="V220" s="1051"/>
      <c r="W220" s="1051"/>
      <c r="X220" s="1052"/>
      <c r="Y220" s="1053"/>
      <c r="Z220" s="1051"/>
      <c r="AA220" s="1051"/>
      <c r="AB220" s="1052"/>
      <c r="AC220" s="1051"/>
      <c r="AD220" s="1051"/>
      <c r="AE220" s="1052"/>
      <c r="AF220" s="1051"/>
      <c r="AG220" s="1051"/>
      <c r="AH220" s="1051"/>
      <c r="AI220" s="1051"/>
      <c r="AJ220" s="1052"/>
      <c r="AK220" s="1051"/>
      <c r="AL220" s="1051"/>
      <c r="AM220" s="1052"/>
      <c r="AN220" s="1051"/>
      <c r="AO220" s="1051"/>
      <c r="AP220" s="1052"/>
      <c r="AQ220" s="1051"/>
      <c r="AR220" s="1051"/>
      <c r="AS220" s="1052"/>
      <c r="AT220" s="1051"/>
      <c r="AU220" s="1051"/>
      <c r="AV220" s="1052"/>
      <c r="AW220" s="1051"/>
      <c r="AX220" s="1051"/>
      <c r="AY220" s="1053"/>
      <c r="AZ220" s="1051"/>
      <c r="BA220" s="1051"/>
      <c r="BB220" s="1053"/>
      <c r="BC220" s="1051"/>
      <c r="BD220" s="1051"/>
      <c r="BE220" s="1053"/>
      <c r="BF220" s="1051"/>
      <c r="BG220" s="1051"/>
      <c r="BH220" s="1053"/>
      <c r="BI220" s="1052"/>
      <c r="BJ220" s="1052"/>
      <c r="BK220" s="1052"/>
      <c r="BL220" s="1052"/>
      <c r="BM220" s="1052"/>
      <c r="BN220" s="1054"/>
      <c r="BO220" s="1076">
        <f t="shared" si="14"/>
        <v>0</v>
      </c>
      <c r="BP220" s="1051"/>
      <c r="BQ220" s="1052"/>
      <c r="BR220" s="1054"/>
      <c r="BS220" s="1053"/>
      <c r="BT220" s="1051"/>
      <c r="BU220" s="1051"/>
      <c r="BV220" s="1051"/>
      <c r="BW220" s="1052"/>
      <c r="BX220" s="1052"/>
      <c r="BY220" s="1052"/>
      <c r="BZ220" s="1052"/>
      <c r="CA220" s="1052"/>
      <c r="CB220" s="1053"/>
      <c r="CC220" s="1053"/>
      <c r="CD220" s="1053"/>
      <c r="CE220" s="1053"/>
      <c r="CF220" s="1053"/>
      <c r="CG220" s="1053"/>
      <c r="CH220" s="1053"/>
      <c r="CI220" s="1123"/>
      <c r="CJ220" s="1123"/>
      <c r="CK220" s="1123"/>
      <c r="CL220" s="1123"/>
      <c r="CM220" s="1123"/>
      <c r="CN220" s="1123"/>
      <c r="CO220" s="1123"/>
      <c r="CP220" s="1123"/>
      <c r="CQ220" s="1123"/>
      <c r="CR220" s="1123"/>
      <c r="CS220" s="1123"/>
      <c r="CT220" s="1123"/>
      <c r="CU220" s="1123"/>
      <c r="CV220" s="1123"/>
      <c r="CW220" s="1123"/>
      <c r="CX220" s="1123"/>
      <c r="CY220" s="1123"/>
      <c r="CZ220" s="1114"/>
      <c r="DA220" s="1114"/>
      <c r="DB220" s="1114"/>
      <c r="DC220" s="1114"/>
      <c r="DD220" s="1114"/>
      <c r="DE220" s="1114"/>
      <c r="DF220" s="1114"/>
      <c r="DG220" s="1114"/>
      <c r="DH220" s="1114"/>
      <c r="DI220" s="1114"/>
      <c r="DJ220" s="1114"/>
      <c r="DK220" s="1114"/>
      <c r="DL220" s="1114"/>
      <c r="DM220" s="1114"/>
      <c r="DN220" s="1114"/>
      <c r="DO220" s="1114"/>
      <c r="DP220" s="1114"/>
      <c r="DQ220" s="1114"/>
      <c r="DR220" s="1114"/>
      <c r="DS220" s="1114"/>
      <c r="DT220" s="1114"/>
      <c r="DU220" s="1114"/>
      <c r="DV220" s="1115"/>
      <c r="DW220" s="1116"/>
      <c r="DX220" s="1116"/>
      <c r="DY220" s="1116"/>
      <c r="DZ220" s="1116"/>
      <c r="EA220" s="1116"/>
      <c r="EB220" s="1116"/>
      <c r="EC220" s="1116"/>
      <c r="ED220" s="1116"/>
      <c r="EE220" s="1116"/>
      <c r="EF220" s="1116"/>
      <c r="EG220" s="1116"/>
      <c r="EH220" s="1116"/>
      <c r="EI220" s="1116"/>
      <c r="EJ220" s="1116"/>
      <c r="EK220" s="1116"/>
      <c r="EL220" s="1116"/>
      <c r="EM220" s="1116"/>
      <c r="EN220" s="1116"/>
      <c r="EO220" s="1116"/>
      <c r="EP220" s="1116"/>
      <c r="EQ220" s="1116"/>
      <c r="ER220" s="1116"/>
      <c r="ES220" s="1116"/>
    </row>
    <row r="221" spans="1:149" ht="15" customHeight="1">
      <c r="A221" s="1799">
        <v>206</v>
      </c>
      <c r="B221" s="1041"/>
      <c r="C221" s="1050"/>
      <c r="D221" s="1050"/>
      <c r="E221" s="1050"/>
      <c r="F221" s="1049"/>
      <c r="G221" s="1457"/>
      <c r="H221" s="1049"/>
      <c r="I221" s="1049"/>
      <c r="J221" s="1050"/>
      <c r="K221" s="1050"/>
      <c r="L221" s="1043"/>
      <c r="M221" s="1051"/>
      <c r="N221" s="1051"/>
      <c r="O221" s="1052"/>
      <c r="P221" s="1051"/>
      <c r="Q221" s="1051"/>
      <c r="R221" s="1052"/>
      <c r="S221" s="1051"/>
      <c r="T221" s="1051"/>
      <c r="U221" s="1052"/>
      <c r="V221" s="1051"/>
      <c r="W221" s="1051"/>
      <c r="X221" s="1052"/>
      <c r="Y221" s="1053"/>
      <c r="Z221" s="1051"/>
      <c r="AA221" s="1051"/>
      <c r="AB221" s="1052"/>
      <c r="AC221" s="1051"/>
      <c r="AD221" s="1051"/>
      <c r="AE221" s="1052"/>
      <c r="AF221" s="1051"/>
      <c r="AG221" s="1051"/>
      <c r="AH221" s="1051"/>
      <c r="AI221" s="1051"/>
      <c r="AJ221" s="1052"/>
      <c r="AK221" s="1051"/>
      <c r="AL221" s="1051"/>
      <c r="AM221" s="1052"/>
      <c r="AN221" s="1051"/>
      <c r="AO221" s="1051"/>
      <c r="AP221" s="1052"/>
      <c r="AQ221" s="1051"/>
      <c r="AR221" s="1051"/>
      <c r="AS221" s="1052"/>
      <c r="AT221" s="1051"/>
      <c r="AU221" s="1051"/>
      <c r="AV221" s="1052"/>
      <c r="AW221" s="1051"/>
      <c r="AX221" s="1051"/>
      <c r="AY221" s="1053"/>
      <c r="AZ221" s="1051"/>
      <c r="BA221" s="1051"/>
      <c r="BB221" s="1053"/>
      <c r="BC221" s="1051"/>
      <c r="BD221" s="1051"/>
      <c r="BE221" s="1053"/>
      <c r="BF221" s="1051"/>
      <c r="BG221" s="1051"/>
      <c r="BH221" s="1053"/>
      <c r="BI221" s="1052"/>
      <c r="BJ221" s="1052"/>
      <c r="BK221" s="1052"/>
      <c r="BL221" s="1052"/>
      <c r="BM221" s="1052"/>
      <c r="BN221" s="1054"/>
      <c r="BO221" s="1076">
        <f t="shared" si="14"/>
        <v>0</v>
      </c>
      <c r="BP221" s="1051"/>
      <c r="BQ221" s="1052"/>
      <c r="BR221" s="1054"/>
      <c r="BS221" s="1053"/>
      <c r="BT221" s="1051"/>
      <c r="BU221" s="1051"/>
      <c r="BV221" s="1051"/>
      <c r="BW221" s="1052"/>
      <c r="BX221" s="1052"/>
      <c r="BY221" s="1052"/>
      <c r="BZ221" s="1052"/>
      <c r="CA221" s="1052"/>
      <c r="CB221" s="1053"/>
      <c r="CC221" s="1053"/>
      <c r="CD221" s="1053"/>
      <c r="CE221" s="1053"/>
      <c r="CF221" s="1053"/>
      <c r="CG221" s="1053"/>
      <c r="CH221" s="1053"/>
      <c r="CI221" s="1123"/>
      <c r="CJ221" s="1123"/>
      <c r="CK221" s="1123"/>
      <c r="CL221" s="1123"/>
      <c r="CM221" s="1123"/>
      <c r="CN221" s="1123"/>
      <c r="CO221" s="1123"/>
      <c r="CP221" s="1123"/>
      <c r="CQ221" s="1123"/>
      <c r="CR221" s="1123"/>
      <c r="CS221" s="1123"/>
      <c r="CT221" s="1123"/>
      <c r="CU221" s="1123"/>
      <c r="CV221" s="1123"/>
      <c r="CW221" s="1123"/>
      <c r="CX221" s="1123"/>
      <c r="CY221" s="1123"/>
      <c r="CZ221" s="1114"/>
      <c r="DA221" s="1114"/>
      <c r="DB221" s="1114"/>
      <c r="DC221" s="1114"/>
      <c r="DD221" s="1114"/>
      <c r="DE221" s="1114"/>
      <c r="DF221" s="1114"/>
      <c r="DG221" s="1114"/>
      <c r="DH221" s="1114"/>
      <c r="DI221" s="1114"/>
      <c r="DJ221" s="1114"/>
      <c r="DK221" s="1114"/>
      <c r="DL221" s="1114"/>
      <c r="DM221" s="1114"/>
      <c r="DN221" s="1114"/>
      <c r="DO221" s="1114"/>
      <c r="DP221" s="1114"/>
      <c r="DQ221" s="1114"/>
      <c r="DR221" s="1114"/>
      <c r="DS221" s="1114"/>
      <c r="DT221" s="1114"/>
      <c r="DU221" s="1114"/>
      <c r="DV221" s="1115"/>
      <c r="DW221" s="1116"/>
      <c r="DX221" s="1116"/>
      <c r="DY221" s="1116"/>
      <c r="DZ221" s="1116"/>
      <c r="EA221" s="1116"/>
      <c r="EB221" s="1116"/>
      <c r="EC221" s="1116"/>
      <c r="ED221" s="1116"/>
      <c r="EE221" s="1116"/>
      <c r="EF221" s="1116"/>
      <c r="EG221" s="1116"/>
      <c r="EH221" s="1116"/>
      <c r="EI221" s="1116"/>
      <c r="EJ221" s="1116"/>
      <c r="EK221" s="1116"/>
      <c r="EL221" s="1116"/>
      <c r="EM221" s="1116"/>
      <c r="EN221" s="1116"/>
      <c r="EO221" s="1116"/>
      <c r="EP221" s="1116"/>
      <c r="EQ221" s="1116"/>
      <c r="ER221" s="1116"/>
      <c r="ES221" s="1116"/>
    </row>
    <row r="222" spans="1:149" ht="15" customHeight="1">
      <c r="A222" s="1799">
        <v>207</v>
      </c>
      <c r="B222" s="1041"/>
      <c r="C222" s="1050"/>
      <c r="D222" s="1050"/>
      <c r="E222" s="1050"/>
      <c r="F222" s="1049"/>
      <c r="G222" s="1457"/>
      <c r="H222" s="1049"/>
      <c r="I222" s="1049"/>
      <c r="J222" s="1050"/>
      <c r="K222" s="1050"/>
      <c r="L222" s="1043"/>
      <c r="M222" s="1051"/>
      <c r="N222" s="1051"/>
      <c r="O222" s="1052"/>
      <c r="P222" s="1051"/>
      <c r="Q222" s="1051"/>
      <c r="R222" s="1052"/>
      <c r="S222" s="1051"/>
      <c r="T222" s="1051"/>
      <c r="U222" s="1052"/>
      <c r="V222" s="1051"/>
      <c r="W222" s="1051"/>
      <c r="X222" s="1052"/>
      <c r="Y222" s="1053"/>
      <c r="Z222" s="1051"/>
      <c r="AA222" s="1051"/>
      <c r="AB222" s="1052"/>
      <c r="AC222" s="1051"/>
      <c r="AD222" s="1051"/>
      <c r="AE222" s="1052"/>
      <c r="AF222" s="1051"/>
      <c r="AG222" s="1051"/>
      <c r="AH222" s="1051"/>
      <c r="AI222" s="1051"/>
      <c r="AJ222" s="1052"/>
      <c r="AK222" s="1051"/>
      <c r="AL222" s="1051"/>
      <c r="AM222" s="1052"/>
      <c r="AN222" s="1051"/>
      <c r="AO222" s="1051"/>
      <c r="AP222" s="1052"/>
      <c r="AQ222" s="1051"/>
      <c r="AR222" s="1051"/>
      <c r="AS222" s="1052"/>
      <c r="AT222" s="1051"/>
      <c r="AU222" s="1051"/>
      <c r="AV222" s="1052"/>
      <c r="AW222" s="1051"/>
      <c r="AX222" s="1051"/>
      <c r="AY222" s="1053"/>
      <c r="AZ222" s="1051"/>
      <c r="BA222" s="1051"/>
      <c r="BB222" s="1053"/>
      <c r="BC222" s="1051"/>
      <c r="BD222" s="1051"/>
      <c r="BE222" s="1053"/>
      <c r="BF222" s="1051"/>
      <c r="BG222" s="1051"/>
      <c r="BH222" s="1053"/>
      <c r="BI222" s="1052"/>
      <c r="BJ222" s="1052"/>
      <c r="BK222" s="1052"/>
      <c r="BL222" s="1052"/>
      <c r="BM222" s="1052"/>
      <c r="BN222" s="1054"/>
      <c r="BO222" s="1076">
        <f t="shared" si="14"/>
        <v>0</v>
      </c>
      <c r="BP222" s="1051"/>
      <c r="BQ222" s="1052"/>
      <c r="BR222" s="1054"/>
      <c r="BS222" s="1053"/>
      <c r="BT222" s="1051"/>
      <c r="BU222" s="1051"/>
      <c r="BV222" s="1051"/>
      <c r="BW222" s="1052"/>
      <c r="BX222" s="1052"/>
      <c r="BY222" s="1052"/>
      <c r="BZ222" s="1052"/>
      <c r="CA222" s="1052"/>
      <c r="CB222" s="1053"/>
      <c r="CC222" s="1053"/>
      <c r="CD222" s="1053"/>
      <c r="CE222" s="1053"/>
      <c r="CF222" s="1053"/>
      <c r="CG222" s="1053"/>
      <c r="CH222" s="1053"/>
      <c r="CI222" s="1123"/>
      <c r="CJ222" s="1123"/>
      <c r="CK222" s="1123"/>
      <c r="CL222" s="1123"/>
      <c r="CM222" s="1123"/>
      <c r="CN222" s="1123"/>
      <c r="CO222" s="1123"/>
      <c r="CP222" s="1123"/>
      <c r="CQ222" s="1123"/>
      <c r="CR222" s="1123"/>
      <c r="CS222" s="1123"/>
      <c r="CT222" s="1123"/>
      <c r="CU222" s="1123"/>
      <c r="CV222" s="1123"/>
      <c r="CW222" s="1123"/>
      <c r="CX222" s="1123"/>
      <c r="CY222" s="1123"/>
      <c r="CZ222" s="1114"/>
      <c r="DA222" s="1114"/>
      <c r="DB222" s="1114"/>
      <c r="DC222" s="1114"/>
      <c r="DD222" s="1114"/>
      <c r="DE222" s="1114"/>
      <c r="DF222" s="1114"/>
      <c r="DG222" s="1114"/>
      <c r="DH222" s="1114"/>
      <c r="DI222" s="1114"/>
      <c r="DJ222" s="1114"/>
      <c r="DK222" s="1114"/>
      <c r="DL222" s="1114"/>
      <c r="DM222" s="1114"/>
      <c r="DN222" s="1114"/>
      <c r="DO222" s="1114"/>
      <c r="DP222" s="1114"/>
      <c r="DQ222" s="1114"/>
      <c r="DR222" s="1114"/>
      <c r="DS222" s="1114"/>
      <c r="DT222" s="1114"/>
      <c r="DU222" s="1114"/>
      <c r="DV222" s="1115"/>
      <c r="DW222" s="1116"/>
      <c r="DX222" s="1116"/>
      <c r="DY222" s="1116"/>
      <c r="DZ222" s="1116"/>
      <c r="EA222" s="1116"/>
      <c r="EB222" s="1116"/>
      <c r="EC222" s="1116"/>
      <c r="ED222" s="1116"/>
      <c r="EE222" s="1116"/>
      <c r="EF222" s="1116"/>
      <c r="EG222" s="1116"/>
      <c r="EH222" s="1116"/>
      <c r="EI222" s="1116"/>
      <c r="EJ222" s="1116"/>
      <c r="EK222" s="1116"/>
      <c r="EL222" s="1116"/>
      <c r="EM222" s="1116"/>
      <c r="EN222" s="1116"/>
      <c r="EO222" s="1116"/>
      <c r="EP222" s="1116"/>
      <c r="EQ222" s="1116"/>
      <c r="ER222" s="1116"/>
      <c r="ES222" s="1116"/>
    </row>
    <row r="223" spans="1:149" ht="15" customHeight="1">
      <c r="A223" s="1799">
        <v>208</v>
      </c>
      <c r="B223" s="1041"/>
      <c r="C223" s="1050"/>
      <c r="D223" s="1050"/>
      <c r="E223" s="1050"/>
      <c r="F223" s="1049"/>
      <c r="G223" s="1457"/>
      <c r="H223" s="1049"/>
      <c r="I223" s="1049"/>
      <c r="J223" s="1050"/>
      <c r="K223" s="1050"/>
      <c r="L223" s="1043"/>
      <c r="M223" s="1051"/>
      <c r="N223" s="1051"/>
      <c r="O223" s="1052"/>
      <c r="P223" s="1051"/>
      <c r="Q223" s="1051"/>
      <c r="R223" s="1052"/>
      <c r="S223" s="1051"/>
      <c r="T223" s="1051"/>
      <c r="U223" s="1052"/>
      <c r="V223" s="1051"/>
      <c r="W223" s="1051"/>
      <c r="X223" s="1052"/>
      <c r="Y223" s="1053"/>
      <c r="Z223" s="1051"/>
      <c r="AA223" s="1051"/>
      <c r="AB223" s="1052"/>
      <c r="AC223" s="1051"/>
      <c r="AD223" s="1051"/>
      <c r="AE223" s="1052"/>
      <c r="AF223" s="1051"/>
      <c r="AG223" s="1051"/>
      <c r="AH223" s="1051"/>
      <c r="AI223" s="1051"/>
      <c r="AJ223" s="1052"/>
      <c r="AK223" s="1051"/>
      <c r="AL223" s="1051"/>
      <c r="AM223" s="1052"/>
      <c r="AN223" s="1051"/>
      <c r="AO223" s="1051"/>
      <c r="AP223" s="1052"/>
      <c r="AQ223" s="1051"/>
      <c r="AR223" s="1051"/>
      <c r="AS223" s="1052"/>
      <c r="AT223" s="1051"/>
      <c r="AU223" s="1051"/>
      <c r="AV223" s="1052"/>
      <c r="AW223" s="1051"/>
      <c r="AX223" s="1051"/>
      <c r="AY223" s="1053"/>
      <c r="AZ223" s="1051"/>
      <c r="BA223" s="1051"/>
      <c r="BB223" s="1053"/>
      <c r="BC223" s="1051"/>
      <c r="BD223" s="1051"/>
      <c r="BE223" s="1053"/>
      <c r="BF223" s="1051"/>
      <c r="BG223" s="1051"/>
      <c r="BH223" s="1053"/>
      <c r="BI223" s="1052"/>
      <c r="BJ223" s="1052"/>
      <c r="BK223" s="1052"/>
      <c r="BL223" s="1052"/>
      <c r="BM223" s="1052"/>
      <c r="BN223" s="1054"/>
      <c r="BO223" s="1076">
        <f t="shared" si="14"/>
        <v>0</v>
      </c>
      <c r="BP223" s="1051"/>
      <c r="BQ223" s="1052"/>
      <c r="BR223" s="1054"/>
      <c r="BS223" s="1053"/>
      <c r="BT223" s="1051"/>
      <c r="BU223" s="1051"/>
      <c r="BV223" s="1051"/>
      <c r="BW223" s="1052"/>
      <c r="BX223" s="1052"/>
      <c r="BY223" s="1052"/>
      <c r="BZ223" s="1052"/>
      <c r="CA223" s="1052"/>
      <c r="CB223" s="1053"/>
      <c r="CC223" s="1053"/>
      <c r="CD223" s="1053"/>
      <c r="CE223" s="1053"/>
      <c r="CF223" s="1053"/>
      <c r="CG223" s="1053"/>
      <c r="CH223" s="1053"/>
      <c r="CI223" s="1123"/>
      <c r="CJ223" s="1123"/>
      <c r="CK223" s="1123"/>
      <c r="CL223" s="1123"/>
      <c r="CM223" s="1123"/>
      <c r="CN223" s="1123"/>
      <c r="CO223" s="1123"/>
      <c r="CP223" s="1123"/>
      <c r="CQ223" s="1123"/>
      <c r="CR223" s="1123"/>
      <c r="CS223" s="1123"/>
      <c r="CT223" s="1123"/>
      <c r="CU223" s="1123"/>
      <c r="CV223" s="1123"/>
      <c r="CW223" s="1123"/>
      <c r="CX223" s="1123"/>
      <c r="CY223" s="1123"/>
      <c r="CZ223" s="1114"/>
      <c r="DA223" s="1114"/>
      <c r="DB223" s="1114"/>
      <c r="DC223" s="1114"/>
      <c r="DD223" s="1114"/>
      <c r="DE223" s="1114"/>
      <c r="DF223" s="1114"/>
      <c r="DG223" s="1114"/>
      <c r="DH223" s="1114"/>
      <c r="DI223" s="1114"/>
      <c r="DJ223" s="1114"/>
      <c r="DK223" s="1114"/>
      <c r="DL223" s="1114"/>
      <c r="DM223" s="1114"/>
      <c r="DN223" s="1114"/>
      <c r="DO223" s="1114"/>
      <c r="DP223" s="1114"/>
      <c r="DQ223" s="1114"/>
      <c r="DR223" s="1114"/>
      <c r="DS223" s="1114"/>
      <c r="DT223" s="1114"/>
      <c r="DU223" s="1114"/>
      <c r="DV223" s="1115"/>
      <c r="DW223" s="1116"/>
      <c r="DX223" s="1116"/>
      <c r="DY223" s="1116"/>
      <c r="DZ223" s="1116"/>
      <c r="EA223" s="1116"/>
      <c r="EB223" s="1116"/>
      <c r="EC223" s="1116"/>
      <c r="ED223" s="1116"/>
      <c r="EE223" s="1116"/>
      <c r="EF223" s="1116"/>
      <c r="EG223" s="1116"/>
      <c r="EH223" s="1116"/>
      <c r="EI223" s="1116"/>
      <c r="EJ223" s="1116"/>
      <c r="EK223" s="1116"/>
      <c r="EL223" s="1116"/>
      <c r="EM223" s="1116"/>
      <c r="EN223" s="1116"/>
      <c r="EO223" s="1116"/>
      <c r="EP223" s="1116"/>
      <c r="EQ223" s="1116"/>
      <c r="ER223" s="1116"/>
      <c r="ES223" s="1116"/>
    </row>
    <row r="224" spans="1:149" ht="15" customHeight="1">
      <c r="A224" s="1799">
        <v>209</v>
      </c>
      <c r="B224" s="1041"/>
      <c r="C224" s="1050"/>
      <c r="D224" s="1050"/>
      <c r="E224" s="1050"/>
      <c r="F224" s="1049"/>
      <c r="G224" s="1457"/>
      <c r="H224" s="1049"/>
      <c r="I224" s="1049"/>
      <c r="J224" s="1050"/>
      <c r="K224" s="1050"/>
      <c r="L224" s="1043"/>
      <c r="M224" s="1051"/>
      <c r="N224" s="1051"/>
      <c r="O224" s="1052"/>
      <c r="P224" s="1051"/>
      <c r="Q224" s="1051"/>
      <c r="R224" s="1052"/>
      <c r="S224" s="1051"/>
      <c r="T224" s="1051"/>
      <c r="U224" s="1052"/>
      <c r="V224" s="1051"/>
      <c r="W224" s="1051"/>
      <c r="X224" s="1052"/>
      <c r="Y224" s="1053"/>
      <c r="Z224" s="1051"/>
      <c r="AA224" s="1051"/>
      <c r="AB224" s="1052"/>
      <c r="AC224" s="1051"/>
      <c r="AD224" s="1051"/>
      <c r="AE224" s="1052"/>
      <c r="AF224" s="1051"/>
      <c r="AG224" s="1051"/>
      <c r="AH224" s="1051"/>
      <c r="AI224" s="1051"/>
      <c r="AJ224" s="1052"/>
      <c r="AK224" s="1051"/>
      <c r="AL224" s="1051"/>
      <c r="AM224" s="1052"/>
      <c r="AN224" s="1051"/>
      <c r="AO224" s="1051"/>
      <c r="AP224" s="1052"/>
      <c r="AQ224" s="1051"/>
      <c r="AR224" s="1051"/>
      <c r="AS224" s="1052"/>
      <c r="AT224" s="1051"/>
      <c r="AU224" s="1051"/>
      <c r="AV224" s="1052"/>
      <c r="AW224" s="1051"/>
      <c r="AX224" s="1051"/>
      <c r="AY224" s="1053"/>
      <c r="AZ224" s="1051"/>
      <c r="BA224" s="1051"/>
      <c r="BB224" s="1053"/>
      <c r="BC224" s="1051"/>
      <c r="BD224" s="1051"/>
      <c r="BE224" s="1053"/>
      <c r="BF224" s="1051"/>
      <c r="BG224" s="1051"/>
      <c r="BH224" s="1053"/>
      <c r="BI224" s="1052"/>
      <c r="BJ224" s="1052"/>
      <c r="BK224" s="1052"/>
      <c r="BL224" s="1052"/>
      <c r="BM224" s="1052"/>
      <c r="BN224" s="1054"/>
      <c r="BO224" s="1076">
        <f t="shared" si="14"/>
        <v>0</v>
      </c>
      <c r="BP224" s="1051"/>
      <c r="BQ224" s="1052"/>
      <c r="BR224" s="1054"/>
      <c r="BS224" s="1053"/>
      <c r="BT224" s="1051"/>
      <c r="BU224" s="1051"/>
      <c r="BV224" s="1051"/>
      <c r="BW224" s="1052"/>
      <c r="BX224" s="1052"/>
      <c r="BY224" s="1052"/>
      <c r="BZ224" s="1052"/>
      <c r="CA224" s="1052"/>
      <c r="CB224" s="1053"/>
      <c r="CC224" s="1053"/>
      <c r="CD224" s="1053"/>
      <c r="CE224" s="1053"/>
      <c r="CF224" s="1053"/>
      <c r="CG224" s="1053"/>
      <c r="CH224" s="1053"/>
      <c r="CI224" s="1123"/>
      <c r="CJ224" s="1123"/>
      <c r="CK224" s="1123"/>
      <c r="CL224" s="1123"/>
      <c r="CM224" s="1123"/>
      <c r="CN224" s="1123"/>
      <c r="CO224" s="1123"/>
      <c r="CP224" s="1123"/>
      <c r="CQ224" s="1123"/>
      <c r="CR224" s="1123"/>
      <c r="CS224" s="1123"/>
      <c r="CT224" s="1123"/>
      <c r="CU224" s="1123"/>
      <c r="CV224" s="1123"/>
      <c r="CW224" s="1123"/>
      <c r="CX224" s="1123"/>
      <c r="CY224" s="1123"/>
      <c r="CZ224" s="1114"/>
      <c r="DA224" s="1114"/>
      <c r="DB224" s="1114"/>
      <c r="DC224" s="1114"/>
      <c r="DD224" s="1114"/>
      <c r="DE224" s="1114"/>
      <c r="DF224" s="1114"/>
      <c r="DG224" s="1114"/>
      <c r="DH224" s="1114"/>
      <c r="DI224" s="1114"/>
      <c r="DJ224" s="1114"/>
      <c r="DK224" s="1114"/>
      <c r="DL224" s="1114"/>
      <c r="DM224" s="1114"/>
      <c r="DN224" s="1114"/>
      <c r="DO224" s="1114"/>
      <c r="DP224" s="1114"/>
      <c r="DQ224" s="1114"/>
      <c r="DR224" s="1114"/>
      <c r="DS224" s="1114"/>
      <c r="DT224" s="1114"/>
      <c r="DU224" s="1114"/>
      <c r="DV224" s="1115"/>
      <c r="DW224" s="1116"/>
      <c r="DX224" s="1116"/>
      <c r="DY224" s="1116"/>
      <c r="DZ224" s="1116"/>
      <c r="EA224" s="1116"/>
      <c r="EB224" s="1116"/>
      <c r="EC224" s="1116"/>
      <c r="ED224" s="1116"/>
      <c r="EE224" s="1116"/>
      <c r="EF224" s="1116"/>
      <c r="EG224" s="1116"/>
      <c r="EH224" s="1116"/>
      <c r="EI224" s="1116"/>
      <c r="EJ224" s="1116"/>
      <c r="EK224" s="1116"/>
      <c r="EL224" s="1116"/>
      <c r="EM224" s="1116"/>
      <c r="EN224" s="1116"/>
      <c r="EO224" s="1116"/>
      <c r="EP224" s="1116"/>
      <c r="EQ224" s="1116"/>
      <c r="ER224" s="1116"/>
      <c r="ES224" s="1116"/>
    </row>
    <row r="225" spans="1:149" ht="15" customHeight="1">
      <c r="A225" s="1799">
        <v>210</v>
      </c>
      <c r="B225" s="1041"/>
      <c r="C225" s="1050"/>
      <c r="D225" s="1050"/>
      <c r="E225" s="1050"/>
      <c r="F225" s="1049"/>
      <c r="G225" s="1457"/>
      <c r="H225" s="1049"/>
      <c r="I225" s="1049"/>
      <c r="J225" s="1050"/>
      <c r="K225" s="1050"/>
      <c r="L225" s="1043"/>
      <c r="M225" s="1051"/>
      <c r="N225" s="1051"/>
      <c r="O225" s="1052"/>
      <c r="P225" s="1051"/>
      <c r="Q225" s="1051"/>
      <c r="R225" s="1052"/>
      <c r="S225" s="1051"/>
      <c r="T225" s="1051"/>
      <c r="U225" s="1052"/>
      <c r="V225" s="1051"/>
      <c r="W225" s="1051"/>
      <c r="X225" s="1052"/>
      <c r="Y225" s="1053"/>
      <c r="Z225" s="1051"/>
      <c r="AA225" s="1051"/>
      <c r="AB225" s="1052"/>
      <c r="AC225" s="1051"/>
      <c r="AD225" s="1051"/>
      <c r="AE225" s="1052"/>
      <c r="AF225" s="1051"/>
      <c r="AG225" s="1051"/>
      <c r="AH225" s="1051"/>
      <c r="AI225" s="1051"/>
      <c r="AJ225" s="1052"/>
      <c r="AK225" s="1051"/>
      <c r="AL225" s="1051"/>
      <c r="AM225" s="1052"/>
      <c r="AN225" s="1051"/>
      <c r="AO225" s="1051"/>
      <c r="AP225" s="1052"/>
      <c r="AQ225" s="1051"/>
      <c r="AR225" s="1051"/>
      <c r="AS225" s="1052"/>
      <c r="AT225" s="1051"/>
      <c r="AU225" s="1051"/>
      <c r="AV225" s="1052"/>
      <c r="AW225" s="1051"/>
      <c r="AX225" s="1051"/>
      <c r="AY225" s="1053"/>
      <c r="AZ225" s="1051"/>
      <c r="BA225" s="1051"/>
      <c r="BB225" s="1053"/>
      <c r="BC225" s="1051"/>
      <c r="BD225" s="1051"/>
      <c r="BE225" s="1053"/>
      <c r="BF225" s="1051"/>
      <c r="BG225" s="1051"/>
      <c r="BH225" s="1053"/>
      <c r="BI225" s="1052"/>
      <c r="BJ225" s="1052"/>
      <c r="BK225" s="1052"/>
      <c r="BL225" s="1052"/>
      <c r="BM225" s="1052"/>
      <c r="BN225" s="1054"/>
      <c r="BO225" s="1076">
        <f t="shared" si="14"/>
        <v>0</v>
      </c>
      <c r="BP225" s="1051"/>
      <c r="BQ225" s="1052"/>
      <c r="BR225" s="1054"/>
      <c r="BS225" s="1053"/>
      <c r="BT225" s="1051"/>
      <c r="BU225" s="1051"/>
      <c r="BV225" s="1051"/>
      <c r="BW225" s="1052"/>
      <c r="BX225" s="1052"/>
      <c r="BY225" s="1052"/>
      <c r="BZ225" s="1052"/>
      <c r="CA225" s="1052"/>
      <c r="CB225" s="1053"/>
      <c r="CC225" s="1053"/>
      <c r="CD225" s="1053"/>
      <c r="CE225" s="1053"/>
      <c r="CF225" s="1053"/>
      <c r="CG225" s="1053"/>
      <c r="CH225" s="1053"/>
      <c r="CI225" s="1123"/>
      <c r="CJ225" s="1123"/>
      <c r="CK225" s="1123"/>
      <c r="CL225" s="1123"/>
      <c r="CM225" s="1123"/>
      <c r="CN225" s="1123"/>
      <c r="CO225" s="1123"/>
      <c r="CP225" s="1123"/>
      <c r="CQ225" s="1123"/>
      <c r="CR225" s="1123"/>
      <c r="CS225" s="1123"/>
      <c r="CT225" s="1123"/>
      <c r="CU225" s="1123"/>
      <c r="CV225" s="1123"/>
      <c r="CW225" s="1123"/>
      <c r="CX225" s="1123"/>
      <c r="CY225" s="1123"/>
      <c r="CZ225" s="1114"/>
      <c r="DA225" s="1114"/>
      <c r="DB225" s="1114"/>
      <c r="DC225" s="1114"/>
      <c r="DD225" s="1114"/>
      <c r="DE225" s="1114"/>
      <c r="DF225" s="1114"/>
      <c r="DG225" s="1114"/>
      <c r="DH225" s="1114"/>
      <c r="DI225" s="1114"/>
      <c r="DJ225" s="1114"/>
      <c r="DK225" s="1114"/>
      <c r="DL225" s="1114"/>
      <c r="DM225" s="1114"/>
      <c r="DN225" s="1114"/>
      <c r="DO225" s="1114"/>
      <c r="DP225" s="1114"/>
      <c r="DQ225" s="1114"/>
      <c r="DR225" s="1114"/>
      <c r="DS225" s="1114"/>
      <c r="DT225" s="1114"/>
      <c r="DU225" s="1114"/>
      <c r="DV225" s="1115"/>
      <c r="DW225" s="1116"/>
      <c r="DX225" s="1116"/>
      <c r="DY225" s="1116"/>
      <c r="DZ225" s="1116"/>
      <c r="EA225" s="1116"/>
      <c r="EB225" s="1116"/>
      <c r="EC225" s="1116"/>
      <c r="ED225" s="1116"/>
      <c r="EE225" s="1116"/>
      <c r="EF225" s="1116"/>
      <c r="EG225" s="1116"/>
      <c r="EH225" s="1116"/>
      <c r="EI225" s="1116"/>
      <c r="EJ225" s="1116"/>
      <c r="EK225" s="1116"/>
      <c r="EL225" s="1116"/>
      <c r="EM225" s="1116"/>
      <c r="EN225" s="1116"/>
      <c r="EO225" s="1116"/>
      <c r="EP225" s="1116"/>
      <c r="EQ225" s="1116"/>
      <c r="ER225" s="1116"/>
      <c r="ES225" s="1116"/>
    </row>
    <row r="226" spans="1:149" ht="15" customHeight="1">
      <c r="A226" s="1799">
        <v>211</v>
      </c>
      <c r="B226" s="1041"/>
      <c r="C226" s="1050"/>
      <c r="D226" s="1050"/>
      <c r="E226" s="1050"/>
      <c r="F226" s="1049"/>
      <c r="G226" s="1457"/>
      <c r="H226" s="1049"/>
      <c r="I226" s="1049"/>
      <c r="J226" s="1050"/>
      <c r="K226" s="1050"/>
      <c r="L226" s="1043"/>
      <c r="M226" s="1051"/>
      <c r="N226" s="1051"/>
      <c r="O226" s="1052"/>
      <c r="P226" s="1051"/>
      <c r="Q226" s="1051"/>
      <c r="R226" s="1052"/>
      <c r="S226" s="1051"/>
      <c r="T226" s="1051"/>
      <c r="U226" s="1052"/>
      <c r="V226" s="1051"/>
      <c r="W226" s="1051"/>
      <c r="X226" s="1052"/>
      <c r="Y226" s="1053"/>
      <c r="Z226" s="1051"/>
      <c r="AA226" s="1051"/>
      <c r="AB226" s="1052"/>
      <c r="AC226" s="1051"/>
      <c r="AD226" s="1051"/>
      <c r="AE226" s="1052"/>
      <c r="AF226" s="1051"/>
      <c r="AG226" s="1051"/>
      <c r="AH226" s="1051"/>
      <c r="AI226" s="1051"/>
      <c r="AJ226" s="1052"/>
      <c r="AK226" s="1051"/>
      <c r="AL226" s="1051"/>
      <c r="AM226" s="1052"/>
      <c r="AN226" s="1051"/>
      <c r="AO226" s="1051"/>
      <c r="AP226" s="1052"/>
      <c r="AQ226" s="1051"/>
      <c r="AR226" s="1051"/>
      <c r="AS226" s="1052"/>
      <c r="AT226" s="1051"/>
      <c r="AU226" s="1051"/>
      <c r="AV226" s="1052"/>
      <c r="AW226" s="1051"/>
      <c r="AX226" s="1051"/>
      <c r="AY226" s="1053"/>
      <c r="AZ226" s="1051"/>
      <c r="BA226" s="1051"/>
      <c r="BB226" s="1053"/>
      <c r="BC226" s="1051"/>
      <c r="BD226" s="1051"/>
      <c r="BE226" s="1053"/>
      <c r="BF226" s="1051"/>
      <c r="BG226" s="1051"/>
      <c r="BH226" s="1053"/>
      <c r="BI226" s="1052"/>
      <c r="BJ226" s="1052"/>
      <c r="BK226" s="1052"/>
      <c r="BL226" s="1052"/>
      <c r="BM226" s="1052"/>
      <c r="BN226" s="1054"/>
      <c r="BO226" s="1076">
        <f t="shared" si="14"/>
        <v>0</v>
      </c>
      <c r="BP226" s="1051"/>
      <c r="BQ226" s="1052"/>
      <c r="BR226" s="1054"/>
      <c r="BS226" s="1053"/>
      <c r="BT226" s="1051"/>
      <c r="BU226" s="1051"/>
      <c r="BV226" s="1051"/>
      <c r="BW226" s="1052"/>
      <c r="BX226" s="1052"/>
      <c r="BY226" s="1052"/>
      <c r="BZ226" s="1052"/>
      <c r="CA226" s="1052"/>
      <c r="CB226" s="1053"/>
      <c r="CC226" s="1053"/>
      <c r="CD226" s="1053"/>
      <c r="CE226" s="1053"/>
      <c r="CF226" s="1053"/>
      <c r="CG226" s="1053"/>
      <c r="CH226" s="1053"/>
      <c r="CI226" s="1123"/>
      <c r="CJ226" s="1123"/>
      <c r="CK226" s="1123"/>
      <c r="CL226" s="1123"/>
      <c r="CM226" s="1123"/>
      <c r="CN226" s="1123"/>
      <c r="CO226" s="1123"/>
      <c r="CP226" s="1123"/>
      <c r="CQ226" s="1123"/>
      <c r="CR226" s="1123"/>
      <c r="CS226" s="1123"/>
      <c r="CT226" s="1123"/>
      <c r="CU226" s="1123"/>
      <c r="CV226" s="1123"/>
      <c r="CW226" s="1123"/>
      <c r="CX226" s="1123"/>
      <c r="CY226" s="1123"/>
      <c r="CZ226" s="1114"/>
      <c r="DA226" s="1114"/>
      <c r="DB226" s="1114"/>
      <c r="DC226" s="1114"/>
      <c r="DD226" s="1114"/>
      <c r="DE226" s="1114"/>
      <c r="DF226" s="1114"/>
      <c r="DG226" s="1114"/>
      <c r="DH226" s="1114"/>
      <c r="DI226" s="1114"/>
      <c r="DJ226" s="1114"/>
      <c r="DK226" s="1114"/>
      <c r="DL226" s="1114"/>
      <c r="DM226" s="1114"/>
      <c r="DN226" s="1114"/>
      <c r="DO226" s="1114"/>
      <c r="DP226" s="1114"/>
      <c r="DQ226" s="1114"/>
      <c r="DR226" s="1114"/>
      <c r="DS226" s="1114"/>
      <c r="DT226" s="1114"/>
      <c r="DU226" s="1114"/>
      <c r="DV226" s="1115"/>
      <c r="DW226" s="1116"/>
      <c r="DX226" s="1116"/>
      <c r="DY226" s="1116"/>
      <c r="DZ226" s="1116"/>
      <c r="EA226" s="1116"/>
      <c r="EB226" s="1116"/>
      <c r="EC226" s="1116"/>
      <c r="ED226" s="1116"/>
      <c r="EE226" s="1116"/>
      <c r="EF226" s="1116"/>
      <c r="EG226" s="1116"/>
      <c r="EH226" s="1116"/>
      <c r="EI226" s="1116"/>
      <c r="EJ226" s="1116"/>
      <c r="EK226" s="1116"/>
      <c r="EL226" s="1116"/>
      <c r="EM226" s="1116"/>
      <c r="EN226" s="1116"/>
      <c r="EO226" s="1116"/>
      <c r="EP226" s="1116"/>
      <c r="EQ226" s="1116"/>
      <c r="ER226" s="1116"/>
      <c r="ES226" s="1116"/>
    </row>
    <row r="227" spans="1:149" ht="15" customHeight="1">
      <c r="A227" s="1799">
        <v>212</v>
      </c>
      <c r="B227" s="1041"/>
      <c r="C227" s="1050"/>
      <c r="D227" s="1050"/>
      <c r="E227" s="1050"/>
      <c r="F227" s="1049"/>
      <c r="G227" s="1457"/>
      <c r="H227" s="1049"/>
      <c r="I227" s="1049"/>
      <c r="J227" s="1050"/>
      <c r="K227" s="1050"/>
      <c r="L227" s="1043"/>
      <c r="M227" s="1051"/>
      <c r="N227" s="1051"/>
      <c r="O227" s="1052"/>
      <c r="P227" s="1051"/>
      <c r="Q227" s="1051"/>
      <c r="R227" s="1052"/>
      <c r="S227" s="1051"/>
      <c r="T227" s="1051"/>
      <c r="U227" s="1052"/>
      <c r="V227" s="1051"/>
      <c r="W227" s="1051"/>
      <c r="X227" s="1052"/>
      <c r="Y227" s="1053"/>
      <c r="Z227" s="1051"/>
      <c r="AA227" s="1051"/>
      <c r="AB227" s="1052"/>
      <c r="AC227" s="1051"/>
      <c r="AD227" s="1051"/>
      <c r="AE227" s="1052"/>
      <c r="AF227" s="1051"/>
      <c r="AG227" s="1051"/>
      <c r="AH227" s="1051"/>
      <c r="AI227" s="1051"/>
      <c r="AJ227" s="1052"/>
      <c r="AK227" s="1051"/>
      <c r="AL227" s="1051"/>
      <c r="AM227" s="1052"/>
      <c r="AN227" s="1051"/>
      <c r="AO227" s="1051"/>
      <c r="AP227" s="1052"/>
      <c r="AQ227" s="1051"/>
      <c r="AR227" s="1051"/>
      <c r="AS227" s="1052"/>
      <c r="AT227" s="1051"/>
      <c r="AU227" s="1051"/>
      <c r="AV227" s="1052"/>
      <c r="AW227" s="1051"/>
      <c r="AX227" s="1051"/>
      <c r="AY227" s="1053"/>
      <c r="AZ227" s="1051"/>
      <c r="BA227" s="1051"/>
      <c r="BB227" s="1053"/>
      <c r="BC227" s="1051"/>
      <c r="BD227" s="1051"/>
      <c r="BE227" s="1053"/>
      <c r="BF227" s="1051"/>
      <c r="BG227" s="1051"/>
      <c r="BH227" s="1053"/>
      <c r="BI227" s="1052"/>
      <c r="BJ227" s="1052"/>
      <c r="BK227" s="1052"/>
      <c r="BL227" s="1052"/>
      <c r="BM227" s="1052"/>
      <c r="BN227" s="1054"/>
      <c r="BO227" s="1076">
        <f t="shared" si="14"/>
        <v>0</v>
      </c>
      <c r="BP227" s="1051"/>
      <c r="BQ227" s="1052"/>
      <c r="BR227" s="1054"/>
      <c r="BS227" s="1053"/>
      <c r="BT227" s="1051"/>
      <c r="BU227" s="1051"/>
      <c r="BV227" s="1051"/>
      <c r="BW227" s="1052"/>
      <c r="BX227" s="1052"/>
      <c r="BY227" s="1052"/>
      <c r="BZ227" s="1052"/>
      <c r="CA227" s="1052"/>
      <c r="CB227" s="1053"/>
      <c r="CC227" s="1053"/>
      <c r="CD227" s="1053"/>
      <c r="CE227" s="1053"/>
      <c r="CF227" s="1053"/>
      <c r="CG227" s="1053"/>
      <c r="CH227" s="1053"/>
      <c r="CI227" s="1123"/>
      <c r="CJ227" s="1123"/>
      <c r="CK227" s="1123"/>
      <c r="CL227" s="1123"/>
      <c r="CM227" s="1123"/>
      <c r="CN227" s="1123"/>
      <c r="CO227" s="1123"/>
      <c r="CP227" s="1123"/>
      <c r="CQ227" s="1123"/>
      <c r="CR227" s="1123"/>
      <c r="CS227" s="1123"/>
      <c r="CT227" s="1123"/>
      <c r="CU227" s="1123"/>
      <c r="CV227" s="1123"/>
      <c r="CW227" s="1123"/>
      <c r="CX227" s="1123"/>
      <c r="CY227" s="1123"/>
      <c r="CZ227" s="1114"/>
      <c r="DA227" s="1114"/>
      <c r="DB227" s="1114"/>
      <c r="DC227" s="1114"/>
      <c r="DD227" s="1114"/>
      <c r="DE227" s="1114"/>
      <c r="DF227" s="1114"/>
      <c r="DG227" s="1114"/>
      <c r="DH227" s="1114"/>
      <c r="DI227" s="1114"/>
      <c r="DJ227" s="1114"/>
      <c r="DK227" s="1114"/>
      <c r="DL227" s="1114"/>
      <c r="DM227" s="1114"/>
      <c r="DN227" s="1114"/>
      <c r="DO227" s="1114"/>
      <c r="DP227" s="1114"/>
      <c r="DQ227" s="1114"/>
      <c r="DR227" s="1114"/>
      <c r="DS227" s="1114"/>
      <c r="DT227" s="1114"/>
      <c r="DU227" s="1114"/>
      <c r="DV227" s="1115"/>
      <c r="DW227" s="1116"/>
      <c r="DX227" s="1116"/>
      <c r="DY227" s="1116"/>
      <c r="DZ227" s="1116"/>
      <c r="EA227" s="1116"/>
      <c r="EB227" s="1116"/>
      <c r="EC227" s="1116"/>
      <c r="ED227" s="1116"/>
      <c r="EE227" s="1116"/>
      <c r="EF227" s="1116"/>
      <c r="EG227" s="1116"/>
      <c r="EH227" s="1116"/>
      <c r="EI227" s="1116"/>
      <c r="EJ227" s="1116"/>
      <c r="EK227" s="1116"/>
      <c r="EL227" s="1116"/>
      <c r="EM227" s="1116"/>
      <c r="EN227" s="1116"/>
      <c r="EO227" s="1116"/>
      <c r="EP227" s="1116"/>
      <c r="EQ227" s="1116"/>
      <c r="ER227" s="1116"/>
      <c r="ES227" s="1116"/>
    </row>
    <row r="228" spans="1:149" ht="15" customHeight="1">
      <c r="A228" s="1799">
        <v>213</v>
      </c>
      <c r="B228" s="1041"/>
      <c r="C228" s="1050"/>
      <c r="D228" s="1050"/>
      <c r="E228" s="1050"/>
      <c r="F228" s="1049"/>
      <c r="G228" s="1457"/>
      <c r="H228" s="1049"/>
      <c r="I228" s="1049"/>
      <c r="J228" s="1050"/>
      <c r="K228" s="1050"/>
      <c r="L228" s="1043"/>
      <c r="M228" s="1051"/>
      <c r="N228" s="1051"/>
      <c r="O228" s="1052"/>
      <c r="P228" s="1051"/>
      <c r="Q228" s="1051"/>
      <c r="R228" s="1052"/>
      <c r="S228" s="1051"/>
      <c r="T228" s="1051"/>
      <c r="U228" s="1052"/>
      <c r="V228" s="1051"/>
      <c r="W228" s="1051"/>
      <c r="X228" s="1052"/>
      <c r="Y228" s="1053"/>
      <c r="Z228" s="1051"/>
      <c r="AA228" s="1051"/>
      <c r="AB228" s="1052"/>
      <c r="AC228" s="1051"/>
      <c r="AD228" s="1051"/>
      <c r="AE228" s="1052"/>
      <c r="AF228" s="1051"/>
      <c r="AG228" s="1051"/>
      <c r="AH228" s="1051"/>
      <c r="AI228" s="1051"/>
      <c r="AJ228" s="1052"/>
      <c r="AK228" s="1051"/>
      <c r="AL228" s="1051"/>
      <c r="AM228" s="1052"/>
      <c r="AN228" s="1051"/>
      <c r="AO228" s="1051"/>
      <c r="AP228" s="1052"/>
      <c r="AQ228" s="1051"/>
      <c r="AR228" s="1051"/>
      <c r="AS228" s="1052"/>
      <c r="AT228" s="1051"/>
      <c r="AU228" s="1051"/>
      <c r="AV228" s="1052"/>
      <c r="AW228" s="1051"/>
      <c r="AX228" s="1051"/>
      <c r="AY228" s="1053"/>
      <c r="AZ228" s="1051"/>
      <c r="BA228" s="1051"/>
      <c r="BB228" s="1053"/>
      <c r="BC228" s="1051"/>
      <c r="BD228" s="1051"/>
      <c r="BE228" s="1053"/>
      <c r="BF228" s="1051"/>
      <c r="BG228" s="1051"/>
      <c r="BH228" s="1053"/>
      <c r="BI228" s="1052"/>
      <c r="BJ228" s="1052"/>
      <c r="BK228" s="1052"/>
      <c r="BL228" s="1052"/>
      <c r="BM228" s="1052"/>
      <c r="BN228" s="1054"/>
      <c r="BO228" s="1076">
        <f t="shared" si="14"/>
        <v>0</v>
      </c>
      <c r="BP228" s="1051"/>
      <c r="BQ228" s="1052"/>
      <c r="BR228" s="1054"/>
      <c r="BS228" s="1053"/>
      <c r="BT228" s="1051"/>
      <c r="BU228" s="1051"/>
      <c r="BV228" s="1051"/>
      <c r="BW228" s="1052"/>
      <c r="BX228" s="1052"/>
      <c r="BY228" s="1052"/>
      <c r="BZ228" s="1052"/>
      <c r="CA228" s="1052"/>
      <c r="CB228" s="1053"/>
      <c r="CC228" s="1053"/>
      <c r="CD228" s="1053"/>
      <c r="CE228" s="1053"/>
      <c r="CF228" s="1053"/>
      <c r="CG228" s="1053"/>
      <c r="CH228" s="1053"/>
      <c r="CI228" s="1123"/>
      <c r="CJ228" s="1123"/>
      <c r="CK228" s="1123"/>
      <c r="CL228" s="1123"/>
      <c r="CM228" s="1123"/>
      <c r="CN228" s="1123"/>
      <c r="CO228" s="1123"/>
      <c r="CP228" s="1123"/>
      <c r="CQ228" s="1123"/>
      <c r="CR228" s="1123"/>
      <c r="CS228" s="1123"/>
      <c r="CT228" s="1123"/>
      <c r="CU228" s="1123"/>
      <c r="CV228" s="1123"/>
      <c r="CW228" s="1123"/>
      <c r="CX228" s="1123"/>
      <c r="CY228" s="1123"/>
      <c r="CZ228" s="1114"/>
      <c r="DA228" s="1114"/>
      <c r="DB228" s="1114"/>
      <c r="DC228" s="1114"/>
      <c r="DD228" s="1114"/>
      <c r="DE228" s="1114"/>
      <c r="DF228" s="1114"/>
      <c r="DG228" s="1114"/>
      <c r="DH228" s="1114"/>
      <c r="DI228" s="1114"/>
      <c r="DJ228" s="1114"/>
      <c r="DK228" s="1114"/>
      <c r="DL228" s="1114"/>
      <c r="DM228" s="1114"/>
      <c r="DN228" s="1114"/>
      <c r="DO228" s="1114"/>
      <c r="DP228" s="1114"/>
      <c r="DQ228" s="1114"/>
      <c r="DR228" s="1114"/>
      <c r="DS228" s="1114"/>
      <c r="DT228" s="1114"/>
      <c r="DU228" s="1114"/>
      <c r="DV228" s="1115"/>
      <c r="DW228" s="1116"/>
      <c r="DX228" s="1116"/>
      <c r="DY228" s="1116"/>
      <c r="DZ228" s="1116"/>
      <c r="EA228" s="1116"/>
      <c r="EB228" s="1116"/>
      <c r="EC228" s="1116"/>
      <c r="ED228" s="1116"/>
      <c r="EE228" s="1116"/>
      <c r="EF228" s="1116"/>
      <c r="EG228" s="1116"/>
      <c r="EH228" s="1116"/>
      <c r="EI228" s="1116"/>
      <c r="EJ228" s="1116"/>
      <c r="EK228" s="1116"/>
      <c r="EL228" s="1116"/>
      <c r="EM228" s="1116"/>
      <c r="EN228" s="1116"/>
      <c r="EO228" s="1116"/>
      <c r="EP228" s="1116"/>
      <c r="EQ228" s="1116"/>
      <c r="ER228" s="1116"/>
      <c r="ES228" s="1116"/>
    </row>
    <row r="229" spans="1:149" ht="15" customHeight="1">
      <c r="A229" s="1799">
        <v>214</v>
      </c>
      <c r="B229" s="1041"/>
      <c r="C229" s="1050"/>
      <c r="D229" s="1050"/>
      <c r="E229" s="1050"/>
      <c r="F229" s="1049"/>
      <c r="G229" s="1457"/>
      <c r="H229" s="1049"/>
      <c r="I229" s="1049"/>
      <c r="J229" s="1050"/>
      <c r="K229" s="1050"/>
      <c r="L229" s="1043"/>
      <c r="M229" s="1051"/>
      <c r="N229" s="1051"/>
      <c r="O229" s="1052"/>
      <c r="P229" s="1051"/>
      <c r="Q229" s="1051"/>
      <c r="R229" s="1052"/>
      <c r="S229" s="1051"/>
      <c r="T229" s="1051"/>
      <c r="U229" s="1052"/>
      <c r="V229" s="1051"/>
      <c r="W229" s="1051"/>
      <c r="X229" s="1052"/>
      <c r="Y229" s="1053"/>
      <c r="Z229" s="1051"/>
      <c r="AA229" s="1051"/>
      <c r="AB229" s="1052"/>
      <c r="AC229" s="1051"/>
      <c r="AD229" s="1051"/>
      <c r="AE229" s="1052"/>
      <c r="AF229" s="1051"/>
      <c r="AG229" s="1051"/>
      <c r="AH229" s="1051"/>
      <c r="AI229" s="1051"/>
      <c r="AJ229" s="1052"/>
      <c r="AK229" s="1051"/>
      <c r="AL229" s="1051"/>
      <c r="AM229" s="1052"/>
      <c r="AN229" s="1051"/>
      <c r="AO229" s="1051"/>
      <c r="AP229" s="1052"/>
      <c r="AQ229" s="1051"/>
      <c r="AR229" s="1051"/>
      <c r="AS229" s="1052"/>
      <c r="AT229" s="1051"/>
      <c r="AU229" s="1051"/>
      <c r="AV229" s="1052"/>
      <c r="AW229" s="1051"/>
      <c r="AX229" s="1051"/>
      <c r="AY229" s="1053"/>
      <c r="AZ229" s="1051"/>
      <c r="BA229" s="1051"/>
      <c r="BB229" s="1053"/>
      <c r="BC229" s="1051"/>
      <c r="BD229" s="1051"/>
      <c r="BE229" s="1053"/>
      <c r="BF229" s="1051"/>
      <c r="BG229" s="1051"/>
      <c r="BH229" s="1053"/>
      <c r="BI229" s="1052"/>
      <c r="BJ229" s="1052"/>
      <c r="BK229" s="1052"/>
      <c r="BL229" s="1052"/>
      <c r="BM229" s="1052"/>
      <c r="BN229" s="1054"/>
      <c r="BO229" s="1076">
        <f t="shared" si="14"/>
        <v>0</v>
      </c>
      <c r="BP229" s="1051"/>
      <c r="BQ229" s="1052"/>
      <c r="BR229" s="1054"/>
      <c r="BS229" s="1053"/>
      <c r="BT229" s="1051"/>
      <c r="BU229" s="1051"/>
      <c r="BV229" s="1051"/>
      <c r="BW229" s="1052"/>
      <c r="BX229" s="1052"/>
      <c r="BY229" s="1052"/>
      <c r="BZ229" s="1052"/>
      <c r="CA229" s="1052"/>
      <c r="CB229" s="1053"/>
      <c r="CC229" s="1053"/>
      <c r="CD229" s="1053"/>
      <c r="CE229" s="1053"/>
      <c r="CF229" s="1053"/>
      <c r="CG229" s="1053"/>
      <c r="CH229" s="1053"/>
      <c r="CI229" s="1123"/>
      <c r="CJ229" s="1123"/>
      <c r="CK229" s="1123"/>
      <c r="CL229" s="1123"/>
      <c r="CM229" s="1123"/>
      <c r="CN229" s="1123"/>
      <c r="CO229" s="1123"/>
      <c r="CP229" s="1123"/>
      <c r="CQ229" s="1123"/>
      <c r="CR229" s="1123"/>
      <c r="CS229" s="1123"/>
      <c r="CT229" s="1123"/>
      <c r="CU229" s="1123"/>
      <c r="CV229" s="1123"/>
      <c r="CW229" s="1123"/>
      <c r="CX229" s="1123"/>
      <c r="CY229" s="1123"/>
      <c r="CZ229" s="1114"/>
      <c r="DA229" s="1114"/>
      <c r="DB229" s="1114"/>
      <c r="DC229" s="1114"/>
      <c r="DD229" s="1114"/>
      <c r="DE229" s="1114"/>
      <c r="DF229" s="1114"/>
      <c r="DG229" s="1114"/>
      <c r="DH229" s="1114"/>
      <c r="DI229" s="1114"/>
      <c r="DJ229" s="1114"/>
      <c r="DK229" s="1114"/>
      <c r="DL229" s="1114"/>
      <c r="DM229" s="1114"/>
      <c r="DN229" s="1114"/>
      <c r="DO229" s="1114"/>
      <c r="DP229" s="1114"/>
      <c r="DQ229" s="1114"/>
      <c r="DR229" s="1114"/>
      <c r="DS229" s="1114"/>
      <c r="DT229" s="1114"/>
      <c r="DU229" s="1114"/>
      <c r="DV229" s="1115"/>
      <c r="DW229" s="1116"/>
      <c r="DX229" s="1116"/>
      <c r="DY229" s="1116"/>
      <c r="DZ229" s="1116"/>
      <c r="EA229" s="1116"/>
      <c r="EB229" s="1116"/>
      <c r="EC229" s="1116"/>
      <c r="ED229" s="1116"/>
      <c r="EE229" s="1116"/>
      <c r="EF229" s="1116"/>
      <c r="EG229" s="1116"/>
      <c r="EH229" s="1116"/>
      <c r="EI229" s="1116"/>
      <c r="EJ229" s="1116"/>
      <c r="EK229" s="1116"/>
      <c r="EL229" s="1116"/>
      <c r="EM229" s="1116"/>
      <c r="EN229" s="1116"/>
      <c r="EO229" s="1116"/>
      <c r="EP229" s="1116"/>
      <c r="EQ229" s="1116"/>
      <c r="ER229" s="1116"/>
      <c r="ES229" s="1116"/>
    </row>
    <row r="230" spans="1:149" ht="15" customHeight="1">
      <c r="A230" s="1799">
        <v>215</v>
      </c>
      <c r="B230" s="1041"/>
      <c r="C230" s="1050"/>
      <c r="D230" s="1050"/>
      <c r="E230" s="1050"/>
      <c r="F230" s="1049"/>
      <c r="G230" s="1457"/>
      <c r="H230" s="1049"/>
      <c r="I230" s="1049"/>
      <c r="J230" s="1050"/>
      <c r="K230" s="1050"/>
      <c r="L230" s="1043"/>
      <c r="M230" s="1051"/>
      <c r="N230" s="1051"/>
      <c r="O230" s="1052"/>
      <c r="P230" s="1051"/>
      <c r="Q230" s="1051"/>
      <c r="R230" s="1052"/>
      <c r="S230" s="1051"/>
      <c r="T230" s="1051"/>
      <c r="U230" s="1052"/>
      <c r="V230" s="1051"/>
      <c r="W230" s="1051"/>
      <c r="X230" s="1052"/>
      <c r="Y230" s="1053"/>
      <c r="Z230" s="1051"/>
      <c r="AA230" s="1051"/>
      <c r="AB230" s="1052"/>
      <c r="AC230" s="1051"/>
      <c r="AD230" s="1051"/>
      <c r="AE230" s="1052"/>
      <c r="AF230" s="1051"/>
      <c r="AG230" s="1051"/>
      <c r="AH230" s="1051"/>
      <c r="AI230" s="1051"/>
      <c r="AJ230" s="1052"/>
      <c r="AK230" s="1051"/>
      <c r="AL230" s="1051"/>
      <c r="AM230" s="1052"/>
      <c r="AN230" s="1051"/>
      <c r="AO230" s="1051"/>
      <c r="AP230" s="1052"/>
      <c r="AQ230" s="1051"/>
      <c r="AR230" s="1051"/>
      <c r="AS230" s="1052"/>
      <c r="AT230" s="1051"/>
      <c r="AU230" s="1051"/>
      <c r="AV230" s="1052"/>
      <c r="AW230" s="1051"/>
      <c r="AX230" s="1051"/>
      <c r="AY230" s="1053"/>
      <c r="AZ230" s="1051"/>
      <c r="BA230" s="1051"/>
      <c r="BB230" s="1053"/>
      <c r="BC230" s="1051"/>
      <c r="BD230" s="1051"/>
      <c r="BE230" s="1053"/>
      <c r="BF230" s="1051"/>
      <c r="BG230" s="1051"/>
      <c r="BH230" s="1053"/>
      <c r="BI230" s="1052"/>
      <c r="BJ230" s="1052"/>
      <c r="BK230" s="1052"/>
      <c r="BL230" s="1052"/>
      <c r="BM230" s="1052"/>
      <c r="BN230" s="1054"/>
      <c r="BO230" s="1076">
        <f t="shared" si="14"/>
        <v>0</v>
      </c>
      <c r="BP230" s="1051"/>
      <c r="BQ230" s="1052"/>
      <c r="BR230" s="1054"/>
      <c r="BS230" s="1053"/>
      <c r="BT230" s="1051"/>
      <c r="BU230" s="1051"/>
      <c r="BV230" s="1051"/>
      <c r="BW230" s="1052"/>
      <c r="BX230" s="1052"/>
      <c r="BY230" s="1052"/>
      <c r="BZ230" s="1052"/>
      <c r="CA230" s="1052"/>
      <c r="CB230" s="1053"/>
      <c r="CC230" s="1053"/>
      <c r="CD230" s="1053"/>
      <c r="CE230" s="1053"/>
      <c r="CF230" s="1053"/>
      <c r="CG230" s="1053"/>
      <c r="CH230" s="1053"/>
      <c r="CI230" s="1123"/>
      <c r="CJ230" s="1123"/>
      <c r="CK230" s="1123"/>
      <c r="CL230" s="1123"/>
      <c r="CM230" s="1123"/>
      <c r="CN230" s="1123"/>
      <c r="CO230" s="1123"/>
      <c r="CP230" s="1123"/>
      <c r="CQ230" s="1123"/>
      <c r="CR230" s="1123"/>
      <c r="CS230" s="1123"/>
      <c r="CT230" s="1123"/>
      <c r="CU230" s="1123"/>
      <c r="CV230" s="1123"/>
      <c r="CW230" s="1123"/>
      <c r="CX230" s="1123"/>
      <c r="CY230" s="1123"/>
      <c r="CZ230" s="1114"/>
      <c r="DA230" s="1114"/>
      <c r="DB230" s="1114"/>
      <c r="DC230" s="1114"/>
      <c r="DD230" s="1114"/>
      <c r="DE230" s="1114"/>
      <c r="DF230" s="1114"/>
      <c r="DG230" s="1114"/>
      <c r="DH230" s="1114"/>
      <c r="DI230" s="1114"/>
      <c r="DJ230" s="1114"/>
      <c r="DK230" s="1114"/>
      <c r="DL230" s="1114"/>
      <c r="DM230" s="1114"/>
      <c r="DN230" s="1114"/>
      <c r="DO230" s="1114"/>
      <c r="DP230" s="1114"/>
      <c r="DQ230" s="1114"/>
      <c r="DR230" s="1114"/>
      <c r="DS230" s="1114"/>
      <c r="DT230" s="1114"/>
      <c r="DU230" s="1114"/>
      <c r="DV230" s="1115"/>
      <c r="DW230" s="1116"/>
      <c r="DX230" s="1116"/>
      <c r="DY230" s="1116"/>
      <c r="DZ230" s="1116"/>
      <c r="EA230" s="1116"/>
      <c r="EB230" s="1116"/>
      <c r="EC230" s="1116"/>
      <c r="ED230" s="1116"/>
      <c r="EE230" s="1116"/>
      <c r="EF230" s="1116"/>
      <c r="EG230" s="1116"/>
      <c r="EH230" s="1116"/>
      <c r="EI230" s="1116"/>
      <c r="EJ230" s="1116"/>
      <c r="EK230" s="1116"/>
      <c r="EL230" s="1116"/>
      <c r="EM230" s="1116"/>
      <c r="EN230" s="1116"/>
      <c r="EO230" s="1116"/>
      <c r="EP230" s="1116"/>
      <c r="EQ230" s="1116"/>
      <c r="ER230" s="1116"/>
      <c r="ES230" s="1116"/>
    </row>
    <row r="231" spans="1:149" ht="15" customHeight="1">
      <c r="A231" s="1799">
        <v>216</v>
      </c>
      <c r="B231" s="1041"/>
      <c r="C231" s="1050"/>
      <c r="D231" s="1050"/>
      <c r="E231" s="1050"/>
      <c r="F231" s="1049"/>
      <c r="G231" s="1457"/>
      <c r="H231" s="1049"/>
      <c r="I231" s="1049"/>
      <c r="J231" s="1050"/>
      <c r="K231" s="1050"/>
      <c r="L231" s="1043"/>
      <c r="M231" s="1051"/>
      <c r="N231" s="1051"/>
      <c r="O231" s="1052"/>
      <c r="P231" s="1051"/>
      <c r="Q231" s="1051"/>
      <c r="R231" s="1052"/>
      <c r="S231" s="1051"/>
      <c r="T231" s="1051"/>
      <c r="U231" s="1052"/>
      <c r="V231" s="1051"/>
      <c r="W231" s="1051"/>
      <c r="X231" s="1052"/>
      <c r="Y231" s="1053"/>
      <c r="Z231" s="1051"/>
      <c r="AA231" s="1051"/>
      <c r="AB231" s="1052"/>
      <c r="AC231" s="1051"/>
      <c r="AD231" s="1051"/>
      <c r="AE231" s="1052"/>
      <c r="AF231" s="1051"/>
      <c r="AG231" s="1051"/>
      <c r="AH231" s="1051"/>
      <c r="AI231" s="1051"/>
      <c r="AJ231" s="1052"/>
      <c r="AK231" s="1051"/>
      <c r="AL231" s="1051"/>
      <c r="AM231" s="1052"/>
      <c r="AN231" s="1051"/>
      <c r="AO231" s="1051"/>
      <c r="AP231" s="1052"/>
      <c r="AQ231" s="1051"/>
      <c r="AR231" s="1051"/>
      <c r="AS231" s="1052"/>
      <c r="AT231" s="1051"/>
      <c r="AU231" s="1051"/>
      <c r="AV231" s="1052"/>
      <c r="AW231" s="1051"/>
      <c r="AX231" s="1051"/>
      <c r="AY231" s="1053"/>
      <c r="AZ231" s="1051"/>
      <c r="BA231" s="1051"/>
      <c r="BB231" s="1053"/>
      <c r="BC231" s="1051"/>
      <c r="BD231" s="1051"/>
      <c r="BE231" s="1053"/>
      <c r="BF231" s="1051"/>
      <c r="BG231" s="1051"/>
      <c r="BH231" s="1053"/>
      <c r="BI231" s="1052"/>
      <c r="BJ231" s="1052"/>
      <c r="BK231" s="1052"/>
      <c r="BL231" s="1052"/>
      <c r="BM231" s="1052"/>
      <c r="BN231" s="1054"/>
      <c r="BO231" s="1076">
        <f t="shared" si="14"/>
        <v>0</v>
      </c>
      <c r="BP231" s="1051"/>
      <c r="BQ231" s="1052"/>
      <c r="BR231" s="1054"/>
      <c r="BS231" s="1053"/>
      <c r="BT231" s="1051"/>
      <c r="BU231" s="1051"/>
      <c r="BV231" s="1051"/>
      <c r="BW231" s="1052"/>
      <c r="BX231" s="1052"/>
      <c r="BY231" s="1052"/>
      <c r="BZ231" s="1052"/>
      <c r="CA231" s="1052"/>
      <c r="CB231" s="1053"/>
      <c r="CC231" s="1053"/>
      <c r="CD231" s="1053"/>
      <c r="CE231" s="1053"/>
      <c r="CF231" s="1053"/>
      <c r="CG231" s="1053"/>
      <c r="CH231" s="1053"/>
      <c r="CI231" s="1123"/>
      <c r="CJ231" s="1123"/>
      <c r="CK231" s="1123"/>
      <c r="CL231" s="1123"/>
      <c r="CM231" s="1123"/>
      <c r="CN231" s="1123"/>
      <c r="CO231" s="1123"/>
      <c r="CP231" s="1123"/>
      <c r="CQ231" s="1123"/>
      <c r="CR231" s="1123"/>
      <c r="CS231" s="1123"/>
      <c r="CT231" s="1123"/>
      <c r="CU231" s="1123"/>
      <c r="CV231" s="1123"/>
      <c r="CW231" s="1123"/>
      <c r="CX231" s="1123"/>
      <c r="CY231" s="1123"/>
      <c r="CZ231" s="1114"/>
      <c r="DA231" s="1114"/>
      <c r="DB231" s="1114"/>
      <c r="DC231" s="1114"/>
      <c r="DD231" s="1114"/>
      <c r="DE231" s="1114"/>
      <c r="DF231" s="1114"/>
      <c r="DG231" s="1114"/>
      <c r="DH231" s="1114"/>
      <c r="DI231" s="1114"/>
      <c r="DJ231" s="1114"/>
      <c r="DK231" s="1114"/>
      <c r="DL231" s="1114"/>
      <c r="DM231" s="1114"/>
      <c r="DN231" s="1114"/>
      <c r="DO231" s="1114"/>
      <c r="DP231" s="1114"/>
      <c r="DQ231" s="1114"/>
      <c r="DR231" s="1114"/>
      <c r="DS231" s="1114"/>
      <c r="DT231" s="1114"/>
      <c r="DU231" s="1114"/>
      <c r="DV231" s="1115"/>
      <c r="DW231" s="1116"/>
      <c r="DX231" s="1116"/>
      <c r="DY231" s="1116"/>
      <c r="DZ231" s="1116"/>
      <c r="EA231" s="1116"/>
      <c r="EB231" s="1116"/>
      <c r="EC231" s="1116"/>
      <c r="ED231" s="1116"/>
      <c r="EE231" s="1116"/>
      <c r="EF231" s="1116"/>
      <c r="EG231" s="1116"/>
      <c r="EH231" s="1116"/>
      <c r="EI231" s="1116"/>
      <c r="EJ231" s="1116"/>
      <c r="EK231" s="1116"/>
      <c r="EL231" s="1116"/>
      <c r="EM231" s="1116"/>
      <c r="EN231" s="1116"/>
      <c r="EO231" s="1116"/>
      <c r="EP231" s="1116"/>
      <c r="EQ231" s="1116"/>
      <c r="ER231" s="1116"/>
      <c r="ES231" s="1116"/>
    </row>
    <row r="232" spans="1:149" ht="15" customHeight="1">
      <c r="A232" s="1799">
        <v>217</v>
      </c>
      <c r="B232" s="1041"/>
      <c r="C232" s="1050"/>
      <c r="D232" s="1050"/>
      <c r="E232" s="1050"/>
      <c r="F232" s="1049"/>
      <c r="G232" s="1457"/>
      <c r="H232" s="1049"/>
      <c r="I232" s="1049"/>
      <c r="J232" s="1050"/>
      <c r="K232" s="1050"/>
      <c r="L232" s="1043"/>
      <c r="M232" s="1051"/>
      <c r="N232" s="1051"/>
      <c r="O232" s="1052"/>
      <c r="P232" s="1051"/>
      <c r="Q232" s="1051"/>
      <c r="R232" s="1052"/>
      <c r="S232" s="1051"/>
      <c r="T232" s="1051"/>
      <c r="U232" s="1052"/>
      <c r="V232" s="1051"/>
      <c r="W232" s="1051"/>
      <c r="X232" s="1052"/>
      <c r="Y232" s="1053"/>
      <c r="Z232" s="1051"/>
      <c r="AA232" s="1051"/>
      <c r="AB232" s="1052"/>
      <c r="AC232" s="1051"/>
      <c r="AD232" s="1051"/>
      <c r="AE232" s="1052"/>
      <c r="AF232" s="1051"/>
      <c r="AG232" s="1051"/>
      <c r="AH232" s="1051"/>
      <c r="AI232" s="1051"/>
      <c r="AJ232" s="1052"/>
      <c r="AK232" s="1051"/>
      <c r="AL232" s="1051"/>
      <c r="AM232" s="1052"/>
      <c r="AN232" s="1051"/>
      <c r="AO232" s="1051"/>
      <c r="AP232" s="1052"/>
      <c r="AQ232" s="1051"/>
      <c r="AR232" s="1051"/>
      <c r="AS232" s="1052"/>
      <c r="AT232" s="1051"/>
      <c r="AU232" s="1051"/>
      <c r="AV232" s="1052"/>
      <c r="AW232" s="1051"/>
      <c r="AX232" s="1051"/>
      <c r="AY232" s="1053"/>
      <c r="AZ232" s="1051"/>
      <c r="BA232" s="1051"/>
      <c r="BB232" s="1053"/>
      <c r="BC232" s="1051"/>
      <c r="BD232" s="1051"/>
      <c r="BE232" s="1053"/>
      <c r="BF232" s="1051"/>
      <c r="BG232" s="1051"/>
      <c r="BH232" s="1053"/>
      <c r="BI232" s="1052"/>
      <c r="BJ232" s="1052"/>
      <c r="BK232" s="1052"/>
      <c r="BL232" s="1052"/>
      <c r="BM232" s="1052"/>
      <c r="BN232" s="1054"/>
      <c r="BO232" s="1076">
        <f t="shared" si="14"/>
        <v>0</v>
      </c>
      <c r="BP232" s="1051"/>
      <c r="BQ232" s="1052"/>
      <c r="BR232" s="1054"/>
      <c r="BS232" s="1053"/>
      <c r="BT232" s="1051"/>
      <c r="BU232" s="1051"/>
      <c r="BV232" s="1051"/>
      <c r="BW232" s="1052"/>
      <c r="BX232" s="1052"/>
      <c r="BY232" s="1052"/>
      <c r="BZ232" s="1052"/>
      <c r="CA232" s="1052"/>
      <c r="CB232" s="1053"/>
      <c r="CC232" s="1053"/>
      <c r="CD232" s="1053"/>
      <c r="CE232" s="1053"/>
      <c r="CF232" s="1053"/>
      <c r="CG232" s="1053"/>
      <c r="CH232" s="1053"/>
      <c r="CI232" s="1123"/>
      <c r="CJ232" s="1123"/>
      <c r="CK232" s="1123"/>
      <c r="CL232" s="1123"/>
      <c r="CM232" s="1123"/>
      <c r="CN232" s="1123"/>
      <c r="CO232" s="1123"/>
      <c r="CP232" s="1123"/>
      <c r="CQ232" s="1123"/>
      <c r="CR232" s="1123"/>
      <c r="CS232" s="1123"/>
      <c r="CT232" s="1123"/>
      <c r="CU232" s="1123"/>
      <c r="CV232" s="1123"/>
      <c r="CW232" s="1123"/>
      <c r="CX232" s="1123"/>
      <c r="CY232" s="1123"/>
      <c r="CZ232" s="1114"/>
      <c r="DA232" s="1114"/>
      <c r="DB232" s="1114"/>
      <c r="DC232" s="1114"/>
      <c r="DD232" s="1114"/>
      <c r="DE232" s="1114"/>
      <c r="DF232" s="1114"/>
      <c r="DG232" s="1114"/>
      <c r="DH232" s="1114"/>
      <c r="DI232" s="1114"/>
      <c r="DJ232" s="1114"/>
      <c r="DK232" s="1114"/>
      <c r="DL232" s="1114"/>
      <c r="DM232" s="1114"/>
      <c r="DN232" s="1114"/>
      <c r="DO232" s="1114"/>
      <c r="DP232" s="1114"/>
      <c r="DQ232" s="1114"/>
      <c r="DR232" s="1114"/>
      <c r="DS232" s="1114"/>
      <c r="DT232" s="1114"/>
      <c r="DU232" s="1114"/>
      <c r="DV232" s="1115"/>
      <c r="DW232" s="1116"/>
      <c r="DX232" s="1116"/>
      <c r="DY232" s="1116"/>
      <c r="DZ232" s="1116"/>
      <c r="EA232" s="1116"/>
      <c r="EB232" s="1116"/>
      <c r="EC232" s="1116"/>
      <c r="ED232" s="1116"/>
      <c r="EE232" s="1116"/>
      <c r="EF232" s="1116"/>
      <c r="EG232" s="1116"/>
      <c r="EH232" s="1116"/>
      <c r="EI232" s="1116"/>
      <c r="EJ232" s="1116"/>
      <c r="EK232" s="1116"/>
      <c r="EL232" s="1116"/>
      <c r="EM232" s="1116"/>
      <c r="EN232" s="1116"/>
      <c r="EO232" s="1116"/>
      <c r="EP232" s="1116"/>
      <c r="EQ232" s="1116"/>
      <c r="ER232" s="1116"/>
      <c r="ES232" s="1116"/>
    </row>
    <row r="233" spans="1:149" ht="15" customHeight="1">
      <c r="A233" s="1799">
        <v>218</v>
      </c>
      <c r="B233" s="1041"/>
      <c r="C233" s="1050"/>
      <c r="D233" s="1050"/>
      <c r="E233" s="1050"/>
      <c r="F233" s="1049"/>
      <c r="G233" s="1457"/>
      <c r="H233" s="1049"/>
      <c r="I233" s="1049"/>
      <c r="J233" s="1050"/>
      <c r="K233" s="1050"/>
      <c r="L233" s="1043"/>
      <c r="M233" s="1051"/>
      <c r="N233" s="1051"/>
      <c r="O233" s="1052"/>
      <c r="P233" s="1051"/>
      <c r="Q233" s="1051"/>
      <c r="R233" s="1052"/>
      <c r="S233" s="1051"/>
      <c r="T233" s="1051"/>
      <c r="U233" s="1052"/>
      <c r="V233" s="1051"/>
      <c r="W233" s="1051"/>
      <c r="X233" s="1052"/>
      <c r="Y233" s="1053"/>
      <c r="Z233" s="1051"/>
      <c r="AA233" s="1051"/>
      <c r="AB233" s="1052"/>
      <c r="AC233" s="1051"/>
      <c r="AD233" s="1051"/>
      <c r="AE233" s="1052"/>
      <c r="AF233" s="1051"/>
      <c r="AG233" s="1051"/>
      <c r="AH233" s="1051"/>
      <c r="AI233" s="1051"/>
      <c r="AJ233" s="1052"/>
      <c r="AK233" s="1051"/>
      <c r="AL233" s="1051"/>
      <c r="AM233" s="1052"/>
      <c r="AN233" s="1051"/>
      <c r="AO233" s="1051"/>
      <c r="AP233" s="1052"/>
      <c r="AQ233" s="1051"/>
      <c r="AR233" s="1051"/>
      <c r="AS233" s="1052"/>
      <c r="AT233" s="1051"/>
      <c r="AU233" s="1051"/>
      <c r="AV233" s="1052"/>
      <c r="AW233" s="1051"/>
      <c r="AX233" s="1051"/>
      <c r="AY233" s="1053"/>
      <c r="AZ233" s="1051"/>
      <c r="BA233" s="1051"/>
      <c r="BB233" s="1053"/>
      <c r="BC233" s="1051"/>
      <c r="BD233" s="1051"/>
      <c r="BE233" s="1053"/>
      <c r="BF233" s="1051"/>
      <c r="BG233" s="1051"/>
      <c r="BH233" s="1053"/>
      <c r="BI233" s="1052"/>
      <c r="BJ233" s="1052"/>
      <c r="BK233" s="1052"/>
      <c r="BL233" s="1052"/>
      <c r="BM233" s="1052"/>
      <c r="BN233" s="1054"/>
      <c r="BO233" s="1076">
        <f t="shared" si="14"/>
        <v>0</v>
      </c>
      <c r="BP233" s="1051"/>
      <c r="BQ233" s="1052"/>
      <c r="BR233" s="1054"/>
      <c r="BS233" s="1053"/>
      <c r="BT233" s="1051"/>
      <c r="BU233" s="1051"/>
      <c r="BV233" s="1051"/>
      <c r="BW233" s="1052"/>
      <c r="BX233" s="1052"/>
      <c r="BY233" s="1052"/>
      <c r="BZ233" s="1052"/>
      <c r="CA233" s="1052"/>
      <c r="CB233" s="1053"/>
      <c r="CC233" s="1053"/>
      <c r="CD233" s="1053"/>
      <c r="CE233" s="1053"/>
      <c r="CF233" s="1053"/>
      <c r="CG233" s="1053"/>
      <c r="CH233" s="1053"/>
      <c r="CI233" s="1123"/>
      <c r="CJ233" s="1123"/>
      <c r="CK233" s="1123"/>
      <c r="CL233" s="1123"/>
      <c r="CM233" s="1123"/>
      <c r="CN233" s="1123"/>
      <c r="CO233" s="1123"/>
      <c r="CP233" s="1123"/>
      <c r="CQ233" s="1123"/>
      <c r="CR233" s="1123"/>
      <c r="CS233" s="1123"/>
      <c r="CT233" s="1123"/>
      <c r="CU233" s="1123"/>
      <c r="CV233" s="1123"/>
      <c r="CW233" s="1123"/>
      <c r="CX233" s="1123"/>
      <c r="CY233" s="1123"/>
      <c r="CZ233" s="1114"/>
      <c r="DA233" s="1114"/>
      <c r="DB233" s="1114"/>
      <c r="DC233" s="1114"/>
      <c r="DD233" s="1114"/>
      <c r="DE233" s="1114"/>
      <c r="DF233" s="1114"/>
      <c r="DG233" s="1114"/>
      <c r="DH233" s="1114"/>
      <c r="DI233" s="1114"/>
      <c r="DJ233" s="1114"/>
      <c r="DK233" s="1114"/>
      <c r="DL233" s="1114"/>
      <c r="DM233" s="1114"/>
      <c r="DN233" s="1114"/>
      <c r="DO233" s="1114"/>
      <c r="DP233" s="1114"/>
      <c r="DQ233" s="1114"/>
      <c r="DR233" s="1114"/>
      <c r="DS233" s="1114"/>
      <c r="DT233" s="1114"/>
      <c r="DU233" s="1114"/>
      <c r="DV233" s="1115"/>
      <c r="DW233" s="1116"/>
      <c r="DX233" s="1116"/>
      <c r="DY233" s="1116"/>
      <c r="DZ233" s="1116"/>
      <c r="EA233" s="1116"/>
      <c r="EB233" s="1116"/>
      <c r="EC233" s="1116"/>
      <c r="ED233" s="1116"/>
      <c r="EE233" s="1116"/>
      <c r="EF233" s="1116"/>
      <c r="EG233" s="1116"/>
      <c r="EH233" s="1116"/>
      <c r="EI233" s="1116"/>
      <c r="EJ233" s="1116"/>
      <c r="EK233" s="1116"/>
      <c r="EL233" s="1116"/>
      <c r="EM233" s="1116"/>
      <c r="EN233" s="1116"/>
      <c r="EO233" s="1116"/>
      <c r="EP233" s="1116"/>
      <c r="EQ233" s="1116"/>
      <c r="ER233" s="1116"/>
      <c r="ES233" s="1116"/>
    </row>
    <row r="234" spans="1:149" ht="15" customHeight="1">
      <c r="A234" s="1799">
        <v>219</v>
      </c>
      <c r="B234" s="1041"/>
      <c r="C234" s="1050"/>
      <c r="D234" s="1050"/>
      <c r="E234" s="1050"/>
      <c r="F234" s="1049"/>
      <c r="G234" s="1457"/>
      <c r="H234" s="1049"/>
      <c r="I234" s="1049"/>
      <c r="J234" s="1050"/>
      <c r="K234" s="1050"/>
      <c r="L234" s="1043"/>
      <c r="M234" s="1051"/>
      <c r="N234" s="1051"/>
      <c r="O234" s="1052"/>
      <c r="P234" s="1051"/>
      <c r="Q234" s="1051"/>
      <c r="R234" s="1052"/>
      <c r="S234" s="1051"/>
      <c r="T234" s="1051"/>
      <c r="U234" s="1052"/>
      <c r="V234" s="1051"/>
      <c r="W234" s="1051"/>
      <c r="X234" s="1052"/>
      <c r="Y234" s="1053"/>
      <c r="Z234" s="1051"/>
      <c r="AA234" s="1051"/>
      <c r="AB234" s="1052"/>
      <c r="AC234" s="1051"/>
      <c r="AD234" s="1051"/>
      <c r="AE234" s="1052"/>
      <c r="AF234" s="1051"/>
      <c r="AG234" s="1051"/>
      <c r="AH234" s="1051"/>
      <c r="AI234" s="1051"/>
      <c r="AJ234" s="1052"/>
      <c r="AK234" s="1051"/>
      <c r="AL234" s="1051"/>
      <c r="AM234" s="1052"/>
      <c r="AN234" s="1051"/>
      <c r="AO234" s="1051"/>
      <c r="AP234" s="1052"/>
      <c r="AQ234" s="1051"/>
      <c r="AR234" s="1051"/>
      <c r="AS234" s="1052"/>
      <c r="AT234" s="1051"/>
      <c r="AU234" s="1051"/>
      <c r="AV234" s="1052"/>
      <c r="AW234" s="1051"/>
      <c r="AX234" s="1051"/>
      <c r="AY234" s="1053"/>
      <c r="AZ234" s="1051"/>
      <c r="BA234" s="1051"/>
      <c r="BB234" s="1053"/>
      <c r="BC234" s="1051"/>
      <c r="BD234" s="1051"/>
      <c r="BE234" s="1053"/>
      <c r="BF234" s="1051"/>
      <c r="BG234" s="1051"/>
      <c r="BH234" s="1053"/>
      <c r="BI234" s="1052"/>
      <c r="BJ234" s="1052"/>
      <c r="BK234" s="1052"/>
      <c r="BL234" s="1052"/>
      <c r="BM234" s="1052"/>
      <c r="BN234" s="1054"/>
      <c r="BO234" s="1076">
        <f t="shared" si="14"/>
        <v>0</v>
      </c>
      <c r="BP234" s="1051"/>
      <c r="BQ234" s="1052"/>
      <c r="BR234" s="1054"/>
      <c r="BS234" s="1053"/>
      <c r="BT234" s="1051"/>
      <c r="BU234" s="1051"/>
      <c r="BV234" s="1051"/>
      <c r="BW234" s="1052"/>
      <c r="BX234" s="1052"/>
      <c r="BY234" s="1052"/>
      <c r="BZ234" s="1052"/>
      <c r="CA234" s="1052"/>
      <c r="CB234" s="1053"/>
      <c r="CC234" s="1053"/>
      <c r="CD234" s="1053"/>
      <c r="CE234" s="1053"/>
      <c r="CF234" s="1053"/>
      <c r="CG234" s="1053"/>
      <c r="CH234" s="1053"/>
      <c r="CI234" s="1123"/>
      <c r="CJ234" s="1123"/>
      <c r="CK234" s="1123"/>
      <c r="CL234" s="1123"/>
      <c r="CM234" s="1123"/>
      <c r="CN234" s="1123"/>
      <c r="CO234" s="1123"/>
      <c r="CP234" s="1123"/>
      <c r="CQ234" s="1123"/>
      <c r="CR234" s="1123"/>
      <c r="CS234" s="1123"/>
      <c r="CT234" s="1123"/>
      <c r="CU234" s="1123"/>
      <c r="CV234" s="1123"/>
      <c r="CW234" s="1123"/>
      <c r="CX234" s="1123"/>
      <c r="CY234" s="1123"/>
      <c r="CZ234" s="1114"/>
      <c r="DA234" s="1114"/>
      <c r="DB234" s="1114"/>
      <c r="DC234" s="1114"/>
      <c r="DD234" s="1114"/>
      <c r="DE234" s="1114"/>
      <c r="DF234" s="1114"/>
      <c r="DG234" s="1114"/>
      <c r="DH234" s="1114"/>
      <c r="DI234" s="1114"/>
      <c r="DJ234" s="1114"/>
      <c r="DK234" s="1114"/>
      <c r="DL234" s="1114"/>
      <c r="DM234" s="1114"/>
      <c r="DN234" s="1114"/>
      <c r="DO234" s="1114"/>
      <c r="DP234" s="1114"/>
      <c r="DQ234" s="1114"/>
      <c r="DR234" s="1114"/>
      <c r="DS234" s="1114"/>
      <c r="DT234" s="1114"/>
      <c r="DU234" s="1114"/>
      <c r="DV234" s="1115"/>
      <c r="DW234" s="1116"/>
      <c r="DX234" s="1116"/>
      <c r="DY234" s="1116"/>
      <c r="DZ234" s="1116"/>
      <c r="EA234" s="1116"/>
      <c r="EB234" s="1116"/>
      <c r="EC234" s="1116"/>
      <c r="ED234" s="1116"/>
      <c r="EE234" s="1116"/>
      <c r="EF234" s="1116"/>
      <c r="EG234" s="1116"/>
      <c r="EH234" s="1116"/>
      <c r="EI234" s="1116"/>
      <c r="EJ234" s="1116"/>
      <c r="EK234" s="1116"/>
      <c r="EL234" s="1116"/>
      <c r="EM234" s="1116"/>
      <c r="EN234" s="1116"/>
      <c r="EO234" s="1116"/>
      <c r="EP234" s="1116"/>
      <c r="EQ234" s="1116"/>
      <c r="ER234" s="1116"/>
      <c r="ES234" s="1116"/>
    </row>
    <row r="235" spans="1:149" ht="15" customHeight="1">
      <c r="A235" s="1799">
        <v>220</v>
      </c>
      <c r="B235" s="1041"/>
      <c r="C235" s="1050"/>
      <c r="D235" s="1050"/>
      <c r="E235" s="1050"/>
      <c r="F235" s="1049"/>
      <c r="G235" s="1457"/>
      <c r="H235" s="1049"/>
      <c r="I235" s="1049"/>
      <c r="J235" s="1050"/>
      <c r="K235" s="1050"/>
      <c r="L235" s="1043"/>
      <c r="M235" s="1051"/>
      <c r="N235" s="1051"/>
      <c r="O235" s="1052"/>
      <c r="P235" s="1051"/>
      <c r="Q235" s="1051"/>
      <c r="R235" s="1052"/>
      <c r="S235" s="1051"/>
      <c r="T235" s="1051"/>
      <c r="U235" s="1052"/>
      <c r="V235" s="1051"/>
      <c r="W235" s="1051"/>
      <c r="X235" s="1052"/>
      <c r="Y235" s="1053"/>
      <c r="Z235" s="1051"/>
      <c r="AA235" s="1051"/>
      <c r="AB235" s="1052"/>
      <c r="AC235" s="1051"/>
      <c r="AD235" s="1051"/>
      <c r="AE235" s="1052"/>
      <c r="AF235" s="1051"/>
      <c r="AG235" s="1051"/>
      <c r="AH235" s="1051"/>
      <c r="AI235" s="1051"/>
      <c r="AJ235" s="1052"/>
      <c r="AK235" s="1051"/>
      <c r="AL235" s="1051"/>
      <c r="AM235" s="1052"/>
      <c r="AN235" s="1051"/>
      <c r="AO235" s="1051"/>
      <c r="AP235" s="1052"/>
      <c r="AQ235" s="1051"/>
      <c r="AR235" s="1051"/>
      <c r="AS235" s="1052"/>
      <c r="AT235" s="1051"/>
      <c r="AU235" s="1051"/>
      <c r="AV235" s="1052"/>
      <c r="AW235" s="1051"/>
      <c r="AX235" s="1051"/>
      <c r="AY235" s="1053"/>
      <c r="AZ235" s="1051"/>
      <c r="BA235" s="1051"/>
      <c r="BB235" s="1053"/>
      <c r="BC235" s="1051"/>
      <c r="BD235" s="1051"/>
      <c r="BE235" s="1053"/>
      <c r="BF235" s="1051"/>
      <c r="BG235" s="1051"/>
      <c r="BH235" s="1053"/>
      <c r="BI235" s="1052"/>
      <c r="BJ235" s="1052"/>
      <c r="BK235" s="1052"/>
      <c r="BL235" s="1052"/>
      <c r="BM235" s="1052"/>
      <c r="BN235" s="1054"/>
      <c r="BO235" s="1076">
        <f t="shared" si="14"/>
        <v>0</v>
      </c>
      <c r="BP235" s="1051"/>
      <c r="BQ235" s="1052"/>
      <c r="BR235" s="1054"/>
      <c r="BS235" s="1053"/>
      <c r="BT235" s="1051"/>
      <c r="BU235" s="1051"/>
      <c r="BV235" s="1051"/>
      <c r="BW235" s="1052"/>
      <c r="BX235" s="1052"/>
      <c r="BY235" s="1052"/>
      <c r="BZ235" s="1052"/>
      <c r="CA235" s="1052"/>
      <c r="CB235" s="1053"/>
      <c r="CC235" s="1053"/>
      <c r="CD235" s="1053"/>
      <c r="CE235" s="1053"/>
      <c r="CF235" s="1053"/>
      <c r="CG235" s="1053"/>
      <c r="CH235" s="1053"/>
      <c r="CI235" s="1123"/>
      <c r="CJ235" s="1123"/>
      <c r="CK235" s="1123"/>
      <c r="CL235" s="1123"/>
      <c r="CM235" s="1123"/>
      <c r="CN235" s="1123"/>
      <c r="CO235" s="1123"/>
      <c r="CP235" s="1123"/>
      <c r="CQ235" s="1123"/>
      <c r="CR235" s="1123"/>
      <c r="CS235" s="1123"/>
      <c r="CT235" s="1123"/>
      <c r="CU235" s="1123"/>
      <c r="CV235" s="1123"/>
      <c r="CW235" s="1123"/>
      <c r="CX235" s="1123"/>
      <c r="CY235" s="1123"/>
      <c r="CZ235" s="1114"/>
      <c r="DA235" s="1114"/>
      <c r="DB235" s="1114"/>
      <c r="DC235" s="1114"/>
      <c r="DD235" s="1114"/>
      <c r="DE235" s="1114"/>
      <c r="DF235" s="1114"/>
      <c r="DG235" s="1114"/>
      <c r="DH235" s="1114"/>
      <c r="DI235" s="1114"/>
      <c r="DJ235" s="1114"/>
      <c r="DK235" s="1114"/>
      <c r="DL235" s="1114"/>
      <c r="DM235" s="1114"/>
      <c r="DN235" s="1114"/>
      <c r="DO235" s="1114"/>
      <c r="DP235" s="1114"/>
      <c r="DQ235" s="1114"/>
      <c r="DR235" s="1114"/>
      <c r="DS235" s="1114"/>
      <c r="DT235" s="1114"/>
      <c r="DU235" s="1114"/>
      <c r="DV235" s="1115"/>
      <c r="DW235" s="1116"/>
      <c r="DX235" s="1116"/>
      <c r="DY235" s="1116"/>
      <c r="DZ235" s="1116"/>
      <c r="EA235" s="1116"/>
      <c r="EB235" s="1116"/>
      <c r="EC235" s="1116"/>
      <c r="ED235" s="1116"/>
      <c r="EE235" s="1116"/>
      <c r="EF235" s="1116"/>
      <c r="EG235" s="1116"/>
      <c r="EH235" s="1116"/>
      <c r="EI235" s="1116"/>
      <c r="EJ235" s="1116"/>
      <c r="EK235" s="1116"/>
      <c r="EL235" s="1116"/>
      <c r="EM235" s="1116"/>
      <c r="EN235" s="1116"/>
      <c r="EO235" s="1116"/>
      <c r="EP235" s="1116"/>
      <c r="EQ235" s="1116"/>
      <c r="ER235" s="1116"/>
      <c r="ES235" s="1116"/>
    </row>
    <row r="236" spans="1:149" ht="15" customHeight="1">
      <c r="A236" s="1799">
        <v>221</v>
      </c>
      <c r="B236" s="1041"/>
      <c r="C236" s="1050"/>
      <c r="D236" s="1050"/>
      <c r="E236" s="1050"/>
      <c r="F236" s="1049"/>
      <c r="G236" s="1457"/>
      <c r="H236" s="1049"/>
      <c r="I236" s="1049"/>
      <c r="J236" s="1050"/>
      <c r="K236" s="1050"/>
      <c r="L236" s="1043"/>
      <c r="M236" s="1051"/>
      <c r="N236" s="1051"/>
      <c r="O236" s="1052"/>
      <c r="P236" s="1051"/>
      <c r="Q236" s="1051"/>
      <c r="R236" s="1052"/>
      <c r="S236" s="1051"/>
      <c r="T236" s="1051"/>
      <c r="U236" s="1052"/>
      <c r="V236" s="1051"/>
      <c r="W236" s="1051"/>
      <c r="X236" s="1052"/>
      <c r="Y236" s="1053"/>
      <c r="Z236" s="1051"/>
      <c r="AA236" s="1051"/>
      <c r="AB236" s="1052"/>
      <c r="AC236" s="1051"/>
      <c r="AD236" s="1051"/>
      <c r="AE236" s="1052"/>
      <c r="AF236" s="1051"/>
      <c r="AG236" s="1051"/>
      <c r="AH236" s="1051"/>
      <c r="AI236" s="1051"/>
      <c r="AJ236" s="1052"/>
      <c r="AK236" s="1051"/>
      <c r="AL236" s="1051"/>
      <c r="AM236" s="1052"/>
      <c r="AN236" s="1051"/>
      <c r="AO236" s="1051"/>
      <c r="AP236" s="1052"/>
      <c r="AQ236" s="1051"/>
      <c r="AR236" s="1051"/>
      <c r="AS236" s="1052"/>
      <c r="AT236" s="1051"/>
      <c r="AU236" s="1051"/>
      <c r="AV236" s="1052"/>
      <c r="AW236" s="1051"/>
      <c r="AX236" s="1051"/>
      <c r="AY236" s="1053"/>
      <c r="AZ236" s="1051"/>
      <c r="BA236" s="1051"/>
      <c r="BB236" s="1053"/>
      <c r="BC236" s="1051"/>
      <c r="BD236" s="1051"/>
      <c r="BE236" s="1053"/>
      <c r="BF236" s="1051"/>
      <c r="BG236" s="1051"/>
      <c r="BH236" s="1053"/>
      <c r="BI236" s="1052"/>
      <c r="BJ236" s="1052"/>
      <c r="BK236" s="1052"/>
      <c r="BL236" s="1052"/>
      <c r="BM236" s="1052"/>
      <c r="BN236" s="1054"/>
      <c r="BO236" s="1076">
        <f t="shared" si="14"/>
        <v>0</v>
      </c>
      <c r="BP236" s="1051"/>
      <c r="BQ236" s="1052"/>
      <c r="BR236" s="1054"/>
      <c r="BS236" s="1053"/>
      <c r="BT236" s="1051"/>
      <c r="BU236" s="1051"/>
      <c r="BV236" s="1051"/>
      <c r="BW236" s="1052"/>
      <c r="BX236" s="1052"/>
      <c r="BY236" s="1052"/>
      <c r="BZ236" s="1052"/>
      <c r="CA236" s="1052"/>
      <c r="CB236" s="1053"/>
      <c r="CC236" s="1053"/>
      <c r="CD236" s="1053"/>
      <c r="CE236" s="1053"/>
      <c r="CF236" s="1053"/>
      <c r="CG236" s="1053"/>
      <c r="CH236" s="1053"/>
      <c r="CI236" s="1123"/>
      <c r="CJ236" s="1123"/>
      <c r="CK236" s="1123"/>
      <c r="CL236" s="1123"/>
      <c r="CM236" s="1123"/>
      <c r="CN236" s="1123"/>
      <c r="CO236" s="1123"/>
      <c r="CP236" s="1123"/>
      <c r="CQ236" s="1123"/>
      <c r="CR236" s="1123"/>
      <c r="CS236" s="1123"/>
      <c r="CT236" s="1123"/>
      <c r="CU236" s="1123"/>
      <c r="CV236" s="1123"/>
      <c r="CW236" s="1123"/>
      <c r="CX236" s="1123"/>
      <c r="CY236" s="1123"/>
      <c r="CZ236" s="1114"/>
      <c r="DA236" s="1114"/>
      <c r="DB236" s="1114"/>
      <c r="DC236" s="1114"/>
      <c r="DD236" s="1114"/>
      <c r="DE236" s="1114"/>
      <c r="DF236" s="1114"/>
      <c r="DG236" s="1114"/>
      <c r="DH236" s="1114"/>
      <c r="DI236" s="1114"/>
      <c r="DJ236" s="1114"/>
      <c r="DK236" s="1114"/>
      <c r="DL236" s="1114"/>
      <c r="DM236" s="1114"/>
      <c r="DN236" s="1114"/>
      <c r="DO236" s="1114"/>
      <c r="DP236" s="1114"/>
      <c r="DQ236" s="1114"/>
      <c r="DR236" s="1114"/>
      <c r="DS236" s="1114"/>
      <c r="DT236" s="1114"/>
      <c r="DU236" s="1114"/>
      <c r="DV236" s="1115"/>
      <c r="DW236" s="1116"/>
      <c r="DX236" s="1116"/>
      <c r="DY236" s="1116"/>
      <c r="DZ236" s="1116"/>
      <c r="EA236" s="1116"/>
      <c r="EB236" s="1116"/>
      <c r="EC236" s="1116"/>
      <c r="ED236" s="1116"/>
      <c r="EE236" s="1116"/>
      <c r="EF236" s="1116"/>
      <c r="EG236" s="1116"/>
      <c r="EH236" s="1116"/>
      <c r="EI236" s="1116"/>
      <c r="EJ236" s="1116"/>
      <c r="EK236" s="1116"/>
      <c r="EL236" s="1116"/>
      <c r="EM236" s="1116"/>
      <c r="EN236" s="1116"/>
      <c r="EO236" s="1116"/>
      <c r="EP236" s="1116"/>
      <c r="EQ236" s="1116"/>
      <c r="ER236" s="1116"/>
      <c r="ES236" s="1116"/>
    </row>
    <row r="237" spans="1:149" ht="15" customHeight="1">
      <c r="A237" s="1799">
        <v>222</v>
      </c>
      <c r="B237" s="1041"/>
      <c r="C237" s="1050"/>
      <c r="D237" s="1050"/>
      <c r="E237" s="1050"/>
      <c r="F237" s="1049"/>
      <c r="G237" s="1457"/>
      <c r="H237" s="1049"/>
      <c r="I237" s="1049"/>
      <c r="J237" s="1050"/>
      <c r="K237" s="1050"/>
      <c r="L237" s="1043"/>
      <c r="M237" s="1051"/>
      <c r="N237" s="1051"/>
      <c r="O237" s="1052"/>
      <c r="P237" s="1051"/>
      <c r="Q237" s="1051"/>
      <c r="R237" s="1052"/>
      <c r="S237" s="1051"/>
      <c r="T237" s="1051"/>
      <c r="U237" s="1052"/>
      <c r="V237" s="1051"/>
      <c r="W237" s="1051"/>
      <c r="X237" s="1052"/>
      <c r="Y237" s="1053"/>
      <c r="Z237" s="1051"/>
      <c r="AA237" s="1051"/>
      <c r="AB237" s="1052"/>
      <c r="AC237" s="1051"/>
      <c r="AD237" s="1051"/>
      <c r="AE237" s="1052"/>
      <c r="AF237" s="1051"/>
      <c r="AG237" s="1051"/>
      <c r="AH237" s="1051"/>
      <c r="AI237" s="1051"/>
      <c r="AJ237" s="1052"/>
      <c r="AK237" s="1051"/>
      <c r="AL237" s="1051"/>
      <c r="AM237" s="1052"/>
      <c r="AN237" s="1051"/>
      <c r="AO237" s="1051"/>
      <c r="AP237" s="1052"/>
      <c r="AQ237" s="1051"/>
      <c r="AR237" s="1051"/>
      <c r="AS237" s="1052"/>
      <c r="AT237" s="1051"/>
      <c r="AU237" s="1051"/>
      <c r="AV237" s="1052"/>
      <c r="AW237" s="1051"/>
      <c r="AX237" s="1051"/>
      <c r="AY237" s="1053"/>
      <c r="AZ237" s="1051"/>
      <c r="BA237" s="1051"/>
      <c r="BB237" s="1053"/>
      <c r="BC237" s="1051"/>
      <c r="BD237" s="1051"/>
      <c r="BE237" s="1053"/>
      <c r="BF237" s="1051"/>
      <c r="BG237" s="1051"/>
      <c r="BH237" s="1053"/>
      <c r="BI237" s="1052"/>
      <c r="BJ237" s="1052"/>
      <c r="BK237" s="1052"/>
      <c r="BL237" s="1052"/>
      <c r="BM237" s="1052"/>
      <c r="BN237" s="1054"/>
      <c r="BO237" s="1076">
        <f t="shared" si="14"/>
        <v>0</v>
      </c>
      <c r="BP237" s="1051"/>
      <c r="BQ237" s="1052"/>
      <c r="BR237" s="1054"/>
      <c r="BS237" s="1053"/>
      <c r="BT237" s="1051"/>
      <c r="BU237" s="1051"/>
      <c r="BV237" s="1051"/>
      <c r="BW237" s="1052"/>
      <c r="BX237" s="1052"/>
      <c r="BY237" s="1052"/>
      <c r="BZ237" s="1052"/>
      <c r="CA237" s="1052"/>
      <c r="CB237" s="1053"/>
      <c r="CC237" s="1053"/>
      <c r="CD237" s="1053"/>
      <c r="CE237" s="1053"/>
      <c r="CF237" s="1053"/>
      <c r="CG237" s="1053"/>
      <c r="CH237" s="1053"/>
      <c r="CI237" s="1123"/>
      <c r="CJ237" s="1123"/>
      <c r="CK237" s="1123"/>
      <c r="CL237" s="1123"/>
      <c r="CM237" s="1123"/>
      <c r="CN237" s="1123"/>
      <c r="CO237" s="1123"/>
      <c r="CP237" s="1123"/>
      <c r="CQ237" s="1123"/>
      <c r="CR237" s="1123"/>
      <c r="CS237" s="1123"/>
      <c r="CT237" s="1123"/>
      <c r="CU237" s="1123"/>
      <c r="CV237" s="1123"/>
      <c r="CW237" s="1123"/>
      <c r="CX237" s="1123"/>
      <c r="CY237" s="1123"/>
      <c r="CZ237" s="1114"/>
      <c r="DA237" s="1114"/>
      <c r="DB237" s="1114"/>
      <c r="DC237" s="1114"/>
      <c r="DD237" s="1114"/>
      <c r="DE237" s="1114"/>
      <c r="DF237" s="1114"/>
      <c r="DG237" s="1114"/>
      <c r="DH237" s="1114"/>
      <c r="DI237" s="1114"/>
      <c r="DJ237" s="1114"/>
      <c r="DK237" s="1114"/>
      <c r="DL237" s="1114"/>
      <c r="DM237" s="1114"/>
      <c r="DN237" s="1114"/>
      <c r="DO237" s="1114"/>
      <c r="DP237" s="1114"/>
      <c r="DQ237" s="1114"/>
      <c r="DR237" s="1114"/>
      <c r="DS237" s="1114"/>
      <c r="DT237" s="1114"/>
      <c r="DU237" s="1114"/>
      <c r="DV237" s="1115"/>
      <c r="DW237" s="1116"/>
      <c r="DX237" s="1116"/>
      <c r="DY237" s="1116"/>
      <c r="DZ237" s="1116"/>
      <c r="EA237" s="1116"/>
      <c r="EB237" s="1116"/>
      <c r="EC237" s="1116"/>
      <c r="ED237" s="1116"/>
      <c r="EE237" s="1116"/>
      <c r="EF237" s="1116"/>
      <c r="EG237" s="1116"/>
      <c r="EH237" s="1116"/>
      <c r="EI237" s="1116"/>
      <c r="EJ237" s="1116"/>
      <c r="EK237" s="1116"/>
      <c r="EL237" s="1116"/>
      <c r="EM237" s="1116"/>
      <c r="EN237" s="1116"/>
      <c r="EO237" s="1116"/>
      <c r="EP237" s="1116"/>
      <c r="EQ237" s="1116"/>
      <c r="ER237" s="1116"/>
      <c r="ES237" s="1116"/>
    </row>
    <row r="238" spans="1:149" ht="15" customHeight="1">
      <c r="A238" s="1799">
        <v>223</v>
      </c>
      <c r="B238" s="1041"/>
      <c r="C238" s="1050"/>
      <c r="D238" s="1050"/>
      <c r="E238" s="1050"/>
      <c r="F238" s="1049"/>
      <c r="G238" s="1457"/>
      <c r="H238" s="1049"/>
      <c r="I238" s="1049"/>
      <c r="J238" s="1050"/>
      <c r="K238" s="1050"/>
      <c r="L238" s="1043"/>
      <c r="M238" s="1051"/>
      <c r="N238" s="1051"/>
      <c r="O238" s="1052"/>
      <c r="P238" s="1051"/>
      <c r="Q238" s="1051"/>
      <c r="R238" s="1052"/>
      <c r="S238" s="1051"/>
      <c r="T238" s="1051"/>
      <c r="U238" s="1052"/>
      <c r="V238" s="1051"/>
      <c r="W238" s="1051"/>
      <c r="X238" s="1052"/>
      <c r="Y238" s="1053"/>
      <c r="Z238" s="1051"/>
      <c r="AA238" s="1051"/>
      <c r="AB238" s="1052"/>
      <c r="AC238" s="1051"/>
      <c r="AD238" s="1051"/>
      <c r="AE238" s="1052"/>
      <c r="AF238" s="1051"/>
      <c r="AG238" s="1051"/>
      <c r="AH238" s="1051"/>
      <c r="AI238" s="1051"/>
      <c r="AJ238" s="1052"/>
      <c r="AK238" s="1051"/>
      <c r="AL238" s="1051"/>
      <c r="AM238" s="1052"/>
      <c r="AN238" s="1051"/>
      <c r="AO238" s="1051"/>
      <c r="AP238" s="1052"/>
      <c r="AQ238" s="1051"/>
      <c r="AR238" s="1051"/>
      <c r="AS238" s="1052"/>
      <c r="AT238" s="1051"/>
      <c r="AU238" s="1051"/>
      <c r="AV238" s="1052"/>
      <c r="AW238" s="1051"/>
      <c r="AX238" s="1051"/>
      <c r="AY238" s="1053"/>
      <c r="AZ238" s="1051"/>
      <c r="BA238" s="1051"/>
      <c r="BB238" s="1053"/>
      <c r="BC238" s="1051"/>
      <c r="BD238" s="1051"/>
      <c r="BE238" s="1053"/>
      <c r="BF238" s="1051"/>
      <c r="BG238" s="1051"/>
      <c r="BH238" s="1053"/>
      <c r="BI238" s="1052"/>
      <c r="BJ238" s="1052"/>
      <c r="BK238" s="1052"/>
      <c r="BL238" s="1052"/>
      <c r="BM238" s="1052"/>
      <c r="BN238" s="1054"/>
      <c r="BO238" s="1076">
        <f t="shared" si="14"/>
        <v>0</v>
      </c>
      <c r="BP238" s="1051"/>
      <c r="BQ238" s="1052"/>
      <c r="BR238" s="1054"/>
      <c r="BS238" s="1053"/>
      <c r="BT238" s="1051"/>
      <c r="BU238" s="1051"/>
      <c r="BV238" s="1051"/>
      <c r="BW238" s="1052"/>
      <c r="BX238" s="1052"/>
      <c r="BY238" s="1052"/>
      <c r="BZ238" s="1052"/>
      <c r="CA238" s="1052"/>
      <c r="CB238" s="1053"/>
      <c r="CC238" s="1053"/>
      <c r="CD238" s="1053"/>
      <c r="CE238" s="1053"/>
      <c r="CF238" s="1053"/>
      <c r="CG238" s="1053"/>
      <c r="CH238" s="1053"/>
      <c r="CI238" s="1123"/>
      <c r="CJ238" s="1123"/>
      <c r="CK238" s="1123"/>
      <c r="CL238" s="1123"/>
      <c r="CM238" s="1123"/>
      <c r="CN238" s="1123"/>
      <c r="CO238" s="1123"/>
      <c r="CP238" s="1123"/>
      <c r="CQ238" s="1123"/>
      <c r="CR238" s="1123"/>
      <c r="CS238" s="1123"/>
      <c r="CT238" s="1123"/>
      <c r="CU238" s="1123"/>
      <c r="CV238" s="1123"/>
      <c r="CW238" s="1123"/>
      <c r="CX238" s="1123"/>
      <c r="CY238" s="1123"/>
      <c r="CZ238" s="1114"/>
      <c r="DA238" s="1114"/>
      <c r="DB238" s="1114"/>
      <c r="DC238" s="1114"/>
      <c r="DD238" s="1114"/>
      <c r="DE238" s="1114"/>
      <c r="DF238" s="1114"/>
      <c r="DG238" s="1114"/>
      <c r="DH238" s="1114"/>
      <c r="DI238" s="1114"/>
      <c r="DJ238" s="1114"/>
      <c r="DK238" s="1114"/>
      <c r="DL238" s="1114"/>
      <c r="DM238" s="1114"/>
      <c r="DN238" s="1114"/>
      <c r="DO238" s="1114"/>
      <c r="DP238" s="1114"/>
      <c r="DQ238" s="1114"/>
      <c r="DR238" s="1114"/>
      <c r="DS238" s="1114"/>
      <c r="DT238" s="1114"/>
      <c r="DU238" s="1114"/>
      <c r="DV238" s="1115"/>
      <c r="DW238" s="1116"/>
      <c r="DX238" s="1116"/>
      <c r="DY238" s="1116"/>
      <c r="DZ238" s="1116"/>
      <c r="EA238" s="1116"/>
      <c r="EB238" s="1116"/>
      <c r="EC238" s="1116"/>
      <c r="ED238" s="1116"/>
      <c r="EE238" s="1116"/>
      <c r="EF238" s="1116"/>
      <c r="EG238" s="1116"/>
      <c r="EH238" s="1116"/>
      <c r="EI238" s="1116"/>
      <c r="EJ238" s="1116"/>
      <c r="EK238" s="1116"/>
      <c r="EL238" s="1116"/>
      <c r="EM238" s="1116"/>
      <c r="EN238" s="1116"/>
      <c r="EO238" s="1116"/>
      <c r="EP238" s="1116"/>
      <c r="EQ238" s="1116"/>
      <c r="ER238" s="1116"/>
      <c r="ES238" s="1116"/>
    </row>
    <row r="239" spans="1:149" ht="15" customHeight="1">
      <c r="A239" s="1799">
        <v>224</v>
      </c>
      <c r="B239" s="1041"/>
      <c r="C239" s="1050"/>
      <c r="D239" s="1050"/>
      <c r="E239" s="1050"/>
      <c r="F239" s="1049"/>
      <c r="G239" s="1457"/>
      <c r="H239" s="1049"/>
      <c r="I239" s="1049"/>
      <c r="J239" s="1050"/>
      <c r="K239" s="1050"/>
      <c r="L239" s="1043"/>
      <c r="M239" s="1051"/>
      <c r="N239" s="1051"/>
      <c r="O239" s="1052"/>
      <c r="P239" s="1051"/>
      <c r="Q239" s="1051"/>
      <c r="R239" s="1052"/>
      <c r="S239" s="1051"/>
      <c r="T239" s="1051"/>
      <c r="U239" s="1052"/>
      <c r="V239" s="1051"/>
      <c r="W239" s="1051"/>
      <c r="X239" s="1052"/>
      <c r="Y239" s="1053"/>
      <c r="Z239" s="1051"/>
      <c r="AA239" s="1051"/>
      <c r="AB239" s="1052"/>
      <c r="AC239" s="1051"/>
      <c r="AD239" s="1051"/>
      <c r="AE239" s="1052"/>
      <c r="AF239" s="1051"/>
      <c r="AG239" s="1051"/>
      <c r="AH239" s="1051"/>
      <c r="AI239" s="1051"/>
      <c r="AJ239" s="1052"/>
      <c r="AK239" s="1051"/>
      <c r="AL239" s="1051"/>
      <c r="AM239" s="1052"/>
      <c r="AN239" s="1051"/>
      <c r="AO239" s="1051"/>
      <c r="AP239" s="1052"/>
      <c r="AQ239" s="1051"/>
      <c r="AR239" s="1051"/>
      <c r="AS239" s="1052"/>
      <c r="AT239" s="1051"/>
      <c r="AU239" s="1051"/>
      <c r="AV239" s="1052"/>
      <c r="AW239" s="1051"/>
      <c r="AX239" s="1051"/>
      <c r="AY239" s="1053"/>
      <c r="AZ239" s="1051"/>
      <c r="BA239" s="1051"/>
      <c r="BB239" s="1053"/>
      <c r="BC239" s="1051"/>
      <c r="BD239" s="1051"/>
      <c r="BE239" s="1053"/>
      <c r="BF239" s="1051"/>
      <c r="BG239" s="1051"/>
      <c r="BH239" s="1053"/>
      <c r="BI239" s="1052"/>
      <c r="BJ239" s="1052"/>
      <c r="BK239" s="1052"/>
      <c r="BL239" s="1052"/>
      <c r="BM239" s="1052"/>
      <c r="BN239" s="1054"/>
      <c r="BO239" s="1076">
        <f t="shared" si="14"/>
        <v>0</v>
      </c>
      <c r="BP239" s="1051"/>
      <c r="BQ239" s="1052"/>
      <c r="BR239" s="1054"/>
      <c r="BS239" s="1053"/>
      <c r="BT239" s="1051"/>
      <c r="BU239" s="1051"/>
      <c r="BV239" s="1051"/>
      <c r="BW239" s="1052"/>
      <c r="BX239" s="1052"/>
      <c r="BY239" s="1052"/>
      <c r="BZ239" s="1052"/>
      <c r="CA239" s="1052"/>
      <c r="CB239" s="1053"/>
      <c r="CC239" s="1053"/>
      <c r="CD239" s="1053"/>
      <c r="CE239" s="1053"/>
      <c r="CF239" s="1053"/>
      <c r="CG239" s="1053"/>
      <c r="CH239" s="1053"/>
      <c r="CI239" s="1123"/>
      <c r="CJ239" s="1123"/>
      <c r="CK239" s="1123"/>
      <c r="CL239" s="1123"/>
      <c r="CM239" s="1123"/>
      <c r="CN239" s="1123"/>
      <c r="CO239" s="1123"/>
      <c r="CP239" s="1123"/>
      <c r="CQ239" s="1123"/>
      <c r="CR239" s="1123"/>
      <c r="CS239" s="1123"/>
      <c r="CT239" s="1123"/>
      <c r="CU239" s="1123"/>
      <c r="CV239" s="1123"/>
      <c r="CW239" s="1123"/>
      <c r="CX239" s="1123"/>
      <c r="CY239" s="1123"/>
      <c r="CZ239" s="1114"/>
      <c r="DA239" s="1114"/>
      <c r="DB239" s="1114"/>
      <c r="DC239" s="1114"/>
      <c r="DD239" s="1114"/>
      <c r="DE239" s="1114"/>
      <c r="DF239" s="1114"/>
      <c r="DG239" s="1114"/>
      <c r="DH239" s="1114"/>
      <c r="DI239" s="1114"/>
      <c r="DJ239" s="1114"/>
      <c r="DK239" s="1114"/>
      <c r="DL239" s="1114"/>
      <c r="DM239" s="1114"/>
      <c r="DN239" s="1114"/>
      <c r="DO239" s="1114"/>
      <c r="DP239" s="1114"/>
      <c r="DQ239" s="1114"/>
      <c r="DR239" s="1114"/>
      <c r="DS239" s="1114"/>
      <c r="DT239" s="1114"/>
      <c r="DU239" s="1114"/>
      <c r="DV239" s="1115"/>
      <c r="DW239" s="1116"/>
      <c r="DX239" s="1116"/>
      <c r="DY239" s="1116"/>
      <c r="DZ239" s="1116"/>
      <c r="EA239" s="1116"/>
      <c r="EB239" s="1116"/>
      <c r="EC239" s="1116"/>
      <c r="ED239" s="1116"/>
      <c r="EE239" s="1116"/>
      <c r="EF239" s="1116"/>
      <c r="EG239" s="1116"/>
      <c r="EH239" s="1116"/>
      <c r="EI239" s="1116"/>
      <c r="EJ239" s="1116"/>
      <c r="EK239" s="1116"/>
      <c r="EL239" s="1116"/>
      <c r="EM239" s="1116"/>
      <c r="EN239" s="1116"/>
      <c r="EO239" s="1116"/>
      <c r="EP239" s="1116"/>
      <c r="EQ239" s="1116"/>
      <c r="ER239" s="1116"/>
      <c r="ES239" s="1116"/>
    </row>
    <row r="240" spans="1:149" ht="15" customHeight="1">
      <c r="A240" s="1185">
        <v>225</v>
      </c>
      <c r="B240" s="1041"/>
      <c r="C240" s="1050"/>
      <c r="D240" s="1050"/>
      <c r="E240" s="1050"/>
      <c r="F240" s="1049"/>
      <c r="G240" s="1457"/>
      <c r="H240" s="1049"/>
      <c r="I240" s="1049"/>
      <c r="J240" s="1050"/>
      <c r="K240" s="1050"/>
      <c r="L240" s="1043"/>
      <c r="M240" s="1051"/>
      <c r="N240" s="1051"/>
      <c r="O240" s="1052"/>
      <c r="P240" s="1051"/>
      <c r="Q240" s="1051"/>
      <c r="R240" s="1052"/>
      <c r="S240" s="1051"/>
      <c r="T240" s="1051"/>
      <c r="U240" s="1052"/>
      <c r="V240" s="1051"/>
      <c r="W240" s="1051"/>
      <c r="X240" s="1052"/>
      <c r="Y240" s="1053"/>
      <c r="Z240" s="1051"/>
      <c r="AA240" s="1051"/>
      <c r="AB240" s="1052"/>
      <c r="AC240" s="1051"/>
      <c r="AD240" s="1051"/>
      <c r="AE240" s="1052"/>
      <c r="AF240" s="1051"/>
      <c r="AG240" s="1051"/>
      <c r="AH240" s="1051"/>
      <c r="AI240" s="1051"/>
      <c r="AJ240" s="1052"/>
      <c r="AK240" s="1051"/>
      <c r="AL240" s="1051"/>
      <c r="AM240" s="1052"/>
      <c r="AN240" s="1051"/>
      <c r="AO240" s="1051"/>
      <c r="AP240" s="1052"/>
      <c r="AQ240" s="1051"/>
      <c r="AR240" s="1051"/>
      <c r="AS240" s="1052"/>
      <c r="AT240" s="1051"/>
      <c r="AU240" s="1051"/>
      <c r="AV240" s="1052"/>
      <c r="AW240" s="1051"/>
      <c r="AX240" s="1051"/>
      <c r="AY240" s="1053"/>
      <c r="AZ240" s="1051"/>
      <c r="BA240" s="1051"/>
      <c r="BB240" s="1053"/>
      <c r="BC240" s="1051"/>
      <c r="BD240" s="1051"/>
      <c r="BE240" s="1053"/>
      <c r="BF240" s="1051"/>
      <c r="BG240" s="1051"/>
      <c r="BH240" s="1053"/>
      <c r="BI240" s="1052"/>
      <c r="BJ240" s="1052"/>
      <c r="BK240" s="1052"/>
      <c r="BL240" s="1052"/>
      <c r="BM240" s="1052"/>
      <c r="BN240" s="1054"/>
      <c r="BO240" s="1076">
        <f t="shared" si="14"/>
        <v>0</v>
      </c>
      <c r="BP240" s="1051"/>
      <c r="BQ240" s="1052"/>
      <c r="BR240" s="1054"/>
      <c r="BS240" s="1053"/>
      <c r="BT240" s="1051"/>
      <c r="BU240" s="1051"/>
      <c r="BV240" s="1051"/>
      <c r="BW240" s="1052"/>
      <c r="BX240" s="1052"/>
      <c r="BY240" s="1052"/>
      <c r="BZ240" s="1052"/>
      <c r="CA240" s="1052"/>
      <c r="CB240" s="1053"/>
      <c r="CC240" s="1053"/>
      <c r="CD240" s="1053"/>
      <c r="CE240" s="1053"/>
      <c r="CF240" s="1053"/>
      <c r="CG240" s="1053"/>
      <c r="CH240" s="1053"/>
      <c r="CI240" s="1123"/>
      <c r="CJ240" s="1123"/>
      <c r="CK240" s="1123"/>
      <c r="CL240" s="1123"/>
      <c r="CM240" s="1123"/>
      <c r="CN240" s="1123"/>
      <c r="CO240" s="1123"/>
      <c r="CP240" s="1123"/>
      <c r="CQ240" s="1123"/>
      <c r="CR240" s="1123"/>
      <c r="CS240" s="1123"/>
      <c r="CT240" s="1123"/>
      <c r="CU240" s="1123"/>
      <c r="CV240" s="1123"/>
      <c r="CW240" s="1123"/>
      <c r="CX240" s="1123"/>
      <c r="CY240" s="1123"/>
      <c r="CZ240" s="1114"/>
      <c r="DA240" s="1114"/>
      <c r="DB240" s="1114"/>
      <c r="DC240" s="1114"/>
      <c r="DD240" s="1114"/>
      <c r="DE240" s="1114"/>
      <c r="DF240" s="1114"/>
      <c r="DG240" s="1114"/>
      <c r="DH240" s="1114"/>
      <c r="DI240" s="1114"/>
      <c r="DJ240" s="1114"/>
      <c r="DK240" s="1114"/>
      <c r="DL240" s="1114"/>
      <c r="DM240" s="1114"/>
      <c r="DN240" s="1114"/>
      <c r="DO240" s="1114"/>
      <c r="DP240" s="1114"/>
      <c r="DQ240" s="1114"/>
      <c r="DR240" s="1114"/>
      <c r="DS240" s="1114"/>
      <c r="DT240" s="1114"/>
      <c r="DU240" s="1114"/>
      <c r="DV240" s="1115"/>
      <c r="DW240" s="1116"/>
      <c r="DX240" s="1116"/>
      <c r="DY240" s="1116"/>
      <c r="DZ240" s="1116"/>
      <c r="EA240" s="1116"/>
      <c r="EB240" s="1116"/>
      <c r="EC240" s="1116"/>
      <c r="ED240" s="1116"/>
      <c r="EE240" s="1116"/>
      <c r="EF240" s="1116"/>
      <c r="EG240" s="1116"/>
      <c r="EH240" s="1116"/>
      <c r="EI240" s="1116"/>
      <c r="EJ240" s="1116"/>
      <c r="EK240" s="1116"/>
      <c r="EL240" s="1116"/>
      <c r="EM240" s="1116"/>
      <c r="EN240" s="1116"/>
      <c r="EO240" s="1116"/>
      <c r="EP240" s="1116"/>
      <c r="EQ240" s="1116"/>
      <c r="ER240" s="1116"/>
      <c r="ES240" s="1116"/>
    </row>
    <row r="241" spans="1:149" ht="15" customHeight="1">
      <c r="A241" s="1185">
        <v>226</v>
      </c>
      <c r="B241" s="1041"/>
      <c r="C241" s="1050"/>
      <c r="D241" s="1050"/>
      <c r="E241" s="1050"/>
      <c r="F241" s="1049"/>
      <c r="G241" s="1457"/>
      <c r="H241" s="1049"/>
      <c r="I241" s="1049"/>
      <c r="J241" s="1050"/>
      <c r="K241" s="1050"/>
      <c r="L241" s="1043"/>
      <c r="M241" s="1051"/>
      <c r="N241" s="1051"/>
      <c r="O241" s="1052"/>
      <c r="P241" s="1051"/>
      <c r="Q241" s="1051"/>
      <c r="R241" s="1052"/>
      <c r="S241" s="1051"/>
      <c r="T241" s="1051"/>
      <c r="U241" s="1052"/>
      <c r="V241" s="1051"/>
      <c r="W241" s="1051"/>
      <c r="X241" s="1052"/>
      <c r="Y241" s="1053"/>
      <c r="Z241" s="1051"/>
      <c r="AA241" s="1051"/>
      <c r="AB241" s="1052"/>
      <c r="AC241" s="1051"/>
      <c r="AD241" s="1051"/>
      <c r="AE241" s="1052"/>
      <c r="AF241" s="1051"/>
      <c r="AG241" s="1051"/>
      <c r="AH241" s="1051"/>
      <c r="AI241" s="1051"/>
      <c r="AJ241" s="1052"/>
      <c r="AK241" s="1051"/>
      <c r="AL241" s="1051"/>
      <c r="AM241" s="1052"/>
      <c r="AN241" s="1051"/>
      <c r="AO241" s="1051"/>
      <c r="AP241" s="1052"/>
      <c r="AQ241" s="1051"/>
      <c r="AR241" s="1051"/>
      <c r="AS241" s="1052"/>
      <c r="AT241" s="1051"/>
      <c r="AU241" s="1051"/>
      <c r="AV241" s="1052"/>
      <c r="AW241" s="1051"/>
      <c r="AX241" s="1051"/>
      <c r="AY241" s="1053"/>
      <c r="AZ241" s="1051"/>
      <c r="BA241" s="1051"/>
      <c r="BB241" s="1053"/>
      <c r="BC241" s="1051"/>
      <c r="BD241" s="1051"/>
      <c r="BE241" s="1053"/>
      <c r="BF241" s="1051"/>
      <c r="BG241" s="1051"/>
      <c r="BH241" s="1053"/>
      <c r="BI241" s="1052"/>
      <c r="BJ241" s="1052"/>
      <c r="BK241" s="1052"/>
      <c r="BL241" s="1052"/>
      <c r="BM241" s="1052"/>
      <c r="BN241" s="1054"/>
      <c r="BO241" s="1076">
        <f t="shared" si="14"/>
        <v>0</v>
      </c>
      <c r="BP241" s="1051"/>
      <c r="BQ241" s="1052"/>
      <c r="BR241" s="1054"/>
      <c r="BS241" s="1053"/>
      <c r="BT241" s="1051"/>
      <c r="BU241" s="1051"/>
      <c r="BV241" s="1051"/>
      <c r="BW241" s="1052"/>
      <c r="BX241" s="1052"/>
      <c r="BY241" s="1052"/>
      <c r="BZ241" s="1052"/>
      <c r="CA241" s="1052"/>
      <c r="CB241" s="1053"/>
      <c r="CC241" s="1053"/>
      <c r="CD241" s="1053"/>
      <c r="CE241" s="1053"/>
      <c r="CF241" s="1053"/>
      <c r="CG241" s="1053"/>
      <c r="CH241" s="1053"/>
      <c r="CI241" s="1123"/>
      <c r="CJ241" s="1123"/>
      <c r="CK241" s="1123"/>
      <c r="CL241" s="1123"/>
      <c r="CM241" s="1123"/>
      <c r="CN241" s="1123"/>
      <c r="CO241" s="1123"/>
      <c r="CP241" s="1123"/>
      <c r="CQ241" s="1123"/>
      <c r="CR241" s="1123"/>
      <c r="CS241" s="1123"/>
      <c r="CT241" s="1123"/>
      <c r="CU241" s="1123"/>
      <c r="CV241" s="1123"/>
      <c r="CW241" s="1123"/>
      <c r="CX241" s="1123"/>
      <c r="CY241" s="1123"/>
      <c r="CZ241" s="1114"/>
      <c r="DA241" s="1114"/>
      <c r="DB241" s="1114"/>
      <c r="DC241" s="1114"/>
      <c r="DD241" s="1114"/>
      <c r="DE241" s="1114"/>
      <c r="DF241" s="1114"/>
      <c r="DG241" s="1114"/>
      <c r="DH241" s="1114"/>
      <c r="DI241" s="1114"/>
      <c r="DJ241" s="1114"/>
      <c r="DK241" s="1114"/>
      <c r="DL241" s="1114"/>
      <c r="DM241" s="1114"/>
      <c r="DN241" s="1114"/>
      <c r="DO241" s="1114"/>
      <c r="DP241" s="1114"/>
      <c r="DQ241" s="1114"/>
      <c r="DR241" s="1114"/>
      <c r="DS241" s="1114"/>
      <c r="DT241" s="1114"/>
      <c r="DU241" s="1114"/>
      <c r="DV241" s="1115"/>
      <c r="DW241" s="1116"/>
      <c r="DX241" s="1116"/>
      <c r="DY241" s="1116"/>
      <c r="DZ241" s="1116"/>
      <c r="EA241" s="1116"/>
      <c r="EB241" s="1116"/>
      <c r="EC241" s="1116"/>
      <c r="ED241" s="1116"/>
      <c r="EE241" s="1116"/>
      <c r="EF241" s="1116"/>
      <c r="EG241" s="1116"/>
      <c r="EH241" s="1116"/>
      <c r="EI241" s="1116"/>
      <c r="EJ241" s="1116"/>
      <c r="EK241" s="1116"/>
      <c r="EL241" s="1116"/>
      <c r="EM241" s="1116"/>
      <c r="EN241" s="1116"/>
      <c r="EO241" s="1116"/>
      <c r="EP241" s="1116"/>
      <c r="EQ241" s="1116"/>
      <c r="ER241" s="1116"/>
      <c r="ES241" s="1116"/>
    </row>
    <row r="242" spans="1:149" ht="15" customHeight="1">
      <c r="A242" s="1185">
        <v>227</v>
      </c>
      <c r="B242" s="1041"/>
      <c r="C242" s="1050"/>
      <c r="D242" s="1050"/>
      <c r="E242" s="1050"/>
      <c r="F242" s="1049"/>
      <c r="G242" s="1457"/>
      <c r="H242" s="1049"/>
      <c r="I242" s="1049"/>
      <c r="J242" s="1050"/>
      <c r="K242" s="1050"/>
      <c r="L242" s="1043"/>
      <c r="M242" s="1051"/>
      <c r="N242" s="1051"/>
      <c r="O242" s="1052"/>
      <c r="P242" s="1051"/>
      <c r="Q242" s="1051"/>
      <c r="R242" s="1052"/>
      <c r="S242" s="1051"/>
      <c r="T242" s="1051"/>
      <c r="U242" s="1052"/>
      <c r="V242" s="1051"/>
      <c r="W242" s="1051"/>
      <c r="X242" s="1052"/>
      <c r="Y242" s="1053"/>
      <c r="Z242" s="1051"/>
      <c r="AA242" s="1051"/>
      <c r="AB242" s="1052"/>
      <c r="AC242" s="1051"/>
      <c r="AD242" s="1051"/>
      <c r="AE242" s="1052"/>
      <c r="AF242" s="1051"/>
      <c r="AG242" s="1051"/>
      <c r="AH242" s="1051"/>
      <c r="AI242" s="1051"/>
      <c r="AJ242" s="1052"/>
      <c r="AK242" s="1051"/>
      <c r="AL242" s="1051"/>
      <c r="AM242" s="1052"/>
      <c r="AN242" s="1051"/>
      <c r="AO242" s="1051"/>
      <c r="AP242" s="1052"/>
      <c r="AQ242" s="1051"/>
      <c r="AR242" s="1051"/>
      <c r="AS242" s="1052"/>
      <c r="AT242" s="1051"/>
      <c r="AU242" s="1051"/>
      <c r="AV242" s="1052"/>
      <c r="AW242" s="1051"/>
      <c r="AX242" s="1051"/>
      <c r="AY242" s="1053"/>
      <c r="AZ242" s="1051"/>
      <c r="BA242" s="1051"/>
      <c r="BB242" s="1053"/>
      <c r="BC242" s="1051"/>
      <c r="BD242" s="1051"/>
      <c r="BE242" s="1053"/>
      <c r="BF242" s="1051"/>
      <c r="BG242" s="1051"/>
      <c r="BH242" s="1053"/>
      <c r="BI242" s="1052"/>
      <c r="BJ242" s="1052"/>
      <c r="BK242" s="1052"/>
      <c r="BL242" s="1052"/>
      <c r="BM242" s="1052"/>
      <c r="BN242" s="1054"/>
      <c r="BO242" s="1076">
        <f t="shared" si="14"/>
        <v>0</v>
      </c>
      <c r="BP242" s="1051"/>
      <c r="BQ242" s="1052"/>
      <c r="BR242" s="1054"/>
      <c r="BS242" s="1053"/>
      <c r="BT242" s="1051"/>
      <c r="BU242" s="1051"/>
      <c r="BV242" s="1051"/>
      <c r="BW242" s="1052"/>
      <c r="BX242" s="1052"/>
      <c r="BY242" s="1052"/>
      <c r="BZ242" s="1052"/>
      <c r="CA242" s="1052"/>
      <c r="CB242" s="1053"/>
      <c r="CC242" s="1053"/>
      <c r="CD242" s="1053"/>
      <c r="CE242" s="1053"/>
      <c r="CF242" s="1053"/>
      <c r="CG242" s="1053"/>
      <c r="CH242" s="1053"/>
      <c r="CI242" s="1123"/>
      <c r="CJ242" s="1123"/>
      <c r="CK242" s="1123"/>
      <c r="CL242" s="1123"/>
      <c r="CM242" s="1123"/>
      <c r="CN242" s="1123"/>
      <c r="CO242" s="1123"/>
      <c r="CP242" s="1123"/>
      <c r="CQ242" s="1123"/>
      <c r="CR242" s="1123"/>
      <c r="CS242" s="1123"/>
      <c r="CT242" s="1123"/>
      <c r="CU242" s="1123"/>
      <c r="CV242" s="1123"/>
      <c r="CW242" s="1123"/>
      <c r="CX242" s="1123"/>
      <c r="CY242" s="1123"/>
      <c r="CZ242" s="1114"/>
      <c r="DA242" s="1114"/>
      <c r="DB242" s="1114"/>
      <c r="DC242" s="1114"/>
      <c r="DD242" s="1114"/>
      <c r="DE242" s="1114"/>
      <c r="DF242" s="1114"/>
      <c r="DG242" s="1114"/>
      <c r="DH242" s="1114"/>
      <c r="DI242" s="1114"/>
      <c r="DJ242" s="1114"/>
      <c r="DK242" s="1114"/>
      <c r="DL242" s="1114"/>
      <c r="DM242" s="1114"/>
      <c r="DN242" s="1114"/>
      <c r="DO242" s="1114"/>
      <c r="DP242" s="1114"/>
      <c r="DQ242" s="1114"/>
      <c r="DR242" s="1114"/>
      <c r="DS242" s="1114"/>
      <c r="DT242" s="1114"/>
      <c r="DU242" s="1114"/>
      <c r="DV242" s="1115"/>
      <c r="DW242" s="1116"/>
      <c r="DX242" s="1116"/>
      <c r="DY242" s="1116"/>
      <c r="DZ242" s="1116"/>
      <c r="EA242" s="1116"/>
      <c r="EB242" s="1116"/>
      <c r="EC242" s="1116"/>
      <c r="ED242" s="1116"/>
      <c r="EE242" s="1116"/>
      <c r="EF242" s="1116"/>
      <c r="EG242" s="1116"/>
      <c r="EH242" s="1116"/>
      <c r="EI242" s="1116"/>
      <c r="EJ242" s="1116"/>
      <c r="EK242" s="1116"/>
      <c r="EL242" s="1116"/>
      <c r="EM242" s="1116"/>
      <c r="EN242" s="1116"/>
      <c r="EO242" s="1116"/>
      <c r="EP242" s="1116"/>
      <c r="EQ242" s="1116"/>
      <c r="ER242" s="1116"/>
      <c r="ES242" s="1116"/>
    </row>
    <row r="243" spans="1:149" ht="15" customHeight="1">
      <c r="A243" s="1185">
        <v>228</v>
      </c>
      <c r="B243" s="1041"/>
      <c r="C243" s="1050"/>
      <c r="D243" s="1050"/>
      <c r="E243" s="1050"/>
      <c r="F243" s="1049"/>
      <c r="G243" s="1457"/>
      <c r="H243" s="1049"/>
      <c r="I243" s="1049"/>
      <c r="J243" s="1050"/>
      <c r="K243" s="1050"/>
      <c r="L243" s="1043"/>
      <c r="M243" s="1051"/>
      <c r="N243" s="1051"/>
      <c r="O243" s="1052"/>
      <c r="P243" s="1051"/>
      <c r="Q243" s="1051"/>
      <c r="R243" s="1052"/>
      <c r="S243" s="1051"/>
      <c r="T243" s="1051"/>
      <c r="U243" s="1052"/>
      <c r="V243" s="1051"/>
      <c r="W243" s="1051"/>
      <c r="X243" s="1052"/>
      <c r="Y243" s="1053"/>
      <c r="Z243" s="1051"/>
      <c r="AA243" s="1051"/>
      <c r="AB243" s="1052"/>
      <c r="AC243" s="1051"/>
      <c r="AD243" s="1051"/>
      <c r="AE243" s="1052"/>
      <c r="AF243" s="1051"/>
      <c r="AG243" s="1051"/>
      <c r="AH243" s="1051"/>
      <c r="AI243" s="1051"/>
      <c r="AJ243" s="1052"/>
      <c r="AK243" s="1051"/>
      <c r="AL243" s="1051"/>
      <c r="AM243" s="1052"/>
      <c r="AN243" s="1051"/>
      <c r="AO243" s="1051"/>
      <c r="AP243" s="1052"/>
      <c r="AQ243" s="1051"/>
      <c r="AR243" s="1051"/>
      <c r="AS243" s="1052"/>
      <c r="AT243" s="1051"/>
      <c r="AU243" s="1051"/>
      <c r="AV243" s="1052"/>
      <c r="AW243" s="1051"/>
      <c r="AX243" s="1051"/>
      <c r="AY243" s="1053"/>
      <c r="AZ243" s="1051"/>
      <c r="BA243" s="1051"/>
      <c r="BB243" s="1053"/>
      <c r="BC243" s="1051"/>
      <c r="BD243" s="1051"/>
      <c r="BE243" s="1053"/>
      <c r="BF243" s="1051"/>
      <c r="BG243" s="1051"/>
      <c r="BH243" s="1053"/>
      <c r="BI243" s="1052"/>
      <c r="BJ243" s="1052"/>
      <c r="BK243" s="1052"/>
      <c r="BL243" s="1052"/>
      <c r="BM243" s="1052"/>
      <c r="BN243" s="1054"/>
      <c r="BO243" s="1076">
        <f t="shared" si="14"/>
        <v>0</v>
      </c>
      <c r="BP243" s="1051"/>
      <c r="BQ243" s="1052"/>
      <c r="BR243" s="1054"/>
      <c r="BS243" s="1053"/>
      <c r="BT243" s="1051"/>
      <c r="BU243" s="1051"/>
      <c r="BV243" s="1051"/>
      <c r="BW243" s="1052"/>
      <c r="BX243" s="1052"/>
      <c r="BY243" s="1052"/>
      <c r="BZ243" s="1052"/>
      <c r="CA243" s="1052"/>
      <c r="CB243" s="1053"/>
      <c r="CC243" s="1053"/>
      <c r="CD243" s="1053"/>
      <c r="CE243" s="1053"/>
      <c r="CF243" s="1053"/>
      <c r="CG243" s="1053"/>
      <c r="CH243" s="1053"/>
      <c r="CI243" s="1123"/>
      <c r="CJ243" s="1123"/>
      <c r="CK243" s="1123"/>
      <c r="CL243" s="1123"/>
      <c r="CM243" s="1123"/>
      <c r="CN243" s="1123"/>
      <c r="CO243" s="1123"/>
      <c r="CP243" s="1123"/>
      <c r="CQ243" s="1123"/>
      <c r="CR243" s="1123"/>
      <c r="CS243" s="1123"/>
      <c r="CT243" s="1123"/>
      <c r="CU243" s="1123"/>
      <c r="CV243" s="1123"/>
      <c r="CW243" s="1123"/>
      <c r="CX243" s="1123"/>
      <c r="CY243" s="1123"/>
      <c r="CZ243" s="1114"/>
      <c r="DA243" s="1114"/>
      <c r="DB243" s="1114"/>
      <c r="DC243" s="1114"/>
      <c r="DD243" s="1114"/>
      <c r="DE243" s="1114"/>
      <c r="DF243" s="1114"/>
      <c r="DG243" s="1114"/>
      <c r="DH243" s="1114"/>
      <c r="DI243" s="1114"/>
      <c r="DJ243" s="1114"/>
      <c r="DK243" s="1114"/>
      <c r="DL243" s="1114"/>
      <c r="DM243" s="1114"/>
      <c r="DN243" s="1114"/>
      <c r="DO243" s="1114"/>
      <c r="DP243" s="1114"/>
      <c r="DQ243" s="1114"/>
      <c r="DR243" s="1114"/>
      <c r="DS243" s="1114"/>
      <c r="DT243" s="1114"/>
      <c r="DU243" s="1114"/>
      <c r="DV243" s="1115"/>
      <c r="DW243" s="1116"/>
      <c r="DX243" s="1116"/>
      <c r="DY243" s="1116"/>
      <c r="DZ243" s="1116"/>
      <c r="EA243" s="1116"/>
      <c r="EB243" s="1116"/>
      <c r="EC243" s="1116"/>
      <c r="ED243" s="1116"/>
      <c r="EE243" s="1116"/>
      <c r="EF243" s="1116"/>
      <c r="EG243" s="1116"/>
      <c r="EH243" s="1116"/>
      <c r="EI243" s="1116"/>
      <c r="EJ243" s="1116"/>
      <c r="EK243" s="1116"/>
      <c r="EL243" s="1116"/>
      <c r="EM243" s="1116"/>
      <c r="EN243" s="1116"/>
      <c r="EO243" s="1116"/>
      <c r="EP243" s="1116"/>
      <c r="EQ243" s="1116"/>
      <c r="ER243" s="1116"/>
      <c r="ES243" s="1116"/>
    </row>
    <row r="244" spans="1:149" ht="15" customHeight="1">
      <c r="A244" s="1185">
        <v>229</v>
      </c>
      <c r="B244" s="1041"/>
      <c r="C244" s="1050"/>
      <c r="D244" s="1050"/>
      <c r="E244" s="1050"/>
      <c r="F244" s="1049"/>
      <c r="G244" s="1457"/>
      <c r="H244" s="1049"/>
      <c r="I244" s="1049"/>
      <c r="J244" s="1050"/>
      <c r="K244" s="1050"/>
      <c r="L244" s="1043"/>
      <c r="M244" s="1051"/>
      <c r="N244" s="1051"/>
      <c r="O244" s="1052"/>
      <c r="P244" s="1051"/>
      <c r="Q244" s="1051"/>
      <c r="R244" s="1052"/>
      <c r="S244" s="1051"/>
      <c r="T244" s="1051"/>
      <c r="U244" s="1052"/>
      <c r="V244" s="1051"/>
      <c r="W244" s="1051"/>
      <c r="X244" s="1052"/>
      <c r="Y244" s="1053"/>
      <c r="Z244" s="1051"/>
      <c r="AA244" s="1051"/>
      <c r="AB244" s="1052"/>
      <c r="AC244" s="1051"/>
      <c r="AD244" s="1051"/>
      <c r="AE244" s="1052"/>
      <c r="AF244" s="1051"/>
      <c r="AG244" s="1051"/>
      <c r="AH244" s="1051"/>
      <c r="AI244" s="1051"/>
      <c r="AJ244" s="1052"/>
      <c r="AK244" s="1051"/>
      <c r="AL244" s="1051"/>
      <c r="AM244" s="1052"/>
      <c r="AN244" s="1051"/>
      <c r="AO244" s="1051"/>
      <c r="AP244" s="1052"/>
      <c r="AQ244" s="1051"/>
      <c r="AR244" s="1051"/>
      <c r="AS244" s="1052"/>
      <c r="AT244" s="1051"/>
      <c r="AU244" s="1051"/>
      <c r="AV244" s="1052"/>
      <c r="AW244" s="1051"/>
      <c r="AX244" s="1051"/>
      <c r="AY244" s="1053"/>
      <c r="AZ244" s="1051"/>
      <c r="BA244" s="1051"/>
      <c r="BB244" s="1053"/>
      <c r="BC244" s="1051"/>
      <c r="BD244" s="1051"/>
      <c r="BE244" s="1053"/>
      <c r="BF244" s="1051"/>
      <c r="BG244" s="1051"/>
      <c r="BH244" s="1053"/>
      <c r="BI244" s="1052"/>
      <c r="BJ244" s="1052"/>
      <c r="BK244" s="1052"/>
      <c r="BL244" s="1052"/>
      <c r="BM244" s="1052"/>
      <c r="BN244" s="1054"/>
      <c r="BO244" s="1076">
        <f t="shared" si="14"/>
        <v>0</v>
      </c>
      <c r="BP244" s="1051"/>
      <c r="BQ244" s="1052"/>
      <c r="BR244" s="1054"/>
      <c r="BS244" s="1053"/>
      <c r="BT244" s="1051"/>
      <c r="BU244" s="1051"/>
      <c r="BV244" s="1051"/>
      <c r="BW244" s="1052"/>
      <c r="BX244" s="1052"/>
      <c r="BY244" s="1052"/>
      <c r="BZ244" s="1052"/>
      <c r="CA244" s="1052"/>
      <c r="CB244" s="1053"/>
      <c r="CC244" s="1053"/>
      <c r="CD244" s="1053"/>
      <c r="CE244" s="1053"/>
      <c r="CF244" s="1053"/>
      <c r="CG244" s="1053"/>
      <c r="CH244" s="1053"/>
      <c r="CI244" s="1123"/>
      <c r="CJ244" s="1123"/>
      <c r="CK244" s="1123"/>
      <c r="CL244" s="1123"/>
      <c r="CM244" s="1123"/>
      <c r="CN244" s="1123"/>
      <c r="CO244" s="1123"/>
      <c r="CP244" s="1123"/>
      <c r="CQ244" s="1123"/>
      <c r="CR244" s="1123"/>
      <c r="CS244" s="1123"/>
      <c r="CT244" s="1123"/>
      <c r="CU244" s="1123"/>
      <c r="CV244" s="1123"/>
      <c r="CW244" s="1123"/>
      <c r="CX244" s="1123"/>
      <c r="CY244" s="1123"/>
      <c r="CZ244" s="1114"/>
      <c r="DA244" s="1114"/>
      <c r="DB244" s="1114"/>
      <c r="DC244" s="1114"/>
      <c r="DD244" s="1114"/>
      <c r="DE244" s="1114"/>
      <c r="DF244" s="1114"/>
      <c r="DG244" s="1114"/>
      <c r="DH244" s="1114"/>
      <c r="DI244" s="1114"/>
      <c r="DJ244" s="1114"/>
      <c r="DK244" s="1114"/>
      <c r="DL244" s="1114"/>
      <c r="DM244" s="1114"/>
      <c r="DN244" s="1114"/>
      <c r="DO244" s="1114"/>
      <c r="DP244" s="1114"/>
      <c r="DQ244" s="1114"/>
      <c r="DR244" s="1114"/>
      <c r="DS244" s="1114"/>
      <c r="DT244" s="1114"/>
      <c r="DU244" s="1114"/>
      <c r="DV244" s="1115"/>
      <c r="DW244" s="1116"/>
      <c r="DX244" s="1116"/>
      <c r="DY244" s="1116"/>
      <c r="DZ244" s="1116"/>
      <c r="EA244" s="1116"/>
      <c r="EB244" s="1116"/>
      <c r="EC244" s="1116"/>
      <c r="ED244" s="1116"/>
      <c r="EE244" s="1116"/>
      <c r="EF244" s="1116"/>
      <c r="EG244" s="1116"/>
      <c r="EH244" s="1116"/>
      <c r="EI244" s="1116"/>
      <c r="EJ244" s="1116"/>
      <c r="EK244" s="1116"/>
      <c r="EL244" s="1116"/>
      <c r="EM244" s="1116"/>
      <c r="EN244" s="1116"/>
      <c r="EO244" s="1116"/>
      <c r="EP244" s="1116"/>
      <c r="EQ244" s="1116"/>
      <c r="ER244" s="1116"/>
      <c r="ES244" s="1116"/>
    </row>
    <row r="245" spans="1:149" ht="15" customHeight="1">
      <c r="A245" s="1185">
        <v>230</v>
      </c>
      <c r="B245" s="1041"/>
      <c r="C245" s="1050"/>
      <c r="D245" s="1050"/>
      <c r="E245" s="1050"/>
      <c r="F245" s="1049"/>
      <c r="G245" s="1457"/>
      <c r="H245" s="1049"/>
      <c r="I245" s="1049"/>
      <c r="J245" s="1050"/>
      <c r="K245" s="1050"/>
      <c r="L245" s="1043"/>
      <c r="M245" s="1051"/>
      <c r="N245" s="1051"/>
      <c r="O245" s="1052"/>
      <c r="P245" s="1051"/>
      <c r="Q245" s="1051"/>
      <c r="R245" s="1052"/>
      <c r="S245" s="1051"/>
      <c r="T245" s="1051"/>
      <c r="U245" s="1052"/>
      <c r="V245" s="1051"/>
      <c r="W245" s="1051"/>
      <c r="X245" s="1052"/>
      <c r="Y245" s="1053"/>
      <c r="Z245" s="1051"/>
      <c r="AA245" s="1051"/>
      <c r="AB245" s="1052"/>
      <c r="AC245" s="1051"/>
      <c r="AD245" s="1051"/>
      <c r="AE245" s="1052"/>
      <c r="AF245" s="1051"/>
      <c r="AG245" s="1051"/>
      <c r="AH245" s="1051"/>
      <c r="AI245" s="1051"/>
      <c r="AJ245" s="1052"/>
      <c r="AK245" s="1051"/>
      <c r="AL245" s="1051"/>
      <c r="AM245" s="1052"/>
      <c r="AN245" s="1051"/>
      <c r="AO245" s="1051"/>
      <c r="AP245" s="1052"/>
      <c r="AQ245" s="1051"/>
      <c r="AR245" s="1051"/>
      <c r="AS245" s="1052"/>
      <c r="AT245" s="1051"/>
      <c r="AU245" s="1051"/>
      <c r="AV245" s="1052"/>
      <c r="AW245" s="1051"/>
      <c r="AX245" s="1051"/>
      <c r="AY245" s="1053"/>
      <c r="AZ245" s="1051"/>
      <c r="BA245" s="1051"/>
      <c r="BB245" s="1053"/>
      <c r="BC245" s="1051"/>
      <c r="BD245" s="1051"/>
      <c r="BE245" s="1053"/>
      <c r="BF245" s="1051"/>
      <c r="BG245" s="1051"/>
      <c r="BH245" s="1053"/>
      <c r="BI245" s="1052"/>
      <c r="BJ245" s="1052"/>
      <c r="BK245" s="1052"/>
      <c r="BL245" s="1052"/>
      <c r="BM245" s="1052"/>
      <c r="BN245" s="1054"/>
      <c r="BO245" s="1076">
        <f t="shared" si="14"/>
        <v>0</v>
      </c>
      <c r="BP245" s="1051"/>
      <c r="BQ245" s="1052"/>
      <c r="BR245" s="1054"/>
      <c r="BS245" s="1053"/>
      <c r="BT245" s="1051"/>
      <c r="BU245" s="1051"/>
      <c r="BV245" s="1051"/>
      <c r="BW245" s="1052"/>
      <c r="BX245" s="1052"/>
      <c r="BY245" s="1052"/>
      <c r="BZ245" s="1052"/>
      <c r="CA245" s="1052"/>
      <c r="CB245" s="1053"/>
      <c r="CC245" s="1053"/>
      <c r="CD245" s="1053"/>
      <c r="CE245" s="1053"/>
      <c r="CF245" s="1053"/>
      <c r="CG245" s="1053"/>
      <c r="CH245" s="1053"/>
      <c r="CI245" s="1123"/>
      <c r="CJ245" s="1123"/>
      <c r="CK245" s="1123"/>
      <c r="CL245" s="1123"/>
      <c r="CM245" s="1123"/>
      <c r="CN245" s="1123"/>
      <c r="CO245" s="1123"/>
      <c r="CP245" s="1123"/>
      <c r="CQ245" s="1123"/>
      <c r="CR245" s="1123"/>
      <c r="CS245" s="1123"/>
      <c r="CT245" s="1123"/>
      <c r="CU245" s="1123"/>
      <c r="CV245" s="1123"/>
      <c r="CW245" s="1123"/>
      <c r="CX245" s="1123"/>
      <c r="CY245" s="1123"/>
      <c r="CZ245" s="1114"/>
      <c r="DA245" s="1114"/>
      <c r="DB245" s="1114"/>
      <c r="DC245" s="1114"/>
      <c r="DD245" s="1114"/>
      <c r="DE245" s="1114"/>
      <c r="DF245" s="1114"/>
      <c r="DG245" s="1114"/>
      <c r="DH245" s="1114"/>
      <c r="DI245" s="1114"/>
      <c r="DJ245" s="1114"/>
      <c r="DK245" s="1114"/>
      <c r="DL245" s="1114"/>
      <c r="DM245" s="1114"/>
      <c r="DN245" s="1114"/>
      <c r="DO245" s="1114"/>
      <c r="DP245" s="1114"/>
      <c r="DQ245" s="1114"/>
      <c r="DR245" s="1114"/>
      <c r="DS245" s="1114"/>
      <c r="DT245" s="1114"/>
      <c r="DU245" s="1114"/>
      <c r="DV245" s="1115"/>
      <c r="DW245" s="1116"/>
      <c r="DX245" s="1116"/>
      <c r="DY245" s="1116"/>
      <c r="DZ245" s="1116"/>
      <c r="EA245" s="1116"/>
      <c r="EB245" s="1116"/>
      <c r="EC245" s="1116"/>
      <c r="ED245" s="1116"/>
      <c r="EE245" s="1116"/>
      <c r="EF245" s="1116"/>
      <c r="EG245" s="1116"/>
      <c r="EH245" s="1116"/>
      <c r="EI245" s="1116"/>
      <c r="EJ245" s="1116"/>
      <c r="EK245" s="1116"/>
      <c r="EL245" s="1116"/>
      <c r="EM245" s="1116"/>
      <c r="EN245" s="1116"/>
      <c r="EO245" s="1116"/>
      <c r="EP245" s="1116"/>
      <c r="EQ245" s="1116"/>
      <c r="ER245" s="1116"/>
      <c r="ES245" s="1116"/>
    </row>
    <row r="246" spans="1:149" ht="15" customHeight="1">
      <c r="A246" s="1185">
        <v>231</v>
      </c>
      <c r="B246" s="1041"/>
      <c r="C246" s="1050"/>
      <c r="D246" s="1050"/>
      <c r="E246" s="1050"/>
      <c r="F246" s="1049"/>
      <c r="G246" s="1457"/>
      <c r="H246" s="1049"/>
      <c r="I246" s="1049"/>
      <c r="J246" s="1050"/>
      <c r="K246" s="1050"/>
      <c r="L246" s="1043"/>
      <c r="M246" s="1051"/>
      <c r="N246" s="1051"/>
      <c r="O246" s="1052"/>
      <c r="P246" s="1051"/>
      <c r="Q246" s="1051"/>
      <c r="R246" s="1052"/>
      <c r="S246" s="1051"/>
      <c r="T246" s="1051"/>
      <c r="U246" s="1052"/>
      <c r="V246" s="1051"/>
      <c r="W246" s="1051"/>
      <c r="X246" s="1052"/>
      <c r="Y246" s="1053"/>
      <c r="Z246" s="1051"/>
      <c r="AA246" s="1051"/>
      <c r="AB246" s="1052"/>
      <c r="AC246" s="1051"/>
      <c r="AD246" s="1051"/>
      <c r="AE246" s="1052"/>
      <c r="AF246" s="1051"/>
      <c r="AG246" s="1051"/>
      <c r="AH246" s="1051"/>
      <c r="AI246" s="1051"/>
      <c r="AJ246" s="1052"/>
      <c r="AK246" s="1051"/>
      <c r="AL246" s="1051"/>
      <c r="AM246" s="1052"/>
      <c r="AN246" s="1051"/>
      <c r="AO246" s="1051"/>
      <c r="AP246" s="1052"/>
      <c r="AQ246" s="1051"/>
      <c r="AR246" s="1051"/>
      <c r="AS246" s="1052"/>
      <c r="AT246" s="1051"/>
      <c r="AU246" s="1051"/>
      <c r="AV246" s="1052"/>
      <c r="AW246" s="1051"/>
      <c r="AX246" s="1051"/>
      <c r="AY246" s="1053"/>
      <c r="AZ246" s="1051"/>
      <c r="BA246" s="1051"/>
      <c r="BB246" s="1053"/>
      <c r="BC246" s="1051"/>
      <c r="BD246" s="1051"/>
      <c r="BE246" s="1053"/>
      <c r="BF246" s="1051"/>
      <c r="BG246" s="1051"/>
      <c r="BH246" s="1053"/>
      <c r="BI246" s="1052"/>
      <c r="BJ246" s="1052"/>
      <c r="BK246" s="1052"/>
      <c r="BL246" s="1052"/>
      <c r="BM246" s="1052"/>
      <c r="BN246" s="1054"/>
      <c r="BO246" s="1076">
        <f t="shared" si="14"/>
        <v>0</v>
      </c>
      <c r="BP246" s="1051"/>
      <c r="BQ246" s="1052"/>
      <c r="BR246" s="1054"/>
      <c r="BS246" s="1053"/>
      <c r="BT246" s="1051"/>
      <c r="BU246" s="1051"/>
      <c r="BV246" s="1051"/>
      <c r="BW246" s="1052"/>
      <c r="BX246" s="1052"/>
      <c r="BY246" s="1052"/>
      <c r="BZ246" s="1052"/>
      <c r="CA246" s="1052"/>
      <c r="CB246" s="1053"/>
      <c r="CC246" s="1053"/>
      <c r="CD246" s="1053"/>
      <c r="CE246" s="1053"/>
      <c r="CF246" s="1053"/>
      <c r="CG246" s="1053"/>
      <c r="CH246" s="1053"/>
      <c r="CI246" s="1123"/>
      <c r="CJ246" s="1123"/>
      <c r="CK246" s="1123"/>
      <c r="CL246" s="1123"/>
      <c r="CM246" s="1123"/>
      <c r="CN246" s="1123"/>
      <c r="CO246" s="1123"/>
      <c r="CP246" s="1123"/>
      <c r="CQ246" s="1123"/>
      <c r="CR246" s="1123"/>
      <c r="CS246" s="1123"/>
      <c r="CT246" s="1123"/>
      <c r="CU246" s="1123"/>
      <c r="CV246" s="1123"/>
      <c r="CW246" s="1123"/>
      <c r="CX246" s="1123"/>
      <c r="CY246" s="1123"/>
      <c r="CZ246" s="1114"/>
      <c r="DA246" s="1114"/>
      <c r="DB246" s="1114"/>
      <c r="DC246" s="1114"/>
      <c r="DD246" s="1114"/>
      <c r="DE246" s="1114"/>
      <c r="DF246" s="1114"/>
      <c r="DG246" s="1114"/>
      <c r="DH246" s="1114"/>
      <c r="DI246" s="1114"/>
      <c r="DJ246" s="1114"/>
      <c r="DK246" s="1114"/>
      <c r="DL246" s="1114"/>
      <c r="DM246" s="1114"/>
      <c r="DN246" s="1114"/>
      <c r="DO246" s="1114"/>
      <c r="DP246" s="1114"/>
      <c r="DQ246" s="1114"/>
      <c r="DR246" s="1114"/>
      <c r="DS246" s="1114"/>
      <c r="DT246" s="1114"/>
      <c r="DU246" s="1114"/>
      <c r="DV246" s="1115"/>
      <c r="DW246" s="1116"/>
      <c r="DX246" s="1116"/>
      <c r="DY246" s="1116"/>
      <c r="DZ246" s="1116"/>
      <c r="EA246" s="1116"/>
      <c r="EB246" s="1116"/>
      <c r="EC246" s="1116"/>
      <c r="ED246" s="1116"/>
      <c r="EE246" s="1116"/>
      <c r="EF246" s="1116"/>
      <c r="EG246" s="1116"/>
      <c r="EH246" s="1116"/>
      <c r="EI246" s="1116"/>
      <c r="EJ246" s="1116"/>
      <c r="EK246" s="1116"/>
      <c r="EL246" s="1116"/>
      <c r="EM246" s="1116"/>
      <c r="EN246" s="1116"/>
      <c r="EO246" s="1116"/>
      <c r="EP246" s="1116"/>
      <c r="EQ246" s="1116"/>
      <c r="ER246" s="1116"/>
      <c r="ES246" s="1116"/>
    </row>
    <row r="247" spans="1:149" ht="15" customHeight="1">
      <c r="A247" s="1185">
        <v>232</v>
      </c>
      <c r="B247" s="1041"/>
      <c r="C247" s="1050"/>
      <c r="D247" s="1050"/>
      <c r="E247" s="1050"/>
      <c r="F247" s="1049"/>
      <c r="G247" s="1457"/>
      <c r="H247" s="1049"/>
      <c r="I247" s="1049"/>
      <c r="J247" s="1050"/>
      <c r="K247" s="1050"/>
      <c r="L247" s="1043"/>
      <c r="M247" s="1051"/>
      <c r="N247" s="1051"/>
      <c r="O247" s="1052"/>
      <c r="P247" s="1051"/>
      <c r="Q247" s="1051"/>
      <c r="R247" s="1052"/>
      <c r="S247" s="1051"/>
      <c r="T247" s="1051"/>
      <c r="U247" s="1052"/>
      <c r="V247" s="1051"/>
      <c r="W247" s="1051"/>
      <c r="X247" s="1052"/>
      <c r="Y247" s="1053"/>
      <c r="Z247" s="1051"/>
      <c r="AA247" s="1051"/>
      <c r="AB247" s="1052"/>
      <c r="AC247" s="1051"/>
      <c r="AD247" s="1051"/>
      <c r="AE247" s="1052"/>
      <c r="AF247" s="1051"/>
      <c r="AG247" s="1051"/>
      <c r="AH247" s="1051"/>
      <c r="AI247" s="1051"/>
      <c r="AJ247" s="1052"/>
      <c r="AK247" s="1051"/>
      <c r="AL247" s="1051"/>
      <c r="AM247" s="1052"/>
      <c r="AN247" s="1051"/>
      <c r="AO247" s="1051"/>
      <c r="AP247" s="1052"/>
      <c r="AQ247" s="1051"/>
      <c r="AR247" s="1051"/>
      <c r="AS247" s="1052"/>
      <c r="AT247" s="1051"/>
      <c r="AU247" s="1051"/>
      <c r="AV247" s="1052"/>
      <c r="AW247" s="1051"/>
      <c r="AX247" s="1051"/>
      <c r="AY247" s="1053"/>
      <c r="AZ247" s="1051"/>
      <c r="BA247" s="1051"/>
      <c r="BB247" s="1053"/>
      <c r="BC247" s="1051"/>
      <c r="BD247" s="1051"/>
      <c r="BE247" s="1053"/>
      <c r="BF247" s="1051"/>
      <c r="BG247" s="1051"/>
      <c r="BH247" s="1053"/>
      <c r="BI247" s="1052"/>
      <c r="BJ247" s="1052"/>
      <c r="BK247" s="1052"/>
      <c r="BL247" s="1052"/>
      <c r="BM247" s="1052"/>
      <c r="BN247" s="1054"/>
      <c r="BO247" s="1076">
        <f t="shared" si="14"/>
        <v>0</v>
      </c>
      <c r="BP247" s="1051"/>
      <c r="BQ247" s="1052"/>
      <c r="BR247" s="1054"/>
      <c r="BS247" s="1053"/>
      <c r="BT247" s="1051"/>
      <c r="BU247" s="1051"/>
      <c r="BV247" s="1051"/>
      <c r="BW247" s="1052"/>
      <c r="BX247" s="1052"/>
      <c r="BY247" s="1052"/>
      <c r="BZ247" s="1052"/>
      <c r="CA247" s="1052"/>
      <c r="CB247" s="1053"/>
      <c r="CC247" s="1053"/>
      <c r="CD247" s="1053"/>
      <c r="CE247" s="1053"/>
      <c r="CF247" s="1053"/>
      <c r="CG247" s="1053"/>
      <c r="CH247" s="1053"/>
      <c r="CI247" s="1123"/>
      <c r="CJ247" s="1123"/>
      <c r="CK247" s="1123"/>
      <c r="CL247" s="1123"/>
      <c r="CM247" s="1123"/>
      <c r="CN247" s="1123"/>
      <c r="CO247" s="1123"/>
      <c r="CP247" s="1123"/>
      <c r="CQ247" s="1123"/>
      <c r="CR247" s="1123"/>
      <c r="CS247" s="1123"/>
      <c r="CT247" s="1123"/>
      <c r="CU247" s="1123"/>
      <c r="CV247" s="1123"/>
      <c r="CW247" s="1123"/>
      <c r="CX247" s="1123"/>
      <c r="CY247" s="1123"/>
      <c r="CZ247" s="1114"/>
      <c r="DA247" s="1114"/>
      <c r="DB247" s="1114"/>
      <c r="DC247" s="1114"/>
      <c r="DD247" s="1114"/>
      <c r="DE247" s="1114"/>
      <c r="DF247" s="1114"/>
      <c r="DG247" s="1114"/>
      <c r="DH247" s="1114"/>
      <c r="DI247" s="1114"/>
      <c r="DJ247" s="1114"/>
      <c r="DK247" s="1114"/>
      <c r="DL247" s="1114"/>
      <c r="DM247" s="1114"/>
      <c r="DN247" s="1114"/>
      <c r="DO247" s="1114"/>
      <c r="DP247" s="1114"/>
      <c r="DQ247" s="1114"/>
      <c r="DR247" s="1114"/>
      <c r="DS247" s="1114"/>
      <c r="DT247" s="1114"/>
      <c r="DU247" s="1114"/>
      <c r="DV247" s="1115"/>
      <c r="DW247" s="1116"/>
      <c r="DX247" s="1116"/>
      <c r="DY247" s="1116"/>
      <c r="DZ247" s="1116"/>
      <c r="EA247" s="1116"/>
      <c r="EB247" s="1116"/>
      <c r="EC247" s="1116"/>
      <c r="ED247" s="1116"/>
      <c r="EE247" s="1116"/>
      <c r="EF247" s="1116"/>
      <c r="EG247" s="1116"/>
      <c r="EH247" s="1116"/>
      <c r="EI247" s="1116"/>
      <c r="EJ247" s="1116"/>
      <c r="EK247" s="1116"/>
      <c r="EL247" s="1116"/>
      <c r="EM247" s="1116"/>
      <c r="EN247" s="1116"/>
      <c r="EO247" s="1116"/>
      <c r="EP247" s="1116"/>
      <c r="EQ247" s="1116"/>
      <c r="ER247" s="1116"/>
      <c r="ES247" s="1116"/>
    </row>
    <row r="248" spans="1:149" ht="15" customHeight="1">
      <c r="A248" s="1185">
        <v>233</v>
      </c>
      <c r="B248" s="1041"/>
      <c r="C248" s="1050"/>
      <c r="D248" s="1050"/>
      <c r="E248" s="1050"/>
      <c r="F248" s="1049"/>
      <c r="G248" s="1457"/>
      <c r="H248" s="1049"/>
      <c r="I248" s="1049"/>
      <c r="J248" s="1050"/>
      <c r="K248" s="1050"/>
      <c r="L248" s="1043"/>
      <c r="M248" s="1051"/>
      <c r="N248" s="1051"/>
      <c r="O248" s="1052"/>
      <c r="P248" s="1051"/>
      <c r="Q248" s="1051"/>
      <c r="R248" s="1052"/>
      <c r="S248" s="1051"/>
      <c r="T248" s="1051"/>
      <c r="U248" s="1052"/>
      <c r="V248" s="1051"/>
      <c r="W248" s="1051"/>
      <c r="X248" s="1052"/>
      <c r="Y248" s="1053"/>
      <c r="Z248" s="1051"/>
      <c r="AA248" s="1051"/>
      <c r="AB248" s="1052"/>
      <c r="AC248" s="1051"/>
      <c r="AD248" s="1051"/>
      <c r="AE248" s="1052"/>
      <c r="AF248" s="1051"/>
      <c r="AG248" s="1051"/>
      <c r="AH248" s="1051"/>
      <c r="AI248" s="1051"/>
      <c r="AJ248" s="1052"/>
      <c r="AK248" s="1051"/>
      <c r="AL248" s="1051"/>
      <c r="AM248" s="1052"/>
      <c r="AN248" s="1051"/>
      <c r="AO248" s="1051"/>
      <c r="AP248" s="1052"/>
      <c r="AQ248" s="1051"/>
      <c r="AR248" s="1051"/>
      <c r="AS248" s="1052"/>
      <c r="AT248" s="1051"/>
      <c r="AU248" s="1051"/>
      <c r="AV248" s="1052"/>
      <c r="AW248" s="1051"/>
      <c r="AX248" s="1051"/>
      <c r="AY248" s="1053"/>
      <c r="AZ248" s="1051"/>
      <c r="BA248" s="1051"/>
      <c r="BB248" s="1053"/>
      <c r="BC248" s="1051"/>
      <c r="BD248" s="1051"/>
      <c r="BE248" s="1053"/>
      <c r="BF248" s="1051"/>
      <c r="BG248" s="1051"/>
      <c r="BH248" s="1053"/>
      <c r="BI248" s="1052"/>
      <c r="BJ248" s="1052"/>
      <c r="BK248" s="1052"/>
      <c r="BL248" s="1052"/>
      <c r="BM248" s="1052"/>
      <c r="BN248" s="1054"/>
      <c r="BO248" s="1076">
        <f t="shared" si="14"/>
        <v>0</v>
      </c>
      <c r="BP248" s="1051"/>
      <c r="BQ248" s="1052"/>
      <c r="BR248" s="1054"/>
      <c r="BS248" s="1053"/>
      <c r="BT248" s="1051"/>
      <c r="BU248" s="1051"/>
      <c r="BV248" s="1051"/>
      <c r="BW248" s="1052"/>
      <c r="BX248" s="1052"/>
      <c r="BY248" s="1052"/>
      <c r="BZ248" s="1052"/>
      <c r="CA248" s="1052"/>
      <c r="CB248" s="1053"/>
      <c r="CC248" s="1053"/>
      <c r="CD248" s="1053"/>
      <c r="CE248" s="1053"/>
      <c r="CF248" s="1053"/>
      <c r="CG248" s="1053"/>
      <c r="CH248" s="1053"/>
      <c r="CI248" s="1123"/>
      <c r="CJ248" s="1123"/>
      <c r="CK248" s="1123"/>
      <c r="CL248" s="1123"/>
      <c r="CM248" s="1123"/>
      <c r="CN248" s="1123"/>
      <c r="CO248" s="1123"/>
      <c r="CP248" s="1123"/>
      <c r="CQ248" s="1123"/>
      <c r="CR248" s="1123"/>
      <c r="CS248" s="1123"/>
      <c r="CT248" s="1123"/>
      <c r="CU248" s="1123"/>
      <c r="CV248" s="1123"/>
      <c r="CW248" s="1123"/>
      <c r="CX248" s="1123"/>
      <c r="CY248" s="1123"/>
      <c r="CZ248" s="1114"/>
      <c r="DA248" s="1114"/>
      <c r="DB248" s="1114"/>
      <c r="DC248" s="1114"/>
      <c r="DD248" s="1114"/>
      <c r="DE248" s="1114"/>
      <c r="DF248" s="1114"/>
      <c r="DG248" s="1114"/>
      <c r="DH248" s="1114"/>
      <c r="DI248" s="1114"/>
      <c r="DJ248" s="1114"/>
      <c r="DK248" s="1114"/>
      <c r="DL248" s="1114"/>
      <c r="DM248" s="1114"/>
      <c r="DN248" s="1114"/>
      <c r="DO248" s="1114"/>
      <c r="DP248" s="1114"/>
      <c r="DQ248" s="1114"/>
      <c r="DR248" s="1114"/>
      <c r="DS248" s="1114"/>
      <c r="DT248" s="1114"/>
      <c r="DU248" s="1114"/>
      <c r="DV248" s="1115"/>
      <c r="DW248" s="1116"/>
      <c r="DX248" s="1116"/>
      <c r="DY248" s="1116"/>
      <c r="DZ248" s="1116"/>
      <c r="EA248" s="1116"/>
      <c r="EB248" s="1116"/>
      <c r="EC248" s="1116"/>
      <c r="ED248" s="1116"/>
      <c r="EE248" s="1116"/>
      <c r="EF248" s="1116"/>
      <c r="EG248" s="1116"/>
      <c r="EH248" s="1116"/>
      <c r="EI248" s="1116"/>
      <c r="EJ248" s="1116"/>
      <c r="EK248" s="1116"/>
      <c r="EL248" s="1116"/>
      <c r="EM248" s="1116"/>
      <c r="EN248" s="1116"/>
      <c r="EO248" s="1116"/>
      <c r="EP248" s="1116"/>
      <c r="EQ248" s="1116"/>
      <c r="ER248" s="1116"/>
      <c r="ES248" s="1116"/>
    </row>
    <row r="249" spans="1:149" ht="15" customHeight="1">
      <c r="A249" s="1185">
        <v>234</v>
      </c>
      <c r="B249" s="1041"/>
      <c r="C249" s="1050"/>
      <c r="D249" s="1050"/>
      <c r="E249" s="1050"/>
      <c r="F249" s="1049"/>
      <c r="G249" s="1457"/>
      <c r="H249" s="1049"/>
      <c r="I249" s="1049"/>
      <c r="J249" s="1050"/>
      <c r="K249" s="1050"/>
      <c r="L249" s="1043"/>
      <c r="M249" s="1051"/>
      <c r="N249" s="1051"/>
      <c r="O249" s="1052"/>
      <c r="P249" s="1051"/>
      <c r="Q249" s="1051"/>
      <c r="R249" s="1052"/>
      <c r="S249" s="1051"/>
      <c r="T249" s="1051"/>
      <c r="U249" s="1052"/>
      <c r="V249" s="1051"/>
      <c r="W249" s="1051"/>
      <c r="X249" s="1052"/>
      <c r="Y249" s="1053"/>
      <c r="Z249" s="1051"/>
      <c r="AA249" s="1051"/>
      <c r="AB249" s="1052"/>
      <c r="AC249" s="1051"/>
      <c r="AD249" s="1051"/>
      <c r="AE249" s="1052"/>
      <c r="AF249" s="1051"/>
      <c r="AG249" s="1051"/>
      <c r="AH249" s="1051"/>
      <c r="AI249" s="1051"/>
      <c r="AJ249" s="1052"/>
      <c r="AK249" s="1051"/>
      <c r="AL249" s="1051"/>
      <c r="AM249" s="1052"/>
      <c r="AN249" s="1051"/>
      <c r="AO249" s="1051"/>
      <c r="AP249" s="1052"/>
      <c r="AQ249" s="1051"/>
      <c r="AR249" s="1051"/>
      <c r="AS249" s="1052"/>
      <c r="AT249" s="1051"/>
      <c r="AU249" s="1051"/>
      <c r="AV249" s="1052"/>
      <c r="AW249" s="1051"/>
      <c r="AX249" s="1051"/>
      <c r="AY249" s="1053"/>
      <c r="AZ249" s="1051"/>
      <c r="BA249" s="1051"/>
      <c r="BB249" s="1053"/>
      <c r="BC249" s="1051"/>
      <c r="BD249" s="1051"/>
      <c r="BE249" s="1053"/>
      <c r="BF249" s="1051"/>
      <c r="BG249" s="1051"/>
      <c r="BH249" s="1053"/>
      <c r="BI249" s="1052"/>
      <c r="BJ249" s="1052"/>
      <c r="BK249" s="1052"/>
      <c r="BL249" s="1052"/>
      <c r="BM249" s="1052"/>
      <c r="BN249" s="1054"/>
      <c r="BO249" s="1076">
        <f t="shared" si="14"/>
        <v>0</v>
      </c>
      <c r="BP249" s="1051"/>
      <c r="BQ249" s="1052"/>
      <c r="BR249" s="1054"/>
      <c r="BS249" s="1053"/>
      <c r="BT249" s="1051"/>
      <c r="BU249" s="1051"/>
      <c r="BV249" s="1051"/>
      <c r="BW249" s="1052"/>
      <c r="BX249" s="1052"/>
      <c r="BY249" s="1052"/>
      <c r="BZ249" s="1052"/>
      <c r="CA249" s="1052"/>
      <c r="CB249" s="1053"/>
      <c r="CC249" s="1053"/>
      <c r="CD249" s="1053"/>
      <c r="CE249" s="1053"/>
      <c r="CF249" s="1053"/>
      <c r="CG249" s="1053"/>
      <c r="CH249" s="1053"/>
      <c r="CI249" s="1123"/>
      <c r="CJ249" s="1123"/>
      <c r="CK249" s="1123"/>
      <c r="CL249" s="1123"/>
      <c r="CM249" s="1123"/>
      <c r="CN249" s="1123"/>
      <c r="CO249" s="1123"/>
      <c r="CP249" s="1123"/>
      <c r="CQ249" s="1123"/>
      <c r="CR249" s="1123"/>
      <c r="CS249" s="1123"/>
      <c r="CT249" s="1123"/>
      <c r="CU249" s="1123"/>
      <c r="CV249" s="1123"/>
      <c r="CW249" s="1123"/>
      <c r="CX249" s="1123"/>
      <c r="CY249" s="1123"/>
      <c r="CZ249" s="1114"/>
      <c r="DA249" s="1114"/>
      <c r="DB249" s="1114"/>
      <c r="DC249" s="1114"/>
      <c r="DD249" s="1114"/>
      <c r="DE249" s="1114"/>
      <c r="DF249" s="1114"/>
      <c r="DG249" s="1114"/>
      <c r="DH249" s="1114"/>
      <c r="DI249" s="1114"/>
      <c r="DJ249" s="1114"/>
      <c r="DK249" s="1114"/>
      <c r="DL249" s="1114"/>
      <c r="DM249" s="1114"/>
      <c r="DN249" s="1114"/>
      <c r="DO249" s="1114"/>
      <c r="DP249" s="1114"/>
      <c r="DQ249" s="1114"/>
      <c r="DR249" s="1114"/>
      <c r="DS249" s="1114"/>
      <c r="DT249" s="1114"/>
      <c r="DU249" s="1114"/>
      <c r="DV249" s="1115"/>
      <c r="DW249" s="1116"/>
      <c r="DX249" s="1116"/>
      <c r="DY249" s="1116"/>
      <c r="DZ249" s="1116"/>
      <c r="EA249" s="1116"/>
      <c r="EB249" s="1116"/>
      <c r="EC249" s="1116"/>
      <c r="ED249" s="1116"/>
      <c r="EE249" s="1116"/>
      <c r="EF249" s="1116"/>
      <c r="EG249" s="1116"/>
      <c r="EH249" s="1116"/>
      <c r="EI249" s="1116"/>
      <c r="EJ249" s="1116"/>
      <c r="EK249" s="1116"/>
      <c r="EL249" s="1116"/>
      <c r="EM249" s="1116"/>
      <c r="EN249" s="1116"/>
      <c r="EO249" s="1116"/>
      <c r="EP249" s="1116"/>
      <c r="EQ249" s="1116"/>
      <c r="ER249" s="1116"/>
      <c r="ES249" s="1116"/>
    </row>
    <row r="250" spans="1:149" ht="15" customHeight="1">
      <c r="A250" s="1185">
        <v>235</v>
      </c>
      <c r="B250" s="1041"/>
      <c r="C250" s="1050"/>
      <c r="D250" s="1050"/>
      <c r="E250" s="1050"/>
      <c r="F250" s="1049"/>
      <c r="G250" s="1457"/>
      <c r="H250" s="1049"/>
      <c r="I250" s="1049"/>
      <c r="J250" s="1050"/>
      <c r="K250" s="1050"/>
      <c r="L250" s="1043"/>
      <c r="M250" s="1051"/>
      <c r="N250" s="1051"/>
      <c r="O250" s="1052"/>
      <c r="P250" s="1051"/>
      <c r="Q250" s="1051"/>
      <c r="R250" s="1052"/>
      <c r="S250" s="1051"/>
      <c r="T250" s="1051"/>
      <c r="U250" s="1052"/>
      <c r="V250" s="1051"/>
      <c r="W250" s="1051"/>
      <c r="X250" s="1052"/>
      <c r="Y250" s="1053"/>
      <c r="Z250" s="1051"/>
      <c r="AA250" s="1051"/>
      <c r="AB250" s="1052"/>
      <c r="AC250" s="1051"/>
      <c r="AD250" s="1051"/>
      <c r="AE250" s="1052"/>
      <c r="AF250" s="1051"/>
      <c r="AG250" s="1051"/>
      <c r="AH250" s="1051"/>
      <c r="AI250" s="1051"/>
      <c r="AJ250" s="1052"/>
      <c r="AK250" s="1051"/>
      <c r="AL250" s="1051"/>
      <c r="AM250" s="1052"/>
      <c r="AN250" s="1051"/>
      <c r="AO250" s="1051"/>
      <c r="AP250" s="1052"/>
      <c r="AQ250" s="1051"/>
      <c r="AR250" s="1051"/>
      <c r="AS250" s="1052"/>
      <c r="AT250" s="1051"/>
      <c r="AU250" s="1051"/>
      <c r="AV250" s="1052"/>
      <c r="AW250" s="1051"/>
      <c r="AX250" s="1051"/>
      <c r="AY250" s="1053"/>
      <c r="AZ250" s="1051"/>
      <c r="BA250" s="1051"/>
      <c r="BB250" s="1053"/>
      <c r="BC250" s="1051"/>
      <c r="BD250" s="1051"/>
      <c r="BE250" s="1053"/>
      <c r="BF250" s="1051"/>
      <c r="BG250" s="1051"/>
      <c r="BH250" s="1053"/>
      <c r="BI250" s="1052"/>
      <c r="BJ250" s="1052"/>
      <c r="BK250" s="1052"/>
      <c r="BL250" s="1052"/>
      <c r="BM250" s="1052"/>
      <c r="BN250" s="1054"/>
      <c r="BO250" s="1076">
        <f t="shared" si="14"/>
        <v>0</v>
      </c>
      <c r="BP250" s="1051"/>
      <c r="BQ250" s="1052"/>
      <c r="BR250" s="1054"/>
      <c r="BS250" s="1053"/>
      <c r="BT250" s="1051"/>
      <c r="BU250" s="1051"/>
      <c r="BV250" s="1051"/>
      <c r="BW250" s="1052"/>
      <c r="BX250" s="1052"/>
      <c r="BY250" s="1052"/>
      <c r="BZ250" s="1052"/>
      <c r="CA250" s="1052"/>
      <c r="CB250" s="1053"/>
      <c r="CC250" s="1053"/>
      <c r="CD250" s="1053"/>
      <c r="CE250" s="1053"/>
      <c r="CF250" s="1053"/>
      <c r="CG250" s="1053"/>
      <c r="CH250" s="1053"/>
      <c r="CI250" s="1123"/>
      <c r="CJ250" s="1123"/>
      <c r="CK250" s="1123"/>
      <c r="CL250" s="1123"/>
      <c r="CM250" s="1123"/>
      <c r="CN250" s="1123"/>
      <c r="CO250" s="1123"/>
      <c r="CP250" s="1123"/>
      <c r="CQ250" s="1123"/>
      <c r="CR250" s="1123"/>
      <c r="CS250" s="1123"/>
      <c r="CT250" s="1123"/>
      <c r="CU250" s="1123"/>
      <c r="CV250" s="1123"/>
      <c r="CW250" s="1123"/>
      <c r="CX250" s="1123"/>
      <c r="CY250" s="1123"/>
      <c r="CZ250" s="1114"/>
      <c r="DA250" s="1114"/>
      <c r="DB250" s="1114"/>
      <c r="DC250" s="1114"/>
      <c r="DD250" s="1114"/>
      <c r="DE250" s="1114"/>
      <c r="DF250" s="1114"/>
      <c r="DG250" s="1114"/>
      <c r="DH250" s="1114"/>
      <c r="DI250" s="1114"/>
      <c r="DJ250" s="1114"/>
      <c r="DK250" s="1114"/>
      <c r="DL250" s="1114"/>
      <c r="DM250" s="1114"/>
      <c r="DN250" s="1114"/>
      <c r="DO250" s="1114"/>
      <c r="DP250" s="1114"/>
      <c r="DQ250" s="1114"/>
      <c r="DR250" s="1114"/>
      <c r="DS250" s="1114"/>
      <c r="DT250" s="1114"/>
      <c r="DU250" s="1114"/>
      <c r="DV250" s="1115"/>
      <c r="DW250" s="1116"/>
      <c r="DX250" s="1116"/>
      <c r="DY250" s="1116"/>
      <c r="DZ250" s="1116"/>
      <c r="EA250" s="1116"/>
      <c r="EB250" s="1116"/>
      <c r="EC250" s="1116"/>
      <c r="ED250" s="1116"/>
      <c r="EE250" s="1116"/>
      <c r="EF250" s="1116"/>
      <c r="EG250" s="1116"/>
      <c r="EH250" s="1116"/>
      <c r="EI250" s="1116"/>
      <c r="EJ250" s="1116"/>
      <c r="EK250" s="1116"/>
      <c r="EL250" s="1116"/>
      <c r="EM250" s="1116"/>
      <c r="EN250" s="1116"/>
      <c r="EO250" s="1116"/>
      <c r="EP250" s="1116"/>
      <c r="EQ250" s="1116"/>
      <c r="ER250" s="1116"/>
      <c r="ES250" s="1116"/>
    </row>
    <row r="251" spans="1:149" ht="15" customHeight="1">
      <c r="A251" s="1185">
        <v>236</v>
      </c>
      <c r="B251" s="1041"/>
      <c r="C251" s="1050"/>
      <c r="D251" s="1050"/>
      <c r="E251" s="1050"/>
      <c r="F251" s="1049"/>
      <c r="G251" s="1457"/>
      <c r="H251" s="1049"/>
      <c r="I251" s="1049"/>
      <c r="J251" s="1050"/>
      <c r="K251" s="1050"/>
      <c r="L251" s="1043"/>
      <c r="M251" s="1051"/>
      <c r="N251" s="1051"/>
      <c r="O251" s="1052"/>
      <c r="P251" s="1051"/>
      <c r="Q251" s="1051"/>
      <c r="R251" s="1052"/>
      <c r="S251" s="1051"/>
      <c r="T251" s="1051"/>
      <c r="U251" s="1052"/>
      <c r="V251" s="1051"/>
      <c r="W251" s="1051"/>
      <c r="X251" s="1052"/>
      <c r="Y251" s="1053"/>
      <c r="Z251" s="1051"/>
      <c r="AA251" s="1051"/>
      <c r="AB251" s="1052"/>
      <c r="AC251" s="1051"/>
      <c r="AD251" s="1051"/>
      <c r="AE251" s="1052"/>
      <c r="AF251" s="1051"/>
      <c r="AG251" s="1051"/>
      <c r="AH251" s="1051"/>
      <c r="AI251" s="1051"/>
      <c r="AJ251" s="1052"/>
      <c r="AK251" s="1051"/>
      <c r="AL251" s="1051"/>
      <c r="AM251" s="1052"/>
      <c r="AN251" s="1051"/>
      <c r="AO251" s="1051"/>
      <c r="AP251" s="1052"/>
      <c r="AQ251" s="1051"/>
      <c r="AR251" s="1051"/>
      <c r="AS251" s="1052"/>
      <c r="AT251" s="1051"/>
      <c r="AU251" s="1051"/>
      <c r="AV251" s="1052"/>
      <c r="AW251" s="1051"/>
      <c r="AX251" s="1051"/>
      <c r="AY251" s="1053"/>
      <c r="AZ251" s="1051"/>
      <c r="BA251" s="1051"/>
      <c r="BB251" s="1053"/>
      <c r="BC251" s="1051"/>
      <c r="BD251" s="1051"/>
      <c r="BE251" s="1053"/>
      <c r="BF251" s="1051"/>
      <c r="BG251" s="1051"/>
      <c r="BH251" s="1053"/>
      <c r="BI251" s="1052"/>
      <c r="BJ251" s="1052"/>
      <c r="BK251" s="1052"/>
      <c r="BL251" s="1052"/>
      <c r="BM251" s="1052"/>
      <c r="BN251" s="1054"/>
      <c r="BO251" s="1076">
        <f t="shared" si="14"/>
        <v>0</v>
      </c>
      <c r="BP251" s="1051"/>
      <c r="BQ251" s="1052"/>
      <c r="BR251" s="1054"/>
      <c r="BS251" s="1053"/>
      <c r="BT251" s="1051"/>
      <c r="BU251" s="1051"/>
      <c r="BV251" s="1051"/>
      <c r="BW251" s="1052"/>
      <c r="BX251" s="1052"/>
      <c r="BY251" s="1052"/>
      <c r="BZ251" s="1052"/>
      <c r="CA251" s="1052"/>
      <c r="CB251" s="1053"/>
      <c r="CC251" s="1053"/>
      <c r="CD251" s="1053"/>
      <c r="CE251" s="1053"/>
      <c r="CF251" s="1053"/>
      <c r="CG251" s="1053"/>
      <c r="CH251" s="1053"/>
      <c r="CI251" s="1123"/>
      <c r="CJ251" s="1123"/>
      <c r="CK251" s="1123"/>
      <c r="CL251" s="1123"/>
      <c r="CM251" s="1123"/>
      <c r="CN251" s="1123"/>
      <c r="CO251" s="1123"/>
      <c r="CP251" s="1123"/>
      <c r="CQ251" s="1123"/>
      <c r="CR251" s="1123"/>
      <c r="CS251" s="1123"/>
      <c r="CT251" s="1123"/>
      <c r="CU251" s="1123"/>
      <c r="CV251" s="1123"/>
      <c r="CW251" s="1123"/>
      <c r="CX251" s="1123"/>
      <c r="CY251" s="1123"/>
      <c r="CZ251" s="1114"/>
      <c r="DA251" s="1114"/>
      <c r="DB251" s="1114"/>
      <c r="DC251" s="1114"/>
      <c r="DD251" s="1114"/>
      <c r="DE251" s="1114"/>
      <c r="DF251" s="1114"/>
      <c r="DG251" s="1114"/>
      <c r="DH251" s="1114"/>
      <c r="DI251" s="1114"/>
      <c r="DJ251" s="1114"/>
      <c r="DK251" s="1114"/>
      <c r="DL251" s="1114"/>
      <c r="DM251" s="1114"/>
      <c r="DN251" s="1114"/>
      <c r="DO251" s="1114"/>
      <c r="DP251" s="1114"/>
      <c r="DQ251" s="1114"/>
      <c r="DR251" s="1114"/>
      <c r="DS251" s="1114"/>
      <c r="DT251" s="1114"/>
      <c r="DU251" s="1114"/>
      <c r="DV251" s="1115"/>
      <c r="DW251" s="1116"/>
      <c r="DX251" s="1116"/>
      <c r="DY251" s="1116"/>
      <c r="DZ251" s="1116"/>
      <c r="EA251" s="1116"/>
      <c r="EB251" s="1116"/>
      <c r="EC251" s="1116"/>
      <c r="ED251" s="1116"/>
      <c r="EE251" s="1116"/>
      <c r="EF251" s="1116"/>
      <c r="EG251" s="1116"/>
      <c r="EH251" s="1116"/>
      <c r="EI251" s="1116"/>
      <c r="EJ251" s="1116"/>
      <c r="EK251" s="1116"/>
      <c r="EL251" s="1116"/>
      <c r="EM251" s="1116"/>
      <c r="EN251" s="1116"/>
      <c r="EO251" s="1116"/>
      <c r="EP251" s="1116"/>
      <c r="EQ251" s="1116"/>
      <c r="ER251" s="1116"/>
      <c r="ES251" s="1116"/>
    </row>
    <row r="252" spans="1:149" ht="15" customHeight="1">
      <c r="A252" s="1185">
        <v>237</v>
      </c>
      <c r="B252" s="1041"/>
      <c r="C252" s="1050"/>
      <c r="D252" s="1050"/>
      <c r="E252" s="1050"/>
      <c r="F252" s="1049"/>
      <c r="G252" s="1457"/>
      <c r="H252" s="1049"/>
      <c r="I252" s="1049"/>
      <c r="J252" s="1050"/>
      <c r="K252" s="1050"/>
      <c r="L252" s="1043"/>
      <c r="M252" s="1051"/>
      <c r="N252" s="1051"/>
      <c r="O252" s="1052"/>
      <c r="P252" s="1051"/>
      <c r="Q252" s="1051"/>
      <c r="R252" s="1052"/>
      <c r="S252" s="1051"/>
      <c r="T252" s="1051"/>
      <c r="U252" s="1052"/>
      <c r="V252" s="1051"/>
      <c r="W252" s="1051"/>
      <c r="X252" s="1052"/>
      <c r="Y252" s="1053"/>
      <c r="Z252" s="1051"/>
      <c r="AA252" s="1051"/>
      <c r="AB252" s="1052"/>
      <c r="AC252" s="1051"/>
      <c r="AD252" s="1051"/>
      <c r="AE252" s="1052"/>
      <c r="AF252" s="1051"/>
      <c r="AG252" s="1051"/>
      <c r="AH252" s="1051"/>
      <c r="AI252" s="1051"/>
      <c r="AJ252" s="1052"/>
      <c r="AK252" s="1051"/>
      <c r="AL252" s="1051"/>
      <c r="AM252" s="1052"/>
      <c r="AN252" s="1051"/>
      <c r="AO252" s="1051"/>
      <c r="AP252" s="1052"/>
      <c r="AQ252" s="1051"/>
      <c r="AR252" s="1051"/>
      <c r="AS252" s="1052"/>
      <c r="AT252" s="1051"/>
      <c r="AU252" s="1051"/>
      <c r="AV252" s="1052"/>
      <c r="AW252" s="1051"/>
      <c r="AX252" s="1051"/>
      <c r="AY252" s="1053"/>
      <c r="AZ252" s="1051"/>
      <c r="BA252" s="1051"/>
      <c r="BB252" s="1053"/>
      <c r="BC252" s="1051"/>
      <c r="BD252" s="1051"/>
      <c r="BE252" s="1053"/>
      <c r="BF252" s="1051"/>
      <c r="BG252" s="1051"/>
      <c r="BH252" s="1053"/>
      <c r="BI252" s="1052"/>
      <c r="BJ252" s="1052"/>
      <c r="BK252" s="1052"/>
      <c r="BL252" s="1052"/>
      <c r="BM252" s="1052"/>
      <c r="BN252" s="1054"/>
      <c r="BO252" s="1076">
        <f t="shared" si="14"/>
        <v>0</v>
      </c>
      <c r="BP252" s="1051"/>
      <c r="BQ252" s="1052"/>
      <c r="BR252" s="1054"/>
      <c r="BS252" s="1053"/>
      <c r="BT252" s="1051"/>
      <c r="BU252" s="1051"/>
      <c r="BV252" s="1051"/>
      <c r="BW252" s="1052"/>
      <c r="BX252" s="1052"/>
      <c r="BY252" s="1052"/>
      <c r="BZ252" s="1052"/>
      <c r="CA252" s="1052"/>
      <c r="CB252" s="1053"/>
      <c r="CC252" s="1053"/>
      <c r="CD252" s="1053"/>
      <c r="CE252" s="1053"/>
      <c r="CF252" s="1053"/>
      <c r="CG252" s="1053"/>
      <c r="CH252" s="1053"/>
      <c r="CI252" s="1123"/>
      <c r="CJ252" s="1123"/>
      <c r="CK252" s="1123"/>
      <c r="CL252" s="1123"/>
      <c r="CM252" s="1123"/>
      <c r="CN252" s="1123"/>
      <c r="CO252" s="1123"/>
      <c r="CP252" s="1123"/>
      <c r="CQ252" s="1123"/>
      <c r="CR252" s="1123"/>
      <c r="CS252" s="1123"/>
      <c r="CT252" s="1123"/>
      <c r="CU252" s="1123"/>
      <c r="CV252" s="1123"/>
      <c r="CW252" s="1123"/>
      <c r="CX252" s="1123"/>
      <c r="CY252" s="1123"/>
      <c r="CZ252" s="1114"/>
      <c r="DA252" s="1114"/>
      <c r="DB252" s="1114"/>
      <c r="DC252" s="1114"/>
      <c r="DD252" s="1114"/>
      <c r="DE252" s="1114"/>
      <c r="DF252" s="1114"/>
      <c r="DG252" s="1114"/>
      <c r="DH252" s="1114"/>
      <c r="DI252" s="1114"/>
      <c r="DJ252" s="1114"/>
      <c r="DK252" s="1114"/>
      <c r="DL252" s="1114"/>
      <c r="DM252" s="1114"/>
      <c r="DN252" s="1114"/>
      <c r="DO252" s="1114"/>
      <c r="DP252" s="1114"/>
      <c r="DQ252" s="1114"/>
      <c r="DR252" s="1114"/>
      <c r="DS252" s="1114"/>
      <c r="DT252" s="1114"/>
      <c r="DU252" s="1114"/>
      <c r="DV252" s="1115"/>
      <c r="DW252" s="1116"/>
      <c r="DX252" s="1116"/>
      <c r="DY252" s="1116"/>
      <c r="DZ252" s="1116"/>
      <c r="EA252" s="1116"/>
      <c r="EB252" s="1116"/>
      <c r="EC252" s="1116"/>
      <c r="ED252" s="1116"/>
      <c r="EE252" s="1116"/>
      <c r="EF252" s="1116"/>
      <c r="EG252" s="1116"/>
      <c r="EH252" s="1116"/>
      <c r="EI252" s="1116"/>
      <c r="EJ252" s="1116"/>
      <c r="EK252" s="1116"/>
      <c r="EL252" s="1116"/>
      <c r="EM252" s="1116"/>
      <c r="EN252" s="1116"/>
      <c r="EO252" s="1116"/>
      <c r="EP252" s="1116"/>
      <c r="EQ252" s="1116"/>
      <c r="ER252" s="1116"/>
      <c r="ES252" s="1116"/>
    </row>
    <row r="253" spans="1:149" ht="15" customHeight="1">
      <c r="A253" s="1185">
        <v>238</v>
      </c>
      <c r="B253" s="1041"/>
      <c r="C253" s="1050"/>
      <c r="D253" s="1050"/>
      <c r="E253" s="1050"/>
      <c r="F253" s="1049"/>
      <c r="G253" s="1457"/>
      <c r="H253" s="1049"/>
      <c r="I253" s="1049"/>
      <c r="J253" s="1050"/>
      <c r="K253" s="1050"/>
      <c r="L253" s="1043"/>
      <c r="M253" s="1051"/>
      <c r="N253" s="1051"/>
      <c r="O253" s="1052"/>
      <c r="P253" s="1051"/>
      <c r="Q253" s="1051"/>
      <c r="R253" s="1052"/>
      <c r="S253" s="1051"/>
      <c r="T253" s="1051"/>
      <c r="U253" s="1052"/>
      <c r="V253" s="1051"/>
      <c r="W253" s="1051"/>
      <c r="X253" s="1052"/>
      <c r="Y253" s="1053"/>
      <c r="Z253" s="1051"/>
      <c r="AA253" s="1051"/>
      <c r="AB253" s="1052"/>
      <c r="AC253" s="1051"/>
      <c r="AD253" s="1051"/>
      <c r="AE253" s="1052"/>
      <c r="AF253" s="1051"/>
      <c r="AG253" s="1051"/>
      <c r="AH253" s="1051"/>
      <c r="AI253" s="1051"/>
      <c r="AJ253" s="1052"/>
      <c r="AK253" s="1051"/>
      <c r="AL253" s="1051"/>
      <c r="AM253" s="1052"/>
      <c r="AN253" s="1051"/>
      <c r="AO253" s="1051"/>
      <c r="AP253" s="1052"/>
      <c r="AQ253" s="1051"/>
      <c r="AR253" s="1051"/>
      <c r="AS253" s="1052"/>
      <c r="AT253" s="1051"/>
      <c r="AU253" s="1051"/>
      <c r="AV253" s="1052"/>
      <c r="AW253" s="1051"/>
      <c r="AX253" s="1051"/>
      <c r="AY253" s="1053"/>
      <c r="AZ253" s="1051"/>
      <c r="BA253" s="1051"/>
      <c r="BB253" s="1053"/>
      <c r="BC253" s="1051"/>
      <c r="BD253" s="1051"/>
      <c r="BE253" s="1053"/>
      <c r="BF253" s="1051"/>
      <c r="BG253" s="1051"/>
      <c r="BH253" s="1053"/>
      <c r="BI253" s="1052"/>
      <c r="BJ253" s="1052"/>
      <c r="BK253" s="1052"/>
      <c r="BL253" s="1052"/>
      <c r="BM253" s="1052"/>
      <c r="BN253" s="1054"/>
      <c r="BO253" s="1076">
        <f t="shared" si="14"/>
        <v>0</v>
      </c>
      <c r="BP253" s="1051"/>
      <c r="BQ253" s="1052"/>
      <c r="BR253" s="1054"/>
      <c r="BS253" s="1053"/>
      <c r="BT253" s="1051"/>
      <c r="BU253" s="1051"/>
      <c r="BV253" s="1051"/>
      <c r="BW253" s="1052"/>
      <c r="BX253" s="1052"/>
      <c r="BY253" s="1052"/>
      <c r="BZ253" s="1052"/>
      <c r="CA253" s="1052"/>
      <c r="CB253" s="1053"/>
      <c r="CC253" s="1053"/>
      <c r="CD253" s="1053"/>
      <c r="CE253" s="1053"/>
      <c r="CF253" s="1053"/>
      <c r="CG253" s="1053"/>
      <c r="CH253" s="1053"/>
      <c r="CI253" s="1123"/>
      <c r="CJ253" s="1123"/>
      <c r="CK253" s="1123"/>
      <c r="CL253" s="1123"/>
      <c r="CM253" s="1123"/>
      <c r="CN253" s="1123"/>
      <c r="CO253" s="1123"/>
      <c r="CP253" s="1123"/>
      <c r="CQ253" s="1123"/>
      <c r="CR253" s="1123"/>
      <c r="CS253" s="1123"/>
      <c r="CT253" s="1123"/>
      <c r="CU253" s="1123"/>
      <c r="CV253" s="1123"/>
      <c r="CW253" s="1123"/>
      <c r="CX253" s="1123"/>
      <c r="CY253" s="1123"/>
      <c r="CZ253" s="1114"/>
      <c r="DA253" s="1114"/>
      <c r="DB253" s="1114"/>
      <c r="DC253" s="1114"/>
      <c r="DD253" s="1114"/>
      <c r="DE253" s="1114"/>
      <c r="DF253" s="1114"/>
      <c r="DG253" s="1114"/>
      <c r="DH253" s="1114"/>
      <c r="DI253" s="1114"/>
      <c r="DJ253" s="1114"/>
      <c r="DK253" s="1114"/>
      <c r="DL253" s="1114"/>
      <c r="DM253" s="1114"/>
      <c r="DN253" s="1114"/>
      <c r="DO253" s="1114"/>
      <c r="DP253" s="1114"/>
      <c r="DQ253" s="1114"/>
      <c r="DR253" s="1114"/>
      <c r="DS253" s="1114"/>
      <c r="DT253" s="1114"/>
      <c r="DU253" s="1114"/>
      <c r="DV253" s="1115"/>
      <c r="DW253" s="1116"/>
      <c r="DX253" s="1116"/>
      <c r="DY253" s="1116"/>
      <c r="DZ253" s="1116"/>
      <c r="EA253" s="1116"/>
      <c r="EB253" s="1116"/>
      <c r="EC253" s="1116"/>
      <c r="ED253" s="1116"/>
      <c r="EE253" s="1116"/>
      <c r="EF253" s="1116"/>
      <c r="EG253" s="1116"/>
      <c r="EH253" s="1116"/>
      <c r="EI253" s="1116"/>
      <c r="EJ253" s="1116"/>
      <c r="EK253" s="1116"/>
      <c r="EL253" s="1116"/>
      <c r="EM253" s="1116"/>
      <c r="EN253" s="1116"/>
      <c r="EO253" s="1116"/>
      <c r="EP253" s="1116"/>
      <c r="EQ253" s="1116"/>
      <c r="ER253" s="1116"/>
      <c r="ES253" s="1116"/>
    </row>
    <row r="254" spans="1:149" ht="15" customHeight="1">
      <c r="A254" s="1185">
        <v>239</v>
      </c>
      <c r="B254" s="1041"/>
      <c r="C254" s="1050"/>
      <c r="D254" s="1050"/>
      <c r="E254" s="1050"/>
      <c r="F254" s="1049"/>
      <c r="G254" s="1457"/>
      <c r="H254" s="1049"/>
      <c r="I254" s="1049"/>
      <c r="J254" s="1050"/>
      <c r="K254" s="1050"/>
      <c r="L254" s="1043"/>
      <c r="M254" s="1051"/>
      <c r="N254" s="1051"/>
      <c r="O254" s="1052"/>
      <c r="P254" s="1051"/>
      <c r="Q254" s="1051"/>
      <c r="R254" s="1052"/>
      <c r="S254" s="1051"/>
      <c r="T254" s="1051"/>
      <c r="U254" s="1052"/>
      <c r="V254" s="1051"/>
      <c r="W254" s="1051"/>
      <c r="X254" s="1052"/>
      <c r="Y254" s="1053"/>
      <c r="Z254" s="1051"/>
      <c r="AA254" s="1051"/>
      <c r="AB254" s="1052"/>
      <c r="AC254" s="1051"/>
      <c r="AD254" s="1051"/>
      <c r="AE254" s="1052"/>
      <c r="AF254" s="1051"/>
      <c r="AG254" s="1051"/>
      <c r="AH254" s="1051"/>
      <c r="AI254" s="1051"/>
      <c r="AJ254" s="1052"/>
      <c r="AK254" s="1051"/>
      <c r="AL254" s="1051"/>
      <c r="AM254" s="1052"/>
      <c r="AN254" s="1051"/>
      <c r="AO254" s="1051"/>
      <c r="AP254" s="1052"/>
      <c r="AQ254" s="1051"/>
      <c r="AR254" s="1051"/>
      <c r="AS254" s="1052"/>
      <c r="AT254" s="1051"/>
      <c r="AU254" s="1051"/>
      <c r="AV254" s="1052"/>
      <c r="AW254" s="1051"/>
      <c r="AX254" s="1051"/>
      <c r="AY254" s="1053"/>
      <c r="AZ254" s="1051"/>
      <c r="BA254" s="1051"/>
      <c r="BB254" s="1053"/>
      <c r="BC254" s="1051"/>
      <c r="BD254" s="1051"/>
      <c r="BE254" s="1053"/>
      <c r="BF254" s="1051"/>
      <c r="BG254" s="1051"/>
      <c r="BH254" s="1053"/>
      <c r="BI254" s="1052"/>
      <c r="BJ254" s="1052"/>
      <c r="BK254" s="1052"/>
      <c r="BL254" s="1052"/>
      <c r="BM254" s="1052"/>
      <c r="BN254" s="1054"/>
      <c r="BO254" s="1076">
        <f t="shared" si="14"/>
        <v>0</v>
      </c>
      <c r="BP254" s="1051"/>
      <c r="BQ254" s="1052"/>
      <c r="BR254" s="1054"/>
      <c r="BS254" s="1053"/>
      <c r="BT254" s="1051"/>
      <c r="BU254" s="1051"/>
      <c r="BV254" s="1051"/>
      <c r="BW254" s="1052"/>
      <c r="BX254" s="1052"/>
      <c r="BY254" s="1052"/>
      <c r="BZ254" s="1052"/>
      <c r="CA254" s="1052"/>
      <c r="CB254" s="1053"/>
      <c r="CC254" s="1053"/>
      <c r="CD254" s="1053"/>
      <c r="CE254" s="1053"/>
      <c r="CF254" s="1053"/>
      <c r="CG254" s="1053"/>
      <c r="CH254" s="1053"/>
      <c r="CI254" s="1123"/>
      <c r="CJ254" s="1123"/>
      <c r="CK254" s="1123"/>
      <c r="CL254" s="1123"/>
      <c r="CM254" s="1123"/>
      <c r="CN254" s="1123"/>
      <c r="CO254" s="1123"/>
      <c r="CP254" s="1123"/>
      <c r="CQ254" s="1123"/>
      <c r="CR254" s="1123"/>
      <c r="CS254" s="1123"/>
      <c r="CT254" s="1123"/>
      <c r="CU254" s="1123"/>
      <c r="CV254" s="1123"/>
      <c r="CW254" s="1123"/>
      <c r="CX254" s="1123"/>
      <c r="CY254" s="1123"/>
      <c r="CZ254" s="1114"/>
      <c r="DA254" s="1114"/>
      <c r="DB254" s="1114"/>
      <c r="DC254" s="1114"/>
      <c r="DD254" s="1114"/>
      <c r="DE254" s="1114"/>
      <c r="DF254" s="1114"/>
      <c r="DG254" s="1114"/>
      <c r="DH254" s="1114"/>
      <c r="DI254" s="1114"/>
      <c r="DJ254" s="1114"/>
      <c r="DK254" s="1114"/>
      <c r="DL254" s="1114"/>
      <c r="DM254" s="1114"/>
      <c r="DN254" s="1114"/>
      <c r="DO254" s="1114"/>
      <c r="DP254" s="1114"/>
      <c r="DQ254" s="1114"/>
      <c r="DR254" s="1114"/>
      <c r="DS254" s="1114"/>
      <c r="DT254" s="1114"/>
      <c r="DU254" s="1114"/>
      <c r="DV254" s="1115"/>
      <c r="DW254" s="1116"/>
      <c r="DX254" s="1116"/>
      <c r="DY254" s="1116"/>
      <c r="DZ254" s="1116"/>
      <c r="EA254" s="1116"/>
      <c r="EB254" s="1116"/>
      <c r="EC254" s="1116"/>
      <c r="ED254" s="1116"/>
      <c r="EE254" s="1116"/>
      <c r="EF254" s="1116"/>
      <c r="EG254" s="1116"/>
      <c r="EH254" s="1116"/>
      <c r="EI254" s="1116"/>
      <c r="EJ254" s="1116"/>
      <c r="EK254" s="1116"/>
      <c r="EL254" s="1116"/>
      <c r="EM254" s="1116"/>
      <c r="EN254" s="1116"/>
      <c r="EO254" s="1116"/>
      <c r="EP254" s="1116"/>
      <c r="EQ254" s="1116"/>
      <c r="ER254" s="1116"/>
      <c r="ES254" s="1116"/>
    </row>
    <row r="255" spans="1:149" ht="15" customHeight="1">
      <c r="A255" s="1185">
        <v>240</v>
      </c>
      <c r="B255" s="1041"/>
      <c r="C255" s="1050"/>
      <c r="D255" s="1050"/>
      <c r="E255" s="1050"/>
      <c r="F255" s="1049"/>
      <c r="G255" s="1457"/>
      <c r="H255" s="1049"/>
      <c r="I255" s="1049"/>
      <c r="J255" s="1050"/>
      <c r="K255" s="1050"/>
      <c r="L255" s="1043"/>
      <c r="M255" s="1051"/>
      <c r="N255" s="1051"/>
      <c r="O255" s="1052"/>
      <c r="P255" s="1051"/>
      <c r="Q255" s="1051"/>
      <c r="R255" s="1052"/>
      <c r="S255" s="1051"/>
      <c r="T255" s="1051"/>
      <c r="U255" s="1052"/>
      <c r="V255" s="1051"/>
      <c r="W255" s="1051"/>
      <c r="X255" s="1052"/>
      <c r="Y255" s="1053"/>
      <c r="Z255" s="1051"/>
      <c r="AA255" s="1051"/>
      <c r="AB255" s="1052"/>
      <c r="AC255" s="1051"/>
      <c r="AD255" s="1051"/>
      <c r="AE255" s="1052"/>
      <c r="AF255" s="1051"/>
      <c r="AG255" s="1051"/>
      <c r="AH255" s="1051"/>
      <c r="AI255" s="1051"/>
      <c r="AJ255" s="1052"/>
      <c r="AK255" s="1051"/>
      <c r="AL255" s="1051"/>
      <c r="AM255" s="1052"/>
      <c r="AN255" s="1051"/>
      <c r="AO255" s="1051"/>
      <c r="AP255" s="1052"/>
      <c r="AQ255" s="1051"/>
      <c r="AR255" s="1051"/>
      <c r="AS255" s="1052"/>
      <c r="AT255" s="1051"/>
      <c r="AU255" s="1051"/>
      <c r="AV255" s="1052"/>
      <c r="AW255" s="1051"/>
      <c r="AX255" s="1051"/>
      <c r="AY255" s="1053"/>
      <c r="AZ255" s="1051"/>
      <c r="BA255" s="1051"/>
      <c r="BB255" s="1053"/>
      <c r="BC255" s="1051"/>
      <c r="BD255" s="1051"/>
      <c r="BE255" s="1053"/>
      <c r="BF255" s="1051"/>
      <c r="BG255" s="1051"/>
      <c r="BH255" s="1053"/>
      <c r="BI255" s="1052"/>
      <c r="BJ255" s="1052"/>
      <c r="BK255" s="1052"/>
      <c r="BL255" s="1052"/>
      <c r="BM255" s="1052"/>
      <c r="BN255" s="1054"/>
      <c r="BO255" s="1076">
        <f t="shared" si="14"/>
        <v>0</v>
      </c>
      <c r="BP255" s="1051"/>
      <c r="BQ255" s="1052"/>
      <c r="BR255" s="1054"/>
      <c r="BS255" s="1053"/>
      <c r="BT255" s="1051"/>
      <c r="BU255" s="1051"/>
      <c r="BV255" s="1051"/>
      <c r="BW255" s="1052"/>
      <c r="BX255" s="1052"/>
      <c r="BY255" s="1052"/>
      <c r="BZ255" s="1052"/>
      <c r="CA255" s="1052"/>
      <c r="CB255" s="1053"/>
      <c r="CC255" s="1053"/>
      <c r="CD255" s="1053"/>
      <c r="CE255" s="1053"/>
      <c r="CF255" s="1053"/>
      <c r="CG255" s="1053"/>
      <c r="CH255" s="1053"/>
      <c r="CI255" s="1123"/>
      <c r="CJ255" s="1123"/>
      <c r="CK255" s="1123"/>
      <c r="CL255" s="1123"/>
      <c r="CM255" s="1123"/>
      <c r="CN255" s="1123"/>
      <c r="CO255" s="1123"/>
      <c r="CP255" s="1123"/>
      <c r="CQ255" s="1123"/>
      <c r="CR255" s="1123"/>
      <c r="CS255" s="1123"/>
      <c r="CT255" s="1123"/>
      <c r="CU255" s="1123"/>
      <c r="CV255" s="1123"/>
      <c r="CW255" s="1123"/>
      <c r="CX255" s="1123"/>
      <c r="CY255" s="1123"/>
      <c r="CZ255" s="1114"/>
      <c r="DA255" s="1114"/>
      <c r="DB255" s="1114"/>
      <c r="DC255" s="1114"/>
      <c r="DD255" s="1114"/>
      <c r="DE255" s="1114"/>
      <c r="DF255" s="1114"/>
      <c r="DG255" s="1114"/>
      <c r="DH255" s="1114"/>
      <c r="DI255" s="1114"/>
      <c r="DJ255" s="1114"/>
      <c r="DK255" s="1114"/>
      <c r="DL255" s="1114"/>
      <c r="DM255" s="1114"/>
      <c r="DN255" s="1114"/>
      <c r="DO255" s="1114"/>
      <c r="DP255" s="1114"/>
      <c r="DQ255" s="1114"/>
      <c r="DR255" s="1114"/>
      <c r="DS255" s="1114"/>
      <c r="DT255" s="1114"/>
      <c r="DU255" s="1114"/>
      <c r="DV255" s="1115"/>
      <c r="DW255" s="1116"/>
      <c r="DX255" s="1116"/>
      <c r="DY255" s="1116"/>
      <c r="DZ255" s="1116"/>
      <c r="EA255" s="1116"/>
      <c r="EB255" s="1116"/>
      <c r="EC255" s="1116"/>
      <c r="ED255" s="1116"/>
      <c r="EE255" s="1116"/>
      <c r="EF255" s="1116"/>
      <c r="EG255" s="1116"/>
      <c r="EH255" s="1116"/>
      <c r="EI255" s="1116"/>
      <c r="EJ255" s="1116"/>
      <c r="EK255" s="1116"/>
      <c r="EL255" s="1116"/>
      <c r="EM255" s="1116"/>
      <c r="EN255" s="1116"/>
      <c r="EO255" s="1116"/>
      <c r="EP255" s="1116"/>
      <c r="EQ255" s="1116"/>
      <c r="ER255" s="1116"/>
      <c r="ES255" s="1116"/>
    </row>
    <row r="256" spans="1:149" ht="15" customHeight="1">
      <c r="A256" s="1185">
        <v>241</v>
      </c>
      <c r="B256" s="1041"/>
      <c r="C256" s="1050"/>
      <c r="D256" s="1050"/>
      <c r="E256" s="1050"/>
      <c r="F256" s="1049"/>
      <c r="G256" s="1457"/>
      <c r="H256" s="1049"/>
      <c r="I256" s="1049"/>
      <c r="J256" s="1050"/>
      <c r="K256" s="1050"/>
      <c r="L256" s="1043"/>
      <c r="M256" s="1051"/>
      <c r="N256" s="1051"/>
      <c r="O256" s="1052"/>
      <c r="P256" s="1051"/>
      <c r="Q256" s="1051"/>
      <c r="R256" s="1052"/>
      <c r="S256" s="1051"/>
      <c r="T256" s="1051"/>
      <c r="U256" s="1052"/>
      <c r="V256" s="1051"/>
      <c r="W256" s="1051"/>
      <c r="X256" s="1052"/>
      <c r="Y256" s="1053"/>
      <c r="Z256" s="1051"/>
      <c r="AA256" s="1051"/>
      <c r="AB256" s="1052"/>
      <c r="AC256" s="1051"/>
      <c r="AD256" s="1051"/>
      <c r="AE256" s="1052"/>
      <c r="AF256" s="1051"/>
      <c r="AG256" s="1051"/>
      <c r="AH256" s="1051"/>
      <c r="AI256" s="1051"/>
      <c r="AJ256" s="1052"/>
      <c r="AK256" s="1051"/>
      <c r="AL256" s="1051"/>
      <c r="AM256" s="1052"/>
      <c r="AN256" s="1051"/>
      <c r="AO256" s="1051"/>
      <c r="AP256" s="1052"/>
      <c r="AQ256" s="1051"/>
      <c r="AR256" s="1051"/>
      <c r="AS256" s="1052"/>
      <c r="AT256" s="1051"/>
      <c r="AU256" s="1051"/>
      <c r="AV256" s="1052"/>
      <c r="AW256" s="1051"/>
      <c r="AX256" s="1051"/>
      <c r="AY256" s="1053"/>
      <c r="AZ256" s="1051"/>
      <c r="BA256" s="1051"/>
      <c r="BB256" s="1053"/>
      <c r="BC256" s="1051"/>
      <c r="BD256" s="1051"/>
      <c r="BE256" s="1053"/>
      <c r="BF256" s="1051"/>
      <c r="BG256" s="1051"/>
      <c r="BH256" s="1053"/>
      <c r="BI256" s="1052"/>
      <c r="BJ256" s="1052"/>
      <c r="BK256" s="1052"/>
      <c r="BL256" s="1052"/>
      <c r="BM256" s="1052"/>
      <c r="BN256" s="1054"/>
      <c r="BO256" s="1076">
        <f t="shared" si="14"/>
        <v>0</v>
      </c>
      <c r="BP256" s="1051"/>
      <c r="BQ256" s="1052"/>
      <c r="BR256" s="1054"/>
      <c r="BS256" s="1053"/>
      <c r="BT256" s="1051"/>
      <c r="BU256" s="1051"/>
      <c r="BV256" s="1051"/>
      <c r="BW256" s="1052"/>
      <c r="BX256" s="1052"/>
      <c r="BY256" s="1052"/>
      <c r="BZ256" s="1052"/>
      <c r="CA256" s="1052"/>
      <c r="CB256" s="1053"/>
      <c r="CC256" s="1053"/>
      <c r="CD256" s="1053"/>
      <c r="CE256" s="1053"/>
      <c r="CF256" s="1053"/>
      <c r="CG256" s="1053"/>
      <c r="CH256" s="1053"/>
      <c r="CI256" s="1123"/>
      <c r="CJ256" s="1123"/>
      <c r="CK256" s="1123"/>
      <c r="CL256" s="1123"/>
      <c r="CM256" s="1123"/>
      <c r="CN256" s="1123"/>
      <c r="CO256" s="1123"/>
      <c r="CP256" s="1123"/>
      <c r="CQ256" s="1123"/>
      <c r="CR256" s="1123"/>
      <c r="CS256" s="1123"/>
      <c r="CT256" s="1123"/>
      <c r="CU256" s="1123"/>
      <c r="CV256" s="1123"/>
      <c r="CW256" s="1123"/>
      <c r="CX256" s="1123"/>
      <c r="CY256" s="1123"/>
      <c r="CZ256" s="1114"/>
      <c r="DA256" s="1114"/>
      <c r="DB256" s="1114"/>
      <c r="DC256" s="1114"/>
      <c r="DD256" s="1114"/>
      <c r="DE256" s="1114"/>
      <c r="DF256" s="1114"/>
      <c r="DG256" s="1114"/>
      <c r="DH256" s="1114"/>
      <c r="DI256" s="1114"/>
      <c r="DJ256" s="1114"/>
      <c r="DK256" s="1114"/>
      <c r="DL256" s="1114"/>
      <c r="DM256" s="1114"/>
      <c r="DN256" s="1114"/>
      <c r="DO256" s="1114"/>
      <c r="DP256" s="1114"/>
      <c r="DQ256" s="1114"/>
      <c r="DR256" s="1114"/>
      <c r="DS256" s="1114"/>
      <c r="DT256" s="1114"/>
      <c r="DU256" s="1114"/>
      <c r="DV256" s="1115"/>
      <c r="DW256" s="1116"/>
      <c r="DX256" s="1116"/>
      <c r="DY256" s="1116"/>
      <c r="DZ256" s="1116"/>
      <c r="EA256" s="1116"/>
      <c r="EB256" s="1116"/>
      <c r="EC256" s="1116"/>
      <c r="ED256" s="1116"/>
      <c r="EE256" s="1116"/>
      <c r="EF256" s="1116"/>
      <c r="EG256" s="1116"/>
      <c r="EH256" s="1116"/>
      <c r="EI256" s="1116"/>
      <c r="EJ256" s="1116"/>
      <c r="EK256" s="1116"/>
      <c r="EL256" s="1116"/>
      <c r="EM256" s="1116"/>
      <c r="EN256" s="1116"/>
      <c r="EO256" s="1116"/>
      <c r="EP256" s="1116"/>
      <c r="EQ256" s="1116"/>
      <c r="ER256" s="1116"/>
      <c r="ES256" s="1116"/>
    </row>
    <row r="257" spans="1:149" ht="15" customHeight="1">
      <c r="A257" s="1185">
        <v>242</v>
      </c>
      <c r="B257" s="1041"/>
      <c r="C257" s="1050"/>
      <c r="D257" s="1050"/>
      <c r="E257" s="1050"/>
      <c r="F257" s="1049"/>
      <c r="G257" s="1457"/>
      <c r="H257" s="1049"/>
      <c r="I257" s="1049"/>
      <c r="J257" s="1050"/>
      <c r="K257" s="1050"/>
      <c r="L257" s="1043"/>
      <c r="M257" s="1051"/>
      <c r="N257" s="1051"/>
      <c r="O257" s="1052"/>
      <c r="P257" s="1051"/>
      <c r="Q257" s="1051"/>
      <c r="R257" s="1052"/>
      <c r="S257" s="1051"/>
      <c r="T257" s="1051"/>
      <c r="U257" s="1052"/>
      <c r="V257" s="1051"/>
      <c r="W257" s="1051"/>
      <c r="X257" s="1052"/>
      <c r="Y257" s="1053"/>
      <c r="Z257" s="1051"/>
      <c r="AA257" s="1051"/>
      <c r="AB257" s="1052"/>
      <c r="AC257" s="1051"/>
      <c r="AD257" s="1051"/>
      <c r="AE257" s="1052"/>
      <c r="AF257" s="1051"/>
      <c r="AG257" s="1051"/>
      <c r="AH257" s="1051"/>
      <c r="AI257" s="1051"/>
      <c r="AJ257" s="1052"/>
      <c r="AK257" s="1051"/>
      <c r="AL257" s="1051"/>
      <c r="AM257" s="1052"/>
      <c r="AN257" s="1051"/>
      <c r="AO257" s="1051"/>
      <c r="AP257" s="1052"/>
      <c r="AQ257" s="1051"/>
      <c r="AR257" s="1051"/>
      <c r="AS257" s="1052"/>
      <c r="AT257" s="1051"/>
      <c r="AU257" s="1051"/>
      <c r="AV257" s="1052"/>
      <c r="AW257" s="1051"/>
      <c r="AX257" s="1051"/>
      <c r="AY257" s="1053"/>
      <c r="AZ257" s="1051"/>
      <c r="BA257" s="1051"/>
      <c r="BB257" s="1053"/>
      <c r="BC257" s="1051"/>
      <c r="BD257" s="1051"/>
      <c r="BE257" s="1053"/>
      <c r="BF257" s="1051"/>
      <c r="BG257" s="1051"/>
      <c r="BH257" s="1053"/>
      <c r="BI257" s="1052"/>
      <c r="BJ257" s="1052"/>
      <c r="BK257" s="1052"/>
      <c r="BL257" s="1052"/>
      <c r="BM257" s="1052"/>
      <c r="BN257" s="1054"/>
      <c r="BO257" s="1076">
        <f t="shared" si="14"/>
        <v>0</v>
      </c>
      <c r="BP257" s="1051"/>
      <c r="BQ257" s="1052"/>
      <c r="BR257" s="1054"/>
      <c r="BS257" s="1053"/>
      <c r="BT257" s="1051"/>
      <c r="BU257" s="1051"/>
      <c r="BV257" s="1051"/>
      <c r="BW257" s="1052"/>
      <c r="BX257" s="1052"/>
      <c r="BY257" s="1052"/>
      <c r="BZ257" s="1052"/>
      <c r="CA257" s="1052"/>
      <c r="CB257" s="1053"/>
      <c r="CC257" s="1053"/>
      <c r="CD257" s="1053"/>
      <c r="CE257" s="1053"/>
      <c r="CF257" s="1053"/>
      <c r="CG257" s="1053"/>
      <c r="CH257" s="1053"/>
      <c r="CI257" s="1123"/>
      <c r="CJ257" s="1123"/>
      <c r="CK257" s="1123"/>
      <c r="CL257" s="1123"/>
      <c r="CM257" s="1123"/>
      <c r="CN257" s="1123"/>
      <c r="CO257" s="1123"/>
      <c r="CP257" s="1123"/>
      <c r="CQ257" s="1123"/>
      <c r="CR257" s="1123"/>
      <c r="CS257" s="1123"/>
      <c r="CT257" s="1123"/>
      <c r="CU257" s="1123"/>
      <c r="CV257" s="1123"/>
      <c r="CW257" s="1123"/>
      <c r="CX257" s="1123"/>
      <c r="CY257" s="1123"/>
      <c r="CZ257" s="1114"/>
      <c r="DA257" s="1114"/>
      <c r="DB257" s="1114"/>
      <c r="DC257" s="1114"/>
      <c r="DD257" s="1114"/>
      <c r="DE257" s="1114"/>
      <c r="DF257" s="1114"/>
      <c r="DG257" s="1114"/>
      <c r="DH257" s="1114"/>
      <c r="DI257" s="1114"/>
      <c r="DJ257" s="1114"/>
      <c r="DK257" s="1114"/>
      <c r="DL257" s="1114"/>
      <c r="DM257" s="1114"/>
      <c r="DN257" s="1114"/>
      <c r="DO257" s="1114"/>
      <c r="DP257" s="1114"/>
      <c r="DQ257" s="1114"/>
      <c r="DR257" s="1114"/>
      <c r="DS257" s="1114"/>
      <c r="DT257" s="1114"/>
      <c r="DU257" s="1114"/>
      <c r="DV257" s="1115"/>
      <c r="DW257" s="1116"/>
      <c r="DX257" s="1116"/>
      <c r="DY257" s="1116"/>
      <c r="DZ257" s="1116"/>
      <c r="EA257" s="1116"/>
      <c r="EB257" s="1116"/>
      <c r="EC257" s="1116"/>
      <c r="ED257" s="1116"/>
      <c r="EE257" s="1116"/>
      <c r="EF257" s="1116"/>
      <c r="EG257" s="1116"/>
      <c r="EH257" s="1116"/>
      <c r="EI257" s="1116"/>
      <c r="EJ257" s="1116"/>
      <c r="EK257" s="1116"/>
      <c r="EL257" s="1116"/>
      <c r="EM257" s="1116"/>
      <c r="EN257" s="1116"/>
      <c r="EO257" s="1116"/>
      <c r="EP257" s="1116"/>
      <c r="EQ257" s="1116"/>
      <c r="ER257" s="1116"/>
      <c r="ES257" s="1116"/>
    </row>
    <row r="258" spans="1:149" ht="15" customHeight="1">
      <c r="A258" s="1185">
        <v>243</v>
      </c>
      <c r="B258" s="1041"/>
      <c r="C258" s="1050"/>
      <c r="D258" s="1050"/>
      <c r="E258" s="1050"/>
      <c r="F258" s="1049"/>
      <c r="G258" s="1457"/>
      <c r="H258" s="1049"/>
      <c r="I258" s="1049"/>
      <c r="J258" s="1050"/>
      <c r="K258" s="1050"/>
      <c r="L258" s="1043"/>
      <c r="M258" s="1051"/>
      <c r="N258" s="1051"/>
      <c r="O258" s="1052"/>
      <c r="P258" s="1051"/>
      <c r="Q258" s="1051"/>
      <c r="R258" s="1052"/>
      <c r="S258" s="1051"/>
      <c r="T258" s="1051"/>
      <c r="U258" s="1052"/>
      <c r="V258" s="1051"/>
      <c r="W258" s="1051"/>
      <c r="X258" s="1052"/>
      <c r="Y258" s="1053"/>
      <c r="Z258" s="1051"/>
      <c r="AA258" s="1051"/>
      <c r="AB258" s="1052"/>
      <c r="AC258" s="1051"/>
      <c r="AD258" s="1051"/>
      <c r="AE258" s="1052"/>
      <c r="AF258" s="1051"/>
      <c r="AG258" s="1051"/>
      <c r="AH258" s="1051"/>
      <c r="AI258" s="1051"/>
      <c r="AJ258" s="1052"/>
      <c r="AK258" s="1051"/>
      <c r="AL258" s="1051"/>
      <c r="AM258" s="1052"/>
      <c r="AN258" s="1051"/>
      <c r="AO258" s="1051"/>
      <c r="AP258" s="1052"/>
      <c r="AQ258" s="1051"/>
      <c r="AR258" s="1051"/>
      <c r="AS258" s="1052"/>
      <c r="AT258" s="1051"/>
      <c r="AU258" s="1051"/>
      <c r="AV258" s="1052"/>
      <c r="AW258" s="1051"/>
      <c r="AX258" s="1051"/>
      <c r="AY258" s="1053"/>
      <c r="AZ258" s="1051"/>
      <c r="BA258" s="1051"/>
      <c r="BB258" s="1053"/>
      <c r="BC258" s="1051"/>
      <c r="BD258" s="1051"/>
      <c r="BE258" s="1053"/>
      <c r="BF258" s="1051"/>
      <c r="BG258" s="1051"/>
      <c r="BH258" s="1053"/>
      <c r="BI258" s="1052"/>
      <c r="BJ258" s="1052"/>
      <c r="BK258" s="1052"/>
      <c r="BL258" s="1052"/>
      <c r="BM258" s="1052"/>
      <c r="BN258" s="1054"/>
      <c r="BO258" s="1076">
        <f t="shared" si="14"/>
        <v>0</v>
      </c>
      <c r="BP258" s="1051"/>
      <c r="BQ258" s="1052"/>
      <c r="BR258" s="1054"/>
      <c r="BS258" s="1053"/>
      <c r="BT258" s="1051"/>
      <c r="BU258" s="1051"/>
      <c r="BV258" s="1051"/>
      <c r="BW258" s="1052"/>
      <c r="BX258" s="1052"/>
      <c r="BY258" s="1052"/>
      <c r="BZ258" s="1052"/>
      <c r="CA258" s="1052"/>
      <c r="CB258" s="1053"/>
      <c r="CC258" s="1053"/>
      <c r="CD258" s="1053"/>
      <c r="CE258" s="1053"/>
      <c r="CF258" s="1053"/>
      <c r="CG258" s="1053"/>
      <c r="CH258" s="1053"/>
      <c r="CI258" s="1123"/>
      <c r="CJ258" s="1123"/>
      <c r="CK258" s="1123"/>
      <c r="CL258" s="1123"/>
      <c r="CM258" s="1123"/>
      <c r="CN258" s="1123"/>
      <c r="CO258" s="1123"/>
      <c r="CP258" s="1123"/>
      <c r="CQ258" s="1123"/>
      <c r="CR258" s="1123"/>
      <c r="CS258" s="1123"/>
      <c r="CT258" s="1123"/>
      <c r="CU258" s="1123"/>
      <c r="CV258" s="1123"/>
      <c r="CW258" s="1123"/>
      <c r="CX258" s="1123"/>
      <c r="CY258" s="1123"/>
      <c r="CZ258" s="1114"/>
      <c r="DA258" s="1114"/>
      <c r="DB258" s="1114"/>
      <c r="DC258" s="1114"/>
      <c r="DD258" s="1114"/>
      <c r="DE258" s="1114"/>
      <c r="DF258" s="1114"/>
      <c r="DG258" s="1114"/>
      <c r="DH258" s="1114"/>
      <c r="DI258" s="1114"/>
      <c r="DJ258" s="1114"/>
      <c r="DK258" s="1114"/>
      <c r="DL258" s="1114"/>
      <c r="DM258" s="1114"/>
      <c r="DN258" s="1114"/>
      <c r="DO258" s="1114"/>
      <c r="DP258" s="1114"/>
      <c r="DQ258" s="1114"/>
      <c r="DR258" s="1114"/>
      <c r="DS258" s="1114"/>
      <c r="DT258" s="1114"/>
      <c r="DU258" s="1114"/>
      <c r="DV258" s="1115"/>
      <c r="DW258" s="1116"/>
      <c r="DX258" s="1116"/>
      <c r="DY258" s="1116"/>
      <c r="DZ258" s="1116"/>
      <c r="EA258" s="1116"/>
      <c r="EB258" s="1116"/>
      <c r="EC258" s="1116"/>
      <c r="ED258" s="1116"/>
      <c r="EE258" s="1116"/>
      <c r="EF258" s="1116"/>
      <c r="EG258" s="1116"/>
      <c r="EH258" s="1116"/>
      <c r="EI258" s="1116"/>
      <c r="EJ258" s="1116"/>
      <c r="EK258" s="1116"/>
      <c r="EL258" s="1116"/>
      <c r="EM258" s="1116"/>
      <c r="EN258" s="1116"/>
      <c r="EO258" s="1116"/>
      <c r="EP258" s="1116"/>
      <c r="EQ258" s="1116"/>
      <c r="ER258" s="1116"/>
      <c r="ES258" s="1116"/>
    </row>
    <row r="259" spans="1:149" ht="15" customHeight="1">
      <c r="A259" s="1185">
        <v>244</v>
      </c>
      <c r="B259" s="1041"/>
      <c r="C259" s="1050"/>
      <c r="D259" s="1050"/>
      <c r="E259" s="1050"/>
      <c r="F259" s="1049"/>
      <c r="G259" s="1457"/>
      <c r="H259" s="1049"/>
      <c r="I259" s="1049"/>
      <c r="J259" s="1050"/>
      <c r="K259" s="1050"/>
      <c r="L259" s="1043"/>
      <c r="M259" s="1051"/>
      <c r="N259" s="1051"/>
      <c r="O259" s="1052"/>
      <c r="P259" s="1051"/>
      <c r="Q259" s="1051"/>
      <c r="R259" s="1052"/>
      <c r="S259" s="1051"/>
      <c r="T259" s="1051"/>
      <c r="U259" s="1052"/>
      <c r="V259" s="1051"/>
      <c r="W259" s="1051"/>
      <c r="X259" s="1052"/>
      <c r="Y259" s="1053"/>
      <c r="Z259" s="1051"/>
      <c r="AA259" s="1051"/>
      <c r="AB259" s="1052"/>
      <c r="AC259" s="1051"/>
      <c r="AD259" s="1051"/>
      <c r="AE259" s="1052"/>
      <c r="AF259" s="1051"/>
      <c r="AG259" s="1051"/>
      <c r="AH259" s="1051"/>
      <c r="AI259" s="1051"/>
      <c r="AJ259" s="1052"/>
      <c r="AK259" s="1051"/>
      <c r="AL259" s="1051"/>
      <c r="AM259" s="1052"/>
      <c r="AN259" s="1051"/>
      <c r="AO259" s="1051"/>
      <c r="AP259" s="1052"/>
      <c r="AQ259" s="1051"/>
      <c r="AR259" s="1051"/>
      <c r="AS259" s="1052"/>
      <c r="AT259" s="1051"/>
      <c r="AU259" s="1051"/>
      <c r="AV259" s="1052"/>
      <c r="AW259" s="1051"/>
      <c r="AX259" s="1051"/>
      <c r="AY259" s="1053"/>
      <c r="AZ259" s="1051"/>
      <c r="BA259" s="1051"/>
      <c r="BB259" s="1053"/>
      <c r="BC259" s="1051"/>
      <c r="BD259" s="1051"/>
      <c r="BE259" s="1053"/>
      <c r="BF259" s="1051"/>
      <c r="BG259" s="1051"/>
      <c r="BH259" s="1053"/>
      <c r="BI259" s="1052"/>
      <c r="BJ259" s="1052"/>
      <c r="BK259" s="1052"/>
      <c r="BL259" s="1052"/>
      <c r="BM259" s="1052"/>
      <c r="BN259" s="1054"/>
      <c r="BO259" s="1076">
        <f t="shared" si="14"/>
        <v>0</v>
      </c>
      <c r="BP259" s="1051"/>
      <c r="BQ259" s="1052"/>
      <c r="BR259" s="1054"/>
      <c r="BS259" s="1053"/>
      <c r="BT259" s="1051"/>
      <c r="BU259" s="1051"/>
      <c r="BV259" s="1051"/>
      <c r="BW259" s="1052"/>
      <c r="BX259" s="1052"/>
      <c r="BY259" s="1052"/>
      <c r="BZ259" s="1052"/>
      <c r="CA259" s="1052"/>
      <c r="CB259" s="1053"/>
      <c r="CC259" s="1053"/>
      <c r="CD259" s="1053"/>
      <c r="CE259" s="1053"/>
      <c r="CF259" s="1053"/>
      <c r="CG259" s="1053"/>
      <c r="CH259" s="1053"/>
      <c r="CI259" s="1123"/>
      <c r="CJ259" s="1123"/>
      <c r="CK259" s="1123"/>
      <c r="CL259" s="1123"/>
      <c r="CM259" s="1123"/>
      <c r="CN259" s="1123"/>
      <c r="CO259" s="1123"/>
      <c r="CP259" s="1123"/>
      <c r="CQ259" s="1123"/>
      <c r="CR259" s="1123"/>
      <c r="CS259" s="1123"/>
      <c r="CT259" s="1123"/>
      <c r="CU259" s="1123"/>
      <c r="CV259" s="1123"/>
      <c r="CW259" s="1123"/>
      <c r="CX259" s="1123"/>
      <c r="CY259" s="1123"/>
      <c r="CZ259" s="1114"/>
      <c r="DA259" s="1114"/>
      <c r="DB259" s="1114"/>
      <c r="DC259" s="1114"/>
      <c r="DD259" s="1114"/>
      <c r="DE259" s="1114"/>
      <c r="DF259" s="1114"/>
      <c r="DG259" s="1114"/>
      <c r="DH259" s="1114"/>
      <c r="DI259" s="1114"/>
      <c r="DJ259" s="1114"/>
      <c r="DK259" s="1114"/>
      <c r="DL259" s="1114"/>
      <c r="DM259" s="1114"/>
      <c r="DN259" s="1114"/>
      <c r="DO259" s="1114"/>
      <c r="DP259" s="1114"/>
      <c r="DQ259" s="1114"/>
      <c r="DR259" s="1114"/>
      <c r="DS259" s="1114"/>
      <c r="DT259" s="1114"/>
      <c r="DU259" s="1114"/>
      <c r="DV259" s="1115"/>
      <c r="DW259" s="1116"/>
      <c r="DX259" s="1116"/>
      <c r="DY259" s="1116"/>
      <c r="DZ259" s="1116"/>
      <c r="EA259" s="1116"/>
      <c r="EB259" s="1116"/>
      <c r="EC259" s="1116"/>
      <c r="ED259" s="1116"/>
      <c r="EE259" s="1116"/>
      <c r="EF259" s="1116"/>
      <c r="EG259" s="1116"/>
      <c r="EH259" s="1116"/>
      <c r="EI259" s="1116"/>
      <c r="EJ259" s="1116"/>
      <c r="EK259" s="1116"/>
      <c r="EL259" s="1116"/>
      <c r="EM259" s="1116"/>
      <c r="EN259" s="1116"/>
      <c r="EO259" s="1116"/>
      <c r="EP259" s="1116"/>
      <c r="EQ259" s="1116"/>
      <c r="ER259" s="1116"/>
      <c r="ES259" s="1116"/>
    </row>
    <row r="260" spans="1:149" ht="15" customHeight="1">
      <c r="A260" s="1185">
        <v>245</v>
      </c>
      <c r="B260" s="1041"/>
      <c r="C260" s="1050"/>
      <c r="D260" s="1050"/>
      <c r="E260" s="1050"/>
      <c r="F260" s="1049"/>
      <c r="G260" s="1457"/>
      <c r="H260" s="1049"/>
      <c r="I260" s="1049"/>
      <c r="J260" s="1050"/>
      <c r="K260" s="1050"/>
      <c r="L260" s="1043"/>
      <c r="M260" s="1051"/>
      <c r="N260" s="1051"/>
      <c r="O260" s="1052"/>
      <c r="P260" s="1051"/>
      <c r="Q260" s="1051"/>
      <c r="R260" s="1052"/>
      <c r="S260" s="1051"/>
      <c r="T260" s="1051"/>
      <c r="U260" s="1052"/>
      <c r="V260" s="1051"/>
      <c r="W260" s="1051"/>
      <c r="X260" s="1052"/>
      <c r="Y260" s="1053"/>
      <c r="Z260" s="1051"/>
      <c r="AA260" s="1051"/>
      <c r="AB260" s="1052"/>
      <c r="AC260" s="1051"/>
      <c r="AD260" s="1051"/>
      <c r="AE260" s="1052"/>
      <c r="AF260" s="1051"/>
      <c r="AG260" s="1051"/>
      <c r="AH260" s="1051"/>
      <c r="AI260" s="1051"/>
      <c r="AJ260" s="1052"/>
      <c r="AK260" s="1051"/>
      <c r="AL260" s="1051"/>
      <c r="AM260" s="1052"/>
      <c r="AN260" s="1051"/>
      <c r="AO260" s="1051"/>
      <c r="AP260" s="1052"/>
      <c r="AQ260" s="1051"/>
      <c r="AR260" s="1051"/>
      <c r="AS260" s="1052"/>
      <c r="AT260" s="1051"/>
      <c r="AU260" s="1051"/>
      <c r="AV260" s="1052"/>
      <c r="AW260" s="1051"/>
      <c r="AX260" s="1051"/>
      <c r="AY260" s="1053"/>
      <c r="AZ260" s="1051"/>
      <c r="BA260" s="1051"/>
      <c r="BB260" s="1053"/>
      <c r="BC260" s="1051"/>
      <c r="BD260" s="1051"/>
      <c r="BE260" s="1053"/>
      <c r="BF260" s="1051"/>
      <c r="BG260" s="1051"/>
      <c r="BH260" s="1053"/>
      <c r="BI260" s="1052"/>
      <c r="BJ260" s="1052"/>
      <c r="BK260" s="1052"/>
      <c r="BL260" s="1052"/>
      <c r="BM260" s="1052"/>
      <c r="BN260" s="1054"/>
      <c r="BO260" s="1076">
        <f t="shared" si="14"/>
        <v>0</v>
      </c>
      <c r="BP260" s="1051"/>
      <c r="BQ260" s="1052"/>
      <c r="BR260" s="1054"/>
      <c r="BS260" s="1053"/>
      <c r="BT260" s="1051"/>
      <c r="BU260" s="1051"/>
      <c r="BV260" s="1051"/>
      <c r="BW260" s="1052"/>
      <c r="BX260" s="1052"/>
      <c r="BY260" s="1052"/>
      <c r="BZ260" s="1052"/>
      <c r="CA260" s="1052"/>
      <c r="CB260" s="1053"/>
      <c r="CC260" s="1053"/>
      <c r="CD260" s="1053"/>
      <c r="CE260" s="1053"/>
      <c r="CF260" s="1053"/>
      <c r="CG260" s="1053"/>
      <c r="CH260" s="1053"/>
      <c r="CI260" s="1123"/>
      <c r="CJ260" s="1123"/>
      <c r="CK260" s="1123"/>
      <c r="CL260" s="1123"/>
      <c r="CM260" s="1123"/>
      <c r="CN260" s="1123"/>
      <c r="CO260" s="1123"/>
      <c r="CP260" s="1123"/>
      <c r="CQ260" s="1123"/>
      <c r="CR260" s="1123"/>
      <c r="CS260" s="1123"/>
      <c r="CT260" s="1123"/>
      <c r="CU260" s="1123"/>
      <c r="CV260" s="1123"/>
      <c r="CW260" s="1123"/>
      <c r="CX260" s="1123"/>
      <c r="CY260" s="1123"/>
      <c r="CZ260" s="1114"/>
      <c r="DA260" s="1114"/>
      <c r="DB260" s="1114"/>
      <c r="DC260" s="1114"/>
      <c r="DD260" s="1114"/>
      <c r="DE260" s="1114"/>
      <c r="DF260" s="1114"/>
      <c r="DG260" s="1114"/>
      <c r="DH260" s="1114"/>
      <c r="DI260" s="1114"/>
      <c r="DJ260" s="1114"/>
      <c r="DK260" s="1114"/>
      <c r="DL260" s="1114"/>
      <c r="DM260" s="1114"/>
      <c r="DN260" s="1114"/>
      <c r="DO260" s="1114"/>
      <c r="DP260" s="1114"/>
      <c r="DQ260" s="1114"/>
      <c r="DR260" s="1114"/>
      <c r="DS260" s="1114"/>
      <c r="DT260" s="1114"/>
      <c r="DU260" s="1114"/>
      <c r="DV260" s="1115"/>
      <c r="DW260" s="1116"/>
      <c r="DX260" s="1116"/>
      <c r="DY260" s="1116"/>
      <c r="DZ260" s="1116"/>
      <c r="EA260" s="1116"/>
      <c r="EB260" s="1116"/>
      <c r="EC260" s="1116"/>
      <c r="ED260" s="1116"/>
      <c r="EE260" s="1116"/>
      <c r="EF260" s="1116"/>
      <c r="EG260" s="1116"/>
      <c r="EH260" s="1116"/>
      <c r="EI260" s="1116"/>
      <c r="EJ260" s="1116"/>
      <c r="EK260" s="1116"/>
      <c r="EL260" s="1116"/>
      <c r="EM260" s="1116"/>
      <c r="EN260" s="1116"/>
      <c r="EO260" s="1116"/>
      <c r="EP260" s="1116"/>
      <c r="EQ260" s="1116"/>
      <c r="ER260" s="1116"/>
      <c r="ES260" s="1116"/>
    </row>
    <row r="261" spans="1:149" ht="15" customHeight="1">
      <c r="A261" s="1185">
        <v>246</v>
      </c>
      <c r="B261" s="1041"/>
      <c r="C261" s="1050"/>
      <c r="D261" s="1050"/>
      <c r="E261" s="1050"/>
      <c r="F261" s="1049"/>
      <c r="G261" s="1457"/>
      <c r="H261" s="1049"/>
      <c r="I261" s="1049"/>
      <c r="J261" s="1050"/>
      <c r="K261" s="1050"/>
      <c r="L261" s="1043"/>
      <c r="M261" s="1051"/>
      <c r="N261" s="1051"/>
      <c r="O261" s="1052"/>
      <c r="P261" s="1051"/>
      <c r="Q261" s="1051"/>
      <c r="R261" s="1052"/>
      <c r="S261" s="1051"/>
      <c r="T261" s="1051"/>
      <c r="U261" s="1052"/>
      <c r="V261" s="1051"/>
      <c r="W261" s="1051"/>
      <c r="X261" s="1052"/>
      <c r="Y261" s="1053"/>
      <c r="Z261" s="1051"/>
      <c r="AA261" s="1051"/>
      <c r="AB261" s="1052"/>
      <c r="AC261" s="1051"/>
      <c r="AD261" s="1051"/>
      <c r="AE261" s="1052"/>
      <c r="AF261" s="1051"/>
      <c r="AG261" s="1051"/>
      <c r="AH261" s="1051"/>
      <c r="AI261" s="1051"/>
      <c r="AJ261" s="1052"/>
      <c r="AK261" s="1051"/>
      <c r="AL261" s="1051"/>
      <c r="AM261" s="1052"/>
      <c r="AN261" s="1051"/>
      <c r="AO261" s="1051"/>
      <c r="AP261" s="1052"/>
      <c r="AQ261" s="1051"/>
      <c r="AR261" s="1051"/>
      <c r="AS261" s="1052"/>
      <c r="AT261" s="1051"/>
      <c r="AU261" s="1051"/>
      <c r="AV261" s="1052"/>
      <c r="AW261" s="1051"/>
      <c r="AX261" s="1051"/>
      <c r="AY261" s="1053"/>
      <c r="AZ261" s="1051"/>
      <c r="BA261" s="1051"/>
      <c r="BB261" s="1053"/>
      <c r="BC261" s="1051"/>
      <c r="BD261" s="1051"/>
      <c r="BE261" s="1053"/>
      <c r="BF261" s="1051"/>
      <c r="BG261" s="1051"/>
      <c r="BH261" s="1053"/>
      <c r="BI261" s="1052"/>
      <c r="BJ261" s="1052"/>
      <c r="BK261" s="1052"/>
      <c r="BL261" s="1052"/>
      <c r="BM261" s="1052"/>
      <c r="BN261" s="1054"/>
      <c r="BO261" s="1076">
        <f t="shared" si="14"/>
        <v>0</v>
      </c>
      <c r="BP261" s="1051"/>
      <c r="BQ261" s="1052"/>
      <c r="BR261" s="1054"/>
      <c r="BS261" s="1053"/>
      <c r="BT261" s="1051"/>
      <c r="BU261" s="1051"/>
      <c r="BV261" s="1051"/>
      <c r="BW261" s="1052"/>
      <c r="BX261" s="1052"/>
      <c r="BY261" s="1052"/>
      <c r="BZ261" s="1052"/>
      <c r="CA261" s="1052"/>
      <c r="CB261" s="1053"/>
      <c r="CC261" s="1053"/>
      <c r="CD261" s="1053"/>
      <c r="CE261" s="1053"/>
      <c r="CF261" s="1053"/>
      <c r="CG261" s="1053"/>
      <c r="CH261" s="1053"/>
      <c r="CI261" s="1123"/>
      <c r="CJ261" s="1123"/>
      <c r="CK261" s="1123"/>
      <c r="CL261" s="1123"/>
      <c r="CM261" s="1123"/>
      <c r="CN261" s="1123"/>
      <c r="CO261" s="1123"/>
      <c r="CP261" s="1123"/>
      <c r="CQ261" s="1123"/>
      <c r="CR261" s="1123"/>
      <c r="CS261" s="1123"/>
      <c r="CT261" s="1123"/>
      <c r="CU261" s="1123"/>
      <c r="CV261" s="1123"/>
      <c r="CW261" s="1123"/>
      <c r="CX261" s="1123"/>
      <c r="CY261" s="1123"/>
      <c r="CZ261" s="1114"/>
      <c r="DA261" s="1114"/>
      <c r="DB261" s="1114"/>
      <c r="DC261" s="1114"/>
      <c r="DD261" s="1114"/>
      <c r="DE261" s="1114"/>
      <c r="DF261" s="1114"/>
      <c r="DG261" s="1114"/>
      <c r="DH261" s="1114"/>
      <c r="DI261" s="1114"/>
      <c r="DJ261" s="1114"/>
      <c r="DK261" s="1114"/>
      <c r="DL261" s="1114"/>
      <c r="DM261" s="1114"/>
      <c r="DN261" s="1114"/>
      <c r="DO261" s="1114"/>
      <c r="DP261" s="1114"/>
      <c r="DQ261" s="1114"/>
      <c r="DR261" s="1114"/>
      <c r="DS261" s="1114"/>
      <c r="DT261" s="1114"/>
      <c r="DU261" s="1114"/>
      <c r="DV261" s="1115"/>
      <c r="DW261" s="1116"/>
      <c r="DX261" s="1116"/>
      <c r="DY261" s="1116"/>
      <c r="DZ261" s="1116"/>
      <c r="EA261" s="1116"/>
      <c r="EB261" s="1116"/>
      <c r="EC261" s="1116"/>
      <c r="ED261" s="1116"/>
      <c r="EE261" s="1116"/>
      <c r="EF261" s="1116"/>
      <c r="EG261" s="1116"/>
      <c r="EH261" s="1116"/>
      <c r="EI261" s="1116"/>
      <c r="EJ261" s="1116"/>
      <c r="EK261" s="1116"/>
      <c r="EL261" s="1116"/>
      <c r="EM261" s="1116"/>
      <c r="EN261" s="1116"/>
      <c r="EO261" s="1116"/>
      <c r="EP261" s="1116"/>
      <c r="EQ261" s="1116"/>
      <c r="ER261" s="1116"/>
      <c r="ES261" s="1116"/>
    </row>
    <row r="262" spans="1:149" ht="15" customHeight="1">
      <c r="A262" s="1185">
        <v>247</v>
      </c>
      <c r="B262" s="1041"/>
      <c r="C262" s="1050"/>
      <c r="D262" s="1050"/>
      <c r="E262" s="1050"/>
      <c r="F262" s="1049"/>
      <c r="G262" s="1457"/>
      <c r="H262" s="1049"/>
      <c r="I262" s="1049"/>
      <c r="J262" s="1050"/>
      <c r="K262" s="1050"/>
      <c r="L262" s="1043"/>
      <c r="M262" s="1051"/>
      <c r="N262" s="1051"/>
      <c r="O262" s="1052"/>
      <c r="P262" s="1051"/>
      <c r="Q262" s="1051"/>
      <c r="R262" s="1052"/>
      <c r="S262" s="1051"/>
      <c r="T262" s="1051"/>
      <c r="U262" s="1052"/>
      <c r="V262" s="1051"/>
      <c r="W262" s="1051"/>
      <c r="X262" s="1052"/>
      <c r="Y262" s="1053"/>
      <c r="Z262" s="1051"/>
      <c r="AA262" s="1051"/>
      <c r="AB262" s="1052"/>
      <c r="AC262" s="1051"/>
      <c r="AD262" s="1051"/>
      <c r="AE262" s="1052"/>
      <c r="AF262" s="1051"/>
      <c r="AG262" s="1051"/>
      <c r="AH262" s="1051"/>
      <c r="AI262" s="1051"/>
      <c r="AJ262" s="1052"/>
      <c r="AK262" s="1051"/>
      <c r="AL262" s="1051"/>
      <c r="AM262" s="1052"/>
      <c r="AN262" s="1051"/>
      <c r="AO262" s="1051"/>
      <c r="AP262" s="1052"/>
      <c r="AQ262" s="1051"/>
      <c r="AR262" s="1051"/>
      <c r="AS262" s="1052"/>
      <c r="AT262" s="1051"/>
      <c r="AU262" s="1051"/>
      <c r="AV262" s="1052"/>
      <c r="AW262" s="1051"/>
      <c r="AX262" s="1051"/>
      <c r="AY262" s="1053"/>
      <c r="AZ262" s="1051"/>
      <c r="BA262" s="1051"/>
      <c r="BB262" s="1053"/>
      <c r="BC262" s="1051"/>
      <c r="BD262" s="1051"/>
      <c r="BE262" s="1053"/>
      <c r="BF262" s="1051"/>
      <c r="BG262" s="1051"/>
      <c r="BH262" s="1053"/>
      <c r="BI262" s="1052"/>
      <c r="BJ262" s="1052"/>
      <c r="BK262" s="1052"/>
      <c r="BL262" s="1052"/>
      <c r="BM262" s="1052"/>
      <c r="BN262" s="1054"/>
      <c r="BO262" s="1076">
        <f t="shared" si="14"/>
        <v>0</v>
      </c>
      <c r="BP262" s="1051"/>
      <c r="BQ262" s="1052"/>
      <c r="BR262" s="1054"/>
      <c r="BS262" s="1053"/>
      <c r="BT262" s="1051"/>
      <c r="BU262" s="1051"/>
      <c r="BV262" s="1051"/>
      <c r="BW262" s="1052"/>
      <c r="BX262" s="1052"/>
      <c r="BY262" s="1052"/>
      <c r="BZ262" s="1052"/>
      <c r="CA262" s="1052"/>
      <c r="CB262" s="1053"/>
      <c r="CC262" s="1053"/>
      <c r="CD262" s="1053"/>
      <c r="CE262" s="1053"/>
      <c r="CF262" s="1053"/>
      <c r="CG262" s="1053"/>
      <c r="CH262" s="1053"/>
      <c r="CI262" s="1123"/>
      <c r="CJ262" s="1123"/>
      <c r="CK262" s="1123"/>
      <c r="CL262" s="1123"/>
      <c r="CM262" s="1123"/>
      <c r="CN262" s="1123"/>
      <c r="CO262" s="1123"/>
      <c r="CP262" s="1123"/>
      <c r="CQ262" s="1123"/>
      <c r="CR262" s="1123"/>
      <c r="CS262" s="1123"/>
      <c r="CT262" s="1123"/>
      <c r="CU262" s="1123"/>
      <c r="CV262" s="1123"/>
      <c r="CW262" s="1123"/>
      <c r="CX262" s="1123"/>
      <c r="CY262" s="1123"/>
      <c r="CZ262" s="1114"/>
      <c r="DA262" s="1114"/>
      <c r="DB262" s="1114"/>
      <c r="DC262" s="1114"/>
      <c r="DD262" s="1114"/>
      <c r="DE262" s="1114"/>
      <c r="DF262" s="1114"/>
      <c r="DG262" s="1114"/>
      <c r="DH262" s="1114"/>
      <c r="DI262" s="1114"/>
      <c r="DJ262" s="1114"/>
      <c r="DK262" s="1114"/>
      <c r="DL262" s="1114"/>
      <c r="DM262" s="1114"/>
      <c r="DN262" s="1114"/>
      <c r="DO262" s="1114"/>
      <c r="DP262" s="1114"/>
      <c r="DQ262" s="1114"/>
      <c r="DR262" s="1114"/>
      <c r="DS262" s="1114"/>
      <c r="DT262" s="1114"/>
      <c r="DU262" s="1114"/>
      <c r="DV262" s="1115"/>
      <c r="DW262" s="1116"/>
      <c r="DX262" s="1116"/>
      <c r="DY262" s="1116"/>
      <c r="DZ262" s="1116"/>
      <c r="EA262" s="1116"/>
      <c r="EB262" s="1116"/>
      <c r="EC262" s="1116"/>
      <c r="ED262" s="1116"/>
      <c r="EE262" s="1116"/>
      <c r="EF262" s="1116"/>
      <c r="EG262" s="1116"/>
      <c r="EH262" s="1116"/>
      <c r="EI262" s="1116"/>
      <c r="EJ262" s="1116"/>
      <c r="EK262" s="1116"/>
      <c r="EL262" s="1116"/>
      <c r="EM262" s="1116"/>
      <c r="EN262" s="1116"/>
      <c r="EO262" s="1116"/>
      <c r="EP262" s="1116"/>
      <c r="EQ262" s="1116"/>
      <c r="ER262" s="1116"/>
      <c r="ES262" s="1116"/>
    </row>
    <row r="263" spans="1:149" ht="15" customHeight="1">
      <c r="A263" s="1185">
        <v>248</v>
      </c>
      <c r="B263" s="1041"/>
      <c r="C263" s="1050"/>
      <c r="D263" s="1050"/>
      <c r="E263" s="1050"/>
      <c r="F263" s="1049"/>
      <c r="G263" s="1457"/>
      <c r="H263" s="1049"/>
      <c r="I263" s="1049"/>
      <c r="J263" s="1050"/>
      <c r="K263" s="1050"/>
      <c r="L263" s="1043"/>
      <c r="M263" s="1051"/>
      <c r="N263" s="1051"/>
      <c r="O263" s="1052"/>
      <c r="P263" s="1051"/>
      <c r="Q263" s="1051"/>
      <c r="R263" s="1052"/>
      <c r="S263" s="1051"/>
      <c r="T263" s="1051"/>
      <c r="U263" s="1052"/>
      <c r="V263" s="1051"/>
      <c r="W263" s="1051"/>
      <c r="X263" s="1052"/>
      <c r="Y263" s="1053"/>
      <c r="Z263" s="1051"/>
      <c r="AA263" s="1051"/>
      <c r="AB263" s="1052"/>
      <c r="AC263" s="1051"/>
      <c r="AD263" s="1051"/>
      <c r="AE263" s="1052"/>
      <c r="AF263" s="1051"/>
      <c r="AG263" s="1051"/>
      <c r="AH263" s="1051"/>
      <c r="AI263" s="1051"/>
      <c r="AJ263" s="1052"/>
      <c r="AK263" s="1051"/>
      <c r="AL263" s="1051"/>
      <c r="AM263" s="1052"/>
      <c r="AN263" s="1051"/>
      <c r="AO263" s="1051"/>
      <c r="AP263" s="1052"/>
      <c r="AQ263" s="1051"/>
      <c r="AR263" s="1051"/>
      <c r="AS263" s="1052"/>
      <c r="AT263" s="1051"/>
      <c r="AU263" s="1051"/>
      <c r="AV263" s="1052"/>
      <c r="AW263" s="1051"/>
      <c r="AX263" s="1051"/>
      <c r="AY263" s="1053"/>
      <c r="AZ263" s="1051"/>
      <c r="BA263" s="1051"/>
      <c r="BB263" s="1053"/>
      <c r="BC263" s="1051"/>
      <c r="BD263" s="1051"/>
      <c r="BE263" s="1053"/>
      <c r="BF263" s="1051"/>
      <c r="BG263" s="1051"/>
      <c r="BH263" s="1053"/>
      <c r="BI263" s="1052"/>
      <c r="BJ263" s="1052"/>
      <c r="BK263" s="1052"/>
      <c r="BL263" s="1052"/>
      <c r="BM263" s="1052"/>
      <c r="BN263" s="1054"/>
      <c r="BO263" s="1076">
        <f t="shared" si="14"/>
        <v>0</v>
      </c>
      <c r="BP263" s="1051"/>
      <c r="BQ263" s="1052"/>
      <c r="BR263" s="1054"/>
      <c r="BS263" s="1053"/>
      <c r="BT263" s="1051"/>
      <c r="BU263" s="1051"/>
      <c r="BV263" s="1051"/>
      <c r="BW263" s="1052"/>
      <c r="BX263" s="1052"/>
      <c r="BY263" s="1052"/>
      <c r="BZ263" s="1052"/>
      <c r="CA263" s="1052"/>
      <c r="CB263" s="1053"/>
      <c r="CC263" s="1053"/>
      <c r="CD263" s="1053"/>
      <c r="CE263" s="1053"/>
      <c r="CF263" s="1053"/>
      <c r="CG263" s="1053"/>
      <c r="CH263" s="1053"/>
      <c r="CI263" s="1123"/>
      <c r="CJ263" s="1123"/>
      <c r="CK263" s="1123"/>
      <c r="CL263" s="1123"/>
      <c r="CM263" s="1123"/>
      <c r="CN263" s="1123"/>
      <c r="CO263" s="1123"/>
      <c r="CP263" s="1123"/>
      <c r="CQ263" s="1123"/>
      <c r="CR263" s="1123"/>
      <c r="CS263" s="1123"/>
      <c r="CT263" s="1123"/>
      <c r="CU263" s="1123"/>
      <c r="CV263" s="1123"/>
      <c r="CW263" s="1123"/>
      <c r="CX263" s="1123"/>
      <c r="CY263" s="1123"/>
      <c r="CZ263" s="1114"/>
      <c r="DA263" s="1114"/>
      <c r="DB263" s="1114"/>
      <c r="DC263" s="1114"/>
      <c r="DD263" s="1114"/>
      <c r="DE263" s="1114"/>
      <c r="DF263" s="1114"/>
      <c r="DG263" s="1114"/>
      <c r="DH263" s="1114"/>
      <c r="DI263" s="1114"/>
      <c r="DJ263" s="1114"/>
      <c r="DK263" s="1114"/>
      <c r="DL263" s="1114"/>
      <c r="DM263" s="1114"/>
      <c r="DN263" s="1114"/>
      <c r="DO263" s="1114"/>
      <c r="DP263" s="1114"/>
      <c r="DQ263" s="1114"/>
      <c r="DR263" s="1114"/>
      <c r="DS263" s="1114"/>
      <c r="DT263" s="1114"/>
      <c r="DU263" s="1114"/>
      <c r="DV263" s="1115"/>
      <c r="DW263" s="1116"/>
      <c r="DX263" s="1116"/>
      <c r="DY263" s="1116"/>
      <c r="DZ263" s="1116"/>
      <c r="EA263" s="1116"/>
      <c r="EB263" s="1116"/>
      <c r="EC263" s="1116"/>
      <c r="ED263" s="1116"/>
      <c r="EE263" s="1116"/>
      <c r="EF263" s="1116"/>
      <c r="EG263" s="1116"/>
      <c r="EH263" s="1116"/>
      <c r="EI263" s="1116"/>
      <c r="EJ263" s="1116"/>
      <c r="EK263" s="1116"/>
      <c r="EL263" s="1116"/>
      <c r="EM263" s="1116"/>
      <c r="EN263" s="1116"/>
      <c r="EO263" s="1116"/>
      <c r="EP263" s="1116"/>
      <c r="EQ263" s="1116"/>
      <c r="ER263" s="1116"/>
      <c r="ES263" s="1116"/>
    </row>
    <row r="264" spans="1:149" ht="15" customHeight="1">
      <c r="A264" s="1185">
        <v>249</v>
      </c>
      <c r="B264" s="1041"/>
      <c r="C264" s="1050"/>
      <c r="D264" s="1050"/>
      <c r="E264" s="1050"/>
      <c r="F264" s="1049"/>
      <c r="G264" s="1457"/>
      <c r="H264" s="1049"/>
      <c r="I264" s="1049"/>
      <c r="J264" s="1050"/>
      <c r="K264" s="1050"/>
      <c r="L264" s="1043"/>
      <c r="M264" s="1051"/>
      <c r="N264" s="1051"/>
      <c r="O264" s="1052"/>
      <c r="P264" s="1051"/>
      <c r="Q264" s="1051"/>
      <c r="R264" s="1052"/>
      <c r="S264" s="1051"/>
      <c r="T264" s="1051"/>
      <c r="U264" s="1052"/>
      <c r="V264" s="1051"/>
      <c r="W264" s="1051"/>
      <c r="X264" s="1052"/>
      <c r="Y264" s="1053"/>
      <c r="Z264" s="1051"/>
      <c r="AA264" s="1051"/>
      <c r="AB264" s="1052"/>
      <c r="AC264" s="1051"/>
      <c r="AD264" s="1051"/>
      <c r="AE264" s="1052"/>
      <c r="AF264" s="1051"/>
      <c r="AG264" s="1051"/>
      <c r="AH264" s="1051"/>
      <c r="AI264" s="1051"/>
      <c r="AJ264" s="1052"/>
      <c r="AK264" s="1051"/>
      <c r="AL264" s="1051"/>
      <c r="AM264" s="1052"/>
      <c r="AN264" s="1051"/>
      <c r="AO264" s="1051"/>
      <c r="AP264" s="1052"/>
      <c r="AQ264" s="1051"/>
      <c r="AR264" s="1051"/>
      <c r="AS264" s="1052"/>
      <c r="AT264" s="1051"/>
      <c r="AU264" s="1051"/>
      <c r="AV264" s="1052"/>
      <c r="AW264" s="1051"/>
      <c r="AX264" s="1051"/>
      <c r="AY264" s="1053"/>
      <c r="AZ264" s="1051"/>
      <c r="BA264" s="1051"/>
      <c r="BB264" s="1053"/>
      <c r="BC264" s="1051"/>
      <c r="BD264" s="1051"/>
      <c r="BE264" s="1053"/>
      <c r="BF264" s="1051"/>
      <c r="BG264" s="1051"/>
      <c r="BH264" s="1053"/>
      <c r="BI264" s="1052"/>
      <c r="BJ264" s="1052"/>
      <c r="BK264" s="1052"/>
      <c r="BL264" s="1052"/>
      <c r="BM264" s="1052"/>
      <c r="BN264" s="1054"/>
      <c r="BO264" s="1076">
        <f t="shared" si="14"/>
        <v>0</v>
      </c>
      <c r="BP264" s="1051"/>
      <c r="BQ264" s="1052"/>
      <c r="BR264" s="1054"/>
      <c r="BS264" s="1053"/>
      <c r="BT264" s="1051"/>
      <c r="BU264" s="1051"/>
      <c r="BV264" s="1051"/>
      <c r="BW264" s="1052"/>
      <c r="BX264" s="1052"/>
      <c r="BY264" s="1052"/>
      <c r="BZ264" s="1052"/>
      <c r="CA264" s="1052"/>
      <c r="CB264" s="1053"/>
      <c r="CC264" s="1053"/>
      <c r="CD264" s="1053"/>
      <c r="CE264" s="1053"/>
      <c r="CF264" s="1053"/>
      <c r="CG264" s="1053"/>
      <c r="CH264" s="1053"/>
      <c r="CI264" s="1123"/>
      <c r="CJ264" s="1123"/>
      <c r="CK264" s="1123"/>
      <c r="CL264" s="1123"/>
      <c r="CM264" s="1123"/>
      <c r="CN264" s="1123"/>
      <c r="CO264" s="1123"/>
      <c r="CP264" s="1123"/>
      <c r="CQ264" s="1123"/>
      <c r="CR264" s="1123"/>
      <c r="CS264" s="1123"/>
      <c r="CT264" s="1123"/>
      <c r="CU264" s="1123"/>
      <c r="CV264" s="1123"/>
      <c r="CW264" s="1123"/>
      <c r="CX264" s="1123"/>
      <c r="CY264" s="1123"/>
      <c r="CZ264" s="1114"/>
      <c r="DA264" s="1114"/>
      <c r="DB264" s="1114"/>
      <c r="DC264" s="1114"/>
      <c r="DD264" s="1114"/>
      <c r="DE264" s="1114"/>
      <c r="DF264" s="1114"/>
      <c r="DG264" s="1114"/>
      <c r="DH264" s="1114"/>
      <c r="DI264" s="1114"/>
      <c r="DJ264" s="1114"/>
      <c r="DK264" s="1114"/>
      <c r="DL264" s="1114"/>
      <c r="DM264" s="1114"/>
      <c r="DN264" s="1114"/>
      <c r="DO264" s="1114"/>
      <c r="DP264" s="1114"/>
      <c r="DQ264" s="1114"/>
      <c r="DR264" s="1114"/>
      <c r="DS264" s="1114"/>
      <c r="DT264" s="1114"/>
      <c r="DU264" s="1114"/>
      <c r="DV264" s="1115"/>
      <c r="DW264" s="1116"/>
      <c r="DX264" s="1116"/>
      <c r="DY264" s="1116"/>
      <c r="DZ264" s="1116"/>
      <c r="EA264" s="1116"/>
      <c r="EB264" s="1116"/>
      <c r="EC264" s="1116"/>
      <c r="ED264" s="1116"/>
      <c r="EE264" s="1116"/>
      <c r="EF264" s="1116"/>
      <c r="EG264" s="1116"/>
      <c r="EH264" s="1116"/>
      <c r="EI264" s="1116"/>
      <c r="EJ264" s="1116"/>
      <c r="EK264" s="1116"/>
      <c r="EL264" s="1116"/>
      <c r="EM264" s="1116"/>
      <c r="EN264" s="1116"/>
      <c r="EO264" s="1116"/>
      <c r="EP264" s="1116"/>
      <c r="EQ264" s="1116"/>
      <c r="ER264" s="1116"/>
      <c r="ES264" s="1116"/>
    </row>
    <row r="265" spans="1:149" ht="15" customHeight="1">
      <c r="A265" s="1185">
        <v>250</v>
      </c>
      <c r="B265" s="1041"/>
      <c r="C265" s="1050"/>
      <c r="D265" s="1050"/>
      <c r="E265" s="1050"/>
      <c r="F265" s="1049"/>
      <c r="G265" s="1457"/>
      <c r="H265" s="1049"/>
      <c r="I265" s="1049"/>
      <c r="J265" s="1050"/>
      <c r="K265" s="1050"/>
      <c r="L265" s="1043"/>
      <c r="M265" s="1051"/>
      <c r="N265" s="1051"/>
      <c r="O265" s="1052"/>
      <c r="P265" s="1051"/>
      <c r="Q265" s="1051"/>
      <c r="R265" s="1052"/>
      <c r="S265" s="1051"/>
      <c r="T265" s="1051"/>
      <c r="U265" s="1052"/>
      <c r="V265" s="1051"/>
      <c r="W265" s="1051"/>
      <c r="X265" s="1052"/>
      <c r="Y265" s="1053"/>
      <c r="Z265" s="1051"/>
      <c r="AA265" s="1051"/>
      <c r="AB265" s="1052"/>
      <c r="AC265" s="1051"/>
      <c r="AD265" s="1051"/>
      <c r="AE265" s="1052"/>
      <c r="AF265" s="1051"/>
      <c r="AG265" s="1051"/>
      <c r="AH265" s="1051"/>
      <c r="AI265" s="1051"/>
      <c r="AJ265" s="1052"/>
      <c r="AK265" s="1051"/>
      <c r="AL265" s="1051"/>
      <c r="AM265" s="1052"/>
      <c r="AN265" s="1051"/>
      <c r="AO265" s="1051"/>
      <c r="AP265" s="1052"/>
      <c r="AQ265" s="1051"/>
      <c r="AR265" s="1051"/>
      <c r="AS265" s="1052"/>
      <c r="AT265" s="1051"/>
      <c r="AU265" s="1051"/>
      <c r="AV265" s="1052"/>
      <c r="AW265" s="1051"/>
      <c r="AX265" s="1051"/>
      <c r="AY265" s="1053"/>
      <c r="AZ265" s="1051"/>
      <c r="BA265" s="1051"/>
      <c r="BB265" s="1053"/>
      <c r="BC265" s="1051"/>
      <c r="BD265" s="1051"/>
      <c r="BE265" s="1053"/>
      <c r="BF265" s="1051"/>
      <c r="BG265" s="1051"/>
      <c r="BH265" s="1053"/>
      <c r="BI265" s="1052"/>
      <c r="BJ265" s="1052"/>
      <c r="BK265" s="1052"/>
      <c r="BL265" s="1052"/>
      <c r="BM265" s="1052"/>
      <c r="BN265" s="1054"/>
      <c r="BO265" s="1076">
        <f t="shared" si="14"/>
        <v>0</v>
      </c>
      <c r="BP265" s="1051"/>
      <c r="BQ265" s="1052"/>
      <c r="BR265" s="1054"/>
      <c r="BS265" s="1053"/>
      <c r="BT265" s="1051"/>
      <c r="BU265" s="1051"/>
      <c r="BV265" s="1051"/>
      <c r="BW265" s="1052"/>
      <c r="BX265" s="1052"/>
      <c r="BY265" s="1052"/>
      <c r="BZ265" s="1052"/>
      <c r="CA265" s="1052"/>
      <c r="CB265" s="1053"/>
      <c r="CC265" s="1053"/>
      <c r="CD265" s="1053"/>
      <c r="CE265" s="1053"/>
      <c r="CF265" s="1053"/>
      <c r="CG265" s="1053"/>
      <c r="CH265" s="1053"/>
      <c r="CI265" s="1123"/>
      <c r="CJ265" s="1123"/>
      <c r="CK265" s="1123"/>
      <c r="CL265" s="1123"/>
      <c r="CM265" s="1123"/>
      <c r="CN265" s="1123"/>
      <c r="CO265" s="1123"/>
      <c r="CP265" s="1123"/>
      <c r="CQ265" s="1123"/>
      <c r="CR265" s="1123"/>
      <c r="CS265" s="1123"/>
      <c r="CT265" s="1123"/>
      <c r="CU265" s="1123"/>
      <c r="CV265" s="1123"/>
      <c r="CW265" s="1123"/>
      <c r="CX265" s="1123"/>
      <c r="CY265" s="1123"/>
      <c r="CZ265" s="1114"/>
      <c r="DA265" s="1114"/>
      <c r="DB265" s="1114"/>
      <c r="DC265" s="1114"/>
      <c r="DD265" s="1114"/>
      <c r="DE265" s="1114"/>
      <c r="DF265" s="1114"/>
      <c r="DG265" s="1114"/>
      <c r="DH265" s="1114"/>
      <c r="DI265" s="1114"/>
      <c r="DJ265" s="1114"/>
      <c r="DK265" s="1114"/>
      <c r="DL265" s="1114"/>
      <c r="DM265" s="1114"/>
      <c r="DN265" s="1114"/>
      <c r="DO265" s="1114"/>
      <c r="DP265" s="1114"/>
      <c r="DQ265" s="1114"/>
      <c r="DR265" s="1114"/>
      <c r="DS265" s="1114"/>
      <c r="DT265" s="1114"/>
      <c r="DU265" s="1114"/>
      <c r="DV265" s="1115"/>
      <c r="DW265" s="1116"/>
      <c r="DX265" s="1116"/>
      <c r="DY265" s="1116"/>
      <c r="DZ265" s="1116"/>
      <c r="EA265" s="1116"/>
      <c r="EB265" s="1116"/>
      <c r="EC265" s="1116"/>
      <c r="ED265" s="1116"/>
      <c r="EE265" s="1116"/>
      <c r="EF265" s="1116"/>
      <c r="EG265" s="1116"/>
      <c r="EH265" s="1116"/>
      <c r="EI265" s="1116"/>
      <c r="EJ265" s="1116"/>
      <c r="EK265" s="1116"/>
      <c r="EL265" s="1116"/>
      <c r="EM265" s="1116"/>
      <c r="EN265" s="1116"/>
      <c r="EO265" s="1116"/>
      <c r="EP265" s="1116"/>
      <c r="EQ265" s="1116"/>
      <c r="ER265" s="1116"/>
      <c r="ES265" s="1116"/>
    </row>
    <row r="266" spans="1:149" ht="15" customHeight="1">
      <c r="A266" s="1185">
        <v>251</v>
      </c>
      <c r="B266" s="1041"/>
      <c r="C266" s="1050"/>
      <c r="D266" s="1050"/>
      <c r="E266" s="1050"/>
      <c r="F266" s="1049"/>
      <c r="G266" s="1457"/>
      <c r="H266" s="1049"/>
      <c r="I266" s="1049"/>
      <c r="J266" s="1050"/>
      <c r="K266" s="1050"/>
      <c r="L266" s="1043"/>
      <c r="M266" s="1051"/>
      <c r="N266" s="1051"/>
      <c r="O266" s="1052"/>
      <c r="P266" s="1051"/>
      <c r="Q266" s="1051"/>
      <c r="R266" s="1052"/>
      <c r="S266" s="1051"/>
      <c r="T266" s="1051"/>
      <c r="U266" s="1052"/>
      <c r="V266" s="1051"/>
      <c r="W266" s="1051"/>
      <c r="X266" s="1052"/>
      <c r="Y266" s="1053"/>
      <c r="Z266" s="1051"/>
      <c r="AA266" s="1051"/>
      <c r="AB266" s="1052"/>
      <c r="AC266" s="1051"/>
      <c r="AD266" s="1051"/>
      <c r="AE266" s="1052"/>
      <c r="AF266" s="1051"/>
      <c r="AG266" s="1051"/>
      <c r="AH266" s="1051"/>
      <c r="AI266" s="1051"/>
      <c r="AJ266" s="1052"/>
      <c r="AK266" s="1051"/>
      <c r="AL266" s="1051"/>
      <c r="AM266" s="1052"/>
      <c r="AN266" s="1051"/>
      <c r="AO266" s="1051"/>
      <c r="AP266" s="1052"/>
      <c r="AQ266" s="1051"/>
      <c r="AR266" s="1051"/>
      <c r="AS266" s="1052"/>
      <c r="AT266" s="1051"/>
      <c r="AU266" s="1051"/>
      <c r="AV266" s="1052"/>
      <c r="AW266" s="1051"/>
      <c r="AX266" s="1051"/>
      <c r="AY266" s="1053"/>
      <c r="AZ266" s="1051"/>
      <c r="BA266" s="1051"/>
      <c r="BB266" s="1053"/>
      <c r="BC266" s="1051"/>
      <c r="BD266" s="1051"/>
      <c r="BE266" s="1053"/>
      <c r="BF266" s="1051"/>
      <c r="BG266" s="1051"/>
      <c r="BH266" s="1053"/>
      <c r="BI266" s="1052"/>
      <c r="BJ266" s="1052"/>
      <c r="BK266" s="1052"/>
      <c r="BL266" s="1052"/>
      <c r="BM266" s="1052"/>
      <c r="BN266" s="1054"/>
      <c r="BO266" s="1076">
        <f t="shared" si="14"/>
        <v>0</v>
      </c>
      <c r="BP266" s="1051"/>
      <c r="BQ266" s="1052"/>
      <c r="BR266" s="1054"/>
      <c r="BS266" s="1053"/>
      <c r="BT266" s="1051"/>
      <c r="BU266" s="1051"/>
      <c r="BV266" s="1051"/>
      <c r="BW266" s="1052"/>
      <c r="BX266" s="1052"/>
      <c r="BY266" s="1052"/>
      <c r="BZ266" s="1052"/>
      <c r="CA266" s="1052"/>
      <c r="CB266" s="1053"/>
      <c r="CC266" s="1053"/>
      <c r="CD266" s="1053"/>
      <c r="CE266" s="1053"/>
      <c r="CF266" s="1053"/>
      <c r="CG266" s="1053"/>
      <c r="CH266" s="1053"/>
      <c r="CI266" s="1123"/>
      <c r="CJ266" s="1123"/>
      <c r="CK266" s="1123"/>
      <c r="CL266" s="1123"/>
      <c r="CM266" s="1123"/>
      <c r="CN266" s="1123"/>
      <c r="CO266" s="1123"/>
      <c r="CP266" s="1123"/>
      <c r="CQ266" s="1123"/>
      <c r="CR266" s="1123"/>
      <c r="CS266" s="1123"/>
      <c r="CT266" s="1123"/>
      <c r="CU266" s="1123"/>
      <c r="CV266" s="1123"/>
      <c r="CW266" s="1123"/>
      <c r="CX266" s="1123"/>
      <c r="CY266" s="1123"/>
      <c r="CZ266" s="1114"/>
      <c r="DA266" s="1114"/>
      <c r="DB266" s="1114"/>
      <c r="DC266" s="1114"/>
      <c r="DD266" s="1114"/>
      <c r="DE266" s="1114"/>
      <c r="DF266" s="1114"/>
      <c r="DG266" s="1114"/>
      <c r="DH266" s="1114"/>
      <c r="DI266" s="1114"/>
      <c r="DJ266" s="1114"/>
      <c r="DK266" s="1114"/>
      <c r="DL266" s="1114"/>
      <c r="DM266" s="1114"/>
      <c r="DN266" s="1114"/>
      <c r="DO266" s="1114"/>
      <c r="DP266" s="1114"/>
      <c r="DQ266" s="1114"/>
      <c r="DR266" s="1114"/>
      <c r="DS266" s="1114"/>
      <c r="DT266" s="1114"/>
      <c r="DU266" s="1114"/>
      <c r="DV266" s="1115"/>
      <c r="DW266" s="1116"/>
      <c r="DX266" s="1116"/>
      <c r="DY266" s="1116"/>
      <c r="DZ266" s="1116"/>
      <c r="EA266" s="1116"/>
      <c r="EB266" s="1116"/>
      <c r="EC266" s="1116"/>
      <c r="ED266" s="1116"/>
      <c r="EE266" s="1116"/>
      <c r="EF266" s="1116"/>
      <c r="EG266" s="1116"/>
      <c r="EH266" s="1116"/>
      <c r="EI266" s="1116"/>
      <c r="EJ266" s="1116"/>
      <c r="EK266" s="1116"/>
      <c r="EL266" s="1116"/>
      <c r="EM266" s="1116"/>
      <c r="EN266" s="1116"/>
      <c r="EO266" s="1116"/>
      <c r="EP266" s="1116"/>
      <c r="EQ266" s="1116"/>
      <c r="ER266" s="1116"/>
      <c r="ES266" s="1116"/>
    </row>
    <row r="267" spans="1:149" ht="15" customHeight="1">
      <c r="A267" s="1185">
        <v>252</v>
      </c>
      <c r="B267" s="1041"/>
      <c r="C267" s="1050"/>
      <c r="D267" s="1050"/>
      <c r="E267" s="1050"/>
      <c r="F267" s="1049"/>
      <c r="G267" s="1457"/>
      <c r="H267" s="1049"/>
      <c r="I267" s="1049"/>
      <c r="J267" s="1050"/>
      <c r="K267" s="1050"/>
      <c r="L267" s="1043"/>
      <c r="M267" s="1051"/>
      <c r="N267" s="1051"/>
      <c r="O267" s="1052"/>
      <c r="P267" s="1051"/>
      <c r="Q267" s="1051"/>
      <c r="R267" s="1052"/>
      <c r="S267" s="1051"/>
      <c r="T267" s="1051"/>
      <c r="U267" s="1052"/>
      <c r="V267" s="1051"/>
      <c r="W267" s="1051"/>
      <c r="X267" s="1052"/>
      <c r="Y267" s="1053"/>
      <c r="Z267" s="1051"/>
      <c r="AA267" s="1051"/>
      <c r="AB267" s="1052"/>
      <c r="AC267" s="1051"/>
      <c r="AD267" s="1051"/>
      <c r="AE267" s="1052"/>
      <c r="AF267" s="1051"/>
      <c r="AG267" s="1051"/>
      <c r="AH267" s="1051"/>
      <c r="AI267" s="1051"/>
      <c r="AJ267" s="1052"/>
      <c r="AK267" s="1051"/>
      <c r="AL267" s="1051"/>
      <c r="AM267" s="1052"/>
      <c r="AN267" s="1051"/>
      <c r="AO267" s="1051"/>
      <c r="AP267" s="1052"/>
      <c r="AQ267" s="1051"/>
      <c r="AR267" s="1051"/>
      <c r="AS267" s="1052"/>
      <c r="AT267" s="1051"/>
      <c r="AU267" s="1051"/>
      <c r="AV267" s="1052"/>
      <c r="AW267" s="1051"/>
      <c r="AX267" s="1051"/>
      <c r="AY267" s="1053"/>
      <c r="AZ267" s="1051"/>
      <c r="BA267" s="1051"/>
      <c r="BB267" s="1053"/>
      <c r="BC267" s="1051"/>
      <c r="BD267" s="1051"/>
      <c r="BE267" s="1053"/>
      <c r="BF267" s="1051"/>
      <c r="BG267" s="1051"/>
      <c r="BH267" s="1053"/>
      <c r="BI267" s="1052"/>
      <c r="BJ267" s="1052"/>
      <c r="BK267" s="1052"/>
      <c r="BL267" s="1052"/>
      <c r="BM267" s="1052"/>
      <c r="BN267" s="1054"/>
      <c r="BO267" s="1076">
        <f t="shared" si="14"/>
        <v>0</v>
      </c>
      <c r="BP267" s="1051"/>
      <c r="BQ267" s="1052"/>
      <c r="BR267" s="1054"/>
      <c r="BS267" s="1053"/>
      <c r="BT267" s="1051"/>
      <c r="BU267" s="1051"/>
      <c r="BV267" s="1051"/>
      <c r="BW267" s="1052"/>
      <c r="BX267" s="1052"/>
      <c r="BY267" s="1052"/>
      <c r="BZ267" s="1052"/>
      <c r="CA267" s="1052"/>
      <c r="CB267" s="1053"/>
      <c r="CC267" s="1053"/>
      <c r="CD267" s="1053"/>
      <c r="CE267" s="1053"/>
      <c r="CF267" s="1053"/>
      <c r="CG267" s="1053"/>
      <c r="CH267" s="1053"/>
      <c r="CI267" s="1123"/>
      <c r="CJ267" s="1123"/>
      <c r="CK267" s="1123"/>
      <c r="CL267" s="1123"/>
      <c r="CM267" s="1123"/>
      <c r="CN267" s="1123"/>
      <c r="CO267" s="1123"/>
      <c r="CP267" s="1123"/>
      <c r="CQ267" s="1123"/>
      <c r="CR267" s="1123"/>
      <c r="CS267" s="1123"/>
      <c r="CT267" s="1123"/>
      <c r="CU267" s="1123"/>
      <c r="CV267" s="1123"/>
      <c r="CW267" s="1123"/>
      <c r="CX267" s="1123"/>
      <c r="CY267" s="1123"/>
      <c r="CZ267" s="1114"/>
      <c r="DA267" s="1114"/>
      <c r="DB267" s="1114"/>
      <c r="DC267" s="1114"/>
      <c r="DD267" s="1114"/>
      <c r="DE267" s="1114"/>
      <c r="DF267" s="1114"/>
      <c r="DG267" s="1114"/>
      <c r="DH267" s="1114"/>
      <c r="DI267" s="1114"/>
      <c r="DJ267" s="1114"/>
      <c r="DK267" s="1114"/>
      <c r="DL267" s="1114"/>
      <c r="DM267" s="1114"/>
      <c r="DN267" s="1114"/>
      <c r="DO267" s="1114"/>
      <c r="DP267" s="1114"/>
      <c r="DQ267" s="1114"/>
      <c r="DR267" s="1114"/>
      <c r="DS267" s="1114"/>
      <c r="DT267" s="1114"/>
      <c r="DU267" s="1114"/>
      <c r="DV267" s="1115"/>
      <c r="DW267" s="1116"/>
      <c r="DX267" s="1116"/>
      <c r="DY267" s="1116"/>
      <c r="DZ267" s="1116"/>
      <c r="EA267" s="1116"/>
      <c r="EB267" s="1116"/>
      <c r="EC267" s="1116"/>
      <c r="ED267" s="1116"/>
      <c r="EE267" s="1116"/>
      <c r="EF267" s="1116"/>
      <c r="EG267" s="1116"/>
      <c r="EH267" s="1116"/>
      <c r="EI267" s="1116"/>
      <c r="EJ267" s="1116"/>
      <c r="EK267" s="1116"/>
      <c r="EL267" s="1116"/>
      <c r="EM267" s="1116"/>
      <c r="EN267" s="1116"/>
      <c r="EO267" s="1116"/>
      <c r="EP267" s="1116"/>
      <c r="EQ267" s="1116"/>
      <c r="ER267" s="1116"/>
      <c r="ES267" s="1116"/>
    </row>
    <row r="268" spans="1:149" ht="15" customHeight="1">
      <c r="A268" s="1185">
        <v>253</v>
      </c>
      <c r="B268" s="1041"/>
      <c r="C268" s="1050"/>
      <c r="D268" s="1050"/>
      <c r="E268" s="1050"/>
      <c r="F268" s="1049"/>
      <c r="G268" s="1457"/>
      <c r="H268" s="1049"/>
      <c r="I268" s="1049"/>
      <c r="J268" s="1050"/>
      <c r="K268" s="1050"/>
      <c r="L268" s="1043"/>
      <c r="M268" s="1051"/>
      <c r="N268" s="1051"/>
      <c r="O268" s="1052"/>
      <c r="P268" s="1051"/>
      <c r="Q268" s="1051"/>
      <c r="R268" s="1052"/>
      <c r="S268" s="1051"/>
      <c r="T268" s="1051"/>
      <c r="U268" s="1052"/>
      <c r="V268" s="1051"/>
      <c r="W268" s="1051"/>
      <c r="X268" s="1052"/>
      <c r="Y268" s="1053"/>
      <c r="Z268" s="1051"/>
      <c r="AA268" s="1051"/>
      <c r="AB268" s="1052"/>
      <c r="AC268" s="1051"/>
      <c r="AD268" s="1051"/>
      <c r="AE268" s="1052"/>
      <c r="AF268" s="1051"/>
      <c r="AG268" s="1051"/>
      <c r="AH268" s="1051"/>
      <c r="AI268" s="1051"/>
      <c r="AJ268" s="1052"/>
      <c r="AK268" s="1051"/>
      <c r="AL268" s="1051"/>
      <c r="AM268" s="1052"/>
      <c r="AN268" s="1051"/>
      <c r="AO268" s="1051"/>
      <c r="AP268" s="1052"/>
      <c r="AQ268" s="1051"/>
      <c r="AR268" s="1051"/>
      <c r="AS268" s="1052"/>
      <c r="AT268" s="1051"/>
      <c r="AU268" s="1051"/>
      <c r="AV268" s="1052"/>
      <c r="AW268" s="1051"/>
      <c r="AX268" s="1051"/>
      <c r="AY268" s="1053"/>
      <c r="AZ268" s="1051"/>
      <c r="BA268" s="1051"/>
      <c r="BB268" s="1053"/>
      <c r="BC268" s="1051"/>
      <c r="BD268" s="1051"/>
      <c r="BE268" s="1053"/>
      <c r="BF268" s="1051"/>
      <c r="BG268" s="1051"/>
      <c r="BH268" s="1053"/>
      <c r="BI268" s="1052"/>
      <c r="BJ268" s="1052"/>
      <c r="BK268" s="1052"/>
      <c r="BL268" s="1052"/>
      <c r="BM268" s="1052"/>
      <c r="BN268" s="1054"/>
      <c r="BO268" s="1076">
        <f t="shared" si="14"/>
        <v>0</v>
      </c>
      <c r="BP268" s="1051"/>
      <c r="BQ268" s="1052"/>
      <c r="BR268" s="1054"/>
      <c r="BS268" s="1053"/>
      <c r="BT268" s="1051"/>
      <c r="BU268" s="1051"/>
      <c r="BV268" s="1051"/>
      <c r="BW268" s="1052"/>
      <c r="BX268" s="1052"/>
      <c r="BY268" s="1052"/>
      <c r="BZ268" s="1052"/>
      <c r="CA268" s="1052"/>
      <c r="CB268" s="1053"/>
      <c r="CC268" s="1053"/>
      <c r="CD268" s="1053"/>
      <c r="CE268" s="1053"/>
      <c r="CF268" s="1053"/>
      <c r="CG268" s="1053"/>
      <c r="CH268" s="1053"/>
      <c r="CI268" s="1123"/>
      <c r="CJ268" s="1123"/>
      <c r="CK268" s="1123"/>
      <c r="CL268" s="1123"/>
      <c r="CM268" s="1123"/>
      <c r="CN268" s="1123"/>
      <c r="CO268" s="1123"/>
      <c r="CP268" s="1123"/>
      <c r="CQ268" s="1123"/>
      <c r="CR268" s="1123"/>
      <c r="CS268" s="1123"/>
      <c r="CT268" s="1123"/>
      <c r="CU268" s="1123"/>
      <c r="CV268" s="1123"/>
      <c r="CW268" s="1123"/>
      <c r="CX268" s="1123"/>
      <c r="CY268" s="1123"/>
      <c r="CZ268" s="1114"/>
      <c r="DA268" s="1114"/>
      <c r="DB268" s="1114"/>
      <c r="DC268" s="1114"/>
      <c r="DD268" s="1114"/>
      <c r="DE268" s="1114"/>
      <c r="DF268" s="1114"/>
      <c r="DG268" s="1114"/>
      <c r="DH268" s="1114"/>
      <c r="DI268" s="1114"/>
      <c r="DJ268" s="1114"/>
      <c r="DK268" s="1114"/>
      <c r="DL268" s="1114"/>
      <c r="DM268" s="1114"/>
      <c r="DN268" s="1114"/>
      <c r="DO268" s="1114"/>
      <c r="DP268" s="1114"/>
      <c r="DQ268" s="1114"/>
      <c r="DR268" s="1114"/>
      <c r="DS268" s="1114"/>
      <c r="DT268" s="1114"/>
      <c r="DU268" s="1114"/>
      <c r="DV268" s="1115"/>
      <c r="DW268" s="1116"/>
      <c r="DX268" s="1116"/>
      <c r="DY268" s="1116"/>
      <c r="DZ268" s="1116"/>
      <c r="EA268" s="1116"/>
      <c r="EB268" s="1116"/>
      <c r="EC268" s="1116"/>
      <c r="ED268" s="1116"/>
      <c r="EE268" s="1116"/>
      <c r="EF268" s="1116"/>
      <c r="EG268" s="1116"/>
      <c r="EH268" s="1116"/>
      <c r="EI268" s="1116"/>
      <c r="EJ268" s="1116"/>
      <c r="EK268" s="1116"/>
      <c r="EL268" s="1116"/>
      <c r="EM268" s="1116"/>
      <c r="EN268" s="1116"/>
      <c r="EO268" s="1116"/>
      <c r="EP268" s="1116"/>
      <c r="EQ268" s="1116"/>
      <c r="ER268" s="1116"/>
      <c r="ES268" s="1116"/>
    </row>
    <row r="269" spans="1:149" ht="15" customHeight="1">
      <c r="A269" s="1185">
        <v>254</v>
      </c>
      <c r="B269" s="1041"/>
      <c r="C269" s="1050"/>
      <c r="D269" s="1050"/>
      <c r="E269" s="1050"/>
      <c r="F269" s="1049"/>
      <c r="G269" s="1457"/>
      <c r="H269" s="1049"/>
      <c r="I269" s="1049"/>
      <c r="J269" s="1050"/>
      <c r="K269" s="1050"/>
      <c r="L269" s="1043"/>
      <c r="M269" s="1051"/>
      <c r="N269" s="1051"/>
      <c r="O269" s="1052"/>
      <c r="P269" s="1051"/>
      <c r="Q269" s="1051"/>
      <c r="R269" s="1052"/>
      <c r="S269" s="1051"/>
      <c r="T269" s="1051"/>
      <c r="U269" s="1052"/>
      <c r="V269" s="1051"/>
      <c r="W269" s="1051"/>
      <c r="X269" s="1052"/>
      <c r="Y269" s="1053"/>
      <c r="Z269" s="1051"/>
      <c r="AA269" s="1051"/>
      <c r="AB269" s="1052"/>
      <c r="AC269" s="1051"/>
      <c r="AD269" s="1051"/>
      <c r="AE269" s="1052"/>
      <c r="AF269" s="1051"/>
      <c r="AG269" s="1051"/>
      <c r="AH269" s="1051"/>
      <c r="AI269" s="1051"/>
      <c r="AJ269" s="1052"/>
      <c r="AK269" s="1051"/>
      <c r="AL269" s="1051"/>
      <c r="AM269" s="1052"/>
      <c r="AN269" s="1051"/>
      <c r="AO269" s="1051"/>
      <c r="AP269" s="1052"/>
      <c r="AQ269" s="1051"/>
      <c r="AR269" s="1051"/>
      <c r="AS269" s="1052"/>
      <c r="AT269" s="1051"/>
      <c r="AU269" s="1051"/>
      <c r="AV269" s="1052"/>
      <c r="AW269" s="1051"/>
      <c r="AX269" s="1051"/>
      <c r="AY269" s="1053"/>
      <c r="AZ269" s="1051"/>
      <c r="BA269" s="1051"/>
      <c r="BB269" s="1053"/>
      <c r="BC269" s="1051"/>
      <c r="BD269" s="1051"/>
      <c r="BE269" s="1053"/>
      <c r="BF269" s="1051"/>
      <c r="BG269" s="1051"/>
      <c r="BH269" s="1053"/>
      <c r="BI269" s="1052"/>
      <c r="BJ269" s="1052"/>
      <c r="BK269" s="1052"/>
      <c r="BL269" s="1052"/>
      <c r="BM269" s="1052"/>
      <c r="BN269" s="1054"/>
      <c r="BO269" s="1076">
        <f t="shared" si="14"/>
        <v>0</v>
      </c>
      <c r="BP269" s="1051"/>
      <c r="BQ269" s="1052"/>
      <c r="BR269" s="1054"/>
      <c r="BS269" s="1053"/>
      <c r="BT269" s="1051"/>
      <c r="BU269" s="1051"/>
      <c r="BV269" s="1051"/>
      <c r="BW269" s="1052"/>
      <c r="BX269" s="1052"/>
      <c r="BY269" s="1052"/>
      <c r="BZ269" s="1052"/>
      <c r="CA269" s="1052"/>
      <c r="CB269" s="1053"/>
      <c r="CC269" s="1053"/>
      <c r="CD269" s="1053"/>
      <c r="CE269" s="1053"/>
      <c r="CF269" s="1053"/>
      <c r="CG269" s="1053"/>
      <c r="CH269" s="1053"/>
      <c r="CI269" s="1123"/>
      <c r="CJ269" s="1123"/>
      <c r="CK269" s="1123"/>
      <c r="CL269" s="1123"/>
      <c r="CM269" s="1123"/>
      <c r="CN269" s="1123"/>
      <c r="CO269" s="1123"/>
      <c r="CP269" s="1123"/>
      <c r="CQ269" s="1123"/>
      <c r="CR269" s="1123"/>
      <c r="CS269" s="1123"/>
      <c r="CT269" s="1123"/>
      <c r="CU269" s="1123"/>
      <c r="CV269" s="1123"/>
      <c r="CW269" s="1123"/>
      <c r="CX269" s="1123"/>
      <c r="CY269" s="1123"/>
      <c r="CZ269" s="1114"/>
      <c r="DA269" s="1114"/>
      <c r="DB269" s="1114"/>
      <c r="DC269" s="1114"/>
      <c r="DD269" s="1114"/>
      <c r="DE269" s="1114"/>
      <c r="DF269" s="1114"/>
      <c r="DG269" s="1114"/>
      <c r="DH269" s="1114"/>
      <c r="DI269" s="1114"/>
      <c r="DJ269" s="1114"/>
      <c r="DK269" s="1114"/>
      <c r="DL269" s="1114"/>
      <c r="DM269" s="1114"/>
      <c r="DN269" s="1114"/>
      <c r="DO269" s="1114"/>
      <c r="DP269" s="1114"/>
      <c r="DQ269" s="1114"/>
      <c r="DR269" s="1114"/>
      <c r="DS269" s="1114"/>
      <c r="DT269" s="1114"/>
      <c r="DU269" s="1114"/>
      <c r="DV269" s="1115"/>
      <c r="DW269" s="1116"/>
      <c r="DX269" s="1116"/>
      <c r="DY269" s="1116"/>
      <c r="DZ269" s="1116"/>
      <c r="EA269" s="1116"/>
      <c r="EB269" s="1116"/>
      <c r="EC269" s="1116"/>
      <c r="ED269" s="1116"/>
      <c r="EE269" s="1116"/>
      <c r="EF269" s="1116"/>
      <c r="EG269" s="1116"/>
      <c r="EH269" s="1116"/>
      <c r="EI269" s="1116"/>
      <c r="EJ269" s="1116"/>
      <c r="EK269" s="1116"/>
      <c r="EL269" s="1116"/>
      <c r="EM269" s="1116"/>
      <c r="EN269" s="1116"/>
      <c r="EO269" s="1116"/>
      <c r="EP269" s="1116"/>
      <c r="EQ269" s="1116"/>
      <c r="ER269" s="1116"/>
      <c r="ES269" s="1116"/>
    </row>
    <row r="270" spans="1:149" ht="15" customHeight="1">
      <c r="A270" s="1185">
        <v>255</v>
      </c>
      <c r="B270" s="1041"/>
      <c r="C270" s="1050"/>
      <c r="D270" s="1050"/>
      <c r="E270" s="1050"/>
      <c r="F270" s="1049"/>
      <c r="G270" s="1457"/>
      <c r="H270" s="1049"/>
      <c r="I270" s="1049"/>
      <c r="J270" s="1050"/>
      <c r="K270" s="1050"/>
      <c r="L270" s="1043"/>
      <c r="M270" s="1051"/>
      <c r="N270" s="1051"/>
      <c r="O270" s="1052"/>
      <c r="P270" s="1051"/>
      <c r="Q270" s="1051"/>
      <c r="R270" s="1052"/>
      <c r="S270" s="1051"/>
      <c r="T270" s="1051"/>
      <c r="U270" s="1052"/>
      <c r="V270" s="1051"/>
      <c r="W270" s="1051"/>
      <c r="X270" s="1052"/>
      <c r="Y270" s="1053"/>
      <c r="Z270" s="1051"/>
      <c r="AA270" s="1051"/>
      <c r="AB270" s="1052"/>
      <c r="AC270" s="1051"/>
      <c r="AD270" s="1051"/>
      <c r="AE270" s="1052"/>
      <c r="AF270" s="1051"/>
      <c r="AG270" s="1051"/>
      <c r="AH270" s="1051"/>
      <c r="AI270" s="1051"/>
      <c r="AJ270" s="1052"/>
      <c r="AK270" s="1051"/>
      <c r="AL270" s="1051"/>
      <c r="AM270" s="1052"/>
      <c r="AN270" s="1051"/>
      <c r="AO270" s="1051"/>
      <c r="AP270" s="1052"/>
      <c r="AQ270" s="1051"/>
      <c r="AR270" s="1051"/>
      <c r="AS270" s="1052"/>
      <c r="AT270" s="1051"/>
      <c r="AU270" s="1051"/>
      <c r="AV270" s="1052"/>
      <c r="AW270" s="1051"/>
      <c r="AX270" s="1051"/>
      <c r="AY270" s="1053"/>
      <c r="AZ270" s="1051"/>
      <c r="BA270" s="1051"/>
      <c r="BB270" s="1053"/>
      <c r="BC270" s="1051"/>
      <c r="BD270" s="1051"/>
      <c r="BE270" s="1053"/>
      <c r="BF270" s="1051"/>
      <c r="BG270" s="1051"/>
      <c r="BH270" s="1053"/>
      <c r="BI270" s="1052"/>
      <c r="BJ270" s="1052"/>
      <c r="BK270" s="1052"/>
      <c r="BL270" s="1052"/>
      <c r="BM270" s="1052"/>
      <c r="BN270" s="1054"/>
      <c r="BO270" s="1076">
        <f t="shared" si="14"/>
        <v>0</v>
      </c>
      <c r="BP270" s="1051"/>
      <c r="BQ270" s="1052"/>
      <c r="BR270" s="1054"/>
      <c r="BS270" s="1053"/>
      <c r="BT270" s="1051"/>
      <c r="BU270" s="1051"/>
      <c r="BV270" s="1051"/>
      <c r="BW270" s="1052"/>
      <c r="BX270" s="1052"/>
      <c r="BY270" s="1052"/>
      <c r="BZ270" s="1052"/>
      <c r="CA270" s="1052"/>
      <c r="CB270" s="1053"/>
      <c r="CC270" s="1053"/>
      <c r="CD270" s="1053"/>
      <c r="CE270" s="1053"/>
      <c r="CF270" s="1053"/>
      <c r="CG270" s="1053"/>
      <c r="CH270" s="1053"/>
      <c r="CI270" s="1123"/>
      <c r="CJ270" s="1123"/>
      <c r="CK270" s="1123"/>
      <c r="CL270" s="1123"/>
      <c r="CM270" s="1123"/>
      <c r="CN270" s="1123"/>
      <c r="CO270" s="1123"/>
      <c r="CP270" s="1123"/>
      <c r="CQ270" s="1123"/>
      <c r="CR270" s="1123"/>
      <c r="CS270" s="1123"/>
      <c r="CT270" s="1123"/>
      <c r="CU270" s="1123"/>
      <c r="CV270" s="1123"/>
      <c r="CW270" s="1123"/>
      <c r="CX270" s="1123"/>
      <c r="CY270" s="1123"/>
      <c r="CZ270" s="1114"/>
      <c r="DA270" s="1114"/>
      <c r="DB270" s="1114"/>
      <c r="DC270" s="1114"/>
      <c r="DD270" s="1114"/>
      <c r="DE270" s="1114"/>
      <c r="DF270" s="1114"/>
      <c r="DG270" s="1114"/>
      <c r="DH270" s="1114"/>
      <c r="DI270" s="1114"/>
      <c r="DJ270" s="1114"/>
      <c r="DK270" s="1114"/>
      <c r="DL270" s="1114"/>
      <c r="DM270" s="1114"/>
      <c r="DN270" s="1114"/>
      <c r="DO270" s="1114"/>
      <c r="DP270" s="1114"/>
      <c r="DQ270" s="1114"/>
      <c r="DR270" s="1114"/>
      <c r="DS270" s="1114"/>
      <c r="DT270" s="1114"/>
      <c r="DU270" s="1114"/>
      <c r="DV270" s="1115"/>
      <c r="DW270" s="1116"/>
      <c r="DX270" s="1116"/>
      <c r="DY270" s="1116"/>
      <c r="DZ270" s="1116"/>
      <c r="EA270" s="1116"/>
      <c r="EB270" s="1116"/>
      <c r="EC270" s="1116"/>
      <c r="ED270" s="1116"/>
      <c r="EE270" s="1116"/>
      <c r="EF270" s="1116"/>
      <c r="EG270" s="1116"/>
      <c r="EH270" s="1116"/>
      <c r="EI270" s="1116"/>
      <c r="EJ270" s="1116"/>
      <c r="EK270" s="1116"/>
      <c r="EL270" s="1116"/>
      <c r="EM270" s="1116"/>
      <c r="EN270" s="1116"/>
      <c r="EO270" s="1116"/>
      <c r="EP270" s="1116"/>
      <c r="EQ270" s="1116"/>
      <c r="ER270" s="1116"/>
      <c r="ES270" s="1116"/>
    </row>
    <row r="271" spans="1:149" ht="15" customHeight="1">
      <c r="A271" s="1185">
        <v>256</v>
      </c>
      <c r="B271" s="1041"/>
      <c r="C271" s="1050"/>
      <c r="D271" s="1050"/>
      <c r="E271" s="1050"/>
      <c r="F271" s="1049"/>
      <c r="G271" s="1457"/>
      <c r="H271" s="1049"/>
      <c r="I271" s="1049"/>
      <c r="J271" s="1050"/>
      <c r="K271" s="1050"/>
      <c r="L271" s="1043"/>
      <c r="M271" s="1051"/>
      <c r="N271" s="1051"/>
      <c r="O271" s="1052"/>
      <c r="P271" s="1051"/>
      <c r="Q271" s="1051"/>
      <c r="R271" s="1052"/>
      <c r="S271" s="1051"/>
      <c r="T271" s="1051"/>
      <c r="U271" s="1052"/>
      <c r="V271" s="1051"/>
      <c r="W271" s="1051"/>
      <c r="X271" s="1052"/>
      <c r="Y271" s="1053"/>
      <c r="Z271" s="1051"/>
      <c r="AA271" s="1051"/>
      <c r="AB271" s="1052"/>
      <c r="AC271" s="1051"/>
      <c r="AD271" s="1051"/>
      <c r="AE271" s="1052"/>
      <c r="AF271" s="1051"/>
      <c r="AG271" s="1051"/>
      <c r="AH271" s="1051"/>
      <c r="AI271" s="1051"/>
      <c r="AJ271" s="1052"/>
      <c r="AK271" s="1051"/>
      <c r="AL271" s="1051"/>
      <c r="AM271" s="1052"/>
      <c r="AN271" s="1051"/>
      <c r="AO271" s="1051"/>
      <c r="AP271" s="1052"/>
      <c r="AQ271" s="1051"/>
      <c r="AR271" s="1051"/>
      <c r="AS271" s="1052"/>
      <c r="AT271" s="1051"/>
      <c r="AU271" s="1051"/>
      <c r="AV271" s="1052"/>
      <c r="AW271" s="1051"/>
      <c r="AX271" s="1051"/>
      <c r="AY271" s="1053"/>
      <c r="AZ271" s="1051"/>
      <c r="BA271" s="1051"/>
      <c r="BB271" s="1053"/>
      <c r="BC271" s="1051"/>
      <c r="BD271" s="1051"/>
      <c r="BE271" s="1053"/>
      <c r="BF271" s="1051"/>
      <c r="BG271" s="1051"/>
      <c r="BH271" s="1053"/>
      <c r="BI271" s="1052"/>
      <c r="BJ271" s="1052"/>
      <c r="BK271" s="1052"/>
      <c r="BL271" s="1052"/>
      <c r="BM271" s="1052"/>
      <c r="BN271" s="1054"/>
      <c r="BO271" s="1076">
        <f t="shared" si="14"/>
        <v>0</v>
      </c>
      <c r="BP271" s="1051"/>
      <c r="BQ271" s="1052"/>
      <c r="BR271" s="1054"/>
      <c r="BS271" s="1053"/>
      <c r="BT271" s="1051"/>
      <c r="BU271" s="1051"/>
      <c r="BV271" s="1051"/>
      <c r="BW271" s="1052"/>
      <c r="BX271" s="1052"/>
      <c r="BY271" s="1052"/>
      <c r="BZ271" s="1052"/>
      <c r="CA271" s="1052"/>
      <c r="CB271" s="1053"/>
      <c r="CC271" s="1053"/>
      <c r="CD271" s="1053"/>
      <c r="CE271" s="1053"/>
      <c r="CF271" s="1053"/>
      <c r="CG271" s="1053"/>
      <c r="CH271" s="1053"/>
      <c r="CI271" s="1123"/>
      <c r="CJ271" s="1123"/>
      <c r="CK271" s="1123"/>
      <c r="CL271" s="1123"/>
      <c r="CM271" s="1123"/>
      <c r="CN271" s="1123"/>
      <c r="CO271" s="1123"/>
      <c r="CP271" s="1123"/>
      <c r="CQ271" s="1123"/>
      <c r="CR271" s="1123"/>
      <c r="CS271" s="1123"/>
      <c r="CT271" s="1123"/>
      <c r="CU271" s="1123"/>
      <c r="CV271" s="1123"/>
      <c r="CW271" s="1123"/>
      <c r="CX271" s="1123"/>
      <c r="CY271" s="1123"/>
      <c r="CZ271" s="1114"/>
      <c r="DA271" s="1114"/>
      <c r="DB271" s="1114"/>
      <c r="DC271" s="1114"/>
      <c r="DD271" s="1114"/>
      <c r="DE271" s="1114"/>
      <c r="DF271" s="1114"/>
      <c r="DG271" s="1114"/>
      <c r="DH271" s="1114"/>
      <c r="DI271" s="1114"/>
      <c r="DJ271" s="1114"/>
      <c r="DK271" s="1114"/>
      <c r="DL271" s="1114"/>
      <c r="DM271" s="1114"/>
      <c r="DN271" s="1114"/>
      <c r="DO271" s="1114"/>
      <c r="DP271" s="1114"/>
      <c r="DQ271" s="1114"/>
      <c r="DR271" s="1114"/>
      <c r="DS271" s="1114"/>
      <c r="DT271" s="1114"/>
      <c r="DU271" s="1114"/>
      <c r="DV271" s="1115"/>
      <c r="DW271" s="1116"/>
      <c r="DX271" s="1116"/>
      <c r="DY271" s="1116"/>
      <c r="DZ271" s="1116"/>
      <c r="EA271" s="1116"/>
      <c r="EB271" s="1116"/>
      <c r="EC271" s="1116"/>
      <c r="ED271" s="1116"/>
      <c r="EE271" s="1116"/>
      <c r="EF271" s="1116"/>
      <c r="EG271" s="1116"/>
      <c r="EH271" s="1116"/>
      <c r="EI271" s="1116"/>
      <c r="EJ271" s="1116"/>
      <c r="EK271" s="1116"/>
      <c r="EL271" s="1116"/>
      <c r="EM271" s="1116"/>
      <c r="EN271" s="1116"/>
      <c r="EO271" s="1116"/>
      <c r="EP271" s="1116"/>
      <c r="EQ271" s="1116"/>
      <c r="ER271" s="1116"/>
      <c r="ES271" s="1116"/>
    </row>
    <row r="272" spans="1:149" ht="15" customHeight="1">
      <c r="A272" s="1185">
        <v>257</v>
      </c>
      <c r="B272" s="1041"/>
      <c r="C272" s="1050"/>
      <c r="D272" s="1050"/>
      <c r="E272" s="1050"/>
      <c r="F272" s="1049"/>
      <c r="G272" s="1457"/>
      <c r="H272" s="1049"/>
      <c r="I272" s="1049"/>
      <c r="J272" s="1050"/>
      <c r="K272" s="1050"/>
      <c r="L272" s="1043"/>
      <c r="M272" s="1051"/>
      <c r="N272" s="1051"/>
      <c r="O272" s="1052"/>
      <c r="P272" s="1051"/>
      <c r="Q272" s="1051"/>
      <c r="R272" s="1052"/>
      <c r="S272" s="1051"/>
      <c r="T272" s="1051"/>
      <c r="U272" s="1052"/>
      <c r="V272" s="1051"/>
      <c r="W272" s="1051"/>
      <c r="X272" s="1052"/>
      <c r="Y272" s="1053"/>
      <c r="Z272" s="1051"/>
      <c r="AA272" s="1051"/>
      <c r="AB272" s="1052"/>
      <c r="AC272" s="1051"/>
      <c r="AD272" s="1051"/>
      <c r="AE272" s="1052"/>
      <c r="AF272" s="1051"/>
      <c r="AG272" s="1051"/>
      <c r="AH272" s="1051"/>
      <c r="AI272" s="1051"/>
      <c r="AJ272" s="1052"/>
      <c r="AK272" s="1051"/>
      <c r="AL272" s="1051"/>
      <c r="AM272" s="1052"/>
      <c r="AN272" s="1051"/>
      <c r="AO272" s="1051"/>
      <c r="AP272" s="1052"/>
      <c r="AQ272" s="1051"/>
      <c r="AR272" s="1051"/>
      <c r="AS272" s="1052"/>
      <c r="AT272" s="1051"/>
      <c r="AU272" s="1051"/>
      <c r="AV272" s="1052"/>
      <c r="AW272" s="1051"/>
      <c r="AX272" s="1051"/>
      <c r="AY272" s="1053"/>
      <c r="AZ272" s="1051"/>
      <c r="BA272" s="1051"/>
      <c r="BB272" s="1053"/>
      <c r="BC272" s="1051"/>
      <c r="BD272" s="1051"/>
      <c r="BE272" s="1053"/>
      <c r="BF272" s="1051"/>
      <c r="BG272" s="1051"/>
      <c r="BH272" s="1053"/>
      <c r="BI272" s="1052"/>
      <c r="BJ272" s="1052"/>
      <c r="BK272" s="1052"/>
      <c r="BL272" s="1052"/>
      <c r="BM272" s="1052"/>
      <c r="BN272" s="1054"/>
      <c r="BO272" s="1076">
        <f t="shared" si="14"/>
        <v>0</v>
      </c>
      <c r="BP272" s="1051"/>
      <c r="BQ272" s="1052"/>
      <c r="BR272" s="1054"/>
      <c r="BS272" s="1053"/>
      <c r="BT272" s="1051"/>
      <c r="BU272" s="1051"/>
      <c r="BV272" s="1051"/>
      <c r="BW272" s="1052"/>
      <c r="BX272" s="1052"/>
      <c r="BY272" s="1052"/>
      <c r="BZ272" s="1052"/>
      <c r="CA272" s="1052"/>
      <c r="CB272" s="1053"/>
      <c r="CC272" s="1053"/>
      <c r="CD272" s="1053"/>
      <c r="CE272" s="1053"/>
      <c r="CF272" s="1053"/>
      <c r="CG272" s="1053"/>
      <c r="CH272" s="1053"/>
      <c r="CI272" s="1123"/>
      <c r="CJ272" s="1123"/>
      <c r="CK272" s="1123"/>
      <c r="CL272" s="1123"/>
      <c r="CM272" s="1123"/>
      <c r="CN272" s="1123"/>
      <c r="CO272" s="1123"/>
      <c r="CP272" s="1123"/>
      <c r="CQ272" s="1123"/>
      <c r="CR272" s="1123"/>
      <c r="CS272" s="1123"/>
      <c r="CT272" s="1123"/>
      <c r="CU272" s="1123"/>
      <c r="CV272" s="1123"/>
      <c r="CW272" s="1123"/>
      <c r="CX272" s="1123"/>
      <c r="CY272" s="1123"/>
      <c r="CZ272" s="1114"/>
      <c r="DA272" s="1114"/>
      <c r="DB272" s="1114"/>
      <c r="DC272" s="1114"/>
      <c r="DD272" s="1114"/>
      <c r="DE272" s="1114"/>
      <c r="DF272" s="1114"/>
      <c r="DG272" s="1114"/>
      <c r="DH272" s="1114"/>
      <c r="DI272" s="1114"/>
      <c r="DJ272" s="1114"/>
      <c r="DK272" s="1114"/>
      <c r="DL272" s="1114"/>
      <c r="DM272" s="1114"/>
      <c r="DN272" s="1114"/>
      <c r="DO272" s="1114"/>
      <c r="DP272" s="1114"/>
      <c r="DQ272" s="1114"/>
      <c r="DR272" s="1114"/>
      <c r="DS272" s="1114"/>
      <c r="DT272" s="1114"/>
      <c r="DU272" s="1114"/>
      <c r="DV272" s="1115"/>
      <c r="DW272" s="1116"/>
      <c r="DX272" s="1116"/>
      <c r="DY272" s="1116"/>
      <c r="DZ272" s="1116"/>
      <c r="EA272" s="1116"/>
      <c r="EB272" s="1116"/>
      <c r="EC272" s="1116"/>
      <c r="ED272" s="1116"/>
      <c r="EE272" s="1116"/>
      <c r="EF272" s="1116"/>
      <c r="EG272" s="1116"/>
      <c r="EH272" s="1116"/>
      <c r="EI272" s="1116"/>
      <c r="EJ272" s="1116"/>
      <c r="EK272" s="1116"/>
      <c r="EL272" s="1116"/>
      <c r="EM272" s="1116"/>
      <c r="EN272" s="1116"/>
      <c r="EO272" s="1116"/>
      <c r="EP272" s="1116"/>
      <c r="EQ272" s="1116"/>
      <c r="ER272" s="1116"/>
      <c r="ES272" s="1116"/>
    </row>
    <row r="273" spans="1:149" ht="15" customHeight="1">
      <c r="A273" s="1185">
        <v>258</v>
      </c>
      <c r="B273" s="1041"/>
      <c r="C273" s="1050"/>
      <c r="D273" s="1050"/>
      <c r="E273" s="1050"/>
      <c r="F273" s="1049"/>
      <c r="G273" s="1457"/>
      <c r="H273" s="1049"/>
      <c r="I273" s="1049"/>
      <c r="J273" s="1050"/>
      <c r="K273" s="1050"/>
      <c r="L273" s="1043"/>
      <c r="M273" s="1051"/>
      <c r="N273" s="1051"/>
      <c r="O273" s="1052"/>
      <c r="P273" s="1051"/>
      <c r="Q273" s="1051"/>
      <c r="R273" s="1052"/>
      <c r="S273" s="1051"/>
      <c r="T273" s="1051"/>
      <c r="U273" s="1052"/>
      <c r="V273" s="1051"/>
      <c r="W273" s="1051"/>
      <c r="X273" s="1052"/>
      <c r="Y273" s="1053"/>
      <c r="Z273" s="1051"/>
      <c r="AA273" s="1051"/>
      <c r="AB273" s="1052"/>
      <c r="AC273" s="1051"/>
      <c r="AD273" s="1051"/>
      <c r="AE273" s="1052"/>
      <c r="AF273" s="1051"/>
      <c r="AG273" s="1051"/>
      <c r="AH273" s="1051"/>
      <c r="AI273" s="1051"/>
      <c r="AJ273" s="1052"/>
      <c r="AK273" s="1051"/>
      <c r="AL273" s="1051"/>
      <c r="AM273" s="1052"/>
      <c r="AN273" s="1051"/>
      <c r="AO273" s="1051"/>
      <c r="AP273" s="1052"/>
      <c r="AQ273" s="1051"/>
      <c r="AR273" s="1051"/>
      <c r="AS273" s="1052"/>
      <c r="AT273" s="1051"/>
      <c r="AU273" s="1051"/>
      <c r="AV273" s="1052"/>
      <c r="AW273" s="1051"/>
      <c r="AX273" s="1051"/>
      <c r="AY273" s="1053"/>
      <c r="AZ273" s="1051"/>
      <c r="BA273" s="1051"/>
      <c r="BB273" s="1053"/>
      <c r="BC273" s="1051"/>
      <c r="BD273" s="1051"/>
      <c r="BE273" s="1053"/>
      <c r="BF273" s="1051"/>
      <c r="BG273" s="1051"/>
      <c r="BH273" s="1053"/>
      <c r="BI273" s="1052"/>
      <c r="BJ273" s="1052"/>
      <c r="BK273" s="1052"/>
      <c r="BL273" s="1052"/>
      <c r="BM273" s="1052"/>
      <c r="BN273" s="1054"/>
      <c r="BO273" s="1076">
        <f t="shared" ref="BO273:BO336" si="15">H273</f>
        <v>0</v>
      </c>
      <c r="BP273" s="1051"/>
      <c r="BQ273" s="1052"/>
      <c r="BR273" s="1054"/>
      <c r="BS273" s="1053"/>
      <c r="BT273" s="1051"/>
      <c r="BU273" s="1051"/>
      <c r="BV273" s="1051"/>
      <c r="BW273" s="1052"/>
      <c r="BX273" s="1052"/>
      <c r="BY273" s="1052"/>
      <c r="BZ273" s="1052"/>
      <c r="CA273" s="1052"/>
      <c r="CB273" s="1053"/>
      <c r="CC273" s="1053"/>
      <c r="CD273" s="1053"/>
      <c r="CE273" s="1053"/>
      <c r="CF273" s="1053"/>
      <c r="CG273" s="1053"/>
      <c r="CH273" s="1053"/>
      <c r="CI273" s="1123"/>
      <c r="CJ273" s="1123"/>
      <c r="CK273" s="1123"/>
      <c r="CL273" s="1123"/>
      <c r="CM273" s="1123"/>
      <c r="CN273" s="1123"/>
      <c r="CO273" s="1123"/>
      <c r="CP273" s="1123"/>
      <c r="CQ273" s="1123"/>
      <c r="CR273" s="1123"/>
      <c r="CS273" s="1123"/>
      <c r="CT273" s="1123"/>
      <c r="CU273" s="1123"/>
      <c r="CV273" s="1123"/>
      <c r="CW273" s="1123"/>
      <c r="CX273" s="1123"/>
      <c r="CY273" s="1123"/>
      <c r="CZ273" s="1114"/>
      <c r="DA273" s="1114"/>
      <c r="DB273" s="1114"/>
      <c r="DC273" s="1114"/>
      <c r="DD273" s="1114"/>
      <c r="DE273" s="1114"/>
      <c r="DF273" s="1114"/>
      <c r="DG273" s="1114"/>
      <c r="DH273" s="1114"/>
      <c r="DI273" s="1114"/>
      <c r="DJ273" s="1114"/>
      <c r="DK273" s="1114"/>
      <c r="DL273" s="1114"/>
      <c r="DM273" s="1114"/>
      <c r="DN273" s="1114"/>
      <c r="DO273" s="1114"/>
      <c r="DP273" s="1114"/>
      <c r="DQ273" s="1114"/>
      <c r="DR273" s="1114"/>
      <c r="DS273" s="1114"/>
      <c r="DT273" s="1114"/>
      <c r="DU273" s="1114"/>
      <c r="DV273" s="1115"/>
      <c r="DW273" s="1116"/>
      <c r="DX273" s="1116"/>
      <c r="DY273" s="1116"/>
      <c r="DZ273" s="1116"/>
      <c r="EA273" s="1116"/>
      <c r="EB273" s="1116"/>
      <c r="EC273" s="1116"/>
      <c r="ED273" s="1116"/>
      <c r="EE273" s="1116"/>
      <c r="EF273" s="1116"/>
      <c r="EG273" s="1116"/>
      <c r="EH273" s="1116"/>
      <c r="EI273" s="1116"/>
      <c r="EJ273" s="1116"/>
      <c r="EK273" s="1116"/>
      <c r="EL273" s="1116"/>
      <c r="EM273" s="1116"/>
      <c r="EN273" s="1116"/>
      <c r="EO273" s="1116"/>
      <c r="EP273" s="1116"/>
      <c r="EQ273" s="1116"/>
      <c r="ER273" s="1116"/>
      <c r="ES273" s="1116"/>
    </row>
    <row r="274" spans="1:149" ht="15" customHeight="1">
      <c r="A274" s="1185">
        <v>259</v>
      </c>
      <c r="B274" s="1041"/>
      <c r="C274" s="1050"/>
      <c r="D274" s="1050"/>
      <c r="E274" s="1050"/>
      <c r="F274" s="1049"/>
      <c r="G274" s="1457"/>
      <c r="H274" s="1049"/>
      <c r="I274" s="1049"/>
      <c r="J274" s="1050"/>
      <c r="K274" s="1050"/>
      <c r="L274" s="1043"/>
      <c r="M274" s="1051"/>
      <c r="N274" s="1051"/>
      <c r="O274" s="1052"/>
      <c r="P274" s="1051"/>
      <c r="Q274" s="1051"/>
      <c r="R274" s="1052"/>
      <c r="S274" s="1051"/>
      <c r="T274" s="1051"/>
      <c r="U274" s="1052"/>
      <c r="V274" s="1051"/>
      <c r="W274" s="1051"/>
      <c r="X274" s="1052"/>
      <c r="Y274" s="1053"/>
      <c r="Z274" s="1051"/>
      <c r="AA274" s="1051"/>
      <c r="AB274" s="1052"/>
      <c r="AC274" s="1051"/>
      <c r="AD274" s="1051"/>
      <c r="AE274" s="1052"/>
      <c r="AF274" s="1051"/>
      <c r="AG274" s="1051"/>
      <c r="AH274" s="1051"/>
      <c r="AI274" s="1051"/>
      <c r="AJ274" s="1052"/>
      <c r="AK274" s="1051"/>
      <c r="AL274" s="1051"/>
      <c r="AM274" s="1052"/>
      <c r="AN274" s="1051"/>
      <c r="AO274" s="1051"/>
      <c r="AP274" s="1052"/>
      <c r="AQ274" s="1051"/>
      <c r="AR274" s="1051"/>
      <c r="AS274" s="1052"/>
      <c r="AT274" s="1051"/>
      <c r="AU274" s="1051"/>
      <c r="AV274" s="1052"/>
      <c r="AW274" s="1051"/>
      <c r="AX274" s="1051"/>
      <c r="AY274" s="1053"/>
      <c r="AZ274" s="1051"/>
      <c r="BA274" s="1051"/>
      <c r="BB274" s="1053"/>
      <c r="BC274" s="1051"/>
      <c r="BD274" s="1051"/>
      <c r="BE274" s="1053"/>
      <c r="BF274" s="1051"/>
      <c r="BG274" s="1051"/>
      <c r="BH274" s="1053"/>
      <c r="BI274" s="1052"/>
      <c r="BJ274" s="1052"/>
      <c r="BK274" s="1052"/>
      <c r="BL274" s="1052"/>
      <c r="BM274" s="1052"/>
      <c r="BN274" s="1054"/>
      <c r="BO274" s="1076">
        <f t="shared" si="15"/>
        <v>0</v>
      </c>
      <c r="BP274" s="1051"/>
      <c r="BQ274" s="1052"/>
      <c r="BR274" s="1054"/>
      <c r="BS274" s="1053"/>
      <c r="BT274" s="1051"/>
      <c r="BU274" s="1051"/>
      <c r="BV274" s="1051"/>
      <c r="BW274" s="1052"/>
      <c r="BX274" s="1052"/>
      <c r="BY274" s="1052"/>
      <c r="BZ274" s="1052"/>
      <c r="CA274" s="1052"/>
      <c r="CB274" s="1053"/>
      <c r="CC274" s="1053"/>
      <c r="CD274" s="1053"/>
      <c r="CE274" s="1053"/>
      <c r="CF274" s="1053"/>
      <c r="CG274" s="1053"/>
      <c r="CH274" s="1053"/>
      <c r="CI274" s="1123"/>
      <c r="CJ274" s="1123"/>
      <c r="CK274" s="1123"/>
      <c r="CL274" s="1123"/>
      <c r="CM274" s="1123"/>
      <c r="CN274" s="1123"/>
      <c r="CO274" s="1123"/>
      <c r="CP274" s="1123"/>
      <c r="CQ274" s="1123"/>
      <c r="CR274" s="1123"/>
      <c r="CS274" s="1123"/>
      <c r="CT274" s="1123"/>
      <c r="CU274" s="1123"/>
      <c r="CV274" s="1123"/>
      <c r="CW274" s="1123"/>
      <c r="CX274" s="1123"/>
      <c r="CY274" s="1123"/>
      <c r="CZ274" s="1114"/>
      <c r="DA274" s="1114"/>
      <c r="DB274" s="1114"/>
      <c r="DC274" s="1114"/>
      <c r="DD274" s="1114"/>
      <c r="DE274" s="1114"/>
      <c r="DF274" s="1114"/>
      <c r="DG274" s="1114"/>
      <c r="DH274" s="1114"/>
      <c r="DI274" s="1114"/>
      <c r="DJ274" s="1114"/>
      <c r="DK274" s="1114"/>
      <c r="DL274" s="1114"/>
      <c r="DM274" s="1114"/>
      <c r="DN274" s="1114"/>
      <c r="DO274" s="1114"/>
      <c r="DP274" s="1114"/>
      <c r="DQ274" s="1114"/>
      <c r="DR274" s="1114"/>
      <c r="DS274" s="1114"/>
      <c r="DT274" s="1114"/>
      <c r="DU274" s="1114"/>
      <c r="DV274" s="1115"/>
      <c r="DW274" s="1116"/>
      <c r="DX274" s="1116"/>
      <c r="DY274" s="1116"/>
      <c r="DZ274" s="1116"/>
      <c r="EA274" s="1116"/>
      <c r="EB274" s="1116"/>
      <c r="EC274" s="1116"/>
      <c r="ED274" s="1116"/>
      <c r="EE274" s="1116"/>
      <c r="EF274" s="1116"/>
      <c r="EG274" s="1116"/>
      <c r="EH274" s="1116"/>
      <c r="EI274" s="1116"/>
      <c r="EJ274" s="1116"/>
      <c r="EK274" s="1116"/>
      <c r="EL274" s="1116"/>
      <c r="EM274" s="1116"/>
      <c r="EN274" s="1116"/>
      <c r="EO274" s="1116"/>
      <c r="EP274" s="1116"/>
      <c r="EQ274" s="1116"/>
      <c r="ER274" s="1116"/>
      <c r="ES274" s="1116"/>
    </row>
    <row r="275" spans="1:149" ht="15" customHeight="1">
      <c r="A275" s="1185">
        <v>260</v>
      </c>
      <c r="B275" s="1041"/>
      <c r="C275" s="1050"/>
      <c r="D275" s="1050"/>
      <c r="E275" s="1050"/>
      <c r="F275" s="1049"/>
      <c r="G275" s="1457"/>
      <c r="H275" s="1049"/>
      <c r="I275" s="1049"/>
      <c r="J275" s="1050"/>
      <c r="K275" s="1050"/>
      <c r="L275" s="1043"/>
      <c r="M275" s="1051"/>
      <c r="N275" s="1051"/>
      <c r="O275" s="1052"/>
      <c r="P275" s="1051"/>
      <c r="Q275" s="1051"/>
      <c r="R275" s="1052"/>
      <c r="S275" s="1051"/>
      <c r="T275" s="1051"/>
      <c r="U275" s="1052"/>
      <c r="V275" s="1051"/>
      <c r="W275" s="1051"/>
      <c r="X275" s="1052"/>
      <c r="Y275" s="1053"/>
      <c r="Z275" s="1051"/>
      <c r="AA275" s="1051"/>
      <c r="AB275" s="1052"/>
      <c r="AC275" s="1051"/>
      <c r="AD275" s="1051"/>
      <c r="AE275" s="1052"/>
      <c r="AF275" s="1051"/>
      <c r="AG275" s="1051"/>
      <c r="AH275" s="1051"/>
      <c r="AI275" s="1051"/>
      <c r="AJ275" s="1052"/>
      <c r="AK275" s="1051"/>
      <c r="AL275" s="1051"/>
      <c r="AM275" s="1052"/>
      <c r="AN275" s="1051"/>
      <c r="AO275" s="1051"/>
      <c r="AP275" s="1052"/>
      <c r="AQ275" s="1051"/>
      <c r="AR275" s="1051"/>
      <c r="AS275" s="1052"/>
      <c r="AT275" s="1051"/>
      <c r="AU275" s="1051"/>
      <c r="AV275" s="1052"/>
      <c r="AW275" s="1051"/>
      <c r="AX275" s="1051"/>
      <c r="AY275" s="1053"/>
      <c r="AZ275" s="1051"/>
      <c r="BA275" s="1051"/>
      <c r="BB275" s="1053"/>
      <c r="BC275" s="1051"/>
      <c r="BD275" s="1051"/>
      <c r="BE275" s="1053"/>
      <c r="BF275" s="1051"/>
      <c r="BG275" s="1051"/>
      <c r="BH275" s="1053"/>
      <c r="BI275" s="1052"/>
      <c r="BJ275" s="1052"/>
      <c r="BK275" s="1052"/>
      <c r="BL275" s="1052"/>
      <c r="BM275" s="1052"/>
      <c r="BN275" s="1054"/>
      <c r="BO275" s="1076">
        <f t="shared" si="15"/>
        <v>0</v>
      </c>
      <c r="BP275" s="1051"/>
      <c r="BQ275" s="1052"/>
      <c r="BR275" s="1054"/>
      <c r="BS275" s="1053"/>
      <c r="BT275" s="1051"/>
      <c r="BU275" s="1051"/>
      <c r="BV275" s="1051"/>
      <c r="BW275" s="1052"/>
      <c r="BX275" s="1052"/>
      <c r="BY275" s="1052"/>
      <c r="BZ275" s="1052"/>
      <c r="CA275" s="1052"/>
      <c r="CB275" s="1053"/>
      <c r="CC275" s="1053"/>
      <c r="CD275" s="1053"/>
      <c r="CE275" s="1053"/>
      <c r="CF275" s="1053"/>
      <c r="CG275" s="1053"/>
      <c r="CH275" s="1053"/>
      <c r="CI275" s="1123"/>
      <c r="CJ275" s="1123"/>
      <c r="CK275" s="1123"/>
      <c r="CL275" s="1123"/>
      <c r="CM275" s="1123"/>
      <c r="CN275" s="1123"/>
      <c r="CO275" s="1123"/>
      <c r="CP275" s="1123"/>
      <c r="CQ275" s="1123"/>
      <c r="CR275" s="1123"/>
      <c r="CS275" s="1123"/>
      <c r="CT275" s="1123"/>
      <c r="CU275" s="1123"/>
      <c r="CV275" s="1123"/>
      <c r="CW275" s="1123"/>
      <c r="CX275" s="1123"/>
      <c r="CY275" s="1123"/>
      <c r="CZ275" s="1114"/>
      <c r="DA275" s="1114"/>
      <c r="DB275" s="1114"/>
      <c r="DC275" s="1114"/>
      <c r="DD275" s="1114"/>
      <c r="DE275" s="1114"/>
      <c r="DF275" s="1114"/>
      <c r="DG275" s="1114"/>
      <c r="DH275" s="1114"/>
      <c r="DI275" s="1114"/>
      <c r="DJ275" s="1114"/>
      <c r="DK275" s="1114"/>
      <c r="DL275" s="1114"/>
      <c r="DM275" s="1114"/>
      <c r="DN275" s="1114"/>
      <c r="DO275" s="1114"/>
      <c r="DP275" s="1114"/>
      <c r="DQ275" s="1114"/>
      <c r="DR275" s="1114"/>
      <c r="DS275" s="1114"/>
      <c r="DT275" s="1114"/>
      <c r="DU275" s="1114"/>
      <c r="DV275" s="1115"/>
      <c r="DW275" s="1116"/>
      <c r="DX275" s="1116"/>
      <c r="DY275" s="1116"/>
      <c r="DZ275" s="1116"/>
      <c r="EA275" s="1116"/>
      <c r="EB275" s="1116"/>
      <c r="EC275" s="1116"/>
      <c r="ED275" s="1116"/>
      <c r="EE275" s="1116"/>
      <c r="EF275" s="1116"/>
      <c r="EG275" s="1116"/>
      <c r="EH275" s="1116"/>
      <c r="EI275" s="1116"/>
      <c r="EJ275" s="1116"/>
      <c r="EK275" s="1116"/>
      <c r="EL275" s="1116"/>
      <c r="EM275" s="1116"/>
      <c r="EN275" s="1116"/>
      <c r="EO275" s="1116"/>
      <c r="EP275" s="1116"/>
      <c r="EQ275" s="1116"/>
      <c r="ER275" s="1116"/>
      <c r="ES275" s="1116"/>
    </row>
    <row r="276" spans="1:149" ht="15" customHeight="1">
      <c r="A276" s="1185">
        <v>261</v>
      </c>
      <c r="B276" s="1041"/>
      <c r="C276" s="1050"/>
      <c r="D276" s="1050"/>
      <c r="E276" s="1050"/>
      <c r="F276" s="1049"/>
      <c r="G276" s="1457"/>
      <c r="H276" s="1049"/>
      <c r="I276" s="1049"/>
      <c r="J276" s="1050"/>
      <c r="K276" s="1050"/>
      <c r="L276" s="1043"/>
      <c r="M276" s="1051"/>
      <c r="N276" s="1051"/>
      <c r="O276" s="1052"/>
      <c r="P276" s="1051"/>
      <c r="Q276" s="1051"/>
      <c r="R276" s="1052"/>
      <c r="S276" s="1051"/>
      <c r="T276" s="1051"/>
      <c r="U276" s="1052"/>
      <c r="V276" s="1051"/>
      <c r="W276" s="1051"/>
      <c r="X276" s="1052"/>
      <c r="Y276" s="1053"/>
      <c r="Z276" s="1051"/>
      <c r="AA276" s="1051"/>
      <c r="AB276" s="1052"/>
      <c r="AC276" s="1051"/>
      <c r="AD276" s="1051"/>
      <c r="AE276" s="1052"/>
      <c r="AF276" s="1051"/>
      <c r="AG276" s="1051"/>
      <c r="AH276" s="1051"/>
      <c r="AI276" s="1051"/>
      <c r="AJ276" s="1052"/>
      <c r="AK276" s="1051"/>
      <c r="AL276" s="1051"/>
      <c r="AM276" s="1052"/>
      <c r="AN276" s="1051"/>
      <c r="AO276" s="1051"/>
      <c r="AP276" s="1052"/>
      <c r="AQ276" s="1051"/>
      <c r="AR276" s="1051"/>
      <c r="AS276" s="1052"/>
      <c r="AT276" s="1051"/>
      <c r="AU276" s="1051"/>
      <c r="AV276" s="1052"/>
      <c r="AW276" s="1051"/>
      <c r="AX276" s="1051"/>
      <c r="AY276" s="1053"/>
      <c r="AZ276" s="1051"/>
      <c r="BA276" s="1051"/>
      <c r="BB276" s="1053"/>
      <c r="BC276" s="1051"/>
      <c r="BD276" s="1051"/>
      <c r="BE276" s="1053"/>
      <c r="BF276" s="1051"/>
      <c r="BG276" s="1051"/>
      <c r="BH276" s="1053"/>
      <c r="BI276" s="1052"/>
      <c r="BJ276" s="1052"/>
      <c r="BK276" s="1052"/>
      <c r="BL276" s="1052"/>
      <c r="BM276" s="1052"/>
      <c r="BN276" s="1054"/>
      <c r="BO276" s="1076">
        <f t="shared" si="15"/>
        <v>0</v>
      </c>
      <c r="BP276" s="1051"/>
      <c r="BQ276" s="1052"/>
      <c r="BR276" s="1054"/>
      <c r="BS276" s="1053"/>
      <c r="BT276" s="1051"/>
      <c r="BU276" s="1051"/>
      <c r="BV276" s="1051"/>
      <c r="BW276" s="1052"/>
      <c r="BX276" s="1052"/>
      <c r="BY276" s="1052"/>
      <c r="BZ276" s="1052"/>
      <c r="CA276" s="1052"/>
      <c r="CB276" s="1053"/>
      <c r="CC276" s="1053"/>
      <c r="CD276" s="1053"/>
      <c r="CE276" s="1053"/>
      <c r="CF276" s="1053"/>
      <c r="CG276" s="1053"/>
      <c r="CH276" s="1053"/>
      <c r="CI276" s="1123"/>
      <c r="CJ276" s="1123"/>
      <c r="CK276" s="1123"/>
      <c r="CL276" s="1123"/>
      <c r="CM276" s="1123"/>
      <c r="CN276" s="1123"/>
      <c r="CO276" s="1123"/>
      <c r="CP276" s="1123"/>
      <c r="CQ276" s="1123"/>
      <c r="CR276" s="1123"/>
      <c r="CS276" s="1123"/>
      <c r="CT276" s="1123"/>
      <c r="CU276" s="1123"/>
      <c r="CV276" s="1123"/>
      <c r="CW276" s="1123"/>
      <c r="CX276" s="1123"/>
      <c r="CY276" s="1123"/>
      <c r="CZ276" s="1114"/>
      <c r="DA276" s="1114"/>
      <c r="DB276" s="1114"/>
      <c r="DC276" s="1114"/>
      <c r="DD276" s="1114"/>
      <c r="DE276" s="1114"/>
      <c r="DF276" s="1114"/>
      <c r="DG276" s="1114"/>
      <c r="DH276" s="1114"/>
      <c r="DI276" s="1114"/>
      <c r="DJ276" s="1114"/>
      <c r="DK276" s="1114"/>
      <c r="DL276" s="1114"/>
      <c r="DM276" s="1114"/>
      <c r="DN276" s="1114"/>
      <c r="DO276" s="1114"/>
      <c r="DP276" s="1114"/>
      <c r="DQ276" s="1114"/>
      <c r="DR276" s="1114"/>
      <c r="DS276" s="1114"/>
      <c r="DT276" s="1114"/>
      <c r="DU276" s="1114"/>
      <c r="DV276" s="1115"/>
      <c r="DW276" s="1116"/>
      <c r="DX276" s="1116"/>
      <c r="DY276" s="1116"/>
      <c r="DZ276" s="1116"/>
      <c r="EA276" s="1116"/>
      <c r="EB276" s="1116"/>
      <c r="EC276" s="1116"/>
      <c r="ED276" s="1116"/>
      <c r="EE276" s="1116"/>
      <c r="EF276" s="1116"/>
      <c r="EG276" s="1116"/>
      <c r="EH276" s="1116"/>
      <c r="EI276" s="1116"/>
      <c r="EJ276" s="1116"/>
      <c r="EK276" s="1116"/>
      <c r="EL276" s="1116"/>
      <c r="EM276" s="1116"/>
      <c r="EN276" s="1116"/>
      <c r="EO276" s="1116"/>
      <c r="EP276" s="1116"/>
      <c r="EQ276" s="1116"/>
      <c r="ER276" s="1116"/>
      <c r="ES276" s="1116"/>
    </row>
    <row r="277" spans="1:149" ht="15" customHeight="1">
      <c r="A277" s="1185">
        <v>262</v>
      </c>
      <c r="B277" s="1041"/>
      <c r="C277" s="1050"/>
      <c r="D277" s="1050"/>
      <c r="E277" s="1050"/>
      <c r="F277" s="1049"/>
      <c r="G277" s="1457"/>
      <c r="H277" s="1049"/>
      <c r="I277" s="1049"/>
      <c r="J277" s="1050"/>
      <c r="K277" s="1050"/>
      <c r="L277" s="1043"/>
      <c r="M277" s="1051"/>
      <c r="N277" s="1051"/>
      <c r="O277" s="1052"/>
      <c r="P277" s="1051"/>
      <c r="Q277" s="1051"/>
      <c r="R277" s="1052"/>
      <c r="S277" s="1051"/>
      <c r="T277" s="1051"/>
      <c r="U277" s="1052"/>
      <c r="V277" s="1051"/>
      <c r="W277" s="1051"/>
      <c r="X277" s="1052"/>
      <c r="Y277" s="1053"/>
      <c r="Z277" s="1051"/>
      <c r="AA277" s="1051"/>
      <c r="AB277" s="1052"/>
      <c r="AC277" s="1051"/>
      <c r="AD277" s="1051"/>
      <c r="AE277" s="1052"/>
      <c r="AF277" s="1051"/>
      <c r="AG277" s="1051"/>
      <c r="AH277" s="1051"/>
      <c r="AI277" s="1051"/>
      <c r="AJ277" s="1052"/>
      <c r="AK277" s="1051"/>
      <c r="AL277" s="1051"/>
      <c r="AM277" s="1052"/>
      <c r="AN277" s="1051"/>
      <c r="AO277" s="1051"/>
      <c r="AP277" s="1052"/>
      <c r="AQ277" s="1051"/>
      <c r="AR277" s="1051"/>
      <c r="AS277" s="1052"/>
      <c r="AT277" s="1051"/>
      <c r="AU277" s="1051"/>
      <c r="AV277" s="1052"/>
      <c r="AW277" s="1051"/>
      <c r="AX277" s="1051"/>
      <c r="AY277" s="1053"/>
      <c r="AZ277" s="1051"/>
      <c r="BA277" s="1051"/>
      <c r="BB277" s="1053"/>
      <c r="BC277" s="1051"/>
      <c r="BD277" s="1051"/>
      <c r="BE277" s="1053"/>
      <c r="BF277" s="1051"/>
      <c r="BG277" s="1051"/>
      <c r="BH277" s="1053"/>
      <c r="BI277" s="1052"/>
      <c r="BJ277" s="1052"/>
      <c r="BK277" s="1052"/>
      <c r="BL277" s="1052"/>
      <c r="BM277" s="1052"/>
      <c r="BN277" s="1054"/>
      <c r="BO277" s="1076">
        <f t="shared" si="15"/>
        <v>0</v>
      </c>
      <c r="BP277" s="1051"/>
      <c r="BQ277" s="1052"/>
      <c r="BR277" s="1054"/>
      <c r="BS277" s="1053"/>
      <c r="BT277" s="1051"/>
      <c r="BU277" s="1051"/>
      <c r="BV277" s="1051"/>
      <c r="BW277" s="1052"/>
      <c r="BX277" s="1052"/>
      <c r="BY277" s="1052"/>
      <c r="BZ277" s="1052"/>
      <c r="CA277" s="1052"/>
      <c r="CB277" s="1053"/>
      <c r="CC277" s="1053"/>
      <c r="CD277" s="1053"/>
      <c r="CE277" s="1053"/>
      <c r="CF277" s="1053"/>
      <c r="CG277" s="1053"/>
      <c r="CH277" s="1053"/>
      <c r="CI277" s="1123"/>
      <c r="CJ277" s="1123"/>
      <c r="CK277" s="1123"/>
      <c r="CL277" s="1123"/>
      <c r="CM277" s="1123"/>
      <c r="CN277" s="1123"/>
      <c r="CO277" s="1123"/>
      <c r="CP277" s="1123"/>
      <c r="CQ277" s="1123"/>
      <c r="CR277" s="1123"/>
      <c r="CS277" s="1123"/>
      <c r="CT277" s="1123"/>
      <c r="CU277" s="1123"/>
      <c r="CV277" s="1123"/>
      <c r="CW277" s="1123"/>
      <c r="CX277" s="1123"/>
      <c r="CY277" s="1123"/>
      <c r="CZ277" s="1114"/>
      <c r="DA277" s="1114"/>
      <c r="DB277" s="1114"/>
      <c r="DC277" s="1114"/>
      <c r="DD277" s="1114"/>
      <c r="DE277" s="1114"/>
      <c r="DF277" s="1114"/>
      <c r="DG277" s="1114"/>
      <c r="DH277" s="1114"/>
      <c r="DI277" s="1114"/>
      <c r="DJ277" s="1114"/>
      <c r="DK277" s="1114"/>
      <c r="DL277" s="1114"/>
      <c r="DM277" s="1114"/>
      <c r="DN277" s="1114"/>
      <c r="DO277" s="1114"/>
      <c r="DP277" s="1114"/>
      <c r="DQ277" s="1114"/>
      <c r="DR277" s="1114"/>
      <c r="DS277" s="1114"/>
      <c r="DT277" s="1114"/>
      <c r="DU277" s="1114"/>
      <c r="DV277" s="1115"/>
      <c r="DW277" s="1116"/>
      <c r="DX277" s="1116"/>
      <c r="DY277" s="1116"/>
      <c r="DZ277" s="1116"/>
      <c r="EA277" s="1116"/>
      <c r="EB277" s="1116"/>
      <c r="EC277" s="1116"/>
      <c r="ED277" s="1116"/>
      <c r="EE277" s="1116"/>
      <c r="EF277" s="1116"/>
      <c r="EG277" s="1116"/>
      <c r="EH277" s="1116"/>
      <c r="EI277" s="1116"/>
      <c r="EJ277" s="1116"/>
      <c r="EK277" s="1116"/>
      <c r="EL277" s="1116"/>
      <c r="EM277" s="1116"/>
      <c r="EN277" s="1116"/>
      <c r="EO277" s="1116"/>
      <c r="EP277" s="1116"/>
      <c r="EQ277" s="1116"/>
      <c r="ER277" s="1116"/>
      <c r="ES277" s="1116"/>
    </row>
    <row r="278" spans="1:149" ht="15" customHeight="1">
      <c r="A278" s="1185">
        <v>263</v>
      </c>
      <c r="B278" s="1041"/>
      <c r="C278" s="1050"/>
      <c r="D278" s="1050"/>
      <c r="E278" s="1050"/>
      <c r="F278" s="1049"/>
      <c r="G278" s="1457"/>
      <c r="H278" s="1049"/>
      <c r="I278" s="1049"/>
      <c r="J278" s="1050"/>
      <c r="K278" s="1050"/>
      <c r="L278" s="1043"/>
      <c r="M278" s="1051"/>
      <c r="N278" s="1051"/>
      <c r="O278" s="1052"/>
      <c r="P278" s="1051"/>
      <c r="Q278" s="1051"/>
      <c r="R278" s="1052"/>
      <c r="S278" s="1051"/>
      <c r="T278" s="1051"/>
      <c r="U278" s="1052"/>
      <c r="V278" s="1051"/>
      <c r="W278" s="1051"/>
      <c r="X278" s="1052"/>
      <c r="Y278" s="1053"/>
      <c r="Z278" s="1051"/>
      <c r="AA278" s="1051"/>
      <c r="AB278" s="1052"/>
      <c r="AC278" s="1051"/>
      <c r="AD278" s="1051"/>
      <c r="AE278" s="1052"/>
      <c r="AF278" s="1051"/>
      <c r="AG278" s="1051"/>
      <c r="AH278" s="1051"/>
      <c r="AI278" s="1051"/>
      <c r="AJ278" s="1052"/>
      <c r="AK278" s="1051"/>
      <c r="AL278" s="1051"/>
      <c r="AM278" s="1052"/>
      <c r="AN278" s="1051"/>
      <c r="AO278" s="1051"/>
      <c r="AP278" s="1052"/>
      <c r="AQ278" s="1051"/>
      <c r="AR278" s="1051"/>
      <c r="AS278" s="1052"/>
      <c r="AT278" s="1051"/>
      <c r="AU278" s="1051"/>
      <c r="AV278" s="1052"/>
      <c r="AW278" s="1051"/>
      <c r="AX278" s="1051"/>
      <c r="AY278" s="1053"/>
      <c r="AZ278" s="1051"/>
      <c r="BA278" s="1051"/>
      <c r="BB278" s="1053"/>
      <c r="BC278" s="1051"/>
      <c r="BD278" s="1051"/>
      <c r="BE278" s="1053"/>
      <c r="BF278" s="1051"/>
      <c r="BG278" s="1051"/>
      <c r="BH278" s="1053"/>
      <c r="BI278" s="1052"/>
      <c r="BJ278" s="1052"/>
      <c r="BK278" s="1052"/>
      <c r="BL278" s="1052"/>
      <c r="BM278" s="1052"/>
      <c r="BN278" s="1054"/>
      <c r="BO278" s="1076">
        <f t="shared" si="15"/>
        <v>0</v>
      </c>
      <c r="BP278" s="1051"/>
      <c r="BQ278" s="1052"/>
      <c r="BR278" s="1054"/>
      <c r="BS278" s="1053"/>
      <c r="BT278" s="1051"/>
      <c r="BU278" s="1051"/>
      <c r="BV278" s="1051"/>
      <c r="BW278" s="1052"/>
      <c r="BX278" s="1052"/>
      <c r="BY278" s="1052"/>
      <c r="BZ278" s="1052"/>
      <c r="CA278" s="1052"/>
      <c r="CB278" s="1053"/>
      <c r="CC278" s="1053"/>
      <c r="CD278" s="1053"/>
      <c r="CE278" s="1053"/>
      <c r="CF278" s="1053"/>
      <c r="CG278" s="1053"/>
      <c r="CH278" s="1053"/>
      <c r="CI278" s="1123"/>
      <c r="CJ278" s="1123"/>
      <c r="CK278" s="1123"/>
      <c r="CL278" s="1123"/>
      <c r="CM278" s="1123"/>
      <c r="CN278" s="1123"/>
      <c r="CO278" s="1123"/>
      <c r="CP278" s="1123"/>
      <c r="CQ278" s="1123"/>
      <c r="CR278" s="1123"/>
      <c r="CS278" s="1123"/>
      <c r="CT278" s="1123"/>
      <c r="CU278" s="1123"/>
      <c r="CV278" s="1123"/>
      <c r="CW278" s="1123"/>
      <c r="CX278" s="1123"/>
      <c r="CY278" s="1123"/>
      <c r="CZ278" s="1114"/>
      <c r="DA278" s="1114"/>
      <c r="DB278" s="1114"/>
      <c r="DC278" s="1114"/>
      <c r="DD278" s="1114"/>
      <c r="DE278" s="1114"/>
      <c r="DF278" s="1114"/>
      <c r="DG278" s="1114"/>
      <c r="DH278" s="1114"/>
      <c r="DI278" s="1114"/>
      <c r="DJ278" s="1114"/>
      <c r="DK278" s="1114"/>
      <c r="DL278" s="1114"/>
      <c r="DM278" s="1114"/>
      <c r="DN278" s="1114"/>
      <c r="DO278" s="1114"/>
      <c r="DP278" s="1114"/>
      <c r="DQ278" s="1114"/>
      <c r="DR278" s="1114"/>
      <c r="DS278" s="1114"/>
      <c r="DT278" s="1114"/>
      <c r="DU278" s="1114"/>
      <c r="DV278" s="1115"/>
      <c r="DW278" s="1116"/>
      <c r="DX278" s="1116"/>
      <c r="DY278" s="1116"/>
      <c r="DZ278" s="1116"/>
      <c r="EA278" s="1116"/>
      <c r="EB278" s="1116"/>
      <c r="EC278" s="1116"/>
      <c r="ED278" s="1116"/>
      <c r="EE278" s="1116"/>
      <c r="EF278" s="1116"/>
      <c r="EG278" s="1116"/>
      <c r="EH278" s="1116"/>
      <c r="EI278" s="1116"/>
      <c r="EJ278" s="1116"/>
      <c r="EK278" s="1116"/>
      <c r="EL278" s="1116"/>
      <c r="EM278" s="1116"/>
      <c r="EN278" s="1116"/>
      <c r="EO278" s="1116"/>
      <c r="EP278" s="1116"/>
      <c r="EQ278" s="1116"/>
      <c r="ER278" s="1116"/>
      <c r="ES278" s="1116"/>
    </row>
    <row r="279" spans="1:149" ht="15" customHeight="1">
      <c r="A279" s="1185">
        <v>264</v>
      </c>
      <c r="B279" s="1041"/>
      <c r="C279" s="1050"/>
      <c r="D279" s="1050"/>
      <c r="E279" s="1050"/>
      <c r="F279" s="1049"/>
      <c r="G279" s="1457"/>
      <c r="H279" s="1049"/>
      <c r="I279" s="1049"/>
      <c r="J279" s="1050"/>
      <c r="K279" s="1050"/>
      <c r="L279" s="1043"/>
      <c r="M279" s="1051"/>
      <c r="N279" s="1051"/>
      <c r="O279" s="1052"/>
      <c r="P279" s="1051"/>
      <c r="Q279" s="1051"/>
      <c r="R279" s="1052"/>
      <c r="S279" s="1051"/>
      <c r="T279" s="1051"/>
      <c r="U279" s="1052"/>
      <c r="V279" s="1051"/>
      <c r="W279" s="1051"/>
      <c r="X279" s="1052"/>
      <c r="Y279" s="1053"/>
      <c r="Z279" s="1051"/>
      <c r="AA279" s="1051"/>
      <c r="AB279" s="1052"/>
      <c r="AC279" s="1051"/>
      <c r="AD279" s="1051"/>
      <c r="AE279" s="1052"/>
      <c r="AF279" s="1051"/>
      <c r="AG279" s="1051"/>
      <c r="AH279" s="1051"/>
      <c r="AI279" s="1051"/>
      <c r="AJ279" s="1052"/>
      <c r="AK279" s="1051"/>
      <c r="AL279" s="1051"/>
      <c r="AM279" s="1052"/>
      <c r="AN279" s="1051"/>
      <c r="AO279" s="1051"/>
      <c r="AP279" s="1052"/>
      <c r="AQ279" s="1051"/>
      <c r="AR279" s="1051"/>
      <c r="AS279" s="1052"/>
      <c r="AT279" s="1051"/>
      <c r="AU279" s="1051"/>
      <c r="AV279" s="1052"/>
      <c r="AW279" s="1051"/>
      <c r="AX279" s="1051"/>
      <c r="AY279" s="1053"/>
      <c r="AZ279" s="1051"/>
      <c r="BA279" s="1051"/>
      <c r="BB279" s="1053"/>
      <c r="BC279" s="1051"/>
      <c r="BD279" s="1051"/>
      <c r="BE279" s="1053"/>
      <c r="BF279" s="1051"/>
      <c r="BG279" s="1051"/>
      <c r="BH279" s="1053"/>
      <c r="BI279" s="1052"/>
      <c r="BJ279" s="1052"/>
      <c r="BK279" s="1052"/>
      <c r="BL279" s="1052"/>
      <c r="BM279" s="1052"/>
      <c r="BN279" s="1054"/>
      <c r="BO279" s="1076">
        <f t="shared" si="15"/>
        <v>0</v>
      </c>
      <c r="BP279" s="1051"/>
      <c r="BQ279" s="1052"/>
      <c r="BR279" s="1054"/>
      <c r="BS279" s="1053"/>
      <c r="BT279" s="1051"/>
      <c r="BU279" s="1051"/>
      <c r="BV279" s="1051"/>
      <c r="BW279" s="1052"/>
      <c r="BX279" s="1052"/>
      <c r="BY279" s="1052"/>
      <c r="BZ279" s="1052"/>
      <c r="CA279" s="1052"/>
      <c r="CB279" s="1053"/>
      <c r="CC279" s="1053"/>
      <c r="CD279" s="1053"/>
      <c r="CE279" s="1053"/>
      <c r="CF279" s="1053"/>
      <c r="CG279" s="1053"/>
      <c r="CH279" s="1053"/>
      <c r="CI279" s="1123"/>
      <c r="CJ279" s="1123"/>
      <c r="CK279" s="1123"/>
      <c r="CL279" s="1123"/>
      <c r="CM279" s="1123"/>
      <c r="CN279" s="1123"/>
      <c r="CO279" s="1123"/>
      <c r="CP279" s="1123"/>
      <c r="CQ279" s="1123"/>
      <c r="CR279" s="1123"/>
      <c r="CS279" s="1123"/>
      <c r="CT279" s="1123"/>
      <c r="CU279" s="1123"/>
      <c r="CV279" s="1123"/>
      <c r="CW279" s="1123"/>
      <c r="CX279" s="1123"/>
      <c r="CY279" s="1123"/>
      <c r="CZ279" s="1114"/>
      <c r="DA279" s="1114"/>
      <c r="DB279" s="1114"/>
      <c r="DC279" s="1114"/>
      <c r="DD279" s="1114"/>
      <c r="DE279" s="1114"/>
      <c r="DF279" s="1114"/>
      <c r="DG279" s="1114"/>
      <c r="DH279" s="1114"/>
      <c r="DI279" s="1114"/>
      <c r="DJ279" s="1114"/>
      <c r="DK279" s="1114"/>
      <c r="DL279" s="1114"/>
      <c r="DM279" s="1114"/>
      <c r="DN279" s="1114"/>
      <c r="DO279" s="1114"/>
      <c r="DP279" s="1114"/>
      <c r="DQ279" s="1114"/>
      <c r="DR279" s="1114"/>
      <c r="DS279" s="1114"/>
      <c r="DT279" s="1114"/>
      <c r="DU279" s="1114"/>
      <c r="DV279" s="1115"/>
      <c r="DW279" s="1116"/>
      <c r="DX279" s="1116"/>
      <c r="DY279" s="1116"/>
      <c r="DZ279" s="1116"/>
      <c r="EA279" s="1116"/>
      <c r="EB279" s="1116"/>
      <c r="EC279" s="1116"/>
      <c r="ED279" s="1116"/>
      <c r="EE279" s="1116"/>
      <c r="EF279" s="1116"/>
      <c r="EG279" s="1116"/>
      <c r="EH279" s="1116"/>
      <c r="EI279" s="1116"/>
      <c r="EJ279" s="1116"/>
      <c r="EK279" s="1116"/>
      <c r="EL279" s="1116"/>
      <c r="EM279" s="1116"/>
      <c r="EN279" s="1116"/>
      <c r="EO279" s="1116"/>
      <c r="EP279" s="1116"/>
      <c r="EQ279" s="1116"/>
      <c r="ER279" s="1116"/>
      <c r="ES279" s="1116"/>
    </row>
    <row r="280" spans="1:149" ht="15" customHeight="1">
      <c r="A280" s="1185">
        <v>265</v>
      </c>
      <c r="B280" s="1041"/>
      <c r="C280" s="1050"/>
      <c r="D280" s="1050"/>
      <c r="E280" s="1050"/>
      <c r="F280" s="1049"/>
      <c r="G280" s="1457"/>
      <c r="H280" s="1049"/>
      <c r="I280" s="1049"/>
      <c r="J280" s="1050"/>
      <c r="K280" s="1050"/>
      <c r="L280" s="1043"/>
      <c r="M280" s="1051"/>
      <c r="N280" s="1051"/>
      <c r="O280" s="1052"/>
      <c r="P280" s="1051"/>
      <c r="Q280" s="1051"/>
      <c r="R280" s="1052"/>
      <c r="S280" s="1051"/>
      <c r="T280" s="1051"/>
      <c r="U280" s="1052"/>
      <c r="V280" s="1051"/>
      <c r="W280" s="1051"/>
      <c r="X280" s="1052"/>
      <c r="Y280" s="1053"/>
      <c r="Z280" s="1051"/>
      <c r="AA280" s="1051"/>
      <c r="AB280" s="1052"/>
      <c r="AC280" s="1051"/>
      <c r="AD280" s="1051"/>
      <c r="AE280" s="1052"/>
      <c r="AF280" s="1051"/>
      <c r="AG280" s="1051"/>
      <c r="AH280" s="1051"/>
      <c r="AI280" s="1051"/>
      <c r="AJ280" s="1052"/>
      <c r="AK280" s="1051"/>
      <c r="AL280" s="1051"/>
      <c r="AM280" s="1052"/>
      <c r="AN280" s="1051"/>
      <c r="AO280" s="1051"/>
      <c r="AP280" s="1052"/>
      <c r="AQ280" s="1051"/>
      <c r="AR280" s="1051"/>
      <c r="AS280" s="1052"/>
      <c r="AT280" s="1051"/>
      <c r="AU280" s="1051"/>
      <c r="AV280" s="1052"/>
      <c r="AW280" s="1051"/>
      <c r="AX280" s="1051"/>
      <c r="AY280" s="1053"/>
      <c r="AZ280" s="1051"/>
      <c r="BA280" s="1051"/>
      <c r="BB280" s="1053"/>
      <c r="BC280" s="1051"/>
      <c r="BD280" s="1051"/>
      <c r="BE280" s="1053"/>
      <c r="BF280" s="1051"/>
      <c r="BG280" s="1051"/>
      <c r="BH280" s="1053"/>
      <c r="BI280" s="1052"/>
      <c r="BJ280" s="1052"/>
      <c r="BK280" s="1052"/>
      <c r="BL280" s="1052"/>
      <c r="BM280" s="1052"/>
      <c r="BN280" s="1054"/>
      <c r="BO280" s="1076">
        <f t="shared" si="15"/>
        <v>0</v>
      </c>
      <c r="BP280" s="1051"/>
      <c r="BQ280" s="1052"/>
      <c r="BR280" s="1054"/>
      <c r="BS280" s="1053"/>
      <c r="BT280" s="1051"/>
      <c r="BU280" s="1051"/>
      <c r="BV280" s="1051"/>
      <c r="BW280" s="1052"/>
      <c r="BX280" s="1052"/>
      <c r="BY280" s="1052"/>
      <c r="BZ280" s="1052"/>
      <c r="CA280" s="1052"/>
      <c r="CB280" s="1053"/>
      <c r="CC280" s="1053"/>
      <c r="CD280" s="1053"/>
      <c r="CE280" s="1053"/>
      <c r="CF280" s="1053"/>
      <c r="CG280" s="1053"/>
      <c r="CH280" s="1053"/>
      <c r="CI280" s="1123"/>
      <c r="CJ280" s="1123"/>
      <c r="CK280" s="1123"/>
      <c r="CL280" s="1123"/>
      <c r="CM280" s="1123"/>
      <c r="CN280" s="1123"/>
      <c r="CO280" s="1123"/>
      <c r="CP280" s="1123"/>
      <c r="CQ280" s="1123"/>
      <c r="CR280" s="1123"/>
      <c r="CS280" s="1123"/>
      <c r="CT280" s="1123"/>
      <c r="CU280" s="1123"/>
      <c r="CV280" s="1123"/>
      <c r="CW280" s="1123"/>
      <c r="CX280" s="1123"/>
      <c r="CY280" s="1123"/>
      <c r="CZ280" s="1114"/>
      <c r="DA280" s="1114"/>
      <c r="DB280" s="1114"/>
      <c r="DC280" s="1114"/>
      <c r="DD280" s="1114"/>
      <c r="DE280" s="1114"/>
      <c r="DF280" s="1114"/>
      <c r="DG280" s="1114"/>
      <c r="DH280" s="1114"/>
      <c r="DI280" s="1114"/>
      <c r="DJ280" s="1114"/>
      <c r="DK280" s="1114"/>
      <c r="DL280" s="1114"/>
      <c r="DM280" s="1114"/>
      <c r="DN280" s="1114"/>
      <c r="DO280" s="1114"/>
      <c r="DP280" s="1114"/>
      <c r="DQ280" s="1114"/>
      <c r="DR280" s="1114"/>
      <c r="DS280" s="1114"/>
      <c r="DT280" s="1114"/>
      <c r="DU280" s="1114"/>
      <c r="DV280" s="1115"/>
      <c r="DW280" s="1116"/>
      <c r="DX280" s="1116"/>
      <c r="DY280" s="1116"/>
      <c r="DZ280" s="1116"/>
      <c r="EA280" s="1116"/>
      <c r="EB280" s="1116"/>
      <c r="EC280" s="1116"/>
      <c r="ED280" s="1116"/>
      <c r="EE280" s="1116"/>
      <c r="EF280" s="1116"/>
      <c r="EG280" s="1116"/>
      <c r="EH280" s="1116"/>
      <c r="EI280" s="1116"/>
      <c r="EJ280" s="1116"/>
      <c r="EK280" s="1116"/>
      <c r="EL280" s="1116"/>
      <c r="EM280" s="1116"/>
      <c r="EN280" s="1116"/>
      <c r="EO280" s="1116"/>
      <c r="EP280" s="1116"/>
      <c r="EQ280" s="1116"/>
      <c r="ER280" s="1116"/>
      <c r="ES280" s="1116"/>
    </row>
    <row r="281" spans="1:149" ht="15" customHeight="1">
      <c r="A281" s="1185">
        <v>266</v>
      </c>
      <c r="B281" s="1041"/>
      <c r="C281" s="1050"/>
      <c r="D281" s="1050"/>
      <c r="E281" s="1050"/>
      <c r="F281" s="1049"/>
      <c r="G281" s="1457"/>
      <c r="H281" s="1049"/>
      <c r="I281" s="1049"/>
      <c r="J281" s="1050"/>
      <c r="K281" s="1050"/>
      <c r="L281" s="1043"/>
      <c r="M281" s="1051"/>
      <c r="N281" s="1051"/>
      <c r="O281" s="1052"/>
      <c r="P281" s="1051"/>
      <c r="Q281" s="1051"/>
      <c r="R281" s="1052"/>
      <c r="S281" s="1051"/>
      <c r="T281" s="1051"/>
      <c r="U281" s="1052"/>
      <c r="V281" s="1051"/>
      <c r="W281" s="1051"/>
      <c r="X281" s="1052"/>
      <c r="Y281" s="1053"/>
      <c r="Z281" s="1051"/>
      <c r="AA281" s="1051"/>
      <c r="AB281" s="1052"/>
      <c r="AC281" s="1051"/>
      <c r="AD281" s="1051"/>
      <c r="AE281" s="1052"/>
      <c r="AF281" s="1051"/>
      <c r="AG281" s="1051"/>
      <c r="AH281" s="1051"/>
      <c r="AI281" s="1051"/>
      <c r="AJ281" s="1052"/>
      <c r="AK281" s="1051"/>
      <c r="AL281" s="1051"/>
      <c r="AM281" s="1052"/>
      <c r="AN281" s="1051"/>
      <c r="AO281" s="1051"/>
      <c r="AP281" s="1052"/>
      <c r="AQ281" s="1051"/>
      <c r="AR281" s="1051"/>
      <c r="AS281" s="1052"/>
      <c r="AT281" s="1051"/>
      <c r="AU281" s="1051"/>
      <c r="AV281" s="1052"/>
      <c r="AW281" s="1051"/>
      <c r="AX281" s="1051"/>
      <c r="AY281" s="1053"/>
      <c r="AZ281" s="1051"/>
      <c r="BA281" s="1051"/>
      <c r="BB281" s="1053"/>
      <c r="BC281" s="1051"/>
      <c r="BD281" s="1051"/>
      <c r="BE281" s="1053"/>
      <c r="BF281" s="1051"/>
      <c r="BG281" s="1051"/>
      <c r="BH281" s="1053"/>
      <c r="BI281" s="1052"/>
      <c r="BJ281" s="1052"/>
      <c r="BK281" s="1052"/>
      <c r="BL281" s="1052"/>
      <c r="BM281" s="1052"/>
      <c r="BN281" s="1054"/>
      <c r="BO281" s="1076">
        <f t="shared" si="15"/>
        <v>0</v>
      </c>
      <c r="BP281" s="1051"/>
      <c r="BQ281" s="1052"/>
      <c r="BR281" s="1054"/>
      <c r="BS281" s="1053"/>
      <c r="BT281" s="1051"/>
      <c r="BU281" s="1051"/>
      <c r="BV281" s="1051"/>
      <c r="BW281" s="1052"/>
      <c r="BX281" s="1052"/>
      <c r="BY281" s="1052"/>
      <c r="BZ281" s="1052"/>
      <c r="CA281" s="1052"/>
      <c r="CB281" s="1053"/>
      <c r="CC281" s="1053"/>
      <c r="CD281" s="1053"/>
      <c r="CE281" s="1053"/>
      <c r="CF281" s="1053"/>
      <c r="CG281" s="1053"/>
      <c r="CH281" s="1053"/>
      <c r="CI281" s="1123"/>
      <c r="CJ281" s="1123"/>
      <c r="CK281" s="1123"/>
      <c r="CL281" s="1123"/>
      <c r="CM281" s="1123"/>
      <c r="CN281" s="1123"/>
      <c r="CO281" s="1123"/>
      <c r="CP281" s="1123"/>
      <c r="CQ281" s="1123"/>
      <c r="CR281" s="1123"/>
      <c r="CS281" s="1123"/>
      <c r="CT281" s="1123"/>
      <c r="CU281" s="1123"/>
      <c r="CV281" s="1123"/>
      <c r="CW281" s="1123"/>
      <c r="CX281" s="1123"/>
      <c r="CY281" s="1123"/>
      <c r="CZ281" s="1114"/>
      <c r="DA281" s="1114"/>
      <c r="DB281" s="1114"/>
      <c r="DC281" s="1114"/>
      <c r="DD281" s="1114"/>
      <c r="DE281" s="1114"/>
      <c r="DF281" s="1114"/>
      <c r="DG281" s="1114"/>
      <c r="DH281" s="1114"/>
      <c r="DI281" s="1114"/>
      <c r="DJ281" s="1114"/>
      <c r="DK281" s="1114"/>
      <c r="DL281" s="1114"/>
      <c r="DM281" s="1114"/>
      <c r="DN281" s="1114"/>
      <c r="DO281" s="1114"/>
      <c r="DP281" s="1114"/>
      <c r="DQ281" s="1114"/>
      <c r="DR281" s="1114"/>
      <c r="DS281" s="1114"/>
      <c r="DT281" s="1114"/>
      <c r="DU281" s="1114"/>
      <c r="DV281" s="1115"/>
      <c r="DW281" s="1116"/>
      <c r="DX281" s="1116"/>
      <c r="DY281" s="1116"/>
      <c r="DZ281" s="1116"/>
      <c r="EA281" s="1116"/>
      <c r="EB281" s="1116"/>
      <c r="EC281" s="1116"/>
      <c r="ED281" s="1116"/>
      <c r="EE281" s="1116"/>
      <c r="EF281" s="1116"/>
      <c r="EG281" s="1116"/>
      <c r="EH281" s="1116"/>
      <c r="EI281" s="1116"/>
      <c r="EJ281" s="1116"/>
      <c r="EK281" s="1116"/>
      <c r="EL281" s="1116"/>
      <c r="EM281" s="1116"/>
      <c r="EN281" s="1116"/>
      <c r="EO281" s="1116"/>
      <c r="EP281" s="1116"/>
      <c r="EQ281" s="1116"/>
      <c r="ER281" s="1116"/>
      <c r="ES281" s="1116"/>
    </row>
    <row r="282" spans="1:149" ht="15" customHeight="1">
      <c r="A282" s="1185">
        <v>267</v>
      </c>
      <c r="B282" s="1041"/>
      <c r="C282" s="1050"/>
      <c r="D282" s="1050"/>
      <c r="E282" s="1050"/>
      <c r="F282" s="1049"/>
      <c r="G282" s="1457"/>
      <c r="H282" s="1049"/>
      <c r="I282" s="1049"/>
      <c r="J282" s="1050"/>
      <c r="K282" s="1050"/>
      <c r="L282" s="1043"/>
      <c r="M282" s="1051"/>
      <c r="N282" s="1051"/>
      <c r="O282" s="1052"/>
      <c r="P282" s="1051"/>
      <c r="Q282" s="1051"/>
      <c r="R282" s="1052"/>
      <c r="S282" s="1051"/>
      <c r="T282" s="1051"/>
      <c r="U282" s="1052"/>
      <c r="V282" s="1051"/>
      <c r="W282" s="1051"/>
      <c r="X282" s="1052"/>
      <c r="Y282" s="1053"/>
      <c r="Z282" s="1051"/>
      <c r="AA282" s="1051"/>
      <c r="AB282" s="1052"/>
      <c r="AC282" s="1051"/>
      <c r="AD282" s="1051"/>
      <c r="AE282" s="1052"/>
      <c r="AF282" s="1051"/>
      <c r="AG282" s="1051"/>
      <c r="AH282" s="1051"/>
      <c r="AI282" s="1051"/>
      <c r="AJ282" s="1052"/>
      <c r="AK282" s="1051"/>
      <c r="AL282" s="1051"/>
      <c r="AM282" s="1052"/>
      <c r="AN282" s="1051"/>
      <c r="AO282" s="1051"/>
      <c r="AP282" s="1052"/>
      <c r="AQ282" s="1051"/>
      <c r="AR282" s="1051"/>
      <c r="AS282" s="1052"/>
      <c r="AT282" s="1051"/>
      <c r="AU282" s="1051"/>
      <c r="AV282" s="1052"/>
      <c r="AW282" s="1051"/>
      <c r="AX282" s="1051"/>
      <c r="AY282" s="1053"/>
      <c r="AZ282" s="1051"/>
      <c r="BA282" s="1051"/>
      <c r="BB282" s="1053"/>
      <c r="BC282" s="1051"/>
      <c r="BD282" s="1051"/>
      <c r="BE282" s="1053"/>
      <c r="BF282" s="1051"/>
      <c r="BG282" s="1051"/>
      <c r="BH282" s="1053"/>
      <c r="BI282" s="1052"/>
      <c r="BJ282" s="1052"/>
      <c r="BK282" s="1052"/>
      <c r="BL282" s="1052"/>
      <c r="BM282" s="1052"/>
      <c r="BN282" s="1054"/>
      <c r="BO282" s="1076">
        <f t="shared" si="15"/>
        <v>0</v>
      </c>
      <c r="BP282" s="1051"/>
      <c r="BQ282" s="1052"/>
      <c r="BR282" s="1054"/>
      <c r="BS282" s="1053"/>
      <c r="BT282" s="1051"/>
      <c r="BU282" s="1051"/>
      <c r="BV282" s="1051"/>
      <c r="BW282" s="1052"/>
      <c r="BX282" s="1052"/>
      <c r="BY282" s="1052"/>
      <c r="BZ282" s="1052"/>
      <c r="CA282" s="1052"/>
      <c r="CB282" s="1053"/>
      <c r="CC282" s="1053"/>
      <c r="CD282" s="1053"/>
      <c r="CE282" s="1053"/>
      <c r="CF282" s="1053"/>
      <c r="CG282" s="1053"/>
      <c r="CH282" s="1053"/>
      <c r="CI282" s="1123"/>
      <c r="CJ282" s="1123"/>
      <c r="CK282" s="1123"/>
      <c r="CL282" s="1123"/>
      <c r="CM282" s="1123"/>
      <c r="CN282" s="1123"/>
      <c r="CO282" s="1123"/>
      <c r="CP282" s="1123"/>
      <c r="CQ282" s="1123"/>
      <c r="CR282" s="1123"/>
      <c r="CS282" s="1123"/>
      <c r="CT282" s="1123"/>
      <c r="CU282" s="1123"/>
      <c r="CV282" s="1123"/>
      <c r="CW282" s="1123"/>
      <c r="CX282" s="1123"/>
      <c r="CY282" s="1123"/>
      <c r="CZ282" s="1114"/>
      <c r="DA282" s="1114"/>
      <c r="DB282" s="1114"/>
      <c r="DC282" s="1114"/>
      <c r="DD282" s="1114"/>
      <c r="DE282" s="1114"/>
      <c r="DF282" s="1114"/>
      <c r="DG282" s="1114"/>
      <c r="DH282" s="1114"/>
      <c r="DI282" s="1114"/>
      <c r="DJ282" s="1114"/>
      <c r="DK282" s="1114"/>
      <c r="DL282" s="1114"/>
      <c r="DM282" s="1114"/>
      <c r="DN282" s="1114"/>
      <c r="DO282" s="1114"/>
      <c r="DP282" s="1114"/>
      <c r="DQ282" s="1114"/>
      <c r="DR282" s="1114"/>
      <c r="DS282" s="1114"/>
      <c r="DT282" s="1114"/>
      <c r="DU282" s="1114"/>
      <c r="DV282" s="1115"/>
      <c r="DW282" s="1116"/>
      <c r="DX282" s="1116"/>
      <c r="DY282" s="1116"/>
      <c r="DZ282" s="1116"/>
      <c r="EA282" s="1116"/>
      <c r="EB282" s="1116"/>
      <c r="EC282" s="1116"/>
      <c r="ED282" s="1116"/>
      <c r="EE282" s="1116"/>
      <c r="EF282" s="1116"/>
      <c r="EG282" s="1116"/>
      <c r="EH282" s="1116"/>
      <c r="EI282" s="1116"/>
      <c r="EJ282" s="1116"/>
      <c r="EK282" s="1116"/>
      <c r="EL282" s="1116"/>
      <c r="EM282" s="1116"/>
      <c r="EN282" s="1116"/>
      <c r="EO282" s="1116"/>
      <c r="EP282" s="1116"/>
      <c r="EQ282" s="1116"/>
      <c r="ER282" s="1116"/>
      <c r="ES282" s="1116"/>
    </row>
    <row r="283" spans="1:149" ht="15" customHeight="1">
      <c r="A283" s="1185">
        <v>268</v>
      </c>
      <c r="B283" s="1041"/>
      <c r="C283" s="1050"/>
      <c r="D283" s="1050"/>
      <c r="E283" s="1050"/>
      <c r="F283" s="1049"/>
      <c r="G283" s="1457"/>
      <c r="H283" s="1049"/>
      <c r="I283" s="1049"/>
      <c r="J283" s="1050"/>
      <c r="K283" s="1050"/>
      <c r="L283" s="1043"/>
      <c r="M283" s="1051"/>
      <c r="N283" s="1051"/>
      <c r="O283" s="1052"/>
      <c r="P283" s="1051"/>
      <c r="Q283" s="1051"/>
      <c r="R283" s="1052"/>
      <c r="S283" s="1051"/>
      <c r="T283" s="1051"/>
      <c r="U283" s="1052"/>
      <c r="V283" s="1051"/>
      <c r="W283" s="1051"/>
      <c r="X283" s="1052"/>
      <c r="Y283" s="1053"/>
      <c r="Z283" s="1051"/>
      <c r="AA283" s="1051"/>
      <c r="AB283" s="1052"/>
      <c r="AC283" s="1051"/>
      <c r="AD283" s="1051"/>
      <c r="AE283" s="1052"/>
      <c r="AF283" s="1051"/>
      <c r="AG283" s="1051"/>
      <c r="AH283" s="1051"/>
      <c r="AI283" s="1051"/>
      <c r="AJ283" s="1052"/>
      <c r="AK283" s="1051"/>
      <c r="AL283" s="1051"/>
      <c r="AM283" s="1052"/>
      <c r="AN283" s="1051"/>
      <c r="AO283" s="1051"/>
      <c r="AP283" s="1052"/>
      <c r="AQ283" s="1051"/>
      <c r="AR283" s="1051"/>
      <c r="AS283" s="1052"/>
      <c r="AT283" s="1051"/>
      <c r="AU283" s="1051"/>
      <c r="AV283" s="1052"/>
      <c r="AW283" s="1051"/>
      <c r="AX283" s="1051"/>
      <c r="AY283" s="1053"/>
      <c r="AZ283" s="1051"/>
      <c r="BA283" s="1051"/>
      <c r="BB283" s="1053"/>
      <c r="BC283" s="1051"/>
      <c r="BD283" s="1051"/>
      <c r="BE283" s="1053"/>
      <c r="BF283" s="1051"/>
      <c r="BG283" s="1051"/>
      <c r="BH283" s="1053"/>
      <c r="BI283" s="1052"/>
      <c r="BJ283" s="1052"/>
      <c r="BK283" s="1052"/>
      <c r="BL283" s="1052"/>
      <c r="BM283" s="1052"/>
      <c r="BN283" s="1054"/>
      <c r="BO283" s="1076">
        <f t="shared" si="15"/>
        <v>0</v>
      </c>
      <c r="BP283" s="1051"/>
      <c r="BQ283" s="1052"/>
      <c r="BR283" s="1054"/>
      <c r="BS283" s="1053"/>
      <c r="BT283" s="1051"/>
      <c r="BU283" s="1051"/>
      <c r="BV283" s="1051"/>
      <c r="BW283" s="1052"/>
      <c r="BX283" s="1052"/>
      <c r="BY283" s="1052"/>
      <c r="BZ283" s="1052"/>
      <c r="CA283" s="1052"/>
      <c r="CB283" s="1053"/>
      <c r="CC283" s="1053"/>
      <c r="CD283" s="1053"/>
      <c r="CE283" s="1053"/>
      <c r="CF283" s="1053"/>
      <c r="CG283" s="1053"/>
      <c r="CH283" s="1053"/>
      <c r="CI283" s="1123"/>
      <c r="CJ283" s="1123"/>
      <c r="CK283" s="1123"/>
      <c r="CL283" s="1123"/>
      <c r="CM283" s="1123"/>
      <c r="CN283" s="1123"/>
      <c r="CO283" s="1123"/>
      <c r="CP283" s="1123"/>
      <c r="CQ283" s="1123"/>
      <c r="CR283" s="1123"/>
      <c r="CS283" s="1123"/>
      <c r="CT283" s="1123"/>
      <c r="CU283" s="1123"/>
      <c r="CV283" s="1123"/>
      <c r="CW283" s="1123"/>
      <c r="CX283" s="1123"/>
      <c r="CY283" s="1123"/>
      <c r="CZ283" s="1114"/>
      <c r="DA283" s="1114"/>
      <c r="DB283" s="1114"/>
      <c r="DC283" s="1114"/>
      <c r="DD283" s="1114"/>
      <c r="DE283" s="1114"/>
      <c r="DF283" s="1114"/>
      <c r="DG283" s="1114"/>
      <c r="DH283" s="1114"/>
      <c r="DI283" s="1114"/>
      <c r="DJ283" s="1114"/>
      <c r="DK283" s="1114"/>
      <c r="DL283" s="1114"/>
      <c r="DM283" s="1114"/>
      <c r="DN283" s="1114"/>
      <c r="DO283" s="1114"/>
      <c r="DP283" s="1114"/>
      <c r="DQ283" s="1114"/>
      <c r="DR283" s="1114"/>
      <c r="DS283" s="1114"/>
      <c r="DT283" s="1114"/>
      <c r="DU283" s="1114"/>
      <c r="DV283" s="1115"/>
      <c r="DW283" s="1116"/>
      <c r="DX283" s="1116"/>
      <c r="DY283" s="1116"/>
      <c r="DZ283" s="1116"/>
      <c r="EA283" s="1116"/>
      <c r="EB283" s="1116"/>
      <c r="EC283" s="1116"/>
      <c r="ED283" s="1116"/>
      <c r="EE283" s="1116"/>
      <c r="EF283" s="1116"/>
      <c r="EG283" s="1116"/>
      <c r="EH283" s="1116"/>
      <c r="EI283" s="1116"/>
      <c r="EJ283" s="1116"/>
      <c r="EK283" s="1116"/>
      <c r="EL283" s="1116"/>
      <c r="EM283" s="1116"/>
      <c r="EN283" s="1116"/>
      <c r="EO283" s="1116"/>
      <c r="EP283" s="1116"/>
      <c r="EQ283" s="1116"/>
      <c r="ER283" s="1116"/>
      <c r="ES283" s="1116"/>
    </row>
    <row r="284" spans="1:149" ht="15" customHeight="1">
      <c r="A284" s="1185">
        <v>269</v>
      </c>
      <c r="B284" s="1041"/>
      <c r="C284" s="1050"/>
      <c r="D284" s="1050"/>
      <c r="E284" s="1050"/>
      <c r="F284" s="1049"/>
      <c r="G284" s="1457"/>
      <c r="H284" s="1049"/>
      <c r="I284" s="1049"/>
      <c r="J284" s="1050"/>
      <c r="K284" s="1050"/>
      <c r="L284" s="1043"/>
      <c r="M284" s="1051"/>
      <c r="N284" s="1051"/>
      <c r="O284" s="1052"/>
      <c r="P284" s="1051"/>
      <c r="Q284" s="1051"/>
      <c r="R284" s="1052"/>
      <c r="S284" s="1051"/>
      <c r="T284" s="1051"/>
      <c r="U284" s="1052"/>
      <c r="V284" s="1051"/>
      <c r="W284" s="1051"/>
      <c r="X284" s="1052"/>
      <c r="Y284" s="1053"/>
      <c r="Z284" s="1051"/>
      <c r="AA284" s="1051"/>
      <c r="AB284" s="1052"/>
      <c r="AC284" s="1051"/>
      <c r="AD284" s="1051"/>
      <c r="AE284" s="1052"/>
      <c r="AF284" s="1051"/>
      <c r="AG284" s="1051"/>
      <c r="AH284" s="1051"/>
      <c r="AI284" s="1051"/>
      <c r="AJ284" s="1052"/>
      <c r="AK284" s="1051"/>
      <c r="AL284" s="1051"/>
      <c r="AM284" s="1052"/>
      <c r="AN284" s="1051"/>
      <c r="AO284" s="1051"/>
      <c r="AP284" s="1052"/>
      <c r="AQ284" s="1051"/>
      <c r="AR284" s="1051"/>
      <c r="AS284" s="1052"/>
      <c r="AT284" s="1051"/>
      <c r="AU284" s="1051"/>
      <c r="AV284" s="1052"/>
      <c r="AW284" s="1051"/>
      <c r="AX284" s="1051"/>
      <c r="AY284" s="1053"/>
      <c r="AZ284" s="1051"/>
      <c r="BA284" s="1051"/>
      <c r="BB284" s="1053"/>
      <c r="BC284" s="1051"/>
      <c r="BD284" s="1051"/>
      <c r="BE284" s="1053"/>
      <c r="BF284" s="1051"/>
      <c r="BG284" s="1051"/>
      <c r="BH284" s="1053"/>
      <c r="BI284" s="1052"/>
      <c r="BJ284" s="1052"/>
      <c r="BK284" s="1052"/>
      <c r="BL284" s="1052"/>
      <c r="BM284" s="1052"/>
      <c r="BN284" s="1054"/>
      <c r="BO284" s="1076">
        <f t="shared" si="15"/>
        <v>0</v>
      </c>
      <c r="BP284" s="1051"/>
      <c r="BQ284" s="1052"/>
      <c r="BR284" s="1054"/>
      <c r="BS284" s="1053"/>
      <c r="BT284" s="1051"/>
      <c r="BU284" s="1051"/>
      <c r="BV284" s="1051"/>
      <c r="BW284" s="1052"/>
      <c r="BX284" s="1052"/>
      <c r="BY284" s="1052"/>
      <c r="BZ284" s="1052"/>
      <c r="CA284" s="1052"/>
      <c r="CB284" s="1053"/>
      <c r="CC284" s="1053"/>
      <c r="CD284" s="1053"/>
      <c r="CE284" s="1053"/>
      <c r="CF284" s="1053"/>
      <c r="CG284" s="1053"/>
      <c r="CH284" s="1053"/>
      <c r="CI284" s="1123"/>
      <c r="CJ284" s="1123"/>
      <c r="CK284" s="1123"/>
      <c r="CL284" s="1123"/>
      <c r="CM284" s="1123"/>
      <c r="CN284" s="1123"/>
      <c r="CO284" s="1123"/>
      <c r="CP284" s="1123"/>
      <c r="CQ284" s="1123"/>
      <c r="CR284" s="1123"/>
      <c r="CS284" s="1123"/>
      <c r="CT284" s="1123"/>
      <c r="CU284" s="1123"/>
      <c r="CV284" s="1123"/>
      <c r="CW284" s="1123"/>
      <c r="CX284" s="1123"/>
      <c r="CY284" s="1123"/>
      <c r="CZ284" s="1114"/>
      <c r="DA284" s="1114"/>
      <c r="DB284" s="1114"/>
      <c r="DC284" s="1114"/>
      <c r="DD284" s="1114"/>
      <c r="DE284" s="1114"/>
      <c r="DF284" s="1114"/>
      <c r="DG284" s="1114"/>
      <c r="DH284" s="1114"/>
      <c r="DI284" s="1114"/>
      <c r="DJ284" s="1114"/>
      <c r="DK284" s="1114"/>
      <c r="DL284" s="1114"/>
      <c r="DM284" s="1114"/>
      <c r="DN284" s="1114"/>
      <c r="DO284" s="1114"/>
      <c r="DP284" s="1114"/>
      <c r="DQ284" s="1114"/>
      <c r="DR284" s="1114"/>
      <c r="DS284" s="1114"/>
      <c r="DT284" s="1114"/>
      <c r="DU284" s="1114"/>
      <c r="DV284" s="1115"/>
      <c r="DW284" s="1116"/>
      <c r="DX284" s="1116"/>
      <c r="DY284" s="1116"/>
      <c r="DZ284" s="1116"/>
      <c r="EA284" s="1116"/>
      <c r="EB284" s="1116"/>
      <c r="EC284" s="1116"/>
      <c r="ED284" s="1116"/>
      <c r="EE284" s="1116"/>
      <c r="EF284" s="1116"/>
      <c r="EG284" s="1116"/>
      <c r="EH284" s="1116"/>
      <c r="EI284" s="1116"/>
      <c r="EJ284" s="1116"/>
      <c r="EK284" s="1116"/>
      <c r="EL284" s="1116"/>
      <c r="EM284" s="1116"/>
      <c r="EN284" s="1116"/>
      <c r="EO284" s="1116"/>
      <c r="EP284" s="1116"/>
      <c r="EQ284" s="1116"/>
      <c r="ER284" s="1116"/>
      <c r="ES284" s="1116"/>
    </row>
    <row r="285" spans="1:149" ht="15" customHeight="1">
      <c r="A285" s="1185">
        <v>270</v>
      </c>
      <c r="B285" s="1041"/>
      <c r="C285" s="1050"/>
      <c r="D285" s="1050"/>
      <c r="E285" s="1050"/>
      <c r="F285" s="1049"/>
      <c r="G285" s="1457"/>
      <c r="H285" s="1049"/>
      <c r="I285" s="1049"/>
      <c r="J285" s="1050"/>
      <c r="K285" s="1050"/>
      <c r="L285" s="1043"/>
      <c r="M285" s="1051"/>
      <c r="N285" s="1051"/>
      <c r="O285" s="1052"/>
      <c r="P285" s="1051"/>
      <c r="Q285" s="1051"/>
      <c r="R285" s="1052"/>
      <c r="S285" s="1051"/>
      <c r="T285" s="1051"/>
      <c r="U285" s="1052"/>
      <c r="V285" s="1051"/>
      <c r="W285" s="1051"/>
      <c r="X285" s="1052"/>
      <c r="Y285" s="1053"/>
      <c r="Z285" s="1051"/>
      <c r="AA285" s="1051"/>
      <c r="AB285" s="1052"/>
      <c r="AC285" s="1051"/>
      <c r="AD285" s="1051"/>
      <c r="AE285" s="1052"/>
      <c r="AF285" s="1051"/>
      <c r="AG285" s="1051"/>
      <c r="AH285" s="1051"/>
      <c r="AI285" s="1051"/>
      <c r="AJ285" s="1052"/>
      <c r="AK285" s="1051"/>
      <c r="AL285" s="1051"/>
      <c r="AM285" s="1052"/>
      <c r="AN285" s="1051"/>
      <c r="AO285" s="1051"/>
      <c r="AP285" s="1052"/>
      <c r="AQ285" s="1051"/>
      <c r="AR285" s="1051"/>
      <c r="AS285" s="1052"/>
      <c r="AT285" s="1051"/>
      <c r="AU285" s="1051"/>
      <c r="AV285" s="1052"/>
      <c r="AW285" s="1051"/>
      <c r="AX285" s="1051"/>
      <c r="AY285" s="1053"/>
      <c r="AZ285" s="1051"/>
      <c r="BA285" s="1051"/>
      <c r="BB285" s="1053"/>
      <c r="BC285" s="1051"/>
      <c r="BD285" s="1051"/>
      <c r="BE285" s="1053"/>
      <c r="BF285" s="1051"/>
      <c r="BG285" s="1051"/>
      <c r="BH285" s="1053"/>
      <c r="BI285" s="1052"/>
      <c r="BJ285" s="1052"/>
      <c r="BK285" s="1052"/>
      <c r="BL285" s="1052"/>
      <c r="BM285" s="1052"/>
      <c r="BN285" s="1054"/>
      <c r="BO285" s="1076">
        <f t="shared" si="15"/>
        <v>0</v>
      </c>
      <c r="BP285" s="1051"/>
      <c r="BQ285" s="1052"/>
      <c r="BR285" s="1054"/>
      <c r="BS285" s="1053"/>
      <c r="BT285" s="1051"/>
      <c r="BU285" s="1051"/>
      <c r="BV285" s="1051"/>
      <c r="BW285" s="1052"/>
      <c r="BX285" s="1052"/>
      <c r="BY285" s="1052"/>
      <c r="BZ285" s="1052"/>
      <c r="CA285" s="1052"/>
      <c r="CB285" s="1053"/>
      <c r="CC285" s="1053"/>
      <c r="CD285" s="1053"/>
      <c r="CE285" s="1053"/>
      <c r="CF285" s="1053"/>
      <c r="CG285" s="1053"/>
      <c r="CH285" s="1053"/>
      <c r="CI285" s="1123"/>
      <c r="CJ285" s="1123"/>
      <c r="CK285" s="1123"/>
      <c r="CL285" s="1123"/>
      <c r="CM285" s="1123"/>
      <c r="CN285" s="1123"/>
      <c r="CO285" s="1123"/>
      <c r="CP285" s="1123"/>
      <c r="CQ285" s="1123"/>
      <c r="CR285" s="1123"/>
      <c r="CS285" s="1123"/>
      <c r="CT285" s="1123"/>
      <c r="CU285" s="1123"/>
      <c r="CV285" s="1123"/>
      <c r="CW285" s="1123"/>
      <c r="CX285" s="1123"/>
      <c r="CY285" s="1123"/>
      <c r="CZ285" s="1114"/>
      <c r="DA285" s="1114"/>
      <c r="DB285" s="1114"/>
      <c r="DC285" s="1114"/>
      <c r="DD285" s="1114"/>
      <c r="DE285" s="1114"/>
      <c r="DF285" s="1114"/>
      <c r="DG285" s="1114"/>
      <c r="DH285" s="1114"/>
      <c r="DI285" s="1114"/>
      <c r="DJ285" s="1114"/>
      <c r="DK285" s="1114"/>
      <c r="DL285" s="1114"/>
      <c r="DM285" s="1114"/>
      <c r="DN285" s="1114"/>
      <c r="DO285" s="1114"/>
      <c r="DP285" s="1114"/>
      <c r="DQ285" s="1114"/>
      <c r="DR285" s="1114"/>
      <c r="DS285" s="1114"/>
      <c r="DT285" s="1114"/>
      <c r="DU285" s="1114"/>
      <c r="DV285" s="1115"/>
      <c r="DW285" s="1116"/>
      <c r="DX285" s="1116"/>
      <c r="DY285" s="1116"/>
      <c r="DZ285" s="1116"/>
      <c r="EA285" s="1116"/>
      <c r="EB285" s="1116"/>
      <c r="EC285" s="1116"/>
      <c r="ED285" s="1116"/>
      <c r="EE285" s="1116"/>
      <c r="EF285" s="1116"/>
      <c r="EG285" s="1116"/>
      <c r="EH285" s="1116"/>
      <c r="EI285" s="1116"/>
      <c r="EJ285" s="1116"/>
      <c r="EK285" s="1116"/>
      <c r="EL285" s="1116"/>
      <c r="EM285" s="1116"/>
      <c r="EN285" s="1116"/>
      <c r="EO285" s="1116"/>
      <c r="EP285" s="1116"/>
      <c r="EQ285" s="1116"/>
      <c r="ER285" s="1116"/>
      <c r="ES285" s="1116"/>
    </row>
    <row r="286" spans="1:149" ht="15" customHeight="1">
      <c r="A286" s="1185">
        <v>271</v>
      </c>
      <c r="B286" s="1041"/>
      <c r="C286" s="1050"/>
      <c r="D286" s="1050"/>
      <c r="E286" s="1050"/>
      <c r="F286" s="1049"/>
      <c r="G286" s="1457"/>
      <c r="H286" s="1049"/>
      <c r="I286" s="1049"/>
      <c r="J286" s="1050"/>
      <c r="K286" s="1050"/>
      <c r="L286" s="1043"/>
      <c r="M286" s="1051"/>
      <c r="N286" s="1051"/>
      <c r="O286" s="1052"/>
      <c r="P286" s="1051"/>
      <c r="Q286" s="1051"/>
      <c r="R286" s="1052"/>
      <c r="S286" s="1051"/>
      <c r="T286" s="1051"/>
      <c r="U286" s="1052"/>
      <c r="V286" s="1051"/>
      <c r="W286" s="1051"/>
      <c r="X286" s="1052"/>
      <c r="Y286" s="1053"/>
      <c r="Z286" s="1051"/>
      <c r="AA286" s="1051"/>
      <c r="AB286" s="1052"/>
      <c r="AC286" s="1051"/>
      <c r="AD286" s="1051"/>
      <c r="AE286" s="1052"/>
      <c r="AF286" s="1051"/>
      <c r="AG286" s="1051"/>
      <c r="AH286" s="1051"/>
      <c r="AI286" s="1051"/>
      <c r="AJ286" s="1052"/>
      <c r="AK286" s="1051"/>
      <c r="AL286" s="1051"/>
      <c r="AM286" s="1052"/>
      <c r="AN286" s="1051"/>
      <c r="AO286" s="1051"/>
      <c r="AP286" s="1052"/>
      <c r="AQ286" s="1051"/>
      <c r="AR286" s="1051"/>
      <c r="AS286" s="1052"/>
      <c r="AT286" s="1051"/>
      <c r="AU286" s="1051"/>
      <c r="AV286" s="1052"/>
      <c r="AW286" s="1051"/>
      <c r="AX286" s="1051"/>
      <c r="AY286" s="1053"/>
      <c r="AZ286" s="1051"/>
      <c r="BA286" s="1051"/>
      <c r="BB286" s="1053"/>
      <c r="BC286" s="1051"/>
      <c r="BD286" s="1051"/>
      <c r="BE286" s="1053"/>
      <c r="BF286" s="1051"/>
      <c r="BG286" s="1051"/>
      <c r="BH286" s="1053"/>
      <c r="BI286" s="1052"/>
      <c r="BJ286" s="1052"/>
      <c r="BK286" s="1052"/>
      <c r="BL286" s="1052"/>
      <c r="BM286" s="1052"/>
      <c r="BN286" s="1054"/>
      <c r="BO286" s="1076">
        <f t="shared" si="15"/>
        <v>0</v>
      </c>
      <c r="BP286" s="1051"/>
      <c r="BQ286" s="1052"/>
      <c r="BR286" s="1054"/>
      <c r="BS286" s="1053"/>
      <c r="BT286" s="1051"/>
      <c r="BU286" s="1051"/>
      <c r="BV286" s="1051"/>
      <c r="BW286" s="1052"/>
      <c r="BX286" s="1052"/>
      <c r="BY286" s="1052"/>
      <c r="BZ286" s="1052"/>
      <c r="CA286" s="1052"/>
      <c r="CB286" s="1053"/>
      <c r="CC286" s="1053"/>
      <c r="CD286" s="1053"/>
      <c r="CE286" s="1053"/>
      <c r="CF286" s="1053"/>
      <c r="CG286" s="1053"/>
      <c r="CH286" s="1053"/>
      <c r="CI286" s="1123"/>
      <c r="CJ286" s="1123"/>
      <c r="CK286" s="1123"/>
      <c r="CL286" s="1123"/>
      <c r="CM286" s="1123"/>
      <c r="CN286" s="1123"/>
      <c r="CO286" s="1123"/>
      <c r="CP286" s="1123"/>
      <c r="CQ286" s="1123"/>
      <c r="CR286" s="1123"/>
      <c r="CS286" s="1123"/>
      <c r="CT286" s="1123"/>
      <c r="CU286" s="1123"/>
      <c r="CV286" s="1123"/>
      <c r="CW286" s="1123"/>
      <c r="CX286" s="1123"/>
      <c r="CY286" s="1123"/>
      <c r="CZ286" s="1114"/>
      <c r="DA286" s="1114"/>
      <c r="DB286" s="1114"/>
      <c r="DC286" s="1114"/>
      <c r="DD286" s="1114"/>
      <c r="DE286" s="1114"/>
      <c r="DF286" s="1114"/>
      <c r="DG286" s="1114"/>
      <c r="DH286" s="1114"/>
      <c r="DI286" s="1114"/>
      <c r="DJ286" s="1114"/>
      <c r="DK286" s="1114"/>
      <c r="DL286" s="1114"/>
      <c r="DM286" s="1114"/>
      <c r="DN286" s="1114"/>
      <c r="DO286" s="1114"/>
      <c r="DP286" s="1114"/>
      <c r="DQ286" s="1114"/>
      <c r="DR286" s="1114"/>
      <c r="DS286" s="1114"/>
      <c r="DT286" s="1114"/>
      <c r="DU286" s="1114"/>
      <c r="DV286" s="1115"/>
      <c r="DW286" s="1116"/>
      <c r="DX286" s="1116"/>
      <c r="DY286" s="1116"/>
      <c r="DZ286" s="1116"/>
      <c r="EA286" s="1116"/>
      <c r="EB286" s="1116"/>
      <c r="EC286" s="1116"/>
      <c r="ED286" s="1116"/>
      <c r="EE286" s="1116"/>
      <c r="EF286" s="1116"/>
      <c r="EG286" s="1116"/>
      <c r="EH286" s="1116"/>
      <c r="EI286" s="1116"/>
      <c r="EJ286" s="1116"/>
      <c r="EK286" s="1116"/>
      <c r="EL286" s="1116"/>
      <c r="EM286" s="1116"/>
      <c r="EN286" s="1116"/>
      <c r="EO286" s="1116"/>
      <c r="EP286" s="1116"/>
      <c r="EQ286" s="1116"/>
      <c r="ER286" s="1116"/>
      <c r="ES286" s="1116"/>
    </row>
    <row r="287" spans="1:149" ht="15" customHeight="1">
      <c r="A287" s="1185">
        <v>272</v>
      </c>
      <c r="B287" s="1041"/>
      <c r="C287" s="1050"/>
      <c r="D287" s="1050"/>
      <c r="E287" s="1050"/>
      <c r="F287" s="1049"/>
      <c r="G287" s="1457"/>
      <c r="H287" s="1049"/>
      <c r="I287" s="1049"/>
      <c r="J287" s="1050"/>
      <c r="K287" s="1050"/>
      <c r="L287" s="1043"/>
      <c r="M287" s="1051"/>
      <c r="N287" s="1051"/>
      <c r="O287" s="1052"/>
      <c r="P287" s="1051"/>
      <c r="Q287" s="1051"/>
      <c r="R287" s="1052"/>
      <c r="S287" s="1051"/>
      <c r="T287" s="1051"/>
      <c r="U287" s="1052"/>
      <c r="V287" s="1051"/>
      <c r="W287" s="1051"/>
      <c r="X287" s="1052"/>
      <c r="Y287" s="1053"/>
      <c r="Z287" s="1051"/>
      <c r="AA287" s="1051"/>
      <c r="AB287" s="1052"/>
      <c r="AC287" s="1051"/>
      <c r="AD287" s="1051"/>
      <c r="AE287" s="1052"/>
      <c r="AF287" s="1051"/>
      <c r="AG287" s="1051"/>
      <c r="AH287" s="1051"/>
      <c r="AI287" s="1051"/>
      <c r="AJ287" s="1052"/>
      <c r="AK287" s="1051"/>
      <c r="AL287" s="1051"/>
      <c r="AM287" s="1052"/>
      <c r="AN287" s="1051"/>
      <c r="AO287" s="1051"/>
      <c r="AP287" s="1052"/>
      <c r="AQ287" s="1051"/>
      <c r="AR287" s="1051"/>
      <c r="AS287" s="1052"/>
      <c r="AT287" s="1051"/>
      <c r="AU287" s="1051"/>
      <c r="AV287" s="1052"/>
      <c r="AW287" s="1051"/>
      <c r="AX287" s="1051"/>
      <c r="AY287" s="1053"/>
      <c r="AZ287" s="1051"/>
      <c r="BA287" s="1051"/>
      <c r="BB287" s="1053"/>
      <c r="BC287" s="1051"/>
      <c r="BD287" s="1051"/>
      <c r="BE287" s="1053"/>
      <c r="BF287" s="1051"/>
      <c r="BG287" s="1051"/>
      <c r="BH287" s="1053"/>
      <c r="BI287" s="1052"/>
      <c r="BJ287" s="1052"/>
      <c r="BK287" s="1052"/>
      <c r="BL287" s="1052"/>
      <c r="BM287" s="1052"/>
      <c r="BN287" s="1054"/>
      <c r="BO287" s="1076">
        <f t="shared" si="15"/>
        <v>0</v>
      </c>
      <c r="BP287" s="1051"/>
      <c r="BQ287" s="1052"/>
      <c r="BR287" s="1054"/>
      <c r="BS287" s="1053"/>
      <c r="BT287" s="1051"/>
      <c r="BU287" s="1051"/>
      <c r="BV287" s="1051"/>
      <c r="BW287" s="1052"/>
      <c r="BX287" s="1052"/>
      <c r="BY287" s="1052"/>
      <c r="BZ287" s="1052"/>
      <c r="CA287" s="1052"/>
      <c r="CB287" s="1053"/>
      <c r="CC287" s="1053"/>
      <c r="CD287" s="1053"/>
      <c r="CE287" s="1053"/>
      <c r="CF287" s="1053"/>
      <c r="CG287" s="1053"/>
      <c r="CH287" s="1053"/>
      <c r="CI287" s="1123"/>
      <c r="CJ287" s="1123"/>
      <c r="CK287" s="1123"/>
      <c r="CL287" s="1123"/>
      <c r="CM287" s="1123"/>
      <c r="CN287" s="1123"/>
      <c r="CO287" s="1123"/>
      <c r="CP287" s="1123"/>
      <c r="CQ287" s="1123"/>
      <c r="CR287" s="1123"/>
      <c r="CS287" s="1123"/>
      <c r="CT287" s="1123"/>
      <c r="CU287" s="1123"/>
      <c r="CV287" s="1123"/>
      <c r="CW287" s="1123"/>
      <c r="CX287" s="1123"/>
      <c r="CY287" s="1123"/>
      <c r="CZ287" s="1114"/>
      <c r="DA287" s="1114"/>
      <c r="DB287" s="1114"/>
      <c r="DC287" s="1114"/>
      <c r="DD287" s="1114"/>
      <c r="DE287" s="1114"/>
      <c r="DF287" s="1114"/>
      <c r="DG287" s="1114"/>
      <c r="DH287" s="1114"/>
      <c r="DI287" s="1114"/>
      <c r="DJ287" s="1114"/>
      <c r="DK287" s="1114"/>
      <c r="DL287" s="1114"/>
      <c r="DM287" s="1114"/>
      <c r="DN287" s="1114"/>
      <c r="DO287" s="1114"/>
      <c r="DP287" s="1114"/>
      <c r="DQ287" s="1114"/>
      <c r="DR287" s="1114"/>
      <c r="DS287" s="1114"/>
      <c r="DT287" s="1114"/>
      <c r="DU287" s="1114"/>
      <c r="DV287" s="1115"/>
      <c r="DW287" s="1116"/>
      <c r="DX287" s="1116"/>
      <c r="DY287" s="1116"/>
      <c r="DZ287" s="1116"/>
      <c r="EA287" s="1116"/>
      <c r="EB287" s="1116"/>
      <c r="EC287" s="1116"/>
      <c r="ED287" s="1116"/>
      <c r="EE287" s="1116"/>
      <c r="EF287" s="1116"/>
      <c r="EG287" s="1116"/>
      <c r="EH287" s="1116"/>
      <c r="EI287" s="1116"/>
      <c r="EJ287" s="1116"/>
      <c r="EK287" s="1116"/>
      <c r="EL287" s="1116"/>
      <c r="EM287" s="1116"/>
      <c r="EN287" s="1116"/>
      <c r="EO287" s="1116"/>
      <c r="EP287" s="1116"/>
      <c r="EQ287" s="1116"/>
      <c r="ER287" s="1116"/>
      <c r="ES287" s="1116"/>
    </row>
    <row r="288" spans="1:149" ht="15" customHeight="1">
      <c r="A288" s="1185">
        <v>273</v>
      </c>
      <c r="B288" s="1041"/>
      <c r="C288" s="1050"/>
      <c r="D288" s="1050"/>
      <c r="E288" s="1050"/>
      <c r="F288" s="1049"/>
      <c r="G288" s="1457"/>
      <c r="H288" s="1049"/>
      <c r="I288" s="1049"/>
      <c r="J288" s="1050"/>
      <c r="K288" s="1050"/>
      <c r="L288" s="1043"/>
      <c r="M288" s="1051"/>
      <c r="N288" s="1051"/>
      <c r="O288" s="1052"/>
      <c r="P288" s="1051"/>
      <c r="Q288" s="1051"/>
      <c r="R288" s="1052"/>
      <c r="S288" s="1051"/>
      <c r="T288" s="1051"/>
      <c r="U288" s="1052"/>
      <c r="V288" s="1051"/>
      <c r="W288" s="1051"/>
      <c r="X288" s="1052"/>
      <c r="Y288" s="1053"/>
      <c r="Z288" s="1051"/>
      <c r="AA288" s="1051"/>
      <c r="AB288" s="1052"/>
      <c r="AC288" s="1051"/>
      <c r="AD288" s="1051"/>
      <c r="AE288" s="1052"/>
      <c r="AF288" s="1051"/>
      <c r="AG288" s="1051"/>
      <c r="AH288" s="1051"/>
      <c r="AI288" s="1051"/>
      <c r="AJ288" s="1052"/>
      <c r="AK288" s="1051"/>
      <c r="AL288" s="1051"/>
      <c r="AM288" s="1052"/>
      <c r="AN288" s="1051"/>
      <c r="AO288" s="1051"/>
      <c r="AP288" s="1052"/>
      <c r="AQ288" s="1051"/>
      <c r="AR288" s="1051"/>
      <c r="AS288" s="1052"/>
      <c r="AT288" s="1051"/>
      <c r="AU288" s="1051"/>
      <c r="AV288" s="1052"/>
      <c r="AW288" s="1051"/>
      <c r="AX288" s="1051"/>
      <c r="AY288" s="1053"/>
      <c r="AZ288" s="1051"/>
      <c r="BA288" s="1051"/>
      <c r="BB288" s="1053"/>
      <c r="BC288" s="1051"/>
      <c r="BD288" s="1051"/>
      <c r="BE288" s="1053"/>
      <c r="BF288" s="1051"/>
      <c r="BG288" s="1051"/>
      <c r="BH288" s="1053"/>
      <c r="BI288" s="1052"/>
      <c r="BJ288" s="1052"/>
      <c r="BK288" s="1052"/>
      <c r="BL288" s="1052"/>
      <c r="BM288" s="1052"/>
      <c r="BN288" s="1054"/>
      <c r="BO288" s="1076">
        <f t="shared" si="15"/>
        <v>0</v>
      </c>
      <c r="BP288" s="1051"/>
      <c r="BQ288" s="1052"/>
      <c r="BR288" s="1054"/>
      <c r="BS288" s="1053"/>
      <c r="BT288" s="1051"/>
      <c r="BU288" s="1051"/>
      <c r="BV288" s="1051"/>
      <c r="BW288" s="1052"/>
      <c r="BX288" s="1052"/>
      <c r="BY288" s="1052"/>
      <c r="BZ288" s="1052"/>
      <c r="CA288" s="1052"/>
      <c r="CB288" s="1053"/>
      <c r="CC288" s="1053"/>
      <c r="CD288" s="1053"/>
      <c r="CE288" s="1053"/>
      <c r="CF288" s="1053"/>
      <c r="CG288" s="1053"/>
      <c r="CH288" s="1053"/>
      <c r="CI288" s="1123"/>
      <c r="CJ288" s="1123"/>
      <c r="CK288" s="1123"/>
      <c r="CL288" s="1123"/>
      <c r="CM288" s="1123"/>
      <c r="CN288" s="1123"/>
      <c r="CO288" s="1123"/>
      <c r="CP288" s="1123"/>
      <c r="CQ288" s="1123"/>
      <c r="CR288" s="1123"/>
      <c r="CS288" s="1123"/>
      <c r="CT288" s="1123"/>
      <c r="CU288" s="1123"/>
      <c r="CV288" s="1123"/>
      <c r="CW288" s="1123"/>
      <c r="CX288" s="1123"/>
      <c r="CY288" s="1123"/>
      <c r="CZ288" s="1114"/>
      <c r="DA288" s="1114"/>
      <c r="DB288" s="1114"/>
      <c r="DC288" s="1114"/>
      <c r="DD288" s="1114"/>
      <c r="DE288" s="1114"/>
      <c r="DF288" s="1114"/>
      <c r="DG288" s="1114"/>
      <c r="DH288" s="1114"/>
      <c r="DI288" s="1114"/>
      <c r="DJ288" s="1114"/>
      <c r="DK288" s="1114"/>
      <c r="DL288" s="1114"/>
      <c r="DM288" s="1114"/>
      <c r="DN288" s="1114"/>
      <c r="DO288" s="1114"/>
      <c r="DP288" s="1114"/>
      <c r="DQ288" s="1114"/>
      <c r="DR288" s="1114"/>
      <c r="DS288" s="1114"/>
      <c r="DT288" s="1114"/>
      <c r="DU288" s="1114"/>
      <c r="DV288" s="1115"/>
      <c r="DW288" s="1116"/>
      <c r="DX288" s="1116"/>
      <c r="DY288" s="1116"/>
      <c r="DZ288" s="1116"/>
      <c r="EA288" s="1116"/>
      <c r="EB288" s="1116"/>
      <c r="EC288" s="1116"/>
      <c r="ED288" s="1116"/>
      <c r="EE288" s="1116"/>
      <c r="EF288" s="1116"/>
      <c r="EG288" s="1116"/>
      <c r="EH288" s="1116"/>
      <c r="EI288" s="1116"/>
      <c r="EJ288" s="1116"/>
      <c r="EK288" s="1116"/>
      <c r="EL288" s="1116"/>
      <c r="EM288" s="1116"/>
      <c r="EN288" s="1116"/>
      <c r="EO288" s="1116"/>
      <c r="EP288" s="1116"/>
      <c r="EQ288" s="1116"/>
      <c r="ER288" s="1116"/>
      <c r="ES288" s="1116"/>
    </row>
    <row r="289" spans="1:149" ht="15" customHeight="1">
      <c r="A289" s="1185">
        <v>274</v>
      </c>
      <c r="B289" s="1041"/>
      <c r="C289" s="1050"/>
      <c r="D289" s="1050"/>
      <c r="E289" s="1050"/>
      <c r="F289" s="1049"/>
      <c r="G289" s="1457"/>
      <c r="H289" s="1049"/>
      <c r="I289" s="1049"/>
      <c r="J289" s="1050"/>
      <c r="K289" s="1050"/>
      <c r="L289" s="1043"/>
      <c r="M289" s="1051"/>
      <c r="N289" s="1051"/>
      <c r="O289" s="1052"/>
      <c r="P289" s="1051"/>
      <c r="Q289" s="1051"/>
      <c r="R289" s="1052"/>
      <c r="S289" s="1051"/>
      <c r="T289" s="1051"/>
      <c r="U289" s="1052"/>
      <c r="V289" s="1051"/>
      <c r="W289" s="1051"/>
      <c r="X289" s="1052"/>
      <c r="Y289" s="1053"/>
      <c r="Z289" s="1051"/>
      <c r="AA289" s="1051"/>
      <c r="AB289" s="1052"/>
      <c r="AC289" s="1051"/>
      <c r="AD289" s="1051"/>
      <c r="AE289" s="1052"/>
      <c r="AF289" s="1051"/>
      <c r="AG289" s="1051"/>
      <c r="AH289" s="1051"/>
      <c r="AI289" s="1051"/>
      <c r="AJ289" s="1052"/>
      <c r="AK289" s="1051"/>
      <c r="AL289" s="1051"/>
      <c r="AM289" s="1052"/>
      <c r="AN289" s="1051"/>
      <c r="AO289" s="1051"/>
      <c r="AP289" s="1052"/>
      <c r="AQ289" s="1051"/>
      <c r="AR289" s="1051"/>
      <c r="AS289" s="1052"/>
      <c r="AT289" s="1051"/>
      <c r="AU289" s="1051"/>
      <c r="AV289" s="1052"/>
      <c r="AW289" s="1051"/>
      <c r="AX289" s="1051"/>
      <c r="AY289" s="1053"/>
      <c r="AZ289" s="1051"/>
      <c r="BA289" s="1051"/>
      <c r="BB289" s="1053"/>
      <c r="BC289" s="1051"/>
      <c r="BD289" s="1051"/>
      <c r="BE289" s="1053"/>
      <c r="BF289" s="1051"/>
      <c r="BG289" s="1051"/>
      <c r="BH289" s="1053"/>
      <c r="BI289" s="1052"/>
      <c r="BJ289" s="1052"/>
      <c r="BK289" s="1052"/>
      <c r="BL289" s="1052"/>
      <c r="BM289" s="1052"/>
      <c r="BN289" s="1054"/>
      <c r="BO289" s="1076">
        <f t="shared" si="15"/>
        <v>0</v>
      </c>
      <c r="BP289" s="1051"/>
      <c r="BQ289" s="1052"/>
      <c r="BR289" s="1054"/>
      <c r="BS289" s="1053"/>
      <c r="BT289" s="1051"/>
      <c r="BU289" s="1051"/>
      <c r="BV289" s="1051"/>
      <c r="BW289" s="1052"/>
      <c r="BX289" s="1052"/>
      <c r="BY289" s="1052"/>
      <c r="BZ289" s="1052"/>
      <c r="CA289" s="1052"/>
      <c r="CB289" s="1053"/>
      <c r="CC289" s="1053"/>
      <c r="CD289" s="1053"/>
      <c r="CE289" s="1053"/>
      <c r="CF289" s="1053"/>
      <c r="CG289" s="1053"/>
      <c r="CH289" s="1053"/>
      <c r="CI289" s="1123"/>
      <c r="CJ289" s="1123"/>
      <c r="CK289" s="1123"/>
      <c r="CL289" s="1123"/>
      <c r="CM289" s="1123"/>
      <c r="CN289" s="1123"/>
      <c r="CO289" s="1123"/>
      <c r="CP289" s="1123"/>
      <c r="CQ289" s="1123"/>
      <c r="CR289" s="1123"/>
      <c r="CS289" s="1123"/>
      <c r="CT289" s="1123"/>
      <c r="CU289" s="1123"/>
      <c r="CV289" s="1123"/>
      <c r="CW289" s="1123"/>
      <c r="CX289" s="1123"/>
      <c r="CY289" s="1123"/>
      <c r="CZ289" s="1114"/>
      <c r="DA289" s="1114"/>
      <c r="DB289" s="1114"/>
      <c r="DC289" s="1114"/>
      <c r="DD289" s="1114"/>
      <c r="DE289" s="1114"/>
      <c r="DF289" s="1114"/>
      <c r="DG289" s="1114"/>
      <c r="DH289" s="1114"/>
      <c r="DI289" s="1114"/>
      <c r="DJ289" s="1114"/>
      <c r="DK289" s="1114"/>
      <c r="DL289" s="1114"/>
      <c r="DM289" s="1114"/>
      <c r="DN289" s="1114"/>
      <c r="DO289" s="1114"/>
      <c r="DP289" s="1114"/>
      <c r="DQ289" s="1114"/>
      <c r="DR289" s="1114"/>
      <c r="DS289" s="1114"/>
      <c r="DT289" s="1114"/>
      <c r="DU289" s="1114"/>
      <c r="DV289" s="1115"/>
      <c r="DW289" s="1116"/>
      <c r="DX289" s="1116"/>
      <c r="DY289" s="1116"/>
      <c r="DZ289" s="1116"/>
      <c r="EA289" s="1116"/>
      <c r="EB289" s="1116"/>
      <c r="EC289" s="1116"/>
      <c r="ED289" s="1116"/>
      <c r="EE289" s="1116"/>
      <c r="EF289" s="1116"/>
      <c r="EG289" s="1116"/>
      <c r="EH289" s="1116"/>
      <c r="EI289" s="1116"/>
      <c r="EJ289" s="1116"/>
      <c r="EK289" s="1116"/>
      <c r="EL289" s="1116"/>
      <c r="EM289" s="1116"/>
      <c r="EN289" s="1116"/>
      <c r="EO289" s="1116"/>
      <c r="EP289" s="1116"/>
      <c r="EQ289" s="1116"/>
      <c r="ER289" s="1116"/>
      <c r="ES289" s="1116"/>
    </row>
    <row r="290" spans="1:149" ht="15" customHeight="1">
      <c r="A290" s="1185">
        <v>275</v>
      </c>
      <c r="B290" s="1041"/>
      <c r="C290" s="1050"/>
      <c r="D290" s="1050"/>
      <c r="E290" s="1050"/>
      <c r="F290" s="1049"/>
      <c r="G290" s="1457"/>
      <c r="H290" s="1049"/>
      <c r="I290" s="1049"/>
      <c r="J290" s="1050"/>
      <c r="K290" s="1050"/>
      <c r="L290" s="1043"/>
      <c r="M290" s="1051"/>
      <c r="N290" s="1051"/>
      <c r="O290" s="1052"/>
      <c r="P290" s="1051"/>
      <c r="Q290" s="1051"/>
      <c r="R290" s="1052"/>
      <c r="S290" s="1051"/>
      <c r="T290" s="1051"/>
      <c r="U290" s="1052"/>
      <c r="V290" s="1051"/>
      <c r="W290" s="1051"/>
      <c r="X290" s="1052"/>
      <c r="Y290" s="1053"/>
      <c r="Z290" s="1051"/>
      <c r="AA290" s="1051"/>
      <c r="AB290" s="1052"/>
      <c r="AC290" s="1051"/>
      <c r="AD290" s="1051"/>
      <c r="AE290" s="1052"/>
      <c r="AF290" s="1051"/>
      <c r="AG290" s="1051"/>
      <c r="AH290" s="1051"/>
      <c r="AI290" s="1051"/>
      <c r="AJ290" s="1052"/>
      <c r="AK290" s="1051"/>
      <c r="AL290" s="1051"/>
      <c r="AM290" s="1052"/>
      <c r="AN290" s="1051"/>
      <c r="AO290" s="1051"/>
      <c r="AP290" s="1052"/>
      <c r="AQ290" s="1051"/>
      <c r="AR290" s="1051"/>
      <c r="AS290" s="1052"/>
      <c r="AT290" s="1051"/>
      <c r="AU290" s="1051"/>
      <c r="AV290" s="1052"/>
      <c r="AW290" s="1051"/>
      <c r="AX290" s="1051"/>
      <c r="AY290" s="1053"/>
      <c r="AZ290" s="1051"/>
      <c r="BA290" s="1051"/>
      <c r="BB290" s="1053"/>
      <c r="BC290" s="1051"/>
      <c r="BD290" s="1051"/>
      <c r="BE290" s="1053"/>
      <c r="BF290" s="1051"/>
      <c r="BG290" s="1051"/>
      <c r="BH290" s="1053"/>
      <c r="BI290" s="1052"/>
      <c r="BJ290" s="1052"/>
      <c r="BK290" s="1052"/>
      <c r="BL290" s="1052"/>
      <c r="BM290" s="1052"/>
      <c r="BN290" s="1054"/>
      <c r="BO290" s="1076">
        <f t="shared" si="15"/>
        <v>0</v>
      </c>
      <c r="BP290" s="1051"/>
      <c r="BQ290" s="1052"/>
      <c r="BR290" s="1054"/>
      <c r="BS290" s="1053"/>
      <c r="BT290" s="1051"/>
      <c r="BU290" s="1051"/>
      <c r="BV290" s="1051"/>
      <c r="BW290" s="1052"/>
      <c r="BX290" s="1052"/>
      <c r="BY290" s="1052"/>
      <c r="BZ290" s="1052"/>
      <c r="CA290" s="1052"/>
      <c r="CB290" s="1053"/>
      <c r="CC290" s="1053"/>
      <c r="CD290" s="1053"/>
      <c r="CE290" s="1053"/>
      <c r="CF290" s="1053"/>
      <c r="CG290" s="1053"/>
      <c r="CH290" s="1053"/>
      <c r="CI290" s="1123"/>
      <c r="CJ290" s="1123"/>
      <c r="CK290" s="1123"/>
      <c r="CL290" s="1123"/>
      <c r="CM290" s="1123"/>
      <c r="CN290" s="1123"/>
      <c r="CO290" s="1123"/>
      <c r="CP290" s="1123"/>
      <c r="CQ290" s="1123"/>
      <c r="CR290" s="1123"/>
      <c r="CS290" s="1123"/>
      <c r="CT290" s="1123"/>
      <c r="CU290" s="1123"/>
      <c r="CV290" s="1123"/>
      <c r="CW290" s="1123"/>
      <c r="CX290" s="1123"/>
      <c r="CY290" s="1123"/>
      <c r="CZ290" s="1114"/>
      <c r="DA290" s="1114"/>
      <c r="DB290" s="1114"/>
      <c r="DC290" s="1114"/>
      <c r="DD290" s="1114"/>
      <c r="DE290" s="1114"/>
      <c r="DF290" s="1114"/>
      <c r="DG290" s="1114"/>
      <c r="DH290" s="1114"/>
      <c r="DI290" s="1114"/>
      <c r="DJ290" s="1114"/>
      <c r="DK290" s="1114"/>
      <c r="DL290" s="1114"/>
      <c r="DM290" s="1114"/>
      <c r="DN290" s="1114"/>
      <c r="DO290" s="1114"/>
      <c r="DP290" s="1114"/>
      <c r="DQ290" s="1114"/>
      <c r="DR290" s="1114"/>
      <c r="DS290" s="1114"/>
      <c r="DT290" s="1114"/>
      <c r="DU290" s="1114"/>
      <c r="DV290" s="1115"/>
      <c r="DW290" s="1116"/>
      <c r="DX290" s="1116"/>
      <c r="DY290" s="1116"/>
      <c r="DZ290" s="1116"/>
      <c r="EA290" s="1116"/>
      <c r="EB290" s="1116"/>
      <c r="EC290" s="1116"/>
      <c r="ED290" s="1116"/>
      <c r="EE290" s="1116"/>
      <c r="EF290" s="1116"/>
      <c r="EG290" s="1116"/>
      <c r="EH290" s="1116"/>
      <c r="EI290" s="1116"/>
      <c r="EJ290" s="1116"/>
      <c r="EK290" s="1116"/>
      <c r="EL290" s="1116"/>
      <c r="EM290" s="1116"/>
      <c r="EN290" s="1116"/>
      <c r="EO290" s="1116"/>
      <c r="EP290" s="1116"/>
      <c r="EQ290" s="1116"/>
      <c r="ER290" s="1116"/>
      <c r="ES290" s="1116"/>
    </row>
    <row r="291" spans="1:149" ht="15" customHeight="1">
      <c r="A291" s="1185">
        <v>276</v>
      </c>
      <c r="B291" s="1041"/>
      <c r="C291" s="1050"/>
      <c r="D291" s="1050"/>
      <c r="E291" s="1050"/>
      <c r="F291" s="1049"/>
      <c r="G291" s="1457"/>
      <c r="H291" s="1049"/>
      <c r="I291" s="1049"/>
      <c r="J291" s="1050"/>
      <c r="K291" s="1050"/>
      <c r="L291" s="1043"/>
      <c r="M291" s="1051"/>
      <c r="N291" s="1051"/>
      <c r="O291" s="1052"/>
      <c r="P291" s="1051"/>
      <c r="Q291" s="1051"/>
      <c r="R291" s="1052"/>
      <c r="S291" s="1051"/>
      <c r="T291" s="1051"/>
      <c r="U291" s="1052"/>
      <c r="V291" s="1051"/>
      <c r="W291" s="1051"/>
      <c r="X291" s="1052"/>
      <c r="Y291" s="1053"/>
      <c r="Z291" s="1051"/>
      <c r="AA291" s="1051"/>
      <c r="AB291" s="1052"/>
      <c r="AC291" s="1051"/>
      <c r="AD291" s="1051"/>
      <c r="AE291" s="1052"/>
      <c r="AF291" s="1051"/>
      <c r="AG291" s="1051"/>
      <c r="AH291" s="1051"/>
      <c r="AI291" s="1051"/>
      <c r="AJ291" s="1052"/>
      <c r="AK291" s="1051"/>
      <c r="AL291" s="1051"/>
      <c r="AM291" s="1052"/>
      <c r="AN291" s="1051"/>
      <c r="AO291" s="1051"/>
      <c r="AP291" s="1052"/>
      <c r="AQ291" s="1051"/>
      <c r="AR291" s="1051"/>
      <c r="AS291" s="1052"/>
      <c r="AT291" s="1051"/>
      <c r="AU291" s="1051"/>
      <c r="AV291" s="1052"/>
      <c r="AW291" s="1051"/>
      <c r="AX291" s="1051"/>
      <c r="AY291" s="1053"/>
      <c r="AZ291" s="1051"/>
      <c r="BA291" s="1051"/>
      <c r="BB291" s="1053"/>
      <c r="BC291" s="1051"/>
      <c r="BD291" s="1051"/>
      <c r="BE291" s="1053"/>
      <c r="BF291" s="1051"/>
      <c r="BG291" s="1051"/>
      <c r="BH291" s="1053"/>
      <c r="BI291" s="1052"/>
      <c r="BJ291" s="1052"/>
      <c r="BK291" s="1052"/>
      <c r="BL291" s="1052"/>
      <c r="BM291" s="1052"/>
      <c r="BN291" s="1054"/>
      <c r="BO291" s="1076">
        <f t="shared" si="15"/>
        <v>0</v>
      </c>
      <c r="BP291" s="1051"/>
      <c r="BQ291" s="1052"/>
      <c r="BR291" s="1054"/>
      <c r="BS291" s="1053"/>
      <c r="BT291" s="1051"/>
      <c r="BU291" s="1051"/>
      <c r="BV291" s="1051"/>
      <c r="BW291" s="1052"/>
      <c r="BX291" s="1052"/>
      <c r="BY291" s="1052"/>
      <c r="BZ291" s="1052"/>
      <c r="CA291" s="1052"/>
      <c r="CB291" s="1053"/>
      <c r="CC291" s="1053"/>
      <c r="CD291" s="1053"/>
      <c r="CE291" s="1053"/>
      <c r="CF291" s="1053"/>
      <c r="CG291" s="1053"/>
      <c r="CH291" s="1053"/>
      <c r="CI291" s="1123"/>
      <c r="CJ291" s="1123"/>
      <c r="CK291" s="1123"/>
      <c r="CL291" s="1123"/>
      <c r="CM291" s="1123"/>
      <c r="CN291" s="1123"/>
      <c r="CO291" s="1123"/>
      <c r="CP291" s="1123"/>
      <c r="CQ291" s="1123"/>
      <c r="CR291" s="1123"/>
      <c r="CS291" s="1123"/>
      <c r="CT291" s="1123"/>
      <c r="CU291" s="1123"/>
      <c r="CV291" s="1123"/>
      <c r="CW291" s="1123"/>
      <c r="CX291" s="1123"/>
      <c r="CY291" s="1123"/>
      <c r="CZ291" s="1114"/>
      <c r="DA291" s="1114"/>
      <c r="DB291" s="1114"/>
      <c r="DC291" s="1114"/>
      <c r="DD291" s="1114"/>
      <c r="DE291" s="1114"/>
      <c r="DF291" s="1114"/>
      <c r="DG291" s="1114"/>
      <c r="DH291" s="1114"/>
      <c r="DI291" s="1114"/>
      <c r="DJ291" s="1114"/>
      <c r="DK291" s="1114"/>
      <c r="DL291" s="1114"/>
      <c r="DM291" s="1114"/>
      <c r="DN291" s="1114"/>
      <c r="DO291" s="1114"/>
      <c r="DP291" s="1114"/>
      <c r="DQ291" s="1114"/>
      <c r="DR291" s="1114"/>
      <c r="DS291" s="1114"/>
      <c r="DT291" s="1114"/>
      <c r="DU291" s="1114"/>
      <c r="DV291" s="1115"/>
      <c r="DW291" s="1116"/>
      <c r="DX291" s="1116"/>
      <c r="DY291" s="1116"/>
      <c r="DZ291" s="1116"/>
      <c r="EA291" s="1116"/>
      <c r="EB291" s="1116"/>
      <c r="EC291" s="1116"/>
      <c r="ED291" s="1116"/>
      <c r="EE291" s="1116"/>
      <c r="EF291" s="1116"/>
      <c r="EG291" s="1116"/>
      <c r="EH291" s="1116"/>
      <c r="EI291" s="1116"/>
      <c r="EJ291" s="1116"/>
      <c r="EK291" s="1116"/>
      <c r="EL291" s="1116"/>
      <c r="EM291" s="1116"/>
      <c r="EN291" s="1116"/>
      <c r="EO291" s="1116"/>
      <c r="EP291" s="1116"/>
      <c r="EQ291" s="1116"/>
      <c r="ER291" s="1116"/>
      <c r="ES291" s="1116"/>
    </row>
    <row r="292" spans="1:149" ht="15" customHeight="1">
      <c r="A292" s="1185">
        <v>277</v>
      </c>
      <c r="B292" s="1041"/>
      <c r="C292" s="1050"/>
      <c r="D292" s="1050"/>
      <c r="E292" s="1050"/>
      <c r="F292" s="1049"/>
      <c r="G292" s="1457"/>
      <c r="H292" s="1049"/>
      <c r="I292" s="1049"/>
      <c r="J292" s="1050"/>
      <c r="K292" s="1050"/>
      <c r="L292" s="1043"/>
      <c r="M292" s="1051"/>
      <c r="N292" s="1051"/>
      <c r="O292" s="1052"/>
      <c r="P292" s="1051"/>
      <c r="Q292" s="1051"/>
      <c r="R292" s="1052"/>
      <c r="S292" s="1051"/>
      <c r="T292" s="1051"/>
      <c r="U292" s="1052"/>
      <c r="V292" s="1051"/>
      <c r="W292" s="1051"/>
      <c r="X292" s="1052"/>
      <c r="Y292" s="1053"/>
      <c r="Z292" s="1051"/>
      <c r="AA292" s="1051"/>
      <c r="AB292" s="1052"/>
      <c r="AC292" s="1051"/>
      <c r="AD292" s="1051"/>
      <c r="AE292" s="1052"/>
      <c r="AF292" s="1051"/>
      <c r="AG292" s="1051"/>
      <c r="AH292" s="1051"/>
      <c r="AI292" s="1051"/>
      <c r="AJ292" s="1052"/>
      <c r="AK292" s="1051"/>
      <c r="AL292" s="1051"/>
      <c r="AM292" s="1052"/>
      <c r="AN292" s="1051"/>
      <c r="AO292" s="1051"/>
      <c r="AP292" s="1052"/>
      <c r="AQ292" s="1051"/>
      <c r="AR292" s="1051"/>
      <c r="AS292" s="1052"/>
      <c r="AT292" s="1051"/>
      <c r="AU292" s="1051"/>
      <c r="AV292" s="1052"/>
      <c r="AW292" s="1051"/>
      <c r="AX292" s="1051"/>
      <c r="AY292" s="1053"/>
      <c r="AZ292" s="1051"/>
      <c r="BA292" s="1051"/>
      <c r="BB292" s="1053"/>
      <c r="BC292" s="1051"/>
      <c r="BD292" s="1051"/>
      <c r="BE292" s="1053"/>
      <c r="BF292" s="1051"/>
      <c r="BG292" s="1051"/>
      <c r="BH292" s="1053"/>
      <c r="BI292" s="1052"/>
      <c r="BJ292" s="1052"/>
      <c r="BK292" s="1052"/>
      <c r="BL292" s="1052"/>
      <c r="BM292" s="1052"/>
      <c r="BN292" s="1054"/>
      <c r="BO292" s="1076">
        <f t="shared" si="15"/>
        <v>0</v>
      </c>
      <c r="BP292" s="1051"/>
      <c r="BQ292" s="1052"/>
      <c r="BR292" s="1054"/>
      <c r="BS292" s="1053"/>
      <c r="BT292" s="1051"/>
      <c r="BU292" s="1051"/>
      <c r="BV292" s="1051"/>
      <c r="BW292" s="1052"/>
      <c r="BX292" s="1052"/>
      <c r="BY292" s="1052"/>
      <c r="BZ292" s="1052"/>
      <c r="CA292" s="1052"/>
      <c r="CB292" s="1053"/>
      <c r="CC292" s="1053"/>
      <c r="CD292" s="1053"/>
      <c r="CE292" s="1053"/>
      <c r="CF292" s="1053"/>
      <c r="CG292" s="1053"/>
      <c r="CH292" s="1053"/>
      <c r="CI292" s="1123"/>
      <c r="CJ292" s="1123"/>
      <c r="CK292" s="1123"/>
      <c r="CL292" s="1123"/>
      <c r="CM292" s="1123"/>
      <c r="CN292" s="1123"/>
      <c r="CO292" s="1123"/>
      <c r="CP292" s="1123"/>
      <c r="CQ292" s="1123"/>
      <c r="CR292" s="1123"/>
      <c r="CS292" s="1123"/>
      <c r="CT292" s="1123"/>
      <c r="CU292" s="1123"/>
      <c r="CV292" s="1123"/>
      <c r="CW292" s="1123"/>
      <c r="CX292" s="1123"/>
      <c r="CY292" s="1123"/>
      <c r="CZ292" s="1114"/>
      <c r="DA292" s="1114"/>
      <c r="DB292" s="1114"/>
      <c r="DC292" s="1114"/>
      <c r="DD292" s="1114"/>
      <c r="DE292" s="1114"/>
      <c r="DF292" s="1114"/>
      <c r="DG292" s="1114"/>
      <c r="DH292" s="1114"/>
      <c r="DI292" s="1114"/>
      <c r="DJ292" s="1114"/>
      <c r="DK292" s="1114"/>
      <c r="DL292" s="1114"/>
      <c r="DM292" s="1114"/>
      <c r="DN292" s="1114"/>
      <c r="DO292" s="1114"/>
      <c r="DP292" s="1114"/>
      <c r="DQ292" s="1114"/>
      <c r="DR292" s="1114"/>
      <c r="DS292" s="1114"/>
      <c r="DT292" s="1114"/>
      <c r="DU292" s="1114"/>
      <c r="DV292" s="1115"/>
      <c r="DW292" s="1116"/>
      <c r="DX292" s="1116"/>
      <c r="DY292" s="1116"/>
      <c r="DZ292" s="1116"/>
      <c r="EA292" s="1116"/>
      <c r="EB292" s="1116"/>
      <c r="EC292" s="1116"/>
      <c r="ED292" s="1116"/>
      <c r="EE292" s="1116"/>
      <c r="EF292" s="1116"/>
      <c r="EG292" s="1116"/>
      <c r="EH292" s="1116"/>
      <c r="EI292" s="1116"/>
      <c r="EJ292" s="1116"/>
      <c r="EK292" s="1116"/>
      <c r="EL292" s="1116"/>
      <c r="EM292" s="1116"/>
      <c r="EN292" s="1116"/>
      <c r="EO292" s="1116"/>
      <c r="EP292" s="1116"/>
      <c r="EQ292" s="1116"/>
      <c r="ER292" s="1116"/>
      <c r="ES292" s="1116"/>
    </row>
    <row r="293" spans="1:149" ht="15" customHeight="1">
      <c r="A293" s="1185">
        <v>278</v>
      </c>
      <c r="B293" s="1041"/>
      <c r="C293" s="1050"/>
      <c r="D293" s="1050"/>
      <c r="E293" s="1050"/>
      <c r="F293" s="1049"/>
      <c r="G293" s="1457"/>
      <c r="H293" s="1049"/>
      <c r="I293" s="1049"/>
      <c r="J293" s="1050"/>
      <c r="K293" s="1050"/>
      <c r="L293" s="1043"/>
      <c r="M293" s="1051"/>
      <c r="N293" s="1051"/>
      <c r="O293" s="1052"/>
      <c r="P293" s="1051"/>
      <c r="Q293" s="1051"/>
      <c r="R293" s="1052"/>
      <c r="S293" s="1051"/>
      <c r="T293" s="1051"/>
      <c r="U293" s="1052"/>
      <c r="V293" s="1051"/>
      <c r="W293" s="1051"/>
      <c r="X293" s="1052"/>
      <c r="Y293" s="1053"/>
      <c r="Z293" s="1051"/>
      <c r="AA293" s="1051"/>
      <c r="AB293" s="1052"/>
      <c r="AC293" s="1051"/>
      <c r="AD293" s="1051"/>
      <c r="AE293" s="1052"/>
      <c r="AF293" s="1051"/>
      <c r="AG293" s="1051"/>
      <c r="AH293" s="1051"/>
      <c r="AI293" s="1051"/>
      <c r="AJ293" s="1052"/>
      <c r="AK293" s="1051"/>
      <c r="AL293" s="1051"/>
      <c r="AM293" s="1052"/>
      <c r="AN293" s="1051"/>
      <c r="AO293" s="1051"/>
      <c r="AP293" s="1052"/>
      <c r="AQ293" s="1051"/>
      <c r="AR293" s="1051"/>
      <c r="AS293" s="1052"/>
      <c r="AT293" s="1051"/>
      <c r="AU293" s="1051"/>
      <c r="AV293" s="1052"/>
      <c r="AW293" s="1051"/>
      <c r="AX293" s="1051"/>
      <c r="AY293" s="1053"/>
      <c r="AZ293" s="1051"/>
      <c r="BA293" s="1051"/>
      <c r="BB293" s="1053"/>
      <c r="BC293" s="1051"/>
      <c r="BD293" s="1051"/>
      <c r="BE293" s="1053"/>
      <c r="BF293" s="1051"/>
      <c r="BG293" s="1051"/>
      <c r="BH293" s="1053"/>
      <c r="BI293" s="1052"/>
      <c r="BJ293" s="1052"/>
      <c r="BK293" s="1052"/>
      <c r="BL293" s="1052"/>
      <c r="BM293" s="1052"/>
      <c r="BN293" s="1054"/>
      <c r="BO293" s="1076">
        <f t="shared" si="15"/>
        <v>0</v>
      </c>
      <c r="BP293" s="1051"/>
      <c r="BQ293" s="1052"/>
      <c r="BR293" s="1054"/>
      <c r="BS293" s="1053"/>
      <c r="BT293" s="1051"/>
      <c r="BU293" s="1051"/>
      <c r="BV293" s="1051"/>
      <c r="BW293" s="1052"/>
      <c r="BX293" s="1052"/>
      <c r="BY293" s="1052"/>
      <c r="BZ293" s="1052"/>
      <c r="CA293" s="1052"/>
      <c r="CB293" s="1053"/>
      <c r="CC293" s="1053"/>
      <c r="CD293" s="1053"/>
      <c r="CE293" s="1053"/>
      <c r="CF293" s="1053"/>
      <c r="CG293" s="1053"/>
      <c r="CH293" s="1053"/>
      <c r="CI293" s="1123"/>
      <c r="CJ293" s="1123"/>
      <c r="CK293" s="1123"/>
      <c r="CL293" s="1123"/>
      <c r="CM293" s="1123"/>
      <c r="CN293" s="1123"/>
      <c r="CO293" s="1123"/>
      <c r="CP293" s="1123"/>
      <c r="CQ293" s="1123"/>
      <c r="CR293" s="1123"/>
      <c r="CS293" s="1123"/>
      <c r="CT293" s="1123"/>
      <c r="CU293" s="1123"/>
      <c r="CV293" s="1123"/>
      <c r="CW293" s="1123"/>
      <c r="CX293" s="1123"/>
      <c r="CY293" s="1123"/>
      <c r="CZ293" s="1114"/>
      <c r="DA293" s="1114"/>
      <c r="DB293" s="1114"/>
      <c r="DC293" s="1114"/>
      <c r="DD293" s="1114"/>
      <c r="DE293" s="1114"/>
      <c r="DF293" s="1114"/>
      <c r="DG293" s="1114"/>
      <c r="DH293" s="1114"/>
      <c r="DI293" s="1114"/>
      <c r="DJ293" s="1114"/>
      <c r="DK293" s="1114"/>
      <c r="DL293" s="1114"/>
      <c r="DM293" s="1114"/>
      <c r="DN293" s="1114"/>
      <c r="DO293" s="1114"/>
      <c r="DP293" s="1114"/>
      <c r="DQ293" s="1114"/>
      <c r="DR293" s="1114"/>
      <c r="DS293" s="1114"/>
      <c r="DT293" s="1114"/>
      <c r="DU293" s="1114"/>
      <c r="DV293" s="1115"/>
      <c r="DW293" s="1116"/>
      <c r="DX293" s="1116"/>
      <c r="DY293" s="1116"/>
      <c r="DZ293" s="1116"/>
      <c r="EA293" s="1116"/>
      <c r="EB293" s="1116"/>
      <c r="EC293" s="1116"/>
      <c r="ED293" s="1116"/>
      <c r="EE293" s="1116"/>
      <c r="EF293" s="1116"/>
      <c r="EG293" s="1116"/>
      <c r="EH293" s="1116"/>
      <c r="EI293" s="1116"/>
      <c r="EJ293" s="1116"/>
      <c r="EK293" s="1116"/>
      <c r="EL293" s="1116"/>
      <c r="EM293" s="1116"/>
      <c r="EN293" s="1116"/>
      <c r="EO293" s="1116"/>
      <c r="EP293" s="1116"/>
      <c r="EQ293" s="1116"/>
      <c r="ER293" s="1116"/>
      <c r="ES293" s="1116"/>
    </row>
    <row r="294" spans="1:149" ht="15" customHeight="1">
      <c r="A294" s="1185">
        <v>279</v>
      </c>
      <c r="B294" s="1041"/>
      <c r="C294" s="1050"/>
      <c r="D294" s="1050"/>
      <c r="E294" s="1050"/>
      <c r="F294" s="1049"/>
      <c r="G294" s="1457"/>
      <c r="H294" s="1049"/>
      <c r="I294" s="1049"/>
      <c r="J294" s="1050"/>
      <c r="K294" s="1050"/>
      <c r="L294" s="1043"/>
      <c r="M294" s="1051"/>
      <c r="N294" s="1051"/>
      <c r="O294" s="1052"/>
      <c r="P294" s="1051"/>
      <c r="Q294" s="1051"/>
      <c r="R294" s="1052"/>
      <c r="S294" s="1051"/>
      <c r="T294" s="1051"/>
      <c r="U294" s="1052"/>
      <c r="V294" s="1051"/>
      <c r="W294" s="1051"/>
      <c r="X294" s="1052"/>
      <c r="Y294" s="1053"/>
      <c r="Z294" s="1051"/>
      <c r="AA294" s="1051"/>
      <c r="AB294" s="1052"/>
      <c r="AC294" s="1051"/>
      <c r="AD294" s="1051"/>
      <c r="AE294" s="1052"/>
      <c r="AF294" s="1051"/>
      <c r="AG294" s="1051"/>
      <c r="AH294" s="1051"/>
      <c r="AI294" s="1051"/>
      <c r="AJ294" s="1052"/>
      <c r="AK294" s="1051"/>
      <c r="AL294" s="1051"/>
      <c r="AM294" s="1052"/>
      <c r="AN294" s="1051"/>
      <c r="AO294" s="1051"/>
      <c r="AP294" s="1052"/>
      <c r="AQ294" s="1051"/>
      <c r="AR294" s="1051"/>
      <c r="AS294" s="1052"/>
      <c r="AT294" s="1051"/>
      <c r="AU294" s="1051"/>
      <c r="AV294" s="1052"/>
      <c r="AW294" s="1051"/>
      <c r="AX294" s="1051"/>
      <c r="AY294" s="1053"/>
      <c r="AZ294" s="1051"/>
      <c r="BA294" s="1051"/>
      <c r="BB294" s="1053"/>
      <c r="BC294" s="1051"/>
      <c r="BD294" s="1051"/>
      <c r="BE294" s="1053"/>
      <c r="BF294" s="1051"/>
      <c r="BG294" s="1051"/>
      <c r="BH294" s="1053"/>
      <c r="BI294" s="1052"/>
      <c r="BJ294" s="1052"/>
      <c r="BK294" s="1052"/>
      <c r="BL294" s="1052"/>
      <c r="BM294" s="1052"/>
      <c r="BN294" s="1054"/>
      <c r="BO294" s="1076">
        <f t="shared" si="15"/>
        <v>0</v>
      </c>
      <c r="BP294" s="1051"/>
      <c r="BQ294" s="1052"/>
      <c r="BR294" s="1054"/>
      <c r="BS294" s="1053"/>
      <c r="BT294" s="1051"/>
      <c r="BU294" s="1051"/>
      <c r="BV294" s="1051"/>
      <c r="BW294" s="1052"/>
      <c r="BX294" s="1052"/>
      <c r="BY294" s="1052"/>
      <c r="BZ294" s="1052"/>
      <c r="CA294" s="1052"/>
      <c r="CB294" s="1053"/>
      <c r="CC294" s="1053"/>
      <c r="CD294" s="1053"/>
      <c r="CE294" s="1053"/>
      <c r="CF294" s="1053"/>
      <c r="CG294" s="1053"/>
      <c r="CH294" s="1053"/>
      <c r="CI294" s="1123"/>
      <c r="CJ294" s="1123"/>
      <c r="CK294" s="1123"/>
      <c r="CL294" s="1123"/>
      <c r="CM294" s="1123"/>
      <c r="CN294" s="1123"/>
      <c r="CO294" s="1123"/>
      <c r="CP294" s="1123"/>
      <c r="CQ294" s="1123"/>
      <c r="CR294" s="1123"/>
      <c r="CS294" s="1123"/>
      <c r="CT294" s="1123"/>
      <c r="CU294" s="1123"/>
      <c r="CV294" s="1123"/>
      <c r="CW294" s="1123"/>
      <c r="CX294" s="1123"/>
      <c r="CY294" s="1123"/>
      <c r="CZ294" s="1114"/>
      <c r="DA294" s="1114"/>
      <c r="DB294" s="1114"/>
      <c r="DC294" s="1114"/>
      <c r="DD294" s="1114"/>
      <c r="DE294" s="1114"/>
      <c r="DF294" s="1114"/>
      <c r="DG294" s="1114"/>
      <c r="DH294" s="1114"/>
      <c r="DI294" s="1114"/>
      <c r="DJ294" s="1114"/>
      <c r="DK294" s="1114"/>
      <c r="DL294" s="1114"/>
      <c r="DM294" s="1114"/>
      <c r="DN294" s="1114"/>
      <c r="DO294" s="1114"/>
      <c r="DP294" s="1114"/>
      <c r="DQ294" s="1114"/>
      <c r="DR294" s="1114"/>
      <c r="DS294" s="1114"/>
      <c r="DT294" s="1114"/>
      <c r="DU294" s="1114"/>
      <c r="DV294" s="1115"/>
      <c r="DW294" s="1116"/>
      <c r="DX294" s="1116"/>
      <c r="DY294" s="1116"/>
      <c r="DZ294" s="1116"/>
      <c r="EA294" s="1116"/>
      <c r="EB294" s="1116"/>
      <c r="EC294" s="1116"/>
      <c r="ED294" s="1116"/>
      <c r="EE294" s="1116"/>
      <c r="EF294" s="1116"/>
      <c r="EG294" s="1116"/>
      <c r="EH294" s="1116"/>
      <c r="EI294" s="1116"/>
      <c r="EJ294" s="1116"/>
      <c r="EK294" s="1116"/>
      <c r="EL294" s="1116"/>
      <c r="EM294" s="1116"/>
      <c r="EN294" s="1116"/>
      <c r="EO294" s="1116"/>
      <c r="EP294" s="1116"/>
      <c r="EQ294" s="1116"/>
      <c r="ER294" s="1116"/>
      <c r="ES294" s="1116"/>
    </row>
    <row r="295" spans="1:149" ht="15" customHeight="1">
      <c r="A295" s="1185">
        <v>280</v>
      </c>
      <c r="B295" s="1041"/>
      <c r="C295" s="1050"/>
      <c r="D295" s="1050"/>
      <c r="E295" s="1050"/>
      <c r="F295" s="1049"/>
      <c r="G295" s="1457"/>
      <c r="H295" s="1049"/>
      <c r="I295" s="1049"/>
      <c r="J295" s="1050"/>
      <c r="K295" s="1050"/>
      <c r="L295" s="1043"/>
      <c r="M295" s="1051"/>
      <c r="N295" s="1051"/>
      <c r="O295" s="1052"/>
      <c r="P295" s="1051"/>
      <c r="Q295" s="1051"/>
      <c r="R295" s="1052"/>
      <c r="S295" s="1051"/>
      <c r="T295" s="1051"/>
      <c r="U295" s="1052"/>
      <c r="V295" s="1051"/>
      <c r="W295" s="1051"/>
      <c r="X295" s="1052"/>
      <c r="Y295" s="1053"/>
      <c r="Z295" s="1051"/>
      <c r="AA295" s="1051"/>
      <c r="AB295" s="1052"/>
      <c r="AC295" s="1051"/>
      <c r="AD295" s="1051"/>
      <c r="AE295" s="1052"/>
      <c r="AF295" s="1051"/>
      <c r="AG295" s="1051"/>
      <c r="AH295" s="1051"/>
      <c r="AI295" s="1051"/>
      <c r="AJ295" s="1052"/>
      <c r="AK295" s="1051"/>
      <c r="AL295" s="1051"/>
      <c r="AM295" s="1052"/>
      <c r="AN295" s="1051"/>
      <c r="AO295" s="1051"/>
      <c r="AP295" s="1052"/>
      <c r="AQ295" s="1051"/>
      <c r="AR295" s="1051"/>
      <c r="AS295" s="1052"/>
      <c r="AT295" s="1051"/>
      <c r="AU295" s="1051"/>
      <c r="AV295" s="1052"/>
      <c r="AW295" s="1051"/>
      <c r="AX295" s="1051"/>
      <c r="AY295" s="1053"/>
      <c r="AZ295" s="1051"/>
      <c r="BA295" s="1051"/>
      <c r="BB295" s="1053"/>
      <c r="BC295" s="1051"/>
      <c r="BD295" s="1051"/>
      <c r="BE295" s="1053"/>
      <c r="BF295" s="1051"/>
      <c r="BG295" s="1051"/>
      <c r="BH295" s="1053"/>
      <c r="BI295" s="1052"/>
      <c r="BJ295" s="1052"/>
      <c r="BK295" s="1052"/>
      <c r="BL295" s="1052"/>
      <c r="BM295" s="1052"/>
      <c r="BN295" s="1054"/>
      <c r="BO295" s="1076">
        <f t="shared" si="15"/>
        <v>0</v>
      </c>
      <c r="BP295" s="1051"/>
      <c r="BQ295" s="1052"/>
      <c r="BR295" s="1054"/>
      <c r="BS295" s="1053"/>
      <c r="BT295" s="1051"/>
      <c r="BU295" s="1051"/>
      <c r="BV295" s="1051"/>
      <c r="BW295" s="1052"/>
      <c r="BX295" s="1052"/>
      <c r="BY295" s="1052"/>
      <c r="BZ295" s="1052"/>
      <c r="CA295" s="1052"/>
      <c r="CB295" s="1053"/>
      <c r="CC295" s="1053"/>
      <c r="CD295" s="1053"/>
      <c r="CE295" s="1053"/>
      <c r="CF295" s="1053"/>
      <c r="CG295" s="1053"/>
      <c r="CH295" s="1053"/>
      <c r="CI295" s="1123"/>
      <c r="CJ295" s="1123"/>
      <c r="CK295" s="1123"/>
      <c r="CL295" s="1123"/>
      <c r="CM295" s="1123"/>
      <c r="CN295" s="1123"/>
      <c r="CO295" s="1123"/>
      <c r="CP295" s="1123"/>
      <c r="CQ295" s="1123"/>
      <c r="CR295" s="1123"/>
      <c r="CS295" s="1123"/>
      <c r="CT295" s="1123"/>
      <c r="CU295" s="1123"/>
      <c r="CV295" s="1123"/>
      <c r="CW295" s="1123"/>
      <c r="CX295" s="1123"/>
      <c r="CY295" s="1123"/>
      <c r="CZ295" s="1114"/>
      <c r="DA295" s="1114"/>
      <c r="DB295" s="1114"/>
      <c r="DC295" s="1114"/>
      <c r="DD295" s="1114"/>
      <c r="DE295" s="1114"/>
      <c r="DF295" s="1114"/>
      <c r="DG295" s="1114"/>
      <c r="DH295" s="1114"/>
      <c r="DI295" s="1114"/>
      <c r="DJ295" s="1114"/>
      <c r="DK295" s="1114"/>
      <c r="DL295" s="1114"/>
      <c r="DM295" s="1114"/>
      <c r="DN295" s="1114"/>
      <c r="DO295" s="1114"/>
      <c r="DP295" s="1114"/>
      <c r="DQ295" s="1114"/>
      <c r="DR295" s="1114"/>
      <c r="DS295" s="1114"/>
      <c r="DT295" s="1114"/>
      <c r="DU295" s="1114"/>
      <c r="DV295" s="1115"/>
      <c r="DW295" s="1116"/>
      <c r="DX295" s="1116"/>
      <c r="DY295" s="1116"/>
      <c r="DZ295" s="1116"/>
      <c r="EA295" s="1116"/>
      <c r="EB295" s="1116"/>
      <c r="EC295" s="1116"/>
      <c r="ED295" s="1116"/>
      <c r="EE295" s="1116"/>
      <c r="EF295" s="1116"/>
      <c r="EG295" s="1116"/>
      <c r="EH295" s="1116"/>
      <c r="EI295" s="1116"/>
      <c r="EJ295" s="1116"/>
      <c r="EK295" s="1116"/>
      <c r="EL295" s="1116"/>
      <c r="EM295" s="1116"/>
      <c r="EN295" s="1116"/>
      <c r="EO295" s="1116"/>
      <c r="EP295" s="1116"/>
      <c r="EQ295" s="1116"/>
      <c r="ER295" s="1116"/>
      <c r="ES295" s="1116"/>
    </row>
    <row r="296" spans="1:149" ht="15" customHeight="1">
      <c r="A296" s="1185">
        <v>281</v>
      </c>
      <c r="B296" s="1041"/>
      <c r="C296" s="1050"/>
      <c r="D296" s="1050"/>
      <c r="E296" s="1050"/>
      <c r="F296" s="1049"/>
      <c r="G296" s="1457"/>
      <c r="H296" s="1049"/>
      <c r="I296" s="1049"/>
      <c r="J296" s="1050"/>
      <c r="K296" s="1050"/>
      <c r="L296" s="1043"/>
      <c r="M296" s="1051"/>
      <c r="N296" s="1051"/>
      <c r="O296" s="1052"/>
      <c r="P296" s="1051"/>
      <c r="Q296" s="1051"/>
      <c r="R296" s="1052"/>
      <c r="S296" s="1051"/>
      <c r="T296" s="1051"/>
      <c r="U296" s="1052"/>
      <c r="V296" s="1051"/>
      <c r="W296" s="1051"/>
      <c r="X296" s="1052"/>
      <c r="Y296" s="1053"/>
      <c r="Z296" s="1051"/>
      <c r="AA296" s="1051"/>
      <c r="AB296" s="1052"/>
      <c r="AC296" s="1051"/>
      <c r="AD296" s="1051"/>
      <c r="AE296" s="1052"/>
      <c r="AF296" s="1051"/>
      <c r="AG296" s="1051"/>
      <c r="AH296" s="1051"/>
      <c r="AI296" s="1051"/>
      <c r="AJ296" s="1052"/>
      <c r="AK296" s="1051"/>
      <c r="AL296" s="1051"/>
      <c r="AM296" s="1052"/>
      <c r="AN296" s="1051"/>
      <c r="AO296" s="1051"/>
      <c r="AP296" s="1052"/>
      <c r="AQ296" s="1051"/>
      <c r="AR296" s="1051"/>
      <c r="AS296" s="1052"/>
      <c r="AT296" s="1051"/>
      <c r="AU296" s="1051"/>
      <c r="AV296" s="1052"/>
      <c r="AW296" s="1051"/>
      <c r="AX296" s="1051"/>
      <c r="AY296" s="1053"/>
      <c r="AZ296" s="1051"/>
      <c r="BA296" s="1051"/>
      <c r="BB296" s="1053"/>
      <c r="BC296" s="1051"/>
      <c r="BD296" s="1051"/>
      <c r="BE296" s="1053"/>
      <c r="BF296" s="1051"/>
      <c r="BG296" s="1051"/>
      <c r="BH296" s="1053"/>
      <c r="BI296" s="1052"/>
      <c r="BJ296" s="1052"/>
      <c r="BK296" s="1052"/>
      <c r="BL296" s="1052"/>
      <c r="BM296" s="1052"/>
      <c r="BN296" s="1054"/>
      <c r="BO296" s="1076">
        <f t="shared" si="15"/>
        <v>0</v>
      </c>
      <c r="BP296" s="1051"/>
      <c r="BQ296" s="1052"/>
      <c r="BR296" s="1054"/>
      <c r="BS296" s="1053"/>
      <c r="BT296" s="1051"/>
      <c r="BU296" s="1051"/>
      <c r="BV296" s="1051"/>
      <c r="BW296" s="1052"/>
      <c r="BX296" s="1052"/>
      <c r="BY296" s="1052"/>
      <c r="BZ296" s="1052"/>
      <c r="CA296" s="1052"/>
      <c r="CB296" s="1053"/>
      <c r="CC296" s="1053"/>
      <c r="CD296" s="1053"/>
      <c r="CE296" s="1053"/>
      <c r="CF296" s="1053"/>
      <c r="CG296" s="1053"/>
      <c r="CH296" s="1053"/>
      <c r="CI296" s="1123"/>
      <c r="CJ296" s="1123"/>
      <c r="CK296" s="1123"/>
      <c r="CL296" s="1123"/>
      <c r="CM296" s="1123"/>
      <c r="CN296" s="1123"/>
      <c r="CO296" s="1123"/>
      <c r="CP296" s="1123"/>
      <c r="CQ296" s="1123"/>
      <c r="CR296" s="1123"/>
      <c r="CS296" s="1123"/>
      <c r="CT296" s="1123"/>
      <c r="CU296" s="1123"/>
      <c r="CV296" s="1123"/>
      <c r="CW296" s="1123"/>
      <c r="CX296" s="1123"/>
      <c r="CY296" s="1123"/>
      <c r="CZ296" s="1114"/>
      <c r="DA296" s="1114"/>
      <c r="DB296" s="1114"/>
      <c r="DC296" s="1114"/>
      <c r="DD296" s="1114"/>
      <c r="DE296" s="1114"/>
      <c r="DF296" s="1114"/>
      <c r="DG296" s="1114"/>
      <c r="DH296" s="1114"/>
      <c r="DI296" s="1114"/>
      <c r="DJ296" s="1114"/>
      <c r="DK296" s="1114"/>
      <c r="DL296" s="1114"/>
      <c r="DM296" s="1114"/>
      <c r="DN296" s="1114"/>
      <c r="DO296" s="1114"/>
      <c r="DP296" s="1114"/>
      <c r="DQ296" s="1114"/>
      <c r="DR296" s="1114"/>
      <c r="DS296" s="1114"/>
      <c r="DT296" s="1114"/>
      <c r="DU296" s="1114"/>
      <c r="DV296" s="1115"/>
      <c r="DW296" s="1116"/>
      <c r="DX296" s="1116"/>
      <c r="DY296" s="1116"/>
      <c r="DZ296" s="1116"/>
      <c r="EA296" s="1116"/>
      <c r="EB296" s="1116"/>
      <c r="EC296" s="1116"/>
      <c r="ED296" s="1116"/>
      <c r="EE296" s="1116"/>
      <c r="EF296" s="1116"/>
      <c r="EG296" s="1116"/>
      <c r="EH296" s="1116"/>
      <c r="EI296" s="1116"/>
      <c r="EJ296" s="1116"/>
      <c r="EK296" s="1116"/>
      <c r="EL296" s="1116"/>
      <c r="EM296" s="1116"/>
      <c r="EN296" s="1116"/>
      <c r="EO296" s="1116"/>
      <c r="EP296" s="1116"/>
      <c r="EQ296" s="1116"/>
      <c r="ER296" s="1116"/>
      <c r="ES296" s="1116"/>
    </row>
    <row r="297" spans="1:149" ht="15" customHeight="1">
      <c r="A297" s="1185">
        <v>282</v>
      </c>
      <c r="B297" s="1041"/>
      <c r="C297" s="1050"/>
      <c r="D297" s="1050"/>
      <c r="E297" s="1050"/>
      <c r="F297" s="1049"/>
      <c r="G297" s="1457"/>
      <c r="H297" s="1049"/>
      <c r="I297" s="1049"/>
      <c r="J297" s="1050"/>
      <c r="K297" s="1050"/>
      <c r="L297" s="1043"/>
      <c r="M297" s="1051"/>
      <c r="N297" s="1051"/>
      <c r="O297" s="1052"/>
      <c r="P297" s="1051"/>
      <c r="Q297" s="1051"/>
      <c r="R297" s="1052"/>
      <c r="S297" s="1051"/>
      <c r="T297" s="1051"/>
      <c r="U297" s="1052"/>
      <c r="V297" s="1051"/>
      <c r="W297" s="1051"/>
      <c r="X297" s="1052"/>
      <c r="Y297" s="1053"/>
      <c r="Z297" s="1051"/>
      <c r="AA297" s="1051"/>
      <c r="AB297" s="1052"/>
      <c r="AC297" s="1051"/>
      <c r="AD297" s="1051"/>
      <c r="AE297" s="1052"/>
      <c r="AF297" s="1051"/>
      <c r="AG297" s="1051"/>
      <c r="AH297" s="1051"/>
      <c r="AI297" s="1051"/>
      <c r="AJ297" s="1052"/>
      <c r="AK297" s="1051"/>
      <c r="AL297" s="1051"/>
      <c r="AM297" s="1052"/>
      <c r="AN297" s="1051"/>
      <c r="AO297" s="1051"/>
      <c r="AP297" s="1052"/>
      <c r="AQ297" s="1051"/>
      <c r="AR297" s="1051"/>
      <c r="AS297" s="1052"/>
      <c r="AT297" s="1051"/>
      <c r="AU297" s="1051"/>
      <c r="AV297" s="1052"/>
      <c r="AW297" s="1051"/>
      <c r="AX297" s="1051"/>
      <c r="AY297" s="1053"/>
      <c r="AZ297" s="1051"/>
      <c r="BA297" s="1051"/>
      <c r="BB297" s="1053"/>
      <c r="BC297" s="1051"/>
      <c r="BD297" s="1051"/>
      <c r="BE297" s="1053"/>
      <c r="BF297" s="1051"/>
      <c r="BG297" s="1051"/>
      <c r="BH297" s="1053"/>
      <c r="BI297" s="1052"/>
      <c r="BJ297" s="1052"/>
      <c r="BK297" s="1052"/>
      <c r="BL297" s="1052"/>
      <c r="BM297" s="1052"/>
      <c r="BN297" s="1054"/>
      <c r="BO297" s="1076">
        <f t="shared" si="15"/>
        <v>0</v>
      </c>
      <c r="BP297" s="1051"/>
      <c r="BQ297" s="1052"/>
      <c r="BR297" s="1054"/>
      <c r="BS297" s="1053"/>
      <c r="BT297" s="1051"/>
      <c r="BU297" s="1051"/>
      <c r="BV297" s="1051"/>
      <c r="BW297" s="1052"/>
      <c r="BX297" s="1052"/>
      <c r="BY297" s="1052"/>
      <c r="BZ297" s="1052"/>
      <c r="CA297" s="1052"/>
      <c r="CB297" s="1053"/>
      <c r="CC297" s="1053"/>
      <c r="CD297" s="1053"/>
      <c r="CE297" s="1053"/>
      <c r="CF297" s="1053"/>
      <c r="CG297" s="1053"/>
      <c r="CH297" s="1053"/>
      <c r="CI297" s="1123"/>
      <c r="CJ297" s="1123"/>
      <c r="CK297" s="1123"/>
      <c r="CL297" s="1123"/>
      <c r="CM297" s="1123"/>
      <c r="CN297" s="1123"/>
      <c r="CO297" s="1123"/>
      <c r="CP297" s="1123"/>
      <c r="CQ297" s="1123"/>
      <c r="CR297" s="1123"/>
      <c r="CS297" s="1123"/>
      <c r="CT297" s="1123"/>
      <c r="CU297" s="1123"/>
      <c r="CV297" s="1123"/>
      <c r="CW297" s="1123"/>
      <c r="CX297" s="1123"/>
      <c r="CY297" s="1123"/>
      <c r="CZ297" s="1114"/>
      <c r="DA297" s="1114"/>
      <c r="DB297" s="1114"/>
      <c r="DC297" s="1114"/>
      <c r="DD297" s="1114"/>
      <c r="DE297" s="1114"/>
      <c r="DF297" s="1114"/>
      <c r="DG297" s="1114"/>
      <c r="DH297" s="1114"/>
      <c r="DI297" s="1114"/>
      <c r="DJ297" s="1114"/>
      <c r="DK297" s="1114"/>
      <c r="DL297" s="1114"/>
      <c r="DM297" s="1114"/>
      <c r="DN297" s="1114"/>
      <c r="DO297" s="1114"/>
      <c r="DP297" s="1114"/>
      <c r="DQ297" s="1114"/>
      <c r="DR297" s="1114"/>
      <c r="DS297" s="1114"/>
      <c r="DT297" s="1114"/>
      <c r="DU297" s="1114"/>
      <c r="DV297" s="1115"/>
      <c r="DW297" s="1116"/>
      <c r="DX297" s="1116"/>
      <c r="DY297" s="1116"/>
      <c r="DZ297" s="1116"/>
      <c r="EA297" s="1116"/>
      <c r="EB297" s="1116"/>
      <c r="EC297" s="1116"/>
      <c r="ED297" s="1116"/>
      <c r="EE297" s="1116"/>
      <c r="EF297" s="1116"/>
      <c r="EG297" s="1116"/>
      <c r="EH297" s="1116"/>
      <c r="EI297" s="1116"/>
      <c r="EJ297" s="1116"/>
      <c r="EK297" s="1116"/>
      <c r="EL297" s="1116"/>
      <c r="EM297" s="1116"/>
      <c r="EN297" s="1116"/>
      <c r="EO297" s="1116"/>
      <c r="EP297" s="1116"/>
      <c r="EQ297" s="1116"/>
      <c r="ER297" s="1116"/>
      <c r="ES297" s="1116"/>
    </row>
    <row r="298" spans="1:149" ht="15" customHeight="1">
      <c r="A298" s="1185">
        <v>283</v>
      </c>
      <c r="B298" s="1041"/>
      <c r="C298" s="1050"/>
      <c r="D298" s="1050"/>
      <c r="E298" s="1050"/>
      <c r="F298" s="1049"/>
      <c r="G298" s="1457"/>
      <c r="H298" s="1049"/>
      <c r="I298" s="1049"/>
      <c r="J298" s="1050"/>
      <c r="K298" s="1050"/>
      <c r="L298" s="1043"/>
      <c r="M298" s="1051"/>
      <c r="N298" s="1051"/>
      <c r="O298" s="1052"/>
      <c r="P298" s="1051"/>
      <c r="Q298" s="1051"/>
      <c r="R298" s="1052"/>
      <c r="S298" s="1051"/>
      <c r="T298" s="1051"/>
      <c r="U298" s="1052"/>
      <c r="V298" s="1051"/>
      <c r="W298" s="1051"/>
      <c r="X298" s="1052"/>
      <c r="Y298" s="1053"/>
      <c r="Z298" s="1051"/>
      <c r="AA298" s="1051"/>
      <c r="AB298" s="1052"/>
      <c r="AC298" s="1051"/>
      <c r="AD298" s="1051"/>
      <c r="AE298" s="1052"/>
      <c r="AF298" s="1051"/>
      <c r="AG298" s="1051"/>
      <c r="AH298" s="1051"/>
      <c r="AI298" s="1051"/>
      <c r="AJ298" s="1052"/>
      <c r="AK298" s="1051"/>
      <c r="AL298" s="1051"/>
      <c r="AM298" s="1052"/>
      <c r="AN298" s="1051"/>
      <c r="AO298" s="1051"/>
      <c r="AP298" s="1052"/>
      <c r="AQ298" s="1051"/>
      <c r="AR298" s="1051"/>
      <c r="AS298" s="1052"/>
      <c r="AT298" s="1051"/>
      <c r="AU298" s="1051"/>
      <c r="AV298" s="1052"/>
      <c r="AW298" s="1051"/>
      <c r="AX298" s="1051"/>
      <c r="AY298" s="1053"/>
      <c r="AZ298" s="1051"/>
      <c r="BA298" s="1051"/>
      <c r="BB298" s="1053"/>
      <c r="BC298" s="1051"/>
      <c r="BD298" s="1051"/>
      <c r="BE298" s="1053"/>
      <c r="BF298" s="1051"/>
      <c r="BG298" s="1051"/>
      <c r="BH298" s="1053"/>
      <c r="BI298" s="1052"/>
      <c r="BJ298" s="1052"/>
      <c r="BK298" s="1052"/>
      <c r="BL298" s="1052"/>
      <c r="BM298" s="1052"/>
      <c r="BN298" s="1054"/>
      <c r="BO298" s="1076">
        <f t="shared" si="15"/>
        <v>0</v>
      </c>
      <c r="BP298" s="1051"/>
      <c r="BQ298" s="1052"/>
      <c r="BR298" s="1054"/>
      <c r="BS298" s="1053"/>
      <c r="BT298" s="1051"/>
      <c r="BU298" s="1051"/>
      <c r="BV298" s="1051"/>
      <c r="BW298" s="1052"/>
      <c r="BX298" s="1052"/>
      <c r="BY298" s="1052"/>
      <c r="BZ298" s="1052"/>
      <c r="CA298" s="1052"/>
      <c r="CB298" s="1053"/>
      <c r="CC298" s="1053"/>
      <c r="CD298" s="1053"/>
      <c r="CE298" s="1053"/>
      <c r="CF298" s="1053"/>
      <c r="CG298" s="1053"/>
      <c r="CH298" s="1053"/>
      <c r="CI298" s="1123"/>
      <c r="CJ298" s="1123"/>
      <c r="CK298" s="1123"/>
      <c r="CL298" s="1123"/>
      <c r="CM298" s="1123"/>
      <c r="CN298" s="1123"/>
      <c r="CO298" s="1123"/>
      <c r="CP298" s="1123"/>
      <c r="CQ298" s="1123"/>
      <c r="CR298" s="1123"/>
      <c r="CS298" s="1123"/>
      <c r="CT298" s="1123"/>
      <c r="CU298" s="1123"/>
      <c r="CV298" s="1123"/>
      <c r="CW298" s="1123"/>
      <c r="CX298" s="1123"/>
      <c r="CY298" s="1123"/>
      <c r="CZ298" s="1114"/>
      <c r="DA298" s="1114"/>
      <c r="DB298" s="1114"/>
      <c r="DC298" s="1114"/>
      <c r="DD298" s="1114"/>
      <c r="DE298" s="1114"/>
      <c r="DF298" s="1114"/>
      <c r="DG298" s="1114"/>
      <c r="DH298" s="1114"/>
      <c r="DI298" s="1114"/>
      <c r="DJ298" s="1114"/>
      <c r="DK298" s="1114"/>
      <c r="DL298" s="1114"/>
      <c r="DM298" s="1114"/>
      <c r="DN298" s="1114"/>
      <c r="DO298" s="1114"/>
      <c r="DP298" s="1114"/>
      <c r="DQ298" s="1114"/>
      <c r="DR298" s="1114"/>
      <c r="DS298" s="1114"/>
      <c r="DT298" s="1114"/>
      <c r="DU298" s="1114"/>
      <c r="DV298" s="1115"/>
      <c r="DW298" s="1116"/>
      <c r="DX298" s="1116"/>
      <c r="DY298" s="1116"/>
      <c r="DZ298" s="1116"/>
      <c r="EA298" s="1116"/>
      <c r="EB298" s="1116"/>
      <c r="EC298" s="1116"/>
      <c r="ED298" s="1116"/>
      <c r="EE298" s="1116"/>
      <c r="EF298" s="1116"/>
      <c r="EG298" s="1116"/>
      <c r="EH298" s="1116"/>
      <c r="EI298" s="1116"/>
      <c r="EJ298" s="1116"/>
      <c r="EK298" s="1116"/>
      <c r="EL298" s="1116"/>
      <c r="EM298" s="1116"/>
      <c r="EN298" s="1116"/>
      <c r="EO298" s="1116"/>
      <c r="EP298" s="1116"/>
      <c r="EQ298" s="1116"/>
      <c r="ER298" s="1116"/>
      <c r="ES298" s="1116"/>
    </row>
    <row r="299" spans="1:149" ht="15" customHeight="1">
      <c r="A299" s="1185">
        <v>284</v>
      </c>
      <c r="B299" s="1041"/>
      <c r="C299" s="1050"/>
      <c r="D299" s="1050"/>
      <c r="E299" s="1050"/>
      <c r="F299" s="1049"/>
      <c r="G299" s="1457"/>
      <c r="H299" s="1049"/>
      <c r="I299" s="1049"/>
      <c r="J299" s="1050"/>
      <c r="K299" s="1050"/>
      <c r="L299" s="1043"/>
      <c r="M299" s="1051"/>
      <c r="N299" s="1051"/>
      <c r="O299" s="1052"/>
      <c r="P299" s="1051"/>
      <c r="Q299" s="1051"/>
      <c r="R299" s="1052"/>
      <c r="S299" s="1051"/>
      <c r="T299" s="1051"/>
      <c r="U299" s="1052"/>
      <c r="V299" s="1051"/>
      <c r="W299" s="1051"/>
      <c r="X299" s="1052"/>
      <c r="Y299" s="1053"/>
      <c r="Z299" s="1051"/>
      <c r="AA299" s="1051"/>
      <c r="AB299" s="1052"/>
      <c r="AC299" s="1051"/>
      <c r="AD299" s="1051"/>
      <c r="AE299" s="1052"/>
      <c r="AF299" s="1051"/>
      <c r="AG299" s="1051"/>
      <c r="AH299" s="1051"/>
      <c r="AI299" s="1051"/>
      <c r="AJ299" s="1052"/>
      <c r="AK299" s="1051"/>
      <c r="AL299" s="1051"/>
      <c r="AM299" s="1052"/>
      <c r="AN299" s="1051"/>
      <c r="AO299" s="1051"/>
      <c r="AP299" s="1052"/>
      <c r="AQ299" s="1051"/>
      <c r="AR299" s="1051"/>
      <c r="AS299" s="1052"/>
      <c r="AT299" s="1051"/>
      <c r="AU299" s="1051"/>
      <c r="AV299" s="1052"/>
      <c r="AW299" s="1051"/>
      <c r="AX299" s="1051"/>
      <c r="AY299" s="1053"/>
      <c r="AZ299" s="1051"/>
      <c r="BA299" s="1051"/>
      <c r="BB299" s="1053"/>
      <c r="BC299" s="1051"/>
      <c r="BD299" s="1051"/>
      <c r="BE299" s="1053"/>
      <c r="BF299" s="1051"/>
      <c r="BG299" s="1051"/>
      <c r="BH299" s="1053"/>
      <c r="BI299" s="1052"/>
      <c r="BJ299" s="1052"/>
      <c r="BK299" s="1052"/>
      <c r="BL299" s="1052"/>
      <c r="BM299" s="1052"/>
      <c r="BN299" s="1054"/>
      <c r="BO299" s="1076">
        <f t="shared" si="15"/>
        <v>0</v>
      </c>
      <c r="BP299" s="1051"/>
      <c r="BQ299" s="1052"/>
      <c r="BR299" s="1054"/>
      <c r="BS299" s="1053"/>
      <c r="BT299" s="1051"/>
      <c r="BU299" s="1051"/>
      <c r="BV299" s="1051"/>
      <c r="BW299" s="1052"/>
      <c r="BX299" s="1052"/>
      <c r="BY299" s="1052"/>
      <c r="BZ299" s="1052"/>
      <c r="CA299" s="1052"/>
      <c r="CB299" s="1053"/>
      <c r="CC299" s="1053"/>
      <c r="CD299" s="1053"/>
      <c r="CE299" s="1053"/>
      <c r="CF299" s="1053"/>
      <c r="CG299" s="1053"/>
      <c r="CH299" s="1053"/>
      <c r="CI299" s="1123"/>
      <c r="CJ299" s="1123"/>
      <c r="CK299" s="1123"/>
      <c r="CL299" s="1123"/>
      <c r="CM299" s="1123"/>
      <c r="CN299" s="1123"/>
      <c r="CO299" s="1123"/>
      <c r="CP299" s="1123"/>
      <c r="CQ299" s="1123"/>
      <c r="CR299" s="1123"/>
      <c r="CS299" s="1123"/>
      <c r="CT299" s="1123"/>
      <c r="CU299" s="1123"/>
      <c r="CV299" s="1123"/>
      <c r="CW299" s="1123"/>
      <c r="CX299" s="1123"/>
      <c r="CY299" s="1123"/>
      <c r="CZ299" s="1114"/>
      <c r="DA299" s="1114"/>
      <c r="DB299" s="1114"/>
      <c r="DC299" s="1114"/>
      <c r="DD299" s="1114"/>
      <c r="DE299" s="1114"/>
      <c r="DF299" s="1114"/>
      <c r="DG299" s="1114"/>
      <c r="DH299" s="1114"/>
      <c r="DI299" s="1114"/>
      <c r="DJ299" s="1114"/>
      <c r="DK299" s="1114"/>
      <c r="DL299" s="1114"/>
      <c r="DM299" s="1114"/>
      <c r="DN299" s="1114"/>
      <c r="DO299" s="1114"/>
      <c r="DP299" s="1114"/>
      <c r="DQ299" s="1114"/>
      <c r="DR299" s="1114"/>
      <c r="DS299" s="1114"/>
      <c r="DT299" s="1114"/>
      <c r="DU299" s="1114"/>
      <c r="DV299" s="1115"/>
      <c r="DW299" s="1116"/>
      <c r="DX299" s="1116"/>
      <c r="DY299" s="1116"/>
      <c r="DZ299" s="1116"/>
      <c r="EA299" s="1116"/>
      <c r="EB299" s="1116"/>
      <c r="EC299" s="1116"/>
      <c r="ED299" s="1116"/>
      <c r="EE299" s="1116"/>
      <c r="EF299" s="1116"/>
      <c r="EG299" s="1116"/>
      <c r="EH299" s="1116"/>
      <c r="EI299" s="1116"/>
      <c r="EJ299" s="1116"/>
      <c r="EK299" s="1116"/>
      <c r="EL299" s="1116"/>
      <c r="EM299" s="1116"/>
      <c r="EN299" s="1116"/>
      <c r="EO299" s="1116"/>
      <c r="EP299" s="1116"/>
      <c r="EQ299" s="1116"/>
      <c r="ER299" s="1116"/>
      <c r="ES299" s="1116"/>
    </row>
    <row r="300" spans="1:149" ht="15" customHeight="1">
      <c r="A300" s="1185">
        <v>285</v>
      </c>
      <c r="B300" s="1041"/>
      <c r="C300" s="1050"/>
      <c r="D300" s="1050"/>
      <c r="E300" s="1050"/>
      <c r="F300" s="1049"/>
      <c r="G300" s="1457"/>
      <c r="H300" s="1049"/>
      <c r="I300" s="1049"/>
      <c r="J300" s="1050"/>
      <c r="K300" s="1050"/>
      <c r="L300" s="1043"/>
      <c r="M300" s="1051"/>
      <c r="N300" s="1051"/>
      <c r="O300" s="1052"/>
      <c r="P300" s="1051"/>
      <c r="Q300" s="1051"/>
      <c r="R300" s="1052"/>
      <c r="S300" s="1051"/>
      <c r="T300" s="1051"/>
      <c r="U300" s="1052"/>
      <c r="V300" s="1051"/>
      <c r="W300" s="1051"/>
      <c r="X300" s="1052"/>
      <c r="Y300" s="1053"/>
      <c r="Z300" s="1051"/>
      <c r="AA300" s="1051"/>
      <c r="AB300" s="1052"/>
      <c r="AC300" s="1051"/>
      <c r="AD300" s="1051"/>
      <c r="AE300" s="1052"/>
      <c r="AF300" s="1051"/>
      <c r="AG300" s="1051"/>
      <c r="AH300" s="1051"/>
      <c r="AI300" s="1051"/>
      <c r="AJ300" s="1052"/>
      <c r="AK300" s="1051"/>
      <c r="AL300" s="1051"/>
      <c r="AM300" s="1052"/>
      <c r="AN300" s="1051"/>
      <c r="AO300" s="1051"/>
      <c r="AP300" s="1052"/>
      <c r="AQ300" s="1051"/>
      <c r="AR300" s="1051"/>
      <c r="AS300" s="1052"/>
      <c r="AT300" s="1051"/>
      <c r="AU300" s="1051"/>
      <c r="AV300" s="1052"/>
      <c r="AW300" s="1051"/>
      <c r="AX300" s="1051"/>
      <c r="AY300" s="1053"/>
      <c r="AZ300" s="1051"/>
      <c r="BA300" s="1051"/>
      <c r="BB300" s="1053"/>
      <c r="BC300" s="1051"/>
      <c r="BD300" s="1051"/>
      <c r="BE300" s="1053"/>
      <c r="BF300" s="1051"/>
      <c r="BG300" s="1051"/>
      <c r="BH300" s="1053"/>
      <c r="BI300" s="1052"/>
      <c r="BJ300" s="1052"/>
      <c r="BK300" s="1052"/>
      <c r="BL300" s="1052"/>
      <c r="BM300" s="1052"/>
      <c r="BN300" s="1054"/>
      <c r="BO300" s="1076">
        <f t="shared" si="15"/>
        <v>0</v>
      </c>
      <c r="BP300" s="1051"/>
      <c r="BQ300" s="1052"/>
      <c r="BR300" s="1054"/>
      <c r="BS300" s="1053"/>
      <c r="BT300" s="1051"/>
      <c r="BU300" s="1051"/>
      <c r="BV300" s="1051"/>
      <c r="BW300" s="1052"/>
      <c r="BX300" s="1052"/>
      <c r="BY300" s="1052"/>
      <c r="BZ300" s="1052"/>
      <c r="CA300" s="1052"/>
      <c r="CB300" s="1053"/>
      <c r="CC300" s="1053"/>
      <c r="CD300" s="1053"/>
      <c r="CE300" s="1053"/>
      <c r="CF300" s="1053"/>
      <c r="CG300" s="1053"/>
      <c r="CH300" s="1053"/>
      <c r="CI300" s="1123"/>
      <c r="CJ300" s="1123"/>
      <c r="CK300" s="1123"/>
      <c r="CL300" s="1123"/>
      <c r="CM300" s="1123"/>
      <c r="CN300" s="1123"/>
      <c r="CO300" s="1123"/>
      <c r="CP300" s="1123"/>
      <c r="CQ300" s="1123"/>
      <c r="CR300" s="1123"/>
      <c r="CS300" s="1123"/>
      <c r="CT300" s="1123"/>
      <c r="CU300" s="1123"/>
      <c r="CV300" s="1123"/>
      <c r="CW300" s="1123"/>
      <c r="CX300" s="1123"/>
      <c r="CY300" s="1123"/>
      <c r="CZ300" s="1114"/>
      <c r="DA300" s="1114"/>
      <c r="DB300" s="1114"/>
      <c r="DC300" s="1114"/>
      <c r="DD300" s="1114"/>
      <c r="DE300" s="1114"/>
      <c r="DF300" s="1114"/>
      <c r="DG300" s="1114"/>
      <c r="DH300" s="1114"/>
      <c r="DI300" s="1114"/>
      <c r="DJ300" s="1114"/>
      <c r="DK300" s="1114"/>
      <c r="DL300" s="1114"/>
      <c r="DM300" s="1114"/>
      <c r="DN300" s="1114"/>
      <c r="DO300" s="1114"/>
      <c r="DP300" s="1114"/>
      <c r="DQ300" s="1114"/>
      <c r="DR300" s="1114"/>
      <c r="DS300" s="1114"/>
      <c r="DT300" s="1114"/>
      <c r="DU300" s="1114"/>
      <c r="DV300" s="1115"/>
      <c r="DW300" s="1116"/>
      <c r="DX300" s="1116"/>
      <c r="DY300" s="1116"/>
      <c r="DZ300" s="1116"/>
      <c r="EA300" s="1116"/>
      <c r="EB300" s="1116"/>
      <c r="EC300" s="1116"/>
      <c r="ED300" s="1116"/>
      <c r="EE300" s="1116"/>
      <c r="EF300" s="1116"/>
      <c r="EG300" s="1116"/>
      <c r="EH300" s="1116"/>
      <c r="EI300" s="1116"/>
      <c r="EJ300" s="1116"/>
      <c r="EK300" s="1116"/>
      <c r="EL300" s="1116"/>
      <c r="EM300" s="1116"/>
      <c r="EN300" s="1116"/>
      <c r="EO300" s="1116"/>
      <c r="EP300" s="1116"/>
      <c r="EQ300" s="1116"/>
      <c r="ER300" s="1116"/>
      <c r="ES300" s="1116"/>
    </row>
    <row r="301" spans="1:149" ht="15" customHeight="1">
      <c r="A301" s="1185">
        <v>286</v>
      </c>
      <c r="B301" s="1041"/>
      <c r="C301" s="1050"/>
      <c r="D301" s="1050"/>
      <c r="E301" s="1050"/>
      <c r="F301" s="1049"/>
      <c r="G301" s="1457"/>
      <c r="H301" s="1049"/>
      <c r="I301" s="1049"/>
      <c r="J301" s="1050"/>
      <c r="K301" s="1050"/>
      <c r="L301" s="1043"/>
      <c r="M301" s="1051"/>
      <c r="N301" s="1051"/>
      <c r="O301" s="1052"/>
      <c r="P301" s="1051"/>
      <c r="Q301" s="1051"/>
      <c r="R301" s="1052"/>
      <c r="S301" s="1051"/>
      <c r="T301" s="1051"/>
      <c r="U301" s="1052"/>
      <c r="V301" s="1051"/>
      <c r="W301" s="1051"/>
      <c r="X301" s="1052"/>
      <c r="Y301" s="1053"/>
      <c r="Z301" s="1051"/>
      <c r="AA301" s="1051"/>
      <c r="AB301" s="1052"/>
      <c r="AC301" s="1051"/>
      <c r="AD301" s="1051"/>
      <c r="AE301" s="1052"/>
      <c r="AF301" s="1051"/>
      <c r="AG301" s="1051"/>
      <c r="AH301" s="1051"/>
      <c r="AI301" s="1051"/>
      <c r="AJ301" s="1052"/>
      <c r="AK301" s="1051"/>
      <c r="AL301" s="1051"/>
      <c r="AM301" s="1052"/>
      <c r="AN301" s="1051"/>
      <c r="AO301" s="1051"/>
      <c r="AP301" s="1052"/>
      <c r="AQ301" s="1051"/>
      <c r="AR301" s="1051"/>
      <c r="AS301" s="1052"/>
      <c r="AT301" s="1051"/>
      <c r="AU301" s="1051"/>
      <c r="AV301" s="1052"/>
      <c r="AW301" s="1051"/>
      <c r="AX301" s="1051"/>
      <c r="AY301" s="1053"/>
      <c r="AZ301" s="1051"/>
      <c r="BA301" s="1051"/>
      <c r="BB301" s="1053"/>
      <c r="BC301" s="1051"/>
      <c r="BD301" s="1051"/>
      <c r="BE301" s="1053"/>
      <c r="BF301" s="1051"/>
      <c r="BG301" s="1051"/>
      <c r="BH301" s="1053"/>
      <c r="BI301" s="1052"/>
      <c r="BJ301" s="1052"/>
      <c r="BK301" s="1052"/>
      <c r="BL301" s="1052"/>
      <c r="BM301" s="1052"/>
      <c r="BN301" s="1054"/>
      <c r="BO301" s="1076">
        <f t="shared" si="15"/>
        <v>0</v>
      </c>
      <c r="BP301" s="1051"/>
      <c r="BQ301" s="1052"/>
      <c r="BR301" s="1054"/>
      <c r="BS301" s="1053"/>
      <c r="BT301" s="1051"/>
      <c r="BU301" s="1051"/>
      <c r="BV301" s="1051"/>
      <c r="BW301" s="1052"/>
      <c r="BX301" s="1052"/>
      <c r="BY301" s="1052"/>
      <c r="BZ301" s="1052"/>
      <c r="CA301" s="1052"/>
      <c r="CB301" s="1053"/>
      <c r="CC301" s="1053"/>
      <c r="CD301" s="1053"/>
      <c r="CE301" s="1053"/>
      <c r="CF301" s="1053"/>
      <c r="CG301" s="1053"/>
      <c r="CH301" s="1053"/>
      <c r="CI301" s="1123"/>
      <c r="CJ301" s="1123"/>
      <c r="CK301" s="1123"/>
      <c r="CL301" s="1123"/>
      <c r="CM301" s="1123"/>
      <c r="CN301" s="1123"/>
      <c r="CO301" s="1123"/>
      <c r="CP301" s="1123"/>
      <c r="CQ301" s="1123"/>
      <c r="CR301" s="1123"/>
      <c r="CS301" s="1123"/>
      <c r="CT301" s="1123"/>
      <c r="CU301" s="1123"/>
      <c r="CV301" s="1123"/>
      <c r="CW301" s="1123"/>
      <c r="CX301" s="1123"/>
      <c r="CY301" s="1123"/>
      <c r="CZ301" s="1114"/>
      <c r="DA301" s="1114"/>
      <c r="DB301" s="1114"/>
      <c r="DC301" s="1114"/>
      <c r="DD301" s="1114"/>
      <c r="DE301" s="1114"/>
      <c r="DF301" s="1114"/>
      <c r="DG301" s="1114"/>
      <c r="DH301" s="1114"/>
      <c r="DI301" s="1114"/>
      <c r="DJ301" s="1114"/>
      <c r="DK301" s="1114"/>
      <c r="DL301" s="1114"/>
      <c r="DM301" s="1114"/>
      <c r="DN301" s="1114"/>
      <c r="DO301" s="1114"/>
      <c r="DP301" s="1114"/>
      <c r="DQ301" s="1114"/>
      <c r="DR301" s="1114"/>
      <c r="DS301" s="1114"/>
      <c r="DT301" s="1114"/>
      <c r="DU301" s="1114"/>
      <c r="DV301" s="1115"/>
      <c r="DW301" s="1116"/>
      <c r="DX301" s="1116"/>
      <c r="DY301" s="1116"/>
      <c r="DZ301" s="1116"/>
      <c r="EA301" s="1116"/>
      <c r="EB301" s="1116"/>
      <c r="EC301" s="1116"/>
      <c r="ED301" s="1116"/>
      <c r="EE301" s="1116"/>
      <c r="EF301" s="1116"/>
      <c r="EG301" s="1116"/>
      <c r="EH301" s="1116"/>
      <c r="EI301" s="1116"/>
      <c r="EJ301" s="1116"/>
      <c r="EK301" s="1116"/>
      <c r="EL301" s="1116"/>
      <c r="EM301" s="1116"/>
      <c r="EN301" s="1116"/>
      <c r="EO301" s="1116"/>
      <c r="EP301" s="1116"/>
      <c r="EQ301" s="1116"/>
      <c r="ER301" s="1116"/>
      <c r="ES301" s="1116"/>
    </row>
    <row r="302" spans="1:149" ht="15" customHeight="1">
      <c r="A302" s="1185">
        <v>287</v>
      </c>
      <c r="B302" s="1041"/>
      <c r="C302" s="1050"/>
      <c r="D302" s="1050"/>
      <c r="E302" s="1050"/>
      <c r="F302" s="1049"/>
      <c r="G302" s="1457"/>
      <c r="H302" s="1049"/>
      <c r="I302" s="1049"/>
      <c r="J302" s="1050"/>
      <c r="K302" s="1050"/>
      <c r="L302" s="1043"/>
      <c r="M302" s="1051"/>
      <c r="N302" s="1051"/>
      <c r="O302" s="1052"/>
      <c r="P302" s="1051"/>
      <c r="Q302" s="1051"/>
      <c r="R302" s="1052"/>
      <c r="S302" s="1051"/>
      <c r="T302" s="1051"/>
      <c r="U302" s="1052"/>
      <c r="V302" s="1051"/>
      <c r="W302" s="1051"/>
      <c r="X302" s="1052"/>
      <c r="Y302" s="1053"/>
      <c r="Z302" s="1051"/>
      <c r="AA302" s="1051"/>
      <c r="AB302" s="1052"/>
      <c r="AC302" s="1051"/>
      <c r="AD302" s="1051"/>
      <c r="AE302" s="1052"/>
      <c r="AF302" s="1051"/>
      <c r="AG302" s="1051"/>
      <c r="AH302" s="1051"/>
      <c r="AI302" s="1051"/>
      <c r="AJ302" s="1052"/>
      <c r="AK302" s="1051"/>
      <c r="AL302" s="1051"/>
      <c r="AM302" s="1052"/>
      <c r="AN302" s="1051"/>
      <c r="AO302" s="1051"/>
      <c r="AP302" s="1052"/>
      <c r="AQ302" s="1051"/>
      <c r="AR302" s="1051"/>
      <c r="AS302" s="1052"/>
      <c r="AT302" s="1051"/>
      <c r="AU302" s="1051"/>
      <c r="AV302" s="1052"/>
      <c r="AW302" s="1051"/>
      <c r="AX302" s="1051"/>
      <c r="AY302" s="1053"/>
      <c r="AZ302" s="1051"/>
      <c r="BA302" s="1051"/>
      <c r="BB302" s="1053"/>
      <c r="BC302" s="1051"/>
      <c r="BD302" s="1051"/>
      <c r="BE302" s="1053"/>
      <c r="BF302" s="1051"/>
      <c r="BG302" s="1051"/>
      <c r="BH302" s="1053"/>
      <c r="BI302" s="1052"/>
      <c r="BJ302" s="1052"/>
      <c r="BK302" s="1052"/>
      <c r="BL302" s="1052"/>
      <c r="BM302" s="1052"/>
      <c r="BN302" s="1054"/>
      <c r="BO302" s="1076">
        <f t="shared" si="15"/>
        <v>0</v>
      </c>
      <c r="BP302" s="1051"/>
      <c r="BQ302" s="1052"/>
      <c r="BR302" s="1054"/>
      <c r="BS302" s="1053"/>
      <c r="BT302" s="1051"/>
      <c r="BU302" s="1051"/>
      <c r="BV302" s="1051"/>
      <c r="BW302" s="1052"/>
      <c r="BX302" s="1052"/>
      <c r="BY302" s="1052"/>
      <c r="BZ302" s="1052"/>
      <c r="CA302" s="1052"/>
      <c r="CB302" s="1053"/>
      <c r="CC302" s="1053"/>
      <c r="CD302" s="1053"/>
      <c r="CE302" s="1053"/>
      <c r="CF302" s="1053"/>
      <c r="CG302" s="1053"/>
      <c r="CH302" s="1053"/>
      <c r="CI302" s="1123"/>
      <c r="CJ302" s="1123"/>
      <c r="CK302" s="1123"/>
      <c r="CL302" s="1123"/>
      <c r="CM302" s="1123"/>
      <c r="CN302" s="1123"/>
      <c r="CO302" s="1123"/>
      <c r="CP302" s="1123"/>
      <c r="CQ302" s="1123"/>
      <c r="CR302" s="1123"/>
      <c r="CS302" s="1123"/>
      <c r="CT302" s="1123"/>
      <c r="CU302" s="1123"/>
      <c r="CV302" s="1123"/>
      <c r="CW302" s="1123"/>
      <c r="CX302" s="1123"/>
      <c r="CY302" s="1123"/>
      <c r="CZ302" s="1114"/>
      <c r="DA302" s="1114"/>
      <c r="DB302" s="1114"/>
      <c r="DC302" s="1114"/>
      <c r="DD302" s="1114"/>
      <c r="DE302" s="1114"/>
      <c r="DF302" s="1114"/>
      <c r="DG302" s="1114"/>
      <c r="DH302" s="1114"/>
      <c r="DI302" s="1114"/>
      <c r="DJ302" s="1114"/>
      <c r="DK302" s="1114"/>
      <c r="DL302" s="1114"/>
      <c r="DM302" s="1114"/>
      <c r="DN302" s="1114"/>
      <c r="DO302" s="1114"/>
      <c r="DP302" s="1114"/>
      <c r="DQ302" s="1114"/>
      <c r="DR302" s="1114"/>
      <c r="DS302" s="1114"/>
      <c r="DT302" s="1114"/>
      <c r="DU302" s="1114"/>
      <c r="DV302" s="1115"/>
      <c r="DW302" s="1116"/>
      <c r="DX302" s="1116"/>
      <c r="DY302" s="1116"/>
      <c r="DZ302" s="1116"/>
      <c r="EA302" s="1116"/>
      <c r="EB302" s="1116"/>
      <c r="EC302" s="1116"/>
      <c r="ED302" s="1116"/>
      <c r="EE302" s="1116"/>
      <c r="EF302" s="1116"/>
      <c r="EG302" s="1116"/>
      <c r="EH302" s="1116"/>
      <c r="EI302" s="1116"/>
      <c r="EJ302" s="1116"/>
      <c r="EK302" s="1116"/>
      <c r="EL302" s="1116"/>
      <c r="EM302" s="1116"/>
      <c r="EN302" s="1116"/>
      <c r="EO302" s="1116"/>
      <c r="EP302" s="1116"/>
      <c r="EQ302" s="1116"/>
      <c r="ER302" s="1116"/>
      <c r="ES302" s="1116"/>
    </row>
    <row r="303" spans="1:149" ht="15" customHeight="1">
      <c r="A303" s="1185">
        <v>288</v>
      </c>
      <c r="B303" s="1041"/>
      <c r="C303" s="1050"/>
      <c r="D303" s="1050"/>
      <c r="E303" s="1050"/>
      <c r="F303" s="1049"/>
      <c r="G303" s="1457"/>
      <c r="H303" s="1049"/>
      <c r="I303" s="1049"/>
      <c r="J303" s="1050"/>
      <c r="K303" s="1050"/>
      <c r="L303" s="1043"/>
      <c r="M303" s="1051"/>
      <c r="N303" s="1051"/>
      <c r="O303" s="1052"/>
      <c r="P303" s="1051"/>
      <c r="Q303" s="1051"/>
      <c r="R303" s="1052"/>
      <c r="S303" s="1051"/>
      <c r="T303" s="1051"/>
      <c r="U303" s="1052"/>
      <c r="V303" s="1051"/>
      <c r="W303" s="1051"/>
      <c r="X303" s="1052"/>
      <c r="Y303" s="1053"/>
      <c r="Z303" s="1051"/>
      <c r="AA303" s="1051"/>
      <c r="AB303" s="1052"/>
      <c r="AC303" s="1051"/>
      <c r="AD303" s="1051"/>
      <c r="AE303" s="1052"/>
      <c r="AF303" s="1051"/>
      <c r="AG303" s="1051"/>
      <c r="AH303" s="1051"/>
      <c r="AI303" s="1051"/>
      <c r="AJ303" s="1052"/>
      <c r="AK303" s="1051"/>
      <c r="AL303" s="1051"/>
      <c r="AM303" s="1052"/>
      <c r="AN303" s="1051"/>
      <c r="AO303" s="1051"/>
      <c r="AP303" s="1052"/>
      <c r="AQ303" s="1051"/>
      <c r="AR303" s="1051"/>
      <c r="AS303" s="1052"/>
      <c r="AT303" s="1051"/>
      <c r="AU303" s="1051"/>
      <c r="AV303" s="1052"/>
      <c r="AW303" s="1051"/>
      <c r="AX303" s="1051"/>
      <c r="AY303" s="1053"/>
      <c r="AZ303" s="1051"/>
      <c r="BA303" s="1051"/>
      <c r="BB303" s="1053"/>
      <c r="BC303" s="1051"/>
      <c r="BD303" s="1051"/>
      <c r="BE303" s="1053"/>
      <c r="BF303" s="1051"/>
      <c r="BG303" s="1051"/>
      <c r="BH303" s="1053"/>
      <c r="BI303" s="1052"/>
      <c r="BJ303" s="1052"/>
      <c r="BK303" s="1052"/>
      <c r="BL303" s="1052"/>
      <c r="BM303" s="1052"/>
      <c r="BN303" s="1054"/>
      <c r="BO303" s="1076">
        <f t="shared" si="15"/>
        <v>0</v>
      </c>
      <c r="BP303" s="1051"/>
      <c r="BQ303" s="1052"/>
      <c r="BR303" s="1054"/>
      <c r="BS303" s="1053"/>
      <c r="BT303" s="1051"/>
      <c r="BU303" s="1051"/>
      <c r="BV303" s="1051"/>
      <c r="BW303" s="1052"/>
      <c r="BX303" s="1052"/>
      <c r="BY303" s="1052"/>
      <c r="BZ303" s="1052"/>
      <c r="CA303" s="1052"/>
      <c r="CB303" s="1053"/>
      <c r="CC303" s="1053"/>
      <c r="CD303" s="1053"/>
      <c r="CE303" s="1053"/>
      <c r="CF303" s="1053"/>
      <c r="CG303" s="1053"/>
      <c r="CH303" s="1053"/>
      <c r="CI303" s="1123"/>
      <c r="CJ303" s="1123"/>
      <c r="CK303" s="1123"/>
      <c r="CL303" s="1123"/>
      <c r="CM303" s="1123"/>
      <c r="CN303" s="1123"/>
      <c r="CO303" s="1123"/>
      <c r="CP303" s="1123"/>
      <c r="CQ303" s="1123"/>
      <c r="CR303" s="1123"/>
      <c r="CS303" s="1123"/>
      <c r="CT303" s="1123"/>
      <c r="CU303" s="1123"/>
      <c r="CV303" s="1123"/>
      <c r="CW303" s="1123"/>
      <c r="CX303" s="1123"/>
      <c r="CY303" s="1123"/>
      <c r="CZ303" s="1114"/>
      <c r="DA303" s="1114"/>
      <c r="DB303" s="1114"/>
      <c r="DC303" s="1114"/>
      <c r="DD303" s="1114"/>
      <c r="DE303" s="1114"/>
      <c r="DF303" s="1114"/>
      <c r="DG303" s="1114"/>
      <c r="DH303" s="1114"/>
      <c r="DI303" s="1114"/>
      <c r="DJ303" s="1114"/>
      <c r="DK303" s="1114"/>
      <c r="DL303" s="1114"/>
      <c r="DM303" s="1114"/>
      <c r="DN303" s="1114"/>
      <c r="DO303" s="1114"/>
      <c r="DP303" s="1114"/>
      <c r="DQ303" s="1114"/>
      <c r="DR303" s="1114"/>
      <c r="DS303" s="1114"/>
      <c r="DT303" s="1114"/>
      <c r="DU303" s="1114"/>
      <c r="DV303" s="1115"/>
      <c r="DW303" s="1116"/>
      <c r="DX303" s="1116"/>
      <c r="DY303" s="1116"/>
      <c r="DZ303" s="1116"/>
      <c r="EA303" s="1116"/>
      <c r="EB303" s="1116"/>
      <c r="EC303" s="1116"/>
      <c r="ED303" s="1116"/>
      <c r="EE303" s="1116"/>
      <c r="EF303" s="1116"/>
      <c r="EG303" s="1116"/>
      <c r="EH303" s="1116"/>
      <c r="EI303" s="1116"/>
      <c r="EJ303" s="1116"/>
      <c r="EK303" s="1116"/>
      <c r="EL303" s="1116"/>
      <c r="EM303" s="1116"/>
      <c r="EN303" s="1116"/>
      <c r="EO303" s="1116"/>
      <c r="EP303" s="1116"/>
      <c r="EQ303" s="1116"/>
      <c r="ER303" s="1116"/>
      <c r="ES303" s="1116"/>
    </row>
    <row r="304" spans="1:149" ht="15" customHeight="1">
      <c r="A304" s="1185">
        <v>289</v>
      </c>
      <c r="B304" s="1041"/>
      <c r="C304" s="1050"/>
      <c r="D304" s="1050"/>
      <c r="E304" s="1050"/>
      <c r="F304" s="1049"/>
      <c r="G304" s="1457"/>
      <c r="H304" s="1049"/>
      <c r="I304" s="1049"/>
      <c r="J304" s="1050"/>
      <c r="K304" s="1050"/>
      <c r="L304" s="1043"/>
      <c r="M304" s="1051"/>
      <c r="N304" s="1051"/>
      <c r="O304" s="1052"/>
      <c r="P304" s="1051"/>
      <c r="Q304" s="1051"/>
      <c r="R304" s="1052"/>
      <c r="S304" s="1051"/>
      <c r="T304" s="1051"/>
      <c r="U304" s="1052"/>
      <c r="V304" s="1051"/>
      <c r="W304" s="1051"/>
      <c r="X304" s="1052"/>
      <c r="Y304" s="1053"/>
      <c r="Z304" s="1051"/>
      <c r="AA304" s="1051"/>
      <c r="AB304" s="1052"/>
      <c r="AC304" s="1051"/>
      <c r="AD304" s="1051"/>
      <c r="AE304" s="1052"/>
      <c r="AF304" s="1051"/>
      <c r="AG304" s="1051"/>
      <c r="AH304" s="1051"/>
      <c r="AI304" s="1051"/>
      <c r="AJ304" s="1052"/>
      <c r="AK304" s="1051"/>
      <c r="AL304" s="1051"/>
      <c r="AM304" s="1052"/>
      <c r="AN304" s="1051"/>
      <c r="AO304" s="1051"/>
      <c r="AP304" s="1052"/>
      <c r="AQ304" s="1051"/>
      <c r="AR304" s="1051"/>
      <c r="AS304" s="1052"/>
      <c r="AT304" s="1051"/>
      <c r="AU304" s="1051"/>
      <c r="AV304" s="1052"/>
      <c r="AW304" s="1051"/>
      <c r="AX304" s="1051"/>
      <c r="AY304" s="1053"/>
      <c r="AZ304" s="1051"/>
      <c r="BA304" s="1051"/>
      <c r="BB304" s="1053"/>
      <c r="BC304" s="1051"/>
      <c r="BD304" s="1051"/>
      <c r="BE304" s="1053"/>
      <c r="BF304" s="1051"/>
      <c r="BG304" s="1051"/>
      <c r="BH304" s="1053"/>
      <c r="BI304" s="1052"/>
      <c r="BJ304" s="1052"/>
      <c r="BK304" s="1052"/>
      <c r="BL304" s="1052"/>
      <c r="BM304" s="1052"/>
      <c r="BN304" s="1054"/>
      <c r="BO304" s="1076">
        <f t="shared" si="15"/>
        <v>0</v>
      </c>
      <c r="BP304" s="1051"/>
      <c r="BQ304" s="1052"/>
      <c r="BR304" s="1054"/>
      <c r="BS304" s="1053"/>
      <c r="BT304" s="1051"/>
      <c r="BU304" s="1051"/>
      <c r="BV304" s="1051"/>
      <c r="BW304" s="1052"/>
      <c r="BX304" s="1052"/>
      <c r="BY304" s="1052"/>
      <c r="BZ304" s="1052"/>
      <c r="CA304" s="1052"/>
      <c r="CB304" s="1053"/>
      <c r="CC304" s="1053"/>
      <c r="CD304" s="1053"/>
      <c r="CE304" s="1053"/>
      <c r="CF304" s="1053"/>
      <c r="CG304" s="1053"/>
      <c r="CH304" s="1053"/>
      <c r="CI304" s="1123"/>
      <c r="CJ304" s="1123"/>
      <c r="CK304" s="1123"/>
      <c r="CL304" s="1123"/>
      <c r="CM304" s="1123"/>
      <c r="CN304" s="1123"/>
      <c r="CO304" s="1123"/>
      <c r="CP304" s="1123"/>
      <c r="CQ304" s="1123"/>
      <c r="CR304" s="1123"/>
      <c r="CS304" s="1123"/>
      <c r="CT304" s="1123"/>
      <c r="CU304" s="1123"/>
      <c r="CV304" s="1123"/>
      <c r="CW304" s="1123"/>
      <c r="CX304" s="1123"/>
      <c r="CY304" s="1123"/>
      <c r="CZ304" s="1114"/>
      <c r="DA304" s="1114"/>
      <c r="DB304" s="1114"/>
      <c r="DC304" s="1114"/>
      <c r="DD304" s="1114"/>
      <c r="DE304" s="1114"/>
      <c r="DF304" s="1114"/>
      <c r="DG304" s="1114"/>
      <c r="DH304" s="1114"/>
      <c r="DI304" s="1114"/>
      <c r="DJ304" s="1114"/>
      <c r="DK304" s="1114"/>
      <c r="DL304" s="1114"/>
      <c r="DM304" s="1114"/>
      <c r="DN304" s="1114"/>
      <c r="DO304" s="1114"/>
      <c r="DP304" s="1114"/>
      <c r="DQ304" s="1114"/>
      <c r="DR304" s="1114"/>
      <c r="DS304" s="1114"/>
      <c r="DT304" s="1114"/>
      <c r="DU304" s="1114"/>
      <c r="DV304" s="1115"/>
      <c r="DW304" s="1116"/>
      <c r="DX304" s="1116"/>
      <c r="DY304" s="1116"/>
      <c r="DZ304" s="1116"/>
      <c r="EA304" s="1116"/>
      <c r="EB304" s="1116"/>
      <c r="EC304" s="1116"/>
      <c r="ED304" s="1116"/>
      <c r="EE304" s="1116"/>
      <c r="EF304" s="1116"/>
      <c r="EG304" s="1116"/>
      <c r="EH304" s="1116"/>
      <c r="EI304" s="1116"/>
      <c r="EJ304" s="1116"/>
      <c r="EK304" s="1116"/>
      <c r="EL304" s="1116"/>
      <c r="EM304" s="1116"/>
      <c r="EN304" s="1116"/>
      <c r="EO304" s="1116"/>
      <c r="EP304" s="1116"/>
      <c r="EQ304" s="1116"/>
      <c r="ER304" s="1116"/>
      <c r="ES304" s="1116"/>
    </row>
    <row r="305" spans="1:149" ht="15" customHeight="1">
      <c r="A305" s="1185">
        <v>290</v>
      </c>
      <c r="B305" s="1041"/>
      <c r="C305" s="1050"/>
      <c r="D305" s="1050"/>
      <c r="E305" s="1050"/>
      <c r="F305" s="1049"/>
      <c r="G305" s="1457"/>
      <c r="H305" s="1049"/>
      <c r="I305" s="1049"/>
      <c r="J305" s="1050"/>
      <c r="K305" s="1050"/>
      <c r="L305" s="1043"/>
      <c r="M305" s="1051"/>
      <c r="N305" s="1051"/>
      <c r="O305" s="1052"/>
      <c r="P305" s="1051"/>
      <c r="Q305" s="1051"/>
      <c r="R305" s="1052"/>
      <c r="S305" s="1051"/>
      <c r="T305" s="1051"/>
      <c r="U305" s="1052"/>
      <c r="V305" s="1051"/>
      <c r="W305" s="1051"/>
      <c r="X305" s="1052"/>
      <c r="Y305" s="1053"/>
      <c r="Z305" s="1051"/>
      <c r="AA305" s="1051"/>
      <c r="AB305" s="1052"/>
      <c r="AC305" s="1051"/>
      <c r="AD305" s="1051"/>
      <c r="AE305" s="1052"/>
      <c r="AF305" s="1051"/>
      <c r="AG305" s="1051"/>
      <c r="AH305" s="1051"/>
      <c r="AI305" s="1051"/>
      <c r="AJ305" s="1052"/>
      <c r="AK305" s="1051"/>
      <c r="AL305" s="1051"/>
      <c r="AM305" s="1052"/>
      <c r="AN305" s="1051"/>
      <c r="AO305" s="1051"/>
      <c r="AP305" s="1052"/>
      <c r="AQ305" s="1051"/>
      <c r="AR305" s="1051"/>
      <c r="AS305" s="1052"/>
      <c r="AT305" s="1051"/>
      <c r="AU305" s="1051"/>
      <c r="AV305" s="1052"/>
      <c r="AW305" s="1051"/>
      <c r="AX305" s="1051"/>
      <c r="AY305" s="1053"/>
      <c r="AZ305" s="1051"/>
      <c r="BA305" s="1051"/>
      <c r="BB305" s="1053"/>
      <c r="BC305" s="1051"/>
      <c r="BD305" s="1051"/>
      <c r="BE305" s="1053"/>
      <c r="BF305" s="1051"/>
      <c r="BG305" s="1051"/>
      <c r="BH305" s="1053"/>
      <c r="BI305" s="1052"/>
      <c r="BJ305" s="1052"/>
      <c r="BK305" s="1052"/>
      <c r="BL305" s="1052"/>
      <c r="BM305" s="1052"/>
      <c r="BN305" s="1054"/>
      <c r="BO305" s="1076">
        <f t="shared" si="15"/>
        <v>0</v>
      </c>
      <c r="BP305" s="1051"/>
      <c r="BQ305" s="1052"/>
      <c r="BR305" s="1054"/>
      <c r="BS305" s="1053"/>
      <c r="BT305" s="1051"/>
      <c r="BU305" s="1051"/>
      <c r="BV305" s="1051"/>
      <c r="BW305" s="1052"/>
      <c r="BX305" s="1052"/>
      <c r="BY305" s="1052"/>
      <c r="BZ305" s="1052"/>
      <c r="CA305" s="1052"/>
      <c r="CB305" s="1053"/>
      <c r="CC305" s="1053"/>
      <c r="CD305" s="1053"/>
      <c r="CE305" s="1053"/>
      <c r="CF305" s="1053"/>
      <c r="CG305" s="1053"/>
      <c r="CH305" s="1053"/>
      <c r="CI305" s="1123"/>
      <c r="CJ305" s="1123"/>
      <c r="CK305" s="1123"/>
      <c r="CL305" s="1123"/>
      <c r="CM305" s="1123"/>
      <c r="CN305" s="1123"/>
      <c r="CO305" s="1123"/>
      <c r="CP305" s="1123"/>
      <c r="CQ305" s="1123"/>
      <c r="CR305" s="1123"/>
      <c r="CS305" s="1123"/>
      <c r="CT305" s="1123"/>
      <c r="CU305" s="1123"/>
      <c r="CV305" s="1123"/>
      <c r="CW305" s="1123"/>
      <c r="CX305" s="1123"/>
      <c r="CY305" s="1123"/>
      <c r="CZ305" s="1114"/>
      <c r="DA305" s="1114"/>
      <c r="DB305" s="1114"/>
      <c r="DC305" s="1114"/>
      <c r="DD305" s="1114"/>
      <c r="DE305" s="1114"/>
      <c r="DF305" s="1114"/>
      <c r="DG305" s="1114"/>
      <c r="DH305" s="1114"/>
      <c r="DI305" s="1114"/>
      <c r="DJ305" s="1114"/>
      <c r="DK305" s="1114"/>
      <c r="DL305" s="1114"/>
      <c r="DM305" s="1114"/>
      <c r="DN305" s="1114"/>
      <c r="DO305" s="1114"/>
      <c r="DP305" s="1114"/>
      <c r="DQ305" s="1114"/>
      <c r="DR305" s="1114"/>
      <c r="DS305" s="1114"/>
      <c r="DT305" s="1114"/>
      <c r="DU305" s="1114"/>
      <c r="DV305" s="1115"/>
      <c r="DW305" s="1116"/>
      <c r="DX305" s="1116"/>
      <c r="DY305" s="1116"/>
      <c r="DZ305" s="1116"/>
      <c r="EA305" s="1116"/>
      <c r="EB305" s="1116"/>
      <c r="EC305" s="1116"/>
      <c r="ED305" s="1116"/>
      <c r="EE305" s="1116"/>
      <c r="EF305" s="1116"/>
      <c r="EG305" s="1116"/>
      <c r="EH305" s="1116"/>
      <c r="EI305" s="1116"/>
      <c r="EJ305" s="1116"/>
      <c r="EK305" s="1116"/>
      <c r="EL305" s="1116"/>
      <c r="EM305" s="1116"/>
      <c r="EN305" s="1116"/>
      <c r="EO305" s="1116"/>
      <c r="EP305" s="1116"/>
      <c r="EQ305" s="1116"/>
      <c r="ER305" s="1116"/>
      <c r="ES305" s="1116"/>
    </row>
    <row r="306" spans="1:149" ht="15" customHeight="1">
      <c r="A306" s="1185">
        <v>291</v>
      </c>
      <c r="B306" s="1041"/>
      <c r="C306" s="1050"/>
      <c r="D306" s="1050"/>
      <c r="E306" s="1050"/>
      <c r="F306" s="1049"/>
      <c r="G306" s="1457"/>
      <c r="H306" s="1049"/>
      <c r="I306" s="1049"/>
      <c r="J306" s="1050"/>
      <c r="K306" s="1050"/>
      <c r="L306" s="1043"/>
      <c r="M306" s="1051"/>
      <c r="N306" s="1051"/>
      <c r="O306" s="1052"/>
      <c r="P306" s="1051"/>
      <c r="Q306" s="1051"/>
      <c r="R306" s="1052"/>
      <c r="S306" s="1051"/>
      <c r="T306" s="1051"/>
      <c r="U306" s="1052"/>
      <c r="V306" s="1051"/>
      <c r="W306" s="1051"/>
      <c r="X306" s="1052"/>
      <c r="Y306" s="1053"/>
      <c r="Z306" s="1051"/>
      <c r="AA306" s="1051"/>
      <c r="AB306" s="1052"/>
      <c r="AC306" s="1051"/>
      <c r="AD306" s="1051"/>
      <c r="AE306" s="1052"/>
      <c r="AF306" s="1051"/>
      <c r="AG306" s="1051"/>
      <c r="AH306" s="1051"/>
      <c r="AI306" s="1051"/>
      <c r="AJ306" s="1052"/>
      <c r="AK306" s="1051"/>
      <c r="AL306" s="1051"/>
      <c r="AM306" s="1052"/>
      <c r="AN306" s="1051"/>
      <c r="AO306" s="1051"/>
      <c r="AP306" s="1052"/>
      <c r="AQ306" s="1051"/>
      <c r="AR306" s="1051"/>
      <c r="AS306" s="1052"/>
      <c r="AT306" s="1051"/>
      <c r="AU306" s="1051"/>
      <c r="AV306" s="1052"/>
      <c r="AW306" s="1051"/>
      <c r="AX306" s="1051"/>
      <c r="AY306" s="1053"/>
      <c r="AZ306" s="1051"/>
      <c r="BA306" s="1051"/>
      <c r="BB306" s="1053"/>
      <c r="BC306" s="1051"/>
      <c r="BD306" s="1051"/>
      <c r="BE306" s="1053"/>
      <c r="BF306" s="1051"/>
      <c r="BG306" s="1051"/>
      <c r="BH306" s="1053"/>
      <c r="BI306" s="1052"/>
      <c r="BJ306" s="1052"/>
      <c r="BK306" s="1052"/>
      <c r="BL306" s="1052"/>
      <c r="BM306" s="1052"/>
      <c r="BN306" s="1054"/>
      <c r="BO306" s="1076">
        <f t="shared" si="15"/>
        <v>0</v>
      </c>
      <c r="BP306" s="1051"/>
      <c r="BQ306" s="1052"/>
      <c r="BR306" s="1054"/>
      <c r="BS306" s="1053"/>
      <c r="BT306" s="1051"/>
      <c r="BU306" s="1051"/>
      <c r="BV306" s="1051"/>
      <c r="BW306" s="1052"/>
      <c r="BX306" s="1052"/>
      <c r="BY306" s="1052"/>
      <c r="BZ306" s="1052"/>
      <c r="CA306" s="1052"/>
      <c r="CB306" s="1053"/>
      <c r="CC306" s="1053"/>
      <c r="CD306" s="1053"/>
      <c r="CE306" s="1053"/>
      <c r="CF306" s="1053"/>
      <c r="CG306" s="1053"/>
      <c r="CH306" s="1053"/>
      <c r="CI306" s="1123"/>
      <c r="CJ306" s="1123"/>
      <c r="CK306" s="1123"/>
      <c r="CL306" s="1123"/>
      <c r="CM306" s="1123"/>
      <c r="CN306" s="1123"/>
      <c r="CO306" s="1123"/>
      <c r="CP306" s="1123"/>
      <c r="CQ306" s="1123"/>
      <c r="CR306" s="1123"/>
      <c r="CS306" s="1123"/>
      <c r="CT306" s="1123"/>
      <c r="CU306" s="1123"/>
      <c r="CV306" s="1123"/>
      <c r="CW306" s="1123"/>
      <c r="CX306" s="1123"/>
      <c r="CY306" s="1123"/>
      <c r="CZ306" s="1114"/>
      <c r="DA306" s="1114"/>
      <c r="DB306" s="1114"/>
      <c r="DC306" s="1114"/>
      <c r="DD306" s="1114"/>
      <c r="DE306" s="1114"/>
      <c r="DF306" s="1114"/>
      <c r="DG306" s="1114"/>
      <c r="DH306" s="1114"/>
      <c r="DI306" s="1114"/>
      <c r="DJ306" s="1114"/>
      <c r="DK306" s="1114"/>
      <c r="DL306" s="1114"/>
      <c r="DM306" s="1114"/>
      <c r="DN306" s="1114"/>
      <c r="DO306" s="1114"/>
      <c r="DP306" s="1114"/>
      <c r="DQ306" s="1114"/>
      <c r="DR306" s="1114"/>
      <c r="DS306" s="1114"/>
      <c r="DT306" s="1114"/>
      <c r="DU306" s="1114"/>
      <c r="DV306" s="1115"/>
      <c r="DW306" s="1116"/>
      <c r="DX306" s="1116"/>
      <c r="DY306" s="1116"/>
      <c r="DZ306" s="1116"/>
      <c r="EA306" s="1116"/>
      <c r="EB306" s="1116"/>
      <c r="EC306" s="1116"/>
      <c r="ED306" s="1116"/>
      <c r="EE306" s="1116"/>
      <c r="EF306" s="1116"/>
      <c r="EG306" s="1116"/>
      <c r="EH306" s="1116"/>
      <c r="EI306" s="1116"/>
      <c r="EJ306" s="1116"/>
      <c r="EK306" s="1116"/>
      <c r="EL306" s="1116"/>
      <c r="EM306" s="1116"/>
      <c r="EN306" s="1116"/>
      <c r="EO306" s="1116"/>
      <c r="EP306" s="1116"/>
      <c r="EQ306" s="1116"/>
      <c r="ER306" s="1116"/>
      <c r="ES306" s="1116"/>
    </row>
    <row r="307" spans="1:149" ht="15" customHeight="1">
      <c r="A307" s="1185">
        <v>292</v>
      </c>
      <c r="B307" s="1041"/>
      <c r="C307" s="1050"/>
      <c r="D307" s="1050"/>
      <c r="E307" s="1050"/>
      <c r="F307" s="1049"/>
      <c r="G307" s="1457"/>
      <c r="H307" s="1049"/>
      <c r="I307" s="1049"/>
      <c r="J307" s="1050"/>
      <c r="K307" s="1050"/>
      <c r="L307" s="1043"/>
      <c r="M307" s="1051"/>
      <c r="N307" s="1051"/>
      <c r="O307" s="1052"/>
      <c r="P307" s="1051"/>
      <c r="Q307" s="1051"/>
      <c r="R307" s="1052"/>
      <c r="S307" s="1051"/>
      <c r="T307" s="1051"/>
      <c r="U307" s="1052"/>
      <c r="V307" s="1051"/>
      <c r="W307" s="1051"/>
      <c r="X307" s="1052"/>
      <c r="Y307" s="1053"/>
      <c r="Z307" s="1051"/>
      <c r="AA307" s="1051"/>
      <c r="AB307" s="1052"/>
      <c r="AC307" s="1051"/>
      <c r="AD307" s="1051"/>
      <c r="AE307" s="1052"/>
      <c r="AF307" s="1051"/>
      <c r="AG307" s="1051"/>
      <c r="AH307" s="1051"/>
      <c r="AI307" s="1051"/>
      <c r="AJ307" s="1052"/>
      <c r="AK307" s="1051"/>
      <c r="AL307" s="1051"/>
      <c r="AM307" s="1052"/>
      <c r="AN307" s="1051"/>
      <c r="AO307" s="1051"/>
      <c r="AP307" s="1052"/>
      <c r="AQ307" s="1051"/>
      <c r="AR307" s="1051"/>
      <c r="AS307" s="1052"/>
      <c r="AT307" s="1051"/>
      <c r="AU307" s="1051"/>
      <c r="AV307" s="1052"/>
      <c r="AW307" s="1051"/>
      <c r="AX307" s="1051"/>
      <c r="AY307" s="1053"/>
      <c r="AZ307" s="1051"/>
      <c r="BA307" s="1051"/>
      <c r="BB307" s="1053"/>
      <c r="BC307" s="1051"/>
      <c r="BD307" s="1051"/>
      <c r="BE307" s="1053"/>
      <c r="BF307" s="1051"/>
      <c r="BG307" s="1051"/>
      <c r="BH307" s="1053"/>
      <c r="BI307" s="1052"/>
      <c r="BJ307" s="1052"/>
      <c r="BK307" s="1052"/>
      <c r="BL307" s="1052"/>
      <c r="BM307" s="1052"/>
      <c r="BN307" s="1054"/>
      <c r="BO307" s="1076">
        <f t="shared" si="15"/>
        <v>0</v>
      </c>
      <c r="BP307" s="1051"/>
      <c r="BQ307" s="1052"/>
      <c r="BR307" s="1054"/>
      <c r="BS307" s="1053"/>
      <c r="BT307" s="1051"/>
      <c r="BU307" s="1051"/>
      <c r="BV307" s="1051"/>
      <c r="BW307" s="1052"/>
      <c r="BX307" s="1052"/>
      <c r="BY307" s="1052"/>
      <c r="BZ307" s="1052"/>
      <c r="CA307" s="1052"/>
      <c r="CB307" s="1053"/>
      <c r="CC307" s="1053"/>
      <c r="CD307" s="1053"/>
      <c r="CE307" s="1053"/>
      <c r="CF307" s="1053"/>
      <c r="CG307" s="1053"/>
      <c r="CH307" s="1053"/>
      <c r="CI307" s="1123"/>
      <c r="CJ307" s="1123"/>
      <c r="CK307" s="1123"/>
      <c r="CL307" s="1123"/>
      <c r="CM307" s="1123"/>
      <c r="CN307" s="1123"/>
      <c r="CO307" s="1123"/>
      <c r="CP307" s="1123"/>
      <c r="CQ307" s="1123"/>
      <c r="CR307" s="1123"/>
      <c r="CS307" s="1123"/>
      <c r="CT307" s="1123"/>
      <c r="CU307" s="1123"/>
      <c r="CV307" s="1123"/>
      <c r="CW307" s="1123"/>
      <c r="CX307" s="1123"/>
      <c r="CY307" s="1123"/>
      <c r="CZ307" s="1114"/>
      <c r="DA307" s="1114"/>
      <c r="DB307" s="1114"/>
      <c r="DC307" s="1114"/>
      <c r="DD307" s="1114"/>
      <c r="DE307" s="1114"/>
      <c r="DF307" s="1114"/>
      <c r="DG307" s="1114"/>
      <c r="DH307" s="1114"/>
      <c r="DI307" s="1114"/>
      <c r="DJ307" s="1114"/>
      <c r="DK307" s="1114"/>
      <c r="DL307" s="1114"/>
      <c r="DM307" s="1114"/>
      <c r="DN307" s="1114"/>
      <c r="DO307" s="1114"/>
      <c r="DP307" s="1114"/>
      <c r="DQ307" s="1114"/>
      <c r="DR307" s="1114"/>
      <c r="DS307" s="1114"/>
      <c r="DT307" s="1114"/>
      <c r="DU307" s="1114"/>
      <c r="DV307" s="1115"/>
      <c r="DW307" s="1116"/>
      <c r="DX307" s="1116"/>
      <c r="DY307" s="1116"/>
      <c r="DZ307" s="1116"/>
      <c r="EA307" s="1116"/>
      <c r="EB307" s="1116"/>
      <c r="EC307" s="1116"/>
      <c r="ED307" s="1116"/>
      <c r="EE307" s="1116"/>
      <c r="EF307" s="1116"/>
      <c r="EG307" s="1116"/>
      <c r="EH307" s="1116"/>
      <c r="EI307" s="1116"/>
      <c r="EJ307" s="1116"/>
      <c r="EK307" s="1116"/>
      <c r="EL307" s="1116"/>
      <c r="EM307" s="1116"/>
      <c r="EN307" s="1116"/>
      <c r="EO307" s="1116"/>
      <c r="EP307" s="1116"/>
      <c r="EQ307" s="1116"/>
      <c r="ER307" s="1116"/>
      <c r="ES307" s="1116"/>
    </row>
    <row r="308" spans="1:149" ht="15" customHeight="1">
      <c r="A308" s="1185">
        <v>293</v>
      </c>
      <c r="B308" s="1041"/>
      <c r="C308" s="1050"/>
      <c r="D308" s="1050"/>
      <c r="E308" s="1050"/>
      <c r="F308" s="1049"/>
      <c r="G308" s="1457"/>
      <c r="H308" s="1049"/>
      <c r="I308" s="1049"/>
      <c r="J308" s="1050"/>
      <c r="K308" s="1050"/>
      <c r="L308" s="1043"/>
      <c r="M308" s="1051"/>
      <c r="N308" s="1051"/>
      <c r="O308" s="1052"/>
      <c r="P308" s="1051"/>
      <c r="Q308" s="1051"/>
      <c r="R308" s="1052"/>
      <c r="S308" s="1051"/>
      <c r="T308" s="1051"/>
      <c r="U308" s="1052"/>
      <c r="V308" s="1051"/>
      <c r="W308" s="1051"/>
      <c r="X308" s="1052"/>
      <c r="Y308" s="1053"/>
      <c r="Z308" s="1051"/>
      <c r="AA308" s="1051"/>
      <c r="AB308" s="1052"/>
      <c r="AC308" s="1051"/>
      <c r="AD308" s="1051"/>
      <c r="AE308" s="1052"/>
      <c r="AF308" s="1051"/>
      <c r="AG308" s="1051"/>
      <c r="AH308" s="1051"/>
      <c r="AI308" s="1051"/>
      <c r="AJ308" s="1052"/>
      <c r="AK308" s="1051"/>
      <c r="AL308" s="1051"/>
      <c r="AM308" s="1052"/>
      <c r="AN308" s="1051"/>
      <c r="AO308" s="1051"/>
      <c r="AP308" s="1052"/>
      <c r="AQ308" s="1051"/>
      <c r="AR308" s="1051"/>
      <c r="AS308" s="1052"/>
      <c r="AT308" s="1051"/>
      <c r="AU308" s="1051"/>
      <c r="AV308" s="1052"/>
      <c r="AW308" s="1051"/>
      <c r="AX308" s="1051"/>
      <c r="AY308" s="1053"/>
      <c r="AZ308" s="1051"/>
      <c r="BA308" s="1051"/>
      <c r="BB308" s="1053"/>
      <c r="BC308" s="1051"/>
      <c r="BD308" s="1051"/>
      <c r="BE308" s="1053"/>
      <c r="BF308" s="1051"/>
      <c r="BG308" s="1051"/>
      <c r="BH308" s="1053"/>
      <c r="BI308" s="1052"/>
      <c r="BJ308" s="1052"/>
      <c r="BK308" s="1052"/>
      <c r="BL308" s="1052"/>
      <c r="BM308" s="1052"/>
      <c r="BN308" s="1054"/>
      <c r="BO308" s="1076">
        <f t="shared" si="15"/>
        <v>0</v>
      </c>
      <c r="BP308" s="1051"/>
      <c r="BQ308" s="1052"/>
      <c r="BR308" s="1054"/>
      <c r="BS308" s="1053"/>
      <c r="BT308" s="1051"/>
      <c r="BU308" s="1051"/>
      <c r="BV308" s="1051"/>
      <c r="BW308" s="1052"/>
      <c r="BX308" s="1052"/>
      <c r="BY308" s="1052"/>
      <c r="BZ308" s="1052"/>
      <c r="CA308" s="1052"/>
      <c r="CB308" s="1053"/>
      <c r="CC308" s="1053"/>
      <c r="CD308" s="1053"/>
      <c r="CE308" s="1053"/>
      <c r="CF308" s="1053"/>
      <c r="CG308" s="1053"/>
      <c r="CH308" s="1053"/>
      <c r="CI308" s="1123"/>
      <c r="CJ308" s="1123"/>
      <c r="CK308" s="1123"/>
      <c r="CL308" s="1123"/>
      <c r="CM308" s="1123"/>
      <c r="CN308" s="1123"/>
      <c r="CO308" s="1123"/>
      <c r="CP308" s="1123"/>
      <c r="CQ308" s="1123"/>
      <c r="CR308" s="1123"/>
      <c r="CS308" s="1123"/>
      <c r="CT308" s="1123"/>
      <c r="CU308" s="1123"/>
      <c r="CV308" s="1123"/>
      <c r="CW308" s="1123"/>
      <c r="CX308" s="1123"/>
      <c r="CY308" s="1123"/>
      <c r="CZ308" s="1114"/>
      <c r="DA308" s="1114"/>
      <c r="DB308" s="1114"/>
      <c r="DC308" s="1114"/>
      <c r="DD308" s="1114"/>
      <c r="DE308" s="1114"/>
      <c r="DF308" s="1114"/>
      <c r="DG308" s="1114"/>
      <c r="DH308" s="1114"/>
      <c r="DI308" s="1114"/>
      <c r="DJ308" s="1114"/>
      <c r="DK308" s="1114"/>
      <c r="DL308" s="1114"/>
      <c r="DM308" s="1114"/>
      <c r="DN308" s="1114"/>
      <c r="DO308" s="1114"/>
      <c r="DP308" s="1114"/>
      <c r="DQ308" s="1114"/>
      <c r="DR308" s="1114"/>
      <c r="DS308" s="1114"/>
      <c r="DT308" s="1114"/>
      <c r="DU308" s="1114"/>
      <c r="DV308" s="1115"/>
      <c r="DW308" s="1116"/>
      <c r="DX308" s="1116"/>
      <c r="DY308" s="1116"/>
      <c r="DZ308" s="1116"/>
      <c r="EA308" s="1116"/>
      <c r="EB308" s="1116"/>
      <c r="EC308" s="1116"/>
      <c r="ED308" s="1116"/>
      <c r="EE308" s="1116"/>
      <c r="EF308" s="1116"/>
      <c r="EG308" s="1116"/>
      <c r="EH308" s="1116"/>
      <c r="EI308" s="1116"/>
      <c r="EJ308" s="1116"/>
      <c r="EK308" s="1116"/>
      <c r="EL308" s="1116"/>
      <c r="EM308" s="1116"/>
      <c r="EN308" s="1116"/>
      <c r="EO308" s="1116"/>
      <c r="EP308" s="1116"/>
      <c r="EQ308" s="1116"/>
      <c r="ER308" s="1116"/>
      <c r="ES308" s="1116"/>
    </row>
    <row r="309" spans="1:149" ht="15" customHeight="1">
      <c r="A309" s="1185">
        <v>294</v>
      </c>
      <c r="B309" s="1041"/>
      <c r="C309" s="1050"/>
      <c r="D309" s="1050"/>
      <c r="E309" s="1050"/>
      <c r="F309" s="1049"/>
      <c r="G309" s="1457"/>
      <c r="H309" s="1049"/>
      <c r="I309" s="1049"/>
      <c r="J309" s="1050"/>
      <c r="K309" s="1050"/>
      <c r="L309" s="1043"/>
      <c r="M309" s="1051"/>
      <c r="N309" s="1051"/>
      <c r="O309" s="1052"/>
      <c r="P309" s="1051"/>
      <c r="Q309" s="1051"/>
      <c r="R309" s="1052"/>
      <c r="S309" s="1051"/>
      <c r="T309" s="1051"/>
      <c r="U309" s="1052"/>
      <c r="V309" s="1051"/>
      <c r="W309" s="1051"/>
      <c r="X309" s="1052"/>
      <c r="Y309" s="1053"/>
      <c r="Z309" s="1051"/>
      <c r="AA309" s="1051"/>
      <c r="AB309" s="1052"/>
      <c r="AC309" s="1051"/>
      <c r="AD309" s="1051"/>
      <c r="AE309" s="1052"/>
      <c r="AF309" s="1051"/>
      <c r="AG309" s="1051"/>
      <c r="AH309" s="1051"/>
      <c r="AI309" s="1051"/>
      <c r="AJ309" s="1052"/>
      <c r="AK309" s="1051"/>
      <c r="AL309" s="1051"/>
      <c r="AM309" s="1052"/>
      <c r="AN309" s="1051"/>
      <c r="AO309" s="1051"/>
      <c r="AP309" s="1052"/>
      <c r="AQ309" s="1051"/>
      <c r="AR309" s="1051"/>
      <c r="AS309" s="1052"/>
      <c r="AT309" s="1051"/>
      <c r="AU309" s="1051"/>
      <c r="AV309" s="1052"/>
      <c r="AW309" s="1051"/>
      <c r="AX309" s="1051"/>
      <c r="AY309" s="1053"/>
      <c r="AZ309" s="1051"/>
      <c r="BA309" s="1051"/>
      <c r="BB309" s="1053"/>
      <c r="BC309" s="1051"/>
      <c r="BD309" s="1051"/>
      <c r="BE309" s="1053"/>
      <c r="BF309" s="1051"/>
      <c r="BG309" s="1051"/>
      <c r="BH309" s="1053"/>
      <c r="BI309" s="1052"/>
      <c r="BJ309" s="1052"/>
      <c r="BK309" s="1052"/>
      <c r="BL309" s="1052"/>
      <c r="BM309" s="1052"/>
      <c r="BN309" s="1054"/>
      <c r="BO309" s="1076">
        <f t="shared" si="15"/>
        <v>0</v>
      </c>
      <c r="BP309" s="1051"/>
      <c r="BQ309" s="1052"/>
      <c r="BR309" s="1054"/>
      <c r="BS309" s="1053"/>
      <c r="BT309" s="1051"/>
      <c r="BU309" s="1051"/>
      <c r="BV309" s="1051"/>
      <c r="BW309" s="1052"/>
      <c r="BX309" s="1052"/>
      <c r="BY309" s="1052"/>
      <c r="BZ309" s="1052"/>
      <c r="CA309" s="1052"/>
      <c r="CB309" s="1053"/>
      <c r="CC309" s="1053"/>
      <c r="CD309" s="1053"/>
      <c r="CE309" s="1053"/>
      <c r="CF309" s="1053"/>
      <c r="CG309" s="1053"/>
      <c r="CH309" s="1053"/>
      <c r="CI309" s="1123"/>
      <c r="CJ309" s="1123"/>
      <c r="CK309" s="1123"/>
      <c r="CL309" s="1123"/>
      <c r="CM309" s="1123"/>
      <c r="CN309" s="1123"/>
      <c r="CO309" s="1123"/>
      <c r="CP309" s="1123"/>
      <c r="CQ309" s="1123"/>
      <c r="CR309" s="1123"/>
      <c r="CS309" s="1123"/>
      <c r="CT309" s="1123"/>
      <c r="CU309" s="1123"/>
      <c r="CV309" s="1123"/>
      <c r="CW309" s="1123"/>
      <c r="CX309" s="1123"/>
      <c r="CY309" s="1123"/>
      <c r="CZ309" s="1114"/>
      <c r="DA309" s="1114"/>
      <c r="DB309" s="1114"/>
      <c r="DC309" s="1114"/>
      <c r="DD309" s="1114"/>
      <c r="DE309" s="1114"/>
      <c r="DF309" s="1114"/>
      <c r="DG309" s="1114"/>
      <c r="DH309" s="1114"/>
      <c r="DI309" s="1114"/>
      <c r="DJ309" s="1114"/>
      <c r="DK309" s="1114"/>
      <c r="DL309" s="1114"/>
      <c r="DM309" s="1114"/>
      <c r="DN309" s="1114"/>
      <c r="DO309" s="1114"/>
      <c r="DP309" s="1114"/>
      <c r="DQ309" s="1114"/>
      <c r="DR309" s="1114"/>
      <c r="DS309" s="1114"/>
      <c r="DT309" s="1114"/>
      <c r="DU309" s="1114"/>
      <c r="DV309" s="1115"/>
      <c r="DW309" s="1116"/>
      <c r="DX309" s="1116"/>
      <c r="DY309" s="1116"/>
      <c r="DZ309" s="1116"/>
      <c r="EA309" s="1116"/>
      <c r="EB309" s="1116"/>
      <c r="EC309" s="1116"/>
      <c r="ED309" s="1116"/>
      <c r="EE309" s="1116"/>
      <c r="EF309" s="1116"/>
      <c r="EG309" s="1116"/>
      <c r="EH309" s="1116"/>
      <c r="EI309" s="1116"/>
      <c r="EJ309" s="1116"/>
      <c r="EK309" s="1116"/>
      <c r="EL309" s="1116"/>
      <c r="EM309" s="1116"/>
      <c r="EN309" s="1116"/>
      <c r="EO309" s="1116"/>
      <c r="EP309" s="1116"/>
      <c r="EQ309" s="1116"/>
      <c r="ER309" s="1116"/>
      <c r="ES309" s="1116"/>
    </row>
    <row r="310" spans="1:149" ht="15" customHeight="1">
      <c r="A310" s="1185">
        <v>295</v>
      </c>
      <c r="B310" s="1041"/>
      <c r="C310" s="1050"/>
      <c r="D310" s="1050"/>
      <c r="E310" s="1050"/>
      <c r="F310" s="1049"/>
      <c r="G310" s="1457"/>
      <c r="H310" s="1049"/>
      <c r="I310" s="1049"/>
      <c r="J310" s="1050"/>
      <c r="K310" s="1050"/>
      <c r="L310" s="1043"/>
      <c r="M310" s="1051"/>
      <c r="N310" s="1051"/>
      <c r="O310" s="1052"/>
      <c r="P310" s="1051"/>
      <c r="Q310" s="1051"/>
      <c r="R310" s="1052"/>
      <c r="S310" s="1051"/>
      <c r="T310" s="1051"/>
      <c r="U310" s="1052"/>
      <c r="V310" s="1051"/>
      <c r="W310" s="1051"/>
      <c r="X310" s="1052"/>
      <c r="Y310" s="1053"/>
      <c r="Z310" s="1051"/>
      <c r="AA310" s="1051"/>
      <c r="AB310" s="1052"/>
      <c r="AC310" s="1051"/>
      <c r="AD310" s="1051"/>
      <c r="AE310" s="1052"/>
      <c r="AF310" s="1051"/>
      <c r="AG310" s="1051"/>
      <c r="AH310" s="1051"/>
      <c r="AI310" s="1051"/>
      <c r="AJ310" s="1052"/>
      <c r="AK310" s="1051"/>
      <c r="AL310" s="1051"/>
      <c r="AM310" s="1052"/>
      <c r="AN310" s="1051"/>
      <c r="AO310" s="1051"/>
      <c r="AP310" s="1052"/>
      <c r="AQ310" s="1051"/>
      <c r="AR310" s="1051"/>
      <c r="AS310" s="1052"/>
      <c r="AT310" s="1051"/>
      <c r="AU310" s="1051"/>
      <c r="AV310" s="1052"/>
      <c r="AW310" s="1051"/>
      <c r="AX310" s="1051"/>
      <c r="AY310" s="1053"/>
      <c r="AZ310" s="1051"/>
      <c r="BA310" s="1051"/>
      <c r="BB310" s="1053"/>
      <c r="BC310" s="1051"/>
      <c r="BD310" s="1051"/>
      <c r="BE310" s="1053"/>
      <c r="BF310" s="1051"/>
      <c r="BG310" s="1051"/>
      <c r="BH310" s="1053"/>
      <c r="BI310" s="1052"/>
      <c r="BJ310" s="1052"/>
      <c r="BK310" s="1052"/>
      <c r="BL310" s="1052"/>
      <c r="BM310" s="1052"/>
      <c r="BN310" s="1054"/>
      <c r="BO310" s="1076">
        <f t="shared" si="15"/>
        <v>0</v>
      </c>
      <c r="BP310" s="1051"/>
      <c r="BQ310" s="1052"/>
      <c r="BR310" s="1054"/>
      <c r="BS310" s="1053"/>
      <c r="BT310" s="1051"/>
      <c r="BU310" s="1051"/>
      <c r="BV310" s="1051"/>
      <c r="BW310" s="1052"/>
      <c r="BX310" s="1052"/>
      <c r="BY310" s="1052"/>
      <c r="BZ310" s="1052"/>
      <c r="CA310" s="1052"/>
      <c r="CB310" s="1053"/>
      <c r="CC310" s="1053"/>
      <c r="CD310" s="1053"/>
      <c r="CE310" s="1053"/>
      <c r="CF310" s="1053"/>
      <c r="CG310" s="1053"/>
      <c r="CH310" s="1053"/>
      <c r="CI310" s="1123"/>
      <c r="CJ310" s="1123"/>
      <c r="CK310" s="1123"/>
      <c r="CL310" s="1123"/>
      <c r="CM310" s="1123"/>
      <c r="CN310" s="1123"/>
      <c r="CO310" s="1123"/>
      <c r="CP310" s="1123"/>
      <c r="CQ310" s="1123"/>
      <c r="CR310" s="1123"/>
      <c r="CS310" s="1123"/>
      <c r="CT310" s="1123"/>
      <c r="CU310" s="1123"/>
      <c r="CV310" s="1123"/>
      <c r="CW310" s="1123"/>
      <c r="CX310" s="1123"/>
      <c r="CY310" s="1123"/>
      <c r="CZ310" s="1114"/>
      <c r="DA310" s="1114"/>
      <c r="DB310" s="1114"/>
      <c r="DC310" s="1114"/>
      <c r="DD310" s="1114"/>
      <c r="DE310" s="1114"/>
      <c r="DF310" s="1114"/>
      <c r="DG310" s="1114"/>
      <c r="DH310" s="1114"/>
      <c r="DI310" s="1114"/>
      <c r="DJ310" s="1114"/>
      <c r="DK310" s="1114"/>
      <c r="DL310" s="1114"/>
      <c r="DM310" s="1114"/>
      <c r="DN310" s="1114"/>
      <c r="DO310" s="1114"/>
      <c r="DP310" s="1114"/>
      <c r="DQ310" s="1114"/>
      <c r="DR310" s="1114"/>
      <c r="DS310" s="1114"/>
      <c r="DT310" s="1114"/>
      <c r="DU310" s="1114"/>
      <c r="DV310" s="1115"/>
      <c r="DW310" s="1116"/>
      <c r="DX310" s="1116"/>
      <c r="DY310" s="1116"/>
      <c r="DZ310" s="1116"/>
      <c r="EA310" s="1116"/>
      <c r="EB310" s="1116"/>
      <c r="EC310" s="1116"/>
      <c r="ED310" s="1116"/>
      <c r="EE310" s="1116"/>
      <c r="EF310" s="1116"/>
      <c r="EG310" s="1116"/>
      <c r="EH310" s="1116"/>
      <c r="EI310" s="1116"/>
      <c r="EJ310" s="1116"/>
      <c r="EK310" s="1116"/>
      <c r="EL310" s="1116"/>
      <c r="EM310" s="1116"/>
      <c r="EN310" s="1116"/>
      <c r="EO310" s="1116"/>
      <c r="EP310" s="1116"/>
      <c r="EQ310" s="1116"/>
      <c r="ER310" s="1116"/>
      <c r="ES310" s="1116"/>
    </row>
    <row r="311" spans="1:149" ht="15" customHeight="1">
      <c r="A311" s="1185">
        <v>296</v>
      </c>
      <c r="B311" s="1041"/>
      <c r="C311" s="1050"/>
      <c r="D311" s="1050"/>
      <c r="E311" s="1050"/>
      <c r="F311" s="1049"/>
      <c r="G311" s="1457"/>
      <c r="H311" s="1049"/>
      <c r="I311" s="1049"/>
      <c r="J311" s="1050"/>
      <c r="K311" s="1050"/>
      <c r="L311" s="1043"/>
      <c r="M311" s="1051"/>
      <c r="N311" s="1051"/>
      <c r="O311" s="1052"/>
      <c r="P311" s="1051"/>
      <c r="Q311" s="1051"/>
      <c r="R311" s="1052"/>
      <c r="S311" s="1051"/>
      <c r="T311" s="1051"/>
      <c r="U311" s="1052"/>
      <c r="V311" s="1051"/>
      <c r="W311" s="1051"/>
      <c r="X311" s="1052"/>
      <c r="Y311" s="1053"/>
      <c r="Z311" s="1051"/>
      <c r="AA311" s="1051"/>
      <c r="AB311" s="1052"/>
      <c r="AC311" s="1051"/>
      <c r="AD311" s="1051"/>
      <c r="AE311" s="1052"/>
      <c r="AF311" s="1051"/>
      <c r="AG311" s="1051"/>
      <c r="AH311" s="1051"/>
      <c r="AI311" s="1051"/>
      <c r="AJ311" s="1052"/>
      <c r="AK311" s="1051"/>
      <c r="AL311" s="1051"/>
      <c r="AM311" s="1052"/>
      <c r="AN311" s="1051"/>
      <c r="AO311" s="1051"/>
      <c r="AP311" s="1052"/>
      <c r="AQ311" s="1051"/>
      <c r="AR311" s="1051"/>
      <c r="AS311" s="1052"/>
      <c r="AT311" s="1051"/>
      <c r="AU311" s="1051"/>
      <c r="AV311" s="1052"/>
      <c r="AW311" s="1051"/>
      <c r="AX311" s="1051"/>
      <c r="AY311" s="1053"/>
      <c r="AZ311" s="1051"/>
      <c r="BA311" s="1051"/>
      <c r="BB311" s="1053"/>
      <c r="BC311" s="1051"/>
      <c r="BD311" s="1051"/>
      <c r="BE311" s="1053"/>
      <c r="BF311" s="1051"/>
      <c r="BG311" s="1051"/>
      <c r="BH311" s="1053"/>
      <c r="BI311" s="1052"/>
      <c r="BJ311" s="1052"/>
      <c r="BK311" s="1052"/>
      <c r="BL311" s="1052"/>
      <c r="BM311" s="1052"/>
      <c r="BN311" s="1054"/>
      <c r="BO311" s="1076">
        <f t="shared" si="15"/>
        <v>0</v>
      </c>
      <c r="BP311" s="1051"/>
      <c r="BQ311" s="1052"/>
      <c r="BR311" s="1054"/>
      <c r="BS311" s="1053"/>
      <c r="BT311" s="1051"/>
      <c r="BU311" s="1051"/>
      <c r="BV311" s="1051"/>
      <c r="BW311" s="1052"/>
      <c r="BX311" s="1052"/>
      <c r="BY311" s="1052"/>
      <c r="BZ311" s="1052"/>
      <c r="CA311" s="1052"/>
      <c r="CB311" s="1053"/>
      <c r="CC311" s="1053"/>
      <c r="CD311" s="1053"/>
      <c r="CE311" s="1053"/>
      <c r="CF311" s="1053"/>
      <c r="CG311" s="1053"/>
      <c r="CH311" s="1053"/>
      <c r="CI311" s="1123"/>
      <c r="CJ311" s="1123"/>
      <c r="CK311" s="1123"/>
      <c r="CL311" s="1123"/>
      <c r="CM311" s="1123"/>
      <c r="CN311" s="1123"/>
      <c r="CO311" s="1123"/>
      <c r="CP311" s="1123"/>
      <c r="CQ311" s="1123"/>
      <c r="CR311" s="1123"/>
      <c r="CS311" s="1123"/>
      <c r="CT311" s="1123"/>
      <c r="CU311" s="1123"/>
      <c r="CV311" s="1123"/>
      <c r="CW311" s="1123"/>
      <c r="CX311" s="1123"/>
      <c r="CY311" s="1123"/>
      <c r="CZ311" s="1114"/>
      <c r="DA311" s="1114"/>
      <c r="DB311" s="1114"/>
      <c r="DC311" s="1114"/>
      <c r="DD311" s="1114"/>
      <c r="DE311" s="1114"/>
      <c r="DF311" s="1114"/>
      <c r="DG311" s="1114"/>
      <c r="DH311" s="1114"/>
      <c r="DI311" s="1114"/>
      <c r="DJ311" s="1114"/>
      <c r="DK311" s="1114"/>
      <c r="DL311" s="1114"/>
      <c r="DM311" s="1114"/>
      <c r="DN311" s="1114"/>
      <c r="DO311" s="1114"/>
      <c r="DP311" s="1114"/>
      <c r="DQ311" s="1114"/>
      <c r="DR311" s="1114"/>
      <c r="DS311" s="1114"/>
      <c r="DT311" s="1114"/>
      <c r="DU311" s="1114"/>
      <c r="DV311" s="1115"/>
      <c r="DW311" s="1116"/>
      <c r="DX311" s="1116"/>
      <c r="DY311" s="1116"/>
      <c r="DZ311" s="1116"/>
      <c r="EA311" s="1116"/>
      <c r="EB311" s="1116"/>
      <c r="EC311" s="1116"/>
      <c r="ED311" s="1116"/>
      <c r="EE311" s="1116"/>
      <c r="EF311" s="1116"/>
      <c r="EG311" s="1116"/>
      <c r="EH311" s="1116"/>
      <c r="EI311" s="1116"/>
      <c r="EJ311" s="1116"/>
      <c r="EK311" s="1116"/>
      <c r="EL311" s="1116"/>
      <c r="EM311" s="1116"/>
      <c r="EN311" s="1116"/>
      <c r="EO311" s="1116"/>
      <c r="EP311" s="1116"/>
      <c r="EQ311" s="1116"/>
      <c r="ER311" s="1116"/>
      <c r="ES311" s="1116"/>
    </row>
    <row r="312" spans="1:149" ht="15" customHeight="1">
      <c r="A312" s="1185">
        <v>297</v>
      </c>
      <c r="B312" s="1041"/>
      <c r="C312" s="1050"/>
      <c r="D312" s="1050"/>
      <c r="E312" s="1050"/>
      <c r="F312" s="1049"/>
      <c r="G312" s="1457"/>
      <c r="H312" s="1049"/>
      <c r="I312" s="1049"/>
      <c r="J312" s="1050"/>
      <c r="K312" s="1050"/>
      <c r="L312" s="1043"/>
      <c r="M312" s="1051"/>
      <c r="N312" s="1051"/>
      <c r="O312" s="1052"/>
      <c r="P312" s="1051"/>
      <c r="Q312" s="1051"/>
      <c r="R312" s="1052"/>
      <c r="S312" s="1051"/>
      <c r="T312" s="1051"/>
      <c r="U312" s="1052"/>
      <c r="V312" s="1051"/>
      <c r="W312" s="1051"/>
      <c r="X312" s="1052"/>
      <c r="Y312" s="1053"/>
      <c r="Z312" s="1051"/>
      <c r="AA312" s="1051"/>
      <c r="AB312" s="1052"/>
      <c r="AC312" s="1051"/>
      <c r="AD312" s="1051"/>
      <c r="AE312" s="1052"/>
      <c r="AF312" s="1051"/>
      <c r="AG312" s="1051"/>
      <c r="AH312" s="1051"/>
      <c r="AI312" s="1051"/>
      <c r="AJ312" s="1052"/>
      <c r="AK312" s="1051"/>
      <c r="AL312" s="1051"/>
      <c r="AM312" s="1052"/>
      <c r="AN312" s="1051"/>
      <c r="AO312" s="1051"/>
      <c r="AP312" s="1052"/>
      <c r="AQ312" s="1051"/>
      <c r="AR312" s="1051"/>
      <c r="AS312" s="1052"/>
      <c r="AT312" s="1051"/>
      <c r="AU312" s="1051"/>
      <c r="AV312" s="1052"/>
      <c r="AW312" s="1051"/>
      <c r="AX312" s="1051"/>
      <c r="AY312" s="1053"/>
      <c r="AZ312" s="1051"/>
      <c r="BA312" s="1051"/>
      <c r="BB312" s="1053"/>
      <c r="BC312" s="1051"/>
      <c r="BD312" s="1051"/>
      <c r="BE312" s="1053"/>
      <c r="BF312" s="1051"/>
      <c r="BG312" s="1051"/>
      <c r="BH312" s="1053"/>
      <c r="BI312" s="1052"/>
      <c r="BJ312" s="1052"/>
      <c r="BK312" s="1052"/>
      <c r="BL312" s="1052"/>
      <c r="BM312" s="1052"/>
      <c r="BN312" s="1054"/>
      <c r="BO312" s="1076">
        <f t="shared" si="15"/>
        <v>0</v>
      </c>
      <c r="BP312" s="1051"/>
      <c r="BQ312" s="1052"/>
      <c r="BR312" s="1054"/>
      <c r="BS312" s="1053"/>
      <c r="BT312" s="1051"/>
      <c r="BU312" s="1051"/>
      <c r="BV312" s="1051"/>
      <c r="BW312" s="1052"/>
      <c r="BX312" s="1052"/>
      <c r="BY312" s="1052"/>
      <c r="BZ312" s="1052"/>
      <c r="CA312" s="1052"/>
      <c r="CB312" s="1053"/>
      <c r="CC312" s="1053"/>
      <c r="CD312" s="1053"/>
      <c r="CE312" s="1053"/>
      <c r="CF312" s="1053"/>
      <c r="CG312" s="1053"/>
      <c r="CH312" s="1053"/>
      <c r="CI312" s="1123"/>
      <c r="CJ312" s="1123"/>
      <c r="CK312" s="1123"/>
      <c r="CL312" s="1123"/>
      <c r="CM312" s="1123"/>
      <c r="CN312" s="1123"/>
      <c r="CO312" s="1123"/>
      <c r="CP312" s="1123"/>
      <c r="CQ312" s="1123"/>
      <c r="CR312" s="1123"/>
      <c r="CS312" s="1123"/>
      <c r="CT312" s="1123"/>
      <c r="CU312" s="1123"/>
      <c r="CV312" s="1123"/>
      <c r="CW312" s="1123"/>
      <c r="CX312" s="1123"/>
      <c r="CY312" s="1123"/>
      <c r="CZ312" s="1114"/>
      <c r="DA312" s="1114"/>
      <c r="DB312" s="1114"/>
      <c r="DC312" s="1114"/>
      <c r="DD312" s="1114"/>
      <c r="DE312" s="1114"/>
      <c r="DF312" s="1114"/>
      <c r="DG312" s="1114"/>
      <c r="DH312" s="1114"/>
      <c r="DI312" s="1114"/>
      <c r="DJ312" s="1114"/>
      <c r="DK312" s="1114"/>
      <c r="DL312" s="1114"/>
      <c r="DM312" s="1114"/>
      <c r="DN312" s="1114"/>
      <c r="DO312" s="1114"/>
      <c r="DP312" s="1114"/>
      <c r="DQ312" s="1114"/>
      <c r="DR312" s="1114"/>
      <c r="DS312" s="1114"/>
      <c r="DT312" s="1114"/>
      <c r="DU312" s="1114"/>
      <c r="DV312" s="1115"/>
      <c r="DW312" s="1116"/>
      <c r="DX312" s="1116"/>
      <c r="DY312" s="1116"/>
      <c r="DZ312" s="1116"/>
      <c r="EA312" s="1116"/>
      <c r="EB312" s="1116"/>
      <c r="EC312" s="1116"/>
      <c r="ED312" s="1116"/>
      <c r="EE312" s="1116"/>
      <c r="EF312" s="1116"/>
      <c r="EG312" s="1116"/>
      <c r="EH312" s="1116"/>
      <c r="EI312" s="1116"/>
      <c r="EJ312" s="1116"/>
      <c r="EK312" s="1116"/>
      <c r="EL312" s="1116"/>
      <c r="EM312" s="1116"/>
      <c r="EN312" s="1116"/>
      <c r="EO312" s="1116"/>
      <c r="EP312" s="1116"/>
      <c r="EQ312" s="1116"/>
      <c r="ER312" s="1116"/>
      <c r="ES312" s="1116"/>
    </row>
    <row r="313" spans="1:149" ht="15" customHeight="1">
      <c r="A313" s="1185">
        <v>298</v>
      </c>
      <c r="B313" s="1041"/>
      <c r="C313" s="1050"/>
      <c r="D313" s="1050"/>
      <c r="E313" s="1050"/>
      <c r="F313" s="1049"/>
      <c r="G313" s="1457"/>
      <c r="H313" s="1049"/>
      <c r="I313" s="1049"/>
      <c r="J313" s="1050"/>
      <c r="K313" s="1050"/>
      <c r="L313" s="1043"/>
      <c r="M313" s="1051"/>
      <c r="N313" s="1051"/>
      <c r="O313" s="1052"/>
      <c r="P313" s="1051"/>
      <c r="Q313" s="1051"/>
      <c r="R313" s="1052"/>
      <c r="S313" s="1051"/>
      <c r="T313" s="1051"/>
      <c r="U313" s="1052"/>
      <c r="V313" s="1051"/>
      <c r="W313" s="1051"/>
      <c r="X313" s="1052"/>
      <c r="Y313" s="1053"/>
      <c r="Z313" s="1051"/>
      <c r="AA313" s="1051"/>
      <c r="AB313" s="1052"/>
      <c r="AC313" s="1051"/>
      <c r="AD313" s="1051"/>
      <c r="AE313" s="1052"/>
      <c r="AF313" s="1051"/>
      <c r="AG313" s="1051"/>
      <c r="AH313" s="1051"/>
      <c r="AI313" s="1051"/>
      <c r="AJ313" s="1052"/>
      <c r="AK313" s="1051"/>
      <c r="AL313" s="1051"/>
      <c r="AM313" s="1052"/>
      <c r="AN313" s="1051"/>
      <c r="AO313" s="1051"/>
      <c r="AP313" s="1052"/>
      <c r="AQ313" s="1051"/>
      <c r="AR313" s="1051"/>
      <c r="AS313" s="1052"/>
      <c r="AT313" s="1051"/>
      <c r="AU313" s="1051"/>
      <c r="AV313" s="1052"/>
      <c r="AW313" s="1051"/>
      <c r="AX313" s="1051"/>
      <c r="AY313" s="1053"/>
      <c r="AZ313" s="1051"/>
      <c r="BA313" s="1051"/>
      <c r="BB313" s="1053"/>
      <c r="BC313" s="1051"/>
      <c r="BD313" s="1051"/>
      <c r="BE313" s="1053"/>
      <c r="BF313" s="1051"/>
      <c r="BG313" s="1051"/>
      <c r="BH313" s="1053"/>
      <c r="BI313" s="1052"/>
      <c r="BJ313" s="1052"/>
      <c r="BK313" s="1052"/>
      <c r="BL313" s="1052"/>
      <c r="BM313" s="1052"/>
      <c r="BN313" s="1054"/>
      <c r="BO313" s="1076">
        <f t="shared" si="15"/>
        <v>0</v>
      </c>
      <c r="BP313" s="1051"/>
      <c r="BQ313" s="1052"/>
      <c r="BR313" s="1054"/>
      <c r="BS313" s="1053"/>
      <c r="BT313" s="1051"/>
      <c r="BU313" s="1051"/>
      <c r="BV313" s="1051"/>
      <c r="BW313" s="1052"/>
      <c r="BX313" s="1052"/>
      <c r="BY313" s="1052"/>
      <c r="BZ313" s="1052"/>
      <c r="CA313" s="1052"/>
      <c r="CB313" s="1053"/>
      <c r="CC313" s="1053"/>
      <c r="CD313" s="1053"/>
      <c r="CE313" s="1053"/>
      <c r="CF313" s="1053"/>
      <c r="CG313" s="1053"/>
      <c r="CH313" s="1053"/>
      <c r="CI313" s="1123"/>
      <c r="CJ313" s="1123"/>
      <c r="CK313" s="1123"/>
      <c r="CL313" s="1123"/>
      <c r="CM313" s="1123"/>
      <c r="CN313" s="1123"/>
      <c r="CO313" s="1123"/>
      <c r="CP313" s="1123"/>
      <c r="CQ313" s="1123"/>
      <c r="CR313" s="1123"/>
      <c r="CS313" s="1123"/>
      <c r="CT313" s="1123"/>
      <c r="CU313" s="1123"/>
      <c r="CV313" s="1123"/>
      <c r="CW313" s="1123"/>
      <c r="CX313" s="1123"/>
      <c r="CY313" s="1123"/>
      <c r="CZ313" s="1114"/>
      <c r="DA313" s="1114"/>
      <c r="DB313" s="1114"/>
      <c r="DC313" s="1114"/>
      <c r="DD313" s="1114"/>
      <c r="DE313" s="1114"/>
      <c r="DF313" s="1114"/>
      <c r="DG313" s="1114"/>
      <c r="DH313" s="1114"/>
      <c r="DI313" s="1114"/>
      <c r="DJ313" s="1114"/>
      <c r="DK313" s="1114"/>
      <c r="DL313" s="1114"/>
      <c r="DM313" s="1114"/>
      <c r="DN313" s="1114"/>
      <c r="DO313" s="1114"/>
      <c r="DP313" s="1114"/>
      <c r="DQ313" s="1114"/>
      <c r="DR313" s="1114"/>
      <c r="DS313" s="1114"/>
      <c r="DT313" s="1114"/>
      <c r="DU313" s="1114"/>
      <c r="DV313" s="1115"/>
      <c r="DW313" s="1116"/>
      <c r="DX313" s="1116"/>
      <c r="DY313" s="1116"/>
      <c r="DZ313" s="1116"/>
      <c r="EA313" s="1116"/>
      <c r="EB313" s="1116"/>
      <c r="EC313" s="1116"/>
      <c r="ED313" s="1116"/>
      <c r="EE313" s="1116"/>
      <c r="EF313" s="1116"/>
      <c r="EG313" s="1116"/>
      <c r="EH313" s="1116"/>
      <c r="EI313" s="1116"/>
      <c r="EJ313" s="1116"/>
      <c r="EK313" s="1116"/>
      <c r="EL313" s="1116"/>
      <c r="EM313" s="1116"/>
      <c r="EN313" s="1116"/>
      <c r="EO313" s="1116"/>
      <c r="EP313" s="1116"/>
      <c r="EQ313" s="1116"/>
      <c r="ER313" s="1116"/>
      <c r="ES313" s="1116"/>
    </row>
    <row r="314" spans="1:149" ht="15" customHeight="1">
      <c r="A314" s="1185">
        <v>299</v>
      </c>
      <c r="B314" s="1041"/>
      <c r="C314" s="1050"/>
      <c r="D314" s="1050"/>
      <c r="E314" s="1050"/>
      <c r="F314" s="1049"/>
      <c r="G314" s="1457"/>
      <c r="H314" s="1049"/>
      <c r="I314" s="1049"/>
      <c r="J314" s="1050"/>
      <c r="K314" s="1050"/>
      <c r="L314" s="1043"/>
      <c r="M314" s="1051"/>
      <c r="N314" s="1051"/>
      <c r="O314" s="1052"/>
      <c r="P314" s="1051"/>
      <c r="Q314" s="1051"/>
      <c r="R314" s="1052"/>
      <c r="S314" s="1051"/>
      <c r="T314" s="1051"/>
      <c r="U314" s="1052"/>
      <c r="V314" s="1051"/>
      <c r="W314" s="1051"/>
      <c r="X314" s="1052"/>
      <c r="Y314" s="1053"/>
      <c r="Z314" s="1051"/>
      <c r="AA314" s="1051"/>
      <c r="AB314" s="1052"/>
      <c r="AC314" s="1051"/>
      <c r="AD314" s="1051"/>
      <c r="AE314" s="1052"/>
      <c r="AF314" s="1051"/>
      <c r="AG314" s="1051"/>
      <c r="AH314" s="1051"/>
      <c r="AI314" s="1051"/>
      <c r="AJ314" s="1052"/>
      <c r="AK314" s="1051"/>
      <c r="AL314" s="1051"/>
      <c r="AM314" s="1052"/>
      <c r="AN314" s="1051"/>
      <c r="AO314" s="1051"/>
      <c r="AP314" s="1052"/>
      <c r="AQ314" s="1051"/>
      <c r="AR314" s="1051"/>
      <c r="AS314" s="1052"/>
      <c r="AT314" s="1051"/>
      <c r="AU314" s="1051"/>
      <c r="AV314" s="1052"/>
      <c r="AW314" s="1051"/>
      <c r="AX314" s="1051"/>
      <c r="AY314" s="1053"/>
      <c r="AZ314" s="1051"/>
      <c r="BA314" s="1051"/>
      <c r="BB314" s="1053"/>
      <c r="BC314" s="1051"/>
      <c r="BD314" s="1051"/>
      <c r="BE314" s="1053"/>
      <c r="BF314" s="1051"/>
      <c r="BG314" s="1051"/>
      <c r="BH314" s="1053"/>
      <c r="BI314" s="1052"/>
      <c r="BJ314" s="1052"/>
      <c r="BK314" s="1052"/>
      <c r="BL314" s="1052"/>
      <c r="BM314" s="1052"/>
      <c r="BN314" s="1054"/>
      <c r="BO314" s="1076">
        <f t="shared" si="15"/>
        <v>0</v>
      </c>
      <c r="BP314" s="1051"/>
      <c r="BQ314" s="1052"/>
      <c r="BR314" s="1054"/>
      <c r="BS314" s="1053"/>
      <c r="BT314" s="1051"/>
      <c r="BU314" s="1051"/>
      <c r="BV314" s="1051"/>
      <c r="BW314" s="1052"/>
      <c r="BX314" s="1052"/>
      <c r="BY314" s="1052"/>
      <c r="BZ314" s="1052"/>
      <c r="CA314" s="1052"/>
      <c r="CB314" s="1053"/>
      <c r="CC314" s="1053"/>
      <c r="CD314" s="1053"/>
      <c r="CE314" s="1053"/>
      <c r="CF314" s="1053"/>
      <c r="CG314" s="1053"/>
      <c r="CH314" s="1053"/>
      <c r="CI314" s="1123"/>
      <c r="CJ314" s="1123"/>
      <c r="CK314" s="1123"/>
      <c r="CL314" s="1123"/>
      <c r="CM314" s="1123"/>
      <c r="CN314" s="1123"/>
      <c r="CO314" s="1123"/>
      <c r="CP314" s="1123"/>
      <c r="CQ314" s="1123"/>
      <c r="CR314" s="1123"/>
      <c r="CS314" s="1123"/>
      <c r="CT314" s="1123"/>
      <c r="CU314" s="1123"/>
      <c r="CV314" s="1123"/>
      <c r="CW314" s="1123"/>
      <c r="CX314" s="1123"/>
      <c r="CY314" s="1123"/>
      <c r="CZ314" s="1114"/>
      <c r="DA314" s="1114"/>
      <c r="DB314" s="1114"/>
      <c r="DC314" s="1114"/>
      <c r="DD314" s="1114"/>
      <c r="DE314" s="1114"/>
      <c r="DF314" s="1114"/>
      <c r="DG314" s="1114"/>
      <c r="DH314" s="1114"/>
      <c r="DI314" s="1114"/>
      <c r="DJ314" s="1114"/>
      <c r="DK314" s="1114"/>
      <c r="DL314" s="1114"/>
      <c r="DM314" s="1114"/>
      <c r="DN314" s="1114"/>
      <c r="DO314" s="1114"/>
      <c r="DP314" s="1114"/>
      <c r="DQ314" s="1114"/>
      <c r="DR314" s="1114"/>
      <c r="DS314" s="1114"/>
      <c r="DT314" s="1114"/>
      <c r="DU314" s="1114"/>
      <c r="DV314" s="1115"/>
      <c r="DW314" s="1116"/>
      <c r="DX314" s="1116"/>
      <c r="DY314" s="1116"/>
      <c r="DZ314" s="1116"/>
      <c r="EA314" s="1116"/>
      <c r="EB314" s="1116"/>
      <c r="EC314" s="1116"/>
      <c r="ED314" s="1116"/>
      <c r="EE314" s="1116"/>
      <c r="EF314" s="1116"/>
      <c r="EG314" s="1116"/>
      <c r="EH314" s="1116"/>
      <c r="EI314" s="1116"/>
      <c r="EJ314" s="1116"/>
      <c r="EK314" s="1116"/>
      <c r="EL314" s="1116"/>
      <c r="EM314" s="1116"/>
      <c r="EN314" s="1116"/>
      <c r="EO314" s="1116"/>
      <c r="EP314" s="1116"/>
      <c r="EQ314" s="1116"/>
      <c r="ER314" s="1116"/>
      <c r="ES314" s="1116"/>
    </row>
    <row r="315" spans="1:149" ht="15" customHeight="1">
      <c r="A315" s="1185">
        <v>300</v>
      </c>
      <c r="B315" s="1041"/>
      <c r="C315" s="1050"/>
      <c r="D315" s="1050"/>
      <c r="E315" s="1050"/>
      <c r="F315" s="1049"/>
      <c r="G315" s="1457"/>
      <c r="H315" s="1049"/>
      <c r="I315" s="1049"/>
      <c r="J315" s="1050"/>
      <c r="K315" s="1050"/>
      <c r="L315" s="1043"/>
      <c r="M315" s="1051"/>
      <c r="N315" s="1051"/>
      <c r="O315" s="1052"/>
      <c r="P315" s="1051"/>
      <c r="Q315" s="1051"/>
      <c r="R315" s="1052"/>
      <c r="S315" s="1051"/>
      <c r="T315" s="1051"/>
      <c r="U315" s="1052"/>
      <c r="V315" s="1051"/>
      <c r="W315" s="1051"/>
      <c r="X315" s="1052"/>
      <c r="Y315" s="1053"/>
      <c r="Z315" s="1051"/>
      <c r="AA315" s="1051"/>
      <c r="AB315" s="1052"/>
      <c r="AC315" s="1051"/>
      <c r="AD315" s="1051"/>
      <c r="AE315" s="1052"/>
      <c r="AF315" s="1051"/>
      <c r="AG315" s="1051"/>
      <c r="AH315" s="1051"/>
      <c r="AI315" s="1051"/>
      <c r="AJ315" s="1052"/>
      <c r="AK315" s="1051"/>
      <c r="AL315" s="1051"/>
      <c r="AM315" s="1052"/>
      <c r="AN315" s="1051"/>
      <c r="AO315" s="1051"/>
      <c r="AP315" s="1052"/>
      <c r="AQ315" s="1051"/>
      <c r="AR315" s="1051"/>
      <c r="AS315" s="1052"/>
      <c r="AT315" s="1051"/>
      <c r="AU315" s="1051"/>
      <c r="AV315" s="1052"/>
      <c r="AW315" s="1051"/>
      <c r="AX315" s="1051"/>
      <c r="AY315" s="1053"/>
      <c r="AZ315" s="1051"/>
      <c r="BA315" s="1051"/>
      <c r="BB315" s="1053"/>
      <c r="BC315" s="1051"/>
      <c r="BD315" s="1051"/>
      <c r="BE315" s="1053"/>
      <c r="BF315" s="1051"/>
      <c r="BG315" s="1051"/>
      <c r="BH315" s="1053"/>
      <c r="BI315" s="1052"/>
      <c r="BJ315" s="1052"/>
      <c r="BK315" s="1052"/>
      <c r="BL315" s="1052"/>
      <c r="BM315" s="1052"/>
      <c r="BN315" s="1054"/>
      <c r="BO315" s="1076">
        <f t="shared" si="15"/>
        <v>0</v>
      </c>
      <c r="BP315" s="1051"/>
      <c r="BQ315" s="1052"/>
      <c r="BR315" s="1054"/>
      <c r="BS315" s="1053"/>
      <c r="BT315" s="1051"/>
      <c r="BU315" s="1051"/>
      <c r="BV315" s="1051"/>
      <c r="BW315" s="1052"/>
      <c r="BX315" s="1052"/>
      <c r="BY315" s="1052"/>
      <c r="BZ315" s="1052"/>
      <c r="CA315" s="1052"/>
      <c r="CB315" s="1053"/>
      <c r="CC315" s="1053"/>
      <c r="CD315" s="1053"/>
      <c r="CE315" s="1053"/>
      <c r="CF315" s="1053"/>
      <c r="CG315" s="1053"/>
      <c r="CH315" s="1053"/>
      <c r="CI315" s="1123"/>
      <c r="CJ315" s="1123"/>
      <c r="CK315" s="1123"/>
      <c r="CL315" s="1123"/>
      <c r="CM315" s="1123"/>
      <c r="CN315" s="1123"/>
      <c r="CO315" s="1123"/>
      <c r="CP315" s="1123"/>
      <c r="CQ315" s="1123"/>
      <c r="CR315" s="1123"/>
      <c r="CS315" s="1123"/>
      <c r="CT315" s="1123"/>
      <c r="CU315" s="1123"/>
      <c r="CV315" s="1123"/>
      <c r="CW315" s="1123"/>
      <c r="CX315" s="1123"/>
      <c r="CY315" s="1123"/>
      <c r="CZ315" s="1114"/>
      <c r="DA315" s="1114"/>
      <c r="DB315" s="1114"/>
      <c r="DC315" s="1114"/>
      <c r="DD315" s="1114"/>
      <c r="DE315" s="1114"/>
      <c r="DF315" s="1114"/>
      <c r="DG315" s="1114"/>
      <c r="DH315" s="1114"/>
      <c r="DI315" s="1114"/>
      <c r="DJ315" s="1114"/>
      <c r="DK315" s="1114"/>
      <c r="DL315" s="1114"/>
      <c r="DM315" s="1114"/>
      <c r="DN315" s="1114"/>
      <c r="DO315" s="1114"/>
      <c r="DP315" s="1114"/>
      <c r="DQ315" s="1114"/>
      <c r="DR315" s="1114"/>
      <c r="DS315" s="1114"/>
      <c r="DT315" s="1114"/>
      <c r="DU315" s="1114"/>
      <c r="DV315" s="1115"/>
      <c r="DW315" s="1116"/>
      <c r="DX315" s="1116"/>
      <c r="DY315" s="1116"/>
      <c r="DZ315" s="1116"/>
      <c r="EA315" s="1116"/>
      <c r="EB315" s="1116"/>
      <c r="EC315" s="1116"/>
      <c r="ED315" s="1116"/>
      <c r="EE315" s="1116"/>
      <c r="EF315" s="1116"/>
      <c r="EG315" s="1116"/>
      <c r="EH315" s="1116"/>
      <c r="EI315" s="1116"/>
      <c r="EJ315" s="1116"/>
      <c r="EK315" s="1116"/>
      <c r="EL315" s="1116"/>
      <c r="EM315" s="1116"/>
      <c r="EN315" s="1116"/>
      <c r="EO315" s="1116"/>
      <c r="EP315" s="1116"/>
      <c r="EQ315" s="1116"/>
      <c r="ER315" s="1116"/>
      <c r="ES315" s="1116"/>
    </row>
    <row r="316" spans="1:149" ht="15" customHeight="1">
      <c r="A316" s="1185">
        <v>301</v>
      </c>
      <c r="B316" s="1041"/>
      <c r="C316" s="1050"/>
      <c r="D316" s="1050"/>
      <c r="E316" s="1050"/>
      <c r="F316" s="1049"/>
      <c r="G316" s="1457"/>
      <c r="H316" s="1049"/>
      <c r="I316" s="1049"/>
      <c r="J316" s="1050"/>
      <c r="K316" s="1050"/>
      <c r="L316" s="1043"/>
      <c r="M316" s="1051"/>
      <c r="N316" s="1051"/>
      <c r="O316" s="1052"/>
      <c r="P316" s="1051"/>
      <c r="Q316" s="1051"/>
      <c r="R316" s="1052"/>
      <c r="S316" s="1051"/>
      <c r="T316" s="1051"/>
      <c r="U316" s="1052"/>
      <c r="V316" s="1051"/>
      <c r="W316" s="1051"/>
      <c r="X316" s="1052"/>
      <c r="Y316" s="1053"/>
      <c r="Z316" s="1051"/>
      <c r="AA316" s="1051"/>
      <c r="AB316" s="1052"/>
      <c r="AC316" s="1051"/>
      <c r="AD316" s="1051"/>
      <c r="AE316" s="1052"/>
      <c r="AF316" s="1051"/>
      <c r="AG316" s="1051"/>
      <c r="AH316" s="1051"/>
      <c r="AI316" s="1051"/>
      <c r="AJ316" s="1052"/>
      <c r="AK316" s="1051"/>
      <c r="AL316" s="1051"/>
      <c r="AM316" s="1052"/>
      <c r="AN316" s="1051"/>
      <c r="AO316" s="1051"/>
      <c r="AP316" s="1052"/>
      <c r="AQ316" s="1051"/>
      <c r="AR316" s="1051"/>
      <c r="AS316" s="1052"/>
      <c r="AT316" s="1051"/>
      <c r="AU316" s="1051"/>
      <c r="AV316" s="1052"/>
      <c r="AW316" s="1051"/>
      <c r="AX316" s="1051"/>
      <c r="AY316" s="1053"/>
      <c r="AZ316" s="1051"/>
      <c r="BA316" s="1051"/>
      <c r="BB316" s="1053"/>
      <c r="BC316" s="1051"/>
      <c r="BD316" s="1051"/>
      <c r="BE316" s="1053"/>
      <c r="BF316" s="1051"/>
      <c r="BG316" s="1051"/>
      <c r="BH316" s="1053"/>
      <c r="BI316" s="1052"/>
      <c r="BJ316" s="1052"/>
      <c r="BK316" s="1052"/>
      <c r="BL316" s="1052"/>
      <c r="BM316" s="1052"/>
      <c r="BN316" s="1054"/>
      <c r="BO316" s="1076">
        <f t="shared" si="15"/>
        <v>0</v>
      </c>
      <c r="BP316" s="1051"/>
      <c r="BQ316" s="1052"/>
      <c r="BR316" s="1054"/>
      <c r="BS316" s="1053"/>
      <c r="BT316" s="1051"/>
      <c r="BU316" s="1051"/>
      <c r="BV316" s="1051"/>
      <c r="BW316" s="1052"/>
      <c r="BX316" s="1052"/>
      <c r="BY316" s="1052"/>
      <c r="BZ316" s="1052"/>
      <c r="CA316" s="1052"/>
      <c r="CB316" s="1053"/>
      <c r="CC316" s="1053"/>
      <c r="CD316" s="1053"/>
      <c r="CE316" s="1053"/>
      <c r="CF316" s="1053"/>
      <c r="CG316" s="1053"/>
      <c r="CH316" s="1053"/>
      <c r="CI316" s="1123"/>
      <c r="CJ316" s="1123"/>
      <c r="CK316" s="1123"/>
      <c r="CL316" s="1123"/>
      <c r="CM316" s="1123"/>
      <c r="CN316" s="1123"/>
      <c r="CO316" s="1123"/>
      <c r="CP316" s="1123"/>
      <c r="CQ316" s="1123"/>
      <c r="CR316" s="1123"/>
      <c r="CS316" s="1123"/>
      <c r="CT316" s="1123"/>
      <c r="CU316" s="1123"/>
      <c r="CV316" s="1123"/>
      <c r="CW316" s="1123"/>
      <c r="CX316" s="1123"/>
      <c r="CY316" s="1123"/>
      <c r="CZ316" s="1114"/>
      <c r="DA316" s="1114"/>
      <c r="DB316" s="1114"/>
      <c r="DC316" s="1114"/>
      <c r="DD316" s="1114"/>
      <c r="DE316" s="1114"/>
      <c r="DF316" s="1114"/>
      <c r="DG316" s="1114"/>
      <c r="DH316" s="1114"/>
      <c r="DI316" s="1114"/>
      <c r="DJ316" s="1114"/>
      <c r="DK316" s="1114"/>
      <c r="DL316" s="1114"/>
      <c r="DM316" s="1114"/>
      <c r="DN316" s="1114"/>
      <c r="DO316" s="1114"/>
      <c r="DP316" s="1114"/>
      <c r="DQ316" s="1114"/>
      <c r="DR316" s="1114"/>
      <c r="DS316" s="1114"/>
      <c r="DT316" s="1114"/>
      <c r="DU316" s="1114"/>
      <c r="DV316" s="1115"/>
      <c r="DW316" s="1116"/>
      <c r="DX316" s="1116"/>
      <c r="DY316" s="1116"/>
      <c r="DZ316" s="1116"/>
      <c r="EA316" s="1116"/>
      <c r="EB316" s="1116"/>
      <c r="EC316" s="1116"/>
      <c r="ED316" s="1116"/>
      <c r="EE316" s="1116"/>
      <c r="EF316" s="1116"/>
      <c r="EG316" s="1116"/>
      <c r="EH316" s="1116"/>
      <c r="EI316" s="1116"/>
      <c r="EJ316" s="1116"/>
      <c r="EK316" s="1116"/>
      <c r="EL316" s="1116"/>
      <c r="EM316" s="1116"/>
      <c r="EN316" s="1116"/>
      <c r="EO316" s="1116"/>
      <c r="EP316" s="1116"/>
      <c r="EQ316" s="1116"/>
      <c r="ER316" s="1116"/>
      <c r="ES316" s="1116"/>
    </row>
    <row r="317" spans="1:149" ht="15" customHeight="1">
      <c r="A317" s="1185">
        <v>302</v>
      </c>
      <c r="B317" s="1041"/>
      <c r="C317" s="1050"/>
      <c r="D317" s="1050"/>
      <c r="E317" s="1050"/>
      <c r="F317" s="1049"/>
      <c r="G317" s="1457"/>
      <c r="H317" s="1049"/>
      <c r="I317" s="1049"/>
      <c r="J317" s="1050"/>
      <c r="K317" s="1050"/>
      <c r="L317" s="1043"/>
      <c r="M317" s="1051"/>
      <c r="N317" s="1051"/>
      <c r="O317" s="1052"/>
      <c r="P317" s="1051"/>
      <c r="Q317" s="1051"/>
      <c r="R317" s="1052"/>
      <c r="S317" s="1051"/>
      <c r="T317" s="1051"/>
      <c r="U317" s="1052"/>
      <c r="V317" s="1051"/>
      <c r="W317" s="1051"/>
      <c r="X317" s="1052"/>
      <c r="Y317" s="1053"/>
      <c r="Z317" s="1051"/>
      <c r="AA317" s="1051"/>
      <c r="AB317" s="1052"/>
      <c r="AC317" s="1051"/>
      <c r="AD317" s="1051"/>
      <c r="AE317" s="1052"/>
      <c r="AF317" s="1051"/>
      <c r="AG317" s="1051"/>
      <c r="AH317" s="1051"/>
      <c r="AI317" s="1051"/>
      <c r="AJ317" s="1052"/>
      <c r="AK317" s="1051"/>
      <c r="AL317" s="1051"/>
      <c r="AM317" s="1052"/>
      <c r="AN317" s="1051"/>
      <c r="AO317" s="1051"/>
      <c r="AP317" s="1052"/>
      <c r="AQ317" s="1051"/>
      <c r="AR317" s="1051"/>
      <c r="AS317" s="1052"/>
      <c r="AT317" s="1051"/>
      <c r="AU317" s="1051"/>
      <c r="AV317" s="1052"/>
      <c r="AW317" s="1051"/>
      <c r="AX317" s="1051"/>
      <c r="AY317" s="1053"/>
      <c r="AZ317" s="1051"/>
      <c r="BA317" s="1051"/>
      <c r="BB317" s="1053"/>
      <c r="BC317" s="1051"/>
      <c r="BD317" s="1051"/>
      <c r="BE317" s="1053"/>
      <c r="BF317" s="1051"/>
      <c r="BG317" s="1051"/>
      <c r="BH317" s="1053"/>
      <c r="BI317" s="1052"/>
      <c r="BJ317" s="1052"/>
      <c r="BK317" s="1052"/>
      <c r="BL317" s="1052"/>
      <c r="BM317" s="1052"/>
      <c r="BN317" s="1054"/>
      <c r="BO317" s="1076">
        <f t="shared" si="15"/>
        <v>0</v>
      </c>
      <c r="BP317" s="1051"/>
      <c r="BQ317" s="1052"/>
      <c r="BR317" s="1054"/>
      <c r="BS317" s="1053"/>
      <c r="BT317" s="1051"/>
      <c r="BU317" s="1051"/>
      <c r="BV317" s="1051"/>
      <c r="BW317" s="1052"/>
      <c r="BX317" s="1052"/>
      <c r="BY317" s="1052"/>
      <c r="BZ317" s="1052"/>
      <c r="CA317" s="1052"/>
      <c r="CB317" s="1053"/>
      <c r="CC317" s="1053"/>
      <c r="CD317" s="1053"/>
      <c r="CE317" s="1053"/>
      <c r="CF317" s="1053"/>
      <c r="CG317" s="1053"/>
      <c r="CH317" s="1053"/>
      <c r="CI317" s="1123"/>
      <c r="CJ317" s="1123"/>
      <c r="CK317" s="1123"/>
      <c r="CL317" s="1123"/>
      <c r="CM317" s="1123"/>
      <c r="CN317" s="1123"/>
      <c r="CO317" s="1123"/>
      <c r="CP317" s="1123"/>
      <c r="CQ317" s="1123"/>
      <c r="CR317" s="1123"/>
      <c r="CS317" s="1123"/>
      <c r="CT317" s="1123"/>
      <c r="CU317" s="1123"/>
      <c r="CV317" s="1123"/>
      <c r="CW317" s="1123"/>
      <c r="CX317" s="1123"/>
      <c r="CY317" s="1123"/>
      <c r="CZ317" s="1114"/>
      <c r="DA317" s="1114"/>
      <c r="DB317" s="1114"/>
      <c r="DC317" s="1114"/>
      <c r="DD317" s="1114"/>
      <c r="DE317" s="1114"/>
      <c r="DF317" s="1114"/>
      <c r="DG317" s="1114"/>
      <c r="DH317" s="1114"/>
      <c r="DI317" s="1114"/>
      <c r="DJ317" s="1114"/>
      <c r="DK317" s="1114"/>
      <c r="DL317" s="1114"/>
      <c r="DM317" s="1114"/>
      <c r="DN317" s="1114"/>
      <c r="DO317" s="1114"/>
      <c r="DP317" s="1114"/>
      <c r="DQ317" s="1114"/>
      <c r="DR317" s="1114"/>
      <c r="DS317" s="1114"/>
      <c r="DT317" s="1114"/>
      <c r="DU317" s="1114"/>
      <c r="DV317" s="1115"/>
      <c r="DW317" s="1116"/>
      <c r="DX317" s="1116"/>
      <c r="DY317" s="1116"/>
      <c r="DZ317" s="1116"/>
      <c r="EA317" s="1116"/>
      <c r="EB317" s="1116"/>
      <c r="EC317" s="1116"/>
      <c r="ED317" s="1116"/>
      <c r="EE317" s="1116"/>
      <c r="EF317" s="1116"/>
      <c r="EG317" s="1116"/>
      <c r="EH317" s="1116"/>
      <c r="EI317" s="1116"/>
      <c r="EJ317" s="1116"/>
      <c r="EK317" s="1116"/>
      <c r="EL317" s="1116"/>
      <c r="EM317" s="1116"/>
      <c r="EN317" s="1116"/>
      <c r="EO317" s="1116"/>
      <c r="EP317" s="1116"/>
      <c r="EQ317" s="1116"/>
      <c r="ER317" s="1116"/>
      <c r="ES317" s="1116"/>
    </row>
    <row r="318" spans="1:149" ht="15" customHeight="1">
      <c r="A318" s="1185">
        <v>303</v>
      </c>
      <c r="B318" s="1041"/>
      <c r="C318" s="1050"/>
      <c r="D318" s="1050"/>
      <c r="E318" s="1050"/>
      <c r="F318" s="1049"/>
      <c r="G318" s="1457"/>
      <c r="H318" s="1049"/>
      <c r="I318" s="1049"/>
      <c r="J318" s="1050"/>
      <c r="K318" s="1050"/>
      <c r="L318" s="1043"/>
      <c r="M318" s="1051"/>
      <c r="N318" s="1051"/>
      <c r="O318" s="1052"/>
      <c r="P318" s="1051"/>
      <c r="Q318" s="1051"/>
      <c r="R318" s="1052"/>
      <c r="S318" s="1051"/>
      <c r="T318" s="1051"/>
      <c r="U318" s="1052"/>
      <c r="V318" s="1051"/>
      <c r="W318" s="1051"/>
      <c r="X318" s="1052"/>
      <c r="Y318" s="1053"/>
      <c r="Z318" s="1051"/>
      <c r="AA318" s="1051"/>
      <c r="AB318" s="1052"/>
      <c r="AC318" s="1051"/>
      <c r="AD318" s="1051"/>
      <c r="AE318" s="1052"/>
      <c r="AF318" s="1051"/>
      <c r="AG318" s="1051"/>
      <c r="AH318" s="1051"/>
      <c r="AI318" s="1051"/>
      <c r="AJ318" s="1052"/>
      <c r="AK318" s="1051"/>
      <c r="AL318" s="1051"/>
      <c r="AM318" s="1052"/>
      <c r="AN318" s="1051"/>
      <c r="AO318" s="1051"/>
      <c r="AP318" s="1052"/>
      <c r="AQ318" s="1051"/>
      <c r="AR318" s="1051"/>
      <c r="AS318" s="1052"/>
      <c r="AT318" s="1051"/>
      <c r="AU318" s="1051"/>
      <c r="AV318" s="1052"/>
      <c r="AW318" s="1051"/>
      <c r="AX318" s="1051"/>
      <c r="AY318" s="1053"/>
      <c r="AZ318" s="1051"/>
      <c r="BA318" s="1051"/>
      <c r="BB318" s="1053"/>
      <c r="BC318" s="1051"/>
      <c r="BD318" s="1051"/>
      <c r="BE318" s="1053"/>
      <c r="BF318" s="1051"/>
      <c r="BG318" s="1051"/>
      <c r="BH318" s="1053"/>
      <c r="BI318" s="1052"/>
      <c r="BJ318" s="1052"/>
      <c r="BK318" s="1052"/>
      <c r="BL318" s="1052"/>
      <c r="BM318" s="1052"/>
      <c r="BN318" s="1054"/>
      <c r="BO318" s="1076">
        <f t="shared" si="15"/>
        <v>0</v>
      </c>
      <c r="BP318" s="1051"/>
      <c r="BQ318" s="1052"/>
      <c r="BR318" s="1054"/>
      <c r="BS318" s="1053"/>
      <c r="BT318" s="1051"/>
      <c r="BU318" s="1051"/>
      <c r="BV318" s="1051"/>
      <c r="BW318" s="1052"/>
      <c r="BX318" s="1052"/>
      <c r="BY318" s="1052"/>
      <c r="BZ318" s="1052"/>
      <c r="CA318" s="1052"/>
      <c r="CB318" s="1053"/>
      <c r="CC318" s="1053"/>
      <c r="CD318" s="1053"/>
      <c r="CE318" s="1053"/>
      <c r="CF318" s="1053"/>
      <c r="CG318" s="1053"/>
      <c r="CH318" s="1053"/>
      <c r="CI318" s="1123"/>
      <c r="CJ318" s="1123"/>
      <c r="CK318" s="1123"/>
      <c r="CL318" s="1123"/>
      <c r="CM318" s="1123"/>
      <c r="CN318" s="1123"/>
      <c r="CO318" s="1123"/>
      <c r="CP318" s="1123"/>
      <c r="CQ318" s="1123"/>
      <c r="CR318" s="1123"/>
      <c r="CS318" s="1123"/>
      <c r="CT318" s="1123"/>
      <c r="CU318" s="1123"/>
      <c r="CV318" s="1123"/>
      <c r="CW318" s="1123"/>
      <c r="CX318" s="1123"/>
      <c r="CY318" s="1123"/>
      <c r="CZ318" s="1114"/>
      <c r="DA318" s="1114"/>
      <c r="DB318" s="1114"/>
      <c r="DC318" s="1114"/>
      <c r="DD318" s="1114"/>
      <c r="DE318" s="1114"/>
      <c r="DF318" s="1114"/>
      <c r="DG318" s="1114"/>
      <c r="DH318" s="1114"/>
      <c r="DI318" s="1114"/>
      <c r="DJ318" s="1114"/>
      <c r="DK318" s="1114"/>
      <c r="DL318" s="1114"/>
      <c r="DM318" s="1114"/>
      <c r="DN318" s="1114"/>
      <c r="DO318" s="1114"/>
      <c r="DP318" s="1114"/>
      <c r="DQ318" s="1114"/>
      <c r="DR318" s="1114"/>
      <c r="DS318" s="1114"/>
      <c r="DT318" s="1114"/>
      <c r="DU318" s="1114"/>
      <c r="DV318" s="1115"/>
      <c r="DW318" s="1116"/>
      <c r="DX318" s="1116"/>
      <c r="DY318" s="1116"/>
      <c r="DZ318" s="1116"/>
      <c r="EA318" s="1116"/>
      <c r="EB318" s="1116"/>
      <c r="EC318" s="1116"/>
      <c r="ED318" s="1116"/>
      <c r="EE318" s="1116"/>
      <c r="EF318" s="1116"/>
      <c r="EG318" s="1116"/>
      <c r="EH318" s="1116"/>
      <c r="EI318" s="1116"/>
      <c r="EJ318" s="1116"/>
      <c r="EK318" s="1116"/>
      <c r="EL318" s="1116"/>
      <c r="EM318" s="1116"/>
      <c r="EN318" s="1116"/>
      <c r="EO318" s="1116"/>
      <c r="EP318" s="1116"/>
      <c r="EQ318" s="1116"/>
      <c r="ER318" s="1116"/>
      <c r="ES318" s="1116"/>
    </row>
    <row r="319" spans="1:149" ht="15" customHeight="1">
      <c r="A319" s="1185">
        <v>304</v>
      </c>
      <c r="B319" s="1041"/>
      <c r="C319" s="1050"/>
      <c r="D319" s="1050"/>
      <c r="E319" s="1050"/>
      <c r="F319" s="1049"/>
      <c r="G319" s="1457"/>
      <c r="H319" s="1049"/>
      <c r="I319" s="1049"/>
      <c r="J319" s="1050"/>
      <c r="K319" s="1050"/>
      <c r="L319" s="1043"/>
      <c r="M319" s="1051"/>
      <c r="N319" s="1051"/>
      <c r="O319" s="1052"/>
      <c r="P319" s="1051"/>
      <c r="Q319" s="1051"/>
      <c r="R319" s="1052"/>
      <c r="S319" s="1051"/>
      <c r="T319" s="1051"/>
      <c r="U319" s="1052"/>
      <c r="V319" s="1051"/>
      <c r="W319" s="1051"/>
      <c r="X319" s="1052"/>
      <c r="Y319" s="1053"/>
      <c r="Z319" s="1051"/>
      <c r="AA319" s="1051"/>
      <c r="AB319" s="1052"/>
      <c r="AC319" s="1051"/>
      <c r="AD319" s="1051"/>
      <c r="AE319" s="1052"/>
      <c r="AF319" s="1051"/>
      <c r="AG319" s="1051"/>
      <c r="AH319" s="1051"/>
      <c r="AI319" s="1051"/>
      <c r="AJ319" s="1052"/>
      <c r="AK319" s="1051"/>
      <c r="AL319" s="1051"/>
      <c r="AM319" s="1052"/>
      <c r="AN319" s="1051"/>
      <c r="AO319" s="1051"/>
      <c r="AP319" s="1052"/>
      <c r="AQ319" s="1051"/>
      <c r="AR319" s="1051"/>
      <c r="AS319" s="1052"/>
      <c r="AT319" s="1051"/>
      <c r="AU319" s="1051"/>
      <c r="AV319" s="1052"/>
      <c r="AW319" s="1051"/>
      <c r="AX319" s="1051"/>
      <c r="AY319" s="1053"/>
      <c r="AZ319" s="1051"/>
      <c r="BA319" s="1051"/>
      <c r="BB319" s="1053"/>
      <c r="BC319" s="1051"/>
      <c r="BD319" s="1051"/>
      <c r="BE319" s="1053"/>
      <c r="BF319" s="1051"/>
      <c r="BG319" s="1051"/>
      <c r="BH319" s="1053"/>
      <c r="BI319" s="1052"/>
      <c r="BJ319" s="1052"/>
      <c r="BK319" s="1052"/>
      <c r="BL319" s="1052"/>
      <c r="BM319" s="1052"/>
      <c r="BN319" s="1054"/>
      <c r="BO319" s="1076">
        <f t="shared" si="15"/>
        <v>0</v>
      </c>
      <c r="BP319" s="1051"/>
      <c r="BQ319" s="1052"/>
      <c r="BR319" s="1054"/>
      <c r="BS319" s="1053"/>
      <c r="BT319" s="1051"/>
      <c r="BU319" s="1051"/>
      <c r="BV319" s="1051"/>
      <c r="BW319" s="1052"/>
      <c r="BX319" s="1052"/>
      <c r="BY319" s="1052"/>
      <c r="BZ319" s="1052"/>
      <c r="CA319" s="1052"/>
      <c r="CB319" s="1053"/>
      <c r="CC319" s="1053"/>
      <c r="CD319" s="1053"/>
      <c r="CE319" s="1053"/>
      <c r="CF319" s="1053"/>
      <c r="CG319" s="1053"/>
      <c r="CH319" s="1053"/>
      <c r="CI319" s="1123"/>
      <c r="CJ319" s="1123"/>
      <c r="CK319" s="1123"/>
      <c r="CL319" s="1123"/>
      <c r="CM319" s="1123"/>
      <c r="CN319" s="1123"/>
      <c r="CO319" s="1123"/>
      <c r="CP319" s="1123"/>
      <c r="CQ319" s="1123"/>
      <c r="CR319" s="1123"/>
      <c r="CS319" s="1123"/>
      <c r="CT319" s="1123"/>
      <c r="CU319" s="1123"/>
      <c r="CV319" s="1123"/>
      <c r="CW319" s="1123"/>
      <c r="CX319" s="1123"/>
      <c r="CY319" s="1123"/>
      <c r="CZ319" s="1114"/>
      <c r="DA319" s="1114"/>
      <c r="DB319" s="1114"/>
      <c r="DC319" s="1114"/>
      <c r="DD319" s="1114"/>
      <c r="DE319" s="1114"/>
      <c r="DF319" s="1114"/>
      <c r="DG319" s="1114"/>
      <c r="DH319" s="1114"/>
      <c r="DI319" s="1114"/>
      <c r="DJ319" s="1114"/>
      <c r="DK319" s="1114"/>
      <c r="DL319" s="1114"/>
      <c r="DM319" s="1114"/>
      <c r="DN319" s="1114"/>
      <c r="DO319" s="1114"/>
      <c r="DP319" s="1114"/>
      <c r="DQ319" s="1114"/>
      <c r="DR319" s="1114"/>
      <c r="DS319" s="1114"/>
      <c r="DT319" s="1114"/>
      <c r="DU319" s="1114"/>
      <c r="DV319" s="1115"/>
      <c r="DW319" s="1116"/>
      <c r="DX319" s="1116"/>
      <c r="DY319" s="1116"/>
      <c r="DZ319" s="1116"/>
      <c r="EA319" s="1116"/>
      <c r="EB319" s="1116"/>
      <c r="EC319" s="1116"/>
      <c r="ED319" s="1116"/>
      <c r="EE319" s="1116"/>
      <c r="EF319" s="1116"/>
      <c r="EG319" s="1116"/>
      <c r="EH319" s="1116"/>
      <c r="EI319" s="1116"/>
      <c r="EJ319" s="1116"/>
      <c r="EK319" s="1116"/>
      <c r="EL319" s="1116"/>
      <c r="EM319" s="1116"/>
      <c r="EN319" s="1116"/>
      <c r="EO319" s="1116"/>
      <c r="EP319" s="1116"/>
      <c r="EQ319" s="1116"/>
      <c r="ER319" s="1116"/>
      <c r="ES319" s="1116"/>
    </row>
    <row r="320" spans="1:149" ht="15" customHeight="1">
      <c r="A320" s="1185">
        <v>305</v>
      </c>
      <c r="B320" s="1041"/>
      <c r="C320" s="1050"/>
      <c r="D320" s="1050"/>
      <c r="E320" s="1050"/>
      <c r="F320" s="1049"/>
      <c r="G320" s="1457"/>
      <c r="H320" s="1049"/>
      <c r="I320" s="1049"/>
      <c r="J320" s="1050"/>
      <c r="K320" s="1050"/>
      <c r="L320" s="1043"/>
      <c r="M320" s="1051"/>
      <c r="N320" s="1051"/>
      <c r="O320" s="1052"/>
      <c r="P320" s="1051"/>
      <c r="Q320" s="1051"/>
      <c r="R320" s="1052"/>
      <c r="S320" s="1051"/>
      <c r="T320" s="1051"/>
      <c r="U320" s="1052"/>
      <c r="V320" s="1051"/>
      <c r="W320" s="1051"/>
      <c r="X320" s="1052"/>
      <c r="Y320" s="1053"/>
      <c r="Z320" s="1051"/>
      <c r="AA320" s="1051"/>
      <c r="AB320" s="1052"/>
      <c r="AC320" s="1051"/>
      <c r="AD320" s="1051"/>
      <c r="AE320" s="1052"/>
      <c r="AF320" s="1051"/>
      <c r="AG320" s="1051"/>
      <c r="AH320" s="1051"/>
      <c r="AI320" s="1051"/>
      <c r="AJ320" s="1052"/>
      <c r="AK320" s="1051"/>
      <c r="AL320" s="1051"/>
      <c r="AM320" s="1052"/>
      <c r="AN320" s="1051"/>
      <c r="AO320" s="1051"/>
      <c r="AP320" s="1052"/>
      <c r="AQ320" s="1051"/>
      <c r="AR320" s="1051"/>
      <c r="AS320" s="1052"/>
      <c r="AT320" s="1051"/>
      <c r="AU320" s="1051"/>
      <c r="AV320" s="1052"/>
      <c r="AW320" s="1051"/>
      <c r="AX320" s="1051"/>
      <c r="AY320" s="1053"/>
      <c r="AZ320" s="1051"/>
      <c r="BA320" s="1051"/>
      <c r="BB320" s="1053"/>
      <c r="BC320" s="1051"/>
      <c r="BD320" s="1051"/>
      <c r="BE320" s="1053"/>
      <c r="BF320" s="1051"/>
      <c r="BG320" s="1051"/>
      <c r="BH320" s="1053"/>
      <c r="BI320" s="1052"/>
      <c r="BJ320" s="1052"/>
      <c r="BK320" s="1052"/>
      <c r="BL320" s="1052"/>
      <c r="BM320" s="1052"/>
      <c r="BN320" s="1054"/>
      <c r="BO320" s="1076">
        <f t="shared" si="15"/>
        <v>0</v>
      </c>
      <c r="BP320" s="1051"/>
      <c r="BQ320" s="1052"/>
      <c r="BR320" s="1054"/>
      <c r="BS320" s="1053"/>
      <c r="BT320" s="1051"/>
      <c r="BU320" s="1051"/>
      <c r="BV320" s="1051"/>
      <c r="BW320" s="1052"/>
      <c r="BX320" s="1052"/>
      <c r="BY320" s="1052"/>
      <c r="BZ320" s="1052"/>
      <c r="CA320" s="1052"/>
      <c r="CB320" s="1053"/>
      <c r="CC320" s="1053"/>
      <c r="CD320" s="1053"/>
      <c r="CE320" s="1053"/>
      <c r="CF320" s="1053"/>
      <c r="CG320" s="1053"/>
      <c r="CH320" s="1053"/>
      <c r="CI320" s="1123"/>
      <c r="CJ320" s="1123"/>
      <c r="CK320" s="1123"/>
      <c r="CL320" s="1123"/>
      <c r="CM320" s="1123"/>
      <c r="CN320" s="1123"/>
      <c r="CO320" s="1123"/>
      <c r="CP320" s="1123"/>
      <c r="CQ320" s="1123"/>
      <c r="CR320" s="1123"/>
      <c r="CS320" s="1123"/>
      <c r="CT320" s="1123"/>
      <c r="CU320" s="1123"/>
      <c r="CV320" s="1123"/>
      <c r="CW320" s="1123"/>
      <c r="CX320" s="1123"/>
      <c r="CY320" s="1123"/>
      <c r="CZ320" s="1114"/>
      <c r="DA320" s="1114"/>
      <c r="DB320" s="1114"/>
      <c r="DC320" s="1114"/>
      <c r="DD320" s="1114"/>
      <c r="DE320" s="1114"/>
      <c r="DF320" s="1114"/>
      <c r="DG320" s="1114"/>
      <c r="DH320" s="1114"/>
      <c r="DI320" s="1114"/>
      <c r="DJ320" s="1114"/>
      <c r="DK320" s="1114"/>
      <c r="DL320" s="1114"/>
      <c r="DM320" s="1114"/>
      <c r="DN320" s="1114"/>
      <c r="DO320" s="1114"/>
      <c r="DP320" s="1114"/>
      <c r="DQ320" s="1114"/>
      <c r="DR320" s="1114"/>
      <c r="DS320" s="1114"/>
      <c r="DT320" s="1114"/>
      <c r="DU320" s="1114"/>
      <c r="DV320" s="1115"/>
      <c r="DW320" s="1116"/>
      <c r="DX320" s="1116"/>
      <c r="DY320" s="1116"/>
      <c r="DZ320" s="1116"/>
      <c r="EA320" s="1116"/>
      <c r="EB320" s="1116"/>
      <c r="EC320" s="1116"/>
      <c r="ED320" s="1116"/>
      <c r="EE320" s="1116"/>
      <c r="EF320" s="1116"/>
      <c r="EG320" s="1116"/>
      <c r="EH320" s="1116"/>
      <c r="EI320" s="1116"/>
      <c r="EJ320" s="1116"/>
      <c r="EK320" s="1116"/>
      <c r="EL320" s="1116"/>
      <c r="EM320" s="1116"/>
      <c r="EN320" s="1116"/>
      <c r="EO320" s="1116"/>
      <c r="EP320" s="1116"/>
      <c r="EQ320" s="1116"/>
      <c r="ER320" s="1116"/>
      <c r="ES320" s="1116"/>
    </row>
    <row r="321" spans="1:149" ht="15" customHeight="1">
      <c r="A321" s="1185">
        <v>306</v>
      </c>
      <c r="B321" s="1041"/>
      <c r="C321" s="1050"/>
      <c r="D321" s="1050"/>
      <c r="E321" s="1050"/>
      <c r="F321" s="1049"/>
      <c r="G321" s="1457"/>
      <c r="H321" s="1049"/>
      <c r="I321" s="1049"/>
      <c r="J321" s="1050"/>
      <c r="K321" s="1050"/>
      <c r="L321" s="1043"/>
      <c r="M321" s="1051"/>
      <c r="N321" s="1051"/>
      <c r="O321" s="1052"/>
      <c r="P321" s="1051"/>
      <c r="Q321" s="1051"/>
      <c r="R321" s="1052"/>
      <c r="S321" s="1051"/>
      <c r="T321" s="1051"/>
      <c r="U321" s="1052"/>
      <c r="V321" s="1051"/>
      <c r="W321" s="1051"/>
      <c r="X321" s="1052"/>
      <c r="Y321" s="1053"/>
      <c r="Z321" s="1051"/>
      <c r="AA321" s="1051"/>
      <c r="AB321" s="1052"/>
      <c r="AC321" s="1051"/>
      <c r="AD321" s="1051"/>
      <c r="AE321" s="1052"/>
      <c r="AF321" s="1051"/>
      <c r="AG321" s="1051"/>
      <c r="AH321" s="1051"/>
      <c r="AI321" s="1051"/>
      <c r="AJ321" s="1052"/>
      <c r="AK321" s="1051"/>
      <c r="AL321" s="1051"/>
      <c r="AM321" s="1052"/>
      <c r="AN321" s="1051"/>
      <c r="AO321" s="1051"/>
      <c r="AP321" s="1052"/>
      <c r="AQ321" s="1051"/>
      <c r="AR321" s="1051"/>
      <c r="AS321" s="1052"/>
      <c r="AT321" s="1051"/>
      <c r="AU321" s="1051"/>
      <c r="AV321" s="1052"/>
      <c r="AW321" s="1051"/>
      <c r="AX321" s="1051"/>
      <c r="AY321" s="1053"/>
      <c r="AZ321" s="1051"/>
      <c r="BA321" s="1051"/>
      <c r="BB321" s="1053"/>
      <c r="BC321" s="1051"/>
      <c r="BD321" s="1051"/>
      <c r="BE321" s="1053"/>
      <c r="BF321" s="1051"/>
      <c r="BG321" s="1051"/>
      <c r="BH321" s="1053"/>
      <c r="BI321" s="1052"/>
      <c r="BJ321" s="1052"/>
      <c r="BK321" s="1052"/>
      <c r="BL321" s="1052"/>
      <c r="BM321" s="1052"/>
      <c r="BN321" s="1054"/>
      <c r="BO321" s="1076">
        <f t="shared" si="15"/>
        <v>0</v>
      </c>
      <c r="BP321" s="1051"/>
      <c r="BQ321" s="1052"/>
      <c r="BR321" s="1054"/>
      <c r="BS321" s="1053"/>
      <c r="BT321" s="1051"/>
      <c r="BU321" s="1051"/>
      <c r="BV321" s="1051"/>
      <c r="BW321" s="1052"/>
      <c r="BX321" s="1052"/>
      <c r="BY321" s="1052"/>
      <c r="BZ321" s="1052"/>
      <c r="CA321" s="1052"/>
      <c r="CB321" s="1053"/>
      <c r="CC321" s="1053"/>
      <c r="CD321" s="1053"/>
      <c r="CE321" s="1053"/>
      <c r="CF321" s="1053"/>
      <c r="CG321" s="1053"/>
      <c r="CH321" s="1053"/>
      <c r="CI321" s="1123"/>
      <c r="CJ321" s="1123"/>
      <c r="CK321" s="1123"/>
      <c r="CL321" s="1123"/>
      <c r="CM321" s="1123"/>
      <c r="CN321" s="1123"/>
      <c r="CO321" s="1123"/>
      <c r="CP321" s="1123"/>
      <c r="CQ321" s="1123"/>
      <c r="CR321" s="1123"/>
      <c r="CS321" s="1123"/>
      <c r="CT321" s="1123"/>
      <c r="CU321" s="1123"/>
      <c r="CV321" s="1123"/>
      <c r="CW321" s="1123"/>
      <c r="CX321" s="1123"/>
      <c r="CY321" s="1123"/>
      <c r="CZ321" s="1114"/>
      <c r="DA321" s="1114"/>
      <c r="DB321" s="1114"/>
      <c r="DC321" s="1114"/>
      <c r="DD321" s="1114"/>
      <c r="DE321" s="1114"/>
      <c r="DF321" s="1114"/>
      <c r="DG321" s="1114"/>
      <c r="DH321" s="1114"/>
      <c r="DI321" s="1114"/>
      <c r="DJ321" s="1114"/>
      <c r="DK321" s="1114"/>
      <c r="DL321" s="1114"/>
      <c r="DM321" s="1114"/>
      <c r="DN321" s="1114"/>
      <c r="DO321" s="1114"/>
      <c r="DP321" s="1114"/>
      <c r="DQ321" s="1114"/>
      <c r="DR321" s="1114"/>
      <c r="DS321" s="1114"/>
      <c r="DT321" s="1114"/>
      <c r="DU321" s="1114"/>
      <c r="DV321" s="1115"/>
      <c r="DW321" s="1116"/>
      <c r="DX321" s="1116"/>
      <c r="DY321" s="1116"/>
      <c r="DZ321" s="1116"/>
      <c r="EA321" s="1116"/>
      <c r="EB321" s="1116"/>
      <c r="EC321" s="1116"/>
      <c r="ED321" s="1116"/>
      <c r="EE321" s="1116"/>
      <c r="EF321" s="1116"/>
      <c r="EG321" s="1116"/>
      <c r="EH321" s="1116"/>
      <c r="EI321" s="1116"/>
      <c r="EJ321" s="1116"/>
      <c r="EK321" s="1116"/>
      <c r="EL321" s="1116"/>
      <c r="EM321" s="1116"/>
      <c r="EN321" s="1116"/>
      <c r="EO321" s="1116"/>
      <c r="EP321" s="1116"/>
      <c r="EQ321" s="1116"/>
      <c r="ER321" s="1116"/>
      <c r="ES321" s="1116"/>
    </row>
    <row r="322" spans="1:149" ht="15" customHeight="1">
      <c r="A322" s="1185">
        <v>307</v>
      </c>
      <c r="B322" s="1041"/>
      <c r="C322" s="1050"/>
      <c r="D322" s="1050"/>
      <c r="E322" s="1050"/>
      <c r="F322" s="1049"/>
      <c r="G322" s="1457"/>
      <c r="H322" s="1049"/>
      <c r="I322" s="1049"/>
      <c r="J322" s="1050"/>
      <c r="K322" s="1050"/>
      <c r="L322" s="1043"/>
      <c r="M322" s="1051"/>
      <c r="N322" s="1051"/>
      <c r="O322" s="1052"/>
      <c r="P322" s="1051"/>
      <c r="Q322" s="1051"/>
      <c r="R322" s="1052"/>
      <c r="S322" s="1051"/>
      <c r="T322" s="1051"/>
      <c r="U322" s="1052"/>
      <c r="V322" s="1051"/>
      <c r="W322" s="1051"/>
      <c r="X322" s="1052"/>
      <c r="Y322" s="1053"/>
      <c r="Z322" s="1051"/>
      <c r="AA322" s="1051"/>
      <c r="AB322" s="1052"/>
      <c r="AC322" s="1051"/>
      <c r="AD322" s="1051"/>
      <c r="AE322" s="1052"/>
      <c r="AF322" s="1051"/>
      <c r="AG322" s="1051"/>
      <c r="AH322" s="1051"/>
      <c r="AI322" s="1051"/>
      <c r="AJ322" s="1052"/>
      <c r="AK322" s="1051"/>
      <c r="AL322" s="1051"/>
      <c r="AM322" s="1052"/>
      <c r="AN322" s="1051"/>
      <c r="AO322" s="1051"/>
      <c r="AP322" s="1052"/>
      <c r="AQ322" s="1051"/>
      <c r="AR322" s="1051"/>
      <c r="AS322" s="1052"/>
      <c r="AT322" s="1051"/>
      <c r="AU322" s="1051"/>
      <c r="AV322" s="1052"/>
      <c r="AW322" s="1051"/>
      <c r="AX322" s="1051"/>
      <c r="AY322" s="1053"/>
      <c r="AZ322" s="1051"/>
      <c r="BA322" s="1051"/>
      <c r="BB322" s="1053"/>
      <c r="BC322" s="1051"/>
      <c r="BD322" s="1051"/>
      <c r="BE322" s="1053"/>
      <c r="BF322" s="1051"/>
      <c r="BG322" s="1051"/>
      <c r="BH322" s="1053"/>
      <c r="BI322" s="1052"/>
      <c r="BJ322" s="1052"/>
      <c r="BK322" s="1052"/>
      <c r="BL322" s="1052"/>
      <c r="BM322" s="1052"/>
      <c r="BN322" s="1054"/>
      <c r="BO322" s="1076">
        <f t="shared" si="15"/>
        <v>0</v>
      </c>
      <c r="BP322" s="1051"/>
      <c r="BQ322" s="1052"/>
      <c r="BR322" s="1054"/>
      <c r="BS322" s="1053"/>
      <c r="BT322" s="1051"/>
      <c r="BU322" s="1051"/>
      <c r="BV322" s="1051"/>
      <c r="BW322" s="1052"/>
      <c r="BX322" s="1052"/>
      <c r="BY322" s="1052"/>
      <c r="BZ322" s="1052"/>
      <c r="CA322" s="1052"/>
      <c r="CB322" s="1053"/>
      <c r="CC322" s="1053"/>
      <c r="CD322" s="1053"/>
      <c r="CE322" s="1053"/>
      <c r="CF322" s="1053"/>
      <c r="CG322" s="1053"/>
      <c r="CH322" s="1053"/>
      <c r="CI322" s="1123"/>
      <c r="CJ322" s="1123"/>
      <c r="CK322" s="1123"/>
      <c r="CL322" s="1123"/>
      <c r="CM322" s="1123"/>
      <c r="CN322" s="1123"/>
      <c r="CO322" s="1123"/>
      <c r="CP322" s="1123"/>
      <c r="CQ322" s="1123"/>
      <c r="CR322" s="1123"/>
      <c r="CS322" s="1123"/>
      <c r="CT322" s="1123"/>
      <c r="CU322" s="1123"/>
      <c r="CV322" s="1123"/>
      <c r="CW322" s="1123"/>
      <c r="CX322" s="1123"/>
      <c r="CY322" s="1123"/>
      <c r="CZ322" s="1114"/>
      <c r="DA322" s="1114"/>
      <c r="DB322" s="1114"/>
      <c r="DC322" s="1114"/>
      <c r="DD322" s="1114"/>
      <c r="DE322" s="1114"/>
      <c r="DF322" s="1114"/>
      <c r="DG322" s="1114"/>
      <c r="DH322" s="1114"/>
      <c r="DI322" s="1114"/>
      <c r="DJ322" s="1114"/>
      <c r="DK322" s="1114"/>
      <c r="DL322" s="1114"/>
      <c r="DM322" s="1114"/>
      <c r="DN322" s="1114"/>
      <c r="DO322" s="1114"/>
      <c r="DP322" s="1114"/>
      <c r="DQ322" s="1114"/>
      <c r="DR322" s="1114"/>
      <c r="DS322" s="1114"/>
      <c r="DT322" s="1114"/>
      <c r="DU322" s="1114"/>
      <c r="DV322" s="1115"/>
      <c r="DW322" s="1116"/>
      <c r="DX322" s="1116"/>
      <c r="DY322" s="1116"/>
      <c r="DZ322" s="1116"/>
      <c r="EA322" s="1116"/>
      <c r="EB322" s="1116"/>
      <c r="EC322" s="1116"/>
      <c r="ED322" s="1116"/>
      <c r="EE322" s="1116"/>
      <c r="EF322" s="1116"/>
      <c r="EG322" s="1116"/>
      <c r="EH322" s="1116"/>
      <c r="EI322" s="1116"/>
      <c r="EJ322" s="1116"/>
      <c r="EK322" s="1116"/>
      <c r="EL322" s="1116"/>
      <c r="EM322" s="1116"/>
      <c r="EN322" s="1116"/>
      <c r="EO322" s="1116"/>
      <c r="EP322" s="1116"/>
      <c r="EQ322" s="1116"/>
      <c r="ER322" s="1116"/>
      <c r="ES322" s="1116"/>
    </row>
    <row r="323" spans="1:149" ht="15" customHeight="1">
      <c r="A323" s="1185">
        <v>308</v>
      </c>
      <c r="B323" s="1041"/>
      <c r="C323" s="1050"/>
      <c r="D323" s="1050"/>
      <c r="E323" s="1050"/>
      <c r="F323" s="1049"/>
      <c r="G323" s="1457"/>
      <c r="H323" s="1049"/>
      <c r="I323" s="1049"/>
      <c r="J323" s="1050"/>
      <c r="K323" s="1050"/>
      <c r="L323" s="1043"/>
      <c r="M323" s="1051"/>
      <c r="N323" s="1051"/>
      <c r="O323" s="1052"/>
      <c r="P323" s="1051"/>
      <c r="Q323" s="1051"/>
      <c r="R323" s="1052"/>
      <c r="S323" s="1051"/>
      <c r="T323" s="1051"/>
      <c r="U323" s="1052"/>
      <c r="V323" s="1051"/>
      <c r="W323" s="1051"/>
      <c r="X323" s="1052"/>
      <c r="Y323" s="1053"/>
      <c r="Z323" s="1051"/>
      <c r="AA323" s="1051"/>
      <c r="AB323" s="1052"/>
      <c r="AC323" s="1051"/>
      <c r="AD323" s="1051"/>
      <c r="AE323" s="1052"/>
      <c r="AF323" s="1051"/>
      <c r="AG323" s="1051"/>
      <c r="AH323" s="1051"/>
      <c r="AI323" s="1051"/>
      <c r="AJ323" s="1052"/>
      <c r="AK323" s="1051"/>
      <c r="AL323" s="1051"/>
      <c r="AM323" s="1052"/>
      <c r="AN323" s="1051"/>
      <c r="AO323" s="1051"/>
      <c r="AP323" s="1052"/>
      <c r="AQ323" s="1051"/>
      <c r="AR323" s="1051"/>
      <c r="AS323" s="1052"/>
      <c r="AT323" s="1051"/>
      <c r="AU323" s="1051"/>
      <c r="AV323" s="1052"/>
      <c r="AW323" s="1051"/>
      <c r="AX323" s="1051"/>
      <c r="AY323" s="1053"/>
      <c r="AZ323" s="1051"/>
      <c r="BA323" s="1051"/>
      <c r="BB323" s="1053"/>
      <c r="BC323" s="1051"/>
      <c r="BD323" s="1051"/>
      <c r="BE323" s="1053"/>
      <c r="BF323" s="1051"/>
      <c r="BG323" s="1051"/>
      <c r="BH323" s="1053"/>
      <c r="BI323" s="1052"/>
      <c r="BJ323" s="1052"/>
      <c r="BK323" s="1052"/>
      <c r="BL323" s="1052"/>
      <c r="BM323" s="1052"/>
      <c r="BN323" s="1054"/>
      <c r="BO323" s="1076">
        <f t="shared" si="15"/>
        <v>0</v>
      </c>
      <c r="BP323" s="1051"/>
      <c r="BQ323" s="1052"/>
      <c r="BR323" s="1054"/>
      <c r="BS323" s="1053"/>
      <c r="BT323" s="1051"/>
      <c r="BU323" s="1051"/>
      <c r="BV323" s="1051"/>
      <c r="BW323" s="1052"/>
      <c r="BX323" s="1052"/>
      <c r="BY323" s="1052"/>
      <c r="BZ323" s="1052"/>
      <c r="CA323" s="1052"/>
      <c r="CB323" s="1053"/>
      <c r="CC323" s="1053"/>
      <c r="CD323" s="1053"/>
      <c r="CE323" s="1053"/>
      <c r="CF323" s="1053"/>
      <c r="CG323" s="1053"/>
      <c r="CH323" s="1053"/>
      <c r="CI323" s="1123"/>
      <c r="CJ323" s="1123"/>
      <c r="CK323" s="1123"/>
      <c r="CL323" s="1123"/>
      <c r="CM323" s="1123"/>
      <c r="CN323" s="1123"/>
      <c r="CO323" s="1123"/>
      <c r="CP323" s="1123"/>
      <c r="CQ323" s="1123"/>
      <c r="CR323" s="1123"/>
      <c r="CS323" s="1123"/>
      <c r="CT323" s="1123"/>
      <c r="CU323" s="1123"/>
      <c r="CV323" s="1123"/>
      <c r="CW323" s="1123"/>
      <c r="CX323" s="1123"/>
      <c r="CY323" s="1123"/>
      <c r="CZ323" s="1114"/>
      <c r="DA323" s="1114"/>
      <c r="DB323" s="1114"/>
      <c r="DC323" s="1114"/>
      <c r="DD323" s="1114"/>
      <c r="DE323" s="1114"/>
      <c r="DF323" s="1114"/>
      <c r="DG323" s="1114"/>
      <c r="DH323" s="1114"/>
      <c r="DI323" s="1114"/>
      <c r="DJ323" s="1114"/>
      <c r="DK323" s="1114"/>
      <c r="DL323" s="1114"/>
      <c r="DM323" s="1114"/>
      <c r="DN323" s="1114"/>
      <c r="DO323" s="1114"/>
      <c r="DP323" s="1114"/>
      <c r="DQ323" s="1114"/>
      <c r="DR323" s="1114"/>
      <c r="DS323" s="1114"/>
      <c r="DT323" s="1114"/>
      <c r="DU323" s="1114"/>
      <c r="DV323" s="1115"/>
      <c r="DW323" s="1116"/>
      <c r="DX323" s="1116"/>
      <c r="DY323" s="1116"/>
      <c r="DZ323" s="1116"/>
      <c r="EA323" s="1116"/>
      <c r="EB323" s="1116"/>
      <c r="EC323" s="1116"/>
      <c r="ED323" s="1116"/>
      <c r="EE323" s="1116"/>
      <c r="EF323" s="1116"/>
      <c r="EG323" s="1116"/>
      <c r="EH323" s="1116"/>
      <c r="EI323" s="1116"/>
      <c r="EJ323" s="1116"/>
      <c r="EK323" s="1116"/>
      <c r="EL323" s="1116"/>
      <c r="EM323" s="1116"/>
      <c r="EN323" s="1116"/>
      <c r="EO323" s="1116"/>
      <c r="EP323" s="1116"/>
      <c r="EQ323" s="1116"/>
      <c r="ER323" s="1116"/>
      <c r="ES323" s="1116"/>
    </row>
    <row r="324" spans="1:149" ht="15" customHeight="1">
      <c r="A324" s="1185">
        <v>309</v>
      </c>
      <c r="B324" s="1041"/>
      <c r="C324" s="1050"/>
      <c r="D324" s="1050"/>
      <c r="E324" s="1050"/>
      <c r="F324" s="1049"/>
      <c r="G324" s="1457"/>
      <c r="H324" s="1049"/>
      <c r="I324" s="1049"/>
      <c r="J324" s="1050"/>
      <c r="K324" s="1050"/>
      <c r="L324" s="1043"/>
      <c r="M324" s="1051"/>
      <c r="N324" s="1051"/>
      <c r="O324" s="1052"/>
      <c r="P324" s="1051"/>
      <c r="Q324" s="1051"/>
      <c r="R324" s="1052"/>
      <c r="S324" s="1051"/>
      <c r="T324" s="1051"/>
      <c r="U324" s="1052"/>
      <c r="V324" s="1051"/>
      <c r="W324" s="1051"/>
      <c r="X324" s="1052"/>
      <c r="Y324" s="1053"/>
      <c r="Z324" s="1051"/>
      <c r="AA324" s="1051"/>
      <c r="AB324" s="1052"/>
      <c r="AC324" s="1051"/>
      <c r="AD324" s="1051"/>
      <c r="AE324" s="1052"/>
      <c r="AF324" s="1051"/>
      <c r="AG324" s="1051"/>
      <c r="AH324" s="1051"/>
      <c r="AI324" s="1051"/>
      <c r="AJ324" s="1052"/>
      <c r="AK324" s="1051"/>
      <c r="AL324" s="1051"/>
      <c r="AM324" s="1052"/>
      <c r="AN324" s="1051"/>
      <c r="AO324" s="1051"/>
      <c r="AP324" s="1052"/>
      <c r="AQ324" s="1051"/>
      <c r="AR324" s="1051"/>
      <c r="AS324" s="1052"/>
      <c r="AT324" s="1051"/>
      <c r="AU324" s="1051"/>
      <c r="AV324" s="1052"/>
      <c r="AW324" s="1051"/>
      <c r="AX324" s="1051"/>
      <c r="AY324" s="1053"/>
      <c r="AZ324" s="1051"/>
      <c r="BA324" s="1051"/>
      <c r="BB324" s="1053"/>
      <c r="BC324" s="1051"/>
      <c r="BD324" s="1051"/>
      <c r="BE324" s="1053"/>
      <c r="BF324" s="1051"/>
      <c r="BG324" s="1051"/>
      <c r="BH324" s="1053"/>
      <c r="BI324" s="1052"/>
      <c r="BJ324" s="1052"/>
      <c r="BK324" s="1052"/>
      <c r="BL324" s="1052"/>
      <c r="BM324" s="1052"/>
      <c r="BN324" s="1054"/>
      <c r="BO324" s="1076">
        <f t="shared" si="15"/>
        <v>0</v>
      </c>
      <c r="BP324" s="1051"/>
      <c r="BQ324" s="1052"/>
      <c r="BR324" s="1054"/>
      <c r="BS324" s="1053"/>
      <c r="BT324" s="1051"/>
      <c r="BU324" s="1051"/>
      <c r="BV324" s="1051"/>
      <c r="BW324" s="1052"/>
      <c r="BX324" s="1052"/>
      <c r="BY324" s="1052"/>
      <c r="BZ324" s="1052"/>
      <c r="CA324" s="1052"/>
      <c r="CB324" s="1053"/>
      <c r="CC324" s="1053"/>
      <c r="CD324" s="1053"/>
      <c r="CE324" s="1053"/>
      <c r="CF324" s="1053"/>
      <c r="CG324" s="1053"/>
      <c r="CH324" s="1053"/>
      <c r="CI324" s="1123"/>
      <c r="CJ324" s="1123"/>
      <c r="CK324" s="1123"/>
      <c r="CL324" s="1123"/>
      <c r="CM324" s="1123"/>
      <c r="CN324" s="1123"/>
      <c r="CO324" s="1123"/>
      <c r="CP324" s="1123"/>
      <c r="CQ324" s="1123"/>
      <c r="CR324" s="1123"/>
      <c r="CS324" s="1123"/>
      <c r="CT324" s="1123"/>
      <c r="CU324" s="1123"/>
      <c r="CV324" s="1123"/>
      <c r="CW324" s="1123"/>
      <c r="CX324" s="1123"/>
      <c r="CY324" s="1123"/>
      <c r="CZ324" s="1114"/>
      <c r="DA324" s="1114"/>
      <c r="DB324" s="1114"/>
      <c r="DC324" s="1114"/>
      <c r="DD324" s="1114"/>
      <c r="DE324" s="1114"/>
      <c r="DF324" s="1114"/>
      <c r="DG324" s="1114"/>
      <c r="DH324" s="1114"/>
      <c r="DI324" s="1114"/>
      <c r="DJ324" s="1114"/>
      <c r="DK324" s="1114"/>
      <c r="DL324" s="1114"/>
      <c r="DM324" s="1114"/>
      <c r="DN324" s="1114"/>
      <c r="DO324" s="1114"/>
      <c r="DP324" s="1114"/>
      <c r="DQ324" s="1114"/>
      <c r="DR324" s="1114"/>
      <c r="DS324" s="1114"/>
      <c r="DT324" s="1114"/>
      <c r="DU324" s="1114"/>
      <c r="DV324" s="1115"/>
      <c r="DW324" s="1116"/>
      <c r="DX324" s="1116"/>
      <c r="DY324" s="1116"/>
      <c r="DZ324" s="1116"/>
      <c r="EA324" s="1116"/>
      <c r="EB324" s="1116"/>
      <c r="EC324" s="1116"/>
      <c r="ED324" s="1116"/>
      <c r="EE324" s="1116"/>
      <c r="EF324" s="1116"/>
      <c r="EG324" s="1116"/>
      <c r="EH324" s="1116"/>
      <c r="EI324" s="1116"/>
      <c r="EJ324" s="1116"/>
      <c r="EK324" s="1116"/>
      <c r="EL324" s="1116"/>
      <c r="EM324" s="1116"/>
      <c r="EN324" s="1116"/>
      <c r="EO324" s="1116"/>
      <c r="EP324" s="1116"/>
      <c r="EQ324" s="1116"/>
      <c r="ER324" s="1116"/>
      <c r="ES324" s="1116"/>
    </row>
    <row r="325" spans="1:149" ht="15" customHeight="1">
      <c r="A325" s="1185">
        <v>310</v>
      </c>
      <c r="B325" s="1041"/>
      <c r="C325" s="1050"/>
      <c r="D325" s="1050"/>
      <c r="E325" s="1050"/>
      <c r="F325" s="1049"/>
      <c r="G325" s="1457"/>
      <c r="H325" s="1049"/>
      <c r="I325" s="1049"/>
      <c r="J325" s="1050"/>
      <c r="K325" s="1050"/>
      <c r="L325" s="1043"/>
      <c r="M325" s="1051"/>
      <c r="N325" s="1051"/>
      <c r="O325" s="1052"/>
      <c r="P325" s="1051"/>
      <c r="Q325" s="1051"/>
      <c r="R325" s="1052"/>
      <c r="S325" s="1051"/>
      <c r="T325" s="1051"/>
      <c r="U325" s="1052"/>
      <c r="V325" s="1051"/>
      <c r="W325" s="1051"/>
      <c r="X325" s="1052"/>
      <c r="Y325" s="1053"/>
      <c r="Z325" s="1051"/>
      <c r="AA325" s="1051"/>
      <c r="AB325" s="1052"/>
      <c r="AC325" s="1051"/>
      <c r="AD325" s="1051"/>
      <c r="AE325" s="1052"/>
      <c r="AF325" s="1051"/>
      <c r="AG325" s="1051"/>
      <c r="AH325" s="1051"/>
      <c r="AI325" s="1051"/>
      <c r="AJ325" s="1052"/>
      <c r="AK325" s="1051"/>
      <c r="AL325" s="1051"/>
      <c r="AM325" s="1052"/>
      <c r="AN325" s="1051"/>
      <c r="AO325" s="1051"/>
      <c r="AP325" s="1052"/>
      <c r="AQ325" s="1051"/>
      <c r="AR325" s="1051"/>
      <c r="AS325" s="1052"/>
      <c r="AT325" s="1051"/>
      <c r="AU325" s="1051"/>
      <c r="AV325" s="1052"/>
      <c r="AW325" s="1051"/>
      <c r="AX325" s="1051"/>
      <c r="AY325" s="1053"/>
      <c r="AZ325" s="1051"/>
      <c r="BA325" s="1051"/>
      <c r="BB325" s="1053"/>
      <c r="BC325" s="1051"/>
      <c r="BD325" s="1051"/>
      <c r="BE325" s="1053"/>
      <c r="BF325" s="1051"/>
      <c r="BG325" s="1051"/>
      <c r="BH325" s="1053"/>
      <c r="BI325" s="1052"/>
      <c r="BJ325" s="1052"/>
      <c r="BK325" s="1052"/>
      <c r="BL325" s="1052"/>
      <c r="BM325" s="1052"/>
      <c r="BN325" s="1054"/>
      <c r="BO325" s="1076">
        <f t="shared" si="15"/>
        <v>0</v>
      </c>
      <c r="BP325" s="1051"/>
      <c r="BQ325" s="1052"/>
      <c r="BR325" s="1054"/>
      <c r="BS325" s="1053"/>
      <c r="BT325" s="1051"/>
      <c r="BU325" s="1051"/>
      <c r="BV325" s="1051"/>
      <c r="BW325" s="1052"/>
      <c r="BX325" s="1052"/>
      <c r="BY325" s="1052"/>
      <c r="BZ325" s="1052"/>
      <c r="CA325" s="1052"/>
      <c r="CB325" s="1053"/>
      <c r="CC325" s="1053"/>
      <c r="CD325" s="1053"/>
      <c r="CE325" s="1053"/>
      <c r="CF325" s="1053"/>
      <c r="CG325" s="1053"/>
      <c r="CH325" s="1053"/>
      <c r="CI325" s="1123"/>
      <c r="CJ325" s="1123"/>
      <c r="CK325" s="1123"/>
      <c r="CL325" s="1123"/>
      <c r="CM325" s="1123"/>
      <c r="CN325" s="1123"/>
      <c r="CO325" s="1123"/>
      <c r="CP325" s="1123"/>
      <c r="CQ325" s="1123"/>
      <c r="CR325" s="1123"/>
      <c r="CS325" s="1123"/>
      <c r="CT325" s="1123"/>
      <c r="CU325" s="1123"/>
      <c r="CV325" s="1123"/>
      <c r="CW325" s="1123"/>
      <c r="CX325" s="1123"/>
      <c r="CY325" s="1123"/>
      <c r="CZ325" s="1114"/>
      <c r="DA325" s="1114"/>
      <c r="DB325" s="1114"/>
      <c r="DC325" s="1114"/>
      <c r="DD325" s="1114"/>
      <c r="DE325" s="1114"/>
      <c r="DF325" s="1114"/>
      <c r="DG325" s="1114"/>
      <c r="DH325" s="1114"/>
      <c r="DI325" s="1114"/>
      <c r="DJ325" s="1114"/>
      <c r="DK325" s="1114"/>
      <c r="DL325" s="1114"/>
      <c r="DM325" s="1114"/>
      <c r="DN325" s="1114"/>
      <c r="DO325" s="1114"/>
      <c r="DP325" s="1114"/>
      <c r="DQ325" s="1114"/>
      <c r="DR325" s="1114"/>
      <c r="DS325" s="1114"/>
      <c r="DT325" s="1114"/>
      <c r="DU325" s="1114"/>
      <c r="DV325" s="1115"/>
      <c r="DW325" s="1116"/>
      <c r="DX325" s="1116"/>
      <c r="DY325" s="1116"/>
      <c r="DZ325" s="1116"/>
      <c r="EA325" s="1116"/>
      <c r="EB325" s="1116"/>
      <c r="EC325" s="1116"/>
      <c r="ED325" s="1116"/>
      <c r="EE325" s="1116"/>
      <c r="EF325" s="1116"/>
      <c r="EG325" s="1116"/>
      <c r="EH325" s="1116"/>
      <c r="EI325" s="1116"/>
      <c r="EJ325" s="1116"/>
      <c r="EK325" s="1116"/>
      <c r="EL325" s="1116"/>
      <c r="EM325" s="1116"/>
      <c r="EN325" s="1116"/>
      <c r="EO325" s="1116"/>
      <c r="EP325" s="1116"/>
      <c r="EQ325" s="1116"/>
      <c r="ER325" s="1116"/>
      <c r="ES325" s="1116"/>
    </row>
    <row r="326" spans="1:149" ht="15" customHeight="1">
      <c r="A326" s="1185">
        <v>311</v>
      </c>
      <c r="B326" s="1041"/>
      <c r="C326" s="1050"/>
      <c r="D326" s="1050"/>
      <c r="E326" s="1050"/>
      <c r="F326" s="1049"/>
      <c r="G326" s="1457"/>
      <c r="H326" s="1049"/>
      <c r="I326" s="1049"/>
      <c r="J326" s="1050"/>
      <c r="K326" s="1050"/>
      <c r="L326" s="1043"/>
      <c r="M326" s="1051"/>
      <c r="N326" s="1051"/>
      <c r="O326" s="1052"/>
      <c r="P326" s="1051"/>
      <c r="Q326" s="1051"/>
      <c r="R326" s="1052"/>
      <c r="S326" s="1051"/>
      <c r="T326" s="1051"/>
      <c r="U326" s="1052"/>
      <c r="V326" s="1051"/>
      <c r="W326" s="1051"/>
      <c r="X326" s="1052"/>
      <c r="Y326" s="1053"/>
      <c r="Z326" s="1051"/>
      <c r="AA326" s="1051"/>
      <c r="AB326" s="1052"/>
      <c r="AC326" s="1051"/>
      <c r="AD326" s="1051"/>
      <c r="AE326" s="1052"/>
      <c r="AF326" s="1051"/>
      <c r="AG326" s="1051"/>
      <c r="AH326" s="1051"/>
      <c r="AI326" s="1051"/>
      <c r="AJ326" s="1052"/>
      <c r="AK326" s="1051"/>
      <c r="AL326" s="1051"/>
      <c r="AM326" s="1052"/>
      <c r="AN326" s="1051"/>
      <c r="AO326" s="1051"/>
      <c r="AP326" s="1052"/>
      <c r="AQ326" s="1051"/>
      <c r="AR326" s="1051"/>
      <c r="AS326" s="1052"/>
      <c r="AT326" s="1051"/>
      <c r="AU326" s="1051"/>
      <c r="AV326" s="1052"/>
      <c r="AW326" s="1051"/>
      <c r="AX326" s="1051"/>
      <c r="AY326" s="1053"/>
      <c r="AZ326" s="1051"/>
      <c r="BA326" s="1051"/>
      <c r="BB326" s="1053"/>
      <c r="BC326" s="1051"/>
      <c r="BD326" s="1051"/>
      <c r="BE326" s="1053"/>
      <c r="BF326" s="1051"/>
      <c r="BG326" s="1051"/>
      <c r="BH326" s="1053"/>
      <c r="BI326" s="1052"/>
      <c r="BJ326" s="1052"/>
      <c r="BK326" s="1052"/>
      <c r="BL326" s="1052"/>
      <c r="BM326" s="1052"/>
      <c r="BN326" s="1054"/>
      <c r="BO326" s="1076">
        <f t="shared" si="15"/>
        <v>0</v>
      </c>
      <c r="BP326" s="1051"/>
      <c r="BQ326" s="1052"/>
      <c r="BR326" s="1054"/>
      <c r="BS326" s="1053"/>
      <c r="BT326" s="1051"/>
      <c r="BU326" s="1051"/>
      <c r="BV326" s="1051"/>
      <c r="BW326" s="1052"/>
      <c r="BX326" s="1052"/>
      <c r="BY326" s="1052"/>
      <c r="BZ326" s="1052"/>
      <c r="CA326" s="1052"/>
      <c r="CB326" s="1053"/>
      <c r="CC326" s="1053"/>
      <c r="CD326" s="1053"/>
      <c r="CE326" s="1053"/>
      <c r="CF326" s="1053"/>
      <c r="CG326" s="1053"/>
      <c r="CH326" s="1053"/>
      <c r="CI326" s="1123"/>
      <c r="CJ326" s="1123"/>
      <c r="CK326" s="1123"/>
      <c r="CL326" s="1123"/>
      <c r="CM326" s="1123"/>
      <c r="CN326" s="1123"/>
      <c r="CO326" s="1123"/>
      <c r="CP326" s="1123"/>
      <c r="CQ326" s="1123"/>
      <c r="CR326" s="1123"/>
      <c r="CS326" s="1123"/>
      <c r="CT326" s="1123"/>
      <c r="CU326" s="1123"/>
      <c r="CV326" s="1123"/>
      <c r="CW326" s="1123"/>
      <c r="CX326" s="1123"/>
      <c r="CY326" s="1123"/>
      <c r="CZ326" s="1114"/>
      <c r="DA326" s="1114"/>
      <c r="DB326" s="1114"/>
      <c r="DC326" s="1114"/>
      <c r="DD326" s="1114"/>
      <c r="DE326" s="1114"/>
      <c r="DF326" s="1114"/>
      <c r="DG326" s="1114"/>
      <c r="DH326" s="1114"/>
      <c r="DI326" s="1114"/>
      <c r="DJ326" s="1114"/>
      <c r="DK326" s="1114"/>
      <c r="DL326" s="1114"/>
      <c r="DM326" s="1114"/>
      <c r="DN326" s="1114"/>
      <c r="DO326" s="1114"/>
      <c r="DP326" s="1114"/>
      <c r="DQ326" s="1114"/>
      <c r="DR326" s="1114"/>
      <c r="DS326" s="1114"/>
      <c r="DT326" s="1114"/>
      <c r="DU326" s="1114"/>
      <c r="DV326" s="1115"/>
      <c r="DW326" s="1116"/>
      <c r="DX326" s="1116"/>
      <c r="DY326" s="1116"/>
      <c r="DZ326" s="1116"/>
      <c r="EA326" s="1116"/>
      <c r="EB326" s="1116"/>
      <c r="EC326" s="1116"/>
      <c r="ED326" s="1116"/>
      <c r="EE326" s="1116"/>
      <c r="EF326" s="1116"/>
      <c r="EG326" s="1116"/>
      <c r="EH326" s="1116"/>
      <c r="EI326" s="1116"/>
      <c r="EJ326" s="1116"/>
      <c r="EK326" s="1116"/>
      <c r="EL326" s="1116"/>
      <c r="EM326" s="1116"/>
      <c r="EN326" s="1116"/>
      <c r="EO326" s="1116"/>
      <c r="EP326" s="1116"/>
      <c r="EQ326" s="1116"/>
      <c r="ER326" s="1116"/>
      <c r="ES326" s="1116"/>
    </row>
    <row r="327" spans="1:149" ht="15" customHeight="1">
      <c r="A327" s="1185">
        <v>312</v>
      </c>
      <c r="B327" s="1041"/>
      <c r="C327" s="1050"/>
      <c r="D327" s="1050"/>
      <c r="E327" s="1050"/>
      <c r="F327" s="1049"/>
      <c r="G327" s="1457"/>
      <c r="H327" s="1049"/>
      <c r="I327" s="1049"/>
      <c r="J327" s="1050"/>
      <c r="K327" s="1050"/>
      <c r="L327" s="1043"/>
      <c r="M327" s="1051"/>
      <c r="N327" s="1051"/>
      <c r="O327" s="1052"/>
      <c r="P327" s="1051"/>
      <c r="Q327" s="1051"/>
      <c r="R327" s="1052"/>
      <c r="S327" s="1051"/>
      <c r="T327" s="1051"/>
      <c r="U327" s="1052"/>
      <c r="V327" s="1051"/>
      <c r="W327" s="1051"/>
      <c r="X327" s="1052"/>
      <c r="Y327" s="1053"/>
      <c r="Z327" s="1051"/>
      <c r="AA327" s="1051"/>
      <c r="AB327" s="1052"/>
      <c r="AC327" s="1051"/>
      <c r="AD327" s="1051"/>
      <c r="AE327" s="1052"/>
      <c r="AF327" s="1051"/>
      <c r="AG327" s="1051"/>
      <c r="AH327" s="1051"/>
      <c r="AI327" s="1051"/>
      <c r="AJ327" s="1052"/>
      <c r="AK327" s="1051"/>
      <c r="AL327" s="1051"/>
      <c r="AM327" s="1052"/>
      <c r="AN327" s="1051"/>
      <c r="AO327" s="1051"/>
      <c r="AP327" s="1052"/>
      <c r="AQ327" s="1051"/>
      <c r="AR327" s="1051"/>
      <c r="AS327" s="1052"/>
      <c r="AT327" s="1051"/>
      <c r="AU327" s="1051"/>
      <c r="AV327" s="1052"/>
      <c r="AW327" s="1051"/>
      <c r="AX327" s="1051"/>
      <c r="AY327" s="1053"/>
      <c r="AZ327" s="1051"/>
      <c r="BA327" s="1051"/>
      <c r="BB327" s="1053"/>
      <c r="BC327" s="1051"/>
      <c r="BD327" s="1051"/>
      <c r="BE327" s="1053"/>
      <c r="BF327" s="1051"/>
      <c r="BG327" s="1051"/>
      <c r="BH327" s="1053"/>
      <c r="BI327" s="1052"/>
      <c r="BJ327" s="1052"/>
      <c r="BK327" s="1052"/>
      <c r="BL327" s="1052"/>
      <c r="BM327" s="1052"/>
      <c r="BN327" s="1054"/>
      <c r="BO327" s="1076">
        <f t="shared" si="15"/>
        <v>0</v>
      </c>
      <c r="BP327" s="1051"/>
      <c r="BQ327" s="1052"/>
      <c r="BR327" s="1054"/>
      <c r="BS327" s="1053"/>
      <c r="BT327" s="1051"/>
      <c r="BU327" s="1051"/>
      <c r="BV327" s="1051"/>
      <c r="BW327" s="1052"/>
      <c r="BX327" s="1052"/>
      <c r="BY327" s="1052"/>
      <c r="BZ327" s="1052"/>
      <c r="CA327" s="1052"/>
      <c r="CB327" s="1053"/>
      <c r="CC327" s="1053"/>
      <c r="CD327" s="1053"/>
      <c r="CE327" s="1053"/>
      <c r="CF327" s="1053"/>
      <c r="CG327" s="1053"/>
      <c r="CH327" s="1053"/>
      <c r="CI327" s="1123"/>
      <c r="CJ327" s="1123"/>
      <c r="CK327" s="1123"/>
      <c r="CL327" s="1123"/>
      <c r="CM327" s="1123"/>
      <c r="CN327" s="1123"/>
      <c r="CO327" s="1123"/>
      <c r="CP327" s="1123"/>
      <c r="CQ327" s="1123"/>
      <c r="CR327" s="1123"/>
      <c r="CS327" s="1123"/>
      <c r="CT327" s="1123"/>
      <c r="CU327" s="1123"/>
      <c r="CV327" s="1123"/>
      <c r="CW327" s="1123"/>
      <c r="CX327" s="1123"/>
      <c r="CY327" s="1123"/>
      <c r="CZ327" s="1114"/>
      <c r="DA327" s="1114"/>
      <c r="DB327" s="1114"/>
      <c r="DC327" s="1114"/>
      <c r="DD327" s="1114"/>
      <c r="DE327" s="1114"/>
      <c r="DF327" s="1114"/>
      <c r="DG327" s="1114"/>
      <c r="DH327" s="1114"/>
      <c r="DI327" s="1114"/>
      <c r="DJ327" s="1114"/>
      <c r="DK327" s="1114"/>
      <c r="DL327" s="1114"/>
      <c r="DM327" s="1114"/>
      <c r="DN327" s="1114"/>
      <c r="DO327" s="1114"/>
      <c r="DP327" s="1114"/>
      <c r="DQ327" s="1114"/>
      <c r="DR327" s="1114"/>
      <c r="DS327" s="1114"/>
      <c r="DT327" s="1114"/>
      <c r="DU327" s="1114"/>
      <c r="DV327" s="1115"/>
      <c r="DW327" s="1116"/>
      <c r="DX327" s="1116"/>
      <c r="DY327" s="1116"/>
      <c r="DZ327" s="1116"/>
      <c r="EA327" s="1116"/>
      <c r="EB327" s="1116"/>
      <c r="EC327" s="1116"/>
      <c r="ED327" s="1116"/>
      <c r="EE327" s="1116"/>
      <c r="EF327" s="1116"/>
      <c r="EG327" s="1116"/>
      <c r="EH327" s="1116"/>
      <c r="EI327" s="1116"/>
      <c r="EJ327" s="1116"/>
      <c r="EK327" s="1116"/>
      <c r="EL327" s="1116"/>
      <c r="EM327" s="1116"/>
      <c r="EN327" s="1116"/>
      <c r="EO327" s="1116"/>
      <c r="EP327" s="1116"/>
      <c r="EQ327" s="1116"/>
      <c r="ER327" s="1116"/>
      <c r="ES327" s="1116"/>
    </row>
    <row r="328" spans="1:149" ht="15" customHeight="1">
      <c r="A328" s="1185">
        <v>313</v>
      </c>
      <c r="B328" s="1041"/>
      <c r="C328" s="1050"/>
      <c r="D328" s="1050"/>
      <c r="E328" s="1050"/>
      <c r="F328" s="1049"/>
      <c r="G328" s="1457"/>
      <c r="H328" s="1049"/>
      <c r="I328" s="1049"/>
      <c r="J328" s="1050"/>
      <c r="K328" s="1050"/>
      <c r="L328" s="1043"/>
      <c r="M328" s="1051"/>
      <c r="N328" s="1051"/>
      <c r="O328" s="1052"/>
      <c r="P328" s="1051"/>
      <c r="Q328" s="1051"/>
      <c r="R328" s="1052"/>
      <c r="S328" s="1051"/>
      <c r="T328" s="1051"/>
      <c r="U328" s="1052"/>
      <c r="V328" s="1051"/>
      <c r="W328" s="1051"/>
      <c r="X328" s="1052"/>
      <c r="Y328" s="1053"/>
      <c r="Z328" s="1051"/>
      <c r="AA328" s="1051"/>
      <c r="AB328" s="1052"/>
      <c r="AC328" s="1051"/>
      <c r="AD328" s="1051"/>
      <c r="AE328" s="1052"/>
      <c r="AF328" s="1051"/>
      <c r="AG328" s="1051"/>
      <c r="AH328" s="1051"/>
      <c r="AI328" s="1051"/>
      <c r="AJ328" s="1052"/>
      <c r="AK328" s="1051"/>
      <c r="AL328" s="1051"/>
      <c r="AM328" s="1052"/>
      <c r="AN328" s="1051"/>
      <c r="AO328" s="1051"/>
      <c r="AP328" s="1052"/>
      <c r="AQ328" s="1051"/>
      <c r="AR328" s="1051"/>
      <c r="AS328" s="1052"/>
      <c r="AT328" s="1051"/>
      <c r="AU328" s="1051"/>
      <c r="AV328" s="1052"/>
      <c r="AW328" s="1051"/>
      <c r="AX328" s="1051"/>
      <c r="AY328" s="1053"/>
      <c r="AZ328" s="1051"/>
      <c r="BA328" s="1051"/>
      <c r="BB328" s="1053"/>
      <c r="BC328" s="1051"/>
      <c r="BD328" s="1051"/>
      <c r="BE328" s="1053"/>
      <c r="BF328" s="1051"/>
      <c r="BG328" s="1051"/>
      <c r="BH328" s="1053"/>
      <c r="BI328" s="1052"/>
      <c r="BJ328" s="1052"/>
      <c r="BK328" s="1052"/>
      <c r="BL328" s="1052"/>
      <c r="BM328" s="1052"/>
      <c r="BN328" s="1054"/>
      <c r="BO328" s="1076">
        <f t="shared" si="15"/>
        <v>0</v>
      </c>
      <c r="BP328" s="1051"/>
      <c r="BQ328" s="1052"/>
      <c r="BR328" s="1054"/>
      <c r="BS328" s="1053"/>
      <c r="BT328" s="1051"/>
      <c r="BU328" s="1051"/>
      <c r="BV328" s="1051"/>
      <c r="BW328" s="1052"/>
      <c r="BX328" s="1052"/>
      <c r="BY328" s="1052"/>
      <c r="BZ328" s="1052"/>
      <c r="CA328" s="1052"/>
      <c r="CB328" s="1053"/>
      <c r="CC328" s="1053"/>
      <c r="CD328" s="1053"/>
      <c r="CE328" s="1053"/>
      <c r="CF328" s="1053"/>
      <c r="CG328" s="1053"/>
      <c r="CH328" s="1053"/>
      <c r="CI328" s="1123"/>
      <c r="CJ328" s="1123"/>
      <c r="CK328" s="1123"/>
      <c r="CL328" s="1123"/>
      <c r="CM328" s="1123"/>
      <c r="CN328" s="1123"/>
      <c r="CO328" s="1123"/>
      <c r="CP328" s="1123"/>
      <c r="CQ328" s="1123"/>
      <c r="CR328" s="1123"/>
      <c r="CS328" s="1123"/>
      <c r="CT328" s="1123"/>
      <c r="CU328" s="1123"/>
      <c r="CV328" s="1123"/>
      <c r="CW328" s="1123"/>
      <c r="CX328" s="1123"/>
      <c r="CY328" s="1123"/>
      <c r="CZ328" s="1114"/>
      <c r="DA328" s="1114"/>
      <c r="DB328" s="1114"/>
      <c r="DC328" s="1114"/>
      <c r="DD328" s="1114"/>
      <c r="DE328" s="1114"/>
      <c r="DF328" s="1114"/>
      <c r="DG328" s="1114"/>
      <c r="DH328" s="1114"/>
      <c r="DI328" s="1114"/>
      <c r="DJ328" s="1114"/>
      <c r="DK328" s="1114"/>
      <c r="DL328" s="1114"/>
      <c r="DM328" s="1114"/>
      <c r="DN328" s="1114"/>
      <c r="DO328" s="1114"/>
      <c r="DP328" s="1114"/>
      <c r="DQ328" s="1114"/>
      <c r="DR328" s="1114"/>
      <c r="DS328" s="1114"/>
      <c r="DT328" s="1114"/>
      <c r="DU328" s="1114"/>
      <c r="DV328" s="1115"/>
      <c r="DW328" s="1116"/>
      <c r="DX328" s="1116"/>
      <c r="DY328" s="1116"/>
      <c r="DZ328" s="1116"/>
      <c r="EA328" s="1116"/>
      <c r="EB328" s="1116"/>
      <c r="EC328" s="1116"/>
      <c r="ED328" s="1116"/>
      <c r="EE328" s="1116"/>
      <c r="EF328" s="1116"/>
      <c r="EG328" s="1116"/>
      <c r="EH328" s="1116"/>
      <c r="EI328" s="1116"/>
      <c r="EJ328" s="1116"/>
      <c r="EK328" s="1116"/>
      <c r="EL328" s="1116"/>
      <c r="EM328" s="1116"/>
      <c r="EN328" s="1116"/>
      <c r="EO328" s="1116"/>
      <c r="EP328" s="1116"/>
      <c r="EQ328" s="1116"/>
      <c r="ER328" s="1116"/>
      <c r="ES328" s="1116"/>
    </row>
    <row r="329" spans="1:149" ht="15" customHeight="1">
      <c r="A329" s="1185">
        <v>314</v>
      </c>
      <c r="B329" s="1041"/>
      <c r="C329" s="1050"/>
      <c r="D329" s="1050"/>
      <c r="E329" s="1050"/>
      <c r="F329" s="1049"/>
      <c r="G329" s="1457"/>
      <c r="H329" s="1049"/>
      <c r="I329" s="1049"/>
      <c r="J329" s="1050"/>
      <c r="K329" s="1050"/>
      <c r="L329" s="1043"/>
      <c r="M329" s="1051"/>
      <c r="N329" s="1051"/>
      <c r="O329" s="1052"/>
      <c r="P329" s="1051"/>
      <c r="Q329" s="1051"/>
      <c r="R329" s="1052"/>
      <c r="S329" s="1051"/>
      <c r="T329" s="1051"/>
      <c r="U329" s="1052"/>
      <c r="V329" s="1051"/>
      <c r="W329" s="1051"/>
      <c r="X329" s="1052"/>
      <c r="Y329" s="1053"/>
      <c r="Z329" s="1051"/>
      <c r="AA329" s="1051"/>
      <c r="AB329" s="1052"/>
      <c r="AC329" s="1051"/>
      <c r="AD329" s="1051"/>
      <c r="AE329" s="1052"/>
      <c r="AF329" s="1051"/>
      <c r="AG329" s="1051"/>
      <c r="AH329" s="1051"/>
      <c r="AI329" s="1051"/>
      <c r="AJ329" s="1052"/>
      <c r="AK329" s="1051"/>
      <c r="AL329" s="1051"/>
      <c r="AM329" s="1052"/>
      <c r="AN329" s="1051"/>
      <c r="AO329" s="1051"/>
      <c r="AP329" s="1052"/>
      <c r="AQ329" s="1051"/>
      <c r="AR329" s="1051"/>
      <c r="AS329" s="1052"/>
      <c r="AT329" s="1051"/>
      <c r="AU329" s="1051"/>
      <c r="AV329" s="1052"/>
      <c r="AW329" s="1051"/>
      <c r="AX329" s="1051"/>
      <c r="AY329" s="1053"/>
      <c r="AZ329" s="1051"/>
      <c r="BA329" s="1051"/>
      <c r="BB329" s="1053"/>
      <c r="BC329" s="1051"/>
      <c r="BD329" s="1051"/>
      <c r="BE329" s="1053"/>
      <c r="BF329" s="1051"/>
      <c r="BG329" s="1051"/>
      <c r="BH329" s="1053"/>
      <c r="BI329" s="1052"/>
      <c r="BJ329" s="1052"/>
      <c r="BK329" s="1052"/>
      <c r="BL329" s="1052"/>
      <c r="BM329" s="1052"/>
      <c r="BN329" s="1054"/>
      <c r="BO329" s="1076">
        <f t="shared" si="15"/>
        <v>0</v>
      </c>
      <c r="BP329" s="1051"/>
      <c r="BQ329" s="1052"/>
      <c r="BR329" s="1054"/>
      <c r="BS329" s="1053"/>
      <c r="BT329" s="1051"/>
      <c r="BU329" s="1051"/>
      <c r="BV329" s="1051"/>
      <c r="BW329" s="1052"/>
      <c r="BX329" s="1052"/>
      <c r="BY329" s="1052"/>
      <c r="BZ329" s="1052"/>
      <c r="CA329" s="1052"/>
      <c r="CB329" s="1053"/>
      <c r="CC329" s="1053"/>
      <c r="CD329" s="1053"/>
      <c r="CE329" s="1053"/>
      <c r="CF329" s="1053"/>
      <c r="CG329" s="1053"/>
      <c r="CH329" s="1053"/>
      <c r="CI329" s="1123"/>
      <c r="CJ329" s="1123"/>
      <c r="CK329" s="1123"/>
      <c r="CL329" s="1123"/>
      <c r="CM329" s="1123"/>
      <c r="CN329" s="1123"/>
      <c r="CO329" s="1123"/>
      <c r="CP329" s="1123"/>
      <c r="CQ329" s="1123"/>
      <c r="CR329" s="1123"/>
      <c r="CS329" s="1123"/>
      <c r="CT329" s="1123"/>
      <c r="CU329" s="1123"/>
      <c r="CV329" s="1123"/>
      <c r="CW329" s="1123"/>
      <c r="CX329" s="1123"/>
      <c r="CY329" s="1123"/>
      <c r="CZ329" s="1114"/>
      <c r="DA329" s="1114"/>
      <c r="DB329" s="1114"/>
      <c r="DC329" s="1114"/>
      <c r="DD329" s="1114"/>
      <c r="DE329" s="1114"/>
      <c r="DF329" s="1114"/>
      <c r="DG329" s="1114"/>
      <c r="DH329" s="1114"/>
      <c r="DI329" s="1114"/>
      <c r="DJ329" s="1114"/>
      <c r="DK329" s="1114"/>
      <c r="DL329" s="1114"/>
      <c r="DM329" s="1114"/>
      <c r="DN329" s="1114"/>
      <c r="DO329" s="1114"/>
      <c r="DP329" s="1114"/>
      <c r="DQ329" s="1114"/>
      <c r="DR329" s="1114"/>
      <c r="DS329" s="1114"/>
      <c r="DT329" s="1114"/>
      <c r="DU329" s="1114"/>
      <c r="DV329" s="1115"/>
      <c r="DW329" s="1116"/>
      <c r="DX329" s="1116"/>
      <c r="DY329" s="1116"/>
      <c r="DZ329" s="1116"/>
      <c r="EA329" s="1116"/>
      <c r="EB329" s="1116"/>
      <c r="EC329" s="1116"/>
      <c r="ED329" s="1116"/>
      <c r="EE329" s="1116"/>
      <c r="EF329" s="1116"/>
      <c r="EG329" s="1116"/>
      <c r="EH329" s="1116"/>
      <c r="EI329" s="1116"/>
      <c r="EJ329" s="1116"/>
      <c r="EK329" s="1116"/>
      <c r="EL329" s="1116"/>
      <c r="EM329" s="1116"/>
      <c r="EN329" s="1116"/>
      <c r="EO329" s="1116"/>
      <c r="EP329" s="1116"/>
      <c r="EQ329" s="1116"/>
      <c r="ER329" s="1116"/>
      <c r="ES329" s="1116"/>
    </row>
    <row r="330" spans="1:149" ht="15" customHeight="1">
      <c r="A330" s="1185">
        <v>315</v>
      </c>
      <c r="B330" s="1041"/>
      <c r="C330" s="1050"/>
      <c r="D330" s="1050"/>
      <c r="E330" s="1050"/>
      <c r="F330" s="1049"/>
      <c r="G330" s="1457"/>
      <c r="H330" s="1049"/>
      <c r="I330" s="1049"/>
      <c r="J330" s="1050"/>
      <c r="K330" s="1050"/>
      <c r="L330" s="1043"/>
      <c r="M330" s="1051"/>
      <c r="N330" s="1051"/>
      <c r="O330" s="1052"/>
      <c r="P330" s="1051"/>
      <c r="Q330" s="1051"/>
      <c r="R330" s="1052"/>
      <c r="S330" s="1051"/>
      <c r="T330" s="1051"/>
      <c r="U330" s="1052"/>
      <c r="V330" s="1051"/>
      <c r="W330" s="1051"/>
      <c r="X330" s="1052"/>
      <c r="Y330" s="1053"/>
      <c r="Z330" s="1051"/>
      <c r="AA330" s="1051"/>
      <c r="AB330" s="1052"/>
      <c r="AC330" s="1051"/>
      <c r="AD330" s="1051"/>
      <c r="AE330" s="1052"/>
      <c r="AF330" s="1051"/>
      <c r="AG330" s="1051"/>
      <c r="AH330" s="1051"/>
      <c r="AI330" s="1051"/>
      <c r="AJ330" s="1052"/>
      <c r="AK330" s="1051"/>
      <c r="AL330" s="1051"/>
      <c r="AM330" s="1052"/>
      <c r="AN330" s="1051"/>
      <c r="AO330" s="1051"/>
      <c r="AP330" s="1052"/>
      <c r="AQ330" s="1051"/>
      <c r="AR330" s="1051"/>
      <c r="AS330" s="1052"/>
      <c r="AT330" s="1051"/>
      <c r="AU330" s="1051"/>
      <c r="AV330" s="1052"/>
      <c r="AW330" s="1051"/>
      <c r="AX330" s="1051"/>
      <c r="AY330" s="1053"/>
      <c r="AZ330" s="1051"/>
      <c r="BA330" s="1051"/>
      <c r="BB330" s="1053"/>
      <c r="BC330" s="1051"/>
      <c r="BD330" s="1051"/>
      <c r="BE330" s="1053"/>
      <c r="BF330" s="1051"/>
      <c r="BG330" s="1051"/>
      <c r="BH330" s="1053"/>
      <c r="BI330" s="1052"/>
      <c r="BJ330" s="1052"/>
      <c r="BK330" s="1052"/>
      <c r="BL330" s="1052"/>
      <c r="BM330" s="1052"/>
      <c r="BN330" s="1054"/>
      <c r="BO330" s="1076">
        <f t="shared" si="15"/>
        <v>0</v>
      </c>
      <c r="BP330" s="1051"/>
      <c r="BQ330" s="1052"/>
      <c r="BR330" s="1054"/>
      <c r="BS330" s="1053"/>
      <c r="BT330" s="1051"/>
      <c r="BU330" s="1051"/>
      <c r="BV330" s="1051"/>
      <c r="BW330" s="1052"/>
      <c r="BX330" s="1052"/>
      <c r="BY330" s="1052"/>
      <c r="BZ330" s="1052"/>
      <c r="CA330" s="1052"/>
      <c r="CB330" s="1053"/>
      <c r="CC330" s="1053"/>
      <c r="CD330" s="1053"/>
      <c r="CE330" s="1053"/>
      <c r="CF330" s="1053"/>
      <c r="CG330" s="1053"/>
      <c r="CH330" s="1053"/>
      <c r="CI330" s="1123"/>
      <c r="CJ330" s="1123"/>
      <c r="CK330" s="1123"/>
      <c r="CL330" s="1123"/>
      <c r="CM330" s="1123"/>
      <c r="CN330" s="1123"/>
      <c r="CO330" s="1123"/>
      <c r="CP330" s="1123"/>
      <c r="CQ330" s="1123"/>
      <c r="CR330" s="1123"/>
      <c r="CS330" s="1123"/>
      <c r="CT330" s="1123"/>
      <c r="CU330" s="1123"/>
      <c r="CV330" s="1123"/>
      <c r="CW330" s="1123"/>
      <c r="CX330" s="1123"/>
      <c r="CY330" s="1123"/>
      <c r="CZ330" s="1114"/>
      <c r="DA330" s="1114"/>
      <c r="DB330" s="1114"/>
      <c r="DC330" s="1114"/>
      <c r="DD330" s="1114"/>
      <c r="DE330" s="1114"/>
      <c r="DF330" s="1114"/>
      <c r="DG330" s="1114"/>
      <c r="DH330" s="1114"/>
      <c r="DI330" s="1114"/>
      <c r="DJ330" s="1114"/>
      <c r="DK330" s="1114"/>
      <c r="DL330" s="1114"/>
      <c r="DM330" s="1114"/>
      <c r="DN330" s="1114"/>
      <c r="DO330" s="1114"/>
      <c r="DP330" s="1114"/>
      <c r="DQ330" s="1114"/>
      <c r="DR330" s="1114"/>
      <c r="DS330" s="1114"/>
      <c r="DT330" s="1114"/>
      <c r="DU330" s="1114"/>
      <c r="DV330" s="1115"/>
      <c r="DW330" s="1116"/>
      <c r="DX330" s="1116"/>
      <c r="DY330" s="1116"/>
      <c r="DZ330" s="1116"/>
      <c r="EA330" s="1116"/>
      <c r="EB330" s="1116"/>
      <c r="EC330" s="1116"/>
      <c r="ED330" s="1116"/>
      <c r="EE330" s="1116"/>
      <c r="EF330" s="1116"/>
      <c r="EG330" s="1116"/>
      <c r="EH330" s="1116"/>
      <c r="EI330" s="1116"/>
      <c r="EJ330" s="1116"/>
      <c r="EK330" s="1116"/>
      <c r="EL330" s="1116"/>
      <c r="EM330" s="1116"/>
      <c r="EN330" s="1116"/>
      <c r="EO330" s="1116"/>
      <c r="EP330" s="1116"/>
      <c r="EQ330" s="1116"/>
      <c r="ER330" s="1116"/>
      <c r="ES330" s="1116"/>
    </row>
    <row r="331" spans="1:149" ht="15" customHeight="1">
      <c r="A331" s="1185">
        <v>316</v>
      </c>
      <c r="B331" s="1041"/>
      <c r="C331" s="1050"/>
      <c r="D331" s="1050"/>
      <c r="E331" s="1050"/>
      <c r="F331" s="1049"/>
      <c r="G331" s="1457"/>
      <c r="H331" s="1049"/>
      <c r="I331" s="1049"/>
      <c r="J331" s="1050"/>
      <c r="K331" s="1050"/>
      <c r="L331" s="1043"/>
      <c r="M331" s="1051"/>
      <c r="N331" s="1051"/>
      <c r="O331" s="1052"/>
      <c r="P331" s="1051"/>
      <c r="Q331" s="1051"/>
      <c r="R331" s="1052"/>
      <c r="S331" s="1051"/>
      <c r="T331" s="1051"/>
      <c r="U331" s="1052"/>
      <c r="V331" s="1051"/>
      <c r="W331" s="1051"/>
      <c r="X331" s="1052"/>
      <c r="Y331" s="1053"/>
      <c r="Z331" s="1051"/>
      <c r="AA331" s="1051"/>
      <c r="AB331" s="1052"/>
      <c r="AC331" s="1051"/>
      <c r="AD331" s="1051"/>
      <c r="AE331" s="1052"/>
      <c r="AF331" s="1051"/>
      <c r="AG331" s="1051"/>
      <c r="AH331" s="1051"/>
      <c r="AI331" s="1051"/>
      <c r="AJ331" s="1052"/>
      <c r="AK331" s="1051"/>
      <c r="AL331" s="1051"/>
      <c r="AM331" s="1052"/>
      <c r="AN331" s="1051"/>
      <c r="AO331" s="1051"/>
      <c r="AP331" s="1052"/>
      <c r="AQ331" s="1051"/>
      <c r="AR331" s="1051"/>
      <c r="AS331" s="1052"/>
      <c r="AT331" s="1051"/>
      <c r="AU331" s="1051"/>
      <c r="AV331" s="1052"/>
      <c r="AW331" s="1051"/>
      <c r="AX331" s="1051"/>
      <c r="AY331" s="1053"/>
      <c r="AZ331" s="1051"/>
      <c r="BA331" s="1051"/>
      <c r="BB331" s="1053"/>
      <c r="BC331" s="1051"/>
      <c r="BD331" s="1051"/>
      <c r="BE331" s="1053"/>
      <c r="BF331" s="1051"/>
      <c r="BG331" s="1051"/>
      <c r="BH331" s="1053"/>
      <c r="BI331" s="1052"/>
      <c r="BJ331" s="1052"/>
      <c r="BK331" s="1052"/>
      <c r="BL331" s="1052"/>
      <c r="BM331" s="1052"/>
      <c r="BN331" s="1054"/>
      <c r="BO331" s="1076">
        <f t="shared" si="15"/>
        <v>0</v>
      </c>
      <c r="BP331" s="1051"/>
      <c r="BQ331" s="1052"/>
      <c r="BR331" s="1054"/>
      <c r="BS331" s="1053"/>
      <c r="BT331" s="1051"/>
      <c r="BU331" s="1051"/>
      <c r="BV331" s="1051"/>
      <c r="BW331" s="1052"/>
      <c r="BX331" s="1052"/>
      <c r="BY331" s="1052"/>
      <c r="BZ331" s="1052"/>
      <c r="CA331" s="1052"/>
      <c r="CB331" s="1053"/>
      <c r="CC331" s="1053"/>
      <c r="CD331" s="1053"/>
      <c r="CE331" s="1053"/>
      <c r="CF331" s="1053"/>
      <c r="CG331" s="1053"/>
      <c r="CH331" s="1053"/>
      <c r="CI331" s="1123"/>
      <c r="CJ331" s="1123"/>
      <c r="CK331" s="1123"/>
      <c r="CL331" s="1123"/>
      <c r="CM331" s="1123"/>
      <c r="CN331" s="1123"/>
      <c r="CO331" s="1123"/>
      <c r="CP331" s="1123"/>
      <c r="CQ331" s="1123"/>
      <c r="CR331" s="1123"/>
      <c r="CS331" s="1123"/>
      <c r="CT331" s="1123"/>
      <c r="CU331" s="1123"/>
      <c r="CV331" s="1123"/>
      <c r="CW331" s="1123"/>
      <c r="CX331" s="1123"/>
      <c r="CY331" s="1123"/>
      <c r="CZ331" s="1114"/>
      <c r="DA331" s="1114"/>
      <c r="DB331" s="1114"/>
      <c r="DC331" s="1114"/>
      <c r="DD331" s="1114"/>
      <c r="DE331" s="1114"/>
      <c r="DF331" s="1114"/>
      <c r="DG331" s="1114"/>
      <c r="DH331" s="1114"/>
      <c r="DI331" s="1114"/>
      <c r="DJ331" s="1114"/>
      <c r="DK331" s="1114"/>
      <c r="DL331" s="1114"/>
      <c r="DM331" s="1114"/>
      <c r="DN331" s="1114"/>
      <c r="DO331" s="1114"/>
      <c r="DP331" s="1114"/>
      <c r="DQ331" s="1114"/>
      <c r="DR331" s="1114"/>
      <c r="DS331" s="1114"/>
      <c r="DT331" s="1114"/>
      <c r="DU331" s="1114"/>
      <c r="DV331" s="1115"/>
      <c r="DW331" s="1116"/>
      <c r="DX331" s="1116"/>
      <c r="DY331" s="1116"/>
      <c r="DZ331" s="1116"/>
      <c r="EA331" s="1116"/>
      <c r="EB331" s="1116"/>
      <c r="EC331" s="1116"/>
      <c r="ED331" s="1116"/>
      <c r="EE331" s="1116"/>
      <c r="EF331" s="1116"/>
      <c r="EG331" s="1116"/>
      <c r="EH331" s="1116"/>
      <c r="EI331" s="1116"/>
      <c r="EJ331" s="1116"/>
      <c r="EK331" s="1116"/>
      <c r="EL331" s="1116"/>
      <c r="EM331" s="1116"/>
      <c r="EN331" s="1116"/>
      <c r="EO331" s="1116"/>
      <c r="EP331" s="1116"/>
      <c r="EQ331" s="1116"/>
      <c r="ER331" s="1116"/>
      <c r="ES331" s="1116"/>
    </row>
    <row r="332" spans="1:149" ht="15" customHeight="1">
      <c r="A332" s="1185">
        <v>317</v>
      </c>
      <c r="B332" s="1041"/>
      <c r="C332" s="1050"/>
      <c r="D332" s="1050"/>
      <c r="E332" s="1050"/>
      <c r="F332" s="1049"/>
      <c r="G332" s="1457"/>
      <c r="H332" s="1049"/>
      <c r="I332" s="1049"/>
      <c r="J332" s="1050"/>
      <c r="K332" s="1050"/>
      <c r="L332" s="1043"/>
      <c r="M332" s="1051"/>
      <c r="N332" s="1051"/>
      <c r="O332" s="1052"/>
      <c r="P332" s="1051"/>
      <c r="Q332" s="1051"/>
      <c r="R332" s="1052"/>
      <c r="S332" s="1051"/>
      <c r="T332" s="1051"/>
      <c r="U332" s="1052"/>
      <c r="V332" s="1051"/>
      <c r="W332" s="1051"/>
      <c r="X332" s="1052"/>
      <c r="Y332" s="1053"/>
      <c r="Z332" s="1051"/>
      <c r="AA332" s="1051"/>
      <c r="AB332" s="1052"/>
      <c r="AC332" s="1051"/>
      <c r="AD332" s="1051"/>
      <c r="AE332" s="1052"/>
      <c r="AF332" s="1051"/>
      <c r="AG332" s="1051"/>
      <c r="AH332" s="1051"/>
      <c r="AI332" s="1051"/>
      <c r="AJ332" s="1052"/>
      <c r="AK332" s="1051"/>
      <c r="AL332" s="1051"/>
      <c r="AM332" s="1052"/>
      <c r="AN332" s="1051"/>
      <c r="AO332" s="1051"/>
      <c r="AP332" s="1052"/>
      <c r="AQ332" s="1051"/>
      <c r="AR332" s="1051"/>
      <c r="AS332" s="1052"/>
      <c r="AT332" s="1051"/>
      <c r="AU332" s="1051"/>
      <c r="AV332" s="1052"/>
      <c r="AW332" s="1051"/>
      <c r="AX332" s="1051"/>
      <c r="AY332" s="1053"/>
      <c r="AZ332" s="1051"/>
      <c r="BA332" s="1051"/>
      <c r="BB332" s="1053"/>
      <c r="BC332" s="1051"/>
      <c r="BD332" s="1051"/>
      <c r="BE332" s="1053"/>
      <c r="BF332" s="1051"/>
      <c r="BG332" s="1051"/>
      <c r="BH332" s="1053"/>
      <c r="BI332" s="1052"/>
      <c r="BJ332" s="1052"/>
      <c r="BK332" s="1052"/>
      <c r="BL332" s="1052"/>
      <c r="BM332" s="1052"/>
      <c r="BN332" s="1054"/>
      <c r="BO332" s="1076">
        <f t="shared" si="15"/>
        <v>0</v>
      </c>
      <c r="BP332" s="1051"/>
      <c r="BQ332" s="1052"/>
      <c r="BR332" s="1054"/>
      <c r="BS332" s="1053"/>
      <c r="BT332" s="1051"/>
      <c r="BU332" s="1051"/>
      <c r="BV332" s="1051"/>
      <c r="BW332" s="1052"/>
      <c r="BX332" s="1052"/>
      <c r="BY332" s="1052"/>
      <c r="BZ332" s="1052"/>
      <c r="CA332" s="1052"/>
      <c r="CB332" s="1053"/>
      <c r="CC332" s="1053"/>
      <c r="CD332" s="1053"/>
      <c r="CE332" s="1053"/>
      <c r="CF332" s="1053"/>
      <c r="CG332" s="1053"/>
      <c r="CH332" s="1053"/>
      <c r="CI332" s="1123"/>
      <c r="CJ332" s="1123"/>
      <c r="CK332" s="1123"/>
      <c r="CL332" s="1123"/>
      <c r="CM332" s="1123"/>
      <c r="CN332" s="1123"/>
      <c r="CO332" s="1123"/>
      <c r="CP332" s="1123"/>
      <c r="CQ332" s="1123"/>
      <c r="CR332" s="1123"/>
      <c r="CS332" s="1123"/>
      <c r="CT332" s="1123"/>
      <c r="CU332" s="1123"/>
      <c r="CV332" s="1123"/>
      <c r="CW332" s="1123"/>
      <c r="CX332" s="1123"/>
      <c r="CY332" s="1123"/>
      <c r="CZ332" s="1114"/>
      <c r="DA332" s="1114"/>
      <c r="DB332" s="1114"/>
      <c r="DC332" s="1114"/>
      <c r="DD332" s="1114"/>
      <c r="DE332" s="1114"/>
      <c r="DF332" s="1114"/>
      <c r="DG332" s="1114"/>
      <c r="DH332" s="1114"/>
      <c r="DI332" s="1114"/>
      <c r="DJ332" s="1114"/>
      <c r="DK332" s="1114"/>
      <c r="DL332" s="1114"/>
      <c r="DM332" s="1114"/>
      <c r="DN332" s="1114"/>
      <c r="DO332" s="1114"/>
      <c r="DP332" s="1114"/>
      <c r="DQ332" s="1114"/>
      <c r="DR332" s="1114"/>
      <c r="DS332" s="1114"/>
      <c r="DT332" s="1114"/>
      <c r="DU332" s="1114"/>
      <c r="DV332" s="1115"/>
      <c r="DW332" s="1116"/>
      <c r="DX332" s="1116"/>
      <c r="DY332" s="1116"/>
      <c r="DZ332" s="1116"/>
      <c r="EA332" s="1116"/>
      <c r="EB332" s="1116"/>
      <c r="EC332" s="1116"/>
      <c r="ED332" s="1116"/>
      <c r="EE332" s="1116"/>
      <c r="EF332" s="1116"/>
      <c r="EG332" s="1116"/>
      <c r="EH332" s="1116"/>
      <c r="EI332" s="1116"/>
      <c r="EJ332" s="1116"/>
      <c r="EK332" s="1116"/>
      <c r="EL332" s="1116"/>
      <c r="EM332" s="1116"/>
      <c r="EN332" s="1116"/>
      <c r="EO332" s="1116"/>
      <c r="EP332" s="1116"/>
      <c r="EQ332" s="1116"/>
      <c r="ER332" s="1116"/>
      <c r="ES332" s="1116"/>
    </row>
    <row r="333" spans="1:149" ht="15" customHeight="1">
      <c r="A333" s="1185">
        <v>318</v>
      </c>
      <c r="B333" s="1041"/>
      <c r="C333" s="1050"/>
      <c r="D333" s="1050"/>
      <c r="E333" s="1050"/>
      <c r="F333" s="1049"/>
      <c r="G333" s="1457"/>
      <c r="H333" s="1049"/>
      <c r="I333" s="1049"/>
      <c r="J333" s="1050"/>
      <c r="K333" s="1050"/>
      <c r="L333" s="1043"/>
      <c r="M333" s="1051"/>
      <c r="N333" s="1051"/>
      <c r="O333" s="1052"/>
      <c r="P333" s="1051"/>
      <c r="Q333" s="1051"/>
      <c r="R333" s="1052"/>
      <c r="S333" s="1051"/>
      <c r="T333" s="1051"/>
      <c r="U333" s="1052"/>
      <c r="V333" s="1051"/>
      <c r="W333" s="1051"/>
      <c r="X333" s="1052"/>
      <c r="Y333" s="1053"/>
      <c r="Z333" s="1051"/>
      <c r="AA333" s="1051"/>
      <c r="AB333" s="1052"/>
      <c r="AC333" s="1051"/>
      <c r="AD333" s="1051"/>
      <c r="AE333" s="1052"/>
      <c r="AF333" s="1051"/>
      <c r="AG333" s="1051"/>
      <c r="AH333" s="1051"/>
      <c r="AI333" s="1051"/>
      <c r="AJ333" s="1052"/>
      <c r="AK333" s="1051"/>
      <c r="AL333" s="1051"/>
      <c r="AM333" s="1052"/>
      <c r="AN333" s="1051"/>
      <c r="AO333" s="1051"/>
      <c r="AP333" s="1052"/>
      <c r="AQ333" s="1051"/>
      <c r="AR333" s="1051"/>
      <c r="AS333" s="1052"/>
      <c r="AT333" s="1051"/>
      <c r="AU333" s="1051"/>
      <c r="AV333" s="1052"/>
      <c r="AW333" s="1051"/>
      <c r="AX333" s="1051"/>
      <c r="AY333" s="1053"/>
      <c r="AZ333" s="1051"/>
      <c r="BA333" s="1051"/>
      <c r="BB333" s="1053"/>
      <c r="BC333" s="1051"/>
      <c r="BD333" s="1051"/>
      <c r="BE333" s="1053"/>
      <c r="BF333" s="1051"/>
      <c r="BG333" s="1051"/>
      <c r="BH333" s="1053"/>
      <c r="BI333" s="1052"/>
      <c r="BJ333" s="1052"/>
      <c r="BK333" s="1052"/>
      <c r="BL333" s="1052"/>
      <c r="BM333" s="1052"/>
      <c r="BN333" s="1054"/>
      <c r="BO333" s="1076">
        <f t="shared" si="15"/>
        <v>0</v>
      </c>
      <c r="BP333" s="1051"/>
      <c r="BQ333" s="1052"/>
      <c r="BR333" s="1054"/>
      <c r="BS333" s="1053"/>
      <c r="BT333" s="1051"/>
      <c r="BU333" s="1051"/>
      <c r="BV333" s="1051"/>
      <c r="BW333" s="1052"/>
      <c r="BX333" s="1052"/>
      <c r="BY333" s="1052"/>
      <c r="BZ333" s="1052"/>
      <c r="CA333" s="1052"/>
      <c r="CB333" s="1053"/>
      <c r="CC333" s="1053"/>
      <c r="CD333" s="1053"/>
      <c r="CE333" s="1053"/>
      <c r="CF333" s="1053"/>
      <c r="CG333" s="1053"/>
      <c r="CH333" s="1053"/>
      <c r="CI333" s="1123"/>
      <c r="CJ333" s="1123"/>
      <c r="CK333" s="1123"/>
      <c r="CL333" s="1123"/>
      <c r="CM333" s="1123"/>
      <c r="CN333" s="1123"/>
      <c r="CO333" s="1123"/>
      <c r="CP333" s="1123"/>
      <c r="CQ333" s="1123"/>
      <c r="CR333" s="1123"/>
      <c r="CS333" s="1123"/>
      <c r="CT333" s="1123"/>
      <c r="CU333" s="1123"/>
      <c r="CV333" s="1123"/>
      <c r="CW333" s="1123"/>
      <c r="CX333" s="1123"/>
      <c r="CY333" s="1123"/>
      <c r="CZ333" s="1114"/>
      <c r="DA333" s="1114"/>
      <c r="DB333" s="1114"/>
      <c r="DC333" s="1114"/>
      <c r="DD333" s="1114"/>
      <c r="DE333" s="1114"/>
      <c r="DF333" s="1114"/>
      <c r="DG333" s="1114"/>
      <c r="DH333" s="1114"/>
      <c r="DI333" s="1114"/>
      <c r="DJ333" s="1114"/>
      <c r="DK333" s="1114"/>
      <c r="DL333" s="1114"/>
      <c r="DM333" s="1114"/>
      <c r="DN333" s="1114"/>
      <c r="DO333" s="1114"/>
      <c r="DP333" s="1114"/>
      <c r="DQ333" s="1114"/>
      <c r="DR333" s="1114"/>
      <c r="DS333" s="1114"/>
      <c r="DT333" s="1114"/>
      <c r="DU333" s="1114"/>
      <c r="DV333" s="1115"/>
      <c r="DW333" s="1116"/>
      <c r="DX333" s="1116"/>
      <c r="DY333" s="1116"/>
      <c r="DZ333" s="1116"/>
      <c r="EA333" s="1116"/>
      <c r="EB333" s="1116"/>
      <c r="EC333" s="1116"/>
      <c r="ED333" s="1116"/>
      <c r="EE333" s="1116"/>
      <c r="EF333" s="1116"/>
      <c r="EG333" s="1116"/>
      <c r="EH333" s="1116"/>
      <c r="EI333" s="1116"/>
      <c r="EJ333" s="1116"/>
      <c r="EK333" s="1116"/>
      <c r="EL333" s="1116"/>
      <c r="EM333" s="1116"/>
      <c r="EN333" s="1116"/>
      <c r="EO333" s="1116"/>
      <c r="EP333" s="1116"/>
      <c r="EQ333" s="1116"/>
      <c r="ER333" s="1116"/>
      <c r="ES333" s="1116"/>
    </row>
    <row r="334" spans="1:149" ht="15" customHeight="1">
      <c r="A334" s="1185">
        <v>319</v>
      </c>
      <c r="B334" s="1041"/>
      <c r="C334" s="1050"/>
      <c r="D334" s="1050"/>
      <c r="E334" s="1050"/>
      <c r="F334" s="1049"/>
      <c r="G334" s="1457"/>
      <c r="H334" s="1049"/>
      <c r="I334" s="1049"/>
      <c r="J334" s="1050"/>
      <c r="K334" s="1050"/>
      <c r="L334" s="1043"/>
      <c r="M334" s="1051"/>
      <c r="N334" s="1051"/>
      <c r="O334" s="1052"/>
      <c r="P334" s="1051"/>
      <c r="Q334" s="1051"/>
      <c r="R334" s="1052"/>
      <c r="S334" s="1051"/>
      <c r="T334" s="1051"/>
      <c r="U334" s="1052"/>
      <c r="V334" s="1051"/>
      <c r="W334" s="1051"/>
      <c r="X334" s="1052"/>
      <c r="Y334" s="1053"/>
      <c r="Z334" s="1051"/>
      <c r="AA334" s="1051"/>
      <c r="AB334" s="1052"/>
      <c r="AC334" s="1051"/>
      <c r="AD334" s="1051"/>
      <c r="AE334" s="1052"/>
      <c r="AF334" s="1051"/>
      <c r="AG334" s="1051"/>
      <c r="AH334" s="1051"/>
      <c r="AI334" s="1051"/>
      <c r="AJ334" s="1052"/>
      <c r="AK334" s="1051"/>
      <c r="AL334" s="1051"/>
      <c r="AM334" s="1052"/>
      <c r="AN334" s="1051"/>
      <c r="AO334" s="1051"/>
      <c r="AP334" s="1052"/>
      <c r="AQ334" s="1051"/>
      <c r="AR334" s="1051"/>
      <c r="AS334" s="1052"/>
      <c r="AT334" s="1051"/>
      <c r="AU334" s="1051"/>
      <c r="AV334" s="1052"/>
      <c r="AW334" s="1051"/>
      <c r="AX334" s="1051"/>
      <c r="AY334" s="1053"/>
      <c r="AZ334" s="1051"/>
      <c r="BA334" s="1051"/>
      <c r="BB334" s="1053"/>
      <c r="BC334" s="1051"/>
      <c r="BD334" s="1051"/>
      <c r="BE334" s="1053"/>
      <c r="BF334" s="1051"/>
      <c r="BG334" s="1051"/>
      <c r="BH334" s="1053"/>
      <c r="BI334" s="1052"/>
      <c r="BJ334" s="1052"/>
      <c r="BK334" s="1052"/>
      <c r="BL334" s="1052"/>
      <c r="BM334" s="1052"/>
      <c r="BN334" s="1054"/>
      <c r="BO334" s="1076">
        <f t="shared" si="15"/>
        <v>0</v>
      </c>
      <c r="BP334" s="1051"/>
      <c r="BQ334" s="1052"/>
      <c r="BR334" s="1054"/>
      <c r="BS334" s="1053"/>
      <c r="BT334" s="1051"/>
      <c r="BU334" s="1051"/>
      <c r="BV334" s="1051"/>
      <c r="BW334" s="1052"/>
      <c r="BX334" s="1052"/>
      <c r="BY334" s="1052"/>
      <c r="BZ334" s="1052"/>
      <c r="CA334" s="1052"/>
      <c r="CB334" s="1053"/>
      <c r="CC334" s="1053"/>
      <c r="CD334" s="1053"/>
      <c r="CE334" s="1053"/>
      <c r="CF334" s="1053"/>
      <c r="CG334" s="1053"/>
      <c r="CH334" s="1053"/>
      <c r="CI334" s="1123"/>
      <c r="CJ334" s="1123"/>
      <c r="CK334" s="1123"/>
      <c r="CL334" s="1123"/>
      <c r="CM334" s="1123"/>
      <c r="CN334" s="1123"/>
      <c r="CO334" s="1123"/>
      <c r="CP334" s="1123"/>
      <c r="CQ334" s="1123"/>
      <c r="CR334" s="1123"/>
      <c r="CS334" s="1123"/>
      <c r="CT334" s="1123"/>
      <c r="CU334" s="1123"/>
      <c r="CV334" s="1123"/>
      <c r="CW334" s="1123"/>
      <c r="CX334" s="1123"/>
      <c r="CY334" s="1123"/>
      <c r="CZ334" s="1114"/>
      <c r="DA334" s="1114"/>
      <c r="DB334" s="1114"/>
      <c r="DC334" s="1114"/>
      <c r="DD334" s="1114"/>
      <c r="DE334" s="1114"/>
      <c r="DF334" s="1114"/>
      <c r="DG334" s="1114"/>
      <c r="DH334" s="1114"/>
      <c r="DI334" s="1114"/>
      <c r="DJ334" s="1114"/>
      <c r="DK334" s="1114"/>
      <c r="DL334" s="1114"/>
      <c r="DM334" s="1114"/>
      <c r="DN334" s="1114"/>
      <c r="DO334" s="1114"/>
      <c r="DP334" s="1114"/>
      <c r="DQ334" s="1114"/>
      <c r="DR334" s="1114"/>
      <c r="DS334" s="1114"/>
      <c r="DT334" s="1114"/>
      <c r="DU334" s="1114"/>
      <c r="DV334" s="1115"/>
      <c r="DW334" s="1116"/>
      <c r="DX334" s="1116"/>
      <c r="DY334" s="1116"/>
      <c r="DZ334" s="1116"/>
      <c r="EA334" s="1116"/>
      <c r="EB334" s="1116"/>
      <c r="EC334" s="1116"/>
      <c r="ED334" s="1116"/>
      <c r="EE334" s="1116"/>
      <c r="EF334" s="1116"/>
      <c r="EG334" s="1116"/>
      <c r="EH334" s="1116"/>
      <c r="EI334" s="1116"/>
      <c r="EJ334" s="1116"/>
      <c r="EK334" s="1116"/>
      <c r="EL334" s="1116"/>
      <c r="EM334" s="1116"/>
      <c r="EN334" s="1116"/>
      <c r="EO334" s="1116"/>
      <c r="EP334" s="1116"/>
      <c r="EQ334" s="1116"/>
      <c r="ER334" s="1116"/>
      <c r="ES334" s="1116"/>
    </row>
    <row r="335" spans="1:149" ht="15" customHeight="1">
      <c r="A335" s="1185">
        <v>320</v>
      </c>
      <c r="B335" s="1041"/>
      <c r="C335" s="1050"/>
      <c r="D335" s="1050"/>
      <c r="E335" s="1050"/>
      <c r="F335" s="1049"/>
      <c r="G335" s="1457"/>
      <c r="H335" s="1049"/>
      <c r="I335" s="1049"/>
      <c r="J335" s="1050"/>
      <c r="K335" s="1050"/>
      <c r="L335" s="1043"/>
      <c r="M335" s="1051"/>
      <c r="N335" s="1051"/>
      <c r="O335" s="1052"/>
      <c r="P335" s="1051"/>
      <c r="Q335" s="1051"/>
      <c r="R335" s="1052"/>
      <c r="S335" s="1051"/>
      <c r="T335" s="1051"/>
      <c r="U335" s="1052"/>
      <c r="V335" s="1051"/>
      <c r="W335" s="1051"/>
      <c r="X335" s="1052"/>
      <c r="Y335" s="1053"/>
      <c r="Z335" s="1051"/>
      <c r="AA335" s="1051"/>
      <c r="AB335" s="1052"/>
      <c r="AC335" s="1051"/>
      <c r="AD335" s="1051"/>
      <c r="AE335" s="1052"/>
      <c r="AF335" s="1051"/>
      <c r="AG335" s="1051"/>
      <c r="AH335" s="1051"/>
      <c r="AI335" s="1051"/>
      <c r="AJ335" s="1052"/>
      <c r="AK335" s="1051"/>
      <c r="AL335" s="1051"/>
      <c r="AM335" s="1052"/>
      <c r="AN335" s="1051"/>
      <c r="AO335" s="1051"/>
      <c r="AP335" s="1052"/>
      <c r="AQ335" s="1051"/>
      <c r="AR335" s="1051"/>
      <c r="AS335" s="1052"/>
      <c r="AT335" s="1051"/>
      <c r="AU335" s="1051"/>
      <c r="AV335" s="1052"/>
      <c r="AW335" s="1051"/>
      <c r="AX335" s="1051"/>
      <c r="AY335" s="1053"/>
      <c r="AZ335" s="1051"/>
      <c r="BA335" s="1051"/>
      <c r="BB335" s="1053"/>
      <c r="BC335" s="1051"/>
      <c r="BD335" s="1051"/>
      <c r="BE335" s="1053"/>
      <c r="BF335" s="1051"/>
      <c r="BG335" s="1051"/>
      <c r="BH335" s="1053"/>
      <c r="BI335" s="1052"/>
      <c r="BJ335" s="1052"/>
      <c r="BK335" s="1052"/>
      <c r="BL335" s="1052"/>
      <c r="BM335" s="1052"/>
      <c r="BN335" s="1054"/>
      <c r="BO335" s="1076">
        <f t="shared" si="15"/>
        <v>0</v>
      </c>
      <c r="BP335" s="1051"/>
      <c r="BQ335" s="1052"/>
      <c r="BR335" s="1054"/>
      <c r="BS335" s="1053"/>
      <c r="BT335" s="1051"/>
      <c r="BU335" s="1051"/>
      <c r="BV335" s="1051"/>
      <c r="BW335" s="1052"/>
      <c r="BX335" s="1052"/>
      <c r="BY335" s="1052"/>
      <c r="BZ335" s="1052"/>
      <c r="CA335" s="1052"/>
      <c r="CB335" s="1053"/>
      <c r="CC335" s="1053"/>
      <c r="CD335" s="1053"/>
      <c r="CE335" s="1053"/>
      <c r="CF335" s="1053"/>
      <c r="CG335" s="1053"/>
      <c r="CH335" s="1053"/>
      <c r="CI335" s="1123"/>
      <c r="CJ335" s="1123"/>
      <c r="CK335" s="1123"/>
      <c r="CL335" s="1123"/>
      <c r="CM335" s="1123"/>
      <c r="CN335" s="1123"/>
      <c r="CO335" s="1123"/>
      <c r="CP335" s="1123"/>
      <c r="CQ335" s="1123"/>
      <c r="CR335" s="1123"/>
      <c r="CS335" s="1123"/>
      <c r="CT335" s="1123"/>
      <c r="CU335" s="1123"/>
      <c r="CV335" s="1123"/>
      <c r="CW335" s="1123"/>
      <c r="CX335" s="1123"/>
      <c r="CY335" s="1123"/>
      <c r="CZ335" s="1114"/>
      <c r="DA335" s="1114"/>
      <c r="DB335" s="1114"/>
      <c r="DC335" s="1114"/>
      <c r="DD335" s="1114"/>
      <c r="DE335" s="1114"/>
      <c r="DF335" s="1114"/>
      <c r="DG335" s="1114"/>
      <c r="DH335" s="1114"/>
      <c r="DI335" s="1114"/>
      <c r="DJ335" s="1114"/>
      <c r="DK335" s="1114"/>
      <c r="DL335" s="1114"/>
      <c r="DM335" s="1114"/>
      <c r="DN335" s="1114"/>
      <c r="DO335" s="1114"/>
      <c r="DP335" s="1114"/>
      <c r="DQ335" s="1114"/>
      <c r="DR335" s="1114"/>
      <c r="DS335" s="1114"/>
      <c r="DT335" s="1114"/>
      <c r="DU335" s="1114"/>
      <c r="DV335" s="1115"/>
      <c r="DW335" s="1116"/>
      <c r="DX335" s="1116"/>
      <c r="DY335" s="1116"/>
      <c r="DZ335" s="1116"/>
      <c r="EA335" s="1116"/>
      <c r="EB335" s="1116"/>
      <c r="EC335" s="1116"/>
      <c r="ED335" s="1116"/>
      <c r="EE335" s="1116"/>
      <c r="EF335" s="1116"/>
      <c r="EG335" s="1116"/>
      <c r="EH335" s="1116"/>
      <c r="EI335" s="1116"/>
      <c r="EJ335" s="1116"/>
      <c r="EK335" s="1116"/>
      <c r="EL335" s="1116"/>
      <c r="EM335" s="1116"/>
      <c r="EN335" s="1116"/>
      <c r="EO335" s="1116"/>
      <c r="EP335" s="1116"/>
      <c r="EQ335" s="1116"/>
      <c r="ER335" s="1116"/>
      <c r="ES335" s="1116"/>
    </row>
    <row r="336" spans="1:149" ht="15" customHeight="1">
      <c r="A336" s="1185">
        <v>321</v>
      </c>
      <c r="B336" s="1041"/>
      <c r="C336" s="1050"/>
      <c r="D336" s="1050"/>
      <c r="E336" s="1050"/>
      <c r="F336" s="1049"/>
      <c r="G336" s="1457"/>
      <c r="H336" s="1049"/>
      <c r="I336" s="1049"/>
      <c r="J336" s="1050"/>
      <c r="K336" s="1050"/>
      <c r="L336" s="1043"/>
      <c r="M336" s="1051"/>
      <c r="N336" s="1051"/>
      <c r="O336" s="1052"/>
      <c r="P336" s="1051"/>
      <c r="Q336" s="1051"/>
      <c r="R336" s="1052"/>
      <c r="S336" s="1051"/>
      <c r="T336" s="1051"/>
      <c r="U336" s="1052"/>
      <c r="V336" s="1051"/>
      <c r="W336" s="1051"/>
      <c r="X336" s="1052"/>
      <c r="Y336" s="1053"/>
      <c r="Z336" s="1051"/>
      <c r="AA336" s="1051"/>
      <c r="AB336" s="1052"/>
      <c r="AC336" s="1051"/>
      <c r="AD336" s="1051"/>
      <c r="AE336" s="1052"/>
      <c r="AF336" s="1051"/>
      <c r="AG336" s="1051"/>
      <c r="AH336" s="1051"/>
      <c r="AI336" s="1051"/>
      <c r="AJ336" s="1052"/>
      <c r="AK336" s="1051"/>
      <c r="AL336" s="1051"/>
      <c r="AM336" s="1052"/>
      <c r="AN336" s="1051"/>
      <c r="AO336" s="1051"/>
      <c r="AP336" s="1052"/>
      <c r="AQ336" s="1051"/>
      <c r="AR336" s="1051"/>
      <c r="AS336" s="1052"/>
      <c r="AT336" s="1051"/>
      <c r="AU336" s="1051"/>
      <c r="AV336" s="1052"/>
      <c r="AW336" s="1051"/>
      <c r="AX336" s="1051"/>
      <c r="AY336" s="1053"/>
      <c r="AZ336" s="1051"/>
      <c r="BA336" s="1051"/>
      <c r="BB336" s="1053"/>
      <c r="BC336" s="1051"/>
      <c r="BD336" s="1051"/>
      <c r="BE336" s="1053"/>
      <c r="BF336" s="1051"/>
      <c r="BG336" s="1051"/>
      <c r="BH336" s="1053"/>
      <c r="BI336" s="1052"/>
      <c r="BJ336" s="1052"/>
      <c r="BK336" s="1052"/>
      <c r="BL336" s="1052"/>
      <c r="BM336" s="1052"/>
      <c r="BN336" s="1054"/>
      <c r="BO336" s="1076">
        <f t="shared" si="15"/>
        <v>0</v>
      </c>
      <c r="BP336" s="1051"/>
      <c r="BQ336" s="1052"/>
      <c r="BR336" s="1054"/>
      <c r="BS336" s="1053"/>
      <c r="BT336" s="1051"/>
      <c r="BU336" s="1051"/>
      <c r="BV336" s="1051"/>
      <c r="BW336" s="1052"/>
      <c r="BX336" s="1052"/>
      <c r="BY336" s="1052"/>
      <c r="BZ336" s="1052"/>
      <c r="CA336" s="1052"/>
      <c r="CB336" s="1053"/>
      <c r="CC336" s="1053"/>
      <c r="CD336" s="1053"/>
      <c r="CE336" s="1053"/>
      <c r="CF336" s="1053"/>
      <c r="CG336" s="1053"/>
      <c r="CH336" s="1053"/>
      <c r="CI336" s="1123"/>
      <c r="CJ336" s="1123"/>
      <c r="CK336" s="1123"/>
      <c r="CL336" s="1123"/>
      <c r="CM336" s="1123"/>
      <c r="CN336" s="1123"/>
      <c r="CO336" s="1123"/>
      <c r="CP336" s="1123"/>
      <c r="CQ336" s="1123"/>
      <c r="CR336" s="1123"/>
      <c r="CS336" s="1123"/>
      <c r="CT336" s="1123"/>
      <c r="CU336" s="1123"/>
      <c r="CV336" s="1123"/>
      <c r="CW336" s="1123"/>
      <c r="CX336" s="1123"/>
      <c r="CY336" s="1123"/>
      <c r="CZ336" s="1114"/>
      <c r="DA336" s="1114"/>
      <c r="DB336" s="1114"/>
      <c r="DC336" s="1114"/>
      <c r="DD336" s="1114"/>
      <c r="DE336" s="1114"/>
      <c r="DF336" s="1114"/>
      <c r="DG336" s="1114"/>
      <c r="DH336" s="1114"/>
      <c r="DI336" s="1114"/>
      <c r="DJ336" s="1114"/>
      <c r="DK336" s="1114"/>
      <c r="DL336" s="1114"/>
      <c r="DM336" s="1114"/>
      <c r="DN336" s="1114"/>
      <c r="DO336" s="1114"/>
      <c r="DP336" s="1114"/>
      <c r="DQ336" s="1114"/>
      <c r="DR336" s="1114"/>
      <c r="DS336" s="1114"/>
      <c r="DT336" s="1114"/>
      <c r="DU336" s="1114"/>
      <c r="DV336" s="1115"/>
      <c r="DW336" s="1116"/>
      <c r="DX336" s="1116"/>
      <c r="DY336" s="1116"/>
      <c r="DZ336" s="1116"/>
      <c r="EA336" s="1116"/>
      <c r="EB336" s="1116"/>
      <c r="EC336" s="1116"/>
      <c r="ED336" s="1116"/>
      <c r="EE336" s="1116"/>
      <c r="EF336" s="1116"/>
      <c r="EG336" s="1116"/>
      <c r="EH336" s="1116"/>
      <c r="EI336" s="1116"/>
      <c r="EJ336" s="1116"/>
      <c r="EK336" s="1116"/>
      <c r="EL336" s="1116"/>
      <c r="EM336" s="1116"/>
      <c r="EN336" s="1116"/>
      <c r="EO336" s="1116"/>
      <c r="EP336" s="1116"/>
      <c r="EQ336" s="1116"/>
      <c r="ER336" s="1116"/>
      <c r="ES336" s="1116"/>
    </row>
    <row r="337" spans="1:149" ht="15" customHeight="1">
      <c r="A337" s="1185">
        <v>322</v>
      </c>
      <c r="B337" s="1041"/>
      <c r="C337" s="1050"/>
      <c r="D337" s="1050"/>
      <c r="E337" s="1050"/>
      <c r="F337" s="1049"/>
      <c r="G337" s="1457"/>
      <c r="H337" s="1049"/>
      <c r="I337" s="1049"/>
      <c r="J337" s="1050"/>
      <c r="K337" s="1050"/>
      <c r="L337" s="1043"/>
      <c r="M337" s="1051"/>
      <c r="N337" s="1051"/>
      <c r="O337" s="1052"/>
      <c r="P337" s="1051"/>
      <c r="Q337" s="1051"/>
      <c r="R337" s="1052"/>
      <c r="S337" s="1051"/>
      <c r="T337" s="1051"/>
      <c r="U337" s="1052"/>
      <c r="V337" s="1051"/>
      <c r="W337" s="1051"/>
      <c r="X337" s="1052"/>
      <c r="Y337" s="1053"/>
      <c r="Z337" s="1051"/>
      <c r="AA337" s="1051"/>
      <c r="AB337" s="1052"/>
      <c r="AC337" s="1051"/>
      <c r="AD337" s="1051"/>
      <c r="AE337" s="1052"/>
      <c r="AF337" s="1051"/>
      <c r="AG337" s="1051"/>
      <c r="AH337" s="1051"/>
      <c r="AI337" s="1051"/>
      <c r="AJ337" s="1052"/>
      <c r="AK337" s="1051"/>
      <c r="AL337" s="1051"/>
      <c r="AM337" s="1052"/>
      <c r="AN337" s="1051"/>
      <c r="AO337" s="1051"/>
      <c r="AP337" s="1052"/>
      <c r="AQ337" s="1051"/>
      <c r="AR337" s="1051"/>
      <c r="AS337" s="1052"/>
      <c r="AT337" s="1051"/>
      <c r="AU337" s="1051"/>
      <c r="AV337" s="1052"/>
      <c r="AW337" s="1051"/>
      <c r="AX337" s="1051"/>
      <c r="AY337" s="1053"/>
      <c r="AZ337" s="1051"/>
      <c r="BA337" s="1051"/>
      <c r="BB337" s="1053"/>
      <c r="BC337" s="1051"/>
      <c r="BD337" s="1051"/>
      <c r="BE337" s="1053"/>
      <c r="BF337" s="1051"/>
      <c r="BG337" s="1051"/>
      <c r="BH337" s="1053"/>
      <c r="BI337" s="1052"/>
      <c r="BJ337" s="1052"/>
      <c r="BK337" s="1052"/>
      <c r="BL337" s="1052"/>
      <c r="BM337" s="1052"/>
      <c r="BN337" s="1054"/>
      <c r="BO337" s="1076">
        <f t="shared" ref="BO337:BO400" si="16">H337</f>
        <v>0</v>
      </c>
      <c r="BP337" s="1051"/>
      <c r="BQ337" s="1052"/>
      <c r="BR337" s="1054"/>
      <c r="BS337" s="1053"/>
      <c r="BT337" s="1051"/>
      <c r="BU337" s="1051"/>
      <c r="BV337" s="1051"/>
      <c r="BW337" s="1052"/>
      <c r="BX337" s="1052"/>
      <c r="BY337" s="1052"/>
      <c r="BZ337" s="1052"/>
      <c r="CA337" s="1052"/>
      <c r="CB337" s="1053"/>
      <c r="CC337" s="1053"/>
      <c r="CD337" s="1053"/>
      <c r="CE337" s="1053"/>
      <c r="CF337" s="1053"/>
      <c r="CG337" s="1053"/>
      <c r="CH337" s="1053"/>
      <c r="CI337" s="1123"/>
      <c r="CJ337" s="1123"/>
      <c r="CK337" s="1123"/>
      <c r="CL337" s="1123"/>
      <c r="CM337" s="1123"/>
      <c r="CN337" s="1123"/>
      <c r="CO337" s="1123"/>
      <c r="CP337" s="1123"/>
      <c r="CQ337" s="1123"/>
      <c r="CR337" s="1123"/>
      <c r="CS337" s="1123"/>
      <c r="CT337" s="1123"/>
      <c r="CU337" s="1123"/>
      <c r="CV337" s="1123"/>
      <c r="CW337" s="1123"/>
      <c r="CX337" s="1123"/>
      <c r="CY337" s="1123"/>
      <c r="CZ337" s="1114"/>
      <c r="DA337" s="1114"/>
      <c r="DB337" s="1114"/>
      <c r="DC337" s="1114"/>
      <c r="DD337" s="1114"/>
      <c r="DE337" s="1114"/>
      <c r="DF337" s="1114"/>
      <c r="DG337" s="1114"/>
      <c r="DH337" s="1114"/>
      <c r="DI337" s="1114"/>
      <c r="DJ337" s="1114"/>
      <c r="DK337" s="1114"/>
      <c r="DL337" s="1114"/>
      <c r="DM337" s="1114"/>
      <c r="DN337" s="1114"/>
      <c r="DO337" s="1114"/>
      <c r="DP337" s="1114"/>
      <c r="DQ337" s="1114"/>
      <c r="DR337" s="1114"/>
      <c r="DS337" s="1114"/>
      <c r="DT337" s="1114"/>
      <c r="DU337" s="1114"/>
      <c r="DV337" s="1115"/>
      <c r="DW337" s="1116"/>
      <c r="DX337" s="1116"/>
      <c r="DY337" s="1116"/>
      <c r="DZ337" s="1116"/>
      <c r="EA337" s="1116"/>
      <c r="EB337" s="1116"/>
      <c r="EC337" s="1116"/>
      <c r="ED337" s="1116"/>
      <c r="EE337" s="1116"/>
      <c r="EF337" s="1116"/>
      <c r="EG337" s="1116"/>
      <c r="EH337" s="1116"/>
      <c r="EI337" s="1116"/>
      <c r="EJ337" s="1116"/>
      <c r="EK337" s="1116"/>
      <c r="EL337" s="1116"/>
      <c r="EM337" s="1116"/>
      <c r="EN337" s="1116"/>
      <c r="EO337" s="1116"/>
      <c r="EP337" s="1116"/>
      <c r="EQ337" s="1116"/>
      <c r="ER337" s="1116"/>
      <c r="ES337" s="1116"/>
    </row>
    <row r="338" spans="1:149" ht="15" customHeight="1">
      <c r="A338" s="1185">
        <v>323</v>
      </c>
      <c r="B338" s="1041"/>
      <c r="C338" s="1050"/>
      <c r="D338" s="1050"/>
      <c r="E338" s="1050"/>
      <c r="F338" s="1049"/>
      <c r="G338" s="1457"/>
      <c r="H338" s="1049"/>
      <c r="I338" s="1049"/>
      <c r="J338" s="1050"/>
      <c r="K338" s="1050"/>
      <c r="L338" s="1043"/>
      <c r="M338" s="1051"/>
      <c r="N338" s="1051"/>
      <c r="O338" s="1052"/>
      <c r="P338" s="1051"/>
      <c r="Q338" s="1051"/>
      <c r="R338" s="1052"/>
      <c r="S338" s="1051"/>
      <c r="T338" s="1051"/>
      <c r="U338" s="1052"/>
      <c r="V338" s="1051"/>
      <c r="W338" s="1051"/>
      <c r="X338" s="1052"/>
      <c r="Y338" s="1053"/>
      <c r="Z338" s="1051"/>
      <c r="AA338" s="1051"/>
      <c r="AB338" s="1052"/>
      <c r="AC338" s="1051"/>
      <c r="AD338" s="1051"/>
      <c r="AE338" s="1052"/>
      <c r="AF338" s="1051"/>
      <c r="AG338" s="1051"/>
      <c r="AH338" s="1051"/>
      <c r="AI338" s="1051"/>
      <c r="AJ338" s="1052"/>
      <c r="AK338" s="1051"/>
      <c r="AL338" s="1051"/>
      <c r="AM338" s="1052"/>
      <c r="AN338" s="1051"/>
      <c r="AO338" s="1051"/>
      <c r="AP338" s="1052"/>
      <c r="AQ338" s="1051"/>
      <c r="AR338" s="1051"/>
      <c r="AS338" s="1052"/>
      <c r="AT338" s="1051"/>
      <c r="AU338" s="1051"/>
      <c r="AV338" s="1052"/>
      <c r="AW338" s="1051"/>
      <c r="AX338" s="1051"/>
      <c r="AY338" s="1053"/>
      <c r="AZ338" s="1051"/>
      <c r="BA338" s="1051"/>
      <c r="BB338" s="1053"/>
      <c r="BC338" s="1051"/>
      <c r="BD338" s="1051"/>
      <c r="BE338" s="1053"/>
      <c r="BF338" s="1051"/>
      <c r="BG338" s="1051"/>
      <c r="BH338" s="1053"/>
      <c r="BI338" s="1052"/>
      <c r="BJ338" s="1052"/>
      <c r="BK338" s="1052"/>
      <c r="BL338" s="1052"/>
      <c r="BM338" s="1052"/>
      <c r="BN338" s="1054"/>
      <c r="BO338" s="1076">
        <f t="shared" si="16"/>
        <v>0</v>
      </c>
      <c r="BP338" s="1051"/>
      <c r="BQ338" s="1052"/>
      <c r="BR338" s="1054"/>
      <c r="BS338" s="1053"/>
      <c r="BT338" s="1051"/>
      <c r="BU338" s="1051"/>
      <c r="BV338" s="1051"/>
      <c r="BW338" s="1052"/>
      <c r="BX338" s="1052"/>
      <c r="BY338" s="1052"/>
      <c r="BZ338" s="1052"/>
      <c r="CA338" s="1052"/>
      <c r="CB338" s="1053"/>
      <c r="CC338" s="1053"/>
      <c r="CD338" s="1053"/>
      <c r="CE338" s="1053"/>
      <c r="CF338" s="1053"/>
      <c r="CG338" s="1053"/>
      <c r="CH338" s="1053"/>
      <c r="CI338" s="1123"/>
      <c r="CJ338" s="1123"/>
      <c r="CK338" s="1123"/>
      <c r="CL338" s="1123"/>
      <c r="CM338" s="1123"/>
      <c r="CN338" s="1123"/>
      <c r="CO338" s="1123"/>
      <c r="CP338" s="1123"/>
      <c r="CQ338" s="1123"/>
      <c r="CR338" s="1123"/>
      <c r="CS338" s="1123"/>
      <c r="CT338" s="1123"/>
      <c r="CU338" s="1123"/>
      <c r="CV338" s="1123"/>
      <c r="CW338" s="1123"/>
      <c r="CX338" s="1123"/>
      <c r="CY338" s="1123"/>
      <c r="CZ338" s="1114"/>
      <c r="DA338" s="1114"/>
      <c r="DB338" s="1114"/>
      <c r="DC338" s="1114"/>
      <c r="DD338" s="1114"/>
      <c r="DE338" s="1114"/>
      <c r="DF338" s="1114"/>
      <c r="DG338" s="1114"/>
      <c r="DH338" s="1114"/>
      <c r="DI338" s="1114"/>
      <c r="DJ338" s="1114"/>
      <c r="DK338" s="1114"/>
      <c r="DL338" s="1114"/>
      <c r="DM338" s="1114"/>
      <c r="DN338" s="1114"/>
      <c r="DO338" s="1114"/>
      <c r="DP338" s="1114"/>
      <c r="DQ338" s="1114"/>
      <c r="DR338" s="1114"/>
      <c r="DS338" s="1114"/>
      <c r="DT338" s="1114"/>
      <c r="DU338" s="1114"/>
      <c r="DV338" s="1115"/>
      <c r="DW338" s="1116"/>
      <c r="DX338" s="1116"/>
      <c r="DY338" s="1116"/>
      <c r="DZ338" s="1116"/>
      <c r="EA338" s="1116"/>
      <c r="EB338" s="1116"/>
      <c r="EC338" s="1116"/>
      <c r="ED338" s="1116"/>
      <c r="EE338" s="1116"/>
      <c r="EF338" s="1116"/>
      <c r="EG338" s="1116"/>
      <c r="EH338" s="1116"/>
      <c r="EI338" s="1116"/>
      <c r="EJ338" s="1116"/>
      <c r="EK338" s="1116"/>
      <c r="EL338" s="1116"/>
      <c r="EM338" s="1116"/>
      <c r="EN338" s="1116"/>
      <c r="EO338" s="1116"/>
      <c r="EP338" s="1116"/>
      <c r="EQ338" s="1116"/>
      <c r="ER338" s="1116"/>
      <c r="ES338" s="1116"/>
    </row>
    <row r="339" spans="1:149" ht="15" customHeight="1">
      <c r="A339" s="1185">
        <v>324</v>
      </c>
      <c r="B339" s="1041"/>
      <c r="C339" s="1050"/>
      <c r="D339" s="1050"/>
      <c r="E339" s="1050"/>
      <c r="F339" s="1049"/>
      <c r="G339" s="1457"/>
      <c r="H339" s="1049"/>
      <c r="I339" s="1049"/>
      <c r="J339" s="1050"/>
      <c r="K339" s="1050"/>
      <c r="L339" s="1043"/>
      <c r="M339" s="1051"/>
      <c r="N339" s="1051"/>
      <c r="O339" s="1052"/>
      <c r="P339" s="1051"/>
      <c r="Q339" s="1051"/>
      <c r="R339" s="1052"/>
      <c r="S339" s="1051"/>
      <c r="T339" s="1051"/>
      <c r="U339" s="1052"/>
      <c r="V339" s="1051"/>
      <c r="W339" s="1051"/>
      <c r="X339" s="1052"/>
      <c r="Y339" s="1053"/>
      <c r="Z339" s="1051"/>
      <c r="AA339" s="1051"/>
      <c r="AB339" s="1052"/>
      <c r="AC339" s="1051"/>
      <c r="AD339" s="1051"/>
      <c r="AE339" s="1052"/>
      <c r="AF339" s="1051"/>
      <c r="AG339" s="1051"/>
      <c r="AH339" s="1051"/>
      <c r="AI339" s="1051"/>
      <c r="AJ339" s="1052"/>
      <c r="AK339" s="1051"/>
      <c r="AL339" s="1051"/>
      <c r="AM339" s="1052"/>
      <c r="AN339" s="1051"/>
      <c r="AO339" s="1051"/>
      <c r="AP339" s="1052"/>
      <c r="AQ339" s="1051"/>
      <c r="AR339" s="1051"/>
      <c r="AS339" s="1052"/>
      <c r="AT339" s="1051"/>
      <c r="AU339" s="1051"/>
      <c r="AV339" s="1052"/>
      <c r="AW339" s="1051"/>
      <c r="AX339" s="1051"/>
      <c r="AY339" s="1053"/>
      <c r="AZ339" s="1051"/>
      <c r="BA339" s="1051"/>
      <c r="BB339" s="1053"/>
      <c r="BC339" s="1051"/>
      <c r="BD339" s="1051"/>
      <c r="BE339" s="1053"/>
      <c r="BF339" s="1051"/>
      <c r="BG339" s="1051"/>
      <c r="BH339" s="1053"/>
      <c r="BI339" s="1052"/>
      <c r="BJ339" s="1052"/>
      <c r="BK339" s="1052"/>
      <c r="BL339" s="1052"/>
      <c r="BM339" s="1052"/>
      <c r="BN339" s="1054"/>
      <c r="BO339" s="1076">
        <f t="shared" si="16"/>
        <v>0</v>
      </c>
      <c r="BP339" s="1051"/>
      <c r="BQ339" s="1052"/>
      <c r="BR339" s="1054"/>
      <c r="BS339" s="1053"/>
      <c r="BT339" s="1051"/>
      <c r="BU339" s="1051"/>
      <c r="BV339" s="1051"/>
      <c r="BW339" s="1052"/>
      <c r="BX339" s="1052"/>
      <c r="BY339" s="1052"/>
      <c r="BZ339" s="1052"/>
      <c r="CA339" s="1052"/>
      <c r="CB339" s="1053"/>
      <c r="CC339" s="1053"/>
      <c r="CD339" s="1053"/>
      <c r="CE339" s="1053"/>
      <c r="CF339" s="1053"/>
      <c r="CG339" s="1053"/>
      <c r="CH339" s="1053"/>
      <c r="CI339" s="1123"/>
      <c r="CJ339" s="1123"/>
      <c r="CK339" s="1123"/>
      <c r="CL339" s="1123"/>
      <c r="CM339" s="1123"/>
      <c r="CN339" s="1123"/>
      <c r="CO339" s="1123"/>
      <c r="CP339" s="1123"/>
      <c r="CQ339" s="1123"/>
      <c r="CR339" s="1123"/>
      <c r="CS339" s="1123"/>
      <c r="CT339" s="1123"/>
      <c r="CU339" s="1123"/>
      <c r="CV339" s="1123"/>
      <c r="CW339" s="1123"/>
      <c r="CX339" s="1123"/>
      <c r="CY339" s="1123"/>
      <c r="CZ339" s="1114"/>
      <c r="DA339" s="1114"/>
      <c r="DB339" s="1114"/>
      <c r="DC339" s="1114"/>
      <c r="DD339" s="1114"/>
      <c r="DE339" s="1114"/>
      <c r="DF339" s="1114"/>
      <c r="DG339" s="1114"/>
      <c r="DH339" s="1114"/>
      <c r="DI339" s="1114"/>
      <c r="DJ339" s="1114"/>
      <c r="DK339" s="1114"/>
      <c r="DL339" s="1114"/>
      <c r="DM339" s="1114"/>
      <c r="DN339" s="1114"/>
      <c r="DO339" s="1114"/>
      <c r="DP339" s="1114"/>
      <c r="DQ339" s="1114"/>
      <c r="DR339" s="1114"/>
      <c r="DS339" s="1114"/>
      <c r="DT339" s="1114"/>
      <c r="DU339" s="1114"/>
      <c r="DV339" s="1115"/>
      <c r="DW339" s="1116"/>
      <c r="DX339" s="1116"/>
      <c r="DY339" s="1116"/>
      <c r="DZ339" s="1116"/>
      <c r="EA339" s="1116"/>
      <c r="EB339" s="1116"/>
      <c r="EC339" s="1116"/>
      <c r="ED339" s="1116"/>
      <c r="EE339" s="1116"/>
      <c r="EF339" s="1116"/>
      <c r="EG339" s="1116"/>
      <c r="EH339" s="1116"/>
      <c r="EI339" s="1116"/>
      <c r="EJ339" s="1116"/>
      <c r="EK339" s="1116"/>
      <c r="EL339" s="1116"/>
      <c r="EM339" s="1116"/>
      <c r="EN339" s="1116"/>
      <c r="EO339" s="1116"/>
      <c r="EP339" s="1116"/>
      <c r="EQ339" s="1116"/>
      <c r="ER339" s="1116"/>
      <c r="ES339" s="1116"/>
    </row>
    <row r="340" spans="1:149" ht="15" customHeight="1">
      <c r="A340" s="1185">
        <v>325</v>
      </c>
      <c r="B340" s="1041"/>
      <c r="C340" s="1050"/>
      <c r="D340" s="1050"/>
      <c r="E340" s="1050"/>
      <c r="F340" s="1049"/>
      <c r="G340" s="1457"/>
      <c r="H340" s="1049"/>
      <c r="I340" s="1049"/>
      <c r="J340" s="1050"/>
      <c r="K340" s="1050"/>
      <c r="L340" s="1043"/>
      <c r="M340" s="1051"/>
      <c r="N340" s="1051"/>
      <c r="O340" s="1052"/>
      <c r="P340" s="1051"/>
      <c r="Q340" s="1051"/>
      <c r="R340" s="1052"/>
      <c r="S340" s="1051"/>
      <c r="T340" s="1051"/>
      <c r="U340" s="1052"/>
      <c r="V340" s="1051"/>
      <c r="W340" s="1051"/>
      <c r="X340" s="1052"/>
      <c r="Y340" s="1053"/>
      <c r="Z340" s="1051"/>
      <c r="AA340" s="1051"/>
      <c r="AB340" s="1052"/>
      <c r="AC340" s="1051"/>
      <c r="AD340" s="1051"/>
      <c r="AE340" s="1052"/>
      <c r="AF340" s="1051"/>
      <c r="AG340" s="1051"/>
      <c r="AH340" s="1051"/>
      <c r="AI340" s="1051"/>
      <c r="AJ340" s="1052"/>
      <c r="AK340" s="1051"/>
      <c r="AL340" s="1051"/>
      <c r="AM340" s="1052"/>
      <c r="AN340" s="1051"/>
      <c r="AO340" s="1051"/>
      <c r="AP340" s="1052"/>
      <c r="AQ340" s="1051"/>
      <c r="AR340" s="1051"/>
      <c r="AS340" s="1052"/>
      <c r="AT340" s="1051"/>
      <c r="AU340" s="1051"/>
      <c r="AV340" s="1052"/>
      <c r="AW340" s="1051"/>
      <c r="AX340" s="1051"/>
      <c r="AY340" s="1053"/>
      <c r="AZ340" s="1051"/>
      <c r="BA340" s="1051"/>
      <c r="BB340" s="1053"/>
      <c r="BC340" s="1051"/>
      <c r="BD340" s="1051"/>
      <c r="BE340" s="1053"/>
      <c r="BF340" s="1051"/>
      <c r="BG340" s="1051"/>
      <c r="BH340" s="1053"/>
      <c r="BI340" s="1052"/>
      <c r="BJ340" s="1052"/>
      <c r="BK340" s="1052"/>
      <c r="BL340" s="1052"/>
      <c r="BM340" s="1052"/>
      <c r="BN340" s="1054"/>
      <c r="BO340" s="1076">
        <f t="shared" si="16"/>
        <v>0</v>
      </c>
      <c r="BP340" s="1051"/>
      <c r="BQ340" s="1052"/>
      <c r="BR340" s="1054"/>
      <c r="BS340" s="1053"/>
      <c r="BT340" s="1051"/>
      <c r="BU340" s="1051"/>
      <c r="BV340" s="1051"/>
      <c r="BW340" s="1052"/>
      <c r="BX340" s="1052"/>
      <c r="BY340" s="1052"/>
      <c r="BZ340" s="1052"/>
      <c r="CA340" s="1052"/>
      <c r="CB340" s="1053"/>
      <c r="CC340" s="1053"/>
      <c r="CD340" s="1053"/>
      <c r="CE340" s="1053"/>
      <c r="CF340" s="1053"/>
      <c r="CG340" s="1053"/>
      <c r="CH340" s="1053"/>
      <c r="CI340" s="1123"/>
      <c r="CJ340" s="1123"/>
      <c r="CK340" s="1123"/>
      <c r="CL340" s="1123"/>
      <c r="CM340" s="1123"/>
      <c r="CN340" s="1123"/>
      <c r="CO340" s="1123"/>
      <c r="CP340" s="1123"/>
      <c r="CQ340" s="1123"/>
      <c r="CR340" s="1123"/>
      <c r="CS340" s="1123"/>
      <c r="CT340" s="1123"/>
      <c r="CU340" s="1123"/>
      <c r="CV340" s="1123"/>
      <c r="CW340" s="1123"/>
      <c r="CX340" s="1123"/>
      <c r="CY340" s="1123"/>
      <c r="CZ340" s="1114"/>
      <c r="DA340" s="1114"/>
      <c r="DB340" s="1114"/>
      <c r="DC340" s="1114"/>
      <c r="DD340" s="1114"/>
      <c r="DE340" s="1114"/>
      <c r="DF340" s="1114"/>
      <c r="DG340" s="1114"/>
      <c r="DH340" s="1114"/>
      <c r="DI340" s="1114"/>
      <c r="DJ340" s="1114"/>
      <c r="DK340" s="1114"/>
      <c r="DL340" s="1114"/>
      <c r="DM340" s="1114"/>
      <c r="DN340" s="1114"/>
      <c r="DO340" s="1114"/>
      <c r="DP340" s="1114"/>
      <c r="DQ340" s="1114"/>
      <c r="DR340" s="1114"/>
      <c r="DS340" s="1114"/>
      <c r="DT340" s="1114"/>
      <c r="DU340" s="1114"/>
      <c r="DV340" s="1115"/>
      <c r="DW340" s="1116"/>
      <c r="DX340" s="1116"/>
      <c r="DY340" s="1116"/>
      <c r="DZ340" s="1116"/>
      <c r="EA340" s="1116"/>
      <c r="EB340" s="1116"/>
      <c r="EC340" s="1116"/>
      <c r="ED340" s="1116"/>
      <c r="EE340" s="1116"/>
      <c r="EF340" s="1116"/>
      <c r="EG340" s="1116"/>
      <c r="EH340" s="1116"/>
      <c r="EI340" s="1116"/>
      <c r="EJ340" s="1116"/>
      <c r="EK340" s="1116"/>
      <c r="EL340" s="1116"/>
      <c r="EM340" s="1116"/>
      <c r="EN340" s="1116"/>
      <c r="EO340" s="1116"/>
      <c r="EP340" s="1116"/>
      <c r="EQ340" s="1116"/>
      <c r="ER340" s="1116"/>
      <c r="ES340" s="1116"/>
    </row>
    <row r="341" spans="1:149" ht="15" customHeight="1">
      <c r="A341" s="1185">
        <v>326</v>
      </c>
      <c r="B341" s="1041"/>
      <c r="C341" s="1050"/>
      <c r="D341" s="1050"/>
      <c r="E341" s="1050"/>
      <c r="F341" s="1049"/>
      <c r="G341" s="1457"/>
      <c r="H341" s="1049"/>
      <c r="I341" s="1049"/>
      <c r="J341" s="1050"/>
      <c r="K341" s="1050"/>
      <c r="L341" s="1043"/>
      <c r="M341" s="1051"/>
      <c r="N341" s="1051"/>
      <c r="O341" s="1052"/>
      <c r="P341" s="1051"/>
      <c r="Q341" s="1051"/>
      <c r="R341" s="1052"/>
      <c r="S341" s="1051"/>
      <c r="T341" s="1051"/>
      <c r="U341" s="1052"/>
      <c r="V341" s="1051"/>
      <c r="W341" s="1051"/>
      <c r="X341" s="1052"/>
      <c r="Y341" s="1053"/>
      <c r="Z341" s="1051"/>
      <c r="AA341" s="1051"/>
      <c r="AB341" s="1052"/>
      <c r="AC341" s="1051"/>
      <c r="AD341" s="1051"/>
      <c r="AE341" s="1052"/>
      <c r="AF341" s="1051"/>
      <c r="AG341" s="1051"/>
      <c r="AH341" s="1051"/>
      <c r="AI341" s="1051"/>
      <c r="AJ341" s="1052"/>
      <c r="AK341" s="1051"/>
      <c r="AL341" s="1051"/>
      <c r="AM341" s="1052"/>
      <c r="AN341" s="1051"/>
      <c r="AO341" s="1051"/>
      <c r="AP341" s="1052"/>
      <c r="AQ341" s="1051"/>
      <c r="AR341" s="1051"/>
      <c r="AS341" s="1052"/>
      <c r="AT341" s="1051"/>
      <c r="AU341" s="1051"/>
      <c r="AV341" s="1052"/>
      <c r="AW341" s="1051"/>
      <c r="AX341" s="1051"/>
      <c r="AY341" s="1053"/>
      <c r="AZ341" s="1051"/>
      <c r="BA341" s="1051"/>
      <c r="BB341" s="1053"/>
      <c r="BC341" s="1051"/>
      <c r="BD341" s="1051"/>
      <c r="BE341" s="1053"/>
      <c r="BF341" s="1051"/>
      <c r="BG341" s="1051"/>
      <c r="BH341" s="1053"/>
      <c r="BI341" s="1052"/>
      <c r="BJ341" s="1052"/>
      <c r="BK341" s="1052"/>
      <c r="BL341" s="1052"/>
      <c r="BM341" s="1052"/>
      <c r="BN341" s="1054"/>
      <c r="BO341" s="1076">
        <f t="shared" si="16"/>
        <v>0</v>
      </c>
      <c r="BP341" s="1051"/>
      <c r="BQ341" s="1052"/>
      <c r="BR341" s="1054"/>
      <c r="BS341" s="1053"/>
      <c r="BT341" s="1051"/>
      <c r="BU341" s="1051"/>
      <c r="BV341" s="1051"/>
      <c r="BW341" s="1052"/>
      <c r="BX341" s="1052"/>
      <c r="BY341" s="1052"/>
      <c r="BZ341" s="1052"/>
      <c r="CA341" s="1052"/>
      <c r="CB341" s="1053"/>
      <c r="CC341" s="1053"/>
      <c r="CD341" s="1053"/>
      <c r="CE341" s="1053"/>
      <c r="CF341" s="1053"/>
      <c r="CG341" s="1053"/>
      <c r="CH341" s="1053"/>
      <c r="CI341" s="1123"/>
      <c r="CJ341" s="1123"/>
      <c r="CK341" s="1123"/>
      <c r="CL341" s="1123"/>
      <c r="CM341" s="1123"/>
      <c r="CN341" s="1123"/>
      <c r="CO341" s="1123"/>
      <c r="CP341" s="1123"/>
      <c r="CQ341" s="1123"/>
      <c r="CR341" s="1123"/>
      <c r="CS341" s="1123"/>
      <c r="CT341" s="1123"/>
      <c r="CU341" s="1123"/>
      <c r="CV341" s="1123"/>
      <c r="CW341" s="1123"/>
      <c r="CX341" s="1123"/>
      <c r="CY341" s="1123"/>
      <c r="CZ341" s="1114"/>
      <c r="DA341" s="1114"/>
      <c r="DB341" s="1114"/>
      <c r="DC341" s="1114"/>
      <c r="DD341" s="1114"/>
      <c r="DE341" s="1114"/>
      <c r="DF341" s="1114"/>
      <c r="DG341" s="1114"/>
      <c r="DH341" s="1114"/>
      <c r="DI341" s="1114"/>
      <c r="DJ341" s="1114"/>
      <c r="DK341" s="1114"/>
      <c r="DL341" s="1114"/>
      <c r="DM341" s="1114"/>
      <c r="DN341" s="1114"/>
      <c r="DO341" s="1114"/>
      <c r="DP341" s="1114"/>
      <c r="DQ341" s="1114"/>
      <c r="DR341" s="1114"/>
      <c r="DS341" s="1114"/>
      <c r="DT341" s="1114"/>
      <c r="DU341" s="1114"/>
      <c r="DV341" s="1115"/>
      <c r="DW341" s="1116"/>
      <c r="DX341" s="1116"/>
      <c r="DY341" s="1116"/>
      <c r="DZ341" s="1116"/>
      <c r="EA341" s="1116"/>
      <c r="EB341" s="1116"/>
      <c r="EC341" s="1116"/>
      <c r="ED341" s="1116"/>
      <c r="EE341" s="1116"/>
      <c r="EF341" s="1116"/>
      <c r="EG341" s="1116"/>
      <c r="EH341" s="1116"/>
      <c r="EI341" s="1116"/>
      <c r="EJ341" s="1116"/>
      <c r="EK341" s="1116"/>
      <c r="EL341" s="1116"/>
      <c r="EM341" s="1116"/>
      <c r="EN341" s="1116"/>
      <c r="EO341" s="1116"/>
      <c r="EP341" s="1116"/>
      <c r="EQ341" s="1116"/>
      <c r="ER341" s="1116"/>
      <c r="ES341" s="1116"/>
    </row>
    <row r="342" spans="1:149" ht="15" customHeight="1">
      <c r="A342" s="1185">
        <v>327</v>
      </c>
      <c r="B342" s="1041"/>
      <c r="C342" s="1050"/>
      <c r="D342" s="1050"/>
      <c r="E342" s="1050"/>
      <c r="F342" s="1049"/>
      <c r="G342" s="1457"/>
      <c r="H342" s="1049"/>
      <c r="I342" s="1049"/>
      <c r="J342" s="1050"/>
      <c r="K342" s="1050"/>
      <c r="L342" s="1043"/>
      <c r="M342" s="1051"/>
      <c r="N342" s="1051"/>
      <c r="O342" s="1052"/>
      <c r="P342" s="1051"/>
      <c r="Q342" s="1051"/>
      <c r="R342" s="1052"/>
      <c r="S342" s="1051"/>
      <c r="T342" s="1051"/>
      <c r="U342" s="1052"/>
      <c r="V342" s="1051"/>
      <c r="W342" s="1051"/>
      <c r="X342" s="1052"/>
      <c r="Y342" s="1053"/>
      <c r="Z342" s="1051"/>
      <c r="AA342" s="1051"/>
      <c r="AB342" s="1052"/>
      <c r="AC342" s="1051"/>
      <c r="AD342" s="1051"/>
      <c r="AE342" s="1052"/>
      <c r="AF342" s="1051"/>
      <c r="AG342" s="1051"/>
      <c r="AH342" s="1051"/>
      <c r="AI342" s="1051"/>
      <c r="AJ342" s="1052"/>
      <c r="AK342" s="1051"/>
      <c r="AL342" s="1051"/>
      <c r="AM342" s="1052"/>
      <c r="AN342" s="1051"/>
      <c r="AO342" s="1051"/>
      <c r="AP342" s="1052"/>
      <c r="AQ342" s="1051"/>
      <c r="AR342" s="1051"/>
      <c r="AS342" s="1052"/>
      <c r="AT342" s="1051"/>
      <c r="AU342" s="1051"/>
      <c r="AV342" s="1052"/>
      <c r="AW342" s="1051"/>
      <c r="AX342" s="1051"/>
      <c r="AY342" s="1053"/>
      <c r="AZ342" s="1051"/>
      <c r="BA342" s="1051"/>
      <c r="BB342" s="1053"/>
      <c r="BC342" s="1051"/>
      <c r="BD342" s="1051"/>
      <c r="BE342" s="1053"/>
      <c r="BF342" s="1051"/>
      <c r="BG342" s="1051"/>
      <c r="BH342" s="1053"/>
      <c r="BI342" s="1052"/>
      <c r="BJ342" s="1052"/>
      <c r="BK342" s="1052"/>
      <c r="BL342" s="1052"/>
      <c r="BM342" s="1052"/>
      <c r="BN342" s="1054"/>
      <c r="BO342" s="1076">
        <f t="shared" si="16"/>
        <v>0</v>
      </c>
      <c r="BP342" s="1051"/>
      <c r="BQ342" s="1052"/>
      <c r="BR342" s="1054"/>
      <c r="BS342" s="1053"/>
      <c r="BT342" s="1051"/>
      <c r="BU342" s="1051"/>
      <c r="BV342" s="1051"/>
      <c r="BW342" s="1052"/>
      <c r="BX342" s="1052"/>
      <c r="BY342" s="1052"/>
      <c r="BZ342" s="1052"/>
      <c r="CA342" s="1052"/>
      <c r="CB342" s="1053"/>
      <c r="CC342" s="1053"/>
      <c r="CD342" s="1053"/>
      <c r="CE342" s="1053"/>
      <c r="CF342" s="1053"/>
      <c r="CG342" s="1053"/>
      <c r="CH342" s="1053"/>
      <c r="CI342" s="1123"/>
      <c r="CJ342" s="1123"/>
      <c r="CK342" s="1123"/>
      <c r="CL342" s="1123"/>
      <c r="CM342" s="1123"/>
      <c r="CN342" s="1123"/>
      <c r="CO342" s="1123"/>
      <c r="CP342" s="1123"/>
      <c r="CQ342" s="1123"/>
      <c r="CR342" s="1123"/>
      <c r="CS342" s="1123"/>
      <c r="CT342" s="1123"/>
      <c r="CU342" s="1123"/>
      <c r="CV342" s="1123"/>
      <c r="CW342" s="1123"/>
      <c r="CX342" s="1123"/>
      <c r="CY342" s="1123"/>
      <c r="CZ342" s="1114"/>
      <c r="DA342" s="1114"/>
      <c r="DB342" s="1114"/>
      <c r="DC342" s="1114"/>
      <c r="DD342" s="1114"/>
      <c r="DE342" s="1114"/>
      <c r="DF342" s="1114"/>
      <c r="DG342" s="1114"/>
      <c r="DH342" s="1114"/>
      <c r="DI342" s="1114"/>
      <c r="DJ342" s="1114"/>
      <c r="DK342" s="1114"/>
      <c r="DL342" s="1114"/>
      <c r="DM342" s="1114"/>
      <c r="DN342" s="1114"/>
      <c r="DO342" s="1114"/>
      <c r="DP342" s="1114"/>
      <c r="DQ342" s="1114"/>
      <c r="DR342" s="1114"/>
      <c r="DS342" s="1114"/>
      <c r="DT342" s="1114"/>
      <c r="DU342" s="1114"/>
      <c r="DV342" s="1115"/>
      <c r="DW342" s="1116"/>
      <c r="DX342" s="1116"/>
      <c r="DY342" s="1116"/>
      <c r="DZ342" s="1116"/>
      <c r="EA342" s="1116"/>
      <c r="EB342" s="1116"/>
      <c r="EC342" s="1116"/>
      <c r="ED342" s="1116"/>
      <c r="EE342" s="1116"/>
      <c r="EF342" s="1116"/>
      <c r="EG342" s="1116"/>
      <c r="EH342" s="1116"/>
      <c r="EI342" s="1116"/>
      <c r="EJ342" s="1116"/>
      <c r="EK342" s="1116"/>
      <c r="EL342" s="1116"/>
      <c r="EM342" s="1116"/>
      <c r="EN342" s="1116"/>
      <c r="EO342" s="1116"/>
      <c r="EP342" s="1116"/>
      <c r="EQ342" s="1116"/>
      <c r="ER342" s="1116"/>
      <c r="ES342" s="1116"/>
    </row>
    <row r="343" spans="1:149" ht="15" customHeight="1">
      <c r="A343" s="1185">
        <v>328</v>
      </c>
      <c r="B343" s="1041"/>
      <c r="C343" s="1050"/>
      <c r="D343" s="1050"/>
      <c r="E343" s="1050"/>
      <c r="F343" s="1049"/>
      <c r="G343" s="1457"/>
      <c r="H343" s="1049"/>
      <c r="I343" s="1049"/>
      <c r="J343" s="1050"/>
      <c r="K343" s="1050"/>
      <c r="L343" s="1043"/>
      <c r="M343" s="1051"/>
      <c r="N343" s="1051"/>
      <c r="O343" s="1052"/>
      <c r="P343" s="1051"/>
      <c r="Q343" s="1051"/>
      <c r="R343" s="1052"/>
      <c r="S343" s="1051"/>
      <c r="T343" s="1051"/>
      <c r="U343" s="1052"/>
      <c r="V343" s="1051"/>
      <c r="W343" s="1051"/>
      <c r="X343" s="1052"/>
      <c r="Y343" s="1053"/>
      <c r="Z343" s="1051"/>
      <c r="AA343" s="1051"/>
      <c r="AB343" s="1052"/>
      <c r="AC343" s="1051"/>
      <c r="AD343" s="1051"/>
      <c r="AE343" s="1052"/>
      <c r="AF343" s="1051"/>
      <c r="AG343" s="1051"/>
      <c r="AH343" s="1051"/>
      <c r="AI343" s="1051"/>
      <c r="AJ343" s="1052"/>
      <c r="AK343" s="1051"/>
      <c r="AL343" s="1051"/>
      <c r="AM343" s="1052"/>
      <c r="AN343" s="1051"/>
      <c r="AO343" s="1051"/>
      <c r="AP343" s="1052"/>
      <c r="AQ343" s="1051"/>
      <c r="AR343" s="1051"/>
      <c r="AS343" s="1052"/>
      <c r="AT343" s="1051"/>
      <c r="AU343" s="1051"/>
      <c r="AV343" s="1052"/>
      <c r="AW343" s="1051"/>
      <c r="AX343" s="1051"/>
      <c r="AY343" s="1053"/>
      <c r="AZ343" s="1051"/>
      <c r="BA343" s="1051"/>
      <c r="BB343" s="1053"/>
      <c r="BC343" s="1051"/>
      <c r="BD343" s="1051"/>
      <c r="BE343" s="1053"/>
      <c r="BF343" s="1051"/>
      <c r="BG343" s="1051"/>
      <c r="BH343" s="1053"/>
      <c r="BI343" s="1052"/>
      <c r="BJ343" s="1052"/>
      <c r="BK343" s="1052"/>
      <c r="BL343" s="1052"/>
      <c r="BM343" s="1052"/>
      <c r="BN343" s="1054"/>
      <c r="BO343" s="1076">
        <f t="shared" si="16"/>
        <v>0</v>
      </c>
      <c r="BP343" s="1051"/>
      <c r="BQ343" s="1052"/>
      <c r="BR343" s="1054"/>
      <c r="BS343" s="1053"/>
      <c r="BT343" s="1051"/>
      <c r="BU343" s="1051"/>
      <c r="BV343" s="1051"/>
      <c r="BW343" s="1052"/>
      <c r="BX343" s="1052"/>
      <c r="BY343" s="1052"/>
      <c r="BZ343" s="1052"/>
      <c r="CA343" s="1052"/>
      <c r="CB343" s="1053"/>
      <c r="CC343" s="1053"/>
      <c r="CD343" s="1053"/>
      <c r="CE343" s="1053"/>
      <c r="CF343" s="1053"/>
      <c r="CG343" s="1053"/>
      <c r="CH343" s="1053"/>
      <c r="CI343" s="1123"/>
      <c r="CJ343" s="1123"/>
      <c r="CK343" s="1123"/>
      <c r="CL343" s="1123"/>
      <c r="CM343" s="1123"/>
      <c r="CN343" s="1123"/>
      <c r="CO343" s="1123"/>
      <c r="CP343" s="1123"/>
      <c r="CQ343" s="1123"/>
      <c r="CR343" s="1123"/>
      <c r="CS343" s="1123"/>
      <c r="CT343" s="1123"/>
      <c r="CU343" s="1123"/>
      <c r="CV343" s="1123"/>
      <c r="CW343" s="1123"/>
      <c r="CX343" s="1123"/>
      <c r="CY343" s="1123"/>
      <c r="CZ343" s="1114"/>
      <c r="DA343" s="1114"/>
      <c r="DB343" s="1114"/>
      <c r="DC343" s="1114"/>
      <c r="DD343" s="1114"/>
      <c r="DE343" s="1114"/>
      <c r="DF343" s="1114"/>
      <c r="DG343" s="1114"/>
      <c r="DH343" s="1114"/>
      <c r="DI343" s="1114"/>
      <c r="DJ343" s="1114"/>
      <c r="DK343" s="1114"/>
      <c r="DL343" s="1114"/>
      <c r="DM343" s="1114"/>
      <c r="DN343" s="1114"/>
      <c r="DO343" s="1114"/>
      <c r="DP343" s="1114"/>
      <c r="DQ343" s="1114"/>
      <c r="DR343" s="1114"/>
      <c r="DS343" s="1114"/>
      <c r="DT343" s="1114"/>
      <c r="DU343" s="1114"/>
      <c r="DV343" s="1115"/>
      <c r="DW343" s="1116"/>
      <c r="DX343" s="1116"/>
      <c r="DY343" s="1116"/>
      <c r="DZ343" s="1116"/>
      <c r="EA343" s="1116"/>
      <c r="EB343" s="1116"/>
      <c r="EC343" s="1116"/>
      <c r="ED343" s="1116"/>
      <c r="EE343" s="1116"/>
      <c r="EF343" s="1116"/>
      <c r="EG343" s="1116"/>
      <c r="EH343" s="1116"/>
      <c r="EI343" s="1116"/>
      <c r="EJ343" s="1116"/>
      <c r="EK343" s="1116"/>
      <c r="EL343" s="1116"/>
      <c r="EM343" s="1116"/>
      <c r="EN343" s="1116"/>
      <c r="EO343" s="1116"/>
      <c r="EP343" s="1116"/>
      <c r="EQ343" s="1116"/>
      <c r="ER343" s="1116"/>
      <c r="ES343" s="1116"/>
    </row>
    <row r="344" spans="1:149" ht="15" customHeight="1">
      <c r="A344" s="1185">
        <v>329</v>
      </c>
      <c r="B344" s="1041"/>
      <c r="C344" s="1050"/>
      <c r="D344" s="1050"/>
      <c r="E344" s="1050"/>
      <c r="F344" s="1049"/>
      <c r="G344" s="1457"/>
      <c r="H344" s="1049"/>
      <c r="I344" s="1049"/>
      <c r="J344" s="1050"/>
      <c r="K344" s="1050"/>
      <c r="L344" s="1043"/>
      <c r="M344" s="1051"/>
      <c r="N344" s="1051"/>
      <c r="O344" s="1052"/>
      <c r="P344" s="1051"/>
      <c r="Q344" s="1051"/>
      <c r="R344" s="1052"/>
      <c r="S344" s="1051"/>
      <c r="T344" s="1051"/>
      <c r="U344" s="1052"/>
      <c r="V344" s="1051"/>
      <c r="W344" s="1051"/>
      <c r="X344" s="1052"/>
      <c r="Y344" s="1053"/>
      <c r="Z344" s="1051"/>
      <c r="AA344" s="1051"/>
      <c r="AB344" s="1052"/>
      <c r="AC344" s="1051"/>
      <c r="AD344" s="1051"/>
      <c r="AE344" s="1052"/>
      <c r="AF344" s="1051"/>
      <c r="AG344" s="1051"/>
      <c r="AH344" s="1051"/>
      <c r="AI344" s="1051"/>
      <c r="AJ344" s="1052"/>
      <c r="AK344" s="1051"/>
      <c r="AL344" s="1051"/>
      <c r="AM344" s="1052"/>
      <c r="AN344" s="1051"/>
      <c r="AO344" s="1051"/>
      <c r="AP344" s="1052"/>
      <c r="AQ344" s="1051"/>
      <c r="AR344" s="1051"/>
      <c r="AS344" s="1052"/>
      <c r="AT344" s="1051"/>
      <c r="AU344" s="1051"/>
      <c r="AV344" s="1052"/>
      <c r="AW344" s="1051"/>
      <c r="AX344" s="1051"/>
      <c r="AY344" s="1053"/>
      <c r="AZ344" s="1051"/>
      <c r="BA344" s="1051"/>
      <c r="BB344" s="1053"/>
      <c r="BC344" s="1051"/>
      <c r="BD344" s="1051"/>
      <c r="BE344" s="1053"/>
      <c r="BF344" s="1051"/>
      <c r="BG344" s="1051"/>
      <c r="BH344" s="1053"/>
      <c r="BI344" s="1052"/>
      <c r="BJ344" s="1052"/>
      <c r="BK344" s="1052"/>
      <c r="BL344" s="1052"/>
      <c r="BM344" s="1052"/>
      <c r="BN344" s="1054"/>
      <c r="BO344" s="1076">
        <f t="shared" si="16"/>
        <v>0</v>
      </c>
      <c r="BP344" s="1051"/>
      <c r="BQ344" s="1052"/>
      <c r="BR344" s="1054"/>
      <c r="BS344" s="1053"/>
      <c r="BT344" s="1051"/>
      <c r="BU344" s="1051"/>
      <c r="BV344" s="1051"/>
      <c r="BW344" s="1052"/>
      <c r="BX344" s="1052"/>
      <c r="BY344" s="1052"/>
      <c r="BZ344" s="1052"/>
      <c r="CA344" s="1052"/>
      <c r="CB344" s="1053"/>
      <c r="CC344" s="1053"/>
      <c r="CD344" s="1053"/>
      <c r="CE344" s="1053"/>
      <c r="CF344" s="1053"/>
      <c r="CG344" s="1053"/>
      <c r="CH344" s="1053"/>
      <c r="CI344" s="1123"/>
      <c r="CJ344" s="1123"/>
      <c r="CK344" s="1123"/>
      <c r="CL344" s="1123"/>
      <c r="CM344" s="1123"/>
      <c r="CN344" s="1123"/>
      <c r="CO344" s="1123"/>
      <c r="CP344" s="1123"/>
      <c r="CQ344" s="1123"/>
      <c r="CR344" s="1123"/>
      <c r="CS344" s="1123"/>
      <c r="CT344" s="1123"/>
      <c r="CU344" s="1123"/>
      <c r="CV344" s="1123"/>
      <c r="CW344" s="1123"/>
      <c r="CX344" s="1123"/>
      <c r="CY344" s="1123"/>
      <c r="CZ344" s="1114"/>
      <c r="DA344" s="1114"/>
      <c r="DB344" s="1114"/>
      <c r="DC344" s="1114"/>
      <c r="DD344" s="1114"/>
      <c r="DE344" s="1114"/>
      <c r="DF344" s="1114"/>
      <c r="DG344" s="1114"/>
      <c r="DH344" s="1114"/>
      <c r="DI344" s="1114"/>
      <c r="DJ344" s="1114"/>
      <c r="DK344" s="1114"/>
      <c r="DL344" s="1114"/>
      <c r="DM344" s="1114"/>
      <c r="DN344" s="1114"/>
      <c r="DO344" s="1114"/>
      <c r="DP344" s="1114"/>
      <c r="DQ344" s="1114"/>
      <c r="DR344" s="1114"/>
      <c r="DS344" s="1114"/>
      <c r="DT344" s="1114"/>
      <c r="DU344" s="1114"/>
      <c r="DV344" s="1115"/>
      <c r="DW344" s="1116"/>
      <c r="DX344" s="1116"/>
      <c r="DY344" s="1116"/>
      <c r="DZ344" s="1116"/>
      <c r="EA344" s="1116"/>
      <c r="EB344" s="1116"/>
      <c r="EC344" s="1116"/>
      <c r="ED344" s="1116"/>
      <c r="EE344" s="1116"/>
      <c r="EF344" s="1116"/>
      <c r="EG344" s="1116"/>
      <c r="EH344" s="1116"/>
      <c r="EI344" s="1116"/>
      <c r="EJ344" s="1116"/>
      <c r="EK344" s="1116"/>
      <c r="EL344" s="1116"/>
      <c r="EM344" s="1116"/>
      <c r="EN344" s="1116"/>
      <c r="EO344" s="1116"/>
      <c r="EP344" s="1116"/>
      <c r="EQ344" s="1116"/>
      <c r="ER344" s="1116"/>
      <c r="ES344" s="1116"/>
    </row>
    <row r="345" spans="1:149" ht="15" customHeight="1">
      <c r="A345" s="1185">
        <v>330</v>
      </c>
      <c r="B345" s="1041"/>
      <c r="C345" s="1050"/>
      <c r="D345" s="1050"/>
      <c r="E345" s="1050"/>
      <c r="F345" s="1049"/>
      <c r="G345" s="1457"/>
      <c r="H345" s="1049"/>
      <c r="I345" s="1049"/>
      <c r="J345" s="1050"/>
      <c r="K345" s="1050"/>
      <c r="L345" s="1043"/>
      <c r="M345" s="1051"/>
      <c r="N345" s="1051"/>
      <c r="O345" s="1052"/>
      <c r="P345" s="1051"/>
      <c r="Q345" s="1051"/>
      <c r="R345" s="1052"/>
      <c r="S345" s="1051"/>
      <c r="T345" s="1051"/>
      <c r="U345" s="1052"/>
      <c r="V345" s="1051"/>
      <c r="W345" s="1051"/>
      <c r="X345" s="1052"/>
      <c r="Y345" s="1053"/>
      <c r="Z345" s="1051"/>
      <c r="AA345" s="1051"/>
      <c r="AB345" s="1052"/>
      <c r="AC345" s="1051"/>
      <c r="AD345" s="1051"/>
      <c r="AE345" s="1052"/>
      <c r="AF345" s="1051"/>
      <c r="AG345" s="1051"/>
      <c r="AH345" s="1051"/>
      <c r="AI345" s="1051"/>
      <c r="AJ345" s="1052"/>
      <c r="AK345" s="1051"/>
      <c r="AL345" s="1051"/>
      <c r="AM345" s="1052"/>
      <c r="AN345" s="1051"/>
      <c r="AO345" s="1051"/>
      <c r="AP345" s="1052"/>
      <c r="AQ345" s="1051"/>
      <c r="AR345" s="1051"/>
      <c r="AS345" s="1052"/>
      <c r="AT345" s="1051"/>
      <c r="AU345" s="1051"/>
      <c r="AV345" s="1052"/>
      <c r="AW345" s="1051"/>
      <c r="AX345" s="1051"/>
      <c r="AY345" s="1053"/>
      <c r="AZ345" s="1051"/>
      <c r="BA345" s="1051"/>
      <c r="BB345" s="1053"/>
      <c r="BC345" s="1051"/>
      <c r="BD345" s="1051"/>
      <c r="BE345" s="1053"/>
      <c r="BF345" s="1051"/>
      <c r="BG345" s="1051"/>
      <c r="BH345" s="1053"/>
      <c r="BI345" s="1052"/>
      <c r="BJ345" s="1052"/>
      <c r="BK345" s="1052"/>
      <c r="BL345" s="1052"/>
      <c r="BM345" s="1052"/>
      <c r="BN345" s="1054"/>
      <c r="BO345" s="1076">
        <f t="shared" si="16"/>
        <v>0</v>
      </c>
      <c r="BP345" s="1051"/>
      <c r="BQ345" s="1052"/>
      <c r="BR345" s="1054"/>
      <c r="BS345" s="1053"/>
      <c r="BT345" s="1051"/>
      <c r="BU345" s="1051"/>
      <c r="BV345" s="1051"/>
      <c r="BW345" s="1052"/>
      <c r="BX345" s="1052"/>
      <c r="BY345" s="1052"/>
      <c r="BZ345" s="1052"/>
      <c r="CA345" s="1052"/>
      <c r="CB345" s="1053"/>
      <c r="CC345" s="1053"/>
      <c r="CD345" s="1053"/>
      <c r="CE345" s="1053"/>
      <c r="CF345" s="1053"/>
      <c r="CG345" s="1053"/>
      <c r="CH345" s="1053"/>
      <c r="CI345" s="1123"/>
      <c r="CJ345" s="1123"/>
      <c r="CK345" s="1123"/>
      <c r="CL345" s="1123"/>
      <c r="CM345" s="1123"/>
      <c r="CN345" s="1123"/>
      <c r="CO345" s="1123"/>
      <c r="CP345" s="1123"/>
      <c r="CQ345" s="1123"/>
      <c r="CR345" s="1123"/>
      <c r="CS345" s="1123"/>
      <c r="CT345" s="1123"/>
      <c r="CU345" s="1123"/>
      <c r="CV345" s="1123"/>
      <c r="CW345" s="1123"/>
      <c r="CX345" s="1123"/>
      <c r="CY345" s="1123"/>
      <c r="CZ345" s="1114"/>
      <c r="DA345" s="1114"/>
      <c r="DB345" s="1114"/>
      <c r="DC345" s="1114"/>
      <c r="DD345" s="1114"/>
      <c r="DE345" s="1114"/>
      <c r="DF345" s="1114"/>
      <c r="DG345" s="1114"/>
      <c r="DH345" s="1114"/>
      <c r="DI345" s="1114"/>
      <c r="DJ345" s="1114"/>
      <c r="DK345" s="1114"/>
      <c r="DL345" s="1114"/>
      <c r="DM345" s="1114"/>
      <c r="DN345" s="1114"/>
      <c r="DO345" s="1114"/>
      <c r="DP345" s="1114"/>
      <c r="DQ345" s="1114"/>
      <c r="DR345" s="1114"/>
      <c r="DS345" s="1114"/>
      <c r="DT345" s="1114"/>
      <c r="DU345" s="1114"/>
      <c r="DV345" s="1115"/>
      <c r="DW345" s="1116"/>
      <c r="DX345" s="1116"/>
      <c r="DY345" s="1116"/>
      <c r="DZ345" s="1116"/>
      <c r="EA345" s="1116"/>
      <c r="EB345" s="1116"/>
      <c r="EC345" s="1116"/>
      <c r="ED345" s="1116"/>
      <c r="EE345" s="1116"/>
      <c r="EF345" s="1116"/>
      <c r="EG345" s="1116"/>
      <c r="EH345" s="1116"/>
      <c r="EI345" s="1116"/>
      <c r="EJ345" s="1116"/>
      <c r="EK345" s="1116"/>
      <c r="EL345" s="1116"/>
      <c r="EM345" s="1116"/>
      <c r="EN345" s="1116"/>
      <c r="EO345" s="1116"/>
      <c r="EP345" s="1116"/>
      <c r="EQ345" s="1116"/>
      <c r="ER345" s="1116"/>
      <c r="ES345" s="1116"/>
    </row>
    <row r="346" spans="1:149" ht="15" customHeight="1">
      <c r="A346" s="1185">
        <v>331</v>
      </c>
      <c r="B346" s="1041"/>
      <c r="C346" s="1050"/>
      <c r="D346" s="1050"/>
      <c r="E346" s="1050"/>
      <c r="F346" s="1049"/>
      <c r="G346" s="1457"/>
      <c r="H346" s="1049"/>
      <c r="I346" s="1049"/>
      <c r="J346" s="1050"/>
      <c r="K346" s="1050"/>
      <c r="L346" s="1043"/>
      <c r="M346" s="1051"/>
      <c r="N346" s="1051"/>
      <c r="O346" s="1052"/>
      <c r="P346" s="1051"/>
      <c r="Q346" s="1051"/>
      <c r="R346" s="1052"/>
      <c r="S346" s="1051"/>
      <c r="T346" s="1051"/>
      <c r="U346" s="1052"/>
      <c r="V346" s="1051"/>
      <c r="W346" s="1051"/>
      <c r="X346" s="1052"/>
      <c r="Y346" s="1053"/>
      <c r="Z346" s="1051"/>
      <c r="AA346" s="1051"/>
      <c r="AB346" s="1052"/>
      <c r="AC346" s="1051"/>
      <c r="AD346" s="1051"/>
      <c r="AE346" s="1052"/>
      <c r="AF346" s="1051"/>
      <c r="AG346" s="1051"/>
      <c r="AH346" s="1051"/>
      <c r="AI346" s="1051"/>
      <c r="AJ346" s="1052"/>
      <c r="AK346" s="1051"/>
      <c r="AL346" s="1051"/>
      <c r="AM346" s="1052"/>
      <c r="AN346" s="1051"/>
      <c r="AO346" s="1051"/>
      <c r="AP346" s="1052"/>
      <c r="AQ346" s="1051"/>
      <c r="AR346" s="1051"/>
      <c r="AS346" s="1052"/>
      <c r="AT346" s="1051"/>
      <c r="AU346" s="1051"/>
      <c r="AV346" s="1052"/>
      <c r="AW346" s="1051"/>
      <c r="AX346" s="1051"/>
      <c r="AY346" s="1053"/>
      <c r="AZ346" s="1051"/>
      <c r="BA346" s="1051"/>
      <c r="BB346" s="1053"/>
      <c r="BC346" s="1051"/>
      <c r="BD346" s="1051"/>
      <c r="BE346" s="1053"/>
      <c r="BF346" s="1051"/>
      <c r="BG346" s="1051"/>
      <c r="BH346" s="1053"/>
      <c r="BI346" s="1052"/>
      <c r="BJ346" s="1052"/>
      <c r="BK346" s="1052"/>
      <c r="BL346" s="1052"/>
      <c r="BM346" s="1052"/>
      <c r="BN346" s="1054"/>
      <c r="BO346" s="1076">
        <f t="shared" si="16"/>
        <v>0</v>
      </c>
      <c r="BP346" s="1051"/>
      <c r="BQ346" s="1052"/>
      <c r="BR346" s="1054"/>
      <c r="BS346" s="1053"/>
      <c r="BT346" s="1051"/>
      <c r="BU346" s="1051"/>
      <c r="BV346" s="1051"/>
      <c r="BW346" s="1052"/>
      <c r="BX346" s="1052"/>
      <c r="BY346" s="1052"/>
      <c r="BZ346" s="1052"/>
      <c r="CA346" s="1052"/>
      <c r="CB346" s="1053"/>
      <c r="CC346" s="1053"/>
      <c r="CD346" s="1053"/>
      <c r="CE346" s="1053"/>
      <c r="CF346" s="1053"/>
      <c r="CG346" s="1053"/>
      <c r="CH346" s="1053"/>
      <c r="CI346" s="1123"/>
      <c r="CJ346" s="1123"/>
      <c r="CK346" s="1123"/>
      <c r="CL346" s="1123"/>
      <c r="CM346" s="1123"/>
      <c r="CN346" s="1123"/>
      <c r="CO346" s="1123"/>
      <c r="CP346" s="1123"/>
      <c r="CQ346" s="1123"/>
      <c r="CR346" s="1123"/>
      <c r="CS346" s="1123"/>
      <c r="CT346" s="1123"/>
      <c r="CU346" s="1123"/>
      <c r="CV346" s="1123"/>
      <c r="CW346" s="1123"/>
      <c r="CX346" s="1123"/>
      <c r="CY346" s="1123"/>
      <c r="CZ346" s="1114"/>
      <c r="DA346" s="1114"/>
      <c r="DB346" s="1114"/>
      <c r="DC346" s="1114"/>
      <c r="DD346" s="1114"/>
      <c r="DE346" s="1114"/>
      <c r="DF346" s="1114"/>
      <c r="DG346" s="1114"/>
      <c r="DH346" s="1114"/>
      <c r="DI346" s="1114"/>
      <c r="DJ346" s="1114"/>
      <c r="DK346" s="1114"/>
      <c r="DL346" s="1114"/>
      <c r="DM346" s="1114"/>
      <c r="DN346" s="1114"/>
      <c r="DO346" s="1114"/>
      <c r="DP346" s="1114"/>
      <c r="DQ346" s="1114"/>
      <c r="DR346" s="1114"/>
      <c r="DS346" s="1114"/>
      <c r="DT346" s="1114"/>
      <c r="DU346" s="1114"/>
      <c r="DV346" s="1115"/>
      <c r="DW346" s="1116"/>
      <c r="DX346" s="1116"/>
      <c r="DY346" s="1116"/>
      <c r="DZ346" s="1116"/>
      <c r="EA346" s="1116"/>
      <c r="EB346" s="1116"/>
      <c r="EC346" s="1116"/>
      <c r="ED346" s="1116"/>
      <c r="EE346" s="1116"/>
      <c r="EF346" s="1116"/>
      <c r="EG346" s="1116"/>
      <c r="EH346" s="1116"/>
      <c r="EI346" s="1116"/>
      <c r="EJ346" s="1116"/>
      <c r="EK346" s="1116"/>
      <c r="EL346" s="1116"/>
      <c r="EM346" s="1116"/>
      <c r="EN346" s="1116"/>
      <c r="EO346" s="1116"/>
      <c r="EP346" s="1116"/>
      <c r="EQ346" s="1116"/>
      <c r="ER346" s="1116"/>
      <c r="ES346" s="1116"/>
    </row>
    <row r="347" spans="1:149" ht="15" customHeight="1">
      <c r="A347" s="1185">
        <v>332</v>
      </c>
      <c r="B347" s="1041"/>
      <c r="C347" s="1050"/>
      <c r="D347" s="1050"/>
      <c r="E347" s="1050"/>
      <c r="F347" s="1049"/>
      <c r="G347" s="1457"/>
      <c r="H347" s="1049"/>
      <c r="I347" s="1049"/>
      <c r="J347" s="1050"/>
      <c r="K347" s="1050"/>
      <c r="L347" s="1043"/>
      <c r="M347" s="1051"/>
      <c r="N347" s="1051"/>
      <c r="O347" s="1052"/>
      <c r="P347" s="1051"/>
      <c r="Q347" s="1051"/>
      <c r="R347" s="1052"/>
      <c r="S347" s="1051"/>
      <c r="T347" s="1051"/>
      <c r="U347" s="1052"/>
      <c r="V347" s="1051"/>
      <c r="W347" s="1051"/>
      <c r="X347" s="1052"/>
      <c r="Y347" s="1053"/>
      <c r="Z347" s="1051"/>
      <c r="AA347" s="1051"/>
      <c r="AB347" s="1052"/>
      <c r="AC347" s="1051"/>
      <c r="AD347" s="1051"/>
      <c r="AE347" s="1052"/>
      <c r="AF347" s="1051"/>
      <c r="AG347" s="1051"/>
      <c r="AH347" s="1051"/>
      <c r="AI347" s="1051"/>
      <c r="AJ347" s="1052"/>
      <c r="AK347" s="1051"/>
      <c r="AL347" s="1051"/>
      <c r="AM347" s="1052"/>
      <c r="AN347" s="1051"/>
      <c r="AO347" s="1051"/>
      <c r="AP347" s="1052"/>
      <c r="AQ347" s="1051"/>
      <c r="AR347" s="1051"/>
      <c r="AS347" s="1052"/>
      <c r="AT347" s="1051"/>
      <c r="AU347" s="1051"/>
      <c r="AV347" s="1052"/>
      <c r="AW347" s="1051"/>
      <c r="AX347" s="1051"/>
      <c r="AY347" s="1053"/>
      <c r="AZ347" s="1051"/>
      <c r="BA347" s="1051"/>
      <c r="BB347" s="1053"/>
      <c r="BC347" s="1051"/>
      <c r="BD347" s="1051"/>
      <c r="BE347" s="1053"/>
      <c r="BF347" s="1051"/>
      <c r="BG347" s="1051"/>
      <c r="BH347" s="1053"/>
      <c r="BI347" s="1052"/>
      <c r="BJ347" s="1052"/>
      <c r="BK347" s="1052"/>
      <c r="BL347" s="1052"/>
      <c r="BM347" s="1052"/>
      <c r="BN347" s="1054"/>
      <c r="BO347" s="1076">
        <f t="shared" si="16"/>
        <v>0</v>
      </c>
      <c r="BP347" s="1051"/>
      <c r="BQ347" s="1052"/>
      <c r="BR347" s="1054"/>
      <c r="BS347" s="1053"/>
      <c r="BT347" s="1051"/>
      <c r="BU347" s="1051"/>
      <c r="BV347" s="1051"/>
      <c r="BW347" s="1052"/>
      <c r="BX347" s="1052"/>
      <c r="BY347" s="1052"/>
      <c r="BZ347" s="1052"/>
      <c r="CA347" s="1052"/>
      <c r="CB347" s="1053"/>
      <c r="CC347" s="1053"/>
      <c r="CD347" s="1053"/>
      <c r="CE347" s="1053"/>
      <c r="CF347" s="1053"/>
      <c r="CG347" s="1053"/>
      <c r="CH347" s="1053"/>
      <c r="CI347" s="1123"/>
      <c r="CJ347" s="1123"/>
      <c r="CK347" s="1123"/>
      <c r="CL347" s="1123"/>
      <c r="CM347" s="1123"/>
      <c r="CN347" s="1123"/>
      <c r="CO347" s="1123"/>
      <c r="CP347" s="1123"/>
      <c r="CQ347" s="1123"/>
      <c r="CR347" s="1123"/>
      <c r="CS347" s="1123"/>
      <c r="CT347" s="1123"/>
      <c r="CU347" s="1123"/>
      <c r="CV347" s="1123"/>
      <c r="CW347" s="1123"/>
      <c r="CX347" s="1123"/>
      <c r="CY347" s="1123"/>
      <c r="CZ347" s="1114"/>
      <c r="DA347" s="1114"/>
      <c r="DB347" s="1114"/>
      <c r="DC347" s="1114"/>
      <c r="DD347" s="1114"/>
      <c r="DE347" s="1114"/>
      <c r="DF347" s="1114"/>
      <c r="DG347" s="1114"/>
      <c r="DH347" s="1114"/>
      <c r="DI347" s="1114"/>
      <c r="DJ347" s="1114"/>
      <c r="DK347" s="1114"/>
      <c r="DL347" s="1114"/>
      <c r="DM347" s="1114"/>
      <c r="DN347" s="1114"/>
      <c r="DO347" s="1114"/>
      <c r="DP347" s="1114"/>
      <c r="DQ347" s="1114"/>
      <c r="DR347" s="1114"/>
      <c r="DS347" s="1114"/>
      <c r="DT347" s="1114"/>
      <c r="DU347" s="1114"/>
      <c r="DV347" s="1115"/>
      <c r="DW347" s="1116"/>
      <c r="DX347" s="1116"/>
      <c r="DY347" s="1116"/>
      <c r="DZ347" s="1116"/>
      <c r="EA347" s="1116"/>
      <c r="EB347" s="1116"/>
      <c r="EC347" s="1116"/>
      <c r="ED347" s="1116"/>
      <c r="EE347" s="1116"/>
      <c r="EF347" s="1116"/>
      <c r="EG347" s="1116"/>
      <c r="EH347" s="1116"/>
      <c r="EI347" s="1116"/>
      <c r="EJ347" s="1116"/>
      <c r="EK347" s="1116"/>
      <c r="EL347" s="1116"/>
      <c r="EM347" s="1116"/>
      <c r="EN347" s="1116"/>
      <c r="EO347" s="1116"/>
      <c r="EP347" s="1116"/>
      <c r="EQ347" s="1116"/>
      <c r="ER347" s="1116"/>
      <c r="ES347" s="1116"/>
    </row>
    <row r="348" spans="1:149" ht="15" customHeight="1">
      <c r="A348" s="1185">
        <v>333</v>
      </c>
      <c r="B348" s="1041"/>
      <c r="C348" s="1050"/>
      <c r="D348" s="1050"/>
      <c r="E348" s="1050"/>
      <c r="F348" s="1049"/>
      <c r="G348" s="1457"/>
      <c r="H348" s="1049"/>
      <c r="I348" s="1049"/>
      <c r="J348" s="1050"/>
      <c r="K348" s="1050"/>
      <c r="L348" s="1043"/>
      <c r="M348" s="1051"/>
      <c r="N348" s="1051"/>
      <c r="O348" s="1052"/>
      <c r="P348" s="1051"/>
      <c r="Q348" s="1051"/>
      <c r="R348" s="1052"/>
      <c r="S348" s="1051"/>
      <c r="T348" s="1051"/>
      <c r="U348" s="1052"/>
      <c r="V348" s="1051"/>
      <c r="W348" s="1051"/>
      <c r="X348" s="1052"/>
      <c r="Y348" s="1053"/>
      <c r="Z348" s="1051"/>
      <c r="AA348" s="1051"/>
      <c r="AB348" s="1052"/>
      <c r="AC348" s="1051"/>
      <c r="AD348" s="1051"/>
      <c r="AE348" s="1052"/>
      <c r="AF348" s="1051"/>
      <c r="AG348" s="1051"/>
      <c r="AH348" s="1051"/>
      <c r="AI348" s="1051"/>
      <c r="AJ348" s="1052"/>
      <c r="AK348" s="1051"/>
      <c r="AL348" s="1051"/>
      <c r="AM348" s="1052"/>
      <c r="AN348" s="1051"/>
      <c r="AO348" s="1051"/>
      <c r="AP348" s="1052"/>
      <c r="AQ348" s="1051"/>
      <c r="AR348" s="1051"/>
      <c r="AS348" s="1052"/>
      <c r="AT348" s="1051"/>
      <c r="AU348" s="1051"/>
      <c r="AV348" s="1052"/>
      <c r="AW348" s="1051"/>
      <c r="AX348" s="1051"/>
      <c r="AY348" s="1053"/>
      <c r="AZ348" s="1051"/>
      <c r="BA348" s="1051"/>
      <c r="BB348" s="1053"/>
      <c r="BC348" s="1051"/>
      <c r="BD348" s="1051"/>
      <c r="BE348" s="1053"/>
      <c r="BF348" s="1051"/>
      <c r="BG348" s="1051"/>
      <c r="BH348" s="1053"/>
      <c r="BI348" s="1052"/>
      <c r="BJ348" s="1052"/>
      <c r="BK348" s="1052"/>
      <c r="BL348" s="1052"/>
      <c r="BM348" s="1052"/>
      <c r="BN348" s="1054"/>
      <c r="BO348" s="1076">
        <f t="shared" si="16"/>
        <v>0</v>
      </c>
      <c r="BP348" s="1051"/>
      <c r="BQ348" s="1052"/>
      <c r="BR348" s="1054"/>
      <c r="BS348" s="1053"/>
      <c r="BT348" s="1051"/>
      <c r="BU348" s="1051"/>
      <c r="BV348" s="1051"/>
      <c r="BW348" s="1052"/>
      <c r="BX348" s="1052"/>
      <c r="BY348" s="1052"/>
      <c r="BZ348" s="1052"/>
      <c r="CA348" s="1052"/>
      <c r="CB348" s="1053"/>
      <c r="CC348" s="1053"/>
      <c r="CD348" s="1053"/>
      <c r="CE348" s="1053"/>
      <c r="CF348" s="1053"/>
      <c r="CG348" s="1053"/>
      <c r="CH348" s="1053"/>
      <c r="CI348" s="1123"/>
      <c r="CJ348" s="1123"/>
      <c r="CK348" s="1123"/>
      <c r="CL348" s="1123"/>
      <c r="CM348" s="1123"/>
      <c r="CN348" s="1123"/>
      <c r="CO348" s="1123"/>
      <c r="CP348" s="1123"/>
      <c r="CQ348" s="1123"/>
      <c r="CR348" s="1123"/>
      <c r="CS348" s="1123"/>
      <c r="CT348" s="1123"/>
      <c r="CU348" s="1123"/>
      <c r="CV348" s="1123"/>
      <c r="CW348" s="1123"/>
      <c r="CX348" s="1123"/>
      <c r="CY348" s="1123"/>
      <c r="CZ348" s="1114"/>
      <c r="DA348" s="1114"/>
      <c r="DB348" s="1114"/>
      <c r="DC348" s="1114"/>
      <c r="DD348" s="1114"/>
      <c r="DE348" s="1114"/>
      <c r="DF348" s="1114"/>
      <c r="DG348" s="1114"/>
      <c r="DH348" s="1114"/>
      <c r="DI348" s="1114"/>
      <c r="DJ348" s="1114"/>
      <c r="DK348" s="1114"/>
      <c r="DL348" s="1114"/>
      <c r="DM348" s="1114"/>
      <c r="DN348" s="1114"/>
      <c r="DO348" s="1114"/>
      <c r="DP348" s="1114"/>
      <c r="DQ348" s="1114"/>
      <c r="DR348" s="1114"/>
      <c r="DS348" s="1114"/>
      <c r="DT348" s="1114"/>
      <c r="DU348" s="1114"/>
      <c r="DV348" s="1115"/>
      <c r="DW348" s="1116"/>
      <c r="DX348" s="1116"/>
      <c r="DY348" s="1116"/>
      <c r="DZ348" s="1116"/>
      <c r="EA348" s="1116"/>
      <c r="EB348" s="1116"/>
      <c r="EC348" s="1116"/>
      <c r="ED348" s="1116"/>
      <c r="EE348" s="1116"/>
      <c r="EF348" s="1116"/>
      <c r="EG348" s="1116"/>
      <c r="EH348" s="1116"/>
      <c r="EI348" s="1116"/>
      <c r="EJ348" s="1116"/>
      <c r="EK348" s="1116"/>
      <c r="EL348" s="1116"/>
      <c r="EM348" s="1116"/>
      <c r="EN348" s="1116"/>
      <c r="EO348" s="1116"/>
      <c r="EP348" s="1116"/>
      <c r="EQ348" s="1116"/>
      <c r="ER348" s="1116"/>
      <c r="ES348" s="1116"/>
    </row>
    <row r="349" spans="1:149" ht="15" customHeight="1">
      <c r="A349" s="1185">
        <v>334</v>
      </c>
      <c r="B349" s="1041"/>
      <c r="C349" s="1050"/>
      <c r="D349" s="1050"/>
      <c r="E349" s="1050"/>
      <c r="F349" s="1049"/>
      <c r="G349" s="1457"/>
      <c r="H349" s="1049"/>
      <c r="I349" s="1049"/>
      <c r="J349" s="1050"/>
      <c r="K349" s="1050"/>
      <c r="L349" s="1043"/>
      <c r="M349" s="1051"/>
      <c r="N349" s="1051"/>
      <c r="O349" s="1052"/>
      <c r="P349" s="1051"/>
      <c r="Q349" s="1051"/>
      <c r="R349" s="1052"/>
      <c r="S349" s="1051"/>
      <c r="T349" s="1051"/>
      <c r="U349" s="1052"/>
      <c r="V349" s="1051"/>
      <c r="W349" s="1051"/>
      <c r="X349" s="1052"/>
      <c r="Y349" s="1053"/>
      <c r="Z349" s="1051"/>
      <c r="AA349" s="1051"/>
      <c r="AB349" s="1052"/>
      <c r="AC349" s="1051"/>
      <c r="AD349" s="1051"/>
      <c r="AE349" s="1052"/>
      <c r="AF349" s="1051"/>
      <c r="AG349" s="1051"/>
      <c r="AH349" s="1051"/>
      <c r="AI349" s="1051"/>
      <c r="AJ349" s="1052"/>
      <c r="AK349" s="1051"/>
      <c r="AL349" s="1051"/>
      <c r="AM349" s="1052"/>
      <c r="AN349" s="1051"/>
      <c r="AO349" s="1051"/>
      <c r="AP349" s="1052"/>
      <c r="AQ349" s="1051"/>
      <c r="AR349" s="1051"/>
      <c r="AS349" s="1052"/>
      <c r="AT349" s="1051"/>
      <c r="AU349" s="1051"/>
      <c r="AV349" s="1052"/>
      <c r="AW349" s="1051"/>
      <c r="AX349" s="1051"/>
      <c r="AY349" s="1053"/>
      <c r="AZ349" s="1051"/>
      <c r="BA349" s="1051"/>
      <c r="BB349" s="1053"/>
      <c r="BC349" s="1051"/>
      <c r="BD349" s="1051"/>
      <c r="BE349" s="1053"/>
      <c r="BF349" s="1051"/>
      <c r="BG349" s="1051"/>
      <c r="BH349" s="1053"/>
      <c r="BI349" s="1052"/>
      <c r="BJ349" s="1052"/>
      <c r="BK349" s="1052"/>
      <c r="BL349" s="1052"/>
      <c r="BM349" s="1052"/>
      <c r="BN349" s="1054"/>
      <c r="BO349" s="1076">
        <f t="shared" si="16"/>
        <v>0</v>
      </c>
      <c r="BP349" s="1051"/>
      <c r="BQ349" s="1052"/>
      <c r="BR349" s="1054"/>
      <c r="BS349" s="1053"/>
      <c r="BT349" s="1051"/>
      <c r="BU349" s="1051"/>
      <c r="BV349" s="1051"/>
      <c r="BW349" s="1052"/>
      <c r="BX349" s="1052"/>
      <c r="BY349" s="1052"/>
      <c r="BZ349" s="1052"/>
      <c r="CA349" s="1052"/>
      <c r="CB349" s="1053"/>
      <c r="CC349" s="1053"/>
      <c r="CD349" s="1053"/>
      <c r="CE349" s="1053"/>
      <c r="CF349" s="1053"/>
      <c r="CG349" s="1053"/>
      <c r="CH349" s="1053"/>
      <c r="CI349" s="1123"/>
      <c r="CJ349" s="1123"/>
      <c r="CK349" s="1123"/>
      <c r="CL349" s="1123"/>
      <c r="CM349" s="1123"/>
      <c r="CN349" s="1123"/>
      <c r="CO349" s="1123"/>
      <c r="CP349" s="1123"/>
      <c r="CQ349" s="1123"/>
      <c r="CR349" s="1123"/>
      <c r="CS349" s="1123"/>
      <c r="CT349" s="1123"/>
      <c r="CU349" s="1123"/>
      <c r="CV349" s="1123"/>
      <c r="CW349" s="1123"/>
      <c r="CX349" s="1123"/>
      <c r="CY349" s="1123"/>
      <c r="CZ349" s="1114"/>
      <c r="DA349" s="1114"/>
      <c r="DB349" s="1114"/>
      <c r="DC349" s="1114"/>
      <c r="DD349" s="1114"/>
      <c r="DE349" s="1114"/>
      <c r="DF349" s="1114"/>
      <c r="DG349" s="1114"/>
      <c r="DH349" s="1114"/>
      <c r="DI349" s="1114"/>
      <c r="DJ349" s="1114"/>
      <c r="DK349" s="1114"/>
      <c r="DL349" s="1114"/>
      <c r="DM349" s="1114"/>
      <c r="DN349" s="1114"/>
      <c r="DO349" s="1114"/>
      <c r="DP349" s="1114"/>
      <c r="DQ349" s="1114"/>
      <c r="DR349" s="1114"/>
      <c r="DS349" s="1114"/>
      <c r="DT349" s="1114"/>
      <c r="DU349" s="1114"/>
      <c r="DV349" s="1115"/>
      <c r="DW349" s="1116"/>
      <c r="DX349" s="1116"/>
      <c r="DY349" s="1116"/>
      <c r="DZ349" s="1116"/>
      <c r="EA349" s="1116"/>
      <c r="EB349" s="1116"/>
      <c r="EC349" s="1116"/>
      <c r="ED349" s="1116"/>
      <c r="EE349" s="1116"/>
      <c r="EF349" s="1116"/>
      <c r="EG349" s="1116"/>
      <c r="EH349" s="1116"/>
      <c r="EI349" s="1116"/>
      <c r="EJ349" s="1116"/>
      <c r="EK349" s="1116"/>
      <c r="EL349" s="1116"/>
      <c r="EM349" s="1116"/>
      <c r="EN349" s="1116"/>
      <c r="EO349" s="1116"/>
      <c r="EP349" s="1116"/>
      <c r="EQ349" s="1116"/>
      <c r="ER349" s="1116"/>
      <c r="ES349" s="1116"/>
    </row>
    <row r="350" spans="1:149" ht="15" customHeight="1">
      <c r="A350" s="1185">
        <v>335</v>
      </c>
      <c r="B350" s="1041"/>
      <c r="C350" s="1050"/>
      <c r="D350" s="1050"/>
      <c r="E350" s="1050"/>
      <c r="F350" s="1049"/>
      <c r="G350" s="1457"/>
      <c r="H350" s="1049"/>
      <c r="I350" s="1049"/>
      <c r="J350" s="1050"/>
      <c r="K350" s="1050"/>
      <c r="L350" s="1043"/>
      <c r="M350" s="1051"/>
      <c r="N350" s="1051"/>
      <c r="O350" s="1052"/>
      <c r="P350" s="1051"/>
      <c r="Q350" s="1051"/>
      <c r="R350" s="1052"/>
      <c r="S350" s="1051"/>
      <c r="T350" s="1051"/>
      <c r="U350" s="1052"/>
      <c r="V350" s="1051"/>
      <c r="W350" s="1051"/>
      <c r="X350" s="1052"/>
      <c r="Y350" s="1053"/>
      <c r="Z350" s="1051"/>
      <c r="AA350" s="1051"/>
      <c r="AB350" s="1052"/>
      <c r="AC350" s="1051"/>
      <c r="AD350" s="1051"/>
      <c r="AE350" s="1052"/>
      <c r="AF350" s="1051"/>
      <c r="AG350" s="1051"/>
      <c r="AH350" s="1051"/>
      <c r="AI350" s="1051"/>
      <c r="AJ350" s="1052"/>
      <c r="AK350" s="1051"/>
      <c r="AL350" s="1051"/>
      <c r="AM350" s="1052"/>
      <c r="AN350" s="1051"/>
      <c r="AO350" s="1051"/>
      <c r="AP350" s="1052"/>
      <c r="AQ350" s="1051"/>
      <c r="AR350" s="1051"/>
      <c r="AS350" s="1052"/>
      <c r="AT350" s="1051"/>
      <c r="AU350" s="1051"/>
      <c r="AV350" s="1052"/>
      <c r="AW350" s="1051"/>
      <c r="AX350" s="1051"/>
      <c r="AY350" s="1053"/>
      <c r="AZ350" s="1051"/>
      <c r="BA350" s="1051"/>
      <c r="BB350" s="1053"/>
      <c r="BC350" s="1051"/>
      <c r="BD350" s="1051"/>
      <c r="BE350" s="1053"/>
      <c r="BF350" s="1051"/>
      <c r="BG350" s="1051"/>
      <c r="BH350" s="1053"/>
      <c r="BI350" s="1052"/>
      <c r="BJ350" s="1052"/>
      <c r="BK350" s="1052"/>
      <c r="BL350" s="1052"/>
      <c r="BM350" s="1052"/>
      <c r="BN350" s="1054"/>
      <c r="BO350" s="1076">
        <f t="shared" si="16"/>
        <v>0</v>
      </c>
      <c r="BP350" s="1051"/>
      <c r="BQ350" s="1052"/>
      <c r="BR350" s="1054"/>
      <c r="BS350" s="1053"/>
      <c r="BT350" s="1051"/>
      <c r="BU350" s="1051"/>
      <c r="BV350" s="1051"/>
      <c r="BW350" s="1052"/>
      <c r="BX350" s="1052"/>
      <c r="BY350" s="1052"/>
      <c r="BZ350" s="1052"/>
      <c r="CA350" s="1052"/>
      <c r="CB350" s="1053"/>
      <c r="CC350" s="1053"/>
      <c r="CD350" s="1053"/>
      <c r="CE350" s="1053"/>
      <c r="CF350" s="1053"/>
      <c r="CG350" s="1053"/>
      <c r="CH350" s="1053"/>
      <c r="CI350" s="1123"/>
      <c r="CJ350" s="1123"/>
      <c r="CK350" s="1123"/>
      <c r="CL350" s="1123"/>
      <c r="CM350" s="1123"/>
      <c r="CN350" s="1123"/>
      <c r="CO350" s="1123"/>
      <c r="CP350" s="1123"/>
      <c r="CQ350" s="1123"/>
      <c r="CR350" s="1123"/>
      <c r="CS350" s="1123"/>
      <c r="CT350" s="1123"/>
      <c r="CU350" s="1123"/>
      <c r="CV350" s="1123"/>
      <c r="CW350" s="1123"/>
      <c r="CX350" s="1123"/>
      <c r="CY350" s="1123"/>
      <c r="CZ350" s="1114"/>
      <c r="DA350" s="1114"/>
      <c r="DB350" s="1114"/>
      <c r="DC350" s="1114"/>
      <c r="DD350" s="1114"/>
      <c r="DE350" s="1114"/>
      <c r="DF350" s="1114"/>
      <c r="DG350" s="1114"/>
      <c r="DH350" s="1114"/>
      <c r="DI350" s="1114"/>
      <c r="DJ350" s="1114"/>
      <c r="DK350" s="1114"/>
      <c r="DL350" s="1114"/>
      <c r="DM350" s="1114"/>
      <c r="DN350" s="1114"/>
      <c r="DO350" s="1114"/>
      <c r="DP350" s="1114"/>
      <c r="DQ350" s="1114"/>
      <c r="DR350" s="1114"/>
      <c r="DS350" s="1114"/>
      <c r="DT350" s="1114"/>
      <c r="DU350" s="1114"/>
      <c r="DV350" s="1115"/>
      <c r="DW350" s="1116"/>
      <c r="DX350" s="1116"/>
      <c r="DY350" s="1116"/>
      <c r="DZ350" s="1116"/>
      <c r="EA350" s="1116"/>
      <c r="EB350" s="1116"/>
      <c r="EC350" s="1116"/>
      <c r="ED350" s="1116"/>
      <c r="EE350" s="1116"/>
      <c r="EF350" s="1116"/>
      <c r="EG350" s="1116"/>
      <c r="EH350" s="1116"/>
      <c r="EI350" s="1116"/>
      <c r="EJ350" s="1116"/>
      <c r="EK350" s="1116"/>
      <c r="EL350" s="1116"/>
      <c r="EM350" s="1116"/>
      <c r="EN350" s="1116"/>
      <c r="EO350" s="1116"/>
      <c r="EP350" s="1116"/>
      <c r="EQ350" s="1116"/>
      <c r="ER350" s="1116"/>
      <c r="ES350" s="1116"/>
    </row>
    <row r="351" spans="1:149" ht="15" customHeight="1">
      <c r="A351" s="1185">
        <v>336</v>
      </c>
      <c r="B351" s="1041"/>
      <c r="C351" s="1050"/>
      <c r="D351" s="1050"/>
      <c r="E351" s="1050"/>
      <c r="F351" s="1049"/>
      <c r="G351" s="1457"/>
      <c r="H351" s="1049"/>
      <c r="I351" s="1049"/>
      <c r="J351" s="1050"/>
      <c r="K351" s="1050"/>
      <c r="L351" s="1043"/>
      <c r="M351" s="1051"/>
      <c r="N351" s="1051"/>
      <c r="O351" s="1052"/>
      <c r="P351" s="1051"/>
      <c r="Q351" s="1051"/>
      <c r="R351" s="1052"/>
      <c r="S351" s="1051"/>
      <c r="T351" s="1051"/>
      <c r="U351" s="1052"/>
      <c r="V351" s="1051"/>
      <c r="W351" s="1051"/>
      <c r="X351" s="1052"/>
      <c r="Y351" s="1053"/>
      <c r="Z351" s="1051"/>
      <c r="AA351" s="1051"/>
      <c r="AB351" s="1052"/>
      <c r="AC351" s="1051"/>
      <c r="AD351" s="1051"/>
      <c r="AE351" s="1052"/>
      <c r="AF351" s="1051"/>
      <c r="AG351" s="1051"/>
      <c r="AH351" s="1051"/>
      <c r="AI351" s="1051"/>
      <c r="AJ351" s="1052"/>
      <c r="AK351" s="1051"/>
      <c r="AL351" s="1051"/>
      <c r="AM351" s="1052"/>
      <c r="AN351" s="1051"/>
      <c r="AO351" s="1051"/>
      <c r="AP351" s="1052"/>
      <c r="AQ351" s="1051"/>
      <c r="AR351" s="1051"/>
      <c r="AS351" s="1052"/>
      <c r="AT351" s="1051"/>
      <c r="AU351" s="1051"/>
      <c r="AV351" s="1052"/>
      <c r="AW351" s="1051"/>
      <c r="AX351" s="1051"/>
      <c r="AY351" s="1053"/>
      <c r="AZ351" s="1051"/>
      <c r="BA351" s="1051"/>
      <c r="BB351" s="1053"/>
      <c r="BC351" s="1051"/>
      <c r="BD351" s="1051"/>
      <c r="BE351" s="1053"/>
      <c r="BF351" s="1051"/>
      <c r="BG351" s="1051"/>
      <c r="BH351" s="1053"/>
      <c r="BI351" s="1052"/>
      <c r="BJ351" s="1052"/>
      <c r="BK351" s="1052"/>
      <c r="BL351" s="1052"/>
      <c r="BM351" s="1052"/>
      <c r="BN351" s="1054"/>
      <c r="BO351" s="1076">
        <f t="shared" si="16"/>
        <v>0</v>
      </c>
      <c r="BP351" s="1051"/>
      <c r="BQ351" s="1052"/>
      <c r="BR351" s="1054"/>
      <c r="BS351" s="1053"/>
      <c r="BT351" s="1051"/>
      <c r="BU351" s="1051"/>
      <c r="BV351" s="1051"/>
      <c r="BW351" s="1052"/>
      <c r="BX351" s="1052"/>
      <c r="BY351" s="1052"/>
      <c r="BZ351" s="1052"/>
      <c r="CA351" s="1052"/>
      <c r="CB351" s="1053"/>
      <c r="CC351" s="1053"/>
      <c r="CD351" s="1053"/>
      <c r="CE351" s="1053"/>
      <c r="CF351" s="1053"/>
      <c r="CG351" s="1053"/>
      <c r="CH351" s="1053"/>
      <c r="CI351" s="1123"/>
      <c r="CJ351" s="1123"/>
      <c r="CK351" s="1123"/>
      <c r="CL351" s="1123"/>
      <c r="CM351" s="1123"/>
      <c r="CN351" s="1123"/>
      <c r="CO351" s="1123"/>
      <c r="CP351" s="1123"/>
      <c r="CQ351" s="1123"/>
      <c r="CR351" s="1123"/>
      <c r="CS351" s="1123"/>
      <c r="CT351" s="1123"/>
      <c r="CU351" s="1123"/>
      <c r="CV351" s="1123"/>
      <c r="CW351" s="1123"/>
      <c r="CX351" s="1123"/>
      <c r="CY351" s="1123"/>
      <c r="CZ351" s="1114"/>
      <c r="DA351" s="1114"/>
      <c r="DB351" s="1114"/>
      <c r="DC351" s="1114"/>
      <c r="DD351" s="1114"/>
      <c r="DE351" s="1114"/>
      <c r="DF351" s="1114"/>
      <c r="DG351" s="1114"/>
      <c r="DH351" s="1114"/>
      <c r="DI351" s="1114"/>
      <c r="DJ351" s="1114"/>
      <c r="DK351" s="1114"/>
      <c r="DL351" s="1114"/>
      <c r="DM351" s="1114"/>
      <c r="DN351" s="1114"/>
      <c r="DO351" s="1114"/>
      <c r="DP351" s="1114"/>
      <c r="DQ351" s="1114"/>
      <c r="DR351" s="1114"/>
      <c r="DS351" s="1114"/>
      <c r="DT351" s="1114"/>
      <c r="DU351" s="1114"/>
      <c r="DV351" s="1115"/>
      <c r="DW351" s="1116"/>
      <c r="DX351" s="1116"/>
      <c r="DY351" s="1116"/>
      <c r="DZ351" s="1116"/>
      <c r="EA351" s="1116"/>
      <c r="EB351" s="1116"/>
      <c r="EC351" s="1116"/>
      <c r="ED351" s="1116"/>
      <c r="EE351" s="1116"/>
      <c r="EF351" s="1116"/>
      <c r="EG351" s="1116"/>
      <c r="EH351" s="1116"/>
      <c r="EI351" s="1116"/>
      <c r="EJ351" s="1116"/>
      <c r="EK351" s="1116"/>
      <c r="EL351" s="1116"/>
      <c r="EM351" s="1116"/>
      <c r="EN351" s="1116"/>
      <c r="EO351" s="1116"/>
      <c r="EP351" s="1116"/>
      <c r="EQ351" s="1116"/>
      <c r="ER351" s="1116"/>
      <c r="ES351" s="1116"/>
    </row>
    <row r="352" spans="1:149" ht="15" customHeight="1">
      <c r="A352" s="1185">
        <v>337</v>
      </c>
      <c r="B352" s="1041"/>
      <c r="C352" s="1050"/>
      <c r="D352" s="1050"/>
      <c r="E352" s="1050"/>
      <c r="F352" s="1049"/>
      <c r="G352" s="1457"/>
      <c r="H352" s="1049"/>
      <c r="I352" s="1049"/>
      <c r="J352" s="1050"/>
      <c r="K352" s="1050"/>
      <c r="L352" s="1043"/>
      <c r="M352" s="1051"/>
      <c r="N352" s="1051"/>
      <c r="O352" s="1052"/>
      <c r="P352" s="1051"/>
      <c r="Q352" s="1051"/>
      <c r="R352" s="1052"/>
      <c r="S352" s="1051"/>
      <c r="T352" s="1051"/>
      <c r="U352" s="1052"/>
      <c r="V352" s="1051"/>
      <c r="W352" s="1051"/>
      <c r="X352" s="1052"/>
      <c r="Y352" s="1053"/>
      <c r="Z352" s="1051"/>
      <c r="AA352" s="1051"/>
      <c r="AB352" s="1052"/>
      <c r="AC352" s="1051"/>
      <c r="AD352" s="1051"/>
      <c r="AE352" s="1052"/>
      <c r="AF352" s="1051"/>
      <c r="AG352" s="1051"/>
      <c r="AH352" s="1051"/>
      <c r="AI352" s="1051"/>
      <c r="AJ352" s="1052"/>
      <c r="AK352" s="1051"/>
      <c r="AL352" s="1051"/>
      <c r="AM352" s="1052"/>
      <c r="AN352" s="1051"/>
      <c r="AO352" s="1051"/>
      <c r="AP352" s="1052"/>
      <c r="AQ352" s="1051"/>
      <c r="AR352" s="1051"/>
      <c r="AS352" s="1052"/>
      <c r="AT352" s="1051"/>
      <c r="AU352" s="1051"/>
      <c r="AV352" s="1052"/>
      <c r="AW352" s="1051"/>
      <c r="AX352" s="1051"/>
      <c r="AY352" s="1053"/>
      <c r="AZ352" s="1051"/>
      <c r="BA352" s="1051"/>
      <c r="BB352" s="1053"/>
      <c r="BC352" s="1051"/>
      <c r="BD352" s="1051"/>
      <c r="BE352" s="1053"/>
      <c r="BF352" s="1051"/>
      <c r="BG352" s="1051"/>
      <c r="BH352" s="1053"/>
      <c r="BI352" s="1052"/>
      <c r="BJ352" s="1052"/>
      <c r="BK352" s="1052"/>
      <c r="BL352" s="1052"/>
      <c r="BM352" s="1052"/>
      <c r="BN352" s="1054"/>
      <c r="BO352" s="1076">
        <f t="shared" si="16"/>
        <v>0</v>
      </c>
      <c r="BP352" s="1051"/>
      <c r="BQ352" s="1052"/>
      <c r="BR352" s="1054"/>
      <c r="BS352" s="1053"/>
      <c r="BT352" s="1051"/>
      <c r="BU352" s="1051"/>
      <c r="BV352" s="1051"/>
      <c r="BW352" s="1052"/>
      <c r="BX352" s="1052"/>
      <c r="BY352" s="1052"/>
      <c r="BZ352" s="1052"/>
      <c r="CA352" s="1052"/>
      <c r="CB352" s="1053"/>
      <c r="CC352" s="1053"/>
      <c r="CD352" s="1053"/>
      <c r="CE352" s="1053"/>
      <c r="CF352" s="1053"/>
      <c r="CG352" s="1053"/>
      <c r="CH352" s="1053"/>
      <c r="CI352" s="1123"/>
      <c r="CJ352" s="1123"/>
      <c r="CK352" s="1123"/>
      <c r="CL352" s="1123"/>
      <c r="CM352" s="1123"/>
      <c r="CN352" s="1123"/>
      <c r="CO352" s="1123"/>
      <c r="CP352" s="1123"/>
      <c r="CQ352" s="1123"/>
      <c r="CR352" s="1123"/>
      <c r="CS352" s="1123"/>
      <c r="CT352" s="1123"/>
      <c r="CU352" s="1123"/>
      <c r="CV352" s="1123"/>
      <c r="CW352" s="1123"/>
      <c r="CX352" s="1123"/>
      <c r="CY352" s="1123"/>
      <c r="CZ352" s="1114"/>
      <c r="DA352" s="1114"/>
      <c r="DB352" s="1114"/>
      <c r="DC352" s="1114"/>
      <c r="DD352" s="1114"/>
      <c r="DE352" s="1114"/>
      <c r="DF352" s="1114"/>
      <c r="DG352" s="1114"/>
      <c r="DH352" s="1114"/>
      <c r="DI352" s="1114"/>
      <c r="DJ352" s="1114"/>
      <c r="DK352" s="1114"/>
      <c r="DL352" s="1114"/>
      <c r="DM352" s="1114"/>
      <c r="DN352" s="1114"/>
      <c r="DO352" s="1114"/>
      <c r="DP352" s="1114"/>
      <c r="DQ352" s="1114"/>
      <c r="DR352" s="1114"/>
      <c r="DS352" s="1114"/>
      <c r="DT352" s="1114"/>
      <c r="DU352" s="1114"/>
      <c r="DV352" s="1115"/>
      <c r="DW352" s="1116"/>
      <c r="DX352" s="1116"/>
      <c r="DY352" s="1116"/>
      <c r="DZ352" s="1116"/>
      <c r="EA352" s="1116"/>
      <c r="EB352" s="1116"/>
      <c r="EC352" s="1116"/>
      <c r="ED352" s="1116"/>
      <c r="EE352" s="1116"/>
      <c r="EF352" s="1116"/>
      <c r="EG352" s="1116"/>
      <c r="EH352" s="1116"/>
      <c r="EI352" s="1116"/>
      <c r="EJ352" s="1116"/>
      <c r="EK352" s="1116"/>
      <c r="EL352" s="1116"/>
      <c r="EM352" s="1116"/>
      <c r="EN352" s="1116"/>
      <c r="EO352" s="1116"/>
      <c r="EP352" s="1116"/>
      <c r="EQ352" s="1116"/>
      <c r="ER352" s="1116"/>
      <c r="ES352" s="1116"/>
    </row>
    <row r="353" spans="1:149" ht="15" customHeight="1">
      <c r="A353" s="1185">
        <v>338</v>
      </c>
      <c r="B353" s="1041"/>
      <c r="C353" s="1050"/>
      <c r="D353" s="1050"/>
      <c r="E353" s="1050"/>
      <c r="F353" s="1049"/>
      <c r="G353" s="1457"/>
      <c r="H353" s="1049"/>
      <c r="I353" s="1049"/>
      <c r="J353" s="1050"/>
      <c r="K353" s="1050"/>
      <c r="L353" s="1043"/>
      <c r="M353" s="1051"/>
      <c r="N353" s="1051"/>
      <c r="O353" s="1052"/>
      <c r="P353" s="1051"/>
      <c r="Q353" s="1051"/>
      <c r="R353" s="1052"/>
      <c r="S353" s="1051"/>
      <c r="T353" s="1051"/>
      <c r="U353" s="1052"/>
      <c r="V353" s="1051"/>
      <c r="W353" s="1051"/>
      <c r="X353" s="1052"/>
      <c r="Y353" s="1053"/>
      <c r="Z353" s="1051"/>
      <c r="AA353" s="1051"/>
      <c r="AB353" s="1052"/>
      <c r="AC353" s="1051"/>
      <c r="AD353" s="1051"/>
      <c r="AE353" s="1052"/>
      <c r="AF353" s="1051"/>
      <c r="AG353" s="1051"/>
      <c r="AH353" s="1051"/>
      <c r="AI353" s="1051"/>
      <c r="AJ353" s="1052"/>
      <c r="AK353" s="1051"/>
      <c r="AL353" s="1051"/>
      <c r="AM353" s="1052"/>
      <c r="AN353" s="1051"/>
      <c r="AO353" s="1051"/>
      <c r="AP353" s="1052"/>
      <c r="AQ353" s="1051"/>
      <c r="AR353" s="1051"/>
      <c r="AS353" s="1052"/>
      <c r="AT353" s="1051"/>
      <c r="AU353" s="1051"/>
      <c r="AV353" s="1052"/>
      <c r="AW353" s="1051"/>
      <c r="AX353" s="1051"/>
      <c r="AY353" s="1053"/>
      <c r="AZ353" s="1051"/>
      <c r="BA353" s="1051"/>
      <c r="BB353" s="1053"/>
      <c r="BC353" s="1051"/>
      <c r="BD353" s="1051"/>
      <c r="BE353" s="1053"/>
      <c r="BF353" s="1051"/>
      <c r="BG353" s="1051"/>
      <c r="BH353" s="1053"/>
      <c r="BI353" s="1052"/>
      <c r="BJ353" s="1052"/>
      <c r="BK353" s="1052"/>
      <c r="BL353" s="1052"/>
      <c r="BM353" s="1052"/>
      <c r="BN353" s="1054"/>
      <c r="BO353" s="1076">
        <f t="shared" si="16"/>
        <v>0</v>
      </c>
      <c r="BP353" s="1051"/>
      <c r="BQ353" s="1052"/>
      <c r="BR353" s="1054"/>
      <c r="BS353" s="1053"/>
      <c r="BT353" s="1051"/>
      <c r="BU353" s="1051"/>
      <c r="BV353" s="1051"/>
      <c r="BW353" s="1052"/>
      <c r="BX353" s="1052"/>
      <c r="BY353" s="1052"/>
      <c r="BZ353" s="1052"/>
      <c r="CA353" s="1052"/>
      <c r="CB353" s="1053"/>
      <c r="CC353" s="1053"/>
      <c r="CD353" s="1053"/>
      <c r="CE353" s="1053"/>
      <c r="CF353" s="1053"/>
      <c r="CG353" s="1053"/>
      <c r="CH353" s="1053"/>
      <c r="CI353" s="1123"/>
      <c r="CJ353" s="1123"/>
      <c r="CK353" s="1123"/>
      <c r="CL353" s="1123"/>
      <c r="CM353" s="1123"/>
      <c r="CN353" s="1123"/>
      <c r="CO353" s="1123"/>
      <c r="CP353" s="1123"/>
      <c r="CQ353" s="1123"/>
      <c r="CR353" s="1123"/>
      <c r="CS353" s="1123"/>
      <c r="CT353" s="1123"/>
      <c r="CU353" s="1123"/>
      <c r="CV353" s="1123"/>
      <c r="CW353" s="1123"/>
      <c r="CX353" s="1123"/>
      <c r="CY353" s="1123"/>
      <c r="CZ353" s="1114"/>
      <c r="DA353" s="1114"/>
      <c r="DB353" s="1114"/>
      <c r="DC353" s="1114"/>
      <c r="DD353" s="1114"/>
      <c r="DE353" s="1114"/>
      <c r="DF353" s="1114"/>
      <c r="DG353" s="1114"/>
      <c r="DH353" s="1114"/>
      <c r="DI353" s="1114"/>
      <c r="DJ353" s="1114"/>
      <c r="DK353" s="1114"/>
      <c r="DL353" s="1114"/>
      <c r="DM353" s="1114"/>
      <c r="DN353" s="1114"/>
      <c r="DO353" s="1114"/>
      <c r="DP353" s="1114"/>
      <c r="DQ353" s="1114"/>
      <c r="DR353" s="1114"/>
      <c r="DS353" s="1114"/>
      <c r="DT353" s="1114"/>
      <c r="DU353" s="1114"/>
      <c r="DV353" s="1115"/>
      <c r="DW353" s="1116"/>
      <c r="DX353" s="1116"/>
      <c r="DY353" s="1116"/>
      <c r="DZ353" s="1116"/>
      <c r="EA353" s="1116"/>
      <c r="EB353" s="1116"/>
      <c r="EC353" s="1116"/>
      <c r="ED353" s="1116"/>
      <c r="EE353" s="1116"/>
      <c r="EF353" s="1116"/>
      <c r="EG353" s="1116"/>
      <c r="EH353" s="1116"/>
      <c r="EI353" s="1116"/>
      <c r="EJ353" s="1116"/>
      <c r="EK353" s="1116"/>
      <c r="EL353" s="1116"/>
      <c r="EM353" s="1116"/>
      <c r="EN353" s="1116"/>
      <c r="EO353" s="1116"/>
      <c r="EP353" s="1116"/>
      <c r="EQ353" s="1116"/>
      <c r="ER353" s="1116"/>
      <c r="ES353" s="1116"/>
    </row>
    <row r="354" spans="1:149" ht="15" customHeight="1">
      <c r="A354" s="1185">
        <v>339</v>
      </c>
      <c r="B354" s="1041"/>
      <c r="C354" s="1050"/>
      <c r="D354" s="1050"/>
      <c r="E354" s="1050"/>
      <c r="F354" s="1049"/>
      <c r="G354" s="1457"/>
      <c r="H354" s="1049"/>
      <c r="I354" s="1049"/>
      <c r="J354" s="1050"/>
      <c r="K354" s="1050"/>
      <c r="L354" s="1043"/>
      <c r="M354" s="1051"/>
      <c r="N354" s="1051"/>
      <c r="O354" s="1052"/>
      <c r="P354" s="1051"/>
      <c r="Q354" s="1051"/>
      <c r="R354" s="1052"/>
      <c r="S354" s="1051"/>
      <c r="T354" s="1051"/>
      <c r="U354" s="1052"/>
      <c r="V354" s="1051"/>
      <c r="W354" s="1051"/>
      <c r="X354" s="1052"/>
      <c r="Y354" s="1053"/>
      <c r="Z354" s="1051"/>
      <c r="AA354" s="1051"/>
      <c r="AB354" s="1052"/>
      <c r="AC354" s="1051"/>
      <c r="AD354" s="1051"/>
      <c r="AE354" s="1052"/>
      <c r="AF354" s="1051"/>
      <c r="AG354" s="1051"/>
      <c r="AH354" s="1051"/>
      <c r="AI354" s="1051"/>
      <c r="AJ354" s="1052"/>
      <c r="AK354" s="1051"/>
      <c r="AL354" s="1051"/>
      <c r="AM354" s="1052"/>
      <c r="AN354" s="1051"/>
      <c r="AO354" s="1051"/>
      <c r="AP354" s="1052"/>
      <c r="AQ354" s="1051"/>
      <c r="AR354" s="1051"/>
      <c r="AS354" s="1052"/>
      <c r="AT354" s="1051"/>
      <c r="AU354" s="1051"/>
      <c r="AV354" s="1052"/>
      <c r="AW354" s="1051"/>
      <c r="AX354" s="1051"/>
      <c r="AY354" s="1053"/>
      <c r="AZ354" s="1051"/>
      <c r="BA354" s="1051"/>
      <c r="BB354" s="1053"/>
      <c r="BC354" s="1051"/>
      <c r="BD354" s="1051"/>
      <c r="BE354" s="1053"/>
      <c r="BF354" s="1051"/>
      <c r="BG354" s="1051"/>
      <c r="BH354" s="1053"/>
      <c r="BI354" s="1052"/>
      <c r="BJ354" s="1052"/>
      <c r="BK354" s="1052"/>
      <c r="BL354" s="1052"/>
      <c r="BM354" s="1052"/>
      <c r="BN354" s="1054"/>
      <c r="BO354" s="1076">
        <f t="shared" si="16"/>
        <v>0</v>
      </c>
      <c r="BP354" s="1051"/>
      <c r="BQ354" s="1052"/>
      <c r="BR354" s="1054"/>
      <c r="BS354" s="1053"/>
      <c r="BT354" s="1051"/>
      <c r="BU354" s="1051"/>
      <c r="BV354" s="1051"/>
      <c r="BW354" s="1052"/>
      <c r="BX354" s="1052"/>
      <c r="BY354" s="1052"/>
      <c r="BZ354" s="1052"/>
      <c r="CA354" s="1052"/>
      <c r="CB354" s="1053"/>
      <c r="CC354" s="1053"/>
      <c r="CD354" s="1053"/>
      <c r="CE354" s="1053"/>
      <c r="CF354" s="1053"/>
      <c r="CG354" s="1053"/>
      <c r="CH354" s="1053"/>
      <c r="CI354" s="1123"/>
      <c r="CJ354" s="1123"/>
      <c r="CK354" s="1123"/>
      <c r="CL354" s="1123"/>
      <c r="CM354" s="1123"/>
      <c r="CN354" s="1123"/>
      <c r="CO354" s="1123"/>
      <c r="CP354" s="1123"/>
      <c r="CQ354" s="1123"/>
      <c r="CR354" s="1123"/>
      <c r="CS354" s="1123"/>
      <c r="CT354" s="1123"/>
      <c r="CU354" s="1123"/>
      <c r="CV354" s="1123"/>
      <c r="CW354" s="1123"/>
      <c r="CX354" s="1123"/>
      <c r="CY354" s="1123"/>
      <c r="CZ354" s="1114"/>
      <c r="DA354" s="1114"/>
      <c r="DB354" s="1114"/>
      <c r="DC354" s="1114"/>
      <c r="DD354" s="1114"/>
      <c r="DE354" s="1114"/>
      <c r="DF354" s="1114"/>
      <c r="DG354" s="1114"/>
      <c r="DH354" s="1114"/>
      <c r="DI354" s="1114"/>
      <c r="DJ354" s="1114"/>
      <c r="DK354" s="1114"/>
      <c r="DL354" s="1114"/>
      <c r="DM354" s="1114"/>
      <c r="DN354" s="1114"/>
      <c r="DO354" s="1114"/>
      <c r="DP354" s="1114"/>
      <c r="DQ354" s="1114"/>
      <c r="DR354" s="1114"/>
      <c r="DS354" s="1114"/>
      <c r="DT354" s="1114"/>
      <c r="DU354" s="1114"/>
      <c r="DV354" s="1115"/>
      <c r="DW354" s="1116"/>
      <c r="DX354" s="1116"/>
      <c r="DY354" s="1116"/>
      <c r="DZ354" s="1116"/>
      <c r="EA354" s="1116"/>
      <c r="EB354" s="1116"/>
      <c r="EC354" s="1116"/>
      <c r="ED354" s="1116"/>
      <c r="EE354" s="1116"/>
      <c r="EF354" s="1116"/>
      <c r="EG354" s="1116"/>
      <c r="EH354" s="1116"/>
      <c r="EI354" s="1116"/>
      <c r="EJ354" s="1116"/>
      <c r="EK354" s="1116"/>
      <c r="EL354" s="1116"/>
      <c r="EM354" s="1116"/>
      <c r="EN354" s="1116"/>
      <c r="EO354" s="1116"/>
      <c r="EP354" s="1116"/>
      <c r="EQ354" s="1116"/>
      <c r="ER354" s="1116"/>
      <c r="ES354" s="1116"/>
    </row>
    <row r="355" spans="1:149" ht="15" customHeight="1">
      <c r="A355" s="1185">
        <v>340</v>
      </c>
      <c r="B355" s="1041"/>
      <c r="C355" s="1050"/>
      <c r="D355" s="1050"/>
      <c r="E355" s="1050"/>
      <c r="F355" s="1049"/>
      <c r="G355" s="1457"/>
      <c r="H355" s="1049"/>
      <c r="I355" s="1049"/>
      <c r="J355" s="1050"/>
      <c r="K355" s="1050"/>
      <c r="L355" s="1043"/>
      <c r="M355" s="1051"/>
      <c r="N355" s="1051"/>
      <c r="O355" s="1052"/>
      <c r="P355" s="1051"/>
      <c r="Q355" s="1051"/>
      <c r="R355" s="1052"/>
      <c r="S355" s="1051"/>
      <c r="T355" s="1051"/>
      <c r="U355" s="1052"/>
      <c r="V355" s="1051"/>
      <c r="W355" s="1051"/>
      <c r="X355" s="1052"/>
      <c r="Y355" s="1053"/>
      <c r="Z355" s="1051"/>
      <c r="AA355" s="1051"/>
      <c r="AB355" s="1052"/>
      <c r="AC355" s="1051"/>
      <c r="AD355" s="1051"/>
      <c r="AE355" s="1052"/>
      <c r="AF355" s="1051"/>
      <c r="AG355" s="1051"/>
      <c r="AH355" s="1051"/>
      <c r="AI355" s="1051"/>
      <c r="AJ355" s="1052"/>
      <c r="AK355" s="1051"/>
      <c r="AL355" s="1051"/>
      <c r="AM355" s="1052"/>
      <c r="AN355" s="1051"/>
      <c r="AO355" s="1051"/>
      <c r="AP355" s="1052"/>
      <c r="AQ355" s="1051"/>
      <c r="AR355" s="1051"/>
      <c r="AS355" s="1052"/>
      <c r="AT355" s="1051"/>
      <c r="AU355" s="1051"/>
      <c r="AV355" s="1052"/>
      <c r="AW355" s="1051"/>
      <c r="AX355" s="1051"/>
      <c r="AY355" s="1053"/>
      <c r="AZ355" s="1051"/>
      <c r="BA355" s="1051"/>
      <c r="BB355" s="1053"/>
      <c r="BC355" s="1051"/>
      <c r="BD355" s="1051"/>
      <c r="BE355" s="1053"/>
      <c r="BF355" s="1051"/>
      <c r="BG355" s="1051"/>
      <c r="BH355" s="1053"/>
      <c r="BI355" s="1052"/>
      <c r="BJ355" s="1052"/>
      <c r="BK355" s="1052"/>
      <c r="BL355" s="1052"/>
      <c r="BM355" s="1052"/>
      <c r="BN355" s="1054"/>
      <c r="BO355" s="1076">
        <f t="shared" si="16"/>
        <v>0</v>
      </c>
      <c r="BP355" s="1051"/>
      <c r="BQ355" s="1052"/>
      <c r="BR355" s="1054"/>
      <c r="BS355" s="1053"/>
      <c r="BT355" s="1051"/>
      <c r="BU355" s="1051"/>
      <c r="BV355" s="1051"/>
      <c r="BW355" s="1052"/>
      <c r="BX355" s="1052"/>
      <c r="BY355" s="1052"/>
      <c r="BZ355" s="1052"/>
      <c r="CA355" s="1052"/>
      <c r="CB355" s="1053"/>
      <c r="CC355" s="1053"/>
      <c r="CD355" s="1053"/>
      <c r="CE355" s="1053"/>
      <c r="CF355" s="1053"/>
      <c r="CG355" s="1053"/>
      <c r="CH355" s="1053"/>
      <c r="CI355" s="1123"/>
      <c r="CJ355" s="1123"/>
      <c r="CK355" s="1123"/>
      <c r="CL355" s="1123"/>
      <c r="CM355" s="1123"/>
      <c r="CN355" s="1123"/>
      <c r="CO355" s="1123"/>
      <c r="CP355" s="1123"/>
      <c r="CQ355" s="1123"/>
      <c r="CR355" s="1123"/>
      <c r="CS355" s="1123"/>
      <c r="CT355" s="1123"/>
      <c r="CU355" s="1123"/>
      <c r="CV355" s="1123"/>
      <c r="CW355" s="1123"/>
      <c r="CX355" s="1123"/>
      <c r="CY355" s="1123"/>
      <c r="CZ355" s="1114"/>
      <c r="DA355" s="1114"/>
      <c r="DB355" s="1114"/>
      <c r="DC355" s="1114"/>
      <c r="DD355" s="1114"/>
      <c r="DE355" s="1114"/>
      <c r="DF355" s="1114"/>
      <c r="DG355" s="1114"/>
      <c r="DH355" s="1114"/>
      <c r="DI355" s="1114"/>
      <c r="DJ355" s="1114"/>
      <c r="DK355" s="1114"/>
      <c r="DL355" s="1114"/>
      <c r="DM355" s="1114"/>
      <c r="DN355" s="1114"/>
      <c r="DO355" s="1114"/>
      <c r="DP355" s="1114"/>
      <c r="DQ355" s="1114"/>
      <c r="DR355" s="1114"/>
      <c r="DS355" s="1114"/>
      <c r="DT355" s="1114"/>
      <c r="DU355" s="1114"/>
      <c r="DV355" s="1115"/>
      <c r="DW355" s="1116"/>
      <c r="DX355" s="1116"/>
      <c r="DY355" s="1116"/>
      <c r="DZ355" s="1116"/>
      <c r="EA355" s="1116"/>
      <c r="EB355" s="1116"/>
      <c r="EC355" s="1116"/>
      <c r="ED355" s="1116"/>
      <c r="EE355" s="1116"/>
      <c r="EF355" s="1116"/>
      <c r="EG355" s="1116"/>
      <c r="EH355" s="1116"/>
      <c r="EI355" s="1116"/>
      <c r="EJ355" s="1116"/>
      <c r="EK355" s="1116"/>
      <c r="EL355" s="1116"/>
      <c r="EM355" s="1116"/>
      <c r="EN355" s="1116"/>
      <c r="EO355" s="1116"/>
      <c r="EP355" s="1116"/>
      <c r="EQ355" s="1116"/>
      <c r="ER355" s="1116"/>
      <c r="ES355" s="1116"/>
    </row>
    <row r="356" spans="1:149" ht="15" customHeight="1">
      <c r="A356" s="1185">
        <v>341</v>
      </c>
      <c r="B356" s="1041"/>
      <c r="C356" s="1050"/>
      <c r="D356" s="1050"/>
      <c r="E356" s="1050"/>
      <c r="F356" s="1049"/>
      <c r="G356" s="1457"/>
      <c r="H356" s="1049"/>
      <c r="I356" s="1049"/>
      <c r="J356" s="1050"/>
      <c r="K356" s="1050"/>
      <c r="L356" s="1043"/>
      <c r="M356" s="1051"/>
      <c r="N356" s="1051"/>
      <c r="O356" s="1052"/>
      <c r="P356" s="1051"/>
      <c r="Q356" s="1051"/>
      <c r="R356" s="1052"/>
      <c r="S356" s="1051"/>
      <c r="T356" s="1051"/>
      <c r="U356" s="1052"/>
      <c r="V356" s="1051"/>
      <c r="W356" s="1051"/>
      <c r="X356" s="1052"/>
      <c r="Y356" s="1053"/>
      <c r="Z356" s="1051"/>
      <c r="AA356" s="1051"/>
      <c r="AB356" s="1052"/>
      <c r="AC356" s="1051"/>
      <c r="AD356" s="1051"/>
      <c r="AE356" s="1052"/>
      <c r="AF356" s="1051"/>
      <c r="AG356" s="1051"/>
      <c r="AH356" s="1051"/>
      <c r="AI356" s="1051"/>
      <c r="AJ356" s="1052"/>
      <c r="AK356" s="1051"/>
      <c r="AL356" s="1051"/>
      <c r="AM356" s="1052"/>
      <c r="AN356" s="1051"/>
      <c r="AO356" s="1051"/>
      <c r="AP356" s="1052"/>
      <c r="AQ356" s="1051"/>
      <c r="AR356" s="1051"/>
      <c r="AS356" s="1052"/>
      <c r="AT356" s="1051"/>
      <c r="AU356" s="1051"/>
      <c r="AV356" s="1052"/>
      <c r="AW356" s="1051"/>
      <c r="AX356" s="1051"/>
      <c r="AY356" s="1053"/>
      <c r="AZ356" s="1051"/>
      <c r="BA356" s="1051"/>
      <c r="BB356" s="1053"/>
      <c r="BC356" s="1051"/>
      <c r="BD356" s="1051"/>
      <c r="BE356" s="1053"/>
      <c r="BF356" s="1051"/>
      <c r="BG356" s="1051"/>
      <c r="BH356" s="1053"/>
      <c r="BI356" s="1052"/>
      <c r="BJ356" s="1052"/>
      <c r="BK356" s="1052"/>
      <c r="BL356" s="1052"/>
      <c r="BM356" s="1052"/>
      <c r="BN356" s="1054"/>
      <c r="BO356" s="1076">
        <f t="shared" si="16"/>
        <v>0</v>
      </c>
      <c r="BP356" s="1051"/>
      <c r="BQ356" s="1052"/>
      <c r="BR356" s="1054"/>
      <c r="BS356" s="1053"/>
      <c r="BT356" s="1051"/>
      <c r="BU356" s="1051"/>
      <c r="BV356" s="1051"/>
      <c r="BW356" s="1052"/>
      <c r="BX356" s="1052"/>
      <c r="BY356" s="1052"/>
      <c r="BZ356" s="1052"/>
      <c r="CA356" s="1052"/>
      <c r="CB356" s="1053"/>
      <c r="CC356" s="1053"/>
      <c r="CD356" s="1053"/>
      <c r="CE356" s="1053"/>
      <c r="CF356" s="1053"/>
      <c r="CG356" s="1053"/>
      <c r="CH356" s="1053"/>
      <c r="CI356" s="1123"/>
      <c r="CJ356" s="1123"/>
      <c r="CK356" s="1123"/>
      <c r="CL356" s="1123"/>
      <c r="CM356" s="1123"/>
      <c r="CN356" s="1123"/>
      <c r="CO356" s="1123"/>
      <c r="CP356" s="1123"/>
      <c r="CQ356" s="1123"/>
      <c r="CR356" s="1123"/>
      <c r="CS356" s="1123"/>
      <c r="CT356" s="1123"/>
      <c r="CU356" s="1123"/>
      <c r="CV356" s="1123"/>
      <c r="CW356" s="1123"/>
      <c r="CX356" s="1123"/>
      <c r="CY356" s="1123"/>
      <c r="CZ356" s="1114"/>
      <c r="DA356" s="1114"/>
      <c r="DB356" s="1114"/>
      <c r="DC356" s="1114"/>
      <c r="DD356" s="1114"/>
      <c r="DE356" s="1114"/>
      <c r="DF356" s="1114"/>
      <c r="DG356" s="1114"/>
      <c r="DH356" s="1114"/>
      <c r="DI356" s="1114"/>
      <c r="DJ356" s="1114"/>
      <c r="DK356" s="1114"/>
      <c r="DL356" s="1114"/>
      <c r="DM356" s="1114"/>
      <c r="DN356" s="1114"/>
      <c r="DO356" s="1114"/>
      <c r="DP356" s="1114"/>
      <c r="DQ356" s="1114"/>
      <c r="DR356" s="1114"/>
      <c r="DS356" s="1114"/>
      <c r="DT356" s="1114"/>
      <c r="DU356" s="1114"/>
      <c r="DV356" s="1115"/>
      <c r="DW356" s="1116"/>
      <c r="DX356" s="1116"/>
      <c r="DY356" s="1116"/>
      <c r="DZ356" s="1116"/>
      <c r="EA356" s="1116"/>
      <c r="EB356" s="1116"/>
      <c r="EC356" s="1116"/>
      <c r="ED356" s="1116"/>
      <c r="EE356" s="1116"/>
      <c r="EF356" s="1116"/>
      <c r="EG356" s="1116"/>
      <c r="EH356" s="1116"/>
      <c r="EI356" s="1116"/>
      <c r="EJ356" s="1116"/>
      <c r="EK356" s="1116"/>
      <c r="EL356" s="1116"/>
      <c r="EM356" s="1116"/>
      <c r="EN356" s="1116"/>
      <c r="EO356" s="1116"/>
      <c r="EP356" s="1116"/>
      <c r="EQ356" s="1116"/>
      <c r="ER356" s="1116"/>
      <c r="ES356" s="1116"/>
    </row>
    <row r="357" spans="1:149" ht="15" customHeight="1">
      <c r="A357" s="1185">
        <v>342</v>
      </c>
      <c r="B357" s="1041"/>
      <c r="C357" s="1050"/>
      <c r="D357" s="1050"/>
      <c r="E357" s="1050"/>
      <c r="F357" s="1049"/>
      <c r="G357" s="1457"/>
      <c r="H357" s="1049"/>
      <c r="I357" s="1049"/>
      <c r="J357" s="1050"/>
      <c r="K357" s="1050"/>
      <c r="L357" s="1043"/>
      <c r="M357" s="1051"/>
      <c r="N357" s="1051"/>
      <c r="O357" s="1052"/>
      <c r="P357" s="1051"/>
      <c r="Q357" s="1051"/>
      <c r="R357" s="1052"/>
      <c r="S357" s="1051"/>
      <c r="T357" s="1051"/>
      <c r="U357" s="1052"/>
      <c r="V357" s="1051"/>
      <c r="W357" s="1051"/>
      <c r="X357" s="1052"/>
      <c r="Y357" s="1053"/>
      <c r="Z357" s="1051"/>
      <c r="AA357" s="1051"/>
      <c r="AB357" s="1052"/>
      <c r="AC357" s="1051"/>
      <c r="AD357" s="1051"/>
      <c r="AE357" s="1052"/>
      <c r="AF357" s="1051"/>
      <c r="AG357" s="1051"/>
      <c r="AH357" s="1051"/>
      <c r="AI357" s="1051"/>
      <c r="AJ357" s="1052"/>
      <c r="AK357" s="1051"/>
      <c r="AL357" s="1051"/>
      <c r="AM357" s="1052"/>
      <c r="AN357" s="1051"/>
      <c r="AO357" s="1051"/>
      <c r="AP357" s="1052"/>
      <c r="AQ357" s="1051"/>
      <c r="AR357" s="1051"/>
      <c r="AS357" s="1052"/>
      <c r="AT357" s="1051"/>
      <c r="AU357" s="1051"/>
      <c r="AV357" s="1052"/>
      <c r="AW357" s="1051"/>
      <c r="AX357" s="1051"/>
      <c r="AY357" s="1053"/>
      <c r="AZ357" s="1051"/>
      <c r="BA357" s="1051"/>
      <c r="BB357" s="1053"/>
      <c r="BC357" s="1051"/>
      <c r="BD357" s="1051"/>
      <c r="BE357" s="1053"/>
      <c r="BF357" s="1051"/>
      <c r="BG357" s="1051"/>
      <c r="BH357" s="1053"/>
      <c r="BI357" s="1052"/>
      <c r="BJ357" s="1052"/>
      <c r="BK357" s="1052"/>
      <c r="BL357" s="1052"/>
      <c r="BM357" s="1052"/>
      <c r="BN357" s="1054"/>
      <c r="BO357" s="1076">
        <f t="shared" si="16"/>
        <v>0</v>
      </c>
      <c r="BP357" s="1051"/>
      <c r="BQ357" s="1052"/>
      <c r="BR357" s="1054"/>
      <c r="BS357" s="1053"/>
      <c r="BT357" s="1051"/>
      <c r="BU357" s="1051"/>
      <c r="BV357" s="1051"/>
      <c r="BW357" s="1052"/>
      <c r="BX357" s="1052"/>
      <c r="BY357" s="1052"/>
      <c r="BZ357" s="1052"/>
      <c r="CA357" s="1052"/>
      <c r="CB357" s="1053"/>
      <c r="CC357" s="1053"/>
      <c r="CD357" s="1053"/>
      <c r="CE357" s="1053"/>
      <c r="CF357" s="1053"/>
      <c r="CG357" s="1053"/>
      <c r="CH357" s="1053"/>
      <c r="CI357" s="1123"/>
      <c r="CJ357" s="1123"/>
      <c r="CK357" s="1123"/>
      <c r="CL357" s="1123"/>
      <c r="CM357" s="1123"/>
      <c r="CN357" s="1123"/>
      <c r="CO357" s="1123"/>
      <c r="CP357" s="1123"/>
      <c r="CQ357" s="1123"/>
      <c r="CR357" s="1123"/>
      <c r="CS357" s="1123"/>
      <c r="CT357" s="1123"/>
      <c r="CU357" s="1123"/>
      <c r="CV357" s="1123"/>
      <c r="CW357" s="1123"/>
      <c r="CX357" s="1123"/>
      <c r="CY357" s="1123"/>
      <c r="CZ357" s="1114"/>
      <c r="DA357" s="1114"/>
      <c r="DB357" s="1114"/>
      <c r="DC357" s="1114"/>
      <c r="DD357" s="1114"/>
      <c r="DE357" s="1114"/>
      <c r="DF357" s="1114"/>
      <c r="DG357" s="1114"/>
      <c r="DH357" s="1114"/>
      <c r="DI357" s="1114"/>
      <c r="DJ357" s="1114"/>
      <c r="DK357" s="1114"/>
      <c r="DL357" s="1114"/>
      <c r="DM357" s="1114"/>
      <c r="DN357" s="1114"/>
      <c r="DO357" s="1114"/>
      <c r="DP357" s="1114"/>
      <c r="DQ357" s="1114"/>
      <c r="DR357" s="1114"/>
      <c r="DS357" s="1114"/>
      <c r="DT357" s="1114"/>
      <c r="DU357" s="1114"/>
      <c r="DV357" s="1115"/>
      <c r="DW357" s="1116"/>
      <c r="DX357" s="1116"/>
      <c r="DY357" s="1116"/>
      <c r="DZ357" s="1116"/>
      <c r="EA357" s="1116"/>
      <c r="EB357" s="1116"/>
      <c r="EC357" s="1116"/>
      <c r="ED357" s="1116"/>
      <c r="EE357" s="1116"/>
      <c r="EF357" s="1116"/>
      <c r="EG357" s="1116"/>
      <c r="EH357" s="1116"/>
      <c r="EI357" s="1116"/>
      <c r="EJ357" s="1116"/>
      <c r="EK357" s="1116"/>
      <c r="EL357" s="1116"/>
      <c r="EM357" s="1116"/>
      <c r="EN357" s="1116"/>
      <c r="EO357" s="1116"/>
      <c r="EP357" s="1116"/>
      <c r="EQ357" s="1116"/>
      <c r="ER357" s="1116"/>
      <c r="ES357" s="1116"/>
    </row>
    <row r="358" spans="1:149" ht="15" customHeight="1">
      <c r="A358" s="1185">
        <v>343</v>
      </c>
      <c r="B358" s="1041"/>
      <c r="C358" s="1050"/>
      <c r="D358" s="1050"/>
      <c r="E358" s="1050"/>
      <c r="F358" s="1049"/>
      <c r="G358" s="1457"/>
      <c r="H358" s="1049"/>
      <c r="I358" s="1049"/>
      <c r="J358" s="1050"/>
      <c r="K358" s="1050"/>
      <c r="L358" s="1043"/>
      <c r="M358" s="1051"/>
      <c r="N358" s="1051"/>
      <c r="O358" s="1052"/>
      <c r="P358" s="1051"/>
      <c r="Q358" s="1051"/>
      <c r="R358" s="1052"/>
      <c r="S358" s="1051"/>
      <c r="T358" s="1051"/>
      <c r="U358" s="1052"/>
      <c r="V358" s="1051"/>
      <c r="W358" s="1051"/>
      <c r="X358" s="1052"/>
      <c r="Y358" s="1053"/>
      <c r="Z358" s="1051"/>
      <c r="AA358" s="1051"/>
      <c r="AB358" s="1052"/>
      <c r="AC358" s="1051"/>
      <c r="AD358" s="1051"/>
      <c r="AE358" s="1052"/>
      <c r="AF358" s="1051"/>
      <c r="AG358" s="1051"/>
      <c r="AH358" s="1051"/>
      <c r="AI358" s="1051"/>
      <c r="AJ358" s="1052"/>
      <c r="AK358" s="1051"/>
      <c r="AL358" s="1051"/>
      <c r="AM358" s="1052"/>
      <c r="AN358" s="1051"/>
      <c r="AO358" s="1051"/>
      <c r="AP358" s="1052"/>
      <c r="AQ358" s="1051"/>
      <c r="AR358" s="1051"/>
      <c r="AS358" s="1052"/>
      <c r="AT358" s="1051"/>
      <c r="AU358" s="1051"/>
      <c r="AV358" s="1052"/>
      <c r="AW358" s="1051"/>
      <c r="AX358" s="1051"/>
      <c r="AY358" s="1053"/>
      <c r="AZ358" s="1051"/>
      <c r="BA358" s="1051"/>
      <c r="BB358" s="1053"/>
      <c r="BC358" s="1051"/>
      <c r="BD358" s="1051"/>
      <c r="BE358" s="1053"/>
      <c r="BF358" s="1051"/>
      <c r="BG358" s="1051"/>
      <c r="BH358" s="1053"/>
      <c r="BI358" s="1052"/>
      <c r="BJ358" s="1052"/>
      <c r="BK358" s="1052"/>
      <c r="BL358" s="1052"/>
      <c r="BM358" s="1052"/>
      <c r="BN358" s="1054"/>
      <c r="BO358" s="1076">
        <f t="shared" si="16"/>
        <v>0</v>
      </c>
      <c r="BP358" s="1051"/>
      <c r="BQ358" s="1052"/>
      <c r="BR358" s="1054"/>
      <c r="BS358" s="1053"/>
      <c r="BT358" s="1051"/>
      <c r="BU358" s="1051"/>
      <c r="BV358" s="1051"/>
      <c r="BW358" s="1052"/>
      <c r="BX358" s="1052"/>
      <c r="BY358" s="1052"/>
      <c r="BZ358" s="1052"/>
      <c r="CA358" s="1052"/>
      <c r="CB358" s="1053"/>
      <c r="CC358" s="1053"/>
      <c r="CD358" s="1053"/>
      <c r="CE358" s="1053"/>
      <c r="CF358" s="1053"/>
      <c r="CG358" s="1053"/>
      <c r="CH358" s="1053"/>
      <c r="CI358" s="1123"/>
      <c r="CJ358" s="1123"/>
      <c r="CK358" s="1123"/>
      <c r="CL358" s="1123"/>
      <c r="CM358" s="1123"/>
      <c r="CN358" s="1123"/>
      <c r="CO358" s="1123"/>
      <c r="CP358" s="1123"/>
      <c r="CQ358" s="1123"/>
      <c r="CR358" s="1123"/>
      <c r="CS358" s="1123"/>
      <c r="CT358" s="1123"/>
      <c r="CU358" s="1123"/>
      <c r="CV358" s="1123"/>
      <c r="CW358" s="1123"/>
      <c r="CX358" s="1123"/>
      <c r="CY358" s="1123"/>
      <c r="CZ358" s="1114"/>
      <c r="DA358" s="1114"/>
      <c r="DB358" s="1114"/>
      <c r="DC358" s="1114"/>
      <c r="DD358" s="1114"/>
      <c r="DE358" s="1114"/>
      <c r="DF358" s="1114"/>
      <c r="DG358" s="1114"/>
      <c r="DH358" s="1114"/>
      <c r="DI358" s="1114"/>
      <c r="DJ358" s="1114"/>
      <c r="DK358" s="1114"/>
      <c r="DL358" s="1114"/>
      <c r="DM358" s="1114"/>
      <c r="DN358" s="1114"/>
      <c r="DO358" s="1114"/>
      <c r="DP358" s="1114"/>
      <c r="DQ358" s="1114"/>
      <c r="DR358" s="1114"/>
      <c r="DS358" s="1114"/>
      <c r="DT358" s="1114"/>
      <c r="DU358" s="1114"/>
      <c r="DV358" s="1115"/>
      <c r="DW358" s="1116"/>
      <c r="DX358" s="1116"/>
      <c r="DY358" s="1116"/>
      <c r="DZ358" s="1116"/>
      <c r="EA358" s="1116"/>
      <c r="EB358" s="1116"/>
      <c r="EC358" s="1116"/>
      <c r="ED358" s="1116"/>
      <c r="EE358" s="1116"/>
      <c r="EF358" s="1116"/>
      <c r="EG358" s="1116"/>
      <c r="EH358" s="1116"/>
      <c r="EI358" s="1116"/>
      <c r="EJ358" s="1116"/>
      <c r="EK358" s="1116"/>
      <c r="EL358" s="1116"/>
      <c r="EM358" s="1116"/>
      <c r="EN358" s="1116"/>
      <c r="EO358" s="1116"/>
      <c r="EP358" s="1116"/>
      <c r="EQ358" s="1116"/>
      <c r="ER358" s="1116"/>
      <c r="ES358" s="1116"/>
    </row>
    <row r="359" spans="1:149" ht="15" customHeight="1">
      <c r="A359" s="1185">
        <v>344</v>
      </c>
      <c r="B359" s="1041"/>
      <c r="C359" s="1050"/>
      <c r="D359" s="1050"/>
      <c r="E359" s="1050"/>
      <c r="F359" s="1049"/>
      <c r="G359" s="1457"/>
      <c r="H359" s="1049"/>
      <c r="I359" s="1049"/>
      <c r="J359" s="1050"/>
      <c r="K359" s="1050"/>
      <c r="L359" s="1043"/>
      <c r="M359" s="1051"/>
      <c r="N359" s="1051"/>
      <c r="O359" s="1052"/>
      <c r="P359" s="1051"/>
      <c r="Q359" s="1051"/>
      <c r="R359" s="1052"/>
      <c r="S359" s="1051"/>
      <c r="T359" s="1051"/>
      <c r="U359" s="1052"/>
      <c r="V359" s="1051"/>
      <c r="W359" s="1051"/>
      <c r="X359" s="1052"/>
      <c r="Y359" s="1053"/>
      <c r="Z359" s="1051"/>
      <c r="AA359" s="1051"/>
      <c r="AB359" s="1052"/>
      <c r="AC359" s="1051"/>
      <c r="AD359" s="1051"/>
      <c r="AE359" s="1052"/>
      <c r="AF359" s="1051"/>
      <c r="AG359" s="1051"/>
      <c r="AH359" s="1051"/>
      <c r="AI359" s="1051"/>
      <c r="AJ359" s="1052"/>
      <c r="AK359" s="1051"/>
      <c r="AL359" s="1051"/>
      <c r="AM359" s="1052"/>
      <c r="AN359" s="1051"/>
      <c r="AO359" s="1051"/>
      <c r="AP359" s="1052"/>
      <c r="AQ359" s="1051"/>
      <c r="AR359" s="1051"/>
      <c r="AS359" s="1052"/>
      <c r="AT359" s="1051"/>
      <c r="AU359" s="1051"/>
      <c r="AV359" s="1052"/>
      <c r="AW359" s="1051"/>
      <c r="AX359" s="1051"/>
      <c r="AY359" s="1053"/>
      <c r="AZ359" s="1051"/>
      <c r="BA359" s="1051"/>
      <c r="BB359" s="1053"/>
      <c r="BC359" s="1051"/>
      <c r="BD359" s="1051"/>
      <c r="BE359" s="1053"/>
      <c r="BF359" s="1051"/>
      <c r="BG359" s="1051"/>
      <c r="BH359" s="1053"/>
      <c r="BI359" s="1052"/>
      <c r="BJ359" s="1052"/>
      <c r="BK359" s="1052"/>
      <c r="BL359" s="1052"/>
      <c r="BM359" s="1052"/>
      <c r="BN359" s="1054"/>
      <c r="BO359" s="1076">
        <f t="shared" si="16"/>
        <v>0</v>
      </c>
      <c r="BP359" s="1051"/>
      <c r="BQ359" s="1052"/>
      <c r="BR359" s="1054"/>
      <c r="BS359" s="1053"/>
      <c r="BT359" s="1051"/>
      <c r="BU359" s="1051"/>
      <c r="BV359" s="1051"/>
      <c r="BW359" s="1052"/>
      <c r="BX359" s="1052"/>
      <c r="BY359" s="1052"/>
      <c r="BZ359" s="1052"/>
      <c r="CA359" s="1052"/>
      <c r="CB359" s="1053"/>
      <c r="CC359" s="1053"/>
      <c r="CD359" s="1053"/>
      <c r="CE359" s="1053"/>
      <c r="CF359" s="1053"/>
      <c r="CG359" s="1053"/>
      <c r="CH359" s="1053"/>
      <c r="CI359" s="1123"/>
      <c r="CJ359" s="1123"/>
      <c r="CK359" s="1123"/>
      <c r="CL359" s="1123"/>
      <c r="CM359" s="1123"/>
      <c r="CN359" s="1123"/>
      <c r="CO359" s="1123"/>
      <c r="CP359" s="1123"/>
      <c r="CQ359" s="1123"/>
      <c r="CR359" s="1123"/>
      <c r="CS359" s="1123"/>
      <c r="CT359" s="1123"/>
      <c r="CU359" s="1123"/>
      <c r="CV359" s="1123"/>
      <c r="CW359" s="1123"/>
      <c r="CX359" s="1123"/>
      <c r="CY359" s="1123"/>
      <c r="CZ359" s="1114"/>
      <c r="DA359" s="1114"/>
      <c r="DB359" s="1114"/>
      <c r="DC359" s="1114"/>
      <c r="DD359" s="1114"/>
      <c r="DE359" s="1114"/>
      <c r="DF359" s="1114"/>
      <c r="DG359" s="1114"/>
      <c r="DH359" s="1114"/>
      <c r="DI359" s="1114"/>
      <c r="DJ359" s="1114"/>
      <c r="DK359" s="1114"/>
      <c r="DL359" s="1114"/>
      <c r="DM359" s="1114"/>
      <c r="DN359" s="1114"/>
      <c r="DO359" s="1114"/>
      <c r="DP359" s="1114"/>
      <c r="DQ359" s="1114"/>
      <c r="DR359" s="1114"/>
      <c r="DS359" s="1114"/>
      <c r="DT359" s="1114"/>
      <c r="DU359" s="1114"/>
      <c r="DV359" s="1115"/>
      <c r="DW359" s="1116"/>
      <c r="DX359" s="1116"/>
      <c r="DY359" s="1116"/>
      <c r="DZ359" s="1116"/>
      <c r="EA359" s="1116"/>
      <c r="EB359" s="1116"/>
      <c r="EC359" s="1116"/>
      <c r="ED359" s="1116"/>
      <c r="EE359" s="1116"/>
      <c r="EF359" s="1116"/>
      <c r="EG359" s="1116"/>
      <c r="EH359" s="1116"/>
      <c r="EI359" s="1116"/>
      <c r="EJ359" s="1116"/>
      <c r="EK359" s="1116"/>
      <c r="EL359" s="1116"/>
      <c r="EM359" s="1116"/>
      <c r="EN359" s="1116"/>
      <c r="EO359" s="1116"/>
      <c r="EP359" s="1116"/>
      <c r="EQ359" s="1116"/>
      <c r="ER359" s="1116"/>
      <c r="ES359" s="1116"/>
    </row>
    <row r="360" spans="1:149" ht="15" customHeight="1">
      <c r="A360" s="1185">
        <v>345</v>
      </c>
      <c r="B360" s="1041"/>
      <c r="C360" s="1050"/>
      <c r="D360" s="1050"/>
      <c r="E360" s="1050"/>
      <c r="F360" s="1049"/>
      <c r="G360" s="1457"/>
      <c r="H360" s="1049"/>
      <c r="I360" s="1049"/>
      <c r="J360" s="1050"/>
      <c r="K360" s="1050"/>
      <c r="L360" s="1043"/>
      <c r="M360" s="1051"/>
      <c r="N360" s="1051"/>
      <c r="O360" s="1052"/>
      <c r="P360" s="1051"/>
      <c r="Q360" s="1051"/>
      <c r="R360" s="1052"/>
      <c r="S360" s="1051"/>
      <c r="T360" s="1051"/>
      <c r="U360" s="1052"/>
      <c r="V360" s="1051"/>
      <c r="W360" s="1051"/>
      <c r="X360" s="1052"/>
      <c r="Y360" s="1053"/>
      <c r="Z360" s="1051"/>
      <c r="AA360" s="1051"/>
      <c r="AB360" s="1052"/>
      <c r="AC360" s="1051"/>
      <c r="AD360" s="1051"/>
      <c r="AE360" s="1052"/>
      <c r="AF360" s="1051"/>
      <c r="AG360" s="1051"/>
      <c r="AH360" s="1051"/>
      <c r="AI360" s="1051"/>
      <c r="AJ360" s="1052"/>
      <c r="AK360" s="1051"/>
      <c r="AL360" s="1051"/>
      <c r="AM360" s="1052"/>
      <c r="AN360" s="1051"/>
      <c r="AO360" s="1051"/>
      <c r="AP360" s="1052"/>
      <c r="AQ360" s="1051"/>
      <c r="AR360" s="1051"/>
      <c r="AS360" s="1052"/>
      <c r="AT360" s="1051"/>
      <c r="AU360" s="1051"/>
      <c r="AV360" s="1052"/>
      <c r="AW360" s="1051"/>
      <c r="AX360" s="1051"/>
      <c r="AY360" s="1053"/>
      <c r="AZ360" s="1051"/>
      <c r="BA360" s="1051"/>
      <c r="BB360" s="1053"/>
      <c r="BC360" s="1051"/>
      <c r="BD360" s="1051"/>
      <c r="BE360" s="1053"/>
      <c r="BF360" s="1051"/>
      <c r="BG360" s="1051"/>
      <c r="BH360" s="1053"/>
      <c r="BI360" s="1052"/>
      <c r="BJ360" s="1052"/>
      <c r="BK360" s="1052"/>
      <c r="BL360" s="1052"/>
      <c r="BM360" s="1052"/>
      <c r="BN360" s="1054"/>
      <c r="BO360" s="1076">
        <f t="shared" si="16"/>
        <v>0</v>
      </c>
      <c r="BP360" s="1051"/>
      <c r="BQ360" s="1052"/>
      <c r="BR360" s="1054"/>
      <c r="BS360" s="1053"/>
      <c r="BT360" s="1051"/>
      <c r="BU360" s="1051"/>
      <c r="BV360" s="1051"/>
      <c r="BW360" s="1052"/>
      <c r="BX360" s="1052"/>
      <c r="BY360" s="1052"/>
      <c r="BZ360" s="1052"/>
      <c r="CA360" s="1052"/>
      <c r="CB360" s="1053"/>
      <c r="CC360" s="1053"/>
      <c r="CD360" s="1053"/>
      <c r="CE360" s="1053"/>
      <c r="CF360" s="1053"/>
      <c r="CG360" s="1053"/>
      <c r="CH360" s="1053"/>
      <c r="CI360" s="1123"/>
      <c r="CJ360" s="1123"/>
      <c r="CK360" s="1123"/>
      <c r="CL360" s="1123"/>
      <c r="CM360" s="1123"/>
      <c r="CN360" s="1123"/>
      <c r="CO360" s="1123"/>
      <c r="CP360" s="1123"/>
      <c r="CQ360" s="1123"/>
      <c r="CR360" s="1123"/>
      <c r="CS360" s="1123"/>
      <c r="CT360" s="1123"/>
      <c r="CU360" s="1123"/>
      <c r="CV360" s="1123"/>
      <c r="CW360" s="1123"/>
      <c r="CX360" s="1123"/>
      <c r="CY360" s="1123"/>
      <c r="CZ360" s="1114"/>
      <c r="DA360" s="1114"/>
      <c r="DB360" s="1114"/>
      <c r="DC360" s="1114"/>
      <c r="DD360" s="1114"/>
      <c r="DE360" s="1114"/>
      <c r="DF360" s="1114"/>
      <c r="DG360" s="1114"/>
      <c r="DH360" s="1114"/>
      <c r="DI360" s="1114"/>
      <c r="DJ360" s="1114"/>
      <c r="DK360" s="1114"/>
      <c r="DL360" s="1114"/>
      <c r="DM360" s="1114"/>
      <c r="DN360" s="1114"/>
      <c r="DO360" s="1114"/>
      <c r="DP360" s="1114"/>
      <c r="DQ360" s="1114"/>
      <c r="DR360" s="1114"/>
      <c r="DS360" s="1114"/>
      <c r="DT360" s="1114"/>
      <c r="DU360" s="1114"/>
      <c r="DV360" s="1115"/>
      <c r="DW360" s="1116"/>
      <c r="DX360" s="1116"/>
      <c r="DY360" s="1116"/>
      <c r="DZ360" s="1116"/>
      <c r="EA360" s="1116"/>
      <c r="EB360" s="1116"/>
      <c r="EC360" s="1116"/>
      <c r="ED360" s="1116"/>
      <c r="EE360" s="1116"/>
      <c r="EF360" s="1116"/>
      <c r="EG360" s="1116"/>
      <c r="EH360" s="1116"/>
      <c r="EI360" s="1116"/>
      <c r="EJ360" s="1116"/>
      <c r="EK360" s="1116"/>
      <c r="EL360" s="1116"/>
      <c r="EM360" s="1116"/>
      <c r="EN360" s="1116"/>
      <c r="EO360" s="1116"/>
      <c r="EP360" s="1116"/>
      <c r="EQ360" s="1116"/>
      <c r="ER360" s="1116"/>
      <c r="ES360" s="1116"/>
    </row>
    <row r="361" spans="1:149" ht="15" customHeight="1">
      <c r="A361" s="1185">
        <v>346</v>
      </c>
      <c r="B361" s="1041"/>
      <c r="C361" s="1050"/>
      <c r="D361" s="1050"/>
      <c r="E361" s="1050"/>
      <c r="F361" s="1049"/>
      <c r="G361" s="1457"/>
      <c r="H361" s="1049"/>
      <c r="I361" s="1049"/>
      <c r="J361" s="1050"/>
      <c r="K361" s="1050"/>
      <c r="L361" s="1043"/>
      <c r="M361" s="1051"/>
      <c r="N361" s="1051"/>
      <c r="O361" s="1052"/>
      <c r="P361" s="1051"/>
      <c r="Q361" s="1051"/>
      <c r="R361" s="1052"/>
      <c r="S361" s="1051"/>
      <c r="T361" s="1051"/>
      <c r="U361" s="1052"/>
      <c r="V361" s="1051"/>
      <c r="W361" s="1051"/>
      <c r="X361" s="1052"/>
      <c r="Y361" s="1053"/>
      <c r="Z361" s="1051"/>
      <c r="AA361" s="1051"/>
      <c r="AB361" s="1052"/>
      <c r="AC361" s="1051"/>
      <c r="AD361" s="1051"/>
      <c r="AE361" s="1052"/>
      <c r="AF361" s="1051"/>
      <c r="AG361" s="1051"/>
      <c r="AH361" s="1051"/>
      <c r="AI361" s="1051"/>
      <c r="AJ361" s="1052"/>
      <c r="AK361" s="1051"/>
      <c r="AL361" s="1051"/>
      <c r="AM361" s="1052"/>
      <c r="AN361" s="1051"/>
      <c r="AO361" s="1051"/>
      <c r="AP361" s="1052"/>
      <c r="AQ361" s="1051"/>
      <c r="AR361" s="1051"/>
      <c r="AS361" s="1052"/>
      <c r="AT361" s="1051"/>
      <c r="AU361" s="1051"/>
      <c r="AV361" s="1052"/>
      <c r="AW361" s="1051"/>
      <c r="AX361" s="1051"/>
      <c r="AY361" s="1053"/>
      <c r="AZ361" s="1051"/>
      <c r="BA361" s="1051"/>
      <c r="BB361" s="1053"/>
      <c r="BC361" s="1051"/>
      <c r="BD361" s="1051"/>
      <c r="BE361" s="1053"/>
      <c r="BF361" s="1051"/>
      <c r="BG361" s="1051"/>
      <c r="BH361" s="1053"/>
      <c r="BI361" s="1052"/>
      <c r="BJ361" s="1052"/>
      <c r="BK361" s="1052"/>
      <c r="BL361" s="1052"/>
      <c r="BM361" s="1052"/>
      <c r="BN361" s="1054"/>
      <c r="BO361" s="1076">
        <f t="shared" si="16"/>
        <v>0</v>
      </c>
      <c r="BP361" s="1051"/>
      <c r="BQ361" s="1052"/>
      <c r="BR361" s="1054"/>
      <c r="BS361" s="1053"/>
      <c r="BT361" s="1051"/>
      <c r="BU361" s="1051"/>
      <c r="BV361" s="1051"/>
      <c r="BW361" s="1052"/>
      <c r="BX361" s="1052"/>
      <c r="BY361" s="1052"/>
      <c r="BZ361" s="1052"/>
      <c r="CA361" s="1052"/>
      <c r="CB361" s="1053"/>
      <c r="CC361" s="1053"/>
      <c r="CD361" s="1053"/>
      <c r="CE361" s="1053"/>
      <c r="CF361" s="1053"/>
      <c r="CG361" s="1053"/>
      <c r="CH361" s="1053"/>
      <c r="CI361" s="1123"/>
      <c r="CJ361" s="1123"/>
      <c r="CK361" s="1123"/>
      <c r="CL361" s="1123"/>
      <c r="CM361" s="1123"/>
      <c r="CN361" s="1123"/>
      <c r="CO361" s="1123"/>
      <c r="CP361" s="1123"/>
      <c r="CQ361" s="1123"/>
      <c r="CR361" s="1123"/>
      <c r="CS361" s="1123"/>
      <c r="CT361" s="1123"/>
      <c r="CU361" s="1123"/>
      <c r="CV361" s="1123"/>
      <c r="CW361" s="1123"/>
      <c r="CX361" s="1123"/>
      <c r="CY361" s="1123"/>
      <c r="CZ361" s="1114"/>
      <c r="DA361" s="1114"/>
      <c r="DB361" s="1114"/>
      <c r="DC361" s="1114"/>
      <c r="DD361" s="1114"/>
      <c r="DE361" s="1114"/>
      <c r="DF361" s="1114"/>
      <c r="DG361" s="1114"/>
      <c r="DH361" s="1114"/>
      <c r="DI361" s="1114"/>
      <c r="DJ361" s="1114"/>
      <c r="DK361" s="1114"/>
      <c r="DL361" s="1114"/>
      <c r="DM361" s="1114"/>
      <c r="DN361" s="1114"/>
      <c r="DO361" s="1114"/>
      <c r="DP361" s="1114"/>
      <c r="DQ361" s="1114"/>
      <c r="DR361" s="1114"/>
      <c r="DS361" s="1114"/>
      <c r="DT361" s="1114"/>
      <c r="DU361" s="1114"/>
      <c r="DV361" s="1115"/>
      <c r="DW361" s="1116"/>
      <c r="DX361" s="1116"/>
      <c r="DY361" s="1116"/>
      <c r="DZ361" s="1116"/>
      <c r="EA361" s="1116"/>
      <c r="EB361" s="1116"/>
      <c r="EC361" s="1116"/>
      <c r="ED361" s="1116"/>
      <c r="EE361" s="1116"/>
      <c r="EF361" s="1116"/>
      <c r="EG361" s="1116"/>
      <c r="EH361" s="1116"/>
      <c r="EI361" s="1116"/>
      <c r="EJ361" s="1116"/>
      <c r="EK361" s="1116"/>
      <c r="EL361" s="1116"/>
      <c r="EM361" s="1116"/>
      <c r="EN361" s="1116"/>
      <c r="EO361" s="1116"/>
      <c r="EP361" s="1116"/>
      <c r="EQ361" s="1116"/>
      <c r="ER361" s="1116"/>
      <c r="ES361" s="1116"/>
    </row>
    <row r="362" spans="1:149" ht="15" customHeight="1">
      <c r="A362" s="1185">
        <v>347</v>
      </c>
      <c r="B362" s="1041"/>
      <c r="C362" s="1050"/>
      <c r="D362" s="1050"/>
      <c r="E362" s="1050"/>
      <c r="F362" s="1049"/>
      <c r="G362" s="1457"/>
      <c r="H362" s="1049"/>
      <c r="I362" s="1049"/>
      <c r="J362" s="1050"/>
      <c r="K362" s="1050"/>
      <c r="L362" s="1043"/>
      <c r="M362" s="1051"/>
      <c r="N362" s="1051"/>
      <c r="O362" s="1052"/>
      <c r="P362" s="1051"/>
      <c r="Q362" s="1051"/>
      <c r="R362" s="1052"/>
      <c r="S362" s="1051"/>
      <c r="T362" s="1051"/>
      <c r="U362" s="1052"/>
      <c r="V362" s="1051"/>
      <c r="W362" s="1051"/>
      <c r="X362" s="1052"/>
      <c r="Y362" s="1053"/>
      <c r="Z362" s="1051"/>
      <c r="AA362" s="1051"/>
      <c r="AB362" s="1052"/>
      <c r="AC362" s="1051"/>
      <c r="AD362" s="1051"/>
      <c r="AE362" s="1052"/>
      <c r="AF362" s="1051"/>
      <c r="AG362" s="1051"/>
      <c r="AH362" s="1051"/>
      <c r="AI362" s="1051"/>
      <c r="AJ362" s="1052"/>
      <c r="AK362" s="1051"/>
      <c r="AL362" s="1051"/>
      <c r="AM362" s="1052"/>
      <c r="AN362" s="1051"/>
      <c r="AO362" s="1051"/>
      <c r="AP362" s="1052"/>
      <c r="AQ362" s="1051"/>
      <c r="AR362" s="1051"/>
      <c r="AS362" s="1052"/>
      <c r="AT362" s="1051"/>
      <c r="AU362" s="1051"/>
      <c r="AV362" s="1052"/>
      <c r="AW362" s="1051"/>
      <c r="AX362" s="1051"/>
      <c r="AY362" s="1053"/>
      <c r="AZ362" s="1051"/>
      <c r="BA362" s="1051"/>
      <c r="BB362" s="1053"/>
      <c r="BC362" s="1051"/>
      <c r="BD362" s="1051"/>
      <c r="BE362" s="1053"/>
      <c r="BF362" s="1051"/>
      <c r="BG362" s="1051"/>
      <c r="BH362" s="1053"/>
      <c r="BI362" s="1052"/>
      <c r="BJ362" s="1052"/>
      <c r="BK362" s="1052"/>
      <c r="BL362" s="1052"/>
      <c r="BM362" s="1052"/>
      <c r="BN362" s="1054"/>
      <c r="BO362" s="1076">
        <f t="shared" si="16"/>
        <v>0</v>
      </c>
      <c r="BP362" s="1051"/>
      <c r="BQ362" s="1052"/>
      <c r="BR362" s="1054"/>
      <c r="BS362" s="1053"/>
      <c r="BT362" s="1051"/>
      <c r="BU362" s="1051"/>
      <c r="BV362" s="1051"/>
      <c r="BW362" s="1052"/>
      <c r="BX362" s="1052"/>
      <c r="BY362" s="1052"/>
      <c r="BZ362" s="1052"/>
      <c r="CA362" s="1052"/>
      <c r="CB362" s="1053"/>
      <c r="CC362" s="1053"/>
      <c r="CD362" s="1053"/>
      <c r="CE362" s="1053"/>
      <c r="CF362" s="1053"/>
      <c r="CG362" s="1053"/>
      <c r="CH362" s="1053"/>
      <c r="CI362" s="1123"/>
      <c r="CJ362" s="1123"/>
      <c r="CK362" s="1123"/>
      <c r="CL362" s="1123"/>
      <c r="CM362" s="1123"/>
      <c r="CN362" s="1123"/>
      <c r="CO362" s="1123"/>
      <c r="CP362" s="1123"/>
      <c r="CQ362" s="1123"/>
      <c r="CR362" s="1123"/>
      <c r="CS362" s="1123"/>
      <c r="CT362" s="1123"/>
      <c r="CU362" s="1123"/>
      <c r="CV362" s="1123"/>
      <c r="CW362" s="1123"/>
      <c r="CX362" s="1123"/>
      <c r="CY362" s="1123"/>
      <c r="CZ362" s="1114"/>
      <c r="DA362" s="1114"/>
      <c r="DB362" s="1114"/>
      <c r="DC362" s="1114"/>
      <c r="DD362" s="1114"/>
      <c r="DE362" s="1114"/>
      <c r="DF362" s="1114"/>
      <c r="DG362" s="1114"/>
      <c r="DH362" s="1114"/>
      <c r="DI362" s="1114"/>
      <c r="DJ362" s="1114"/>
      <c r="DK362" s="1114"/>
      <c r="DL362" s="1114"/>
      <c r="DM362" s="1114"/>
      <c r="DN362" s="1114"/>
      <c r="DO362" s="1114"/>
      <c r="DP362" s="1114"/>
      <c r="DQ362" s="1114"/>
      <c r="DR362" s="1114"/>
      <c r="DS362" s="1114"/>
      <c r="DT362" s="1114"/>
      <c r="DU362" s="1114"/>
      <c r="DV362" s="1115"/>
      <c r="DW362" s="1116"/>
      <c r="DX362" s="1116"/>
      <c r="DY362" s="1116"/>
      <c r="DZ362" s="1116"/>
      <c r="EA362" s="1116"/>
      <c r="EB362" s="1116"/>
      <c r="EC362" s="1116"/>
      <c r="ED362" s="1116"/>
      <c r="EE362" s="1116"/>
      <c r="EF362" s="1116"/>
      <c r="EG362" s="1116"/>
      <c r="EH362" s="1116"/>
      <c r="EI362" s="1116"/>
      <c r="EJ362" s="1116"/>
      <c r="EK362" s="1116"/>
      <c r="EL362" s="1116"/>
      <c r="EM362" s="1116"/>
      <c r="EN362" s="1116"/>
      <c r="EO362" s="1116"/>
      <c r="EP362" s="1116"/>
      <c r="EQ362" s="1116"/>
      <c r="ER362" s="1116"/>
      <c r="ES362" s="1116"/>
    </row>
    <row r="363" spans="1:149" ht="15" customHeight="1">
      <c r="A363" s="1185">
        <v>348</v>
      </c>
      <c r="B363" s="1041"/>
      <c r="C363" s="1050"/>
      <c r="D363" s="1050"/>
      <c r="E363" s="1050"/>
      <c r="F363" s="1049"/>
      <c r="G363" s="1457"/>
      <c r="H363" s="1049"/>
      <c r="I363" s="1049"/>
      <c r="J363" s="1050"/>
      <c r="K363" s="1050"/>
      <c r="L363" s="1043"/>
      <c r="M363" s="1051"/>
      <c r="N363" s="1051"/>
      <c r="O363" s="1052"/>
      <c r="P363" s="1051"/>
      <c r="Q363" s="1051"/>
      <c r="R363" s="1052"/>
      <c r="S363" s="1051"/>
      <c r="T363" s="1051"/>
      <c r="U363" s="1052"/>
      <c r="V363" s="1051"/>
      <c r="W363" s="1051"/>
      <c r="X363" s="1052"/>
      <c r="Y363" s="1053"/>
      <c r="Z363" s="1051"/>
      <c r="AA363" s="1051"/>
      <c r="AB363" s="1052"/>
      <c r="AC363" s="1051"/>
      <c r="AD363" s="1051"/>
      <c r="AE363" s="1052"/>
      <c r="AF363" s="1051"/>
      <c r="AG363" s="1051"/>
      <c r="AH363" s="1051"/>
      <c r="AI363" s="1051"/>
      <c r="AJ363" s="1052"/>
      <c r="AK363" s="1051"/>
      <c r="AL363" s="1051"/>
      <c r="AM363" s="1052"/>
      <c r="AN363" s="1051"/>
      <c r="AO363" s="1051"/>
      <c r="AP363" s="1052"/>
      <c r="AQ363" s="1051"/>
      <c r="AR363" s="1051"/>
      <c r="AS363" s="1052"/>
      <c r="AT363" s="1051"/>
      <c r="AU363" s="1051"/>
      <c r="AV363" s="1052"/>
      <c r="AW363" s="1051"/>
      <c r="AX363" s="1051"/>
      <c r="AY363" s="1053"/>
      <c r="AZ363" s="1051"/>
      <c r="BA363" s="1051"/>
      <c r="BB363" s="1053"/>
      <c r="BC363" s="1051"/>
      <c r="BD363" s="1051"/>
      <c r="BE363" s="1053"/>
      <c r="BF363" s="1051"/>
      <c r="BG363" s="1051"/>
      <c r="BH363" s="1053"/>
      <c r="BI363" s="1052"/>
      <c r="BJ363" s="1052"/>
      <c r="BK363" s="1052"/>
      <c r="BL363" s="1052"/>
      <c r="BM363" s="1052"/>
      <c r="BN363" s="1054"/>
      <c r="BO363" s="1076">
        <f t="shared" si="16"/>
        <v>0</v>
      </c>
      <c r="BP363" s="1051"/>
      <c r="BQ363" s="1052"/>
      <c r="BR363" s="1054"/>
      <c r="BS363" s="1053"/>
      <c r="BT363" s="1051"/>
      <c r="BU363" s="1051"/>
      <c r="BV363" s="1051"/>
      <c r="BW363" s="1052"/>
      <c r="BX363" s="1052"/>
      <c r="BY363" s="1052"/>
      <c r="BZ363" s="1052"/>
      <c r="CA363" s="1052"/>
      <c r="CB363" s="1053"/>
      <c r="CC363" s="1053"/>
      <c r="CD363" s="1053"/>
      <c r="CE363" s="1053"/>
      <c r="CF363" s="1053"/>
      <c r="CG363" s="1053"/>
      <c r="CH363" s="1053"/>
      <c r="CI363" s="1123"/>
      <c r="CJ363" s="1123"/>
      <c r="CK363" s="1123"/>
      <c r="CL363" s="1123"/>
      <c r="CM363" s="1123"/>
      <c r="CN363" s="1123"/>
      <c r="CO363" s="1123"/>
      <c r="CP363" s="1123"/>
      <c r="CQ363" s="1123"/>
      <c r="CR363" s="1123"/>
      <c r="CS363" s="1123"/>
      <c r="CT363" s="1123"/>
      <c r="CU363" s="1123"/>
      <c r="CV363" s="1123"/>
      <c r="CW363" s="1123"/>
      <c r="CX363" s="1123"/>
      <c r="CY363" s="1123"/>
      <c r="CZ363" s="1114"/>
      <c r="DA363" s="1114"/>
      <c r="DB363" s="1114"/>
      <c r="DC363" s="1114"/>
      <c r="DD363" s="1114"/>
      <c r="DE363" s="1114"/>
      <c r="DF363" s="1114"/>
      <c r="DG363" s="1114"/>
      <c r="DH363" s="1114"/>
      <c r="DI363" s="1114"/>
      <c r="DJ363" s="1114"/>
      <c r="DK363" s="1114"/>
      <c r="DL363" s="1114"/>
      <c r="DM363" s="1114"/>
      <c r="DN363" s="1114"/>
      <c r="DO363" s="1114"/>
      <c r="DP363" s="1114"/>
      <c r="DQ363" s="1114"/>
      <c r="DR363" s="1114"/>
      <c r="DS363" s="1114"/>
      <c r="DT363" s="1114"/>
      <c r="DU363" s="1114"/>
      <c r="DV363" s="1115"/>
      <c r="DW363" s="1116"/>
      <c r="DX363" s="1116"/>
      <c r="DY363" s="1116"/>
      <c r="DZ363" s="1116"/>
      <c r="EA363" s="1116"/>
      <c r="EB363" s="1116"/>
      <c r="EC363" s="1116"/>
      <c r="ED363" s="1116"/>
      <c r="EE363" s="1116"/>
      <c r="EF363" s="1116"/>
      <c r="EG363" s="1116"/>
      <c r="EH363" s="1116"/>
      <c r="EI363" s="1116"/>
      <c r="EJ363" s="1116"/>
      <c r="EK363" s="1116"/>
      <c r="EL363" s="1116"/>
      <c r="EM363" s="1116"/>
      <c r="EN363" s="1116"/>
      <c r="EO363" s="1116"/>
      <c r="EP363" s="1116"/>
      <c r="EQ363" s="1116"/>
      <c r="ER363" s="1116"/>
      <c r="ES363" s="1116"/>
    </row>
    <row r="364" spans="1:149" ht="15" customHeight="1">
      <c r="A364" s="1185">
        <v>349</v>
      </c>
      <c r="B364" s="1041"/>
      <c r="C364" s="1050"/>
      <c r="D364" s="1050"/>
      <c r="E364" s="1050"/>
      <c r="F364" s="1049"/>
      <c r="G364" s="1457"/>
      <c r="H364" s="1049"/>
      <c r="I364" s="1049"/>
      <c r="J364" s="1050"/>
      <c r="K364" s="1050"/>
      <c r="L364" s="1043"/>
      <c r="M364" s="1051"/>
      <c r="N364" s="1051"/>
      <c r="O364" s="1052"/>
      <c r="P364" s="1051"/>
      <c r="Q364" s="1051"/>
      <c r="R364" s="1052"/>
      <c r="S364" s="1051"/>
      <c r="T364" s="1051"/>
      <c r="U364" s="1052"/>
      <c r="V364" s="1051"/>
      <c r="W364" s="1051"/>
      <c r="X364" s="1052"/>
      <c r="Y364" s="1053"/>
      <c r="Z364" s="1051"/>
      <c r="AA364" s="1051"/>
      <c r="AB364" s="1052"/>
      <c r="AC364" s="1051"/>
      <c r="AD364" s="1051"/>
      <c r="AE364" s="1052"/>
      <c r="AF364" s="1051"/>
      <c r="AG364" s="1051"/>
      <c r="AH364" s="1051"/>
      <c r="AI364" s="1051"/>
      <c r="AJ364" s="1052"/>
      <c r="AK364" s="1051"/>
      <c r="AL364" s="1051"/>
      <c r="AM364" s="1052"/>
      <c r="AN364" s="1051"/>
      <c r="AO364" s="1051"/>
      <c r="AP364" s="1052"/>
      <c r="AQ364" s="1051"/>
      <c r="AR364" s="1051"/>
      <c r="AS364" s="1052"/>
      <c r="AT364" s="1051"/>
      <c r="AU364" s="1051"/>
      <c r="AV364" s="1052"/>
      <c r="AW364" s="1051"/>
      <c r="AX364" s="1051"/>
      <c r="AY364" s="1053"/>
      <c r="AZ364" s="1051"/>
      <c r="BA364" s="1051"/>
      <c r="BB364" s="1053"/>
      <c r="BC364" s="1051"/>
      <c r="BD364" s="1051"/>
      <c r="BE364" s="1053"/>
      <c r="BF364" s="1051"/>
      <c r="BG364" s="1051"/>
      <c r="BH364" s="1053"/>
      <c r="BI364" s="1052"/>
      <c r="BJ364" s="1052"/>
      <c r="BK364" s="1052"/>
      <c r="BL364" s="1052"/>
      <c r="BM364" s="1052"/>
      <c r="BN364" s="1054"/>
      <c r="BO364" s="1076">
        <f t="shared" si="16"/>
        <v>0</v>
      </c>
      <c r="BP364" s="1051"/>
      <c r="BQ364" s="1052"/>
      <c r="BR364" s="1054"/>
      <c r="BS364" s="1053"/>
      <c r="BT364" s="1051"/>
      <c r="BU364" s="1051"/>
      <c r="BV364" s="1051"/>
      <c r="BW364" s="1052"/>
      <c r="BX364" s="1052"/>
      <c r="BY364" s="1052"/>
      <c r="BZ364" s="1052"/>
      <c r="CA364" s="1052"/>
      <c r="CB364" s="1053"/>
      <c r="CC364" s="1053"/>
      <c r="CD364" s="1053"/>
      <c r="CE364" s="1053"/>
      <c r="CF364" s="1053"/>
      <c r="CG364" s="1053"/>
      <c r="CH364" s="1053"/>
      <c r="CI364" s="1123"/>
      <c r="CJ364" s="1123"/>
      <c r="CK364" s="1123"/>
      <c r="CL364" s="1123"/>
      <c r="CM364" s="1123"/>
      <c r="CN364" s="1123"/>
      <c r="CO364" s="1123"/>
      <c r="CP364" s="1123"/>
      <c r="CQ364" s="1123"/>
      <c r="CR364" s="1123"/>
      <c r="CS364" s="1123"/>
      <c r="CT364" s="1123"/>
      <c r="CU364" s="1123"/>
      <c r="CV364" s="1123"/>
      <c r="CW364" s="1123"/>
      <c r="CX364" s="1123"/>
      <c r="CY364" s="1123"/>
      <c r="CZ364" s="1114"/>
      <c r="DA364" s="1114"/>
      <c r="DB364" s="1114"/>
      <c r="DC364" s="1114"/>
      <c r="DD364" s="1114"/>
      <c r="DE364" s="1114"/>
      <c r="DF364" s="1114"/>
      <c r="DG364" s="1114"/>
      <c r="DH364" s="1114"/>
      <c r="DI364" s="1114"/>
      <c r="DJ364" s="1114"/>
      <c r="DK364" s="1114"/>
      <c r="DL364" s="1114"/>
      <c r="DM364" s="1114"/>
      <c r="DN364" s="1114"/>
      <c r="DO364" s="1114"/>
      <c r="DP364" s="1114"/>
      <c r="DQ364" s="1114"/>
      <c r="DR364" s="1114"/>
      <c r="DS364" s="1114"/>
      <c r="DT364" s="1114"/>
      <c r="DU364" s="1114"/>
      <c r="DV364" s="1115"/>
      <c r="DW364" s="1116"/>
      <c r="DX364" s="1116"/>
      <c r="DY364" s="1116"/>
      <c r="DZ364" s="1116"/>
      <c r="EA364" s="1116"/>
      <c r="EB364" s="1116"/>
      <c r="EC364" s="1116"/>
      <c r="ED364" s="1116"/>
      <c r="EE364" s="1116"/>
      <c r="EF364" s="1116"/>
      <c r="EG364" s="1116"/>
      <c r="EH364" s="1116"/>
      <c r="EI364" s="1116"/>
      <c r="EJ364" s="1116"/>
      <c r="EK364" s="1116"/>
      <c r="EL364" s="1116"/>
      <c r="EM364" s="1116"/>
      <c r="EN364" s="1116"/>
      <c r="EO364" s="1116"/>
      <c r="EP364" s="1116"/>
      <c r="EQ364" s="1116"/>
      <c r="ER364" s="1116"/>
      <c r="ES364" s="1116"/>
    </row>
    <row r="365" spans="1:149" ht="15" customHeight="1">
      <c r="A365" s="1185">
        <v>350</v>
      </c>
      <c r="B365" s="1041"/>
      <c r="C365" s="1050"/>
      <c r="D365" s="1050"/>
      <c r="E365" s="1050"/>
      <c r="F365" s="1049"/>
      <c r="G365" s="1457"/>
      <c r="H365" s="1049"/>
      <c r="I365" s="1049"/>
      <c r="J365" s="1050"/>
      <c r="K365" s="1050"/>
      <c r="L365" s="1043"/>
      <c r="M365" s="1051"/>
      <c r="N365" s="1051"/>
      <c r="O365" s="1052"/>
      <c r="P365" s="1051"/>
      <c r="Q365" s="1051"/>
      <c r="R365" s="1052"/>
      <c r="S365" s="1051"/>
      <c r="T365" s="1051"/>
      <c r="U365" s="1052"/>
      <c r="V365" s="1051"/>
      <c r="W365" s="1051"/>
      <c r="X365" s="1052"/>
      <c r="Y365" s="1053"/>
      <c r="Z365" s="1051"/>
      <c r="AA365" s="1051"/>
      <c r="AB365" s="1052"/>
      <c r="AC365" s="1051"/>
      <c r="AD365" s="1051"/>
      <c r="AE365" s="1052"/>
      <c r="AF365" s="1051"/>
      <c r="AG365" s="1051"/>
      <c r="AH365" s="1051"/>
      <c r="AI365" s="1051"/>
      <c r="AJ365" s="1052"/>
      <c r="AK365" s="1051"/>
      <c r="AL365" s="1051"/>
      <c r="AM365" s="1052"/>
      <c r="AN365" s="1051"/>
      <c r="AO365" s="1051"/>
      <c r="AP365" s="1052"/>
      <c r="AQ365" s="1051"/>
      <c r="AR365" s="1051"/>
      <c r="AS365" s="1052"/>
      <c r="AT365" s="1051"/>
      <c r="AU365" s="1051"/>
      <c r="AV365" s="1052"/>
      <c r="AW365" s="1051"/>
      <c r="AX365" s="1051"/>
      <c r="AY365" s="1053"/>
      <c r="AZ365" s="1051"/>
      <c r="BA365" s="1051"/>
      <c r="BB365" s="1053"/>
      <c r="BC365" s="1051"/>
      <c r="BD365" s="1051"/>
      <c r="BE365" s="1053"/>
      <c r="BF365" s="1051"/>
      <c r="BG365" s="1051"/>
      <c r="BH365" s="1053"/>
      <c r="BI365" s="1052"/>
      <c r="BJ365" s="1052"/>
      <c r="BK365" s="1052"/>
      <c r="BL365" s="1052"/>
      <c r="BM365" s="1052"/>
      <c r="BN365" s="1054"/>
      <c r="BO365" s="1076">
        <f t="shared" si="16"/>
        <v>0</v>
      </c>
      <c r="BP365" s="1051"/>
      <c r="BQ365" s="1052"/>
      <c r="BR365" s="1054"/>
      <c r="BS365" s="1053"/>
      <c r="BT365" s="1051"/>
      <c r="BU365" s="1051"/>
      <c r="BV365" s="1051"/>
      <c r="BW365" s="1052"/>
      <c r="BX365" s="1052"/>
      <c r="BY365" s="1052"/>
      <c r="BZ365" s="1052"/>
      <c r="CA365" s="1052"/>
      <c r="CB365" s="1053"/>
      <c r="CC365" s="1053"/>
      <c r="CD365" s="1053"/>
      <c r="CE365" s="1053"/>
      <c r="CF365" s="1053"/>
      <c r="CG365" s="1053"/>
      <c r="CH365" s="1053"/>
      <c r="CI365" s="1123"/>
      <c r="CJ365" s="1123"/>
      <c r="CK365" s="1123"/>
      <c r="CL365" s="1123"/>
      <c r="CM365" s="1123"/>
      <c r="CN365" s="1123"/>
      <c r="CO365" s="1123"/>
      <c r="CP365" s="1123"/>
      <c r="CQ365" s="1123"/>
      <c r="CR365" s="1123"/>
      <c r="CS365" s="1123"/>
      <c r="CT365" s="1123"/>
      <c r="CU365" s="1123"/>
      <c r="CV365" s="1123"/>
      <c r="CW365" s="1123"/>
      <c r="CX365" s="1123"/>
      <c r="CY365" s="1123"/>
      <c r="CZ365" s="1114"/>
      <c r="DA365" s="1114"/>
      <c r="DB365" s="1114"/>
      <c r="DC365" s="1114"/>
      <c r="DD365" s="1114"/>
      <c r="DE365" s="1114"/>
      <c r="DF365" s="1114"/>
      <c r="DG365" s="1114"/>
      <c r="DH365" s="1114"/>
      <c r="DI365" s="1114"/>
      <c r="DJ365" s="1114"/>
      <c r="DK365" s="1114"/>
      <c r="DL365" s="1114"/>
      <c r="DM365" s="1114"/>
      <c r="DN365" s="1114"/>
      <c r="DO365" s="1114"/>
      <c r="DP365" s="1114"/>
      <c r="DQ365" s="1114"/>
      <c r="DR365" s="1114"/>
      <c r="DS365" s="1114"/>
      <c r="DT365" s="1114"/>
      <c r="DU365" s="1114"/>
      <c r="DV365" s="1115"/>
      <c r="DW365" s="1116"/>
      <c r="DX365" s="1116"/>
      <c r="DY365" s="1116"/>
      <c r="DZ365" s="1116"/>
      <c r="EA365" s="1116"/>
      <c r="EB365" s="1116"/>
      <c r="EC365" s="1116"/>
      <c r="ED365" s="1116"/>
      <c r="EE365" s="1116"/>
      <c r="EF365" s="1116"/>
      <c r="EG365" s="1116"/>
      <c r="EH365" s="1116"/>
      <c r="EI365" s="1116"/>
      <c r="EJ365" s="1116"/>
      <c r="EK365" s="1116"/>
      <c r="EL365" s="1116"/>
      <c r="EM365" s="1116"/>
      <c r="EN365" s="1116"/>
      <c r="EO365" s="1116"/>
      <c r="EP365" s="1116"/>
      <c r="EQ365" s="1116"/>
      <c r="ER365" s="1116"/>
      <c r="ES365" s="1116"/>
    </row>
    <row r="366" spans="1:149" ht="15" customHeight="1">
      <c r="A366" s="1185">
        <v>351</v>
      </c>
      <c r="B366" s="1041"/>
      <c r="C366" s="1050"/>
      <c r="D366" s="1050"/>
      <c r="E366" s="1050"/>
      <c r="F366" s="1049"/>
      <c r="G366" s="1457"/>
      <c r="H366" s="1049"/>
      <c r="I366" s="1049"/>
      <c r="J366" s="1050"/>
      <c r="K366" s="1050"/>
      <c r="L366" s="1043"/>
      <c r="M366" s="1051"/>
      <c r="N366" s="1051"/>
      <c r="O366" s="1052"/>
      <c r="P366" s="1051"/>
      <c r="Q366" s="1051"/>
      <c r="R366" s="1052"/>
      <c r="S366" s="1051"/>
      <c r="T366" s="1051"/>
      <c r="U366" s="1052"/>
      <c r="V366" s="1051"/>
      <c r="W366" s="1051"/>
      <c r="X366" s="1052"/>
      <c r="Y366" s="1053"/>
      <c r="Z366" s="1051"/>
      <c r="AA366" s="1051"/>
      <c r="AB366" s="1052"/>
      <c r="AC366" s="1051"/>
      <c r="AD366" s="1051"/>
      <c r="AE366" s="1052"/>
      <c r="AF366" s="1051"/>
      <c r="AG366" s="1051"/>
      <c r="AH366" s="1051"/>
      <c r="AI366" s="1051"/>
      <c r="AJ366" s="1052"/>
      <c r="AK366" s="1051"/>
      <c r="AL366" s="1051"/>
      <c r="AM366" s="1052"/>
      <c r="AN366" s="1051"/>
      <c r="AO366" s="1051"/>
      <c r="AP366" s="1052"/>
      <c r="AQ366" s="1051"/>
      <c r="AR366" s="1051"/>
      <c r="AS366" s="1052"/>
      <c r="AT366" s="1051"/>
      <c r="AU366" s="1051"/>
      <c r="AV366" s="1052"/>
      <c r="AW366" s="1051"/>
      <c r="AX366" s="1051"/>
      <c r="AY366" s="1053"/>
      <c r="AZ366" s="1051"/>
      <c r="BA366" s="1051"/>
      <c r="BB366" s="1053"/>
      <c r="BC366" s="1051"/>
      <c r="BD366" s="1051"/>
      <c r="BE366" s="1053"/>
      <c r="BF366" s="1051"/>
      <c r="BG366" s="1051"/>
      <c r="BH366" s="1053"/>
      <c r="BI366" s="1052"/>
      <c r="BJ366" s="1052"/>
      <c r="BK366" s="1052"/>
      <c r="BL366" s="1052"/>
      <c r="BM366" s="1052"/>
      <c r="BN366" s="1054"/>
      <c r="BO366" s="1076">
        <f t="shared" si="16"/>
        <v>0</v>
      </c>
      <c r="BP366" s="1051"/>
      <c r="BQ366" s="1052"/>
      <c r="BR366" s="1054"/>
      <c r="BS366" s="1053"/>
      <c r="BT366" s="1051"/>
      <c r="BU366" s="1051"/>
      <c r="BV366" s="1051"/>
      <c r="BW366" s="1052"/>
      <c r="BX366" s="1052"/>
      <c r="BY366" s="1052"/>
      <c r="BZ366" s="1052"/>
      <c r="CA366" s="1052"/>
      <c r="CB366" s="1053"/>
      <c r="CC366" s="1053"/>
      <c r="CD366" s="1053"/>
      <c r="CE366" s="1053"/>
      <c r="CF366" s="1053"/>
      <c r="CG366" s="1053"/>
      <c r="CH366" s="1053"/>
      <c r="CI366" s="1123"/>
      <c r="CJ366" s="1123"/>
      <c r="CK366" s="1123"/>
      <c r="CL366" s="1123"/>
      <c r="CM366" s="1123"/>
      <c r="CN366" s="1123"/>
      <c r="CO366" s="1123"/>
      <c r="CP366" s="1123"/>
      <c r="CQ366" s="1123"/>
      <c r="CR366" s="1123"/>
      <c r="CS366" s="1123"/>
      <c r="CT366" s="1123"/>
      <c r="CU366" s="1123"/>
      <c r="CV366" s="1123"/>
      <c r="CW366" s="1123"/>
      <c r="CX366" s="1123"/>
      <c r="CY366" s="1123"/>
      <c r="CZ366" s="1114"/>
      <c r="DA366" s="1114"/>
      <c r="DB366" s="1114"/>
      <c r="DC366" s="1114"/>
      <c r="DD366" s="1114"/>
      <c r="DE366" s="1114"/>
      <c r="DF366" s="1114"/>
      <c r="DG366" s="1114"/>
      <c r="DH366" s="1114"/>
      <c r="DI366" s="1114"/>
      <c r="DJ366" s="1114"/>
      <c r="DK366" s="1114"/>
      <c r="DL366" s="1114"/>
      <c r="DM366" s="1114"/>
      <c r="DN366" s="1114"/>
      <c r="DO366" s="1114"/>
      <c r="DP366" s="1114"/>
      <c r="DQ366" s="1114"/>
      <c r="DR366" s="1114"/>
      <c r="DS366" s="1114"/>
      <c r="DT366" s="1114"/>
      <c r="DU366" s="1114"/>
      <c r="DV366" s="1115"/>
      <c r="DW366" s="1116"/>
      <c r="DX366" s="1116"/>
      <c r="DY366" s="1116"/>
      <c r="DZ366" s="1116"/>
      <c r="EA366" s="1116"/>
      <c r="EB366" s="1116"/>
      <c r="EC366" s="1116"/>
      <c r="ED366" s="1116"/>
      <c r="EE366" s="1116"/>
      <c r="EF366" s="1116"/>
      <c r="EG366" s="1116"/>
      <c r="EH366" s="1116"/>
      <c r="EI366" s="1116"/>
      <c r="EJ366" s="1116"/>
      <c r="EK366" s="1116"/>
      <c r="EL366" s="1116"/>
      <c r="EM366" s="1116"/>
      <c r="EN366" s="1116"/>
      <c r="EO366" s="1116"/>
      <c r="EP366" s="1116"/>
      <c r="EQ366" s="1116"/>
      <c r="ER366" s="1116"/>
      <c r="ES366" s="1116"/>
    </row>
    <row r="367" spans="1:149" ht="15" customHeight="1">
      <c r="A367" s="1185">
        <v>352</v>
      </c>
      <c r="B367" s="1041"/>
      <c r="C367" s="1050"/>
      <c r="D367" s="1050"/>
      <c r="E367" s="1050"/>
      <c r="F367" s="1049"/>
      <c r="G367" s="1457"/>
      <c r="H367" s="1049"/>
      <c r="I367" s="1049"/>
      <c r="J367" s="1050"/>
      <c r="K367" s="1050"/>
      <c r="L367" s="1043"/>
      <c r="M367" s="1051"/>
      <c r="N367" s="1051"/>
      <c r="O367" s="1052"/>
      <c r="P367" s="1051"/>
      <c r="Q367" s="1051"/>
      <c r="R367" s="1052"/>
      <c r="S367" s="1051"/>
      <c r="T367" s="1051"/>
      <c r="U367" s="1052"/>
      <c r="V367" s="1051"/>
      <c r="W367" s="1051"/>
      <c r="X367" s="1052"/>
      <c r="Y367" s="1053"/>
      <c r="Z367" s="1051"/>
      <c r="AA367" s="1051"/>
      <c r="AB367" s="1052"/>
      <c r="AC367" s="1051"/>
      <c r="AD367" s="1051"/>
      <c r="AE367" s="1052"/>
      <c r="AF367" s="1051"/>
      <c r="AG367" s="1051"/>
      <c r="AH367" s="1051"/>
      <c r="AI367" s="1051"/>
      <c r="AJ367" s="1052"/>
      <c r="AK367" s="1051"/>
      <c r="AL367" s="1051"/>
      <c r="AM367" s="1052"/>
      <c r="AN367" s="1051"/>
      <c r="AO367" s="1051"/>
      <c r="AP367" s="1052"/>
      <c r="AQ367" s="1051"/>
      <c r="AR367" s="1051"/>
      <c r="AS367" s="1052"/>
      <c r="AT367" s="1051"/>
      <c r="AU367" s="1051"/>
      <c r="AV367" s="1052"/>
      <c r="AW367" s="1051"/>
      <c r="AX367" s="1051"/>
      <c r="AY367" s="1053"/>
      <c r="AZ367" s="1051"/>
      <c r="BA367" s="1051"/>
      <c r="BB367" s="1053"/>
      <c r="BC367" s="1051"/>
      <c r="BD367" s="1051"/>
      <c r="BE367" s="1053"/>
      <c r="BF367" s="1051"/>
      <c r="BG367" s="1051"/>
      <c r="BH367" s="1053"/>
      <c r="BI367" s="1052"/>
      <c r="BJ367" s="1052"/>
      <c r="BK367" s="1052"/>
      <c r="BL367" s="1052"/>
      <c r="BM367" s="1052"/>
      <c r="BN367" s="1054"/>
      <c r="BO367" s="1076">
        <f t="shared" si="16"/>
        <v>0</v>
      </c>
      <c r="BP367" s="1051"/>
      <c r="BQ367" s="1052"/>
      <c r="BR367" s="1054"/>
      <c r="BS367" s="1053"/>
      <c r="BT367" s="1051"/>
      <c r="BU367" s="1051"/>
      <c r="BV367" s="1051"/>
      <c r="BW367" s="1052"/>
      <c r="BX367" s="1052"/>
      <c r="BY367" s="1052"/>
      <c r="BZ367" s="1052"/>
      <c r="CA367" s="1052"/>
      <c r="CB367" s="1053"/>
      <c r="CC367" s="1053"/>
      <c r="CD367" s="1053"/>
      <c r="CE367" s="1053"/>
      <c r="CF367" s="1053"/>
      <c r="CG367" s="1053"/>
      <c r="CH367" s="1053"/>
      <c r="CI367" s="1123"/>
      <c r="CJ367" s="1123"/>
      <c r="CK367" s="1123"/>
      <c r="CL367" s="1123"/>
      <c r="CM367" s="1123"/>
      <c r="CN367" s="1123"/>
      <c r="CO367" s="1123"/>
      <c r="CP367" s="1123"/>
      <c r="CQ367" s="1123"/>
      <c r="CR367" s="1123"/>
      <c r="CS367" s="1123"/>
      <c r="CT367" s="1123"/>
      <c r="CU367" s="1123"/>
      <c r="CV367" s="1123"/>
      <c r="CW367" s="1123"/>
      <c r="CX367" s="1123"/>
      <c r="CY367" s="1123"/>
      <c r="CZ367" s="1114"/>
      <c r="DA367" s="1114"/>
      <c r="DB367" s="1114"/>
      <c r="DC367" s="1114"/>
      <c r="DD367" s="1114"/>
      <c r="DE367" s="1114"/>
      <c r="DF367" s="1114"/>
      <c r="DG367" s="1114"/>
      <c r="DH367" s="1114"/>
      <c r="DI367" s="1114"/>
      <c r="DJ367" s="1114"/>
      <c r="DK367" s="1114"/>
      <c r="DL367" s="1114"/>
      <c r="DM367" s="1114"/>
      <c r="DN367" s="1114"/>
      <c r="DO367" s="1114"/>
      <c r="DP367" s="1114"/>
      <c r="DQ367" s="1114"/>
      <c r="DR367" s="1114"/>
      <c r="DS367" s="1114"/>
      <c r="DT367" s="1114"/>
      <c r="DU367" s="1114"/>
      <c r="DV367" s="1115"/>
      <c r="DW367" s="1116"/>
      <c r="DX367" s="1116"/>
      <c r="DY367" s="1116"/>
      <c r="DZ367" s="1116"/>
      <c r="EA367" s="1116"/>
      <c r="EB367" s="1116"/>
      <c r="EC367" s="1116"/>
      <c r="ED367" s="1116"/>
      <c r="EE367" s="1116"/>
      <c r="EF367" s="1116"/>
      <c r="EG367" s="1116"/>
      <c r="EH367" s="1116"/>
      <c r="EI367" s="1116"/>
      <c r="EJ367" s="1116"/>
      <c r="EK367" s="1116"/>
      <c r="EL367" s="1116"/>
      <c r="EM367" s="1116"/>
      <c r="EN367" s="1116"/>
      <c r="EO367" s="1116"/>
      <c r="EP367" s="1116"/>
      <c r="EQ367" s="1116"/>
      <c r="ER367" s="1116"/>
      <c r="ES367" s="1116"/>
    </row>
    <row r="368" spans="1:149" ht="15" customHeight="1">
      <c r="A368" s="1185">
        <v>353</v>
      </c>
      <c r="B368" s="1041"/>
      <c r="C368" s="1050"/>
      <c r="D368" s="1050"/>
      <c r="E368" s="1050"/>
      <c r="F368" s="1049"/>
      <c r="G368" s="1457"/>
      <c r="H368" s="1049"/>
      <c r="I368" s="1049"/>
      <c r="J368" s="1050"/>
      <c r="K368" s="1050"/>
      <c r="L368" s="1043"/>
      <c r="M368" s="1051"/>
      <c r="N368" s="1051"/>
      <c r="O368" s="1052"/>
      <c r="P368" s="1051"/>
      <c r="Q368" s="1051"/>
      <c r="R368" s="1052"/>
      <c r="S368" s="1051"/>
      <c r="T368" s="1051"/>
      <c r="U368" s="1052"/>
      <c r="V368" s="1051"/>
      <c r="W368" s="1051"/>
      <c r="X368" s="1052"/>
      <c r="Y368" s="1053"/>
      <c r="Z368" s="1051"/>
      <c r="AA368" s="1051"/>
      <c r="AB368" s="1052"/>
      <c r="AC368" s="1051"/>
      <c r="AD368" s="1051"/>
      <c r="AE368" s="1052"/>
      <c r="AF368" s="1051"/>
      <c r="AG368" s="1051"/>
      <c r="AH368" s="1051"/>
      <c r="AI368" s="1051"/>
      <c r="AJ368" s="1052"/>
      <c r="AK368" s="1051"/>
      <c r="AL368" s="1051"/>
      <c r="AM368" s="1052"/>
      <c r="AN368" s="1051"/>
      <c r="AO368" s="1051"/>
      <c r="AP368" s="1052"/>
      <c r="AQ368" s="1051"/>
      <c r="AR368" s="1051"/>
      <c r="AS368" s="1052"/>
      <c r="AT368" s="1051"/>
      <c r="AU368" s="1051"/>
      <c r="AV368" s="1052"/>
      <c r="AW368" s="1051"/>
      <c r="AX368" s="1051"/>
      <c r="AY368" s="1053"/>
      <c r="AZ368" s="1051"/>
      <c r="BA368" s="1051"/>
      <c r="BB368" s="1053"/>
      <c r="BC368" s="1051"/>
      <c r="BD368" s="1051"/>
      <c r="BE368" s="1053"/>
      <c r="BF368" s="1051"/>
      <c r="BG368" s="1051"/>
      <c r="BH368" s="1053"/>
      <c r="BI368" s="1052"/>
      <c r="BJ368" s="1052"/>
      <c r="BK368" s="1052"/>
      <c r="BL368" s="1052"/>
      <c r="BM368" s="1052"/>
      <c r="BN368" s="1054"/>
      <c r="BO368" s="1076">
        <f t="shared" si="16"/>
        <v>0</v>
      </c>
      <c r="BP368" s="1051"/>
      <c r="BQ368" s="1052"/>
      <c r="BR368" s="1054"/>
      <c r="BS368" s="1053"/>
      <c r="BT368" s="1051"/>
      <c r="BU368" s="1051"/>
      <c r="BV368" s="1051"/>
      <c r="BW368" s="1052"/>
      <c r="BX368" s="1052"/>
      <c r="BY368" s="1052"/>
      <c r="BZ368" s="1052"/>
      <c r="CA368" s="1052"/>
      <c r="CB368" s="1053"/>
      <c r="CC368" s="1053"/>
      <c r="CD368" s="1053"/>
      <c r="CE368" s="1053"/>
      <c r="CF368" s="1053"/>
      <c r="CG368" s="1053"/>
      <c r="CH368" s="1053"/>
      <c r="CI368" s="1123"/>
      <c r="CJ368" s="1123"/>
      <c r="CK368" s="1123"/>
      <c r="CL368" s="1123"/>
      <c r="CM368" s="1123"/>
      <c r="CN368" s="1123"/>
      <c r="CO368" s="1123"/>
      <c r="CP368" s="1123"/>
      <c r="CQ368" s="1123"/>
      <c r="CR368" s="1123"/>
      <c r="CS368" s="1123"/>
      <c r="CT368" s="1123"/>
      <c r="CU368" s="1123"/>
      <c r="CV368" s="1123"/>
      <c r="CW368" s="1123"/>
      <c r="CX368" s="1123"/>
      <c r="CY368" s="1123"/>
      <c r="CZ368" s="1114"/>
      <c r="DA368" s="1114"/>
      <c r="DB368" s="1114"/>
      <c r="DC368" s="1114"/>
      <c r="DD368" s="1114"/>
      <c r="DE368" s="1114"/>
      <c r="DF368" s="1114"/>
      <c r="DG368" s="1114"/>
      <c r="DH368" s="1114"/>
      <c r="DI368" s="1114"/>
      <c r="DJ368" s="1114"/>
      <c r="DK368" s="1114"/>
      <c r="DL368" s="1114"/>
      <c r="DM368" s="1114"/>
      <c r="DN368" s="1114"/>
      <c r="DO368" s="1114"/>
      <c r="DP368" s="1114"/>
      <c r="DQ368" s="1114"/>
      <c r="DR368" s="1114"/>
      <c r="DS368" s="1114"/>
      <c r="DT368" s="1114"/>
      <c r="DU368" s="1114"/>
      <c r="DV368" s="1115"/>
      <c r="DW368" s="1116"/>
      <c r="DX368" s="1116"/>
      <c r="DY368" s="1116"/>
      <c r="DZ368" s="1116"/>
      <c r="EA368" s="1116"/>
      <c r="EB368" s="1116"/>
      <c r="EC368" s="1116"/>
      <c r="ED368" s="1116"/>
      <c r="EE368" s="1116"/>
      <c r="EF368" s="1116"/>
      <c r="EG368" s="1116"/>
      <c r="EH368" s="1116"/>
      <c r="EI368" s="1116"/>
      <c r="EJ368" s="1116"/>
      <c r="EK368" s="1116"/>
      <c r="EL368" s="1116"/>
      <c r="EM368" s="1116"/>
      <c r="EN368" s="1116"/>
      <c r="EO368" s="1116"/>
      <c r="EP368" s="1116"/>
      <c r="EQ368" s="1116"/>
      <c r="ER368" s="1116"/>
      <c r="ES368" s="1116"/>
    </row>
    <row r="369" spans="1:149" ht="15" customHeight="1">
      <c r="A369" s="1185">
        <v>354</v>
      </c>
      <c r="B369" s="1041"/>
      <c r="C369" s="1050"/>
      <c r="D369" s="1050"/>
      <c r="E369" s="1050"/>
      <c r="F369" s="1049"/>
      <c r="G369" s="1457"/>
      <c r="H369" s="1049"/>
      <c r="I369" s="1049"/>
      <c r="J369" s="1050"/>
      <c r="K369" s="1050"/>
      <c r="L369" s="1043"/>
      <c r="M369" s="1051"/>
      <c r="N369" s="1051"/>
      <c r="O369" s="1052"/>
      <c r="P369" s="1051"/>
      <c r="Q369" s="1051"/>
      <c r="R369" s="1052"/>
      <c r="S369" s="1051"/>
      <c r="T369" s="1051"/>
      <c r="U369" s="1052"/>
      <c r="V369" s="1051"/>
      <c r="W369" s="1051"/>
      <c r="X369" s="1052"/>
      <c r="Y369" s="1053"/>
      <c r="Z369" s="1051"/>
      <c r="AA369" s="1051"/>
      <c r="AB369" s="1052"/>
      <c r="AC369" s="1051"/>
      <c r="AD369" s="1051"/>
      <c r="AE369" s="1052"/>
      <c r="AF369" s="1051"/>
      <c r="AG369" s="1051"/>
      <c r="AH369" s="1051"/>
      <c r="AI369" s="1051"/>
      <c r="AJ369" s="1052"/>
      <c r="AK369" s="1051"/>
      <c r="AL369" s="1051"/>
      <c r="AM369" s="1052"/>
      <c r="AN369" s="1051"/>
      <c r="AO369" s="1051"/>
      <c r="AP369" s="1052"/>
      <c r="AQ369" s="1051"/>
      <c r="AR369" s="1051"/>
      <c r="AS369" s="1052"/>
      <c r="AT369" s="1051"/>
      <c r="AU369" s="1051"/>
      <c r="AV369" s="1052"/>
      <c r="AW369" s="1051"/>
      <c r="AX369" s="1051"/>
      <c r="AY369" s="1053"/>
      <c r="AZ369" s="1051"/>
      <c r="BA369" s="1051"/>
      <c r="BB369" s="1053"/>
      <c r="BC369" s="1051"/>
      <c r="BD369" s="1051"/>
      <c r="BE369" s="1053"/>
      <c r="BF369" s="1051"/>
      <c r="BG369" s="1051"/>
      <c r="BH369" s="1053"/>
      <c r="BI369" s="1052"/>
      <c r="BJ369" s="1052"/>
      <c r="BK369" s="1052"/>
      <c r="BL369" s="1052"/>
      <c r="BM369" s="1052"/>
      <c r="BN369" s="1054"/>
      <c r="BO369" s="1076">
        <f t="shared" si="16"/>
        <v>0</v>
      </c>
      <c r="BP369" s="1051"/>
      <c r="BQ369" s="1052"/>
      <c r="BR369" s="1054"/>
      <c r="BS369" s="1053"/>
      <c r="BT369" s="1051"/>
      <c r="BU369" s="1051"/>
      <c r="BV369" s="1051"/>
      <c r="BW369" s="1052"/>
      <c r="BX369" s="1052"/>
      <c r="BY369" s="1052"/>
      <c r="BZ369" s="1052"/>
      <c r="CA369" s="1052"/>
      <c r="CB369" s="1053"/>
      <c r="CC369" s="1053"/>
      <c r="CD369" s="1053"/>
      <c r="CE369" s="1053"/>
      <c r="CF369" s="1053"/>
      <c r="CG369" s="1053"/>
      <c r="CH369" s="1053"/>
      <c r="CI369" s="1123"/>
      <c r="CJ369" s="1123"/>
      <c r="CK369" s="1123"/>
      <c r="CL369" s="1123"/>
      <c r="CM369" s="1123"/>
      <c r="CN369" s="1123"/>
      <c r="CO369" s="1123"/>
      <c r="CP369" s="1123"/>
      <c r="CQ369" s="1123"/>
      <c r="CR369" s="1123"/>
      <c r="CS369" s="1123"/>
      <c r="CT369" s="1123"/>
      <c r="CU369" s="1123"/>
      <c r="CV369" s="1123"/>
      <c r="CW369" s="1123"/>
      <c r="CX369" s="1123"/>
      <c r="CY369" s="1123"/>
      <c r="CZ369" s="1114"/>
      <c r="DA369" s="1114"/>
      <c r="DB369" s="1114"/>
      <c r="DC369" s="1114"/>
      <c r="DD369" s="1114"/>
      <c r="DE369" s="1114"/>
      <c r="DF369" s="1114"/>
      <c r="DG369" s="1114"/>
      <c r="DH369" s="1114"/>
      <c r="DI369" s="1114"/>
      <c r="DJ369" s="1114"/>
      <c r="DK369" s="1114"/>
      <c r="DL369" s="1114"/>
      <c r="DM369" s="1114"/>
      <c r="DN369" s="1114"/>
      <c r="DO369" s="1114"/>
      <c r="DP369" s="1114"/>
      <c r="DQ369" s="1114"/>
      <c r="DR369" s="1114"/>
      <c r="DS369" s="1114"/>
      <c r="DT369" s="1114"/>
      <c r="DU369" s="1114"/>
      <c r="DV369" s="1115"/>
      <c r="DW369" s="1116"/>
      <c r="DX369" s="1116"/>
      <c r="DY369" s="1116"/>
      <c r="DZ369" s="1116"/>
      <c r="EA369" s="1116"/>
      <c r="EB369" s="1116"/>
      <c r="EC369" s="1116"/>
      <c r="ED369" s="1116"/>
      <c r="EE369" s="1116"/>
      <c r="EF369" s="1116"/>
      <c r="EG369" s="1116"/>
      <c r="EH369" s="1116"/>
      <c r="EI369" s="1116"/>
      <c r="EJ369" s="1116"/>
      <c r="EK369" s="1116"/>
      <c r="EL369" s="1116"/>
      <c r="EM369" s="1116"/>
      <c r="EN369" s="1116"/>
      <c r="EO369" s="1116"/>
      <c r="EP369" s="1116"/>
      <c r="EQ369" s="1116"/>
      <c r="ER369" s="1116"/>
      <c r="ES369" s="1116"/>
    </row>
    <row r="370" spans="1:149" ht="15" customHeight="1">
      <c r="A370" s="1185">
        <v>355</v>
      </c>
      <c r="B370" s="1041"/>
      <c r="C370" s="1050"/>
      <c r="D370" s="1050"/>
      <c r="E370" s="1050"/>
      <c r="F370" s="1049"/>
      <c r="G370" s="1457"/>
      <c r="H370" s="1049"/>
      <c r="I370" s="1049"/>
      <c r="J370" s="1050"/>
      <c r="K370" s="1050"/>
      <c r="L370" s="1043"/>
      <c r="M370" s="1051"/>
      <c r="N370" s="1051"/>
      <c r="O370" s="1052"/>
      <c r="P370" s="1051"/>
      <c r="Q370" s="1051"/>
      <c r="R370" s="1052"/>
      <c r="S370" s="1051"/>
      <c r="T370" s="1051"/>
      <c r="U370" s="1052"/>
      <c r="V370" s="1051"/>
      <c r="W370" s="1051"/>
      <c r="X370" s="1052"/>
      <c r="Y370" s="1053"/>
      <c r="Z370" s="1051"/>
      <c r="AA370" s="1051"/>
      <c r="AB370" s="1052"/>
      <c r="AC370" s="1051"/>
      <c r="AD370" s="1051"/>
      <c r="AE370" s="1052"/>
      <c r="AF370" s="1051"/>
      <c r="AG370" s="1051"/>
      <c r="AH370" s="1051"/>
      <c r="AI370" s="1051"/>
      <c r="AJ370" s="1052"/>
      <c r="AK370" s="1051"/>
      <c r="AL370" s="1051"/>
      <c r="AM370" s="1052"/>
      <c r="AN370" s="1051"/>
      <c r="AO370" s="1051"/>
      <c r="AP370" s="1052"/>
      <c r="AQ370" s="1051"/>
      <c r="AR370" s="1051"/>
      <c r="AS370" s="1052"/>
      <c r="AT370" s="1051"/>
      <c r="AU370" s="1051"/>
      <c r="AV370" s="1052"/>
      <c r="AW370" s="1051"/>
      <c r="AX370" s="1051"/>
      <c r="AY370" s="1053"/>
      <c r="AZ370" s="1051"/>
      <c r="BA370" s="1051"/>
      <c r="BB370" s="1053"/>
      <c r="BC370" s="1051"/>
      <c r="BD370" s="1051"/>
      <c r="BE370" s="1053"/>
      <c r="BF370" s="1051"/>
      <c r="BG370" s="1051"/>
      <c r="BH370" s="1053"/>
      <c r="BI370" s="1052"/>
      <c r="BJ370" s="1052"/>
      <c r="BK370" s="1052"/>
      <c r="BL370" s="1052"/>
      <c r="BM370" s="1052"/>
      <c r="BN370" s="1054"/>
      <c r="BO370" s="1076">
        <f t="shared" si="16"/>
        <v>0</v>
      </c>
      <c r="BP370" s="1051"/>
      <c r="BQ370" s="1052"/>
      <c r="BR370" s="1054"/>
      <c r="BS370" s="1053"/>
      <c r="BT370" s="1051"/>
      <c r="BU370" s="1051"/>
      <c r="BV370" s="1051"/>
      <c r="BW370" s="1052"/>
      <c r="BX370" s="1052"/>
      <c r="BY370" s="1052"/>
      <c r="BZ370" s="1052"/>
      <c r="CA370" s="1052"/>
      <c r="CB370" s="1053"/>
      <c r="CC370" s="1053"/>
      <c r="CD370" s="1053"/>
      <c r="CE370" s="1053"/>
      <c r="CF370" s="1053"/>
      <c r="CG370" s="1053"/>
      <c r="CH370" s="1053"/>
      <c r="CI370" s="1123"/>
      <c r="CJ370" s="1123"/>
      <c r="CK370" s="1123"/>
      <c r="CL370" s="1123"/>
      <c r="CM370" s="1123"/>
      <c r="CN370" s="1123"/>
      <c r="CO370" s="1123"/>
      <c r="CP370" s="1123"/>
      <c r="CQ370" s="1123"/>
      <c r="CR370" s="1123"/>
      <c r="CS370" s="1123"/>
      <c r="CT370" s="1123"/>
      <c r="CU370" s="1123"/>
      <c r="CV370" s="1123"/>
      <c r="CW370" s="1123"/>
      <c r="CX370" s="1123"/>
      <c r="CY370" s="1123"/>
      <c r="CZ370" s="1114"/>
      <c r="DA370" s="1114"/>
      <c r="DB370" s="1114"/>
      <c r="DC370" s="1114"/>
      <c r="DD370" s="1114"/>
      <c r="DE370" s="1114"/>
      <c r="DF370" s="1114"/>
      <c r="DG370" s="1114"/>
      <c r="DH370" s="1114"/>
      <c r="DI370" s="1114"/>
      <c r="DJ370" s="1114"/>
      <c r="DK370" s="1114"/>
      <c r="DL370" s="1114"/>
      <c r="DM370" s="1114"/>
      <c r="DN370" s="1114"/>
      <c r="DO370" s="1114"/>
      <c r="DP370" s="1114"/>
      <c r="DQ370" s="1114"/>
      <c r="DR370" s="1114"/>
      <c r="DS370" s="1114"/>
      <c r="DT370" s="1114"/>
      <c r="DU370" s="1114"/>
      <c r="DV370" s="1115"/>
      <c r="DW370" s="1116"/>
      <c r="DX370" s="1116"/>
      <c r="DY370" s="1116"/>
      <c r="DZ370" s="1116"/>
      <c r="EA370" s="1116"/>
      <c r="EB370" s="1116"/>
      <c r="EC370" s="1116"/>
      <c r="ED370" s="1116"/>
      <c r="EE370" s="1116"/>
      <c r="EF370" s="1116"/>
      <c r="EG370" s="1116"/>
      <c r="EH370" s="1116"/>
      <c r="EI370" s="1116"/>
      <c r="EJ370" s="1116"/>
      <c r="EK370" s="1116"/>
      <c r="EL370" s="1116"/>
      <c r="EM370" s="1116"/>
      <c r="EN370" s="1116"/>
      <c r="EO370" s="1116"/>
      <c r="EP370" s="1116"/>
      <c r="EQ370" s="1116"/>
      <c r="ER370" s="1116"/>
      <c r="ES370" s="1116"/>
    </row>
    <row r="371" spans="1:149" ht="15" customHeight="1">
      <c r="A371" s="1185">
        <v>356</v>
      </c>
      <c r="B371" s="1041"/>
      <c r="C371" s="1050"/>
      <c r="D371" s="1050"/>
      <c r="E371" s="1050"/>
      <c r="F371" s="1049"/>
      <c r="G371" s="1457"/>
      <c r="H371" s="1049"/>
      <c r="I371" s="1049"/>
      <c r="J371" s="1050"/>
      <c r="K371" s="1050"/>
      <c r="L371" s="1043"/>
      <c r="M371" s="1051"/>
      <c r="N371" s="1051"/>
      <c r="O371" s="1052"/>
      <c r="P371" s="1051"/>
      <c r="Q371" s="1051"/>
      <c r="R371" s="1052"/>
      <c r="S371" s="1051"/>
      <c r="T371" s="1051"/>
      <c r="U371" s="1052"/>
      <c r="V371" s="1051"/>
      <c r="W371" s="1051"/>
      <c r="X371" s="1052"/>
      <c r="Y371" s="1053"/>
      <c r="Z371" s="1051"/>
      <c r="AA371" s="1051"/>
      <c r="AB371" s="1052"/>
      <c r="AC371" s="1051"/>
      <c r="AD371" s="1051"/>
      <c r="AE371" s="1052"/>
      <c r="AF371" s="1051"/>
      <c r="AG371" s="1051"/>
      <c r="AH371" s="1051"/>
      <c r="AI371" s="1051"/>
      <c r="AJ371" s="1052"/>
      <c r="AK371" s="1051"/>
      <c r="AL371" s="1051"/>
      <c r="AM371" s="1052"/>
      <c r="AN371" s="1051"/>
      <c r="AO371" s="1051"/>
      <c r="AP371" s="1052"/>
      <c r="AQ371" s="1051"/>
      <c r="AR371" s="1051"/>
      <c r="AS371" s="1052"/>
      <c r="AT371" s="1051"/>
      <c r="AU371" s="1051"/>
      <c r="AV371" s="1052"/>
      <c r="AW371" s="1051"/>
      <c r="AX371" s="1051"/>
      <c r="AY371" s="1053"/>
      <c r="AZ371" s="1051"/>
      <c r="BA371" s="1051"/>
      <c r="BB371" s="1053"/>
      <c r="BC371" s="1051"/>
      <c r="BD371" s="1051"/>
      <c r="BE371" s="1053"/>
      <c r="BF371" s="1051"/>
      <c r="BG371" s="1051"/>
      <c r="BH371" s="1053"/>
      <c r="BI371" s="1052"/>
      <c r="BJ371" s="1052"/>
      <c r="BK371" s="1052"/>
      <c r="BL371" s="1052"/>
      <c r="BM371" s="1052"/>
      <c r="BN371" s="1054"/>
      <c r="BO371" s="1076">
        <f t="shared" si="16"/>
        <v>0</v>
      </c>
      <c r="BP371" s="1051"/>
      <c r="BQ371" s="1052"/>
      <c r="BR371" s="1054"/>
      <c r="BS371" s="1053"/>
      <c r="BT371" s="1051"/>
      <c r="BU371" s="1051"/>
      <c r="BV371" s="1051"/>
      <c r="BW371" s="1052"/>
      <c r="BX371" s="1052"/>
      <c r="BY371" s="1052"/>
      <c r="BZ371" s="1052"/>
      <c r="CA371" s="1052"/>
      <c r="CB371" s="1053"/>
      <c r="CC371" s="1053"/>
      <c r="CD371" s="1053"/>
      <c r="CE371" s="1053"/>
      <c r="CF371" s="1053"/>
      <c r="CG371" s="1053"/>
      <c r="CH371" s="1053"/>
      <c r="CI371" s="1123"/>
      <c r="CJ371" s="1123"/>
      <c r="CK371" s="1123"/>
      <c r="CL371" s="1123"/>
      <c r="CM371" s="1123"/>
      <c r="CN371" s="1123"/>
      <c r="CO371" s="1123"/>
      <c r="CP371" s="1123"/>
      <c r="CQ371" s="1123"/>
      <c r="CR371" s="1123"/>
      <c r="CS371" s="1123"/>
      <c r="CT371" s="1123"/>
      <c r="CU371" s="1123"/>
      <c r="CV371" s="1123"/>
      <c r="CW371" s="1123"/>
      <c r="CX371" s="1123"/>
      <c r="CY371" s="1123"/>
      <c r="CZ371" s="1114"/>
      <c r="DA371" s="1114"/>
      <c r="DB371" s="1114"/>
      <c r="DC371" s="1114"/>
      <c r="DD371" s="1114"/>
      <c r="DE371" s="1114"/>
      <c r="DF371" s="1114"/>
      <c r="DG371" s="1114"/>
      <c r="DH371" s="1114"/>
      <c r="DI371" s="1114"/>
      <c r="DJ371" s="1114"/>
      <c r="DK371" s="1114"/>
      <c r="DL371" s="1114"/>
      <c r="DM371" s="1114"/>
      <c r="DN371" s="1114"/>
      <c r="DO371" s="1114"/>
      <c r="DP371" s="1114"/>
      <c r="DQ371" s="1114"/>
      <c r="DR371" s="1114"/>
      <c r="DS371" s="1114"/>
      <c r="DT371" s="1114"/>
      <c r="DU371" s="1114"/>
      <c r="DV371" s="1115"/>
      <c r="DW371" s="1116"/>
      <c r="DX371" s="1116"/>
      <c r="DY371" s="1116"/>
      <c r="DZ371" s="1116"/>
      <c r="EA371" s="1116"/>
      <c r="EB371" s="1116"/>
      <c r="EC371" s="1116"/>
      <c r="ED371" s="1116"/>
      <c r="EE371" s="1116"/>
      <c r="EF371" s="1116"/>
      <c r="EG371" s="1116"/>
      <c r="EH371" s="1116"/>
      <c r="EI371" s="1116"/>
      <c r="EJ371" s="1116"/>
      <c r="EK371" s="1116"/>
      <c r="EL371" s="1116"/>
      <c r="EM371" s="1116"/>
      <c r="EN371" s="1116"/>
      <c r="EO371" s="1116"/>
      <c r="EP371" s="1116"/>
      <c r="EQ371" s="1116"/>
      <c r="ER371" s="1116"/>
      <c r="ES371" s="1116"/>
    </row>
    <row r="372" spans="1:149" ht="15" customHeight="1">
      <c r="A372" s="1185">
        <v>357</v>
      </c>
      <c r="B372" s="1041"/>
      <c r="C372" s="1050"/>
      <c r="D372" s="1050"/>
      <c r="E372" s="1050"/>
      <c r="F372" s="1049"/>
      <c r="G372" s="1457"/>
      <c r="H372" s="1049"/>
      <c r="I372" s="1049"/>
      <c r="J372" s="1050"/>
      <c r="K372" s="1050"/>
      <c r="L372" s="1043"/>
      <c r="M372" s="1051"/>
      <c r="N372" s="1051"/>
      <c r="O372" s="1052"/>
      <c r="P372" s="1051"/>
      <c r="Q372" s="1051"/>
      <c r="R372" s="1052"/>
      <c r="S372" s="1051"/>
      <c r="T372" s="1051"/>
      <c r="U372" s="1052"/>
      <c r="V372" s="1051"/>
      <c r="W372" s="1051"/>
      <c r="X372" s="1052"/>
      <c r="Y372" s="1053"/>
      <c r="Z372" s="1051"/>
      <c r="AA372" s="1051"/>
      <c r="AB372" s="1052"/>
      <c r="AC372" s="1051"/>
      <c r="AD372" s="1051"/>
      <c r="AE372" s="1052"/>
      <c r="AF372" s="1051"/>
      <c r="AG372" s="1051"/>
      <c r="AH372" s="1051"/>
      <c r="AI372" s="1051"/>
      <c r="AJ372" s="1052"/>
      <c r="AK372" s="1051"/>
      <c r="AL372" s="1051"/>
      <c r="AM372" s="1052"/>
      <c r="AN372" s="1051"/>
      <c r="AO372" s="1051"/>
      <c r="AP372" s="1052"/>
      <c r="AQ372" s="1051"/>
      <c r="AR372" s="1051"/>
      <c r="AS372" s="1052"/>
      <c r="AT372" s="1051"/>
      <c r="AU372" s="1051"/>
      <c r="AV372" s="1052"/>
      <c r="AW372" s="1051"/>
      <c r="AX372" s="1051"/>
      <c r="AY372" s="1053"/>
      <c r="AZ372" s="1051"/>
      <c r="BA372" s="1051"/>
      <c r="BB372" s="1053"/>
      <c r="BC372" s="1051"/>
      <c r="BD372" s="1051"/>
      <c r="BE372" s="1053"/>
      <c r="BF372" s="1051"/>
      <c r="BG372" s="1051"/>
      <c r="BH372" s="1053"/>
      <c r="BI372" s="1052"/>
      <c r="BJ372" s="1052"/>
      <c r="BK372" s="1052"/>
      <c r="BL372" s="1052"/>
      <c r="BM372" s="1052"/>
      <c r="BN372" s="1054"/>
      <c r="BO372" s="1076">
        <f t="shared" si="16"/>
        <v>0</v>
      </c>
      <c r="BP372" s="1051"/>
      <c r="BQ372" s="1052"/>
      <c r="BR372" s="1054"/>
      <c r="BS372" s="1053"/>
      <c r="BT372" s="1051"/>
      <c r="BU372" s="1051"/>
      <c r="BV372" s="1051"/>
      <c r="BW372" s="1052"/>
      <c r="BX372" s="1052"/>
      <c r="BY372" s="1052"/>
      <c r="BZ372" s="1052"/>
      <c r="CA372" s="1052"/>
      <c r="CB372" s="1053"/>
      <c r="CC372" s="1053"/>
      <c r="CD372" s="1053"/>
      <c r="CE372" s="1053"/>
      <c r="CF372" s="1053"/>
      <c r="CG372" s="1053"/>
      <c r="CH372" s="1053"/>
      <c r="CI372" s="1123"/>
      <c r="CJ372" s="1123"/>
      <c r="CK372" s="1123"/>
      <c r="CL372" s="1123"/>
      <c r="CM372" s="1123"/>
      <c r="CN372" s="1123"/>
      <c r="CO372" s="1123"/>
      <c r="CP372" s="1123"/>
      <c r="CQ372" s="1123"/>
      <c r="CR372" s="1123"/>
      <c r="CS372" s="1123"/>
      <c r="CT372" s="1123"/>
      <c r="CU372" s="1123"/>
      <c r="CV372" s="1123"/>
      <c r="CW372" s="1123"/>
      <c r="CX372" s="1123"/>
      <c r="CY372" s="1123"/>
      <c r="CZ372" s="1114"/>
      <c r="DA372" s="1114"/>
      <c r="DB372" s="1114"/>
      <c r="DC372" s="1114"/>
      <c r="DD372" s="1114"/>
      <c r="DE372" s="1114"/>
      <c r="DF372" s="1114"/>
      <c r="DG372" s="1114"/>
      <c r="DH372" s="1114"/>
      <c r="DI372" s="1114"/>
      <c r="DJ372" s="1114"/>
      <c r="DK372" s="1114"/>
      <c r="DL372" s="1114"/>
      <c r="DM372" s="1114"/>
      <c r="DN372" s="1114"/>
      <c r="DO372" s="1114"/>
      <c r="DP372" s="1114"/>
      <c r="DQ372" s="1114"/>
      <c r="DR372" s="1114"/>
      <c r="DS372" s="1114"/>
      <c r="DT372" s="1114"/>
      <c r="DU372" s="1114"/>
      <c r="DV372" s="1115"/>
      <c r="DW372" s="1116"/>
      <c r="DX372" s="1116"/>
      <c r="DY372" s="1116"/>
      <c r="DZ372" s="1116"/>
      <c r="EA372" s="1116"/>
      <c r="EB372" s="1116"/>
      <c r="EC372" s="1116"/>
      <c r="ED372" s="1116"/>
      <c r="EE372" s="1116"/>
      <c r="EF372" s="1116"/>
      <c r="EG372" s="1116"/>
      <c r="EH372" s="1116"/>
      <c r="EI372" s="1116"/>
      <c r="EJ372" s="1116"/>
      <c r="EK372" s="1116"/>
      <c r="EL372" s="1116"/>
      <c r="EM372" s="1116"/>
      <c r="EN372" s="1116"/>
      <c r="EO372" s="1116"/>
      <c r="EP372" s="1116"/>
      <c r="EQ372" s="1116"/>
      <c r="ER372" s="1116"/>
      <c r="ES372" s="1116"/>
    </row>
    <row r="373" spans="1:149" ht="15" customHeight="1">
      <c r="A373" s="1185">
        <v>358</v>
      </c>
      <c r="B373" s="1041"/>
      <c r="C373" s="1050"/>
      <c r="D373" s="1050"/>
      <c r="E373" s="1050"/>
      <c r="F373" s="1049"/>
      <c r="G373" s="1457"/>
      <c r="H373" s="1049"/>
      <c r="I373" s="1049"/>
      <c r="J373" s="1050"/>
      <c r="K373" s="1050"/>
      <c r="L373" s="1043"/>
      <c r="M373" s="1051"/>
      <c r="N373" s="1051"/>
      <c r="O373" s="1052"/>
      <c r="P373" s="1051"/>
      <c r="Q373" s="1051"/>
      <c r="R373" s="1052"/>
      <c r="S373" s="1051"/>
      <c r="T373" s="1051"/>
      <c r="U373" s="1052"/>
      <c r="V373" s="1051"/>
      <c r="W373" s="1051"/>
      <c r="X373" s="1052"/>
      <c r="Y373" s="1053"/>
      <c r="Z373" s="1051"/>
      <c r="AA373" s="1051"/>
      <c r="AB373" s="1052"/>
      <c r="AC373" s="1051"/>
      <c r="AD373" s="1051"/>
      <c r="AE373" s="1052"/>
      <c r="AF373" s="1051"/>
      <c r="AG373" s="1051"/>
      <c r="AH373" s="1051"/>
      <c r="AI373" s="1051"/>
      <c r="AJ373" s="1052"/>
      <c r="AK373" s="1051"/>
      <c r="AL373" s="1051"/>
      <c r="AM373" s="1052"/>
      <c r="AN373" s="1051"/>
      <c r="AO373" s="1051"/>
      <c r="AP373" s="1052"/>
      <c r="AQ373" s="1051"/>
      <c r="AR373" s="1051"/>
      <c r="AS373" s="1052"/>
      <c r="AT373" s="1051"/>
      <c r="AU373" s="1051"/>
      <c r="AV373" s="1052"/>
      <c r="AW373" s="1051"/>
      <c r="AX373" s="1051"/>
      <c r="AY373" s="1053"/>
      <c r="AZ373" s="1051"/>
      <c r="BA373" s="1051"/>
      <c r="BB373" s="1053"/>
      <c r="BC373" s="1051"/>
      <c r="BD373" s="1051"/>
      <c r="BE373" s="1053"/>
      <c r="BF373" s="1051"/>
      <c r="BG373" s="1051"/>
      <c r="BH373" s="1053"/>
      <c r="BI373" s="1052"/>
      <c r="BJ373" s="1052"/>
      <c r="BK373" s="1052"/>
      <c r="BL373" s="1052"/>
      <c r="BM373" s="1052"/>
      <c r="BN373" s="1054"/>
      <c r="BO373" s="1076">
        <f t="shared" si="16"/>
        <v>0</v>
      </c>
      <c r="BP373" s="1051"/>
      <c r="BQ373" s="1052"/>
      <c r="BR373" s="1054"/>
      <c r="BS373" s="1053"/>
      <c r="BT373" s="1051"/>
      <c r="BU373" s="1051"/>
      <c r="BV373" s="1051"/>
      <c r="BW373" s="1052"/>
      <c r="BX373" s="1052"/>
      <c r="BY373" s="1052"/>
      <c r="BZ373" s="1052"/>
      <c r="CA373" s="1052"/>
      <c r="CB373" s="1053"/>
      <c r="CC373" s="1053"/>
      <c r="CD373" s="1053"/>
      <c r="CE373" s="1053"/>
      <c r="CF373" s="1053"/>
      <c r="CG373" s="1053"/>
      <c r="CH373" s="1053"/>
      <c r="CI373" s="1123"/>
      <c r="CJ373" s="1123"/>
      <c r="CK373" s="1123"/>
      <c r="CL373" s="1123"/>
      <c r="CM373" s="1123"/>
      <c r="CN373" s="1123"/>
      <c r="CO373" s="1123"/>
      <c r="CP373" s="1123"/>
      <c r="CQ373" s="1123"/>
      <c r="CR373" s="1123"/>
      <c r="CS373" s="1123"/>
      <c r="CT373" s="1123"/>
      <c r="CU373" s="1123"/>
      <c r="CV373" s="1123"/>
      <c r="CW373" s="1123"/>
      <c r="CX373" s="1123"/>
      <c r="CY373" s="1123"/>
      <c r="CZ373" s="1114"/>
      <c r="DA373" s="1114"/>
      <c r="DB373" s="1114"/>
      <c r="DC373" s="1114"/>
      <c r="DD373" s="1114"/>
      <c r="DE373" s="1114"/>
      <c r="DF373" s="1114"/>
      <c r="DG373" s="1114"/>
      <c r="DH373" s="1114"/>
      <c r="DI373" s="1114"/>
      <c r="DJ373" s="1114"/>
      <c r="DK373" s="1114"/>
      <c r="DL373" s="1114"/>
      <c r="DM373" s="1114"/>
      <c r="DN373" s="1114"/>
      <c r="DO373" s="1114"/>
      <c r="DP373" s="1114"/>
      <c r="DQ373" s="1114"/>
      <c r="DR373" s="1114"/>
      <c r="DS373" s="1114"/>
      <c r="DT373" s="1114"/>
      <c r="DU373" s="1114"/>
      <c r="DV373" s="1115"/>
      <c r="DW373" s="1116"/>
      <c r="DX373" s="1116"/>
      <c r="DY373" s="1116"/>
      <c r="DZ373" s="1116"/>
      <c r="EA373" s="1116"/>
      <c r="EB373" s="1116"/>
      <c r="EC373" s="1116"/>
      <c r="ED373" s="1116"/>
      <c r="EE373" s="1116"/>
      <c r="EF373" s="1116"/>
      <c r="EG373" s="1116"/>
      <c r="EH373" s="1116"/>
      <c r="EI373" s="1116"/>
      <c r="EJ373" s="1116"/>
      <c r="EK373" s="1116"/>
      <c r="EL373" s="1116"/>
      <c r="EM373" s="1116"/>
      <c r="EN373" s="1116"/>
      <c r="EO373" s="1116"/>
      <c r="EP373" s="1116"/>
      <c r="EQ373" s="1116"/>
      <c r="ER373" s="1116"/>
      <c r="ES373" s="1116"/>
    </row>
    <row r="374" spans="1:149" ht="15" customHeight="1">
      <c r="A374" s="1185">
        <v>359</v>
      </c>
      <c r="B374" s="1041"/>
      <c r="C374" s="1050"/>
      <c r="D374" s="1050"/>
      <c r="E374" s="1050"/>
      <c r="F374" s="1049"/>
      <c r="G374" s="1457"/>
      <c r="H374" s="1049"/>
      <c r="I374" s="1049"/>
      <c r="J374" s="1050"/>
      <c r="K374" s="1050"/>
      <c r="L374" s="1043"/>
      <c r="M374" s="1051"/>
      <c r="N374" s="1051"/>
      <c r="O374" s="1052"/>
      <c r="P374" s="1051"/>
      <c r="Q374" s="1051"/>
      <c r="R374" s="1052"/>
      <c r="S374" s="1051"/>
      <c r="T374" s="1051"/>
      <c r="U374" s="1052"/>
      <c r="V374" s="1051"/>
      <c r="W374" s="1051"/>
      <c r="X374" s="1052"/>
      <c r="Y374" s="1053"/>
      <c r="Z374" s="1051"/>
      <c r="AA374" s="1051"/>
      <c r="AB374" s="1052"/>
      <c r="AC374" s="1051"/>
      <c r="AD374" s="1051"/>
      <c r="AE374" s="1052"/>
      <c r="AF374" s="1051"/>
      <c r="AG374" s="1051"/>
      <c r="AH374" s="1051"/>
      <c r="AI374" s="1051"/>
      <c r="AJ374" s="1052"/>
      <c r="AK374" s="1051"/>
      <c r="AL374" s="1051"/>
      <c r="AM374" s="1052"/>
      <c r="AN374" s="1051"/>
      <c r="AO374" s="1051"/>
      <c r="AP374" s="1052"/>
      <c r="AQ374" s="1051"/>
      <c r="AR374" s="1051"/>
      <c r="AS374" s="1052"/>
      <c r="AT374" s="1051"/>
      <c r="AU374" s="1051"/>
      <c r="AV374" s="1052"/>
      <c r="AW374" s="1051"/>
      <c r="AX374" s="1051"/>
      <c r="AY374" s="1053"/>
      <c r="AZ374" s="1051"/>
      <c r="BA374" s="1051"/>
      <c r="BB374" s="1053"/>
      <c r="BC374" s="1051"/>
      <c r="BD374" s="1051"/>
      <c r="BE374" s="1053"/>
      <c r="BF374" s="1051"/>
      <c r="BG374" s="1051"/>
      <c r="BH374" s="1053"/>
      <c r="BI374" s="1052"/>
      <c r="BJ374" s="1052"/>
      <c r="BK374" s="1052"/>
      <c r="BL374" s="1052"/>
      <c r="BM374" s="1052"/>
      <c r="BN374" s="1054"/>
      <c r="BO374" s="1076">
        <f t="shared" si="16"/>
        <v>0</v>
      </c>
      <c r="BP374" s="1051"/>
      <c r="BQ374" s="1052"/>
      <c r="BR374" s="1054"/>
      <c r="BS374" s="1053"/>
      <c r="BT374" s="1051"/>
      <c r="BU374" s="1051"/>
      <c r="BV374" s="1051"/>
      <c r="BW374" s="1052"/>
      <c r="BX374" s="1052"/>
      <c r="BY374" s="1052"/>
      <c r="BZ374" s="1052"/>
      <c r="CA374" s="1052"/>
      <c r="CB374" s="1053"/>
      <c r="CC374" s="1053"/>
      <c r="CD374" s="1053"/>
      <c r="CE374" s="1053"/>
      <c r="CF374" s="1053"/>
      <c r="CG374" s="1053"/>
      <c r="CH374" s="1053"/>
      <c r="CI374" s="1123"/>
      <c r="CJ374" s="1123"/>
      <c r="CK374" s="1123"/>
      <c r="CL374" s="1123"/>
      <c r="CM374" s="1123"/>
      <c r="CN374" s="1123"/>
      <c r="CO374" s="1123"/>
      <c r="CP374" s="1123"/>
      <c r="CQ374" s="1123"/>
      <c r="CR374" s="1123"/>
      <c r="CS374" s="1123"/>
      <c r="CT374" s="1123"/>
      <c r="CU374" s="1123"/>
      <c r="CV374" s="1123"/>
      <c r="CW374" s="1123"/>
      <c r="CX374" s="1123"/>
      <c r="CY374" s="1123"/>
      <c r="CZ374" s="1114"/>
      <c r="DA374" s="1114"/>
      <c r="DB374" s="1114"/>
      <c r="DC374" s="1114"/>
      <c r="DD374" s="1114"/>
      <c r="DE374" s="1114"/>
      <c r="DF374" s="1114"/>
      <c r="DG374" s="1114"/>
      <c r="DH374" s="1114"/>
      <c r="DI374" s="1114"/>
      <c r="DJ374" s="1114"/>
      <c r="DK374" s="1114"/>
      <c r="DL374" s="1114"/>
      <c r="DM374" s="1114"/>
      <c r="DN374" s="1114"/>
      <c r="DO374" s="1114"/>
      <c r="DP374" s="1114"/>
      <c r="DQ374" s="1114"/>
      <c r="DR374" s="1114"/>
      <c r="DS374" s="1114"/>
      <c r="DT374" s="1114"/>
      <c r="DU374" s="1114"/>
      <c r="DV374" s="1115"/>
      <c r="DW374" s="1116"/>
      <c r="DX374" s="1116"/>
      <c r="DY374" s="1116"/>
      <c r="DZ374" s="1116"/>
      <c r="EA374" s="1116"/>
      <c r="EB374" s="1116"/>
      <c r="EC374" s="1116"/>
      <c r="ED374" s="1116"/>
      <c r="EE374" s="1116"/>
      <c r="EF374" s="1116"/>
      <c r="EG374" s="1116"/>
      <c r="EH374" s="1116"/>
      <c r="EI374" s="1116"/>
      <c r="EJ374" s="1116"/>
      <c r="EK374" s="1116"/>
      <c r="EL374" s="1116"/>
      <c r="EM374" s="1116"/>
      <c r="EN374" s="1116"/>
      <c r="EO374" s="1116"/>
      <c r="EP374" s="1116"/>
      <c r="EQ374" s="1116"/>
      <c r="ER374" s="1116"/>
      <c r="ES374" s="1116"/>
    </row>
    <row r="375" spans="1:149" ht="15" customHeight="1">
      <c r="A375" s="1185">
        <v>360</v>
      </c>
      <c r="B375" s="1041"/>
      <c r="C375" s="1050"/>
      <c r="D375" s="1050"/>
      <c r="E375" s="1050"/>
      <c r="F375" s="1049"/>
      <c r="G375" s="1457"/>
      <c r="H375" s="1049"/>
      <c r="I375" s="1049"/>
      <c r="J375" s="1050"/>
      <c r="K375" s="1050"/>
      <c r="L375" s="1043"/>
      <c r="M375" s="1051"/>
      <c r="N375" s="1051"/>
      <c r="O375" s="1052"/>
      <c r="P375" s="1051"/>
      <c r="Q375" s="1051"/>
      <c r="R375" s="1052"/>
      <c r="S375" s="1051"/>
      <c r="T375" s="1051"/>
      <c r="U375" s="1052"/>
      <c r="V375" s="1051"/>
      <c r="W375" s="1051"/>
      <c r="X375" s="1052"/>
      <c r="Y375" s="1053"/>
      <c r="Z375" s="1051"/>
      <c r="AA375" s="1051"/>
      <c r="AB375" s="1052"/>
      <c r="AC375" s="1051"/>
      <c r="AD375" s="1051"/>
      <c r="AE375" s="1052"/>
      <c r="AF375" s="1051"/>
      <c r="AG375" s="1051"/>
      <c r="AH375" s="1051"/>
      <c r="AI375" s="1051"/>
      <c r="AJ375" s="1052"/>
      <c r="AK375" s="1051"/>
      <c r="AL375" s="1051"/>
      <c r="AM375" s="1052"/>
      <c r="AN375" s="1051"/>
      <c r="AO375" s="1051"/>
      <c r="AP375" s="1052"/>
      <c r="AQ375" s="1051"/>
      <c r="AR375" s="1051"/>
      <c r="AS375" s="1052"/>
      <c r="AT375" s="1051"/>
      <c r="AU375" s="1051"/>
      <c r="AV375" s="1052"/>
      <c r="AW375" s="1051"/>
      <c r="AX375" s="1051"/>
      <c r="AY375" s="1053"/>
      <c r="AZ375" s="1051"/>
      <c r="BA375" s="1051"/>
      <c r="BB375" s="1053"/>
      <c r="BC375" s="1051"/>
      <c r="BD375" s="1051"/>
      <c r="BE375" s="1053"/>
      <c r="BF375" s="1051"/>
      <c r="BG375" s="1051"/>
      <c r="BH375" s="1053"/>
      <c r="BI375" s="1052"/>
      <c r="BJ375" s="1052"/>
      <c r="BK375" s="1052"/>
      <c r="BL375" s="1052"/>
      <c r="BM375" s="1052"/>
      <c r="BN375" s="1054"/>
      <c r="BO375" s="1076">
        <f t="shared" si="16"/>
        <v>0</v>
      </c>
      <c r="BP375" s="1051"/>
      <c r="BQ375" s="1052"/>
      <c r="BR375" s="1054"/>
      <c r="BS375" s="1053"/>
      <c r="BT375" s="1051"/>
      <c r="BU375" s="1051"/>
      <c r="BV375" s="1051"/>
      <c r="BW375" s="1052"/>
      <c r="BX375" s="1052"/>
      <c r="BY375" s="1052"/>
      <c r="BZ375" s="1052"/>
      <c r="CA375" s="1052"/>
      <c r="CB375" s="1053"/>
      <c r="CC375" s="1053"/>
      <c r="CD375" s="1053"/>
      <c r="CE375" s="1053"/>
      <c r="CF375" s="1053"/>
      <c r="CG375" s="1053"/>
      <c r="CH375" s="1053"/>
      <c r="CI375" s="1123"/>
      <c r="CJ375" s="1123"/>
      <c r="CK375" s="1123"/>
      <c r="CL375" s="1123"/>
      <c r="CM375" s="1123"/>
      <c r="CN375" s="1123"/>
      <c r="CO375" s="1123"/>
      <c r="CP375" s="1123"/>
      <c r="CQ375" s="1123"/>
      <c r="CR375" s="1123"/>
      <c r="CS375" s="1123"/>
      <c r="CT375" s="1123"/>
      <c r="CU375" s="1123"/>
      <c r="CV375" s="1123"/>
      <c r="CW375" s="1123"/>
      <c r="CX375" s="1123"/>
      <c r="CY375" s="1123"/>
      <c r="CZ375" s="1114"/>
      <c r="DA375" s="1114"/>
      <c r="DB375" s="1114"/>
      <c r="DC375" s="1114"/>
      <c r="DD375" s="1114"/>
      <c r="DE375" s="1114"/>
      <c r="DF375" s="1114"/>
      <c r="DG375" s="1114"/>
      <c r="DH375" s="1114"/>
      <c r="DI375" s="1114"/>
      <c r="DJ375" s="1114"/>
      <c r="DK375" s="1114"/>
      <c r="DL375" s="1114"/>
      <c r="DM375" s="1114"/>
      <c r="DN375" s="1114"/>
      <c r="DO375" s="1114"/>
      <c r="DP375" s="1114"/>
      <c r="DQ375" s="1114"/>
      <c r="DR375" s="1114"/>
      <c r="DS375" s="1114"/>
      <c r="DT375" s="1114"/>
      <c r="DU375" s="1114"/>
      <c r="DV375" s="1115"/>
      <c r="DW375" s="1116"/>
      <c r="DX375" s="1116"/>
      <c r="DY375" s="1116"/>
      <c r="DZ375" s="1116"/>
      <c r="EA375" s="1116"/>
      <c r="EB375" s="1116"/>
      <c r="EC375" s="1116"/>
      <c r="ED375" s="1116"/>
      <c r="EE375" s="1116"/>
      <c r="EF375" s="1116"/>
      <c r="EG375" s="1116"/>
      <c r="EH375" s="1116"/>
      <c r="EI375" s="1116"/>
      <c r="EJ375" s="1116"/>
      <c r="EK375" s="1116"/>
      <c r="EL375" s="1116"/>
      <c r="EM375" s="1116"/>
      <c r="EN375" s="1116"/>
      <c r="EO375" s="1116"/>
      <c r="EP375" s="1116"/>
      <c r="EQ375" s="1116"/>
      <c r="ER375" s="1116"/>
      <c r="ES375" s="1116"/>
    </row>
    <row r="376" spans="1:149" ht="15" customHeight="1">
      <c r="A376" s="1185">
        <v>361</v>
      </c>
      <c r="B376" s="1041"/>
      <c r="C376" s="1050"/>
      <c r="D376" s="1050"/>
      <c r="E376" s="1050"/>
      <c r="F376" s="1049"/>
      <c r="G376" s="1457"/>
      <c r="H376" s="1049"/>
      <c r="I376" s="1049"/>
      <c r="J376" s="1050"/>
      <c r="K376" s="1050"/>
      <c r="L376" s="1043"/>
      <c r="M376" s="1051"/>
      <c r="N376" s="1051"/>
      <c r="O376" s="1052"/>
      <c r="P376" s="1051"/>
      <c r="Q376" s="1051"/>
      <c r="R376" s="1052"/>
      <c r="S376" s="1051"/>
      <c r="T376" s="1051"/>
      <c r="U376" s="1052"/>
      <c r="V376" s="1051"/>
      <c r="W376" s="1051"/>
      <c r="X376" s="1052"/>
      <c r="Y376" s="1053"/>
      <c r="Z376" s="1051"/>
      <c r="AA376" s="1051"/>
      <c r="AB376" s="1052"/>
      <c r="AC376" s="1051"/>
      <c r="AD376" s="1051"/>
      <c r="AE376" s="1052"/>
      <c r="AF376" s="1051"/>
      <c r="AG376" s="1051"/>
      <c r="AH376" s="1051"/>
      <c r="AI376" s="1051"/>
      <c r="AJ376" s="1052"/>
      <c r="AK376" s="1051"/>
      <c r="AL376" s="1051"/>
      <c r="AM376" s="1052"/>
      <c r="AN376" s="1051"/>
      <c r="AO376" s="1051"/>
      <c r="AP376" s="1052"/>
      <c r="AQ376" s="1051"/>
      <c r="AR376" s="1051"/>
      <c r="AS376" s="1052"/>
      <c r="AT376" s="1051"/>
      <c r="AU376" s="1051"/>
      <c r="AV376" s="1052"/>
      <c r="AW376" s="1051"/>
      <c r="AX376" s="1051"/>
      <c r="AY376" s="1053"/>
      <c r="AZ376" s="1051"/>
      <c r="BA376" s="1051"/>
      <c r="BB376" s="1053"/>
      <c r="BC376" s="1051"/>
      <c r="BD376" s="1051"/>
      <c r="BE376" s="1053"/>
      <c r="BF376" s="1051"/>
      <c r="BG376" s="1051"/>
      <c r="BH376" s="1053"/>
      <c r="BI376" s="1052"/>
      <c r="BJ376" s="1052"/>
      <c r="BK376" s="1052"/>
      <c r="BL376" s="1052"/>
      <c r="BM376" s="1052"/>
      <c r="BN376" s="1054"/>
      <c r="BO376" s="1076">
        <f t="shared" si="16"/>
        <v>0</v>
      </c>
      <c r="BP376" s="1051"/>
      <c r="BQ376" s="1052"/>
      <c r="BR376" s="1054"/>
      <c r="BS376" s="1053"/>
      <c r="BT376" s="1051"/>
      <c r="BU376" s="1051"/>
      <c r="BV376" s="1051"/>
      <c r="BW376" s="1052"/>
      <c r="BX376" s="1052"/>
      <c r="BY376" s="1052"/>
      <c r="BZ376" s="1052"/>
      <c r="CA376" s="1052"/>
      <c r="CB376" s="1053"/>
      <c r="CC376" s="1053"/>
      <c r="CD376" s="1053"/>
      <c r="CE376" s="1053"/>
      <c r="CF376" s="1053"/>
      <c r="CG376" s="1053"/>
      <c r="CH376" s="1053"/>
      <c r="CI376" s="1123"/>
      <c r="CJ376" s="1123"/>
      <c r="CK376" s="1123"/>
      <c r="CL376" s="1123"/>
      <c r="CM376" s="1123"/>
      <c r="CN376" s="1123"/>
      <c r="CO376" s="1123"/>
      <c r="CP376" s="1123"/>
      <c r="CQ376" s="1123"/>
      <c r="CR376" s="1123"/>
      <c r="CS376" s="1123"/>
      <c r="CT376" s="1123"/>
      <c r="CU376" s="1123"/>
      <c r="CV376" s="1123"/>
      <c r="CW376" s="1123"/>
      <c r="CX376" s="1123"/>
      <c r="CY376" s="1123"/>
      <c r="CZ376" s="1114"/>
      <c r="DA376" s="1114"/>
      <c r="DB376" s="1114"/>
      <c r="DC376" s="1114"/>
      <c r="DD376" s="1114"/>
      <c r="DE376" s="1114"/>
      <c r="DF376" s="1114"/>
      <c r="DG376" s="1114"/>
      <c r="DH376" s="1114"/>
      <c r="DI376" s="1114"/>
      <c r="DJ376" s="1114"/>
      <c r="DK376" s="1114"/>
      <c r="DL376" s="1114"/>
      <c r="DM376" s="1114"/>
      <c r="DN376" s="1114"/>
      <c r="DO376" s="1114"/>
      <c r="DP376" s="1114"/>
      <c r="DQ376" s="1114"/>
      <c r="DR376" s="1114"/>
      <c r="DS376" s="1114"/>
      <c r="DT376" s="1114"/>
      <c r="DU376" s="1114"/>
      <c r="DV376" s="1115"/>
      <c r="DW376" s="1116"/>
      <c r="DX376" s="1116"/>
      <c r="DY376" s="1116"/>
      <c r="DZ376" s="1116"/>
      <c r="EA376" s="1116"/>
      <c r="EB376" s="1116"/>
      <c r="EC376" s="1116"/>
      <c r="ED376" s="1116"/>
      <c r="EE376" s="1116"/>
      <c r="EF376" s="1116"/>
      <c r="EG376" s="1116"/>
      <c r="EH376" s="1116"/>
      <c r="EI376" s="1116"/>
      <c r="EJ376" s="1116"/>
      <c r="EK376" s="1116"/>
      <c r="EL376" s="1116"/>
      <c r="EM376" s="1116"/>
      <c r="EN376" s="1116"/>
      <c r="EO376" s="1116"/>
      <c r="EP376" s="1116"/>
      <c r="EQ376" s="1116"/>
      <c r="ER376" s="1116"/>
      <c r="ES376" s="1116"/>
    </row>
    <row r="377" spans="1:149" ht="15" customHeight="1">
      <c r="A377" s="1185">
        <v>362</v>
      </c>
      <c r="B377" s="1041"/>
      <c r="C377" s="1050"/>
      <c r="D377" s="1050"/>
      <c r="E377" s="1050"/>
      <c r="F377" s="1049"/>
      <c r="G377" s="1457"/>
      <c r="H377" s="1049"/>
      <c r="I377" s="1049"/>
      <c r="J377" s="1050"/>
      <c r="K377" s="1050"/>
      <c r="L377" s="1043"/>
      <c r="M377" s="1051"/>
      <c r="N377" s="1051"/>
      <c r="O377" s="1052"/>
      <c r="P377" s="1051"/>
      <c r="Q377" s="1051"/>
      <c r="R377" s="1052"/>
      <c r="S377" s="1051"/>
      <c r="T377" s="1051"/>
      <c r="U377" s="1052"/>
      <c r="V377" s="1051"/>
      <c r="W377" s="1051"/>
      <c r="X377" s="1052"/>
      <c r="Y377" s="1053"/>
      <c r="Z377" s="1051"/>
      <c r="AA377" s="1051"/>
      <c r="AB377" s="1052"/>
      <c r="AC377" s="1051"/>
      <c r="AD377" s="1051"/>
      <c r="AE377" s="1052"/>
      <c r="AF377" s="1051"/>
      <c r="AG377" s="1051"/>
      <c r="AH377" s="1051"/>
      <c r="AI377" s="1051"/>
      <c r="AJ377" s="1052"/>
      <c r="AK377" s="1051"/>
      <c r="AL377" s="1051"/>
      <c r="AM377" s="1052"/>
      <c r="AN377" s="1051"/>
      <c r="AO377" s="1051"/>
      <c r="AP377" s="1052"/>
      <c r="AQ377" s="1051"/>
      <c r="AR377" s="1051"/>
      <c r="AS377" s="1052"/>
      <c r="AT377" s="1051"/>
      <c r="AU377" s="1051"/>
      <c r="AV377" s="1052"/>
      <c r="AW377" s="1051"/>
      <c r="AX377" s="1051"/>
      <c r="AY377" s="1053"/>
      <c r="AZ377" s="1051"/>
      <c r="BA377" s="1051"/>
      <c r="BB377" s="1053"/>
      <c r="BC377" s="1051"/>
      <c r="BD377" s="1051"/>
      <c r="BE377" s="1053"/>
      <c r="BF377" s="1051"/>
      <c r="BG377" s="1051"/>
      <c r="BH377" s="1053"/>
      <c r="BI377" s="1052"/>
      <c r="BJ377" s="1052"/>
      <c r="BK377" s="1052"/>
      <c r="BL377" s="1052"/>
      <c r="BM377" s="1052"/>
      <c r="BN377" s="1054"/>
      <c r="BO377" s="1076">
        <f t="shared" si="16"/>
        <v>0</v>
      </c>
      <c r="BP377" s="1051"/>
      <c r="BQ377" s="1052"/>
      <c r="BR377" s="1054"/>
      <c r="BS377" s="1053"/>
      <c r="BT377" s="1051"/>
      <c r="BU377" s="1051"/>
      <c r="BV377" s="1051"/>
      <c r="BW377" s="1052"/>
      <c r="BX377" s="1052"/>
      <c r="BY377" s="1052"/>
      <c r="BZ377" s="1052"/>
      <c r="CA377" s="1052"/>
      <c r="CB377" s="1053"/>
      <c r="CC377" s="1053"/>
      <c r="CD377" s="1053"/>
      <c r="CE377" s="1053"/>
      <c r="CF377" s="1053"/>
      <c r="CG377" s="1053"/>
      <c r="CH377" s="1053"/>
      <c r="CI377" s="1123"/>
      <c r="CJ377" s="1123"/>
      <c r="CK377" s="1123"/>
      <c r="CL377" s="1123"/>
      <c r="CM377" s="1123"/>
      <c r="CN377" s="1123"/>
      <c r="CO377" s="1123"/>
      <c r="CP377" s="1123"/>
      <c r="CQ377" s="1123"/>
      <c r="CR377" s="1123"/>
      <c r="CS377" s="1123"/>
      <c r="CT377" s="1123"/>
      <c r="CU377" s="1123"/>
      <c r="CV377" s="1123"/>
      <c r="CW377" s="1123"/>
      <c r="CX377" s="1123"/>
      <c r="CY377" s="1123"/>
      <c r="CZ377" s="1114"/>
      <c r="DA377" s="1114"/>
      <c r="DB377" s="1114"/>
      <c r="DC377" s="1114"/>
      <c r="DD377" s="1114"/>
      <c r="DE377" s="1114"/>
      <c r="DF377" s="1114"/>
      <c r="DG377" s="1114"/>
      <c r="DH377" s="1114"/>
      <c r="DI377" s="1114"/>
      <c r="DJ377" s="1114"/>
      <c r="DK377" s="1114"/>
      <c r="DL377" s="1114"/>
      <c r="DM377" s="1114"/>
      <c r="DN377" s="1114"/>
      <c r="DO377" s="1114"/>
      <c r="DP377" s="1114"/>
      <c r="DQ377" s="1114"/>
      <c r="DR377" s="1114"/>
      <c r="DS377" s="1114"/>
      <c r="DT377" s="1114"/>
      <c r="DU377" s="1114"/>
      <c r="DV377" s="1115"/>
      <c r="DW377" s="1116"/>
      <c r="DX377" s="1116"/>
      <c r="DY377" s="1116"/>
      <c r="DZ377" s="1116"/>
      <c r="EA377" s="1116"/>
      <c r="EB377" s="1116"/>
      <c r="EC377" s="1116"/>
      <c r="ED377" s="1116"/>
      <c r="EE377" s="1116"/>
      <c r="EF377" s="1116"/>
      <c r="EG377" s="1116"/>
      <c r="EH377" s="1116"/>
      <c r="EI377" s="1116"/>
      <c r="EJ377" s="1116"/>
      <c r="EK377" s="1116"/>
      <c r="EL377" s="1116"/>
      <c r="EM377" s="1116"/>
      <c r="EN377" s="1116"/>
      <c r="EO377" s="1116"/>
      <c r="EP377" s="1116"/>
      <c r="EQ377" s="1116"/>
      <c r="ER377" s="1116"/>
      <c r="ES377" s="1116"/>
    </row>
    <row r="378" spans="1:149" ht="15" customHeight="1">
      <c r="A378" s="1185">
        <v>363</v>
      </c>
      <c r="B378" s="1041"/>
      <c r="C378" s="1050"/>
      <c r="D378" s="1050"/>
      <c r="E378" s="1050"/>
      <c r="F378" s="1049"/>
      <c r="G378" s="1457"/>
      <c r="H378" s="1049"/>
      <c r="I378" s="1049"/>
      <c r="J378" s="1050"/>
      <c r="K378" s="1050"/>
      <c r="L378" s="1043"/>
      <c r="M378" s="1051"/>
      <c r="N378" s="1051"/>
      <c r="O378" s="1052"/>
      <c r="P378" s="1051"/>
      <c r="Q378" s="1051"/>
      <c r="R378" s="1052"/>
      <c r="S378" s="1051"/>
      <c r="T378" s="1051"/>
      <c r="U378" s="1052"/>
      <c r="V378" s="1051"/>
      <c r="W378" s="1051"/>
      <c r="X378" s="1052"/>
      <c r="Y378" s="1053"/>
      <c r="Z378" s="1051"/>
      <c r="AA378" s="1051"/>
      <c r="AB378" s="1052"/>
      <c r="AC378" s="1051"/>
      <c r="AD378" s="1051"/>
      <c r="AE378" s="1052"/>
      <c r="AF378" s="1051"/>
      <c r="AG378" s="1051"/>
      <c r="AH378" s="1051"/>
      <c r="AI378" s="1051"/>
      <c r="AJ378" s="1052"/>
      <c r="AK378" s="1051"/>
      <c r="AL378" s="1051"/>
      <c r="AM378" s="1052"/>
      <c r="AN378" s="1051"/>
      <c r="AO378" s="1051"/>
      <c r="AP378" s="1052"/>
      <c r="AQ378" s="1051"/>
      <c r="AR378" s="1051"/>
      <c r="AS378" s="1052"/>
      <c r="AT378" s="1051"/>
      <c r="AU378" s="1051"/>
      <c r="AV378" s="1052"/>
      <c r="AW378" s="1051"/>
      <c r="AX378" s="1051"/>
      <c r="AY378" s="1053"/>
      <c r="AZ378" s="1051"/>
      <c r="BA378" s="1051"/>
      <c r="BB378" s="1053"/>
      <c r="BC378" s="1051"/>
      <c r="BD378" s="1051"/>
      <c r="BE378" s="1053"/>
      <c r="BF378" s="1051"/>
      <c r="BG378" s="1051"/>
      <c r="BH378" s="1053"/>
      <c r="BI378" s="1052"/>
      <c r="BJ378" s="1052"/>
      <c r="BK378" s="1052"/>
      <c r="BL378" s="1052"/>
      <c r="BM378" s="1052"/>
      <c r="BN378" s="1054"/>
      <c r="BO378" s="1076">
        <f t="shared" si="16"/>
        <v>0</v>
      </c>
      <c r="BP378" s="1051"/>
      <c r="BQ378" s="1052"/>
      <c r="BR378" s="1054"/>
      <c r="BS378" s="1053"/>
      <c r="BT378" s="1051"/>
      <c r="BU378" s="1051"/>
      <c r="BV378" s="1051"/>
      <c r="BW378" s="1052"/>
      <c r="BX378" s="1052"/>
      <c r="BY378" s="1052"/>
      <c r="BZ378" s="1052"/>
      <c r="CA378" s="1052"/>
      <c r="CB378" s="1053"/>
      <c r="CC378" s="1053"/>
      <c r="CD378" s="1053"/>
      <c r="CE378" s="1053"/>
      <c r="CF378" s="1053"/>
      <c r="CG378" s="1053"/>
      <c r="CH378" s="1053"/>
      <c r="CI378" s="1123"/>
      <c r="CJ378" s="1123"/>
      <c r="CK378" s="1123"/>
      <c r="CL378" s="1123"/>
      <c r="CM378" s="1123"/>
      <c r="CN378" s="1123"/>
      <c r="CO378" s="1123"/>
      <c r="CP378" s="1123"/>
      <c r="CQ378" s="1123"/>
      <c r="CR378" s="1123"/>
      <c r="CS378" s="1123"/>
      <c r="CT378" s="1123"/>
      <c r="CU378" s="1123"/>
      <c r="CV378" s="1123"/>
      <c r="CW378" s="1123"/>
      <c r="CX378" s="1123"/>
      <c r="CY378" s="1123"/>
      <c r="CZ378" s="1114"/>
      <c r="DA378" s="1114"/>
      <c r="DB378" s="1114"/>
      <c r="DC378" s="1114"/>
      <c r="DD378" s="1114"/>
      <c r="DE378" s="1114"/>
      <c r="DF378" s="1114"/>
      <c r="DG378" s="1114"/>
      <c r="DH378" s="1114"/>
      <c r="DI378" s="1114"/>
      <c r="DJ378" s="1114"/>
      <c r="DK378" s="1114"/>
      <c r="DL378" s="1114"/>
      <c r="DM378" s="1114"/>
      <c r="DN378" s="1114"/>
      <c r="DO378" s="1114"/>
      <c r="DP378" s="1114"/>
      <c r="DQ378" s="1114"/>
      <c r="DR378" s="1114"/>
      <c r="DS378" s="1114"/>
      <c r="DT378" s="1114"/>
      <c r="DU378" s="1114"/>
      <c r="DV378" s="1115"/>
      <c r="DW378" s="1116"/>
      <c r="DX378" s="1116"/>
      <c r="DY378" s="1116"/>
      <c r="DZ378" s="1116"/>
      <c r="EA378" s="1116"/>
      <c r="EB378" s="1116"/>
      <c r="EC378" s="1116"/>
      <c r="ED378" s="1116"/>
      <c r="EE378" s="1116"/>
      <c r="EF378" s="1116"/>
      <c r="EG378" s="1116"/>
      <c r="EH378" s="1116"/>
      <c r="EI378" s="1116"/>
      <c r="EJ378" s="1116"/>
      <c r="EK378" s="1116"/>
      <c r="EL378" s="1116"/>
      <c r="EM378" s="1116"/>
      <c r="EN378" s="1116"/>
      <c r="EO378" s="1116"/>
      <c r="EP378" s="1116"/>
      <c r="EQ378" s="1116"/>
      <c r="ER378" s="1116"/>
      <c r="ES378" s="1116"/>
    </row>
    <row r="379" spans="1:149" ht="15" customHeight="1">
      <c r="A379" s="1185">
        <v>364</v>
      </c>
      <c r="B379" s="1041"/>
      <c r="C379" s="1050"/>
      <c r="D379" s="1050"/>
      <c r="E379" s="1050"/>
      <c r="F379" s="1049"/>
      <c r="G379" s="1457"/>
      <c r="H379" s="1049"/>
      <c r="I379" s="1049"/>
      <c r="J379" s="1050"/>
      <c r="K379" s="1050"/>
      <c r="L379" s="1043"/>
      <c r="M379" s="1051"/>
      <c r="N379" s="1051"/>
      <c r="O379" s="1052"/>
      <c r="P379" s="1051"/>
      <c r="Q379" s="1051"/>
      <c r="R379" s="1052"/>
      <c r="S379" s="1051"/>
      <c r="T379" s="1051"/>
      <c r="U379" s="1052"/>
      <c r="V379" s="1051"/>
      <c r="W379" s="1051"/>
      <c r="X379" s="1052"/>
      <c r="Y379" s="1053"/>
      <c r="Z379" s="1051"/>
      <c r="AA379" s="1051"/>
      <c r="AB379" s="1052"/>
      <c r="AC379" s="1051"/>
      <c r="AD379" s="1051"/>
      <c r="AE379" s="1052"/>
      <c r="AF379" s="1051"/>
      <c r="AG379" s="1051"/>
      <c r="AH379" s="1051"/>
      <c r="AI379" s="1051"/>
      <c r="AJ379" s="1052"/>
      <c r="AK379" s="1051"/>
      <c r="AL379" s="1051"/>
      <c r="AM379" s="1052"/>
      <c r="AN379" s="1051"/>
      <c r="AO379" s="1051"/>
      <c r="AP379" s="1052"/>
      <c r="AQ379" s="1051"/>
      <c r="AR379" s="1051"/>
      <c r="AS379" s="1052"/>
      <c r="AT379" s="1051"/>
      <c r="AU379" s="1051"/>
      <c r="AV379" s="1052"/>
      <c r="AW379" s="1051"/>
      <c r="AX379" s="1051"/>
      <c r="AY379" s="1053"/>
      <c r="AZ379" s="1051"/>
      <c r="BA379" s="1051"/>
      <c r="BB379" s="1053"/>
      <c r="BC379" s="1051"/>
      <c r="BD379" s="1051"/>
      <c r="BE379" s="1053"/>
      <c r="BF379" s="1051"/>
      <c r="BG379" s="1051"/>
      <c r="BH379" s="1053"/>
      <c r="BI379" s="1052"/>
      <c r="BJ379" s="1052"/>
      <c r="BK379" s="1052"/>
      <c r="BL379" s="1052"/>
      <c r="BM379" s="1052"/>
      <c r="BN379" s="1054"/>
      <c r="BO379" s="1076">
        <f t="shared" si="16"/>
        <v>0</v>
      </c>
      <c r="BP379" s="1051"/>
      <c r="BQ379" s="1052"/>
      <c r="BR379" s="1054"/>
      <c r="BS379" s="1053"/>
      <c r="BT379" s="1051"/>
      <c r="BU379" s="1051"/>
      <c r="BV379" s="1051"/>
      <c r="BW379" s="1052"/>
      <c r="BX379" s="1052"/>
      <c r="BY379" s="1052"/>
      <c r="BZ379" s="1052"/>
      <c r="CA379" s="1052"/>
      <c r="CB379" s="1053"/>
      <c r="CC379" s="1053"/>
      <c r="CD379" s="1053"/>
      <c r="CE379" s="1053"/>
      <c r="CF379" s="1053"/>
      <c r="CG379" s="1053"/>
      <c r="CH379" s="1053"/>
      <c r="CI379" s="1123"/>
      <c r="CJ379" s="1123"/>
      <c r="CK379" s="1123"/>
      <c r="CL379" s="1123"/>
      <c r="CM379" s="1123"/>
      <c r="CN379" s="1123"/>
      <c r="CO379" s="1123"/>
      <c r="CP379" s="1123"/>
      <c r="CQ379" s="1123"/>
      <c r="CR379" s="1123"/>
      <c r="CS379" s="1123"/>
      <c r="CT379" s="1123"/>
      <c r="CU379" s="1123"/>
      <c r="CV379" s="1123"/>
      <c r="CW379" s="1123"/>
      <c r="CX379" s="1123"/>
      <c r="CY379" s="1123"/>
      <c r="CZ379" s="1114"/>
      <c r="DA379" s="1114"/>
      <c r="DB379" s="1114"/>
      <c r="DC379" s="1114"/>
      <c r="DD379" s="1114"/>
      <c r="DE379" s="1114"/>
      <c r="DF379" s="1114"/>
      <c r="DG379" s="1114"/>
      <c r="DH379" s="1114"/>
      <c r="DI379" s="1114"/>
      <c r="DJ379" s="1114"/>
      <c r="DK379" s="1114"/>
      <c r="DL379" s="1114"/>
      <c r="DM379" s="1114"/>
      <c r="DN379" s="1114"/>
      <c r="DO379" s="1114"/>
      <c r="DP379" s="1114"/>
      <c r="DQ379" s="1114"/>
      <c r="DR379" s="1114"/>
      <c r="DS379" s="1114"/>
      <c r="DT379" s="1114"/>
      <c r="DU379" s="1114"/>
      <c r="DV379" s="1115"/>
      <c r="DW379" s="1116"/>
      <c r="DX379" s="1116"/>
      <c r="DY379" s="1116"/>
      <c r="DZ379" s="1116"/>
      <c r="EA379" s="1116"/>
      <c r="EB379" s="1116"/>
      <c r="EC379" s="1116"/>
      <c r="ED379" s="1116"/>
      <c r="EE379" s="1116"/>
      <c r="EF379" s="1116"/>
      <c r="EG379" s="1116"/>
      <c r="EH379" s="1116"/>
      <c r="EI379" s="1116"/>
      <c r="EJ379" s="1116"/>
      <c r="EK379" s="1116"/>
      <c r="EL379" s="1116"/>
      <c r="EM379" s="1116"/>
      <c r="EN379" s="1116"/>
      <c r="EO379" s="1116"/>
      <c r="EP379" s="1116"/>
      <c r="EQ379" s="1116"/>
      <c r="ER379" s="1116"/>
      <c r="ES379" s="1116"/>
    </row>
    <row r="380" spans="1:149" ht="15" customHeight="1">
      <c r="A380" s="1185">
        <v>365</v>
      </c>
      <c r="B380" s="1041"/>
      <c r="C380" s="1050"/>
      <c r="D380" s="1050"/>
      <c r="E380" s="1050"/>
      <c r="F380" s="1049"/>
      <c r="G380" s="1457"/>
      <c r="H380" s="1049"/>
      <c r="I380" s="1049"/>
      <c r="J380" s="1050"/>
      <c r="K380" s="1050"/>
      <c r="L380" s="1043"/>
      <c r="M380" s="1051"/>
      <c r="N380" s="1051"/>
      <c r="O380" s="1052"/>
      <c r="P380" s="1051"/>
      <c r="Q380" s="1051"/>
      <c r="R380" s="1052"/>
      <c r="S380" s="1051"/>
      <c r="T380" s="1051"/>
      <c r="U380" s="1052"/>
      <c r="V380" s="1051"/>
      <c r="W380" s="1051"/>
      <c r="X380" s="1052"/>
      <c r="Y380" s="1053"/>
      <c r="Z380" s="1051"/>
      <c r="AA380" s="1051"/>
      <c r="AB380" s="1052"/>
      <c r="AC380" s="1051"/>
      <c r="AD380" s="1051"/>
      <c r="AE380" s="1052"/>
      <c r="AF380" s="1051"/>
      <c r="AG380" s="1051"/>
      <c r="AH380" s="1051"/>
      <c r="AI380" s="1051"/>
      <c r="AJ380" s="1052"/>
      <c r="AK380" s="1051"/>
      <c r="AL380" s="1051"/>
      <c r="AM380" s="1052"/>
      <c r="AN380" s="1051"/>
      <c r="AO380" s="1051"/>
      <c r="AP380" s="1052"/>
      <c r="AQ380" s="1051"/>
      <c r="AR380" s="1051"/>
      <c r="AS380" s="1052"/>
      <c r="AT380" s="1051"/>
      <c r="AU380" s="1051"/>
      <c r="AV380" s="1052"/>
      <c r="AW380" s="1051"/>
      <c r="AX380" s="1051"/>
      <c r="AY380" s="1053"/>
      <c r="AZ380" s="1051"/>
      <c r="BA380" s="1051"/>
      <c r="BB380" s="1053"/>
      <c r="BC380" s="1051"/>
      <c r="BD380" s="1051"/>
      <c r="BE380" s="1053"/>
      <c r="BF380" s="1051"/>
      <c r="BG380" s="1051"/>
      <c r="BH380" s="1053"/>
      <c r="BI380" s="1052"/>
      <c r="BJ380" s="1052"/>
      <c r="BK380" s="1052"/>
      <c r="BL380" s="1052"/>
      <c r="BM380" s="1052"/>
      <c r="BN380" s="1054"/>
      <c r="BO380" s="1076">
        <f t="shared" si="16"/>
        <v>0</v>
      </c>
      <c r="BP380" s="1051"/>
      <c r="BQ380" s="1052"/>
      <c r="BR380" s="1054"/>
      <c r="BS380" s="1053"/>
      <c r="BT380" s="1051"/>
      <c r="BU380" s="1051"/>
      <c r="BV380" s="1051"/>
      <c r="BW380" s="1052"/>
      <c r="BX380" s="1052"/>
      <c r="BY380" s="1052"/>
      <c r="BZ380" s="1052"/>
      <c r="CA380" s="1052"/>
      <c r="CB380" s="1053"/>
      <c r="CC380" s="1053"/>
      <c r="CD380" s="1053"/>
      <c r="CE380" s="1053"/>
      <c r="CF380" s="1053"/>
      <c r="CG380" s="1053"/>
      <c r="CH380" s="1053"/>
      <c r="CI380" s="1123"/>
      <c r="CJ380" s="1123"/>
      <c r="CK380" s="1123"/>
      <c r="CL380" s="1123"/>
      <c r="CM380" s="1123"/>
      <c r="CN380" s="1123"/>
      <c r="CO380" s="1123"/>
      <c r="CP380" s="1123"/>
      <c r="CQ380" s="1123"/>
      <c r="CR380" s="1123"/>
      <c r="CS380" s="1123"/>
      <c r="CT380" s="1123"/>
      <c r="CU380" s="1123"/>
      <c r="CV380" s="1123"/>
      <c r="CW380" s="1123"/>
      <c r="CX380" s="1123"/>
      <c r="CY380" s="1123"/>
      <c r="CZ380" s="1114"/>
      <c r="DA380" s="1114"/>
      <c r="DB380" s="1114"/>
      <c r="DC380" s="1114"/>
      <c r="DD380" s="1114"/>
      <c r="DE380" s="1114"/>
      <c r="DF380" s="1114"/>
      <c r="DG380" s="1114"/>
      <c r="DH380" s="1114"/>
      <c r="DI380" s="1114"/>
      <c r="DJ380" s="1114"/>
      <c r="DK380" s="1114"/>
      <c r="DL380" s="1114"/>
      <c r="DM380" s="1114"/>
      <c r="DN380" s="1114"/>
      <c r="DO380" s="1114"/>
      <c r="DP380" s="1114"/>
      <c r="DQ380" s="1114"/>
      <c r="DR380" s="1114"/>
      <c r="DS380" s="1114"/>
      <c r="DT380" s="1114"/>
      <c r="DU380" s="1114"/>
      <c r="DV380" s="1115"/>
      <c r="DW380" s="1116"/>
      <c r="DX380" s="1116"/>
      <c r="DY380" s="1116"/>
      <c r="DZ380" s="1116"/>
      <c r="EA380" s="1116"/>
      <c r="EB380" s="1116"/>
      <c r="EC380" s="1116"/>
      <c r="ED380" s="1116"/>
      <c r="EE380" s="1116"/>
      <c r="EF380" s="1116"/>
      <c r="EG380" s="1116"/>
      <c r="EH380" s="1116"/>
      <c r="EI380" s="1116"/>
      <c r="EJ380" s="1116"/>
      <c r="EK380" s="1116"/>
      <c r="EL380" s="1116"/>
      <c r="EM380" s="1116"/>
      <c r="EN380" s="1116"/>
      <c r="EO380" s="1116"/>
      <c r="EP380" s="1116"/>
      <c r="EQ380" s="1116"/>
      <c r="ER380" s="1116"/>
      <c r="ES380" s="1116"/>
    </row>
    <row r="381" spans="1:149" ht="15" customHeight="1">
      <c r="A381" s="1185">
        <v>366</v>
      </c>
      <c r="B381" s="1041"/>
      <c r="C381" s="1050"/>
      <c r="D381" s="1050"/>
      <c r="E381" s="1050"/>
      <c r="F381" s="1049"/>
      <c r="G381" s="1457"/>
      <c r="H381" s="1049"/>
      <c r="I381" s="1049"/>
      <c r="J381" s="1050"/>
      <c r="K381" s="1050"/>
      <c r="L381" s="1043"/>
      <c r="M381" s="1051"/>
      <c r="N381" s="1051"/>
      <c r="O381" s="1052"/>
      <c r="P381" s="1051"/>
      <c r="Q381" s="1051"/>
      <c r="R381" s="1052"/>
      <c r="S381" s="1051"/>
      <c r="T381" s="1051"/>
      <c r="U381" s="1052"/>
      <c r="V381" s="1051"/>
      <c r="W381" s="1051"/>
      <c r="X381" s="1052"/>
      <c r="Y381" s="1053"/>
      <c r="Z381" s="1051"/>
      <c r="AA381" s="1051"/>
      <c r="AB381" s="1052"/>
      <c r="AC381" s="1051"/>
      <c r="AD381" s="1051"/>
      <c r="AE381" s="1052"/>
      <c r="AF381" s="1051"/>
      <c r="AG381" s="1051"/>
      <c r="AH381" s="1051"/>
      <c r="AI381" s="1051"/>
      <c r="AJ381" s="1052"/>
      <c r="AK381" s="1051"/>
      <c r="AL381" s="1051"/>
      <c r="AM381" s="1052"/>
      <c r="AN381" s="1051"/>
      <c r="AO381" s="1051"/>
      <c r="AP381" s="1052"/>
      <c r="AQ381" s="1051"/>
      <c r="AR381" s="1051"/>
      <c r="AS381" s="1052"/>
      <c r="AT381" s="1051"/>
      <c r="AU381" s="1051"/>
      <c r="AV381" s="1052"/>
      <c r="AW381" s="1051"/>
      <c r="AX381" s="1051"/>
      <c r="AY381" s="1053"/>
      <c r="AZ381" s="1051"/>
      <c r="BA381" s="1051"/>
      <c r="BB381" s="1053"/>
      <c r="BC381" s="1051"/>
      <c r="BD381" s="1051"/>
      <c r="BE381" s="1053"/>
      <c r="BF381" s="1051"/>
      <c r="BG381" s="1051"/>
      <c r="BH381" s="1053"/>
      <c r="BI381" s="1052"/>
      <c r="BJ381" s="1052"/>
      <c r="BK381" s="1052"/>
      <c r="BL381" s="1052"/>
      <c r="BM381" s="1052"/>
      <c r="BN381" s="1054"/>
      <c r="BO381" s="1076">
        <f t="shared" si="16"/>
        <v>0</v>
      </c>
      <c r="BP381" s="1051"/>
      <c r="BQ381" s="1052"/>
      <c r="BR381" s="1054"/>
      <c r="BS381" s="1053"/>
      <c r="BT381" s="1051"/>
      <c r="BU381" s="1051"/>
      <c r="BV381" s="1051"/>
      <c r="BW381" s="1052"/>
      <c r="BX381" s="1052"/>
      <c r="BY381" s="1052"/>
      <c r="BZ381" s="1052"/>
      <c r="CA381" s="1052"/>
      <c r="CB381" s="1053"/>
      <c r="CC381" s="1053"/>
      <c r="CD381" s="1053"/>
      <c r="CE381" s="1053"/>
      <c r="CF381" s="1053"/>
      <c r="CG381" s="1053"/>
      <c r="CH381" s="1053"/>
      <c r="CI381" s="1123"/>
      <c r="CJ381" s="1123"/>
      <c r="CK381" s="1123"/>
      <c r="CL381" s="1123"/>
      <c r="CM381" s="1123"/>
      <c r="CN381" s="1123"/>
      <c r="CO381" s="1123"/>
      <c r="CP381" s="1123"/>
      <c r="CQ381" s="1123"/>
      <c r="CR381" s="1123"/>
      <c r="CS381" s="1123"/>
      <c r="CT381" s="1123"/>
      <c r="CU381" s="1123"/>
      <c r="CV381" s="1123"/>
      <c r="CW381" s="1123"/>
      <c r="CX381" s="1123"/>
      <c r="CY381" s="1123"/>
      <c r="CZ381" s="1114"/>
      <c r="DA381" s="1114"/>
      <c r="DB381" s="1114"/>
      <c r="DC381" s="1114"/>
      <c r="DD381" s="1114"/>
      <c r="DE381" s="1114"/>
      <c r="DF381" s="1114"/>
      <c r="DG381" s="1114"/>
      <c r="DH381" s="1114"/>
      <c r="DI381" s="1114"/>
      <c r="DJ381" s="1114"/>
      <c r="DK381" s="1114"/>
      <c r="DL381" s="1114"/>
      <c r="DM381" s="1114"/>
      <c r="DN381" s="1114"/>
      <c r="DO381" s="1114"/>
      <c r="DP381" s="1114"/>
      <c r="DQ381" s="1114"/>
      <c r="DR381" s="1114"/>
      <c r="DS381" s="1114"/>
      <c r="DT381" s="1114"/>
      <c r="DU381" s="1114"/>
      <c r="DV381" s="1115"/>
      <c r="DW381" s="1116"/>
      <c r="DX381" s="1116"/>
      <c r="DY381" s="1116"/>
      <c r="DZ381" s="1116"/>
      <c r="EA381" s="1116"/>
      <c r="EB381" s="1116"/>
      <c r="EC381" s="1116"/>
      <c r="ED381" s="1116"/>
      <c r="EE381" s="1116"/>
      <c r="EF381" s="1116"/>
      <c r="EG381" s="1116"/>
      <c r="EH381" s="1116"/>
      <c r="EI381" s="1116"/>
      <c r="EJ381" s="1116"/>
      <c r="EK381" s="1116"/>
      <c r="EL381" s="1116"/>
      <c r="EM381" s="1116"/>
      <c r="EN381" s="1116"/>
      <c r="EO381" s="1116"/>
      <c r="EP381" s="1116"/>
      <c r="EQ381" s="1116"/>
      <c r="ER381" s="1116"/>
      <c r="ES381" s="1116"/>
    </row>
    <row r="382" spans="1:149" ht="15" customHeight="1">
      <c r="A382" s="1185">
        <v>367</v>
      </c>
      <c r="B382" s="1041"/>
      <c r="C382" s="1050"/>
      <c r="D382" s="1050"/>
      <c r="E382" s="1050"/>
      <c r="F382" s="1049"/>
      <c r="G382" s="1457"/>
      <c r="H382" s="1049"/>
      <c r="I382" s="1049"/>
      <c r="J382" s="1050"/>
      <c r="K382" s="1050"/>
      <c r="L382" s="1043"/>
      <c r="M382" s="1051"/>
      <c r="N382" s="1051"/>
      <c r="O382" s="1052"/>
      <c r="P382" s="1051"/>
      <c r="Q382" s="1051"/>
      <c r="R382" s="1052"/>
      <c r="S382" s="1051"/>
      <c r="T382" s="1051"/>
      <c r="U382" s="1052"/>
      <c r="V382" s="1051"/>
      <c r="W382" s="1051"/>
      <c r="X382" s="1052"/>
      <c r="Y382" s="1053"/>
      <c r="Z382" s="1051"/>
      <c r="AA382" s="1051"/>
      <c r="AB382" s="1052"/>
      <c r="AC382" s="1051"/>
      <c r="AD382" s="1051"/>
      <c r="AE382" s="1052"/>
      <c r="AF382" s="1051"/>
      <c r="AG382" s="1051"/>
      <c r="AH382" s="1051"/>
      <c r="AI382" s="1051"/>
      <c r="AJ382" s="1052"/>
      <c r="AK382" s="1051"/>
      <c r="AL382" s="1051"/>
      <c r="AM382" s="1052"/>
      <c r="AN382" s="1051"/>
      <c r="AO382" s="1051"/>
      <c r="AP382" s="1052"/>
      <c r="AQ382" s="1051"/>
      <c r="AR382" s="1051"/>
      <c r="AS382" s="1052"/>
      <c r="AT382" s="1051"/>
      <c r="AU382" s="1051"/>
      <c r="AV382" s="1052"/>
      <c r="AW382" s="1051"/>
      <c r="AX382" s="1051"/>
      <c r="AY382" s="1053"/>
      <c r="AZ382" s="1051"/>
      <c r="BA382" s="1051"/>
      <c r="BB382" s="1053"/>
      <c r="BC382" s="1051"/>
      <c r="BD382" s="1051"/>
      <c r="BE382" s="1053"/>
      <c r="BF382" s="1051"/>
      <c r="BG382" s="1051"/>
      <c r="BH382" s="1053"/>
      <c r="BI382" s="1052"/>
      <c r="BJ382" s="1052"/>
      <c r="BK382" s="1052"/>
      <c r="BL382" s="1052"/>
      <c r="BM382" s="1052"/>
      <c r="BN382" s="1054"/>
      <c r="BO382" s="1076">
        <f t="shared" si="16"/>
        <v>0</v>
      </c>
      <c r="BP382" s="1051"/>
      <c r="BQ382" s="1052"/>
      <c r="BR382" s="1054"/>
      <c r="BS382" s="1053"/>
      <c r="BT382" s="1051"/>
      <c r="BU382" s="1051"/>
      <c r="BV382" s="1051"/>
      <c r="BW382" s="1052"/>
      <c r="BX382" s="1052"/>
      <c r="BY382" s="1052"/>
      <c r="BZ382" s="1052"/>
      <c r="CA382" s="1052"/>
      <c r="CB382" s="1053"/>
      <c r="CC382" s="1053"/>
      <c r="CD382" s="1053"/>
      <c r="CE382" s="1053"/>
      <c r="CF382" s="1053"/>
      <c r="CG382" s="1053"/>
      <c r="CH382" s="1053"/>
      <c r="CI382" s="1123"/>
      <c r="CJ382" s="1123"/>
      <c r="CK382" s="1123"/>
      <c r="CL382" s="1123"/>
      <c r="CM382" s="1123"/>
      <c r="CN382" s="1123"/>
      <c r="CO382" s="1123"/>
      <c r="CP382" s="1123"/>
      <c r="CQ382" s="1123"/>
      <c r="CR382" s="1123"/>
      <c r="CS382" s="1123"/>
      <c r="CT382" s="1123"/>
      <c r="CU382" s="1123"/>
      <c r="CV382" s="1123"/>
      <c r="CW382" s="1123"/>
      <c r="CX382" s="1123"/>
      <c r="CY382" s="1123"/>
      <c r="CZ382" s="1114"/>
      <c r="DA382" s="1114"/>
      <c r="DB382" s="1114"/>
      <c r="DC382" s="1114"/>
      <c r="DD382" s="1114"/>
      <c r="DE382" s="1114"/>
      <c r="DF382" s="1114"/>
      <c r="DG382" s="1114"/>
      <c r="DH382" s="1114"/>
      <c r="DI382" s="1114"/>
      <c r="DJ382" s="1114"/>
      <c r="DK382" s="1114"/>
      <c r="DL382" s="1114"/>
      <c r="DM382" s="1114"/>
      <c r="DN382" s="1114"/>
      <c r="DO382" s="1114"/>
      <c r="DP382" s="1114"/>
      <c r="DQ382" s="1114"/>
      <c r="DR382" s="1114"/>
      <c r="DS382" s="1114"/>
      <c r="DT382" s="1114"/>
      <c r="DU382" s="1114"/>
      <c r="DV382" s="1115"/>
      <c r="DW382" s="1116"/>
      <c r="DX382" s="1116"/>
      <c r="DY382" s="1116"/>
      <c r="DZ382" s="1116"/>
      <c r="EA382" s="1116"/>
      <c r="EB382" s="1116"/>
      <c r="EC382" s="1116"/>
      <c r="ED382" s="1116"/>
      <c r="EE382" s="1116"/>
      <c r="EF382" s="1116"/>
      <c r="EG382" s="1116"/>
      <c r="EH382" s="1116"/>
      <c r="EI382" s="1116"/>
      <c r="EJ382" s="1116"/>
      <c r="EK382" s="1116"/>
      <c r="EL382" s="1116"/>
      <c r="EM382" s="1116"/>
      <c r="EN382" s="1116"/>
      <c r="EO382" s="1116"/>
      <c r="EP382" s="1116"/>
      <c r="EQ382" s="1116"/>
      <c r="ER382" s="1116"/>
      <c r="ES382" s="1116"/>
    </row>
    <row r="383" spans="1:149" ht="15" customHeight="1">
      <c r="A383" s="1185">
        <v>368</v>
      </c>
      <c r="B383" s="1041"/>
      <c r="C383" s="1050"/>
      <c r="D383" s="1050"/>
      <c r="E383" s="1050"/>
      <c r="F383" s="1049"/>
      <c r="G383" s="1457"/>
      <c r="H383" s="1049"/>
      <c r="I383" s="1049"/>
      <c r="J383" s="1050"/>
      <c r="K383" s="1050"/>
      <c r="L383" s="1043"/>
      <c r="M383" s="1051"/>
      <c r="N383" s="1051"/>
      <c r="O383" s="1052"/>
      <c r="P383" s="1051"/>
      <c r="Q383" s="1051"/>
      <c r="R383" s="1052"/>
      <c r="S383" s="1051"/>
      <c r="T383" s="1051"/>
      <c r="U383" s="1052"/>
      <c r="V383" s="1051"/>
      <c r="W383" s="1051"/>
      <c r="X383" s="1052"/>
      <c r="Y383" s="1053"/>
      <c r="Z383" s="1051"/>
      <c r="AA383" s="1051"/>
      <c r="AB383" s="1052"/>
      <c r="AC383" s="1051"/>
      <c r="AD383" s="1051"/>
      <c r="AE383" s="1052"/>
      <c r="AF383" s="1051"/>
      <c r="AG383" s="1051"/>
      <c r="AH383" s="1051"/>
      <c r="AI383" s="1051"/>
      <c r="AJ383" s="1052"/>
      <c r="AK383" s="1051"/>
      <c r="AL383" s="1051"/>
      <c r="AM383" s="1052"/>
      <c r="AN383" s="1051"/>
      <c r="AO383" s="1051"/>
      <c r="AP383" s="1052"/>
      <c r="AQ383" s="1051"/>
      <c r="AR383" s="1051"/>
      <c r="AS383" s="1052"/>
      <c r="AT383" s="1051"/>
      <c r="AU383" s="1051"/>
      <c r="AV383" s="1052"/>
      <c r="AW383" s="1051"/>
      <c r="AX383" s="1051"/>
      <c r="AY383" s="1053"/>
      <c r="AZ383" s="1051"/>
      <c r="BA383" s="1051"/>
      <c r="BB383" s="1053"/>
      <c r="BC383" s="1051"/>
      <c r="BD383" s="1051"/>
      <c r="BE383" s="1053"/>
      <c r="BF383" s="1051"/>
      <c r="BG383" s="1051"/>
      <c r="BH383" s="1053"/>
      <c r="BI383" s="1052"/>
      <c r="BJ383" s="1052"/>
      <c r="BK383" s="1052"/>
      <c r="BL383" s="1052"/>
      <c r="BM383" s="1052"/>
      <c r="BN383" s="1054"/>
      <c r="BO383" s="1076">
        <f t="shared" si="16"/>
        <v>0</v>
      </c>
      <c r="BP383" s="1051"/>
      <c r="BQ383" s="1052"/>
      <c r="BR383" s="1054"/>
      <c r="BS383" s="1053"/>
      <c r="BT383" s="1051"/>
      <c r="BU383" s="1051"/>
      <c r="BV383" s="1051"/>
      <c r="BW383" s="1052"/>
      <c r="BX383" s="1052"/>
      <c r="BY383" s="1052"/>
      <c r="BZ383" s="1052"/>
      <c r="CA383" s="1052"/>
      <c r="CB383" s="1053"/>
      <c r="CC383" s="1053"/>
      <c r="CD383" s="1053"/>
      <c r="CE383" s="1053"/>
      <c r="CF383" s="1053"/>
      <c r="CG383" s="1053"/>
      <c r="CH383" s="1053"/>
      <c r="CI383" s="1123"/>
      <c r="CJ383" s="1123"/>
      <c r="CK383" s="1123"/>
      <c r="CL383" s="1123"/>
      <c r="CM383" s="1123"/>
      <c r="CN383" s="1123"/>
      <c r="CO383" s="1123"/>
      <c r="CP383" s="1123"/>
      <c r="CQ383" s="1123"/>
      <c r="CR383" s="1123"/>
      <c r="CS383" s="1123"/>
      <c r="CT383" s="1123"/>
      <c r="CU383" s="1123"/>
      <c r="CV383" s="1123"/>
      <c r="CW383" s="1123"/>
      <c r="CX383" s="1123"/>
      <c r="CY383" s="1123"/>
      <c r="CZ383" s="1114"/>
      <c r="DA383" s="1114"/>
      <c r="DB383" s="1114"/>
      <c r="DC383" s="1114"/>
      <c r="DD383" s="1114"/>
      <c r="DE383" s="1114"/>
      <c r="DF383" s="1114"/>
      <c r="DG383" s="1114"/>
      <c r="DH383" s="1114"/>
      <c r="DI383" s="1114"/>
      <c r="DJ383" s="1114"/>
      <c r="DK383" s="1114"/>
      <c r="DL383" s="1114"/>
      <c r="DM383" s="1114"/>
      <c r="DN383" s="1114"/>
      <c r="DO383" s="1114"/>
      <c r="DP383" s="1114"/>
      <c r="DQ383" s="1114"/>
      <c r="DR383" s="1114"/>
      <c r="DS383" s="1114"/>
      <c r="DT383" s="1114"/>
      <c r="DU383" s="1114"/>
      <c r="DV383" s="1115"/>
      <c r="DW383" s="1116"/>
      <c r="DX383" s="1116"/>
      <c r="DY383" s="1116"/>
      <c r="DZ383" s="1116"/>
      <c r="EA383" s="1116"/>
      <c r="EB383" s="1116"/>
      <c r="EC383" s="1116"/>
      <c r="ED383" s="1116"/>
      <c r="EE383" s="1116"/>
      <c r="EF383" s="1116"/>
      <c r="EG383" s="1116"/>
      <c r="EH383" s="1116"/>
      <c r="EI383" s="1116"/>
      <c r="EJ383" s="1116"/>
      <c r="EK383" s="1116"/>
      <c r="EL383" s="1116"/>
      <c r="EM383" s="1116"/>
      <c r="EN383" s="1116"/>
      <c r="EO383" s="1116"/>
      <c r="EP383" s="1116"/>
      <c r="EQ383" s="1116"/>
      <c r="ER383" s="1116"/>
      <c r="ES383" s="1116"/>
    </row>
    <row r="384" spans="1:149" ht="15" customHeight="1">
      <c r="A384" s="1185">
        <v>369</v>
      </c>
      <c r="B384" s="1041"/>
      <c r="C384" s="1050"/>
      <c r="D384" s="1050"/>
      <c r="E384" s="1050"/>
      <c r="F384" s="1049"/>
      <c r="G384" s="1457"/>
      <c r="H384" s="1049"/>
      <c r="I384" s="1049"/>
      <c r="J384" s="1050"/>
      <c r="K384" s="1050"/>
      <c r="L384" s="1043"/>
      <c r="M384" s="1051"/>
      <c r="N384" s="1051"/>
      <c r="O384" s="1052"/>
      <c r="P384" s="1051"/>
      <c r="Q384" s="1051"/>
      <c r="R384" s="1052"/>
      <c r="S384" s="1051"/>
      <c r="T384" s="1051"/>
      <c r="U384" s="1052"/>
      <c r="V384" s="1051"/>
      <c r="W384" s="1051"/>
      <c r="X384" s="1052"/>
      <c r="Y384" s="1053"/>
      <c r="Z384" s="1051"/>
      <c r="AA384" s="1051"/>
      <c r="AB384" s="1052"/>
      <c r="AC384" s="1051"/>
      <c r="AD384" s="1051"/>
      <c r="AE384" s="1052"/>
      <c r="AF384" s="1051"/>
      <c r="AG384" s="1051"/>
      <c r="AH384" s="1051"/>
      <c r="AI384" s="1051"/>
      <c r="AJ384" s="1052"/>
      <c r="AK384" s="1051"/>
      <c r="AL384" s="1051"/>
      <c r="AM384" s="1052"/>
      <c r="AN384" s="1051"/>
      <c r="AO384" s="1051"/>
      <c r="AP384" s="1052"/>
      <c r="AQ384" s="1051"/>
      <c r="AR384" s="1051"/>
      <c r="AS384" s="1052"/>
      <c r="AT384" s="1051"/>
      <c r="AU384" s="1051"/>
      <c r="AV384" s="1052"/>
      <c r="AW384" s="1051"/>
      <c r="AX384" s="1051"/>
      <c r="AY384" s="1053"/>
      <c r="AZ384" s="1051"/>
      <c r="BA384" s="1051"/>
      <c r="BB384" s="1053"/>
      <c r="BC384" s="1051"/>
      <c r="BD384" s="1051"/>
      <c r="BE384" s="1053"/>
      <c r="BF384" s="1051"/>
      <c r="BG384" s="1051"/>
      <c r="BH384" s="1053"/>
      <c r="BI384" s="1052"/>
      <c r="BJ384" s="1052"/>
      <c r="BK384" s="1052"/>
      <c r="BL384" s="1052"/>
      <c r="BM384" s="1052"/>
      <c r="BN384" s="1054"/>
      <c r="BO384" s="1076">
        <f t="shared" si="16"/>
        <v>0</v>
      </c>
      <c r="BP384" s="1051"/>
      <c r="BQ384" s="1052"/>
      <c r="BR384" s="1054"/>
      <c r="BS384" s="1053"/>
      <c r="BT384" s="1051"/>
      <c r="BU384" s="1051"/>
      <c r="BV384" s="1051"/>
      <c r="BW384" s="1052"/>
      <c r="BX384" s="1052"/>
      <c r="BY384" s="1052"/>
      <c r="BZ384" s="1052"/>
      <c r="CA384" s="1052"/>
      <c r="CB384" s="1053"/>
      <c r="CC384" s="1053"/>
      <c r="CD384" s="1053"/>
      <c r="CE384" s="1053"/>
      <c r="CF384" s="1053"/>
      <c r="CG384" s="1053"/>
      <c r="CH384" s="1053"/>
      <c r="CI384" s="1123"/>
      <c r="CJ384" s="1123"/>
      <c r="CK384" s="1123"/>
      <c r="CL384" s="1123"/>
      <c r="CM384" s="1123"/>
      <c r="CN384" s="1123"/>
      <c r="CO384" s="1123"/>
      <c r="CP384" s="1123"/>
      <c r="CQ384" s="1123"/>
      <c r="CR384" s="1123"/>
      <c r="CS384" s="1123"/>
      <c r="CT384" s="1123"/>
      <c r="CU384" s="1123"/>
      <c r="CV384" s="1123"/>
      <c r="CW384" s="1123"/>
      <c r="CX384" s="1123"/>
      <c r="CY384" s="1123"/>
      <c r="CZ384" s="1114"/>
      <c r="DA384" s="1114"/>
      <c r="DB384" s="1114"/>
      <c r="DC384" s="1114"/>
      <c r="DD384" s="1114"/>
      <c r="DE384" s="1114"/>
      <c r="DF384" s="1114"/>
      <c r="DG384" s="1114"/>
      <c r="DH384" s="1114"/>
      <c r="DI384" s="1114"/>
      <c r="DJ384" s="1114"/>
      <c r="DK384" s="1114"/>
      <c r="DL384" s="1114"/>
      <c r="DM384" s="1114"/>
      <c r="DN384" s="1114"/>
      <c r="DO384" s="1114"/>
      <c r="DP384" s="1114"/>
      <c r="DQ384" s="1114"/>
      <c r="DR384" s="1114"/>
      <c r="DS384" s="1114"/>
      <c r="DT384" s="1114"/>
      <c r="DU384" s="1114"/>
      <c r="DV384" s="1115"/>
      <c r="DW384" s="1116"/>
      <c r="DX384" s="1116"/>
      <c r="DY384" s="1116"/>
      <c r="DZ384" s="1116"/>
      <c r="EA384" s="1116"/>
      <c r="EB384" s="1116"/>
      <c r="EC384" s="1116"/>
      <c r="ED384" s="1116"/>
      <c r="EE384" s="1116"/>
      <c r="EF384" s="1116"/>
      <c r="EG384" s="1116"/>
      <c r="EH384" s="1116"/>
      <c r="EI384" s="1116"/>
      <c r="EJ384" s="1116"/>
      <c r="EK384" s="1116"/>
      <c r="EL384" s="1116"/>
      <c r="EM384" s="1116"/>
      <c r="EN384" s="1116"/>
      <c r="EO384" s="1116"/>
      <c r="EP384" s="1116"/>
      <c r="EQ384" s="1116"/>
      <c r="ER384" s="1116"/>
      <c r="ES384" s="1116"/>
    </row>
    <row r="385" spans="1:149" ht="15" customHeight="1">
      <c r="A385" s="1185">
        <v>370</v>
      </c>
      <c r="B385" s="1041"/>
      <c r="C385" s="1050"/>
      <c r="D385" s="1050"/>
      <c r="E385" s="1050"/>
      <c r="F385" s="1049"/>
      <c r="G385" s="1457"/>
      <c r="H385" s="1049"/>
      <c r="I385" s="1049"/>
      <c r="J385" s="1050"/>
      <c r="K385" s="1050"/>
      <c r="L385" s="1043"/>
      <c r="M385" s="1051"/>
      <c r="N385" s="1051"/>
      <c r="O385" s="1052"/>
      <c r="P385" s="1051"/>
      <c r="Q385" s="1051"/>
      <c r="R385" s="1052"/>
      <c r="S385" s="1051"/>
      <c r="T385" s="1051"/>
      <c r="U385" s="1052"/>
      <c r="V385" s="1051"/>
      <c r="W385" s="1051"/>
      <c r="X385" s="1052"/>
      <c r="Y385" s="1053"/>
      <c r="Z385" s="1051"/>
      <c r="AA385" s="1051"/>
      <c r="AB385" s="1052"/>
      <c r="AC385" s="1051"/>
      <c r="AD385" s="1051"/>
      <c r="AE385" s="1052"/>
      <c r="AF385" s="1051"/>
      <c r="AG385" s="1051"/>
      <c r="AH385" s="1051"/>
      <c r="AI385" s="1051"/>
      <c r="AJ385" s="1052"/>
      <c r="AK385" s="1051"/>
      <c r="AL385" s="1051"/>
      <c r="AM385" s="1052"/>
      <c r="AN385" s="1051"/>
      <c r="AO385" s="1051"/>
      <c r="AP385" s="1052"/>
      <c r="AQ385" s="1051"/>
      <c r="AR385" s="1051"/>
      <c r="AS385" s="1052"/>
      <c r="AT385" s="1051"/>
      <c r="AU385" s="1051"/>
      <c r="AV385" s="1052"/>
      <c r="AW385" s="1051"/>
      <c r="AX385" s="1051"/>
      <c r="AY385" s="1053"/>
      <c r="AZ385" s="1051"/>
      <c r="BA385" s="1051"/>
      <c r="BB385" s="1053"/>
      <c r="BC385" s="1051"/>
      <c r="BD385" s="1051"/>
      <c r="BE385" s="1053"/>
      <c r="BF385" s="1051"/>
      <c r="BG385" s="1051"/>
      <c r="BH385" s="1053"/>
      <c r="BI385" s="1052"/>
      <c r="BJ385" s="1052"/>
      <c r="BK385" s="1052"/>
      <c r="BL385" s="1052"/>
      <c r="BM385" s="1052"/>
      <c r="BN385" s="1054"/>
      <c r="BO385" s="1076">
        <f t="shared" si="16"/>
        <v>0</v>
      </c>
      <c r="BP385" s="1051"/>
      <c r="BQ385" s="1052"/>
      <c r="BR385" s="1054"/>
      <c r="BS385" s="1053"/>
      <c r="BT385" s="1051"/>
      <c r="BU385" s="1051"/>
      <c r="BV385" s="1051"/>
      <c r="BW385" s="1052"/>
      <c r="BX385" s="1052"/>
      <c r="BY385" s="1052"/>
      <c r="BZ385" s="1052"/>
      <c r="CA385" s="1052"/>
      <c r="CB385" s="1053"/>
      <c r="CC385" s="1053"/>
      <c r="CD385" s="1053"/>
      <c r="CE385" s="1053"/>
      <c r="CF385" s="1053"/>
      <c r="CG385" s="1053"/>
      <c r="CH385" s="1053"/>
      <c r="CI385" s="1123"/>
      <c r="CJ385" s="1123"/>
      <c r="CK385" s="1123"/>
      <c r="CL385" s="1123"/>
      <c r="CM385" s="1123"/>
      <c r="CN385" s="1123"/>
      <c r="CO385" s="1123"/>
      <c r="CP385" s="1123"/>
      <c r="CQ385" s="1123"/>
      <c r="CR385" s="1123"/>
      <c r="CS385" s="1123"/>
      <c r="CT385" s="1123"/>
      <c r="CU385" s="1123"/>
      <c r="CV385" s="1123"/>
      <c r="CW385" s="1123"/>
      <c r="CX385" s="1123"/>
      <c r="CY385" s="1123"/>
      <c r="CZ385" s="1114"/>
      <c r="DA385" s="1114"/>
      <c r="DB385" s="1114"/>
      <c r="DC385" s="1114"/>
      <c r="DD385" s="1114"/>
      <c r="DE385" s="1114"/>
      <c r="DF385" s="1114"/>
      <c r="DG385" s="1114"/>
      <c r="DH385" s="1114"/>
      <c r="DI385" s="1114"/>
      <c r="DJ385" s="1114"/>
      <c r="DK385" s="1114"/>
      <c r="DL385" s="1114"/>
      <c r="DM385" s="1114"/>
      <c r="DN385" s="1114"/>
      <c r="DO385" s="1114"/>
      <c r="DP385" s="1114"/>
      <c r="DQ385" s="1114"/>
      <c r="DR385" s="1114"/>
      <c r="DS385" s="1114"/>
      <c r="DT385" s="1114"/>
      <c r="DU385" s="1114"/>
      <c r="DV385" s="1115"/>
      <c r="DW385" s="1116"/>
      <c r="DX385" s="1116"/>
      <c r="DY385" s="1116"/>
      <c r="DZ385" s="1116"/>
      <c r="EA385" s="1116"/>
      <c r="EB385" s="1116"/>
      <c r="EC385" s="1116"/>
      <c r="ED385" s="1116"/>
      <c r="EE385" s="1116"/>
      <c r="EF385" s="1116"/>
      <c r="EG385" s="1116"/>
      <c r="EH385" s="1116"/>
      <c r="EI385" s="1116"/>
      <c r="EJ385" s="1116"/>
      <c r="EK385" s="1116"/>
      <c r="EL385" s="1116"/>
      <c r="EM385" s="1116"/>
      <c r="EN385" s="1116"/>
      <c r="EO385" s="1116"/>
      <c r="EP385" s="1116"/>
      <c r="EQ385" s="1116"/>
      <c r="ER385" s="1116"/>
      <c r="ES385" s="1116"/>
    </row>
    <row r="386" spans="1:149" ht="15" customHeight="1">
      <c r="A386" s="1185">
        <v>371</v>
      </c>
      <c r="B386" s="1041"/>
      <c r="C386" s="1050"/>
      <c r="D386" s="1050"/>
      <c r="E386" s="1050"/>
      <c r="F386" s="1049"/>
      <c r="G386" s="1457"/>
      <c r="H386" s="1049"/>
      <c r="I386" s="1049"/>
      <c r="J386" s="1050"/>
      <c r="K386" s="1050"/>
      <c r="L386" s="1043"/>
      <c r="M386" s="1051"/>
      <c r="N386" s="1051"/>
      <c r="O386" s="1052"/>
      <c r="P386" s="1051"/>
      <c r="Q386" s="1051"/>
      <c r="R386" s="1052"/>
      <c r="S386" s="1051"/>
      <c r="T386" s="1051"/>
      <c r="U386" s="1052"/>
      <c r="V386" s="1051"/>
      <c r="W386" s="1051"/>
      <c r="X386" s="1052"/>
      <c r="Y386" s="1053"/>
      <c r="Z386" s="1051"/>
      <c r="AA386" s="1051"/>
      <c r="AB386" s="1052"/>
      <c r="AC386" s="1051"/>
      <c r="AD386" s="1051"/>
      <c r="AE386" s="1052"/>
      <c r="AF386" s="1051"/>
      <c r="AG386" s="1051"/>
      <c r="AH386" s="1051"/>
      <c r="AI386" s="1051"/>
      <c r="AJ386" s="1052"/>
      <c r="AK386" s="1051"/>
      <c r="AL386" s="1051"/>
      <c r="AM386" s="1052"/>
      <c r="AN386" s="1051"/>
      <c r="AO386" s="1051"/>
      <c r="AP386" s="1052"/>
      <c r="AQ386" s="1051"/>
      <c r="AR386" s="1051"/>
      <c r="AS386" s="1052"/>
      <c r="AT386" s="1051"/>
      <c r="AU386" s="1051"/>
      <c r="AV386" s="1052"/>
      <c r="AW386" s="1051"/>
      <c r="AX386" s="1051"/>
      <c r="AY386" s="1053"/>
      <c r="AZ386" s="1051"/>
      <c r="BA386" s="1051"/>
      <c r="BB386" s="1053"/>
      <c r="BC386" s="1051"/>
      <c r="BD386" s="1051"/>
      <c r="BE386" s="1053"/>
      <c r="BF386" s="1051"/>
      <c r="BG386" s="1051"/>
      <c r="BH386" s="1053"/>
      <c r="BI386" s="1052"/>
      <c r="BJ386" s="1052"/>
      <c r="BK386" s="1052"/>
      <c r="BL386" s="1052"/>
      <c r="BM386" s="1052"/>
      <c r="BN386" s="1054"/>
      <c r="BO386" s="1076">
        <f t="shared" si="16"/>
        <v>0</v>
      </c>
      <c r="BP386" s="1051"/>
      <c r="BQ386" s="1052"/>
      <c r="BR386" s="1054"/>
      <c r="BS386" s="1053"/>
      <c r="BT386" s="1051"/>
      <c r="BU386" s="1051"/>
      <c r="BV386" s="1051"/>
      <c r="BW386" s="1052"/>
      <c r="BX386" s="1052"/>
      <c r="BY386" s="1052"/>
      <c r="BZ386" s="1052"/>
      <c r="CA386" s="1052"/>
      <c r="CB386" s="1053"/>
      <c r="CC386" s="1053"/>
      <c r="CD386" s="1053"/>
      <c r="CE386" s="1053"/>
      <c r="CF386" s="1053"/>
      <c r="CG386" s="1053"/>
      <c r="CH386" s="1053"/>
      <c r="CI386" s="1123"/>
      <c r="CJ386" s="1123"/>
      <c r="CK386" s="1123"/>
      <c r="CL386" s="1123"/>
      <c r="CM386" s="1123"/>
      <c r="CN386" s="1123"/>
      <c r="CO386" s="1123"/>
      <c r="CP386" s="1123"/>
      <c r="CQ386" s="1123"/>
      <c r="CR386" s="1123"/>
      <c r="CS386" s="1123"/>
      <c r="CT386" s="1123"/>
      <c r="CU386" s="1123"/>
      <c r="CV386" s="1123"/>
      <c r="CW386" s="1123"/>
      <c r="CX386" s="1123"/>
      <c r="CY386" s="1123"/>
      <c r="CZ386" s="1114"/>
      <c r="DA386" s="1114"/>
      <c r="DB386" s="1114"/>
      <c r="DC386" s="1114"/>
      <c r="DD386" s="1114"/>
      <c r="DE386" s="1114"/>
      <c r="DF386" s="1114"/>
      <c r="DG386" s="1114"/>
      <c r="DH386" s="1114"/>
      <c r="DI386" s="1114"/>
      <c r="DJ386" s="1114"/>
      <c r="DK386" s="1114"/>
      <c r="DL386" s="1114"/>
      <c r="DM386" s="1114"/>
      <c r="DN386" s="1114"/>
      <c r="DO386" s="1114"/>
      <c r="DP386" s="1114"/>
      <c r="DQ386" s="1114"/>
      <c r="DR386" s="1114"/>
      <c r="DS386" s="1114"/>
      <c r="DT386" s="1114"/>
      <c r="DU386" s="1114"/>
      <c r="DV386" s="1115"/>
      <c r="DW386" s="1116"/>
      <c r="DX386" s="1116"/>
      <c r="DY386" s="1116"/>
      <c r="DZ386" s="1116"/>
      <c r="EA386" s="1116"/>
      <c r="EB386" s="1116"/>
      <c r="EC386" s="1116"/>
      <c r="ED386" s="1116"/>
      <c r="EE386" s="1116"/>
      <c r="EF386" s="1116"/>
      <c r="EG386" s="1116"/>
      <c r="EH386" s="1116"/>
      <c r="EI386" s="1116"/>
      <c r="EJ386" s="1116"/>
      <c r="EK386" s="1116"/>
      <c r="EL386" s="1116"/>
      <c r="EM386" s="1116"/>
      <c r="EN386" s="1116"/>
      <c r="EO386" s="1116"/>
      <c r="EP386" s="1116"/>
      <c r="EQ386" s="1116"/>
      <c r="ER386" s="1116"/>
      <c r="ES386" s="1116"/>
    </row>
    <row r="387" spans="1:149" ht="15" customHeight="1">
      <c r="A387" s="1185">
        <v>372</v>
      </c>
      <c r="B387" s="1041"/>
      <c r="C387" s="1050"/>
      <c r="D387" s="1050"/>
      <c r="E387" s="1050"/>
      <c r="F387" s="1049"/>
      <c r="G387" s="1457"/>
      <c r="H387" s="1049"/>
      <c r="I387" s="1049"/>
      <c r="J387" s="1050"/>
      <c r="K387" s="1050"/>
      <c r="L387" s="1043"/>
      <c r="M387" s="1051"/>
      <c r="N387" s="1051"/>
      <c r="O387" s="1052"/>
      <c r="P387" s="1051"/>
      <c r="Q387" s="1051"/>
      <c r="R387" s="1052"/>
      <c r="S387" s="1051"/>
      <c r="T387" s="1051"/>
      <c r="U387" s="1052"/>
      <c r="V387" s="1051"/>
      <c r="W387" s="1051"/>
      <c r="X387" s="1052"/>
      <c r="Y387" s="1053"/>
      <c r="Z387" s="1051"/>
      <c r="AA387" s="1051"/>
      <c r="AB387" s="1052"/>
      <c r="AC387" s="1051"/>
      <c r="AD387" s="1051"/>
      <c r="AE387" s="1052"/>
      <c r="AF387" s="1051"/>
      <c r="AG387" s="1051"/>
      <c r="AH387" s="1051"/>
      <c r="AI387" s="1051"/>
      <c r="AJ387" s="1052"/>
      <c r="AK387" s="1051"/>
      <c r="AL387" s="1051"/>
      <c r="AM387" s="1052"/>
      <c r="AN387" s="1051"/>
      <c r="AO387" s="1051"/>
      <c r="AP387" s="1052"/>
      <c r="AQ387" s="1051"/>
      <c r="AR387" s="1051"/>
      <c r="AS387" s="1052"/>
      <c r="AT387" s="1051"/>
      <c r="AU387" s="1051"/>
      <c r="AV387" s="1052"/>
      <c r="AW387" s="1051"/>
      <c r="AX387" s="1051"/>
      <c r="AY387" s="1053"/>
      <c r="AZ387" s="1051"/>
      <c r="BA387" s="1051"/>
      <c r="BB387" s="1053"/>
      <c r="BC387" s="1051"/>
      <c r="BD387" s="1051"/>
      <c r="BE387" s="1053"/>
      <c r="BF387" s="1051"/>
      <c r="BG387" s="1051"/>
      <c r="BH387" s="1053"/>
      <c r="BI387" s="1052"/>
      <c r="BJ387" s="1052"/>
      <c r="BK387" s="1052"/>
      <c r="BL387" s="1052"/>
      <c r="BM387" s="1052"/>
      <c r="BN387" s="1054"/>
      <c r="BO387" s="1076">
        <f t="shared" si="16"/>
        <v>0</v>
      </c>
      <c r="BP387" s="1051"/>
      <c r="BQ387" s="1052"/>
      <c r="BR387" s="1054"/>
      <c r="BS387" s="1053"/>
      <c r="BT387" s="1051"/>
      <c r="BU387" s="1051"/>
      <c r="BV387" s="1051"/>
      <c r="BW387" s="1052"/>
      <c r="BX387" s="1052"/>
      <c r="BY387" s="1052"/>
      <c r="BZ387" s="1052"/>
      <c r="CA387" s="1052"/>
      <c r="CB387" s="1053"/>
      <c r="CC387" s="1053"/>
      <c r="CD387" s="1053"/>
      <c r="CE387" s="1053"/>
      <c r="CF387" s="1053"/>
      <c r="CG387" s="1053"/>
      <c r="CH387" s="1053"/>
      <c r="CI387" s="1123"/>
      <c r="CJ387" s="1123"/>
      <c r="CK387" s="1123"/>
      <c r="CL387" s="1123"/>
      <c r="CM387" s="1123"/>
      <c r="CN387" s="1123"/>
      <c r="CO387" s="1123"/>
      <c r="CP387" s="1123"/>
      <c r="CQ387" s="1123"/>
      <c r="CR387" s="1123"/>
      <c r="CS387" s="1123"/>
      <c r="CT387" s="1123"/>
      <c r="CU387" s="1123"/>
      <c r="CV387" s="1123"/>
      <c r="CW387" s="1123"/>
      <c r="CX387" s="1123"/>
      <c r="CY387" s="1123"/>
      <c r="CZ387" s="1114"/>
      <c r="DA387" s="1114"/>
      <c r="DB387" s="1114"/>
      <c r="DC387" s="1114"/>
      <c r="DD387" s="1114"/>
      <c r="DE387" s="1114"/>
      <c r="DF387" s="1114"/>
      <c r="DG387" s="1114"/>
      <c r="DH387" s="1114"/>
      <c r="DI387" s="1114"/>
      <c r="DJ387" s="1114"/>
      <c r="DK387" s="1114"/>
      <c r="DL387" s="1114"/>
      <c r="DM387" s="1114"/>
      <c r="DN387" s="1114"/>
      <c r="DO387" s="1114"/>
      <c r="DP387" s="1114"/>
      <c r="DQ387" s="1114"/>
      <c r="DR387" s="1114"/>
      <c r="DS387" s="1114"/>
      <c r="DT387" s="1114"/>
      <c r="DU387" s="1114"/>
      <c r="DV387" s="1115"/>
      <c r="DW387" s="1116"/>
      <c r="DX387" s="1116"/>
      <c r="DY387" s="1116"/>
      <c r="DZ387" s="1116"/>
      <c r="EA387" s="1116"/>
      <c r="EB387" s="1116"/>
      <c r="EC387" s="1116"/>
      <c r="ED387" s="1116"/>
      <c r="EE387" s="1116"/>
      <c r="EF387" s="1116"/>
      <c r="EG387" s="1116"/>
      <c r="EH387" s="1116"/>
      <c r="EI387" s="1116"/>
      <c r="EJ387" s="1116"/>
      <c r="EK387" s="1116"/>
      <c r="EL387" s="1116"/>
      <c r="EM387" s="1116"/>
      <c r="EN387" s="1116"/>
      <c r="EO387" s="1116"/>
      <c r="EP387" s="1116"/>
      <c r="EQ387" s="1116"/>
      <c r="ER387" s="1116"/>
      <c r="ES387" s="1116"/>
    </row>
    <row r="388" spans="1:149" ht="15" customHeight="1">
      <c r="A388" s="1185">
        <v>373</v>
      </c>
      <c r="B388" s="1041"/>
      <c r="C388" s="1050"/>
      <c r="D388" s="1050"/>
      <c r="E388" s="1050"/>
      <c r="F388" s="1049"/>
      <c r="G388" s="1457"/>
      <c r="H388" s="1049"/>
      <c r="I388" s="1049"/>
      <c r="J388" s="1050"/>
      <c r="K388" s="1050"/>
      <c r="L388" s="1043"/>
      <c r="M388" s="1051"/>
      <c r="N388" s="1051"/>
      <c r="O388" s="1052"/>
      <c r="P388" s="1051"/>
      <c r="Q388" s="1051"/>
      <c r="R388" s="1052"/>
      <c r="S388" s="1051"/>
      <c r="T388" s="1051"/>
      <c r="U388" s="1052"/>
      <c r="V388" s="1051"/>
      <c r="W388" s="1051"/>
      <c r="X388" s="1052"/>
      <c r="Y388" s="1053"/>
      <c r="Z388" s="1051"/>
      <c r="AA388" s="1051"/>
      <c r="AB388" s="1052"/>
      <c r="AC388" s="1051"/>
      <c r="AD388" s="1051"/>
      <c r="AE388" s="1052"/>
      <c r="AF388" s="1051"/>
      <c r="AG388" s="1051"/>
      <c r="AH388" s="1051"/>
      <c r="AI388" s="1051"/>
      <c r="AJ388" s="1052"/>
      <c r="AK388" s="1051"/>
      <c r="AL388" s="1051"/>
      <c r="AM388" s="1052"/>
      <c r="AN388" s="1051"/>
      <c r="AO388" s="1051"/>
      <c r="AP388" s="1052"/>
      <c r="AQ388" s="1051"/>
      <c r="AR388" s="1051"/>
      <c r="AS388" s="1052"/>
      <c r="AT388" s="1051"/>
      <c r="AU388" s="1051"/>
      <c r="AV388" s="1052"/>
      <c r="AW388" s="1051"/>
      <c r="AX388" s="1051"/>
      <c r="AY388" s="1053"/>
      <c r="AZ388" s="1051"/>
      <c r="BA388" s="1051"/>
      <c r="BB388" s="1053"/>
      <c r="BC388" s="1051"/>
      <c r="BD388" s="1051"/>
      <c r="BE388" s="1053"/>
      <c r="BF388" s="1051"/>
      <c r="BG388" s="1051"/>
      <c r="BH388" s="1053"/>
      <c r="BI388" s="1052"/>
      <c r="BJ388" s="1052"/>
      <c r="BK388" s="1052"/>
      <c r="BL388" s="1052"/>
      <c r="BM388" s="1052"/>
      <c r="BN388" s="1054"/>
      <c r="BO388" s="1076">
        <f t="shared" si="16"/>
        <v>0</v>
      </c>
      <c r="BP388" s="1051"/>
      <c r="BQ388" s="1052"/>
      <c r="BR388" s="1054"/>
      <c r="BS388" s="1053"/>
      <c r="BT388" s="1051"/>
      <c r="BU388" s="1051"/>
      <c r="BV388" s="1051"/>
      <c r="BW388" s="1052"/>
      <c r="BX388" s="1052"/>
      <c r="BY388" s="1052"/>
      <c r="BZ388" s="1052"/>
      <c r="CA388" s="1052"/>
      <c r="CB388" s="1053"/>
      <c r="CC388" s="1053"/>
      <c r="CD388" s="1053"/>
      <c r="CE388" s="1053"/>
      <c r="CF388" s="1053"/>
      <c r="CG388" s="1053"/>
      <c r="CH388" s="1053"/>
      <c r="CI388" s="1123"/>
      <c r="CJ388" s="1123"/>
      <c r="CK388" s="1123"/>
      <c r="CL388" s="1123"/>
      <c r="CM388" s="1123"/>
      <c r="CN388" s="1123"/>
      <c r="CO388" s="1123"/>
      <c r="CP388" s="1123"/>
      <c r="CQ388" s="1123"/>
      <c r="CR388" s="1123"/>
      <c r="CS388" s="1123"/>
      <c r="CT388" s="1123"/>
      <c r="CU388" s="1123"/>
      <c r="CV388" s="1123"/>
      <c r="CW388" s="1123"/>
      <c r="CX388" s="1123"/>
      <c r="CY388" s="1123"/>
      <c r="CZ388" s="1114"/>
      <c r="DA388" s="1114"/>
      <c r="DB388" s="1114"/>
      <c r="DC388" s="1114"/>
      <c r="DD388" s="1114"/>
      <c r="DE388" s="1114"/>
      <c r="DF388" s="1114"/>
      <c r="DG388" s="1114"/>
      <c r="DH388" s="1114"/>
      <c r="DI388" s="1114"/>
      <c r="DJ388" s="1114"/>
      <c r="DK388" s="1114"/>
      <c r="DL388" s="1114"/>
      <c r="DM388" s="1114"/>
      <c r="DN388" s="1114"/>
      <c r="DO388" s="1114"/>
      <c r="DP388" s="1114"/>
      <c r="DQ388" s="1114"/>
      <c r="DR388" s="1114"/>
      <c r="DS388" s="1114"/>
      <c r="DT388" s="1114"/>
      <c r="DU388" s="1114"/>
      <c r="DV388" s="1115"/>
      <c r="DW388" s="1116"/>
      <c r="DX388" s="1116"/>
      <c r="DY388" s="1116"/>
      <c r="DZ388" s="1116"/>
      <c r="EA388" s="1116"/>
      <c r="EB388" s="1116"/>
      <c r="EC388" s="1116"/>
      <c r="ED388" s="1116"/>
      <c r="EE388" s="1116"/>
      <c r="EF388" s="1116"/>
      <c r="EG388" s="1116"/>
      <c r="EH388" s="1116"/>
      <c r="EI388" s="1116"/>
      <c r="EJ388" s="1116"/>
      <c r="EK388" s="1116"/>
      <c r="EL388" s="1116"/>
      <c r="EM388" s="1116"/>
      <c r="EN388" s="1116"/>
      <c r="EO388" s="1116"/>
      <c r="EP388" s="1116"/>
      <c r="EQ388" s="1116"/>
      <c r="ER388" s="1116"/>
      <c r="ES388" s="1116"/>
    </row>
    <row r="389" spans="1:149" ht="15" customHeight="1">
      <c r="A389" s="1185">
        <v>374</v>
      </c>
      <c r="B389" s="1041"/>
      <c r="C389" s="1050"/>
      <c r="D389" s="1050"/>
      <c r="E389" s="1050"/>
      <c r="F389" s="1049"/>
      <c r="G389" s="1457"/>
      <c r="H389" s="1049"/>
      <c r="I389" s="1049"/>
      <c r="J389" s="1050"/>
      <c r="K389" s="1050"/>
      <c r="L389" s="1043"/>
      <c r="M389" s="1051"/>
      <c r="N389" s="1051"/>
      <c r="O389" s="1052"/>
      <c r="P389" s="1051"/>
      <c r="Q389" s="1051"/>
      <c r="R389" s="1052"/>
      <c r="S389" s="1051"/>
      <c r="T389" s="1051"/>
      <c r="U389" s="1052"/>
      <c r="V389" s="1051"/>
      <c r="W389" s="1051"/>
      <c r="X389" s="1052"/>
      <c r="Y389" s="1053"/>
      <c r="Z389" s="1051"/>
      <c r="AA389" s="1051"/>
      <c r="AB389" s="1052"/>
      <c r="AC389" s="1051"/>
      <c r="AD389" s="1051"/>
      <c r="AE389" s="1052"/>
      <c r="AF389" s="1051"/>
      <c r="AG389" s="1051"/>
      <c r="AH389" s="1051"/>
      <c r="AI389" s="1051"/>
      <c r="AJ389" s="1052"/>
      <c r="AK389" s="1051"/>
      <c r="AL389" s="1051"/>
      <c r="AM389" s="1052"/>
      <c r="AN389" s="1051"/>
      <c r="AO389" s="1051"/>
      <c r="AP389" s="1052"/>
      <c r="AQ389" s="1051"/>
      <c r="AR389" s="1051"/>
      <c r="AS389" s="1052"/>
      <c r="AT389" s="1051"/>
      <c r="AU389" s="1051"/>
      <c r="AV389" s="1052"/>
      <c r="AW389" s="1051"/>
      <c r="AX389" s="1051"/>
      <c r="AY389" s="1053"/>
      <c r="AZ389" s="1051"/>
      <c r="BA389" s="1051"/>
      <c r="BB389" s="1053"/>
      <c r="BC389" s="1051"/>
      <c r="BD389" s="1051"/>
      <c r="BE389" s="1053"/>
      <c r="BF389" s="1051"/>
      <c r="BG389" s="1051"/>
      <c r="BH389" s="1053"/>
      <c r="BI389" s="1052"/>
      <c r="BJ389" s="1052"/>
      <c r="BK389" s="1052"/>
      <c r="BL389" s="1052"/>
      <c r="BM389" s="1052"/>
      <c r="BN389" s="1054"/>
      <c r="BO389" s="1076">
        <f t="shared" si="16"/>
        <v>0</v>
      </c>
      <c r="BP389" s="1051"/>
      <c r="BQ389" s="1052"/>
      <c r="BR389" s="1054"/>
      <c r="BS389" s="1053"/>
      <c r="BT389" s="1051"/>
      <c r="BU389" s="1051"/>
      <c r="BV389" s="1051"/>
      <c r="BW389" s="1052"/>
      <c r="BX389" s="1052"/>
      <c r="BY389" s="1052"/>
      <c r="BZ389" s="1052"/>
      <c r="CA389" s="1052"/>
      <c r="CB389" s="1053"/>
      <c r="CC389" s="1053"/>
      <c r="CD389" s="1053"/>
      <c r="CE389" s="1053"/>
      <c r="CF389" s="1053"/>
      <c r="CG389" s="1053"/>
      <c r="CH389" s="1053"/>
      <c r="CI389" s="1123"/>
      <c r="CJ389" s="1123"/>
      <c r="CK389" s="1123"/>
      <c r="CL389" s="1123"/>
      <c r="CM389" s="1123"/>
      <c r="CN389" s="1123"/>
      <c r="CO389" s="1123"/>
      <c r="CP389" s="1123"/>
      <c r="CQ389" s="1123"/>
      <c r="CR389" s="1123"/>
      <c r="CS389" s="1123"/>
      <c r="CT389" s="1123"/>
      <c r="CU389" s="1123"/>
      <c r="CV389" s="1123"/>
      <c r="CW389" s="1123"/>
      <c r="CX389" s="1123"/>
      <c r="CY389" s="1123"/>
      <c r="CZ389" s="1114"/>
      <c r="DA389" s="1114"/>
      <c r="DB389" s="1114"/>
      <c r="DC389" s="1114"/>
      <c r="DD389" s="1114"/>
      <c r="DE389" s="1114"/>
      <c r="DF389" s="1114"/>
      <c r="DG389" s="1114"/>
      <c r="DH389" s="1114"/>
      <c r="DI389" s="1114"/>
      <c r="DJ389" s="1114"/>
      <c r="DK389" s="1114"/>
      <c r="DL389" s="1114"/>
      <c r="DM389" s="1114"/>
      <c r="DN389" s="1114"/>
      <c r="DO389" s="1114"/>
      <c r="DP389" s="1114"/>
      <c r="DQ389" s="1114"/>
      <c r="DR389" s="1114"/>
      <c r="DS389" s="1114"/>
      <c r="DT389" s="1114"/>
      <c r="DU389" s="1114"/>
      <c r="DV389" s="1115"/>
      <c r="DW389" s="1116"/>
      <c r="DX389" s="1116"/>
      <c r="DY389" s="1116"/>
      <c r="DZ389" s="1116"/>
      <c r="EA389" s="1116"/>
      <c r="EB389" s="1116"/>
      <c r="EC389" s="1116"/>
      <c r="ED389" s="1116"/>
      <c r="EE389" s="1116"/>
      <c r="EF389" s="1116"/>
      <c r="EG389" s="1116"/>
      <c r="EH389" s="1116"/>
      <c r="EI389" s="1116"/>
      <c r="EJ389" s="1116"/>
      <c r="EK389" s="1116"/>
      <c r="EL389" s="1116"/>
      <c r="EM389" s="1116"/>
      <c r="EN389" s="1116"/>
      <c r="EO389" s="1116"/>
      <c r="EP389" s="1116"/>
      <c r="EQ389" s="1116"/>
      <c r="ER389" s="1116"/>
      <c r="ES389" s="1116"/>
    </row>
    <row r="390" spans="1:149" ht="15" customHeight="1">
      <c r="A390" s="1185">
        <v>375</v>
      </c>
      <c r="B390" s="1041"/>
      <c r="C390" s="1050"/>
      <c r="D390" s="1050"/>
      <c r="E390" s="1050"/>
      <c r="F390" s="1049"/>
      <c r="G390" s="1457"/>
      <c r="H390" s="1049"/>
      <c r="I390" s="1049"/>
      <c r="J390" s="1050"/>
      <c r="K390" s="1050"/>
      <c r="L390" s="1043"/>
      <c r="M390" s="1051"/>
      <c r="N390" s="1051"/>
      <c r="O390" s="1052"/>
      <c r="P390" s="1051"/>
      <c r="Q390" s="1051"/>
      <c r="R390" s="1052"/>
      <c r="S390" s="1051"/>
      <c r="T390" s="1051"/>
      <c r="U390" s="1052"/>
      <c r="V390" s="1051"/>
      <c r="W390" s="1051"/>
      <c r="X390" s="1052"/>
      <c r="Y390" s="1053"/>
      <c r="Z390" s="1051"/>
      <c r="AA390" s="1051"/>
      <c r="AB390" s="1052"/>
      <c r="AC390" s="1051"/>
      <c r="AD390" s="1051"/>
      <c r="AE390" s="1052"/>
      <c r="AF390" s="1051"/>
      <c r="AG390" s="1051"/>
      <c r="AH390" s="1051"/>
      <c r="AI390" s="1051"/>
      <c r="AJ390" s="1052"/>
      <c r="AK390" s="1051"/>
      <c r="AL390" s="1051"/>
      <c r="AM390" s="1052"/>
      <c r="AN390" s="1051"/>
      <c r="AO390" s="1051"/>
      <c r="AP390" s="1052"/>
      <c r="AQ390" s="1051"/>
      <c r="AR390" s="1051"/>
      <c r="AS390" s="1052"/>
      <c r="AT390" s="1051"/>
      <c r="AU390" s="1051"/>
      <c r="AV390" s="1052"/>
      <c r="AW390" s="1051"/>
      <c r="AX390" s="1051"/>
      <c r="AY390" s="1053"/>
      <c r="AZ390" s="1051"/>
      <c r="BA390" s="1051"/>
      <c r="BB390" s="1053"/>
      <c r="BC390" s="1051"/>
      <c r="BD390" s="1051"/>
      <c r="BE390" s="1053"/>
      <c r="BF390" s="1051"/>
      <c r="BG390" s="1051"/>
      <c r="BH390" s="1053"/>
      <c r="BI390" s="1052"/>
      <c r="BJ390" s="1052"/>
      <c r="BK390" s="1052"/>
      <c r="BL390" s="1052"/>
      <c r="BM390" s="1052"/>
      <c r="BN390" s="1054"/>
      <c r="BO390" s="1076">
        <f t="shared" si="16"/>
        <v>0</v>
      </c>
      <c r="BP390" s="1051"/>
      <c r="BQ390" s="1052"/>
      <c r="BR390" s="1054"/>
      <c r="BS390" s="1053"/>
      <c r="BT390" s="1051"/>
      <c r="BU390" s="1051"/>
      <c r="BV390" s="1051"/>
      <c r="BW390" s="1052"/>
      <c r="BX390" s="1052"/>
      <c r="BY390" s="1052"/>
      <c r="BZ390" s="1052"/>
      <c r="CA390" s="1052"/>
      <c r="CB390" s="1053"/>
      <c r="CC390" s="1053"/>
      <c r="CD390" s="1053"/>
      <c r="CE390" s="1053"/>
      <c r="CF390" s="1053"/>
      <c r="CG390" s="1053"/>
      <c r="CH390" s="1053"/>
      <c r="CI390" s="1123"/>
      <c r="CJ390" s="1123"/>
      <c r="CK390" s="1123"/>
      <c r="CL390" s="1123"/>
      <c r="CM390" s="1123"/>
      <c r="CN390" s="1123"/>
      <c r="CO390" s="1123"/>
      <c r="CP390" s="1123"/>
      <c r="CQ390" s="1123"/>
      <c r="CR390" s="1123"/>
      <c r="CS390" s="1123"/>
      <c r="CT390" s="1123"/>
      <c r="CU390" s="1123"/>
      <c r="CV390" s="1123"/>
      <c r="CW390" s="1123"/>
      <c r="CX390" s="1123"/>
      <c r="CY390" s="1123"/>
      <c r="CZ390" s="1114"/>
      <c r="DA390" s="1114"/>
      <c r="DB390" s="1114"/>
      <c r="DC390" s="1114"/>
      <c r="DD390" s="1114"/>
      <c r="DE390" s="1114"/>
      <c r="DF390" s="1114"/>
      <c r="DG390" s="1114"/>
      <c r="DH390" s="1114"/>
      <c r="DI390" s="1114"/>
      <c r="DJ390" s="1114"/>
      <c r="DK390" s="1114"/>
      <c r="DL390" s="1114"/>
      <c r="DM390" s="1114"/>
      <c r="DN390" s="1114"/>
      <c r="DO390" s="1114"/>
      <c r="DP390" s="1114"/>
      <c r="DQ390" s="1114"/>
      <c r="DR390" s="1114"/>
      <c r="DS390" s="1114"/>
      <c r="DT390" s="1114"/>
      <c r="DU390" s="1114"/>
      <c r="DV390" s="1115"/>
      <c r="DW390" s="1116"/>
      <c r="DX390" s="1116"/>
      <c r="DY390" s="1116"/>
      <c r="DZ390" s="1116"/>
      <c r="EA390" s="1116"/>
      <c r="EB390" s="1116"/>
      <c r="EC390" s="1116"/>
      <c r="ED390" s="1116"/>
      <c r="EE390" s="1116"/>
      <c r="EF390" s="1116"/>
      <c r="EG390" s="1116"/>
      <c r="EH390" s="1116"/>
      <c r="EI390" s="1116"/>
      <c r="EJ390" s="1116"/>
      <c r="EK390" s="1116"/>
      <c r="EL390" s="1116"/>
      <c r="EM390" s="1116"/>
      <c r="EN390" s="1116"/>
      <c r="EO390" s="1116"/>
      <c r="EP390" s="1116"/>
      <c r="EQ390" s="1116"/>
      <c r="ER390" s="1116"/>
      <c r="ES390" s="1116"/>
    </row>
    <row r="391" spans="1:149" ht="15" customHeight="1">
      <c r="A391" s="1185">
        <v>376</v>
      </c>
      <c r="B391" s="1041"/>
      <c r="C391" s="1050"/>
      <c r="D391" s="1050"/>
      <c r="E391" s="1050"/>
      <c r="F391" s="1049"/>
      <c r="G391" s="1457"/>
      <c r="H391" s="1049"/>
      <c r="I391" s="1049"/>
      <c r="J391" s="1050"/>
      <c r="K391" s="1050"/>
      <c r="L391" s="1043"/>
      <c r="M391" s="1051"/>
      <c r="N391" s="1051"/>
      <c r="O391" s="1052"/>
      <c r="P391" s="1051"/>
      <c r="Q391" s="1051"/>
      <c r="R391" s="1052"/>
      <c r="S391" s="1051"/>
      <c r="T391" s="1051"/>
      <c r="U391" s="1052"/>
      <c r="V391" s="1051"/>
      <c r="W391" s="1051"/>
      <c r="X391" s="1052"/>
      <c r="Y391" s="1053"/>
      <c r="Z391" s="1051"/>
      <c r="AA391" s="1051"/>
      <c r="AB391" s="1052"/>
      <c r="AC391" s="1051"/>
      <c r="AD391" s="1051"/>
      <c r="AE391" s="1052"/>
      <c r="AF391" s="1051"/>
      <c r="AG391" s="1051"/>
      <c r="AH391" s="1051"/>
      <c r="AI391" s="1051"/>
      <c r="AJ391" s="1052"/>
      <c r="AK391" s="1051"/>
      <c r="AL391" s="1051"/>
      <c r="AM391" s="1052"/>
      <c r="AN391" s="1051"/>
      <c r="AO391" s="1051"/>
      <c r="AP391" s="1052"/>
      <c r="AQ391" s="1051"/>
      <c r="AR391" s="1051"/>
      <c r="AS391" s="1052"/>
      <c r="AT391" s="1051"/>
      <c r="AU391" s="1051"/>
      <c r="AV391" s="1052"/>
      <c r="AW391" s="1051"/>
      <c r="AX391" s="1051"/>
      <c r="AY391" s="1053"/>
      <c r="AZ391" s="1051"/>
      <c r="BA391" s="1051"/>
      <c r="BB391" s="1053"/>
      <c r="BC391" s="1051"/>
      <c r="BD391" s="1051"/>
      <c r="BE391" s="1053"/>
      <c r="BF391" s="1051"/>
      <c r="BG391" s="1051"/>
      <c r="BH391" s="1053"/>
      <c r="BI391" s="1052"/>
      <c r="BJ391" s="1052"/>
      <c r="BK391" s="1052"/>
      <c r="BL391" s="1052"/>
      <c r="BM391" s="1052"/>
      <c r="BN391" s="1054"/>
      <c r="BO391" s="1076">
        <f t="shared" si="16"/>
        <v>0</v>
      </c>
      <c r="BP391" s="1051"/>
      <c r="BQ391" s="1052"/>
      <c r="BR391" s="1054"/>
      <c r="BS391" s="1053"/>
      <c r="BT391" s="1051"/>
      <c r="BU391" s="1051"/>
      <c r="BV391" s="1051"/>
      <c r="BW391" s="1052"/>
      <c r="BX391" s="1052"/>
      <c r="BY391" s="1052"/>
      <c r="BZ391" s="1052"/>
      <c r="CA391" s="1052"/>
      <c r="CB391" s="1053"/>
      <c r="CC391" s="1053"/>
      <c r="CD391" s="1053"/>
      <c r="CE391" s="1053"/>
      <c r="CF391" s="1053"/>
      <c r="CG391" s="1053"/>
      <c r="CH391" s="1053"/>
      <c r="CI391" s="1123"/>
      <c r="CJ391" s="1123"/>
      <c r="CK391" s="1123"/>
      <c r="CL391" s="1123"/>
      <c r="CM391" s="1123"/>
      <c r="CN391" s="1123"/>
      <c r="CO391" s="1123"/>
      <c r="CP391" s="1123"/>
      <c r="CQ391" s="1123"/>
      <c r="CR391" s="1123"/>
      <c r="CS391" s="1123"/>
      <c r="CT391" s="1123"/>
      <c r="CU391" s="1123"/>
      <c r="CV391" s="1123"/>
      <c r="CW391" s="1123"/>
      <c r="CX391" s="1123"/>
      <c r="CY391" s="1123"/>
      <c r="CZ391" s="1114"/>
      <c r="DA391" s="1114"/>
      <c r="DB391" s="1114"/>
      <c r="DC391" s="1114"/>
      <c r="DD391" s="1114"/>
      <c r="DE391" s="1114"/>
      <c r="DF391" s="1114"/>
      <c r="DG391" s="1114"/>
      <c r="DH391" s="1114"/>
      <c r="DI391" s="1114"/>
      <c r="DJ391" s="1114"/>
      <c r="DK391" s="1114"/>
      <c r="DL391" s="1114"/>
      <c r="DM391" s="1114"/>
      <c r="DN391" s="1114"/>
      <c r="DO391" s="1114"/>
      <c r="DP391" s="1114"/>
      <c r="DQ391" s="1114"/>
      <c r="DR391" s="1114"/>
      <c r="DS391" s="1114"/>
      <c r="DT391" s="1114"/>
      <c r="DU391" s="1114"/>
      <c r="DV391" s="1115"/>
      <c r="DW391" s="1116"/>
      <c r="DX391" s="1116"/>
      <c r="DY391" s="1116"/>
      <c r="DZ391" s="1116"/>
      <c r="EA391" s="1116"/>
      <c r="EB391" s="1116"/>
      <c r="EC391" s="1116"/>
      <c r="ED391" s="1116"/>
      <c r="EE391" s="1116"/>
      <c r="EF391" s="1116"/>
      <c r="EG391" s="1116"/>
      <c r="EH391" s="1116"/>
      <c r="EI391" s="1116"/>
      <c r="EJ391" s="1116"/>
      <c r="EK391" s="1116"/>
      <c r="EL391" s="1116"/>
      <c r="EM391" s="1116"/>
      <c r="EN391" s="1116"/>
      <c r="EO391" s="1116"/>
      <c r="EP391" s="1116"/>
      <c r="EQ391" s="1116"/>
      <c r="ER391" s="1116"/>
      <c r="ES391" s="1116"/>
    </row>
    <row r="392" spans="1:149" ht="15" customHeight="1">
      <c r="A392" s="1185">
        <v>377</v>
      </c>
      <c r="B392" s="1041"/>
      <c r="C392" s="1050"/>
      <c r="D392" s="1050"/>
      <c r="E392" s="1050"/>
      <c r="F392" s="1049"/>
      <c r="G392" s="1457"/>
      <c r="H392" s="1049"/>
      <c r="I392" s="1049"/>
      <c r="J392" s="1050"/>
      <c r="K392" s="1050"/>
      <c r="L392" s="1043"/>
      <c r="M392" s="1051"/>
      <c r="N392" s="1051"/>
      <c r="O392" s="1052"/>
      <c r="P392" s="1051"/>
      <c r="Q392" s="1051"/>
      <c r="R392" s="1052"/>
      <c r="S392" s="1051"/>
      <c r="T392" s="1051"/>
      <c r="U392" s="1052"/>
      <c r="V392" s="1051"/>
      <c r="W392" s="1051"/>
      <c r="X392" s="1052"/>
      <c r="Y392" s="1053"/>
      <c r="Z392" s="1051"/>
      <c r="AA392" s="1051"/>
      <c r="AB392" s="1052"/>
      <c r="AC392" s="1051"/>
      <c r="AD392" s="1051"/>
      <c r="AE392" s="1052"/>
      <c r="AF392" s="1051"/>
      <c r="AG392" s="1051"/>
      <c r="AH392" s="1051"/>
      <c r="AI392" s="1051"/>
      <c r="AJ392" s="1052"/>
      <c r="AK392" s="1051"/>
      <c r="AL392" s="1051"/>
      <c r="AM392" s="1052"/>
      <c r="AN392" s="1051"/>
      <c r="AO392" s="1051"/>
      <c r="AP392" s="1052"/>
      <c r="AQ392" s="1051"/>
      <c r="AR392" s="1051"/>
      <c r="AS392" s="1052"/>
      <c r="AT392" s="1051"/>
      <c r="AU392" s="1051"/>
      <c r="AV392" s="1052"/>
      <c r="AW392" s="1051"/>
      <c r="AX392" s="1051"/>
      <c r="AY392" s="1053"/>
      <c r="AZ392" s="1051"/>
      <c r="BA392" s="1051"/>
      <c r="BB392" s="1053"/>
      <c r="BC392" s="1051"/>
      <c r="BD392" s="1051"/>
      <c r="BE392" s="1053"/>
      <c r="BF392" s="1051"/>
      <c r="BG392" s="1051"/>
      <c r="BH392" s="1053"/>
      <c r="BI392" s="1052"/>
      <c r="BJ392" s="1052"/>
      <c r="BK392" s="1052"/>
      <c r="BL392" s="1052"/>
      <c r="BM392" s="1052"/>
      <c r="BN392" s="1054"/>
      <c r="BO392" s="1076">
        <f t="shared" si="16"/>
        <v>0</v>
      </c>
      <c r="BP392" s="1051"/>
      <c r="BQ392" s="1052"/>
      <c r="BR392" s="1054"/>
      <c r="BS392" s="1053"/>
      <c r="BT392" s="1051"/>
      <c r="BU392" s="1051"/>
      <c r="BV392" s="1051"/>
      <c r="BW392" s="1052"/>
      <c r="BX392" s="1052"/>
      <c r="BY392" s="1052"/>
      <c r="BZ392" s="1052"/>
      <c r="CA392" s="1052"/>
      <c r="CB392" s="1053"/>
      <c r="CC392" s="1053"/>
      <c r="CD392" s="1053"/>
      <c r="CE392" s="1053"/>
      <c r="CF392" s="1053"/>
      <c r="CG392" s="1053"/>
      <c r="CH392" s="1053"/>
      <c r="CI392" s="1123"/>
      <c r="CJ392" s="1123"/>
      <c r="CK392" s="1123"/>
      <c r="CL392" s="1123"/>
      <c r="CM392" s="1123"/>
      <c r="CN392" s="1123"/>
      <c r="CO392" s="1123"/>
      <c r="CP392" s="1123"/>
      <c r="CQ392" s="1123"/>
      <c r="CR392" s="1123"/>
      <c r="CS392" s="1123"/>
      <c r="CT392" s="1123"/>
      <c r="CU392" s="1123"/>
      <c r="CV392" s="1123"/>
      <c r="CW392" s="1123"/>
      <c r="CX392" s="1123"/>
      <c r="CY392" s="1123"/>
      <c r="CZ392" s="1114"/>
      <c r="DA392" s="1114"/>
      <c r="DB392" s="1114"/>
      <c r="DC392" s="1114"/>
      <c r="DD392" s="1114"/>
      <c r="DE392" s="1114"/>
      <c r="DF392" s="1114"/>
      <c r="DG392" s="1114"/>
      <c r="DH392" s="1114"/>
      <c r="DI392" s="1114"/>
      <c r="DJ392" s="1114"/>
      <c r="DK392" s="1114"/>
      <c r="DL392" s="1114"/>
      <c r="DM392" s="1114"/>
      <c r="DN392" s="1114"/>
      <c r="DO392" s="1114"/>
      <c r="DP392" s="1114"/>
      <c r="DQ392" s="1114"/>
      <c r="DR392" s="1114"/>
      <c r="DS392" s="1114"/>
      <c r="DT392" s="1114"/>
      <c r="DU392" s="1114"/>
      <c r="DV392" s="1115"/>
      <c r="DW392" s="1116"/>
      <c r="DX392" s="1116"/>
      <c r="DY392" s="1116"/>
      <c r="DZ392" s="1116"/>
      <c r="EA392" s="1116"/>
      <c r="EB392" s="1116"/>
      <c r="EC392" s="1116"/>
      <c r="ED392" s="1116"/>
      <c r="EE392" s="1116"/>
      <c r="EF392" s="1116"/>
      <c r="EG392" s="1116"/>
      <c r="EH392" s="1116"/>
      <c r="EI392" s="1116"/>
      <c r="EJ392" s="1116"/>
      <c r="EK392" s="1116"/>
      <c r="EL392" s="1116"/>
      <c r="EM392" s="1116"/>
      <c r="EN392" s="1116"/>
      <c r="EO392" s="1116"/>
      <c r="EP392" s="1116"/>
      <c r="EQ392" s="1116"/>
      <c r="ER392" s="1116"/>
      <c r="ES392" s="1116"/>
    </row>
    <row r="393" spans="1:149" ht="15" customHeight="1">
      <c r="A393" s="1185">
        <v>378</v>
      </c>
      <c r="B393" s="1041"/>
      <c r="C393" s="1050"/>
      <c r="D393" s="1050"/>
      <c r="E393" s="1050"/>
      <c r="F393" s="1049"/>
      <c r="G393" s="1457"/>
      <c r="H393" s="1049"/>
      <c r="I393" s="1049"/>
      <c r="J393" s="1050"/>
      <c r="K393" s="1050"/>
      <c r="L393" s="1043"/>
      <c r="M393" s="1051"/>
      <c r="N393" s="1051"/>
      <c r="O393" s="1052"/>
      <c r="P393" s="1051"/>
      <c r="Q393" s="1051"/>
      <c r="R393" s="1052"/>
      <c r="S393" s="1051"/>
      <c r="T393" s="1051"/>
      <c r="U393" s="1052"/>
      <c r="V393" s="1051"/>
      <c r="W393" s="1051"/>
      <c r="X393" s="1052"/>
      <c r="Y393" s="1053"/>
      <c r="Z393" s="1051"/>
      <c r="AA393" s="1051"/>
      <c r="AB393" s="1052"/>
      <c r="AC393" s="1051"/>
      <c r="AD393" s="1051"/>
      <c r="AE393" s="1052"/>
      <c r="AF393" s="1051"/>
      <c r="AG393" s="1051"/>
      <c r="AH393" s="1051"/>
      <c r="AI393" s="1051"/>
      <c r="AJ393" s="1052"/>
      <c r="AK393" s="1051"/>
      <c r="AL393" s="1051"/>
      <c r="AM393" s="1052"/>
      <c r="AN393" s="1051"/>
      <c r="AO393" s="1051"/>
      <c r="AP393" s="1052"/>
      <c r="AQ393" s="1051"/>
      <c r="AR393" s="1051"/>
      <c r="AS393" s="1052"/>
      <c r="AT393" s="1051"/>
      <c r="AU393" s="1051"/>
      <c r="AV393" s="1052"/>
      <c r="AW393" s="1051"/>
      <c r="AX393" s="1051"/>
      <c r="AY393" s="1053"/>
      <c r="AZ393" s="1051"/>
      <c r="BA393" s="1051"/>
      <c r="BB393" s="1053"/>
      <c r="BC393" s="1051"/>
      <c r="BD393" s="1051"/>
      <c r="BE393" s="1053"/>
      <c r="BF393" s="1051"/>
      <c r="BG393" s="1051"/>
      <c r="BH393" s="1053"/>
      <c r="BI393" s="1052"/>
      <c r="BJ393" s="1052"/>
      <c r="BK393" s="1052"/>
      <c r="BL393" s="1052"/>
      <c r="BM393" s="1052"/>
      <c r="BN393" s="1054"/>
      <c r="BO393" s="1076">
        <f t="shared" si="16"/>
        <v>0</v>
      </c>
      <c r="BP393" s="1051"/>
      <c r="BQ393" s="1052"/>
      <c r="BR393" s="1054"/>
      <c r="BS393" s="1053"/>
      <c r="BT393" s="1051"/>
      <c r="BU393" s="1051"/>
      <c r="BV393" s="1051"/>
      <c r="BW393" s="1052"/>
      <c r="BX393" s="1052"/>
      <c r="BY393" s="1052"/>
      <c r="BZ393" s="1052"/>
      <c r="CA393" s="1052"/>
      <c r="CB393" s="1053"/>
      <c r="CC393" s="1053"/>
      <c r="CD393" s="1053"/>
      <c r="CE393" s="1053"/>
      <c r="CF393" s="1053"/>
      <c r="CG393" s="1053"/>
      <c r="CH393" s="1053"/>
      <c r="CI393" s="1123"/>
      <c r="CJ393" s="1123"/>
      <c r="CK393" s="1123"/>
      <c r="CL393" s="1123"/>
      <c r="CM393" s="1123"/>
      <c r="CN393" s="1123"/>
      <c r="CO393" s="1123"/>
      <c r="CP393" s="1123"/>
      <c r="CQ393" s="1123"/>
      <c r="CR393" s="1123"/>
      <c r="CS393" s="1123"/>
      <c r="CT393" s="1123"/>
      <c r="CU393" s="1123"/>
      <c r="CV393" s="1123"/>
      <c r="CW393" s="1123"/>
      <c r="CX393" s="1123"/>
      <c r="CY393" s="1123"/>
      <c r="CZ393" s="1114"/>
      <c r="DA393" s="1114"/>
      <c r="DB393" s="1114"/>
      <c r="DC393" s="1114"/>
      <c r="DD393" s="1114"/>
      <c r="DE393" s="1114"/>
      <c r="DF393" s="1114"/>
      <c r="DG393" s="1114"/>
      <c r="DH393" s="1114"/>
      <c r="DI393" s="1114"/>
      <c r="DJ393" s="1114"/>
      <c r="DK393" s="1114"/>
      <c r="DL393" s="1114"/>
      <c r="DM393" s="1114"/>
      <c r="DN393" s="1114"/>
      <c r="DO393" s="1114"/>
      <c r="DP393" s="1114"/>
      <c r="DQ393" s="1114"/>
      <c r="DR393" s="1114"/>
      <c r="DS393" s="1114"/>
      <c r="DT393" s="1114"/>
      <c r="DU393" s="1114"/>
      <c r="DV393" s="1115"/>
      <c r="DW393" s="1116"/>
      <c r="DX393" s="1116"/>
      <c r="DY393" s="1116"/>
      <c r="DZ393" s="1116"/>
      <c r="EA393" s="1116"/>
      <c r="EB393" s="1116"/>
      <c r="EC393" s="1116"/>
      <c r="ED393" s="1116"/>
      <c r="EE393" s="1116"/>
      <c r="EF393" s="1116"/>
      <c r="EG393" s="1116"/>
      <c r="EH393" s="1116"/>
      <c r="EI393" s="1116"/>
      <c r="EJ393" s="1116"/>
      <c r="EK393" s="1116"/>
      <c r="EL393" s="1116"/>
      <c r="EM393" s="1116"/>
      <c r="EN393" s="1116"/>
      <c r="EO393" s="1116"/>
      <c r="EP393" s="1116"/>
      <c r="EQ393" s="1116"/>
      <c r="ER393" s="1116"/>
      <c r="ES393" s="1116"/>
    </row>
    <row r="394" spans="1:149" ht="15" customHeight="1">
      <c r="A394" s="1185">
        <v>379</v>
      </c>
      <c r="B394" s="1041"/>
      <c r="C394" s="1050"/>
      <c r="D394" s="1050"/>
      <c r="E394" s="1050"/>
      <c r="F394" s="1049"/>
      <c r="G394" s="1457"/>
      <c r="H394" s="1049"/>
      <c r="I394" s="1049"/>
      <c r="J394" s="1050"/>
      <c r="K394" s="1050"/>
      <c r="L394" s="1043"/>
      <c r="M394" s="1051"/>
      <c r="N394" s="1051"/>
      <c r="O394" s="1052"/>
      <c r="P394" s="1051"/>
      <c r="Q394" s="1051"/>
      <c r="R394" s="1052"/>
      <c r="S394" s="1051"/>
      <c r="T394" s="1051"/>
      <c r="U394" s="1052"/>
      <c r="V394" s="1051"/>
      <c r="W394" s="1051"/>
      <c r="X394" s="1052"/>
      <c r="Y394" s="1053"/>
      <c r="Z394" s="1051"/>
      <c r="AA394" s="1051"/>
      <c r="AB394" s="1052"/>
      <c r="AC394" s="1051"/>
      <c r="AD394" s="1051"/>
      <c r="AE394" s="1052"/>
      <c r="AF394" s="1051"/>
      <c r="AG394" s="1051"/>
      <c r="AH394" s="1051"/>
      <c r="AI394" s="1051"/>
      <c r="AJ394" s="1052"/>
      <c r="AK394" s="1051"/>
      <c r="AL394" s="1051"/>
      <c r="AM394" s="1052"/>
      <c r="AN394" s="1051"/>
      <c r="AO394" s="1051"/>
      <c r="AP394" s="1052"/>
      <c r="AQ394" s="1051"/>
      <c r="AR394" s="1051"/>
      <c r="AS394" s="1052"/>
      <c r="AT394" s="1051"/>
      <c r="AU394" s="1051"/>
      <c r="AV394" s="1052"/>
      <c r="AW394" s="1051"/>
      <c r="AX394" s="1051"/>
      <c r="AY394" s="1053"/>
      <c r="AZ394" s="1051"/>
      <c r="BA394" s="1051"/>
      <c r="BB394" s="1053"/>
      <c r="BC394" s="1051"/>
      <c r="BD394" s="1051"/>
      <c r="BE394" s="1053"/>
      <c r="BF394" s="1051"/>
      <c r="BG394" s="1051"/>
      <c r="BH394" s="1053"/>
      <c r="BI394" s="1052"/>
      <c r="BJ394" s="1052"/>
      <c r="BK394" s="1052"/>
      <c r="BL394" s="1052"/>
      <c r="BM394" s="1052"/>
      <c r="BN394" s="1054"/>
      <c r="BO394" s="1076">
        <f t="shared" si="16"/>
        <v>0</v>
      </c>
      <c r="BP394" s="1051"/>
      <c r="BQ394" s="1052"/>
      <c r="BR394" s="1054"/>
      <c r="BS394" s="1053"/>
      <c r="BT394" s="1051"/>
      <c r="BU394" s="1051"/>
      <c r="BV394" s="1051"/>
      <c r="BW394" s="1052"/>
      <c r="BX394" s="1052"/>
      <c r="BY394" s="1052"/>
      <c r="BZ394" s="1052"/>
      <c r="CA394" s="1052"/>
      <c r="CB394" s="1053"/>
      <c r="CC394" s="1053"/>
      <c r="CD394" s="1053"/>
      <c r="CE394" s="1053"/>
      <c r="CF394" s="1053"/>
      <c r="CG394" s="1053"/>
      <c r="CH394" s="1053"/>
      <c r="CI394" s="1123"/>
      <c r="CJ394" s="1123"/>
      <c r="CK394" s="1123"/>
      <c r="CL394" s="1123"/>
      <c r="CM394" s="1123"/>
      <c r="CN394" s="1123"/>
      <c r="CO394" s="1123"/>
      <c r="CP394" s="1123"/>
      <c r="CQ394" s="1123"/>
      <c r="CR394" s="1123"/>
      <c r="CS394" s="1123"/>
      <c r="CT394" s="1123"/>
      <c r="CU394" s="1123"/>
      <c r="CV394" s="1123"/>
      <c r="CW394" s="1123"/>
      <c r="CX394" s="1123"/>
      <c r="CY394" s="1123"/>
      <c r="CZ394" s="1114"/>
      <c r="DA394" s="1114"/>
      <c r="DB394" s="1114"/>
      <c r="DC394" s="1114"/>
      <c r="DD394" s="1114"/>
      <c r="DE394" s="1114"/>
      <c r="DF394" s="1114"/>
      <c r="DG394" s="1114"/>
      <c r="DH394" s="1114"/>
      <c r="DI394" s="1114"/>
      <c r="DJ394" s="1114"/>
      <c r="DK394" s="1114"/>
      <c r="DL394" s="1114"/>
      <c r="DM394" s="1114"/>
      <c r="DN394" s="1114"/>
      <c r="DO394" s="1114"/>
      <c r="DP394" s="1114"/>
      <c r="DQ394" s="1114"/>
      <c r="DR394" s="1114"/>
      <c r="DS394" s="1114"/>
      <c r="DT394" s="1114"/>
      <c r="DU394" s="1114"/>
      <c r="DV394" s="1115"/>
      <c r="DW394" s="1116"/>
      <c r="DX394" s="1116"/>
      <c r="DY394" s="1116"/>
      <c r="DZ394" s="1116"/>
      <c r="EA394" s="1116"/>
      <c r="EB394" s="1116"/>
      <c r="EC394" s="1116"/>
      <c r="ED394" s="1116"/>
      <c r="EE394" s="1116"/>
      <c r="EF394" s="1116"/>
      <c r="EG394" s="1116"/>
      <c r="EH394" s="1116"/>
      <c r="EI394" s="1116"/>
      <c r="EJ394" s="1116"/>
      <c r="EK394" s="1116"/>
      <c r="EL394" s="1116"/>
      <c r="EM394" s="1116"/>
      <c r="EN394" s="1116"/>
      <c r="EO394" s="1116"/>
      <c r="EP394" s="1116"/>
      <c r="EQ394" s="1116"/>
      <c r="ER394" s="1116"/>
      <c r="ES394" s="1116"/>
    </row>
    <row r="395" spans="1:149" ht="15" customHeight="1">
      <c r="A395" s="1185">
        <v>380</v>
      </c>
      <c r="B395" s="1041"/>
      <c r="C395" s="1050"/>
      <c r="D395" s="1050"/>
      <c r="E395" s="1050"/>
      <c r="F395" s="1049"/>
      <c r="G395" s="1457"/>
      <c r="H395" s="1049"/>
      <c r="I395" s="1049"/>
      <c r="J395" s="1050"/>
      <c r="K395" s="1050"/>
      <c r="L395" s="1043"/>
      <c r="M395" s="1051"/>
      <c r="N395" s="1051"/>
      <c r="O395" s="1052"/>
      <c r="P395" s="1051"/>
      <c r="Q395" s="1051"/>
      <c r="R395" s="1052"/>
      <c r="S395" s="1051"/>
      <c r="T395" s="1051"/>
      <c r="U395" s="1052"/>
      <c r="V395" s="1051"/>
      <c r="W395" s="1051"/>
      <c r="X395" s="1052"/>
      <c r="Y395" s="1053"/>
      <c r="Z395" s="1051"/>
      <c r="AA395" s="1051"/>
      <c r="AB395" s="1052"/>
      <c r="AC395" s="1051"/>
      <c r="AD395" s="1051"/>
      <c r="AE395" s="1052"/>
      <c r="AF395" s="1051"/>
      <c r="AG395" s="1051"/>
      <c r="AH395" s="1051"/>
      <c r="AI395" s="1051"/>
      <c r="AJ395" s="1052"/>
      <c r="AK395" s="1051"/>
      <c r="AL395" s="1051"/>
      <c r="AM395" s="1052"/>
      <c r="AN395" s="1051"/>
      <c r="AO395" s="1051"/>
      <c r="AP395" s="1052"/>
      <c r="AQ395" s="1051"/>
      <c r="AR395" s="1051"/>
      <c r="AS395" s="1052"/>
      <c r="AT395" s="1051"/>
      <c r="AU395" s="1051"/>
      <c r="AV395" s="1052"/>
      <c r="AW395" s="1051"/>
      <c r="AX395" s="1051"/>
      <c r="AY395" s="1053"/>
      <c r="AZ395" s="1051"/>
      <c r="BA395" s="1051"/>
      <c r="BB395" s="1053"/>
      <c r="BC395" s="1051"/>
      <c r="BD395" s="1051"/>
      <c r="BE395" s="1053"/>
      <c r="BF395" s="1051"/>
      <c r="BG395" s="1051"/>
      <c r="BH395" s="1053"/>
      <c r="BI395" s="1052"/>
      <c r="BJ395" s="1052"/>
      <c r="BK395" s="1052"/>
      <c r="BL395" s="1052"/>
      <c r="BM395" s="1052"/>
      <c r="BN395" s="1054"/>
      <c r="BO395" s="1076">
        <f t="shared" si="16"/>
        <v>0</v>
      </c>
      <c r="BP395" s="1051"/>
      <c r="BQ395" s="1052"/>
      <c r="BR395" s="1054"/>
      <c r="BS395" s="1053"/>
      <c r="BT395" s="1051"/>
      <c r="BU395" s="1051"/>
      <c r="BV395" s="1051"/>
      <c r="BW395" s="1052"/>
      <c r="BX395" s="1052"/>
      <c r="BY395" s="1052"/>
      <c r="BZ395" s="1052"/>
      <c r="CA395" s="1052"/>
      <c r="CB395" s="1053"/>
      <c r="CC395" s="1053"/>
      <c r="CD395" s="1053"/>
      <c r="CE395" s="1053"/>
      <c r="CF395" s="1053"/>
      <c r="CG395" s="1053"/>
      <c r="CH395" s="1053"/>
      <c r="CI395" s="1123"/>
      <c r="CJ395" s="1123"/>
      <c r="CK395" s="1123"/>
      <c r="CL395" s="1123"/>
      <c r="CM395" s="1123"/>
      <c r="CN395" s="1123"/>
      <c r="CO395" s="1123"/>
      <c r="CP395" s="1123"/>
      <c r="CQ395" s="1123"/>
      <c r="CR395" s="1123"/>
      <c r="CS395" s="1123"/>
      <c r="CT395" s="1123"/>
      <c r="CU395" s="1123"/>
      <c r="CV395" s="1123"/>
      <c r="CW395" s="1123"/>
      <c r="CX395" s="1123"/>
      <c r="CY395" s="1123"/>
      <c r="CZ395" s="1114"/>
      <c r="DA395" s="1114"/>
      <c r="DB395" s="1114"/>
      <c r="DC395" s="1114"/>
      <c r="DD395" s="1114"/>
      <c r="DE395" s="1114"/>
      <c r="DF395" s="1114"/>
      <c r="DG395" s="1114"/>
      <c r="DH395" s="1114"/>
      <c r="DI395" s="1114"/>
      <c r="DJ395" s="1114"/>
      <c r="DK395" s="1114"/>
      <c r="DL395" s="1114"/>
      <c r="DM395" s="1114"/>
      <c r="DN395" s="1114"/>
      <c r="DO395" s="1114"/>
      <c r="DP395" s="1114"/>
      <c r="DQ395" s="1114"/>
      <c r="DR395" s="1114"/>
      <c r="DS395" s="1114"/>
      <c r="DT395" s="1114"/>
      <c r="DU395" s="1114"/>
      <c r="DV395" s="1115"/>
      <c r="DW395" s="1116"/>
      <c r="DX395" s="1116"/>
      <c r="DY395" s="1116"/>
      <c r="DZ395" s="1116"/>
      <c r="EA395" s="1116"/>
      <c r="EB395" s="1116"/>
      <c r="EC395" s="1116"/>
      <c r="ED395" s="1116"/>
      <c r="EE395" s="1116"/>
      <c r="EF395" s="1116"/>
      <c r="EG395" s="1116"/>
      <c r="EH395" s="1116"/>
      <c r="EI395" s="1116"/>
      <c r="EJ395" s="1116"/>
      <c r="EK395" s="1116"/>
      <c r="EL395" s="1116"/>
      <c r="EM395" s="1116"/>
      <c r="EN395" s="1116"/>
      <c r="EO395" s="1116"/>
      <c r="EP395" s="1116"/>
      <c r="EQ395" s="1116"/>
      <c r="ER395" s="1116"/>
      <c r="ES395" s="1116"/>
    </row>
    <row r="396" spans="1:149" ht="15" customHeight="1">
      <c r="A396" s="1185">
        <v>381</v>
      </c>
      <c r="B396" s="1041"/>
      <c r="C396" s="1050"/>
      <c r="D396" s="1050"/>
      <c r="E396" s="1050"/>
      <c r="F396" s="1049"/>
      <c r="G396" s="1457"/>
      <c r="H396" s="1049"/>
      <c r="I396" s="1049"/>
      <c r="J396" s="1050"/>
      <c r="K396" s="1050"/>
      <c r="L396" s="1043"/>
      <c r="M396" s="1051"/>
      <c r="N396" s="1051"/>
      <c r="O396" s="1052"/>
      <c r="P396" s="1051"/>
      <c r="Q396" s="1051"/>
      <c r="R396" s="1052"/>
      <c r="S396" s="1051"/>
      <c r="T396" s="1051"/>
      <c r="U396" s="1052"/>
      <c r="V396" s="1051"/>
      <c r="W396" s="1051"/>
      <c r="X396" s="1052"/>
      <c r="Y396" s="1053"/>
      <c r="Z396" s="1051"/>
      <c r="AA396" s="1051"/>
      <c r="AB396" s="1052"/>
      <c r="AC396" s="1051"/>
      <c r="AD396" s="1051"/>
      <c r="AE396" s="1052"/>
      <c r="AF396" s="1051"/>
      <c r="AG396" s="1051"/>
      <c r="AH396" s="1051"/>
      <c r="AI396" s="1051"/>
      <c r="AJ396" s="1052"/>
      <c r="AK396" s="1051"/>
      <c r="AL396" s="1051"/>
      <c r="AM396" s="1052"/>
      <c r="AN396" s="1051"/>
      <c r="AO396" s="1051"/>
      <c r="AP396" s="1052"/>
      <c r="AQ396" s="1051"/>
      <c r="AR396" s="1051"/>
      <c r="AS396" s="1052"/>
      <c r="AT396" s="1051"/>
      <c r="AU396" s="1051"/>
      <c r="AV396" s="1052"/>
      <c r="AW396" s="1051"/>
      <c r="AX396" s="1051"/>
      <c r="AY396" s="1053"/>
      <c r="AZ396" s="1051"/>
      <c r="BA396" s="1051"/>
      <c r="BB396" s="1053"/>
      <c r="BC396" s="1051"/>
      <c r="BD396" s="1051"/>
      <c r="BE396" s="1053"/>
      <c r="BF396" s="1051"/>
      <c r="BG396" s="1051"/>
      <c r="BH396" s="1053"/>
      <c r="BI396" s="1052"/>
      <c r="BJ396" s="1052"/>
      <c r="BK396" s="1052"/>
      <c r="BL396" s="1052"/>
      <c r="BM396" s="1052"/>
      <c r="BN396" s="1054"/>
      <c r="BO396" s="1076">
        <f t="shared" si="16"/>
        <v>0</v>
      </c>
      <c r="BP396" s="1051"/>
      <c r="BQ396" s="1052"/>
      <c r="BR396" s="1054"/>
      <c r="BS396" s="1053"/>
      <c r="BT396" s="1051"/>
      <c r="BU396" s="1051"/>
      <c r="BV396" s="1051"/>
      <c r="BW396" s="1052"/>
      <c r="BX396" s="1052"/>
      <c r="BY396" s="1052"/>
      <c r="BZ396" s="1052"/>
      <c r="CA396" s="1052"/>
      <c r="CB396" s="1053"/>
      <c r="CC396" s="1053"/>
      <c r="CD396" s="1053"/>
      <c r="CE396" s="1053"/>
      <c r="CF396" s="1053"/>
      <c r="CG396" s="1053"/>
      <c r="CH396" s="1053"/>
      <c r="CI396" s="1123"/>
      <c r="CJ396" s="1123"/>
      <c r="CK396" s="1123"/>
      <c r="CL396" s="1123"/>
      <c r="CM396" s="1123"/>
      <c r="CN396" s="1123"/>
      <c r="CO396" s="1123"/>
      <c r="CP396" s="1123"/>
      <c r="CQ396" s="1123"/>
      <c r="CR396" s="1123"/>
      <c r="CS396" s="1123"/>
      <c r="CT396" s="1123"/>
      <c r="CU396" s="1123"/>
      <c r="CV396" s="1123"/>
      <c r="CW396" s="1123"/>
      <c r="CX396" s="1123"/>
      <c r="CY396" s="1123"/>
      <c r="CZ396" s="1114"/>
      <c r="DA396" s="1114"/>
      <c r="DB396" s="1114"/>
      <c r="DC396" s="1114"/>
      <c r="DD396" s="1114"/>
      <c r="DE396" s="1114"/>
      <c r="DF396" s="1114"/>
      <c r="DG396" s="1114"/>
      <c r="DH396" s="1114"/>
      <c r="DI396" s="1114"/>
      <c r="DJ396" s="1114"/>
      <c r="DK396" s="1114"/>
      <c r="DL396" s="1114"/>
      <c r="DM396" s="1114"/>
      <c r="DN396" s="1114"/>
      <c r="DO396" s="1114"/>
      <c r="DP396" s="1114"/>
      <c r="DQ396" s="1114"/>
      <c r="DR396" s="1114"/>
      <c r="DS396" s="1114"/>
      <c r="DT396" s="1114"/>
      <c r="DU396" s="1114"/>
      <c r="DV396" s="1115"/>
      <c r="DW396" s="1116"/>
      <c r="DX396" s="1116"/>
      <c r="DY396" s="1116"/>
      <c r="DZ396" s="1116"/>
      <c r="EA396" s="1116"/>
      <c r="EB396" s="1116"/>
      <c r="EC396" s="1116"/>
      <c r="ED396" s="1116"/>
      <c r="EE396" s="1116"/>
      <c r="EF396" s="1116"/>
      <c r="EG396" s="1116"/>
      <c r="EH396" s="1116"/>
      <c r="EI396" s="1116"/>
      <c r="EJ396" s="1116"/>
      <c r="EK396" s="1116"/>
      <c r="EL396" s="1116"/>
      <c r="EM396" s="1116"/>
      <c r="EN396" s="1116"/>
      <c r="EO396" s="1116"/>
      <c r="EP396" s="1116"/>
      <c r="EQ396" s="1116"/>
      <c r="ER396" s="1116"/>
      <c r="ES396" s="1116"/>
    </row>
    <row r="397" spans="1:149" ht="15" customHeight="1">
      <c r="A397" s="1185">
        <v>382</v>
      </c>
      <c r="B397" s="1041"/>
      <c r="C397" s="1050"/>
      <c r="D397" s="1050"/>
      <c r="E397" s="1050"/>
      <c r="F397" s="1049"/>
      <c r="G397" s="1457"/>
      <c r="H397" s="1049"/>
      <c r="I397" s="1049"/>
      <c r="J397" s="1050"/>
      <c r="K397" s="1050"/>
      <c r="L397" s="1043"/>
      <c r="M397" s="1051"/>
      <c r="N397" s="1051"/>
      <c r="O397" s="1052"/>
      <c r="P397" s="1051"/>
      <c r="Q397" s="1051"/>
      <c r="R397" s="1052"/>
      <c r="S397" s="1051"/>
      <c r="T397" s="1051"/>
      <c r="U397" s="1052"/>
      <c r="V397" s="1051"/>
      <c r="W397" s="1051"/>
      <c r="X397" s="1052"/>
      <c r="Y397" s="1053"/>
      <c r="Z397" s="1051"/>
      <c r="AA397" s="1051"/>
      <c r="AB397" s="1052"/>
      <c r="AC397" s="1051"/>
      <c r="AD397" s="1051"/>
      <c r="AE397" s="1052"/>
      <c r="AF397" s="1051"/>
      <c r="AG397" s="1051"/>
      <c r="AH397" s="1051"/>
      <c r="AI397" s="1051"/>
      <c r="AJ397" s="1052"/>
      <c r="AK397" s="1051"/>
      <c r="AL397" s="1051"/>
      <c r="AM397" s="1052"/>
      <c r="AN397" s="1051"/>
      <c r="AO397" s="1051"/>
      <c r="AP397" s="1052"/>
      <c r="AQ397" s="1051"/>
      <c r="AR397" s="1051"/>
      <c r="AS397" s="1052"/>
      <c r="AT397" s="1051"/>
      <c r="AU397" s="1051"/>
      <c r="AV397" s="1052"/>
      <c r="AW397" s="1051"/>
      <c r="AX397" s="1051"/>
      <c r="AY397" s="1053"/>
      <c r="AZ397" s="1051"/>
      <c r="BA397" s="1051"/>
      <c r="BB397" s="1053"/>
      <c r="BC397" s="1051"/>
      <c r="BD397" s="1051"/>
      <c r="BE397" s="1053"/>
      <c r="BF397" s="1051"/>
      <c r="BG397" s="1051"/>
      <c r="BH397" s="1053"/>
      <c r="BI397" s="1052"/>
      <c r="BJ397" s="1052"/>
      <c r="BK397" s="1052"/>
      <c r="BL397" s="1052"/>
      <c r="BM397" s="1052"/>
      <c r="BN397" s="1054"/>
      <c r="BO397" s="1076">
        <f t="shared" si="16"/>
        <v>0</v>
      </c>
      <c r="BP397" s="1051"/>
      <c r="BQ397" s="1052"/>
      <c r="BR397" s="1054"/>
      <c r="BS397" s="1053"/>
      <c r="BT397" s="1051"/>
      <c r="BU397" s="1051"/>
      <c r="BV397" s="1051"/>
      <c r="BW397" s="1052"/>
      <c r="BX397" s="1052"/>
      <c r="BY397" s="1052"/>
      <c r="BZ397" s="1052"/>
      <c r="CA397" s="1052"/>
      <c r="CB397" s="1053"/>
      <c r="CC397" s="1053"/>
      <c r="CD397" s="1053"/>
      <c r="CE397" s="1053"/>
      <c r="CF397" s="1053"/>
      <c r="CG397" s="1053"/>
      <c r="CH397" s="1053"/>
      <c r="CI397" s="1123"/>
      <c r="CJ397" s="1123"/>
      <c r="CK397" s="1123"/>
      <c r="CL397" s="1123"/>
      <c r="CM397" s="1123"/>
      <c r="CN397" s="1123"/>
      <c r="CO397" s="1123"/>
      <c r="CP397" s="1123"/>
      <c r="CQ397" s="1123"/>
      <c r="CR397" s="1123"/>
      <c r="CS397" s="1123"/>
      <c r="CT397" s="1123"/>
      <c r="CU397" s="1123"/>
      <c r="CV397" s="1123"/>
      <c r="CW397" s="1123"/>
      <c r="CX397" s="1123"/>
      <c r="CY397" s="1123"/>
      <c r="CZ397" s="1114"/>
      <c r="DA397" s="1114"/>
      <c r="DB397" s="1114"/>
      <c r="DC397" s="1114"/>
      <c r="DD397" s="1114"/>
      <c r="DE397" s="1114"/>
      <c r="DF397" s="1114"/>
      <c r="DG397" s="1114"/>
      <c r="DH397" s="1114"/>
      <c r="DI397" s="1114"/>
      <c r="DJ397" s="1114"/>
      <c r="DK397" s="1114"/>
      <c r="DL397" s="1114"/>
      <c r="DM397" s="1114"/>
      <c r="DN397" s="1114"/>
      <c r="DO397" s="1114"/>
      <c r="DP397" s="1114"/>
      <c r="DQ397" s="1114"/>
      <c r="DR397" s="1114"/>
      <c r="DS397" s="1114"/>
      <c r="DT397" s="1114"/>
      <c r="DU397" s="1114"/>
      <c r="DV397" s="1115"/>
      <c r="DW397" s="1116"/>
      <c r="DX397" s="1116"/>
      <c r="DY397" s="1116"/>
      <c r="DZ397" s="1116"/>
      <c r="EA397" s="1116"/>
      <c r="EB397" s="1116"/>
      <c r="EC397" s="1116"/>
      <c r="ED397" s="1116"/>
      <c r="EE397" s="1116"/>
      <c r="EF397" s="1116"/>
      <c r="EG397" s="1116"/>
      <c r="EH397" s="1116"/>
      <c r="EI397" s="1116"/>
      <c r="EJ397" s="1116"/>
      <c r="EK397" s="1116"/>
      <c r="EL397" s="1116"/>
      <c r="EM397" s="1116"/>
      <c r="EN397" s="1116"/>
      <c r="EO397" s="1116"/>
      <c r="EP397" s="1116"/>
      <c r="EQ397" s="1116"/>
      <c r="ER397" s="1116"/>
      <c r="ES397" s="1116"/>
    </row>
    <row r="398" spans="1:149" ht="15" customHeight="1">
      <c r="A398" s="1185">
        <v>383</v>
      </c>
      <c r="B398" s="1041"/>
      <c r="C398" s="1050"/>
      <c r="D398" s="1050"/>
      <c r="E398" s="1050"/>
      <c r="F398" s="1049"/>
      <c r="G398" s="1457"/>
      <c r="H398" s="1049"/>
      <c r="I398" s="1049"/>
      <c r="J398" s="1050"/>
      <c r="K398" s="1050"/>
      <c r="L398" s="1043"/>
      <c r="M398" s="1051"/>
      <c r="N398" s="1051"/>
      <c r="O398" s="1052"/>
      <c r="P398" s="1051"/>
      <c r="Q398" s="1051"/>
      <c r="R398" s="1052"/>
      <c r="S398" s="1051"/>
      <c r="T398" s="1051"/>
      <c r="U398" s="1052"/>
      <c r="V398" s="1051"/>
      <c r="W398" s="1051"/>
      <c r="X398" s="1052"/>
      <c r="Y398" s="1053"/>
      <c r="Z398" s="1051"/>
      <c r="AA398" s="1051"/>
      <c r="AB398" s="1052"/>
      <c r="AC398" s="1051"/>
      <c r="AD398" s="1051"/>
      <c r="AE398" s="1052"/>
      <c r="AF398" s="1051"/>
      <c r="AG398" s="1051"/>
      <c r="AH398" s="1051"/>
      <c r="AI398" s="1051"/>
      <c r="AJ398" s="1052"/>
      <c r="AK398" s="1051"/>
      <c r="AL398" s="1051"/>
      <c r="AM398" s="1052"/>
      <c r="AN398" s="1051"/>
      <c r="AO398" s="1051"/>
      <c r="AP398" s="1052"/>
      <c r="AQ398" s="1051"/>
      <c r="AR398" s="1051"/>
      <c r="AS398" s="1052"/>
      <c r="AT398" s="1051"/>
      <c r="AU398" s="1051"/>
      <c r="AV398" s="1052"/>
      <c r="AW398" s="1051"/>
      <c r="AX398" s="1051"/>
      <c r="AY398" s="1053"/>
      <c r="AZ398" s="1051"/>
      <c r="BA398" s="1051"/>
      <c r="BB398" s="1053"/>
      <c r="BC398" s="1051"/>
      <c r="BD398" s="1051"/>
      <c r="BE398" s="1053"/>
      <c r="BF398" s="1051"/>
      <c r="BG398" s="1051"/>
      <c r="BH398" s="1053"/>
      <c r="BI398" s="1052"/>
      <c r="BJ398" s="1052"/>
      <c r="BK398" s="1052"/>
      <c r="BL398" s="1052"/>
      <c r="BM398" s="1052"/>
      <c r="BN398" s="1054"/>
      <c r="BO398" s="1076">
        <f t="shared" si="16"/>
        <v>0</v>
      </c>
      <c r="BP398" s="1051"/>
      <c r="BQ398" s="1052"/>
      <c r="BR398" s="1054"/>
      <c r="BS398" s="1053"/>
      <c r="BT398" s="1051"/>
      <c r="BU398" s="1051"/>
      <c r="BV398" s="1051"/>
      <c r="BW398" s="1052"/>
      <c r="BX398" s="1052"/>
      <c r="BY398" s="1052"/>
      <c r="BZ398" s="1052"/>
      <c r="CA398" s="1052"/>
      <c r="CB398" s="1053"/>
      <c r="CC398" s="1053"/>
      <c r="CD398" s="1053"/>
      <c r="CE398" s="1053"/>
      <c r="CF398" s="1053"/>
      <c r="CG398" s="1053"/>
      <c r="CH398" s="1053"/>
      <c r="CI398" s="1123"/>
      <c r="CJ398" s="1123"/>
      <c r="CK398" s="1123"/>
      <c r="CL398" s="1123"/>
      <c r="CM398" s="1123"/>
      <c r="CN398" s="1123"/>
      <c r="CO398" s="1123"/>
      <c r="CP398" s="1123"/>
      <c r="CQ398" s="1123"/>
      <c r="CR398" s="1123"/>
      <c r="CS398" s="1123"/>
      <c r="CT398" s="1123"/>
      <c r="CU398" s="1123"/>
      <c r="CV398" s="1123"/>
      <c r="CW398" s="1123"/>
      <c r="CX398" s="1123"/>
      <c r="CY398" s="1123"/>
      <c r="CZ398" s="1114"/>
      <c r="DA398" s="1114"/>
      <c r="DB398" s="1114"/>
      <c r="DC398" s="1114"/>
      <c r="DD398" s="1114"/>
      <c r="DE398" s="1114"/>
      <c r="DF398" s="1114"/>
      <c r="DG398" s="1114"/>
      <c r="DH398" s="1114"/>
      <c r="DI398" s="1114"/>
      <c r="DJ398" s="1114"/>
      <c r="DK398" s="1114"/>
      <c r="DL398" s="1114"/>
      <c r="DM398" s="1114"/>
      <c r="DN398" s="1114"/>
      <c r="DO398" s="1114"/>
      <c r="DP398" s="1114"/>
      <c r="DQ398" s="1114"/>
      <c r="DR398" s="1114"/>
      <c r="DS398" s="1114"/>
      <c r="DT398" s="1114"/>
      <c r="DU398" s="1114"/>
      <c r="DV398" s="1115"/>
      <c r="DW398" s="1116"/>
      <c r="DX398" s="1116"/>
      <c r="DY398" s="1116"/>
      <c r="DZ398" s="1116"/>
      <c r="EA398" s="1116"/>
      <c r="EB398" s="1116"/>
      <c r="EC398" s="1116"/>
      <c r="ED398" s="1116"/>
      <c r="EE398" s="1116"/>
      <c r="EF398" s="1116"/>
      <c r="EG398" s="1116"/>
      <c r="EH398" s="1116"/>
      <c r="EI398" s="1116"/>
      <c r="EJ398" s="1116"/>
      <c r="EK398" s="1116"/>
      <c r="EL398" s="1116"/>
      <c r="EM398" s="1116"/>
      <c r="EN398" s="1116"/>
      <c r="EO398" s="1116"/>
      <c r="EP398" s="1116"/>
      <c r="EQ398" s="1116"/>
      <c r="ER398" s="1116"/>
      <c r="ES398" s="1116"/>
    </row>
    <row r="399" spans="1:149" ht="15" customHeight="1">
      <c r="A399" s="1185">
        <v>384</v>
      </c>
      <c r="B399" s="1041"/>
      <c r="C399" s="1050"/>
      <c r="D399" s="1050"/>
      <c r="E399" s="1050"/>
      <c r="F399" s="1049"/>
      <c r="G399" s="1457"/>
      <c r="H399" s="1049"/>
      <c r="I399" s="1049"/>
      <c r="J399" s="1050"/>
      <c r="K399" s="1050"/>
      <c r="L399" s="1043"/>
      <c r="M399" s="1051"/>
      <c r="N399" s="1051"/>
      <c r="O399" s="1052"/>
      <c r="P399" s="1051"/>
      <c r="Q399" s="1051"/>
      <c r="R399" s="1052"/>
      <c r="S399" s="1051"/>
      <c r="T399" s="1051"/>
      <c r="U399" s="1052"/>
      <c r="V399" s="1051"/>
      <c r="W399" s="1051"/>
      <c r="X399" s="1052"/>
      <c r="Y399" s="1053"/>
      <c r="Z399" s="1051"/>
      <c r="AA399" s="1051"/>
      <c r="AB399" s="1052"/>
      <c r="AC399" s="1051"/>
      <c r="AD399" s="1051"/>
      <c r="AE399" s="1052"/>
      <c r="AF399" s="1051"/>
      <c r="AG399" s="1051"/>
      <c r="AH399" s="1051"/>
      <c r="AI399" s="1051"/>
      <c r="AJ399" s="1052"/>
      <c r="AK399" s="1051"/>
      <c r="AL399" s="1051"/>
      <c r="AM399" s="1052"/>
      <c r="AN399" s="1051"/>
      <c r="AO399" s="1051"/>
      <c r="AP399" s="1052"/>
      <c r="AQ399" s="1051"/>
      <c r="AR399" s="1051"/>
      <c r="AS399" s="1052"/>
      <c r="AT399" s="1051"/>
      <c r="AU399" s="1051"/>
      <c r="AV399" s="1052"/>
      <c r="AW399" s="1051"/>
      <c r="AX399" s="1051"/>
      <c r="AY399" s="1053"/>
      <c r="AZ399" s="1051"/>
      <c r="BA399" s="1051"/>
      <c r="BB399" s="1053"/>
      <c r="BC399" s="1051"/>
      <c r="BD399" s="1051"/>
      <c r="BE399" s="1053"/>
      <c r="BF399" s="1051"/>
      <c r="BG399" s="1051"/>
      <c r="BH399" s="1053"/>
      <c r="BI399" s="1052"/>
      <c r="BJ399" s="1052"/>
      <c r="BK399" s="1052"/>
      <c r="BL399" s="1052"/>
      <c r="BM399" s="1052"/>
      <c r="BN399" s="1054"/>
      <c r="BO399" s="1076">
        <f t="shared" si="16"/>
        <v>0</v>
      </c>
      <c r="BP399" s="1051"/>
      <c r="BQ399" s="1052"/>
      <c r="BR399" s="1054"/>
      <c r="BS399" s="1053"/>
      <c r="BT399" s="1051"/>
      <c r="BU399" s="1051"/>
      <c r="BV399" s="1051"/>
      <c r="BW399" s="1052"/>
      <c r="BX399" s="1052"/>
      <c r="BY399" s="1052"/>
      <c r="BZ399" s="1052"/>
      <c r="CA399" s="1052"/>
      <c r="CB399" s="1053"/>
      <c r="CC399" s="1053"/>
      <c r="CD399" s="1053"/>
      <c r="CE399" s="1053"/>
      <c r="CF399" s="1053"/>
      <c r="CG399" s="1053"/>
      <c r="CH399" s="1053"/>
      <c r="CI399" s="1123"/>
      <c r="CJ399" s="1123"/>
      <c r="CK399" s="1123"/>
      <c r="CL399" s="1123"/>
      <c r="CM399" s="1123"/>
      <c r="CN399" s="1123"/>
      <c r="CO399" s="1123"/>
      <c r="CP399" s="1123"/>
      <c r="CQ399" s="1123"/>
      <c r="CR399" s="1123"/>
      <c r="CS399" s="1123"/>
      <c r="CT399" s="1123"/>
      <c r="CU399" s="1123"/>
      <c r="CV399" s="1123"/>
      <c r="CW399" s="1123"/>
      <c r="CX399" s="1123"/>
      <c r="CY399" s="1123"/>
      <c r="CZ399" s="1114"/>
      <c r="DA399" s="1114"/>
      <c r="DB399" s="1114"/>
      <c r="DC399" s="1114"/>
      <c r="DD399" s="1114"/>
      <c r="DE399" s="1114"/>
      <c r="DF399" s="1114"/>
      <c r="DG399" s="1114"/>
      <c r="DH399" s="1114"/>
      <c r="DI399" s="1114"/>
      <c r="DJ399" s="1114"/>
      <c r="DK399" s="1114"/>
      <c r="DL399" s="1114"/>
      <c r="DM399" s="1114"/>
      <c r="DN399" s="1114"/>
      <c r="DO399" s="1114"/>
      <c r="DP399" s="1114"/>
      <c r="DQ399" s="1114"/>
      <c r="DR399" s="1114"/>
      <c r="DS399" s="1114"/>
      <c r="DT399" s="1114"/>
      <c r="DU399" s="1114"/>
      <c r="DV399" s="1115"/>
      <c r="DW399" s="1116"/>
      <c r="DX399" s="1116"/>
      <c r="DY399" s="1116"/>
      <c r="DZ399" s="1116"/>
      <c r="EA399" s="1116"/>
      <c r="EB399" s="1116"/>
      <c r="EC399" s="1116"/>
      <c r="ED399" s="1116"/>
      <c r="EE399" s="1116"/>
      <c r="EF399" s="1116"/>
      <c r="EG399" s="1116"/>
      <c r="EH399" s="1116"/>
      <c r="EI399" s="1116"/>
      <c r="EJ399" s="1116"/>
      <c r="EK399" s="1116"/>
      <c r="EL399" s="1116"/>
      <c r="EM399" s="1116"/>
      <c r="EN399" s="1116"/>
      <c r="EO399" s="1116"/>
      <c r="EP399" s="1116"/>
      <c r="EQ399" s="1116"/>
      <c r="ER399" s="1116"/>
      <c r="ES399" s="1116"/>
    </row>
    <row r="400" spans="1:149" ht="15" customHeight="1">
      <c r="A400" s="1185">
        <v>385</v>
      </c>
      <c r="B400" s="1041"/>
      <c r="C400" s="1050"/>
      <c r="D400" s="1050"/>
      <c r="E400" s="1050"/>
      <c r="F400" s="1049"/>
      <c r="G400" s="1457"/>
      <c r="H400" s="1049"/>
      <c r="I400" s="1049"/>
      <c r="J400" s="1050"/>
      <c r="K400" s="1050"/>
      <c r="L400" s="1043"/>
      <c r="M400" s="1051"/>
      <c r="N400" s="1051"/>
      <c r="O400" s="1052"/>
      <c r="P400" s="1051"/>
      <c r="Q400" s="1051"/>
      <c r="R400" s="1052"/>
      <c r="S400" s="1051"/>
      <c r="T400" s="1051"/>
      <c r="U400" s="1052"/>
      <c r="V400" s="1051"/>
      <c r="W400" s="1051"/>
      <c r="X400" s="1052"/>
      <c r="Y400" s="1053"/>
      <c r="Z400" s="1051"/>
      <c r="AA400" s="1051"/>
      <c r="AB400" s="1052"/>
      <c r="AC400" s="1051"/>
      <c r="AD400" s="1051"/>
      <c r="AE400" s="1052"/>
      <c r="AF400" s="1051"/>
      <c r="AG400" s="1051"/>
      <c r="AH400" s="1051"/>
      <c r="AI400" s="1051"/>
      <c r="AJ400" s="1052"/>
      <c r="AK400" s="1051"/>
      <c r="AL400" s="1051"/>
      <c r="AM400" s="1052"/>
      <c r="AN400" s="1051"/>
      <c r="AO400" s="1051"/>
      <c r="AP400" s="1052"/>
      <c r="AQ400" s="1051"/>
      <c r="AR400" s="1051"/>
      <c r="AS400" s="1052"/>
      <c r="AT400" s="1051"/>
      <c r="AU400" s="1051"/>
      <c r="AV400" s="1052"/>
      <c r="AW400" s="1051"/>
      <c r="AX400" s="1051"/>
      <c r="AY400" s="1053"/>
      <c r="AZ400" s="1051"/>
      <c r="BA400" s="1051"/>
      <c r="BB400" s="1053"/>
      <c r="BC400" s="1051"/>
      <c r="BD400" s="1051"/>
      <c r="BE400" s="1053"/>
      <c r="BF400" s="1051"/>
      <c r="BG400" s="1051"/>
      <c r="BH400" s="1053"/>
      <c r="BI400" s="1052"/>
      <c r="BJ400" s="1052"/>
      <c r="BK400" s="1052"/>
      <c r="BL400" s="1052"/>
      <c r="BM400" s="1052"/>
      <c r="BN400" s="1054"/>
      <c r="BO400" s="1076">
        <f t="shared" si="16"/>
        <v>0</v>
      </c>
      <c r="BP400" s="1051"/>
      <c r="BQ400" s="1052"/>
      <c r="BR400" s="1054"/>
      <c r="BS400" s="1053"/>
      <c r="BT400" s="1051"/>
      <c r="BU400" s="1051"/>
      <c r="BV400" s="1051"/>
      <c r="BW400" s="1052"/>
      <c r="BX400" s="1052"/>
      <c r="BY400" s="1052"/>
      <c r="BZ400" s="1052"/>
      <c r="CA400" s="1052"/>
      <c r="CB400" s="1053"/>
      <c r="CC400" s="1053"/>
      <c r="CD400" s="1053"/>
      <c r="CE400" s="1053"/>
      <c r="CF400" s="1053"/>
      <c r="CG400" s="1053"/>
      <c r="CH400" s="1053"/>
      <c r="CI400" s="1123"/>
      <c r="CJ400" s="1123"/>
      <c r="CK400" s="1123"/>
      <c r="CL400" s="1123"/>
      <c r="CM400" s="1123"/>
      <c r="CN400" s="1123"/>
      <c r="CO400" s="1123"/>
      <c r="CP400" s="1123"/>
      <c r="CQ400" s="1123"/>
      <c r="CR400" s="1123"/>
      <c r="CS400" s="1123"/>
      <c r="CT400" s="1123"/>
      <c r="CU400" s="1123"/>
      <c r="CV400" s="1123"/>
      <c r="CW400" s="1123"/>
      <c r="CX400" s="1123"/>
      <c r="CY400" s="1123"/>
      <c r="CZ400" s="1114"/>
      <c r="DA400" s="1114"/>
      <c r="DB400" s="1114"/>
      <c r="DC400" s="1114"/>
      <c r="DD400" s="1114"/>
      <c r="DE400" s="1114"/>
      <c r="DF400" s="1114"/>
      <c r="DG400" s="1114"/>
      <c r="DH400" s="1114"/>
      <c r="DI400" s="1114"/>
      <c r="DJ400" s="1114"/>
      <c r="DK400" s="1114"/>
      <c r="DL400" s="1114"/>
      <c r="DM400" s="1114"/>
      <c r="DN400" s="1114"/>
      <c r="DO400" s="1114"/>
      <c r="DP400" s="1114"/>
      <c r="DQ400" s="1114"/>
      <c r="DR400" s="1114"/>
      <c r="DS400" s="1114"/>
      <c r="DT400" s="1114"/>
      <c r="DU400" s="1114"/>
      <c r="DV400" s="1115"/>
      <c r="DW400" s="1116"/>
      <c r="DX400" s="1116"/>
      <c r="DY400" s="1116"/>
      <c r="DZ400" s="1116"/>
      <c r="EA400" s="1116"/>
      <c r="EB400" s="1116"/>
      <c r="EC400" s="1116"/>
      <c r="ED400" s="1116"/>
      <c r="EE400" s="1116"/>
      <c r="EF400" s="1116"/>
      <c r="EG400" s="1116"/>
      <c r="EH400" s="1116"/>
      <c r="EI400" s="1116"/>
      <c r="EJ400" s="1116"/>
      <c r="EK400" s="1116"/>
      <c r="EL400" s="1116"/>
      <c r="EM400" s="1116"/>
      <c r="EN400" s="1116"/>
      <c r="EO400" s="1116"/>
      <c r="EP400" s="1116"/>
      <c r="EQ400" s="1116"/>
      <c r="ER400" s="1116"/>
      <c r="ES400" s="1116"/>
    </row>
    <row r="401" spans="1:149" ht="15" customHeight="1">
      <c r="A401" s="1185">
        <v>386</v>
      </c>
      <c r="B401" s="1041"/>
      <c r="C401" s="1050"/>
      <c r="D401" s="1050"/>
      <c r="E401" s="1050"/>
      <c r="F401" s="1049"/>
      <c r="G401" s="1457"/>
      <c r="H401" s="1049"/>
      <c r="I401" s="1049"/>
      <c r="J401" s="1050"/>
      <c r="K401" s="1050"/>
      <c r="L401" s="1043"/>
      <c r="M401" s="1051"/>
      <c r="N401" s="1051"/>
      <c r="O401" s="1052"/>
      <c r="P401" s="1051"/>
      <c r="Q401" s="1051"/>
      <c r="R401" s="1052"/>
      <c r="S401" s="1051"/>
      <c r="T401" s="1051"/>
      <c r="U401" s="1052"/>
      <c r="V401" s="1051"/>
      <c r="W401" s="1051"/>
      <c r="X401" s="1052"/>
      <c r="Y401" s="1053"/>
      <c r="Z401" s="1051"/>
      <c r="AA401" s="1051"/>
      <c r="AB401" s="1052"/>
      <c r="AC401" s="1051"/>
      <c r="AD401" s="1051"/>
      <c r="AE401" s="1052"/>
      <c r="AF401" s="1051"/>
      <c r="AG401" s="1051"/>
      <c r="AH401" s="1051"/>
      <c r="AI401" s="1051"/>
      <c r="AJ401" s="1052"/>
      <c r="AK401" s="1051"/>
      <c r="AL401" s="1051"/>
      <c r="AM401" s="1052"/>
      <c r="AN401" s="1051"/>
      <c r="AO401" s="1051"/>
      <c r="AP401" s="1052"/>
      <c r="AQ401" s="1051"/>
      <c r="AR401" s="1051"/>
      <c r="AS401" s="1052"/>
      <c r="AT401" s="1051"/>
      <c r="AU401" s="1051"/>
      <c r="AV401" s="1052"/>
      <c r="AW401" s="1051"/>
      <c r="AX401" s="1051"/>
      <c r="AY401" s="1053"/>
      <c r="AZ401" s="1051"/>
      <c r="BA401" s="1051"/>
      <c r="BB401" s="1053"/>
      <c r="BC401" s="1051"/>
      <c r="BD401" s="1051"/>
      <c r="BE401" s="1053"/>
      <c r="BF401" s="1051"/>
      <c r="BG401" s="1051"/>
      <c r="BH401" s="1053"/>
      <c r="BI401" s="1052"/>
      <c r="BJ401" s="1052"/>
      <c r="BK401" s="1052"/>
      <c r="BL401" s="1052"/>
      <c r="BM401" s="1052"/>
      <c r="BN401" s="1054"/>
      <c r="BO401" s="1076">
        <f t="shared" ref="BO401:BO464" si="17">H401</f>
        <v>0</v>
      </c>
      <c r="BP401" s="1051"/>
      <c r="BQ401" s="1052"/>
      <c r="BR401" s="1054"/>
      <c r="BS401" s="1053"/>
      <c r="BT401" s="1051"/>
      <c r="BU401" s="1051"/>
      <c r="BV401" s="1051"/>
      <c r="BW401" s="1052"/>
      <c r="BX401" s="1052"/>
      <c r="BY401" s="1052"/>
      <c r="BZ401" s="1052"/>
      <c r="CA401" s="1052"/>
      <c r="CB401" s="1053"/>
      <c r="CC401" s="1053"/>
      <c r="CD401" s="1053"/>
      <c r="CE401" s="1053"/>
      <c r="CF401" s="1053"/>
      <c r="CG401" s="1053"/>
      <c r="CH401" s="1053"/>
      <c r="CI401" s="1123"/>
      <c r="CJ401" s="1123"/>
      <c r="CK401" s="1123"/>
      <c r="CL401" s="1123"/>
      <c r="CM401" s="1123"/>
      <c r="CN401" s="1123"/>
      <c r="CO401" s="1123"/>
      <c r="CP401" s="1123"/>
      <c r="CQ401" s="1123"/>
      <c r="CR401" s="1123"/>
      <c r="CS401" s="1123"/>
      <c r="CT401" s="1123"/>
      <c r="CU401" s="1123"/>
      <c r="CV401" s="1123"/>
      <c r="CW401" s="1123"/>
      <c r="CX401" s="1123"/>
      <c r="CY401" s="1123"/>
      <c r="CZ401" s="1114"/>
      <c r="DA401" s="1114"/>
      <c r="DB401" s="1114"/>
      <c r="DC401" s="1114"/>
      <c r="DD401" s="1114"/>
      <c r="DE401" s="1114"/>
      <c r="DF401" s="1114"/>
      <c r="DG401" s="1114"/>
      <c r="DH401" s="1114"/>
      <c r="DI401" s="1114"/>
      <c r="DJ401" s="1114"/>
      <c r="DK401" s="1114"/>
      <c r="DL401" s="1114"/>
      <c r="DM401" s="1114"/>
      <c r="DN401" s="1114"/>
      <c r="DO401" s="1114"/>
      <c r="DP401" s="1114"/>
      <c r="DQ401" s="1114"/>
      <c r="DR401" s="1114"/>
      <c r="DS401" s="1114"/>
      <c r="DT401" s="1114"/>
      <c r="DU401" s="1114"/>
      <c r="DV401" s="1115"/>
      <c r="DW401" s="1116"/>
      <c r="DX401" s="1116"/>
      <c r="DY401" s="1116"/>
      <c r="DZ401" s="1116"/>
      <c r="EA401" s="1116"/>
      <c r="EB401" s="1116"/>
      <c r="EC401" s="1116"/>
      <c r="ED401" s="1116"/>
      <c r="EE401" s="1116"/>
      <c r="EF401" s="1116"/>
      <c r="EG401" s="1116"/>
      <c r="EH401" s="1116"/>
      <c r="EI401" s="1116"/>
      <c r="EJ401" s="1116"/>
      <c r="EK401" s="1116"/>
      <c r="EL401" s="1116"/>
      <c r="EM401" s="1116"/>
      <c r="EN401" s="1116"/>
      <c r="EO401" s="1116"/>
      <c r="EP401" s="1116"/>
      <c r="EQ401" s="1116"/>
      <c r="ER401" s="1116"/>
      <c r="ES401" s="1116"/>
    </row>
    <row r="402" spans="1:149" ht="15" customHeight="1">
      <c r="A402" s="1185">
        <v>387</v>
      </c>
      <c r="B402" s="1041"/>
      <c r="C402" s="1050"/>
      <c r="D402" s="1050"/>
      <c r="E402" s="1050"/>
      <c r="F402" s="1049"/>
      <c r="G402" s="1457"/>
      <c r="H402" s="1049"/>
      <c r="I402" s="1049"/>
      <c r="J402" s="1050"/>
      <c r="K402" s="1050"/>
      <c r="L402" s="1043"/>
      <c r="M402" s="1051"/>
      <c r="N402" s="1051"/>
      <c r="O402" s="1052"/>
      <c r="P402" s="1051"/>
      <c r="Q402" s="1051"/>
      <c r="R402" s="1052"/>
      <c r="S402" s="1051"/>
      <c r="T402" s="1051"/>
      <c r="U402" s="1052"/>
      <c r="V402" s="1051"/>
      <c r="W402" s="1051"/>
      <c r="X402" s="1052"/>
      <c r="Y402" s="1053"/>
      <c r="Z402" s="1051"/>
      <c r="AA402" s="1051"/>
      <c r="AB402" s="1052"/>
      <c r="AC402" s="1051"/>
      <c r="AD402" s="1051"/>
      <c r="AE402" s="1052"/>
      <c r="AF402" s="1051"/>
      <c r="AG402" s="1051"/>
      <c r="AH402" s="1051"/>
      <c r="AI402" s="1051"/>
      <c r="AJ402" s="1052"/>
      <c r="AK402" s="1051"/>
      <c r="AL402" s="1051"/>
      <c r="AM402" s="1052"/>
      <c r="AN402" s="1051"/>
      <c r="AO402" s="1051"/>
      <c r="AP402" s="1052"/>
      <c r="AQ402" s="1051"/>
      <c r="AR402" s="1051"/>
      <c r="AS402" s="1052"/>
      <c r="AT402" s="1051"/>
      <c r="AU402" s="1051"/>
      <c r="AV402" s="1052"/>
      <c r="AW402" s="1051"/>
      <c r="AX402" s="1051"/>
      <c r="AY402" s="1053"/>
      <c r="AZ402" s="1051"/>
      <c r="BA402" s="1051"/>
      <c r="BB402" s="1053"/>
      <c r="BC402" s="1051"/>
      <c r="BD402" s="1051"/>
      <c r="BE402" s="1053"/>
      <c r="BF402" s="1051"/>
      <c r="BG402" s="1051"/>
      <c r="BH402" s="1053"/>
      <c r="BI402" s="1052"/>
      <c r="BJ402" s="1052"/>
      <c r="BK402" s="1052"/>
      <c r="BL402" s="1052"/>
      <c r="BM402" s="1052"/>
      <c r="BN402" s="1054"/>
      <c r="BO402" s="1076">
        <f t="shared" si="17"/>
        <v>0</v>
      </c>
      <c r="BP402" s="1051"/>
      <c r="BQ402" s="1052"/>
      <c r="BR402" s="1054"/>
      <c r="BS402" s="1053"/>
      <c r="BT402" s="1051"/>
      <c r="BU402" s="1051"/>
      <c r="BV402" s="1051"/>
      <c r="BW402" s="1052"/>
      <c r="BX402" s="1052"/>
      <c r="BY402" s="1052"/>
      <c r="BZ402" s="1052"/>
      <c r="CA402" s="1052"/>
      <c r="CB402" s="1053"/>
      <c r="CC402" s="1053"/>
      <c r="CD402" s="1053"/>
      <c r="CE402" s="1053"/>
      <c r="CF402" s="1053"/>
      <c r="CG402" s="1053"/>
      <c r="CH402" s="1053"/>
      <c r="CI402" s="1123"/>
      <c r="CJ402" s="1123"/>
      <c r="CK402" s="1123"/>
      <c r="CL402" s="1123"/>
      <c r="CM402" s="1123"/>
      <c r="CN402" s="1123"/>
      <c r="CO402" s="1123"/>
      <c r="CP402" s="1123"/>
      <c r="CQ402" s="1123"/>
      <c r="CR402" s="1123"/>
      <c r="CS402" s="1123"/>
      <c r="CT402" s="1123"/>
      <c r="CU402" s="1123"/>
      <c r="CV402" s="1123"/>
      <c r="CW402" s="1123"/>
      <c r="CX402" s="1123"/>
      <c r="CY402" s="1123"/>
      <c r="CZ402" s="1114"/>
      <c r="DA402" s="1114"/>
      <c r="DB402" s="1114"/>
      <c r="DC402" s="1114"/>
      <c r="DD402" s="1114"/>
      <c r="DE402" s="1114"/>
      <c r="DF402" s="1114"/>
      <c r="DG402" s="1114"/>
      <c r="DH402" s="1114"/>
      <c r="DI402" s="1114"/>
      <c r="DJ402" s="1114"/>
      <c r="DK402" s="1114"/>
      <c r="DL402" s="1114"/>
      <c r="DM402" s="1114"/>
      <c r="DN402" s="1114"/>
      <c r="DO402" s="1114"/>
      <c r="DP402" s="1114"/>
      <c r="DQ402" s="1114"/>
      <c r="DR402" s="1114"/>
      <c r="DS402" s="1114"/>
      <c r="DT402" s="1114"/>
      <c r="DU402" s="1114"/>
      <c r="DV402" s="1115"/>
      <c r="DW402" s="1116"/>
      <c r="DX402" s="1116"/>
      <c r="DY402" s="1116"/>
      <c r="DZ402" s="1116"/>
      <c r="EA402" s="1116"/>
      <c r="EB402" s="1116"/>
      <c r="EC402" s="1116"/>
      <c r="ED402" s="1116"/>
      <c r="EE402" s="1116"/>
      <c r="EF402" s="1116"/>
      <c r="EG402" s="1116"/>
      <c r="EH402" s="1116"/>
      <c r="EI402" s="1116"/>
      <c r="EJ402" s="1116"/>
      <c r="EK402" s="1116"/>
      <c r="EL402" s="1116"/>
      <c r="EM402" s="1116"/>
      <c r="EN402" s="1116"/>
      <c r="EO402" s="1116"/>
      <c r="EP402" s="1116"/>
      <c r="EQ402" s="1116"/>
      <c r="ER402" s="1116"/>
      <c r="ES402" s="1116"/>
    </row>
    <row r="403" spans="1:149" ht="15" customHeight="1">
      <c r="A403" s="1185">
        <v>388</v>
      </c>
      <c r="B403" s="1041"/>
      <c r="C403" s="1050"/>
      <c r="D403" s="1050"/>
      <c r="E403" s="1050"/>
      <c r="F403" s="1049"/>
      <c r="G403" s="1457"/>
      <c r="H403" s="1049"/>
      <c r="I403" s="1049"/>
      <c r="J403" s="1050"/>
      <c r="K403" s="1050"/>
      <c r="L403" s="1043"/>
      <c r="M403" s="1051"/>
      <c r="N403" s="1051"/>
      <c r="O403" s="1052"/>
      <c r="P403" s="1051"/>
      <c r="Q403" s="1051"/>
      <c r="R403" s="1052"/>
      <c r="S403" s="1051"/>
      <c r="T403" s="1051"/>
      <c r="U403" s="1052"/>
      <c r="V403" s="1051"/>
      <c r="W403" s="1051"/>
      <c r="X403" s="1052"/>
      <c r="Y403" s="1053"/>
      <c r="Z403" s="1051"/>
      <c r="AA403" s="1051"/>
      <c r="AB403" s="1052"/>
      <c r="AC403" s="1051"/>
      <c r="AD403" s="1051"/>
      <c r="AE403" s="1052"/>
      <c r="AF403" s="1051"/>
      <c r="AG403" s="1051"/>
      <c r="AH403" s="1051"/>
      <c r="AI403" s="1051"/>
      <c r="AJ403" s="1052"/>
      <c r="AK403" s="1051"/>
      <c r="AL403" s="1051"/>
      <c r="AM403" s="1052"/>
      <c r="AN403" s="1051"/>
      <c r="AO403" s="1051"/>
      <c r="AP403" s="1052"/>
      <c r="AQ403" s="1051"/>
      <c r="AR403" s="1051"/>
      <c r="AS403" s="1052"/>
      <c r="AT403" s="1051"/>
      <c r="AU403" s="1051"/>
      <c r="AV403" s="1052"/>
      <c r="AW403" s="1051"/>
      <c r="AX403" s="1051"/>
      <c r="AY403" s="1053"/>
      <c r="AZ403" s="1051"/>
      <c r="BA403" s="1051"/>
      <c r="BB403" s="1053"/>
      <c r="BC403" s="1051"/>
      <c r="BD403" s="1051"/>
      <c r="BE403" s="1053"/>
      <c r="BF403" s="1051"/>
      <c r="BG403" s="1051"/>
      <c r="BH403" s="1053"/>
      <c r="BI403" s="1052"/>
      <c r="BJ403" s="1052"/>
      <c r="BK403" s="1052"/>
      <c r="BL403" s="1052"/>
      <c r="BM403" s="1052"/>
      <c r="BN403" s="1054"/>
      <c r="BO403" s="1076">
        <f t="shared" si="17"/>
        <v>0</v>
      </c>
      <c r="BP403" s="1051"/>
      <c r="BQ403" s="1052"/>
      <c r="BR403" s="1054"/>
      <c r="BS403" s="1053"/>
      <c r="BT403" s="1051"/>
      <c r="BU403" s="1051"/>
      <c r="BV403" s="1051"/>
      <c r="BW403" s="1052"/>
      <c r="BX403" s="1052"/>
      <c r="BY403" s="1052"/>
      <c r="BZ403" s="1052"/>
      <c r="CA403" s="1052"/>
      <c r="CB403" s="1053"/>
      <c r="CC403" s="1053"/>
      <c r="CD403" s="1053"/>
      <c r="CE403" s="1053"/>
      <c r="CF403" s="1053"/>
      <c r="CG403" s="1053"/>
      <c r="CH403" s="1053"/>
      <c r="CI403" s="1123"/>
      <c r="CJ403" s="1123"/>
      <c r="CK403" s="1123"/>
      <c r="CL403" s="1123"/>
      <c r="CM403" s="1123"/>
      <c r="CN403" s="1123"/>
      <c r="CO403" s="1123"/>
      <c r="CP403" s="1123"/>
      <c r="CQ403" s="1123"/>
      <c r="CR403" s="1123"/>
      <c r="CS403" s="1123"/>
      <c r="CT403" s="1123"/>
      <c r="CU403" s="1123"/>
      <c r="CV403" s="1123"/>
      <c r="CW403" s="1123"/>
      <c r="CX403" s="1123"/>
      <c r="CY403" s="1123"/>
      <c r="CZ403" s="1114"/>
      <c r="DA403" s="1114"/>
      <c r="DB403" s="1114"/>
      <c r="DC403" s="1114"/>
      <c r="DD403" s="1114"/>
      <c r="DE403" s="1114"/>
      <c r="DF403" s="1114"/>
      <c r="DG403" s="1114"/>
      <c r="DH403" s="1114"/>
      <c r="DI403" s="1114"/>
      <c r="DJ403" s="1114"/>
      <c r="DK403" s="1114"/>
      <c r="DL403" s="1114"/>
      <c r="DM403" s="1114"/>
      <c r="DN403" s="1114"/>
      <c r="DO403" s="1114"/>
      <c r="DP403" s="1114"/>
      <c r="DQ403" s="1114"/>
      <c r="DR403" s="1114"/>
      <c r="DS403" s="1114"/>
      <c r="DT403" s="1114"/>
      <c r="DU403" s="1114"/>
      <c r="DV403" s="1115"/>
      <c r="DW403" s="1116"/>
      <c r="DX403" s="1116"/>
      <c r="DY403" s="1116"/>
      <c r="DZ403" s="1116"/>
      <c r="EA403" s="1116"/>
      <c r="EB403" s="1116"/>
      <c r="EC403" s="1116"/>
      <c r="ED403" s="1116"/>
      <c r="EE403" s="1116"/>
      <c r="EF403" s="1116"/>
      <c r="EG403" s="1116"/>
      <c r="EH403" s="1116"/>
      <c r="EI403" s="1116"/>
      <c r="EJ403" s="1116"/>
      <c r="EK403" s="1116"/>
      <c r="EL403" s="1116"/>
      <c r="EM403" s="1116"/>
      <c r="EN403" s="1116"/>
      <c r="EO403" s="1116"/>
      <c r="EP403" s="1116"/>
      <c r="EQ403" s="1116"/>
      <c r="ER403" s="1116"/>
      <c r="ES403" s="1116"/>
    </row>
    <row r="404" spans="1:149" ht="15" customHeight="1">
      <c r="A404" s="1185">
        <v>389</v>
      </c>
      <c r="B404" s="1041"/>
      <c r="C404" s="1050"/>
      <c r="D404" s="1050"/>
      <c r="E404" s="1050"/>
      <c r="F404" s="1049"/>
      <c r="G404" s="1457"/>
      <c r="H404" s="1049"/>
      <c r="I404" s="1049"/>
      <c r="J404" s="1050"/>
      <c r="K404" s="1050"/>
      <c r="L404" s="1043"/>
      <c r="M404" s="1051"/>
      <c r="N404" s="1051"/>
      <c r="O404" s="1052"/>
      <c r="P404" s="1051"/>
      <c r="Q404" s="1051"/>
      <c r="R404" s="1052"/>
      <c r="S404" s="1051"/>
      <c r="T404" s="1051"/>
      <c r="U404" s="1052"/>
      <c r="V404" s="1051"/>
      <c r="W404" s="1051"/>
      <c r="X404" s="1052"/>
      <c r="Y404" s="1053"/>
      <c r="Z404" s="1051"/>
      <c r="AA404" s="1051"/>
      <c r="AB404" s="1052"/>
      <c r="AC404" s="1051"/>
      <c r="AD404" s="1051"/>
      <c r="AE404" s="1052"/>
      <c r="AF404" s="1051"/>
      <c r="AG404" s="1051"/>
      <c r="AH404" s="1051"/>
      <c r="AI404" s="1051"/>
      <c r="AJ404" s="1052"/>
      <c r="AK404" s="1051"/>
      <c r="AL404" s="1051"/>
      <c r="AM404" s="1052"/>
      <c r="AN404" s="1051"/>
      <c r="AO404" s="1051"/>
      <c r="AP404" s="1052"/>
      <c r="AQ404" s="1051"/>
      <c r="AR404" s="1051"/>
      <c r="AS404" s="1052"/>
      <c r="AT404" s="1051"/>
      <c r="AU404" s="1051"/>
      <c r="AV404" s="1052"/>
      <c r="AW404" s="1051"/>
      <c r="AX404" s="1051"/>
      <c r="AY404" s="1053"/>
      <c r="AZ404" s="1051"/>
      <c r="BA404" s="1051"/>
      <c r="BB404" s="1053"/>
      <c r="BC404" s="1051"/>
      <c r="BD404" s="1051"/>
      <c r="BE404" s="1053"/>
      <c r="BF404" s="1051"/>
      <c r="BG404" s="1051"/>
      <c r="BH404" s="1053"/>
      <c r="BI404" s="1052"/>
      <c r="BJ404" s="1052"/>
      <c r="BK404" s="1052"/>
      <c r="BL404" s="1052"/>
      <c r="BM404" s="1052"/>
      <c r="BN404" s="1054"/>
      <c r="BO404" s="1076">
        <f t="shared" si="17"/>
        <v>0</v>
      </c>
      <c r="BP404" s="1051"/>
      <c r="BQ404" s="1052"/>
      <c r="BR404" s="1054"/>
      <c r="BS404" s="1053"/>
      <c r="BT404" s="1051"/>
      <c r="BU404" s="1051"/>
      <c r="BV404" s="1051"/>
      <c r="BW404" s="1052"/>
      <c r="BX404" s="1052"/>
      <c r="BY404" s="1052"/>
      <c r="BZ404" s="1052"/>
      <c r="CA404" s="1052"/>
      <c r="CB404" s="1053"/>
      <c r="CC404" s="1053"/>
      <c r="CD404" s="1053"/>
      <c r="CE404" s="1053"/>
      <c r="CF404" s="1053"/>
      <c r="CG404" s="1053"/>
      <c r="CH404" s="1053"/>
      <c r="CI404" s="1123"/>
      <c r="CJ404" s="1123"/>
      <c r="CK404" s="1123"/>
      <c r="CL404" s="1123"/>
      <c r="CM404" s="1123"/>
      <c r="CN404" s="1123"/>
      <c r="CO404" s="1123"/>
      <c r="CP404" s="1123"/>
      <c r="CQ404" s="1123"/>
      <c r="CR404" s="1123"/>
      <c r="CS404" s="1123"/>
      <c r="CT404" s="1123"/>
      <c r="CU404" s="1123"/>
      <c r="CV404" s="1123"/>
      <c r="CW404" s="1123"/>
      <c r="CX404" s="1123"/>
      <c r="CY404" s="1123"/>
      <c r="CZ404" s="1114"/>
      <c r="DA404" s="1114"/>
      <c r="DB404" s="1114"/>
      <c r="DC404" s="1114"/>
      <c r="DD404" s="1114"/>
      <c r="DE404" s="1114"/>
      <c r="DF404" s="1114"/>
      <c r="DG404" s="1114"/>
      <c r="DH404" s="1114"/>
      <c r="DI404" s="1114"/>
      <c r="DJ404" s="1114"/>
      <c r="DK404" s="1114"/>
      <c r="DL404" s="1114"/>
      <c r="DM404" s="1114"/>
      <c r="DN404" s="1114"/>
      <c r="DO404" s="1114"/>
      <c r="DP404" s="1114"/>
      <c r="DQ404" s="1114"/>
      <c r="DR404" s="1114"/>
      <c r="DS404" s="1114"/>
      <c r="DT404" s="1114"/>
      <c r="DU404" s="1114"/>
      <c r="DV404" s="1115"/>
      <c r="DW404" s="1116"/>
      <c r="DX404" s="1116"/>
      <c r="DY404" s="1116"/>
      <c r="DZ404" s="1116"/>
      <c r="EA404" s="1116"/>
      <c r="EB404" s="1116"/>
      <c r="EC404" s="1116"/>
      <c r="ED404" s="1116"/>
      <c r="EE404" s="1116"/>
      <c r="EF404" s="1116"/>
      <c r="EG404" s="1116"/>
      <c r="EH404" s="1116"/>
      <c r="EI404" s="1116"/>
      <c r="EJ404" s="1116"/>
      <c r="EK404" s="1116"/>
      <c r="EL404" s="1116"/>
      <c r="EM404" s="1116"/>
      <c r="EN404" s="1116"/>
      <c r="EO404" s="1116"/>
      <c r="EP404" s="1116"/>
      <c r="EQ404" s="1116"/>
      <c r="ER404" s="1116"/>
      <c r="ES404" s="1116"/>
    </row>
    <row r="405" spans="1:149" ht="15" customHeight="1">
      <c r="A405" s="1185">
        <v>390</v>
      </c>
      <c r="B405" s="1041"/>
      <c r="C405" s="1050"/>
      <c r="D405" s="1050"/>
      <c r="E405" s="1050"/>
      <c r="F405" s="1049"/>
      <c r="G405" s="1457"/>
      <c r="H405" s="1049"/>
      <c r="I405" s="1049"/>
      <c r="J405" s="1050"/>
      <c r="K405" s="1050"/>
      <c r="L405" s="1043"/>
      <c r="M405" s="1051"/>
      <c r="N405" s="1051"/>
      <c r="O405" s="1052"/>
      <c r="P405" s="1051"/>
      <c r="Q405" s="1051"/>
      <c r="R405" s="1052"/>
      <c r="S405" s="1051"/>
      <c r="T405" s="1051"/>
      <c r="U405" s="1052"/>
      <c r="V405" s="1051"/>
      <c r="W405" s="1051"/>
      <c r="X405" s="1052"/>
      <c r="Y405" s="1053"/>
      <c r="Z405" s="1051"/>
      <c r="AA405" s="1051"/>
      <c r="AB405" s="1052"/>
      <c r="AC405" s="1051"/>
      <c r="AD405" s="1051"/>
      <c r="AE405" s="1052"/>
      <c r="AF405" s="1051"/>
      <c r="AG405" s="1051"/>
      <c r="AH405" s="1051"/>
      <c r="AI405" s="1051"/>
      <c r="AJ405" s="1052"/>
      <c r="AK405" s="1051"/>
      <c r="AL405" s="1051"/>
      <c r="AM405" s="1052"/>
      <c r="AN405" s="1051"/>
      <c r="AO405" s="1051"/>
      <c r="AP405" s="1052"/>
      <c r="AQ405" s="1051"/>
      <c r="AR405" s="1051"/>
      <c r="AS405" s="1052"/>
      <c r="AT405" s="1051"/>
      <c r="AU405" s="1051"/>
      <c r="AV405" s="1052"/>
      <c r="AW405" s="1051"/>
      <c r="AX405" s="1051"/>
      <c r="AY405" s="1053"/>
      <c r="AZ405" s="1051"/>
      <c r="BA405" s="1051"/>
      <c r="BB405" s="1053"/>
      <c r="BC405" s="1051"/>
      <c r="BD405" s="1051"/>
      <c r="BE405" s="1053"/>
      <c r="BF405" s="1051"/>
      <c r="BG405" s="1051"/>
      <c r="BH405" s="1053"/>
      <c r="BI405" s="1052"/>
      <c r="BJ405" s="1052"/>
      <c r="BK405" s="1052"/>
      <c r="BL405" s="1052"/>
      <c r="BM405" s="1052"/>
      <c r="BN405" s="1054"/>
      <c r="BO405" s="1076">
        <f t="shared" si="17"/>
        <v>0</v>
      </c>
      <c r="BP405" s="1051"/>
      <c r="BQ405" s="1052"/>
      <c r="BR405" s="1054"/>
      <c r="BS405" s="1053"/>
      <c r="BT405" s="1051"/>
      <c r="BU405" s="1051"/>
      <c r="BV405" s="1051"/>
      <c r="BW405" s="1052"/>
      <c r="BX405" s="1052"/>
      <c r="BY405" s="1052"/>
      <c r="BZ405" s="1052"/>
      <c r="CA405" s="1052"/>
      <c r="CB405" s="1053"/>
      <c r="CC405" s="1053"/>
      <c r="CD405" s="1053"/>
      <c r="CE405" s="1053"/>
      <c r="CF405" s="1053"/>
      <c r="CG405" s="1053"/>
      <c r="CH405" s="1053"/>
      <c r="CI405" s="1123"/>
      <c r="CJ405" s="1123"/>
      <c r="CK405" s="1123"/>
      <c r="CL405" s="1123"/>
      <c r="CM405" s="1123"/>
      <c r="CN405" s="1123"/>
      <c r="CO405" s="1123"/>
      <c r="CP405" s="1123"/>
      <c r="CQ405" s="1123"/>
      <c r="CR405" s="1123"/>
      <c r="CS405" s="1123"/>
      <c r="CT405" s="1123"/>
      <c r="CU405" s="1123"/>
      <c r="CV405" s="1123"/>
      <c r="CW405" s="1123"/>
      <c r="CX405" s="1123"/>
      <c r="CY405" s="1123"/>
      <c r="CZ405" s="1114"/>
      <c r="DA405" s="1114"/>
      <c r="DB405" s="1114"/>
      <c r="DC405" s="1114"/>
      <c r="DD405" s="1114"/>
      <c r="DE405" s="1114"/>
      <c r="DF405" s="1114"/>
      <c r="DG405" s="1114"/>
      <c r="DH405" s="1114"/>
      <c r="DI405" s="1114"/>
      <c r="DJ405" s="1114"/>
      <c r="DK405" s="1114"/>
      <c r="DL405" s="1114"/>
      <c r="DM405" s="1114"/>
      <c r="DN405" s="1114"/>
      <c r="DO405" s="1114"/>
      <c r="DP405" s="1114"/>
      <c r="DQ405" s="1114"/>
      <c r="DR405" s="1114"/>
      <c r="DS405" s="1114"/>
      <c r="DT405" s="1114"/>
      <c r="DU405" s="1114"/>
      <c r="DV405" s="1115"/>
      <c r="DW405" s="1116"/>
      <c r="DX405" s="1116"/>
      <c r="DY405" s="1116"/>
      <c r="DZ405" s="1116"/>
      <c r="EA405" s="1116"/>
      <c r="EB405" s="1116"/>
      <c r="EC405" s="1116"/>
      <c r="ED405" s="1116"/>
      <c r="EE405" s="1116"/>
      <c r="EF405" s="1116"/>
      <c r="EG405" s="1116"/>
      <c r="EH405" s="1116"/>
      <c r="EI405" s="1116"/>
      <c r="EJ405" s="1116"/>
      <c r="EK405" s="1116"/>
      <c r="EL405" s="1116"/>
      <c r="EM405" s="1116"/>
      <c r="EN405" s="1116"/>
      <c r="EO405" s="1116"/>
      <c r="EP405" s="1116"/>
      <c r="EQ405" s="1116"/>
      <c r="ER405" s="1116"/>
      <c r="ES405" s="1116"/>
    </row>
    <row r="406" spans="1:149" ht="15" customHeight="1">
      <c r="A406" s="1185">
        <v>391</v>
      </c>
      <c r="B406" s="1041"/>
      <c r="C406" s="1050"/>
      <c r="D406" s="1050"/>
      <c r="E406" s="1050"/>
      <c r="F406" s="1049"/>
      <c r="G406" s="1457"/>
      <c r="H406" s="1049"/>
      <c r="I406" s="1049"/>
      <c r="J406" s="1050"/>
      <c r="K406" s="1050"/>
      <c r="L406" s="1043"/>
      <c r="M406" s="1051"/>
      <c r="N406" s="1051"/>
      <c r="O406" s="1052"/>
      <c r="P406" s="1051"/>
      <c r="Q406" s="1051"/>
      <c r="R406" s="1052"/>
      <c r="S406" s="1051"/>
      <c r="T406" s="1051"/>
      <c r="U406" s="1052"/>
      <c r="V406" s="1051"/>
      <c r="W406" s="1051"/>
      <c r="X406" s="1052"/>
      <c r="Y406" s="1053"/>
      <c r="Z406" s="1051"/>
      <c r="AA406" s="1051"/>
      <c r="AB406" s="1052"/>
      <c r="AC406" s="1051"/>
      <c r="AD406" s="1051"/>
      <c r="AE406" s="1052"/>
      <c r="AF406" s="1051"/>
      <c r="AG406" s="1051"/>
      <c r="AH406" s="1051"/>
      <c r="AI406" s="1051"/>
      <c r="AJ406" s="1052"/>
      <c r="AK406" s="1051"/>
      <c r="AL406" s="1051"/>
      <c r="AM406" s="1052"/>
      <c r="AN406" s="1051"/>
      <c r="AO406" s="1051"/>
      <c r="AP406" s="1052"/>
      <c r="AQ406" s="1051"/>
      <c r="AR406" s="1051"/>
      <c r="AS406" s="1052"/>
      <c r="AT406" s="1051"/>
      <c r="AU406" s="1051"/>
      <c r="AV406" s="1052"/>
      <c r="AW406" s="1051"/>
      <c r="AX406" s="1051"/>
      <c r="AY406" s="1053"/>
      <c r="AZ406" s="1051"/>
      <c r="BA406" s="1051"/>
      <c r="BB406" s="1053"/>
      <c r="BC406" s="1051"/>
      <c r="BD406" s="1051"/>
      <c r="BE406" s="1053"/>
      <c r="BF406" s="1051"/>
      <c r="BG406" s="1051"/>
      <c r="BH406" s="1053"/>
      <c r="BI406" s="1052"/>
      <c r="BJ406" s="1052"/>
      <c r="BK406" s="1052"/>
      <c r="BL406" s="1052"/>
      <c r="BM406" s="1052"/>
      <c r="BN406" s="1054"/>
      <c r="BO406" s="1076">
        <f t="shared" si="17"/>
        <v>0</v>
      </c>
      <c r="BP406" s="1051"/>
      <c r="BQ406" s="1052"/>
      <c r="BR406" s="1054"/>
      <c r="BS406" s="1053"/>
      <c r="BT406" s="1051"/>
      <c r="BU406" s="1051"/>
      <c r="BV406" s="1051"/>
      <c r="BW406" s="1052"/>
      <c r="BX406" s="1052"/>
      <c r="BY406" s="1052"/>
      <c r="BZ406" s="1052"/>
      <c r="CA406" s="1052"/>
      <c r="CB406" s="1053"/>
      <c r="CC406" s="1053"/>
      <c r="CD406" s="1053"/>
      <c r="CE406" s="1053"/>
      <c r="CF406" s="1053"/>
      <c r="CG406" s="1053"/>
      <c r="CH406" s="1053"/>
      <c r="CI406" s="1123"/>
      <c r="CJ406" s="1123"/>
      <c r="CK406" s="1123"/>
      <c r="CL406" s="1123"/>
      <c r="CM406" s="1123"/>
      <c r="CN406" s="1123"/>
      <c r="CO406" s="1123"/>
      <c r="CP406" s="1123"/>
      <c r="CQ406" s="1123"/>
      <c r="CR406" s="1123"/>
      <c r="CS406" s="1123"/>
      <c r="CT406" s="1123"/>
      <c r="CU406" s="1123"/>
      <c r="CV406" s="1123"/>
      <c r="CW406" s="1123"/>
      <c r="CX406" s="1123"/>
      <c r="CY406" s="1123"/>
      <c r="CZ406" s="1114"/>
      <c r="DA406" s="1114"/>
      <c r="DB406" s="1114"/>
      <c r="DC406" s="1114"/>
      <c r="DD406" s="1114"/>
      <c r="DE406" s="1114"/>
      <c r="DF406" s="1114"/>
      <c r="DG406" s="1114"/>
      <c r="DH406" s="1114"/>
      <c r="DI406" s="1114"/>
      <c r="DJ406" s="1114"/>
      <c r="DK406" s="1114"/>
      <c r="DL406" s="1114"/>
      <c r="DM406" s="1114"/>
      <c r="DN406" s="1114"/>
      <c r="DO406" s="1114"/>
      <c r="DP406" s="1114"/>
      <c r="DQ406" s="1114"/>
      <c r="DR406" s="1114"/>
      <c r="DS406" s="1114"/>
      <c r="DT406" s="1114"/>
      <c r="DU406" s="1114"/>
      <c r="DV406" s="1115"/>
      <c r="DW406" s="1116"/>
      <c r="DX406" s="1116"/>
      <c r="DY406" s="1116"/>
      <c r="DZ406" s="1116"/>
      <c r="EA406" s="1116"/>
      <c r="EB406" s="1116"/>
      <c r="EC406" s="1116"/>
      <c r="ED406" s="1116"/>
      <c r="EE406" s="1116"/>
      <c r="EF406" s="1116"/>
      <c r="EG406" s="1116"/>
      <c r="EH406" s="1116"/>
      <c r="EI406" s="1116"/>
      <c r="EJ406" s="1116"/>
      <c r="EK406" s="1116"/>
      <c r="EL406" s="1116"/>
      <c r="EM406" s="1116"/>
      <c r="EN406" s="1116"/>
      <c r="EO406" s="1116"/>
      <c r="EP406" s="1116"/>
      <c r="EQ406" s="1116"/>
      <c r="ER406" s="1116"/>
      <c r="ES406" s="1116"/>
    </row>
    <row r="407" spans="1:149" ht="15" customHeight="1">
      <c r="A407" s="1185">
        <v>392</v>
      </c>
      <c r="B407" s="1041"/>
      <c r="C407" s="1050"/>
      <c r="D407" s="1050"/>
      <c r="E407" s="1050"/>
      <c r="F407" s="1049"/>
      <c r="G407" s="1457"/>
      <c r="H407" s="1049"/>
      <c r="I407" s="1049"/>
      <c r="J407" s="1050"/>
      <c r="K407" s="1050"/>
      <c r="L407" s="1043"/>
      <c r="M407" s="1051"/>
      <c r="N407" s="1051"/>
      <c r="O407" s="1052"/>
      <c r="P407" s="1051"/>
      <c r="Q407" s="1051"/>
      <c r="R407" s="1052"/>
      <c r="S407" s="1051"/>
      <c r="T407" s="1051"/>
      <c r="U407" s="1052"/>
      <c r="V407" s="1051"/>
      <c r="W407" s="1051"/>
      <c r="X407" s="1052"/>
      <c r="Y407" s="1053"/>
      <c r="Z407" s="1051"/>
      <c r="AA407" s="1051"/>
      <c r="AB407" s="1052"/>
      <c r="AC407" s="1051"/>
      <c r="AD407" s="1051"/>
      <c r="AE407" s="1052"/>
      <c r="AF407" s="1051"/>
      <c r="AG407" s="1051"/>
      <c r="AH407" s="1051"/>
      <c r="AI407" s="1051"/>
      <c r="AJ407" s="1052"/>
      <c r="AK407" s="1051"/>
      <c r="AL407" s="1051"/>
      <c r="AM407" s="1052"/>
      <c r="AN407" s="1051"/>
      <c r="AO407" s="1051"/>
      <c r="AP407" s="1052"/>
      <c r="AQ407" s="1051"/>
      <c r="AR407" s="1051"/>
      <c r="AS407" s="1052"/>
      <c r="AT407" s="1051"/>
      <c r="AU407" s="1051"/>
      <c r="AV407" s="1052"/>
      <c r="AW407" s="1051"/>
      <c r="AX407" s="1051"/>
      <c r="AY407" s="1053"/>
      <c r="AZ407" s="1051"/>
      <c r="BA407" s="1051"/>
      <c r="BB407" s="1053"/>
      <c r="BC407" s="1051"/>
      <c r="BD407" s="1051"/>
      <c r="BE407" s="1053"/>
      <c r="BF407" s="1051"/>
      <c r="BG407" s="1051"/>
      <c r="BH407" s="1053"/>
      <c r="BI407" s="1052"/>
      <c r="BJ407" s="1052"/>
      <c r="BK407" s="1052"/>
      <c r="BL407" s="1052"/>
      <c r="BM407" s="1052"/>
      <c r="BN407" s="1054"/>
      <c r="BO407" s="1076">
        <f t="shared" si="17"/>
        <v>0</v>
      </c>
      <c r="BP407" s="1051"/>
      <c r="BQ407" s="1052"/>
      <c r="BR407" s="1054"/>
      <c r="BS407" s="1053"/>
      <c r="BT407" s="1051"/>
      <c r="BU407" s="1051"/>
      <c r="BV407" s="1051"/>
      <c r="BW407" s="1052"/>
      <c r="BX407" s="1052"/>
      <c r="BY407" s="1052"/>
      <c r="BZ407" s="1052"/>
      <c r="CA407" s="1052"/>
      <c r="CB407" s="1053"/>
      <c r="CC407" s="1053"/>
      <c r="CD407" s="1053"/>
      <c r="CE407" s="1053"/>
      <c r="CF407" s="1053"/>
      <c r="CG407" s="1053"/>
      <c r="CH407" s="1053"/>
      <c r="CI407" s="1123"/>
      <c r="CJ407" s="1123"/>
      <c r="CK407" s="1123"/>
      <c r="CL407" s="1123"/>
      <c r="CM407" s="1123"/>
      <c r="CN407" s="1123"/>
      <c r="CO407" s="1123"/>
      <c r="CP407" s="1123"/>
      <c r="CQ407" s="1123"/>
      <c r="CR407" s="1123"/>
      <c r="CS407" s="1123"/>
      <c r="CT407" s="1123"/>
      <c r="CU407" s="1123"/>
      <c r="CV407" s="1123"/>
      <c r="CW407" s="1123"/>
      <c r="CX407" s="1123"/>
      <c r="CY407" s="1123"/>
      <c r="CZ407" s="1114"/>
      <c r="DA407" s="1114"/>
      <c r="DB407" s="1114"/>
      <c r="DC407" s="1114"/>
      <c r="DD407" s="1114"/>
      <c r="DE407" s="1114"/>
      <c r="DF407" s="1114"/>
      <c r="DG407" s="1114"/>
      <c r="DH407" s="1114"/>
      <c r="DI407" s="1114"/>
      <c r="DJ407" s="1114"/>
      <c r="DK407" s="1114"/>
      <c r="DL407" s="1114"/>
      <c r="DM407" s="1114"/>
      <c r="DN407" s="1114"/>
      <c r="DO407" s="1114"/>
      <c r="DP407" s="1114"/>
      <c r="DQ407" s="1114"/>
      <c r="DR407" s="1114"/>
      <c r="DS407" s="1114"/>
      <c r="DT407" s="1114"/>
      <c r="DU407" s="1114"/>
      <c r="DV407" s="1115"/>
      <c r="DW407" s="1116"/>
      <c r="DX407" s="1116"/>
      <c r="DY407" s="1116"/>
      <c r="DZ407" s="1116"/>
      <c r="EA407" s="1116"/>
      <c r="EB407" s="1116"/>
      <c r="EC407" s="1116"/>
      <c r="ED407" s="1116"/>
      <c r="EE407" s="1116"/>
      <c r="EF407" s="1116"/>
      <c r="EG407" s="1116"/>
      <c r="EH407" s="1116"/>
      <c r="EI407" s="1116"/>
      <c r="EJ407" s="1116"/>
      <c r="EK407" s="1116"/>
      <c r="EL407" s="1116"/>
      <c r="EM407" s="1116"/>
      <c r="EN407" s="1116"/>
      <c r="EO407" s="1116"/>
      <c r="EP407" s="1116"/>
      <c r="EQ407" s="1116"/>
      <c r="ER407" s="1116"/>
      <c r="ES407" s="1116"/>
    </row>
    <row r="408" spans="1:149" ht="15" customHeight="1">
      <c r="A408" s="1185">
        <v>393</v>
      </c>
      <c r="B408" s="1041"/>
      <c r="C408" s="1050"/>
      <c r="D408" s="1050"/>
      <c r="E408" s="1050"/>
      <c r="F408" s="1049"/>
      <c r="G408" s="1457"/>
      <c r="H408" s="1049"/>
      <c r="I408" s="1049"/>
      <c r="J408" s="1050"/>
      <c r="K408" s="1050"/>
      <c r="L408" s="1043"/>
      <c r="M408" s="1051"/>
      <c r="N408" s="1051"/>
      <c r="O408" s="1052"/>
      <c r="P408" s="1051"/>
      <c r="Q408" s="1051"/>
      <c r="R408" s="1052"/>
      <c r="S408" s="1051"/>
      <c r="T408" s="1051"/>
      <c r="U408" s="1052"/>
      <c r="V408" s="1051"/>
      <c r="W408" s="1051"/>
      <c r="X408" s="1052"/>
      <c r="Y408" s="1053"/>
      <c r="Z408" s="1051"/>
      <c r="AA408" s="1051"/>
      <c r="AB408" s="1052"/>
      <c r="AC408" s="1051"/>
      <c r="AD408" s="1051"/>
      <c r="AE408" s="1052"/>
      <c r="AF408" s="1051"/>
      <c r="AG408" s="1051"/>
      <c r="AH408" s="1051"/>
      <c r="AI408" s="1051"/>
      <c r="AJ408" s="1052"/>
      <c r="AK408" s="1051"/>
      <c r="AL408" s="1051"/>
      <c r="AM408" s="1052"/>
      <c r="AN408" s="1051"/>
      <c r="AO408" s="1051"/>
      <c r="AP408" s="1052"/>
      <c r="AQ408" s="1051"/>
      <c r="AR408" s="1051"/>
      <c r="AS408" s="1052"/>
      <c r="AT408" s="1051"/>
      <c r="AU408" s="1051"/>
      <c r="AV408" s="1052"/>
      <c r="AW408" s="1051"/>
      <c r="AX408" s="1051"/>
      <c r="AY408" s="1053"/>
      <c r="AZ408" s="1051"/>
      <c r="BA408" s="1051"/>
      <c r="BB408" s="1053"/>
      <c r="BC408" s="1051"/>
      <c r="BD408" s="1051"/>
      <c r="BE408" s="1053"/>
      <c r="BF408" s="1051"/>
      <c r="BG408" s="1051"/>
      <c r="BH408" s="1053"/>
      <c r="BI408" s="1052"/>
      <c r="BJ408" s="1052"/>
      <c r="BK408" s="1052"/>
      <c r="BL408" s="1052"/>
      <c r="BM408" s="1052"/>
      <c r="BN408" s="1054"/>
      <c r="BO408" s="1076">
        <f t="shared" si="17"/>
        <v>0</v>
      </c>
      <c r="BP408" s="1051"/>
      <c r="BQ408" s="1052"/>
      <c r="BR408" s="1054"/>
      <c r="BS408" s="1053"/>
      <c r="BT408" s="1051"/>
      <c r="BU408" s="1051"/>
      <c r="BV408" s="1051"/>
      <c r="BW408" s="1052"/>
      <c r="BX408" s="1052"/>
      <c r="BY408" s="1052"/>
      <c r="BZ408" s="1052"/>
      <c r="CA408" s="1052"/>
      <c r="CB408" s="1053"/>
      <c r="CC408" s="1053"/>
      <c r="CD408" s="1053"/>
      <c r="CE408" s="1053"/>
      <c r="CF408" s="1053"/>
      <c r="CG408" s="1053"/>
      <c r="CH408" s="1053"/>
      <c r="CI408" s="1123"/>
      <c r="CJ408" s="1123"/>
      <c r="CK408" s="1123"/>
      <c r="CL408" s="1123"/>
      <c r="CM408" s="1123"/>
      <c r="CN408" s="1123"/>
      <c r="CO408" s="1123"/>
      <c r="CP408" s="1123"/>
      <c r="CQ408" s="1123"/>
      <c r="CR408" s="1123"/>
      <c r="CS408" s="1123"/>
      <c r="CT408" s="1123"/>
      <c r="CU408" s="1123"/>
      <c r="CV408" s="1123"/>
      <c r="CW408" s="1123"/>
      <c r="CX408" s="1123"/>
      <c r="CY408" s="1123"/>
      <c r="CZ408" s="1114"/>
      <c r="DA408" s="1114"/>
      <c r="DB408" s="1114"/>
      <c r="DC408" s="1114"/>
      <c r="DD408" s="1114"/>
      <c r="DE408" s="1114"/>
      <c r="DF408" s="1114"/>
      <c r="DG408" s="1114"/>
      <c r="DH408" s="1114"/>
      <c r="DI408" s="1114"/>
      <c r="DJ408" s="1114"/>
      <c r="DK408" s="1114"/>
      <c r="DL408" s="1114"/>
      <c r="DM408" s="1114"/>
      <c r="DN408" s="1114"/>
      <c r="DO408" s="1114"/>
      <c r="DP408" s="1114"/>
      <c r="DQ408" s="1114"/>
      <c r="DR408" s="1114"/>
      <c r="DS408" s="1114"/>
      <c r="DT408" s="1114"/>
      <c r="DU408" s="1114"/>
      <c r="DV408" s="1115"/>
      <c r="DW408" s="1116"/>
      <c r="DX408" s="1116"/>
      <c r="DY408" s="1116"/>
      <c r="DZ408" s="1116"/>
      <c r="EA408" s="1116"/>
      <c r="EB408" s="1116"/>
      <c r="EC408" s="1116"/>
      <c r="ED408" s="1116"/>
      <c r="EE408" s="1116"/>
      <c r="EF408" s="1116"/>
      <c r="EG408" s="1116"/>
      <c r="EH408" s="1116"/>
      <c r="EI408" s="1116"/>
      <c r="EJ408" s="1116"/>
      <c r="EK408" s="1116"/>
      <c r="EL408" s="1116"/>
      <c r="EM408" s="1116"/>
      <c r="EN408" s="1116"/>
      <c r="EO408" s="1116"/>
      <c r="EP408" s="1116"/>
      <c r="EQ408" s="1116"/>
      <c r="ER408" s="1116"/>
      <c r="ES408" s="1116"/>
    </row>
    <row r="409" spans="1:149" ht="15" customHeight="1">
      <c r="A409" s="1185">
        <v>394</v>
      </c>
      <c r="B409" s="1041"/>
      <c r="C409" s="1050"/>
      <c r="D409" s="1050"/>
      <c r="E409" s="1050"/>
      <c r="F409" s="1049"/>
      <c r="G409" s="1457"/>
      <c r="H409" s="1049"/>
      <c r="I409" s="1049"/>
      <c r="J409" s="1050"/>
      <c r="K409" s="1050"/>
      <c r="L409" s="1043"/>
      <c r="M409" s="1051"/>
      <c r="N409" s="1051"/>
      <c r="O409" s="1052"/>
      <c r="P409" s="1051"/>
      <c r="Q409" s="1051"/>
      <c r="R409" s="1052"/>
      <c r="S409" s="1051"/>
      <c r="T409" s="1051"/>
      <c r="U409" s="1052"/>
      <c r="V409" s="1051"/>
      <c r="W409" s="1051"/>
      <c r="X409" s="1052"/>
      <c r="Y409" s="1053"/>
      <c r="Z409" s="1051"/>
      <c r="AA409" s="1051"/>
      <c r="AB409" s="1052"/>
      <c r="AC409" s="1051"/>
      <c r="AD409" s="1051"/>
      <c r="AE409" s="1052"/>
      <c r="AF409" s="1051"/>
      <c r="AG409" s="1051"/>
      <c r="AH409" s="1051"/>
      <c r="AI409" s="1051"/>
      <c r="AJ409" s="1052"/>
      <c r="AK409" s="1051"/>
      <c r="AL409" s="1051"/>
      <c r="AM409" s="1052"/>
      <c r="AN409" s="1051"/>
      <c r="AO409" s="1051"/>
      <c r="AP409" s="1052"/>
      <c r="AQ409" s="1051"/>
      <c r="AR409" s="1051"/>
      <c r="AS409" s="1052"/>
      <c r="AT409" s="1051"/>
      <c r="AU409" s="1051"/>
      <c r="AV409" s="1052"/>
      <c r="AW409" s="1051"/>
      <c r="AX409" s="1051"/>
      <c r="AY409" s="1053"/>
      <c r="AZ409" s="1051"/>
      <c r="BA409" s="1051"/>
      <c r="BB409" s="1053"/>
      <c r="BC409" s="1051"/>
      <c r="BD409" s="1051"/>
      <c r="BE409" s="1053"/>
      <c r="BF409" s="1051"/>
      <c r="BG409" s="1051"/>
      <c r="BH409" s="1053"/>
      <c r="BI409" s="1052"/>
      <c r="BJ409" s="1052"/>
      <c r="BK409" s="1052"/>
      <c r="BL409" s="1052"/>
      <c r="BM409" s="1052"/>
      <c r="BN409" s="1054"/>
      <c r="BO409" s="1076">
        <f t="shared" si="17"/>
        <v>0</v>
      </c>
      <c r="BP409" s="1051"/>
      <c r="BQ409" s="1052"/>
      <c r="BR409" s="1054"/>
      <c r="BS409" s="1053"/>
      <c r="BT409" s="1051"/>
      <c r="BU409" s="1051"/>
      <c r="BV409" s="1051"/>
      <c r="BW409" s="1052"/>
      <c r="BX409" s="1052"/>
      <c r="BY409" s="1052"/>
      <c r="BZ409" s="1052"/>
      <c r="CA409" s="1052"/>
      <c r="CB409" s="1053"/>
      <c r="CC409" s="1053"/>
      <c r="CD409" s="1053"/>
      <c r="CE409" s="1053"/>
      <c r="CF409" s="1053"/>
      <c r="CG409" s="1053"/>
      <c r="CH409" s="1053"/>
      <c r="CI409" s="1123"/>
      <c r="CJ409" s="1123"/>
      <c r="CK409" s="1123"/>
      <c r="CL409" s="1123"/>
      <c r="CM409" s="1123"/>
      <c r="CN409" s="1123"/>
      <c r="CO409" s="1123"/>
      <c r="CP409" s="1123"/>
      <c r="CQ409" s="1123"/>
      <c r="CR409" s="1123"/>
      <c r="CS409" s="1123"/>
      <c r="CT409" s="1123"/>
      <c r="CU409" s="1123"/>
      <c r="CV409" s="1123"/>
      <c r="CW409" s="1123"/>
      <c r="CX409" s="1123"/>
      <c r="CY409" s="1123"/>
      <c r="CZ409" s="1114"/>
      <c r="DA409" s="1114"/>
      <c r="DB409" s="1114"/>
      <c r="DC409" s="1114"/>
      <c r="DD409" s="1114"/>
      <c r="DE409" s="1114"/>
      <c r="DF409" s="1114"/>
      <c r="DG409" s="1114"/>
      <c r="DH409" s="1114"/>
      <c r="DI409" s="1114"/>
      <c r="DJ409" s="1114"/>
      <c r="DK409" s="1114"/>
      <c r="DL409" s="1114"/>
      <c r="DM409" s="1114"/>
      <c r="DN409" s="1114"/>
      <c r="DO409" s="1114"/>
      <c r="DP409" s="1114"/>
      <c r="DQ409" s="1114"/>
      <c r="DR409" s="1114"/>
      <c r="DS409" s="1114"/>
      <c r="DT409" s="1114"/>
      <c r="DU409" s="1114"/>
      <c r="DV409" s="1115"/>
      <c r="DW409" s="1116"/>
      <c r="DX409" s="1116"/>
      <c r="DY409" s="1116"/>
      <c r="DZ409" s="1116"/>
      <c r="EA409" s="1116"/>
      <c r="EB409" s="1116"/>
      <c r="EC409" s="1116"/>
      <c r="ED409" s="1116"/>
      <c r="EE409" s="1116"/>
      <c r="EF409" s="1116"/>
      <c r="EG409" s="1116"/>
      <c r="EH409" s="1116"/>
      <c r="EI409" s="1116"/>
      <c r="EJ409" s="1116"/>
      <c r="EK409" s="1116"/>
      <c r="EL409" s="1116"/>
      <c r="EM409" s="1116"/>
      <c r="EN409" s="1116"/>
      <c r="EO409" s="1116"/>
      <c r="EP409" s="1116"/>
      <c r="EQ409" s="1116"/>
      <c r="ER409" s="1116"/>
      <c r="ES409" s="1116"/>
    </row>
    <row r="410" spans="1:149" ht="15" customHeight="1">
      <c r="A410" s="1185">
        <v>395</v>
      </c>
      <c r="B410" s="1041"/>
      <c r="C410" s="1050"/>
      <c r="D410" s="1050"/>
      <c r="E410" s="1050"/>
      <c r="F410" s="1049"/>
      <c r="G410" s="1457"/>
      <c r="H410" s="1049"/>
      <c r="I410" s="1049"/>
      <c r="J410" s="1050"/>
      <c r="K410" s="1050"/>
      <c r="L410" s="1043"/>
      <c r="M410" s="1051"/>
      <c r="N410" s="1051"/>
      <c r="O410" s="1052"/>
      <c r="P410" s="1051"/>
      <c r="Q410" s="1051"/>
      <c r="R410" s="1052"/>
      <c r="S410" s="1051"/>
      <c r="T410" s="1051"/>
      <c r="U410" s="1052"/>
      <c r="V410" s="1051"/>
      <c r="W410" s="1051"/>
      <c r="X410" s="1052"/>
      <c r="Y410" s="1053"/>
      <c r="Z410" s="1051"/>
      <c r="AA410" s="1051"/>
      <c r="AB410" s="1052"/>
      <c r="AC410" s="1051"/>
      <c r="AD410" s="1051"/>
      <c r="AE410" s="1052"/>
      <c r="AF410" s="1051"/>
      <c r="AG410" s="1051"/>
      <c r="AH410" s="1051"/>
      <c r="AI410" s="1051"/>
      <c r="AJ410" s="1052"/>
      <c r="AK410" s="1051"/>
      <c r="AL410" s="1051"/>
      <c r="AM410" s="1052"/>
      <c r="AN410" s="1051"/>
      <c r="AO410" s="1051"/>
      <c r="AP410" s="1052"/>
      <c r="AQ410" s="1051"/>
      <c r="AR410" s="1051"/>
      <c r="AS410" s="1052"/>
      <c r="AT410" s="1051"/>
      <c r="AU410" s="1051"/>
      <c r="AV410" s="1052"/>
      <c r="AW410" s="1051"/>
      <c r="AX410" s="1051"/>
      <c r="AY410" s="1053"/>
      <c r="AZ410" s="1051"/>
      <c r="BA410" s="1051"/>
      <c r="BB410" s="1053"/>
      <c r="BC410" s="1051"/>
      <c r="BD410" s="1051"/>
      <c r="BE410" s="1053"/>
      <c r="BF410" s="1051"/>
      <c r="BG410" s="1051"/>
      <c r="BH410" s="1053"/>
      <c r="BI410" s="1052"/>
      <c r="BJ410" s="1052"/>
      <c r="BK410" s="1052"/>
      <c r="BL410" s="1052"/>
      <c r="BM410" s="1052"/>
      <c r="BN410" s="1054"/>
      <c r="BO410" s="1076">
        <f t="shared" si="17"/>
        <v>0</v>
      </c>
      <c r="BP410" s="1051"/>
      <c r="BQ410" s="1052"/>
      <c r="BR410" s="1054"/>
      <c r="BS410" s="1053"/>
      <c r="BT410" s="1051"/>
      <c r="BU410" s="1051"/>
      <c r="BV410" s="1051"/>
      <c r="BW410" s="1052"/>
      <c r="BX410" s="1052"/>
      <c r="BY410" s="1052"/>
      <c r="BZ410" s="1052"/>
      <c r="CA410" s="1052"/>
      <c r="CB410" s="1053"/>
      <c r="CC410" s="1053"/>
      <c r="CD410" s="1053"/>
      <c r="CE410" s="1053"/>
      <c r="CF410" s="1053"/>
      <c r="CG410" s="1053"/>
      <c r="CH410" s="1053"/>
      <c r="CI410" s="1123"/>
      <c r="CJ410" s="1123"/>
      <c r="CK410" s="1123"/>
      <c r="CL410" s="1123"/>
      <c r="CM410" s="1123"/>
      <c r="CN410" s="1123"/>
      <c r="CO410" s="1123"/>
      <c r="CP410" s="1123"/>
      <c r="CQ410" s="1123"/>
      <c r="CR410" s="1123"/>
      <c r="CS410" s="1123"/>
      <c r="CT410" s="1123"/>
      <c r="CU410" s="1123"/>
      <c r="CV410" s="1123"/>
      <c r="CW410" s="1123"/>
      <c r="CX410" s="1123"/>
      <c r="CY410" s="1123"/>
      <c r="CZ410" s="1114"/>
      <c r="DA410" s="1114"/>
      <c r="DB410" s="1114"/>
      <c r="DC410" s="1114"/>
      <c r="DD410" s="1114"/>
      <c r="DE410" s="1114"/>
      <c r="DF410" s="1114"/>
      <c r="DG410" s="1114"/>
      <c r="DH410" s="1114"/>
      <c r="DI410" s="1114"/>
      <c r="DJ410" s="1114"/>
      <c r="DK410" s="1114"/>
      <c r="DL410" s="1114"/>
      <c r="DM410" s="1114"/>
      <c r="DN410" s="1114"/>
      <c r="DO410" s="1114"/>
      <c r="DP410" s="1114"/>
      <c r="DQ410" s="1114"/>
      <c r="DR410" s="1114"/>
      <c r="DS410" s="1114"/>
      <c r="DT410" s="1114"/>
      <c r="DU410" s="1114"/>
      <c r="DV410" s="1115"/>
      <c r="DW410" s="1116"/>
      <c r="DX410" s="1116"/>
      <c r="DY410" s="1116"/>
      <c r="DZ410" s="1116"/>
      <c r="EA410" s="1116"/>
      <c r="EB410" s="1116"/>
      <c r="EC410" s="1116"/>
      <c r="ED410" s="1116"/>
      <c r="EE410" s="1116"/>
      <c r="EF410" s="1116"/>
      <c r="EG410" s="1116"/>
      <c r="EH410" s="1116"/>
      <c r="EI410" s="1116"/>
      <c r="EJ410" s="1116"/>
      <c r="EK410" s="1116"/>
      <c r="EL410" s="1116"/>
      <c r="EM410" s="1116"/>
      <c r="EN410" s="1116"/>
      <c r="EO410" s="1116"/>
      <c r="EP410" s="1116"/>
      <c r="EQ410" s="1116"/>
      <c r="ER410" s="1116"/>
      <c r="ES410" s="1116"/>
    </row>
    <row r="411" spans="1:149" ht="15" customHeight="1">
      <c r="A411" s="1185">
        <v>396</v>
      </c>
      <c r="B411" s="1041"/>
      <c r="C411" s="1050"/>
      <c r="D411" s="1050"/>
      <c r="E411" s="1050"/>
      <c r="F411" s="1049"/>
      <c r="G411" s="1457"/>
      <c r="H411" s="1049"/>
      <c r="I411" s="1049"/>
      <c r="J411" s="1050"/>
      <c r="K411" s="1050"/>
      <c r="L411" s="1043"/>
      <c r="M411" s="1051"/>
      <c r="N411" s="1051"/>
      <c r="O411" s="1052"/>
      <c r="P411" s="1051"/>
      <c r="Q411" s="1051"/>
      <c r="R411" s="1052"/>
      <c r="S411" s="1051"/>
      <c r="T411" s="1051"/>
      <c r="U411" s="1052"/>
      <c r="V411" s="1051"/>
      <c r="W411" s="1051"/>
      <c r="X411" s="1052"/>
      <c r="Y411" s="1053"/>
      <c r="Z411" s="1051"/>
      <c r="AA411" s="1051"/>
      <c r="AB411" s="1052"/>
      <c r="AC411" s="1051"/>
      <c r="AD411" s="1051"/>
      <c r="AE411" s="1052"/>
      <c r="AF411" s="1051"/>
      <c r="AG411" s="1051"/>
      <c r="AH411" s="1051"/>
      <c r="AI411" s="1051"/>
      <c r="AJ411" s="1052"/>
      <c r="AK411" s="1051"/>
      <c r="AL411" s="1051"/>
      <c r="AM411" s="1052"/>
      <c r="AN411" s="1051"/>
      <c r="AO411" s="1051"/>
      <c r="AP411" s="1052"/>
      <c r="AQ411" s="1051"/>
      <c r="AR411" s="1051"/>
      <c r="AS411" s="1052"/>
      <c r="AT411" s="1051"/>
      <c r="AU411" s="1051"/>
      <c r="AV411" s="1052"/>
      <c r="AW411" s="1051"/>
      <c r="AX411" s="1051"/>
      <c r="AY411" s="1053"/>
      <c r="AZ411" s="1051"/>
      <c r="BA411" s="1051"/>
      <c r="BB411" s="1053"/>
      <c r="BC411" s="1051"/>
      <c r="BD411" s="1051"/>
      <c r="BE411" s="1053"/>
      <c r="BF411" s="1051"/>
      <c r="BG411" s="1051"/>
      <c r="BH411" s="1053"/>
      <c r="BI411" s="1052"/>
      <c r="BJ411" s="1052"/>
      <c r="BK411" s="1052"/>
      <c r="BL411" s="1052"/>
      <c r="BM411" s="1052"/>
      <c r="BN411" s="1054"/>
      <c r="BO411" s="1076">
        <f t="shared" si="17"/>
        <v>0</v>
      </c>
      <c r="BP411" s="1051"/>
      <c r="BQ411" s="1052"/>
      <c r="BR411" s="1054"/>
      <c r="BS411" s="1053"/>
      <c r="BT411" s="1051"/>
      <c r="BU411" s="1051"/>
      <c r="BV411" s="1051"/>
      <c r="BW411" s="1052"/>
      <c r="BX411" s="1052"/>
      <c r="BY411" s="1052"/>
      <c r="BZ411" s="1052"/>
      <c r="CA411" s="1052"/>
      <c r="CB411" s="1053"/>
      <c r="CC411" s="1053"/>
      <c r="CD411" s="1053"/>
      <c r="CE411" s="1053"/>
      <c r="CF411" s="1053"/>
      <c r="CG411" s="1053"/>
      <c r="CH411" s="1053"/>
      <c r="CI411" s="1123"/>
      <c r="CJ411" s="1123"/>
      <c r="CK411" s="1123"/>
      <c r="CL411" s="1123"/>
      <c r="CM411" s="1123"/>
      <c r="CN411" s="1123"/>
      <c r="CO411" s="1123"/>
      <c r="CP411" s="1123"/>
      <c r="CQ411" s="1123"/>
      <c r="CR411" s="1123"/>
      <c r="CS411" s="1123"/>
      <c r="CT411" s="1123"/>
      <c r="CU411" s="1123"/>
      <c r="CV411" s="1123"/>
      <c r="CW411" s="1123"/>
      <c r="CX411" s="1123"/>
      <c r="CY411" s="1123"/>
      <c r="CZ411" s="1114"/>
      <c r="DA411" s="1114"/>
      <c r="DB411" s="1114"/>
      <c r="DC411" s="1114"/>
      <c r="DD411" s="1114"/>
      <c r="DE411" s="1114"/>
      <c r="DF411" s="1114"/>
      <c r="DG411" s="1114"/>
      <c r="DH411" s="1114"/>
      <c r="DI411" s="1114"/>
      <c r="DJ411" s="1114"/>
      <c r="DK411" s="1114"/>
      <c r="DL411" s="1114"/>
      <c r="DM411" s="1114"/>
      <c r="DN411" s="1114"/>
      <c r="DO411" s="1114"/>
      <c r="DP411" s="1114"/>
      <c r="DQ411" s="1114"/>
      <c r="DR411" s="1114"/>
      <c r="DS411" s="1114"/>
      <c r="DT411" s="1114"/>
      <c r="DU411" s="1114"/>
      <c r="DV411" s="1115"/>
      <c r="DW411" s="1116"/>
      <c r="DX411" s="1116"/>
      <c r="DY411" s="1116"/>
      <c r="DZ411" s="1116"/>
      <c r="EA411" s="1116"/>
      <c r="EB411" s="1116"/>
      <c r="EC411" s="1116"/>
      <c r="ED411" s="1116"/>
      <c r="EE411" s="1116"/>
      <c r="EF411" s="1116"/>
      <c r="EG411" s="1116"/>
      <c r="EH411" s="1116"/>
      <c r="EI411" s="1116"/>
      <c r="EJ411" s="1116"/>
      <c r="EK411" s="1116"/>
      <c r="EL411" s="1116"/>
      <c r="EM411" s="1116"/>
      <c r="EN411" s="1116"/>
      <c r="EO411" s="1116"/>
      <c r="EP411" s="1116"/>
      <c r="EQ411" s="1116"/>
      <c r="ER411" s="1116"/>
      <c r="ES411" s="1116"/>
    </row>
    <row r="412" spans="1:149" ht="15" customHeight="1">
      <c r="A412" s="1185">
        <v>397</v>
      </c>
      <c r="B412" s="1041"/>
      <c r="C412" s="1050"/>
      <c r="D412" s="1050"/>
      <c r="E412" s="1050"/>
      <c r="F412" s="1049"/>
      <c r="G412" s="1457"/>
      <c r="H412" s="1049"/>
      <c r="I412" s="1049"/>
      <c r="J412" s="1050"/>
      <c r="K412" s="1050"/>
      <c r="L412" s="1043"/>
      <c r="M412" s="1051"/>
      <c r="N412" s="1051"/>
      <c r="O412" s="1052"/>
      <c r="P412" s="1051"/>
      <c r="Q412" s="1051"/>
      <c r="R412" s="1052"/>
      <c r="S412" s="1051"/>
      <c r="T412" s="1051"/>
      <c r="U412" s="1052"/>
      <c r="V412" s="1051"/>
      <c r="W412" s="1051"/>
      <c r="X412" s="1052"/>
      <c r="Y412" s="1053"/>
      <c r="Z412" s="1051"/>
      <c r="AA412" s="1051"/>
      <c r="AB412" s="1052"/>
      <c r="AC412" s="1051"/>
      <c r="AD412" s="1051"/>
      <c r="AE412" s="1052"/>
      <c r="AF412" s="1051"/>
      <c r="AG412" s="1051"/>
      <c r="AH412" s="1051"/>
      <c r="AI412" s="1051"/>
      <c r="AJ412" s="1052"/>
      <c r="AK412" s="1051"/>
      <c r="AL412" s="1051"/>
      <c r="AM412" s="1052"/>
      <c r="AN412" s="1051"/>
      <c r="AO412" s="1051"/>
      <c r="AP412" s="1052"/>
      <c r="AQ412" s="1051"/>
      <c r="AR412" s="1051"/>
      <c r="AS412" s="1052"/>
      <c r="AT412" s="1051"/>
      <c r="AU412" s="1051"/>
      <c r="AV412" s="1052"/>
      <c r="AW412" s="1051"/>
      <c r="AX412" s="1051"/>
      <c r="AY412" s="1053"/>
      <c r="AZ412" s="1051"/>
      <c r="BA412" s="1051"/>
      <c r="BB412" s="1053"/>
      <c r="BC412" s="1051"/>
      <c r="BD412" s="1051"/>
      <c r="BE412" s="1053"/>
      <c r="BF412" s="1051"/>
      <c r="BG412" s="1051"/>
      <c r="BH412" s="1053"/>
      <c r="BI412" s="1052"/>
      <c r="BJ412" s="1052"/>
      <c r="BK412" s="1052"/>
      <c r="BL412" s="1052"/>
      <c r="BM412" s="1052"/>
      <c r="BN412" s="1054"/>
      <c r="BO412" s="1076">
        <f t="shared" si="17"/>
        <v>0</v>
      </c>
      <c r="BP412" s="1051"/>
      <c r="BQ412" s="1052"/>
      <c r="BR412" s="1054"/>
      <c r="BS412" s="1053"/>
      <c r="BT412" s="1051"/>
      <c r="BU412" s="1051"/>
      <c r="BV412" s="1051"/>
      <c r="BW412" s="1052"/>
      <c r="BX412" s="1052"/>
      <c r="BY412" s="1052"/>
      <c r="BZ412" s="1052"/>
      <c r="CA412" s="1052"/>
      <c r="CB412" s="1053"/>
      <c r="CC412" s="1053"/>
      <c r="CD412" s="1053"/>
      <c r="CE412" s="1053"/>
      <c r="CF412" s="1053"/>
      <c r="CG412" s="1053"/>
      <c r="CH412" s="1053"/>
      <c r="CI412" s="1123"/>
      <c r="CJ412" s="1123"/>
      <c r="CK412" s="1123"/>
      <c r="CL412" s="1123"/>
      <c r="CM412" s="1123"/>
      <c r="CN412" s="1123"/>
      <c r="CO412" s="1123"/>
      <c r="CP412" s="1123"/>
      <c r="CQ412" s="1123"/>
      <c r="CR412" s="1123"/>
      <c r="CS412" s="1123"/>
      <c r="CT412" s="1123"/>
      <c r="CU412" s="1123"/>
      <c r="CV412" s="1123"/>
      <c r="CW412" s="1123"/>
      <c r="CX412" s="1123"/>
      <c r="CY412" s="1123"/>
      <c r="CZ412" s="1114"/>
      <c r="DA412" s="1114"/>
      <c r="DB412" s="1114"/>
      <c r="DC412" s="1114"/>
      <c r="DD412" s="1114"/>
      <c r="DE412" s="1114"/>
      <c r="DF412" s="1114"/>
      <c r="DG412" s="1114"/>
      <c r="DH412" s="1114"/>
      <c r="DI412" s="1114"/>
      <c r="DJ412" s="1114"/>
      <c r="DK412" s="1114"/>
      <c r="DL412" s="1114"/>
      <c r="DM412" s="1114"/>
      <c r="DN412" s="1114"/>
      <c r="DO412" s="1114"/>
      <c r="DP412" s="1114"/>
      <c r="DQ412" s="1114"/>
      <c r="DR412" s="1114"/>
      <c r="DS412" s="1114"/>
      <c r="DT412" s="1114"/>
      <c r="DU412" s="1114"/>
      <c r="DV412" s="1115"/>
      <c r="DW412" s="1116"/>
      <c r="DX412" s="1116"/>
      <c r="DY412" s="1116"/>
      <c r="DZ412" s="1116"/>
      <c r="EA412" s="1116"/>
      <c r="EB412" s="1116"/>
      <c r="EC412" s="1116"/>
      <c r="ED412" s="1116"/>
      <c r="EE412" s="1116"/>
      <c r="EF412" s="1116"/>
      <c r="EG412" s="1116"/>
      <c r="EH412" s="1116"/>
      <c r="EI412" s="1116"/>
      <c r="EJ412" s="1116"/>
      <c r="EK412" s="1116"/>
      <c r="EL412" s="1116"/>
      <c r="EM412" s="1116"/>
      <c r="EN412" s="1116"/>
      <c r="EO412" s="1116"/>
      <c r="EP412" s="1116"/>
      <c r="EQ412" s="1116"/>
      <c r="ER412" s="1116"/>
      <c r="ES412" s="1116"/>
    </row>
    <row r="413" spans="1:149" ht="15" customHeight="1">
      <c r="A413" s="1185">
        <v>398</v>
      </c>
      <c r="B413" s="1041"/>
      <c r="C413" s="1050"/>
      <c r="D413" s="1050"/>
      <c r="E413" s="1050"/>
      <c r="F413" s="1049"/>
      <c r="G413" s="1457"/>
      <c r="H413" s="1049"/>
      <c r="I413" s="1049"/>
      <c r="J413" s="1050"/>
      <c r="K413" s="1050"/>
      <c r="L413" s="1043"/>
      <c r="M413" s="1051"/>
      <c r="N413" s="1051"/>
      <c r="O413" s="1052"/>
      <c r="P413" s="1051"/>
      <c r="Q413" s="1051"/>
      <c r="R413" s="1052"/>
      <c r="S413" s="1051"/>
      <c r="T413" s="1051"/>
      <c r="U413" s="1052"/>
      <c r="V413" s="1051"/>
      <c r="W413" s="1051"/>
      <c r="X413" s="1052"/>
      <c r="Y413" s="1053"/>
      <c r="Z413" s="1051"/>
      <c r="AA413" s="1051"/>
      <c r="AB413" s="1052"/>
      <c r="AC413" s="1051"/>
      <c r="AD413" s="1051"/>
      <c r="AE413" s="1052"/>
      <c r="AF413" s="1051"/>
      <c r="AG413" s="1051"/>
      <c r="AH413" s="1051"/>
      <c r="AI413" s="1051"/>
      <c r="AJ413" s="1052"/>
      <c r="AK413" s="1051"/>
      <c r="AL413" s="1051"/>
      <c r="AM413" s="1052"/>
      <c r="AN413" s="1051"/>
      <c r="AO413" s="1051"/>
      <c r="AP413" s="1052"/>
      <c r="AQ413" s="1051"/>
      <c r="AR413" s="1051"/>
      <c r="AS413" s="1052"/>
      <c r="AT413" s="1051"/>
      <c r="AU413" s="1051"/>
      <c r="AV413" s="1052"/>
      <c r="AW413" s="1051"/>
      <c r="AX413" s="1051"/>
      <c r="AY413" s="1053"/>
      <c r="AZ413" s="1051"/>
      <c r="BA413" s="1051"/>
      <c r="BB413" s="1053"/>
      <c r="BC413" s="1051"/>
      <c r="BD413" s="1051"/>
      <c r="BE413" s="1053"/>
      <c r="BF413" s="1051"/>
      <c r="BG413" s="1051"/>
      <c r="BH413" s="1053"/>
      <c r="BI413" s="1052"/>
      <c r="BJ413" s="1052"/>
      <c r="BK413" s="1052"/>
      <c r="BL413" s="1052"/>
      <c r="BM413" s="1052"/>
      <c r="BN413" s="1054"/>
      <c r="BO413" s="1076">
        <f t="shared" si="17"/>
        <v>0</v>
      </c>
      <c r="BP413" s="1051"/>
      <c r="BQ413" s="1052"/>
      <c r="BR413" s="1054"/>
      <c r="BS413" s="1053"/>
      <c r="BT413" s="1051"/>
      <c r="BU413" s="1051"/>
      <c r="BV413" s="1051"/>
      <c r="BW413" s="1052"/>
      <c r="BX413" s="1052"/>
      <c r="BY413" s="1052"/>
      <c r="BZ413" s="1052"/>
      <c r="CA413" s="1052"/>
      <c r="CB413" s="1053"/>
      <c r="CC413" s="1053"/>
      <c r="CD413" s="1053"/>
      <c r="CE413" s="1053"/>
      <c r="CF413" s="1053"/>
      <c r="CG413" s="1053"/>
      <c r="CH413" s="1053"/>
      <c r="CI413" s="1123"/>
      <c r="CJ413" s="1123"/>
      <c r="CK413" s="1123"/>
      <c r="CL413" s="1123"/>
      <c r="CM413" s="1123"/>
      <c r="CN413" s="1123"/>
      <c r="CO413" s="1123"/>
      <c r="CP413" s="1123"/>
      <c r="CQ413" s="1123"/>
      <c r="CR413" s="1123"/>
      <c r="CS413" s="1123"/>
      <c r="CT413" s="1123"/>
      <c r="CU413" s="1123"/>
      <c r="CV413" s="1123"/>
      <c r="CW413" s="1123"/>
      <c r="CX413" s="1123"/>
      <c r="CY413" s="1123"/>
      <c r="CZ413" s="1114"/>
      <c r="DA413" s="1114"/>
      <c r="DB413" s="1114"/>
      <c r="DC413" s="1114"/>
      <c r="DD413" s="1114"/>
      <c r="DE413" s="1114"/>
      <c r="DF413" s="1114"/>
      <c r="DG413" s="1114"/>
      <c r="DH413" s="1114"/>
      <c r="DI413" s="1114"/>
      <c r="DJ413" s="1114"/>
      <c r="DK413" s="1114"/>
      <c r="DL413" s="1114"/>
      <c r="DM413" s="1114"/>
      <c r="DN413" s="1114"/>
      <c r="DO413" s="1114"/>
      <c r="DP413" s="1114"/>
      <c r="DQ413" s="1114"/>
      <c r="DR413" s="1114"/>
      <c r="DS413" s="1114"/>
      <c r="DT413" s="1114"/>
      <c r="DU413" s="1114"/>
      <c r="DV413" s="1115"/>
      <c r="DW413" s="1116"/>
      <c r="DX413" s="1116"/>
      <c r="DY413" s="1116"/>
      <c r="DZ413" s="1116"/>
      <c r="EA413" s="1116"/>
      <c r="EB413" s="1116"/>
      <c r="EC413" s="1116"/>
      <c r="ED413" s="1116"/>
      <c r="EE413" s="1116"/>
      <c r="EF413" s="1116"/>
      <c r="EG413" s="1116"/>
      <c r="EH413" s="1116"/>
      <c r="EI413" s="1116"/>
      <c r="EJ413" s="1116"/>
      <c r="EK413" s="1116"/>
      <c r="EL413" s="1116"/>
      <c r="EM413" s="1116"/>
      <c r="EN413" s="1116"/>
      <c r="EO413" s="1116"/>
      <c r="EP413" s="1116"/>
      <c r="EQ413" s="1116"/>
      <c r="ER413" s="1116"/>
      <c r="ES413" s="1116"/>
    </row>
    <row r="414" spans="1:149" ht="15" customHeight="1">
      <c r="A414" s="1185">
        <v>399</v>
      </c>
      <c r="B414" s="1041"/>
      <c r="C414" s="1050"/>
      <c r="D414" s="1050"/>
      <c r="E414" s="1050"/>
      <c r="F414" s="1049"/>
      <c r="G414" s="1457"/>
      <c r="H414" s="1049"/>
      <c r="I414" s="1049"/>
      <c r="J414" s="1050"/>
      <c r="K414" s="1050"/>
      <c r="L414" s="1043"/>
      <c r="M414" s="1051"/>
      <c r="N414" s="1051"/>
      <c r="O414" s="1052"/>
      <c r="P414" s="1051"/>
      <c r="Q414" s="1051"/>
      <c r="R414" s="1052"/>
      <c r="S414" s="1051"/>
      <c r="T414" s="1051"/>
      <c r="U414" s="1052"/>
      <c r="V414" s="1051"/>
      <c r="W414" s="1051"/>
      <c r="X414" s="1052"/>
      <c r="Y414" s="1053"/>
      <c r="Z414" s="1051"/>
      <c r="AA414" s="1051"/>
      <c r="AB414" s="1052"/>
      <c r="AC414" s="1051"/>
      <c r="AD414" s="1051"/>
      <c r="AE414" s="1052"/>
      <c r="AF414" s="1051"/>
      <c r="AG414" s="1051"/>
      <c r="AH414" s="1051"/>
      <c r="AI414" s="1051"/>
      <c r="AJ414" s="1052"/>
      <c r="AK414" s="1051"/>
      <c r="AL414" s="1051"/>
      <c r="AM414" s="1052"/>
      <c r="AN414" s="1051"/>
      <c r="AO414" s="1051"/>
      <c r="AP414" s="1052"/>
      <c r="AQ414" s="1051"/>
      <c r="AR414" s="1051"/>
      <c r="AS414" s="1052"/>
      <c r="AT414" s="1051"/>
      <c r="AU414" s="1051"/>
      <c r="AV414" s="1052"/>
      <c r="AW414" s="1051"/>
      <c r="AX414" s="1051"/>
      <c r="AY414" s="1053"/>
      <c r="AZ414" s="1051"/>
      <c r="BA414" s="1051"/>
      <c r="BB414" s="1053"/>
      <c r="BC414" s="1051"/>
      <c r="BD414" s="1051"/>
      <c r="BE414" s="1053"/>
      <c r="BF414" s="1051"/>
      <c r="BG414" s="1051"/>
      <c r="BH414" s="1053"/>
      <c r="BI414" s="1052"/>
      <c r="BJ414" s="1052"/>
      <c r="BK414" s="1052"/>
      <c r="BL414" s="1052"/>
      <c r="BM414" s="1052"/>
      <c r="BN414" s="1054"/>
      <c r="BO414" s="1076">
        <f t="shared" si="17"/>
        <v>0</v>
      </c>
      <c r="BP414" s="1051"/>
      <c r="BQ414" s="1052"/>
      <c r="BR414" s="1054"/>
      <c r="BS414" s="1053"/>
      <c r="BT414" s="1051"/>
      <c r="BU414" s="1051"/>
      <c r="BV414" s="1051"/>
      <c r="BW414" s="1052"/>
      <c r="BX414" s="1052"/>
      <c r="BY414" s="1052"/>
      <c r="BZ414" s="1052"/>
      <c r="CA414" s="1052"/>
      <c r="CB414" s="1053"/>
      <c r="CC414" s="1053"/>
      <c r="CD414" s="1053"/>
      <c r="CE414" s="1053"/>
      <c r="CF414" s="1053"/>
      <c r="CG414" s="1053"/>
      <c r="CH414" s="1053"/>
      <c r="CI414" s="1123"/>
      <c r="CJ414" s="1123"/>
      <c r="CK414" s="1123"/>
      <c r="CL414" s="1123"/>
      <c r="CM414" s="1123"/>
      <c r="CN414" s="1123"/>
      <c r="CO414" s="1123"/>
      <c r="CP414" s="1123"/>
      <c r="CQ414" s="1123"/>
      <c r="CR414" s="1123"/>
      <c r="CS414" s="1123"/>
      <c r="CT414" s="1123"/>
      <c r="CU414" s="1123"/>
      <c r="CV414" s="1123"/>
      <c r="CW414" s="1123"/>
      <c r="CX414" s="1123"/>
      <c r="CY414" s="1123"/>
      <c r="CZ414" s="1114"/>
      <c r="DA414" s="1114"/>
      <c r="DB414" s="1114"/>
      <c r="DC414" s="1114"/>
      <c r="DD414" s="1114"/>
      <c r="DE414" s="1114"/>
      <c r="DF414" s="1114"/>
      <c r="DG414" s="1114"/>
      <c r="DH414" s="1114"/>
      <c r="DI414" s="1114"/>
      <c r="DJ414" s="1114"/>
      <c r="DK414" s="1114"/>
      <c r="DL414" s="1114"/>
      <c r="DM414" s="1114"/>
      <c r="DN414" s="1114"/>
      <c r="DO414" s="1114"/>
      <c r="DP414" s="1114"/>
      <c r="DQ414" s="1114"/>
      <c r="DR414" s="1114"/>
      <c r="DS414" s="1114"/>
      <c r="DT414" s="1114"/>
      <c r="DU414" s="1114"/>
      <c r="DV414" s="1115"/>
      <c r="DW414" s="1116"/>
      <c r="DX414" s="1116"/>
      <c r="DY414" s="1116"/>
      <c r="DZ414" s="1116"/>
      <c r="EA414" s="1116"/>
      <c r="EB414" s="1116"/>
      <c r="EC414" s="1116"/>
      <c r="ED414" s="1116"/>
      <c r="EE414" s="1116"/>
      <c r="EF414" s="1116"/>
      <c r="EG414" s="1116"/>
      <c r="EH414" s="1116"/>
      <c r="EI414" s="1116"/>
      <c r="EJ414" s="1116"/>
      <c r="EK414" s="1116"/>
      <c r="EL414" s="1116"/>
      <c r="EM414" s="1116"/>
      <c r="EN414" s="1116"/>
      <c r="EO414" s="1116"/>
      <c r="EP414" s="1116"/>
      <c r="EQ414" s="1116"/>
      <c r="ER414" s="1116"/>
      <c r="ES414" s="1116"/>
    </row>
    <row r="415" spans="1:149" ht="15" customHeight="1">
      <c r="A415" s="1185">
        <v>400</v>
      </c>
      <c r="B415" s="1041"/>
      <c r="C415" s="1050"/>
      <c r="D415" s="1050"/>
      <c r="E415" s="1050"/>
      <c r="F415" s="1049"/>
      <c r="G415" s="1457"/>
      <c r="H415" s="1049"/>
      <c r="I415" s="1049"/>
      <c r="J415" s="1050"/>
      <c r="K415" s="1050"/>
      <c r="L415" s="1043"/>
      <c r="M415" s="1051"/>
      <c r="N415" s="1051"/>
      <c r="O415" s="1052"/>
      <c r="P415" s="1051"/>
      <c r="Q415" s="1051"/>
      <c r="R415" s="1052"/>
      <c r="S415" s="1051"/>
      <c r="T415" s="1051"/>
      <c r="U415" s="1052"/>
      <c r="V415" s="1051"/>
      <c r="W415" s="1051"/>
      <c r="X415" s="1052"/>
      <c r="Y415" s="1053"/>
      <c r="Z415" s="1051"/>
      <c r="AA415" s="1051"/>
      <c r="AB415" s="1052"/>
      <c r="AC415" s="1051"/>
      <c r="AD415" s="1051"/>
      <c r="AE415" s="1052"/>
      <c r="AF415" s="1051"/>
      <c r="AG415" s="1051"/>
      <c r="AH415" s="1051"/>
      <c r="AI415" s="1051"/>
      <c r="AJ415" s="1052"/>
      <c r="AK415" s="1051"/>
      <c r="AL415" s="1051"/>
      <c r="AM415" s="1052"/>
      <c r="AN415" s="1051"/>
      <c r="AO415" s="1051"/>
      <c r="AP415" s="1052"/>
      <c r="AQ415" s="1051"/>
      <c r="AR415" s="1051"/>
      <c r="AS415" s="1052"/>
      <c r="AT415" s="1051"/>
      <c r="AU415" s="1051"/>
      <c r="AV415" s="1052"/>
      <c r="AW415" s="1051"/>
      <c r="AX415" s="1051"/>
      <c r="AY415" s="1053"/>
      <c r="AZ415" s="1051"/>
      <c r="BA415" s="1051"/>
      <c r="BB415" s="1053"/>
      <c r="BC415" s="1051"/>
      <c r="BD415" s="1051"/>
      <c r="BE415" s="1053"/>
      <c r="BF415" s="1051"/>
      <c r="BG415" s="1051"/>
      <c r="BH415" s="1053"/>
      <c r="BI415" s="1052"/>
      <c r="BJ415" s="1052"/>
      <c r="BK415" s="1052"/>
      <c r="BL415" s="1052"/>
      <c r="BM415" s="1052"/>
      <c r="BN415" s="1054"/>
      <c r="BO415" s="1076">
        <f t="shared" si="17"/>
        <v>0</v>
      </c>
      <c r="BP415" s="1051"/>
      <c r="BQ415" s="1052"/>
      <c r="BR415" s="1054"/>
      <c r="BS415" s="1053"/>
      <c r="BT415" s="1051"/>
      <c r="BU415" s="1051"/>
      <c r="BV415" s="1051"/>
      <c r="BW415" s="1052"/>
      <c r="BX415" s="1052"/>
      <c r="BY415" s="1052"/>
      <c r="BZ415" s="1052"/>
      <c r="CA415" s="1052"/>
      <c r="CB415" s="1053"/>
      <c r="CC415" s="1053"/>
      <c r="CD415" s="1053"/>
      <c r="CE415" s="1053"/>
      <c r="CF415" s="1053"/>
      <c r="CG415" s="1053"/>
      <c r="CH415" s="1053"/>
      <c r="CI415" s="1123"/>
      <c r="CJ415" s="1123"/>
      <c r="CK415" s="1123"/>
      <c r="CL415" s="1123"/>
      <c r="CM415" s="1123"/>
      <c r="CN415" s="1123"/>
      <c r="CO415" s="1123"/>
      <c r="CP415" s="1123"/>
      <c r="CQ415" s="1123"/>
      <c r="CR415" s="1123"/>
      <c r="CS415" s="1123"/>
      <c r="CT415" s="1123"/>
      <c r="CU415" s="1123"/>
      <c r="CV415" s="1123"/>
      <c r="CW415" s="1123"/>
      <c r="CX415" s="1123"/>
      <c r="CY415" s="1123"/>
      <c r="CZ415" s="1114"/>
      <c r="DA415" s="1114"/>
      <c r="DB415" s="1114"/>
      <c r="DC415" s="1114"/>
      <c r="DD415" s="1114"/>
      <c r="DE415" s="1114"/>
      <c r="DF415" s="1114"/>
      <c r="DG415" s="1114"/>
      <c r="DH415" s="1114"/>
      <c r="DI415" s="1114"/>
      <c r="DJ415" s="1114"/>
      <c r="DK415" s="1114"/>
      <c r="DL415" s="1114"/>
      <c r="DM415" s="1114"/>
      <c r="DN415" s="1114"/>
      <c r="DO415" s="1114"/>
      <c r="DP415" s="1114"/>
      <c r="DQ415" s="1114"/>
      <c r="DR415" s="1114"/>
      <c r="DS415" s="1114"/>
      <c r="DT415" s="1114"/>
      <c r="DU415" s="1114"/>
      <c r="DV415" s="1115"/>
      <c r="DW415" s="1116"/>
      <c r="DX415" s="1116"/>
      <c r="DY415" s="1116"/>
      <c r="DZ415" s="1116"/>
      <c r="EA415" s="1116"/>
      <c r="EB415" s="1116"/>
      <c r="EC415" s="1116"/>
      <c r="ED415" s="1116"/>
      <c r="EE415" s="1116"/>
      <c r="EF415" s="1116"/>
      <c r="EG415" s="1116"/>
      <c r="EH415" s="1116"/>
      <c r="EI415" s="1116"/>
      <c r="EJ415" s="1116"/>
      <c r="EK415" s="1116"/>
      <c r="EL415" s="1116"/>
      <c r="EM415" s="1116"/>
      <c r="EN415" s="1116"/>
      <c r="EO415" s="1116"/>
      <c r="EP415" s="1116"/>
      <c r="EQ415" s="1116"/>
      <c r="ER415" s="1116"/>
      <c r="ES415" s="1116"/>
    </row>
    <row r="416" spans="1:149" ht="15" customHeight="1">
      <c r="A416" s="1185">
        <v>401</v>
      </c>
      <c r="B416" s="1041"/>
      <c r="C416" s="1050"/>
      <c r="D416" s="1050"/>
      <c r="E416" s="1050"/>
      <c r="F416" s="1049"/>
      <c r="G416" s="1457"/>
      <c r="H416" s="1049"/>
      <c r="I416" s="1049"/>
      <c r="J416" s="1050"/>
      <c r="K416" s="1050"/>
      <c r="L416" s="1043"/>
      <c r="M416" s="1051"/>
      <c r="N416" s="1051"/>
      <c r="O416" s="1052"/>
      <c r="P416" s="1051"/>
      <c r="Q416" s="1051"/>
      <c r="R416" s="1052"/>
      <c r="S416" s="1051"/>
      <c r="T416" s="1051"/>
      <c r="U416" s="1052"/>
      <c r="V416" s="1051"/>
      <c r="W416" s="1051"/>
      <c r="X416" s="1052"/>
      <c r="Y416" s="1053"/>
      <c r="Z416" s="1051"/>
      <c r="AA416" s="1051"/>
      <c r="AB416" s="1052"/>
      <c r="AC416" s="1051"/>
      <c r="AD416" s="1051"/>
      <c r="AE416" s="1052"/>
      <c r="AF416" s="1051"/>
      <c r="AG416" s="1051"/>
      <c r="AH416" s="1051"/>
      <c r="AI416" s="1051"/>
      <c r="AJ416" s="1052"/>
      <c r="AK416" s="1051"/>
      <c r="AL416" s="1051"/>
      <c r="AM416" s="1052"/>
      <c r="AN416" s="1051"/>
      <c r="AO416" s="1051"/>
      <c r="AP416" s="1052"/>
      <c r="AQ416" s="1051"/>
      <c r="AR416" s="1051"/>
      <c r="AS416" s="1052"/>
      <c r="AT416" s="1051"/>
      <c r="AU416" s="1051"/>
      <c r="AV416" s="1052"/>
      <c r="AW416" s="1051"/>
      <c r="AX416" s="1051"/>
      <c r="AY416" s="1053"/>
      <c r="AZ416" s="1051"/>
      <c r="BA416" s="1051"/>
      <c r="BB416" s="1053"/>
      <c r="BC416" s="1051"/>
      <c r="BD416" s="1051"/>
      <c r="BE416" s="1053"/>
      <c r="BF416" s="1051"/>
      <c r="BG416" s="1051"/>
      <c r="BH416" s="1053"/>
      <c r="BI416" s="1052"/>
      <c r="BJ416" s="1052"/>
      <c r="BK416" s="1052"/>
      <c r="BL416" s="1052"/>
      <c r="BM416" s="1052"/>
      <c r="BN416" s="1054"/>
      <c r="BO416" s="1076">
        <f t="shared" si="17"/>
        <v>0</v>
      </c>
      <c r="BP416" s="1051"/>
      <c r="BQ416" s="1052"/>
      <c r="BR416" s="1054"/>
      <c r="BS416" s="1053"/>
      <c r="BT416" s="1051"/>
      <c r="BU416" s="1051"/>
      <c r="BV416" s="1051"/>
      <c r="BW416" s="1052"/>
      <c r="BX416" s="1052"/>
      <c r="BY416" s="1052"/>
      <c r="BZ416" s="1052"/>
      <c r="CA416" s="1052"/>
      <c r="CB416" s="1053"/>
      <c r="CC416" s="1053"/>
      <c r="CD416" s="1053"/>
      <c r="CE416" s="1053"/>
      <c r="CF416" s="1053"/>
      <c r="CG416" s="1053"/>
      <c r="CH416" s="1053"/>
      <c r="CI416" s="1123"/>
      <c r="CJ416" s="1123"/>
      <c r="CK416" s="1123"/>
      <c r="CL416" s="1123"/>
      <c r="CM416" s="1123"/>
      <c r="CN416" s="1123"/>
      <c r="CO416" s="1123"/>
      <c r="CP416" s="1123"/>
      <c r="CQ416" s="1123"/>
      <c r="CR416" s="1123"/>
      <c r="CS416" s="1123"/>
      <c r="CT416" s="1123"/>
      <c r="CU416" s="1123"/>
      <c r="CV416" s="1123"/>
      <c r="CW416" s="1123"/>
      <c r="CX416" s="1123"/>
      <c r="CY416" s="1123"/>
      <c r="CZ416" s="1114"/>
      <c r="DA416" s="1114"/>
      <c r="DB416" s="1114"/>
      <c r="DC416" s="1114"/>
      <c r="DD416" s="1114"/>
      <c r="DE416" s="1114"/>
      <c r="DF416" s="1114"/>
      <c r="DG416" s="1114"/>
      <c r="DH416" s="1114"/>
      <c r="DI416" s="1114"/>
      <c r="DJ416" s="1114"/>
      <c r="DK416" s="1114"/>
      <c r="DL416" s="1114"/>
      <c r="DM416" s="1114"/>
      <c r="DN416" s="1114"/>
      <c r="DO416" s="1114"/>
      <c r="DP416" s="1114"/>
      <c r="DQ416" s="1114"/>
      <c r="DR416" s="1114"/>
      <c r="DS416" s="1114"/>
      <c r="DT416" s="1114"/>
      <c r="DU416" s="1114"/>
      <c r="DV416" s="1115"/>
      <c r="DW416" s="1116"/>
      <c r="DX416" s="1116"/>
      <c r="DY416" s="1116"/>
      <c r="DZ416" s="1116"/>
      <c r="EA416" s="1116"/>
      <c r="EB416" s="1116"/>
      <c r="EC416" s="1116"/>
      <c r="ED416" s="1116"/>
      <c r="EE416" s="1116"/>
      <c r="EF416" s="1116"/>
      <c r="EG416" s="1116"/>
      <c r="EH416" s="1116"/>
      <c r="EI416" s="1116"/>
      <c r="EJ416" s="1116"/>
      <c r="EK416" s="1116"/>
      <c r="EL416" s="1116"/>
      <c r="EM416" s="1116"/>
      <c r="EN416" s="1116"/>
      <c r="EO416" s="1116"/>
      <c r="EP416" s="1116"/>
      <c r="EQ416" s="1116"/>
      <c r="ER416" s="1116"/>
      <c r="ES416" s="1116"/>
    </row>
    <row r="417" spans="1:149" ht="15" customHeight="1">
      <c r="A417" s="1185">
        <v>402</v>
      </c>
      <c r="B417" s="1041"/>
      <c r="C417" s="1050"/>
      <c r="D417" s="1050"/>
      <c r="E417" s="1050"/>
      <c r="F417" s="1049"/>
      <c r="G417" s="1457"/>
      <c r="H417" s="1049"/>
      <c r="I417" s="1049"/>
      <c r="J417" s="1050"/>
      <c r="K417" s="1050"/>
      <c r="L417" s="1043"/>
      <c r="M417" s="1051"/>
      <c r="N417" s="1051"/>
      <c r="O417" s="1052"/>
      <c r="P417" s="1051"/>
      <c r="Q417" s="1051"/>
      <c r="R417" s="1052"/>
      <c r="S417" s="1051"/>
      <c r="T417" s="1051"/>
      <c r="U417" s="1052"/>
      <c r="V417" s="1051"/>
      <c r="W417" s="1051"/>
      <c r="X417" s="1052"/>
      <c r="Y417" s="1053"/>
      <c r="Z417" s="1051"/>
      <c r="AA417" s="1051"/>
      <c r="AB417" s="1052"/>
      <c r="AC417" s="1051"/>
      <c r="AD417" s="1051"/>
      <c r="AE417" s="1052"/>
      <c r="AF417" s="1051"/>
      <c r="AG417" s="1051"/>
      <c r="AH417" s="1051"/>
      <c r="AI417" s="1051"/>
      <c r="AJ417" s="1052"/>
      <c r="AK417" s="1051"/>
      <c r="AL417" s="1051"/>
      <c r="AM417" s="1052"/>
      <c r="AN417" s="1051"/>
      <c r="AO417" s="1051"/>
      <c r="AP417" s="1052"/>
      <c r="AQ417" s="1051"/>
      <c r="AR417" s="1051"/>
      <c r="AS417" s="1052"/>
      <c r="AT417" s="1051"/>
      <c r="AU417" s="1051"/>
      <c r="AV417" s="1052"/>
      <c r="AW417" s="1051"/>
      <c r="AX417" s="1051"/>
      <c r="AY417" s="1053"/>
      <c r="AZ417" s="1051"/>
      <c r="BA417" s="1051"/>
      <c r="BB417" s="1053"/>
      <c r="BC417" s="1051"/>
      <c r="BD417" s="1051"/>
      <c r="BE417" s="1053"/>
      <c r="BF417" s="1051"/>
      <c r="BG417" s="1051"/>
      <c r="BH417" s="1053"/>
      <c r="BI417" s="1052"/>
      <c r="BJ417" s="1052"/>
      <c r="BK417" s="1052"/>
      <c r="BL417" s="1052"/>
      <c r="BM417" s="1052"/>
      <c r="BN417" s="1054"/>
      <c r="BO417" s="1076">
        <f t="shared" si="17"/>
        <v>0</v>
      </c>
      <c r="BP417" s="1051"/>
      <c r="BQ417" s="1052"/>
      <c r="BR417" s="1054"/>
      <c r="BS417" s="1053"/>
      <c r="BT417" s="1051"/>
      <c r="BU417" s="1051"/>
      <c r="BV417" s="1051"/>
      <c r="BW417" s="1052"/>
      <c r="BX417" s="1052"/>
      <c r="BY417" s="1052"/>
      <c r="BZ417" s="1052"/>
      <c r="CA417" s="1052"/>
      <c r="CB417" s="1053"/>
      <c r="CC417" s="1053"/>
      <c r="CD417" s="1053"/>
      <c r="CE417" s="1053"/>
      <c r="CF417" s="1053"/>
      <c r="CG417" s="1053"/>
      <c r="CH417" s="1053"/>
      <c r="CI417" s="1123"/>
      <c r="CJ417" s="1123"/>
      <c r="CK417" s="1123"/>
      <c r="CL417" s="1123"/>
      <c r="CM417" s="1123"/>
      <c r="CN417" s="1123"/>
      <c r="CO417" s="1123"/>
      <c r="CP417" s="1123"/>
      <c r="CQ417" s="1123"/>
      <c r="CR417" s="1123"/>
      <c r="CS417" s="1123"/>
      <c r="CT417" s="1123"/>
      <c r="CU417" s="1123"/>
      <c r="CV417" s="1123"/>
      <c r="CW417" s="1123"/>
      <c r="CX417" s="1123"/>
      <c r="CY417" s="1123"/>
      <c r="CZ417" s="1114"/>
      <c r="DA417" s="1114"/>
      <c r="DB417" s="1114"/>
      <c r="DC417" s="1114"/>
      <c r="DD417" s="1114"/>
      <c r="DE417" s="1114"/>
      <c r="DF417" s="1114"/>
      <c r="DG417" s="1114"/>
      <c r="DH417" s="1114"/>
      <c r="DI417" s="1114"/>
      <c r="DJ417" s="1114"/>
      <c r="DK417" s="1114"/>
      <c r="DL417" s="1114"/>
      <c r="DM417" s="1114"/>
      <c r="DN417" s="1114"/>
      <c r="DO417" s="1114"/>
      <c r="DP417" s="1114"/>
      <c r="DQ417" s="1114"/>
      <c r="DR417" s="1114"/>
      <c r="DS417" s="1114"/>
      <c r="DT417" s="1114"/>
      <c r="DU417" s="1114"/>
      <c r="DV417" s="1115"/>
      <c r="DW417" s="1116"/>
      <c r="DX417" s="1116"/>
      <c r="DY417" s="1116"/>
      <c r="DZ417" s="1116"/>
      <c r="EA417" s="1116"/>
      <c r="EB417" s="1116"/>
      <c r="EC417" s="1116"/>
      <c r="ED417" s="1116"/>
      <c r="EE417" s="1116"/>
      <c r="EF417" s="1116"/>
      <c r="EG417" s="1116"/>
      <c r="EH417" s="1116"/>
      <c r="EI417" s="1116"/>
      <c r="EJ417" s="1116"/>
      <c r="EK417" s="1116"/>
      <c r="EL417" s="1116"/>
      <c r="EM417" s="1116"/>
      <c r="EN417" s="1116"/>
      <c r="EO417" s="1116"/>
      <c r="EP417" s="1116"/>
      <c r="EQ417" s="1116"/>
      <c r="ER417" s="1116"/>
      <c r="ES417" s="1116"/>
    </row>
    <row r="418" spans="1:149" ht="15" customHeight="1">
      <c r="A418" s="1185">
        <v>403</v>
      </c>
      <c r="B418" s="1041"/>
      <c r="C418" s="1050"/>
      <c r="D418" s="1050"/>
      <c r="E418" s="1050"/>
      <c r="F418" s="1049"/>
      <c r="G418" s="1457"/>
      <c r="H418" s="1049"/>
      <c r="I418" s="1049"/>
      <c r="J418" s="1050"/>
      <c r="K418" s="1050"/>
      <c r="L418" s="1043"/>
      <c r="M418" s="1051"/>
      <c r="N418" s="1051"/>
      <c r="O418" s="1052"/>
      <c r="P418" s="1051"/>
      <c r="Q418" s="1051"/>
      <c r="R418" s="1052"/>
      <c r="S418" s="1051"/>
      <c r="T418" s="1051"/>
      <c r="U418" s="1052"/>
      <c r="V418" s="1051"/>
      <c r="W418" s="1051"/>
      <c r="X418" s="1052"/>
      <c r="Y418" s="1053"/>
      <c r="Z418" s="1051"/>
      <c r="AA418" s="1051"/>
      <c r="AB418" s="1052"/>
      <c r="AC418" s="1051"/>
      <c r="AD418" s="1051"/>
      <c r="AE418" s="1052"/>
      <c r="AF418" s="1051"/>
      <c r="AG418" s="1051"/>
      <c r="AH418" s="1051"/>
      <c r="AI418" s="1051"/>
      <c r="AJ418" s="1052"/>
      <c r="AK418" s="1051"/>
      <c r="AL418" s="1051"/>
      <c r="AM418" s="1052"/>
      <c r="AN418" s="1051"/>
      <c r="AO418" s="1051"/>
      <c r="AP418" s="1052"/>
      <c r="AQ418" s="1051"/>
      <c r="AR418" s="1051"/>
      <c r="AS418" s="1052"/>
      <c r="AT418" s="1051"/>
      <c r="AU418" s="1051"/>
      <c r="AV418" s="1052"/>
      <c r="AW418" s="1051"/>
      <c r="AX418" s="1051"/>
      <c r="AY418" s="1053"/>
      <c r="AZ418" s="1051"/>
      <c r="BA418" s="1051"/>
      <c r="BB418" s="1053"/>
      <c r="BC418" s="1051"/>
      <c r="BD418" s="1051"/>
      <c r="BE418" s="1053"/>
      <c r="BF418" s="1051"/>
      <c r="BG418" s="1051"/>
      <c r="BH418" s="1053"/>
      <c r="BI418" s="1052"/>
      <c r="BJ418" s="1052"/>
      <c r="BK418" s="1052"/>
      <c r="BL418" s="1052"/>
      <c r="BM418" s="1052"/>
      <c r="BN418" s="1054"/>
      <c r="BO418" s="1076">
        <f t="shared" si="17"/>
        <v>0</v>
      </c>
      <c r="BP418" s="1051"/>
      <c r="BQ418" s="1052"/>
      <c r="BR418" s="1054"/>
      <c r="BS418" s="1053"/>
      <c r="BT418" s="1051"/>
      <c r="BU418" s="1051"/>
      <c r="BV418" s="1051"/>
      <c r="BW418" s="1052"/>
      <c r="BX418" s="1052"/>
      <c r="BY418" s="1052"/>
      <c r="BZ418" s="1052"/>
      <c r="CA418" s="1052"/>
      <c r="CB418" s="1053"/>
      <c r="CC418" s="1053"/>
      <c r="CD418" s="1053"/>
      <c r="CE418" s="1053"/>
      <c r="CF418" s="1053"/>
      <c r="CG418" s="1053"/>
      <c r="CH418" s="1053"/>
      <c r="CI418" s="1123"/>
      <c r="CJ418" s="1123"/>
      <c r="CK418" s="1123"/>
      <c r="CL418" s="1123"/>
      <c r="CM418" s="1123"/>
      <c r="CN418" s="1123"/>
      <c r="CO418" s="1123"/>
      <c r="CP418" s="1123"/>
      <c r="CQ418" s="1123"/>
      <c r="CR418" s="1123"/>
      <c r="CS418" s="1123"/>
      <c r="CT418" s="1123"/>
      <c r="CU418" s="1123"/>
      <c r="CV418" s="1123"/>
      <c r="CW418" s="1123"/>
      <c r="CX418" s="1123"/>
      <c r="CY418" s="1123"/>
      <c r="CZ418" s="1114"/>
      <c r="DA418" s="1114"/>
      <c r="DB418" s="1114"/>
      <c r="DC418" s="1114"/>
      <c r="DD418" s="1114"/>
      <c r="DE418" s="1114"/>
      <c r="DF418" s="1114"/>
      <c r="DG418" s="1114"/>
      <c r="DH418" s="1114"/>
      <c r="DI418" s="1114"/>
      <c r="DJ418" s="1114"/>
      <c r="DK418" s="1114"/>
      <c r="DL418" s="1114"/>
      <c r="DM418" s="1114"/>
      <c r="DN418" s="1114"/>
      <c r="DO418" s="1114"/>
      <c r="DP418" s="1114"/>
      <c r="DQ418" s="1114"/>
      <c r="DR418" s="1114"/>
      <c r="DS418" s="1114"/>
      <c r="DT418" s="1114"/>
      <c r="DU418" s="1114"/>
      <c r="DV418" s="1115"/>
      <c r="DW418" s="1116"/>
      <c r="DX418" s="1116"/>
      <c r="DY418" s="1116"/>
      <c r="DZ418" s="1116"/>
      <c r="EA418" s="1116"/>
      <c r="EB418" s="1116"/>
      <c r="EC418" s="1116"/>
      <c r="ED418" s="1116"/>
      <c r="EE418" s="1116"/>
      <c r="EF418" s="1116"/>
      <c r="EG418" s="1116"/>
      <c r="EH418" s="1116"/>
      <c r="EI418" s="1116"/>
      <c r="EJ418" s="1116"/>
      <c r="EK418" s="1116"/>
      <c r="EL418" s="1116"/>
      <c r="EM418" s="1116"/>
      <c r="EN418" s="1116"/>
      <c r="EO418" s="1116"/>
      <c r="EP418" s="1116"/>
      <c r="EQ418" s="1116"/>
      <c r="ER418" s="1116"/>
      <c r="ES418" s="1116"/>
    </row>
    <row r="419" spans="1:149" ht="15" customHeight="1">
      <c r="A419" s="1185">
        <v>404</v>
      </c>
      <c r="B419" s="1041"/>
      <c r="C419" s="1050"/>
      <c r="D419" s="1050"/>
      <c r="E419" s="1050"/>
      <c r="F419" s="1049"/>
      <c r="G419" s="1457"/>
      <c r="H419" s="1049"/>
      <c r="I419" s="1049"/>
      <c r="J419" s="1050"/>
      <c r="K419" s="1050"/>
      <c r="L419" s="1043"/>
      <c r="M419" s="1051"/>
      <c r="N419" s="1051"/>
      <c r="O419" s="1052"/>
      <c r="P419" s="1051"/>
      <c r="Q419" s="1051"/>
      <c r="R419" s="1052"/>
      <c r="S419" s="1051"/>
      <c r="T419" s="1051"/>
      <c r="U419" s="1052"/>
      <c r="V419" s="1051"/>
      <c r="W419" s="1051"/>
      <c r="X419" s="1052"/>
      <c r="Y419" s="1053"/>
      <c r="Z419" s="1051"/>
      <c r="AA419" s="1051"/>
      <c r="AB419" s="1052"/>
      <c r="AC419" s="1051"/>
      <c r="AD419" s="1051"/>
      <c r="AE419" s="1052"/>
      <c r="AF419" s="1051"/>
      <c r="AG419" s="1051"/>
      <c r="AH419" s="1051"/>
      <c r="AI419" s="1051"/>
      <c r="AJ419" s="1052"/>
      <c r="AK419" s="1051"/>
      <c r="AL419" s="1051"/>
      <c r="AM419" s="1052"/>
      <c r="AN419" s="1051"/>
      <c r="AO419" s="1051"/>
      <c r="AP419" s="1052"/>
      <c r="AQ419" s="1051"/>
      <c r="AR419" s="1051"/>
      <c r="AS419" s="1052"/>
      <c r="AT419" s="1051"/>
      <c r="AU419" s="1051"/>
      <c r="AV419" s="1052"/>
      <c r="AW419" s="1051"/>
      <c r="AX419" s="1051"/>
      <c r="AY419" s="1053"/>
      <c r="AZ419" s="1051"/>
      <c r="BA419" s="1051"/>
      <c r="BB419" s="1053"/>
      <c r="BC419" s="1051"/>
      <c r="BD419" s="1051"/>
      <c r="BE419" s="1053"/>
      <c r="BF419" s="1051"/>
      <c r="BG419" s="1051"/>
      <c r="BH419" s="1053"/>
      <c r="BI419" s="1052"/>
      <c r="BJ419" s="1052"/>
      <c r="BK419" s="1052"/>
      <c r="BL419" s="1052"/>
      <c r="BM419" s="1052"/>
      <c r="BN419" s="1054"/>
      <c r="BO419" s="1076">
        <f t="shared" si="17"/>
        <v>0</v>
      </c>
      <c r="BP419" s="1051"/>
      <c r="BQ419" s="1052"/>
      <c r="BR419" s="1054"/>
      <c r="BS419" s="1053"/>
      <c r="BT419" s="1051"/>
      <c r="BU419" s="1051"/>
      <c r="BV419" s="1051"/>
      <c r="BW419" s="1052"/>
      <c r="BX419" s="1052"/>
      <c r="BY419" s="1052"/>
      <c r="BZ419" s="1052"/>
      <c r="CA419" s="1052"/>
      <c r="CB419" s="1053"/>
      <c r="CC419" s="1053"/>
      <c r="CD419" s="1053"/>
      <c r="CE419" s="1053"/>
      <c r="CF419" s="1053"/>
      <c r="CG419" s="1053"/>
      <c r="CH419" s="1053"/>
      <c r="CI419" s="1123"/>
      <c r="CJ419" s="1123"/>
      <c r="CK419" s="1123"/>
      <c r="CL419" s="1123"/>
      <c r="CM419" s="1123"/>
      <c r="CN419" s="1123"/>
      <c r="CO419" s="1123"/>
      <c r="CP419" s="1123"/>
      <c r="CQ419" s="1123"/>
      <c r="CR419" s="1123"/>
      <c r="CS419" s="1123"/>
      <c r="CT419" s="1123"/>
      <c r="CU419" s="1123"/>
      <c r="CV419" s="1123"/>
      <c r="CW419" s="1123"/>
      <c r="CX419" s="1123"/>
      <c r="CY419" s="1123"/>
      <c r="CZ419" s="1114"/>
      <c r="DA419" s="1114"/>
      <c r="DB419" s="1114"/>
      <c r="DC419" s="1114"/>
      <c r="DD419" s="1114"/>
      <c r="DE419" s="1114"/>
      <c r="DF419" s="1114"/>
      <c r="DG419" s="1114"/>
      <c r="DH419" s="1114"/>
      <c r="DI419" s="1114"/>
      <c r="DJ419" s="1114"/>
      <c r="DK419" s="1114"/>
      <c r="DL419" s="1114"/>
      <c r="DM419" s="1114"/>
      <c r="DN419" s="1114"/>
      <c r="DO419" s="1114"/>
      <c r="DP419" s="1114"/>
      <c r="DQ419" s="1114"/>
      <c r="DR419" s="1114"/>
      <c r="DS419" s="1114"/>
      <c r="DT419" s="1114"/>
      <c r="DU419" s="1114"/>
      <c r="DV419" s="1115"/>
      <c r="DW419" s="1116"/>
      <c r="DX419" s="1116"/>
      <c r="DY419" s="1116"/>
      <c r="DZ419" s="1116"/>
      <c r="EA419" s="1116"/>
      <c r="EB419" s="1116"/>
      <c r="EC419" s="1116"/>
      <c r="ED419" s="1116"/>
      <c r="EE419" s="1116"/>
      <c r="EF419" s="1116"/>
      <c r="EG419" s="1116"/>
      <c r="EH419" s="1116"/>
      <c r="EI419" s="1116"/>
      <c r="EJ419" s="1116"/>
      <c r="EK419" s="1116"/>
      <c r="EL419" s="1116"/>
      <c r="EM419" s="1116"/>
      <c r="EN419" s="1116"/>
      <c r="EO419" s="1116"/>
      <c r="EP419" s="1116"/>
      <c r="EQ419" s="1116"/>
      <c r="ER419" s="1116"/>
      <c r="ES419" s="1116"/>
    </row>
    <row r="420" spans="1:149" ht="15" customHeight="1">
      <c r="A420" s="1185">
        <v>405</v>
      </c>
      <c r="B420" s="1041"/>
      <c r="C420" s="1050"/>
      <c r="D420" s="1050"/>
      <c r="E420" s="1050"/>
      <c r="F420" s="1049"/>
      <c r="G420" s="1457"/>
      <c r="H420" s="1049"/>
      <c r="I420" s="1049"/>
      <c r="J420" s="1050"/>
      <c r="K420" s="1050"/>
      <c r="L420" s="1043"/>
      <c r="M420" s="1051"/>
      <c r="N420" s="1051"/>
      <c r="O420" s="1052"/>
      <c r="P420" s="1051"/>
      <c r="Q420" s="1051"/>
      <c r="R420" s="1052"/>
      <c r="S420" s="1051"/>
      <c r="T420" s="1051"/>
      <c r="U420" s="1052"/>
      <c r="V420" s="1051"/>
      <c r="W420" s="1051"/>
      <c r="X420" s="1052"/>
      <c r="Y420" s="1053"/>
      <c r="Z420" s="1051"/>
      <c r="AA420" s="1051"/>
      <c r="AB420" s="1052"/>
      <c r="AC420" s="1051"/>
      <c r="AD420" s="1051"/>
      <c r="AE420" s="1052"/>
      <c r="AF420" s="1051"/>
      <c r="AG420" s="1051"/>
      <c r="AH420" s="1051"/>
      <c r="AI420" s="1051"/>
      <c r="AJ420" s="1052"/>
      <c r="AK420" s="1051"/>
      <c r="AL420" s="1051"/>
      <c r="AM420" s="1052"/>
      <c r="AN420" s="1051"/>
      <c r="AO420" s="1051"/>
      <c r="AP420" s="1052"/>
      <c r="AQ420" s="1051"/>
      <c r="AR420" s="1051"/>
      <c r="AS420" s="1052"/>
      <c r="AT420" s="1051"/>
      <c r="AU420" s="1051"/>
      <c r="AV420" s="1052"/>
      <c r="AW420" s="1051"/>
      <c r="AX420" s="1051"/>
      <c r="AY420" s="1053"/>
      <c r="AZ420" s="1051"/>
      <c r="BA420" s="1051"/>
      <c r="BB420" s="1053"/>
      <c r="BC420" s="1051"/>
      <c r="BD420" s="1051"/>
      <c r="BE420" s="1053"/>
      <c r="BF420" s="1051"/>
      <c r="BG420" s="1051"/>
      <c r="BH420" s="1053"/>
      <c r="BI420" s="1052"/>
      <c r="BJ420" s="1052"/>
      <c r="BK420" s="1052"/>
      <c r="BL420" s="1052"/>
      <c r="BM420" s="1052"/>
      <c r="BN420" s="1054"/>
      <c r="BO420" s="1076">
        <f t="shared" si="17"/>
        <v>0</v>
      </c>
      <c r="BP420" s="1051"/>
      <c r="BQ420" s="1052"/>
      <c r="BR420" s="1054"/>
      <c r="BS420" s="1053"/>
      <c r="BT420" s="1051"/>
      <c r="BU420" s="1051"/>
      <c r="BV420" s="1051"/>
      <c r="BW420" s="1052"/>
      <c r="BX420" s="1052"/>
      <c r="BY420" s="1052"/>
      <c r="BZ420" s="1052"/>
      <c r="CA420" s="1052"/>
      <c r="CB420" s="1053"/>
      <c r="CC420" s="1053"/>
      <c r="CD420" s="1053"/>
      <c r="CE420" s="1053"/>
      <c r="CF420" s="1053"/>
      <c r="CG420" s="1053"/>
      <c r="CH420" s="1053"/>
      <c r="CI420" s="1123"/>
      <c r="CJ420" s="1123"/>
      <c r="CK420" s="1123"/>
      <c r="CL420" s="1123"/>
      <c r="CM420" s="1123"/>
      <c r="CN420" s="1123"/>
      <c r="CO420" s="1123"/>
      <c r="CP420" s="1123"/>
      <c r="CQ420" s="1123"/>
      <c r="CR420" s="1123"/>
      <c r="CS420" s="1123"/>
      <c r="CT420" s="1123"/>
      <c r="CU420" s="1123"/>
      <c r="CV420" s="1123"/>
      <c r="CW420" s="1123"/>
      <c r="CX420" s="1123"/>
      <c r="CY420" s="1123"/>
      <c r="CZ420" s="1114"/>
      <c r="DA420" s="1114"/>
      <c r="DB420" s="1114"/>
      <c r="DC420" s="1114"/>
      <c r="DD420" s="1114"/>
      <c r="DE420" s="1114"/>
      <c r="DF420" s="1114"/>
      <c r="DG420" s="1114"/>
      <c r="DH420" s="1114"/>
      <c r="DI420" s="1114"/>
      <c r="DJ420" s="1114"/>
      <c r="DK420" s="1114"/>
      <c r="DL420" s="1114"/>
      <c r="DM420" s="1114"/>
      <c r="DN420" s="1114"/>
      <c r="DO420" s="1114"/>
      <c r="DP420" s="1114"/>
      <c r="DQ420" s="1114"/>
      <c r="DR420" s="1114"/>
      <c r="DS420" s="1114"/>
      <c r="DT420" s="1114"/>
      <c r="DU420" s="1114"/>
      <c r="DV420" s="1115"/>
      <c r="DW420" s="1116"/>
      <c r="DX420" s="1116"/>
      <c r="DY420" s="1116"/>
      <c r="DZ420" s="1116"/>
      <c r="EA420" s="1116"/>
      <c r="EB420" s="1116"/>
      <c r="EC420" s="1116"/>
      <c r="ED420" s="1116"/>
      <c r="EE420" s="1116"/>
      <c r="EF420" s="1116"/>
      <c r="EG420" s="1116"/>
      <c r="EH420" s="1116"/>
      <c r="EI420" s="1116"/>
      <c r="EJ420" s="1116"/>
      <c r="EK420" s="1116"/>
      <c r="EL420" s="1116"/>
      <c r="EM420" s="1116"/>
      <c r="EN420" s="1116"/>
      <c r="EO420" s="1116"/>
      <c r="EP420" s="1116"/>
      <c r="EQ420" s="1116"/>
      <c r="ER420" s="1116"/>
      <c r="ES420" s="1116"/>
    </row>
    <row r="421" spans="1:149" ht="15" customHeight="1">
      <c r="A421" s="1185">
        <v>406</v>
      </c>
      <c r="B421" s="1041"/>
      <c r="C421" s="1050"/>
      <c r="D421" s="1050"/>
      <c r="E421" s="1050"/>
      <c r="F421" s="1049"/>
      <c r="G421" s="1457"/>
      <c r="H421" s="1049"/>
      <c r="I421" s="1049"/>
      <c r="J421" s="1050"/>
      <c r="K421" s="1050"/>
      <c r="L421" s="1043"/>
      <c r="M421" s="1051"/>
      <c r="N421" s="1051"/>
      <c r="O421" s="1052"/>
      <c r="P421" s="1051"/>
      <c r="Q421" s="1051"/>
      <c r="R421" s="1052"/>
      <c r="S421" s="1051"/>
      <c r="T421" s="1051"/>
      <c r="U421" s="1052"/>
      <c r="V421" s="1051"/>
      <c r="W421" s="1051"/>
      <c r="X421" s="1052"/>
      <c r="Y421" s="1053"/>
      <c r="Z421" s="1051"/>
      <c r="AA421" s="1051"/>
      <c r="AB421" s="1052"/>
      <c r="AC421" s="1051"/>
      <c r="AD421" s="1051"/>
      <c r="AE421" s="1052"/>
      <c r="AF421" s="1051"/>
      <c r="AG421" s="1051"/>
      <c r="AH421" s="1051"/>
      <c r="AI421" s="1051"/>
      <c r="AJ421" s="1052"/>
      <c r="AK421" s="1051"/>
      <c r="AL421" s="1051"/>
      <c r="AM421" s="1052"/>
      <c r="AN421" s="1051"/>
      <c r="AO421" s="1051"/>
      <c r="AP421" s="1052"/>
      <c r="AQ421" s="1051"/>
      <c r="AR421" s="1051"/>
      <c r="AS421" s="1052"/>
      <c r="AT421" s="1051"/>
      <c r="AU421" s="1051"/>
      <c r="AV421" s="1052"/>
      <c r="AW421" s="1051"/>
      <c r="AX421" s="1051"/>
      <c r="AY421" s="1053"/>
      <c r="AZ421" s="1051"/>
      <c r="BA421" s="1051"/>
      <c r="BB421" s="1053"/>
      <c r="BC421" s="1051"/>
      <c r="BD421" s="1051"/>
      <c r="BE421" s="1053"/>
      <c r="BF421" s="1051"/>
      <c r="BG421" s="1051"/>
      <c r="BH421" s="1053"/>
      <c r="BI421" s="1052"/>
      <c r="BJ421" s="1052"/>
      <c r="BK421" s="1052"/>
      <c r="BL421" s="1052"/>
      <c r="BM421" s="1052"/>
      <c r="BN421" s="1054"/>
      <c r="BO421" s="1076">
        <f t="shared" si="17"/>
        <v>0</v>
      </c>
      <c r="BP421" s="1051"/>
      <c r="BQ421" s="1052"/>
      <c r="BR421" s="1054"/>
      <c r="BS421" s="1053"/>
      <c r="BT421" s="1051"/>
      <c r="BU421" s="1051"/>
      <c r="BV421" s="1051"/>
      <c r="BW421" s="1052"/>
      <c r="BX421" s="1052"/>
      <c r="BY421" s="1052"/>
      <c r="BZ421" s="1052"/>
      <c r="CA421" s="1052"/>
      <c r="CB421" s="1053"/>
      <c r="CC421" s="1053"/>
      <c r="CD421" s="1053"/>
      <c r="CE421" s="1053"/>
      <c r="CF421" s="1053"/>
      <c r="CG421" s="1053"/>
      <c r="CH421" s="1053"/>
      <c r="CI421" s="1123"/>
      <c r="CJ421" s="1123"/>
      <c r="CK421" s="1123"/>
      <c r="CL421" s="1123"/>
      <c r="CM421" s="1123"/>
      <c r="CN421" s="1123"/>
      <c r="CO421" s="1123"/>
      <c r="CP421" s="1123"/>
      <c r="CQ421" s="1123"/>
      <c r="CR421" s="1123"/>
      <c r="CS421" s="1123"/>
      <c r="CT421" s="1123"/>
      <c r="CU421" s="1123"/>
      <c r="CV421" s="1123"/>
      <c r="CW421" s="1123"/>
      <c r="CX421" s="1123"/>
      <c r="CY421" s="1123"/>
      <c r="CZ421" s="1114"/>
      <c r="DA421" s="1114"/>
      <c r="DB421" s="1114"/>
      <c r="DC421" s="1114"/>
      <c r="DD421" s="1114"/>
      <c r="DE421" s="1114"/>
      <c r="DF421" s="1114"/>
      <c r="DG421" s="1114"/>
      <c r="DH421" s="1114"/>
      <c r="DI421" s="1114"/>
      <c r="DJ421" s="1114"/>
      <c r="DK421" s="1114"/>
      <c r="DL421" s="1114"/>
      <c r="DM421" s="1114"/>
      <c r="DN421" s="1114"/>
      <c r="DO421" s="1114"/>
      <c r="DP421" s="1114"/>
      <c r="DQ421" s="1114"/>
      <c r="DR421" s="1114"/>
      <c r="DS421" s="1114"/>
      <c r="DT421" s="1114"/>
      <c r="DU421" s="1114"/>
      <c r="DV421" s="1115"/>
      <c r="DW421" s="1116"/>
      <c r="DX421" s="1116"/>
      <c r="DY421" s="1116"/>
      <c r="DZ421" s="1116"/>
      <c r="EA421" s="1116"/>
      <c r="EB421" s="1116"/>
      <c r="EC421" s="1116"/>
      <c r="ED421" s="1116"/>
      <c r="EE421" s="1116"/>
      <c r="EF421" s="1116"/>
      <c r="EG421" s="1116"/>
      <c r="EH421" s="1116"/>
      <c r="EI421" s="1116"/>
      <c r="EJ421" s="1116"/>
      <c r="EK421" s="1116"/>
      <c r="EL421" s="1116"/>
      <c r="EM421" s="1116"/>
      <c r="EN421" s="1116"/>
      <c r="EO421" s="1116"/>
      <c r="EP421" s="1116"/>
      <c r="EQ421" s="1116"/>
      <c r="ER421" s="1116"/>
      <c r="ES421" s="1116"/>
    </row>
    <row r="422" spans="1:149" ht="15" customHeight="1">
      <c r="A422" s="1185">
        <v>407</v>
      </c>
      <c r="B422" s="1041"/>
      <c r="C422" s="1050"/>
      <c r="D422" s="1050"/>
      <c r="E422" s="1050"/>
      <c r="F422" s="1049"/>
      <c r="G422" s="1457"/>
      <c r="H422" s="1049"/>
      <c r="I422" s="1049"/>
      <c r="J422" s="1050"/>
      <c r="K422" s="1050"/>
      <c r="L422" s="1043"/>
      <c r="M422" s="1051"/>
      <c r="N422" s="1051"/>
      <c r="O422" s="1052"/>
      <c r="P422" s="1051"/>
      <c r="Q422" s="1051"/>
      <c r="R422" s="1052"/>
      <c r="S422" s="1051"/>
      <c r="T422" s="1051"/>
      <c r="U422" s="1052"/>
      <c r="V422" s="1051"/>
      <c r="W422" s="1051"/>
      <c r="X422" s="1052"/>
      <c r="Y422" s="1053"/>
      <c r="Z422" s="1051"/>
      <c r="AA422" s="1051"/>
      <c r="AB422" s="1052"/>
      <c r="AC422" s="1051"/>
      <c r="AD422" s="1051"/>
      <c r="AE422" s="1052"/>
      <c r="AF422" s="1051"/>
      <c r="AG422" s="1051"/>
      <c r="AH422" s="1051"/>
      <c r="AI422" s="1051"/>
      <c r="AJ422" s="1052"/>
      <c r="AK422" s="1051"/>
      <c r="AL422" s="1051"/>
      <c r="AM422" s="1052"/>
      <c r="AN422" s="1051"/>
      <c r="AO422" s="1051"/>
      <c r="AP422" s="1052"/>
      <c r="AQ422" s="1051"/>
      <c r="AR422" s="1051"/>
      <c r="AS422" s="1052"/>
      <c r="AT422" s="1051"/>
      <c r="AU422" s="1051"/>
      <c r="AV422" s="1052"/>
      <c r="AW422" s="1051"/>
      <c r="AX422" s="1051"/>
      <c r="AY422" s="1053"/>
      <c r="AZ422" s="1051"/>
      <c r="BA422" s="1051"/>
      <c r="BB422" s="1053"/>
      <c r="BC422" s="1051"/>
      <c r="BD422" s="1051"/>
      <c r="BE422" s="1053"/>
      <c r="BF422" s="1051"/>
      <c r="BG422" s="1051"/>
      <c r="BH422" s="1053"/>
      <c r="BI422" s="1052"/>
      <c r="BJ422" s="1052"/>
      <c r="BK422" s="1052"/>
      <c r="BL422" s="1052"/>
      <c r="BM422" s="1052"/>
      <c r="BN422" s="1054"/>
      <c r="BO422" s="1076">
        <f t="shared" si="17"/>
        <v>0</v>
      </c>
      <c r="BP422" s="1051"/>
      <c r="BQ422" s="1052"/>
      <c r="BR422" s="1054"/>
      <c r="BS422" s="1053"/>
      <c r="BT422" s="1051"/>
      <c r="BU422" s="1051"/>
      <c r="BV422" s="1051"/>
      <c r="BW422" s="1052"/>
      <c r="BX422" s="1052"/>
      <c r="BY422" s="1052"/>
      <c r="BZ422" s="1052"/>
      <c r="CA422" s="1052"/>
      <c r="CB422" s="1053"/>
      <c r="CC422" s="1053"/>
      <c r="CD422" s="1053"/>
      <c r="CE422" s="1053"/>
      <c r="CF422" s="1053"/>
      <c r="CG422" s="1053"/>
      <c r="CH422" s="1053"/>
      <c r="CI422" s="1123"/>
      <c r="CJ422" s="1123"/>
      <c r="CK422" s="1123"/>
      <c r="CL422" s="1123"/>
      <c r="CM422" s="1123"/>
      <c r="CN422" s="1123"/>
      <c r="CO422" s="1123"/>
      <c r="CP422" s="1123"/>
      <c r="CQ422" s="1123"/>
      <c r="CR422" s="1123"/>
      <c r="CS422" s="1123"/>
      <c r="CT422" s="1123"/>
      <c r="CU422" s="1123"/>
      <c r="CV422" s="1123"/>
      <c r="CW422" s="1123"/>
      <c r="CX422" s="1123"/>
      <c r="CY422" s="1123"/>
      <c r="CZ422" s="1114"/>
      <c r="DA422" s="1114"/>
      <c r="DB422" s="1114"/>
      <c r="DC422" s="1114"/>
      <c r="DD422" s="1114"/>
      <c r="DE422" s="1114"/>
      <c r="DF422" s="1114"/>
      <c r="DG422" s="1114"/>
      <c r="DH422" s="1114"/>
      <c r="DI422" s="1114"/>
      <c r="DJ422" s="1114"/>
      <c r="DK422" s="1114"/>
      <c r="DL422" s="1114"/>
      <c r="DM422" s="1114"/>
      <c r="DN422" s="1114"/>
      <c r="DO422" s="1114"/>
      <c r="DP422" s="1114"/>
      <c r="DQ422" s="1114"/>
      <c r="DR422" s="1114"/>
      <c r="DS422" s="1114"/>
      <c r="DT422" s="1114"/>
      <c r="DU422" s="1114"/>
      <c r="DV422" s="1115"/>
      <c r="DW422" s="1116"/>
      <c r="DX422" s="1116"/>
      <c r="DY422" s="1116"/>
      <c r="DZ422" s="1116"/>
      <c r="EA422" s="1116"/>
      <c r="EB422" s="1116"/>
      <c r="EC422" s="1116"/>
      <c r="ED422" s="1116"/>
      <c r="EE422" s="1116"/>
      <c r="EF422" s="1116"/>
      <c r="EG422" s="1116"/>
      <c r="EH422" s="1116"/>
      <c r="EI422" s="1116"/>
      <c r="EJ422" s="1116"/>
      <c r="EK422" s="1116"/>
      <c r="EL422" s="1116"/>
      <c r="EM422" s="1116"/>
      <c r="EN422" s="1116"/>
      <c r="EO422" s="1116"/>
      <c r="EP422" s="1116"/>
      <c r="EQ422" s="1116"/>
      <c r="ER422" s="1116"/>
      <c r="ES422" s="1116"/>
    </row>
    <row r="423" spans="1:149" ht="15" customHeight="1">
      <c r="A423" s="1185">
        <v>408</v>
      </c>
      <c r="B423" s="1041"/>
      <c r="C423" s="1050"/>
      <c r="D423" s="1050"/>
      <c r="E423" s="1050"/>
      <c r="F423" s="1049"/>
      <c r="G423" s="1457"/>
      <c r="H423" s="1049"/>
      <c r="I423" s="1049"/>
      <c r="J423" s="1050"/>
      <c r="K423" s="1050"/>
      <c r="L423" s="1043"/>
      <c r="M423" s="1051"/>
      <c r="N423" s="1051"/>
      <c r="O423" s="1052"/>
      <c r="P423" s="1051"/>
      <c r="Q423" s="1051"/>
      <c r="R423" s="1052"/>
      <c r="S423" s="1051"/>
      <c r="T423" s="1051"/>
      <c r="U423" s="1052"/>
      <c r="V423" s="1051"/>
      <c r="W423" s="1051"/>
      <c r="X423" s="1052"/>
      <c r="Y423" s="1053"/>
      <c r="Z423" s="1051"/>
      <c r="AA423" s="1051"/>
      <c r="AB423" s="1052"/>
      <c r="AC423" s="1051"/>
      <c r="AD423" s="1051"/>
      <c r="AE423" s="1052"/>
      <c r="AF423" s="1051"/>
      <c r="AG423" s="1051"/>
      <c r="AH423" s="1051"/>
      <c r="AI423" s="1051"/>
      <c r="AJ423" s="1052"/>
      <c r="AK423" s="1051"/>
      <c r="AL423" s="1051"/>
      <c r="AM423" s="1052"/>
      <c r="AN423" s="1051"/>
      <c r="AO423" s="1051"/>
      <c r="AP423" s="1052"/>
      <c r="AQ423" s="1051"/>
      <c r="AR423" s="1051"/>
      <c r="AS423" s="1052"/>
      <c r="AT423" s="1051"/>
      <c r="AU423" s="1051"/>
      <c r="AV423" s="1052"/>
      <c r="AW423" s="1051"/>
      <c r="AX423" s="1051"/>
      <c r="AY423" s="1053"/>
      <c r="AZ423" s="1051"/>
      <c r="BA423" s="1051"/>
      <c r="BB423" s="1053"/>
      <c r="BC423" s="1051"/>
      <c r="BD423" s="1051"/>
      <c r="BE423" s="1053"/>
      <c r="BF423" s="1051"/>
      <c r="BG423" s="1051"/>
      <c r="BH423" s="1053"/>
      <c r="BI423" s="1052"/>
      <c r="BJ423" s="1052"/>
      <c r="BK423" s="1052"/>
      <c r="BL423" s="1052"/>
      <c r="BM423" s="1052"/>
      <c r="BN423" s="1054"/>
      <c r="BO423" s="1076">
        <f t="shared" si="17"/>
        <v>0</v>
      </c>
      <c r="BP423" s="1051"/>
      <c r="BQ423" s="1052"/>
      <c r="BR423" s="1054"/>
      <c r="BS423" s="1053"/>
      <c r="BT423" s="1051"/>
      <c r="BU423" s="1051"/>
      <c r="BV423" s="1051"/>
      <c r="BW423" s="1052"/>
      <c r="BX423" s="1052"/>
      <c r="BY423" s="1052"/>
      <c r="BZ423" s="1052"/>
      <c r="CA423" s="1052"/>
      <c r="CB423" s="1053"/>
      <c r="CC423" s="1053"/>
      <c r="CD423" s="1053"/>
      <c r="CE423" s="1053"/>
      <c r="CF423" s="1053"/>
      <c r="CG423" s="1053"/>
      <c r="CH423" s="1053"/>
      <c r="CI423" s="1123"/>
      <c r="CJ423" s="1123"/>
      <c r="CK423" s="1123"/>
      <c r="CL423" s="1123"/>
      <c r="CM423" s="1123"/>
      <c r="CN423" s="1123"/>
      <c r="CO423" s="1123"/>
      <c r="CP423" s="1123"/>
      <c r="CQ423" s="1123"/>
      <c r="CR423" s="1123"/>
      <c r="CS423" s="1123"/>
      <c r="CT423" s="1123"/>
      <c r="CU423" s="1123"/>
      <c r="CV423" s="1123"/>
      <c r="CW423" s="1123"/>
      <c r="CX423" s="1123"/>
      <c r="CY423" s="1123"/>
      <c r="CZ423" s="1114"/>
      <c r="DA423" s="1114"/>
      <c r="DB423" s="1114"/>
      <c r="DC423" s="1114"/>
      <c r="DD423" s="1114"/>
      <c r="DE423" s="1114"/>
      <c r="DF423" s="1114"/>
      <c r="DG423" s="1114"/>
      <c r="DH423" s="1114"/>
      <c r="DI423" s="1114"/>
      <c r="DJ423" s="1114"/>
      <c r="DK423" s="1114"/>
      <c r="DL423" s="1114"/>
      <c r="DM423" s="1114"/>
      <c r="DN423" s="1114"/>
      <c r="DO423" s="1114"/>
      <c r="DP423" s="1114"/>
      <c r="DQ423" s="1114"/>
      <c r="DR423" s="1114"/>
      <c r="DS423" s="1114"/>
      <c r="DT423" s="1114"/>
      <c r="DU423" s="1114"/>
      <c r="DV423" s="1115"/>
      <c r="DW423" s="1116"/>
      <c r="DX423" s="1116"/>
      <c r="DY423" s="1116"/>
      <c r="DZ423" s="1116"/>
      <c r="EA423" s="1116"/>
      <c r="EB423" s="1116"/>
      <c r="EC423" s="1116"/>
      <c r="ED423" s="1116"/>
      <c r="EE423" s="1116"/>
      <c r="EF423" s="1116"/>
      <c r="EG423" s="1116"/>
      <c r="EH423" s="1116"/>
      <c r="EI423" s="1116"/>
      <c r="EJ423" s="1116"/>
      <c r="EK423" s="1116"/>
      <c r="EL423" s="1116"/>
      <c r="EM423" s="1116"/>
      <c r="EN423" s="1116"/>
      <c r="EO423" s="1116"/>
      <c r="EP423" s="1116"/>
      <c r="EQ423" s="1116"/>
      <c r="ER423" s="1116"/>
      <c r="ES423" s="1116"/>
    </row>
    <row r="424" spans="1:149" ht="15" customHeight="1">
      <c r="A424" s="1185">
        <v>409</v>
      </c>
      <c r="B424" s="1041"/>
      <c r="C424" s="1050"/>
      <c r="D424" s="1050"/>
      <c r="E424" s="1050"/>
      <c r="F424" s="1049"/>
      <c r="G424" s="1457"/>
      <c r="H424" s="1049"/>
      <c r="I424" s="1049"/>
      <c r="J424" s="1050"/>
      <c r="K424" s="1050"/>
      <c r="L424" s="1043"/>
      <c r="M424" s="1051"/>
      <c r="N424" s="1051"/>
      <c r="O424" s="1052"/>
      <c r="P424" s="1051"/>
      <c r="Q424" s="1051"/>
      <c r="R424" s="1052"/>
      <c r="S424" s="1051"/>
      <c r="T424" s="1051"/>
      <c r="U424" s="1052"/>
      <c r="V424" s="1051"/>
      <c r="W424" s="1051"/>
      <c r="X424" s="1052"/>
      <c r="Y424" s="1053"/>
      <c r="Z424" s="1051"/>
      <c r="AA424" s="1051"/>
      <c r="AB424" s="1052"/>
      <c r="AC424" s="1051"/>
      <c r="AD424" s="1051"/>
      <c r="AE424" s="1052"/>
      <c r="AF424" s="1051"/>
      <c r="AG424" s="1051"/>
      <c r="AH424" s="1051"/>
      <c r="AI424" s="1051"/>
      <c r="AJ424" s="1052"/>
      <c r="AK424" s="1051"/>
      <c r="AL424" s="1051"/>
      <c r="AM424" s="1052"/>
      <c r="AN424" s="1051"/>
      <c r="AO424" s="1051"/>
      <c r="AP424" s="1052"/>
      <c r="AQ424" s="1051"/>
      <c r="AR424" s="1051"/>
      <c r="AS424" s="1052"/>
      <c r="AT424" s="1051"/>
      <c r="AU424" s="1051"/>
      <c r="AV424" s="1052"/>
      <c r="AW424" s="1051"/>
      <c r="AX424" s="1051"/>
      <c r="AY424" s="1053"/>
      <c r="AZ424" s="1051"/>
      <c r="BA424" s="1051"/>
      <c r="BB424" s="1053"/>
      <c r="BC424" s="1051"/>
      <c r="BD424" s="1051"/>
      <c r="BE424" s="1053"/>
      <c r="BF424" s="1051"/>
      <c r="BG424" s="1051"/>
      <c r="BH424" s="1053"/>
      <c r="BI424" s="1052"/>
      <c r="BJ424" s="1052"/>
      <c r="BK424" s="1052"/>
      <c r="BL424" s="1052"/>
      <c r="BM424" s="1052"/>
      <c r="BN424" s="1054"/>
      <c r="BO424" s="1076">
        <f t="shared" si="17"/>
        <v>0</v>
      </c>
      <c r="BP424" s="1051"/>
      <c r="BQ424" s="1052"/>
      <c r="BR424" s="1054"/>
      <c r="BS424" s="1053"/>
      <c r="BT424" s="1051"/>
      <c r="BU424" s="1051"/>
      <c r="BV424" s="1051"/>
      <c r="BW424" s="1052"/>
      <c r="BX424" s="1052"/>
      <c r="BY424" s="1052"/>
      <c r="BZ424" s="1052"/>
      <c r="CA424" s="1052"/>
      <c r="CB424" s="1053"/>
      <c r="CC424" s="1053"/>
      <c r="CD424" s="1053"/>
      <c r="CE424" s="1053"/>
      <c r="CF424" s="1053"/>
      <c r="CG424" s="1053"/>
      <c r="CH424" s="1053"/>
      <c r="CI424" s="1123"/>
      <c r="CJ424" s="1123"/>
      <c r="CK424" s="1123"/>
      <c r="CL424" s="1123"/>
      <c r="CM424" s="1123"/>
      <c r="CN424" s="1123"/>
      <c r="CO424" s="1123"/>
      <c r="CP424" s="1123"/>
      <c r="CQ424" s="1123"/>
      <c r="CR424" s="1123"/>
      <c r="CS424" s="1123"/>
      <c r="CT424" s="1123"/>
      <c r="CU424" s="1123"/>
      <c r="CV424" s="1123"/>
      <c r="CW424" s="1123"/>
      <c r="CX424" s="1123"/>
      <c r="CY424" s="1123"/>
      <c r="CZ424" s="1114"/>
      <c r="DA424" s="1114"/>
      <c r="DB424" s="1114"/>
      <c r="DC424" s="1114"/>
      <c r="DD424" s="1114"/>
      <c r="DE424" s="1114"/>
      <c r="DF424" s="1114"/>
      <c r="DG424" s="1114"/>
      <c r="DH424" s="1114"/>
      <c r="DI424" s="1114"/>
      <c r="DJ424" s="1114"/>
      <c r="DK424" s="1114"/>
      <c r="DL424" s="1114"/>
      <c r="DM424" s="1114"/>
      <c r="DN424" s="1114"/>
      <c r="DO424" s="1114"/>
      <c r="DP424" s="1114"/>
      <c r="DQ424" s="1114"/>
      <c r="DR424" s="1114"/>
      <c r="DS424" s="1114"/>
      <c r="DT424" s="1114"/>
      <c r="DU424" s="1114"/>
      <c r="DV424" s="1115"/>
      <c r="DW424" s="1116"/>
      <c r="DX424" s="1116"/>
      <c r="DY424" s="1116"/>
      <c r="DZ424" s="1116"/>
      <c r="EA424" s="1116"/>
      <c r="EB424" s="1116"/>
      <c r="EC424" s="1116"/>
      <c r="ED424" s="1116"/>
      <c r="EE424" s="1116"/>
      <c r="EF424" s="1116"/>
      <c r="EG424" s="1116"/>
      <c r="EH424" s="1116"/>
      <c r="EI424" s="1116"/>
      <c r="EJ424" s="1116"/>
      <c r="EK424" s="1116"/>
      <c r="EL424" s="1116"/>
      <c r="EM424" s="1116"/>
      <c r="EN424" s="1116"/>
      <c r="EO424" s="1116"/>
      <c r="EP424" s="1116"/>
      <c r="EQ424" s="1116"/>
      <c r="ER424" s="1116"/>
      <c r="ES424" s="1116"/>
    </row>
    <row r="425" spans="1:149" ht="15" customHeight="1">
      <c r="A425" s="1185">
        <v>410</v>
      </c>
      <c r="B425" s="1041"/>
      <c r="C425" s="1050"/>
      <c r="D425" s="1050"/>
      <c r="E425" s="1050"/>
      <c r="F425" s="1049"/>
      <c r="G425" s="1457"/>
      <c r="H425" s="1049"/>
      <c r="I425" s="1049"/>
      <c r="J425" s="1050"/>
      <c r="K425" s="1050"/>
      <c r="L425" s="1043"/>
      <c r="M425" s="1051"/>
      <c r="N425" s="1051"/>
      <c r="O425" s="1052"/>
      <c r="P425" s="1051"/>
      <c r="Q425" s="1051"/>
      <c r="R425" s="1052"/>
      <c r="S425" s="1051"/>
      <c r="T425" s="1051"/>
      <c r="U425" s="1052"/>
      <c r="V425" s="1051"/>
      <c r="W425" s="1051"/>
      <c r="X425" s="1052"/>
      <c r="Y425" s="1053"/>
      <c r="Z425" s="1051"/>
      <c r="AA425" s="1051"/>
      <c r="AB425" s="1052"/>
      <c r="AC425" s="1051"/>
      <c r="AD425" s="1051"/>
      <c r="AE425" s="1052"/>
      <c r="AF425" s="1051"/>
      <c r="AG425" s="1051"/>
      <c r="AH425" s="1051"/>
      <c r="AI425" s="1051"/>
      <c r="AJ425" s="1052"/>
      <c r="AK425" s="1051"/>
      <c r="AL425" s="1051"/>
      <c r="AM425" s="1052"/>
      <c r="AN425" s="1051"/>
      <c r="AO425" s="1051"/>
      <c r="AP425" s="1052"/>
      <c r="AQ425" s="1051"/>
      <c r="AR425" s="1051"/>
      <c r="AS425" s="1052"/>
      <c r="AT425" s="1051"/>
      <c r="AU425" s="1051"/>
      <c r="AV425" s="1052"/>
      <c r="AW425" s="1051"/>
      <c r="AX425" s="1051"/>
      <c r="AY425" s="1053"/>
      <c r="AZ425" s="1051"/>
      <c r="BA425" s="1051"/>
      <c r="BB425" s="1053"/>
      <c r="BC425" s="1051"/>
      <c r="BD425" s="1051"/>
      <c r="BE425" s="1053"/>
      <c r="BF425" s="1051"/>
      <c r="BG425" s="1051"/>
      <c r="BH425" s="1053"/>
      <c r="BI425" s="1052"/>
      <c r="BJ425" s="1052"/>
      <c r="BK425" s="1052"/>
      <c r="BL425" s="1052"/>
      <c r="BM425" s="1052"/>
      <c r="BN425" s="1054"/>
      <c r="BO425" s="1076">
        <f t="shared" si="17"/>
        <v>0</v>
      </c>
      <c r="BP425" s="1051"/>
      <c r="BQ425" s="1052"/>
      <c r="BR425" s="1054"/>
      <c r="BS425" s="1053"/>
      <c r="BT425" s="1051"/>
      <c r="BU425" s="1051"/>
      <c r="BV425" s="1051"/>
      <c r="BW425" s="1052"/>
      <c r="BX425" s="1052"/>
      <c r="BY425" s="1052"/>
      <c r="BZ425" s="1052"/>
      <c r="CA425" s="1052"/>
      <c r="CB425" s="1053"/>
      <c r="CC425" s="1053"/>
      <c r="CD425" s="1053"/>
      <c r="CE425" s="1053"/>
      <c r="CF425" s="1053"/>
      <c r="CG425" s="1053"/>
      <c r="CH425" s="1053"/>
      <c r="CI425" s="1123"/>
      <c r="CJ425" s="1123"/>
      <c r="CK425" s="1123"/>
      <c r="CL425" s="1123"/>
      <c r="CM425" s="1123"/>
      <c r="CN425" s="1123"/>
      <c r="CO425" s="1123"/>
      <c r="CP425" s="1123"/>
      <c r="CQ425" s="1123"/>
      <c r="CR425" s="1123"/>
      <c r="CS425" s="1123"/>
      <c r="CT425" s="1123"/>
      <c r="CU425" s="1123"/>
      <c r="CV425" s="1123"/>
      <c r="CW425" s="1123"/>
      <c r="CX425" s="1123"/>
      <c r="CY425" s="1123"/>
      <c r="CZ425" s="1114"/>
      <c r="DA425" s="1114"/>
      <c r="DB425" s="1114"/>
      <c r="DC425" s="1114"/>
      <c r="DD425" s="1114"/>
      <c r="DE425" s="1114"/>
      <c r="DF425" s="1114"/>
      <c r="DG425" s="1114"/>
      <c r="DH425" s="1114"/>
      <c r="DI425" s="1114"/>
      <c r="DJ425" s="1114"/>
      <c r="DK425" s="1114"/>
      <c r="DL425" s="1114"/>
      <c r="DM425" s="1114"/>
      <c r="DN425" s="1114"/>
      <c r="DO425" s="1114"/>
      <c r="DP425" s="1114"/>
      <c r="DQ425" s="1114"/>
      <c r="DR425" s="1114"/>
      <c r="DS425" s="1114"/>
      <c r="DT425" s="1114"/>
      <c r="DU425" s="1114"/>
      <c r="DV425" s="1115"/>
      <c r="DW425" s="1116"/>
      <c r="DX425" s="1116"/>
      <c r="DY425" s="1116"/>
      <c r="DZ425" s="1116"/>
      <c r="EA425" s="1116"/>
      <c r="EB425" s="1116"/>
      <c r="EC425" s="1116"/>
      <c r="ED425" s="1116"/>
      <c r="EE425" s="1116"/>
      <c r="EF425" s="1116"/>
      <c r="EG425" s="1116"/>
      <c r="EH425" s="1116"/>
      <c r="EI425" s="1116"/>
      <c r="EJ425" s="1116"/>
      <c r="EK425" s="1116"/>
      <c r="EL425" s="1116"/>
      <c r="EM425" s="1116"/>
      <c r="EN425" s="1116"/>
      <c r="EO425" s="1116"/>
      <c r="EP425" s="1116"/>
      <c r="EQ425" s="1116"/>
      <c r="ER425" s="1116"/>
      <c r="ES425" s="1116"/>
    </row>
    <row r="426" spans="1:149" ht="15" customHeight="1">
      <c r="A426" s="1185">
        <v>411</v>
      </c>
      <c r="B426" s="1041"/>
      <c r="C426" s="1050"/>
      <c r="D426" s="1050"/>
      <c r="E426" s="1050"/>
      <c r="F426" s="1049"/>
      <c r="G426" s="1457"/>
      <c r="H426" s="1049"/>
      <c r="I426" s="1049"/>
      <c r="J426" s="1050"/>
      <c r="K426" s="1050"/>
      <c r="L426" s="1043"/>
      <c r="M426" s="1051"/>
      <c r="N426" s="1051"/>
      <c r="O426" s="1052"/>
      <c r="P426" s="1051"/>
      <c r="Q426" s="1051"/>
      <c r="R426" s="1052"/>
      <c r="S426" s="1051"/>
      <c r="T426" s="1051"/>
      <c r="U426" s="1052"/>
      <c r="V426" s="1051"/>
      <c r="W426" s="1051"/>
      <c r="X426" s="1052"/>
      <c r="Y426" s="1053"/>
      <c r="Z426" s="1051"/>
      <c r="AA426" s="1051"/>
      <c r="AB426" s="1052"/>
      <c r="AC426" s="1051"/>
      <c r="AD426" s="1051"/>
      <c r="AE426" s="1052"/>
      <c r="AF426" s="1051"/>
      <c r="AG426" s="1051"/>
      <c r="AH426" s="1051"/>
      <c r="AI426" s="1051"/>
      <c r="AJ426" s="1052"/>
      <c r="AK426" s="1051"/>
      <c r="AL426" s="1051"/>
      <c r="AM426" s="1052"/>
      <c r="AN426" s="1051"/>
      <c r="AO426" s="1051"/>
      <c r="AP426" s="1052"/>
      <c r="AQ426" s="1051"/>
      <c r="AR426" s="1051"/>
      <c r="AS426" s="1052"/>
      <c r="AT426" s="1051"/>
      <c r="AU426" s="1051"/>
      <c r="AV426" s="1052"/>
      <c r="AW426" s="1051"/>
      <c r="AX426" s="1051"/>
      <c r="AY426" s="1053"/>
      <c r="AZ426" s="1051"/>
      <c r="BA426" s="1051"/>
      <c r="BB426" s="1053"/>
      <c r="BC426" s="1051"/>
      <c r="BD426" s="1051"/>
      <c r="BE426" s="1053"/>
      <c r="BF426" s="1051"/>
      <c r="BG426" s="1051"/>
      <c r="BH426" s="1053"/>
      <c r="BI426" s="1052"/>
      <c r="BJ426" s="1052"/>
      <c r="BK426" s="1052"/>
      <c r="BL426" s="1052"/>
      <c r="BM426" s="1052"/>
      <c r="BN426" s="1054"/>
      <c r="BO426" s="1076">
        <f t="shared" si="17"/>
        <v>0</v>
      </c>
      <c r="BP426" s="1051"/>
      <c r="BQ426" s="1052"/>
      <c r="BR426" s="1054"/>
      <c r="BS426" s="1053"/>
      <c r="BT426" s="1051"/>
      <c r="BU426" s="1051"/>
      <c r="BV426" s="1051"/>
      <c r="BW426" s="1052"/>
      <c r="BX426" s="1052"/>
      <c r="BY426" s="1052"/>
      <c r="BZ426" s="1052"/>
      <c r="CA426" s="1052"/>
      <c r="CB426" s="1053"/>
      <c r="CC426" s="1053"/>
      <c r="CD426" s="1053"/>
      <c r="CE426" s="1053"/>
      <c r="CF426" s="1053"/>
      <c r="CG426" s="1053"/>
      <c r="CH426" s="1053"/>
      <c r="CI426" s="1123"/>
      <c r="CJ426" s="1123"/>
      <c r="CK426" s="1123"/>
      <c r="CL426" s="1123"/>
      <c r="CM426" s="1123"/>
      <c r="CN426" s="1123"/>
      <c r="CO426" s="1123"/>
      <c r="CP426" s="1123"/>
      <c r="CQ426" s="1123"/>
      <c r="CR426" s="1123"/>
      <c r="CS426" s="1123"/>
      <c r="CT426" s="1123"/>
      <c r="CU426" s="1123"/>
      <c r="CV426" s="1123"/>
      <c r="CW426" s="1123"/>
      <c r="CX426" s="1123"/>
      <c r="CY426" s="1123"/>
      <c r="CZ426" s="1114"/>
      <c r="DA426" s="1114"/>
      <c r="DB426" s="1114"/>
      <c r="DC426" s="1114"/>
      <c r="DD426" s="1114"/>
      <c r="DE426" s="1114"/>
      <c r="DF426" s="1114"/>
      <c r="DG426" s="1114"/>
      <c r="DH426" s="1114"/>
      <c r="DI426" s="1114"/>
      <c r="DJ426" s="1114"/>
      <c r="DK426" s="1114"/>
      <c r="DL426" s="1114"/>
      <c r="DM426" s="1114"/>
      <c r="DN426" s="1114"/>
      <c r="DO426" s="1114"/>
      <c r="DP426" s="1114"/>
      <c r="DQ426" s="1114"/>
      <c r="DR426" s="1114"/>
      <c r="DS426" s="1114"/>
      <c r="DT426" s="1114"/>
      <c r="DU426" s="1114"/>
      <c r="DV426" s="1115"/>
      <c r="DW426" s="1116"/>
      <c r="DX426" s="1116"/>
      <c r="DY426" s="1116"/>
      <c r="DZ426" s="1116"/>
      <c r="EA426" s="1116"/>
      <c r="EB426" s="1116"/>
      <c r="EC426" s="1116"/>
      <c r="ED426" s="1116"/>
      <c r="EE426" s="1116"/>
      <c r="EF426" s="1116"/>
      <c r="EG426" s="1116"/>
      <c r="EH426" s="1116"/>
      <c r="EI426" s="1116"/>
      <c r="EJ426" s="1116"/>
      <c r="EK426" s="1116"/>
      <c r="EL426" s="1116"/>
      <c r="EM426" s="1116"/>
      <c r="EN426" s="1116"/>
      <c r="EO426" s="1116"/>
      <c r="EP426" s="1116"/>
      <c r="EQ426" s="1116"/>
      <c r="ER426" s="1116"/>
      <c r="ES426" s="1116"/>
    </row>
    <row r="427" spans="1:149" ht="15" customHeight="1">
      <c r="A427" s="1185">
        <v>412</v>
      </c>
      <c r="B427" s="1041"/>
      <c r="C427" s="1050"/>
      <c r="D427" s="1050"/>
      <c r="E427" s="1050"/>
      <c r="F427" s="1049"/>
      <c r="G427" s="1457"/>
      <c r="H427" s="1049"/>
      <c r="I427" s="1049"/>
      <c r="J427" s="1050"/>
      <c r="K427" s="1050"/>
      <c r="L427" s="1043"/>
      <c r="M427" s="1051"/>
      <c r="N427" s="1051"/>
      <c r="O427" s="1052"/>
      <c r="P427" s="1051"/>
      <c r="Q427" s="1051"/>
      <c r="R427" s="1052"/>
      <c r="S427" s="1051"/>
      <c r="T427" s="1051"/>
      <c r="U427" s="1052"/>
      <c r="V427" s="1051"/>
      <c r="W427" s="1051"/>
      <c r="X427" s="1052"/>
      <c r="Y427" s="1053"/>
      <c r="Z427" s="1051"/>
      <c r="AA427" s="1051"/>
      <c r="AB427" s="1052"/>
      <c r="AC427" s="1051"/>
      <c r="AD427" s="1051"/>
      <c r="AE427" s="1052"/>
      <c r="AF427" s="1051"/>
      <c r="AG427" s="1051"/>
      <c r="AH427" s="1051"/>
      <c r="AI427" s="1051"/>
      <c r="AJ427" s="1052"/>
      <c r="AK427" s="1051"/>
      <c r="AL427" s="1051"/>
      <c r="AM427" s="1052"/>
      <c r="AN427" s="1051"/>
      <c r="AO427" s="1051"/>
      <c r="AP427" s="1052"/>
      <c r="AQ427" s="1051"/>
      <c r="AR427" s="1051"/>
      <c r="AS427" s="1052"/>
      <c r="AT427" s="1051"/>
      <c r="AU427" s="1051"/>
      <c r="AV427" s="1052"/>
      <c r="AW427" s="1051"/>
      <c r="AX427" s="1051"/>
      <c r="AY427" s="1053"/>
      <c r="AZ427" s="1051"/>
      <c r="BA427" s="1051"/>
      <c r="BB427" s="1053"/>
      <c r="BC427" s="1051"/>
      <c r="BD427" s="1051"/>
      <c r="BE427" s="1053"/>
      <c r="BF427" s="1051"/>
      <c r="BG427" s="1051"/>
      <c r="BH427" s="1053"/>
      <c r="BI427" s="1052"/>
      <c r="BJ427" s="1052"/>
      <c r="BK427" s="1052"/>
      <c r="BL427" s="1052"/>
      <c r="BM427" s="1052"/>
      <c r="BN427" s="1054"/>
      <c r="BO427" s="1076">
        <f t="shared" si="17"/>
        <v>0</v>
      </c>
      <c r="BP427" s="1051"/>
      <c r="BQ427" s="1052"/>
      <c r="BR427" s="1054"/>
      <c r="BS427" s="1053"/>
      <c r="BT427" s="1051"/>
      <c r="BU427" s="1051"/>
      <c r="BV427" s="1051"/>
      <c r="BW427" s="1052"/>
      <c r="BX427" s="1052"/>
      <c r="BY427" s="1052"/>
      <c r="BZ427" s="1052"/>
      <c r="CA427" s="1052"/>
      <c r="CB427" s="1053"/>
      <c r="CC427" s="1053"/>
      <c r="CD427" s="1053"/>
      <c r="CE427" s="1053"/>
      <c r="CF427" s="1053"/>
      <c r="CG427" s="1053"/>
      <c r="CH427" s="1053"/>
      <c r="CI427" s="1123"/>
      <c r="CJ427" s="1123"/>
      <c r="CK427" s="1123"/>
      <c r="CL427" s="1123"/>
      <c r="CM427" s="1123"/>
      <c r="CN427" s="1123"/>
      <c r="CO427" s="1123"/>
      <c r="CP427" s="1123"/>
      <c r="CQ427" s="1123"/>
      <c r="CR427" s="1123"/>
      <c r="CS427" s="1123"/>
      <c r="CT427" s="1123"/>
      <c r="CU427" s="1123"/>
      <c r="CV427" s="1123"/>
      <c r="CW427" s="1123"/>
      <c r="CX427" s="1123"/>
      <c r="CY427" s="1123"/>
      <c r="CZ427" s="1114"/>
      <c r="DA427" s="1114"/>
      <c r="DB427" s="1114"/>
      <c r="DC427" s="1114"/>
      <c r="DD427" s="1114"/>
      <c r="DE427" s="1114"/>
      <c r="DF427" s="1114"/>
      <c r="DG427" s="1114"/>
      <c r="DH427" s="1114"/>
      <c r="DI427" s="1114"/>
      <c r="DJ427" s="1114"/>
      <c r="DK427" s="1114"/>
      <c r="DL427" s="1114"/>
      <c r="DM427" s="1114"/>
      <c r="DN427" s="1114"/>
      <c r="DO427" s="1114"/>
      <c r="DP427" s="1114"/>
      <c r="DQ427" s="1114"/>
      <c r="DR427" s="1114"/>
      <c r="DS427" s="1114"/>
      <c r="DT427" s="1114"/>
      <c r="DU427" s="1114"/>
      <c r="DV427" s="1115"/>
      <c r="DW427" s="1116"/>
      <c r="DX427" s="1116"/>
      <c r="DY427" s="1116"/>
      <c r="DZ427" s="1116"/>
      <c r="EA427" s="1116"/>
      <c r="EB427" s="1116"/>
      <c r="EC427" s="1116"/>
      <c r="ED427" s="1116"/>
      <c r="EE427" s="1116"/>
      <c r="EF427" s="1116"/>
      <c r="EG427" s="1116"/>
      <c r="EH427" s="1116"/>
      <c r="EI427" s="1116"/>
      <c r="EJ427" s="1116"/>
      <c r="EK427" s="1116"/>
      <c r="EL427" s="1116"/>
      <c r="EM427" s="1116"/>
      <c r="EN427" s="1116"/>
      <c r="EO427" s="1116"/>
      <c r="EP427" s="1116"/>
      <c r="EQ427" s="1116"/>
      <c r="ER427" s="1116"/>
      <c r="ES427" s="1116"/>
    </row>
    <row r="428" spans="1:149" ht="15" customHeight="1">
      <c r="A428" s="1185">
        <v>413</v>
      </c>
      <c r="B428" s="1041"/>
      <c r="C428" s="1050"/>
      <c r="D428" s="1050"/>
      <c r="E428" s="1050"/>
      <c r="F428" s="1049"/>
      <c r="G428" s="1457"/>
      <c r="H428" s="1049"/>
      <c r="I428" s="1049"/>
      <c r="J428" s="1050"/>
      <c r="K428" s="1050"/>
      <c r="L428" s="1043"/>
      <c r="M428" s="1051"/>
      <c r="N428" s="1051"/>
      <c r="O428" s="1052"/>
      <c r="P428" s="1051"/>
      <c r="Q428" s="1051"/>
      <c r="R428" s="1052"/>
      <c r="S428" s="1051"/>
      <c r="T428" s="1051"/>
      <c r="U428" s="1052"/>
      <c r="V428" s="1051"/>
      <c r="W428" s="1051"/>
      <c r="X428" s="1052"/>
      <c r="Y428" s="1053"/>
      <c r="Z428" s="1051"/>
      <c r="AA428" s="1051"/>
      <c r="AB428" s="1052"/>
      <c r="AC428" s="1051"/>
      <c r="AD428" s="1051"/>
      <c r="AE428" s="1052"/>
      <c r="AF428" s="1051"/>
      <c r="AG428" s="1051"/>
      <c r="AH428" s="1051"/>
      <c r="AI428" s="1051"/>
      <c r="AJ428" s="1052"/>
      <c r="AK428" s="1051"/>
      <c r="AL428" s="1051"/>
      <c r="AM428" s="1052"/>
      <c r="AN428" s="1051"/>
      <c r="AO428" s="1051"/>
      <c r="AP428" s="1052"/>
      <c r="AQ428" s="1051"/>
      <c r="AR428" s="1051"/>
      <c r="AS428" s="1052"/>
      <c r="AT428" s="1051"/>
      <c r="AU428" s="1051"/>
      <c r="AV428" s="1052"/>
      <c r="AW428" s="1051"/>
      <c r="AX428" s="1051"/>
      <c r="AY428" s="1053"/>
      <c r="AZ428" s="1051"/>
      <c r="BA428" s="1051"/>
      <c r="BB428" s="1053"/>
      <c r="BC428" s="1051"/>
      <c r="BD428" s="1051"/>
      <c r="BE428" s="1053"/>
      <c r="BF428" s="1051"/>
      <c r="BG428" s="1051"/>
      <c r="BH428" s="1053"/>
      <c r="BI428" s="1052"/>
      <c r="BJ428" s="1052"/>
      <c r="BK428" s="1052"/>
      <c r="BL428" s="1052"/>
      <c r="BM428" s="1052"/>
      <c r="BN428" s="1054"/>
      <c r="BO428" s="1076">
        <f t="shared" si="17"/>
        <v>0</v>
      </c>
      <c r="BP428" s="1051"/>
      <c r="BQ428" s="1052"/>
      <c r="BR428" s="1054"/>
      <c r="BS428" s="1053"/>
      <c r="BT428" s="1051"/>
      <c r="BU428" s="1051"/>
      <c r="BV428" s="1051"/>
      <c r="BW428" s="1052"/>
      <c r="BX428" s="1052"/>
      <c r="BY428" s="1052"/>
      <c r="BZ428" s="1052"/>
      <c r="CA428" s="1052"/>
      <c r="CB428" s="1053"/>
      <c r="CC428" s="1053"/>
      <c r="CD428" s="1053"/>
      <c r="CE428" s="1053"/>
      <c r="CF428" s="1053"/>
      <c r="CG428" s="1053"/>
      <c r="CH428" s="1053"/>
      <c r="CI428" s="1123"/>
      <c r="CJ428" s="1123"/>
      <c r="CK428" s="1123"/>
      <c r="CL428" s="1123"/>
      <c r="CM428" s="1123"/>
      <c r="CN428" s="1123"/>
      <c r="CO428" s="1123"/>
      <c r="CP428" s="1123"/>
      <c r="CQ428" s="1123"/>
      <c r="CR428" s="1123"/>
      <c r="CS428" s="1123"/>
      <c r="CT428" s="1123"/>
      <c r="CU428" s="1123"/>
      <c r="CV428" s="1123"/>
      <c r="CW428" s="1123"/>
      <c r="CX428" s="1123"/>
      <c r="CY428" s="1123"/>
      <c r="CZ428" s="1114"/>
      <c r="DA428" s="1114"/>
      <c r="DB428" s="1114"/>
      <c r="DC428" s="1114"/>
      <c r="DD428" s="1114"/>
      <c r="DE428" s="1114"/>
      <c r="DF428" s="1114"/>
      <c r="DG428" s="1114"/>
      <c r="DH428" s="1114"/>
      <c r="DI428" s="1114"/>
      <c r="DJ428" s="1114"/>
      <c r="DK428" s="1114"/>
      <c r="DL428" s="1114"/>
      <c r="DM428" s="1114"/>
      <c r="DN428" s="1114"/>
      <c r="DO428" s="1114"/>
      <c r="DP428" s="1114"/>
      <c r="DQ428" s="1114"/>
      <c r="DR428" s="1114"/>
      <c r="DS428" s="1114"/>
      <c r="DT428" s="1114"/>
      <c r="DU428" s="1114"/>
      <c r="DV428" s="1115"/>
      <c r="DW428" s="1116"/>
      <c r="DX428" s="1116"/>
      <c r="DY428" s="1116"/>
      <c r="DZ428" s="1116"/>
      <c r="EA428" s="1116"/>
      <c r="EB428" s="1116"/>
      <c r="EC428" s="1116"/>
      <c r="ED428" s="1116"/>
      <c r="EE428" s="1116"/>
      <c r="EF428" s="1116"/>
      <c r="EG428" s="1116"/>
      <c r="EH428" s="1116"/>
      <c r="EI428" s="1116"/>
      <c r="EJ428" s="1116"/>
      <c r="EK428" s="1116"/>
      <c r="EL428" s="1116"/>
      <c r="EM428" s="1116"/>
      <c r="EN428" s="1116"/>
      <c r="EO428" s="1116"/>
      <c r="EP428" s="1116"/>
      <c r="EQ428" s="1116"/>
      <c r="ER428" s="1116"/>
      <c r="ES428" s="1116"/>
    </row>
    <row r="429" spans="1:149" ht="15" customHeight="1">
      <c r="A429" s="1185">
        <v>414</v>
      </c>
      <c r="B429" s="1041"/>
      <c r="C429" s="1050"/>
      <c r="D429" s="1050"/>
      <c r="E429" s="1050"/>
      <c r="F429" s="1049"/>
      <c r="G429" s="1457"/>
      <c r="H429" s="1049"/>
      <c r="I429" s="1049"/>
      <c r="J429" s="1050"/>
      <c r="K429" s="1050"/>
      <c r="L429" s="1043"/>
      <c r="M429" s="1051"/>
      <c r="N429" s="1051"/>
      <c r="O429" s="1052"/>
      <c r="P429" s="1051"/>
      <c r="Q429" s="1051"/>
      <c r="R429" s="1052"/>
      <c r="S429" s="1051"/>
      <c r="T429" s="1051"/>
      <c r="U429" s="1052"/>
      <c r="V429" s="1051"/>
      <c r="W429" s="1051"/>
      <c r="X429" s="1052"/>
      <c r="Y429" s="1053"/>
      <c r="Z429" s="1051"/>
      <c r="AA429" s="1051"/>
      <c r="AB429" s="1052"/>
      <c r="AC429" s="1051"/>
      <c r="AD429" s="1051"/>
      <c r="AE429" s="1052"/>
      <c r="AF429" s="1051"/>
      <c r="AG429" s="1051"/>
      <c r="AH429" s="1051"/>
      <c r="AI429" s="1051"/>
      <c r="AJ429" s="1052"/>
      <c r="AK429" s="1051"/>
      <c r="AL429" s="1051"/>
      <c r="AM429" s="1052"/>
      <c r="AN429" s="1051"/>
      <c r="AO429" s="1051"/>
      <c r="AP429" s="1052"/>
      <c r="AQ429" s="1051"/>
      <c r="AR429" s="1051"/>
      <c r="AS429" s="1052"/>
      <c r="AT429" s="1051"/>
      <c r="AU429" s="1051"/>
      <c r="AV429" s="1052"/>
      <c r="AW429" s="1051"/>
      <c r="AX429" s="1051"/>
      <c r="AY429" s="1053"/>
      <c r="AZ429" s="1051"/>
      <c r="BA429" s="1051"/>
      <c r="BB429" s="1053"/>
      <c r="BC429" s="1051"/>
      <c r="BD429" s="1051"/>
      <c r="BE429" s="1053"/>
      <c r="BF429" s="1051"/>
      <c r="BG429" s="1051"/>
      <c r="BH429" s="1053"/>
      <c r="BI429" s="1052"/>
      <c r="BJ429" s="1052"/>
      <c r="BK429" s="1052"/>
      <c r="BL429" s="1052"/>
      <c r="BM429" s="1052"/>
      <c r="BN429" s="1054"/>
      <c r="BO429" s="1076">
        <f t="shared" si="17"/>
        <v>0</v>
      </c>
      <c r="BP429" s="1051"/>
      <c r="BQ429" s="1052"/>
      <c r="BR429" s="1054"/>
      <c r="BS429" s="1053"/>
      <c r="BT429" s="1051"/>
      <c r="BU429" s="1051"/>
      <c r="BV429" s="1051"/>
      <c r="BW429" s="1052"/>
      <c r="BX429" s="1052"/>
      <c r="BY429" s="1052"/>
      <c r="BZ429" s="1052"/>
      <c r="CA429" s="1052"/>
      <c r="CB429" s="1053"/>
      <c r="CC429" s="1053"/>
      <c r="CD429" s="1053"/>
      <c r="CE429" s="1053"/>
      <c r="CF429" s="1053"/>
      <c r="CG429" s="1053"/>
      <c r="CH429" s="1053"/>
      <c r="CI429" s="1123"/>
      <c r="CJ429" s="1123"/>
      <c r="CK429" s="1123"/>
      <c r="CL429" s="1123"/>
      <c r="CM429" s="1123"/>
      <c r="CN429" s="1123"/>
      <c r="CO429" s="1123"/>
      <c r="CP429" s="1123"/>
      <c r="CQ429" s="1123"/>
      <c r="CR429" s="1123"/>
      <c r="CS429" s="1123"/>
      <c r="CT429" s="1123"/>
      <c r="CU429" s="1123"/>
      <c r="CV429" s="1123"/>
      <c r="CW429" s="1123"/>
      <c r="CX429" s="1123"/>
      <c r="CY429" s="1123"/>
      <c r="CZ429" s="1114"/>
      <c r="DA429" s="1114"/>
      <c r="DB429" s="1114"/>
      <c r="DC429" s="1114"/>
      <c r="DD429" s="1114"/>
      <c r="DE429" s="1114"/>
      <c r="DF429" s="1114"/>
      <c r="DG429" s="1114"/>
      <c r="DH429" s="1114"/>
      <c r="DI429" s="1114"/>
      <c r="DJ429" s="1114"/>
      <c r="DK429" s="1114"/>
      <c r="DL429" s="1114"/>
      <c r="DM429" s="1114"/>
      <c r="DN429" s="1114"/>
      <c r="DO429" s="1114"/>
      <c r="DP429" s="1114"/>
      <c r="DQ429" s="1114"/>
      <c r="DR429" s="1114"/>
      <c r="DS429" s="1114"/>
      <c r="DT429" s="1114"/>
      <c r="DU429" s="1114"/>
      <c r="DV429" s="1115"/>
      <c r="DW429" s="1116"/>
      <c r="DX429" s="1116"/>
      <c r="DY429" s="1116"/>
      <c r="DZ429" s="1116"/>
      <c r="EA429" s="1116"/>
      <c r="EB429" s="1116"/>
      <c r="EC429" s="1116"/>
      <c r="ED429" s="1116"/>
      <c r="EE429" s="1116"/>
      <c r="EF429" s="1116"/>
      <c r="EG429" s="1116"/>
      <c r="EH429" s="1116"/>
      <c r="EI429" s="1116"/>
      <c r="EJ429" s="1116"/>
      <c r="EK429" s="1116"/>
      <c r="EL429" s="1116"/>
      <c r="EM429" s="1116"/>
      <c r="EN429" s="1116"/>
      <c r="EO429" s="1116"/>
      <c r="EP429" s="1116"/>
      <c r="EQ429" s="1116"/>
      <c r="ER429" s="1116"/>
      <c r="ES429" s="1116"/>
    </row>
    <row r="430" spans="1:149" ht="15" customHeight="1">
      <c r="A430" s="1185">
        <v>415</v>
      </c>
      <c r="B430" s="1041"/>
      <c r="C430" s="1050"/>
      <c r="D430" s="1050"/>
      <c r="E430" s="1050"/>
      <c r="F430" s="1049"/>
      <c r="G430" s="1457"/>
      <c r="H430" s="1049"/>
      <c r="I430" s="1049"/>
      <c r="J430" s="1050"/>
      <c r="K430" s="1050"/>
      <c r="L430" s="1043"/>
      <c r="M430" s="1051"/>
      <c r="N430" s="1051"/>
      <c r="O430" s="1052"/>
      <c r="P430" s="1051"/>
      <c r="Q430" s="1051"/>
      <c r="R430" s="1052"/>
      <c r="S430" s="1051"/>
      <c r="T430" s="1051"/>
      <c r="U430" s="1052"/>
      <c r="V430" s="1051"/>
      <c r="W430" s="1051"/>
      <c r="X430" s="1052"/>
      <c r="Y430" s="1053"/>
      <c r="Z430" s="1051"/>
      <c r="AA430" s="1051"/>
      <c r="AB430" s="1052"/>
      <c r="AC430" s="1051"/>
      <c r="AD430" s="1051"/>
      <c r="AE430" s="1052"/>
      <c r="AF430" s="1051"/>
      <c r="AG430" s="1051"/>
      <c r="AH430" s="1051"/>
      <c r="AI430" s="1051"/>
      <c r="AJ430" s="1052"/>
      <c r="AK430" s="1051"/>
      <c r="AL430" s="1051"/>
      <c r="AM430" s="1052"/>
      <c r="AN430" s="1051"/>
      <c r="AO430" s="1051"/>
      <c r="AP430" s="1052"/>
      <c r="AQ430" s="1051"/>
      <c r="AR430" s="1051"/>
      <c r="AS430" s="1052"/>
      <c r="AT430" s="1051"/>
      <c r="AU430" s="1051"/>
      <c r="AV430" s="1052"/>
      <c r="AW430" s="1051"/>
      <c r="AX430" s="1051"/>
      <c r="AY430" s="1053"/>
      <c r="AZ430" s="1051"/>
      <c r="BA430" s="1051"/>
      <c r="BB430" s="1053"/>
      <c r="BC430" s="1051"/>
      <c r="BD430" s="1051"/>
      <c r="BE430" s="1053"/>
      <c r="BF430" s="1051"/>
      <c r="BG430" s="1051"/>
      <c r="BH430" s="1053"/>
      <c r="BI430" s="1052"/>
      <c r="BJ430" s="1052"/>
      <c r="BK430" s="1052"/>
      <c r="BL430" s="1052"/>
      <c r="BM430" s="1052"/>
      <c r="BN430" s="1054"/>
      <c r="BO430" s="1076">
        <f t="shared" si="17"/>
        <v>0</v>
      </c>
      <c r="BP430" s="1051"/>
      <c r="BQ430" s="1052"/>
      <c r="BR430" s="1054"/>
      <c r="BS430" s="1053"/>
      <c r="BT430" s="1051"/>
      <c r="BU430" s="1051"/>
      <c r="BV430" s="1051"/>
      <c r="BW430" s="1052"/>
      <c r="BX430" s="1052"/>
      <c r="BY430" s="1052"/>
      <c r="BZ430" s="1052"/>
      <c r="CA430" s="1052"/>
      <c r="CB430" s="1053"/>
      <c r="CC430" s="1053"/>
      <c r="CD430" s="1053"/>
      <c r="CE430" s="1053"/>
      <c r="CF430" s="1053"/>
      <c r="CG430" s="1053"/>
      <c r="CH430" s="1053"/>
      <c r="CI430" s="1123"/>
      <c r="CJ430" s="1123"/>
      <c r="CK430" s="1123"/>
      <c r="CL430" s="1123"/>
      <c r="CM430" s="1123"/>
      <c r="CN430" s="1123"/>
      <c r="CO430" s="1123"/>
      <c r="CP430" s="1123"/>
      <c r="CQ430" s="1123"/>
      <c r="CR430" s="1123"/>
      <c r="CS430" s="1123"/>
      <c r="CT430" s="1123"/>
      <c r="CU430" s="1123"/>
      <c r="CV430" s="1123"/>
      <c r="CW430" s="1123"/>
      <c r="CX430" s="1123"/>
      <c r="CY430" s="1123"/>
      <c r="CZ430" s="1114"/>
      <c r="DA430" s="1114"/>
      <c r="DB430" s="1114"/>
      <c r="DC430" s="1114"/>
      <c r="DD430" s="1114"/>
      <c r="DE430" s="1114"/>
      <c r="DF430" s="1114"/>
      <c r="DG430" s="1114"/>
      <c r="DH430" s="1114"/>
      <c r="DI430" s="1114"/>
      <c r="DJ430" s="1114"/>
      <c r="DK430" s="1114"/>
      <c r="DL430" s="1114"/>
      <c r="DM430" s="1114"/>
      <c r="DN430" s="1114"/>
      <c r="DO430" s="1114"/>
      <c r="DP430" s="1114"/>
      <c r="DQ430" s="1114"/>
      <c r="DR430" s="1114"/>
      <c r="DS430" s="1114"/>
      <c r="DT430" s="1114"/>
      <c r="DU430" s="1114"/>
      <c r="DV430" s="1115"/>
      <c r="DW430" s="1116"/>
      <c r="DX430" s="1116"/>
      <c r="DY430" s="1116"/>
      <c r="DZ430" s="1116"/>
      <c r="EA430" s="1116"/>
      <c r="EB430" s="1116"/>
      <c r="EC430" s="1116"/>
      <c r="ED430" s="1116"/>
      <c r="EE430" s="1116"/>
      <c r="EF430" s="1116"/>
      <c r="EG430" s="1116"/>
      <c r="EH430" s="1116"/>
      <c r="EI430" s="1116"/>
      <c r="EJ430" s="1116"/>
      <c r="EK430" s="1116"/>
      <c r="EL430" s="1116"/>
      <c r="EM430" s="1116"/>
      <c r="EN430" s="1116"/>
      <c r="EO430" s="1116"/>
      <c r="EP430" s="1116"/>
      <c r="EQ430" s="1116"/>
      <c r="ER430" s="1116"/>
      <c r="ES430" s="1116"/>
    </row>
    <row r="431" spans="1:149" ht="15" customHeight="1">
      <c r="A431" s="1185">
        <v>416</v>
      </c>
      <c r="B431" s="1041"/>
      <c r="C431" s="1050"/>
      <c r="D431" s="1050"/>
      <c r="E431" s="1050"/>
      <c r="F431" s="1049"/>
      <c r="G431" s="1457"/>
      <c r="H431" s="1049"/>
      <c r="I431" s="1049"/>
      <c r="J431" s="1050"/>
      <c r="K431" s="1050"/>
      <c r="L431" s="1043"/>
      <c r="M431" s="1051"/>
      <c r="N431" s="1051"/>
      <c r="O431" s="1052"/>
      <c r="P431" s="1051"/>
      <c r="Q431" s="1051"/>
      <c r="R431" s="1052"/>
      <c r="S431" s="1051"/>
      <c r="T431" s="1051"/>
      <c r="U431" s="1052"/>
      <c r="V431" s="1051"/>
      <c r="W431" s="1051"/>
      <c r="X431" s="1052"/>
      <c r="Y431" s="1053"/>
      <c r="Z431" s="1051"/>
      <c r="AA431" s="1051"/>
      <c r="AB431" s="1052"/>
      <c r="AC431" s="1051"/>
      <c r="AD431" s="1051"/>
      <c r="AE431" s="1052"/>
      <c r="AF431" s="1051"/>
      <c r="AG431" s="1051"/>
      <c r="AH431" s="1051"/>
      <c r="AI431" s="1051"/>
      <c r="AJ431" s="1052"/>
      <c r="AK431" s="1051"/>
      <c r="AL431" s="1051"/>
      <c r="AM431" s="1052"/>
      <c r="AN431" s="1051"/>
      <c r="AO431" s="1051"/>
      <c r="AP431" s="1052"/>
      <c r="AQ431" s="1051"/>
      <c r="AR431" s="1051"/>
      <c r="AS431" s="1052"/>
      <c r="AT431" s="1051"/>
      <c r="AU431" s="1051"/>
      <c r="AV431" s="1052"/>
      <c r="AW431" s="1051"/>
      <c r="AX431" s="1051"/>
      <c r="AY431" s="1053"/>
      <c r="AZ431" s="1051"/>
      <c r="BA431" s="1051"/>
      <c r="BB431" s="1053"/>
      <c r="BC431" s="1051"/>
      <c r="BD431" s="1051"/>
      <c r="BE431" s="1053"/>
      <c r="BF431" s="1051"/>
      <c r="BG431" s="1051"/>
      <c r="BH431" s="1053"/>
      <c r="BI431" s="1052"/>
      <c r="BJ431" s="1052"/>
      <c r="BK431" s="1052"/>
      <c r="BL431" s="1052"/>
      <c r="BM431" s="1052"/>
      <c r="BN431" s="1054"/>
      <c r="BO431" s="1076">
        <f t="shared" si="17"/>
        <v>0</v>
      </c>
      <c r="BP431" s="1051"/>
      <c r="BQ431" s="1052"/>
      <c r="BR431" s="1054"/>
      <c r="BS431" s="1053"/>
      <c r="BT431" s="1051"/>
      <c r="BU431" s="1051"/>
      <c r="BV431" s="1051"/>
      <c r="BW431" s="1052"/>
      <c r="BX431" s="1052"/>
      <c r="BY431" s="1052"/>
      <c r="BZ431" s="1052"/>
      <c r="CA431" s="1052"/>
      <c r="CB431" s="1053"/>
      <c r="CC431" s="1053"/>
      <c r="CD431" s="1053"/>
      <c r="CE431" s="1053"/>
      <c r="CF431" s="1053"/>
      <c r="CG431" s="1053"/>
      <c r="CH431" s="1053"/>
      <c r="CI431" s="1123"/>
      <c r="CJ431" s="1123"/>
      <c r="CK431" s="1123"/>
      <c r="CL431" s="1123"/>
      <c r="CM431" s="1123"/>
      <c r="CN431" s="1123"/>
      <c r="CO431" s="1123"/>
      <c r="CP431" s="1123"/>
      <c r="CQ431" s="1123"/>
      <c r="CR431" s="1123"/>
      <c r="CS431" s="1123"/>
      <c r="CT431" s="1123"/>
      <c r="CU431" s="1123"/>
      <c r="CV431" s="1123"/>
      <c r="CW431" s="1123"/>
      <c r="CX431" s="1123"/>
      <c r="CY431" s="1123"/>
      <c r="CZ431" s="1114"/>
      <c r="DA431" s="1114"/>
      <c r="DB431" s="1114"/>
      <c r="DC431" s="1114"/>
      <c r="DD431" s="1114"/>
      <c r="DE431" s="1114"/>
      <c r="DF431" s="1114"/>
      <c r="DG431" s="1114"/>
      <c r="DH431" s="1114"/>
      <c r="DI431" s="1114"/>
      <c r="DJ431" s="1114"/>
      <c r="DK431" s="1114"/>
      <c r="DL431" s="1114"/>
      <c r="DM431" s="1114"/>
      <c r="DN431" s="1114"/>
      <c r="DO431" s="1114"/>
      <c r="DP431" s="1114"/>
      <c r="DQ431" s="1114"/>
      <c r="DR431" s="1114"/>
      <c r="DS431" s="1114"/>
      <c r="DT431" s="1114"/>
      <c r="DU431" s="1114"/>
      <c r="DV431" s="1115"/>
      <c r="DW431" s="1116"/>
      <c r="DX431" s="1116"/>
      <c r="DY431" s="1116"/>
      <c r="DZ431" s="1116"/>
      <c r="EA431" s="1116"/>
      <c r="EB431" s="1116"/>
      <c r="EC431" s="1116"/>
      <c r="ED431" s="1116"/>
      <c r="EE431" s="1116"/>
      <c r="EF431" s="1116"/>
      <c r="EG431" s="1116"/>
      <c r="EH431" s="1116"/>
      <c r="EI431" s="1116"/>
      <c r="EJ431" s="1116"/>
      <c r="EK431" s="1116"/>
      <c r="EL431" s="1116"/>
      <c r="EM431" s="1116"/>
      <c r="EN431" s="1116"/>
      <c r="EO431" s="1116"/>
      <c r="EP431" s="1116"/>
      <c r="EQ431" s="1116"/>
      <c r="ER431" s="1116"/>
      <c r="ES431" s="1116"/>
    </row>
    <row r="432" spans="1:149" ht="15" customHeight="1">
      <c r="A432" s="1185">
        <v>417</v>
      </c>
      <c r="B432" s="1041"/>
      <c r="C432" s="1050"/>
      <c r="D432" s="1050"/>
      <c r="E432" s="1050"/>
      <c r="F432" s="1049"/>
      <c r="G432" s="1457"/>
      <c r="H432" s="1049"/>
      <c r="I432" s="1049"/>
      <c r="J432" s="1050"/>
      <c r="K432" s="1050"/>
      <c r="L432" s="1043"/>
      <c r="M432" s="1051"/>
      <c r="N432" s="1051"/>
      <c r="O432" s="1052"/>
      <c r="P432" s="1051"/>
      <c r="Q432" s="1051"/>
      <c r="R432" s="1052"/>
      <c r="S432" s="1051"/>
      <c r="T432" s="1051"/>
      <c r="U432" s="1052"/>
      <c r="V432" s="1051"/>
      <c r="W432" s="1051"/>
      <c r="X432" s="1052"/>
      <c r="Y432" s="1053"/>
      <c r="Z432" s="1051"/>
      <c r="AA432" s="1051"/>
      <c r="AB432" s="1052"/>
      <c r="AC432" s="1051"/>
      <c r="AD432" s="1051"/>
      <c r="AE432" s="1052"/>
      <c r="AF432" s="1051"/>
      <c r="AG432" s="1051"/>
      <c r="AH432" s="1051"/>
      <c r="AI432" s="1051"/>
      <c r="AJ432" s="1052"/>
      <c r="AK432" s="1051"/>
      <c r="AL432" s="1051"/>
      <c r="AM432" s="1052"/>
      <c r="AN432" s="1051"/>
      <c r="AO432" s="1051"/>
      <c r="AP432" s="1052"/>
      <c r="AQ432" s="1051"/>
      <c r="AR432" s="1051"/>
      <c r="AS432" s="1052"/>
      <c r="AT432" s="1051"/>
      <c r="AU432" s="1051"/>
      <c r="AV432" s="1052"/>
      <c r="AW432" s="1051"/>
      <c r="AX432" s="1051"/>
      <c r="AY432" s="1053"/>
      <c r="AZ432" s="1051"/>
      <c r="BA432" s="1051"/>
      <c r="BB432" s="1053"/>
      <c r="BC432" s="1051"/>
      <c r="BD432" s="1051"/>
      <c r="BE432" s="1053"/>
      <c r="BF432" s="1051"/>
      <c r="BG432" s="1051"/>
      <c r="BH432" s="1053"/>
      <c r="BI432" s="1052"/>
      <c r="BJ432" s="1052"/>
      <c r="BK432" s="1052"/>
      <c r="BL432" s="1052"/>
      <c r="BM432" s="1052"/>
      <c r="BN432" s="1054"/>
      <c r="BO432" s="1076">
        <f t="shared" si="17"/>
        <v>0</v>
      </c>
      <c r="BP432" s="1051"/>
      <c r="BQ432" s="1052"/>
      <c r="BR432" s="1054"/>
      <c r="BS432" s="1053"/>
      <c r="BT432" s="1051"/>
      <c r="BU432" s="1051"/>
      <c r="BV432" s="1051"/>
      <c r="BW432" s="1052"/>
      <c r="BX432" s="1052"/>
      <c r="BY432" s="1052"/>
      <c r="BZ432" s="1052"/>
      <c r="CA432" s="1052"/>
      <c r="CB432" s="1053"/>
      <c r="CC432" s="1053"/>
      <c r="CD432" s="1053"/>
      <c r="CE432" s="1053"/>
      <c r="CF432" s="1053"/>
      <c r="CG432" s="1053"/>
      <c r="CH432" s="1053"/>
      <c r="CI432" s="1123"/>
      <c r="CJ432" s="1123"/>
      <c r="CK432" s="1123"/>
      <c r="CL432" s="1123"/>
      <c r="CM432" s="1123"/>
      <c r="CN432" s="1123"/>
      <c r="CO432" s="1123"/>
      <c r="CP432" s="1123"/>
      <c r="CQ432" s="1123"/>
      <c r="CR432" s="1123"/>
      <c r="CS432" s="1123"/>
      <c r="CT432" s="1123"/>
      <c r="CU432" s="1123"/>
      <c r="CV432" s="1123"/>
      <c r="CW432" s="1123"/>
      <c r="CX432" s="1123"/>
      <c r="CY432" s="1123"/>
      <c r="CZ432" s="1114"/>
      <c r="DA432" s="1114"/>
      <c r="DB432" s="1114"/>
      <c r="DC432" s="1114"/>
      <c r="DD432" s="1114"/>
      <c r="DE432" s="1114"/>
      <c r="DF432" s="1114"/>
      <c r="DG432" s="1114"/>
      <c r="DH432" s="1114"/>
      <c r="DI432" s="1114"/>
      <c r="DJ432" s="1114"/>
      <c r="DK432" s="1114"/>
      <c r="DL432" s="1114"/>
      <c r="DM432" s="1114"/>
      <c r="DN432" s="1114"/>
      <c r="DO432" s="1114"/>
      <c r="DP432" s="1114"/>
      <c r="DQ432" s="1114"/>
      <c r="DR432" s="1114"/>
      <c r="DS432" s="1114"/>
      <c r="DT432" s="1114"/>
      <c r="DU432" s="1114"/>
      <c r="DV432" s="1115"/>
      <c r="DW432" s="1116"/>
      <c r="DX432" s="1116"/>
      <c r="DY432" s="1116"/>
      <c r="DZ432" s="1116"/>
      <c r="EA432" s="1116"/>
      <c r="EB432" s="1116"/>
      <c r="EC432" s="1116"/>
      <c r="ED432" s="1116"/>
      <c r="EE432" s="1116"/>
      <c r="EF432" s="1116"/>
      <c r="EG432" s="1116"/>
      <c r="EH432" s="1116"/>
      <c r="EI432" s="1116"/>
      <c r="EJ432" s="1116"/>
      <c r="EK432" s="1116"/>
      <c r="EL432" s="1116"/>
      <c r="EM432" s="1116"/>
      <c r="EN432" s="1116"/>
      <c r="EO432" s="1116"/>
      <c r="EP432" s="1116"/>
      <c r="EQ432" s="1116"/>
      <c r="ER432" s="1116"/>
      <c r="ES432" s="1116"/>
    </row>
    <row r="433" spans="1:149" ht="15" customHeight="1">
      <c r="A433" s="1185">
        <v>418</v>
      </c>
      <c r="B433" s="1041"/>
      <c r="C433" s="1050"/>
      <c r="D433" s="1050"/>
      <c r="E433" s="1050"/>
      <c r="F433" s="1049"/>
      <c r="G433" s="1457"/>
      <c r="H433" s="1049"/>
      <c r="I433" s="1049"/>
      <c r="J433" s="1050"/>
      <c r="K433" s="1050"/>
      <c r="L433" s="1043"/>
      <c r="M433" s="1051"/>
      <c r="N433" s="1051"/>
      <c r="O433" s="1052"/>
      <c r="P433" s="1051"/>
      <c r="Q433" s="1051"/>
      <c r="R433" s="1052"/>
      <c r="S433" s="1051"/>
      <c r="T433" s="1051"/>
      <c r="U433" s="1052"/>
      <c r="V433" s="1051"/>
      <c r="W433" s="1051"/>
      <c r="X433" s="1052"/>
      <c r="Y433" s="1053"/>
      <c r="Z433" s="1051"/>
      <c r="AA433" s="1051"/>
      <c r="AB433" s="1052"/>
      <c r="AC433" s="1051"/>
      <c r="AD433" s="1051"/>
      <c r="AE433" s="1052"/>
      <c r="AF433" s="1051"/>
      <c r="AG433" s="1051"/>
      <c r="AH433" s="1051"/>
      <c r="AI433" s="1051"/>
      <c r="AJ433" s="1052"/>
      <c r="AK433" s="1051"/>
      <c r="AL433" s="1051"/>
      <c r="AM433" s="1052"/>
      <c r="AN433" s="1051"/>
      <c r="AO433" s="1051"/>
      <c r="AP433" s="1052"/>
      <c r="AQ433" s="1051"/>
      <c r="AR433" s="1051"/>
      <c r="AS433" s="1052"/>
      <c r="AT433" s="1051"/>
      <c r="AU433" s="1051"/>
      <c r="AV433" s="1052"/>
      <c r="AW433" s="1051"/>
      <c r="AX433" s="1051"/>
      <c r="AY433" s="1053"/>
      <c r="AZ433" s="1051"/>
      <c r="BA433" s="1051"/>
      <c r="BB433" s="1053"/>
      <c r="BC433" s="1051"/>
      <c r="BD433" s="1051"/>
      <c r="BE433" s="1053"/>
      <c r="BF433" s="1051"/>
      <c r="BG433" s="1051"/>
      <c r="BH433" s="1053"/>
      <c r="BI433" s="1052"/>
      <c r="BJ433" s="1052"/>
      <c r="BK433" s="1052"/>
      <c r="BL433" s="1052"/>
      <c r="BM433" s="1052"/>
      <c r="BN433" s="1054"/>
      <c r="BO433" s="1076">
        <f t="shared" si="17"/>
        <v>0</v>
      </c>
      <c r="BP433" s="1051"/>
      <c r="BQ433" s="1052"/>
      <c r="BR433" s="1054"/>
      <c r="BS433" s="1053"/>
      <c r="BT433" s="1051"/>
      <c r="BU433" s="1051"/>
      <c r="BV433" s="1051"/>
      <c r="BW433" s="1052"/>
      <c r="BX433" s="1052"/>
      <c r="BY433" s="1052"/>
      <c r="BZ433" s="1052"/>
      <c r="CA433" s="1052"/>
      <c r="CB433" s="1053"/>
      <c r="CC433" s="1053"/>
      <c r="CD433" s="1053"/>
      <c r="CE433" s="1053"/>
      <c r="CF433" s="1053"/>
      <c r="CG433" s="1053"/>
      <c r="CH433" s="1053"/>
      <c r="CI433" s="1123"/>
      <c r="CJ433" s="1123"/>
      <c r="CK433" s="1123"/>
      <c r="CL433" s="1123"/>
      <c r="CM433" s="1123"/>
      <c r="CN433" s="1123"/>
      <c r="CO433" s="1123"/>
      <c r="CP433" s="1123"/>
      <c r="CQ433" s="1123"/>
      <c r="CR433" s="1123"/>
      <c r="CS433" s="1123"/>
      <c r="CT433" s="1123"/>
      <c r="CU433" s="1123"/>
      <c r="CV433" s="1123"/>
      <c r="CW433" s="1123"/>
      <c r="CX433" s="1123"/>
      <c r="CY433" s="1123"/>
      <c r="CZ433" s="1114"/>
      <c r="DA433" s="1114"/>
      <c r="DB433" s="1114"/>
      <c r="DC433" s="1114"/>
      <c r="DD433" s="1114"/>
      <c r="DE433" s="1114"/>
      <c r="DF433" s="1114"/>
      <c r="DG433" s="1114"/>
      <c r="DH433" s="1114"/>
      <c r="DI433" s="1114"/>
      <c r="DJ433" s="1114"/>
      <c r="DK433" s="1114"/>
      <c r="DL433" s="1114"/>
      <c r="DM433" s="1114"/>
      <c r="DN433" s="1114"/>
      <c r="DO433" s="1114"/>
      <c r="DP433" s="1114"/>
      <c r="DQ433" s="1114"/>
      <c r="DR433" s="1114"/>
      <c r="DS433" s="1114"/>
      <c r="DT433" s="1114"/>
      <c r="DU433" s="1114"/>
      <c r="DV433" s="1115"/>
      <c r="DW433" s="1116"/>
      <c r="DX433" s="1116"/>
      <c r="DY433" s="1116"/>
      <c r="DZ433" s="1116"/>
      <c r="EA433" s="1116"/>
      <c r="EB433" s="1116"/>
      <c r="EC433" s="1116"/>
      <c r="ED433" s="1116"/>
      <c r="EE433" s="1116"/>
      <c r="EF433" s="1116"/>
      <c r="EG433" s="1116"/>
      <c r="EH433" s="1116"/>
      <c r="EI433" s="1116"/>
      <c r="EJ433" s="1116"/>
      <c r="EK433" s="1116"/>
      <c r="EL433" s="1116"/>
      <c r="EM433" s="1116"/>
      <c r="EN433" s="1116"/>
      <c r="EO433" s="1116"/>
      <c r="EP433" s="1116"/>
      <c r="EQ433" s="1116"/>
      <c r="ER433" s="1116"/>
      <c r="ES433" s="1116"/>
    </row>
    <row r="434" spans="1:149" ht="15" customHeight="1">
      <c r="A434" s="1185">
        <v>419</v>
      </c>
      <c r="B434" s="1041"/>
      <c r="C434" s="1050"/>
      <c r="D434" s="1050"/>
      <c r="E434" s="1050"/>
      <c r="F434" s="1049"/>
      <c r="G434" s="1457"/>
      <c r="H434" s="1049"/>
      <c r="I434" s="1049"/>
      <c r="J434" s="1050"/>
      <c r="K434" s="1050"/>
      <c r="L434" s="1043"/>
      <c r="M434" s="1051"/>
      <c r="N434" s="1051"/>
      <c r="O434" s="1052"/>
      <c r="P434" s="1051"/>
      <c r="Q434" s="1051"/>
      <c r="R434" s="1052"/>
      <c r="S434" s="1051"/>
      <c r="T434" s="1051"/>
      <c r="U434" s="1052"/>
      <c r="V434" s="1051"/>
      <c r="W434" s="1051"/>
      <c r="X434" s="1052"/>
      <c r="Y434" s="1053"/>
      <c r="Z434" s="1051"/>
      <c r="AA434" s="1051"/>
      <c r="AB434" s="1052"/>
      <c r="AC434" s="1051"/>
      <c r="AD434" s="1051"/>
      <c r="AE434" s="1052"/>
      <c r="AF434" s="1051"/>
      <c r="AG434" s="1051"/>
      <c r="AH434" s="1051"/>
      <c r="AI434" s="1051"/>
      <c r="AJ434" s="1052"/>
      <c r="AK434" s="1051"/>
      <c r="AL434" s="1051"/>
      <c r="AM434" s="1052"/>
      <c r="AN434" s="1051"/>
      <c r="AO434" s="1051"/>
      <c r="AP434" s="1052"/>
      <c r="AQ434" s="1051"/>
      <c r="AR434" s="1051"/>
      <c r="AS434" s="1052"/>
      <c r="AT434" s="1051"/>
      <c r="AU434" s="1051"/>
      <c r="AV434" s="1052"/>
      <c r="AW434" s="1051"/>
      <c r="AX434" s="1051"/>
      <c r="AY434" s="1053"/>
      <c r="AZ434" s="1051"/>
      <c r="BA434" s="1051"/>
      <c r="BB434" s="1053"/>
      <c r="BC434" s="1051"/>
      <c r="BD434" s="1051"/>
      <c r="BE434" s="1053"/>
      <c r="BF434" s="1051"/>
      <c r="BG434" s="1051"/>
      <c r="BH434" s="1053"/>
      <c r="BI434" s="1052"/>
      <c r="BJ434" s="1052"/>
      <c r="BK434" s="1052"/>
      <c r="BL434" s="1052"/>
      <c r="BM434" s="1052"/>
      <c r="BN434" s="1054"/>
      <c r="BO434" s="1076">
        <f t="shared" si="17"/>
        <v>0</v>
      </c>
      <c r="BP434" s="1051"/>
      <c r="BQ434" s="1052"/>
      <c r="BR434" s="1054"/>
      <c r="BS434" s="1053"/>
      <c r="BT434" s="1051"/>
      <c r="BU434" s="1051"/>
      <c r="BV434" s="1051"/>
      <c r="BW434" s="1052"/>
      <c r="BX434" s="1052"/>
      <c r="BY434" s="1052"/>
      <c r="BZ434" s="1052"/>
      <c r="CA434" s="1052"/>
      <c r="CB434" s="1053"/>
      <c r="CC434" s="1053"/>
      <c r="CD434" s="1053"/>
      <c r="CE434" s="1053"/>
      <c r="CF434" s="1053"/>
      <c r="CG434" s="1053"/>
      <c r="CH434" s="1053"/>
      <c r="CI434" s="1123"/>
      <c r="CJ434" s="1123"/>
      <c r="CK434" s="1123"/>
      <c r="CL434" s="1123"/>
      <c r="CM434" s="1123"/>
      <c r="CN434" s="1123"/>
      <c r="CO434" s="1123"/>
      <c r="CP434" s="1123"/>
      <c r="CQ434" s="1123"/>
      <c r="CR434" s="1123"/>
      <c r="CS434" s="1123"/>
      <c r="CT434" s="1123"/>
      <c r="CU434" s="1123"/>
      <c r="CV434" s="1123"/>
      <c r="CW434" s="1123"/>
      <c r="CX434" s="1123"/>
      <c r="CY434" s="1123"/>
      <c r="CZ434" s="1114"/>
      <c r="DA434" s="1114"/>
      <c r="DB434" s="1114"/>
      <c r="DC434" s="1114"/>
      <c r="DD434" s="1114"/>
      <c r="DE434" s="1114"/>
      <c r="DF434" s="1114"/>
      <c r="DG434" s="1114"/>
      <c r="DH434" s="1114"/>
      <c r="DI434" s="1114"/>
      <c r="DJ434" s="1114"/>
      <c r="DK434" s="1114"/>
      <c r="DL434" s="1114"/>
      <c r="DM434" s="1114"/>
      <c r="DN434" s="1114"/>
      <c r="DO434" s="1114"/>
      <c r="DP434" s="1114"/>
      <c r="DQ434" s="1114"/>
      <c r="DR434" s="1114"/>
      <c r="DS434" s="1114"/>
      <c r="DT434" s="1114"/>
      <c r="DU434" s="1114"/>
      <c r="DV434" s="1115"/>
      <c r="DW434" s="1116"/>
      <c r="DX434" s="1116"/>
      <c r="DY434" s="1116"/>
      <c r="DZ434" s="1116"/>
      <c r="EA434" s="1116"/>
      <c r="EB434" s="1116"/>
      <c r="EC434" s="1116"/>
      <c r="ED434" s="1116"/>
      <c r="EE434" s="1116"/>
      <c r="EF434" s="1116"/>
      <c r="EG434" s="1116"/>
      <c r="EH434" s="1116"/>
      <c r="EI434" s="1116"/>
      <c r="EJ434" s="1116"/>
      <c r="EK434" s="1116"/>
      <c r="EL434" s="1116"/>
      <c r="EM434" s="1116"/>
      <c r="EN434" s="1116"/>
      <c r="EO434" s="1116"/>
      <c r="EP434" s="1116"/>
      <c r="EQ434" s="1116"/>
      <c r="ER434" s="1116"/>
      <c r="ES434" s="1116"/>
    </row>
    <row r="435" spans="1:149" ht="15" customHeight="1">
      <c r="A435" s="1185">
        <v>420</v>
      </c>
      <c r="B435" s="1041"/>
      <c r="C435" s="1050"/>
      <c r="D435" s="1050"/>
      <c r="E435" s="1050"/>
      <c r="F435" s="1049"/>
      <c r="G435" s="1457"/>
      <c r="H435" s="1049"/>
      <c r="I435" s="1049"/>
      <c r="J435" s="1050"/>
      <c r="K435" s="1050"/>
      <c r="L435" s="1043"/>
      <c r="M435" s="1051"/>
      <c r="N435" s="1051"/>
      <c r="O435" s="1052"/>
      <c r="P435" s="1051"/>
      <c r="Q435" s="1051"/>
      <c r="R435" s="1052"/>
      <c r="S435" s="1051"/>
      <c r="T435" s="1051"/>
      <c r="U435" s="1052"/>
      <c r="V435" s="1051"/>
      <c r="W435" s="1051"/>
      <c r="X435" s="1052"/>
      <c r="Y435" s="1053"/>
      <c r="Z435" s="1051"/>
      <c r="AA435" s="1051"/>
      <c r="AB435" s="1052"/>
      <c r="AC435" s="1051"/>
      <c r="AD435" s="1051"/>
      <c r="AE435" s="1052"/>
      <c r="AF435" s="1051"/>
      <c r="AG435" s="1051"/>
      <c r="AH435" s="1051"/>
      <c r="AI435" s="1051"/>
      <c r="AJ435" s="1052"/>
      <c r="AK435" s="1051"/>
      <c r="AL435" s="1051"/>
      <c r="AM435" s="1052"/>
      <c r="AN435" s="1051"/>
      <c r="AO435" s="1051"/>
      <c r="AP435" s="1052"/>
      <c r="AQ435" s="1051"/>
      <c r="AR435" s="1051"/>
      <c r="AS435" s="1052"/>
      <c r="AT435" s="1051"/>
      <c r="AU435" s="1051"/>
      <c r="AV435" s="1052"/>
      <c r="AW435" s="1051"/>
      <c r="AX435" s="1051"/>
      <c r="AY435" s="1053"/>
      <c r="AZ435" s="1051"/>
      <c r="BA435" s="1051"/>
      <c r="BB435" s="1053"/>
      <c r="BC435" s="1051"/>
      <c r="BD435" s="1051"/>
      <c r="BE435" s="1053"/>
      <c r="BF435" s="1051"/>
      <c r="BG435" s="1051"/>
      <c r="BH435" s="1053"/>
      <c r="BI435" s="1052"/>
      <c r="BJ435" s="1052"/>
      <c r="BK435" s="1052"/>
      <c r="BL435" s="1052"/>
      <c r="BM435" s="1052"/>
      <c r="BN435" s="1054"/>
      <c r="BO435" s="1076">
        <f t="shared" si="17"/>
        <v>0</v>
      </c>
      <c r="BP435" s="1051"/>
      <c r="BQ435" s="1052"/>
      <c r="BR435" s="1054"/>
      <c r="BS435" s="1053"/>
      <c r="BT435" s="1051"/>
      <c r="BU435" s="1051"/>
      <c r="BV435" s="1051"/>
      <c r="BW435" s="1052"/>
      <c r="BX435" s="1052"/>
      <c r="BY435" s="1052"/>
      <c r="BZ435" s="1052"/>
      <c r="CA435" s="1052"/>
      <c r="CB435" s="1053"/>
      <c r="CC435" s="1053"/>
      <c r="CD435" s="1053"/>
      <c r="CE435" s="1053"/>
      <c r="CF435" s="1053"/>
      <c r="CG435" s="1053"/>
      <c r="CH435" s="1053"/>
      <c r="CI435" s="1123"/>
      <c r="CJ435" s="1123"/>
      <c r="CK435" s="1123"/>
      <c r="CL435" s="1123"/>
      <c r="CM435" s="1123"/>
      <c r="CN435" s="1123"/>
      <c r="CO435" s="1123"/>
      <c r="CP435" s="1123"/>
      <c r="CQ435" s="1123"/>
      <c r="CR435" s="1123"/>
      <c r="CS435" s="1123"/>
      <c r="CT435" s="1123"/>
      <c r="CU435" s="1123"/>
      <c r="CV435" s="1123"/>
      <c r="CW435" s="1123"/>
      <c r="CX435" s="1123"/>
      <c r="CY435" s="1123"/>
      <c r="CZ435" s="1114"/>
      <c r="DA435" s="1114"/>
      <c r="DB435" s="1114"/>
      <c r="DC435" s="1114"/>
      <c r="DD435" s="1114"/>
      <c r="DE435" s="1114"/>
      <c r="DF435" s="1114"/>
      <c r="DG435" s="1114"/>
      <c r="DH435" s="1114"/>
      <c r="DI435" s="1114"/>
      <c r="DJ435" s="1114"/>
      <c r="DK435" s="1114"/>
      <c r="DL435" s="1114"/>
      <c r="DM435" s="1114"/>
      <c r="DN435" s="1114"/>
      <c r="DO435" s="1114"/>
      <c r="DP435" s="1114"/>
      <c r="DQ435" s="1114"/>
      <c r="DR435" s="1114"/>
      <c r="DS435" s="1114"/>
      <c r="DT435" s="1114"/>
      <c r="DU435" s="1114"/>
      <c r="DV435" s="1115"/>
      <c r="DW435" s="1116"/>
      <c r="DX435" s="1116"/>
      <c r="DY435" s="1116"/>
      <c r="DZ435" s="1116"/>
      <c r="EA435" s="1116"/>
      <c r="EB435" s="1116"/>
      <c r="EC435" s="1116"/>
      <c r="ED435" s="1116"/>
      <c r="EE435" s="1116"/>
      <c r="EF435" s="1116"/>
      <c r="EG435" s="1116"/>
      <c r="EH435" s="1116"/>
      <c r="EI435" s="1116"/>
      <c r="EJ435" s="1116"/>
      <c r="EK435" s="1116"/>
      <c r="EL435" s="1116"/>
      <c r="EM435" s="1116"/>
      <c r="EN435" s="1116"/>
      <c r="EO435" s="1116"/>
      <c r="EP435" s="1116"/>
      <c r="EQ435" s="1116"/>
      <c r="ER435" s="1116"/>
      <c r="ES435" s="1116"/>
    </row>
    <row r="436" spans="1:149" ht="15" customHeight="1">
      <c r="A436" s="1185">
        <v>421</v>
      </c>
      <c r="B436" s="1041"/>
      <c r="C436" s="1050"/>
      <c r="D436" s="1050"/>
      <c r="E436" s="1050"/>
      <c r="F436" s="1049"/>
      <c r="G436" s="1457"/>
      <c r="H436" s="1049"/>
      <c r="I436" s="1049"/>
      <c r="J436" s="1050"/>
      <c r="K436" s="1050"/>
      <c r="L436" s="1043"/>
      <c r="M436" s="1051"/>
      <c r="N436" s="1051"/>
      <c r="O436" s="1052"/>
      <c r="P436" s="1051"/>
      <c r="Q436" s="1051"/>
      <c r="R436" s="1052"/>
      <c r="S436" s="1051"/>
      <c r="T436" s="1051"/>
      <c r="U436" s="1052"/>
      <c r="V436" s="1051"/>
      <c r="W436" s="1051"/>
      <c r="X436" s="1052"/>
      <c r="Y436" s="1053"/>
      <c r="Z436" s="1051"/>
      <c r="AA436" s="1051"/>
      <c r="AB436" s="1052"/>
      <c r="AC436" s="1051"/>
      <c r="AD436" s="1051"/>
      <c r="AE436" s="1052"/>
      <c r="AF436" s="1051"/>
      <c r="AG436" s="1051"/>
      <c r="AH436" s="1051"/>
      <c r="AI436" s="1051"/>
      <c r="AJ436" s="1052"/>
      <c r="AK436" s="1051"/>
      <c r="AL436" s="1051"/>
      <c r="AM436" s="1052"/>
      <c r="AN436" s="1051"/>
      <c r="AO436" s="1051"/>
      <c r="AP436" s="1052"/>
      <c r="AQ436" s="1051"/>
      <c r="AR436" s="1051"/>
      <c r="AS436" s="1052"/>
      <c r="AT436" s="1051"/>
      <c r="AU436" s="1051"/>
      <c r="AV436" s="1052"/>
      <c r="AW436" s="1051"/>
      <c r="AX436" s="1051"/>
      <c r="AY436" s="1053"/>
      <c r="AZ436" s="1051"/>
      <c r="BA436" s="1051"/>
      <c r="BB436" s="1053"/>
      <c r="BC436" s="1051"/>
      <c r="BD436" s="1051"/>
      <c r="BE436" s="1053"/>
      <c r="BF436" s="1051"/>
      <c r="BG436" s="1051"/>
      <c r="BH436" s="1053"/>
      <c r="BI436" s="1052"/>
      <c r="BJ436" s="1052"/>
      <c r="BK436" s="1052"/>
      <c r="BL436" s="1052"/>
      <c r="BM436" s="1052"/>
      <c r="BN436" s="1054"/>
      <c r="BO436" s="1076">
        <f t="shared" si="17"/>
        <v>0</v>
      </c>
      <c r="BP436" s="1051"/>
      <c r="BQ436" s="1052"/>
      <c r="BR436" s="1054"/>
      <c r="BS436" s="1053"/>
      <c r="BT436" s="1051"/>
      <c r="BU436" s="1051"/>
      <c r="BV436" s="1051"/>
      <c r="BW436" s="1052"/>
      <c r="BX436" s="1052"/>
      <c r="BY436" s="1052"/>
      <c r="BZ436" s="1052"/>
      <c r="CA436" s="1052"/>
      <c r="CB436" s="1053"/>
      <c r="CC436" s="1053"/>
      <c r="CD436" s="1053"/>
      <c r="CE436" s="1053"/>
      <c r="CF436" s="1053"/>
      <c r="CG436" s="1053"/>
      <c r="CH436" s="1053"/>
      <c r="CI436" s="1123"/>
      <c r="CJ436" s="1123"/>
      <c r="CK436" s="1123"/>
      <c r="CL436" s="1123"/>
      <c r="CM436" s="1123"/>
      <c r="CN436" s="1123"/>
      <c r="CO436" s="1123"/>
      <c r="CP436" s="1123"/>
      <c r="CQ436" s="1123"/>
      <c r="CR436" s="1123"/>
      <c r="CS436" s="1123"/>
      <c r="CT436" s="1123"/>
      <c r="CU436" s="1123"/>
      <c r="CV436" s="1123"/>
      <c r="CW436" s="1123"/>
      <c r="CX436" s="1123"/>
      <c r="CY436" s="1123"/>
      <c r="CZ436" s="1114"/>
      <c r="DA436" s="1114"/>
      <c r="DB436" s="1114"/>
      <c r="DC436" s="1114"/>
      <c r="DD436" s="1114"/>
      <c r="DE436" s="1114"/>
      <c r="DF436" s="1114"/>
      <c r="DG436" s="1114"/>
      <c r="DH436" s="1114"/>
      <c r="DI436" s="1114"/>
      <c r="DJ436" s="1114"/>
      <c r="DK436" s="1114"/>
      <c r="DL436" s="1114"/>
      <c r="DM436" s="1114"/>
      <c r="DN436" s="1114"/>
      <c r="DO436" s="1114"/>
      <c r="DP436" s="1114"/>
      <c r="DQ436" s="1114"/>
      <c r="DR436" s="1114"/>
      <c r="DS436" s="1114"/>
      <c r="DT436" s="1114"/>
      <c r="DU436" s="1114"/>
      <c r="DV436" s="1115"/>
      <c r="DW436" s="1116"/>
      <c r="DX436" s="1116"/>
      <c r="DY436" s="1116"/>
      <c r="DZ436" s="1116"/>
      <c r="EA436" s="1116"/>
      <c r="EB436" s="1116"/>
      <c r="EC436" s="1116"/>
      <c r="ED436" s="1116"/>
      <c r="EE436" s="1116"/>
      <c r="EF436" s="1116"/>
      <c r="EG436" s="1116"/>
      <c r="EH436" s="1116"/>
      <c r="EI436" s="1116"/>
      <c r="EJ436" s="1116"/>
      <c r="EK436" s="1116"/>
      <c r="EL436" s="1116"/>
      <c r="EM436" s="1116"/>
      <c r="EN436" s="1116"/>
      <c r="EO436" s="1116"/>
      <c r="EP436" s="1116"/>
      <c r="EQ436" s="1116"/>
      <c r="ER436" s="1116"/>
      <c r="ES436" s="1116"/>
    </row>
    <row r="437" spans="1:149" ht="15" customHeight="1">
      <c r="A437" s="1185">
        <v>422</v>
      </c>
      <c r="B437" s="1041"/>
      <c r="C437" s="1050"/>
      <c r="D437" s="1050"/>
      <c r="E437" s="1050"/>
      <c r="F437" s="1049"/>
      <c r="G437" s="1457"/>
      <c r="H437" s="1049"/>
      <c r="I437" s="1049"/>
      <c r="J437" s="1050"/>
      <c r="K437" s="1050"/>
      <c r="L437" s="1043"/>
      <c r="M437" s="1051"/>
      <c r="N437" s="1051"/>
      <c r="O437" s="1052"/>
      <c r="P437" s="1051"/>
      <c r="Q437" s="1051"/>
      <c r="R437" s="1052"/>
      <c r="S437" s="1051"/>
      <c r="T437" s="1051"/>
      <c r="U437" s="1052"/>
      <c r="V437" s="1051"/>
      <c r="W437" s="1051"/>
      <c r="X437" s="1052"/>
      <c r="Y437" s="1053"/>
      <c r="Z437" s="1051"/>
      <c r="AA437" s="1051"/>
      <c r="AB437" s="1052"/>
      <c r="AC437" s="1051"/>
      <c r="AD437" s="1051"/>
      <c r="AE437" s="1052"/>
      <c r="AF437" s="1051"/>
      <c r="AG437" s="1051"/>
      <c r="AH437" s="1051"/>
      <c r="AI437" s="1051"/>
      <c r="AJ437" s="1052"/>
      <c r="AK437" s="1051"/>
      <c r="AL437" s="1051"/>
      <c r="AM437" s="1052"/>
      <c r="AN437" s="1051"/>
      <c r="AO437" s="1051"/>
      <c r="AP437" s="1052"/>
      <c r="AQ437" s="1051"/>
      <c r="AR437" s="1051"/>
      <c r="AS437" s="1052"/>
      <c r="AT437" s="1051"/>
      <c r="AU437" s="1051"/>
      <c r="AV437" s="1052"/>
      <c r="AW437" s="1051"/>
      <c r="AX437" s="1051"/>
      <c r="AY437" s="1053"/>
      <c r="AZ437" s="1051"/>
      <c r="BA437" s="1051"/>
      <c r="BB437" s="1053"/>
      <c r="BC437" s="1051"/>
      <c r="BD437" s="1051"/>
      <c r="BE437" s="1053"/>
      <c r="BF437" s="1051"/>
      <c r="BG437" s="1051"/>
      <c r="BH437" s="1053"/>
      <c r="BI437" s="1052"/>
      <c r="BJ437" s="1052"/>
      <c r="BK437" s="1052"/>
      <c r="BL437" s="1052"/>
      <c r="BM437" s="1052"/>
      <c r="BN437" s="1054"/>
      <c r="BO437" s="1076">
        <f t="shared" si="17"/>
        <v>0</v>
      </c>
      <c r="BP437" s="1051"/>
      <c r="BQ437" s="1052"/>
      <c r="BR437" s="1054"/>
      <c r="BS437" s="1053"/>
      <c r="BT437" s="1051"/>
      <c r="BU437" s="1051"/>
      <c r="BV437" s="1051"/>
      <c r="BW437" s="1052"/>
      <c r="BX437" s="1052"/>
      <c r="BY437" s="1052"/>
      <c r="BZ437" s="1052"/>
      <c r="CA437" s="1052"/>
      <c r="CB437" s="1053"/>
      <c r="CC437" s="1053"/>
      <c r="CD437" s="1053"/>
      <c r="CE437" s="1053"/>
      <c r="CF437" s="1053"/>
      <c r="CG437" s="1053"/>
      <c r="CH437" s="1053"/>
      <c r="CI437" s="1123"/>
      <c r="CJ437" s="1123"/>
      <c r="CK437" s="1123"/>
      <c r="CL437" s="1123"/>
      <c r="CM437" s="1123"/>
      <c r="CN437" s="1123"/>
      <c r="CO437" s="1123"/>
      <c r="CP437" s="1123"/>
      <c r="CQ437" s="1123"/>
      <c r="CR437" s="1123"/>
      <c r="CS437" s="1123"/>
      <c r="CT437" s="1123"/>
      <c r="CU437" s="1123"/>
      <c r="CV437" s="1123"/>
      <c r="CW437" s="1123"/>
      <c r="CX437" s="1123"/>
      <c r="CY437" s="1123"/>
      <c r="CZ437" s="1114"/>
      <c r="DA437" s="1114"/>
      <c r="DB437" s="1114"/>
      <c r="DC437" s="1114"/>
      <c r="DD437" s="1114"/>
      <c r="DE437" s="1114"/>
      <c r="DF437" s="1114"/>
      <c r="DG437" s="1114"/>
      <c r="DH437" s="1114"/>
      <c r="DI437" s="1114"/>
      <c r="DJ437" s="1114"/>
      <c r="DK437" s="1114"/>
      <c r="DL437" s="1114"/>
      <c r="DM437" s="1114"/>
      <c r="DN437" s="1114"/>
      <c r="DO437" s="1114"/>
      <c r="DP437" s="1114"/>
      <c r="DQ437" s="1114"/>
      <c r="DR437" s="1114"/>
      <c r="DS437" s="1114"/>
      <c r="DT437" s="1114"/>
      <c r="DU437" s="1114"/>
      <c r="DV437" s="1115"/>
      <c r="DW437" s="1116"/>
      <c r="DX437" s="1116"/>
      <c r="DY437" s="1116"/>
      <c r="DZ437" s="1116"/>
      <c r="EA437" s="1116"/>
      <c r="EB437" s="1116"/>
      <c r="EC437" s="1116"/>
      <c r="ED437" s="1116"/>
      <c r="EE437" s="1116"/>
      <c r="EF437" s="1116"/>
      <c r="EG437" s="1116"/>
      <c r="EH437" s="1116"/>
      <c r="EI437" s="1116"/>
      <c r="EJ437" s="1116"/>
      <c r="EK437" s="1116"/>
      <c r="EL437" s="1116"/>
      <c r="EM437" s="1116"/>
      <c r="EN437" s="1116"/>
      <c r="EO437" s="1116"/>
      <c r="EP437" s="1116"/>
      <c r="EQ437" s="1116"/>
      <c r="ER437" s="1116"/>
      <c r="ES437" s="1116"/>
    </row>
    <row r="438" spans="1:149" ht="15" customHeight="1">
      <c r="A438" s="1185">
        <v>423</v>
      </c>
      <c r="B438" s="1041"/>
      <c r="C438" s="1050"/>
      <c r="D438" s="1050"/>
      <c r="E438" s="1050"/>
      <c r="F438" s="1049"/>
      <c r="G438" s="1457"/>
      <c r="H438" s="1049"/>
      <c r="I438" s="1049"/>
      <c r="J438" s="1050"/>
      <c r="K438" s="1050"/>
      <c r="L438" s="1043"/>
      <c r="M438" s="1051"/>
      <c r="N438" s="1051"/>
      <c r="O438" s="1052"/>
      <c r="P438" s="1051"/>
      <c r="Q438" s="1051"/>
      <c r="R438" s="1052"/>
      <c r="S438" s="1051"/>
      <c r="T438" s="1051"/>
      <c r="U438" s="1052"/>
      <c r="V438" s="1051"/>
      <c r="W438" s="1051"/>
      <c r="X438" s="1052"/>
      <c r="Y438" s="1053"/>
      <c r="Z438" s="1051"/>
      <c r="AA438" s="1051"/>
      <c r="AB438" s="1052"/>
      <c r="AC438" s="1051"/>
      <c r="AD438" s="1051"/>
      <c r="AE438" s="1052"/>
      <c r="AF438" s="1051"/>
      <c r="AG438" s="1051"/>
      <c r="AH438" s="1051"/>
      <c r="AI438" s="1051"/>
      <c r="AJ438" s="1052"/>
      <c r="AK438" s="1051"/>
      <c r="AL438" s="1051"/>
      <c r="AM438" s="1052"/>
      <c r="AN438" s="1051"/>
      <c r="AO438" s="1051"/>
      <c r="AP438" s="1052"/>
      <c r="AQ438" s="1051"/>
      <c r="AR438" s="1051"/>
      <c r="AS438" s="1052"/>
      <c r="AT438" s="1051"/>
      <c r="AU438" s="1051"/>
      <c r="AV438" s="1052"/>
      <c r="AW438" s="1051"/>
      <c r="AX438" s="1051"/>
      <c r="AY438" s="1053"/>
      <c r="AZ438" s="1051"/>
      <c r="BA438" s="1051"/>
      <c r="BB438" s="1053"/>
      <c r="BC438" s="1051"/>
      <c r="BD438" s="1051"/>
      <c r="BE438" s="1053"/>
      <c r="BF438" s="1051"/>
      <c r="BG438" s="1051"/>
      <c r="BH438" s="1053"/>
      <c r="BI438" s="1052"/>
      <c r="BJ438" s="1052"/>
      <c r="BK438" s="1052"/>
      <c r="BL438" s="1052"/>
      <c r="BM438" s="1052"/>
      <c r="BN438" s="1054"/>
      <c r="BO438" s="1076">
        <f t="shared" si="17"/>
        <v>0</v>
      </c>
      <c r="BP438" s="1051"/>
      <c r="BQ438" s="1052"/>
      <c r="BR438" s="1054"/>
      <c r="BS438" s="1053"/>
      <c r="BT438" s="1051"/>
      <c r="BU438" s="1051"/>
      <c r="BV438" s="1051"/>
      <c r="BW438" s="1052"/>
      <c r="BX438" s="1052"/>
      <c r="BY438" s="1052"/>
      <c r="BZ438" s="1052"/>
      <c r="CA438" s="1052"/>
      <c r="CB438" s="1053"/>
      <c r="CC438" s="1053"/>
      <c r="CD438" s="1053"/>
      <c r="CE438" s="1053"/>
      <c r="CF438" s="1053"/>
      <c r="CG438" s="1053"/>
      <c r="CH438" s="1053"/>
      <c r="CI438" s="1123"/>
      <c r="CJ438" s="1123"/>
      <c r="CK438" s="1123"/>
      <c r="CL438" s="1123"/>
      <c r="CM438" s="1123"/>
      <c r="CN438" s="1123"/>
      <c r="CO438" s="1123"/>
      <c r="CP438" s="1123"/>
      <c r="CQ438" s="1123"/>
      <c r="CR438" s="1123"/>
      <c r="CS438" s="1123"/>
      <c r="CT438" s="1123"/>
      <c r="CU438" s="1123"/>
      <c r="CV438" s="1123"/>
      <c r="CW438" s="1123"/>
      <c r="CX438" s="1123"/>
      <c r="CY438" s="1123"/>
      <c r="CZ438" s="1114"/>
      <c r="DA438" s="1114"/>
      <c r="DB438" s="1114"/>
      <c r="DC438" s="1114"/>
      <c r="DD438" s="1114"/>
      <c r="DE438" s="1114"/>
      <c r="DF438" s="1114"/>
      <c r="DG438" s="1114"/>
      <c r="DH438" s="1114"/>
      <c r="DI438" s="1114"/>
      <c r="DJ438" s="1114"/>
      <c r="DK438" s="1114"/>
      <c r="DL438" s="1114"/>
      <c r="DM438" s="1114"/>
      <c r="DN438" s="1114"/>
      <c r="DO438" s="1114"/>
      <c r="DP438" s="1114"/>
      <c r="DQ438" s="1114"/>
      <c r="DR438" s="1114"/>
      <c r="DS438" s="1114"/>
      <c r="DT438" s="1114"/>
      <c r="DU438" s="1114"/>
      <c r="DV438" s="1115"/>
      <c r="DW438" s="1116"/>
      <c r="DX438" s="1116"/>
      <c r="DY438" s="1116"/>
      <c r="DZ438" s="1116"/>
      <c r="EA438" s="1116"/>
      <c r="EB438" s="1116"/>
      <c r="EC438" s="1116"/>
      <c r="ED438" s="1116"/>
      <c r="EE438" s="1116"/>
      <c r="EF438" s="1116"/>
      <c r="EG438" s="1116"/>
      <c r="EH438" s="1116"/>
      <c r="EI438" s="1116"/>
      <c r="EJ438" s="1116"/>
      <c r="EK438" s="1116"/>
      <c r="EL438" s="1116"/>
      <c r="EM438" s="1116"/>
      <c r="EN438" s="1116"/>
      <c r="EO438" s="1116"/>
      <c r="EP438" s="1116"/>
      <c r="EQ438" s="1116"/>
      <c r="ER438" s="1116"/>
      <c r="ES438" s="1116"/>
    </row>
    <row r="439" spans="1:149" ht="15" customHeight="1">
      <c r="A439" s="1185">
        <v>424</v>
      </c>
      <c r="B439" s="1041"/>
      <c r="C439" s="1050"/>
      <c r="D439" s="1050"/>
      <c r="E439" s="1050"/>
      <c r="F439" s="1049"/>
      <c r="G439" s="1457"/>
      <c r="H439" s="1049"/>
      <c r="I439" s="1049"/>
      <c r="J439" s="1050"/>
      <c r="K439" s="1050"/>
      <c r="L439" s="1043"/>
      <c r="M439" s="1051"/>
      <c r="N439" s="1051"/>
      <c r="O439" s="1052"/>
      <c r="P439" s="1051"/>
      <c r="Q439" s="1051"/>
      <c r="R439" s="1052"/>
      <c r="S439" s="1051"/>
      <c r="T439" s="1051"/>
      <c r="U439" s="1052"/>
      <c r="V439" s="1051"/>
      <c r="W439" s="1051"/>
      <c r="X439" s="1052"/>
      <c r="Y439" s="1053"/>
      <c r="Z439" s="1051"/>
      <c r="AA439" s="1051"/>
      <c r="AB439" s="1052"/>
      <c r="AC439" s="1051"/>
      <c r="AD439" s="1051"/>
      <c r="AE439" s="1052"/>
      <c r="AF439" s="1051"/>
      <c r="AG439" s="1051"/>
      <c r="AH439" s="1051"/>
      <c r="AI439" s="1051"/>
      <c r="AJ439" s="1052"/>
      <c r="AK439" s="1051"/>
      <c r="AL439" s="1051"/>
      <c r="AM439" s="1052"/>
      <c r="AN439" s="1051"/>
      <c r="AO439" s="1051"/>
      <c r="AP439" s="1052"/>
      <c r="AQ439" s="1051"/>
      <c r="AR439" s="1051"/>
      <c r="AS439" s="1052"/>
      <c r="AT439" s="1051"/>
      <c r="AU439" s="1051"/>
      <c r="AV439" s="1052"/>
      <c r="AW439" s="1051"/>
      <c r="AX439" s="1051"/>
      <c r="AY439" s="1053"/>
      <c r="AZ439" s="1051"/>
      <c r="BA439" s="1051"/>
      <c r="BB439" s="1053"/>
      <c r="BC439" s="1051"/>
      <c r="BD439" s="1051"/>
      <c r="BE439" s="1053"/>
      <c r="BF439" s="1051"/>
      <c r="BG439" s="1051"/>
      <c r="BH439" s="1053"/>
      <c r="BI439" s="1052"/>
      <c r="BJ439" s="1052"/>
      <c r="BK439" s="1052"/>
      <c r="BL439" s="1052"/>
      <c r="BM439" s="1052"/>
      <c r="BN439" s="1054"/>
      <c r="BO439" s="1076">
        <f t="shared" si="17"/>
        <v>0</v>
      </c>
      <c r="BP439" s="1051"/>
      <c r="BQ439" s="1052"/>
      <c r="BR439" s="1054"/>
      <c r="BS439" s="1053"/>
      <c r="BT439" s="1051"/>
      <c r="BU439" s="1051"/>
      <c r="BV439" s="1051"/>
      <c r="BW439" s="1052"/>
      <c r="BX439" s="1052"/>
      <c r="BY439" s="1052"/>
      <c r="BZ439" s="1052"/>
      <c r="CA439" s="1052"/>
      <c r="CB439" s="1053"/>
      <c r="CC439" s="1053"/>
      <c r="CD439" s="1053"/>
      <c r="CE439" s="1053"/>
      <c r="CF439" s="1053"/>
      <c r="CG439" s="1053"/>
      <c r="CH439" s="1053"/>
      <c r="CI439" s="1123"/>
      <c r="CJ439" s="1123"/>
      <c r="CK439" s="1123"/>
      <c r="CL439" s="1123"/>
      <c r="CM439" s="1123"/>
      <c r="CN439" s="1123"/>
      <c r="CO439" s="1123"/>
      <c r="CP439" s="1123"/>
      <c r="CQ439" s="1123"/>
      <c r="CR439" s="1123"/>
      <c r="CS439" s="1123"/>
      <c r="CT439" s="1123"/>
      <c r="CU439" s="1123"/>
      <c r="CV439" s="1123"/>
      <c r="CW439" s="1123"/>
      <c r="CX439" s="1123"/>
      <c r="CY439" s="1123"/>
      <c r="CZ439" s="1114"/>
      <c r="DA439" s="1114"/>
      <c r="DB439" s="1114"/>
      <c r="DC439" s="1114"/>
      <c r="DD439" s="1114"/>
      <c r="DE439" s="1114"/>
      <c r="DF439" s="1114"/>
      <c r="DG439" s="1114"/>
      <c r="DH439" s="1114"/>
      <c r="DI439" s="1114"/>
      <c r="DJ439" s="1114"/>
      <c r="DK439" s="1114"/>
      <c r="DL439" s="1114"/>
      <c r="DM439" s="1114"/>
      <c r="DN439" s="1114"/>
      <c r="DO439" s="1114"/>
      <c r="DP439" s="1114"/>
      <c r="DQ439" s="1114"/>
      <c r="DR439" s="1114"/>
      <c r="DS439" s="1114"/>
      <c r="DT439" s="1114"/>
      <c r="DU439" s="1114"/>
      <c r="DV439" s="1115"/>
      <c r="DW439" s="1116"/>
      <c r="DX439" s="1116"/>
      <c r="DY439" s="1116"/>
      <c r="DZ439" s="1116"/>
      <c r="EA439" s="1116"/>
      <c r="EB439" s="1116"/>
      <c r="EC439" s="1116"/>
      <c r="ED439" s="1116"/>
      <c r="EE439" s="1116"/>
      <c r="EF439" s="1116"/>
      <c r="EG439" s="1116"/>
      <c r="EH439" s="1116"/>
      <c r="EI439" s="1116"/>
      <c r="EJ439" s="1116"/>
      <c r="EK439" s="1116"/>
      <c r="EL439" s="1116"/>
      <c r="EM439" s="1116"/>
      <c r="EN439" s="1116"/>
      <c r="EO439" s="1116"/>
      <c r="EP439" s="1116"/>
      <c r="EQ439" s="1116"/>
      <c r="ER439" s="1116"/>
      <c r="ES439" s="1116"/>
    </row>
    <row r="440" spans="1:149" ht="15" customHeight="1">
      <c r="A440" s="1185">
        <v>425</v>
      </c>
      <c r="B440" s="1041"/>
      <c r="C440" s="1050"/>
      <c r="D440" s="1050"/>
      <c r="E440" s="1050"/>
      <c r="F440" s="1049"/>
      <c r="G440" s="1457"/>
      <c r="H440" s="1049"/>
      <c r="I440" s="1049"/>
      <c r="J440" s="1050"/>
      <c r="K440" s="1050"/>
      <c r="L440" s="1043"/>
      <c r="M440" s="1051"/>
      <c r="N440" s="1051"/>
      <c r="O440" s="1052"/>
      <c r="P440" s="1051"/>
      <c r="Q440" s="1051"/>
      <c r="R440" s="1052"/>
      <c r="S440" s="1051"/>
      <c r="T440" s="1051"/>
      <c r="U440" s="1052"/>
      <c r="V440" s="1051"/>
      <c r="W440" s="1051"/>
      <c r="X440" s="1052"/>
      <c r="Y440" s="1053"/>
      <c r="Z440" s="1051"/>
      <c r="AA440" s="1051"/>
      <c r="AB440" s="1052"/>
      <c r="AC440" s="1051"/>
      <c r="AD440" s="1051"/>
      <c r="AE440" s="1052"/>
      <c r="AF440" s="1051"/>
      <c r="AG440" s="1051"/>
      <c r="AH440" s="1051"/>
      <c r="AI440" s="1051"/>
      <c r="AJ440" s="1052"/>
      <c r="AK440" s="1051"/>
      <c r="AL440" s="1051"/>
      <c r="AM440" s="1052"/>
      <c r="AN440" s="1051"/>
      <c r="AO440" s="1051"/>
      <c r="AP440" s="1052"/>
      <c r="AQ440" s="1051"/>
      <c r="AR440" s="1051"/>
      <c r="AS440" s="1052"/>
      <c r="AT440" s="1051"/>
      <c r="AU440" s="1051"/>
      <c r="AV440" s="1052"/>
      <c r="AW440" s="1051"/>
      <c r="AX440" s="1051"/>
      <c r="AY440" s="1053"/>
      <c r="AZ440" s="1051"/>
      <c r="BA440" s="1051"/>
      <c r="BB440" s="1053"/>
      <c r="BC440" s="1051"/>
      <c r="BD440" s="1051"/>
      <c r="BE440" s="1053"/>
      <c r="BF440" s="1051"/>
      <c r="BG440" s="1051"/>
      <c r="BH440" s="1053"/>
      <c r="BI440" s="1052"/>
      <c r="BJ440" s="1052"/>
      <c r="BK440" s="1052"/>
      <c r="BL440" s="1052"/>
      <c r="BM440" s="1052"/>
      <c r="BN440" s="1054"/>
      <c r="BO440" s="1076">
        <f t="shared" si="17"/>
        <v>0</v>
      </c>
      <c r="BP440" s="1051"/>
      <c r="BQ440" s="1052"/>
      <c r="BR440" s="1054"/>
      <c r="BS440" s="1053"/>
      <c r="BT440" s="1051"/>
      <c r="BU440" s="1051"/>
      <c r="BV440" s="1051"/>
      <c r="BW440" s="1052"/>
      <c r="BX440" s="1052"/>
      <c r="BY440" s="1052"/>
      <c r="BZ440" s="1052"/>
      <c r="CA440" s="1052"/>
      <c r="CB440" s="1053"/>
      <c r="CC440" s="1053"/>
      <c r="CD440" s="1053"/>
      <c r="CE440" s="1053"/>
      <c r="CF440" s="1053"/>
      <c r="CG440" s="1053"/>
      <c r="CH440" s="1053"/>
      <c r="CI440" s="1123"/>
      <c r="CJ440" s="1123"/>
      <c r="CK440" s="1123"/>
      <c r="CL440" s="1123"/>
      <c r="CM440" s="1123"/>
      <c r="CN440" s="1123"/>
      <c r="CO440" s="1123"/>
      <c r="CP440" s="1123"/>
      <c r="CQ440" s="1123"/>
      <c r="CR440" s="1123"/>
      <c r="CS440" s="1123"/>
      <c r="CT440" s="1123"/>
      <c r="CU440" s="1123"/>
      <c r="CV440" s="1123"/>
      <c r="CW440" s="1123"/>
      <c r="CX440" s="1123"/>
      <c r="CY440" s="1123"/>
      <c r="CZ440" s="1114"/>
      <c r="DA440" s="1114"/>
      <c r="DB440" s="1114"/>
      <c r="DC440" s="1114"/>
      <c r="DD440" s="1114"/>
      <c r="DE440" s="1114"/>
      <c r="DF440" s="1114"/>
      <c r="DG440" s="1114"/>
      <c r="DH440" s="1114"/>
      <c r="DI440" s="1114"/>
      <c r="DJ440" s="1114"/>
      <c r="DK440" s="1114"/>
      <c r="DL440" s="1114"/>
      <c r="DM440" s="1114"/>
      <c r="DN440" s="1114"/>
      <c r="DO440" s="1114"/>
      <c r="DP440" s="1114"/>
      <c r="DQ440" s="1114"/>
      <c r="DR440" s="1114"/>
      <c r="DS440" s="1114"/>
      <c r="DT440" s="1114"/>
      <c r="DU440" s="1114"/>
      <c r="DV440" s="1115"/>
      <c r="DW440" s="1116"/>
      <c r="DX440" s="1116"/>
      <c r="DY440" s="1116"/>
      <c r="DZ440" s="1116"/>
      <c r="EA440" s="1116"/>
      <c r="EB440" s="1116"/>
      <c r="EC440" s="1116"/>
      <c r="ED440" s="1116"/>
      <c r="EE440" s="1116"/>
      <c r="EF440" s="1116"/>
      <c r="EG440" s="1116"/>
      <c r="EH440" s="1116"/>
      <c r="EI440" s="1116"/>
      <c r="EJ440" s="1116"/>
      <c r="EK440" s="1116"/>
      <c r="EL440" s="1116"/>
      <c r="EM440" s="1116"/>
      <c r="EN440" s="1116"/>
      <c r="EO440" s="1116"/>
      <c r="EP440" s="1116"/>
      <c r="EQ440" s="1116"/>
      <c r="ER440" s="1116"/>
      <c r="ES440" s="1116"/>
    </row>
    <row r="441" spans="1:149" ht="15" customHeight="1">
      <c r="A441" s="1185">
        <v>426</v>
      </c>
      <c r="B441" s="1041"/>
      <c r="C441" s="1050"/>
      <c r="D441" s="1050"/>
      <c r="E441" s="1050"/>
      <c r="F441" s="1049"/>
      <c r="G441" s="1457"/>
      <c r="H441" s="1049"/>
      <c r="I441" s="1049"/>
      <c r="J441" s="1050"/>
      <c r="K441" s="1050"/>
      <c r="L441" s="1043"/>
      <c r="M441" s="1051"/>
      <c r="N441" s="1051"/>
      <c r="O441" s="1052"/>
      <c r="P441" s="1051"/>
      <c r="Q441" s="1051"/>
      <c r="R441" s="1052"/>
      <c r="S441" s="1051"/>
      <c r="T441" s="1051"/>
      <c r="U441" s="1052"/>
      <c r="V441" s="1051"/>
      <c r="W441" s="1051"/>
      <c r="X441" s="1052"/>
      <c r="Y441" s="1053"/>
      <c r="Z441" s="1051"/>
      <c r="AA441" s="1051"/>
      <c r="AB441" s="1052"/>
      <c r="AC441" s="1051"/>
      <c r="AD441" s="1051"/>
      <c r="AE441" s="1052"/>
      <c r="AF441" s="1051"/>
      <c r="AG441" s="1051"/>
      <c r="AH441" s="1051"/>
      <c r="AI441" s="1051"/>
      <c r="AJ441" s="1052"/>
      <c r="AK441" s="1051"/>
      <c r="AL441" s="1051"/>
      <c r="AM441" s="1052"/>
      <c r="AN441" s="1051"/>
      <c r="AO441" s="1051"/>
      <c r="AP441" s="1052"/>
      <c r="AQ441" s="1051"/>
      <c r="AR441" s="1051"/>
      <c r="AS441" s="1052"/>
      <c r="AT441" s="1051"/>
      <c r="AU441" s="1051"/>
      <c r="AV441" s="1052"/>
      <c r="AW441" s="1051"/>
      <c r="AX441" s="1051"/>
      <c r="AY441" s="1053"/>
      <c r="AZ441" s="1051"/>
      <c r="BA441" s="1051"/>
      <c r="BB441" s="1053"/>
      <c r="BC441" s="1051"/>
      <c r="BD441" s="1051"/>
      <c r="BE441" s="1053"/>
      <c r="BF441" s="1051"/>
      <c r="BG441" s="1051"/>
      <c r="BH441" s="1053"/>
      <c r="BI441" s="1052"/>
      <c r="BJ441" s="1052"/>
      <c r="BK441" s="1052"/>
      <c r="BL441" s="1052"/>
      <c r="BM441" s="1052"/>
      <c r="BN441" s="1054"/>
      <c r="BO441" s="1076">
        <f t="shared" si="17"/>
        <v>0</v>
      </c>
      <c r="BP441" s="1051"/>
      <c r="BQ441" s="1052"/>
      <c r="BR441" s="1054"/>
      <c r="BS441" s="1053"/>
      <c r="BT441" s="1051"/>
      <c r="BU441" s="1051"/>
      <c r="BV441" s="1051"/>
      <c r="BW441" s="1052"/>
      <c r="BX441" s="1052"/>
      <c r="BY441" s="1052"/>
      <c r="BZ441" s="1052"/>
      <c r="CA441" s="1052"/>
      <c r="CB441" s="1053"/>
      <c r="CC441" s="1053"/>
      <c r="CD441" s="1053"/>
      <c r="CE441" s="1053"/>
      <c r="CF441" s="1053"/>
      <c r="CG441" s="1053"/>
      <c r="CH441" s="1053"/>
      <c r="CI441" s="1123"/>
      <c r="CJ441" s="1123"/>
      <c r="CK441" s="1123"/>
      <c r="CL441" s="1123"/>
      <c r="CM441" s="1123"/>
      <c r="CN441" s="1123"/>
      <c r="CO441" s="1123"/>
      <c r="CP441" s="1123"/>
      <c r="CQ441" s="1123"/>
      <c r="CR441" s="1123"/>
      <c r="CS441" s="1123"/>
      <c r="CT441" s="1123"/>
      <c r="CU441" s="1123"/>
      <c r="CV441" s="1123"/>
      <c r="CW441" s="1123"/>
      <c r="CX441" s="1123"/>
      <c r="CY441" s="1123"/>
      <c r="CZ441" s="1114"/>
      <c r="DA441" s="1114"/>
      <c r="DB441" s="1114"/>
      <c r="DC441" s="1114"/>
      <c r="DD441" s="1114"/>
      <c r="DE441" s="1114"/>
      <c r="DF441" s="1114"/>
      <c r="DG441" s="1114"/>
      <c r="DH441" s="1114"/>
      <c r="DI441" s="1114"/>
      <c r="DJ441" s="1114"/>
      <c r="DK441" s="1114"/>
      <c r="DL441" s="1114"/>
      <c r="DM441" s="1114"/>
      <c r="DN441" s="1114"/>
      <c r="DO441" s="1114"/>
      <c r="DP441" s="1114"/>
      <c r="DQ441" s="1114"/>
      <c r="DR441" s="1114"/>
      <c r="DS441" s="1114"/>
      <c r="DT441" s="1114"/>
      <c r="DU441" s="1114"/>
      <c r="DV441" s="1115"/>
      <c r="DW441" s="1116"/>
      <c r="DX441" s="1116"/>
      <c r="DY441" s="1116"/>
      <c r="DZ441" s="1116"/>
      <c r="EA441" s="1116"/>
      <c r="EB441" s="1116"/>
      <c r="EC441" s="1116"/>
      <c r="ED441" s="1116"/>
      <c r="EE441" s="1116"/>
      <c r="EF441" s="1116"/>
      <c r="EG441" s="1116"/>
      <c r="EH441" s="1116"/>
      <c r="EI441" s="1116"/>
      <c r="EJ441" s="1116"/>
      <c r="EK441" s="1116"/>
      <c r="EL441" s="1116"/>
      <c r="EM441" s="1116"/>
      <c r="EN441" s="1116"/>
      <c r="EO441" s="1116"/>
      <c r="EP441" s="1116"/>
      <c r="EQ441" s="1116"/>
      <c r="ER441" s="1116"/>
      <c r="ES441" s="1116"/>
    </row>
    <row r="442" spans="1:149" ht="15" customHeight="1">
      <c r="A442" s="1185">
        <v>427</v>
      </c>
      <c r="B442" s="1041"/>
      <c r="C442" s="1050"/>
      <c r="D442" s="1050"/>
      <c r="E442" s="1050"/>
      <c r="F442" s="1049"/>
      <c r="G442" s="1457"/>
      <c r="H442" s="1049"/>
      <c r="I442" s="1049"/>
      <c r="J442" s="1050"/>
      <c r="K442" s="1050"/>
      <c r="L442" s="1043"/>
      <c r="M442" s="1051"/>
      <c r="N442" s="1051"/>
      <c r="O442" s="1052"/>
      <c r="P442" s="1051"/>
      <c r="Q442" s="1051"/>
      <c r="R442" s="1052"/>
      <c r="S442" s="1051"/>
      <c r="T442" s="1051"/>
      <c r="U442" s="1052"/>
      <c r="V442" s="1051"/>
      <c r="W442" s="1051"/>
      <c r="X442" s="1052"/>
      <c r="Y442" s="1053"/>
      <c r="Z442" s="1051"/>
      <c r="AA442" s="1051"/>
      <c r="AB442" s="1052"/>
      <c r="AC442" s="1051"/>
      <c r="AD442" s="1051"/>
      <c r="AE442" s="1052"/>
      <c r="AF442" s="1051"/>
      <c r="AG442" s="1051"/>
      <c r="AH442" s="1051"/>
      <c r="AI442" s="1051"/>
      <c r="AJ442" s="1052"/>
      <c r="AK442" s="1051"/>
      <c r="AL442" s="1051"/>
      <c r="AM442" s="1052"/>
      <c r="AN442" s="1051"/>
      <c r="AO442" s="1051"/>
      <c r="AP442" s="1052"/>
      <c r="AQ442" s="1051"/>
      <c r="AR442" s="1051"/>
      <c r="AS442" s="1052"/>
      <c r="AT442" s="1051"/>
      <c r="AU442" s="1051"/>
      <c r="AV442" s="1052"/>
      <c r="AW442" s="1051"/>
      <c r="AX442" s="1051"/>
      <c r="AY442" s="1053"/>
      <c r="AZ442" s="1051"/>
      <c r="BA442" s="1051"/>
      <c r="BB442" s="1053"/>
      <c r="BC442" s="1051"/>
      <c r="BD442" s="1051"/>
      <c r="BE442" s="1053"/>
      <c r="BF442" s="1051"/>
      <c r="BG442" s="1051"/>
      <c r="BH442" s="1053"/>
      <c r="BI442" s="1052"/>
      <c r="BJ442" s="1052"/>
      <c r="BK442" s="1052"/>
      <c r="BL442" s="1052"/>
      <c r="BM442" s="1052"/>
      <c r="BN442" s="1054"/>
      <c r="BO442" s="1076">
        <f t="shared" si="17"/>
        <v>0</v>
      </c>
      <c r="BP442" s="1051"/>
      <c r="BQ442" s="1052"/>
      <c r="BR442" s="1054"/>
      <c r="BS442" s="1053"/>
      <c r="BT442" s="1051"/>
      <c r="BU442" s="1051"/>
      <c r="BV442" s="1051"/>
      <c r="BW442" s="1052"/>
      <c r="BX442" s="1052"/>
      <c r="BY442" s="1052"/>
      <c r="BZ442" s="1052"/>
      <c r="CA442" s="1052"/>
      <c r="CB442" s="1053"/>
      <c r="CC442" s="1053"/>
      <c r="CD442" s="1053"/>
      <c r="CE442" s="1053"/>
      <c r="CF442" s="1053"/>
      <c r="CG442" s="1053"/>
      <c r="CH442" s="1053"/>
      <c r="CI442" s="1123"/>
      <c r="CJ442" s="1123"/>
      <c r="CK442" s="1123"/>
      <c r="CL442" s="1123"/>
      <c r="CM442" s="1123"/>
      <c r="CN442" s="1123"/>
      <c r="CO442" s="1123"/>
      <c r="CP442" s="1123"/>
      <c r="CQ442" s="1123"/>
      <c r="CR442" s="1123"/>
      <c r="CS442" s="1123"/>
      <c r="CT442" s="1123"/>
      <c r="CU442" s="1123"/>
      <c r="CV442" s="1123"/>
      <c r="CW442" s="1123"/>
      <c r="CX442" s="1123"/>
      <c r="CY442" s="1123"/>
      <c r="CZ442" s="1114"/>
      <c r="DA442" s="1114"/>
      <c r="DB442" s="1114"/>
      <c r="DC442" s="1114"/>
      <c r="DD442" s="1114"/>
      <c r="DE442" s="1114"/>
      <c r="DF442" s="1114"/>
      <c r="DG442" s="1114"/>
      <c r="DH442" s="1114"/>
      <c r="DI442" s="1114"/>
      <c r="DJ442" s="1114"/>
      <c r="DK442" s="1114"/>
      <c r="DL442" s="1114"/>
      <c r="DM442" s="1114"/>
      <c r="DN442" s="1114"/>
      <c r="DO442" s="1114"/>
      <c r="DP442" s="1114"/>
      <c r="DQ442" s="1114"/>
      <c r="DR442" s="1114"/>
      <c r="DS442" s="1114"/>
      <c r="DT442" s="1114"/>
      <c r="DU442" s="1114"/>
      <c r="DV442" s="1115"/>
      <c r="DW442" s="1116"/>
      <c r="DX442" s="1116"/>
      <c r="DY442" s="1116"/>
      <c r="DZ442" s="1116"/>
      <c r="EA442" s="1116"/>
      <c r="EB442" s="1116"/>
      <c r="EC442" s="1116"/>
      <c r="ED442" s="1116"/>
      <c r="EE442" s="1116"/>
      <c r="EF442" s="1116"/>
      <c r="EG442" s="1116"/>
      <c r="EH442" s="1116"/>
      <c r="EI442" s="1116"/>
      <c r="EJ442" s="1116"/>
      <c r="EK442" s="1116"/>
      <c r="EL442" s="1116"/>
      <c r="EM442" s="1116"/>
      <c r="EN442" s="1116"/>
      <c r="EO442" s="1116"/>
      <c r="EP442" s="1116"/>
      <c r="EQ442" s="1116"/>
      <c r="ER442" s="1116"/>
      <c r="ES442" s="1116"/>
    </row>
    <row r="443" spans="1:149" ht="15" customHeight="1">
      <c r="A443" s="1185">
        <v>428</v>
      </c>
      <c r="B443" s="1041"/>
      <c r="C443" s="1050"/>
      <c r="D443" s="1050"/>
      <c r="E443" s="1050"/>
      <c r="F443" s="1049"/>
      <c r="G443" s="1457"/>
      <c r="H443" s="1049"/>
      <c r="I443" s="1049"/>
      <c r="J443" s="1050"/>
      <c r="K443" s="1050"/>
      <c r="L443" s="1043"/>
      <c r="M443" s="1051"/>
      <c r="N443" s="1051"/>
      <c r="O443" s="1052"/>
      <c r="P443" s="1051"/>
      <c r="Q443" s="1051"/>
      <c r="R443" s="1052"/>
      <c r="S443" s="1051"/>
      <c r="T443" s="1051"/>
      <c r="U443" s="1052"/>
      <c r="V443" s="1051"/>
      <c r="W443" s="1051"/>
      <c r="X443" s="1052"/>
      <c r="Y443" s="1053"/>
      <c r="Z443" s="1051"/>
      <c r="AA443" s="1051"/>
      <c r="AB443" s="1052"/>
      <c r="AC443" s="1051"/>
      <c r="AD443" s="1051"/>
      <c r="AE443" s="1052"/>
      <c r="AF443" s="1051"/>
      <c r="AG443" s="1051"/>
      <c r="AH443" s="1051"/>
      <c r="AI443" s="1051"/>
      <c r="AJ443" s="1052"/>
      <c r="AK443" s="1051"/>
      <c r="AL443" s="1051"/>
      <c r="AM443" s="1052"/>
      <c r="AN443" s="1051"/>
      <c r="AO443" s="1051"/>
      <c r="AP443" s="1052"/>
      <c r="AQ443" s="1051"/>
      <c r="AR443" s="1051"/>
      <c r="AS443" s="1052"/>
      <c r="AT443" s="1051"/>
      <c r="AU443" s="1051"/>
      <c r="AV443" s="1052"/>
      <c r="AW443" s="1051"/>
      <c r="AX443" s="1051"/>
      <c r="AY443" s="1053"/>
      <c r="AZ443" s="1051"/>
      <c r="BA443" s="1051"/>
      <c r="BB443" s="1053"/>
      <c r="BC443" s="1051"/>
      <c r="BD443" s="1051"/>
      <c r="BE443" s="1053"/>
      <c r="BF443" s="1051"/>
      <c r="BG443" s="1051"/>
      <c r="BH443" s="1053"/>
      <c r="BI443" s="1052"/>
      <c r="BJ443" s="1052"/>
      <c r="BK443" s="1052"/>
      <c r="BL443" s="1052"/>
      <c r="BM443" s="1052"/>
      <c r="BN443" s="1054"/>
      <c r="BO443" s="1076">
        <f t="shared" si="17"/>
        <v>0</v>
      </c>
      <c r="BP443" s="1051"/>
      <c r="BQ443" s="1052"/>
      <c r="BR443" s="1054"/>
      <c r="BS443" s="1053"/>
      <c r="BT443" s="1051"/>
      <c r="BU443" s="1051"/>
      <c r="BV443" s="1051"/>
      <c r="BW443" s="1052"/>
      <c r="BX443" s="1052"/>
      <c r="BY443" s="1052"/>
      <c r="BZ443" s="1052"/>
      <c r="CA443" s="1052"/>
      <c r="CB443" s="1053"/>
      <c r="CC443" s="1053"/>
      <c r="CD443" s="1053"/>
      <c r="CE443" s="1053"/>
      <c r="CF443" s="1053"/>
      <c r="CG443" s="1053"/>
      <c r="CH443" s="1053"/>
      <c r="CI443" s="1123"/>
      <c r="CJ443" s="1123"/>
      <c r="CK443" s="1123"/>
      <c r="CL443" s="1123"/>
      <c r="CM443" s="1123"/>
      <c r="CN443" s="1123"/>
      <c r="CO443" s="1123"/>
      <c r="CP443" s="1123"/>
      <c r="CQ443" s="1123"/>
      <c r="CR443" s="1123"/>
      <c r="CS443" s="1123"/>
      <c r="CT443" s="1123"/>
      <c r="CU443" s="1123"/>
      <c r="CV443" s="1123"/>
      <c r="CW443" s="1123"/>
      <c r="CX443" s="1123"/>
      <c r="CY443" s="1123"/>
      <c r="CZ443" s="1114"/>
      <c r="DA443" s="1114"/>
      <c r="DB443" s="1114"/>
      <c r="DC443" s="1114"/>
      <c r="DD443" s="1114"/>
      <c r="DE443" s="1114"/>
      <c r="DF443" s="1114"/>
      <c r="DG443" s="1114"/>
      <c r="DH443" s="1114"/>
      <c r="DI443" s="1114"/>
      <c r="DJ443" s="1114"/>
      <c r="DK443" s="1114"/>
      <c r="DL443" s="1114"/>
      <c r="DM443" s="1114"/>
      <c r="DN443" s="1114"/>
      <c r="DO443" s="1114"/>
      <c r="DP443" s="1114"/>
      <c r="DQ443" s="1114"/>
      <c r="DR443" s="1114"/>
      <c r="DS443" s="1114"/>
      <c r="DT443" s="1114"/>
      <c r="DU443" s="1114"/>
      <c r="DV443" s="1115"/>
      <c r="DW443" s="1116"/>
      <c r="DX443" s="1116"/>
      <c r="DY443" s="1116"/>
      <c r="DZ443" s="1116"/>
      <c r="EA443" s="1116"/>
      <c r="EB443" s="1116"/>
      <c r="EC443" s="1116"/>
      <c r="ED443" s="1116"/>
      <c r="EE443" s="1116"/>
      <c r="EF443" s="1116"/>
      <c r="EG443" s="1116"/>
      <c r="EH443" s="1116"/>
      <c r="EI443" s="1116"/>
      <c r="EJ443" s="1116"/>
      <c r="EK443" s="1116"/>
      <c r="EL443" s="1116"/>
      <c r="EM443" s="1116"/>
      <c r="EN443" s="1116"/>
      <c r="EO443" s="1116"/>
      <c r="EP443" s="1116"/>
      <c r="EQ443" s="1116"/>
      <c r="ER443" s="1116"/>
      <c r="ES443" s="1116"/>
    </row>
    <row r="444" spans="1:149" ht="15" customHeight="1">
      <c r="A444" s="1185">
        <v>429</v>
      </c>
      <c r="B444" s="1041"/>
      <c r="C444" s="1050"/>
      <c r="D444" s="1050"/>
      <c r="E444" s="1050"/>
      <c r="F444" s="1049"/>
      <c r="G444" s="1457"/>
      <c r="H444" s="1049"/>
      <c r="I444" s="1049"/>
      <c r="J444" s="1050"/>
      <c r="K444" s="1050"/>
      <c r="L444" s="1043"/>
      <c r="M444" s="1051"/>
      <c r="N444" s="1051"/>
      <c r="O444" s="1052"/>
      <c r="P444" s="1051"/>
      <c r="Q444" s="1051"/>
      <c r="R444" s="1052"/>
      <c r="S444" s="1051"/>
      <c r="T444" s="1051"/>
      <c r="U444" s="1052"/>
      <c r="V444" s="1051"/>
      <c r="W444" s="1051"/>
      <c r="X444" s="1052"/>
      <c r="Y444" s="1053"/>
      <c r="Z444" s="1051"/>
      <c r="AA444" s="1051"/>
      <c r="AB444" s="1052"/>
      <c r="AC444" s="1051"/>
      <c r="AD444" s="1051"/>
      <c r="AE444" s="1052"/>
      <c r="AF444" s="1051"/>
      <c r="AG444" s="1051"/>
      <c r="AH444" s="1051"/>
      <c r="AI444" s="1051"/>
      <c r="AJ444" s="1052"/>
      <c r="AK444" s="1051"/>
      <c r="AL444" s="1051"/>
      <c r="AM444" s="1052"/>
      <c r="AN444" s="1051"/>
      <c r="AO444" s="1051"/>
      <c r="AP444" s="1052"/>
      <c r="AQ444" s="1051"/>
      <c r="AR444" s="1051"/>
      <c r="AS444" s="1052"/>
      <c r="AT444" s="1051"/>
      <c r="AU444" s="1051"/>
      <c r="AV444" s="1052"/>
      <c r="AW444" s="1051"/>
      <c r="AX444" s="1051"/>
      <c r="AY444" s="1053"/>
      <c r="AZ444" s="1051"/>
      <c r="BA444" s="1051"/>
      <c r="BB444" s="1053"/>
      <c r="BC444" s="1051"/>
      <c r="BD444" s="1051"/>
      <c r="BE444" s="1053"/>
      <c r="BF444" s="1051"/>
      <c r="BG444" s="1051"/>
      <c r="BH444" s="1053"/>
      <c r="BI444" s="1052"/>
      <c r="BJ444" s="1052"/>
      <c r="BK444" s="1052"/>
      <c r="BL444" s="1052"/>
      <c r="BM444" s="1052"/>
      <c r="BN444" s="1054"/>
      <c r="BO444" s="1076">
        <f t="shared" si="17"/>
        <v>0</v>
      </c>
      <c r="BP444" s="1051"/>
      <c r="BQ444" s="1052"/>
      <c r="BR444" s="1054"/>
      <c r="BS444" s="1053"/>
      <c r="BT444" s="1051"/>
      <c r="BU444" s="1051"/>
      <c r="BV444" s="1051"/>
      <c r="BW444" s="1052"/>
      <c r="BX444" s="1052"/>
      <c r="BY444" s="1052"/>
      <c r="BZ444" s="1052"/>
      <c r="CA444" s="1052"/>
      <c r="CB444" s="1053"/>
      <c r="CC444" s="1053"/>
      <c r="CD444" s="1053"/>
      <c r="CE444" s="1053"/>
      <c r="CF444" s="1053"/>
      <c r="CG444" s="1053"/>
      <c r="CH444" s="1053"/>
      <c r="CI444" s="1123"/>
      <c r="CJ444" s="1123"/>
      <c r="CK444" s="1123"/>
      <c r="CL444" s="1123"/>
      <c r="CM444" s="1123"/>
      <c r="CN444" s="1123"/>
      <c r="CO444" s="1123"/>
      <c r="CP444" s="1123"/>
      <c r="CQ444" s="1123"/>
      <c r="CR444" s="1123"/>
      <c r="CS444" s="1123"/>
      <c r="CT444" s="1123"/>
      <c r="CU444" s="1123"/>
      <c r="CV444" s="1123"/>
      <c r="CW444" s="1123"/>
      <c r="CX444" s="1123"/>
      <c r="CY444" s="1123"/>
      <c r="CZ444" s="1114"/>
      <c r="DA444" s="1114"/>
      <c r="DB444" s="1114"/>
      <c r="DC444" s="1114"/>
      <c r="DD444" s="1114"/>
      <c r="DE444" s="1114"/>
      <c r="DF444" s="1114"/>
      <c r="DG444" s="1114"/>
      <c r="DH444" s="1114"/>
      <c r="DI444" s="1114"/>
      <c r="DJ444" s="1114"/>
      <c r="DK444" s="1114"/>
      <c r="DL444" s="1114"/>
      <c r="DM444" s="1114"/>
      <c r="DN444" s="1114"/>
      <c r="DO444" s="1114"/>
      <c r="DP444" s="1114"/>
      <c r="DQ444" s="1114"/>
      <c r="DR444" s="1114"/>
      <c r="DS444" s="1114"/>
      <c r="DT444" s="1114"/>
      <c r="DU444" s="1114"/>
      <c r="DV444" s="1115"/>
      <c r="DW444" s="1116"/>
      <c r="DX444" s="1116"/>
      <c r="DY444" s="1116"/>
      <c r="DZ444" s="1116"/>
      <c r="EA444" s="1116"/>
      <c r="EB444" s="1116"/>
      <c r="EC444" s="1116"/>
      <c r="ED444" s="1116"/>
      <c r="EE444" s="1116"/>
      <c r="EF444" s="1116"/>
      <c r="EG444" s="1116"/>
      <c r="EH444" s="1116"/>
      <c r="EI444" s="1116"/>
      <c r="EJ444" s="1116"/>
      <c r="EK444" s="1116"/>
      <c r="EL444" s="1116"/>
      <c r="EM444" s="1116"/>
      <c r="EN444" s="1116"/>
      <c r="EO444" s="1116"/>
      <c r="EP444" s="1116"/>
      <c r="EQ444" s="1116"/>
      <c r="ER444" s="1116"/>
      <c r="ES444" s="1116"/>
    </row>
    <row r="445" spans="1:149" ht="15" customHeight="1">
      <c r="A445" s="1185">
        <v>430</v>
      </c>
      <c r="B445" s="1041"/>
      <c r="C445" s="1050"/>
      <c r="D445" s="1050"/>
      <c r="E445" s="1050"/>
      <c r="F445" s="1049"/>
      <c r="G445" s="1457"/>
      <c r="H445" s="1049"/>
      <c r="I445" s="1049"/>
      <c r="J445" s="1050"/>
      <c r="K445" s="1050"/>
      <c r="L445" s="1043"/>
      <c r="M445" s="1051"/>
      <c r="N445" s="1051"/>
      <c r="O445" s="1052"/>
      <c r="P445" s="1051"/>
      <c r="Q445" s="1051"/>
      <c r="R445" s="1052"/>
      <c r="S445" s="1051"/>
      <c r="T445" s="1051"/>
      <c r="U445" s="1052"/>
      <c r="V445" s="1051"/>
      <c r="W445" s="1051"/>
      <c r="X445" s="1052"/>
      <c r="Y445" s="1053"/>
      <c r="Z445" s="1051"/>
      <c r="AA445" s="1051"/>
      <c r="AB445" s="1052"/>
      <c r="AC445" s="1051"/>
      <c r="AD445" s="1051"/>
      <c r="AE445" s="1052"/>
      <c r="AF445" s="1051"/>
      <c r="AG445" s="1051"/>
      <c r="AH445" s="1051"/>
      <c r="AI445" s="1051"/>
      <c r="AJ445" s="1052"/>
      <c r="AK445" s="1051"/>
      <c r="AL445" s="1051"/>
      <c r="AM445" s="1052"/>
      <c r="AN445" s="1051"/>
      <c r="AO445" s="1051"/>
      <c r="AP445" s="1052"/>
      <c r="AQ445" s="1051"/>
      <c r="AR445" s="1051"/>
      <c r="AS445" s="1052"/>
      <c r="AT445" s="1051"/>
      <c r="AU445" s="1051"/>
      <c r="AV445" s="1052"/>
      <c r="AW445" s="1051"/>
      <c r="AX445" s="1051"/>
      <c r="AY445" s="1053"/>
      <c r="AZ445" s="1051"/>
      <c r="BA445" s="1051"/>
      <c r="BB445" s="1053"/>
      <c r="BC445" s="1051"/>
      <c r="BD445" s="1051"/>
      <c r="BE445" s="1053"/>
      <c r="BF445" s="1051"/>
      <c r="BG445" s="1051"/>
      <c r="BH445" s="1053"/>
      <c r="BI445" s="1052"/>
      <c r="BJ445" s="1052"/>
      <c r="BK445" s="1052"/>
      <c r="BL445" s="1052"/>
      <c r="BM445" s="1052"/>
      <c r="BN445" s="1054"/>
      <c r="BO445" s="1076">
        <f t="shared" si="17"/>
        <v>0</v>
      </c>
      <c r="BP445" s="1051"/>
      <c r="BQ445" s="1052"/>
      <c r="BR445" s="1054"/>
      <c r="BS445" s="1053"/>
      <c r="BT445" s="1051"/>
      <c r="BU445" s="1051"/>
      <c r="BV445" s="1051"/>
      <c r="BW445" s="1052"/>
      <c r="BX445" s="1052"/>
      <c r="BY445" s="1052"/>
      <c r="BZ445" s="1052"/>
      <c r="CA445" s="1052"/>
      <c r="CB445" s="1053"/>
      <c r="CC445" s="1053"/>
      <c r="CD445" s="1053"/>
      <c r="CE445" s="1053"/>
      <c r="CF445" s="1053"/>
      <c r="CG445" s="1053"/>
      <c r="CH445" s="1053"/>
      <c r="CI445" s="1123"/>
      <c r="CJ445" s="1123"/>
      <c r="CK445" s="1123"/>
      <c r="CL445" s="1123"/>
      <c r="CM445" s="1123"/>
      <c r="CN445" s="1123"/>
      <c r="CO445" s="1123"/>
      <c r="CP445" s="1123"/>
      <c r="CQ445" s="1123"/>
      <c r="CR445" s="1123"/>
      <c r="CS445" s="1123"/>
      <c r="CT445" s="1123"/>
      <c r="CU445" s="1123"/>
      <c r="CV445" s="1123"/>
      <c r="CW445" s="1123"/>
      <c r="CX445" s="1123"/>
      <c r="CY445" s="1123"/>
      <c r="CZ445" s="1114"/>
      <c r="DA445" s="1114"/>
      <c r="DB445" s="1114"/>
      <c r="DC445" s="1114"/>
      <c r="DD445" s="1114"/>
      <c r="DE445" s="1114"/>
      <c r="DF445" s="1114"/>
      <c r="DG445" s="1114"/>
      <c r="DH445" s="1114"/>
      <c r="DI445" s="1114"/>
      <c r="DJ445" s="1114"/>
      <c r="DK445" s="1114"/>
      <c r="DL445" s="1114"/>
      <c r="DM445" s="1114"/>
      <c r="DN445" s="1114"/>
      <c r="DO445" s="1114"/>
      <c r="DP445" s="1114"/>
      <c r="DQ445" s="1114"/>
      <c r="DR445" s="1114"/>
      <c r="DS445" s="1114"/>
      <c r="DT445" s="1114"/>
      <c r="DU445" s="1114"/>
      <c r="DV445" s="1115"/>
      <c r="DW445" s="1116"/>
      <c r="DX445" s="1116"/>
      <c r="DY445" s="1116"/>
      <c r="DZ445" s="1116"/>
      <c r="EA445" s="1116"/>
      <c r="EB445" s="1116"/>
      <c r="EC445" s="1116"/>
      <c r="ED445" s="1116"/>
      <c r="EE445" s="1116"/>
      <c r="EF445" s="1116"/>
      <c r="EG445" s="1116"/>
      <c r="EH445" s="1116"/>
      <c r="EI445" s="1116"/>
      <c r="EJ445" s="1116"/>
      <c r="EK445" s="1116"/>
      <c r="EL445" s="1116"/>
      <c r="EM445" s="1116"/>
      <c r="EN445" s="1116"/>
      <c r="EO445" s="1116"/>
      <c r="EP445" s="1116"/>
      <c r="EQ445" s="1116"/>
      <c r="ER445" s="1116"/>
      <c r="ES445" s="1116"/>
    </row>
    <row r="446" spans="1:149" ht="15" customHeight="1">
      <c r="A446" s="1185">
        <v>431</v>
      </c>
      <c r="B446" s="1041"/>
      <c r="C446" s="1050"/>
      <c r="D446" s="1050"/>
      <c r="E446" s="1050"/>
      <c r="F446" s="1049"/>
      <c r="G446" s="1457"/>
      <c r="H446" s="1049"/>
      <c r="I446" s="1049"/>
      <c r="J446" s="1050"/>
      <c r="K446" s="1050"/>
      <c r="L446" s="1043"/>
      <c r="M446" s="1051"/>
      <c r="N446" s="1051"/>
      <c r="O446" s="1052"/>
      <c r="P446" s="1051"/>
      <c r="Q446" s="1051"/>
      <c r="R446" s="1052"/>
      <c r="S446" s="1051"/>
      <c r="T446" s="1051"/>
      <c r="U446" s="1052"/>
      <c r="V446" s="1051"/>
      <c r="W446" s="1051"/>
      <c r="X446" s="1052"/>
      <c r="Y446" s="1053"/>
      <c r="Z446" s="1051"/>
      <c r="AA446" s="1051"/>
      <c r="AB446" s="1052"/>
      <c r="AC446" s="1051"/>
      <c r="AD446" s="1051"/>
      <c r="AE446" s="1052"/>
      <c r="AF446" s="1051"/>
      <c r="AG446" s="1051"/>
      <c r="AH446" s="1051"/>
      <c r="AI446" s="1051"/>
      <c r="AJ446" s="1052"/>
      <c r="AK446" s="1051"/>
      <c r="AL446" s="1051"/>
      <c r="AM446" s="1052"/>
      <c r="AN446" s="1051"/>
      <c r="AO446" s="1051"/>
      <c r="AP446" s="1052"/>
      <c r="AQ446" s="1051"/>
      <c r="AR446" s="1051"/>
      <c r="AS446" s="1052"/>
      <c r="AT446" s="1051"/>
      <c r="AU446" s="1051"/>
      <c r="AV446" s="1052"/>
      <c r="AW446" s="1051"/>
      <c r="AX446" s="1051"/>
      <c r="AY446" s="1053"/>
      <c r="AZ446" s="1051"/>
      <c r="BA446" s="1051"/>
      <c r="BB446" s="1053"/>
      <c r="BC446" s="1051"/>
      <c r="BD446" s="1051"/>
      <c r="BE446" s="1053"/>
      <c r="BF446" s="1051"/>
      <c r="BG446" s="1051"/>
      <c r="BH446" s="1053"/>
      <c r="BI446" s="1052"/>
      <c r="BJ446" s="1052"/>
      <c r="BK446" s="1052"/>
      <c r="BL446" s="1052"/>
      <c r="BM446" s="1052"/>
      <c r="BN446" s="1054"/>
      <c r="BO446" s="1076">
        <f t="shared" si="17"/>
        <v>0</v>
      </c>
      <c r="BP446" s="1051"/>
      <c r="BQ446" s="1052"/>
      <c r="BR446" s="1054"/>
      <c r="BS446" s="1053"/>
      <c r="BT446" s="1051"/>
      <c r="BU446" s="1051"/>
      <c r="BV446" s="1051"/>
      <c r="BW446" s="1052"/>
      <c r="BX446" s="1052"/>
      <c r="BY446" s="1052"/>
      <c r="BZ446" s="1052"/>
      <c r="CA446" s="1052"/>
      <c r="CB446" s="1053"/>
      <c r="CC446" s="1053"/>
      <c r="CD446" s="1053"/>
      <c r="CE446" s="1053"/>
      <c r="CF446" s="1053"/>
      <c r="CG446" s="1053"/>
      <c r="CH446" s="1053"/>
      <c r="CI446" s="1123"/>
      <c r="CJ446" s="1123"/>
      <c r="CK446" s="1123"/>
      <c r="CL446" s="1123"/>
      <c r="CM446" s="1123"/>
      <c r="CN446" s="1123"/>
      <c r="CO446" s="1123"/>
      <c r="CP446" s="1123"/>
      <c r="CQ446" s="1123"/>
      <c r="CR446" s="1123"/>
      <c r="CS446" s="1123"/>
      <c r="CT446" s="1123"/>
      <c r="CU446" s="1123"/>
      <c r="CV446" s="1123"/>
      <c r="CW446" s="1123"/>
      <c r="CX446" s="1123"/>
      <c r="CY446" s="1123"/>
      <c r="CZ446" s="1114"/>
      <c r="DA446" s="1114"/>
      <c r="DB446" s="1114"/>
      <c r="DC446" s="1114"/>
      <c r="DD446" s="1114"/>
      <c r="DE446" s="1114"/>
      <c r="DF446" s="1114"/>
      <c r="DG446" s="1114"/>
      <c r="DH446" s="1114"/>
      <c r="DI446" s="1114"/>
      <c r="DJ446" s="1114"/>
      <c r="DK446" s="1114"/>
      <c r="DL446" s="1114"/>
      <c r="DM446" s="1114"/>
      <c r="DN446" s="1114"/>
      <c r="DO446" s="1114"/>
      <c r="DP446" s="1114"/>
      <c r="DQ446" s="1114"/>
      <c r="DR446" s="1114"/>
      <c r="DS446" s="1114"/>
      <c r="DT446" s="1114"/>
      <c r="DU446" s="1114"/>
      <c r="DV446" s="1115"/>
      <c r="DW446" s="1116"/>
      <c r="DX446" s="1116"/>
      <c r="DY446" s="1116"/>
      <c r="DZ446" s="1116"/>
      <c r="EA446" s="1116"/>
      <c r="EB446" s="1116"/>
      <c r="EC446" s="1116"/>
      <c r="ED446" s="1116"/>
      <c r="EE446" s="1116"/>
      <c r="EF446" s="1116"/>
      <c r="EG446" s="1116"/>
      <c r="EH446" s="1116"/>
      <c r="EI446" s="1116"/>
      <c r="EJ446" s="1116"/>
      <c r="EK446" s="1116"/>
      <c r="EL446" s="1116"/>
      <c r="EM446" s="1116"/>
      <c r="EN446" s="1116"/>
      <c r="EO446" s="1116"/>
      <c r="EP446" s="1116"/>
      <c r="EQ446" s="1116"/>
      <c r="ER446" s="1116"/>
      <c r="ES446" s="1116"/>
    </row>
    <row r="447" spans="1:149" ht="15" customHeight="1">
      <c r="A447" s="1185">
        <v>432</v>
      </c>
      <c r="B447" s="1041"/>
      <c r="C447" s="1050"/>
      <c r="D447" s="1050"/>
      <c r="E447" s="1050"/>
      <c r="F447" s="1049"/>
      <c r="G447" s="1457"/>
      <c r="H447" s="1049"/>
      <c r="I447" s="1049"/>
      <c r="J447" s="1050"/>
      <c r="K447" s="1050"/>
      <c r="L447" s="1043"/>
      <c r="M447" s="1051"/>
      <c r="N447" s="1051"/>
      <c r="O447" s="1052"/>
      <c r="P447" s="1051"/>
      <c r="Q447" s="1051"/>
      <c r="R447" s="1052"/>
      <c r="S447" s="1051"/>
      <c r="T447" s="1051"/>
      <c r="U447" s="1052"/>
      <c r="V447" s="1051"/>
      <c r="W447" s="1051"/>
      <c r="X447" s="1052"/>
      <c r="Y447" s="1053"/>
      <c r="Z447" s="1051"/>
      <c r="AA447" s="1051"/>
      <c r="AB447" s="1052"/>
      <c r="AC447" s="1051"/>
      <c r="AD447" s="1051"/>
      <c r="AE447" s="1052"/>
      <c r="AF447" s="1051"/>
      <c r="AG447" s="1051"/>
      <c r="AH447" s="1051"/>
      <c r="AI447" s="1051"/>
      <c r="AJ447" s="1052"/>
      <c r="AK447" s="1051"/>
      <c r="AL447" s="1051"/>
      <c r="AM447" s="1052"/>
      <c r="AN447" s="1051"/>
      <c r="AO447" s="1051"/>
      <c r="AP447" s="1052"/>
      <c r="AQ447" s="1051"/>
      <c r="AR447" s="1051"/>
      <c r="AS447" s="1052"/>
      <c r="AT447" s="1051"/>
      <c r="AU447" s="1051"/>
      <c r="AV447" s="1052"/>
      <c r="AW447" s="1051"/>
      <c r="AX447" s="1051"/>
      <c r="AY447" s="1053"/>
      <c r="AZ447" s="1051"/>
      <c r="BA447" s="1051"/>
      <c r="BB447" s="1053"/>
      <c r="BC447" s="1051"/>
      <c r="BD447" s="1051"/>
      <c r="BE447" s="1053"/>
      <c r="BF447" s="1051"/>
      <c r="BG447" s="1051"/>
      <c r="BH447" s="1053"/>
      <c r="BI447" s="1052"/>
      <c r="BJ447" s="1052"/>
      <c r="BK447" s="1052"/>
      <c r="BL447" s="1052"/>
      <c r="BM447" s="1052"/>
      <c r="BN447" s="1054"/>
      <c r="BO447" s="1076">
        <f t="shared" si="17"/>
        <v>0</v>
      </c>
      <c r="BP447" s="1051"/>
      <c r="BQ447" s="1052"/>
      <c r="BR447" s="1054"/>
      <c r="BS447" s="1053"/>
      <c r="BT447" s="1051"/>
      <c r="BU447" s="1051"/>
      <c r="BV447" s="1051"/>
      <c r="BW447" s="1052"/>
      <c r="BX447" s="1052"/>
      <c r="BY447" s="1052"/>
      <c r="BZ447" s="1052"/>
      <c r="CA447" s="1052"/>
      <c r="CB447" s="1053"/>
      <c r="CC447" s="1053"/>
      <c r="CD447" s="1053"/>
      <c r="CE447" s="1053"/>
      <c r="CF447" s="1053"/>
      <c r="CG447" s="1053"/>
      <c r="CH447" s="1053"/>
      <c r="CI447" s="1123"/>
      <c r="CJ447" s="1123"/>
      <c r="CK447" s="1123"/>
      <c r="CL447" s="1123"/>
      <c r="CM447" s="1123"/>
      <c r="CN447" s="1123"/>
      <c r="CO447" s="1123"/>
      <c r="CP447" s="1123"/>
      <c r="CQ447" s="1123"/>
      <c r="CR447" s="1123"/>
      <c r="CS447" s="1123"/>
      <c r="CT447" s="1123"/>
      <c r="CU447" s="1123"/>
      <c r="CV447" s="1123"/>
      <c r="CW447" s="1123"/>
      <c r="CX447" s="1123"/>
      <c r="CY447" s="1123"/>
      <c r="CZ447" s="1114"/>
      <c r="DA447" s="1114"/>
      <c r="DB447" s="1114"/>
      <c r="DC447" s="1114"/>
      <c r="DD447" s="1114"/>
      <c r="DE447" s="1114"/>
      <c r="DF447" s="1114"/>
      <c r="DG447" s="1114"/>
      <c r="DH447" s="1114"/>
      <c r="DI447" s="1114"/>
      <c r="DJ447" s="1114"/>
      <c r="DK447" s="1114"/>
      <c r="DL447" s="1114"/>
      <c r="DM447" s="1114"/>
      <c r="DN447" s="1114"/>
      <c r="DO447" s="1114"/>
      <c r="DP447" s="1114"/>
      <c r="DQ447" s="1114"/>
      <c r="DR447" s="1114"/>
      <c r="DS447" s="1114"/>
      <c r="DT447" s="1114"/>
      <c r="DU447" s="1114"/>
      <c r="DV447" s="1115"/>
      <c r="DW447" s="1116"/>
      <c r="DX447" s="1116"/>
      <c r="DY447" s="1116"/>
      <c r="DZ447" s="1116"/>
      <c r="EA447" s="1116"/>
      <c r="EB447" s="1116"/>
      <c r="EC447" s="1116"/>
      <c r="ED447" s="1116"/>
      <c r="EE447" s="1116"/>
      <c r="EF447" s="1116"/>
      <c r="EG447" s="1116"/>
      <c r="EH447" s="1116"/>
      <c r="EI447" s="1116"/>
      <c r="EJ447" s="1116"/>
      <c r="EK447" s="1116"/>
      <c r="EL447" s="1116"/>
      <c r="EM447" s="1116"/>
      <c r="EN447" s="1116"/>
      <c r="EO447" s="1116"/>
      <c r="EP447" s="1116"/>
      <c r="EQ447" s="1116"/>
      <c r="ER447" s="1116"/>
      <c r="ES447" s="1116"/>
    </row>
    <row r="448" spans="1:149" ht="15" customHeight="1">
      <c r="A448" s="1185">
        <v>433</v>
      </c>
      <c r="B448" s="1041"/>
      <c r="C448" s="1050"/>
      <c r="D448" s="1050"/>
      <c r="E448" s="1050"/>
      <c r="F448" s="1049"/>
      <c r="G448" s="1457"/>
      <c r="H448" s="1049"/>
      <c r="I448" s="1049"/>
      <c r="J448" s="1050"/>
      <c r="K448" s="1050"/>
      <c r="L448" s="1043"/>
      <c r="M448" s="1051"/>
      <c r="N448" s="1051"/>
      <c r="O448" s="1052"/>
      <c r="P448" s="1051"/>
      <c r="Q448" s="1051"/>
      <c r="R448" s="1052"/>
      <c r="S448" s="1051"/>
      <c r="T448" s="1051"/>
      <c r="U448" s="1052"/>
      <c r="V448" s="1051"/>
      <c r="W448" s="1051"/>
      <c r="X448" s="1052"/>
      <c r="Y448" s="1053"/>
      <c r="Z448" s="1051"/>
      <c r="AA448" s="1051"/>
      <c r="AB448" s="1052"/>
      <c r="AC448" s="1051"/>
      <c r="AD448" s="1051"/>
      <c r="AE448" s="1052"/>
      <c r="AF448" s="1051"/>
      <c r="AG448" s="1051"/>
      <c r="AH448" s="1051"/>
      <c r="AI448" s="1051"/>
      <c r="AJ448" s="1052"/>
      <c r="AK448" s="1051"/>
      <c r="AL448" s="1051"/>
      <c r="AM448" s="1052"/>
      <c r="AN448" s="1051"/>
      <c r="AO448" s="1051"/>
      <c r="AP448" s="1052"/>
      <c r="AQ448" s="1051"/>
      <c r="AR448" s="1051"/>
      <c r="AS448" s="1052"/>
      <c r="AT448" s="1051"/>
      <c r="AU448" s="1051"/>
      <c r="AV448" s="1052"/>
      <c r="AW448" s="1051"/>
      <c r="AX448" s="1051"/>
      <c r="AY448" s="1053"/>
      <c r="AZ448" s="1051"/>
      <c r="BA448" s="1051"/>
      <c r="BB448" s="1053"/>
      <c r="BC448" s="1051"/>
      <c r="BD448" s="1051"/>
      <c r="BE448" s="1053"/>
      <c r="BF448" s="1051"/>
      <c r="BG448" s="1051"/>
      <c r="BH448" s="1053"/>
      <c r="BI448" s="1052"/>
      <c r="BJ448" s="1052"/>
      <c r="BK448" s="1052"/>
      <c r="BL448" s="1052"/>
      <c r="BM448" s="1052"/>
      <c r="BN448" s="1054"/>
      <c r="BO448" s="1076">
        <f t="shared" si="17"/>
        <v>0</v>
      </c>
      <c r="BP448" s="1051"/>
      <c r="BQ448" s="1052"/>
      <c r="BR448" s="1054"/>
      <c r="BS448" s="1053"/>
      <c r="BT448" s="1051"/>
      <c r="BU448" s="1051"/>
      <c r="BV448" s="1051"/>
      <c r="BW448" s="1052"/>
      <c r="BX448" s="1052"/>
      <c r="BY448" s="1052"/>
      <c r="BZ448" s="1052"/>
      <c r="CA448" s="1052"/>
      <c r="CB448" s="1053"/>
      <c r="CC448" s="1053"/>
      <c r="CD448" s="1053"/>
      <c r="CE448" s="1053"/>
      <c r="CF448" s="1053"/>
      <c r="CG448" s="1053"/>
      <c r="CH448" s="1053"/>
      <c r="CI448" s="1123"/>
      <c r="CJ448" s="1123"/>
      <c r="CK448" s="1123"/>
      <c r="CL448" s="1123"/>
      <c r="CM448" s="1123"/>
      <c r="CN448" s="1123"/>
      <c r="CO448" s="1123"/>
      <c r="CP448" s="1123"/>
      <c r="CQ448" s="1123"/>
      <c r="CR448" s="1123"/>
      <c r="CS448" s="1123"/>
      <c r="CT448" s="1123"/>
      <c r="CU448" s="1123"/>
      <c r="CV448" s="1123"/>
      <c r="CW448" s="1123"/>
      <c r="CX448" s="1123"/>
      <c r="CY448" s="1123"/>
      <c r="CZ448" s="1114"/>
      <c r="DA448" s="1114"/>
      <c r="DB448" s="1114"/>
      <c r="DC448" s="1114"/>
      <c r="DD448" s="1114"/>
      <c r="DE448" s="1114"/>
      <c r="DF448" s="1114"/>
      <c r="DG448" s="1114"/>
      <c r="DH448" s="1114"/>
      <c r="DI448" s="1114"/>
      <c r="DJ448" s="1114"/>
      <c r="DK448" s="1114"/>
      <c r="DL448" s="1114"/>
      <c r="DM448" s="1114"/>
      <c r="DN448" s="1114"/>
      <c r="DO448" s="1114"/>
      <c r="DP448" s="1114"/>
      <c r="DQ448" s="1114"/>
      <c r="DR448" s="1114"/>
      <c r="DS448" s="1114"/>
      <c r="DT448" s="1114"/>
      <c r="DU448" s="1114"/>
      <c r="DV448" s="1115"/>
      <c r="DW448" s="1116"/>
      <c r="DX448" s="1116"/>
      <c r="DY448" s="1116"/>
      <c r="DZ448" s="1116"/>
      <c r="EA448" s="1116"/>
      <c r="EB448" s="1116"/>
      <c r="EC448" s="1116"/>
      <c r="ED448" s="1116"/>
      <c r="EE448" s="1116"/>
      <c r="EF448" s="1116"/>
      <c r="EG448" s="1116"/>
      <c r="EH448" s="1116"/>
      <c r="EI448" s="1116"/>
      <c r="EJ448" s="1116"/>
      <c r="EK448" s="1116"/>
      <c r="EL448" s="1116"/>
      <c r="EM448" s="1116"/>
      <c r="EN448" s="1116"/>
      <c r="EO448" s="1116"/>
      <c r="EP448" s="1116"/>
      <c r="EQ448" s="1116"/>
      <c r="ER448" s="1116"/>
      <c r="ES448" s="1116"/>
    </row>
    <row r="449" spans="1:149" ht="15" customHeight="1">
      <c r="A449" s="1185">
        <v>434</v>
      </c>
      <c r="B449" s="1041"/>
      <c r="C449" s="1050"/>
      <c r="D449" s="1050"/>
      <c r="E449" s="1050"/>
      <c r="F449" s="1049"/>
      <c r="G449" s="1457"/>
      <c r="H449" s="1049"/>
      <c r="I449" s="1049"/>
      <c r="J449" s="1050"/>
      <c r="K449" s="1050"/>
      <c r="L449" s="1043"/>
      <c r="M449" s="1051"/>
      <c r="N449" s="1051"/>
      <c r="O449" s="1052"/>
      <c r="P449" s="1051"/>
      <c r="Q449" s="1051"/>
      <c r="R449" s="1052"/>
      <c r="S449" s="1051"/>
      <c r="T449" s="1051"/>
      <c r="U449" s="1052"/>
      <c r="V449" s="1051"/>
      <c r="W449" s="1051"/>
      <c r="X449" s="1052"/>
      <c r="Y449" s="1053"/>
      <c r="Z449" s="1051"/>
      <c r="AA449" s="1051"/>
      <c r="AB449" s="1052"/>
      <c r="AC449" s="1051"/>
      <c r="AD449" s="1051"/>
      <c r="AE449" s="1052"/>
      <c r="AF449" s="1051"/>
      <c r="AG449" s="1051"/>
      <c r="AH449" s="1051"/>
      <c r="AI449" s="1051"/>
      <c r="AJ449" s="1052"/>
      <c r="AK449" s="1051"/>
      <c r="AL449" s="1051"/>
      <c r="AM449" s="1052"/>
      <c r="AN449" s="1051"/>
      <c r="AO449" s="1051"/>
      <c r="AP449" s="1052"/>
      <c r="AQ449" s="1051"/>
      <c r="AR449" s="1051"/>
      <c r="AS449" s="1052"/>
      <c r="AT449" s="1051"/>
      <c r="AU449" s="1051"/>
      <c r="AV449" s="1052"/>
      <c r="AW449" s="1051"/>
      <c r="AX449" s="1051"/>
      <c r="AY449" s="1053"/>
      <c r="AZ449" s="1051"/>
      <c r="BA449" s="1051"/>
      <c r="BB449" s="1053"/>
      <c r="BC449" s="1051"/>
      <c r="BD449" s="1051"/>
      <c r="BE449" s="1053"/>
      <c r="BF449" s="1051"/>
      <c r="BG449" s="1051"/>
      <c r="BH449" s="1053"/>
      <c r="BI449" s="1052"/>
      <c r="BJ449" s="1052"/>
      <c r="BK449" s="1052"/>
      <c r="BL449" s="1052"/>
      <c r="BM449" s="1052"/>
      <c r="BN449" s="1054"/>
      <c r="BO449" s="1076">
        <f t="shared" si="17"/>
        <v>0</v>
      </c>
      <c r="BP449" s="1051"/>
      <c r="BQ449" s="1052"/>
      <c r="BR449" s="1054"/>
      <c r="BS449" s="1053"/>
      <c r="BT449" s="1051"/>
      <c r="BU449" s="1051"/>
      <c r="BV449" s="1051"/>
      <c r="BW449" s="1052"/>
      <c r="BX449" s="1052"/>
      <c r="BY449" s="1052"/>
      <c r="BZ449" s="1052"/>
      <c r="CA449" s="1052"/>
      <c r="CB449" s="1053"/>
      <c r="CC449" s="1053"/>
      <c r="CD449" s="1053"/>
      <c r="CE449" s="1053"/>
      <c r="CF449" s="1053"/>
      <c r="CG449" s="1053"/>
      <c r="CH449" s="1053"/>
      <c r="CI449" s="1123"/>
      <c r="CJ449" s="1123"/>
      <c r="CK449" s="1123"/>
      <c r="CL449" s="1123"/>
      <c r="CM449" s="1123"/>
      <c r="CN449" s="1123"/>
      <c r="CO449" s="1123"/>
      <c r="CP449" s="1123"/>
      <c r="CQ449" s="1123"/>
      <c r="CR449" s="1123"/>
      <c r="CS449" s="1123"/>
      <c r="CT449" s="1123"/>
      <c r="CU449" s="1123"/>
      <c r="CV449" s="1123"/>
      <c r="CW449" s="1123"/>
      <c r="CX449" s="1123"/>
      <c r="CY449" s="1123"/>
      <c r="CZ449" s="1114"/>
      <c r="DA449" s="1114"/>
      <c r="DB449" s="1114"/>
      <c r="DC449" s="1114"/>
      <c r="DD449" s="1114"/>
      <c r="DE449" s="1114"/>
      <c r="DF449" s="1114"/>
      <c r="DG449" s="1114"/>
      <c r="DH449" s="1114"/>
      <c r="DI449" s="1114"/>
      <c r="DJ449" s="1114"/>
      <c r="DK449" s="1114"/>
      <c r="DL449" s="1114"/>
      <c r="DM449" s="1114"/>
      <c r="DN449" s="1114"/>
      <c r="DO449" s="1114"/>
      <c r="DP449" s="1114"/>
      <c r="DQ449" s="1114"/>
      <c r="DR449" s="1114"/>
      <c r="DS449" s="1114"/>
      <c r="DT449" s="1114"/>
      <c r="DU449" s="1114"/>
      <c r="DV449" s="1115"/>
      <c r="DW449" s="1116"/>
      <c r="DX449" s="1116"/>
      <c r="DY449" s="1116"/>
      <c r="DZ449" s="1116"/>
      <c r="EA449" s="1116"/>
      <c r="EB449" s="1116"/>
      <c r="EC449" s="1116"/>
      <c r="ED449" s="1116"/>
      <c r="EE449" s="1116"/>
      <c r="EF449" s="1116"/>
      <c r="EG449" s="1116"/>
      <c r="EH449" s="1116"/>
      <c r="EI449" s="1116"/>
      <c r="EJ449" s="1116"/>
      <c r="EK449" s="1116"/>
      <c r="EL449" s="1116"/>
      <c r="EM449" s="1116"/>
      <c r="EN449" s="1116"/>
      <c r="EO449" s="1116"/>
      <c r="EP449" s="1116"/>
      <c r="EQ449" s="1116"/>
      <c r="ER449" s="1116"/>
      <c r="ES449" s="1116"/>
    </row>
    <row r="450" spans="1:149" ht="15" customHeight="1">
      <c r="A450" s="1185">
        <v>435</v>
      </c>
      <c r="B450" s="1041"/>
      <c r="C450" s="1050"/>
      <c r="D450" s="1050"/>
      <c r="E450" s="1050"/>
      <c r="F450" s="1049"/>
      <c r="G450" s="1457"/>
      <c r="H450" s="1049"/>
      <c r="I450" s="1049"/>
      <c r="J450" s="1050"/>
      <c r="K450" s="1050"/>
      <c r="L450" s="1043"/>
      <c r="M450" s="1051"/>
      <c r="N450" s="1051"/>
      <c r="O450" s="1052"/>
      <c r="P450" s="1051"/>
      <c r="Q450" s="1051"/>
      <c r="R450" s="1052"/>
      <c r="S450" s="1051"/>
      <c r="T450" s="1051"/>
      <c r="U450" s="1052"/>
      <c r="V450" s="1051"/>
      <c r="W450" s="1051"/>
      <c r="X450" s="1052"/>
      <c r="Y450" s="1053"/>
      <c r="Z450" s="1051"/>
      <c r="AA450" s="1051"/>
      <c r="AB450" s="1052"/>
      <c r="AC450" s="1051"/>
      <c r="AD450" s="1051"/>
      <c r="AE450" s="1052"/>
      <c r="AF450" s="1051"/>
      <c r="AG450" s="1051"/>
      <c r="AH450" s="1051"/>
      <c r="AI450" s="1051"/>
      <c r="AJ450" s="1052"/>
      <c r="AK450" s="1051"/>
      <c r="AL450" s="1051"/>
      <c r="AM450" s="1052"/>
      <c r="AN450" s="1051"/>
      <c r="AO450" s="1051"/>
      <c r="AP450" s="1052"/>
      <c r="AQ450" s="1051"/>
      <c r="AR450" s="1051"/>
      <c r="AS450" s="1052"/>
      <c r="AT450" s="1051"/>
      <c r="AU450" s="1051"/>
      <c r="AV450" s="1052"/>
      <c r="AW450" s="1051"/>
      <c r="AX450" s="1051"/>
      <c r="AY450" s="1053"/>
      <c r="AZ450" s="1051"/>
      <c r="BA450" s="1051"/>
      <c r="BB450" s="1053"/>
      <c r="BC450" s="1051"/>
      <c r="BD450" s="1051"/>
      <c r="BE450" s="1053"/>
      <c r="BF450" s="1051"/>
      <c r="BG450" s="1051"/>
      <c r="BH450" s="1053"/>
      <c r="BI450" s="1052"/>
      <c r="BJ450" s="1052"/>
      <c r="BK450" s="1052"/>
      <c r="BL450" s="1052"/>
      <c r="BM450" s="1052"/>
      <c r="BN450" s="1054"/>
      <c r="BO450" s="1076">
        <f t="shared" si="17"/>
        <v>0</v>
      </c>
      <c r="BP450" s="1051"/>
      <c r="BQ450" s="1052"/>
      <c r="BR450" s="1054"/>
      <c r="BS450" s="1053"/>
      <c r="BT450" s="1051"/>
      <c r="BU450" s="1051"/>
      <c r="BV450" s="1051"/>
      <c r="BW450" s="1052"/>
      <c r="BX450" s="1052"/>
      <c r="BY450" s="1052"/>
      <c r="BZ450" s="1052"/>
      <c r="CA450" s="1052"/>
      <c r="CB450" s="1053"/>
      <c r="CC450" s="1053"/>
      <c r="CD450" s="1053"/>
      <c r="CE450" s="1053"/>
      <c r="CF450" s="1053"/>
      <c r="CG450" s="1053"/>
      <c r="CH450" s="1053"/>
      <c r="CI450" s="1123"/>
      <c r="CJ450" s="1123"/>
      <c r="CK450" s="1123"/>
      <c r="CL450" s="1123"/>
      <c r="CM450" s="1123"/>
      <c r="CN450" s="1123"/>
      <c r="CO450" s="1123"/>
      <c r="CP450" s="1123"/>
      <c r="CQ450" s="1123"/>
      <c r="CR450" s="1123"/>
      <c r="CS450" s="1123"/>
      <c r="CT450" s="1123"/>
      <c r="CU450" s="1123"/>
      <c r="CV450" s="1123"/>
      <c r="CW450" s="1123"/>
      <c r="CX450" s="1123"/>
      <c r="CY450" s="1123"/>
      <c r="CZ450" s="1114"/>
      <c r="DA450" s="1114"/>
      <c r="DB450" s="1114"/>
      <c r="DC450" s="1114"/>
      <c r="DD450" s="1114"/>
      <c r="DE450" s="1114"/>
      <c r="DF450" s="1114"/>
      <c r="DG450" s="1114"/>
      <c r="DH450" s="1114"/>
      <c r="DI450" s="1114"/>
      <c r="DJ450" s="1114"/>
      <c r="DK450" s="1114"/>
      <c r="DL450" s="1114"/>
      <c r="DM450" s="1114"/>
      <c r="DN450" s="1114"/>
      <c r="DO450" s="1114"/>
      <c r="DP450" s="1114"/>
      <c r="DQ450" s="1114"/>
      <c r="DR450" s="1114"/>
      <c r="DS450" s="1114"/>
      <c r="DT450" s="1114"/>
      <c r="DU450" s="1114"/>
      <c r="DV450" s="1115"/>
      <c r="DW450" s="1116"/>
      <c r="DX450" s="1116"/>
      <c r="DY450" s="1116"/>
      <c r="DZ450" s="1116"/>
      <c r="EA450" s="1116"/>
      <c r="EB450" s="1116"/>
      <c r="EC450" s="1116"/>
      <c r="ED450" s="1116"/>
      <c r="EE450" s="1116"/>
      <c r="EF450" s="1116"/>
      <c r="EG450" s="1116"/>
      <c r="EH450" s="1116"/>
      <c r="EI450" s="1116"/>
      <c r="EJ450" s="1116"/>
      <c r="EK450" s="1116"/>
      <c r="EL450" s="1116"/>
      <c r="EM450" s="1116"/>
      <c r="EN450" s="1116"/>
      <c r="EO450" s="1116"/>
      <c r="EP450" s="1116"/>
      <c r="EQ450" s="1116"/>
      <c r="ER450" s="1116"/>
      <c r="ES450" s="1116"/>
    </row>
    <row r="451" spans="1:149" ht="15" customHeight="1">
      <c r="A451" s="1185">
        <v>436</v>
      </c>
      <c r="B451" s="1041"/>
      <c r="C451" s="1050"/>
      <c r="D451" s="1050"/>
      <c r="E451" s="1050"/>
      <c r="F451" s="1049"/>
      <c r="G451" s="1457"/>
      <c r="H451" s="1049"/>
      <c r="I451" s="1049"/>
      <c r="J451" s="1050"/>
      <c r="K451" s="1050"/>
      <c r="L451" s="1043"/>
      <c r="M451" s="1051"/>
      <c r="N451" s="1051"/>
      <c r="O451" s="1052"/>
      <c r="P451" s="1051"/>
      <c r="Q451" s="1051"/>
      <c r="R451" s="1052"/>
      <c r="S451" s="1051"/>
      <c r="T451" s="1051"/>
      <c r="U451" s="1052"/>
      <c r="V451" s="1051"/>
      <c r="W451" s="1051"/>
      <c r="X451" s="1052"/>
      <c r="Y451" s="1053"/>
      <c r="Z451" s="1051"/>
      <c r="AA451" s="1051"/>
      <c r="AB451" s="1052"/>
      <c r="AC451" s="1051"/>
      <c r="AD451" s="1051"/>
      <c r="AE451" s="1052"/>
      <c r="AF451" s="1051"/>
      <c r="AG451" s="1051"/>
      <c r="AH451" s="1051"/>
      <c r="AI451" s="1051"/>
      <c r="AJ451" s="1052"/>
      <c r="AK451" s="1051"/>
      <c r="AL451" s="1051"/>
      <c r="AM451" s="1052"/>
      <c r="AN451" s="1051"/>
      <c r="AO451" s="1051"/>
      <c r="AP451" s="1052"/>
      <c r="AQ451" s="1051"/>
      <c r="AR451" s="1051"/>
      <c r="AS451" s="1052"/>
      <c r="AT451" s="1051"/>
      <c r="AU451" s="1051"/>
      <c r="AV451" s="1052"/>
      <c r="AW451" s="1051"/>
      <c r="AX451" s="1051"/>
      <c r="AY451" s="1053"/>
      <c r="AZ451" s="1051"/>
      <c r="BA451" s="1051"/>
      <c r="BB451" s="1053"/>
      <c r="BC451" s="1051"/>
      <c r="BD451" s="1051"/>
      <c r="BE451" s="1053"/>
      <c r="BF451" s="1051"/>
      <c r="BG451" s="1051"/>
      <c r="BH451" s="1053"/>
      <c r="BI451" s="1052"/>
      <c r="BJ451" s="1052"/>
      <c r="BK451" s="1052"/>
      <c r="BL451" s="1052"/>
      <c r="BM451" s="1052"/>
      <c r="BN451" s="1054"/>
      <c r="BO451" s="1076">
        <f t="shared" si="17"/>
        <v>0</v>
      </c>
      <c r="BP451" s="1051"/>
      <c r="BQ451" s="1052"/>
      <c r="BR451" s="1054"/>
      <c r="BS451" s="1053"/>
      <c r="BT451" s="1051"/>
      <c r="BU451" s="1051"/>
      <c r="BV451" s="1051"/>
      <c r="BW451" s="1052"/>
      <c r="BX451" s="1052"/>
      <c r="BY451" s="1052"/>
      <c r="BZ451" s="1052"/>
      <c r="CA451" s="1052"/>
      <c r="CB451" s="1053"/>
      <c r="CC451" s="1053"/>
      <c r="CD451" s="1053"/>
      <c r="CE451" s="1053"/>
      <c r="CF451" s="1053"/>
      <c r="CG451" s="1053"/>
      <c r="CH451" s="1053"/>
      <c r="CI451" s="1123"/>
      <c r="CJ451" s="1123"/>
      <c r="CK451" s="1123"/>
      <c r="CL451" s="1123"/>
      <c r="CM451" s="1123"/>
      <c r="CN451" s="1123"/>
      <c r="CO451" s="1123"/>
      <c r="CP451" s="1123"/>
      <c r="CQ451" s="1123"/>
      <c r="CR451" s="1123"/>
      <c r="CS451" s="1123"/>
      <c r="CT451" s="1123"/>
      <c r="CU451" s="1123"/>
      <c r="CV451" s="1123"/>
      <c r="CW451" s="1123"/>
      <c r="CX451" s="1123"/>
      <c r="CY451" s="1123"/>
      <c r="CZ451" s="1114"/>
      <c r="DA451" s="1114"/>
      <c r="DB451" s="1114"/>
      <c r="DC451" s="1114"/>
      <c r="DD451" s="1114"/>
      <c r="DE451" s="1114"/>
      <c r="DF451" s="1114"/>
      <c r="DG451" s="1114"/>
      <c r="DH451" s="1114"/>
      <c r="DI451" s="1114"/>
      <c r="DJ451" s="1114"/>
      <c r="DK451" s="1114"/>
      <c r="DL451" s="1114"/>
      <c r="DM451" s="1114"/>
      <c r="DN451" s="1114"/>
      <c r="DO451" s="1114"/>
      <c r="DP451" s="1114"/>
      <c r="DQ451" s="1114"/>
      <c r="DR451" s="1114"/>
      <c r="DS451" s="1114"/>
      <c r="DT451" s="1114"/>
      <c r="DU451" s="1114"/>
      <c r="DV451" s="1115"/>
      <c r="DW451" s="1116"/>
      <c r="DX451" s="1116"/>
      <c r="DY451" s="1116"/>
      <c r="DZ451" s="1116"/>
      <c r="EA451" s="1116"/>
      <c r="EB451" s="1116"/>
      <c r="EC451" s="1116"/>
      <c r="ED451" s="1116"/>
      <c r="EE451" s="1116"/>
      <c r="EF451" s="1116"/>
      <c r="EG451" s="1116"/>
      <c r="EH451" s="1116"/>
      <c r="EI451" s="1116"/>
      <c r="EJ451" s="1116"/>
      <c r="EK451" s="1116"/>
      <c r="EL451" s="1116"/>
      <c r="EM451" s="1116"/>
      <c r="EN451" s="1116"/>
      <c r="EO451" s="1116"/>
      <c r="EP451" s="1116"/>
      <c r="EQ451" s="1116"/>
      <c r="ER451" s="1116"/>
      <c r="ES451" s="1116"/>
    </row>
    <row r="452" spans="1:149" ht="15" customHeight="1">
      <c r="A452" s="1185">
        <v>437</v>
      </c>
      <c r="B452" s="1041"/>
      <c r="C452" s="1050"/>
      <c r="D452" s="1050"/>
      <c r="E452" s="1050"/>
      <c r="F452" s="1049"/>
      <c r="G452" s="1457"/>
      <c r="H452" s="1049"/>
      <c r="I452" s="1049"/>
      <c r="J452" s="1050"/>
      <c r="K452" s="1050"/>
      <c r="L452" s="1043"/>
      <c r="M452" s="1051"/>
      <c r="N452" s="1051"/>
      <c r="O452" s="1052"/>
      <c r="P452" s="1051"/>
      <c r="Q452" s="1051"/>
      <c r="R452" s="1052"/>
      <c r="S452" s="1051"/>
      <c r="T452" s="1051"/>
      <c r="U452" s="1052"/>
      <c r="V452" s="1051"/>
      <c r="W452" s="1051"/>
      <c r="X452" s="1052"/>
      <c r="Y452" s="1053"/>
      <c r="Z452" s="1051"/>
      <c r="AA452" s="1051"/>
      <c r="AB452" s="1052"/>
      <c r="AC452" s="1051"/>
      <c r="AD452" s="1051"/>
      <c r="AE452" s="1052"/>
      <c r="AF452" s="1051"/>
      <c r="AG452" s="1051"/>
      <c r="AH452" s="1051"/>
      <c r="AI452" s="1051"/>
      <c r="AJ452" s="1052"/>
      <c r="AK452" s="1051"/>
      <c r="AL452" s="1051"/>
      <c r="AM452" s="1052"/>
      <c r="AN452" s="1051"/>
      <c r="AO452" s="1051"/>
      <c r="AP452" s="1052"/>
      <c r="AQ452" s="1051"/>
      <c r="AR452" s="1051"/>
      <c r="AS452" s="1052"/>
      <c r="AT452" s="1051"/>
      <c r="AU452" s="1051"/>
      <c r="AV452" s="1052"/>
      <c r="AW452" s="1051"/>
      <c r="AX452" s="1051"/>
      <c r="AY452" s="1053"/>
      <c r="AZ452" s="1051"/>
      <c r="BA452" s="1051"/>
      <c r="BB452" s="1053"/>
      <c r="BC452" s="1051"/>
      <c r="BD452" s="1051"/>
      <c r="BE452" s="1053"/>
      <c r="BF452" s="1051"/>
      <c r="BG452" s="1051"/>
      <c r="BH452" s="1053"/>
      <c r="BI452" s="1052"/>
      <c r="BJ452" s="1052"/>
      <c r="BK452" s="1052"/>
      <c r="BL452" s="1052"/>
      <c r="BM452" s="1052"/>
      <c r="BN452" s="1054"/>
      <c r="BO452" s="1076">
        <f t="shared" si="17"/>
        <v>0</v>
      </c>
      <c r="BP452" s="1051"/>
      <c r="BQ452" s="1052"/>
      <c r="BR452" s="1054"/>
      <c r="BS452" s="1053"/>
      <c r="BT452" s="1051"/>
      <c r="BU452" s="1051"/>
      <c r="BV452" s="1051"/>
      <c r="BW452" s="1052"/>
      <c r="BX452" s="1052"/>
      <c r="BY452" s="1052"/>
      <c r="BZ452" s="1052"/>
      <c r="CA452" s="1052"/>
      <c r="CB452" s="1053"/>
      <c r="CC452" s="1053"/>
      <c r="CD452" s="1053"/>
      <c r="CE452" s="1053"/>
      <c r="CF452" s="1053"/>
      <c r="CG452" s="1053"/>
      <c r="CH452" s="1053"/>
      <c r="CI452" s="1123"/>
      <c r="CJ452" s="1123"/>
      <c r="CK452" s="1123"/>
      <c r="CL452" s="1123"/>
      <c r="CM452" s="1123"/>
      <c r="CN452" s="1123"/>
      <c r="CO452" s="1123"/>
      <c r="CP452" s="1123"/>
      <c r="CQ452" s="1123"/>
      <c r="CR452" s="1123"/>
      <c r="CS452" s="1123"/>
      <c r="CT452" s="1123"/>
      <c r="CU452" s="1123"/>
      <c r="CV452" s="1123"/>
      <c r="CW452" s="1123"/>
      <c r="CX452" s="1123"/>
      <c r="CY452" s="1123"/>
      <c r="CZ452" s="1114"/>
      <c r="DA452" s="1114"/>
      <c r="DB452" s="1114"/>
      <c r="DC452" s="1114"/>
      <c r="DD452" s="1114"/>
      <c r="DE452" s="1114"/>
      <c r="DF452" s="1114"/>
      <c r="DG452" s="1114"/>
      <c r="DH452" s="1114"/>
      <c r="DI452" s="1114"/>
      <c r="DJ452" s="1114"/>
      <c r="DK452" s="1114"/>
      <c r="DL452" s="1114"/>
      <c r="DM452" s="1114"/>
      <c r="DN452" s="1114"/>
      <c r="DO452" s="1114"/>
      <c r="DP452" s="1114"/>
      <c r="DQ452" s="1114"/>
      <c r="DR452" s="1114"/>
      <c r="DS452" s="1114"/>
      <c r="DT452" s="1114"/>
      <c r="DU452" s="1114"/>
      <c r="DV452" s="1115"/>
      <c r="DW452" s="1116"/>
      <c r="DX452" s="1116"/>
      <c r="DY452" s="1116"/>
      <c r="DZ452" s="1116"/>
      <c r="EA452" s="1116"/>
      <c r="EB452" s="1116"/>
      <c r="EC452" s="1116"/>
      <c r="ED452" s="1116"/>
      <c r="EE452" s="1116"/>
      <c r="EF452" s="1116"/>
      <c r="EG452" s="1116"/>
      <c r="EH452" s="1116"/>
      <c r="EI452" s="1116"/>
      <c r="EJ452" s="1116"/>
      <c r="EK452" s="1116"/>
      <c r="EL452" s="1116"/>
      <c r="EM452" s="1116"/>
      <c r="EN452" s="1116"/>
      <c r="EO452" s="1116"/>
      <c r="EP452" s="1116"/>
      <c r="EQ452" s="1116"/>
      <c r="ER452" s="1116"/>
      <c r="ES452" s="1116"/>
    </row>
    <row r="453" spans="1:149" ht="15" customHeight="1">
      <c r="A453" s="1185">
        <v>438</v>
      </c>
      <c r="B453" s="1041"/>
      <c r="C453" s="1050"/>
      <c r="D453" s="1050"/>
      <c r="E453" s="1050"/>
      <c r="F453" s="1049"/>
      <c r="G453" s="1457"/>
      <c r="H453" s="1049"/>
      <c r="I453" s="1049"/>
      <c r="J453" s="1050"/>
      <c r="K453" s="1050"/>
      <c r="L453" s="1043"/>
      <c r="M453" s="1051"/>
      <c r="N453" s="1051"/>
      <c r="O453" s="1052"/>
      <c r="P453" s="1051"/>
      <c r="Q453" s="1051"/>
      <c r="R453" s="1052"/>
      <c r="S453" s="1051"/>
      <c r="T453" s="1051"/>
      <c r="U453" s="1052"/>
      <c r="V453" s="1051"/>
      <c r="W453" s="1051"/>
      <c r="X453" s="1052"/>
      <c r="Y453" s="1053"/>
      <c r="Z453" s="1051"/>
      <c r="AA453" s="1051"/>
      <c r="AB453" s="1052"/>
      <c r="AC453" s="1051"/>
      <c r="AD453" s="1051"/>
      <c r="AE453" s="1052"/>
      <c r="AF453" s="1051"/>
      <c r="AG453" s="1051"/>
      <c r="AH453" s="1051"/>
      <c r="AI453" s="1051"/>
      <c r="AJ453" s="1052"/>
      <c r="AK453" s="1051"/>
      <c r="AL453" s="1051"/>
      <c r="AM453" s="1052"/>
      <c r="AN453" s="1051"/>
      <c r="AO453" s="1051"/>
      <c r="AP453" s="1052"/>
      <c r="AQ453" s="1051"/>
      <c r="AR453" s="1051"/>
      <c r="AS453" s="1052"/>
      <c r="AT453" s="1051"/>
      <c r="AU453" s="1051"/>
      <c r="AV453" s="1052"/>
      <c r="AW453" s="1051"/>
      <c r="AX453" s="1051"/>
      <c r="AY453" s="1053"/>
      <c r="AZ453" s="1051"/>
      <c r="BA453" s="1051"/>
      <c r="BB453" s="1053"/>
      <c r="BC453" s="1051"/>
      <c r="BD453" s="1051"/>
      <c r="BE453" s="1053"/>
      <c r="BF453" s="1051"/>
      <c r="BG453" s="1051"/>
      <c r="BH453" s="1053"/>
      <c r="BI453" s="1052"/>
      <c r="BJ453" s="1052"/>
      <c r="BK453" s="1052"/>
      <c r="BL453" s="1052"/>
      <c r="BM453" s="1052"/>
      <c r="BN453" s="1054"/>
      <c r="BO453" s="1076">
        <f t="shared" si="17"/>
        <v>0</v>
      </c>
      <c r="BP453" s="1051"/>
      <c r="BQ453" s="1052"/>
      <c r="BR453" s="1054"/>
      <c r="BS453" s="1053"/>
      <c r="BT453" s="1051"/>
      <c r="BU453" s="1051"/>
      <c r="BV453" s="1051"/>
      <c r="BW453" s="1052"/>
      <c r="BX453" s="1052"/>
      <c r="BY453" s="1052"/>
      <c r="BZ453" s="1052"/>
      <c r="CA453" s="1052"/>
      <c r="CB453" s="1053"/>
      <c r="CC453" s="1053"/>
      <c r="CD453" s="1053"/>
      <c r="CE453" s="1053"/>
      <c r="CF453" s="1053"/>
      <c r="CG453" s="1053"/>
      <c r="CH453" s="1053"/>
      <c r="CI453" s="1123"/>
      <c r="CJ453" s="1123"/>
      <c r="CK453" s="1123"/>
      <c r="CL453" s="1123"/>
      <c r="CM453" s="1123"/>
      <c r="CN453" s="1123"/>
      <c r="CO453" s="1123"/>
      <c r="CP453" s="1123"/>
      <c r="CQ453" s="1123"/>
      <c r="CR453" s="1123"/>
      <c r="CS453" s="1123"/>
      <c r="CT453" s="1123"/>
      <c r="CU453" s="1123"/>
      <c r="CV453" s="1123"/>
      <c r="CW453" s="1123"/>
      <c r="CX453" s="1123"/>
      <c r="CY453" s="1123"/>
      <c r="CZ453" s="1114"/>
      <c r="DA453" s="1114"/>
      <c r="DB453" s="1114"/>
      <c r="DC453" s="1114"/>
      <c r="DD453" s="1114"/>
      <c r="DE453" s="1114"/>
      <c r="DF453" s="1114"/>
      <c r="DG453" s="1114"/>
      <c r="DH453" s="1114"/>
      <c r="DI453" s="1114"/>
      <c r="DJ453" s="1114"/>
      <c r="DK453" s="1114"/>
      <c r="DL453" s="1114"/>
      <c r="DM453" s="1114"/>
      <c r="DN453" s="1114"/>
      <c r="DO453" s="1114"/>
      <c r="DP453" s="1114"/>
      <c r="DQ453" s="1114"/>
      <c r="DR453" s="1114"/>
      <c r="DS453" s="1114"/>
      <c r="DT453" s="1114"/>
      <c r="DU453" s="1114"/>
      <c r="DV453" s="1115"/>
      <c r="DW453" s="1116"/>
      <c r="DX453" s="1116"/>
      <c r="DY453" s="1116"/>
      <c r="DZ453" s="1116"/>
      <c r="EA453" s="1116"/>
      <c r="EB453" s="1116"/>
      <c r="EC453" s="1116"/>
      <c r="ED453" s="1116"/>
      <c r="EE453" s="1116"/>
      <c r="EF453" s="1116"/>
      <c r="EG453" s="1116"/>
      <c r="EH453" s="1116"/>
      <c r="EI453" s="1116"/>
      <c r="EJ453" s="1116"/>
      <c r="EK453" s="1116"/>
      <c r="EL453" s="1116"/>
      <c r="EM453" s="1116"/>
      <c r="EN453" s="1116"/>
      <c r="EO453" s="1116"/>
      <c r="EP453" s="1116"/>
      <c r="EQ453" s="1116"/>
      <c r="ER453" s="1116"/>
      <c r="ES453" s="1116"/>
    </row>
    <row r="454" spans="1:149" ht="15" customHeight="1">
      <c r="A454" s="1185">
        <v>439</v>
      </c>
      <c r="B454" s="1041"/>
      <c r="C454" s="1050"/>
      <c r="D454" s="1050"/>
      <c r="E454" s="1050"/>
      <c r="F454" s="1049"/>
      <c r="G454" s="1457"/>
      <c r="H454" s="1049"/>
      <c r="I454" s="1049"/>
      <c r="J454" s="1050"/>
      <c r="K454" s="1050"/>
      <c r="L454" s="1043"/>
      <c r="M454" s="1051"/>
      <c r="N454" s="1051"/>
      <c r="O454" s="1052"/>
      <c r="P454" s="1051"/>
      <c r="Q454" s="1051"/>
      <c r="R454" s="1052"/>
      <c r="S454" s="1051"/>
      <c r="T454" s="1051"/>
      <c r="U454" s="1052"/>
      <c r="V454" s="1051"/>
      <c r="W454" s="1051"/>
      <c r="X454" s="1052"/>
      <c r="Y454" s="1053"/>
      <c r="Z454" s="1051"/>
      <c r="AA454" s="1051"/>
      <c r="AB454" s="1052"/>
      <c r="AC454" s="1051"/>
      <c r="AD454" s="1051"/>
      <c r="AE454" s="1052"/>
      <c r="AF454" s="1051"/>
      <c r="AG454" s="1051"/>
      <c r="AH454" s="1051"/>
      <c r="AI454" s="1051"/>
      <c r="AJ454" s="1052"/>
      <c r="AK454" s="1051"/>
      <c r="AL454" s="1051"/>
      <c r="AM454" s="1052"/>
      <c r="AN454" s="1051"/>
      <c r="AO454" s="1051"/>
      <c r="AP454" s="1052"/>
      <c r="AQ454" s="1051"/>
      <c r="AR454" s="1051"/>
      <c r="AS454" s="1052"/>
      <c r="AT454" s="1051"/>
      <c r="AU454" s="1051"/>
      <c r="AV454" s="1052"/>
      <c r="AW454" s="1051"/>
      <c r="AX454" s="1051"/>
      <c r="AY454" s="1053"/>
      <c r="AZ454" s="1051"/>
      <c r="BA454" s="1051"/>
      <c r="BB454" s="1053"/>
      <c r="BC454" s="1051"/>
      <c r="BD454" s="1051"/>
      <c r="BE454" s="1053"/>
      <c r="BF454" s="1051"/>
      <c r="BG454" s="1051"/>
      <c r="BH454" s="1053"/>
      <c r="BI454" s="1052"/>
      <c r="BJ454" s="1052"/>
      <c r="BK454" s="1052"/>
      <c r="BL454" s="1052"/>
      <c r="BM454" s="1052"/>
      <c r="BN454" s="1054"/>
      <c r="BO454" s="1076">
        <f t="shared" si="17"/>
        <v>0</v>
      </c>
      <c r="BP454" s="1051"/>
      <c r="BQ454" s="1052"/>
      <c r="BR454" s="1054"/>
      <c r="BS454" s="1053"/>
      <c r="BT454" s="1051"/>
      <c r="BU454" s="1051"/>
      <c r="BV454" s="1051"/>
      <c r="BW454" s="1052"/>
      <c r="BX454" s="1052"/>
      <c r="BY454" s="1052"/>
      <c r="BZ454" s="1052"/>
      <c r="CA454" s="1052"/>
      <c r="CB454" s="1053"/>
      <c r="CC454" s="1053"/>
      <c r="CD454" s="1053"/>
      <c r="CE454" s="1053"/>
      <c r="CF454" s="1053"/>
      <c r="CG454" s="1053"/>
      <c r="CH454" s="1053"/>
      <c r="CI454" s="1123"/>
      <c r="CJ454" s="1123"/>
      <c r="CK454" s="1123"/>
      <c r="CL454" s="1123"/>
      <c r="CM454" s="1123"/>
      <c r="CN454" s="1123"/>
      <c r="CO454" s="1123"/>
      <c r="CP454" s="1123"/>
      <c r="CQ454" s="1123"/>
      <c r="CR454" s="1123"/>
      <c r="CS454" s="1123"/>
      <c r="CT454" s="1123"/>
      <c r="CU454" s="1123"/>
      <c r="CV454" s="1123"/>
      <c r="CW454" s="1123"/>
      <c r="CX454" s="1123"/>
      <c r="CY454" s="1123"/>
      <c r="CZ454" s="1114"/>
      <c r="DA454" s="1114"/>
      <c r="DB454" s="1114"/>
      <c r="DC454" s="1114"/>
      <c r="DD454" s="1114"/>
      <c r="DE454" s="1114"/>
      <c r="DF454" s="1114"/>
      <c r="DG454" s="1114"/>
      <c r="DH454" s="1114"/>
      <c r="DI454" s="1114"/>
      <c r="DJ454" s="1114"/>
      <c r="DK454" s="1114"/>
      <c r="DL454" s="1114"/>
      <c r="DM454" s="1114"/>
      <c r="DN454" s="1114"/>
      <c r="DO454" s="1114"/>
      <c r="DP454" s="1114"/>
      <c r="DQ454" s="1114"/>
      <c r="DR454" s="1114"/>
      <c r="DS454" s="1114"/>
      <c r="DT454" s="1114"/>
      <c r="DU454" s="1114"/>
      <c r="DV454" s="1115"/>
      <c r="DW454" s="1116"/>
      <c r="DX454" s="1116"/>
      <c r="DY454" s="1116"/>
      <c r="DZ454" s="1116"/>
      <c r="EA454" s="1116"/>
      <c r="EB454" s="1116"/>
      <c r="EC454" s="1116"/>
      <c r="ED454" s="1116"/>
      <c r="EE454" s="1116"/>
      <c r="EF454" s="1116"/>
      <c r="EG454" s="1116"/>
      <c r="EH454" s="1116"/>
      <c r="EI454" s="1116"/>
      <c r="EJ454" s="1116"/>
      <c r="EK454" s="1116"/>
      <c r="EL454" s="1116"/>
      <c r="EM454" s="1116"/>
      <c r="EN454" s="1116"/>
      <c r="EO454" s="1116"/>
      <c r="EP454" s="1116"/>
      <c r="EQ454" s="1116"/>
      <c r="ER454" s="1116"/>
      <c r="ES454" s="1116"/>
    </row>
    <row r="455" spans="1:149" ht="15" customHeight="1">
      <c r="A455" s="1185">
        <v>440</v>
      </c>
      <c r="B455" s="1041"/>
      <c r="C455" s="1050"/>
      <c r="D455" s="1050"/>
      <c r="E455" s="1050"/>
      <c r="F455" s="1049"/>
      <c r="G455" s="1457"/>
      <c r="H455" s="1049"/>
      <c r="I455" s="1049"/>
      <c r="J455" s="1050"/>
      <c r="K455" s="1050"/>
      <c r="L455" s="1043"/>
      <c r="M455" s="1051"/>
      <c r="N455" s="1051"/>
      <c r="O455" s="1052"/>
      <c r="P455" s="1051"/>
      <c r="Q455" s="1051"/>
      <c r="R455" s="1052"/>
      <c r="S455" s="1051"/>
      <c r="T455" s="1051"/>
      <c r="U455" s="1052"/>
      <c r="V455" s="1051"/>
      <c r="W455" s="1051"/>
      <c r="X455" s="1052"/>
      <c r="Y455" s="1053"/>
      <c r="Z455" s="1051"/>
      <c r="AA455" s="1051"/>
      <c r="AB455" s="1052"/>
      <c r="AC455" s="1051"/>
      <c r="AD455" s="1051"/>
      <c r="AE455" s="1052"/>
      <c r="AF455" s="1051"/>
      <c r="AG455" s="1051"/>
      <c r="AH455" s="1051"/>
      <c r="AI455" s="1051"/>
      <c r="AJ455" s="1052"/>
      <c r="AK455" s="1051"/>
      <c r="AL455" s="1051"/>
      <c r="AM455" s="1052"/>
      <c r="AN455" s="1051"/>
      <c r="AO455" s="1051"/>
      <c r="AP455" s="1052"/>
      <c r="AQ455" s="1051"/>
      <c r="AR455" s="1051"/>
      <c r="AS455" s="1052"/>
      <c r="AT455" s="1051"/>
      <c r="AU455" s="1051"/>
      <c r="AV455" s="1052"/>
      <c r="AW455" s="1051"/>
      <c r="AX455" s="1051"/>
      <c r="AY455" s="1053"/>
      <c r="AZ455" s="1051"/>
      <c r="BA455" s="1051"/>
      <c r="BB455" s="1053"/>
      <c r="BC455" s="1051"/>
      <c r="BD455" s="1051"/>
      <c r="BE455" s="1053"/>
      <c r="BF455" s="1051"/>
      <c r="BG455" s="1051"/>
      <c r="BH455" s="1053"/>
      <c r="BI455" s="1052"/>
      <c r="BJ455" s="1052"/>
      <c r="BK455" s="1052"/>
      <c r="BL455" s="1052"/>
      <c r="BM455" s="1052"/>
      <c r="BN455" s="1054"/>
      <c r="BO455" s="1076">
        <f t="shared" si="17"/>
        <v>0</v>
      </c>
      <c r="BP455" s="1051"/>
      <c r="BQ455" s="1052"/>
      <c r="BR455" s="1054"/>
      <c r="BS455" s="1053"/>
      <c r="BT455" s="1051"/>
      <c r="BU455" s="1051"/>
      <c r="BV455" s="1051"/>
      <c r="BW455" s="1052"/>
      <c r="BX455" s="1052"/>
      <c r="BY455" s="1052"/>
      <c r="BZ455" s="1052"/>
      <c r="CA455" s="1052"/>
      <c r="CB455" s="1053"/>
      <c r="CC455" s="1053"/>
      <c r="CD455" s="1053"/>
      <c r="CE455" s="1053"/>
      <c r="CF455" s="1053"/>
      <c r="CG455" s="1053"/>
      <c r="CH455" s="1053"/>
      <c r="CI455" s="1123"/>
      <c r="CJ455" s="1123"/>
      <c r="CK455" s="1123"/>
      <c r="CL455" s="1123"/>
      <c r="CM455" s="1123"/>
      <c r="CN455" s="1123"/>
      <c r="CO455" s="1123"/>
      <c r="CP455" s="1123"/>
      <c r="CQ455" s="1123"/>
      <c r="CR455" s="1123"/>
      <c r="CS455" s="1123"/>
      <c r="CT455" s="1123"/>
      <c r="CU455" s="1123"/>
      <c r="CV455" s="1123"/>
      <c r="CW455" s="1123"/>
      <c r="CX455" s="1123"/>
      <c r="CY455" s="1123"/>
      <c r="CZ455" s="1114"/>
      <c r="DA455" s="1114"/>
      <c r="DB455" s="1114"/>
      <c r="DC455" s="1114"/>
      <c r="DD455" s="1114"/>
      <c r="DE455" s="1114"/>
      <c r="DF455" s="1114"/>
      <c r="DG455" s="1114"/>
      <c r="DH455" s="1114"/>
      <c r="DI455" s="1114"/>
      <c r="DJ455" s="1114"/>
      <c r="DK455" s="1114"/>
      <c r="DL455" s="1114"/>
      <c r="DM455" s="1114"/>
      <c r="DN455" s="1114"/>
      <c r="DO455" s="1114"/>
      <c r="DP455" s="1114"/>
      <c r="DQ455" s="1114"/>
      <c r="DR455" s="1114"/>
      <c r="DS455" s="1114"/>
      <c r="DT455" s="1114"/>
      <c r="DU455" s="1114"/>
      <c r="DV455" s="1115"/>
      <c r="DW455" s="1116"/>
      <c r="DX455" s="1116"/>
      <c r="DY455" s="1116"/>
      <c r="DZ455" s="1116"/>
      <c r="EA455" s="1116"/>
      <c r="EB455" s="1116"/>
      <c r="EC455" s="1116"/>
      <c r="ED455" s="1116"/>
      <c r="EE455" s="1116"/>
      <c r="EF455" s="1116"/>
      <c r="EG455" s="1116"/>
      <c r="EH455" s="1116"/>
      <c r="EI455" s="1116"/>
      <c r="EJ455" s="1116"/>
      <c r="EK455" s="1116"/>
      <c r="EL455" s="1116"/>
      <c r="EM455" s="1116"/>
      <c r="EN455" s="1116"/>
      <c r="EO455" s="1116"/>
      <c r="EP455" s="1116"/>
      <c r="EQ455" s="1116"/>
      <c r="ER455" s="1116"/>
      <c r="ES455" s="1116"/>
    </row>
    <row r="456" spans="1:149" ht="15" customHeight="1">
      <c r="A456" s="1185">
        <v>441</v>
      </c>
      <c r="B456" s="1041"/>
      <c r="C456" s="1050"/>
      <c r="D456" s="1050"/>
      <c r="E456" s="1050"/>
      <c r="F456" s="1049"/>
      <c r="G456" s="1457"/>
      <c r="H456" s="1049"/>
      <c r="I456" s="1049"/>
      <c r="J456" s="1050"/>
      <c r="K456" s="1050"/>
      <c r="L456" s="1043"/>
      <c r="M456" s="1051"/>
      <c r="N456" s="1051"/>
      <c r="O456" s="1052"/>
      <c r="P456" s="1051"/>
      <c r="Q456" s="1051"/>
      <c r="R456" s="1052"/>
      <c r="S456" s="1051"/>
      <c r="T456" s="1051"/>
      <c r="U456" s="1052"/>
      <c r="V456" s="1051"/>
      <c r="W456" s="1051"/>
      <c r="X456" s="1052"/>
      <c r="Y456" s="1053"/>
      <c r="Z456" s="1051"/>
      <c r="AA456" s="1051"/>
      <c r="AB456" s="1052"/>
      <c r="AC456" s="1051"/>
      <c r="AD456" s="1051"/>
      <c r="AE456" s="1052"/>
      <c r="AF456" s="1051"/>
      <c r="AG456" s="1051"/>
      <c r="AH456" s="1051"/>
      <c r="AI456" s="1051"/>
      <c r="AJ456" s="1052"/>
      <c r="AK456" s="1051"/>
      <c r="AL456" s="1051"/>
      <c r="AM456" s="1052"/>
      <c r="AN456" s="1051"/>
      <c r="AO456" s="1051"/>
      <c r="AP456" s="1052"/>
      <c r="AQ456" s="1051"/>
      <c r="AR456" s="1051"/>
      <c r="AS456" s="1052"/>
      <c r="AT456" s="1051"/>
      <c r="AU456" s="1051"/>
      <c r="AV456" s="1052"/>
      <c r="AW456" s="1051"/>
      <c r="AX456" s="1051"/>
      <c r="AY456" s="1053"/>
      <c r="AZ456" s="1051"/>
      <c r="BA456" s="1051"/>
      <c r="BB456" s="1053"/>
      <c r="BC456" s="1051"/>
      <c r="BD456" s="1051"/>
      <c r="BE456" s="1053"/>
      <c r="BF456" s="1051"/>
      <c r="BG456" s="1051"/>
      <c r="BH456" s="1053"/>
      <c r="BI456" s="1052"/>
      <c r="BJ456" s="1052"/>
      <c r="BK456" s="1052"/>
      <c r="BL456" s="1052"/>
      <c r="BM456" s="1052"/>
      <c r="BN456" s="1054"/>
      <c r="BO456" s="1076">
        <f t="shared" si="17"/>
        <v>0</v>
      </c>
      <c r="BP456" s="1051"/>
      <c r="BQ456" s="1052"/>
      <c r="BR456" s="1054"/>
      <c r="BS456" s="1053"/>
      <c r="BT456" s="1051"/>
      <c r="BU456" s="1051"/>
      <c r="BV456" s="1051"/>
      <c r="BW456" s="1052"/>
      <c r="BX456" s="1052"/>
      <c r="BY456" s="1052"/>
      <c r="BZ456" s="1052"/>
      <c r="CA456" s="1052"/>
      <c r="CB456" s="1053"/>
      <c r="CC456" s="1053"/>
      <c r="CD456" s="1053"/>
      <c r="CE456" s="1053"/>
      <c r="CF456" s="1053"/>
      <c r="CG456" s="1053"/>
      <c r="CH456" s="1053"/>
      <c r="CI456" s="1123"/>
      <c r="CJ456" s="1123"/>
      <c r="CK456" s="1123"/>
      <c r="CL456" s="1123"/>
      <c r="CM456" s="1123"/>
      <c r="CN456" s="1123"/>
      <c r="CO456" s="1123"/>
      <c r="CP456" s="1123"/>
      <c r="CQ456" s="1123"/>
      <c r="CR456" s="1123"/>
      <c r="CS456" s="1123"/>
      <c r="CT456" s="1123"/>
      <c r="CU456" s="1123"/>
      <c r="CV456" s="1123"/>
      <c r="CW456" s="1123"/>
      <c r="CX456" s="1123"/>
      <c r="CY456" s="1123"/>
      <c r="CZ456" s="1114"/>
      <c r="DA456" s="1114"/>
      <c r="DB456" s="1114"/>
      <c r="DC456" s="1114"/>
      <c r="DD456" s="1114"/>
      <c r="DE456" s="1114"/>
      <c r="DF456" s="1114"/>
      <c r="DG456" s="1114"/>
      <c r="DH456" s="1114"/>
      <c r="DI456" s="1114"/>
      <c r="DJ456" s="1114"/>
      <c r="DK456" s="1114"/>
      <c r="DL456" s="1114"/>
      <c r="DM456" s="1114"/>
      <c r="DN456" s="1114"/>
      <c r="DO456" s="1114"/>
      <c r="DP456" s="1114"/>
      <c r="DQ456" s="1114"/>
      <c r="DR456" s="1114"/>
      <c r="DS456" s="1114"/>
      <c r="DT456" s="1114"/>
      <c r="DU456" s="1114"/>
      <c r="DV456" s="1115"/>
      <c r="DW456" s="1116"/>
      <c r="DX456" s="1116"/>
      <c r="DY456" s="1116"/>
      <c r="DZ456" s="1116"/>
      <c r="EA456" s="1116"/>
      <c r="EB456" s="1116"/>
      <c r="EC456" s="1116"/>
      <c r="ED456" s="1116"/>
      <c r="EE456" s="1116"/>
      <c r="EF456" s="1116"/>
      <c r="EG456" s="1116"/>
      <c r="EH456" s="1116"/>
      <c r="EI456" s="1116"/>
      <c r="EJ456" s="1116"/>
      <c r="EK456" s="1116"/>
      <c r="EL456" s="1116"/>
      <c r="EM456" s="1116"/>
      <c r="EN456" s="1116"/>
      <c r="EO456" s="1116"/>
      <c r="EP456" s="1116"/>
      <c r="EQ456" s="1116"/>
      <c r="ER456" s="1116"/>
      <c r="ES456" s="1116"/>
    </row>
    <row r="457" spans="1:149" ht="15" customHeight="1">
      <c r="A457" s="1185">
        <v>442</v>
      </c>
      <c r="B457" s="1041"/>
      <c r="C457" s="1050"/>
      <c r="D457" s="1050"/>
      <c r="E457" s="1050"/>
      <c r="F457" s="1049"/>
      <c r="G457" s="1457"/>
      <c r="H457" s="1049"/>
      <c r="I457" s="1049"/>
      <c r="J457" s="1050"/>
      <c r="K457" s="1050"/>
      <c r="L457" s="1043"/>
      <c r="M457" s="1051"/>
      <c r="N457" s="1051"/>
      <c r="O457" s="1052"/>
      <c r="P457" s="1051"/>
      <c r="Q457" s="1051"/>
      <c r="R457" s="1052"/>
      <c r="S457" s="1051"/>
      <c r="T457" s="1051"/>
      <c r="U457" s="1052"/>
      <c r="V457" s="1051"/>
      <c r="W457" s="1051"/>
      <c r="X457" s="1052"/>
      <c r="Y457" s="1053"/>
      <c r="Z457" s="1051"/>
      <c r="AA457" s="1051"/>
      <c r="AB457" s="1052"/>
      <c r="AC457" s="1051"/>
      <c r="AD457" s="1051"/>
      <c r="AE457" s="1052"/>
      <c r="AF457" s="1051"/>
      <c r="AG457" s="1051"/>
      <c r="AH457" s="1051"/>
      <c r="AI457" s="1051"/>
      <c r="AJ457" s="1052"/>
      <c r="AK457" s="1051"/>
      <c r="AL457" s="1051"/>
      <c r="AM457" s="1052"/>
      <c r="AN457" s="1051"/>
      <c r="AO457" s="1051"/>
      <c r="AP457" s="1052"/>
      <c r="AQ457" s="1051"/>
      <c r="AR457" s="1051"/>
      <c r="AS457" s="1052"/>
      <c r="AT457" s="1051"/>
      <c r="AU457" s="1051"/>
      <c r="AV457" s="1052"/>
      <c r="AW457" s="1051"/>
      <c r="AX457" s="1051"/>
      <c r="AY457" s="1053"/>
      <c r="AZ457" s="1051"/>
      <c r="BA457" s="1051"/>
      <c r="BB457" s="1053"/>
      <c r="BC457" s="1051"/>
      <c r="BD457" s="1051"/>
      <c r="BE457" s="1053"/>
      <c r="BF457" s="1051"/>
      <c r="BG457" s="1051"/>
      <c r="BH457" s="1053"/>
      <c r="BI457" s="1052"/>
      <c r="BJ457" s="1052"/>
      <c r="BK457" s="1052"/>
      <c r="BL457" s="1052"/>
      <c r="BM457" s="1052"/>
      <c r="BN457" s="1054"/>
      <c r="BO457" s="1076">
        <f t="shared" si="17"/>
        <v>0</v>
      </c>
      <c r="BP457" s="1051"/>
      <c r="BQ457" s="1052"/>
      <c r="BR457" s="1054"/>
      <c r="BS457" s="1053"/>
      <c r="BT457" s="1051"/>
      <c r="BU457" s="1051"/>
      <c r="BV457" s="1051"/>
      <c r="BW457" s="1052"/>
      <c r="BX457" s="1052"/>
      <c r="BY457" s="1052"/>
      <c r="BZ457" s="1052"/>
      <c r="CA457" s="1052"/>
      <c r="CB457" s="1053"/>
      <c r="CC457" s="1053"/>
      <c r="CD457" s="1053"/>
      <c r="CE457" s="1053"/>
      <c r="CF457" s="1053"/>
      <c r="CG457" s="1053"/>
      <c r="CH457" s="1053"/>
      <c r="CI457" s="1123"/>
      <c r="CJ457" s="1123"/>
      <c r="CK457" s="1123"/>
      <c r="CL457" s="1123"/>
      <c r="CM457" s="1123"/>
      <c r="CN457" s="1123"/>
      <c r="CO457" s="1123"/>
      <c r="CP457" s="1123"/>
      <c r="CQ457" s="1123"/>
      <c r="CR457" s="1123"/>
      <c r="CS457" s="1123"/>
      <c r="CT457" s="1123"/>
      <c r="CU457" s="1123"/>
      <c r="CV457" s="1123"/>
      <c r="CW457" s="1123"/>
      <c r="CX457" s="1123"/>
      <c r="CY457" s="1123"/>
      <c r="CZ457" s="1114"/>
      <c r="DA457" s="1114"/>
      <c r="DB457" s="1114"/>
      <c r="DC457" s="1114"/>
      <c r="DD457" s="1114"/>
      <c r="DE457" s="1114"/>
      <c r="DF457" s="1114"/>
      <c r="DG457" s="1114"/>
      <c r="DH457" s="1114"/>
      <c r="DI457" s="1114"/>
      <c r="DJ457" s="1114"/>
      <c r="DK457" s="1114"/>
      <c r="DL457" s="1114"/>
      <c r="DM457" s="1114"/>
      <c r="DN457" s="1114"/>
      <c r="DO457" s="1114"/>
      <c r="DP457" s="1114"/>
      <c r="DQ457" s="1114"/>
      <c r="DR457" s="1114"/>
      <c r="DS457" s="1114"/>
      <c r="DT457" s="1114"/>
      <c r="DU457" s="1114"/>
      <c r="DV457" s="1115"/>
      <c r="DW457" s="1116"/>
      <c r="DX457" s="1116"/>
      <c r="DY457" s="1116"/>
      <c r="DZ457" s="1116"/>
      <c r="EA457" s="1116"/>
      <c r="EB457" s="1116"/>
      <c r="EC457" s="1116"/>
      <c r="ED457" s="1116"/>
      <c r="EE457" s="1116"/>
      <c r="EF457" s="1116"/>
      <c r="EG457" s="1116"/>
      <c r="EH457" s="1116"/>
      <c r="EI457" s="1116"/>
      <c r="EJ457" s="1116"/>
      <c r="EK457" s="1116"/>
      <c r="EL457" s="1116"/>
      <c r="EM457" s="1116"/>
      <c r="EN457" s="1116"/>
      <c r="EO457" s="1116"/>
      <c r="EP457" s="1116"/>
      <c r="EQ457" s="1116"/>
      <c r="ER457" s="1116"/>
      <c r="ES457" s="1116"/>
    </row>
    <row r="458" spans="1:149" ht="15" customHeight="1">
      <c r="A458" s="1185">
        <v>443</v>
      </c>
      <c r="B458" s="1041"/>
      <c r="C458" s="1050"/>
      <c r="D458" s="1050"/>
      <c r="E458" s="1050"/>
      <c r="F458" s="1049"/>
      <c r="G458" s="1457"/>
      <c r="H458" s="1049"/>
      <c r="I458" s="1049"/>
      <c r="J458" s="1050"/>
      <c r="K458" s="1050"/>
      <c r="L458" s="1043"/>
      <c r="M458" s="1051"/>
      <c r="N458" s="1051"/>
      <c r="O458" s="1052"/>
      <c r="P458" s="1051"/>
      <c r="Q458" s="1051"/>
      <c r="R458" s="1052"/>
      <c r="S458" s="1051"/>
      <c r="T458" s="1051"/>
      <c r="U458" s="1052"/>
      <c r="V458" s="1051"/>
      <c r="W458" s="1051"/>
      <c r="X458" s="1052"/>
      <c r="Y458" s="1053"/>
      <c r="Z458" s="1051"/>
      <c r="AA458" s="1051"/>
      <c r="AB458" s="1052"/>
      <c r="AC458" s="1051"/>
      <c r="AD458" s="1051"/>
      <c r="AE458" s="1052"/>
      <c r="AF458" s="1051"/>
      <c r="AG458" s="1051"/>
      <c r="AH458" s="1051"/>
      <c r="AI458" s="1051"/>
      <c r="AJ458" s="1052"/>
      <c r="AK458" s="1051"/>
      <c r="AL458" s="1051"/>
      <c r="AM458" s="1052"/>
      <c r="AN458" s="1051"/>
      <c r="AO458" s="1051"/>
      <c r="AP458" s="1052"/>
      <c r="AQ458" s="1051"/>
      <c r="AR458" s="1051"/>
      <c r="AS458" s="1052"/>
      <c r="AT458" s="1051"/>
      <c r="AU458" s="1051"/>
      <c r="AV458" s="1052"/>
      <c r="AW458" s="1051"/>
      <c r="AX458" s="1051"/>
      <c r="AY458" s="1053"/>
      <c r="AZ458" s="1051"/>
      <c r="BA458" s="1051"/>
      <c r="BB458" s="1053"/>
      <c r="BC458" s="1051"/>
      <c r="BD458" s="1051"/>
      <c r="BE458" s="1053"/>
      <c r="BF458" s="1051"/>
      <c r="BG458" s="1051"/>
      <c r="BH458" s="1053"/>
      <c r="BI458" s="1052"/>
      <c r="BJ458" s="1052"/>
      <c r="BK458" s="1052"/>
      <c r="BL458" s="1052"/>
      <c r="BM458" s="1052"/>
      <c r="BN458" s="1054"/>
      <c r="BO458" s="1076">
        <f t="shared" si="17"/>
        <v>0</v>
      </c>
      <c r="BP458" s="1051"/>
      <c r="BQ458" s="1052"/>
      <c r="BR458" s="1054"/>
      <c r="BS458" s="1053"/>
      <c r="BT458" s="1051"/>
      <c r="BU458" s="1051"/>
      <c r="BV458" s="1051"/>
      <c r="BW458" s="1052"/>
      <c r="BX458" s="1052"/>
      <c r="BY458" s="1052"/>
      <c r="BZ458" s="1052"/>
      <c r="CA458" s="1052"/>
      <c r="CB458" s="1053"/>
      <c r="CC458" s="1053"/>
      <c r="CD458" s="1053"/>
      <c r="CE458" s="1053"/>
      <c r="CF458" s="1053"/>
      <c r="CG458" s="1053"/>
      <c r="CH458" s="1053"/>
      <c r="CI458" s="1123"/>
      <c r="CJ458" s="1123"/>
      <c r="CK458" s="1123"/>
      <c r="CL458" s="1123"/>
      <c r="CM458" s="1123"/>
      <c r="CN458" s="1123"/>
      <c r="CO458" s="1123"/>
      <c r="CP458" s="1123"/>
      <c r="CQ458" s="1123"/>
      <c r="CR458" s="1123"/>
      <c r="CS458" s="1123"/>
      <c r="CT458" s="1123"/>
      <c r="CU458" s="1123"/>
      <c r="CV458" s="1123"/>
      <c r="CW458" s="1123"/>
      <c r="CX458" s="1123"/>
      <c r="CY458" s="1123"/>
      <c r="CZ458" s="1114"/>
      <c r="DA458" s="1114"/>
      <c r="DB458" s="1114"/>
      <c r="DC458" s="1114"/>
      <c r="DD458" s="1114"/>
      <c r="DE458" s="1114"/>
      <c r="DF458" s="1114"/>
      <c r="DG458" s="1114"/>
      <c r="DH458" s="1114"/>
      <c r="DI458" s="1114"/>
      <c r="DJ458" s="1114"/>
      <c r="DK458" s="1114"/>
      <c r="DL458" s="1114"/>
      <c r="DM458" s="1114"/>
      <c r="DN458" s="1114"/>
      <c r="DO458" s="1114"/>
      <c r="DP458" s="1114"/>
      <c r="DQ458" s="1114"/>
      <c r="DR458" s="1114"/>
      <c r="DS458" s="1114"/>
      <c r="DT458" s="1114"/>
      <c r="DU458" s="1114"/>
      <c r="DV458" s="1115"/>
      <c r="DW458" s="1116"/>
      <c r="DX458" s="1116"/>
      <c r="DY458" s="1116"/>
      <c r="DZ458" s="1116"/>
      <c r="EA458" s="1116"/>
      <c r="EB458" s="1116"/>
      <c r="EC458" s="1116"/>
      <c r="ED458" s="1116"/>
      <c r="EE458" s="1116"/>
      <c r="EF458" s="1116"/>
      <c r="EG458" s="1116"/>
      <c r="EH458" s="1116"/>
      <c r="EI458" s="1116"/>
      <c r="EJ458" s="1116"/>
      <c r="EK458" s="1116"/>
      <c r="EL458" s="1116"/>
      <c r="EM458" s="1116"/>
      <c r="EN458" s="1116"/>
      <c r="EO458" s="1116"/>
      <c r="EP458" s="1116"/>
      <c r="EQ458" s="1116"/>
      <c r="ER458" s="1116"/>
      <c r="ES458" s="1116"/>
    </row>
    <row r="459" spans="1:149" ht="15" customHeight="1">
      <c r="A459" s="1185">
        <v>444</v>
      </c>
      <c r="B459" s="1041"/>
      <c r="C459" s="1050"/>
      <c r="D459" s="1050"/>
      <c r="E459" s="1050"/>
      <c r="F459" s="1049"/>
      <c r="G459" s="1457"/>
      <c r="H459" s="1049"/>
      <c r="I459" s="1049"/>
      <c r="J459" s="1050"/>
      <c r="K459" s="1050"/>
      <c r="L459" s="1043"/>
      <c r="M459" s="1051"/>
      <c r="N459" s="1051"/>
      <c r="O459" s="1052"/>
      <c r="P459" s="1051"/>
      <c r="Q459" s="1051"/>
      <c r="R459" s="1052"/>
      <c r="S459" s="1051"/>
      <c r="T459" s="1051"/>
      <c r="U459" s="1052"/>
      <c r="V459" s="1051"/>
      <c r="W459" s="1051"/>
      <c r="X459" s="1052"/>
      <c r="Y459" s="1053"/>
      <c r="Z459" s="1051"/>
      <c r="AA459" s="1051"/>
      <c r="AB459" s="1052"/>
      <c r="AC459" s="1051"/>
      <c r="AD459" s="1051"/>
      <c r="AE459" s="1052"/>
      <c r="AF459" s="1051"/>
      <c r="AG459" s="1051"/>
      <c r="AH459" s="1051"/>
      <c r="AI459" s="1051"/>
      <c r="AJ459" s="1052"/>
      <c r="AK459" s="1051"/>
      <c r="AL459" s="1051"/>
      <c r="AM459" s="1052"/>
      <c r="AN459" s="1051"/>
      <c r="AO459" s="1051"/>
      <c r="AP459" s="1052"/>
      <c r="AQ459" s="1051"/>
      <c r="AR459" s="1051"/>
      <c r="AS459" s="1052"/>
      <c r="AT459" s="1051"/>
      <c r="AU459" s="1051"/>
      <c r="AV459" s="1052"/>
      <c r="AW459" s="1051"/>
      <c r="AX459" s="1051"/>
      <c r="AY459" s="1053"/>
      <c r="AZ459" s="1051"/>
      <c r="BA459" s="1051"/>
      <c r="BB459" s="1053"/>
      <c r="BC459" s="1051"/>
      <c r="BD459" s="1051"/>
      <c r="BE459" s="1053"/>
      <c r="BF459" s="1051"/>
      <c r="BG459" s="1051"/>
      <c r="BH459" s="1053"/>
      <c r="BI459" s="1052"/>
      <c r="BJ459" s="1052"/>
      <c r="BK459" s="1052"/>
      <c r="BL459" s="1052"/>
      <c r="BM459" s="1052"/>
      <c r="BN459" s="1054"/>
      <c r="BO459" s="1076">
        <f t="shared" si="17"/>
        <v>0</v>
      </c>
      <c r="BP459" s="1051"/>
      <c r="BQ459" s="1052"/>
      <c r="BR459" s="1054"/>
      <c r="BS459" s="1053"/>
      <c r="BT459" s="1051"/>
      <c r="BU459" s="1051"/>
      <c r="BV459" s="1051"/>
      <c r="BW459" s="1052"/>
      <c r="BX459" s="1052"/>
      <c r="BY459" s="1052"/>
      <c r="BZ459" s="1052"/>
      <c r="CA459" s="1052"/>
      <c r="CB459" s="1053"/>
      <c r="CC459" s="1053"/>
      <c r="CD459" s="1053"/>
      <c r="CE459" s="1053"/>
      <c r="CF459" s="1053"/>
      <c r="CG459" s="1053"/>
      <c r="CH459" s="1053"/>
      <c r="CI459" s="1123"/>
      <c r="CJ459" s="1123"/>
      <c r="CK459" s="1123"/>
      <c r="CL459" s="1123"/>
      <c r="CM459" s="1123"/>
      <c r="CN459" s="1123"/>
      <c r="CO459" s="1123"/>
      <c r="CP459" s="1123"/>
      <c r="CQ459" s="1123"/>
      <c r="CR459" s="1123"/>
      <c r="CS459" s="1123"/>
      <c r="CT459" s="1123"/>
      <c r="CU459" s="1123"/>
      <c r="CV459" s="1123"/>
      <c r="CW459" s="1123"/>
      <c r="CX459" s="1123"/>
      <c r="CY459" s="1123"/>
      <c r="CZ459" s="1114"/>
      <c r="DA459" s="1114"/>
      <c r="DB459" s="1114"/>
      <c r="DC459" s="1114"/>
      <c r="DD459" s="1114"/>
      <c r="DE459" s="1114"/>
      <c r="DF459" s="1114"/>
      <c r="DG459" s="1114"/>
      <c r="DH459" s="1114"/>
      <c r="DI459" s="1114"/>
      <c r="DJ459" s="1114"/>
      <c r="DK459" s="1114"/>
      <c r="DL459" s="1114"/>
      <c r="DM459" s="1114"/>
      <c r="DN459" s="1114"/>
      <c r="DO459" s="1114"/>
      <c r="DP459" s="1114"/>
      <c r="DQ459" s="1114"/>
      <c r="DR459" s="1114"/>
      <c r="DS459" s="1114"/>
      <c r="DT459" s="1114"/>
      <c r="DU459" s="1114"/>
      <c r="DV459" s="1115"/>
      <c r="DW459" s="1116"/>
      <c r="DX459" s="1116"/>
      <c r="DY459" s="1116"/>
      <c r="DZ459" s="1116"/>
      <c r="EA459" s="1116"/>
      <c r="EB459" s="1116"/>
      <c r="EC459" s="1116"/>
      <c r="ED459" s="1116"/>
      <c r="EE459" s="1116"/>
      <c r="EF459" s="1116"/>
      <c r="EG459" s="1116"/>
      <c r="EH459" s="1116"/>
      <c r="EI459" s="1116"/>
      <c r="EJ459" s="1116"/>
      <c r="EK459" s="1116"/>
      <c r="EL459" s="1116"/>
      <c r="EM459" s="1116"/>
      <c r="EN459" s="1116"/>
      <c r="EO459" s="1116"/>
      <c r="EP459" s="1116"/>
      <c r="EQ459" s="1116"/>
      <c r="ER459" s="1116"/>
      <c r="ES459" s="1116"/>
    </row>
    <row r="460" spans="1:149" ht="15" customHeight="1">
      <c r="A460" s="1185">
        <v>445</v>
      </c>
      <c r="B460" s="1041"/>
      <c r="C460" s="1050"/>
      <c r="D460" s="1050"/>
      <c r="E460" s="1050"/>
      <c r="F460" s="1049"/>
      <c r="G460" s="1457"/>
      <c r="H460" s="1049"/>
      <c r="I460" s="1049"/>
      <c r="J460" s="1050"/>
      <c r="K460" s="1050"/>
      <c r="L460" s="1043"/>
      <c r="M460" s="1051"/>
      <c r="N460" s="1051"/>
      <c r="O460" s="1052"/>
      <c r="P460" s="1051"/>
      <c r="Q460" s="1051"/>
      <c r="R460" s="1052"/>
      <c r="S460" s="1051"/>
      <c r="T460" s="1051"/>
      <c r="U460" s="1052"/>
      <c r="V460" s="1051"/>
      <c r="W460" s="1051"/>
      <c r="X460" s="1052"/>
      <c r="Y460" s="1053"/>
      <c r="Z460" s="1051"/>
      <c r="AA460" s="1051"/>
      <c r="AB460" s="1052"/>
      <c r="AC460" s="1051"/>
      <c r="AD460" s="1051"/>
      <c r="AE460" s="1052"/>
      <c r="AF460" s="1051"/>
      <c r="AG460" s="1051"/>
      <c r="AH460" s="1051"/>
      <c r="AI460" s="1051"/>
      <c r="AJ460" s="1052"/>
      <c r="AK460" s="1051"/>
      <c r="AL460" s="1051"/>
      <c r="AM460" s="1052"/>
      <c r="AN460" s="1051"/>
      <c r="AO460" s="1051"/>
      <c r="AP460" s="1052"/>
      <c r="AQ460" s="1051"/>
      <c r="AR460" s="1051"/>
      <c r="AS460" s="1052"/>
      <c r="AT460" s="1051"/>
      <c r="AU460" s="1051"/>
      <c r="AV460" s="1052"/>
      <c r="AW460" s="1051"/>
      <c r="AX460" s="1051"/>
      <c r="AY460" s="1053"/>
      <c r="AZ460" s="1051"/>
      <c r="BA460" s="1051"/>
      <c r="BB460" s="1053"/>
      <c r="BC460" s="1051"/>
      <c r="BD460" s="1051"/>
      <c r="BE460" s="1053"/>
      <c r="BF460" s="1051"/>
      <c r="BG460" s="1051"/>
      <c r="BH460" s="1053"/>
      <c r="BI460" s="1052"/>
      <c r="BJ460" s="1052"/>
      <c r="BK460" s="1052"/>
      <c r="BL460" s="1052"/>
      <c r="BM460" s="1052"/>
      <c r="BN460" s="1054"/>
      <c r="BO460" s="1076">
        <f t="shared" si="17"/>
        <v>0</v>
      </c>
      <c r="BP460" s="1051"/>
      <c r="BQ460" s="1052"/>
      <c r="BR460" s="1054"/>
      <c r="BS460" s="1053"/>
      <c r="BT460" s="1051"/>
      <c r="BU460" s="1051"/>
      <c r="BV460" s="1051"/>
      <c r="BW460" s="1052"/>
      <c r="BX460" s="1052"/>
      <c r="BY460" s="1052"/>
      <c r="BZ460" s="1052"/>
      <c r="CA460" s="1052"/>
      <c r="CB460" s="1053"/>
      <c r="CC460" s="1053"/>
      <c r="CD460" s="1053"/>
      <c r="CE460" s="1053"/>
      <c r="CF460" s="1053"/>
      <c r="CG460" s="1053"/>
      <c r="CH460" s="1053"/>
      <c r="CI460" s="1123"/>
      <c r="CJ460" s="1123"/>
      <c r="CK460" s="1123"/>
      <c r="CL460" s="1123"/>
      <c r="CM460" s="1123"/>
      <c r="CN460" s="1123"/>
      <c r="CO460" s="1123"/>
      <c r="CP460" s="1123"/>
      <c r="CQ460" s="1123"/>
      <c r="CR460" s="1123"/>
      <c r="CS460" s="1123"/>
      <c r="CT460" s="1123"/>
      <c r="CU460" s="1123"/>
      <c r="CV460" s="1123"/>
      <c r="CW460" s="1123"/>
      <c r="CX460" s="1123"/>
      <c r="CY460" s="1123"/>
      <c r="CZ460" s="1114"/>
      <c r="DA460" s="1114"/>
      <c r="DB460" s="1114"/>
      <c r="DC460" s="1114"/>
      <c r="DD460" s="1114"/>
      <c r="DE460" s="1114"/>
      <c r="DF460" s="1114"/>
      <c r="DG460" s="1114"/>
      <c r="DH460" s="1114"/>
      <c r="DI460" s="1114"/>
      <c r="DJ460" s="1114"/>
      <c r="DK460" s="1114"/>
      <c r="DL460" s="1114"/>
      <c r="DM460" s="1114"/>
      <c r="DN460" s="1114"/>
      <c r="DO460" s="1114"/>
      <c r="DP460" s="1114"/>
      <c r="DQ460" s="1114"/>
      <c r="DR460" s="1114"/>
      <c r="DS460" s="1114"/>
      <c r="DT460" s="1114"/>
      <c r="DU460" s="1114"/>
      <c r="DV460" s="1115"/>
      <c r="DW460" s="1116"/>
      <c r="DX460" s="1116"/>
      <c r="DY460" s="1116"/>
      <c r="DZ460" s="1116"/>
      <c r="EA460" s="1116"/>
      <c r="EB460" s="1116"/>
      <c r="EC460" s="1116"/>
      <c r="ED460" s="1116"/>
      <c r="EE460" s="1116"/>
      <c r="EF460" s="1116"/>
      <c r="EG460" s="1116"/>
      <c r="EH460" s="1116"/>
      <c r="EI460" s="1116"/>
      <c r="EJ460" s="1116"/>
      <c r="EK460" s="1116"/>
      <c r="EL460" s="1116"/>
      <c r="EM460" s="1116"/>
      <c r="EN460" s="1116"/>
      <c r="EO460" s="1116"/>
      <c r="EP460" s="1116"/>
      <c r="EQ460" s="1116"/>
      <c r="ER460" s="1116"/>
      <c r="ES460" s="1116"/>
    </row>
    <row r="461" spans="1:149" ht="15" customHeight="1">
      <c r="A461" s="1185">
        <v>446</v>
      </c>
      <c r="B461" s="1041"/>
      <c r="C461" s="1050"/>
      <c r="D461" s="1050"/>
      <c r="E461" s="1050"/>
      <c r="F461" s="1049"/>
      <c r="G461" s="1457"/>
      <c r="H461" s="1049"/>
      <c r="I461" s="1049"/>
      <c r="J461" s="1050"/>
      <c r="K461" s="1050"/>
      <c r="L461" s="1043"/>
      <c r="M461" s="1051"/>
      <c r="N461" s="1051"/>
      <c r="O461" s="1052"/>
      <c r="P461" s="1051"/>
      <c r="Q461" s="1051"/>
      <c r="R461" s="1052"/>
      <c r="S461" s="1051"/>
      <c r="T461" s="1051"/>
      <c r="U461" s="1052"/>
      <c r="V461" s="1051"/>
      <c r="W461" s="1051"/>
      <c r="X461" s="1052"/>
      <c r="Y461" s="1053"/>
      <c r="Z461" s="1051"/>
      <c r="AA461" s="1051"/>
      <c r="AB461" s="1052"/>
      <c r="AC461" s="1051"/>
      <c r="AD461" s="1051"/>
      <c r="AE461" s="1052"/>
      <c r="AF461" s="1051"/>
      <c r="AG461" s="1051"/>
      <c r="AH461" s="1051"/>
      <c r="AI461" s="1051"/>
      <c r="AJ461" s="1052"/>
      <c r="AK461" s="1051"/>
      <c r="AL461" s="1051"/>
      <c r="AM461" s="1052"/>
      <c r="AN461" s="1051"/>
      <c r="AO461" s="1051"/>
      <c r="AP461" s="1052"/>
      <c r="AQ461" s="1051"/>
      <c r="AR461" s="1051"/>
      <c r="AS461" s="1052"/>
      <c r="AT461" s="1051"/>
      <c r="AU461" s="1051"/>
      <c r="AV461" s="1052"/>
      <c r="AW461" s="1051"/>
      <c r="AX461" s="1051"/>
      <c r="AY461" s="1053"/>
      <c r="AZ461" s="1051"/>
      <c r="BA461" s="1051"/>
      <c r="BB461" s="1053"/>
      <c r="BC461" s="1051"/>
      <c r="BD461" s="1051"/>
      <c r="BE461" s="1053"/>
      <c r="BF461" s="1051"/>
      <c r="BG461" s="1051"/>
      <c r="BH461" s="1053"/>
      <c r="BI461" s="1052"/>
      <c r="BJ461" s="1052"/>
      <c r="BK461" s="1052"/>
      <c r="BL461" s="1052"/>
      <c r="BM461" s="1052"/>
      <c r="BN461" s="1054"/>
      <c r="BO461" s="1076">
        <f t="shared" si="17"/>
        <v>0</v>
      </c>
      <c r="BP461" s="1051"/>
      <c r="BQ461" s="1052"/>
      <c r="BR461" s="1054"/>
      <c r="BS461" s="1053"/>
      <c r="BT461" s="1051"/>
      <c r="BU461" s="1051"/>
      <c r="BV461" s="1051"/>
      <c r="BW461" s="1052"/>
      <c r="BX461" s="1052"/>
      <c r="BY461" s="1052"/>
      <c r="BZ461" s="1052"/>
      <c r="CA461" s="1052"/>
      <c r="CB461" s="1053"/>
      <c r="CC461" s="1053"/>
      <c r="CD461" s="1053"/>
      <c r="CE461" s="1053"/>
      <c r="CF461" s="1053"/>
      <c r="CG461" s="1053"/>
      <c r="CH461" s="1053"/>
      <c r="CI461" s="1123"/>
      <c r="CJ461" s="1123"/>
      <c r="CK461" s="1123"/>
      <c r="CL461" s="1123"/>
      <c r="CM461" s="1123"/>
      <c r="CN461" s="1123"/>
      <c r="CO461" s="1123"/>
      <c r="CP461" s="1123"/>
      <c r="CQ461" s="1123"/>
      <c r="CR461" s="1123"/>
      <c r="CS461" s="1123"/>
      <c r="CT461" s="1123"/>
      <c r="CU461" s="1123"/>
      <c r="CV461" s="1123"/>
      <c r="CW461" s="1123"/>
      <c r="CX461" s="1123"/>
      <c r="CY461" s="1123"/>
      <c r="CZ461" s="1114"/>
      <c r="DA461" s="1114"/>
      <c r="DB461" s="1114"/>
      <c r="DC461" s="1114"/>
      <c r="DD461" s="1114"/>
      <c r="DE461" s="1114"/>
      <c r="DF461" s="1114"/>
      <c r="DG461" s="1114"/>
      <c r="DH461" s="1114"/>
      <c r="DI461" s="1114"/>
      <c r="DJ461" s="1114"/>
      <c r="DK461" s="1114"/>
      <c r="DL461" s="1114"/>
      <c r="DM461" s="1114"/>
      <c r="DN461" s="1114"/>
      <c r="DO461" s="1114"/>
      <c r="DP461" s="1114"/>
      <c r="DQ461" s="1114"/>
      <c r="DR461" s="1114"/>
      <c r="DS461" s="1114"/>
      <c r="DT461" s="1114"/>
      <c r="DU461" s="1114"/>
      <c r="DV461" s="1115"/>
      <c r="DW461" s="1116"/>
      <c r="DX461" s="1116"/>
      <c r="DY461" s="1116"/>
      <c r="DZ461" s="1116"/>
      <c r="EA461" s="1116"/>
      <c r="EB461" s="1116"/>
      <c r="EC461" s="1116"/>
      <c r="ED461" s="1116"/>
      <c r="EE461" s="1116"/>
      <c r="EF461" s="1116"/>
      <c r="EG461" s="1116"/>
      <c r="EH461" s="1116"/>
      <c r="EI461" s="1116"/>
      <c r="EJ461" s="1116"/>
      <c r="EK461" s="1116"/>
      <c r="EL461" s="1116"/>
      <c r="EM461" s="1116"/>
      <c r="EN461" s="1116"/>
      <c r="EO461" s="1116"/>
      <c r="EP461" s="1116"/>
      <c r="EQ461" s="1116"/>
      <c r="ER461" s="1116"/>
      <c r="ES461" s="1116"/>
    </row>
    <row r="462" spans="1:149" ht="15" customHeight="1">
      <c r="A462" s="1185">
        <v>447</v>
      </c>
      <c r="B462" s="1041"/>
      <c r="C462" s="1050"/>
      <c r="D462" s="1050"/>
      <c r="E462" s="1050"/>
      <c r="F462" s="1049"/>
      <c r="G462" s="1457"/>
      <c r="H462" s="1049"/>
      <c r="I462" s="1049"/>
      <c r="J462" s="1050"/>
      <c r="K462" s="1050"/>
      <c r="L462" s="1043"/>
      <c r="M462" s="1051"/>
      <c r="N462" s="1051"/>
      <c r="O462" s="1052"/>
      <c r="P462" s="1051"/>
      <c r="Q462" s="1051"/>
      <c r="R462" s="1052"/>
      <c r="S462" s="1051"/>
      <c r="T462" s="1051"/>
      <c r="U462" s="1052"/>
      <c r="V462" s="1051"/>
      <c r="W462" s="1051"/>
      <c r="X462" s="1052"/>
      <c r="Y462" s="1053"/>
      <c r="Z462" s="1051"/>
      <c r="AA462" s="1051"/>
      <c r="AB462" s="1052"/>
      <c r="AC462" s="1051"/>
      <c r="AD462" s="1051"/>
      <c r="AE462" s="1052"/>
      <c r="AF462" s="1051"/>
      <c r="AG462" s="1051"/>
      <c r="AH462" s="1051"/>
      <c r="AI462" s="1051"/>
      <c r="AJ462" s="1052"/>
      <c r="AK462" s="1051"/>
      <c r="AL462" s="1051"/>
      <c r="AM462" s="1052"/>
      <c r="AN462" s="1051"/>
      <c r="AO462" s="1051"/>
      <c r="AP462" s="1052"/>
      <c r="AQ462" s="1051"/>
      <c r="AR462" s="1051"/>
      <c r="AS462" s="1052"/>
      <c r="AT462" s="1051"/>
      <c r="AU462" s="1051"/>
      <c r="AV462" s="1052"/>
      <c r="AW462" s="1051"/>
      <c r="AX462" s="1051"/>
      <c r="AY462" s="1053"/>
      <c r="AZ462" s="1051"/>
      <c r="BA462" s="1051"/>
      <c r="BB462" s="1053"/>
      <c r="BC462" s="1051"/>
      <c r="BD462" s="1051"/>
      <c r="BE462" s="1053"/>
      <c r="BF462" s="1051"/>
      <c r="BG462" s="1051"/>
      <c r="BH462" s="1053"/>
      <c r="BI462" s="1052"/>
      <c r="BJ462" s="1052"/>
      <c r="BK462" s="1052"/>
      <c r="BL462" s="1052"/>
      <c r="BM462" s="1052"/>
      <c r="BN462" s="1054"/>
      <c r="BO462" s="1076">
        <f t="shared" si="17"/>
        <v>0</v>
      </c>
      <c r="BP462" s="1051"/>
      <c r="BQ462" s="1052"/>
      <c r="BR462" s="1054"/>
      <c r="BS462" s="1053"/>
      <c r="BT462" s="1051"/>
      <c r="BU462" s="1051"/>
      <c r="BV462" s="1051"/>
      <c r="BW462" s="1052"/>
      <c r="BX462" s="1052"/>
      <c r="BY462" s="1052"/>
      <c r="BZ462" s="1052"/>
      <c r="CA462" s="1052"/>
      <c r="CB462" s="1053"/>
      <c r="CC462" s="1053"/>
      <c r="CD462" s="1053"/>
      <c r="CE462" s="1053"/>
      <c r="CF462" s="1053"/>
      <c r="CG462" s="1053"/>
      <c r="CH462" s="1053"/>
      <c r="CI462" s="1123"/>
      <c r="CJ462" s="1123"/>
      <c r="CK462" s="1123"/>
      <c r="CL462" s="1123"/>
      <c r="CM462" s="1123"/>
      <c r="CN462" s="1123"/>
      <c r="CO462" s="1123"/>
      <c r="CP462" s="1123"/>
      <c r="CQ462" s="1123"/>
      <c r="CR462" s="1123"/>
      <c r="CS462" s="1123"/>
      <c r="CT462" s="1123"/>
      <c r="CU462" s="1123"/>
      <c r="CV462" s="1123"/>
      <c r="CW462" s="1123"/>
      <c r="CX462" s="1123"/>
      <c r="CY462" s="1123"/>
      <c r="CZ462" s="1114"/>
      <c r="DA462" s="1114"/>
      <c r="DB462" s="1114"/>
      <c r="DC462" s="1114"/>
      <c r="DD462" s="1114"/>
      <c r="DE462" s="1114"/>
      <c r="DF462" s="1114"/>
      <c r="DG462" s="1114"/>
      <c r="DH462" s="1114"/>
      <c r="DI462" s="1114"/>
      <c r="DJ462" s="1114"/>
      <c r="DK462" s="1114"/>
      <c r="DL462" s="1114"/>
      <c r="DM462" s="1114"/>
      <c r="DN462" s="1114"/>
      <c r="DO462" s="1114"/>
      <c r="DP462" s="1114"/>
      <c r="DQ462" s="1114"/>
      <c r="DR462" s="1114"/>
      <c r="DS462" s="1114"/>
      <c r="DT462" s="1114"/>
      <c r="DU462" s="1114"/>
      <c r="DV462" s="1115"/>
      <c r="DW462" s="1116"/>
      <c r="DX462" s="1116"/>
      <c r="DY462" s="1116"/>
      <c r="DZ462" s="1116"/>
      <c r="EA462" s="1116"/>
      <c r="EB462" s="1116"/>
      <c r="EC462" s="1116"/>
      <c r="ED462" s="1116"/>
      <c r="EE462" s="1116"/>
      <c r="EF462" s="1116"/>
      <c r="EG462" s="1116"/>
      <c r="EH462" s="1116"/>
      <c r="EI462" s="1116"/>
      <c r="EJ462" s="1116"/>
      <c r="EK462" s="1116"/>
      <c r="EL462" s="1116"/>
      <c r="EM462" s="1116"/>
      <c r="EN462" s="1116"/>
      <c r="EO462" s="1116"/>
      <c r="EP462" s="1116"/>
      <c r="EQ462" s="1116"/>
      <c r="ER462" s="1116"/>
      <c r="ES462" s="1116"/>
    </row>
    <row r="463" spans="1:149" ht="15" customHeight="1">
      <c r="A463" s="1185">
        <v>448</v>
      </c>
      <c r="B463" s="1041"/>
      <c r="C463" s="1050"/>
      <c r="D463" s="1050"/>
      <c r="E463" s="1050"/>
      <c r="F463" s="1049"/>
      <c r="G463" s="1457"/>
      <c r="H463" s="1049"/>
      <c r="I463" s="1049"/>
      <c r="J463" s="1050"/>
      <c r="K463" s="1050"/>
      <c r="L463" s="1043"/>
      <c r="M463" s="1051"/>
      <c r="N463" s="1051"/>
      <c r="O463" s="1052"/>
      <c r="P463" s="1051"/>
      <c r="Q463" s="1051"/>
      <c r="R463" s="1052"/>
      <c r="S463" s="1051"/>
      <c r="T463" s="1051"/>
      <c r="U463" s="1052"/>
      <c r="V463" s="1051"/>
      <c r="W463" s="1051"/>
      <c r="X463" s="1052"/>
      <c r="Y463" s="1053"/>
      <c r="Z463" s="1051"/>
      <c r="AA463" s="1051"/>
      <c r="AB463" s="1052"/>
      <c r="AC463" s="1051"/>
      <c r="AD463" s="1051"/>
      <c r="AE463" s="1052"/>
      <c r="AF463" s="1051"/>
      <c r="AG463" s="1051"/>
      <c r="AH463" s="1051"/>
      <c r="AI463" s="1051"/>
      <c r="AJ463" s="1052"/>
      <c r="AK463" s="1051"/>
      <c r="AL463" s="1051"/>
      <c r="AM463" s="1052"/>
      <c r="AN463" s="1051"/>
      <c r="AO463" s="1051"/>
      <c r="AP463" s="1052"/>
      <c r="AQ463" s="1051"/>
      <c r="AR463" s="1051"/>
      <c r="AS463" s="1052"/>
      <c r="AT463" s="1051"/>
      <c r="AU463" s="1051"/>
      <c r="AV463" s="1052"/>
      <c r="AW463" s="1051"/>
      <c r="AX463" s="1051"/>
      <c r="AY463" s="1053"/>
      <c r="AZ463" s="1051"/>
      <c r="BA463" s="1051"/>
      <c r="BB463" s="1053"/>
      <c r="BC463" s="1051"/>
      <c r="BD463" s="1051"/>
      <c r="BE463" s="1053"/>
      <c r="BF463" s="1051"/>
      <c r="BG463" s="1051"/>
      <c r="BH463" s="1053"/>
      <c r="BI463" s="1052"/>
      <c r="BJ463" s="1052"/>
      <c r="BK463" s="1052"/>
      <c r="BL463" s="1052"/>
      <c r="BM463" s="1052"/>
      <c r="BN463" s="1054"/>
      <c r="BO463" s="1076">
        <f t="shared" si="17"/>
        <v>0</v>
      </c>
      <c r="BP463" s="1051"/>
      <c r="BQ463" s="1052"/>
      <c r="BR463" s="1054"/>
      <c r="BS463" s="1053"/>
      <c r="BT463" s="1051"/>
      <c r="BU463" s="1051"/>
      <c r="BV463" s="1051"/>
      <c r="BW463" s="1052"/>
      <c r="BX463" s="1052"/>
      <c r="BY463" s="1052"/>
      <c r="BZ463" s="1052"/>
      <c r="CA463" s="1052"/>
      <c r="CB463" s="1053"/>
      <c r="CC463" s="1053"/>
      <c r="CD463" s="1053"/>
      <c r="CE463" s="1053"/>
      <c r="CF463" s="1053"/>
      <c r="CG463" s="1053"/>
      <c r="CH463" s="1053"/>
      <c r="CI463" s="1123"/>
      <c r="CJ463" s="1123"/>
      <c r="CK463" s="1123"/>
      <c r="CL463" s="1123"/>
      <c r="CM463" s="1123"/>
      <c r="CN463" s="1123"/>
      <c r="CO463" s="1123"/>
      <c r="CP463" s="1123"/>
      <c r="CQ463" s="1123"/>
      <c r="CR463" s="1123"/>
      <c r="CS463" s="1123"/>
      <c r="CT463" s="1123"/>
      <c r="CU463" s="1123"/>
      <c r="CV463" s="1123"/>
      <c r="CW463" s="1123"/>
      <c r="CX463" s="1123"/>
      <c r="CY463" s="1123"/>
      <c r="CZ463" s="1114"/>
      <c r="DA463" s="1114"/>
      <c r="DB463" s="1114"/>
      <c r="DC463" s="1114"/>
      <c r="DD463" s="1114"/>
      <c r="DE463" s="1114"/>
      <c r="DF463" s="1114"/>
      <c r="DG463" s="1114"/>
      <c r="DH463" s="1114"/>
      <c r="DI463" s="1114"/>
      <c r="DJ463" s="1114"/>
      <c r="DK463" s="1114"/>
      <c r="DL463" s="1114"/>
      <c r="DM463" s="1114"/>
      <c r="DN463" s="1114"/>
      <c r="DO463" s="1114"/>
      <c r="DP463" s="1114"/>
      <c r="DQ463" s="1114"/>
      <c r="DR463" s="1114"/>
      <c r="DS463" s="1114"/>
      <c r="DT463" s="1114"/>
      <c r="DU463" s="1114"/>
      <c r="DV463" s="1115"/>
      <c r="DW463" s="1116"/>
      <c r="DX463" s="1116"/>
      <c r="DY463" s="1116"/>
      <c r="DZ463" s="1116"/>
      <c r="EA463" s="1116"/>
      <c r="EB463" s="1116"/>
      <c r="EC463" s="1116"/>
      <c r="ED463" s="1116"/>
      <c r="EE463" s="1116"/>
      <c r="EF463" s="1116"/>
      <c r="EG463" s="1116"/>
      <c r="EH463" s="1116"/>
      <c r="EI463" s="1116"/>
      <c r="EJ463" s="1116"/>
      <c r="EK463" s="1116"/>
      <c r="EL463" s="1116"/>
      <c r="EM463" s="1116"/>
      <c r="EN463" s="1116"/>
      <c r="EO463" s="1116"/>
      <c r="EP463" s="1116"/>
      <c r="EQ463" s="1116"/>
      <c r="ER463" s="1116"/>
      <c r="ES463" s="1116"/>
    </row>
    <row r="464" spans="1:149" ht="15" customHeight="1">
      <c r="A464" s="1185">
        <v>449</v>
      </c>
      <c r="B464" s="1041"/>
      <c r="C464" s="1050"/>
      <c r="D464" s="1050"/>
      <c r="E464" s="1050"/>
      <c r="F464" s="1049"/>
      <c r="G464" s="1457"/>
      <c r="H464" s="1049"/>
      <c r="I464" s="1049"/>
      <c r="J464" s="1050"/>
      <c r="K464" s="1050"/>
      <c r="L464" s="1043"/>
      <c r="M464" s="1051"/>
      <c r="N464" s="1051"/>
      <c r="O464" s="1052"/>
      <c r="P464" s="1051"/>
      <c r="Q464" s="1051"/>
      <c r="R464" s="1052"/>
      <c r="S464" s="1051"/>
      <c r="T464" s="1051"/>
      <c r="U464" s="1052"/>
      <c r="V464" s="1051"/>
      <c r="W464" s="1051"/>
      <c r="X464" s="1052"/>
      <c r="Y464" s="1053"/>
      <c r="Z464" s="1051"/>
      <c r="AA464" s="1051"/>
      <c r="AB464" s="1052"/>
      <c r="AC464" s="1051"/>
      <c r="AD464" s="1051"/>
      <c r="AE464" s="1052"/>
      <c r="AF464" s="1051"/>
      <c r="AG464" s="1051"/>
      <c r="AH464" s="1051"/>
      <c r="AI464" s="1051"/>
      <c r="AJ464" s="1052"/>
      <c r="AK464" s="1051"/>
      <c r="AL464" s="1051"/>
      <c r="AM464" s="1052"/>
      <c r="AN464" s="1051"/>
      <c r="AO464" s="1051"/>
      <c r="AP464" s="1052"/>
      <c r="AQ464" s="1051"/>
      <c r="AR464" s="1051"/>
      <c r="AS464" s="1052"/>
      <c r="AT464" s="1051"/>
      <c r="AU464" s="1051"/>
      <c r="AV464" s="1052"/>
      <c r="AW464" s="1051"/>
      <c r="AX464" s="1051"/>
      <c r="AY464" s="1053"/>
      <c r="AZ464" s="1051"/>
      <c r="BA464" s="1051"/>
      <c r="BB464" s="1053"/>
      <c r="BC464" s="1051"/>
      <c r="BD464" s="1051"/>
      <c r="BE464" s="1053"/>
      <c r="BF464" s="1051"/>
      <c r="BG464" s="1051"/>
      <c r="BH464" s="1053"/>
      <c r="BI464" s="1052"/>
      <c r="BJ464" s="1052"/>
      <c r="BK464" s="1052"/>
      <c r="BL464" s="1052"/>
      <c r="BM464" s="1052"/>
      <c r="BN464" s="1054"/>
      <c r="BO464" s="1076">
        <f t="shared" si="17"/>
        <v>0</v>
      </c>
      <c r="BP464" s="1051"/>
      <c r="BQ464" s="1052"/>
      <c r="BR464" s="1054"/>
      <c r="BS464" s="1053"/>
      <c r="BT464" s="1051"/>
      <c r="BU464" s="1051"/>
      <c r="BV464" s="1051"/>
      <c r="BW464" s="1052"/>
      <c r="BX464" s="1052"/>
      <c r="BY464" s="1052"/>
      <c r="BZ464" s="1052"/>
      <c r="CA464" s="1052"/>
      <c r="CB464" s="1053"/>
      <c r="CC464" s="1053"/>
      <c r="CD464" s="1053"/>
      <c r="CE464" s="1053"/>
      <c r="CF464" s="1053"/>
      <c r="CG464" s="1053"/>
      <c r="CH464" s="1053"/>
      <c r="CI464" s="1123"/>
      <c r="CJ464" s="1123"/>
      <c r="CK464" s="1123"/>
      <c r="CL464" s="1123"/>
      <c r="CM464" s="1123"/>
      <c r="CN464" s="1123"/>
      <c r="CO464" s="1123"/>
      <c r="CP464" s="1123"/>
      <c r="CQ464" s="1123"/>
      <c r="CR464" s="1123"/>
      <c r="CS464" s="1123"/>
      <c r="CT464" s="1123"/>
      <c r="CU464" s="1123"/>
      <c r="CV464" s="1123"/>
      <c r="CW464" s="1123"/>
      <c r="CX464" s="1123"/>
      <c r="CY464" s="1123"/>
      <c r="CZ464" s="1114"/>
      <c r="DA464" s="1114"/>
      <c r="DB464" s="1114"/>
      <c r="DC464" s="1114"/>
      <c r="DD464" s="1114"/>
      <c r="DE464" s="1114"/>
      <c r="DF464" s="1114"/>
      <c r="DG464" s="1114"/>
      <c r="DH464" s="1114"/>
      <c r="DI464" s="1114"/>
      <c r="DJ464" s="1114"/>
      <c r="DK464" s="1114"/>
      <c r="DL464" s="1114"/>
      <c r="DM464" s="1114"/>
      <c r="DN464" s="1114"/>
      <c r="DO464" s="1114"/>
      <c r="DP464" s="1114"/>
      <c r="DQ464" s="1114"/>
      <c r="DR464" s="1114"/>
      <c r="DS464" s="1114"/>
      <c r="DT464" s="1114"/>
      <c r="DU464" s="1114"/>
      <c r="DV464" s="1115"/>
      <c r="DW464" s="1116"/>
      <c r="DX464" s="1116"/>
      <c r="DY464" s="1116"/>
      <c r="DZ464" s="1116"/>
      <c r="EA464" s="1116"/>
      <c r="EB464" s="1116"/>
      <c r="EC464" s="1116"/>
      <c r="ED464" s="1116"/>
      <c r="EE464" s="1116"/>
      <c r="EF464" s="1116"/>
      <c r="EG464" s="1116"/>
      <c r="EH464" s="1116"/>
      <c r="EI464" s="1116"/>
      <c r="EJ464" s="1116"/>
      <c r="EK464" s="1116"/>
      <c r="EL464" s="1116"/>
      <c r="EM464" s="1116"/>
      <c r="EN464" s="1116"/>
      <c r="EO464" s="1116"/>
      <c r="EP464" s="1116"/>
      <c r="EQ464" s="1116"/>
      <c r="ER464" s="1116"/>
      <c r="ES464" s="1116"/>
    </row>
    <row r="465" spans="1:149" ht="15" customHeight="1">
      <c r="A465" s="1185">
        <v>450</v>
      </c>
      <c r="B465" s="1041"/>
      <c r="C465" s="1050"/>
      <c r="D465" s="1050"/>
      <c r="E465" s="1050"/>
      <c r="F465" s="1049"/>
      <c r="G465" s="1457"/>
      <c r="H465" s="1049"/>
      <c r="I465" s="1049"/>
      <c r="J465" s="1050"/>
      <c r="K465" s="1050"/>
      <c r="L465" s="1043"/>
      <c r="M465" s="1051"/>
      <c r="N465" s="1051"/>
      <c r="O465" s="1052"/>
      <c r="P465" s="1051"/>
      <c r="Q465" s="1051"/>
      <c r="R465" s="1052"/>
      <c r="S465" s="1051"/>
      <c r="T465" s="1051"/>
      <c r="U465" s="1052"/>
      <c r="V465" s="1051"/>
      <c r="W465" s="1051"/>
      <c r="X465" s="1052"/>
      <c r="Y465" s="1053"/>
      <c r="Z465" s="1051"/>
      <c r="AA465" s="1051"/>
      <c r="AB465" s="1052"/>
      <c r="AC465" s="1051"/>
      <c r="AD465" s="1051"/>
      <c r="AE465" s="1052"/>
      <c r="AF465" s="1051"/>
      <c r="AG465" s="1051"/>
      <c r="AH465" s="1051"/>
      <c r="AI465" s="1051"/>
      <c r="AJ465" s="1052"/>
      <c r="AK465" s="1051"/>
      <c r="AL465" s="1051"/>
      <c r="AM465" s="1052"/>
      <c r="AN465" s="1051"/>
      <c r="AO465" s="1051"/>
      <c r="AP465" s="1052"/>
      <c r="AQ465" s="1051"/>
      <c r="AR465" s="1051"/>
      <c r="AS465" s="1052"/>
      <c r="AT465" s="1051"/>
      <c r="AU465" s="1051"/>
      <c r="AV465" s="1052"/>
      <c r="AW465" s="1051"/>
      <c r="AX465" s="1051"/>
      <c r="AY465" s="1053"/>
      <c r="AZ465" s="1051"/>
      <c r="BA465" s="1051"/>
      <c r="BB465" s="1053"/>
      <c r="BC465" s="1051"/>
      <c r="BD465" s="1051"/>
      <c r="BE465" s="1053"/>
      <c r="BF465" s="1051"/>
      <c r="BG465" s="1051"/>
      <c r="BH465" s="1053"/>
      <c r="BI465" s="1052"/>
      <c r="BJ465" s="1052"/>
      <c r="BK465" s="1052"/>
      <c r="BL465" s="1052"/>
      <c r="BM465" s="1052"/>
      <c r="BN465" s="1054"/>
      <c r="BO465" s="1076">
        <f t="shared" ref="BO465:BO528" si="18">H465</f>
        <v>0</v>
      </c>
      <c r="BP465" s="1051"/>
      <c r="BQ465" s="1052"/>
      <c r="BR465" s="1054"/>
      <c r="BS465" s="1053"/>
      <c r="BT465" s="1051"/>
      <c r="BU465" s="1051"/>
      <c r="BV465" s="1051"/>
      <c r="BW465" s="1052"/>
      <c r="BX465" s="1052"/>
      <c r="BY465" s="1052"/>
      <c r="BZ465" s="1052"/>
      <c r="CA465" s="1052"/>
      <c r="CB465" s="1053"/>
      <c r="CC465" s="1053"/>
      <c r="CD465" s="1053"/>
      <c r="CE465" s="1053"/>
      <c r="CF465" s="1053"/>
      <c r="CG465" s="1053"/>
      <c r="CH465" s="1053"/>
      <c r="CI465" s="1123"/>
      <c r="CJ465" s="1123"/>
      <c r="CK465" s="1123"/>
      <c r="CL465" s="1123"/>
      <c r="CM465" s="1123"/>
      <c r="CN465" s="1123"/>
      <c r="CO465" s="1123"/>
      <c r="CP465" s="1123"/>
      <c r="CQ465" s="1123"/>
      <c r="CR465" s="1123"/>
      <c r="CS465" s="1123"/>
      <c r="CT465" s="1123"/>
      <c r="CU465" s="1123"/>
      <c r="CV465" s="1123"/>
      <c r="CW465" s="1123"/>
      <c r="CX465" s="1123"/>
      <c r="CY465" s="1123"/>
      <c r="CZ465" s="1114"/>
      <c r="DA465" s="1114"/>
      <c r="DB465" s="1114"/>
      <c r="DC465" s="1114"/>
      <c r="DD465" s="1114"/>
      <c r="DE465" s="1114"/>
      <c r="DF465" s="1114"/>
      <c r="DG465" s="1114"/>
      <c r="DH465" s="1114"/>
      <c r="DI465" s="1114"/>
      <c r="DJ465" s="1114"/>
      <c r="DK465" s="1114"/>
      <c r="DL465" s="1114"/>
      <c r="DM465" s="1114"/>
      <c r="DN465" s="1114"/>
      <c r="DO465" s="1114"/>
      <c r="DP465" s="1114"/>
      <c r="DQ465" s="1114"/>
      <c r="DR465" s="1114"/>
      <c r="DS465" s="1114"/>
      <c r="DT465" s="1114"/>
      <c r="DU465" s="1114"/>
      <c r="DV465" s="1115"/>
      <c r="DW465" s="1116"/>
      <c r="DX465" s="1116"/>
      <c r="DY465" s="1116"/>
      <c r="DZ465" s="1116"/>
      <c r="EA465" s="1116"/>
      <c r="EB465" s="1116"/>
      <c r="EC465" s="1116"/>
      <c r="ED465" s="1116"/>
      <c r="EE465" s="1116"/>
      <c r="EF465" s="1116"/>
      <c r="EG465" s="1116"/>
      <c r="EH465" s="1116"/>
      <c r="EI465" s="1116"/>
      <c r="EJ465" s="1116"/>
      <c r="EK465" s="1116"/>
      <c r="EL465" s="1116"/>
      <c r="EM465" s="1116"/>
      <c r="EN465" s="1116"/>
      <c r="EO465" s="1116"/>
      <c r="EP465" s="1116"/>
      <c r="EQ465" s="1116"/>
      <c r="ER465" s="1116"/>
      <c r="ES465" s="1116"/>
    </row>
    <row r="466" spans="1:149" ht="15" customHeight="1">
      <c r="A466" s="1185">
        <v>451</v>
      </c>
      <c r="B466" s="1041"/>
      <c r="C466" s="1050"/>
      <c r="D466" s="1050"/>
      <c r="E466" s="1050"/>
      <c r="F466" s="1049"/>
      <c r="G466" s="1457"/>
      <c r="H466" s="1049"/>
      <c r="I466" s="1049"/>
      <c r="J466" s="1050"/>
      <c r="K466" s="1050"/>
      <c r="L466" s="1043"/>
      <c r="M466" s="1051"/>
      <c r="N466" s="1051"/>
      <c r="O466" s="1052"/>
      <c r="P466" s="1051"/>
      <c r="Q466" s="1051"/>
      <c r="R466" s="1052"/>
      <c r="S466" s="1051"/>
      <c r="T466" s="1051"/>
      <c r="U466" s="1052"/>
      <c r="V466" s="1051"/>
      <c r="W466" s="1051"/>
      <c r="X466" s="1052"/>
      <c r="Y466" s="1053"/>
      <c r="Z466" s="1051"/>
      <c r="AA466" s="1051"/>
      <c r="AB466" s="1052"/>
      <c r="AC466" s="1051"/>
      <c r="AD466" s="1051"/>
      <c r="AE466" s="1052"/>
      <c r="AF466" s="1051"/>
      <c r="AG466" s="1051"/>
      <c r="AH466" s="1051"/>
      <c r="AI466" s="1051"/>
      <c r="AJ466" s="1052"/>
      <c r="AK466" s="1051"/>
      <c r="AL466" s="1051"/>
      <c r="AM466" s="1052"/>
      <c r="AN466" s="1051"/>
      <c r="AO466" s="1051"/>
      <c r="AP466" s="1052"/>
      <c r="AQ466" s="1051"/>
      <c r="AR466" s="1051"/>
      <c r="AS466" s="1052"/>
      <c r="AT466" s="1051"/>
      <c r="AU466" s="1051"/>
      <c r="AV466" s="1052"/>
      <c r="AW466" s="1051"/>
      <c r="AX466" s="1051"/>
      <c r="AY466" s="1053"/>
      <c r="AZ466" s="1051"/>
      <c r="BA466" s="1051"/>
      <c r="BB466" s="1053"/>
      <c r="BC466" s="1051"/>
      <c r="BD466" s="1051"/>
      <c r="BE466" s="1053"/>
      <c r="BF466" s="1051"/>
      <c r="BG466" s="1051"/>
      <c r="BH466" s="1053"/>
      <c r="BI466" s="1052"/>
      <c r="BJ466" s="1052"/>
      <c r="BK466" s="1052"/>
      <c r="BL466" s="1052"/>
      <c r="BM466" s="1052"/>
      <c r="BN466" s="1054"/>
      <c r="BO466" s="1076">
        <f t="shared" si="18"/>
        <v>0</v>
      </c>
      <c r="BP466" s="1051"/>
      <c r="BQ466" s="1052"/>
      <c r="BR466" s="1054"/>
      <c r="BS466" s="1053"/>
      <c r="BT466" s="1051"/>
      <c r="BU466" s="1051"/>
      <c r="BV466" s="1051"/>
      <c r="BW466" s="1052"/>
      <c r="BX466" s="1052"/>
      <c r="BY466" s="1052"/>
      <c r="BZ466" s="1052"/>
      <c r="CA466" s="1052"/>
      <c r="CB466" s="1053"/>
      <c r="CC466" s="1053"/>
      <c r="CD466" s="1053"/>
      <c r="CE466" s="1053"/>
      <c r="CF466" s="1053"/>
      <c r="CG466" s="1053"/>
      <c r="CH466" s="1053"/>
      <c r="CI466" s="1123"/>
      <c r="CJ466" s="1123"/>
      <c r="CK466" s="1123"/>
      <c r="CL466" s="1123"/>
      <c r="CM466" s="1123"/>
      <c r="CN466" s="1123"/>
      <c r="CO466" s="1123"/>
      <c r="CP466" s="1123"/>
      <c r="CQ466" s="1123"/>
      <c r="CR466" s="1123"/>
      <c r="CS466" s="1123"/>
      <c r="CT466" s="1123"/>
      <c r="CU466" s="1123"/>
      <c r="CV466" s="1123"/>
      <c r="CW466" s="1123"/>
      <c r="CX466" s="1123"/>
      <c r="CY466" s="1123"/>
      <c r="CZ466" s="1114"/>
      <c r="DA466" s="1114"/>
      <c r="DB466" s="1114"/>
      <c r="DC466" s="1114"/>
      <c r="DD466" s="1114"/>
      <c r="DE466" s="1114"/>
      <c r="DF466" s="1114"/>
      <c r="DG466" s="1114"/>
      <c r="DH466" s="1114"/>
      <c r="DI466" s="1114"/>
      <c r="DJ466" s="1114"/>
      <c r="DK466" s="1114"/>
      <c r="DL466" s="1114"/>
      <c r="DM466" s="1114"/>
      <c r="DN466" s="1114"/>
      <c r="DO466" s="1114"/>
      <c r="DP466" s="1114"/>
      <c r="DQ466" s="1114"/>
      <c r="DR466" s="1114"/>
      <c r="DS466" s="1114"/>
      <c r="DT466" s="1114"/>
      <c r="DU466" s="1114"/>
      <c r="DV466" s="1115"/>
      <c r="DW466" s="1116"/>
      <c r="DX466" s="1116"/>
      <c r="DY466" s="1116"/>
      <c r="DZ466" s="1116"/>
      <c r="EA466" s="1116"/>
      <c r="EB466" s="1116"/>
      <c r="EC466" s="1116"/>
      <c r="ED466" s="1116"/>
      <c r="EE466" s="1116"/>
      <c r="EF466" s="1116"/>
      <c r="EG466" s="1116"/>
      <c r="EH466" s="1116"/>
      <c r="EI466" s="1116"/>
      <c r="EJ466" s="1116"/>
      <c r="EK466" s="1116"/>
      <c r="EL466" s="1116"/>
      <c r="EM466" s="1116"/>
      <c r="EN466" s="1116"/>
      <c r="EO466" s="1116"/>
      <c r="EP466" s="1116"/>
      <c r="EQ466" s="1116"/>
      <c r="ER466" s="1116"/>
      <c r="ES466" s="1116"/>
    </row>
    <row r="467" spans="1:149" ht="15" customHeight="1">
      <c r="A467" s="1185">
        <v>452</v>
      </c>
      <c r="B467" s="1041"/>
      <c r="C467" s="1050"/>
      <c r="D467" s="1050"/>
      <c r="E467" s="1050"/>
      <c r="F467" s="1049"/>
      <c r="G467" s="1457"/>
      <c r="H467" s="1049"/>
      <c r="I467" s="1049"/>
      <c r="J467" s="1050"/>
      <c r="K467" s="1050"/>
      <c r="L467" s="1043"/>
      <c r="M467" s="1051"/>
      <c r="N467" s="1051"/>
      <c r="O467" s="1052"/>
      <c r="P467" s="1051"/>
      <c r="Q467" s="1051"/>
      <c r="R467" s="1052"/>
      <c r="S467" s="1051"/>
      <c r="T467" s="1051"/>
      <c r="U467" s="1052"/>
      <c r="V467" s="1051"/>
      <c r="W467" s="1051"/>
      <c r="X467" s="1052"/>
      <c r="Y467" s="1053"/>
      <c r="Z467" s="1051"/>
      <c r="AA467" s="1051"/>
      <c r="AB467" s="1052"/>
      <c r="AC467" s="1051"/>
      <c r="AD467" s="1051"/>
      <c r="AE467" s="1052"/>
      <c r="AF467" s="1051"/>
      <c r="AG467" s="1051"/>
      <c r="AH467" s="1051"/>
      <c r="AI467" s="1051"/>
      <c r="AJ467" s="1052"/>
      <c r="AK467" s="1051"/>
      <c r="AL467" s="1051"/>
      <c r="AM467" s="1052"/>
      <c r="AN467" s="1051"/>
      <c r="AO467" s="1051"/>
      <c r="AP467" s="1052"/>
      <c r="AQ467" s="1051"/>
      <c r="AR467" s="1051"/>
      <c r="AS467" s="1052"/>
      <c r="AT467" s="1051"/>
      <c r="AU467" s="1051"/>
      <c r="AV467" s="1052"/>
      <c r="AW467" s="1051"/>
      <c r="AX467" s="1051"/>
      <c r="AY467" s="1053"/>
      <c r="AZ467" s="1051"/>
      <c r="BA467" s="1051"/>
      <c r="BB467" s="1053"/>
      <c r="BC467" s="1051"/>
      <c r="BD467" s="1051"/>
      <c r="BE467" s="1053"/>
      <c r="BF467" s="1051"/>
      <c r="BG467" s="1051"/>
      <c r="BH467" s="1053"/>
      <c r="BI467" s="1052"/>
      <c r="BJ467" s="1052"/>
      <c r="BK467" s="1052"/>
      <c r="BL467" s="1052"/>
      <c r="BM467" s="1052"/>
      <c r="BN467" s="1054"/>
      <c r="BO467" s="1076">
        <f t="shared" si="18"/>
        <v>0</v>
      </c>
      <c r="BP467" s="1051"/>
      <c r="BQ467" s="1052"/>
      <c r="BR467" s="1054"/>
      <c r="BS467" s="1053"/>
      <c r="BT467" s="1051"/>
      <c r="BU467" s="1051"/>
      <c r="BV467" s="1051"/>
      <c r="BW467" s="1052"/>
      <c r="BX467" s="1052"/>
      <c r="BY467" s="1052"/>
      <c r="BZ467" s="1052"/>
      <c r="CA467" s="1052"/>
      <c r="CB467" s="1053"/>
      <c r="CC467" s="1053"/>
      <c r="CD467" s="1053"/>
      <c r="CE467" s="1053"/>
      <c r="CF467" s="1053"/>
      <c r="CG467" s="1053"/>
      <c r="CH467" s="1053"/>
      <c r="CI467" s="1123"/>
      <c r="CJ467" s="1123"/>
      <c r="CK467" s="1123"/>
      <c r="CL467" s="1123"/>
      <c r="CM467" s="1123"/>
      <c r="CN467" s="1123"/>
      <c r="CO467" s="1123"/>
      <c r="CP467" s="1123"/>
      <c r="CQ467" s="1123"/>
      <c r="CR467" s="1123"/>
      <c r="CS467" s="1123"/>
      <c r="CT467" s="1123"/>
      <c r="CU467" s="1123"/>
      <c r="CV467" s="1123"/>
      <c r="CW467" s="1123"/>
      <c r="CX467" s="1123"/>
      <c r="CY467" s="1123"/>
      <c r="CZ467" s="1114"/>
      <c r="DA467" s="1114"/>
      <c r="DB467" s="1114"/>
      <c r="DC467" s="1114"/>
      <c r="DD467" s="1114"/>
      <c r="DE467" s="1114"/>
      <c r="DF467" s="1114"/>
      <c r="DG467" s="1114"/>
      <c r="DH467" s="1114"/>
      <c r="DI467" s="1114"/>
      <c r="DJ467" s="1114"/>
      <c r="DK467" s="1114"/>
      <c r="DL467" s="1114"/>
      <c r="DM467" s="1114"/>
      <c r="DN467" s="1114"/>
      <c r="DO467" s="1114"/>
      <c r="DP467" s="1114"/>
      <c r="DQ467" s="1114"/>
      <c r="DR467" s="1114"/>
      <c r="DS467" s="1114"/>
      <c r="DT467" s="1114"/>
      <c r="DU467" s="1114"/>
      <c r="DV467" s="1115"/>
      <c r="DW467" s="1116"/>
      <c r="DX467" s="1116"/>
      <c r="DY467" s="1116"/>
      <c r="DZ467" s="1116"/>
      <c r="EA467" s="1116"/>
      <c r="EB467" s="1116"/>
      <c r="EC467" s="1116"/>
      <c r="ED467" s="1116"/>
      <c r="EE467" s="1116"/>
      <c r="EF467" s="1116"/>
      <c r="EG467" s="1116"/>
      <c r="EH467" s="1116"/>
      <c r="EI467" s="1116"/>
      <c r="EJ467" s="1116"/>
      <c r="EK467" s="1116"/>
      <c r="EL467" s="1116"/>
      <c r="EM467" s="1116"/>
      <c r="EN467" s="1116"/>
      <c r="EO467" s="1116"/>
      <c r="EP467" s="1116"/>
      <c r="EQ467" s="1116"/>
      <c r="ER467" s="1116"/>
      <c r="ES467" s="1116"/>
    </row>
    <row r="468" spans="1:149" ht="15" customHeight="1">
      <c r="A468" s="1185">
        <v>453</v>
      </c>
      <c r="B468" s="1041"/>
      <c r="C468" s="1050"/>
      <c r="D468" s="1050"/>
      <c r="E468" s="1050"/>
      <c r="F468" s="1049"/>
      <c r="G468" s="1457"/>
      <c r="H468" s="1049"/>
      <c r="I468" s="1049"/>
      <c r="J468" s="1050"/>
      <c r="K468" s="1050"/>
      <c r="L468" s="1043"/>
      <c r="M468" s="1051"/>
      <c r="N468" s="1051"/>
      <c r="O468" s="1052"/>
      <c r="P468" s="1051"/>
      <c r="Q468" s="1051"/>
      <c r="R468" s="1052"/>
      <c r="S468" s="1051"/>
      <c r="T468" s="1051"/>
      <c r="U468" s="1052"/>
      <c r="V468" s="1051"/>
      <c r="W468" s="1051"/>
      <c r="X468" s="1052"/>
      <c r="Y468" s="1053"/>
      <c r="Z468" s="1051"/>
      <c r="AA468" s="1051"/>
      <c r="AB468" s="1052"/>
      <c r="AC468" s="1051"/>
      <c r="AD468" s="1051"/>
      <c r="AE468" s="1052"/>
      <c r="AF468" s="1051"/>
      <c r="AG468" s="1051"/>
      <c r="AH468" s="1051"/>
      <c r="AI468" s="1051"/>
      <c r="AJ468" s="1052"/>
      <c r="AK468" s="1051"/>
      <c r="AL468" s="1051"/>
      <c r="AM468" s="1052"/>
      <c r="AN468" s="1051"/>
      <c r="AO468" s="1051"/>
      <c r="AP468" s="1052"/>
      <c r="AQ468" s="1051"/>
      <c r="AR468" s="1051"/>
      <c r="AS468" s="1052"/>
      <c r="AT468" s="1051"/>
      <c r="AU468" s="1051"/>
      <c r="AV468" s="1052"/>
      <c r="AW468" s="1051"/>
      <c r="AX468" s="1051"/>
      <c r="AY468" s="1053"/>
      <c r="AZ468" s="1051"/>
      <c r="BA468" s="1051"/>
      <c r="BB468" s="1053"/>
      <c r="BC468" s="1051"/>
      <c r="BD468" s="1051"/>
      <c r="BE468" s="1053"/>
      <c r="BF468" s="1051"/>
      <c r="BG468" s="1051"/>
      <c r="BH468" s="1053"/>
      <c r="BI468" s="1052"/>
      <c r="BJ468" s="1052"/>
      <c r="BK468" s="1052"/>
      <c r="BL468" s="1052"/>
      <c r="BM468" s="1052"/>
      <c r="BN468" s="1054"/>
      <c r="BO468" s="1076">
        <f t="shared" si="18"/>
        <v>0</v>
      </c>
      <c r="BP468" s="1051"/>
      <c r="BQ468" s="1052"/>
      <c r="BR468" s="1054"/>
      <c r="BS468" s="1053"/>
      <c r="BT468" s="1051"/>
      <c r="BU468" s="1051"/>
      <c r="BV468" s="1051"/>
      <c r="BW468" s="1052"/>
      <c r="BX468" s="1052"/>
      <c r="BY468" s="1052"/>
      <c r="BZ468" s="1052"/>
      <c r="CA468" s="1052"/>
      <c r="CB468" s="1053"/>
      <c r="CC468" s="1053"/>
      <c r="CD468" s="1053"/>
      <c r="CE468" s="1053"/>
      <c r="CF468" s="1053"/>
      <c r="CG468" s="1053"/>
      <c r="CH468" s="1053"/>
      <c r="CI468" s="1123"/>
      <c r="CJ468" s="1123"/>
      <c r="CK468" s="1123"/>
      <c r="CL468" s="1123"/>
      <c r="CM468" s="1123"/>
      <c r="CN468" s="1123"/>
      <c r="CO468" s="1123"/>
      <c r="CP468" s="1123"/>
      <c r="CQ468" s="1123"/>
      <c r="CR468" s="1123"/>
      <c r="CS468" s="1123"/>
      <c r="CT468" s="1123"/>
      <c r="CU468" s="1123"/>
      <c r="CV468" s="1123"/>
      <c r="CW468" s="1123"/>
      <c r="CX468" s="1123"/>
      <c r="CY468" s="1123"/>
      <c r="CZ468" s="1114"/>
      <c r="DA468" s="1114"/>
      <c r="DB468" s="1114"/>
      <c r="DC468" s="1114"/>
      <c r="DD468" s="1114"/>
      <c r="DE468" s="1114"/>
      <c r="DF468" s="1114"/>
      <c r="DG468" s="1114"/>
      <c r="DH468" s="1114"/>
      <c r="DI468" s="1114"/>
      <c r="DJ468" s="1114"/>
      <c r="DK468" s="1114"/>
      <c r="DL468" s="1114"/>
      <c r="DM468" s="1114"/>
      <c r="DN468" s="1114"/>
      <c r="DO468" s="1114"/>
      <c r="DP468" s="1114"/>
      <c r="DQ468" s="1114"/>
      <c r="DR468" s="1114"/>
      <c r="DS468" s="1114"/>
      <c r="DT468" s="1114"/>
      <c r="DU468" s="1114"/>
      <c r="DV468" s="1115"/>
      <c r="DW468" s="1116"/>
      <c r="DX468" s="1116"/>
      <c r="DY468" s="1116"/>
      <c r="DZ468" s="1116"/>
      <c r="EA468" s="1116"/>
      <c r="EB468" s="1116"/>
      <c r="EC468" s="1116"/>
      <c r="ED468" s="1116"/>
      <c r="EE468" s="1116"/>
      <c r="EF468" s="1116"/>
      <c r="EG468" s="1116"/>
      <c r="EH468" s="1116"/>
      <c r="EI468" s="1116"/>
      <c r="EJ468" s="1116"/>
      <c r="EK468" s="1116"/>
      <c r="EL468" s="1116"/>
      <c r="EM468" s="1116"/>
      <c r="EN468" s="1116"/>
      <c r="EO468" s="1116"/>
      <c r="EP468" s="1116"/>
      <c r="EQ468" s="1116"/>
      <c r="ER468" s="1116"/>
      <c r="ES468" s="1116"/>
    </row>
    <row r="469" spans="1:149" ht="15" customHeight="1">
      <c r="A469" s="1185">
        <v>454</v>
      </c>
      <c r="B469" s="1041"/>
      <c r="C469" s="1050"/>
      <c r="D469" s="1050"/>
      <c r="E469" s="1050"/>
      <c r="F469" s="1049"/>
      <c r="G469" s="1457"/>
      <c r="H469" s="1049"/>
      <c r="I469" s="1049"/>
      <c r="J469" s="1050"/>
      <c r="K469" s="1050"/>
      <c r="L469" s="1043"/>
      <c r="M469" s="1051"/>
      <c r="N469" s="1051"/>
      <c r="O469" s="1052"/>
      <c r="P469" s="1051"/>
      <c r="Q469" s="1051"/>
      <c r="R469" s="1052"/>
      <c r="S469" s="1051"/>
      <c r="T469" s="1051"/>
      <c r="U469" s="1052"/>
      <c r="V469" s="1051"/>
      <c r="W469" s="1051"/>
      <c r="X469" s="1052"/>
      <c r="Y469" s="1053"/>
      <c r="Z469" s="1051"/>
      <c r="AA469" s="1051"/>
      <c r="AB469" s="1052"/>
      <c r="AC469" s="1051"/>
      <c r="AD469" s="1051"/>
      <c r="AE469" s="1052"/>
      <c r="AF469" s="1051"/>
      <c r="AG469" s="1051"/>
      <c r="AH469" s="1051"/>
      <c r="AI469" s="1051"/>
      <c r="AJ469" s="1052"/>
      <c r="AK469" s="1051"/>
      <c r="AL469" s="1051"/>
      <c r="AM469" s="1052"/>
      <c r="AN469" s="1051"/>
      <c r="AO469" s="1051"/>
      <c r="AP469" s="1052"/>
      <c r="AQ469" s="1051"/>
      <c r="AR469" s="1051"/>
      <c r="AS469" s="1052"/>
      <c r="AT469" s="1051"/>
      <c r="AU469" s="1051"/>
      <c r="AV469" s="1052"/>
      <c r="AW469" s="1051"/>
      <c r="AX469" s="1051"/>
      <c r="AY469" s="1053"/>
      <c r="AZ469" s="1051"/>
      <c r="BA469" s="1051"/>
      <c r="BB469" s="1053"/>
      <c r="BC469" s="1051"/>
      <c r="BD469" s="1051"/>
      <c r="BE469" s="1053"/>
      <c r="BF469" s="1051"/>
      <c r="BG469" s="1051"/>
      <c r="BH469" s="1053"/>
      <c r="BI469" s="1052"/>
      <c r="BJ469" s="1052"/>
      <c r="BK469" s="1052"/>
      <c r="BL469" s="1052"/>
      <c r="BM469" s="1052"/>
      <c r="BN469" s="1054"/>
      <c r="BO469" s="1076">
        <f t="shared" si="18"/>
        <v>0</v>
      </c>
      <c r="BP469" s="1051"/>
      <c r="BQ469" s="1052"/>
      <c r="BR469" s="1054"/>
      <c r="BS469" s="1053"/>
      <c r="BT469" s="1051"/>
      <c r="BU469" s="1051"/>
      <c r="BV469" s="1051"/>
      <c r="BW469" s="1052"/>
      <c r="BX469" s="1052"/>
      <c r="BY469" s="1052"/>
      <c r="BZ469" s="1052"/>
      <c r="CA469" s="1052"/>
      <c r="CB469" s="1053"/>
      <c r="CC469" s="1053"/>
      <c r="CD469" s="1053"/>
      <c r="CE469" s="1053"/>
      <c r="CF469" s="1053"/>
      <c r="CG469" s="1053"/>
      <c r="CH469" s="1053"/>
      <c r="CI469" s="1123"/>
      <c r="CJ469" s="1123"/>
      <c r="CK469" s="1123"/>
      <c r="CL469" s="1123"/>
      <c r="CM469" s="1123"/>
      <c r="CN469" s="1123"/>
      <c r="CO469" s="1123"/>
      <c r="CP469" s="1123"/>
      <c r="CQ469" s="1123"/>
      <c r="CR469" s="1123"/>
      <c r="CS469" s="1123"/>
      <c r="CT469" s="1123"/>
      <c r="CU469" s="1123"/>
      <c r="CV469" s="1123"/>
      <c r="CW469" s="1123"/>
      <c r="CX469" s="1123"/>
      <c r="CY469" s="1123"/>
      <c r="CZ469" s="1114"/>
      <c r="DA469" s="1114"/>
      <c r="DB469" s="1114"/>
      <c r="DC469" s="1114"/>
      <c r="DD469" s="1114"/>
      <c r="DE469" s="1114"/>
      <c r="DF469" s="1114"/>
      <c r="DG469" s="1114"/>
      <c r="DH469" s="1114"/>
      <c r="DI469" s="1114"/>
      <c r="DJ469" s="1114"/>
      <c r="DK469" s="1114"/>
      <c r="DL469" s="1114"/>
      <c r="DM469" s="1114"/>
      <c r="DN469" s="1114"/>
      <c r="DO469" s="1114"/>
      <c r="DP469" s="1114"/>
      <c r="DQ469" s="1114"/>
      <c r="DR469" s="1114"/>
      <c r="DS469" s="1114"/>
      <c r="DT469" s="1114"/>
      <c r="DU469" s="1114"/>
      <c r="DV469" s="1115"/>
      <c r="DW469" s="1116"/>
      <c r="DX469" s="1116"/>
      <c r="DY469" s="1116"/>
      <c r="DZ469" s="1116"/>
      <c r="EA469" s="1116"/>
      <c r="EB469" s="1116"/>
      <c r="EC469" s="1116"/>
      <c r="ED469" s="1116"/>
      <c r="EE469" s="1116"/>
      <c r="EF469" s="1116"/>
      <c r="EG469" s="1116"/>
      <c r="EH469" s="1116"/>
      <c r="EI469" s="1116"/>
      <c r="EJ469" s="1116"/>
      <c r="EK469" s="1116"/>
      <c r="EL469" s="1116"/>
      <c r="EM469" s="1116"/>
      <c r="EN469" s="1116"/>
      <c r="EO469" s="1116"/>
      <c r="EP469" s="1116"/>
      <c r="EQ469" s="1116"/>
      <c r="ER469" s="1116"/>
      <c r="ES469" s="1116"/>
    </row>
    <row r="470" spans="1:149" ht="15" customHeight="1">
      <c r="A470" s="1185">
        <v>455</v>
      </c>
      <c r="B470" s="1041"/>
      <c r="C470" s="1050"/>
      <c r="D470" s="1050"/>
      <c r="E470" s="1050"/>
      <c r="F470" s="1049"/>
      <c r="G470" s="1457"/>
      <c r="H470" s="1049"/>
      <c r="I470" s="1049"/>
      <c r="J470" s="1050"/>
      <c r="K470" s="1050"/>
      <c r="L470" s="1043"/>
      <c r="M470" s="1051"/>
      <c r="N470" s="1051"/>
      <c r="O470" s="1052"/>
      <c r="P470" s="1051"/>
      <c r="Q470" s="1051"/>
      <c r="R470" s="1052"/>
      <c r="S470" s="1051"/>
      <c r="T470" s="1051"/>
      <c r="U470" s="1052"/>
      <c r="V470" s="1051"/>
      <c r="W470" s="1051"/>
      <c r="X470" s="1052"/>
      <c r="Y470" s="1053"/>
      <c r="Z470" s="1051"/>
      <c r="AA470" s="1051"/>
      <c r="AB470" s="1052"/>
      <c r="AC470" s="1051"/>
      <c r="AD470" s="1051"/>
      <c r="AE470" s="1052"/>
      <c r="AF470" s="1051"/>
      <c r="AG470" s="1051"/>
      <c r="AH470" s="1051"/>
      <c r="AI470" s="1051"/>
      <c r="AJ470" s="1052"/>
      <c r="AK470" s="1051"/>
      <c r="AL470" s="1051"/>
      <c r="AM470" s="1052"/>
      <c r="AN470" s="1051"/>
      <c r="AO470" s="1051"/>
      <c r="AP470" s="1052"/>
      <c r="AQ470" s="1051"/>
      <c r="AR470" s="1051"/>
      <c r="AS470" s="1052"/>
      <c r="AT470" s="1051"/>
      <c r="AU470" s="1051"/>
      <c r="AV470" s="1052"/>
      <c r="AW470" s="1051"/>
      <c r="AX470" s="1051"/>
      <c r="AY470" s="1053"/>
      <c r="AZ470" s="1051"/>
      <c r="BA470" s="1051"/>
      <c r="BB470" s="1053"/>
      <c r="BC470" s="1051"/>
      <c r="BD470" s="1051"/>
      <c r="BE470" s="1053"/>
      <c r="BF470" s="1051"/>
      <c r="BG470" s="1051"/>
      <c r="BH470" s="1053"/>
      <c r="BI470" s="1052"/>
      <c r="BJ470" s="1052"/>
      <c r="BK470" s="1052"/>
      <c r="BL470" s="1052"/>
      <c r="BM470" s="1052"/>
      <c r="BN470" s="1054"/>
      <c r="BO470" s="1076">
        <f t="shared" si="18"/>
        <v>0</v>
      </c>
      <c r="BP470" s="1051"/>
      <c r="BQ470" s="1052"/>
      <c r="BR470" s="1054"/>
      <c r="BS470" s="1053"/>
      <c r="BT470" s="1051"/>
      <c r="BU470" s="1051"/>
      <c r="BV470" s="1051"/>
      <c r="BW470" s="1052"/>
      <c r="BX470" s="1052"/>
      <c r="BY470" s="1052"/>
      <c r="BZ470" s="1052"/>
      <c r="CA470" s="1052"/>
      <c r="CB470" s="1053"/>
      <c r="CC470" s="1053"/>
      <c r="CD470" s="1053"/>
      <c r="CE470" s="1053"/>
      <c r="CF470" s="1053"/>
      <c r="CG470" s="1053"/>
      <c r="CH470" s="1053"/>
      <c r="CI470" s="1123"/>
      <c r="CJ470" s="1123"/>
      <c r="CK470" s="1123"/>
      <c r="CL470" s="1123"/>
      <c r="CM470" s="1123"/>
      <c r="CN470" s="1123"/>
      <c r="CO470" s="1123"/>
      <c r="CP470" s="1123"/>
      <c r="CQ470" s="1123"/>
      <c r="CR470" s="1123"/>
      <c r="CS470" s="1123"/>
      <c r="CT470" s="1123"/>
      <c r="CU470" s="1123"/>
      <c r="CV470" s="1123"/>
      <c r="CW470" s="1123"/>
      <c r="CX470" s="1123"/>
      <c r="CY470" s="1123"/>
      <c r="CZ470" s="1114"/>
      <c r="DA470" s="1114"/>
      <c r="DB470" s="1114"/>
      <c r="DC470" s="1114"/>
      <c r="DD470" s="1114"/>
      <c r="DE470" s="1114"/>
      <c r="DF470" s="1114"/>
      <c r="DG470" s="1114"/>
      <c r="DH470" s="1114"/>
      <c r="DI470" s="1114"/>
      <c r="DJ470" s="1114"/>
      <c r="DK470" s="1114"/>
      <c r="DL470" s="1114"/>
      <c r="DM470" s="1114"/>
      <c r="DN470" s="1114"/>
      <c r="DO470" s="1114"/>
      <c r="DP470" s="1114"/>
      <c r="DQ470" s="1114"/>
      <c r="DR470" s="1114"/>
      <c r="DS470" s="1114"/>
      <c r="DT470" s="1114"/>
      <c r="DU470" s="1114"/>
      <c r="DV470" s="1115"/>
      <c r="DW470" s="1116"/>
      <c r="DX470" s="1116"/>
      <c r="DY470" s="1116"/>
      <c r="DZ470" s="1116"/>
      <c r="EA470" s="1116"/>
      <c r="EB470" s="1116"/>
      <c r="EC470" s="1116"/>
      <c r="ED470" s="1116"/>
      <c r="EE470" s="1116"/>
      <c r="EF470" s="1116"/>
      <c r="EG470" s="1116"/>
      <c r="EH470" s="1116"/>
      <c r="EI470" s="1116"/>
      <c r="EJ470" s="1116"/>
      <c r="EK470" s="1116"/>
      <c r="EL470" s="1116"/>
      <c r="EM470" s="1116"/>
      <c r="EN470" s="1116"/>
      <c r="EO470" s="1116"/>
      <c r="EP470" s="1116"/>
      <c r="EQ470" s="1116"/>
      <c r="ER470" s="1116"/>
      <c r="ES470" s="1116"/>
    </row>
    <row r="471" spans="1:149" ht="15" customHeight="1">
      <c r="A471" s="1185">
        <v>456</v>
      </c>
      <c r="B471" s="1041"/>
      <c r="C471" s="1050"/>
      <c r="D471" s="1050"/>
      <c r="E471" s="1050"/>
      <c r="F471" s="1049"/>
      <c r="G471" s="1457"/>
      <c r="H471" s="1049"/>
      <c r="I471" s="1049"/>
      <c r="J471" s="1050"/>
      <c r="K471" s="1050"/>
      <c r="L471" s="1043"/>
      <c r="M471" s="1051"/>
      <c r="N471" s="1051"/>
      <c r="O471" s="1052"/>
      <c r="P471" s="1051"/>
      <c r="Q471" s="1051"/>
      <c r="R471" s="1052"/>
      <c r="S471" s="1051"/>
      <c r="T471" s="1051"/>
      <c r="U471" s="1052"/>
      <c r="V471" s="1051"/>
      <c r="W471" s="1051"/>
      <c r="X471" s="1052"/>
      <c r="Y471" s="1053"/>
      <c r="Z471" s="1051"/>
      <c r="AA471" s="1051"/>
      <c r="AB471" s="1052"/>
      <c r="AC471" s="1051"/>
      <c r="AD471" s="1051"/>
      <c r="AE471" s="1052"/>
      <c r="AF471" s="1051"/>
      <c r="AG471" s="1051"/>
      <c r="AH471" s="1051"/>
      <c r="AI471" s="1051"/>
      <c r="AJ471" s="1052"/>
      <c r="AK471" s="1051"/>
      <c r="AL471" s="1051"/>
      <c r="AM471" s="1052"/>
      <c r="AN471" s="1051"/>
      <c r="AO471" s="1051"/>
      <c r="AP471" s="1052"/>
      <c r="AQ471" s="1051"/>
      <c r="AR471" s="1051"/>
      <c r="AS471" s="1052"/>
      <c r="AT471" s="1051"/>
      <c r="AU471" s="1051"/>
      <c r="AV471" s="1052"/>
      <c r="AW471" s="1051"/>
      <c r="AX471" s="1051"/>
      <c r="AY471" s="1053"/>
      <c r="AZ471" s="1051"/>
      <c r="BA471" s="1051"/>
      <c r="BB471" s="1053"/>
      <c r="BC471" s="1051"/>
      <c r="BD471" s="1051"/>
      <c r="BE471" s="1053"/>
      <c r="BF471" s="1051"/>
      <c r="BG471" s="1051"/>
      <c r="BH471" s="1053"/>
      <c r="BI471" s="1052"/>
      <c r="BJ471" s="1052"/>
      <c r="BK471" s="1052"/>
      <c r="BL471" s="1052"/>
      <c r="BM471" s="1052"/>
      <c r="BN471" s="1054"/>
      <c r="BO471" s="1076">
        <f t="shared" si="18"/>
        <v>0</v>
      </c>
      <c r="BP471" s="1051"/>
      <c r="BQ471" s="1052"/>
      <c r="BR471" s="1054"/>
      <c r="BS471" s="1053"/>
      <c r="BT471" s="1051"/>
      <c r="BU471" s="1051"/>
      <c r="BV471" s="1051"/>
      <c r="BW471" s="1052"/>
      <c r="BX471" s="1052"/>
      <c r="BY471" s="1052"/>
      <c r="BZ471" s="1052"/>
      <c r="CA471" s="1052"/>
      <c r="CB471" s="1053"/>
      <c r="CC471" s="1053"/>
      <c r="CD471" s="1053"/>
      <c r="CE471" s="1053"/>
      <c r="CF471" s="1053"/>
      <c r="CG471" s="1053"/>
      <c r="CH471" s="1053"/>
      <c r="CI471" s="1123"/>
      <c r="CJ471" s="1123"/>
      <c r="CK471" s="1123"/>
      <c r="CL471" s="1123"/>
      <c r="CM471" s="1123"/>
      <c r="CN471" s="1123"/>
      <c r="CO471" s="1123"/>
      <c r="CP471" s="1123"/>
      <c r="CQ471" s="1123"/>
      <c r="CR471" s="1123"/>
      <c r="CS471" s="1123"/>
      <c r="CT471" s="1123"/>
      <c r="CU471" s="1123"/>
      <c r="CV471" s="1123"/>
      <c r="CW471" s="1123"/>
      <c r="CX471" s="1123"/>
      <c r="CY471" s="1123"/>
      <c r="CZ471" s="1114"/>
      <c r="DA471" s="1114"/>
      <c r="DB471" s="1114"/>
      <c r="DC471" s="1114"/>
      <c r="DD471" s="1114"/>
      <c r="DE471" s="1114"/>
      <c r="DF471" s="1114"/>
      <c r="DG471" s="1114"/>
      <c r="DH471" s="1114"/>
      <c r="DI471" s="1114"/>
      <c r="DJ471" s="1114"/>
      <c r="DK471" s="1114"/>
      <c r="DL471" s="1114"/>
      <c r="DM471" s="1114"/>
      <c r="DN471" s="1114"/>
      <c r="DO471" s="1114"/>
      <c r="DP471" s="1114"/>
      <c r="DQ471" s="1114"/>
      <c r="DR471" s="1114"/>
      <c r="DS471" s="1114"/>
      <c r="DT471" s="1114"/>
      <c r="DU471" s="1114"/>
      <c r="DV471" s="1115"/>
      <c r="DW471" s="1116"/>
      <c r="DX471" s="1116"/>
      <c r="DY471" s="1116"/>
      <c r="DZ471" s="1116"/>
      <c r="EA471" s="1116"/>
      <c r="EB471" s="1116"/>
      <c r="EC471" s="1116"/>
      <c r="ED471" s="1116"/>
      <c r="EE471" s="1116"/>
      <c r="EF471" s="1116"/>
      <c r="EG471" s="1116"/>
      <c r="EH471" s="1116"/>
      <c r="EI471" s="1116"/>
      <c r="EJ471" s="1116"/>
      <c r="EK471" s="1116"/>
      <c r="EL471" s="1116"/>
      <c r="EM471" s="1116"/>
      <c r="EN471" s="1116"/>
      <c r="EO471" s="1116"/>
      <c r="EP471" s="1116"/>
      <c r="EQ471" s="1116"/>
      <c r="ER471" s="1116"/>
      <c r="ES471" s="1116"/>
    </row>
    <row r="472" spans="1:149" ht="15" customHeight="1">
      <c r="A472" s="1185">
        <v>457</v>
      </c>
      <c r="B472" s="1041"/>
      <c r="C472" s="1050"/>
      <c r="D472" s="1050"/>
      <c r="E472" s="1050"/>
      <c r="F472" s="1049"/>
      <c r="G472" s="1457"/>
      <c r="H472" s="1049"/>
      <c r="I472" s="1049"/>
      <c r="J472" s="1050"/>
      <c r="K472" s="1050"/>
      <c r="L472" s="1043"/>
      <c r="M472" s="1051"/>
      <c r="N472" s="1051"/>
      <c r="O472" s="1052"/>
      <c r="P472" s="1051"/>
      <c r="Q472" s="1051"/>
      <c r="R472" s="1052"/>
      <c r="S472" s="1051"/>
      <c r="T472" s="1051"/>
      <c r="U472" s="1052"/>
      <c r="V472" s="1051"/>
      <c r="W472" s="1051"/>
      <c r="X472" s="1052"/>
      <c r="Y472" s="1053"/>
      <c r="Z472" s="1051"/>
      <c r="AA472" s="1051"/>
      <c r="AB472" s="1052"/>
      <c r="AC472" s="1051"/>
      <c r="AD472" s="1051"/>
      <c r="AE472" s="1052"/>
      <c r="AF472" s="1051"/>
      <c r="AG472" s="1051"/>
      <c r="AH472" s="1051"/>
      <c r="AI472" s="1051"/>
      <c r="AJ472" s="1052"/>
      <c r="AK472" s="1051"/>
      <c r="AL472" s="1051"/>
      <c r="AM472" s="1052"/>
      <c r="AN472" s="1051"/>
      <c r="AO472" s="1051"/>
      <c r="AP472" s="1052"/>
      <c r="AQ472" s="1051"/>
      <c r="AR472" s="1051"/>
      <c r="AS472" s="1052"/>
      <c r="AT472" s="1051"/>
      <c r="AU472" s="1051"/>
      <c r="AV472" s="1052"/>
      <c r="AW472" s="1051"/>
      <c r="AX472" s="1051"/>
      <c r="AY472" s="1053"/>
      <c r="AZ472" s="1051"/>
      <c r="BA472" s="1051"/>
      <c r="BB472" s="1053"/>
      <c r="BC472" s="1051"/>
      <c r="BD472" s="1051"/>
      <c r="BE472" s="1053"/>
      <c r="BF472" s="1051"/>
      <c r="BG472" s="1051"/>
      <c r="BH472" s="1053"/>
      <c r="BI472" s="1052"/>
      <c r="BJ472" s="1052"/>
      <c r="BK472" s="1052"/>
      <c r="BL472" s="1052"/>
      <c r="BM472" s="1052"/>
      <c r="BN472" s="1054"/>
      <c r="BO472" s="1076">
        <f t="shared" si="18"/>
        <v>0</v>
      </c>
      <c r="BP472" s="1051"/>
      <c r="BQ472" s="1052"/>
      <c r="BR472" s="1054"/>
      <c r="BS472" s="1053"/>
      <c r="BT472" s="1051"/>
      <c r="BU472" s="1051"/>
      <c r="BV472" s="1051"/>
      <c r="BW472" s="1052"/>
      <c r="BX472" s="1052"/>
      <c r="BY472" s="1052"/>
      <c r="BZ472" s="1052"/>
      <c r="CA472" s="1052"/>
      <c r="CB472" s="1053"/>
      <c r="CC472" s="1053"/>
      <c r="CD472" s="1053"/>
      <c r="CE472" s="1053"/>
      <c r="CF472" s="1053"/>
      <c r="CG472" s="1053"/>
      <c r="CH472" s="1053"/>
      <c r="CI472" s="1123"/>
      <c r="CJ472" s="1123"/>
      <c r="CK472" s="1123"/>
      <c r="CL472" s="1123"/>
      <c r="CM472" s="1123"/>
      <c r="CN472" s="1123"/>
      <c r="CO472" s="1123"/>
      <c r="CP472" s="1123"/>
      <c r="CQ472" s="1123"/>
      <c r="CR472" s="1123"/>
      <c r="CS472" s="1123"/>
      <c r="CT472" s="1123"/>
      <c r="CU472" s="1123"/>
      <c r="CV472" s="1123"/>
      <c r="CW472" s="1123"/>
      <c r="CX472" s="1123"/>
      <c r="CY472" s="1123"/>
      <c r="CZ472" s="1114"/>
      <c r="DA472" s="1114"/>
      <c r="DB472" s="1114"/>
      <c r="DC472" s="1114"/>
      <c r="DD472" s="1114"/>
      <c r="DE472" s="1114"/>
      <c r="DF472" s="1114"/>
      <c r="DG472" s="1114"/>
      <c r="DH472" s="1114"/>
      <c r="DI472" s="1114"/>
      <c r="DJ472" s="1114"/>
      <c r="DK472" s="1114"/>
      <c r="DL472" s="1114"/>
      <c r="DM472" s="1114"/>
      <c r="DN472" s="1114"/>
      <c r="DO472" s="1114"/>
      <c r="DP472" s="1114"/>
      <c r="DQ472" s="1114"/>
      <c r="DR472" s="1114"/>
      <c r="DS472" s="1114"/>
      <c r="DT472" s="1114"/>
      <c r="DU472" s="1114"/>
      <c r="DV472" s="1115"/>
      <c r="DW472" s="1116"/>
      <c r="DX472" s="1116"/>
      <c r="DY472" s="1116"/>
      <c r="DZ472" s="1116"/>
      <c r="EA472" s="1116"/>
      <c r="EB472" s="1116"/>
      <c r="EC472" s="1116"/>
      <c r="ED472" s="1116"/>
      <c r="EE472" s="1116"/>
      <c r="EF472" s="1116"/>
      <c r="EG472" s="1116"/>
      <c r="EH472" s="1116"/>
      <c r="EI472" s="1116"/>
      <c r="EJ472" s="1116"/>
      <c r="EK472" s="1116"/>
      <c r="EL472" s="1116"/>
      <c r="EM472" s="1116"/>
      <c r="EN472" s="1116"/>
      <c r="EO472" s="1116"/>
      <c r="EP472" s="1116"/>
      <c r="EQ472" s="1116"/>
      <c r="ER472" s="1116"/>
      <c r="ES472" s="1116"/>
    </row>
    <row r="473" spans="1:149" ht="15" customHeight="1">
      <c r="A473" s="1185">
        <v>458</v>
      </c>
      <c r="B473" s="1041"/>
      <c r="C473" s="1050"/>
      <c r="D473" s="1050"/>
      <c r="E473" s="1050"/>
      <c r="F473" s="1049"/>
      <c r="G473" s="1457"/>
      <c r="H473" s="1049"/>
      <c r="I473" s="1049"/>
      <c r="J473" s="1050"/>
      <c r="K473" s="1050"/>
      <c r="L473" s="1043"/>
      <c r="M473" s="1051"/>
      <c r="N473" s="1051"/>
      <c r="O473" s="1052"/>
      <c r="P473" s="1051"/>
      <c r="Q473" s="1051"/>
      <c r="R473" s="1052"/>
      <c r="S473" s="1051"/>
      <c r="T473" s="1051"/>
      <c r="U473" s="1052"/>
      <c r="V473" s="1051"/>
      <c r="W473" s="1051"/>
      <c r="X473" s="1052"/>
      <c r="Y473" s="1053"/>
      <c r="Z473" s="1051"/>
      <c r="AA473" s="1051"/>
      <c r="AB473" s="1052"/>
      <c r="AC473" s="1051"/>
      <c r="AD473" s="1051"/>
      <c r="AE473" s="1052"/>
      <c r="AF473" s="1051"/>
      <c r="AG473" s="1051"/>
      <c r="AH473" s="1051"/>
      <c r="AI473" s="1051"/>
      <c r="AJ473" s="1052"/>
      <c r="AK473" s="1051"/>
      <c r="AL473" s="1051"/>
      <c r="AM473" s="1052"/>
      <c r="AN473" s="1051"/>
      <c r="AO473" s="1051"/>
      <c r="AP473" s="1052"/>
      <c r="AQ473" s="1051"/>
      <c r="AR473" s="1051"/>
      <c r="AS473" s="1052"/>
      <c r="AT473" s="1051"/>
      <c r="AU473" s="1051"/>
      <c r="AV473" s="1052"/>
      <c r="AW473" s="1051"/>
      <c r="AX473" s="1051"/>
      <c r="AY473" s="1053"/>
      <c r="AZ473" s="1051"/>
      <c r="BA473" s="1051"/>
      <c r="BB473" s="1053"/>
      <c r="BC473" s="1051"/>
      <c r="BD473" s="1051"/>
      <c r="BE473" s="1053"/>
      <c r="BF473" s="1051"/>
      <c r="BG473" s="1051"/>
      <c r="BH473" s="1053"/>
      <c r="BI473" s="1052"/>
      <c r="BJ473" s="1052"/>
      <c r="BK473" s="1052"/>
      <c r="BL473" s="1052"/>
      <c r="BM473" s="1052"/>
      <c r="BN473" s="1054"/>
      <c r="BO473" s="1076">
        <f t="shared" si="18"/>
        <v>0</v>
      </c>
      <c r="BP473" s="1051"/>
      <c r="BQ473" s="1052"/>
      <c r="BR473" s="1054"/>
      <c r="BS473" s="1053"/>
      <c r="BT473" s="1051"/>
      <c r="BU473" s="1051"/>
      <c r="BV473" s="1051"/>
      <c r="BW473" s="1052"/>
      <c r="BX473" s="1052"/>
      <c r="BY473" s="1052"/>
      <c r="BZ473" s="1052"/>
      <c r="CA473" s="1052"/>
      <c r="CB473" s="1053"/>
      <c r="CC473" s="1053"/>
      <c r="CD473" s="1053"/>
      <c r="CE473" s="1053"/>
      <c r="CF473" s="1053"/>
      <c r="CG473" s="1053"/>
      <c r="CH473" s="1053"/>
      <c r="CI473" s="1123"/>
      <c r="CJ473" s="1123"/>
      <c r="CK473" s="1123"/>
      <c r="CL473" s="1123"/>
      <c r="CM473" s="1123"/>
      <c r="CN473" s="1123"/>
      <c r="CO473" s="1123"/>
      <c r="CP473" s="1123"/>
      <c r="CQ473" s="1123"/>
      <c r="CR473" s="1123"/>
      <c r="CS473" s="1123"/>
      <c r="CT473" s="1123"/>
      <c r="CU473" s="1123"/>
      <c r="CV473" s="1123"/>
      <c r="CW473" s="1123"/>
      <c r="CX473" s="1123"/>
      <c r="CY473" s="1123"/>
      <c r="CZ473" s="1114"/>
      <c r="DA473" s="1114"/>
      <c r="DB473" s="1114"/>
      <c r="DC473" s="1114"/>
      <c r="DD473" s="1114"/>
      <c r="DE473" s="1114"/>
      <c r="DF473" s="1114"/>
      <c r="DG473" s="1114"/>
      <c r="DH473" s="1114"/>
      <c r="DI473" s="1114"/>
      <c r="DJ473" s="1114"/>
      <c r="DK473" s="1114"/>
      <c r="DL473" s="1114"/>
      <c r="DM473" s="1114"/>
      <c r="DN473" s="1114"/>
      <c r="DO473" s="1114"/>
      <c r="DP473" s="1114"/>
      <c r="DQ473" s="1114"/>
      <c r="DR473" s="1114"/>
      <c r="DS473" s="1114"/>
      <c r="DT473" s="1114"/>
      <c r="DU473" s="1114"/>
      <c r="DV473" s="1115"/>
      <c r="DW473" s="1116"/>
      <c r="DX473" s="1116"/>
      <c r="DY473" s="1116"/>
      <c r="DZ473" s="1116"/>
      <c r="EA473" s="1116"/>
      <c r="EB473" s="1116"/>
      <c r="EC473" s="1116"/>
      <c r="ED473" s="1116"/>
      <c r="EE473" s="1116"/>
      <c r="EF473" s="1116"/>
      <c r="EG473" s="1116"/>
      <c r="EH473" s="1116"/>
      <c r="EI473" s="1116"/>
      <c r="EJ473" s="1116"/>
      <c r="EK473" s="1116"/>
      <c r="EL473" s="1116"/>
      <c r="EM473" s="1116"/>
      <c r="EN473" s="1116"/>
      <c r="EO473" s="1116"/>
      <c r="EP473" s="1116"/>
      <c r="EQ473" s="1116"/>
      <c r="ER473" s="1116"/>
      <c r="ES473" s="1116"/>
    </row>
    <row r="474" spans="1:149" ht="15" customHeight="1">
      <c r="A474" s="1185">
        <v>459</v>
      </c>
      <c r="B474" s="1041"/>
      <c r="C474" s="1050"/>
      <c r="D474" s="1050"/>
      <c r="E474" s="1050"/>
      <c r="F474" s="1049"/>
      <c r="G474" s="1457"/>
      <c r="H474" s="1049"/>
      <c r="I474" s="1049"/>
      <c r="J474" s="1050"/>
      <c r="K474" s="1050"/>
      <c r="L474" s="1043"/>
      <c r="M474" s="1051"/>
      <c r="N474" s="1051"/>
      <c r="O474" s="1052"/>
      <c r="P474" s="1051"/>
      <c r="Q474" s="1051"/>
      <c r="R474" s="1052"/>
      <c r="S474" s="1051"/>
      <c r="T474" s="1051"/>
      <c r="U474" s="1052"/>
      <c r="V474" s="1051"/>
      <c r="W474" s="1051"/>
      <c r="X474" s="1052"/>
      <c r="Y474" s="1053"/>
      <c r="Z474" s="1051"/>
      <c r="AA474" s="1051"/>
      <c r="AB474" s="1052"/>
      <c r="AC474" s="1051"/>
      <c r="AD474" s="1051"/>
      <c r="AE474" s="1052"/>
      <c r="AF474" s="1051"/>
      <c r="AG474" s="1051"/>
      <c r="AH474" s="1051"/>
      <c r="AI474" s="1051"/>
      <c r="AJ474" s="1052"/>
      <c r="AK474" s="1051"/>
      <c r="AL474" s="1051"/>
      <c r="AM474" s="1052"/>
      <c r="AN474" s="1051"/>
      <c r="AO474" s="1051"/>
      <c r="AP474" s="1052"/>
      <c r="AQ474" s="1051"/>
      <c r="AR474" s="1051"/>
      <c r="AS474" s="1052"/>
      <c r="AT474" s="1051"/>
      <c r="AU474" s="1051"/>
      <c r="AV474" s="1052"/>
      <c r="AW474" s="1051"/>
      <c r="AX474" s="1051"/>
      <c r="AY474" s="1053"/>
      <c r="AZ474" s="1051"/>
      <c r="BA474" s="1051"/>
      <c r="BB474" s="1053"/>
      <c r="BC474" s="1051"/>
      <c r="BD474" s="1051"/>
      <c r="BE474" s="1053"/>
      <c r="BF474" s="1051"/>
      <c r="BG474" s="1051"/>
      <c r="BH474" s="1053"/>
      <c r="BI474" s="1052"/>
      <c r="BJ474" s="1052"/>
      <c r="BK474" s="1052"/>
      <c r="BL474" s="1052"/>
      <c r="BM474" s="1052"/>
      <c r="BN474" s="1054"/>
      <c r="BO474" s="1076">
        <f t="shared" si="18"/>
        <v>0</v>
      </c>
      <c r="BP474" s="1051"/>
      <c r="BQ474" s="1052"/>
      <c r="BR474" s="1054"/>
      <c r="BS474" s="1053"/>
      <c r="BT474" s="1051"/>
      <c r="BU474" s="1051"/>
      <c r="BV474" s="1051"/>
      <c r="BW474" s="1052"/>
      <c r="BX474" s="1052"/>
      <c r="BY474" s="1052"/>
      <c r="BZ474" s="1052"/>
      <c r="CA474" s="1052"/>
      <c r="CB474" s="1053"/>
      <c r="CC474" s="1053"/>
      <c r="CD474" s="1053"/>
      <c r="CE474" s="1053"/>
      <c r="CF474" s="1053"/>
      <c r="CG474" s="1053"/>
      <c r="CH474" s="1053"/>
      <c r="CI474" s="1123"/>
      <c r="CJ474" s="1123"/>
      <c r="CK474" s="1123"/>
      <c r="CL474" s="1123"/>
      <c r="CM474" s="1123"/>
      <c r="CN474" s="1123"/>
      <c r="CO474" s="1123"/>
      <c r="CP474" s="1123"/>
      <c r="CQ474" s="1123"/>
      <c r="CR474" s="1123"/>
      <c r="CS474" s="1123"/>
      <c r="CT474" s="1123"/>
      <c r="CU474" s="1123"/>
      <c r="CV474" s="1123"/>
      <c r="CW474" s="1123"/>
      <c r="CX474" s="1123"/>
      <c r="CY474" s="1123"/>
      <c r="CZ474" s="1114"/>
      <c r="DA474" s="1114"/>
      <c r="DB474" s="1114"/>
      <c r="DC474" s="1114"/>
      <c r="DD474" s="1114"/>
      <c r="DE474" s="1114"/>
      <c r="DF474" s="1114"/>
      <c r="DG474" s="1114"/>
      <c r="DH474" s="1114"/>
      <c r="DI474" s="1114"/>
      <c r="DJ474" s="1114"/>
      <c r="DK474" s="1114"/>
      <c r="DL474" s="1114"/>
      <c r="DM474" s="1114"/>
      <c r="DN474" s="1114"/>
      <c r="DO474" s="1114"/>
      <c r="DP474" s="1114"/>
      <c r="DQ474" s="1114"/>
      <c r="DR474" s="1114"/>
      <c r="DS474" s="1114"/>
      <c r="DT474" s="1114"/>
      <c r="DU474" s="1114"/>
      <c r="DV474" s="1115"/>
      <c r="DW474" s="1116"/>
      <c r="DX474" s="1116"/>
      <c r="DY474" s="1116"/>
      <c r="DZ474" s="1116"/>
      <c r="EA474" s="1116"/>
      <c r="EB474" s="1116"/>
      <c r="EC474" s="1116"/>
      <c r="ED474" s="1116"/>
      <c r="EE474" s="1116"/>
      <c r="EF474" s="1116"/>
      <c r="EG474" s="1116"/>
      <c r="EH474" s="1116"/>
      <c r="EI474" s="1116"/>
      <c r="EJ474" s="1116"/>
      <c r="EK474" s="1116"/>
      <c r="EL474" s="1116"/>
      <c r="EM474" s="1116"/>
      <c r="EN474" s="1116"/>
      <c r="EO474" s="1116"/>
      <c r="EP474" s="1116"/>
      <c r="EQ474" s="1116"/>
      <c r="ER474" s="1116"/>
      <c r="ES474" s="1116"/>
    </row>
    <row r="475" spans="1:149" ht="15" customHeight="1">
      <c r="A475" s="1185">
        <v>460</v>
      </c>
      <c r="B475" s="1041"/>
      <c r="C475" s="1050"/>
      <c r="D475" s="1050"/>
      <c r="E475" s="1050"/>
      <c r="F475" s="1049"/>
      <c r="G475" s="1457"/>
      <c r="H475" s="1049"/>
      <c r="I475" s="1049"/>
      <c r="J475" s="1050"/>
      <c r="K475" s="1050"/>
      <c r="L475" s="1043"/>
      <c r="M475" s="1051"/>
      <c r="N475" s="1051"/>
      <c r="O475" s="1052"/>
      <c r="P475" s="1051"/>
      <c r="Q475" s="1051"/>
      <c r="R475" s="1052"/>
      <c r="S475" s="1051"/>
      <c r="T475" s="1051"/>
      <c r="U475" s="1052"/>
      <c r="V475" s="1051"/>
      <c r="W475" s="1051"/>
      <c r="X475" s="1052"/>
      <c r="Y475" s="1053"/>
      <c r="Z475" s="1051"/>
      <c r="AA475" s="1051"/>
      <c r="AB475" s="1052"/>
      <c r="AC475" s="1051"/>
      <c r="AD475" s="1051"/>
      <c r="AE475" s="1052"/>
      <c r="AF475" s="1051"/>
      <c r="AG475" s="1051"/>
      <c r="AH475" s="1051"/>
      <c r="AI475" s="1051"/>
      <c r="AJ475" s="1052"/>
      <c r="AK475" s="1051"/>
      <c r="AL475" s="1051"/>
      <c r="AM475" s="1052"/>
      <c r="AN475" s="1051"/>
      <c r="AO475" s="1051"/>
      <c r="AP475" s="1052"/>
      <c r="AQ475" s="1051"/>
      <c r="AR475" s="1051"/>
      <c r="AS475" s="1052"/>
      <c r="AT475" s="1051"/>
      <c r="AU475" s="1051"/>
      <c r="AV475" s="1052"/>
      <c r="AW475" s="1051"/>
      <c r="AX475" s="1051"/>
      <c r="AY475" s="1053"/>
      <c r="AZ475" s="1051"/>
      <c r="BA475" s="1051"/>
      <c r="BB475" s="1053"/>
      <c r="BC475" s="1051"/>
      <c r="BD475" s="1051"/>
      <c r="BE475" s="1053"/>
      <c r="BF475" s="1051"/>
      <c r="BG475" s="1051"/>
      <c r="BH475" s="1053"/>
      <c r="BI475" s="1052"/>
      <c r="BJ475" s="1052"/>
      <c r="BK475" s="1052"/>
      <c r="BL475" s="1052"/>
      <c r="BM475" s="1052"/>
      <c r="BN475" s="1054"/>
      <c r="BO475" s="1076">
        <f t="shared" si="18"/>
        <v>0</v>
      </c>
      <c r="BP475" s="1051"/>
      <c r="BQ475" s="1052"/>
      <c r="BR475" s="1054"/>
      <c r="BS475" s="1053"/>
      <c r="BT475" s="1051"/>
      <c r="BU475" s="1051"/>
      <c r="BV475" s="1051"/>
      <c r="BW475" s="1052"/>
      <c r="BX475" s="1052"/>
      <c r="BY475" s="1052"/>
      <c r="BZ475" s="1052"/>
      <c r="CA475" s="1052"/>
      <c r="CB475" s="1053"/>
      <c r="CC475" s="1053"/>
      <c r="CD475" s="1053"/>
      <c r="CE475" s="1053"/>
      <c r="CF475" s="1053"/>
      <c r="CG475" s="1053"/>
      <c r="CH475" s="1053"/>
      <c r="CI475" s="1123"/>
      <c r="CJ475" s="1123"/>
      <c r="CK475" s="1123"/>
      <c r="CL475" s="1123"/>
      <c r="CM475" s="1123"/>
      <c r="CN475" s="1123"/>
      <c r="CO475" s="1123"/>
      <c r="CP475" s="1123"/>
      <c r="CQ475" s="1123"/>
      <c r="CR475" s="1123"/>
      <c r="CS475" s="1123"/>
      <c r="CT475" s="1123"/>
      <c r="CU475" s="1123"/>
      <c r="CV475" s="1123"/>
      <c r="CW475" s="1123"/>
      <c r="CX475" s="1123"/>
      <c r="CY475" s="1123"/>
      <c r="CZ475" s="1114"/>
      <c r="DA475" s="1114"/>
      <c r="DB475" s="1114"/>
      <c r="DC475" s="1114"/>
      <c r="DD475" s="1114"/>
      <c r="DE475" s="1114"/>
      <c r="DF475" s="1114"/>
      <c r="DG475" s="1114"/>
      <c r="DH475" s="1114"/>
      <c r="DI475" s="1114"/>
      <c r="DJ475" s="1114"/>
      <c r="DK475" s="1114"/>
      <c r="DL475" s="1114"/>
      <c r="DM475" s="1114"/>
      <c r="DN475" s="1114"/>
      <c r="DO475" s="1114"/>
      <c r="DP475" s="1114"/>
      <c r="DQ475" s="1114"/>
      <c r="DR475" s="1114"/>
      <c r="DS475" s="1114"/>
      <c r="DT475" s="1114"/>
      <c r="DU475" s="1114"/>
      <c r="DV475" s="1115"/>
      <c r="DW475" s="1116"/>
      <c r="DX475" s="1116"/>
      <c r="DY475" s="1116"/>
      <c r="DZ475" s="1116"/>
      <c r="EA475" s="1116"/>
      <c r="EB475" s="1116"/>
      <c r="EC475" s="1116"/>
      <c r="ED475" s="1116"/>
      <c r="EE475" s="1116"/>
      <c r="EF475" s="1116"/>
      <c r="EG475" s="1116"/>
      <c r="EH475" s="1116"/>
      <c r="EI475" s="1116"/>
      <c r="EJ475" s="1116"/>
      <c r="EK475" s="1116"/>
      <c r="EL475" s="1116"/>
      <c r="EM475" s="1116"/>
      <c r="EN475" s="1116"/>
      <c r="EO475" s="1116"/>
      <c r="EP475" s="1116"/>
      <c r="EQ475" s="1116"/>
      <c r="ER475" s="1116"/>
      <c r="ES475" s="1116"/>
    </row>
    <row r="476" spans="1:149" ht="15" customHeight="1">
      <c r="A476" s="1185">
        <v>461</v>
      </c>
      <c r="B476" s="1041"/>
      <c r="C476" s="1050"/>
      <c r="D476" s="1050"/>
      <c r="E476" s="1050"/>
      <c r="F476" s="1049"/>
      <c r="G476" s="1457"/>
      <c r="H476" s="1049"/>
      <c r="I476" s="1049"/>
      <c r="J476" s="1050"/>
      <c r="K476" s="1050"/>
      <c r="L476" s="1043"/>
      <c r="M476" s="1051"/>
      <c r="N476" s="1051"/>
      <c r="O476" s="1052"/>
      <c r="P476" s="1051"/>
      <c r="Q476" s="1051"/>
      <c r="R476" s="1052"/>
      <c r="S476" s="1051"/>
      <c r="T476" s="1051"/>
      <c r="U476" s="1052"/>
      <c r="V476" s="1051"/>
      <c r="W476" s="1051"/>
      <c r="X476" s="1052"/>
      <c r="Y476" s="1053"/>
      <c r="Z476" s="1051"/>
      <c r="AA476" s="1051"/>
      <c r="AB476" s="1052"/>
      <c r="AC476" s="1051"/>
      <c r="AD476" s="1051"/>
      <c r="AE476" s="1052"/>
      <c r="AF476" s="1051"/>
      <c r="AG476" s="1051"/>
      <c r="AH476" s="1051"/>
      <c r="AI476" s="1051"/>
      <c r="AJ476" s="1052"/>
      <c r="AK476" s="1051"/>
      <c r="AL476" s="1051"/>
      <c r="AM476" s="1052"/>
      <c r="AN476" s="1051"/>
      <c r="AO476" s="1051"/>
      <c r="AP476" s="1052"/>
      <c r="AQ476" s="1051"/>
      <c r="AR476" s="1051"/>
      <c r="AS476" s="1052"/>
      <c r="AT476" s="1051"/>
      <c r="AU476" s="1051"/>
      <c r="AV476" s="1052"/>
      <c r="AW476" s="1051"/>
      <c r="AX476" s="1051"/>
      <c r="AY476" s="1053"/>
      <c r="AZ476" s="1051"/>
      <c r="BA476" s="1051"/>
      <c r="BB476" s="1053"/>
      <c r="BC476" s="1051"/>
      <c r="BD476" s="1051"/>
      <c r="BE476" s="1053"/>
      <c r="BF476" s="1051"/>
      <c r="BG476" s="1051"/>
      <c r="BH476" s="1053"/>
      <c r="BI476" s="1052"/>
      <c r="BJ476" s="1052"/>
      <c r="BK476" s="1052"/>
      <c r="BL476" s="1052"/>
      <c r="BM476" s="1052"/>
      <c r="BN476" s="1054"/>
      <c r="BO476" s="1076">
        <f t="shared" si="18"/>
        <v>0</v>
      </c>
      <c r="BP476" s="1051"/>
      <c r="BQ476" s="1052"/>
      <c r="BR476" s="1054"/>
      <c r="BS476" s="1053"/>
      <c r="BT476" s="1051"/>
      <c r="BU476" s="1051"/>
      <c r="BV476" s="1051"/>
      <c r="BW476" s="1052"/>
      <c r="BX476" s="1052"/>
      <c r="BY476" s="1052"/>
      <c r="BZ476" s="1052"/>
      <c r="CA476" s="1052"/>
      <c r="CB476" s="1053"/>
      <c r="CC476" s="1053"/>
      <c r="CD476" s="1053"/>
      <c r="CE476" s="1053"/>
      <c r="CF476" s="1053"/>
      <c r="CG476" s="1053"/>
      <c r="CH476" s="1053"/>
      <c r="CI476" s="1123"/>
      <c r="CJ476" s="1123"/>
      <c r="CK476" s="1123"/>
      <c r="CL476" s="1123"/>
      <c r="CM476" s="1123"/>
      <c r="CN476" s="1123"/>
      <c r="CO476" s="1123"/>
      <c r="CP476" s="1123"/>
      <c r="CQ476" s="1123"/>
      <c r="CR476" s="1123"/>
      <c r="CS476" s="1123"/>
      <c r="CT476" s="1123"/>
      <c r="CU476" s="1123"/>
      <c r="CV476" s="1123"/>
      <c r="CW476" s="1123"/>
      <c r="CX476" s="1123"/>
      <c r="CY476" s="1123"/>
      <c r="CZ476" s="1114"/>
      <c r="DA476" s="1114"/>
      <c r="DB476" s="1114"/>
      <c r="DC476" s="1114"/>
      <c r="DD476" s="1114"/>
      <c r="DE476" s="1114"/>
      <c r="DF476" s="1114"/>
      <c r="DG476" s="1114"/>
      <c r="DH476" s="1114"/>
      <c r="DI476" s="1114"/>
      <c r="DJ476" s="1114"/>
      <c r="DK476" s="1114"/>
      <c r="DL476" s="1114"/>
      <c r="DM476" s="1114"/>
      <c r="DN476" s="1114"/>
      <c r="DO476" s="1114"/>
      <c r="DP476" s="1114"/>
      <c r="DQ476" s="1114"/>
      <c r="DR476" s="1114"/>
      <c r="DS476" s="1114"/>
      <c r="DT476" s="1114"/>
      <c r="DU476" s="1114"/>
      <c r="DV476" s="1115"/>
      <c r="DW476" s="1116"/>
      <c r="DX476" s="1116"/>
      <c r="DY476" s="1116"/>
      <c r="DZ476" s="1116"/>
      <c r="EA476" s="1116"/>
      <c r="EB476" s="1116"/>
      <c r="EC476" s="1116"/>
      <c r="ED476" s="1116"/>
      <c r="EE476" s="1116"/>
      <c r="EF476" s="1116"/>
      <c r="EG476" s="1116"/>
      <c r="EH476" s="1116"/>
      <c r="EI476" s="1116"/>
      <c r="EJ476" s="1116"/>
      <c r="EK476" s="1116"/>
      <c r="EL476" s="1116"/>
      <c r="EM476" s="1116"/>
      <c r="EN476" s="1116"/>
      <c r="EO476" s="1116"/>
      <c r="EP476" s="1116"/>
      <c r="EQ476" s="1116"/>
      <c r="ER476" s="1116"/>
      <c r="ES476" s="1116"/>
    </row>
    <row r="477" spans="1:149" ht="15" customHeight="1">
      <c r="A477" s="1185">
        <v>462</v>
      </c>
      <c r="B477" s="1041"/>
      <c r="C477" s="1050"/>
      <c r="D477" s="1050"/>
      <c r="E477" s="1050"/>
      <c r="F477" s="1049"/>
      <c r="G477" s="1457"/>
      <c r="H477" s="1049"/>
      <c r="I477" s="1049"/>
      <c r="J477" s="1050"/>
      <c r="K477" s="1050"/>
      <c r="L477" s="1043"/>
      <c r="M477" s="1051"/>
      <c r="N477" s="1051"/>
      <c r="O477" s="1052"/>
      <c r="P477" s="1051"/>
      <c r="Q477" s="1051"/>
      <c r="R477" s="1052"/>
      <c r="S477" s="1051"/>
      <c r="T477" s="1051"/>
      <c r="U477" s="1052"/>
      <c r="V477" s="1051"/>
      <c r="W477" s="1051"/>
      <c r="X477" s="1052"/>
      <c r="Y477" s="1053"/>
      <c r="Z477" s="1051"/>
      <c r="AA477" s="1051"/>
      <c r="AB477" s="1052"/>
      <c r="AC477" s="1051"/>
      <c r="AD477" s="1051"/>
      <c r="AE477" s="1052"/>
      <c r="AF477" s="1051"/>
      <c r="AG477" s="1051"/>
      <c r="AH477" s="1051"/>
      <c r="AI477" s="1051"/>
      <c r="AJ477" s="1052"/>
      <c r="AK477" s="1051"/>
      <c r="AL477" s="1051"/>
      <c r="AM477" s="1052"/>
      <c r="AN477" s="1051"/>
      <c r="AO477" s="1051"/>
      <c r="AP477" s="1052"/>
      <c r="AQ477" s="1051"/>
      <c r="AR477" s="1051"/>
      <c r="AS477" s="1052"/>
      <c r="AT477" s="1051"/>
      <c r="AU477" s="1051"/>
      <c r="AV477" s="1052"/>
      <c r="AW477" s="1051"/>
      <c r="AX477" s="1051"/>
      <c r="AY477" s="1053"/>
      <c r="AZ477" s="1051"/>
      <c r="BA477" s="1051"/>
      <c r="BB477" s="1053"/>
      <c r="BC477" s="1051"/>
      <c r="BD477" s="1051"/>
      <c r="BE477" s="1053"/>
      <c r="BF477" s="1051"/>
      <c r="BG477" s="1051"/>
      <c r="BH477" s="1053"/>
      <c r="BI477" s="1052"/>
      <c r="BJ477" s="1052"/>
      <c r="BK477" s="1052"/>
      <c r="BL477" s="1052"/>
      <c r="BM477" s="1052"/>
      <c r="BN477" s="1054"/>
      <c r="BO477" s="1076">
        <f t="shared" si="18"/>
        <v>0</v>
      </c>
      <c r="BP477" s="1051"/>
      <c r="BQ477" s="1052"/>
      <c r="BR477" s="1054"/>
      <c r="BS477" s="1053"/>
      <c r="BT477" s="1051"/>
      <c r="BU477" s="1051"/>
      <c r="BV477" s="1051"/>
      <c r="BW477" s="1052"/>
      <c r="BX477" s="1052"/>
      <c r="BY477" s="1052"/>
      <c r="BZ477" s="1052"/>
      <c r="CA477" s="1052"/>
      <c r="CB477" s="1053"/>
      <c r="CC477" s="1053"/>
      <c r="CD477" s="1053"/>
      <c r="CE477" s="1053"/>
      <c r="CF477" s="1053"/>
      <c r="CG477" s="1053"/>
      <c r="CH477" s="1053"/>
      <c r="CI477" s="1123"/>
      <c r="CJ477" s="1123"/>
      <c r="CK477" s="1123"/>
      <c r="CL477" s="1123"/>
      <c r="CM477" s="1123"/>
      <c r="CN477" s="1123"/>
      <c r="CO477" s="1123"/>
      <c r="CP477" s="1123"/>
      <c r="CQ477" s="1123"/>
      <c r="CR477" s="1123"/>
      <c r="CS477" s="1123"/>
      <c r="CT477" s="1123"/>
      <c r="CU477" s="1123"/>
      <c r="CV477" s="1123"/>
      <c r="CW477" s="1123"/>
      <c r="CX477" s="1123"/>
      <c r="CY477" s="1123"/>
      <c r="CZ477" s="1114"/>
      <c r="DA477" s="1114"/>
      <c r="DB477" s="1114"/>
      <c r="DC477" s="1114"/>
      <c r="DD477" s="1114"/>
      <c r="DE477" s="1114"/>
      <c r="DF477" s="1114"/>
      <c r="DG477" s="1114"/>
      <c r="DH477" s="1114"/>
      <c r="DI477" s="1114"/>
      <c r="DJ477" s="1114"/>
      <c r="DK477" s="1114"/>
      <c r="DL477" s="1114"/>
      <c r="DM477" s="1114"/>
      <c r="DN477" s="1114"/>
      <c r="DO477" s="1114"/>
      <c r="DP477" s="1114"/>
      <c r="DQ477" s="1114"/>
      <c r="DR477" s="1114"/>
      <c r="DS477" s="1114"/>
      <c r="DT477" s="1114"/>
      <c r="DU477" s="1114"/>
      <c r="DV477" s="1115"/>
      <c r="DW477" s="1116"/>
      <c r="DX477" s="1116"/>
      <c r="DY477" s="1116"/>
      <c r="DZ477" s="1116"/>
      <c r="EA477" s="1116"/>
      <c r="EB477" s="1116"/>
      <c r="EC477" s="1116"/>
      <c r="ED477" s="1116"/>
      <c r="EE477" s="1116"/>
      <c r="EF477" s="1116"/>
      <c r="EG477" s="1116"/>
      <c r="EH477" s="1116"/>
      <c r="EI477" s="1116"/>
      <c r="EJ477" s="1116"/>
      <c r="EK477" s="1116"/>
      <c r="EL477" s="1116"/>
      <c r="EM477" s="1116"/>
      <c r="EN477" s="1116"/>
      <c r="EO477" s="1116"/>
      <c r="EP477" s="1116"/>
      <c r="EQ477" s="1116"/>
      <c r="ER477" s="1116"/>
      <c r="ES477" s="1116"/>
    </row>
    <row r="478" spans="1:149" ht="15" customHeight="1">
      <c r="A478" s="1185">
        <v>463</v>
      </c>
      <c r="B478" s="1041"/>
      <c r="C478" s="1050"/>
      <c r="D478" s="1050"/>
      <c r="E478" s="1050"/>
      <c r="F478" s="1049"/>
      <c r="G478" s="1457"/>
      <c r="H478" s="1049"/>
      <c r="I478" s="1049"/>
      <c r="J478" s="1050"/>
      <c r="K478" s="1050"/>
      <c r="L478" s="1043"/>
      <c r="M478" s="1051"/>
      <c r="N478" s="1051"/>
      <c r="O478" s="1052"/>
      <c r="P478" s="1051"/>
      <c r="Q478" s="1051"/>
      <c r="R478" s="1052"/>
      <c r="S478" s="1051"/>
      <c r="T478" s="1051"/>
      <c r="U478" s="1052"/>
      <c r="V478" s="1051"/>
      <c r="W478" s="1051"/>
      <c r="X478" s="1052"/>
      <c r="Y478" s="1053"/>
      <c r="Z478" s="1051"/>
      <c r="AA478" s="1051"/>
      <c r="AB478" s="1052"/>
      <c r="AC478" s="1051"/>
      <c r="AD478" s="1051"/>
      <c r="AE478" s="1052"/>
      <c r="AF478" s="1051"/>
      <c r="AG478" s="1051"/>
      <c r="AH478" s="1051"/>
      <c r="AI478" s="1051"/>
      <c r="AJ478" s="1052"/>
      <c r="AK478" s="1051"/>
      <c r="AL478" s="1051"/>
      <c r="AM478" s="1052"/>
      <c r="AN478" s="1051"/>
      <c r="AO478" s="1051"/>
      <c r="AP478" s="1052"/>
      <c r="AQ478" s="1051"/>
      <c r="AR478" s="1051"/>
      <c r="AS478" s="1052"/>
      <c r="AT478" s="1051"/>
      <c r="AU478" s="1051"/>
      <c r="AV478" s="1052"/>
      <c r="AW478" s="1051"/>
      <c r="AX478" s="1051"/>
      <c r="AY478" s="1053"/>
      <c r="AZ478" s="1051"/>
      <c r="BA478" s="1051"/>
      <c r="BB478" s="1053"/>
      <c r="BC478" s="1051"/>
      <c r="BD478" s="1051"/>
      <c r="BE478" s="1053"/>
      <c r="BF478" s="1051"/>
      <c r="BG478" s="1051"/>
      <c r="BH478" s="1053"/>
      <c r="BI478" s="1052"/>
      <c r="BJ478" s="1052"/>
      <c r="BK478" s="1052"/>
      <c r="BL478" s="1052"/>
      <c r="BM478" s="1052"/>
      <c r="BN478" s="1054"/>
      <c r="BO478" s="1076">
        <f t="shared" si="18"/>
        <v>0</v>
      </c>
      <c r="BP478" s="1051"/>
      <c r="BQ478" s="1052"/>
      <c r="BR478" s="1054"/>
      <c r="BS478" s="1053"/>
      <c r="BT478" s="1051"/>
      <c r="BU478" s="1051"/>
      <c r="BV478" s="1051"/>
      <c r="BW478" s="1052"/>
      <c r="BX478" s="1052"/>
      <c r="BY478" s="1052"/>
      <c r="BZ478" s="1052"/>
      <c r="CA478" s="1052"/>
      <c r="CB478" s="1053"/>
      <c r="CC478" s="1053"/>
      <c r="CD478" s="1053"/>
      <c r="CE478" s="1053"/>
      <c r="CF478" s="1053"/>
      <c r="CG478" s="1053"/>
      <c r="CH478" s="1053"/>
      <c r="CI478" s="1123"/>
      <c r="CJ478" s="1123"/>
      <c r="CK478" s="1123"/>
      <c r="CL478" s="1123"/>
      <c r="CM478" s="1123"/>
      <c r="CN478" s="1123"/>
      <c r="CO478" s="1123"/>
      <c r="CP478" s="1123"/>
      <c r="CQ478" s="1123"/>
      <c r="CR478" s="1123"/>
      <c r="CS478" s="1123"/>
      <c r="CT478" s="1123"/>
      <c r="CU478" s="1123"/>
      <c r="CV478" s="1123"/>
      <c r="CW478" s="1123"/>
      <c r="CX478" s="1123"/>
      <c r="CY478" s="1123"/>
      <c r="CZ478" s="1114"/>
      <c r="DA478" s="1114"/>
      <c r="DB478" s="1114"/>
      <c r="DC478" s="1114"/>
      <c r="DD478" s="1114"/>
      <c r="DE478" s="1114"/>
      <c r="DF478" s="1114"/>
      <c r="DG478" s="1114"/>
      <c r="DH478" s="1114"/>
      <c r="DI478" s="1114"/>
      <c r="DJ478" s="1114"/>
      <c r="DK478" s="1114"/>
      <c r="DL478" s="1114"/>
      <c r="DM478" s="1114"/>
      <c r="DN478" s="1114"/>
      <c r="DO478" s="1114"/>
      <c r="DP478" s="1114"/>
      <c r="DQ478" s="1114"/>
      <c r="DR478" s="1114"/>
      <c r="DS478" s="1114"/>
      <c r="DT478" s="1114"/>
      <c r="DU478" s="1114"/>
      <c r="DV478" s="1115"/>
      <c r="DW478" s="1116"/>
      <c r="DX478" s="1116"/>
      <c r="DY478" s="1116"/>
      <c r="DZ478" s="1116"/>
      <c r="EA478" s="1116"/>
      <c r="EB478" s="1116"/>
      <c r="EC478" s="1116"/>
      <c r="ED478" s="1116"/>
      <c r="EE478" s="1116"/>
      <c r="EF478" s="1116"/>
      <c r="EG478" s="1116"/>
      <c r="EH478" s="1116"/>
      <c r="EI478" s="1116"/>
      <c r="EJ478" s="1116"/>
      <c r="EK478" s="1116"/>
      <c r="EL478" s="1116"/>
      <c r="EM478" s="1116"/>
      <c r="EN478" s="1116"/>
      <c r="EO478" s="1116"/>
      <c r="EP478" s="1116"/>
      <c r="EQ478" s="1116"/>
      <c r="ER478" s="1116"/>
      <c r="ES478" s="1116"/>
    </row>
    <row r="479" spans="1:149" ht="15" customHeight="1">
      <c r="A479" s="1185">
        <v>464</v>
      </c>
      <c r="B479" s="1041"/>
      <c r="C479" s="1050"/>
      <c r="D479" s="1050"/>
      <c r="E479" s="1050"/>
      <c r="F479" s="1049"/>
      <c r="G479" s="1457"/>
      <c r="H479" s="1049"/>
      <c r="I479" s="1049"/>
      <c r="J479" s="1050"/>
      <c r="K479" s="1050"/>
      <c r="L479" s="1043"/>
      <c r="M479" s="1051"/>
      <c r="N479" s="1051"/>
      <c r="O479" s="1052"/>
      <c r="P479" s="1051"/>
      <c r="Q479" s="1051"/>
      <c r="R479" s="1052"/>
      <c r="S479" s="1051"/>
      <c r="T479" s="1051"/>
      <c r="U479" s="1052"/>
      <c r="V479" s="1051"/>
      <c r="W479" s="1051"/>
      <c r="X479" s="1052"/>
      <c r="Y479" s="1053"/>
      <c r="Z479" s="1051"/>
      <c r="AA479" s="1051"/>
      <c r="AB479" s="1052"/>
      <c r="AC479" s="1051"/>
      <c r="AD479" s="1051"/>
      <c r="AE479" s="1052"/>
      <c r="AF479" s="1051"/>
      <c r="AG479" s="1051"/>
      <c r="AH479" s="1051"/>
      <c r="AI479" s="1051"/>
      <c r="AJ479" s="1052"/>
      <c r="AK479" s="1051"/>
      <c r="AL479" s="1051"/>
      <c r="AM479" s="1052"/>
      <c r="AN479" s="1051"/>
      <c r="AO479" s="1051"/>
      <c r="AP479" s="1052"/>
      <c r="AQ479" s="1051"/>
      <c r="AR479" s="1051"/>
      <c r="AS479" s="1052"/>
      <c r="AT479" s="1051"/>
      <c r="AU479" s="1051"/>
      <c r="AV479" s="1052"/>
      <c r="AW479" s="1051"/>
      <c r="AX479" s="1051"/>
      <c r="AY479" s="1053"/>
      <c r="AZ479" s="1051"/>
      <c r="BA479" s="1051"/>
      <c r="BB479" s="1053"/>
      <c r="BC479" s="1051"/>
      <c r="BD479" s="1051"/>
      <c r="BE479" s="1053"/>
      <c r="BF479" s="1051"/>
      <c r="BG479" s="1051"/>
      <c r="BH479" s="1053"/>
      <c r="BI479" s="1052"/>
      <c r="BJ479" s="1052"/>
      <c r="BK479" s="1052"/>
      <c r="BL479" s="1052"/>
      <c r="BM479" s="1052"/>
      <c r="BN479" s="1054"/>
      <c r="BO479" s="1076">
        <f t="shared" si="18"/>
        <v>0</v>
      </c>
      <c r="BP479" s="1051"/>
      <c r="BQ479" s="1052"/>
      <c r="BR479" s="1054"/>
      <c r="BS479" s="1053"/>
      <c r="BT479" s="1051"/>
      <c r="BU479" s="1051"/>
      <c r="BV479" s="1051"/>
      <c r="BW479" s="1052"/>
      <c r="BX479" s="1052"/>
      <c r="BY479" s="1052"/>
      <c r="BZ479" s="1052"/>
      <c r="CA479" s="1052"/>
      <c r="CB479" s="1053"/>
      <c r="CC479" s="1053"/>
      <c r="CD479" s="1053"/>
      <c r="CE479" s="1053"/>
      <c r="CF479" s="1053"/>
      <c r="CG479" s="1053"/>
      <c r="CH479" s="1053"/>
      <c r="CI479" s="1123"/>
      <c r="CJ479" s="1123"/>
      <c r="CK479" s="1123"/>
      <c r="CL479" s="1123"/>
      <c r="CM479" s="1123"/>
      <c r="CN479" s="1123"/>
      <c r="CO479" s="1123"/>
      <c r="CP479" s="1123"/>
      <c r="CQ479" s="1123"/>
      <c r="CR479" s="1123"/>
      <c r="CS479" s="1123"/>
      <c r="CT479" s="1123"/>
      <c r="CU479" s="1123"/>
      <c r="CV479" s="1123"/>
      <c r="CW479" s="1123"/>
      <c r="CX479" s="1123"/>
      <c r="CY479" s="1123"/>
      <c r="CZ479" s="1114"/>
      <c r="DA479" s="1114"/>
      <c r="DB479" s="1114"/>
      <c r="DC479" s="1114"/>
      <c r="DD479" s="1114"/>
      <c r="DE479" s="1114"/>
      <c r="DF479" s="1114"/>
      <c r="DG479" s="1114"/>
      <c r="DH479" s="1114"/>
      <c r="DI479" s="1114"/>
      <c r="DJ479" s="1114"/>
      <c r="DK479" s="1114"/>
      <c r="DL479" s="1114"/>
      <c r="DM479" s="1114"/>
      <c r="DN479" s="1114"/>
      <c r="DO479" s="1114"/>
      <c r="DP479" s="1114"/>
      <c r="DQ479" s="1114"/>
      <c r="DR479" s="1114"/>
      <c r="DS479" s="1114"/>
      <c r="DT479" s="1114"/>
      <c r="DU479" s="1114"/>
      <c r="DV479" s="1115"/>
      <c r="DW479" s="1116"/>
      <c r="DX479" s="1116"/>
      <c r="DY479" s="1116"/>
      <c r="DZ479" s="1116"/>
      <c r="EA479" s="1116"/>
      <c r="EB479" s="1116"/>
      <c r="EC479" s="1116"/>
      <c r="ED479" s="1116"/>
      <c r="EE479" s="1116"/>
      <c r="EF479" s="1116"/>
      <c r="EG479" s="1116"/>
      <c r="EH479" s="1116"/>
      <c r="EI479" s="1116"/>
      <c r="EJ479" s="1116"/>
      <c r="EK479" s="1116"/>
      <c r="EL479" s="1116"/>
      <c r="EM479" s="1116"/>
      <c r="EN479" s="1116"/>
      <c r="EO479" s="1116"/>
      <c r="EP479" s="1116"/>
      <c r="EQ479" s="1116"/>
      <c r="ER479" s="1116"/>
      <c r="ES479" s="1116"/>
    </row>
    <row r="480" spans="1:149" ht="15" customHeight="1">
      <c r="A480" s="1185">
        <v>465</v>
      </c>
      <c r="B480" s="1041"/>
      <c r="C480" s="1050"/>
      <c r="D480" s="1050"/>
      <c r="E480" s="1050"/>
      <c r="F480" s="1049"/>
      <c r="G480" s="1457"/>
      <c r="H480" s="1049"/>
      <c r="I480" s="1049"/>
      <c r="J480" s="1050"/>
      <c r="K480" s="1050"/>
      <c r="L480" s="1043"/>
      <c r="M480" s="1051"/>
      <c r="N480" s="1051"/>
      <c r="O480" s="1052"/>
      <c r="P480" s="1051"/>
      <c r="Q480" s="1051"/>
      <c r="R480" s="1052"/>
      <c r="S480" s="1051"/>
      <c r="T480" s="1051"/>
      <c r="U480" s="1052"/>
      <c r="V480" s="1051"/>
      <c r="W480" s="1051"/>
      <c r="X480" s="1052"/>
      <c r="Y480" s="1053"/>
      <c r="Z480" s="1051"/>
      <c r="AA480" s="1051"/>
      <c r="AB480" s="1052"/>
      <c r="AC480" s="1051"/>
      <c r="AD480" s="1051"/>
      <c r="AE480" s="1052"/>
      <c r="AF480" s="1051"/>
      <c r="AG480" s="1051"/>
      <c r="AH480" s="1051"/>
      <c r="AI480" s="1051"/>
      <c r="AJ480" s="1052"/>
      <c r="AK480" s="1051"/>
      <c r="AL480" s="1051"/>
      <c r="AM480" s="1052"/>
      <c r="AN480" s="1051"/>
      <c r="AO480" s="1051"/>
      <c r="AP480" s="1052"/>
      <c r="AQ480" s="1051"/>
      <c r="AR480" s="1051"/>
      <c r="AS480" s="1052"/>
      <c r="AT480" s="1051"/>
      <c r="AU480" s="1051"/>
      <c r="AV480" s="1052"/>
      <c r="AW480" s="1051"/>
      <c r="AX480" s="1051"/>
      <c r="AY480" s="1053"/>
      <c r="AZ480" s="1051"/>
      <c r="BA480" s="1051"/>
      <c r="BB480" s="1053"/>
      <c r="BC480" s="1051"/>
      <c r="BD480" s="1051"/>
      <c r="BE480" s="1053"/>
      <c r="BF480" s="1051"/>
      <c r="BG480" s="1051"/>
      <c r="BH480" s="1053"/>
      <c r="BI480" s="1052"/>
      <c r="BJ480" s="1052"/>
      <c r="BK480" s="1052"/>
      <c r="BL480" s="1052"/>
      <c r="BM480" s="1052"/>
      <c r="BN480" s="1054"/>
      <c r="BO480" s="1076">
        <f t="shared" si="18"/>
        <v>0</v>
      </c>
      <c r="BP480" s="1051"/>
      <c r="BQ480" s="1052"/>
      <c r="BR480" s="1054"/>
      <c r="BS480" s="1053"/>
      <c r="BT480" s="1051"/>
      <c r="BU480" s="1051"/>
      <c r="BV480" s="1051"/>
      <c r="BW480" s="1052"/>
      <c r="BX480" s="1052"/>
      <c r="BY480" s="1052"/>
      <c r="BZ480" s="1052"/>
      <c r="CA480" s="1052"/>
      <c r="CB480" s="1053"/>
      <c r="CC480" s="1053"/>
      <c r="CD480" s="1053"/>
      <c r="CE480" s="1053"/>
      <c r="CF480" s="1053"/>
      <c r="CG480" s="1053"/>
      <c r="CH480" s="1053"/>
      <c r="CI480" s="1123"/>
      <c r="CJ480" s="1123"/>
      <c r="CK480" s="1123"/>
      <c r="CL480" s="1123"/>
      <c r="CM480" s="1123"/>
      <c r="CN480" s="1123"/>
      <c r="CO480" s="1123"/>
      <c r="CP480" s="1123"/>
      <c r="CQ480" s="1123"/>
      <c r="CR480" s="1123"/>
      <c r="CS480" s="1123"/>
      <c r="CT480" s="1123"/>
      <c r="CU480" s="1123"/>
      <c r="CV480" s="1123"/>
      <c r="CW480" s="1123"/>
      <c r="CX480" s="1123"/>
      <c r="CY480" s="1123"/>
      <c r="CZ480" s="1114"/>
      <c r="DA480" s="1114"/>
      <c r="DB480" s="1114"/>
      <c r="DC480" s="1114"/>
      <c r="DD480" s="1114"/>
      <c r="DE480" s="1114"/>
      <c r="DF480" s="1114"/>
      <c r="DG480" s="1114"/>
      <c r="DH480" s="1114"/>
      <c r="DI480" s="1114"/>
      <c r="DJ480" s="1114"/>
      <c r="DK480" s="1114"/>
      <c r="DL480" s="1114"/>
      <c r="DM480" s="1114"/>
      <c r="DN480" s="1114"/>
      <c r="DO480" s="1114"/>
      <c r="DP480" s="1114"/>
      <c r="DQ480" s="1114"/>
      <c r="DR480" s="1114"/>
      <c r="DS480" s="1114"/>
      <c r="DT480" s="1114"/>
      <c r="DU480" s="1114"/>
      <c r="DV480" s="1115"/>
      <c r="DW480" s="1116"/>
      <c r="DX480" s="1116"/>
      <c r="DY480" s="1116"/>
      <c r="DZ480" s="1116"/>
      <c r="EA480" s="1116"/>
      <c r="EB480" s="1116"/>
      <c r="EC480" s="1116"/>
      <c r="ED480" s="1116"/>
      <c r="EE480" s="1116"/>
      <c r="EF480" s="1116"/>
      <c r="EG480" s="1116"/>
      <c r="EH480" s="1116"/>
      <c r="EI480" s="1116"/>
      <c r="EJ480" s="1116"/>
      <c r="EK480" s="1116"/>
      <c r="EL480" s="1116"/>
      <c r="EM480" s="1116"/>
      <c r="EN480" s="1116"/>
      <c r="EO480" s="1116"/>
      <c r="EP480" s="1116"/>
      <c r="EQ480" s="1116"/>
      <c r="ER480" s="1116"/>
      <c r="ES480" s="1116"/>
    </row>
    <row r="481" spans="1:149" ht="15" customHeight="1">
      <c r="A481" s="1185">
        <v>466</v>
      </c>
      <c r="B481" s="1041"/>
      <c r="C481" s="1050"/>
      <c r="D481" s="1050"/>
      <c r="E481" s="1050"/>
      <c r="F481" s="1049"/>
      <c r="G481" s="1457"/>
      <c r="H481" s="1049"/>
      <c r="I481" s="1049"/>
      <c r="J481" s="1050"/>
      <c r="K481" s="1050"/>
      <c r="L481" s="1043"/>
      <c r="M481" s="1051"/>
      <c r="N481" s="1051"/>
      <c r="O481" s="1052"/>
      <c r="P481" s="1051"/>
      <c r="Q481" s="1051"/>
      <c r="R481" s="1052"/>
      <c r="S481" s="1051"/>
      <c r="T481" s="1051"/>
      <c r="U481" s="1052"/>
      <c r="V481" s="1051"/>
      <c r="W481" s="1051"/>
      <c r="X481" s="1052"/>
      <c r="Y481" s="1053"/>
      <c r="Z481" s="1051"/>
      <c r="AA481" s="1051"/>
      <c r="AB481" s="1052"/>
      <c r="AC481" s="1051"/>
      <c r="AD481" s="1051"/>
      <c r="AE481" s="1052"/>
      <c r="AF481" s="1051"/>
      <c r="AG481" s="1051"/>
      <c r="AH481" s="1051"/>
      <c r="AI481" s="1051"/>
      <c r="AJ481" s="1052"/>
      <c r="AK481" s="1051"/>
      <c r="AL481" s="1051"/>
      <c r="AM481" s="1052"/>
      <c r="AN481" s="1051"/>
      <c r="AO481" s="1051"/>
      <c r="AP481" s="1052"/>
      <c r="AQ481" s="1051"/>
      <c r="AR481" s="1051"/>
      <c r="AS481" s="1052"/>
      <c r="AT481" s="1051"/>
      <c r="AU481" s="1051"/>
      <c r="AV481" s="1052"/>
      <c r="AW481" s="1051"/>
      <c r="AX481" s="1051"/>
      <c r="AY481" s="1053"/>
      <c r="AZ481" s="1051"/>
      <c r="BA481" s="1051"/>
      <c r="BB481" s="1053"/>
      <c r="BC481" s="1051"/>
      <c r="BD481" s="1051"/>
      <c r="BE481" s="1053"/>
      <c r="BF481" s="1051"/>
      <c r="BG481" s="1051"/>
      <c r="BH481" s="1053"/>
      <c r="BI481" s="1052"/>
      <c r="BJ481" s="1052"/>
      <c r="BK481" s="1052"/>
      <c r="BL481" s="1052"/>
      <c r="BM481" s="1052"/>
      <c r="BN481" s="1054"/>
      <c r="BO481" s="1076">
        <f t="shared" si="18"/>
        <v>0</v>
      </c>
      <c r="BP481" s="1051"/>
      <c r="BQ481" s="1052"/>
      <c r="BR481" s="1054"/>
      <c r="BS481" s="1053"/>
      <c r="BT481" s="1051"/>
      <c r="BU481" s="1051"/>
      <c r="BV481" s="1051"/>
      <c r="BW481" s="1052"/>
      <c r="BX481" s="1052"/>
      <c r="BY481" s="1052"/>
      <c r="BZ481" s="1052"/>
      <c r="CA481" s="1052"/>
      <c r="CB481" s="1053"/>
      <c r="CC481" s="1053"/>
      <c r="CD481" s="1053"/>
      <c r="CE481" s="1053"/>
      <c r="CF481" s="1053"/>
      <c r="CG481" s="1053"/>
      <c r="CH481" s="1053"/>
      <c r="CI481" s="1123"/>
      <c r="CJ481" s="1123"/>
      <c r="CK481" s="1123"/>
      <c r="CL481" s="1123"/>
      <c r="CM481" s="1123"/>
      <c r="CN481" s="1123"/>
      <c r="CO481" s="1123"/>
      <c r="CP481" s="1123"/>
      <c r="CQ481" s="1123"/>
      <c r="CR481" s="1123"/>
      <c r="CS481" s="1123"/>
      <c r="CT481" s="1123"/>
      <c r="CU481" s="1123"/>
      <c r="CV481" s="1123"/>
      <c r="CW481" s="1123"/>
      <c r="CX481" s="1123"/>
      <c r="CY481" s="1123"/>
      <c r="CZ481" s="1114"/>
      <c r="DA481" s="1114"/>
      <c r="DB481" s="1114"/>
      <c r="DC481" s="1114"/>
      <c r="DD481" s="1114"/>
      <c r="DE481" s="1114"/>
      <c r="DF481" s="1114"/>
      <c r="DG481" s="1114"/>
      <c r="DH481" s="1114"/>
      <c r="DI481" s="1114"/>
      <c r="DJ481" s="1114"/>
      <c r="DK481" s="1114"/>
      <c r="DL481" s="1114"/>
      <c r="DM481" s="1114"/>
      <c r="DN481" s="1114"/>
      <c r="DO481" s="1114"/>
      <c r="DP481" s="1114"/>
      <c r="DQ481" s="1114"/>
      <c r="DR481" s="1114"/>
      <c r="DS481" s="1114"/>
      <c r="DT481" s="1114"/>
      <c r="DU481" s="1114"/>
      <c r="DV481" s="1115"/>
      <c r="DW481" s="1116"/>
      <c r="DX481" s="1116"/>
      <c r="DY481" s="1116"/>
      <c r="DZ481" s="1116"/>
      <c r="EA481" s="1116"/>
      <c r="EB481" s="1116"/>
      <c r="EC481" s="1116"/>
      <c r="ED481" s="1116"/>
      <c r="EE481" s="1116"/>
      <c r="EF481" s="1116"/>
      <c r="EG481" s="1116"/>
      <c r="EH481" s="1116"/>
      <c r="EI481" s="1116"/>
      <c r="EJ481" s="1116"/>
      <c r="EK481" s="1116"/>
      <c r="EL481" s="1116"/>
      <c r="EM481" s="1116"/>
      <c r="EN481" s="1116"/>
      <c r="EO481" s="1116"/>
      <c r="EP481" s="1116"/>
      <c r="EQ481" s="1116"/>
      <c r="ER481" s="1116"/>
      <c r="ES481" s="1116"/>
    </row>
    <row r="482" spans="1:149" ht="15" customHeight="1">
      <c r="A482" s="1185">
        <v>467</v>
      </c>
      <c r="B482" s="1041"/>
      <c r="C482" s="1050"/>
      <c r="D482" s="1050"/>
      <c r="E482" s="1050"/>
      <c r="F482" s="1049"/>
      <c r="G482" s="1457"/>
      <c r="H482" s="1049"/>
      <c r="I482" s="1049"/>
      <c r="J482" s="1050"/>
      <c r="K482" s="1050"/>
      <c r="L482" s="1043"/>
      <c r="M482" s="1051"/>
      <c r="N482" s="1051"/>
      <c r="O482" s="1052"/>
      <c r="P482" s="1051"/>
      <c r="Q482" s="1051"/>
      <c r="R482" s="1052"/>
      <c r="S482" s="1051"/>
      <c r="T482" s="1051"/>
      <c r="U482" s="1052"/>
      <c r="V482" s="1051"/>
      <c r="W482" s="1051"/>
      <c r="X482" s="1052"/>
      <c r="Y482" s="1053"/>
      <c r="Z482" s="1051"/>
      <c r="AA482" s="1051"/>
      <c r="AB482" s="1052"/>
      <c r="AC482" s="1051"/>
      <c r="AD482" s="1051"/>
      <c r="AE482" s="1052"/>
      <c r="AF482" s="1051"/>
      <c r="AG482" s="1051"/>
      <c r="AH482" s="1051"/>
      <c r="AI482" s="1051"/>
      <c r="AJ482" s="1052"/>
      <c r="AK482" s="1051"/>
      <c r="AL482" s="1051"/>
      <c r="AM482" s="1052"/>
      <c r="AN482" s="1051"/>
      <c r="AO482" s="1051"/>
      <c r="AP482" s="1052"/>
      <c r="AQ482" s="1051"/>
      <c r="AR482" s="1051"/>
      <c r="AS482" s="1052"/>
      <c r="AT482" s="1051"/>
      <c r="AU482" s="1051"/>
      <c r="AV482" s="1052"/>
      <c r="AW482" s="1051"/>
      <c r="AX482" s="1051"/>
      <c r="AY482" s="1053"/>
      <c r="AZ482" s="1051"/>
      <c r="BA482" s="1051"/>
      <c r="BB482" s="1053"/>
      <c r="BC482" s="1051"/>
      <c r="BD482" s="1051"/>
      <c r="BE482" s="1053"/>
      <c r="BF482" s="1051"/>
      <c r="BG482" s="1051"/>
      <c r="BH482" s="1053"/>
      <c r="BI482" s="1052"/>
      <c r="BJ482" s="1052"/>
      <c r="BK482" s="1052"/>
      <c r="BL482" s="1052"/>
      <c r="BM482" s="1052"/>
      <c r="BN482" s="1054"/>
      <c r="BO482" s="1076">
        <f t="shared" si="18"/>
        <v>0</v>
      </c>
      <c r="BP482" s="1051"/>
      <c r="BQ482" s="1052"/>
      <c r="BR482" s="1054"/>
      <c r="BS482" s="1053"/>
      <c r="BT482" s="1051"/>
      <c r="BU482" s="1051"/>
      <c r="BV482" s="1051"/>
      <c r="BW482" s="1052"/>
      <c r="BX482" s="1052"/>
      <c r="BY482" s="1052"/>
      <c r="BZ482" s="1052"/>
      <c r="CA482" s="1052"/>
      <c r="CB482" s="1053"/>
      <c r="CC482" s="1053"/>
      <c r="CD482" s="1053"/>
      <c r="CE482" s="1053"/>
      <c r="CF482" s="1053"/>
      <c r="CG482" s="1053"/>
      <c r="CH482" s="1053"/>
      <c r="CI482" s="1123"/>
      <c r="CJ482" s="1123"/>
      <c r="CK482" s="1123"/>
      <c r="CL482" s="1123"/>
      <c r="CM482" s="1123"/>
      <c r="CN482" s="1123"/>
      <c r="CO482" s="1123"/>
      <c r="CP482" s="1123"/>
      <c r="CQ482" s="1123"/>
      <c r="CR482" s="1123"/>
      <c r="CS482" s="1123"/>
      <c r="CT482" s="1123"/>
      <c r="CU482" s="1123"/>
      <c r="CV482" s="1123"/>
      <c r="CW482" s="1123"/>
      <c r="CX482" s="1123"/>
      <c r="CY482" s="1123"/>
      <c r="CZ482" s="1114"/>
      <c r="DA482" s="1114"/>
      <c r="DB482" s="1114"/>
      <c r="DC482" s="1114"/>
      <c r="DD482" s="1114"/>
      <c r="DE482" s="1114"/>
      <c r="DF482" s="1114"/>
      <c r="DG482" s="1114"/>
      <c r="DH482" s="1114"/>
      <c r="DI482" s="1114"/>
      <c r="DJ482" s="1114"/>
      <c r="DK482" s="1114"/>
      <c r="DL482" s="1114"/>
      <c r="DM482" s="1114"/>
      <c r="DN482" s="1114"/>
      <c r="DO482" s="1114"/>
      <c r="DP482" s="1114"/>
      <c r="DQ482" s="1114"/>
      <c r="DR482" s="1114"/>
      <c r="DS482" s="1114"/>
      <c r="DT482" s="1114"/>
      <c r="DU482" s="1114"/>
      <c r="DV482" s="1115"/>
      <c r="DW482" s="1116"/>
      <c r="DX482" s="1116"/>
      <c r="DY482" s="1116"/>
      <c r="DZ482" s="1116"/>
      <c r="EA482" s="1116"/>
      <c r="EB482" s="1116"/>
      <c r="EC482" s="1116"/>
      <c r="ED482" s="1116"/>
      <c r="EE482" s="1116"/>
      <c r="EF482" s="1116"/>
      <c r="EG482" s="1116"/>
      <c r="EH482" s="1116"/>
      <c r="EI482" s="1116"/>
      <c r="EJ482" s="1116"/>
      <c r="EK482" s="1116"/>
      <c r="EL482" s="1116"/>
      <c r="EM482" s="1116"/>
      <c r="EN482" s="1116"/>
      <c r="EO482" s="1116"/>
      <c r="EP482" s="1116"/>
      <c r="EQ482" s="1116"/>
      <c r="ER482" s="1116"/>
      <c r="ES482" s="1116"/>
    </row>
    <row r="483" spans="1:149" ht="15" customHeight="1">
      <c r="A483" s="1185">
        <v>468</v>
      </c>
      <c r="B483" s="1041"/>
      <c r="C483" s="1050"/>
      <c r="D483" s="1050"/>
      <c r="E483" s="1050"/>
      <c r="F483" s="1049"/>
      <c r="G483" s="1457"/>
      <c r="H483" s="1049"/>
      <c r="I483" s="1049"/>
      <c r="J483" s="1050"/>
      <c r="K483" s="1050"/>
      <c r="L483" s="1043"/>
      <c r="M483" s="1051"/>
      <c r="N483" s="1051"/>
      <c r="O483" s="1052"/>
      <c r="P483" s="1051"/>
      <c r="Q483" s="1051"/>
      <c r="R483" s="1052"/>
      <c r="S483" s="1051"/>
      <c r="T483" s="1051"/>
      <c r="U483" s="1052"/>
      <c r="V483" s="1051"/>
      <c r="W483" s="1051"/>
      <c r="X483" s="1052"/>
      <c r="Y483" s="1053"/>
      <c r="Z483" s="1051"/>
      <c r="AA483" s="1051"/>
      <c r="AB483" s="1052"/>
      <c r="AC483" s="1051"/>
      <c r="AD483" s="1051"/>
      <c r="AE483" s="1052"/>
      <c r="AF483" s="1051"/>
      <c r="AG483" s="1051"/>
      <c r="AH483" s="1051"/>
      <c r="AI483" s="1051"/>
      <c r="AJ483" s="1052"/>
      <c r="AK483" s="1051"/>
      <c r="AL483" s="1051"/>
      <c r="AM483" s="1052"/>
      <c r="AN483" s="1051"/>
      <c r="AO483" s="1051"/>
      <c r="AP483" s="1052"/>
      <c r="AQ483" s="1051"/>
      <c r="AR483" s="1051"/>
      <c r="AS483" s="1052"/>
      <c r="AT483" s="1051"/>
      <c r="AU483" s="1051"/>
      <c r="AV483" s="1052"/>
      <c r="AW483" s="1051"/>
      <c r="AX483" s="1051"/>
      <c r="AY483" s="1053"/>
      <c r="AZ483" s="1051"/>
      <c r="BA483" s="1051"/>
      <c r="BB483" s="1053"/>
      <c r="BC483" s="1051"/>
      <c r="BD483" s="1051"/>
      <c r="BE483" s="1053"/>
      <c r="BF483" s="1051"/>
      <c r="BG483" s="1051"/>
      <c r="BH483" s="1053"/>
      <c r="BI483" s="1052"/>
      <c r="BJ483" s="1052"/>
      <c r="BK483" s="1052"/>
      <c r="BL483" s="1052"/>
      <c r="BM483" s="1052"/>
      <c r="BN483" s="1054"/>
      <c r="BO483" s="1076">
        <f t="shared" si="18"/>
        <v>0</v>
      </c>
      <c r="BP483" s="1051"/>
      <c r="BQ483" s="1052"/>
      <c r="BR483" s="1054"/>
      <c r="BS483" s="1053"/>
      <c r="BT483" s="1051"/>
      <c r="BU483" s="1051"/>
      <c r="BV483" s="1051"/>
      <c r="BW483" s="1052"/>
      <c r="BX483" s="1052"/>
      <c r="BY483" s="1052"/>
      <c r="BZ483" s="1052"/>
      <c r="CA483" s="1052"/>
      <c r="CB483" s="1053"/>
      <c r="CC483" s="1053"/>
      <c r="CD483" s="1053"/>
      <c r="CE483" s="1053"/>
      <c r="CF483" s="1053"/>
      <c r="CG483" s="1053"/>
      <c r="CH483" s="1053"/>
      <c r="CI483" s="1123"/>
      <c r="CJ483" s="1123"/>
      <c r="CK483" s="1123"/>
      <c r="CL483" s="1123"/>
      <c r="CM483" s="1123"/>
      <c r="CN483" s="1123"/>
      <c r="CO483" s="1123"/>
      <c r="CP483" s="1123"/>
      <c r="CQ483" s="1123"/>
      <c r="CR483" s="1123"/>
      <c r="CS483" s="1123"/>
      <c r="CT483" s="1123"/>
      <c r="CU483" s="1123"/>
      <c r="CV483" s="1123"/>
      <c r="CW483" s="1123"/>
      <c r="CX483" s="1123"/>
      <c r="CY483" s="1123"/>
      <c r="CZ483" s="1114"/>
      <c r="DA483" s="1114"/>
      <c r="DB483" s="1114"/>
      <c r="DC483" s="1114"/>
      <c r="DD483" s="1114"/>
      <c r="DE483" s="1114"/>
      <c r="DF483" s="1114"/>
      <c r="DG483" s="1114"/>
      <c r="DH483" s="1114"/>
      <c r="DI483" s="1114"/>
      <c r="DJ483" s="1114"/>
      <c r="DK483" s="1114"/>
      <c r="DL483" s="1114"/>
      <c r="DM483" s="1114"/>
      <c r="DN483" s="1114"/>
      <c r="DO483" s="1114"/>
      <c r="DP483" s="1114"/>
      <c r="DQ483" s="1114"/>
      <c r="DR483" s="1114"/>
      <c r="DS483" s="1114"/>
      <c r="DT483" s="1114"/>
      <c r="DU483" s="1114"/>
      <c r="DV483" s="1115"/>
      <c r="DW483" s="1116"/>
      <c r="DX483" s="1116"/>
      <c r="DY483" s="1116"/>
      <c r="DZ483" s="1116"/>
      <c r="EA483" s="1116"/>
      <c r="EB483" s="1116"/>
      <c r="EC483" s="1116"/>
      <c r="ED483" s="1116"/>
      <c r="EE483" s="1116"/>
      <c r="EF483" s="1116"/>
      <c r="EG483" s="1116"/>
      <c r="EH483" s="1116"/>
      <c r="EI483" s="1116"/>
      <c r="EJ483" s="1116"/>
      <c r="EK483" s="1116"/>
      <c r="EL483" s="1116"/>
      <c r="EM483" s="1116"/>
      <c r="EN483" s="1116"/>
      <c r="EO483" s="1116"/>
      <c r="EP483" s="1116"/>
      <c r="EQ483" s="1116"/>
      <c r="ER483" s="1116"/>
      <c r="ES483" s="1116"/>
    </row>
    <row r="484" spans="1:149" ht="15" customHeight="1">
      <c r="A484" s="1185">
        <v>469</v>
      </c>
      <c r="B484" s="1041"/>
      <c r="C484" s="1050"/>
      <c r="D484" s="1050"/>
      <c r="E484" s="1050"/>
      <c r="F484" s="1049"/>
      <c r="G484" s="1457"/>
      <c r="H484" s="1049"/>
      <c r="I484" s="1049"/>
      <c r="J484" s="1050"/>
      <c r="K484" s="1050"/>
      <c r="L484" s="1043"/>
      <c r="M484" s="1051"/>
      <c r="N484" s="1051"/>
      <c r="O484" s="1052"/>
      <c r="P484" s="1051"/>
      <c r="Q484" s="1051"/>
      <c r="R484" s="1052"/>
      <c r="S484" s="1051"/>
      <c r="T484" s="1051"/>
      <c r="U484" s="1052"/>
      <c r="V484" s="1051"/>
      <c r="W484" s="1051"/>
      <c r="X484" s="1052"/>
      <c r="Y484" s="1053"/>
      <c r="Z484" s="1051"/>
      <c r="AA484" s="1051"/>
      <c r="AB484" s="1052"/>
      <c r="AC484" s="1051"/>
      <c r="AD484" s="1051"/>
      <c r="AE484" s="1052"/>
      <c r="AF484" s="1051"/>
      <c r="AG484" s="1051"/>
      <c r="AH484" s="1051"/>
      <c r="AI484" s="1051"/>
      <c r="AJ484" s="1052"/>
      <c r="AK484" s="1051"/>
      <c r="AL484" s="1051"/>
      <c r="AM484" s="1052"/>
      <c r="AN484" s="1051"/>
      <c r="AO484" s="1051"/>
      <c r="AP484" s="1052"/>
      <c r="AQ484" s="1051"/>
      <c r="AR484" s="1051"/>
      <c r="AS484" s="1052"/>
      <c r="AT484" s="1051"/>
      <c r="AU484" s="1051"/>
      <c r="AV484" s="1052"/>
      <c r="AW484" s="1051"/>
      <c r="AX484" s="1051"/>
      <c r="AY484" s="1053"/>
      <c r="AZ484" s="1051"/>
      <c r="BA484" s="1051"/>
      <c r="BB484" s="1053"/>
      <c r="BC484" s="1051"/>
      <c r="BD484" s="1051"/>
      <c r="BE484" s="1053"/>
      <c r="BF484" s="1051"/>
      <c r="BG484" s="1051"/>
      <c r="BH484" s="1053"/>
      <c r="BI484" s="1052"/>
      <c r="BJ484" s="1052"/>
      <c r="BK484" s="1052"/>
      <c r="BL484" s="1052"/>
      <c r="BM484" s="1052"/>
      <c r="BN484" s="1054"/>
      <c r="BO484" s="1076">
        <f t="shared" si="18"/>
        <v>0</v>
      </c>
      <c r="BP484" s="1051"/>
      <c r="BQ484" s="1052"/>
      <c r="BR484" s="1054"/>
      <c r="BS484" s="1053"/>
      <c r="BT484" s="1051"/>
      <c r="BU484" s="1051"/>
      <c r="BV484" s="1051"/>
      <c r="BW484" s="1052"/>
      <c r="BX484" s="1052"/>
      <c r="BY484" s="1052"/>
      <c r="BZ484" s="1052"/>
      <c r="CA484" s="1052"/>
      <c r="CB484" s="1053"/>
      <c r="CC484" s="1053"/>
      <c r="CD484" s="1053"/>
      <c r="CE484" s="1053"/>
      <c r="CF484" s="1053"/>
      <c r="CG484" s="1053"/>
      <c r="CH484" s="1053"/>
      <c r="CI484" s="1123"/>
      <c r="CJ484" s="1123"/>
      <c r="CK484" s="1123"/>
      <c r="CL484" s="1123"/>
      <c r="CM484" s="1123"/>
      <c r="CN484" s="1123"/>
      <c r="CO484" s="1123"/>
      <c r="CP484" s="1123"/>
      <c r="CQ484" s="1123"/>
      <c r="CR484" s="1123"/>
      <c r="CS484" s="1123"/>
      <c r="CT484" s="1123"/>
      <c r="CU484" s="1123"/>
      <c r="CV484" s="1123"/>
      <c r="CW484" s="1123"/>
      <c r="CX484" s="1123"/>
      <c r="CY484" s="1123"/>
      <c r="CZ484" s="1114"/>
      <c r="DA484" s="1114"/>
      <c r="DB484" s="1114"/>
      <c r="DC484" s="1114"/>
      <c r="DD484" s="1114"/>
      <c r="DE484" s="1114"/>
      <c r="DF484" s="1114"/>
      <c r="DG484" s="1114"/>
      <c r="DH484" s="1114"/>
      <c r="DI484" s="1114"/>
      <c r="DJ484" s="1114"/>
      <c r="DK484" s="1114"/>
      <c r="DL484" s="1114"/>
      <c r="DM484" s="1114"/>
      <c r="DN484" s="1114"/>
      <c r="DO484" s="1114"/>
      <c r="DP484" s="1114"/>
      <c r="DQ484" s="1114"/>
      <c r="DR484" s="1114"/>
      <c r="DS484" s="1114"/>
      <c r="DT484" s="1114"/>
      <c r="DU484" s="1114"/>
      <c r="DV484" s="1115"/>
      <c r="DW484" s="1116"/>
      <c r="DX484" s="1116"/>
      <c r="DY484" s="1116"/>
      <c r="DZ484" s="1116"/>
      <c r="EA484" s="1116"/>
      <c r="EB484" s="1116"/>
      <c r="EC484" s="1116"/>
      <c r="ED484" s="1116"/>
      <c r="EE484" s="1116"/>
      <c r="EF484" s="1116"/>
      <c r="EG484" s="1116"/>
      <c r="EH484" s="1116"/>
      <c r="EI484" s="1116"/>
      <c r="EJ484" s="1116"/>
      <c r="EK484" s="1116"/>
      <c r="EL484" s="1116"/>
      <c r="EM484" s="1116"/>
      <c r="EN484" s="1116"/>
      <c r="EO484" s="1116"/>
      <c r="EP484" s="1116"/>
      <c r="EQ484" s="1116"/>
      <c r="ER484" s="1116"/>
      <c r="ES484" s="1116"/>
    </row>
    <row r="485" spans="1:149" ht="15" customHeight="1">
      <c r="A485" s="1185">
        <v>470</v>
      </c>
      <c r="B485" s="1041"/>
      <c r="C485" s="1050"/>
      <c r="D485" s="1050"/>
      <c r="E485" s="1050"/>
      <c r="F485" s="1049"/>
      <c r="G485" s="1457"/>
      <c r="H485" s="1049"/>
      <c r="I485" s="1049"/>
      <c r="J485" s="1050"/>
      <c r="K485" s="1050"/>
      <c r="L485" s="1043"/>
      <c r="M485" s="1051"/>
      <c r="N485" s="1051"/>
      <c r="O485" s="1052"/>
      <c r="P485" s="1051"/>
      <c r="Q485" s="1051"/>
      <c r="R485" s="1052"/>
      <c r="S485" s="1051"/>
      <c r="T485" s="1051"/>
      <c r="U485" s="1052"/>
      <c r="V485" s="1051"/>
      <c r="W485" s="1051"/>
      <c r="X485" s="1052"/>
      <c r="Y485" s="1053"/>
      <c r="Z485" s="1051"/>
      <c r="AA485" s="1051"/>
      <c r="AB485" s="1052"/>
      <c r="AC485" s="1051"/>
      <c r="AD485" s="1051"/>
      <c r="AE485" s="1052"/>
      <c r="AF485" s="1051"/>
      <c r="AG485" s="1051"/>
      <c r="AH485" s="1051"/>
      <c r="AI485" s="1051"/>
      <c r="AJ485" s="1052"/>
      <c r="AK485" s="1051"/>
      <c r="AL485" s="1051"/>
      <c r="AM485" s="1052"/>
      <c r="AN485" s="1051"/>
      <c r="AO485" s="1051"/>
      <c r="AP485" s="1052"/>
      <c r="AQ485" s="1051"/>
      <c r="AR485" s="1051"/>
      <c r="AS485" s="1052"/>
      <c r="AT485" s="1051"/>
      <c r="AU485" s="1051"/>
      <c r="AV485" s="1052"/>
      <c r="AW485" s="1051"/>
      <c r="AX485" s="1051"/>
      <c r="AY485" s="1053"/>
      <c r="AZ485" s="1051"/>
      <c r="BA485" s="1051"/>
      <c r="BB485" s="1053"/>
      <c r="BC485" s="1051"/>
      <c r="BD485" s="1051"/>
      <c r="BE485" s="1053"/>
      <c r="BF485" s="1051"/>
      <c r="BG485" s="1051"/>
      <c r="BH485" s="1053"/>
      <c r="BI485" s="1052"/>
      <c r="BJ485" s="1052"/>
      <c r="BK485" s="1052"/>
      <c r="BL485" s="1052"/>
      <c r="BM485" s="1052"/>
      <c r="BN485" s="1054"/>
      <c r="BO485" s="1076">
        <f t="shared" si="18"/>
        <v>0</v>
      </c>
      <c r="BP485" s="1051"/>
      <c r="BQ485" s="1052"/>
      <c r="BR485" s="1054"/>
      <c r="BS485" s="1053"/>
      <c r="BT485" s="1051"/>
      <c r="BU485" s="1051"/>
      <c r="BV485" s="1051"/>
      <c r="BW485" s="1052"/>
      <c r="BX485" s="1052"/>
      <c r="BY485" s="1052"/>
      <c r="BZ485" s="1052"/>
      <c r="CA485" s="1052"/>
      <c r="CB485" s="1053"/>
      <c r="CC485" s="1053"/>
      <c r="CD485" s="1053"/>
      <c r="CE485" s="1053"/>
      <c r="CF485" s="1053"/>
      <c r="CG485" s="1053"/>
      <c r="CH485" s="1053"/>
      <c r="CI485" s="1123"/>
      <c r="CJ485" s="1123"/>
      <c r="CK485" s="1123"/>
      <c r="CL485" s="1123"/>
      <c r="CM485" s="1123"/>
      <c r="CN485" s="1123"/>
      <c r="CO485" s="1123"/>
      <c r="CP485" s="1123"/>
      <c r="CQ485" s="1123"/>
      <c r="CR485" s="1123"/>
      <c r="CS485" s="1123"/>
      <c r="CT485" s="1123"/>
      <c r="CU485" s="1123"/>
      <c r="CV485" s="1123"/>
      <c r="CW485" s="1123"/>
      <c r="CX485" s="1123"/>
      <c r="CY485" s="1123"/>
      <c r="CZ485" s="1114"/>
      <c r="DA485" s="1114"/>
      <c r="DB485" s="1114"/>
      <c r="DC485" s="1114"/>
      <c r="DD485" s="1114"/>
      <c r="DE485" s="1114"/>
      <c r="DF485" s="1114"/>
      <c r="DG485" s="1114"/>
      <c r="DH485" s="1114"/>
      <c r="DI485" s="1114"/>
      <c r="DJ485" s="1114"/>
      <c r="DK485" s="1114"/>
      <c r="DL485" s="1114"/>
      <c r="DM485" s="1114"/>
      <c r="DN485" s="1114"/>
      <c r="DO485" s="1114"/>
      <c r="DP485" s="1114"/>
      <c r="DQ485" s="1114"/>
      <c r="DR485" s="1114"/>
      <c r="DS485" s="1114"/>
      <c r="DT485" s="1114"/>
      <c r="DU485" s="1114"/>
      <c r="DV485" s="1115"/>
      <c r="DW485" s="1116"/>
      <c r="DX485" s="1116"/>
      <c r="DY485" s="1116"/>
      <c r="DZ485" s="1116"/>
      <c r="EA485" s="1116"/>
      <c r="EB485" s="1116"/>
      <c r="EC485" s="1116"/>
      <c r="ED485" s="1116"/>
      <c r="EE485" s="1116"/>
      <c r="EF485" s="1116"/>
      <c r="EG485" s="1116"/>
      <c r="EH485" s="1116"/>
      <c r="EI485" s="1116"/>
      <c r="EJ485" s="1116"/>
      <c r="EK485" s="1116"/>
      <c r="EL485" s="1116"/>
      <c r="EM485" s="1116"/>
      <c r="EN485" s="1116"/>
      <c r="EO485" s="1116"/>
      <c r="EP485" s="1116"/>
      <c r="EQ485" s="1116"/>
      <c r="ER485" s="1116"/>
      <c r="ES485" s="1116"/>
    </row>
    <row r="486" spans="1:149" ht="15" customHeight="1">
      <c r="A486" s="1185">
        <v>471</v>
      </c>
      <c r="B486" s="1041"/>
      <c r="C486" s="1050"/>
      <c r="D486" s="1050"/>
      <c r="E486" s="1050"/>
      <c r="F486" s="1049"/>
      <c r="G486" s="1457"/>
      <c r="H486" s="1049"/>
      <c r="I486" s="1049"/>
      <c r="J486" s="1050"/>
      <c r="K486" s="1050"/>
      <c r="L486" s="1043"/>
      <c r="M486" s="1051"/>
      <c r="N486" s="1051"/>
      <c r="O486" s="1052"/>
      <c r="P486" s="1051"/>
      <c r="Q486" s="1051"/>
      <c r="R486" s="1052"/>
      <c r="S486" s="1051"/>
      <c r="T486" s="1051"/>
      <c r="U486" s="1052"/>
      <c r="V486" s="1051"/>
      <c r="W486" s="1051"/>
      <c r="X486" s="1052"/>
      <c r="Y486" s="1053"/>
      <c r="Z486" s="1051"/>
      <c r="AA486" s="1051"/>
      <c r="AB486" s="1052"/>
      <c r="AC486" s="1051"/>
      <c r="AD486" s="1051"/>
      <c r="AE486" s="1052"/>
      <c r="AF486" s="1051"/>
      <c r="AG486" s="1051"/>
      <c r="AH486" s="1051"/>
      <c r="AI486" s="1051"/>
      <c r="AJ486" s="1052"/>
      <c r="AK486" s="1051"/>
      <c r="AL486" s="1051"/>
      <c r="AM486" s="1052"/>
      <c r="AN486" s="1051"/>
      <c r="AO486" s="1051"/>
      <c r="AP486" s="1052"/>
      <c r="AQ486" s="1051"/>
      <c r="AR486" s="1051"/>
      <c r="AS486" s="1052"/>
      <c r="AT486" s="1051"/>
      <c r="AU486" s="1051"/>
      <c r="AV486" s="1052"/>
      <c r="AW486" s="1051"/>
      <c r="AX486" s="1051"/>
      <c r="AY486" s="1053"/>
      <c r="AZ486" s="1051"/>
      <c r="BA486" s="1051"/>
      <c r="BB486" s="1053"/>
      <c r="BC486" s="1051"/>
      <c r="BD486" s="1051"/>
      <c r="BE486" s="1053"/>
      <c r="BF486" s="1051"/>
      <c r="BG486" s="1051"/>
      <c r="BH486" s="1053"/>
      <c r="BI486" s="1052"/>
      <c r="BJ486" s="1052"/>
      <c r="BK486" s="1052"/>
      <c r="BL486" s="1052"/>
      <c r="BM486" s="1052"/>
      <c r="BN486" s="1054"/>
      <c r="BO486" s="1076">
        <f t="shared" si="18"/>
        <v>0</v>
      </c>
      <c r="BP486" s="1051"/>
      <c r="BQ486" s="1052"/>
      <c r="BR486" s="1054"/>
      <c r="BS486" s="1053"/>
      <c r="BT486" s="1051"/>
      <c r="BU486" s="1051"/>
      <c r="BV486" s="1051"/>
      <c r="BW486" s="1052"/>
      <c r="BX486" s="1052"/>
      <c r="BY486" s="1052"/>
      <c r="BZ486" s="1052"/>
      <c r="CA486" s="1052"/>
      <c r="CB486" s="1053"/>
      <c r="CC486" s="1053"/>
      <c r="CD486" s="1053"/>
      <c r="CE486" s="1053"/>
      <c r="CF486" s="1053"/>
      <c r="CG486" s="1053"/>
      <c r="CH486" s="1053"/>
      <c r="CI486" s="1123"/>
      <c r="CJ486" s="1123"/>
      <c r="CK486" s="1123"/>
      <c r="CL486" s="1123"/>
      <c r="CM486" s="1123"/>
      <c r="CN486" s="1123"/>
      <c r="CO486" s="1123"/>
      <c r="CP486" s="1123"/>
      <c r="CQ486" s="1123"/>
      <c r="CR486" s="1123"/>
      <c r="CS486" s="1123"/>
      <c r="CT486" s="1123"/>
      <c r="CU486" s="1123"/>
      <c r="CV486" s="1123"/>
      <c r="CW486" s="1123"/>
      <c r="CX486" s="1123"/>
      <c r="CY486" s="1123"/>
      <c r="CZ486" s="1114"/>
      <c r="DA486" s="1114"/>
      <c r="DB486" s="1114"/>
      <c r="DC486" s="1114"/>
      <c r="DD486" s="1114"/>
      <c r="DE486" s="1114"/>
      <c r="DF486" s="1114"/>
      <c r="DG486" s="1114"/>
      <c r="DH486" s="1114"/>
      <c r="DI486" s="1114"/>
      <c r="DJ486" s="1114"/>
      <c r="DK486" s="1114"/>
      <c r="DL486" s="1114"/>
      <c r="DM486" s="1114"/>
      <c r="DN486" s="1114"/>
      <c r="DO486" s="1114"/>
      <c r="DP486" s="1114"/>
      <c r="DQ486" s="1114"/>
      <c r="DR486" s="1114"/>
      <c r="DS486" s="1114"/>
      <c r="DT486" s="1114"/>
      <c r="DU486" s="1114"/>
      <c r="DV486" s="1115"/>
      <c r="DW486" s="1116"/>
      <c r="DX486" s="1116"/>
      <c r="DY486" s="1116"/>
      <c r="DZ486" s="1116"/>
      <c r="EA486" s="1116"/>
      <c r="EB486" s="1116"/>
      <c r="EC486" s="1116"/>
      <c r="ED486" s="1116"/>
      <c r="EE486" s="1116"/>
      <c r="EF486" s="1116"/>
      <c r="EG486" s="1116"/>
      <c r="EH486" s="1116"/>
      <c r="EI486" s="1116"/>
      <c r="EJ486" s="1116"/>
      <c r="EK486" s="1116"/>
      <c r="EL486" s="1116"/>
      <c r="EM486" s="1116"/>
      <c r="EN486" s="1116"/>
      <c r="EO486" s="1116"/>
      <c r="EP486" s="1116"/>
      <c r="EQ486" s="1116"/>
      <c r="ER486" s="1116"/>
      <c r="ES486" s="1116"/>
    </row>
    <row r="487" spans="1:149" ht="15" customHeight="1">
      <c r="A487" s="1185">
        <v>472</v>
      </c>
      <c r="B487" s="1041"/>
      <c r="C487" s="1050"/>
      <c r="D487" s="1050"/>
      <c r="E487" s="1050"/>
      <c r="F487" s="1049"/>
      <c r="G487" s="1457"/>
      <c r="H487" s="1049"/>
      <c r="I487" s="1049"/>
      <c r="J487" s="1050"/>
      <c r="K487" s="1050"/>
      <c r="L487" s="1043"/>
      <c r="M487" s="1051"/>
      <c r="N487" s="1051"/>
      <c r="O487" s="1052"/>
      <c r="P487" s="1051"/>
      <c r="Q487" s="1051"/>
      <c r="R487" s="1052"/>
      <c r="S487" s="1051"/>
      <c r="T487" s="1051"/>
      <c r="U487" s="1052"/>
      <c r="V487" s="1051"/>
      <c r="W487" s="1051"/>
      <c r="X487" s="1052"/>
      <c r="Y487" s="1053"/>
      <c r="Z487" s="1051"/>
      <c r="AA487" s="1051"/>
      <c r="AB487" s="1052"/>
      <c r="AC487" s="1051"/>
      <c r="AD487" s="1051"/>
      <c r="AE487" s="1052"/>
      <c r="AF487" s="1051"/>
      <c r="AG487" s="1051"/>
      <c r="AH487" s="1051"/>
      <c r="AI487" s="1051"/>
      <c r="AJ487" s="1052"/>
      <c r="AK487" s="1051"/>
      <c r="AL487" s="1051"/>
      <c r="AM487" s="1052"/>
      <c r="AN487" s="1051"/>
      <c r="AO487" s="1051"/>
      <c r="AP487" s="1052"/>
      <c r="AQ487" s="1051"/>
      <c r="AR487" s="1051"/>
      <c r="AS487" s="1052"/>
      <c r="AT487" s="1051"/>
      <c r="AU487" s="1051"/>
      <c r="AV487" s="1052"/>
      <c r="AW487" s="1051"/>
      <c r="AX487" s="1051"/>
      <c r="AY487" s="1053"/>
      <c r="AZ487" s="1051"/>
      <c r="BA487" s="1051"/>
      <c r="BB487" s="1053"/>
      <c r="BC487" s="1051"/>
      <c r="BD487" s="1051"/>
      <c r="BE487" s="1053"/>
      <c r="BF487" s="1051"/>
      <c r="BG487" s="1051"/>
      <c r="BH487" s="1053"/>
      <c r="BI487" s="1052"/>
      <c r="BJ487" s="1052"/>
      <c r="BK487" s="1052"/>
      <c r="BL487" s="1052"/>
      <c r="BM487" s="1052"/>
      <c r="BN487" s="1054"/>
      <c r="BO487" s="1076">
        <f t="shared" si="18"/>
        <v>0</v>
      </c>
      <c r="BP487" s="1051"/>
      <c r="BQ487" s="1052"/>
      <c r="BR487" s="1054"/>
      <c r="BS487" s="1053"/>
      <c r="BT487" s="1051"/>
      <c r="BU487" s="1051"/>
      <c r="BV487" s="1051"/>
      <c r="BW487" s="1052"/>
      <c r="BX487" s="1052"/>
      <c r="BY487" s="1052"/>
      <c r="BZ487" s="1052"/>
      <c r="CA487" s="1052"/>
      <c r="CB487" s="1053"/>
      <c r="CC487" s="1053"/>
      <c r="CD487" s="1053"/>
      <c r="CE487" s="1053"/>
      <c r="CF487" s="1053"/>
      <c r="CG487" s="1053"/>
      <c r="CH487" s="1053"/>
      <c r="CI487" s="1123"/>
      <c r="CJ487" s="1123"/>
      <c r="CK487" s="1123"/>
      <c r="CL487" s="1123"/>
      <c r="CM487" s="1123"/>
      <c r="CN487" s="1123"/>
      <c r="CO487" s="1123"/>
      <c r="CP487" s="1123"/>
      <c r="CQ487" s="1123"/>
      <c r="CR487" s="1123"/>
      <c r="CS487" s="1123"/>
      <c r="CT487" s="1123"/>
      <c r="CU487" s="1123"/>
      <c r="CV487" s="1123"/>
      <c r="CW487" s="1123"/>
      <c r="CX487" s="1123"/>
      <c r="CY487" s="1123"/>
      <c r="CZ487" s="1114"/>
      <c r="DA487" s="1114"/>
      <c r="DB487" s="1114"/>
      <c r="DC487" s="1114"/>
      <c r="DD487" s="1114"/>
      <c r="DE487" s="1114"/>
      <c r="DF487" s="1114"/>
      <c r="DG487" s="1114"/>
      <c r="DH487" s="1114"/>
      <c r="DI487" s="1114"/>
      <c r="DJ487" s="1114"/>
      <c r="DK487" s="1114"/>
      <c r="DL487" s="1114"/>
      <c r="DM487" s="1114"/>
      <c r="DN487" s="1114"/>
      <c r="DO487" s="1114"/>
      <c r="DP487" s="1114"/>
      <c r="DQ487" s="1114"/>
      <c r="DR487" s="1114"/>
      <c r="DS487" s="1114"/>
      <c r="DT487" s="1114"/>
      <c r="DU487" s="1114"/>
      <c r="DV487" s="1115"/>
      <c r="DW487" s="1116"/>
      <c r="DX487" s="1116"/>
      <c r="DY487" s="1116"/>
      <c r="DZ487" s="1116"/>
      <c r="EA487" s="1116"/>
      <c r="EB487" s="1116"/>
      <c r="EC487" s="1116"/>
      <c r="ED487" s="1116"/>
      <c r="EE487" s="1116"/>
      <c r="EF487" s="1116"/>
      <c r="EG487" s="1116"/>
      <c r="EH487" s="1116"/>
      <c r="EI487" s="1116"/>
      <c r="EJ487" s="1116"/>
      <c r="EK487" s="1116"/>
      <c r="EL487" s="1116"/>
      <c r="EM487" s="1116"/>
      <c r="EN487" s="1116"/>
      <c r="EO487" s="1116"/>
      <c r="EP487" s="1116"/>
      <c r="EQ487" s="1116"/>
      <c r="ER487" s="1116"/>
      <c r="ES487" s="1116"/>
    </row>
    <row r="488" spans="1:149" ht="15" customHeight="1">
      <c r="A488" s="1185">
        <v>473</v>
      </c>
      <c r="B488" s="1041"/>
      <c r="C488" s="1050"/>
      <c r="D488" s="1050"/>
      <c r="E488" s="1050"/>
      <c r="F488" s="1049"/>
      <c r="G488" s="1457"/>
      <c r="H488" s="1049"/>
      <c r="I488" s="1049"/>
      <c r="J488" s="1050"/>
      <c r="K488" s="1050"/>
      <c r="L488" s="1043"/>
      <c r="M488" s="1051"/>
      <c r="N488" s="1051"/>
      <c r="O488" s="1052"/>
      <c r="P488" s="1051"/>
      <c r="Q488" s="1051"/>
      <c r="R488" s="1052"/>
      <c r="S488" s="1051"/>
      <c r="T488" s="1051"/>
      <c r="U488" s="1052"/>
      <c r="V488" s="1051"/>
      <c r="W488" s="1051"/>
      <c r="X488" s="1052"/>
      <c r="Y488" s="1053"/>
      <c r="Z488" s="1051"/>
      <c r="AA488" s="1051"/>
      <c r="AB488" s="1052"/>
      <c r="AC488" s="1051"/>
      <c r="AD488" s="1051"/>
      <c r="AE488" s="1052"/>
      <c r="AF488" s="1051"/>
      <c r="AG488" s="1051"/>
      <c r="AH488" s="1051"/>
      <c r="AI488" s="1051"/>
      <c r="AJ488" s="1052"/>
      <c r="AK488" s="1051"/>
      <c r="AL488" s="1051"/>
      <c r="AM488" s="1052"/>
      <c r="AN488" s="1051"/>
      <c r="AO488" s="1051"/>
      <c r="AP488" s="1052"/>
      <c r="AQ488" s="1051"/>
      <c r="AR488" s="1051"/>
      <c r="AS488" s="1052"/>
      <c r="AT488" s="1051"/>
      <c r="AU488" s="1051"/>
      <c r="AV488" s="1052"/>
      <c r="AW488" s="1051"/>
      <c r="AX488" s="1051"/>
      <c r="AY488" s="1053"/>
      <c r="AZ488" s="1051"/>
      <c r="BA488" s="1051"/>
      <c r="BB488" s="1053"/>
      <c r="BC488" s="1051"/>
      <c r="BD488" s="1051"/>
      <c r="BE488" s="1053"/>
      <c r="BF488" s="1051"/>
      <c r="BG488" s="1051"/>
      <c r="BH488" s="1053"/>
      <c r="BI488" s="1052"/>
      <c r="BJ488" s="1052"/>
      <c r="BK488" s="1052"/>
      <c r="BL488" s="1052"/>
      <c r="BM488" s="1052"/>
      <c r="BN488" s="1054"/>
      <c r="BO488" s="1076">
        <f t="shared" si="18"/>
        <v>0</v>
      </c>
      <c r="BP488" s="1051"/>
      <c r="BQ488" s="1052"/>
      <c r="BR488" s="1054"/>
      <c r="BS488" s="1053"/>
      <c r="BT488" s="1051"/>
      <c r="BU488" s="1051"/>
      <c r="BV488" s="1051"/>
      <c r="BW488" s="1052"/>
      <c r="BX488" s="1052"/>
      <c r="BY488" s="1052"/>
      <c r="BZ488" s="1052"/>
      <c r="CA488" s="1052"/>
      <c r="CB488" s="1053"/>
      <c r="CC488" s="1053"/>
      <c r="CD488" s="1053"/>
      <c r="CE488" s="1053"/>
      <c r="CF488" s="1053"/>
      <c r="CG488" s="1053"/>
      <c r="CH488" s="1053"/>
      <c r="CI488" s="1123"/>
      <c r="CJ488" s="1123"/>
      <c r="CK488" s="1123"/>
      <c r="CL488" s="1123"/>
      <c r="CM488" s="1123"/>
      <c r="CN488" s="1123"/>
      <c r="CO488" s="1123"/>
      <c r="CP488" s="1123"/>
      <c r="CQ488" s="1123"/>
      <c r="CR488" s="1123"/>
      <c r="CS488" s="1123"/>
      <c r="CT488" s="1123"/>
      <c r="CU488" s="1123"/>
      <c r="CV488" s="1123"/>
      <c r="CW488" s="1123"/>
      <c r="CX488" s="1123"/>
      <c r="CY488" s="1123"/>
      <c r="CZ488" s="1114"/>
      <c r="DA488" s="1114"/>
      <c r="DB488" s="1114"/>
      <c r="DC488" s="1114"/>
      <c r="DD488" s="1114"/>
      <c r="DE488" s="1114"/>
      <c r="DF488" s="1114"/>
      <c r="DG488" s="1114"/>
      <c r="DH488" s="1114"/>
      <c r="DI488" s="1114"/>
      <c r="DJ488" s="1114"/>
      <c r="DK488" s="1114"/>
      <c r="DL488" s="1114"/>
      <c r="DM488" s="1114"/>
      <c r="DN488" s="1114"/>
      <c r="DO488" s="1114"/>
      <c r="DP488" s="1114"/>
      <c r="DQ488" s="1114"/>
      <c r="DR488" s="1114"/>
      <c r="DS488" s="1114"/>
      <c r="DT488" s="1114"/>
      <c r="DU488" s="1114"/>
      <c r="DV488" s="1115"/>
      <c r="DW488" s="1116"/>
      <c r="DX488" s="1116"/>
      <c r="DY488" s="1116"/>
      <c r="DZ488" s="1116"/>
      <c r="EA488" s="1116"/>
      <c r="EB488" s="1116"/>
      <c r="EC488" s="1116"/>
      <c r="ED488" s="1116"/>
      <c r="EE488" s="1116"/>
      <c r="EF488" s="1116"/>
      <c r="EG488" s="1116"/>
      <c r="EH488" s="1116"/>
      <c r="EI488" s="1116"/>
      <c r="EJ488" s="1116"/>
      <c r="EK488" s="1116"/>
      <c r="EL488" s="1116"/>
      <c r="EM488" s="1116"/>
      <c r="EN488" s="1116"/>
      <c r="EO488" s="1116"/>
      <c r="EP488" s="1116"/>
      <c r="EQ488" s="1116"/>
      <c r="ER488" s="1116"/>
      <c r="ES488" s="1116"/>
    </row>
    <row r="489" spans="1:149" ht="15" customHeight="1">
      <c r="A489" s="1185">
        <v>474</v>
      </c>
      <c r="B489" s="1041"/>
      <c r="C489" s="1050"/>
      <c r="D489" s="1050"/>
      <c r="E489" s="1050"/>
      <c r="F489" s="1049"/>
      <c r="G489" s="1457"/>
      <c r="H489" s="1049"/>
      <c r="I489" s="1049"/>
      <c r="J489" s="1050"/>
      <c r="K489" s="1050"/>
      <c r="L489" s="1043"/>
      <c r="M489" s="1051"/>
      <c r="N489" s="1051"/>
      <c r="O489" s="1052"/>
      <c r="P489" s="1051"/>
      <c r="Q489" s="1051"/>
      <c r="R489" s="1052"/>
      <c r="S489" s="1051"/>
      <c r="T489" s="1051"/>
      <c r="U489" s="1052"/>
      <c r="V489" s="1051"/>
      <c r="W489" s="1051"/>
      <c r="X489" s="1052"/>
      <c r="Y489" s="1053"/>
      <c r="Z489" s="1051"/>
      <c r="AA489" s="1051"/>
      <c r="AB489" s="1052"/>
      <c r="AC489" s="1051"/>
      <c r="AD489" s="1051"/>
      <c r="AE489" s="1052"/>
      <c r="AF489" s="1051"/>
      <c r="AG489" s="1051"/>
      <c r="AH489" s="1051"/>
      <c r="AI489" s="1051"/>
      <c r="AJ489" s="1052"/>
      <c r="AK489" s="1051"/>
      <c r="AL489" s="1051"/>
      <c r="AM489" s="1052"/>
      <c r="AN489" s="1051"/>
      <c r="AO489" s="1051"/>
      <c r="AP489" s="1052"/>
      <c r="AQ489" s="1051"/>
      <c r="AR489" s="1051"/>
      <c r="AS489" s="1052"/>
      <c r="AT489" s="1051"/>
      <c r="AU489" s="1051"/>
      <c r="AV489" s="1052"/>
      <c r="AW489" s="1051"/>
      <c r="AX489" s="1051"/>
      <c r="AY489" s="1053"/>
      <c r="AZ489" s="1051"/>
      <c r="BA489" s="1051"/>
      <c r="BB489" s="1053"/>
      <c r="BC489" s="1051"/>
      <c r="BD489" s="1051"/>
      <c r="BE489" s="1053"/>
      <c r="BF489" s="1051"/>
      <c r="BG489" s="1051"/>
      <c r="BH489" s="1053"/>
      <c r="BI489" s="1052"/>
      <c r="BJ489" s="1052"/>
      <c r="BK489" s="1052"/>
      <c r="BL489" s="1052"/>
      <c r="BM489" s="1052"/>
      <c r="BN489" s="1054"/>
      <c r="BO489" s="1076">
        <f t="shared" si="18"/>
        <v>0</v>
      </c>
      <c r="BP489" s="1051"/>
      <c r="BQ489" s="1052"/>
      <c r="BR489" s="1054"/>
      <c r="BS489" s="1053"/>
      <c r="BT489" s="1051"/>
      <c r="BU489" s="1051"/>
      <c r="BV489" s="1051"/>
      <c r="BW489" s="1052"/>
      <c r="BX489" s="1052"/>
      <c r="BY489" s="1052"/>
      <c r="BZ489" s="1052"/>
      <c r="CA489" s="1052"/>
      <c r="CB489" s="1053"/>
      <c r="CC489" s="1053"/>
      <c r="CD489" s="1053"/>
      <c r="CE489" s="1053"/>
      <c r="CF489" s="1053"/>
      <c r="CG489" s="1053"/>
      <c r="CH489" s="1053"/>
      <c r="CI489" s="1123"/>
      <c r="CJ489" s="1123"/>
      <c r="CK489" s="1123"/>
      <c r="CL489" s="1123"/>
      <c r="CM489" s="1123"/>
      <c r="CN489" s="1123"/>
      <c r="CO489" s="1123"/>
      <c r="CP489" s="1123"/>
      <c r="CQ489" s="1123"/>
      <c r="CR489" s="1123"/>
      <c r="CS489" s="1123"/>
      <c r="CT489" s="1123"/>
      <c r="CU489" s="1123"/>
      <c r="CV489" s="1123"/>
      <c r="CW489" s="1123"/>
      <c r="CX489" s="1123"/>
      <c r="CY489" s="1123"/>
      <c r="CZ489" s="1114"/>
      <c r="DA489" s="1114"/>
      <c r="DB489" s="1114"/>
      <c r="DC489" s="1114"/>
      <c r="DD489" s="1114"/>
      <c r="DE489" s="1114"/>
      <c r="DF489" s="1114"/>
      <c r="DG489" s="1114"/>
      <c r="DH489" s="1114"/>
      <c r="DI489" s="1114"/>
      <c r="DJ489" s="1114"/>
      <c r="DK489" s="1114"/>
      <c r="DL489" s="1114"/>
      <c r="DM489" s="1114"/>
      <c r="DN489" s="1114"/>
      <c r="DO489" s="1114"/>
      <c r="DP489" s="1114"/>
      <c r="DQ489" s="1114"/>
      <c r="DR489" s="1114"/>
      <c r="DS489" s="1114"/>
      <c r="DT489" s="1114"/>
      <c r="DU489" s="1114"/>
      <c r="DV489" s="1115"/>
      <c r="DW489" s="1116"/>
      <c r="DX489" s="1116"/>
      <c r="DY489" s="1116"/>
      <c r="DZ489" s="1116"/>
      <c r="EA489" s="1116"/>
      <c r="EB489" s="1116"/>
      <c r="EC489" s="1116"/>
      <c r="ED489" s="1116"/>
      <c r="EE489" s="1116"/>
      <c r="EF489" s="1116"/>
      <c r="EG489" s="1116"/>
      <c r="EH489" s="1116"/>
      <c r="EI489" s="1116"/>
      <c r="EJ489" s="1116"/>
      <c r="EK489" s="1116"/>
      <c r="EL489" s="1116"/>
      <c r="EM489" s="1116"/>
      <c r="EN489" s="1116"/>
      <c r="EO489" s="1116"/>
      <c r="EP489" s="1116"/>
      <c r="EQ489" s="1116"/>
      <c r="ER489" s="1116"/>
      <c r="ES489" s="1116"/>
    </row>
    <row r="490" spans="1:149" ht="15" customHeight="1">
      <c r="A490" s="1185">
        <v>475</v>
      </c>
      <c r="B490" s="1041"/>
      <c r="C490" s="1050"/>
      <c r="D490" s="1050"/>
      <c r="E490" s="1050"/>
      <c r="F490" s="1049"/>
      <c r="G490" s="1457"/>
      <c r="H490" s="1049"/>
      <c r="I490" s="1049"/>
      <c r="J490" s="1050"/>
      <c r="K490" s="1050"/>
      <c r="L490" s="1043"/>
      <c r="M490" s="1051"/>
      <c r="N490" s="1051"/>
      <c r="O490" s="1052"/>
      <c r="P490" s="1051"/>
      <c r="Q490" s="1051"/>
      <c r="R490" s="1052"/>
      <c r="S490" s="1051"/>
      <c r="T490" s="1051"/>
      <c r="U490" s="1052"/>
      <c r="V490" s="1051"/>
      <c r="W490" s="1051"/>
      <c r="X490" s="1052"/>
      <c r="Y490" s="1053"/>
      <c r="Z490" s="1051"/>
      <c r="AA490" s="1051"/>
      <c r="AB490" s="1052"/>
      <c r="AC490" s="1051"/>
      <c r="AD490" s="1051"/>
      <c r="AE490" s="1052"/>
      <c r="AF490" s="1051"/>
      <c r="AG490" s="1051"/>
      <c r="AH490" s="1051"/>
      <c r="AI490" s="1051"/>
      <c r="AJ490" s="1052"/>
      <c r="AK490" s="1051"/>
      <c r="AL490" s="1051"/>
      <c r="AM490" s="1052"/>
      <c r="AN490" s="1051"/>
      <c r="AO490" s="1051"/>
      <c r="AP490" s="1052"/>
      <c r="AQ490" s="1051"/>
      <c r="AR490" s="1051"/>
      <c r="AS490" s="1052"/>
      <c r="AT490" s="1051"/>
      <c r="AU490" s="1051"/>
      <c r="AV490" s="1052"/>
      <c r="AW490" s="1051"/>
      <c r="AX490" s="1051"/>
      <c r="AY490" s="1053"/>
      <c r="AZ490" s="1051"/>
      <c r="BA490" s="1051"/>
      <c r="BB490" s="1053"/>
      <c r="BC490" s="1051"/>
      <c r="BD490" s="1051"/>
      <c r="BE490" s="1053"/>
      <c r="BF490" s="1051"/>
      <c r="BG490" s="1051"/>
      <c r="BH490" s="1053"/>
      <c r="BI490" s="1052"/>
      <c r="BJ490" s="1052"/>
      <c r="BK490" s="1052"/>
      <c r="BL490" s="1052"/>
      <c r="BM490" s="1052"/>
      <c r="BN490" s="1054"/>
      <c r="BO490" s="1076">
        <f t="shared" si="18"/>
        <v>0</v>
      </c>
      <c r="BP490" s="1051"/>
      <c r="BQ490" s="1052"/>
      <c r="BR490" s="1054"/>
      <c r="BS490" s="1053"/>
      <c r="BT490" s="1051"/>
      <c r="BU490" s="1051"/>
      <c r="BV490" s="1051"/>
      <c r="BW490" s="1052"/>
      <c r="BX490" s="1052"/>
      <c r="BY490" s="1052"/>
      <c r="BZ490" s="1052"/>
      <c r="CA490" s="1052"/>
      <c r="CB490" s="1053"/>
      <c r="CC490" s="1053"/>
      <c r="CD490" s="1053"/>
      <c r="CE490" s="1053"/>
      <c r="CF490" s="1053"/>
      <c r="CG490" s="1053"/>
      <c r="CH490" s="1053"/>
      <c r="CI490" s="1123"/>
      <c r="CJ490" s="1123"/>
      <c r="CK490" s="1123"/>
      <c r="CL490" s="1123"/>
      <c r="CM490" s="1123"/>
      <c r="CN490" s="1123"/>
      <c r="CO490" s="1123"/>
      <c r="CP490" s="1123"/>
      <c r="CQ490" s="1123"/>
      <c r="CR490" s="1123"/>
      <c r="CS490" s="1123"/>
      <c r="CT490" s="1123"/>
      <c r="CU490" s="1123"/>
      <c r="CV490" s="1123"/>
      <c r="CW490" s="1123"/>
      <c r="CX490" s="1123"/>
      <c r="CY490" s="1123"/>
      <c r="CZ490" s="1114"/>
      <c r="DA490" s="1114"/>
      <c r="DB490" s="1114"/>
      <c r="DC490" s="1114"/>
      <c r="DD490" s="1114"/>
      <c r="DE490" s="1114"/>
      <c r="DF490" s="1114"/>
      <c r="DG490" s="1114"/>
      <c r="DH490" s="1114"/>
      <c r="DI490" s="1114"/>
      <c r="DJ490" s="1114"/>
      <c r="DK490" s="1114"/>
      <c r="DL490" s="1114"/>
      <c r="DM490" s="1114"/>
      <c r="DN490" s="1114"/>
      <c r="DO490" s="1114"/>
      <c r="DP490" s="1114"/>
      <c r="DQ490" s="1114"/>
      <c r="DR490" s="1114"/>
      <c r="DS490" s="1114"/>
      <c r="DT490" s="1114"/>
      <c r="DU490" s="1114"/>
      <c r="DV490" s="1115"/>
      <c r="DW490" s="1116"/>
      <c r="DX490" s="1116"/>
      <c r="DY490" s="1116"/>
      <c r="DZ490" s="1116"/>
      <c r="EA490" s="1116"/>
      <c r="EB490" s="1116"/>
      <c r="EC490" s="1116"/>
      <c r="ED490" s="1116"/>
      <c r="EE490" s="1116"/>
      <c r="EF490" s="1116"/>
      <c r="EG490" s="1116"/>
      <c r="EH490" s="1116"/>
      <c r="EI490" s="1116"/>
      <c r="EJ490" s="1116"/>
      <c r="EK490" s="1116"/>
      <c r="EL490" s="1116"/>
      <c r="EM490" s="1116"/>
      <c r="EN490" s="1116"/>
      <c r="EO490" s="1116"/>
      <c r="EP490" s="1116"/>
      <c r="EQ490" s="1116"/>
      <c r="ER490" s="1116"/>
      <c r="ES490" s="1116"/>
    </row>
    <row r="491" spans="1:149" ht="15" customHeight="1">
      <c r="A491" s="1185">
        <v>476</v>
      </c>
      <c r="B491" s="1041"/>
      <c r="C491" s="1050"/>
      <c r="D491" s="1050"/>
      <c r="E491" s="1050"/>
      <c r="F491" s="1049"/>
      <c r="G491" s="1457"/>
      <c r="H491" s="1049"/>
      <c r="I491" s="1049"/>
      <c r="J491" s="1050"/>
      <c r="K491" s="1050"/>
      <c r="L491" s="1043"/>
      <c r="M491" s="1051"/>
      <c r="N491" s="1051"/>
      <c r="O491" s="1052"/>
      <c r="P491" s="1051"/>
      <c r="Q491" s="1051"/>
      <c r="R491" s="1052"/>
      <c r="S491" s="1051"/>
      <c r="T491" s="1051"/>
      <c r="U491" s="1052"/>
      <c r="V491" s="1051"/>
      <c r="W491" s="1051"/>
      <c r="X491" s="1052"/>
      <c r="Y491" s="1053"/>
      <c r="Z491" s="1051"/>
      <c r="AA491" s="1051"/>
      <c r="AB491" s="1052"/>
      <c r="AC491" s="1051"/>
      <c r="AD491" s="1051"/>
      <c r="AE491" s="1052"/>
      <c r="AF491" s="1051"/>
      <c r="AG491" s="1051"/>
      <c r="AH491" s="1051"/>
      <c r="AI491" s="1051"/>
      <c r="AJ491" s="1052"/>
      <c r="AK491" s="1051"/>
      <c r="AL491" s="1051"/>
      <c r="AM491" s="1052"/>
      <c r="AN491" s="1051"/>
      <c r="AO491" s="1051"/>
      <c r="AP491" s="1052"/>
      <c r="AQ491" s="1051"/>
      <c r="AR491" s="1051"/>
      <c r="AS491" s="1052"/>
      <c r="AT491" s="1051"/>
      <c r="AU491" s="1051"/>
      <c r="AV491" s="1052"/>
      <c r="AW491" s="1051"/>
      <c r="AX491" s="1051"/>
      <c r="AY491" s="1053"/>
      <c r="AZ491" s="1051"/>
      <c r="BA491" s="1051"/>
      <c r="BB491" s="1053"/>
      <c r="BC491" s="1051"/>
      <c r="BD491" s="1051"/>
      <c r="BE491" s="1053"/>
      <c r="BF491" s="1051"/>
      <c r="BG491" s="1051"/>
      <c r="BH491" s="1053"/>
      <c r="BI491" s="1052"/>
      <c r="BJ491" s="1052"/>
      <c r="BK491" s="1052"/>
      <c r="BL491" s="1052"/>
      <c r="BM491" s="1052"/>
      <c r="BN491" s="1054"/>
      <c r="BO491" s="1076">
        <f t="shared" si="18"/>
        <v>0</v>
      </c>
      <c r="BP491" s="1051"/>
      <c r="BQ491" s="1052"/>
      <c r="BR491" s="1054"/>
      <c r="BS491" s="1053"/>
      <c r="BT491" s="1051"/>
      <c r="BU491" s="1051"/>
      <c r="BV491" s="1051"/>
      <c r="BW491" s="1052"/>
      <c r="BX491" s="1052"/>
      <c r="BY491" s="1052"/>
      <c r="BZ491" s="1052"/>
      <c r="CA491" s="1052"/>
      <c r="CB491" s="1053"/>
      <c r="CC491" s="1053"/>
      <c r="CD491" s="1053"/>
      <c r="CE491" s="1053"/>
      <c r="CF491" s="1053"/>
      <c r="CG491" s="1053"/>
      <c r="CH491" s="1053"/>
      <c r="CI491" s="1123"/>
      <c r="CJ491" s="1123"/>
      <c r="CK491" s="1123"/>
      <c r="CL491" s="1123"/>
      <c r="CM491" s="1123"/>
      <c r="CN491" s="1123"/>
      <c r="CO491" s="1123"/>
      <c r="CP491" s="1123"/>
      <c r="CQ491" s="1123"/>
      <c r="CR491" s="1123"/>
      <c r="CS491" s="1123"/>
      <c r="CT491" s="1123"/>
      <c r="CU491" s="1123"/>
      <c r="CV491" s="1123"/>
      <c r="CW491" s="1123"/>
      <c r="CX491" s="1123"/>
      <c r="CY491" s="1123"/>
      <c r="CZ491" s="1114"/>
      <c r="DA491" s="1114"/>
      <c r="DB491" s="1114"/>
      <c r="DC491" s="1114"/>
      <c r="DD491" s="1114"/>
      <c r="DE491" s="1114"/>
      <c r="DF491" s="1114"/>
      <c r="DG491" s="1114"/>
      <c r="DH491" s="1114"/>
      <c r="DI491" s="1114"/>
      <c r="DJ491" s="1114"/>
      <c r="DK491" s="1114"/>
      <c r="DL491" s="1114"/>
      <c r="DM491" s="1114"/>
      <c r="DN491" s="1114"/>
      <c r="DO491" s="1114"/>
      <c r="DP491" s="1114"/>
      <c r="DQ491" s="1114"/>
      <c r="DR491" s="1114"/>
      <c r="DS491" s="1114"/>
      <c r="DT491" s="1114"/>
      <c r="DU491" s="1114"/>
      <c r="DV491" s="1115"/>
      <c r="DW491" s="1116"/>
      <c r="DX491" s="1116"/>
      <c r="DY491" s="1116"/>
      <c r="DZ491" s="1116"/>
      <c r="EA491" s="1116"/>
      <c r="EB491" s="1116"/>
      <c r="EC491" s="1116"/>
      <c r="ED491" s="1116"/>
      <c r="EE491" s="1116"/>
      <c r="EF491" s="1116"/>
      <c r="EG491" s="1116"/>
      <c r="EH491" s="1116"/>
      <c r="EI491" s="1116"/>
      <c r="EJ491" s="1116"/>
      <c r="EK491" s="1116"/>
      <c r="EL491" s="1116"/>
      <c r="EM491" s="1116"/>
      <c r="EN491" s="1116"/>
      <c r="EO491" s="1116"/>
      <c r="EP491" s="1116"/>
      <c r="EQ491" s="1116"/>
      <c r="ER491" s="1116"/>
      <c r="ES491" s="1116"/>
    </row>
    <row r="492" spans="1:149" ht="15" customHeight="1">
      <c r="A492" s="1185">
        <v>477</v>
      </c>
      <c r="B492" s="1041"/>
      <c r="C492" s="1050"/>
      <c r="D492" s="1050"/>
      <c r="E492" s="1050"/>
      <c r="F492" s="1049"/>
      <c r="G492" s="1457"/>
      <c r="H492" s="1049"/>
      <c r="I492" s="1049"/>
      <c r="J492" s="1050"/>
      <c r="K492" s="1050"/>
      <c r="L492" s="1043"/>
      <c r="M492" s="1051"/>
      <c r="N492" s="1051"/>
      <c r="O492" s="1052"/>
      <c r="P492" s="1051"/>
      <c r="Q492" s="1051"/>
      <c r="R492" s="1052"/>
      <c r="S492" s="1051"/>
      <c r="T492" s="1051"/>
      <c r="U492" s="1052"/>
      <c r="V492" s="1051"/>
      <c r="W492" s="1051"/>
      <c r="X492" s="1052"/>
      <c r="Y492" s="1053"/>
      <c r="Z492" s="1051"/>
      <c r="AA492" s="1051"/>
      <c r="AB492" s="1052"/>
      <c r="AC492" s="1051"/>
      <c r="AD492" s="1051"/>
      <c r="AE492" s="1052"/>
      <c r="AF492" s="1051"/>
      <c r="AG492" s="1051"/>
      <c r="AH492" s="1051"/>
      <c r="AI492" s="1051"/>
      <c r="AJ492" s="1052"/>
      <c r="AK492" s="1051"/>
      <c r="AL492" s="1051"/>
      <c r="AM492" s="1052"/>
      <c r="AN492" s="1051"/>
      <c r="AO492" s="1051"/>
      <c r="AP492" s="1052"/>
      <c r="AQ492" s="1051"/>
      <c r="AR492" s="1051"/>
      <c r="AS492" s="1052"/>
      <c r="AT492" s="1051"/>
      <c r="AU492" s="1051"/>
      <c r="AV492" s="1052"/>
      <c r="AW492" s="1051"/>
      <c r="AX492" s="1051"/>
      <c r="AY492" s="1053"/>
      <c r="AZ492" s="1051"/>
      <c r="BA492" s="1051"/>
      <c r="BB492" s="1053"/>
      <c r="BC492" s="1051"/>
      <c r="BD492" s="1051"/>
      <c r="BE492" s="1053"/>
      <c r="BF492" s="1051"/>
      <c r="BG492" s="1051"/>
      <c r="BH492" s="1053"/>
      <c r="BI492" s="1052"/>
      <c r="BJ492" s="1052"/>
      <c r="BK492" s="1052"/>
      <c r="BL492" s="1052"/>
      <c r="BM492" s="1052"/>
      <c r="BN492" s="1054"/>
      <c r="BO492" s="1076">
        <f t="shared" si="18"/>
        <v>0</v>
      </c>
      <c r="BP492" s="1051"/>
      <c r="BQ492" s="1052"/>
      <c r="BR492" s="1054"/>
      <c r="BS492" s="1053"/>
      <c r="BT492" s="1051"/>
      <c r="BU492" s="1051"/>
      <c r="BV492" s="1051"/>
      <c r="BW492" s="1052"/>
      <c r="BX492" s="1052"/>
      <c r="BY492" s="1052"/>
      <c r="BZ492" s="1052"/>
      <c r="CA492" s="1052"/>
      <c r="CB492" s="1053"/>
      <c r="CC492" s="1053"/>
      <c r="CD492" s="1053"/>
      <c r="CE492" s="1053"/>
      <c r="CF492" s="1053"/>
      <c r="CG492" s="1053"/>
      <c r="CH492" s="1053"/>
      <c r="CI492" s="1123"/>
      <c r="CJ492" s="1123"/>
      <c r="CK492" s="1123"/>
      <c r="CL492" s="1123"/>
      <c r="CM492" s="1123"/>
      <c r="CN492" s="1123"/>
      <c r="CO492" s="1123"/>
      <c r="CP492" s="1123"/>
      <c r="CQ492" s="1123"/>
      <c r="CR492" s="1123"/>
      <c r="CS492" s="1123"/>
      <c r="CT492" s="1123"/>
      <c r="CU492" s="1123"/>
      <c r="CV492" s="1123"/>
      <c r="CW492" s="1123"/>
      <c r="CX492" s="1123"/>
      <c r="CY492" s="1123"/>
      <c r="CZ492" s="1114"/>
      <c r="DA492" s="1114"/>
      <c r="DB492" s="1114"/>
      <c r="DC492" s="1114"/>
      <c r="DD492" s="1114"/>
      <c r="DE492" s="1114"/>
      <c r="DF492" s="1114"/>
      <c r="DG492" s="1114"/>
      <c r="DH492" s="1114"/>
      <c r="DI492" s="1114"/>
      <c r="DJ492" s="1114"/>
      <c r="DK492" s="1114"/>
      <c r="DL492" s="1114"/>
      <c r="DM492" s="1114"/>
      <c r="DN492" s="1114"/>
      <c r="DO492" s="1114"/>
      <c r="DP492" s="1114"/>
      <c r="DQ492" s="1114"/>
      <c r="DR492" s="1114"/>
      <c r="DS492" s="1114"/>
      <c r="DT492" s="1114"/>
      <c r="DU492" s="1114"/>
      <c r="DV492" s="1115"/>
      <c r="DW492" s="1116"/>
      <c r="DX492" s="1116"/>
      <c r="DY492" s="1116"/>
      <c r="DZ492" s="1116"/>
      <c r="EA492" s="1116"/>
      <c r="EB492" s="1116"/>
      <c r="EC492" s="1116"/>
      <c r="ED492" s="1116"/>
      <c r="EE492" s="1116"/>
      <c r="EF492" s="1116"/>
      <c r="EG492" s="1116"/>
      <c r="EH492" s="1116"/>
      <c r="EI492" s="1116"/>
      <c r="EJ492" s="1116"/>
      <c r="EK492" s="1116"/>
      <c r="EL492" s="1116"/>
      <c r="EM492" s="1116"/>
      <c r="EN492" s="1116"/>
      <c r="EO492" s="1116"/>
      <c r="EP492" s="1116"/>
      <c r="EQ492" s="1116"/>
      <c r="ER492" s="1116"/>
      <c r="ES492" s="1116"/>
    </row>
    <row r="493" spans="1:149" ht="15" customHeight="1">
      <c r="A493" s="1185">
        <v>478</v>
      </c>
      <c r="B493" s="1041"/>
      <c r="C493" s="1050"/>
      <c r="D493" s="1050"/>
      <c r="E493" s="1050"/>
      <c r="F493" s="1049"/>
      <c r="G493" s="1457"/>
      <c r="H493" s="1049"/>
      <c r="I493" s="1049"/>
      <c r="J493" s="1050"/>
      <c r="K493" s="1050"/>
      <c r="L493" s="1043"/>
      <c r="M493" s="1051"/>
      <c r="N493" s="1051"/>
      <c r="O493" s="1052"/>
      <c r="P493" s="1051"/>
      <c r="Q493" s="1051"/>
      <c r="R493" s="1052"/>
      <c r="S493" s="1051"/>
      <c r="T493" s="1051"/>
      <c r="U493" s="1052"/>
      <c r="V493" s="1051"/>
      <c r="W493" s="1051"/>
      <c r="X493" s="1052"/>
      <c r="Y493" s="1053"/>
      <c r="Z493" s="1051"/>
      <c r="AA493" s="1051"/>
      <c r="AB493" s="1052"/>
      <c r="AC493" s="1051"/>
      <c r="AD493" s="1051"/>
      <c r="AE493" s="1052"/>
      <c r="AF493" s="1051"/>
      <c r="AG493" s="1051"/>
      <c r="AH493" s="1051"/>
      <c r="AI493" s="1051"/>
      <c r="AJ493" s="1052"/>
      <c r="AK493" s="1051"/>
      <c r="AL493" s="1051"/>
      <c r="AM493" s="1052"/>
      <c r="AN493" s="1051"/>
      <c r="AO493" s="1051"/>
      <c r="AP493" s="1052"/>
      <c r="AQ493" s="1051"/>
      <c r="AR493" s="1051"/>
      <c r="AS493" s="1052"/>
      <c r="AT493" s="1051"/>
      <c r="AU493" s="1051"/>
      <c r="AV493" s="1052"/>
      <c r="AW493" s="1051"/>
      <c r="AX493" s="1051"/>
      <c r="AY493" s="1053"/>
      <c r="AZ493" s="1051"/>
      <c r="BA493" s="1051"/>
      <c r="BB493" s="1053"/>
      <c r="BC493" s="1051"/>
      <c r="BD493" s="1051"/>
      <c r="BE493" s="1053"/>
      <c r="BF493" s="1051"/>
      <c r="BG493" s="1051"/>
      <c r="BH493" s="1053"/>
      <c r="BI493" s="1052"/>
      <c r="BJ493" s="1052"/>
      <c r="BK493" s="1052"/>
      <c r="BL493" s="1052"/>
      <c r="BM493" s="1052"/>
      <c r="BN493" s="1054"/>
      <c r="BO493" s="1076">
        <f t="shared" si="18"/>
        <v>0</v>
      </c>
      <c r="BP493" s="1051"/>
      <c r="BQ493" s="1052"/>
      <c r="BR493" s="1054"/>
      <c r="BS493" s="1053"/>
      <c r="BT493" s="1051"/>
      <c r="BU493" s="1051"/>
      <c r="BV493" s="1051"/>
      <c r="BW493" s="1052"/>
      <c r="BX493" s="1052"/>
      <c r="BY493" s="1052"/>
      <c r="BZ493" s="1052"/>
      <c r="CA493" s="1052"/>
      <c r="CB493" s="1053"/>
      <c r="CC493" s="1053"/>
      <c r="CD493" s="1053"/>
      <c r="CE493" s="1053"/>
      <c r="CF493" s="1053"/>
      <c r="CG493" s="1053"/>
      <c r="CH493" s="1053"/>
      <c r="CI493" s="1123"/>
      <c r="CJ493" s="1123"/>
      <c r="CK493" s="1123"/>
      <c r="CL493" s="1123"/>
      <c r="CM493" s="1123"/>
      <c r="CN493" s="1123"/>
      <c r="CO493" s="1123"/>
      <c r="CP493" s="1123"/>
      <c r="CQ493" s="1123"/>
      <c r="CR493" s="1123"/>
      <c r="CS493" s="1123"/>
      <c r="CT493" s="1123"/>
      <c r="CU493" s="1123"/>
      <c r="CV493" s="1123"/>
      <c r="CW493" s="1123"/>
      <c r="CX493" s="1123"/>
      <c r="CY493" s="1123"/>
      <c r="CZ493" s="1114"/>
      <c r="DA493" s="1114"/>
      <c r="DB493" s="1114"/>
      <c r="DC493" s="1114"/>
      <c r="DD493" s="1114"/>
      <c r="DE493" s="1114"/>
      <c r="DF493" s="1114"/>
      <c r="DG493" s="1114"/>
      <c r="DH493" s="1114"/>
      <c r="DI493" s="1114"/>
      <c r="DJ493" s="1114"/>
      <c r="DK493" s="1114"/>
      <c r="DL493" s="1114"/>
      <c r="DM493" s="1114"/>
      <c r="DN493" s="1114"/>
      <c r="DO493" s="1114"/>
      <c r="DP493" s="1114"/>
      <c r="DQ493" s="1114"/>
      <c r="DR493" s="1114"/>
      <c r="DS493" s="1114"/>
      <c r="DT493" s="1114"/>
      <c r="DU493" s="1114"/>
      <c r="DV493" s="1115"/>
      <c r="DW493" s="1116"/>
      <c r="DX493" s="1116"/>
      <c r="DY493" s="1116"/>
      <c r="DZ493" s="1116"/>
      <c r="EA493" s="1116"/>
      <c r="EB493" s="1116"/>
      <c r="EC493" s="1116"/>
      <c r="ED493" s="1116"/>
      <c r="EE493" s="1116"/>
      <c r="EF493" s="1116"/>
      <c r="EG493" s="1116"/>
      <c r="EH493" s="1116"/>
      <c r="EI493" s="1116"/>
      <c r="EJ493" s="1116"/>
      <c r="EK493" s="1116"/>
      <c r="EL493" s="1116"/>
      <c r="EM493" s="1116"/>
      <c r="EN493" s="1116"/>
      <c r="EO493" s="1116"/>
      <c r="EP493" s="1116"/>
      <c r="EQ493" s="1116"/>
      <c r="ER493" s="1116"/>
      <c r="ES493" s="1116"/>
    </row>
    <row r="494" spans="1:149" ht="15" customHeight="1">
      <c r="A494" s="1185">
        <v>479</v>
      </c>
      <c r="B494" s="1041"/>
      <c r="C494" s="1050"/>
      <c r="D494" s="1050"/>
      <c r="E494" s="1050"/>
      <c r="F494" s="1049"/>
      <c r="G494" s="1457"/>
      <c r="H494" s="1049"/>
      <c r="I494" s="1049"/>
      <c r="J494" s="1050"/>
      <c r="K494" s="1050"/>
      <c r="L494" s="1043"/>
      <c r="M494" s="1051"/>
      <c r="N494" s="1051"/>
      <c r="O494" s="1052"/>
      <c r="P494" s="1051"/>
      <c r="Q494" s="1051"/>
      <c r="R494" s="1052"/>
      <c r="S494" s="1051"/>
      <c r="T494" s="1051"/>
      <c r="U494" s="1052"/>
      <c r="V494" s="1051"/>
      <c r="W494" s="1051"/>
      <c r="X494" s="1052"/>
      <c r="Y494" s="1053"/>
      <c r="Z494" s="1051"/>
      <c r="AA494" s="1051"/>
      <c r="AB494" s="1052"/>
      <c r="AC494" s="1051"/>
      <c r="AD494" s="1051"/>
      <c r="AE494" s="1052"/>
      <c r="AF494" s="1051"/>
      <c r="AG494" s="1051"/>
      <c r="AH494" s="1051"/>
      <c r="AI494" s="1051"/>
      <c r="AJ494" s="1052"/>
      <c r="AK494" s="1051"/>
      <c r="AL494" s="1051"/>
      <c r="AM494" s="1052"/>
      <c r="AN494" s="1051"/>
      <c r="AO494" s="1051"/>
      <c r="AP494" s="1052"/>
      <c r="AQ494" s="1051"/>
      <c r="AR494" s="1051"/>
      <c r="AS494" s="1052"/>
      <c r="AT494" s="1051"/>
      <c r="AU494" s="1051"/>
      <c r="AV494" s="1052"/>
      <c r="AW494" s="1051"/>
      <c r="AX494" s="1051"/>
      <c r="AY494" s="1053"/>
      <c r="AZ494" s="1051"/>
      <c r="BA494" s="1051"/>
      <c r="BB494" s="1053"/>
      <c r="BC494" s="1051"/>
      <c r="BD494" s="1051"/>
      <c r="BE494" s="1053"/>
      <c r="BF494" s="1051"/>
      <c r="BG494" s="1051"/>
      <c r="BH494" s="1053"/>
      <c r="BI494" s="1052"/>
      <c r="BJ494" s="1052"/>
      <c r="BK494" s="1052"/>
      <c r="BL494" s="1052"/>
      <c r="BM494" s="1052"/>
      <c r="BN494" s="1054"/>
      <c r="BO494" s="1076">
        <f t="shared" si="18"/>
        <v>0</v>
      </c>
      <c r="BP494" s="1051"/>
      <c r="BQ494" s="1052"/>
      <c r="BR494" s="1054"/>
      <c r="BS494" s="1053"/>
      <c r="BT494" s="1051"/>
      <c r="BU494" s="1051"/>
      <c r="BV494" s="1051"/>
      <c r="BW494" s="1052"/>
      <c r="BX494" s="1052"/>
      <c r="BY494" s="1052"/>
      <c r="BZ494" s="1052"/>
      <c r="CA494" s="1052"/>
      <c r="CB494" s="1053"/>
      <c r="CC494" s="1053"/>
      <c r="CD494" s="1053"/>
      <c r="CE494" s="1053"/>
      <c r="CF494" s="1053"/>
      <c r="CG494" s="1053"/>
      <c r="CH494" s="1053"/>
      <c r="CI494" s="1123"/>
      <c r="CJ494" s="1123"/>
      <c r="CK494" s="1123"/>
      <c r="CL494" s="1123"/>
      <c r="CM494" s="1123"/>
      <c r="CN494" s="1123"/>
      <c r="CO494" s="1123"/>
      <c r="CP494" s="1123"/>
      <c r="CQ494" s="1123"/>
      <c r="CR494" s="1123"/>
      <c r="CS494" s="1123"/>
      <c r="CT494" s="1123"/>
      <c r="CU494" s="1123"/>
      <c r="CV494" s="1123"/>
      <c r="CW494" s="1123"/>
      <c r="CX494" s="1123"/>
      <c r="CY494" s="1123"/>
      <c r="CZ494" s="1114"/>
      <c r="DA494" s="1114"/>
      <c r="DB494" s="1114"/>
      <c r="DC494" s="1114"/>
      <c r="DD494" s="1114"/>
      <c r="DE494" s="1114"/>
      <c r="DF494" s="1114"/>
      <c r="DG494" s="1114"/>
      <c r="DH494" s="1114"/>
      <c r="DI494" s="1114"/>
      <c r="DJ494" s="1114"/>
      <c r="DK494" s="1114"/>
      <c r="DL494" s="1114"/>
      <c r="DM494" s="1114"/>
      <c r="DN494" s="1114"/>
      <c r="DO494" s="1114"/>
      <c r="DP494" s="1114"/>
      <c r="DQ494" s="1114"/>
      <c r="DR494" s="1114"/>
      <c r="DS494" s="1114"/>
      <c r="DT494" s="1114"/>
      <c r="DU494" s="1114"/>
      <c r="DV494" s="1115"/>
      <c r="DW494" s="1116"/>
      <c r="DX494" s="1116"/>
      <c r="DY494" s="1116"/>
      <c r="DZ494" s="1116"/>
      <c r="EA494" s="1116"/>
      <c r="EB494" s="1116"/>
      <c r="EC494" s="1116"/>
      <c r="ED494" s="1116"/>
      <c r="EE494" s="1116"/>
      <c r="EF494" s="1116"/>
      <c r="EG494" s="1116"/>
      <c r="EH494" s="1116"/>
      <c r="EI494" s="1116"/>
      <c r="EJ494" s="1116"/>
      <c r="EK494" s="1116"/>
      <c r="EL494" s="1116"/>
      <c r="EM494" s="1116"/>
      <c r="EN494" s="1116"/>
      <c r="EO494" s="1116"/>
      <c r="EP494" s="1116"/>
      <c r="EQ494" s="1116"/>
      <c r="ER494" s="1116"/>
      <c r="ES494" s="1116"/>
    </row>
    <row r="495" spans="1:149" ht="15" customHeight="1">
      <c r="A495" s="1185">
        <v>480</v>
      </c>
      <c r="B495" s="1041"/>
      <c r="C495" s="1050"/>
      <c r="D495" s="1050"/>
      <c r="E495" s="1050"/>
      <c r="F495" s="1049"/>
      <c r="G495" s="1457"/>
      <c r="H495" s="1049"/>
      <c r="I495" s="1049"/>
      <c r="J495" s="1050"/>
      <c r="K495" s="1050"/>
      <c r="L495" s="1043"/>
      <c r="M495" s="1051"/>
      <c r="N495" s="1051"/>
      <c r="O495" s="1052"/>
      <c r="P495" s="1051"/>
      <c r="Q495" s="1051"/>
      <c r="R495" s="1052"/>
      <c r="S495" s="1051"/>
      <c r="T495" s="1051"/>
      <c r="U495" s="1052"/>
      <c r="V495" s="1051"/>
      <c r="W495" s="1051"/>
      <c r="X495" s="1052"/>
      <c r="Y495" s="1053"/>
      <c r="Z495" s="1051"/>
      <c r="AA495" s="1051"/>
      <c r="AB495" s="1052"/>
      <c r="AC495" s="1051"/>
      <c r="AD495" s="1051"/>
      <c r="AE495" s="1052"/>
      <c r="AF495" s="1051"/>
      <c r="AG495" s="1051"/>
      <c r="AH495" s="1051"/>
      <c r="AI495" s="1051"/>
      <c r="AJ495" s="1052"/>
      <c r="AK495" s="1051"/>
      <c r="AL495" s="1051"/>
      <c r="AM495" s="1052"/>
      <c r="AN495" s="1051"/>
      <c r="AO495" s="1051"/>
      <c r="AP495" s="1052"/>
      <c r="AQ495" s="1051"/>
      <c r="AR495" s="1051"/>
      <c r="AS495" s="1052"/>
      <c r="AT495" s="1051"/>
      <c r="AU495" s="1051"/>
      <c r="AV495" s="1052"/>
      <c r="AW495" s="1051"/>
      <c r="AX495" s="1051"/>
      <c r="AY495" s="1053"/>
      <c r="AZ495" s="1051"/>
      <c r="BA495" s="1051"/>
      <c r="BB495" s="1053"/>
      <c r="BC495" s="1051"/>
      <c r="BD495" s="1051"/>
      <c r="BE495" s="1053"/>
      <c r="BF495" s="1051"/>
      <c r="BG495" s="1051"/>
      <c r="BH495" s="1053"/>
      <c r="BI495" s="1052"/>
      <c r="BJ495" s="1052"/>
      <c r="BK495" s="1052"/>
      <c r="BL495" s="1052"/>
      <c r="BM495" s="1052"/>
      <c r="BN495" s="1054"/>
      <c r="BO495" s="1076">
        <f t="shared" si="18"/>
        <v>0</v>
      </c>
      <c r="BP495" s="1051"/>
      <c r="BQ495" s="1052"/>
      <c r="BR495" s="1054"/>
      <c r="BS495" s="1053"/>
      <c r="BT495" s="1051"/>
      <c r="BU495" s="1051"/>
      <c r="BV495" s="1051"/>
      <c r="BW495" s="1052"/>
      <c r="BX495" s="1052"/>
      <c r="BY495" s="1052"/>
      <c r="BZ495" s="1052"/>
      <c r="CA495" s="1052"/>
      <c r="CB495" s="1053"/>
      <c r="CC495" s="1053"/>
      <c r="CD495" s="1053"/>
      <c r="CE495" s="1053"/>
      <c r="CF495" s="1053"/>
      <c r="CG495" s="1053"/>
      <c r="CH495" s="1053"/>
      <c r="CI495" s="1123"/>
      <c r="CJ495" s="1123"/>
      <c r="CK495" s="1123"/>
      <c r="CL495" s="1123"/>
      <c r="CM495" s="1123"/>
      <c r="CN495" s="1123"/>
      <c r="CO495" s="1123"/>
      <c r="CP495" s="1123"/>
      <c r="CQ495" s="1123"/>
      <c r="CR495" s="1123"/>
      <c r="CS495" s="1123"/>
      <c r="CT495" s="1123"/>
      <c r="CU495" s="1123"/>
      <c r="CV495" s="1123"/>
      <c r="CW495" s="1123"/>
      <c r="CX495" s="1123"/>
      <c r="CY495" s="1123"/>
      <c r="CZ495" s="1114"/>
      <c r="DA495" s="1114"/>
      <c r="DB495" s="1114"/>
      <c r="DC495" s="1114"/>
      <c r="DD495" s="1114"/>
      <c r="DE495" s="1114"/>
      <c r="DF495" s="1114"/>
      <c r="DG495" s="1114"/>
      <c r="DH495" s="1114"/>
      <c r="DI495" s="1114"/>
      <c r="DJ495" s="1114"/>
      <c r="DK495" s="1114"/>
      <c r="DL495" s="1114"/>
      <c r="DM495" s="1114"/>
      <c r="DN495" s="1114"/>
      <c r="DO495" s="1114"/>
      <c r="DP495" s="1114"/>
      <c r="DQ495" s="1114"/>
      <c r="DR495" s="1114"/>
      <c r="DS495" s="1114"/>
      <c r="DT495" s="1114"/>
      <c r="DU495" s="1114"/>
      <c r="DV495" s="1115"/>
      <c r="DW495" s="1116"/>
      <c r="DX495" s="1116"/>
      <c r="DY495" s="1116"/>
      <c r="DZ495" s="1116"/>
      <c r="EA495" s="1116"/>
      <c r="EB495" s="1116"/>
      <c r="EC495" s="1116"/>
      <c r="ED495" s="1116"/>
      <c r="EE495" s="1116"/>
      <c r="EF495" s="1116"/>
      <c r="EG495" s="1116"/>
      <c r="EH495" s="1116"/>
      <c r="EI495" s="1116"/>
      <c r="EJ495" s="1116"/>
      <c r="EK495" s="1116"/>
      <c r="EL495" s="1116"/>
      <c r="EM495" s="1116"/>
      <c r="EN495" s="1116"/>
      <c r="EO495" s="1116"/>
      <c r="EP495" s="1116"/>
      <c r="EQ495" s="1116"/>
      <c r="ER495" s="1116"/>
      <c r="ES495" s="1116"/>
    </row>
    <row r="496" spans="1:149" ht="15" customHeight="1">
      <c r="A496" s="1185">
        <v>481</v>
      </c>
      <c r="B496" s="1041"/>
      <c r="C496" s="1050"/>
      <c r="D496" s="1050"/>
      <c r="E496" s="1050"/>
      <c r="F496" s="1049"/>
      <c r="G496" s="1457"/>
      <c r="H496" s="1049"/>
      <c r="I496" s="1049"/>
      <c r="J496" s="1050"/>
      <c r="K496" s="1050"/>
      <c r="L496" s="1043"/>
      <c r="M496" s="1051"/>
      <c r="N496" s="1051"/>
      <c r="O496" s="1052"/>
      <c r="P496" s="1051"/>
      <c r="Q496" s="1051"/>
      <c r="R496" s="1052"/>
      <c r="S496" s="1051"/>
      <c r="T496" s="1051"/>
      <c r="U496" s="1052"/>
      <c r="V496" s="1051"/>
      <c r="W496" s="1051"/>
      <c r="X496" s="1052"/>
      <c r="Y496" s="1053"/>
      <c r="Z496" s="1051"/>
      <c r="AA496" s="1051"/>
      <c r="AB496" s="1052"/>
      <c r="AC496" s="1051"/>
      <c r="AD496" s="1051"/>
      <c r="AE496" s="1052"/>
      <c r="AF496" s="1051"/>
      <c r="AG496" s="1051"/>
      <c r="AH496" s="1051"/>
      <c r="AI496" s="1051"/>
      <c r="AJ496" s="1052"/>
      <c r="AK496" s="1051"/>
      <c r="AL496" s="1051"/>
      <c r="AM496" s="1052"/>
      <c r="AN496" s="1051"/>
      <c r="AO496" s="1051"/>
      <c r="AP496" s="1052"/>
      <c r="AQ496" s="1051"/>
      <c r="AR496" s="1051"/>
      <c r="AS496" s="1052"/>
      <c r="AT496" s="1051"/>
      <c r="AU496" s="1051"/>
      <c r="AV496" s="1052"/>
      <c r="AW496" s="1051"/>
      <c r="AX496" s="1051"/>
      <c r="AY496" s="1053"/>
      <c r="AZ496" s="1051"/>
      <c r="BA496" s="1051"/>
      <c r="BB496" s="1053"/>
      <c r="BC496" s="1051"/>
      <c r="BD496" s="1051"/>
      <c r="BE496" s="1053"/>
      <c r="BF496" s="1051"/>
      <c r="BG496" s="1051"/>
      <c r="BH496" s="1053"/>
      <c r="BI496" s="1052"/>
      <c r="BJ496" s="1052"/>
      <c r="BK496" s="1052"/>
      <c r="BL496" s="1052"/>
      <c r="BM496" s="1052"/>
      <c r="BN496" s="1054"/>
      <c r="BO496" s="1076">
        <f t="shared" si="18"/>
        <v>0</v>
      </c>
      <c r="BP496" s="1051"/>
      <c r="BQ496" s="1052"/>
      <c r="BR496" s="1054"/>
      <c r="BS496" s="1053"/>
      <c r="BT496" s="1051"/>
      <c r="BU496" s="1051"/>
      <c r="BV496" s="1051"/>
      <c r="BW496" s="1052"/>
      <c r="BX496" s="1052"/>
      <c r="BY496" s="1052"/>
      <c r="BZ496" s="1052"/>
      <c r="CA496" s="1052"/>
      <c r="CB496" s="1053"/>
      <c r="CC496" s="1053"/>
      <c r="CD496" s="1053"/>
      <c r="CE496" s="1053"/>
      <c r="CF496" s="1053"/>
      <c r="CG496" s="1053"/>
      <c r="CH496" s="1053"/>
      <c r="CI496" s="1123"/>
      <c r="CJ496" s="1123"/>
      <c r="CK496" s="1123"/>
      <c r="CL496" s="1123"/>
      <c r="CM496" s="1123"/>
      <c r="CN496" s="1123"/>
      <c r="CO496" s="1123"/>
      <c r="CP496" s="1123"/>
      <c r="CQ496" s="1123"/>
      <c r="CR496" s="1123"/>
      <c r="CS496" s="1123"/>
      <c r="CT496" s="1123"/>
      <c r="CU496" s="1123"/>
      <c r="CV496" s="1123"/>
      <c r="CW496" s="1123"/>
      <c r="CX496" s="1123"/>
      <c r="CY496" s="1123"/>
      <c r="CZ496" s="1114"/>
      <c r="DA496" s="1114"/>
      <c r="DB496" s="1114"/>
      <c r="DC496" s="1114"/>
      <c r="DD496" s="1114"/>
      <c r="DE496" s="1114"/>
      <c r="DF496" s="1114"/>
      <c r="DG496" s="1114"/>
      <c r="DH496" s="1114"/>
      <c r="DI496" s="1114"/>
      <c r="DJ496" s="1114"/>
      <c r="DK496" s="1114"/>
      <c r="DL496" s="1114"/>
      <c r="DM496" s="1114"/>
      <c r="DN496" s="1114"/>
      <c r="DO496" s="1114"/>
      <c r="DP496" s="1114"/>
      <c r="DQ496" s="1114"/>
      <c r="DR496" s="1114"/>
      <c r="DS496" s="1114"/>
      <c r="DT496" s="1114"/>
      <c r="DU496" s="1114"/>
      <c r="DV496" s="1115"/>
      <c r="DW496" s="1116"/>
      <c r="DX496" s="1116"/>
      <c r="DY496" s="1116"/>
      <c r="DZ496" s="1116"/>
      <c r="EA496" s="1116"/>
      <c r="EB496" s="1116"/>
      <c r="EC496" s="1116"/>
      <c r="ED496" s="1116"/>
      <c r="EE496" s="1116"/>
      <c r="EF496" s="1116"/>
      <c r="EG496" s="1116"/>
      <c r="EH496" s="1116"/>
      <c r="EI496" s="1116"/>
      <c r="EJ496" s="1116"/>
      <c r="EK496" s="1116"/>
      <c r="EL496" s="1116"/>
      <c r="EM496" s="1116"/>
      <c r="EN496" s="1116"/>
      <c r="EO496" s="1116"/>
      <c r="EP496" s="1116"/>
      <c r="EQ496" s="1116"/>
      <c r="ER496" s="1116"/>
      <c r="ES496" s="1116"/>
    </row>
    <row r="497" spans="1:149" ht="15" customHeight="1">
      <c r="A497" s="1185">
        <v>482</v>
      </c>
      <c r="B497" s="1041"/>
      <c r="C497" s="1050"/>
      <c r="D497" s="1050"/>
      <c r="E497" s="1050"/>
      <c r="F497" s="1049"/>
      <c r="G497" s="1457"/>
      <c r="H497" s="1049"/>
      <c r="I497" s="1049"/>
      <c r="J497" s="1050"/>
      <c r="K497" s="1050"/>
      <c r="L497" s="1043"/>
      <c r="M497" s="1051"/>
      <c r="N497" s="1051"/>
      <c r="O497" s="1052"/>
      <c r="P497" s="1051"/>
      <c r="Q497" s="1051"/>
      <c r="R497" s="1052"/>
      <c r="S497" s="1051"/>
      <c r="T497" s="1051"/>
      <c r="U497" s="1052"/>
      <c r="V497" s="1051"/>
      <c r="W497" s="1051"/>
      <c r="X497" s="1052"/>
      <c r="Y497" s="1053"/>
      <c r="Z497" s="1051"/>
      <c r="AA497" s="1051"/>
      <c r="AB497" s="1052"/>
      <c r="AC497" s="1051"/>
      <c r="AD497" s="1051"/>
      <c r="AE497" s="1052"/>
      <c r="AF497" s="1051"/>
      <c r="AG497" s="1051"/>
      <c r="AH497" s="1051"/>
      <c r="AI497" s="1051"/>
      <c r="AJ497" s="1052"/>
      <c r="AK497" s="1051"/>
      <c r="AL497" s="1051"/>
      <c r="AM497" s="1052"/>
      <c r="AN497" s="1051"/>
      <c r="AO497" s="1051"/>
      <c r="AP497" s="1052"/>
      <c r="AQ497" s="1051"/>
      <c r="AR497" s="1051"/>
      <c r="AS497" s="1052"/>
      <c r="AT497" s="1051"/>
      <c r="AU497" s="1051"/>
      <c r="AV497" s="1052"/>
      <c r="AW497" s="1051"/>
      <c r="AX497" s="1051"/>
      <c r="AY497" s="1053"/>
      <c r="AZ497" s="1051"/>
      <c r="BA497" s="1051"/>
      <c r="BB497" s="1053"/>
      <c r="BC497" s="1051"/>
      <c r="BD497" s="1051"/>
      <c r="BE497" s="1053"/>
      <c r="BF497" s="1051"/>
      <c r="BG497" s="1051"/>
      <c r="BH497" s="1053"/>
      <c r="BI497" s="1052"/>
      <c r="BJ497" s="1052"/>
      <c r="BK497" s="1052"/>
      <c r="BL497" s="1052"/>
      <c r="BM497" s="1052"/>
      <c r="BN497" s="1054"/>
      <c r="BO497" s="1076">
        <f t="shared" si="18"/>
        <v>0</v>
      </c>
      <c r="BP497" s="1051"/>
      <c r="BQ497" s="1052"/>
      <c r="BR497" s="1054"/>
      <c r="BS497" s="1053"/>
      <c r="BT497" s="1051"/>
      <c r="BU497" s="1051"/>
      <c r="BV497" s="1051"/>
      <c r="BW497" s="1052"/>
      <c r="BX497" s="1052"/>
      <c r="BY497" s="1052"/>
      <c r="BZ497" s="1052"/>
      <c r="CA497" s="1052"/>
      <c r="CB497" s="1053"/>
      <c r="CC497" s="1053"/>
      <c r="CD497" s="1053"/>
      <c r="CE497" s="1053"/>
      <c r="CF497" s="1053"/>
      <c r="CG497" s="1053"/>
      <c r="CH497" s="1053"/>
      <c r="CI497" s="1123"/>
      <c r="CJ497" s="1123"/>
      <c r="CK497" s="1123"/>
      <c r="CL497" s="1123"/>
      <c r="CM497" s="1123"/>
      <c r="CN497" s="1123"/>
      <c r="CO497" s="1123"/>
      <c r="CP497" s="1123"/>
      <c r="CQ497" s="1123"/>
      <c r="CR497" s="1123"/>
      <c r="CS497" s="1123"/>
      <c r="CT497" s="1123"/>
      <c r="CU497" s="1123"/>
      <c r="CV497" s="1123"/>
      <c r="CW497" s="1123"/>
      <c r="CX497" s="1123"/>
      <c r="CY497" s="1123"/>
      <c r="CZ497" s="1114"/>
      <c r="DA497" s="1114"/>
      <c r="DB497" s="1114"/>
      <c r="DC497" s="1114"/>
      <c r="DD497" s="1114"/>
      <c r="DE497" s="1114"/>
      <c r="DF497" s="1114"/>
      <c r="DG497" s="1114"/>
      <c r="DH497" s="1114"/>
      <c r="DI497" s="1114"/>
      <c r="DJ497" s="1114"/>
      <c r="DK497" s="1114"/>
      <c r="DL497" s="1114"/>
      <c r="DM497" s="1114"/>
      <c r="DN497" s="1114"/>
      <c r="DO497" s="1114"/>
      <c r="DP497" s="1114"/>
      <c r="DQ497" s="1114"/>
      <c r="DR497" s="1114"/>
      <c r="DS497" s="1114"/>
      <c r="DT497" s="1114"/>
      <c r="DU497" s="1114"/>
      <c r="DV497" s="1115"/>
      <c r="DW497" s="1116"/>
      <c r="DX497" s="1116"/>
      <c r="DY497" s="1116"/>
      <c r="DZ497" s="1116"/>
      <c r="EA497" s="1116"/>
      <c r="EB497" s="1116"/>
      <c r="EC497" s="1116"/>
      <c r="ED497" s="1116"/>
      <c r="EE497" s="1116"/>
      <c r="EF497" s="1116"/>
      <c r="EG497" s="1116"/>
      <c r="EH497" s="1116"/>
      <c r="EI497" s="1116"/>
      <c r="EJ497" s="1116"/>
      <c r="EK497" s="1116"/>
      <c r="EL497" s="1116"/>
      <c r="EM497" s="1116"/>
      <c r="EN497" s="1116"/>
      <c r="EO497" s="1116"/>
      <c r="EP497" s="1116"/>
      <c r="EQ497" s="1116"/>
      <c r="ER497" s="1116"/>
      <c r="ES497" s="1116"/>
    </row>
    <row r="498" spans="1:149" ht="15" customHeight="1">
      <c r="A498" s="1185">
        <v>483</v>
      </c>
      <c r="B498" s="1041"/>
      <c r="C498" s="1050"/>
      <c r="D498" s="1050"/>
      <c r="E498" s="1050"/>
      <c r="F498" s="1049"/>
      <c r="G498" s="1457"/>
      <c r="H498" s="1049"/>
      <c r="I498" s="1049"/>
      <c r="J498" s="1050"/>
      <c r="K498" s="1050"/>
      <c r="L498" s="1043"/>
      <c r="M498" s="1051"/>
      <c r="N498" s="1051"/>
      <c r="O498" s="1052"/>
      <c r="P498" s="1051"/>
      <c r="Q498" s="1051"/>
      <c r="R498" s="1052"/>
      <c r="S498" s="1051"/>
      <c r="T498" s="1051"/>
      <c r="U498" s="1052"/>
      <c r="V498" s="1051"/>
      <c r="W498" s="1051"/>
      <c r="X498" s="1052"/>
      <c r="Y498" s="1053"/>
      <c r="Z498" s="1051"/>
      <c r="AA498" s="1051"/>
      <c r="AB498" s="1052"/>
      <c r="AC498" s="1051"/>
      <c r="AD498" s="1051"/>
      <c r="AE498" s="1052"/>
      <c r="AF498" s="1051"/>
      <c r="AG498" s="1051"/>
      <c r="AH498" s="1051"/>
      <c r="AI498" s="1051"/>
      <c r="AJ498" s="1052"/>
      <c r="AK498" s="1051"/>
      <c r="AL498" s="1051"/>
      <c r="AM498" s="1052"/>
      <c r="AN498" s="1051"/>
      <c r="AO498" s="1051"/>
      <c r="AP498" s="1052"/>
      <c r="AQ498" s="1051"/>
      <c r="AR498" s="1051"/>
      <c r="AS498" s="1052"/>
      <c r="AT498" s="1051"/>
      <c r="AU498" s="1051"/>
      <c r="AV498" s="1052"/>
      <c r="AW498" s="1051"/>
      <c r="AX498" s="1051"/>
      <c r="AY498" s="1053"/>
      <c r="AZ498" s="1051"/>
      <c r="BA498" s="1051"/>
      <c r="BB498" s="1053"/>
      <c r="BC498" s="1051"/>
      <c r="BD498" s="1051"/>
      <c r="BE498" s="1053"/>
      <c r="BF498" s="1051"/>
      <c r="BG498" s="1051"/>
      <c r="BH498" s="1053"/>
      <c r="BI498" s="1052"/>
      <c r="BJ498" s="1052"/>
      <c r="BK498" s="1052"/>
      <c r="BL498" s="1052"/>
      <c r="BM498" s="1052"/>
      <c r="BN498" s="1054"/>
      <c r="BO498" s="1076">
        <f t="shared" si="18"/>
        <v>0</v>
      </c>
      <c r="BP498" s="1051"/>
      <c r="BQ498" s="1052"/>
      <c r="BR498" s="1054"/>
      <c r="BS498" s="1053"/>
      <c r="BT498" s="1051"/>
      <c r="BU498" s="1051"/>
      <c r="BV498" s="1051"/>
      <c r="BW498" s="1052"/>
      <c r="BX498" s="1052"/>
      <c r="BY498" s="1052"/>
      <c r="BZ498" s="1052"/>
      <c r="CA498" s="1052"/>
      <c r="CB498" s="1053"/>
      <c r="CC498" s="1053"/>
      <c r="CD498" s="1053"/>
      <c r="CE498" s="1053"/>
      <c r="CF498" s="1053"/>
      <c r="CG498" s="1053"/>
      <c r="CH498" s="1053"/>
      <c r="CI498" s="1123"/>
      <c r="CJ498" s="1123"/>
      <c r="CK498" s="1123"/>
      <c r="CL498" s="1123"/>
      <c r="CM498" s="1123"/>
      <c r="CN498" s="1123"/>
      <c r="CO498" s="1123"/>
      <c r="CP498" s="1123"/>
      <c r="CQ498" s="1123"/>
      <c r="CR498" s="1123"/>
      <c r="CS498" s="1123"/>
      <c r="CT498" s="1123"/>
      <c r="CU498" s="1123"/>
      <c r="CV498" s="1123"/>
      <c r="CW498" s="1123"/>
      <c r="CX498" s="1123"/>
      <c r="CY498" s="1123"/>
      <c r="CZ498" s="1114"/>
      <c r="DA498" s="1114"/>
      <c r="DB498" s="1114"/>
      <c r="DC498" s="1114"/>
      <c r="DD498" s="1114"/>
      <c r="DE498" s="1114"/>
      <c r="DF498" s="1114"/>
      <c r="DG498" s="1114"/>
      <c r="DH498" s="1114"/>
      <c r="DI498" s="1114"/>
      <c r="DJ498" s="1114"/>
      <c r="DK498" s="1114"/>
      <c r="DL498" s="1114"/>
      <c r="DM498" s="1114"/>
      <c r="DN498" s="1114"/>
      <c r="DO498" s="1114"/>
      <c r="DP498" s="1114"/>
      <c r="DQ498" s="1114"/>
      <c r="DR498" s="1114"/>
      <c r="DS498" s="1114"/>
      <c r="DT498" s="1114"/>
      <c r="DU498" s="1114"/>
      <c r="DV498" s="1115"/>
      <c r="DW498" s="1116"/>
      <c r="DX498" s="1116"/>
      <c r="DY498" s="1116"/>
      <c r="DZ498" s="1116"/>
      <c r="EA498" s="1116"/>
      <c r="EB498" s="1116"/>
      <c r="EC498" s="1116"/>
      <c r="ED498" s="1116"/>
      <c r="EE498" s="1116"/>
      <c r="EF498" s="1116"/>
      <c r="EG498" s="1116"/>
      <c r="EH498" s="1116"/>
      <c r="EI498" s="1116"/>
      <c r="EJ498" s="1116"/>
      <c r="EK498" s="1116"/>
      <c r="EL498" s="1116"/>
      <c r="EM498" s="1116"/>
      <c r="EN498" s="1116"/>
      <c r="EO498" s="1116"/>
      <c r="EP498" s="1116"/>
      <c r="EQ498" s="1116"/>
      <c r="ER498" s="1116"/>
      <c r="ES498" s="1116"/>
    </row>
    <row r="499" spans="1:149" ht="15" customHeight="1">
      <c r="A499" s="1185">
        <v>484</v>
      </c>
      <c r="B499" s="1041"/>
      <c r="C499" s="1050"/>
      <c r="D499" s="1050"/>
      <c r="E499" s="1050"/>
      <c r="F499" s="1049"/>
      <c r="G499" s="1457"/>
      <c r="H499" s="1049"/>
      <c r="I499" s="1049"/>
      <c r="J499" s="1050"/>
      <c r="K499" s="1050"/>
      <c r="L499" s="1043"/>
      <c r="M499" s="1051"/>
      <c r="N499" s="1051"/>
      <c r="O499" s="1052"/>
      <c r="P499" s="1051"/>
      <c r="Q499" s="1051"/>
      <c r="R499" s="1052"/>
      <c r="S499" s="1051"/>
      <c r="T499" s="1051"/>
      <c r="U499" s="1052"/>
      <c r="V499" s="1051"/>
      <c r="W499" s="1051"/>
      <c r="X499" s="1052"/>
      <c r="Y499" s="1053"/>
      <c r="Z499" s="1051"/>
      <c r="AA499" s="1051"/>
      <c r="AB499" s="1052"/>
      <c r="AC499" s="1051"/>
      <c r="AD499" s="1051"/>
      <c r="AE499" s="1052"/>
      <c r="AF499" s="1051"/>
      <c r="AG499" s="1051"/>
      <c r="AH499" s="1051"/>
      <c r="AI499" s="1051"/>
      <c r="AJ499" s="1052"/>
      <c r="AK499" s="1051"/>
      <c r="AL499" s="1051"/>
      <c r="AM499" s="1052"/>
      <c r="AN499" s="1051"/>
      <c r="AO499" s="1051"/>
      <c r="AP499" s="1052"/>
      <c r="AQ499" s="1051"/>
      <c r="AR499" s="1051"/>
      <c r="AS499" s="1052"/>
      <c r="AT499" s="1051"/>
      <c r="AU499" s="1051"/>
      <c r="AV499" s="1052"/>
      <c r="AW499" s="1051"/>
      <c r="AX499" s="1051"/>
      <c r="AY499" s="1053"/>
      <c r="AZ499" s="1051"/>
      <c r="BA499" s="1051"/>
      <c r="BB499" s="1053"/>
      <c r="BC499" s="1051"/>
      <c r="BD499" s="1051"/>
      <c r="BE499" s="1053"/>
      <c r="BF499" s="1051"/>
      <c r="BG499" s="1051"/>
      <c r="BH499" s="1053"/>
      <c r="BI499" s="1052"/>
      <c r="BJ499" s="1052"/>
      <c r="BK499" s="1052"/>
      <c r="BL499" s="1052"/>
      <c r="BM499" s="1052"/>
      <c r="BN499" s="1054"/>
      <c r="BO499" s="1076">
        <f t="shared" si="18"/>
        <v>0</v>
      </c>
      <c r="BP499" s="1051"/>
      <c r="BQ499" s="1052"/>
      <c r="BR499" s="1054"/>
      <c r="BS499" s="1053"/>
      <c r="BT499" s="1051"/>
      <c r="BU499" s="1051"/>
      <c r="BV499" s="1051"/>
      <c r="BW499" s="1052"/>
      <c r="BX499" s="1052"/>
      <c r="BY499" s="1052"/>
      <c r="BZ499" s="1052"/>
      <c r="CA499" s="1052"/>
      <c r="CB499" s="1053"/>
      <c r="CC499" s="1053"/>
      <c r="CD499" s="1053"/>
      <c r="CE499" s="1053"/>
      <c r="CF499" s="1053"/>
      <c r="CG499" s="1053"/>
      <c r="CH499" s="1053"/>
      <c r="CI499" s="1123"/>
      <c r="CJ499" s="1123"/>
      <c r="CK499" s="1123"/>
      <c r="CL499" s="1123"/>
      <c r="CM499" s="1123"/>
      <c r="CN499" s="1123"/>
      <c r="CO499" s="1123"/>
      <c r="CP499" s="1123"/>
      <c r="CQ499" s="1123"/>
      <c r="CR499" s="1123"/>
      <c r="CS499" s="1123"/>
      <c r="CT499" s="1123"/>
      <c r="CU499" s="1123"/>
      <c r="CV499" s="1123"/>
      <c r="CW499" s="1123"/>
      <c r="CX499" s="1123"/>
      <c r="CY499" s="1123"/>
      <c r="CZ499" s="1114"/>
      <c r="DA499" s="1114"/>
      <c r="DB499" s="1114"/>
      <c r="DC499" s="1114"/>
      <c r="DD499" s="1114"/>
      <c r="DE499" s="1114"/>
      <c r="DF499" s="1114"/>
      <c r="DG499" s="1114"/>
      <c r="DH499" s="1114"/>
      <c r="DI499" s="1114"/>
      <c r="DJ499" s="1114"/>
      <c r="DK499" s="1114"/>
      <c r="DL499" s="1114"/>
      <c r="DM499" s="1114"/>
      <c r="DN499" s="1114"/>
      <c r="DO499" s="1114"/>
      <c r="DP499" s="1114"/>
      <c r="DQ499" s="1114"/>
      <c r="DR499" s="1114"/>
      <c r="DS499" s="1114"/>
      <c r="DT499" s="1114"/>
      <c r="DU499" s="1114"/>
      <c r="DV499" s="1115"/>
      <c r="DW499" s="1116"/>
      <c r="DX499" s="1116"/>
      <c r="DY499" s="1116"/>
      <c r="DZ499" s="1116"/>
      <c r="EA499" s="1116"/>
      <c r="EB499" s="1116"/>
      <c r="EC499" s="1116"/>
      <c r="ED499" s="1116"/>
      <c r="EE499" s="1116"/>
      <c r="EF499" s="1116"/>
      <c r="EG499" s="1116"/>
      <c r="EH499" s="1116"/>
      <c r="EI499" s="1116"/>
      <c r="EJ499" s="1116"/>
      <c r="EK499" s="1116"/>
      <c r="EL499" s="1116"/>
      <c r="EM499" s="1116"/>
      <c r="EN499" s="1116"/>
      <c r="EO499" s="1116"/>
      <c r="EP499" s="1116"/>
      <c r="EQ499" s="1116"/>
      <c r="ER499" s="1116"/>
      <c r="ES499" s="1116"/>
    </row>
    <row r="500" spans="1:149" ht="15" customHeight="1">
      <c r="A500" s="1185">
        <v>485</v>
      </c>
      <c r="B500" s="1041"/>
      <c r="C500" s="1050"/>
      <c r="D500" s="1050"/>
      <c r="E500" s="1050"/>
      <c r="F500" s="1049"/>
      <c r="G500" s="1457"/>
      <c r="H500" s="1049"/>
      <c r="I500" s="1049"/>
      <c r="J500" s="1050"/>
      <c r="K500" s="1050"/>
      <c r="L500" s="1043"/>
      <c r="M500" s="1051"/>
      <c r="N500" s="1051"/>
      <c r="O500" s="1052"/>
      <c r="P500" s="1051"/>
      <c r="Q500" s="1051"/>
      <c r="R500" s="1052"/>
      <c r="S500" s="1051"/>
      <c r="T500" s="1051"/>
      <c r="U500" s="1052"/>
      <c r="V500" s="1051"/>
      <c r="W500" s="1051"/>
      <c r="X500" s="1052"/>
      <c r="Y500" s="1053"/>
      <c r="Z500" s="1051"/>
      <c r="AA500" s="1051"/>
      <c r="AB500" s="1052"/>
      <c r="AC500" s="1051"/>
      <c r="AD500" s="1051"/>
      <c r="AE500" s="1052"/>
      <c r="AF500" s="1051"/>
      <c r="AG500" s="1051"/>
      <c r="AH500" s="1051"/>
      <c r="AI500" s="1051"/>
      <c r="AJ500" s="1052"/>
      <c r="AK500" s="1051"/>
      <c r="AL500" s="1051"/>
      <c r="AM500" s="1052"/>
      <c r="AN500" s="1051"/>
      <c r="AO500" s="1051"/>
      <c r="AP500" s="1052"/>
      <c r="AQ500" s="1051"/>
      <c r="AR500" s="1051"/>
      <c r="AS500" s="1052"/>
      <c r="AT500" s="1051"/>
      <c r="AU500" s="1051"/>
      <c r="AV500" s="1052"/>
      <c r="AW500" s="1051"/>
      <c r="AX500" s="1051"/>
      <c r="AY500" s="1053"/>
      <c r="AZ500" s="1051"/>
      <c r="BA500" s="1051"/>
      <c r="BB500" s="1053"/>
      <c r="BC500" s="1051"/>
      <c r="BD500" s="1051"/>
      <c r="BE500" s="1053"/>
      <c r="BF500" s="1051"/>
      <c r="BG500" s="1051"/>
      <c r="BH500" s="1053"/>
      <c r="BI500" s="1052"/>
      <c r="BJ500" s="1052"/>
      <c r="BK500" s="1052"/>
      <c r="BL500" s="1052"/>
      <c r="BM500" s="1052"/>
      <c r="BN500" s="1054"/>
      <c r="BO500" s="1076">
        <f t="shared" si="18"/>
        <v>0</v>
      </c>
      <c r="BP500" s="1051"/>
      <c r="BQ500" s="1052"/>
      <c r="BR500" s="1054"/>
      <c r="BS500" s="1053"/>
      <c r="BT500" s="1051"/>
      <c r="BU500" s="1051"/>
      <c r="BV500" s="1051"/>
      <c r="BW500" s="1052"/>
      <c r="BX500" s="1052"/>
      <c r="BY500" s="1052"/>
      <c r="BZ500" s="1052"/>
      <c r="CA500" s="1052"/>
      <c r="CB500" s="1053"/>
      <c r="CC500" s="1053"/>
      <c r="CD500" s="1053"/>
      <c r="CE500" s="1053"/>
      <c r="CF500" s="1053"/>
      <c r="CG500" s="1053"/>
      <c r="CH500" s="1053"/>
      <c r="CI500" s="1123"/>
      <c r="CJ500" s="1123"/>
      <c r="CK500" s="1123"/>
      <c r="CL500" s="1123"/>
      <c r="CM500" s="1123"/>
      <c r="CN500" s="1123"/>
      <c r="CO500" s="1123"/>
      <c r="CP500" s="1123"/>
      <c r="CQ500" s="1123"/>
      <c r="CR500" s="1123"/>
      <c r="CS500" s="1123"/>
      <c r="CT500" s="1123"/>
      <c r="CU500" s="1123"/>
      <c r="CV500" s="1123"/>
      <c r="CW500" s="1123"/>
      <c r="CX500" s="1123"/>
      <c r="CY500" s="1123"/>
      <c r="CZ500" s="1114"/>
      <c r="DA500" s="1114"/>
      <c r="DB500" s="1114"/>
      <c r="DC500" s="1114"/>
      <c r="DD500" s="1114"/>
      <c r="DE500" s="1114"/>
      <c r="DF500" s="1114"/>
      <c r="DG500" s="1114"/>
      <c r="DH500" s="1114"/>
      <c r="DI500" s="1114"/>
      <c r="DJ500" s="1114"/>
      <c r="DK500" s="1114"/>
      <c r="DL500" s="1114"/>
      <c r="DM500" s="1114"/>
      <c r="DN500" s="1114"/>
      <c r="DO500" s="1114"/>
      <c r="DP500" s="1114"/>
      <c r="DQ500" s="1114"/>
      <c r="DR500" s="1114"/>
      <c r="DS500" s="1114"/>
      <c r="DT500" s="1114"/>
      <c r="DU500" s="1114"/>
      <c r="DV500" s="1115"/>
      <c r="DW500" s="1116"/>
      <c r="DX500" s="1116"/>
      <c r="DY500" s="1116"/>
      <c r="DZ500" s="1116"/>
      <c r="EA500" s="1116"/>
      <c r="EB500" s="1116"/>
      <c r="EC500" s="1116"/>
      <c r="ED500" s="1116"/>
      <c r="EE500" s="1116"/>
      <c r="EF500" s="1116"/>
      <c r="EG500" s="1116"/>
      <c r="EH500" s="1116"/>
      <c r="EI500" s="1116"/>
      <c r="EJ500" s="1116"/>
      <c r="EK500" s="1116"/>
      <c r="EL500" s="1116"/>
      <c r="EM500" s="1116"/>
      <c r="EN500" s="1116"/>
      <c r="EO500" s="1116"/>
      <c r="EP500" s="1116"/>
      <c r="EQ500" s="1116"/>
      <c r="ER500" s="1116"/>
      <c r="ES500" s="1116"/>
    </row>
    <row r="501" spans="1:149" ht="15" customHeight="1">
      <c r="A501" s="1185">
        <v>486</v>
      </c>
      <c r="B501" s="1041"/>
      <c r="C501" s="1050"/>
      <c r="D501" s="1050"/>
      <c r="E501" s="1050"/>
      <c r="F501" s="1049"/>
      <c r="G501" s="1457"/>
      <c r="H501" s="1049"/>
      <c r="I501" s="1049"/>
      <c r="J501" s="1050"/>
      <c r="K501" s="1050"/>
      <c r="L501" s="1043"/>
      <c r="M501" s="1051"/>
      <c r="N501" s="1051"/>
      <c r="O501" s="1052"/>
      <c r="P501" s="1051"/>
      <c r="Q501" s="1051"/>
      <c r="R501" s="1052"/>
      <c r="S501" s="1051"/>
      <c r="T501" s="1051"/>
      <c r="U501" s="1052"/>
      <c r="V501" s="1051"/>
      <c r="W501" s="1051"/>
      <c r="X501" s="1052"/>
      <c r="Y501" s="1053"/>
      <c r="Z501" s="1051"/>
      <c r="AA501" s="1051"/>
      <c r="AB501" s="1052"/>
      <c r="AC501" s="1051"/>
      <c r="AD501" s="1051"/>
      <c r="AE501" s="1052"/>
      <c r="AF501" s="1051"/>
      <c r="AG501" s="1051"/>
      <c r="AH501" s="1051"/>
      <c r="AI501" s="1051"/>
      <c r="AJ501" s="1052"/>
      <c r="AK501" s="1051"/>
      <c r="AL501" s="1051"/>
      <c r="AM501" s="1052"/>
      <c r="AN501" s="1051"/>
      <c r="AO501" s="1051"/>
      <c r="AP501" s="1052"/>
      <c r="AQ501" s="1051"/>
      <c r="AR501" s="1051"/>
      <c r="AS501" s="1052"/>
      <c r="AT501" s="1051"/>
      <c r="AU501" s="1051"/>
      <c r="AV501" s="1052"/>
      <c r="AW501" s="1051"/>
      <c r="AX501" s="1051"/>
      <c r="AY501" s="1053"/>
      <c r="AZ501" s="1051"/>
      <c r="BA501" s="1051"/>
      <c r="BB501" s="1053"/>
      <c r="BC501" s="1051"/>
      <c r="BD501" s="1051"/>
      <c r="BE501" s="1053"/>
      <c r="BF501" s="1051"/>
      <c r="BG501" s="1051"/>
      <c r="BH501" s="1053"/>
      <c r="BI501" s="1052"/>
      <c r="BJ501" s="1052"/>
      <c r="BK501" s="1052"/>
      <c r="BL501" s="1052"/>
      <c r="BM501" s="1052"/>
      <c r="BN501" s="1054"/>
      <c r="BO501" s="1076">
        <f t="shared" si="18"/>
        <v>0</v>
      </c>
      <c r="BP501" s="1051"/>
      <c r="BQ501" s="1052"/>
      <c r="BR501" s="1054"/>
      <c r="BS501" s="1053"/>
      <c r="BT501" s="1051"/>
      <c r="BU501" s="1051"/>
      <c r="BV501" s="1051"/>
      <c r="BW501" s="1052"/>
      <c r="BX501" s="1052"/>
      <c r="BY501" s="1052"/>
      <c r="BZ501" s="1052"/>
      <c r="CA501" s="1052"/>
      <c r="CB501" s="1053"/>
      <c r="CC501" s="1053"/>
      <c r="CD501" s="1053"/>
      <c r="CE501" s="1053"/>
      <c r="CF501" s="1053"/>
      <c r="CG501" s="1053"/>
      <c r="CH501" s="1053"/>
      <c r="CI501" s="1123"/>
      <c r="CJ501" s="1123"/>
      <c r="CK501" s="1123"/>
      <c r="CL501" s="1123"/>
      <c r="CM501" s="1123"/>
      <c r="CN501" s="1123"/>
      <c r="CO501" s="1123"/>
      <c r="CP501" s="1123"/>
      <c r="CQ501" s="1123"/>
      <c r="CR501" s="1123"/>
      <c r="CS501" s="1123"/>
      <c r="CT501" s="1123"/>
      <c r="CU501" s="1123"/>
      <c r="CV501" s="1123"/>
      <c r="CW501" s="1123"/>
      <c r="CX501" s="1123"/>
      <c r="CY501" s="1123"/>
      <c r="CZ501" s="1114"/>
      <c r="DA501" s="1114"/>
      <c r="DB501" s="1114"/>
      <c r="DC501" s="1114"/>
      <c r="DD501" s="1114"/>
      <c r="DE501" s="1114"/>
      <c r="DF501" s="1114"/>
      <c r="DG501" s="1114"/>
      <c r="DH501" s="1114"/>
      <c r="DI501" s="1114"/>
      <c r="DJ501" s="1114"/>
      <c r="DK501" s="1114"/>
      <c r="DL501" s="1114"/>
      <c r="DM501" s="1114"/>
      <c r="DN501" s="1114"/>
      <c r="DO501" s="1114"/>
      <c r="DP501" s="1114"/>
      <c r="DQ501" s="1114"/>
      <c r="DR501" s="1114"/>
      <c r="DS501" s="1114"/>
      <c r="DT501" s="1114"/>
      <c r="DU501" s="1114"/>
      <c r="DV501" s="1115"/>
      <c r="DW501" s="1116"/>
      <c r="DX501" s="1116"/>
      <c r="DY501" s="1116"/>
      <c r="DZ501" s="1116"/>
      <c r="EA501" s="1116"/>
      <c r="EB501" s="1116"/>
      <c r="EC501" s="1116"/>
      <c r="ED501" s="1116"/>
      <c r="EE501" s="1116"/>
      <c r="EF501" s="1116"/>
      <c r="EG501" s="1116"/>
      <c r="EH501" s="1116"/>
      <c r="EI501" s="1116"/>
      <c r="EJ501" s="1116"/>
      <c r="EK501" s="1116"/>
      <c r="EL501" s="1116"/>
      <c r="EM501" s="1116"/>
      <c r="EN501" s="1116"/>
      <c r="EO501" s="1116"/>
      <c r="EP501" s="1116"/>
      <c r="EQ501" s="1116"/>
      <c r="ER501" s="1116"/>
      <c r="ES501" s="1116"/>
    </row>
    <row r="502" spans="1:149" ht="15" customHeight="1">
      <c r="A502" s="1185">
        <v>487</v>
      </c>
      <c r="B502" s="1041"/>
      <c r="C502" s="1050"/>
      <c r="D502" s="1050"/>
      <c r="E502" s="1050"/>
      <c r="F502" s="1049"/>
      <c r="G502" s="1457"/>
      <c r="H502" s="1049"/>
      <c r="I502" s="1049"/>
      <c r="J502" s="1050"/>
      <c r="K502" s="1050"/>
      <c r="L502" s="1043"/>
      <c r="M502" s="1051"/>
      <c r="N502" s="1051"/>
      <c r="O502" s="1052"/>
      <c r="P502" s="1051"/>
      <c r="Q502" s="1051"/>
      <c r="R502" s="1052"/>
      <c r="S502" s="1051"/>
      <c r="T502" s="1051"/>
      <c r="U502" s="1052"/>
      <c r="V502" s="1051"/>
      <c r="W502" s="1051"/>
      <c r="X502" s="1052"/>
      <c r="Y502" s="1053"/>
      <c r="Z502" s="1051"/>
      <c r="AA502" s="1051"/>
      <c r="AB502" s="1052"/>
      <c r="AC502" s="1051"/>
      <c r="AD502" s="1051"/>
      <c r="AE502" s="1052"/>
      <c r="AF502" s="1051"/>
      <c r="AG502" s="1051"/>
      <c r="AH502" s="1051"/>
      <c r="AI502" s="1051"/>
      <c r="AJ502" s="1052"/>
      <c r="AK502" s="1051"/>
      <c r="AL502" s="1051"/>
      <c r="AM502" s="1052"/>
      <c r="AN502" s="1051"/>
      <c r="AO502" s="1051"/>
      <c r="AP502" s="1052"/>
      <c r="AQ502" s="1051"/>
      <c r="AR502" s="1051"/>
      <c r="AS502" s="1052"/>
      <c r="AT502" s="1051"/>
      <c r="AU502" s="1051"/>
      <c r="AV502" s="1052"/>
      <c r="AW502" s="1051"/>
      <c r="AX502" s="1051"/>
      <c r="AY502" s="1053"/>
      <c r="AZ502" s="1051"/>
      <c r="BA502" s="1051"/>
      <c r="BB502" s="1053"/>
      <c r="BC502" s="1051"/>
      <c r="BD502" s="1051"/>
      <c r="BE502" s="1053"/>
      <c r="BF502" s="1051"/>
      <c r="BG502" s="1051"/>
      <c r="BH502" s="1053"/>
      <c r="BI502" s="1052"/>
      <c r="BJ502" s="1052"/>
      <c r="BK502" s="1052"/>
      <c r="BL502" s="1052"/>
      <c r="BM502" s="1052"/>
      <c r="BN502" s="1054"/>
      <c r="BO502" s="1076">
        <f t="shared" si="18"/>
        <v>0</v>
      </c>
      <c r="BP502" s="1051"/>
      <c r="BQ502" s="1052"/>
      <c r="BR502" s="1054"/>
      <c r="BS502" s="1053"/>
      <c r="BT502" s="1051"/>
      <c r="BU502" s="1051"/>
      <c r="BV502" s="1051"/>
      <c r="BW502" s="1052"/>
      <c r="BX502" s="1052"/>
      <c r="BY502" s="1052"/>
      <c r="BZ502" s="1052"/>
      <c r="CA502" s="1052"/>
      <c r="CB502" s="1053"/>
      <c r="CC502" s="1053"/>
      <c r="CD502" s="1053"/>
      <c r="CE502" s="1053"/>
      <c r="CF502" s="1053"/>
      <c r="CG502" s="1053"/>
      <c r="CH502" s="1053"/>
      <c r="CI502" s="1123"/>
      <c r="CJ502" s="1123"/>
      <c r="CK502" s="1123"/>
      <c r="CL502" s="1123"/>
      <c r="CM502" s="1123"/>
      <c r="CN502" s="1123"/>
      <c r="CO502" s="1123"/>
      <c r="CP502" s="1123"/>
      <c r="CQ502" s="1123"/>
      <c r="CR502" s="1123"/>
      <c r="CS502" s="1123"/>
      <c r="CT502" s="1123"/>
      <c r="CU502" s="1123"/>
      <c r="CV502" s="1123"/>
      <c r="CW502" s="1123"/>
      <c r="CX502" s="1123"/>
      <c r="CY502" s="1123"/>
      <c r="CZ502" s="1114"/>
      <c r="DA502" s="1114"/>
      <c r="DB502" s="1114"/>
      <c r="DC502" s="1114"/>
      <c r="DD502" s="1114"/>
      <c r="DE502" s="1114"/>
      <c r="DF502" s="1114"/>
      <c r="DG502" s="1114"/>
      <c r="DH502" s="1114"/>
      <c r="DI502" s="1114"/>
      <c r="DJ502" s="1114"/>
      <c r="DK502" s="1114"/>
      <c r="DL502" s="1114"/>
      <c r="DM502" s="1114"/>
      <c r="DN502" s="1114"/>
      <c r="DO502" s="1114"/>
      <c r="DP502" s="1114"/>
      <c r="DQ502" s="1114"/>
      <c r="DR502" s="1114"/>
      <c r="DS502" s="1114"/>
      <c r="DT502" s="1114"/>
      <c r="DU502" s="1114"/>
      <c r="DV502" s="1115"/>
      <c r="DW502" s="1116"/>
      <c r="DX502" s="1116"/>
      <c r="DY502" s="1116"/>
      <c r="DZ502" s="1116"/>
      <c r="EA502" s="1116"/>
      <c r="EB502" s="1116"/>
      <c r="EC502" s="1116"/>
      <c r="ED502" s="1116"/>
      <c r="EE502" s="1116"/>
      <c r="EF502" s="1116"/>
      <c r="EG502" s="1116"/>
      <c r="EH502" s="1116"/>
      <c r="EI502" s="1116"/>
      <c r="EJ502" s="1116"/>
      <c r="EK502" s="1116"/>
      <c r="EL502" s="1116"/>
      <c r="EM502" s="1116"/>
      <c r="EN502" s="1116"/>
      <c r="EO502" s="1116"/>
      <c r="EP502" s="1116"/>
      <c r="EQ502" s="1116"/>
      <c r="ER502" s="1116"/>
      <c r="ES502" s="1116"/>
    </row>
    <row r="503" spans="1:149" ht="15" customHeight="1">
      <c r="A503" s="1185">
        <v>488</v>
      </c>
      <c r="B503" s="1041"/>
      <c r="C503" s="1050"/>
      <c r="D503" s="1050"/>
      <c r="E503" s="1050"/>
      <c r="F503" s="1049"/>
      <c r="G503" s="1457"/>
      <c r="H503" s="1049"/>
      <c r="I503" s="1049"/>
      <c r="J503" s="1050"/>
      <c r="K503" s="1050"/>
      <c r="L503" s="1043"/>
      <c r="M503" s="1051"/>
      <c r="N503" s="1051"/>
      <c r="O503" s="1052"/>
      <c r="P503" s="1051"/>
      <c r="Q503" s="1051"/>
      <c r="R503" s="1052"/>
      <c r="S503" s="1051"/>
      <c r="T503" s="1051"/>
      <c r="U503" s="1052"/>
      <c r="V503" s="1051"/>
      <c r="W503" s="1051"/>
      <c r="X503" s="1052"/>
      <c r="Y503" s="1053"/>
      <c r="Z503" s="1051"/>
      <c r="AA503" s="1051"/>
      <c r="AB503" s="1052"/>
      <c r="AC503" s="1051"/>
      <c r="AD503" s="1051"/>
      <c r="AE503" s="1052"/>
      <c r="AF503" s="1051"/>
      <c r="AG503" s="1051"/>
      <c r="AH503" s="1051"/>
      <c r="AI503" s="1051"/>
      <c r="AJ503" s="1052"/>
      <c r="AK503" s="1051"/>
      <c r="AL503" s="1051"/>
      <c r="AM503" s="1052"/>
      <c r="AN503" s="1051"/>
      <c r="AO503" s="1051"/>
      <c r="AP503" s="1052"/>
      <c r="AQ503" s="1051"/>
      <c r="AR503" s="1051"/>
      <c r="AS503" s="1052"/>
      <c r="AT503" s="1051"/>
      <c r="AU503" s="1051"/>
      <c r="AV503" s="1052"/>
      <c r="AW503" s="1051"/>
      <c r="AX503" s="1051"/>
      <c r="AY503" s="1053"/>
      <c r="AZ503" s="1051"/>
      <c r="BA503" s="1051"/>
      <c r="BB503" s="1053"/>
      <c r="BC503" s="1051"/>
      <c r="BD503" s="1051"/>
      <c r="BE503" s="1053"/>
      <c r="BF503" s="1051"/>
      <c r="BG503" s="1051"/>
      <c r="BH503" s="1053"/>
      <c r="BI503" s="1052"/>
      <c r="BJ503" s="1052"/>
      <c r="BK503" s="1052"/>
      <c r="BL503" s="1052"/>
      <c r="BM503" s="1052"/>
      <c r="BN503" s="1054"/>
      <c r="BO503" s="1076">
        <f t="shared" si="18"/>
        <v>0</v>
      </c>
      <c r="BP503" s="1051"/>
      <c r="BQ503" s="1052"/>
      <c r="BR503" s="1054"/>
      <c r="BS503" s="1053"/>
      <c r="BT503" s="1051"/>
      <c r="BU503" s="1051"/>
      <c r="BV503" s="1051"/>
      <c r="BW503" s="1052"/>
      <c r="BX503" s="1052"/>
      <c r="BY503" s="1052"/>
      <c r="BZ503" s="1052"/>
      <c r="CA503" s="1052"/>
      <c r="CB503" s="1053"/>
      <c r="CC503" s="1053"/>
      <c r="CD503" s="1053"/>
      <c r="CE503" s="1053"/>
      <c r="CF503" s="1053"/>
      <c r="CG503" s="1053"/>
      <c r="CH503" s="1053"/>
      <c r="CI503" s="1123"/>
      <c r="CJ503" s="1123"/>
      <c r="CK503" s="1123"/>
      <c r="CL503" s="1123"/>
      <c r="CM503" s="1123"/>
      <c r="CN503" s="1123"/>
      <c r="CO503" s="1123"/>
      <c r="CP503" s="1123"/>
      <c r="CQ503" s="1123"/>
      <c r="CR503" s="1123"/>
      <c r="CS503" s="1123"/>
      <c r="CT503" s="1123"/>
      <c r="CU503" s="1123"/>
      <c r="CV503" s="1123"/>
      <c r="CW503" s="1123"/>
      <c r="CX503" s="1123"/>
      <c r="CY503" s="1123"/>
      <c r="CZ503" s="1114"/>
      <c r="DA503" s="1114"/>
      <c r="DB503" s="1114"/>
      <c r="DC503" s="1114"/>
      <c r="DD503" s="1114"/>
      <c r="DE503" s="1114"/>
      <c r="DF503" s="1114"/>
      <c r="DG503" s="1114"/>
      <c r="DH503" s="1114"/>
      <c r="DI503" s="1114"/>
      <c r="DJ503" s="1114"/>
      <c r="DK503" s="1114"/>
      <c r="DL503" s="1114"/>
      <c r="DM503" s="1114"/>
      <c r="DN503" s="1114"/>
      <c r="DO503" s="1114"/>
      <c r="DP503" s="1114"/>
      <c r="DQ503" s="1114"/>
      <c r="DR503" s="1114"/>
      <c r="DS503" s="1114"/>
      <c r="DT503" s="1114"/>
      <c r="DU503" s="1114"/>
      <c r="DV503" s="1115"/>
      <c r="DW503" s="1116"/>
      <c r="DX503" s="1116"/>
      <c r="DY503" s="1116"/>
      <c r="DZ503" s="1116"/>
      <c r="EA503" s="1116"/>
      <c r="EB503" s="1116"/>
      <c r="EC503" s="1116"/>
      <c r="ED503" s="1116"/>
      <c r="EE503" s="1116"/>
      <c r="EF503" s="1116"/>
      <c r="EG503" s="1116"/>
      <c r="EH503" s="1116"/>
      <c r="EI503" s="1116"/>
      <c r="EJ503" s="1116"/>
      <c r="EK503" s="1116"/>
      <c r="EL503" s="1116"/>
      <c r="EM503" s="1116"/>
      <c r="EN503" s="1116"/>
      <c r="EO503" s="1116"/>
      <c r="EP503" s="1116"/>
      <c r="EQ503" s="1116"/>
      <c r="ER503" s="1116"/>
      <c r="ES503" s="1116"/>
    </row>
    <row r="504" spans="1:149" ht="15" customHeight="1">
      <c r="A504" s="1185">
        <v>489</v>
      </c>
      <c r="B504" s="1041"/>
      <c r="C504" s="1050"/>
      <c r="D504" s="1050"/>
      <c r="E504" s="1050"/>
      <c r="F504" s="1049"/>
      <c r="G504" s="1457"/>
      <c r="H504" s="1049"/>
      <c r="I504" s="1049"/>
      <c r="J504" s="1050"/>
      <c r="K504" s="1050"/>
      <c r="L504" s="1043"/>
      <c r="M504" s="1051"/>
      <c r="N504" s="1051"/>
      <c r="O504" s="1052"/>
      <c r="P504" s="1051"/>
      <c r="Q504" s="1051"/>
      <c r="R504" s="1052"/>
      <c r="S504" s="1051"/>
      <c r="T504" s="1051"/>
      <c r="U504" s="1052"/>
      <c r="V504" s="1051"/>
      <c r="W504" s="1051"/>
      <c r="X504" s="1052"/>
      <c r="Y504" s="1053"/>
      <c r="Z504" s="1051"/>
      <c r="AA504" s="1051"/>
      <c r="AB504" s="1052"/>
      <c r="AC504" s="1051"/>
      <c r="AD504" s="1051"/>
      <c r="AE504" s="1052"/>
      <c r="AF504" s="1051"/>
      <c r="AG504" s="1051"/>
      <c r="AH504" s="1051"/>
      <c r="AI504" s="1051"/>
      <c r="AJ504" s="1052"/>
      <c r="AK504" s="1051"/>
      <c r="AL504" s="1051"/>
      <c r="AM504" s="1052"/>
      <c r="AN504" s="1051"/>
      <c r="AO504" s="1051"/>
      <c r="AP504" s="1052"/>
      <c r="AQ504" s="1051"/>
      <c r="AR504" s="1051"/>
      <c r="AS504" s="1052"/>
      <c r="AT504" s="1051"/>
      <c r="AU504" s="1051"/>
      <c r="AV504" s="1052"/>
      <c r="AW504" s="1051"/>
      <c r="AX504" s="1051"/>
      <c r="AY504" s="1053"/>
      <c r="AZ504" s="1051"/>
      <c r="BA504" s="1051"/>
      <c r="BB504" s="1053"/>
      <c r="BC504" s="1051"/>
      <c r="BD504" s="1051"/>
      <c r="BE504" s="1053"/>
      <c r="BF504" s="1051"/>
      <c r="BG504" s="1051"/>
      <c r="BH504" s="1053"/>
      <c r="BI504" s="1052"/>
      <c r="BJ504" s="1052"/>
      <c r="BK504" s="1052"/>
      <c r="BL504" s="1052"/>
      <c r="BM504" s="1052"/>
      <c r="BN504" s="1054"/>
      <c r="BO504" s="1076">
        <f t="shared" si="18"/>
        <v>0</v>
      </c>
      <c r="BP504" s="1051"/>
      <c r="BQ504" s="1052"/>
      <c r="BR504" s="1054"/>
      <c r="BS504" s="1053"/>
      <c r="BT504" s="1051"/>
      <c r="BU504" s="1051"/>
      <c r="BV504" s="1051"/>
      <c r="BW504" s="1052"/>
      <c r="BX504" s="1052"/>
      <c r="BY504" s="1052"/>
      <c r="BZ504" s="1052"/>
      <c r="CA504" s="1052"/>
      <c r="CB504" s="1053"/>
      <c r="CC504" s="1053"/>
      <c r="CD504" s="1053"/>
      <c r="CE504" s="1053"/>
      <c r="CF504" s="1053"/>
      <c r="CG504" s="1053"/>
      <c r="CH504" s="1053"/>
      <c r="CI504" s="1123"/>
      <c r="CJ504" s="1123"/>
      <c r="CK504" s="1123"/>
      <c r="CL504" s="1123"/>
      <c r="CM504" s="1123"/>
      <c r="CN504" s="1123"/>
      <c r="CO504" s="1123"/>
      <c r="CP504" s="1123"/>
      <c r="CQ504" s="1123"/>
      <c r="CR504" s="1123"/>
      <c r="CS504" s="1123"/>
      <c r="CT504" s="1123"/>
      <c r="CU504" s="1123"/>
      <c r="CV504" s="1123"/>
      <c r="CW504" s="1123"/>
      <c r="CX504" s="1123"/>
      <c r="CY504" s="1123"/>
      <c r="CZ504" s="1114"/>
      <c r="DA504" s="1114"/>
      <c r="DB504" s="1114"/>
      <c r="DC504" s="1114"/>
      <c r="DD504" s="1114"/>
      <c r="DE504" s="1114"/>
      <c r="DF504" s="1114"/>
      <c r="DG504" s="1114"/>
      <c r="DH504" s="1114"/>
      <c r="DI504" s="1114"/>
      <c r="DJ504" s="1114"/>
      <c r="DK504" s="1114"/>
      <c r="DL504" s="1114"/>
      <c r="DM504" s="1114"/>
      <c r="DN504" s="1114"/>
      <c r="DO504" s="1114"/>
      <c r="DP504" s="1114"/>
      <c r="DQ504" s="1114"/>
      <c r="DR504" s="1114"/>
      <c r="DS504" s="1114"/>
      <c r="DT504" s="1114"/>
      <c r="DU504" s="1114"/>
      <c r="DV504" s="1115"/>
      <c r="DW504" s="1116"/>
      <c r="DX504" s="1116"/>
      <c r="DY504" s="1116"/>
      <c r="DZ504" s="1116"/>
      <c r="EA504" s="1116"/>
      <c r="EB504" s="1116"/>
      <c r="EC504" s="1116"/>
      <c r="ED504" s="1116"/>
      <c r="EE504" s="1116"/>
      <c r="EF504" s="1116"/>
      <c r="EG504" s="1116"/>
      <c r="EH504" s="1116"/>
      <c r="EI504" s="1116"/>
      <c r="EJ504" s="1116"/>
      <c r="EK504" s="1116"/>
      <c r="EL504" s="1116"/>
      <c r="EM504" s="1116"/>
      <c r="EN504" s="1116"/>
      <c r="EO504" s="1116"/>
      <c r="EP504" s="1116"/>
      <c r="EQ504" s="1116"/>
      <c r="ER504" s="1116"/>
      <c r="ES504" s="1116"/>
    </row>
    <row r="505" spans="1:149" ht="15" customHeight="1">
      <c r="A505" s="1185">
        <v>490</v>
      </c>
      <c r="B505" s="1041"/>
      <c r="C505" s="1050"/>
      <c r="D505" s="1050"/>
      <c r="E505" s="1050"/>
      <c r="F505" s="1049"/>
      <c r="G505" s="1457"/>
      <c r="H505" s="1049"/>
      <c r="I505" s="1049"/>
      <c r="J505" s="1050"/>
      <c r="K505" s="1050"/>
      <c r="L505" s="1043"/>
      <c r="M505" s="1051"/>
      <c r="N505" s="1051"/>
      <c r="O505" s="1052"/>
      <c r="P505" s="1051"/>
      <c r="Q505" s="1051"/>
      <c r="R505" s="1052"/>
      <c r="S505" s="1051"/>
      <c r="T505" s="1051"/>
      <c r="U505" s="1052"/>
      <c r="V505" s="1051"/>
      <c r="W505" s="1051"/>
      <c r="X505" s="1052"/>
      <c r="Y505" s="1053"/>
      <c r="Z505" s="1051"/>
      <c r="AA505" s="1051"/>
      <c r="AB505" s="1052"/>
      <c r="AC505" s="1051"/>
      <c r="AD505" s="1051"/>
      <c r="AE505" s="1052"/>
      <c r="AF505" s="1051"/>
      <c r="AG505" s="1051"/>
      <c r="AH505" s="1051"/>
      <c r="AI505" s="1051"/>
      <c r="AJ505" s="1052"/>
      <c r="AK505" s="1051"/>
      <c r="AL505" s="1051"/>
      <c r="AM505" s="1052"/>
      <c r="AN505" s="1051"/>
      <c r="AO505" s="1051"/>
      <c r="AP505" s="1052"/>
      <c r="AQ505" s="1051"/>
      <c r="AR505" s="1051"/>
      <c r="AS505" s="1052"/>
      <c r="AT505" s="1051"/>
      <c r="AU505" s="1051"/>
      <c r="AV505" s="1052"/>
      <c r="AW505" s="1051"/>
      <c r="AX505" s="1051"/>
      <c r="AY505" s="1053"/>
      <c r="AZ505" s="1051"/>
      <c r="BA505" s="1051"/>
      <c r="BB505" s="1053"/>
      <c r="BC505" s="1051"/>
      <c r="BD505" s="1051"/>
      <c r="BE505" s="1053"/>
      <c r="BF505" s="1051"/>
      <c r="BG505" s="1051"/>
      <c r="BH505" s="1053"/>
      <c r="BI505" s="1052"/>
      <c r="BJ505" s="1052"/>
      <c r="BK505" s="1052"/>
      <c r="BL505" s="1052"/>
      <c r="BM505" s="1052"/>
      <c r="BN505" s="1054"/>
      <c r="BO505" s="1076">
        <f t="shared" si="18"/>
        <v>0</v>
      </c>
      <c r="BP505" s="1051"/>
      <c r="BQ505" s="1052"/>
      <c r="BR505" s="1054"/>
      <c r="BS505" s="1053"/>
      <c r="BT505" s="1051"/>
      <c r="BU505" s="1051"/>
      <c r="BV505" s="1051"/>
      <c r="BW505" s="1052"/>
      <c r="BX505" s="1052"/>
      <c r="BY505" s="1052"/>
      <c r="BZ505" s="1052"/>
      <c r="CA505" s="1052"/>
      <c r="CB505" s="1053"/>
      <c r="CC505" s="1053"/>
      <c r="CD505" s="1053"/>
      <c r="CE505" s="1053"/>
      <c r="CF505" s="1053"/>
      <c r="CG505" s="1053"/>
      <c r="CH505" s="1053"/>
      <c r="CI505" s="1123"/>
      <c r="CJ505" s="1123"/>
      <c r="CK505" s="1123"/>
      <c r="CL505" s="1123"/>
      <c r="CM505" s="1123"/>
      <c r="CN505" s="1123"/>
      <c r="CO505" s="1123"/>
      <c r="CP505" s="1123"/>
      <c r="CQ505" s="1123"/>
      <c r="CR505" s="1123"/>
      <c r="CS505" s="1123"/>
      <c r="CT505" s="1123"/>
      <c r="CU505" s="1123"/>
      <c r="CV505" s="1123"/>
      <c r="CW505" s="1123"/>
      <c r="CX505" s="1123"/>
      <c r="CY505" s="1123"/>
      <c r="CZ505" s="1114"/>
      <c r="DA505" s="1114"/>
      <c r="DB505" s="1114"/>
      <c r="DC505" s="1114"/>
      <c r="DD505" s="1114"/>
      <c r="DE505" s="1114"/>
      <c r="DF505" s="1114"/>
      <c r="DG505" s="1114"/>
      <c r="DH505" s="1114"/>
      <c r="DI505" s="1114"/>
      <c r="DJ505" s="1114"/>
      <c r="DK505" s="1114"/>
      <c r="DL505" s="1114"/>
      <c r="DM505" s="1114"/>
      <c r="DN505" s="1114"/>
      <c r="DO505" s="1114"/>
      <c r="DP505" s="1114"/>
      <c r="DQ505" s="1114"/>
      <c r="DR505" s="1114"/>
      <c r="DS505" s="1114"/>
      <c r="DT505" s="1114"/>
      <c r="DU505" s="1114"/>
      <c r="DV505" s="1115"/>
      <c r="DW505" s="1116"/>
      <c r="DX505" s="1116"/>
      <c r="DY505" s="1116"/>
      <c r="DZ505" s="1116"/>
      <c r="EA505" s="1116"/>
      <c r="EB505" s="1116"/>
      <c r="EC505" s="1116"/>
      <c r="ED505" s="1116"/>
      <c r="EE505" s="1116"/>
      <c r="EF505" s="1116"/>
      <c r="EG505" s="1116"/>
      <c r="EH505" s="1116"/>
      <c r="EI505" s="1116"/>
      <c r="EJ505" s="1116"/>
      <c r="EK505" s="1116"/>
      <c r="EL505" s="1116"/>
      <c r="EM505" s="1116"/>
      <c r="EN505" s="1116"/>
      <c r="EO505" s="1116"/>
      <c r="EP505" s="1116"/>
      <c r="EQ505" s="1116"/>
      <c r="ER505" s="1116"/>
      <c r="ES505" s="1116"/>
    </row>
    <row r="506" spans="1:149" ht="15" customHeight="1">
      <c r="A506" s="1185">
        <v>491</v>
      </c>
      <c r="B506" s="1041"/>
      <c r="C506" s="1050"/>
      <c r="D506" s="1050"/>
      <c r="E506" s="1050"/>
      <c r="F506" s="1049"/>
      <c r="G506" s="1457"/>
      <c r="H506" s="1049"/>
      <c r="I506" s="1049"/>
      <c r="J506" s="1050"/>
      <c r="K506" s="1050"/>
      <c r="L506" s="1043"/>
      <c r="M506" s="1051"/>
      <c r="N506" s="1051"/>
      <c r="O506" s="1052"/>
      <c r="P506" s="1051"/>
      <c r="Q506" s="1051"/>
      <c r="R506" s="1052"/>
      <c r="S506" s="1051"/>
      <c r="T506" s="1051"/>
      <c r="U506" s="1052"/>
      <c r="V506" s="1051"/>
      <c r="W506" s="1051"/>
      <c r="X506" s="1052"/>
      <c r="Y506" s="1053"/>
      <c r="Z506" s="1051"/>
      <c r="AA506" s="1051"/>
      <c r="AB506" s="1052"/>
      <c r="AC506" s="1051"/>
      <c r="AD506" s="1051"/>
      <c r="AE506" s="1052"/>
      <c r="AF506" s="1051"/>
      <c r="AG506" s="1051"/>
      <c r="AH506" s="1051"/>
      <c r="AI506" s="1051"/>
      <c r="AJ506" s="1052"/>
      <c r="AK506" s="1051"/>
      <c r="AL506" s="1051"/>
      <c r="AM506" s="1052"/>
      <c r="AN506" s="1051"/>
      <c r="AO506" s="1051"/>
      <c r="AP506" s="1052"/>
      <c r="AQ506" s="1051"/>
      <c r="AR506" s="1051"/>
      <c r="AS506" s="1052"/>
      <c r="AT506" s="1051"/>
      <c r="AU506" s="1051"/>
      <c r="AV506" s="1052"/>
      <c r="AW506" s="1051"/>
      <c r="AX506" s="1051"/>
      <c r="AY506" s="1053"/>
      <c r="AZ506" s="1051"/>
      <c r="BA506" s="1051"/>
      <c r="BB506" s="1053"/>
      <c r="BC506" s="1051"/>
      <c r="BD506" s="1051"/>
      <c r="BE506" s="1053"/>
      <c r="BF506" s="1051"/>
      <c r="BG506" s="1051"/>
      <c r="BH506" s="1053"/>
      <c r="BI506" s="1052"/>
      <c r="BJ506" s="1052"/>
      <c r="BK506" s="1052"/>
      <c r="BL506" s="1052"/>
      <c r="BM506" s="1052"/>
      <c r="BN506" s="1054"/>
      <c r="BO506" s="1076">
        <f t="shared" si="18"/>
        <v>0</v>
      </c>
      <c r="BP506" s="1051"/>
      <c r="BQ506" s="1052"/>
      <c r="BR506" s="1054"/>
      <c r="BS506" s="1053"/>
      <c r="BT506" s="1051"/>
      <c r="BU506" s="1051"/>
      <c r="BV506" s="1051"/>
      <c r="BW506" s="1052"/>
      <c r="BX506" s="1052"/>
      <c r="BY506" s="1052"/>
      <c r="BZ506" s="1052"/>
      <c r="CA506" s="1052"/>
      <c r="CB506" s="1053"/>
      <c r="CC506" s="1053"/>
      <c r="CD506" s="1053"/>
      <c r="CE506" s="1053"/>
      <c r="CF506" s="1053"/>
      <c r="CG506" s="1053"/>
      <c r="CH506" s="1053"/>
      <c r="CI506" s="1123"/>
      <c r="CJ506" s="1123"/>
      <c r="CK506" s="1123"/>
      <c r="CL506" s="1123"/>
      <c r="CM506" s="1123"/>
      <c r="CN506" s="1123"/>
      <c r="CO506" s="1123"/>
      <c r="CP506" s="1123"/>
      <c r="CQ506" s="1123"/>
      <c r="CR506" s="1123"/>
      <c r="CS506" s="1123"/>
      <c r="CT506" s="1123"/>
      <c r="CU506" s="1123"/>
      <c r="CV506" s="1123"/>
      <c r="CW506" s="1123"/>
      <c r="CX506" s="1123"/>
      <c r="CY506" s="1123"/>
      <c r="CZ506" s="1114"/>
      <c r="DA506" s="1114"/>
      <c r="DB506" s="1114"/>
      <c r="DC506" s="1114"/>
      <c r="DD506" s="1114"/>
      <c r="DE506" s="1114"/>
      <c r="DF506" s="1114"/>
      <c r="DG506" s="1114"/>
      <c r="DH506" s="1114"/>
      <c r="DI506" s="1114"/>
      <c r="DJ506" s="1114"/>
      <c r="DK506" s="1114"/>
      <c r="DL506" s="1114"/>
      <c r="DM506" s="1114"/>
      <c r="DN506" s="1114"/>
      <c r="DO506" s="1114"/>
      <c r="DP506" s="1114"/>
      <c r="DQ506" s="1114"/>
      <c r="DR506" s="1114"/>
      <c r="DS506" s="1114"/>
      <c r="DT506" s="1114"/>
      <c r="DU506" s="1114"/>
      <c r="DV506" s="1115"/>
      <c r="DW506" s="1116"/>
      <c r="DX506" s="1116"/>
      <c r="DY506" s="1116"/>
      <c r="DZ506" s="1116"/>
      <c r="EA506" s="1116"/>
      <c r="EB506" s="1116"/>
      <c r="EC506" s="1116"/>
      <c r="ED506" s="1116"/>
      <c r="EE506" s="1116"/>
      <c r="EF506" s="1116"/>
      <c r="EG506" s="1116"/>
      <c r="EH506" s="1116"/>
      <c r="EI506" s="1116"/>
      <c r="EJ506" s="1116"/>
      <c r="EK506" s="1116"/>
      <c r="EL506" s="1116"/>
      <c r="EM506" s="1116"/>
      <c r="EN506" s="1116"/>
      <c r="EO506" s="1116"/>
      <c r="EP506" s="1116"/>
      <c r="EQ506" s="1116"/>
      <c r="ER506" s="1116"/>
      <c r="ES506" s="1116"/>
    </row>
    <row r="507" spans="1:149" ht="15" customHeight="1">
      <c r="A507" s="1185">
        <v>492</v>
      </c>
      <c r="B507" s="1041"/>
      <c r="C507" s="1050"/>
      <c r="D507" s="1050"/>
      <c r="E507" s="1050"/>
      <c r="F507" s="1049"/>
      <c r="G507" s="1457"/>
      <c r="H507" s="1049"/>
      <c r="I507" s="1049"/>
      <c r="J507" s="1050"/>
      <c r="K507" s="1050"/>
      <c r="L507" s="1043"/>
      <c r="M507" s="1051"/>
      <c r="N507" s="1051"/>
      <c r="O507" s="1052"/>
      <c r="P507" s="1051"/>
      <c r="Q507" s="1051"/>
      <c r="R507" s="1052"/>
      <c r="S507" s="1051"/>
      <c r="T507" s="1051"/>
      <c r="U507" s="1052"/>
      <c r="V507" s="1051"/>
      <c r="W507" s="1051"/>
      <c r="X507" s="1052"/>
      <c r="Y507" s="1053"/>
      <c r="Z507" s="1051"/>
      <c r="AA507" s="1051"/>
      <c r="AB507" s="1052"/>
      <c r="AC507" s="1051"/>
      <c r="AD507" s="1051"/>
      <c r="AE507" s="1052"/>
      <c r="AF507" s="1051"/>
      <c r="AG507" s="1051"/>
      <c r="AH507" s="1051"/>
      <c r="AI507" s="1051"/>
      <c r="AJ507" s="1052"/>
      <c r="AK507" s="1051"/>
      <c r="AL507" s="1051"/>
      <c r="AM507" s="1052"/>
      <c r="AN507" s="1051"/>
      <c r="AO507" s="1051"/>
      <c r="AP507" s="1052"/>
      <c r="AQ507" s="1051"/>
      <c r="AR507" s="1051"/>
      <c r="AS507" s="1052"/>
      <c r="AT507" s="1051"/>
      <c r="AU507" s="1051"/>
      <c r="AV507" s="1052"/>
      <c r="AW507" s="1051"/>
      <c r="AX507" s="1051"/>
      <c r="AY507" s="1053"/>
      <c r="AZ507" s="1051"/>
      <c r="BA507" s="1051"/>
      <c r="BB507" s="1053"/>
      <c r="BC507" s="1051"/>
      <c r="BD507" s="1051"/>
      <c r="BE507" s="1053"/>
      <c r="BF507" s="1051"/>
      <c r="BG507" s="1051"/>
      <c r="BH507" s="1053"/>
      <c r="BI507" s="1052"/>
      <c r="BJ507" s="1052"/>
      <c r="BK507" s="1052"/>
      <c r="BL507" s="1052"/>
      <c r="BM507" s="1052"/>
      <c r="BN507" s="1054"/>
      <c r="BO507" s="1076">
        <f t="shared" si="18"/>
        <v>0</v>
      </c>
      <c r="BP507" s="1051"/>
      <c r="BQ507" s="1052"/>
      <c r="BR507" s="1054"/>
      <c r="BS507" s="1053"/>
      <c r="BT507" s="1051"/>
      <c r="BU507" s="1051"/>
      <c r="BV507" s="1051"/>
      <c r="BW507" s="1052"/>
      <c r="BX507" s="1052"/>
      <c r="BY507" s="1052"/>
      <c r="BZ507" s="1052"/>
      <c r="CA507" s="1052"/>
      <c r="CB507" s="1053"/>
      <c r="CC507" s="1053"/>
      <c r="CD507" s="1053"/>
      <c r="CE507" s="1053"/>
      <c r="CF507" s="1053"/>
      <c r="CG507" s="1053"/>
      <c r="CH507" s="1053"/>
      <c r="CI507" s="1123"/>
      <c r="CJ507" s="1123"/>
      <c r="CK507" s="1123"/>
      <c r="CL507" s="1123"/>
      <c r="CM507" s="1123"/>
      <c r="CN507" s="1123"/>
      <c r="CO507" s="1123"/>
      <c r="CP507" s="1123"/>
      <c r="CQ507" s="1123"/>
      <c r="CR507" s="1123"/>
      <c r="CS507" s="1123"/>
      <c r="CT507" s="1123"/>
      <c r="CU507" s="1123"/>
      <c r="CV507" s="1123"/>
      <c r="CW507" s="1123"/>
      <c r="CX507" s="1123"/>
      <c r="CY507" s="1123"/>
      <c r="CZ507" s="1114"/>
      <c r="DA507" s="1114"/>
      <c r="DB507" s="1114"/>
      <c r="DC507" s="1114"/>
      <c r="DD507" s="1114"/>
      <c r="DE507" s="1114"/>
      <c r="DF507" s="1114"/>
      <c r="DG507" s="1114"/>
      <c r="DH507" s="1114"/>
      <c r="DI507" s="1114"/>
      <c r="DJ507" s="1114"/>
      <c r="DK507" s="1114"/>
      <c r="DL507" s="1114"/>
      <c r="DM507" s="1114"/>
      <c r="DN507" s="1114"/>
      <c r="DO507" s="1114"/>
      <c r="DP507" s="1114"/>
      <c r="DQ507" s="1114"/>
      <c r="DR507" s="1114"/>
      <c r="DS507" s="1114"/>
      <c r="DT507" s="1114"/>
      <c r="DU507" s="1114"/>
      <c r="DV507" s="1115"/>
      <c r="DW507" s="1116"/>
      <c r="DX507" s="1116"/>
      <c r="DY507" s="1116"/>
      <c r="DZ507" s="1116"/>
      <c r="EA507" s="1116"/>
      <c r="EB507" s="1116"/>
      <c r="EC507" s="1116"/>
      <c r="ED507" s="1116"/>
      <c r="EE507" s="1116"/>
      <c r="EF507" s="1116"/>
      <c r="EG507" s="1116"/>
      <c r="EH507" s="1116"/>
      <c r="EI507" s="1116"/>
      <c r="EJ507" s="1116"/>
      <c r="EK507" s="1116"/>
      <c r="EL507" s="1116"/>
      <c r="EM507" s="1116"/>
      <c r="EN507" s="1116"/>
      <c r="EO507" s="1116"/>
      <c r="EP507" s="1116"/>
      <c r="EQ507" s="1116"/>
      <c r="ER507" s="1116"/>
      <c r="ES507" s="1116"/>
    </row>
    <row r="508" spans="1:149" ht="15" customHeight="1">
      <c r="A508" s="1185">
        <v>493</v>
      </c>
      <c r="B508" s="1041"/>
      <c r="C508" s="1050"/>
      <c r="D508" s="1050"/>
      <c r="E508" s="1050"/>
      <c r="F508" s="1049"/>
      <c r="G508" s="1457"/>
      <c r="H508" s="1049"/>
      <c r="I508" s="1049"/>
      <c r="J508" s="1050"/>
      <c r="K508" s="1050"/>
      <c r="L508" s="1043"/>
      <c r="M508" s="1051"/>
      <c r="N508" s="1051"/>
      <c r="O508" s="1052"/>
      <c r="P508" s="1051"/>
      <c r="Q508" s="1051"/>
      <c r="R508" s="1052"/>
      <c r="S508" s="1051"/>
      <c r="T508" s="1051"/>
      <c r="U508" s="1052"/>
      <c r="V508" s="1051"/>
      <c r="W508" s="1051"/>
      <c r="X508" s="1052"/>
      <c r="Y508" s="1053"/>
      <c r="Z508" s="1051"/>
      <c r="AA508" s="1051"/>
      <c r="AB508" s="1052"/>
      <c r="AC508" s="1051"/>
      <c r="AD508" s="1051"/>
      <c r="AE508" s="1052"/>
      <c r="AF508" s="1051"/>
      <c r="AG508" s="1051"/>
      <c r="AH508" s="1051"/>
      <c r="AI508" s="1051"/>
      <c r="AJ508" s="1052"/>
      <c r="AK508" s="1051"/>
      <c r="AL508" s="1051"/>
      <c r="AM508" s="1052"/>
      <c r="AN508" s="1051"/>
      <c r="AO508" s="1051"/>
      <c r="AP508" s="1052"/>
      <c r="AQ508" s="1051"/>
      <c r="AR508" s="1051"/>
      <c r="AS508" s="1052"/>
      <c r="AT508" s="1051"/>
      <c r="AU508" s="1051"/>
      <c r="AV508" s="1052"/>
      <c r="AW508" s="1051"/>
      <c r="AX508" s="1051"/>
      <c r="AY508" s="1053"/>
      <c r="AZ508" s="1051"/>
      <c r="BA508" s="1051"/>
      <c r="BB508" s="1053"/>
      <c r="BC508" s="1051"/>
      <c r="BD508" s="1051"/>
      <c r="BE508" s="1053"/>
      <c r="BF508" s="1051"/>
      <c r="BG508" s="1051"/>
      <c r="BH508" s="1053"/>
      <c r="BI508" s="1052"/>
      <c r="BJ508" s="1052"/>
      <c r="BK508" s="1052"/>
      <c r="BL508" s="1052"/>
      <c r="BM508" s="1052"/>
      <c r="BN508" s="1054"/>
      <c r="BO508" s="1076">
        <f t="shared" si="18"/>
        <v>0</v>
      </c>
      <c r="BP508" s="1051"/>
      <c r="BQ508" s="1052"/>
      <c r="BR508" s="1054"/>
      <c r="BS508" s="1053"/>
      <c r="BT508" s="1051"/>
      <c r="BU508" s="1051"/>
      <c r="BV508" s="1051"/>
      <c r="BW508" s="1052"/>
      <c r="BX508" s="1052"/>
      <c r="BY508" s="1052"/>
      <c r="BZ508" s="1052"/>
      <c r="CA508" s="1052"/>
      <c r="CB508" s="1053"/>
      <c r="CC508" s="1053"/>
      <c r="CD508" s="1053"/>
      <c r="CE508" s="1053"/>
      <c r="CF508" s="1053"/>
      <c r="CG508" s="1053"/>
      <c r="CH508" s="1053"/>
      <c r="CI508" s="1123"/>
      <c r="CJ508" s="1123"/>
      <c r="CK508" s="1123"/>
      <c r="CL508" s="1123"/>
      <c r="CM508" s="1123"/>
      <c r="CN508" s="1123"/>
      <c r="CO508" s="1123"/>
      <c r="CP508" s="1123"/>
      <c r="CQ508" s="1123"/>
      <c r="CR508" s="1123"/>
      <c r="CS508" s="1123"/>
      <c r="CT508" s="1123"/>
      <c r="CU508" s="1123"/>
      <c r="CV508" s="1123"/>
      <c r="CW508" s="1123"/>
      <c r="CX508" s="1123"/>
      <c r="CY508" s="1123"/>
      <c r="CZ508" s="1114"/>
      <c r="DA508" s="1114"/>
      <c r="DB508" s="1114"/>
      <c r="DC508" s="1114"/>
      <c r="DD508" s="1114"/>
      <c r="DE508" s="1114"/>
      <c r="DF508" s="1114"/>
      <c r="DG508" s="1114"/>
      <c r="DH508" s="1114"/>
      <c r="DI508" s="1114"/>
      <c r="DJ508" s="1114"/>
      <c r="DK508" s="1114"/>
      <c r="DL508" s="1114"/>
      <c r="DM508" s="1114"/>
      <c r="DN508" s="1114"/>
      <c r="DO508" s="1114"/>
      <c r="DP508" s="1114"/>
      <c r="DQ508" s="1114"/>
      <c r="DR508" s="1114"/>
      <c r="DS508" s="1114"/>
      <c r="DT508" s="1114"/>
      <c r="DU508" s="1114"/>
      <c r="DV508" s="1115"/>
      <c r="DW508" s="1116"/>
      <c r="DX508" s="1116"/>
      <c r="DY508" s="1116"/>
      <c r="DZ508" s="1116"/>
      <c r="EA508" s="1116"/>
      <c r="EB508" s="1116"/>
      <c r="EC508" s="1116"/>
      <c r="ED508" s="1116"/>
      <c r="EE508" s="1116"/>
      <c r="EF508" s="1116"/>
      <c r="EG508" s="1116"/>
      <c r="EH508" s="1116"/>
      <c r="EI508" s="1116"/>
      <c r="EJ508" s="1116"/>
      <c r="EK508" s="1116"/>
      <c r="EL508" s="1116"/>
      <c r="EM508" s="1116"/>
      <c r="EN508" s="1116"/>
      <c r="EO508" s="1116"/>
      <c r="EP508" s="1116"/>
      <c r="EQ508" s="1116"/>
      <c r="ER508" s="1116"/>
      <c r="ES508" s="1116"/>
    </row>
    <row r="509" spans="1:149" ht="15" customHeight="1">
      <c r="A509" s="1185">
        <v>494</v>
      </c>
      <c r="B509" s="1041"/>
      <c r="C509" s="1050"/>
      <c r="D509" s="1050"/>
      <c r="E509" s="1050"/>
      <c r="F509" s="1049"/>
      <c r="G509" s="1457"/>
      <c r="H509" s="1049"/>
      <c r="I509" s="1049"/>
      <c r="J509" s="1050"/>
      <c r="K509" s="1050"/>
      <c r="L509" s="1043"/>
      <c r="M509" s="1051"/>
      <c r="N509" s="1051"/>
      <c r="O509" s="1052"/>
      <c r="P509" s="1051"/>
      <c r="Q509" s="1051"/>
      <c r="R509" s="1052"/>
      <c r="S509" s="1051"/>
      <c r="T509" s="1051"/>
      <c r="U509" s="1052"/>
      <c r="V509" s="1051"/>
      <c r="W509" s="1051"/>
      <c r="X509" s="1052"/>
      <c r="Y509" s="1053"/>
      <c r="Z509" s="1051"/>
      <c r="AA509" s="1051"/>
      <c r="AB509" s="1052"/>
      <c r="AC509" s="1051"/>
      <c r="AD509" s="1051"/>
      <c r="AE509" s="1052"/>
      <c r="AF509" s="1051"/>
      <c r="AG509" s="1051"/>
      <c r="AH509" s="1051"/>
      <c r="AI509" s="1051"/>
      <c r="AJ509" s="1052"/>
      <c r="AK509" s="1051"/>
      <c r="AL509" s="1051"/>
      <c r="AM509" s="1052"/>
      <c r="AN509" s="1051"/>
      <c r="AO509" s="1051"/>
      <c r="AP509" s="1052"/>
      <c r="AQ509" s="1051"/>
      <c r="AR509" s="1051"/>
      <c r="AS509" s="1052"/>
      <c r="AT509" s="1051"/>
      <c r="AU509" s="1051"/>
      <c r="AV509" s="1052"/>
      <c r="AW509" s="1051"/>
      <c r="AX509" s="1051"/>
      <c r="AY509" s="1053"/>
      <c r="AZ509" s="1051"/>
      <c r="BA509" s="1051"/>
      <c r="BB509" s="1053"/>
      <c r="BC509" s="1051"/>
      <c r="BD509" s="1051"/>
      <c r="BE509" s="1053"/>
      <c r="BF509" s="1051"/>
      <c r="BG509" s="1051"/>
      <c r="BH509" s="1053"/>
      <c r="BI509" s="1052"/>
      <c r="BJ509" s="1052"/>
      <c r="BK509" s="1052"/>
      <c r="BL509" s="1052"/>
      <c r="BM509" s="1052"/>
      <c r="BN509" s="1054"/>
      <c r="BO509" s="1076">
        <f t="shared" si="18"/>
        <v>0</v>
      </c>
      <c r="BP509" s="1051"/>
      <c r="BQ509" s="1052"/>
      <c r="BR509" s="1054"/>
      <c r="BS509" s="1053"/>
      <c r="BT509" s="1051"/>
      <c r="BU509" s="1051"/>
      <c r="BV509" s="1051"/>
      <c r="BW509" s="1052"/>
      <c r="BX509" s="1052"/>
      <c r="BY509" s="1052"/>
      <c r="BZ509" s="1052"/>
      <c r="CA509" s="1052"/>
      <c r="CB509" s="1053"/>
      <c r="CC509" s="1053"/>
      <c r="CD509" s="1053"/>
      <c r="CE509" s="1053"/>
      <c r="CF509" s="1053"/>
      <c r="CG509" s="1053"/>
      <c r="CH509" s="1053"/>
      <c r="CI509" s="1123"/>
      <c r="CJ509" s="1123"/>
      <c r="CK509" s="1123"/>
      <c r="CL509" s="1123"/>
      <c r="CM509" s="1123"/>
      <c r="CN509" s="1123"/>
      <c r="CO509" s="1123"/>
      <c r="CP509" s="1123"/>
      <c r="CQ509" s="1123"/>
      <c r="CR509" s="1123"/>
      <c r="CS509" s="1123"/>
      <c r="CT509" s="1123"/>
      <c r="CU509" s="1123"/>
      <c r="CV509" s="1123"/>
      <c r="CW509" s="1123"/>
      <c r="CX509" s="1123"/>
      <c r="CY509" s="1123"/>
      <c r="CZ509" s="1114"/>
      <c r="DA509" s="1114"/>
      <c r="DB509" s="1114"/>
      <c r="DC509" s="1114"/>
      <c r="DD509" s="1114"/>
      <c r="DE509" s="1114"/>
      <c r="DF509" s="1114"/>
      <c r="DG509" s="1114"/>
      <c r="DH509" s="1114"/>
      <c r="DI509" s="1114"/>
      <c r="DJ509" s="1114"/>
      <c r="DK509" s="1114"/>
      <c r="DL509" s="1114"/>
      <c r="DM509" s="1114"/>
      <c r="DN509" s="1114"/>
      <c r="DO509" s="1114"/>
      <c r="DP509" s="1114"/>
      <c r="DQ509" s="1114"/>
      <c r="DR509" s="1114"/>
      <c r="DS509" s="1114"/>
      <c r="DT509" s="1114"/>
      <c r="DU509" s="1114"/>
      <c r="DV509" s="1115"/>
      <c r="DW509" s="1116"/>
      <c r="DX509" s="1116"/>
      <c r="DY509" s="1116"/>
      <c r="DZ509" s="1116"/>
      <c r="EA509" s="1116"/>
      <c r="EB509" s="1116"/>
      <c r="EC509" s="1116"/>
      <c r="ED509" s="1116"/>
      <c r="EE509" s="1116"/>
      <c r="EF509" s="1116"/>
      <c r="EG509" s="1116"/>
      <c r="EH509" s="1116"/>
      <c r="EI509" s="1116"/>
      <c r="EJ509" s="1116"/>
      <c r="EK509" s="1116"/>
      <c r="EL509" s="1116"/>
      <c r="EM509" s="1116"/>
      <c r="EN509" s="1116"/>
      <c r="EO509" s="1116"/>
      <c r="EP509" s="1116"/>
      <c r="EQ509" s="1116"/>
      <c r="ER509" s="1116"/>
      <c r="ES509" s="1116"/>
    </row>
    <row r="510" spans="1:149" ht="15" customHeight="1">
      <c r="A510" s="1185">
        <v>495</v>
      </c>
      <c r="B510" s="1041"/>
      <c r="C510" s="1050"/>
      <c r="D510" s="1050"/>
      <c r="E510" s="1050"/>
      <c r="F510" s="1049"/>
      <c r="G510" s="1457"/>
      <c r="H510" s="1049"/>
      <c r="I510" s="1049"/>
      <c r="J510" s="1050"/>
      <c r="K510" s="1050"/>
      <c r="L510" s="1043"/>
      <c r="M510" s="1051"/>
      <c r="N510" s="1051"/>
      <c r="O510" s="1052"/>
      <c r="P510" s="1051"/>
      <c r="Q510" s="1051"/>
      <c r="R510" s="1052"/>
      <c r="S510" s="1051"/>
      <c r="T510" s="1051"/>
      <c r="U510" s="1052"/>
      <c r="V510" s="1051"/>
      <c r="W510" s="1051"/>
      <c r="X510" s="1052"/>
      <c r="Y510" s="1053"/>
      <c r="Z510" s="1051"/>
      <c r="AA510" s="1051"/>
      <c r="AB510" s="1052"/>
      <c r="AC510" s="1051"/>
      <c r="AD510" s="1051"/>
      <c r="AE510" s="1052"/>
      <c r="AF510" s="1051"/>
      <c r="AG510" s="1051"/>
      <c r="AH510" s="1051"/>
      <c r="AI510" s="1051"/>
      <c r="AJ510" s="1052"/>
      <c r="AK510" s="1051"/>
      <c r="AL510" s="1051"/>
      <c r="AM510" s="1052"/>
      <c r="AN510" s="1051"/>
      <c r="AO510" s="1051"/>
      <c r="AP510" s="1052"/>
      <c r="AQ510" s="1051"/>
      <c r="AR510" s="1051"/>
      <c r="AS510" s="1052"/>
      <c r="AT510" s="1051"/>
      <c r="AU510" s="1051"/>
      <c r="AV510" s="1052"/>
      <c r="AW510" s="1051"/>
      <c r="AX510" s="1051"/>
      <c r="AY510" s="1053"/>
      <c r="AZ510" s="1051"/>
      <c r="BA510" s="1051"/>
      <c r="BB510" s="1053"/>
      <c r="BC510" s="1051"/>
      <c r="BD510" s="1051"/>
      <c r="BE510" s="1053"/>
      <c r="BF510" s="1051"/>
      <c r="BG510" s="1051"/>
      <c r="BH510" s="1053"/>
      <c r="BI510" s="1052"/>
      <c r="BJ510" s="1052"/>
      <c r="BK510" s="1052"/>
      <c r="BL510" s="1052"/>
      <c r="BM510" s="1052"/>
      <c r="BN510" s="1054"/>
      <c r="BO510" s="1076">
        <f t="shared" si="18"/>
        <v>0</v>
      </c>
      <c r="BP510" s="1051"/>
      <c r="BQ510" s="1052"/>
      <c r="BR510" s="1054"/>
      <c r="BS510" s="1053"/>
      <c r="BT510" s="1051"/>
      <c r="BU510" s="1051"/>
      <c r="BV510" s="1051"/>
      <c r="BW510" s="1052"/>
      <c r="BX510" s="1052"/>
      <c r="BY510" s="1052"/>
      <c r="BZ510" s="1052"/>
      <c r="CA510" s="1052"/>
      <c r="CB510" s="1053"/>
      <c r="CC510" s="1053"/>
      <c r="CD510" s="1053"/>
      <c r="CE510" s="1053"/>
      <c r="CF510" s="1053"/>
      <c r="CG510" s="1053"/>
      <c r="CH510" s="1053"/>
      <c r="CI510" s="1123"/>
      <c r="CJ510" s="1123"/>
      <c r="CK510" s="1123"/>
      <c r="CL510" s="1123"/>
      <c r="CM510" s="1123"/>
      <c r="CN510" s="1123"/>
      <c r="CO510" s="1123"/>
      <c r="CP510" s="1123"/>
      <c r="CQ510" s="1123"/>
      <c r="CR510" s="1123"/>
      <c r="CS510" s="1123"/>
      <c r="CT510" s="1123"/>
      <c r="CU510" s="1123"/>
      <c r="CV510" s="1123"/>
      <c r="CW510" s="1123"/>
      <c r="CX510" s="1123"/>
      <c r="CY510" s="1123"/>
      <c r="CZ510" s="1114"/>
      <c r="DA510" s="1114"/>
      <c r="DB510" s="1114"/>
      <c r="DC510" s="1114"/>
      <c r="DD510" s="1114"/>
      <c r="DE510" s="1114"/>
      <c r="DF510" s="1114"/>
      <c r="DG510" s="1114"/>
      <c r="DH510" s="1114"/>
      <c r="DI510" s="1114"/>
      <c r="DJ510" s="1114"/>
      <c r="DK510" s="1114"/>
      <c r="DL510" s="1114"/>
      <c r="DM510" s="1114"/>
      <c r="DN510" s="1114"/>
      <c r="DO510" s="1114"/>
      <c r="DP510" s="1114"/>
      <c r="DQ510" s="1114"/>
      <c r="DR510" s="1114"/>
      <c r="DS510" s="1114"/>
      <c r="DT510" s="1114"/>
      <c r="DU510" s="1114"/>
      <c r="DV510" s="1115"/>
      <c r="DW510" s="1116"/>
      <c r="DX510" s="1116"/>
      <c r="DY510" s="1116"/>
      <c r="DZ510" s="1116"/>
      <c r="EA510" s="1116"/>
      <c r="EB510" s="1116"/>
      <c r="EC510" s="1116"/>
      <c r="ED510" s="1116"/>
      <c r="EE510" s="1116"/>
      <c r="EF510" s="1116"/>
      <c r="EG510" s="1116"/>
      <c r="EH510" s="1116"/>
      <c r="EI510" s="1116"/>
      <c r="EJ510" s="1116"/>
      <c r="EK510" s="1116"/>
      <c r="EL510" s="1116"/>
      <c r="EM510" s="1116"/>
      <c r="EN510" s="1116"/>
      <c r="EO510" s="1116"/>
      <c r="EP510" s="1116"/>
      <c r="EQ510" s="1116"/>
      <c r="ER510" s="1116"/>
      <c r="ES510" s="1116"/>
    </row>
    <row r="511" spans="1:149" ht="15" customHeight="1">
      <c r="A511" s="1185">
        <v>496</v>
      </c>
      <c r="B511" s="1041"/>
      <c r="C511" s="1050"/>
      <c r="D511" s="1050"/>
      <c r="E511" s="1050"/>
      <c r="F511" s="1049"/>
      <c r="G511" s="1457"/>
      <c r="H511" s="1049"/>
      <c r="I511" s="1049"/>
      <c r="J511" s="1050"/>
      <c r="K511" s="1050"/>
      <c r="L511" s="1043"/>
      <c r="M511" s="1051"/>
      <c r="N511" s="1051"/>
      <c r="O511" s="1052"/>
      <c r="P511" s="1051"/>
      <c r="Q511" s="1051"/>
      <c r="R511" s="1052"/>
      <c r="S511" s="1051"/>
      <c r="T511" s="1051"/>
      <c r="U511" s="1052"/>
      <c r="V511" s="1051"/>
      <c r="W511" s="1051"/>
      <c r="X511" s="1052"/>
      <c r="Y511" s="1053"/>
      <c r="Z511" s="1051"/>
      <c r="AA511" s="1051"/>
      <c r="AB511" s="1052"/>
      <c r="AC511" s="1051"/>
      <c r="AD511" s="1051"/>
      <c r="AE511" s="1052"/>
      <c r="AF511" s="1051"/>
      <c r="AG511" s="1051"/>
      <c r="AH511" s="1051"/>
      <c r="AI511" s="1051"/>
      <c r="AJ511" s="1052"/>
      <c r="AK511" s="1051"/>
      <c r="AL511" s="1051"/>
      <c r="AM511" s="1052"/>
      <c r="AN511" s="1051"/>
      <c r="AO511" s="1051"/>
      <c r="AP511" s="1052"/>
      <c r="AQ511" s="1051"/>
      <c r="AR511" s="1051"/>
      <c r="AS511" s="1052"/>
      <c r="AT511" s="1051"/>
      <c r="AU511" s="1051"/>
      <c r="AV511" s="1052"/>
      <c r="AW511" s="1051"/>
      <c r="AX511" s="1051"/>
      <c r="AY511" s="1053"/>
      <c r="AZ511" s="1051"/>
      <c r="BA511" s="1051"/>
      <c r="BB511" s="1053"/>
      <c r="BC511" s="1051"/>
      <c r="BD511" s="1051"/>
      <c r="BE511" s="1053"/>
      <c r="BF511" s="1051"/>
      <c r="BG511" s="1051"/>
      <c r="BH511" s="1053"/>
      <c r="BI511" s="1052"/>
      <c r="BJ511" s="1052"/>
      <c r="BK511" s="1052"/>
      <c r="BL511" s="1052"/>
      <c r="BM511" s="1052"/>
      <c r="BN511" s="1054"/>
      <c r="BO511" s="1076">
        <f t="shared" si="18"/>
        <v>0</v>
      </c>
      <c r="BP511" s="1051"/>
      <c r="BQ511" s="1052"/>
      <c r="BR511" s="1054"/>
      <c r="BS511" s="1053"/>
      <c r="BT511" s="1051"/>
      <c r="BU511" s="1051"/>
      <c r="BV511" s="1051"/>
      <c r="BW511" s="1052"/>
      <c r="BX511" s="1052"/>
      <c r="BY511" s="1052"/>
      <c r="BZ511" s="1052"/>
      <c r="CA511" s="1052"/>
      <c r="CB511" s="1053"/>
      <c r="CC511" s="1053"/>
      <c r="CD511" s="1053"/>
      <c r="CE511" s="1053"/>
      <c r="CF511" s="1053"/>
      <c r="CG511" s="1053"/>
      <c r="CH511" s="1053"/>
      <c r="CI511" s="1123"/>
      <c r="CJ511" s="1123"/>
      <c r="CK511" s="1123"/>
      <c r="CL511" s="1123"/>
      <c r="CM511" s="1123"/>
      <c r="CN511" s="1123"/>
      <c r="CO511" s="1123"/>
      <c r="CP511" s="1123"/>
      <c r="CQ511" s="1123"/>
      <c r="CR511" s="1123"/>
      <c r="CS511" s="1123"/>
      <c r="CT511" s="1123"/>
      <c r="CU511" s="1123"/>
      <c r="CV511" s="1123"/>
      <c r="CW511" s="1123"/>
      <c r="CX511" s="1123"/>
      <c r="CY511" s="1123"/>
      <c r="CZ511" s="1114"/>
      <c r="DA511" s="1114"/>
      <c r="DB511" s="1114"/>
      <c r="DC511" s="1114"/>
      <c r="DD511" s="1114"/>
      <c r="DE511" s="1114"/>
      <c r="DF511" s="1114"/>
      <c r="DG511" s="1114"/>
      <c r="DH511" s="1114"/>
      <c r="DI511" s="1114"/>
      <c r="DJ511" s="1114"/>
      <c r="DK511" s="1114"/>
      <c r="DL511" s="1114"/>
      <c r="DM511" s="1114"/>
      <c r="DN511" s="1114"/>
      <c r="DO511" s="1114"/>
      <c r="DP511" s="1114"/>
      <c r="DQ511" s="1114"/>
      <c r="DR511" s="1114"/>
      <c r="DS511" s="1114"/>
      <c r="DT511" s="1114"/>
      <c r="DU511" s="1114"/>
      <c r="DV511" s="1115"/>
      <c r="DW511" s="1116"/>
      <c r="DX511" s="1116"/>
      <c r="DY511" s="1116"/>
      <c r="DZ511" s="1116"/>
      <c r="EA511" s="1116"/>
      <c r="EB511" s="1116"/>
      <c r="EC511" s="1116"/>
      <c r="ED511" s="1116"/>
      <c r="EE511" s="1116"/>
      <c r="EF511" s="1116"/>
      <c r="EG511" s="1116"/>
      <c r="EH511" s="1116"/>
      <c r="EI511" s="1116"/>
      <c r="EJ511" s="1116"/>
      <c r="EK511" s="1116"/>
      <c r="EL511" s="1116"/>
      <c r="EM511" s="1116"/>
      <c r="EN511" s="1116"/>
      <c r="EO511" s="1116"/>
      <c r="EP511" s="1116"/>
      <c r="EQ511" s="1116"/>
      <c r="ER511" s="1116"/>
      <c r="ES511" s="1116"/>
    </row>
    <row r="512" spans="1:149" ht="15" customHeight="1">
      <c r="A512" s="1185">
        <v>497</v>
      </c>
      <c r="B512" s="1041"/>
      <c r="C512" s="1050"/>
      <c r="D512" s="1050"/>
      <c r="E512" s="1050"/>
      <c r="F512" s="1049"/>
      <c r="G512" s="1457"/>
      <c r="H512" s="1049"/>
      <c r="I512" s="1049"/>
      <c r="J512" s="1050"/>
      <c r="K512" s="1050"/>
      <c r="L512" s="1043"/>
      <c r="M512" s="1051"/>
      <c r="N512" s="1051"/>
      <c r="O512" s="1052"/>
      <c r="P512" s="1051"/>
      <c r="Q512" s="1051"/>
      <c r="R512" s="1052"/>
      <c r="S512" s="1051"/>
      <c r="T512" s="1051"/>
      <c r="U512" s="1052"/>
      <c r="V512" s="1051"/>
      <c r="W512" s="1051"/>
      <c r="X512" s="1052"/>
      <c r="Y512" s="1053"/>
      <c r="Z512" s="1051"/>
      <c r="AA512" s="1051"/>
      <c r="AB512" s="1052"/>
      <c r="AC512" s="1051"/>
      <c r="AD512" s="1051"/>
      <c r="AE512" s="1052"/>
      <c r="AF512" s="1051"/>
      <c r="AG512" s="1051"/>
      <c r="AH512" s="1051"/>
      <c r="AI512" s="1051"/>
      <c r="AJ512" s="1052"/>
      <c r="AK512" s="1051"/>
      <c r="AL512" s="1051"/>
      <c r="AM512" s="1052"/>
      <c r="AN512" s="1051"/>
      <c r="AO512" s="1051"/>
      <c r="AP512" s="1052"/>
      <c r="AQ512" s="1051"/>
      <c r="AR512" s="1051"/>
      <c r="AS512" s="1052"/>
      <c r="AT512" s="1051"/>
      <c r="AU512" s="1051"/>
      <c r="AV512" s="1052"/>
      <c r="AW512" s="1051"/>
      <c r="AX512" s="1051"/>
      <c r="AY512" s="1053"/>
      <c r="AZ512" s="1051"/>
      <c r="BA512" s="1051"/>
      <c r="BB512" s="1053"/>
      <c r="BC512" s="1051"/>
      <c r="BD512" s="1051"/>
      <c r="BE512" s="1053"/>
      <c r="BF512" s="1051"/>
      <c r="BG512" s="1051"/>
      <c r="BH512" s="1053"/>
      <c r="BI512" s="1052"/>
      <c r="BJ512" s="1052"/>
      <c r="BK512" s="1052"/>
      <c r="BL512" s="1052"/>
      <c r="BM512" s="1052"/>
      <c r="BN512" s="1054"/>
      <c r="BO512" s="1076">
        <f t="shared" si="18"/>
        <v>0</v>
      </c>
      <c r="BP512" s="1051"/>
      <c r="BQ512" s="1052"/>
      <c r="BR512" s="1054"/>
      <c r="BS512" s="1053"/>
      <c r="BT512" s="1051"/>
      <c r="BU512" s="1051"/>
      <c r="BV512" s="1051"/>
      <c r="BW512" s="1052"/>
      <c r="BX512" s="1052"/>
      <c r="BY512" s="1052"/>
      <c r="BZ512" s="1052"/>
      <c r="CA512" s="1052"/>
      <c r="CB512" s="1053"/>
      <c r="CC512" s="1053"/>
      <c r="CD512" s="1053"/>
      <c r="CE512" s="1053"/>
      <c r="CF512" s="1053"/>
      <c r="CG512" s="1053"/>
      <c r="CH512" s="1053"/>
      <c r="CI512" s="1123"/>
      <c r="CJ512" s="1123"/>
      <c r="CK512" s="1123"/>
      <c r="CL512" s="1123"/>
      <c r="CM512" s="1123"/>
      <c r="CN512" s="1123"/>
      <c r="CO512" s="1123"/>
      <c r="CP512" s="1123"/>
      <c r="CQ512" s="1123"/>
      <c r="CR512" s="1123"/>
      <c r="CS512" s="1123"/>
      <c r="CT512" s="1123"/>
      <c r="CU512" s="1123"/>
      <c r="CV512" s="1123"/>
      <c r="CW512" s="1123"/>
      <c r="CX512" s="1123"/>
      <c r="CY512" s="1123"/>
      <c r="CZ512" s="1114"/>
      <c r="DA512" s="1114"/>
      <c r="DB512" s="1114"/>
      <c r="DC512" s="1114"/>
      <c r="DD512" s="1114"/>
      <c r="DE512" s="1114"/>
      <c r="DF512" s="1114"/>
      <c r="DG512" s="1114"/>
      <c r="DH512" s="1114"/>
      <c r="DI512" s="1114"/>
      <c r="DJ512" s="1114"/>
      <c r="DK512" s="1114"/>
      <c r="DL512" s="1114"/>
      <c r="DM512" s="1114"/>
      <c r="DN512" s="1114"/>
      <c r="DO512" s="1114"/>
      <c r="DP512" s="1114"/>
      <c r="DQ512" s="1114"/>
      <c r="DR512" s="1114"/>
      <c r="DS512" s="1114"/>
      <c r="DT512" s="1114"/>
      <c r="DU512" s="1114"/>
      <c r="DV512" s="1115"/>
      <c r="DW512" s="1116"/>
      <c r="DX512" s="1116"/>
      <c r="DY512" s="1116"/>
      <c r="DZ512" s="1116"/>
      <c r="EA512" s="1116"/>
      <c r="EB512" s="1116"/>
      <c r="EC512" s="1116"/>
      <c r="ED512" s="1116"/>
      <c r="EE512" s="1116"/>
      <c r="EF512" s="1116"/>
      <c r="EG512" s="1116"/>
      <c r="EH512" s="1116"/>
      <c r="EI512" s="1116"/>
      <c r="EJ512" s="1116"/>
      <c r="EK512" s="1116"/>
      <c r="EL512" s="1116"/>
      <c r="EM512" s="1116"/>
      <c r="EN512" s="1116"/>
      <c r="EO512" s="1116"/>
      <c r="EP512" s="1116"/>
      <c r="EQ512" s="1116"/>
      <c r="ER512" s="1116"/>
      <c r="ES512" s="1116"/>
    </row>
    <row r="513" spans="1:149" ht="15" customHeight="1">
      <c r="A513" s="1185">
        <v>498</v>
      </c>
      <c r="B513" s="1041"/>
      <c r="C513" s="1050"/>
      <c r="D513" s="1050"/>
      <c r="E513" s="1050"/>
      <c r="F513" s="1049"/>
      <c r="G513" s="1457"/>
      <c r="H513" s="1049"/>
      <c r="I513" s="1049"/>
      <c r="J513" s="1050"/>
      <c r="K513" s="1050"/>
      <c r="L513" s="1043"/>
      <c r="M513" s="1051"/>
      <c r="N513" s="1051"/>
      <c r="O513" s="1052"/>
      <c r="P513" s="1051"/>
      <c r="Q513" s="1051"/>
      <c r="R513" s="1052"/>
      <c r="S513" s="1051"/>
      <c r="T513" s="1051"/>
      <c r="U513" s="1052"/>
      <c r="V513" s="1051"/>
      <c r="W513" s="1051"/>
      <c r="X513" s="1052"/>
      <c r="Y513" s="1053"/>
      <c r="Z513" s="1051"/>
      <c r="AA513" s="1051"/>
      <c r="AB513" s="1052"/>
      <c r="AC513" s="1051"/>
      <c r="AD513" s="1051"/>
      <c r="AE513" s="1052"/>
      <c r="AF513" s="1051"/>
      <c r="AG513" s="1051"/>
      <c r="AH513" s="1051"/>
      <c r="AI513" s="1051"/>
      <c r="AJ513" s="1052"/>
      <c r="AK513" s="1051"/>
      <c r="AL513" s="1051"/>
      <c r="AM513" s="1052"/>
      <c r="AN513" s="1051"/>
      <c r="AO513" s="1051"/>
      <c r="AP513" s="1052"/>
      <c r="AQ513" s="1051"/>
      <c r="AR513" s="1051"/>
      <c r="AS513" s="1052"/>
      <c r="AT513" s="1051"/>
      <c r="AU513" s="1051"/>
      <c r="AV513" s="1052"/>
      <c r="AW513" s="1051"/>
      <c r="AX513" s="1051"/>
      <c r="AY513" s="1053"/>
      <c r="AZ513" s="1051"/>
      <c r="BA513" s="1051"/>
      <c r="BB513" s="1053"/>
      <c r="BC513" s="1051"/>
      <c r="BD513" s="1051"/>
      <c r="BE513" s="1053"/>
      <c r="BF513" s="1051"/>
      <c r="BG513" s="1051"/>
      <c r="BH513" s="1053"/>
      <c r="BI513" s="1052"/>
      <c r="BJ513" s="1052"/>
      <c r="BK513" s="1052"/>
      <c r="BL513" s="1052"/>
      <c r="BM513" s="1052"/>
      <c r="BN513" s="1054"/>
      <c r="BO513" s="1076">
        <f t="shared" si="18"/>
        <v>0</v>
      </c>
      <c r="BP513" s="1051"/>
      <c r="BQ513" s="1052"/>
      <c r="BR513" s="1054"/>
      <c r="BS513" s="1053"/>
      <c r="BT513" s="1051"/>
      <c r="BU513" s="1051"/>
      <c r="BV513" s="1051"/>
      <c r="BW513" s="1052"/>
      <c r="BX513" s="1052"/>
      <c r="BY513" s="1052"/>
      <c r="BZ513" s="1052"/>
      <c r="CA513" s="1052"/>
      <c r="CB513" s="1053"/>
      <c r="CC513" s="1053"/>
      <c r="CD513" s="1053"/>
      <c r="CE513" s="1053"/>
      <c r="CF513" s="1053"/>
      <c r="CG513" s="1053"/>
      <c r="CH513" s="1053"/>
      <c r="CI513" s="1123"/>
      <c r="CJ513" s="1123"/>
      <c r="CK513" s="1123"/>
      <c r="CL513" s="1123"/>
      <c r="CM513" s="1123"/>
      <c r="CN513" s="1123"/>
      <c r="CO513" s="1123"/>
      <c r="CP513" s="1123"/>
      <c r="CQ513" s="1123"/>
      <c r="CR513" s="1123"/>
      <c r="CS513" s="1123"/>
      <c r="CT513" s="1123"/>
      <c r="CU513" s="1123"/>
      <c r="CV513" s="1123"/>
      <c r="CW513" s="1123"/>
      <c r="CX513" s="1123"/>
      <c r="CY513" s="1123"/>
      <c r="CZ513" s="1114"/>
      <c r="DA513" s="1114"/>
      <c r="DB513" s="1114"/>
      <c r="DC513" s="1114"/>
      <c r="DD513" s="1114"/>
      <c r="DE513" s="1114"/>
      <c r="DF513" s="1114"/>
      <c r="DG513" s="1114"/>
      <c r="DH513" s="1114"/>
      <c r="DI513" s="1114"/>
      <c r="DJ513" s="1114"/>
      <c r="DK513" s="1114"/>
      <c r="DL513" s="1114"/>
      <c r="DM513" s="1114"/>
      <c r="DN513" s="1114"/>
      <c r="DO513" s="1114"/>
      <c r="DP513" s="1114"/>
      <c r="DQ513" s="1114"/>
      <c r="DR513" s="1114"/>
      <c r="DS513" s="1114"/>
      <c r="DT513" s="1114"/>
      <c r="DU513" s="1114"/>
      <c r="DV513" s="1115"/>
      <c r="DW513" s="1116"/>
      <c r="DX513" s="1116"/>
      <c r="DY513" s="1116"/>
      <c r="DZ513" s="1116"/>
      <c r="EA513" s="1116"/>
      <c r="EB513" s="1116"/>
      <c r="EC513" s="1116"/>
      <c r="ED513" s="1116"/>
      <c r="EE513" s="1116"/>
      <c r="EF513" s="1116"/>
      <c r="EG513" s="1116"/>
      <c r="EH513" s="1116"/>
      <c r="EI513" s="1116"/>
      <c r="EJ513" s="1116"/>
      <c r="EK513" s="1116"/>
      <c r="EL513" s="1116"/>
      <c r="EM513" s="1116"/>
      <c r="EN513" s="1116"/>
      <c r="EO513" s="1116"/>
      <c r="EP513" s="1116"/>
      <c r="EQ513" s="1116"/>
      <c r="ER513" s="1116"/>
      <c r="ES513" s="1116"/>
    </row>
    <row r="514" spans="1:149" ht="15" customHeight="1">
      <c r="A514" s="1185">
        <v>499</v>
      </c>
      <c r="B514" s="1041"/>
      <c r="C514" s="1050"/>
      <c r="D514" s="1050"/>
      <c r="E514" s="1050"/>
      <c r="F514" s="1049"/>
      <c r="G514" s="1457"/>
      <c r="H514" s="1049"/>
      <c r="I514" s="1049"/>
      <c r="J514" s="1050"/>
      <c r="K514" s="1050"/>
      <c r="L514" s="1043"/>
      <c r="M514" s="1051"/>
      <c r="N514" s="1051"/>
      <c r="O514" s="1052"/>
      <c r="P514" s="1051"/>
      <c r="Q514" s="1051"/>
      <c r="R514" s="1052"/>
      <c r="S514" s="1051"/>
      <c r="T514" s="1051"/>
      <c r="U514" s="1052"/>
      <c r="V514" s="1051"/>
      <c r="W514" s="1051"/>
      <c r="X514" s="1052"/>
      <c r="Y514" s="1053"/>
      <c r="Z514" s="1051"/>
      <c r="AA514" s="1051"/>
      <c r="AB514" s="1052"/>
      <c r="AC514" s="1051"/>
      <c r="AD514" s="1051"/>
      <c r="AE514" s="1052"/>
      <c r="AF514" s="1051"/>
      <c r="AG514" s="1051"/>
      <c r="AH514" s="1051"/>
      <c r="AI514" s="1051"/>
      <c r="AJ514" s="1052"/>
      <c r="AK514" s="1051"/>
      <c r="AL514" s="1051"/>
      <c r="AM514" s="1052"/>
      <c r="AN514" s="1051"/>
      <c r="AO514" s="1051"/>
      <c r="AP514" s="1052"/>
      <c r="AQ514" s="1051"/>
      <c r="AR514" s="1051"/>
      <c r="AS514" s="1052"/>
      <c r="AT514" s="1051"/>
      <c r="AU514" s="1051"/>
      <c r="AV514" s="1052"/>
      <c r="AW514" s="1051"/>
      <c r="AX514" s="1051"/>
      <c r="AY514" s="1053"/>
      <c r="AZ514" s="1051"/>
      <c r="BA514" s="1051"/>
      <c r="BB514" s="1053"/>
      <c r="BC514" s="1051"/>
      <c r="BD514" s="1051"/>
      <c r="BE514" s="1053"/>
      <c r="BF514" s="1051"/>
      <c r="BG514" s="1051"/>
      <c r="BH514" s="1053"/>
      <c r="BI514" s="1052"/>
      <c r="BJ514" s="1052"/>
      <c r="BK514" s="1052"/>
      <c r="BL514" s="1052"/>
      <c r="BM514" s="1052"/>
      <c r="BN514" s="1054"/>
      <c r="BO514" s="1076">
        <f t="shared" si="18"/>
        <v>0</v>
      </c>
      <c r="BP514" s="1051"/>
      <c r="BQ514" s="1052"/>
      <c r="BR514" s="1054"/>
      <c r="BS514" s="1053"/>
      <c r="BT514" s="1051"/>
      <c r="BU514" s="1051"/>
      <c r="BV514" s="1051"/>
      <c r="BW514" s="1052"/>
      <c r="BX514" s="1052"/>
      <c r="BY514" s="1052"/>
      <c r="BZ514" s="1052"/>
      <c r="CA514" s="1052"/>
      <c r="CB514" s="1053"/>
      <c r="CC514" s="1053"/>
      <c r="CD514" s="1053"/>
      <c r="CE514" s="1053"/>
      <c r="CF514" s="1053"/>
      <c r="CG514" s="1053"/>
      <c r="CH514" s="1053"/>
      <c r="CI514" s="1123"/>
      <c r="CJ514" s="1123"/>
      <c r="CK514" s="1123"/>
      <c r="CL514" s="1123"/>
      <c r="CM514" s="1123"/>
      <c r="CN514" s="1123"/>
      <c r="CO514" s="1123"/>
      <c r="CP514" s="1123"/>
      <c r="CQ514" s="1123"/>
      <c r="CR514" s="1123"/>
      <c r="CS514" s="1123"/>
      <c r="CT514" s="1123"/>
      <c r="CU514" s="1123"/>
      <c r="CV514" s="1123"/>
      <c r="CW514" s="1123"/>
      <c r="CX514" s="1123"/>
      <c r="CY514" s="1123"/>
      <c r="CZ514" s="1114"/>
      <c r="DA514" s="1114"/>
      <c r="DB514" s="1114"/>
      <c r="DC514" s="1114"/>
      <c r="DD514" s="1114"/>
      <c r="DE514" s="1114"/>
      <c r="DF514" s="1114"/>
      <c r="DG514" s="1114"/>
      <c r="DH514" s="1114"/>
      <c r="DI514" s="1114"/>
      <c r="DJ514" s="1114"/>
      <c r="DK514" s="1114"/>
      <c r="DL514" s="1114"/>
      <c r="DM514" s="1114"/>
      <c r="DN514" s="1114"/>
      <c r="DO514" s="1114"/>
      <c r="DP514" s="1114"/>
      <c r="DQ514" s="1114"/>
      <c r="DR514" s="1114"/>
      <c r="DS514" s="1114"/>
      <c r="DT514" s="1114"/>
      <c r="DU514" s="1114"/>
      <c r="DV514" s="1115"/>
      <c r="DW514" s="1116"/>
      <c r="DX514" s="1116"/>
      <c r="DY514" s="1116"/>
      <c r="DZ514" s="1116"/>
      <c r="EA514" s="1116"/>
      <c r="EB514" s="1116"/>
      <c r="EC514" s="1116"/>
      <c r="ED514" s="1116"/>
      <c r="EE514" s="1116"/>
      <c r="EF514" s="1116"/>
      <c r="EG514" s="1116"/>
      <c r="EH514" s="1116"/>
      <c r="EI514" s="1116"/>
      <c r="EJ514" s="1116"/>
      <c r="EK514" s="1116"/>
      <c r="EL514" s="1116"/>
      <c r="EM514" s="1116"/>
      <c r="EN514" s="1116"/>
      <c r="EO514" s="1116"/>
      <c r="EP514" s="1116"/>
      <c r="EQ514" s="1116"/>
      <c r="ER514" s="1116"/>
      <c r="ES514" s="1116"/>
    </row>
    <row r="515" spans="1:149" ht="15" customHeight="1">
      <c r="A515" s="1185">
        <v>500</v>
      </c>
      <c r="B515" s="1041"/>
      <c r="C515" s="1050"/>
      <c r="D515" s="1050"/>
      <c r="E515" s="1050"/>
      <c r="F515" s="1049"/>
      <c r="G515" s="1457"/>
      <c r="H515" s="1049"/>
      <c r="I515" s="1049"/>
      <c r="J515" s="1050"/>
      <c r="K515" s="1050"/>
      <c r="L515" s="1043"/>
      <c r="M515" s="1051"/>
      <c r="N515" s="1051"/>
      <c r="O515" s="1052"/>
      <c r="P515" s="1051"/>
      <c r="Q515" s="1051"/>
      <c r="R515" s="1052"/>
      <c r="S515" s="1051"/>
      <c r="T515" s="1051"/>
      <c r="U515" s="1052"/>
      <c r="V515" s="1051"/>
      <c r="W515" s="1051"/>
      <c r="X515" s="1052"/>
      <c r="Y515" s="1053"/>
      <c r="Z515" s="1051"/>
      <c r="AA515" s="1051"/>
      <c r="AB515" s="1052"/>
      <c r="AC515" s="1051"/>
      <c r="AD515" s="1051"/>
      <c r="AE515" s="1052"/>
      <c r="AF515" s="1051"/>
      <c r="AG515" s="1051"/>
      <c r="AH515" s="1051"/>
      <c r="AI515" s="1051"/>
      <c r="AJ515" s="1052"/>
      <c r="AK515" s="1051"/>
      <c r="AL515" s="1051"/>
      <c r="AM515" s="1052"/>
      <c r="AN515" s="1051"/>
      <c r="AO515" s="1051"/>
      <c r="AP515" s="1052"/>
      <c r="AQ515" s="1051"/>
      <c r="AR515" s="1051"/>
      <c r="AS515" s="1052"/>
      <c r="AT515" s="1051"/>
      <c r="AU515" s="1051"/>
      <c r="AV515" s="1052"/>
      <c r="AW515" s="1051"/>
      <c r="AX515" s="1051"/>
      <c r="AY515" s="1053"/>
      <c r="AZ515" s="1051"/>
      <c r="BA515" s="1051"/>
      <c r="BB515" s="1053"/>
      <c r="BC515" s="1051"/>
      <c r="BD515" s="1051"/>
      <c r="BE515" s="1053"/>
      <c r="BF515" s="1051"/>
      <c r="BG515" s="1051"/>
      <c r="BH515" s="1053"/>
      <c r="BI515" s="1052"/>
      <c r="BJ515" s="1052"/>
      <c r="BK515" s="1052"/>
      <c r="BL515" s="1052"/>
      <c r="BM515" s="1052"/>
      <c r="BN515" s="1054"/>
      <c r="BO515" s="1076">
        <f t="shared" si="18"/>
        <v>0</v>
      </c>
      <c r="BP515" s="1051"/>
      <c r="BQ515" s="1052"/>
      <c r="BR515" s="1054"/>
      <c r="BS515" s="1053"/>
      <c r="BT515" s="1051"/>
      <c r="BU515" s="1051"/>
      <c r="BV515" s="1051"/>
      <c r="BW515" s="1052"/>
      <c r="BX515" s="1052"/>
      <c r="BY515" s="1052"/>
      <c r="BZ515" s="1052"/>
      <c r="CA515" s="1052"/>
      <c r="CB515" s="1053"/>
      <c r="CC515" s="1053"/>
      <c r="CD515" s="1053"/>
      <c r="CE515" s="1053"/>
      <c r="CF515" s="1053"/>
      <c r="CG515" s="1053"/>
      <c r="CH515" s="1053"/>
      <c r="CI515" s="1123"/>
      <c r="CJ515" s="1123"/>
      <c r="CK515" s="1123"/>
      <c r="CL515" s="1123"/>
      <c r="CM515" s="1123"/>
      <c r="CN515" s="1123"/>
      <c r="CO515" s="1123"/>
      <c r="CP515" s="1123"/>
      <c r="CQ515" s="1123"/>
      <c r="CR515" s="1123"/>
      <c r="CS515" s="1123"/>
      <c r="CT515" s="1123"/>
      <c r="CU515" s="1123"/>
      <c r="CV515" s="1123"/>
      <c r="CW515" s="1123"/>
      <c r="CX515" s="1123"/>
      <c r="CY515" s="1123"/>
      <c r="CZ515" s="1114"/>
      <c r="DA515" s="1114"/>
      <c r="DB515" s="1114"/>
      <c r="DC515" s="1114"/>
      <c r="DD515" s="1114"/>
      <c r="DE515" s="1114"/>
      <c r="DF515" s="1114"/>
      <c r="DG515" s="1114"/>
      <c r="DH515" s="1114"/>
      <c r="DI515" s="1114"/>
      <c r="DJ515" s="1114"/>
      <c r="DK515" s="1114"/>
      <c r="DL515" s="1114"/>
      <c r="DM515" s="1114"/>
      <c r="DN515" s="1114"/>
      <c r="DO515" s="1114"/>
      <c r="DP515" s="1114"/>
      <c r="DQ515" s="1114"/>
      <c r="DR515" s="1114"/>
      <c r="DS515" s="1114"/>
      <c r="DT515" s="1114"/>
      <c r="DU515" s="1114"/>
      <c r="DV515" s="1115"/>
      <c r="DW515" s="1116"/>
      <c r="DX515" s="1116"/>
      <c r="DY515" s="1116"/>
      <c r="DZ515" s="1116"/>
      <c r="EA515" s="1116"/>
      <c r="EB515" s="1116"/>
      <c r="EC515" s="1116"/>
      <c r="ED515" s="1116"/>
      <c r="EE515" s="1116"/>
      <c r="EF515" s="1116"/>
      <c r="EG515" s="1116"/>
      <c r="EH515" s="1116"/>
      <c r="EI515" s="1116"/>
      <c r="EJ515" s="1116"/>
      <c r="EK515" s="1116"/>
      <c r="EL515" s="1116"/>
      <c r="EM515" s="1116"/>
      <c r="EN515" s="1116"/>
      <c r="EO515" s="1116"/>
      <c r="EP515" s="1116"/>
      <c r="EQ515" s="1116"/>
      <c r="ER515" s="1116"/>
      <c r="ES515" s="1116"/>
    </row>
    <row r="516" spans="1:149" ht="15" customHeight="1">
      <c r="A516" s="1185">
        <v>501</v>
      </c>
      <c r="B516" s="1041"/>
      <c r="C516" s="1050"/>
      <c r="D516" s="1050"/>
      <c r="E516" s="1050"/>
      <c r="F516" s="1049"/>
      <c r="G516" s="1457"/>
      <c r="H516" s="1049"/>
      <c r="I516" s="1049"/>
      <c r="J516" s="1050"/>
      <c r="K516" s="1050"/>
      <c r="L516" s="1043"/>
      <c r="M516" s="1051"/>
      <c r="N516" s="1051"/>
      <c r="O516" s="1052"/>
      <c r="P516" s="1051"/>
      <c r="Q516" s="1051"/>
      <c r="R516" s="1052"/>
      <c r="S516" s="1051"/>
      <c r="T516" s="1051"/>
      <c r="U516" s="1052"/>
      <c r="V516" s="1051"/>
      <c r="W516" s="1051"/>
      <c r="X516" s="1052"/>
      <c r="Y516" s="1053"/>
      <c r="Z516" s="1051"/>
      <c r="AA516" s="1051"/>
      <c r="AB516" s="1052"/>
      <c r="AC516" s="1051"/>
      <c r="AD516" s="1051"/>
      <c r="AE516" s="1052"/>
      <c r="AF516" s="1051"/>
      <c r="AG516" s="1051"/>
      <c r="AH516" s="1051"/>
      <c r="AI516" s="1051"/>
      <c r="AJ516" s="1052"/>
      <c r="AK516" s="1051"/>
      <c r="AL516" s="1051"/>
      <c r="AM516" s="1052"/>
      <c r="AN516" s="1051"/>
      <c r="AO516" s="1051"/>
      <c r="AP516" s="1052"/>
      <c r="AQ516" s="1051"/>
      <c r="AR516" s="1051"/>
      <c r="AS516" s="1052"/>
      <c r="AT516" s="1051"/>
      <c r="AU516" s="1051"/>
      <c r="AV516" s="1052"/>
      <c r="AW516" s="1051"/>
      <c r="AX516" s="1051"/>
      <c r="AY516" s="1053"/>
      <c r="AZ516" s="1051"/>
      <c r="BA516" s="1051"/>
      <c r="BB516" s="1053"/>
      <c r="BC516" s="1051"/>
      <c r="BD516" s="1051"/>
      <c r="BE516" s="1053"/>
      <c r="BF516" s="1051"/>
      <c r="BG516" s="1051"/>
      <c r="BH516" s="1053"/>
      <c r="BI516" s="1052"/>
      <c r="BJ516" s="1052"/>
      <c r="BK516" s="1052"/>
      <c r="BL516" s="1052"/>
      <c r="BM516" s="1052"/>
      <c r="BN516" s="1054"/>
      <c r="BO516" s="1076">
        <f t="shared" si="18"/>
        <v>0</v>
      </c>
      <c r="BP516" s="1051"/>
      <c r="BQ516" s="1052"/>
      <c r="BR516" s="1054"/>
      <c r="BS516" s="1053"/>
      <c r="BT516" s="1051"/>
      <c r="BU516" s="1051"/>
      <c r="BV516" s="1051"/>
      <c r="BW516" s="1052"/>
      <c r="BX516" s="1052"/>
      <c r="BY516" s="1052"/>
      <c r="BZ516" s="1052"/>
      <c r="CA516" s="1052"/>
      <c r="CB516" s="1053"/>
      <c r="CC516" s="1053"/>
      <c r="CD516" s="1053"/>
      <c r="CE516" s="1053"/>
      <c r="CF516" s="1053"/>
      <c r="CG516" s="1053"/>
      <c r="CH516" s="1053"/>
      <c r="CI516" s="1123"/>
      <c r="CJ516" s="1123"/>
      <c r="CK516" s="1123"/>
      <c r="CL516" s="1123"/>
      <c r="CM516" s="1123"/>
      <c r="CN516" s="1123"/>
      <c r="CO516" s="1123"/>
      <c r="CP516" s="1123"/>
      <c r="CQ516" s="1123"/>
      <c r="CR516" s="1123"/>
      <c r="CS516" s="1123"/>
      <c r="CT516" s="1123"/>
      <c r="CU516" s="1123"/>
      <c r="CV516" s="1123"/>
      <c r="CW516" s="1123"/>
      <c r="CX516" s="1123"/>
      <c r="CY516" s="1123"/>
      <c r="CZ516" s="1114"/>
      <c r="DA516" s="1114"/>
      <c r="DB516" s="1114"/>
      <c r="DC516" s="1114"/>
      <c r="DD516" s="1114"/>
      <c r="DE516" s="1114"/>
      <c r="DF516" s="1114"/>
      <c r="DG516" s="1114"/>
      <c r="DH516" s="1114"/>
      <c r="DI516" s="1114"/>
      <c r="DJ516" s="1114"/>
      <c r="DK516" s="1114"/>
      <c r="DL516" s="1114"/>
      <c r="DM516" s="1114"/>
      <c r="DN516" s="1114"/>
      <c r="DO516" s="1114"/>
      <c r="DP516" s="1114"/>
      <c r="DQ516" s="1114"/>
      <c r="DR516" s="1114"/>
      <c r="DS516" s="1114"/>
      <c r="DT516" s="1114"/>
      <c r="DU516" s="1114"/>
      <c r="DV516" s="1115"/>
      <c r="DW516" s="1116"/>
      <c r="DX516" s="1116"/>
      <c r="DY516" s="1116"/>
      <c r="DZ516" s="1116"/>
      <c r="EA516" s="1116"/>
      <c r="EB516" s="1116"/>
      <c r="EC516" s="1116"/>
      <c r="ED516" s="1116"/>
      <c r="EE516" s="1116"/>
      <c r="EF516" s="1116"/>
      <c r="EG516" s="1116"/>
      <c r="EH516" s="1116"/>
      <c r="EI516" s="1116"/>
      <c r="EJ516" s="1116"/>
      <c r="EK516" s="1116"/>
      <c r="EL516" s="1116"/>
      <c r="EM516" s="1116"/>
      <c r="EN516" s="1116"/>
      <c r="EO516" s="1116"/>
      <c r="EP516" s="1116"/>
      <c r="EQ516" s="1116"/>
      <c r="ER516" s="1116"/>
      <c r="ES516" s="1116"/>
    </row>
    <row r="517" spans="1:149" ht="15" customHeight="1">
      <c r="A517" s="1185">
        <v>502</v>
      </c>
      <c r="B517" s="1041"/>
      <c r="C517" s="1050"/>
      <c r="D517" s="1050"/>
      <c r="E517" s="1050"/>
      <c r="F517" s="1049"/>
      <c r="G517" s="1457"/>
      <c r="H517" s="1049"/>
      <c r="I517" s="1049"/>
      <c r="J517" s="1050"/>
      <c r="K517" s="1050"/>
      <c r="L517" s="1043"/>
      <c r="M517" s="1051"/>
      <c r="N517" s="1051"/>
      <c r="O517" s="1052"/>
      <c r="P517" s="1051"/>
      <c r="Q517" s="1051"/>
      <c r="R517" s="1052"/>
      <c r="S517" s="1051"/>
      <c r="T517" s="1051"/>
      <c r="U517" s="1052"/>
      <c r="V517" s="1051"/>
      <c r="W517" s="1051"/>
      <c r="X517" s="1052"/>
      <c r="Y517" s="1053"/>
      <c r="Z517" s="1051"/>
      <c r="AA517" s="1051"/>
      <c r="AB517" s="1052"/>
      <c r="AC517" s="1051"/>
      <c r="AD517" s="1051"/>
      <c r="AE517" s="1052"/>
      <c r="AF517" s="1051"/>
      <c r="AG517" s="1051"/>
      <c r="AH517" s="1051"/>
      <c r="AI517" s="1051"/>
      <c r="AJ517" s="1052"/>
      <c r="AK517" s="1051"/>
      <c r="AL517" s="1051"/>
      <c r="AM517" s="1052"/>
      <c r="AN517" s="1051"/>
      <c r="AO517" s="1051"/>
      <c r="AP517" s="1052"/>
      <c r="AQ517" s="1051"/>
      <c r="AR517" s="1051"/>
      <c r="AS517" s="1052"/>
      <c r="AT517" s="1051"/>
      <c r="AU517" s="1051"/>
      <c r="AV517" s="1052"/>
      <c r="AW517" s="1051"/>
      <c r="AX517" s="1051"/>
      <c r="AY517" s="1053"/>
      <c r="AZ517" s="1051"/>
      <c r="BA517" s="1051"/>
      <c r="BB517" s="1053"/>
      <c r="BC517" s="1051"/>
      <c r="BD517" s="1051"/>
      <c r="BE517" s="1053"/>
      <c r="BF517" s="1051"/>
      <c r="BG517" s="1051"/>
      <c r="BH517" s="1053"/>
      <c r="BI517" s="1052"/>
      <c r="BJ517" s="1052"/>
      <c r="BK517" s="1052"/>
      <c r="BL517" s="1052"/>
      <c r="BM517" s="1052"/>
      <c r="BN517" s="1054"/>
      <c r="BO517" s="1076">
        <f t="shared" si="18"/>
        <v>0</v>
      </c>
      <c r="BP517" s="1051"/>
      <c r="BQ517" s="1052"/>
      <c r="BR517" s="1054"/>
      <c r="BS517" s="1053"/>
      <c r="BT517" s="1051"/>
      <c r="BU517" s="1051"/>
      <c r="BV517" s="1051"/>
      <c r="BW517" s="1052"/>
      <c r="BX517" s="1052"/>
      <c r="BY517" s="1052"/>
      <c r="BZ517" s="1052"/>
      <c r="CA517" s="1052"/>
      <c r="CB517" s="1053"/>
      <c r="CC517" s="1053"/>
      <c r="CD517" s="1053"/>
      <c r="CE517" s="1053"/>
      <c r="CF517" s="1053"/>
      <c r="CG517" s="1053"/>
      <c r="CH517" s="1053"/>
      <c r="CI517" s="1123"/>
      <c r="CJ517" s="1123"/>
      <c r="CK517" s="1123"/>
      <c r="CL517" s="1123"/>
      <c r="CM517" s="1123"/>
      <c r="CN517" s="1123"/>
      <c r="CO517" s="1123"/>
      <c r="CP517" s="1123"/>
      <c r="CQ517" s="1123"/>
      <c r="CR517" s="1123"/>
      <c r="CS517" s="1123"/>
      <c r="CT517" s="1123"/>
      <c r="CU517" s="1123"/>
      <c r="CV517" s="1123"/>
      <c r="CW517" s="1123"/>
      <c r="CX517" s="1123"/>
      <c r="CY517" s="1123"/>
      <c r="CZ517" s="1114"/>
      <c r="DA517" s="1114"/>
      <c r="DB517" s="1114"/>
      <c r="DC517" s="1114"/>
      <c r="DD517" s="1114"/>
      <c r="DE517" s="1114"/>
      <c r="DF517" s="1114"/>
      <c r="DG517" s="1114"/>
      <c r="DH517" s="1114"/>
      <c r="DI517" s="1114"/>
      <c r="DJ517" s="1114"/>
      <c r="DK517" s="1114"/>
      <c r="DL517" s="1114"/>
      <c r="DM517" s="1114"/>
      <c r="DN517" s="1114"/>
      <c r="DO517" s="1114"/>
      <c r="DP517" s="1114"/>
      <c r="DQ517" s="1114"/>
      <c r="DR517" s="1114"/>
      <c r="DS517" s="1114"/>
      <c r="DT517" s="1114"/>
      <c r="DU517" s="1114"/>
      <c r="DV517" s="1115"/>
      <c r="DW517" s="1116"/>
      <c r="DX517" s="1116"/>
      <c r="DY517" s="1116"/>
      <c r="DZ517" s="1116"/>
      <c r="EA517" s="1116"/>
      <c r="EB517" s="1116"/>
      <c r="EC517" s="1116"/>
      <c r="ED517" s="1116"/>
      <c r="EE517" s="1116"/>
      <c r="EF517" s="1116"/>
      <c r="EG517" s="1116"/>
      <c r="EH517" s="1116"/>
      <c r="EI517" s="1116"/>
      <c r="EJ517" s="1116"/>
      <c r="EK517" s="1116"/>
      <c r="EL517" s="1116"/>
      <c r="EM517" s="1116"/>
      <c r="EN517" s="1116"/>
      <c r="EO517" s="1116"/>
      <c r="EP517" s="1116"/>
      <c r="EQ517" s="1116"/>
      <c r="ER517" s="1116"/>
      <c r="ES517" s="1116"/>
    </row>
    <row r="518" spans="1:149" ht="15" customHeight="1">
      <c r="A518" s="1185">
        <v>503</v>
      </c>
      <c r="B518" s="1041"/>
      <c r="C518" s="1050"/>
      <c r="D518" s="1050"/>
      <c r="E518" s="1050"/>
      <c r="F518" s="1049"/>
      <c r="G518" s="1457"/>
      <c r="H518" s="1049"/>
      <c r="I518" s="1049"/>
      <c r="J518" s="1050"/>
      <c r="K518" s="1050"/>
      <c r="L518" s="1043"/>
      <c r="M518" s="1051"/>
      <c r="N518" s="1051"/>
      <c r="O518" s="1052"/>
      <c r="P518" s="1051"/>
      <c r="Q518" s="1051"/>
      <c r="R518" s="1052"/>
      <c r="S518" s="1051"/>
      <c r="T518" s="1051"/>
      <c r="U518" s="1052"/>
      <c r="V518" s="1051"/>
      <c r="W518" s="1051"/>
      <c r="X518" s="1052"/>
      <c r="Y518" s="1053"/>
      <c r="Z518" s="1051"/>
      <c r="AA518" s="1051"/>
      <c r="AB518" s="1052"/>
      <c r="AC518" s="1051"/>
      <c r="AD518" s="1051"/>
      <c r="AE518" s="1052"/>
      <c r="AF518" s="1051"/>
      <c r="AG518" s="1051"/>
      <c r="AH518" s="1051"/>
      <c r="AI518" s="1051"/>
      <c r="AJ518" s="1052"/>
      <c r="AK518" s="1051"/>
      <c r="AL518" s="1051"/>
      <c r="AM518" s="1052"/>
      <c r="AN518" s="1051"/>
      <c r="AO518" s="1051"/>
      <c r="AP518" s="1052"/>
      <c r="AQ518" s="1051"/>
      <c r="AR518" s="1051"/>
      <c r="AS518" s="1052"/>
      <c r="AT518" s="1051"/>
      <c r="AU518" s="1051"/>
      <c r="AV518" s="1052"/>
      <c r="AW518" s="1051"/>
      <c r="AX518" s="1051"/>
      <c r="AY518" s="1053"/>
      <c r="AZ518" s="1051"/>
      <c r="BA518" s="1051"/>
      <c r="BB518" s="1053"/>
      <c r="BC518" s="1051"/>
      <c r="BD518" s="1051"/>
      <c r="BE518" s="1053"/>
      <c r="BF518" s="1051"/>
      <c r="BG518" s="1051"/>
      <c r="BH518" s="1053"/>
      <c r="BI518" s="1052"/>
      <c r="BJ518" s="1052"/>
      <c r="BK518" s="1052"/>
      <c r="BL518" s="1052"/>
      <c r="BM518" s="1052"/>
      <c r="BN518" s="1054"/>
      <c r="BO518" s="1076">
        <f t="shared" si="18"/>
        <v>0</v>
      </c>
      <c r="BP518" s="1051"/>
      <c r="BQ518" s="1052"/>
      <c r="BR518" s="1054"/>
      <c r="BS518" s="1053"/>
      <c r="BT518" s="1051"/>
      <c r="BU518" s="1051"/>
      <c r="BV518" s="1051"/>
      <c r="BW518" s="1052"/>
      <c r="BX518" s="1052"/>
      <c r="BY518" s="1052"/>
      <c r="BZ518" s="1052"/>
      <c r="CA518" s="1052"/>
      <c r="CB518" s="1053"/>
      <c r="CC518" s="1053"/>
      <c r="CD518" s="1053"/>
      <c r="CE518" s="1053"/>
      <c r="CF518" s="1053"/>
      <c r="CG518" s="1053"/>
      <c r="CH518" s="1053"/>
      <c r="CI518" s="1123"/>
      <c r="CJ518" s="1123"/>
      <c r="CK518" s="1123"/>
      <c r="CL518" s="1123"/>
      <c r="CM518" s="1123"/>
      <c r="CN518" s="1123"/>
      <c r="CO518" s="1123"/>
      <c r="CP518" s="1123"/>
      <c r="CQ518" s="1123"/>
      <c r="CR518" s="1123"/>
      <c r="CS518" s="1123"/>
      <c r="CT518" s="1123"/>
      <c r="CU518" s="1123"/>
      <c r="CV518" s="1123"/>
      <c r="CW518" s="1123"/>
      <c r="CX518" s="1123"/>
      <c r="CY518" s="1123"/>
      <c r="CZ518" s="1114"/>
      <c r="DA518" s="1114"/>
      <c r="DB518" s="1114"/>
      <c r="DC518" s="1114"/>
      <c r="DD518" s="1114"/>
      <c r="DE518" s="1114"/>
      <c r="DF518" s="1114"/>
      <c r="DG518" s="1114"/>
      <c r="DH518" s="1114"/>
      <c r="DI518" s="1114"/>
      <c r="DJ518" s="1114"/>
      <c r="DK518" s="1114"/>
      <c r="DL518" s="1114"/>
      <c r="DM518" s="1114"/>
      <c r="DN518" s="1114"/>
      <c r="DO518" s="1114"/>
      <c r="DP518" s="1114"/>
      <c r="DQ518" s="1114"/>
      <c r="DR518" s="1114"/>
      <c r="DS518" s="1114"/>
      <c r="DT518" s="1114"/>
      <c r="DU518" s="1114"/>
      <c r="DV518" s="1115"/>
      <c r="DW518" s="1116"/>
      <c r="DX518" s="1116"/>
      <c r="DY518" s="1116"/>
      <c r="DZ518" s="1116"/>
      <c r="EA518" s="1116"/>
      <c r="EB518" s="1116"/>
      <c r="EC518" s="1116"/>
      <c r="ED518" s="1116"/>
      <c r="EE518" s="1116"/>
      <c r="EF518" s="1116"/>
      <c r="EG518" s="1116"/>
      <c r="EH518" s="1116"/>
      <c r="EI518" s="1116"/>
      <c r="EJ518" s="1116"/>
      <c r="EK518" s="1116"/>
      <c r="EL518" s="1116"/>
      <c r="EM518" s="1116"/>
      <c r="EN518" s="1116"/>
      <c r="EO518" s="1116"/>
      <c r="EP518" s="1116"/>
      <c r="EQ518" s="1116"/>
      <c r="ER518" s="1116"/>
      <c r="ES518" s="1116"/>
    </row>
    <row r="519" spans="1:149" ht="15" customHeight="1">
      <c r="A519" s="1185">
        <v>504</v>
      </c>
      <c r="B519" s="1041"/>
      <c r="C519" s="1050"/>
      <c r="D519" s="1050"/>
      <c r="E519" s="1050"/>
      <c r="F519" s="1049"/>
      <c r="G519" s="1457"/>
      <c r="H519" s="1049"/>
      <c r="I519" s="1049"/>
      <c r="J519" s="1050"/>
      <c r="K519" s="1050"/>
      <c r="L519" s="1043"/>
      <c r="M519" s="1051"/>
      <c r="N519" s="1051"/>
      <c r="O519" s="1052"/>
      <c r="P519" s="1051"/>
      <c r="Q519" s="1051"/>
      <c r="R519" s="1052"/>
      <c r="S519" s="1051"/>
      <c r="T519" s="1051"/>
      <c r="U519" s="1052"/>
      <c r="V519" s="1051"/>
      <c r="W519" s="1051"/>
      <c r="X519" s="1052"/>
      <c r="Y519" s="1053"/>
      <c r="Z519" s="1051"/>
      <c r="AA519" s="1051"/>
      <c r="AB519" s="1052"/>
      <c r="AC519" s="1051"/>
      <c r="AD519" s="1051"/>
      <c r="AE519" s="1052"/>
      <c r="AF519" s="1051"/>
      <c r="AG519" s="1051"/>
      <c r="AH519" s="1051"/>
      <c r="AI519" s="1051"/>
      <c r="AJ519" s="1052"/>
      <c r="AK519" s="1051"/>
      <c r="AL519" s="1051"/>
      <c r="AM519" s="1052"/>
      <c r="AN519" s="1051"/>
      <c r="AO519" s="1051"/>
      <c r="AP519" s="1052"/>
      <c r="AQ519" s="1051"/>
      <c r="AR519" s="1051"/>
      <c r="AS519" s="1052"/>
      <c r="AT519" s="1051"/>
      <c r="AU519" s="1051"/>
      <c r="AV519" s="1052"/>
      <c r="AW519" s="1051"/>
      <c r="AX519" s="1051"/>
      <c r="AY519" s="1053"/>
      <c r="AZ519" s="1051"/>
      <c r="BA519" s="1051"/>
      <c r="BB519" s="1053"/>
      <c r="BC519" s="1051"/>
      <c r="BD519" s="1051"/>
      <c r="BE519" s="1053"/>
      <c r="BF519" s="1051"/>
      <c r="BG519" s="1051"/>
      <c r="BH519" s="1053"/>
      <c r="BI519" s="1052"/>
      <c r="BJ519" s="1052"/>
      <c r="BK519" s="1052"/>
      <c r="BL519" s="1052"/>
      <c r="BM519" s="1052"/>
      <c r="BN519" s="1054"/>
      <c r="BO519" s="1076">
        <f t="shared" si="18"/>
        <v>0</v>
      </c>
      <c r="BP519" s="1051"/>
      <c r="BQ519" s="1052"/>
      <c r="BR519" s="1054"/>
      <c r="BS519" s="1053"/>
      <c r="BT519" s="1051"/>
      <c r="BU519" s="1051"/>
      <c r="BV519" s="1051"/>
      <c r="BW519" s="1052"/>
      <c r="BX519" s="1052"/>
      <c r="BY519" s="1052"/>
      <c r="BZ519" s="1052"/>
      <c r="CA519" s="1052"/>
      <c r="CB519" s="1053"/>
      <c r="CC519" s="1053"/>
      <c r="CD519" s="1053"/>
      <c r="CE519" s="1053"/>
      <c r="CF519" s="1053"/>
      <c r="CG519" s="1053"/>
      <c r="CH519" s="1053"/>
      <c r="CI519" s="1123"/>
      <c r="CJ519" s="1123"/>
      <c r="CK519" s="1123"/>
      <c r="CL519" s="1123"/>
      <c r="CM519" s="1123"/>
      <c r="CN519" s="1123"/>
      <c r="CO519" s="1123"/>
      <c r="CP519" s="1123"/>
      <c r="CQ519" s="1123"/>
      <c r="CR519" s="1123"/>
      <c r="CS519" s="1123"/>
      <c r="CT519" s="1123"/>
      <c r="CU519" s="1123"/>
      <c r="CV519" s="1123"/>
      <c r="CW519" s="1123"/>
      <c r="CX519" s="1123"/>
      <c r="CY519" s="1123"/>
      <c r="CZ519" s="1114"/>
      <c r="DA519" s="1114"/>
      <c r="DB519" s="1114"/>
      <c r="DC519" s="1114"/>
      <c r="DD519" s="1114"/>
      <c r="DE519" s="1114"/>
      <c r="DF519" s="1114"/>
      <c r="DG519" s="1114"/>
      <c r="DH519" s="1114"/>
      <c r="DI519" s="1114"/>
      <c r="DJ519" s="1114"/>
      <c r="DK519" s="1114"/>
      <c r="DL519" s="1114"/>
      <c r="DM519" s="1114"/>
      <c r="DN519" s="1114"/>
      <c r="DO519" s="1114"/>
      <c r="DP519" s="1114"/>
      <c r="DQ519" s="1114"/>
      <c r="DR519" s="1114"/>
      <c r="DS519" s="1114"/>
      <c r="DT519" s="1114"/>
      <c r="DU519" s="1114"/>
      <c r="DV519" s="1115"/>
      <c r="DW519" s="1116"/>
      <c r="DX519" s="1116"/>
      <c r="DY519" s="1116"/>
      <c r="DZ519" s="1116"/>
      <c r="EA519" s="1116"/>
      <c r="EB519" s="1116"/>
      <c r="EC519" s="1116"/>
      <c r="ED519" s="1116"/>
      <c r="EE519" s="1116"/>
      <c r="EF519" s="1116"/>
      <c r="EG519" s="1116"/>
      <c r="EH519" s="1116"/>
      <c r="EI519" s="1116"/>
      <c r="EJ519" s="1116"/>
      <c r="EK519" s="1116"/>
      <c r="EL519" s="1116"/>
      <c r="EM519" s="1116"/>
      <c r="EN519" s="1116"/>
      <c r="EO519" s="1116"/>
      <c r="EP519" s="1116"/>
      <c r="EQ519" s="1116"/>
      <c r="ER519" s="1116"/>
      <c r="ES519" s="1116"/>
    </row>
    <row r="520" spans="1:149" ht="15" customHeight="1">
      <c r="A520" s="1185">
        <v>505</v>
      </c>
      <c r="B520" s="1041"/>
      <c r="C520" s="1050"/>
      <c r="D520" s="1050"/>
      <c r="E520" s="1050"/>
      <c r="F520" s="1049"/>
      <c r="G520" s="1457"/>
      <c r="H520" s="1049"/>
      <c r="I520" s="1049"/>
      <c r="J520" s="1050"/>
      <c r="K520" s="1050"/>
      <c r="L520" s="1043"/>
      <c r="M520" s="1051"/>
      <c r="N520" s="1051"/>
      <c r="O520" s="1052"/>
      <c r="P520" s="1051"/>
      <c r="Q520" s="1051"/>
      <c r="R520" s="1052"/>
      <c r="S520" s="1051"/>
      <c r="T520" s="1051"/>
      <c r="U520" s="1052"/>
      <c r="V520" s="1051"/>
      <c r="W520" s="1051"/>
      <c r="X520" s="1052"/>
      <c r="Y520" s="1053"/>
      <c r="Z520" s="1051"/>
      <c r="AA520" s="1051"/>
      <c r="AB520" s="1052"/>
      <c r="AC520" s="1051"/>
      <c r="AD520" s="1051"/>
      <c r="AE520" s="1052"/>
      <c r="AF520" s="1051"/>
      <c r="AG520" s="1051"/>
      <c r="AH520" s="1051"/>
      <c r="AI520" s="1051"/>
      <c r="AJ520" s="1052"/>
      <c r="AK520" s="1051"/>
      <c r="AL520" s="1051"/>
      <c r="AM520" s="1052"/>
      <c r="AN520" s="1051"/>
      <c r="AO520" s="1051"/>
      <c r="AP520" s="1052"/>
      <c r="AQ520" s="1051"/>
      <c r="AR520" s="1051"/>
      <c r="AS520" s="1052"/>
      <c r="AT520" s="1051"/>
      <c r="AU520" s="1051"/>
      <c r="AV520" s="1052"/>
      <c r="AW520" s="1051"/>
      <c r="AX520" s="1051"/>
      <c r="AY520" s="1053"/>
      <c r="AZ520" s="1051"/>
      <c r="BA520" s="1051"/>
      <c r="BB520" s="1053"/>
      <c r="BC520" s="1051"/>
      <c r="BD520" s="1051"/>
      <c r="BE520" s="1053"/>
      <c r="BF520" s="1051"/>
      <c r="BG520" s="1051"/>
      <c r="BH520" s="1053"/>
      <c r="BI520" s="1052"/>
      <c r="BJ520" s="1052"/>
      <c r="BK520" s="1052"/>
      <c r="BL520" s="1052"/>
      <c r="BM520" s="1052"/>
      <c r="BN520" s="1054"/>
      <c r="BO520" s="1076">
        <f t="shared" si="18"/>
        <v>0</v>
      </c>
      <c r="BP520" s="1051"/>
      <c r="BQ520" s="1052"/>
      <c r="BR520" s="1054"/>
      <c r="BS520" s="1053"/>
      <c r="BT520" s="1051"/>
      <c r="BU520" s="1051"/>
      <c r="BV520" s="1051"/>
      <c r="BW520" s="1052"/>
      <c r="BX520" s="1052"/>
      <c r="BY520" s="1052"/>
      <c r="BZ520" s="1052"/>
      <c r="CA520" s="1052"/>
      <c r="CB520" s="1053"/>
      <c r="CC520" s="1053"/>
      <c r="CD520" s="1053"/>
      <c r="CE520" s="1053"/>
      <c r="CF520" s="1053"/>
      <c r="CG520" s="1053"/>
      <c r="CH520" s="1053"/>
      <c r="CI520" s="1123"/>
      <c r="CJ520" s="1123"/>
      <c r="CK520" s="1123"/>
      <c r="CL520" s="1123"/>
      <c r="CM520" s="1123"/>
      <c r="CN520" s="1123"/>
      <c r="CO520" s="1123"/>
      <c r="CP520" s="1123"/>
      <c r="CQ520" s="1123"/>
      <c r="CR520" s="1123"/>
      <c r="CS520" s="1123"/>
      <c r="CT520" s="1123"/>
      <c r="CU520" s="1123"/>
      <c r="CV520" s="1123"/>
      <c r="CW520" s="1123"/>
      <c r="CX520" s="1123"/>
      <c r="CY520" s="1123"/>
      <c r="CZ520" s="1114"/>
      <c r="DA520" s="1114"/>
      <c r="DB520" s="1114"/>
      <c r="DC520" s="1114"/>
      <c r="DD520" s="1114"/>
      <c r="DE520" s="1114"/>
      <c r="DF520" s="1114"/>
      <c r="DG520" s="1114"/>
      <c r="DH520" s="1114"/>
      <c r="DI520" s="1114"/>
      <c r="DJ520" s="1114"/>
      <c r="DK520" s="1114"/>
      <c r="DL520" s="1114"/>
      <c r="DM520" s="1114"/>
      <c r="DN520" s="1114"/>
      <c r="DO520" s="1114"/>
      <c r="DP520" s="1114"/>
      <c r="DQ520" s="1114"/>
      <c r="DR520" s="1114"/>
      <c r="DS520" s="1114"/>
      <c r="DT520" s="1114"/>
      <c r="DU520" s="1114"/>
      <c r="DV520" s="1115"/>
      <c r="DW520" s="1116"/>
      <c r="DX520" s="1116"/>
      <c r="DY520" s="1116"/>
      <c r="DZ520" s="1116"/>
      <c r="EA520" s="1116"/>
      <c r="EB520" s="1116"/>
      <c r="EC520" s="1116"/>
      <c r="ED520" s="1116"/>
      <c r="EE520" s="1116"/>
      <c r="EF520" s="1116"/>
      <c r="EG520" s="1116"/>
      <c r="EH520" s="1116"/>
      <c r="EI520" s="1116"/>
      <c r="EJ520" s="1116"/>
      <c r="EK520" s="1116"/>
      <c r="EL520" s="1116"/>
      <c r="EM520" s="1116"/>
      <c r="EN520" s="1116"/>
      <c r="EO520" s="1116"/>
      <c r="EP520" s="1116"/>
      <c r="EQ520" s="1116"/>
      <c r="ER520" s="1116"/>
      <c r="ES520" s="1116"/>
    </row>
    <row r="521" spans="1:149" ht="15" customHeight="1">
      <c r="A521" s="1185">
        <v>506</v>
      </c>
      <c r="B521" s="1041"/>
      <c r="C521" s="1050"/>
      <c r="D521" s="1050"/>
      <c r="E521" s="1050"/>
      <c r="F521" s="1049"/>
      <c r="G521" s="1457"/>
      <c r="H521" s="1049"/>
      <c r="I521" s="1049"/>
      <c r="J521" s="1050"/>
      <c r="K521" s="1050"/>
      <c r="L521" s="1043"/>
      <c r="M521" s="1051"/>
      <c r="N521" s="1051"/>
      <c r="O521" s="1052"/>
      <c r="P521" s="1051"/>
      <c r="Q521" s="1051"/>
      <c r="R521" s="1052"/>
      <c r="S521" s="1051"/>
      <c r="T521" s="1051"/>
      <c r="U521" s="1052"/>
      <c r="V521" s="1051"/>
      <c r="W521" s="1051"/>
      <c r="X521" s="1052"/>
      <c r="Y521" s="1053"/>
      <c r="Z521" s="1051"/>
      <c r="AA521" s="1051"/>
      <c r="AB521" s="1052"/>
      <c r="AC521" s="1051"/>
      <c r="AD521" s="1051"/>
      <c r="AE521" s="1052"/>
      <c r="AF521" s="1051"/>
      <c r="AG521" s="1051"/>
      <c r="AH521" s="1051"/>
      <c r="AI521" s="1051"/>
      <c r="AJ521" s="1052"/>
      <c r="AK521" s="1051"/>
      <c r="AL521" s="1051"/>
      <c r="AM521" s="1052"/>
      <c r="AN521" s="1051"/>
      <c r="AO521" s="1051"/>
      <c r="AP521" s="1052"/>
      <c r="AQ521" s="1051"/>
      <c r="AR521" s="1051"/>
      <c r="AS521" s="1052"/>
      <c r="AT521" s="1051"/>
      <c r="AU521" s="1051"/>
      <c r="AV521" s="1052"/>
      <c r="AW521" s="1051"/>
      <c r="AX521" s="1051"/>
      <c r="AY521" s="1053"/>
      <c r="AZ521" s="1051"/>
      <c r="BA521" s="1051"/>
      <c r="BB521" s="1053"/>
      <c r="BC521" s="1051"/>
      <c r="BD521" s="1051"/>
      <c r="BE521" s="1053"/>
      <c r="BF521" s="1051"/>
      <c r="BG521" s="1051"/>
      <c r="BH521" s="1053"/>
      <c r="BI521" s="1052"/>
      <c r="BJ521" s="1052"/>
      <c r="BK521" s="1052"/>
      <c r="BL521" s="1052"/>
      <c r="BM521" s="1052"/>
      <c r="BN521" s="1054"/>
      <c r="BO521" s="1076">
        <f t="shared" si="18"/>
        <v>0</v>
      </c>
      <c r="BP521" s="1051"/>
      <c r="BQ521" s="1052"/>
      <c r="BR521" s="1054"/>
      <c r="BS521" s="1053"/>
      <c r="BT521" s="1051"/>
      <c r="BU521" s="1051"/>
      <c r="BV521" s="1051"/>
      <c r="BW521" s="1052"/>
      <c r="BX521" s="1052"/>
      <c r="BY521" s="1052"/>
      <c r="BZ521" s="1052"/>
      <c r="CA521" s="1052"/>
      <c r="CB521" s="1053"/>
      <c r="CC521" s="1053"/>
      <c r="CD521" s="1053"/>
      <c r="CE521" s="1053"/>
      <c r="CF521" s="1053"/>
      <c r="CG521" s="1053"/>
      <c r="CH521" s="1053"/>
      <c r="CI521" s="1123"/>
      <c r="CJ521" s="1123"/>
      <c r="CK521" s="1123"/>
      <c r="CL521" s="1123"/>
      <c r="CM521" s="1123"/>
      <c r="CN521" s="1123"/>
      <c r="CO521" s="1123"/>
      <c r="CP521" s="1123"/>
      <c r="CQ521" s="1123"/>
      <c r="CR521" s="1123"/>
      <c r="CS521" s="1123"/>
      <c r="CT521" s="1123"/>
      <c r="CU521" s="1123"/>
      <c r="CV521" s="1123"/>
      <c r="CW521" s="1123"/>
      <c r="CX521" s="1123"/>
      <c r="CY521" s="1123"/>
      <c r="CZ521" s="1114"/>
      <c r="DA521" s="1114"/>
      <c r="DB521" s="1114"/>
      <c r="DC521" s="1114"/>
      <c r="DD521" s="1114"/>
      <c r="DE521" s="1114"/>
      <c r="DF521" s="1114"/>
      <c r="DG521" s="1114"/>
      <c r="DH521" s="1114"/>
      <c r="DI521" s="1114"/>
      <c r="DJ521" s="1114"/>
      <c r="DK521" s="1114"/>
      <c r="DL521" s="1114"/>
      <c r="DM521" s="1114"/>
      <c r="DN521" s="1114"/>
      <c r="DO521" s="1114"/>
      <c r="DP521" s="1114"/>
      <c r="DQ521" s="1114"/>
      <c r="DR521" s="1114"/>
      <c r="DS521" s="1114"/>
      <c r="DT521" s="1114"/>
      <c r="DU521" s="1114"/>
      <c r="DV521" s="1115"/>
      <c r="DW521" s="1116"/>
      <c r="DX521" s="1116"/>
      <c r="DY521" s="1116"/>
      <c r="DZ521" s="1116"/>
      <c r="EA521" s="1116"/>
      <c r="EB521" s="1116"/>
      <c r="EC521" s="1116"/>
      <c r="ED521" s="1116"/>
      <c r="EE521" s="1116"/>
      <c r="EF521" s="1116"/>
      <c r="EG521" s="1116"/>
      <c r="EH521" s="1116"/>
      <c r="EI521" s="1116"/>
      <c r="EJ521" s="1116"/>
      <c r="EK521" s="1116"/>
      <c r="EL521" s="1116"/>
      <c r="EM521" s="1116"/>
      <c r="EN521" s="1116"/>
      <c r="EO521" s="1116"/>
      <c r="EP521" s="1116"/>
      <c r="EQ521" s="1116"/>
      <c r="ER521" s="1116"/>
      <c r="ES521" s="1116"/>
    </row>
    <row r="522" spans="1:149" ht="15" customHeight="1">
      <c r="A522" s="1185">
        <v>507</v>
      </c>
      <c r="B522" s="1041"/>
      <c r="C522" s="1050"/>
      <c r="D522" s="1050"/>
      <c r="E522" s="1050"/>
      <c r="F522" s="1049"/>
      <c r="G522" s="1457"/>
      <c r="H522" s="1049"/>
      <c r="I522" s="1049"/>
      <c r="J522" s="1050"/>
      <c r="K522" s="1050"/>
      <c r="L522" s="1043"/>
      <c r="M522" s="1051"/>
      <c r="N522" s="1051"/>
      <c r="O522" s="1052"/>
      <c r="P522" s="1051"/>
      <c r="Q522" s="1051"/>
      <c r="R522" s="1052"/>
      <c r="S522" s="1051"/>
      <c r="T522" s="1051"/>
      <c r="U522" s="1052"/>
      <c r="V522" s="1051"/>
      <c r="W522" s="1051"/>
      <c r="X522" s="1052"/>
      <c r="Y522" s="1053"/>
      <c r="Z522" s="1051"/>
      <c r="AA522" s="1051"/>
      <c r="AB522" s="1052"/>
      <c r="AC522" s="1051"/>
      <c r="AD522" s="1051"/>
      <c r="AE522" s="1052"/>
      <c r="AF522" s="1051"/>
      <c r="AG522" s="1051"/>
      <c r="AH522" s="1051"/>
      <c r="AI522" s="1051"/>
      <c r="AJ522" s="1052"/>
      <c r="AK522" s="1051"/>
      <c r="AL522" s="1051"/>
      <c r="AM522" s="1052"/>
      <c r="AN522" s="1051"/>
      <c r="AO522" s="1051"/>
      <c r="AP522" s="1052"/>
      <c r="AQ522" s="1051"/>
      <c r="AR522" s="1051"/>
      <c r="AS522" s="1052"/>
      <c r="AT522" s="1051"/>
      <c r="AU522" s="1051"/>
      <c r="AV522" s="1052"/>
      <c r="AW522" s="1051"/>
      <c r="AX522" s="1051"/>
      <c r="AY522" s="1053"/>
      <c r="AZ522" s="1051"/>
      <c r="BA522" s="1051"/>
      <c r="BB522" s="1053"/>
      <c r="BC522" s="1051"/>
      <c r="BD522" s="1051"/>
      <c r="BE522" s="1053"/>
      <c r="BF522" s="1051"/>
      <c r="BG522" s="1051"/>
      <c r="BH522" s="1053"/>
      <c r="BI522" s="1052"/>
      <c r="BJ522" s="1052"/>
      <c r="BK522" s="1052"/>
      <c r="BL522" s="1052"/>
      <c r="BM522" s="1052"/>
      <c r="BN522" s="1054"/>
      <c r="BO522" s="1076">
        <f t="shared" si="18"/>
        <v>0</v>
      </c>
      <c r="BP522" s="1051"/>
      <c r="BQ522" s="1052"/>
      <c r="BR522" s="1054"/>
      <c r="BS522" s="1053"/>
      <c r="BT522" s="1051"/>
      <c r="BU522" s="1051"/>
      <c r="BV522" s="1051"/>
      <c r="BW522" s="1052"/>
      <c r="BX522" s="1052"/>
      <c r="BY522" s="1052"/>
      <c r="BZ522" s="1052"/>
      <c r="CA522" s="1052"/>
      <c r="CB522" s="1053"/>
      <c r="CC522" s="1053"/>
      <c r="CD522" s="1053"/>
      <c r="CE522" s="1053"/>
      <c r="CF522" s="1053"/>
      <c r="CG522" s="1053"/>
      <c r="CH522" s="1053"/>
      <c r="CI522" s="1123"/>
      <c r="CJ522" s="1123"/>
      <c r="CK522" s="1123"/>
      <c r="CL522" s="1123"/>
      <c r="CM522" s="1123"/>
      <c r="CN522" s="1123"/>
      <c r="CO522" s="1123"/>
      <c r="CP522" s="1123"/>
      <c r="CQ522" s="1123"/>
      <c r="CR522" s="1123"/>
      <c r="CS522" s="1123"/>
      <c r="CT522" s="1123"/>
      <c r="CU522" s="1123"/>
      <c r="CV522" s="1123"/>
      <c r="CW522" s="1123"/>
      <c r="CX522" s="1123"/>
      <c r="CY522" s="1123"/>
      <c r="CZ522" s="1114"/>
      <c r="DA522" s="1114"/>
      <c r="DB522" s="1114"/>
      <c r="DC522" s="1114"/>
      <c r="DD522" s="1114"/>
      <c r="DE522" s="1114"/>
      <c r="DF522" s="1114"/>
      <c r="DG522" s="1114"/>
      <c r="DH522" s="1114"/>
      <c r="DI522" s="1114"/>
      <c r="DJ522" s="1114"/>
      <c r="DK522" s="1114"/>
      <c r="DL522" s="1114"/>
      <c r="DM522" s="1114"/>
      <c r="DN522" s="1114"/>
      <c r="DO522" s="1114"/>
      <c r="DP522" s="1114"/>
      <c r="DQ522" s="1114"/>
      <c r="DR522" s="1114"/>
      <c r="DS522" s="1114"/>
      <c r="DT522" s="1114"/>
      <c r="DU522" s="1114"/>
      <c r="DV522" s="1115"/>
      <c r="DW522" s="1116"/>
      <c r="DX522" s="1116"/>
      <c r="DY522" s="1116"/>
      <c r="DZ522" s="1116"/>
      <c r="EA522" s="1116"/>
      <c r="EB522" s="1116"/>
      <c r="EC522" s="1116"/>
      <c r="ED522" s="1116"/>
      <c r="EE522" s="1116"/>
      <c r="EF522" s="1116"/>
      <c r="EG522" s="1116"/>
      <c r="EH522" s="1116"/>
      <c r="EI522" s="1116"/>
      <c r="EJ522" s="1116"/>
      <c r="EK522" s="1116"/>
      <c r="EL522" s="1116"/>
      <c r="EM522" s="1116"/>
      <c r="EN522" s="1116"/>
      <c r="EO522" s="1116"/>
      <c r="EP522" s="1116"/>
      <c r="EQ522" s="1116"/>
      <c r="ER522" s="1116"/>
      <c r="ES522" s="1116"/>
    </row>
    <row r="523" spans="1:149" ht="15" customHeight="1">
      <c r="A523" s="1185">
        <v>508</v>
      </c>
      <c r="B523" s="1041"/>
      <c r="C523" s="1050"/>
      <c r="D523" s="1050"/>
      <c r="E523" s="1050"/>
      <c r="F523" s="1049"/>
      <c r="G523" s="1457"/>
      <c r="H523" s="1049"/>
      <c r="I523" s="1049"/>
      <c r="J523" s="1050"/>
      <c r="K523" s="1050"/>
      <c r="L523" s="1043"/>
      <c r="M523" s="1051"/>
      <c r="N523" s="1051"/>
      <c r="O523" s="1052"/>
      <c r="P523" s="1051"/>
      <c r="Q523" s="1051"/>
      <c r="R523" s="1052"/>
      <c r="S523" s="1051"/>
      <c r="T523" s="1051"/>
      <c r="U523" s="1052"/>
      <c r="V523" s="1051"/>
      <c r="W523" s="1051"/>
      <c r="X523" s="1052"/>
      <c r="Y523" s="1053"/>
      <c r="Z523" s="1051"/>
      <c r="AA523" s="1051"/>
      <c r="AB523" s="1052"/>
      <c r="AC523" s="1051"/>
      <c r="AD523" s="1051"/>
      <c r="AE523" s="1052"/>
      <c r="AF523" s="1051"/>
      <c r="AG523" s="1051"/>
      <c r="AH523" s="1051"/>
      <c r="AI523" s="1051"/>
      <c r="AJ523" s="1052"/>
      <c r="AK523" s="1051"/>
      <c r="AL523" s="1051"/>
      <c r="AM523" s="1052"/>
      <c r="AN523" s="1051"/>
      <c r="AO523" s="1051"/>
      <c r="AP523" s="1052"/>
      <c r="AQ523" s="1051"/>
      <c r="AR523" s="1051"/>
      <c r="AS523" s="1052"/>
      <c r="AT523" s="1051"/>
      <c r="AU523" s="1051"/>
      <c r="AV523" s="1052"/>
      <c r="AW523" s="1051"/>
      <c r="AX523" s="1051"/>
      <c r="AY523" s="1053"/>
      <c r="AZ523" s="1051"/>
      <c r="BA523" s="1051"/>
      <c r="BB523" s="1053"/>
      <c r="BC523" s="1051"/>
      <c r="BD523" s="1051"/>
      <c r="BE523" s="1053"/>
      <c r="BF523" s="1051"/>
      <c r="BG523" s="1051"/>
      <c r="BH523" s="1053"/>
      <c r="BI523" s="1052"/>
      <c r="BJ523" s="1052"/>
      <c r="BK523" s="1052"/>
      <c r="BL523" s="1052"/>
      <c r="BM523" s="1052"/>
      <c r="BN523" s="1054"/>
      <c r="BO523" s="1076">
        <f t="shared" si="18"/>
        <v>0</v>
      </c>
      <c r="BP523" s="1051"/>
      <c r="BQ523" s="1052"/>
      <c r="BR523" s="1054"/>
      <c r="BS523" s="1053"/>
      <c r="BT523" s="1051"/>
      <c r="BU523" s="1051"/>
      <c r="BV523" s="1051"/>
      <c r="BW523" s="1052"/>
      <c r="BX523" s="1052"/>
      <c r="BY523" s="1052"/>
      <c r="BZ523" s="1052"/>
      <c r="CA523" s="1052"/>
      <c r="CB523" s="1053"/>
      <c r="CC523" s="1053"/>
      <c r="CD523" s="1053"/>
      <c r="CE523" s="1053"/>
      <c r="CF523" s="1053"/>
      <c r="CG523" s="1053"/>
      <c r="CH523" s="1053"/>
      <c r="CI523" s="1123"/>
      <c r="CJ523" s="1123"/>
      <c r="CK523" s="1123"/>
      <c r="CL523" s="1123"/>
      <c r="CM523" s="1123"/>
      <c r="CN523" s="1123"/>
      <c r="CO523" s="1123"/>
      <c r="CP523" s="1123"/>
      <c r="CQ523" s="1123"/>
      <c r="CR523" s="1123"/>
      <c r="CS523" s="1123"/>
      <c r="CT523" s="1123"/>
      <c r="CU523" s="1123"/>
      <c r="CV523" s="1123"/>
      <c r="CW523" s="1123"/>
      <c r="CX523" s="1123"/>
      <c r="CY523" s="1123"/>
      <c r="CZ523" s="1114"/>
      <c r="DA523" s="1114"/>
      <c r="DB523" s="1114"/>
      <c r="DC523" s="1114"/>
      <c r="DD523" s="1114"/>
      <c r="DE523" s="1114"/>
      <c r="DF523" s="1114"/>
      <c r="DG523" s="1114"/>
      <c r="DH523" s="1114"/>
      <c r="DI523" s="1114"/>
      <c r="DJ523" s="1114"/>
      <c r="DK523" s="1114"/>
      <c r="DL523" s="1114"/>
      <c r="DM523" s="1114"/>
      <c r="DN523" s="1114"/>
      <c r="DO523" s="1114"/>
      <c r="DP523" s="1114"/>
      <c r="DQ523" s="1114"/>
      <c r="DR523" s="1114"/>
      <c r="DS523" s="1114"/>
      <c r="DT523" s="1114"/>
      <c r="DU523" s="1114"/>
      <c r="DV523" s="1115"/>
      <c r="DW523" s="1116"/>
      <c r="DX523" s="1116"/>
      <c r="DY523" s="1116"/>
      <c r="DZ523" s="1116"/>
      <c r="EA523" s="1116"/>
      <c r="EB523" s="1116"/>
      <c r="EC523" s="1116"/>
      <c r="ED523" s="1116"/>
      <c r="EE523" s="1116"/>
      <c r="EF523" s="1116"/>
      <c r="EG523" s="1116"/>
      <c r="EH523" s="1116"/>
      <c r="EI523" s="1116"/>
      <c r="EJ523" s="1116"/>
      <c r="EK523" s="1116"/>
      <c r="EL523" s="1116"/>
      <c r="EM523" s="1116"/>
      <c r="EN523" s="1116"/>
      <c r="EO523" s="1116"/>
      <c r="EP523" s="1116"/>
      <c r="EQ523" s="1116"/>
      <c r="ER523" s="1116"/>
      <c r="ES523" s="1116"/>
    </row>
    <row r="524" spans="1:149" ht="15" customHeight="1">
      <c r="A524" s="1185">
        <v>509</v>
      </c>
      <c r="B524" s="1041"/>
      <c r="C524" s="1050"/>
      <c r="D524" s="1050"/>
      <c r="E524" s="1050"/>
      <c r="F524" s="1049"/>
      <c r="G524" s="1457"/>
      <c r="H524" s="1049"/>
      <c r="I524" s="1049"/>
      <c r="J524" s="1050"/>
      <c r="K524" s="1050"/>
      <c r="L524" s="1043"/>
      <c r="M524" s="1051"/>
      <c r="N524" s="1051"/>
      <c r="O524" s="1052"/>
      <c r="P524" s="1051"/>
      <c r="Q524" s="1051"/>
      <c r="R524" s="1052"/>
      <c r="S524" s="1051"/>
      <c r="T524" s="1051"/>
      <c r="U524" s="1052"/>
      <c r="V524" s="1051"/>
      <c r="W524" s="1051"/>
      <c r="X524" s="1052"/>
      <c r="Y524" s="1053"/>
      <c r="Z524" s="1051"/>
      <c r="AA524" s="1051"/>
      <c r="AB524" s="1052"/>
      <c r="AC524" s="1051"/>
      <c r="AD524" s="1051"/>
      <c r="AE524" s="1052"/>
      <c r="AF524" s="1051"/>
      <c r="AG524" s="1051"/>
      <c r="AH524" s="1051"/>
      <c r="AI524" s="1051"/>
      <c r="AJ524" s="1052"/>
      <c r="AK524" s="1051"/>
      <c r="AL524" s="1051"/>
      <c r="AM524" s="1052"/>
      <c r="AN524" s="1051"/>
      <c r="AO524" s="1051"/>
      <c r="AP524" s="1052"/>
      <c r="AQ524" s="1051"/>
      <c r="AR524" s="1051"/>
      <c r="AS524" s="1052"/>
      <c r="AT524" s="1051"/>
      <c r="AU524" s="1051"/>
      <c r="AV524" s="1052"/>
      <c r="AW524" s="1051"/>
      <c r="AX524" s="1051"/>
      <c r="AY524" s="1053"/>
      <c r="AZ524" s="1051"/>
      <c r="BA524" s="1051"/>
      <c r="BB524" s="1053"/>
      <c r="BC524" s="1051"/>
      <c r="BD524" s="1051"/>
      <c r="BE524" s="1053"/>
      <c r="BF524" s="1051"/>
      <c r="BG524" s="1051"/>
      <c r="BH524" s="1053"/>
      <c r="BI524" s="1052"/>
      <c r="BJ524" s="1052"/>
      <c r="BK524" s="1052"/>
      <c r="BL524" s="1052"/>
      <c r="BM524" s="1052"/>
      <c r="BN524" s="1054"/>
      <c r="BO524" s="1076">
        <f t="shared" si="18"/>
        <v>0</v>
      </c>
      <c r="BP524" s="1051"/>
      <c r="BQ524" s="1052"/>
      <c r="BR524" s="1054"/>
      <c r="BS524" s="1053"/>
      <c r="BT524" s="1051"/>
      <c r="BU524" s="1051"/>
      <c r="BV524" s="1051"/>
      <c r="BW524" s="1052"/>
      <c r="BX524" s="1052"/>
      <c r="BY524" s="1052"/>
      <c r="BZ524" s="1052"/>
      <c r="CA524" s="1052"/>
      <c r="CB524" s="1053"/>
      <c r="CC524" s="1053"/>
      <c r="CD524" s="1053"/>
      <c r="CE524" s="1053"/>
      <c r="CF524" s="1053"/>
      <c r="CG524" s="1053"/>
      <c r="CH524" s="1053"/>
      <c r="CI524" s="1123"/>
      <c r="CJ524" s="1123"/>
      <c r="CK524" s="1123"/>
      <c r="CL524" s="1123"/>
      <c r="CM524" s="1123"/>
      <c r="CN524" s="1123"/>
      <c r="CO524" s="1123"/>
      <c r="CP524" s="1123"/>
      <c r="CQ524" s="1123"/>
      <c r="CR524" s="1123"/>
      <c r="CS524" s="1123"/>
      <c r="CT524" s="1123"/>
      <c r="CU524" s="1123"/>
      <c r="CV524" s="1123"/>
      <c r="CW524" s="1123"/>
      <c r="CX524" s="1123"/>
      <c r="CY524" s="1123"/>
      <c r="CZ524" s="1114"/>
      <c r="DA524" s="1114"/>
      <c r="DB524" s="1114"/>
      <c r="DC524" s="1114"/>
      <c r="DD524" s="1114"/>
      <c r="DE524" s="1114"/>
      <c r="DF524" s="1114"/>
      <c r="DG524" s="1114"/>
      <c r="DH524" s="1114"/>
      <c r="DI524" s="1114"/>
      <c r="DJ524" s="1114"/>
      <c r="DK524" s="1114"/>
      <c r="DL524" s="1114"/>
      <c r="DM524" s="1114"/>
      <c r="DN524" s="1114"/>
      <c r="DO524" s="1114"/>
      <c r="DP524" s="1114"/>
      <c r="DQ524" s="1114"/>
      <c r="DR524" s="1114"/>
      <c r="DS524" s="1114"/>
      <c r="DT524" s="1114"/>
      <c r="DU524" s="1114"/>
      <c r="DV524" s="1115"/>
      <c r="DW524" s="1116"/>
      <c r="DX524" s="1116"/>
      <c r="DY524" s="1116"/>
      <c r="DZ524" s="1116"/>
      <c r="EA524" s="1116"/>
      <c r="EB524" s="1116"/>
      <c r="EC524" s="1116"/>
      <c r="ED524" s="1116"/>
      <c r="EE524" s="1116"/>
      <c r="EF524" s="1116"/>
      <c r="EG524" s="1116"/>
      <c r="EH524" s="1116"/>
      <c r="EI524" s="1116"/>
      <c r="EJ524" s="1116"/>
      <c r="EK524" s="1116"/>
      <c r="EL524" s="1116"/>
      <c r="EM524" s="1116"/>
      <c r="EN524" s="1116"/>
      <c r="EO524" s="1116"/>
      <c r="EP524" s="1116"/>
      <c r="EQ524" s="1116"/>
      <c r="ER524" s="1116"/>
      <c r="ES524" s="1116"/>
    </row>
    <row r="525" spans="1:149" ht="15" customHeight="1">
      <c r="A525" s="1185">
        <v>510</v>
      </c>
      <c r="B525" s="1041"/>
      <c r="C525" s="1050"/>
      <c r="D525" s="1050"/>
      <c r="E525" s="1050"/>
      <c r="F525" s="1049"/>
      <c r="G525" s="1457"/>
      <c r="H525" s="1049"/>
      <c r="I525" s="1049"/>
      <c r="J525" s="1050"/>
      <c r="K525" s="1050"/>
      <c r="L525" s="1043"/>
      <c r="M525" s="1051"/>
      <c r="N525" s="1051"/>
      <c r="O525" s="1052"/>
      <c r="P525" s="1051"/>
      <c r="Q525" s="1051"/>
      <c r="R525" s="1052"/>
      <c r="S525" s="1051"/>
      <c r="T525" s="1051"/>
      <c r="U525" s="1052"/>
      <c r="V525" s="1051"/>
      <c r="W525" s="1051"/>
      <c r="X525" s="1052"/>
      <c r="Y525" s="1053"/>
      <c r="Z525" s="1051"/>
      <c r="AA525" s="1051"/>
      <c r="AB525" s="1052"/>
      <c r="AC525" s="1051"/>
      <c r="AD525" s="1051"/>
      <c r="AE525" s="1052"/>
      <c r="AF525" s="1051"/>
      <c r="AG525" s="1051"/>
      <c r="AH525" s="1051"/>
      <c r="AI525" s="1051"/>
      <c r="AJ525" s="1052"/>
      <c r="AK525" s="1051"/>
      <c r="AL525" s="1051"/>
      <c r="AM525" s="1052"/>
      <c r="AN525" s="1051"/>
      <c r="AO525" s="1051"/>
      <c r="AP525" s="1052"/>
      <c r="AQ525" s="1051"/>
      <c r="AR525" s="1051"/>
      <c r="AS525" s="1052"/>
      <c r="AT525" s="1051"/>
      <c r="AU525" s="1051"/>
      <c r="AV525" s="1052"/>
      <c r="AW525" s="1051"/>
      <c r="AX525" s="1051"/>
      <c r="AY525" s="1053"/>
      <c r="AZ525" s="1051"/>
      <c r="BA525" s="1051"/>
      <c r="BB525" s="1053"/>
      <c r="BC525" s="1051"/>
      <c r="BD525" s="1051"/>
      <c r="BE525" s="1053"/>
      <c r="BF525" s="1051"/>
      <c r="BG525" s="1051"/>
      <c r="BH525" s="1053"/>
      <c r="BI525" s="1052"/>
      <c r="BJ525" s="1052"/>
      <c r="BK525" s="1052"/>
      <c r="BL525" s="1052"/>
      <c r="BM525" s="1052"/>
      <c r="BN525" s="1054"/>
      <c r="BO525" s="1076">
        <f t="shared" si="18"/>
        <v>0</v>
      </c>
      <c r="BP525" s="1051"/>
      <c r="BQ525" s="1052"/>
      <c r="BR525" s="1054"/>
      <c r="BS525" s="1053"/>
      <c r="BT525" s="1051"/>
      <c r="BU525" s="1051"/>
      <c r="BV525" s="1051"/>
      <c r="BW525" s="1052"/>
      <c r="BX525" s="1052"/>
      <c r="BY525" s="1052"/>
      <c r="BZ525" s="1052"/>
      <c r="CA525" s="1052"/>
      <c r="CB525" s="1053"/>
      <c r="CC525" s="1053"/>
      <c r="CD525" s="1053"/>
      <c r="CE525" s="1053"/>
      <c r="CF525" s="1053"/>
      <c r="CG525" s="1053"/>
      <c r="CH525" s="1053"/>
      <c r="CI525" s="1123"/>
      <c r="CJ525" s="1123"/>
      <c r="CK525" s="1123"/>
      <c r="CL525" s="1123"/>
      <c r="CM525" s="1123"/>
      <c r="CN525" s="1123"/>
      <c r="CO525" s="1123"/>
      <c r="CP525" s="1123"/>
      <c r="CQ525" s="1123"/>
      <c r="CR525" s="1123"/>
      <c r="CS525" s="1123"/>
      <c r="CT525" s="1123"/>
      <c r="CU525" s="1123"/>
      <c r="CV525" s="1123"/>
      <c r="CW525" s="1123"/>
      <c r="CX525" s="1123"/>
      <c r="CY525" s="1123"/>
      <c r="CZ525" s="1114"/>
      <c r="DA525" s="1114"/>
      <c r="DB525" s="1114"/>
      <c r="DC525" s="1114"/>
      <c r="DD525" s="1114"/>
      <c r="DE525" s="1114"/>
      <c r="DF525" s="1114"/>
      <c r="DG525" s="1114"/>
      <c r="DH525" s="1114"/>
      <c r="DI525" s="1114"/>
      <c r="DJ525" s="1114"/>
      <c r="DK525" s="1114"/>
      <c r="DL525" s="1114"/>
      <c r="DM525" s="1114"/>
      <c r="DN525" s="1114"/>
      <c r="DO525" s="1114"/>
      <c r="DP525" s="1114"/>
      <c r="DQ525" s="1114"/>
      <c r="DR525" s="1114"/>
      <c r="DS525" s="1114"/>
      <c r="DT525" s="1114"/>
      <c r="DU525" s="1114"/>
      <c r="DV525" s="1115"/>
      <c r="DW525" s="1116"/>
      <c r="DX525" s="1116"/>
      <c r="DY525" s="1116"/>
      <c r="DZ525" s="1116"/>
      <c r="EA525" s="1116"/>
      <c r="EB525" s="1116"/>
      <c r="EC525" s="1116"/>
      <c r="ED525" s="1116"/>
      <c r="EE525" s="1116"/>
      <c r="EF525" s="1116"/>
      <c r="EG525" s="1116"/>
      <c r="EH525" s="1116"/>
      <c r="EI525" s="1116"/>
      <c r="EJ525" s="1116"/>
      <c r="EK525" s="1116"/>
      <c r="EL525" s="1116"/>
      <c r="EM525" s="1116"/>
      <c r="EN525" s="1116"/>
      <c r="EO525" s="1116"/>
      <c r="EP525" s="1116"/>
      <c r="EQ525" s="1116"/>
      <c r="ER525" s="1116"/>
      <c r="ES525" s="1116"/>
    </row>
    <row r="526" spans="1:149" ht="15" customHeight="1">
      <c r="A526" s="1185">
        <v>511</v>
      </c>
      <c r="B526" s="1041"/>
      <c r="C526" s="1050"/>
      <c r="D526" s="1050"/>
      <c r="E526" s="1050"/>
      <c r="F526" s="1049"/>
      <c r="G526" s="1457"/>
      <c r="H526" s="1049"/>
      <c r="I526" s="1049"/>
      <c r="J526" s="1050"/>
      <c r="K526" s="1050"/>
      <c r="L526" s="1043"/>
      <c r="M526" s="1051"/>
      <c r="N526" s="1051"/>
      <c r="O526" s="1052"/>
      <c r="P526" s="1051"/>
      <c r="Q526" s="1051"/>
      <c r="R526" s="1052"/>
      <c r="S526" s="1051"/>
      <c r="T526" s="1051"/>
      <c r="U526" s="1052"/>
      <c r="V526" s="1051"/>
      <c r="W526" s="1051"/>
      <c r="X526" s="1052"/>
      <c r="Y526" s="1053"/>
      <c r="Z526" s="1051"/>
      <c r="AA526" s="1051"/>
      <c r="AB526" s="1052"/>
      <c r="AC526" s="1051"/>
      <c r="AD526" s="1051"/>
      <c r="AE526" s="1052"/>
      <c r="AF526" s="1051"/>
      <c r="AG526" s="1051"/>
      <c r="AH526" s="1051"/>
      <c r="AI526" s="1051"/>
      <c r="AJ526" s="1052"/>
      <c r="AK526" s="1051"/>
      <c r="AL526" s="1051"/>
      <c r="AM526" s="1052"/>
      <c r="AN526" s="1051"/>
      <c r="AO526" s="1051"/>
      <c r="AP526" s="1052"/>
      <c r="AQ526" s="1051"/>
      <c r="AR526" s="1051"/>
      <c r="AS526" s="1052"/>
      <c r="AT526" s="1051"/>
      <c r="AU526" s="1051"/>
      <c r="AV526" s="1052"/>
      <c r="AW526" s="1051"/>
      <c r="AX526" s="1051"/>
      <c r="AY526" s="1053"/>
      <c r="AZ526" s="1051"/>
      <c r="BA526" s="1051"/>
      <c r="BB526" s="1053"/>
      <c r="BC526" s="1051"/>
      <c r="BD526" s="1051"/>
      <c r="BE526" s="1053"/>
      <c r="BF526" s="1051"/>
      <c r="BG526" s="1051"/>
      <c r="BH526" s="1053"/>
      <c r="BI526" s="1052"/>
      <c r="BJ526" s="1052"/>
      <c r="BK526" s="1052"/>
      <c r="BL526" s="1052"/>
      <c r="BM526" s="1052"/>
      <c r="BN526" s="1054"/>
      <c r="BO526" s="1076">
        <f t="shared" si="18"/>
        <v>0</v>
      </c>
      <c r="BP526" s="1051"/>
      <c r="BQ526" s="1052"/>
      <c r="BR526" s="1054"/>
      <c r="BS526" s="1053"/>
      <c r="BT526" s="1051"/>
      <c r="BU526" s="1051"/>
      <c r="BV526" s="1051"/>
      <c r="BW526" s="1052"/>
      <c r="BX526" s="1052"/>
      <c r="BY526" s="1052"/>
      <c r="BZ526" s="1052"/>
      <c r="CA526" s="1052"/>
      <c r="CB526" s="1053"/>
      <c r="CC526" s="1053"/>
      <c r="CD526" s="1053"/>
      <c r="CE526" s="1053"/>
      <c r="CF526" s="1053"/>
      <c r="CG526" s="1053"/>
      <c r="CH526" s="1053"/>
      <c r="CI526" s="1123"/>
      <c r="CJ526" s="1123"/>
      <c r="CK526" s="1123"/>
      <c r="CL526" s="1123"/>
      <c r="CM526" s="1123"/>
      <c r="CN526" s="1123"/>
      <c r="CO526" s="1123"/>
      <c r="CP526" s="1123"/>
      <c r="CQ526" s="1123"/>
      <c r="CR526" s="1123"/>
      <c r="CS526" s="1123"/>
      <c r="CT526" s="1123"/>
      <c r="CU526" s="1123"/>
      <c r="CV526" s="1123"/>
      <c r="CW526" s="1123"/>
      <c r="CX526" s="1123"/>
      <c r="CY526" s="1123"/>
      <c r="CZ526" s="1114"/>
      <c r="DA526" s="1114"/>
      <c r="DB526" s="1114"/>
      <c r="DC526" s="1114"/>
      <c r="DD526" s="1114"/>
      <c r="DE526" s="1114"/>
      <c r="DF526" s="1114"/>
      <c r="DG526" s="1114"/>
      <c r="DH526" s="1114"/>
      <c r="DI526" s="1114"/>
      <c r="DJ526" s="1114"/>
      <c r="DK526" s="1114"/>
      <c r="DL526" s="1114"/>
      <c r="DM526" s="1114"/>
      <c r="DN526" s="1114"/>
      <c r="DO526" s="1114"/>
      <c r="DP526" s="1114"/>
      <c r="DQ526" s="1114"/>
      <c r="DR526" s="1114"/>
      <c r="DS526" s="1114"/>
      <c r="DT526" s="1114"/>
      <c r="DU526" s="1114"/>
      <c r="DV526" s="1115"/>
      <c r="DW526" s="1116"/>
      <c r="DX526" s="1116"/>
      <c r="DY526" s="1116"/>
      <c r="DZ526" s="1116"/>
      <c r="EA526" s="1116"/>
      <c r="EB526" s="1116"/>
      <c r="EC526" s="1116"/>
      <c r="ED526" s="1116"/>
      <c r="EE526" s="1116"/>
      <c r="EF526" s="1116"/>
      <c r="EG526" s="1116"/>
      <c r="EH526" s="1116"/>
      <c r="EI526" s="1116"/>
      <c r="EJ526" s="1116"/>
      <c r="EK526" s="1116"/>
      <c r="EL526" s="1116"/>
      <c r="EM526" s="1116"/>
      <c r="EN526" s="1116"/>
      <c r="EO526" s="1116"/>
      <c r="EP526" s="1116"/>
      <c r="EQ526" s="1116"/>
      <c r="ER526" s="1116"/>
      <c r="ES526" s="1116"/>
    </row>
    <row r="527" spans="1:149" ht="15" customHeight="1">
      <c r="A527" s="1185">
        <v>512</v>
      </c>
      <c r="B527" s="1041"/>
      <c r="C527" s="1050"/>
      <c r="D527" s="1050"/>
      <c r="E527" s="1050"/>
      <c r="F527" s="1049"/>
      <c r="G527" s="1457"/>
      <c r="H527" s="1049"/>
      <c r="I527" s="1049"/>
      <c r="J527" s="1050"/>
      <c r="K527" s="1050"/>
      <c r="L527" s="1043"/>
      <c r="M527" s="1051"/>
      <c r="N527" s="1051"/>
      <c r="O527" s="1052"/>
      <c r="P527" s="1051"/>
      <c r="Q527" s="1051"/>
      <c r="R527" s="1052"/>
      <c r="S527" s="1051"/>
      <c r="T527" s="1051"/>
      <c r="U527" s="1052"/>
      <c r="V527" s="1051"/>
      <c r="W527" s="1051"/>
      <c r="X527" s="1052"/>
      <c r="Y527" s="1053"/>
      <c r="Z527" s="1051"/>
      <c r="AA527" s="1051"/>
      <c r="AB527" s="1052"/>
      <c r="AC527" s="1051"/>
      <c r="AD527" s="1051"/>
      <c r="AE527" s="1052"/>
      <c r="AF527" s="1051"/>
      <c r="AG527" s="1051"/>
      <c r="AH527" s="1051"/>
      <c r="AI527" s="1051"/>
      <c r="AJ527" s="1052"/>
      <c r="AK527" s="1051"/>
      <c r="AL527" s="1051"/>
      <c r="AM527" s="1052"/>
      <c r="AN527" s="1051"/>
      <c r="AO527" s="1051"/>
      <c r="AP527" s="1052"/>
      <c r="AQ527" s="1051"/>
      <c r="AR527" s="1051"/>
      <c r="AS527" s="1052"/>
      <c r="AT527" s="1051"/>
      <c r="AU527" s="1051"/>
      <c r="AV527" s="1052"/>
      <c r="AW527" s="1051"/>
      <c r="AX527" s="1051"/>
      <c r="AY527" s="1053"/>
      <c r="AZ527" s="1051"/>
      <c r="BA527" s="1051"/>
      <c r="BB527" s="1053"/>
      <c r="BC527" s="1051"/>
      <c r="BD527" s="1051"/>
      <c r="BE527" s="1053"/>
      <c r="BF527" s="1051"/>
      <c r="BG527" s="1051"/>
      <c r="BH527" s="1053"/>
      <c r="BI527" s="1052"/>
      <c r="BJ527" s="1052"/>
      <c r="BK527" s="1052"/>
      <c r="BL527" s="1052"/>
      <c r="BM527" s="1052"/>
      <c r="BN527" s="1054"/>
      <c r="BO527" s="1076">
        <f t="shared" si="18"/>
        <v>0</v>
      </c>
      <c r="BP527" s="1051"/>
      <c r="BQ527" s="1052"/>
      <c r="BR527" s="1054"/>
      <c r="BS527" s="1053"/>
      <c r="BT527" s="1051"/>
      <c r="BU527" s="1051"/>
      <c r="BV527" s="1051"/>
      <c r="BW527" s="1052"/>
      <c r="BX527" s="1052"/>
      <c r="BY527" s="1052"/>
      <c r="BZ527" s="1052"/>
      <c r="CA527" s="1052"/>
      <c r="CB527" s="1053"/>
      <c r="CC527" s="1053"/>
      <c r="CD527" s="1053"/>
      <c r="CE527" s="1053"/>
      <c r="CF527" s="1053"/>
      <c r="CG527" s="1053"/>
      <c r="CH527" s="1053"/>
      <c r="CI527" s="1123"/>
      <c r="CJ527" s="1123"/>
      <c r="CK527" s="1123"/>
      <c r="CL527" s="1123"/>
      <c r="CM527" s="1123"/>
      <c r="CN527" s="1123"/>
      <c r="CO527" s="1123"/>
      <c r="CP527" s="1123"/>
      <c r="CQ527" s="1123"/>
      <c r="CR527" s="1123"/>
      <c r="CS527" s="1123"/>
      <c r="CT527" s="1123"/>
      <c r="CU527" s="1123"/>
      <c r="CV527" s="1123"/>
      <c r="CW527" s="1123"/>
      <c r="CX527" s="1123"/>
      <c r="CY527" s="1123"/>
      <c r="CZ527" s="1114"/>
      <c r="DA527" s="1114"/>
      <c r="DB527" s="1114"/>
      <c r="DC527" s="1114"/>
      <c r="DD527" s="1114"/>
      <c r="DE527" s="1114"/>
      <c r="DF527" s="1114"/>
      <c r="DG527" s="1114"/>
      <c r="DH527" s="1114"/>
      <c r="DI527" s="1114"/>
      <c r="DJ527" s="1114"/>
      <c r="DK527" s="1114"/>
      <c r="DL527" s="1114"/>
      <c r="DM527" s="1114"/>
      <c r="DN527" s="1114"/>
      <c r="DO527" s="1114"/>
      <c r="DP527" s="1114"/>
      <c r="DQ527" s="1114"/>
      <c r="DR527" s="1114"/>
      <c r="DS527" s="1114"/>
      <c r="DT527" s="1114"/>
      <c r="DU527" s="1114"/>
      <c r="DV527" s="1115"/>
      <c r="DW527" s="1116"/>
      <c r="DX527" s="1116"/>
      <c r="DY527" s="1116"/>
      <c r="DZ527" s="1116"/>
      <c r="EA527" s="1116"/>
      <c r="EB527" s="1116"/>
      <c r="EC527" s="1116"/>
      <c r="ED527" s="1116"/>
      <c r="EE527" s="1116"/>
      <c r="EF527" s="1116"/>
      <c r="EG527" s="1116"/>
      <c r="EH527" s="1116"/>
      <c r="EI527" s="1116"/>
      <c r="EJ527" s="1116"/>
      <c r="EK527" s="1116"/>
      <c r="EL527" s="1116"/>
      <c r="EM527" s="1116"/>
      <c r="EN527" s="1116"/>
      <c r="EO527" s="1116"/>
      <c r="EP527" s="1116"/>
      <c r="EQ527" s="1116"/>
      <c r="ER527" s="1116"/>
      <c r="ES527" s="1116"/>
    </row>
    <row r="528" spans="1:149" ht="15" customHeight="1">
      <c r="A528" s="1185">
        <v>513</v>
      </c>
      <c r="B528" s="1041"/>
      <c r="C528" s="1050"/>
      <c r="D528" s="1050"/>
      <c r="E528" s="1050"/>
      <c r="F528" s="1049"/>
      <c r="G528" s="1457"/>
      <c r="H528" s="1049"/>
      <c r="I528" s="1049"/>
      <c r="J528" s="1050"/>
      <c r="K528" s="1050"/>
      <c r="L528" s="1043"/>
      <c r="M528" s="1051"/>
      <c r="N528" s="1051"/>
      <c r="O528" s="1052"/>
      <c r="P528" s="1051"/>
      <c r="Q528" s="1051"/>
      <c r="R528" s="1052"/>
      <c r="S528" s="1051"/>
      <c r="T528" s="1051"/>
      <c r="U528" s="1052"/>
      <c r="V528" s="1051"/>
      <c r="W528" s="1051"/>
      <c r="X528" s="1052"/>
      <c r="Y528" s="1053"/>
      <c r="Z528" s="1051"/>
      <c r="AA528" s="1051"/>
      <c r="AB528" s="1052"/>
      <c r="AC528" s="1051"/>
      <c r="AD528" s="1051"/>
      <c r="AE528" s="1052"/>
      <c r="AF528" s="1051"/>
      <c r="AG528" s="1051"/>
      <c r="AH528" s="1051"/>
      <c r="AI528" s="1051"/>
      <c r="AJ528" s="1052"/>
      <c r="AK528" s="1051"/>
      <c r="AL528" s="1051"/>
      <c r="AM528" s="1052"/>
      <c r="AN528" s="1051"/>
      <c r="AO528" s="1051"/>
      <c r="AP528" s="1052"/>
      <c r="AQ528" s="1051"/>
      <c r="AR528" s="1051"/>
      <c r="AS528" s="1052"/>
      <c r="AT528" s="1051"/>
      <c r="AU528" s="1051"/>
      <c r="AV528" s="1052"/>
      <c r="AW528" s="1051"/>
      <c r="AX528" s="1051"/>
      <c r="AY528" s="1053"/>
      <c r="AZ528" s="1051"/>
      <c r="BA528" s="1051"/>
      <c r="BB528" s="1053"/>
      <c r="BC528" s="1051"/>
      <c r="BD528" s="1051"/>
      <c r="BE528" s="1053"/>
      <c r="BF528" s="1051"/>
      <c r="BG528" s="1051"/>
      <c r="BH528" s="1053"/>
      <c r="BI528" s="1052"/>
      <c r="BJ528" s="1052"/>
      <c r="BK528" s="1052"/>
      <c r="BL528" s="1052"/>
      <c r="BM528" s="1052"/>
      <c r="BN528" s="1054"/>
      <c r="BO528" s="1076">
        <f t="shared" si="18"/>
        <v>0</v>
      </c>
      <c r="BP528" s="1051"/>
      <c r="BQ528" s="1052"/>
      <c r="BR528" s="1054"/>
      <c r="BS528" s="1053"/>
      <c r="BT528" s="1051"/>
      <c r="BU528" s="1051"/>
      <c r="BV528" s="1051"/>
      <c r="BW528" s="1052"/>
      <c r="BX528" s="1052"/>
      <c r="BY528" s="1052"/>
      <c r="BZ528" s="1052"/>
      <c r="CA528" s="1052"/>
      <c r="CB528" s="1053"/>
      <c r="CC528" s="1053"/>
      <c r="CD528" s="1053"/>
      <c r="CE528" s="1053"/>
      <c r="CF528" s="1053"/>
      <c r="CG528" s="1053"/>
      <c r="CH528" s="1053"/>
      <c r="CI528" s="1123"/>
      <c r="CJ528" s="1123"/>
      <c r="CK528" s="1123"/>
      <c r="CL528" s="1123"/>
      <c r="CM528" s="1123"/>
      <c r="CN528" s="1123"/>
      <c r="CO528" s="1123"/>
      <c r="CP528" s="1123"/>
      <c r="CQ528" s="1123"/>
      <c r="CR528" s="1123"/>
      <c r="CS528" s="1123"/>
      <c r="CT528" s="1123"/>
      <c r="CU528" s="1123"/>
      <c r="CV528" s="1123"/>
      <c r="CW528" s="1123"/>
      <c r="CX528" s="1123"/>
      <c r="CY528" s="1123"/>
      <c r="CZ528" s="1114"/>
      <c r="DA528" s="1114"/>
      <c r="DB528" s="1114"/>
      <c r="DC528" s="1114"/>
      <c r="DD528" s="1114"/>
      <c r="DE528" s="1114"/>
      <c r="DF528" s="1114"/>
      <c r="DG528" s="1114"/>
      <c r="DH528" s="1114"/>
      <c r="DI528" s="1114"/>
      <c r="DJ528" s="1114"/>
      <c r="DK528" s="1114"/>
      <c r="DL528" s="1114"/>
      <c r="DM528" s="1114"/>
      <c r="DN528" s="1114"/>
      <c r="DO528" s="1114"/>
      <c r="DP528" s="1114"/>
      <c r="DQ528" s="1114"/>
      <c r="DR528" s="1114"/>
      <c r="DS528" s="1114"/>
      <c r="DT528" s="1114"/>
      <c r="DU528" s="1114"/>
      <c r="DV528" s="1115"/>
      <c r="DW528" s="1116"/>
      <c r="DX528" s="1116"/>
      <c r="DY528" s="1116"/>
      <c r="DZ528" s="1116"/>
      <c r="EA528" s="1116"/>
      <c r="EB528" s="1116"/>
      <c r="EC528" s="1116"/>
      <c r="ED528" s="1116"/>
      <c r="EE528" s="1116"/>
      <c r="EF528" s="1116"/>
      <c r="EG528" s="1116"/>
      <c r="EH528" s="1116"/>
      <c r="EI528" s="1116"/>
      <c r="EJ528" s="1116"/>
      <c r="EK528" s="1116"/>
      <c r="EL528" s="1116"/>
      <c r="EM528" s="1116"/>
      <c r="EN528" s="1116"/>
      <c r="EO528" s="1116"/>
      <c r="EP528" s="1116"/>
      <c r="EQ528" s="1116"/>
      <c r="ER528" s="1116"/>
      <c r="ES528" s="1116"/>
    </row>
    <row r="529" spans="1:149" ht="15" customHeight="1">
      <c r="A529" s="1185">
        <v>514</v>
      </c>
      <c r="B529" s="1041"/>
      <c r="C529" s="1050"/>
      <c r="D529" s="1050"/>
      <c r="E529" s="1050"/>
      <c r="F529" s="1049"/>
      <c r="G529" s="1457"/>
      <c r="H529" s="1049"/>
      <c r="I529" s="1049"/>
      <c r="J529" s="1050"/>
      <c r="K529" s="1050"/>
      <c r="L529" s="1043"/>
      <c r="M529" s="1051"/>
      <c r="N529" s="1051"/>
      <c r="O529" s="1052"/>
      <c r="P529" s="1051"/>
      <c r="Q529" s="1051"/>
      <c r="R529" s="1052"/>
      <c r="S529" s="1051"/>
      <c r="T529" s="1051"/>
      <c r="U529" s="1052"/>
      <c r="V529" s="1051"/>
      <c r="W529" s="1051"/>
      <c r="X529" s="1052"/>
      <c r="Y529" s="1053"/>
      <c r="Z529" s="1051"/>
      <c r="AA529" s="1051"/>
      <c r="AB529" s="1052"/>
      <c r="AC529" s="1051"/>
      <c r="AD529" s="1051"/>
      <c r="AE529" s="1052"/>
      <c r="AF529" s="1051"/>
      <c r="AG529" s="1051"/>
      <c r="AH529" s="1051"/>
      <c r="AI529" s="1051"/>
      <c r="AJ529" s="1052"/>
      <c r="AK529" s="1051"/>
      <c r="AL529" s="1051"/>
      <c r="AM529" s="1052"/>
      <c r="AN529" s="1051"/>
      <c r="AO529" s="1051"/>
      <c r="AP529" s="1052"/>
      <c r="AQ529" s="1051"/>
      <c r="AR529" s="1051"/>
      <c r="AS529" s="1052"/>
      <c r="AT529" s="1051"/>
      <c r="AU529" s="1051"/>
      <c r="AV529" s="1052"/>
      <c r="AW529" s="1051"/>
      <c r="AX529" s="1051"/>
      <c r="AY529" s="1053"/>
      <c r="AZ529" s="1051"/>
      <c r="BA529" s="1051"/>
      <c r="BB529" s="1053"/>
      <c r="BC529" s="1051"/>
      <c r="BD529" s="1051"/>
      <c r="BE529" s="1053"/>
      <c r="BF529" s="1051"/>
      <c r="BG529" s="1051"/>
      <c r="BH529" s="1053"/>
      <c r="BI529" s="1052"/>
      <c r="BJ529" s="1052"/>
      <c r="BK529" s="1052"/>
      <c r="BL529" s="1052"/>
      <c r="BM529" s="1052"/>
      <c r="BN529" s="1054"/>
      <c r="BO529" s="1076">
        <f t="shared" ref="BO529:BO564" si="19">H529</f>
        <v>0</v>
      </c>
      <c r="BP529" s="1051"/>
      <c r="BQ529" s="1052"/>
      <c r="BR529" s="1054"/>
      <c r="BS529" s="1053"/>
      <c r="BT529" s="1051"/>
      <c r="BU529" s="1051"/>
      <c r="BV529" s="1051"/>
      <c r="BW529" s="1052"/>
      <c r="BX529" s="1052"/>
      <c r="BY529" s="1052"/>
      <c r="BZ529" s="1052"/>
      <c r="CA529" s="1052"/>
      <c r="CB529" s="1053"/>
      <c r="CC529" s="1053"/>
      <c r="CD529" s="1053"/>
      <c r="CE529" s="1053"/>
      <c r="CF529" s="1053"/>
      <c r="CG529" s="1053"/>
      <c r="CH529" s="1053"/>
      <c r="CI529" s="1123"/>
      <c r="CJ529" s="1123"/>
      <c r="CK529" s="1123"/>
      <c r="CL529" s="1123"/>
      <c r="CM529" s="1123"/>
      <c r="CN529" s="1123"/>
      <c r="CO529" s="1123"/>
      <c r="CP529" s="1123"/>
      <c r="CQ529" s="1123"/>
      <c r="CR529" s="1123"/>
      <c r="CS529" s="1123"/>
      <c r="CT529" s="1123"/>
      <c r="CU529" s="1123"/>
      <c r="CV529" s="1123"/>
      <c r="CW529" s="1123"/>
      <c r="CX529" s="1123"/>
      <c r="CY529" s="1123"/>
      <c r="CZ529" s="1114"/>
      <c r="DA529" s="1114"/>
      <c r="DB529" s="1114"/>
      <c r="DC529" s="1114"/>
      <c r="DD529" s="1114"/>
      <c r="DE529" s="1114"/>
      <c r="DF529" s="1114"/>
      <c r="DG529" s="1114"/>
      <c r="DH529" s="1114"/>
      <c r="DI529" s="1114"/>
      <c r="DJ529" s="1114"/>
      <c r="DK529" s="1114"/>
      <c r="DL529" s="1114"/>
      <c r="DM529" s="1114"/>
      <c r="DN529" s="1114"/>
      <c r="DO529" s="1114"/>
      <c r="DP529" s="1114"/>
      <c r="DQ529" s="1114"/>
      <c r="DR529" s="1114"/>
      <c r="DS529" s="1114"/>
      <c r="DT529" s="1114"/>
      <c r="DU529" s="1114"/>
      <c r="DV529" s="1115"/>
      <c r="DW529" s="1116"/>
      <c r="DX529" s="1116"/>
      <c r="DY529" s="1116"/>
      <c r="DZ529" s="1116"/>
      <c r="EA529" s="1116"/>
      <c r="EB529" s="1116"/>
      <c r="EC529" s="1116"/>
      <c r="ED529" s="1116"/>
      <c r="EE529" s="1116"/>
      <c r="EF529" s="1116"/>
      <c r="EG529" s="1116"/>
      <c r="EH529" s="1116"/>
      <c r="EI529" s="1116"/>
      <c r="EJ529" s="1116"/>
      <c r="EK529" s="1116"/>
      <c r="EL529" s="1116"/>
      <c r="EM529" s="1116"/>
      <c r="EN529" s="1116"/>
      <c r="EO529" s="1116"/>
      <c r="EP529" s="1116"/>
      <c r="EQ529" s="1116"/>
      <c r="ER529" s="1116"/>
      <c r="ES529" s="1116"/>
    </row>
    <row r="530" spans="1:149" ht="15" customHeight="1">
      <c r="A530" s="1185">
        <v>515</v>
      </c>
      <c r="B530" s="1041"/>
      <c r="C530" s="1050"/>
      <c r="D530" s="1050"/>
      <c r="E530" s="1050"/>
      <c r="F530" s="1049"/>
      <c r="G530" s="1457"/>
      <c r="H530" s="1049"/>
      <c r="I530" s="1049"/>
      <c r="J530" s="1050"/>
      <c r="K530" s="1050"/>
      <c r="L530" s="1043"/>
      <c r="M530" s="1051"/>
      <c r="N530" s="1051"/>
      <c r="O530" s="1052"/>
      <c r="P530" s="1051"/>
      <c r="Q530" s="1051"/>
      <c r="R530" s="1052"/>
      <c r="S530" s="1051"/>
      <c r="T530" s="1051"/>
      <c r="U530" s="1052"/>
      <c r="V530" s="1051"/>
      <c r="W530" s="1051"/>
      <c r="X530" s="1052"/>
      <c r="Y530" s="1053"/>
      <c r="Z530" s="1051"/>
      <c r="AA530" s="1051"/>
      <c r="AB530" s="1052"/>
      <c r="AC530" s="1051"/>
      <c r="AD530" s="1051"/>
      <c r="AE530" s="1052"/>
      <c r="AF530" s="1051"/>
      <c r="AG530" s="1051"/>
      <c r="AH530" s="1051"/>
      <c r="AI530" s="1051"/>
      <c r="AJ530" s="1052"/>
      <c r="AK530" s="1051"/>
      <c r="AL530" s="1051"/>
      <c r="AM530" s="1052"/>
      <c r="AN530" s="1051"/>
      <c r="AO530" s="1051"/>
      <c r="AP530" s="1052"/>
      <c r="AQ530" s="1051"/>
      <c r="AR530" s="1051"/>
      <c r="AS530" s="1052"/>
      <c r="AT530" s="1051"/>
      <c r="AU530" s="1051"/>
      <c r="AV530" s="1052"/>
      <c r="AW530" s="1051"/>
      <c r="AX530" s="1051"/>
      <c r="AY530" s="1053"/>
      <c r="AZ530" s="1051"/>
      <c r="BA530" s="1051"/>
      <c r="BB530" s="1053"/>
      <c r="BC530" s="1051"/>
      <c r="BD530" s="1051"/>
      <c r="BE530" s="1053"/>
      <c r="BF530" s="1051"/>
      <c r="BG530" s="1051"/>
      <c r="BH530" s="1053"/>
      <c r="BI530" s="1052"/>
      <c r="BJ530" s="1052"/>
      <c r="BK530" s="1052"/>
      <c r="BL530" s="1052"/>
      <c r="BM530" s="1052"/>
      <c r="BN530" s="1054"/>
      <c r="BO530" s="1076">
        <f t="shared" si="19"/>
        <v>0</v>
      </c>
      <c r="BP530" s="1051"/>
      <c r="BQ530" s="1052"/>
      <c r="BR530" s="1054"/>
      <c r="BS530" s="1053"/>
      <c r="BT530" s="1051"/>
      <c r="BU530" s="1051"/>
      <c r="BV530" s="1051"/>
      <c r="BW530" s="1052"/>
      <c r="BX530" s="1052"/>
      <c r="BY530" s="1052"/>
      <c r="BZ530" s="1052"/>
      <c r="CA530" s="1052"/>
      <c r="CB530" s="1053"/>
      <c r="CC530" s="1053"/>
      <c r="CD530" s="1053"/>
      <c r="CE530" s="1053"/>
      <c r="CF530" s="1053"/>
      <c r="CG530" s="1053"/>
      <c r="CH530" s="1053"/>
      <c r="CI530" s="1123"/>
      <c r="CJ530" s="1123"/>
      <c r="CK530" s="1123"/>
      <c r="CL530" s="1123"/>
      <c r="CM530" s="1123"/>
      <c r="CN530" s="1123"/>
      <c r="CO530" s="1123"/>
      <c r="CP530" s="1123"/>
      <c r="CQ530" s="1123"/>
      <c r="CR530" s="1123"/>
      <c r="CS530" s="1123"/>
      <c r="CT530" s="1123"/>
      <c r="CU530" s="1123"/>
      <c r="CV530" s="1123"/>
      <c r="CW530" s="1123"/>
      <c r="CX530" s="1123"/>
      <c r="CY530" s="1123"/>
      <c r="CZ530" s="1114"/>
      <c r="DA530" s="1114"/>
      <c r="DB530" s="1114"/>
      <c r="DC530" s="1114"/>
      <c r="DD530" s="1114"/>
      <c r="DE530" s="1114"/>
      <c r="DF530" s="1114"/>
      <c r="DG530" s="1114"/>
      <c r="DH530" s="1114"/>
      <c r="DI530" s="1114"/>
      <c r="DJ530" s="1114"/>
      <c r="DK530" s="1114"/>
      <c r="DL530" s="1114"/>
      <c r="DM530" s="1114"/>
      <c r="DN530" s="1114"/>
      <c r="DO530" s="1114"/>
      <c r="DP530" s="1114"/>
      <c r="DQ530" s="1114"/>
      <c r="DR530" s="1114"/>
      <c r="DS530" s="1114"/>
      <c r="DT530" s="1114"/>
      <c r="DU530" s="1114"/>
      <c r="DV530" s="1115"/>
      <c r="DW530" s="1116"/>
      <c r="DX530" s="1116"/>
      <c r="DY530" s="1116"/>
      <c r="DZ530" s="1116"/>
      <c r="EA530" s="1116"/>
      <c r="EB530" s="1116"/>
      <c r="EC530" s="1116"/>
      <c r="ED530" s="1116"/>
      <c r="EE530" s="1116"/>
      <c r="EF530" s="1116"/>
      <c r="EG530" s="1116"/>
      <c r="EH530" s="1116"/>
      <c r="EI530" s="1116"/>
      <c r="EJ530" s="1116"/>
      <c r="EK530" s="1116"/>
      <c r="EL530" s="1116"/>
      <c r="EM530" s="1116"/>
      <c r="EN530" s="1116"/>
      <c r="EO530" s="1116"/>
      <c r="EP530" s="1116"/>
      <c r="EQ530" s="1116"/>
      <c r="ER530" s="1116"/>
      <c r="ES530" s="1116"/>
    </row>
    <row r="531" spans="1:149" ht="15" customHeight="1">
      <c r="A531" s="1185">
        <v>516</v>
      </c>
      <c r="B531" s="1041"/>
      <c r="C531" s="1050"/>
      <c r="D531" s="1050"/>
      <c r="E531" s="1050"/>
      <c r="F531" s="1049"/>
      <c r="G531" s="1457"/>
      <c r="H531" s="1049"/>
      <c r="I531" s="1049"/>
      <c r="J531" s="1050"/>
      <c r="K531" s="1050"/>
      <c r="L531" s="1043"/>
      <c r="M531" s="1051"/>
      <c r="N531" s="1051"/>
      <c r="O531" s="1052"/>
      <c r="P531" s="1051"/>
      <c r="Q531" s="1051"/>
      <c r="R531" s="1052"/>
      <c r="S531" s="1051"/>
      <c r="T531" s="1051"/>
      <c r="U531" s="1052"/>
      <c r="V531" s="1051"/>
      <c r="W531" s="1051"/>
      <c r="X531" s="1052"/>
      <c r="Y531" s="1053"/>
      <c r="Z531" s="1051"/>
      <c r="AA531" s="1051"/>
      <c r="AB531" s="1052"/>
      <c r="AC531" s="1051"/>
      <c r="AD531" s="1051"/>
      <c r="AE531" s="1052"/>
      <c r="AF531" s="1051"/>
      <c r="AG531" s="1051"/>
      <c r="AH531" s="1051"/>
      <c r="AI531" s="1051"/>
      <c r="AJ531" s="1052"/>
      <c r="AK531" s="1051"/>
      <c r="AL531" s="1051"/>
      <c r="AM531" s="1052"/>
      <c r="AN531" s="1051"/>
      <c r="AO531" s="1051"/>
      <c r="AP531" s="1052"/>
      <c r="AQ531" s="1051"/>
      <c r="AR531" s="1051"/>
      <c r="AS531" s="1052"/>
      <c r="AT531" s="1051"/>
      <c r="AU531" s="1051"/>
      <c r="AV531" s="1052"/>
      <c r="AW531" s="1051"/>
      <c r="AX531" s="1051"/>
      <c r="AY531" s="1053"/>
      <c r="AZ531" s="1051"/>
      <c r="BA531" s="1051"/>
      <c r="BB531" s="1053"/>
      <c r="BC531" s="1051"/>
      <c r="BD531" s="1051"/>
      <c r="BE531" s="1053"/>
      <c r="BF531" s="1051"/>
      <c r="BG531" s="1051"/>
      <c r="BH531" s="1053"/>
      <c r="BI531" s="1052"/>
      <c r="BJ531" s="1052"/>
      <c r="BK531" s="1052"/>
      <c r="BL531" s="1052"/>
      <c r="BM531" s="1052"/>
      <c r="BN531" s="1054"/>
      <c r="BO531" s="1076">
        <f t="shared" si="19"/>
        <v>0</v>
      </c>
      <c r="BP531" s="1051"/>
      <c r="BQ531" s="1052"/>
      <c r="BR531" s="1054"/>
      <c r="BS531" s="1053"/>
      <c r="BT531" s="1051"/>
      <c r="BU531" s="1051"/>
      <c r="BV531" s="1051"/>
      <c r="BW531" s="1052"/>
      <c r="BX531" s="1052"/>
      <c r="BY531" s="1052"/>
      <c r="BZ531" s="1052"/>
      <c r="CA531" s="1052"/>
      <c r="CB531" s="1053"/>
      <c r="CC531" s="1053"/>
      <c r="CD531" s="1053"/>
      <c r="CE531" s="1053"/>
      <c r="CF531" s="1053"/>
      <c r="CG531" s="1053"/>
      <c r="CH531" s="1053"/>
      <c r="CI531" s="1123"/>
      <c r="CJ531" s="1123"/>
      <c r="CK531" s="1123"/>
      <c r="CL531" s="1123"/>
      <c r="CM531" s="1123"/>
      <c r="CN531" s="1123"/>
      <c r="CO531" s="1123"/>
      <c r="CP531" s="1123"/>
      <c r="CQ531" s="1123"/>
      <c r="CR531" s="1123"/>
      <c r="CS531" s="1123"/>
      <c r="CT531" s="1123"/>
      <c r="CU531" s="1123"/>
      <c r="CV531" s="1123"/>
      <c r="CW531" s="1123"/>
      <c r="CX531" s="1123"/>
      <c r="CY531" s="1123"/>
      <c r="CZ531" s="1114"/>
      <c r="DA531" s="1114"/>
      <c r="DB531" s="1114"/>
      <c r="DC531" s="1114"/>
      <c r="DD531" s="1114"/>
      <c r="DE531" s="1114"/>
      <c r="DF531" s="1114"/>
      <c r="DG531" s="1114"/>
      <c r="DH531" s="1114"/>
      <c r="DI531" s="1114"/>
      <c r="DJ531" s="1114"/>
      <c r="DK531" s="1114"/>
      <c r="DL531" s="1114"/>
      <c r="DM531" s="1114"/>
      <c r="DN531" s="1114"/>
      <c r="DO531" s="1114"/>
      <c r="DP531" s="1114"/>
      <c r="DQ531" s="1114"/>
      <c r="DR531" s="1114"/>
      <c r="DS531" s="1114"/>
      <c r="DT531" s="1114"/>
      <c r="DU531" s="1114"/>
      <c r="DV531" s="1115"/>
      <c r="DW531" s="1116"/>
      <c r="DX531" s="1116"/>
      <c r="DY531" s="1116"/>
      <c r="DZ531" s="1116"/>
      <c r="EA531" s="1116"/>
      <c r="EB531" s="1116"/>
      <c r="EC531" s="1116"/>
      <c r="ED531" s="1116"/>
      <c r="EE531" s="1116"/>
      <c r="EF531" s="1116"/>
      <c r="EG531" s="1116"/>
      <c r="EH531" s="1116"/>
      <c r="EI531" s="1116"/>
      <c r="EJ531" s="1116"/>
      <c r="EK531" s="1116"/>
      <c r="EL531" s="1116"/>
      <c r="EM531" s="1116"/>
      <c r="EN531" s="1116"/>
      <c r="EO531" s="1116"/>
      <c r="EP531" s="1116"/>
      <c r="EQ531" s="1116"/>
      <c r="ER531" s="1116"/>
      <c r="ES531" s="1116"/>
    </row>
    <row r="532" spans="1:149" ht="15" customHeight="1">
      <c r="A532" s="1185">
        <v>517</v>
      </c>
      <c r="B532" s="1041"/>
      <c r="C532" s="1050"/>
      <c r="D532" s="1050"/>
      <c r="E532" s="1050"/>
      <c r="F532" s="1049"/>
      <c r="G532" s="1457"/>
      <c r="H532" s="1049"/>
      <c r="I532" s="1049"/>
      <c r="J532" s="1050"/>
      <c r="K532" s="1050"/>
      <c r="L532" s="1043"/>
      <c r="M532" s="1051"/>
      <c r="N532" s="1051"/>
      <c r="O532" s="1052"/>
      <c r="P532" s="1051"/>
      <c r="Q532" s="1051"/>
      <c r="R532" s="1052"/>
      <c r="S532" s="1051"/>
      <c r="T532" s="1051"/>
      <c r="U532" s="1052"/>
      <c r="V532" s="1051"/>
      <c r="W532" s="1051"/>
      <c r="X532" s="1052"/>
      <c r="Y532" s="1053"/>
      <c r="Z532" s="1051"/>
      <c r="AA532" s="1051"/>
      <c r="AB532" s="1052"/>
      <c r="AC532" s="1051"/>
      <c r="AD532" s="1051"/>
      <c r="AE532" s="1052"/>
      <c r="AF532" s="1051"/>
      <c r="AG532" s="1051"/>
      <c r="AH532" s="1051"/>
      <c r="AI532" s="1051"/>
      <c r="AJ532" s="1052"/>
      <c r="AK532" s="1051"/>
      <c r="AL532" s="1051"/>
      <c r="AM532" s="1052"/>
      <c r="AN532" s="1051"/>
      <c r="AO532" s="1051"/>
      <c r="AP532" s="1052"/>
      <c r="AQ532" s="1051"/>
      <c r="AR532" s="1051"/>
      <c r="AS532" s="1052"/>
      <c r="AT532" s="1051"/>
      <c r="AU532" s="1051"/>
      <c r="AV532" s="1052"/>
      <c r="AW532" s="1051"/>
      <c r="AX532" s="1051"/>
      <c r="AY532" s="1053"/>
      <c r="AZ532" s="1051"/>
      <c r="BA532" s="1051"/>
      <c r="BB532" s="1053"/>
      <c r="BC532" s="1051"/>
      <c r="BD532" s="1051"/>
      <c r="BE532" s="1053"/>
      <c r="BF532" s="1051"/>
      <c r="BG532" s="1051"/>
      <c r="BH532" s="1053"/>
      <c r="BI532" s="1052"/>
      <c r="BJ532" s="1052"/>
      <c r="BK532" s="1052"/>
      <c r="BL532" s="1052"/>
      <c r="BM532" s="1052"/>
      <c r="BN532" s="1054"/>
      <c r="BO532" s="1076">
        <f t="shared" si="19"/>
        <v>0</v>
      </c>
      <c r="BP532" s="1051"/>
      <c r="BQ532" s="1052"/>
      <c r="BR532" s="1054"/>
      <c r="BS532" s="1053"/>
      <c r="BT532" s="1051"/>
      <c r="BU532" s="1051"/>
      <c r="BV532" s="1051"/>
      <c r="BW532" s="1052"/>
      <c r="BX532" s="1052"/>
      <c r="BY532" s="1052"/>
      <c r="BZ532" s="1052"/>
      <c r="CA532" s="1052"/>
      <c r="CB532" s="1053"/>
      <c r="CC532" s="1053"/>
      <c r="CD532" s="1053"/>
      <c r="CE532" s="1053"/>
      <c r="CF532" s="1053"/>
      <c r="CG532" s="1053"/>
      <c r="CH532" s="1053"/>
      <c r="CI532" s="1123"/>
      <c r="CJ532" s="1123"/>
      <c r="CK532" s="1123"/>
      <c r="CL532" s="1123"/>
      <c r="CM532" s="1123"/>
      <c r="CN532" s="1123"/>
      <c r="CO532" s="1123"/>
      <c r="CP532" s="1123"/>
      <c r="CQ532" s="1123"/>
      <c r="CR532" s="1123"/>
      <c r="CS532" s="1123"/>
      <c r="CT532" s="1123"/>
      <c r="CU532" s="1123"/>
      <c r="CV532" s="1123"/>
      <c r="CW532" s="1123"/>
      <c r="CX532" s="1123"/>
      <c r="CY532" s="1123"/>
      <c r="CZ532" s="1114"/>
      <c r="DA532" s="1114"/>
      <c r="DB532" s="1114"/>
      <c r="DC532" s="1114"/>
      <c r="DD532" s="1114"/>
      <c r="DE532" s="1114"/>
      <c r="DF532" s="1114"/>
      <c r="DG532" s="1114"/>
      <c r="DH532" s="1114"/>
      <c r="DI532" s="1114"/>
      <c r="DJ532" s="1114"/>
      <c r="DK532" s="1114"/>
      <c r="DL532" s="1114"/>
      <c r="DM532" s="1114"/>
      <c r="DN532" s="1114"/>
      <c r="DO532" s="1114"/>
      <c r="DP532" s="1114"/>
      <c r="DQ532" s="1114"/>
      <c r="DR532" s="1114"/>
      <c r="DS532" s="1114"/>
      <c r="DT532" s="1114"/>
      <c r="DU532" s="1114"/>
      <c r="DV532" s="1115"/>
      <c r="DW532" s="1116"/>
      <c r="DX532" s="1116"/>
      <c r="DY532" s="1116"/>
      <c r="DZ532" s="1116"/>
      <c r="EA532" s="1116"/>
      <c r="EB532" s="1116"/>
      <c r="EC532" s="1116"/>
      <c r="ED532" s="1116"/>
      <c r="EE532" s="1116"/>
      <c r="EF532" s="1116"/>
      <c r="EG532" s="1116"/>
      <c r="EH532" s="1116"/>
      <c r="EI532" s="1116"/>
      <c r="EJ532" s="1116"/>
      <c r="EK532" s="1116"/>
      <c r="EL532" s="1116"/>
      <c r="EM532" s="1116"/>
      <c r="EN532" s="1116"/>
      <c r="EO532" s="1116"/>
      <c r="EP532" s="1116"/>
      <c r="EQ532" s="1116"/>
      <c r="ER532" s="1116"/>
      <c r="ES532" s="1116"/>
    </row>
    <row r="533" spans="1:149" ht="15" customHeight="1">
      <c r="A533" s="1185">
        <v>518</v>
      </c>
      <c r="B533" s="1041"/>
      <c r="C533" s="1050"/>
      <c r="D533" s="1050"/>
      <c r="E533" s="1050"/>
      <c r="F533" s="1049"/>
      <c r="G533" s="1457"/>
      <c r="H533" s="1049"/>
      <c r="I533" s="1049"/>
      <c r="J533" s="1050"/>
      <c r="K533" s="1050"/>
      <c r="L533" s="1043"/>
      <c r="M533" s="1051"/>
      <c r="N533" s="1051"/>
      <c r="O533" s="1052"/>
      <c r="P533" s="1051"/>
      <c r="Q533" s="1051"/>
      <c r="R533" s="1052"/>
      <c r="S533" s="1051"/>
      <c r="T533" s="1051"/>
      <c r="U533" s="1052"/>
      <c r="V533" s="1051"/>
      <c r="W533" s="1051"/>
      <c r="X533" s="1052"/>
      <c r="Y533" s="1053"/>
      <c r="Z533" s="1051"/>
      <c r="AA533" s="1051"/>
      <c r="AB533" s="1052"/>
      <c r="AC533" s="1051"/>
      <c r="AD533" s="1051"/>
      <c r="AE533" s="1052"/>
      <c r="AF533" s="1051"/>
      <c r="AG533" s="1051"/>
      <c r="AH533" s="1051"/>
      <c r="AI533" s="1051"/>
      <c r="AJ533" s="1052"/>
      <c r="AK533" s="1051"/>
      <c r="AL533" s="1051"/>
      <c r="AM533" s="1052"/>
      <c r="AN533" s="1051"/>
      <c r="AO533" s="1051"/>
      <c r="AP533" s="1052"/>
      <c r="AQ533" s="1051"/>
      <c r="AR533" s="1051"/>
      <c r="AS533" s="1052"/>
      <c r="AT533" s="1051"/>
      <c r="AU533" s="1051"/>
      <c r="AV533" s="1052"/>
      <c r="AW533" s="1051"/>
      <c r="AX533" s="1051"/>
      <c r="AY533" s="1053"/>
      <c r="AZ533" s="1051"/>
      <c r="BA533" s="1051"/>
      <c r="BB533" s="1053"/>
      <c r="BC533" s="1051"/>
      <c r="BD533" s="1051"/>
      <c r="BE533" s="1053"/>
      <c r="BF533" s="1051"/>
      <c r="BG533" s="1051"/>
      <c r="BH533" s="1053"/>
      <c r="BI533" s="1052"/>
      <c r="BJ533" s="1052"/>
      <c r="BK533" s="1052"/>
      <c r="BL533" s="1052"/>
      <c r="BM533" s="1052"/>
      <c r="BN533" s="1054"/>
      <c r="BO533" s="1076">
        <f t="shared" si="19"/>
        <v>0</v>
      </c>
      <c r="BP533" s="1051"/>
      <c r="BQ533" s="1052"/>
      <c r="BR533" s="1054"/>
      <c r="BS533" s="1053"/>
      <c r="BT533" s="1051"/>
      <c r="BU533" s="1051"/>
      <c r="BV533" s="1051"/>
      <c r="BW533" s="1052"/>
      <c r="BX533" s="1052"/>
      <c r="BY533" s="1052"/>
      <c r="BZ533" s="1052"/>
      <c r="CA533" s="1052"/>
      <c r="CB533" s="1053"/>
      <c r="CC533" s="1053"/>
      <c r="CD533" s="1053"/>
      <c r="CE533" s="1053"/>
      <c r="CF533" s="1053"/>
      <c r="CG533" s="1053"/>
      <c r="CH533" s="1053"/>
      <c r="CI533" s="1123"/>
      <c r="CJ533" s="1123"/>
      <c r="CK533" s="1123"/>
      <c r="CL533" s="1123"/>
      <c r="CM533" s="1123"/>
      <c r="CN533" s="1123"/>
      <c r="CO533" s="1123"/>
      <c r="CP533" s="1123"/>
      <c r="CQ533" s="1123"/>
      <c r="CR533" s="1123"/>
      <c r="CS533" s="1123"/>
      <c r="CT533" s="1123"/>
      <c r="CU533" s="1123"/>
      <c r="CV533" s="1123"/>
      <c r="CW533" s="1123"/>
      <c r="CX533" s="1123"/>
      <c r="CY533" s="1123"/>
      <c r="CZ533" s="1114"/>
      <c r="DA533" s="1114"/>
      <c r="DB533" s="1114"/>
      <c r="DC533" s="1114"/>
      <c r="DD533" s="1114"/>
      <c r="DE533" s="1114"/>
      <c r="DF533" s="1114"/>
      <c r="DG533" s="1114"/>
      <c r="DH533" s="1114"/>
      <c r="DI533" s="1114"/>
      <c r="DJ533" s="1114"/>
      <c r="DK533" s="1114"/>
      <c r="DL533" s="1114"/>
      <c r="DM533" s="1114"/>
      <c r="DN533" s="1114"/>
      <c r="DO533" s="1114"/>
      <c r="DP533" s="1114"/>
      <c r="DQ533" s="1114"/>
      <c r="DR533" s="1114"/>
      <c r="DS533" s="1114"/>
      <c r="DT533" s="1114"/>
      <c r="DU533" s="1114"/>
      <c r="DV533" s="1115"/>
      <c r="DW533" s="1116"/>
      <c r="DX533" s="1116"/>
      <c r="DY533" s="1116"/>
      <c r="DZ533" s="1116"/>
      <c r="EA533" s="1116"/>
      <c r="EB533" s="1116"/>
      <c r="EC533" s="1116"/>
      <c r="ED533" s="1116"/>
      <c r="EE533" s="1116"/>
      <c r="EF533" s="1116"/>
      <c r="EG533" s="1116"/>
      <c r="EH533" s="1116"/>
      <c r="EI533" s="1116"/>
      <c r="EJ533" s="1116"/>
      <c r="EK533" s="1116"/>
      <c r="EL533" s="1116"/>
      <c r="EM533" s="1116"/>
      <c r="EN533" s="1116"/>
      <c r="EO533" s="1116"/>
      <c r="EP533" s="1116"/>
      <c r="EQ533" s="1116"/>
      <c r="ER533" s="1116"/>
      <c r="ES533" s="1116"/>
    </row>
    <row r="534" spans="1:149" ht="15" customHeight="1">
      <c r="A534" s="1185">
        <v>519</v>
      </c>
      <c r="B534" s="1041"/>
      <c r="C534" s="1050"/>
      <c r="D534" s="1050"/>
      <c r="E534" s="1050"/>
      <c r="F534" s="1049"/>
      <c r="G534" s="1457"/>
      <c r="H534" s="1049"/>
      <c r="I534" s="1049"/>
      <c r="J534" s="1050"/>
      <c r="K534" s="1050"/>
      <c r="L534" s="1043"/>
      <c r="M534" s="1051"/>
      <c r="N534" s="1051"/>
      <c r="O534" s="1052"/>
      <c r="P534" s="1051"/>
      <c r="Q534" s="1051"/>
      <c r="R534" s="1052"/>
      <c r="S534" s="1051"/>
      <c r="T534" s="1051"/>
      <c r="U534" s="1052"/>
      <c r="V534" s="1051"/>
      <c r="W534" s="1051"/>
      <c r="X534" s="1052"/>
      <c r="Y534" s="1053"/>
      <c r="Z534" s="1051"/>
      <c r="AA534" s="1051"/>
      <c r="AB534" s="1052"/>
      <c r="AC534" s="1051"/>
      <c r="AD534" s="1051"/>
      <c r="AE534" s="1052"/>
      <c r="AF534" s="1051"/>
      <c r="AG534" s="1051"/>
      <c r="AH534" s="1051"/>
      <c r="AI534" s="1051"/>
      <c r="AJ534" s="1052"/>
      <c r="AK534" s="1051"/>
      <c r="AL534" s="1051"/>
      <c r="AM534" s="1052"/>
      <c r="AN534" s="1051"/>
      <c r="AO534" s="1051"/>
      <c r="AP534" s="1052"/>
      <c r="AQ534" s="1051"/>
      <c r="AR534" s="1051"/>
      <c r="AS534" s="1052"/>
      <c r="AT534" s="1051"/>
      <c r="AU534" s="1051"/>
      <c r="AV534" s="1052"/>
      <c r="AW534" s="1051"/>
      <c r="AX534" s="1051"/>
      <c r="AY534" s="1053"/>
      <c r="AZ534" s="1051"/>
      <c r="BA534" s="1051"/>
      <c r="BB534" s="1053"/>
      <c r="BC534" s="1051"/>
      <c r="BD534" s="1051"/>
      <c r="BE534" s="1053"/>
      <c r="BF534" s="1051"/>
      <c r="BG534" s="1051"/>
      <c r="BH534" s="1053"/>
      <c r="BI534" s="1052"/>
      <c r="BJ534" s="1052"/>
      <c r="BK534" s="1052"/>
      <c r="BL534" s="1052"/>
      <c r="BM534" s="1052"/>
      <c r="BN534" s="1054"/>
      <c r="BO534" s="1076">
        <f t="shared" si="19"/>
        <v>0</v>
      </c>
      <c r="BP534" s="1051"/>
      <c r="BQ534" s="1052"/>
      <c r="BR534" s="1054"/>
      <c r="BS534" s="1053"/>
      <c r="BT534" s="1051"/>
      <c r="BU534" s="1051"/>
      <c r="BV534" s="1051"/>
      <c r="BW534" s="1052"/>
      <c r="BX534" s="1052"/>
      <c r="BY534" s="1052"/>
      <c r="BZ534" s="1052"/>
      <c r="CA534" s="1052"/>
      <c r="CB534" s="1053"/>
      <c r="CC534" s="1053"/>
      <c r="CD534" s="1053"/>
      <c r="CE534" s="1053"/>
      <c r="CF534" s="1053"/>
      <c r="CG534" s="1053"/>
      <c r="CH534" s="1053"/>
      <c r="CI534" s="1123"/>
      <c r="CJ534" s="1123"/>
      <c r="CK534" s="1123"/>
      <c r="CL534" s="1123"/>
      <c r="CM534" s="1123"/>
      <c r="CN534" s="1123"/>
      <c r="CO534" s="1123"/>
      <c r="CP534" s="1123"/>
      <c r="CQ534" s="1123"/>
      <c r="CR534" s="1123"/>
      <c r="CS534" s="1123"/>
      <c r="CT534" s="1123"/>
      <c r="CU534" s="1123"/>
      <c r="CV534" s="1123"/>
      <c r="CW534" s="1123"/>
      <c r="CX534" s="1123"/>
      <c r="CY534" s="1123"/>
      <c r="CZ534" s="1114"/>
      <c r="DA534" s="1114"/>
      <c r="DB534" s="1114"/>
      <c r="DC534" s="1114"/>
      <c r="DD534" s="1114"/>
      <c r="DE534" s="1114"/>
      <c r="DF534" s="1114"/>
      <c r="DG534" s="1114"/>
      <c r="DH534" s="1114"/>
      <c r="DI534" s="1114"/>
      <c r="DJ534" s="1114"/>
      <c r="DK534" s="1114"/>
      <c r="DL534" s="1114"/>
      <c r="DM534" s="1114"/>
      <c r="DN534" s="1114"/>
      <c r="DO534" s="1114"/>
      <c r="DP534" s="1114"/>
      <c r="DQ534" s="1114"/>
      <c r="DR534" s="1114"/>
      <c r="DS534" s="1114"/>
      <c r="DT534" s="1114"/>
      <c r="DU534" s="1114"/>
      <c r="DV534" s="1115"/>
      <c r="DW534" s="1116"/>
      <c r="DX534" s="1116"/>
      <c r="DY534" s="1116"/>
      <c r="DZ534" s="1116"/>
      <c r="EA534" s="1116"/>
      <c r="EB534" s="1116"/>
      <c r="EC534" s="1116"/>
      <c r="ED534" s="1116"/>
      <c r="EE534" s="1116"/>
      <c r="EF534" s="1116"/>
      <c r="EG534" s="1116"/>
      <c r="EH534" s="1116"/>
      <c r="EI534" s="1116"/>
      <c r="EJ534" s="1116"/>
      <c r="EK534" s="1116"/>
      <c r="EL534" s="1116"/>
      <c r="EM534" s="1116"/>
      <c r="EN534" s="1116"/>
      <c r="EO534" s="1116"/>
      <c r="EP534" s="1116"/>
      <c r="EQ534" s="1116"/>
      <c r="ER534" s="1116"/>
      <c r="ES534" s="1116"/>
    </row>
    <row r="535" spans="1:149" ht="15" customHeight="1">
      <c r="A535" s="1185">
        <v>520</v>
      </c>
      <c r="B535" s="1041"/>
      <c r="C535" s="1050"/>
      <c r="D535" s="1050"/>
      <c r="E535" s="1050"/>
      <c r="F535" s="1049"/>
      <c r="G535" s="1457"/>
      <c r="H535" s="1049"/>
      <c r="I535" s="1049"/>
      <c r="J535" s="1050"/>
      <c r="K535" s="1050"/>
      <c r="L535" s="1043"/>
      <c r="M535" s="1051"/>
      <c r="N535" s="1051"/>
      <c r="O535" s="1052"/>
      <c r="P535" s="1051"/>
      <c r="Q535" s="1051"/>
      <c r="R535" s="1052"/>
      <c r="S535" s="1051"/>
      <c r="T535" s="1051"/>
      <c r="U535" s="1052"/>
      <c r="V535" s="1051"/>
      <c r="W535" s="1051"/>
      <c r="X535" s="1052"/>
      <c r="Y535" s="1053"/>
      <c r="Z535" s="1051"/>
      <c r="AA535" s="1051"/>
      <c r="AB535" s="1052"/>
      <c r="AC535" s="1051"/>
      <c r="AD535" s="1051"/>
      <c r="AE535" s="1052"/>
      <c r="AF535" s="1051"/>
      <c r="AG535" s="1051"/>
      <c r="AH535" s="1051"/>
      <c r="AI535" s="1051"/>
      <c r="AJ535" s="1052"/>
      <c r="AK535" s="1051"/>
      <c r="AL535" s="1051"/>
      <c r="AM535" s="1052"/>
      <c r="AN535" s="1051"/>
      <c r="AO535" s="1051"/>
      <c r="AP535" s="1052"/>
      <c r="AQ535" s="1051"/>
      <c r="AR535" s="1051"/>
      <c r="AS535" s="1052"/>
      <c r="AT535" s="1051"/>
      <c r="AU535" s="1051"/>
      <c r="AV535" s="1052"/>
      <c r="AW535" s="1051"/>
      <c r="AX535" s="1051"/>
      <c r="AY535" s="1053"/>
      <c r="AZ535" s="1051"/>
      <c r="BA535" s="1051"/>
      <c r="BB535" s="1053"/>
      <c r="BC535" s="1051"/>
      <c r="BD535" s="1051"/>
      <c r="BE535" s="1053"/>
      <c r="BF535" s="1051"/>
      <c r="BG535" s="1051"/>
      <c r="BH535" s="1053"/>
      <c r="BI535" s="1052"/>
      <c r="BJ535" s="1052"/>
      <c r="BK535" s="1052"/>
      <c r="BL535" s="1052"/>
      <c r="BM535" s="1052"/>
      <c r="BN535" s="1054"/>
      <c r="BO535" s="1076">
        <f t="shared" si="19"/>
        <v>0</v>
      </c>
      <c r="BP535" s="1051"/>
      <c r="BQ535" s="1052"/>
      <c r="BR535" s="1054"/>
      <c r="BS535" s="1053"/>
      <c r="BT535" s="1051"/>
      <c r="BU535" s="1051"/>
      <c r="BV535" s="1051"/>
      <c r="BW535" s="1052"/>
      <c r="BX535" s="1052"/>
      <c r="BY535" s="1052"/>
      <c r="BZ535" s="1052"/>
      <c r="CA535" s="1052"/>
      <c r="CB535" s="1053"/>
      <c r="CC535" s="1053"/>
      <c r="CD535" s="1053"/>
      <c r="CE535" s="1053"/>
      <c r="CF535" s="1053"/>
      <c r="CG535" s="1053"/>
      <c r="CH535" s="1053"/>
      <c r="CI535" s="1123"/>
      <c r="CJ535" s="1123"/>
      <c r="CK535" s="1123"/>
      <c r="CL535" s="1123"/>
      <c r="CM535" s="1123"/>
      <c r="CN535" s="1123"/>
      <c r="CO535" s="1123"/>
      <c r="CP535" s="1123"/>
      <c r="CQ535" s="1123"/>
      <c r="CR535" s="1123"/>
      <c r="CS535" s="1123"/>
      <c r="CT535" s="1123"/>
      <c r="CU535" s="1123"/>
      <c r="CV535" s="1123"/>
      <c r="CW535" s="1123"/>
      <c r="CX535" s="1123"/>
      <c r="CY535" s="1123"/>
      <c r="CZ535" s="1114"/>
      <c r="DA535" s="1114"/>
      <c r="DB535" s="1114"/>
      <c r="DC535" s="1114"/>
      <c r="DD535" s="1114"/>
      <c r="DE535" s="1114"/>
      <c r="DF535" s="1114"/>
      <c r="DG535" s="1114"/>
      <c r="DH535" s="1114"/>
      <c r="DI535" s="1114"/>
      <c r="DJ535" s="1114"/>
      <c r="DK535" s="1114"/>
      <c r="DL535" s="1114"/>
      <c r="DM535" s="1114"/>
      <c r="DN535" s="1114"/>
      <c r="DO535" s="1114"/>
      <c r="DP535" s="1114"/>
      <c r="DQ535" s="1114"/>
      <c r="DR535" s="1114"/>
      <c r="DS535" s="1114"/>
      <c r="DT535" s="1114"/>
      <c r="DU535" s="1114"/>
      <c r="DV535" s="1115"/>
      <c r="DW535" s="1116"/>
      <c r="DX535" s="1116"/>
      <c r="DY535" s="1116"/>
      <c r="DZ535" s="1116"/>
      <c r="EA535" s="1116"/>
      <c r="EB535" s="1116"/>
      <c r="EC535" s="1116"/>
      <c r="ED535" s="1116"/>
      <c r="EE535" s="1116"/>
      <c r="EF535" s="1116"/>
      <c r="EG535" s="1116"/>
      <c r="EH535" s="1116"/>
      <c r="EI535" s="1116"/>
      <c r="EJ535" s="1116"/>
      <c r="EK535" s="1116"/>
      <c r="EL535" s="1116"/>
      <c r="EM535" s="1116"/>
      <c r="EN535" s="1116"/>
      <c r="EO535" s="1116"/>
      <c r="EP535" s="1116"/>
      <c r="EQ535" s="1116"/>
      <c r="ER535" s="1116"/>
      <c r="ES535" s="1116"/>
    </row>
    <row r="536" spans="1:149" ht="15" customHeight="1">
      <c r="A536" s="1185">
        <v>521</v>
      </c>
      <c r="B536" s="1041"/>
      <c r="C536" s="1050"/>
      <c r="D536" s="1050"/>
      <c r="E536" s="1050"/>
      <c r="F536" s="1049"/>
      <c r="G536" s="1457"/>
      <c r="H536" s="1049"/>
      <c r="I536" s="1049"/>
      <c r="J536" s="1050"/>
      <c r="K536" s="1050"/>
      <c r="L536" s="1043"/>
      <c r="M536" s="1051"/>
      <c r="N536" s="1051"/>
      <c r="O536" s="1052"/>
      <c r="P536" s="1051"/>
      <c r="Q536" s="1051"/>
      <c r="R536" s="1052"/>
      <c r="S536" s="1051"/>
      <c r="T536" s="1051"/>
      <c r="U536" s="1052"/>
      <c r="V536" s="1051"/>
      <c r="W536" s="1051"/>
      <c r="X536" s="1052"/>
      <c r="Y536" s="1053"/>
      <c r="Z536" s="1051"/>
      <c r="AA536" s="1051"/>
      <c r="AB536" s="1052"/>
      <c r="AC536" s="1051"/>
      <c r="AD536" s="1051"/>
      <c r="AE536" s="1052"/>
      <c r="AF536" s="1051"/>
      <c r="AG536" s="1051"/>
      <c r="AH536" s="1051"/>
      <c r="AI536" s="1051"/>
      <c r="AJ536" s="1052"/>
      <c r="AK536" s="1051"/>
      <c r="AL536" s="1051"/>
      <c r="AM536" s="1052"/>
      <c r="AN536" s="1051"/>
      <c r="AO536" s="1051"/>
      <c r="AP536" s="1052"/>
      <c r="AQ536" s="1051"/>
      <c r="AR536" s="1051"/>
      <c r="AS536" s="1052"/>
      <c r="AT536" s="1051"/>
      <c r="AU536" s="1051"/>
      <c r="AV536" s="1052"/>
      <c r="AW536" s="1051"/>
      <c r="AX536" s="1051"/>
      <c r="AY536" s="1053"/>
      <c r="AZ536" s="1051"/>
      <c r="BA536" s="1051"/>
      <c r="BB536" s="1053"/>
      <c r="BC536" s="1051"/>
      <c r="BD536" s="1051"/>
      <c r="BE536" s="1053"/>
      <c r="BF536" s="1051"/>
      <c r="BG536" s="1051"/>
      <c r="BH536" s="1053"/>
      <c r="BI536" s="1052"/>
      <c r="BJ536" s="1052"/>
      <c r="BK536" s="1052"/>
      <c r="BL536" s="1052"/>
      <c r="BM536" s="1052"/>
      <c r="BN536" s="1054"/>
      <c r="BO536" s="1076">
        <f t="shared" si="19"/>
        <v>0</v>
      </c>
      <c r="BP536" s="1051"/>
      <c r="BQ536" s="1052"/>
      <c r="BR536" s="1054"/>
      <c r="BS536" s="1053"/>
      <c r="BT536" s="1051"/>
      <c r="BU536" s="1051"/>
      <c r="BV536" s="1051"/>
      <c r="BW536" s="1052"/>
      <c r="BX536" s="1052"/>
      <c r="BY536" s="1052"/>
      <c r="BZ536" s="1052"/>
      <c r="CA536" s="1052"/>
      <c r="CB536" s="1053"/>
      <c r="CC536" s="1053"/>
      <c r="CD536" s="1053"/>
      <c r="CE536" s="1053"/>
      <c r="CF536" s="1053"/>
      <c r="CG536" s="1053"/>
      <c r="CH536" s="1053"/>
      <c r="CI536" s="1123"/>
      <c r="CJ536" s="1123"/>
      <c r="CK536" s="1123"/>
      <c r="CL536" s="1123"/>
      <c r="CM536" s="1123"/>
      <c r="CN536" s="1123"/>
      <c r="CO536" s="1123"/>
      <c r="CP536" s="1123"/>
      <c r="CQ536" s="1123"/>
      <c r="CR536" s="1123"/>
      <c r="CS536" s="1123"/>
      <c r="CT536" s="1123"/>
      <c r="CU536" s="1123"/>
      <c r="CV536" s="1123"/>
      <c r="CW536" s="1123"/>
      <c r="CX536" s="1123"/>
      <c r="CY536" s="1123"/>
      <c r="CZ536" s="1114"/>
      <c r="DA536" s="1114"/>
      <c r="DB536" s="1114"/>
      <c r="DC536" s="1114"/>
      <c r="DD536" s="1114"/>
      <c r="DE536" s="1114"/>
      <c r="DF536" s="1114"/>
      <c r="DG536" s="1114"/>
      <c r="DH536" s="1114"/>
      <c r="DI536" s="1114"/>
      <c r="DJ536" s="1114"/>
      <c r="DK536" s="1114"/>
      <c r="DL536" s="1114"/>
      <c r="DM536" s="1114"/>
      <c r="DN536" s="1114"/>
      <c r="DO536" s="1114"/>
      <c r="DP536" s="1114"/>
      <c r="DQ536" s="1114"/>
      <c r="DR536" s="1114"/>
      <c r="DS536" s="1114"/>
      <c r="DT536" s="1114"/>
      <c r="DU536" s="1114"/>
      <c r="DV536" s="1115"/>
      <c r="DW536" s="1116"/>
      <c r="DX536" s="1116"/>
      <c r="DY536" s="1116"/>
      <c r="DZ536" s="1116"/>
      <c r="EA536" s="1116"/>
      <c r="EB536" s="1116"/>
      <c r="EC536" s="1116"/>
      <c r="ED536" s="1116"/>
      <c r="EE536" s="1116"/>
      <c r="EF536" s="1116"/>
      <c r="EG536" s="1116"/>
      <c r="EH536" s="1116"/>
      <c r="EI536" s="1116"/>
      <c r="EJ536" s="1116"/>
      <c r="EK536" s="1116"/>
      <c r="EL536" s="1116"/>
      <c r="EM536" s="1116"/>
      <c r="EN536" s="1116"/>
      <c r="EO536" s="1116"/>
      <c r="EP536" s="1116"/>
      <c r="EQ536" s="1116"/>
      <c r="ER536" s="1116"/>
      <c r="ES536" s="1116"/>
    </row>
    <row r="537" spans="1:149" ht="15" customHeight="1">
      <c r="A537" s="1185">
        <v>522</v>
      </c>
      <c r="B537" s="1041"/>
      <c r="C537" s="1050"/>
      <c r="D537" s="1050"/>
      <c r="E537" s="1050"/>
      <c r="F537" s="1049"/>
      <c r="G537" s="1457"/>
      <c r="H537" s="1049"/>
      <c r="I537" s="1049"/>
      <c r="J537" s="1050"/>
      <c r="K537" s="1050"/>
      <c r="L537" s="1043"/>
      <c r="M537" s="1051"/>
      <c r="N537" s="1051"/>
      <c r="O537" s="1052"/>
      <c r="P537" s="1051"/>
      <c r="Q537" s="1051"/>
      <c r="R537" s="1052"/>
      <c r="S537" s="1051"/>
      <c r="T537" s="1051"/>
      <c r="U537" s="1052"/>
      <c r="V537" s="1051"/>
      <c r="W537" s="1051"/>
      <c r="X537" s="1052"/>
      <c r="Y537" s="1053"/>
      <c r="Z537" s="1051"/>
      <c r="AA537" s="1051"/>
      <c r="AB537" s="1052"/>
      <c r="AC537" s="1051"/>
      <c r="AD537" s="1051"/>
      <c r="AE537" s="1052"/>
      <c r="AF537" s="1051"/>
      <c r="AG537" s="1051"/>
      <c r="AH537" s="1051"/>
      <c r="AI537" s="1051"/>
      <c r="AJ537" s="1052"/>
      <c r="AK537" s="1051"/>
      <c r="AL537" s="1051"/>
      <c r="AM537" s="1052"/>
      <c r="AN537" s="1051"/>
      <c r="AO537" s="1051"/>
      <c r="AP537" s="1052"/>
      <c r="AQ537" s="1051"/>
      <c r="AR537" s="1051"/>
      <c r="AS537" s="1052"/>
      <c r="AT537" s="1051"/>
      <c r="AU537" s="1051"/>
      <c r="AV537" s="1052"/>
      <c r="AW537" s="1051"/>
      <c r="AX537" s="1051"/>
      <c r="AY537" s="1053"/>
      <c r="AZ537" s="1051"/>
      <c r="BA537" s="1051"/>
      <c r="BB537" s="1053"/>
      <c r="BC537" s="1051"/>
      <c r="BD537" s="1051"/>
      <c r="BE537" s="1053"/>
      <c r="BF537" s="1051"/>
      <c r="BG537" s="1051"/>
      <c r="BH537" s="1053"/>
      <c r="BI537" s="1052"/>
      <c r="BJ537" s="1052"/>
      <c r="BK537" s="1052"/>
      <c r="BL537" s="1052"/>
      <c r="BM537" s="1052"/>
      <c r="BN537" s="1054"/>
      <c r="BO537" s="1076">
        <f t="shared" si="19"/>
        <v>0</v>
      </c>
      <c r="BP537" s="1051"/>
      <c r="BQ537" s="1052"/>
      <c r="BR537" s="1054"/>
      <c r="BS537" s="1053"/>
      <c r="BT537" s="1051"/>
      <c r="BU537" s="1051"/>
      <c r="BV537" s="1051"/>
      <c r="BW537" s="1052"/>
      <c r="BX537" s="1052"/>
      <c r="BY537" s="1052"/>
      <c r="BZ537" s="1052"/>
      <c r="CA537" s="1052"/>
      <c r="CB537" s="1053"/>
      <c r="CC537" s="1053"/>
      <c r="CD537" s="1053"/>
      <c r="CE537" s="1053"/>
      <c r="CF537" s="1053"/>
      <c r="CG537" s="1053"/>
      <c r="CH537" s="1053"/>
      <c r="CI537" s="1123"/>
      <c r="CJ537" s="1123"/>
      <c r="CK537" s="1123"/>
      <c r="CL537" s="1123"/>
      <c r="CM537" s="1123"/>
      <c r="CN537" s="1123"/>
      <c r="CO537" s="1123"/>
      <c r="CP537" s="1123"/>
      <c r="CQ537" s="1123"/>
      <c r="CR537" s="1123"/>
      <c r="CS537" s="1123"/>
      <c r="CT537" s="1123"/>
      <c r="CU537" s="1123"/>
      <c r="CV537" s="1123"/>
      <c r="CW537" s="1123"/>
      <c r="CX537" s="1123"/>
      <c r="CY537" s="1123"/>
      <c r="CZ537" s="1114"/>
      <c r="DA537" s="1114"/>
      <c r="DB537" s="1114"/>
      <c r="DC537" s="1114"/>
      <c r="DD537" s="1114"/>
      <c r="DE537" s="1114"/>
      <c r="DF537" s="1114"/>
      <c r="DG537" s="1114"/>
      <c r="DH537" s="1114"/>
      <c r="DI537" s="1114"/>
      <c r="DJ537" s="1114"/>
      <c r="DK537" s="1114"/>
      <c r="DL537" s="1114"/>
      <c r="DM537" s="1114"/>
      <c r="DN537" s="1114"/>
      <c r="DO537" s="1114"/>
      <c r="DP537" s="1114"/>
      <c r="DQ537" s="1114"/>
      <c r="DR537" s="1114"/>
      <c r="DS537" s="1114"/>
      <c r="DT537" s="1114"/>
      <c r="DU537" s="1114"/>
      <c r="DV537" s="1115"/>
      <c r="DW537" s="1116"/>
      <c r="DX537" s="1116"/>
      <c r="DY537" s="1116"/>
      <c r="DZ537" s="1116"/>
      <c r="EA537" s="1116"/>
      <c r="EB537" s="1116"/>
      <c r="EC537" s="1116"/>
      <c r="ED537" s="1116"/>
      <c r="EE537" s="1116"/>
      <c r="EF537" s="1116"/>
      <c r="EG537" s="1116"/>
      <c r="EH537" s="1116"/>
      <c r="EI537" s="1116"/>
      <c r="EJ537" s="1116"/>
      <c r="EK537" s="1116"/>
      <c r="EL537" s="1116"/>
      <c r="EM537" s="1116"/>
      <c r="EN537" s="1116"/>
      <c r="EO537" s="1116"/>
      <c r="EP537" s="1116"/>
      <c r="EQ537" s="1116"/>
      <c r="ER537" s="1116"/>
      <c r="ES537" s="1116"/>
    </row>
    <row r="538" spans="1:149" ht="15" customHeight="1">
      <c r="A538" s="1185">
        <v>523</v>
      </c>
      <c r="B538" s="1041"/>
      <c r="C538" s="1050"/>
      <c r="D538" s="1050"/>
      <c r="E538" s="1050"/>
      <c r="F538" s="1049"/>
      <c r="G538" s="1457"/>
      <c r="H538" s="1049"/>
      <c r="I538" s="1049"/>
      <c r="J538" s="1050"/>
      <c r="K538" s="1050"/>
      <c r="L538" s="1043"/>
      <c r="M538" s="1051"/>
      <c r="N538" s="1051"/>
      <c r="O538" s="1052"/>
      <c r="P538" s="1051"/>
      <c r="Q538" s="1051"/>
      <c r="R538" s="1052"/>
      <c r="S538" s="1051"/>
      <c r="T538" s="1051"/>
      <c r="U538" s="1052"/>
      <c r="V538" s="1051"/>
      <c r="W538" s="1051"/>
      <c r="X538" s="1052"/>
      <c r="Y538" s="1053"/>
      <c r="Z538" s="1051"/>
      <c r="AA538" s="1051"/>
      <c r="AB538" s="1052"/>
      <c r="AC538" s="1051"/>
      <c r="AD538" s="1051"/>
      <c r="AE538" s="1052"/>
      <c r="AF538" s="1051"/>
      <c r="AG538" s="1051"/>
      <c r="AH538" s="1051"/>
      <c r="AI538" s="1051"/>
      <c r="AJ538" s="1052"/>
      <c r="AK538" s="1051"/>
      <c r="AL538" s="1051"/>
      <c r="AM538" s="1052"/>
      <c r="AN538" s="1051"/>
      <c r="AO538" s="1051"/>
      <c r="AP538" s="1052"/>
      <c r="AQ538" s="1051"/>
      <c r="AR538" s="1051"/>
      <c r="AS538" s="1052"/>
      <c r="AT538" s="1051"/>
      <c r="AU538" s="1051"/>
      <c r="AV538" s="1052"/>
      <c r="AW538" s="1051"/>
      <c r="AX538" s="1051"/>
      <c r="AY538" s="1053"/>
      <c r="AZ538" s="1051"/>
      <c r="BA538" s="1051"/>
      <c r="BB538" s="1053"/>
      <c r="BC538" s="1051"/>
      <c r="BD538" s="1051"/>
      <c r="BE538" s="1053"/>
      <c r="BF538" s="1051"/>
      <c r="BG538" s="1051"/>
      <c r="BH538" s="1053"/>
      <c r="BI538" s="1052"/>
      <c r="BJ538" s="1052"/>
      <c r="BK538" s="1052"/>
      <c r="BL538" s="1052"/>
      <c r="BM538" s="1052"/>
      <c r="BN538" s="1054"/>
      <c r="BO538" s="1076">
        <f t="shared" si="19"/>
        <v>0</v>
      </c>
      <c r="BP538" s="1051"/>
      <c r="BQ538" s="1052"/>
      <c r="BR538" s="1054"/>
      <c r="BS538" s="1053"/>
      <c r="BT538" s="1051"/>
      <c r="BU538" s="1051"/>
      <c r="BV538" s="1051"/>
      <c r="BW538" s="1052"/>
      <c r="BX538" s="1052"/>
      <c r="BY538" s="1052"/>
      <c r="BZ538" s="1052"/>
      <c r="CA538" s="1052"/>
      <c r="CB538" s="1053"/>
      <c r="CC538" s="1053"/>
      <c r="CD538" s="1053"/>
      <c r="CE538" s="1053"/>
      <c r="CF538" s="1053"/>
      <c r="CG538" s="1053"/>
      <c r="CH538" s="1053"/>
      <c r="CI538" s="1123"/>
      <c r="CJ538" s="1123"/>
      <c r="CK538" s="1123"/>
      <c r="CL538" s="1123"/>
      <c r="CM538" s="1123"/>
      <c r="CN538" s="1123"/>
      <c r="CO538" s="1123"/>
      <c r="CP538" s="1123"/>
      <c r="CQ538" s="1123"/>
      <c r="CR538" s="1123"/>
      <c r="CS538" s="1123"/>
      <c r="CT538" s="1123"/>
      <c r="CU538" s="1123"/>
      <c r="CV538" s="1123"/>
      <c r="CW538" s="1123"/>
      <c r="CX538" s="1123"/>
      <c r="CY538" s="1123"/>
      <c r="CZ538" s="1114"/>
      <c r="DA538" s="1114"/>
      <c r="DB538" s="1114"/>
      <c r="DC538" s="1114"/>
      <c r="DD538" s="1114"/>
      <c r="DE538" s="1114"/>
      <c r="DF538" s="1114"/>
      <c r="DG538" s="1114"/>
      <c r="DH538" s="1114"/>
      <c r="DI538" s="1114"/>
      <c r="DJ538" s="1114"/>
      <c r="DK538" s="1114"/>
      <c r="DL538" s="1114"/>
      <c r="DM538" s="1114"/>
      <c r="DN538" s="1114"/>
      <c r="DO538" s="1114"/>
      <c r="DP538" s="1114"/>
      <c r="DQ538" s="1114"/>
      <c r="DR538" s="1114"/>
      <c r="DS538" s="1114"/>
      <c r="DT538" s="1114"/>
      <c r="DU538" s="1114"/>
      <c r="DV538" s="1115"/>
      <c r="DW538" s="1116"/>
      <c r="DX538" s="1116"/>
      <c r="DY538" s="1116"/>
      <c r="DZ538" s="1116"/>
      <c r="EA538" s="1116"/>
      <c r="EB538" s="1116"/>
      <c r="EC538" s="1116"/>
      <c r="ED538" s="1116"/>
      <c r="EE538" s="1116"/>
      <c r="EF538" s="1116"/>
      <c r="EG538" s="1116"/>
      <c r="EH538" s="1116"/>
      <c r="EI538" s="1116"/>
      <c r="EJ538" s="1116"/>
      <c r="EK538" s="1116"/>
      <c r="EL538" s="1116"/>
      <c r="EM538" s="1116"/>
      <c r="EN538" s="1116"/>
      <c r="EO538" s="1116"/>
      <c r="EP538" s="1116"/>
      <c r="EQ538" s="1116"/>
      <c r="ER538" s="1116"/>
      <c r="ES538" s="1116"/>
    </row>
    <row r="539" spans="1:149" ht="15" customHeight="1">
      <c r="A539" s="1185">
        <v>524</v>
      </c>
      <c r="B539" s="1041"/>
      <c r="C539" s="1050"/>
      <c r="D539" s="1050"/>
      <c r="E539" s="1050"/>
      <c r="F539" s="1049"/>
      <c r="G539" s="1457"/>
      <c r="H539" s="1049"/>
      <c r="I539" s="1049"/>
      <c r="J539" s="1050"/>
      <c r="K539" s="1050"/>
      <c r="L539" s="1043"/>
      <c r="M539" s="1051"/>
      <c r="N539" s="1051"/>
      <c r="O539" s="1052"/>
      <c r="P539" s="1051"/>
      <c r="Q539" s="1051"/>
      <c r="R539" s="1052"/>
      <c r="S539" s="1051"/>
      <c r="T539" s="1051"/>
      <c r="U539" s="1052"/>
      <c r="V539" s="1051"/>
      <c r="W539" s="1051"/>
      <c r="X539" s="1052"/>
      <c r="Y539" s="1053"/>
      <c r="Z539" s="1051"/>
      <c r="AA539" s="1051"/>
      <c r="AB539" s="1052"/>
      <c r="AC539" s="1051"/>
      <c r="AD539" s="1051"/>
      <c r="AE539" s="1052"/>
      <c r="AF539" s="1051"/>
      <c r="AG539" s="1051"/>
      <c r="AH539" s="1051"/>
      <c r="AI539" s="1051"/>
      <c r="AJ539" s="1052"/>
      <c r="AK539" s="1051"/>
      <c r="AL539" s="1051"/>
      <c r="AM539" s="1052"/>
      <c r="AN539" s="1051"/>
      <c r="AO539" s="1051"/>
      <c r="AP539" s="1052"/>
      <c r="AQ539" s="1051"/>
      <c r="AR539" s="1051"/>
      <c r="AS539" s="1052"/>
      <c r="AT539" s="1051"/>
      <c r="AU539" s="1051"/>
      <c r="AV539" s="1052"/>
      <c r="AW539" s="1051"/>
      <c r="AX539" s="1051"/>
      <c r="AY539" s="1053"/>
      <c r="AZ539" s="1051"/>
      <c r="BA539" s="1051"/>
      <c r="BB539" s="1053"/>
      <c r="BC539" s="1051"/>
      <c r="BD539" s="1051"/>
      <c r="BE539" s="1053"/>
      <c r="BF539" s="1051"/>
      <c r="BG539" s="1051"/>
      <c r="BH539" s="1053"/>
      <c r="BI539" s="1052"/>
      <c r="BJ539" s="1052"/>
      <c r="BK539" s="1052"/>
      <c r="BL539" s="1052"/>
      <c r="BM539" s="1052"/>
      <c r="BN539" s="1054"/>
      <c r="BO539" s="1076">
        <f t="shared" si="19"/>
        <v>0</v>
      </c>
      <c r="BP539" s="1051"/>
      <c r="BQ539" s="1052"/>
      <c r="BR539" s="1054"/>
      <c r="BS539" s="1053"/>
      <c r="BT539" s="1051"/>
      <c r="BU539" s="1051"/>
      <c r="BV539" s="1051"/>
      <c r="BW539" s="1052"/>
      <c r="BX539" s="1052"/>
      <c r="BY539" s="1052"/>
      <c r="BZ539" s="1052"/>
      <c r="CA539" s="1052"/>
      <c r="CB539" s="1053"/>
      <c r="CC539" s="1053"/>
      <c r="CD539" s="1053"/>
      <c r="CE539" s="1053"/>
      <c r="CF539" s="1053"/>
      <c r="CG539" s="1053"/>
      <c r="CH539" s="1053"/>
      <c r="CI539" s="1123"/>
      <c r="CJ539" s="1123"/>
      <c r="CK539" s="1123"/>
      <c r="CL539" s="1123"/>
      <c r="CM539" s="1123"/>
      <c r="CN539" s="1123"/>
      <c r="CO539" s="1123"/>
      <c r="CP539" s="1123"/>
      <c r="CQ539" s="1123"/>
      <c r="CR539" s="1123"/>
      <c r="CS539" s="1123"/>
      <c r="CT539" s="1123"/>
      <c r="CU539" s="1123"/>
      <c r="CV539" s="1123"/>
      <c r="CW539" s="1123"/>
      <c r="CX539" s="1123"/>
      <c r="CY539" s="1123"/>
      <c r="CZ539" s="1114"/>
      <c r="DA539" s="1114"/>
      <c r="DB539" s="1114"/>
      <c r="DC539" s="1114"/>
      <c r="DD539" s="1114"/>
      <c r="DE539" s="1114"/>
      <c r="DF539" s="1114"/>
      <c r="DG539" s="1114"/>
      <c r="DH539" s="1114"/>
      <c r="DI539" s="1114"/>
      <c r="DJ539" s="1114"/>
      <c r="DK539" s="1114"/>
      <c r="DL539" s="1114"/>
      <c r="DM539" s="1114"/>
      <c r="DN539" s="1114"/>
      <c r="DO539" s="1114"/>
      <c r="DP539" s="1114"/>
      <c r="DQ539" s="1114"/>
      <c r="DR539" s="1114"/>
      <c r="DS539" s="1114"/>
      <c r="DT539" s="1114"/>
      <c r="DU539" s="1114"/>
      <c r="DV539" s="1115"/>
      <c r="DW539" s="1116"/>
      <c r="DX539" s="1116"/>
      <c r="DY539" s="1116"/>
      <c r="DZ539" s="1116"/>
      <c r="EA539" s="1116"/>
      <c r="EB539" s="1116"/>
      <c r="EC539" s="1116"/>
      <c r="ED539" s="1116"/>
      <c r="EE539" s="1116"/>
      <c r="EF539" s="1116"/>
      <c r="EG539" s="1116"/>
      <c r="EH539" s="1116"/>
      <c r="EI539" s="1116"/>
      <c r="EJ539" s="1116"/>
      <c r="EK539" s="1116"/>
      <c r="EL539" s="1116"/>
      <c r="EM539" s="1116"/>
      <c r="EN539" s="1116"/>
      <c r="EO539" s="1116"/>
      <c r="EP539" s="1116"/>
      <c r="EQ539" s="1116"/>
      <c r="ER539" s="1116"/>
      <c r="ES539" s="1116"/>
    </row>
    <row r="540" spans="1:149" ht="15" customHeight="1">
      <c r="A540" s="1185">
        <v>525</v>
      </c>
      <c r="B540" s="1041"/>
      <c r="C540" s="1050"/>
      <c r="D540" s="1050"/>
      <c r="E540" s="1050"/>
      <c r="F540" s="1049"/>
      <c r="G540" s="1457"/>
      <c r="H540" s="1049"/>
      <c r="I540" s="1049"/>
      <c r="J540" s="1050"/>
      <c r="K540" s="1050"/>
      <c r="L540" s="1043"/>
      <c r="M540" s="1051"/>
      <c r="N540" s="1051"/>
      <c r="O540" s="1052"/>
      <c r="P540" s="1051"/>
      <c r="Q540" s="1051"/>
      <c r="R540" s="1052"/>
      <c r="S540" s="1051"/>
      <c r="T540" s="1051"/>
      <c r="U540" s="1052"/>
      <c r="V540" s="1051"/>
      <c r="W540" s="1051"/>
      <c r="X540" s="1052"/>
      <c r="Y540" s="1053"/>
      <c r="Z540" s="1051"/>
      <c r="AA540" s="1051"/>
      <c r="AB540" s="1052"/>
      <c r="AC540" s="1051"/>
      <c r="AD540" s="1051"/>
      <c r="AE540" s="1052"/>
      <c r="AF540" s="1051"/>
      <c r="AG540" s="1051"/>
      <c r="AH540" s="1051"/>
      <c r="AI540" s="1051"/>
      <c r="AJ540" s="1052"/>
      <c r="AK540" s="1051"/>
      <c r="AL540" s="1051"/>
      <c r="AM540" s="1052"/>
      <c r="AN540" s="1051"/>
      <c r="AO540" s="1051"/>
      <c r="AP540" s="1052"/>
      <c r="AQ540" s="1051"/>
      <c r="AR540" s="1051"/>
      <c r="AS540" s="1052"/>
      <c r="AT540" s="1051"/>
      <c r="AU540" s="1051"/>
      <c r="AV540" s="1052"/>
      <c r="AW540" s="1051"/>
      <c r="AX540" s="1051"/>
      <c r="AY540" s="1053"/>
      <c r="AZ540" s="1051"/>
      <c r="BA540" s="1051"/>
      <c r="BB540" s="1053"/>
      <c r="BC540" s="1051"/>
      <c r="BD540" s="1051"/>
      <c r="BE540" s="1053"/>
      <c r="BF540" s="1051"/>
      <c r="BG540" s="1051"/>
      <c r="BH540" s="1053"/>
      <c r="BI540" s="1052"/>
      <c r="BJ540" s="1052"/>
      <c r="BK540" s="1052"/>
      <c r="BL540" s="1052"/>
      <c r="BM540" s="1052"/>
      <c r="BN540" s="1054"/>
      <c r="BO540" s="1076">
        <f t="shared" si="19"/>
        <v>0</v>
      </c>
      <c r="BP540" s="1051"/>
      <c r="BQ540" s="1052"/>
      <c r="BR540" s="1054"/>
      <c r="BS540" s="1053"/>
      <c r="BT540" s="1051"/>
      <c r="BU540" s="1051"/>
      <c r="BV540" s="1051"/>
      <c r="BW540" s="1052"/>
      <c r="BX540" s="1052"/>
      <c r="BY540" s="1052"/>
      <c r="BZ540" s="1052"/>
      <c r="CA540" s="1052"/>
      <c r="CB540" s="1053"/>
      <c r="CC540" s="1053"/>
      <c r="CD540" s="1053"/>
      <c r="CE540" s="1053"/>
      <c r="CF540" s="1053"/>
      <c r="CG540" s="1053"/>
      <c r="CH540" s="1053"/>
      <c r="CI540" s="1123"/>
      <c r="CJ540" s="1123"/>
      <c r="CK540" s="1123"/>
      <c r="CL540" s="1123"/>
      <c r="CM540" s="1123"/>
      <c r="CN540" s="1123"/>
      <c r="CO540" s="1123"/>
      <c r="CP540" s="1123"/>
      <c r="CQ540" s="1123"/>
      <c r="CR540" s="1123"/>
      <c r="CS540" s="1123"/>
      <c r="CT540" s="1123"/>
      <c r="CU540" s="1123"/>
      <c r="CV540" s="1123"/>
      <c r="CW540" s="1123"/>
      <c r="CX540" s="1123"/>
      <c r="CY540" s="1123"/>
      <c r="CZ540" s="1114"/>
      <c r="DA540" s="1114"/>
      <c r="DB540" s="1114"/>
      <c r="DC540" s="1114"/>
      <c r="DD540" s="1114"/>
      <c r="DE540" s="1114"/>
      <c r="DF540" s="1114"/>
      <c r="DG540" s="1114"/>
      <c r="DH540" s="1114"/>
      <c r="DI540" s="1114"/>
      <c r="DJ540" s="1114"/>
      <c r="DK540" s="1114"/>
      <c r="DL540" s="1114"/>
      <c r="DM540" s="1114"/>
      <c r="DN540" s="1114"/>
      <c r="DO540" s="1114"/>
      <c r="DP540" s="1114"/>
      <c r="DQ540" s="1114"/>
      <c r="DR540" s="1114"/>
      <c r="DS540" s="1114"/>
      <c r="DT540" s="1114"/>
      <c r="DU540" s="1114"/>
      <c r="DV540" s="1115"/>
      <c r="DW540" s="1116"/>
      <c r="DX540" s="1116"/>
      <c r="DY540" s="1116"/>
      <c r="DZ540" s="1116"/>
      <c r="EA540" s="1116"/>
      <c r="EB540" s="1116"/>
      <c r="EC540" s="1116"/>
      <c r="ED540" s="1116"/>
      <c r="EE540" s="1116"/>
      <c r="EF540" s="1116"/>
      <c r="EG540" s="1116"/>
      <c r="EH540" s="1116"/>
      <c r="EI540" s="1116"/>
      <c r="EJ540" s="1116"/>
      <c r="EK540" s="1116"/>
      <c r="EL540" s="1116"/>
      <c r="EM540" s="1116"/>
      <c r="EN540" s="1116"/>
      <c r="EO540" s="1116"/>
      <c r="EP540" s="1116"/>
      <c r="EQ540" s="1116"/>
      <c r="ER540" s="1116"/>
      <c r="ES540" s="1116"/>
    </row>
    <row r="541" spans="1:149" ht="15" customHeight="1">
      <c r="A541" s="1185">
        <v>526</v>
      </c>
      <c r="B541" s="1041"/>
      <c r="C541" s="1050"/>
      <c r="D541" s="1050"/>
      <c r="E541" s="1050"/>
      <c r="F541" s="1049"/>
      <c r="G541" s="1457"/>
      <c r="H541" s="1049"/>
      <c r="I541" s="1049"/>
      <c r="J541" s="1050"/>
      <c r="K541" s="1050"/>
      <c r="L541" s="1043"/>
      <c r="M541" s="1051"/>
      <c r="N541" s="1051"/>
      <c r="O541" s="1052"/>
      <c r="P541" s="1051"/>
      <c r="Q541" s="1051"/>
      <c r="R541" s="1052"/>
      <c r="S541" s="1051"/>
      <c r="T541" s="1051"/>
      <c r="U541" s="1052"/>
      <c r="V541" s="1051"/>
      <c r="W541" s="1051"/>
      <c r="X541" s="1052"/>
      <c r="Y541" s="1053"/>
      <c r="Z541" s="1051"/>
      <c r="AA541" s="1051"/>
      <c r="AB541" s="1052"/>
      <c r="AC541" s="1051"/>
      <c r="AD541" s="1051"/>
      <c r="AE541" s="1052"/>
      <c r="AF541" s="1051"/>
      <c r="AG541" s="1051"/>
      <c r="AH541" s="1051"/>
      <c r="AI541" s="1051"/>
      <c r="AJ541" s="1052"/>
      <c r="AK541" s="1051"/>
      <c r="AL541" s="1051"/>
      <c r="AM541" s="1052"/>
      <c r="AN541" s="1051"/>
      <c r="AO541" s="1051"/>
      <c r="AP541" s="1052"/>
      <c r="AQ541" s="1051"/>
      <c r="AR541" s="1051"/>
      <c r="AS541" s="1052"/>
      <c r="AT541" s="1051"/>
      <c r="AU541" s="1051"/>
      <c r="AV541" s="1052"/>
      <c r="AW541" s="1051"/>
      <c r="AX541" s="1051"/>
      <c r="AY541" s="1053"/>
      <c r="AZ541" s="1051"/>
      <c r="BA541" s="1051"/>
      <c r="BB541" s="1053"/>
      <c r="BC541" s="1051"/>
      <c r="BD541" s="1051"/>
      <c r="BE541" s="1053"/>
      <c r="BF541" s="1051"/>
      <c r="BG541" s="1051"/>
      <c r="BH541" s="1053"/>
      <c r="BI541" s="1052"/>
      <c r="BJ541" s="1052"/>
      <c r="BK541" s="1052"/>
      <c r="BL541" s="1052"/>
      <c r="BM541" s="1052"/>
      <c r="BN541" s="1054"/>
      <c r="BO541" s="1076">
        <f t="shared" si="19"/>
        <v>0</v>
      </c>
      <c r="BP541" s="1051"/>
      <c r="BQ541" s="1052"/>
      <c r="BR541" s="1054"/>
      <c r="BS541" s="1053"/>
      <c r="BT541" s="1051"/>
      <c r="BU541" s="1051"/>
      <c r="BV541" s="1051"/>
      <c r="BW541" s="1052"/>
      <c r="BX541" s="1052"/>
      <c r="BY541" s="1052"/>
      <c r="BZ541" s="1052"/>
      <c r="CA541" s="1052"/>
      <c r="CB541" s="1053"/>
      <c r="CC541" s="1053"/>
      <c r="CD541" s="1053"/>
      <c r="CE541" s="1053"/>
      <c r="CF541" s="1053"/>
      <c r="CG541" s="1053"/>
      <c r="CH541" s="1053"/>
      <c r="CI541" s="1123"/>
      <c r="CJ541" s="1123"/>
      <c r="CK541" s="1123"/>
      <c r="CL541" s="1123"/>
      <c r="CM541" s="1123"/>
      <c r="CN541" s="1123"/>
      <c r="CO541" s="1123"/>
      <c r="CP541" s="1123"/>
      <c r="CQ541" s="1123"/>
      <c r="CR541" s="1123"/>
      <c r="CS541" s="1123"/>
      <c r="CT541" s="1123"/>
      <c r="CU541" s="1123"/>
      <c r="CV541" s="1123"/>
      <c r="CW541" s="1123"/>
      <c r="CX541" s="1123"/>
      <c r="CY541" s="1123"/>
      <c r="CZ541" s="1114"/>
      <c r="DA541" s="1114"/>
      <c r="DB541" s="1114"/>
      <c r="DC541" s="1114"/>
      <c r="DD541" s="1114"/>
      <c r="DE541" s="1114"/>
      <c r="DF541" s="1114"/>
      <c r="DG541" s="1114"/>
      <c r="DH541" s="1114"/>
      <c r="DI541" s="1114"/>
      <c r="DJ541" s="1114"/>
      <c r="DK541" s="1114"/>
      <c r="DL541" s="1114"/>
      <c r="DM541" s="1114"/>
      <c r="DN541" s="1114"/>
      <c r="DO541" s="1114"/>
      <c r="DP541" s="1114"/>
      <c r="DQ541" s="1114"/>
      <c r="DR541" s="1114"/>
      <c r="DS541" s="1114"/>
      <c r="DT541" s="1114"/>
      <c r="DU541" s="1114"/>
      <c r="DV541" s="1115"/>
      <c r="DW541" s="1116"/>
      <c r="DX541" s="1116"/>
      <c r="DY541" s="1116"/>
      <c r="DZ541" s="1116"/>
      <c r="EA541" s="1116"/>
      <c r="EB541" s="1116"/>
      <c r="EC541" s="1116"/>
      <c r="ED541" s="1116"/>
      <c r="EE541" s="1116"/>
      <c r="EF541" s="1116"/>
      <c r="EG541" s="1116"/>
      <c r="EH541" s="1116"/>
      <c r="EI541" s="1116"/>
      <c r="EJ541" s="1116"/>
      <c r="EK541" s="1116"/>
      <c r="EL541" s="1116"/>
      <c r="EM541" s="1116"/>
      <c r="EN541" s="1116"/>
      <c r="EO541" s="1116"/>
      <c r="EP541" s="1116"/>
      <c r="EQ541" s="1116"/>
      <c r="ER541" s="1116"/>
      <c r="ES541" s="1116"/>
    </row>
    <row r="542" spans="1:149" ht="15" customHeight="1">
      <c r="A542" s="1185">
        <v>527</v>
      </c>
      <c r="B542" s="1041"/>
      <c r="C542" s="1050"/>
      <c r="D542" s="1050"/>
      <c r="E542" s="1050"/>
      <c r="F542" s="1049"/>
      <c r="G542" s="1457"/>
      <c r="H542" s="1049"/>
      <c r="I542" s="1049"/>
      <c r="J542" s="1050"/>
      <c r="K542" s="1050"/>
      <c r="L542" s="1043"/>
      <c r="M542" s="1051"/>
      <c r="N542" s="1051"/>
      <c r="O542" s="1052"/>
      <c r="P542" s="1051"/>
      <c r="Q542" s="1051"/>
      <c r="R542" s="1052"/>
      <c r="S542" s="1051"/>
      <c r="T542" s="1051"/>
      <c r="U542" s="1052"/>
      <c r="V542" s="1051"/>
      <c r="W542" s="1051"/>
      <c r="X542" s="1052"/>
      <c r="Y542" s="1053"/>
      <c r="Z542" s="1051"/>
      <c r="AA542" s="1051"/>
      <c r="AB542" s="1052"/>
      <c r="AC542" s="1051"/>
      <c r="AD542" s="1051"/>
      <c r="AE542" s="1052"/>
      <c r="AF542" s="1051"/>
      <c r="AG542" s="1051"/>
      <c r="AH542" s="1051"/>
      <c r="AI542" s="1051"/>
      <c r="AJ542" s="1052"/>
      <c r="AK542" s="1051"/>
      <c r="AL542" s="1051"/>
      <c r="AM542" s="1052"/>
      <c r="AN542" s="1051"/>
      <c r="AO542" s="1051"/>
      <c r="AP542" s="1052"/>
      <c r="AQ542" s="1051"/>
      <c r="AR542" s="1051"/>
      <c r="AS542" s="1052"/>
      <c r="AT542" s="1051"/>
      <c r="AU542" s="1051"/>
      <c r="AV542" s="1052"/>
      <c r="AW542" s="1051"/>
      <c r="AX542" s="1051"/>
      <c r="AY542" s="1053"/>
      <c r="AZ542" s="1051"/>
      <c r="BA542" s="1051"/>
      <c r="BB542" s="1053"/>
      <c r="BC542" s="1051"/>
      <c r="BD542" s="1051"/>
      <c r="BE542" s="1053"/>
      <c r="BF542" s="1051"/>
      <c r="BG542" s="1051"/>
      <c r="BH542" s="1053"/>
      <c r="BI542" s="1052"/>
      <c r="BJ542" s="1052"/>
      <c r="BK542" s="1052"/>
      <c r="BL542" s="1052"/>
      <c r="BM542" s="1052"/>
      <c r="BN542" s="1054"/>
      <c r="BO542" s="1076">
        <f t="shared" si="19"/>
        <v>0</v>
      </c>
      <c r="BP542" s="1051"/>
      <c r="BQ542" s="1052"/>
      <c r="BR542" s="1054"/>
      <c r="BS542" s="1053"/>
      <c r="BT542" s="1051"/>
      <c r="BU542" s="1051"/>
      <c r="BV542" s="1051"/>
      <c r="BW542" s="1052"/>
      <c r="BX542" s="1052"/>
      <c r="BY542" s="1052"/>
      <c r="BZ542" s="1052"/>
      <c r="CA542" s="1052"/>
      <c r="CB542" s="1053"/>
      <c r="CC542" s="1053"/>
      <c r="CD542" s="1053"/>
      <c r="CE542" s="1053"/>
      <c r="CF542" s="1053"/>
      <c r="CG542" s="1053"/>
      <c r="CH542" s="1053"/>
      <c r="CI542" s="1123"/>
      <c r="CJ542" s="1123"/>
      <c r="CK542" s="1123"/>
      <c r="CL542" s="1123"/>
      <c r="CM542" s="1123"/>
      <c r="CN542" s="1123"/>
      <c r="CO542" s="1123"/>
      <c r="CP542" s="1123"/>
      <c r="CQ542" s="1123"/>
      <c r="CR542" s="1123"/>
      <c r="CS542" s="1123"/>
      <c r="CT542" s="1123"/>
      <c r="CU542" s="1123"/>
      <c r="CV542" s="1123"/>
      <c r="CW542" s="1123"/>
      <c r="CX542" s="1123"/>
      <c r="CY542" s="1123"/>
      <c r="CZ542" s="1114"/>
      <c r="DA542" s="1114"/>
      <c r="DB542" s="1114"/>
      <c r="DC542" s="1114"/>
      <c r="DD542" s="1114"/>
      <c r="DE542" s="1114"/>
      <c r="DF542" s="1114"/>
      <c r="DG542" s="1114"/>
      <c r="DH542" s="1114"/>
      <c r="DI542" s="1114"/>
      <c r="DJ542" s="1114"/>
      <c r="DK542" s="1114"/>
      <c r="DL542" s="1114"/>
      <c r="DM542" s="1114"/>
      <c r="DN542" s="1114"/>
      <c r="DO542" s="1114"/>
      <c r="DP542" s="1114"/>
      <c r="DQ542" s="1114"/>
      <c r="DR542" s="1114"/>
      <c r="DS542" s="1114"/>
      <c r="DT542" s="1114"/>
      <c r="DU542" s="1114"/>
      <c r="DV542" s="1115"/>
      <c r="DW542" s="1116"/>
      <c r="DX542" s="1116"/>
      <c r="DY542" s="1116"/>
      <c r="DZ542" s="1116"/>
      <c r="EA542" s="1116"/>
      <c r="EB542" s="1116"/>
      <c r="EC542" s="1116"/>
      <c r="ED542" s="1116"/>
      <c r="EE542" s="1116"/>
      <c r="EF542" s="1116"/>
      <c r="EG542" s="1116"/>
      <c r="EH542" s="1116"/>
      <c r="EI542" s="1116"/>
      <c r="EJ542" s="1116"/>
      <c r="EK542" s="1116"/>
      <c r="EL542" s="1116"/>
      <c r="EM542" s="1116"/>
      <c r="EN542" s="1116"/>
      <c r="EO542" s="1116"/>
      <c r="EP542" s="1116"/>
      <c r="EQ542" s="1116"/>
      <c r="ER542" s="1116"/>
      <c r="ES542" s="1116"/>
    </row>
    <row r="543" spans="1:149" ht="15" customHeight="1">
      <c r="A543" s="1185">
        <v>528</v>
      </c>
      <c r="B543" s="1041"/>
      <c r="C543" s="1050"/>
      <c r="D543" s="1050"/>
      <c r="E543" s="1050"/>
      <c r="F543" s="1049"/>
      <c r="G543" s="1457"/>
      <c r="H543" s="1049"/>
      <c r="I543" s="1049"/>
      <c r="J543" s="1050"/>
      <c r="K543" s="1050"/>
      <c r="L543" s="1043"/>
      <c r="M543" s="1051"/>
      <c r="N543" s="1051"/>
      <c r="O543" s="1052"/>
      <c r="P543" s="1051"/>
      <c r="Q543" s="1051"/>
      <c r="R543" s="1052"/>
      <c r="S543" s="1051"/>
      <c r="T543" s="1051"/>
      <c r="U543" s="1052"/>
      <c r="V543" s="1051"/>
      <c r="W543" s="1051"/>
      <c r="X543" s="1052"/>
      <c r="Y543" s="1053"/>
      <c r="Z543" s="1051"/>
      <c r="AA543" s="1051"/>
      <c r="AB543" s="1052"/>
      <c r="AC543" s="1051"/>
      <c r="AD543" s="1051"/>
      <c r="AE543" s="1052"/>
      <c r="AF543" s="1051"/>
      <c r="AG543" s="1051"/>
      <c r="AH543" s="1051"/>
      <c r="AI543" s="1051"/>
      <c r="AJ543" s="1052"/>
      <c r="AK543" s="1051"/>
      <c r="AL543" s="1051"/>
      <c r="AM543" s="1052"/>
      <c r="AN543" s="1051"/>
      <c r="AO543" s="1051"/>
      <c r="AP543" s="1052"/>
      <c r="AQ543" s="1051"/>
      <c r="AR543" s="1051"/>
      <c r="AS543" s="1052"/>
      <c r="AT543" s="1051"/>
      <c r="AU543" s="1051"/>
      <c r="AV543" s="1052"/>
      <c r="AW543" s="1051"/>
      <c r="AX543" s="1051"/>
      <c r="AY543" s="1053"/>
      <c r="AZ543" s="1051"/>
      <c r="BA543" s="1051"/>
      <c r="BB543" s="1053"/>
      <c r="BC543" s="1051"/>
      <c r="BD543" s="1051"/>
      <c r="BE543" s="1053"/>
      <c r="BF543" s="1051"/>
      <c r="BG543" s="1051"/>
      <c r="BH543" s="1053"/>
      <c r="BI543" s="1052"/>
      <c r="BJ543" s="1052"/>
      <c r="BK543" s="1052"/>
      <c r="BL543" s="1052"/>
      <c r="BM543" s="1052"/>
      <c r="BN543" s="1054"/>
      <c r="BO543" s="1076">
        <f t="shared" si="19"/>
        <v>0</v>
      </c>
      <c r="BP543" s="1051"/>
      <c r="BQ543" s="1052"/>
      <c r="BR543" s="1054"/>
      <c r="BS543" s="1053"/>
      <c r="BT543" s="1051"/>
      <c r="BU543" s="1051"/>
      <c r="BV543" s="1051"/>
      <c r="BW543" s="1052"/>
      <c r="BX543" s="1052"/>
      <c r="BY543" s="1052"/>
      <c r="BZ543" s="1052"/>
      <c r="CA543" s="1052"/>
      <c r="CB543" s="1053"/>
      <c r="CC543" s="1053"/>
      <c r="CD543" s="1053"/>
      <c r="CE543" s="1053"/>
      <c r="CF543" s="1053"/>
      <c r="CG543" s="1053"/>
      <c r="CH543" s="1053"/>
      <c r="CI543" s="1123"/>
      <c r="CJ543" s="1123"/>
      <c r="CK543" s="1123"/>
      <c r="CL543" s="1123"/>
      <c r="CM543" s="1123"/>
      <c r="CN543" s="1123"/>
      <c r="CO543" s="1123"/>
      <c r="CP543" s="1123"/>
      <c r="CQ543" s="1123"/>
      <c r="CR543" s="1123"/>
      <c r="CS543" s="1123"/>
      <c r="CT543" s="1123"/>
      <c r="CU543" s="1123"/>
      <c r="CV543" s="1123"/>
      <c r="CW543" s="1123"/>
      <c r="CX543" s="1123"/>
      <c r="CY543" s="1123"/>
      <c r="CZ543" s="1114"/>
      <c r="DA543" s="1114"/>
      <c r="DB543" s="1114"/>
      <c r="DC543" s="1114"/>
      <c r="DD543" s="1114"/>
      <c r="DE543" s="1114"/>
      <c r="DF543" s="1114"/>
      <c r="DG543" s="1114"/>
      <c r="DH543" s="1114"/>
      <c r="DI543" s="1114"/>
      <c r="DJ543" s="1114"/>
      <c r="DK543" s="1114"/>
      <c r="DL543" s="1114"/>
      <c r="DM543" s="1114"/>
      <c r="DN543" s="1114"/>
      <c r="DO543" s="1114"/>
      <c r="DP543" s="1114"/>
      <c r="DQ543" s="1114"/>
      <c r="DR543" s="1114"/>
      <c r="DS543" s="1114"/>
      <c r="DT543" s="1114"/>
      <c r="DU543" s="1114"/>
      <c r="DV543" s="1115"/>
      <c r="DW543" s="1116"/>
      <c r="DX543" s="1116"/>
      <c r="DY543" s="1116"/>
      <c r="DZ543" s="1116"/>
      <c r="EA543" s="1116"/>
      <c r="EB543" s="1116"/>
      <c r="EC543" s="1116"/>
      <c r="ED543" s="1116"/>
      <c r="EE543" s="1116"/>
      <c r="EF543" s="1116"/>
      <c r="EG543" s="1116"/>
      <c r="EH543" s="1116"/>
      <c r="EI543" s="1116"/>
      <c r="EJ543" s="1116"/>
      <c r="EK543" s="1116"/>
      <c r="EL543" s="1116"/>
      <c r="EM543" s="1116"/>
      <c r="EN543" s="1116"/>
      <c r="EO543" s="1116"/>
      <c r="EP543" s="1116"/>
      <c r="EQ543" s="1116"/>
      <c r="ER543" s="1116"/>
      <c r="ES543" s="1116"/>
    </row>
    <row r="544" spans="1:149" ht="15" customHeight="1">
      <c r="A544" s="1185">
        <v>529</v>
      </c>
      <c r="B544" s="1041"/>
      <c r="C544" s="1050"/>
      <c r="D544" s="1050"/>
      <c r="E544" s="1050"/>
      <c r="F544" s="1049"/>
      <c r="G544" s="1457"/>
      <c r="H544" s="1049"/>
      <c r="I544" s="1049"/>
      <c r="J544" s="1050"/>
      <c r="K544" s="1050"/>
      <c r="L544" s="1043"/>
      <c r="M544" s="1051"/>
      <c r="N544" s="1051"/>
      <c r="O544" s="1052"/>
      <c r="P544" s="1051"/>
      <c r="Q544" s="1051"/>
      <c r="R544" s="1052"/>
      <c r="S544" s="1051"/>
      <c r="T544" s="1051"/>
      <c r="U544" s="1052"/>
      <c r="V544" s="1051"/>
      <c r="W544" s="1051"/>
      <c r="X544" s="1052"/>
      <c r="Y544" s="1053"/>
      <c r="Z544" s="1051"/>
      <c r="AA544" s="1051"/>
      <c r="AB544" s="1052"/>
      <c r="AC544" s="1051"/>
      <c r="AD544" s="1051"/>
      <c r="AE544" s="1052"/>
      <c r="AF544" s="1051"/>
      <c r="AG544" s="1051"/>
      <c r="AH544" s="1051"/>
      <c r="AI544" s="1051"/>
      <c r="AJ544" s="1052"/>
      <c r="AK544" s="1051"/>
      <c r="AL544" s="1051"/>
      <c r="AM544" s="1052"/>
      <c r="AN544" s="1051"/>
      <c r="AO544" s="1051"/>
      <c r="AP544" s="1052"/>
      <c r="AQ544" s="1051"/>
      <c r="AR544" s="1051"/>
      <c r="AS544" s="1052"/>
      <c r="AT544" s="1051"/>
      <c r="AU544" s="1051"/>
      <c r="AV544" s="1052"/>
      <c r="AW544" s="1051"/>
      <c r="AX544" s="1051"/>
      <c r="AY544" s="1053"/>
      <c r="AZ544" s="1051"/>
      <c r="BA544" s="1051"/>
      <c r="BB544" s="1053"/>
      <c r="BC544" s="1051"/>
      <c r="BD544" s="1051"/>
      <c r="BE544" s="1053"/>
      <c r="BF544" s="1051"/>
      <c r="BG544" s="1051"/>
      <c r="BH544" s="1053"/>
      <c r="BI544" s="1052"/>
      <c r="BJ544" s="1052"/>
      <c r="BK544" s="1052"/>
      <c r="BL544" s="1052"/>
      <c r="BM544" s="1052"/>
      <c r="BN544" s="1054"/>
      <c r="BO544" s="1076">
        <f t="shared" si="19"/>
        <v>0</v>
      </c>
      <c r="BP544" s="1051"/>
      <c r="BQ544" s="1052"/>
      <c r="BR544" s="1054"/>
      <c r="BS544" s="1053"/>
      <c r="BT544" s="1051"/>
      <c r="BU544" s="1051"/>
      <c r="BV544" s="1051"/>
      <c r="BW544" s="1052"/>
      <c r="BX544" s="1052"/>
      <c r="BY544" s="1052"/>
      <c r="BZ544" s="1052"/>
      <c r="CA544" s="1052"/>
      <c r="CB544" s="1053"/>
      <c r="CC544" s="1053"/>
      <c r="CD544" s="1053"/>
      <c r="CE544" s="1053"/>
      <c r="CF544" s="1053"/>
      <c r="CG544" s="1053"/>
      <c r="CH544" s="1053"/>
      <c r="CI544" s="1123"/>
      <c r="CJ544" s="1123"/>
      <c r="CK544" s="1123"/>
      <c r="CL544" s="1123"/>
      <c r="CM544" s="1123"/>
      <c r="CN544" s="1123"/>
      <c r="CO544" s="1123"/>
      <c r="CP544" s="1123"/>
      <c r="CQ544" s="1123"/>
      <c r="CR544" s="1123"/>
      <c r="CS544" s="1123"/>
      <c r="CT544" s="1123"/>
      <c r="CU544" s="1123"/>
      <c r="CV544" s="1123"/>
      <c r="CW544" s="1123"/>
      <c r="CX544" s="1123"/>
      <c r="CY544" s="1123"/>
      <c r="CZ544" s="1114"/>
      <c r="DA544" s="1114"/>
      <c r="DB544" s="1114"/>
      <c r="DC544" s="1114"/>
      <c r="DD544" s="1114"/>
      <c r="DE544" s="1114"/>
      <c r="DF544" s="1114"/>
      <c r="DG544" s="1114"/>
      <c r="DH544" s="1114"/>
      <c r="DI544" s="1114"/>
      <c r="DJ544" s="1114"/>
      <c r="DK544" s="1114"/>
      <c r="DL544" s="1114"/>
      <c r="DM544" s="1114"/>
      <c r="DN544" s="1114"/>
      <c r="DO544" s="1114"/>
      <c r="DP544" s="1114"/>
      <c r="DQ544" s="1114"/>
      <c r="DR544" s="1114"/>
      <c r="DS544" s="1114"/>
      <c r="DT544" s="1114"/>
      <c r="DU544" s="1114"/>
      <c r="DV544" s="1115"/>
      <c r="DW544" s="1116"/>
      <c r="DX544" s="1116"/>
      <c r="DY544" s="1116"/>
      <c r="DZ544" s="1116"/>
      <c r="EA544" s="1116"/>
      <c r="EB544" s="1116"/>
      <c r="EC544" s="1116"/>
      <c r="ED544" s="1116"/>
      <c r="EE544" s="1116"/>
      <c r="EF544" s="1116"/>
      <c r="EG544" s="1116"/>
      <c r="EH544" s="1116"/>
      <c r="EI544" s="1116"/>
      <c r="EJ544" s="1116"/>
      <c r="EK544" s="1116"/>
      <c r="EL544" s="1116"/>
      <c r="EM544" s="1116"/>
      <c r="EN544" s="1116"/>
      <c r="EO544" s="1116"/>
      <c r="EP544" s="1116"/>
      <c r="EQ544" s="1116"/>
      <c r="ER544" s="1116"/>
      <c r="ES544" s="1116"/>
    </row>
    <row r="545" spans="1:149" ht="15" customHeight="1">
      <c r="A545" s="1185">
        <v>530</v>
      </c>
      <c r="B545" s="1041"/>
      <c r="C545" s="1050"/>
      <c r="D545" s="1050"/>
      <c r="E545" s="1050"/>
      <c r="F545" s="1049"/>
      <c r="G545" s="1457"/>
      <c r="H545" s="1049"/>
      <c r="I545" s="1049"/>
      <c r="J545" s="1050"/>
      <c r="K545" s="1050"/>
      <c r="L545" s="1043"/>
      <c r="M545" s="1051"/>
      <c r="N545" s="1051"/>
      <c r="O545" s="1052"/>
      <c r="P545" s="1051"/>
      <c r="Q545" s="1051"/>
      <c r="R545" s="1052"/>
      <c r="S545" s="1051"/>
      <c r="T545" s="1051"/>
      <c r="U545" s="1052"/>
      <c r="V545" s="1051"/>
      <c r="W545" s="1051"/>
      <c r="X545" s="1052"/>
      <c r="Y545" s="1053"/>
      <c r="Z545" s="1051"/>
      <c r="AA545" s="1051"/>
      <c r="AB545" s="1052"/>
      <c r="AC545" s="1051"/>
      <c r="AD545" s="1051"/>
      <c r="AE545" s="1052"/>
      <c r="AF545" s="1051"/>
      <c r="AG545" s="1051"/>
      <c r="AH545" s="1051"/>
      <c r="AI545" s="1051"/>
      <c r="AJ545" s="1052"/>
      <c r="AK545" s="1051"/>
      <c r="AL545" s="1051"/>
      <c r="AM545" s="1052"/>
      <c r="AN545" s="1051"/>
      <c r="AO545" s="1051"/>
      <c r="AP545" s="1052"/>
      <c r="AQ545" s="1051"/>
      <c r="AR545" s="1051"/>
      <c r="AS545" s="1052"/>
      <c r="AT545" s="1051"/>
      <c r="AU545" s="1051"/>
      <c r="AV545" s="1052"/>
      <c r="AW545" s="1051"/>
      <c r="AX545" s="1051"/>
      <c r="AY545" s="1053"/>
      <c r="AZ545" s="1051"/>
      <c r="BA545" s="1051"/>
      <c r="BB545" s="1053"/>
      <c r="BC545" s="1051"/>
      <c r="BD545" s="1051"/>
      <c r="BE545" s="1053"/>
      <c r="BF545" s="1051"/>
      <c r="BG545" s="1051"/>
      <c r="BH545" s="1053"/>
      <c r="BI545" s="1052"/>
      <c r="BJ545" s="1052"/>
      <c r="BK545" s="1052"/>
      <c r="BL545" s="1052"/>
      <c r="BM545" s="1052"/>
      <c r="BN545" s="1054"/>
      <c r="BO545" s="1076">
        <f t="shared" si="19"/>
        <v>0</v>
      </c>
      <c r="BP545" s="1051"/>
      <c r="BQ545" s="1052"/>
      <c r="BR545" s="1054"/>
      <c r="BS545" s="1053"/>
      <c r="BT545" s="1051"/>
      <c r="BU545" s="1051"/>
      <c r="BV545" s="1051"/>
      <c r="BW545" s="1052"/>
      <c r="BX545" s="1052"/>
      <c r="BY545" s="1052"/>
      <c r="BZ545" s="1052"/>
      <c r="CA545" s="1052"/>
      <c r="CB545" s="1053"/>
      <c r="CC545" s="1053"/>
      <c r="CD545" s="1053"/>
      <c r="CE545" s="1053"/>
      <c r="CF545" s="1053"/>
      <c r="CG545" s="1053"/>
      <c r="CH545" s="1053"/>
      <c r="CI545" s="1123"/>
      <c r="CJ545" s="1123"/>
      <c r="CK545" s="1123"/>
      <c r="CL545" s="1123"/>
      <c r="CM545" s="1123"/>
      <c r="CN545" s="1123"/>
      <c r="CO545" s="1123"/>
      <c r="CP545" s="1123"/>
      <c r="CQ545" s="1123"/>
      <c r="CR545" s="1123"/>
      <c r="CS545" s="1123"/>
      <c r="CT545" s="1123"/>
      <c r="CU545" s="1123"/>
      <c r="CV545" s="1123"/>
      <c r="CW545" s="1123"/>
      <c r="CX545" s="1123"/>
      <c r="CY545" s="1123"/>
      <c r="CZ545" s="1114"/>
      <c r="DA545" s="1114"/>
      <c r="DB545" s="1114"/>
      <c r="DC545" s="1114"/>
      <c r="DD545" s="1114"/>
      <c r="DE545" s="1114"/>
      <c r="DF545" s="1114"/>
      <c r="DG545" s="1114"/>
      <c r="DH545" s="1114"/>
      <c r="DI545" s="1114"/>
      <c r="DJ545" s="1114"/>
      <c r="DK545" s="1114"/>
      <c r="DL545" s="1114"/>
      <c r="DM545" s="1114"/>
      <c r="DN545" s="1114"/>
      <c r="DO545" s="1114"/>
      <c r="DP545" s="1114"/>
      <c r="DQ545" s="1114"/>
      <c r="DR545" s="1114"/>
      <c r="DS545" s="1114"/>
      <c r="DT545" s="1114"/>
      <c r="DU545" s="1114"/>
      <c r="DV545" s="1115"/>
      <c r="DW545" s="1116"/>
      <c r="DX545" s="1116"/>
      <c r="DY545" s="1116"/>
      <c r="DZ545" s="1116"/>
      <c r="EA545" s="1116"/>
      <c r="EB545" s="1116"/>
      <c r="EC545" s="1116"/>
      <c r="ED545" s="1116"/>
      <c r="EE545" s="1116"/>
      <c r="EF545" s="1116"/>
      <c r="EG545" s="1116"/>
      <c r="EH545" s="1116"/>
      <c r="EI545" s="1116"/>
      <c r="EJ545" s="1116"/>
      <c r="EK545" s="1116"/>
      <c r="EL545" s="1116"/>
      <c r="EM545" s="1116"/>
      <c r="EN545" s="1116"/>
      <c r="EO545" s="1116"/>
      <c r="EP545" s="1116"/>
      <c r="EQ545" s="1116"/>
      <c r="ER545" s="1116"/>
      <c r="ES545" s="1116"/>
    </row>
    <row r="546" spans="1:149" ht="15" customHeight="1">
      <c r="A546" s="1185">
        <v>531</v>
      </c>
      <c r="B546" s="1041"/>
      <c r="C546" s="1050"/>
      <c r="D546" s="1050"/>
      <c r="E546" s="1050"/>
      <c r="F546" s="1049"/>
      <c r="G546" s="1457"/>
      <c r="H546" s="1049"/>
      <c r="I546" s="1049"/>
      <c r="J546" s="1050"/>
      <c r="K546" s="1050"/>
      <c r="L546" s="1043"/>
      <c r="M546" s="1051"/>
      <c r="N546" s="1051"/>
      <c r="O546" s="1052"/>
      <c r="P546" s="1051"/>
      <c r="Q546" s="1051"/>
      <c r="R546" s="1052"/>
      <c r="S546" s="1051"/>
      <c r="T546" s="1051"/>
      <c r="U546" s="1052"/>
      <c r="V546" s="1051"/>
      <c r="W546" s="1051"/>
      <c r="X546" s="1052"/>
      <c r="Y546" s="1053"/>
      <c r="Z546" s="1051"/>
      <c r="AA546" s="1051"/>
      <c r="AB546" s="1052"/>
      <c r="AC546" s="1051"/>
      <c r="AD546" s="1051"/>
      <c r="AE546" s="1052"/>
      <c r="AF546" s="1051"/>
      <c r="AG546" s="1051"/>
      <c r="AH546" s="1051"/>
      <c r="AI546" s="1051"/>
      <c r="AJ546" s="1052"/>
      <c r="AK546" s="1051"/>
      <c r="AL546" s="1051"/>
      <c r="AM546" s="1052"/>
      <c r="AN546" s="1051"/>
      <c r="AO546" s="1051"/>
      <c r="AP546" s="1052"/>
      <c r="AQ546" s="1051"/>
      <c r="AR546" s="1051"/>
      <c r="AS546" s="1052"/>
      <c r="AT546" s="1051"/>
      <c r="AU546" s="1051"/>
      <c r="AV546" s="1052"/>
      <c r="AW546" s="1051"/>
      <c r="AX546" s="1051"/>
      <c r="AY546" s="1053"/>
      <c r="AZ546" s="1051"/>
      <c r="BA546" s="1051"/>
      <c r="BB546" s="1053"/>
      <c r="BC546" s="1051"/>
      <c r="BD546" s="1051"/>
      <c r="BE546" s="1053"/>
      <c r="BF546" s="1051"/>
      <c r="BG546" s="1051"/>
      <c r="BH546" s="1053"/>
      <c r="BI546" s="1052"/>
      <c r="BJ546" s="1052"/>
      <c r="BK546" s="1052"/>
      <c r="BL546" s="1052"/>
      <c r="BM546" s="1052"/>
      <c r="BN546" s="1054"/>
      <c r="BO546" s="1076">
        <f t="shared" si="19"/>
        <v>0</v>
      </c>
      <c r="BP546" s="1051"/>
      <c r="BQ546" s="1052"/>
      <c r="BR546" s="1054"/>
      <c r="BS546" s="1053"/>
      <c r="BT546" s="1051"/>
      <c r="BU546" s="1051"/>
      <c r="BV546" s="1051"/>
      <c r="BW546" s="1052"/>
      <c r="BX546" s="1052"/>
      <c r="BY546" s="1052"/>
      <c r="BZ546" s="1052"/>
      <c r="CA546" s="1052"/>
      <c r="CB546" s="1053"/>
      <c r="CC546" s="1053"/>
      <c r="CD546" s="1053"/>
      <c r="CE546" s="1053"/>
      <c r="CF546" s="1053"/>
      <c r="CG546" s="1053"/>
      <c r="CH546" s="1053"/>
      <c r="CI546" s="1123"/>
      <c r="CJ546" s="1123"/>
      <c r="CK546" s="1123"/>
      <c r="CL546" s="1123"/>
      <c r="CM546" s="1123"/>
      <c r="CN546" s="1123"/>
      <c r="CO546" s="1123"/>
      <c r="CP546" s="1123"/>
      <c r="CQ546" s="1123"/>
      <c r="CR546" s="1123"/>
      <c r="CS546" s="1123"/>
      <c r="CT546" s="1123"/>
      <c r="CU546" s="1123"/>
      <c r="CV546" s="1123"/>
      <c r="CW546" s="1123"/>
      <c r="CX546" s="1123"/>
      <c r="CY546" s="1123"/>
      <c r="CZ546" s="1114"/>
      <c r="DA546" s="1114"/>
      <c r="DB546" s="1114"/>
      <c r="DC546" s="1114"/>
      <c r="DD546" s="1114"/>
      <c r="DE546" s="1114"/>
      <c r="DF546" s="1114"/>
      <c r="DG546" s="1114"/>
      <c r="DH546" s="1114"/>
      <c r="DI546" s="1114"/>
      <c r="DJ546" s="1114"/>
      <c r="DK546" s="1114"/>
      <c r="DL546" s="1114"/>
      <c r="DM546" s="1114"/>
      <c r="DN546" s="1114"/>
      <c r="DO546" s="1114"/>
      <c r="DP546" s="1114"/>
      <c r="DQ546" s="1114"/>
      <c r="DR546" s="1114"/>
      <c r="DS546" s="1114"/>
      <c r="DT546" s="1114"/>
      <c r="DU546" s="1114"/>
      <c r="DV546" s="1115"/>
      <c r="DW546" s="1116"/>
      <c r="DX546" s="1116"/>
      <c r="DY546" s="1116"/>
      <c r="DZ546" s="1116"/>
      <c r="EA546" s="1116"/>
      <c r="EB546" s="1116"/>
      <c r="EC546" s="1116"/>
      <c r="ED546" s="1116"/>
      <c r="EE546" s="1116"/>
      <c r="EF546" s="1116"/>
      <c r="EG546" s="1116"/>
      <c r="EH546" s="1116"/>
      <c r="EI546" s="1116"/>
      <c r="EJ546" s="1116"/>
      <c r="EK546" s="1116"/>
      <c r="EL546" s="1116"/>
      <c r="EM546" s="1116"/>
      <c r="EN546" s="1116"/>
      <c r="EO546" s="1116"/>
      <c r="EP546" s="1116"/>
      <c r="EQ546" s="1116"/>
      <c r="ER546" s="1116"/>
      <c r="ES546" s="1116"/>
    </row>
    <row r="547" spans="1:149" ht="15" customHeight="1">
      <c r="A547" s="1185">
        <v>532</v>
      </c>
      <c r="B547" s="1041"/>
      <c r="C547" s="1050"/>
      <c r="D547" s="1050"/>
      <c r="E547" s="1050"/>
      <c r="F547" s="1049"/>
      <c r="G547" s="1457"/>
      <c r="H547" s="1049"/>
      <c r="I547" s="1049"/>
      <c r="J547" s="1050"/>
      <c r="K547" s="1050"/>
      <c r="L547" s="1043"/>
      <c r="M547" s="1051"/>
      <c r="N547" s="1051"/>
      <c r="O547" s="1052"/>
      <c r="P547" s="1051"/>
      <c r="Q547" s="1051"/>
      <c r="R547" s="1052"/>
      <c r="S547" s="1051"/>
      <c r="T547" s="1051"/>
      <c r="U547" s="1052"/>
      <c r="V547" s="1051"/>
      <c r="W547" s="1051"/>
      <c r="X547" s="1052"/>
      <c r="Y547" s="1053"/>
      <c r="Z547" s="1051"/>
      <c r="AA547" s="1051"/>
      <c r="AB547" s="1052"/>
      <c r="AC547" s="1051"/>
      <c r="AD547" s="1051"/>
      <c r="AE547" s="1052"/>
      <c r="AF547" s="1051"/>
      <c r="AG547" s="1051"/>
      <c r="AH547" s="1051"/>
      <c r="AI547" s="1051"/>
      <c r="AJ547" s="1052"/>
      <c r="AK547" s="1051"/>
      <c r="AL547" s="1051"/>
      <c r="AM547" s="1052"/>
      <c r="AN547" s="1051"/>
      <c r="AO547" s="1051"/>
      <c r="AP547" s="1052"/>
      <c r="AQ547" s="1051"/>
      <c r="AR547" s="1051"/>
      <c r="AS547" s="1052"/>
      <c r="AT547" s="1051"/>
      <c r="AU547" s="1051"/>
      <c r="AV547" s="1052"/>
      <c r="AW547" s="1051"/>
      <c r="AX547" s="1051"/>
      <c r="AY547" s="1053"/>
      <c r="AZ547" s="1051"/>
      <c r="BA547" s="1051"/>
      <c r="BB547" s="1053"/>
      <c r="BC547" s="1051"/>
      <c r="BD547" s="1051"/>
      <c r="BE547" s="1053"/>
      <c r="BF547" s="1051"/>
      <c r="BG547" s="1051"/>
      <c r="BH547" s="1053"/>
      <c r="BI547" s="1052"/>
      <c r="BJ547" s="1052"/>
      <c r="BK547" s="1052"/>
      <c r="BL547" s="1052"/>
      <c r="BM547" s="1052"/>
      <c r="BN547" s="1054"/>
      <c r="BO547" s="1076">
        <f t="shared" si="19"/>
        <v>0</v>
      </c>
      <c r="BP547" s="1051"/>
      <c r="BQ547" s="1052"/>
      <c r="BR547" s="1054"/>
      <c r="BS547" s="1053"/>
      <c r="BT547" s="1051"/>
      <c r="BU547" s="1051"/>
      <c r="BV547" s="1051"/>
      <c r="BW547" s="1052"/>
      <c r="BX547" s="1052"/>
      <c r="BY547" s="1052"/>
      <c r="BZ547" s="1052"/>
      <c r="CA547" s="1052"/>
      <c r="CB547" s="1053"/>
      <c r="CC547" s="1053"/>
      <c r="CD547" s="1053"/>
      <c r="CE547" s="1053"/>
      <c r="CF547" s="1053"/>
      <c r="CG547" s="1053"/>
      <c r="CH547" s="1053"/>
      <c r="CI547" s="1123"/>
      <c r="CJ547" s="1123"/>
      <c r="CK547" s="1123"/>
      <c r="CL547" s="1123"/>
      <c r="CM547" s="1123"/>
      <c r="CN547" s="1123"/>
      <c r="CO547" s="1123"/>
      <c r="CP547" s="1123"/>
      <c r="CQ547" s="1123"/>
      <c r="CR547" s="1123"/>
      <c r="CS547" s="1123"/>
      <c r="CT547" s="1123"/>
      <c r="CU547" s="1123"/>
      <c r="CV547" s="1123"/>
      <c r="CW547" s="1123"/>
      <c r="CX547" s="1123"/>
      <c r="CY547" s="1123"/>
      <c r="CZ547" s="1114"/>
      <c r="DA547" s="1114"/>
      <c r="DB547" s="1114"/>
      <c r="DC547" s="1114"/>
      <c r="DD547" s="1114"/>
      <c r="DE547" s="1114"/>
      <c r="DF547" s="1114"/>
      <c r="DG547" s="1114"/>
      <c r="DH547" s="1114"/>
      <c r="DI547" s="1114"/>
      <c r="DJ547" s="1114"/>
      <c r="DK547" s="1114"/>
      <c r="DL547" s="1114"/>
      <c r="DM547" s="1114"/>
      <c r="DN547" s="1114"/>
      <c r="DO547" s="1114"/>
      <c r="DP547" s="1114"/>
      <c r="DQ547" s="1114"/>
      <c r="DR547" s="1114"/>
      <c r="DS547" s="1114"/>
      <c r="DT547" s="1114"/>
      <c r="DU547" s="1114"/>
      <c r="DV547" s="1115"/>
      <c r="DW547" s="1116"/>
      <c r="DX547" s="1116"/>
      <c r="DY547" s="1116"/>
      <c r="DZ547" s="1116"/>
      <c r="EA547" s="1116"/>
      <c r="EB547" s="1116"/>
      <c r="EC547" s="1116"/>
      <c r="ED547" s="1116"/>
      <c r="EE547" s="1116"/>
      <c r="EF547" s="1116"/>
      <c r="EG547" s="1116"/>
      <c r="EH547" s="1116"/>
      <c r="EI547" s="1116"/>
      <c r="EJ547" s="1116"/>
      <c r="EK547" s="1116"/>
      <c r="EL547" s="1116"/>
      <c r="EM547" s="1116"/>
      <c r="EN547" s="1116"/>
      <c r="EO547" s="1116"/>
      <c r="EP547" s="1116"/>
      <c r="EQ547" s="1116"/>
      <c r="ER547" s="1116"/>
      <c r="ES547" s="1116"/>
    </row>
    <row r="548" spans="1:149" ht="15" customHeight="1">
      <c r="A548" s="1185">
        <v>533</v>
      </c>
      <c r="B548" s="1041"/>
      <c r="C548" s="1050"/>
      <c r="D548" s="1050"/>
      <c r="E548" s="1050"/>
      <c r="F548" s="1049"/>
      <c r="G548" s="1457"/>
      <c r="H548" s="1049"/>
      <c r="I548" s="1049"/>
      <c r="J548" s="1050"/>
      <c r="K548" s="1050"/>
      <c r="L548" s="1043"/>
      <c r="M548" s="1051"/>
      <c r="N548" s="1051"/>
      <c r="O548" s="1052"/>
      <c r="P548" s="1051"/>
      <c r="Q548" s="1051"/>
      <c r="R548" s="1052"/>
      <c r="S548" s="1051"/>
      <c r="T548" s="1051"/>
      <c r="U548" s="1052"/>
      <c r="V548" s="1051"/>
      <c r="W548" s="1051"/>
      <c r="X548" s="1052"/>
      <c r="Y548" s="1053"/>
      <c r="Z548" s="1051"/>
      <c r="AA548" s="1051"/>
      <c r="AB548" s="1052"/>
      <c r="AC548" s="1051"/>
      <c r="AD548" s="1051"/>
      <c r="AE548" s="1052"/>
      <c r="AF548" s="1051"/>
      <c r="AG548" s="1051"/>
      <c r="AH548" s="1051"/>
      <c r="AI548" s="1051"/>
      <c r="AJ548" s="1052"/>
      <c r="AK548" s="1051"/>
      <c r="AL548" s="1051"/>
      <c r="AM548" s="1052"/>
      <c r="AN548" s="1051"/>
      <c r="AO548" s="1051"/>
      <c r="AP548" s="1052"/>
      <c r="AQ548" s="1051"/>
      <c r="AR548" s="1051"/>
      <c r="AS548" s="1052"/>
      <c r="AT548" s="1051"/>
      <c r="AU548" s="1051"/>
      <c r="AV548" s="1052"/>
      <c r="AW548" s="1051"/>
      <c r="AX548" s="1051"/>
      <c r="AY548" s="1053"/>
      <c r="AZ548" s="1051"/>
      <c r="BA548" s="1051"/>
      <c r="BB548" s="1053"/>
      <c r="BC548" s="1051"/>
      <c r="BD548" s="1051"/>
      <c r="BE548" s="1053"/>
      <c r="BF548" s="1051"/>
      <c r="BG548" s="1051"/>
      <c r="BH548" s="1053"/>
      <c r="BI548" s="1052"/>
      <c r="BJ548" s="1052"/>
      <c r="BK548" s="1052"/>
      <c r="BL548" s="1052"/>
      <c r="BM548" s="1052"/>
      <c r="BN548" s="1054"/>
      <c r="BO548" s="1076">
        <f t="shared" si="19"/>
        <v>0</v>
      </c>
      <c r="BP548" s="1051"/>
      <c r="BQ548" s="1052"/>
      <c r="BR548" s="1054"/>
      <c r="BS548" s="1053"/>
      <c r="BT548" s="1051"/>
      <c r="BU548" s="1051"/>
      <c r="BV548" s="1051"/>
      <c r="BW548" s="1052"/>
      <c r="BX548" s="1052"/>
      <c r="BY548" s="1052"/>
      <c r="BZ548" s="1052"/>
      <c r="CA548" s="1052"/>
      <c r="CB548" s="1053"/>
      <c r="CC548" s="1053"/>
      <c r="CD548" s="1053"/>
      <c r="CE548" s="1053"/>
      <c r="CF548" s="1053"/>
      <c r="CG548" s="1053"/>
      <c r="CH548" s="1053"/>
      <c r="CI548" s="1123"/>
      <c r="CJ548" s="1123"/>
      <c r="CK548" s="1123"/>
      <c r="CL548" s="1123"/>
      <c r="CM548" s="1123"/>
      <c r="CN548" s="1123"/>
      <c r="CO548" s="1123"/>
      <c r="CP548" s="1123"/>
      <c r="CQ548" s="1123"/>
      <c r="CR548" s="1123"/>
      <c r="CS548" s="1123"/>
      <c r="CT548" s="1123"/>
      <c r="CU548" s="1123"/>
      <c r="CV548" s="1123"/>
      <c r="CW548" s="1123"/>
      <c r="CX548" s="1123"/>
      <c r="CY548" s="1123"/>
      <c r="CZ548" s="1114"/>
      <c r="DA548" s="1114"/>
      <c r="DB548" s="1114"/>
      <c r="DC548" s="1114"/>
      <c r="DD548" s="1114"/>
      <c r="DE548" s="1114"/>
      <c r="DF548" s="1114"/>
      <c r="DG548" s="1114"/>
      <c r="DH548" s="1114"/>
      <c r="DI548" s="1114"/>
      <c r="DJ548" s="1114"/>
      <c r="DK548" s="1114"/>
      <c r="DL548" s="1114"/>
      <c r="DM548" s="1114"/>
      <c r="DN548" s="1114"/>
      <c r="DO548" s="1114"/>
      <c r="DP548" s="1114"/>
      <c r="DQ548" s="1114"/>
      <c r="DR548" s="1114"/>
      <c r="DS548" s="1114"/>
      <c r="DT548" s="1114"/>
      <c r="DU548" s="1114"/>
      <c r="DV548" s="1115"/>
      <c r="DW548" s="1116"/>
      <c r="DX548" s="1116"/>
      <c r="DY548" s="1116"/>
      <c r="DZ548" s="1116"/>
      <c r="EA548" s="1116"/>
      <c r="EB548" s="1116"/>
      <c r="EC548" s="1116"/>
      <c r="ED548" s="1116"/>
      <c r="EE548" s="1116"/>
      <c r="EF548" s="1116"/>
      <c r="EG548" s="1116"/>
      <c r="EH548" s="1116"/>
      <c r="EI548" s="1116"/>
      <c r="EJ548" s="1116"/>
      <c r="EK548" s="1116"/>
      <c r="EL548" s="1116"/>
      <c r="EM548" s="1116"/>
      <c r="EN548" s="1116"/>
      <c r="EO548" s="1116"/>
      <c r="EP548" s="1116"/>
      <c r="EQ548" s="1116"/>
      <c r="ER548" s="1116"/>
      <c r="ES548" s="1116"/>
    </row>
    <row r="549" spans="1:149" ht="15" customHeight="1">
      <c r="A549" s="1185">
        <v>534</v>
      </c>
      <c r="B549" s="1041"/>
      <c r="C549" s="1050"/>
      <c r="D549" s="1050"/>
      <c r="E549" s="1050"/>
      <c r="F549" s="1049"/>
      <c r="G549" s="1457"/>
      <c r="H549" s="1049"/>
      <c r="I549" s="1049"/>
      <c r="J549" s="1050"/>
      <c r="K549" s="1050"/>
      <c r="L549" s="1043"/>
      <c r="M549" s="1051"/>
      <c r="N549" s="1051"/>
      <c r="O549" s="1052"/>
      <c r="P549" s="1051"/>
      <c r="Q549" s="1051"/>
      <c r="R549" s="1052"/>
      <c r="S549" s="1051"/>
      <c r="T549" s="1051"/>
      <c r="U549" s="1052"/>
      <c r="V549" s="1051"/>
      <c r="W549" s="1051"/>
      <c r="X549" s="1052"/>
      <c r="Y549" s="1053"/>
      <c r="Z549" s="1051"/>
      <c r="AA549" s="1051"/>
      <c r="AB549" s="1052"/>
      <c r="AC549" s="1051"/>
      <c r="AD549" s="1051"/>
      <c r="AE549" s="1052"/>
      <c r="AF549" s="1051"/>
      <c r="AG549" s="1051"/>
      <c r="AH549" s="1051"/>
      <c r="AI549" s="1051"/>
      <c r="AJ549" s="1052"/>
      <c r="AK549" s="1051"/>
      <c r="AL549" s="1051"/>
      <c r="AM549" s="1052"/>
      <c r="AN549" s="1051"/>
      <c r="AO549" s="1051"/>
      <c r="AP549" s="1052"/>
      <c r="AQ549" s="1051"/>
      <c r="AR549" s="1051"/>
      <c r="AS549" s="1052"/>
      <c r="AT549" s="1051"/>
      <c r="AU549" s="1051"/>
      <c r="AV549" s="1052"/>
      <c r="AW549" s="1051"/>
      <c r="AX549" s="1051"/>
      <c r="AY549" s="1053"/>
      <c r="AZ549" s="1051"/>
      <c r="BA549" s="1051"/>
      <c r="BB549" s="1053"/>
      <c r="BC549" s="1051"/>
      <c r="BD549" s="1051"/>
      <c r="BE549" s="1053"/>
      <c r="BF549" s="1051"/>
      <c r="BG549" s="1051"/>
      <c r="BH549" s="1053"/>
      <c r="BI549" s="1052"/>
      <c r="BJ549" s="1052"/>
      <c r="BK549" s="1052"/>
      <c r="BL549" s="1052"/>
      <c r="BM549" s="1052"/>
      <c r="BN549" s="1054"/>
      <c r="BO549" s="1076">
        <f t="shared" si="19"/>
        <v>0</v>
      </c>
      <c r="BP549" s="1051"/>
      <c r="BQ549" s="1052"/>
      <c r="BR549" s="1054"/>
      <c r="BS549" s="1053"/>
      <c r="BT549" s="1051"/>
      <c r="BU549" s="1051"/>
      <c r="BV549" s="1051"/>
      <c r="BW549" s="1052"/>
      <c r="BX549" s="1052"/>
      <c r="BY549" s="1052"/>
      <c r="BZ549" s="1052"/>
      <c r="CA549" s="1052"/>
      <c r="CB549" s="1053"/>
      <c r="CC549" s="1053"/>
      <c r="CD549" s="1053"/>
      <c r="CE549" s="1053"/>
      <c r="CF549" s="1053"/>
      <c r="CG549" s="1053"/>
      <c r="CH549" s="1053"/>
      <c r="CI549" s="1123"/>
      <c r="CJ549" s="1123"/>
      <c r="CK549" s="1123"/>
      <c r="CL549" s="1123"/>
      <c r="CM549" s="1123"/>
      <c r="CN549" s="1123"/>
      <c r="CO549" s="1123"/>
      <c r="CP549" s="1123"/>
      <c r="CQ549" s="1123"/>
      <c r="CR549" s="1123"/>
      <c r="CS549" s="1123"/>
      <c r="CT549" s="1123"/>
      <c r="CU549" s="1123"/>
      <c r="CV549" s="1123"/>
      <c r="CW549" s="1123"/>
      <c r="CX549" s="1123"/>
      <c r="CY549" s="1123"/>
      <c r="CZ549" s="1114"/>
      <c r="DA549" s="1114"/>
      <c r="DB549" s="1114"/>
      <c r="DC549" s="1114"/>
      <c r="DD549" s="1114"/>
      <c r="DE549" s="1114"/>
      <c r="DF549" s="1114"/>
      <c r="DG549" s="1114"/>
      <c r="DH549" s="1114"/>
      <c r="DI549" s="1114"/>
      <c r="DJ549" s="1114"/>
      <c r="DK549" s="1114"/>
      <c r="DL549" s="1114"/>
      <c r="DM549" s="1114"/>
      <c r="DN549" s="1114"/>
      <c r="DO549" s="1114"/>
      <c r="DP549" s="1114"/>
      <c r="DQ549" s="1114"/>
      <c r="DR549" s="1114"/>
      <c r="DS549" s="1114"/>
      <c r="DT549" s="1114"/>
      <c r="DU549" s="1114"/>
      <c r="DV549" s="1115"/>
      <c r="DW549" s="1116"/>
      <c r="DX549" s="1116"/>
      <c r="DY549" s="1116"/>
      <c r="DZ549" s="1116"/>
      <c r="EA549" s="1116"/>
      <c r="EB549" s="1116"/>
      <c r="EC549" s="1116"/>
      <c r="ED549" s="1116"/>
      <c r="EE549" s="1116"/>
      <c r="EF549" s="1116"/>
      <c r="EG549" s="1116"/>
      <c r="EH549" s="1116"/>
      <c r="EI549" s="1116"/>
      <c r="EJ549" s="1116"/>
      <c r="EK549" s="1116"/>
      <c r="EL549" s="1116"/>
      <c r="EM549" s="1116"/>
      <c r="EN549" s="1116"/>
      <c r="EO549" s="1116"/>
      <c r="EP549" s="1116"/>
      <c r="EQ549" s="1116"/>
      <c r="ER549" s="1116"/>
      <c r="ES549" s="1116"/>
    </row>
    <row r="550" spans="1:149" ht="15" customHeight="1">
      <c r="A550" s="1185">
        <v>535</v>
      </c>
      <c r="B550" s="1041"/>
      <c r="C550" s="1050"/>
      <c r="D550" s="1050"/>
      <c r="E550" s="1050"/>
      <c r="F550" s="1049"/>
      <c r="G550" s="1457"/>
      <c r="H550" s="1049"/>
      <c r="I550" s="1049"/>
      <c r="J550" s="1050"/>
      <c r="K550" s="1050"/>
      <c r="L550" s="1043"/>
      <c r="M550" s="1051"/>
      <c r="N550" s="1051"/>
      <c r="O550" s="1052"/>
      <c r="P550" s="1051"/>
      <c r="Q550" s="1051"/>
      <c r="R550" s="1052"/>
      <c r="S550" s="1051"/>
      <c r="T550" s="1051"/>
      <c r="U550" s="1052"/>
      <c r="V550" s="1051"/>
      <c r="W550" s="1051"/>
      <c r="X550" s="1052"/>
      <c r="Y550" s="1053"/>
      <c r="Z550" s="1051"/>
      <c r="AA550" s="1051"/>
      <c r="AB550" s="1052"/>
      <c r="AC550" s="1051"/>
      <c r="AD550" s="1051"/>
      <c r="AE550" s="1052"/>
      <c r="AF550" s="1051"/>
      <c r="AG550" s="1051"/>
      <c r="AH550" s="1051"/>
      <c r="AI550" s="1051"/>
      <c r="AJ550" s="1052"/>
      <c r="AK550" s="1051"/>
      <c r="AL550" s="1051"/>
      <c r="AM550" s="1052"/>
      <c r="AN550" s="1051"/>
      <c r="AO550" s="1051"/>
      <c r="AP550" s="1052"/>
      <c r="AQ550" s="1051"/>
      <c r="AR550" s="1051"/>
      <c r="AS550" s="1052"/>
      <c r="AT550" s="1051"/>
      <c r="AU550" s="1051"/>
      <c r="AV550" s="1052"/>
      <c r="AW550" s="1051"/>
      <c r="AX550" s="1051"/>
      <c r="AY550" s="1053"/>
      <c r="AZ550" s="1051"/>
      <c r="BA550" s="1051"/>
      <c r="BB550" s="1053"/>
      <c r="BC550" s="1051"/>
      <c r="BD550" s="1051"/>
      <c r="BE550" s="1053"/>
      <c r="BF550" s="1051"/>
      <c r="BG550" s="1051"/>
      <c r="BH550" s="1053"/>
      <c r="BI550" s="1052"/>
      <c r="BJ550" s="1052"/>
      <c r="BK550" s="1052"/>
      <c r="BL550" s="1052"/>
      <c r="BM550" s="1052"/>
      <c r="BN550" s="1054"/>
      <c r="BO550" s="1076">
        <f t="shared" si="19"/>
        <v>0</v>
      </c>
      <c r="BP550" s="1051"/>
      <c r="BQ550" s="1052"/>
      <c r="BR550" s="1054"/>
      <c r="BS550" s="1053"/>
      <c r="BT550" s="1051"/>
      <c r="BU550" s="1051"/>
      <c r="BV550" s="1051"/>
      <c r="BW550" s="1052"/>
      <c r="BX550" s="1052"/>
      <c r="BY550" s="1052"/>
      <c r="BZ550" s="1052"/>
      <c r="CA550" s="1052"/>
      <c r="CB550" s="1053"/>
      <c r="CC550" s="1053"/>
      <c r="CD550" s="1053"/>
      <c r="CE550" s="1053"/>
      <c r="CF550" s="1053"/>
      <c r="CG550" s="1053"/>
      <c r="CH550" s="1053"/>
      <c r="CI550" s="1123"/>
      <c r="CJ550" s="1123"/>
      <c r="CK550" s="1123"/>
      <c r="CL550" s="1123"/>
      <c r="CM550" s="1123"/>
      <c r="CN550" s="1123"/>
      <c r="CO550" s="1123"/>
      <c r="CP550" s="1123"/>
      <c r="CQ550" s="1123"/>
      <c r="CR550" s="1123"/>
      <c r="CS550" s="1123"/>
      <c r="CT550" s="1123"/>
      <c r="CU550" s="1123"/>
      <c r="CV550" s="1123"/>
      <c r="CW550" s="1123"/>
      <c r="CX550" s="1123"/>
      <c r="CY550" s="1123"/>
      <c r="CZ550" s="1114"/>
      <c r="DA550" s="1114"/>
      <c r="DB550" s="1114"/>
      <c r="DC550" s="1114"/>
      <c r="DD550" s="1114"/>
      <c r="DE550" s="1114"/>
      <c r="DF550" s="1114"/>
      <c r="DG550" s="1114"/>
      <c r="DH550" s="1114"/>
      <c r="DI550" s="1114"/>
      <c r="DJ550" s="1114"/>
      <c r="DK550" s="1114"/>
      <c r="DL550" s="1114"/>
      <c r="DM550" s="1114"/>
      <c r="DN550" s="1114"/>
      <c r="DO550" s="1114"/>
      <c r="DP550" s="1114"/>
      <c r="DQ550" s="1114"/>
      <c r="DR550" s="1114"/>
      <c r="DS550" s="1114"/>
      <c r="DT550" s="1114"/>
      <c r="DU550" s="1114"/>
      <c r="DV550" s="1115"/>
      <c r="DW550" s="1116"/>
      <c r="DX550" s="1116"/>
      <c r="DY550" s="1116"/>
      <c r="DZ550" s="1116"/>
      <c r="EA550" s="1116"/>
      <c r="EB550" s="1116"/>
      <c r="EC550" s="1116"/>
      <c r="ED550" s="1116"/>
      <c r="EE550" s="1116"/>
      <c r="EF550" s="1116"/>
      <c r="EG550" s="1116"/>
      <c r="EH550" s="1116"/>
      <c r="EI550" s="1116"/>
      <c r="EJ550" s="1116"/>
      <c r="EK550" s="1116"/>
      <c r="EL550" s="1116"/>
      <c r="EM550" s="1116"/>
      <c r="EN550" s="1116"/>
      <c r="EO550" s="1116"/>
      <c r="EP550" s="1116"/>
      <c r="EQ550" s="1116"/>
      <c r="ER550" s="1116"/>
      <c r="ES550" s="1116"/>
    </row>
    <row r="551" spans="1:149" ht="15" customHeight="1">
      <c r="A551" s="1185">
        <v>536</v>
      </c>
      <c r="B551" s="1041"/>
      <c r="C551" s="1050"/>
      <c r="D551" s="1050"/>
      <c r="E551" s="1050"/>
      <c r="F551" s="1049"/>
      <c r="G551" s="1457"/>
      <c r="H551" s="1049"/>
      <c r="I551" s="1049"/>
      <c r="J551" s="1050"/>
      <c r="K551" s="1050"/>
      <c r="L551" s="1043"/>
      <c r="M551" s="1051"/>
      <c r="N551" s="1051"/>
      <c r="O551" s="1052"/>
      <c r="P551" s="1051"/>
      <c r="Q551" s="1051"/>
      <c r="R551" s="1052"/>
      <c r="S551" s="1051"/>
      <c r="T551" s="1051"/>
      <c r="U551" s="1052"/>
      <c r="V551" s="1051"/>
      <c r="W551" s="1051"/>
      <c r="X551" s="1052"/>
      <c r="Y551" s="1053"/>
      <c r="Z551" s="1051"/>
      <c r="AA551" s="1051"/>
      <c r="AB551" s="1052"/>
      <c r="AC551" s="1051"/>
      <c r="AD551" s="1051"/>
      <c r="AE551" s="1052"/>
      <c r="AF551" s="1051"/>
      <c r="AG551" s="1051"/>
      <c r="AH551" s="1051"/>
      <c r="AI551" s="1051"/>
      <c r="AJ551" s="1052"/>
      <c r="AK551" s="1051"/>
      <c r="AL551" s="1051"/>
      <c r="AM551" s="1052"/>
      <c r="AN551" s="1051"/>
      <c r="AO551" s="1051"/>
      <c r="AP551" s="1052"/>
      <c r="AQ551" s="1051"/>
      <c r="AR551" s="1051"/>
      <c r="AS551" s="1052"/>
      <c r="AT551" s="1051"/>
      <c r="AU551" s="1051"/>
      <c r="AV551" s="1052"/>
      <c r="AW551" s="1051"/>
      <c r="AX551" s="1051"/>
      <c r="AY551" s="1053"/>
      <c r="AZ551" s="1051"/>
      <c r="BA551" s="1051"/>
      <c r="BB551" s="1053"/>
      <c r="BC551" s="1051"/>
      <c r="BD551" s="1051"/>
      <c r="BE551" s="1053"/>
      <c r="BF551" s="1051"/>
      <c r="BG551" s="1051"/>
      <c r="BH551" s="1053"/>
      <c r="BI551" s="1052"/>
      <c r="BJ551" s="1052"/>
      <c r="BK551" s="1052"/>
      <c r="BL551" s="1052"/>
      <c r="BM551" s="1052"/>
      <c r="BN551" s="1054"/>
      <c r="BO551" s="1076">
        <f t="shared" si="19"/>
        <v>0</v>
      </c>
      <c r="BP551" s="1051"/>
      <c r="BQ551" s="1052"/>
      <c r="BR551" s="1054"/>
      <c r="BS551" s="1053"/>
      <c r="BT551" s="1051"/>
      <c r="BU551" s="1051"/>
      <c r="BV551" s="1051"/>
      <c r="BW551" s="1052"/>
      <c r="BX551" s="1052"/>
      <c r="BY551" s="1052"/>
      <c r="BZ551" s="1052"/>
      <c r="CA551" s="1052"/>
      <c r="CB551" s="1053"/>
      <c r="CC551" s="1053"/>
      <c r="CD551" s="1053"/>
      <c r="CE551" s="1053"/>
      <c r="CF551" s="1053"/>
      <c r="CG551" s="1053"/>
      <c r="CH551" s="1053"/>
      <c r="CI551" s="1123"/>
      <c r="CJ551" s="1123"/>
      <c r="CK551" s="1123"/>
      <c r="CL551" s="1123"/>
      <c r="CM551" s="1123"/>
      <c r="CN551" s="1123"/>
      <c r="CO551" s="1123"/>
      <c r="CP551" s="1123"/>
      <c r="CQ551" s="1123"/>
      <c r="CR551" s="1123"/>
      <c r="CS551" s="1123"/>
      <c r="CT551" s="1123"/>
      <c r="CU551" s="1123"/>
      <c r="CV551" s="1123"/>
      <c r="CW551" s="1123"/>
      <c r="CX551" s="1123"/>
      <c r="CY551" s="1123"/>
      <c r="CZ551" s="1114"/>
      <c r="DA551" s="1114"/>
      <c r="DB551" s="1114"/>
      <c r="DC551" s="1114"/>
      <c r="DD551" s="1114"/>
      <c r="DE551" s="1114"/>
      <c r="DF551" s="1114"/>
      <c r="DG551" s="1114"/>
      <c r="DH551" s="1114"/>
      <c r="DI551" s="1114"/>
      <c r="DJ551" s="1114"/>
      <c r="DK551" s="1114"/>
      <c r="DL551" s="1114"/>
      <c r="DM551" s="1114"/>
      <c r="DN551" s="1114"/>
      <c r="DO551" s="1114"/>
      <c r="DP551" s="1114"/>
      <c r="DQ551" s="1114"/>
      <c r="DR551" s="1114"/>
      <c r="DS551" s="1114"/>
      <c r="DT551" s="1114"/>
      <c r="DU551" s="1114"/>
      <c r="DV551" s="1115"/>
      <c r="DW551" s="1116"/>
      <c r="DX551" s="1116"/>
      <c r="DY551" s="1116"/>
      <c r="DZ551" s="1116"/>
      <c r="EA551" s="1116"/>
      <c r="EB551" s="1116"/>
      <c r="EC551" s="1116"/>
      <c r="ED551" s="1116"/>
      <c r="EE551" s="1116"/>
      <c r="EF551" s="1116"/>
      <c r="EG551" s="1116"/>
      <c r="EH551" s="1116"/>
      <c r="EI551" s="1116"/>
      <c r="EJ551" s="1116"/>
      <c r="EK551" s="1116"/>
      <c r="EL551" s="1116"/>
      <c r="EM551" s="1116"/>
      <c r="EN551" s="1116"/>
      <c r="EO551" s="1116"/>
      <c r="EP551" s="1116"/>
      <c r="EQ551" s="1116"/>
      <c r="ER551" s="1116"/>
      <c r="ES551" s="1116"/>
    </row>
    <row r="552" spans="1:149" ht="15" customHeight="1">
      <c r="A552" s="1185">
        <v>537</v>
      </c>
      <c r="B552" s="1041"/>
      <c r="C552" s="1050"/>
      <c r="D552" s="1050"/>
      <c r="E552" s="1050"/>
      <c r="F552" s="1049"/>
      <c r="G552" s="1457"/>
      <c r="H552" s="1049"/>
      <c r="I552" s="1049"/>
      <c r="J552" s="1050"/>
      <c r="K552" s="1050"/>
      <c r="L552" s="1043"/>
      <c r="M552" s="1051"/>
      <c r="N552" s="1051"/>
      <c r="O552" s="1052"/>
      <c r="P552" s="1051"/>
      <c r="Q552" s="1051"/>
      <c r="R552" s="1052"/>
      <c r="S552" s="1051"/>
      <c r="T552" s="1051"/>
      <c r="U552" s="1052"/>
      <c r="V552" s="1051"/>
      <c r="W552" s="1051"/>
      <c r="X552" s="1052"/>
      <c r="Y552" s="1053"/>
      <c r="Z552" s="1051"/>
      <c r="AA552" s="1051"/>
      <c r="AB552" s="1052"/>
      <c r="AC552" s="1051"/>
      <c r="AD552" s="1051"/>
      <c r="AE552" s="1052"/>
      <c r="AF552" s="1051"/>
      <c r="AG552" s="1051"/>
      <c r="AH552" s="1051"/>
      <c r="AI552" s="1051"/>
      <c r="AJ552" s="1052"/>
      <c r="AK552" s="1051"/>
      <c r="AL552" s="1051"/>
      <c r="AM552" s="1052"/>
      <c r="AN552" s="1051"/>
      <c r="AO552" s="1051"/>
      <c r="AP552" s="1052"/>
      <c r="AQ552" s="1051"/>
      <c r="AR552" s="1051"/>
      <c r="AS552" s="1052"/>
      <c r="AT552" s="1051"/>
      <c r="AU552" s="1051"/>
      <c r="AV552" s="1052"/>
      <c r="AW552" s="1051"/>
      <c r="AX552" s="1051"/>
      <c r="AY552" s="1053"/>
      <c r="AZ552" s="1051"/>
      <c r="BA552" s="1051"/>
      <c r="BB552" s="1053"/>
      <c r="BC552" s="1051"/>
      <c r="BD552" s="1051"/>
      <c r="BE552" s="1053"/>
      <c r="BF552" s="1051"/>
      <c r="BG552" s="1051"/>
      <c r="BH552" s="1053"/>
      <c r="BI552" s="1052"/>
      <c r="BJ552" s="1052"/>
      <c r="BK552" s="1052"/>
      <c r="BL552" s="1052"/>
      <c r="BM552" s="1052"/>
      <c r="BN552" s="1054"/>
      <c r="BO552" s="1076">
        <f t="shared" si="19"/>
        <v>0</v>
      </c>
      <c r="BP552" s="1051"/>
      <c r="BQ552" s="1052"/>
      <c r="BR552" s="1054"/>
      <c r="BS552" s="1053"/>
      <c r="BT552" s="1051"/>
      <c r="BU552" s="1051"/>
      <c r="BV552" s="1051"/>
      <c r="BW552" s="1052"/>
      <c r="BX552" s="1052"/>
      <c r="BY552" s="1052"/>
      <c r="BZ552" s="1052"/>
      <c r="CA552" s="1052"/>
      <c r="CB552" s="1053"/>
      <c r="CC552" s="1053"/>
      <c r="CD552" s="1053"/>
      <c r="CE552" s="1053"/>
      <c r="CF552" s="1053"/>
      <c r="CG552" s="1053"/>
      <c r="CH552" s="1053"/>
      <c r="CI552" s="1123"/>
      <c r="CJ552" s="1123"/>
      <c r="CK552" s="1123"/>
      <c r="CL552" s="1123"/>
      <c r="CM552" s="1123"/>
      <c r="CN552" s="1123"/>
      <c r="CO552" s="1123"/>
      <c r="CP552" s="1123"/>
      <c r="CQ552" s="1123"/>
      <c r="CR552" s="1123"/>
      <c r="CS552" s="1123"/>
      <c r="CT552" s="1123"/>
      <c r="CU552" s="1123"/>
      <c r="CV552" s="1123"/>
      <c r="CW552" s="1123"/>
      <c r="CX552" s="1123"/>
      <c r="CY552" s="1123"/>
      <c r="CZ552" s="1114"/>
      <c r="DA552" s="1114"/>
      <c r="DB552" s="1114"/>
      <c r="DC552" s="1114"/>
      <c r="DD552" s="1114"/>
      <c r="DE552" s="1114"/>
      <c r="DF552" s="1114"/>
      <c r="DG552" s="1114"/>
      <c r="DH552" s="1114"/>
      <c r="DI552" s="1114"/>
      <c r="DJ552" s="1114"/>
      <c r="DK552" s="1114"/>
      <c r="DL552" s="1114"/>
      <c r="DM552" s="1114"/>
      <c r="DN552" s="1114"/>
      <c r="DO552" s="1114"/>
      <c r="DP552" s="1114"/>
      <c r="DQ552" s="1114"/>
      <c r="DR552" s="1114"/>
      <c r="DS552" s="1114"/>
      <c r="DT552" s="1114"/>
      <c r="DU552" s="1114"/>
      <c r="DV552" s="1115"/>
      <c r="DW552" s="1116"/>
      <c r="DX552" s="1116"/>
      <c r="DY552" s="1116"/>
      <c r="DZ552" s="1116"/>
      <c r="EA552" s="1116"/>
      <c r="EB552" s="1116"/>
      <c r="EC552" s="1116"/>
      <c r="ED552" s="1116"/>
      <c r="EE552" s="1116"/>
      <c r="EF552" s="1116"/>
      <c r="EG552" s="1116"/>
      <c r="EH552" s="1116"/>
      <c r="EI552" s="1116"/>
      <c r="EJ552" s="1116"/>
      <c r="EK552" s="1116"/>
      <c r="EL552" s="1116"/>
      <c r="EM552" s="1116"/>
      <c r="EN552" s="1116"/>
      <c r="EO552" s="1116"/>
      <c r="EP552" s="1116"/>
      <c r="EQ552" s="1116"/>
      <c r="ER552" s="1116"/>
      <c r="ES552" s="1116"/>
    </row>
    <row r="553" spans="1:149" ht="15" customHeight="1">
      <c r="A553" s="1185">
        <v>538</v>
      </c>
      <c r="B553" s="1041"/>
      <c r="C553" s="1050"/>
      <c r="D553" s="1050"/>
      <c r="E553" s="1050"/>
      <c r="F553" s="1049"/>
      <c r="G553" s="1457"/>
      <c r="H553" s="1049"/>
      <c r="I553" s="1049"/>
      <c r="J553" s="1050"/>
      <c r="K553" s="1050"/>
      <c r="L553" s="1043"/>
      <c r="M553" s="1051"/>
      <c r="N553" s="1051"/>
      <c r="O553" s="1052"/>
      <c r="P553" s="1051"/>
      <c r="Q553" s="1051"/>
      <c r="R553" s="1052"/>
      <c r="S553" s="1051"/>
      <c r="T553" s="1051"/>
      <c r="U553" s="1052"/>
      <c r="V553" s="1051"/>
      <c r="W553" s="1051"/>
      <c r="X553" s="1052"/>
      <c r="Y553" s="1053"/>
      <c r="Z553" s="1051"/>
      <c r="AA553" s="1051"/>
      <c r="AB553" s="1052"/>
      <c r="AC553" s="1051"/>
      <c r="AD553" s="1051"/>
      <c r="AE553" s="1052"/>
      <c r="AF553" s="1051"/>
      <c r="AG553" s="1051"/>
      <c r="AH553" s="1051"/>
      <c r="AI553" s="1051"/>
      <c r="AJ553" s="1052"/>
      <c r="AK553" s="1051"/>
      <c r="AL553" s="1051"/>
      <c r="AM553" s="1052"/>
      <c r="AN553" s="1051"/>
      <c r="AO553" s="1051"/>
      <c r="AP553" s="1052"/>
      <c r="AQ553" s="1051"/>
      <c r="AR553" s="1051"/>
      <c r="AS553" s="1052"/>
      <c r="AT553" s="1051"/>
      <c r="AU553" s="1051"/>
      <c r="AV553" s="1052"/>
      <c r="AW553" s="1051"/>
      <c r="AX553" s="1051"/>
      <c r="AY553" s="1053"/>
      <c r="AZ553" s="1051"/>
      <c r="BA553" s="1051"/>
      <c r="BB553" s="1053"/>
      <c r="BC553" s="1051"/>
      <c r="BD553" s="1051"/>
      <c r="BE553" s="1053"/>
      <c r="BF553" s="1051"/>
      <c r="BG553" s="1051"/>
      <c r="BH553" s="1053"/>
      <c r="BI553" s="1052"/>
      <c r="BJ553" s="1052"/>
      <c r="BK553" s="1052"/>
      <c r="BL553" s="1052"/>
      <c r="BM553" s="1052"/>
      <c r="BN553" s="1054"/>
      <c r="BO553" s="1076">
        <f t="shared" si="19"/>
        <v>0</v>
      </c>
      <c r="BP553" s="1051"/>
      <c r="BQ553" s="1052"/>
      <c r="BR553" s="1054"/>
      <c r="BS553" s="1053"/>
      <c r="BT553" s="1051"/>
      <c r="BU553" s="1051"/>
      <c r="BV553" s="1051"/>
      <c r="BW553" s="1052"/>
      <c r="BX553" s="1052"/>
      <c r="BY553" s="1052"/>
      <c r="BZ553" s="1052"/>
      <c r="CA553" s="1052"/>
      <c r="CB553" s="1053"/>
      <c r="CC553" s="1053"/>
      <c r="CD553" s="1053"/>
      <c r="CE553" s="1053"/>
      <c r="CF553" s="1053"/>
      <c r="CG553" s="1053"/>
      <c r="CH553" s="1053"/>
      <c r="CI553" s="1123"/>
      <c r="CJ553" s="1123"/>
      <c r="CK553" s="1123"/>
      <c r="CL553" s="1123"/>
      <c r="CM553" s="1123"/>
      <c r="CN553" s="1123"/>
      <c r="CO553" s="1123"/>
      <c r="CP553" s="1123"/>
      <c r="CQ553" s="1123"/>
      <c r="CR553" s="1123"/>
      <c r="CS553" s="1123"/>
      <c r="CT553" s="1123"/>
      <c r="CU553" s="1123"/>
      <c r="CV553" s="1123"/>
      <c r="CW553" s="1123"/>
      <c r="CX553" s="1123"/>
      <c r="CY553" s="1123"/>
      <c r="CZ553" s="1114"/>
      <c r="DA553" s="1114"/>
      <c r="DB553" s="1114"/>
      <c r="DC553" s="1114"/>
      <c r="DD553" s="1114"/>
      <c r="DE553" s="1114"/>
      <c r="DF553" s="1114"/>
      <c r="DG553" s="1114"/>
      <c r="DH553" s="1114"/>
      <c r="DI553" s="1114"/>
      <c r="DJ553" s="1114"/>
      <c r="DK553" s="1114"/>
      <c r="DL553" s="1114"/>
      <c r="DM553" s="1114"/>
      <c r="DN553" s="1114"/>
      <c r="DO553" s="1114"/>
      <c r="DP553" s="1114"/>
      <c r="DQ553" s="1114"/>
      <c r="DR553" s="1114"/>
      <c r="DS553" s="1114"/>
      <c r="DT553" s="1114"/>
      <c r="DU553" s="1114"/>
      <c r="DV553" s="1115"/>
      <c r="DW553" s="1116"/>
      <c r="DX553" s="1116"/>
      <c r="DY553" s="1116"/>
      <c r="DZ553" s="1116"/>
      <c r="EA553" s="1116"/>
      <c r="EB553" s="1116"/>
      <c r="EC553" s="1116"/>
      <c r="ED553" s="1116"/>
      <c r="EE553" s="1116"/>
      <c r="EF553" s="1116"/>
      <c r="EG553" s="1116"/>
      <c r="EH553" s="1116"/>
      <c r="EI553" s="1116"/>
      <c r="EJ553" s="1116"/>
      <c r="EK553" s="1116"/>
      <c r="EL553" s="1116"/>
      <c r="EM553" s="1116"/>
      <c r="EN553" s="1116"/>
      <c r="EO553" s="1116"/>
      <c r="EP553" s="1116"/>
      <c r="EQ553" s="1116"/>
      <c r="ER553" s="1116"/>
      <c r="ES553" s="1116"/>
    </row>
    <row r="554" spans="1:149" ht="15" customHeight="1">
      <c r="A554" s="1185">
        <v>539</v>
      </c>
      <c r="B554" s="1041"/>
      <c r="C554" s="1050"/>
      <c r="D554" s="1050"/>
      <c r="E554" s="1050"/>
      <c r="F554" s="1049"/>
      <c r="G554" s="1457"/>
      <c r="H554" s="1049"/>
      <c r="I554" s="1049"/>
      <c r="J554" s="1050"/>
      <c r="K554" s="1050"/>
      <c r="L554" s="1043"/>
      <c r="M554" s="1051"/>
      <c r="N554" s="1051"/>
      <c r="O554" s="1052"/>
      <c r="P554" s="1051"/>
      <c r="Q554" s="1051"/>
      <c r="R554" s="1052"/>
      <c r="S554" s="1051"/>
      <c r="T554" s="1051"/>
      <c r="U554" s="1052"/>
      <c r="V554" s="1051"/>
      <c r="W554" s="1051"/>
      <c r="X554" s="1052"/>
      <c r="Y554" s="1053"/>
      <c r="Z554" s="1051"/>
      <c r="AA554" s="1051"/>
      <c r="AB554" s="1052"/>
      <c r="AC554" s="1051"/>
      <c r="AD554" s="1051"/>
      <c r="AE554" s="1052"/>
      <c r="AF554" s="1051"/>
      <c r="AG554" s="1051"/>
      <c r="AH554" s="1051"/>
      <c r="AI554" s="1051"/>
      <c r="AJ554" s="1052"/>
      <c r="AK554" s="1051"/>
      <c r="AL554" s="1051"/>
      <c r="AM554" s="1052"/>
      <c r="AN554" s="1051"/>
      <c r="AO554" s="1051"/>
      <c r="AP554" s="1052"/>
      <c r="AQ554" s="1051"/>
      <c r="AR554" s="1051"/>
      <c r="AS554" s="1052"/>
      <c r="AT554" s="1051"/>
      <c r="AU554" s="1051"/>
      <c r="AV554" s="1052"/>
      <c r="AW554" s="1051"/>
      <c r="AX554" s="1051"/>
      <c r="AY554" s="1053"/>
      <c r="AZ554" s="1051"/>
      <c r="BA554" s="1051"/>
      <c r="BB554" s="1053"/>
      <c r="BC554" s="1051"/>
      <c r="BD554" s="1051"/>
      <c r="BE554" s="1053"/>
      <c r="BF554" s="1051"/>
      <c r="BG554" s="1051"/>
      <c r="BH554" s="1053"/>
      <c r="BI554" s="1052"/>
      <c r="BJ554" s="1052"/>
      <c r="BK554" s="1052"/>
      <c r="BL554" s="1052"/>
      <c r="BM554" s="1052"/>
      <c r="BN554" s="1054"/>
      <c r="BO554" s="1076">
        <f t="shared" si="19"/>
        <v>0</v>
      </c>
      <c r="BP554" s="1051"/>
      <c r="BQ554" s="1052"/>
      <c r="BR554" s="1054"/>
      <c r="BS554" s="1053"/>
      <c r="BT554" s="1051"/>
      <c r="BU554" s="1051"/>
      <c r="BV554" s="1051"/>
      <c r="BW554" s="1052"/>
      <c r="BX554" s="1052"/>
      <c r="BY554" s="1052"/>
      <c r="BZ554" s="1052"/>
      <c r="CA554" s="1052"/>
      <c r="CB554" s="1053"/>
      <c r="CC554" s="1053"/>
      <c r="CD554" s="1053"/>
      <c r="CE554" s="1053"/>
      <c r="CF554" s="1053"/>
      <c r="CG554" s="1053"/>
      <c r="CH554" s="1053"/>
      <c r="CI554" s="1123"/>
      <c r="CJ554" s="1123"/>
      <c r="CK554" s="1123"/>
      <c r="CL554" s="1123"/>
      <c r="CM554" s="1123"/>
      <c r="CN554" s="1123"/>
      <c r="CO554" s="1123"/>
      <c r="CP554" s="1123"/>
      <c r="CQ554" s="1123"/>
      <c r="CR554" s="1123"/>
      <c r="CS554" s="1123"/>
      <c r="CT554" s="1123"/>
      <c r="CU554" s="1123"/>
      <c r="CV554" s="1123"/>
      <c r="CW554" s="1123"/>
      <c r="CX554" s="1123"/>
      <c r="CY554" s="1123"/>
      <c r="CZ554" s="1114"/>
      <c r="DA554" s="1114"/>
      <c r="DB554" s="1114"/>
      <c r="DC554" s="1114"/>
      <c r="DD554" s="1114"/>
      <c r="DE554" s="1114"/>
      <c r="DF554" s="1114"/>
      <c r="DG554" s="1114"/>
      <c r="DH554" s="1114"/>
      <c r="DI554" s="1114"/>
      <c r="DJ554" s="1114"/>
      <c r="DK554" s="1114"/>
      <c r="DL554" s="1114"/>
      <c r="DM554" s="1114"/>
      <c r="DN554" s="1114"/>
      <c r="DO554" s="1114"/>
      <c r="DP554" s="1114"/>
      <c r="DQ554" s="1114"/>
      <c r="DR554" s="1114"/>
      <c r="DS554" s="1114"/>
      <c r="DT554" s="1114"/>
      <c r="DU554" s="1114"/>
      <c r="DV554" s="1115"/>
      <c r="DW554" s="1116"/>
      <c r="DX554" s="1116"/>
      <c r="DY554" s="1116"/>
      <c r="DZ554" s="1116"/>
      <c r="EA554" s="1116"/>
      <c r="EB554" s="1116"/>
      <c r="EC554" s="1116"/>
      <c r="ED554" s="1116"/>
      <c r="EE554" s="1116"/>
      <c r="EF554" s="1116"/>
      <c r="EG554" s="1116"/>
      <c r="EH554" s="1116"/>
      <c r="EI554" s="1116"/>
      <c r="EJ554" s="1116"/>
      <c r="EK554" s="1116"/>
      <c r="EL554" s="1116"/>
      <c r="EM554" s="1116"/>
      <c r="EN554" s="1116"/>
      <c r="EO554" s="1116"/>
      <c r="EP554" s="1116"/>
      <c r="EQ554" s="1116"/>
      <c r="ER554" s="1116"/>
      <c r="ES554" s="1116"/>
    </row>
    <row r="555" spans="1:149" ht="15" customHeight="1">
      <c r="A555" s="1185">
        <v>540</v>
      </c>
      <c r="B555" s="1041"/>
      <c r="C555" s="1050"/>
      <c r="D555" s="1050"/>
      <c r="E555" s="1050"/>
      <c r="F555" s="1049"/>
      <c r="G555" s="1457"/>
      <c r="H555" s="1049"/>
      <c r="I555" s="1049"/>
      <c r="J555" s="1050"/>
      <c r="K555" s="1050"/>
      <c r="L555" s="1043"/>
      <c r="M555" s="1051"/>
      <c r="N555" s="1051"/>
      <c r="O555" s="1052"/>
      <c r="P555" s="1051"/>
      <c r="Q555" s="1051"/>
      <c r="R555" s="1052"/>
      <c r="S555" s="1051"/>
      <c r="T555" s="1051"/>
      <c r="U555" s="1052"/>
      <c r="V555" s="1051"/>
      <c r="W555" s="1051"/>
      <c r="X555" s="1052"/>
      <c r="Y555" s="1053"/>
      <c r="Z555" s="1051"/>
      <c r="AA555" s="1051"/>
      <c r="AB555" s="1052"/>
      <c r="AC555" s="1051"/>
      <c r="AD555" s="1051"/>
      <c r="AE555" s="1052"/>
      <c r="AF555" s="1051"/>
      <c r="AG555" s="1051"/>
      <c r="AH555" s="1051"/>
      <c r="AI555" s="1051"/>
      <c r="AJ555" s="1052"/>
      <c r="AK555" s="1051"/>
      <c r="AL555" s="1051"/>
      <c r="AM555" s="1052"/>
      <c r="AN555" s="1051"/>
      <c r="AO555" s="1051"/>
      <c r="AP555" s="1052"/>
      <c r="AQ555" s="1051"/>
      <c r="AR555" s="1051"/>
      <c r="AS555" s="1052"/>
      <c r="AT555" s="1051"/>
      <c r="AU555" s="1051"/>
      <c r="AV555" s="1052"/>
      <c r="AW555" s="1051"/>
      <c r="AX555" s="1051"/>
      <c r="AY555" s="1053"/>
      <c r="AZ555" s="1051"/>
      <c r="BA555" s="1051"/>
      <c r="BB555" s="1053"/>
      <c r="BC555" s="1051"/>
      <c r="BD555" s="1051"/>
      <c r="BE555" s="1053"/>
      <c r="BF555" s="1051"/>
      <c r="BG555" s="1051"/>
      <c r="BH555" s="1053"/>
      <c r="BI555" s="1052"/>
      <c r="BJ555" s="1052"/>
      <c r="BK555" s="1052"/>
      <c r="BL555" s="1052"/>
      <c r="BM555" s="1052"/>
      <c r="BN555" s="1054"/>
      <c r="BO555" s="1076">
        <f t="shared" si="19"/>
        <v>0</v>
      </c>
      <c r="BP555" s="1051"/>
      <c r="BQ555" s="1052"/>
      <c r="BR555" s="1054"/>
      <c r="BS555" s="1053"/>
      <c r="BT555" s="1051"/>
      <c r="BU555" s="1051"/>
      <c r="BV555" s="1051"/>
      <c r="BW555" s="1052"/>
      <c r="BX555" s="1052"/>
      <c r="BY555" s="1052"/>
      <c r="BZ555" s="1052"/>
      <c r="CA555" s="1052"/>
      <c r="CB555" s="1053"/>
      <c r="CC555" s="1053"/>
      <c r="CD555" s="1053"/>
      <c r="CE555" s="1053"/>
      <c r="CF555" s="1053"/>
      <c r="CG555" s="1053"/>
      <c r="CH555" s="1053"/>
      <c r="CI555" s="1123"/>
      <c r="CJ555" s="1123"/>
      <c r="CK555" s="1123"/>
      <c r="CL555" s="1123"/>
      <c r="CM555" s="1123"/>
      <c r="CN555" s="1123"/>
      <c r="CO555" s="1123"/>
      <c r="CP555" s="1123"/>
      <c r="CQ555" s="1123"/>
      <c r="CR555" s="1123"/>
      <c r="CS555" s="1123"/>
      <c r="CT555" s="1123"/>
      <c r="CU555" s="1123"/>
      <c r="CV555" s="1123"/>
      <c r="CW555" s="1123"/>
      <c r="CX555" s="1123"/>
      <c r="CY555" s="1123"/>
      <c r="CZ555" s="1114"/>
      <c r="DA555" s="1114"/>
      <c r="DB555" s="1114"/>
      <c r="DC555" s="1114"/>
      <c r="DD555" s="1114"/>
      <c r="DE555" s="1114"/>
      <c r="DF555" s="1114"/>
      <c r="DG555" s="1114"/>
      <c r="DH555" s="1114"/>
      <c r="DI555" s="1114"/>
      <c r="DJ555" s="1114"/>
      <c r="DK555" s="1114"/>
      <c r="DL555" s="1114"/>
      <c r="DM555" s="1114"/>
      <c r="DN555" s="1114"/>
      <c r="DO555" s="1114"/>
      <c r="DP555" s="1114"/>
      <c r="DQ555" s="1114"/>
      <c r="DR555" s="1114"/>
      <c r="DS555" s="1114"/>
      <c r="DT555" s="1114"/>
      <c r="DU555" s="1114"/>
      <c r="DV555" s="1115"/>
      <c r="DW555" s="1116"/>
      <c r="DX555" s="1116"/>
      <c r="DY555" s="1116"/>
      <c r="DZ555" s="1116"/>
      <c r="EA555" s="1116"/>
      <c r="EB555" s="1116"/>
      <c r="EC555" s="1116"/>
      <c r="ED555" s="1116"/>
      <c r="EE555" s="1116"/>
      <c r="EF555" s="1116"/>
      <c r="EG555" s="1116"/>
      <c r="EH555" s="1116"/>
      <c r="EI555" s="1116"/>
      <c r="EJ555" s="1116"/>
      <c r="EK555" s="1116"/>
      <c r="EL555" s="1116"/>
      <c r="EM555" s="1116"/>
      <c r="EN555" s="1116"/>
      <c r="EO555" s="1116"/>
      <c r="EP555" s="1116"/>
      <c r="EQ555" s="1116"/>
      <c r="ER555" s="1116"/>
      <c r="ES555" s="1116"/>
    </row>
    <row r="556" spans="1:149" ht="15" customHeight="1">
      <c r="A556" s="1185">
        <v>541</v>
      </c>
      <c r="B556" s="1041"/>
      <c r="C556" s="1050"/>
      <c r="D556" s="1050"/>
      <c r="E556" s="1050"/>
      <c r="F556" s="1049"/>
      <c r="G556" s="1457"/>
      <c r="H556" s="1049"/>
      <c r="I556" s="1049"/>
      <c r="J556" s="1050"/>
      <c r="K556" s="1050"/>
      <c r="L556" s="1043"/>
      <c r="M556" s="1051"/>
      <c r="N556" s="1051"/>
      <c r="O556" s="1052"/>
      <c r="P556" s="1051"/>
      <c r="Q556" s="1051"/>
      <c r="R556" s="1052"/>
      <c r="S556" s="1051"/>
      <c r="T556" s="1051"/>
      <c r="U556" s="1052"/>
      <c r="V556" s="1051"/>
      <c r="W556" s="1051"/>
      <c r="X556" s="1052"/>
      <c r="Y556" s="1053"/>
      <c r="Z556" s="1051"/>
      <c r="AA556" s="1051"/>
      <c r="AB556" s="1052"/>
      <c r="AC556" s="1051"/>
      <c r="AD556" s="1051"/>
      <c r="AE556" s="1052"/>
      <c r="AF556" s="1051"/>
      <c r="AG556" s="1051"/>
      <c r="AH556" s="1051"/>
      <c r="AI556" s="1051"/>
      <c r="AJ556" s="1052"/>
      <c r="AK556" s="1051"/>
      <c r="AL556" s="1051"/>
      <c r="AM556" s="1052"/>
      <c r="AN556" s="1051"/>
      <c r="AO556" s="1051"/>
      <c r="AP556" s="1052"/>
      <c r="AQ556" s="1051"/>
      <c r="AR556" s="1051"/>
      <c r="AS556" s="1052"/>
      <c r="AT556" s="1051"/>
      <c r="AU556" s="1051"/>
      <c r="AV556" s="1052"/>
      <c r="AW556" s="1051"/>
      <c r="AX556" s="1051"/>
      <c r="AY556" s="1053"/>
      <c r="AZ556" s="1051"/>
      <c r="BA556" s="1051"/>
      <c r="BB556" s="1053"/>
      <c r="BC556" s="1051"/>
      <c r="BD556" s="1051"/>
      <c r="BE556" s="1053"/>
      <c r="BF556" s="1051"/>
      <c r="BG556" s="1051"/>
      <c r="BH556" s="1053"/>
      <c r="BI556" s="1052"/>
      <c r="BJ556" s="1052"/>
      <c r="BK556" s="1052"/>
      <c r="BL556" s="1052"/>
      <c r="BM556" s="1052"/>
      <c r="BN556" s="1054"/>
      <c r="BO556" s="1076">
        <f t="shared" si="19"/>
        <v>0</v>
      </c>
      <c r="BP556" s="1051"/>
      <c r="BQ556" s="1052"/>
      <c r="BR556" s="1054"/>
      <c r="BS556" s="1053"/>
      <c r="BT556" s="1051"/>
      <c r="BU556" s="1051"/>
      <c r="BV556" s="1051"/>
      <c r="BW556" s="1052"/>
      <c r="BX556" s="1052"/>
      <c r="BY556" s="1052"/>
      <c r="BZ556" s="1052"/>
      <c r="CA556" s="1052"/>
      <c r="CB556" s="1053"/>
      <c r="CC556" s="1053"/>
      <c r="CD556" s="1053"/>
      <c r="CE556" s="1053"/>
      <c r="CF556" s="1053"/>
      <c r="CG556" s="1053"/>
      <c r="CH556" s="1053"/>
      <c r="CI556" s="1123"/>
      <c r="CJ556" s="1123"/>
      <c r="CK556" s="1123"/>
      <c r="CL556" s="1123"/>
      <c r="CM556" s="1123"/>
      <c r="CN556" s="1123"/>
      <c r="CO556" s="1123"/>
      <c r="CP556" s="1123"/>
      <c r="CQ556" s="1123"/>
      <c r="CR556" s="1123"/>
      <c r="CS556" s="1123"/>
      <c r="CT556" s="1123"/>
      <c r="CU556" s="1123"/>
      <c r="CV556" s="1123"/>
      <c r="CW556" s="1123"/>
      <c r="CX556" s="1123"/>
      <c r="CY556" s="1123"/>
      <c r="CZ556" s="1114"/>
      <c r="DA556" s="1114"/>
      <c r="DB556" s="1114"/>
      <c r="DC556" s="1114"/>
      <c r="DD556" s="1114"/>
      <c r="DE556" s="1114"/>
      <c r="DF556" s="1114"/>
      <c r="DG556" s="1114"/>
      <c r="DH556" s="1114"/>
      <c r="DI556" s="1114"/>
      <c r="DJ556" s="1114"/>
      <c r="DK556" s="1114"/>
      <c r="DL556" s="1114"/>
      <c r="DM556" s="1114"/>
      <c r="DN556" s="1114"/>
      <c r="DO556" s="1114"/>
      <c r="DP556" s="1114"/>
      <c r="DQ556" s="1114"/>
      <c r="DR556" s="1114"/>
      <c r="DS556" s="1114"/>
      <c r="DT556" s="1114"/>
      <c r="DU556" s="1114"/>
      <c r="DV556" s="1115"/>
      <c r="DW556" s="1116"/>
      <c r="DX556" s="1116"/>
      <c r="DY556" s="1116"/>
      <c r="DZ556" s="1116"/>
      <c r="EA556" s="1116"/>
      <c r="EB556" s="1116"/>
      <c r="EC556" s="1116"/>
      <c r="ED556" s="1116"/>
      <c r="EE556" s="1116"/>
      <c r="EF556" s="1116"/>
      <c r="EG556" s="1116"/>
      <c r="EH556" s="1116"/>
      <c r="EI556" s="1116"/>
      <c r="EJ556" s="1116"/>
      <c r="EK556" s="1116"/>
      <c r="EL556" s="1116"/>
      <c r="EM556" s="1116"/>
      <c r="EN556" s="1116"/>
      <c r="EO556" s="1116"/>
      <c r="EP556" s="1116"/>
      <c r="EQ556" s="1116"/>
      <c r="ER556" s="1116"/>
      <c r="ES556" s="1116"/>
    </row>
    <row r="557" spans="1:149" ht="15" customHeight="1">
      <c r="A557" s="1185">
        <v>542</v>
      </c>
      <c r="B557" s="1041"/>
      <c r="C557" s="1050"/>
      <c r="D557" s="1050"/>
      <c r="E557" s="1050"/>
      <c r="F557" s="1049"/>
      <c r="G557" s="1457"/>
      <c r="H557" s="1049"/>
      <c r="I557" s="1049"/>
      <c r="J557" s="1050"/>
      <c r="K557" s="1050"/>
      <c r="L557" s="1043"/>
      <c r="M557" s="1051"/>
      <c r="N557" s="1051"/>
      <c r="O557" s="1052"/>
      <c r="P557" s="1051"/>
      <c r="Q557" s="1051"/>
      <c r="R557" s="1052"/>
      <c r="S557" s="1051"/>
      <c r="T557" s="1051"/>
      <c r="U557" s="1052"/>
      <c r="V557" s="1051"/>
      <c r="W557" s="1051"/>
      <c r="X557" s="1052"/>
      <c r="Y557" s="1053"/>
      <c r="Z557" s="1051"/>
      <c r="AA557" s="1051"/>
      <c r="AB557" s="1052"/>
      <c r="AC557" s="1051"/>
      <c r="AD557" s="1051"/>
      <c r="AE557" s="1052"/>
      <c r="AF557" s="1051"/>
      <c r="AG557" s="1051"/>
      <c r="AH557" s="1051"/>
      <c r="AI557" s="1051"/>
      <c r="AJ557" s="1052"/>
      <c r="AK557" s="1051"/>
      <c r="AL557" s="1051"/>
      <c r="AM557" s="1052"/>
      <c r="AN557" s="1051"/>
      <c r="AO557" s="1051"/>
      <c r="AP557" s="1052"/>
      <c r="AQ557" s="1051"/>
      <c r="AR557" s="1051"/>
      <c r="AS557" s="1052"/>
      <c r="AT557" s="1051"/>
      <c r="AU557" s="1051"/>
      <c r="AV557" s="1052"/>
      <c r="AW557" s="1051"/>
      <c r="AX557" s="1051"/>
      <c r="AY557" s="1053"/>
      <c r="AZ557" s="1051"/>
      <c r="BA557" s="1051"/>
      <c r="BB557" s="1053"/>
      <c r="BC557" s="1051"/>
      <c r="BD557" s="1051"/>
      <c r="BE557" s="1053"/>
      <c r="BF557" s="1051"/>
      <c r="BG557" s="1051"/>
      <c r="BH557" s="1053"/>
      <c r="BI557" s="1052"/>
      <c r="BJ557" s="1052"/>
      <c r="BK557" s="1052"/>
      <c r="BL557" s="1052"/>
      <c r="BM557" s="1052"/>
      <c r="BN557" s="1054"/>
      <c r="BO557" s="1076">
        <f t="shared" si="19"/>
        <v>0</v>
      </c>
      <c r="BP557" s="1051"/>
      <c r="BQ557" s="1052"/>
      <c r="BR557" s="1054"/>
      <c r="BS557" s="1053"/>
      <c r="BT557" s="1051"/>
      <c r="BU557" s="1051"/>
      <c r="BV557" s="1051"/>
      <c r="BW557" s="1052"/>
      <c r="BX557" s="1052"/>
      <c r="BY557" s="1052"/>
      <c r="BZ557" s="1052"/>
      <c r="CA557" s="1052"/>
      <c r="CB557" s="1053"/>
      <c r="CC557" s="1053"/>
      <c r="CD557" s="1053"/>
      <c r="CE557" s="1053"/>
      <c r="CF557" s="1053"/>
      <c r="CG557" s="1053"/>
      <c r="CH557" s="1053"/>
      <c r="CI557" s="1123"/>
      <c r="CJ557" s="1123"/>
      <c r="CK557" s="1123"/>
      <c r="CL557" s="1123"/>
      <c r="CM557" s="1123"/>
      <c r="CN557" s="1123"/>
      <c r="CO557" s="1123"/>
      <c r="CP557" s="1123"/>
      <c r="CQ557" s="1123"/>
      <c r="CR557" s="1123"/>
      <c r="CS557" s="1123"/>
      <c r="CT557" s="1123"/>
      <c r="CU557" s="1123"/>
      <c r="CV557" s="1123"/>
      <c r="CW557" s="1123"/>
      <c r="CX557" s="1123"/>
      <c r="CY557" s="1123"/>
      <c r="CZ557" s="1114"/>
      <c r="DA557" s="1114"/>
      <c r="DB557" s="1114"/>
      <c r="DC557" s="1114"/>
      <c r="DD557" s="1114"/>
      <c r="DE557" s="1114"/>
      <c r="DF557" s="1114"/>
      <c r="DG557" s="1114"/>
      <c r="DH557" s="1114"/>
      <c r="DI557" s="1114"/>
      <c r="DJ557" s="1114"/>
      <c r="DK557" s="1114"/>
      <c r="DL557" s="1114"/>
      <c r="DM557" s="1114"/>
      <c r="DN557" s="1114"/>
      <c r="DO557" s="1114"/>
      <c r="DP557" s="1114"/>
      <c r="DQ557" s="1114"/>
      <c r="DR557" s="1114"/>
      <c r="DS557" s="1114"/>
      <c r="DT557" s="1114"/>
      <c r="DU557" s="1114"/>
      <c r="DV557" s="1115"/>
      <c r="DW557" s="1116"/>
      <c r="DX557" s="1116"/>
      <c r="DY557" s="1116"/>
      <c r="DZ557" s="1116"/>
      <c r="EA557" s="1116"/>
      <c r="EB557" s="1116"/>
      <c r="EC557" s="1116"/>
      <c r="ED557" s="1116"/>
      <c r="EE557" s="1116"/>
      <c r="EF557" s="1116"/>
      <c r="EG557" s="1116"/>
      <c r="EH557" s="1116"/>
      <c r="EI557" s="1116"/>
      <c r="EJ557" s="1116"/>
      <c r="EK557" s="1116"/>
      <c r="EL557" s="1116"/>
      <c r="EM557" s="1116"/>
      <c r="EN557" s="1116"/>
      <c r="EO557" s="1116"/>
      <c r="EP557" s="1116"/>
      <c r="EQ557" s="1116"/>
      <c r="ER557" s="1116"/>
      <c r="ES557" s="1116"/>
    </row>
    <row r="558" spans="1:149" ht="15" customHeight="1">
      <c r="A558" s="1185">
        <v>543</v>
      </c>
      <c r="B558" s="1041"/>
      <c r="C558" s="1050"/>
      <c r="D558" s="1050"/>
      <c r="E558" s="1050"/>
      <c r="F558" s="1049"/>
      <c r="G558" s="1457"/>
      <c r="H558" s="1049"/>
      <c r="I558" s="1049"/>
      <c r="J558" s="1050"/>
      <c r="K558" s="1050"/>
      <c r="L558" s="1043"/>
      <c r="M558" s="1051"/>
      <c r="N558" s="1051"/>
      <c r="O558" s="1052"/>
      <c r="P558" s="1051"/>
      <c r="Q558" s="1051"/>
      <c r="R558" s="1052"/>
      <c r="S558" s="1051"/>
      <c r="T558" s="1051"/>
      <c r="U558" s="1052"/>
      <c r="V558" s="1051"/>
      <c r="W558" s="1051"/>
      <c r="X558" s="1052"/>
      <c r="Y558" s="1053"/>
      <c r="Z558" s="1051"/>
      <c r="AA558" s="1051"/>
      <c r="AB558" s="1052"/>
      <c r="AC558" s="1051"/>
      <c r="AD558" s="1051"/>
      <c r="AE558" s="1052"/>
      <c r="AF558" s="1051"/>
      <c r="AG558" s="1051"/>
      <c r="AH558" s="1051"/>
      <c r="AI558" s="1051"/>
      <c r="AJ558" s="1052"/>
      <c r="AK558" s="1051"/>
      <c r="AL558" s="1051"/>
      <c r="AM558" s="1052"/>
      <c r="AN558" s="1051"/>
      <c r="AO558" s="1051"/>
      <c r="AP558" s="1052"/>
      <c r="AQ558" s="1051"/>
      <c r="AR558" s="1051"/>
      <c r="AS558" s="1052"/>
      <c r="AT558" s="1051"/>
      <c r="AU558" s="1051"/>
      <c r="AV558" s="1052"/>
      <c r="AW558" s="1051"/>
      <c r="AX558" s="1051"/>
      <c r="AY558" s="1053"/>
      <c r="AZ558" s="1051"/>
      <c r="BA558" s="1051"/>
      <c r="BB558" s="1053"/>
      <c r="BC558" s="1051"/>
      <c r="BD558" s="1051"/>
      <c r="BE558" s="1053"/>
      <c r="BF558" s="1051"/>
      <c r="BG558" s="1051"/>
      <c r="BH558" s="1053"/>
      <c r="BI558" s="1052"/>
      <c r="BJ558" s="1052"/>
      <c r="BK558" s="1052"/>
      <c r="BL558" s="1052"/>
      <c r="BM558" s="1052"/>
      <c r="BN558" s="1054"/>
      <c r="BO558" s="1076">
        <f t="shared" si="19"/>
        <v>0</v>
      </c>
      <c r="BP558" s="1051"/>
      <c r="BQ558" s="1052"/>
      <c r="BR558" s="1054"/>
      <c r="BS558" s="1053"/>
      <c r="BT558" s="1051"/>
      <c r="BU558" s="1051"/>
      <c r="BV558" s="1051"/>
      <c r="BW558" s="1052"/>
      <c r="BX558" s="1052"/>
      <c r="BY558" s="1052"/>
      <c r="BZ558" s="1052"/>
      <c r="CA558" s="1052"/>
      <c r="CB558" s="1053"/>
      <c r="CC558" s="1053"/>
      <c r="CD558" s="1053"/>
      <c r="CE558" s="1053"/>
      <c r="CF558" s="1053"/>
      <c r="CG558" s="1053"/>
      <c r="CH558" s="1053"/>
      <c r="CI558" s="1123"/>
      <c r="CJ558" s="1123"/>
      <c r="CK558" s="1123"/>
      <c r="CL558" s="1123"/>
      <c r="CM558" s="1123"/>
      <c r="CN558" s="1123"/>
      <c r="CO558" s="1123"/>
      <c r="CP558" s="1123"/>
      <c r="CQ558" s="1123"/>
      <c r="CR558" s="1123"/>
      <c r="CS558" s="1123"/>
      <c r="CT558" s="1123"/>
      <c r="CU558" s="1123"/>
      <c r="CV558" s="1123"/>
      <c r="CW558" s="1123"/>
      <c r="CX558" s="1123"/>
      <c r="CY558" s="1123"/>
      <c r="CZ558" s="1114"/>
      <c r="DA558" s="1114"/>
      <c r="DB558" s="1114"/>
      <c r="DC558" s="1114"/>
      <c r="DD558" s="1114"/>
      <c r="DE558" s="1114"/>
      <c r="DF558" s="1114"/>
      <c r="DG558" s="1114"/>
      <c r="DH558" s="1114"/>
      <c r="DI558" s="1114"/>
      <c r="DJ558" s="1114"/>
      <c r="DK558" s="1114"/>
      <c r="DL558" s="1114"/>
      <c r="DM558" s="1114"/>
      <c r="DN558" s="1114"/>
      <c r="DO558" s="1114"/>
      <c r="DP558" s="1114"/>
      <c r="DQ558" s="1114"/>
      <c r="DR558" s="1114"/>
      <c r="DS558" s="1114"/>
      <c r="DT558" s="1114"/>
      <c r="DU558" s="1114"/>
      <c r="DV558" s="1115"/>
      <c r="DW558" s="1116"/>
      <c r="DX558" s="1116"/>
      <c r="DY558" s="1116"/>
      <c r="DZ558" s="1116"/>
      <c r="EA558" s="1116"/>
      <c r="EB558" s="1116"/>
      <c r="EC558" s="1116"/>
      <c r="ED558" s="1116"/>
      <c r="EE558" s="1116"/>
      <c r="EF558" s="1116"/>
      <c r="EG558" s="1116"/>
      <c r="EH558" s="1116"/>
      <c r="EI558" s="1116"/>
      <c r="EJ558" s="1116"/>
      <c r="EK558" s="1116"/>
      <c r="EL558" s="1116"/>
      <c r="EM558" s="1116"/>
      <c r="EN558" s="1116"/>
      <c r="EO558" s="1116"/>
      <c r="EP558" s="1116"/>
      <c r="EQ558" s="1116"/>
      <c r="ER558" s="1116"/>
      <c r="ES558" s="1116"/>
    </row>
    <row r="559" spans="1:149" ht="15" customHeight="1">
      <c r="A559" s="1185">
        <v>544</v>
      </c>
      <c r="B559" s="1041"/>
      <c r="C559" s="1050"/>
      <c r="D559" s="1050"/>
      <c r="E559" s="1050"/>
      <c r="F559" s="1049"/>
      <c r="G559" s="1457"/>
      <c r="H559" s="1049"/>
      <c r="I559" s="1049"/>
      <c r="J559" s="1050"/>
      <c r="K559" s="1050"/>
      <c r="L559" s="1043"/>
      <c r="M559" s="1051"/>
      <c r="N559" s="1051"/>
      <c r="O559" s="1052"/>
      <c r="P559" s="1051"/>
      <c r="Q559" s="1051"/>
      <c r="R559" s="1052"/>
      <c r="S559" s="1051"/>
      <c r="T559" s="1051"/>
      <c r="U559" s="1052"/>
      <c r="V559" s="1051"/>
      <c r="W559" s="1051"/>
      <c r="X559" s="1052"/>
      <c r="Y559" s="1053"/>
      <c r="Z559" s="1051"/>
      <c r="AA559" s="1051"/>
      <c r="AB559" s="1052"/>
      <c r="AC559" s="1051"/>
      <c r="AD559" s="1051"/>
      <c r="AE559" s="1052"/>
      <c r="AF559" s="1051"/>
      <c r="AG559" s="1051"/>
      <c r="AH559" s="1051"/>
      <c r="AI559" s="1051"/>
      <c r="AJ559" s="1052"/>
      <c r="AK559" s="1051"/>
      <c r="AL559" s="1051"/>
      <c r="AM559" s="1052"/>
      <c r="AN559" s="1051"/>
      <c r="AO559" s="1051"/>
      <c r="AP559" s="1052"/>
      <c r="AQ559" s="1051"/>
      <c r="AR559" s="1051"/>
      <c r="AS559" s="1052"/>
      <c r="AT559" s="1051"/>
      <c r="AU559" s="1051"/>
      <c r="AV559" s="1052"/>
      <c r="AW559" s="1051"/>
      <c r="AX559" s="1051"/>
      <c r="AY559" s="1053"/>
      <c r="AZ559" s="1051"/>
      <c r="BA559" s="1051"/>
      <c r="BB559" s="1053"/>
      <c r="BC559" s="1051"/>
      <c r="BD559" s="1051"/>
      <c r="BE559" s="1053"/>
      <c r="BF559" s="1051"/>
      <c r="BG559" s="1051"/>
      <c r="BH559" s="1053"/>
      <c r="BI559" s="1052"/>
      <c r="BJ559" s="1052"/>
      <c r="BK559" s="1052"/>
      <c r="BL559" s="1052"/>
      <c r="BM559" s="1052"/>
      <c r="BN559" s="1054"/>
      <c r="BO559" s="1076">
        <f t="shared" si="19"/>
        <v>0</v>
      </c>
      <c r="BP559" s="1051"/>
      <c r="BQ559" s="1052"/>
      <c r="BR559" s="1054"/>
      <c r="BS559" s="1053"/>
      <c r="BT559" s="1051"/>
      <c r="BU559" s="1051"/>
      <c r="BV559" s="1051"/>
      <c r="BW559" s="1052"/>
      <c r="BX559" s="1052"/>
      <c r="BY559" s="1052"/>
      <c r="BZ559" s="1052"/>
      <c r="CA559" s="1052"/>
      <c r="CB559" s="1053"/>
      <c r="CC559" s="1053"/>
      <c r="CD559" s="1053"/>
      <c r="CE559" s="1053"/>
      <c r="CF559" s="1053"/>
      <c r="CG559" s="1053"/>
      <c r="CH559" s="1053"/>
      <c r="CI559" s="1123"/>
      <c r="CJ559" s="1123"/>
      <c r="CK559" s="1123"/>
      <c r="CL559" s="1123"/>
      <c r="CM559" s="1123"/>
      <c r="CN559" s="1123"/>
      <c r="CO559" s="1123"/>
      <c r="CP559" s="1123"/>
      <c r="CQ559" s="1123"/>
      <c r="CR559" s="1123"/>
      <c r="CS559" s="1123"/>
      <c r="CT559" s="1123"/>
      <c r="CU559" s="1123"/>
      <c r="CV559" s="1123"/>
      <c r="CW559" s="1123"/>
      <c r="CX559" s="1123"/>
      <c r="CY559" s="1123"/>
      <c r="CZ559" s="1114"/>
      <c r="DA559" s="1114"/>
      <c r="DB559" s="1114"/>
      <c r="DC559" s="1114"/>
      <c r="DD559" s="1114"/>
      <c r="DE559" s="1114"/>
      <c r="DF559" s="1114"/>
      <c r="DG559" s="1114"/>
      <c r="DH559" s="1114"/>
      <c r="DI559" s="1114"/>
      <c r="DJ559" s="1114"/>
      <c r="DK559" s="1114"/>
      <c r="DL559" s="1114"/>
      <c r="DM559" s="1114"/>
      <c r="DN559" s="1114"/>
      <c r="DO559" s="1114"/>
      <c r="DP559" s="1114"/>
      <c r="DQ559" s="1114"/>
      <c r="DR559" s="1114"/>
      <c r="DS559" s="1114"/>
      <c r="DT559" s="1114"/>
      <c r="DU559" s="1114"/>
      <c r="DV559" s="1115"/>
      <c r="DW559" s="1116"/>
      <c r="DX559" s="1116"/>
      <c r="DY559" s="1116"/>
      <c r="DZ559" s="1116"/>
      <c r="EA559" s="1116"/>
      <c r="EB559" s="1116"/>
      <c r="EC559" s="1116"/>
      <c r="ED559" s="1116"/>
      <c r="EE559" s="1116"/>
      <c r="EF559" s="1116"/>
      <c r="EG559" s="1116"/>
      <c r="EH559" s="1116"/>
      <c r="EI559" s="1116"/>
      <c r="EJ559" s="1116"/>
      <c r="EK559" s="1116"/>
      <c r="EL559" s="1116"/>
      <c r="EM559" s="1116"/>
      <c r="EN559" s="1116"/>
      <c r="EO559" s="1116"/>
      <c r="EP559" s="1116"/>
      <c r="EQ559" s="1116"/>
      <c r="ER559" s="1116"/>
      <c r="ES559" s="1116"/>
    </row>
    <row r="560" spans="1:149" ht="15" customHeight="1">
      <c r="A560" s="1185">
        <v>545</v>
      </c>
      <c r="B560" s="1041"/>
      <c r="C560" s="1050"/>
      <c r="D560" s="1050"/>
      <c r="E560" s="1050"/>
      <c r="F560" s="1049"/>
      <c r="G560" s="1457"/>
      <c r="H560" s="1049"/>
      <c r="I560" s="1049"/>
      <c r="J560" s="1050"/>
      <c r="K560" s="1050"/>
      <c r="L560" s="1043"/>
      <c r="M560" s="1051"/>
      <c r="N560" s="1051"/>
      <c r="O560" s="1052"/>
      <c r="P560" s="1051"/>
      <c r="Q560" s="1051"/>
      <c r="R560" s="1052"/>
      <c r="S560" s="1051"/>
      <c r="T560" s="1051"/>
      <c r="U560" s="1052"/>
      <c r="V560" s="1051"/>
      <c r="W560" s="1051"/>
      <c r="X560" s="1052"/>
      <c r="Y560" s="1053"/>
      <c r="Z560" s="1051"/>
      <c r="AA560" s="1051"/>
      <c r="AB560" s="1052"/>
      <c r="AC560" s="1051"/>
      <c r="AD560" s="1051"/>
      <c r="AE560" s="1052"/>
      <c r="AF560" s="1051"/>
      <c r="AG560" s="1051"/>
      <c r="AH560" s="1051"/>
      <c r="AI560" s="1051"/>
      <c r="AJ560" s="1052"/>
      <c r="AK560" s="1051"/>
      <c r="AL560" s="1051"/>
      <c r="AM560" s="1052"/>
      <c r="AN560" s="1051"/>
      <c r="AO560" s="1051"/>
      <c r="AP560" s="1052"/>
      <c r="AQ560" s="1051"/>
      <c r="AR560" s="1051"/>
      <c r="AS560" s="1052"/>
      <c r="AT560" s="1051"/>
      <c r="AU560" s="1051"/>
      <c r="AV560" s="1052"/>
      <c r="AW560" s="1051"/>
      <c r="AX560" s="1051"/>
      <c r="AY560" s="1053"/>
      <c r="AZ560" s="1051"/>
      <c r="BA560" s="1051"/>
      <c r="BB560" s="1053"/>
      <c r="BC560" s="1051"/>
      <c r="BD560" s="1051"/>
      <c r="BE560" s="1053"/>
      <c r="BF560" s="1051"/>
      <c r="BG560" s="1051"/>
      <c r="BH560" s="1053"/>
      <c r="BI560" s="1052"/>
      <c r="BJ560" s="1052"/>
      <c r="BK560" s="1052"/>
      <c r="BL560" s="1052"/>
      <c r="BM560" s="1052"/>
      <c r="BN560" s="1054"/>
      <c r="BO560" s="1076">
        <f t="shared" si="19"/>
        <v>0</v>
      </c>
      <c r="BP560" s="1051"/>
      <c r="BQ560" s="1052"/>
      <c r="BR560" s="1054"/>
      <c r="BS560" s="1053"/>
      <c r="BT560" s="1051"/>
      <c r="BU560" s="1051"/>
      <c r="BV560" s="1051"/>
      <c r="BW560" s="1052"/>
      <c r="BX560" s="1052"/>
      <c r="BY560" s="1052"/>
      <c r="BZ560" s="1052"/>
      <c r="CA560" s="1052"/>
      <c r="CB560" s="1053"/>
      <c r="CC560" s="1053"/>
      <c r="CD560" s="1053"/>
      <c r="CE560" s="1053"/>
      <c r="CF560" s="1053"/>
      <c r="CG560" s="1053"/>
      <c r="CH560" s="1053"/>
      <c r="CI560" s="1123"/>
      <c r="CJ560" s="1123"/>
      <c r="CK560" s="1123"/>
      <c r="CL560" s="1123"/>
      <c r="CM560" s="1123"/>
      <c r="CN560" s="1123"/>
      <c r="CO560" s="1123"/>
      <c r="CP560" s="1123"/>
      <c r="CQ560" s="1123"/>
      <c r="CR560" s="1123"/>
      <c r="CS560" s="1123"/>
      <c r="CT560" s="1123"/>
      <c r="CU560" s="1123"/>
      <c r="CV560" s="1123"/>
      <c r="CW560" s="1123"/>
      <c r="CX560" s="1123"/>
      <c r="CY560" s="1123"/>
      <c r="CZ560" s="1114"/>
      <c r="DA560" s="1114"/>
      <c r="DB560" s="1114"/>
      <c r="DC560" s="1114"/>
      <c r="DD560" s="1114"/>
      <c r="DE560" s="1114"/>
      <c r="DF560" s="1114"/>
      <c r="DG560" s="1114"/>
      <c r="DH560" s="1114"/>
      <c r="DI560" s="1114"/>
      <c r="DJ560" s="1114"/>
      <c r="DK560" s="1114"/>
      <c r="DL560" s="1114"/>
      <c r="DM560" s="1114"/>
      <c r="DN560" s="1114"/>
      <c r="DO560" s="1114"/>
      <c r="DP560" s="1114"/>
      <c r="DQ560" s="1114"/>
      <c r="DR560" s="1114"/>
      <c r="DS560" s="1114"/>
      <c r="DT560" s="1114"/>
      <c r="DU560" s="1114"/>
      <c r="DV560" s="1115"/>
      <c r="DW560" s="1116"/>
      <c r="DX560" s="1116"/>
      <c r="DY560" s="1116"/>
      <c r="DZ560" s="1116"/>
      <c r="EA560" s="1116"/>
      <c r="EB560" s="1116"/>
      <c r="EC560" s="1116"/>
      <c r="ED560" s="1116"/>
      <c r="EE560" s="1116"/>
      <c r="EF560" s="1116"/>
      <c r="EG560" s="1116"/>
      <c r="EH560" s="1116"/>
      <c r="EI560" s="1116"/>
      <c r="EJ560" s="1116"/>
      <c r="EK560" s="1116"/>
      <c r="EL560" s="1116"/>
      <c r="EM560" s="1116"/>
      <c r="EN560" s="1116"/>
      <c r="EO560" s="1116"/>
      <c r="EP560" s="1116"/>
      <c r="EQ560" s="1116"/>
      <c r="ER560" s="1116"/>
      <c r="ES560" s="1116"/>
    </row>
    <row r="561" spans="1:149" ht="15" customHeight="1">
      <c r="A561" s="1185">
        <v>546</v>
      </c>
      <c r="B561" s="1041"/>
      <c r="C561" s="1050"/>
      <c r="D561" s="1050"/>
      <c r="E561" s="1050"/>
      <c r="F561" s="1049"/>
      <c r="G561" s="1457"/>
      <c r="H561" s="1049"/>
      <c r="I561" s="1049"/>
      <c r="J561" s="1050"/>
      <c r="K561" s="1050"/>
      <c r="L561" s="1043"/>
      <c r="M561" s="1051"/>
      <c r="N561" s="1051"/>
      <c r="O561" s="1052"/>
      <c r="P561" s="1051"/>
      <c r="Q561" s="1051"/>
      <c r="R561" s="1052"/>
      <c r="S561" s="1051"/>
      <c r="T561" s="1051"/>
      <c r="U561" s="1052"/>
      <c r="V561" s="1051"/>
      <c r="W561" s="1051"/>
      <c r="X561" s="1052"/>
      <c r="Y561" s="1053"/>
      <c r="Z561" s="1051"/>
      <c r="AA561" s="1051"/>
      <c r="AB561" s="1052"/>
      <c r="AC561" s="1051"/>
      <c r="AD561" s="1051"/>
      <c r="AE561" s="1052"/>
      <c r="AF561" s="1051"/>
      <c r="AG561" s="1051"/>
      <c r="AH561" s="1051"/>
      <c r="AI561" s="1051"/>
      <c r="AJ561" s="1052"/>
      <c r="AK561" s="1051"/>
      <c r="AL561" s="1051"/>
      <c r="AM561" s="1052"/>
      <c r="AN561" s="1051"/>
      <c r="AO561" s="1051"/>
      <c r="AP561" s="1052"/>
      <c r="AQ561" s="1051"/>
      <c r="AR561" s="1051"/>
      <c r="AS561" s="1052"/>
      <c r="AT561" s="1051"/>
      <c r="AU561" s="1051"/>
      <c r="AV561" s="1052"/>
      <c r="AW561" s="1051"/>
      <c r="AX561" s="1051"/>
      <c r="AY561" s="1053"/>
      <c r="AZ561" s="1051"/>
      <c r="BA561" s="1051"/>
      <c r="BB561" s="1053"/>
      <c r="BC561" s="1051"/>
      <c r="BD561" s="1051"/>
      <c r="BE561" s="1053"/>
      <c r="BF561" s="1051"/>
      <c r="BG561" s="1051"/>
      <c r="BH561" s="1053"/>
      <c r="BI561" s="1052"/>
      <c r="BJ561" s="1052"/>
      <c r="BK561" s="1052"/>
      <c r="BL561" s="1052"/>
      <c r="BM561" s="1052"/>
      <c r="BN561" s="1054"/>
      <c r="BO561" s="1076">
        <f t="shared" si="19"/>
        <v>0</v>
      </c>
      <c r="BP561" s="1051"/>
      <c r="BQ561" s="1052"/>
      <c r="BR561" s="1054"/>
      <c r="BS561" s="1053"/>
      <c r="BT561" s="1051"/>
      <c r="BU561" s="1051"/>
      <c r="BV561" s="1051"/>
      <c r="BW561" s="1052"/>
      <c r="BX561" s="1052"/>
      <c r="BY561" s="1052"/>
      <c r="BZ561" s="1052"/>
      <c r="CA561" s="1052"/>
      <c r="CB561" s="1053"/>
      <c r="CC561" s="1053"/>
      <c r="CD561" s="1053"/>
      <c r="CE561" s="1053"/>
      <c r="CF561" s="1053"/>
      <c r="CG561" s="1053"/>
      <c r="CH561" s="1053"/>
      <c r="CI561" s="1123"/>
      <c r="CJ561" s="1123"/>
      <c r="CK561" s="1123"/>
      <c r="CL561" s="1123"/>
      <c r="CM561" s="1123"/>
      <c r="CN561" s="1123"/>
      <c r="CO561" s="1123"/>
      <c r="CP561" s="1123"/>
      <c r="CQ561" s="1123"/>
      <c r="CR561" s="1123"/>
      <c r="CS561" s="1123"/>
      <c r="CT561" s="1123"/>
      <c r="CU561" s="1123"/>
      <c r="CV561" s="1123"/>
      <c r="CW561" s="1123"/>
      <c r="CX561" s="1123"/>
      <c r="CY561" s="1123"/>
      <c r="CZ561" s="1114"/>
      <c r="DA561" s="1114"/>
      <c r="DB561" s="1114"/>
      <c r="DC561" s="1114"/>
      <c r="DD561" s="1114"/>
      <c r="DE561" s="1114"/>
      <c r="DF561" s="1114"/>
      <c r="DG561" s="1114"/>
      <c r="DH561" s="1114"/>
      <c r="DI561" s="1114"/>
      <c r="DJ561" s="1114"/>
      <c r="DK561" s="1114"/>
      <c r="DL561" s="1114"/>
      <c r="DM561" s="1114"/>
      <c r="DN561" s="1114"/>
      <c r="DO561" s="1114"/>
      <c r="DP561" s="1114"/>
      <c r="DQ561" s="1114"/>
      <c r="DR561" s="1114"/>
      <c r="DS561" s="1114"/>
      <c r="DT561" s="1114"/>
      <c r="DU561" s="1114"/>
      <c r="DV561" s="1115"/>
      <c r="DW561" s="1116"/>
      <c r="DX561" s="1116"/>
      <c r="DY561" s="1116"/>
      <c r="DZ561" s="1116"/>
      <c r="EA561" s="1116"/>
      <c r="EB561" s="1116"/>
      <c r="EC561" s="1116"/>
      <c r="ED561" s="1116"/>
      <c r="EE561" s="1116"/>
      <c r="EF561" s="1116"/>
      <c r="EG561" s="1116"/>
      <c r="EH561" s="1116"/>
      <c r="EI561" s="1116"/>
      <c r="EJ561" s="1116"/>
      <c r="EK561" s="1116"/>
      <c r="EL561" s="1116"/>
      <c r="EM561" s="1116"/>
      <c r="EN561" s="1116"/>
      <c r="EO561" s="1116"/>
      <c r="EP561" s="1116"/>
      <c r="EQ561" s="1116"/>
      <c r="ER561" s="1116"/>
      <c r="ES561" s="1116"/>
    </row>
    <row r="562" spans="1:149" ht="15" customHeight="1">
      <c r="A562" s="1185">
        <v>547</v>
      </c>
      <c r="B562" s="1041"/>
      <c r="C562" s="1050"/>
      <c r="D562" s="1050"/>
      <c r="E562" s="1050"/>
      <c r="F562" s="1049"/>
      <c r="G562" s="1457"/>
      <c r="H562" s="1049"/>
      <c r="I562" s="1049"/>
      <c r="J562" s="1050"/>
      <c r="K562" s="1050"/>
      <c r="L562" s="1043"/>
      <c r="M562" s="1051"/>
      <c r="N562" s="1051"/>
      <c r="O562" s="1052"/>
      <c r="P562" s="1051"/>
      <c r="Q562" s="1051"/>
      <c r="R562" s="1052"/>
      <c r="S562" s="1051"/>
      <c r="T562" s="1051"/>
      <c r="U562" s="1052"/>
      <c r="V562" s="1051"/>
      <c r="W562" s="1051"/>
      <c r="X562" s="1052"/>
      <c r="Y562" s="1053"/>
      <c r="Z562" s="1051"/>
      <c r="AA562" s="1051"/>
      <c r="AB562" s="1052"/>
      <c r="AC562" s="1051"/>
      <c r="AD562" s="1051"/>
      <c r="AE562" s="1052"/>
      <c r="AF562" s="1051"/>
      <c r="AG562" s="1051"/>
      <c r="AH562" s="1051"/>
      <c r="AI562" s="1051"/>
      <c r="AJ562" s="1052"/>
      <c r="AK562" s="1051"/>
      <c r="AL562" s="1051"/>
      <c r="AM562" s="1052"/>
      <c r="AN562" s="1051"/>
      <c r="AO562" s="1051"/>
      <c r="AP562" s="1052"/>
      <c r="AQ562" s="1051"/>
      <c r="AR562" s="1051"/>
      <c r="AS562" s="1052"/>
      <c r="AT562" s="1051"/>
      <c r="AU562" s="1051"/>
      <c r="AV562" s="1052"/>
      <c r="AW562" s="1051"/>
      <c r="AX562" s="1051"/>
      <c r="AY562" s="1053"/>
      <c r="AZ562" s="1051"/>
      <c r="BA562" s="1051"/>
      <c r="BB562" s="1053"/>
      <c r="BC562" s="1051"/>
      <c r="BD562" s="1051"/>
      <c r="BE562" s="1053"/>
      <c r="BF562" s="1051"/>
      <c r="BG562" s="1051"/>
      <c r="BH562" s="1053"/>
      <c r="BI562" s="1052"/>
      <c r="BJ562" s="1052"/>
      <c r="BK562" s="1052"/>
      <c r="BL562" s="1052"/>
      <c r="BM562" s="1052"/>
      <c r="BN562" s="1054"/>
      <c r="BO562" s="1076">
        <f t="shared" si="19"/>
        <v>0</v>
      </c>
      <c r="BP562" s="1051"/>
      <c r="BQ562" s="1052"/>
      <c r="BR562" s="1054"/>
      <c r="BS562" s="1053"/>
      <c r="BT562" s="1051"/>
      <c r="BU562" s="1051"/>
      <c r="BV562" s="1051"/>
      <c r="BW562" s="1052"/>
      <c r="BX562" s="1052"/>
      <c r="BY562" s="1052"/>
      <c r="BZ562" s="1052"/>
      <c r="CA562" s="1052"/>
      <c r="CB562" s="1053"/>
      <c r="CC562" s="1053"/>
      <c r="CD562" s="1053"/>
      <c r="CE562" s="1053"/>
      <c r="CF562" s="1053"/>
      <c r="CG562" s="1053"/>
      <c r="CH562" s="1053"/>
      <c r="CI562" s="1123"/>
      <c r="CJ562" s="1123"/>
      <c r="CK562" s="1123"/>
      <c r="CL562" s="1123"/>
      <c r="CM562" s="1123"/>
      <c r="CN562" s="1123"/>
      <c r="CO562" s="1123"/>
      <c r="CP562" s="1123"/>
      <c r="CQ562" s="1123"/>
      <c r="CR562" s="1123"/>
      <c r="CS562" s="1123"/>
      <c r="CT562" s="1123"/>
      <c r="CU562" s="1123"/>
      <c r="CV562" s="1123"/>
      <c r="CW562" s="1123"/>
      <c r="CX562" s="1123"/>
      <c r="CY562" s="1123"/>
      <c r="CZ562" s="1114"/>
      <c r="DA562" s="1114"/>
      <c r="DB562" s="1114"/>
      <c r="DC562" s="1114"/>
      <c r="DD562" s="1114"/>
      <c r="DE562" s="1114"/>
      <c r="DF562" s="1114"/>
      <c r="DG562" s="1114"/>
      <c r="DH562" s="1114"/>
      <c r="DI562" s="1114"/>
      <c r="DJ562" s="1114"/>
      <c r="DK562" s="1114"/>
      <c r="DL562" s="1114"/>
      <c r="DM562" s="1114"/>
      <c r="DN562" s="1114"/>
      <c r="DO562" s="1114"/>
      <c r="DP562" s="1114"/>
      <c r="DQ562" s="1114"/>
      <c r="DR562" s="1114"/>
      <c r="DS562" s="1114"/>
      <c r="DT562" s="1114"/>
      <c r="DU562" s="1114"/>
      <c r="DV562" s="1115"/>
      <c r="DW562" s="1116"/>
      <c r="DX562" s="1116"/>
      <c r="DY562" s="1116"/>
      <c r="DZ562" s="1116"/>
      <c r="EA562" s="1116"/>
      <c r="EB562" s="1116"/>
      <c r="EC562" s="1116"/>
      <c r="ED562" s="1116"/>
      <c r="EE562" s="1116"/>
      <c r="EF562" s="1116"/>
      <c r="EG562" s="1116"/>
      <c r="EH562" s="1116"/>
      <c r="EI562" s="1116"/>
      <c r="EJ562" s="1116"/>
      <c r="EK562" s="1116"/>
      <c r="EL562" s="1116"/>
      <c r="EM562" s="1116"/>
      <c r="EN562" s="1116"/>
      <c r="EO562" s="1116"/>
      <c r="EP562" s="1116"/>
      <c r="EQ562" s="1116"/>
      <c r="ER562" s="1116"/>
      <c r="ES562" s="1116"/>
    </row>
    <row r="563" spans="1:149" ht="15" customHeight="1">
      <c r="A563" s="1185">
        <v>548</v>
      </c>
      <c r="B563" s="1041"/>
      <c r="C563" s="1050"/>
      <c r="D563" s="1050"/>
      <c r="E563" s="1050"/>
      <c r="F563" s="1049"/>
      <c r="G563" s="1457"/>
      <c r="H563" s="1049"/>
      <c r="I563" s="1049"/>
      <c r="J563" s="1050"/>
      <c r="K563" s="1050"/>
      <c r="L563" s="1043"/>
      <c r="M563" s="1051"/>
      <c r="N563" s="1051"/>
      <c r="O563" s="1052"/>
      <c r="P563" s="1051"/>
      <c r="Q563" s="1051"/>
      <c r="R563" s="1052"/>
      <c r="S563" s="1051"/>
      <c r="T563" s="1051"/>
      <c r="U563" s="1052"/>
      <c r="V563" s="1051"/>
      <c r="W563" s="1051"/>
      <c r="X563" s="1052"/>
      <c r="Y563" s="1053"/>
      <c r="Z563" s="1051"/>
      <c r="AA563" s="1051"/>
      <c r="AB563" s="1052"/>
      <c r="AC563" s="1051"/>
      <c r="AD563" s="1051"/>
      <c r="AE563" s="1052"/>
      <c r="AF563" s="1051"/>
      <c r="AG563" s="1051"/>
      <c r="AH563" s="1051"/>
      <c r="AI563" s="1051"/>
      <c r="AJ563" s="1052"/>
      <c r="AK563" s="1051"/>
      <c r="AL563" s="1051"/>
      <c r="AM563" s="1052"/>
      <c r="AN563" s="1051"/>
      <c r="AO563" s="1051"/>
      <c r="AP563" s="1052"/>
      <c r="AQ563" s="1051"/>
      <c r="AR563" s="1051"/>
      <c r="AS563" s="1052"/>
      <c r="AT563" s="1051"/>
      <c r="AU563" s="1051"/>
      <c r="AV563" s="1052"/>
      <c r="AW563" s="1051"/>
      <c r="AX563" s="1051"/>
      <c r="AY563" s="1053"/>
      <c r="AZ563" s="1051"/>
      <c r="BA563" s="1051"/>
      <c r="BB563" s="1053"/>
      <c r="BC563" s="1051"/>
      <c r="BD563" s="1051"/>
      <c r="BE563" s="1053"/>
      <c r="BF563" s="1051"/>
      <c r="BG563" s="1051"/>
      <c r="BH563" s="1053"/>
      <c r="BI563" s="1052"/>
      <c r="BJ563" s="1052"/>
      <c r="BK563" s="1052"/>
      <c r="BL563" s="1052"/>
      <c r="BM563" s="1052"/>
      <c r="BN563" s="1054"/>
      <c r="BO563" s="1076">
        <f t="shared" si="19"/>
        <v>0</v>
      </c>
      <c r="BP563" s="1051"/>
      <c r="BQ563" s="1052"/>
      <c r="BR563" s="1054"/>
      <c r="BS563" s="1053"/>
      <c r="BT563" s="1051"/>
      <c r="BU563" s="1051"/>
      <c r="BV563" s="1051"/>
      <c r="BW563" s="1052"/>
      <c r="BX563" s="1052"/>
      <c r="BY563" s="1052"/>
      <c r="BZ563" s="1052"/>
      <c r="CA563" s="1052"/>
      <c r="CB563" s="1053"/>
      <c r="CC563" s="1053"/>
      <c r="CD563" s="1053"/>
      <c r="CE563" s="1053"/>
      <c r="CF563" s="1053"/>
      <c r="CG563" s="1053"/>
      <c r="CH563" s="1053"/>
      <c r="CI563" s="1123"/>
      <c r="CJ563" s="1123"/>
      <c r="CK563" s="1123"/>
      <c r="CL563" s="1123"/>
      <c r="CM563" s="1123"/>
      <c r="CN563" s="1123"/>
      <c r="CO563" s="1123"/>
      <c r="CP563" s="1123"/>
      <c r="CQ563" s="1123"/>
      <c r="CR563" s="1123"/>
      <c r="CS563" s="1123"/>
      <c r="CT563" s="1123"/>
      <c r="CU563" s="1123"/>
      <c r="CV563" s="1123"/>
      <c r="CW563" s="1123"/>
      <c r="CX563" s="1123"/>
      <c r="CY563" s="1123"/>
      <c r="CZ563" s="1114"/>
      <c r="DA563" s="1114"/>
      <c r="DB563" s="1114"/>
      <c r="DC563" s="1114"/>
      <c r="DD563" s="1114"/>
      <c r="DE563" s="1114"/>
      <c r="DF563" s="1114"/>
      <c r="DG563" s="1114"/>
      <c r="DH563" s="1114"/>
      <c r="DI563" s="1114"/>
      <c r="DJ563" s="1114"/>
      <c r="DK563" s="1114"/>
      <c r="DL563" s="1114"/>
      <c r="DM563" s="1114"/>
      <c r="DN563" s="1114"/>
      <c r="DO563" s="1114"/>
      <c r="DP563" s="1114"/>
      <c r="DQ563" s="1114"/>
      <c r="DR563" s="1114"/>
      <c r="DS563" s="1114"/>
      <c r="DT563" s="1114"/>
      <c r="DU563" s="1114"/>
      <c r="DV563" s="1115"/>
      <c r="DW563" s="1116"/>
      <c r="DX563" s="1116"/>
      <c r="DY563" s="1116"/>
      <c r="DZ563" s="1116"/>
      <c r="EA563" s="1116"/>
      <c r="EB563" s="1116"/>
      <c r="EC563" s="1116"/>
      <c r="ED563" s="1116"/>
      <c r="EE563" s="1116"/>
      <c r="EF563" s="1116"/>
      <c r="EG563" s="1116"/>
      <c r="EH563" s="1116"/>
      <c r="EI563" s="1116"/>
      <c r="EJ563" s="1116"/>
      <c r="EK563" s="1116"/>
      <c r="EL563" s="1116"/>
      <c r="EM563" s="1116"/>
      <c r="EN563" s="1116"/>
      <c r="EO563" s="1116"/>
      <c r="EP563" s="1116"/>
      <c r="EQ563" s="1116"/>
      <c r="ER563" s="1116"/>
      <c r="ES563" s="1116"/>
    </row>
    <row r="564" spans="1:149" ht="15" customHeight="1">
      <c r="A564" s="1185">
        <v>549</v>
      </c>
      <c r="B564" s="1041"/>
      <c r="C564" s="1050"/>
      <c r="D564" s="1050"/>
      <c r="E564" s="1050"/>
      <c r="F564" s="1049"/>
      <c r="G564" s="1457"/>
      <c r="H564" s="1049"/>
      <c r="I564" s="1049"/>
      <c r="J564" s="1050"/>
      <c r="K564" s="1050"/>
      <c r="L564" s="1043"/>
      <c r="M564" s="1051"/>
      <c r="N564" s="1051"/>
      <c r="O564" s="1052"/>
      <c r="P564" s="1051"/>
      <c r="Q564" s="1051"/>
      <c r="R564" s="1052"/>
      <c r="S564" s="1051"/>
      <c r="T564" s="1051"/>
      <c r="U564" s="1052"/>
      <c r="V564" s="1051"/>
      <c r="W564" s="1051"/>
      <c r="X564" s="1052"/>
      <c r="Y564" s="1053"/>
      <c r="Z564" s="1051"/>
      <c r="AA564" s="1051"/>
      <c r="AB564" s="1052"/>
      <c r="AC564" s="1051"/>
      <c r="AD564" s="1051"/>
      <c r="AE564" s="1052"/>
      <c r="AF564" s="1051"/>
      <c r="AG564" s="1051"/>
      <c r="AH564" s="1051"/>
      <c r="AI564" s="1051"/>
      <c r="AJ564" s="1052"/>
      <c r="AK564" s="1051"/>
      <c r="AL564" s="1051"/>
      <c r="AM564" s="1052"/>
      <c r="AN564" s="1051"/>
      <c r="AO564" s="1051"/>
      <c r="AP564" s="1052"/>
      <c r="AQ564" s="1051"/>
      <c r="AR564" s="1051"/>
      <c r="AS564" s="1052"/>
      <c r="AT564" s="1051"/>
      <c r="AU564" s="1051"/>
      <c r="AV564" s="1052"/>
      <c r="AW564" s="1051"/>
      <c r="AX564" s="1051"/>
      <c r="AY564" s="1053"/>
      <c r="AZ564" s="1051"/>
      <c r="BA564" s="1051"/>
      <c r="BB564" s="1053"/>
      <c r="BC564" s="1051"/>
      <c r="BD564" s="1051"/>
      <c r="BE564" s="1053"/>
      <c r="BF564" s="1051"/>
      <c r="BG564" s="1051"/>
      <c r="BH564" s="1053"/>
      <c r="BI564" s="1052"/>
      <c r="BJ564" s="1052"/>
      <c r="BK564" s="1052"/>
      <c r="BL564" s="1052"/>
      <c r="BM564" s="1052"/>
      <c r="BN564" s="1054"/>
      <c r="BO564" s="1076">
        <f t="shared" si="19"/>
        <v>0</v>
      </c>
      <c r="BP564" s="1051"/>
      <c r="BQ564" s="1052"/>
      <c r="BR564" s="1054"/>
      <c r="BS564" s="1053"/>
      <c r="BT564" s="1051"/>
      <c r="BU564" s="1051"/>
      <c r="BV564" s="1051"/>
      <c r="BW564" s="1052"/>
      <c r="BX564" s="1052"/>
      <c r="BY564" s="1052"/>
      <c r="BZ564" s="1052"/>
      <c r="CA564" s="1052"/>
      <c r="CB564" s="1053"/>
      <c r="CC564" s="1053"/>
      <c r="CD564" s="1053"/>
      <c r="CE564" s="1053"/>
      <c r="CF564" s="1053"/>
      <c r="CG564" s="1053"/>
      <c r="CH564" s="1053"/>
      <c r="CI564" s="1123"/>
      <c r="CJ564" s="1123"/>
      <c r="CK564" s="1123"/>
      <c r="CL564" s="1123"/>
      <c r="CM564" s="1123"/>
      <c r="CN564" s="1123"/>
      <c r="CO564" s="1123"/>
      <c r="CP564" s="1123"/>
      <c r="CQ564" s="1123"/>
      <c r="CR564" s="1123"/>
      <c r="CS564" s="1123"/>
      <c r="CT564" s="1123"/>
      <c r="CU564" s="1123"/>
      <c r="CV564" s="1123"/>
      <c r="CW564" s="1123"/>
      <c r="CX564" s="1123"/>
      <c r="CY564" s="1123"/>
      <c r="CZ564" s="1114"/>
      <c r="DA564" s="1114"/>
      <c r="DB564" s="1114"/>
      <c r="DC564" s="1114"/>
      <c r="DD564" s="1114"/>
      <c r="DE564" s="1114"/>
      <c r="DF564" s="1114"/>
      <c r="DG564" s="1114"/>
      <c r="DH564" s="1114"/>
      <c r="DI564" s="1114"/>
      <c r="DJ564" s="1114"/>
      <c r="DK564" s="1114"/>
      <c r="DL564" s="1114"/>
      <c r="DM564" s="1114"/>
      <c r="DN564" s="1114"/>
      <c r="DO564" s="1114"/>
      <c r="DP564" s="1114"/>
      <c r="DQ564" s="1114"/>
      <c r="DR564" s="1114"/>
      <c r="DS564" s="1114"/>
      <c r="DT564" s="1114"/>
      <c r="DU564" s="1114"/>
      <c r="DV564" s="1115"/>
      <c r="DW564" s="1116"/>
      <c r="DX564" s="1116"/>
      <c r="DY564" s="1116"/>
      <c r="DZ564" s="1116"/>
      <c r="EA564" s="1116"/>
      <c r="EB564" s="1116"/>
      <c r="EC564" s="1116"/>
      <c r="ED564" s="1116"/>
      <c r="EE564" s="1116"/>
      <c r="EF564" s="1116"/>
      <c r="EG564" s="1116"/>
      <c r="EH564" s="1116"/>
      <c r="EI564" s="1116"/>
      <c r="EJ564" s="1116"/>
      <c r="EK564" s="1116"/>
      <c r="EL564" s="1116"/>
      <c r="EM564" s="1116"/>
      <c r="EN564" s="1116"/>
      <c r="EO564" s="1116"/>
      <c r="EP564" s="1116"/>
      <c r="EQ564" s="1116"/>
      <c r="ER564" s="1116"/>
      <c r="ES564" s="1116"/>
    </row>
    <row r="565" spans="1:149" ht="15" customHeight="1">
      <c r="A565" s="1185">
        <v>550</v>
      </c>
      <c r="B565" s="1041"/>
      <c r="C565" s="1050"/>
      <c r="D565" s="1050"/>
      <c r="E565" s="1050"/>
      <c r="F565" s="1049"/>
      <c r="G565" s="1457"/>
      <c r="H565" s="1049"/>
      <c r="I565" s="1049"/>
      <c r="J565" s="1050"/>
      <c r="K565" s="1050"/>
      <c r="L565" s="1043"/>
      <c r="M565" s="1051"/>
      <c r="N565" s="1051"/>
      <c r="O565" s="1052"/>
      <c r="P565" s="1051"/>
      <c r="Q565" s="1051"/>
      <c r="R565" s="1052"/>
      <c r="S565" s="1051"/>
      <c r="T565" s="1051"/>
      <c r="U565" s="1052"/>
      <c r="V565" s="1051"/>
      <c r="W565" s="1051"/>
      <c r="X565" s="1052"/>
      <c r="Y565" s="1053"/>
      <c r="Z565" s="1051"/>
      <c r="AA565" s="1051"/>
      <c r="AB565" s="1052"/>
      <c r="AC565" s="1051"/>
      <c r="AD565" s="1051"/>
      <c r="AE565" s="1052"/>
      <c r="AF565" s="1051"/>
      <c r="AG565" s="1051"/>
      <c r="AH565" s="1051"/>
      <c r="AI565" s="1051"/>
      <c r="AJ565" s="1052"/>
      <c r="AK565" s="1051"/>
      <c r="AL565" s="1051"/>
      <c r="AM565" s="1052"/>
      <c r="AN565" s="1051"/>
      <c r="AO565" s="1051"/>
      <c r="AP565" s="1052"/>
      <c r="AQ565" s="1051"/>
      <c r="AR565" s="1051"/>
      <c r="AS565" s="1052"/>
      <c r="AT565" s="1051"/>
      <c r="AU565" s="1051"/>
      <c r="AV565" s="1052"/>
      <c r="AW565" s="1051"/>
      <c r="AX565" s="1051"/>
      <c r="AY565" s="1053"/>
      <c r="AZ565" s="1051"/>
      <c r="BA565" s="1051"/>
      <c r="BB565" s="1053"/>
      <c r="BC565" s="1051"/>
      <c r="BD565" s="1051"/>
      <c r="BE565" s="1053"/>
      <c r="BF565" s="1051"/>
      <c r="BG565" s="1051"/>
      <c r="BH565" s="1053"/>
      <c r="BI565" s="1052"/>
      <c r="BJ565" s="1052"/>
      <c r="BK565" s="1052"/>
      <c r="BL565" s="1052"/>
      <c r="BM565" s="1052"/>
      <c r="BN565" s="1054"/>
      <c r="BO565" s="1076">
        <f>H565</f>
        <v>0</v>
      </c>
      <c r="BP565" s="1051"/>
      <c r="BQ565" s="1052"/>
      <c r="BR565" s="1054"/>
      <c r="BS565" s="1053"/>
      <c r="BT565" s="1051"/>
      <c r="BU565" s="1051"/>
      <c r="BV565" s="1051"/>
      <c r="BW565" s="1052"/>
      <c r="BX565" s="1052"/>
      <c r="BY565" s="1052"/>
      <c r="BZ565" s="1052"/>
      <c r="CA565" s="1052"/>
      <c r="CB565" s="1053"/>
      <c r="CC565" s="1053"/>
      <c r="CD565" s="1053"/>
      <c r="CE565" s="1053"/>
      <c r="CF565" s="1053"/>
      <c r="CG565" s="1053"/>
      <c r="CH565" s="1053"/>
      <c r="CI565" s="1123"/>
      <c r="CJ565" s="1123"/>
      <c r="CK565" s="1123"/>
      <c r="CL565" s="1123"/>
      <c r="CM565" s="1123"/>
      <c r="CN565" s="1123"/>
      <c r="CO565" s="1123"/>
      <c r="CP565" s="1123"/>
      <c r="CQ565" s="1123"/>
      <c r="CR565" s="1123"/>
      <c r="CS565" s="1123"/>
      <c r="CT565" s="1123"/>
      <c r="CU565" s="1123"/>
      <c r="CV565" s="1123"/>
      <c r="CW565" s="1123"/>
      <c r="CX565" s="1123"/>
      <c r="CY565" s="1123"/>
      <c r="CZ565" s="1114"/>
      <c r="DA565" s="1114"/>
      <c r="DB565" s="1114"/>
      <c r="DC565" s="1114"/>
      <c r="DD565" s="1114"/>
      <c r="DE565" s="1114"/>
      <c r="DF565" s="1114"/>
      <c r="DG565" s="1114"/>
      <c r="DH565" s="1114"/>
      <c r="DI565" s="1114"/>
      <c r="DJ565" s="1114"/>
      <c r="DK565" s="1114"/>
      <c r="DL565" s="1114"/>
      <c r="DM565" s="1114"/>
      <c r="DN565" s="1114"/>
      <c r="DO565" s="1114"/>
      <c r="DP565" s="1114"/>
      <c r="DQ565" s="1114"/>
      <c r="DR565" s="1114"/>
      <c r="DS565" s="1114"/>
      <c r="DT565" s="1114"/>
      <c r="DU565" s="1114"/>
      <c r="DV565" s="1115"/>
      <c r="DW565" s="1116"/>
      <c r="DX565" s="1116"/>
      <c r="DY565" s="1116"/>
      <c r="DZ565" s="1116"/>
      <c r="EA565" s="1116"/>
      <c r="EB565" s="1116"/>
      <c r="EC565" s="1116"/>
      <c r="ED565" s="1116"/>
      <c r="EE565" s="1116"/>
      <c r="EF565" s="1116"/>
      <c r="EG565" s="1116"/>
      <c r="EH565" s="1116"/>
      <c r="EI565" s="1116"/>
      <c r="EJ565" s="1116"/>
      <c r="EK565" s="1116"/>
      <c r="EL565" s="1116"/>
      <c r="EM565" s="1116"/>
      <c r="EN565" s="1116"/>
      <c r="EO565" s="1116"/>
      <c r="EP565" s="1116"/>
      <c r="EQ565" s="1116"/>
      <c r="ER565" s="1116"/>
      <c r="ES565" s="1116"/>
    </row>
    <row r="566" spans="1:149" ht="15" customHeight="1">
      <c r="A566" s="1185">
        <v>551</v>
      </c>
      <c r="B566" s="1041"/>
      <c r="C566" s="1050"/>
      <c r="D566" s="1050"/>
      <c r="E566" s="1050"/>
      <c r="F566" s="1049"/>
      <c r="G566" s="1457"/>
      <c r="H566" s="1049"/>
      <c r="I566" s="1049"/>
      <c r="J566" s="1050"/>
      <c r="K566" s="1050"/>
      <c r="L566" s="1043"/>
      <c r="M566" s="1051"/>
      <c r="N566" s="1051"/>
      <c r="O566" s="1052"/>
      <c r="P566" s="1051"/>
      <c r="Q566" s="1051"/>
      <c r="R566" s="1052"/>
      <c r="S566" s="1051"/>
      <c r="T566" s="1051"/>
      <c r="U566" s="1052"/>
      <c r="V566" s="1051"/>
      <c r="W566" s="1051"/>
      <c r="X566" s="1052"/>
      <c r="Y566" s="1053"/>
      <c r="Z566" s="1051"/>
      <c r="AA566" s="1051"/>
      <c r="AB566" s="1052"/>
      <c r="AC566" s="1051"/>
      <c r="AD566" s="1051"/>
      <c r="AE566" s="1052"/>
      <c r="AF566" s="1051"/>
      <c r="AG566" s="1051"/>
      <c r="AH566" s="1051"/>
      <c r="AI566" s="1051"/>
      <c r="AJ566" s="1052"/>
      <c r="AK566" s="1051"/>
      <c r="AL566" s="1051"/>
      <c r="AM566" s="1052"/>
      <c r="AN566" s="1051"/>
      <c r="AO566" s="1051"/>
      <c r="AP566" s="1052"/>
      <c r="AQ566" s="1051"/>
      <c r="AR566" s="1051"/>
      <c r="AS566" s="1052"/>
      <c r="AT566" s="1051"/>
      <c r="AU566" s="1051"/>
      <c r="AV566" s="1052"/>
      <c r="AW566" s="1051"/>
      <c r="AX566" s="1051"/>
      <c r="AY566" s="1053"/>
      <c r="AZ566" s="1051"/>
      <c r="BA566" s="1051"/>
      <c r="BB566" s="1053"/>
      <c r="BC566" s="1051"/>
      <c r="BD566" s="1051"/>
      <c r="BE566" s="1053"/>
      <c r="BF566" s="1051"/>
      <c r="BG566" s="1051"/>
      <c r="BH566" s="1053"/>
      <c r="BI566" s="1052"/>
      <c r="BJ566" s="1052"/>
      <c r="BK566" s="1052"/>
      <c r="BL566" s="1052"/>
      <c r="BM566" s="1052"/>
      <c r="BN566" s="1054"/>
      <c r="BO566" s="1076">
        <f t="shared" ref="BO566:BO629" si="20">H566</f>
        <v>0</v>
      </c>
      <c r="BP566" s="1051"/>
      <c r="BQ566" s="1052"/>
      <c r="BR566" s="1054"/>
      <c r="BS566" s="1053"/>
      <c r="BT566" s="1051"/>
      <c r="BU566" s="1051"/>
      <c r="BV566" s="1051"/>
      <c r="BW566" s="1052"/>
      <c r="BX566" s="1052"/>
      <c r="BY566" s="1052"/>
      <c r="BZ566" s="1052"/>
      <c r="CA566" s="1052"/>
      <c r="CB566" s="1053"/>
      <c r="CC566" s="1053"/>
      <c r="CD566" s="1053"/>
      <c r="CE566" s="1053"/>
      <c r="CF566" s="1053"/>
      <c r="CG566" s="1053"/>
      <c r="CH566" s="1053"/>
      <c r="CI566" s="1123"/>
      <c r="CJ566" s="1123"/>
      <c r="CK566" s="1123"/>
      <c r="CL566" s="1123"/>
      <c r="CM566" s="1123"/>
      <c r="CN566" s="1123"/>
      <c r="CO566" s="1123"/>
      <c r="CP566" s="1123"/>
      <c r="CQ566" s="1123"/>
      <c r="CR566" s="1123"/>
      <c r="CS566" s="1123"/>
      <c r="CT566" s="1123"/>
      <c r="CU566" s="1123"/>
      <c r="CV566" s="1123"/>
      <c r="CW566" s="1123"/>
      <c r="CX566" s="1123"/>
      <c r="CY566" s="1123"/>
      <c r="CZ566" s="1114"/>
      <c r="DA566" s="1114"/>
      <c r="DB566" s="1114"/>
      <c r="DC566" s="1114"/>
      <c r="DD566" s="1114"/>
      <c r="DE566" s="1114"/>
      <c r="DF566" s="1114"/>
      <c r="DG566" s="1114"/>
      <c r="DH566" s="1114"/>
      <c r="DI566" s="1114"/>
      <c r="DJ566" s="1114"/>
      <c r="DK566" s="1114"/>
      <c r="DL566" s="1114"/>
      <c r="DM566" s="1114"/>
      <c r="DN566" s="1114"/>
      <c r="DO566" s="1114"/>
      <c r="DP566" s="1114"/>
      <c r="DQ566" s="1114"/>
      <c r="DR566" s="1114"/>
      <c r="DS566" s="1114"/>
      <c r="DT566" s="1114"/>
      <c r="DU566" s="1114"/>
      <c r="DV566" s="1115"/>
      <c r="DW566" s="1116"/>
      <c r="DX566" s="1116"/>
      <c r="DY566" s="1116"/>
      <c r="DZ566" s="1116"/>
      <c r="EA566" s="1116"/>
      <c r="EB566" s="1116"/>
      <c r="EC566" s="1116"/>
      <c r="ED566" s="1116"/>
      <c r="EE566" s="1116"/>
      <c r="EF566" s="1116"/>
      <c r="EG566" s="1116"/>
      <c r="EH566" s="1116"/>
      <c r="EI566" s="1116"/>
      <c r="EJ566" s="1116"/>
      <c r="EK566" s="1116"/>
      <c r="EL566" s="1116"/>
      <c r="EM566" s="1116"/>
      <c r="EN566" s="1116"/>
      <c r="EO566" s="1116"/>
      <c r="EP566" s="1116"/>
      <c r="EQ566" s="1116"/>
      <c r="ER566" s="1116"/>
      <c r="ES566" s="1116"/>
    </row>
    <row r="567" spans="1:149" ht="15" customHeight="1">
      <c r="A567" s="1185">
        <v>552</v>
      </c>
      <c r="B567" s="1041"/>
      <c r="C567" s="1050"/>
      <c r="D567" s="1050"/>
      <c r="E567" s="1050"/>
      <c r="F567" s="1049"/>
      <c r="G567" s="1457"/>
      <c r="H567" s="1049"/>
      <c r="I567" s="1049"/>
      <c r="J567" s="1050"/>
      <c r="K567" s="1050"/>
      <c r="L567" s="1043"/>
      <c r="M567" s="1051"/>
      <c r="N567" s="1051"/>
      <c r="O567" s="1052"/>
      <c r="P567" s="1051"/>
      <c r="Q567" s="1051"/>
      <c r="R567" s="1052"/>
      <c r="S567" s="1051"/>
      <c r="T567" s="1051"/>
      <c r="U567" s="1052"/>
      <c r="V567" s="1051"/>
      <c r="W567" s="1051"/>
      <c r="X567" s="1052"/>
      <c r="Y567" s="1053"/>
      <c r="Z567" s="1051"/>
      <c r="AA567" s="1051"/>
      <c r="AB567" s="1052"/>
      <c r="AC567" s="1051"/>
      <c r="AD567" s="1051"/>
      <c r="AE567" s="1052"/>
      <c r="AF567" s="1051"/>
      <c r="AG567" s="1051"/>
      <c r="AH567" s="1051"/>
      <c r="AI567" s="1051"/>
      <c r="AJ567" s="1052"/>
      <c r="AK567" s="1051"/>
      <c r="AL567" s="1051"/>
      <c r="AM567" s="1052"/>
      <c r="AN567" s="1051"/>
      <c r="AO567" s="1051"/>
      <c r="AP567" s="1052"/>
      <c r="AQ567" s="1051"/>
      <c r="AR567" s="1051"/>
      <c r="AS567" s="1052"/>
      <c r="AT567" s="1051"/>
      <c r="AU567" s="1051"/>
      <c r="AV567" s="1052"/>
      <c r="AW567" s="1051"/>
      <c r="AX567" s="1051"/>
      <c r="AY567" s="1053"/>
      <c r="AZ567" s="1051"/>
      <c r="BA567" s="1051"/>
      <c r="BB567" s="1053"/>
      <c r="BC567" s="1051"/>
      <c r="BD567" s="1051"/>
      <c r="BE567" s="1053"/>
      <c r="BF567" s="1051"/>
      <c r="BG567" s="1051"/>
      <c r="BH567" s="1053"/>
      <c r="BI567" s="1052"/>
      <c r="BJ567" s="1052"/>
      <c r="BK567" s="1052"/>
      <c r="BL567" s="1052"/>
      <c r="BM567" s="1052"/>
      <c r="BN567" s="1054"/>
      <c r="BO567" s="1076">
        <f t="shared" si="20"/>
        <v>0</v>
      </c>
      <c r="BP567" s="1051"/>
      <c r="BQ567" s="1052"/>
      <c r="BR567" s="1054"/>
      <c r="BS567" s="1053"/>
      <c r="BT567" s="1051"/>
      <c r="BU567" s="1051"/>
      <c r="BV567" s="1051"/>
      <c r="BW567" s="1052"/>
      <c r="BX567" s="1052"/>
      <c r="BY567" s="1052"/>
      <c r="BZ567" s="1052"/>
      <c r="CA567" s="1052"/>
      <c r="CB567" s="1053"/>
      <c r="CC567" s="1053"/>
      <c r="CD567" s="1053"/>
      <c r="CE567" s="1053"/>
      <c r="CF567" s="1053"/>
      <c r="CG567" s="1053"/>
      <c r="CH567" s="1053"/>
      <c r="CI567" s="1123"/>
      <c r="CJ567" s="1123"/>
      <c r="CK567" s="1123"/>
      <c r="CL567" s="1123"/>
      <c r="CM567" s="1123"/>
      <c r="CN567" s="1123"/>
      <c r="CO567" s="1123"/>
      <c r="CP567" s="1123"/>
      <c r="CQ567" s="1123"/>
      <c r="CR567" s="1123"/>
      <c r="CS567" s="1123"/>
      <c r="CT567" s="1123"/>
      <c r="CU567" s="1123"/>
      <c r="CV567" s="1123"/>
      <c r="CW567" s="1123"/>
      <c r="CX567" s="1123"/>
      <c r="CY567" s="1123"/>
      <c r="CZ567" s="1114"/>
      <c r="DA567" s="1114"/>
      <c r="DB567" s="1114"/>
      <c r="DC567" s="1114"/>
      <c r="DD567" s="1114"/>
      <c r="DE567" s="1114"/>
      <c r="DF567" s="1114"/>
      <c r="DG567" s="1114"/>
      <c r="DH567" s="1114"/>
      <c r="DI567" s="1114"/>
      <c r="DJ567" s="1114"/>
      <c r="DK567" s="1114"/>
      <c r="DL567" s="1114"/>
      <c r="DM567" s="1114"/>
      <c r="DN567" s="1114"/>
      <c r="DO567" s="1114"/>
      <c r="DP567" s="1114"/>
      <c r="DQ567" s="1114"/>
      <c r="DR567" s="1114"/>
      <c r="DS567" s="1114"/>
      <c r="DT567" s="1114"/>
      <c r="DU567" s="1114"/>
      <c r="DV567" s="1115"/>
      <c r="DW567" s="1116"/>
      <c r="DX567" s="1116"/>
      <c r="DY567" s="1116"/>
      <c r="DZ567" s="1116"/>
      <c r="EA567" s="1116"/>
      <c r="EB567" s="1116"/>
      <c r="EC567" s="1116"/>
      <c r="ED567" s="1116"/>
      <c r="EE567" s="1116"/>
      <c r="EF567" s="1116"/>
      <c r="EG567" s="1116"/>
      <c r="EH567" s="1116"/>
      <c r="EI567" s="1116"/>
      <c r="EJ567" s="1116"/>
      <c r="EK567" s="1116"/>
      <c r="EL567" s="1116"/>
      <c r="EM567" s="1116"/>
      <c r="EN567" s="1116"/>
      <c r="EO567" s="1116"/>
      <c r="EP567" s="1116"/>
      <c r="EQ567" s="1116"/>
      <c r="ER567" s="1116"/>
      <c r="ES567" s="1116"/>
    </row>
    <row r="568" spans="1:149" ht="15" customHeight="1">
      <c r="A568" s="1185">
        <v>553</v>
      </c>
      <c r="B568" s="1041"/>
      <c r="C568" s="1050"/>
      <c r="D568" s="1050"/>
      <c r="E568" s="1050"/>
      <c r="F568" s="1049"/>
      <c r="G568" s="1457"/>
      <c r="H568" s="1049"/>
      <c r="I568" s="1049"/>
      <c r="J568" s="1050"/>
      <c r="K568" s="1050"/>
      <c r="L568" s="1043"/>
      <c r="M568" s="1051"/>
      <c r="N568" s="1051"/>
      <c r="O568" s="1052"/>
      <c r="P568" s="1051"/>
      <c r="Q568" s="1051"/>
      <c r="R568" s="1052"/>
      <c r="S568" s="1051"/>
      <c r="T568" s="1051"/>
      <c r="U568" s="1052"/>
      <c r="V568" s="1051"/>
      <c r="W568" s="1051"/>
      <c r="X568" s="1052"/>
      <c r="Y568" s="1053"/>
      <c r="Z568" s="1051"/>
      <c r="AA568" s="1051"/>
      <c r="AB568" s="1052"/>
      <c r="AC568" s="1051"/>
      <c r="AD568" s="1051"/>
      <c r="AE568" s="1052"/>
      <c r="AF568" s="1051"/>
      <c r="AG568" s="1051"/>
      <c r="AH568" s="1051"/>
      <c r="AI568" s="1051"/>
      <c r="AJ568" s="1052"/>
      <c r="AK568" s="1051"/>
      <c r="AL568" s="1051"/>
      <c r="AM568" s="1052"/>
      <c r="AN568" s="1051"/>
      <c r="AO568" s="1051"/>
      <c r="AP568" s="1052"/>
      <c r="AQ568" s="1051"/>
      <c r="AR568" s="1051"/>
      <c r="AS568" s="1052"/>
      <c r="AT568" s="1051"/>
      <c r="AU568" s="1051"/>
      <c r="AV568" s="1052"/>
      <c r="AW568" s="1051"/>
      <c r="AX568" s="1051"/>
      <c r="AY568" s="1053"/>
      <c r="AZ568" s="1051"/>
      <c r="BA568" s="1051"/>
      <c r="BB568" s="1053"/>
      <c r="BC568" s="1051"/>
      <c r="BD568" s="1051"/>
      <c r="BE568" s="1053"/>
      <c r="BF568" s="1051"/>
      <c r="BG568" s="1051"/>
      <c r="BH568" s="1053"/>
      <c r="BI568" s="1052"/>
      <c r="BJ568" s="1052"/>
      <c r="BK568" s="1052"/>
      <c r="BL568" s="1052"/>
      <c r="BM568" s="1052"/>
      <c r="BN568" s="1054"/>
      <c r="BO568" s="1076">
        <f t="shared" si="20"/>
        <v>0</v>
      </c>
      <c r="BP568" s="1051"/>
      <c r="BQ568" s="1052"/>
      <c r="BR568" s="1054"/>
      <c r="BS568" s="1053"/>
      <c r="BT568" s="1051"/>
      <c r="BU568" s="1051"/>
      <c r="BV568" s="1051"/>
      <c r="BW568" s="1052"/>
      <c r="BX568" s="1052"/>
      <c r="BY568" s="1052"/>
      <c r="BZ568" s="1052"/>
      <c r="CA568" s="1052"/>
      <c r="CB568" s="1053"/>
      <c r="CC568" s="1053"/>
      <c r="CD568" s="1053"/>
      <c r="CE568" s="1053"/>
      <c r="CF568" s="1053"/>
      <c r="CG568" s="1053"/>
      <c r="CH568" s="1053"/>
      <c r="CI568" s="1123"/>
      <c r="CJ568" s="1123"/>
      <c r="CK568" s="1123"/>
      <c r="CL568" s="1123"/>
      <c r="CM568" s="1123"/>
      <c r="CN568" s="1123"/>
      <c r="CO568" s="1123"/>
      <c r="CP568" s="1123"/>
      <c r="CQ568" s="1123"/>
      <c r="CR568" s="1123"/>
      <c r="CS568" s="1123"/>
      <c r="CT568" s="1123"/>
      <c r="CU568" s="1123"/>
      <c r="CV568" s="1123"/>
      <c r="CW568" s="1123"/>
      <c r="CX568" s="1123"/>
      <c r="CY568" s="1123"/>
      <c r="CZ568" s="1114"/>
      <c r="DA568" s="1114"/>
      <c r="DB568" s="1114"/>
      <c r="DC568" s="1114"/>
      <c r="DD568" s="1114"/>
      <c r="DE568" s="1114"/>
      <c r="DF568" s="1114"/>
      <c r="DG568" s="1114"/>
      <c r="DH568" s="1114"/>
      <c r="DI568" s="1114"/>
      <c r="DJ568" s="1114"/>
      <c r="DK568" s="1114"/>
      <c r="DL568" s="1114"/>
      <c r="DM568" s="1114"/>
      <c r="DN568" s="1114"/>
      <c r="DO568" s="1114"/>
      <c r="DP568" s="1114"/>
      <c r="DQ568" s="1114"/>
      <c r="DR568" s="1114"/>
      <c r="DS568" s="1114"/>
      <c r="DT568" s="1114"/>
      <c r="DU568" s="1114"/>
      <c r="DV568" s="1115"/>
      <c r="DW568" s="1116"/>
      <c r="DX568" s="1116"/>
      <c r="DY568" s="1116"/>
      <c r="DZ568" s="1116"/>
      <c r="EA568" s="1116"/>
      <c r="EB568" s="1116"/>
      <c r="EC568" s="1116"/>
      <c r="ED568" s="1116"/>
      <c r="EE568" s="1116"/>
      <c r="EF568" s="1116"/>
      <c r="EG568" s="1116"/>
      <c r="EH568" s="1116"/>
      <c r="EI568" s="1116"/>
      <c r="EJ568" s="1116"/>
      <c r="EK568" s="1116"/>
      <c r="EL568" s="1116"/>
      <c r="EM568" s="1116"/>
      <c r="EN568" s="1116"/>
      <c r="EO568" s="1116"/>
      <c r="EP568" s="1116"/>
      <c r="EQ568" s="1116"/>
      <c r="ER568" s="1116"/>
      <c r="ES568" s="1116"/>
    </row>
    <row r="569" spans="1:149" ht="15" customHeight="1">
      <c r="A569" s="1185">
        <v>554</v>
      </c>
      <c r="B569" s="1041"/>
      <c r="C569" s="1050"/>
      <c r="D569" s="1050"/>
      <c r="E569" s="1050"/>
      <c r="F569" s="1049"/>
      <c r="G569" s="1457"/>
      <c r="H569" s="1049"/>
      <c r="I569" s="1049"/>
      <c r="J569" s="1050"/>
      <c r="K569" s="1050"/>
      <c r="L569" s="1043"/>
      <c r="M569" s="1051"/>
      <c r="N569" s="1051"/>
      <c r="O569" s="1052"/>
      <c r="P569" s="1051"/>
      <c r="Q569" s="1051"/>
      <c r="R569" s="1052"/>
      <c r="S569" s="1051"/>
      <c r="T569" s="1051"/>
      <c r="U569" s="1052"/>
      <c r="V569" s="1051"/>
      <c r="W569" s="1051"/>
      <c r="X569" s="1052"/>
      <c r="Y569" s="1053"/>
      <c r="Z569" s="1051"/>
      <c r="AA569" s="1051"/>
      <c r="AB569" s="1052"/>
      <c r="AC569" s="1051"/>
      <c r="AD569" s="1051"/>
      <c r="AE569" s="1052"/>
      <c r="AF569" s="1051"/>
      <c r="AG569" s="1051"/>
      <c r="AH569" s="1051"/>
      <c r="AI569" s="1051"/>
      <c r="AJ569" s="1052"/>
      <c r="AK569" s="1051"/>
      <c r="AL569" s="1051"/>
      <c r="AM569" s="1052"/>
      <c r="AN569" s="1051"/>
      <c r="AO569" s="1051"/>
      <c r="AP569" s="1052"/>
      <c r="AQ569" s="1051"/>
      <c r="AR569" s="1051"/>
      <c r="AS569" s="1052"/>
      <c r="AT569" s="1051"/>
      <c r="AU569" s="1051"/>
      <c r="AV569" s="1052"/>
      <c r="AW569" s="1051"/>
      <c r="AX569" s="1051"/>
      <c r="AY569" s="1053"/>
      <c r="AZ569" s="1051"/>
      <c r="BA569" s="1051"/>
      <c r="BB569" s="1053"/>
      <c r="BC569" s="1051"/>
      <c r="BD569" s="1051"/>
      <c r="BE569" s="1053"/>
      <c r="BF569" s="1051"/>
      <c r="BG569" s="1051"/>
      <c r="BH569" s="1053"/>
      <c r="BI569" s="1052"/>
      <c r="BJ569" s="1052"/>
      <c r="BK569" s="1052"/>
      <c r="BL569" s="1052"/>
      <c r="BM569" s="1052"/>
      <c r="BN569" s="1054"/>
      <c r="BO569" s="1076">
        <f t="shared" si="20"/>
        <v>0</v>
      </c>
      <c r="BP569" s="1051"/>
      <c r="BQ569" s="1052"/>
      <c r="BR569" s="1054"/>
      <c r="BS569" s="1053"/>
      <c r="BT569" s="1051"/>
      <c r="BU569" s="1051"/>
      <c r="BV569" s="1051"/>
      <c r="BW569" s="1052"/>
      <c r="BX569" s="1052"/>
      <c r="BY569" s="1052"/>
      <c r="BZ569" s="1052"/>
      <c r="CA569" s="1052"/>
      <c r="CB569" s="1053"/>
      <c r="CC569" s="1053"/>
      <c r="CD569" s="1053"/>
      <c r="CE569" s="1053"/>
      <c r="CF569" s="1053"/>
      <c r="CG569" s="1053"/>
      <c r="CH569" s="1053"/>
      <c r="CI569" s="1123"/>
      <c r="CJ569" s="1123"/>
      <c r="CK569" s="1123"/>
      <c r="CL569" s="1123"/>
      <c r="CM569" s="1123"/>
      <c r="CN569" s="1123"/>
      <c r="CO569" s="1123"/>
      <c r="CP569" s="1123"/>
      <c r="CQ569" s="1123"/>
      <c r="CR569" s="1123"/>
      <c r="CS569" s="1123"/>
      <c r="CT569" s="1123"/>
      <c r="CU569" s="1123"/>
      <c r="CV569" s="1123"/>
      <c r="CW569" s="1123"/>
      <c r="CX569" s="1123"/>
      <c r="CY569" s="1123"/>
      <c r="CZ569" s="1114"/>
      <c r="DA569" s="1114"/>
      <c r="DB569" s="1114"/>
      <c r="DC569" s="1114"/>
      <c r="DD569" s="1114"/>
      <c r="DE569" s="1114"/>
      <c r="DF569" s="1114"/>
      <c r="DG569" s="1114"/>
      <c r="DH569" s="1114"/>
      <c r="DI569" s="1114"/>
      <c r="DJ569" s="1114"/>
      <c r="DK569" s="1114"/>
      <c r="DL569" s="1114"/>
      <c r="DM569" s="1114"/>
      <c r="DN569" s="1114"/>
      <c r="DO569" s="1114"/>
      <c r="DP569" s="1114"/>
      <c r="DQ569" s="1114"/>
      <c r="DR569" s="1114"/>
      <c r="DS569" s="1114"/>
      <c r="DT569" s="1114"/>
      <c r="DU569" s="1114"/>
      <c r="DV569" s="1115"/>
      <c r="DW569" s="1116"/>
      <c r="DX569" s="1116"/>
      <c r="DY569" s="1116"/>
      <c r="DZ569" s="1116"/>
      <c r="EA569" s="1116"/>
      <c r="EB569" s="1116"/>
      <c r="EC569" s="1116"/>
      <c r="ED569" s="1116"/>
      <c r="EE569" s="1116"/>
      <c r="EF569" s="1116"/>
      <c r="EG569" s="1116"/>
      <c r="EH569" s="1116"/>
      <c r="EI569" s="1116"/>
      <c r="EJ569" s="1116"/>
      <c r="EK569" s="1116"/>
      <c r="EL569" s="1116"/>
      <c r="EM569" s="1116"/>
      <c r="EN569" s="1116"/>
      <c r="EO569" s="1116"/>
      <c r="EP569" s="1116"/>
      <c r="EQ569" s="1116"/>
      <c r="ER569" s="1116"/>
      <c r="ES569" s="1116"/>
    </row>
    <row r="570" spans="1:149" ht="15" customHeight="1">
      <c r="A570" s="1185">
        <v>555</v>
      </c>
      <c r="B570" s="1041"/>
      <c r="C570" s="1050"/>
      <c r="D570" s="1050"/>
      <c r="E570" s="1050"/>
      <c r="F570" s="1049"/>
      <c r="G570" s="1457"/>
      <c r="H570" s="1049"/>
      <c r="I570" s="1049"/>
      <c r="J570" s="1050"/>
      <c r="K570" s="1050"/>
      <c r="L570" s="1043"/>
      <c r="M570" s="1051"/>
      <c r="N570" s="1051"/>
      <c r="O570" s="1052"/>
      <c r="P570" s="1051"/>
      <c r="Q570" s="1051"/>
      <c r="R570" s="1052"/>
      <c r="S570" s="1051"/>
      <c r="T570" s="1051"/>
      <c r="U570" s="1052"/>
      <c r="V570" s="1051"/>
      <c r="W570" s="1051"/>
      <c r="X570" s="1052"/>
      <c r="Y570" s="1053"/>
      <c r="Z570" s="1051"/>
      <c r="AA570" s="1051"/>
      <c r="AB570" s="1052"/>
      <c r="AC570" s="1051"/>
      <c r="AD570" s="1051"/>
      <c r="AE570" s="1052"/>
      <c r="AF570" s="1051"/>
      <c r="AG570" s="1051"/>
      <c r="AH570" s="1051"/>
      <c r="AI570" s="1051"/>
      <c r="AJ570" s="1052"/>
      <c r="AK570" s="1051"/>
      <c r="AL570" s="1051"/>
      <c r="AM570" s="1052"/>
      <c r="AN570" s="1051"/>
      <c r="AO570" s="1051"/>
      <c r="AP570" s="1052"/>
      <c r="AQ570" s="1051"/>
      <c r="AR570" s="1051"/>
      <c r="AS570" s="1052"/>
      <c r="AT570" s="1051"/>
      <c r="AU570" s="1051"/>
      <c r="AV570" s="1052"/>
      <c r="AW570" s="1051"/>
      <c r="AX570" s="1051"/>
      <c r="AY570" s="1053"/>
      <c r="AZ570" s="1051"/>
      <c r="BA570" s="1051"/>
      <c r="BB570" s="1053"/>
      <c r="BC570" s="1051"/>
      <c r="BD570" s="1051"/>
      <c r="BE570" s="1053"/>
      <c r="BF570" s="1051"/>
      <c r="BG570" s="1051"/>
      <c r="BH570" s="1053"/>
      <c r="BI570" s="1052"/>
      <c r="BJ570" s="1052"/>
      <c r="BK570" s="1052"/>
      <c r="BL570" s="1052"/>
      <c r="BM570" s="1052"/>
      <c r="BN570" s="1054"/>
      <c r="BO570" s="1076">
        <f t="shared" si="20"/>
        <v>0</v>
      </c>
      <c r="BP570" s="1051"/>
      <c r="BQ570" s="1052"/>
      <c r="BR570" s="1054"/>
      <c r="BS570" s="1053"/>
      <c r="BT570" s="1051"/>
      <c r="BU570" s="1051"/>
      <c r="BV570" s="1051"/>
      <c r="BW570" s="1052"/>
      <c r="BX570" s="1052"/>
      <c r="BY570" s="1052"/>
      <c r="BZ570" s="1052"/>
      <c r="CA570" s="1052"/>
      <c r="CB570" s="1053"/>
      <c r="CC570" s="1053"/>
      <c r="CD570" s="1053"/>
      <c r="CE570" s="1053"/>
      <c r="CF570" s="1053"/>
      <c r="CG570" s="1053"/>
      <c r="CH570" s="1053"/>
      <c r="CI570" s="1123"/>
      <c r="CJ570" s="1123"/>
      <c r="CK570" s="1123"/>
      <c r="CL570" s="1123"/>
      <c r="CM570" s="1123"/>
      <c r="CN570" s="1123"/>
      <c r="CO570" s="1123"/>
      <c r="CP570" s="1123"/>
      <c r="CQ570" s="1123"/>
      <c r="CR570" s="1123"/>
      <c r="CS570" s="1123"/>
      <c r="CT570" s="1123"/>
      <c r="CU570" s="1123"/>
      <c r="CV570" s="1123"/>
      <c r="CW570" s="1123"/>
      <c r="CX570" s="1123"/>
      <c r="CY570" s="1123"/>
      <c r="CZ570" s="1114"/>
      <c r="DA570" s="1114"/>
      <c r="DB570" s="1114"/>
      <c r="DC570" s="1114"/>
      <c r="DD570" s="1114"/>
      <c r="DE570" s="1114"/>
      <c r="DF570" s="1114"/>
      <c r="DG570" s="1114"/>
      <c r="DH570" s="1114"/>
      <c r="DI570" s="1114"/>
      <c r="DJ570" s="1114"/>
      <c r="DK570" s="1114"/>
      <c r="DL570" s="1114"/>
      <c r="DM570" s="1114"/>
      <c r="DN570" s="1114"/>
      <c r="DO570" s="1114"/>
      <c r="DP570" s="1114"/>
      <c r="DQ570" s="1114"/>
      <c r="DR570" s="1114"/>
      <c r="DS570" s="1114"/>
      <c r="DT570" s="1114"/>
      <c r="DU570" s="1114"/>
      <c r="DV570" s="1115"/>
      <c r="DW570" s="1116"/>
      <c r="DX570" s="1116"/>
      <c r="DY570" s="1116"/>
      <c r="DZ570" s="1116"/>
      <c r="EA570" s="1116"/>
      <c r="EB570" s="1116"/>
      <c r="EC570" s="1116"/>
      <c r="ED570" s="1116"/>
      <c r="EE570" s="1116"/>
      <c r="EF570" s="1116"/>
      <c r="EG570" s="1116"/>
      <c r="EH570" s="1116"/>
      <c r="EI570" s="1116"/>
      <c r="EJ570" s="1116"/>
      <c r="EK570" s="1116"/>
      <c r="EL570" s="1116"/>
      <c r="EM570" s="1116"/>
      <c r="EN570" s="1116"/>
      <c r="EO570" s="1116"/>
      <c r="EP570" s="1116"/>
      <c r="EQ570" s="1116"/>
      <c r="ER570" s="1116"/>
      <c r="ES570" s="1116"/>
    </row>
    <row r="571" spans="1:149" ht="15" customHeight="1">
      <c r="A571" s="1185">
        <v>556</v>
      </c>
      <c r="B571" s="1041"/>
      <c r="C571" s="1050"/>
      <c r="D571" s="1050"/>
      <c r="E571" s="1050"/>
      <c r="F571" s="1049"/>
      <c r="G571" s="1457"/>
      <c r="H571" s="1049"/>
      <c r="I571" s="1049"/>
      <c r="J571" s="1050"/>
      <c r="K571" s="1050"/>
      <c r="L571" s="1043"/>
      <c r="M571" s="1051"/>
      <c r="N571" s="1051"/>
      <c r="O571" s="1052"/>
      <c r="P571" s="1051"/>
      <c r="Q571" s="1051"/>
      <c r="R571" s="1052"/>
      <c r="S571" s="1051"/>
      <c r="T571" s="1051"/>
      <c r="U571" s="1052"/>
      <c r="V571" s="1051"/>
      <c r="W571" s="1051"/>
      <c r="X571" s="1052"/>
      <c r="Y571" s="1053"/>
      <c r="Z571" s="1051"/>
      <c r="AA571" s="1051"/>
      <c r="AB571" s="1052"/>
      <c r="AC571" s="1051"/>
      <c r="AD571" s="1051"/>
      <c r="AE571" s="1052"/>
      <c r="AF571" s="1051"/>
      <c r="AG571" s="1051"/>
      <c r="AH571" s="1051"/>
      <c r="AI571" s="1051"/>
      <c r="AJ571" s="1052"/>
      <c r="AK571" s="1051"/>
      <c r="AL571" s="1051"/>
      <c r="AM571" s="1052"/>
      <c r="AN571" s="1051"/>
      <c r="AO571" s="1051"/>
      <c r="AP571" s="1052"/>
      <c r="AQ571" s="1051"/>
      <c r="AR571" s="1051"/>
      <c r="AS571" s="1052"/>
      <c r="AT571" s="1051"/>
      <c r="AU571" s="1051"/>
      <c r="AV571" s="1052"/>
      <c r="AW571" s="1051"/>
      <c r="AX571" s="1051"/>
      <c r="AY571" s="1053"/>
      <c r="AZ571" s="1051"/>
      <c r="BA571" s="1051"/>
      <c r="BB571" s="1053"/>
      <c r="BC571" s="1051"/>
      <c r="BD571" s="1051"/>
      <c r="BE571" s="1053"/>
      <c r="BF571" s="1051"/>
      <c r="BG571" s="1051"/>
      <c r="BH571" s="1053"/>
      <c r="BI571" s="1052"/>
      <c r="BJ571" s="1052"/>
      <c r="BK571" s="1052"/>
      <c r="BL571" s="1052"/>
      <c r="BM571" s="1052"/>
      <c r="BN571" s="1054"/>
      <c r="BO571" s="1076">
        <f t="shared" si="20"/>
        <v>0</v>
      </c>
      <c r="BP571" s="1051"/>
      <c r="BQ571" s="1052"/>
      <c r="BR571" s="1054"/>
      <c r="BS571" s="1053"/>
      <c r="BT571" s="1051"/>
      <c r="BU571" s="1051"/>
      <c r="BV571" s="1051"/>
      <c r="BW571" s="1052"/>
      <c r="BX571" s="1052"/>
      <c r="BY571" s="1052"/>
      <c r="BZ571" s="1052"/>
      <c r="CA571" s="1052"/>
      <c r="CB571" s="1053"/>
      <c r="CC571" s="1053"/>
      <c r="CD571" s="1053"/>
      <c r="CE571" s="1053"/>
      <c r="CF571" s="1053"/>
      <c r="CG571" s="1053"/>
      <c r="CH571" s="1053"/>
      <c r="CI571" s="1123"/>
      <c r="CJ571" s="1123"/>
      <c r="CK571" s="1123"/>
      <c r="CL571" s="1123"/>
      <c r="CM571" s="1123"/>
      <c r="CN571" s="1123"/>
      <c r="CO571" s="1123"/>
      <c r="CP571" s="1123"/>
      <c r="CQ571" s="1123"/>
      <c r="CR571" s="1123"/>
      <c r="CS571" s="1123"/>
      <c r="CT571" s="1123"/>
      <c r="CU571" s="1123"/>
      <c r="CV571" s="1123"/>
      <c r="CW571" s="1123"/>
      <c r="CX571" s="1123"/>
      <c r="CY571" s="1123"/>
      <c r="CZ571" s="1114"/>
      <c r="DA571" s="1114"/>
      <c r="DB571" s="1114"/>
      <c r="DC571" s="1114"/>
      <c r="DD571" s="1114"/>
      <c r="DE571" s="1114"/>
      <c r="DF571" s="1114"/>
      <c r="DG571" s="1114"/>
      <c r="DH571" s="1114"/>
      <c r="DI571" s="1114"/>
      <c r="DJ571" s="1114"/>
      <c r="DK571" s="1114"/>
      <c r="DL571" s="1114"/>
      <c r="DM571" s="1114"/>
      <c r="DN571" s="1114"/>
      <c r="DO571" s="1114"/>
      <c r="DP571" s="1114"/>
      <c r="DQ571" s="1114"/>
      <c r="DR571" s="1114"/>
      <c r="DS571" s="1114"/>
      <c r="DT571" s="1114"/>
      <c r="DU571" s="1114"/>
      <c r="DV571" s="1115"/>
      <c r="DW571" s="1116"/>
      <c r="DX571" s="1116"/>
      <c r="DY571" s="1116"/>
      <c r="DZ571" s="1116"/>
      <c r="EA571" s="1116"/>
      <c r="EB571" s="1116"/>
      <c r="EC571" s="1116"/>
      <c r="ED571" s="1116"/>
      <c r="EE571" s="1116"/>
      <c r="EF571" s="1116"/>
      <c r="EG571" s="1116"/>
      <c r="EH571" s="1116"/>
      <c r="EI571" s="1116"/>
      <c r="EJ571" s="1116"/>
      <c r="EK571" s="1116"/>
      <c r="EL571" s="1116"/>
      <c r="EM571" s="1116"/>
      <c r="EN571" s="1116"/>
      <c r="EO571" s="1116"/>
      <c r="EP571" s="1116"/>
      <c r="EQ571" s="1116"/>
      <c r="ER571" s="1116"/>
      <c r="ES571" s="1116"/>
    </row>
    <row r="572" spans="1:149" ht="15" customHeight="1">
      <c r="A572" s="1185">
        <v>557</v>
      </c>
      <c r="B572" s="1041"/>
      <c r="C572" s="1050"/>
      <c r="D572" s="1050"/>
      <c r="E572" s="1050"/>
      <c r="F572" s="1049"/>
      <c r="G572" s="1457"/>
      <c r="H572" s="1049"/>
      <c r="I572" s="1049"/>
      <c r="J572" s="1050"/>
      <c r="K572" s="1050"/>
      <c r="L572" s="1043"/>
      <c r="M572" s="1051"/>
      <c r="N572" s="1051"/>
      <c r="O572" s="1052"/>
      <c r="P572" s="1051"/>
      <c r="Q572" s="1051"/>
      <c r="R572" s="1052"/>
      <c r="S572" s="1051"/>
      <c r="T572" s="1051"/>
      <c r="U572" s="1052"/>
      <c r="V572" s="1051"/>
      <c r="W572" s="1051"/>
      <c r="X572" s="1052"/>
      <c r="Y572" s="1053"/>
      <c r="Z572" s="1051"/>
      <c r="AA572" s="1051"/>
      <c r="AB572" s="1052"/>
      <c r="AC572" s="1051"/>
      <c r="AD572" s="1051"/>
      <c r="AE572" s="1052"/>
      <c r="AF572" s="1051"/>
      <c r="AG572" s="1051"/>
      <c r="AH572" s="1051"/>
      <c r="AI572" s="1051"/>
      <c r="AJ572" s="1052"/>
      <c r="AK572" s="1051"/>
      <c r="AL572" s="1051"/>
      <c r="AM572" s="1052"/>
      <c r="AN572" s="1051"/>
      <c r="AO572" s="1051"/>
      <c r="AP572" s="1052"/>
      <c r="AQ572" s="1051"/>
      <c r="AR572" s="1051"/>
      <c r="AS572" s="1052"/>
      <c r="AT572" s="1051"/>
      <c r="AU572" s="1051"/>
      <c r="AV572" s="1052"/>
      <c r="AW572" s="1051"/>
      <c r="AX572" s="1051"/>
      <c r="AY572" s="1053"/>
      <c r="AZ572" s="1051"/>
      <c r="BA572" s="1051"/>
      <c r="BB572" s="1053"/>
      <c r="BC572" s="1051"/>
      <c r="BD572" s="1051"/>
      <c r="BE572" s="1053"/>
      <c r="BF572" s="1051"/>
      <c r="BG572" s="1051"/>
      <c r="BH572" s="1053"/>
      <c r="BI572" s="1052"/>
      <c r="BJ572" s="1052"/>
      <c r="BK572" s="1052"/>
      <c r="BL572" s="1052"/>
      <c r="BM572" s="1052"/>
      <c r="BN572" s="1054"/>
      <c r="BO572" s="1076">
        <f t="shared" si="20"/>
        <v>0</v>
      </c>
      <c r="BP572" s="1051"/>
      <c r="BQ572" s="1052"/>
      <c r="BR572" s="1054"/>
      <c r="BS572" s="1053"/>
      <c r="BT572" s="1051"/>
      <c r="BU572" s="1051"/>
      <c r="BV572" s="1051"/>
      <c r="BW572" s="1052"/>
      <c r="BX572" s="1052"/>
      <c r="BY572" s="1052"/>
      <c r="BZ572" s="1052"/>
      <c r="CA572" s="1052"/>
      <c r="CB572" s="1053"/>
      <c r="CC572" s="1053"/>
      <c r="CD572" s="1053"/>
      <c r="CE572" s="1053"/>
      <c r="CF572" s="1053"/>
      <c r="CG572" s="1053"/>
      <c r="CH572" s="1053"/>
      <c r="CI572" s="1123"/>
      <c r="CJ572" s="1123"/>
      <c r="CK572" s="1123"/>
      <c r="CL572" s="1123"/>
      <c r="CM572" s="1123"/>
      <c r="CN572" s="1123"/>
      <c r="CO572" s="1123"/>
      <c r="CP572" s="1123"/>
      <c r="CQ572" s="1123"/>
      <c r="CR572" s="1123"/>
      <c r="CS572" s="1123"/>
      <c r="CT572" s="1123"/>
      <c r="CU572" s="1123"/>
      <c r="CV572" s="1123"/>
      <c r="CW572" s="1123"/>
      <c r="CX572" s="1123"/>
      <c r="CY572" s="1123"/>
      <c r="CZ572" s="1114"/>
      <c r="DA572" s="1114"/>
      <c r="DB572" s="1114"/>
      <c r="DC572" s="1114"/>
      <c r="DD572" s="1114"/>
      <c r="DE572" s="1114"/>
      <c r="DF572" s="1114"/>
      <c r="DG572" s="1114"/>
      <c r="DH572" s="1114"/>
      <c r="DI572" s="1114"/>
      <c r="DJ572" s="1114"/>
      <c r="DK572" s="1114"/>
      <c r="DL572" s="1114"/>
      <c r="DM572" s="1114"/>
      <c r="DN572" s="1114"/>
      <c r="DO572" s="1114"/>
      <c r="DP572" s="1114"/>
      <c r="DQ572" s="1114"/>
      <c r="DR572" s="1114"/>
      <c r="DS572" s="1114"/>
      <c r="DT572" s="1114"/>
      <c r="DU572" s="1114"/>
      <c r="DV572" s="1115"/>
      <c r="DW572" s="1116"/>
      <c r="DX572" s="1116"/>
      <c r="DY572" s="1116"/>
      <c r="DZ572" s="1116"/>
      <c r="EA572" s="1116"/>
      <c r="EB572" s="1116"/>
      <c r="EC572" s="1116"/>
      <c r="ED572" s="1116"/>
      <c r="EE572" s="1116"/>
      <c r="EF572" s="1116"/>
      <c r="EG572" s="1116"/>
      <c r="EH572" s="1116"/>
      <c r="EI572" s="1116"/>
      <c r="EJ572" s="1116"/>
      <c r="EK572" s="1116"/>
      <c r="EL572" s="1116"/>
      <c r="EM572" s="1116"/>
      <c r="EN572" s="1116"/>
      <c r="EO572" s="1116"/>
      <c r="EP572" s="1116"/>
      <c r="EQ572" s="1116"/>
      <c r="ER572" s="1116"/>
      <c r="ES572" s="1116"/>
    </row>
    <row r="573" spans="1:149" ht="15" customHeight="1">
      <c r="A573" s="1185">
        <v>558</v>
      </c>
      <c r="B573" s="1041"/>
      <c r="C573" s="1050"/>
      <c r="D573" s="1050"/>
      <c r="E573" s="1050"/>
      <c r="F573" s="1049"/>
      <c r="G573" s="1457"/>
      <c r="H573" s="1049"/>
      <c r="I573" s="1049"/>
      <c r="J573" s="1050"/>
      <c r="K573" s="1050"/>
      <c r="L573" s="1043"/>
      <c r="M573" s="1051"/>
      <c r="N573" s="1051"/>
      <c r="O573" s="1052"/>
      <c r="P573" s="1051"/>
      <c r="Q573" s="1051"/>
      <c r="R573" s="1052"/>
      <c r="S573" s="1051"/>
      <c r="T573" s="1051"/>
      <c r="U573" s="1052"/>
      <c r="V573" s="1051"/>
      <c r="W573" s="1051"/>
      <c r="X573" s="1052"/>
      <c r="Y573" s="1053"/>
      <c r="Z573" s="1051"/>
      <c r="AA573" s="1051"/>
      <c r="AB573" s="1052"/>
      <c r="AC573" s="1051"/>
      <c r="AD573" s="1051"/>
      <c r="AE573" s="1052"/>
      <c r="AF573" s="1051"/>
      <c r="AG573" s="1051"/>
      <c r="AH573" s="1051"/>
      <c r="AI573" s="1051"/>
      <c r="AJ573" s="1052"/>
      <c r="AK573" s="1051"/>
      <c r="AL573" s="1051"/>
      <c r="AM573" s="1052"/>
      <c r="AN573" s="1051"/>
      <c r="AO573" s="1051"/>
      <c r="AP573" s="1052"/>
      <c r="AQ573" s="1051"/>
      <c r="AR573" s="1051"/>
      <c r="AS573" s="1052"/>
      <c r="AT573" s="1051"/>
      <c r="AU573" s="1051"/>
      <c r="AV573" s="1052"/>
      <c r="AW573" s="1051"/>
      <c r="AX573" s="1051"/>
      <c r="AY573" s="1053"/>
      <c r="AZ573" s="1051"/>
      <c r="BA573" s="1051"/>
      <c r="BB573" s="1053"/>
      <c r="BC573" s="1051"/>
      <c r="BD573" s="1051"/>
      <c r="BE573" s="1053"/>
      <c r="BF573" s="1051"/>
      <c r="BG573" s="1051"/>
      <c r="BH573" s="1053"/>
      <c r="BI573" s="1052"/>
      <c r="BJ573" s="1052"/>
      <c r="BK573" s="1052"/>
      <c r="BL573" s="1052"/>
      <c r="BM573" s="1052"/>
      <c r="BN573" s="1054"/>
      <c r="BO573" s="1076">
        <f t="shared" si="20"/>
        <v>0</v>
      </c>
      <c r="BP573" s="1051"/>
      <c r="BQ573" s="1052"/>
      <c r="BR573" s="1054"/>
      <c r="BS573" s="1053"/>
      <c r="BT573" s="1051"/>
      <c r="BU573" s="1051"/>
      <c r="BV573" s="1051"/>
      <c r="BW573" s="1052"/>
      <c r="BX573" s="1052"/>
      <c r="BY573" s="1052"/>
      <c r="BZ573" s="1052"/>
      <c r="CA573" s="1052"/>
      <c r="CB573" s="1053"/>
      <c r="CC573" s="1053"/>
      <c r="CD573" s="1053"/>
      <c r="CE573" s="1053"/>
      <c r="CF573" s="1053"/>
      <c r="CG573" s="1053"/>
      <c r="CH573" s="1053"/>
      <c r="CI573" s="1123"/>
      <c r="CJ573" s="1123"/>
      <c r="CK573" s="1123"/>
      <c r="CL573" s="1123"/>
      <c r="CM573" s="1123"/>
      <c r="CN573" s="1123"/>
      <c r="CO573" s="1123"/>
      <c r="CP573" s="1123"/>
      <c r="CQ573" s="1123"/>
      <c r="CR573" s="1123"/>
      <c r="CS573" s="1123"/>
      <c r="CT573" s="1123"/>
      <c r="CU573" s="1123"/>
      <c r="CV573" s="1123"/>
      <c r="CW573" s="1123"/>
      <c r="CX573" s="1123"/>
      <c r="CY573" s="1123"/>
      <c r="CZ573" s="1114"/>
      <c r="DA573" s="1114"/>
      <c r="DB573" s="1114"/>
      <c r="DC573" s="1114"/>
      <c r="DD573" s="1114"/>
      <c r="DE573" s="1114"/>
      <c r="DF573" s="1114"/>
      <c r="DG573" s="1114"/>
      <c r="DH573" s="1114"/>
      <c r="DI573" s="1114"/>
      <c r="DJ573" s="1114"/>
      <c r="DK573" s="1114"/>
      <c r="DL573" s="1114"/>
      <c r="DM573" s="1114"/>
      <c r="DN573" s="1114"/>
      <c r="DO573" s="1114"/>
      <c r="DP573" s="1114"/>
      <c r="DQ573" s="1114"/>
      <c r="DR573" s="1114"/>
      <c r="DS573" s="1114"/>
      <c r="DT573" s="1114"/>
      <c r="DU573" s="1114"/>
      <c r="DV573" s="1115"/>
      <c r="DW573" s="1116"/>
      <c r="DX573" s="1116"/>
      <c r="DY573" s="1116"/>
      <c r="DZ573" s="1116"/>
      <c r="EA573" s="1116"/>
      <c r="EB573" s="1116"/>
      <c r="EC573" s="1116"/>
      <c r="ED573" s="1116"/>
      <c r="EE573" s="1116"/>
      <c r="EF573" s="1116"/>
      <c r="EG573" s="1116"/>
      <c r="EH573" s="1116"/>
      <c r="EI573" s="1116"/>
      <c r="EJ573" s="1116"/>
      <c r="EK573" s="1116"/>
      <c r="EL573" s="1116"/>
      <c r="EM573" s="1116"/>
      <c r="EN573" s="1116"/>
      <c r="EO573" s="1116"/>
      <c r="EP573" s="1116"/>
      <c r="EQ573" s="1116"/>
      <c r="ER573" s="1116"/>
      <c r="ES573" s="1116"/>
    </row>
    <row r="574" spans="1:149" ht="15" customHeight="1">
      <c r="A574" s="1185">
        <v>559</v>
      </c>
      <c r="B574" s="1041"/>
      <c r="C574" s="1050"/>
      <c r="D574" s="1050"/>
      <c r="E574" s="1050"/>
      <c r="F574" s="1049"/>
      <c r="G574" s="1457"/>
      <c r="H574" s="1049"/>
      <c r="I574" s="1049"/>
      <c r="J574" s="1050"/>
      <c r="K574" s="1050"/>
      <c r="L574" s="1043"/>
      <c r="M574" s="1051"/>
      <c r="N574" s="1051"/>
      <c r="O574" s="1052"/>
      <c r="P574" s="1051"/>
      <c r="Q574" s="1051"/>
      <c r="R574" s="1052"/>
      <c r="S574" s="1051"/>
      <c r="T574" s="1051"/>
      <c r="U574" s="1052"/>
      <c r="V574" s="1051"/>
      <c r="W574" s="1051"/>
      <c r="X574" s="1052"/>
      <c r="Y574" s="1053"/>
      <c r="Z574" s="1051"/>
      <c r="AA574" s="1051"/>
      <c r="AB574" s="1052"/>
      <c r="AC574" s="1051"/>
      <c r="AD574" s="1051"/>
      <c r="AE574" s="1052"/>
      <c r="AF574" s="1051"/>
      <c r="AG574" s="1051"/>
      <c r="AH574" s="1051"/>
      <c r="AI574" s="1051"/>
      <c r="AJ574" s="1052"/>
      <c r="AK574" s="1051"/>
      <c r="AL574" s="1051"/>
      <c r="AM574" s="1052"/>
      <c r="AN574" s="1051"/>
      <c r="AO574" s="1051"/>
      <c r="AP574" s="1052"/>
      <c r="AQ574" s="1051"/>
      <c r="AR574" s="1051"/>
      <c r="AS574" s="1052"/>
      <c r="AT574" s="1051"/>
      <c r="AU574" s="1051"/>
      <c r="AV574" s="1052"/>
      <c r="AW574" s="1051"/>
      <c r="AX574" s="1051"/>
      <c r="AY574" s="1053"/>
      <c r="AZ574" s="1051"/>
      <c r="BA574" s="1051"/>
      <c r="BB574" s="1053"/>
      <c r="BC574" s="1051"/>
      <c r="BD574" s="1051"/>
      <c r="BE574" s="1053"/>
      <c r="BF574" s="1051"/>
      <c r="BG574" s="1051"/>
      <c r="BH574" s="1053"/>
      <c r="BI574" s="1052"/>
      <c r="BJ574" s="1052"/>
      <c r="BK574" s="1052"/>
      <c r="BL574" s="1052"/>
      <c r="BM574" s="1052"/>
      <c r="BN574" s="1054"/>
      <c r="BO574" s="1076">
        <f t="shared" si="20"/>
        <v>0</v>
      </c>
      <c r="BP574" s="1051"/>
      <c r="BQ574" s="1052"/>
      <c r="BR574" s="1054"/>
      <c r="BS574" s="1053"/>
      <c r="BT574" s="1051"/>
      <c r="BU574" s="1051"/>
      <c r="BV574" s="1051"/>
      <c r="BW574" s="1052"/>
      <c r="BX574" s="1052"/>
      <c r="BY574" s="1052"/>
      <c r="BZ574" s="1052"/>
      <c r="CA574" s="1052"/>
      <c r="CB574" s="1053"/>
      <c r="CC574" s="1053"/>
      <c r="CD574" s="1053"/>
      <c r="CE574" s="1053"/>
      <c r="CF574" s="1053"/>
      <c r="CG574" s="1053"/>
      <c r="CH574" s="1053"/>
      <c r="CI574" s="1123"/>
      <c r="CJ574" s="1123"/>
      <c r="CK574" s="1123"/>
      <c r="CL574" s="1123"/>
      <c r="CM574" s="1123"/>
      <c r="CN574" s="1123"/>
      <c r="CO574" s="1123"/>
      <c r="CP574" s="1123"/>
      <c r="CQ574" s="1123"/>
      <c r="CR574" s="1123"/>
      <c r="CS574" s="1123"/>
      <c r="CT574" s="1123"/>
      <c r="CU574" s="1123"/>
      <c r="CV574" s="1123"/>
      <c r="CW574" s="1123"/>
      <c r="CX574" s="1123"/>
      <c r="CY574" s="1123"/>
      <c r="CZ574" s="1114"/>
      <c r="DA574" s="1114"/>
      <c r="DB574" s="1114"/>
      <c r="DC574" s="1114"/>
      <c r="DD574" s="1114"/>
      <c r="DE574" s="1114"/>
      <c r="DF574" s="1114"/>
      <c r="DG574" s="1114"/>
      <c r="DH574" s="1114"/>
      <c r="DI574" s="1114"/>
      <c r="DJ574" s="1114"/>
      <c r="DK574" s="1114"/>
      <c r="DL574" s="1114"/>
      <c r="DM574" s="1114"/>
      <c r="DN574" s="1114"/>
      <c r="DO574" s="1114"/>
      <c r="DP574" s="1114"/>
      <c r="DQ574" s="1114"/>
      <c r="DR574" s="1114"/>
      <c r="DS574" s="1114"/>
      <c r="DT574" s="1114"/>
      <c r="DU574" s="1114"/>
      <c r="DV574" s="1115"/>
      <c r="DW574" s="1116"/>
      <c r="DX574" s="1116"/>
      <c r="DY574" s="1116"/>
      <c r="DZ574" s="1116"/>
      <c r="EA574" s="1116"/>
      <c r="EB574" s="1116"/>
      <c r="EC574" s="1116"/>
      <c r="ED574" s="1116"/>
      <c r="EE574" s="1116"/>
      <c r="EF574" s="1116"/>
      <c r="EG574" s="1116"/>
      <c r="EH574" s="1116"/>
      <c r="EI574" s="1116"/>
      <c r="EJ574" s="1116"/>
      <c r="EK574" s="1116"/>
      <c r="EL574" s="1116"/>
      <c r="EM574" s="1116"/>
      <c r="EN574" s="1116"/>
      <c r="EO574" s="1116"/>
      <c r="EP574" s="1116"/>
      <c r="EQ574" s="1116"/>
      <c r="ER574" s="1116"/>
      <c r="ES574" s="1116"/>
    </row>
    <row r="575" spans="1:149" ht="15" customHeight="1">
      <c r="A575" s="1185">
        <v>560</v>
      </c>
      <c r="B575" s="1041"/>
      <c r="C575" s="1050"/>
      <c r="D575" s="1050"/>
      <c r="E575" s="1050"/>
      <c r="F575" s="1049"/>
      <c r="G575" s="1457"/>
      <c r="H575" s="1049"/>
      <c r="I575" s="1049"/>
      <c r="J575" s="1050"/>
      <c r="K575" s="1050"/>
      <c r="L575" s="1043"/>
      <c r="M575" s="1051"/>
      <c r="N575" s="1051"/>
      <c r="O575" s="1052"/>
      <c r="P575" s="1051"/>
      <c r="Q575" s="1051"/>
      <c r="R575" s="1052"/>
      <c r="S575" s="1051"/>
      <c r="T575" s="1051"/>
      <c r="U575" s="1052"/>
      <c r="V575" s="1051"/>
      <c r="W575" s="1051"/>
      <c r="X575" s="1052"/>
      <c r="Y575" s="1053"/>
      <c r="Z575" s="1051"/>
      <c r="AA575" s="1051"/>
      <c r="AB575" s="1052"/>
      <c r="AC575" s="1051"/>
      <c r="AD575" s="1051"/>
      <c r="AE575" s="1052"/>
      <c r="AF575" s="1051"/>
      <c r="AG575" s="1051"/>
      <c r="AH575" s="1051"/>
      <c r="AI575" s="1051"/>
      <c r="AJ575" s="1052"/>
      <c r="AK575" s="1051"/>
      <c r="AL575" s="1051"/>
      <c r="AM575" s="1052"/>
      <c r="AN575" s="1051"/>
      <c r="AO575" s="1051"/>
      <c r="AP575" s="1052"/>
      <c r="AQ575" s="1051"/>
      <c r="AR575" s="1051"/>
      <c r="AS575" s="1052"/>
      <c r="AT575" s="1051"/>
      <c r="AU575" s="1051"/>
      <c r="AV575" s="1052"/>
      <c r="AW575" s="1051"/>
      <c r="AX575" s="1051"/>
      <c r="AY575" s="1053"/>
      <c r="AZ575" s="1051"/>
      <c r="BA575" s="1051"/>
      <c r="BB575" s="1053"/>
      <c r="BC575" s="1051"/>
      <c r="BD575" s="1051"/>
      <c r="BE575" s="1053"/>
      <c r="BF575" s="1051"/>
      <c r="BG575" s="1051"/>
      <c r="BH575" s="1053"/>
      <c r="BI575" s="1052"/>
      <c r="BJ575" s="1052"/>
      <c r="BK575" s="1052"/>
      <c r="BL575" s="1052"/>
      <c r="BM575" s="1052"/>
      <c r="BN575" s="1054"/>
      <c r="BO575" s="1076">
        <f t="shared" si="20"/>
        <v>0</v>
      </c>
      <c r="BP575" s="1051"/>
      <c r="BQ575" s="1052"/>
      <c r="BR575" s="1054"/>
      <c r="BS575" s="1053"/>
      <c r="BT575" s="1051"/>
      <c r="BU575" s="1051"/>
      <c r="BV575" s="1051"/>
      <c r="BW575" s="1052"/>
      <c r="BX575" s="1052"/>
      <c r="BY575" s="1052"/>
      <c r="BZ575" s="1052"/>
      <c r="CA575" s="1052"/>
      <c r="CB575" s="1053"/>
      <c r="CC575" s="1053"/>
      <c r="CD575" s="1053"/>
      <c r="CE575" s="1053"/>
      <c r="CF575" s="1053"/>
      <c r="CG575" s="1053"/>
      <c r="CH575" s="1053"/>
      <c r="CI575" s="1123"/>
      <c r="CJ575" s="1123"/>
      <c r="CK575" s="1123"/>
      <c r="CL575" s="1123"/>
      <c r="CM575" s="1123"/>
      <c r="CN575" s="1123"/>
      <c r="CO575" s="1123"/>
      <c r="CP575" s="1123"/>
      <c r="CQ575" s="1123"/>
      <c r="CR575" s="1123"/>
      <c r="CS575" s="1123"/>
      <c r="CT575" s="1123"/>
      <c r="CU575" s="1123"/>
      <c r="CV575" s="1123"/>
      <c r="CW575" s="1123"/>
      <c r="CX575" s="1123"/>
      <c r="CY575" s="1123"/>
      <c r="CZ575" s="1114"/>
      <c r="DA575" s="1114"/>
      <c r="DB575" s="1114"/>
      <c r="DC575" s="1114"/>
      <c r="DD575" s="1114"/>
      <c r="DE575" s="1114"/>
      <c r="DF575" s="1114"/>
      <c r="DG575" s="1114"/>
      <c r="DH575" s="1114"/>
      <c r="DI575" s="1114"/>
      <c r="DJ575" s="1114"/>
      <c r="DK575" s="1114"/>
      <c r="DL575" s="1114"/>
      <c r="DM575" s="1114"/>
      <c r="DN575" s="1114"/>
      <c r="DO575" s="1114"/>
      <c r="DP575" s="1114"/>
      <c r="DQ575" s="1114"/>
      <c r="DR575" s="1114"/>
      <c r="DS575" s="1114"/>
      <c r="DT575" s="1114"/>
      <c r="DU575" s="1114"/>
      <c r="DV575" s="1115"/>
      <c r="DW575" s="1116"/>
      <c r="DX575" s="1116"/>
      <c r="DY575" s="1116"/>
      <c r="DZ575" s="1116"/>
      <c r="EA575" s="1116"/>
      <c r="EB575" s="1116"/>
      <c r="EC575" s="1116"/>
      <c r="ED575" s="1116"/>
      <c r="EE575" s="1116"/>
      <c r="EF575" s="1116"/>
      <c r="EG575" s="1116"/>
      <c r="EH575" s="1116"/>
      <c r="EI575" s="1116"/>
      <c r="EJ575" s="1116"/>
      <c r="EK575" s="1116"/>
      <c r="EL575" s="1116"/>
      <c r="EM575" s="1116"/>
      <c r="EN575" s="1116"/>
      <c r="EO575" s="1116"/>
      <c r="EP575" s="1116"/>
      <c r="EQ575" s="1116"/>
      <c r="ER575" s="1116"/>
      <c r="ES575" s="1116"/>
    </row>
    <row r="576" spans="1:149" ht="15" customHeight="1">
      <c r="A576" s="1185">
        <v>561</v>
      </c>
      <c r="B576" s="1041"/>
      <c r="C576" s="1050"/>
      <c r="D576" s="1050"/>
      <c r="E576" s="1050"/>
      <c r="F576" s="1049"/>
      <c r="G576" s="1457"/>
      <c r="H576" s="1049"/>
      <c r="I576" s="1049"/>
      <c r="J576" s="1050"/>
      <c r="K576" s="1050"/>
      <c r="L576" s="1043"/>
      <c r="M576" s="1051"/>
      <c r="N576" s="1051"/>
      <c r="O576" s="1052"/>
      <c r="P576" s="1051"/>
      <c r="Q576" s="1051"/>
      <c r="R576" s="1052"/>
      <c r="S576" s="1051"/>
      <c r="T576" s="1051"/>
      <c r="U576" s="1052"/>
      <c r="V576" s="1051"/>
      <c r="W576" s="1051"/>
      <c r="X576" s="1052"/>
      <c r="Y576" s="1053"/>
      <c r="Z576" s="1051"/>
      <c r="AA576" s="1051"/>
      <c r="AB576" s="1052"/>
      <c r="AC576" s="1051"/>
      <c r="AD576" s="1051"/>
      <c r="AE576" s="1052"/>
      <c r="AF576" s="1051"/>
      <c r="AG576" s="1051"/>
      <c r="AH576" s="1051"/>
      <c r="AI576" s="1051"/>
      <c r="AJ576" s="1052"/>
      <c r="AK576" s="1051"/>
      <c r="AL576" s="1051"/>
      <c r="AM576" s="1052"/>
      <c r="AN576" s="1051"/>
      <c r="AO576" s="1051"/>
      <c r="AP576" s="1052"/>
      <c r="AQ576" s="1051"/>
      <c r="AR576" s="1051"/>
      <c r="AS576" s="1052"/>
      <c r="AT576" s="1051"/>
      <c r="AU576" s="1051"/>
      <c r="AV576" s="1052"/>
      <c r="AW576" s="1051"/>
      <c r="AX576" s="1051"/>
      <c r="AY576" s="1053"/>
      <c r="AZ576" s="1051"/>
      <c r="BA576" s="1051"/>
      <c r="BB576" s="1053"/>
      <c r="BC576" s="1051"/>
      <c r="BD576" s="1051"/>
      <c r="BE576" s="1053"/>
      <c r="BF576" s="1051"/>
      <c r="BG576" s="1051"/>
      <c r="BH576" s="1053"/>
      <c r="BI576" s="1052"/>
      <c r="BJ576" s="1052"/>
      <c r="BK576" s="1052"/>
      <c r="BL576" s="1052"/>
      <c r="BM576" s="1052"/>
      <c r="BN576" s="1054"/>
      <c r="BO576" s="1076">
        <f t="shared" si="20"/>
        <v>0</v>
      </c>
      <c r="BP576" s="1051"/>
      <c r="BQ576" s="1052"/>
      <c r="BR576" s="1054"/>
      <c r="BS576" s="1053"/>
      <c r="BT576" s="1051"/>
      <c r="BU576" s="1051"/>
      <c r="BV576" s="1051"/>
      <c r="BW576" s="1052"/>
      <c r="BX576" s="1052"/>
      <c r="BY576" s="1052"/>
      <c r="BZ576" s="1052"/>
      <c r="CA576" s="1052"/>
      <c r="CB576" s="1053"/>
      <c r="CC576" s="1053"/>
      <c r="CD576" s="1053"/>
      <c r="CE576" s="1053"/>
      <c r="CF576" s="1053"/>
      <c r="CG576" s="1053"/>
      <c r="CH576" s="1053"/>
      <c r="CI576" s="1123"/>
      <c r="CJ576" s="1123"/>
      <c r="CK576" s="1123"/>
      <c r="CL576" s="1123"/>
      <c r="CM576" s="1123"/>
      <c r="CN576" s="1123"/>
      <c r="CO576" s="1123"/>
      <c r="CP576" s="1123"/>
      <c r="CQ576" s="1123"/>
      <c r="CR576" s="1123"/>
      <c r="CS576" s="1123"/>
      <c r="CT576" s="1123"/>
      <c r="CU576" s="1123"/>
      <c r="CV576" s="1123"/>
      <c r="CW576" s="1123"/>
      <c r="CX576" s="1123"/>
      <c r="CY576" s="1123"/>
      <c r="CZ576" s="1114"/>
      <c r="DA576" s="1114"/>
      <c r="DB576" s="1114"/>
      <c r="DC576" s="1114"/>
      <c r="DD576" s="1114"/>
      <c r="DE576" s="1114"/>
      <c r="DF576" s="1114"/>
      <c r="DG576" s="1114"/>
      <c r="DH576" s="1114"/>
      <c r="DI576" s="1114"/>
      <c r="DJ576" s="1114"/>
      <c r="DK576" s="1114"/>
      <c r="DL576" s="1114"/>
      <c r="DM576" s="1114"/>
      <c r="DN576" s="1114"/>
      <c r="DO576" s="1114"/>
      <c r="DP576" s="1114"/>
      <c r="DQ576" s="1114"/>
      <c r="DR576" s="1114"/>
      <c r="DS576" s="1114"/>
      <c r="DT576" s="1114"/>
      <c r="DU576" s="1114"/>
      <c r="DV576" s="1115"/>
      <c r="DW576" s="1116"/>
      <c r="DX576" s="1116"/>
      <c r="DY576" s="1116"/>
      <c r="DZ576" s="1116"/>
      <c r="EA576" s="1116"/>
      <c r="EB576" s="1116"/>
      <c r="EC576" s="1116"/>
      <c r="ED576" s="1116"/>
      <c r="EE576" s="1116"/>
      <c r="EF576" s="1116"/>
      <c r="EG576" s="1116"/>
      <c r="EH576" s="1116"/>
      <c r="EI576" s="1116"/>
      <c r="EJ576" s="1116"/>
      <c r="EK576" s="1116"/>
      <c r="EL576" s="1116"/>
      <c r="EM576" s="1116"/>
      <c r="EN576" s="1116"/>
      <c r="EO576" s="1116"/>
      <c r="EP576" s="1116"/>
      <c r="EQ576" s="1116"/>
      <c r="ER576" s="1116"/>
      <c r="ES576" s="1116"/>
    </row>
    <row r="577" spans="1:149" ht="15" customHeight="1">
      <c r="A577" s="1185">
        <v>562</v>
      </c>
      <c r="B577" s="1041"/>
      <c r="C577" s="1050"/>
      <c r="D577" s="1050"/>
      <c r="E577" s="1050"/>
      <c r="F577" s="1049"/>
      <c r="G577" s="1457"/>
      <c r="H577" s="1049"/>
      <c r="I577" s="1049"/>
      <c r="J577" s="1050"/>
      <c r="K577" s="1050"/>
      <c r="L577" s="1043"/>
      <c r="M577" s="1051"/>
      <c r="N577" s="1051"/>
      <c r="O577" s="1052"/>
      <c r="P577" s="1051"/>
      <c r="Q577" s="1051"/>
      <c r="R577" s="1052"/>
      <c r="S577" s="1051"/>
      <c r="T577" s="1051"/>
      <c r="U577" s="1052"/>
      <c r="V577" s="1051"/>
      <c r="W577" s="1051"/>
      <c r="X577" s="1052"/>
      <c r="Y577" s="1053"/>
      <c r="Z577" s="1051"/>
      <c r="AA577" s="1051"/>
      <c r="AB577" s="1052"/>
      <c r="AC577" s="1051"/>
      <c r="AD577" s="1051"/>
      <c r="AE577" s="1052"/>
      <c r="AF577" s="1051"/>
      <c r="AG577" s="1051"/>
      <c r="AH577" s="1051"/>
      <c r="AI577" s="1051"/>
      <c r="AJ577" s="1052"/>
      <c r="AK577" s="1051"/>
      <c r="AL577" s="1051"/>
      <c r="AM577" s="1052"/>
      <c r="AN577" s="1051"/>
      <c r="AO577" s="1051"/>
      <c r="AP577" s="1052"/>
      <c r="AQ577" s="1051"/>
      <c r="AR577" s="1051"/>
      <c r="AS577" s="1052"/>
      <c r="AT577" s="1051"/>
      <c r="AU577" s="1051"/>
      <c r="AV577" s="1052"/>
      <c r="AW577" s="1051"/>
      <c r="AX577" s="1051"/>
      <c r="AY577" s="1053"/>
      <c r="AZ577" s="1051"/>
      <c r="BA577" s="1051"/>
      <c r="BB577" s="1053"/>
      <c r="BC577" s="1051"/>
      <c r="BD577" s="1051"/>
      <c r="BE577" s="1053"/>
      <c r="BF577" s="1051"/>
      <c r="BG577" s="1051"/>
      <c r="BH577" s="1053"/>
      <c r="BI577" s="1052"/>
      <c r="BJ577" s="1052"/>
      <c r="BK577" s="1052"/>
      <c r="BL577" s="1052"/>
      <c r="BM577" s="1052"/>
      <c r="BN577" s="1054"/>
      <c r="BO577" s="1076">
        <f t="shared" si="20"/>
        <v>0</v>
      </c>
      <c r="BP577" s="1051"/>
      <c r="BQ577" s="1052"/>
      <c r="BR577" s="1054"/>
      <c r="BS577" s="1053"/>
      <c r="BT577" s="1051"/>
      <c r="BU577" s="1051"/>
      <c r="BV577" s="1051"/>
      <c r="BW577" s="1052"/>
      <c r="BX577" s="1052"/>
      <c r="BY577" s="1052"/>
      <c r="BZ577" s="1052"/>
      <c r="CA577" s="1052"/>
      <c r="CB577" s="1053"/>
      <c r="CC577" s="1053"/>
      <c r="CD577" s="1053"/>
      <c r="CE577" s="1053"/>
      <c r="CF577" s="1053"/>
      <c r="CG577" s="1053"/>
      <c r="CH577" s="1053"/>
      <c r="CI577" s="1123"/>
      <c r="CJ577" s="1123"/>
      <c r="CK577" s="1123"/>
      <c r="CL577" s="1123"/>
      <c r="CM577" s="1123"/>
      <c r="CN577" s="1123"/>
      <c r="CO577" s="1123"/>
      <c r="CP577" s="1123"/>
      <c r="CQ577" s="1123"/>
      <c r="CR577" s="1123"/>
      <c r="CS577" s="1123"/>
      <c r="CT577" s="1123"/>
      <c r="CU577" s="1123"/>
      <c r="CV577" s="1123"/>
      <c r="CW577" s="1123"/>
      <c r="CX577" s="1123"/>
      <c r="CY577" s="1123"/>
      <c r="CZ577" s="1114"/>
      <c r="DA577" s="1114"/>
      <c r="DB577" s="1114"/>
      <c r="DC577" s="1114"/>
      <c r="DD577" s="1114"/>
      <c r="DE577" s="1114"/>
      <c r="DF577" s="1114"/>
      <c r="DG577" s="1114"/>
      <c r="DH577" s="1114"/>
      <c r="DI577" s="1114"/>
      <c r="DJ577" s="1114"/>
      <c r="DK577" s="1114"/>
      <c r="DL577" s="1114"/>
      <c r="DM577" s="1114"/>
      <c r="DN577" s="1114"/>
      <c r="DO577" s="1114"/>
      <c r="DP577" s="1114"/>
      <c r="DQ577" s="1114"/>
      <c r="DR577" s="1114"/>
      <c r="DS577" s="1114"/>
      <c r="DT577" s="1114"/>
      <c r="DU577" s="1114"/>
      <c r="DV577" s="1115"/>
      <c r="DW577" s="1116"/>
      <c r="DX577" s="1116"/>
      <c r="DY577" s="1116"/>
      <c r="DZ577" s="1116"/>
      <c r="EA577" s="1116"/>
      <c r="EB577" s="1116"/>
      <c r="EC577" s="1116"/>
      <c r="ED577" s="1116"/>
      <c r="EE577" s="1116"/>
      <c r="EF577" s="1116"/>
      <c r="EG577" s="1116"/>
      <c r="EH577" s="1116"/>
      <c r="EI577" s="1116"/>
      <c r="EJ577" s="1116"/>
      <c r="EK577" s="1116"/>
      <c r="EL577" s="1116"/>
      <c r="EM577" s="1116"/>
      <c r="EN577" s="1116"/>
      <c r="EO577" s="1116"/>
      <c r="EP577" s="1116"/>
      <c r="EQ577" s="1116"/>
      <c r="ER577" s="1116"/>
      <c r="ES577" s="1116"/>
    </row>
    <row r="578" spans="1:149" ht="15" customHeight="1">
      <c r="A578" s="1185">
        <v>563</v>
      </c>
      <c r="B578" s="1041"/>
      <c r="C578" s="1050"/>
      <c r="D578" s="1050"/>
      <c r="E578" s="1050"/>
      <c r="F578" s="1049"/>
      <c r="G578" s="1457"/>
      <c r="H578" s="1049"/>
      <c r="I578" s="1049"/>
      <c r="J578" s="1050"/>
      <c r="K578" s="1050"/>
      <c r="L578" s="1043"/>
      <c r="M578" s="1051"/>
      <c r="N578" s="1051"/>
      <c r="O578" s="1052"/>
      <c r="P578" s="1051"/>
      <c r="Q578" s="1051"/>
      <c r="R578" s="1052"/>
      <c r="S578" s="1051"/>
      <c r="T578" s="1051"/>
      <c r="U578" s="1052"/>
      <c r="V578" s="1051"/>
      <c r="W578" s="1051"/>
      <c r="X578" s="1052"/>
      <c r="Y578" s="1053"/>
      <c r="Z578" s="1051"/>
      <c r="AA578" s="1051"/>
      <c r="AB578" s="1052"/>
      <c r="AC578" s="1051"/>
      <c r="AD578" s="1051"/>
      <c r="AE578" s="1052"/>
      <c r="AF578" s="1051"/>
      <c r="AG578" s="1051"/>
      <c r="AH578" s="1051"/>
      <c r="AI578" s="1051"/>
      <c r="AJ578" s="1052"/>
      <c r="AK578" s="1051"/>
      <c r="AL578" s="1051"/>
      <c r="AM578" s="1052"/>
      <c r="AN578" s="1051"/>
      <c r="AO578" s="1051"/>
      <c r="AP578" s="1052"/>
      <c r="AQ578" s="1051"/>
      <c r="AR578" s="1051"/>
      <c r="AS578" s="1052"/>
      <c r="AT578" s="1051"/>
      <c r="AU578" s="1051"/>
      <c r="AV578" s="1052"/>
      <c r="AW578" s="1051"/>
      <c r="AX578" s="1051"/>
      <c r="AY578" s="1053"/>
      <c r="AZ578" s="1051"/>
      <c r="BA578" s="1051"/>
      <c r="BB578" s="1053"/>
      <c r="BC578" s="1051"/>
      <c r="BD578" s="1051"/>
      <c r="BE578" s="1053"/>
      <c r="BF578" s="1051"/>
      <c r="BG578" s="1051"/>
      <c r="BH578" s="1053"/>
      <c r="BI578" s="1052"/>
      <c r="BJ578" s="1052"/>
      <c r="BK578" s="1052"/>
      <c r="BL578" s="1052"/>
      <c r="BM578" s="1052"/>
      <c r="BN578" s="1054"/>
      <c r="BO578" s="1076">
        <f t="shared" si="20"/>
        <v>0</v>
      </c>
      <c r="BP578" s="1051"/>
      <c r="BQ578" s="1052"/>
      <c r="BR578" s="1054"/>
      <c r="BS578" s="1053"/>
      <c r="BT578" s="1051"/>
      <c r="BU578" s="1051"/>
      <c r="BV578" s="1051"/>
      <c r="BW578" s="1052"/>
      <c r="BX578" s="1052"/>
      <c r="BY578" s="1052"/>
      <c r="BZ578" s="1052"/>
      <c r="CA578" s="1052"/>
      <c r="CB578" s="1053"/>
      <c r="CC578" s="1053"/>
      <c r="CD578" s="1053"/>
      <c r="CE578" s="1053"/>
      <c r="CF578" s="1053"/>
      <c r="CG578" s="1053"/>
      <c r="CH578" s="1053"/>
      <c r="CI578" s="1123"/>
      <c r="CJ578" s="1123"/>
      <c r="CK578" s="1123"/>
      <c r="CL578" s="1123"/>
      <c r="CM578" s="1123"/>
      <c r="CN578" s="1123"/>
      <c r="CO578" s="1123"/>
      <c r="CP578" s="1123"/>
      <c r="CQ578" s="1123"/>
      <c r="CR578" s="1123"/>
      <c r="CS578" s="1123"/>
      <c r="CT578" s="1123"/>
      <c r="CU578" s="1123"/>
      <c r="CV578" s="1123"/>
      <c r="CW578" s="1123"/>
      <c r="CX578" s="1123"/>
      <c r="CY578" s="1123"/>
      <c r="CZ578" s="1114"/>
      <c r="DA578" s="1114"/>
      <c r="DB578" s="1114"/>
      <c r="DC578" s="1114"/>
      <c r="DD578" s="1114"/>
      <c r="DE578" s="1114"/>
      <c r="DF578" s="1114"/>
      <c r="DG578" s="1114"/>
      <c r="DH578" s="1114"/>
      <c r="DI578" s="1114"/>
      <c r="DJ578" s="1114"/>
      <c r="DK578" s="1114"/>
      <c r="DL578" s="1114"/>
      <c r="DM578" s="1114"/>
      <c r="DN578" s="1114"/>
      <c r="DO578" s="1114"/>
      <c r="DP578" s="1114"/>
      <c r="DQ578" s="1114"/>
      <c r="DR578" s="1114"/>
      <c r="DS578" s="1114"/>
      <c r="DT578" s="1114"/>
      <c r="DU578" s="1114"/>
      <c r="DV578" s="1115"/>
      <c r="DW578" s="1116"/>
      <c r="DX578" s="1116"/>
      <c r="DY578" s="1116"/>
      <c r="DZ578" s="1116"/>
      <c r="EA578" s="1116"/>
      <c r="EB578" s="1116"/>
      <c r="EC578" s="1116"/>
      <c r="ED578" s="1116"/>
      <c r="EE578" s="1116"/>
      <c r="EF578" s="1116"/>
      <c r="EG578" s="1116"/>
      <c r="EH578" s="1116"/>
      <c r="EI578" s="1116"/>
      <c r="EJ578" s="1116"/>
      <c r="EK578" s="1116"/>
      <c r="EL578" s="1116"/>
      <c r="EM578" s="1116"/>
      <c r="EN578" s="1116"/>
      <c r="EO578" s="1116"/>
      <c r="EP578" s="1116"/>
      <c r="EQ578" s="1116"/>
      <c r="ER578" s="1116"/>
      <c r="ES578" s="1116"/>
    </row>
    <row r="579" spans="1:149" ht="15" customHeight="1">
      <c r="A579" s="1185">
        <v>564</v>
      </c>
      <c r="B579" s="1041"/>
      <c r="C579" s="1050"/>
      <c r="D579" s="1050"/>
      <c r="E579" s="1050"/>
      <c r="F579" s="1049"/>
      <c r="G579" s="1457"/>
      <c r="H579" s="1049"/>
      <c r="I579" s="1049"/>
      <c r="J579" s="1050"/>
      <c r="K579" s="1050"/>
      <c r="L579" s="1043"/>
      <c r="M579" s="1051"/>
      <c r="N579" s="1051"/>
      <c r="O579" s="1052"/>
      <c r="P579" s="1051"/>
      <c r="Q579" s="1051"/>
      <c r="R579" s="1052"/>
      <c r="S579" s="1051"/>
      <c r="T579" s="1051"/>
      <c r="U579" s="1052"/>
      <c r="V579" s="1051"/>
      <c r="W579" s="1051"/>
      <c r="X579" s="1052"/>
      <c r="Y579" s="1053"/>
      <c r="Z579" s="1051"/>
      <c r="AA579" s="1051"/>
      <c r="AB579" s="1052"/>
      <c r="AC579" s="1051"/>
      <c r="AD579" s="1051"/>
      <c r="AE579" s="1052"/>
      <c r="AF579" s="1051"/>
      <c r="AG579" s="1051"/>
      <c r="AH579" s="1051"/>
      <c r="AI579" s="1051"/>
      <c r="AJ579" s="1052"/>
      <c r="AK579" s="1051"/>
      <c r="AL579" s="1051"/>
      <c r="AM579" s="1052"/>
      <c r="AN579" s="1051"/>
      <c r="AO579" s="1051"/>
      <c r="AP579" s="1052"/>
      <c r="AQ579" s="1051"/>
      <c r="AR579" s="1051"/>
      <c r="AS579" s="1052"/>
      <c r="AT579" s="1051"/>
      <c r="AU579" s="1051"/>
      <c r="AV579" s="1052"/>
      <c r="AW579" s="1051"/>
      <c r="AX579" s="1051"/>
      <c r="AY579" s="1053"/>
      <c r="AZ579" s="1051"/>
      <c r="BA579" s="1051"/>
      <c r="BB579" s="1053"/>
      <c r="BC579" s="1051"/>
      <c r="BD579" s="1051"/>
      <c r="BE579" s="1053"/>
      <c r="BF579" s="1051"/>
      <c r="BG579" s="1051"/>
      <c r="BH579" s="1053"/>
      <c r="BI579" s="1052"/>
      <c r="BJ579" s="1052"/>
      <c r="BK579" s="1052"/>
      <c r="BL579" s="1052"/>
      <c r="BM579" s="1052"/>
      <c r="BN579" s="1054"/>
      <c r="BO579" s="1076">
        <f t="shared" si="20"/>
        <v>0</v>
      </c>
      <c r="BP579" s="1051"/>
      <c r="BQ579" s="1052"/>
      <c r="BR579" s="1054"/>
      <c r="BS579" s="1053"/>
      <c r="BT579" s="1051"/>
      <c r="BU579" s="1051"/>
      <c r="BV579" s="1051"/>
      <c r="BW579" s="1052"/>
      <c r="BX579" s="1052"/>
      <c r="BY579" s="1052"/>
      <c r="BZ579" s="1052"/>
      <c r="CA579" s="1052"/>
      <c r="CB579" s="1053"/>
      <c r="CC579" s="1053"/>
      <c r="CD579" s="1053"/>
      <c r="CE579" s="1053"/>
      <c r="CF579" s="1053"/>
      <c r="CG579" s="1053"/>
      <c r="CH579" s="1053"/>
      <c r="CI579" s="1123"/>
      <c r="CJ579" s="1123"/>
      <c r="CK579" s="1123"/>
      <c r="CL579" s="1123"/>
      <c r="CM579" s="1123"/>
      <c r="CN579" s="1123"/>
      <c r="CO579" s="1123"/>
      <c r="CP579" s="1123"/>
      <c r="CQ579" s="1123"/>
      <c r="CR579" s="1123"/>
      <c r="CS579" s="1123"/>
      <c r="CT579" s="1123"/>
      <c r="CU579" s="1123"/>
      <c r="CV579" s="1123"/>
      <c r="CW579" s="1123"/>
      <c r="CX579" s="1123"/>
      <c r="CY579" s="1123"/>
      <c r="CZ579" s="1114"/>
      <c r="DA579" s="1114"/>
      <c r="DB579" s="1114"/>
      <c r="DC579" s="1114"/>
      <c r="DD579" s="1114"/>
      <c r="DE579" s="1114"/>
      <c r="DF579" s="1114"/>
      <c r="DG579" s="1114"/>
      <c r="DH579" s="1114"/>
      <c r="DI579" s="1114"/>
      <c r="DJ579" s="1114"/>
      <c r="DK579" s="1114"/>
      <c r="DL579" s="1114"/>
      <c r="DM579" s="1114"/>
      <c r="DN579" s="1114"/>
      <c r="DO579" s="1114"/>
      <c r="DP579" s="1114"/>
      <c r="DQ579" s="1114"/>
      <c r="DR579" s="1114"/>
      <c r="DS579" s="1114"/>
      <c r="DT579" s="1114"/>
      <c r="DU579" s="1114"/>
      <c r="DV579" s="1115"/>
      <c r="DW579" s="1116"/>
      <c r="DX579" s="1116"/>
      <c r="DY579" s="1116"/>
      <c r="DZ579" s="1116"/>
      <c r="EA579" s="1116"/>
      <c r="EB579" s="1116"/>
      <c r="EC579" s="1116"/>
      <c r="ED579" s="1116"/>
      <c r="EE579" s="1116"/>
      <c r="EF579" s="1116"/>
      <c r="EG579" s="1116"/>
      <c r="EH579" s="1116"/>
      <c r="EI579" s="1116"/>
      <c r="EJ579" s="1116"/>
      <c r="EK579" s="1116"/>
      <c r="EL579" s="1116"/>
      <c r="EM579" s="1116"/>
      <c r="EN579" s="1116"/>
      <c r="EO579" s="1116"/>
      <c r="EP579" s="1116"/>
      <c r="EQ579" s="1116"/>
      <c r="ER579" s="1116"/>
      <c r="ES579" s="1116"/>
    </row>
    <row r="580" spans="1:149" ht="15" customHeight="1">
      <c r="A580" s="1185">
        <v>565</v>
      </c>
      <c r="B580" s="1041"/>
      <c r="C580" s="1050"/>
      <c r="D580" s="1050"/>
      <c r="E580" s="1050"/>
      <c r="F580" s="1049"/>
      <c r="G580" s="1457"/>
      <c r="H580" s="1049"/>
      <c r="I580" s="1049"/>
      <c r="J580" s="1050"/>
      <c r="K580" s="1050"/>
      <c r="L580" s="1043"/>
      <c r="M580" s="1051"/>
      <c r="N580" s="1051"/>
      <c r="O580" s="1052"/>
      <c r="P580" s="1051"/>
      <c r="Q580" s="1051"/>
      <c r="R580" s="1052"/>
      <c r="S580" s="1051"/>
      <c r="T580" s="1051"/>
      <c r="U580" s="1052"/>
      <c r="V580" s="1051"/>
      <c r="W580" s="1051"/>
      <c r="X580" s="1052"/>
      <c r="Y580" s="1053"/>
      <c r="Z580" s="1051"/>
      <c r="AA580" s="1051"/>
      <c r="AB580" s="1052"/>
      <c r="AC580" s="1051"/>
      <c r="AD580" s="1051"/>
      <c r="AE580" s="1052"/>
      <c r="AF580" s="1051"/>
      <c r="AG580" s="1051"/>
      <c r="AH580" s="1051"/>
      <c r="AI580" s="1051"/>
      <c r="AJ580" s="1052"/>
      <c r="AK580" s="1051"/>
      <c r="AL580" s="1051"/>
      <c r="AM580" s="1052"/>
      <c r="AN580" s="1051"/>
      <c r="AO580" s="1051"/>
      <c r="AP580" s="1052"/>
      <c r="AQ580" s="1051"/>
      <c r="AR580" s="1051"/>
      <c r="AS580" s="1052"/>
      <c r="AT580" s="1051"/>
      <c r="AU580" s="1051"/>
      <c r="AV580" s="1052"/>
      <c r="AW580" s="1051"/>
      <c r="AX580" s="1051"/>
      <c r="AY580" s="1053"/>
      <c r="AZ580" s="1051"/>
      <c r="BA580" s="1051"/>
      <c r="BB580" s="1053"/>
      <c r="BC580" s="1051"/>
      <c r="BD580" s="1051"/>
      <c r="BE580" s="1053"/>
      <c r="BF580" s="1051"/>
      <c r="BG580" s="1051"/>
      <c r="BH580" s="1053"/>
      <c r="BI580" s="1052"/>
      <c r="BJ580" s="1052"/>
      <c r="BK580" s="1052"/>
      <c r="BL580" s="1052"/>
      <c r="BM580" s="1052"/>
      <c r="BN580" s="1054"/>
      <c r="BO580" s="1076">
        <f t="shared" si="20"/>
        <v>0</v>
      </c>
      <c r="BP580" s="1051"/>
      <c r="BQ580" s="1052"/>
      <c r="BR580" s="1054"/>
      <c r="BS580" s="1053"/>
      <c r="BT580" s="1051"/>
      <c r="BU580" s="1051"/>
      <c r="BV580" s="1051"/>
      <c r="BW580" s="1052"/>
      <c r="BX580" s="1052"/>
      <c r="BY580" s="1052"/>
      <c r="BZ580" s="1052"/>
      <c r="CA580" s="1052"/>
      <c r="CB580" s="1053"/>
      <c r="CC580" s="1053"/>
      <c r="CD580" s="1053"/>
      <c r="CE580" s="1053"/>
      <c r="CF580" s="1053"/>
      <c r="CG580" s="1053"/>
      <c r="CH580" s="1053"/>
      <c r="CI580" s="1123"/>
      <c r="CJ580" s="1123"/>
      <c r="CK580" s="1123"/>
      <c r="CL580" s="1123"/>
      <c r="CM580" s="1123"/>
      <c r="CN580" s="1123"/>
      <c r="CO580" s="1123"/>
      <c r="CP580" s="1123"/>
      <c r="CQ580" s="1123"/>
      <c r="CR580" s="1123"/>
      <c r="CS580" s="1123"/>
      <c r="CT580" s="1123"/>
      <c r="CU580" s="1123"/>
      <c r="CV580" s="1123"/>
      <c r="CW580" s="1123"/>
      <c r="CX580" s="1123"/>
      <c r="CY580" s="1123"/>
      <c r="CZ580" s="1114"/>
      <c r="DA580" s="1114"/>
      <c r="DB580" s="1114"/>
      <c r="DC580" s="1114"/>
      <c r="DD580" s="1114"/>
      <c r="DE580" s="1114"/>
      <c r="DF580" s="1114"/>
      <c r="DG580" s="1114"/>
      <c r="DH580" s="1114"/>
      <c r="DI580" s="1114"/>
      <c r="DJ580" s="1114"/>
      <c r="DK580" s="1114"/>
      <c r="DL580" s="1114"/>
      <c r="DM580" s="1114"/>
      <c r="DN580" s="1114"/>
      <c r="DO580" s="1114"/>
      <c r="DP580" s="1114"/>
      <c r="DQ580" s="1114"/>
      <c r="DR580" s="1114"/>
      <c r="DS580" s="1114"/>
      <c r="DT580" s="1114"/>
      <c r="DU580" s="1114"/>
      <c r="DV580" s="1115"/>
      <c r="DW580" s="1116"/>
      <c r="DX580" s="1116"/>
      <c r="DY580" s="1116"/>
      <c r="DZ580" s="1116"/>
      <c r="EA580" s="1116"/>
      <c r="EB580" s="1116"/>
      <c r="EC580" s="1116"/>
      <c r="ED580" s="1116"/>
      <c r="EE580" s="1116"/>
      <c r="EF580" s="1116"/>
      <c r="EG580" s="1116"/>
      <c r="EH580" s="1116"/>
      <c r="EI580" s="1116"/>
      <c r="EJ580" s="1116"/>
      <c r="EK580" s="1116"/>
      <c r="EL580" s="1116"/>
      <c r="EM580" s="1116"/>
      <c r="EN580" s="1116"/>
      <c r="EO580" s="1116"/>
      <c r="EP580" s="1116"/>
      <c r="EQ580" s="1116"/>
      <c r="ER580" s="1116"/>
      <c r="ES580" s="1116"/>
    </row>
    <row r="581" spans="1:149" ht="15" customHeight="1">
      <c r="A581" s="1185">
        <v>566</v>
      </c>
      <c r="B581" s="1041"/>
      <c r="C581" s="1050"/>
      <c r="D581" s="1050"/>
      <c r="E581" s="1050"/>
      <c r="F581" s="1049"/>
      <c r="G581" s="1457"/>
      <c r="H581" s="1049"/>
      <c r="I581" s="1049"/>
      <c r="J581" s="1050"/>
      <c r="K581" s="1050"/>
      <c r="L581" s="1043"/>
      <c r="M581" s="1051"/>
      <c r="N581" s="1051"/>
      <c r="O581" s="1052"/>
      <c r="P581" s="1051"/>
      <c r="Q581" s="1051"/>
      <c r="R581" s="1052"/>
      <c r="S581" s="1051"/>
      <c r="T581" s="1051"/>
      <c r="U581" s="1052"/>
      <c r="V581" s="1051"/>
      <c r="W581" s="1051"/>
      <c r="X581" s="1052"/>
      <c r="Y581" s="1053"/>
      <c r="Z581" s="1051"/>
      <c r="AA581" s="1051"/>
      <c r="AB581" s="1052"/>
      <c r="AC581" s="1051"/>
      <c r="AD581" s="1051"/>
      <c r="AE581" s="1052"/>
      <c r="AF581" s="1051"/>
      <c r="AG581" s="1051"/>
      <c r="AH581" s="1051"/>
      <c r="AI581" s="1051"/>
      <c r="AJ581" s="1052"/>
      <c r="AK581" s="1051"/>
      <c r="AL581" s="1051"/>
      <c r="AM581" s="1052"/>
      <c r="AN581" s="1051"/>
      <c r="AO581" s="1051"/>
      <c r="AP581" s="1052"/>
      <c r="AQ581" s="1051"/>
      <c r="AR581" s="1051"/>
      <c r="AS581" s="1052"/>
      <c r="AT581" s="1051"/>
      <c r="AU581" s="1051"/>
      <c r="AV581" s="1052"/>
      <c r="AW581" s="1051"/>
      <c r="AX581" s="1051"/>
      <c r="AY581" s="1053"/>
      <c r="AZ581" s="1051"/>
      <c r="BA581" s="1051"/>
      <c r="BB581" s="1053"/>
      <c r="BC581" s="1051"/>
      <c r="BD581" s="1051"/>
      <c r="BE581" s="1053"/>
      <c r="BF581" s="1051"/>
      <c r="BG581" s="1051"/>
      <c r="BH581" s="1053"/>
      <c r="BI581" s="1052"/>
      <c r="BJ581" s="1052"/>
      <c r="BK581" s="1052"/>
      <c r="BL581" s="1052"/>
      <c r="BM581" s="1052"/>
      <c r="BN581" s="1054"/>
      <c r="BO581" s="1076">
        <f t="shared" si="20"/>
        <v>0</v>
      </c>
      <c r="BP581" s="1051"/>
      <c r="BQ581" s="1052"/>
      <c r="BR581" s="1054"/>
      <c r="BS581" s="1053"/>
      <c r="BT581" s="1051"/>
      <c r="BU581" s="1051"/>
      <c r="BV581" s="1051"/>
      <c r="BW581" s="1052"/>
      <c r="BX581" s="1052"/>
      <c r="BY581" s="1052"/>
      <c r="BZ581" s="1052"/>
      <c r="CA581" s="1052"/>
      <c r="CB581" s="1053"/>
      <c r="CC581" s="1053"/>
      <c r="CD581" s="1053"/>
      <c r="CE581" s="1053"/>
      <c r="CF581" s="1053"/>
      <c r="CG581" s="1053"/>
      <c r="CH581" s="1053"/>
      <c r="CI581" s="1123"/>
      <c r="CJ581" s="1123"/>
      <c r="CK581" s="1123"/>
      <c r="CL581" s="1123"/>
      <c r="CM581" s="1123"/>
      <c r="CN581" s="1123"/>
      <c r="CO581" s="1123"/>
      <c r="CP581" s="1123"/>
      <c r="CQ581" s="1123"/>
      <c r="CR581" s="1123"/>
      <c r="CS581" s="1123"/>
      <c r="CT581" s="1123"/>
      <c r="CU581" s="1123"/>
      <c r="CV581" s="1123"/>
      <c r="CW581" s="1123"/>
      <c r="CX581" s="1123"/>
      <c r="CY581" s="1123"/>
      <c r="CZ581" s="1114"/>
      <c r="DA581" s="1114"/>
      <c r="DB581" s="1114"/>
      <c r="DC581" s="1114"/>
      <c r="DD581" s="1114"/>
      <c r="DE581" s="1114"/>
      <c r="DF581" s="1114"/>
      <c r="DG581" s="1114"/>
      <c r="DH581" s="1114"/>
      <c r="DI581" s="1114"/>
      <c r="DJ581" s="1114"/>
      <c r="DK581" s="1114"/>
      <c r="DL581" s="1114"/>
      <c r="DM581" s="1114"/>
      <c r="DN581" s="1114"/>
      <c r="DO581" s="1114"/>
      <c r="DP581" s="1114"/>
      <c r="DQ581" s="1114"/>
      <c r="DR581" s="1114"/>
      <c r="DS581" s="1114"/>
      <c r="DT581" s="1114"/>
      <c r="DU581" s="1114"/>
      <c r="DV581" s="1115"/>
      <c r="DW581" s="1116"/>
      <c r="DX581" s="1116"/>
      <c r="DY581" s="1116"/>
      <c r="DZ581" s="1116"/>
      <c r="EA581" s="1116"/>
      <c r="EB581" s="1116"/>
      <c r="EC581" s="1116"/>
      <c r="ED581" s="1116"/>
      <c r="EE581" s="1116"/>
      <c r="EF581" s="1116"/>
      <c r="EG581" s="1116"/>
      <c r="EH581" s="1116"/>
      <c r="EI581" s="1116"/>
      <c r="EJ581" s="1116"/>
      <c r="EK581" s="1116"/>
      <c r="EL581" s="1116"/>
      <c r="EM581" s="1116"/>
      <c r="EN581" s="1116"/>
      <c r="EO581" s="1116"/>
      <c r="EP581" s="1116"/>
      <c r="EQ581" s="1116"/>
      <c r="ER581" s="1116"/>
      <c r="ES581" s="1116"/>
    </row>
    <row r="582" spans="1:149" ht="15" customHeight="1">
      <c r="A582" s="1185">
        <v>567</v>
      </c>
      <c r="B582" s="1041"/>
      <c r="C582" s="1050"/>
      <c r="D582" s="1050"/>
      <c r="E582" s="1050"/>
      <c r="F582" s="1049"/>
      <c r="G582" s="1457"/>
      <c r="H582" s="1049"/>
      <c r="I582" s="1049"/>
      <c r="J582" s="1050"/>
      <c r="K582" s="1050"/>
      <c r="L582" s="1043"/>
      <c r="M582" s="1051"/>
      <c r="N582" s="1051"/>
      <c r="O582" s="1052"/>
      <c r="P582" s="1051"/>
      <c r="Q582" s="1051"/>
      <c r="R582" s="1052"/>
      <c r="S582" s="1051"/>
      <c r="T582" s="1051"/>
      <c r="U582" s="1052"/>
      <c r="V582" s="1051"/>
      <c r="W582" s="1051"/>
      <c r="X582" s="1052"/>
      <c r="Y582" s="1053"/>
      <c r="Z582" s="1051"/>
      <c r="AA582" s="1051"/>
      <c r="AB582" s="1052"/>
      <c r="AC582" s="1051"/>
      <c r="AD582" s="1051"/>
      <c r="AE582" s="1052"/>
      <c r="AF582" s="1051"/>
      <c r="AG582" s="1051"/>
      <c r="AH582" s="1051"/>
      <c r="AI582" s="1051"/>
      <c r="AJ582" s="1052"/>
      <c r="AK582" s="1051"/>
      <c r="AL582" s="1051"/>
      <c r="AM582" s="1052"/>
      <c r="AN582" s="1051"/>
      <c r="AO582" s="1051"/>
      <c r="AP582" s="1052"/>
      <c r="AQ582" s="1051"/>
      <c r="AR582" s="1051"/>
      <c r="AS582" s="1052"/>
      <c r="AT582" s="1051"/>
      <c r="AU582" s="1051"/>
      <c r="AV582" s="1052"/>
      <c r="AW582" s="1051"/>
      <c r="AX582" s="1051"/>
      <c r="AY582" s="1053"/>
      <c r="AZ582" s="1051"/>
      <c r="BA582" s="1051"/>
      <c r="BB582" s="1053"/>
      <c r="BC582" s="1051"/>
      <c r="BD582" s="1051"/>
      <c r="BE582" s="1053"/>
      <c r="BF582" s="1051"/>
      <c r="BG582" s="1051"/>
      <c r="BH582" s="1053"/>
      <c r="BI582" s="1052"/>
      <c r="BJ582" s="1052"/>
      <c r="BK582" s="1052"/>
      <c r="BL582" s="1052"/>
      <c r="BM582" s="1052"/>
      <c r="BN582" s="1054"/>
      <c r="BO582" s="1076">
        <f t="shared" si="20"/>
        <v>0</v>
      </c>
      <c r="BP582" s="1051"/>
      <c r="BQ582" s="1052"/>
      <c r="BR582" s="1054"/>
      <c r="BS582" s="1053"/>
      <c r="BT582" s="1051"/>
      <c r="BU582" s="1051"/>
      <c r="BV582" s="1051"/>
      <c r="BW582" s="1052"/>
      <c r="BX582" s="1052"/>
      <c r="BY582" s="1052"/>
      <c r="BZ582" s="1052"/>
      <c r="CA582" s="1052"/>
      <c r="CB582" s="1053"/>
      <c r="CC582" s="1053"/>
      <c r="CD582" s="1053"/>
      <c r="CE582" s="1053"/>
      <c r="CF582" s="1053"/>
      <c r="CG582" s="1053"/>
      <c r="CH582" s="1053"/>
      <c r="CI582" s="1123"/>
      <c r="CJ582" s="1123"/>
      <c r="CK582" s="1123"/>
      <c r="CL582" s="1123"/>
      <c r="CM582" s="1123"/>
      <c r="CN582" s="1123"/>
      <c r="CO582" s="1123"/>
      <c r="CP582" s="1123"/>
      <c r="CQ582" s="1123"/>
      <c r="CR582" s="1123"/>
      <c r="CS582" s="1123"/>
      <c r="CT582" s="1123"/>
      <c r="CU582" s="1123"/>
      <c r="CV582" s="1123"/>
      <c r="CW582" s="1123"/>
      <c r="CX582" s="1123"/>
      <c r="CY582" s="1123"/>
      <c r="CZ582" s="1114"/>
      <c r="DA582" s="1114"/>
      <c r="DB582" s="1114"/>
      <c r="DC582" s="1114"/>
      <c r="DD582" s="1114"/>
      <c r="DE582" s="1114"/>
      <c r="DF582" s="1114"/>
      <c r="DG582" s="1114"/>
      <c r="DH582" s="1114"/>
      <c r="DI582" s="1114"/>
      <c r="DJ582" s="1114"/>
      <c r="DK582" s="1114"/>
      <c r="DL582" s="1114"/>
      <c r="DM582" s="1114"/>
      <c r="DN582" s="1114"/>
      <c r="DO582" s="1114"/>
      <c r="DP582" s="1114"/>
      <c r="DQ582" s="1114"/>
      <c r="DR582" s="1114"/>
      <c r="DS582" s="1114"/>
      <c r="DT582" s="1114"/>
      <c r="DU582" s="1114"/>
      <c r="DV582" s="1115"/>
      <c r="DW582" s="1116"/>
      <c r="DX582" s="1116"/>
      <c r="DY582" s="1116"/>
      <c r="DZ582" s="1116"/>
      <c r="EA582" s="1116"/>
      <c r="EB582" s="1116"/>
      <c r="EC582" s="1116"/>
      <c r="ED582" s="1116"/>
      <c r="EE582" s="1116"/>
      <c r="EF582" s="1116"/>
      <c r="EG582" s="1116"/>
      <c r="EH582" s="1116"/>
      <c r="EI582" s="1116"/>
      <c r="EJ582" s="1116"/>
      <c r="EK582" s="1116"/>
      <c r="EL582" s="1116"/>
      <c r="EM582" s="1116"/>
      <c r="EN582" s="1116"/>
      <c r="EO582" s="1116"/>
      <c r="EP582" s="1116"/>
      <c r="EQ582" s="1116"/>
      <c r="ER582" s="1116"/>
      <c r="ES582" s="1116"/>
    </row>
    <row r="583" spans="1:149" ht="15" customHeight="1">
      <c r="A583" s="1185">
        <v>568</v>
      </c>
      <c r="B583" s="1041"/>
      <c r="C583" s="1050"/>
      <c r="D583" s="1050"/>
      <c r="E583" s="1050"/>
      <c r="F583" s="1049"/>
      <c r="G583" s="1457"/>
      <c r="H583" s="1049"/>
      <c r="I583" s="1049"/>
      <c r="J583" s="1050"/>
      <c r="K583" s="1050"/>
      <c r="L583" s="1043"/>
      <c r="M583" s="1051"/>
      <c r="N583" s="1051"/>
      <c r="O583" s="1052"/>
      <c r="P583" s="1051"/>
      <c r="Q583" s="1051"/>
      <c r="R583" s="1052"/>
      <c r="S583" s="1051"/>
      <c r="T583" s="1051"/>
      <c r="U583" s="1052"/>
      <c r="V583" s="1051"/>
      <c r="W583" s="1051"/>
      <c r="X583" s="1052"/>
      <c r="Y583" s="1053"/>
      <c r="Z583" s="1051"/>
      <c r="AA583" s="1051"/>
      <c r="AB583" s="1052"/>
      <c r="AC583" s="1051"/>
      <c r="AD583" s="1051"/>
      <c r="AE583" s="1052"/>
      <c r="AF583" s="1051"/>
      <c r="AG583" s="1051"/>
      <c r="AH583" s="1051"/>
      <c r="AI583" s="1051"/>
      <c r="AJ583" s="1052"/>
      <c r="AK583" s="1051"/>
      <c r="AL583" s="1051"/>
      <c r="AM583" s="1052"/>
      <c r="AN583" s="1051"/>
      <c r="AO583" s="1051"/>
      <c r="AP583" s="1052"/>
      <c r="AQ583" s="1051"/>
      <c r="AR583" s="1051"/>
      <c r="AS583" s="1052"/>
      <c r="AT583" s="1051"/>
      <c r="AU583" s="1051"/>
      <c r="AV583" s="1052"/>
      <c r="AW583" s="1051"/>
      <c r="AX583" s="1051"/>
      <c r="AY583" s="1053"/>
      <c r="AZ583" s="1051"/>
      <c r="BA583" s="1051"/>
      <c r="BB583" s="1053"/>
      <c r="BC583" s="1051"/>
      <c r="BD583" s="1051"/>
      <c r="BE583" s="1053"/>
      <c r="BF583" s="1051"/>
      <c r="BG583" s="1051"/>
      <c r="BH583" s="1053"/>
      <c r="BI583" s="1052"/>
      <c r="BJ583" s="1052"/>
      <c r="BK583" s="1052"/>
      <c r="BL583" s="1052"/>
      <c r="BM583" s="1052"/>
      <c r="BN583" s="1054"/>
      <c r="BO583" s="1076">
        <f t="shared" si="20"/>
        <v>0</v>
      </c>
      <c r="BP583" s="1051"/>
      <c r="BQ583" s="1052"/>
      <c r="BR583" s="1054"/>
      <c r="BS583" s="1053"/>
      <c r="BT583" s="1051"/>
      <c r="BU583" s="1051"/>
      <c r="BV583" s="1051"/>
      <c r="BW583" s="1052"/>
      <c r="BX583" s="1052"/>
      <c r="BY583" s="1052"/>
      <c r="BZ583" s="1052"/>
      <c r="CA583" s="1052"/>
      <c r="CB583" s="1053"/>
      <c r="CC583" s="1053"/>
      <c r="CD583" s="1053"/>
      <c r="CE583" s="1053"/>
      <c r="CF583" s="1053"/>
      <c r="CG583" s="1053"/>
      <c r="CH583" s="1053"/>
      <c r="CI583" s="1123"/>
      <c r="CJ583" s="1123"/>
      <c r="CK583" s="1123"/>
      <c r="CL583" s="1123"/>
      <c r="CM583" s="1123"/>
      <c r="CN583" s="1123"/>
      <c r="CO583" s="1123"/>
      <c r="CP583" s="1123"/>
      <c r="CQ583" s="1123"/>
      <c r="CR583" s="1123"/>
      <c r="CS583" s="1123"/>
      <c r="CT583" s="1123"/>
      <c r="CU583" s="1123"/>
      <c r="CV583" s="1123"/>
      <c r="CW583" s="1123"/>
      <c r="CX583" s="1123"/>
      <c r="CY583" s="1123"/>
      <c r="CZ583" s="1114"/>
      <c r="DA583" s="1114"/>
      <c r="DB583" s="1114"/>
      <c r="DC583" s="1114"/>
      <c r="DD583" s="1114"/>
      <c r="DE583" s="1114"/>
      <c r="DF583" s="1114"/>
      <c r="DG583" s="1114"/>
      <c r="DH583" s="1114"/>
      <c r="DI583" s="1114"/>
      <c r="DJ583" s="1114"/>
      <c r="DK583" s="1114"/>
      <c r="DL583" s="1114"/>
      <c r="DM583" s="1114"/>
      <c r="DN583" s="1114"/>
      <c r="DO583" s="1114"/>
      <c r="DP583" s="1114"/>
      <c r="DQ583" s="1114"/>
      <c r="DR583" s="1114"/>
      <c r="DS583" s="1114"/>
      <c r="DT583" s="1114"/>
      <c r="DU583" s="1114"/>
      <c r="DV583" s="1115"/>
      <c r="DW583" s="1116"/>
      <c r="DX583" s="1116"/>
      <c r="DY583" s="1116"/>
      <c r="DZ583" s="1116"/>
      <c r="EA583" s="1116"/>
      <c r="EB583" s="1116"/>
      <c r="EC583" s="1116"/>
      <c r="ED583" s="1116"/>
      <c r="EE583" s="1116"/>
      <c r="EF583" s="1116"/>
      <c r="EG583" s="1116"/>
      <c r="EH583" s="1116"/>
      <c r="EI583" s="1116"/>
      <c r="EJ583" s="1116"/>
      <c r="EK583" s="1116"/>
      <c r="EL583" s="1116"/>
      <c r="EM583" s="1116"/>
      <c r="EN583" s="1116"/>
      <c r="EO583" s="1116"/>
      <c r="EP583" s="1116"/>
      <c r="EQ583" s="1116"/>
      <c r="ER583" s="1116"/>
      <c r="ES583" s="1116"/>
    </row>
    <row r="584" spans="1:149" ht="15" customHeight="1">
      <c r="A584" s="1185">
        <v>569</v>
      </c>
      <c r="B584" s="1041"/>
      <c r="C584" s="1050"/>
      <c r="D584" s="1050"/>
      <c r="E584" s="1050"/>
      <c r="F584" s="1049"/>
      <c r="G584" s="1457"/>
      <c r="H584" s="1049"/>
      <c r="I584" s="1049"/>
      <c r="J584" s="1050"/>
      <c r="K584" s="1050"/>
      <c r="L584" s="1043"/>
      <c r="M584" s="1051"/>
      <c r="N584" s="1051"/>
      <c r="O584" s="1052"/>
      <c r="P584" s="1051"/>
      <c r="Q584" s="1051"/>
      <c r="R584" s="1052"/>
      <c r="S584" s="1051"/>
      <c r="T584" s="1051"/>
      <c r="U584" s="1052"/>
      <c r="V584" s="1051"/>
      <c r="W584" s="1051"/>
      <c r="X584" s="1052"/>
      <c r="Y584" s="1053"/>
      <c r="Z584" s="1051"/>
      <c r="AA584" s="1051"/>
      <c r="AB584" s="1052"/>
      <c r="AC584" s="1051"/>
      <c r="AD584" s="1051"/>
      <c r="AE584" s="1052"/>
      <c r="AF584" s="1051"/>
      <c r="AG584" s="1051"/>
      <c r="AH584" s="1051"/>
      <c r="AI584" s="1051"/>
      <c r="AJ584" s="1052"/>
      <c r="AK584" s="1051"/>
      <c r="AL584" s="1051"/>
      <c r="AM584" s="1052"/>
      <c r="AN584" s="1051"/>
      <c r="AO584" s="1051"/>
      <c r="AP584" s="1052"/>
      <c r="AQ584" s="1051"/>
      <c r="AR584" s="1051"/>
      <c r="AS584" s="1052"/>
      <c r="AT584" s="1051"/>
      <c r="AU584" s="1051"/>
      <c r="AV584" s="1052"/>
      <c r="AW584" s="1051"/>
      <c r="AX584" s="1051"/>
      <c r="AY584" s="1053"/>
      <c r="AZ584" s="1051"/>
      <c r="BA584" s="1051"/>
      <c r="BB584" s="1053"/>
      <c r="BC584" s="1051"/>
      <c r="BD584" s="1051"/>
      <c r="BE584" s="1053"/>
      <c r="BF584" s="1051"/>
      <c r="BG584" s="1051"/>
      <c r="BH584" s="1053"/>
      <c r="BI584" s="1052"/>
      <c r="BJ584" s="1052"/>
      <c r="BK584" s="1052"/>
      <c r="BL584" s="1052"/>
      <c r="BM584" s="1052"/>
      <c r="BN584" s="1054"/>
      <c r="BO584" s="1076">
        <f t="shared" si="20"/>
        <v>0</v>
      </c>
      <c r="BP584" s="1051"/>
      <c r="BQ584" s="1052"/>
      <c r="BR584" s="1054"/>
      <c r="BS584" s="1053"/>
      <c r="BT584" s="1051"/>
      <c r="BU584" s="1051"/>
      <c r="BV584" s="1051"/>
      <c r="BW584" s="1052"/>
      <c r="BX584" s="1052"/>
      <c r="BY584" s="1052"/>
      <c r="BZ584" s="1052"/>
      <c r="CA584" s="1052"/>
      <c r="CB584" s="1053"/>
      <c r="CC584" s="1053"/>
      <c r="CD584" s="1053"/>
      <c r="CE584" s="1053"/>
      <c r="CF584" s="1053"/>
      <c r="CG584" s="1053"/>
      <c r="CH584" s="1053"/>
      <c r="CI584" s="1123"/>
      <c r="CJ584" s="1123"/>
      <c r="CK584" s="1123"/>
      <c r="CL584" s="1123"/>
      <c r="CM584" s="1123"/>
      <c r="CN584" s="1123"/>
      <c r="CO584" s="1123"/>
      <c r="CP584" s="1123"/>
      <c r="CQ584" s="1123"/>
      <c r="CR584" s="1123"/>
      <c r="CS584" s="1123"/>
      <c r="CT584" s="1123"/>
      <c r="CU584" s="1123"/>
      <c r="CV584" s="1123"/>
      <c r="CW584" s="1123"/>
      <c r="CX584" s="1123"/>
      <c r="CY584" s="1123"/>
      <c r="CZ584" s="1114"/>
      <c r="DA584" s="1114"/>
      <c r="DB584" s="1114"/>
      <c r="DC584" s="1114"/>
      <c r="DD584" s="1114"/>
      <c r="DE584" s="1114"/>
      <c r="DF584" s="1114"/>
      <c r="DG584" s="1114"/>
      <c r="DH584" s="1114"/>
      <c r="DI584" s="1114"/>
      <c r="DJ584" s="1114"/>
      <c r="DK584" s="1114"/>
      <c r="DL584" s="1114"/>
      <c r="DM584" s="1114"/>
      <c r="DN584" s="1114"/>
      <c r="DO584" s="1114"/>
      <c r="DP584" s="1114"/>
      <c r="DQ584" s="1114"/>
      <c r="DR584" s="1114"/>
      <c r="DS584" s="1114"/>
      <c r="DT584" s="1114"/>
      <c r="DU584" s="1114"/>
      <c r="DV584" s="1115"/>
      <c r="DW584" s="1116"/>
      <c r="DX584" s="1116"/>
      <c r="DY584" s="1116"/>
      <c r="DZ584" s="1116"/>
      <c r="EA584" s="1116"/>
      <c r="EB584" s="1116"/>
      <c r="EC584" s="1116"/>
      <c r="ED584" s="1116"/>
      <c r="EE584" s="1116"/>
      <c r="EF584" s="1116"/>
      <c r="EG584" s="1116"/>
      <c r="EH584" s="1116"/>
      <c r="EI584" s="1116"/>
      <c r="EJ584" s="1116"/>
      <c r="EK584" s="1116"/>
      <c r="EL584" s="1116"/>
      <c r="EM584" s="1116"/>
      <c r="EN584" s="1116"/>
      <c r="EO584" s="1116"/>
      <c r="EP584" s="1116"/>
      <c r="EQ584" s="1116"/>
      <c r="ER584" s="1116"/>
      <c r="ES584" s="1116"/>
    </row>
    <row r="585" spans="1:149" ht="15" customHeight="1">
      <c r="A585" s="1185">
        <v>570</v>
      </c>
      <c r="B585" s="1041"/>
      <c r="C585" s="1050"/>
      <c r="D585" s="1050"/>
      <c r="E585" s="1050"/>
      <c r="F585" s="1049"/>
      <c r="G585" s="1457"/>
      <c r="H585" s="1049"/>
      <c r="I585" s="1049"/>
      <c r="J585" s="1050"/>
      <c r="K585" s="1050"/>
      <c r="L585" s="1043"/>
      <c r="M585" s="1051"/>
      <c r="N585" s="1051"/>
      <c r="O585" s="1052"/>
      <c r="P585" s="1051"/>
      <c r="Q585" s="1051"/>
      <c r="R585" s="1052"/>
      <c r="S585" s="1051"/>
      <c r="T585" s="1051"/>
      <c r="U585" s="1052"/>
      <c r="V585" s="1051"/>
      <c r="W585" s="1051"/>
      <c r="X585" s="1052"/>
      <c r="Y585" s="1053"/>
      <c r="Z585" s="1051"/>
      <c r="AA585" s="1051"/>
      <c r="AB585" s="1052"/>
      <c r="AC585" s="1051"/>
      <c r="AD585" s="1051"/>
      <c r="AE585" s="1052"/>
      <c r="AF585" s="1051"/>
      <c r="AG585" s="1051"/>
      <c r="AH585" s="1051"/>
      <c r="AI585" s="1051"/>
      <c r="AJ585" s="1052"/>
      <c r="AK585" s="1051"/>
      <c r="AL585" s="1051"/>
      <c r="AM585" s="1052"/>
      <c r="AN585" s="1051"/>
      <c r="AO585" s="1051"/>
      <c r="AP585" s="1052"/>
      <c r="AQ585" s="1051"/>
      <c r="AR585" s="1051"/>
      <c r="AS585" s="1052"/>
      <c r="AT585" s="1051"/>
      <c r="AU585" s="1051"/>
      <c r="AV585" s="1052"/>
      <c r="AW585" s="1051"/>
      <c r="AX585" s="1051"/>
      <c r="AY585" s="1053"/>
      <c r="AZ585" s="1051"/>
      <c r="BA585" s="1051"/>
      <c r="BB585" s="1053"/>
      <c r="BC585" s="1051"/>
      <c r="BD585" s="1051"/>
      <c r="BE585" s="1053"/>
      <c r="BF585" s="1051"/>
      <c r="BG585" s="1051"/>
      <c r="BH585" s="1053"/>
      <c r="BI585" s="1052"/>
      <c r="BJ585" s="1052"/>
      <c r="BK585" s="1052"/>
      <c r="BL585" s="1052"/>
      <c r="BM585" s="1052"/>
      <c r="BN585" s="1054"/>
      <c r="BO585" s="1076">
        <f t="shared" si="20"/>
        <v>0</v>
      </c>
      <c r="BP585" s="1051"/>
      <c r="BQ585" s="1052"/>
      <c r="BR585" s="1054"/>
      <c r="BS585" s="1053"/>
      <c r="BT585" s="1051"/>
      <c r="BU585" s="1051"/>
      <c r="BV585" s="1051"/>
      <c r="BW585" s="1052"/>
      <c r="BX585" s="1052"/>
      <c r="BY585" s="1052"/>
      <c r="BZ585" s="1052"/>
      <c r="CA585" s="1052"/>
      <c r="CB585" s="1053"/>
      <c r="CC585" s="1053"/>
      <c r="CD585" s="1053"/>
      <c r="CE585" s="1053"/>
      <c r="CF585" s="1053"/>
      <c r="CG585" s="1053"/>
      <c r="CH585" s="1053"/>
      <c r="CI585" s="1123"/>
      <c r="CJ585" s="1123"/>
      <c r="CK585" s="1123"/>
      <c r="CL585" s="1123"/>
      <c r="CM585" s="1123"/>
      <c r="CN585" s="1123"/>
      <c r="CO585" s="1123"/>
      <c r="CP585" s="1123"/>
      <c r="CQ585" s="1123"/>
      <c r="CR585" s="1123"/>
      <c r="CS585" s="1123"/>
      <c r="CT585" s="1123"/>
      <c r="CU585" s="1123"/>
      <c r="CV585" s="1123"/>
      <c r="CW585" s="1123"/>
      <c r="CX585" s="1123"/>
      <c r="CY585" s="1123"/>
      <c r="CZ585" s="1114"/>
      <c r="DA585" s="1114"/>
      <c r="DB585" s="1114"/>
      <c r="DC585" s="1114"/>
      <c r="DD585" s="1114"/>
      <c r="DE585" s="1114"/>
      <c r="DF585" s="1114"/>
      <c r="DG585" s="1114"/>
      <c r="DH585" s="1114"/>
      <c r="DI585" s="1114"/>
      <c r="DJ585" s="1114"/>
      <c r="DK585" s="1114"/>
      <c r="DL585" s="1114"/>
      <c r="DM585" s="1114"/>
      <c r="DN585" s="1114"/>
      <c r="DO585" s="1114"/>
      <c r="DP585" s="1114"/>
      <c r="DQ585" s="1114"/>
      <c r="DR585" s="1114"/>
      <c r="DS585" s="1114"/>
      <c r="DT585" s="1114"/>
      <c r="DU585" s="1114"/>
      <c r="DV585" s="1115"/>
      <c r="DW585" s="1116"/>
      <c r="DX585" s="1116"/>
      <c r="DY585" s="1116"/>
      <c r="DZ585" s="1116"/>
      <c r="EA585" s="1116"/>
      <c r="EB585" s="1116"/>
      <c r="EC585" s="1116"/>
      <c r="ED585" s="1116"/>
      <c r="EE585" s="1116"/>
      <c r="EF585" s="1116"/>
      <c r="EG585" s="1116"/>
      <c r="EH585" s="1116"/>
      <c r="EI585" s="1116"/>
      <c r="EJ585" s="1116"/>
      <c r="EK585" s="1116"/>
      <c r="EL585" s="1116"/>
      <c r="EM585" s="1116"/>
      <c r="EN585" s="1116"/>
      <c r="EO585" s="1116"/>
      <c r="EP585" s="1116"/>
      <c r="EQ585" s="1116"/>
      <c r="ER585" s="1116"/>
      <c r="ES585" s="1116"/>
    </row>
    <row r="586" spans="1:149" ht="15" customHeight="1">
      <c r="A586" s="1185">
        <v>571</v>
      </c>
      <c r="B586" s="1041"/>
      <c r="C586" s="1050"/>
      <c r="D586" s="1050"/>
      <c r="E586" s="1050"/>
      <c r="F586" s="1049"/>
      <c r="G586" s="1457"/>
      <c r="H586" s="1049"/>
      <c r="I586" s="1049"/>
      <c r="J586" s="1050"/>
      <c r="K586" s="1050"/>
      <c r="L586" s="1043"/>
      <c r="M586" s="1051"/>
      <c r="N586" s="1051"/>
      <c r="O586" s="1052"/>
      <c r="P586" s="1051"/>
      <c r="Q586" s="1051"/>
      <c r="R586" s="1052"/>
      <c r="S586" s="1051"/>
      <c r="T586" s="1051"/>
      <c r="U586" s="1052"/>
      <c r="V586" s="1051"/>
      <c r="W586" s="1051"/>
      <c r="X586" s="1052"/>
      <c r="Y586" s="1053"/>
      <c r="Z586" s="1051"/>
      <c r="AA586" s="1051"/>
      <c r="AB586" s="1052"/>
      <c r="AC586" s="1051"/>
      <c r="AD586" s="1051"/>
      <c r="AE586" s="1052"/>
      <c r="AF586" s="1051"/>
      <c r="AG586" s="1051"/>
      <c r="AH586" s="1051"/>
      <c r="AI586" s="1051"/>
      <c r="AJ586" s="1052"/>
      <c r="AK586" s="1051"/>
      <c r="AL586" s="1051"/>
      <c r="AM586" s="1052"/>
      <c r="AN586" s="1051"/>
      <c r="AO586" s="1051"/>
      <c r="AP586" s="1052"/>
      <c r="AQ586" s="1051"/>
      <c r="AR586" s="1051"/>
      <c r="AS586" s="1052"/>
      <c r="AT586" s="1051"/>
      <c r="AU586" s="1051"/>
      <c r="AV586" s="1052"/>
      <c r="AW586" s="1051"/>
      <c r="AX586" s="1051"/>
      <c r="AY586" s="1053"/>
      <c r="AZ586" s="1051"/>
      <c r="BA586" s="1051"/>
      <c r="BB586" s="1053"/>
      <c r="BC586" s="1051"/>
      <c r="BD586" s="1051"/>
      <c r="BE586" s="1053"/>
      <c r="BF586" s="1051"/>
      <c r="BG586" s="1051"/>
      <c r="BH586" s="1053"/>
      <c r="BI586" s="1052"/>
      <c r="BJ586" s="1052"/>
      <c r="BK586" s="1052"/>
      <c r="BL586" s="1052"/>
      <c r="BM586" s="1052"/>
      <c r="BN586" s="1054"/>
      <c r="BO586" s="1076">
        <f t="shared" si="20"/>
        <v>0</v>
      </c>
      <c r="BP586" s="1051"/>
      <c r="BQ586" s="1052"/>
      <c r="BR586" s="1054"/>
      <c r="BS586" s="1053"/>
      <c r="BT586" s="1051"/>
      <c r="BU586" s="1051"/>
      <c r="BV586" s="1051"/>
      <c r="BW586" s="1052"/>
      <c r="BX586" s="1052"/>
      <c r="BY586" s="1052"/>
      <c r="BZ586" s="1052"/>
      <c r="CA586" s="1052"/>
      <c r="CB586" s="1053"/>
      <c r="CC586" s="1053"/>
      <c r="CD586" s="1053"/>
      <c r="CE586" s="1053"/>
      <c r="CF586" s="1053"/>
      <c r="CG586" s="1053"/>
      <c r="CH586" s="1053"/>
      <c r="CI586" s="1123"/>
      <c r="CJ586" s="1123"/>
      <c r="CK586" s="1123"/>
      <c r="CL586" s="1123"/>
      <c r="CM586" s="1123"/>
      <c r="CN586" s="1123"/>
      <c r="CO586" s="1123"/>
      <c r="CP586" s="1123"/>
      <c r="CQ586" s="1123"/>
      <c r="CR586" s="1123"/>
      <c r="CS586" s="1123"/>
      <c r="CT586" s="1123"/>
      <c r="CU586" s="1123"/>
      <c r="CV586" s="1123"/>
      <c r="CW586" s="1123"/>
      <c r="CX586" s="1123"/>
      <c r="CY586" s="1123"/>
      <c r="CZ586" s="1114"/>
      <c r="DA586" s="1114"/>
      <c r="DB586" s="1114"/>
      <c r="DC586" s="1114"/>
      <c r="DD586" s="1114"/>
      <c r="DE586" s="1114"/>
      <c r="DF586" s="1114"/>
      <c r="DG586" s="1114"/>
      <c r="DH586" s="1114"/>
      <c r="DI586" s="1114"/>
      <c r="DJ586" s="1114"/>
      <c r="DK586" s="1114"/>
      <c r="DL586" s="1114"/>
      <c r="DM586" s="1114"/>
      <c r="DN586" s="1114"/>
      <c r="DO586" s="1114"/>
      <c r="DP586" s="1114"/>
      <c r="DQ586" s="1114"/>
      <c r="DR586" s="1114"/>
      <c r="DS586" s="1114"/>
      <c r="DT586" s="1114"/>
      <c r="DU586" s="1114"/>
      <c r="DV586" s="1115"/>
      <c r="DW586" s="1116"/>
      <c r="DX586" s="1116"/>
      <c r="DY586" s="1116"/>
      <c r="DZ586" s="1116"/>
      <c r="EA586" s="1116"/>
      <c r="EB586" s="1116"/>
      <c r="EC586" s="1116"/>
      <c r="ED586" s="1116"/>
      <c r="EE586" s="1116"/>
      <c r="EF586" s="1116"/>
      <c r="EG586" s="1116"/>
      <c r="EH586" s="1116"/>
      <c r="EI586" s="1116"/>
      <c r="EJ586" s="1116"/>
      <c r="EK586" s="1116"/>
      <c r="EL586" s="1116"/>
      <c r="EM586" s="1116"/>
      <c r="EN586" s="1116"/>
      <c r="EO586" s="1116"/>
      <c r="EP586" s="1116"/>
      <c r="EQ586" s="1116"/>
      <c r="ER586" s="1116"/>
      <c r="ES586" s="1116"/>
    </row>
    <row r="587" spans="1:149" ht="15" customHeight="1">
      <c r="A587" s="1185">
        <v>572</v>
      </c>
      <c r="B587" s="1041"/>
      <c r="C587" s="1050"/>
      <c r="D587" s="1050"/>
      <c r="E587" s="1050"/>
      <c r="F587" s="1049"/>
      <c r="G587" s="1457"/>
      <c r="H587" s="1049"/>
      <c r="I587" s="1049"/>
      <c r="J587" s="1050"/>
      <c r="K587" s="1050"/>
      <c r="L587" s="1043"/>
      <c r="M587" s="1051"/>
      <c r="N587" s="1051"/>
      <c r="O587" s="1052"/>
      <c r="P587" s="1051"/>
      <c r="Q587" s="1051"/>
      <c r="R587" s="1052"/>
      <c r="S587" s="1051"/>
      <c r="T587" s="1051"/>
      <c r="U587" s="1052"/>
      <c r="V587" s="1051"/>
      <c r="W587" s="1051"/>
      <c r="X587" s="1052"/>
      <c r="Y587" s="1053"/>
      <c r="Z587" s="1051"/>
      <c r="AA587" s="1051"/>
      <c r="AB587" s="1052"/>
      <c r="AC587" s="1051"/>
      <c r="AD587" s="1051"/>
      <c r="AE587" s="1052"/>
      <c r="AF587" s="1051"/>
      <c r="AG587" s="1051"/>
      <c r="AH587" s="1051"/>
      <c r="AI587" s="1051"/>
      <c r="AJ587" s="1052"/>
      <c r="AK587" s="1051"/>
      <c r="AL587" s="1051"/>
      <c r="AM587" s="1052"/>
      <c r="AN587" s="1051"/>
      <c r="AO587" s="1051"/>
      <c r="AP587" s="1052"/>
      <c r="AQ587" s="1051"/>
      <c r="AR587" s="1051"/>
      <c r="AS587" s="1052"/>
      <c r="AT587" s="1051"/>
      <c r="AU587" s="1051"/>
      <c r="AV587" s="1052"/>
      <c r="AW587" s="1051"/>
      <c r="AX587" s="1051"/>
      <c r="AY587" s="1053"/>
      <c r="AZ587" s="1051"/>
      <c r="BA587" s="1051"/>
      <c r="BB587" s="1053"/>
      <c r="BC587" s="1051"/>
      <c r="BD587" s="1051"/>
      <c r="BE587" s="1053"/>
      <c r="BF587" s="1051"/>
      <c r="BG587" s="1051"/>
      <c r="BH587" s="1053"/>
      <c r="BI587" s="1052"/>
      <c r="BJ587" s="1052"/>
      <c r="BK587" s="1052"/>
      <c r="BL587" s="1052"/>
      <c r="BM587" s="1052"/>
      <c r="BN587" s="1054"/>
      <c r="BO587" s="1076">
        <f t="shared" si="20"/>
        <v>0</v>
      </c>
      <c r="BP587" s="1051"/>
      <c r="BQ587" s="1052"/>
      <c r="BR587" s="1054"/>
      <c r="BS587" s="1053"/>
      <c r="BT587" s="1051"/>
      <c r="BU587" s="1051"/>
      <c r="BV587" s="1051"/>
      <c r="BW587" s="1052"/>
      <c r="BX587" s="1052"/>
      <c r="BY587" s="1052"/>
      <c r="BZ587" s="1052"/>
      <c r="CA587" s="1052"/>
      <c r="CB587" s="1053"/>
      <c r="CC587" s="1053"/>
      <c r="CD587" s="1053"/>
      <c r="CE587" s="1053"/>
      <c r="CF587" s="1053"/>
      <c r="CG587" s="1053"/>
      <c r="CH587" s="1053"/>
      <c r="CI587" s="1123"/>
      <c r="CJ587" s="1123"/>
      <c r="CK587" s="1123"/>
      <c r="CL587" s="1123"/>
      <c r="CM587" s="1123"/>
      <c r="CN587" s="1123"/>
      <c r="CO587" s="1123"/>
      <c r="CP587" s="1123"/>
      <c r="CQ587" s="1123"/>
      <c r="CR587" s="1123"/>
      <c r="CS587" s="1123"/>
      <c r="CT587" s="1123"/>
      <c r="CU587" s="1123"/>
      <c r="CV587" s="1123"/>
      <c r="CW587" s="1123"/>
      <c r="CX587" s="1123"/>
      <c r="CY587" s="1123"/>
      <c r="CZ587" s="1114"/>
      <c r="DA587" s="1114"/>
      <c r="DB587" s="1114"/>
      <c r="DC587" s="1114"/>
      <c r="DD587" s="1114"/>
      <c r="DE587" s="1114"/>
      <c r="DF587" s="1114"/>
      <c r="DG587" s="1114"/>
      <c r="DH587" s="1114"/>
      <c r="DI587" s="1114"/>
      <c r="DJ587" s="1114"/>
      <c r="DK587" s="1114"/>
      <c r="DL587" s="1114"/>
      <c r="DM587" s="1114"/>
      <c r="DN587" s="1114"/>
      <c r="DO587" s="1114"/>
      <c r="DP587" s="1114"/>
      <c r="DQ587" s="1114"/>
      <c r="DR587" s="1114"/>
      <c r="DS587" s="1114"/>
      <c r="DT587" s="1114"/>
      <c r="DU587" s="1114"/>
      <c r="DV587" s="1115"/>
      <c r="DW587" s="1116"/>
      <c r="DX587" s="1116"/>
      <c r="DY587" s="1116"/>
      <c r="DZ587" s="1116"/>
      <c r="EA587" s="1116"/>
      <c r="EB587" s="1116"/>
      <c r="EC587" s="1116"/>
      <c r="ED587" s="1116"/>
      <c r="EE587" s="1116"/>
      <c r="EF587" s="1116"/>
      <c r="EG587" s="1116"/>
      <c r="EH587" s="1116"/>
      <c r="EI587" s="1116"/>
      <c r="EJ587" s="1116"/>
      <c r="EK587" s="1116"/>
      <c r="EL587" s="1116"/>
      <c r="EM587" s="1116"/>
      <c r="EN587" s="1116"/>
      <c r="EO587" s="1116"/>
      <c r="EP587" s="1116"/>
      <c r="EQ587" s="1116"/>
      <c r="ER587" s="1116"/>
      <c r="ES587" s="1116"/>
    </row>
    <row r="588" spans="1:149" ht="15" customHeight="1">
      <c r="A588" s="1185">
        <v>573</v>
      </c>
      <c r="B588" s="1041"/>
      <c r="C588" s="1050"/>
      <c r="D588" s="1050"/>
      <c r="E588" s="1050"/>
      <c r="F588" s="1049"/>
      <c r="G588" s="1457"/>
      <c r="H588" s="1049"/>
      <c r="I588" s="1049"/>
      <c r="J588" s="1050"/>
      <c r="K588" s="1050"/>
      <c r="L588" s="1043"/>
      <c r="M588" s="1051"/>
      <c r="N588" s="1051"/>
      <c r="O588" s="1052"/>
      <c r="P588" s="1051"/>
      <c r="Q588" s="1051"/>
      <c r="R588" s="1052"/>
      <c r="S588" s="1051"/>
      <c r="T588" s="1051"/>
      <c r="U588" s="1052"/>
      <c r="V588" s="1051"/>
      <c r="W588" s="1051"/>
      <c r="X588" s="1052"/>
      <c r="Y588" s="1053"/>
      <c r="Z588" s="1051"/>
      <c r="AA588" s="1051"/>
      <c r="AB588" s="1052"/>
      <c r="AC588" s="1051"/>
      <c r="AD588" s="1051"/>
      <c r="AE588" s="1052"/>
      <c r="AF588" s="1051"/>
      <c r="AG588" s="1051"/>
      <c r="AH588" s="1051"/>
      <c r="AI588" s="1051"/>
      <c r="AJ588" s="1052"/>
      <c r="AK588" s="1051"/>
      <c r="AL588" s="1051"/>
      <c r="AM588" s="1052"/>
      <c r="AN588" s="1051"/>
      <c r="AO588" s="1051"/>
      <c r="AP588" s="1052"/>
      <c r="AQ588" s="1051"/>
      <c r="AR588" s="1051"/>
      <c r="AS588" s="1052"/>
      <c r="AT588" s="1051"/>
      <c r="AU588" s="1051"/>
      <c r="AV588" s="1052"/>
      <c r="AW588" s="1051"/>
      <c r="AX588" s="1051"/>
      <c r="AY588" s="1053"/>
      <c r="AZ588" s="1051"/>
      <c r="BA588" s="1051"/>
      <c r="BB588" s="1053"/>
      <c r="BC588" s="1051"/>
      <c r="BD588" s="1051"/>
      <c r="BE588" s="1053"/>
      <c r="BF588" s="1051"/>
      <c r="BG588" s="1051"/>
      <c r="BH588" s="1053"/>
      <c r="BI588" s="1052"/>
      <c r="BJ588" s="1052"/>
      <c r="BK588" s="1052"/>
      <c r="BL588" s="1052"/>
      <c r="BM588" s="1052"/>
      <c r="BN588" s="1054"/>
      <c r="BO588" s="1076">
        <f t="shared" si="20"/>
        <v>0</v>
      </c>
      <c r="BP588" s="1051"/>
      <c r="BQ588" s="1052"/>
      <c r="BR588" s="1054"/>
      <c r="BS588" s="1053"/>
      <c r="BT588" s="1051"/>
      <c r="BU588" s="1051"/>
      <c r="BV588" s="1051"/>
      <c r="BW588" s="1052"/>
      <c r="BX588" s="1052"/>
      <c r="BY588" s="1052"/>
      <c r="BZ588" s="1052"/>
      <c r="CA588" s="1052"/>
      <c r="CB588" s="1053"/>
      <c r="CC588" s="1053"/>
      <c r="CD588" s="1053"/>
      <c r="CE588" s="1053"/>
      <c r="CF588" s="1053"/>
      <c r="CG588" s="1053"/>
      <c r="CH588" s="1053"/>
      <c r="CI588" s="1123"/>
      <c r="CJ588" s="1123"/>
      <c r="CK588" s="1123"/>
      <c r="CL588" s="1123"/>
      <c r="CM588" s="1123"/>
      <c r="CN588" s="1123"/>
      <c r="CO588" s="1123"/>
      <c r="CP588" s="1123"/>
      <c r="CQ588" s="1123"/>
      <c r="CR588" s="1123"/>
      <c r="CS588" s="1123"/>
      <c r="CT588" s="1123"/>
      <c r="CU588" s="1123"/>
      <c r="CV588" s="1123"/>
      <c r="CW588" s="1123"/>
      <c r="CX588" s="1123"/>
      <c r="CY588" s="1123"/>
      <c r="CZ588" s="1114"/>
      <c r="DA588" s="1114"/>
      <c r="DB588" s="1114"/>
      <c r="DC588" s="1114"/>
      <c r="DD588" s="1114"/>
      <c r="DE588" s="1114"/>
      <c r="DF588" s="1114"/>
      <c r="DG588" s="1114"/>
      <c r="DH588" s="1114"/>
      <c r="DI588" s="1114"/>
      <c r="DJ588" s="1114"/>
      <c r="DK588" s="1114"/>
      <c r="DL588" s="1114"/>
      <c r="DM588" s="1114"/>
      <c r="DN588" s="1114"/>
      <c r="DO588" s="1114"/>
      <c r="DP588" s="1114"/>
      <c r="DQ588" s="1114"/>
      <c r="DR588" s="1114"/>
      <c r="DS588" s="1114"/>
      <c r="DT588" s="1114"/>
      <c r="DU588" s="1114"/>
      <c r="DV588" s="1115"/>
      <c r="DW588" s="1116"/>
      <c r="DX588" s="1116"/>
      <c r="DY588" s="1116"/>
      <c r="DZ588" s="1116"/>
      <c r="EA588" s="1116"/>
      <c r="EB588" s="1116"/>
      <c r="EC588" s="1116"/>
      <c r="ED588" s="1116"/>
      <c r="EE588" s="1116"/>
      <c r="EF588" s="1116"/>
      <c r="EG588" s="1116"/>
      <c r="EH588" s="1116"/>
      <c r="EI588" s="1116"/>
      <c r="EJ588" s="1116"/>
      <c r="EK588" s="1116"/>
      <c r="EL588" s="1116"/>
      <c r="EM588" s="1116"/>
      <c r="EN588" s="1116"/>
      <c r="EO588" s="1116"/>
      <c r="EP588" s="1116"/>
      <c r="EQ588" s="1116"/>
      <c r="ER588" s="1116"/>
      <c r="ES588" s="1116"/>
    </row>
    <row r="589" spans="1:149" ht="15" customHeight="1">
      <c r="A589" s="1185">
        <v>574</v>
      </c>
      <c r="B589" s="1041"/>
      <c r="C589" s="1050"/>
      <c r="D589" s="1050"/>
      <c r="E589" s="1050"/>
      <c r="F589" s="1049"/>
      <c r="G589" s="1457"/>
      <c r="H589" s="1049"/>
      <c r="I589" s="1049"/>
      <c r="J589" s="1050"/>
      <c r="K589" s="1050"/>
      <c r="L589" s="1043"/>
      <c r="M589" s="1051"/>
      <c r="N589" s="1051"/>
      <c r="O589" s="1052"/>
      <c r="P589" s="1051"/>
      <c r="Q589" s="1051"/>
      <c r="R589" s="1052"/>
      <c r="S589" s="1051"/>
      <c r="T589" s="1051"/>
      <c r="U589" s="1052"/>
      <c r="V589" s="1051"/>
      <c r="W589" s="1051"/>
      <c r="X589" s="1052"/>
      <c r="Y589" s="1053"/>
      <c r="Z589" s="1051"/>
      <c r="AA589" s="1051"/>
      <c r="AB589" s="1052"/>
      <c r="AC589" s="1051"/>
      <c r="AD589" s="1051"/>
      <c r="AE589" s="1052"/>
      <c r="AF589" s="1051"/>
      <c r="AG589" s="1051"/>
      <c r="AH589" s="1051"/>
      <c r="AI589" s="1051"/>
      <c r="AJ589" s="1052"/>
      <c r="AK589" s="1051"/>
      <c r="AL589" s="1051"/>
      <c r="AM589" s="1052"/>
      <c r="AN589" s="1051"/>
      <c r="AO589" s="1051"/>
      <c r="AP589" s="1052"/>
      <c r="AQ589" s="1051"/>
      <c r="AR589" s="1051"/>
      <c r="AS589" s="1052"/>
      <c r="AT589" s="1051"/>
      <c r="AU589" s="1051"/>
      <c r="AV589" s="1052"/>
      <c r="AW589" s="1051"/>
      <c r="AX589" s="1051"/>
      <c r="AY589" s="1053"/>
      <c r="AZ589" s="1051"/>
      <c r="BA589" s="1051"/>
      <c r="BB589" s="1053"/>
      <c r="BC589" s="1051"/>
      <c r="BD589" s="1051"/>
      <c r="BE589" s="1053"/>
      <c r="BF589" s="1051"/>
      <c r="BG589" s="1051"/>
      <c r="BH589" s="1053"/>
      <c r="BI589" s="1052"/>
      <c r="BJ589" s="1052"/>
      <c r="BK589" s="1052"/>
      <c r="BL589" s="1052"/>
      <c r="BM589" s="1052"/>
      <c r="BN589" s="1054"/>
      <c r="BO589" s="1076">
        <f t="shared" si="20"/>
        <v>0</v>
      </c>
      <c r="BP589" s="1051"/>
      <c r="BQ589" s="1052"/>
      <c r="BR589" s="1054"/>
      <c r="BS589" s="1053"/>
      <c r="BT589" s="1051"/>
      <c r="BU589" s="1051"/>
      <c r="BV589" s="1051"/>
      <c r="BW589" s="1052"/>
      <c r="BX589" s="1052"/>
      <c r="BY589" s="1052"/>
      <c r="BZ589" s="1052"/>
      <c r="CA589" s="1052"/>
      <c r="CB589" s="1053"/>
      <c r="CC589" s="1053"/>
      <c r="CD589" s="1053"/>
      <c r="CE589" s="1053"/>
      <c r="CF589" s="1053"/>
      <c r="CG589" s="1053"/>
      <c r="CH589" s="1053"/>
      <c r="CI589" s="1123"/>
      <c r="CJ589" s="1123"/>
      <c r="CK589" s="1123"/>
      <c r="CL589" s="1123"/>
      <c r="CM589" s="1123"/>
      <c r="CN589" s="1123"/>
      <c r="CO589" s="1123"/>
      <c r="CP589" s="1123"/>
      <c r="CQ589" s="1123"/>
      <c r="CR589" s="1123"/>
      <c r="CS589" s="1123"/>
      <c r="CT589" s="1123"/>
      <c r="CU589" s="1123"/>
      <c r="CV589" s="1123"/>
      <c r="CW589" s="1123"/>
      <c r="CX589" s="1123"/>
      <c r="CY589" s="1123"/>
      <c r="CZ589" s="1114"/>
      <c r="DA589" s="1114"/>
      <c r="DB589" s="1114"/>
      <c r="DC589" s="1114"/>
      <c r="DD589" s="1114"/>
      <c r="DE589" s="1114"/>
      <c r="DF589" s="1114"/>
      <c r="DG589" s="1114"/>
      <c r="DH589" s="1114"/>
      <c r="DI589" s="1114"/>
      <c r="DJ589" s="1114"/>
      <c r="DK589" s="1114"/>
      <c r="DL589" s="1114"/>
      <c r="DM589" s="1114"/>
      <c r="DN589" s="1114"/>
      <c r="DO589" s="1114"/>
      <c r="DP589" s="1114"/>
      <c r="DQ589" s="1114"/>
      <c r="DR589" s="1114"/>
      <c r="DS589" s="1114"/>
      <c r="DT589" s="1114"/>
      <c r="DU589" s="1114"/>
      <c r="DV589" s="1115"/>
      <c r="DW589" s="1116"/>
      <c r="DX589" s="1116"/>
      <c r="DY589" s="1116"/>
      <c r="DZ589" s="1116"/>
      <c r="EA589" s="1116"/>
      <c r="EB589" s="1116"/>
      <c r="EC589" s="1116"/>
      <c r="ED589" s="1116"/>
      <c r="EE589" s="1116"/>
      <c r="EF589" s="1116"/>
      <c r="EG589" s="1116"/>
      <c r="EH589" s="1116"/>
      <c r="EI589" s="1116"/>
      <c r="EJ589" s="1116"/>
      <c r="EK589" s="1116"/>
      <c r="EL589" s="1116"/>
      <c r="EM589" s="1116"/>
      <c r="EN589" s="1116"/>
      <c r="EO589" s="1116"/>
      <c r="EP589" s="1116"/>
      <c r="EQ589" s="1116"/>
      <c r="ER589" s="1116"/>
      <c r="ES589" s="1116"/>
    </row>
    <row r="590" spans="1:149" ht="15" customHeight="1">
      <c r="A590" s="1185">
        <v>575</v>
      </c>
      <c r="B590" s="1041"/>
      <c r="C590" s="1050"/>
      <c r="D590" s="1050"/>
      <c r="E590" s="1050"/>
      <c r="F590" s="1049"/>
      <c r="G590" s="1457"/>
      <c r="H590" s="1049"/>
      <c r="I590" s="1049"/>
      <c r="J590" s="1050"/>
      <c r="K590" s="1050"/>
      <c r="L590" s="1043"/>
      <c r="M590" s="1051"/>
      <c r="N590" s="1051"/>
      <c r="O590" s="1052"/>
      <c r="P590" s="1051"/>
      <c r="Q590" s="1051"/>
      <c r="R590" s="1052"/>
      <c r="S590" s="1051"/>
      <c r="T590" s="1051"/>
      <c r="U590" s="1052"/>
      <c r="V590" s="1051"/>
      <c r="W590" s="1051"/>
      <c r="X590" s="1052"/>
      <c r="Y590" s="1053"/>
      <c r="Z590" s="1051"/>
      <c r="AA590" s="1051"/>
      <c r="AB590" s="1052"/>
      <c r="AC590" s="1051"/>
      <c r="AD590" s="1051"/>
      <c r="AE590" s="1052"/>
      <c r="AF590" s="1051"/>
      <c r="AG590" s="1051"/>
      <c r="AH590" s="1051"/>
      <c r="AI590" s="1051"/>
      <c r="AJ590" s="1052"/>
      <c r="AK590" s="1051"/>
      <c r="AL590" s="1051"/>
      <c r="AM590" s="1052"/>
      <c r="AN590" s="1051"/>
      <c r="AO590" s="1051"/>
      <c r="AP590" s="1052"/>
      <c r="AQ590" s="1051"/>
      <c r="AR590" s="1051"/>
      <c r="AS590" s="1052"/>
      <c r="AT590" s="1051"/>
      <c r="AU590" s="1051"/>
      <c r="AV590" s="1052"/>
      <c r="AW590" s="1051"/>
      <c r="AX590" s="1051"/>
      <c r="AY590" s="1053"/>
      <c r="AZ590" s="1051"/>
      <c r="BA590" s="1051"/>
      <c r="BB590" s="1053"/>
      <c r="BC590" s="1051"/>
      <c r="BD590" s="1051"/>
      <c r="BE590" s="1053"/>
      <c r="BF590" s="1051"/>
      <c r="BG590" s="1051"/>
      <c r="BH590" s="1053"/>
      <c r="BI590" s="1052"/>
      <c r="BJ590" s="1052"/>
      <c r="BK590" s="1052"/>
      <c r="BL590" s="1052"/>
      <c r="BM590" s="1052"/>
      <c r="BN590" s="1054"/>
      <c r="BO590" s="1076">
        <f t="shared" si="20"/>
        <v>0</v>
      </c>
      <c r="BP590" s="1051"/>
      <c r="BQ590" s="1052"/>
      <c r="BR590" s="1054"/>
      <c r="BS590" s="1053"/>
      <c r="BT590" s="1051"/>
      <c r="BU590" s="1051"/>
      <c r="BV590" s="1051"/>
      <c r="BW590" s="1052"/>
      <c r="BX590" s="1052"/>
      <c r="BY590" s="1052"/>
      <c r="BZ590" s="1052"/>
      <c r="CA590" s="1052"/>
      <c r="CB590" s="1053"/>
      <c r="CC590" s="1053"/>
      <c r="CD590" s="1053"/>
      <c r="CE590" s="1053"/>
      <c r="CF590" s="1053"/>
      <c r="CG590" s="1053"/>
      <c r="CH590" s="1053"/>
      <c r="CI590" s="1123"/>
      <c r="CJ590" s="1123"/>
      <c r="CK590" s="1123"/>
      <c r="CL590" s="1123"/>
      <c r="CM590" s="1123"/>
      <c r="CN590" s="1123"/>
      <c r="CO590" s="1123"/>
      <c r="CP590" s="1123"/>
      <c r="CQ590" s="1123"/>
      <c r="CR590" s="1123"/>
      <c r="CS590" s="1123"/>
      <c r="CT590" s="1123"/>
      <c r="CU590" s="1123"/>
      <c r="CV590" s="1123"/>
      <c r="CW590" s="1123"/>
      <c r="CX590" s="1123"/>
      <c r="CY590" s="1123"/>
      <c r="CZ590" s="1114"/>
      <c r="DA590" s="1114"/>
      <c r="DB590" s="1114"/>
      <c r="DC590" s="1114"/>
      <c r="DD590" s="1114"/>
      <c r="DE590" s="1114"/>
      <c r="DF590" s="1114"/>
      <c r="DG590" s="1114"/>
      <c r="DH590" s="1114"/>
      <c r="DI590" s="1114"/>
      <c r="DJ590" s="1114"/>
      <c r="DK590" s="1114"/>
      <c r="DL590" s="1114"/>
      <c r="DM590" s="1114"/>
      <c r="DN590" s="1114"/>
      <c r="DO590" s="1114"/>
      <c r="DP590" s="1114"/>
      <c r="DQ590" s="1114"/>
      <c r="DR590" s="1114"/>
      <c r="DS590" s="1114"/>
      <c r="DT590" s="1114"/>
      <c r="DU590" s="1114"/>
      <c r="DV590" s="1115"/>
      <c r="DW590" s="1116"/>
      <c r="DX590" s="1116"/>
      <c r="DY590" s="1116"/>
      <c r="DZ590" s="1116"/>
      <c r="EA590" s="1116"/>
      <c r="EB590" s="1116"/>
      <c r="EC590" s="1116"/>
      <c r="ED590" s="1116"/>
      <c r="EE590" s="1116"/>
      <c r="EF590" s="1116"/>
      <c r="EG590" s="1116"/>
      <c r="EH590" s="1116"/>
      <c r="EI590" s="1116"/>
      <c r="EJ590" s="1116"/>
      <c r="EK590" s="1116"/>
      <c r="EL590" s="1116"/>
      <c r="EM590" s="1116"/>
      <c r="EN590" s="1116"/>
      <c r="EO590" s="1116"/>
      <c r="EP590" s="1116"/>
      <c r="EQ590" s="1116"/>
      <c r="ER590" s="1116"/>
      <c r="ES590" s="1116"/>
    </row>
    <row r="591" spans="1:149" ht="15" customHeight="1">
      <c r="A591" s="1185">
        <v>576</v>
      </c>
      <c r="B591" s="1041"/>
      <c r="C591" s="1050"/>
      <c r="D591" s="1050"/>
      <c r="E591" s="1050"/>
      <c r="F591" s="1049"/>
      <c r="G591" s="1457"/>
      <c r="H591" s="1049"/>
      <c r="I591" s="1049"/>
      <c r="J591" s="1050"/>
      <c r="K591" s="1050"/>
      <c r="L591" s="1043"/>
      <c r="M591" s="1051"/>
      <c r="N591" s="1051"/>
      <c r="O591" s="1052"/>
      <c r="P591" s="1051"/>
      <c r="Q591" s="1051"/>
      <c r="R591" s="1052"/>
      <c r="S591" s="1051"/>
      <c r="T591" s="1051"/>
      <c r="U591" s="1052"/>
      <c r="V591" s="1051"/>
      <c r="W591" s="1051"/>
      <c r="X591" s="1052"/>
      <c r="Y591" s="1053"/>
      <c r="Z591" s="1051"/>
      <c r="AA591" s="1051"/>
      <c r="AB591" s="1052"/>
      <c r="AC591" s="1051"/>
      <c r="AD591" s="1051"/>
      <c r="AE591" s="1052"/>
      <c r="AF591" s="1051"/>
      <c r="AG591" s="1051"/>
      <c r="AH591" s="1051"/>
      <c r="AI591" s="1051"/>
      <c r="AJ591" s="1052"/>
      <c r="AK591" s="1051"/>
      <c r="AL591" s="1051"/>
      <c r="AM591" s="1052"/>
      <c r="AN591" s="1051"/>
      <c r="AO591" s="1051"/>
      <c r="AP591" s="1052"/>
      <c r="AQ591" s="1051"/>
      <c r="AR591" s="1051"/>
      <c r="AS591" s="1052"/>
      <c r="AT591" s="1051"/>
      <c r="AU591" s="1051"/>
      <c r="AV591" s="1052"/>
      <c r="AW591" s="1051"/>
      <c r="AX591" s="1051"/>
      <c r="AY591" s="1053"/>
      <c r="AZ591" s="1051"/>
      <c r="BA591" s="1051"/>
      <c r="BB591" s="1053"/>
      <c r="BC591" s="1051"/>
      <c r="BD591" s="1051"/>
      <c r="BE591" s="1053"/>
      <c r="BF591" s="1051"/>
      <c r="BG591" s="1051"/>
      <c r="BH591" s="1053"/>
      <c r="BI591" s="1052"/>
      <c r="BJ591" s="1052"/>
      <c r="BK591" s="1052"/>
      <c r="BL591" s="1052"/>
      <c r="BM591" s="1052"/>
      <c r="BN591" s="1054"/>
      <c r="BO591" s="1076">
        <f t="shared" si="20"/>
        <v>0</v>
      </c>
      <c r="BP591" s="1051"/>
      <c r="BQ591" s="1052"/>
      <c r="BR591" s="1054"/>
      <c r="BS591" s="1053"/>
      <c r="BT591" s="1051"/>
      <c r="BU591" s="1051"/>
      <c r="BV591" s="1051"/>
      <c r="BW591" s="1052"/>
      <c r="BX591" s="1052"/>
      <c r="BY591" s="1052"/>
      <c r="BZ591" s="1052"/>
      <c r="CA591" s="1052"/>
      <c r="CB591" s="1053"/>
      <c r="CC591" s="1053"/>
      <c r="CD591" s="1053"/>
      <c r="CE591" s="1053"/>
      <c r="CF591" s="1053"/>
      <c r="CG591" s="1053"/>
      <c r="CH591" s="1053"/>
      <c r="CI591" s="1123"/>
      <c r="CJ591" s="1123"/>
      <c r="CK591" s="1123"/>
      <c r="CL591" s="1123"/>
      <c r="CM591" s="1123"/>
      <c r="CN591" s="1123"/>
      <c r="CO591" s="1123"/>
      <c r="CP591" s="1123"/>
      <c r="CQ591" s="1123"/>
      <c r="CR591" s="1123"/>
      <c r="CS591" s="1123"/>
      <c r="CT591" s="1123"/>
      <c r="CU591" s="1123"/>
      <c r="CV591" s="1123"/>
      <c r="CW591" s="1123"/>
      <c r="CX591" s="1123"/>
      <c r="CY591" s="1123"/>
      <c r="CZ591" s="1114"/>
      <c r="DA591" s="1114"/>
      <c r="DB591" s="1114"/>
      <c r="DC591" s="1114"/>
      <c r="DD591" s="1114"/>
      <c r="DE591" s="1114"/>
      <c r="DF591" s="1114"/>
      <c r="DG591" s="1114"/>
      <c r="DH591" s="1114"/>
      <c r="DI591" s="1114"/>
      <c r="DJ591" s="1114"/>
      <c r="DK591" s="1114"/>
      <c r="DL591" s="1114"/>
      <c r="DM591" s="1114"/>
      <c r="DN591" s="1114"/>
      <c r="DO591" s="1114"/>
      <c r="DP591" s="1114"/>
      <c r="DQ591" s="1114"/>
      <c r="DR591" s="1114"/>
      <c r="DS591" s="1114"/>
      <c r="DT591" s="1114"/>
      <c r="DU591" s="1114"/>
      <c r="DV591" s="1115"/>
      <c r="DW591" s="1116"/>
      <c r="DX591" s="1116"/>
      <c r="DY591" s="1116"/>
      <c r="DZ591" s="1116"/>
      <c r="EA591" s="1116"/>
      <c r="EB591" s="1116"/>
      <c r="EC591" s="1116"/>
      <c r="ED591" s="1116"/>
      <c r="EE591" s="1116"/>
      <c r="EF591" s="1116"/>
      <c r="EG591" s="1116"/>
      <c r="EH591" s="1116"/>
      <c r="EI591" s="1116"/>
      <c r="EJ591" s="1116"/>
      <c r="EK591" s="1116"/>
      <c r="EL591" s="1116"/>
      <c r="EM591" s="1116"/>
      <c r="EN591" s="1116"/>
      <c r="EO591" s="1116"/>
      <c r="EP591" s="1116"/>
      <c r="EQ591" s="1116"/>
      <c r="ER591" s="1116"/>
      <c r="ES591" s="1116"/>
    </row>
    <row r="592" spans="1:149" ht="15" customHeight="1">
      <c r="A592" s="1185">
        <v>577</v>
      </c>
      <c r="B592" s="1041"/>
      <c r="C592" s="1050"/>
      <c r="D592" s="1050"/>
      <c r="E592" s="1050"/>
      <c r="F592" s="1049"/>
      <c r="G592" s="1457"/>
      <c r="H592" s="1049"/>
      <c r="I592" s="1049"/>
      <c r="J592" s="1050"/>
      <c r="K592" s="1050"/>
      <c r="L592" s="1043"/>
      <c r="M592" s="1051"/>
      <c r="N592" s="1051"/>
      <c r="O592" s="1052"/>
      <c r="P592" s="1051"/>
      <c r="Q592" s="1051"/>
      <c r="R592" s="1052"/>
      <c r="S592" s="1051"/>
      <c r="T592" s="1051"/>
      <c r="U592" s="1052"/>
      <c r="V592" s="1051"/>
      <c r="W592" s="1051"/>
      <c r="X592" s="1052"/>
      <c r="Y592" s="1053"/>
      <c r="Z592" s="1051"/>
      <c r="AA592" s="1051"/>
      <c r="AB592" s="1052"/>
      <c r="AC592" s="1051"/>
      <c r="AD592" s="1051"/>
      <c r="AE592" s="1052"/>
      <c r="AF592" s="1051"/>
      <c r="AG592" s="1051"/>
      <c r="AH592" s="1051"/>
      <c r="AI592" s="1051"/>
      <c r="AJ592" s="1052"/>
      <c r="AK592" s="1051"/>
      <c r="AL592" s="1051"/>
      <c r="AM592" s="1052"/>
      <c r="AN592" s="1051"/>
      <c r="AO592" s="1051"/>
      <c r="AP592" s="1052"/>
      <c r="AQ592" s="1051"/>
      <c r="AR592" s="1051"/>
      <c r="AS592" s="1052"/>
      <c r="AT592" s="1051"/>
      <c r="AU592" s="1051"/>
      <c r="AV592" s="1052"/>
      <c r="AW592" s="1051"/>
      <c r="AX592" s="1051"/>
      <c r="AY592" s="1053"/>
      <c r="AZ592" s="1051"/>
      <c r="BA592" s="1051"/>
      <c r="BB592" s="1053"/>
      <c r="BC592" s="1051"/>
      <c r="BD592" s="1051"/>
      <c r="BE592" s="1053"/>
      <c r="BF592" s="1051"/>
      <c r="BG592" s="1051"/>
      <c r="BH592" s="1053"/>
      <c r="BI592" s="1052"/>
      <c r="BJ592" s="1052"/>
      <c r="BK592" s="1052"/>
      <c r="BL592" s="1052"/>
      <c r="BM592" s="1052"/>
      <c r="BN592" s="1054"/>
      <c r="BO592" s="1076">
        <f t="shared" si="20"/>
        <v>0</v>
      </c>
      <c r="BP592" s="1051"/>
      <c r="BQ592" s="1052"/>
      <c r="BR592" s="1054"/>
      <c r="BS592" s="1053"/>
      <c r="BT592" s="1051"/>
      <c r="BU592" s="1051"/>
      <c r="BV592" s="1051"/>
      <c r="BW592" s="1052"/>
      <c r="BX592" s="1052"/>
      <c r="BY592" s="1052"/>
      <c r="BZ592" s="1052"/>
      <c r="CA592" s="1052"/>
      <c r="CB592" s="1053"/>
      <c r="CC592" s="1053"/>
      <c r="CD592" s="1053"/>
      <c r="CE592" s="1053"/>
      <c r="CF592" s="1053"/>
      <c r="CG592" s="1053"/>
      <c r="CH592" s="1053"/>
      <c r="CI592" s="1123"/>
      <c r="CJ592" s="1123"/>
      <c r="CK592" s="1123"/>
      <c r="CL592" s="1123"/>
      <c r="CM592" s="1123"/>
      <c r="CN592" s="1123"/>
      <c r="CO592" s="1123"/>
      <c r="CP592" s="1123"/>
      <c r="CQ592" s="1123"/>
      <c r="CR592" s="1123"/>
      <c r="CS592" s="1123"/>
      <c r="CT592" s="1123"/>
      <c r="CU592" s="1123"/>
      <c r="CV592" s="1123"/>
      <c r="CW592" s="1123"/>
      <c r="CX592" s="1123"/>
      <c r="CY592" s="1123"/>
      <c r="CZ592" s="1114"/>
      <c r="DA592" s="1114"/>
      <c r="DB592" s="1114"/>
      <c r="DC592" s="1114"/>
      <c r="DD592" s="1114"/>
      <c r="DE592" s="1114"/>
      <c r="DF592" s="1114"/>
      <c r="DG592" s="1114"/>
      <c r="DH592" s="1114"/>
      <c r="DI592" s="1114"/>
      <c r="DJ592" s="1114"/>
      <c r="DK592" s="1114"/>
      <c r="DL592" s="1114"/>
      <c r="DM592" s="1114"/>
      <c r="DN592" s="1114"/>
      <c r="DO592" s="1114"/>
      <c r="DP592" s="1114"/>
      <c r="DQ592" s="1114"/>
      <c r="DR592" s="1114"/>
      <c r="DS592" s="1114"/>
      <c r="DT592" s="1114"/>
      <c r="DU592" s="1114"/>
      <c r="DV592" s="1115"/>
      <c r="DW592" s="1116"/>
      <c r="DX592" s="1116"/>
      <c r="DY592" s="1116"/>
      <c r="DZ592" s="1116"/>
      <c r="EA592" s="1116"/>
      <c r="EB592" s="1116"/>
      <c r="EC592" s="1116"/>
      <c r="ED592" s="1116"/>
      <c r="EE592" s="1116"/>
      <c r="EF592" s="1116"/>
      <c r="EG592" s="1116"/>
      <c r="EH592" s="1116"/>
      <c r="EI592" s="1116"/>
      <c r="EJ592" s="1116"/>
      <c r="EK592" s="1116"/>
      <c r="EL592" s="1116"/>
      <c r="EM592" s="1116"/>
      <c r="EN592" s="1116"/>
      <c r="EO592" s="1116"/>
      <c r="EP592" s="1116"/>
      <c r="EQ592" s="1116"/>
      <c r="ER592" s="1116"/>
      <c r="ES592" s="1116"/>
    </row>
    <row r="593" spans="1:149" ht="15" customHeight="1">
      <c r="A593" s="1185">
        <v>578</v>
      </c>
      <c r="B593" s="1041"/>
      <c r="C593" s="1050"/>
      <c r="D593" s="1050"/>
      <c r="E593" s="1050"/>
      <c r="F593" s="1049"/>
      <c r="G593" s="1457"/>
      <c r="H593" s="1049"/>
      <c r="I593" s="1049"/>
      <c r="J593" s="1050"/>
      <c r="K593" s="1050"/>
      <c r="L593" s="1043"/>
      <c r="M593" s="1051"/>
      <c r="N593" s="1051"/>
      <c r="O593" s="1052"/>
      <c r="P593" s="1051"/>
      <c r="Q593" s="1051"/>
      <c r="R593" s="1052"/>
      <c r="S593" s="1051"/>
      <c r="T593" s="1051"/>
      <c r="U593" s="1052"/>
      <c r="V593" s="1051"/>
      <c r="W593" s="1051"/>
      <c r="X593" s="1052"/>
      <c r="Y593" s="1053"/>
      <c r="Z593" s="1051"/>
      <c r="AA593" s="1051"/>
      <c r="AB593" s="1052"/>
      <c r="AC593" s="1051"/>
      <c r="AD593" s="1051"/>
      <c r="AE593" s="1052"/>
      <c r="AF593" s="1051"/>
      <c r="AG593" s="1051"/>
      <c r="AH593" s="1051"/>
      <c r="AI593" s="1051"/>
      <c r="AJ593" s="1052"/>
      <c r="AK593" s="1051"/>
      <c r="AL593" s="1051"/>
      <c r="AM593" s="1052"/>
      <c r="AN593" s="1051"/>
      <c r="AO593" s="1051"/>
      <c r="AP593" s="1052"/>
      <c r="AQ593" s="1051"/>
      <c r="AR593" s="1051"/>
      <c r="AS593" s="1052"/>
      <c r="AT593" s="1051"/>
      <c r="AU593" s="1051"/>
      <c r="AV593" s="1052"/>
      <c r="AW593" s="1051"/>
      <c r="AX593" s="1051"/>
      <c r="AY593" s="1053"/>
      <c r="AZ593" s="1051"/>
      <c r="BA593" s="1051"/>
      <c r="BB593" s="1053"/>
      <c r="BC593" s="1051"/>
      <c r="BD593" s="1051"/>
      <c r="BE593" s="1053"/>
      <c r="BF593" s="1051"/>
      <c r="BG593" s="1051"/>
      <c r="BH593" s="1053"/>
      <c r="BI593" s="1052"/>
      <c r="BJ593" s="1052"/>
      <c r="BK593" s="1052"/>
      <c r="BL593" s="1052"/>
      <c r="BM593" s="1052"/>
      <c r="BN593" s="1054"/>
      <c r="BO593" s="1076">
        <f t="shared" si="20"/>
        <v>0</v>
      </c>
      <c r="BP593" s="1051"/>
      <c r="BQ593" s="1052"/>
      <c r="BR593" s="1054"/>
      <c r="BS593" s="1053"/>
      <c r="BT593" s="1051"/>
      <c r="BU593" s="1051"/>
      <c r="BV593" s="1051"/>
      <c r="BW593" s="1052"/>
      <c r="BX593" s="1052"/>
      <c r="BY593" s="1052"/>
      <c r="BZ593" s="1052"/>
      <c r="CA593" s="1052"/>
      <c r="CB593" s="1053"/>
      <c r="CC593" s="1053"/>
      <c r="CD593" s="1053"/>
      <c r="CE593" s="1053"/>
      <c r="CF593" s="1053"/>
      <c r="CG593" s="1053"/>
      <c r="CH593" s="1053"/>
      <c r="CI593" s="1123"/>
      <c r="CJ593" s="1123"/>
      <c r="CK593" s="1123"/>
      <c r="CL593" s="1123"/>
      <c r="CM593" s="1123"/>
      <c r="CN593" s="1123"/>
      <c r="CO593" s="1123"/>
      <c r="CP593" s="1123"/>
      <c r="CQ593" s="1123"/>
      <c r="CR593" s="1123"/>
      <c r="CS593" s="1123"/>
      <c r="CT593" s="1123"/>
      <c r="CU593" s="1123"/>
      <c r="CV593" s="1123"/>
      <c r="CW593" s="1123"/>
      <c r="CX593" s="1123"/>
      <c r="CY593" s="1123"/>
      <c r="CZ593" s="1114"/>
      <c r="DA593" s="1114"/>
      <c r="DB593" s="1114"/>
      <c r="DC593" s="1114"/>
      <c r="DD593" s="1114"/>
      <c r="DE593" s="1114"/>
      <c r="DF593" s="1114"/>
      <c r="DG593" s="1114"/>
      <c r="DH593" s="1114"/>
      <c r="DI593" s="1114"/>
      <c r="DJ593" s="1114"/>
      <c r="DK593" s="1114"/>
      <c r="DL593" s="1114"/>
      <c r="DM593" s="1114"/>
      <c r="DN593" s="1114"/>
      <c r="DO593" s="1114"/>
      <c r="DP593" s="1114"/>
      <c r="DQ593" s="1114"/>
      <c r="DR593" s="1114"/>
      <c r="DS593" s="1114"/>
      <c r="DT593" s="1114"/>
      <c r="DU593" s="1114"/>
      <c r="DV593" s="1115"/>
      <c r="DW593" s="1116"/>
      <c r="DX593" s="1116"/>
      <c r="DY593" s="1116"/>
      <c r="DZ593" s="1116"/>
      <c r="EA593" s="1116"/>
      <c r="EB593" s="1116"/>
      <c r="EC593" s="1116"/>
      <c r="ED593" s="1116"/>
      <c r="EE593" s="1116"/>
      <c r="EF593" s="1116"/>
      <c r="EG593" s="1116"/>
      <c r="EH593" s="1116"/>
      <c r="EI593" s="1116"/>
      <c r="EJ593" s="1116"/>
      <c r="EK593" s="1116"/>
      <c r="EL593" s="1116"/>
      <c r="EM593" s="1116"/>
      <c r="EN593" s="1116"/>
      <c r="EO593" s="1116"/>
      <c r="EP593" s="1116"/>
      <c r="EQ593" s="1116"/>
      <c r="ER593" s="1116"/>
      <c r="ES593" s="1116"/>
    </row>
    <row r="594" spans="1:149" ht="15" customHeight="1">
      <c r="A594" s="1185">
        <v>579</v>
      </c>
      <c r="B594" s="1041"/>
      <c r="C594" s="1050"/>
      <c r="D594" s="1050"/>
      <c r="E594" s="1050"/>
      <c r="F594" s="1049"/>
      <c r="G594" s="1457"/>
      <c r="H594" s="1049"/>
      <c r="I594" s="1049"/>
      <c r="J594" s="1050"/>
      <c r="K594" s="1050"/>
      <c r="L594" s="1043"/>
      <c r="M594" s="1051"/>
      <c r="N594" s="1051"/>
      <c r="O594" s="1052"/>
      <c r="P594" s="1051"/>
      <c r="Q594" s="1051"/>
      <c r="R594" s="1052"/>
      <c r="S594" s="1051"/>
      <c r="T594" s="1051"/>
      <c r="U594" s="1052"/>
      <c r="V594" s="1051"/>
      <c r="W594" s="1051"/>
      <c r="X594" s="1052"/>
      <c r="Y594" s="1053"/>
      <c r="Z594" s="1051"/>
      <c r="AA594" s="1051"/>
      <c r="AB594" s="1052"/>
      <c r="AC594" s="1051"/>
      <c r="AD594" s="1051"/>
      <c r="AE594" s="1052"/>
      <c r="AF594" s="1051"/>
      <c r="AG594" s="1051"/>
      <c r="AH594" s="1051"/>
      <c r="AI594" s="1051"/>
      <c r="AJ594" s="1052"/>
      <c r="AK594" s="1051"/>
      <c r="AL594" s="1051"/>
      <c r="AM594" s="1052"/>
      <c r="AN594" s="1051"/>
      <c r="AO594" s="1051"/>
      <c r="AP594" s="1052"/>
      <c r="AQ594" s="1051"/>
      <c r="AR594" s="1051"/>
      <c r="AS594" s="1052"/>
      <c r="AT594" s="1051"/>
      <c r="AU594" s="1051"/>
      <c r="AV594" s="1052"/>
      <c r="AW594" s="1051"/>
      <c r="AX594" s="1051"/>
      <c r="AY594" s="1053"/>
      <c r="AZ594" s="1051"/>
      <c r="BA594" s="1051"/>
      <c r="BB594" s="1053"/>
      <c r="BC594" s="1051"/>
      <c r="BD594" s="1051"/>
      <c r="BE594" s="1053"/>
      <c r="BF594" s="1051"/>
      <c r="BG594" s="1051"/>
      <c r="BH594" s="1053"/>
      <c r="BI594" s="1052"/>
      <c r="BJ594" s="1052"/>
      <c r="BK594" s="1052"/>
      <c r="BL594" s="1052"/>
      <c r="BM594" s="1052"/>
      <c r="BN594" s="1054"/>
      <c r="BO594" s="1076">
        <f t="shared" si="20"/>
        <v>0</v>
      </c>
      <c r="BP594" s="1051"/>
      <c r="BQ594" s="1052"/>
      <c r="BR594" s="1054"/>
      <c r="BS594" s="1053"/>
      <c r="BT594" s="1051"/>
      <c r="BU594" s="1051"/>
      <c r="BV594" s="1051"/>
      <c r="BW594" s="1052"/>
      <c r="BX594" s="1052"/>
      <c r="BY594" s="1052"/>
      <c r="BZ594" s="1052"/>
      <c r="CA594" s="1052"/>
      <c r="CB594" s="1053"/>
      <c r="CC594" s="1053"/>
      <c r="CD594" s="1053"/>
      <c r="CE594" s="1053"/>
      <c r="CF594" s="1053"/>
      <c r="CG594" s="1053"/>
      <c r="CH594" s="1053"/>
      <c r="CI594" s="1123"/>
      <c r="CJ594" s="1123"/>
      <c r="CK594" s="1123"/>
      <c r="CL594" s="1123"/>
      <c r="CM594" s="1123"/>
      <c r="CN594" s="1123"/>
      <c r="CO594" s="1123"/>
      <c r="CP594" s="1123"/>
      <c r="CQ594" s="1123"/>
      <c r="CR594" s="1123"/>
      <c r="CS594" s="1123"/>
      <c r="CT594" s="1123"/>
      <c r="CU594" s="1123"/>
      <c r="CV594" s="1123"/>
      <c r="CW594" s="1123"/>
      <c r="CX594" s="1123"/>
      <c r="CY594" s="1123"/>
      <c r="CZ594" s="1114"/>
      <c r="DA594" s="1114"/>
      <c r="DB594" s="1114"/>
      <c r="DC594" s="1114"/>
      <c r="DD594" s="1114"/>
      <c r="DE594" s="1114"/>
      <c r="DF594" s="1114"/>
      <c r="DG594" s="1114"/>
      <c r="DH594" s="1114"/>
      <c r="DI594" s="1114"/>
      <c r="DJ594" s="1114"/>
      <c r="DK594" s="1114"/>
      <c r="DL594" s="1114"/>
      <c r="DM594" s="1114"/>
      <c r="DN594" s="1114"/>
      <c r="DO594" s="1114"/>
      <c r="DP594" s="1114"/>
      <c r="DQ594" s="1114"/>
      <c r="DR594" s="1114"/>
      <c r="DS594" s="1114"/>
      <c r="DT594" s="1114"/>
      <c r="DU594" s="1114"/>
      <c r="DV594" s="1115"/>
      <c r="DW594" s="1116"/>
      <c r="DX594" s="1116"/>
      <c r="DY594" s="1116"/>
      <c r="DZ594" s="1116"/>
      <c r="EA594" s="1116"/>
      <c r="EB594" s="1116"/>
      <c r="EC594" s="1116"/>
      <c r="ED594" s="1116"/>
      <c r="EE594" s="1116"/>
      <c r="EF594" s="1116"/>
      <c r="EG594" s="1116"/>
      <c r="EH594" s="1116"/>
      <c r="EI594" s="1116"/>
      <c r="EJ594" s="1116"/>
      <c r="EK594" s="1116"/>
      <c r="EL594" s="1116"/>
      <c r="EM594" s="1116"/>
      <c r="EN594" s="1116"/>
      <c r="EO594" s="1116"/>
      <c r="EP594" s="1116"/>
      <c r="EQ594" s="1116"/>
      <c r="ER594" s="1116"/>
      <c r="ES594" s="1116"/>
    </row>
    <row r="595" spans="1:149" ht="15" customHeight="1">
      <c r="A595" s="1185">
        <v>580</v>
      </c>
      <c r="B595" s="1041"/>
      <c r="C595" s="1050"/>
      <c r="D595" s="1050"/>
      <c r="E595" s="1050"/>
      <c r="F595" s="1049"/>
      <c r="G595" s="1457"/>
      <c r="H595" s="1049"/>
      <c r="I595" s="1049"/>
      <c r="J595" s="1050"/>
      <c r="K595" s="1050"/>
      <c r="L595" s="1043"/>
      <c r="M595" s="1051"/>
      <c r="N595" s="1051"/>
      <c r="O595" s="1052"/>
      <c r="P595" s="1051"/>
      <c r="Q595" s="1051"/>
      <c r="R595" s="1052"/>
      <c r="S595" s="1051"/>
      <c r="T595" s="1051"/>
      <c r="U595" s="1052"/>
      <c r="V595" s="1051"/>
      <c r="W595" s="1051"/>
      <c r="X595" s="1052"/>
      <c r="Y595" s="1053"/>
      <c r="Z595" s="1051"/>
      <c r="AA595" s="1051"/>
      <c r="AB595" s="1052"/>
      <c r="AC595" s="1051"/>
      <c r="AD595" s="1051"/>
      <c r="AE595" s="1052"/>
      <c r="AF595" s="1051"/>
      <c r="AG595" s="1051"/>
      <c r="AH595" s="1051"/>
      <c r="AI595" s="1051"/>
      <c r="AJ595" s="1052"/>
      <c r="AK595" s="1051"/>
      <c r="AL595" s="1051"/>
      <c r="AM595" s="1052"/>
      <c r="AN595" s="1051"/>
      <c r="AO595" s="1051"/>
      <c r="AP595" s="1052"/>
      <c r="AQ595" s="1051"/>
      <c r="AR595" s="1051"/>
      <c r="AS595" s="1052"/>
      <c r="AT595" s="1051"/>
      <c r="AU595" s="1051"/>
      <c r="AV595" s="1052"/>
      <c r="AW595" s="1051"/>
      <c r="AX595" s="1051"/>
      <c r="AY595" s="1053"/>
      <c r="AZ595" s="1051"/>
      <c r="BA595" s="1051"/>
      <c r="BB595" s="1053"/>
      <c r="BC595" s="1051"/>
      <c r="BD595" s="1051"/>
      <c r="BE595" s="1053"/>
      <c r="BF595" s="1051"/>
      <c r="BG595" s="1051"/>
      <c r="BH595" s="1053"/>
      <c r="BI595" s="1052"/>
      <c r="BJ595" s="1052"/>
      <c r="BK595" s="1052"/>
      <c r="BL595" s="1052"/>
      <c r="BM595" s="1052"/>
      <c r="BN595" s="1054"/>
      <c r="BO595" s="1076">
        <f t="shared" si="20"/>
        <v>0</v>
      </c>
      <c r="BP595" s="1051"/>
      <c r="BQ595" s="1052"/>
      <c r="BR595" s="1054"/>
      <c r="BS595" s="1053"/>
      <c r="BT595" s="1051"/>
      <c r="BU595" s="1051"/>
      <c r="BV595" s="1051"/>
      <c r="BW595" s="1052"/>
      <c r="BX595" s="1052"/>
      <c r="BY595" s="1052"/>
      <c r="BZ595" s="1052"/>
      <c r="CA595" s="1052"/>
      <c r="CB595" s="1053"/>
      <c r="CC595" s="1053"/>
      <c r="CD595" s="1053"/>
      <c r="CE595" s="1053"/>
      <c r="CF595" s="1053"/>
      <c r="CG595" s="1053"/>
      <c r="CH595" s="1053"/>
      <c r="CI595" s="1123"/>
      <c r="CJ595" s="1123"/>
      <c r="CK595" s="1123"/>
      <c r="CL595" s="1123"/>
      <c r="CM595" s="1123"/>
      <c r="CN595" s="1123"/>
      <c r="CO595" s="1123"/>
      <c r="CP595" s="1123"/>
      <c r="CQ595" s="1123"/>
      <c r="CR595" s="1123"/>
      <c r="CS595" s="1123"/>
      <c r="CT595" s="1123"/>
      <c r="CU595" s="1123"/>
      <c r="CV595" s="1123"/>
      <c r="CW595" s="1123"/>
      <c r="CX595" s="1123"/>
      <c r="CY595" s="1123"/>
      <c r="CZ595" s="1114"/>
      <c r="DA595" s="1114"/>
      <c r="DB595" s="1114"/>
      <c r="DC595" s="1114"/>
      <c r="DD595" s="1114"/>
      <c r="DE595" s="1114"/>
      <c r="DF595" s="1114"/>
      <c r="DG595" s="1114"/>
      <c r="DH595" s="1114"/>
      <c r="DI595" s="1114"/>
      <c r="DJ595" s="1114"/>
      <c r="DK595" s="1114"/>
      <c r="DL595" s="1114"/>
      <c r="DM595" s="1114"/>
      <c r="DN595" s="1114"/>
      <c r="DO595" s="1114"/>
      <c r="DP595" s="1114"/>
      <c r="DQ595" s="1114"/>
      <c r="DR595" s="1114"/>
      <c r="DS595" s="1114"/>
      <c r="DT595" s="1114"/>
      <c r="DU595" s="1114"/>
      <c r="DV595" s="1115"/>
      <c r="DW595" s="1116"/>
      <c r="DX595" s="1116"/>
      <c r="DY595" s="1116"/>
      <c r="DZ595" s="1116"/>
      <c r="EA595" s="1116"/>
      <c r="EB595" s="1116"/>
      <c r="EC595" s="1116"/>
      <c r="ED595" s="1116"/>
      <c r="EE595" s="1116"/>
      <c r="EF595" s="1116"/>
      <c r="EG595" s="1116"/>
      <c r="EH595" s="1116"/>
      <c r="EI595" s="1116"/>
      <c r="EJ595" s="1116"/>
      <c r="EK595" s="1116"/>
      <c r="EL595" s="1116"/>
      <c r="EM595" s="1116"/>
      <c r="EN595" s="1116"/>
      <c r="EO595" s="1116"/>
      <c r="EP595" s="1116"/>
      <c r="EQ595" s="1116"/>
      <c r="ER595" s="1116"/>
      <c r="ES595" s="1116"/>
    </row>
    <row r="596" spans="1:149" ht="15" customHeight="1">
      <c r="A596" s="1185">
        <v>581</v>
      </c>
      <c r="B596" s="1041"/>
      <c r="C596" s="1050"/>
      <c r="D596" s="1050"/>
      <c r="E596" s="1050"/>
      <c r="F596" s="1049"/>
      <c r="G596" s="1457"/>
      <c r="H596" s="1049"/>
      <c r="I596" s="1049"/>
      <c r="J596" s="1050"/>
      <c r="K596" s="1050"/>
      <c r="L596" s="1043"/>
      <c r="M596" s="1051"/>
      <c r="N596" s="1051"/>
      <c r="O596" s="1052"/>
      <c r="P596" s="1051"/>
      <c r="Q596" s="1051"/>
      <c r="R596" s="1052"/>
      <c r="S596" s="1051"/>
      <c r="T596" s="1051"/>
      <c r="U596" s="1052"/>
      <c r="V596" s="1051"/>
      <c r="W596" s="1051"/>
      <c r="X596" s="1052"/>
      <c r="Y596" s="1053"/>
      <c r="Z596" s="1051"/>
      <c r="AA596" s="1051"/>
      <c r="AB596" s="1052"/>
      <c r="AC596" s="1051"/>
      <c r="AD596" s="1051"/>
      <c r="AE596" s="1052"/>
      <c r="AF596" s="1051"/>
      <c r="AG596" s="1051"/>
      <c r="AH596" s="1051"/>
      <c r="AI596" s="1051"/>
      <c r="AJ596" s="1052"/>
      <c r="AK596" s="1051"/>
      <c r="AL596" s="1051"/>
      <c r="AM596" s="1052"/>
      <c r="AN596" s="1051"/>
      <c r="AO596" s="1051"/>
      <c r="AP596" s="1052"/>
      <c r="AQ596" s="1051"/>
      <c r="AR596" s="1051"/>
      <c r="AS596" s="1052"/>
      <c r="AT596" s="1051"/>
      <c r="AU596" s="1051"/>
      <c r="AV596" s="1052"/>
      <c r="AW596" s="1051"/>
      <c r="AX596" s="1051"/>
      <c r="AY596" s="1053"/>
      <c r="AZ596" s="1051"/>
      <c r="BA596" s="1051"/>
      <c r="BB596" s="1053"/>
      <c r="BC596" s="1051"/>
      <c r="BD596" s="1051"/>
      <c r="BE596" s="1053"/>
      <c r="BF596" s="1051"/>
      <c r="BG596" s="1051"/>
      <c r="BH596" s="1053"/>
      <c r="BI596" s="1052"/>
      <c r="BJ596" s="1052"/>
      <c r="BK596" s="1052"/>
      <c r="BL596" s="1052"/>
      <c r="BM596" s="1052"/>
      <c r="BN596" s="1054"/>
      <c r="BO596" s="1076">
        <f t="shared" si="20"/>
        <v>0</v>
      </c>
      <c r="BP596" s="1051"/>
      <c r="BQ596" s="1052"/>
      <c r="BR596" s="1054"/>
      <c r="BS596" s="1053"/>
      <c r="BT596" s="1051"/>
      <c r="BU596" s="1051"/>
      <c r="BV596" s="1051"/>
      <c r="BW596" s="1052"/>
      <c r="BX596" s="1052"/>
      <c r="BY596" s="1052"/>
      <c r="BZ596" s="1052"/>
      <c r="CA596" s="1052"/>
      <c r="CB596" s="1053"/>
      <c r="CC596" s="1053"/>
      <c r="CD596" s="1053"/>
      <c r="CE596" s="1053"/>
      <c r="CF596" s="1053"/>
      <c r="CG596" s="1053"/>
      <c r="CH596" s="1053"/>
      <c r="CI596" s="1123"/>
      <c r="CJ596" s="1123"/>
      <c r="CK596" s="1123"/>
      <c r="CL596" s="1123"/>
      <c r="CM596" s="1123"/>
      <c r="CN596" s="1123"/>
      <c r="CO596" s="1123"/>
      <c r="CP596" s="1123"/>
      <c r="CQ596" s="1123"/>
      <c r="CR596" s="1123"/>
      <c r="CS596" s="1123"/>
      <c r="CT596" s="1123"/>
      <c r="CU596" s="1123"/>
      <c r="CV596" s="1123"/>
      <c r="CW596" s="1123"/>
      <c r="CX596" s="1123"/>
      <c r="CY596" s="1123"/>
      <c r="CZ596" s="1114"/>
      <c r="DA596" s="1114"/>
      <c r="DB596" s="1114"/>
      <c r="DC596" s="1114"/>
      <c r="DD596" s="1114"/>
      <c r="DE596" s="1114"/>
      <c r="DF596" s="1114"/>
      <c r="DG596" s="1114"/>
      <c r="DH596" s="1114"/>
      <c r="DI596" s="1114"/>
      <c r="DJ596" s="1114"/>
      <c r="DK596" s="1114"/>
      <c r="DL596" s="1114"/>
      <c r="DM596" s="1114"/>
      <c r="DN596" s="1114"/>
      <c r="DO596" s="1114"/>
      <c r="DP596" s="1114"/>
      <c r="DQ596" s="1114"/>
      <c r="DR596" s="1114"/>
      <c r="DS596" s="1114"/>
      <c r="DT596" s="1114"/>
      <c r="DU596" s="1114"/>
      <c r="DV596" s="1115"/>
      <c r="DW596" s="1116"/>
      <c r="DX596" s="1116"/>
      <c r="DY596" s="1116"/>
      <c r="DZ596" s="1116"/>
      <c r="EA596" s="1116"/>
      <c r="EB596" s="1116"/>
      <c r="EC596" s="1116"/>
      <c r="ED596" s="1116"/>
      <c r="EE596" s="1116"/>
      <c r="EF596" s="1116"/>
      <c r="EG596" s="1116"/>
      <c r="EH596" s="1116"/>
      <c r="EI596" s="1116"/>
      <c r="EJ596" s="1116"/>
      <c r="EK596" s="1116"/>
      <c r="EL596" s="1116"/>
      <c r="EM596" s="1116"/>
      <c r="EN596" s="1116"/>
      <c r="EO596" s="1116"/>
      <c r="EP596" s="1116"/>
      <c r="EQ596" s="1116"/>
      <c r="ER596" s="1116"/>
      <c r="ES596" s="1116"/>
    </row>
    <row r="597" spans="1:149" ht="15" customHeight="1">
      <c r="A597" s="1185">
        <v>582</v>
      </c>
      <c r="B597" s="1041"/>
      <c r="C597" s="1050"/>
      <c r="D597" s="1050"/>
      <c r="E597" s="1050"/>
      <c r="F597" s="1049"/>
      <c r="G597" s="1457"/>
      <c r="H597" s="1049"/>
      <c r="I597" s="1049"/>
      <c r="J597" s="1050"/>
      <c r="K597" s="1050"/>
      <c r="L597" s="1043"/>
      <c r="M597" s="1051"/>
      <c r="N597" s="1051"/>
      <c r="O597" s="1052"/>
      <c r="P597" s="1051"/>
      <c r="Q597" s="1051"/>
      <c r="R597" s="1052"/>
      <c r="S597" s="1051"/>
      <c r="T597" s="1051"/>
      <c r="U597" s="1052"/>
      <c r="V597" s="1051"/>
      <c r="W597" s="1051"/>
      <c r="X597" s="1052"/>
      <c r="Y597" s="1053"/>
      <c r="Z597" s="1051"/>
      <c r="AA597" s="1051"/>
      <c r="AB597" s="1052"/>
      <c r="AC597" s="1051"/>
      <c r="AD597" s="1051"/>
      <c r="AE597" s="1052"/>
      <c r="AF597" s="1051"/>
      <c r="AG597" s="1051"/>
      <c r="AH597" s="1051"/>
      <c r="AI597" s="1051"/>
      <c r="AJ597" s="1052"/>
      <c r="AK597" s="1051"/>
      <c r="AL597" s="1051"/>
      <c r="AM597" s="1052"/>
      <c r="AN597" s="1051"/>
      <c r="AO597" s="1051"/>
      <c r="AP597" s="1052"/>
      <c r="AQ597" s="1051"/>
      <c r="AR597" s="1051"/>
      <c r="AS597" s="1052"/>
      <c r="AT597" s="1051"/>
      <c r="AU597" s="1051"/>
      <c r="AV597" s="1052"/>
      <c r="AW597" s="1051"/>
      <c r="AX597" s="1051"/>
      <c r="AY597" s="1053"/>
      <c r="AZ597" s="1051"/>
      <c r="BA597" s="1051"/>
      <c r="BB597" s="1053"/>
      <c r="BC597" s="1051"/>
      <c r="BD597" s="1051"/>
      <c r="BE597" s="1053"/>
      <c r="BF597" s="1051"/>
      <c r="BG597" s="1051"/>
      <c r="BH597" s="1053"/>
      <c r="BI597" s="1052"/>
      <c r="BJ597" s="1052"/>
      <c r="BK597" s="1052"/>
      <c r="BL597" s="1052"/>
      <c r="BM597" s="1052"/>
      <c r="BN597" s="1054"/>
      <c r="BO597" s="1076">
        <f t="shared" si="20"/>
        <v>0</v>
      </c>
      <c r="BP597" s="1051"/>
      <c r="BQ597" s="1052"/>
      <c r="BR597" s="1054"/>
      <c r="BS597" s="1053"/>
      <c r="BT597" s="1051"/>
      <c r="BU597" s="1051"/>
      <c r="BV597" s="1051"/>
      <c r="BW597" s="1052"/>
      <c r="BX597" s="1052"/>
      <c r="BY597" s="1052"/>
      <c r="BZ597" s="1052"/>
      <c r="CA597" s="1052"/>
      <c r="CB597" s="1053"/>
      <c r="CC597" s="1053"/>
      <c r="CD597" s="1053"/>
      <c r="CE597" s="1053"/>
      <c r="CF597" s="1053"/>
      <c r="CG597" s="1053"/>
      <c r="CH597" s="1053"/>
      <c r="CI597" s="1123"/>
      <c r="CJ597" s="1123"/>
      <c r="CK597" s="1123"/>
      <c r="CL597" s="1123"/>
      <c r="CM597" s="1123"/>
      <c r="CN597" s="1123"/>
      <c r="CO597" s="1123"/>
      <c r="CP597" s="1123"/>
      <c r="CQ597" s="1123"/>
      <c r="CR597" s="1123"/>
      <c r="CS597" s="1123"/>
      <c r="CT597" s="1123"/>
      <c r="CU597" s="1123"/>
      <c r="CV597" s="1123"/>
      <c r="CW597" s="1123"/>
      <c r="CX597" s="1123"/>
      <c r="CY597" s="1123"/>
      <c r="CZ597" s="1114"/>
      <c r="DA597" s="1114"/>
      <c r="DB597" s="1114"/>
      <c r="DC597" s="1114"/>
      <c r="DD597" s="1114"/>
      <c r="DE597" s="1114"/>
      <c r="DF597" s="1114"/>
      <c r="DG597" s="1114"/>
      <c r="DH597" s="1114"/>
      <c r="DI597" s="1114"/>
      <c r="DJ597" s="1114"/>
      <c r="DK597" s="1114"/>
      <c r="DL597" s="1114"/>
      <c r="DM597" s="1114"/>
      <c r="DN597" s="1114"/>
      <c r="DO597" s="1114"/>
      <c r="DP597" s="1114"/>
      <c r="DQ597" s="1114"/>
      <c r="DR597" s="1114"/>
      <c r="DS597" s="1114"/>
      <c r="DT597" s="1114"/>
      <c r="DU597" s="1114"/>
      <c r="DV597" s="1115"/>
      <c r="DW597" s="1116"/>
      <c r="DX597" s="1116"/>
      <c r="DY597" s="1116"/>
      <c r="DZ597" s="1116"/>
      <c r="EA597" s="1116"/>
      <c r="EB597" s="1116"/>
      <c r="EC597" s="1116"/>
      <c r="ED597" s="1116"/>
      <c r="EE597" s="1116"/>
      <c r="EF597" s="1116"/>
      <c r="EG597" s="1116"/>
      <c r="EH597" s="1116"/>
      <c r="EI597" s="1116"/>
      <c r="EJ597" s="1116"/>
      <c r="EK597" s="1116"/>
      <c r="EL597" s="1116"/>
      <c r="EM597" s="1116"/>
      <c r="EN597" s="1116"/>
      <c r="EO597" s="1116"/>
      <c r="EP597" s="1116"/>
      <c r="EQ597" s="1116"/>
      <c r="ER597" s="1116"/>
      <c r="ES597" s="1116"/>
    </row>
    <row r="598" spans="1:149" ht="15" customHeight="1">
      <c r="A598" s="1185">
        <v>583</v>
      </c>
      <c r="B598" s="1041"/>
      <c r="C598" s="1050"/>
      <c r="D598" s="1050"/>
      <c r="E598" s="1050"/>
      <c r="F598" s="1049"/>
      <c r="G598" s="1457"/>
      <c r="H598" s="1049"/>
      <c r="I598" s="1049"/>
      <c r="J598" s="1050"/>
      <c r="K598" s="1050"/>
      <c r="L598" s="1043"/>
      <c r="M598" s="1051"/>
      <c r="N598" s="1051"/>
      <c r="O598" s="1052"/>
      <c r="P598" s="1051"/>
      <c r="Q598" s="1051"/>
      <c r="R598" s="1052"/>
      <c r="S598" s="1051"/>
      <c r="T598" s="1051"/>
      <c r="U598" s="1052"/>
      <c r="V598" s="1051"/>
      <c r="W598" s="1051"/>
      <c r="X598" s="1052"/>
      <c r="Y598" s="1053"/>
      <c r="Z598" s="1051"/>
      <c r="AA598" s="1051"/>
      <c r="AB598" s="1052"/>
      <c r="AC598" s="1051"/>
      <c r="AD598" s="1051"/>
      <c r="AE598" s="1052"/>
      <c r="AF598" s="1051"/>
      <c r="AG598" s="1051"/>
      <c r="AH598" s="1051"/>
      <c r="AI598" s="1051"/>
      <c r="AJ598" s="1052"/>
      <c r="AK598" s="1051"/>
      <c r="AL598" s="1051"/>
      <c r="AM598" s="1052"/>
      <c r="AN598" s="1051"/>
      <c r="AO598" s="1051"/>
      <c r="AP598" s="1052"/>
      <c r="AQ598" s="1051"/>
      <c r="AR598" s="1051"/>
      <c r="AS598" s="1052"/>
      <c r="AT598" s="1051"/>
      <c r="AU598" s="1051"/>
      <c r="AV598" s="1052"/>
      <c r="AW598" s="1051"/>
      <c r="AX598" s="1051"/>
      <c r="AY598" s="1053"/>
      <c r="AZ598" s="1051"/>
      <c r="BA598" s="1051"/>
      <c r="BB598" s="1053"/>
      <c r="BC598" s="1051"/>
      <c r="BD598" s="1051"/>
      <c r="BE598" s="1053"/>
      <c r="BF598" s="1051"/>
      <c r="BG598" s="1051"/>
      <c r="BH598" s="1053"/>
      <c r="BI598" s="1052"/>
      <c r="BJ598" s="1052"/>
      <c r="BK598" s="1052"/>
      <c r="BL598" s="1052"/>
      <c r="BM598" s="1052"/>
      <c r="BN598" s="1054"/>
      <c r="BO598" s="1076">
        <f t="shared" si="20"/>
        <v>0</v>
      </c>
      <c r="BP598" s="1051"/>
      <c r="BQ598" s="1052"/>
      <c r="BR598" s="1054"/>
      <c r="BS598" s="1053"/>
      <c r="BT598" s="1051"/>
      <c r="BU598" s="1051"/>
      <c r="BV598" s="1051"/>
      <c r="BW598" s="1052"/>
      <c r="BX598" s="1052"/>
      <c r="BY598" s="1052"/>
      <c r="BZ598" s="1052"/>
      <c r="CA598" s="1052"/>
      <c r="CB598" s="1053"/>
      <c r="CC598" s="1053"/>
      <c r="CD598" s="1053"/>
      <c r="CE598" s="1053"/>
      <c r="CF598" s="1053"/>
      <c r="CG598" s="1053"/>
      <c r="CH598" s="1053"/>
      <c r="CI598" s="1123"/>
      <c r="CJ598" s="1123"/>
      <c r="CK598" s="1123"/>
      <c r="CL598" s="1123"/>
      <c r="CM598" s="1123"/>
      <c r="CN598" s="1123"/>
      <c r="CO598" s="1123"/>
      <c r="CP598" s="1123"/>
      <c r="CQ598" s="1123"/>
      <c r="CR598" s="1123"/>
      <c r="CS598" s="1123"/>
      <c r="CT598" s="1123"/>
      <c r="CU598" s="1123"/>
      <c r="CV598" s="1123"/>
      <c r="CW598" s="1123"/>
      <c r="CX598" s="1123"/>
      <c r="CY598" s="1123"/>
      <c r="CZ598" s="1114"/>
      <c r="DA598" s="1114"/>
      <c r="DB598" s="1114"/>
      <c r="DC598" s="1114"/>
      <c r="DD598" s="1114"/>
      <c r="DE598" s="1114"/>
      <c r="DF598" s="1114"/>
      <c r="DG598" s="1114"/>
      <c r="DH598" s="1114"/>
      <c r="DI598" s="1114"/>
      <c r="DJ598" s="1114"/>
      <c r="DK598" s="1114"/>
      <c r="DL598" s="1114"/>
      <c r="DM598" s="1114"/>
      <c r="DN598" s="1114"/>
      <c r="DO598" s="1114"/>
      <c r="DP598" s="1114"/>
      <c r="DQ598" s="1114"/>
      <c r="DR598" s="1114"/>
      <c r="DS598" s="1114"/>
      <c r="DT598" s="1114"/>
      <c r="DU598" s="1114"/>
      <c r="DV598" s="1115"/>
      <c r="DW598" s="1116"/>
      <c r="DX598" s="1116"/>
      <c r="DY598" s="1116"/>
      <c r="DZ598" s="1116"/>
      <c r="EA598" s="1116"/>
      <c r="EB598" s="1116"/>
      <c r="EC598" s="1116"/>
      <c r="ED598" s="1116"/>
      <c r="EE598" s="1116"/>
      <c r="EF598" s="1116"/>
      <c r="EG598" s="1116"/>
      <c r="EH598" s="1116"/>
      <c r="EI598" s="1116"/>
      <c r="EJ598" s="1116"/>
      <c r="EK598" s="1116"/>
      <c r="EL598" s="1116"/>
      <c r="EM598" s="1116"/>
      <c r="EN598" s="1116"/>
      <c r="EO598" s="1116"/>
      <c r="EP598" s="1116"/>
      <c r="EQ598" s="1116"/>
      <c r="ER598" s="1116"/>
      <c r="ES598" s="1116"/>
    </row>
    <row r="599" spans="1:149" ht="15" customHeight="1">
      <c r="A599" s="1185">
        <v>584</v>
      </c>
      <c r="B599" s="1041"/>
      <c r="C599" s="1050"/>
      <c r="D599" s="1050"/>
      <c r="E599" s="1050"/>
      <c r="F599" s="1049"/>
      <c r="G599" s="1457"/>
      <c r="H599" s="1049"/>
      <c r="I599" s="1049"/>
      <c r="J599" s="1050"/>
      <c r="K599" s="1050"/>
      <c r="L599" s="1043"/>
      <c r="M599" s="1051"/>
      <c r="N599" s="1051"/>
      <c r="O599" s="1052"/>
      <c r="P599" s="1051"/>
      <c r="Q599" s="1051"/>
      <c r="R599" s="1052"/>
      <c r="S599" s="1051"/>
      <c r="T599" s="1051"/>
      <c r="U599" s="1052"/>
      <c r="V599" s="1051"/>
      <c r="W599" s="1051"/>
      <c r="X599" s="1052"/>
      <c r="Y599" s="1053"/>
      <c r="Z599" s="1051"/>
      <c r="AA599" s="1051"/>
      <c r="AB599" s="1052"/>
      <c r="AC599" s="1051"/>
      <c r="AD599" s="1051"/>
      <c r="AE599" s="1052"/>
      <c r="AF599" s="1051"/>
      <c r="AG599" s="1051"/>
      <c r="AH599" s="1051"/>
      <c r="AI599" s="1051"/>
      <c r="AJ599" s="1052"/>
      <c r="AK599" s="1051"/>
      <c r="AL599" s="1051"/>
      <c r="AM599" s="1052"/>
      <c r="AN599" s="1051"/>
      <c r="AO599" s="1051"/>
      <c r="AP599" s="1052"/>
      <c r="AQ599" s="1051"/>
      <c r="AR599" s="1051"/>
      <c r="AS599" s="1052"/>
      <c r="AT599" s="1051"/>
      <c r="AU599" s="1051"/>
      <c r="AV599" s="1052"/>
      <c r="AW599" s="1051"/>
      <c r="AX599" s="1051"/>
      <c r="AY599" s="1053"/>
      <c r="AZ599" s="1051"/>
      <c r="BA599" s="1051"/>
      <c r="BB599" s="1053"/>
      <c r="BC599" s="1051"/>
      <c r="BD599" s="1051"/>
      <c r="BE599" s="1053"/>
      <c r="BF599" s="1051"/>
      <c r="BG599" s="1051"/>
      <c r="BH599" s="1053"/>
      <c r="BI599" s="1052"/>
      <c r="BJ599" s="1052"/>
      <c r="BK599" s="1052"/>
      <c r="BL599" s="1052"/>
      <c r="BM599" s="1052"/>
      <c r="BN599" s="1054"/>
      <c r="BO599" s="1076">
        <f t="shared" si="20"/>
        <v>0</v>
      </c>
      <c r="BP599" s="1051"/>
      <c r="BQ599" s="1052"/>
      <c r="BR599" s="1054"/>
      <c r="BS599" s="1053"/>
      <c r="BT599" s="1051"/>
      <c r="BU599" s="1051"/>
      <c r="BV599" s="1051"/>
      <c r="BW599" s="1052"/>
      <c r="BX599" s="1052"/>
      <c r="BY599" s="1052"/>
      <c r="BZ599" s="1052"/>
      <c r="CA599" s="1052"/>
      <c r="CB599" s="1053"/>
      <c r="CC599" s="1053"/>
      <c r="CD599" s="1053"/>
      <c r="CE599" s="1053"/>
      <c r="CF599" s="1053"/>
      <c r="CG599" s="1053"/>
      <c r="CH599" s="1053"/>
      <c r="CI599" s="1123"/>
      <c r="CJ599" s="1123"/>
      <c r="CK599" s="1123"/>
      <c r="CL599" s="1123"/>
      <c r="CM599" s="1123"/>
      <c r="CN599" s="1123"/>
      <c r="CO599" s="1123"/>
      <c r="CP599" s="1123"/>
      <c r="CQ599" s="1123"/>
      <c r="CR599" s="1123"/>
      <c r="CS599" s="1123"/>
      <c r="CT599" s="1123"/>
      <c r="CU599" s="1123"/>
      <c r="CV599" s="1123"/>
      <c r="CW599" s="1123"/>
      <c r="CX599" s="1123"/>
      <c r="CY599" s="1123"/>
      <c r="CZ599" s="1114"/>
      <c r="DA599" s="1114"/>
      <c r="DB599" s="1114"/>
      <c r="DC599" s="1114"/>
      <c r="DD599" s="1114"/>
      <c r="DE599" s="1114"/>
      <c r="DF599" s="1114"/>
      <c r="DG599" s="1114"/>
      <c r="DH599" s="1114"/>
      <c r="DI599" s="1114"/>
      <c r="DJ599" s="1114"/>
      <c r="DK599" s="1114"/>
      <c r="DL599" s="1114"/>
      <c r="DM599" s="1114"/>
      <c r="DN599" s="1114"/>
      <c r="DO599" s="1114"/>
      <c r="DP599" s="1114"/>
      <c r="DQ599" s="1114"/>
      <c r="DR599" s="1114"/>
      <c r="DS599" s="1114"/>
      <c r="DT599" s="1114"/>
      <c r="DU599" s="1114"/>
      <c r="DV599" s="1115"/>
      <c r="DW599" s="1116"/>
      <c r="DX599" s="1116"/>
      <c r="DY599" s="1116"/>
      <c r="DZ599" s="1116"/>
      <c r="EA599" s="1116"/>
      <c r="EB599" s="1116"/>
      <c r="EC599" s="1116"/>
      <c r="ED599" s="1116"/>
      <c r="EE599" s="1116"/>
      <c r="EF599" s="1116"/>
      <c r="EG599" s="1116"/>
      <c r="EH599" s="1116"/>
      <c r="EI599" s="1116"/>
      <c r="EJ599" s="1116"/>
      <c r="EK599" s="1116"/>
      <c r="EL599" s="1116"/>
      <c r="EM599" s="1116"/>
      <c r="EN599" s="1116"/>
      <c r="EO599" s="1116"/>
      <c r="EP599" s="1116"/>
      <c r="EQ599" s="1116"/>
      <c r="ER599" s="1116"/>
      <c r="ES599" s="1116"/>
    </row>
    <row r="600" spans="1:149" ht="15" customHeight="1">
      <c r="A600" s="1185">
        <v>585</v>
      </c>
      <c r="B600" s="1041"/>
      <c r="C600" s="1050"/>
      <c r="D600" s="1050"/>
      <c r="E600" s="1050"/>
      <c r="F600" s="1049"/>
      <c r="G600" s="1457"/>
      <c r="H600" s="1049"/>
      <c r="I600" s="1049"/>
      <c r="J600" s="1050"/>
      <c r="K600" s="1050"/>
      <c r="L600" s="1043"/>
      <c r="M600" s="1051"/>
      <c r="N600" s="1051"/>
      <c r="O600" s="1052"/>
      <c r="P600" s="1051"/>
      <c r="Q600" s="1051"/>
      <c r="R600" s="1052"/>
      <c r="S600" s="1051"/>
      <c r="T600" s="1051"/>
      <c r="U600" s="1052"/>
      <c r="V600" s="1051"/>
      <c r="W600" s="1051"/>
      <c r="X600" s="1052"/>
      <c r="Y600" s="1053"/>
      <c r="Z600" s="1051"/>
      <c r="AA600" s="1051"/>
      <c r="AB600" s="1052"/>
      <c r="AC600" s="1051"/>
      <c r="AD600" s="1051"/>
      <c r="AE600" s="1052"/>
      <c r="AF600" s="1051"/>
      <c r="AG600" s="1051"/>
      <c r="AH600" s="1051"/>
      <c r="AI600" s="1051"/>
      <c r="AJ600" s="1052"/>
      <c r="AK600" s="1051"/>
      <c r="AL600" s="1051"/>
      <c r="AM600" s="1052"/>
      <c r="AN600" s="1051"/>
      <c r="AO600" s="1051"/>
      <c r="AP600" s="1052"/>
      <c r="AQ600" s="1051"/>
      <c r="AR600" s="1051"/>
      <c r="AS600" s="1052"/>
      <c r="AT600" s="1051"/>
      <c r="AU600" s="1051"/>
      <c r="AV600" s="1052"/>
      <c r="AW600" s="1051"/>
      <c r="AX600" s="1051"/>
      <c r="AY600" s="1053"/>
      <c r="AZ600" s="1051"/>
      <c r="BA600" s="1051"/>
      <c r="BB600" s="1053"/>
      <c r="BC600" s="1051"/>
      <c r="BD600" s="1051"/>
      <c r="BE600" s="1053"/>
      <c r="BF600" s="1051"/>
      <c r="BG600" s="1051"/>
      <c r="BH600" s="1053"/>
      <c r="BI600" s="1052"/>
      <c r="BJ600" s="1052"/>
      <c r="BK600" s="1052"/>
      <c r="BL600" s="1052"/>
      <c r="BM600" s="1052"/>
      <c r="BN600" s="1054"/>
      <c r="BO600" s="1076">
        <f t="shared" si="20"/>
        <v>0</v>
      </c>
      <c r="BP600" s="1051"/>
      <c r="BQ600" s="1052"/>
      <c r="BR600" s="1054"/>
      <c r="BS600" s="1053"/>
      <c r="BT600" s="1051"/>
      <c r="BU600" s="1051"/>
      <c r="BV600" s="1051"/>
      <c r="BW600" s="1052"/>
      <c r="BX600" s="1052"/>
      <c r="BY600" s="1052"/>
      <c r="BZ600" s="1052"/>
      <c r="CA600" s="1052"/>
      <c r="CB600" s="1053"/>
      <c r="CC600" s="1053"/>
      <c r="CD600" s="1053"/>
      <c r="CE600" s="1053"/>
      <c r="CF600" s="1053"/>
      <c r="CG600" s="1053"/>
      <c r="CH600" s="1053"/>
      <c r="CI600" s="1123"/>
      <c r="CJ600" s="1123"/>
      <c r="CK600" s="1123"/>
      <c r="CL600" s="1123"/>
      <c r="CM600" s="1123"/>
      <c r="CN600" s="1123"/>
      <c r="CO600" s="1123"/>
      <c r="CP600" s="1123"/>
      <c r="CQ600" s="1123"/>
      <c r="CR600" s="1123"/>
      <c r="CS600" s="1123"/>
      <c r="CT600" s="1123"/>
      <c r="CU600" s="1123"/>
      <c r="CV600" s="1123"/>
      <c r="CW600" s="1123"/>
      <c r="CX600" s="1123"/>
      <c r="CY600" s="1123"/>
      <c r="CZ600" s="1114"/>
      <c r="DA600" s="1114"/>
      <c r="DB600" s="1114"/>
      <c r="DC600" s="1114"/>
      <c r="DD600" s="1114"/>
      <c r="DE600" s="1114"/>
      <c r="DF600" s="1114"/>
      <c r="DG600" s="1114"/>
      <c r="DH600" s="1114"/>
      <c r="DI600" s="1114"/>
      <c r="DJ600" s="1114"/>
      <c r="DK600" s="1114"/>
      <c r="DL600" s="1114"/>
      <c r="DM600" s="1114"/>
      <c r="DN600" s="1114"/>
      <c r="DO600" s="1114"/>
      <c r="DP600" s="1114"/>
      <c r="DQ600" s="1114"/>
      <c r="DR600" s="1114"/>
      <c r="DS600" s="1114"/>
      <c r="DT600" s="1114"/>
      <c r="DU600" s="1114"/>
      <c r="DV600" s="1115"/>
      <c r="DW600" s="1116"/>
      <c r="DX600" s="1116"/>
      <c r="DY600" s="1116"/>
      <c r="DZ600" s="1116"/>
      <c r="EA600" s="1116"/>
      <c r="EB600" s="1116"/>
      <c r="EC600" s="1116"/>
      <c r="ED600" s="1116"/>
      <c r="EE600" s="1116"/>
      <c r="EF600" s="1116"/>
      <c r="EG600" s="1116"/>
      <c r="EH600" s="1116"/>
      <c r="EI600" s="1116"/>
      <c r="EJ600" s="1116"/>
      <c r="EK600" s="1116"/>
      <c r="EL600" s="1116"/>
      <c r="EM600" s="1116"/>
      <c r="EN600" s="1116"/>
      <c r="EO600" s="1116"/>
      <c r="EP600" s="1116"/>
      <c r="EQ600" s="1116"/>
      <c r="ER600" s="1116"/>
      <c r="ES600" s="1116"/>
    </row>
    <row r="601" spans="1:149" ht="15" customHeight="1">
      <c r="A601" s="1185">
        <v>586</v>
      </c>
      <c r="B601" s="1041"/>
      <c r="C601" s="1050"/>
      <c r="D601" s="1050"/>
      <c r="E601" s="1050"/>
      <c r="F601" s="1049"/>
      <c r="G601" s="1457"/>
      <c r="H601" s="1049"/>
      <c r="I601" s="1049"/>
      <c r="J601" s="1050"/>
      <c r="K601" s="1050"/>
      <c r="L601" s="1043"/>
      <c r="M601" s="1051"/>
      <c r="N601" s="1051"/>
      <c r="O601" s="1052"/>
      <c r="P601" s="1051"/>
      <c r="Q601" s="1051"/>
      <c r="R601" s="1052"/>
      <c r="S601" s="1051"/>
      <c r="T601" s="1051"/>
      <c r="U601" s="1052"/>
      <c r="V601" s="1051"/>
      <c r="W601" s="1051"/>
      <c r="X601" s="1052"/>
      <c r="Y601" s="1053"/>
      <c r="Z601" s="1051"/>
      <c r="AA601" s="1051"/>
      <c r="AB601" s="1052"/>
      <c r="AC601" s="1051"/>
      <c r="AD601" s="1051"/>
      <c r="AE601" s="1052"/>
      <c r="AF601" s="1051"/>
      <c r="AG601" s="1051"/>
      <c r="AH601" s="1051"/>
      <c r="AI601" s="1051"/>
      <c r="AJ601" s="1052"/>
      <c r="AK601" s="1051"/>
      <c r="AL601" s="1051"/>
      <c r="AM601" s="1052"/>
      <c r="AN601" s="1051"/>
      <c r="AO601" s="1051"/>
      <c r="AP601" s="1052"/>
      <c r="AQ601" s="1051"/>
      <c r="AR601" s="1051"/>
      <c r="AS601" s="1052"/>
      <c r="AT601" s="1051"/>
      <c r="AU601" s="1051"/>
      <c r="AV601" s="1052"/>
      <c r="AW601" s="1051"/>
      <c r="AX601" s="1051"/>
      <c r="AY601" s="1053"/>
      <c r="AZ601" s="1051"/>
      <c r="BA601" s="1051"/>
      <c r="BB601" s="1053"/>
      <c r="BC601" s="1051"/>
      <c r="BD601" s="1051"/>
      <c r="BE601" s="1053"/>
      <c r="BF601" s="1051"/>
      <c r="BG601" s="1051"/>
      <c r="BH601" s="1053"/>
      <c r="BI601" s="1052"/>
      <c r="BJ601" s="1052"/>
      <c r="BK601" s="1052"/>
      <c r="BL601" s="1052"/>
      <c r="BM601" s="1052"/>
      <c r="BN601" s="1054"/>
      <c r="BO601" s="1076">
        <f t="shared" si="20"/>
        <v>0</v>
      </c>
      <c r="BP601" s="1051"/>
      <c r="BQ601" s="1052"/>
      <c r="BR601" s="1054"/>
      <c r="BS601" s="1053"/>
      <c r="BT601" s="1051"/>
      <c r="BU601" s="1051"/>
      <c r="BV601" s="1051"/>
      <c r="BW601" s="1052"/>
      <c r="BX601" s="1052"/>
      <c r="BY601" s="1052"/>
      <c r="BZ601" s="1052"/>
      <c r="CA601" s="1052"/>
      <c r="CB601" s="1053"/>
      <c r="CC601" s="1053"/>
      <c r="CD601" s="1053"/>
      <c r="CE601" s="1053"/>
      <c r="CF601" s="1053"/>
      <c r="CG601" s="1053"/>
      <c r="CH601" s="1053"/>
      <c r="CI601" s="1123"/>
      <c r="CJ601" s="1123"/>
      <c r="CK601" s="1123"/>
      <c r="CL601" s="1123"/>
      <c r="CM601" s="1123"/>
      <c r="CN601" s="1123"/>
      <c r="CO601" s="1123"/>
      <c r="CP601" s="1123"/>
      <c r="CQ601" s="1123"/>
      <c r="CR601" s="1123"/>
      <c r="CS601" s="1123"/>
      <c r="CT601" s="1123"/>
      <c r="CU601" s="1123"/>
      <c r="CV601" s="1123"/>
      <c r="CW601" s="1123"/>
      <c r="CX601" s="1123"/>
      <c r="CY601" s="1123"/>
      <c r="CZ601" s="1114"/>
      <c r="DA601" s="1114"/>
      <c r="DB601" s="1114"/>
      <c r="DC601" s="1114"/>
      <c r="DD601" s="1114"/>
      <c r="DE601" s="1114"/>
      <c r="DF601" s="1114"/>
      <c r="DG601" s="1114"/>
      <c r="DH601" s="1114"/>
      <c r="DI601" s="1114"/>
      <c r="DJ601" s="1114"/>
      <c r="DK601" s="1114"/>
      <c r="DL601" s="1114"/>
      <c r="DM601" s="1114"/>
      <c r="DN601" s="1114"/>
      <c r="DO601" s="1114"/>
      <c r="DP601" s="1114"/>
      <c r="DQ601" s="1114"/>
      <c r="DR601" s="1114"/>
      <c r="DS601" s="1114"/>
      <c r="DT601" s="1114"/>
      <c r="DU601" s="1114"/>
      <c r="DV601" s="1115"/>
      <c r="DW601" s="1116"/>
      <c r="DX601" s="1116"/>
      <c r="DY601" s="1116"/>
      <c r="DZ601" s="1116"/>
      <c r="EA601" s="1116"/>
      <c r="EB601" s="1116"/>
      <c r="EC601" s="1116"/>
      <c r="ED601" s="1116"/>
      <c r="EE601" s="1116"/>
      <c r="EF601" s="1116"/>
      <c r="EG601" s="1116"/>
      <c r="EH601" s="1116"/>
      <c r="EI601" s="1116"/>
      <c r="EJ601" s="1116"/>
      <c r="EK601" s="1116"/>
      <c r="EL601" s="1116"/>
      <c r="EM601" s="1116"/>
      <c r="EN601" s="1116"/>
      <c r="EO601" s="1116"/>
      <c r="EP601" s="1116"/>
      <c r="EQ601" s="1116"/>
      <c r="ER601" s="1116"/>
      <c r="ES601" s="1116"/>
    </row>
    <row r="602" spans="1:149" ht="15" customHeight="1">
      <c r="A602" s="1185">
        <v>587</v>
      </c>
      <c r="B602" s="1041"/>
      <c r="C602" s="1050"/>
      <c r="D602" s="1050"/>
      <c r="E602" s="1050"/>
      <c r="F602" s="1049"/>
      <c r="G602" s="1457"/>
      <c r="H602" s="1049"/>
      <c r="I602" s="1049"/>
      <c r="J602" s="1050"/>
      <c r="K602" s="1050"/>
      <c r="L602" s="1043"/>
      <c r="M602" s="1051"/>
      <c r="N602" s="1051"/>
      <c r="O602" s="1052"/>
      <c r="P602" s="1051"/>
      <c r="Q602" s="1051"/>
      <c r="R602" s="1052"/>
      <c r="S602" s="1051"/>
      <c r="T602" s="1051"/>
      <c r="U602" s="1052"/>
      <c r="V602" s="1051"/>
      <c r="W602" s="1051"/>
      <c r="X602" s="1052"/>
      <c r="Y602" s="1053"/>
      <c r="Z602" s="1051"/>
      <c r="AA602" s="1051"/>
      <c r="AB602" s="1052"/>
      <c r="AC602" s="1051"/>
      <c r="AD602" s="1051"/>
      <c r="AE602" s="1052"/>
      <c r="AF602" s="1051"/>
      <c r="AG602" s="1051"/>
      <c r="AH602" s="1051"/>
      <c r="AI602" s="1051"/>
      <c r="AJ602" s="1052"/>
      <c r="AK602" s="1051"/>
      <c r="AL602" s="1051"/>
      <c r="AM602" s="1052"/>
      <c r="AN602" s="1051"/>
      <c r="AO602" s="1051"/>
      <c r="AP602" s="1052"/>
      <c r="AQ602" s="1051"/>
      <c r="AR602" s="1051"/>
      <c r="AS602" s="1052"/>
      <c r="AT602" s="1051"/>
      <c r="AU602" s="1051"/>
      <c r="AV602" s="1052"/>
      <c r="AW602" s="1051"/>
      <c r="AX602" s="1051"/>
      <c r="AY602" s="1053"/>
      <c r="AZ602" s="1051"/>
      <c r="BA602" s="1051"/>
      <c r="BB602" s="1053"/>
      <c r="BC602" s="1051"/>
      <c r="BD602" s="1051"/>
      <c r="BE602" s="1053"/>
      <c r="BF602" s="1051"/>
      <c r="BG602" s="1051"/>
      <c r="BH602" s="1053"/>
      <c r="BI602" s="1052"/>
      <c r="BJ602" s="1052"/>
      <c r="BK602" s="1052"/>
      <c r="BL602" s="1052"/>
      <c r="BM602" s="1052"/>
      <c r="BN602" s="1054"/>
      <c r="BO602" s="1076">
        <f t="shared" si="20"/>
        <v>0</v>
      </c>
      <c r="BP602" s="1051"/>
      <c r="BQ602" s="1052"/>
      <c r="BR602" s="1054"/>
      <c r="BS602" s="1053"/>
      <c r="BT602" s="1051"/>
      <c r="BU602" s="1051"/>
      <c r="BV602" s="1051"/>
      <c r="BW602" s="1052"/>
      <c r="BX602" s="1052"/>
      <c r="BY602" s="1052"/>
      <c r="BZ602" s="1052"/>
      <c r="CA602" s="1052"/>
      <c r="CB602" s="1053"/>
      <c r="CC602" s="1053"/>
      <c r="CD602" s="1053"/>
      <c r="CE602" s="1053"/>
      <c r="CF602" s="1053"/>
      <c r="CG602" s="1053"/>
      <c r="CH602" s="1053"/>
      <c r="CI602" s="1123"/>
      <c r="CJ602" s="1123"/>
      <c r="CK602" s="1123"/>
      <c r="CL602" s="1123"/>
      <c r="CM602" s="1123"/>
      <c r="CN602" s="1123"/>
      <c r="CO602" s="1123"/>
      <c r="CP602" s="1123"/>
      <c r="CQ602" s="1123"/>
      <c r="CR602" s="1123"/>
      <c r="CS602" s="1123"/>
      <c r="CT602" s="1123"/>
      <c r="CU602" s="1123"/>
      <c r="CV602" s="1123"/>
      <c r="CW602" s="1123"/>
      <c r="CX602" s="1123"/>
      <c r="CY602" s="1123"/>
      <c r="CZ602" s="1114"/>
      <c r="DA602" s="1114"/>
      <c r="DB602" s="1114"/>
      <c r="DC602" s="1114"/>
      <c r="DD602" s="1114"/>
      <c r="DE602" s="1114"/>
      <c r="DF602" s="1114"/>
      <c r="DG602" s="1114"/>
      <c r="DH602" s="1114"/>
      <c r="DI602" s="1114"/>
      <c r="DJ602" s="1114"/>
      <c r="DK602" s="1114"/>
      <c r="DL602" s="1114"/>
      <c r="DM602" s="1114"/>
      <c r="DN602" s="1114"/>
      <c r="DO602" s="1114"/>
      <c r="DP602" s="1114"/>
      <c r="DQ602" s="1114"/>
      <c r="DR602" s="1114"/>
      <c r="DS602" s="1114"/>
      <c r="DT602" s="1114"/>
      <c r="DU602" s="1114"/>
      <c r="DV602" s="1115"/>
      <c r="DW602" s="1116"/>
      <c r="DX602" s="1116"/>
      <c r="DY602" s="1116"/>
      <c r="DZ602" s="1116"/>
      <c r="EA602" s="1116"/>
      <c r="EB602" s="1116"/>
      <c r="EC602" s="1116"/>
      <c r="ED602" s="1116"/>
      <c r="EE602" s="1116"/>
      <c r="EF602" s="1116"/>
      <c r="EG602" s="1116"/>
      <c r="EH602" s="1116"/>
      <c r="EI602" s="1116"/>
      <c r="EJ602" s="1116"/>
      <c r="EK602" s="1116"/>
      <c r="EL602" s="1116"/>
      <c r="EM602" s="1116"/>
      <c r="EN602" s="1116"/>
      <c r="EO602" s="1116"/>
      <c r="EP602" s="1116"/>
      <c r="EQ602" s="1116"/>
      <c r="ER602" s="1116"/>
      <c r="ES602" s="1116"/>
    </row>
    <row r="603" spans="1:149" ht="15" customHeight="1">
      <c r="A603" s="1185">
        <v>588</v>
      </c>
      <c r="B603" s="1041"/>
      <c r="C603" s="1050"/>
      <c r="D603" s="1050"/>
      <c r="E603" s="1050"/>
      <c r="F603" s="1049"/>
      <c r="G603" s="1457"/>
      <c r="H603" s="1049"/>
      <c r="I603" s="1049"/>
      <c r="J603" s="1050"/>
      <c r="K603" s="1050"/>
      <c r="L603" s="1043"/>
      <c r="M603" s="1051"/>
      <c r="N603" s="1051"/>
      <c r="O603" s="1052"/>
      <c r="P603" s="1051"/>
      <c r="Q603" s="1051"/>
      <c r="R603" s="1052"/>
      <c r="S603" s="1051"/>
      <c r="T603" s="1051"/>
      <c r="U603" s="1052"/>
      <c r="V603" s="1051"/>
      <c r="W603" s="1051"/>
      <c r="X603" s="1052"/>
      <c r="Y603" s="1053"/>
      <c r="Z603" s="1051"/>
      <c r="AA603" s="1051"/>
      <c r="AB603" s="1052"/>
      <c r="AC603" s="1051"/>
      <c r="AD603" s="1051"/>
      <c r="AE603" s="1052"/>
      <c r="AF603" s="1051"/>
      <c r="AG603" s="1051"/>
      <c r="AH603" s="1051"/>
      <c r="AI603" s="1051"/>
      <c r="AJ603" s="1052"/>
      <c r="AK603" s="1051"/>
      <c r="AL603" s="1051"/>
      <c r="AM603" s="1052"/>
      <c r="AN603" s="1051"/>
      <c r="AO603" s="1051"/>
      <c r="AP603" s="1052"/>
      <c r="AQ603" s="1051"/>
      <c r="AR603" s="1051"/>
      <c r="AS603" s="1052"/>
      <c r="AT603" s="1051"/>
      <c r="AU603" s="1051"/>
      <c r="AV603" s="1052"/>
      <c r="AW603" s="1051"/>
      <c r="AX603" s="1051"/>
      <c r="AY603" s="1053"/>
      <c r="AZ603" s="1051"/>
      <c r="BA603" s="1051"/>
      <c r="BB603" s="1053"/>
      <c r="BC603" s="1051"/>
      <c r="BD603" s="1051"/>
      <c r="BE603" s="1053"/>
      <c r="BF603" s="1051"/>
      <c r="BG603" s="1051"/>
      <c r="BH603" s="1053"/>
      <c r="BI603" s="1052"/>
      <c r="BJ603" s="1052"/>
      <c r="BK603" s="1052"/>
      <c r="BL603" s="1052"/>
      <c r="BM603" s="1052"/>
      <c r="BN603" s="1054"/>
      <c r="BO603" s="1076">
        <f t="shared" si="20"/>
        <v>0</v>
      </c>
      <c r="BP603" s="1051"/>
      <c r="BQ603" s="1052"/>
      <c r="BR603" s="1054"/>
      <c r="BS603" s="1053"/>
      <c r="BT603" s="1051"/>
      <c r="BU603" s="1051"/>
      <c r="BV603" s="1051"/>
      <c r="BW603" s="1052"/>
      <c r="BX603" s="1052"/>
      <c r="BY603" s="1052"/>
      <c r="BZ603" s="1052"/>
      <c r="CA603" s="1052"/>
      <c r="CB603" s="1053"/>
      <c r="CC603" s="1053"/>
      <c r="CD603" s="1053"/>
      <c r="CE603" s="1053"/>
      <c r="CF603" s="1053"/>
      <c r="CG603" s="1053"/>
      <c r="CH603" s="1053"/>
      <c r="CI603" s="1123"/>
      <c r="CJ603" s="1123"/>
      <c r="CK603" s="1123"/>
      <c r="CL603" s="1123"/>
      <c r="CM603" s="1123"/>
      <c r="CN603" s="1123"/>
      <c r="CO603" s="1123"/>
      <c r="CP603" s="1123"/>
      <c r="CQ603" s="1123"/>
      <c r="CR603" s="1123"/>
      <c r="CS603" s="1123"/>
      <c r="CT603" s="1123"/>
      <c r="CU603" s="1123"/>
      <c r="CV603" s="1123"/>
      <c r="CW603" s="1123"/>
      <c r="CX603" s="1123"/>
      <c r="CY603" s="1123"/>
      <c r="CZ603" s="1114"/>
      <c r="DA603" s="1114"/>
      <c r="DB603" s="1114"/>
      <c r="DC603" s="1114"/>
      <c r="DD603" s="1114"/>
      <c r="DE603" s="1114"/>
      <c r="DF603" s="1114"/>
      <c r="DG603" s="1114"/>
      <c r="DH603" s="1114"/>
      <c r="DI603" s="1114"/>
      <c r="DJ603" s="1114"/>
      <c r="DK603" s="1114"/>
      <c r="DL603" s="1114"/>
      <c r="DM603" s="1114"/>
      <c r="DN603" s="1114"/>
      <c r="DO603" s="1114"/>
      <c r="DP603" s="1114"/>
      <c r="DQ603" s="1114"/>
      <c r="DR603" s="1114"/>
      <c r="DS603" s="1114"/>
      <c r="DT603" s="1114"/>
      <c r="DU603" s="1114"/>
      <c r="DV603" s="1115"/>
      <c r="DW603" s="1116"/>
      <c r="DX603" s="1116"/>
      <c r="DY603" s="1116"/>
      <c r="DZ603" s="1116"/>
      <c r="EA603" s="1116"/>
      <c r="EB603" s="1116"/>
      <c r="EC603" s="1116"/>
      <c r="ED603" s="1116"/>
      <c r="EE603" s="1116"/>
      <c r="EF603" s="1116"/>
      <c r="EG603" s="1116"/>
      <c r="EH603" s="1116"/>
      <c r="EI603" s="1116"/>
      <c r="EJ603" s="1116"/>
      <c r="EK603" s="1116"/>
      <c r="EL603" s="1116"/>
      <c r="EM603" s="1116"/>
      <c r="EN603" s="1116"/>
      <c r="EO603" s="1116"/>
      <c r="EP603" s="1116"/>
      <c r="EQ603" s="1116"/>
      <c r="ER603" s="1116"/>
      <c r="ES603" s="1116"/>
    </row>
    <row r="604" spans="1:149" ht="15" customHeight="1">
      <c r="A604" s="1185">
        <v>589</v>
      </c>
      <c r="B604" s="1041"/>
      <c r="C604" s="1050"/>
      <c r="D604" s="1050"/>
      <c r="E604" s="1050"/>
      <c r="F604" s="1049"/>
      <c r="G604" s="1457"/>
      <c r="H604" s="1049"/>
      <c r="I604" s="1049"/>
      <c r="J604" s="1050"/>
      <c r="K604" s="1050"/>
      <c r="L604" s="1043"/>
      <c r="M604" s="1051"/>
      <c r="N604" s="1051"/>
      <c r="O604" s="1052"/>
      <c r="P604" s="1051"/>
      <c r="Q604" s="1051"/>
      <c r="R604" s="1052"/>
      <c r="S604" s="1051"/>
      <c r="T604" s="1051"/>
      <c r="U604" s="1052"/>
      <c r="V604" s="1051"/>
      <c r="W604" s="1051"/>
      <c r="X604" s="1052"/>
      <c r="Y604" s="1053"/>
      <c r="Z604" s="1051"/>
      <c r="AA604" s="1051"/>
      <c r="AB604" s="1052"/>
      <c r="AC604" s="1051"/>
      <c r="AD604" s="1051"/>
      <c r="AE604" s="1052"/>
      <c r="AF604" s="1051"/>
      <c r="AG604" s="1051"/>
      <c r="AH604" s="1051"/>
      <c r="AI604" s="1051"/>
      <c r="AJ604" s="1052"/>
      <c r="AK604" s="1051"/>
      <c r="AL604" s="1051"/>
      <c r="AM604" s="1052"/>
      <c r="AN604" s="1051"/>
      <c r="AO604" s="1051"/>
      <c r="AP604" s="1052"/>
      <c r="AQ604" s="1051"/>
      <c r="AR604" s="1051"/>
      <c r="AS604" s="1052"/>
      <c r="AT604" s="1051"/>
      <c r="AU604" s="1051"/>
      <c r="AV604" s="1052"/>
      <c r="AW604" s="1051"/>
      <c r="AX604" s="1051"/>
      <c r="AY604" s="1053"/>
      <c r="AZ604" s="1051"/>
      <c r="BA604" s="1051"/>
      <c r="BB604" s="1053"/>
      <c r="BC604" s="1051"/>
      <c r="BD604" s="1051"/>
      <c r="BE604" s="1053"/>
      <c r="BF604" s="1051"/>
      <c r="BG604" s="1051"/>
      <c r="BH604" s="1053"/>
      <c r="BI604" s="1052"/>
      <c r="BJ604" s="1052"/>
      <c r="BK604" s="1052"/>
      <c r="BL604" s="1052"/>
      <c r="BM604" s="1052"/>
      <c r="BN604" s="1054"/>
      <c r="BO604" s="1076">
        <f t="shared" si="20"/>
        <v>0</v>
      </c>
      <c r="BP604" s="1051"/>
      <c r="BQ604" s="1052"/>
      <c r="BR604" s="1054"/>
      <c r="BS604" s="1053"/>
      <c r="BT604" s="1051"/>
      <c r="BU604" s="1051"/>
      <c r="BV604" s="1051"/>
      <c r="BW604" s="1052"/>
      <c r="BX604" s="1052"/>
      <c r="BY604" s="1052"/>
      <c r="BZ604" s="1052"/>
      <c r="CA604" s="1052"/>
      <c r="CB604" s="1053"/>
      <c r="CC604" s="1053"/>
      <c r="CD604" s="1053"/>
      <c r="CE604" s="1053"/>
      <c r="CF604" s="1053"/>
      <c r="CG604" s="1053"/>
      <c r="CH604" s="1053"/>
      <c r="CI604" s="1123"/>
      <c r="CJ604" s="1123"/>
      <c r="CK604" s="1123"/>
      <c r="CL604" s="1123"/>
      <c r="CM604" s="1123"/>
      <c r="CN604" s="1123"/>
      <c r="CO604" s="1123"/>
      <c r="CP604" s="1123"/>
      <c r="CQ604" s="1123"/>
      <c r="CR604" s="1123"/>
      <c r="CS604" s="1123"/>
      <c r="CT604" s="1123"/>
      <c r="CU604" s="1123"/>
      <c r="CV604" s="1123"/>
      <c r="CW604" s="1123"/>
      <c r="CX604" s="1123"/>
      <c r="CY604" s="1123"/>
      <c r="CZ604" s="1114"/>
      <c r="DA604" s="1114"/>
      <c r="DB604" s="1114"/>
      <c r="DC604" s="1114"/>
      <c r="DD604" s="1114"/>
      <c r="DE604" s="1114"/>
      <c r="DF604" s="1114"/>
      <c r="DG604" s="1114"/>
      <c r="DH604" s="1114"/>
      <c r="DI604" s="1114"/>
      <c r="DJ604" s="1114"/>
      <c r="DK604" s="1114"/>
      <c r="DL604" s="1114"/>
      <c r="DM604" s="1114"/>
      <c r="DN604" s="1114"/>
      <c r="DO604" s="1114"/>
      <c r="DP604" s="1114"/>
      <c r="DQ604" s="1114"/>
      <c r="DR604" s="1114"/>
      <c r="DS604" s="1114"/>
      <c r="DT604" s="1114"/>
      <c r="DU604" s="1114"/>
      <c r="DV604" s="1115"/>
      <c r="DW604" s="1116"/>
      <c r="DX604" s="1116"/>
      <c r="DY604" s="1116"/>
      <c r="DZ604" s="1116"/>
      <c r="EA604" s="1116"/>
      <c r="EB604" s="1116"/>
      <c r="EC604" s="1116"/>
      <c r="ED604" s="1116"/>
      <c r="EE604" s="1116"/>
      <c r="EF604" s="1116"/>
      <c r="EG604" s="1116"/>
      <c r="EH604" s="1116"/>
      <c r="EI604" s="1116"/>
      <c r="EJ604" s="1116"/>
      <c r="EK604" s="1116"/>
      <c r="EL604" s="1116"/>
      <c r="EM604" s="1116"/>
      <c r="EN604" s="1116"/>
      <c r="EO604" s="1116"/>
      <c r="EP604" s="1116"/>
      <c r="EQ604" s="1116"/>
      <c r="ER604" s="1116"/>
      <c r="ES604" s="1116"/>
    </row>
    <row r="605" spans="1:149" ht="15" customHeight="1">
      <c r="A605" s="1185">
        <v>590</v>
      </c>
      <c r="B605" s="1041"/>
      <c r="C605" s="1050"/>
      <c r="D605" s="1050"/>
      <c r="E605" s="1050"/>
      <c r="F605" s="1049"/>
      <c r="G605" s="1457"/>
      <c r="H605" s="1049"/>
      <c r="I605" s="1049"/>
      <c r="J605" s="1050"/>
      <c r="K605" s="1050"/>
      <c r="L605" s="1043"/>
      <c r="M605" s="1051"/>
      <c r="N605" s="1051"/>
      <c r="O605" s="1052"/>
      <c r="P605" s="1051"/>
      <c r="Q605" s="1051"/>
      <c r="R605" s="1052"/>
      <c r="S605" s="1051"/>
      <c r="T605" s="1051"/>
      <c r="U605" s="1052"/>
      <c r="V605" s="1051"/>
      <c r="W605" s="1051"/>
      <c r="X605" s="1052"/>
      <c r="Y605" s="1053"/>
      <c r="Z605" s="1051"/>
      <c r="AA605" s="1051"/>
      <c r="AB605" s="1052"/>
      <c r="AC605" s="1051"/>
      <c r="AD605" s="1051"/>
      <c r="AE605" s="1052"/>
      <c r="AF605" s="1051"/>
      <c r="AG605" s="1051"/>
      <c r="AH605" s="1051"/>
      <c r="AI605" s="1051"/>
      <c r="AJ605" s="1052"/>
      <c r="AK605" s="1051"/>
      <c r="AL605" s="1051"/>
      <c r="AM605" s="1052"/>
      <c r="AN605" s="1051"/>
      <c r="AO605" s="1051"/>
      <c r="AP605" s="1052"/>
      <c r="AQ605" s="1051"/>
      <c r="AR605" s="1051"/>
      <c r="AS605" s="1052"/>
      <c r="AT605" s="1051"/>
      <c r="AU605" s="1051"/>
      <c r="AV605" s="1052"/>
      <c r="AW605" s="1051"/>
      <c r="AX605" s="1051"/>
      <c r="AY605" s="1053"/>
      <c r="AZ605" s="1051"/>
      <c r="BA605" s="1051"/>
      <c r="BB605" s="1053"/>
      <c r="BC605" s="1051"/>
      <c r="BD605" s="1051"/>
      <c r="BE605" s="1053"/>
      <c r="BF605" s="1051"/>
      <c r="BG605" s="1051"/>
      <c r="BH605" s="1053"/>
      <c r="BI605" s="1052"/>
      <c r="BJ605" s="1052"/>
      <c r="BK605" s="1052"/>
      <c r="BL605" s="1052"/>
      <c r="BM605" s="1052"/>
      <c r="BN605" s="1054"/>
      <c r="BO605" s="1076">
        <f t="shared" si="20"/>
        <v>0</v>
      </c>
      <c r="BP605" s="1051"/>
      <c r="BQ605" s="1052"/>
      <c r="BR605" s="1054"/>
      <c r="BS605" s="1053"/>
      <c r="BT605" s="1051"/>
      <c r="BU605" s="1051"/>
      <c r="BV605" s="1051"/>
      <c r="BW605" s="1052"/>
      <c r="BX605" s="1052"/>
      <c r="BY605" s="1052"/>
      <c r="BZ605" s="1052"/>
      <c r="CA605" s="1052"/>
      <c r="CB605" s="1053"/>
      <c r="CC605" s="1053"/>
      <c r="CD605" s="1053"/>
      <c r="CE605" s="1053"/>
      <c r="CF605" s="1053"/>
      <c r="CG605" s="1053"/>
      <c r="CH605" s="1053"/>
      <c r="CI605" s="1123"/>
      <c r="CJ605" s="1123"/>
      <c r="CK605" s="1123"/>
      <c r="CL605" s="1123"/>
      <c r="CM605" s="1123"/>
      <c r="CN605" s="1123"/>
      <c r="CO605" s="1123"/>
      <c r="CP605" s="1123"/>
      <c r="CQ605" s="1123"/>
      <c r="CR605" s="1123"/>
      <c r="CS605" s="1123"/>
      <c r="CT605" s="1123"/>
      <c r="CU605" s="1123"/>
      <c r="CV605" s="1123"/>
      <c r="CW605" s="1123"/>
      <c r="CX605" s="1123"/>
      <c r="CY605" s="1123"/>
      <c r="CZ605" s="1114"/>
      <c r="DA605" s="1114"/>
      <c r="DB605" s="1114"/>
      <c r="DC605" s="1114"/>
      <c r="DD605" s="1114"/>
      <c r="DE605" s="1114"/>
      <c r="DF605" s="1114"/>
      <c r="DG605" s="1114"/>
      <c r="DH605" s="1114"/>
      <c r="DI605" s="1114"/>
      <c r="DJ605" s="1114"/>
      <c r="DK605" s="1114"/>
      <c r="DL605" s="1114"/>
      <c r="DM605" s="1114"/>
      <c r="DN605" s="1114"/>
      <c r="DO605" s="1114"/>
      <c r="DP605" s="1114"/>
      <c r="DQ605" s="1114"/>
      <c r="DR605" s="1114"/>
      <c r="DS605" s="1114"/>
      <c r="DT605" s="1114"/>
      <c r="DU605" s="1114"/>
      <c r="DV605" s="1115"/>
      <c r="DW605" s="1116"/>
      <c r="DX605" s="1116"/>
      <c r="DY605" s="1116"/>
      <c r="DZ605" s="1116"/>
      <c r="EA605" s="1116"/>
      <c r="EB605" s="1116"/>
      <c r="EC605" s="1116"/>
      <c r="ED605" s="1116"/>
      <c r="EE605" s="1116"/>
      <c r="EF605" s="1116"/>
      <c r="EG605" s="1116"/>
      <c r="EH605" s="1116"/>
      <c r="EI605" s="1116"/>
      <c r="EJ605" s="1116"/>
      <c r="EK605" s="1116"/>
      <c r="EL605" s="1116"/>
      <c r="EM605" s="1116"/>
      <c r="EN605" s="1116"/>
      <c r="EO605" s="1116"/>
      <c r="EP605" s="1116"/>
      <c r="EQ605" s="1116"/>
      <c r="ER605" s="1116"/>
      <c r="ES605" s="1116"/>
    </row>
    <row r="606" spans="1:149" ht="15" customHeight="1">
      <c r="A606" s="1185">
        <v>591</v>
      </c>
      <c r="B606" s="1041"/>
      <c r="C606" s="1050"/>
      <c r="D606" s="1050"/>
      <c r="E606" s="1050"/>
      <c r="F606" s="1049"/>
      <c r="G606" s="1457"/>
      <c r="H606" s="1049"/>
      <c r="I606" s="1049"/>
      <c r="J606" s="1050"/>
      <c r="K606" s="1050"/>
      <c r="L606" s="1043"/>
      <c r="M606" s="1051"/>
      <c r="N606" s="1051"/>
      <c r="O606" s="1052"/>
      <c r="P606" s="1051"/>
      <c r="Q606" s="1051"/>
      <c r="R606" s="1052"/>
      <c r="S606" s="1051"/>
      <c r="T606" s="1051"/>
      <c r="U606" s="1052"/>
      <c r="V606" s="1051"/>
      <c r="W606" s="1051"/>
      <c r="X606" s="1052"/>
      <c r="Y606" s="1053"/>
      <c r="Z606" s="1051"/>
      <c r="AA606" s="1051"/>
      <c r="AB606" s="1052"/>
      <c r="AC606" s="1051"/>
      <c r="AD606" s="1051"/>
      <c r="AE606" s="1052"/>
      <c r="AF606" s="1051"/>
      <c r="AG606" s="1051"/>
      <c r="AH606" s="1051"/>
      <c r="AI606" s="1051"/>
      <c r="AJ606" s="1052"/>
      <c r="AK606" s="1051"/>
      <c r="AL606" s="1051"/>
      <c r="AM606" s="1052"/>
      <c r="AN606" s="1051"/>
      <c r="AO606" s="1051"/>
      <c r="AP606" s="1052"/>
      <c r="AQ606" s="1051"/>
      <c r="AR606" s="1051"/>
      <c r="AS606" s="1052"/>
      <c r="AT606" s="1051"/>
      <c r="AU606" s="1051"/>
      <c r="AV606" s="1052"/>
      <c r="AW606" s="1051"/>
      <c r="AX606" s="1051"/>
      <c r="AY606" s="1053"/>
      <c r="AZ606" s="1051"/>
      <c r="BA606" s="1051"/>
      <c r="BB606" s="1053"/>
      <c r="BC606" s="1051"/>
      <c r="BD606" s="1051"/>
      <c r="BE606" s="1053"/>
      <c r="BF606" s="1051"/>
      <c r="BG606" s="1051"/>
      <c r="BH606" s="1053"/>
      <c r="BI606" s="1052"/>
      <c r="BJ606" s="1052"/>
      <c r="BK606" s="1052"/>
      <c r="BL606" s="1052"/>
      <c r="BM606" s="1052"/>
      <c r="BN606" s="1054"/>
      <c r="BO606" s="1076">
        <f t="shared" si="20"/>
        <v>0</v>
      </c>
      <c r="BP606" s="1051"/>
      <c r="BQ606" s="1052"/>
      <c r="BR606" s="1054"/>
      <c r="BS606" s="1053"/>
      <c r="BT606" s="1051"/>
      <c r="BU606" s="1051"/>
      <c r="BV606" s="1051"/>
      <c r="BW606" s="1052"/>
      <c r="BX606" s="1052"/>
      <c r="BY606" s="1052"/>
      <c r="BZ606" s="1052"/>
      <c r="CA606" s="1052"/>
      <c r="CB606" s="1053"/>
      <c r="CC606" s="1053"/>
      <c r="CD606" s="1053"/>
      <c r="CE606" s="1053"/>
      <c r="CF606" s="1053"/>
      <c r="CG606" s="1053"/>
      <c r="CH606" s="1053"/>
      <c r="CI606" s="1123"/>
      <c r="CJ606" s="1123"/>
      <c r="CK606" s="1123"/>
      <c r="CL606" s="1123"/>
      <c r="CM606" s="1123"/>
      <c r="CN606" s="1123"/>
      <c r="CO606" s="1123"/>
      <c r="CP606" s="1123"/>
      <c r="CQ606" s="1123"/>
      <c r="CR606" s="1123"/>
      <c r="CS606" s="1123"/>
      <c r="CT606" s="1123"/>
      <c r="CU606" s="1123"/>
      <c r="CV606" s="1123"/>
      <c r="CW606" s="1123"/>
      <c r="CX606" s="1123"/>
      <c r="CY606" s="1123"/>
      <c r="CZ606" s="1114"/>
      <c r="DA606" s="1114"/>
      <c r="DB606" s="1114"/>
      <c r="DC606" s="1114"/>
      <c r="DD606" s="1114"/>
      <c r="DE606" s="1114"/>
      <c r="DF606" s="1114"/>
      <c r="DG606" s="1114"/>
      <c r="DH606" s="1114"/>
      <c r="DI606" s="1114"/>
      <c r="DJ606" s="1114"/>
      <c r="DK606" s="1114"/>
      <c r="DL606" s="1114"/>
      <c r="DM606" s="1114"/>
      <c r="DN606" s="1114"/>
      <c r="DO606" s="1114"/>
      <c r="DP606" s="1114"/>
      <c r="DQ606" s="1114"/>
      <c r="DR606" s="1114"/>
      <c r="DS606" s="1114"/>
      <c r="DT606" s="1114"/>
      <c r="DU606" s="1114"/>
      <c r="DV606" s="1115"/>
      <c r="DW606" s="1116"/>
      <c r="DX606" s="1116"/>
      <c r="DY606" s="1116"/>
      <c r="DZ606" s="1116"/>
      <c r="EA606" s="1116"/>
      <c r="EB606" s="1116"/>
      <c r="EC606" s="1116"/>
      <c r="ED606" s="1116"/>
      <c r="EE606" s="1116"/>
      <c r="EF606" s="1116"/>
      <c r="EG606" s="1116"/>
      <c r="EH606" s="1116"/>
      <c r="EI606" s="1116"/>
      <c r="EJ606" s="1116"/>
      <c r="EK606" s="1116"/>
      <c r="EL606" s="1116"/>
      <c r="EM606" s="1116"/>
      <c r="EN606" s="1116"/>
      <c r="EO606" s="1116"/>
      <c r="EP606" s="1116"/>
      <c r="EQ606" s="1116"/>
      <c r="ER606" s="1116"/>
      <c r="ES606" s="1116"/>
    </row>
    <row r="607" spans="1:149" ht="15" customHeight="1">
      <c r="A607" s="1185">
        <v>592</v>
      </c>
      <c r="B607" s="1041"/>
      <c r="C607" s="1050"/>
      <c r="D607" s="1050"/>
      <c r="E607" s="1050"/>
      <c r="F607" s="1049"/>
      <c r="G607" s="1457"/>
      <c r="H607" s="1049"/>
      <c r="I607" s="1049"/>
      <c r="J607" s="1050"/>
      <c r="K607" s="1050"/>
      <c r="L607" s="1043"/>
      <c r="M607" s="1051"/>
      <c r="N607" s="1051"/>
      <c r="O607" s="1052"/>
      <c r="P607" s="1051"/>
      <c r="Q607" s="1051"/>
      <c r="R607" s="1052"/>
      <c r="S607" s="1051"/>
      <c r="T607" s="1051"/>
      <c r="U607" s="1052"/>
      <c r="V607" s="1051"/>
      <c r="W607" s="1051"/>
      <c r="X607" s="1052"/>
      <c r="Y607" s="1053"/>
      <c r="Z607" s="1051"/>
      <c r="AA607" s="1051"/>
      <c r="AB607" s="1052"/>
      <c r="AC607" s="1051"/>
      <c r="AD607" s="1051"/>
      <c r="AE607" s="1052"/>
      <c r="AF607" s="1051"/>
      <c r="AG607" s="1051"/>
      <c r="AH607" s="1051"/>
      <c r="AI607" s="1051"/>
      <c r="AJ607" s="1052"/>
      <c r="AK607" s="1051"/>
      <c r="AL607" s="1051"/>
      <c r="AM607" s="1052"/>
      <c r="AN607" s="1051"/>
      <c r="AO607" s="1051"/>
      <c r="AP607" s="1052"/>
      <c r="AQ607" s="1051"/>
      <c r="AR607" s="1051"/>
      <c r="AS607" s="1052"/>
      <c r="AT607" s="1051"/>
      <c r="AU607" s="1051"/>
      <c r="AV607" s="1052"/>
      <c r="AW607" s="1051"/>
      <c r="AX607" s="1051"/>
      <c r="AY607" s="1053"/>
      <c r="AZ607" s="1051"/>
      <c r="BA607" s="1051"/>
      <c r="BB607" s="1053"/>
      <c r="BC607" s="1051"/>
      <c r="BD607" s="1051"/>
      <c r="BE607" s="1053"/>
      <c r="BF607" s="1051"/>
      <c r="BG607" s="1051"/>
      <c r="BH607" s="1053"/>
      <c r="BI607" s="1052"/>
      <c r="BJ607" s="1052"/>
      <c r="BK607" s="1052"/>
      <c r="BL607" s="1052"/>
      <c r="BM607" s="1052"/>
      <c r="BN607" s="1054"/>
      <c r="BO607" s="1076">
        <f t="shared" si="20"/>
        <v>0</v>
      </c>
      <c r="BP607" s="1051"/>
      <c r="BQ607" s="1052"/>
      <c r="BR607" s="1054"/>
      <c r="BS607" s="1053"/>
      <c r="BT607" s="1051"/>
      <c r="BU607" s="1051"/>
      <c r="BV607" s="1051"/>
      <c r="BW607" s="1052"/>
      <c r="BX607" s="1052"/>
      <c r="BY607" s="1052"/>
      <c r="BZ607" s="1052"/>
      <c r="CA607" s="1052"/>
      <c r="CB607" s="1053"/>
      <c r="CC607" s="1053"/>
      <c r="CD607" s="1053"/>
      <c r="CE607" s="1053"/>
      <c r="CF607" s="1053"/>
      <c r="CG607" s="1053"/>
      <c r="CH607" s="1053"/>
      <c r="CI607" s="1123"/>
      <c r="CJ607" s="1123"/>
      <c r="CK607" s="1123"/>
      <c r="CL607" s="1123"/>
      <c r="CM607" s="1123"/>
      <c r="CN607" s="1123"/>
      <c r="CO607" s="1123"/>
      <c r="CP607" s="1123"/>
      <c r="CQ607" s="1123"/>
      <c r="CR607" s="1123"/>
      <c r="CS607" s="1123"/>
      <c r="CT607" s="1123"/>
      <c r="CU607" s="1123"/>
      <c r="CV607" s="1123"/>
      <c r="CW607" s="1123"/>
      <c r="CX607" s="1123"/>
      <c r="CY607" s="1123"/>
      <c r="CZ607" s="1114"/>
      <c r="DA607" s="1114"/>
      <c r="DB607" s="1114"/>
      <c r="DC607" s="1114"/>
      <c r="DD607" s="1114"/>
      <c r="DE607" s="1114"/>
      <c r="DF607" s="1114"/>
      <c r="DG607" s="1114"/>
      <c r="DH607" s="1114"/>
      <c r="DI607" s="1114"/>
      <c r="DJ607" s="1114"/>
      <c r="DK607" s="1114"/>
      <c r="DL607" s="1114"/>
      <c r="DM607" s="1114"/>
      <c r="DN607" s="1114"/>
      <c r="DO607" s="1114"/>
      <c r="DP607" s="1114"/>
      <c r="DQ607" s="1114"/>
      <c r="DR607" s="1114"/>
      <c r="DS607" s="1114"/>
      <c r="DT607" s="1114"/>
      <c r="DU607" s="1114"/>
      <c r="DV607" s="1115"/>
      <c r="DW607" s="1116"/>
      <c r="DX607" s="1116"/>
      <c r="DY607" s="1116"/>
      <c r="DZ607" s="1116"/>
      <c r="EA607" s="1116"/>
      <c r="EB607" s="1116"/>
      <c r="EC607" s="1116"/>
      <c r="ED607" s="1116"/>
      <c r="EE607" s="1116"/>
      <c r="EF607" s="1116"/>
      <c r="EG607" s="1116"/>
      <c r="EH607" s="1116"/>
      <c r="EI607" s="1116"/>
      <c r="EJ607" s="1116"/>
      <c r="EK607" s="1116"/>
      <c r="EL607" s="1116"/>
      <c r="EM607" s="1116"/>
      <c r="EN607" s="1116"/>
      <c r="EO607" s="1116"/>
      <c r="EP607" s="1116"/>
      <c r="EQ607" s="1116"/>
      <c r="ER607" s="1116"/>
      <c r="ES607" s="1116"/>
    </row>
    <row r="608" spans="1:149" ht="15" customHeight="1">
      <c r="A608" s="1185">
        <v>593</v>
      </c>
      <c r="B608" s="1041"/>
      <c r="C608" s="1050"/>
      <c r="D608" s="1050"/>
      <c r="E608" s="1050"/>
      <c r="F608" s="1049"/>
      <c r="G608" s="1457"/>
      <c r="H608" s="1049"/>
      <c r="I608" s="1049"/>
      <c r="J608" s="1050"/>
      <c r="K608" s="1050"/>
      <c r="L608" s="1043"/>
      <c r="M608" s="1051"/>
      <c r="N608" s="1051"/>
      <c r="O608" s="1052"/>
      <c r="P608" s="1051"/>
      <c r="Q608" s="1051"/>
      <c r="R608" s="1052"/>
      <c r="S608" s="1051"/>
      <c r="T608" s="1051"/>
      <c r="U608" s="1052"/>
      <c r="V608" s="1051"/>
      <c r="W608" s="1051"/>
      <c r="X608" s="1052"/>
      <c r="Y608" s="1053"/>
      <c r="Z608" s="1051"/>
      <c r="AA608" s="1051"/>
      <c r="AB608" s="1052"/>
      <c r="AC608" s="1051"/>
      <c r="AD608" s="1051"/>
      <c r="AE608" s="1052"/>
      <c r="AF608" s="1051"/>
      <c r="AG608" s="1051"/>
      <c r="AH608" s="1051"/>
      <c r="AI608" s="1051"/>
      <c r="AJ608" s="1052"/>
      <c r="AK608" s="1051"/>
      <c r="AL608" s="1051"/>
      <c r="AM608" s="1052"/>
      <c r="AN608" s="1051"/>
      <c r="AO608" s="1051"/>
      <c r="AP608" s="1052"/>
      <c r="AQ608" s="1051"/>
      <c r="AR608" s="1051"/>
      <c r="AS608" s="1052"/>
      <c r="AT608" s="1051"/>
      <c r="AU608" s="1051"/>
      <c r="AV608" s="1052"/>
      <c r="AW608" s="1051"/>
      <c r="AX608" s="1051"/>
      <c r="AY608" s="1053"/>
      <c r="AZ608" s="1051"/>
      <c r="BA608" s="1051"/>
      <c r="BB608" s="1053"/>
      <c r="BC608" s="1051"/>
      <c r="BD608" s="1051"/>
      <c r="BE608" s="1053"/>
      <c r="BF608" s="1051"/>
      <c r="BG608" s="1051"/>
      <c r="BH608" s="1053"/>
      <c r="BI608" s="1052"/>
      <c r="BJ608" s="1052"/>
      <c r="BK608" s="1052"/>
      <c r="BL608" s="1052"/>
      <c r="BM608" s="1052"/>
      <c r="BN608" s="1054"/>
      <c r="BO608" s="1076">
        <f t="shared" si="20"/>
        <v>0</v>
      </c>
      <c r="BP608" s="1051"/>
      <c r="BQ608" s="1052"/>
      <c r="BR608" s="1054"/>
      <c r="BS608" s="1053"/>
      <c r="BT608" s="1051"/>
      <c r="BU608" s="1051"/>
      <c r="BV608" s="1051"/>
      <c r="BW608" s="1052"/>
      <c r="BX608" s="1052"/>
      <c r="BY608" s="1052"/>
      <c r="BZ608" s="1052"/>
      <c r="CA608" s="1052"/>
      <c r="CB608" s="1053"/>
      <c r="CC608" s="1053"/>
      <c r="CD608" s="1053"/>
      <c r="CE608" s="1053"/>
      <c r="CF608" s="1053"/>
      <c r="CG608" s="1053"/>
      <c r="CH608" s="1053"/>
      <c r="CI608" s="1123"/>
      <c r="CJ608" s="1123"/>
      <c r="CK608" s="1123"/>
      <c r="CL608" s="1123"/>
      <c r="CM608" s="1123"/>
      <c r="CN608" s="1123"/>
      <c r="CO608" s="1123"/>
      <c r="CP608" s="1123"/>
      <c r="CQ608" s="1123"/>
      <c r="CR608" s="1123"/>
      <c r="CS608" s="1123"/>
      <c r="CT608" s="1123"/>
      <c r="CU608" s="1123"/>
      <c r="CV608" s="1123"/>
      <c r="CW608" s="1123"/>
      <c r="CX608" s="1123"/>
      <c r="CY608" s="1123"/>
      <c r="CZ608" s="1114"/>
      <c r="DA608" s="1114"/>
      <c r="DB608" s="1114"/>
      <c r="DC608" s="1114"/>
      <c r="DD608" s="1114"/>
      <c r="DE608" s="1114"/>
      <c r="DF608" s="1114"/>
      <c r="DG608" s="1114"/>
      <c r="DH608" s="1114"/>
      <c r="DI608" s="1114"/>
      <c r="DJ608" s="1114"/>
      <c r="DK608" s="1114"/>
      <c r="DL608" s="1114"/>
      <c r="DM608" s="1114"/>
      <c r="DN608" s="1114"/>
      <c r="DO608" s="1114"/>
      <c r="DP608" s="1114"/>
      <c r="DQ608" s="1114"/>
      <c r="DR608" s="1114"/>
      <c r="DS608" s="1114"/>
      <c r="DT608" s="1114"/>
      <c r="DU608" s="1114"/>
      <c r="DV608" s="1115"/>
      <c r="DW608" s="1116"/>
      <c r="DX608" s="1116"/>
      <c r="DY608" s="1116"/>
      <c r="DZ608" s="1116"/>
      <c r="EA608" s="1116"/>
      <c r="EB608" s="1116"/>
      <c r="EC608" s="1116"/>
      <c r="ED608" s="1116"/>
      <c r="EE608" s="1116"/>
      <c r="EF608" s="1116"/>
      <c r="EG608" s="1116"/>
      <c r="EH608" s="1116"/>
      <c r="EI608" s="1116"/>
      <c r="EJ608" s="1116"/>
      <c r="EK608" s="1116"/>
      <c r="EL608" s="1116"/>
      <c r="EM608" s="1116"/>
      <c r="EN608" s="1116"/>
      <c r="EO608" s="1116"/>
      <c r="EP608" s="1116"/>
      <c r="EQ608" s="1116"/>
      <c r="ER608" s="1116"/>
      <c r="ES608" s="1116"/>
    </row>
    <row r="609" spans="1:149" ht="15" customHeight="1">
      <c r="A609" s="1185">
        <v>594</v>
      </c>
      <c r="B609" s="1041"/>
      <c r="C609" s="1050"/>
      <c r="D609" s="1050"/>
      <c r="E609" s="1050"/>
      <c r="F609" s="1049"/>
      <c r="G609" s="1457"/>
      <c r="H609" s="1049"/>
      <c r="I609" s="1049"/>
      <c r="J609" s="1050"/>
      <c r="K609" s="1050"/>
      <c r="L609" s="1043"/>
      <c r="M609" s="1051"/>
      <c r="N609" s="1051"/>
      <c r="O609" s="1052"/>
      <c r="P609" s="1051"/>
      <c r="Q609" s="1051"/>
      <c r="R609" s="1052"/>
      <c r="S609" s="1051"/>
      <c r="T609" s="1051"/>
      <c r="U609" s="1052"/>
      <c r="V609" s="1051"/>
      <c r="W609" s="1051"/>
      <c r="X609" s="1052"/>
      <c r="Y609" s="1053"/>
      <c r="Z609" s="1051"/>
      <c r="AA609" s="1051"/>
      <c r="AB609" s="1052"/>
      <c r="AC609" s="1051"/>
      <c r="AD609" s="1051"/>
      <c r="AE609" s="1052"/>
      <c r="AF609" s="1051"/>
      <c r="AG609" s="1051"/>
      <c r="AH609" s="1051"/>
      <c r="AI609" s="1051"/>
      <c r="AJ609" s="1052"/>
      <c r="AK609" s="1051"/>
      <c r="AL609" s="1051"/>
      <c r="AM609" s="1052"/>
      <c r="AN609" s="1051"/>
      <c r="AO609" s="1051"/>
      <c r="AP609" s="1052"/>
      <c r="AQ609" s="1051"/>
      <c r="AR609" s="1051"/>
      <c r="AS609" s="1052"/>
      <c r="AT609" s="1051"/>
      <c r="AU609" s="1051"/>
      <c r="AV609" s="1052"/>
      <c r="AW609" s="1051"/>
      <c r="AX609" s="1051"/>
      <c r="AY609" s="1053"/>
      <c r="AZ609" s="1051"/>
      <c r="BA609" s="1051"/>
      <c r="BB609" s="1053"/>
      <c r="BC609" s="1051"/>
      <c r="BD609" s="1051"/>
      <c r="BE609" s="1053"/>
      <c r="BF609" s="1051"/>
      <c r="BG609" s="1051"/>
      <c r="BH609" s="1053"/>
      <c r="BI609" s="1052"/>
      <c r="BJ609" s="1052"/>
      <c r="BK609" s="1052"/>
      <c r="BL609" s="1052"/>
      <c r="BM609" s="1052"/>
      <c r="BN609" s="1054"/>
      <c r="BO609" s="1076">
        <f t="shared" si="20"/>
        <v>0</v>
      </c>
      <c r="BP609" s="1051"/>
      <c r="BQ609" s="1052"/>
      <c r="BR609" s="1054"/>
      <c r="BS609" s="1053"/>
      <c r="BT609" s="1051"/>
      <c r="BU609" s="1051"/>
      <c r="BV609" s="1051"/>
      <c r="BW609" s="1052"/>
      <c r="BX609" s="1052"/>
      <c r="BY609" s="1052"/>
      <c r="BZ609" s="1052"/>
      <c r="CA609" s="1052"/>
      <c r="CB609" s="1053"/>
      <c r="CC609" s="1053"/>
      <c r="CD609" s="1053"/>
      <c r="CE609" s="1053"/>
      <c r="CF609" s="1053"/>
      <c r="CG609" s="1053"/>
      <c r="CH609" s="1053"/>
      <c r="CI609" s="1123"/>
      <c r="CJ609" s="1123"/>
      <c r="CK609" s="1123"/>
      <c r="CL609" s="1123"/>
      <c r="CM609" s="1123"/>
      <c r="CN609" s="1123"/>
      <c r="CO609" s="1123"/>
      <c r="CP609" s="1123"/>
      <c r="CQ609" s="1123"/>
      <c r="CR609" s="1123"/>
      <c r="CS609" s="1123"/>
      <c r="CT609" s="1123"/>
      <c r="CU609" s="1123"/>
      <c r="CV609" s="1123"/>
      <c r="CW609" s="1123"/>
      <c r="CX609" s="1123"/>
      <c r="CY609" s="1123"/>
      <c r="CZ609" s="1114"/>
      <c r="DA609" s="1114"/>
      <c r="DB609" s="1114"/>
      <c r="DC609" s="1114"/>
      <c r="DD609" s="1114"/>
      <c r="DE609" s="1114"/>
      <c r="DF609" s="1114"/>
      <c r="DG609" s="1114"/>
      <c r="DH609" s="1114"/>
      <c r="DI609" s="1114"/>
      <c r="DJ609" s="1114"/>
      <c r="DK609" s="1114"/>
      <c r="DL609" s="1114"/>
      <c r="DM609" s="1114"/>
      <c r="DN609" s="1114"/>
      <c r="DO609" s="1114"/>
      <c r="DP609" s="1114"/>
      <c r="DQ609" s="1114"/>
      <c r="DR609" s="1114"/>
      <c r="DS609" s="1114"/>
      <c r="DT609" s="1114"/>
      <c r="DU609" s="1114"/>
      <c r="DV609" s="1115"/>
      <c r="DW609" s="1116"/>
      <c r="DX609" s="1116"/>
      <c r="DY609" s="1116"/>
      <c r="DZ609" s="1116"/>
      <c r="EA609" s="1116"/>
      <c r="EB609" s="1116"/>
      <c r="EC609" s="1116"/>
      <c r="ED609" s="1116"/>
      <c r="EE609" s="1116"/>
      <c r="EF609" s="1116"/>
      <c r="EG609" s="1116"/>
      <c r="EH609" s="1116"/>
      <c r="EI609" s="1116"/>
      <c r="EJ609" s="1116"/>
      <c r="EK609" s="1116"/>
      <c r="EL609" s="1116"/>
      <c r="EM609" s="1116"/>
      <c r="EN609" s="1116"/>
      <c r="EO609" s="1116"/>
      <c r="EP609" s="1116"/>
      <c r="EQ609" s="1116"/>
      <c r="ER609" s="1116"/>
      <c r="ES609" s="1116"/>
    </row>
    <row r="610" spans="1:149" ht="15" customHeight="1">
      <c r="A610" s="1185">
        <v>595</v>
      </c>
      <c r="B610" s="1041"/>
      <c r="C610" s="1050"/>
      <c r="D610" s="1050"/>
      <c r="E610" s="1050"/>
      <c r="F610" s="1049"/>
      <c r="G610" s="1457"/>
      <c r="H610" s="1049"/>
      <c r="I610" s="1049"/>
      <c r="J610" s="1050"/>
      <c r="K610" s="1050"/>
      <c r="L610" s="1043"/>
      <c r="M610" s="1051"/>
      <c r="N610" s="1051"/>
      <c r="O610" s="1052"/>
      <c r="P610" s="1051"/>
      <c r="Q610" s="1051"/>
      <c r="R610" s="1052"/>
      <c r="S610" s="1051"/>
      <c r="T610" s="1051"/>
      <c r="U610" s="1052"/>
      <c r="V610" s="1051"/>
      <c r="W610" s="1051"/>
      <c r="X610" s="1052"/>
      <c r="Y610" s="1053"/>
      <c r="Z610" s="1051"/>
      <c r="AA610" s="1051"/>
      <c r="AB610" s="1052"/>
      <c r="AC610" s="1051"/>
      <c r="AD610" s="1051"/>
      <c r="AE610" s="1052"/>
      <c r="AF610" s="1051"/>
      <c r="AG610" s="1051"/>
      <c r="AH610" s="1051"/>
      <c r="AI610" s="1051"/>
      <c r="AJ610" s="1052"/>
      <c r="AK610" s="1051"/>
      <c r="AL610" s="1051"/>
      <c r="AM610" s="1052"/>
      <c r="AN610" s="1051"/>
      <c r="AO610" s="1051"/>
      <c r="AP610" s="1052"/>
      <c r="AQ610" s="1051"/>
      <c r="AR610" s="1051"/>
      <c r="AS610" s="1052"/>
      <c r="AT610" s="1051"/>
      <c r="AU610" s="1051"/>
      <c r="AV610" s="1052"/>
      <c r="AW610" s="1051"/>
      <c r="AX610" s="1051"/>
      <c r="AY610" s="1053"/>
      <c r="AZ610" s="1051"/>
      <c r="BA610" s="1051"/>
      <c r="BB610" s="1053"/>
      <c r="BC610" s="1051"/>
      <c r="BD610" s="1051"/>
      <c r="BE610" s="1053"/>
      <c r="BF610" s="1051"/>
      <c r="BG610" s="1051"/>
      <c r="BH610" s="1053"/>
      <c r="BI610" s="1052"/>
      <c r="BJ610" s="1052"/>
      <c r="BK610" s="1052"/>
      <c r="BL610" s="1052"/>
      <c r="BM610" s="1052"/>
      <c r="BN610" s="1054"/>
      <c r="BO610" s="1076">
        <f t="shared" si="20"/>
        <v>0</v>
      </c>
      <c r="BP610" s="1051"/>
      <c r="BQ610" s="1052"/>
      <c r="BR610" s="1054"/>
      <c r="BS610" s="1053"/>
      <c r="BT610" s="1051"/>
      <c r="BU610" s="1051"/>
      <c r="BV610" s="1051"/>
      <c r="BW610" s="1052"/>
      <c r="BX610" s="1052"/>
      <c r="BY610" s="1052"/>
      <c r="BZ610" s="1052"/>
      <c r="CA610" s="1052"/>
      <c r="CB610" s="1053"/>
      <c r="CC610" s="1053"/>
      <c r="CD610" s="1053"/>
      <c r="CE610" s="1053"/>
      <c r="CF610" s="1053"/>
      <c r="CG610" s="1053"/>
      <c r="CH610" s="1053"/>
      <c r="CI610" s="1123"/>
      <c r="CJ610" s="1123"/>
      <c r="CK610" s="1123"/>
      <c r="CL610" s="1123"/>
      <c r="CM610" s="1123"/>
      <c r="CN610" s="1123"/>
      <c r="CO610" s="1123"/>
      <c r="CP610" s="1123"/>
      <c r="CQ610" s="1123"/>
      <c r="CR610" s="1123"/>
      <c r="CS610" s="1123"/>
      <c r="CT610" s="1123"/>
      <c r="CU610" s="1123"/>
      <c r="CV610" s="1123"/>
      <c r="CW610" s="1123"/>
      <c r="CX610" s="1123"/>
      <c r="CY610" s="1123"/>
      <c r="CZ610" s="1114"/>
      <c r="DA610" s="1114"/>
      <c r="DB610" s="1114"/>
      <c r="DC610" s="1114"/>
      <c r="DD610" s="1114"/>
      <c r="DE610" s="1114"/>
      <c r="DF610" s="1114"/>
      <c r="DG610" s="1114"/>
      <c r="DH610" s="1114"/>
      <c r="DI610" s="1114"/>
      <c r="DJ610" s="1114"/>
      <c r="DK610" s="1114"/>
      <c r="DL610" s="1114"/>
      <c r="DM610" s="1114"/>
      <c r="DN610" s="1114"/>
      <c r="DO610" s="1114"/>
      <c r="DP610" s="1114"/>
      <c r="DQ610" s="1114"/>
      <c r="DR610" s="1114"/>
      <c r="DS610" s="1114"/>
      <c r="DT610" s="1114"/>
      <c r="DU610" s="1114"/>
      <c r="DV610" s="1115"/>
      <c r="DW610" s="1116"/>
      <c r="DX610" s="1116"/>
      <c r="DY610" s="1116"/>
      <c r="DZ610" s="1116"/>
      <c r="EA610" s="1116"/>
      <c r="EB610" s="1116"/>
      <c r="EC610" s="1116"/>
      <c r="ED610" s="1116"/>
      <c r="EE610" s="1116"/>
      <c r="EF610" s="1116"/>
      <c r="EG610" s="1116"/>
      <c r="EH610" s="1116"/>
      <c r="EI610" s="1116"/>
      <c r="EJ610" s="1116"/>
      <c r="EK610" s="1116"/>
      <c r="EL610" s="1116"/>
      <c r="EM610" s="1116"/>
      <c r="EN610" s="1116"/>
      <c r="EO610" s="1116"/>
      <c r="EP610" s="1116"/>
      <c r="EQ610" s="1116"/>
      <c r="ER610" s="1116"/>
      <c r="ES610" s="1116"/>
    </row>
    <row r="611" spans="1:149" ht="15" customHeight="1">
      <c r="A611" s="1185">
        <v>596</v>
      </c>
      <c r="B611" s="1041"/>
      <c r="C611" s="1050"/>
      <c r="D611" s="1050"/>
      <c r="E611" s="1050"/>
      <c r="F611" s="1049"/>
      <c r="G611" s="1457"/>
      <c r="H611" s="1049"/>
      <c r="I611" s="1049"/>
      <c r="J611" s="1050"/>
      <c r="K611" s="1050"/>
      <c r="L611" s="1043"/>
      <c r="M611" s="1051"/>
      <c r="N611" s="1051"/>
      <c r="O611" s="1052"/>
      <c r="P611" s="1051"/>
      <c r="Q611" s="1051"/>
      <c r="R611" s="1052"/>
      <c r="S611" s="1051"/>
      <c r="T611" s="1051"/>
      <c r="U611" s="1052"/>
      <c r="V611" s="1051"/>
      <c r="W611" s="1051"/>
      <c r="X611" s="1052"/>
      <c r="Y611" s="1053"/>
      <c r="Z611" s="1051"/>
      <c r="AA611" s="1051"/>
      <c r="AB611" s="1052"/>
      <c r="AC611" s="1051"/>
      <c r="AD611" s="1051"/>
      <c r="AE611" s="1052"/>
      <c r="AF611" s="1051"/>
      <c r="AG611" s="1051"/>
      <c r="AH611" s="1051"/>
      <c r="AI611" s="1051"/>
      <c r="AJ611" s="1052"/>
      <c r="AK611" s="1051"/>
      <c r="AL611" s="1051"/>
      <c r="AM611" s="1052"/>
      <c r="AN611" s="1051"/>
      <c r="AO611" s="1051"/>
      <c r="AP611" s="1052"/>
      <c r="AQ611" s="1051"/>
      <c r="AR611" s="1051"/>
      <c r="AS611" s="1052"/>
      <c r="AT611" s="1051"/>
      <c r="AU611" s="1051"/>
      <c r="AV611" s="1052"/>
      <c r="AW611" s="1051"/>
      <c r="AX611" s="1051"/>
      <c r="AY611" s="1053"/>
      <c r="AZ611" s="1051"/>
      <c r="BA611" s="1051"/>
      <c r="BB611" s="1053"/>
      <c r="BC611" s="1051"/>
      <c r="BD611" s="1051"/>
      <c r="BE611" s="1053"/>
      <c r="BF611" s="1051"/>
      <c r="BG611" s="1051"/>
      <c r="BH611" s="1053"/>
      <c r="BI611" s="1052"/>
      <c r="BJ611" s="1052"/>
      <c r="BK611" s="1052"/>
      <c r="BL611" s="1052"/>
      <c r="BM611" s="1052"/>
      <c r="BN611" s="1054"/>
      <c r="BO611" s="1076">
        <f t="shared" si="20"/>
        <v>0</v>
      </c>
      <c r="BP611" s="1051"/>
      <c r="BQ611" s="1052"/>
      <c r="BR611" s="1054"/>
      <c r="BS611" s="1053"/>
      <c r="BT611" s="1051"/>
      <c r="BU611" s="1051"/>
      <c r="BV611" s="1051"/>
      <c r="BW611" s="1052"/>
      <c r="BX611" s="1052"/>
      <c r="BY611" s="1052"/>
      <c r="BZ611" s="1052"/>
      <c r="CA611" s="1052"/>
      <c r="CB611" s="1053"/>
      <c r="CC611" s="1053"/>
      <c r="CD611" s="1053"/>
      <c r="CE611" s="1053"/>
      <c r="CF611" s="1053"/>
      <c r="CG611" s="1053"/>
      <c r="CH611" s="1053"/>
      <c r="CI611" s="1123"/>
      <c r="CJ611" s="1123"/>
      <c r="CK611" s="1123"/>
      <c r="CL611" s="1123"/>
      <c r="CM611" s="1123"/>
      <c r="CN611" s="1123"/>
      <c r="CO611" s="1123"/>
      <c r="CP611" s="1123"/>
      <c r="CQ611" s="1123"/>
      <c r="CR611" s="1123"/>
      <c r="CS611" s="1123"/>
      <c r="CT611" s="1123"/>
      <c r="CU611" s="1123"/>
      <c r="CV611" s="1123"/>
      <c r="CW611" s="1123"/>
      <c r="CX611" s="1123"/>
      <c r="CY611" s="1123"/>
      <c r="CZ611" s="1114"/>
      <c r="DA611" s="1114"/>
      <c r="DB611" s="1114"/>
      <c r="DC611" s="1114"/>
      <c r="DD611" s="1114"/>
      <c r="DE611" s="1114"/>
      <c r="DF611" s="1114"/>
      <c r="DG611" s="1114"/>
      <c r="DH611" s="1114"/>
      <c r="DI611" s="1114"/>
      <c r="DJ611" s="1114"/>
      <c r="DK611" s="1114"/>
      <c r="DL611" s="1114"/>
      <c r="DM611" s="1114"/>
      <c r="DN611" s="1114"/>
      <c r="DO611" s="1114"/>
      <c r="DP611" s="1114"/>
      <c r="DQ611" s="1114"/>
      <c r="DR611" s="1114"/>
      <c r="DS611" s="1114"/>
      <c r="DT611" s="1114"/>
      <c r="DU611" s="1114"/>
      <c r="DV611" s="1115"/>
      <c r="DW611" s="1116"/>
      <c r="DX611" s="1116"/>
      <c r="DY611" s="1116"/>
      <c r="DZ611" s="1116"/>
      <c r="EA611" s="1116"/>
      <c r="EB611" s="1116"/>
      <c r="EC611" s="1116"/>
      <c r="ED611" s="1116"/>
      <c r="EE611" s="1116"/>
      <c r="EF611" s="1116"/>
      <c r="EG611" s="1116"/>
      <c r="EH611" s="1116"/>
      <c r="EI611" s="1116"/>
      <c r="EJ611" s="1116"/>
      <c r="EK611" s="1116"/>
      <c r="EL611" s="1116"/>
      <c r="EM611" s="1116"/>
      <c r="EN611" s="1116"/>
      <c r="EO611" s="1116"/>
      <c r="EP611" s="1116"/>
      <c r="EQ611" s="1116"/>
      <c r="ER611" s="1116"/>
      <c r="ES611" s="1116"/>
    </row>
    <row r="612" spans="1:149" ht="15" customHeight="1">
      <c r="A612" s="1185">
        <v>597</v>
      </c>
      <c r="B612" s="1041"/>
      <c r="C612" s="1050"/>
      <c r="D612" s="1050"/>
      <c r="E612" s="1050"/>
      <c r="F612" s="1049"/>
      <c r="G612" s="1457"/>
      <c r="H612" s="1049"/>
      <c r="I612" s="1049"/>
      <c r="J612" s="1050"/>
      <c r="K612" s="1050"/>
      <c r="L612" s="1043"/>
      <c r="M612" s="1051"/>
      <c r="N612" s="1051"/>
      <c r="O612" s="1052"/>
      <c r="P612" s="1051"/>
      <c r="Q612" s="1051"/>
      <c r="R612" s="1052"/>
      <c r="S612" s="1051"/>
      <c r="T612" s="1051"/>
      <c r="U612" s="1052"/>
      <c r="V612" s="1051"/>
      <c r="W612" s="1051"/>
      <c r="X612" s="1052"/>
      <c r="Y612" s="1053"/>
      <c r="Z612" s="1051"/>
      <c r="AA612" s="1051"/>
      <c r="AB612" s="1052"/>
      <c r="AC612" s="1051"/>
      <c r="AD612" s="1051"/>
      <c r="AE612" s="1052"/>
      <c r="AF612" s="1051"/>
      <c r="AG612" s="1051"/>
      <c r="AH612" s="1051"/>
      <c r="AI612" s="1051"/>
      <c r="AJ612" s="1052"/>
      <c r="AK612" s="1051"/>
      <c r="AL612" s="1051"/>
      <c r="AM612" s="1052"/>
      <c r="AN612" s="1051"/>
      <c r="AO612" s="1051"/>
      <c r="AP612" s="1052"/>
      <c r="AQ612" s="1051"/>
      <c r="AR612" s="1051"/>
      <c r="AS612" s="1052"/>
      <c r="AT612" s="1051"/>
      <c r="AU612" s="1051"/>
      <c r="AV612" s="1052"/>
      <c r="AW612" s="1051"/>
      <c r="AX612" s="1051"/>
      <c r="AY612" s="1053"/>
      <c r="AZ612" s="1051"/>
      <c r="BA612" s="1051"/>
      <c r="BB612" s="1053"/>
      <c r="BC612" s="1051"/>
      <c r="BD612" s="1051"/>
      <c r="BE612" s="1053"/>
      <c r="BF612" s="1051"/>
      <c r="BG612" s="1051"/>
      <c r="BH612" s="1053"/>
      <c r="BI612" s="1052"/>
      <c r="BJ612" s="1052"/>
      <c r="BK612" s="1052"/>
      <c r="BL612" s="1052"/>
      <c r="BM612" s="1052"/>
      <c r="BN612" s="1054"/>
      <c r="BO612" s="1076">
        <f t="shared" si="20"/>
        <v>0</v>
      </c>
      <c r="BP612" s="1051"/>
      <c r="BQ612" s="1052"/>
      <c r="BR612" s="1054"/>
      <c r="BS612" s="1053"/>
      <c r="BT612" s="1051"/>
      <c r="BU612" s="1051"/>
      <c r="BV612" s="1051"/>
      <c r="BW612" s="1052"/>
      <c r="BX612" s="1052"/>
      <c r="BY612" s="1052"/>
      <c r="BZ612" s="1052"/>
      <c r="CA612" s="1052"/>
      <c r="CB612" s="1053"/>
      <c r="CC612" s="1053"/>
      <c r="CD612" s="1053"/>
      <c r="CE612" s="1053"/>
      <c r="CF612" s="1053"/>
      <c r="CG612" s="1053"/>
      <c r="CH612" s="1053"/>
      <c r="CI612" s="1123"/>
      <c r="CJ612" s="1123"/>
      <c r="CK612" s="1123"/>
      <c r="CL612" s="1123"/>
      <c r="CM612" s="1123"/>
      <c r="CN612" s="1123"/>
      <c r="CO612" s="1123"/>
      <c r="CP612" s="1123"/>
      <c r="CQ612" s="1123"/>
      <c r="CR612" s="1123"/>
      <c r="CS612" s="1123"/>
      <c r="CT612" s="1123"/>
      <c r="CU612" s="1123"/>
      <c r="CV612" s="1123"/>
      <c r="CW612" s="1123"/>
      <c r="CX612" s="1123"/>
      <c r="CY612" s="1123"/>
      <c r="CZ612" s="1114"/>
      <c r="DA612" s="1114"/>
      <c r="DB612" s="1114"/>
      <c r="DC612" s="1114"/>
      <c r="DD612" s="1114"/>
      <c r="DE612" s="1114"/>
      <c r="DF612" s="1114"/>
      <c r="DG612" s="1114"/>
      <c r="DH612" s="1114"/>
      <c r="DI612" s="1114"/>
      <c r="DJ612" s="1114"/>
      <c r="DK612" s="1114"/>
      <c r="DL612" s="1114"/>
      <c r="DM612" s="1114"/>
      <c r="DN612" s="1114"/>
      <c r="DO612" s="1114"/>
      <c r="DP612" s="1114"/>
      <c r="DQ612" s="1114"/>
      <c r="DR612" s="1114"/>
      <c r="DS612" s="1114"/>
      <c r="DT612" s="1114"/>
      <c r="DU612" s="1114"/>
      <c r="DV612" s="1115"/>
      <c r="DW612" s="1116"/>
      <c r="DX612" s="1116"/>
      <c r="DY612" s="1116"/>
      <c r="DZ612" s="1116"/>
      <c r="EA612" s="1116"/>
      <c r="EB612" s="1116"/>
      <c r="EC612" s="1116"/>
      <c r="ED612" s="1116"/>
      <c r="EE612" s="1116"/>
      <c r="EF612" s="1116"/>
      <c r="EG612" s="1116"/>
      <c r="EH612" s="1116"/>
      <c r="EI612" s="1116"/>
      <c r="EJ612" s="1116"/>
      <c r="EK612" s="1116"/>
      <c r="EL612" s="1116"/>
      <c r="EM612" s="1116"/>
      <c r="EN612" s="1116"/>
      <c r="EO612" s="1116"/>
      <c r="EP612" s="1116"/>
      <c r="EQ612" s="1116"/>
      <c r="ER612" s="1116"/>
      <c r="ES612" s="1116"/>
    </row>
    <row r="613" spans="1:149" ht="15" customHeight="1">
      <c r="A613" s="1185">
        <v>598</v>
      </c>
      <c r="B613" s="1041"/>
      <c r="C613" s="1050"/>
      <c r="D613" s="1050"/>
      <c r="E613" s="1050"/>
      <c r="F613" s="1049"/>
      <c r="G613" s="1457"/>
      <c r="H613" s="1049"/>
      <c r="I613" s="1049"/>
      <c r="J613" s="1050"/>
      <c r="K613" s="1050"/>
      <c r="L613" s="1043"/>
      <c r="M613" s="1051"/>
      <c r="N613" s="1051"/>
      <c r="O613" s="1052"/>
      <c r="P613" s="1051"/>
      <c r="Q613" s="1051"/>
      <c r="R613" s="1052"/>
      <c r="S613" s="1051"/>
      <c r="T613" s="1051"/>
      <c r="U613" s="1052"/>
      <c r="V613" s="1051"/>
      <c r="W613" s="1051"/>
      <c r="X613" s="1052"/>
      <c r="Y613" s="1053"/>
      <c r="Z613" s="1051"/>
      <c r="AA613" s="1051"/>
      <c r="AB613" s="1052"/>
      <c r="AC613" s="1051"/>
      <c r="AD613" s="1051"/>
      <c r="AE613" s="1052"/>
      <c r="AF613" s="1051"/>
      <c r="AG613" s="1051"/>
      <c r="AH613" s="1051"/>
      <c r="AI613" s="1051"/>
      <c r="AJ613" s="1052"/>
      <c r="AK613" s="1051"/>
      <c r="AL613" s="1051"/>
      <c r="AM613" s="1052"/>
      <c r="AN613" s="1051"/>
      <c r="AO613" s="1051"/>
      <c r="AP613" s="1052"/>
      <c r="AQ613" s="1051"/>
      <c r="AR613" s="1051"/>
      <c r="AS613" s="1052"/>
      <c r="AT613" s="1051"/>
      <c r="AU613" s="1051"/>
      <c r="AV613" s="1052"/>
      <c r="AW613" s="1051"/>
      <c r="AX613" s="1051"/>
      <c r="AY613" s="1053"/>
      <c r="AZ613" s="1051"/>
      <c r="BA613" s="1051"/>
      <c r="BB613" s="1053"/>
      <c r="BC613" s="1051"/>
      <c r="BD613" s="1051"/>
      <c r="BE613" s="1053"/>
      <c r="BF613" s="1051"/>
      <c r="BG613" s="1051"/>
      <c r="BH613" s="1053"/>
      <c r="BI613" s="1052"/>
      <c r="BJ613" s="1052"/>
      <c r="BK613" s="1052"/>
      <c r="BL613" s="1052"/>
      <c r="BM613" s="1052"/>
      <c r="BN613" s="1054"/>
      <c r="BO613" s="1076">
        <f t="shared" si="20"/>
        <v>0</v>
      </c>
      <c r="BP613" s="1051"/>
      <c r="BQ613" s="1052"/>
      <c r="BR613" s="1054"/>
      <c r="BS613" s="1053"/>
      <c r="BT613" s="1051"/>
      <c r="BU613" s="1051"/>
      <c r="BV613" s="1051"/>
      <c r="BW613" s="1052"/>
      <c r="BX613" s="1052"/>
      <c r="BY613" s="1052"/>
      <c r="BZ613" s="1052"/>
      <c r="CA613" s="1052"/>
      <c r="CB613" s="1053"/>
      <c r="CC613" s="1053"/>
      <c r="CD613" s="1053"/>
      <c r="CE613" s="1053"/>
      <c r="CF613" s="1053"/>
      <c r="CG613" s="1053"/>
      <c r="CH613" s="1053"/>
      <c r="CI613" s="1123"/>
      <c r="CJ613" s="1123"/>
      <c r="CK613" s="1123"/>
      <c r="CL613" s="1123"/>
      <c r="CM613" s="1123"/>
      <c r="CN613" s="1123"/>
      <c r="CO613" s="1123"/>
      <c r="CP613" s="1123"/>
      <c r="CQ613" s="1123"/>
      <c r="CR613" s="1123"/>
      <c r="CS613" s="1123"/>
      <c r="CT613" s="1123"/>
      <c r="CU613" s="1123"/>
      <c r="CV613" s="1123"/>
      <c r="CW613" s="1123"/>
      <c r="CX613" s="1123"/>
      <c r="CY613" s="1123"/>
      <c r="CZ613" s="1114"/>
      <c r="DA613" s="1114"/>
      <c r="DB613" s="1114"/>
      <c r="DC613" s="1114"/>
      <c r="DD613" s="1114"/>
      <c r="DE613" s="1114"/>
      <c r="DF613" s="1114"/>
      <c r="DG613" s="1114"/>
      <c r="DH613" s="1114"/>
      <c r="DI613" s="1114"/>
      <c r="DJ613" s="1114"/>
      <c r="DK613" s="1114"/>
      <c r="DL613" s="1114"/>
      <c r="DM613" s="1114"/>
      <c r="DN613" s="1114"/>
      <c r="DO613" s="1114"/>
      <c r="DP613" s="1114"/>
      <c r="DQ613" s="1114"/>
      <c r="DR613" s="1114"/>
      <c r="DS613" s="1114"/>
      <c r="DT613" s="1114"/>
      <c r="DU613" s="1114"/>
      <c r="DV613" s="1115"/>
      <c r="DW613" s="1116"/>
      <c r="DX613" s="1116"/>
      <c r="DY613" s="1116"/>
      <c r="DZ613" s="1116"/>
      <c r="EA613" s="1116"/>
      <c r="EB613" s="1116"/>
      <c r="EC613" s="1116"/>
      <c r="ED613" s="1116"/>
      <c r="EE613" s="1116"/>
      <c r="EF613" s="1116"/>
      <c r="EG613" s="1116"/>
      <c r="EH613" s="1116"/>
      <c r="EI613" s="1116"/>
      <c r="EJ613" s="1116"/>
      <c r="EK613" s="1116"/>
      <c r="EL613" s="1116"/>
      <c r="EM613" s="1116"/>
      <c r="EN613" s="1116"/>
      <c r="EO613" s="1116"/>
      <c r="EP613" s="1116"/>
      <c r="EQ613" s="1116"/>
      <c r="ER613" s="1116"/>
      <c r="ES613" s="1116"/>
    </row>
    <row r="614" spans="1:149" ht="15" customHeight="1">
      <c r="A614" s="1185">
        <v>599</v>
      </c>
      <c r="B614" s="1041"/>
      <c r="C614" s="1050"/>
      <c r="D614" s="1050"/>
      <c r="E614" s="1050"/>
      <c r="F614" s="1049"/>
      <c r="G614" s="1457"/>
      <c r="H614" s="1049"/>
      <c r="I614" s="1049"/>
      <c r="J614" s="1050"/>
      <c r="K614" s="1050"/>
      <c r="L614" s="1043"/>
      <c r="M614" s="1051"/>
      <c r="N614" s="1051"/>
      <c r="O614" s="1052"/>
      <c r="P614" s="1051"/>
      <c r="Q614" s="1051"/>
      <c r="R614" s="1052"/>
      <c r="S614" s="1051"/>
      <c r="T614" s="1051"/>
      <c r="U614" s="1052"/>
      <c r="V614" s="1051"/>
      <c r="W614" s="1051"/>
      <c r="X614" s="1052"/>
      <c r="Y614" s="1053"/>
      <c r="Z614" s="1051"/>
      <c r="AA614" s="1051"/>
      <c r="AB614" s="1052"/>
      <c r="AC614" s="1051"/>
      <c r="AD614" s="1051"/>
      <c r="AE614" s="1052"/>
      <c r="AF614" s="1051"/>
      <c r="AG614" s="1051"/>
      <c r="AH614" s="1051"/>
      <c r="AI614" s="1051"/>
      <c r="AJ614" s="1052"/>
      <c r="AK614" s="1051"/>
      <c r="AL614" s="1051"/>
      <c r="AM614" s="1052"/>
      <c r="AN614" s="1051"/>
      <c r="AO614" s="1051"/>
      <c r="AP614" s="1052"/>
      <c r="AQ614" s="1051"/>
      <c r="AR614" s="1051"/>
      <c r="AS614" s="1052"/>
      <c r="AT614" s="1051"/>
      <c r="AU614" s="1051"/>
      <c r="AV614" s="1052"/>
      <c r="AW614" s="1051"/>
      <c r="AX614" s="1051"/>
      <c r="AY614" s="1053"/>
      <c r="AZ614" s="1051"/>
      <c r="BA614" s="1051"/>
      <c r="BB614" s="1053"/>
      <c r="BC614" s="1051"/>
      <c r="BD614" s="1051"/>
      <c r="BE614" s="1053"/>
      <c r="BF614" s="1051"/>
      <c r="BG614" s="1051"/>
      <c r="BH614" s="1053"/>
      <c r="BI614" s="1052"/>
      <c r="BJ614" s="1052"/>
      <c r="BK614" s="1052"/>
      <c r="BL614" s="1052"/>
      <c r="BM614" s="1052"/>
      <c r="BN614" s="1054"/>
      <c r="BO614" s="1076">
        <f t="shared" si="20"/>
        <v>0</v>
      </c>
      <c r="BP614" s="1051"/>
      <c r="BQ614" s="1052"/>
      <c r="BR614" s="1054"/>
      <c r="BS614" s="1053"/>
      <c r="BT614" s="1051"/>
      <c r="BU614" s="1051"/>
      <c r="BV614" s="1051"/>
      <c r="BW614" s="1052"/>
      <c r="BX614" s="1052"/>
      <c r="BY614" s="1052"/>
      <c r="BZ614" s="1052"/>
      <c r="CA614" s="1052"/>
      <c r="CB614" s="1053"/>
      <c r="CC614" s="1053"/>
      <c r="CD614" s="1053"/>
      <c r="CE614" s="1053"/>
      <c r="CF614" s="1053"/>
      <c r="CG614" s="1053"/>
      <c r="CH614" s="1053"/>
      <c r="CI614" s="1123"/>
      <c r="CJ614" s="1123"/>
      <c r="CK614" s="1123"/>
      <c r="CL614" s="1123"/>
      <c r="CM614" s="1123"/>
      <c r="CN614" s="1123"/>
      <c r="CO614" s="1123"/>
      <c r="CP614" s="1123"/>
      <c r="CQ614" s="1123"/>
      <c r="CR614" s="1123"/>
      <c r="CS614" s="1123"/>
      <c r="CT614" s="1123"/>
      <c r="CU614" s="1123"/>
      <c r="CV614" s="1123"/>
      <c r="CW614" s="1123"/>
      <c r="CX614" s="1123"/>
      <c r="CY614" s="1123"/>
      <c r="CZ614" s="1114"/>
      <c r="DA614" s="1114"/>
      <c r="DB614" s="1114"/>
      <c r="DC614" s="1114"/>
      <c r="DD614" s="1114"/>
      <c r="DE614" s="1114"/>
      <c r="DF614" s="1114"/>
      <c r="DG614" s="1114"/>
      <c r="DH614" s="1114"/>
      <c r="DI614" s="1114"/>
      <c r="DJ614" s="1114"/>
      <c r="DK614" s="1114"/>
      <c r="DL614" s="1114"/>
      <c r="DM614" s="1114"/>
      <c r="DN614" s="1114"/>
      <c r="DO614" s="1114"/>
      <c r="DP614" s="1114"/>
      <c r="DQ614" s="1114"/>
      <c r="DR614" s="1114"/>
      <c r="DS614" s="1114"/>
      <c r="DT614" s="1114"/>
      <c r="DU614" s="1114"/>
      <c r="DV614" s="1115"/>
      <c r="DW614" s="1116"/>
      <c r="DX614" s="1116"/>
      <c r="DY614" s="1116"/>
      <c r="DZ614" s="1116"/>
      <c r="EA614" s="1116"/>
      <c r="EB614" s="1116"/>
      <c r="EC614" s="1116"/>
      <c r="ED614" s="1116"/>
      <c r="EE614" s="1116"/>
      <c r="EF614" s="1116"/>
      <c r="EG614" s="1116"/>
      <c r="EH614" s="1116"/>
      <c r="EI614" s="1116"/>
      <c r="EJ614" s="1116"/>
      <c r="EK614" s="1116"/>
      <c r="EL614" s="1116"/>
      <c r="EM614" s="1116"/>
      <c r="EN614" s="1116"/>
      <c r="EO614" s="1116"/>
      <c r="EP614" s="1116"/>
      <c r="EQ614" s="1116"/>
      <c r="ER614" s="1116"/>
      <c r="ES614" s="1116"/>
    </row>
    <row r="615" spans="1:149" ht="15" customHeight="1">
      <c r="A615" s="1185">
        <v>600</v>
      </c>
      <c r="B615" s="1041"/>
      <c r="C615" s="1050"/>
      <c r="D615" s="1050"/>
      <c r="E615" s="1050"/>
      <c r="F615" s="1049"/>
      <c r="G615" s="1457"/>
      <c r="H615" s="1049"/>
      <c r="I615" s="1049"/>
      <c r="J615" s="1050"/>
      <c r="K615" s="1050"/>
      <c r="L615" s="1043"/>
      <c r="M615" s="1051"/>
      <c r="N615" s="1051"/>
      <c r="O615" s="1052"/>
      <c r="P615" s="1051"/>
      <c r="Q615" s="1051"/>
      <c r="R615" s="1052"/>
      <c r="S615" s="1051"/>
      <c r="T615" s="1051"/>
      <c r="U615" s="1052"/>
      <c r="V615" s="1051"/>
      <c r="W615" s="1051"/>
      <c r="X615" s="1052"/>
      <c r="Y615" s="1053"/>
      <c r="Z615" s="1051"/>
      <c r="AA615" s="1051"/>
      <c r="AB615" s="1052"/>
      <c r="AC615" s="1051"/>
      <c r="AD615" s="1051"/>
      <c r="AE615" s="1052"/>
      <c r="AF615" s="1051"/>
      <c r="AG615" s="1051"/>
      <c r="AH615" s="1051"/>
      <c r="AI615" s="1051"/>
      <c r="AJ615" s="1052"/>
      <c r="AK615" s="1051"/>
      <c r="AL615" s="1051"/>
      <c r="AM615" s="1052"/>
      <c r="AN615" s="1051"/>
      <c r="AO615" s="1051"/>
      <c r="AP615" s="1052"/>
      <c r="AQ615" s="1051"/>
      <c r="AR615" s="1051"/>
      <c r="AS615" s="1052"/>
      <c r="AT615" s="1051"/>
      <c r="AU615" s="1051"/>
      <c r="AV615" s="1052"/>
      <c r="AW615" s="1051"/>
      <c r="AX615" s="1051"/>
      <c r="AY615" s="1053"/>
      <c r="AZ615" s="1051"/>
      <c r="BA615" s="1051"/>
      <c r="BB615" s="1053"/>
      <c r="BC615" s="1051"/>
      <c r="BD615" s="1051"/>
      <c r="BE615" s="1053"/>
      <c r="BF615" s="1051"/>
      <c r="BG615" s="1051"/>
      <c r="BH615" s="1053"/>
      <c r="BI615" s="1052"/>
      <c r="BJ615" s="1052"/>
      <c r="BK615" s="1052"/>
      <c r="BL615" s="1052"/>
      <c r="BM615" s="1052"/>
      <c r="BN615" s="1054"/>
      <c r="BO615" s="1076">
        <f t="shared" si="20"/>
        <v>0</v>
      </c>
      <c r="BP615" s="1051"/>
      <c r="BQ615" s="1052"/>
      <c r="BR615" s="1054"/>
      <c r="BS615" s="1053"/>
      <c r="BT615" s="1051"/>
      <c r="BU615" s="1051"/>
      <c r="BV615" s="1051"/>
      <c r="BW615" s="1052"/>
      <c r="BX615" s="1052"/>
      <c r="BY615" s="1052"/>
      <c r="BZ615" s="1052"/>
      <c r="CA615" s="1052"/>
      <c r="CB615" s="1053"/>
      <c r="CC615" s="1053"/>
      <c r="CD615" s="1053"/>
      <c r="CE615" s="1053"/>
      <c r="CF615" s="1053"/>
      <c r="CG615" s="1053"/>
      <c r="CH615" s="1053"/>
      <c r="CI615" s="1123"/>
      <c r="CJ615" s="1123"/>
      <c r="CK615" s="1123"/>
      <c r="CL615" s="1123"/>
      <c r="CM615" s="1123"/>
      <c r="CN615" s="1123"/>
      <c r="CO615" s="1123"/>
      <c r="CP615" s="1123"/>
      <c r="CQ615" s="1123"/>
      <c r="CR615" s="1123"/>
      <c r="CS615" s="1123"/>
      <c r="CT615" s="1123"/>
      <c r="CU615" s="1123"/>
      <c r="CV615" s="1123"/>
      <c r="CW615" s="1123"/>
      <c r="CX615" s="1123"/>
      <c r="CY615" s="1123"/>
      <c r="CZ615" s="1114"/>
      <c r="DA615" s="1114"/>
      <c r="DB615" s="1114"/>
      <c r="DC615" s="1114"/>
      <c r="DD615" s="1114"/>
      <c r="DE615" s="1114"/>
      <c r="DF615" s="1114"/>
      <c r="DG615" s="1114"/>
      <c r="DH615" s="1114"/>
      <c r="DI615" s="1114"/>
      <c r="DJ615" s="1114"/>
      <c r="DK615" s="1114"/>
      <c r="DL615" s="1114"/>
      <c r="DM615" s="1114"/>
      <c r="DN615" s="1114"/>
      <c r="DO615" s="1114"/>
      <c r="DP615" s="1114"/>
      <c r="DQ615" s="1114"/>
      <c r="DR615" s="1114"/>
      <c r="DS615" s="1114"/>
      <c r="DT615" s="1114"/>
      <c r="DU615" s="1114"/>
      <c r="DV615" s="1115"/>
      <c r="DW615" s="1116"/>
      <c r="DX615" s="1116"/>
      <c r="DY615" s="1116"/>
      <c r="DZ615" s="1116"/>
      <c r="EA615" s="1116"/>
      <c r="EB615" s="1116"/>
      <c r="EC615" s="1116"/>
      <c r="ED615" s="1116"/>
      <c r="EE615" s="1116"/>
      <c r="EF615" s="1116"/>
      <c r="EG615" s="1116"/>
      <c r="EH615" s="1116"/>
      <c r="EI615" s="1116"/>
      <c r="EJ615" s="1116"/>
      <c r="EK615" s="1116"/>
      <c r="EL615" s="1116"/>
      <c r="EM615" s="1116"/>
      <c r="EN615" s="1116"/>
      <c r="EO615" s="1116"/>
      <c r="EP615" s="1116"/>
      <c r="EQ615" s="1116"/>
      <c r="ER615" s="1116"/>
      <c r="ES615" s="1116"/>
    </row>
    <row r="616" spans="1:149" ht="15" customHeight="1">
      <c r="A616" s="1185">
        <v>601</v>
      </c>
      <c r="B616" s="1041"/>
      <c r="C616" s="1050"/>
      <c r="D616" s="1050"/>
      <c r="E616" s="1050"/>
      <c r="F616" s="1049"/>
      <c r="G616" s="1457"/>
      <c r="H616" s="1049"/>
      <c r="I616" s="1049"/>
      <c r="J616" s="1050"/>
      <c r="K616" s="1050"/>
      <c r="L616" s="1043"/>
      <c r="M616" s="1051"/>
      <c r="N616" s="1051"/>
      <c r="O616" s="1052"/>
      <c r="P616" s="1051"/>
      <c r="Q616" s="1051"/>
      <c r="R616" s="1052"/>
      <c r="S616" s="1051"/>
      <c r="T616" s="1051"/>
      <c r="U616" s="1052"/>
      <c r="V616" s="1051"/>
      <c r="W616" s="1051"/>
      <c r="X616" s="1052"/>
      <c r="Y616" s="1053"/>
      <c r="Z616" s="1051"/>
      <c r="AA616" s="1051"/>
      <c r="AB616" s="1052"/>
      <c r="AC616" s="1051"/>
      <c r="AD616" s="1051"/>
      <c r="AE616" s="1052"/>
      <c r="AF616" s="1051"/>
      <c r="AG616" s="1051"/>
      <c r="AH616" s="1051"/>
      <c r="AI616" s="1051"/>
      <c r="AJ616" s="1052"/>
      <c r="AK616" s="1051"/>
      <c r="AL616" s="1051"/>
      <c r="AM616" s="1052"/>
      <c r="AN616" s="1051"/>
      <c r="AO616" s="1051"/>
      <c r="AP616" s="1052"/>
      <c r="AQ616" s="1051"/>
      <c r="AR616" s="1051"/>
      <c r="AS616" s="1052"/>
      <c r="AT616" s="1051"/>
      <c r="AU616" s="1051"/>
      <c r="AV616" s="1052"/>
      <c r="AW616" s="1051"/>
      <c r="AX616" s="1051"/>
      <c r="AY616" s="1053"/>
      <c r="AZ616" s="1051"/>
      <c r="BA616" s="1051"/>
      <c r="BB616" s="1053"/>
      <c r="BC616" s="1051"/>
      <c r="BD616" s="1051"/>
      <c r="BE616" s="1053"/>
      <c r="BF616" s="1051"/>
      <c r="BG616" s="1051"/>
      <c r="BH616" s="1053"/>
      <c r="BI616" s="1052"/>
      <c r="BJ616" s="1052"/>
      <c r="BK616" s="1052"/>
      <c r="BL616" s="1052"/>
      <c r="BM616" s="1052"/>
      <c r="BN616" s="1054"/>
      <c r="BO616" s="1076">
        <f t="shared" si="20"/>
        <v>0</v>
      </c>
      <c r="BP616" s="1051"/>
      <c r="BQ616" s="1052"/>
      <c r="BR616" s="1054"/>
      <c r="BS616" s="1053"/>
      <c r="BT616" s="1051"/>
      <c r="BU616" s="1051"/>
      <c r="BV616" s="1051"/>
      <c r="BW616" s="1052"/>
      <c r="BX616" s="1052"/>
      <c r="BY616" s="1052"/>
      <c r="BZ616" s="1052"/>
      <c r="CA616" s="1052"/>
      <c r="CB616" s="1053"/>
      <c r="CC616" s="1053"/>
      <c r="CD616" s="1053"/>
      <c r="CE616" s="1053"/>
      <c r="CF616" s="1053"/>
      <c r="CG616" s="1053"/>
      <c r="CH616" s="1053"/>
      <c r="CI616" s="1123"/>
      <c r="CJ616" s="1123"/>
      <c r="CK616" s="1123"/>
      <c r="CL616" s="1123"/>
      <c r="CM616" s="1123"/>
      <c r="CN616" s="1123"/>
      <c r="CO616" s="1123"/>
      <c r="CP616" s="1123"/>
      <c r="CQ616" s="1123"/>
      <c r="CR616" s="1123"/>
      <c r="CS616" s="1123"/>
      <c r="CT616" s="1123"/>
      <c r="CU616" s="1123"/>
      <c r="CV616" s="1123"/>
      <c r="CW616" s="1123"/>
      <c r="CX616" s="1123"/>
      <c r="CY616" s="1123"/>
      <c r="CZ616" s="1114"/>
      <c r="DA616" s="1114"/>
      <c r="DB616" s="1114"/>
      <c r="DC616" s="1114"/>
      <c r="DD616" s="1114"/>
      <c r="DE616" s="1114"/>
      <c r="DF616" s="1114"/>
      <c r="DG616" s="1114"/>
      <c r="DH616" s="1114"/>
      <c r="DI616" s="1114"/>
      <c r="DJ616" s="1114"/>
      <c r="DK616" s="1114"/>
      <c r="DL616" s="1114"/>
      <c r="DM616" s="1114"/>
      <c r="DN616" s="1114"/>
      <c r="DO616" s="1114"/>
      <c r="DP616" s="1114"/>
      <c r="DQ616" s="1114"/>
      <c r="DR616" s="1114"/>
      <c r="DS616" s="1114"/>
      <c r="DT616" s="1114"/>
      <c r="DU616" s="1114"/>
      <c r="DV616" s="1115"/>
      <c r="DW616" s="1116"/>
      <c r="DX616" s="1116"/>
      <c r="DY616" s="1116"/>
      <c r="DZ616" s="1116"/>
      <c r="EA616" s="1116"/>
      <c r="EB616" s="1116"/>
      <c r="EC616" s="1116"/>
      <c r="ED616" s="1116"/>
      <c r="EE616" s="1116"/>
      <c r="EF616" s="1116"/>
      <c r="EG616" s="1116"/>
      <c r="EH616" s="1116"/>
      <c r="EI616" s="1116"/>
      <c r="EJ616" s="1116"/>
      <c r="EK616" s="1116"/>
      <c r="EL616" s="1116"/>
      <c r="EM616" s="1116"/>
      <c r="EN616" s="1116"/>
      <c r="EO616" s="1116"/>
      <c r="EP616" s="1116"/>
      <c r="EQ616" s="1116"/>
      <c r="ER616" s="1116"/>
      <c r="ES616" s="1116"/>
    </row>
    <row r="617" spans="1:149" ht="15" customHeight="1">
      <c r="A617" s="1185">
        <v>602</v>
      </c>
      <c r="B617" s="1041"/>
      <c r="C617" s="1050"/>
      <c r="D617" s="1050"/>
      <c r="E617" s="1050"/>
      <c r="F617" s="1049"/>
      <c r="G617" s="1457"/>
      <c r="H617" s="1049"/>
      <c r="I617" s="1049"/>
      <c r="J617" s="1050"/>
      <c r="K617" s="1050"/>
      <c r="L617" s="1043"/>
      <c r="M617" s="1051"/>
      <c r="N617" s="1051"/>
      <c r="O617" s="1052"/>
      <c r="P617" s="1051"/>
      <c r="Q617" s="1051"/>
      <c r="R617" s="1052"/>
      <c r="S617" s="1051"/>
      <c r="T617" s="1051"/>
      <c r="U617" s="1052"/>
      <c r="V617" s="1051"/>
      <c r="W617" s="1051"/>
      <c r="X617" s="1052"/>
      <c r="Y617" s="1053"/>
      <c r="Z617" s="1051"/>
      <c r="AA617" s="1051"/>
      <c r="AB617" s="1052"/>
      <c r="AC617" s="1051"/>
      <c r="AD617" s="1051"/>
      <c r="AE617" s="1052"/>
      <c r="AF617" s="1051"/>
      <c r="AG617" s="1051"/>
      <c r="AH617" s="1051"/>
      <c r="AI617" s="1051"/>
      <c r="AJ617" s="1052"/>
      <c r="AK617" s="1051"/>
      <c r="AL617" s="1051"/>
      <c r="AM617" s="1052"/>
      <c r="AN617" s="1051"/>
      <c r="AO617" s="1051"/>
      <c r="AP617" s="1052"/>
      <c r="AQ617" s="1051"/>
      <c r="AR617" s="1051"/>
      <c r="AS617" s="1052"/>
      <c r="AT617" s="1051"/>
      <c r="AU617" s="1051"/>
      <c r="AV617" s="1052"/>
      <c r="AW617" s="1051"/>
      <c r="AX617" s="1051"/>
      <c r="AY617" s="1053"/>
      <c r="AZ617" s="1051"/>
      <c r="BA617" s="1051"/>
      <c r="BB617" s="1053"/>
      <c r="BC617" s="1051"/>
      <c r="BD617" s="1051"/>
      <c r="BE617" s="1053"/>
      <c r="BF617" s="1051"/>
      <c r="BG617" s="1051"/>
      <c r="BH617" s="1053"/>
      <c r="BI617" s="1052"/>
      <c r="BJ617" s="1052"/>
      <c r="BK617" s="1052"/>
      <c r="BL617" s="1052"/>
      <c r="BM617" s="1052"/>
      <c r="BN617" s="1054"/>
      <c r="BO617" s="1076">
        <f t="shared" si="20"/>
        <v>0</v>
      </c>
      <c r="BP617" s="1051"/>
      <c r="BQ617" s="1052"/>
      <c r="BR617" s="1054"/>
      <c r="BS617" s="1053"/>
      <c r="BT617" s="1051"/>
      <c r="BU617" s="1051"/>
      <c r="BV617" s="1051"/>
      <c r="BW617" s="1052"/>
      <c r="BX617" s="1052"/>
      <c r="BY617" s="1052"/>
      <c r="BZ617" s="1052"/>
      <c r="CA617" s="1052"/>
      <c r="CB617" s="1053"/>
      <c r="CC617" s="1053"/>
      <c r="CD617" s="1053"/>
      <c r="CE617" s="1053"/>
      <c r="CF617" s="1053"/>
      <c r="CG617" s="1053"/>
      <c r="CH617" s="1053"/>
      <c r="CI617" s="1123"/>
      <c r="CJ617" s="1123"/>
      <c r="CK617" s="1123"/>
      <c r="CL617" s="1123"/>
      <c r="CM617" s="1123"/>
      <c r="CN617" s="1123"/>
      <c r="CO617" s="1123"/>
      <c r="CP617" s="1123"/>
      <c r="CQ617" s="1123"/>
      <c r="CR617" s="1123"/>
      <c r="CS617" s="1123"/>
      <c r="CT617" s="1123"/>
      <c r="CU617" s="1123"/>
      <c r="CV617" s="1123"/>
      <c r="CW617" s="1123"/>
      <c r="CX617" s="1123"/>
      <c r="CY617" s="1123"/>
      <c r="CZ617" s="1114"/>
      <c r="DA617" s="1114"/>
      <c r="DB617" s="1114"/>
      <c r="DC617" s="1114"/>
      <c r="DD617" s="1114"/>
      <c r="DE617" s="1114"/>
      <c r="DF617" s="1114"/>
      <c r="DG617" s="1114"/>
      <c r="DH617" s="1114"/>
      <c r="DI617" s="1114"/>
      <c r="DJ617" s="1114"/>
      <c r="DK617" s="1114"/>
      <c r="DL617" s="1114"/>
      <c r="DM617" s="1114"/>
      <c r="DN617" s="1114"/>
      <c r="DO617" s="1114"/>
      <c r="DP617" s="1114"/>
      <c r="DQ617" s="1114"/>
      <c r="DR617" s="1114"/>
      <c r="DS617" s="1114"/>
      <c r="DT617" s="1114"/>
      <c r="DU617" s="1114"/>
      <c r="DV617" s="1115"/>
      <c r="DW617" s="1116"/>
      <c r="DX617" s="1116"/>
      <c r="DY617" s="1116"/>
      <c r="DZ617" s="1116"/>
      <c r="EA617" s="1116"/>
      <c r="EB617" s="1116"/>
      <c r="EC617" s="1116"/>
      <c r="ED617" s="1116"/>
      <c r="EE617" s="1116"/>
      <c r="EF617" s="1116"/>
      <c r="EG617" s="1116"/>
      <c r="EH617" s="1116"/>
      <c r="EI617" s="1116"/>
      <c r="EJ617" s="1116"/>
      <c r="EK617" s="1116"/>
      <c r="EL617" s="1116"/>
      <c r="EM617" s="1116"/>
      <c r="EN617" s="1116"/>
      <c r="EO617" s="1116"/>
      <c r="EP617" s="1116"/>
      <c r="EQ617" s="1116"/>
      <c r="ER617" s="1116"/>
      <c r="ES617" s="1116"/>
    </row>
    <row r="618" spans="1:149" ht="15" customHeight="1">
      <c r="A618" s="1185">
        <v>603</v>
      </c>
      <c r="B618" s="1041"/>
      <c r="C618" s="1050"/>
      <c r="D618" s="1050"/>
      <c r="E618" s="1050"/>
      <c r="F618" s="1049"/>
      <c r="G618" s="1457"/>
      <c r="H618" s="1049"/>
      <c r="I618" s="1049"/>
      <c r="J618" s="1050"/>
      <c r="K618" s="1050"/>
      <c r="L618" s="1043"/>
      <c r="M618" s="1051"/>
      <c r="N618" s="1051"/>
      <c r="O618" s="1052"/>
      <c r="P618" s="1051"/>
      <c r="Q618" s="1051"/>
      <c r="R618" s="1052"/>
      <c r="S618" s="1051"/>
      <c r="T618" s="1051"/>
      <c r="U618" s="1052"/>
      <c r="V618" s="1051"/>
      <c r="W618" s="1051"/>
      <c r="X618" s="1052"/>
      <c r="Y618" s="1053"/>
      <c r="Z618" s="1051"/>
      <c r="AA618" s="1051"/>
      <c r="AB618" s="1052"/>
      <c r="AC618" s="1051"/>
      <c r="AD618" s="1051"/>
      <c r="AE618" s="1052"/>
      <c r="AF618" s="1051"/>
      <c r="AG618" s="1051"/>
      <c r="AH618" s="1051"/>
      <c r="AI618" s="1051"/>
      <c r="AJ618" s="1052"/>
      <c r="AK618" s="1051"/>
      <c r="AL618" s="1051"/>
      <c r="AM618" s="1052"/>
      <c r="AN618" s="1051"/>
      <c r="AO618" s="1051"/>
      <c r="AP618" s="1052"/>
      <c r="AQ618" s="1051"/>
      <c r="AR618" s="1051"/>
      <c r="AS618" s="1052"/>
      <c r="AT618" s="1051"/>
      <c r="AU618" s="1051"/>
      <c r="AV618" s="1052"/>
      <c r="AW618" s="1051"/>
      <c r="AX618" s="1051"/>
      <c r="AY618" s="1053"/>
      <c r="AZ618" s="1051"/>
      <c r="BA618" s="1051"/>
      <c r="BB618" s="1053"/>
      <c r="BC618" s="1051"/>
      <c r="BD618" s="1051"/>
      <c r="BE618" s="1053"/>
      <c r="BF618" s="1051"/>
      <c r="BG618" s="1051"/>
      <c r="BH618" s="1053"/>
      <c r="BI618" s="1052"/>
      <c r="BJ618" s="1052"/>
      <c r="BK618" s="1052"/>
      <c r="BL618" s="1052"/>
      <c r="BM618" s="1052"/>
      <c r="BN618" s="1054"/>
      <c r="BO618" s="1076">
        <f t="shared" si="20"/>
        <v>0</v>
      </c>
      <c r="BP618" s="1051"/>
      <c r="BQ618" s="1052"/>
      <c r="BR618" s="1054"/>
      <c r="BS618" s="1053"/>
      <c r="BT618" s="1051"/>
      <c r="BU618" s="1051"/>
      <c r="BV618" s="1051"/>
      <c r="BW618" s="1052"/>
      <c r="BX618" s="1052"/>
      <c r="BY618" s="1052"/>
      <c r="BZ618" s="1052"/>
      <c r="CA618" s="1052"/>
      <c r="CB618" s="1053"/>
      <c r="CC618" s="1053"/>
      <c r="CD618" s="1053"/>
      <c r="CE618" s="1053"/>
      <c r="CF618" s="1053"/>
      <c r="CG618" s="1053"/>
      <c r="CH618" s="1053"/>
      <c r="CI618" s="1123"/>
      <c r="CJ618" s="1123"/>
      <c r="CK618" s="1123"/>
      <c r="CL618" s="1123"/>
      <c r="CM618" s="1123"/>
      <c r="CN618" s="1123"/>
      <c r="CO618" s="1123"/>
      <c r="CP618" s="1123"/>
      <c r="CQ618" s="1123"/>
      <c r="CR618" s="1123"/>
      <c r="CS618" s="1123"/>
      <c r="CT618" s="1123"/>
      <c r="CU618" s="1123"/>
      <c r="CV618" s="1123"/>
      <c r="CW618" s="1123"/>
      <c r="CX618" s="1123"/>
      <c r="CY618" s="1123"/>
      <c r="CZ618" s="1114"/>
      <c r="DA618" s="1114"/>
      <c r="DB618" s="1114"/>
      <c r="DC618" s="1114"/>
      <c r="DD618" s="1114"/>
      <c r="DE618" s="1114"/>
      <c r="DF618" s="1114"/>
      <c r="DG618" s="1114"/>
      <c r="DH618" s="1114"/>
      <c r="DI618" s="1114"/>
      <c r="DJ618" s="1114"/>
      <c r="DK618" s="1114"/>
      <c r="DL618" s="1114"/>
      <c r="DM618" s="1114"/>
      <c r="DN618" s="1114"/>
      <c r="DO618" s="1114"/>
      <c r="DP618" s="1114"/>
      <c r="DQ618" s="1114"/>
      <c r="DR618" s="1114"/>
      <c r="DS618" s="1114"/>
      <c r="DT618" s="1114"/>
      <c r="DU618" s="1114"/>
      <c r="DV618" s="1115"/>
      <c r="DW618" s="1116"/>
      <c r="DX618" s="1116"/>
      <c r="DY618" s="1116"/>
      <c r="DZ618" s="1116"/>
      <c r="EA618" s="1116"/>
      <c r="EB618" s="1116"/>
      <c r="EC618" s="1116"/>
      <c r="ED618" s="1116"/>
      <c r="EE618" s="1116"/>
      <c r="EF618" s="1116"/>
      <c r="EG618" s="1116"/>
      <c r="EH618" s="1116"/>
      <c r="EI618" s="1116"/>
      <c r="EJ618" s="1116"/>
      <c r="EK618" s="1116"/>
      <c r="EL618" s="1116"/>
      <c r="EM618" s="1116"/>
      <c r="EN618" s="1116"/>
      <c r="EO618" s="1116"/>
      <c r="EP618" s="1116"/>
      <c r="EQ618" s="1116"/>
      <c r="ER618" s="1116"/>
      <c r="ES618" s="1116"/>
    </row>
    <row r="619" spans="1:149" ht="15" customHeight="1">
      <c r="A619" s="1185">
        <v>604</v>
      </c>
      <c r="B619" s="1041"/>
      <c r="C619" s="1050"/>
      <c r="D619" s="1050"/>
      <c r="E619" s="1050"/>
      <c r="F619" s="1049"/>
      <c r="G619" s="1457"/>
      <c r="H619" s="1049"/>
      <c r="I619" s="1049"/>
      <c r="J619" s="1050"/>
      <c r="K619" s="1050"/>
      <c r="L619" s="1043"/>
      <c r="M619" s="1051"/>
      <c r="N619" s="1051"/>
      <c r="O619" s="1052"/>
      <c r="P619" s="1051"/>
      <c r="Q619" s="1051"/>
      <c r="R619" s="1052"/>
      <c r="S619" s="1051"/>
      <c r="T619" s="1051"/>
      <c r="U619" s="1052"/>
      <c r="V619" s="1051"/>
      <c r="W619" s="1051"/>
      <c r="X619" s="1052"/>
      <c r="Y619" s="1053"/>
      <c r="Z619" s="1051"/>
      <c r="AA619" s="1051"/>
      <c r="AB619" s="1052"/>
      <c r="AC619" s="1051"/>
      <c r="AD619" s="1051"/>
      <c r="AE619" s="1052"/>
      <c r="AF619" s="1051"/>
      <c r="AG619" s="1051"/>
      <c r="AH619" s="1051"/>
      <c r="AI619" s="1051"/>
      <c r="AJ619" s="1052"/>
      <c r="AK619" s="1051"/>
      <c r="AL619" s="1051"/>
      <c r="AM619" s="1052"/>
      <c r="AN619" s="1051"/>
      <c r="AO619" s="1051"/>
      <c r="AP619" s="1052"/>
      <c r="AQ619" s="1051"/>
      <c r="AR619" s="1051"/>
      <c r="AS619" s="1052"/>
      <c r="AT619" s="1051"/>
      <c r="AU619" s="1051"/>
      <c r="AV619" s="1052"/>
      <c r="AW619" s="1051"/>
      <c r="AX619" s="1051"/>
      <c r="AY619" s="1053"/>
      <c r="AZ619" s="1051"/>
      <c r="BA619" s="1051"/>
      <c r="BB619" s="1053"/>
      <c r="BC619" s="1051"/>
      <c r="BD619" s="1051"/>
      <c r="BE619" s="1053"/>
      <c r="BF619" s="1051"/>
      <c r="BG619" s="1051"/>
      <c r="BH619" s="1053"/>
      <c r="BI619" s="1052"/>
      <c r="BJ619" s="1052"/>
      <c r="BK619" s="1052"/>
      <c r="BL619" s="1052"/>
      <c r="BM619" s="1052"/>
      <c r="BN619" s="1054"/>
      <c r="BO619" s="1076">
        <f t="shared" si="20"/>
        <v>0</v>
      </c>
      <c r="BP619" s="1051"/>
      <c r="BQ619" s="1052"/>
      <c r="BR619" s="1054"/>
      <c r="BS619" s="1053"/>
      <c r="BT619" s="1051"/>
      <c r="BU619" s="1051"/>
      <c r="BV619" s="1051"/>
      <c r="BW619" s="1052"/>
      <c r="BX619" s="1052"/>
      <c r="BY619" s="1052"/>
      <c r="BZ619" s="1052"/>
      <c r="CA619" s="1052"/>
      <c r="CB619" s="1053"/>
      <c r="CC619" s="1053"/>
      <c r="CD619" s="1053"/>
      <c r="CE619" s="1053"/>
      <c r="CF619" s="1053"/>
      <c r="CG619" s="1053"/>
      <c r="CH619" s="1053"/>
      <c r="CI619" s="1123"/>
      <c r="CJ619" s="1123"/>
      <c r="CK619" s="1123"/>
      <c r="CL619" s="1123"/>
      <c r="CM619" s="1123"/>
      <c r="CN619" s="1123"/>
      <c r="CO619" s="1123"/>
      <c r="CP619" s="1123"/>
      <c r="CQ619" s="1123"/>
      <c r="CR619" s="1123"/>
      <c r="CS619" s="1123"/>
      <c r="CT619" s="1123"/>
      <c r="CU619" s="1123"/>
      <c r="CV619" s="1123"/>
      <c r="CW619" s="1123"/>
      <c r="CX619" s="1123"/>
      <c r="CY619" s="1123"/>
      <c r="CZ619" s="1114"/>
      <c r="DA619" s="1114"/>
      <c r="DB619" s="1114"/>
      <c r="DC619" s="1114"/>
      <c r="DD619" s="1114"/>
      <c r="DE619" s="1114"/>
      <c r="DF619" s="1114"/>
      <c r="DG619" s="1114"/>
      <c r="DH619" s="1114"/>
      <c r="DI619" s="1114"/>
      <c r="DJ619" s="1114"/>
      <c r="DK619" s="1114"/>
      <c r="DL619" s="1114"/>
      <c r="DM619" s="1114"/>
      <c r="DN619" s="1114"/>
      <c r="DO619" s="1114"/>
      <c r="DP619" s="1114"/>
      <c r="DQ619" s="1114"/>
      <c r="DR619" s="1114"/>
      <c r="DS619" s="1114"/>
      <c r="DT619" s="1114"/>
      <c r="DU619" s="1114"/>
      <c r="DV619" s="1115"/>
      <c r="DW619" s="1116"/>
      <c r="DX619" s="1116"/>
      <c r="DY619" s="1116"/>
      <c r="DZ619" s="1116"/>
      <c r="EA619" s="1116"/>
      <c r="EB619" s="1116"/>
      <c r="EC619" s="1116"/>
      <c r="ED619" s="1116"/>
      <c r="EE619" s="1116"/>
      <c r="EF619" s="1116"/>
      <c r="EG619" s="1116"/>
      <c r="EH619" s="1116"/>
      <c r="EI619" s="1116"/>
      <c r="EJ619" s="1116"/>
      <c r="EK619" s="1116"/>
      <c r="EL619" s="1116"/>
      <c r="EM619" s="1116"/>
      <c r="EN619" s="1116"/>
      <c r="EO619" s="1116"/>
      <c r="EP619" s="1116"/>
      <c r="EQ619" s="1116"/>
      <c r="ER619" s="1116"/>
      <c r="ES619" s="1116"/>
    </row>
    <row r="620" spans="1:149" ht="15" customHeight="1">
      <c r="A620" s="1185">
        <v>605</v>
      </c>
      <c r="B620" s="1041"/>
      <c r="C620" s="1050"/>
      <c r="D620" s="1050"/>
      <c r="E620" s="1050"/>
      <c r="F620" s="1049"/>
      <c r="G620" s="1457"/>
      <c r="H620" s="1049"/>
      <c r="I620" s="1049"/>
      <c r="J620" s="1050"/>
      <c r="K620" s="1050"/>
      <c r="L620" s="1043"/>
      <c r="M620" s="1051"/>
      <c r="N620" s="1051"/>
      <c r="O620" s="1052"/>
      <c r="P620" s="1051"/>
      <c r="Q620" s="1051"/>
      <c r="R620" s="1052"/>
      <c r="S620" s="1051"/>
      <c r="T620" s="1051"/>
      <c r="U620" s="1052"/>
      <c r="V620" s="1051"/>
      <c r="W620" s="1051"/>
      <c r="X620" s="1052"/>
      <c r="Y620" s="1053"/>
      <c r="Z620" s="1051"/>
      <c r="AA620" s="1051"/>
      <c r="AB620" s="1052"/>
      <c r="AC620" s="1051"/>
      <c r="AD620" s="1051"/>
      <c r="AE620" s="1052"/>
      <c r="AF620" s="1051"/>
      <c r="AG620" s="1051"/>
      <c r="AH620" s="1051"/>
      <c r="AI620" s="1051"/>
      <c r="AJ620" s="1052"/>
      <c r="AK620" s="1051"/>
      <c r="AL620" s="1051"/>
      <c r="AM620" s="1052"/>
      <c r="AN620" s="1051"/>
      <c r="AO620" s="1051"/>
      <c r="AP620" s="1052"/>
      <c r="AQ620" s="1051"/>
      <c r="AR620" s="1051"/>
      <c r="AS620" s="1052"/>
      <c r="AT620" s="1051"/>
      <c r="AU620" s="1051"/>
      <c r="AV620" s="1052"/>
      <c r="AW620" s="1051"/>
      <c r="AX620" s="1051"/>
      <c r="AY620" s="1053"/>
      <c r="AZ620" s="1051"/>
      <c r="BA620" s="1051"/>
      <c r="BB620" s="1053"/>
      <c r="BC620" s="1051"/>
      <c r="BD620" s="1051"/>
      <c r="BE620" s="1053"/>
      <c r="BF620" s="1051"/>
      <c r="BG620" s="1051"/>
      <c r="BH620" s="1053"/>
      <c r="BI620" s="1052"/>
      <c r="BJ620" s="1052"/>
      <c r="BK620" s="1052"/>
      <c r="BL620" s="1052"/>
      <c r="BM620" s="1052"/>
      <c r="BN620" s="1054"/>
      <c r="BO620" s="1076">
        <f t="shared" si="20"/>
        <v>0</v>
      </c>
      <c r="BP620" s="1051"/>
      <c r="BQ620" s="1052"/>
      <c r="BR620" s="1054"/>
      <c r="BS620" s="1053"/>
      <c r="BT620" s="1051"/>
      <c r="BU620" s="1051"/>
      <c r="BV620" s="1051"/>
      <c r="BW620" s="1052"/>
      <c r="BX620" s="1052"/>
      <c r="BY620" s="1052"/>
      <c r="BZ620" s="1052"/>
      <c r="CA620" s="1052"/>
      <c r="CB620" s="1053"/>
      <c r="CC620" s="1053"/>
      <c r="CD620" s="1053"/>
      <c r="CE620" s="1053"/>
      <c r="CF620" s="1053"/>
      <c r="CG620" s="1053"/>
      <c r="CH620" s="1053"/>
      <c r="CI620" s="1123"/>
      <c r="CJ620" s="1123"/>
      <c r="CK620" s="1123"/>
      <c r="CL620" s="1123"/>
      <c r="CM620" s="1123"/>
      <c r="CN620" s="1123"/>
      <c r="CO620" s="1123"/>
      <c r="CP620" s="1123"/>
      <c r="CQ620" s="1123"/>
      <c r="CR620" s="1123"/>
      <c r="CS620" s="1123"/>
      <c r="CT620" s="1123"/>
      <c r="CU620" s="1123"/>
      <c r="CV620" s="1123"/>
      <c r="CW620" s="1123"/>
      <c r="CX620" s="1123"/>
      <c r="CY620" s="1123"/>
      <c r="CZ620" s="1114"/>
      <c r="DA620" s="1114"/>
      <c r="DB620" s="1114"/>
      <c r="DC620" s="1114"/>
      <c r="DD620" s="1114"/>
      <c r="DE620" s="1114"/>
      <c r="DF620" s="1114"/>
      <c r="DG620" s="1114"/>
      <c r="DH620" s="1114"/>
      <c r="DI620" s="1114"/>
      <c r="DJ620" s="1114"/>
      <c r="DK620" s="1114"/>
      <c r="DL620" s="1114"/>
      <c r="DM620" s="1114"/>
      <c r="DN620" s="1114"/>
      <c r="DO620" s="1114"/>
      <c r="DP620" s="1114"/>
      <c r="DQ620" s="1114"/>
      <c r="DR620" s="1114"/>
      <c r="DS620" s="1114"/>
      <c r="DT620" s="1114"/>
      <c r="DU620" s="1114"/>
      <c r="DV620" s="1115"/>
      <c r="DW620" s="1116"/>
      <c r="DX620" s="1116"/>
      <c r="DY620" s="1116"/>
      <c r="DZ620" s="1116"/>
      <c r="EA620" s="1116"/>
      <c r="EB620" s="1116"/>
      <c r="EC620" s="1116"/>
      <c r="ED620" s="1116"/>
      <c r="EE620" s="1116"/>
      <c r="EF620" s="1116"/>
      <c r="EG620" s="1116"/>
      <c r="EH620" s="1116"/>
      <c r="EI620" s="1116"/>
      <c r="EJ620" s="1116"/>
      <c r="EK620" s="1116"/>
      <c r="EL620" s="1116"/>
      <c r="EM620" s="1116"/>
      <c r="EN620" s="1116"/>
      <c r="EO620" s="1116"/>
      <c r="EP620" s="1116"/>
      <c r="EQ620" s="1116"/>
      <c r="ER620" s="1116"/>
      <c r="ES620" s="1116"/>
    </row>
    <row r="621" spans="1:149" ht="15" customHeight="1">
      <c r="A621" s="1185">
        <v>606</v>
      </c>
      <c r="B621" s="1041"/>
      <c r="C621" s="1050"/>
      <c r="D621" s="1050"/>
      <c r="E621" s="1050"/>
      <c r="F621" s="1049"/>
      <c r="G621" s="1457"/>
      <c r="H621" s="1049"/>
      <c r="I621" s="1049"/>
      <c r="J621" s="1050"/>
      <c r="K621" s="1050"/>
      <c r="L621" s="1043"/>
      <c r="M621" s="1051"/>
      <c r="N621" s="1051"/>
      <c r="O621" s="1052"/>
      <c r="P621" s="1051"/>
      <c r="Q621" s="1051"/>
      <c r="R621" s="1052"/>
      <c r="S621" s="1051"/>
      <c r="T621" s="1051"/>
      <c r="U621" s="1052"/>
      <c r="V621" s="1051"/>
      <c r="W621" s="1051"/>
      <c r="X621" s="1052"/>
      <c r="Y621" s="1053"/>
      <c r="Z621" s="1051"/>
      <c r="AA621" s="1051"/>
      <c r="AB621" s="1052"/>
      <c r="AC621" s="1051"/>
      <c r="AD621" s="1051"/>
      <c r="AE621" s="1052"/>
      <c r="AF621" s="1051"/>
      <c r="AG621" s="1051"/>
      <c r="AH621" s="1051"/>
      <c r="AI621" s="1051"/>
      <c r="AJ621" s="1052"/>
      <c r="AK621" s="1051"/>
      <c r="AL621" s="1051"/>
      <c r="AM621" s="1052"/>
      <c r="AN621" s="1051"/>
      <c r="AO621" s="1051"/>
      <c r="AP621" s="1052"/>
      <c r="AQ621" s="1051"/>
      <c r="AR621" s="1051"/>
      <c r="AS621" s="1052"/>
      <c r="AT621" s="1051"/>
      <c r="AU621" s="1051"/>
      <c r="AV621" s="1052"/>
      <c r="AW621" s="1051"/>
      <c r="AX621" s="1051"/>
      <c r="AY621" s="1053"/>
      <c r="AZ621" s="1051"/>
      <c r="BA621" s="1051"/>
      <c r="BB621" s="1053"/>
      <c r="BC621" s="1051"/>
      <c r="BD621" s="1051"/>
      <c r="BE621" s="1053"/>
      <c r="BF621" s="1051"/>
      <c r="BG621" s="1051"/>
      <c r="BH621" s="1053"/>
      <c r="BI621" s="1052"/>
      <c r="BJ621" s="1052"/>
      <c r="BK621" s="1052"/>
      <c r="BL621" s="1052"/>
      <c r="BM621" s="1052"/>
      <c r="BN621" s="1054"/>
      <c r="BO621" s="1076">
        <f t="shared" si="20"/>
        <v>0</v>
      </c>
      <c r="BP621" s="1051"/>
      <c r="BQ621" s="1052"/>
      <c r="BR621" s="1054"/>
      <c r="BS621" s="1053"/>
      <c r="BT621" s="1051"/>
      <c r="BU621" s="1051"/>
      <c r="BV621" s="1051"/>
      <c r="BW621" s="1052"/>
      <c r="BX621" s="1052"/>
      <c r="BY621" s="1052"/>
      <c r="BZ621" s="1052"/>
      <c r="CA621" s="1052"/>
      <c r="CB621" s="1053"/>
      <c r="CC621" s="1053"/>
      <c r="CD621" s="1053"/>
      <c r="CE621" s="1053"/>
      <c r="CF621" s="1053"/>
      <c r="CG621" s="1053"/>
      <c r="CH621" s="1053"/>
      <c r="CI621" s="1123"/>
      <c r="CJ621" s="1123"/>
      <c r="CK621" s="1123"/>
      <c r="CL621" s="1123"/>
      <c r="CM621" s="1123"/>
      <c r="CN621" s="1123"/>
      <c r="CO621" s="1123"/>
      <c r="CP621" s="1123"/>
      <c r="CQ621" s="1123"/>
      <c r="CR621" s="1123"/>
      <c r="CS621" s="1123"/>
      <c r="CT621" s="1123"/>
      <c r="CU621" s="1123"/>
      <c r="CV621" s="1123"/>
      <c r="CW621" s="1123"/>
      <c r="CX621" s="1123"/>
      <c r="CY621" s="1123"/>
      <c r="CZ621" s="1114"/>
      <c r="DA621" s="1114"/>
      <c r="DB621" s="1114"/>
      <c r="DC621" s="1114"/>
      <c r="DD621" s="1114"/>
      <c r="DE621" s="1114"/>
      <c r="DF621" s="1114"/>
      <c r="DG621" s="1114"/>
      <c r="DH621" s="1114"/>
      <c r="DI621" s="1114"/>
      <c r="DJ621" s="1114"/>
      <c r="DK621" s="1114"/>
      <c r="DL621" s="1114"/>
      <c r="DM621" s="1114"/>
      <c r="DN621" s="1114"/>
      <c r="DO621" s="1114"/>
      <c r="DP621" s="1114"/>
      <c r="DQ621" s="1114"/>
      <c r="DR621" s="1114"/>
      <c r="DS621" s="1114"/>
      <c r="DT621" s="1114"/>
      <c r="DU621" s="1114"/>
      <c r="DV621" s="1115"/>
      <c r="DW621" s="1116"/>
      <c r="DX621" s="1116"/>
      <c r="DY621" s="1116"/>
      <c r="DZ621" s="1116"/>
      <c r="EA621" s="1116"/>
      <c r="EB621" s="1116"/>
      <c r="EC621" s="1116"/>
      <c r="ED621" s="1116"/>
      <c r="EE621" s="1116"/>
      <c r="EF621" s="1116"/>
      <c r="EG621" s="1116"/>
      <c r="EH621" s="1116"/>
      <c r="EI621" s="1116"/>
      <c r="EJ621" s="1116"/>
      <c r="EK621" s="1116"/>
      <c r="EL621" s="1116"/>
      <c r="EM621" s="1116"/>
      <c r="EN621" s="1116"/>
      <c r="EO621" s="1116"/>
      <c r="EP621" s="1116"/>
      <c r="EQ621" s="1116"/>
      <c r="ER621" s="1116"/>
      <c r="ES621" s="1116"/>
    </row>
    <row r="622" spans="1:149" ht="15" customHeight="1">
      <c r="A622" s="1185">
        <v>607</v>
      </c>
      <c r="B622" s="1041"/>
      <c r="C622" s="1050"/>
      <c r="D622" s="1050"/>
      <c r="E622" s="1050"/>
      <c r="F622" s="1049"/>
      <c r="G622" s="1457"/>
      <c r="H622" s="1049"/>
      <c r="I622" s="1049"/>
      <c r="J622" s="1050"/>
      <c r="K622" s="1050"/>
      <c r="L622" s="1043"/>
      <c r="M622" s="1051"/>
      <c r="N622" s="1051"/>
      <c r="O622" s="1052"/>
      <c r="P622" s="1051"/>
      <c r="Q622" s="1051"/>
      <c r="R622" s="1052"/>
      <c r="S622" s="1051"/>
      <c r="T622" s="1051"/>
      <c r="U622" s="1052"/>
      <c r="V622" s="1051"/>
      <c r="W622" s="1051"/>
      <c r="X622" s="1052"/>
      <c r="Y622" s="1053"/>
      <c r="Z622" s="1051"/>
      <c r="AA622" s="1051"/>
      <c r="AB622" s="1052"/>
      <c r="AC622" s="1051"/>
      <c r="AD622" s="1051"/>
      <c r="AE622" s="1052"/>
      <c r="AF622" s="1051"/>
      <c r="AG622" s="1051"/>
      <c r="AH622" s="1051"/>
      <c r="AI622" s="1051"/>
      <c r="AJ622" s="1052"/>
      <c r="AK622" s="1051"/>
      <c r="AL622" s="1051"/>
      <c r="AM622" s="1052"/>
      <c r="AN622" s="1051"/>
      <c r="AO622" s="1051"/>
      <c r="AP622" s="1052"/>
      <c r="AQ622" s="1051"/>
      <c r="AR622" s="1051"/>
      <c r="AS622" s="1052"/>
      <c r="AT622" s="1051"/>
      <c r="AU622" s="1051"/>
      <c r="AV622" s="1052"/>
      <c r="AW622" s="1051"/>
      <c r="AX622" s="1051"/>
      <c r="AY622" s="1053"/>
      <c r="AZ622" s="1051"/>
      <c r="BA622" s="1051"/>
      <c r="BB622" s="1053"/>
      <c r="BC622" s="1051"/>
      <c r="BD622" s="1051"/>
      <c r="BE622" s="1053"/>
      <c r="BF622" s="1051"/>
      <c r="BG622" s="1051"/>
      <c r="BH622" s="1053"/>
      <c r="BI622" s="1052"/>
      <c r="BJ622" s="1052"/>
      <c r="BK622" s="1052"/>
      <c r="BL622" s="1052"/>
      <c r="BM622" s="1052"/>
      <c r="BN622" s="1054"/>
      <c r="BO622" s="1076">
        <f t="shared" si="20"/>
        <v>0</v>
      </c>
      <c r="BP622" s="1051"/>
      <c r="BQ622" s="1052"/>
      <c r="BR622" s="1054"/>
      <c r="BS622" s="1053"/>
      <c r="BT622" s="1051"/>
      <c r="BU622" s="1051"/>
      <c r="BV622" s="1051"/>
      <c r="BW622" s="1052"/>
      <c r="BX622" s="1052"/>
      <c r="BY622" s="1052"/>
      <c r="BZ622" s="1052"/>
      <c r="CA622" s="1052"/>
      <c r="CB622" s="1053"/>
      <c r="CC622" s="1053"/>
      <c r="CD622" s="1053"/>
      <c r="CE622" s="1053"/>
      <c r="CF622" s="1053"/>
      <c r="CG622" s="1053"/>
      <c r="CH622" s="1053"/>
      <c r="CI622" s="1123"/>
      <c r="CJ622" s="1123"/>
      <c r="CK622" s="1123"/>
      <c r="CL622" s="1123"/>
      <c r="CM622" s="1123"/>
      <c r="CN622" s="1123"/>
      <c r="CO622" s="1123"/>
      <c r="CP622" s="1123"/>
      <c r="CQ622" s="1123"/>
      <c r="CR622" s="1123"/>
      <c r="CS622" s="1123"/>
      <c r="CT622" s="1123"/>
      <c r="CU622" s="1123"/>
      <c r="CV622" s="1123"/>
      <c r="CW622" s="1123"/>
      <c r="CX622" s="1123"/>
      <c r="CY622" s="1123"/>
      <c r="CZ622" s="1114"/>
      <c r="DA622" s="1114"/>
      <c r="DB622" s="1114"/>
      <c r="DC622" s="1114"/>
      <c r="DD622" s="1114"/>
      <c r="DE622" s="1114"/>
      <c r="DF622" s="1114"/>
      <c r="DG622" s="1114"/>
      <c r="DH622" s="1114"/>
      <c r="DI622" s="1114"/>
      <c r="DJ622" s="1114"/>
      <c r="DK622" s="1114"/>
      <c r="DL622" s="1114"/>
      <c r="DM622" s="1114"/>
      <c r="DN622" s="1114"/>
      <c r="DO622" s="1114"/>
      <c r="DP622" s="1114"/>
      <c r="DQ622" s="1114"/>
      <c r="DR622" s="1114"/>
      <c r="DS622" s="1114"/>
      <c r="DT622" s="1114"/>
      <c r="DU622" s="1114"/>
      <c r="DV622" s="1115"/>
      <c r="DW622" s="1116"/>
      <c r="DX622" s="1116"/>
      <c r="DY622" s="1116"/>
      <c r="DZ622" s="1116"/>
      <c r="EA622" s="1116"/>
      <c r="EB622" s="1116"/>
      <c r="EC622" s="1116"/>
      <c r="ED622" s="1116"/>
      <c r="EE622" s="1116"/>
      <c r="EF622" s="1116"/>
      <c r="EG622" s="1116"/>
      <c r="EH622" s="1116"/>
      <c r="EI622" s="1116"/>
      <c r="EJ622" s="1116"/>
      <c r="EK622" s="1116"/>
      <c r="EL622" s="1116"/>
      <c r="EM622" s="1116"/>
      <c r="EN622" s="1116"/>
      <c r="EO622" s="1116"/>
      <c r="EP622" s="1116"/>
      <c r="EQ622" s="1116"/>
      <c r="ER622" s="1116"/>
      <c r="ES622" s="1116"/>
    </row>
    <row r="623" spans="1:149" ht="15" customHeight="1">
      <c r="A623" s="1185">
        <v>608</v>
      </c>
      <c r="B623" s="1041"/>
      <c r="C623" s="1050"/>
      <c r="D623" s="1050"/>
      <c r="E623" s="1050"/>
      <c r="F623" s="1049"/>
      <c r="G623" s="1457"/>
      <c r="H623" s="1049"/>
      <c r="I623" s="1049"/>
      <c r="J623" s="1050"/>
      <c r="K623" s="1050"/>
      <c r="L623" s="1043"/>
      <c r="M623" s="1051"/>
      <c r="N623" s="1051"/>
      <c r="O623" s="1052"/>
      <c r="P623" s="1051"/>
      <c r="Q623" s="1051"/>
      <c r="R623" s="1052"/>
      <c r="S623" s="1051"/>
      <c r="T623" s="1051"/>
      <c r="U623" s="1052"/>
      <c r="V623" s="1051"/>
      <c r="W623" s="1051"/>
      <c r="X623" s="1052"/>
      <c r="Y623" s="1053"/>
      <c r="Z623" s="1051"/>
      <c r="AA623" s="1051"/>
      <c r="AB623" s="1052"/>
      <c r="AC623" s="1051"/>
      <c r="AD623" s="1051"/>
      <c r="AE623" s="1052"/>
      <c r="AF623" s="1051"/>
      <c r="AG623" s="1051"/>
      <c r="AH623" s="1051"/>
      <c r="AI623" s="1051"/>
      <c r="AJ623" s="1052"/>
      <c r="AK623" s="1051"/>
      <c r="AL623" s="1051"/>
      <c r="AM623" s="1052"/>
      <c r="AN623" s="1051"/>
      <c r="AO623" s="1051"/>
      <c r="AP623" s="1052"/>
      <c r="AQ623" s="1051"/>
      <c r="AR623" s="1051"/>
      <c r="AS623" s="1052"/>
      <c r="AT623" s="1051"/>
      <c r="AU623" s="1051"/>
      <c r="AV623" s="1052"/>
      <c r="AW623" s="1051"/>
      <c r="AX623" s="1051"/>
      <c r="AY623" s="1053"/>
      <c r="AZ623" s="1051"/>
      <c r="BA623" s="1051"/>
      <c r="BB623" s="1053"/>
      <c r="BC623" s="1051"/>
      <c r="BD623" s="1051"/>
      <c r="BE623" s="1053"/>
      <c r="BF623" s="1051"/>
      <c r="BG623" s="1051"/>
      <c r="BH623" s="1053"/>
      <c r="BI623" s="1052"/>
      <c r="BJ623" s="1052"/>
      <c r="BK623" s="1052"/>
      <c r="BL623" s="1052"/>
      <c r="BM623" s="1052"/>
      <c r="BN623" s="1054"/>
      <c r="BO623" s="1076">
        <f t="shared" si="20"/>
        <v>0</v>
      </c>
      <c r="BP623" s="1051"/>
      <c r="BQ623" s="1052"/>
      <c r="BR623" s="1054"/>
      <c r="BS623" s="1053"/>
      <c r="BT623" s="1051"/>
      <c r="BU623" s="1051"/>
      <c r="BV623" s="1051"/>
      <c r="BW623" s="1052"/>
      <c r="BX623" s="1052"/>
      <c r="BY623" s="1052"/>
      <c r="BZ623" s="1052"/>
      <c r="CA623" s="1052"/>
      <c r="CB623" s="1053"/>
      <c r="CC623" s="1053"/>
      <c r="CD623" s="1053"/>
      <c r="CE623" s="1053"/>
      <c r="CF623" s="1053"/>
      <c r="CG623" s="1053"/>
      <c r="CH623" s="1053"/>
      <c r="CI623" s="1123"/>
      <c r="CJ623" s="1123"/>
      <c r="CK623" s="1123"/>
      <c r="CL623" s="1123"/>
      <c r="CM623" s="1123"/>
      <c r="CN623" s="1123"/>
      <c r="CO623" s="1123"/>
      <c r="CP623" s="1123"/>
      <c r="CQ623" s="1123"/>
      <c r="CR623" s="1123"/>
      <c r="CS623" s="1123"/>
      <c r="CT623" s="1123"/>
      <c r="CU623" s="1123"/>
      <c r="CV623" s="1123"/>
      <c r="CW623" s="1123"/>
      <c r="CX623" s="1123"/>
      <c r="CY623" s="1123"/>
      <c r="CZ623" s="1114"/>
      <c r="DA623" s="1114"/>
      <c r="DB623" s="1114"/>
      <c r="DC623" s="1114"/>
      <c r="DD623" s="1114"/>
      <c r="DE623" s="1114"/>
      <c r="DF623" s="1114"/>
      <c r="DG623" s="1114"/>
      <c r="DH623" s="1114"/>
      <c r="DI623" s="1114"/>
      <c r="DJ623" s="1114"/>
      <c r="DK623" s="1114"/>
      <c r="DL623" s="1114"/>
      <c r="DM623" s="1114"/>
      <c r="DN623" s="1114"/>
      <c r="DO623" s="1114"/>
      <c r="DP623" s="1114"/>
      <c r="DQ623" s="1114"/>
      <c r="DR623" s="1114"/>
      <c r="DS623" s="1114"/>
      <c r="DT623" s="1114"/>
      <c r="DU623" s="1114"/>
      <c r="DV623" s="1115"/>
      <c r="DW623" s="1116"/>
      <c r="DX623" s="1116"/>
      <c r="DY623" s="1116"/>
      <c r="DZ623" s="1116"/>
      <c r="EA623" s="1116"/>
      <c r="EB623" s="1116"/>
      <c r="EC623" s="1116"/>
      <c r="ED623" s="1116"/>
      <c r="EE623" s="1116"/>
      <c r="EF623" s="1116"/>
      <c r="EG623" s="1116"/>
      <c r="EH623" s="1116"/>
      <c r="EI623" s="1116"/>
      <c r="EJ623" s="1116"/>
      <c r="EK623" s="1116"/>
      <c r="EL623" s="1116"/>
      <c r="EM623" s="1116"/>
      <c r="EN623" s="1116"/>
      <c r="EO623" s="1116"/>
      <c r="EP623" s="1116"/>
      <c r="EQ623" s="1116"/>
      <c r="ER623" s="1116"/>
      <c r="ES623" s="1116"/>
    </row>
    <row r="624" spans="1:149" ht="15" customHeight="1">
      <c r="A624" s="1185">
        <v>609</v>
      </c>
      <c r="B624" s="1041"/>
      <c r="C624" s="1050"/>
      <c r="D624" s="1050"/>
      <c r="E624" s="1050"/>
      <c r="F624" s="1049"/>
      <c r="G624" s="1457"/>
      <c r="H624" s="1049"/>
      <c r="I624" s="1049"/>
      <c r="J624" s="1050"/>
      <c r="K624" s="1050"/>
      <c r="L624" s="1043"/>
      <c r="M624" s="1051"/>
      <c r="N624" s="1051"/>
      <c r="O624" s="1052"/>
      <c r="P624" s="1051"/>
      <c r="Q624" s="1051"/>
      <c r="R624" s="1052"/>
      <c r="S624" s="1051"/>
      <c r="T624" s="1051"/>
      <c r="U624" s="1052"/>
      <c r="V624" s="1051"/>
      <c r="W624" s="1051"/>
      <c r="X624" s="1052"/>
      <c r="Y624" s="1053"/>
      <c r="Z624" s="1051"/>
      <c r="AA624" s="1051"/>
      <c r="AB624" s="1052"/>
      <c r="AC624" s="1051"/>
      <c r="AD624" s="1051"/>
      <c r="AE624" s="1052"/>
      <c r="AF624" s="1051"/>
      <c r="AG624" s="1051"/>
      <c r="AH624" s="1051"/>
      <c r="AI624" s="1051"/>
      <c r="AJ624" s="1052"/>
      <c r="AK624" s="1051"/>
      <c r="AL624" s="1051"/>
      <c r="AM624" s="1052"/>
      <c r="AN624" s="1051"/>
      <c r="AO624" s="1051"/>
      <c r="AP624" s="1052"/>
      <c r="AQ624" s="1051"/>
      <c r="AR624" s="1051"/>
      <c r="AS624" s="1052"/>
      <c r="AT624" s="1051"/>
      <c r="AU624" s="1051"/>
      <c r="AV624" s="1052"/>
      <c r="AW624" s="1051"/>
      <c r="AX624" s="1051"/>
      <c r="AY624" s="1053"/>
      <c r="AZ624" s="1051"/>
      <c r="BA624" s="1051"/>
      <c r="BB624" s="1053"/>
      <c r="BC624" s="1051"/>
      <c r="BD624" s="1051"/>
      <c r="BE624" s="1053"/>
      <c r="BF624" s="1051"/>
      <c r="BG624" s="1051"/>
      <c r="BH624" s="1053"/>
      <c r="BI624" s="1052"/>
      <c r="BJ624" s="1052"/>
      <c r="BK624" s="1052"/>
      <c r="BL624" s="1052"/>
      <c r="BM624" s="1052"/>
      <c r="BN624" s="1054"/>
      <c r="BO624" s="1076">
        <f t="shared" si="20"/>
        <v>0</v>
      </c>
      <c r="BP624" s="1051"/>
      <c r="BQ624" s="1052"/>
      <c r="BR624" s="1054"/>
      <c r="BS624" s="1053"/>
      <c r="BT624" s="1051"/>
      <c r="BU624" s="1051"/>
      <c r="BV624" s="1051"/>
      <c r="BW624" s="1052"/>
      <c r="BX624" s="1052"/>
      <c r="BY624" s="1052"/>
      <c r="BZ624" s="1052"/>
      <c r="CA624" s="1052"/>
      <c r="CB624" s="1053"/>
      <c r="CC624" s="1053"/>
      <c r="CD624" s="1053"/>
      <c r="CE624" s="1053"/>
      <c r="CF624" s="1053"/>
      <c r="CG624" s="1053"/>
      <c r="CH624" s="1053"/>
      <c r="CI624" s="1123"/>
      <c r="CJ624" s="1123"/>
      <c r="CK624" s="1123"/>
      <c r="CL624" s="1123"/>
      <c r="CM624" s="1123"/>
      <c r="CN624" s="1123"/>
      <c r="CO624" s="1123"/>
      <c r="CP624" s="1123"/>
      <c r="CQ624" s="1123"/>
      <c r="CR624" s="1123"/>
      <c r="CS624" s="1123"/>
      <c r="CT624" s="1123"/>
      <c r="CU624" s="1123"/>
      <c r="CV624" s="1123"/>
      <c r="CW624" s="1123"/>
      <c r="CX624" s="1123"/>
      <c r="CY624" s="1123"/>
      <c r="CZ624" s="1114"/>
      <c r="DA624" s="1114"/>
      <c r="DB624" s="1114"/>
      <c r="DC624" s="1114"/>
      <c r="DD624" s="1114"/>
      <c r="DE624" s="1114"/>
      <c r="DF624" s="1114"/>
      <c r="DG624" s="1114"/>
      <c r="DH624" s="1114"/>
      <c r="DI624" s="1114"/>
      <c r="DJ624" s="1114"/>
      <c r="DK624" s="1114"/>
      <c r="DL624" s="1114"/>
      <c r="DM624" s="1114"/>
      <c r="DN624" s="1114"/>
      <c r="DO624" s="1114"/>
      <c r="DP624" s="1114"/>
      <c r="DQ624" s="1114"/>
      <c r="DR624" s="1114"/>
      <c r="DS624" s="1114"/>
      <c r="DT624" s="1114"/>
      <c r="DU624" s="1114"/>
      <c r="DV624" s="1115"/>
      <c r="DW624" s="1116"/>
      <c r="DX624" s="1116"/>
      <c r="DY624" s="1116"/>
      <c r="DZ624" s="1116"/>
      <c r="EA624" s="1116"/>
      <c r="EB624" s="1116"/>
      <c r="EC624" s="1116"/>
      <c r="ED624" s="1116"/>
      <c r="EE624" s="1116"/>
      <c r="EF624" s="1116"/>
      <c r="EG624" s="1116"/>
      <c r="EH624" s="1116"/>
      <c r="EI624" s="1116"/>
      <c r="EJ624" s="1116"/>
      <c r="EK624" s="1116"/>
      <c r="EL624" s="1116"/>
      <c r="EM624" s="1116"/>
      <c r="EN624" s="1116"/>
      <c r="EO624" s="1116"/>
      <c r="EP624" s="1116"/>
      <c r="EQ624" s="1116"/>
      <c r="ER624" s="1116"/>
      <c r="ES624" s="1116"/>
    </row>
    <row r="625" spans="1:149" ht="15" customHeight="1">
      <c r="A625" s="1185">
        <v>610</v>
      </c>
      <c r="B625" s="1041"/>
      <c r="C625" s="1050"/>
      <c r="D625" s="1050"/>
      <c r="E625" s="1050"/>
      <c r="F625" s="1049"/>
      <c r="G625" s="1457"/>
      <c r="H625" s="1049"/>
      <c r="I625" s="1049"/>
      <c r="J625" s="1050"/>
      <c r="K625" s="1050"/>
      <c r="L625" s="1043"/>
      <c r="M625" s="1051"/>
      <c r="N625" s="1051"/>
      <c r="O625" s="1052"/>
      <c r="P625" s="1051"/>
      <c r="Q625" s="1051"/>
      <c r="R625" s="1052"/>
      <c r="S625" s="1051"/>
      <c r="T625" s="1051"/>
      <c r="U625" s="1052"/>
      <c r="V625" s="1051"/>
      <c r="W625" s="1051"/>
      <c r="X625" s="1052"/>
      <c r="Y625" s="1053"/>
      <c r="Z625" s="1051"/>
      <c r="AA625" s="1051"/>
      <c r="AB625" s="1052"/>
      <c r="AC625" s="1051"/>
      <c r="AD625" s="1051"/>
      <c r="AE625" s="1052"/>
      <c r="AF625" s="1051"/>
      <c r="AG625" s="1051"/>
      <c r="AH625" s="1051"/>
      <c r="AI625" s="1051"/>
      <c r="AJ625" s="1052"/>
      <c r="AK625" s="1051"/>
      <c r="AL625" s="1051"/>
      <c r="AM625" s="1052"/>
      <c r="AN625" s="1051"/>
      <c r="AO625" s="1051"/>
      <c r="AP625" s="1052"/>
      <c r="AQ625" s="1051"/>
      <c r="AR625" s="1051"/>
      <c r="AS625" s="1052"/>
      <c r="AT625" s="1051"/>
      <c r="AU625" s="1051"/>
      <c r="AV625" s="1052"/>
      <c r="AW625" s="1051"/>
      <c r="AX625" s="1051"/>
      <c r="AY625" s="1053"/>
      <c r="AZ625" s="1051"/>
      <c r="BA625" s="1051"/>
      <c r="BB625" s="1053"/>
      <c r="BC625" s="1051"/>
      <c r="BD625" s="1051"/>
      <c r="BE625" s="1053"/>
      <c r="BF625" s="1051"/>
      <c r="BG625" s="1051"/>
      <c r="BH625" s="1053"/>
      <c r="BI625" s="1052"/>
      <c r="BJ625" s="1052"/>
      <c r="BK625" s="1052"/>
      <c r="BL625" s="1052"/>
      <c r="BM625" s="1052"/>
      <c r="BN625" s="1054"/>
      <c r="BO625" s="1076">
        <f t="shared" si="20"/>
        <v>0</v>
      </c>
      <c r="BP625" s="1051"/>
      <c r="BQ625" s="1052"/>
      <c r="BR625" s="1054"/>
      <c r="BS625" s="1053"/>
      <c r="BT625" s="1051"/>
      <c r="BU625" s="1051"/>
      <c r="BV625" s="1051"/>
      <c r="BW625" s="1052"/>
      <c r="BX625" s="1052"/>
      <c r="BY625" s="1052"/>
      <c r="BZ625" s="1052"/>
      <c r="CA625" s="1052"/>
      <c r="CB625" s="1053"/>
      <c r="CC625" s="1053"/>
      <c r="CD625" s="1053"/>
      <c r="CE625" s="1053"/>
      <c r="CF625" s="1053"/>
      <c r="CG625" s="1053"/>
      <c r="CH625" s="1053"/>
      <c r="CI625" s="1123"/>
      <c r="CJ625" s="1123"/>
      <c r="CK625" s="1123"/>
      <c r="CL625" s="1123"/>
      <c r="CM625" s="1123"/>
      <c r="CN625" s="1123"/>
      <c r="CO625" s="1123"/>
      <c r="CP625" s="1123"/>
      <c r="CQ625" s="1123"/>
      <c r="CR625" s="1123"/>
      <c r="CS625" s="1123"/>
      <c r="CT625" s="1123"/>
      <c r="CU625" s="1123"/>
      <c r="CV625" s="1123"/>
      <c r="CW625" s="1123"/>
      <c r="CX625" s="1123"/>
      <c r="CY625" s="1123"/>
      <c r="CZ625" s="1114"/>
      <c r="DA625" s="1114"/>
      <c r="DB625" s="1114"/>
      <c r="DC625" s="1114"/>
      <c r="DD625" s="1114"/>
      <c r="DE625" s="1114"/>
      <c r="DF625" s="1114"/>
      <c r="DG625" s="1114"/>
      <c r="DH625" s="1114"/>
      <c r="DI625" s="1114"/>
      <c r="DJ625" s="1114"/>
      <c r="DK625" s="1114"/>
      <c r="DL625" s="1114"/>
      <c r="DM625" s="1114"/>
      <c r="DN625" s="1114"/>
      <c r="DO625" s="1114"/>
      <c r="DP625" s="1114"/>
      <c r="DQ625" s="1114"/>
      <c r="DR625" s="1114"/>
      <c r="DS625" s="1114"/>
      <c r="DT625" s="1114"/>
      <c r="DU625" s="1114"/>
      <c r="DV625" s="1115"/>
      <c r="DW625" s="1116"/>
      <c r="DX625" s="1116"/>
      <c r="DY625" s="1116"/>
      <c r="DZ625" s="1116"/>
      <c r="EA625" s="1116"/>
      <c r="EB625" s="1116"/>
      <c r="EC625" s="1116"/>
      <c r="ED625" s="1116"/>
      <c r="EE625" s="1116"/>
      <c r="EF625" s="1116"/>
      <c r="EG625" s="1116"/>
      <c r="EH625" s="1116"/>
      <c r="EI625" s="1116"/>
      <c r="EJ625" s="1116"/>
      <c r="EK625" s="1116"/>
      <c r="EL625" s="1116"/>
      <c r="EM625" s="1116"/>
      <c r="EN625" s="1116"/>
      <c r="EO625" s="1116"/>
      <c r="EP625" s="1116"/>
      <c r="EQ625" s="1116"/>
      <c r="ER625" s="1116"/>
      <c r="ES625" s="1116"/>
    </row>
    <row r="626" spans="1:149" ht="15" customHeight="1">
      <c r="A626" s="1185">
        <v>611</v>
      </c>
      <c r="B626" s="1041"/>
      <c r="C626" s="1050"/>
      <c r="D626" s="1050"/>
      <c r="E626" s="1050"/>
      <c r="F626" s="1049"/>
      <c r="G626" s="1457"/>
      <c r="H626" s="1049"/>
      <c r="I626" s="1049"/>
      <c r="J626" s="1050"/>
      <c r="K626" s="1050"/>
      <c r="L626" s="1043"/>
      <c r="M626" s="1051"/>
      <c r="N626" s="1051"/>
      <c r="O626" s="1052"/>
      <c r="P626" s="1051"/>
      <c r="Q626" s="1051"/>
      <c r="R626" s="1052"/>
      <c r="S626" s="1051"/>
      <c r="T626" s="1051"/>
      <c r="U626" s="1052"/>
      <c r="V626" s="1051"/>
      <c r="W626" s="1051"/>
      <c r="X626" s="1052"/>
      <c r="Y626" s="1053"/>
      <c r="Z626" s="1051"/>
      <c r="AA626" s="1051"/>
      <c r="AB626" s="1052"/>
      <c r="AC626" s="1051"/>
      <c r="AD626" s="1051"/>
      <c r="AE626" s="1052"/>
      <c r="AF626" s="1051"/>
      <c r="AG626" s="1051"/>
      <c r="AH626" s="1051"/>
      <c r="AI626" s="1051"/>
      <c r="AJ626" s="1052"/>
      <c r="AK626" s="1051"/>
      <c r="AL626" s="1051"/>
      <c r="AM626" s="1052"/>
      <c r="AN626" s="1051"/>
      <c r="AO626" s="1051"/>
      <c r="AP626" s="1052"/>
      <c r="AQ626" s="1051"/>
      <c r="AR626" s="1051"/>
      <c r="AS626" s="1052"/>
      <c r="AT626" s="1051"/>
      <c r="AU626" s="1051"/>
      <c r="AV626" s="1052"/>
      <c r="AW626" s="1051"/>
      <c r="AX626" s="1051"/>
      <c r="AY626" s="1053"/>
      <c r="AZ626" s="1051"/>
      <c r="BA626" s="1051"/>
      <c r="BB626" s="1053"/>
      <c r="BC626" s="1051"/>
      <c r="BD626" s="1051"/>
      <c r="BE626" s="1053"/>
      <c r="BF626" s="1051"/>
      <c r="BG626" s="1051"/>
      <c r="BH626" s="1053"/>
      <c r="BI626" s="1052"/>
      <c r="BJ626" s="1052"/>
      <c r="BK626" s="1052"/>
      <c r="BL626" s="1052"/>
      <c r="BM626" s="1052"/>
      <c r="BN626" s="1054"/>
      <c r="BO626" s="1076">
        <f t="shared" si="20"/>
        <v>0</v>
      </c>
      <c r="BP626" s="1051"/>
      <c r="BQ626" s="1052"/>
      <c r="BR626" s="1054"/>
      <c r="BS626" s="1053"/>
      <c r="BT626" s="1051"/>
      <c r="BU626" s="1051"/>
      <c r="BV626" s="1051"/>
      <c r="BW626" s="1052"/>
      <c r="BX626" s="1052"/>
      <c r="BY626" s="1052"/>
      <c r="BZ626" s="1052"/>
      <c r="CA626" s="1052"/>
      <c r="CB626" s="1053"/>
      <c r="CC626" s="1053"/>
      <c r="CD626" s="1053"/>
      <c r="CE626" s="1053"/>
      <c r="CF626" s="1053"/>
      <c r="CG626" s="1053"/>
      <c r="CH626" s="1053"/>
      <c r="CI626" s="1123"/>
      <c r="CJ626" s="1123"/>
      <c r="CK626" s="1123"/>
      <c r="CL626" s="1123"/>
      <c r="CM626" s="1123"/>
      <c r="CN626" s="1123"/>
      <c r="CO626" s="1123"/>
      <c r="CP626" s="1123"/>
      <c r="CQ626" s="1123"/>
      <c r="CR626" s="1123"/>
      <c r="CS626" s="1123"/>
      <c r="CT626" s="1123"/>
      <c r="CU626" s="1123"/>
      <c r="CV626" s="1123"/>
      <c r="CW626" s="1123"/>
      <c r="CX626" s="1123"/>
      <c r="CY626" s="1123"/>
      <c r="CZ626" s="1114"/>
      <c r="DA626" s="1114"/>
      <c r="DB626" s="1114"/>
      <c r="DC626" s="1114"/>
      <c r="DD626" s="1114"/>
      <c r="DE626" s="1114"/>
      <c r="DF626" s="1114"/>
      <c r="DG626" s="1114"/>
      <c r="DH626" s="1114"/>
      <c r="DI626" s="1114"/>
      <c r="DJ626" s="1114"/>
      <c r="DK626" s="1114"/>
      <c r="DL626" s="1114"/>
      <c r="DM626" s="1114"/>
      <c r="DN626" s="1114"/>
      <c r="DO626" s="1114"/>
      <c r="DP626" s="1114"/>
      <c r="DQ626" s="1114"/>
      <c r="DR626" s="1114"/>
      <c r="DS626" s="1114"/>
      <c r="DT626" s="1114"/>
      <c r="DU626" s="1114"/>
      <c r="DV626" s="1115"/>
      <c r="DW626" s="1116"/>
      <c r="DX626" s="1116"/>
      <c r="DY626" s="1116"/>
      <c r="DZ626" s="1116"/>
      <c r="EA626" s="1116"/>
      <c r="EB626" s="1116"/>
      <c r="EC626" s="1116"/>
      <c r="ED626" s="1116"/>
      <c r="EE626" s="1116"/>
      <c r="EF626" s="1116"/>
      <c r="EG626" s="1116"/>
      <c r="EH626" s="1116"/>
      <c r="EI626" s="1116"/>
      <c r="EJ626" s="1116"/>
      <c r="EK626" s="1116"/>
      <c r="EL626" s="1116"/>
      <c r="EM626" s="1116"/>
      <c r="EN626" s="1116"/>
      <c r="EO626" s="1116"/>
      <c r="EP626" s="1116"/>
      <c r="EQ626" s="1116"/>
      <c r="ER626" s="1116"/>
      <c r="ES626" s="1116"/>
    </row>
    <row r="627" spans="1:149" ht="15" customHeight="1">
      <c r="A627" s="1185">
        <v>612</v>
      </c>
      <c r="B627" s="1041"/>
      <c r="C627" s="1050"/>
      <c r="D627" s="1050"/>
      <c r="E627" s="1050"/>
      <c r="F627" s="1049"/>
      <c r="G627" s="1457"/>
      <c r="H627" s="1049"/>
      <c r="I627" s="1049"/>
      <c r="J627" s="1050"/>
      <c r="K627" s="1050"/>
      <c r="L627" s="1043"/>
      <c r="M627" s="1051"/>
      <c r="N627" s="1051"/>
      <c r="O627" s="1052"/>
      <c r="P627" s="1051"/>
      <c r="Q627" s="1051"/>
      <c r="R627" s="1052"/>
      <c r="S627" s="1051"/>
      <c r="T627" s="1051"/>
      <c r="U627" s="1052"/>
      <c r="V627" s="1051"/>
      <c r="W627" s="1051"/>
      <c r="X627" s="1052"/>
      <c r="Y627" s="1053"/>
      <c r="Z627" s="1051"/>
      <c r="AA627" s="1051"/>
      <c r="AB627" s="1052"/>
      <c r="AC627" s="1051"/>
      <c r="AD627" s="1051"/>
      <c r="AE627" s="1052"/>
      <c r="AF627" s="1051"/>
      <c r="AG627" s="1051"/>
      <c r="AH627" s="1051"/>
      <c r="AI627" s="1051"/>
      <c r="AJ627" s="1052"/>
      <c r="AK627" s="1051"/>
      <c r="AL627" s="1051"/>
      <c r="AM627" s="1052"/>
      <c r="AN627" s="1051"/>
      <c r="AO627" s="1051"/>
      <c r="AP627" s="1052"/>
      <c r="AQ627" s="1051"/>
      <c r="AR627" s="1051"/>
      <c r="AS627" s="1052"/>
      <c r="AT627" s="1051"/>
      <c r="AU627" s="1051"/>
      <c r="AV627" s="1052"/>
      <c r="AW627" s="1051"/>
      <c r="AX627" s="1051"/>
      <c r="AY627" s="1053"/>
      <c r="AZ627" s="1051"/>
      <c r="BA627" s="1051"/>
      <c r="BB627" s="1053"/>
      <c r="BC627" s="1051"/>
      <c r="BD627" s="1051"/>
      <c r="BE627" s="1053"/>
      <c r="BF627" s="1051"/>
      <c r="BG627" s="1051"/>
      <c r="BH627" s="1053"/>
      <c r="BI627" s="1052"/>
      <c r="BJ627" s="1052"/>
      <c r="BK627" s="1052"/>
      <c r="BL627" s="1052"/>
      <c r="BM627" s="1052"/>
      <c r="BN627" s="1054"/>
      <c r="BO627" s="1076">
        <f t="shared" si="20"/>
        <v>0</v>
      </c>
      <c r="BP627" s="1051"/>
      <c r="BQ627" s="1052"/>
      <c r="BR627" s="1054"/>
      <c r="BS627" s="1053"/>
      <c r="BT627" s="1051"/>
      <c r="BU627" s="1051"/>
      <c r="BV627" s="1051"/>
      <c r="BW627" s="1052"/>
      <c r="BX627" s="1052"/>
      <c r="BY627" s="1052"/>
      <c r="BZ627" s="1052"/>
      <c r="CA627" s="1052"/>
      <c r="CB627" s="1053"/>
      <c r="CC627" s="1053"/>
      <c r="CD627" s="1053"/>
      <c r="CE627" s="1053"/>
      <c r="CF627" s="1053"/>
      <c r="CG627" s="1053"/>
      <c r="CH627" s="1053"/>
      <c r="CI627" s="1123"/>
      <c r="CJ627" s="1123"/>
      <c r="CK627" s="1123"/>
      <c r="CL627" s="1123"/>
      <c r="CM627" s="1123"/>
      <c r="CN627" s="1123"/>
      <c r="CO627" s="1123"/>
      <c r="CP627" s="1123"/>
      <c r="CQ627" s="1123"/>
      <c r="CR627" s="1123"/>
      <c r="CS627" s="1123"/>
      <c r="CT627" s="1123"/>
      <c r="CU627" s="1123"/>
      <c r="CV627" s="1123"/>
      <c r="CW627" s="1123"/>
      <c r="CX627" s="1123"/>
      <c r="CY627" s="1123"/>
      <c r="CZ627" s="1114"/>
      <c r="DA627" s="1114"/>
      <c r="DB627" s="1114"/>
      <c r="DC627" s="1114"/>
      <c r="DD627" s="1114"/>
      <c r="DE627" s="1114"/>
      <c r="DF627" s="1114"/>
      <c r="DG627" s="1114"/>
      <c r="DH627" s="1114"/>
      <c r="DI627" s="1114"/>
      <c r="DJ627" s="1114"/>
      <c r="DK627" s="1114"/>
      <c r="DL627" s="1114"/>
      <c r="DM627" s="1114"/>
      <c r="DN627" s="1114"/>
      <c r="DO627" s="1114"/>
      <c r="DP627" s="1114"/>
      <c r="DQ627" s="1114"/>
      <c r="DR627" s="1114"/>
      <c r="DS627" s="1114"/>
      <c r="DT627" s="1114"/>
      <c r="DU627" s="1114"/>
      <c r="DV627" s="1115"/>
      <c r="DW627" s="1116"/>
      <c r="DX627" s="1116"/>
      <c r="DY627" s="1116"/>
      <c r="DZ627" s="1116"/>
      <c r="EA627" s="1116"/>
      <c r="EB627" s="1116"/>
      <c r="EC627" s="1116"/>
      <c r="ED627" s="1116"/>
      <c r="EE627" s="1116"/>
      <c r="EF627" s="1116"/>
      <c r="EG627" s="1116"/>
      <c r="EH627" s="1116"/>
      <c r="EI627" s="1116"/>
      <c r="EJ627" s="1116"/>
      <c r="EK627" s="1116"/>
      <c r="EL627" s="1116"/>
      <c r="EM627" s="1116"/>
      <c r="EN627" s="1116"/>
      <c r="EO627" s="1116"/>
      <c r="EP627" s="1116"/>
      <c r="EQ627" s="1116"/>
      <c r="ER627" s="1116"/>
      <c r="ES627" s="1116"/>
    </row>
    <row r="628" spans="1:149" ht="15" customHeight="1">
      <c r="A628" s="1185">
        <v>613</v>
      </c>
      <c r="B628" s="1041"/>
      <c r="C628" s="1050"/>
      <c r="D628" s="1050"/>
      <c r="E628" s="1050"/>
      <c r="F628" s="1049"/>
      <c r="G628" s="1457"/>
      <c r="H628" s="1049"/>
      <c r="I628" s="1049"/>
      <c r="J628" s="1050"/>
      <c r="K628" s="1050"/>
      <c r="L628" s="1043"/>
      <c r="M628" s="1051"/>
      <c r="N628" s="1051"/>
      <c r="O628" s="1052"/>
      <c r="P628" s="1051"/>
      <c r="Q628" s="1051"/>
      <c r="R628" s="1052"/>
      <c r="S628" s="1051"/>
      <c r="T628" s="1051"/>
      <c r="U628" s="1052"/>
      <c r="V628" s="1051"/>
      <c r="W628" s="1051"/>
      <c r="X628" s="1052"/>
      <c r="Y628" s="1053"/>
      <c r="Z628" s="1051"/>
      <c r="AA628" s="1051"/>
      <c r="AB628" s="1052"/>
      <c r="AC628" s="1051"/>
      <c r="AD628" s="1051"/>
      <c r="AE628" s="1052"/>
      <c r="AF628" s="1051"/>
      <c r="AG628" s="1051"/>
      <c r="AH628" s="1051"/>
      <c r="AI628" s="1051"/>
      <c r="AJ628" s="1052"/>
      <c r="AK628" s="1051"/>
      <c r="AL628" s="1051"/>
      <c r="AM628" s="1052"/>
      <c r="AN628" s="1051"/>
      <c r="AO628" s="1051"/>
      <c r="AP628" s="1052"/>
      <c r="AQ628" s="1051"/>
      <c r="AR628" s="1051"/>
      <c r="AS628" s="1052"/>
      <c r="AT628" s="1051"/>
      <c r="AU628" s="1051"/>
      <c r="AV628" s="1052"/>
      <c r="AW628" s="1051"/>
      <c r="AX628" s="1051"/>
      <c r="AY628" s="1053"/>
      <c r="AZ628" s="1051"/>
      <c r="BA628" s="1051"/>
      <c r="BB628" s="1053"/>
      <c r="BC628" s="1051"/>
      <c r="BD628" s="1051"/>
      <c r="BE628" s="1053"/>
      <c r="BF628" s="1051"/>
      <c r="BG628" s="1051"/>
      <c r="BH628" s="1053"/>
      <c r="BI628" s="1052"/>
      <c r="BJ628" s="1052"/>
      <c r="BK628" s="1052"/>
      <c r="BL628" s="1052"/>
      <c r="BM628" s="1052"/>
      <c r="BN628" s="1054"/>
      <c r="BO628" s="1076">
        <f t="shared" si="20"/>
        <v>0</v>
      </c>
      <c r="BP628" s="1051"/>
      <c r="BQ628" s="1052"/>
      <c r="BR628" s="1054"/>
      <c r="BS628" s="1053"/>
      <c r="BT628" s="1051"/>
      <c r="BU628" s="1051"/>
      <c r="BV628" s="1051"/>
      <c r="BW628" s="1052"/>
      <c r="BX628" s="1052"/>
      <c r="BY628" s="1052"/>
      <c r="BZ628" s="1052"/>
      <c r="CA628" s="1052"/>
      <c r="CB628" s="1053"/>
      <c r="CC628" s="1053"/>
      <c r="CD628" s="1053"/>
      <c r="CE628" s="1053"/>
      <c r="CF628" s="1053"/>
      <c r="CG628" s="1053"/>
      <c r="CH628" s="1053"/>
      <c r="CI628" s="1123"/>
      <c r="CJ628" s="1123"/>
      <c r="CK628" s="1123"/>
      <c r="CL628" s="1123"/>
      <c r="CM628" s="1123"/>
      <c r="CN628" s="1123"/>
      <c r="CO628" s="1123"/>
      <c r="CP628" s="1123"/>
      <c r="CQ628" s="1123"/>
      <c r="CR628" s="1123"/>
      <c r="CS628" s="1123"/>
      <c r="CT628" s="1123"/>
      <c r="CU628" s="1123"/>
      <c r="CV628" s="1123"/>
      <c r="CW628" s="1123"/>
      <c r="CX628" s="1123"/>
      <c r="CY628" s="1123"/>
      <c r="CZ628" s="1114"/>
      <c r="DA628" s="1114"/>
      <c r="DB628" s="1114"/>
      <c r="DC628" s="1114"/>
      <c r="DD628" s="1114"/>
      <c r="DE628" s="1114"/>
      <c r="DF628" s="1114"/>
      <c r="DG628" s="1114"/>
      <c r="DH628" s="1114"/>
      <c r="DI628" s="1114"/>
      <c r="DJ628" s="1114"/>
      <c r="DK628" s="1114"/>
      <c r="DL628" s="1114"/>
      <c r="DM628" s="1114"/>
      <c r="DN628" s="1114"/>
      <c r="DO628" s="1114"/>
      <c r="DP628" s="1114"/>
      <c r="DQ628" s="1114"/>
      <c r="DR628" s="1114"/>
      <c r="DS628" s="1114"/>
      <c r="DT628" s="1114"/>
      <c r="DU628" s="1114"/>
      <c r="DV628" s="1115"/>
      <c r="DW628" s="1116"/>
      <c r="DX628" s="1116"/>
      <c r="DY628" s="1116"/>
      <c r="DZ628" s="1116"/>
      <c r="EA628" s="1116"/>
      <c r="EB628" s="1116"/>
      <c r="EC628" s="1116"/>
      <c r="ED628" s="1116"/>
      <c r="EE628" s="1116"/>
      <c r="EF628" s="1116"/>
      <c r="EG628" s="1116"/>
      <c r="EH628" s="1116"/>
      <c r="EI628" s="1116"/>
      <c r="EJ628" s="1116"/>
      <c r="EK628" s="1116"/>
      <c r="EL628" s="1116"/>
      <c r="EM628" s="1116"/>
      <c r="EN628" s="1116"/>
      <c r="EO628" s="1116"/>
      <c r="EP628" s="1116"/>
      <c r="EQ628" s="1116"/>
      <c r="ER628" s="1116"/>
      <c r="ES628" s="1116"/>
    </row>
    <row r="629" spans="1:149" ht="15" customHeight="1">
      <c r="A629" s="1185">
        <v>614</v>
      </c>
      <c r="B629" s="1041"/>
      <c r="C629" s="1050"/>
      <c r="D629" s="1050"/>
      <c r="E629" s="1050"/>
      <c r="F629" s="1049"/>
      <c r="G629" s="1457"/>
      <c r="H629" s="1049"/>
      <c r="I629" s="1049"/>
      <c r="J629" s="1050"/>
      <c r="K629" s="1050"/>
      <c r="L629" s="1043"/>
      <c r="M629" s="1051"/>
      <c r="N629" s="1051"/>
      <c r="O629" s="1052"/>
      <c r="P629" s="1051"/>
      <c r="Q629" s="1051"/>
      <c r="R629" s="1052"/>
      <c r="S629" s="1051"/>
      <c r="T629" s="1051"/>
      <c r="U629" s="1052"/>
      <c r="V629" s="1051"/>
      <c r="W629" s="1051"/>
      <c r="X629" s="1052"/>
      <c r="Y629" s="1053"/>
      <c r="Z629" s="1051"/>
      <c r="AA629" s="1051"/>
      <c r="AB629" s="1052"/>
      <c r="AC629" s="1051"/>
      <c r="AD629" s="1051"/>
      <c r="AE629" s="1052"/>
      <c r="AF629" s="1051"/>
      <c r="AG629" s="1051"/>
      <c r="AH629" s="1051"/>
      <c r="AI629" s="1051"/>
      <c r="AJ629" s="1052"/>
      <c r="AK629" s="1051"/>
      <c r="AL629" s="1051"/>
      <c r="AM629" s="1052"/>
      <c r="AN629" s="1051"/>
      <c r="AO629" s="1051"/>
      <c r="AP629" s="1052"/>
      <c r="AQ629" s="1051"/>
      <c r="AR629" s="1051"/>
      <c r="AS629" s="1052"/>
      <c r="AT629" s="1051"/>
      <c r="AU629" s="1051"/>
      <c r="AV629" s="1052"/>
      <c r="AW629" s="1051"/>
      <c r="AX629" s="1051"/>
      <c r="AY629" s="1053"/>
      <c r="AZ629" s="1051"/>
      <c r="BA629" s="1051"/>
      <c r="BB629" s="1053"/>
      <c r="BC629" s="1051"/>
      <c r="BD629" s="1051"/>
      <c r="BE629" s="1053"/>
      <c r="BF629" s="1051"/>
      <c r="BG629" s="1051"/>
      <c r="BH629" s="1053"/>
      <c r="BI629" s="1052"/>
      <c r="BJ629" s="1052"/>
      <c r="BK629" s="1052"/>
      <c r="BL629" s="1052"/>
      <c r="BM629" s="1052"/>
      <c r="BN629" s="1054"/>
      <c r="BO629" s="1076">
        <f t="shared" si="20"/>
        <v>0</v>
      </c>
      <c r="BP629" s="1051"/>
      <c r="BQ629" s="1052"/>
      <c r="BR629" s="1054"/>
      <c r="BS629" s="1053"/>
      <c r="BT629" s="1051"/>
      <c r="BU629" s="1051"/>
      <c r="BV629" s="1051"/>
      <c r="BW629" s="1052"/>
      <c r="BX629" s="1052"/>
      <c r="BY629" s="1052"/>
      <c r="BZ629" s="1052"/>
      <c r="CA629" s="1052"/>
      <c r="CB629" s="1053"/>
      <c r="CC629" s="1053"/>
      <c r="CD629" s="1053"/>
      <c r="CE629" s="1053"/>
      <c r="CF629" s="1053"/>
      <c r="CG629" s="1053"/>
      <c r="CH629" s="1053"/>
      <c r="CI629" s="1123"/>
      <c r="CJ629" s="1123"/>
      <c r="CK629" s="1123"/>
      <c r="CL629" s="1123"/>
      <c r="CM629" s="1123"/>
      <c r="CN629" s="1123"/>
      <c r="CO629" s="1123"/>
      <c r="CP629" s="1123"/>
      <c r="CQ629" s="1123"/>
      <c r="CR629" s="1123"/>
      <c r="CS629" s="1123"/>
      <c r="CT629" s="1123"/>
      <c r="CU629" s="1123"/>
      <c r="CV629" s="1123"/>
      <c r="CW629" s="1123"/>
      <c r="CX629" s="1123"/>
      <c r="CY629" s="1123"/>
      <c r="CZ629" s="1114"/>
      <c r="DA629" s="1114"/>
      <c r="DB629" s="1114"/>
      <c r="DC629" s="1114"/>
      <c r="DD629" s="1114"/>
      <c r="DE629" s="1114"/>
      <c r="DF629" s="1114"/>
      <c r="DG629" s="1114"/>
      <c r="DH629" s="1114"/>
      <c r="DI629" s="1114"/>
      <c r="DJ629" s="1114"/>
      <c r="DK629" s="1114"/>
      <c r="DL629" s="1114"/>
      <c r="DM629" s="1114"/>
      <c r="DN629" s="1114"/>
      <c r="DO629" s="1114"/>
      <c r="DP629" s="1114"/>
      <c r="DQ629" s="1114"/>
      <c r="DR629" s="1114"/>
      <c r="DS629" s="1114"/>
      <c r="DT629" s="1114"/>
      <c r="DU629" s="1114"/>
      <c r="DV629" s="1115"/>
      <c r="DW629" s="1116"/>
      <c r="DX629" s="1116"/>
      <c r="DY629" s="1116"/>
      <c r="DZ629" s="1116"/>
      <c r="EA629" s="1116"/>
      <c r="EB629" s="1116"/>
      <c r="EC629" s="1116"/>
      <c r="ED629" s="1116"/>
      <c r="EE629" s="1116"/>
      <c r="EF629" s="1116"/>
      <c r="EG629" s="1116"/>
      <c r="EH629" s="1116"/>
      <c r="EI629" s="1116"/>
      <c r="EJ629" s="1116"/>
      <c r="EK629" s="1116"/>
      <c r="EL629" s="1116"/>
      <c r="EM629" s="1116"/>
      <c r="EN629" s="1116"/>
      <c r="EO629" s="1116"/>
      <c r="EP629" s="1116"/>
      <c r="EQ629" s="1116"/>
      <c r="ER629" s="1116"/>
      <c r="ES629" s="1116"/>
    </row>
    <row r="630" spans="1:149" ht="15" customHeight="1">
      <c r="A630" s="1185">
        <v>615</v>
      </c>
      <c r="B630" s="1041"/>
      <c r="C630" s="1050"/>
      <c r="D630" s="1050"/>
      <c r="E630" s="1050"/>
      <c r="F630" s="1049"/>
      <c r="G630" s="1457"/>
      <c r="H630" s="1049"/>
      <c r="I630" s="1049"/>
      <c r="J630" s="1050"/>
      <c r="K630" s="1050"/>
      <c r="L630" s="1043"/>
      <c r="M630" s="1051"/>
      <c r="N630" s="1051"/>
      <c r="O630" s="1052"/>
      <c r="P630" s="1051"/>
      <c r="Q630" s="1051"/>
      <c r="R630" s="1052"/>
      <c r="S630" s="1051"/>
      <c r="T630" s="1051"/>
      <c r="U630" s="1052"/>
      <c r="V630" s="1051"/>
      <c r="W630" s="1051"/>
      <c r="X630" s="1052"/>
      <c r="Y630" s="1053"/>
      <c r="Z630" s="1051"/>
      <c r="AA630" s="1051"/>
      <c r="AB630" s="1052"/>
      <c r="AC630" s="1051"/>
      <c r="AD630" s="1051"/>
      <c r="AE630" s="1052"/>
      <c r="AF630" s="1051"/>
      <c r="AG630" s="1051"/>
      <c r="AH630" s="1051"/>
      <c r="AI630" s="1051"/>
      <c r="AJ630" s="1052"/>
      <c r="AK630" s="1051"/>
      <c r="AL630" s="1051"/>
      <c r="AM630" s="1052"/>
      <c r="AN630" s="1051"/>
      <c r="AO630" s="1051"/>
      <c r="AP630" s="1052"/>
      <c r="AQ630" s="1051"/>
      <c r="AR630" s="1051"/>
      <c r="AS630" s="1052"/>
      <c r="AT630" s="1051"/>
      <c r="AU630" s="1051"/>
      <c r="AV630" s="1052"/>
      <c r="AW630" s="1051"/>
      <c r="AX630" s="1051"/>
      <c r="AY630" s="1053"/>
      <c r="AZ630" s="1051"/>
      <c r="BA630" s="1051"/>
      <c r="BB630" s="1053"/>
      <c r="BC630" s="1051"/>
      <c r="BD630" s="1051"/>
      <c r="BE630" s="1053"/>
      <c r="BF630" s="1051"/>
      <c r="BG630" s="1051"/>
      <c r="BH630" s="1053"/>
      <c r="BI630" s="1052"/>
      <c r="BJ630" s="1052"/>
      <c r="BK630" s="1052"/>
      <c r="BL630" s="1052"/>
      <c r="BM630" s="1052"/>
      <c r="BN630" s="1054"/>
      <c r="BO630" s="1076">
        <f t="shared" ref="BO630:BO693" si="21">H630</f>
        <v>0</v>
      </c>
      <c r="BP630" s="1051"/>
      <c r="BQ630" s="1052"/>
      <c r="BR630" s="1054"/>
      <c r="BS630" s="1053"/>
      <c r="BT630" s="1051"/>
      <c r="BU630" s="1051"/>
      <c r="BV630" s="1051"/>
      <c r="BW630" s="1052"/>
      <c r="BX630" s="1052"/>
      <c r="BY630" s="1052"/>
      <c r="BZ630" s="1052"/>
      <c r="CA630" s="1052"/>
      <c r="CB630" s="1053"/>
      <c r="CC630" s="1053"/>
      <c r="CD630" s="1053"/>
      <c r="CE630" s="1053"/>
      <c r="CF630" s="1053"/>
      <c r="CG630" s="1053"/>
      <c r="CH630" s="1053"/>
      <c r="CI630" s="1123"/>
      <c r="CJ630" s="1123"/>
      <c r="CK630" s="1123"/>
      <c r="CL630" s="1123"/>
      <c r="CM630" s="1123"/>
      <c r="CN630" s="1123"/>
      <c r="CO630" s="1123"/>
      <c r="CP630" s="1123"/>
      <c r="CQ630" s="1123"/>
      <c r="CR630" s="1123"/>
      <c r="CS630" s="1123"/>
      <c r="CT630" s="1123"/>
      <c r="CU630" s="1123"/>
      <c r="CV630" s="1123"/>
      <c r="CW630" s="1123"/>
      <c r="CX630" s="1123"/>
      <c r="CY630" s="1123"/>
      <c r="CZ630" s="1114"/>
      <c r="DA630" s="1114"/>
      <c r="DB630" s="1114"/>
      <c r="DC630" s="1114"/>
      <c r="DD630" s="1114"/>
      <c r="DE630" s="1114"/>
      <c r="DF630" s="1114"/>
      <c r="DG630" s="1114"/>
      <c r="DH630" s="1114"/>
      <c r="DI630" s="1114"/>
      <c r="DJ630" s="1114"/>
      <c r="DK630" s="1114"/>
      <c r="DL630" s="1114"/>
      <c r="DM630" s="1114"/>
      <c r="DN630" s="1114"/>
      <c r="DO630" s="1114"/>
      <c r="DP630" s="1114"/>
      <c r="DQ630" s="1114"/>
      <c r="DR630" s="1114"/>
      <c r="DS630" s="1114"/>
      <c r="DT630" s="1114"/>
      <c r="DU630" s="1114"/>
      <c r="DV630" s="1115"/>
      <c r="DW630" s="1116"/>
      <c r="DX630" s="1116"/>
      <c r="DY630" s="1116"/>
      <c r="DZ630" s="1116"/>
      <c r="EA630" s="1116"/>
      <c r="EB630" s="1116"/>
      <c r="EC630" s="1116"/>
      <c r="ED630" s="1116"/>
      <c r="EE630" s="1116"/>
      <c r="EF630" s="1116"/>
      <c r="EG630" s="1116"/>
      <c r="EH630" s="1116"/>
      <c r="EI630" s="1116"/>
      <c r="EJ630" s="1116"/>
      <c r="EK630" s="1116"/>
      <c r="EL630" s="1116"/>
      <c r="EM630" s="1116"/>
      <c r="EN630" s="1116"/>
      <c r="EO630" s="1116"/>
      <c r="EP630" s="1116"/>
      <c r="EQ630" s="1116"/>
      <c r="ER630" s="1116"/>
      <c r="ES630" s="1116"/>
    </row>
    <row r="631" spans="1:149" ht="15" customHeight="1">
      <c r="A631" s="1185">
        <v>616</v>
      </c>
      <c r="B631" s="1041"/>
      <c r="C631" s="1050"/>
      <c r="D631" s="1050"/>
      <c r="E631" s="1050"/>
      <c r="F631" s="1049"/>
      <c r="G631" s="1457"/>
      <c r="H631" s="1049"/>
      <c r="I631" s="1049"/>
      <c r="J631" s="1050"/>
      <c r="K631" s="1050"/>
      <c r="L631" s="1043"/>
      <c r="M631" s="1051"/>
      <c r="N631" s="1051"/>
      <c r="O631" s="1052"/>
      <c r="P631" s="1051"/>
      <c r="Q631" s="1051"/>
      <c r="R631" s="1052"/>
      <c r="S631" s="1051"/>
      <c r="T631" s="1051"/>
      <c r="U631" s="1052"/>
      <c r="V631" s="1051"/>
      <c r="W631" s="1051"/>
      <c r="X631" s="1052"/>
      <c r="Y631" s="1053"/>
      <c r="Z631" s="1051"/>
      <c r="AA631" s="1051"/>
      <c r="AB631" s="1052"/>
      <c r="AC631" s="1051"/>
      <c r="AD631" s="1051"/>
      <c r="AE631" s="1052"/>
      <c r="AF631" s="1051"/>
      <c r="AG631" s="1051"/>
      <c r="AH631" s="1051"/>
      <c r="AI631" s="1051"/>
      <c r="AJ631" s="1052"/>
      <c r="AK631" s="1051"/>
      <c r="AL631" s="1051"/>
      <c r="AM631" s="1052"/>
      <c r="AN631" s="1051"/>
      <c r="AO631" s="1051"/>
      <c r="AP631" s="1052"/>
      <c r="AQ631" s="1051"/>
      <c r="AR631" s="1051"/>
      <c r="AS631" s="1052"/>
      <c r="AT631" s="1051"/>
      <c r="AU631" s="1051"/>
      <c r="AV631" s="1052"/>
      <c r="AW631" s="1051"/>
      <c r="AX631" s="1051"/>
      <c r="AY631" s="1053"/>
      <c r="AZ631" s="1051"/>
      <c r="BA631" s="1051"/>
      <c r="BB631" s="1053"/>
      <c r="BC631" s="1051"/>
      <c r="BD631" s="1051"/>
      <c r="BE631" s="1053"/>
      <c r="BF631" s="1051"/>
      <c r="BG631" s="1051"/>
      <c r="BH631" s="1053"/>
      <c r="BI631" s="1052"/>
      <c r="BJ631" s="1052"/>
      <c r="BK631" s="1052"/>
      <c r="BL631" s="1052"/>
      <c r="BM631" s="1052"/>
      <c r="BN631" s="1054"/>
      <c r="BO631" s="1076">
        <f t="shared" si="21"/>
        <v>0</v>
      </c>
      <c r="BP631" s="1051"/>
      <c r="BQ631" s="1052"/>
      <c r="BR631" s="1054"/>
      <c r="BS631" s="1053"/>
      <c r="BT631" s="1051"/>
      <c r="BU631" s="1051"/>
      <c r="BV631" s="1051"/>
      <c r="BW631" s="1052"/>
      <c r="BX631" s="1052"/>
      <c r="BY631" s="1052"/>
      <c r="BZ631" s="1052"/>
      <c r="CA631" s="1052"/>
      <c r="CB631" s="1053"/>
      <c r="CC631" s="1053"/>
      <c r="CD631" s="1053"/>
      <c r="CE631" s="1053"/>
      <c r="CF631" s="1053"/>
      <c r="CG631" s="1053"/>
      <c r="CH631" s="1053"/>
      <c r="CI631" s="1123"/>
      <c r="CJ631" s="1123"/>
      <c r="CK631" s="1123"/>
      <c r="CL631" s="1123"/>
      <c r="CM631" s="1123"/>
      <c r="CN631" s="1123"/>
      <c r="CO631" s="1123"/>
      <c r="CP631" s="1123"/>
      <c r="CQ631" s="1123"/>
      <c r="CR631" s="1123"/>
      <c r="CS631" s="1123"/>
      <c r="CT631" s="1123"/>
      <c r="CU631" s="1123"/>
      <c r="CV631" s="1123"/>
      <c r="CW631" s="1123"/>
      <c r="CX631" s="1123"/>
      <c r="CY631" s="1123"/>
      <c r="CZ631" s="1114"/>
      <c r="DA631" s="1114"/>
      <c r="DB631" s="1114"/>
      <c r="DC631" s="1114"/>
      <c r="DD631" s="1114"/>
      <c r="DE631" s="1114"/>
      <c r="DF631" s="1114"/>
      <c r="DG631" s="1114"/>
      <c r="DH631" s="1114"/>
      <c r="DI631" s="1114"/>
      <c r="DJ631" s="1114"/>
      <c r="DK631" s="1114"/>
      <c r="DL631" s="1114"/>
      <c r="DM631" s="1114"/>
      <c r="DN631" s="1114"/>
      <c r="DO631" s="1114"/>
      <c r="DP631" s="1114"/>
      <c r="DQ631" s="1114"/>
      <c r="DR631" s="1114"/>
      <c r="DS631" s="1114"/>
      <c r="DT631" s="1114"/>
      <c r="DU631" s="1114"/>
      <c r="DV631" s="1115"/>
      <c r="DW631" s="1116"/>
      <c r="DX631" s="1116"/>
      <c r="DY631" s="1116"/>
      <c r="DZ631" s="1116"/>
      <c r="EA631" s="1116"/>
      <c r="EB631" s="1116"/>
      <c r="EC631" s="1116"/>
      <c r="ED631" s="1116"/>
      <c r="EE631" s="1116"/>
      <c r="EF631" s="1116"/>
      <c r="EG631" s="1116"/>
      <c r="EH631" s="1116"/>
      <c r="EI631" s="1116"/>
      <c r="EJ631" s="1116"/>
      <c r="EK631" s="1116"/>
      <c r="EL631" s="1116"/>
      <c r="EM631" s="1116"/>
      <c r="EN631" s="1116"/>
      <c r="EO631" s="1116"/>
      <c r="EP631" s="1116"/>
      <c r="EQ631" s="1116"/>
      <c r="ER631" s="1116"/>
      <c r="ES631" s="1116"/>
    </row>
    <row r="632" spans="1:149" ht="15" customHeight="1">
      <c r="A632" s="1185">
        <v>617</v>
      </c>
      <c r="B632" s="1041"/>
      <c r="C632" s="1050"/>
      <c r="D632" s="1050"/>
      <c r="E632" s="1050"/>
      <c r="F632" s="1049"/>
      <c r="G632" s="1457"/>
      <c r="H632" s="1049"/>
      <c r="I632" s="1049"/>
      <c r="J632" s="1050"/>
      <c r="K632" s="1050"/>
      <c r="L632" s="1043"/>
      <c r="M632" s="1051"/>
      <c r="N632" s="1051"/>
      <c r="O632" s="1052"/>
      <c r="P632" s="1051"/>
      <c r="Q632" s="1051"/>
      <c r="R632" s="1052"/>
      <c r="S632" s="1051"/>
      <c r="T632" s="1051"/>
      <c r="U632" s="1052"/>
      <c r="V632" s="1051"/>
      <c r="W632" s="1051"/>
      <c r="X632" s="1052"/>
      <c r="Y632" s="1053"/>
      <c r="Z632" s="1051"/>
      <c r="AA632" s="1051"/>
      <c r="AB632" s="1052"/>
      <c r="AC632" s="1051"/>
      <c r="AD632" s="1051"/>
      <c r="AE632" s="1052"/>
      <c r="AF632" s="1051"/>
      <c r="AG632" s="1051"/>
      <c r="AH632" s="1051"/>
      <c r="AI632" s="1051"/>
      <c r="AJ632" s="1052"/>
      <c r="AK632" s="1051"/>
      <c r="AL632" s="1051"/>
      <c r="AM632" s="1052"/>
      <c r="AN632" s="1051"/>
      <c r="AO632" s="1051"/>
      <c r="AP632" s="1052"/>
      <c r="AQ632" s="1051"/>
      <c r="AR632" s="1051"/>
      <c r="AS632" s="1052"/>
      <c r="AT632" s="1051"/>
      <c r="AU632" s="1051"/>
      <c r="AV632" s="1052"/>
      <c r="AW632" s="1051"/>
      <c r="AX632" s="1051"/>
      <c r="AY632" s="1053"/>
      <c r="AZ632" s="1051"/>
      <c r="BA632" s="1051"/>
      <c r="BB632" s="1053"/>
      <c r="BC632" s="1051"/>
      <c r="BD632" s="1051"/>
      <c r="BE632" s="1053"/>
      <c r="BF632" s="1051"/>
      <c r="BG632" s="1051"/>
      <c r="BH632" s="1053"/>
      <c r="BI632" s="1052"/>
      <c r="BJ632" s="1052"/>
      <c r="BK632" s="1052"/>
      <c r="BL632" s="1052"/>
      <c r="BM632" s="1052"/>
      <c r="BN632" s="1054"/>
      <c r="BO632" s="1076">
        <f t="shared" si="21"/>
        <v>0</v>
      </c>
      <c r="BP632" s="1051"/>
      <c r="BQ632" s="1052"/>
      <c r="BR632" s="1054"/>
      <c r="BS632" s="1053"/>
      <c r="BT632" s="1051"/>
      <c r="BU632" s="1051"/>
      <c r="BV632" s="1051"/>
      <c r="BW632" s="1052"/>
      <c r="BX632" s="1052"/>
      <c r="BY632" s="1052"/>
      <c r="BZ632" s="1052"/>
      <c r="CA632" s="1052"/>
      <c r="CB632" s="1053"/>
      <c r="CC632" s="1053"/>
      <c r="CD632" s="1053"/>
      <c r="CE632" s="1053"/>
      <c r="CF632" s="1053"/>
      <c r="CG632" s="1053"/>
      <c r="CH632" s="1053"/>
      <c r="CI632" s="1123"/>
      <c r="CJ632" s="1123"/>
      <c r="CK632" s="1123"/>
      <c r="CL632" s="1123"/>
      <c r="CM632" s="1123"/>
      <c r="CN632" s="1123"/>
      <c r="CO632" s="1123"/>
      <c r="CP632" s="1123"/>
      <c r="CQ632" s="1123"/>
      <c r="CR632" s="1123"/>
      <c r="CS632" s="1123"/>
      <c r="CT632" s="1123"/>
      <c r="CU632" s="1123"/>
      <c r="CV632" s="1123"/>
      <c r="CW632" s="1123"/>
      <c r="CX632" s="1123"/>
      <c r="CY632" s="1123"/>
      <c r="CZ632" s="1114"/>
      <c r="DA632" s="1114"/>
      <c r="DB632" s="1114"/>
      <c r="DC632" s="1114"/>
      <c r="DD632" s="1114"/>
      <c r="DE632" s="1114"/>
      <c r="DF632" s="1114"/>
      <c r="DG632" s="1114"/>
      <c r="DH632" s="1114"/>
      <c r="DI632" s="1114"/>
      <c r="DJ632" s="1114"/>
      <c r="DK632" s="1114"/>
      <c r="DL632" s="1114"/>
      <c r="DM632" s="1114"/>
      <c r="DN632" s="1114"/>
      <c r="DO632" s="1114"/>
      <c r="DP632" s="1114"/>
      <c r="DQ632" s="1114"/>
      <c r="DR632" s="1114"/>
      <c r="DS632" s="1114"/>
      <c r="DT632" s="1114"/>
      <c r="DU632" s="1114"/>
      <c r="DV632" s="1115"/>
      <c r="DW632" s="1116"/>
      <c r="DX632" s="1116"/>
      <c r="DY632" s="1116"/>
      <c r="DZ632" s="1116"/>
      <c r="EA632" s="1116"/>
      <c r="EB632" s="1116"/>
      <c r="EC632" s="1116"/>
      <c r="ED632" s="1116"/>
      <c r="EE632" s="1116"/>
      <c r="EF632" s="1116"/>
      <c r="EG632" s="1116"/>
      <c r="EH632" s="1116"/>
      <c r="EI632" s="1116"/>
      <c r="EJ632" s="1116"/>
      <c r="EK632" s="1116"/>
      <c r="EL632" s="1116"/>
      <c r="EM632" s="1116"/>
      <c r="EN632" s="1116"/>
      <c r="EO632" s="1116"/>
      <c r="EP632" s="1116"/>
      <c r="EQ632" s="1116"/>
      <c r="ER632" s="1116"/>
      <c r="ES632" s="1116"/>
    </row>
    <row r="633" spans="1:149" ht="15" customHeight="1">
      <c r="A633" s="1185">
        <v>618</v>
      </c>
      <c r="B633" s="1041"/>
      <c r="C633" s="1050"/>
      <c r="D633" s="1050"/>
      <c r="E633" s="1050"/>
      <c r="F633" s="1049"/>
      <c r="G633" s="1457"/>
      <c r="H633" s="1049"/>
      <c r="I633" s="1049"/>
      <c r="J633" s="1050"/>
      <c r="K633" s="1050"/>
      <c r="L633" s="1043"/>
      <c r="M633" s="1051"/>
      <c r="N633" s="1051"/>
      <c r="O633" s="1052"/>
      <c r="P633" s="1051"/>
      <c r="Q633" s="1051"/>
      <c r="R633" s="1052"/>
      <c r="S633" s="1051"/>
      <c r="T633" s="1051"/>
      <c r="U633" s="1052"/>
      <c r="V633" s="1051"/>
      <c r="W633" s="1051"/>
      <c r="X633" s="1052"/>
      <c r="Y633" s="1053"/>
      <c r="Z633" s="1051"/>
      <c r="AA633" s="1051"/>
      <c r="AB633" s="1052"/>
      <c r="AC633" s="1051"/>
      <c r="AD633" s="1051"/>
      <c r="AE633" s="1052"/>
      <c r="AF633" s="1051"/>
      <c r="AG633" s="1051"/>
      <c r="AH633" s="1051"/>
      <c r="AI633" s="1051"/>
      <c r="AJ633" s="1052"/>
      <c r="AK633" s="1051"/>
      <c r="AL633" s="1051"/>
      <c r="AM633" s="1052"/>
      <c r="AN633" s="1051"/>
      <c r="AO633" s="1051"/>
      <c r="AP633" s="1052"/>
      <c r="AQ633" s="1051"/>
      <c r="AR633" s="1051"/>
      <c r="AS633" s="1052"/>
      <c r="AT633" s="1051"/>
      <c r="AU633" s="1051"/>
      <c r="AV633" s="1052"/>
      <c r="AW633" s="1051"/>
      <c r="AX633" s="1051"/>
      <c r="AY633" s="1053"/>
      <c r="AZ633" s="1051"/>
      <c r="BA633" s="1051"/>
      <c r="BB633" s="1053"/>
      <c r="BC633" s="1051"/>
      <c r="BD633" s="1051"/>
      <c r="BE633" s="1053"/>
      <c r="BF633" s="1051"/>
      <c r="BG633" s="1051"/>
      <c r="BH633" s="1053"/>
      <c r="BI633" s="1052"/>
      <c r="BJ633" s="1052"/>
      <c r="BK633" s="1052"/>
      <c r="BL633" s="1052"/>
      <c r="BM633" s="1052"/>
      <c r="BN633" s="1054"/>
      <c r="BO633" s="1076">
        <f t="shared" si="21"/>
        <v>0</v>
      </c>
      <c r="BP633" s="1051"/>
      <c r="BQ633" s="1052"/>
      <c r="BR633" s="1054"/>
      <c r="BS633" s="1053"/>
      <c r="BT633" s="1051"/>
      <c r="BU633" s="1051"/>
      <c r="BV633" s="1051"/>
      <c r="BW633" s="1052"/>
      <c r="BX633" s="1052"/>
      <c r="BY633" s="1052"/>
      <c r="BZ633" s="1052"/>
      <c r="CA633" s="1052"/>
      <c r="CB633" s="1053"/>
      <c r="CC633" s="1053"/>
      <c r="CD633" s="1053"/>
      <c r="CE633" s="1053"/>
      <c r="CF633" s="1053"/>
      <c r="CG633" s="1053"/>
      <c r="CH633" s="1053"/>
      <c r="CI633" s="1123"/>
      <c r="CJ633" s="1123"/>
      <c r="CK633" s="1123"/>
      <c r="CL633" s="1123"/>
      <c r="CM633" s="1123"/>
      <c r="CN633" s="1123"/>
      <c r="CO633" s="1123"/>
      <c r="CP633" s="1123"/>
      <c r="CQ633" s="1123"/>
      <c r="CR633" s="1123"/>
      <c r="CS633" s="1123"/>
      <c r="CT633" s="1123"/>
      <c r="CU633" s="1123"/>
      <c r="CV633" s="1123"/>
      <c r="CW633" s="1123"/>
      <c r="CX633" s="1123"/>
      <c r="CY633" s="1123"/>
      <c r="CZ633" s="1114"/>
      <c r="DA633" s="1114"/>
      <c r="DB633" s="1114"/>
      <c r="DC633" s="1114"/>
      <c r="DD633" s="1114"/>
      <c r="DE633" s="1114"/>
      <c r="DF633" s="1114"/>
      <c r="DG633" s="1114"/>
      <c r="DH633" s="1114"/>
      <c r="DI633" s="1114"/>
      <c r="DJ633" s="1114"/>
      <c r="DK633" s="1114"/>
      <c r="DL633" s="1114"/>
      <c r="DM633" s="1114"/>
      <c r="DN633" s="1114"/>
      <c r="DO633" s="1114"/>
      <c r="DP633" s="1114"/>
      <c r="DQ633" s="1114"/>
      <c r="DR633" s="1114"/>
      <c r="DS633" s="1114"/>
      <c r="DT633" s="1114"/>
      <c r="DU633" s="1114"/>
      <c r="DV633" s="1115"/>
      <c r="DW633" s="1116"/>
      <c r="DX633" s="1116"/>
      <c r="DY633" s="1116"/>
      <c r="DZ633" s="1116"/>
      <c r="EA633" s="1116"/>
      <c r="EB633" s="1116"/>
      <c r="EC633" s="1116"/>
      <c r="ED633" s="1116"/>
      <c r="EE633" s="1116"/>
      <c r="EF633" s="1116"/>
      <c r="EG633" s="1116"/>
      <c r="EH633" s="1116"/>
      <c r="EI633" s="1116"/>
      <c r="EJ633" s="1116"/>
      <c r="EK633" s="1116"/>
      <c r="EL633" s="1116"/>
      <c r="EM633" s="1116"/>
      <c r="EN633" s="1116"/>
      <c r="EO633" s="1116"/>
      <c r="EP633" s="1116"/>
      <c r="EQ633" s="1116"/>
      <c r="ER633" s="1116"/>
      <c r="ES633" s="1116"/>
    </row>
    <row r="634" spans="1:149" ht="15" customHeight="1">
      <c r="A634" s="1185">
        <v>619</v>
      </c>
      <c r="B634" s="1041"/>
      <c r="C634" s="1050"/>
      <c r="D634" s="1050"/>
      <c r="E634" s="1050"/>
      <c r="F634" s="1049"/>
      <c r="G634" s="1457"/>
      <c r="H634" s="1049"/>
      <c r="I634" s="1049"/>
      <c r="J634" s="1050"/>
      <c r="K634" s="1050"/>
      <c r="L634" s="1043"/>
      <c r="M634" s="1051"/>
      <c r="N634" s="1051"/>
      <c r="O634" s="1052"/>
      <c r="P634" s="1051"/>
      <c r="Q634" s="1051"/>
      <c r="R634" s="1052"/>
      <c r="S634" s="1051"/>
      <c r="T634" s="1051"/>
      <c r="U634" s="1052"/>
      <c r="V634" s="1051"/>
      <c r="W634" s="1051"/>
      <c r="X634" s="1052"/>
      <c r="Y634" s="1053"/>
      <c r="Z634" s="1051"/>
      <c r="AA634" s="1051"/>
      <c r="AB634" s="1052"/>
      <c r="AC634" s="1051"/>
      <c r="AD634" s="1051"/>
      <c r="AE634" s="1052"/>
      <c r="AF634" s="1051"/>
      <c r="AG634" s="1051"/>
      <c r="AH634" s="1051"/>
      <c r="AI634" s="1051"/>
      <c r="AJ634" s="1052"/>
      <c r="AK634" s="1051"/>
      <c r="AL634" s="1051"/>
      <c r="AM634" s="1052"/>
      <c r="AN634" s="1051"/>
      <c r="AO634" s="1051"/>
      <c r="AP634" s="1052"/>
      <c r="AQ634" s="1051"/>
      <c r="AR634" s="1051"/>
      <c r="AS634" s="1052"/>
      <c r="AT634" s="1051"/>
      <c r="AU634" s="1051"/>
      <c r="AV634" s="1052"/>
      <c r="AW634" s="1051"/>
      <c r="AX634" s="1051"/>
      <c r="AY634" s="1053"/>
      <c r="AZ634" s="1051"/>
      <c r="BA634" s="1051"/>
      <c r="BB634" s="1053"/>
      <c r="BC634" s="1051"/>
      <c r="BD634" s="1051"/>
      <c r="BE634" s="1053"/>
      <c r="BF634" s="1051"/>
      <c r="BG634" s="1051"/>
      <c r="BH634" s="1053"/>
      <c r="BI634" s="1052"/>
      <c r="BJ634" s="1052"/>
      <c r="BK634" s="1052"/>
      <c r="BL634" s="1052"/>
      <c r="BM634" s="1052"/>
      <c r="BN634" s="1054"/>
      <c r="BO634" s="1076">
        <f t="shared" si="21"/>
        <v>0</v>
      </c>
      <c r="BP634" s="1051"/>
      <c r="BQ634" s="1052"/>
      <c r="BR634" s="1054"/>
      <c r="BS634" s="1053"/>
      <c r="BT634" s="1051"/>
      <c r="BU634" s="1051"/>
      <c r="BV634" s="1051"/>
      <c r="BW634" s="1052"/>
      <c r="BX634" s="1052"/>
      <c r="BY634" s="1052"/>
      <c r="BZ634" s="1052"/>
      <c r="CA634" s="1052"/>
      <c r="CB634" s="1053"/>
      <c r="CC634" s="1053"/>
      <c r="CD634" s="1053"/>
      <c r="CE634" s="1053"/>
      <c r="CF634" s="1053"/>
      <c r="CG634" s="1053"/>
      <c r="CH634" s="1053"/>
      <c r="CI634" s="1123"/>
      <c r="CJ634" s="1123"/>
      <c r="CK634" s="1123"/>
      <c r="CL634" s="1123"/>
      <c r="CM634" s="1123"/>
      <c r="CN634" s="1123"/>
      <c r="CO634" s="1123"/>
      <c r="CP634" s="1123"/>
      <c r="CQ634" s="1123"/>
      <c r="CR634" s="1123"/>
      <c r="CS634" s="1123"/>
      <c r="CT634" s="1123"/>
      <c r="CU634" s="1123"/>
      <c r="CV634" s="1123"/>
      <c r="CW634" s="1123"/>
      <c r="CX634" s="1123"/>
      <c r="CY634" s="1123"/>
      <c r="CZ634" s="1114"/>
      <c r="DA634" s="1114"/>
      <c r="DB634" s="1114"/>
      <c r="DC634" s="1114"/>
      <c r="DD634" s="1114"/>
      <c r="DE634" s="1114"/>
      <c r="DF634" s="1114"/>
      <c r="DG634" s="1114"/>
      <c r="DH634" s="1114"/>
      <c r="DI634" s="1114"/>
      <c r="DJ634" s="1114"/>
      <c r="DK634" s="1114"/>
      <c r="DL634" s="1114"/>
      <c r="DM634" s="1114"/>
      <c r="DN634" s="1114"/>
      <c r="DO634" s="1114"/>
      <c r="DP634" s="1114"/>
      <c r="DQ634" s="1114"/>
      <c r="DR634" s="1114"/>
      <c r="DS634" s="1114"/>
      <c r="DT634" s="1114"/>
      <c r="DU634" s="1114"/>
      <c r="DV634" s="1115"/>
      <c r="DW634" s="1116"/>
      <c r="DX634" s="1116"/>
      <c r="DY634" s="1116"/>
      <c r="DZ634" s="1116"/>
      <c r="EA634" s="1116"/>
      <c r="EB634" s="1116"/>
      <c r="EC634" s="1116"/>
      <c r="ED634" s="1116"/>
      <c r="EE634" s="1116"/>
      <c r="EF634" s="1116"/>
      <c r="EG634" s="1116"/>
      <c r="EH634" s="1116"/>
      <c r="EI634" s="1116"/>
      <c r="EJ634" s="1116"/>
      <c r="EK634" s="1116"/>
      <c r="EL634" s="1116"/>
      <c r="EM634" s="1116"/>
      <c r="EN634" s="1116"/>
      <c r="EO634" s="1116"/>
      <c r="EP634" s="1116"/>
      <c r="EQ634" s="1116"/>
      <c r="ER634" s="1116"/>
      <c r="ES634" s="1116"/>
    </row>
    <row r="635" spans="1:149" ht="15" customHeight="1">
      <c r="A635" s="1185">
        <v>620</v>
      </c>
      <c r="B635" s="1041"/>
      <c r="C635" s="1050"/>
      <c r="D635" s="1050"/>
      <c r="E635" s="1050"/>
      <c r="F635" s="1049"/>
      <c r="G635" s="1457"/>
      <c r="H635" s="1049"/>
      <c r="I635" s="1049"/>
      <c r="J635" s="1050"/>
      <c r="K635" s="1050"/>
      <c r="L635" s="1043"/>
      <c r="M635" s="1051"/>
      <c r="N635" s="1051"/>
      <c r="O635" s="1052"/>
      <c r="P635" s="1051"/>
      <c r="Q635" s="1051"/>
      <c r="R635" s="1052"/>
      <c r="S635" s="1051"/>
      <c r="T635" s="1051"/>
      <c r="U635" s="1052"/>
      <c r="V635" s="1051"/>
      <c r="W635" s="1051"/>
      <c r="X635" s="1052"/>
      <c r="Y635" s="1053"/>
      <c r="Z635" s="1051"/>
      <c r="AA635" s="1051"/>
      <c r="AB635" s="1052"/>
      <c r="AC635" s="1051"/>
      <c r="AD635" s="1051"/>
      <c r="AE635" s="1052"/>
      <c r="AF635" s="1051"/>
      <c r="AG635" s="1051"/>
      <c r="AH635" s="1051"/>
      <c r="AI635" s="1051"/>
      <c r="AJ635" s="1052"/>
      <c r="AK635" s="1051"/>
      <c r="AL635" s="1051"/>
      <c r="AM635" s="1052"/>
      <c r="AN635" s="1051"/>
      <c r="AO635" s="1051"/>
      <c r="AP635" s="1052"/>
      <c r="AQ635" s="1051"/>
      <c r="AR635" s="1051"/>
      <c r="AS635" s="1052"/>
      <c r="AT635" s="1051"/>
      <c r="AU635" s="1051"/>
      <c r="AV635" s="1052"/>
      <c r="AW635" s="1051"/>
      <c r="AX635" s="1051"/>
      <c r="AY635" s="1053"/>
      <c r="AZ635" s="1051"/>
      <c r="BA635" s="1051"/>
      <c r="BB635" s="1053"/>
      <c r="BC635" s="1051"/>
      <c r="BD635" s="1051"/>
      <c r="BE635" s="1053"/>
      <c r="BF635" s="1051"/>
      <c r="BG635" s="1051"/>
      <c r="BH635" s="1053"/>
      <c r="BI635" s="1052"/>
      <c r="BJ635" s="1052"/>
      <c r="BK635" s="1052"/>
      <c r="BL635" s="1052"/>
      <c r="BM635" s="1052"/>
      <c r="BN635" s="1054"/>
      <c r="BO635" s="1076">
        <f t="shared" si="21"/>
        <v>0</v>
      </c>
      <c r="BP635" s="1051"/>
      <c r="BQ635" s="1052"/>
      <c r="BR635" s="1054"/>
      <c r="BS635" s="1053"/>
      <c r="BT635" s="1051"/>
      <c r="BU635" s="1051"/>
      <c r="BV635" s="1051"/>
      <c r="BW635" s="1052"/>
      <c r="BX635" s="1052"/>
      <c r="BY635" s="1052"/>
      <c r="BZ635" s="1052"/>
      <c r="CA635" s="1052"/>
      <c r="CB635" s="1053"/>
      <c r="CC635" s="1053"/>
      <c r="CD635" s="1053"/>
      <c r="CE635" s="1053"/>
      <c r="CF635" s="1053"/>
      <c r="CG635" s="1053"/>
      <c r="CH635" s="1053"/>
      <c r="CI635" s="1123"/>
      <c r="CJ635" s="1123"/>
      <c r="CK635" s="1123"/>
      <c r="CL635" s="1123"/>
      <c r="CM635" s="1123"/>
      <c r="CN635" s="1123"/>
      <c r="CO635" s="1123"/>
      <c r="CP635" s="1123"/>
      <c r="CQ635" s="1123"/>
      <c r="CR635" s="1123"/>
      <c r="CS635" s="1123"/>
      <c r="CT635" s="1123"/>
      <c r="CU635" s="1123"/>
      <c r="CV635" s="1123"/>
      <c r="CW635" s="1123"/>
      <c r="CX635" s="1123"/>
      <c r="CY635" s="1123"/>
      <c r="CZ635" s="1114"/>
      <c r="DA635" s="1114"/>
      <c r="DB635" s="1114"/>
      <c r="DC635" s="1114"/>
      <c r="DD635" s="1114"/>
      <c r="DE635" s="1114"/>
      <c r="DF635" s="1114"/>
      <c r="DG635" s="1114"/>
      <c r="DH635" s="1114"/>
      <c r="DI635" s="1114"/>
      <c r="DJ635" s="1114"/>
      <c r="DK635" s="1114"/>
      <c r="DL635" s="1114"/>
      <c r="DM635" s="1114"/>
      <c r="DN635" s="1114"/>
      <c r="DO635" s="1114"/>
      <c r="DP635" s="1114"/>
      <c r="DQ635" s="1114"/>
      <c r="DR635" s="1114"/>
      <c r="DS635" s="1114"/>
      <c r="DT635" s="1114"/>
      <c r="DU635" s="1114"/>
      <c r="DV635" s="1115"/>
      <c r="DW635" s="1116"/>
      <c r="DX635" s="1116"/>
      <c r="DY635" s="1116"/>
      <c r="DZ635" s="1116"/>
      <c r="EA635" s="1116"/>
      <c r="EB635" s="1116"/>
      <c r="EC635" s="1116"/>
      <c r="ED635" s="1116"/>
      <c r="EE635" s="1116"/>
      <c r="EF635" s="1116"/>
      <c r="EG635" s="1116"/>
      <c r="EH635" s="1116"/>
      <c r="EI635" s="1116"/>
      <c r="EJ635" s="1116"/>
      <c r="EK635" s="1116"/>
      <c r="EL635" s="1116"/>
      <c r="EM635" s="1116"/>
      <c r="EN635" s="1116"/>
      <c r="EO635" s="1116"/>
      <c r="EP635" s="1116"/>
      <c r="EQ635" s="1116"/>
      <c r="ER635" s="1116"/>
      <c r="ES635" s="1116"/>
    </row>
    <row r="636" spans="1:149" ht="15" customHeight="1">
      <c r="A636" s="1185">
        <v>621</v>
      </c>
      <c r="B636" s="1041"/>
      <c r="C636" s="1050"/>
      <c r="D636" s="1050"/>
      <c r="E636" s="1050"/>
      <c r="F636" s="1049"/>
      <c r="G636" s="1457"/>
      <c r="H636" s="1049"/>
      <c r="I636" s="1049"/>
      <c r="J636" s="1050"/>
      <c r="K636" s="1050"/>
      <c r="L636" s="1043"/>
      <c r="M636" s="1051"/>
      <c r="N636" s="1051"/>
      <c r="O636" s="1052"/>
      <c r="P636" s="1051"/>
      <c r="Q636" s="1051"/>
      <c r="R636" s="1052"/>
      <c r="S636" s="1051"/>
      <c r="T636" s="1051"/>
      <c r="U636" s="1052"/>
      <c r="V636" s="1051"/>
      <c r="W636" s="1051"/>
      <c r="X636" s="1052"/>
      <c r="Y636" s="1053"/>
      <c r="Z636" s="1051"/>
      <c r="AA636" s="1051"/>
      <c r="AB636" s="1052"/>
      <c r="AC636" s="1051"/>
      <c r="AD636" s="1051"/>
      <c r="AE636" s="1052"/>
      <c r="AF636" s="1051"/>
      <c r="AG636" s="1051"/>
      <c r="AH636" s="1051"/>
      <c r="AI636" s="1051"/>
      <c r="AJ636" s="1052"/>
      <c r="AK636" s="1051"/>
      <c r="AL636" s="1051"/>
      <c r="AM636" s="1052"/>
      <c r="AN636" s="1051"/>
      <c r="AO636" s="1051"/>
      <c r="AP636" s="1052"/>
      <c r="AQ636" s="1051"/>
      <c r="AR636" s="1051"/>
      <c r="AS636" s="1052"/>
      <c r="AT636" s="1051"/>
      <c r="AU636" s="1051"/>
      <c r="AV636" s="1052"/>
      <c r="AW636" s="1051"/>
      <c r="AX636" s="1051"/>
      <c r="AY636" s="1053"/>
      <c r="AZ636" s="1051"/>
      <c r="BA636" s="1051"/>
      <c r="BB636" s="1053"/>
      <c r="BC636" s="1051"/>
      <c r="BD636" s="1051"/>
      <c r="BE636" s="1053"/>
      <c r="BF636" s="1051"/>
      <c r="BG636" s="1051"/>
      <c r="BH636" s="1053"/>
      <c r="BI636" s="1052"/>
      <c r="BJ636" s="1052"/>
      <c r="BK636" s="1052"/>
      <c r="BL636" s="1052"/>
      <c r="BM636" s="1052"/>
      <c r="BN636" s="1054"/>
      <c r="BO636" s="1076">
        <f t="shared" si="21"/>
        <v>0</v>
      </c>
      <c r="BP636" s="1051"/>
      <c r="BQ636" s="1052"/>
      <c r="BR636" s="1054"/>
      <c r="BS636" s="1053"/>
      <c r="BT636" s="1051"/>
      <c r="BU636" s="1051"/>
      <c r="BV636" s="1051"/>
      <c r="BW636" s="1052"/>
      <c r="BX636" s="1052"/>
      <c r="BY636" s="1052"/>
      <c r="BZ636" s="1052"/>
      <c r="CA636" s="1052"/>
      <c r="CB636" s="1053"/>
      <c r="CC636" s="1053"/>
      <c r="CD636" s="1053"/>
      <c r="CE636" s="1053"/>
      <c r="CF636" s="1053"/>
      <c r="CG636" s="1053"/>
      <c r="CH636" s="1053"/>
      <c r="CI636" s="1123"/>
      <c r="CJ636" s="1123"/>
      <c r="CK636" s="1123"/>
      <c r="CL636" s="1123"/>
      <c r="CM636" s="1123"/>
      <c r="CN636" s="1123"/>
      <c r="CO636" s="1123"/>
      <c r="CP636" s="1123"/>
      <c r="CQ636" s="1123"/>
      <c r="CR636" s="1123"/>
      <c r="CS636" s="1123"/>
      <c r="CT636" s="1123"/>
      <c r="CU636" s="1123"/>
      <c r="CV636" s="1123"/>
      <c r="CW636" s="1123"/>
      <c r="CX636" s="1123"/>
      <c r="CY636" s="1123"/>
      <c r="CZ636" s="1114"/>
      <c r="DA636" s="1114"/>
      <c r="DB636" s="1114"/>
      <c r="DC636" s="1114"/>
      <c r="DD636" s="1114"/>
      <c r="DE636" s="1114"/>
      <c r="DF636" s="1114"/>
      <c r="DG636" s="1114"/>
      <c r="DH636" s="1114"/>
      <c r="DI636" s="1114"/>
      <c r="DJ636" s="1114"/>
      <c r="DK636" s="1114"/>
      <c r="DL636" s="1114"/>
      <c r="DM636" s="1114"/>
      <c r="DN636" s="1114"/>
      <c r="DO636" s="1114"/>
      <c r="DP636" s="1114"/>
      <c r="DQ636" s="1114"/>
      <c r="DR636" s="1114"/>
      <c r="DS636" s="1114"/>
      <c r="DT636" s="1114"/>
      <c r="DU636" s="1114"/>
      <c r="DV636" s="1115"/>
      <c r="DW636" s="1116"/>
      <c r="DX636" s="1116"/>
      <c r="DY636" s="1116"/>
      <c r="DZ636" s="1116"/>
      <c r="EA636" s="1116"/>
      <c r="EB636" s="1116"/>
      <c r="EC636" s="1116"/>
      <c r="ED636" s="1116"/>
      <c r="EE636" s="1116"/>
      <c r="EF636" s="1116"/>
      <c r="EG636" s="1116"/>
      <c r="EH636" s="1116"/>
      <c r="EI636" s="1116"/>
      <c r="EJ636" s="1116"/>
      <c r="EK636" s="1116"/>
      <c r="EL636" s="1116"/>
      <c r="EM636" s="1116"/>
      <c r="EN636" s="1116"/>
      <c r="EO636" s="1116"/>
      <c r="EP636" s="1116"/>
      <c r="EQ636" s="1116"/>
      <c r="ER636" s="1116"/>
      <c r="ES636" s="1116"/>
    </row>
    <row r="637" spans="1:149" ht="15" customHeight="1">
      <c r="A637" s="1185">
        <v>622</v>
      </c>
      <c r="B637" s="1041"/>
      <c r="C637" s="1050"/>
      <c r="D637" s="1050"/>
      <c r="E637" s="1050"/>
      <c r="F637" s="1049"/>
      <c r="G637" s="1457"/>
      <c r="H637" s="1049"/>
      <c r="I637" s="1049"/>
      <c r="J637" s="1050"/>
      <c r="K637" s="1050"/>
      <c r="L637" s="1043"/>
      <c r="M637" s="1051"/>
      <c r="N637" s="1051"/>
      <c r="O637" s="1052"/>
      <c r="P637" s="1051"/>
      <c r="Q637" s="1051"/>
      <c r="R637" s="1052"/>
      <c r="S637" s="1051"/>
      <c r="T637" s="1051"/>
      <c r="U637" s="1052"/>
      <c r="V637" s="1051"/>
      <c r="W637" s="1051"/>
      <c r="X637" s="1052"/>
      <c r="Y637" s="1053"/>
      <c r="Z637" s="1051"/>
      <c r="AA637" s="1051"/>
      <c r="AB637" s="1052"/>
      <c r="AC637" s="1051"/>
      <c r="AD637" s="1051"/>
      <c r="AE637" s="1052"/>
      <c r="AF637" s="1051"/>
      <c r="AG637" s="1051"/>
      <c r="AH637" s="1051"/>
      <c r="AI637" s="1051"/>
      <c r="AJ637" s="1052"/>
      <c r="AK637" s="1051"/>
      <c r="AL637" s="1051"/>
      <c r="AM637" s="1052"/>
      <c r="AN637" s="1051"/>
      <c r="AO637" s="1051"/>
      <c r="AP637" s="1052"/>
      <c r="AQ637" s="1051"/>
      <c r="AR637" s="1051"/>
      <c r="AS637" s="1052"/>
      <c r="AT637" s="1051"/>
      <c r="AU637" s="1051"/>
      <c r="AV637" s="1052"/>
      <c r="AW637" s="1051"/>
      <c r="AX637" s="1051"/>
      <c r="AY637" s="1053"/>
      <c r="AZ637" s="1051"/>
      <c r="BA637" s="1051"/>
      <c r="BB637" s="1053"/>
      <c r="BC637" s="1051"/>
      <c r="BD637" s="1051"/>
      <c r="BE637" s="1053"/>
      <c r="BF637" s="1051"/>
      <c r="BG637" s="1051"/>
      <c r="BH637" s="1053"/>
      <c r="BI637" s="1052"/>
      <c r="BJ637" s="1052"/>
      <c r="BK637" s="1052"/>
      <c r="BL637" s="1052"/>
      <c r="BM637" s="1052"/>
      <c r="BN637" s="1054"/>
      <c r="BO637" s="1076">
        <f t="shared" si="21"/>
        <v>0</v>
      </c>
      <c r="BP637" s="1051"/>
      <c r="BQ637" s="1052"/>
      <c r="BR637" s="1054"/>
      <c r="BS637" s="1053"/>
      <c r="BT637" s="1051"/>
      <c r="BU637" s="1051"/>
      <c r="BV637" s="1051"/>
      <c r="BW637" s="1052"/>
      <c r="BX637" s="1052"/>
      <c r="BY637" s="1052"/>
      <c r="BZ637" s="1052"/>
      <c r="CA637" s="1052"/>
      <c r="CB637" s="1053"/>
      <c r="CC637" s="1053"/>
      <c r="CD637" s="1053"/>
      <c r="CE637" s="1053"/>
      <c r="CF637" s="1053"/>
      <c r="CG637" s="1053"/>
      <c r="CH637" s="1053"/>
      <c r="CI637" s="1123"/>
      <c r="CJ637" s="1123"/>
      <c r="CK637" s="1123"/>
      <c r="CL637" s="1123"/>
      <c r="CM637" s="1123"/>
      <c r="CN637" s="1123"/>
      <c r="CO637" s="1123"/>
      <c r="CP637" s="1123"/>
      <c r="CQ637" s="1123"/>
      <c r="CR637" s="1123"/>
      <c r="CS637" s="1123"/>
      <c r="CT637" s="1123"/>
      <c r="CU637" s="1123"/>
      <c r="CV637" s="1123"/>
      <c r="CW637" s="1123"/>
      <c r="CX637" s="1123"/>
      <c r="CY637" s="1123"/>
      <c r="CZ637" s="1114"/>
      <c r="DA637" s="1114"/>
      <c r="DB637" s="1114"/>
      <c r="DC637" s="1114"/>
      <c r="DD637" s="1114"/>
      <c r="DE637" s="1114"/>
      <c r="DF637" s="1114"/>
      <c r="DG637" s="1114"/>
      <c r="DH637" s="1114"/>
      <c r="DI637" s="1114"/>
      <c r="DJ637" s="1114"/>
      <c r="DK637" s="1114"/>
      <c r="DL637" s="1114"/>
      <c r="DM637" s="1114"/>
      <c r="DN637" s="1114"/>
      <c r="DO637" s="1114"/>
      <c r="DP637" s="1114"/>
      <c r="DQ637" s="1114"/>
      <c r="DR637" s="1114"/>
      <c r="DS637" s="1114"/>
      <c r="DT637" s="1114"/>
      <c r="DU637" s="1114"/>
      <c r="DV637" s="1115"/>
      <c r="DW637" s="1116"/>
      <c r="DX637" s="1116"/>
      <c r="DY637" s="1116"/>
      <c r="DZ637" s="1116"/>
      <c r="EA637" s="1116"/>
      <c r="EB637" s="1116"/>
      <c r="EC637" s="1116"/>
      <c r="ED637" s="1116"/>
      <c r="EE637" s="1116"/>
      <c r="EF637" s="1116"/>
      <c r="EG637" s="1116"/>
      <c r="EH637" s="1116"/>
      <c r="EI637" s="1116"/>
      <c r="EJ637" s="1116"/>
      <c r="EK637" s="1116"/>
      <c r="EL637" s="1116"/>
      <c r="EM637" s="1116"/>
      <c r="EN637" s="1116"/>
      <c r="EO637" s="1116"/>
      <c r="EP637" s="1116"/>
      <c r="EQ637" s="1116"/>
      <c r="ER637" s="1116"/>
      <c r="ES637" s="1116"/>
    </row>
    <row r="638" spans="1:149" ht="15" customHeight="1">
      <c r="A638" s="1185">
        <v>623</v>
      </c>
      <c r="B638" s="1041"/>
      <c r="C638" s="1050"/>
      <c r="D638" s="1050"/>
      <c r="E638" s="1050"/>
      <c r="F638" s="1049"/>
      <c r="G638" s="1457"/>
      <c r="H638" s="1049"/>
      <c r="I638" s="1049"/>
      <c r="J638" s="1050"/>
      <c r="K638" s="1050"/>
      <c r="L638" s="1043"/>
      <c r="M638" s="1051"/>
      <c r="N638" s="1051"/>
      <c r="O638" s="1052"/>
      <c r="P638" s="1051"/>
      <c r="Q638" s="1051"/>
      <c r="R638" s="1052"/>
      <c r="S638" s="1051"/>
      <c r="T638" s="1051"/>
      <c r="U638" s="1052"/>
      <c r="V638" s="1051"/>
      <c r="W638" s="1051"/>
      <c r="X638" s="1052"/>
      <c r="Y638" s="1053"/>
      <c r="Z638" s="1051"/>
      <c r="AA638" s="1051"/>
      <c r="AB638" s="1052"/>
      <c r="AC638" s="1051"/>
      <c r="AD638" s="1051"/>
      <c r="AE638" s="1052"/>
      <c r="AF638" s="1051"/>
      <c r="AG638" s="1051"/>
      <c r="AH638" s="1051"/>
      <c r="AI638" s="1051"/>
      <c r="AJ638" s="1052"/>
      <c r="AK638" s="1051"/>
      <c r="AL638" s="1051"/>
      <c r="AM638" s="1052"/>
      <c r="AN638" s="1051"/>
      <c r="AO638" s="1051"/>
      <c r="AP638" s="1052"/>
      <c r="AQ638" s="1051"/>
      <c r="AR638" s="1051"/>
      <c r="AS638" s="1052"/>
      <c r="AT638" s="1051"/>
      <c r="AU638" s="1051"/>
      <c r="AV638" s="1052"/>
      <c r="AW638" s="1051"/>
      <c r="AX638" s="1051"/>
      <c r="AY638" s="1053"/>
      <c r="AZ638" s="1051"/>
      <c r="BA638" s="1051"/>
      <c r="BB638" s="1053"/>
      <c r="BC638" s="1051"/>
      <c r="BD638" s="1051"/>
      <c r="BE638" s="1053"/>
      <c r="BF638" s="1051"/>
      <c r="BG638" s="1051"/>
      <c r="BH638" s="1053"/>
      <c r="BI638" s="1052"/>
      <c r="BJ638" s="1052"/>
      <c r="BK638" s="1052"/>
      <c r="BL638" s="1052"/>
      <c r="BM638" s="1052"/>
      <c r="BN638" s="1054"/>
      <c r="BO638" s="1076">
        <f t="shared" si="21"/>
        <v>0</v>
      </c>
      <c r="BP638" s="1051"/>
      <c r="BQ638" s="1052"/>
      <c r="BR638" s="1054"/>
      <c r="BS638" s="1053"/>
      <c r="BT638" s="1051"/>
      <c r="BU638" s="1051"/>
      <c r="BV638" s="1051"/>
      <c r="BW638" s="1052"/>
      <c r="BX638" s="1052"/>
      <c r="BY638" s="1052"/>
      <c r="BZ638" s="1052"/>
      <c r="CA638" s="1052"/>
      <c r="CB638" s="1053"/>
      <c r="CC638" s="1053"/>
      <c r="CD638" s="1053"/>
      <c r="CE638" s="1053"/>
      <c r="CF638" s="1053"/>
      <c r="CG638" s="1053"/>
      <c r="CH638" s="1053"/>
      <c r="CI638" s="1123"/>
      <c r="CJ638" s="1123"/>
      <c r="CK638" s="1123"/>
      <c r="CL638" s="1123"/>
      <c r="CM638" s="1123"/>
      <c r="CN638" s="1123"/>
      <c r="CO638" s="1123"/>
      <c r="CP638" s="1123"/>
      <c r="CQ638" s="1123"/>
      <c r="CR638" s="1123"/>
      <c r="CS638" s="1123"/>
      <c r="CT638" s="1123"/>
      <c r="CU638" s="1123"/>
      <c r="CV638" s="1123"/>
      <c r="CW638" s="1123"/>
      <c r="CX638" s="1123"/>
      <c r="CY638" s="1123"/>
      <c r="CZ638" s="1114"/>
      <c r="DA638" s="1114"/>
      <c r="DB638" s="1114"/>
      <c r="DC638" s="1114"/>
      <c r="DD638" s="1114"/>
      <c r="DE638" s="1114"/>
      <c r="DF638" s="1114"/>
      <c r="DG638" s="1114"/>
      <c r="DH638" s="1114"/>
      <c r="DI638" s="1114"/>
      <c r="DJ638" s="1114"/>
      <c r="DK638" s="1114"/>
      <c r="DL638" s="1114"/>
      <c r="DM638" s="1114"/>
      <c r="DN638" s="1114"/>
      <c r="DO638" s="1114"/>
      <c r="DP638" s="1114"/>
      <c r="DQ638" s="1114"/>
      <c r="DR638" s="1114"/>
      <c r="DS638" s="1114"/>
      <c r="DT638" s="1114"/>
      <c r="DU638" s="1114"/>
      <c r="DV638" s="1115"/>
      <c r="DW638" s="1116"/>
      <c r="DX638" s="1116"/>
      <c r="DY638" s="1116"/>
      <c r="DZ638" s="1116"/>
      <c r="EA638" s="1116"/>
      <c r="EB638" s="1116"/>
      <c r="EC638" s="1116"/>
      <c r="ED638" s="1116"/>
      <c r="EE638" s="1116"/>
      <c r="EF638" s="1116"/>
      <c r="EG638" s="1116"/>
      <c r="EH638" s="1116"/>
      <c r="EI638" s="1116"/>
      <c r="EJ638" s="1116"/>
      <c r="EK638" s="1116"/>
      <c r="EL638" s="1116"/>
      <c r="EM638" s="1116"/>
      <c r="EN638" s="1116"/>
      <c r="EO638" s="1116"/>
      <c r="EP638" s="1116"/>
      <c r="EQ638" s="1116"/>
      <c r="ER638" s="1116"/>
      <c r="ES638" s="1116"/>
    </row>
    <row r="639" spans="1:149" ht="15" customHeight="1">
      <c r="A639" s="1185">
        <v>624</v>
      </c>
      <c r="B639" s="1041"/>
      <c r="C639" s="1050"/>
      <c r="D639" s="1050"/>
      <c r="E639" s="1050"/>
      <c r="F639" s="1049"/>
      <c r="G639" s="1457"/>
      <c r="H639" s="1049"/>
      <c r="I639" s="1049"/>
      <c r="J639" s="1050"/>
      <c r="K639" s="1050"/>
      <c r="L639" s="1043"/>
      <c r="M639" s="1051"/>
      <c r="N639" s="1051"/>
      <c r="O639" s="1052"/>
      <c r="P639" s="1051"/>
      <c r="Q639" s="1051"/>
      <c r="R639" s="1052"/>
      <c r="S639" s="1051"/>
      <c r="T639" s="1051"/>
      <c r="U639" s="1052"/>
      <c r="V639" s="1051"/>
      <c r="W639" s="1051"/>
      <c r="X639" s="1052"/>
      <c r="Y639" s="1053"/>
      <c r="Z639" s="1051"/>
      <c r="AA639" s="1051"/>
      <c r="AB639" s="1052"/>
      <c r="AC639" s="1051"/>
      <c r="AD639" s="1051"/>
      <c r="AE639" s="1052"/>
      <c r="AF639" s="1051"/>
      <c r="AG639" s="1051"/>
      <c r="AH639" s="1051"/>
      <c r="AI639" s="1051"/>
      <c r="AJ639" s="1052"/>
      <c r="AK639" s="1051"/>
      <c r="AL639" s="1051"/>
      <c r="AM639" s="1052"/>
      <c r="AN639" s="1051"/>
      <c r="AO639" s="1051"/>
      <c r="AP639" s="1052"/>
      <c r="AQ639" s="1051"/>
      <c r="AR639" s="1051"/>
      <c r="AS639" s="1052"/>
      <c r="AT639" s="1051"/>
      <c r="AU639" s="1051"/>
      <c r="AV639" s="1052"/>
      <c r="AW639" s="1051"/>
      <c r="AX639" s="1051"/>
      <c r="AY639" s="1053"/>
      <c r="AZ639" s="1051"/>
      <c r="BA639" s="1051"/>
      <c r="BB639" s="1053"/>
      <c r="BC639" s="1051"/>
      <c r="BD639" s="1051"/>
      <c r="BE639" s="1053"/>
      <c r="BF639" s="1051"/>
      <c r="BG639" s="1051"/>
      <c r="BH639" s="1053"/>
      <c r="BI639" s="1052"/>
      <c r="BJ639" s="1052"/>
      <c r="BK639" s="1052"/>
      <c r="BL639" s="1052"/>
      <c r="BM639" s="1052"/>
      <c r="BN639" s="1054"/>
      <c r="BO639" s="1076">
        <f t="shared" si="21"/>
        <v>0</v>
      </c>
      <c r="BP639" s="1051"/>
      <c r="BQ639" s="1052"/>
      <c r="BR639" s="1054"/>
      <c r="BS639" s="1053"/>
      <c r="BT639" s="1051"/>
      <c r="BU639" s="1051"/>
      <c r="BV639" s="1051"/>
      <c r="BW639" s="1052"/>
      <c r="BX639" s="1052"/>
      <c r="BY639" s="1052"/>
      <c r="BZ639" s="1052"/>
      <c r="CA639" s="1052"/>
      <c r="CB639" s="1053"/>
      <c r="CC639" s="1053"/>
      <c r="CD639" s="1053"/>
      <c r="CE639" s="1053"/>
      <c r="CF639" s="1053"/>
      <c r="CG639" s="1053"/>
      <c r="CH639" s="1053"/>
      <c r="CI639" s="1123"/>
      <c r="CJ639" s="1123"/>
      <c r="CK639" s="1123"/>
      <c r="CL639" s="1123"/>
      <c r="CM639" s="1123"/>
      <c r="CN639" s="1123"/>
      <c r="CO639" s="1123"/>
      <c r="CP639" s="1123"/>
      <c r="CQ639" s="1123"/>
      <c r="CR639" s="1123"/>
      <c r="CS639" s="1123"/>
      <c r="CT639" s="1123"/>
      <c r="CU639" s="1123"/>
      <c r="CV639" s="1123"/>
      <c r="CW639" s="1123"/>
      <c r="CX639" s="1123"/>
      <c r="CY639" s="1123"/>
      <c r="CZ639" s="1114"/>
      <c r="DA639" s="1114"/>
      <c r="DB639" s="1114"/>
      <c r="DC639" s="1114"/>
      <c r="DD639" s="1114"/>
      <c r="DE639" s="1114"/>
      <c r="DF639" s="1114"/>
      <c r="DG639" s="1114"/>
      <c r="DH639" s="1114"/>
      <c r="DI639" s="1114"/>
      <c r="DJ639" s="1114"/>
      <c r="DK639" s="1114"/>
      <c r="DL639" s="1114"/>
      <c r="DM639" s="1114"/>
      <c r="DN639" s="1114"/>
      <c r="DO639" s="1114"/>
      <c r="DP639" s="1114"/>
      <c r="DQ639" s="1114"/>
      <c r="DR639" s="1114"/>
      <c r="DS639" s="1114"/>
      <c r="DT639" s="1114"/>
      <c r="DU639" s="1114"/>
      <c r="DV639" s="1115"/>
      <c r="DW639" s="1116"/>
      <c r="DX639" s="1116"/>
      <c r="DY639" s="1116"/>
      <c r="DZ639" s="1116"/>
      <c r="EA639" s="1116"/>
      <c r="EB639" s="1116"/>
      <c r="EC639" s="1116"/>
      <c r="ED639" s="1116"/>
      <c r="EE639" s="1116"/>
      <c r="EF639" s="1116"/>
      <c r="EG639" s="1116"/>
      <c r="EH639" s="1116"/>
      <c r="EI639" s="1116"/>
      <c r="EJ639" s="1116"/>
      <c r="EK639" s="1116"/>
      <c r="EL639" s="1116"/>
      <c r="EM639" s="1116"/>
      <c r="EN639" s="1116"/>
      <c r="EO639" s="1116"/>
      <c r="EP639" s="1116"/>
      <c r="EQ639" s="1116"/>
      <c r="ER639" s="1116"/>
      <c r="ES639" s="1116"/>
    </row>
    <row r="640" spans="1:149" ht="15" customHeight="1">
      <c r="A640" s="1185">
        <v>625</v>
      </c>
      <c r="B640" s="1041"/>
      <c r="C640" s="1050"/>
      <c r="D640" s="1050"/>
      <c r="E640" s="1050"/>
      <c r="F640" s="1049"/>
      <c r="G640" s="1457"/>
      <c r="H640" s="1049"/>
      <c r="I640" s="1049"/>
      <c r="J640" s="1050"/>
      <c r="K640" s="1050"/>
      <c r="L640" s="1043"/>
      <c r="M640" s="1051"/>
      <c r="N640" s="1051"/>
      <c r="O640" s="1052"/>
      <c r="P640" s="1051"/>
      <c r="Q640" s="1051"/>
      <c r="R640" s="1052"/>
      <c r="S640" s="1051"/>
      <c r="T640" s="1051"/>
      <c r="U640" s="1052"/>
      <c r="V640" s="1051"/>
      <c r="W640" s="1051"/>
      <c r="X640" s="1052"/>
      <c r="Y640" s="1053"/>
      <c r="Z640" s="1051"/>
      <c r="AA640" s="1051"/>
      <c r="AB640" s="1052"/>
      <c r="AC640" s="1051"/>
      <c r="AD640" s="1051"/>
      <c r="AE640" s="1052"/>
      <c r="AF640" s="1051"/>
      <c r="AG640" s="1051"/>
      <c r="AH640" s="1051"/>
      <c r="AI640" s="1051"/>
      <c r="AJ640" s="1052"/>
      <c r="AK640" s="1051"/>
      <c r="AL640" s="1051"/>
      <c r="AM640" s="1052"/>
      <c r="AN640" s="1051"/>
      <c r="AO640" s="1051"/>
      <c r="AP640" s="1052"/>
      <c r="AQ640" s="1051"/>
      <c r="AR640" s="1051"/>
      <c r="AS640" s="1052"/>
      <c r="AT640" s="1051"/>
      <c r="AU640" s="1051"/>
      <c r="AV640" s="1052"/>
      <c r="AW640" s="1051"/>
      <c r="AX640" s="1051"/>
      <c r="AY640" s="1053"/>
      <c r="AZ640" s="1051"/>
      <c r="BA640" s="1051"/>
      <c r="BB640" s="1053"/>
      <c r="BC640" s="1051"/>
      <c r="BD640" s="1051"/>
      <c r="BE640" s="1053"/>
      <c r="BF640" s="1051"/>
      <c r="BG640" s="1051"/>
      <c r="BH640" s="1053"/>
      <c r="BI640" s="1052"/>
      <c r="BJ640" s="1052"/>
      <c r="BK640" s="1052"/>
      <c r="BL640" s="1052"/>
      <c r="BM640" s="1052"/>
      <c r="BN640" s="1054"/>
      <c r="BO640" s="1076">
        <f t="shared" si="21"/>
        <v>0</v>
      </c>
      <c r="BP640" s="1051"/>
      <c r="BQ640" s="1052"/>
      <c r="BR640" s="1054"/>
      <c r="BS640" s="1053"/>
      <c r="BT640" s="1051"/>
      <c r="BU640" s="1051"/>
      <c r="BV640" s="1051"/>
      <c r="BW640" s="1052"/>
      <c r="BX640" s="1052"/>
      <c r="BY640" s="1052"/>
      <c r="BZ640" s="1052"/>
      <c r="CA640" s="1052"/>
      <c r="CB640" s="1053"/>
      <c r="CC640" s="1053"/>
      <c r="CD640" s="1053"/>
      <c r="CE640" s="1053"/>
      <c r="CF640" s="1053"/>
      <c r="CG640" s="1053"/>
      <c r="CH640" s="1053"/>
      <c r="CI640" s="1123"/>
      <c r="CJ640" s="1123"/>
      <c r="CK640" s="1123"/>
      <c r="CL640" s="1123"/>
      <c r="CM640" s="1123"/>
      <c r="CN640" s="1123"/>
      <c r="CO640" s="1123"/>
      <c r="CP640" s="1123"/>
      <c r="CQ640" s="1123"/>
      <c r="CR640" s="1123"/>
      <c r="CS640" s="1123"/>
      <c r="CT640" s="1123"/>
      <c r="CU640" s="1123"/>
      <c r="CV640" s="1123"/>
      <c r="CW640" s="1123"/>
      <c r="CX640" s="1123"/>
      <c r="CY640" s="1123"/>
      <c r="CZ640" s="1114"/>
      <c r="DA640" s="1114"/>
      <c r="DB640" s="1114"/>
      <c r="DC640" s="1114"/>
      <c r="DD640" s="1114"/>
      <c r="DE640" s="1114"/>
      <c r="DF640" s="1114"/>
      <c r="DG640" s="1114"/>
      <c r="DH640" s="1114"/>
      <c r="DI640" s="1114"/>
      <c r="DJ640" s="1114"/>
      <c r="DK640" s="1114"/>
      <c r="DL640" s="1114"/>
      <c r="DM640" s="1114"/>
      <c r="DN640" s="1114"/>
      <c r="DO640" s="1114"/>
      <c r="DP640" s="1114"/>
      <c r="DQ640" s="1114"/>
      <c r="DR640" s="1114"/>
      <c r="DS640" s="1114"/>
      <c r="DT640" s="1114"/>
      <c r="DU640" s="1114"/>
      <c r="DV640" s="1115"/>
      <c r="DW640" s="1116"/>
      <c r="DX640" s="1116"/>
      <c r="DY640" s="1116"/>
      <c r="DZ640" s="1116"/>
      <c r="EA640" s="1116"/>
      <c r="EB640" s="1116"/>
      <c r="EC640" s="1116"/>
      <c r="ED640" s="1116"/>
      <c r="EE640" s="1116"/>
      <c r="EF640" s="1116"/>
      <c r="EG640" s="1116"/>
      <c r="EH640" s="1116"/>
      <c r="EI640" s="1116"/>
      <c r="EJ640" s="1116"/>
      <c r="EK640" s="1116"/>
      <c r="EL640" s="1116"/>
      <c r="EM640" s="1116"/>
      <c r="EN640" s="1116"/>
      <c r="EO640" s="1116"/>
      <c r="EP640" s="1116"/>
      <c r="EQ640" s="1116"/>
      <c r="ER640" s="1116"/>
      <c r="ES640" s="1116"/>
    </row>
    <row r="641" spans="1:149" ht="15" customHeight="1">
      <c r="A641" s="1185">
        <v>626</v>
      </c>
      <c r="B641" s="1041"/>
      <c r="C641" s="1050"/>
      <c r="D641" s="1050"/>
      <c r="E641" s="1050"/>
      <c r="F641" s="1049"/>
      <c r="G641" s="1457"/>
      <c r="H641" s="1049"/>
      <c r="I641" s="1049"/>
      <c r="J641" s="1050"/>
      <c r="K641" s="1050"/>
      <c r="L641" s="1043"/>
      <c r="M641" s="1051"/>
      <c r="N641" s="1051"/>
      <c r="O641" s="1052"/>
      <c r="P641" s="1051"/>
      <c r="Q641" s="1051"/>
      <c r="R641" s="1052"/>
      <c r="S641" s="1051"/>
      <c r="T641" s="1051"/>
      <c r="U641" s="1052"/>
      <c r="V641" s="1051"/>
      <c r="W641" s="1051"/>
      <c r="X641" s="1052"/>
      <c r="Y641" s="1053"/>
      <c r="Z641" s="1051"/>
      <c r="AA641" s="1051"/>
      <c r="AB641" s="1052"/>
      <c r="AC641" s="1051"/>
      <c r="AD641" s="1051"/>
      <c r="AE641" s="1052"/>
      <c r="AF641" s="1051"/>
      <c r="AG641" s="1051"/>
      <c r="AH641" s="1051"/>
      <c r="AI641" s="1051"/>
      <c r="AJ641" s="1052"/>
      <c r="AK641" s="1051"/>
      <c r="AL641" s="1051"/>
      <c r="AM641" s="1052"/>
      <c r="AN641" s="1051"/>
      <c r="AO641" s="1051"/>
      <c r="AP641" s="1052"/>
      <c r="AQ641" s="1051"/>
      <c r="AR641" s="1051"/>
      <c r="AS641" s="1052"/>
      <c r="AT641" s="1051"/>
      <c r="AU641" s="1051"/>
      <c r="AV641" s="1052"/>
      <c r="AW641" s="1051"/>
      <c r="AX641" s="1051"/>
      <c r="AY641" s="1053"/>
      <c r="AZ641" s="1051"/>
      <c r="BA641" s="1051"/>
      <c r="BB641" s="1053"/>
      <c r="BC641" s="1051"/>
      <c r="BD641" s="1051"/>
      <c r="BE641" s="1053"/>
      <c r="BF641" s="1051"/>
      <c r="BG641" s="1051"/>
      <c r="BH641" s="1053"/>
      <c r="BI641" s="1052"/>
      <c r="BJ641" s="1052"/>
      <c r="BK641" s="1052"/>
      <c r="BL641" s="1052"/>
      <c r="BM641" s="1052"/>
      <c r="BN641" s="1054"/>
      <c r="BO641" s="1076">
        <f t="shared" si="21"/>
        <v>0</v>
      </c>
      <c r="BP641" s="1051"/>
      <c r="BQ641" s="1052"/>
      <c r="BR641" s="1054"/>
      <c r="BS641" s="1053"/>
      <c r="BT641" s="1051"/>
      <c r="BU641" s="1051"/>
      <c r="BV641" s="1051"/>
      <c r="BW641" s="1052"/>
      <c r="BX641" s="1052"/>
      <c r="BY641" s="1052"/>
      <c r="BZ641" s="1052"/>
      <c r="CA641" s="1052"/>
      <c r="CB641" s="1053"/>
      <c r="CC641" s="1053"/>
      <c r="CD641" s="1053"/>
      <c r="CE641" s="1053"/>
      <c r="CF641" s="1053"/>
      <c r="CG641" s="1053"/>
      <c r="CH641" s="1053"/>
      <c r="CI641" s="1123"/>
      <c r="CJ641" s="1123"/>
      <c r="CK641" s="1123"/>
      <c r="CL641" s="1123"/>
      <c r="CM641" s="1123"/>
      <c r="CN641" s="1123"/>
      <c r="CO641" s="1123"/>
      <c r="CP641" s="1123"/>
      <c r="CQ641" s="1123"/>
      <c r="CR641" s="1123"/>
      <c r="CS641" s="1123"/>
      <c r="CT641" s="1123"/>
      <c r="CU641" s="1123"/>
      <c r="CV641" s="1123"/>
      <c r="CW641" s="1123"/>
      <c r="CX641" s="1123"/>
      <c r="CY641" s="1123"/>
      <c r="CZ641" s="1114"/>
      <c r="DA641" s="1114"/>
      <c r="DB641" s="1114"/>
      <c r="DC641" s="1114"/>
      <c r="DD641" s="1114"/>
      <c r="DE641" s="1114"/>
      <c r="DF641" s="1114"/>
      <c r="DG641" s="1114"/>
      <c r="DH641" s="1114"/>
      <c r="DI641" s="1114"/>
      <c r="DJ641" s="1114"/>
      <c r="DK641" s="1114"/>
      <c r="DL641" s="1114"/>
      <c r="DM641" s="1114"/>
      <c r="DN641" s="1114"/>
      <c r="DO641" s="1114"/>
      <c r="DP641" s="1114"/>
      <c r="DQ641" s="1114"/>
      <c r="DR641" s="1114"/>
      <c r="DS641" s="1114"/>
      <c r="DT641" s="1114"/>
      <c r="DU641" s="1114"/>
      <c r="DV641" s="1115"/>
      <c r="DW641" s="1116"/>
      <c r="DX641" s="1116"/>
      <c r="DY641" s="1116"/>
      <c r="DZ641" s="1116"/>
      <c r="EA641" s="1116"/>
      <c r="EB641" s="1116"/>
      <c r="EC641" s="1116"/>
      <c r="ED641" s="1116"/>
      <c r="EE641" s="1116"/>
      <c r="EF641" s="1116"/>
      <c r="EG641" s="1116"/>
      <c r="EH641" s="1116"/>
      <c r="EI641" s="1116"/>
      <c r="EJ641" s="1116"/>
      <c r="EK641" s="1116"/>
      <c r="EL641" s="1116"/>
      <c r="EM641" s="1116"/>
      <c r="EN641" s="1116"/>
      <c r="EO641" s="1116"/>
      <c r="EP641" s="1116"/>
      <c r="EQ641" s="1116"/>
      <c r="ER641" s="1116"/>
      <c r="ES641" s="1116"/>
    </row>
    <row r="642" spans="1:149" ht="15" customHeight="1">
      <c r="A642" s="1185">
        <v>627</v>
      </c>
      <c r="B642" s="1041"/>
      <c r="C642" s="1050"/>
      <c r="D642" s="1050"/>
      <c r="E642" s="1050"/>
      <c r="F642" s="1049"/>
      <c r="G642" s="1457"/>
      <c r="H642" s="1049"/>
      <c r="I642" s="1049"/>
      <c r="J642" s="1050"/>
      <c r="K642" s="1050"/>
      <c r="L642" s="1043"/>
      <c r="M642" s="1051"/>
      <c r="N642" s="1051"/>
      <c r="O642" s="1052"/>
      <c r="P642" s="1051"/>
      <c r="Q642" s="1051"/>
      <c r="R642" s="1052"/>
      <c r="S642" s="1051"/>
      <c r="T642" s="1051"/>
      <c r="U642" s="1052"/>
      <c r="V642" s="1051"/>
      <c r="W642" s="1051"/>
      <c r="X642" s="1052"/>
      <c r="Y642" s="1053"/>
      <c r="Z642" s="1051"/>
      <c r="AA642" s="1051"/>
      <c r="AB642" s="1052"/>
      <c r="AC642" s="1051"/>
      <c r="AD642" s="1051"/>
      <c r="AE642" s="1052"/>
      <c r="AF642" s="1051"/>
      <c r="AG642" s="1051"/>
      <c r="AH642" s="1051"/>
      <c r="AI642" s="1051"/>
      <c r="AJ642" s="1052"/>
      <c r="AK642" s="1051"/>
      <c r="AL642" s="1051"/>
      <c r="AM642" s="1052"/>
      <c r="AN642" s="1051"/>
      <c r="AO642" s="1051"/>
      <c r="AP642" s="1052"/>
      <c r="AQ642" s="1051"/>
      <c r="AR642" s="1051"/>
      <c r="AS642" s="1052"/>
      <c r="AT642" s="1051"/>
      <c r="AU642" s="1051"/>
      <c r="AV642" s="1052"/>
      <c r="AW642" s="1051"/>
      <c r="AX642" s="1051"/>
      <c r="AY642" s="1053"/>
      <c r="AZ642" s="1051"/>
      <c r="BA642" s="1051"/>
      <c r="BB642" s="1053"/>
      <c r="BC642" s="1051"/>
      <c r="BD642" s="1051"/>
      <c r="BE642" s="1053"/>
      <c r="BF642" s="1051"/>
      <c r="BG642" s="1051"/>
      <c r="BH642" s="1053"/>
      <c r="BI642" s="1052"/>
      <c r="BJ642" s="1052"/>
      <c r="BK642" s="1052"/>
      <c r="BL642" s="1052"/>
      <c r="BM642" s="1052"/>
      <c r="BN642" s="1054"/>
      <c r="BO642" s="1076">
        <f t="shared" si="21"/>
        <v>0</v>
      </c>
      <c r="BP642" s="1051"/>
      <c r="BQ642" s="1052"/>
      <c r="BR642" s="1054"/>
      <c r="BS642" s="1053"/>
      <c r="BT642" s="1051"/>
      <c r="BU642" s="1051"/>
      <c r="BV642" s="1051"/>
      <c r="BW642" s="1052"/>
      <c r="BX642" s="1052"/>
      <c r="BY642" s="1052"/>
      <c r="BZ642" s="1052"/>
      <c r="CA642" s="1052"/>
      <c r="CB642" s="1053"/>
      <c r="CC642" s="1053"/>
      <c r="CD642" s="1053"/>
      <c r="CE642" s="1053"/>
      <c r="CF642" s="1053"/>
      <c r="CG642" s="1053"/>
      <c r="CH642" s="1053"/>
      <c r="CI642" s="1123"/>
      <c r="CJ642" s="1123"/>
      <c r="CK642" s="1123"/>
      <c r="CL642" s="1123"/>
      <c r="CM642" s="1123"/>
      <c r="CN642" s="1123"/>
      <c r="CO642" s="1123"/>
      <c r="CP642" s="1123"/>
      <c r="CQ642" s="1123"/>
      <c r="CR642" s="1123"/>
      <c r="CS642" s="1123"/>
      <c r="CT642" s="1123"/>
      <c r="CU642" s="1123"/>
      <c r="CV642" s="1123"/>
      <c r="CW642" s="1123"/>
      <c r="CX642" s="1123"/>
      <c r="CY642" s="1123"/>
      <c r="CZ642" s="1114"/>
      <c r="DA642" s="1114"/>
      <c r="DB642" s="1114"/>
      <c r="DC642" s="1114"/>
      <c r="DD642" s="1114"/>
      <c r="DE642" s="1114"/>
      <c r="DF642" s="1114"/>
      <c r="DG642" s="1114"/>
      <c r="DH642" s="1114"/>
      <c r="DI642" s="1114"/>
      <c r="DJ642" s="1114"/>
      <c r="DK642" s="1114"/>
      <c r="DL642" s="1114"/>
      <c r="DM642" s="1114"/>
      <c r="DN642" s="1114"/>
      <c r="DO642" s="1114"/>
      <c r="DP642" s="1114"/>
      <c r="DQ642" s="1114"/>
      <c r="DR642" s="1114"/>
      <c r="DS642" s="1114"/>
      <c r="DT642" s="1114"/>
      <c r="DU642" s="1114"/>
      <c r="DV642" s="1115"/>
      <c r="DW642" s="1116"/>
      <c r="DX642" s="1116"/>
      <c r="DY642" s="1116"/>
      <c r="DZ642" s="1116"/>
      <c r="EA642" s="1116"/>
      <c r="EB642" s="1116"/>
      <c r="EC642" s="1116"/>
      <c r="ED642" s="1116"/>
      <c r="EE642" s="1116"/>
      <c r="EF642" s="1116"/>
      <c r="EG642" s="1116"/>
      <c r="EH642" s="1116"/>
      <c r="EI642" s="1116"/>
      <c r="EJ642" s="1116"/>
      <c r="EK642" s="1116"/>
      <c r="EL642" s="1116"/>
      <c r="EM642" s="1116"/>
      <c r="EN642" s="1116"/>
      <c r="EO642" s="1116"/>
      <c r="EP642" s="1116"/>
      <c r="EQ642" s="1116"/>
      <c r="ER642" s="1116"/>
      <c r="ES642" s="1116"/>
    </row>
    <row r="643" spans="1:149" ht="15" customHeight="1">
      <c r="A643" s="1185">
        <v>628</v>
      </c>
      <c r="B643" s="1041"/>
      <c r="C643" s="1050"/>
      <c r="D643" s="1050"/>
      <c r="E643" s="1050"/>
      <c r="F643" s="1049"/>
      <c r="G643" s="1457"/>
      <c r="H643" s="1049"/>
      <c r="I643" s="1049"/>
      <c r="J643" s="1050"/>
      <c r="K643" s="1050"/>
      <c r="L643" s="1043"/>
      <c r="M643" s="1051"/>
      <c r="N643" s="1051"/>
      <c r="O643" s="1052"/>
      <c r="P643" s="1051"/>
      <c r="Q643" s="1051"/>
      <c r="R643" s="1052"/>
      <c r="S643" s="1051"/>
      <c r="T643" s="1051"/>
      <c r="U643" s="1052"/>
      <c r="V643" s="1051"/>
      <c r="W643" s="1051"/>
      <c r="X643" s="1052"/>
      <c r="Y643" s="1053"/>
      <c r="Z643" s="1051"/>
      <c r="AA643" s="1051"/>
      <c r="AB643" s="1052"/>
      <c r="AC643" s="1051"/>
      <c r="AD643" s="1051"/>
      <c r="AE643" s="1052"/>
      <c r="AF643" s="1051"/>
      <c r="AG643" s="1051"/>
      <c r="AH643" s="1051"/>
      <c r="AI643" s="1051"/>
      <c r="AJ643" s="1052"/>
      <c r="AK643" s="1051"/>
      <c r="AL643" s="1051"/>
      <c r="AM643" s="1052"/>
      <c r="AN643" s="1051"/>
      <c r="AO643" s="1051"/>
      <c r="AP643" s="1052"/>
      <c r="AQ643" s="1051"/>
      <c r="AR643" s="1051"/>
      <c r="AS643" s="1052"/>
      <c r="AT643" s="1051"/>
      <c r="AU643" s="1051"/>
      <c r="AV643" s="1052"/>
      <c r="AW643" s="1051"/>
      <c r="AX643" s="1051"/>
      <c r="AY643" s="1053"/>
      <c r="AZ643" s="1051"/>
      <c r="BA643" s="1051"/>
      <c r="BB643" s="1053"/>
      <c r="BC643" s="1051"/>
      <c r="BD643" s="1051"/>
      <c r="BE643" s="1053"/>
      <c r="BF643" s="1051"/>
      <c r="BG643" s="1051"/>
      <c r="BH643" s="1053"/>
      <c r="BI643" s="1052"/>
      <c r="BJ643" s="1052"/>
      <c r="BK643" s="1052"/>
      <c r="BL643" s="1052"/>
      <c r="BM643" s="1052"/>
      <c r="BN643" s="1054"/>
      <c r="BO643" s="1076">
        <f t="shared" si="21"/>
        <v>0</v>
      </c>
      <c r="BP643" s="1051"/>
      <c r="BQ643" s="1052"/>
      <c r="BR643" s="1054"/>
      <c r="BS643" s="1053"/>
      <c r="BT643" s="1051"/>
      <c r="BU643" s="1051"/>
      <c r="BV643" s="1051"/>
      <c r="BW643" s="1052"/>
      <c r="BX643" s="1052"/>
      <c r="BY643" s="1052"/>
      <c r="BZ643" s="1052"/>
      <c r="CA643" s="1052"/>
      <c r="CB643" s="1053"/>
      <c r="CC643" s="1053"/>
      <c r="CD643" s="1053"/>
      <c r="CE643" s="1053"/>
      <c r="CF643" s="1053"/>
      <c r="CG643" s="1053"/>
      <c r="CH643" s="1053"/>
      <c r="CI643" s="1123"/>
      <c r="CJ643" s="1123"/>
      <c r="CK643" s="1123"/>
      <c r="CL643" s="1123"/>
      <c r="CM643" s="1123"/>
      <c r="CN643" s="1123"/>
      <c r="CO643" s="1123"/>
      <c r="CP643" s="1123"/>
      <c r="CQ643" s="1123"/>
      <c r="CR643" s="1123"/>
      <c r="CS643" s="1123"/>
      <c r="CT643" s="1123"/>
      <c r="CU643" s="1123"/>
      <c r="CV643" s="1123"/>
      <c r="CW643" s="1123"/>
      <c r="CX643" s="1123"/>
      <c r="CY643" s="1123"/>
      <c r="CZ643" s="1114"/>
      <c r="DA643" s="1114"/>
      <c r="DB643" s="1114"/>
      <c r="DC643" s="1114"/>
      <c r="DD643" s="1114"/>
      <c r="DE643" s="1114"/>
      <c r="DF643" s="1114"/>
      <c r="DG643" s="1114"/>
      <c r="DH643" s="1114"/>
      <c r="DI643" s="1114"/>
      <c r="DJ643" s="1114"/>
      <c r="DK643" s="1114"/>
      <c r="DL643" s="1114"/>
      <c r="DM643" s="1114"/>
      <c r="DN643" s="1114"/>
      <c r="DO643" s="1114"/>
      <c r="DP643" s="1114"/>
      <c r="DQ643" s="1114"/>
      <c r="DR643" s="1114"/>
      <c r="DS643" s="1114"/>
      <c r="DT643" s="1114"/>
      <c r="DU643" s="1114"/>
      <c r="DV643" s="1115"/>
      <c r="DW643" s="1116"/>
      <c r="DX643" s="1116"/>
      <c r="DY643" s="1116"/>
      <c r="DZ643" s="1116"/>
      <c r="EA643" s="1116"/>
      <c r="EB643" s="1116"/>
      <c r="EC643" s="1116"/>
      <c r="ED643" s="1116"/>
      <c r="EE643" s="1116"/>
      <c r="EF643" s="1116"/>
      <c r="EG643" s="1116"/>
      <c r="EH643" s="1116"/>
      <c r="EI643" s="1116"/>
      <c r="EJ643" s="1116"/>
      <c r="EK643" s="1116"/>
      <c r="EL643" s="1116"/>
      <c r="EM643" s="1116"/>
      <c r="EN643" s="1116"/>
      <c r="EO643" s="1116"/>
      <c r="EP643" s="1116"/>
      <c r="EQ643" s="1116"/>
      <c r="ER643" s="1116"/>
      <c r="ES643" s="1116"/>
    </row>
    <row r="644" spans="1:149" ht="15" customHeight="1">
      <c r="A644" s="1185">
        <v>629</v>
      </c>
      <c r="B644" s="1041"/>
      <c r="C644" s="1050"/>
      <c r="D644" s="1050"/>
      <c r="E644" s="1050"/>
      <c r="F644" s="1049"/>
      <c r="G644" s="1457"/>
      <c r="H644" s="1049"/>
      <c r="I644" s="1049"/>
      <c r="J644" s="1050"/>
      <c r="K644" s="1050"/>
      <c r="L644" s="1043"/>
      <c r="M644" s="1051"/>
      <c r="N644" s="1051"/>
      <c r="O644" s="1052"/>
      <c r="P644" s="1051"/>
      <c r="Q644" s="1051"/>
      <c r="R644" s="1052"/>
      <c r="S644" s="1051"/>
      <c r="T644" s="1051"/>
      <c r="U644" s="1052"/>
      <c r="V644" s="1051"/>
      <c r="W644" s="1051"/>
      <c r="X644" s="1052"/>
      <c r="Y644" s="1053"/>
      <c r="Z644" s="1051"/>
      <c r="AA644" s="1051"/>
      <c r="AB644" s="1052"/>
      <c r="AC644" s="1051"/>
      <c r="AD644" s="1051"/>
      <c r="AE644" s="1052"/>
      <c r="AF644" s="1051"/>
      <c r="AG644" s="1051"/>
      <c r="AH644" s="1051"/>
      <c r="AI644" s="1051"/>
      <c r="AJ644" s="1052"/>
      <c r="AK644" s="1051"/>
      <c r="AL644" s="1051"/>
      <c r="AM644" s="1052"/>
      <c r="AN644" s="1051"/>
      <c r="AO644" s="1051"/>
      <c r="AP644" s="1052"/>
      <c r="AQ644" s="1051"/>
      <c r="AR644" s="1051"/>
      <c r="AS644" s="1052"/>
      <c r="AT644" s="1051"/>
      <c r="AU644" s="1051"/>
      <c r="AV644" s="1052"/>
      <c r="AW644" s="1051"/>
      <c r="AX644" s="1051"/>
      <c r="AY644" s="1053"/>
      <c r="AZ644" s="1051"/>
      <c r="BA644" s="1051"/>
      <c r="BB644" s="1053"/>
      <c r="BC644" s="1051"/>
      <c r="BD644" s="1051"/>
      <c r="BE644" s="1053"/>
      <c r="BF644" s="1051"/>
      <c r="BG644" s="1051"/>
      <c r="BH644" s="1053"/>
      <c r="BI644" s="1052"/>
      <c r="BJ644" s="1052"/>
      <c r="BK644" s="1052"/>
      <c r="BL644" s="1052"/>
      <c r="BM644" s="1052"/>
      <c r="BN644" s="1054"/>
      <c r="BO644" s="1076">
        <f t="shared" si="21"/>
        <v>0</v>
      </c>
      <c r="BP644" s="1051"/>
      <c r="BQ644" s="1052"/>
      <c r="BR644" s="1054"/>
      <c r="BS644" s="1053"/>
      <c r="BT644" s="1051"/>
      <c r="BU644" s="1051"/>
      <c r="BV644" s="1051"/>
      <c r="BW644" s="1052"/>
      <c r="BX644" s="1052"/>
      <c r="BY644" s="1052"/>
      <c r="BZ644" s="1052"/>
      <c r="CA644" s="1052"/>
      <c r="CB644" s="1053"/>
      <c r="CC644" s="1053"/>
      <c r="CD644" s="1053"/>
      <c r="CE644" s="1053"/>
      <c r="CF644" s="1053"/>
      <c r="CG644" s="1053"/>
      <c r="CH644" s="1053"/>
      <c r="CI644" s="1123"/>
      <c r="CJ644" s="1123"/>
      <c r="CK644" s="1123"/>
      <c r="CL644" s="1123"/>
      <c r="CM644" s="1123"/>
      <c r="CN644" s="1123"/>
      <c r="CO644" s="1123"/>
      <c r="CP644" s="1123"/>
      <c r="CQ644" s="1123"/>
      <c r="CR644" s="1123"/>
      <c r="CS644" s="1123"/>
      <c r="CT644" s="1123"/>
      <c r="CU644" s="1123"/>
      <c r="CV644" s="1123"/>
      <c r="CW644" s="1123"/>
      <c r="CX644" s="1123"/>
      <c r="CY644" s="1123"/>
      <c r="CZ644" s="1114"/>
      <c r="DA644" s="1114"/>
      <c r="DB644" s="1114"/>
      <c r="DC644" s="1114"/>
      <c r="DD644" s="1114"/>
      <c r="DE644" s="1114"/>
      <c r="DF644" s="1114"/>
      <c r="DG644" s="1114"/>
      <c r="DH644" s="1114"/>
      <c r="DI644" s="1114"/>
      <c r="DJ644" s="1114"/>
      <c r="DK644" s="1114"/>
      <c r="DL644" s="1114"/>
      <c r="DM644" s="1114"/>
      <c r="DN644" s="1114"/>
      <c r="DO644" s="1114"/>
      <c r="DP644" s="1114"/>
      <c r="DQ644" s="1114"/>
      <c r="DR644" s="1114"/>
      <c r="DS644" s="1114"/>
      <c r="DT644" s="1114"/>
      <c r="DU644" s="1114"/>
      <c r="DV644" s="1115"/>
      <c r="DW644" s="1116"/>
      <c r="DX644" s="1116"/>
      <c r="DY644" s="1116"/>
      <c r="DZ644" s="1116"/>
      <c r="EA644" s="1116"/>
      <c r="EB644" s="1116"/>
      <c r="EC644" s="1116"/>
      <c r="ED644" s="1116"/>
      <c r="EE644" s="1116"/>
      <c r="EF644" s="1116"/>
      <c r="EG644" s="1116"/>
      <c r="EH644" s="1116"/>
      <c r="EI644" s="1116"/>
      <c r="EJ644" s="1116"/>
      <c r="EK644" s="1116"/>
      <c r="EL644" s="1116"/>
      <c r="EM644" s="1116"/>
      <c r="EN644" s="1116"/>
      <c r="EO644" s="1116"/>
      <c r="EP644" s="1116"/>
      <c r="EQ644" s="1116"/>
      <c r="ER644" s="1116"/>
      <c r="ES644" s="1116"/>
    </row>
    <row r="645" spans="1:149" ht="15" customHeight="1">
      <c r="A645" s="1185">
        <v>630</v>
      </c>
      <c r="B645" s="1041"/>
      <c r="C645" s="1050"/>
      <c r="D645" s="1050"/>
      <c r="E645" s="1050"/>
      <c r="F645" s="1049"/>
      <c r="G645" s="1457"/>
      <c r="H645" s="1049"/>
      <c r="I645" s="1049"/>
      <c r="J645" s="1050"/>
      <c r="K645" s="1050"/>
      <c r="L645" s="1043"/>
      <c r="M645" s="1051"/>
      <c r="N645" s="1051"/>
      <c r="O645" s="1052"/>
      <c r="P645" s="1051"/>
      <c r="Q645" s="1051"/>
      <c r="R645" s="1052"/>
      <c r="S645" s="1051"/>
      <c r="T645" s="1051"/>
      <c r="U645" s="1052"/>
      <c r="V645" s="1051"/>
      <c r="W645" s="1051"/>
      <c r="X645" s="1052"/>
      <c r="Y645" s="1053"/>
      <c r="Z645" s="1051"/>
      <c r="AA645" s="1051"/>
      <c r="AB645" s="1052"/>
      <c r="AC645" s="1051"/>
      <c r="AD645" s="1051"/>
      <c r="AE645" s="1052"/>
      <c r="AF645" s="1051"/>
      <c r="AG645" s="1051"/>
      <c r="AH645" s="1051"/>
      <c r="AI645" s="1051"/>
      <c r="AJ645" s="1052"/>
      <c r="AK645" s="1051"/>
      <c r="AL645" s="1051"/>
      <c r="AM645" s="1052"/>
      <c r="AN645" s="1051"/>
      <c r="AO645" s="1051"/>
      <c r="AP645" s="1052"/>
      <c r="AQ645" s="1051"/>
      <c r="AR645" s="1051"/>
      <c r="AS645" s="1052"/>
      <c r="AT645" s="1051"/>
      <c r="AU645" s="1051"/>
      <c r="AV645" s="1052"/>
      <c r="AW645" s="1051"/>
      <c r="AX645" s="1051"/>
      <c r="AY645" s="1053"/>
      <c r="AZ645" s="1051"/>
      <c r="BA645" s="1051"/>
      <c r="BB645" s="1053"/>
      <c r="BC645" s="1051"/>
      <c r="BD645" s="1051"/>
      <c r="BE645" s="1053"/>
      <c r="BF645" s="1051"/>
      <c r="BG645" s="1051"/>
      <c r="BH645" s="1053"/>
      <c r="BI645" s="1052"/>
      <c r="BJ645" s="1052"/>
      <c r="BK645" s="1052"/>
      <c r="BL645" s="1052"/>
      <c r="BM645" s="1052"/>
      <c r="BN645" s="1054"/>
      <c r="BO645" s="1076">
        <f t="shared" si="21"/>
        <v>0</v>
      </c>
      <c r="BP645" s="1051"/>
      <c r="BQ645" s="1052"/>
      <c r="BR645" s="1054"/>
      <c r="BS645" s="1053"/>
      <c r="BT645" s="1051"/>
      <c r="BU645" s="1051"/>
      <c r="BV645" s="1051"/>
      <c r="BW645" s="1052"/>
      <c r="BX645" s="1052"/>
      <c r="BY645" s="1052"/>
      <c r="BZ645" s="1052"/>
      <c r="CA645" s="1052"/>
      <c r="CB645" s="1053"/>
      <c r="CC645" s="1053"/>
      <c r="CD645" s="1053"/>
      <c r="CE645" s="1053"/>
      <c r="CF645" s="1053"/>
      <c r="CG645" s="1053"/>
      <c r="CH645" s="1053"/>
      <c r="CI645" s="1123"/>
      <c r="CJ645" s="1123"/>
      <c r="CK645" s="1123"/>
      <c r="CL645" s="1123"/>
      <c r="CM645" s="1123"/>
      <c r="CN645" s="1123"/>
      <c r="CO645" s="1123"/>
      <c r="CP645" s="1123"/>
      <c r="CQ645" s="1123"/>
      <c r="CR645" s="1123"/>
      <c r="CS645" s="1123"/>
      <c r="CT645" s="1123"/>
      <c r="CU645" s="1123"/>
      <c r="CV645" s="1123"/>
      <c r="CW645" s="1123"/>
      <c r="CX645" s="1123"/>
      <c r="CY645" s="1123"/>
      <c r="CZ645" s="1114"/>
      <c r="DA645" s="1114"/>
      <c r="DB645" s="1114"/>
      <c r="DC645" s="1114"/>
      <c r="DD645" s="1114"/>
      <c r="DE645" s="1114"/>
      <c r="DF645" s="1114"/>
      <c r="DG645" s="1114"/>
      <c r="DH645" s="1114"/>
      <c r="DI645" s="1114"/>
      <c r="DJ645" s="1114"/>
      <c r="DK645" s="1114"/>
      <c r="DL645" s="1114"/>
      <c r="DM645" s="1114"/>
      <c r="DN645" s="1114"/>
      <c r="DO645" s="1114"/>
      <c r="DP645" s="1114"/>
      <c r="DQ645" s="1114"/>
      <c r="DR645" s="1114"/>
      <c r="DS645" s="1114"/>
      <c r="DT645" s="1114"/>
      <c r="DU645" s="1114"/>
      <c r="DV645" s="1115"/>
      <c r="DW645" s="1116"/>
      <c r="DX645" s="1116"/>
      <c r="DY645" s="1116"/>
      <c r="DZ645" s="1116"/>
      <c r="EA645" s="1116"/>
      <c r="EB645" s="1116"/>
      <c r="EC645" s="1116"/>
      <c r="ED645" s="1116"/>
      <c r="EE645" s="1116"/>
      <c r="EF645" s="1116"/>
      <c r="EG645" s="1116"/>
      <c r="EH645" s="1116"/>
      <c r="EI645" s="1116"/>
      <c r="EJ645" s="1116"/>
      <c r="EK645" s="1116"/>
      <c r="EL645" s="1116"/>
      <c r="EM645" s="1116"/>
      <c r="EN645" s="1116"/>
      <c r="EO645" s="1116"/>
      <c r="EP645" s="1116"/>
      <c r="EQ645" s="1116"/>
      <c r="ER645" s="1116"/>
      <c r="ES645" s="1116"/>
    </row>
    <row r="646" spans="1:149" ht="15" customHeight="1">
      <c r="A646" s="1185">
        <v>631</v>
      </c>
      <c r="B646" s="1041"/>
      <c r="C646" s="1050"/>
      <c r="D646" s="1050"/>
      <c r="E646" s="1050"/>
      <c r="F646" s="1049"/>
      <c r="G646" s="1457"/>
      <c r="H646" s="1049"/>
      <c r="I646" s="1049"/>
      <c r="J646" s="1050"/>
      <c r="K646" s="1050"/>
      <c r="L646" s="1043"/>
      <c r="M646" s="1051"/>
      <c r="N646" s="1051"/>
      <c r="O646" s="1052"/>
      <c r="P646" s="1051"/>
      <c r="Q646" s="1051"/>
      <c r="R646" s="1052"/>
      <c r="S646" s="1051"/>
      <c r="T646" s="1051"/>
      <c r="U646" s="1052"/>
      <c r="V646" s="1051"/>
      <c r="W646" s="1051"/>
      <c r="X646" s="1052"/>
      <c r="Y646" s="1053"/>
      <c r="Z646" s="1051"/>
      <c r="AA646" s="1051"/>
      <c r="AB646" s="1052"/>
      <c r="AC646" s="1051"/>
      <c r="AD646" s="1051"/>
      <c r="AE646" s="1052"/>
      <c r="AF646" s="1051"/>
      <c r="AG646" s="1051"/>
      <c r="AH646" s="1051"/>
      <c r="AI646" s="1051"/>
      <c r="AJ646" s="1052"/>
      <c r="AK646" s="1051"/>
      <c r="AL646" s="1051"/>
      <c r="AM646" s="1052"/>
      <c r="AN646" s="1051"/>
      <c r="AO646" s="1051"/>
      <c r="AP646" s="1052"/>
      <c r="AQ646" s="1051"/>
      <c r="AR646" s="1051"/>
      <c r="AS646" s="1052"/>
      <c r="AT646" s="1051"/>
      <c r="AU646" s="1051"/>
      <c r="AV646" s="1052"/>
      <c r="AW646" s="1051"/>
      <c r="AX646" s="1051"/>
      <c r="AY646" s="1053"/>
      <c r="AZ646" s="1051"/>
      <c r="BA646" s="1051"/>
      <c r="BB646" s="1053"/>
      <c r="BC646" s="1051"/>
      <c r="BD646" s="1051"/>
      <c r="BE646" s="1053"/>
      <c r="BF646" s="1051"/>
      <c r="BG646" s="1051"/>
      <c r="BH646" s="1053"/>
      <c r="BI646" s="1052"/>
      <c r="BJ646" s="1052"/>
      <c r="BK646" s="1052"/>
      <c r="BL646" s="1052"/>
      <c r="BM646" s="1052"/>
      <c r="BN646" s="1054"/>
      <c r="BO646" s="1076">
        <f t="shared" si="21"/>
        <v>0</v>
      </c>
      <c r="BP646" s="1051"/>
      <c r="BQ646" s="1052"/>
      <c r="BR646" s="1054"/>
      <c r="BS646" s="1053"/>
      <c r="BT646" s="1051"/>
      <c r="BU646" s="1051"/>
      <c r="BV646" s="1051"/>
      <c r="BW646" s="1052"/>
      <c r="BX646" s="1052"/>
      <c r="BY646" s="1052"/>
      <c r="BZ646" s="1052"/>
      <c r="CA646" s="1052"/>
      <c r="CB646" s="1053"/>
      <c r="CC646" s="1053"/>
      <c r="CD646" s="1053"/>
      <c r="CE646" s="1053"/>
      <c r="CF646" s="1053"/>
      <c r="CG646" s="1053"/>
      <c r="CH646" s="1053"/>
      <c r="CI646" s="1123"/>
      <c r="CJ646" s="1123"/>
      <c r="CK646" s="1123"/>
      <c r="CL646" s="1123"/>
      <c r="CM646" s="1123"/>
      <c r="CN646" s="1123"/>
      <c r="CO646" s="1123"/>
      <c r="CP646" s="1123"/>
      <c r="CQ646" s="1123"/>
      <c r="CR646" s="1123"/>
      <c r="CS646" s="1123"/>
      <c r="CT646" s="1123"/>
      <c r="CU646" s="1123"/>
      <c r="CV646" s="1123"/>
      <c r="CW646" s="1123"/>
      <c r="CX646" s="1123"/>
      <c r="CY646" s="1123"/>
      <c r="CZ646" s="1114"/>
      <c r="DA646" s="1114"/>
      <c r="DB646" s="1114"/>
      <c r="DC646" s="1114"/>
      <c r="DD646" s="1114"/>
      <c r="DE646" s="1114"/>
      <c r="DF646" s="1114"/>
      <c r="DG646" s="1114"/>
      <c r="DH646" s="1114"/>
      <c r="DI646" s="1114"/>
      <c r="DJ646" s="1114"/>
      <c r="DK646" s="1114"/>
      <c r="DL646" s="1114"/>
      <c r="DM646" s="1114"/>
      <c r="DN646" s="1114"/>
      <c r="DO646" s="1114"/>
      <c r="DP646" s="1114"/>
      <c r="DQ646" s="1114"/>
      <c r="DR646" s="1114"/>
      <c r="DS646" s="1114"/>
      <c r="DT646" s="1114"/>
      <c r="DU646" s="1114"/>
      <c r="DV646" s="1115"/>
      <c r="DW646" s="1116"/>
      <c r="DX646" s="1116"/>
      <c r="DY646" s="1116"/>
      <c r="DZ646" s="1116"/>
      <c r="EA646" s="1116"/>
      <c r="EB646" s="1116"/>
      <c r="EC646" s="1116"/>
      <c r="ED646" s="1116"/>
      <c r="EE646" s="1116"/>
      <c r="EF646" s="1116"/>
      <c r="EG646" s="1116"/>
      <c r="EH646" s="1116"/>
      <c r="EI646" s="1116"/>
      <c r="EJ646" s="1116"/>
      <c r="EK646" s="1116"/>
      <c r="EL646" s="1116"/>
      <c r="EM646" s="1116"/>
      <c r="EN646" s="1116"/>
      <c r="EO646" s="1116"/>
      <c r="EP646" s="1116"/>
      <c r="EQ646" s="1116"/>
      <c r="ER646" s="1116"/>
      <c r="ES646" s="1116"/>
    </row>
    <row r="647" spans="1:149" ht="15" customHeight="1">
      <c r="A647" s="1185">
        <v>632</v>
      </c>
      <c r="B647" s="1041"/>
      <c r="C647" s="1050"/>
      <c r="D647" s="1050"/>
      <c r="E647" s="1050"/>
      <c r="F647" s="1049"/>
      <c r="G647" s="1457"/>
      <c r="H647" s="1049"/>
      <c r="I647" s="1049"/>
      <c r="J647" s="1050"/>
      <c r="K647" s="1050"/>
      <c r="L647" s="1043"/>
      <c r="M647" s="1051"/>
      <c r="N647" s="1051"/>
      <c r="O647" s="1052"/>
      <c r="P647" s="1051"/>
      <c r="Q647" s="1051"/>
      <c r="R647" s="1052"/>
      <c r="S647" s="1051"/>
      <c r="T647" s="1051"/>
      <c r="U647" s="1052"/>
      <c r="V647" s="1051"/>
      <c r="W647" s="1051"/>
      <c r="X647" s="1052"/>
      <c r="Y647" s="1053"/>
      <c r="Z647" s="1051"/>
      <c r="AA647" s="1051"/>
      <c r="AB647" s="1052"/>
      <c r="AC647" s="1051"/>
      <c r="AD647" s="1051"/>
      <c r="AE647" s="1052"/>
      <c r="AF647" s="1051"/>
      <c r="AG647" s="1051"/>
      <c r="AH647" s="1051"/>
      <c r="AI647" s="1051"/>
      <c r="AJ647" s="1052"/>
      <c r="AK647" s="1051"/>
      <c r="AL647" s="1051"/>
      <c r="AM647" s="1052"/>
      <c r="AN647" s="1051"/>
      <c r="AO647" s="1051"/>
      <c r="AP647" s="1052"/>
      <c r="AQ647" s="1051"/>
      <c r="AR647" s="1051"/>
      <c r="AS647" s="1052"/>
      <c r="AT647" s="1051"/>
      <c r="AU647" s="1051"/>
      <c r="AV647" s="1052"/>
      <c r="AW647" s="1051"/>
      <c r="AX647" s="1051"/>
      <c r="AY647" s="1053"/>
      <c r="AZ647" s="1051"/>
      <c r="BA647" s="1051"/>
      <c r="BB647" s="1053"/>
      <c r="BC647" s="1051"/>
      <c r="BD647" s="1051"/>
      <c r="BE647" s="1053"/>
      <c r="BF647" s="1051"/>
      <c r="BG647" s="1051"/>
      <c r="BH647" s="1053"/>
      <c r="BI647" s="1052"/>
      <c r="BJ647" s="1052"/>
      <c r="BK647" s="1052"/>
      <c r="BL647" s="1052"/>
      <c r="BM647" s="1052"/>
      <c r="BN647" s="1054"/>
      <c r="BO647" s="1076">
        <f t="shared" si="21"/>
        <v>0</v>
      </c>
      <c r="BP647" s="1051"/>
      <c r="BQ647" s="1052"/>
      <c r="BR647" s="1054"/>
      <c r="BS647" s="1053"/>
      <c r="BT647" s="1051"/>
      <c r="BU647" s="1051"/>
      <c r="BV647" s="1051"/>
      <c r="BW647" s="1052"/>
      <c r="BX647" s="1052"/>
      <c r="BY647" s="1052"/>
      <c r="BZ647" s="1052"/>
      <c r="CA647" s="1052"/>
      <c r="CB647" s="1053"/>
      <c r="CC647" s="1053"/>
      <c r="CD647" s="1053"/>
      <c r="CE647" s="1053"/>
      <c r="CF647" s="1053"/>
      <c r="CG647" s="1053"/>
      <c r="CH647" s="1053"/>
      <c r="CI647" s="1123"/>
      <c r="CJ647" s="1123"/>
      <c r="CK647" s="1123"/>
      <c r="CL647" s="1123"/>
      <c r="CM647" s="1123"/>
      <c r="CN647" s="1123"/>
      <c r="CO647" s="1123"/>
      <c r="CP647" s="1123"/>
      <c r="CQ647" s="1123"/>
      <c r="CR647" s="1123"/>
      <c r="CS647" s="1123"/>
      <c r="CT647" s="1123"/>
      <c r="CU647" s="1123"/>
      <c r="CV647" s="1123"/>
      <c r="CW647" s="1123"/>
      <c r="CX647" s="1123"/>
      <c r="CY647" s="1123"/>
      <c r="CZ647" s="1114"/>
      <c r="DA647" s="1114"/>
      <c r="DB647" s="1114"/>
      <c r="DC647" s="1114"/>
      <c r="DD647" s="1114"/>
      <c r="DE647" s="1114"/>
      <c r="DF647" s="1114"/>
      <c r="DG647" s="1114"/>
      <c r="DH647" s="1114"/>
      <c r="DI647" s="1114"/>
      <c r="DJ647" s="1114"/>
      <c r="DK647" s="1114"/>
      <c r="DL647" s="1114"/>
      <c r="DM647" s="1114"/>
      <c r="DN647" s="1114"/>
      <c r="DO647" s="1114"/>
      <c r="DP647" s="1114"/>
      <c r="DQ647" s="1114"/>
      <c r="DR647" s="1114"/>
      <c r="DS647" s="1114"/>
      <c r="DT647" s="1114"/>
      <c r="DU647" s="1114"/>
      <c r="DV647" s="1115"/>
      <c r="DW647" s="1116"/>
      <c r="DX647" s="1116"/>
      <c r="DY647" s="1116"/>
      <c r="DZ647" s="1116"/>
      <c r="EA647" s="1116"/>
      <c r="EB647" s="1116"/>
      <c r="EC647" s="1116"/>
      <c r="ED647" s="1116"/>
      <c r="EE647" s="1116"/>
      <c r="EF647" s="1116"/>
      <c r="EG647" s="1116"/>
      <c r="EH647" s="1116"/>
      <c r="EI647" s="1116"/>
      <c r="EJ647" s="1116"/>
      <c r="EK647" s="1116"/>
      <c r="EL647" s="1116"/>
      <c r="EM647" s="1116"/>
      <c r="EN647" s="1116"/>
      <c r="EO647" s="1116"/>
      <c r="EP647" s="1116"/>
      <c r="EQ647" s="1116"/>
      <c r="ER647" s="1116"/>
      <c r="ES647" s="1116"/>
    </row>
    <row r="648" spans="1:149" ht="15" customHeight="1">
      <c r="A648" s="1185">
        <v>633</v>
      </c>
      <c r="B648" s="1041"/>
      <c r="C648" s="1050"/>
      <c r="D648" s="1050"/>
      <c r="E648" s="1050"/>
      <c r="F648" s="1049"/>
      <c r="G648" s="1457"/>
      <c r="H648" s="1049"/>
      <c r="I648" s="1049"/>
      <c r="J648" s="1050"/>
      <c r="K648" s="1050"/>
      <c r="L648" s="1043"/>
      <c r="M648" s="1051"/>
      <c r="N648" s="1051"/>
      <c r="O648" s="1052"/>
      <c r="P648" s="1051"/>
      <c r="Q648" s="1051"/>
      <c r="R648" s="1052"/>
      <c r="S648" s="1051"/>
      <c r="T648" s="1051"/>
      <c r="U648" s="1052"/>
      <c r="V648" s="1051"/>
      <c r="W648" s="1051"/>
      <c r="X648" s="1052"/>
      <c r="Y648" s="1053"/>
      <c r="Z648" s="1051"/>
      <c r="AA648" s="1051"/>
      <c r="AB648" s="1052"/>
      <c r="AC648" s="1051"/>
      <c r="AD648" s="1051"/>
      <c r="AE648" s="1052"/>
      <c r="AF648" s="1051"/>
      <c r="AG648" s="1051"/>
      <c r="AH648" s="1051"/>
      <c r="AI648" s="1051"/>
      <c r="AJ648" s="1052"/>
      <c r="AK648" s="1051"/>
      <c r="AL648" s="1051"/>
      <c r="AM648" s="1052"/>
      <c r="AN648" s="1051"/>
      <c r="AO648" s="1051"/>
      <c r="AP648" s="1052"/>
      <c r="AQ648" s="1051"/>
      <c r="AR648" s="1051"/>
      <c r="AS648" s="1052"/>
      <c r="AT648" s="1051"/>
      <c r="AU648" s="1051"/>
      <c r="AV648" s="1052"/>
      <c r="AW648" s="1051"/>
      <c r="AX648" s="1051"/>
      <c r="AY648" s="1053"/>
      <c r="AZ648" s="1051"/>
      <c r="BA648" s="1051"/>
      <c r="BB648" s="1053"/>
      <c r="BC648" s="1051"/>
      <c r="BD648" s="1051"/>
      <c r="BE648" s="1053"/>
      <c r="BF648" s="1051"/>
      <c r="BG648" s="1051"/>
      <c r="BH648" s="1053"/>
      <c r="BI648" s="1052"/>
      <c r="BJ648" s="1052"/>
      <c r="BK648" s="1052"/>
      <c r="BL648" s="1052"/>
      <c r="BM648" s="1052"/>
      <c r="BN648" s="1054"/>
      <c r="BO648" s="1076">
        <f t="shared" si="21"/>
        <v>0</v>
      </c>
      <c r="BP648" s="1051"/>
      <c r="BQ648" s="1052"/>
      <c r="BR648" s="1054"/>
      <c r="BS648" s="1053"/>
      <c r="BT648" s="1051"/>
      <c r="BU648" s="1051"/>
      <c r="BV648" s="1051"/>
      <c r="BW648" s="1052"/>
      <c r="BX648" s="1052"/>
      <c r="BY648" s="1052"/>
      <c r="BZ648" s="1052"/>
      <c r="CA648" s="1052"/>
      <c r="CB648" s="1053"/>
      <c r="CC648" s="1053"/>
      <c r="CD648" s="1053"/>
      <c r="CE648" s="1053"/>
      <c r="CF648" s="1053"/>
      <c r="CG648" s="1053"/>
      <c r="CH648" s="1053"/>
      <c r="CI648" s="1123"/>
      <c r="CJ648" s="1123"/>
      <c r="CK648" s="1123"/>
      <c r="CL648" s="1123"/>
      <c r="CM648" s="1123"/>
      <c r="CN648" s="1123"/>
      <c r="CO648" s="1123"/>
      <c r="CP648" s="1123"/>
      <c r="CQ648" s="1123"/>
      <c r="CR648" s="1123"/>
      <c r="CS648" s="1123"/>
      <c r="CT648" s="1123"/>
      <c r="CU648" s="1123"/>
      <c r="CV648" s="1123"/>
      <c r="CW648" s="1123"/>
      <c r="CX648" s="1123"/>
      <c r="CY648" s="1123"/>
      <c r="CZ648" s="1114"/>
      <c r="DA648" s="1114"/>
      <c r="DB648" s="1114"/>
      <c r="DC648" s="1114"/>
      <c r="DD648" s="1114"/>
      <c r="DE648" s="1114"/>
      <c r="DF648" s="1114"/>
      <c r="DG648" s="1114"/>
      <c r="DH648" s="1114"/>
      <c r="DI648" s="1114"/>
      <c r="DJ648" s="1114"/>
      <c r="DK648" s="1114"/>
      <c r="DL648" s="1114"/>
      <c r="DM648" s="1114"/>
      <c r="DN648" s="1114"/>
      <c r="DO648" s="1114"/>
      <c r="DP648" s="1114"/>
      <c r="DQ648" s="1114"/>
      <c r="DR648" s="1114"/>
      <c r="DS648" s="1114"/>
      <c r="DT648" s="1114"/>
      <c r="DU648" s="1114"/>
      <c r="DV648" s="1115"/>
      <c r="DW648" s="1116"/>
      <c r="DX648" s="1116"/>
      <c r="DY648" s="1116"/>
      <c r="DZ648" s="1116"/>
      <c r="EA648" s="1116"/>
      <c r="EB648" s="1116"/>
      <c r="EC648" s="1116"/>
      <c r="ED648" s="1116"/>
      <c r="EE648" s="1116"/>
      <c r="EF648" s="1116"/>
      <c r="EG648" s="1116"/>
      <c r="EH648" s="1116"/>
      <c r="EI648" s="1116"/>
      <c r="EJ648" s="1116"/>
      <c r="EK648" s="1116"/>
      <c r="EL648" s="1116"/>
      <c r="EM648" s="1116"/>
      <c r="EN648" s="1116"/>
      <c r="EO648" s="1116"/>
      <c r="EP648" s="1116"/>
      <c r="EQ648" s="1116"/>
      <c r="ER648" s="1116"/>
      <c r="ES648" s="1116"/>
    </row>
    <row r="649" spans="1:149" ht="15" customHeight="1">
      <c r="A649" s="1185">
        <v>634</v>
      </c>
      <c r="B649" s="1041"/>
      <c r="C649" s="1050"/>
      <c r="D649" s="1050"/>
      <c r="E649" s="1050"/>
      <c r="F649" s="1049"/>
      <c r="G649" s="1457"/>
      <c r="H649" s="1049"/>
      <c r="I649" s="1049"/>
      <c r="J649" s="1050"/>
      <c r="K649" s="1050"/>
      <c r="L649" s="1043"/>
      <c r="M649" s="1051"/>
      <c r="N649" s="1051"/>
      <c r="O649" s="1052"/>
      <c r="P649" s="1051"/>
      <c r="Q649" s="1051"/>
      <c r="R649" s="1052"/>
      <c r="S649" s="1051"/>
      <c r="T649" s="1051"/>
      <c r="U649" s="1052"/>
      <c r="V649" s="1051"/>
      <c r="W649" s="1051"/>
      <c r="X649" s="1052"/>
      <c r="Y649" s="1053"/>
      <c r="Z649" s="1051"/>
      <c r="AA649" s="1051"/>
      <c r="AB649" s="1052"/>
      <c r="AC649" s="1051"/>
      <c r="AD649" s="1051"/>
      <c r="AE649" s="1052"/>
      <c r="AF649" s="1051"/>
      <c r="AG649" s="1051"/>
      <c r="AH649" s="1051"/>
      <c r="AI649" s="1051"/>
      <c r="AJ649" s="1052"/>
      <c r="AK649" s="1051"/>
      <c r="AL649" s="1051"/>
      <c r="AM649" s="1052"/>
      <c r="AN649" s="1051"/>
      <c r="AO649" s="1051"/>
      <c r="AP649" s="1052"/>
      <c r="AQ649" s="1051"/>
      <c r="AR649" s="1051"/>
      <c r="AS649" s="1052"/>
      <c r="AT649" s="1051"/>
      <c r="AU649" s="1051"/>
      <c r="AV649" s="1052"/>
      <c r="AW649" s="1051"/>
      <c r="AX649" s="1051"/>
      <c r="AY649" s="1053"/>
      <c r="AZ649" s="1051"/>
      <c r="BA649" s="1051"/>
      <c r="BB649" s="1053"/>
      <c r="BC649" s="1051"/>
      <c r="BD649" s="1051"/>
      <c r="BE649" s="1053"/>
      <c r="BF649" s="1051"/>
      <c r="BG649" s="1051"/>
      <c r="BH649" s="1053"/>
      <c r="BI649" s="1052"/>
      <c r="BJ649" s="1052"/>
      <c r="BK649" s="1052"/>
      <c r="BL649" s="1052"/>
      <c r="BM649" s="1052"/>
      <c r="BN649" s="1054"/>
      <c r="BO649" s="1076">
        <f t="shared" si="21"/>
        <v>0</v>
      </c>
      <c r="BP649" s="1051"/>
      <c r="BQ649" s="1052"/>
      <c r="BR649" s="1054"/>
      <c r="BS649" s="1053"/>
      <c r="BT649" s="1051"/>
      <c r="BU649" s="1051"/>
      <c r="BV649" s="1051"/>
      <c r="BW649" s="1052"/>
      <c r="BX649" s="1052"/>
      <c r="BY649" s="1052"/>
      <c r="BZ649" s="1052"/>
      <c r="CA649" s="1052"/>
      <c r="CB649" s="1053"/>
      <c r="CC649" s="1053"/>
      <c r="CD649" s="1053"/>
      <c r="CE649" s="1053"/>
      <c r="CF649" s="1053"/>
      <c r="CG649" s="1053"/>
      <c r="CH649" s="1053"/>
      <c r="CI649" s="1123"/>
      <c r="CJ649" s="1123"/>
      <c r="CK649" s="1123"/>
      <c r="CL649" s="1123"/>
      <c r="CM649" s="1123"/>
      <c r="CN649" s="1123"/>
      <c r="CO649" s="1123"/>
      <c r="CP649" s="1123"/>
      <c r="CQ649" s="1123"/>
      <c r="CR649" s="1123"/>
      <c r="CS649" s="1123"/>
      <c r="CT649" s="1123"/>
      <c r="CU649" s="1123"/>
      <c r="CV649" s="1123"/>
      <c r="CW649" s="1123"/>
      <c r="CX649" s="1123"/>
      <c r="CY649" s="1123"/>
      <c r="CZ649" s="1114"/>
      <c r="DA649" s="1114"/>
      <c r="DB649" s="1114"/>
      <c r="DC649" s="1114"/>
      <c r="DD649" s="1114"/>
      <c r="DE649" s="1114"/>
      <c r="DF649" s="1114"/>
      <c r="DG649" s="1114"/>
      <c r="DH649" s="1114"/>
      <c r="DI649" s="1114"/>
      <c r="DJ649" s="1114"/>
      <c r="DK649" s="1114"/>
      <c r="DL649" s="1114"/>
      <c r="DM649" s="1114"/>
      <c r="DN649" s="1114"/>
      <c r="DO649" s="1114"/>
      <c r="DP649" s="1114"/>
      <c r="DQ649" s="1114"/>
      <c r="DR649" s="1114"/>
      <c r="DS649" s="1114"/>
      <c r="DT649" s="1114"/>
      <c r="DU649" s="1114"/>
      <c r="DV649" s="1115"/>
      <c r="DW649" s="1116"/>
      <c r="DX649" s="1116"/>
      <c r="DY649" s="1116"/>
      <c r="DZ649" s="1116"/>
      <c r="EA649" s="1116"/>
      <c r="EB649" s="1116"/>
      <c r="EC649" s="1116"/>
      <c r="ED649" s="1116"/>
      <c r="EE649" s="1116"/>
      <c r="EF649" s="1116"/>
      <c r="EG649" s="1116"/>
      <c r="EH649" s="1116"/>
      <c r="EI649" s="1116"/>
      <c r="EJ649" s="1116"/>
      <c r="EK649" s="1116"/>
      <c r="EL649" s="1116"/>
      <c r="EM649" s="1116"/>
      <c r="EN649" s="1116"/>
      <c r="EO649" s="1116"/>
      <c r="EP649" s="1116"/>
      <c r="EQ649" s="1116"/>
      <c r="ER649" s="1116"/>
      <c r="ES649" s="1116"/>
    </row>
    <row r="650" spans="1:149" ht="15" customHeight="1">
      <c r="A650" s="1185">
        <v>635</v>
      </c>
      <c r="B650" s="1041"/>
      <c r="C650" s="1050"/>
      <c r="D650" s="1050"/>
      <c r="E650" s="1050"/>
      <c r="F650" s="1049"/>
      <c r="G650" s="1457"/>
      <c r="H650" s="1049"/>
      <c r="I650" s="1049"/>
      <c r="J650" s="1050"/>
      <c r="K650" s="1050"/>
      <c r="L650" s="1043"/>
      <c r="M650" s="1051"/>
      <c r="N650" s="1051"/>
      <c r="O650" s="1052"/>
      <c r="P650" s="1051"/>
      <c r="Q650" s="1051"/>
      <c r="R650" s="1052"/>
      <c r="S650" s="1051"/>
      <c r="T650" s="1051"/>
      <c r="U650" s="1052"/>
      <c r="V650" s="1051"/>
      <c r="W650" s="1051"/>
      <c r="X650" s="1052"/>
      <c r="Y650" s="1053"/>
      <c r="Z650" s="1051"/>
      <c r="AA650" s="1051"/>
      <c r="AB650" s="1052"/>
      <c r="AC650" s="1051"/>
      <c r="AD650" s="1051"/>
      <c r="AE650" s="1052"/>
      <c r="AF650" s="1051"/>
      <c r="AG650" s="1051"/>
      <c r="AH650" s="1051"/>
      <c r="AI650" s="1051"/>
      <c r="AJ650" s="1052"/>
      <c r="AK650" s="1051"/>
      <c r="AL650" s="1051"/>
      <c r="AM650" s="1052"/>
      <c r="AN650" s="1051"/>
      <c r="AO650" s="1051"/>
      <c r="AP650" s="1052"/>
      <c r="AQ650" s="1051"/>
      <c r="AR650" s="1051"/>
      <c r="AS650" s="1052"/>
      <c r="AT650" s="1051"/>
      <c r="AU650" s="1051"/>
      <c r="AV650" s="1052"/>
      <c r="AW650" s="1051"/>
      <c r="AX650" s="1051"/>
      <c r="AY650" s="1053"/>
      <c r="AZ650" s="1051"/>
      <c r="BA650" s="1051"/>
      <c r="BB650" s="1053"/>
      <c r="BC650" s="1051"/>
      <c r="BD650" s="1051"/>
      <c r="BE650" s="1053"/>
      <c r="BF650" s="1051"/>
      <c r="BG650" s="1051"/>
      <c r="BH650" s="1053"/>
      <c r="BI650" s="1052"/>
      <c r="BJ650" s="1052"/>
      <c r="BK650" s="1052"/>
      <c r="BL650" s="1052"/>
      <c r="BM650" s="1052"/>
      <c r="BN650" s="1054"/>
      <c r="BO650" s="1076">
        <f t="shared" si="21"/>
        <v>0</v>
      </c>
      <c r="BP650" s="1051"/>
      <c r="BQ650" s="1052"/>
      <c r="BR650" s="1054"/>
      <c r="BS650" s="1053"/>
      <c r="BT650" s="1051"/>
      <c r="BU650" s="1051"/>
      <c r="BV650" s="1051"/>
      <c r="BW650" s="1052"/>
      <c r="BX650" s="1052"/>
      <c r="BY650" s="1052"/>
      <c r="BZ650" s="1052"/>
      <c r="CA650" s="1052"/>
      <c r="CB650" s="1053"/>
      <c r="CC650" s="1053"/>
      <c r="CD650" s="1053"/>
      <c r="CE650" s="1053"/>
      <c r="CF650" s="1053"/>
      <c r="CG650" s="1053"/>
      <c r="CH650" s="1053"/>
      <c r="CI650" s="1123"/>
      <c r="CJ650" s="1123"/>
      <c r="CK650" s="1123"/>
      <c r="CL650" s="1123"/>
      <c r="CM650" s="1123"/>
      <c r="CN650" s="1123"/>
      <c r="CO650" s="1123"/>
      <c r="CP650" s="1123"/>
      <c r="CQ650" s="1123"/>
      <c r="CR650" s="1123"/>
      <c r="CS650" s="1123"/>
      <c r="CT650" s="1123"/>
      <c r="CU650" s="1123"/>
      <c r="CV650" s="1123"/>
      <c r="CW650" s="1123"/>
      <c r="CX650" s="1123"/>
      <c r="CY650" s="1123"/>
      <c r="CZ650" s="1114"/>
      <c r="DA650" s="1114"/>
      <c r="DB650" s="1114"/>
      <c r="DC650" s="1114"/>
      <c r="DD650" s="1114"/>
      <c r="DE650" s="1114"/>
      <c r="DF650" s="1114"/>
      <c r="DG650" s="1114"/>
      <c r="DH650" s="1114"/>
      <c r="DI650" s="1114"/>
      <c r="DJ650" s="1114"/>
      <c r="DK650" s="1114"/>
      <c r="DL650" s="1114"/>
      <c r="DM650" s="1114"/>
      <c r="DN650" s="1114"/>
      <c r="DO650" s="1114"/>
      <c r="DP650" s="1114"/>
      <c r="DQ650" s="1114"/>
      <c r="DR650" s="1114"/>
      <c r="DS650" s="1114"/>
      <c r="DT650" s="1114"/>
      <c r="DU650" s="1114"/>
      <c r="DV650" s="1115"/>
      <c r="DW650" s="1116"/>
      <c r="DX650" s="1116"/>
      <c r="DY650" s="1116"/>
      <c r="DZ650" s="1116"/>
      <c r="EA650" s="1116"/>
      <c r="EB650" s="1116"/>
      <c r="EC650" s="1116"/>
      <c r="ED650" s="1116"/>
      <c r="EE650" s="1116"/>
      <c r="EF650" s="1116"/>
      <c r="EG650" s="1116"/>
      <c r="EH650" s="1116"/>
      <c r="EI650" s="1116"/>
      <c r="EJ650" s="1116"/>
      <c r="EK650" s="1116"/>
      <c r="EL650" s="1116"/>
      <c r="EM650" s="1116"/>
      <c r="EN650" s="1116"/>
      <c r="EO650" s="1116"/>
      <c r="EP650" s="1116"/>
      <c r="EQ650" s="1116"/>
      <c r="ER650" s="1116"/>
      <c r="ES650" s="1116"/>
    </row>
    <row r="651" spans="1:149" ht="15" customHeight="1">
      <c r="A651" s="1185">
        <v>636</v>
      </c>
      <c r="B651" s="1041"/>
      <c r="C651" s="1050"/>
      <c r="D651" s="1050"/>
      <c r="E651" s="1050"/>
      <c r="F651" s="1049"/>
      <c r="G651" s="1457"/>
      <c r="H651" s="1049"/>
      <c r="I651" s="1049"/>
      <c r="J651" s="1050"/>
      <c r="K651" s="1050"/>
      <c r="L651" s="1043"/>
      <c r="M651" s="1051"/>
      <c r="N651" s="1051"/>
      <c r="O651" s="1052"/>
      <c r="P651" s="1051"/>
      <c r="Q651" s="1051"/>
      <c r="R651" s="1052"/>
      <c r="S651" s="1051"/>
      <c r="T651" s="1051"/>
      <c r="U651" s="1052"/>
      <c r="V651" s="1051"/>
      <c r="W651" s="1051"/>
      <c r="X651" s="1052"/>
      <c r="Y651" s="1053"/>
      <c r="Z651" s="1051"/>
      <c r="AA651" s="1051"/>
      <c r="AB651" s="1052"/>
      <c r="AC651" s="1051"/>
      <c r="AD651" s="1051"/>
      <c r="AE651" s="1052"/>
      <c r="AF651" s="1051"/>
      <c r="AG651" s="1051"/>
      <c r="AH651" s="1051"/>
      <c r="AI651" s="1051"/>
      <c r="AJ651" s="1052"/>
      <c r="AK651" s="1051"/>
      <c r="AL651" s="1051"/>
      <c r="AM651" s="1052"/>
      <c r="AN651" s="1051"/>
      <c r="AO651" s="1051"/>
      <c r="AP651" s="1052"/>
      <c r="AQ651" s="1051"/>
      <c r="AR651" s="1051"/>
      <c r="AS651" s="1052"/>
      <c r="AT651" s="1051"/>
      <c r="AU651" s="1051"/>
      <c r="AV651" s="1052"/>
      <c r="AW651" s="1051"/>
      <c r="AX651" s="1051"/>
      <c r="AY651" s="1053"/>
      <c r="AZ651" s="1051"/>
      <c r="BA651" s="1051"/>
      <c r="BB651" s="1053"/>
      <c r="BC651" s="1051"/>
      <c r="BD651" s="1051"/>
      <c r="BE651" s="1053"/>
      <c r="BF651" s="1051"/>
      <c r="BG651" s="1051"/>
      <c r="BH651" s="1053"/>
      <c r="BI651" s="1052"/>
      <c r="BJ651" s="1052"/>
      <c r="BK651" s="1052"/>
      <c r="BL651" s="1052"/>
      <c r="BM651" s="1052"/>
      <c r="BN651" s="1054"/>
      <c r="BO651" s="1076">
        <f t="shared" si="21"/>
        <v>0</v>
      </c>
      <c r="BP651" s="1051"/>
      <c r="BQ651" s="1052"/>
      <c r="BR651" s="1054"/>
      <c r="BS651" s="1053"/>
      <c r="BT651" s="1051"/>
      <c r="BU651" s="1051"/>
      <c r="BV651" s="1051"/>
      <c r="BW651" s="1052"/>
      <c r="BX651" s="1052"/>
      <c r="BY651" s="1052"/>
      <c r="BZ651" s="1052"/>
      <c r="CA651" s="1052"/>
      <c r="CB651" s="1053"/>
      <c r="CC651" s="1053"/>
      <c r="CD651" s="1053"/>
      <c r="CE651" s="1053"/>
      <c r="CF651" s="1053"/>
      <c r="CG651" s="1053"/>
      <c r="CH651" s="1053"/>
      <c r="CI651" s="1123"/>
      <c r="CJ651" s="1123"/>
      <c r="CK651" s="1123"/>
      <c r="CL651" s="1123"/>
      <c r="CM651" s="1123"/>
      <c r="CN651" s="1123"/>
      <c r="CO651" s="1123"/>
      <c r="CP651" s="1123"/>
      <c r="CQ651" s="1123"/>
      <c r="CR651" s="1123"/>
      <c r="CS651" s="1123"/>
      <c r="CT651" s="1123"/>
      <c r="CU651" s="1123"/>
      <c r="CV651" s="1123"/>
      <c r="CW651" s="1123"/>
      <c r="CX651" s="1123"/>
      <c r="CY651" s="1123"/>
      <c r="CZ651" s="1114"/>
      <c r="DA651" s="1114"/>
      <c r="DB651" s="1114"/>
      <c r="DC651" s="1114"/>
      <c r="DD651" s="1114"/>
      <c r="DE651" s="1114"/>
      <c r="DF651" s="1114"/>
      <c r="DG651" s="1114"/>
      <c r="DH651" s="1114"/>
      <c r="DI651" s="1114"/>
      <c r="DJ651" s="1114"/>
      <c r="DK651" s="1114"/>
      <c r="DL651" s="1114"/>
      <c r="DM651" s="1114"/>
      <c r="DN651" s="1114"/>
      <c r="DO651" s="1114"/>
      <c r="DP651" s="1114"/>
      <c r="DQ651" s="1114"/>
      <c r="DR651" s="1114"/>
      <c r="DS651" s="1114"/>
      <c r="DT651" s="1114"/>
      <c r="DU651" s="1114"/>
      <c r="DV651" s="1115"/>
      <c r="DW651" s="1116"/>
      <c r="DX651" s="1116"/>
      <c r="DY651" s="1116"/>
      <c r="DZ651" s="1116"/>
      <c r="EA651" s="1116"/>
      <c r="EB651" s="1116"/>
      <c r="EC651" s="1116"/>
      <c r="ED651" s="1116"/>
      <c r="EE651" s="1116"/>
      <c r="EF651" s="1116"/>
      <c r="EG651" s="1116"/>
      <c r="EH651" s="1116"/>
      <c r="EI651" s="1116"/>
      <c r="EJ651" s="1116"/>
      <c r="EK651" s="1116"/>
      <c r="EL651" s="1116"/>
      <c r="EM651" s="1116"/>
      <c r="EN651" s="1116"/>
      <c r="EO651" s="1116"/>
      <c r="EP651" s="1116"/>
      <c r="EQ651" s="1116"/>
      <c r="ER651" s="1116"/>
      <c r="ES651" s="1116"/>
    </row>
    <row r="652" spans="1:149" ht="15" customHeight="1">
      <c r="A652" s="1185">
        <v>637</v>
      </c>
      <c r="B652" s="1041"/>
      <c r="C652" s="1050"/>
      <c r="D652" s="1050"/>
      <c r="E652" s="1050"/>
      <c r="F652" s="1049"/>
      <c r="G652" s="1457"/>
      <c r="H652" s="1049"/>
      <c r="I652" s="1049"/>
      <c r="J652" s="1050"/>
      <c r="K652" s="1050"/>
      <c r="L652" s="1043"/>
      <c r="M652" s="1051"/>
      <c r="N652" s="1051"/>
      <c r="O652" s="1052"/>
      <c r="P652" s="1051"/>
      <c r="Q652" s="1051"/>
      <c r="R652" s="1052"/>
      <c r="S652" s="1051"/>
      <c r="T652" s="1051"/>
      <c r="U652" s="1052"/>
      <c r="V652" s="1051"/>
      <c r="W652" s="1051"/>
      <c r="X652" s="1052"/>
      <c r="Y652" s="1053"/>
      <c r="Z652" s="1051"/>
      <c r="AA652" s="1051"/>
      <c r="AB652" s="1052"/>
      <c r="AC652" s="1051"/>
      <c r="AD652" s="1051"/>
      <c r="AE652" s="1052"/>
      <c r="AF652" s="1051"/>
      <c r="AG652" s="1051"/>
      <c r="AH652" s="1051"/>
      <c r="AI652" s="1051"/>
      <c r="AJ652" s="1052"/>
      <c r="AK652" s="1051"/>
      <c r="AL652" s="1051"/>
      <c r="AM652" s="1052"/>
      <c r="AN652" s="1051"/>
      <c r="AO652" s="1051"/>
      <c r="AP652" s="1052"/>
      <c r="AQ652" s="1051"/>
      <c r="AR652" s="1051"/>
      <c r="AS652" s="1052"/>
      <c r="AT652" s="1051"/>
      <c r="AU652" s="1051"/>
      <c r="AV652" s="1052"/>
      <c r="AW652" s="1051"/>
      <c r="AX652" s="1051"/>
      <c r="AY652" s="1053"/>
      <c r="AZ652" s="1051"/>
      <c r="BA652" s="1051"/>
      <c r="BB652" s="1053"/>
      <c r="BC652" s="1051"/>
      <c r="BD652" s="1051"/>
      <c r="BE652" s="1053"/>
      <c r="BF652" s="1051"/>
      <c r="BG652" s="1051"/>
      <c r="BH652" s="1053"/>
      <c r="BI652" s="1052"/>
      <c r="BJ652" s="1052"/>
      <c r="BK652" s="1052"/>
      <c r="BL652" s="1052"/>
      <c r="BM652" s="1052"/>
      <c r="BN652" s="1054"/>
      <c r="BO652" s="1076">
        <f t="shared" si="21"/>
        <v>0</v>
      </c>
      <c r="BP652" s="1051"/>
      <c r="BQ652" s="1052"/>
      <c r="BR652" s="1054"/>
      <c r="BS652" s="1053"/>
      <c r="BT652" s="1051"/>
      <c r="BU652" s="1051"/>
      <c r="BV652" s="1051"/>
      <c r="BW652" s="1052"/>
      <c r="BX652" s="1052"/>
      <c r="BY652" s="1052"/>
      <c r="BZ652" s="1052"/>
      <c r="CA652" s="1052"/>
      <c r="CB652" s="1053"/>
      <c r="CC652" s="1053"/>
      <c r="CD652" s="1053"/>
      <c r="CE652" s="1053"/>
      <c r="CF652" s="1053"/>
      <c r="CG652" s="1053"/>
      <c r="CH652" s="1053"/>
      <c r="CI652" s="1123"/>
      <c r="CJ652" s="1123"/>
      <c r="CK652" s="1123"/>
      <c r="CL652" s="1123"/>
      <c r="CM652" s="1123"/>
      <c r="CN652" s="1123"/>
      <c r="CO652" s="1123"/>
      <c r="CP652" s="1123"/>
      <c r="CQ652" s="1123"/>
      <c r="CR652" s="1123"/>
      <c r="CS652" s="1123"/>
      <c r="CT652" s="1123"/>
      <c r="CU652" s="1123"/>
      <c r="CV652" s="1123"/>
      <c r="CW652" s="1123"/>
      <c r="CX652" s="1123"/>
      <c r="CY652" s="1123"/>
      <c r="CZ652" s="1114"/>
      <c r="DA652" s="1114"/>
      <c r="DB652" s="1114"/>
      <c r="DC652" s="1114"/>
      <c r="DD652" s="1114"/>
      <c r="DE652" s="1114"/>
      <c r="DF652" s="1114"/>
      <c r="DG652" s="1114"/>
      <c r="DH652" s="1114"/>
      <c r="DI652" s="1114"/>
      <c r="DJ652" s="1114"/>
      <c r="DK652" s="1114"/>
      <c r="DL652" s="1114"/>
      <c r="DM652" s="1114"/>
      <c r="DN652" s="1114"/>
      <c r="DO652" s="1114"/>
      <c r="DP652" s="1114"/>
      <c r="DQ652" s="1114"/>
      <c r="DR652" s="1114"/>
      <c r="DS652" s="1114"/>
      <c r="DT652" s="1114"/>
      <c r="DU652" s="1114"/>
      <c r="DV652" s="1115"/>
      <c r="DW652" s="1116"/>
      <c r="DX652" s="1116"/>
      <c r="DY652" s="1116"/>
      <c r="DZ652" s="1116"/>
      <c r="EA652" s="1116"/>
      <c r="EB652" s="1116"/>
      <c r="EC652" s="1116"/>
      <c r="ED652" s="1116"/>
      <c r="EE652" s="1116"/>
      <c r="EF652" s="1116"/>
      <c r="EG652" s="1116"/>
      <c r="EH652" s="1116"/>
      <c r="EI652" s="1116"/>
      <c r="EJ652" s="1116"/>
      <c r="EK652" s="1116"/>
      <c r="EL652" s="1116"/>
      <c r="EM652" s="1116"/>
      <c r="EN652" s="1116"/>
      <c r="EO652" s="1116"/>
      <c r="EP652" s="1116"/>
      <c r="EQ652" s="1116"/>
      <c r="ER652" s="1116"/>
      <c r="ES652" s="1116"/>
    </row>
    <row r="653" spans="1:149" ht="15" customHeight="1">
      <c r="A653" s="1185">
        <v>638</v>
      </c>
      <c r="B653" s="1041"/>
      <c r="C653" s="1050"/>
      <c r="D653" s="1050"/>
      <c r="E653" s="1050"/>
      <c r="F653" s="1049"/>
      <c r="G653" s="1457"/>
      <c r="H653" s="1049"/>
      <c r="I653" s="1049"/>
      <c r="J653" s="1050"/>
      <c r="K653" s="1050"/>
      <c r="L653" s="1043"/>
      <c r="M653" s="1051"/>
      <c r="N653" s="1051"/>
      <c r="O653" s="1052"/>
      <c r="P653" s="1051"/>
      <c r="Q653" s="1051"/>
      <c r="R653" s="1052"/>
      <c r="S653" s="1051"/>
      <c r="T653" s="1051"/>
      <c r="U653" s="1052"/>
      <c r="V653" s="1051"/>
      <c r="W653" s="1051"/>
      <c r="X653" s="1052"/>
      <c r="Y653" s="1053"/>
      <c r="Z653" s="1051"/>
      <c r="AA653" s="1051"/>
      <c r="AB653" s="1052"/>
      <c r="AC653" s="1051"/>
      <c r="AD653" s="1051"/>
      <c r="AE653" s="1052"/>
      <c r="AF653" s="1051"/>
      <c r="AG653" s="1051"/>
      <c r="AH653" s="1051"/>
      <c r="AI653" s="1051"/>
      <c r="AJ653" s="1052"/>
      <c r="AK653" s="1051"/>
      <c r="AL653" s="1051"/>
      <c r="AM653" s="1052"/>
      <c r="AN653" s="1051"/>
      <c r="AO653" s="1051"/>
      <c r="AP653" s="1052"/>
      <c r="AQ653" s="1051"/>
      <c r="AR653" s="1051"/>
      <c r="AS653" s="1052"/>
      <c r="AT653" s="1051"/>
      <c r="AU653" s="1051"/>
      <c r="AV653" s="1052"/>
      <c r="AW653" s="1051"/>
      <c r="AX653" s="1051"/>
      <c r="AY653" s="1053"/>
      <c r="AZ653" s="1051"/>
      <c r="BA653" s="1051"/>
      <c r="BB653" s="1053"/>
      <c r="BC653" s="1051"/>
      <c r="BD653" s="1051"/>
      <c r="BE653" s="1053"/>
      <c r="BF653" s="1051"/>
      <c r="BG653" s="1051"/>
      <c r="BH653" s="1053"/>
      <c r="BI653" s="1052"/>
      <c r="BJ653" s="1052"/>
      <c r="BK653" s="1052"/>
      <c r="BL653" s="1052"/>
      <c r="BM653" s="1052"/>
      <c r="BN653" s="1054"/>
      <c r="BO653" s="1076">
        <f t="shared" si="21"/>
        <v>0</v>
      </c>
      <c r="BP653" s="1051"/>
      <c r="BQ653" s="1052"/>
      <c r="BR653" s="1054"/>
      <c r="BS653" s="1053"/>
      <c r="BT653" s="1051"/>
      <c r="BU653" s="1051"/>
      <c r="BV653" s="1051"/>
      <c r="BW653" s="1052"/>
      <c r="BX653" s="1052"/>
      <c r="BY653" s="1052"/>
      <c r="BZ653" s="1052"/>
      <c r="CA653" s="1052"/>
      <c r="CB653" s="1053"/>
      <c r="CC653" s="1053"/>
      <c r="CD653" s="1053"/>
      <c r="CE653" s="1053"/>
      <c r="CF653" s="1053"/>
      <c r="CG653" s="1053"/>
      <c r="CH653" s="1053"/>
      <c r="CI653" s="1123"/>
      <c r="CJ653" s="1123"/>
      <c r="CK653" s="1123"/>
      <c r="CL653" s="1123"/>
      <c r="CM653" s="1123"/>
      <c r="CN653" s="1123"/>
      <c r="CO653" s="1123"/>
      <c r="CP653" s="1123"/>
      <c r="CQ653" s="1123"/>
      <c r="CR653" s="1123"/>
      <c r="CS653" s="1123"/>
      <c r="CT653" s="1123"/>
      <c r="CU653" s="1123"/>
      <c r="CV653" s="1123"/>
      <c r="CW653" s="1123"/>
      <c r="CX653" s="1123"/>
      <c r="CY653" s="1123"/>
      <c r="CZ653" s="1114"/>
      <c r="DA653" s="1114"/>
      <c r="DB653" s="1114"/>
      <c r="DC653" s="1114"/>
      <c r="DD653" s="1114"/>
      <c r="DE653" s="1114"/>
      <c r="DF653" s="1114"/>
      <c r="DG653" s="1114"/>
      <c r="DH653" s="1114"/>
      <c r="DI653" s="1114"/>
      <c r="DJ653" s="1114"/>
      <c r="DK653" s="1114"/>
      <c r="DL653" s="1114"/>
      <c r="DM653" s="1114"/>
      <c r="DN653" s="1114"/>
      <c r="DO653" s="1114"/>
      <c r="DP653" s="1114"/>
      <c r="DQ653" s="1114"/>
      <c r="DR653" s="1114"/>
      <c r="DS653" s="1114"/>
      <c r="DT653" s="1114"/>
      <c r="DU653" s="1114"/>
      <c r="DV653" s="1115"/>
      <c r="DW653" s="1116"/>
      <c r="DX653" s="1116"/>
      <c r="DY653" s="1116"/>
      <c r="DZ653" s="1116"/>
      <c r="EA653" s="1116"/>
      <c r="EB653" s="1116"/>
      <c r="EC653" s="1116"/>
      <c r="ED653" s="1116"/>
      <c r="EE653" s="1116"/>
      <c r="EF653" s="1116"/>
      <c r="EG653" s="1116"/>
      <c r="EH653" s="1116"/>
      <c r="EI653" s="1116"/>
      <c r="EJ653" s="1116"/>
      <c r="EK653" s="1116"/>
      <c r="EL653" s="1116"/>
      <c r="EM653" s="1116"/>
      <c r="EN653" s="1116"/>
      <c r="EO653" s="1116"/>
      <c r="EP653" s="1116"/>
      <c r="EQ653" s="1116"/>
      <c r="ER653" s="1116"/>
      <c r="ES653" s="1116"/>
    </row>
    <row r="654" spans="1:149" ht="15" customHeight="1">
      <c r="A654" s="1185">
        <v>639</v>
      </c>
      <c r="B654" s="1041"/>
      <c r="C654" s="1050"/>
      <c r="D654" s="1050"/>
      <c r="E654" s="1050"/>
      <c r="F654" s="1049"/>
      <c r="G654" s="1457"/>
      <c r="H654" s="1049"/>
      <c r="I654" s="1049"/>
      <c r="J654" s="1050"/>
      <c r="K654" s="1050"/>
      <c r="L654" s="1043"/>
      <c r="M654" s="1051"/>
      <c r="N654" s="1051"/>
      <c r="O654" s="1052"/>
      <c r="P654" s="1051"/>
      <c r="Q654" s="1051"/>
      <c r="R654" s="1052"/>
      <c r="S654" s="1051"/>
      <c r="T654" s="1051"/>
      <c r="U654" s="1052"/>
      <c r="V654" s="1051"/>
      <c r="W654" s="1051"/>
      <c r="X654" s="1052"/>
      <c r="Y654" s="1053"/>
      <c r="Z654" s="1051"/>
      <c r="AA654" s="1051"/>
      <c r="AB654" s="1052"/>
      <c r="AC654" s="1051"/>
      <c r="AD654" s="1051"/>
      <c r="AE654" s="1052"/>
      <c r="AF654" s="1051"/>
      <c r="AG654" s="1051"/>
      <c r="AH654" s="1051"/>
      <c r="AI654" s="1051"/>
      <c r="AJ654" s="1052"/>
      <c r="AK654" s="1051"/>
      <c r="AL654" s="1051"/>
      <c r="AM654" s="1052"/>
      <c r="AN654" s="1051"/>
      <c r="AO654" s="1051"/>
      <c r="AP654" s="1052"/>
      <c r="AQ654" s="1051"/>
      <c r="AR654" s="1051"/>
      <c r="AS654" s="1052"/>
      <c r="AT654" s="1051"/>
      <c r="AU654" s="1051"/>
      <c r="AV654" s="1052"/>
      <c r="AW654" s="1051"/>
      <c r="AX654" s="1051"/>
      <c r="AY654" s="1053"/>
      <c r="AZ654" s="1051"/>
      <c r="BA654" s="1051"/>
      <c r="BB654" s="1053"/>
      <c r="BC654" s="1051"/>
      <c r="BD654" s="1051"/>
      <c r="BE654" s="1053"/>
      <c r="BF654" s="1051"/>
      <c r="BG654" s="1051"/>
      <c r="BH654" s="1053"/>
      <c r="BI654" s="1052"/>
      <c r="BJ654" s="1052"/>
      <c r="BK654" s="1052"/>
      <c r="BL654" s="1052"/>
      <c r="BM654" s="1052"/>
      <c r="BN654" s="1054"/>
      <c r="BO654" s="1076">
        <f t="shared" si="21"/>
        <v>0</v>
      </c>
      <c r="BP654" s="1051"/>
      <c r="BQ654" s="1052"/>
      <c r="BR654" s="1054"/>
      <c r="BS654" s="1053"/>
      <c r="BT654" s="1051"/>
      <c r="BU654" s="1051"/>
      <c r="BV654" s="1051"/>
      <c r="BW654" s="1052"/>
      <c r="BX654" s="1052"/>
      <c r="BY654" s="1052"/>
      <c r="BZ654" s="1052"/>
      <c r="CA654" s="1052"/>
      <c r="CB654" s="1053"/>
      <c r="CC654" s="1053"/>
      <c r="CD654" s="1053"/>
      <c r="CE654" s="1053"/>
      <c r="CF654" s="1053"/>
      <c r="CG654" s="1053"/>
      <c r="CH654" s="1053"/>
      <c r="CI654" s="1123"/>
      <c r="CJ654" s="1123"/>
      <c r="CK654" s="1123"/>
      <c r="CL654" s="1123"/>
      <c r="CM654" s="1123"/>
      <c r="CN654" s="1123"/>
      <c r="CO654" s="1123"/>
      <c r="CP654" s="1123"/>
      <c r="CQ654" s="1123"/>
      <c r="CR654" s="1123"/>
      <c r="CS654" s="1123"/>
      <c r="CT654" s="1123"/>
      <c r="CU654" s="1123"/>
      <c r="CV654" s="1123"/>
      <c r="CW654" s="1123"/>
      <c r="CX654" s="1123"/>
      <c r="CY654" s="1123"/>
      <c r="CZ654" s="1114"/>
      <c r="DA654" s="1114"/>
      <c r="DB654" s="1114"/>
      <c r="DC654" s="1114"/>
      <c r="DD654" s="1114"/>
      <c r="DE654" s="1114"/>
      <c r="DF654" s="1114"/>
      <c r="DG654" s="1114"/>
      <c r="DH654" s="1114"/>
      <c r="DI654" s="1114"/>
      <c r="DJ654" s="1114"/>
      <c r="DK654" s="1114"/>
      <c r="DL654" s="1114"/>
      <c r="DM654" s="1114"/>
      <c r="DN654" s="1114"/>
      <c r="DO654" s="1114"/>
      <c r="DP654" s="1114"/>
      <c r="DQ654" s="1114"/>
      <c r="DR654" s="1114"/>
      <c r="DS654" s="1114"/>
      <c r="DT654" s="1114"/>
      <c r="DU654" s="1114"/>
      <c r="DV654" s="1115"/>
      <c r="DW654" s="1116"/>
      <c r="DX654" s="1116"/>
      <c r="DY654" s="1116"/>
      <c r="DZ654" s="1116"/>
      <c r="EA654" s="1116"/>
      <c r="EB654" s="1116"/>
      <c r="EC654" s="1116"/>
      <c r="ED654" s="1116"/>
      <c r="EE654" s="1116"/>
      <c r="EF654" s="1116"/>
      <c r="EG654" s="1116"/>
      <c r="EH654" s="1116"/>
      <c r="EI654" s="1116"/>
      <c r="EJ654" s="1116"/>
      <c r="EK654" s="1116"/>
      <c r="EL654" s="1116"/>
      <c r="EM654" s="1116"/>
      <c r="EN654" s="1116"/>
      <c r="EO654" s="1116"/>
      <c r="EP654" s="1116"/>
      <c r="EQ654" s="1116"/>
      <c r="ER654" s="1116"/>
      <c r="ES654" s="1116"/>
    </row>
    <row r="655" spans="1:149" ht="15" customHeight="1">
      <c r="A655" s="1185">
        <v>640</v>
      </c>
      <c r="B655" s="1041"/>
      <c r="C655" s="1050"/>
      <c r="D655" s="1050"/>
      <c r="E655" s="1050"/>
      <c r="F655" s="1049"/>
      <c r="G655" s="1457"/>
      <c r="H655" s="1049"/>
      <c r="I655" s="1049"/>
      <c r="J655" s="1050"/>
      <c r="K655" s="1050"/>
      <c r="L655" s="1043"/>
      <c r="M655" s="1051"/>
      <c r="N655" s="1051"/>
      <c r="O655" s="1052"/>
      <c r="P655" s="1051"/>
      <c r="Q655" s="1051"/>
      <c r="R655" s="1052"/>
      <c r="S655" s="1051"/>
      <c r="T655" s="1051"/>
      <c r="U655" s="1052"/>
      <c r="V655" s="1051"/>
      <c r="W655" s="1051"/>
      <c r="X655" s="1052"/>
      <c r="Y655" s="1053"/>
      <c r="Z655" s="1051"/>
      <c r="AA655" s="1051"/>
      <c r="AB655" s="1052"/>
      <c r="AC655" s="1051"/>
      <c r="AD655" s="1051"/>
      <c r="AE655" s="1052"/>
      <c r="AF655" s="1051"/>
      <c r="AG655" s="1051"/>
      <c r="AH655" s="1051"/>
      <c r="AI655" s="1051"/>
      <c r="AJ655" s="1052"/>
      <c r="AK655" s="1051"/>
      <c r="AL655" s="1051"/>
      <c r="AM655" s="1052"/>
      <c r="AN655" s="1051"/>
      <c r="AO655" s="1051"/>
      <c r="AP655" s="1052"/>
      <c r="AQ655" s="1051"/>
      <c r="AR655" s="1051"/>
      <c r="AS655" s="1052"/>
      <c r="AT655" s="1051"/>
      <c r="AU655" s="1051"/>
      <c r="AV655" s="1052"/>
      <c r="AW655" s="1051"/>
      <c r="AX655" s="1051"/>
      <c r="AY655" s="1053"/>
      <c r="AZ655" s="1051"/>
      <c r="BA655" s="1051"/>
      <c r="BB655" s="1053"/>
      <c r="BC655" s="1051"/>
      <c r="BD655" s="1051"/>
      <c r="BE655" s="1053"/>
      <c r="BF655" s="1051"/>
      <c r="BG655" s="1051"/>
      <c r="BH655" s="1053"/>
      <c r="BI655" s="1052"/>
      <c r="BJ655" s="1052"/>
      <c r="BK655" s="1052"/>
      <c r="BL655" s="1052"/>
      <c r="BM655" s="1052"/>
      <c r="BN655" s="1054"/>
      <c r="BO655" s="1076">
        <f t="shared" si="21"/>
        <v>0</v>
      </c>
      <c r="BP655" s="1051"/>
      <c r="BQ655" s="1052"/>
      <c r="BR655" s="1054"/>
      <c r="BS655" s="1053"/>
      <c r="BT655" s="1051"/>
      <c r="BU655" s="1051"/>
      <c r="BV655" s="1051"/>
      <c r="BW655" s="1052"/>
      <c r="BX655" s="1052"/>
      <c r="BY655" s="1052"/>
      <c r="BZ655" s="1052"/>
      <c r="CA655" s="1052"/>
      <c r="CB655" s="1053"/>
      <c r="CC655" s="1053"/>
      <c r="CD655" s="1053"/>
      <c r="CE655" s="1053"/>
      <c r="CF655" s="1053"/>
      <c r="CG655" s="1053"/>
      <c r="CH655" s="1053"/>
      <c r="CI655" s="1123"/>
      <c r="CJ655" s="1123"/>
      <c r="CK655" s="1123"/>
      <c r="CL655" s="1123"/>
      <c r="CM655" s="1123"/>
      <c r="CN655" s="1123"/>
      <c r="CO655" s="1123"/>
      <c r="CP655" s="1123"/>
      <c r="CQ655" s="1123"/>
      <c r="CR655" s="1123"/>
      <c r="CS655" s="1123"/>
      <c r="CT655" s="1123"/>
      <c r="CU655" s="1123"/>
      <c r="CV655" s="1123"/>
      <c r="CW655" s="1123"/>
      <c r="CX655" s="1123"/>
      <c r="CY655" s="1123"/>
      <c r="CZ655" s="1114"/>
      <c r="DA655" s="1114"/>
      <c r="DB655" s="1114"/>
      <c r="DC655" s="1114"/>
      <c r="DD655" s="1114"/>
      <c r="DE655" s="1114"/>
      <c r="DF655" s="1114"/>
      <c r="DG655" s="1114"/>
      <c r="DH655" s="1114"/>
      <c r="DI655" s="1114"/>
      <c r="DJ655" s="1114"/>
      <c r="DK655" s="1114"/>
      <c r="DL655" s="1114"/>
      <c r="DM655" s="1114"/>
      <c r="DN655" s="1114"/>
      <c r="DO655" s="1114"/>
      <c r="DP655" s="1114"/>
      <c r="DQ655" s="1114"/>
      <c r="DR655" s="1114"/>
      <c r="DS655" s="1114"/>
      <c r="DT655" s="1114"/>
      <c r="DU655" s="1114"/>
      <c r="DV655" s="1115"/>
      <c r="DW655" s="1116"/>
      <c r="DX655" s="1116"/>
      <c r="DY655" s="1116"/>
      <c r="DZ655" s="1116"/>
      <c r="EA655" s="1116"/>
      <c r="EB655" s="1116"/>
      <c r="EC655" s="1116"/>
      <c r="ED655" s="1116"/>
      <c r="EE655" s="1116"/>
      <c r="EF655" s="1116"/>
      <c r="EG655" s="1116"/>
      <c r="EH655" s="1116"/>
      <c r="EI655" s="1116"/>
      <c r="EJ655" s="1116"/>
      <c r="EK655" s="1116"/>
      <c r="EL655" s="1116"/>
      <c r="EM655" s="1116"/>
      <c r="EN655" s="1116"/>
      <c r="EO655" s="1116"/>
      <c r="EP655" s="1116"/>
      <c r="EQ655" s="1116"/>
      <c r="ER655" s="1116"/>
      <c r="ES655" s="1116"/>
    </row>
    <row r="656" spans="1:149" ht="15" customHeight="1">
      <c r="A656" s="1185">
        <v>641</v>
      </c>
      <c r="B656" s="1041"/>
      <c r="C656" s="1050"/>
      <c r="D656" s="1050"/>
      <c r="E656" s="1050"/>
      <c r="F656" s="1049"/>
      <c r="G656" s="1457"/>
      <c r="H656" s="1049"/>
      <c r="I656" s="1049"/>
      <c r="J656" s="1050"/>
      <c r="K656" s="1050"/>
      <c r="L656" s="1043"/>
      <c r="M656" s="1051"/>
      <c r="N656" s="1051"/>
      <c r="O656" s="1052"/>
      <c r="P656" s="1051"/>
      <c r="Q656" s="1051"/>
      <c r="R656" s="1052"/>
      <c r="S656" s="1051"/>
      <c r="T656" s="1051"/>
      <c r="U656" s="1052"/>
      <c r="V656" s="1051"/>
      <c r="W656" s="1051"/>
      <c r="X656" s="1052"/>
      <c r="Y656" s="1053"/>
      <c r="Z656" s="1051"/>
      <c r="AA656" s="1051"/>
      <c r="AB656" s="1052"/>
      <c r="AC656" s="1051"/>
      <c r="AD656" s="1051"/>
      <c r="AE656" s="1052"/>
      <c r="AF656" s="1051"/>
      <c r="AG656" s="1051"/>
      <c r="AH656" s="1051"/>
      <c r="AI656" s="1051"/>
      <c r="AJ656" s="1052"/>
      <c r="AK656" s="1051"/>
      <c r="AL656" s="1051"/>
      <c r="AM656" s="1052"/>
      <c r="AN656" s="1051"/>
      <c r="AO656" s="1051"/>
      <c r="AP656" s="1052"/>
      <c r="AQ656" s="1051"/>
      <c r="AR656" s="1051"/>
      <c r="AS656" s="1052"/>
      <c r="AT656" s="1051"/>
      <c r="AU656" s="1051"/>
      <c r="AV656" s="1052"/>
      <c r="AW656" s="1051"/>
      <c r="AX656" s="1051"/>
      <c r="AY656" s="1053"/>
      <c r="AZ656" s="1051"/>
      <c r="BA656" s="1051"/>
      <c r="BB656" s="1053"/>
      <c r="BC656" s="1051"/>
      <c r="BD656" s="1051"/>
      <c r="BE656" s="1053"/>
      <c r="BF656" s="1051"/>
      <c r="BG656" s="1051"/>
      <c r="BH656" s="1053"/>
      <c r="BI656" s="1052"/>
      <c r="BJ656" s="1052"/>
      <c r="BK656" s="1052"/>
      <c r="BL656" s="1052"/>
      <c r="BM656" s="1052"/>
      <c r="BN656" s="1054"/>
      <c r="BO656" s="1076">
        <f t="shared" si="21"/>
        <v>0</v>
      </c>
      <c r="BP656" s="1051"/>
      <c r="BQ656" s="1052"/>
      <c r="BR656" s="1054"/>
      <c r="BS656" s="1053"/>
      <c r="BT656" s="1051"/>
      <c r="BU656" s="1051"/>
      <c r="BV656" s="1051"/>
      <c r="BW656" s="1052"/>
      <c r="BX656" s="1052"/>
      <c r="BY656" s="1052"/>
      <c r="BZ656" s="1052"/>
      <c r="CA656" s="1052"/>
      <c r="CB656" s="1053"/>
      <c r="CC656" s="1053"/>
      <c r="CD656" s="1053"/>
      <c r="CE656" s="1053"/>
      <c r="CF656" s="1053"/>
      <c r="CG656" s="1053"/>
      <c r="CH656" s="1053"/>
      <c r="CI656" s="1123"/>
      <c r="CJ656" s="1123"/>
      <c r="CK656" s="1123"/>
      <c r="CL656" s="1123"/>
      <c r="CM656" s="1123"/>
      <c r="CN656" s="1123"/>
      <c r="CO656" s="1123"/>
      <c r="CP656" s="1123"/>
      <c r="CQ656" s="1123"/>
      <c r="CR656" s="1123"/>
      <c r="CS656" s="1123"/>
      <c r="CT656" s="1123"/>
      <c r="CU656" s="1123"/>
      <c r="CV656" s="1123"/>
      <c r="CW656" s="1123"/>
      <c r="CX656" s="1123"/>
      <c r="CY656" s="1123"/>
      <c r="CZ656" s="1114"/>
      <c r="DA656" s="1114"/>
      <c r="DB656" s="1114"/>
      <c r="DC656" s="1114"/>
      <c r="DD656" s="1114"/>
      <c r="DE656" s="1114"/>
      <c r="DF656" s="1114"/>
      <c r="DG656" s="1114"/>
      <c r="DH656" s="1114"/>
      <c r="DI656" s="1114"/>
      <c r="DJ656" s="1114"/>
      <c r="DK656" s="1114"/>
      <c r="DL656" s="1114"/>
      <c r="DM656" s="1114"/>
      <c r="DN656" s="1114"/>
      <c r="DO656" s="1114"/>
      <c r="DP656" s="1114"/>
      <c r="DQ656" s="1114"/>
      <c r="DR656" s="1114"/>
      <c r="DS656" s="1114"/>
      <c r="DT656" s="1114"/>
      <c r="DU656" s="1114"/>
      <c r="DV656" s="1115"/>
      <c r="DW656" s="1116"/>
      <c r="DX656" s="1116"/>
      <c r="DY656" s="1116"/>
      <c r="DZ656" s="1116"/>
      <c r="EA656" s="1116"/>
      <c r="EB656" s="1116"/>
      <c r="EC656" s="1116"/>
      <c r="ED656" s="1116"/>
      <c r="EE656" s="1116"/>
      <c r="EF656" s="1116"/>
      <c r="EG656" s="1116"/>
      <c r="EH656" s="1116"/>
      <c r="EI656" s="1116"/>
      <c r="EJ656" s="1116"/>
      <c r="EK656" s="1116"/>
      <c r="EL656" s="1116"/>
      <c r="EM656" s="1116"/>
      <c r="EN656" s="1116"/>
      <c r="EO656" s="1116"/>
      <c r="EP656" s="1116"/>
      <c r="EQ656" s="1116"/>
      <c r="ER656" s="1116"/>
      <c r="ES656" s="1116"/>
    </row>
    <row r="657" spans="1:149" ht="15" customHeight="1">
      <c r="A657" s="1185">
        <v>642</v>
      </c>
      <c r="B657" s="1041"/>
      <c r="C657" s="1050"/>
      <c r="D657" s="1050"/>
      <c r="E657" s="1050"/>
      <c r="F657" s="1049"/>
      <c r="G657" s="1457"/>
      <c r="H657" s="1049"/>
      <c r="I657" s="1049"/>
      <c r="J657" s="1050"/>
      <c r="K657" s="1050"/>
      <c r="L657" s="1043"/>
      <c r="M657" s="1051"/>
      <c r="N657" s="1051"/>
      <c r="O657" s="1052"/>
      <c r="P657" s="1051"/>
      <c r="Q657" s="1051"/>
      <c r="R657" s="1052"/>
      <c r="S657" s="1051"/>
      <c r="T657" s="1051"/>
      <c r="U657" s="1052"/>
      <c r="V657" s="1051"/>
      <c r="W657" s="1051"/>
      <c r="X657" s="1052"/>
      <c r="Y657" s="1053"/>
      <c r="Z657" s="1051"/>
      <c r="AA657" s="1051"/>
      <c r="AB657" s="1052"/>
      <c r="AC657" s="1051"/>
      <c r="AD657" s="1051"/>
      <c r="AE657" s="1052"/>
      <c r="AF657" s="1051"/>
      <c r="AG657" s="1051"/>
      <c r="AH657" s="1051"/>
      <c r="AI657" s="1051"/>
      <c r="AJ657" s="1052"/>
      <c r="AK657" s="1051"/>
      <c r="AL657" s="1051"/>
      <c r="AM657" s="1052"/>
      <c r="AN657" s="1051"/>
      <c r="AO657" s="1051"/>
      <c r="AP657" s="1052"/>
      <c r="AQ657" s="1051"/>
      <c r="AR657" s="1051"/>
      <c r="AS657" s="1052"/>
      <c r="AT657" s="1051"/>
      <c r="AU657" s="1051"/>
      <c r="AV657" s="1052"/>
      <c r="AW657" s="1051"/>
      <c r="AX657" s="1051"/>
      <c r="AY657" s="1053"/>
      <c r="AZ657" s="1051"/>
      <c r="BA657" s="1051"/>
      <c r="BB657" s="1053"/>
      <c r="BC657" s="1051"/>
      <c r="BD657" s="1051"/>
      <c r="BE657" s="1053"/>
      <c r="BF657" s="1051"/>
      <c r="BG657" s="1051"/>
      <c r="BH657" s="1053"/>
      <c r="BI657" s="1052"/>
      <c r="BJ657" s="1052"/>
      <c r="BK657" s="1052"/>
      <c r="BL657" s="1052"/>
      <c r="BM657" s="1052"/>
      <c r="BN657" s="1054"/>
      <c r="BO657" s="1076">
        <f t="shared" si="21"/>
        <v>0</v>
      </c>
      <c r="BP657" s="1051"/>
      <c r="BQ657" s="1052"/>
      <c r="BR657" s="1054"/>
      <c r="BS657" s="1053"/>
      <c r="BT657" s="1051"/>
      <c r="BU657" s="1051"/>
      <c r="BV657" s="1051"/>
      <c r="BW657" s="1052"/>
      <c r="BX657" s="1052"/>
      <c r="BY657" s="1052"/>
      <c r="BZ657" s="1052"/>
      <c r="CA657" s="1052"/>
      <c r="CB657" s="1053"/>
      <c r="CC657" s="1053"/>
      <c r="CD657" s="1053"/>
      <c r="CE657" s="1053"/>
      <c r="CF657" s="1053"/>
      <c r="CG657" s="1053"/>
      <c r="CH657" s="1053"/>
      <c r="CI657" s="1123"/>
      <c r="CJ657" s="1123"/>
      <c r="CK657" s="1123"/>
      <c r="CL657" s="1123"/>
      <c r="CM657" s="1123"/>
      <c r="CN657" s="1123"/>
      <c r="CO657" s="1123"/>
      <c r="CP657" s="1123"/>
      <c r="CQ657" s="1123"/>
      <c r="CR657" s="1123"/>
      <c r="CS657" s="1123"/>
      <c r="CT657" s="1123"/>
      <c r="CU657" s="1123"/>
      <c r="CV657" s="1123"/>
      <c r="CW657" s="1123"/>
      <c r="CX657" s="1123"/>
      <c r="CY657" s="1123"/>
      <c r="CZ657" s="1114"/>
      <c r="DA657" s="1114"/>
      <c r="DB657" s="1114"/>
      <c r="DC657" s="1114"/>
      <c r="DD657" s="1114"/>
      <c r="DE657" s="1114"/>
      <c r="DF657" s="1114"/>
      <c r="DG657" s="1114"/>
      <c r="DH657" s="1114"/>
      <c r="DI657" s="1114"/>
      <c r="DJ657" s="1114"/>
      <c r="DK657" s="1114"/>
      <c r="DL657" s="1114"/>
      <c r="DM657" s="1114"/>
      <c r="DN657" s="1114"/>
      <c r="DO657" s="1114"/>
      <c r="DP657" s="1114"/>
      <c r="DQ657" s="1114"/>
      <c r="DR657" s="1114"/>
      <c r="DS657" s="1114"/>
      <c r="DT657" s="1114"/>
      <c r="DU657" s="1114"/>
      <c r="DV657" s="1115"/>
      <c r="DW657" s="1116"/>
      <c r="DX657" s="1116"/>
      <c r="DY657" s="1116"/>
      <c r="DZ657" s="1116"/>
      <c r="EA657" s="1116"/>
      <c r="EB657" s="1116"/>
      <c r="EC657" s="1116"/>
      <c r="ED657" s="1116"/>
      <c r="EE657" s="1116"/>
      <c r="EF657" s="1116"/>
      <c r="EG657" s="1116"/>
      <c r="EH657" s="1116"/>
      <c r="EI657" s="1116"/>
      <c r="EJ657" s="1116"/>
      <c r="EK657" s="1116"/>
      <c r="EL657" s="1116"/>
      <c r="EM657" s="1116"/>
      <c r="EN657" s="1116"/>
      <c r="EO657" s="1116"/>
      <c r="EP657" s="1116"/>
      <c r="EQ657" s="1116"/>
      <c r="ER657" s="1116"/>
      <c r="ES657" s="1116"/>
    </row>
    <row r="658" spans="1:149" ht="15" customHeight="1">
      <c r="A658" s="1185">
        <v>643</v>
      </c>
      <c r="B658" s="1041"/>
      <c r="C658" s="1050"/>
      <c r="D658" s="1050"/>
      <c r="E658" s="1050"/>
      <c r="F658" s="1049"/>
      <c r="G658" s="1457"/>
      <c r="H658" s="1049"/>
      <c r="I658" s="1049"/>
      <c r="J658" s="1050"/>
      <c r="K658" s="1050"/>
      <c r="L658" s="1043"/>
      <c r="M658" s="1051"/>
      <c r="N658" s="1051"/>
      <c r="O658" s="1052"/>
      <c r="P658" s="1051"/>
      <c r="Q658" s="1051"/>
      <c r="R658" s="1052"/>
      <c r="S658" s="1051"/>
      <c r="T658" s="1051"/>
      <c r="U658" s="1052"/>
      <c r="V658" s="1051"/>
      <c r="W658" s="1051"/>
      <c r="X658" s="1052"/>
      <c r="Y658" s="1053"/>
      <c r="Z658" s="1051"/>
      <c r="AA658" s="1051"/>
      <c r="AB658" s="1052"/>
      <c r="AC658" s="1051"/>
      <c r="AD658" s="1051"/>
      <c r="AE658" s="1052"/>
      <c r="AF658" s="1051"/>
      <c r="AG658" s="1051"/>
      <c r="AH658" s="1051"/>
      <c r="AI658" s="1051"/>
      <c r="AJ658" s="1052"/>
      <c r="AK658" s="1051"/>
      <c r="AL658" s="1051"/>
      <c r="AM658" s="1052"/>
      <c r="AN658" s="1051"/>
      <c r="AO658" s="1051"/>
      <c r="AP658" s="1052"/>
      <c r="AQ658" s="1051"/>
      <c r="AR658" s="1051"/>
      <c r="AS658" s="1052"/>
      <c r="AT658" s="1051"/>
      <c r="AU658" s="1051"/>
      <c r="AV658" s="1052"/>
      <c r="AW658" s="1051"/>
      <c r="AX658" s="1051"/>
      <c r="AY658" s="1053"/>
      <c r="AZ658" s="1051"/>
      <c r="BA658" s="1051"/>
      <c r="BB658" s="1053"/>
      <c r="BC658" s="1051"/>
      <c r="BD658" s="1051"/>
      <c r="BE658" s="1053"/>
      <c r="BF658" s="1051"/>
      <c r="BG658" s="1051"/>
      <c r="BH658" s="1053"/>
      <c r="BI658" s="1052"/>
      <c r="BJ658" s="1052"/>
      <c r="BK658" s="1052"/>
      <c r="BL658" s="1052"/>
      <c r="BM658" s="1052"/>
      <c r="BN658" s="1054"/>
      <c r="BO658" s="1076">
        <f t="shared" si="21"/>
        <v>0</v>
      </c>
      <c r="BP658" s="1051"/>
      <c r="BQ658" s="1052"/>
      <c r="BR658" s="1054"/>
      <c r="BS658" s="1053"/>
      <c r="BT658" s="1051"/>
      <c r="BU658" s="1051"/>
      <c r="BV658" s="1051"/>
      <c r="BW658" s="1052"/>
      <c r="BX658" s="1052"/>
      <c r="BY658" s="1052"/>
      <c r="BZ658" s="1052"/>
      <c r="CA658" s="1052"/>
      <c r="CB658" s="1053"/>
      <c r="CC658" s="1053"/>
      <c r="CD658" s="1053"/>
      <c r="CE658" s="1053"/>
      <c r="CF658" s="1053"/>
      <c r="CG658" s="1053"/>
      <c r="CH658" s="1053"/>
      <c r="CI658" s="1123"/>
      <c r="CJ658" s="1123"/>
      <c r="CK658" s="1123"/>
      <c r="CL658" s="1123"/>
      <c r="CM658" s="1123"/>
      <c r="CN658" s="1123"/>
      <c r="CO658" s="1123"/>
      <c r="CP658" s="1123"/>
      <c r="CQ658" s="1123"/>
      <c r="CR658" s="1123"/>
      <c r="CS658" s="1123"/>
      <c r="CT658" s="1123"/>
      <c r="CU658" s="1123"/>
      <c r="CV658" s="1123"/>
      <c r="CW658" s="1123"/>
      <c r="CX658" s="1123"/>
      <c r="CY658" s="1123"/>
      <c r="CZ658" s="1114"/>
      <c r="DA658" s="1114"/>
      <c r="DB658" s="1114"/>
      <c r="DC658" s="1114"/>
      <c r="DD658" s="1114"/>
      <c r="DE658" s="1114"/>
      <c r="DF658" s="1114"/>
      <c r="DG658" s="1114"/>
      <c r="DH658" s="1114"/>
      <c r="DI658" s="1114"/>
      <c r="DJ658" s="1114"/>
      <c r="DK658" s="1114"/>
      <c r="DL658" s="1114"/>
      <c r="DM658" s="1114"/>
      <c r="DN658" s="1114"/>
      <c r="DO658" s="1114"/>
      <c r="DP658" s="1114"/>
      <c r="DQ658" s="1114"/>
      <c r="DR658" s="1114"/>
      <c r="DS658" s="1114"/>
      <c r="DT658" s="1114"/>
      <c r="DU658" s="1114"/>
      <c r="DV658" s="1115"/>
      <c r="DW658" s="1116"/>
      <c r="DX658" s="1116"/>
      <c r="DY658" s="1116"/>
      <c r="DZ658" s="1116"/>
      <c r="EA658" s="1116"/>
      <c r="EB658" s="1116"/>
      <c r="EC658" s="1116"/>
      <c r="ED658" s="1116"/>
      <c r="EE658" s="1116"/>
      <c r="EF658" s="1116"/>
      <c r="EG658" s="1116"/>
      <c r="EH658" s="1116"/>
      <c r="EI658" s="1116"/>
      <c r="EJ658" s="1116"/>
      <c r="EK658" s="1116"/>
      <c r="EL658" s="1116"/>
      <c r="EM658" s="1116"/>
      <c r="EN658" s="1116"/>
      <c r="EO658" s="1116"/>
      <c r="EP658" s="1116"/>
      <c r="EQ658" s="1116"/>
      <c r="ER658" s="1116"/>
      <c r="ES658" s="1116"/>
    </row>
    <row r="659" spans="1:149" ht="15" customHeight="1">
      <c r="A659" s="1185">
        <v>644</v>
      </c>
      <c r="B659" s="1041"/>
      <c r="C659" s="1050"/>
      <c r="D659" s="1050"/>
      <c r="E659" s="1050"/>
      <c r="F659" s="1049"/>
      <c r="G659" s="1457"/>
      <c r="H659" s="1049"/>
      <c r="I659" s="1049"/>
      <c r="J659" s="1050"/>
      <c r="K659" s="1050"/>
      <c r="L659" s="1043"/>
      <c r="M659" s="1051"/>
      <c r="N659" s="1051"/>
      <c r="O659" s="1052"/>
      <c r="P659" s="1051"/>
      <c r="Q659" s="1051"/>
      <c r="R659" s="1052"/>
      <c r="S659" s="1051"/>
      <c r="T659" s="1051"/>
      <c r="U659" s="1052"/>
      <c r="V659" s="1051"/>
      <c r="W659" s="1051"/>
      <c r="X659" s="1052"/>
      <c r="Y659" s="1053"/>
      <c r="Z659" s="1051"/>
      <c r="AA659" s="1051"/>
      <c r="AB659" s="1052"/>
      <c r="AC659" s="1051"/>
      <c r="AD659" s="1051"/>
      <c r="AE659" s="1052"/>
      <c r="AF659" s="1051"/>
      <c r="AG659" s="1051"/>
      <c r="AH659" s="1051"/>
      <c r="AI659" s="1051"/>
      <c r="AJ659" s="1052"/>
      <c r="AK659" s="1051"/>
      <c r="AL659" s="1051"/>
      <c r="AM659" s="1052"/>
      <c r="AN659" s="1051"/>
      <c r="AO659" s="1051"/>
      <c r="AP659" s="1052"/>
      <c r="AQ659" s="1051"/>
      <c r="AR659" s="1051"/>
      <c r="AS659" s="1052"/>
      <c r="AT659" s="1051"/>
      <c r="AU659" s="1051"/>
      <c r="AV659" s="1052"/>
      <c r="AW659" s="1051"/>
      <c r="AX659" s="1051"/>
      <c r="AY659" s="1053"/>
      <c r="AZ659" s="1051"/>
      <c r="BA659" s="1051"/>
      <c r="BB659" s="1053"/>
      <c r="BC659" s="1051"/>
      <c r="BD659" s="1051"/>
      <c r="BE659" s="1053"/>
      <c r="BF659" s="1051"/>
      <c r="BG659" s="1051"/>
      <c r="BH659" s="1053"/>
      <c r="BI659" s="1052"/>
      <c r="BJ659" s="1052"/>
      <c r="BK659" s="1052"/>
      <c r="BL659" s="1052"/>
      <c r="BM659" s="1052"/>
      <c r="BN659" s="1054"/>
      <c r="BO659" s="1076">
        <f t="shared" si="21"/>
        <v>0</v>
      </c>
      <c r="BP659" s="1051"/>
      <c r="BQ659" s="1052"/>
      <c r="BR659" s="1054"/>
      <c r="BS659" s="1053"/>
      <c r="BT659" s="1051"/>
      <c r="BU659" s="1051"/>
      <c r="BV659" s="1051"/>
      <c r="BW659" s="1052"/>
      <c r="BX659" s="1052"/>
      <c r="BY659" s="1052"/>
      <c r="BZ659" s="1052"/>
      <c r="CA659" s="1052"/>
      <c r="CB659" s="1053"/>
      <c r="CC659" s="1053"/>
      <c r="CD659" s="1053"/>
      <c r="CE659" s="1053"/>
      <c r="CF659" s="1053"/>
      <c r="CG659" s="1053"/>
      <c r="CH659" s="1053"/>
      <c r="CI659" s="1123"/>
      <c r="CJ659" s="1123"/>
      <c r="CK659" s="1123"/>
      <c r="CL659" s="1123"/>
      <c r="CM659" s="1123"/>
      <c r="CN659" s="1123"/>
      <c r="CO659" s="1123"/>
      <c r="CP659" s="1123"/>
      <c r="CQ659" s="1123"/>
      <c r="CR659" s="1123"/>
      <c r="CS659" s="1123"/>
      <c r="CT659" s="1123"/>
      <c r="CU659" s="1123"/>
      <c r="CV659" s="1123"/>
      <c r="CW659" s="1123"/>
      <c r="CX659" s="1123"/>
      <c r="CY659" s="1123"/>
      <c r="CZ659" s="1114"/>
      <c r="DA659" s="1114"/>
      <c r="DB659" s="1114"/>
      <c r="DC659" s="1114"/>
      <c r="DD659" s="1114"/>
      <c r="DE659" s="1114"/>
      <c r="DF659" s="1114"/>
      <c r="DG659" s="1114"/>
      <c r="DH659" s="1114"/>
      <c r="DI659" s="1114"/>
      <c r="DJ659" s="1114"/>
      <c r="DK659" s="1114"/>
      <c r="DL659" s="1114"/>
      <c r="DM659" s="1114"/>
      <c r="DN659" s="1114"/>
      <c r="DO659" s="1114"/>
      <c r="DP659" s="1114"/>
      <c r="DQ659" s="1114"/>
      <c r="DR659" s="1114"/>
      <c r="DS659" s="1114"/>
      <c r="DT659" s="1114"/>
      <c r="DU659" s="1114"/>
      <c r="DV659" s="1115"/>
      <c r="DW659" s="1116"/>
      <c r="DX659" s="1116"/>
      <c r="DY659" s="1116"/>
      <c r="DZ659" s="1116"/>
      <c r="EA659" s="1116"/>
      <c r="EB659" s="1116"/>
      <c r="EC659" s="1116"/>
      <c r="ED659" s="1116"/>
      <c r="EE659" s="1116"/>
      <c r="EF659" s="1116"/>
      <c r="EG659" s="1116"/>
      <c r="EH659" s="1116"/>
      <c r="EI659" s="1116"/>
      <c r="EJ659" s="1116"/>
      <c r="EK659" s="1116"/>
      <c r="EL659" s="1116"/>
      <c r="EM659" s="1116"/>
      <c r="EN659" s="1116"/>
      <c r="EO659" s="1116"/>
      <c r="EP659" s="1116"/>
      <c r="EQ659" s="1116"/>
      <c r="ER659" s="1116"/>
      <c r="ES659" s="1116"/>
    </row>
    <row r="660" spans="1:149" ht="15" customHeight="1">
      <c r="A660" s="1185">
        <v>645</v>
      </c>
      <c r="B660" s="1041"/>
      <c r="C660" s="1050"/>
      <c r="D660" s="1050"/>
      <c r="E660" s="1050"/>
      <c r="F660" s="1049"/>
      <c r="G660" s="1457"/>
      <c r="H660" s="1049"/>
      <c r="I660" s="1049"/>
      <c r="J660" s="1050"/>
      <c r="K660" s="1050"/>
      <c r="L660" s="1043"/>
      <c r="M660" s="1051"/>
      <c r="N660" s="1051"/>
      <c r="O660" s="1052"/>
      <c r="P660" s="1051"/>
      <c r="Q660" s="1051"/>
      <c r="R660" s="1052"/>
      <c r="S660" s="1051"/>
      <c r="T660" s="1051"/>
      <c r="U660" s="1052"/>
      <c r="V660" s="1051"/>
      <c r="W660" s="1051"/>
      <c r="X660" s="1052"/>
      <c r="Y660" s="1053"/>
      <c r="Z660" s="1051"/>
      <c r="AA660" s="1051"/>
      <c r="AB660" s="1052"/>
      <c r="AC660" s="1051"/>
      <c r="AD660" s="1051"/>
      <c r="AE660" s="1052"/>
      <c r="AF660" s="1051"/>
      <c r="AG660" s="1051"/>
      <c r="AH660" s="1051"/>
      <c r="AI660" s="1051"/>
      <c r="AJ660" s="1052"/>
      <c r="AK660" s="1051"/>
      <c r="AL660" s="1051"/>
      <c r="AM660" s="1052"/>
      <c r="AN660" s="1051"/>
      <c r="AO660" s="1051"/>
      <c r="AP660" s="1052"/>
      <c r="AQ660" s="1051"/>
      <c r="AR660" s="1051"/>
      <c r="AS660" s="1052"/>
      <c r="AT660" s="1051"/>
      <c r="AU660" s="1051"/>
      <c r="AV660" s="1052"/>
      <c r="AW660" s="1051"/>
      <c r="AX660" s="1051"/>
      <c r="AY660" s="1053"/>
      <c r="AZ660" s="1051"/>
      <c r="BA660" s="1051"/>
      <c r="BB660" s="1053"/>
      <c r="BC660" s="1051"/>
      <c r="BD660" s="1051"/>
      <c r="BE660" s="1053"/>
      <c r="BF660" s="1051"/>
      <c r="BG660" s="1051"/>
      <c r="BH660" s="1053"/>
      <c r="BI660" s="1052"/>
      <c r="BJ660" s="1052"/>
      <c r="BK660" s="1052"/>
      <c r="BL660" s="1052"/>
      <c r="BM660" s="1052"/>
      <c r="BN660" s="1054"/>
      <c r="BO660" s="1076">
        <f t="shared" si="21"/>
        <v>0</v>
      </c>
      <c r="BP660" s="1051"/>
      <c r="BQ660" s="1052"/>
      <c r="BR660" s="1054"/>
      <c r="BS660" s="1053"/>
      <c r="BT660" s="1051"/>
      <c r="BU660" s="1051"/>
      <c r="BV660" s="1051"/>
      <c r="BW660" s="1052"/>
      <c r="BX660" s="1052"/>
      <c r="BY660" s="1052"/>
      <c r="BZ660" s="1052"/>
      <c r="CA660" s="1052"/>
      <c r="CB660" s="1053"/>
      <c r="CC660" s="1053"/>
      <c r="CD660" s="1053"/>
      <c r="CE660" s="1053"/>
      <c r="CF660" s="1053"/>
      <c r="CG660" s="1053"/>
      <c r="CH660" s="1053"/>
      <c r="CI660" s="1123"/>
      <c r="CJ660" s="1123"/>
      <c r="CK660" s="1123"/>
      <c r="CL660" s="1123"/>
      <c r="CM660" s="1123"/>
      <c r="CN660" s="1123"/>
      <c r="CO660" s="1123"/>
      <c r="CP660" s="1123"/>
      <c r="CQ660" s="1123"/>
      <c r="CR660" s="1123"/>
      <c r="CS660" s="1123"/>
      <c r="CT660" s="1123"/>
      <c r="CU660" s="1123"/>
      <c r="CV660" s="1123"/>
      <c r="CW660" s="1123"/>
      <c r="CX660" s="1123"/>
      <c r="CY660" s="1123"/>
      <c r="CZ660" s="1114"/>
      <c r="DA660" s="1114"/>
      <c r="DB660" s="1114"/>
      <c r="DC660" s="1114"/>
      <c r="DD660" s="1114"/>
      <c r="DE660" s="1114"/>
      <c r="DF660" s="1114"/>
      <c r="DG660" s="1114"/>
      <c r="DH660" s="1114"/>
      <c r="DI660" s="1114"/>
      <c r="DJ660" s="1114"/>
      <c r="DK660" s="1114"/>
      <c r="DL660" s="1114"/>
      <c r="DM660" s="1114"/>
      <c r="DN660" s="1114"/>
      <c r="DO660" s="1114"/>
      <c r="DP660" s="1114"/>
      <c r="DQ660" s="1114"/>
      <c r="DR660" s="1114"/>
      <c r="DS660" s="1114"/>
      <c r="DT660" s="1114"/>
      <c r="DU660" s="1114"/>
      <c r="DV660" s="1115"/>
      <c r="DW660" s="1116"/>
      <c r="DX660" s="1116"/>
      <c r="DY660" s="1116"/>
      <c r="DZ660" s="1116"/>
      <c r="EA660" s="1116"/>
      <c r="EB660" s="1116"/>
      <c r="EC660" s="1116"/>
      <c r="ED660" s="1116"/>
      <c r="EE660" s="1116"/>
      <c r="EF660" s="1116"/>
      <c r="EG660" s="1116"/>
      <c r="EH660" s="1116"/>
      <c r="EI660" s="1116"/>
      <c r="EJ660" s="1116"/>
      <c r="EK660" s="1116"/>
      <c r="EL660" s="1116"/>
      <c r="EM660" s="1116"/>
      <c r="EN660" s="1116"/>
      <c r="EO660" s="1116"/>
      <c r="EP660" s="1116"/>
      <c r="EQ660" s="1116"/>
      <c r="ER660" s="1116"/>
      <c r="ES660" s="1116"/>
    </row>
    <row r="661" spans="1:149" ht="15" customHeight="1">
      <c r="A661" s="1185">
        <v>646</v>
      </c>
      <c r="B661" s="1041"/>
      <c r="C661" s="1050"/>
      <c r="D661" s="1050"/>
      <c r="E661" s="1050"/>
      <c r="F661" s="1049"/>
      <c r="G661" s="1457"/>
      <c r="H661" s="1049"/>
      <c r="I661" s="1049"/>
      <c r="J661" s="1050"/>
      <c r="K661" s="1050"/>
      <c r="L661" s="1043"/>
      <c r="M661" s="1051"/>
      <c r="N661" s="1051"/>
      <c r="O661" s="1052"/>
      <c r="P661" s="1051"/>
      <c r="Q661" s="1051"/>
      <c r="R661" s="1052"/>
      <c r="S661" s="1051"/>
      <c r="T661" s="1051"/>
      <c r="U661" s="1052"/>
      <c r="V661" s="1051"/>
      <c r="W661" s="1051"/>
      <c r="X661" s="1052"/>
      <c r="Y661" s="1053"/>
      <c r="Z661" s="1051"/>
      <c r="AA661" s="1051"/>
      <c r="AB661" s="1052"/>
      <c r="AC661" s="1051"/>
      <c r="AD661" s="1051"/>
      <c r="AE661" s="1052"/>
      <c r="AF661" s="1051"/>
      <c r="AG661" s="1051"/>
      <c r="AH661" s="1051"/>
      <c r="AI661" s="1051"/>
      <c r="AJ661" s="1052"/>
      <c r="AK661" s="1051"/>
      <c r="AL661" s="1051"/>
      <c r="AM661" s="1052"/>
      <c r="AN661" s="1051"/>
      <c r="AO661" s="1051"/>
      <c r="AP661" s="1052"/>
      <c r="AQ661" s="1051"/>
      <c r="AR661" s="1051"/>
      <c r="AS661" s="1052"/>
      <c r="AT661" s="1051"/>
      <c r="AU661" s="1051"/>
      <c r="AV661" s="1052"/>
      <c r="AW661" s="1051"/>
      <c r="AX661" s="1051"/>
      <c r="AY661" s="1053"/>
      <c r="AZ661" s="1051"/>
      <c r="BA661" s="1051"/>
      <c r="BB661" s="1053"/>
      <c r="BC661" s="1051"/>
      <c r="BD661" s="1051"/>
      <c r="BE661" s="1053"/>
      <c r="BF661" s="1051"/>
      <c r="BG661" s="1051"/>
      <c r="BH661" s="1053"/>
      <c r="BI661" s="1052"/>
      <c r="BJ661" s="1052"/>
      <c r="BK661" s="1052"/>
      <c r="BL661" s="1052"/>
      <c r="BM661" s="1052"/>
      <c r="BN661" s="1054"/>
      <c r="BO661" s="1076">
        <f t="shared" si="21"/>
        <v>0</v>
      </c>
      <c r="BP661" s="1051"/>
      <c r="BQ661" s="1052"/>
      <c r="BR661" s="1054"/>
      <c r="BS661" s="1053"/>
      <c r="BT661" s="1051"/>
      <c r="BU661" s="1051"/>
      <c r="BV661" s="1051"/>
      <c r="BW661" s="1052"/>
      <c r="BX661" s="1052"/>
      <c r="BY661" s="1052"/>
      <c r="BZ661" s="1052"/>
      <c r="CA661" s="1052"/>
      <c r="CB661" s="1053"/>
      <c r="CC661" s="1053"/>
      <c r="CD661" s="1053"/>
      <c r="CE661" s="1053"/>
      <c r="CF661" s="1053"/>
      <c r="CG661" s="1053"/>
      <c r="CH661" s="1053"/>
      <c r="CI661" s="1123"/>
      <c r="CJ661" s="1123"/>
      <c r="CK661" s="1123"/>
      <c r="CL661" s="1123"/>
      <c r="CM661" s="1123"/>
      <c r="CN661" s="1123"/>
      <c r="CO661" s="1123"/>
      <c r="CP661" s="1123"/>
      <c r="CQ661" s="1123"/>
      <c r="CR661" s="1123"/>
      <c r="CS661" s="1123"/>
      <c r="CT661" s="1123"/>
      <c r="CU661" s="1123"/>
      <c r="CV661" s="1123"/>
      <c r="CW661" s="1123"/>
      <c r="CX661" s="1123"/>
      <c r="CY661" s="1123"/>
      <c r="CZ661" s="1114"/>
      <c r="DA661" s="1114"/>
      <c r="DB661" s="1114"/>
      <c r="DC661" s="1114"/>
      <c r="DD661" s="1114"/>
      <c r="DE661" s="1114"/>
      <c r="DF661" s="1114"/>
      <c r="DG661" s="1114"/>
      <c r="DH661" s="1114"/>
      <c r="DI661" s="1114"/>
      <c r="DJ661" s="1114"/>
      <c r="DK661" s="1114"/>
      <c r="DL661" s="1114"/>
      <c r="DM661" s="1114"/>
      <c r="DN661" s="1114"/>
      <c r="DO661" s="1114"/>
      <c r="DP661" s="1114"/>
      <c r="DQ661" s="1114"/>
      <c r="DR661" s="1114"/>
      <c r="DS661" s="1114"/>
      <c r="DT661" s="1114"/>
      <c r="DU661" s="1114"/>
      <c r="DV661" s="1115"/>
      <c r="DW661" s="1116"/>
      <c r="DX661" s="1116"/>
      <c r="DY661" s="1116"/>
      <c r="DZ661" s="1116"/>
      <c r="EA661" s="1116"/>
      <c r="EB661" s="1116"/>
      <c r="EC661" s="1116"/>
      <c r="ED661" s="1116"/>
      <c r="EE661" s="1116"/>
      <c r="EF661" s="1116"/>
      <c r="EG661" s="1116"/>
      <c r="EH661" s="1116"/>
      <c r="EI661" s="1116"/>
      <c r="EJ661" s="1116"/>
      <c r="EK661" s="1116"/>
      <c r="EL661" s="1116"/>
      <c r="EM661" s="1116"/>
      <c r="EN661" s="1116"/>
      <c r="EO661" s="1116"/>
      <c r="EP661" s="1116"/>
      <c r="EQ661" s="1116"/>
      <c r="ER661" s="1116"/>
      <c r="ES661" s="1116"/>
    </row>
    <row r="662" spans="1:149" ht="15" customHeight="1">
      <c r="A662" s="1185">
        <v>647</v>
      </c>
      <c r="B662" s="1041"/>
      <c r="C662" s="1050"/>
      <c r="D662" s="1050"/>
      <c r="E662" s="1050"/>
      <c r="F662" s="1049"/>
      <c r="G662" s="1457"/>
      <c r="H662" s="1049"/>
      <c r="I662" s="1049"/>
      <c r="J662" s="1050"/>
      <c r="K662" s="1050"/>
      <c r="L662" s="1043"/>
      <c r="M662" s="1051"/>
      <c r="N662" s="1051"/>
      <c r="O662" s="1052"/>
      <c r="P662" s="1051"/>
      <c r="Q662" s="1051"/>
      <c r="R662" s="1052"/>
      <c r="S662" s="1051"/>
      <c r="T662" s="1051"/>
      <c r="U662" s="1052"/>
      <c r="V662" s="1051"/>
      <c r="W662" s="1051"/>
      <c r="X662" s="1052"/>
      <c r="Y662" s="1053"/>
      <c r="Z662" s="1051"/>
      <c r="AA662" s="1051"/>
      <c r="AB662" s="1052"/>
      <c r="AC662" s="1051"/>
      <c r="AD662" s="1051"/>
      <c r="AE662" s="1052"/>
      <c r="AF662" s="1051"/>
      <c r="AG662" s="1051"/>
      <c r="AH662" s="1051"/>
      <c r="AI662" s="1051"/>
      <c r="AJ662" s="1052"/>
      <c r="AK662" s="1051"/>
      <c r="AL662" s="1051"/>
      <c r="AM662" s="1052"/>
      <c r="AN662" s="1051"/>
      <c r="AO662" s="1051"/>
      <c r="AP662" s="1052"/>
      <c r="AQ662" s="1051"/>
      <c r="AR662" s="1051"/>
      <c r="AS662" s="1052"/>
      <c r="AT662" s="1051"/>
      <c r="AU662" s="1051"/>
      <c r="AV662" s="1052"/>
      <c r="AW662" s="1051"/>
      <c r="AX662" s="1051"/>
      <c r="AY662" s="1053"/>
      <c r="AZ662" s="1051"/>
      <c r="BA662" s="1051"/>
      <c r="BB662" s="1053"/>
      <c r="BC662" s="1051"/>
      <c r="BD662" s="1051"/>
      <c r="BE662" s="1053"/>
      <c r="BF662" s="1051"/>
      <c r="BG662" s="1051"/>
      <c r="BH662" s="1053"/>
      <c r="BI662" s="1052"/>
      <c r="BJ662" s="1052"/>
      <c r="BK662" s="1052"/>
      <c r="BL662" s="1052"/>
      <c r="BM662" s="1052"/>
      <c r="BN662" s="1054"/>
      <c r="BO662" s="1076">
        <f t="shared" si="21"/>
        <v>0</v>
      </c>
      <c r="BP662" s="1051"/>
      <c r="BQ662" s="1052"/>
      <c r="BR662" s="1054"/>
      <c r="BS662" s="1053"/>
      <c r="BT662" s="1051"/>
      <c r="BU662" s="1051"/>
      <c r="BV662" s="1051"/>
      <c r="BW662" s="1052"/>
      <c r="BX662" s="1052"/>
      <c r="BY662" s="1052"/>
      <c r="BZ662" s="1052"/>
      <c r="CA662" s="1052"/>
      <c r="CB662" s="1053"/>
      <c r="CC662" s="1053"/>
      <c r="CD662" s="1053"/>
      <c r="CE662" s="1053"/>
      <c r="CF662" s="1053"/>
      <c r="CG662" s="1053"/>
      <c r="CH662" s="1053"/>
      <c r="CI662" s="1123"/>
      <c r="CJ662" s="1123"/>
      <c r="CK662" s="1123"/>
      <c r="CL662" s="1123"/>
      <c r="CM662" s="1123"/>
      <c r="CN662" s="1123"/>
      <c r="CO662" s="1123"/>
      <c r="CP662" s="1123"/>
      <c r="CQ662" s="1123"/>
      <c r="CR662" s="1123"/>
      <c r="CS662" s="1123"/>
      <c r="CT662" s="1123"/>
      <c r="CU662" s="1123"/>
      <c r="CV662" s="1123"/>
      <c r="CW662" s="1123"/>
      <c r="CX662" s="1123"/>
      <c r="CY662" s="1123"/>
      <c r="CZ662" s="1114"/>
      <c r="DA662" s="1114"/>
      <c r="DB662" s="1114"/>
      <c r="DC662" s="1114"/>
      <c r="DD662" s="1114"/>
      <c r="DE662" s="1114"/>
      <c r="DF662" s="1114"/>
      <c r="DG662" s="1114"/>
      <c r="DH662" s="1114"/>
      <c r="DI662" s="1114"/>
      <c r="DJ662" s="1114"/>
      <c r="DK662" s="1114"/>
      <c r="DL662" s="1114"/>
      <c r="DM662" s="1114"/>
      <c r="DN662" s="1114"/>
      <c r="DO662" s="1114"/>
      <c r="DP662" s="1114"/>
      <c r="DQ662" s="1114"/>
      <c r="DR662" s="1114"/>
      <c r="DS662" s="1114"/>
      <c r="DT662" s="1114"/>
      <c r="DU662" s="1114"/>
      <c r="DV662" s="1115"/>
      <c r="DW662" s="1116"/>
      <c r="DX662" s="1116"/>
      <c r="DY662" s="1116"/>
      <c r="DZ662" s="1116"/>
      <c r="EA662" s="1116"/>
      <c r="EB662" s="1116"/>
      <c r="EC662" s="1116"/>
      <c r="ED662" s="1116"/>
      <c r="EE662" s="1116"/>
      <c r="EF662" s="1116"/>
      <c r="EG662" s="1116"/>
      <c r="EH662" s="1116"/>
      <c r="EI662" s="1116"/>
      <c r="EJ662" s="1116"/>
      <c r="EK662" s="1116"/>
      <c r="EL662" s="1116"/>
      <c r="EM662" s="1116"/>
      <c r="EN662" s="1116"/>
      <c r="EO662" s="1116"/>
      <c r="EP662" s="1116"/>
      <c r="EQ662" s="1116"/>
      <c r="ER662" s="1116"/>
      <c r="ES662" s="1116"/>
    </row>
    <row r="663" spans="1:149" ht="15" customHeight="1">
      <c r="A663" s="1185">
        <v>648</v>
      </c>
      <c r="B663" s="1041"/>
      <c r="C663" s="1050"/>
      <c r="D663" s="1050"/>
      <c r="E663" s="1050"/>
      <c r="F663" s="1049"/>
      <c r="G663" s="1457"/>
      <c r="H663" s="1049"/>
      <c r="I663" s="1049"/>
      <c r="J663" s="1050"/>
      <c r="K663" s="1050"/>
      <c r="L663" s="1043"/>
      <c r="M663" s="1051"/>
      <c r="N663" s="1051"/>
      <c r="O663" s="1052"/>
      <c r="P663" s="1051"/>
      <c r="Q663" s="1051"/>
      <c r="R663" s="1052"/>
      <c r="S663" s="1051"/>
      <c r="T663" s="1051"/>
      <c r="U663" s="1052"/>
      <c r="V663" s="1051"/>
      <c r="W663" s="1051"/>
      <c r="X663" s="1052"/>
      <c r="Y663" s="1053"/>
      <c r="Z663" s="1051"/>
      <c r="AA663" s="1051"/>
      <c r="AB663" s="1052"/>
      <c r="AC663" s="1051"/>
      <c r="AD663" s="1051"/>
      <c r="AE663" s="1052"/>
      <c r="AF663" s="1051"/>
      <c r="AG663" s="1051"/>
      <c r="AH663" s="1051"/>
      <c r="AI663" s="1051"/>
      <c r="AJ663" s="1052"/>
      <c r="AK663" s="1051"/>
      <c r="AL663" s="1051"/>
      <c r="AM663" s="1052"/>
      <c r="AN663" s="1051"/>
      <c r="AO663" s="1051"/>
      <c r="AP663" s="1052"/>
      <c r="AQ663" s="1051"/>
      <c r="AR663" s="1051"/>
      <c r="AS663" s="1052"/>
      <c r="AT663" s="1051"/>
      <c r="AU663" s="1051"/>
      <c r="AV663" s="1052"/>
      <c r="AW663" s="1051"/>
      <c r="AX663" s="1051"/>
      <c r="AY663" s="1053"/>
      <c r="AZ663" s="1051"/>
      <c r="BA663" s="1051"/>
      <c r="BB663" s="1053"/>
      <c r="BC663" s="1051"/>
      <c r="BD663" s="1051"/>
      <c r="BE663" s="1053"/>
      <c r="BF663" s="1051"/>
      <c r="BG663" s="1051"/>
      <c r="BH663" s="1053"/>
      <c r="BI663" s="1052"/>
      <c r="BJ663" s="1052"/>
      <c r="BK663" s="1052"/>
      <c r="BL663" s="1052"/>
      <c r="BM663" s="1052"/>
      <c r="BN663" s="1054"/>
      <c r="BO663" s="1076">
        <f t="shared" si="21"/>
        <v>0</v>
      </c>
      <c r="BP663" s="1051"/>
      <c r="BQ663" s="1052"/>
      <c r="BR663" s="1054"/>
      <c r="BS663" s="1053"/>
      <c r="BT663" s="1051"/>
      <c r="BU663" s="1051"/>
      <c r="BV663" s="1051"/>
      <c r="BW663" s="1052"/>
      <c r="BX663" s="1052"/>
      <c r="BY663" s="1052"/>
      <c r="BZ663" s="1052"/>
      <c r="CA663" s="1052"/>
      <c r="CB663" s="1053"/>
      <c r="CC663" s="1053"/>
      <c r="CD663" s="1053"/>
      <c r="CE663" s="1053"/>
      <c r="CF663" s="1053"/>
      <c r="CG663" s="1053"/>
      <c r="CH663" s="1053"/>
      <c r="CI663" s="1123"/>
      <c r="CJ663" s="1123"/>
      <c r="CK663" s="1123"/>
      <c r="CL663" s="1123"/>
      <c r="CM663" s="1123"/>
      <c r="CN663" s="1123"/>
      <c r="CO663" s="1123"/>
      <c r="CP663" s="1123"/>
      <c r="CQ663" s="1123"/>
      <c r="CR663" s="1123"/>
      <c r="CS663" s="1123"/>
      <c r="CT663" s="1123"/>
      <c r="CU663" s="1123"/>
      <c r="CV663" s="1123"/>
      <c r="CW663" s="1123"/>
      <c r="CX663" s="1123"/>
      <c r="CY663" s="1123"/>
      <c r="CZ663" s="1114"/>
      <c r="DA663" s="1114"/>
      <c r="DB663" s="1114"/>
      <c r="DC663" s="1114"/>
      <c r="DD663" s="1114"/>
      <c r="DE663" s="1114"/>
      <c r="DF663" s="1114"/>
      <c r="DG663" s="1114"/>
      <c r="DH663" s="1114"/>
      <c r="DI663" s="1114"/>
      <c r="DJ663" s="1114"/>
      <c r="DK663" s="1114"/>
      <c r="DL663" s="1114"/>
      <c r="DM663" s="1114"/>
      <c r="DN663" s="1114"/>
      <c r="DO663" s="1114"/>
      <c r="DP663" s="1114"/>
      <c r="DQ663" s="1114"/>
      <c r="DR663" s="1114"/>
      <c r="DS663" s="1114"/>
      <c r="DT663" s="1114"/>
      <c r="DU663" s="1114"/>
      <c r="DV663" s="1115"/>
      <c r="DW663" s="1116"/>
      <c r="DX663" s="1116"/>
      <c r="DY663" s="1116"/>
      <c r="DZ663" s="1116"/>
      <c r="EA663" s="1116"/>
      <c r="EB663" s="1116"/>
      <c r="EC663" s="1116"/>
      <c r="ED663" s="1116"/>
      <c r="EE663" s="1116"/>
      <c r="EF663" s="1116"/>
      <c r="EG663" s="1116"/>
      <c r="EH663" s="1116"/>
      <c r="EI663" s="1116"/>
      <c r="EJ663" s="1116"/>
      <c r="EK663" s="1116"/>
      <c r="EL663" s="1116"/>
      <c r="EM663" s="1116"/>
      <c r="EN663" s="1116"/>
      <c r="EO663" s="1116"/>
      <c r="EP663" s="1116"/>
      <c r="EQ663" s="1116"/>
      <c r="ER663" s="1116"/>
      <c r="ES663" s="1116"/>
    </row>
    <row r="664" spans="1:149" ht="15" customHeight="1">
      <c r="A664" s="1185">
        <v>649</v>
      </c>
      <c r="B664" s="1041"/>
      <c r="C664" s="1050"/>
      <c r="D664" s="1050"/>
      <c r="E664" s="1050"/>
      <c r="F664" s="1049"/>
      <c r="G664" s="1457"/>
      <c r="H664" s="1049"/>
      <c r="I664" s="1049"/>
      <c r="J664" s="1050"/>
      <c r="K664" s="1050"/>
      <c r="L664" s="1043"/>
      <c r="M664" s="1051"/>
      <c r="N664" s="1051"/>
      <c r="O664" s="1052"/>
      <c r="P664" s="1051"/>
      <c r="Q664" s="1051"/>
      <c r="R664" s="1052"/>
      <c r="S664" s="1051"/>
      <c r="T664" s="1051"/>
      <c r="U664" s="1052"/>
      <c r="V664" s="1051"/>
      <c r="W664" s="1051"/>
      <c r="X664" s="1052"/>
      <c r="Y664" s="1053"/>
      <c r="Z664" s="1051"/>
      <c r="AA664" s="1051"/>
      <c r="AB664" s="1052"/>
      <c r="AC664" s="1051"/>
      <c r="AD664" s="1051"/>
      <c r="AE664" s="1052"/>
      <c r="AF664" s="1051"/>
      <c r="AG664" s="1051"/>
      <c r="AH664" s="1051"/>
      <c r="AI664" s="1051"/>
      <c r="AJ664" s="1052"/>
      <c r="AK664" s="1051"/>
      <c r="AL664" s="1051"/>
      <c r="AM664" s="1052"/>
      <c r="AN664" s="1051"/>
      <c r="AO664" s="1051"/>
      <c r="AP664" s="1052"/>
      <c r="AQ664" s="1051"/>
      <c r="AR664" s="1051"/>
      <c r="AS664" s="1052"/>
      <c r="AT664" s="1051"/>
      <c r="AU664" s="1051"/>
      <c r="AV664" s="1052"/>
      <c r="AW664" s="1051"/>
      <c r="AX664" s="1051"/>
      <c r="AY664" s="1053"/>
      <c r="AZ664" s="1051"/>
      <c r="BA664" s="1051"/>
      <c r="BB664" s="1053"/>
      <c r="BC664" s="1051"/>
      <c r="BD664" s="1051"/>
      <c r="BE664" s="1053"/>
      <c r="BF664" s="1051"/>
      <c r="BG664" s="1051"/>
      <c r="BH664" s="1053"/>
      <c r="BI664" s="1052"/>
      <c r="BJ664" s="1052"/>
      <c r="BK664" s="1052"/>
      <c r="BL664" s="1052"/>
      <c r="BM664" s="1052"/>
      <c r="BN664" s="1054"/>
      <c r="BO664" s="1076">
        <f t="shared" si="21"/>
        <v>0</v>
      </c>
      <c r="BP664" s="1051"/>
      <c r="BQ664" s="1052"/>
      <c r="BR664" s="1054"/>
      <c r="BS664" s="1053"/>
      <c r="BT664" s="1051"/>
      <c r="BU664" s="1051"/>
      <c r="BV664" s="1051"/>
      <c r="BW664" s="1052"/>
      <c r="BX664" s="1052"/>
      <c r="BY664" s="1052"/>
      <c r="BZ664" s="1052"/>
      <c r="CA664" s="1052"/>
      <c r="CB664" s="1053"/>
      <c r="CC664" s="1053"/>
      <c r="CD664" s="1053"/>
      <c r="CE664" s="1053"/>
      <c r="CF664" s="1053"/>
      <c r="CG664" s="1053"/>
      <c r="CH664" s="1053"/>
      <c r="CI664" s="1123"/>
      <c r="CJ664" s="1123"/>
      <c r="CK664" s="1123"/>
      <c r="CL664" s="1123"/>
      <c r="CM664" s="1123"/>
      <c r="CN664" s="1123"/>
      <c r="CO664" s="1123"/>
      <c r="CP664" s="1123"/>
      <c r="CQ664" s="1123"/>
      <c r="CR664" s="1123"/>
      <c r="CS664" s="1123"/>
      <c r="CT664" s="1123"/>
      <c r="CU664" s="1123"/>
      <c r="CV664" s="1123"/>
      <c r="CW664" s="1123"/>
      <c r="CX664" s="1123"/>
      <c r="CY664" s="1123"/>
      <c r="CZ664" s="1114"/>
      <c r="DA664" s="1114"/>
      <c r="DB664" s="1114"/>
      <c r="DC664" s="1114"/>
      <c r="DD664" s="1114"/>
      <c r="DE664" s="1114"/>
      <c r="DF664" s="1114"/>
      <c r="DG664" s="1114"/>
      <c r="DH664" s="1114"/>
      <c r="DI664" s="1114"/>
      <c r="DJ664" s="1114"/>
      <c r="DK664" s="1114"/>
      <c r="DL664" s="1114"/>
      <c r="DM664" s="1114"/>
      <c r="DN664" s="1114"/>
      <c r="DO664" s="1114"/>
      <c r="DP664" s="1114"/>
      <c r="DQ664" s="1114"/>
      <c r="DR664" s="1114"/>
      <c r="DS664" s="1114"/>
      <c r="DT664" s="1114"/>
      <c r="DU664" s="1114"/>
      <c r="DV664" s="1115"/>
      <c r="DW664" s="1116"/>
      <c r="DX664" s="1116"/>
      <c r="DY664" s="1116"/>
      <c r="DZ664" s="1116"/>
      <c r="EA664" s="1116"/>
      <c r="EB664" s="1116"/>
      <c r="EC664" s="1116"/>
      <c r="ED664" s="1116"/>
      <c r="EE664" s="1116"/>
      <c r="EF664" s="1116"/>
      <c r="EG664" s="1116"/>
      <c r="EH664" s="1116"/>
      <c r="EI664" s="1116"/>
      <c r="EJ664" s="1116"/>
      <c r="EK664" s="1116"/>
      <c r="EL664" s="1116"/>
      <c r="EM664" s="1116"/>
      <c r="EN664" s="1116"/>
      <c r="EO664" s="1116"/>
      <c r="EP664" s="1116"/>
      <c r="EQ664" s="1116"/>
      <c r="ER664" s="1116"/>
      <c r="ES664" s="1116"/>
    </row>
    <row r="665" spans="1:149" ht="15" customHeight="1">
      <c r="A665" s="1185">
        <v>650</v>
      </c>
      <c r="B665" s="1041"/>
      <c r="C665" s="1050"/>
      <c r="D665" s="1050"/>
      <c r="E665" s="1050"/>
      <c r="F665" s="1049"/>
      <c r="G665" s="1457"/>
      <c r="H665" s="1049"/>
      <c r="I665" s="1049"/>
      <c r="J665" s="1050"/>
      <c r="K665" s="1050"/>
      <c r="L665" s="1043"/>
      <c r="M665" s="1051"/>
      <c r="N665" s="1051"/>
      <c r="O665" s="1052"/>
      <c r="P665" s="1051"/>
      <c r="Q665" s="1051"/>
      <c r="R665" s="1052"/>
      <c r="S665" s="1051"/>
      <c r="T665" s="1051"/>
      <c r="U665" s="1052"/>
      <c r="V665" s="1051"/>
      <c r="W665" s="1051"/>
      <c r="X665" s="1052"/>
      <c r="Y665" s="1053"/>
      <c r="Z665" s="1051"/>
      <c r="AA665" s="1051"/>
      <c r="AB665" s="1052"/>
      <c r="AC665" s="1051"/>
      <c r="AD665" s="1051"/>
      <c r="AE665" s="1052"/>
      <c r="AF665" s="1051"/>
      <c r="AG665" s="1051"/>
      <c r="AH665" s="1051"/>
      <c r="AI665" s="1051"/>
      <c r="AJ665" s="1052"/>
      <c r="AK665" s="1051"/>
      <c r="AL665" s="1051"/>
      <c r="AM665" s="1052"/>
      <c r="AN665" s="1051"/>
      <c r="AO665" s="1051"/>
      <c r="AP665" s="1052"/>
      <c r="AQ665" s="1051"/>
      <c r="AR665" s="1051"/>
      <c r="AS665" s="1052"/>
      <c r="AT665" s="1051"/>
      <c r="AU665" s="1051"/>
      <c r="AV665" s="1052"/>
      <c r="AW665" s="1051"/>
      <c r="AX665" s="1051"/>
      <c r="AY665" s="1053"/>
      <c r="AZ665" s="1051"/>
      <c r="BA665" s="1051"/>
      <c r="BB665" s="1053"/>
      <c r="BC665" s="1051"/>
      <c r="BD665" s="1051"/>
      <c r="BE665" s="1053"/>
      <c r="BF665" s="1051"/>
      <c r="BG665" s="1051"/>
      <c r="BH665" s="1053"/>
      <c r="BI665" s="1052"/>
      <c r="BJ665" s="1052"/>
      <c r="BK665" s="1052"/>
      <c r="BL665" s="1052"/>
      <c r="BM665" s="1052"/>
      <c r="BN665" s="1054"/>
      <c r="BO665" s="1076">
        <f t="shared" si="21"/>
        <v>0</v>
      </c>
      <c r="BP665" s="1051"/>
      <c r="BQ665" s="1052"/>
      <c r="BR665" s="1054"/>
      <c r="BS665" s="1053"/>
      <c r="BT665" s="1051"/>
      <c r="BU665" s="1051"/>
      <c r="BV665" s="1051"/>
      <c r="BW665" s="1052"/>
      <c r="BX665" s="1052"/>
      <c r="BY665" s="1052"/>
      <c r="BZ665" s="1052"/>
      <c r="CA665" s="1052"/>
      <c r="CB665" s="1053"/>
      <c r="CC665" s="1053"/>
      <c r="CD665" s="1053"/>
      <c r="CE665" s="1053"/>
      <c r="CF665" s="1053"/>
      <c r="CG665" s="1053"/>
      <c r="CH665" s="1053"/>
      <c r="CI665" s="1123"/>
      <c r="CJ665" s="1123"/>
      <c r="CK665" s="1123"/>
      <c r="CL665" s="1123"/>
      <c r="CM665" s="1123"/>
      <c r="CN665" s="1123"/>
      <c r="CO665" s="1123"/>
      <c r="CP665" s="1123"/>
      <c r="CQ665" s="1123"/>
      <c r="CR665" s="1123"/>
      <c r="CS665" s="1123"/>
      <c r="CT665" s="1123"/>
      <c r="CU665" s="1123"/>
      <c r="CV665" s="1123"/>
      <c r="CW665" s="1123"/>
      <c r="CX665" s="1123"/>
      <c r="CY665" s="1123"/>
      <c r="CZ665" s="1114"/>
      <c r="DA665" s="1114"/>
      <c r="DB665" s="1114"/>
      <c r="DC665" s="1114"/>
      <c r="DD665" s="1114"/>
      <c r="DE665" s="1114"/>
      <c r="DF665" s="1114"/>
      <c r="DG665" s="1114"/>
      <c r="DH665" s="1114"/>
      <c r="DI665" s="1114"/>
      <c r="DJ665" s="1114"/>
      <c r="DK665" s="1114"/>
      <c r="DL665" s="1114"/>
      <c r="DM665" s="1114"/>
      <c r="DN665" s="1114"/>
      <c r="DO665" s="1114"/>
      <c r="DP665" s="1114"/>
      <c r="DQ665" s="1114"/>
      <c r="DR665" s="1114"/>
      <c r="DS665" s="1114"/>
      <c r="DT665" s="1114"/>
      <c r="DU665" s="1114"/>
      <c r="DV665" s="1115"/>
      <c r="DW665" s="1116"/>
      <c r="DX665" s="1116"/>
      <c r="DY665" s="1116"/>
      <c r="DZ665" s="1116"/>
      <c r="EA665" s="1116"/>
      <c r="EB665" s="1116"/>
      <c r="EC665" s="1116"/>
      <c r="ED665" s="1116"/>
      <c r="EE665" s="1116"/>
      <c r="EF665" s="1116"/>
      <c r="EG665" s="1116"/>
      <c r="EH665" s="1116"/>
      <c r="EI665" s="1116"/>
      <c r="EJ665" s="1116"/>
      <c r="EK665" s="1116"/>
      <c r="EL665" s="1116"/>
      <c r="EM665" s="1116"/>
      <c r="EN665" s="1116"/>
      <c r="EO665" s="1116"/>
      <c r="EP665" s="1116"/>
      <c r="EQ665" s="1116"/>
      <c r="ER665" s="1116"/>
      <c r="ES665" s="1116"/>
    </row>
    <row r="666" spans="1:149" ht="15" customHeight="1">
      <c r="A666" s="1185">
        <v>651</v>
      </c>
      <c r="B666" s="1041"/>
      <c r="C666" s="1050"/>
      <c r="D666" s="1050"/>
      <c r="E666" s="1050"/>
      <c r="F666" s="1049"/>
      <c r="G666" s="1457"/>
      <c r="H666" s="1049"/>
      <c r="I666" s="1049"/>
      <c r="J666" s="1050"/>
      <c r="K666" s="1050"/>
      <c r="L666" s="1043"/>
      <c r="M666" s="1051"/>
      <c r="N666" s="1051"/>
      <c r="O666" s="1052"/>
      <c r="P666" s="1051"/>
      <c r="Q666" s="1051"/>
      <c r="R666" s="1052"/>
      <c r="S666" s="1051"/>
      <c r="T666" s="1051"/>
      <c r="U666" s="1052"/>
      <c r="V666" s="1051"/>
      <c r="W666" s="1051"/>
      <c r="X666" s="1052"/>
      <c r="Y666" s="1053"/>
      <c r="Z666" s="1051"/>
      <c r="AA666" s="1051"/>
      <c r="AB666" s="1052"/>
      <c r="AC666" s="1051"/>
      <c r="AD666" s="1051"/>
      <c r="AE666" s="1052"/>
      <c r="AF666" s="1051"/>
      <c r="AG666" s="1051"/>
      <c r="AH666" s="1051"/>
      <c r="AI666" s="1051"/>
      <c r="AJ666" s="1052"/>
      <c r="AK666" s="1051"/>
      <c r="AL666" s="1051"/>
      <c r="AM666" s="1052"/>
      <c r="AN666" s="1051"/>
      <c r="AO666" s="1051"/>
      <c r="AP666" s="1052"/>
      <c r="AQ666" s="1051"/>
      <c r="AR666" s="1051"/>
      <c r="AS666" s="1052"/>
      <c r="AT666" s="1051"/>
      <c r="AU666" s="1051"/>
      <c r="AV666" s="1052"/>
      <c r="AW666" s="1051"/>
      <c r="AX666" s="1051"/>
      <c r="AY666" s="1053"/>
      <c r="AZ666" s="1051"/>
      <c r="BA666" s="1051"/>
      <c r="BB666" s="1053"/>
      <c r="BC666" s="1051"/>
      <c r="BD666" s="1051"/>
      <c r="BE666" s="1053"/>
      <c r="BF666" s="1051"/>
      <c r="BG666" s="1051"/>
      <c r="BH666" s="1053"/>
      <c r="BI666" s="1052"/>
      <c r="BJ666" s="1052"/>
      <c r="BK666" s="1052"/>
      <c r="BL666" s="1052"/>
      <c r="BM666" s="1052"/>
      <c r="BN666" s="1054"/>
      <c r="BO666" s="1076">
        <f t="shared" si="21"/>
        <v>0</v>
      </c>
      <c r="BP666" s="1051"/>
      <c r="BQ666" s="1052"/>
      <c r="BR666" s="1054"/>
      <c r="BS666" s="1053"/>
      <c r="BT666" s="1051"/>
      <c r="BU666" s="1051"/>
      <c r="BV666" s="1051"/>
      <c r="BW666" s="1052"/>
      <c r="BX666" s="1052"/>
      <c r="BY666" s="1052"/>
      <c r="BZ666" s="1052"/>
      <c r="CA666" s="1052"/>
      <c r="CB666" s="1053"/>
      <c r="CC666" s="1053"/>
      <c r="CD666" s="1053"/>
      <c r="CE666" s="1053"/>
      <c r="CF666" s="1053"/>
      <c r="CG666" s="1053"/>
      <c r="CH666" s="1053"/>
      <c r="CI666" s="1123"/>
      <c r="CJ666" s="1123"/>
      <c r="CK666" s="1123"/>
      <c r="CL666" s="1123"/>
      <c r="CM666" s="1123"/>
      <c r="CN666" s="1123"/>
      <c r="CO666" s="1123"/>
      <c r="CP666" s="1123"/>
      <c r="CQ666" s="1123"/>
      <c r="CR666" s="1123"/>
      <c r="CS666" s="1123"/>
      <c r="CT666" s="1123"/>
      <c r="CU666" s="1123"/>
      <c r="CV666" s="1123"/>
      <c r="CW666" s="1123"/>
      <c r="CX666" s="1123"/>
      <c r="CY666" s="1123"/>
      <c r="CZ666" s="1114"/>
      <c r="DA666" s="1114"/>
      <c r="DB666" s="1114"/>
      <c r="DC666" s="1114"/>
      <c r="DD666" s="1114"/>
      <c r="DE666" s="1114"/>
      <c r="DF666" s="1114"/>
      <c r="DG666" s="1114"/>
      <c r="DH666" s="1114"/>
      <c r="DI666" s="1114"/>
      <c r="DJ666" s="1114"/>
      <c r="DK666" s="1114"/>
      <c r="DL666" s="1114"/>
      <c r="DM666" s="1114"/>
      <c r="DN666" s="1114"/>
      <c r="DO666" s="1114"/>
      <c r="DP666" s="1114"/>
      <c r="DQ666" s="1114"/>
      <c r="DR666" s="1114"/>
      <c r="DS666" s="1114"/>
      <c r="DT666" s="1114"/>
      <c r="DU666" s="1114"/>
      <c r="DV666" s="1115"/>
      <c r="DW666" s="1116"/>
      <c r="DX666" s="1116"/>
      <c r="DY666" s="1116"/>
      <c r="DZ666" s="1116"/>
      <c r="EA666" s="1116"/>
      <c r="EB666" s="1116"/>
      <c r="EC666" s="1116"/>
      <c r="ED666" s="1116"/>
      <c r="EE666" s="1116"/>
      <c r="EF666" s="1116"/>
      <c r="EG666" s="1116"/>
      <c r="EH666" s="1116"/>
      <c r="EI666" s="1116"/>
      <c r="EJ666" s="1116"/>
      <c r="EK666" s="1116"/>
      <c r="EL666" s="1116"/>
      <c r="EM666" s="1116"/>
      <c r="EN666" s="1116"/>
      <c r="EO666" s="1116"/>
      <c r="EP666" s="1116"/>
      <c r="EQ666" s="1116"/>
      <c r="ER666" s="1116"/>
      <c r="ES666" s="1116"/>
    </row>
    <row r="667" spans="1:149" ht="15" customHeight="1">
      <c r="A667" s="1185">
        <v>652</v>
      </c>
      <c r="B667" s="1041"/>
      <c r="C667" s="1050"/>
      <c r="D667" s="1050"/>
      <c r="E667" s="1050"/>
      <c r="F667" s="1049"/>
      <c r="G667" s="1457"/>
      <c r="H667" s="1049"/>
      <c r="I667" s="1049"/>
      <c r="J667" s="1050"/>
      <c r="K667" s="1050"/>
      <c r="L667" s="1043"/>
      <c r="M667" s="1051"/>
      <c r="N667" s="1051"/>
      <c r="O667" s="1052"/>
      <c r="P667" s="1051"/>
      <c r="Q667" s="1051"/>
      <c r="R667" s="1052"/>
      <c r="S667" s="1051"/>
      <c r="T667" s="1051"/>
      <c r="U667" s="1052"/>
      <c r="V667" s="1051"/>
      <c r="W667" s="1051"/>
      <c r="X667" s="1052"/>
      <c r="Y667" s="1053"/>
      <c r="Z667" s="1051"/>
      <c r="AA667" s="1051"/>
      <c r="AB667" s="1052"/>
      <c r="AC667" s="1051"/>
      <c r="AD667" s="1051"/>
      <c r="AE667" s="1052"/>
      <c r="AF667" s="1051"/>
      <c r="AG667" s="1051"/>
      <c r="AH667" s="1051"/>
      <c r="AI667" s="1051"/>
      <c r="AJ667" s="1052"/>
      <c r="AK667" s="1051"/>
      <c r="AL667" s="1051"/>
      <c r="AM667" s="1052"/>
      <c r="AN667" s="1051"/>
      <c r="AO667" s="1051"/>
      <c r="AP667" s="1052"/>
      <c r="AQ667" s="1051"/>
      <c r="AR667" s="1051"/>
      <c r="AS667" s="1052"/>
      <c r="AT667" s="1051"/>
      <c r="AU667" s="1051"/>
      <c r="AV667" s="1052"/>
      <c r="AW667" s="1051"/>
      <c r="AX667" s="1051"/>
      <c r="AY667" s="1053"/>
      <c r="AZ667" s="1051"/>
      <c r="BA667" s="1051"/>
      <c r="BB667" s="1053"/>
      <c r="BC667" s="1051"/>
      <c r="BD667" s="1051"/>
      <c r="BE667" s="1053"/>
      <c r="BF667" s="1051"/>
      <c r="BG667" s="1051"/>
      <c r="BH667" s="1053"/>
      <c r="BI667" s="1052"/>
      <c r="BJ667" s="1052"/>
      <c r="BK667" s="1052"/>
      <c r="BL667" s="1052"/>
      <c r="BM667" s="1052"/>
      <c r="BN667" s="1054"/>
      <c r="BO667" s="1076">
        <f t="shared" si="21"/>
        <v>0</v>
      </c>
      <c r="BP667" s="1051"/>
      <c r="BQ667" s="1052"/>
      <c r="BR667" s="1054"/>
      <c r="BS667" s="1053"/>
      <c r="BT667" s="1051"/>
      <c r="BU667" s="1051"/>
      <c r="BV667" s="1051"/>
      <c r="BW667" s="1052"/>
      <c r="BX667" s="1052"/>
      <c r="BY667" s="1052"/>
      <c r="BZ667" s="1052"/>
      <c r="CA667" s="1052"/>
      <c r="CB667" s="1053"/>
      <c r="CC667" s="1053"/>
      <c r="CD667" s="1053"/>
      <c r="CE667" s="1053"/>
      <c r="CF667" s="1053"/>
      <c r="CG667" s="1053"/>
      <c r="CH667" s="1053"/>
      <c r="CI667" s="1123"/>
      <c r="CJ667" s="1123"/>
      <c r="CK667" s="1123"/>
      <c r="CL667" s="1123"/>
      <c r="CM667" s="1123"/>
      <c r="CN667" s="1123"/>
      <c r="CO667" s="1123"/>
      <c r="CP667" s="1123"/>
      <c r="CQ667" s="1123"/>
      <c r="CR667" s="1123"/>
      <c r="CS667" s="1123"/>
      <c r="CT667" s="1123"/>
      <c r="CU667" s="1123"/>
      <c r="CV667" s="1123"/>
      <c r="CW667" s="1123"/>
      <c r="CX667" s="1123"/>
      <c r="CY667" s="1123"/>
      <c r="CZ667" s="1114"/>
      <c r="DA667" s="1114"/>
      <c r="DB667" s="1114"/>
      <c r="DC667" s="1114"/>
      <c r="DD667" s="1114"/>
      <c r="DE667" s="1114"/>
      <c r="DF667" s="1114"/>
      <c r="DG667" s="1114"/>
      <c r="DH667" s="1114"/>
      <c r="DI667" s="1114"/>
      <c r="DJ667" s="1114"/>
      <c r="DK667" s="1114"/>
      <c r="DL667" s="1114"/>
      <c r="DM667" s="1114"/>
      <c r="DN667" s="1114"/>
      <c r="DO667" s="1114"/>
      <c r="DP667" s="1114"/>
      <c r="DQ667" s="1114"/>
      <c r="DR667" s="1114"/>
      <c r="DS667" s="1114"/>
      <c r="DT667" s="1114"/>
      <c r="DU667" s="1114"/>
      <c r="DV667" s="1115"/>
      <c r="DW667" s="1116"/>
      <c r="DX667" s="1116"/>
      <c r="DY667" s="1116"/>
      <c r="DZ667" s="1116"/>
      <c r="EA667" s="1116"/>
      <c r="EB667" s="1116"/>
      <c r="EC667" s="1116"/>
      <c r="ED667" s="1116"/>
      <c r="EE667" s="1116"/>
      <c r="EF667" s="1116"/>
      <c r="EG667" s="1116"/>
      <c r="EH667" s="1116"/>
      <c r="EI667" s="1116"/>
      <c r="EJ667" s="1116"/>
      <c r="EK667" s="1116"/>
      <c r="EL667" s="1116"/>
      <c r="EM667" s="1116"/>
      <c r="EN667" s="1116"/>
      <c r="EO667" s="1116"/>
      <c r="EP667" s="1116"/>
      <c r="EQ667" s="1116"/>
      <c r="ER667" s="1116"/>
      <c r="ES667" s="1116"/>
    </row>
    <row r="668" spans="1:149" ht="15" customHeight="1">
      <c r="A668" s="1185">
        <v>653</v>
      </c>
      <c r="B668" s="1041"/>
      <c r="C668" s="1050"/>
      <c r="D668" s="1050"/>
      <c r="E668" s="1050"/>
      <c r="F668" s="1049"/>
      <c r="G668" s="1457"/>
      <c r="H668" s="1049"/>
      <c r="I668" s="1049"/>
      <c r="J668" s="1050"/>
      <c r="K668" s="1050"/>
      <c r="L668" s="1043"/>
      <c r="M668" s="1051"/>
      <c r="N668" s="1051"/>
      <c r="O668" s="1052"/>
      <c r="P668" s="1051"/>
      <c r="Q668" s="1051"/>
      <c r="R668" s="1052"/>
      <c r="S668" s="1051"/>
      <c r="T668" s="1051"/>
      <c r="U668" s="1052"/>
      <c r="V668" s="1051"/>
      <c r="W668" s="1051"/>
      <c r="X668" s="1052"/>
      <c r="Y668" s="1053"/>
      <c r="Z668" s="1051"/>
      <c r="AA668" s="1051"/>
      <c r="AB668" s="1052"/>
      <c r="AC668" s="1051"/>
      <c r="AD668" s="1051"/>
      <c r="AE668" s="1052"/>
      <c r="AF668" s="1051"/>
      <c r="AG668" s="1051"/>
      <c r="AH668" s="1051"/>
      <c r="AI668" s="1051"/>
      <c r="AJ668" s="1052"/>
      <c r="AK668" s="1051"/>
      <c r="AL668" s="1051"/>
      <c r="AM668" s="1052"/>
      <c r="AN668" s="1051"/>
      <c r="AO668" s="1051"/>
      <c r="AP668" s="1052"/>
      <c r="AQ668" s="1051"/>
      <c r="AR668" s="1051"/>
      <c r="AS668" s="1052"/>
      <c r="AT668" s="1051"/>
      <c r="AU668" s="1051"/>
      <c r="AV668" s="1052"/>
      <c r="AW668" s="1051"/>
      <c r="AX668" s="1051"/>
      <c r="AY668" s="1053"/>
      <c r="AZ668" s="1051"/>
      <c r="BA668" s="1051"/>
      <c r="BB668" s="1053"/>
      <c r="BC668" s="1051"/>
      <c r="BD668" s="1051"/>
      <c r="BE668" s="1053"/>
      <c r="BF668" s="1051"/>
      <c r="BG668" s="1051"/>
      <c r="BH668" s="1053"/>
      <c r="BI668" s="1052"/>
      <c r="BJ668" s="1052"/>
      <c r="BK668" s="1052"/>
      <c r="BL668" s="1052"/>
      <c r="BM668" s="1052"/>
      <c r="BN668" s="1054"/>
      <c r="BO668" s="1076">
        <f t="shared" si="21"/>
        <v>0</v>
      </c>
      <c r="BP668" s="1051"/>
      <c r="BQ668" s="1052"/>
      <c r="BR668" s="1054"/>
      <c r="BS668" s="1053"/>
      <c r="BT668" s="1051"/>
      <c r="BU668" s="1051"/>
      <c r="BV668" s="1051"/>
      <c r="BW668" s="1052"/>
      <c r="BX668" s="1052"/>
      <c r="BY668" s="1052"/>
      <c r="BZ668" s="1052"/>
      <c r="CA668" s="1052"/>
      <c r="CB668" s="1053"/>
      <c r="CC668" s="1053"/>
      <c r="CD668" s="1053"/>
      <c r="CE668" s="1053"/>
      <c r="CF668" s="1053"/>
      <c r="CG668" s="1053"/>
      <c r="CH668" s="1053"/>
      <c r="CI668" s="1123"/>
      <c r="CJ668" s="1123"/>
      <c r="CK668" s="1123"/>
      <c r="CL668" s="1123"/>
      <c r="CM668" s="1123"/>
      <c r="CN668" s="1123"/>
      <c r="CO668" s="1123"/>
      <c r="CP668" s="1123"/>
      <c r="CQ668" s="1123"/>
      <c r="CR668" s="1123"/>
      <c r="CS668" s="1123"/>
      <c r="CT668" s="1123"/>
      <c r="CU668" s="1123"/>
      <c r="CV668" s="1123"/>
      <c r="CW668" s="1123"/>
      <c r="CX668" s="1123"/>
      <c r="CY668" s="1123"/>
      <c r="CZ668" s="1114"/>
      <c r="DA668" s="1114"/>
      <c r="DB668" s="1114"/>
      <c r="DC668" s="1114"/>
      <c r="DD668" s="1114"/>
      <c r="DE668" s="1114"/>
      <c r="DF668" s="1114"/>
      <c r="DG668" s="1114"/>
      <c r="DH668" s="1114"/>
      <c r="DI668" s="1114"/>
      <c r="DJ668" s="1114"/>
      <c r="DK668" s="1114"/>
      <c r="DL668" s="1114"/>
      <c r="DM668" s="1114"/>
      <c r="DN668" s="1114"/>
      <c r="DO668" s="1114"/>
      <c r="DP668" s="1114"/>
      <c r="DQ668" s="1114"/>
      <c r="DR668" s="1114"/>
      <c r="DS668" s="1114"/>
      <c r="DT668" s="1114"/>
      <c r="DU668" s="1114"/>
      <c r="DV668" s="1115"/>
      <c r="DW668" s="1116"/>
      <c r="DX668" s="1116"/>
      <c r="DY668" s="1116"/>
      <c r="DZ668" s="1116"/>
      <c r="EA668" s="1116"/>
      <c r="EB668" s="1116"/>
      <c r="EC668" s="1116"/>
      <c r="ED668" s="1116"/>
      <c r="EE668" s="1116"/>
      <c r="EF668" s="1116"/>
      <c r="EG668" s="1116"/>
      <c r="EH668" s="1116"/>
      <c r="EI668" s="1116"/>
      <c r="EJ668" s="1116"/>
      <c r="EK668" s="1116"/>
      <c r="EL668" s="1116"/>
      <c r="EM668" s="1116"/>
      <c r="EN668" s="1116"/>
      <c r="EO668" s="1116"/>
      <c r="EP668" s="1116"/>
      <c r="EQ668" s="1116"/>
      <c r="ER668" s="1116"/>
      <c r="ES668" s="1116"/>
    </row>
    <row r="669" spans="1:149" ht="15" customHeight="1">
      <c r="A669" s="1185">
        <v>654</v>
      </c>
      <c r="B669" s="1041"/>
      <c r="C669" s="1050"/>
      <c r="D669" s="1050"/>
      <c r="E669" s="1050"/>
      <c r="F669" s="1049"/>
      <c r="G669" s="1457"/>
      <c r="H669" s="1049"/>
      <c r="I669" s="1049"/>
      <c r="J669" s="1050"/>
      <c r="K669" s="1050"/>
      <c r="L669" s="1043"/>
      <c r="M669" s="1051"/>
      <c r="N669" s="1051"/>
      <c r="O669" s="1052"/>
      <c r="P669" s="1051"/>
      <c r="Q669" s="1051"/>
      <c r="R669" s="1052"/>
      <c r="S669" s="1051"/>
      <c r="T669" s="1051"/>
      <c r="U669" s="1052"/>
      <c r="V669" s="1051"/>
      <c r="W669" s="1051"/>
      <c r="X669" s="1052"/>
      <c r="Y669" s="1053"/>
      <c r="Z669" s="1051"/>
      <c r="AA669" s="1051"/>
      <c r="AB669" s="1052"/>
      <c r="AC669" s="1051"/>
      <c r="AD669" s="1051"/>
      <c r="AE669" s="1052"/>
      <c r="AF669" s="1051"/>
      <c r="AG669" s="1051"/>
      <c r="AH669" s="1051"/>
      <c r="AI669" s="1051"/>
      <c r="AJ669" s="1052"/>
      <c r="AK669" s="1051"/>
      <c r="AL669" s="1051"/>
      <c r="AM669" s="1052"/>
      <c r="AN669" s="1051"/>
      <c r="AO669" s="1051"/>
      <c r="AP669" s="1052"/>
      <c r="AQ669" s="1051"/>
      <c r="AR669" s="1051"/>
      <c r="AS669" s="1052"/>
      <c r="AT669" s="1051"/>
      <c r="AU669" s="1051"/>
      <c r="AV669" s="1052"/>
      <c r="AW669" s="1051"/>
      <c r="AX669" s="1051"/>
      <c r="AY669" s="1053"/>
      <c r="AZ669" s="1051"/>
      <c r="BA669" s="1051"/>
      <c r="BB669" s="1053"/>
      <c r="BC669" s="1051"/>
      <c r="BD669" s="1051"/>
      <c r="BE669" s="1053"/>
      <c r="BF669" s="1051"/>
      <c r="BG669" s="1051"/>
      <c r="BH669" s="1053"/>
      <c r="BI669" s="1052"/>
      <c r="BJ669" s="1052"/>
      <c r="BK669" s="1052"/>
      <c r="BL669" s="1052"/>
      <c r="BM669" s="1052"/>
      <c r="BN669" s="1054"/>
      <c r="BO669" s="1076">
        <f t="shared" si="21"/>
        <v>0</v>
      </c>
      <c r="BP669" s="1051"/>
      <c r="BQ669" s="1052"/>
      <c r="BR669" s="1054"/>
      <c r="BS669" s="1053"/>
      <c r="BT669" s="1051"/>
      <c r="BU669" s="1051"/>
      <c r="BV669" s="1051"/>
      <c r="BW669" s="1052"/>
      <c r="BX669" s="1052"/>
      <c r="BY669" s="1052"/>
      <c r="BZ669" s="1052"/>
      <c r="CA669" s="1052"/>
      <c r="CB669" s="1053"/>
      <c r="CC669" s="1053"/>
      <c r="CD669" s="1053"/>
      <c r="CE669" s="1053"/>
      <c r="CF669" s="1053"/>
      <c r="CG669" s="1053"/>
      <c r="CH669" s="1053"/>
      <c r="CI669" s="1123"/>
      <c r="CJ669" s="1123"/>
      <c r="CK669" s="1123"/>
      <c r="CL669" s="1123"/>
      <c r="CM669" s="1123"/>
      <c r="CN669" s="1123"/>
      <c r="CO669" s="1123"/>
      <c r="CP669" s="1123"/>
      <c r="CQ669" s="1123"/>
      <c r="CR669" s="1123"/>
      <c r="CS669" s="1123"/>
      <c r="CT669" s="1123"/>
      <c r="CU669" s="1123"/>
      <c r="CV669" s="1123"/>
      <c r="CW669" s="1123"/>
      <c r="CX669" s="1123"/>
      <c r="CY669" s="1123"/>
      <c r="CZ669" s="1114"/>
      <c r="DA669" s="1114"/>
      <c r="DB669" s="1114"/>
      <c r="DC669" s="1114"/>
      <c r="DD669" s="1114"/>
      <c r="DE669" s="1114"/>
      <c r="DF669" s="1114"/>
      <c r="DG669" s="1114"/>
      <c r="DH669" s="1114"/>
      <c r="DI669" s="1114"/>
      <c r="DJ669" s="1114"/>
      <c r="DK669" s="1114"/>
      <c r="DL669" s="1114"/>
      <c r="DM669" s="1114"/>
      <c r="DN669" s="1114"/>
      <c r="DO669" s="1114"/>
      <c r="DP669" s="1114"/>
      <c r="DQ669" s="1114"/>
      <c r="DR669" s="1114"/>
      <c r="DS669" s="1114"/>
      <c r="DT669" s="1114"/>
      <c r="DU669" s="1114"/>
      <c r="DV669" s="1115"/>
      <c r="DW669" s="1116"/>
      <c r="DX669" s="1116"/>
      <c r="DY669" s="1116"/>
      <c r="DZ669" s="1116"/>
      <c r="EA669" s="1116"/>
      <c r="EB669" s="1116"/>
      <c r="EC669" s="1116"/>
      <c r="ED669" s="1116"/>
      <c r="EE669" s="1116"/>
      <c r="EF669" s="1116"/>
      <c r="EG669" s="1116"/>
      <c r="EH669" s="1116"/>
      <c r="EI669" s="1116"/>
      <c r="EJ669" s="1116"/>
      <c r="EK669" s="1116"/>
      <c r="EL669" s="1116"/>
      <c r="EM669" s="1116"/>
      <c r="EN669" s="1116"/>
      <c r="EO669" s="1116"/>
      <c r="EP669" s="1116"/>
      <c r="EQ669" s="1116"/>
      <c r="ER669" s="1116"/>
      <c r="ES669" s="1116"/>
    </row>
    <row r="670" spans="1:149" ht="15" customHeight="1">
      <c r="A670" s="1185">
        <v>655</v>
      </c>
      <c r="B670" s="1041"/>
      <c r="C670" s="1050"/>
      <c r="D670" s="1050"/>
      <c r="E670" s="1050"/>
      <c r="F670" s="1049"/>
      <c r="G670" s="1457"/>
      <c r="H670" s="1049"/>
      <c r="I670" s="1049"/>
      <c r="J670" s="1050"/>
      <c r="K670" s="1050"/>
      <c r="L670" s="1043"/>
      <c r="M670" s="1051"/>
      <c r="N670" s="1051"/>
      <c r="O670" s="1052"/>
      <c r="P670" s="1051"/>
      <c r="Q670" s="1051"/>
      <c r="R670" s="1052"/>
      <c r="S670" s="1051"/>
      <c r="T670" s="1051"/>
      <c r="U670" s="1052"/>
      <c r="V670" s="1051"/>
      <c r="W670" s="1051"/>
      <c r="X670" s="1052"/>
      <c r="Y670" s="1053"/>
      <c r="Z670" s="1051"/>
      <c r="AA670" s="1051"/>
      <c r="AB670" s="1052"/>
      <c r="AC670" s="1051"/>
      <c r="AD670" s="1051"/>
      <c r="AE670" s="1052"/>
      <c r="AF670" s="1051"/>
      <c r="AG670" s="1051"/>
      <c r="AH670" s="1051"/>
      <c r="AI670" s="1051"/>
      <c r="AJ670" s="1052"/>
      <c r="AK670" s="1051"/>
      <c r="AL670" s="1051"/>
      <c r="AM670" s="1052"/>
      <c r="AN670" s="1051"/>
      <c r="AO670" s="1051"/>
      <c r="AP670" s="1052"/>
      <c r="AQ670" s="1051"/>
      <c r="AR670" s="1051"/>
      <c r="AS670" s="1052"/>
      <c r="AT670" s="1051"/>
      <c r="AU670" s="1051"/>
      <c r="AV670" s="1052"/>
      <c r="AW670" s="1051"/>
      <c r="AX670" s="1051"/>
      <c r="AY670" s="1053"/>
      <c r="AZ670" s="1051"/>
      <c r="BA670" s="1051"/>
      <c r="BB670" s="1053"/>
      <c r="BC670" s="1051"/>
      <c r="BD670" s="1051"/>
      <c r="BE670" s="1053"/>
      <c r="BF670" s="1051"/>
      <c r="BG670" s="1051"/>
      <c r="BH670" s="1053"/>
      <c r="BI670" s="1052"/>
      <c r="BJ670" s="1052"/>
      <c r="BK670" s="1052"/>
      <c r="BL670" s="1052"/>
      <c r="BM670" s="1052"/>
      <c r="BN670" s="1054"/>
      <c r="BO670" s="1076">
        <f t="shared" si="21"/>
        <v>0</v>
      </c>
      <c r="BP670" s="1051"/>
      <c r="BQ670" s="1052"/>
      <c r="BR670" s="1054"/>
      <c r="BS670" s="1053"/>
      <c r="BT670" s="1051"/>
      <c r="BU670" s="1051"/>
      <c r="BV670" s="1051"/>
      <c r="BW670" s="1052"/>
      <c r="BX670" s="1052"/>
      <c r="BY670" s="1052"/>
      <c r="BZ670" s="1052"/>
      <c r="CA670" s="1052"/>
      <c r="CB670" s="1053"/>
      <c r="CC670" s="1053"/>
      <c r="CD670" s="1053"/>
      <c r="CE670" s="1053"/>
      <c r="CF670" s="1053"/>
      <c r="CG670" s="1053"/>
      <c r="CH670" s="1053"/>
      <c r="CI670" s="1123"/>
      <c r="CJ670" s="1123"/>
      <c r="CK670" s="1123"/>
      <c r="CL670" s="1123"/>
      <c r="CM670" s="1123"/>
      <c r="CN670" s="1123"/>
      <c r="CO670" s="1123"/>
      <c r="CP670" s="1123"/>
      <c r="CQ670" s="1123"/>
      <c r="CR670" s="1123"/>
      <c r="CS670" s="1123"/>
      <c r="CT670" s="1123"/>
      <c r="CU670" s="1123"/>
      <c r="CV670" s="1123"/>
      <c r="CW670" s="1123"/>
      <c r="CX670" s="1123"/>
      <c r="CY670" s="1123"/>
      <c r="CZ670" s="1114"/>
      <c r="DA670" s="1114"/>
      <c r="DB670" s="1114"/>
      <c r="DC670" s="1114"/>
      <c r="DD670" s="1114"/>
      <c r="DE670" s="1114"/>
      <c r="DF670" s="1114"/>
      <c r="DG670" s="1114"/>
      <c r="DH670" s="1114"/>
      <c r="DI670" s="1114"/>
      <c r="DJ670" s="1114"/>
      <c r="DK670" s="1114"/>
      <c r="DL670" s="1114"/>
      <c r="DM670" s="1114"/>
      <c r="DN670" s="1114"/>
      <c r="DO670" s="1114"/>
      <c r="DP670" s="1114"/>
      <c r="DQ670" s="1114"/>
      <c r="DR670" s="1114"/>
      <c r="DS670" s="1114"/>
      <c r="DT670" s="1114"/>
      <c r="DU670" s="1114"/>
      <c r="DV670" s="1115"/>
      <c r="DW670" s="1116"/>
      <c r="DX670" s="1116"/>
      <c r="DY670" s="1116"/>
      <c r="DZ670" s="1116"/>
      <c r="EA670" s="1116"/>
      <c r="EB670" s="1116"/>
      <c r="EC670" s="1116"/>
      <c r="ED670" s="1116"/>
      <c r="EE670" s="1116"/>
      <c r="EF670" s="1116"/>
      <c r="EG670" s="1116"/>
      <c r="EH670" s="1116"/>
      <c r="EI670" s="1116"/>
      <c r="EJ670" s="1116"/>
      <c r="EK670" s="1116"/>
      <c r="EL670" s="1116"/>
      <c r="EM670" s="1116"/>
      <c r="EN670" s="1116"/>
      <c r="EO670" s="1116"/>
      <c r="EP670" s="1116"/>
      <c r="EQ670" s="1116"/>
      <c r="ER670" s="1116"/>
      <c r="ES670" s="1116"/>
    </row>
    <row r="671" spans="1:149" ht="15" customHeight="1">
      <c r="A671" s="1185">
        <v>656</v>
      </c>
      <c r="B671" s="1041"/>
      <c r="C671" s="1050"/>
      <c r="D671" s="1050"/>
      <c r="E671" s="1050"/>
      <c r="F671" s="1049"/>
      <c r="G671" s="1457"/>
      <c r="H671" s="1049"/>
      <c r="I671" s="1049"/>
      <c r="J671" s="1050"/>
      <c r="K671" s="1050"/>
      <c r="L671" s="1043"/>
      <c r="M671" s="1051"/>
      <c r="N671" s="1051"/>
      <c r="O671" s="1052"/>
      <c r="P671" s="1051"/>
      <c r="Q671" s="1051"/>
      <c r="R671" s="1052"/>
      <c r="S671" s="1051"/>
      <c r="T671" s="1051"/>
      <c r="U671" s="1052"/>
      <c r="V671" s="1051"/>
      <c r="W671" s="1051"/>
      <c r="X671" s="1052"/>
      <c r="Y671" s="1053"/>
      <c r="Z671" s="1051"/>
      <c r="AA671" s="1051"/>
      <c r="AB671" s="1052"/>
      <c r="AC671" s="1051"/>
      <c r="AD671" s="1051"/>
      <c r="AE671" s="1052"/>
      <c r="AF671" s="1051"/>
      <c r="AG671" s="1051"/>
      <c r="AH671" s="1051"/>
      <c r="AI671" s="1051"/>
      <c r="AJ671" s="1052"/>
      <c r="AK671" s="1051"/>
      <c r="AL671" s="1051"/>
      <c r="AM671" s="1052"/>
      <c r="AN671" s="1051"/>
      <c r="AO671" s="1051"/>
      <c r="AP671" s="1052"/>
      <c r="AQ671" s="1051"/>
      <c r="AR671" s="1051"/>
      <c r="AS671" s="1052"/>
      <c r="AT671" s="1051"/>
      <c r="AU671" s="1051"/>
      <c r="AV671" s="1052"/>
      <c r="AW671" s="1051"/>
      <c r="AX671" s="1051"/>
      <c r="AY671" s="1053"/>
      <c r="AZ671" s="1051"/>
      <c r="BA671" s="1051"/>
      <c r="BB671" s="1053"/>
      <c r="BC671" s="1051"/>
      <c r="BD671" s="1051"/>
      <c r="BE671" s="1053"/>
      <c r="BF671" s="1051"/>
      <c r="BG671" s="1051"/>
      <c r="BH671" s="1053"/>
      <c r="BI671" s="1052"/>
      <c r="BJ671" s="1052"/>
      <c r="BK671" s="1052"/>
      <c r="BL671" s="1052"/>
      <c r="BM671" s="1052"/>
      <c r="BN671" s="1054"/>
      <c r="BO671" s="1076">
        <f t="shared" si="21"/>
        <v>0</v>
      </c>
      <c r="BP671" s="1051"/>
      <c r="BQ671" s="1052"/>
      <c r="BR671" s="1054"/>
      <c r="BS671" s="1053"/>
      <c r="BT671" s="1051"/>
      <c r="BU671" s="1051"/>
      <c r="BV671" s="1051"/>
      <c r="BW671" s="1052"/>
      <c r="BX671" s="1052"/>
      <c r="BY671" s="1052"/>
      <c r="BZ671" s="1052"/>
      <c r="CA671" s="1052"/>
      <c r="CB671" s="1053"/>
      <c r="CC671" s="1053"/>
      <c r="CD671" s="1053"/>
      <c r="CE671" s="1053"/>
      <c r="CF671" s="1053"/>
      <c r="CG671" s="1053"/>
      <c r="CH671" s="1053"/>
      <c r="CI671" s="1123"/>
      <c r="CJ671" s="1123"/>
      <c r="CK671" s="1123"/>
      <c r="CL671" s="1123"/>
      <c r="CM671" s="1123"/>
      <c r="CN671" s="1123"/>
      <c r="CO671" s="1123"/>
      <c r="CP671" s="1123"/>
      <c r="CQ671" s="1123"/>
      <c r="CR671" s="1123"/>
      <c r="CS671" s="1123"/>
      <c r="CT671" s="1123"/>
      <c r="CU671" s="1123"/>
      <c r="CV671" s="1123"/>
      <c r="CW671" s="1123"/>
      <c r="CX671" s="1123"/>
      <c r="CY671" s="1123"/>
      <c r="CZ671" s="1114"/>
      <c r="DA671" s="1114"/>
      <c r="DB671" s="1114"/>
      <c r="DC671" s="1114"/>
      <c r="DD671" s="1114"/>
      <c r="DE671" s="1114"/>
      <c r="DF671" s="1114"/>
      <c r="DG671" s="1114"/>
      <c r="DH671" s="1114"/>
      <c r="DI671" s="1114"/>
      <c r="DJ671" s="1114"/>
      <c r="DK671" s="1114"/>
      <c r="DL671" s="1114"/>
      <c r="DM671" s="1114"/>
      <c r="DN671" s="1114"/>
      <c r="DO671" s="1114"/>
      <c r="DP671" s="1114"/>
      <c r="DQ671" s="1114"/>
      <c r="DR671" s="1114"/>
      <c r="DS671" s="1114"/>
      <c r="DT671" s="1114"/>
      <c r="DU671" s="1114"/>
      <c r="DV671" s="1115"/>
      <c r="DW671" s="1116"/>
      <c r="DX671" s="1116"/>
      <c r="DY671" s="1116"/>
      <c r="DZ671" s="1116"/>
      <c r="EA671" s="1116"/>
      <c r="EB671" s="1116"/>
      <c r="EC671" s="1116"/>
      <c r="ED671" s="1116"/>
      <c r="EE671" s="1116"/>
      <c r="EF671" s="1116"/>
      <c r="EG671" s="1116"/>
      <c r="EH671" s="1116"/>
      <c r="EI671" s="1116"/>
      <c r="EJ671" s="1116"/>
      <c r="EK671" s="1116"/>
      <c r="EL671" s="1116"/>
      <c r="EM671" s="1116"/>
      <c r="EN671" s="1116"/>
      <c r="EO671" s="1116"/>
      <c r="EP671" s="1116"/>
      <c r="EQ671" s="1116"/>
      <c r="ER671" s="1116"/>
      <c r="ES671" s="1116"/>
    </row>
    <row r="672" spans="1:149" ht="15" customHeight="1">
      <c r="A672" s="1185">
        <v>657</v>
      </c>
      <c r="B672" s="1041"/>
      <c r="C672" s="1050"/>
      <c r="D672" s="1050"/>
      <c r="E672" s="1050"/>
      <c r="F672" s="1049"/>
      <c r="G672" s="1457"/>
      <c r="H672" s="1049"/>
      <c r="I672" s="1049"/>
      <c r="J672" s="1050"/>
      <c r="K672" s="1050"/>
      <c r="L672" s="1043"/>
      <c r="M672" s="1051"/>
      <c r="N672" s="1051"/>
      <c r="O672" s="1052"/>
      <c r="P672" s="1051"/>
      <c r="Q672" s="1051"/>
      <c r="R672" s="1052"/>
      <c r="S672" s="1051"/>
      <c r="T672" s="1051"/>
      <c r="U672" s="1052"/>
      <c r="V672" s="1051"/>
      <c r="W672" s="1051"/>
      <c r="X672" s="1052"/>
      <c r="Y672" s="1053"/>
      <c r="Z672" s="1051"/>
      <c r="AA672" s="1051"/>
      <c r="AB672" s="1052"/>
      <c r="AC672" s="1051"/>
      <c r="AD672" s="1051"/>
      <c r="AE672" s="1052"/>
      <c r="AF672" s="1051"/>
      <c r="AG672" s="1051"/>
      <c r="AH672" s="1051"/>
      <c r="AI672" s="1051"/>
      <c r="AJ672" s="1052"/>
      <c r="AK672" s="1051"/>
      <c r="AL672" s="1051"/>
      <c r="AM672" s="1052"/>
      <c r="AN672" s="1051"/>
      <c r="AO672" s="1051"/>
      <c r="AP672" s="1052"/>
      <c r="AQ672" s="1051"/>
      <c r="AR672" s="1051"/>
      <c r="AS672" s="1052"/>
      <c r="AT672" s="1051"/>
      <c r="AU672" s="1051"/>
      <c r="AV672" s="1052"/>
      <c r="AW672" s="1051"/>
      <c r="AX672" s="1051"/>
      <c r="AY672" s="1053"/>
      <c r="AZ672" s="1051"/>
      <c r="BA672" s="1051"/>
      <c r="BB672" s="1053"/>
      <c r="BC672" s="1051"/>
      <c r="BD672" s="1051"/>
      <c r="BE672" s="1053"/>
      <c r="BF672" s="1051"/>
      <c r="BG672" s="1051"/>
      <c r="BH672" s="1053"/>
      <c r="BI672" s="1052"/>
      <c r="BJ672" s="1052"/>
      <c r="BK672" s="1052"/>
      <c r="BL672" s="1052"/>
      <c r="BM672" s="1052"/>
      <c r="BN672" s="1054"/>
      <c r="BO672" s="1076">
        <f t="shared" si="21"/>
        <v>0</v>
      </c>
      <c r="BP672" s="1051"/>
      <c r="BQ672" s="1052"/>
      <c r="BR672" s="1054"/>
      <c r="BS672" s="1053"/>
      <c r="BT672" s="1051"/>
      <c r="BU672" s="1051"/>
      <c r="BV672" s="1051"/>
      <c r="BW672" s="1052"/>
      <c r="BX672" s="1052"/>
      <c r="BY672" s="1052"/>
      <c r="BZ672" s="1052"/>
      <c r="CA672" s="1052"/>
      <c r="CB672" s="1053"/>
      <c r="CC672" s="1053"/>
      <c r="CD672" s="1053"/>
      <c r="CE672" s="1053"/>
      <c r="CF672" s="1053"/>
      <c r="CG672" s="1053"/>
      <c r="CH672" s="1053"/>
      <c r="CI672" s="1123"/>
      <c r="CJ672" s="1123"/>
      <c r="CK672" s="1123"/>
      <c r="CL672" s="1123"/>
      <c r="CM672" s="1123"/>
      <c r="CN672" s="1123"/>
      <c r="CO672" s="1123"/>
      <c r="CP672" s="1123"/>
      <c r="CQ672" s="1123"/>
      <c r="CR672" s="1123"/>
      <c r="CS672" s="1123"/>
      <c r="CT672" s="1123"/>
      <c r="CU672" s="1123"/>
      <c r="CV672" s="1123"/>
      <c r="CW672" s="1123"/>
      <c r="CX672" s="1123"/>
      <c r="CY672" s="1123"/>
      <c r="CZ672" s="1114"/>
      <c r="DA672" s="1114"/>
      <c r="DB672" s="1114"/>
      <c r="DC672" s="1114"/>
      <c r="DD672" s="1114"/>
      <c r="DE672" s="1114"/>
      <c r="DF672" s="1114"/>
      <c r="DG672" s="1114"/>
      <c r="DH672" s="1114"/>
      <c r="DI672" s="1114"/>
      <c r="DJ672" s="1114"/>
      <c r="DK672" s="1114"/>
      <c r="DL672" s="1114"/>
      <c r="DM672" s="1114"/>
      <c r="DN672" s="1114"/>
      <c r="DO672" s="1114"/>
      <c r="DP672" s="1114"/>
      <c r="DQ672" s="1114"/>
      <c r="DR672" s="1114"/>
      <c r="DS672" s="1114"/>
      <c r="DT672" s="1114"/>
      <c r="DU672" s="1114"/>
      <c r="DV672" s="1115"/>
      <c r="DW672" s="1116"/>
      <c r="DX672" s="1116"/>
      <c r="DY672" s="1116"/>
      <c r="DZ672" s="1116"/>
      <c r="EA672" s="1116"/>
      <c r="EB672" s="1116"/>
      <c r="EC672" s="1116"/>
      <c r="ED672" s="1116"/>
      <c r="EE672" s="1116"/>
      <c r="EF672" s="1116"/>
      <c r="EG672" s="1116"/>
      <c r="EH672" s="1116"/>
      <c r="EI672" s="1116"/>
      <c r="EJ672" s="1116"/>
      <c r="EK672" s="1116"/>
      <c r="EL672" s="1116"/>
      <c r="EM672" s="1116"/>
      <c r="EN672" s="1116"/>
      <c r="EO672" s="1116"/>
      <c r="EP672" s="1116"/>
      <c r="EQ672" s="1116"/>
      <c r="ER672" s="1116"/>
      <c r="ES672" s="1116"/>
    </row>
    <row r="673" spans="1:149" ht="15" customHeight="1">
      <c r="A673" s="1185">
        <v>658</v>
      </c>
      <c r="B673" s="1041"/>
      <c r="C673" s="1050"/>
      <c r="D673" s="1050"/>
      <c r="E673" s="1050"/>
      <c r="F673" s="1049"/>
      <c r="G673" s="1457"/>
      <c r="H673" s="1049"/>
      <c r="I673" s="1049"/>
      <c r="J673" s="1050"/>
      <c r="K673" s="1050"/>
      <c r="L673" s="1043"/>
      <c r="M673" s="1051"/>
      <c r="N673" s="1051"/>
      <c r="O673" s="1052"/>
      <c r="P673" s="1051"/>
      <c r="Q673" s="1051"/>
      <c r="R673" s="1052"/>
      <c r="S673" s="1051"/>
      <c r="T673" s="1051"/>
      <c r="U673" s="1052"/>
      <c r="V673" s="1051"/>
      <c r="W673" s="1051"/>
      <c r="X673" s="1052"/>
      <c r="Y673" s="1053"/>
      <c r="Z673" s="1051"/>
      <c r="AA673" s="1051"/>
      <c r="AB673" s="1052"/>
      <c r="AC673" s="1051"/>
      <c r="AD673" s="1051"/>
      <c r="AE673" s="1052"/>
      <c r="AF673" s="1051"/>
      <c r="AG673" s="1051"/>
      <c r="AH673" s="1051"/>
      <c r="AI673" s="1051"/>
      <c r="AJ673" s="1052"/>
      <c r="AK673" s="1051"/>
      <c r="AL673" s="1051"/>
      <c r="AM673" s="1052"/>
      <c r="AN673" s="1051"/>
      <c r="AO673" s="1051"/>
      <c r="AP673" s="1052"/>
      <c r="AQ673" s="1051"/>
      <c r="AR673" s="1051"/>
      <c r="AS673" s="1052"/>
      <c r="AT673" s="1051"/>
      <c r="AU673" s="1051"/>
      <c r="AV673" s="1052"/>
      <c r="AW673" s="1051"/>
      <c r="AX673" s="1051"/>
      <c r="AY673" s="1053"/>
      <c r="AZ673" s="1051"/>
      <c r="BA673" s="1051"/>
      <c r="BB673" s="1053"/>
      <c r="BC673" s="1051"/>
      <c r="BD673" s="1051"/>
      <c r="BE673" s="1053"/>
      <c r="BF673" s="1051"/>
      <c r="BG673" s="1051"/>
      <c r="BH673" s="1053"/>
      <c r="BI673" s="1052"/>
      <c r="BJ673" s="1052"/>
      <c r="BK673" s="1052"/>
      <c r="BL673" s="1052"/>
      <c r="BM673" s="1052"/>
      <c r="BN673" s="1054"/>
      <c r="BO673" s="1076">
        <f t="shared" si="21"/>
        <v>0</v>
      </c>
      <c r="BP673" s="1051"/>
      <c r="BQ673" s="1052"/>
      <c r="BR673" s="1054"/>
      <c r="BS673" s="1053"/>
      <c r="BT673" s="1051"/>
      <c r="BU673" s="1051"/>
      <c r="BV673" s="1051"/>
      <c r="BW673" s="1052"/>
      <c r="BX673" s="1052"/>
      <c r="BY673" s="1052"/>
      <c r="BZ673" s="1052"/>
      <c r="CA673" s="1052"/>
      <c r="CB673" s="1053"/>
      <c r="CC673" s="1053"/>
      <c r="CD673" s="1053"/>
      <c r="CE673" s="1053"/>
      <c r="CF673" s="1053"/>
      <c r="CG673" s="1053"/>
      <c r="CH673" s="1053"/>
      <c r="CI673" s="1123"/>
      <c r="CJ673" s="1123"/>
      <c r="CK673" s="1123"/>
      <c r="CL673" s="1123"/>
      <c r="CM673" s="1123"/>
      <c r="CN673" s="1123"/>
      <c r="CO673" s="1123"/>
      <c r="CP673" s="1123"/>
      <c r="CQ673" s="1123"/>
      <c r="CR673" s="1123"/>
      <c r="CS673" s="1123"/>
      <c r="CT673" s="1123"/>
      <c r="CU673" s="1123"/>
      <c r="CV673" s="1123"/>
      <c r="CW673" s="1123"/>
      <c r="CX673" s="1123"/>
      <c r="CY673" s="1123"/>
      <c r="CZ673" s="1114"/>
      <c r="DA673" s="1114"/>
      <c r="DB673" s="1114"/>
      <c r="DC673" s="1114"/>
      <c r="DD673" s="1114"/>
      <c r="DE673" s="1114"/>
      <c r="DF673" s="1114"/>
      <c r="DG673" s="1114"/>
      <c r="DH673" s="1114"/>
      <c r="DI673" s="1114"/>
      <c r="DJ673" s="1114"/>
      <c r="DK673" s="1114"/>
      <c r="DL673" s="1114"/>
      <c r="DM673" s="1114"/>
      <c r="DN673" s="1114"/>
      <c r="DO673" s="1114"/>
      <c r="DP673" s="1114"/>
      <c r="DQ673" s="1114"/>
      <c r="DR673" s="1114"/>
      <c r="DS673" s="1114"/>
      <c r="DT673" s="1114"/>
      <c r="DU673" s="1114"/>
      <c r="DV673" s="1115"/>
      <c r="DW673" s="1116"/>
      <c r="DX673" s="1116"/>
      <c r="DY673" s="1116"/>
      <c r="DZ673" s="1116"/>
      <c r="EA673" s="1116"/>
      <c r="EB673" s="1116"/>
      <c r="EC673" s="1116"/>
      <c r="ED673" s="1116"/>
      <c r="EE673" s="1116"/>
      <c r="EF673" s="1116"/>
      <c r="EG673" s="1116"/>
      <c r="EH673" s="1116"/>
      <c r="EI673" s="1116"/>
      <c r="EJ673" s="1116"/>
      <c r="EK673" s="1116"/>
      <c r="EL673" s="1116"/>
      <c r="EM673" s="1116"/>
      <c r="EN673" s="1116"/>
      <c r="EO673" s="1116"/>
      <c r="EP673" s="1116"/>
      <c r="EQ673" s="1116"/>
      <c r="ER673" s="1116"/>
      <c r="ES673" s="1116"/>
    </row>
    <row r="674" spans="1:149" ht="15" customHeight="1">
      <c r="A674" s="1185">
        <v>659</v>
      </c>
      <c r="B674" s="1041"/>
      <c r="C674" s="1050"/>
      <c r="D674" s="1050"/>
      <c r="E674" s="1050"/>
      <c r="F674" s="1049"/>
      <c r="G674" s="1457"/>
      <c r="H674" s="1049"/>
      <c r="I674" s="1049"/>
      <c r="J674" s="1050"/>
      <c r="K674" s="1050"/>
      <c r="L674" s="1043"/>
      <c r="M674" s="1051"/>
      <c r="N674" s="1051"/>
      <c r="O674" s="1052"/>
      <c r="P674" s="1051"/>
      <c r="Q674" s="1051"/>
      <c r="R674" s="1052"/>
      <c r="S674" s="1051"/>
      <c r="T674" s="1051"/>
      <c r="U674" s="1052"/>
      <c r="V674" s="1051"/>
      <c r="W674" s="1051"/>
      <c r="X674" s="1052"/>
      <c r="Y674" s="1053"/>
      <c r="Z674" s="1051"/>
      <c r="AA674" s="1051"/>
      <c r="AB674" s="1052"/>
      <c r="AC674" s="1051"/>
      <c r="AD674" s="1051"/>
      <c r="AE674" s="1052"/>
      <c r="AF674" s="1051"/>
      <c r="AG674" s="1051"/>
      <c r="AH674" s="1051"/>
      <c r="AI674" s="1051"/>
      <c r="AJ674" s="1052"/>
      <c r="AK674" s="1051"/>
      <c r="AL674" s="1051"/>
      <c r="AM674" s="1052"/>
      <c r="AN674" s="1051"/>
      <c r="AO674" s="1051"/>
      <c r="AP674" s="1052"/>
      <c r="AQ674" s="1051"/>
      <c r="AR674" s="1051"/>
      <c r="AS674" s="1052"/>
      <c r="AT674" s="1051"/>
      <c r="AU674" s="1051"/>
      <c r="AV674" s="1052"/>
      <c r="AW674" s="1051"/>
      <c r="AX674" s="1051"/>
      <c r="AY674" s="1053"/>
      <c r="AZ674" s="1051"/>
      <c r="BA674" s="1051"/>
      <c r="BB674" s="1053"/>
      <c r="BC674" s="1051"/>
      <c r="BD674" s="1051"/>
      <c r="BE674" s="1053"/>
      <c r="BF674" s="1051"/>
      <c r="BG674" s="1051"/>
      <c r="BH674" s="1053"/>
      <c r="BI674" s="1052"/>
      <c r="BJ674" s="1052"/>
      <c r="BK674" s="1052"/>
      <c r="BL674" s="1052"/>
      <c r="BM674" s="1052"/>
      <c r="BN674" s="1054"/>
      <c r="BO674" s="1076">
        <f t="shared" si="21"/>
        <v>0</v>
      </c>
      <c r="BP674" s="1051"/>
      <c r="BQ674" s="1052"/>
      <c r="BR674" s="1054"/>
      <c r="BS674" s="1053"/>
      <c r="BT674" s="1051"/>
      <c r="BU674" s="1051"/>
      <c r="BV674" s="1051"/>
      <c r="BW674" s="1052"/>
      <c r="BX674" s="1052"/>
      <c r="BY674" s="1052"/>
      <c r="BZ674" s="1052"/>
      <c r="CA674" s="1052"/>
      <c r="CB674" s="1053"/>
      <c r="CC674" s="1053"/>
      <c r="CD674" s="1053"/>
      <c r="CE674" s="1053"/>
      <c r="CF674" s="1053"/>
      <c r="CG674" s="1053"/>
      <c r="CH674" s="1053"/>
      <c r="CI674" s="1123"/>
      <c r="CJ674" s="1123"/>
      <c r="CK674" s="1123"/>
      <c r="CL674" s="1123"/>
      <c r="CM674" s="1123"/>
      <c r="CN674" s="1123"/>
      <c r="CO674" s="1123"/>
      <c r="CP674" s="1123"/>
      <c r="CQ674" s="1123"/>
      <c r="CR674" s="1123"/>
      <c r="CS674" s="1123"/>
      <c r="CT674" s="1123"/>
      <c r="CU674" s="1123"/>
      <c r="CV674" s="1123"/>
      <c r="CW674" s="1123"/>
      <c r="CX674" s="1123"/>
      <c r="CY674" s="1123"/>
      <c r="CZ674" s="1114"/>
      <c r="DA674" s="1114"/>
      <c r="DB674" s="1114"/>
      <c r="DC674" s="1114"/>
      <c r="DD674" s="1114"/>
      <c r="DE674" s="1114"/>
      <c r="DF674" s="1114"/>
      <c r="DG674" s="1114"/>
      <c r="DH674" s="1114"/>
      <c r="DI674" s="1114"/>
      <c r="DJ674" s="1114"/>
      <c r="DK674" s="1114"/>
      <c r="DL674" s="1114"/>
      <c r="DM674" s="1114"/>
      <c r="DN674" s="1114"/>
      <c r="DO674" s="1114"/>
      <c r="DP674" s="1114"/>
      <c r="DQ674" s="1114"/>
      <c r="DR674" s="1114"/>
      <c r="DS674" s="1114"/>
      <c r="DT674" s="1114"/>
      <c r="DU674" s="1114"/>
      <c r="DV674" s="1115"/>
      <c r="DW674" s="1116"/>
      <c r="DX674" s="1116"/>
      <c r="DY674" s="1116"/>
      <c r="DZ674" s="1116"/>
      <c r="EA674" s="1116"/>
      <c r="EB674" s="1116"/>
      <c r="EC674" s="1116"/>
      <c r="ED674" s="1116"/>
      <c r="EE674" s="1116"/>
      <c r="EF674" s="1116"/>
      <c r="EG674" s="1116"/>
      <c r="EH674" s="1116"/>
      <c r="EI674" s="1116"/>
      <c r="EJ674" s="1116"/>
      <c r="EK674" s="1116"/>
      <c r="EL674" s="1116"/>
      <c r="EM674" s="1116"/>
      <c r="EN674" s="1116"/>
      <c r="EO674" s="1116"/>
      <c r="EP674" s="1116"/>
      <c r="EQ674" s="1116"/>
      <c r="ER674" s="1116"/>
      <c r="ES674" s="1116"/>
    </row>
    <row r="675" spans="1:149" ht="15" customHeight="1">
      <c r="A675" s="1185">
        <v>660</v>
      </c>
      <c r="B675" s="1041"/>
      <c r="C675" s="1050"/>
      <c r="D675" s="1050"/>
      <c r="E675" s="1050"/>
      <c r="F675" s="1049"/>
      <c r="G675" s="1457"/>
      <c r="H675" s="1049"/>
      <c r="I675" s="1049"/>
      <c r="J675" s="1050"/>
      <c r="K675" s="1050"/>
      <c r="L675" s="1043"/>
      <c r="M675" s="1051"/>
      <c r="N675" s="1051"/>
      <c r="O675" s="1052"/>
      <c r="P675" s="1051"/>
      <c r="Q675" s="1051"/>
      <c r="R675" s="1052"/>
      <c r="S675" s="1051"/>
      <c r="T675" s="1051"/>
      <c r="U675" s="1052"/>
      <c r="V675" s="1051"/>
      <c r="W675" s="1051"/>
      <c r="X675" s="1052"/>
      <c r="Y675" s="1053"/>
      <c r="Z675" s="1051"/>
      <c r="AA675" s="1051"/>
      <c r="AB675" s="1052"/>
      <c r="AC675" s="1051"/>
      <c r="AD675" s="1051"/>
      <c r="AE675" s="1052"/>
      <c r="AF675" s="1051"/>
      <c r="AG675" s="1051"/>
      <c r="AH675" s="1051"/>
      <c r="AI675" s="1051"/>
      <c r="AJ675" s="1052"/>
      <c r="AK675" s="1051"/>
      <c r="AL675" s="1051"/>
      <c r="AM675" s="1052"/>
      <c r="AN675" s="1051"/>
      <c r="AO675" s="1051"/>
      <c r="AP675" s="1052"/>
      <c r="AQ675" s="1051"/>
      <c r="AR675" s="1051"/>
      <c r="AS675" s="1052"/>
      <c r="AT675" s="1051"/>
      <c r="AU675" s="1051"/>
      <c r="AV675" s="1052"/>
      <c r="AW675" s="1051"/>
      <c r="AX675" s="1051"/>
      <c r="AY675" s="1053"/>
      <c r="AZ675" s="1051"/>
      <c r="BA675" s="1051"/>
      <c r="BB675" s="1053"/>
      <c r="BC675" s="1051"/>
      <c r="BD675" s="1051"/>
      <c r="BE675" s="1053"/>
      <c r="BF675" s="1051"/>
      <c r="BG675" s="1051"/>
      <c r="BH675" s="1053"/>
      <c r="BI675" s="1052"/>
      <c r="BJ675" s="1052"/>
      <c r="BK675" s="1052"/>
      <c r="BL675" s="1052"/>
      <c r="BM675" s="1052"/>
      <c r="BN675" s="1054"/>
      <c r="BO675" s="1076">
        <f t="shared" si="21"/>
        <v>0</v>
      </c>
      <c r="BP675" s="1051"/>
      <c r="BQ675" s="1052"/>
      <c r="BR675" s="1054"/>
      <c r="BS675" s="1053"/>
      <c r="BT675" s="1051"/>
      <c r="BU675" s="1051"/>
      <c r="BV675" s="1051"/>
      <c r="BW675" s="1052"/>
      <c r="BX675" s="1052"/>
      <c r="BY675" s="1052"/>
      <c r="BZ675" s="1052"/>
      <c r="CA675" s="1052"/>
      <c r="CB675" s="1053"/>
      <c r="CC675" s="1053"/>
      <c r="CD675" s="1053"/>
      <c r="CE675" s="1053"/>
      <c r="CF675" s="1053"/>
      <c r="CG675" s="1053"/>
      <c r="CH675" s="1053"/>
      <c r="CI675" s="1123"/>
      <c r="CJ675" s="1123"/>
      <c r="CK675" s="1123"/>
      <c r="CL675" s="1123"/>
      <c r="CM675" s="1123"/>
      <c r="CN675" s="1123"/>
      <c r="CO675" s="1123"/>
      <c r="CP675" s="1123"/>
      <c r="CQ675" s="1123"/>
      <c r="CR675" s="1123"/>
      <c r="CS675" s="1123"/>
      <c r="CT675" s="1123"/>
      <c r="CU675" s="1123"/>
      <c r="CV675" s="1123"/>
      <c r="CW675" s="1123"/>
      <c r="CX675" s="1123"/>
      <c r="CY675" s="1123"/>
      <c r="CZ675" s="1114"/>
      <c r="DA675" s="1114"/>
      <c r="DB675" s="1114"/>
      <c r="DC675" s="1114"/>
      <c r="DD675" s="1114"/>
      <c r="DE675" s="1114"/>
      <c r="DF675" s="1114"/>
      <c r="DG675" s="1114"/>
      <c r="DH675" s="1114"/>
      <c r="DI675" s="1114"/>
      <c r="DJ675" s="1114"/>
      <c r="DK675" s="1114"/>
      <c r="DL675" s="1114"/>
      <c r="DM675" s="1114"/>
      <c r="DN675" s="1114"/>
      <c r="DO675" s="1114"/>
      <c r="DP675" s="1114"/>
      <c r="DQ675" s="1114"/>
      <c r="DR675" s="1114"/>
      <c r="DS675" s="1114"/>
      <c r="DT675" s="1114"/>
      <c r="DU675" s="1114"/>
      <c r="DV675" s="1115"/>
      <c r="DW675" s="1116"/>
      <c r="DX675" s="1116"/>
      <c r="DY675" s="1116"/>
      <c r="DZ675" s="1116"/>
      <c r="EA675" s="1116"/>
      <c r="EB675" s="1116"/>
      <c r="EC675" s="1116"/>
      <c r="ED675" s="1116"/>
      <c r="EE675" s="1116"/>
      <c r="EF675" s="1116"/>
      <c r="EG675" s="1116"/>
      <c r="EH675" s="1116"/>
      <c r="EI675" s="1116"/>
      <c r="EJ675" s="1116"/>
      <c r="EK675" s="1116"/>
      <c r="EL675" s="1116"/>
      <c r="EM675" s="1116"/>
      <c r="EN675" s="1116"/>
      <c r="EO675" s="1116"/>
      <c r="EP675" s="1116"/>
      <c r="EQ675" s="1116"/>
      <c r="ER675" s="1116"/>
      <c r="ES675" s="1116"/>
    </row>
    <row r="676" spans="1:149" ht="15" customHeight="1">
      <c r="A676" s="1185">
        <v>661</v>
      </c>
      <c r="B676" s="1041"/>
      <c r="C676" s="1050"/>
      <c r="D676" s="1050"/>
      <c r="E676" s="1050"/>
      <c r="F676" s="1049"/>
      <c r="G676" s="1457"/>
      <c r="H676" s="1049"/>
      <c r="I676" s="1049"/>
      <c r="J676" s="1050"/>
      <c r="K676" s="1050"/>
      <c r="L676" s="1043"/>
      <c r="M676" s="1051"/>
      <c r="N676" s="1051"/>
      <c r="O676" s="1052"/>
      <c r="P676" s="1051"/>
      <c r="Q676" s="1051"/>
      <c r="R676" s="1052"/>
      <c r="S676" s="1051"/>
      <c r="T676" s="1051"/>
      <c r="U676" s="1052"/>
      <c r="V676" s="1051"/>
      <c r="W676" s="1051"/>
      <c r="X676" s="1052"/>
      <c r="Y676" s="1053"/>
      <c r="Z676" s="1051"/>
      <c r="AA676" s="1051"/>
      <c r="AB676" s="1052"/>
      <c r="AC676" s="1051"/>
      <c r="AD676" s="1051"/>
      <c r="AE676" s="1052"/>
      <c r="AF676" s="1051"/>
      <c r="AG676" s="1051"/>
      <c r="AH676" s="1051"/>
      <c r="AI676" s="1051"/>
      <c r="AJ676" s="1052"/>
      <c r="AK676" s="1051"/>
      <c r="AL676" s="1051"/>
      <c r="AM676" s="1052"/>
      <c r="AN676" s="1051"/>
      <c r="AO676" s="1051"/>
      <c r="AP676" s="1052"/>
      <c r="AQ676" s="1051"/>
      <c r="AR676" s="1051"/>
      <c r="AS676" s="1052"/>
      <c r="AT676" s="1051"/>
      <c r="AU676" s="1051"/>
      <c r="AV676" s="1052"/>
      <c r="AW676" s="1051"/>
      <c r="AX676" s="1051"/>
      <c r="AY676" s="1053"/>
      <c r="AZ676" s="1051"/>
      <c r="BA676" s="1051"/>
      <c r="BB676" s="1053"/>
      <c r="BC676" s="1051"/>
      <c r="BD676" s="1051"/>
      <c r="BE676" s="1053"/>
      <c r="BF676" s="1051"/>
      <c r="BG676" s="1051"/>
      <c r="BH676" s="1053"/>
      <c r="BI676" s="1052"/>
      <c r="BJ676" s="1052"/>
      <c r="BK676" s="1052"/>
      <c r="BL676" s="1052"/>
      <c r="BM676" s="1052"/>
      <c r="BN676" s="1054"/>
      <c r="BO676" s="1076">
        <f t="shared" si="21"/>
        <v>0</v>
      </c>
      <c r="BP676" s="1051"/>
      <c r="BQ676" s="1052"/>
      <c r="BR676" s="1054"/>
      <c r="BS676" s="1053"/>
      <c r="BT676" s="1051"/>
      <c r="BU676" s="1051"/>
      <c r="BV676" s="1051"/>
      <c r="BW676" s="1052"/>
      <c r="BX676" s="1052"/>
      <c r="BY676" s="1052"/>
      <c r="BZ676" s="1052"/>
      <c r="CA676" s="1052"/>
      <c r="CB676" s="1053"/>
      <c r="CC676" s="1053"/>
      <c r="CD676" s="1053"/>
      <c r="CE676" s="1053"/>
      <c r="CF676" s="1053"/>
      <c r="CG676" s="1053"/>
      <c r="CH676" s="1053"/>
      <c r="CI676" s="1123"/>
      <c r="CJ676" s="1123"/>
      <c r="CK676" s="1123"/>
      <c r="CL676" s="1123"/>
      <c r="CM676" s="1123"/>
      <c r="CN676" s="1123"/>
      <c r="CO676" s="1123"/>
      <c r="CP676" s="1123"/>
      <c r="CQ676" s="1123"/>
      <c r="CR676" s="1123"/>
      <c r="CS676" s="1123"/>
      <c r="CT676" s="1123"/>
      <c r="CU676" s="1123"/>
      <c r="CV676" s="1123"/>
      <c r="CW676" s="1123"/>
      <c r="CX676" s="1123"/>
      <c r="CY676" s="1123"/>
      <c r="CZ676" s="1114"/>
      <c r="DA676" s="1114"/>
      <c r="DB676" s="1114"/>
      <c r="DC676" s="1114"/>
      <c r="DD676" s="1114"/>
      <c r="DE676" s="1114"/>
      <c r="DF676" s="1114"/>
      <c r="DG676" s="1114"/>
      <c r="DH676" s="1114"/>
      <c r="DI676" s="1114"/>
      <c r="DJ676" s="1114"/>
      <c r="DK676" s="1114"/>
      <c r="DL676" s="1114"/>
      <c r="DM676" s="1114"/>
      <c r="DN676" s="1114"/>
      <c r="DO676" s="1114"/>
      <c r="DP676" s="1114"/>
      <c r="DQ676" s="1114"/>
      <c r="DR676" s="1114"/>
      <c r="DS676" s="1114"/>
      <c r="DT676" s="1114"/>
      <c r="DU676" s="1114"/>
      <c r="DV676" s="1115"/>
      <c r="DW676" s="1116"/>
      <c r="DX676" s="1116"/>
      <c r="DY676" s="1116"/>
      <c r="DZ676" s="1116"/>
      <c r="EA676" s="1116"/>
      <c r="EB676" s="1116"/>
      <c r="EC676" s="1116"/>
      <c r="ED676" s="1116"/>
      <c r="EE676" s="1116"/>
      <c r="EF676" s="1116"/>
      <c r="EG676" s="1116"/>
      <c r="EH676" s="1116"/>
      <c r="EI676" s="1116"/>
      <c r="EJ676" s="1116"/>
      <c r="EK676" s="1116"/>
      <c r="EL676" s="1116"/>
      <c r="EM676" s="1116"/>
      <c r="EN676" s="1116"/>
      <c r="EO676" s="1116"/>
      <c r="EP676" s="1116"/>
      <c r="EQ676" s="1116"/>
      <c r="ER676" s="1116"/>
      <c r="ES676" s="1116"/>
    </row>
    <row r="677" spans="1:149" ht="15" customHeight="1">
      <c r="A677" s="1185">
        <v>662</v>
      </c>
      <c r="B677" s="1041"/>
      <c r="C677" s="1050"/>
      <c r="D677" s="1050"/>
      <c r="E677" s="1050"/>
      <c r="F677" s="1049"/>
      <c r="G677" s="1457"/>
      <c r="H677" s="1049"/>
      <c r="I677" s="1049"/>
      <c r="J677" s="1050"/>
      <c r="K677" s="1050"/>
      <c r="L677" s="1043"/>
      <c r="M677" s="1051"/>
      <c r="N677" s="1051"/>
      <c r="O677" s="1052"/>
      <c r="P677" s="1051"/>
      <c r="Q677" s="1051"/>
      <c r="R677" s="1052"/>
      <c r="S677" s="1051"/>
      <c r="T677" s="1051"/>
      <c r="U677" s="1052"/>
      <c r="V677" s="1051"/>
      <c r="W677" s="1051"/>
      <c r="X677" s="1052"/>
      <c r="Y677" s="1053"/>
      <c r="Z677" s="1051"/>
      <c r="AA677" s="1051"/>
      <c r="AB677" s="1052"/>
      <c r="AC677" s="1051"/>
      <c r="AD677" s="1051"/>
      <c r="AE677" s="1052"/>
      <c r="AF677" s="1051"/>
      <c r="AG677" s="1051"/>
      <c r="AH677" s="1051"/>
      <c r="AI677" s="1051"/>
      <c r="AJ677" s="1052"/>
      <c r="AK677" s="1051"/>
      <c r="AL677" s="1051"/>
      <c r="AM677" s="1052"/>
      <c r="AN677" s="1051"/>
      <c r="AO677" s="1051"/>
      <c r="AP677" s="1052"/>
      <c r="AQ677" s="1051"/>
      <c r="AR677" s="1051"/>
      <c r="AS677" s="1052"/>
      <c r="AT677" s="1051"/>
      <c r="AU677" s="1051"/>
      <c r="AV677" s="1052"/>
      <c r="AW677" s="1051"/>
      <c r="AX677" s="1051"/>
      <c r="AY677" s="1053"/>
      <c r="AZ677" s="1051"/>
      <c r="BA677" s="1051"/>
      <c r="BB677" s="1053"/>
      <c r="BC677" s="1051"/>
      <c r="BD677" s="1051"/>
      <c r="BE677" s="1053"/>
      <c r="BF677" s="1051"/>
      <c r="BG677" s="1051"/>
      <c r="BH677" s="1053"/>
      <c r="BI677" s="1052"/>
      <c r="BJ677" s="1052"/>
      <c r="BK677" s="1052"/>
      <c r="BL677" s="1052"/>
      <c r="BM677" s="1052"/>
      <c r="BN677" s="1054"/>
      <c r="BO677" s="1076">
        <f t="shared" si="21"/>
        <v>0</v>
      </c>
      <c r="BP677" s="1051"/>
      <c r="BQ677" s="1052"/>
      <c r="BR677" s="1054"/>
      <c r="BS677" s="1053"/>
      <c r="BT677" s="1051"/>
      <c r="BU677" s="1051"/>
      <c r="BV677" s="1051"/>
      <c r="BW677" s="1052"/>
      <c r="BX677" s="1052"/>
      <c r="BY677" s="1052"/>
      <c r="BZ677" s="1052"/>
      <c r="CA677" s="1052"/>
      <c r="CB677" s="1053"/>
      <c r="CC677" s="1053"/>
      <c r="CD677" s="1053"/>
      <c r="CE677" s="1053"/>
      <c r="CF677" s="1053"/>
      <c r="CG677" s="1053"/>
      <c r="CH677" s="1053"/>
      <c r="CI677" s="1123"/>
      <c r="CJ677" s="1123"/>
      <c r="CK677" s="1123"/>
      <c r="CL677" s="1123"/>
      <c r="CM677" s="1123"/>
      <c r="CN677" s="1123"/>
      <c r="CO677" s="1123"/>
      <c r="CP677" s="1123"/>
      <c r="CQ677" s="1123"/>
      <c r="CR677" s="1123"/>
      <c r="CS677" s="1123"/>
      <c r="CT677" s="1123"/>
      <c r="CU677" s="1123"/>
      <c r="CV677" s="1123"/>
      <c r="CW677" s="1123"/>
      <c r="CX677" s="1123"/>
      <c r="CY677" s="1123"/>
      <c r="CZ677" s="1114"/>
      <c r="DA677" s="1114"/>
      <c r="DB677" s="1114"/>
      <c r="DC677" s="1114"/>
      <c r="DD677" s="1114"/>
      <c r="DE677" s="1114"/>
      <c r="DF677" s="1114"/>
      <c r="DG677" s="1114"/>
      <c r="DH677" s="1114"/>
      <c r="DI677" s="1114"/>
      <c r="DJ677" s="1114"/>
      <c r="DK677" s="1114"/>
      <c r="DL677" s="1114"/>
      <c r="DM677" s="1114"/>
      <c r="DN677" s="1114"/>
      <c r="DO677" s="1114"/>
      <c r="DP677" s="1114"/>
      <c r="DQ677" s="1114"/>
      <c r="DR677" s="1114"/>
      <c r="DS677" s="1114"/>
      <c r="DT677" s="1114"/>
      <c r="DU677" s="1114"/>
      <c r="DV677" s="1115"/>
      <c r="DW677" s="1116"/>
      <c r="DX677" s="1116"/>
      <c r="DY677" s="1116"/>
      <c r="DZ677" s="1116"/>
      <c r="EA677" s="1116"/>
      <c r="EB677" s="1116"/>
      <c r="EC677" s="1116"/>
      <c r="ED677" s="1116"/>
      <c r="EE677" s="1116"/>
      <c r="EF677" s="1116"/>
      <c r="EG677" s="1116"/>
      <c r="EH677" s="1116"/>
      <c r="EI677" s="1116"/>
      <c r="EJ677" s="1116"/>
      <c r="EK677" s="1116"/>
      <c r="EL677" s="1116"/>
      <c r="EM677" s="1116"/>
      <c r="EN677" s="1116"/>
      <c r="EO677" s="1116"/>
      <c r="EP677" s="1116"/>
      <c r="EQ677" s="1116"/>
      <c r="ER677" s="1116"/>
      <c r="ES677" s="1116"/>
    </row>
    <row r="678" spans="1:149" ht="15" customHeight="1">
      <c r="A678" s="1185">
        <v>663</v>
      </c>
      <c r="B678" s="1041"/>
      <c r="C678" s="1050"/>
      <c r="D678" s="1050"/>
      <c r="E678" s="1050"/>
      <c r="F678" s="1049"/>
      <c r="G678" s="1457"/>
      <c r="H678" s="1049"/>
      <c r="I678" s="1049"/>
      <c r="J678" s="1050"/>
      <c r="K678" s="1050"/>
      <c r="L678" s="1043"/>
      <c r="M678" s="1051"/>
      <c r="N678" s="1051"/>
      <c r="O678" s="1052"/>
      <c r="P678" s="1051"/>
      <c r="Q678" s="1051"/>
      <c r="R678" s="1052"/>
      <c r="S678" s="1051"/>
      <c r="T678" s="1051"/>
      <c r="U678" s="1052"/>
      <c r="V678" s="1051"/>
      <c r="W678" s="1051"/>
      <c r="X678" s="1052"/>
      <c r="Y678" s="1053"/>
      <c r="Z678" s="1051"/>
      <c r="AA678" s="1051"/>
      <c r="AB678" s="1052"/>
      <c r="AC678" s="1051"/>
      <c r="AD678" s="1051"/>
      <c r="AE678" s="1052"/>
      <c r="AF678" s="1051"/>
      <c r="AG678" s="1051"/>
      <c r="AH678" s="1051"/>
      <c r="AI678" s="1051"/>
      <c r="AJ678" s="1052"/>
      <c r="AK678" s="1051"/>
      <c r="AL678" s="1051"/>
      <c r="AM678" s="1052"/>
      <c r="AN678" s="1051"/>
      <c r="AO678" s="1051"/>
      <c r="AP678" s="1052"/>
      <c r="AQ678" s="1051"/>
      <c r="AR678" s="1051"/>
      <c r="AS678" s="1052"/>
      <c r="AT678" s="1051"/>
      <c r="AU678" s="1051"/>
      <c r="AV678" s="1052"/>
      <c r="AW678" s="1051"/>
      <c r="AX678" s="1051"/>
      <c r="AY678" s="1053"/>
      <c r="AZ678" s="1051"/>
      <c r="BA678" s="1051"/>
      <c r="BB678" s="1053"/>
      <c r="BC678" s="1051"/>
      <c r="BD678" s="1051"/>
      <c r="BE678" s="1053"/>
      <c r="BF678" s="1051"/>
      <c r="BG678" s="1051"/>
      <c r="BH678" s="1053"/>
      <c r="BI678" s="1052"/>
      <c r="BJ678" s="1052"/>
      <c r="BK678" s="1052"/>
      <c r="BL678" s="1052"/>
      <c r="BM678" s="1052"/>
      <c r="BN678" s="1054"/>
      <c r="BO678" s="1076">
        <f t="shared" si="21"/>
        <v>0</v>
      </c>
      <c r="BP678" s="1051"/>
      <c r="BQ678" s="1052"/>
      <c r="BR678" s="1054"/>
      <c r="BS678" s="1053"/>
      <c r="BT678" s="1051"/>
      <c r="BU678" s="1051"/>
      <c r="BV678" s="1051"/>
      <c r="BW678" s="1052"/>
      <c r="BX678" s="1052"/>
      <c r="BY678" s="1052"/>
      <c r="BZ678" s="1052"/>
      <c r="CA678" s="1052"/>
      <c r="CB678" s="1053"/>
      <c r="CC678" s="1053"/>
      <c r="CD678" s="1053"/>
      <c r="CE678" s="1053"/>
      <c r="CF678" s="1053"/>
      <c r="CG678" s="1053"/>
      <c r="CH678" s="1053"/>
      <c r="CI678" s="1123"/>
      <c r="CJ678" s="1123"/>
      <c r="CK678" s="1123"/>
      <c r="CL678" s="1123"/>
      <c r="CM678" s="1123"/>
      <c r="CN678" s="1123"/>
      <c r="CO678" s="1123"/>
      <c r="CP678" s="1123"/>
      <c r="CQ678" s="1123"/>
      <c r="CR678" s="1123"/>
      <c r="CS678" s="1123"/>
      <c r="CT678" s="1123"/>
      <c r="CU678" s="1123"/>
      <c r="CV678" s="1123"/>
      <c r="CW678" s="1123"/>
      <c r="CX678" s="1123"/>
      <c r="CY678" s="1123"/>
      <c r="CZ678" s="1114"/>
      <c r="DA678" s="1114"/>
      <c r="DB678" s="1114"/>
      <c r="DC678" s="1114"/>
      <c r="DD678" s="1114"/>
      <c r="DE678" s="1114"/>
      <c r="DF678" s="1114"/>
      <c r="DG678" s="1114"/>
      <c r="DH678" s="1114"/>
      <c r="DI678" s="1114"/>
      <c r="DJ678" s="1114"/>
      <c r="DK678" s="1114"/>
      <c r="DL678" s="1114"/>
      <c r="DM678" s="1114"/>
      <c r="DN678" s="1114"/>
      <c r="DO678" s="1114"/>
      <c r="DP678" s="1114"/>
      <c r="DQ678" s="1114"/>
      <c r="DR678" s="1114"/>
      <c r="DS678" s="1114"/>
      <c r="DT678" s="1114"/>
      <c r="DU678" s="1114"/>
      <c r="DV678" s="1115"/>
      <c r="DW678" s="1116"/>
      <c r="DX678" s="1116"/>
      <c r="DY678" s="1116"/>
      <c r="DZ678" s="1116"/>
      <c r="EA678" s="1116"/>
      <c r="EB678" s="1116"/>
      <c r="EC678" s="1116"/>
      <c r="ED678" s="1116"/>
      <c r="EE678" s="1116"/>
      <c r="EF678" s="1116"/>
      <c r="EG678" s="1116"/>
      <c r="EH678" s="1116"/>
      <c r="EI678" s="1116"/>
      <c r="EJ678" s="1116"/>
      <c r="EK678" s="1116"/>
      <c r="EL678" s="1116"/>
      <c r="EM678" s="1116"/>
      <c r="EN678" s="1116"/>
      <c r="EO678" s="1116"/>
      <c r="EP678" s="1116"/>
      <c r="EQ678" s="1116"/>
      <c r="ER678" s="1116"/>
      <c r="ES678" s="1116"/>
    </row>
    <row r="679" spans="1:149" ht="15" customHeight="1">
      <c r="A679" s="1185">
        <v>664</v>
      </c>
      <c r="B679" s="1041"/>
      <c r="C679" s="1050"/>
      <c r="D679" s="1050"/>
      <c r="E679" s="1050"/>
      <c r="F679" s="1049"/>
      <c r="G679" s="1457"/>
      <c r="H679" s="1049"/>
      <c r="I679" s="1049"/>
      <c r="J679" s="1050"/>
      <c r="K679" s="1050"/>
      <c r="L679" s="1043"/>
      <c r="M679" s="1051"/>
      <c r="N679" s="1051"/>
      <c r="O679" s="1052"/>
      <c r="P679" s="1051"/>
      <c r="Q679" s="1051"/>
      <c r="R679" s="1052"/>
      <c r="S679" s="1051"/>
      <c r="T679" s="1051"/>
      <c r="U679" s="1052"/>
      <c r="V679" s="1051"/>
      <c r="W679" s="1051"/>
      <c r="X679" s="1052"/>
      <c r="Y679" s="1053"/>
      <c r="Z679" s="1051"/>
      <c r="AA679" s="1051"/>
      <c r="AB679" s="1052"/>
      <c r="AC679" s="1051"/>
      <c r="AD679" s="1051"/>
      <c r="AE679" s="1052"/>
      <c r="AF679" s="1051"/>
      <c r="AG679" s="1051"/>
      <c r="AH679" s="1051"/>
      <c r="AI679" s="1051"/>
      <c r="AJ679" s="1052"/>
      <c r="AK679" s="1051"/>
      <c r="AL679" s="1051"/>
      <c r="AM679" s="1052"/>
      <c r="AN679" s="1051"/>
      <c r="AO679" s="1051"/>
      <c r="AP679" s="1052"/>
      <c r="AQ679" s="1051"/>
      <c r="AR679" s="1051"/>
      <c r="AS679" s="1052"/>
      <c r="AT679" s="1051"/>
      <c r="AU679" s="1051"/>
      <c r="AV679" s="1052"/>
      <c r="AW679" s="1051"/>
      <c r="AX679" s="1051"/>
      <c r="AY679" s="1053"/>
      <c r="AZ679" s="1051"/>
      <c r="BA679" s="1051"/>
      <c r="BB679" s="1053"/>
      <c r="BC679" s="1051"/>
      <c r="BD679" s="1051"/>
      <c r="BE679" s="1053"/>
      <c r="BF679" s="1051"/>
      <c r="BG679" s="1051"/>
      <c r="BH679" s="1053"/>
      <c r="BI679" s="1052"/>
      <c r="BJ679" s="1052"/>
      <c r="BK679" s="1052"/>
      <c r="BL679" s="1052"/>
      <c r="BM679" s="1052"/>
      <c r="BN679" s="1054"/>
      <c r="BO679" s="1076">
        <f t="shared" si="21"/>
        <v>0</v>
      </c>
      <c r="BP679" s="1051"/>
      <c r="BQ679" s="1052"/>
      <c r="BR679" s="1054"/>
      <c r="BS679" s="1053"/>
      <c r="BT679" s="1051"/>
      <c r="BU679" s="1051"/>
      <c r="BV679" s="1051"/>
      <c r="BW679" s="1052"/>
      <c r="BX679" s="1052"/>
      <c r="BY679" s="1052"/>
      <c r="BZ679" s="1052"/>
      <c r="CA679" s="1052"/>
      <c r="CB679" s="1053"/>
      <c r="CC679" s="1053"/>
      <c r="CD679" s="1053"/>
      <c r="CE679" s="1053"/>
      <c r="CF679" s="1053"/>
      <c r="CG679" s="1053"/>
      <c r="CH679" s="1053"/>
      <c r="CI679" s="1123"/>
      <c r="CJ679" s="1123"/>
      <c r="CK679" s="1123"/>
      <c r="CL679" s="1123"/>
      <c r="CM679" s="1123"/>
      <c r="CN679" s="1123"/>
      <c r="CO679" s="1123"/>
      <c r="CP679" s="1123"/>
      <c r="CQ679" s="1123"/>
      <c r="CR679" s="1123"/>
      <c r="CS679" s="1123"/>
      <c r="CT679" s="1123"/>
      <c r="CU679" s="1123"/>
      <c r="CV679" s="1123"/>
      <c r="CW679" s="1123"/>
      <c r="CX679" s="1123"/>
      <c r="CY679" s="1123"/>
      <c r="CZ679" s="1114"/>
      <c r="DA679" s="1114"/>
      <c r="DB679" s="1114"/>
      <c r="DC679" s="1114"/>
      <c r="DD679" s="1114"/>
      <c r="DE679" s="1114"/>
      <c r="DF679" s="1114"/>
      <c r="DG679" s="1114"/>
      <c r="DH679" s="1114"/>
      <c r="DI679" s="1114"/>
      <c r="DJ679" s="1114"/>
      <c r="DK679" s="1114"/>
      <c r="DL679" s="1114"/>
      <c r="DM679" s="1114"/>
      <c r="DN679" s="1114"/>
      <c r="DO679" s="1114"/>
      <c r="DP679" s="1114"/>
      <c r="DQ679" s="1114"/>
      <c r="DR679" s="1114"/>
      <c r="DS679" s="1114"/>
      <c r="DT679" s="1114"/>
      <c r="DU679" s="1114"/>
      <c r="DV679" s="1115"/>
      <c r="DW679" s="1116"/>
      <c r="DX679" s="1116"/>
      <c r="DY679" s="1116"/>
      <c r="DZ679" s="1116"/>
      <c r="EA679" s="1116"/>
      <c r="EB679" s="1116"/>
      <c r="EC679" s="1116"/>
      <c r="ED679" s="1116"/>
      <c r="EE679" s="1116"/>
      <c r="EF679" s="1116"/>
      <c r="EG679" s="1116"/>
      <c r="EH679" s="1116"/>
      <c r="EI679" s="1116"/>
      <c r="EJ679" s="1116"/>
      <c r="EK679" s="1116"/>
      <c r="EL679" s="1116"/>
      <c r="EM679" s="1116"/>
      <c r="EN679" s="1116"/>
      <c r="EO679" s="1116"/>
      <c r="EP679" s="1116"/>
      <c r="EQ679" s="1116"/>
      <c r="ER679" s="1116"/>
      <c r="ES679" s="1116"/>
    </row>
    <row r="680" spans="1:149" ht="15" customHeight="1">
      <c r="A680" s="1185">
        <v>665</v>
      </c>
      <c r="B680" s="1041"/>
      <c r="C680" s="1050"/>
      <c r="D680" s="1050"/>
      <c r="E680" s="1050"/>
      <c r="F680" s="1049"/>
      <c r="G680" s="1457"/>
      <c r="H680" s="1049"/>
      <c r="I680" s="1049"/>
      <c r="J680" s="1050"/>
      <c r="K680" s="1050"/>
      <c r="L680" s="1043"/>
      <c r="M680" s="1051"/>
      <c r="N680" s="1051"/>
      <c r="O680" s="1052"/>
      <c r="P680" s="1051"/>
      <c r="Q680" s="1051"/>
      <c r="R680" s="1052"/>
      <c r="S680" s="1051"/>
      <c r="T680" s="1051"/>
      <c r="U680" s="1052"/>
      <c r="V680" s="1051"/>
      <c r="W680" s="1051"/>
      <c r="X680" s="1052"/>
      <c r="Y680" s="1053"/>
      <c r="Z680" s="1051"/>
      <c r="AA680" s="1051"/>
      <c r="AB680" s="1052"/>
      <c r="AC680" s="1051"/>
      <c r="AD680" s="1051"/>
      <c r="AE680" s="1052"/>
      <c r="AF680" s="1051"/>
      <c r="AG680" s="1051"/>
      <c r="AH680" s="1051"/>
      <c r="AI680" s="1051"/>
      <c r="AJ680" s="1052"/>
      <c r="AK680" s="1051"/>
      <c r="AL680" s="1051"/>
      <c r="AM680" s="1052"/>
      <c r="AN680" s="1051"/>
      <c r="AO680" s="1051"/>
      <c r="AP680" s="1052"/>
      <c r="AQ680" s="1051"/>
      <c r="AR680" s="1051"/>
      <c r="AS680" s="1052"/>
      <c r="AT680" s="1051"/>
      <c r="AU680" s="1051"/>
      <c r="AV680" s="1052"/>
      <c r="AW680" s="1051"/>
      <c r="AX680" s="1051"/>
      <c r="AY680" s="1053"/>
      <c r="AZ680" s="1051"/>
      <c r="BA680" s="1051"/>
      <c r="BB680" s="1053"/>
      <c r="BC680" s="1051"/>
      <c r="BD680" s="1051"/>
      <c r="BE680" s="1053"/>
      <c r="BF680" s="1051"/>
      <c r="BG680" s="1051"/>
      <c r="BH680" s="1053"/>
      <c r="BI680" s="1052"/>
      <c r="BJ680" s="1052"/>
      <c r="BK680" s="1052"/>
      <c r="BL680" s="1052"/>
      <c r="BM680" s="1052"/>
      <c r="BN680" s="1054"/>
      <c r="BO680" s="1076">
        <f t="shared" si="21"/>
        <v>0</v>
      </c>
      <c r="BP680" s="1051"/>
      <c r="BQ680" s="1052"/>
      <c r="BR680" s="1054"/>
      <c r="BS680" s="1053"/>
      <c r="BT680" s="1051"/>
      <c r="BU680" s="1051"/>
      <c r="BV680" s="1051"/>
      <c r="BW680" s="1052"/>
      <c r="BX680" s="1052"/>
      <c r="BY680" s="1052"/>
      <c r="BZ680" s="1052"/>
      <c r="CA680" s="1052"/>
      <c r="CB680" s="1053"/>
      <c r="CC680" s="1053"/>
      <c r="CD680" s="1053"/>
      <c r="CE680" s="1053"/>
      <c r="CF680" s="1053"/>
      <c r="CG680" s="1053"/>
      <c r="CH680" s="1053"/>
      <c r="CI680" s="1123"/>
      <c r="CJ680" s="1123"/>
      <c r="CK680" s="1123"/>
      <c r="CL680" s="1123"/>
      <c r="CM680" s="1123"/>
      <c r="CN680" s="1123"/>
      <c r="CO680" s="1123"/>
      <c r="CP680" s="1123"/>
      <c r="CQ680" s="1123"/>
      <c r="CR680" s="1123"/>
      <c r="CS680" s="1123"/>
      <c r="CT680" s="1123"/>
      <c r="CU680" s="1123"/>
      <c r="CV680" s="1123"/>
      <c r="CW680" s="1123"/>
      <c r="CX680" s="1123"/>
      <c r="CY680" s="1123"/>
      <c r="CZ680" s="1114"/>
      <c r="DA680" s="1114"/>
      <c r="DB680" s="1114"/>
      <c r="DC680" s="1114"/>
      <c r="DD680" s="1114"/>
      <c r="DE680" s="1114"/>
      <c r="DF680" s="1114"/>
      <c r="DG680" s="1114"/>
      <c r="DH680" s="1114"/>
      <c r="DI680" s="1114"/>
      <c r="DJ680" s="1114"/>
      <c r="DK680" s="1114"/>
      <c r="DL680" s="1114"/>
      <c r="DM680" s="1114"/>
      <c r="DN680" s="1114"/>
      <c r="DO680" s="1114"/>
      <c r="DP680" s="1114"/>
      <c r="DQ680" s="1114"/>
      <c r="DR680" s="1114"/>
      <c r="DS680" s="1114"/>
      <c r="DT680" s="1114"/>
      <c r="DU680" s="1114"/>
      <c r="DV680" s="1115"/>
      <c r="DW680" s="1116"/>
      <c r="DX680" s="1116"/>
      <c r="DY680" s="1116"/>
      <c r="DZ680" s="1116"/>
      <c r="EA680" s="1116"/>
      <c r="EB680" s="1116"/>
      <c r="EC680" s="1116"/>
      <c r="ED680" s="1116"/>
      <c r="EE680" s="1116"/>
      <c r="EF680" s="1116"/>
      <c r="EG680" s="1116"/>
      <c r="EH680" s="1116"/>
      <c r="EI680" s="1116"/>
      <c r="EJ680" s="1116"/>
      <c r="EK680" s="1116"/>
      <c r="EL680" s="1116"/>
      <c r="EM680" s="1116"/>
      <c r="EN680" s="1116"/>
      <c r="EO680" s="1116"/>
      <c r="EP680" s="1116"/>
      <c r="EQ680" s="1116"/>
      <c r="ER680" s="1116"/>
      <c r="ES680" s="1116"/>
    </row>
    <row r="681" spans="1:149" ht="15" customHeight="1">
      <c r="A681" s="1185">
        <v>666</v>
      </c>
      <c r="B681" s="1041"/>
      <c r="C681" s="1050"/>
      <c r="D681" s="1050"/>
      <c r="E681" s="1050"/>
      <c r="F681" s="1049"/>
      <c r="G681" s="1457"/>
      <c r="H681" s="1049"/>
      <c r="I681" s="1049"/>
      <c r="J681" s="1050"/>
      <c r="K681" s="1050"/>
      <c r="L681" s="1043"/>
      <c r="M681" s="1051"/>
      <c r="N681" s="1051"/>
      <c r="O681" s="1052"/>
      <c r="P681" s="1051"/>
      <c r="Q681" s="1051"/>
      <c r="R681" s="1052"/>
      <c r="S681" s="1051"/>
      <c r="T681" s="1051"/>
      <c r="U681" s="1052"/>
      <c r="V681" s="1051"/>
      <c r="W681" s="1051"/>
      <c r="X681" s="1052"/>
      <c r="Y681" s="1053"/>
      <c r="Z681" s="1051"/>
      <c r="AA681" s="1051"/>
      <c r="AB681" s="1052"/>
      <c r="AC681" s="1051"/>
      <c r="AD681" s="1051"/>
      <c r="AE681" s="1052"/>
      <c r="AF681" s="1051"/>
      <c r="AG681" s="1051"/>
      <c r="AH681" s="1051"/>
      <c r="AI681" s="1051"/>
      <c r="AJ681" s="1052"/>
      <c r="AK681" s="1051"/>
      <c r="AL681" s="1051"/>
      <c r="AM681" s="1052"/>
      <c r="AN681" s="1051"/>
      <c r="AO681" s="1051"/>
      <c r="AP681" s="1052"/>
      <c r="AQ681" s="1051"/>
      <c r="AR681" s="1051"/>
      <c r="AS681" s="1052"/>
      <c r="AT681" s="1051"/>
      <c r="AU681" s="1051"/>
      <c r="AV681" s="1052"/>
      <c r="AW681" s="1051"/>
      <c r="AX681" s="1051"/>
      <c r="AY681" s="1053"/>
      <c r="AZ681" s="1051"/>
      <c r="BA681" s="1051"/>
      <c r="BB681" s="1053"/>
      <c r="BC681" s="1051"/>
      <c r="BD681" s="1051"/>
      <c r="BE681" s="1053"/>
      <c r="BF681" s="1051"/>
      <c r="BG681" s="1051"/>
      <c r="BH681" s="1053"/>
      <c r="BI681" s="1052"/>
      <c r="BJ681" s="1052"/>
      <c r="BK681" s="1052"/>
      <c r="BL681" s="1052"/>
      <c r="BM681" s="1052"/>
      <c r="BN681" s="1054"/>
      <c r="BO681" s="1076">
        <f t="shared" si="21"/>
        <v>0</v>
      </c>
      <c r="BP681" s="1051"/>
      <c r="BQ681" s="1052"/>
      <c r="BR681" s="1054"/>
      <c r="BS681" s="1053"/>
      <c r="BT681" s="1051"/>
      <c r="BU681" s="1051"/>
      <c r="BV681" s="1051"/>
      <c r="BW681" s="1052"/>
      <c r="BX681" s="1052"/>
      <c r="BY681" s="1052"/>
      <c r="BZ681" s="1052"/>
      <c r="CA681" s="1052"/>
      <c r="CB681" s="1053"/>
      <c r="CC681" s="1053"/>
      <c r="CD681" s="1053"/>
      <c r="CE681" s="1053"/>
      <c r="CF681" s="1053"/>
      <c r="CG681" s="1053"/>
      <c r="CH681" s="1053"/>
      <c r="CI681" s="1123"/>
      <c r="CJ681" s="1123"/>
      <c r="CK681" s="1123"/>
      <c r="CL681" s="1123"/>
      <c r="CM681" s="1123"/>
      <c r="CN681" s="1123"/>
      <c r="CO681" s="1123"/>
      <c r="CP681" s="1123"/>
      <c r="CQ681" s="1123"/>
      <c r="CR681" s="1123"/>
      <c r="CS681" s="1123"/>
      <c r="CT681" s="1123"/>
      <c r="CU681" s="1123"/>
      <c r="CV681" s="1123"/>
      <c r="CW681" s="1123"/>
      <c r="CX681" s="1123"/>
      <c r="CY681" s="1123"/>
      <c r="CZ681" s="1114"/>
      <c r="DA681" s="1114"/>
      <c r="DB681" s="1114"/>
      <c r="DC681" s="1114"/>
      <c r="DD681" s="1114"/>
      <c r="DE681" s="1114"/>
      <c r="DF681" s="1114"/>
      <c r="DG681" s="1114"/>
      <c r="DH681" s="1114"/>
      <c r="DI681" s="1114"/>
      <c r="DJ681" s="1114"/>
      <c r="DK681" s="1114"/>
      <c r="DL681" s="1114"/>
      <c r="DM681" s="1114"/>
      <c r="DN681" s="1114"/>
      <c r="DO681" s="1114"/>
      <c r="DP681" s="1114"/>
      <c r="DQ681" s="1114"/>
      <c r="DR681" s="1114"/>
      <c r="DS681" s="1114"/>
      <c r="DT681" s="1114"/>
      <c r="DU681" s="1114"/>
      <c r="DV681" s="1115"/>
      <c r="DW681" s="1116"/>
      <c r="DX681" s="1116"/>
      <c r="DY681" s="1116"/>
      <c r="DZ681" s="1116"/>
      <c r="EA681" s="1116"/>
      <c r="EB681" s="1116"/>
      <c r="EC681" s="1116"/>
      <c r="ED681" s="1116"/>
      <c r="EE681" s="1116"/>
      <c r="EF681" s="1116"/>
      <c r="EG681" s="1116"/>
      <c r="EH681" s="1116"/>
      <c r="EI681" s="1116"/>
      <c r="EJ681" s="1116"/>
      <c r="EK681" s="1116"/>
      <c r="EL681" s="1116"/>
      <c r="EM681" s="1116"/>
      <c r="EN681" s="1116"/>
      <c r="EO681" s="1116"/>
      <c r="EP681" s="1116"/>
      <c r="EQ681" s="1116"/>
      <c r="ER681" s="1116"/>
      <c r="ES681" s="1116"/>
    </row>
    <row r="682" spans="1:149" ht="15" customHeight="1">
      <c r="A682" s="1185">
        <v>667</v>
      </c>
      <c r="B682" s="1041"/>
      <c r="C682" s="1050"/>
      <c r="D682" s="1050"/>
      <c r="E682" s="1050"/>
      <c r="F682" s="1049"/>
      <c r="G682" s="1457"/>
      <c r="H682" s="1049"/>
      <c r="I682" s="1049"/>
      <c r="J682" s="1050"/>
      <c r="K682" s="1050"/>
      <c r="L682" s="1043"/>
      <c r="M682" s="1051"/>
      <c r="N682" s="1051"/>
      <c r="O682" s="1052"/>
      <c r="P682" s="1051"/>
      <c r="Q682" s="1051"/>
      <c r="R682" s="1052"/>
      <c r="S682" s="1051"/>
      <c r="T682" s="1051"/>
      <c r="U682" s="1052"/>
      <c r="V682" s="1051"/>
      <c r="W682" s="1051"/>
      <c r="X682" s="1052"/>
      <c r="Y682" s="1053"/>
      <c r="Z682" s="1051"/>
      <c r="AA682" s="1051"/>
      <c r="AB682" s="1052"/>
      <c r="AC682" s="1051"/>
      <c r="AD682" s="1051"/>
      <c r="AE682" s="1052"/>
      <c r="AF682" s="1051"/>
      <c r="AG682" s="1051"/>
      <c r="AH682" s="1051"/>
      <c r="AI682" s="1051"/>
      <c r="AJ682" s="1052"/>
      <c r="AK682" s="1051"/>
      <c r="AL682" s="1051"/>
      <c r="AM682" s="1052"/>
      <c r="AN682" s="1051"/>
      <c r="AO682" s="1051"/>
      <c r="AP682" s="1052"/>
      <c r="AQ682" s="1051"/>
      <c r="AR682" s="1051"/>
      <c r="AS682" s="1052"/>
      <c r="AT682" s="1051"/>
      <c r="AU682" s="1051"/>
      <c r="AV682" s="1052"/>
      <c r="AW682" s="1051"/>
      <c r="AX682" s="1051"/>
      <c r="AY682" s="1053"/>
      <c r="AZ682" s="1051"/>
      <c r="BA682" s="1051"/>
      <c r="BB682" s="1053"/>
      <c r="BC682" s="1051"/>
      <c r="BD682" s="1051"/>
      <c r="BE682" s="1053"/>
      <c r="BF682" s="1051"/>
      <c r="BG682" s="1051"/>
      <c r="BH682" s="1053"/>
      <c r="BI682" s="1052"/>
      <c r="BJ682" s="1052"/>
      <c r="BK682" s="1052"/>
      <c r="BL682" s="1052"/>
      <c r="BM682" s="1052"/>
      <c r="BN682" s="1054"/>
      <c r="BO682" s="1076">
        <f t="shared" si="21"/>
        <v>0</v>
      </c>
      <c r="BP682" s="1051"/>
      <c r="BQ682" s="1052"/>
      <c r="BR682" s="1054"/>
      <c r="BS682" s="1053"/>
      <c r="BT682" s="1051"/>
      <c r="BU682" s="1051"/>
      <c r="BV682" s="1051"/>
      <c r="BW682" s="1052"/>
      <c r="BX682" s="1052"/>
      <c r="BY682" s="1052"/>
      <c r="BZ682" s="1052"/>
      <c r="CA682" s="1052"/>
      <c r="CB682" s="1053"/>
      <c r="CC682" s="1053"/>
      <c r="CD682" s="1053"/>
      <c r="CE682" s="1053"/>
      <c r="CF682" s="1053"/>
      <c r="CG682" s="1053"/>
      <c r="CH682" s="1053"/>
      <c r="CI682" s="1123"/>
      <c r="CJ682" s="1123"/>
      <c r="CK682" s="1123"/>
      <c r="CL682" s="1123"/>
      <c r="CM682" s="1123"/>
      <c r="CN682" s="1123"/>
      <c r="CO682" s="1123"/>
      <c r="CP682" s="1123"/>
      <c r="CQ682" s="1123"/>
      <c r="CR682" s="1123"/>
      <c r="CS682" s="1123"/>
      <c r="CT682" s="1123"/>
      <c r="CU682" s="1123"/>
      <c r="CV682" s="1123"/>
      <c r="CW682" s="1123"/>
      <c r="CX682" s="1123"/>
      <c r="CY682" s="1123"/>
      <c r="CZ682" s="1114"/>
      <c r="DA682" s="1114"/>
      <c r="DB682" s="1114"/>
      <c r="DC682" s="1114"/>
      <c r="DD682" s="1114"/>
      <c r="DE682" s="1114"/>
      <c r="DF682" s="1114"/>
      <c r="DG682" s="1114"/>
      <c r="DH682" s="1114"/>
      <c r="DI682" s="1114"/>
      <c r="DJ682" s="1114"/>
      <c r="DK682" s="1114"/>
      <c r="DL682" s="1114"/>
      <c r="DM682" s="1114"/>
      <c r="DN682" s="1114"/>
      <c r="DO682" s="1114"/>
      <c r="DP682" s="1114"/>
      <c r="DQ682" s="1114"/>
      <c r="DR682" s="1114"/>
      <c r="DS682" s="1114"/>
      <c r="DT682" s="1114"/>
      <c r="DU682" s="1114"/>
      <c r="DV682" s="1115"/>
      <c r="DW682" s="1116"/>
      <c r="DX682" s="1116"/>
      <c r="DY682" s="1116"/>
      <c r="DZ682" s="1116"/>
      <c r="EA682" s="1116"/>
      <c r="EB682" s="1116"/>
      <c r="EC682" s="1116"/>
      <c r="ED682" s="1116"/>
      <c r="EE682" s="1116"/>
      <c r="EF682" s="1116"/>
      <c r="EG682" s="1116"/>
      <c r="EH682" s="1116"/>
      <c r="EI682" s="1116"/>
      <c r="EJ682" s="1116"/>
      <c r="EK682" s="1116"/>
      <c r="EL682" s="1116"/>
      <c r="EM682" s="1116"/>
      <c r="EN682" s="1116"/>
      <c r="EO682" s="1116"/>
      <c r="EP682" s="1116"/>
      <c r="EQ682" s="1116"/>
      <c r="ER682" s="1116"/>
      <c r="ES682" s="1116"/>
    </row>
    <row r="683" spans="1:149" ht="15" customHeight="1">
      <c r="A683" s="1185">
        <v>668</v>
      </c>
      <c r="B683" s="1041"/>
      <c r="C683" s="1050"/>
      <c r="D683" s="1050"/>
      <c r="E683" s="1050"/>
      <c r="F683" s="1049"/>
      <c r="G683" s="1457"/>
      <c r="H683" s="1049"/>
      <c r="I683" s="1049"/>
      <c r="J683" s="1050"/>
      <c r="K683" s="1050"/>
      <c r="L683" s="1043"/>
      <c r="M683" s="1051"/>
      <c r="N683" s="1051"/>
      <c r="O683" s="1052"/>
      <c r="P683" s="1051"/>
      <c r="Q683" s="1051"/>
      <c r="R683" s="1052"/>
      <c r="S683" s="1051"/>
      <c r="T683" s="1051"/>
      <c r="U683" s="1052"/>
      <c r="V683" s="1051"/>
      <c r="W683" s="1051"/>
      <c r="X683" s="1052"/>
      <c r="Y683" s="1053"/>
      <c r="Z683" s="1051"/>
      <c r="AA683" s="1051"/>
      <c r="AB683" s="1052"/>
      <c r="AC683" s="1051"/>
      <c r="AD683" s="1051"/>
      <c r="AE683" s="1052"/>
      <c r="AF683" s="1051"/>
      <c r="AG683" s="1051"/>
      <c r="AH683" s="1051"/>
      <c r="AI683" s="1051"/>
      <c r="AJ683" s="1052"/>
      <c r="AK683" s="1051"/>
      <c r="AL683" s="1051"/>
      <c r="AM683" s="1052"/>
      <c r="AN683" s="1051"/>
      <c r="AO683" s="1051"/>
      <c r="AP683" s="1052"/>
      <c r="AQ683" s="1051"/>
      <c r="AR683" s="1051"/>
      <c r="AS683" s="1052"/>
      <c r="AT683" s="1051"/>
      <c r="AU683" s="1051"/>
      <c r="AV683" s="1052"/>
      <c r="AW683" s="1051"/>
      <c r="AX683" s="1051"/>
      <c r="AY683" s="1053"/>
      <c r="AZ683" s="1051"/>
      <c r="BA683" s="1051"/>
      <c r="BB683" s="1053"/>
      <c r="BC683" s="1051"/>
      <c r="BD683" s="1051"/>
      <c r="BE683" s="1053"/>
      <c r="BF683" s="1051"/>
      <c r="BG683" s="1051"/>
      <c r="BH683" s="1053"/>
      <c r="BI683" s="1052"/>
      <c r="BJ683" s="1052"/>
      <c r="BK683" s="1052"/>
      <c r="BL683" s="1052"/>
      <c r="BM683" s="1052"/>
      <c r="BN683" s="1054"/>
      <c r="BO683" s="1076">
        <f t="shared" si="21"/>
        <v>0</v>
      </c>
      <c r="BP683" s="1051"/>
      <c r="BQ683" s="1052"/>
      <c r="BR683" s="1054"/>
      <c r="BS683" s="1053"/>
      <c r="BT683" s="1051"/>
      <c r="BU683" s="1051"/>
      <c r="BV683" s="1051"/>
      <c r="BW683" s="1052"/>
      <c r="BX683" s="1052"/>
      <c r="BY683" s="1052"/>
      <c r="BZ683" s="1052"/>
      <c r="CA683" s="1052"/>
      <c r="CB683" s="1053"/>
      <c r="CC683" s="1053"/>
      <c r="CD683" s="1053"/>
      <c r="CE683" s="1053"/>
      <c r="CF683" s="1053"/>
      <c r="CG683" s="1053"/>
      <c r="CH683" s="1053"/>
      <c r="CI683" s="1123"/>
      <c r="CJ683" s="1123"/>
      <c r="CK683" s="1123"/>
      <c r="CL683" s="1123"/>
      <c r="CM683" s="1123"/>
      <c r="CN683" s="1123"/>
      <c r="CO683" s="1123"/>
      <c r="CP683" s="1123"/>
      <c r="CQ683" s="1123"/>
      <c r="CR683" s="1123"/>
      <c r="CS683" s="1123"/>
      <c r="CT683" s="1123"/>
      <c r="CU683" s="1123"/>
      <c r="CV683" s="1123"/>
      <c r="CW683" s="1123"/>
      <c r="CX683" s="1123"/>
      <c r="CY683" s="1123"/>
      <c r="CZ683" s="1114"/>
      <c r="DA683" s="1114"/>
      <c r="DB683" s="1114"/>
      <c r="DC683" s="1114"/>
      <c r="DD683" s="1114"/>
      <c r="DE683" s="1114"/>
      <c r="DF683" s="1114"/>
      <c r="DG683" s="1114"/>
      <c r="DH683" s="1114"/>
      <c r="DI683" s="1114"/>
      <c r="DJ683" s="1114"/>
      <c r="DK683" s="1114"/>
      <c r="DL683" s="1114"/>
      <c r="DM683" s="1114"/>
      <c r="DN683" s="1114"/>
      <c r="DO683" s="1114"/>
      <c r="DP683" s="1114"/>
      <c r="DQ683" s="1114"/>
      <c r="DR683" s="1114"/>
      <c r="DS683" s="1114"/>
      <c r="DT683" s="1114"/>
      <c r="DU683" s="1114"/>
      <c r="DV683" s="1115"/>
      <c r="DW683" s="1116"/>
      <c r="DX683" s="1116"/>
      <c r="DY683" s="1116"/>
      <c r="DZ683" s="1116"/>
      <c r="EA683" s="1116"/>
      <c r="EB683" s="1116"/>
      <c r="EC683" s="1116"/>
      <c r="ED683" s="1116"/>
      <c r="EE683" s="1116"/>
      <c r="EF683" s="1116"/>
      <c r="EG683" s="1116"/>
      <c r="EH683" s="1116"/>
      <c r="EI683" s="1116"/>
      <c r="EJ683" s="1116"/>
      <c r="EK683" s="1116"/>
      <c r="EL683" s="1116"/>
      <c r="EM683" s="1116"/>
      <c r="EN683" s="1116"/>
      <c r="EO683" s="1116"/>
      <c r="EP683" s="1116"/>
      <c r="EQ683" s="1116"/>
      <c r="ER683" s="1116"/>
      <c r="ES683" s="1116"/>
    </row>
    <row r="684" spans="1:149" ht="15" customHeight="1">
      <c r="A684" s="1185">
        <v>669</v>
      </c>
      <c r="B684" s="1041"/>
      <c r="C684" s="1050"/>
      <c r="D684" s="1050"/>
      <c r="E684" s="1050"/>
      <c r="F684" s="1049"/>
      <c r="G684" s="1457"/>
      <c r="H684" s="1049"/>
      <c r="I684" s="1049"/>
      <c r="J684" s="1050"/>
      <c r="K684" s="1050"/>
      <c r="L684" s="1043"/>
      <c r="M684" s="1051"/>
      <c r="N684" s="1051"/>
      <c r="O684" s="1052"/>
      <c r="P684" s="1051"/>
      <c r="Q684" s="1051"/>
      <c r="R684" s="1052"/>
      <c r="S684" s="1051"/>
      <c r="T684" s="1051"/>
      <c r="U684" s="1052"/>
      <c r="V684" s="1051"/>
      <c r="W684" s="1051"/>
      <c r="X684" s="1052"/>
      <c r="Y684" s="1053"/>
      <c r="Z684" s="1051"/>
      <c r="AA684" s="1051"/>
      <c r="AB684" s="1052"/>
      <c r="AC684" s="1051"/>
      <c r="AD684" s="1051"/>
      <c r="AE684" s="1052"/>
      <c r="AF684" s="1051"/>
      <c r="AG684" s="1051"/>
      <c r="AH684" s="1051"/>
      <c r="AI684" s="1051"/>
      <c r="AJ684" s="1052"/>
      <c r="AK684" s="1051"/>
      <c r="AL684" s="1051"/>
      <c r="AM684" s="1052"/>
      <c r="AN684" s="1051"/>
      <c r="AO684" s="1051"/>
      <c r="AP684" s="1052"/>
      <c r="AQ684" s="1051"/>
      <c r="AR684" s="1051"/>
      <c r="AS684" s="1052"/>
      <c r="AT684" s="1051"/>
      <c r="AU684" s="1051"/>
      <c r="AV684" s="1052"/>
      <c r="AW684" s="1051"/>
      <c r="AX684" s="1051"/>
      <c r="AY684" s="1053"/>
      <c r="AZ684" s="1051"/>
      <c r="BA684" s="1051"/>
      <c r="BB684" s="1053"/>
      <c r="BC684" s="1051"/>
      <c r="BD684" s="1051"/>
      <c r="BE684" s="1053"/>
      <c r="BF684" s="1051"/>
      <c r="BG684" s="1051"/>
      <c r="BH684" s="1053"/>
      <c r="BI684" s="1052"/>
      <c r="BJ684" s="1052"/>
      <c r="BK684" s="1052"/>
      <c r="BL684" s="1052"/>
      <c r="BM684" s="1052"/>
      <c r="BN684" s="1054"/>
      <c r="BO684" s="1076">
        <f t="shared" si="21"/>
        <v>0</v>
      </c>
      <c r="BP684" s="1051"/>
      <c r="BQ684" s="1052"/>
      <c r="BR684" s="1054"/>
      <c r="BS684" s="1053"/>
      <c r="BT684" s="1051"/>
      <c r="BU684" s="1051"/>
      <c r="BV684" s="1051"/>
      <c r="BW684" s="1052"/>
      <c r="BX684" s="1052"/>
      <c r="BY684" s="1052"/>
      <c r="BZ684" s="1052"/>
      <c r="CA684" s="1052"/>
      <c r="CB684" s="1053"/>
      <c r="CC684" s="1053"/>
      <c r="CD684" s="1053"/>
      <c r="CE684" s="1053"/>
      <c r="CF684" s="1053"/>
      <c r="CG684" s="1053"/>
      <c r="CH684" s="1053"/>
      <c r="CI684" s="1123"/>
      <c r="CJ684" s="1123"/>
      <c r="CK684" s="1123"/>
      <c r="CL684" s="1123"/>
      <c r="CM684" s="1123"/>
      <c r="CN684" s="1123"/>
      <c r="CO684" s="1123"/>
      <c r="CP684" s="1123"/>
      <c r="CQ684" s="1123"/>
      <c r="CR684" s="1123"/>
      <c r="CS684" s="1123"/>
      <c r="CT684" s="1123"/>
      <c r="CU684" s="1123"/>
      <c r="CV684" s="1123"/>
      <c r="CW684" s="1123"/>
      <c r="CX684" s="1123"/>
      <c r="CY684" s="1123"/>
      <c r="CZ684" s="1114"/>
      <c r="DA684" s="1114"/>
      <c r="DB684" s="1114"/>
      <c r="DC684" s="1114"/>
      <c r="DD684" s="1114"/>
      <c r="DE684" s="1114"/>
      <c r="DF684" s="1114"/>
      <c r="DG684" s="1114"/>
      <c r="DH684" s="1114"/>
      <c r="DI684" s="1114"/>
      <c r="DJ684" s="1114"/>
      <c r="DK684" s="1114"/>
      <c r="DL684" s="1114"/>
      <c r="DM684" s="1114"/>
      <c r="DN684" s="1114"/>
      <c r="DO684" s="1114"/>
      <c r="DP684" s="1114"/>
      <c r="DQ684" s="1114"/>
      <c r="DR684" s="1114"/>
      <c r="DS684" s="1114"/>
      <c r="DT684" s="1114"/>
      <c r="DU684" s="1114"/>
      <c r="DV684" s="1115"/>
      <c r="DW684" s="1116"/>
      <c r="DX684" s="1116"/>
      <c r="DY684" s="1116"/>
      <c r="DZ684" s="1116"/>
      <c r="EA684" s="1116"/>
      <c r="EB684" s="1116"/>
      <c r="EC684" s="1116"/>
      <c r="ED684" s="1116"/>
      <c r="EE684" s="1116"/>
      <c r="EF684" s="1116"/>
      <c r="EG684" s="1116"/>
      <c r="EH684" s="1116"/>
      <c r="EI684" s="1116"/>
      <c r="EJ684" s="1116"/>
      <c r="EK684" s="1116"/>
      <c r="EL684" s="1116"/>
      <c r="EM684" s="1116"/>
      <c r="EN684" s="1116"/>
      <c r="EO684" s="1116"/>
      <c r="EP684" s="1116"/>
      <c r="EQ684" s="1116"/>
      <c r="ER684" s="1116"/>
      <c r="ES684" s="1116"/>
    </row>
    <row r="685" spans="1:149" ht="15" customHeight="1">
      <c r="A685" s="1185">
        <v>670</v>
      </c>
      <c r="B685" s="1041"/>
      <c r="C685" s="1050"/>
      <c r="D685" s="1050"/>
      <c r="E685" s="1050"/>
      <c r="F685" s="1049"/>
      <c r="G685" s="1457"/>
      <c r="H685" s="1049"/>
      <c r="I685" s="1049"/>
      <c r="J685" s="1050"/>
      <c r="K685" s="1050"/>
      <c r="L685" s="1043"/>
      <c r="M685" s="1051"/>
      <c r="N685" s="1051"/>
      <c r="O685" s="1052"/>
      <c r="P685" s="1051"/>
      <c r="Q685" s="1051"/>
      <c r="R685" s="1052"/>
      <c r="S685" s="1051"/>
      <c r="T685" s="1051"/>
      <c r="U685" s="1052"/>
      <c r="V685" s="1051"/>
      <c r="W685" s="1051"/>
      <c r="X685" s="1052"/>
      <c r="Y685" s="1053"/>
      <c r="Z685" s="1051"/>
      <c r="AA685" s="1051"/>
      <c r="AB685" s="1052"/>
      <c r="AC685" s="1051"/>
      <c r="AD685" s="1051"/>
      <c r="AE685" s="1052"/>
      <c r="AF685" s="1051"/>
      <c r="AG685" s="1051"/>
      <c r="AH685" s="1051"/>
      <c r="AI685" s="1051"/>
      <c r="AJ685" s="1052"/>
      <c r="AK685" s="1051"/>
      <c r="AL685" s="1051"/>
      <c r="AM685" s="1052"/>
      <c r="AN685" s="1051"/>
      <c r="AO685" s="1051"/>
      <c r="AP685" s="1052"/>
      <c r="AQ685" s="1051"/>
      <c r="AR685" s="1051"/>
      <c r="AS685" s="1052"/>
      <c r="AT685" s="1051"/>
      <c r="AU685" s="1051"/>
      <c r="AV685" s="1052"/>
      <c r="AW685" s="1051"/>
      <c r="AX685" s="1051"/>
      <c r="AY685" s="1053"/>
      <c r="AZ685" s="1051"/>
      <c r="BA685" s="1051"/>
      <c r="BB685" s="1053"/>
      <c r="BC685" s="1051"/>
      <c r="BD685" s="1051"/>
      <c r="BE685" s="1053"/>
      <c r="BF685" s="1051"/>
      <c r="BG685" s="1051"/>
      <c r="BH685" s="1053"/>
      <c r="BI685" s="1052"/>
      <c r="BJ685" s="1052"/>
      <c r="BK685" s="1052"/>
      <c r="BL685" s="1052"/>
      <c r="BM685" s="1052"/>
      <c r="BN685" s="1054"/>
      <c r="BO685" s="1076">
        <f t="shared" si="21"/>
        <v>0</v>
      </c>
      <c r="BP685" s="1051"/>
      <c r="BQ685" s="1052"/>
      <c r="BR685" s="1054"/>
      <c r="BS685" s="1053"/>
      <c r="BT685" s="1051"/>
      <c r="BU685" s="1051"/>
      <c r="BV685" s="1051"/>
      <c r="BW685" s="1052"/>
      <c r="BX685" s="1052"/>
      <c r="BY685" s="1052"/>
      <c r="BZ685" s="1052"/>
      <c r="CA685" s="1052"/>
      <c r="CB685" s="1053"/>
      <c r="CC685" s="1053"/>
      <c r="CD685" s="1053"/>
      <c r="CE685" s="1053"/>
      <c r="CF685" s="1053"/>
      <c r="CG685" s="1053"/>
      <c r="CH685" s="1053"/>
      <c r="CI685" s="1123"/>
      <c r="CJ685" s="1123"/>
      <c r="CK685" s="1123"/>
      <c r="CL685" s="1123"/>
      <c r="CM685" s="1123"/>
      <c r="CN685" s="1123"/>
      <c r="CO685" s="1123"/>
      <c r="CP685" s="1123"/>
      <c r="CQ685" s="1123"/>
      <c r="CR685" s="1123"/>
      <c r="CS685" s="1123"/>
      <c r="CT685" s="1123"/>
      <c r="CU685" s="1123"/>
      <c r="CV685" s="1123"/>
      <c r="CW685" s="1123"/>
      <c r="CX685" s="1123"/>
      <c r="CY685" s="1123"/>
      <c r="CZ685" s="1114"/>
      <c r="DA685" s="1114"/>
      <c r="DB685" s="1114"/>
      <c r="DC685" s="1114"/>
      <c r="DD685" s="1114"/>
      <c r="DE685" s="1114"/>
      <c r="DF685" s="1114"/>
      <c r="DG685" s="1114"/>
      <c r="DH685" s="1114"/>
      <c r="DI685" s="1114"/>
      <c r="DJ685" s="1114"/>
      <c r="DK685" s="1114"/>
      <c r="DL685" s="1114"/>
      <c r="DM685" s="1114"/>
      <c r="DN685" s="1114"/>
      <c r="DO685" s="1114"/>
      <c r="DP685" s="1114"/>
      <c r="DQ685" s="1114"/>
      <c r="DR685" s="1114"/>
      <c r="DS685" s="1114"/>
      <c r="DT685" s="1114"/>
      <c r="DU685" s="1114"/>
      <c r="DV685" s="1115"/>
      <c r="DW685" s="1116"/>
      <c r="DX685" s="1116"/>
      <c r="DY685" s="1116"/>
      <c r="DZ685" s="1116"/>
      <c r="EA685" s="1116"/>
      <c r="EB685" s="1116"/>
      <c r="EC685" s="1116"/>
      <c r="ED685" s="1116"/>
      <c r="EE685" s="1116"/>
      <c r="EF685" s="1116"/>
      <c r="EG685" s="1116"/>
      <c r="EH685" s="1116"/>
      <c r="EI685" s="1116"/>
      <c r="EJ685" s="1116"/>
      <c r="EK685" s="1116"/>
      <c r="EL685" s="1116"/>
      <c r="EM685" s="1116"/>
      <c r="EN685" s="1116"/>
      <c r="EO685" s="1116"/>
      <c r="EP685" s="1116"/>
      <c r="EQ685" s="1116"/>
      <c r="ER685" s="1116"/>
      <c r="ES685" s="1116"/>
    </row>
    <row r="686" spans="1:149" ht="15" customHeight="1">
      <c r="A686" s="1185">
        <v>671</v>
      </c>
      <c r="B686" s="1041"/>
      <c r="C686" s="1050"/>
      <c r="D686" s="1050"/>
      <c r="E686" s="1050"/>
      <c r="F686" s="1049"/>
      <c r="G686" s="1457"/>
      <c r="H686" s="1049"/>
      <c r="I686" s="1049"/>
      <c r="J686" s="1050"/>
      <c r="K686" s="1050"/>
      <c r="L686" s="1043"/>
      <c r="M686" s="1051"/>
      <c r="N686" s="1051"/>
      <c r="O686" s="1052"/>
      <c r="P686" s="1051"/>
      <c r="Q686" s="1051"/>
      <c r="R686" s="1052"/>
      <c r="S686" s="1051"/>
      <c r="T686" s="1051"/>
      <c r="U686" s="1052"/>
      <c r="V686" s="1051"/>
      <c r="W686" s="1051"/>
      <c r="X686" s="1052"/>
      <c r="Y686" s="1053"/>
      <c r="Z686" s="1051"/>
      <c r="AA686" s="1051"/>
      <c r="AB686" s="1052"/>
      <c r="AC686" s="1051"/>
      <c r="AD686" s="1051"/>
      <c r="AE686" s="1052"/>
      <c r="AF686" s="1051"/>
      <c r="AG686" s="1051"/>
      <c r="AH686" s="1051"/>
      <c r="AI686" s="1051"/>
      <c r="AJ686" s="1052"/>
      <c r="AK686" s="1051"/>
      <c r="AL686" s="1051"/>
      <c r="AM686" s="1052"/>
      <c r="AN686" s="1051"/>
      <c r="AO686" s="1051"/>
      <c r="AP686" s="1052"/>
      <c r="AQ686" s="1051"/>
      <c r="AR686" s="1051"/>
      <c r="AS686" s="1052"/>
      <c r="AT686" s="1051"/>
      <c r="AU686" s="1051"/>
      <c r="AV686" s="1052"/>
      <c r="AW686" s="1051"/>
      <c r="AX686" s="1051"/>
      <c r="AY686" s="1053"/>
      <c r="AZ686" s="1051"/>
      <c r="BA686" s="1051"/>
      <c r="BB686" s="1053"/>
      <c r="BC686" s="1051"/>
      <c r="BD686" s="1051"/>
      <c r="BE686" s="1053"/>
      <c r="BF686" s="1051"/>
      <c r="BG686" s="1051"/>
      <c r="BH686" s="1053"/>
      <c r="BI686" s="1052"/>
      <c r="BJ686" s="1052"/>
      <c r="BK686" s="1052"/>
      <c r="BL686" s="1052"/>
      <c r="BM686" s="1052"/>
      <c r="BN686" s="1054"/>
      <c r="BO686" s="1076">
        <f t="shared" si="21"/>
        <v>0</v>
      </c>
      <c r="BP686" s="1051"/>
      <c r="BQ686" s="1052"/>
      <c r="BR686" s="1054"/>
      <c r="BS686" s="1053"/>
      <c r="BT686" s="1051"/>
      <c r="BU686" s="1051"/>
      <c r="BV686" s="1051"/>
      <c r="BW686" s="1052"/>
      <c r="BX686" s="1052"/>
      <c r="BY686" s="1052"/>
      <c r="BZ686" s="1052"/>
      <c r="CA686" s="1052"/>
      <c r="CB686" s="1053"/>
      <c r="CC686" s="1053"/>
      <c r="CD686" s="1053"/>
      <c r="CE686" s="1053"/>
      <c r="CF686" s="1053"/>
      <c r="CG686" s="1053"/>
      <c r="CH686" s="1053"/>
      <c r="CI686" s="1123"/>
      <c r="CJ686" s="1123"/>
      <c r="CK686" s="1123"/>
      <c r="CL686" s="1123"/>
      <c r="CM686" s="1123"/>
      <c r="CN686" s="1123"/>
      <c r="CO686" s="1123"/>
      <c r="CP686" s="1123"/>
      <c r="CQ686" s="1123"/>
      <c r="CR686" s="1123"/>
      <c r="CS686" s="1123"/>
      <c r="CT686" s="1123"/>
      <c r="CU686" s="1123"/>
      <c r="CV686" s="1123"/>
      <c r="CW686" s="1123"/>
      <c r="CX686" s="1123"/>
      <c r="CY686" s="1123"/>
      <c r="CZ686" s="1114"/>
      <c r="DA686" s="1114"/>
      <c r="DB686" s="1114"/>
      <c r="DC686" s="1114"/>
      <c r="DD686" s="1114"/>
      <c r="DE686" s="1114"/>
      <c r="DF686" s="1114"/>
      <c r="DG686" s="1114"/>
      <c r="DH686" s="1114"/>
      <c r="DI686" s="1114"/>
      <c r="DJ686" s="1114"/>
      <c r="DK686" s="1114"/>
      <c r="DL686" s="1114"/>
      <c r="DM686" s="1114"/>
      <c r="DN686" s="1114"/>
      <c r="DO686" s="1114"/>
      <c r="DP686" s="1114"/>
      <c r="DQ686" s="1114"/>
      <c r="DR686" s="1114"/>
      <c r="DS686" s="1114"/>
      <c r="DT686" s="1114"/>
      <c r="DU686" s="1114"/>
      <c r="DV686" s="1115"/>
      <c r="DW686" s="1116"/>
      <c r="DX686" s="1116"/>
      <c r="DY686" s="1116"/>
      <c r="DZ686" s="1116"/>
      <c r="EA686" s="1116"/>
      <c r="EB686" s="1116"/>
      <c r="EC686" s="1116"/>
      <c r="ED686" s="1116"/>
      <c r="EE686" s="1116"/>
      <c r="EF686" s="1116"/>
      <c r="EG686" s="1116"/>
      <c r="EH686" s="1116"/>
      <c r="EI686" s="1116"/>
      <c r="EJ686" s="1116"/>
      <c r="EK686" s="1116"/>
      <c r="EL686" s="1116"/>
      <c r="EM686" s="1116"/>
      <c r="EN686" s="1116"/>
      <c r="EO686" s="1116"/>
      <c r="EP686" s="1116"/>
      <c r="EQ686" s="1116"/>
      <c r="ER686" s="1116"/>
      <c r="ES686" s="1116"/>
    </row>
    <row r="687" spans="1:149" ht="15" customHeight="1">
      <c r="A687" s="1185">
        <v>672</v>
      </c>
      <c r="B687" s="1041"/>
      <c r="C687" s="1050"/>
      <c r="D687" s="1050"/>
      <c r="E687" s="1050"/>
      <c r="F687" s="1049"/>
      <c r="G687" s="1457"/>
      <c r="H687" s="1049"/>
      <c r="I687" s="1049"/>
      <c r="J687" s="1050"/>
      <c r="K687" s="1050"/>
      <c r="L687" s="1043"/>
      <c r="M687" s="1051"/>
      <c r="N687" s="1051"/>
      <c r="O687" s="1052"/>
      <c r="P687" s="1051"/>
      <c r="Q687" s="1051"/>
      <c r="R687" s="1052"/>
      <c r="S687" s="1051"/>
      <c r="T687" s="1051"/>
      <c r="U687" s="1052"/>
      <c r="V687" s="1051"/>
      <c r="W687" s="1051"/>
      <c r="X687" s="1052"/>
      <c r="Y687" s="1053"/>
      <c r="Z687" s="1051"/>
      <c r="AA687" s="1051"/>
      <c r="AB687" s="1052"/>
      <c r="AC687" s="1051"/>
      <c r="AD687" s="1051"/>
      <c r="AE687" s="1052"/>
      <c r="AF687" s="1051"/>
      <c r="AG687" s="1051"/>
      <c r="AH687" s="1051"/>
      <c r="AI687" s="1051"/>
      <c r="AJ687" s="1052"/>
      <c r="AK687" s="1051"/>
      <c r="AL687" s="1051"/>
      <c r="AM687" s="1052"/>
      <c r="AN687" s="1051"/>
      <c r="AO687" s="1051"/>
      <c r="AP687" s="1052"/>
      <c r="AQ687" s="1051"/>
      <c r="AR687" s="1051"/>
      <c r="AS687" s="1052"/>
      <c r="AT687" s="1051"/>
      <c r="AU687" s="1051"/>
      <c r="AV687" s="1052"/>
      <c r="AW687" s="1051"/>
      <c r="AX687" s="1051"/>
      <c r="AY687" s="1053"/>
      <c r="AZ687" s="1051"/>
      <c r="BA687" s="1051"/>
      <c r="BB687" s="1053"/>
      <c r="BC687" s="1051"/>
      <c r="BD687" s="1051"/>
      <c r="BE687" s="1053"/>
      <c r="BF687" s="1051"/>
      <c r="BG687" s="1051"/>
      <c r="BH687" s="1053"/>
      <c r="BI687" s="1052"/>
      <c r="BJ687" s="1052"/>
      <c r="BK687" s="1052"/>
      <c r="BL687" s="1052"/>
      <c r="BM687" s="1052"/>
      <c r="BN687" s="1054"/>
      <c r="BO687" s="1076">
        <f t="shared" si="21"/>
        <v>0</v>
      </c>
      <c r="BP687" s="1051"/>
      <c r="BQ687" s="1052"/>
      <c r="BR687" s="1054"/>
      <c r="BS687" s="1053"/>
      <c r="BT687" s="1051"/>
      <c r="BU687" s="1051"/>
      <c r="BV687" s="1051"/>
      <c r="BW687" s="1052"/>
      <c r="BX687" s="1052"/>
      <c r="BY687" s="1052"/>
      <c r="BZ687" s="1052"/>
      <c r="CA687" s="1052"/>
      <c r="CB687" s="1053"/>
      <c r="CC687" s="1053"/>
      <c r="CD687" s="1053"/>
      <c r="CE687" s="1053"/>
      <c r="CF687" s="1053"/>
      <c r="CG687" s="1053"/>
      <c r="CH687" s="1053"/>
      <c r="CI687" s="1123"/>
      <c r="CJ687" s="1123"/>
      <c r="CK687" s="1123"/>
      <c r="CL687" s="1123"/>
      <c r="CM687" s="1123"/>
      <c r="CN687" s="1123"/>
      <c r="CO687" s="1123"/>
      <c r="CP687" s="1123"/>
      <c r="CQ687" s="1123"/>
      <c r="CR687" s="1123"/>
      <c r="CS687" s="1123"/>
      <c r="CT687" s="1123"/>
      <c r="CU687" s="1123"/>
      <c r="CV687" s="1123"/>
      <c r="CW687" s="1123"/>
      <c r="CX687" s="1123"/>
      <c r="CY687" s="1123"/>
      <c r="CZ687" s="1114"/>
      <c r="DA687" s="1114"/>
      <c r="DB687" s="1114"/>
      <c r="DC687" s="1114"/>
      <c r="DD687" s="1114"/>
      <c r="DE687" s="1114"/>
      <c r="DF687" s="1114"/>
      <c r="DG687" s="1114"/>
      <c r="DH687" s="1114"/>
      <c r="DI687" s="1114"/>
      <c r="DJ687" s="1114"/>
      <c r="DK687" s="1114"/>
      <c r="DL687" s="1114"/>
      <c r="DM687" s="1114"/>
      <c r="DN687" s="1114"/>
      <c r="DO687" s="1114"/>
      <c r="DP687" s="1114"/>
      <c r="DQ687" s="1114"/>
      <c r="DR687" s="1114"/>
      <c r="DS687" s="1114"/>
      <c r="DT687" s="1114"/>
      <c r="DU687" s="1114"/>
      <c r="DV687" s="1115"/>
      <c r="DW687" s="1116"/>
      <c r="DX687" s="1116"/>
      <c r="DY687" s="1116"/>
      <c r="DZ687" s="1116"/>
      <c r="EA687" s="1116"/>
      <c r="EB687" s="1116"/>
      <c r="EC687" s="1116"/>
      <c r="ED687" s="1116"/>
      <c r="EE687" s="1116"/>
      <c r="EF687" s="1116"/>
      <c r="EG687" s="1116"/>
      <c r="EH687" s="1116"/>
      <c r="EI687" s="1116"/>
      <c r="EJ687" s="1116"/>
      <c r="EK687" s="1116"/>
      <c r="EL687" s="1116"/>
      <c r="EM687" s="1116"/>
      <c r="EN687" s="1116"/>
      <c r="EO687" s="1116"/>
      <c r="EP687" s="1116"/>
      <c r="EQ687" s="1116"/>
      <c r="ER687" s="1116"/>
      <c r="ES687" s="1116"/>
    </row>
    <row r="688" spans="1:149" ht="15" customHeight="1">
      <c r="A688" s="1185">
        <v>673</v>
      </c>
      <c r="B688" s="1041"/>
      <c r="C688" s="1050"/>
      <c r="D688" s="1050"/>
      <c r="E688" s="1050"/>
      <c r="F688" s="1049"/>
      <c r="G688" s="1457"/>
      <c r="H688" s="1049"/>
      <c r="I688" s="1049"/>
      <c r="J688" s="1050"/>
      <c r="K688" s="1050"/>
      <c r="L688" s="1043"/>
      <c r="M688" s="1051"/>
      <c r="N688" s="1051"/>
      <c r="O688" s="1052"/>
      <c r="P688" s="1051"/>
      <c r="Q688" s="1051"/>
      <c r="R688" s="1052"/>
      <c r="S688" s="1051"/>
      <c r="T688" s="1051"/>
      <c r="U688" s="1052"/>
      <c r="V688" s="1051"/>
      <c r="W688" s="1051"/>
      <c r="X688" s="1052"/>
      <c r="Y688" s="1053"/>
      <c r="Z688" s="1051"/>
      <c r="AA688" s="1051"/>
      <c r="AB688" s="1052"/>
      <c r="AC688" s="1051"/>
      <c r="AD688" s="1051"/>
      <c r="AE688" s="1052"/>
      <c r="AF688" s="1051"/>
      <c r="AG688" s="1051"/>
      <c r="AH688" s="1051"/>
      <c r="AI688" s="1051"/>
      <c r="AJ688" s="1052"/>
      <c r="AK688" s="1051"/>
      <c r="AL688" s="1051"/>
      <c r="AM688" s="1052"/>
      <c r="AN688" s="1051"/>
      <c r="AO688" s="1051"/>
      <c r="AP688" s="1052"/>
      <c r="AQ688" s="1051"/>
      <c r="AR688" s="1051"/>
      <c r="AS688" s="1052"/>
      <c r="AT688" s="1051"/>
      <c r="AU688" s="1051"/>
      <c r="AV688" s="1052"/>
      <c r="AW688" s="1051"/>
      <c r="AX688" s="1051"/>
      <c r="AY688" s="1053"/>
      <c r="AZ688" s="1051"/>
      <c r="BA688" s="1051"/>
      <c r="BB688" s="1053"/>
      <c r="BC688" s="1051"/>
      <c r="BD688" s="1051"/>
      <c r="BE688" s="1053"/>
      <c r="BF688" s="1051"/>
      <c r="BG688" s="1051"/>
      <c r="BH688" s="1053"/>
      <c r="BI688" s="1052"/>
      <c r="BJ688" s="1052"/>
      <c r="BK688" s="1052"/>
      <c r="BL688" s="1052"/>
      <c r="BM688" s="1052"/>
      <c r="BN688" s="1054"/>
      <c r="BO688" s="1076">
        <f t="shared" si="21"/>
        <v>0</v>
      </c>
      <c r="BP688" s="1051"/>
      <c r="BQ688" s="1052"/>
      <c r="BR688" s="1054"/>
      <c r="BS688" s="1053"/>
      <c r="BT688" s="1051"/>
      <c r="BU688" s="1051"/>
      <c r="BV688" s="1051"/>
      <c r="BW688" s="1052"/>
      <c r="BX688" s="1052"/>
      <c r="BY688" s="1052"/>
      <c r="BZ688" s="1052"/>
      <c r="CA688" s="1052"/>
      <c r="CB688" s="1053"/>
      <c r="CC688" s="1053"/>
      <c r="CD688" s="1053"/>
      <c r="CE688" s="1053"/>
      <c r="CF688" s="1053"/>
      <c r="CG688" s="1053"/>
      <c r="CH688" s="1053"/>
      <c r="CI688" s="1123"/>
      <c r="CJ688" s="1123"/>
      <c r="CK688" s="1123"/>
      <c r="CL688" s="1123"/>
      <c r="CM688" s="1123"/>
      <c r="CN688" s="1123"/>
      <c r="CO688" s="1123"/>
      <c r="CP688" s="1123"/>
      <c r="CQ688" s="1123"/>
      <c r="CR688" s="1123"/>
      <c r="CS688" s="1123"/>
      <c r="CT688" s="1123"/>
      <c r="CU688" s="1123"/>
      <c r="CV688" s="1123"/>
      <c r="CW688" s="1123"/>
      <c r="CX688" s="1123"/>
      <c r="CY688" s="1123"/>
      <c r="CZ688" s="1114"/>
      <c r="DA688" s="1114"/>
      <c r="DB688" s="1114"/>
      <c r="DC688" s="1114"/>
      <c r="DD688" s="1114"/>
      <c r="DE688" s="1114"/>
      <c r="DF688" s="1114"/>
      <c r="DG688" s="1114"/>
      <c r="DH688" s="1114"/>
      <c r="DI688" s="1114"/>
      <c r="DJ688" s="1114"/>
      <c r="DK688" s="1114"/>
      <c r="DL688" s="1114"/>
      <c r="DM688" s="1114"/>
      <c r="DN688" s="1114"/>
      <c r="DO688" s="1114"/>
      <c r="DP688" s="1114"/>
      <c r="DQ688" s="1114"/>
      <c r="DR688" s="1114"/>
      <c r="DS688" s="1114"/>
      <c r="DT688" s="1114"/>
      <c r="DU688" s="1114"/>
      <c r="DV688" s="1115"/>
      <c r="DW688" s="1116"/>
      <c r="DX688" s="1116"/>
      <c r="DY688" s="1116"/>
      <c r="DZ688" s="1116"/>
      <c r="EA688" s="1116"/>
      <c r="EB688" s="1116"/>
      <c r="EC688" s="1116"/>
      <c r="ED688" s="1116"/>
      <c r="EE688" s="1116"/>
      <c r="EF688" s="1116"/>
      <c r="EG688" s="1116"/>
      <c r="EH688" s="1116"/>
      <c r="EI688" s="1116"/>
      <c r="EJ688" s="1116"/>
      <c r="EK688" s="1116"/>
      <c r="EL688" s="1116"/>
      <c r="EM688" s="1116"/>
      <c r="EN688" s="1116"/>
      <c r="EO688" s="1116"/>
      <c r="EP688" s="1116"/>
      <c r="EQ688" s="1116"/>
      <c r="ER688" s="1116"/>
      <c r="ES688" s="1116"/>
    </row>
    <row r="689" spans="1:149" ht="15" customHeight="1">
      <c r="A689" s="1185">
        <v>674</v>
      </c>
      <c r="B689" s="1041"/>
      <c r="C689" s="1050"/>
      <c r="D689" s="1050"/>
      <c r="E689" s="1050"/>
      <c r="F689" s="1049"/>
      <c r="G689" s="1457"/>
      <c r="H689" s="1049"/>
      <c r="I689" s="1049"/>
      <c r="J689" s="1050"/>
      <c r="K689" s="1050"/>
      <c r="L689" s="1043"/>
      <c r="M689" s="1051"/>
      <c r="N689" s="1051"/>
      <c r="O689" s="1052"/>
      <c r="P689" s="1051"/>
      <c r="Q689" s="1051"/>
      <c r="R689" s="1052"/>
      <c r="S689" s="1051"/>
      <c r="T689" s="1051"/>
      <c r="U689" s="1052"/>
      <c r="V689" s="1051"/>
      <c r="W689" s="1051"/>
      <c r="X689" s="1052"/>
      <c r="Y689" s="1053"/>
      <c r="Z689" s="1051"/>
      <c r="AA689" s="1051"/>
      <c r="AB689" s="1052"/>
      <c r="AC689" s="1051"/>
      <c r="AD689" s="1051"/>
      <c r="AE689" s="1052"/>
      <c r="AF689" s="1051"/>
      <c r="AG689" s="1051"/>
      <c r="AH689" s="1051"/>
      <c r="AI689" s="1051"/>
      <c r="AJ689" s="1052"/>
      <c r="AK689" s="1051"/>
      <c r="AL689" s="1051"/>
      <c r="AM689" s="1052"/>
      <c r="AN689" s="1051"/>
      <c r="AO689" s="1051"/>
      <c r="AP689" s="1052"/>
      <c r="AQ689" s="1051"/>
      <c r="AR689" s="1051"/>
      <c r="AS689" s="1052"/>
      <c r="AT689" s="1051"/>
      <c r="AU689" s="1051"/>
      <c r="AV689" s="1052"/>
      <c r="AW689" s="1051"/>
      <c r="AX689" s="1051"/>
      <c r="AY689" s="1053"/>
      <c r="AZ689" s="1051"/>
      <c r="BA689" s="1051"/>
      <c r="BB689" s="1053"/>
      <c r="BC689" s="1051"/>
      <c r="BD689" s="1051"/>
      <c r="BE689" s="1053"/>
      <c r="BF689" s="1051"/>
      <c r="BG689" s="1051"/>
      <c r="BH689" s="1053"/>
      <c r="BI689" s="1052"/>
      <c r="BJ689" s="1052"/>
      <c r="BK689" s="1052"/>
      <c r="BL689" s="1052"/>
      <c r="BM689" s="1052"/>
      <c r="BN689" s="1054"/>
      <c r="BO689" s="1076">
        <f t="shared" si="21"/>
        <v>0</v>
      </c>
      <c r="BP689" s="1051"/>
      <c r="BQ689" s="1052"/>
      <c r="BR689" s="1054"/>
      <c r="BS689" s="1053"/>
      <c r="BT689" s="1051"/>
      <c r="BU689" s="1051"/>
      <c r="BV689" s="1051"/>
      <c r="BW689" s="1052"/>
      <c r="BX689" s="1052"/>
      <c r="BY689" s="1052"/>
      <c r="BZ689" s="1052"/>
      <c r="CA689" s="1052"/>
      <c r="CB689" s="1053"/>
      <c r="CC689" s="1053"/>
      <c r="CD689" s="1053"/>
      <c r="CE689" s="1053"/>
      <c r="CF689" s="1053"/>
      <c r="CG689" s="1053"/>
      <c r="CH689" s="1053"/>
      <c r="CI689" s="1123"/>
      <c r="CJ689" s="1123"/>
      <c r="CK689" s="1123"/>
      <c r="CL689" s="1123"/>
      <c r="CM689" s="1123"/>
      <c r="CN689" s="1123"/>
      <c r="CO689" s="1123"/>
      <c r="CP689" s="1123"/>
      <c r="CQ689" s="1123"/>
      <c r="CR689" s="1123"/>
      <c r="CS689" s="1123"/>
      <c r="CT689" s="1123"/>
      <c r="CU689" s="1123"/>
      <c r="CV689" s="1123"/>
      <c r="CW689" s="1123"/>
      <c r="CX689" s="1123"/>
      <c r="CY689" s="1123"/>
      <c r="CZ689" s="1114"/>
      <c r="DA689" s="1114"/>
      <c r="DB689" s="1114"/>
      <c r="DC689" s="1114"/>
      <c r="DD689" s="1114"/>
      <c r="DE689" s="1114"/>
      <c r="DF689" s="1114"/>
      <c r="DG689" s="1114"/>
      <c r="DH689" s="1114"/>
      <c r="DI689" s="1114"/>
      <c r="DJ689" s="1114"/>
      <c r="DK689" s="1114"/>
      <c r="DL689" s="1114"/>
      <c r="DM689" s="1114"/>
      <c r="DN689" s="1114"/>
      <c r="DO689" s="1114"/>
      <c r="DP689" s="1114"/>
      <c r="DQ689" s="1114"/>
      <c r="DR689" s="1114"/>
      <c r="DS689" s="1114"/>
      <c r="DT689" s="1114"/>
      <c r="DU689" s="1114"/>
      <c r="DV689" s="1115"/>
      <c r="DW689" s="1116"/>
      <c r="DX689" s="1116"/>
      <c r="DY689" s="1116"/>
      <c r="DZ689" s="1116"/>
      <c r="EA689" s="1116"/>
      <c r="EB689" s="1116"/>
      <c r="EC689" s="1116"/>
      <c r="ED689" s="1116"/>
      <c r="EE689" s="1116"/>
      <c r="EF689" s="1116"/>
      <c r="EG689" s="1116"/>
      <c r="EH689" s="1116"/>
      <c r="EI689" s="1116"/>
      <c r="EJ689" s="1116"/>
      <c r="EK689" s="1116"/>
      <c r="EL689" s="1116"/>
      <c r="EM689" s="1116"/>
      <c r="EN689" s="1116"/>
      <c r="EO689" s="1116"/>
      <c r="EP689" s="1116"/>
      <c r="EQ689" s="1116"/>
      <c r="ER689" s="1116"/>
      <c r="ES689" s="1116"/>
    </row>
    <row r="690" spans="1:149" ht="15" customHeight="1">
      <c r="A690" s="1185">
        <v>675</v>
      </c>
      <c r="B690" s="1041"/>
      <c r="C690" s="1050"/>
      <c r="D690" s="1050"/>
      <c r="E690" s="1050"/>
      <c r="F690" s="1049"/>
      <c r="G690" s="1457"/>
      <c r="H690" s="1049"/>
      <c r="I690" s="1049"/>
      <c r="J690" s="1050"/>
      <c r="K690" s="1050"/>
      <c r="L690" s="1043"/>
      <c r="M690" s="1051"/>
      <c r="N690" s="1051"/>
      <c r="O690" s="1052"/>
      <c r="P690" s="1051"/>
      <c r="Q690" s="1051"/>
      <c r="R690" s="1052"/>
      <c r="S690" s="1051"/>
      <c r="T690" s="1051"/>
      <c r="U690" s="1052"/>
      <c r="V690" s="1051"/>
      <c r="W690" s="1051"/>
      <c r="X690" s="1052"/>
      <c r="Y690" s="1053"/>
      <c r="Z690" s="1051"/>
      <c r="AA690" s="1051"/>
      <c r="AB690" s="1052"/>
      <c r="AC690" s="1051"/>
      <c r="AD690" s="1051"/>
      <c r="AE690" s="1052"/>
      <c r="AF690" s="1051"/>
      <c r="AG690" s="1051"/>
      <c r="AH690" s="1051"/>
      <c r="AI690" s="1051"/>
      <c r="AJ690" s="1052"/>
      <c r="AK690" s="1051"/>
      <c r="AL690" s="1051"/>
      <c r="AM690" s="1052"/>
      <c r="AN690" s="1051"/>
      <c r="AO690" s="1051"/>
      <c r="AP690" s="1052"/>
      <c r="AQ690" s="1051"/>
      <c r="AR690" s="1051"/>
      <c r="AS690" s="1052"/>
      <c r="AT690" s="1051"/>
      <c r="AU690" s="1051"/>
      <c r="AV690" s="1052"/>
      <c r="AW690" s="1051"/>
      <c r="AX690" s="1051"/>
      <c r="AY690" s="1053"/>
      <c r="AZ690" s="1051"/>
      <c r="BA690" s="1051"/>
      <c r="BB690" s="1053"/>
      <c r="BC690" s="1051"/>
      <c r="BD690" s="1051"/>
      <c r="BE690" s="1053"/>
      <c r="BF690" s="1051"/>
      <c r="BG690" s="1051"/>
      <c r="BH690" s="1053"/>
      <c r="BI690" s="1052"/>
      <c r="BJ690" s="1052"/>
      <c r="BK690" s="1052"/>
      <c r="BL690" s="1052"/>
      <c r="BM690" s="1052"/>
      <c r="BN690" s="1054"/>
      <c r="BO690" s="1076">
        <f t="shared" si="21"/>
        <v>0</v>
      </c>
      <c r="BP690" s="1051"/>
      <c r="BQ690" s="1052"/>
      <c r="BR690" s="1054"/>
      <c r="BS690" s="1053"/>
      <c r="BT690" s="1051"/>
      <c r="BU690" s="1051"/>
      <c r="BV690" s="1051"/>
      <c r="BW690" s="1052"/>
      <c r="BX690" s="1052"/>
      <c r="BY690" s="1052"/>
      <c r="BZ690" s="1052"/>
      <c r="CA690" s="1052"/>
      <c r="CB690" s="1053"/>
      <c r="CC690" s="1053"/>
      <c r="CD690" s="1053"/>
      <c r="CE690" s="1053"/>
      <c r="CF690" s="1053"/>
      <c r="CG690" s="1053"/>
      <c r="CH690" s="1053"/>
      <c r="CI690" s="1123"/>
      <c r="CJ690" s="1123"/>
      <c r="CK690" s="1123"/>
      <c r="CL690" s="1123"/>
      <c r="CM690" s="1123"/>
      <c r="CN690" s="1123"/>
      <c r="CO690" s="1123"/>
      <c r="CP690" s="1123"/>
      <c r="CQ690" s="1123"/>
      <c r="CR690" s="1123"/>
      <c r="CS690" s="1123"/>
      <c r="CT690" s="1123"/>
      <c r="CU690" s="1123"/>
      <c r="CV690" s="1123"/>
      <c r="CW690" s="1123"/>
      <c r="CX690" s="1123"/>
      <c r="CY690" s="1123"/>
      <c r="CZ690" s="1114"/>
      <c r="DA690" s="1114"/>
      <c r="DB690" s="1114"/>
      <c r="DC690" s="1114"/>
      <c r="DD690" s="1114"/>
      <c r="DE690" s="1114"/>
      <c r="DF690" s="1114"/>
      <c r="DG690" s="1114"/>
      <c r="DH690" s="1114"/>
      <c r="DI690" s="1114"/>
      <c r="DJ690" s="1114"/>
      <c r="DK690" s="1114"/>
      <c r="DL690" s="1114"/>
      <c r="DM690" s="1114"/>
      <c r="DN690" s="1114"/>
      <c r="DO690" s="1114"/>
      <c r="DP690" s="1114"/>
      <c r="DQ690" s="1114"/>
      <c r="DR690" s="1114"/>
      <c r="DS690" s="1114"/>
      <c r="DT690" s="1114"/>
      <c r="DU690" s="1114"/>
      <c r="DV690" s="1115"/>
      <c r="DW690" s="1116"/>
      <c r="DX690" s="1116"/>
      <c r="DY690" s="1116"/>
      <c r="DZ690" s="1116"/>
      <c r="EA690" s="1116"/>
      <c r="EB690" s="1116"/>
      <c r="EC690" s="1116"/>
      <c r="ED690" s="1116"/>
      <c r="EE690" s="1116"/>
      <c r="EF690" s="1116"/>
      <c r="EG690" s="1116"/>
      <c r="EH690" s="1116"/>
      <c r="EI690" s="1116"/>
      <c r="EJ690" s="1116"/>
      <c r="EK690" s="1116"/>
      <c r="EL690" s="1116"/>
      <c r="EM690" s="1116"/>
      <c r="EN690" s="1116"/>
      <c r="EO690" s="1116"/>
      <c r="EP690" s="1116"/>
      <c r="EQ690" s="1116"/>
      <c r="ER690" s="1116"/>
      <c r="ES690" s="1116"/>
    </row>
    <row r="691" spans="1:149" ht="15" customHeight="1">
      <c r="A691" s="1185">
        <v>676</v>
      </c>
      <c r="B691" s="1041"/>
      <c r="C691" s="1050"/>
      <c r="D691" s="1050"/>
      <c r="E691" s="1050"/>
      <c r="F691" s="1049"/>
      <c r="G691" s="1457"/>
      <c r="H691" s="1049"/>
      <c r="I691" s="1049"/>
      <c r="J691" s="1050"/>
      <c r="K691" s="1050"/>
      <c r="L691" s="1043"/>
      <c r="M691" s="1051"/>
      <c r="N691" s="1051"/>
      <c r="O691" s="1052"/>
      <c r="P691" s="1051"/>
      <c r="Q691" s="1051"/>
      <c r="R691" s="1052"/>
      <c r="S691" s="1051"/>
      <c r="T691" s="1051"/>
      <c r="U691" s="1052"/>
      <c r="V691" s="1051"/>
      <c r="W691" s="1051"/>
      <c r="X691" s="1052"/>
      <c r="Y691" s="1053"/>
      <c r="Z691" s="1051"/>
      <c r="AA691" s="1051"/>
      <c r="AB691" s="1052"/>
      <c r="AC691" s="1051"/>
      <c r="AD691" s="1051"/>
      <c r="AE691" s="1052"/>
      <c r="AF691" s="1051"/>
      <c r="AG691" s="1051"/>
      <c r="AH691" s="1051"/>
      <c r="AI691" s="1051"/>
      <c r="AJ691" s="1052"/>
      <c r="AK691" s="1051"/>
      <c r="AL691" s="1051"/>
      <c r="AM691" s="1052"/>
      <c r="AN691" s="1051"/>
      <c r="AO691" s="1051"/>
      <c r="AP691" s="1052"/>
      <c r="AQ691" s="1051"/>
      <c r="AR691" s="1051"/>
      <c r="AS691" s="1052"/>
      <c r="AT691" s="1051"/>
      <c r="AU691" s="1051"/>
      <c r="AV691" s="1052"/>
      <c r="AW691" s="1051"/>
      <c r="AX691" s="1051"/>
      <c r="AY691" s="1053"/>
      <c r="AZ691" s="1051"/>
      <c r="BA691" s="1051"/>
      <c r="BB691" s="1053"/>
      <c r="BC691" s="1051"/>
      <c r="BD691" s="1051"/>
      <c r="BE691" s="1053"/>
      <c r="BF691" s="1051"/>
      <c r="BG691" s="1051"/>
      <c r="BH691" s="1053"/>
      <c r="BI691" s="1052"/>
      <c r="BJ691" s="1052"/>
      <c r="BK691" s="1052"/>
      <c r="BL691" s="1052"/>
      <c r="BM691" s="1052"/>
      <c r="BN691" s="1054"/>
      <c r="BO691" s="1076">
        <f t="shared" si="21"/>
        <v>0</v>
      </c>
      <c r="BP691" s="1051"/>
      <c r="BQ691" s="1052"/>
      <c r="BR691" s="1054"/>
      <c r="BS691" s="1053"/>
      <c r="BT691" s="1051"/>
      <c r="BU691" s="1051"/>
      <c r="BV691" s="1051"/>
      <c r="BW691" s="1052"/>
      <c r="BX691" s="1052"/>
      <c r="BY691" s="1052"/>
      <c r="BZ691" s="1052"/>
      <c r="CA691" s="1052"/>
      <c r="CB691" s="1053"/>
      <c r="CC691" s="1053"/>
      <c r="CD691" s="1053"/>
      <c r="CE691" s="1053"/>
      <c r="CF691" s="1053"/>
      <c r="CG691" s="1053"/>
      <c r="CH691" s="1053"/>
      <c r="CI691" s="1123"/>
      <c r="CJ691" s="1123"/>
      <c r="CK691" s="1123"/>
      <c r="CL691" s="1123"/>
      <c r="CM691" s="1123"/>
      <c r="CN691" s="1123"/>
      <c r="CO691" s="1123"/>
      <c r="CP691" s="1123"/>
      <c r="CQ691" s="1123"/>
      <c r="CR691" s="1123"/>
      <c r="CS691" s="1123"/>
      <c r="CT691" s="1123"/>
      <c r="CU691" s="1123"/>
      <c r="CV691" s="1123"/>
      <c r="CW691" s="1123"/>
      <c r="CX691" s="1123"/>
      <c r="CY691" s="1123"/>
      <c r="CZ691" s="1114"/>
      <c r="DA691" s="1114"/>
      <c r="DB691" s="1114"/>
      <c r="DC691" s="1114"/>
      <c r="DD691" s="1114"/>
      <c r="DE691" s="1114"/>
      <c r="DF691" s="1114"/>
      <c r="DG691" s="1114"/>
      <c r="DH691" s="1114"/>
      <c r="DI691" s="1114"/>
      <c r="DJ691" s="1114"/>
      <c r="DK691" s="1114"/>
      <c r="DL691" s="1114"/>
      <c r="DM691" s="1114"/>
      <c r="DN691" s="1114"/>
      <c r="DO691" s="1114"/>
      <c r="DP691" s="1114"/>
      <c r="DQ691" s="1114"/>
      <c r="DR691" s="1114"/>
      <c r="DS691" s="1114"/>
      <c r="DT691" s="1114"/>
      <c r="DU691" s="1114"/>
      <c r="DV691" s="1115"/>
      <c r="DW691" s="1116"/>
      <c r="DX691" s="1116"/>
      <c r="DY691" s="1116"/>
      <c r="DZ691" s="1116"/>
      <c r="EA691" s="1116"/>
      <c r="EB691" s="1116"/>
      <c r="EC691" s="1116"/>
      <c r="ED691" s="1116"/>
      <c r="EE691" s="1116"/>
      <c r="EF691" s="1116"/>
      <c r="EG691" s="1116"/>
      <c r="EH691" s="1116"/>
      <c r="EI691" s="1116"/>
      <c r="EJ691" s="1116"/>
      <c r="EK691" s="1116"/>
      <c r="EL691" s="1116"/>
      <c r="EM691" s="1116"/>
      <c r="EN691" s="1116"/>
      <c r="EO691" s="1116"/>
      <c r="EP691" s="1116"/>
      <c r="EQ691" s="1116"/>
      <c r="ER691" s="1116"/>
      <c r="ES691" s="1116"/>
    </row>
    <row r="692" spans="1:149" ht="15" customHeight="1">
      <c r="A692" s="1185">
        <v>677</v>
      </c>
      <c r="B692" s="1041"/>
      <c r="C692" s="1050"/>
      <c r="D692" s="1050"/>
      <c r="E692" s="1050"/>
      <c r="F692" s="1049"/>
      <c r="G692" s="1457"/>
      <c r="H692" s="1049"/>
      <c r="I692" s="1049"/>
      <c r="J692" s="1050"/>
      <c r="K692" s="1050"/>
      <c r="L692" s="1043"/>
      <c r="M692" s="1051"/>
      <c r="N692" s="1051"/>
      <c r="O692" s="1052"/>
      <c r="P692" s="1051"/>
      <c r="Q692" s="1051"/>
      <c r="R692" s="1052"/>
      <c r="S692" s="1051"/>
      <c r="T692" s="1051"/>
      <c r="U692" s="1052"/>
      <c r="V692" s="1051"/>
      <c r="W692" s="1051"/>
      <c r="X692" s="1052"/>
      <c r="Y692" s="1053"/>
      <c r="Z692" s="1051"/>
      <c r="AA692" s="1051"/>
      <c r="AB692" s="1052"/>
      <c r="AC692" s="1051"/>
      <c r="AD692" s="1051"/>
      <c r="AE692" s="1052"/>
      <c r="AF692" s="1051"/>
      <c r="AG692" s="1051"/>
      <c r="AH692" s="1051"/>
      <c r="AI692" s="1051"/>
      <c r="AJ692" s="1052"/>
      <c r="AK692" s="1051"/>
      <c r="AL692" s="1051"/>
      <c r="AM692" s="1052"/>
      <c r="AN692" s="1051"/>
      <c r="AO692" s="1051"/>
      <c r="AP692" s="1052"/>
      <c r="AQ692" s="1051"/>
      <c r="AR692" s="1051"/>
      <c r="AS692" s="1052"/>
      <c r="AT692" s="1051"/>
      <c r="AU692" s="1051"/>
      <c r="AV692" s="1052"/>
      <c r="AW692" s="1051"/>
      <c r="AX692" s="1051"/>
      <c r="AY692" s="1053"/>
      <c r="AZ692" s="1051"/>
      <c r="BA692" s="1051"/>
      <c r="BB692" s="1053"/>
      <c r="BC692" s="1051"/>
      <c r="BD692" s="1051"/>
      <c r="BE692" s="1053"/>
      <c r="BF692" s="1051"/>
      <c r="BG692" s="1051"/>
      <c r="BH692" s="1053"/>
      <c r="BI692" s="1052"/>
      <c r="BJ692" s="1052"/>
      <c r="BK692" s="1052"/>
      <c r="BL692" s="1052"/>
      <c r="BM692" s="1052"/>
      <c r="BN692" s="1054"/>
      <c r="BO692" s="1076">
        <f t="shared" si="21"/>
        <v>0</v>
      </c>
      <c r="BP692" s="1051"/>
      <c r="BQ692" s="1052"/>
      <c r="BR692" s="1054"/>
      <c r="BS692" s="1053"/>
      <c r="BT692" s="1051"/>
      <c r="BU692" s="1051"/>
      <c r="BV692" s="1051"/>
      <c r="BW692" s="1052"/>
      <c r="BX692" s="1052"/>
      <c r="BY692" s="1052"/>
      <c r="BZ692" s="1052"/>
      <c r="CA692" s="1052"/>
      <c r="CB692" s="1053"/>
      <c r="CC692" s="1053"/>
      <c r="CD692" s="1053"/>
      <c r="CE692" s="1053"/>
      <c r="CF692" s="1053"/>
      <c r="CG692" s="1053"/>
      <c r="CH692" s="1053"/>
      <c r="CI692" s="1123"/>
      <c r="CJ692" s="1123"/>
      <c r="CK692" s="1123"/>
      <c r="CL692" s="1123"/>
      <c r="CM692" s="1123"/>
      <c r="CN692" s="1123"/>
      <c r="CO692" s="1123"/>
      <c r="CP692" s="1123"/>
      <c r="CQ692" s="1123"/>
      <c r="CR692" s="1123"/>
      <c r="CS692" s="1123"/>
      <c r="CT692" s="1123"/>
      <c r="CU692" s="1123"/>
      <c r="CV692" s="1123"/>
      <c r="CW692" s="1123"/>
      <c r="CX692" s="1123"/>
      <c r="CY692" s="1123"/>
      <c r="CZ692" s="1114"/>
      <c r="DA692" s="1114"/>
      <c r="DB692" s="1114"/>
      <c r="DC692" s="1114"/>
      <c r="DD692" s="1114"/>
      <c r="DE692" s="1114"/>
      <c r="DF692" s="1114"/>
      <c r="DG692" s="1114"/>
      <c r="DH692" s="1114"/>
      <c r="DI692" s="1114"/>
      <c r="DJ692" s="1114"/>
      <c r="DK692" s="1114"/>
      <c r="DL692" s="1114"/>
      <c r="DM692" s="1114"/>
      <c r="DN692" s="1114"/>
      <c r="DO692" s="1114"/>
      <c r="DP692" s="1114"/>
      <c r="DQ692" s="1114"/>
      <c r="DR692" s="1114"/>
      <c r="DS692" s="1114"/>
      <c r="DT692" s="1114"/>
      <c r="DU692" s="1114"/>
      <c r="DV692" s="1115"/>
      <c r="DW692" s="1116"/>
      <c r="DX692" s="1116"/>
      <c r="DY692" s="1116"/>
      <c r="DZ692" s="1116"/>
      <c r="EA692" s="1116"/>
      <c r="EB692" s="1116"/>
      <c r="EC692" s="1116"/>
      <c r="ED692" s="1116"/>
      <c r="EE692" s="1116"/>
      <c r="EF692" s="1116"/>
      <c r="EG692" s="1116"/>
      <c r="EH692" s="1116"/>
      <c r="EI692" s="1116"/>
      <c r="EJ692" s="1116"/>
      <c r="EK692" s="1116"/>
      <c r="EL692" s="1116"/>
      <c r="EM692" s="1116"/>
      <c r="EN692" s="1116"/>
      <c r="EO692" s="1116"/>
      <c r="EP692" s="1116"/>
      <c r="EQ692" s="1116"/>
      <c r="ER692" s="1116"/>
      <c r="ES692" s="1116"/>
    </row>
    <row r="693" spans="1:149" ht="15" customHeight="1">
      <c r="A693" s="1185">
        <v>678</v>
      </c>
      <c r="B693" s="1041"/>
      <c r="C693" s="1050"/>
      <c r="D693" s="1050"/>
      <c r="E693" s="1050"/>
      <c r="F693" s="1049"/>
      <c r="G693" s="1457"/>
      <c r="H693" s="1049"/>
      <c r="I693" s="1049"/>
      <c r="J693" s="1050"/>
      <c r="K693" s="1050"/>
      <c r="L693" s="1043"/>
      <c r="M693" s="1051"/>
      <c r="N693" s="1051"/>
      <c r="O693" s="1052"/>
      <c r="P693" s="1051"/>
      <c r="Q693" s="1051"/>
      <c r="R693" s="1052"/>
      <c r="S693" s="1051"/>
      <c r="T693" s="1051"/>
      <c r="U693" s="1052"/>
      <c r="V693" s="1051"/>
      <c r="W693" s="1051"/>
      <c r="X693" s="1052"/>
      <c r="Y693" s="1053"/>
      <c r="Z693" s="1051"/>
      <c r="AA693" s="1051"/>
      <c r="AB693" s="1052"/>
      <c r="AC693" s="1051"/>
      <c r="AD693" s="1051"/>
      <c r="AE693" s="1052"/>
      <c r="AF693" s="1051"/>
      <c r="AG693" s="1051"/>
      <c r="AH693" s="1051"/>
      <c r="AI693" s="1051"/>
      <c r="AJ693" s="1052"/>
      <c r="AK693" s="1051"/>
      <c r="AL693" s="1051"/>
      <c r="AM693" s="1052"/>
      <c r="AN693" s="1051"/>
      <c r="AO693" s="1051"/>
      <c r="AP693" s="1052"/>
      <c r="AQ693" s="1051"/>
      <c r="AR693" s="1051"/>
      <c r="AS693" s="1052"/>
      <c r="AT693" s="1051"/>
      <c r="AU693" s="1051"/>
      <c r="AV693" s="1052"/>
      <c r="AW693" s="1051"/>
      <c r="AX693" s="1051"/>
      <c r="AY693" s="1053"/>
      <c r="AZ693" s="1051"/>
      <c r="BA693" s="1051"/>
      <c r="BB693" s="1053"/>
      <c r="BC693" s="1051"/>
      <c r="BD693" s="1051"/>
      <c r="BE693" s="1053"/>
      <c r="BF693" s="1051"/>
      <c r="BG693" s="1051"/>
      <c r="BH693" s="1053"/>
      <c r="BI693" s="1052"/>
      <c r="BJ693" s="1052"/>
      <c r="BK693" s="1052"/>
      <c r="BL693" s="1052"/>
      <c r="BM693" s="1052"/>
      <c r="BN693" s="1054"/>
      <c r="BO693" s="1076">
        <f t="shared" si="21"/>
        <v>0</v>
      </c>
      <c r="BP693" s="1051"/>
      <c r="BQ693" s="1052"/>
      <c r="BR693" s="1054"/>
      <c r="BS693" s="1053"/>
      <c r="BT693" s="1051"/>
      <c r="BU693" s="1051"/>
      <c r="BV693" s="1051"/>
      <c r="BW693" s="1052"/>
      <c r="BX693" s="1052"/>
      <c r="BY693" s="1052"/>
      <c r="BZ693" s="1052"/>
      <c r="CA693" s="1052"/>
      <c r="CB693" s="1053"/>
      <c r="CC693" s="1053"/>
      <c r="CD693" s="1053"/>
      <c r="CE693" s="1053"/>
      <c r="CF693" s="1053"/>
      <c r="CG693" s="1053"/>
      <c r="CH693" s="1053"/>
      <c r="CI693" s="1123"/>
      <c r="CJ693" s="1123"/>
      <c r="CK693" s="1123"/>
      <c r="CL693" s="1123"/>
      <c r="CM693" s="1123"/>
      <c r="CN693" s="1123"/>
      <c r="CO693" s="1123"/>
      <c r="CP693" s="1123"/>
      <c r="CQ693" s="1123"/>
      <c r="CR693" s="1123"/>
      <c r="CS693" s="1123"/>
      <c r="CT693" s="1123"/>
      <c r="CU693" s="1123"/>
      <c r="CV693" s="1123"/>
      <c r="CW693" s="1123"/>
      <c r="CX693" s="1123"/>
      <c r="CY693" s="1123"/>
      <c r="CZ693" s="1114"/>
      <c r="DA693" s="1114"/>
      <c r="DB693" s="1114"/>
      <c r="DC693" s="1114"/>
      <c r="DD693" s="1114"/>
      <c r="DE693" s="1114"/>
      <c r="DF693" s="1114"/>
      <c r="DG693" s="1114"/>
      <c r="DH693" s="1114"/>
      <c r="DI693" s="1114"/>
      <c r="DJ693" s="1114"/>
      <c r="DK693" s="1114"/>
      <c r="DL693" s="1114"/>
      <c r="DM693" s="1114"/>
      <c r="DN693" s="1114"/>
      <c r="DO693" s="1114"/>
      <c r="DP693" s="1114"/>
      <c r="DQ693" s="1114"/>
      <c r="DR693" s="1114"/>
      <c r="DS693" s="1114"/>
      <c r="DT693" s="1114"/>
      <c r="DU693" s="1114"/>
      <c r="DV693" s="1115"/>
      <c r="DW693" s="1116"/>
      <c r="DX693" s="1116"/>
      <c r="DY693" s="1116"/>
      <c r="DZ693" s="1116"/>
      <c r="EA693" s="1116"/>
      <c r="EB693" s="1116"/>
      <c r="EC693" s="1116"/>
      <c r="ED693" s="1116"/>
      <c r="EE693" s="1116"/>
      <c r="EF693" s="1116"/>
      <c r="EG693" s="1116"/>
      <c r="EH693" s="1116"/>
      <c r="EI693" s="1116"/>
      <c r="EJ693" s="1116"/>
      <c r="EK693" s="1116"/>
      <c r="EL693" s="1116"/>
      <c r="EM693" s="1116"/>
      <c r="EN693" s="1116"/>
      <c r="EO693" s="1116"/>
      <c r="EP693" s="1116"/>
      <c r="EQ693" s="1116"/>
      <c r="ER693" s="1116"/>
      <c r="ES693" s="1116"/>
    </row>
    <row r="694" spans="1:149" ht="15" customHeight="1">
      <c r="A694" s="1185">
        <v>679</v>
      </c>
      <c r="B694" s="1041"/>
      <c r="C694" s="1050"/>
      <c r="D694" s="1050"/>
      <c r="E694" s="1050"/>
      <c r="F694" s="1049"/>
      <c r="G694" s="1457"/>
      <c r="H694" s="1049"/>
      <c r="I694" s="1049"/>
      <c r="J694" s="1050"/>
      <c r="K694" s="1050"/>
      <c r="L694" s="1043"/>
      <c r="M694" s="1051"/>
      <c r="N694" s="1051"/>
      <c r="O694" s="1052"/>
      <c r="P694" s="1051"/>
      <c r="Q694" s="1051"/>
      <c r="R694" s="1052"/>
      <c r="S694" s="1051"/>
      <c r="T694" s="1051"/>
      <c r="U694" s="1052"/>
      <c r="V694" s="1051"/>
      <c r="W694" s="1051"/>
      <c r="X694" s="1052"/>
      <c r="Y694" s="1053"/>
      <c r="Z694" s="1051"/>
      <c r="AA694" s="1051"/>
      <c r="AB694" s="1052"/>
      <c r="AC694" s="1051"/>
      <c r="AD694" s="1051"/>
      <c r="AE694" s="1052"/>
      <c r="AF694" s="1051"/>
      <c r="AG694" s="1051"/>
      <c r="AH694" s="1051"/>
      <c r="AI694" s="1051"/>
      <c r="AJ694" s="1052"/>
      <c r="AK694" s="1051"/>
      <c r="AL694" s="1051"/>
      <c r="AM694" s="1052"/>
      <c r="AN694" s="1051"/>
      <c r="AO694" s="1051"/>
      <c r="AP694" s="1052"/>
      <c r="AQ694" s="1051"/>
      <c r="AR694" s="1051"/>
      <c r="AS694" s="1052"/>
      <c r="AT694" s="1051"/>
      <c r="AU694" s="1051"/>
      <c r="AV694" s="1052"/>
      <c r="AW694" s="1051"/>
      <c r="AX694" s="1051"/>
      <c r="AY694" s="1053"/>
      <c r="AZ694" s="1051"/>
      <c r="BA694" s="1051"/>
      <c r="BB694" s="1053"/>
      <c r="BC694" s="1051"/>
      <c r="BD694" s="1051"/>
      <c r="BE694" s="1053"/>
      <c r="BF694" s="1051"/>
      <c r="BG694" s="1051"/>
      <c r="BH694" s="1053"/>
      <c r="BI694" s="1052"/>
      <c r="BJ694" s="1052"/>
      <c r="BK694" s="1052"/>
      <c r="BL694" s="1052"/>
      <c r="BM694" s="1052"/>
      <c r="BN694" s="1054"/>
      <c r="BO694" s="1076">
        <f t="shared" ref="BO694:BO757" si="22">H694</f>
        <v>0</v>
      </c>
      <c r="BP694" s="1051"/>
      <c r="BQ694" s="1052"/>
      <c r="BR694" s="1054"/>
      <c r="BS694" s="1053"/>
      <c r="BT694" s="1051"/>
      <c r="BU694" s="1051"/>
      <c r="BV694" s="1051"/>
      <c r="BW694" s="1052"/>
      <c r="BX694" s="1052"/>
      <c r="BY694" s="1052"/>
      <c r="BZ694" s="1052"/>
      <c r="CA694" s="1052"/>
      <c r="CB694" s="1053"/>
      <c r="CC694" s="1053"/>
      <c r="CD694" s="1053"/>
      <c r="CE694" s="1053"/>
      <c r="CF694" s="1053"/>
      <c r="CG694" s="1053"/>
      <c r="CH694" s="1053"/>
      <c r="CI694" s="1123"/>
      <c r="CJ694" s="1123"/>
      <c r="CK694" s="1123"/>
      <c r="CL694" s="1123"/>
      <c r="CM694" s="1123"/>
      <c r="CN694" s="1123"/>
      <c r="CO694" s="1123"/>
      <c r="CP694" s="1123"/>
      <c r="CQ694" s="1123"/>
      <c r="CR694" s="1123"/>
      <c r="CS694" s="1123"/>
      <c r="CT694" s="1123"/>
      <c r="CU694" s="1123"/>
      <c r="CV694" s="1123"/>
      <c r="CW694" s="1123"/>
      <c r="CX694" s="1123"/>
      <c r="CY694" s="1123"/>
      <c r="CZ694" s="1114"/>
      <c r="DA694" s="1114"/>
      <c r="DB694" s="1114"/>
      <c r="DC694" s="1114"/>
      <c r="DD694" s="1114"/>
      <c r="DE694" s="1114"/>
      <c r="DF694" s="1114"/>
      <c r="DG694" s="1114"/>
      <c r="DH694" s="1114"/>
      <c r="DI694" s="1114"/>
      <c r="DJ694" s="1114"/>
      <c r="DK694" s="1114"/>
      <c r="DL694" s="1114"/>
      <c r="DM694" s="1114"/>
      <c r="DN694" s="1114"/>
      <c r="DO694" s="1114"/>
      <c r="DP694" s="1114"/>
      <c r="DQ694" s="1114"/>
      <c r="DR694" s="1114"/>
      <c r="DS694" s="1114"/>
      <c r="DT694" s="1114"/>
      <c r="DU694" s="1114"/>
      <c r="DV694" s="1115"/>
      <c r="DW694" s="1116"/>
      <c r="DX694" s="1116"/>
      <c r="DY694" s="1116"/>
      <c r="DZ694" s="1116"/>
      <c r="EA694" s="1116"/>
      <c r="EB694" s="1116"/>
      <c r="EC694" s="1116"/>
      <c r="ED694" s="1116"/>
      <c r="EE694" s="1116"/>
      <c r="EF694" s="1116"/>
      <c r="EG694" s="1116"/>
      <c r="EH694" s="1116"/>
      <c r="EI694" s="1116"/>
      <c r="EJ694" s="1116"/>
      <c r="EK694" s="1116"/>
      <c r="EL694" s="1116"/>
      <c r="EM694" s="1116"/>
      <c r="EN694" s="1116"/>
      <c r="EO694" s="1116"/>
      <c r="EP694" s="1116"/>
      <c r="EQ694" s="1116"/>
      <c r="ER694" s="1116"/>
      <c r="ES694" s="1116"/>
    </row>
    <row r="695" spans="1:149" ht="15" customHeight="1">
      <c r="A695" s="1185">
        <v>680</v>
      </c>
      <c r="B695" s="1041"/>
      <c r="C695" s="1050"/>
      <c r="D695" s="1050"/>
      <c r="E695" s="1050"/>
      <c r="F695" s="1049"/>
      <c r="G695" s="1457"/>
      <c r="H695" s="1049"/>
      <c r="I695" s="1049"/>
      <c r="J695" s="1050"/>
      <c r="K695" s="1050"/>
      <c r="L695" s="1043"/>
      <c r="M695" s="1051"/>
      <c r="N695" s="1051"/>
      <c r="O695" s="1052"/>
      <c r="P695" s="1051"/>
      <c r="Q695" s="1051"/>
      <c r="R695" s="1052"/>
      <c r="S695" s="1051"/>
      <c r="T695" s="1051"/>
      <c r="U695" s="1052"/>
      <c r="V695" s="1051"/>
      <c r="W695" s="1051"/>
      <c r="X695" s="1052"/>
      <c r="Y695" s="1053"/>
      <c r="Z695" s="1051"/>
      <c r="AA695" s="1051"/>
      <c r="AB695" s="1052"/>
      <c r="AC695" s="1051"/>
      <c r="AD695" s="1051"/>
      <c r="AE695" s="1052"/>
      <c r="AF695" s="1051"/>
      <c r="AG695" s="1051"/>
      <c r="AH695" s="1051"/>
      <c r="AI695" s="1051"/>
      <c r="AJ695" s="1052"/>
      <c r="AK695" s="1051"/>
      <c r="AL695" s="1051"/>
      <c r="AM695" s="1052"/>
      <c r="AN695" s="1051"/>
      <c r="AO695" s="1051"/>
      <c r="AP695" s="1052"/>
      <c r="AQ695" s="1051"/>
      <c r="AR695" s="1051"/>
      <c r="AS695" s="1052"/>
      <c r="AT695" s="1051"/>
      <c r="AU695" s="1051"/>
      <c r="AV695" s="1052"/>
      <c r="AW695" s="1051"/>
      <c r="AX695" s="1051"/>
      <c r="AY695" s="1053"/>
      <c r="AZ695" s="1051"/>
      <c r="BA695" s="1051"/>
      <c r="BB695" s="1053"/>
      <c r="BC695" s="1051"/>
      <c r="BD695" s="1051"/>
      <c r="BE695" s="1053"/>
      <c r="BF695" s="1051"/>
      <c r="BG695" s="1051"/>
      <c r="BH695" s="1053"/>
      <c r="BI695" s="1052"/>
      <c r="BJ695" s="1052"/>
      <c r="BK695" s="1052"/>
      <c r="BL695" s="1052"/>
      <c r="BM695" s="1052"/>
      <c r="BN695" s="1054"/>
      <c r="BO695" s="1076">
        <f t="shared" si="22"/>
        <v>0</v>
      </c>
      <c r="BP695" s="1051"/>
      <c r="BQ695" s="1052"/>
      <c r="BR695" s="1054"/>
      <c r="BS695" s="1053"/>
      <c r="BT695" s="1051"/>
      <c r="BU695" s="1051"/>
      <c r="BV695" s="1051"/>
      <c r="BW695" s="1052"/>
      <c r="BX695" s="1052"/>
      <c r="BY695" s="1052"/>
      <c r="BZ695" s="1052"/>
      <c r="CA695" s="1052"/>
      <c r="CB695" s="1053"/>
      <c r="CC695" s="1053"/>
      <c r="CD695" s="1053"/>
      <c r="CE695" s="1053"/>
      <c r="CF695" s="1053"/>
      <c r="CG695" s="1053"/>
      <c r="CH695" s="1053"/>
      <c r="CI695" s="1123"/>
      <c r="CJ695" s="1123"/>
      <c r="CK695" s="1123"/>
      <c r="CL695" s="1123"/>
      <c r="CM695" s="1123"/>
      <c r="CN695" s="1123"/>
      <c r="CO695" s="1123"/>
      <c r="CP695" s="1123"/>
      <c r="CQ695" s="1123"/>
      <c r="CR695" s="1123"/>
      <c r="CS695" s="1123"/>
      <c r="CT695" s="1123"/>
      <c r="CU695" s="1123"/>
      <c r="CV695" s="1123"/>
      <c r="CW695" s="1123"/>
      <c r="CX695" s="1123"/>
      <c r="CY695" s="1123"/>
      <c r="CZ695" s="1114"/>
      <c r="DA695" s="1114"/>
      <c r="DB695" s="1114"/>
      <c r="DC695" s="1114"/>
      <c r="DD695" s="1114"/>
      <c r="DE695" s="1114"/>
      <c r="DF695" s="1114"/>
      <c r="DG695" s="1114"/>
      <c r="DH695" s="1114"/>
      <c r="DI695" s="1114"/>
      <c r="DJ695" s="1114"/>
      <c r="DK695" s="1114"/>
      <c r="DL695" s="1114"/>
      <c r="DM695" s="1114"/>
      <c r="DN695" s="1114"/>
      <c r="DO695" s="1114"/>
      <c r="DP695" s="1114"/>
      <c r="DQ695" s="1114"/>
      <c r="DR695" s="1114"/>
      <c r="DS695" s="1114"/>
      <c r="DT695" s="1114"/>
      <c r="DU695" s="1114"/>
      <c r="DV695" s="1115"/>
      <c r="DW695" s="1116"/>
      <c r="DX695" s="1116"/>
      <c r="DY695" s="1116"/>
      <c r="DZ695" s="1116"/>
      <c r="EA695" s="1116"/>
      <c r="EB695" s="1116"/>
      <c r="EC695" s="1116"/>
      <c r="ED695" s="1116"/>
      <c r="EE695" s="1116"/>
      <c r="EF695" s="1116"/>
      <c r="EG695" s="1116"/>
      <c r="EH695" s="1116"/>
      <c r="EI695" s="1116"/>
      <c r="EJ695" s="1116"/>
      <c r="EK695" s="1116"/>
      <c r="EL695" s="1116"/>
      <c r="EM695" s="1116"/>
      <c r="EN695" s="1116"/>
      <c r="EO695" s="1116"/>
      <c r="EP695" s="1116"/>
      <c r="EQ695" s="1116"/>
      <c r="ER695" s="1116"/>
      <c r="ES695" s="1116"/>
    </row>
    <row r="696" spans="1:149" ht="15" customHeight="1">
      <c r="A696" s="1185">
        <v>681</v>
      </c>
      <c r="B696" s="1041"/>
      <c r="C696" s="1050"/>
      <c r="D696" s="1050"/>
      <c r="E696" s="1050"/>
      <c r="F696" s="1049"/>
      <c r="G696" s="1457"/>
      <c r="H696" s="1049"/>
      <c r="I696" s="1049"/>
      <c r="J696" s="1050"/>
      <c r="K696" s="1050"/>
      <c r="L696" s="1043"/>
      <c r="M696" s="1051"/>
      <c r="N696" s="1051"/>
      <c r="O696" s="1052"/>
      <c r="P696" s="1051"/>
      <c r="Q696" s="1051"/>
      <c r="R696" s="1052"/>
      <c r="S696" s="1051"/>
      <c r="T696" s="1051"/>
      <c r="U696" s="1052"/>
      <c r="V696" s="1051"/>
      <c r="W696" s="1051"/>
      <c r="X696" s="1052"/>
      <c r="Y696" s="1053"/>
      <c r="Z696" s="1051"/>
      <c r="AA696" s="1051"/>
      <c r="AB696" s="1052"/>
      <c r="AC696" s="1051"/>
      <c r="AD696" s="1051"/>
      <c r="AE696" s="1052"/>
      <c r="AF696" s="1051"/>
      <c r="AG696" s="1051"/>
      <c r="AH696" s="1051"/>
      <c r="AI696" s="1051"/>
      <c r="AJ696" s="1052"/>
      <c r="AK696" s="1051"/>
      <c r="AL696" s="1051"/>
      <c r="AM696" s="1052"/>
      <c r="AN696" s="1051"/>
      <c r="AO696" s="1051"/>
      <c r="AP696" s="1052"/>
      <c r="AQ696" s="1051"/>
      <c r="AR696" s="1051"/>
      <c r="AS696" s="1052"/>
      <c r="AT696" s="1051"/>
      <c r="AU696" s="1051"/>
      <c r="AV696" s="1052"/>
      <c r="AW696" s="1051"/>
      <c r="AX696" s="1051"/>
      <c r="AY696" s="1053"/>
      <c r="AZ696" s="1051"/>
      <c r="BA696" s="1051"/>
      <c r="BB696" s="1053"/>
      <c r="BC696" s="1051"/>
      <c r="BD696" s="1051"/>
      <c r="BE696" s="1053"/>
      <c r="BF696" s="1051"/>
      <c r="BG696" s="1051"/>
      <c r="BH696" s="1053"/>
      <c r="BI696" s="1052"/>
      <c r="BJ696" s="1052"/>
      <c r="BK696" s="1052"/>
      <c r="BL696" s="1052"/>
      <c r="BM696" s="1052"/>
      <c r="BN696" s="1054"/>
      <c r="BO696" s="1076">
        <f t="shared" si="22"/>
        <v>0</v>
      </c>
      <c r="BP696" s="1051"/>
      <c r="BQ696" s="1052"/>
      <c r="BR696" s="1054"/>
      <c r="BS696" s="1053"/>
      <c r="BT696" s="1051"/>
      <c r="BU696" s="1051"/>
      <c r="BV696" s="1051"/>
      <c r="BW696" s="1052"/>
      <c r="BX696" s="1052"/>
      <c r="BY696" s="1052"/>
      <c r="BZ696" s="1052"/>
      <c r="CA696" s="1052"/>
      <c r="CB696" s="1053"/>
      <c r="CC696" s="1053"/>
      <c r="CD696" s="1053"/>
      <c r="CE696" s="1053"/>
      <c r="CF696" s="1053"/>
      <c r="CG696" s="1053"/>
      <c r="CH696" s="1053"/>
      <c r="CI696" s="1123"/>
      <c r="CJ696" s="1123"/>
      <c r="CK696" s="1123"/>
      <c r="CL696" s="1123"/>
      <c r="CM696" s="1123"/>
      <c r="CN696" s="1123"/>
      <c r="CO696" s="1123"/>
      <c r="CP696" s="1123"/>
      <c r="CQ696" s="1123"/>
      <c r="CR696" s="1123"/>
      <c r="CS696" s="1123"/>
      <c r="CT696" s="1123"/>
      <c r="CU696" s="1123"/>
      <c r="CV696" s="1123"/>
      <c r="CW696" s="1123"/>
      <c r="CX696" s="1123"/>
      <c r="CY696" s="1123"/>
      <c r="CZ696" s="1114"/>
      <c r="DA696" s="1114"/>
      <c r="DB696" s="1114"/>
      <c r="DC696" s="1114"/>
      <c r="DD696" s="1114"/>
      <c r="DE696" s="1114"/>
      <c r="DF696" s="1114"/>
      <c r="DG696" s="1114"/>
      <c r="DH696" s="1114"/>
      <c r="DI696" s="1114"/>
      <c r="DJ696" s="1114"/>
      <c r="DK696" s="1114"/>
      <c r="DL696" s="1114"/>
      <c r="DM696" s="1114"/>
      <c r="DN696" s="1114"/>
      <c r="DO696" s="1114"/>
      <c r="DP696" s="1114"/>
      <c r="DQ696" s="1114"/>
      <c r="DR696" s="1114"/>
      <c r="DS696" s="1114"/>
      <c r="DT696" s="1114"/>
      <c r="DU696" s="1114"/>
      <c r="DV696" s="1115"/>
      <c r="DW696" s="1116"/>
      <c r="DX696" s="1116"/>
      <c r="DY696" s="1116"/>
      <c r="DZ696" s="1116"/>
      <c r="EA696" s="1116"/>
      <c r="EB696" s="1116"/>
      <c r="EC696" s="1116"/>
      <c r="ED696" s="1116"/>
      <c r="EE696" s="1116"/>
      <c r="EF696" s="1116"/>
      <c r="EG696" s="1116"/>
      <c r="EH696" s="1116"/>
      <c r="EI696" s="1116"/>
      <c r="EJ696" s="1116"/>
      <c r="EK696" s="1116"/>
      <c r="EL696" s="1116"/>
      <c r="EM696" s="1116"/>
      <c r="EN696" s="1116"/>
      <c r="EO696" s="1116"/>
      <c r="EP696" s="1116"/>
      <c r="EQ696" s="1116"/>
      <c r="ER696" s="1116"/>
      <c r="ES696" s="1116"/>
    </row>
    <row r="697" spans="1:149" ht="15" customHeight="1">
      <c r="A697" s="1185">
        <v>682</v>
      </c>
      <c r="B697" s="1041"/>
      <c r="C697" s="1050"/>
      <c r="D697" s="1050"/>
      <c r="E697" s="1050"/>
      <c r="F697" s="1049"/>
      <c r="G697" s="1457"/>
      <c r="H697" s="1049"/>
      <c r="I697" s="1049"/>
      <c r="J697" s="1050"/>
      <c r="K697" s="1050"/>
      <c r="L697" s="1043"/>
      <c r="M697" s="1051"/>
      <c r="N697" s="1051"/>
      <c r="O697" s="1052"/>
      <c r="P697" s="1051"/>
      <c r="Q697" s="1051"/>
      <c r="R697" s="1052"/>
      <c r="S697" s="1051"/>
      <c r="T697" s="1051"/>
      <c r="U697" s="1052"/>
      <c r="V697" s="1051"/>
      <c r="W697" s="1051"/>
      <c r="X697" s="1052"/>
      <c r="Y697" s="1053"/>
      <c r="Z697" s="1051"/>
      <c r="AA697" s="1051"/>
      <c r="AB697" s="1052"/>
      <c r="AC697" s="1051"/>
      <c r="AD697" s="1051"/>
      <c r="AE697" s="1052"/>
      <c r="AF697" s="1051"/>
      <c r="AG697" s="1051"/>
      <c r="AH697" s="1051"/>
      <c r="AI697" s="1051"/>
      <c r="AJ697" s="1052"/>
      <c r="AK697" s="1051"/>
      <c r="AL697" s="1051"/>
      <c r="AM697" s="1052"/>
      <c r="AN697" s="1051"/>
      <c r="AO697" s="1051"/>
      <c r="AP697" s="1052"/>
      <c r="AQ697" s="1051"/>
      <c r="AR697" s="1051"/>
      <c r="AS697" s="1052"/>
      <c r="AT697" s="1051"/>
      <c r="AU697" s="1051"/>
      <c r="AV697" s="1052"/>
      <c r="AW697" s="1051"/>
      <c r="AX697" s="1051"/>
      <c r="AY697" s="1053"/>
      <c r="AZ697" s="1051"/>
      <c r="BA697" s="1051"/>
      <c r="BB697" s="1053"/>
      <c r="BC697" s="1051"/>
      <c r="BD697" s="1051"/>
      <c r="BE697" s="1053"/>
      <c r="BF697" s="1051"/>
      <c r="BG697" s="1051"/>
      <c r="BH697" s="1053"/>
      <c r="BI697" s="1052"/>
      <c r="BJ697" s="1052"/>
      <c r="BK697" s="1052"/>
      <c r="BL697" s="1052"/>
      <c r="BM697" s="1052"/>
      <c r="BN697" s="1054"/>
      <c r="BO697" s="1076">
        <f t="shared" si="22"/>
        <v>0</v>
      </c>
      <c r="BP697" s="1051"/>
      <c r="BQ697" s="1052"/>
      <c r="BR697" s="1054"/>
      <c r="BS697" s="1053"/>
      <c r="BT697" s="1051"/>
      <c r="BU697" s="1051"/>
      <c r="BV697" s="1051"/>
      <c r="BW697" s="1052"/>
      <c r="BX697" s="1052"/>
      <c r="BY697" s="1052"/>
      <c r="BZ697" s="1052"/>
      <c r="CA697" s="1052"/>
      <c r="CB697" s="1053"/>
      <c r="CC697" s="1053"/>
      <c r="CD697" s="1053"/>
      <c r="CE697" s="1053"/>
      <c r="CF697" s="1053"/>
      <c r="CG697" s="1053"/>
      <c r="CH697" s="1053"/>
      <c r="CI697" s="1123"/>
      <c r="CJ697" s="1123"/>
      <c r="CK697" s="1123"/>
      <c r="CL697" s="1123"/>
      <c r="CM697" s="1123"/>
      <c r="CN697" s="1123"/>
      <c r="CO697" s="1123"/>
      <c r="CP697" s="1123"/>
      <c r="CQ697" s="1123"/>
      <c r="CR697" s="1123"/>
      <c r="CS697" s="1123"/>
      <c r="CT697" s="1123"/>
      <c r="CU697" s="1123"/>
      <c r="CV697" s="1123"/>
      <c r="CW697" s="1123"/>
      <c r="CX697" s="1123"/>
      <c r="CY697" s="1123"/>
      <c r="CZ697" s="1114"/>
      <c r="DA697" s="1114"/>
      <c r="DB697" s="1114"/>
      <c r="DC697" s="1114"/>
      <c r="DD697" s="1114"/>
      <c r="DE697" s="1114"/>
      <c r="DF697" s="1114"/>
      <c r="DG697" s="1114"/>
      <c r="DH697" s="1114"/>
      <c r="DI697" s="1114"/>
      <c r="DJ697" s="1114"/>
      <c r="DK697" s="1114"/>
      <c r="DL697" s="1114"/>
      <c r="DM697" s="1114"/>
      <c r="DN697" s="1114"/>
      <c r="DO697" s="1114"/>
      <c r="DP697" s="1114"/>
      <c r="DQ697" s="1114"/>
      <c r="DR697" s="1114"/>
      <c r="DS697" s="1114"/>
      <c r="DT697" s="1114"/>
      <c r="DU697" s="1114"/>
      <c r="DV697" s="1115"/>
      <c r="DW697" s="1116"/>
      <c r="DX697" s="1116"/>
      <c r="DY697" s="1116"/>
      <c r="DZ697" s="1116"/>
      <c r="EA697" s="1116"/>
      <c r="EB697" s="1116"/>
      <c r="EC697" s="1116"/>
      <c r="ED697" s="1116"/>
      <c r="EE697" s="1116"/>
      <c r="EF697" s="1116"/>
      <c r="EG697" s="1116"/>
      <c r="EH697" s="1116"/>
      <c r="EI697" s="1116"/>
      <c r="EJ697" s="1116"/>
      <c r="EK697" s="1116"/>
      <c r="EL697" s="1116"/>
      <c r="EM697" s="1116"/>
      <c r="EN697" s="1116"/>
      <c r="EO697" s="1116"/>
      <c r="EP697" s="1116"/>
      <c r="EQ697" s="1116"/>
      <c r="ER697" s="1116"/>
      <c r="ES697" s="1116"/>
    </row>
    <row r="698" spans="1:149" ht="15" customHeight="1">
      <c r="A698" s="1185">
        <v>683</v>
      </c>
      <c r="B698" s="1041"/>
      <c r="C698" s="1050"/>
      <c r="D698" s="1050"/>
      <c r="E698" s="1050"/>
      <c r="F698" s="1049"/>
      <c r="G698" s="1457"/>
      <c r="H698" s="1049"/>
      <c r="I698" s="1049"/>
      <c r="J698" s="1050"/>
      <c r="K698" s="1050"/>
      <c r="L698" s="1043"/>
      <c r="M698" s="1051"/>
      <c r="N698" s="1051"/>
      <c r="O698" s="1052"/>
      <c r="P698" s="1051"/>
      <c r="Q698" s="1051"/>
      <c r="R698" s="1052"/>
      <c r="S698" s="1051"/>
      <c r="T698" s="1051"/>
      <c r="U698" s="1052"/>
      <c r="V698" s="1051"/>
      <c r="W698" s="1051"/>
      <c r="X698" s="1052"/>
      <c r="Y698" s="1053"/>
      <c r="Z698" s="1051"/>
      <c r="AA698" s="1051"/>
      <c r="AB698" s="1052"/>
      <c r="AC698" s="1051"/>
      <c r="AD698" s="1051"/>
      <c r="AE698" s="1052"/>
      <c r="AF698" s="1051"/>
      <c r="AG698" s="1051"/>
      <c r="AH698" s="1051"/>
      <c r="AI698" s="1051"/>
      <c r="AJ698" s="1052"/>
      <c r="AK698" s="1051"/>
      <c r="AL698" s="1051"/>
      <c r="AM698" s="1052"/>
      <c r="AN698" s="1051"/>
      <c r="AO698" s="1051"/>
      <c r="AP698" s="1052"/>
      <c r="AQ698" s="1051"/>
      <c r="AR698" s="1051"/>
      <c r="AS698" s="1052"/>
      <c r="AT698" s="1051"/>
      <c r="AU698" s="1051"/>
      <c r="AV698" s="1052"/>
      <c r="AW698" s="1051"/>
      <c r="AX698" s="1051"/>
      <c r="AY698" s="1053"/>
      <c r="AZ698" s="1051"/>
      <c r="BA698" s="1051"/>
      <c r="BB698" s="1053"/>
      <c r="BC698" s="1051"/>
      <c r="BD698" s="1051"/>
      <c r="BE698" s="1053"/>
      <c r="BF698" s="1051"/>
      <c r="BG698" s="1051"/>
      <c r="BH698" s="1053"/>
      <c r="BI698" s="1052"/>
      <c r="BJ698" s="1052"/>
      <c r="BK698" s="1052"/>
      <c r="BL698" s="1052"/>
      <c r="BM698" s="1052"/>
      <c r="BN698" s="1054"/>
      <c r="BO698" s="1076">
        <f t="shared" si="22"/>
        <v>0</v>
      </c>
      <c r="BP698" s="1051"/>
      <c r="BQ698" s="1052"/>
      <c r="BR698" s="1054"/>
      <c r="BS698" s="1053"/>
      <c r="BT698" s="1051"/>
      <c r="BU698" s="1051"/>
      <c r="BV698" s="1051"/>
      <c r="BW698" s="1052"/>
      <c r="BX698" s="1052"/>
      <c r="BY698" s="1052"/>
      <c r="BZ698" s="1052"/>
      <c r="CA698" s="1052"/>
      <c r="CB698" s="1053"/>
      <c r="CC698" s="1053"/>
      <c r="CD698" s="1053"/>
      <c r="CE698" s="1053"/>
      <c r="CF698" s="1053"/>
      <c r="CG698" s="1053"/>
      <c r="CH698" s="1053"/>
      <c r="CI698" s="1123"/>
      <c r="CJ698" s="1123"/>
      <c r="CK698" s="1123"/>
      <c r="CL698" s="1123"/>
      <c r="CM698" s="1123"/>
      <c r="CN698" s="1123"/>
      <c r="CO698" s="1123"/>
      <c r="CP698" s="1123"/>
      <c r="CQ698" s="1123"/>
      <c r="CR698" s="1123"/>
      <c r="CS698" s="1123"/>
      <c r="CT698" s="1123"/>
      <c r="CU698" s="1123"/>
      <c r="CV698" s="1123"/>
      <c r="CW698" s="1123"/>
      <c r="CX698" s="1123"/>
      <c r="CY698" s="1123"/>
      <c r="CZ698" s="1114"/>
      <c r="DA698" s="1114"/>
      <c r="DB698" s="1114"/>
      <c r="DC698" s="1114"/>
      <c r="DD698" s="1114"/>
      <c r="DE698" s="1114"/>
      <c r="DF698" s="1114"/>
      <c r="DG698" s="1114"/>
      <c r="DH698" s="1114"/>
      <c r="DI698" s="1114"/>
      <c r="DJ698" s="1114"/>
      <c r="DK698" s="1114"/>
      <c r="DL698" s="1114"/>
      <c r="DM698" s="1114"/>
      <c r="DN698" s="1114"/>
      <c r="DO698" s="1114"/>
      <c r="DP698" s="1114"/>
      <c r="DQ698" s="1114"/>
      <c r="DR698" s="1114"/>
      <c r="DS698" s="1114"/>
      <c r="DT698" s="1114"/>
      <c r="DU698" s="1114"/>
      <c r="DV698" s="1115"/>
      <c r="DW698" s="1116"/>
      <c r="DX698" s="1116"/>
      <c r="DY698" s="1116"/>
      <c r="DZ698" s="1116"/>
      <c r="EA698" s="1116"/>
      <c r="EB698" s="1116"/>
      <c r="EC698" s="1116"/>
      <c r="ED698" s="1116"/>
      <c r="EE698" s="1116"/>
      <c r="EF698" s="1116"/>
      <c r="EG698" s="1116"/>
      <c r="EH698" s="1116"/>
      <c r="EI698" s="1116"/>
      <c r="EJ698" s="1116"/>
      <c r="EK698" s="1116"/>
      <c r="EL698" s="1116"/>
      <c r="EM698" s="1116"/>
      <c r="EN698" s="1116"/>
      <c r="EO698" s="1116"/>
      <c r="EP698" s="1116"/>
      <c r="EQ698" s="1116"/>
      <c r="ER698" s="1116"/>
      <c r="ES698" s="1116"/>
    </row>
    <row r="699" spans="1:149" ht="15" customHeight="1">
      <c r="A699" s="1185">
        <v>684</v>
      </c>
      <c r="B699" s="1041"/>
      <c r="C699" s="1050"/>
      <c r="D699" s="1050"/>
      <c r="E699" s="1050"/>
      <c r="F699" s="1049"/>
      <c r="G699" s="1457"/>
      <c r="H699" s="1049"/>
      <c r="I699" s="1049"/>
      <c r="J699" s="1050"/>
      <c r="K699" s="1050"/>
      <c r="L699" s="1043"/>
      <c r="M699" s="1051"/>
      <c r="N699" s="1051"/>
      <c r="O699" s="1052"/>
      <c r="P699" s="1051"/>
      <c r="Q699" s="1051"/>
      <c r="R699" s="1052"/>
      <c r="S699" s="1051"/>
      <c r="T699" s="1051"/>
      <c r="U699" s="1052"/>
      <c r="V699" s="1051"/>
      <c r="W699" s="1051"/>
      <c r="X699" s="1052"/>
      <c r="Y699" s="1053"/>
      <c r="Z699" s="1051"/>
      <c r="AA699" s="1051"/>
      <c r="AB699" s="1052"/>
      <c r="AC699" s="1051"/>
      <c r="AD699" s="1051"/>
      <c r="AE699" s="1052"/>
      <c r="AF699" s="1051"/>
      <c r="AG699" s="1051"/>
      <c r="AH699" s="1051"/>
      <c r="AI699" s="1051"/>
      <c r="AJ699" s="1052"/>
      <c r="AK699" s="1051"/>
      <c r="AL699" s="1051"/>
      <c r="AM699" s="1052"/>
      <c r="AN699" s="1051"/>
      <c r="AO699" s="1051"/>
      <c r="AP699" s="1052"/>
      <c r="AQ699" s="1051"/>
      <c r="AR699" s="1051"/>
      <c r="AS699" s="1052"/>
      <c r="AT699" s="1051"/>
      <c r="AU699" s="1051"/>
      <c r="AV699" s="1052"/>
      <c r="AW699" s="1051"/>
      <c r="AX699" s="1051"/>
      <c r="AY699" s="1053"/>
      <c r="AZ699" s="1051"/>
      <c r="BA699" s="1051"/>
      <c r="BB699" s="1053"/>
      <c r="BC699" s="1051"/>
      <c r="BD699" s="1051"/>
      <c r="BE699" s="1053"/>
      <c r="BF699" s="1051"/>
      <c r="BG699" s="1051"/>
      <c r="BH699" s="1053"/>
      <c r="BI699" s="1052"/>
      <c r="BJ699" s="1052"/>
      <c r="BK699" s="1052"/>
      <c r="BL699" s="1052"/>
      <c r="BM699" s="1052"/>
      <c r="BN699" s="1054"/>
      <c r="BO699" s="1076">
        <f t="shared" si="22"/>
        <v>0</v>
      </c>
      <c r="BP699" s="1051"/>
      <c r="BQ699" s="1052"/>
      <c r="BR699" s="1054"/>
      <c r="BS699" s="1053"/>
      <c r="BT699" s="1051"/>
      <c r="BU699" s="1051"/>
      <c r="BV699" s="1051"/>
      <c r="BW699" s="1052"/>
      <c r="BX699" s="1052"/>
      <c r="BY699" s="1052"/>
      <c r="BZ699" s="1052"/>
      <c r="CA699" s="1052"/>
      <c r="CB699" s="1053"/>
      <c r="CC699" s="1053"/>
      <c r="CD699" s="1053"/>
      <c r="CE699" s="1053"/>
      <c r="CF699" s="1053"/>
      <c r="CG699" s="1053"/>
      <c r="CH699" s="1053"/>
      <c r="CI699" s="1123"/>
      <c r="CJ699" s="1123"/>
      <c r="CK699" s="1123"/>
      <c r="CL699" s="1123"/>
      <c r="CM699" s="1123"/>
      <c r="CN699" s="1123"/>
      <c r="CO699" s="1123"/>
      <c r="CP699" s="1123"/>
      <c r="CQ699" s="1123"/>
      <c r="CR699" s="1123"/>
      <c r="CS699" s="1123"/>
      <c r="CT699" s="1123"/>
      <c r="CU699" s="1123"/>
      <c r="CV699" s="1123"/>
      <c r="CW699" s="1123"/>
      <c r="CX699" s="1123"/>
      <c r="CY699" s="1123"/>
      <c r="CZ699" s="1114"/>
      <c r="DA699" s="1114"/>
      <c r="DB699" s="1114"/>
      <c r="DC699" s="1114"/>
      <c r="DD699" s="1114"/>
      <c r="DE699" s="1114"/>
      <c r="DF699" s="1114"/>
      <c r="DG699" s="1114"/>
      <c r="DH699" s="1114"/>
      <c r="DI699" s="1114"/>
      <c r="DJ699" s="1114"/>
      <c r="DK699" s="1114"/>
      <c r="DL699" s="1114"/>
      <c r="DM699" s="1114"/>
      <c r="DN699" s="1114"/>
      <c r="DO699" s="1114"/>
      <c r="DP699" s="1114"/>
      <c r="DQ699" s="1114"/>
      <c r="DR699" s="1114"/>
      <c r="DS699" s="1114"/>
      <c r="DT699" s="1114"/>
      <c r="DU699" s="1114"/>
      <c r="DV699" s="1115"/>
      <c r="DW699" s="1116"/>
      <c r="DX699" s="1116"/>
      <c r="DY699" s="1116"/>
      <c r="DZ699" s="1116"/>
      <c r="EA699" s="1116"/>
      <c r="EB699" s="1116"/>
      <c r="EC699" s="1116"/>
      <c r="ED699" s="1116"/>
      <c r="EE699" s="1116"/>
      <c r="EF699" s="1116"/>
      <c r="EG699" s="1116"/>
      <c r="EH699" s="1116"/>
      <c r="EI699" s="1116"/>
      <c r="EJ699" s="1116"/>
      <c r="EK699" s="1116"/>
      <c r="EL699" s="1116"/>
      <c r="EM699" s="1116"/>
      <c r="EN699" s="1116"/>
      <c r="EO699" s="1116"/>
      <c r="EP699" s="1116"/>
      <c r="EQ699" s="1116"/>
      <c r="ER699" s="1116"/>
      <c r="ES699" s="1116"/>
    </row>
    <row r="700" spans="1:149" ht="15" customHeight="1">
      <c r="A700" s="1185">
        <v>685</v>
      </c>
      <c r="B700" s="1041"/>
      <c r="C700" s="1050"/>
      <c r="D700" s="1050"/>
      <c r="E700" s="1050"/>
      <c r="F700" s="1049"/>
      <c r="G700" s="1457"/>
      <c r="H700" s="1049"/>
      <c r="I700" s="1049"/>
      <c r="J700" s="1050"/>
      <c r="K700" s="1050"/>
      <c r="L700" s="1043"/>
      <c r="M700" s="1051"/>
      <c r="N700" s="1051"/>
      <c r="O700" s="1052"/>
      <c r="P700" s="1051"/>
      <c r="Q700" s="1051"/>
      <c r="R700" s="1052"/>
      <c r="S700" s="1051"/>
      <c r="T700" s="1051"/>
      <c r="U700" s="1052"/>
      <c r="V700" s="1051"/>
      <c r="W700" s="1051"/>
      <c r="X700" s="1052"/>
      <c r="Y700" s="1053"/>
      <c r="Z700" s="1051"/>
      <c r="AA700" s="1051"/>
      <c r="AB700" s="1052"/>
      <c r="AC700" s="1051"/>
      <c r="AD700" s="1051"/>
      <c r="AE700" s="1052"/>
      <c r="AF700" s="1051"/>
      <c r="AG700" s="1051"/>
      <c r="AH700" s="1051"/>
      <c r="AI700" s="1051"/>
      <c r="AJ700" s="1052"/>
      <c r="AK700" s="1051"/>
      <c r="AL700" s="1051"/>
      <c r="AM700" s="1052"/>
      <c r="AN700" s="1051"/>
      <c r="AO700" s="1051"/>
      <c r="AP700" s="1052"/>
      <c r="AQ700" s="1051"/>
      <c r="AR700" s="1051"/>
      <c r="AS700" s="1052"/>
      <c r="AT700" s="1051"/>
      <c r="AU700" s="1051"/>
      <c r="AV700" s="1052"/>
      <c r="AW700" s="1051"/>
      <c r="AX700" s="1051"/>
      <c r="AY700" s="1053"/>
      <c r="AZ700" s="1051"/>
      <c r="BA700" s="1051"/>
      <c r="BB700" s="1053"/>
      <c r="BC700" s="1051"/>
      <c r="BD700" s="1051"/>
      <c r="BE700" s="1053"/>
      <c r="BF700" s="1051"/>
      <c r="BG700" s="1051"/>
      <c r="BH700" s="1053"/>
      <c r="BI700" s="1052"/>
      <c r="BJ700" s="1052"/>
      <c r="BK700" s="1052"/>
      <c r="BL700" s="1052"/>
      <c r="BM700" s="1052"/>
      <c r="BN700" s="1054"/>
      <c r="BO700" s="1076">
        <f t="shared" si="22"/>
        <v>0</v>
      </c>
      <c r="BP700" s="1051"/>
      <c r="BQ700" s="1052"/>
      <c r="BR700" s="1054"/>
      <c r="BS700" s="1053"/>
      <c r="BT700" s="1051"/>
      <c r="BU700" s="1051"/>
      <c r="BV700" s="1051"/>
      <c r="BW700" s="1052"/>
      <c r="BX700" s="1052"/>
      <c r="BY700" s="1052"/>
      <c r="BZ700" s="1052"/>
      <c r="CA700" s="1052"/>
      <c r="CB700" s="1053"/>
      <c r="CC700" s="1053"/>
      <c r="CD700" s="1053"/>
      <c r="CE700" s="1053"/>
      <c r="CF700" s="1053"/>
      <c r="CG700" s="1053"/>
      <c r="CH700" s="1053"/>
      <c r="CI700" s="1123"/>
      <c r="CJ700" s="1123"/>
      <c r="CK700" s="1123"/>
      <c r="CL700" s="1123"/>
      <c r="CM700" s="1123"/>
      <c r="CN700" s="1123"/>
      <c r="CO700" s="1123"/>
      <c r="CP700" s="1123"/>
      <c r="CQ700" s="1123"/>
      <c r="CR700" s="1123"/>
      <c r="CS700" s="1123"/>
      <c r="CT700" s="1123"/>
      <c r="CU700" s="1123"/>
      <c r="CV700" s="1123"/>
      <c r="CW700" s="1123"/>
      <c r="CX700" s="1123"/>
      <c r="CY700" s="1123"/>
      <c r="CZ700" s="1114"/>
      <c r="DA700" s="1114"/>
      <c r="DB700" s="1114"/>
      <c r="DC700" s="1114"/>
      <c r="DD700" s="1114"/>
      <c r="DE700" s="1114"/>
      <c r="DF700" s="1114"/>
      <c r="DG700" s="1114"/>
      <c r="DH700" s="1114"/>
      <c r="DI700" s="1114"/>
      <c r="DJ700" s="1114"/>
      <c r="DK700" s="1114"/>
      <c r="DL700" s="1114"/>
      <c r="DM700" s="1114"/>
      <c r="DN700" s="1114"/>
      <c r="DO700" s="1114"/>
      <c r="DP700" s="1114"/>
      <c r="DQ700" s="1114"/>
      <c r="DR700" s="1114"/>
      <c r="DS700" s="1114"/>
      <c r="DT700" s="1114"/>
      <c r="DU700" s="1114"/>
      <c r="DV700" s="1115"/>
      <c r="DW700" s="1116"/>
      <c r="DX700" s="1116"/>
      <c r="DY700" s="1116"/>
      <c r="DZ700" s="1116"/>
      <c r="EA700" s="1116"/>
      <c r="EB700" s="1116"/>
      <c r="EC700" s="1116"/>
      <c r="ED700" s="1116"/>
      <c r="EE700" s="1116"/>
      <c r="EF700" s="1116"/>
      <c r="EG700" s="1116"/>
      <c r="EH700" s="1116"/>
      <c r="EI700" s="1116"/>
      <c r="EJ700" s="1116"/>
      <c r="EK700" s="1116"/>
      <c r="EL700" s="1116"/>
      <c r="EM700" s="1116"/>
      <c r="EN700" s="1116"/>
      <c r="EO700" s="1116"/>
      <c r="EP700" s="1116"/>
      <c r="EQ700" s="1116"/>
      <c r="ER700" s="1116"/>
      <c r="ES700" s="1116"/>
    </row>
    <row r="701" spans="1:149" ht="15" customHeight="1">
      <c r="A701" s="1185">
        <v>686</v>
      </c>
      <c r="B701" s="1041"/>
      <c r="C701" s="1050"/>
      <c r="D701" s="1050"/>
      <c r="E701" s="1050"/>
      <c r="F701" s="1049"/>
      <c r="G701" s="1457"/>
      <c r="H701" s="1049"/>
      <c r="I701" s="1049"/>
      <c r="J701" s="1050"/>
      <c r="K701" s="1050"/>
      <c r="L701" s="1043"/>
      <c r="M701" s="1051"/>
      <c r="N701" s="1051"/>
      <c r="O701" s="1052"/>
      <c r="P701" s="1051"/>
      <c r="Q701" s="1051"/>
      <c r="R701" s="1052"/>
      <c r="S701" s="1051"/>
      <c r="T701" s="1051"/>
      <c r="U701" s="1052"/>
      <c r="V701" s="1051"/>
      <c r="W701" s="1051"/>
      <c r="X701" s="1052"/>
      <c r="Y701" s="1053"/>
      <c r="Z701" s="1051"/>
      <c r="AA701" s="1051"/>
      <c r="AB701" s="1052"/>
      <c r="AC701" s="1051"/>
      <c r="AD701" s="1051"/>
      <c r="AE701" s="1052"/>
      <c r="AF701" s="1051"/>
      <c r="AG701" s="1051"/>
      <c r="AH701" s="1051"/>
      <c r="AI701" s="1051"/>
      <c r="AJ701" s="1052"/>
      <c r="AK701" s="1051"/>
      <c r="AL701" s="1051"/>
      <c r="AM701" s="1052"/>
      <c r="AN701" s="1051"/>
      <c r="AO701" s="1051"/>
      <c r="AP701" s="1052"/>
      <c r="AQ701" s="1051"/>
      <c r="AR701" s="1051"/>
      <c r="AS701" s="1052"/>
      <c r="AT701" s="1051"/>
      <c r="AU701" s="1051"/>
      <c r="AV701" s="1052"/>
      <c r="AW701" s="1051"/>
      <c r="AX701" s="1051"/>
      <c r="AY701" s="1053"/>
      <c r="AZ701" s="1051"/>
      <c r="BA701" s="1051"/>
      <c r="BB701" s="1053"/>
      <c r="BC701" s="1051"/>
      <c r="BD701" s="1051"/>
      <c r="BE701" s="1053"/>
      <c r="BF701" s="1051"/>
      <c r="BG701" s="1051"/>
      <c r="BH701" s="1053"/>
      <c r="BI701" s="1052"/>
      <c r="BJ701" s="1052"/>
      <c r="BK701" s="1052"/>
      <c r="BL701" s="1052"/>
      <c r="BM701" s="1052"/>
      <c r="BN701" s="1054"/>
      <c r="BO701" s="1076">
        <f t="shared" si="22"/>
        <v>0</v>
      </c>
      <c r="BP701" s="1051"/>
      <c r="BQ701" s="1052"/>
      <c r="BR701" s="1054"/>
      <c r="BS701" s="1053"/>
      <c r="BT701" s="1051"/>
      <c r="BU701" s="1051"/>
      <c r="BV701" s="1051"/>
      <c r="BW701" s="1052"/>
      <c r="BX701" s="1052"/>
      <c r="BY701" s="1052"/>
      <c r="BZ701" s="1052"/>
      <c r="CA701" s="1052"/>
      <c r="CB701" s="1053"/>
      <c r="CC701" s="1053"/>
      <c r="CD701" s="1053"/>
      <c r="CE701" s="1053"/>
      <c r="CF701" s="1053"/>
      <c r="CG701" s="1053"/>
      <c r="CH701" s="1053"/>
      <c r="CI701" s="1123"/>
      <c r="CJ701" s="1123"/>
      <c r="CK701" s="1123"/>
      <c r="CL701" s="1123"/>
      <c r="CM701" s="1123"/>
      <c r="CN701" s="1123"/>
      <c r="CO701" s="1123"/>
      <c r="CP701" s="1123"/>
      <c r="CQ701" s="1123"/>
      <c r="CR701" s="1123"/>
      <c r="CS701" s="1123"/>
      <c r="CT701" s="1123"/>
      <c r="CU701" s="1123"/>
      <c r="CV701" s="1123"/>
      <c r="CW701" s="1123"/>
      <c r="CX701" s="1123"/>
      <c r="CY701" s="1123"/>
      <c r="CZ701" s="1114"/>
      <c r="DA701" s="1114"/>
      <c r="DB701" s="1114"/>
      <c r="DC701" s="1114"/>
      <c r="DD701" s="1114"/>
      <c r="DE701" s="1114"/>
      <c r="DF701" s="1114"/>
      <c r="DG701" s="1114"/>
      <c r="DH701" s="1114"/>
      <c r="DI701" s="1114"/>
      <c r="DJ701" s="1114"/>
      <c r="DK701" s="1114"/>
      <c r="DL701" s="1114"/>
      <c r="DM701" s="1114"/>
      <c r="DN701" s="1114"/>
      <c r="DO701" s="1114"/>
      <c r="DP701" s="1114"/>
      <c r="DQ701" s="1114"/>
      <c r="DR701" s="1114"/>
      <c r="DS701" s="1114"/>
      <c r="DT701" s="1114"/>
      <c r="DU701" s="1114"/>
      <c r="DV701" s="1115"/>
      <c r="DW701" s="1116"/>
      <c r="DX701" s="1116"/>
      <c r="DY701" s="1116"/>
      <c r="DZ701" s="1116"/>
      <c r="EA701" s="1116"/>
      <c r="EB701" s="1116"/>
      <c r="EC701" s="1116"/>
      <c r="ED701" s="1116"/>
      <c r="EE701" s="1116"/>
      <c r="EF701" s="1116"/>
      <c r="EG701" s="1116"/>
      <c r="EH701" s="1116"/>
      <c r="EI701" s="1116"/>
      <c r="EJ701" s="1116"/>
      <c r="EK701" s="1116"/>
      <c r="EL701" s="1116"/>
      <c r="EM701" s="1116"/>
      <c r="EN701" s="1116"/>
      <c r="EO701" s="1116"/>
      <c r="EP701" s="1116"/>
      <c r="EQ701" s="1116"/>
      <c r="ER701" s="1116"/>
      <c r="ES701" s="1116"/>
    </row>
    <row r="702" spans="1:149" ht="15" customHeight="1">
      <c r="A702" s="1185">
        <v>687</v>
      </c>
      <c r="B702" s="1041"/>
      <c r="C702" s="1050"/>
      <c r="D702" s="1050"/>
      <c r="E702" s="1050"/>
      <c r="F702" s="1049"/>
      <c r="G702" s="1457"/>
      <c r="H702" s="1049"/>
      <c r="I702" s="1049"/>
      <c r="J702" s="1050"/>
      <c r="K702" s="1050"/>
      <c r="L702" s="1043"/>
      <c r="M702" s="1051"/>
      <c r="N702" s="1051"/>
      <c r="O702" s="1052"/>
      <c r="P702" s="1051"/>
      <c r="Q702" s="1051"/>
      <c r="R702" s="1052"/>
      <c r="S702" s="1051"/>
      <c r="T702" s="1051"/>
      <c r="U702" s="1052"/>
      <c r="V702" s="1051"/>
      <c r="W702" s="1051"/>
      <c r="X702" s="1052"/>
      <c r="Y702" s="1053"/>
      <c r="Z702" s="1051"/>
      <c r="AA702" s="1051"/>
      <c r="AB702" s="1052"/>
      <c r="AC702" s="1051"/>
      <c r="AD702" s="1051"/>
      <c r="AE702" s="1052"/>
      <c r="AF702" s="1051"/>
      <c r="AG702" s="1051"/>
      <c r="AH702" s="1051"/>
      <c r="AI702" s="1051"/>
      <c r="AJ702" s="1052"/>
      <c r="AK702" s="1051"/>
      <c r="AL702" s="1051"/>
      <c r="AM702" s="1052"/>
      <c r="AN702" s="1051"/>
      <c r="AO702" s="1051"/>
      <c r="AP702" s="1052"/>
      <c r="AQ702" s="1051"/>
      <c r="AR702" s="1051"/>
      <c r="AS702" s="1052"/>
      <c r="AT702" s="1051"/>
      <c r="AU702" s="1051"/>
      <c r="AV702" s="1052"/>
      <c r="AW702" s="1051"/>
      <c r="AX702" s="1051"/>
      <c r="AY702" s="1053"/>
      <c r="AZ702" s="1051"/>
      <c r="BA702" s="1051"/>
      <c r="BB702" s="1053"/>
      <c r="BC702" s="1051"/>
      <c r="BD702" s="1051"/>
      <c r="BE702" s="1053"/>
      <c r="BF702" s="1051"/>
      <c r="BG702" s="1051"/>
      <c r="BH702" s="1053"/>
      <c r="BI702" s="1052"/>
      <c r="BJ702" s="1052"/>
      <c r="BK702" s="1052"/>
      <c r="BL702" s="1052"/>
      <c r="BM702" s="1052"/>
      <c r="BN702" s="1054"/>
      <c r="BO702" s="1076">
        <f t="shared" si="22"/>
        <v>0</v>
      </c>
      <c r="BP702" s="1051"/>
      <c r="BQ702" s="1052"/>
      <c r="BR702" s="1054"/>
      <c r="BS702" s="1053"/>
      <c r="BT702" s="1051"/>
      <c r="BU702" s="1051"/>
      <c r="BV702" s="1051"/>
      <c r="BW702" s="1052"/>
      <c r="BX702" s="1052"/>
      <c r="BY702" s="1052"/>
      <c r="BZ702" s="1052"/>
      <c r="CA702" s="1052"/>
      <c r="CB702" s="1053"/>
      <c r="CC702" s="1053"/>
      <c r="CD702" s="1053"/>
      <c r="CE702" s="1053"/>
      <c r="CF702" s="1053"/>
      <c r="CG702" s="1053"/>
      <c r="CH702" s="1053"/>
      <c r="CI702" s="1123"/>
      <c r="CJ702" s="1123"/>
      <c r="CK702" s="1123"/>
      <c r="CL702" s="1123"/>
      <c r="CM702" s="1123"/>
      <c r="CN702" s="1123"/>
      <c r="CO702" s="1123"/>
      <c r="CP702" s="1123"/>
      <c r="CQ702" s="1123"/>
      <c r="CR702" s="1123"/>
      <c r="CS702" s="1123"/>
      <c r="CT702" s="1123"/>
      <c r="CU702" s="1123"/>
      <c r="CV702" s="1123"/>
      <c r="CW702" s="1123"/>
      <c r="CX702" s="1123"/>
      <c r="CY702" s="1123"/>
      <c r="CZ702" s="1114"/>
      <c r="DA702" s="1114"/>
      <c r="DB702" s="1114"/>
      <c r="DC702" s="1114"/>
      <c r="DD702" s="1114"/>
      <c r="DE702" s="1114"/>
      <c r="DF702" s="1114"/>
      <c r="DG702" s="1114"/>
      <c r="DH702" s="1114"/>
      <c r="DI702" s="1114"/>
      <c r="DJ702" s="1114"/>
      <c r="DK702" s="1114"/>
      <c r="DL702" s="1114"/>
      <c r="DM702" s="1114"/>
      <c r="DN702" s="1114"/>
      <c r="DO702" s="1114"/>
      <c r="DP702" s="1114"/>
      <c r="DQ702" s="1114"/>
      <c r="DR702" s="1114"/>
      <c r="DS702" s="1114"/>
      <c r="DT702" s="1114"/>
      <c r="DU702" s="1114"/>
      <c r="DV702" s="1115"/>
      <c r="DW702" s="1116"/>
      <c r="DX702" s="1116"/>
      <c r="DY702" s="1116"/>
      <c r="DZ702" s="1116"/>
      <c r="EA702" s="1116"/>
      <c r="EB702" s="1116"/>
      <c r="EC702" s="1116"/>
      <c r="ED702" s="1116"/>
      <c r="EE702" s="1116"/>
      <c r="EF702" s="1116"/>
      <c r="EG702" s="1116"/>
      <c r="EH702" s="1116"/>
      <c r="EI702" s="1116"/>
      <c r="EJ702" s="1116"/>
      <c r="EK702" s="1116"/>
      <c r="EL702" s="1116"/>
      <c r="EM702" s="1116"/>
      <c r="EN702" s="1116"/>
      <c r="EO702" s="1116"/>
      <c r="EP702" s="1116"/>
      <c r="EQ702" s="1116"/>
      <c r="ER702" s="1116"/>
      <c r="ES702" s="1116"/>
    </row>
    <row r="703" spans="1:149" ht="15" customHeight="1">
      <c r="A703" s="1185">
        <v>688</v>
      </c>
      <c r="B703" s="1041"/>
      <c r="C703" s="1050"/>
      <c r="D703" s="1050"/>
      <c r="E703" s="1050"/>
      <c r="F703" s="1049"/>
      <c r="G703" s="1457"/>
      <c r="H703" s="1049"/>
      <c r="I703" s="1049"/>
      <c r="J703" s="1050"/>
      <c r="K703" s="1050"/>
      <c r="L703" s="1043"/>
      <c r="M703" s="1051"/>
      <c r="N703" s="1051"/>
      <c r="O703" s="1052"/>
      <c r="P703" s="1051"/>
      <c r="Q703" s="1051"/>
      <c r="R703" s="1052"/>
      <c r="S703" s="1051"/>
      <c r="T703" s="1051"/>
      <c r="U703" s="1052"/>
      <c r="V703" s="1051"/>
      <c r="W703" s="1051"/>
      <c r="X703" s="1052"/>
      <c r="Y703" s="1053"/>
      <c r="Z703" s="1051"/>
      <c r="AA703" s="1051"/>
      <c r="AB703" s="1052"/>
      <c r="AC703" s="1051"/>
      <c r="AD703" s="1051"/>
      <c r="AE703" s="1052"/>
      <c r="AF703" s="1051"/>
      <c r="AG703" s="1051"/>
      <c r="AH703" s="1051"/>
      <c r="AI703" s="1051"/>
      <c r="AJ703" s="1052"/>
      <c r="AK703" s="1051"/>
      <c r="AL703" s="1051"/>
      <c r="AM703" s="1052"/>
      <c r="AN703" s="1051"/>
      <c r="AO703" s="1051"/>
      <c r="AP703" s="1052"/>
      <c r="AQ703" s="1051"/>
      <c r="AR703" s="1051"/>
      <c r="AS703" s="1052"/>
      <c r="AT703" s="1051"/>
      <c r="AU703" s="1051"/>
      <c r="AV703" s="1052"/>
      <c r="AW703" s="1051"/>
      <c r="AX703" s="1051"/>
      <c r="AY703" s="1053"/>
      <c r="AZ703" s="1051"/>
      <c r="BA703" s="1051"/>
      <c r="BB703" s="1053"/>
      <c r="BC703" s="1051"/>
      <c r="BD703" s="1051"/>
      <c r="BE703" s="1053"/>
      <c r="BF703" s="1051"/>
      <c r="BG703" s="1051"/>
      <c r="BH703" s="1053"/>
      <c r="BI703" s="1052"/>
      <c r="BJ703" s="1052"/>
      <c r="BK703" s="1052"/>
      <c r="BL703" s="1052"/>
      <c r="BM703" s="1052"/>
      <c r="BN703" s="1054"/>
      <c r="BO703" s="1076">
        <f t="shared" si="22"/>
        <v>0</v>
      </c>
      <c r="BP703" s="1051"/>
      <c r="BQ703" s="1052"/>
      <c r="BR703" s="1054"/>
      <c r="BS703" s="1053"/>
      <c r="BT703" s="1051"/>
      <c r="BU703" s="1051"/>
      <c r="BV703" s="1051"/>
      <c r="BW703" s="1052"/>
      <c r="BX703" s="1052"/>
      <c r="BY703" s="1052"/>
      <c r="BZ703" s="1052"/>
      <c r="CA703" s="1052"/>
      <c r="CB703" s="1053"/>
      <c r="CC703" s="1053"/>
      <c r="CD703" s="1053"/>
      <c r="CE703" s="1053"/>
      <c r="CF703" s="1053"/>
      <c r="CG703" s="1053"/>
      <c r="CH703" s="1053"/>
      <c r="CI703" s="1123"/>
      <c r="CJ703" s="1123"/>
      <c r="CK703" s="1123"/>
      <c r="CL703" s="1123"/>
      <c r="CM703" s="1123"/>
      <c r="CN703" s="1123"/>
      <c r="CO703" s="1123"/>
      <c r="CP703" s="1123"/>
      <c r="CQ703" s="1123"/>
      <c r="CR703" s="1123"/>
      <c r="CS703" s="1123"/>
      <c r="CT703" s="1123"/>
      <c r="CU703" s="1123"/>
      <c r="CV703" s="1123"/>
      <c r="CW703" s="1123"/>
      <c r="CX703" s="1123"/>
      <c r="CY703" s="1123"/>
      <c r="CZ703" s="1114"/>
      <c r="DA703" s="1114"/>
      <c r="DB703" s="1114"/>
      <c r="DC703" s="1114"/>
      <c r="DD703" s="1114"/>
      <c r="DE703" s="1114"/>
      <c r="DF703" s="1114"/>
      <c r="DG703" s="1114"/>
      <c r="DH703" s="1114"/>
      <c r="DI703" s="1114"/>
      <c r="DJ703" s="1114"/>
      <c r="DK703" s="1114"/>
      <c r="DL703" s="1114"/>
      <c r="DM703" s="1114"/>
      <c r="DN703" s="1114"/>
      <c r="DO703" s="1114"/>
      <c r="DP703" s="1114"/>
      <c r="DQ703" s="1114"/>
      <c r="DR703" s="1114"/>
      <c r="DS703" s="1114"/>
      <c r="DT703" s="1114"/>
      <c r="DU703" s="1114"/>
      <c r="DV703" s="1115"/>
      <c r="DW703" s="1116"/>
      <c r="DX703" s="1116"/>
      <c r="DY703" s="1116"/>
      <c r="DZ703" s="1116"/>
      <c r="EA703" s="1116"/>
      <c r="EB703" s="1116"/>
      <c r="EC703" s="1116"/>
      <c r="ED703" s="1116"/>
      <c r="EE703" s="1116"/>
      <c r="EF703" s="1116"/>
      <c r="EG703" s="1116"/>
      <c r="EH703" s="1116"/>
      <c r="EI703" s="1116"/>
      <c r="EJ703" s="1116"/>
      <c r="EK703" s="1116"/>
      <c r="EL703" s="1116"/>
      <c r="EM703" s="1116"/>
      <c r="EN703" s="1116"/>
      <c r="EO703" s="1116"/>
      <c r="EP703" s="1116"/>
      <c r="EQ703" s="1116"/>
      <c r="ER703" s="1116"/>
      <c r="ES703" s="1116"/>
    </row>
    <row r="704" spans="1:149" ht="15" customHeight="1">
      <c r="A704" s="1185">
        <v>689</v>
      </c>
      <c r="B704" s="1041"/>
      <c r="C704" s="1050"/>
      <c r="D704" s="1050"/>
      <c r="E704" s="1050"/>
      <c r="F704" s="1049"/>
      <c r="G704" s="1457"/>
      <c r="H704" s="1049"/>
      <c r="I704" s="1049"/>
      <c r="J704" s="1050"/>
      <c r="K704" s="1050"/>
      <c r="L704" s="1043"/>
      <c r="M704" s="1051"/>
      <c r="N704" s="1051"/>
      <c r="O704" s="1052"/>
      <c r="P704" s="1051"/>
      <c r="Q704" s="1051"/>
      <c r="R704" s="1052"/>
      <c r="S704" s="1051"/>
      <c r="T704" s="1051"/>
      <c r="U704" s="1052"/>
      <c r="V704" s="1051"/>
      <c r="W704" s="1051"/>
      <c r="X704" s="1052"/>
      <c r="Y704" s="1053"/>
      <c r="Z704" s="1051"/>
      <c r="AA704" s="1051"/>
      <c r="AB704" s="1052"/>
      <c r="AC704" s="1051"/>
      <c r="AD704" s="1051"/>
      <c r="AE704" s="1052"/>
      <c r="AF704" s="1051"/>
      <c r="AG704" s="1051"/>
      <c r="AH704" s="1051"/>
      <c r="AI704" s="1051"/>
      <c r="AJ704" s="1052"/>
      <c r="AK704" s="1051"/>
      <c r="AL704" s="1051"/>
      <c r="AM704" s="1052"/>
      <c r="AN704" s="1051"/>
      <c r="AO704" s="1051"/>
      <c r="AP704" s="1052"/>
      <c r="AQ704" s="1051"/>
      <c r="AR704" s="1051"/>
      <c r="AS704" s="1052"/>
      <c r="AT704" s="1051"/>
      <c r="AU704" s="1051"/>
      <c r="AV704" s="1052"/>
      <c r="AW704" s="1051"/>
      <c r="AX704" s="1051"/>
      <c r="AY704" s="1053"/>
      <c r="AZ704" s="1051"/>
      <c r="BA704" s="1051"/>
      <c r="BB704" s="1053"/>
      <c r="BC704" s="1051"/>
      <c r="BD704" s="1051"/>
      <c r="BE704" s="1053"/>
      <c r="BF704" s="1051"/>
      <c r="BG704" s="1051"/>
      <c r="BH704" s="1053"/>
      <c r="BI704" s="1052"/>
      <c r="BJ704" s="1052"/>
      <c r="BK704" s="1052"/>
      <c r="BL704" s="1052"/>
      <c r="BM704" s="1052"/>
      <c r="BN704" s="1054"/>
      <c r="BO704" s="1076">
        <f t="shared" si="22"/>
        <v>0</v>
      </c>
      <c r="BP704" s="1051"/>
      <c r="BQ704" s="1052"/>
      <c r="BR704" s="1054"/>
      <c r="BS704" s="1053"/>
      <c r="BT704" s="1051"/>
      <c r="BU704" s="1051"/>
      <c r="BV704" s="1051"/>
      <c r="BW704" s="1052"/>
      <c r="BX704" s="1052"/>
      <c r="BY704" s="1052"/>
      <c r="BZ704" s="1052"/>
      <c r="CA704" s="1052"/>
      <c r="CB704" s="1053"/>
      <c r="CC704" s="1053"/>
      <c r="CD704" s="1053"/>
      <c r="CE704" s="1053"/>
      <c r="CF704" s="1053"/>
      <c r="CG704" s="1053"/>
      <c r="CH704" s="1053"/>
      <c r="CI704" s="1123"/>
      <c r="CJ704" s="1123"/>
      <c r="CK704" s="1123"/>
      <c r="CL704" s="1123"/>
      <c r="CM704" s="1123"/>
      <c r="CN704" s="1123"/>
      <c r="CO704" s="1123"/>
      <c r="CP704" s="1123"/>
      <c r="CQ704" s="1123"/>
      <c r="CR704" s="1123"/>
      <c r="CS704" s="1123"/>
      <c r="CT704" s="1123"/>
      <c r="CU704" s="1123"/>
      <c r="CV704" s="1123"/>
      <c r="CW704" s="1123"/>
      <c r="CX704" s="1123"/>
      <c r="CY704" s="1123"/>
      <c r="CZ704" s="1114"/>
      <c r="DA704" s="1114"/>
      <c r="DB704" s="1114"/>
      <c r="DC704" s="1114"/>
      <c r="DD704" s="1114"/>
      <c r="DE704" s="1114"/>
      <c r="DF704" s="1114"/>
      <c r="DG704" s="1114"/>
      <c r="DH704" s="1114"/>
      <c r="DI704" s="1114"/>
      <c r="DJ704" s="1114"/>
      <c r="DK704" s="1114"/>
      <c r="DL704" s="1114"/>
      <c r="DM704" s="1114"/>
      <c r="DN704" s="1114"/>
      <c r="DO704" s="1114"/>
      <c r="DP704" s="1114"/>
      <c r="DQ704" s="1114"/>
      <c r="DR704" s="1114"/>
      <c r="DS704" s="1114"/>
      <c r="DT704" s="1114"/>
      <c r="DU704" s="1114"/>
      <c r="DV704" s="1115"/>
      <c r="DW704" s="1116"/>
      <c r="DX704" s="1116"/>
      <c r="DY704" s="1116"/>
      <c r="DZ704" s="1116"/>
      <c r="EA704" s="1116"/>
      <c r="EB704" s="1116"/>
      <c r="EC704" s="1116"/>
      <c r="ED704" s="1116"/>
      <c r="EE704" s="1116"/>
      <c r="EF704" s="1116"/>
      <c r="EG704" s="1116"/>
      <c r="EH704" s="1116"/>
      <c r="EI704" s="1116"/>
      <c r="EJ704" s="1116"/>
      <c r="EK704" s="1116"/>
      <c r="EL704" s="1116"/>
      <c r="EM704" s="1116"/>
      <c r="EN704" s="1116"/>
      <c r="EO704" s="1116"/>
      <c r="EP704" s="1116"/>
      <c r="EQ704" s="1116"/>
      <c r="ER704" s="1116"/>
      <c r="ES704" s="1116"/>
    </row>
    <row r="705" spans="1:149" ht="15" customHeight="1">
      <c r="A705" s="1185">
        <v>690</v>
      </c>
      <c r="B705" s="1041"/>
      <c r="C705" s="1050"/>
      <c r="D705" s="1050"/>
      <c r="E705" s="1050"/>
      <c r="F705" s="1049"/>
      <c r="G705" s="1457"/>
      <c r="H705" s="1049"/>
      <c r="I705" s="1049"/>
      <c r="J705" s="1050"/>
      <c r="K705" s="1050"/>
      <c r="L705" s="1043"/>
      <c r="M705" s="1051"/>
      <c r="N705" s="1051"/>
      <c r="O705" s="1052"/>
      <c r="P705" s="1051"/>
      <c r="Q705" s="1051"/>
      <c r="R705" s="1052"/>
      <c r="S705" s="1051"/>
      <c r="T705" s="1051"/>
      <c r="U705" s="1052"/>
      <c r="V705" s="1051"/>
      <c r="W705" s="1051"/>
      <c r="X705" s="1052"/>
      <c r="Y705" s="1053"/>
      <c r="Z705" s="1051"/>
      <c r="AA705" s="1051"/>
      <c r="AB705" s="1052"/>
      <c r="AC705" s="1051"/>
      <c r="AD705" s="1051"/>
      <c r="AE705" s="1052"/>
      <c r="AF705" s="1051"/>
      <c r="AG705" s="1051"/>
      <c r="AH705" s="1051"/>
      <c r="AI705" s="1051"/>
      <c r="AJ705" s="1052"/>
      <c r="AK705" s="1051"/>
      <c r="AL705" s="1051"/>
      <c r="AM705" s="1052"/>
      <c r="AN705" s="1051"/>
      <c r="AO705" s="1051"/>
      <c r="AP705" s="1052"/>
      <c r="AQ705" s="1051"/>
      <c r="AR705" s="1051"/>
      <c r="AS705" s="1052"/>
      <c r="AT705" s="1051"/>
      <c r="AU705" s="1051"/>
      <c r="AV705" s="1052"/>
      <c r="AW705" s="1051"/>
      <c r="AX705" s="1051"/>
      <c r="AY705" s="1053"/>
      <c r="AZ705" s="1051"/>
      <c r="BA705" s="1051"/>
      <c r="BB705" s="1053"/>
      <c r="BC705" s="1051"/>
      <c r="BD705" s="1051"/>
      <c r="BE705" s="1053"/>
      <c r="BF705" s="1051"/>
      <c r="BG705" s="1051"/>
      <c r="BH705" s="1053"/>
      <c r="BI705" s="1052"/>
      <c r="BJ705" s="1052"/>
      <c r="BK705" s="1052"/>
      <c r="BL705" s="1052"/>
      <c r="BM705" s="1052"/>
      <c r="BN705" s="1054"/>
      <c r="BO705" s="1076">
        <f t="shared" si="22"/>
        <v>0</v>
      </c>
      <c r="BP705" s="1051"/>
      <c r="BQ705" s="1052"/>
      <c r="BR705" s="1054"/>
      <c r="BS705" s="1053"/>
      <c r="BT705" s="1051"/>
      <c r="BU705" s="1051"/>
      <c r="BV705" s="1051"/>
      <c r="BW705" s="1052"/>
      <c r="BX705" s="1052"/>
      <c r="BY705" s="1052"/>
      <c r="BZ705" s="1052"/>
      <c r="CA705" s="1052"/>
      <c r="CB705" s="1053"/>
      <c r="CC705" s="1053"/>
      <c r="CD705" s="1053"/>
      <c r="CE705" s="1053"/>
      <c r="CF705" s="1053"/>
      <c r="CG705" s="1053"/>
      <c r="CH705" s="1053"/>
      <c r="CI705" s="1123"/>
      <c r="CJ705" s="1123"/>
      <c r="CK705" s="1123"/>
      <c r="CL705" s="1123"/>
      <c r="CM705" s="1123"/>
      <c r="CN705" s="1123"/>
      <c r="CO705" s="1123"/>
      <c r="CP705" s="1123"/>
      <c r="CQ705" s="1123"/>
      <c r="CR705" s="1123"/>
      <c r="CS705" s="1123"/>
      <c r="CT705" s="1123"/>
      <c r="CU705" s="1123"/>
      <c r="CV705" s="1123"/>
      <c r="CW705" s="1123"/>
      <c r="CX705" s="1123"/>
      <c r="CY705" s="1123"/>
      <c r="CZ705" s="1114"/>
      <c r="DA705" s="1114"/>
      <c r="DB705" s="1114"/>
      <c r="DC705" s="1114"/>
      <c r="DD705" s="1114"/>
      <c r="DE705" s="1114"/>
      <c r="DF705" s="1114"/>
      <c r="DG705" s="1114"/>
      <c r="DH705" s="1114"/>
      <c r="DI705" s="1114"/>
      <c r="DJ705" s="1114"/>
      <c r="DK705" s="1114"/>
      <c r="DL705" s="1114"/>
      <c r="DM705" s="1114"/>
      <c r="DN705" s="1114"/>
      <c r="DO705" s="1114"/>
      <c r="DP705" s="1114"/>
      <c r="DQ705" s="1114"/>
      <c r="DR705" s="1114"/>
      <c r="DS705" s="1114"/>
      <c r="DT705" s="1114"/>
      <c r="DU705" s="1114"/>
      <c r="DV705" s="1115"/>
      <c r="DW705" s="1116"/>
      <c r="DX705" s="1116"/>
      <c r="DY705" s="1116"/>
      <c r="DZ705" s="1116"/>
      <c r="EA705" s="1116"/>
      <c r="EB705" s="1116"/>
      <c r="EC705" s="1116"/>
      <c r="ED705" s="1116"/>
      <c r="EE705" s="1116"/>
      <c r="EF705" s="1116"/>
      <c r="EG705" s="1116"/>
      <c r="EH705" s="1116"/>
      <c r="EI705" s="1116"/>
      <c r="EJ705" s="1116"/>
      <c r="EK705" s="1116"/>
      <c r="EL705" s="1116"/>
      <c r="EM705" s="1116"/>
      <c r="EN705" s="1116"/>
      <c r="EO705" s="1116"/>
      <c r="EP705" s="1116"/>
      <c r="EQ705" s="1116"/>
      <c r="ER705" s="1116"/>
      <c r="ES705" s="1116"/>
    </row>
    <row r="706" spans="1:149" ht="15" customHeight="1">
      <c r="A706" s="1185">
        <v>691</v>
      </c>
      <c r="B706" s="1041"/>
      <c r="C706" s="1050"/>
      <c r="D706" s="1050"/>
      <c r="E706" s="1050"/>
      <c r="F706" s="1049"/>
      <c r="G706" s="1457"/>
      <c r="H706" s="1049"/>
      <c r="I706" s="1049"/>
      <c r="J706" s="1050"/>
      <c r="K706" s="1050"/>
      <c r="L706" s="1043"/>
      <c r="M706" s="1051"/>
      <c r="N706" s="1051"/>
      <c r="O706" s="1052"/>
      <c r="P706" s="1051"/>
      <c r="Q706" s="1051"/>
      <c r="R706" s="1052"/>
      <c r="S706" s="1051"/>
      <c r="T706" s="1051"/>
      <c r="U706" s="1052"/>
      <c r="V706" s="1051"/>
      <c r="W706" s="1051"/>
      <c r="X706" s="1052"/>
      <c r="Y706" s="1053"/>
      <c r="Z706" s="1051"/>
      <c r="AA706" s="1051"/>
      <c r="AB706" s="1052"/>
      <c r="AC706" s="1051"/>
      <c r="AD706" s="1051"/>
      <c r="AE706" s="1052"/>
      <c r="AF706" s="1051"/>
      <c r="AG706" s="1051"/>
      <c r="AH706" s="1051"/>
      <c r="AI706" s="1051"/>
      <c r="AJ706" s="1052"/>
      <c r="AK706" s="1051"/>
      <c r="AL706" s="1051"/>
      <c r="AM706" s="1052"/>
      <c r="AN706" s="1051"/>
      <c r="AO706" s="1051"/>
      <c r="AP706" s="1052"/>
      <c r="AQ706" s="1051"/>
      <c r="AR706" s="1051"/>
      <c r="AS706" s="1052"/>
      <c r="AT706" s="1051"/>
      <c r="AU706" s="1051"/>
      <c r="AV706" s="1052"/>
      <c r="AW706" s="1051"/>
      <c r="AX706" s="1051"/>
      <c r="AY706" s="1053"/>
      <c r="AZ706" s="1051"/>
      <c r="BA706" s="1051"/>
      <c r="BB706" s="1053"/>
      <c r="BC706" s="1051"/>
      <c r="BD706" s="1051"/>
      <c r="BE706" s="1053"/>
      <c r="BF706" s="1051"/>
      <c r="BG706" s="1051"/>
      <c r="BH706" s="1053"/>
      <c r="BI706" s="1052"/>
      <c r="BJ706" s="1052"/>
      <c r="BK706" s="1052"/>
      <c r="BL706" s="1052"/>
      <c r="BM706" s="1052"/>
      <c r="BN706" s="1054"/>
      <c r="BO706" s="1076">
        <f t="shared" si="22"/>
        <v>0</v>
      </c>
      <c r="BP706" s="1051"/>
      <c r="BQ706" s="1052"/>
      <c r="BR706" s="1054"/>
      <c r="BS706" s="1053"/>
      <c r="BT706" s="1051"/>
      <c r="BU706" s="1051"/>
      <c r="BV706" s="1051"/>
      <c r="BW706" s="1052"/>
      <c r="BX706" s="1052"/>
      <c r="BY706" s="1052"/>
      <c r="BZ706" s="1052"/>
      <c r="CA706" s="1052"/>
      <c r="CB706" s="1053"/>
      <c r="CC706" s="1053"/>
      <c r="CD706" s="1053"/>
      <c r="CE706" s="1053"/>
      <c r="CF706" s="1053"/>
      <c r="CG706" s="1053"/>
      <c r="CH706" s="1053"/>
      <c r="CI706" s="1123"/>
      <c r="CJ706" s="1123"/>
      <c r="CK706" s="1123"/>
      <c r="CL706" s="1123"/>
      <c r="CM706" s="1123"/>
      <c r="CN706" s="1123"/>
      <c r="CO706" s="1123"/>
      <c r="CP706" s="1123"/>
      <c r="CQ706" s="1123"/>
      <c r="CR706" s="1123"/>
      <c r="CS706" s="1123"/>
      <c r="CT706" s="1123"/>
      <c r="CU706" s="1123"/>
      <c r="CV706" s="1123"/>
      <c r="CW706" s="1123"/>
      <c r="CX706" s="1123"/>
      <c r="CY706" s="1123"/>
      <c r="CZ706" s="1114"/>
      <c r="DA706" s="1114"/>
      <c r="DB706" s="1114"/>
      <c r="DC706" s="1114"/>
      <c r="DD706" s="1114"/>
      <c r="DE706" s="1114"/>
      <c r="DF706" s="1114"/>
      <c r="DG706" s="1114"/>
      <c r="DH706" s="1114"/>
      <c r="DI706" s="1114"/>
      <c r="DJ706" s="1114"/>
      <c r="DK706" s="1114"/>
      <c r="DL706" s="1114"/>
      <c r="DM706" s="1114"/>
      <c r="DN706" s="1114"/>
      <c r="DO706" s="1114"/>
      <c r="DP706" s="1114"/>
      <c r="DQ706" s="1114"/>
      <c r="DR706" s="1114"/>
      <c r="DS706" s="1114"/>
      <c r="DT706" s="1114"/>
      <c r="DU706" s="1114"/>
      <c r="DV706" s="1115"/>
      <c r="DW706" s="1116"/>
      <c r="DX706" s="1116"/>
      <c r="DY706" s="1116"/>
      <c r="DZ706" s="1116"/>
      <c r="EA706" s="1116"/>
      <c r="EB706" s="1116"/>
      <c r="EC706" s="1116"/>
      <c r="ED706" s="1116"/>
      <c r="EE706" s="1116"/>
      <c r="EF706" s="1116"/>
      <c r="EG706" s="1116"/>
      <c r="EH706" s="1116"/>
      <c r="EI706" s="1116"/>
      <c r="EJ706" s="1116"/>
      <c r="EK706" s="1116"/>
      <c r="EL706" s="1116"/>
      <c r="EM706" s="1116"/>
      <c r="EN706" s="1116"/>
      <c r="EO706" s="1116"/>
      <c r="EP706" s="1116"/>
      <c r="EQ706" s="1116"/>
      <c r="ER706" s="1116"/>
      <c r="ES706" s="1116"/>
    </row>
    <row r="707" spans="1:149" ht="15" customHeight="1">
      <c r="A707" s="1185">
        <v>692</v>
      </c>
      <c r="B707" s="1041"/>
      <c r="C707" s="1050"/>
      <c r="D707" s="1050"/>
      <c r="E707" s="1050"/>
      <c r="F707" s="1049"/>
      <c r="G707" s="1457"/>
      <c r="H707" s="1049"/>
      <c r="I707" s="1049"/>
      <c r="J707" s="1050"/>
      <c r="K707" s="1050"/>
      <c r="L707" s="1043"/>
      <c r="M707" s="1051"/>
      <c r="N707" s="1051"/>
      <c r="O707" s="1052"/>
      <c r="P707" s="1051"/>
      <c r="Q707" s="1051"/>
      <c r="R707" s="1052"/>
      <c r="S707" s="1051"/>
      <c r="T707" s="1051"/>
      <c r="U707" s="1052"/>
      <c r="V707" s="1051"/>
      <c r="W707" s="1051"/>
      <c r="X707" s="1052"/>
      <c r="Y707" s="1053"/>
      <c r="Z707" s="1051"/>
      <c r="AA707" s="1051"/>
      <c r="AB707" s="1052"/>
      <c r="AC707" s="1051"/>
      <c r="AD707" s="1051"/>
      <c r="AE707" s="1052"/>
      <c r="AF707" s="1051"/>
      <c r="AG707" s="1051"/>
      <c r="AH707" s="1051"/>
      <c r="AI707" s="1051"/>
      <c r="AJ707" s="1052"/>
      <c r="AK707" s="1051"/>
      <c r="AL707" s="1051"/>
      <c r="AM707" s="1052"/>
      <c r="AN707" s="1051"/>
      <c r="AO707" s="1051"/>
      <c r="AP707" s="1052"/>
      <c r="AQ707" s="1051"/>
      <c r="AR707" s="1051"/>
      <c r="AS707" s="1052"/>
      <c r="AT707" s="1051"/>
      <c r="AU707" s="1051"/>
      <c r="AV707" s="1052"/>
      <c r="AW707" s="1051"/>
      <c r="AX707" s="1051"/>
      <c r="AY707" s="1053"/>
      <c r="AZ707" s="1051"/>
      <c r="BA707" s="1051"/>
      <c r="BB707" s="1053"/>
      <c r="BC707" s="1051"/>
      <c r="BD707" s="1051"/>
      <c r="BE707" s="1053"/>
      <c r="BF707" s="1051"/>
      <c r="BG707" s="1051"/>
      <c r="BH707" s="1053"/>
      <c r="BI707" s="1052"/>
      <c r="BJ707" s="1052"/>
      <c r="BK707" s="1052"/>
      <c r="BL707" s="1052"/>
      <c r="BM707" s="1052"/>
      <c r="BN707" s="1054"/>
      <c r="BO707" s="1076">
        <f t="shared" si="22"/>
        <v>0</v>
      </c>
      <c r="BP707" s="1051"/>
      <c r="BQ707" s="1052"/>
      <c r="BR707" s="1054"/>
      <c r="BS707" s="1053"/>
      <c r="BT707" s="1051"/>
      <c r="BU707" s="1051"/>
      <c r="BV707" s="1051"/>
      <c r="BW707" s="1052"/>
      <c r="BX707" s="1052"/>
      <c r="BY707" s="1052"/>
      <c r="BZ707" s="1052"/>
      <c r="CA707" s="1052"/>
      <c r="CB707" s="1053"/>
      <c r="CC707" s="1053"/>
      <c r="CD707" s="1053"/>
      <c r="CE707" s="1053"/>
      <c r="CF707" s="1053"/>
      <c r="CG707" s="1053"/>
      <c r="CH707" s="1053"/>
      <c r="CI707" s="1123"/>
      <c r="CJ707" s="1123"/>
      <c r="CK707" s="1123"/>
      <c r="CL707" s="1123"/>
      <c r="CM707" s="1123"/>
      <c r="CN707" s="1123"/>
      <c r="CO707" s="1123"/>
      <c r="CP707" s="1123"/>
      <c r="CQ707" s="1123"/>
      <c r="CR707" s="1123"/>
      <c r="CS707" s="1123"/>
      <c r="CT707" s="1123"/>
      <c r="CU707" s="1123"/>
      <c r="CV707" s="1123"/>
      <c r="CW707" s="1123"/>
      <c r="CX707" s="1123"/>
      <c r="CY707" s="1123"/>
      <c r="CZ707" s="1114"/>
      <c r="DA707" s="1114"/>
      <c r="DB707" s="1114"/>
      <c r="DC707" s="1114"/>
      <c r="DD707" s="1114"/>
      <c r="DE707" s="1114"/>
      <c r="DF707" s="1114"/>
      <c r="DG707" s="1114"/>
      <c r="DH707" s="1114"/>
      <c r="DI707" s="1114"/>
      <c r="DJ707" s="1114"/>
      <c r="DK707" s="1114"/>
      <c r="DL707" s="1114"/>
      <c r="DM707" s="1114"/>
      <c r="DN707" s="1114"/>
      <c r="DO707" s="1114"/>
      <c r="DP707" s="1114"/>
      <c r="DQ707" s="1114"/>
      <c r="DR707" s="1114"/>
      <c r="DS707" s="1114"/>
      <c r="DT707" s="1114"/>
      <c r="DU707" s="1114"/>
      <c r="DV707" s="1115"/>
      <c r="DW707" s="1116"/>
      <c r="DX707" s="1116"/>
      <c r="DY707" s="1116"/>
      <c r="DZ707" s="1116"/>
      <c r="EA707" s="1116"/>
      <c r="EB707" s="1116"/>
      <c r="EC707" s="1116"/>
      <c r="ED707" s="1116"/>
      <c r="EE707" s="1116"/>
      <c r="EF707" s="1116"/>
      <c r="EG707" s="1116"/>
      <c r="EH707" s="1116"/>
      <c r="EI707" s="1116"/>
      <c r="EJ707" s="1116"/>
      <c r="EK707" s="1116"/>
      <c r="EL707" s="1116"/>
      <c r="EM707" s="1116"/>
      <c r="EN707" s="1116"/>
      <c r="EO707" s="1116"/>
      <c r="EP707" s="1116"/>
      <c r="EQ707" s="1116"/>
      <c r="ER707" s="1116"/>
      <c r="ES707" s="1116"/>
    </row>
    <row r="708" spans="1:149" ht="15" customHeight="1">
      <c r="A708" s="1185">
        <v>693</v>
      </c>
      <c r="B708" s="1041"/>
      <c r="C708" s="1050"/>
      <c r="D708" s="1050"/>
      <c r="E708" s="1050"/>
      <c r="F708" s="1049"/>
      <c r="G708" s="1457"/>
      <c r="H708" s="1049"/>
      <c r="I708" s="1049"/>
      <c r="J708" s="1050"/>
      <c r="K708" s="1050"/>
      <c r="L708" s="1043"/>
      <c r="M708" s="1051"/>
      <c r="N708" s="1051"/>
      <c r="O708" s="1052"/>
      <c r="P708" s="1051"/>
      <c r="Q708" s="1051"/>
      <c r="R708" s="1052"/>
      <c r="S708" s="1051"/>
      <c r="T708" s="1051"/>
      <c r="U708" s="1052"/>
      <c r="V708" s="1051"/>
      <c r="W708" s="1051"/>
      <c r="X708" s="1052"/>
      <c r="Y708" s="1053"/>
      <c r="Z708" s="1051"/>
      <c r="AA708" s="1051"/>
      <c r="AB708" s="1052"/>
      <c r="AC708" s="1051"/>
      <c r="AD708" s="1051"/>
      <c r="AE708" s="1052"/>
      <c r="AF708" s="1051"/>
      <c r="AG708" s="1051"/>
      <c r="AH708" s="1051"/>
      <c r="AI708" s="1051"/>
      <c r="AJ708" s="1052"/>
      <c r="AK708" s="1051"/>
      <c r="AL708" s="1051"/>
      <c r="AM708" s="1052"/>
      <c r="AN708" s="1051"/>
      <c r="AO708" s="1051"/>
      <c r="AP708" s="1052"/>
      <c r="AQ708" s="1051"/>
      <c r="AR708" s="1051"/>
      <c r="AS708" s="1052"/>
      <c r="AT708" s="1051"/>
      <c r="AU708" s="1051"/>
      <c r="AV708" s="1052"/>
      <c r="AW708" s="1051"/>
      <c r="AX708" s="1051"/>
      <c r="AY708" s="1053"/>
      <c r="AZ708" s="1051"/>
      <c r="BA708" s="1051"/>
      <c r="BB708" s="1053"/>
      <c r="BC708" s="1051"/>
      <c r="BD708" s="1051"/>
      <c r="BE708" s="1053"/>
      <c r="BF708" s="1051"/>
      <c r="BG708" s="1051"/>
      <c r="BH708" s="1053"/>
      <c r="BI708" s="1052"/>
      <c r="BJ708" s="1052"/>
      <c r="BK708" s="1052"/>
      <c r="BL708" s="1052"/>
      <c r="BM708" s="1052"/>
      <c r="BN708" s="1054"/>
      <c r="BO708" s="1076">
        <f t="shared" si="22"/>
        <v>0</v>
      </c>
      <c r="BP708" s="1051"/>
      <c r="BQ708" s="1052"/>
      <c r="BR708" s="1054"/>
      <c r="BS708" s="1053"/>
      <c r="BT708" s="1051"/>
      <c r="BU708" s="1051"/>
      <c r="BV708" s="1051"/>
      <c r="BW708" s="1052"/>
      <c r="BX708" s="1052"/>
      <c r="BY708" s="1052"/>
      <c r="BZ708" s="1052"/>
      <c r="CA708" s="1052"/>
      <c r="CB708" s="1053"/>
      <c r="CC708" s="1053"/>
      <c r="CD708" s="1053"/>
      <c r="CE708" s="1053"/>
      <c r="CF708" s="1053"/>
      <c r="CG708" s="1053"/>
      <c r="CH708" s="1053"/>
      <c r="CI708" s="1123"/>
      <c r="CJ708" s="1123"/>
      <c r="CK708" s="1123"/>
      <c r="CL708" s="1123"/>
      <c r="CM708" s="1123"/>
      <c r="CN708" s="1123"/>
      <c r="CO708" s="1123"/>
      <c r="CP708" s="1123"/>
      <c r="CQ708" s="1123"/>
      <c r="CR708" s="1123"/>
      <c r="CS708" s="1123"/>
      <c r="CT708" s="1123"/>
      <c r="CU708" s="1123"/>
      <c r="CV708" s="1123"/>
      <c r="CW708" s="1123"/>
      <c r="CX708" s="1123"/>
      <c r="CY708" s="1123"/>
      <c r="CZ708" s="1114"/>
      <c r="DA708" s="1114"/>
      <c r="DB708" s="1114"/>
      <c r="DC708" s="1114"/>
      <c r="DD708" s="1114"/>
      <c r="DE708" s="1114"/>
      <c r="DF708" s="1114"/>
      <c r="DG708" s="1114"/>
      <c r="DH708" s="1114"/>
      <c r="DI708" s="1114"/>
      <c r="DJ708" s="1114"/>
      <c r="DK708" s="1114"/>
      <c r="DL708" s="1114"/>
      <c r="DM708" s="1114"/>
      <c r="DN708" s="1114"/>
      <c r="DO708" s="1114"/>
      <c r="DP708" s="1114"/>
      <c r="DQ708" s="1114"/>
      <c r="DR708" s="1114"/>
      <c r="DS708" s="1114"/>
      <c r="DT708" s="1114"/>
      <c r="DU708" s="1114"/>
      <c r="DV708" s="1115"/>
      <c r="DW708" s="1116"/>
      <c r="DX708" s="1116"/>
      <c r="DY708" s="1116"/>
      <c r="DZ708" s="1116"/>
      <c r="EA708" s="1116"/>
      <c r="EB708" s="1116"/>
      <c r="EC708" s="1116"/>
      <c r="ED708" s="1116"/>
      <c r="EE708" s="1116"/>
      <c r="EF708" s="1116"/>
      <c r="EG708" s="1116"/>
      <c r="EH708" s="1116"/>
      <c r="EI708" s="1116"/>
      <c r="EJ708" s="1116"/>
      <c r="EK708" s="1116"/>
      <c r="EL708" s="1116"/>
      <c r="EM708" s="1116"/>
      <c r="EN708" s="1116"/>
      <c r="EO708" s="1116"/>
      <c r="EP708" s="1116"/>
      <c r="EQ708" s="1116"/>
      <c r="ER708" s="1116"/>
      <c r="ES708" s="1116"/>
    </row>
    <row r="709" spans="1:149" ht="15" customHeight="1">
      <c r="A709" s="1185">
        <v>694</v>
      </c>
      <c r="B709" s="1041"/>
      <c r="C709" s="1050"/>
      <c r="D709" s="1050"/>
      <c r="E709" s="1050"/>
      <c r="F709" s="1049"/>
      <c r="G709" s="1457"/>
      <c r="H709" s="1049"/>
      <c r="I709" s="1049"/>
      <c r="J709" s="1050"/>
      <c r="K709" s="1050"/>
      <c r="L709" s="1043"/>
      <c r="M709" s="1051"/>
      <c r="N709" s="1051"/>
      <c r="O709" s="1052"/>
      <c r="P709" s="1051"/>
      <c r="Q709" s="1051"/>
      <c r="R709" s="1052"/>
      <c r="S709" s="1051"/>
      <c r="T709" s="1051"/>
      <c r="U709" s="1052"/>
      <c r="V709" s="1051"/>
      <c r="W709" s="1051"/>
      <c r="X709" s="1052"/>
      <c r="Y709" s="1053"/>
      <c r="Z709" s="1051"/>
      <c r="AA709" s="1051"/>
      <c r="AB709" s="1052"/>
      <c r="AC709" s="1051"/>
      <c r="AD709" s="1051"/>
      <c r="AE709" s="1052"/>
      <c r="AF709" s="1051"/>
      <c r="AG709" s="1051"/>
      <c r="AH709" s="1051"/>
      <c r="AI709" s="1051"/>
      <c r="AJ709" s="1052"/>
      <c r="AK709" s="1051"/>
      <c r="AL709" s="1051"/>
      <c r="AM709" s="1052"/>
      <c r="AN709" s="1051"/>
      <c r="AO709" s="1051"/>
      <c r="AP709" s="1052"/>
      <c r="AQ709" s="1051"/>
      <c r="AR709" s="1051"/>
      <c r="AS709" s="1052"/>
      <c r="AT709" s="1051"/>
      <c r="AU709" s="1051"/>
      <c r="AV709" s="1052"/>
      <c r="AW709" s="1051"/>
      <c r="AX709" s="1051"/>
      <c r="AY709" s="1053"/>
      <c r="AZ709" s="1051"/>
      <c r="BA709" s="1051"/>
      <c r="BB709" s="1053"/>
      <c r="BC709" s="1051"/>
      <c r="BD709" s="1051"/>
      <c r="BE709" s="1053"/>
      <c r="BF709" s="1051"/>
      <c r="BG709" s="1051"/>
      <c r="BH709" s="1053"/>
      <c r="BI709" s="1052"/>
      <c r="BJ709" s="1052"/>
      <c r="BK709" s="1052"/>
      <c r="BL709" s="1052"/>
      <c r="BM709" s="1052"/>
      <c r="BN709" s="1054"/>
      <c r="BO709" s="1076">
        <f t="shared" si="22"/>
        <v>0</v>
      </c>
      <c r="BP709" s="1051"/>
      <c r="BQ709" s="1052"/>
      <c r="BR709" s="1054"/>
      <c r="BS709" s="1053"/>
      <c r="BT709" s="1051"/>
      <c r="BU709" s="1051"/>
      <c r="BV709" s="1051"/>
      <c r="BW709" s="1052"/>
      <c r="BX709" s="1052"/>
      <c r="BY709" s="1052"/>
      <c r="BZ709" s="1052"/>
      <c r="CA709" s="1052"/>
      <c r="CB709" s="1053"/>
      <c r="CC709" s="1053"/>
      <c r="CD709" s="1053"/>
      <c r="CE709" s="1053"/>
      <c r="CF709" s="1053"/>
      <c r="CG709" s="1053"/>
      <c r="CH709" s="1053"/>
      <c r="CI709" s="1123"/>
      <c r="CJ709" s="1123"/>
      <c r="CK709" s="1123"/>
      <c r="CL709" s="1123"/>
      <c r="CM709" s="1123"/>
      <c r="CN709" s="1123"/>
      <c r="CO709" s="1123"/>
      <c r="CP709" s="1123"/>
      <c r="CQ709" s="1123"/>
      <c r="CR709" s="1123"/>
      <c r="CS709" s="1123"/>
      <c r="CT709" s="1123"/>
      <c r="CU709" s="1123"/>
      <c r="CV709" s="1123"/>
      <c r="CW709" s="1123"/>
      <c r="CX709" s="1123"/>
      <c r="CY709" s="1123"/>
      <c r="CZ709" s="1114"/>
      <c r="DA709" s="1114"/>
      <c r="DB709" s="1114"/>
      <c r="DC709" s="1114"/>
      <c r="DD709" s="1114"/>
      <c r="DE709" s="1114"/>
      <c r="DF709" s="1114"/>
      <c r="DG709" s="1114"/>
      <c r="DH709" s="1114"/>
      <c r="DI709" s="1114"/>
      <c r="DJ709" s="1114"/>
      <c r="DK709" s="1114"/>
      <c r="DL709" s="1114"/>
      <c r="DM709" s="1114"/>
      <c r="DN709" s="1114"/>
      <c r="DO709" s="1114"/>
      <c r="DP709" s="1114"/>
      <c r="DQ709" s="1114"/>
      <c r="DR709" s="1114"/>
      <c r="DS709" s="1114"/>
      <c r="DT709" s="1114"/>
      <c r="DU709" s="1114"/>
      <c r="DV709" s="1115"/>
      <c r="DW709" s="1116"/>
      <c r="DX709" s="1116"/>
      <c r="DY709" s="1116"/>
      <c r="DZ709" s="1116"/>
      <c r="EA709" s="1116"/>
      <c r="EB709" s="1116"/>
      <c r="EC709" s="1116"/>
      <c r="ED709" s="1116"/>
      <c r="EE709" s="1116"/>
      <c r="EF709" s="1116"/>
      <c r="EG709" s="1116"/>
      <c r="EH709" s="1116"/>
      <c r="EI709" s="1116"/>
      <c r="EJ709" s="1116"/>
      <c r="EK709" s="1116"/>
      <c r="EL709" s="1116"/>
      <c r="EM709" s="1116"/>
      <c r="EN709" s="1116"/>
      <c r="EO709" s="1116"/>
      <c r="EP709" s="1116"/>
      <c r="EQ709" s="1116"/>
      <c r="ER709" s="1116"/>
      <c r="ES709" s="1116"/>
    </row>
    <row r="710" spans="1:149" ht="15" customHeight="1">
      <c r="A710" s="1185">
        <v>695</v>
      </c>
      <c r="B710" s="1041"/>
      <c r="C710" s="1050"/>
      <c r="D710" s="1050"/>
      <c r="E710" s="1050"/>
      <c r="F710" s="1049"/>
      <c r="G710" s="1457"/>
      <c r="H710" s="1049"/>
      <c r="I710" s="1049"/>
      <c r="J710" s="1050"/>
      <c r="K710" s="1050"/>
      <c r="L710" s="1043"/>
      <c r="M710" s="1051"/>
      <c r="N710" s="1051"/>
      <c r="O710" s="1052"/>
      <c r="P710" s="1051"/>
      <c r="Q710" s="1051"/>
      <c r="R710" s="1052"/>
      <c r="S710" s="1051"/>
      <c r="T710" s="1051"/>
      <c r="U710" s="1052"/>
      <c r="V710" s="1051"/>
      <c r="W710" s="1051"/>
      <c r="X710" s="1052"/>
      <c r="Y710" s="1053"/>
      <c r="Z710" s="1051"/>
      <c r="AA710" s="1051"/>
      <c r="AB710" s="1052"/>
      <c r="AC710" s="1051"/>
      <c r="AD710" s="1051"/>
      <c r="AE710" s="1052"/>
      <c r="AF710" s="1051"/>
      <c r="AG710" s="1051"/>
      <c r="AH710" s="1051"/>
      <c r="AI710" s="1051"/>
      <c r="AJ710" s="1052"/>
      <c r="AK710" s="1051"/>
      <c r="AL710" s="1051"/>
      <c r="AM710" s="1052"/>
      <c r="AN710" s="1051"/>
      <c r="AO710" s="1051"/>
      <c r="AP710" s="1052"/>
      <c r="AQ710" s="1051"/>
      <c r="AR710" s="1051"/>
      <c r="AS710" s="1052"/>
      <c r="AT710" s="1051"/>
      <c r="AU710" s="1051"/>
      <c r="AV710" s="1052"/>
      <c r="AW710" s="1051"/>
      <c r="AX710" s="1051"/>
      <c r="AY710" s="1053"/>
      <c r="AZ710" s="1051"/>
      <c r="BA710" s="1051"/>
      <c r="BB710" s="1053"/>
      <c r="BC710" s="1051"/>
      <c r="BD710" s="1051"/>
      <c r="BE710" s="1053"/>
      <c r="BF710" s="1051"/>
      <c r="BG710" s="1051"/>
      <c r="BH710" s="1053"/>
      <c r="BI710" s="1052"/>
      <c r="BJ710" s="1052"/>
      <c r="BK710" s="1052"/>
      <c r="BL710" s="1052"/>
      <c r="BM710" s="1052"/>
      <c r="BN710" s="1054"/>
      <c r="BO710" s="1076">
        <f t="shared" si="22"/>
        <v>0</v>
      </c>
      <c r="BP710" s="1051"/>
      <c r="BQ710" s="1052"/>
      <c r="BR710" s="1054"/>
      <c r="BS710" s="1053"/>
      <c r="BT710" s="1051"/>
      <c r="BU710" s="1051"/>
      <c r="BV710" s="1051"/>
      <c r="BW710" s="1052"/>
      <c r="BX710" s="1052"/>
      <c r="BY710" s="1052"/>
      <c r="BZ710" s="1052"/>
      <c r="CA710" s="1052"/>
      <c r="CB710" s="1053"/>
      <c r="CC710" s="1053"/>
      <c r="CD710" s="1053"/>
      <c r="CE710" s="1053"/>
      <c r="CF710" s="1053"/>
      <c r="CG710" s="1053"/>
      <c r="CH710" s="1053"/>
      <c r="CI710" s="1123"/>
      <c r="CJ710" s="1123"/>
      <c r="CK710" s="1123"/>
      <c r="CL710" s="1123"/>
      <c r="CM710" s="1123"/>
      <c r="CN710" s="1123"/>
      <c r="CO710" s="1123"/>
      <c r="CP710" s="1123"/>
      <c r="CQ710" s="1123"/>
      <c r="CR710" s="1123"/>
      <c r="CS710" s="1123"/>
      <c r="CT710" s="1123"/>
      <c r="CU710" s="1123"/>
      <c r="CV710" s="1123"/>
      <c r="CW710" s="1123"/>
      <c r="CX710" s="1123"/>
      <c r="CY710" s="1123"/>
      <c r="CZ710" s="1114"/>
      <c r="DA710" s="1114"/>
      <c r="DB710" s="1114"/>
      <c r="DC710" s="1114"/>
      <c r="DD710" s="1114"/>
      <c r="DE710" s="1114"/>
      <c r="DF710" s="1114"/>
      <c r="DG710" s="1114"/>
      <c r="DH710" s="1114"/>
      <c r="DI710" s="1114"/>
      <c r="DJ710" s="1114"/>
      <c r="DK710" s="1114"/>
      <c r="DL710" s="1114"/>
      <c r="DM710" s="1114"/>
      <c r="DN710" s="1114"/>
      <c r="DO710" s="1114"/>
      <c r="DP710" s="1114"/>
      <c r="DQ710" s="1114"/>
      <c r="DR710" s="1114"/>
      <c r="DS710" s="1114"/>
      <c r="DT710" s="1114"/>
      <c r="DU710" s="1114"/>
      <c r="DV710" s="1115"/>
      <c r="DW710" s="1116"/>
      <c r="DX710" s="1116"/>
      <c r="DY710" s="1116"/>
      <c r="DZ710" s="1116"/>
      <c r="EA710" s="1116"/>
      <c r="EB710" s="1116"/>
      <c r="EC710" s="1116"/>
      <c r="ED710" s="1116"/>
      <c r="EE710" s="1116"/>
      <c r="EF710" s="1116"/>
      <c r="EG710" s="1116"/>
      <c r="EH710" s="1116"/>
      <c r="EI710" s="1116"/>
      <c r="EJ710" s="1116"/>
      <c r="EK710" s="1116"/>
      <c r="EL710" s="1116"/>
      <c r="EM710" s="1116"/>
      <c r="EN710" s="1116"/>
      <c r="EO710" s="1116"/>
      <c r="EP710" s="1116"/>
      <c r="EQ710" s="1116"/>
      <c r="ER710" s="1116"/>
      <c r="ES710" s="1116"/>
    </row>
    <row r="711" spans="1:149" ht="15" customHeight="1">
      <c r="A711" s="1185">
        <v>696</v>
      </c>
      <c r="B711" s="1041"/>
      <c r="C711" s="1050"/>
      <c r="D711" s="1050"/>
      <c r="E711" s="1050"/>
      <c r="F711" s="1049"/>
      <c r="G711" s="1457"/>
      <c r="H711" s="1049"/>
      <c r="I711" s="1049"/>
      <c r="J711" s="1050"/>
      <c r="K711" s="1050"/>
      <c r="L711" s="1043"/>
      <c r="M711" s="1051"/>
      <c r="N711" s="1051"/>
      <c r="O711" s="1052"/>
      <c r="P711" s="1051"/>
      <c r="Q711" s="1051"/>
      <c r="R711" s="1052"/>
      <c r="S711" s="1051"/>
      <c r="T711" s="1051"/>
      <c r="U711" s="1052"/>
      <c r="V711" s="1051"/>
      <c r="W711" s="1051"/>
      <c r="X711" s="1052"/>
      <c r="Y711" s="1053"/>
      <c r="Z711" s="1051"/>
      <c r="AA711" s="1051"/>
      <c r="AB711" s="1052"/>
      <c r="AC711" s="1051"/>
      <c r="AD711" s="1051"/>
      <c r="AE711" s="1052"/>
      <c r="AF711" s="1051"/>
      <c r="AG711" s="1051"/>
      <c r="AH711" s="1051"/>
      <c r="AI711" s="1051"/>
      <c r="AJ711" s="1052"/>
      <c r="AK711" s="1051"/>
      <c r="AL711" s="1051"/>
      <c r="AM711" s="1052"/>
      <c r="AN711" s="1051"/>
      <c r="AO711" s="1051"/>
      <c r="AP711" s="1052"/>
      <c r="AQ711" s="1051"/>
      <c r="AR711" s="1051"/>
      <c r="AS711" s="1052"/>
      <c r="AT711" s="1051"/>
      <c r="AU711" s="1051"/>
      <c r="AV711" s="1052"/>
      <c r="AW711" s="1051"/>
      <c r="AX711" s="1051"/>
      <c r="AY711" s="1053"/>
      <c r="AZ711" s="1051"/>
      <c r="BA711" s="1051"/>
      <c r="BB711" s="1053"/>
      <c r="BC711" s="1051"/>
      <c r="BD711" s="1051"/>
      <c r="BE711" s="1053"/>
      <c r="BF711" s="1051"/>
      <c r="BG711" s="1051"/>
      <c r="BH711" s="1053"/>
      <c r="BI711" s="1052"/>
      <c r="BJ711" s="1052"/>
      <c r="BK711" s="1052"/>
      <c r="BL711" s="1052"/>
      <c r="BM711" s="1052"/>
      <c r="BN711" s="1054"/>
      <c r="BO711" s="1076">
        <f t="shared" si="22"/>
        <v>0</v>
      </c>
      <c r="BP711" s="1051"/>
      <c r="BQ711" s="1052"/>
      <c r="BR711" s="1054"/>
      <c r="BS711" s="1053"/>
      <c r="BT711" s="1051"/>
      <c r="BU711" s="1051"/>
      <c r="BV711" s="1051"/>
      <c r="BW711" s="1052"/>
      <c r="BX711" s="1052"/>
      <c r="BY711" s="1052"/>
      <c r="BZ711" s="1052"/>
      <c r="CA711" s="1052"/>
      <c r="CB711" s="1053"/>
      <c r="CC711" s="1053"/>
      <c r="CD711" s="1053"/>
      <c r="CE711" s="1053"/>
      <c r="CF711" s="1053"/>
      <c r="CG711" s="1053"/>
      <c r="CH711" s="1053"/>
      <c r="CI711" s="1123"/>
      <c r="CJ711" s="1123"/>
      <c r="CK711" s="1123"/>
      <c r="CL711" s="1123"/>
      <c r="CM711" s="1123"/>
      <c r="CN711" s="1123"/>
      <c r="CO711" s="1123"/>
      <c r="CP711" s="1123"/>
      <c r="CQ711" s="1123"/>
      <c r="CR711" s="1123"/>
      <c r="CS711" s="1123"/>
      <c r="CT711" s="1123"/>
      <c r="CU711" s="1123"/>
      <c r="CV711" s="1123"/>
      <c r="CW711" s="1123"/>
      <c r="CX711" s="1123"/>
      <c r="CY711" s="1123"/>
      <c r="CZ711" s="1114"/>
      <c r="DA711" s="1114"/>
      <c r="DB711" s="1114"/>
      <c r="DC711" s="1114"/>
      <c r="DD711" s="1114"/>
      <c r="DE711" s="1114"/>
      <c r="DF711" s="1114"/>
      <c r="DG711" s="1114"/>
      <c r="DH711" s="1114"/>
      <c r="DI711" s="1114"/>
      <c r="DJ711" s="1114"/>
      <c r="DK711" s="1114"/>
      <c r="DL711" s="1114"/>
      <c r="DM711" s="1114"/>
      <c r="DN711" s="1114"/>
      <c r="DO711" s="1114"/>
      <c r="DP711" s="1114"/>
      <c r="DQ711" s="1114"/>
      <c r="DR711" s="1114"/>
      <c r="DS711" s="1114"/>
      <c r="DT711" s="1114"/>
      <c r="DU711" s="1114"/>
      <c r="DV711" s="1115"/>
      <c r="DW711" s="1116"/>
      <c r="DX711" s="1116"/>
      <c r="DY711" s="1116"/>
      <c r="DZ711" s="1116"/>
      <c r="EA711" s="1116"/>
      <c r="EB711" s="1116"/>
      <c r="EC711" s="1116"/>
      <c r="ED711" s="1116"/>
      <c r="EE711" s="1116"/>
      <c r="EF711" s="1116"/>
      <c r="EG711" s="1116"/>
      <c r="EH711" s="1116"/>
      <c r="EI711" s="1116"/>
      <c r="EJ711" s="1116"/>
      <c r="EK711" s="1116"/>
      <c r="EL711" s="1116"/>
      <c r="EM711" s="1116"/>
      <c r="EN711" s="1116"/>
      <c r="EO711" s="1116"/>
      <c r="EP711" s="1116"/>
      <c r="EQ711" s="1116"/>
      <c r="ER711" s="1116"/>
      <c r="ES711" s="1116"/>
    </row>
    <row r="712" spans="1:149" ht="15" customHeight="1">
      <c r="A712" s="1185">
        <v>697</v>
      </c>
      <c r="B712" s="1041"/>
      <c r="C712" s="1050"/>
      <c r="D712" s="1050"/>
      <c r="E712" s="1050"/>
      <c r="F712" s="1049"/>
      <c r="G712" s="1457"/>
      <c r="H712" s="1049"/>
      <c r="I712" s="1049"/>
      <c r="J712" s="1050"/>
      <c r="K712" s="1050"/>
      <c r="L712" s="1043"/>
      <c r="M712" s="1051"/>
      <c r="N712" s="1051"/>
      <c r="O712" s="1052"/>
      <c r="P712" s="1051"/>
      <c r="Q712" s="1051"/>
      <c r="R712" s="1052"/>
      <c r="S712" s="1051"/>
      <c r="T712" s="1051"/>
      <c r="U712" s="1052"/>
      <c r="V712" s="1051"/>
      <c r="W712" s="1051"/>
      <c r="X712" s="1052"/>
      <c r="Y712" s="1053"/>
      <c r="Z712" s="1051"/>
      <c r="AA712" s="1051"/>
      <c r="AB712" s="1052"/>
      <c r="AC712" s="1051"/>
      <c r="AD712" s="1051"/>
      <c r="AE712" s="1052"/>
      <c r="AF712" s="1051"/>
      <c r="AG712" s="1051"/>
      <c r="AH712" s="1051"/>
      <c r="AI712" s="1051"/>
      <c r="AJ712" s="1052"/>
      <c r="AK712" s="1051"/>
      <c r="AL712" s="1051"/>
      <c r="AM712" s="1052"/>
      <c r="AN712" s="1051"/>
      <c r="AO712" s="1051"/>
      <c r="AP712" s="1052"/>
      <c r="AQ712" s="1051"/>
      <c r="AR712" s="1051"/>
      <c r="AS712" s="1052"/>
      <c r="AT712" s="1051"/>
      <c r="AU712" s="1051"/>
      <c r="AV712" s="1052"/>
      <c r="AW712" s="1051"/>
      <c r="AX712" s="1051"/>
      <c r="AY712" s="1053"/>
      <c r="AZ712" s="1051"/>
      <c r="BA712" s="1051"/>
      <c r="BB712" s="1053"/>
      <c r="BC712" s="1051"/>
      <c r="BD712" s="1051"/>
      <c r="BE712" s="1053"/>
      <c r="BF712" s="1051"/>
      <c r="BG712" s="1051"/>
      <c r="BH712" s="1053"/>
      <c r="BI712" s="1052"/>
      <c r="BJ712" s="1052"/>
      <c r="BK712" s="1052"/>
      <c r="BL712" s="1052"/>
      <c r="BM712" s="1052"/>
      <c r="BN712" s="1054"/>
      <c r="BO712" s="1076">
        <f t="shared" si="22"/>
        <v>0</v>
      </c>
      <c r="BP712" s="1051"/>
      <c r="BQ712" s="1052"/>
      <c r="BR712" s="1054"/>
      <c r="BS712" s="1053"/>
      <c r="BT712" s="1051"/>
      <c r="BU712" s="1051"/>
      <c r="BV712" s="1051"/>
      <c r="BW712" s="1052"/>
      <c r="BX712" s="1052"/>
      <c r="BY712" s="1052"/>
      <c r="BZ712" s="1052"/>
      <c r="CA712" s="1052"/>
      <c r="CB712" s="1053"/>
      <c r="CC712" s="1053"/>
      <c r="CD712" s="1053"/>
      <c r="CE712" s="1053"/>
      <c r="CF712" s="1053"/>
      <c r="CG712" s="1053"/>
      <c r="CH712" s="1053"/>
      <c r="CI712" s="1123"/>
      <c r="CJ712" s="1123"/>
      <c r="CK712" s="1123"/>
      <c r="CL712" s="1123"/>
      <c r="CM712" s="1123"/>
      <c r="CN712" s="1123"/>
      <c r="CO712" s="1123"/>
      <c r="CP712" s="1123"/>
      <c r="CQ712" s="1123"/>
      <c r="CR712" s="1123"/>
      <c r="CS712" s="1123"/>
      <c r="CT712" s="1123"/>
      <c r="CU712" s="1123"/>
      <c r="CV712" s="1123"/>
      <c r="CW712" s="1123"/>
      <c r="CX712" s="1123"/>
      <c r="CY712" s="1123"/>
      <c r="CZ712" s="1114"/>
      <c r="DA712" s="1114"/>
      <c r="DB712" s="1114"/>
      <c r="DC712" s="1114"/>
      <c r="DD712" s="1114"/>
      <c r="DE712" s="1114"/>
      <c r="DF712" s="1114"/>
      <c r="DG712" s="1114"/>
      <c r="DH712" s="1114"/>
      <c r="DI712" s="1114"/>
      <c r="DJ712" s="1114"/>
      <c r="DK712" s="1114"/>
      <c r="DL712" s="1114"/>
      <c r="DM712" s="1114"/>
      <c r="DN712" s="1114"/>
      <c r="DO712" s="1114"/>
      <c r="DP712" s="1114"/>
      <c r="DQ712" s="1114"/>
      <c r="DR712" s="1114"/>
      <c r="DS712" s="1114"/>
      <c r="DT712" s="1114"/>
      <c r="DU712" s="1114"/>
      <c r="DV712" s="1115"/>
      <c r="DW712" s="1116"/>
      <c r="DX712" s="1116"/>
      <c r="DY712" s="1116"/>
      <c r="DZ712" s="1116"/>
      <c r="EA712" s="1116"/>
      <c r="EB712" s="1116"/>
      <c r="EC712" s="1116"/>
      <c r="ED712" s="1116"/>
      <c r="EE712" s="1116"/>
      <c r="EF712" s="1116"/>
      <c r="EG712" s="1116"/>
      <c r="EH712" s="1116"/>
      <c r="EI712" s="1116"/>
      <c r="EJ712" s="1116"/>
      <c r="EK712" s="1116"/>
      <c r="EL712" s="1116"/>
      <c r="EM712" s="1116"/>
      <c r="EN712" s="1116"/>
      <c r="EO712" s="1116"/>
      <c r="EP712" s="1116"/>
      <c r="EQ712" s="1116"/>
      <c r="ER712" s="1116"/>
      <c r="ES712" s="1116"/>
    </row>
    <row r="713" spans="1:149" ht="15" customHeight="1">
      <c r="A713" s="1185">
        <v>698</v>
      </c>
      <c r="B713" s="1041"/>
      <c r="C713" s="1050"/>
      <c r="D713" s="1050"/>
      <c r="E713" s="1050"/>
      <c r="F713" s="1049"/>
      <c r="G713" s="1457"/>
      <c r="H713" s="1049"/>
      <c r="I713" s="1049"/>
      <c r="J713" s="1050"/>
      <c r="K713" s="1050"/>
      <c r="L713" s="1043"/>
      <c r="M713" s="1051"/>
      <c r="N713" s="1051"/>
      <c r="O713" s="1052"/>
      <c r="P713" s="1051"/>
      <c r="Q713" s="1051"/>
      <c r="R713" s="1052"/>
      <c r="S713" s="1051"/>
      <c r="T713" s="1051"/>
      <c r="U713" s="1052"/>
      <c r="V713" s="1051"/>
      <c r="W713" s="1051"/>
      <c r="X713" s="1052"/>
      <c r="Y713" s="1053"/>
      <c r="Z713" s="1051"/>
      <c r="AA713" s="1051"/>
      <c r="AB713" s="1052"/>
      <c r="AC713" s="1051"/>
      <c r="AD713" s="1051"/>
      <c r="AE713" s="1052"/>
      <c r="AF713" s="1051"/>
      <c r="AG713" s="1051"/>
      <c r="AH713" s="1051"/>
      <c r="AI713" s="1051"/>
      <c r="AJ713" s="1052"/>
      <c r="AK713" s="1051"/>
      <c r="AL713" s="1051"/>
      <c r="AM713" s="1052"/>
      <c r="AN713" s="1051"/>
      <c r="AO713" s="1051"/>
      <c r="AP713" s="1052"/>
      <c r="AQ713" s="1051"/>
      <c r="AR713" s="1051"/>
      <c r="AS713" s="1052"/>
      <c r="AT713" s="1051"/>
      <c r="AU713" s="1051"/>
      <c r="AV713" s="1052"/>
      <c r="AW713" s="1051"/>
      <c r="AX713" s="1051"/>
      <c r="AY713" s="1053"/>
      <c r="AZ713" s="1051"/>
      <c r="BA713" s="1051"/>
      <c r="BB713" s="1053"/>
      <c r="BC713" s="1051"/>
      <c r="BD713" s="1051"/>
      <c r="BE713" s="1053"/>
      <c r="BF713" s="1051"/>
      <c r="BG713" s="1051"/>
      <c r="BH713" s="1053"/>
      <c r="BI713" s="1052"/>
      <c r="BJ713" s="1052"/>
      <c r="BK713" s="1052"/>
      <c r="BL713" s="1052"/>
      <c r="BM713" s="1052"/>
      <c r="BN713" s="1054"/>
      <c r="BO713" s="1076">
        <f t="shared" si="22"/>
        <v>0</v>
      </c>
      <c r="BP713" s="1051"/>
      <c r="BQ713" s="1052"/>
      <c r="BR713" s="1054"/>
      <c r="BS713" s="1053"/>
      <c r="BT713" s="1051"/>
      <c r="BU713" s="1051"/>
      <c r="BV713" s="1051"/>
      <c r="BW713" s="1052"/>
      <c r="BX713" s="1052"/>
      <c r="BY713" s="1052"/>
      <c r="BZ713" s="1052"/>
      <c r="CA713" s="1052"/>
      <c r="CB713" s="1053"/>
      <c r="CC713" s="1053"/>
      <c r="CD713" s="1053"/>
      <c r="CE713" s="1053"/>
      <c r="CF713" s="1053"/>
      <c r="CG713" s="1053"/>
      <c r="CH713" s="1053"/>
      <c r="CI713" s="1123"/>
      <c r="CJ713" s="1123"/>
      <c r="CK713" s="1123"/>
      <c r="CL713" s="1123"/>
      <c r="CM713" s="1123"/>
      <c r="CN713" s="1123"/>
      <c r="CO713" s="1123"/>
      <c r="CP713" s="1123"/>
      <c r="CQ713" s="1123"/>
      <c r="CR713" s="1123"/>
      <c r="CS713" s="1123"/>
      <c r="CT713" s="1123"/>
      <c r="CU713" s="1123"/>
      <c r="CV713" s="1123"/>
      <c r="CW713" s="1123"/>
      <c r="CX713" s="1123"/>
      <c r="CY713" s="1123"/>
      <c r="CZ713" s="1114"/>
      <c r="DA713" s="1114"/>
      <c r="DB713" s="1114"/>
      <c r="DC713" s="1114"/>
      <c r="DD713" s="1114"/>
      <c r="DE713" s="1114"/>
      <c r="DF713" s="1114"/>
      <c r="DG713" s="1114"/>
      <c r="DH713" s="1114"/>
      <c r="DI713" s="1114"/>
      <c r="DJ713" s="1114"/>
      <c r="DK713" s="1114"/>
      <c r="DL713" s="1114"/>
      <c r="DM713" s="1114"/>
      <c r="DN713" s="1114"/>
      <c r="DO713" s="1114"/>
      <c r="DP713" s="1114"/>
      <c r="DQ713" s="1114"/>
      <c r="DR713" s="1114"/>
      <c r="DS713" s="1114"/>
      <c r="DT713" s="1114"/>
      <c r="DU713" s="1114"/>
      <c r="DV713" s="1115"/>
      <c r="DW713" s="1116"/>
      <c r="DX713" s="1116"/>
      <c r="DY713" s="1116"/>
      <c r="DZ713" s="1116"/>
      <c r="EA713" s="1116"/>
      <c r="EB713" s="1116"/>
      <c r="EC713" s="1116"/>
      <c r="ED713" s="1116"/>
      <c r="EE713" s="1116"/>
      <c r="EF713" s="1116"/>
      <c r="EG713" s="1116"/>
      <c r="EH713" s="1116"/>
      <c r="EI713" s="1116"/>
      <c r="EJ713" s="1116"/>
      <c r="EK713" s="1116"/>
      <c r="EL713" s="1116"/>
      <c r="EM713" s="1116"/>
      <c r="EN713" s="1116"/>
      <c r="EO713" s="1116"/>
      <c r="EP713" s="1116"/>
      <c r="EQ713" s="1116"/>
      <c r="ER713" s="1116"/>
      <c r="ES713" s="1116"/>
    </row>
    <row r="714" spans="1:149" ht="15" customHeight="1">
      <c r="A714" s="1185">
        <v>699</v>
      </c>
      <c r="B714" s="1041"/>
      <c r="C714" s="1050"/>
      <c r="D714" s="1050"/>
      <c r="E714" s="1050"/>
      <c r="F714" s="1049"/>
      <c r="G714" s="1457"/>
      <c r="H714" s="1049"/>
      <c r="I714" s="1049"/>
      <c r="J714" s="1050"/>
      <c r="K714" s="1050"/>
      <c r="L714" s="1043"/>
      <c r="M714" s="1051"/>
      <c r="N714" s="1051"/>
      <c r="O714" s="1052"/>
      <c r="P714" s="1051"/>
      <c r="Q714" s="1051"/>
      <c r="R714" s="1052"/>
      <c r="S714" s="1051"/>
      <c r="T714" s="1051"/>
      <c r="U714" s="1052"/>
      <c r="V714" s="1051"/>
      <c r="W714" s="1051"/>
      <c r="X714" s="1052"/>
      <c r="Y714" s="1053"/>
      <c r="Z714" s="1051"/>
      <c r="AA714" s="1051"/>
      <c r="AB714" s="1052"/>
      <c r="AC714" s="1051"/>
      <c r="AD714" s="1051"/>
      <c r="AE714" s="1052"/>
      <c r="AF714" s="1051"/>
      <c r="AG714" s="1051"/>
      <c r="AH714" s="1051"/>
      <c r="AI714" s="1051"/>
      <c r="AJ714" s="1052"/>
      <c r="AK714" s="1051"/>
      <c r="AL714" s="1051"/>
      <c r="AM714" s="1052"/>
      <c r="AN714" s="1051"/>
      <c r="AO714" s="1051"/>
      <c r="AP714" s="1052"/>
      <c r="AQ714" s="1051"/>
      <c r="AR714" s="1051"/>
      <c r="AS714" s="1052"/>
      <c r="AT714" s="1051"/>
      <c r="AU714" s="1051"/>
      <c r="AV714" s="1052"/>
      <c r="AW714" s="1051"/>
      <c r="AX714" s="1051"/>
      <c r="AY714" s="1053"/>
      <c r="AZ714" s="1051"/>
      <c r="BA714" s="1051"/>
      <c r="BB714" s="1053"/>
      <c r="BC714" s="1051"/>
      <c r="BD714" s="1051"/>
      <c r="BE714" s="1053"/>
      <c r="BF714" s="1051"/>
      <c r="BG714" s="1051"/>
      <c r="BH714" s="1053"/>
      <c r="BI714" s="1052"/>
      <c r="BJ714" s="1052"/>
      <c r="BK714" s="1052"/>
      <c r="BL714" s="1052"/>
      <c r="BM714" s="1052"/>
      <c r="BN714" s="1054"/>
      <c r="BO714" s="1076">
        <f t="shared" si="22"/>
        <v>0</v>
      </c>
      <c r="BP714" s="1051"/>
      <c r="BQ714" s="1052"/>
      <c r="BR714" s="1054"/>
      <c r="BS714" s="1053"/>
      <c r="BT714" s="1051"/>
      <c r="BU714" s="1051"/>
      <c r="BV714" s="1051"/>
      <c r="BW714" s="1052"/>
      <c r="BX714" s="1052"/>
      <c r="BY714" s="1052"/>
      <c r="BZ714" s="1052"/>
      <c r="CA714" s="1052"/>
      <c r="CB714" s="1053"/>
      <c r="CC714" s="1053"/>
      <c r="CD714" s="1053"/>
      <c r="CE714" s="1053"/>
      <c r="CF714" s="1053"/>
      <c r="CG714" s="1053"/>
      <c r="CH714" s="1053"/>
      <c r="CI714" s="1123"/>
      <c r="CJ714" s="1123"/>
      <c r="CK714" s="1123"/>
      <c r="CL714" s="1123"/>
      <c r="CM714" s="1123"/>
      <c r="CN714" s="1123"/>
      <c r="CO714" s="1123"/>
      <c r="CP714" s="1123"/>
      <c r="CQ714" s="1123"/>
      <c r="CR714" s="1123"/>
      <c r="CS714" s="1123"/>
      <c r="CT714" s="1123"/>
      <c r="CU714" s="1123"/>
      <c r="CV714" s="1123"/>
      <c r="CW714" s="1123"/>
      <c r="CX714" s="1123"/>
      <c r="CY714" s="1123"/>
      <c r="CZ714" s="1114"/>
      <c r="DA714" s="1114"/>
      <c r="DB714" s="1114"/>
      <c r="DC714" s="1114"/>
      <c r="DD714" s="1114"/>
      <c r="DE714" s="1114"/>
      <c r="DF714" s="1114"/>
      <c r="DG714" s="1114"/>
      <c r="DH714" s="1114"/>
      <c r="DI714" s="1114"/>
      <c r="DJ714" s="1114"/>
      <c r="DK714" s="1114"/>
      <c r="DL714" s="1114"/>
      <c r="DM714" s="1114"/>
      <c r="DN714" s="1114"/>
      <c r="DO714" s="1114"/>
      <c r="DP714" s="1114"/>
      <c r="DQ714" s="1114"/>
      <c r="DR714" s="1114"/>
      <c r="DS714" s="1114"/>
      <c r="DT714" s="1114"/>
      <c r="DU714" s="1114"/>
      <c r="DV714" s="1115"/>
      <c r="DW714" s="1116"/>
      <c r="DX714" s="1116"/>
      <c r="DY714" s="1116"/>
      <c r="DZ714" s="1116"/>
      <c r="EA714" s="1116"/>
      <c r="EB714" s="1116"/>
      <c r="EC714" s="1116"/>
      <c r="ED714" s="1116"/>
      <c r="EE714" s="1116"/>
      <c r="EF714" s="1116"/>
      <c r="EG714" s="1116"/>
      <c r="EH714" s="1116"/>
      <c r="EI714" s="1116"/>
      <c r="EJ714" s="1116"/>
      <c r="EK714" s="1116"/>
      <c r="EL714" s="1116"/>
      <c r="EM714" s="1116"/>
      <c r="EN714" s="1116"/>
      <c r="EO714" s="1116"/>
      <c r="EP714" s="1116"/>
      <c r="EQ714" s="1116"/>
      <c r="ER714" s="1116"/>
      <c r="ES714" s="1116"/>
    </row>
    <row r="715" spans="1:149" ht="15" customHeight="1">
      <c r="A715" s="1185">
        <v>700</v>
      </c>
      <c r="B715" s="1041"/>
      <c r="C715" s="1050"/>
      <c r="D715" s="1050"/>
      <c r="E715" s="1050"/>
      <c r="F715" s="1049"/>
      <c r="G715" s="1457"/>
      <c r="H715" s="1049"/>
      <c r="I715" s="1049"/>
      <c r="J715" s="1050"/>
      <c r="K715" s="1050"/>
      <c r="L715" s="1043"/>
      <c r="M715" s="1051"/>
      <c r="N715" s="1051"/>
      <c r="O715" s="1052"/>
      <c r="P715" s="1051"/>
      <c r="Q715" s="1051"/>
      <c r="R715" s="1052"/>
      <c r="S715" s="1051"/>
      <c r="T715" s="1051"/>
      <c r="U715" s="1052"/>
      <c r="V715" s="1051"/>
      <c r="W715" s="1051"/>
      <c r="X715" s="1052"/>
      <c r="Y715" s="1053"/>
      <c r="Z715" s="1051"/>
      <c r="AA715" s="1051"/>
      <c r="AB715" s="1052"/>
      <c r="AC715" s="1051"/>
      <c r="AD715" s="1051"/>
      <c r="AE715" s="1052"/>
      <c r="AF715" s="1051"/>
      <c r="AG715" s="1051"/>
      <c r="AH715" s="1051"/>
      <c r="AI715" s="1051"/>
      <c r="AJ715" s="1052"/>
      <c r="AK715" s="1051"/>
      <c r="AL715" s="1051"/>
      <c r="AM715" s="1052"/>
      <c r="AN715" s="1051"/>
      <c r="AO715" s="1051"/>
      <c r="AP715" s="1052"/>
      <c r="AQ715" s="1051"/>
      <c r="AR715" s="1051"/>
      <c r="AS715" s="1052"/>
      <c r="AT715" s="1051"/>
      <c r="AU715" s="1051"/>
      <c r="AV715" s="1052"/>
      <c r="AW715" s="1051"/>
      <c r="AX715" s="1051"/>
      <c r="AY715" s="1053"/>
      <c r="AZ715" s="1051"/>
      <c r="BA715" s="1051"/>
      <c r="BB715" s="1053"/>
      <c r="BC715" s="1051"/>
      <c r="BD715" s="1051"/>
      <c r="BE715" s="1053"/>
      <c r="BF715" s="1051"/>
      <c r="BG715" s="1051"/>
      <c r="BH715" s="1053"/>
      <c r="BI715" s="1052"/>
      <c r="BJ715" s="1052"/>
      <c r="BK715" s="1052"/>
      <c r="BL715" s="1052"/>
      <c r="BM715" s="1052"/>
      <c r="BN715" s="1054"/>
      <c r="BO715" s="1076">
        <f t="shared" si="22"/>
        <v>0</v>
      </c>
      <c r="BP715" s="1051"/>
      <c r="BQ715" s="1052"/>
      <c r="BR715" s="1054"/>
      <c r="BS715" s="1053"/>
      <c r="BT715" s="1051"/>
      <c r="BU715" s="1051"/>
      <c r="BV715" s="1051"/>
      <c r="BW715" s="1052"/>
      <c r="BX715" s="1052"/>
      <c r="BY715" s="1052"/>
      <c r="BZ715" s="1052"/>
      <c r="CA715" s="1052"/>
      <c r="CB715" s="1053"/>
      <c r="CC715" s="1053"/>
      <c r="CD715" s="1053"/>
      <c r="CE715" s="1053"/>
      <c r="CF715" s="1053"/>
      <c r="CG715" s="1053"/>
      <c r="CH715" s="1053"/>
      <c r="CI715" s="1123"/>
      <c r="CJ715" s="1123"/>
      <c r="CK715" s="1123"/>
      <c r="CL715" s="1123"/>
      <c r="CM715" s="1123"/>
      <c r="CN715" s="1123"/>
      <c r="CO715" s="1123"/>
      <c r="CP715" s="1123"/>
      <c r="CQ715" s="1123"/>
      <c r="CR715" s="1123"/>
      <c r="CS715" s="1123"/>
      <c r="CT715" s="1123"/>
      <c r="CU715" s="1123"/>
      <c r="CV715" s="1123"/>
      <c r="CW715" s="1123"/>
      <c r="CX715" s="1123"/>
      <c r="CY715" s="1123"/>
      <c r="CZ715" s="1114"/>
      <c r="DA715" s="1114"/>
      <c r="DB715" s="1114"/>
      <c r="DC715" s="1114"/>
      <c r="DD715" s="1114"/>
      <c r="DE715" s="1114"/>
      <c r="DF715" s="1114"/>
      <c r="DG715" s="1114"/>
      <c r="DH715" s="1114"/>
      <c r="DI715" s="1114"/>
      <c r="DJ715" s="1114"/>
      <c r="DK715" s="1114"/>
      <c r="DL715" s="1114"/>
      <c r="DM715" s="1114"/>
      <c r="DN715" s="1114"/>
      <c r="DO715" s="1114"/>
      <c r="DP715" s="1114"/>
      <c r="DQ715" s="1114"/>
      <c r="DR715" s="1114"/>
      <c r="DS715" s="1114"/>
      <c r="DT715" s="1114"/>
      <c r="DU715" s="1114"/>
      <c r="DV715" s="1115"/>
      <c r="DW715" s="1116"/>
      <c r="DX715" s="1116"/>
      <c r="DY715" s="1116"/>
      <c r="DZ715" s="1116"/>
      <c r="EA715" s="1116"/>
      <c r="EB715" s="1116"/>
      <c r="EC715" s="1116"/>
      <c r="ED715" s="1116"/>
      <c r="EE715" s="1116"/>
      <c r="EF715" s="1116"/>
      <c r="EG715" s="1116"/>
      <c r="EH715" s="1116"/>
      <c r="EI715" s="1116"/>
      <c r="EJ715" s="1116"/>
      <c r="EK715" s="1116"/>
      <c r="EL715" s="1116"/>
      <c r="EM715" s="1116"/>
      <c r="EN715" s="1116"/>
      <c r="EO715" s="1116"/>
      <c r="EP715" s="1116"/>
      <c r="EQ715" s="1116"/>
      <c r="ER715" s="1116"/>
      <c r="ES715" s="1116"/>
    </row>
    <row r="716" spans="1:149" ht="15" customHeight="1">
      <c r="A716" s="1185">
        <v>701</v>
      </c>
      <c r="B716" s="1041"/>
      <c r="C716" s="1050"/>
      <c r="D716" s="1050"/>
      <c r="E716" s="1050"/>
      <c r="F716" s="1049"/>
      <c r="G716" s="1457"/>
      <c r="H716" s="1049"/>
      <c r="I716" s="1049"/>
      <c r="J716" s="1050"/>
      <c r="K716" s="1050"/>
      <c r="L716" s="1043"/>
      <c r="M716" s="1051"/>
      <c r="N716" s="1051"/>
      <c r="O716" s="1052"/>
      <c r="P716" s="1051"/>
      <c r="Q716" s="1051"/>
      <c r="R716" s="1052"/>
      <c r="S716" s="1051"/>
      <c r="T716" s="1051"/>
      <c r="U716" s="1052"/>
      <c r="V716" s="1051"/>
      <c r="W716" s="1051"/>
      <c r="X716" s="1052"/>
      <c r="Y716" s="1053"/>
      <c r="Z716" s="1051"/>
      <c r="AA716" s="1051"/>
      <c r="AB716" s="1052"/>
      <c r="AC716" s="1051"/>
      <c r="AD716" s="1051"/>
      <c r="AE716" s="1052"/>
      <c r="AF716" s="1051"/>
      <c r="AG716" s="1051"/>
      <c r="AH716" s="1051"/>
      <c r="AI716" s="1051"/>
      <c r="AJ716" s="1052"/>
      <c r="AK716" s="1051"/>
      <c r="AL716" s="1051"/>
      <c r="AM716" s="1052"/>
      <c r="AN716" s="1051"/>
      <c r="AO716" s="1051"/>
      <c r="AP716" s="1052"/>
      <c r="AQ716" s="1051"/>
      <c r="AR716" s="1051"/>
      <c r="AS716" s="1052"/>
      <c r="AT716" s="1051"/>
      <c r="AU716" s="1051"/>
      <c r="AV716" s="1052"/>
      <c r="AW716" s="1051"/>
      <c r="AX716" s="1051"/>
      <c r="AY716" s="1053"/>
      <c r="AZ716" s="1051"/>
      <c r="BA716" s="1051"/>
      <c r="BB716" s="1053"/>
      <c r="BC716" s="1051"/>
      <c r="BD716" s="1051"/>
      <c r="BE716" s="1053"/>
      <c r="BF716" s="1051"/>
      <c r="BG716" s="1051"/>
      <c r="BH716" s="1053"/>
      <c r="BI716" s="1052"/>
      <c r="BJ716" s="1052"/>
      <c r="BK716" s="1052"/>
      <c r="BL716" s="1052"/>
      <c r="BM716" s="1052"/>
      <c r="BN716" s="1054"/>
      <c r="BO716" s="1076">
        <f t="shared" si="22"/>
        <v>0</v>
      </c>
      <c r="BP716" s="1051"/>
      <c r="BQ716" s="1052"/>
      <c r="BR716" s="1054"/>
      <c r="BS716" s="1053"/>
      <c r="BT716" s="1051"/>
      <c r="BU716" s="1051"/>
      <c r="BV716" s="1051"/>
      <c r="BW716" s="1052"/>
      <c r="BX716" s="1052"/>
      <c r="BY716" s="1052"/>
      <c r="BZ716" s="1052"/>
      <c r="CA716" s="1052"/>
      <c r="CB716" s="1053"/>
      <c r="CC716" s="1053"/>
      <c r="CD716" s="1053"/>
      <c r="CE716" s="1053"/>
      <c r="CF716" s="1053"/>
      <c r="CG716" s="1053"/>
      <c r="CH716" s="1053"/>
      <c r="CI716" s="1123"/>
      <c r="CJ716" s="1123"/>
      <c r="CK716" s="1123"/>
      <c r="CL716" s="1123"/>
      <c r="CM716" s="1123"/>
      <c r="CN716" s="1123"/>
      <c r="CO716" s="1123"/>
      <c r="CP716" s="1123"/>
      <c r="CQ716" s="1123"/>
      <c r="CR716" s="1123"/>
      <c r="CS716" s="1123"/>
      <c r="CT716" s="1123"/>
      <c r="CU716" s="1123"/>
      <c r="CV716" s="1123"/>
      <c r="CW716" s="1123"/>
      <c r="CX716" s="1123"/>
      <c r="CY716" s="1123"/>
      <c r="CZ716" s="1114"/>
      <c r="DA716" s="1114"/>
      <c r="DB716" s="1114"/>
      <c r="DC716" s="1114"/>
      <c r="DD716" s="1114"/>
      <c r="DE716" s="1114"/>
      <c r="DF716" s="1114"/>
      <c r="DG716" s="1114"/>
      <c r="DH716" s="1114"/>
      <c r="DI716" s="1114"/>
      <c r="DJ716" s="1114"/>
      <c r="DK716" s="1114"/>
      <c r="DL716" s="1114"/>
      <c r="DM716" s="1114"/>
      <c r="DN716" s="1114"/>
      <c r="DO716" s="1114"/>
      <c r="DP716" s="1114"/>
      <c r="DQ716" s="1114"/>
      <c r="DR716" s="1114"/>
      <c r="DS716" s="1114"/>
      <c r="DT716" s="1114"/>
      <c r="DU716" s="1114"/>
      <c r="DV716" s="1115"/>
      <c r="DW716" s="1116"/>
      <c r="DX716" s="1116"/>
      <c r="DY716" s="1116"/>
      <c r="DZ716" s="1116"/>
      <c r="EA716" s="1116"/>
      <c r="EB716" s="1116"/>
      <c r="EC716" s="1116"/>
      <c r="ED716" s="1116"/>
      <c r="EE716" s="1116"/>
      <c r="EF716" s="1116"/>
      <c r="EG716" s="1116"/>
      <c r="EH716" s="1116"/>
      <c r="EI716" s="1116"/>
      <c r="EJ716" s="1116"/>
      <c r="EK716" s="1116"/>
      <c r="EL716" s="1116"/>
      <c r="EM716" s="1116"/>
      <c r="EN716" s="1116"/>
      <c r="EO716" s="1116"/>
      <c r="EP716" s="1116"/>
      <c r="EQ716" s="1116"/>
      <c r="ER716" s="1116"/>
      <c r="ES716" s="1116"/>
    </row>
    <row r="717" spans="1:149" ht="15" customHeight="1">
      <c r="A717" s="1185">
        <v>702</v>
      </c>
      <c r="B717" s="1041"/>
      <c r="C717" s="1050"/>
      <c r="D717" s="1050"/>
      <c r="E717" s="1050"/>
      <c r="F717" s="1049"/>
      <c r="G717" s="1457"/>
      <c r="H717" s="1049"/>
      <c r="I717" s="1049"/>
      <c r="J717" s="1050"/>
      <c r="K717" s="1050"/>
      <c r="L717" s="1043"/>
      <c r="M717" s="1051"/>
      <c r="N717" s="1051"/>
      <c r="O717" s="1052"/>
      <c r="P717" s="1051"/>
      <c r="Q717" s="1051"/>
      <c r="R717" s="1052"/>
      <c r="S717" s="1051"/>
      <c r="T717" s="1051"/>
      <c r="U717" s="1052"/>
      <c r="V717" s="1051"/>
      <c r="W717" s="1051"/>
      <c r="X717" s="1052"/>
      <c r="Y717" s="1053"/>
      <c r="Z717" s="1051"/>
      <c r="AA717" s="1051"/>
      <c r="AB717" s="1052"/>
      <c r="AC717" s="1051"/>
      <c r="AD717" s="1051"/>
      <c r="AE717" s="1052"/>
      <c r="AF717" s="1051"/>
      <c r="AG717" s="1051"/>
      <c r="AH717" s="1051"/>
      <c r="AI717" s="1051"/>
      <c r="AJ717" s="1052"/>
      <c r="AK717" s="1051"/>
      <c r="AL717" s="1051"/>
      <c r="AM717" s="1052"/>
      <c r="AN717" s="1051"/>
      <c r="AO717" s="1051"/>
      <c r="AP717" s="1052"/>
      <c r="AQ717" s="1051"/>
      <c r="AR717" s="1051"/>
      <c r="AS717" s="1052"/>
      <c r="AT717" s="1051"/>
      <c r="AU717" s="1051"/>
      <c r="AV717" s="1052"/>
      <c r="AW717" s="1051"/>
      <c r="AX717" s="1051"/>
      <c r="AY717" s="1053"/>
      <c r="AZ717" s="1051"/>
      <c r="BA717" s="1051"/>
      <c r="BB717" s="1053"/>
      <c r="BC717" s="1051"/>
      <c r="BD717" s="1051"/>
      <c r="BE717" s="1053"/>
      <c r="BF717" s="1051"/>
      <c r="BG717" s="1051"/>
      <c r="BH717" s="1053"/>
      <c r="BI717" s="1052"/>
      <c r="BJ717" s="1052"/>
      <c r="BK717" s="1052"/>
      <c r="BL717" s="1052"/>
      <c r="BM717" s="1052"/>
      <c r="BN717" s="1054"/>
      <c r="BO717" s="1076">
        <f t="shared" si="22"/>
        <v>0</v>
      </c>
      <c r="BP717" s="1051"/>
      <c r="BQ717" s="1052"/>
      <c r="BR717" s="1054"/>
      <c r="BS717" s="1053"/>
      <c r="BT717" s="1051"/>
      <c r="BU717" s="1051"/>
      <c r="BV717" s="1051"/>
      <c r="BW717" s="1052"/>
      <c r="BX717" s="1052"/>
      <c r="BY717" s="1052"/>
      <c r="BZ717" s="1052"/>
      <c r="CA717" s="1052"/>
      <c r="CB717" s="1053"/>
      <c r="CC717" s="1053"/>
      <c r="CD717" s="1053"/>
      <c r="CE717" s="1053"/>
      <c r="CF717" s="1053"/>
      <c r="CG717" s="1053"/>
      <c r="CH717" s="1053"/>
      <c r="CI717" s="1123"/>
      <c r="CJ717" s="1123"/>
      <c r="CK717" s="1123"/>
      <c r="CL717" s="1123"/>
      <c r="CM717" s="1123"/>
      <c r="CN717" s="1123"/>
      <c r="CO717" s="1123"/>
      <c r="CP717" s="1123"/>
      <c r="CQ717" s="1123"/>
      <c r="CR717" s="1123"/>
      <c r="CS717" s="1123"/>
      <c r="CT717" s="1123"/>
      <c r="CU717" s="1123"/>
      <c r="CV717" s="1123"/>
      <c r="CW717" s="1123"/>
      <c r="CX717" s="1123"/>
      <c r="CY717" s="1123"/>
      <c r="CZ717" s="1114"/>
      <c r="DA717" s="1114"/>
      <c r="DB717" s="1114"/>
      <c r="DC717" s="1114"/>
      <c r="DD717" s="1114"/>
      <c r="DE717" s="1114"/>
      <c r="DF717" s="1114"/>
      <c r="DG717" s="1114"/>
      <c r="DH717" s="1114"/>
      <c r="DI717" s="1114"/>
      <c r="DJ717" s="1114"/>
      <c r="DK717" s="1114"/>
      <c r="DL717" s="1114"/>
      <c r="DM717" s="1114"/>
      <c r="DN717" s="1114"/>
      <c r="DO717" s="1114"/>
      <c r="DP717" s="1114"/>
      <c r="DQ717" s="1114"/>
      <c r="DR717" s="1114"/>
      <c r="DS717" s="1114"/>
      <c r="DT717" s="1114"/>
      <c r="DU717" s="1114"/>
      <c r="DV717" s="1115"/>
      <c r="DW717" s="1116"/>
      <c r="DX717" s="1116"/>
      <c r="DY717" s="1116"/>
      <c r="DZ717" s="1116"/>
      <c r="EA717" s="1116"/>
      <c r="EB717" s="1116"/>
      <c r="EC717" s="1116"/>
      <c r="ED717" s="1116"/>
      <c r="EE717" s="1116"/>
      <c r="EF717" s="1116"/>
      <c r="EG717" s="1116"/>
      <c r="EH717" s="1116"/>
      <c r="EI717" s="1116"/>
      <c r="EJ717" s="1116"/>
      <c r="EK717" s="1116"/>
      <c r="EL717" s="1116"/>
      <c r="EM717" s="1116"/>
      <c r="EN717" s="1116"/>
      <c r="EO717" s="1116"/>
      <c r="EP717" s="1116"/>
      <c r="EQ717" s="1116"/>
      <c r="ER717" s="1116"/>
      <c r="ES717" s="1116"/>
    </row>
    <row r="718" spans="1:149" ht="15" customHeight="1">
      <c r="A718" s="1185">
        <v>703</v>
      </c>
      <c r="B718" s="1041"/>
      <c r="C718" s="1050"/>
      <c r="D718" s="1050"/>
      <c r="E718" s="1050"/>
      <c r="F718" s="1049"/>
      <c r="G718" s="1457"/>
      <c r="H718" s="1049"/>
      <c r="I718" s="1049"/>
      <c r="J718" s="1050"/>
      <c r="K718" s="1050"/>
      <c r="L718" s="1043"/>
      <c r="M718" s="1051"/>
      <c r="N718" s="1051"/>
      <c r="O718" s="1052"/>
      <c r="P718" s="1051"/>
      <c r="Q718" s="1051"/>
      <c r="R718" s="1052"/>
      <c r="S718" s="1051"/>
      <c r="T718" s="1051"/>
      <c r="U718" s="1052"/>
      <c r="V718" s="1051"/>
      <c r="W718" s="1051"/>
      <c r="X718" s="1052"/>
      <c r="Y718" s="1053"/>
      <c r="Z718" s="1051"/>
      <c r="AA718" s="1051"/>
      <c r="AB718" s="1052"/>
      <c r="AC718" s="1051"/>
      <c r="AD718" s="1051"/>
      <c r="AE718" s="1052"/>
      <c r="AF718" s="1051"/>
      <c r="AG718" s="1051"/>
      <c r="AH718" s="1051"/>
      <c r="AI718" s="1051"/>
      <c r="AJ718" s="1052"/>
      <c r="AK718" s="1051"/>
      <c r="AL718" s="1051"/>
      <c r="AM718" s="1052"/>
      <c r="AN718" s="1051"/>
      <c r="AO718" s="1051"/>
      <c r="AP718" s="1052"/>
      <c r="AQ718" s="1051"/>
      <c r="AR718" s="1051"/>
      <c r="AS718" s="1052"/>
      <c r="AT718" s="1051"/>
      <c r="AU718" s="1051"/>
      <c r="AV718" s="1052"/>
      <c r="AW718" s="1051"/>
      <c r="AX718" s="1051"/>
      <c r="AY718" s="1053"/>
      <c r="AZ718" s="1051"/>
      <c r="BA718" s="1051"/>
      <c r="BB718" s="1053"/>
      <c r="BC718" s="1051"/>
      <c r="BD718" s="1051"/>
      <c r="BE718" s="1053"/>
      <c r="BF718" s="1051"/>
      <c r="BG718" s="1051"/>
      <c r="BH718" s="1053"/>
      <c r="BI718" s="1052"/>
      <c r="BJ718" s="1052"/>
      <c r="BK718" s="1052"/>
      <c r="BL718" s="1052"/>
      <c r="BM718" s="1052"/>
      <c r="BN718" s="1054"/>
      <c r="BO718" s="1076">
        <f t="shared" si="22"/>
        <v>0</v>
      </c>
      <c r="BP718" s="1051"/>
      <c r="BQ718" s="1052"/>
      <c r="BR718" s="1054"/>
      <c r="BS718" s="1053"/>
      <c r="BT718" s="1051"/>
      <c r="BU718" s="1051"/>
      <c r="BV718" s="1051"/>
      <c r="BW718" s="1052"/>
      <c r="BX718" s="1052"/>
      <c r="BY718" s="1052"/>
      <c r="BZ718" s="1052"/>
      <c r="CA718" s="1052"/>
      <c r="CB718" s="1053"/>
      <c r="CC718" s="1053"/>
      <c r="CD718" s="1053"/>
      <c r="CE718" s="1053"/>
      <c r="CF718" s="1053"/>
      <c r="CG718" s="1053"/>
      <c r="CH718" s="1053"/>
      <c r="CI718" s="1123"/>
      <c r="CJ718" s="1123"/>
      <c r="CK718" s="1123"/>
      <c r="CL718" s="1123"/>
      <c r="CM718" s="1123"/>
      <c r="CN718" s="1123"/>
      <c r="CO718" s="1123"/>
      <c r="CP718" s="1123"/>
      <c r="CQ718" s="1123"/>
      <c r="CR718" s="1123"/>
      <c r="CS718" s="1123"/>
      <c r="CT718" s="1123"/>
      <c r="CU718" s="1123"/>
      <c r="CV718" s="1123"/>
      <c r="CW718" s="1123"/>
      <c r="CX718" s="1123"/>
      <c r="CY718" s="1123"/>
      <c r="CZ718" s="1114"/>
      <c r="DA718" s="1114"/>
      <c r="DB718" s="1114"/>
      <c r="DC718" s="1114"/>
      <c r="DD718" s="1114"/>
      <c r="DE718" s="1114"/>
      <c r="DF718" s="1114"/>
      <c r="DG718" s="1114"/>
      <c r="DH718" s="1114"/>
      <c r="DI718" s="1114"/>
      <c r="DJ718" s="1114"/>
      <c r="DK718" s="1114"/>
      <c r="DL718" s="1114"/>
      <c r="DM718" s="1114"/>
      <c r="DN718" s="1114"/>
      <c r="DO718" s="1114"/>
      <c r="DP718" s="1114"/>
      <c r="DQ718" s="1114"/>
      <c r="DR718" s="1114"/>
      <c r="DS718" s="1114"/>
      <c r="DT718" s="1114"/>
      <c r="DU718" s="1114"/>
      <c r="DV718" s="1115"/>
      <c r="DW718" s="1116"/>
      <c r="DX718" s="1116"/>
      <c r="DY718" s="1116"/>
      <c r="DZ718" s="1116"/>
      <c r="EA718" s="1116"/>
      <c r="EB718" s="1116"/>
      <c r="EC718" s="1116"/>
      <c r="ED718" s="1116"/>
      <c r="EE718" s="1116"/>
      <c r="EF718" s="1116"/>
      <c r="EG718" s="1116"/>
      <c r="EH718" s="1116"/>
      <c r="EI718" s="1116"/>
      <c r="EJ718" s="1116"/>
      <c r="EK718" s="1116"/>
      <c r="EL718" s="1116"/>
      <c r="EM718" s="1116"/>
      <c r="EN718" s="1116"/>
      <c r="EO718" s="1116"/>
      <c r="EP718" s="1116"/>
      <c r="EQ718" s="1116"/>
      <c r="ER718" s="1116"/>
      <c r="ES718" s="1116"/>
    </row>
    <row r="719" spans="1:149" ht="15" customHeight="1">
      <c r="A719" s="1185">
        <v>704</v>
      </c>
      <c r="B719" s="1041"/>
      <c r="C719" s="1050"/>
      <c r="D719" s="1050"/>
      <c r="E719" s="1050"/>
      <c r="F719" s="1049"/>
      <c r="G719" s="1457"/>
      <c r="H719" s="1049"/>
      <c r="I719" s="1049"/>
      <c r="J719" s="1050"/>
      <c r="K719" s="1050"/>
      <c r="L719" s="1043"/>
      <c r="M719" s="1051"/>
      <c r="N719" s="1051"/>
      <c r="O719" s="1052"/>
      <c r="P719" s="1051"/>
      <c r="Q719" s="1051"/>
      <c r="R719" s="1052"/>
      <c r="S719" s="1051"/>
      <c r="T719" s="1051"/>
      <c r="U719" s="1052"/>
      <c r="V719" s="1051"/>
      <c r="W719" s="1051"/>
      <c r="X719" s="1052"/>
      <c r="Y719" s="1053"/>
      <c r="Z719" s="1051"/>
      <c r="AA719" s="1051"/>
      <c r="AB719" s="1052"/>
      <c r="AC719" s="1051"/>
      <c r="AD719" s="1051"/>
      <c r="AE719" s="1052"/>
      <c r="AF719" s="1051"/>
      <c r="AG719" s="1051"/>
      <c r="AH719" s="1051"/>
      <c r="AI719" s="1051"/>
      <c r="AJ719" s="1052"/>
      <c r="AK719" s="1051"/>
      <c r="AL719" s="1051"/>
      <c r="AM719" s="1052"/>
      <c r="AN719" s="1051"/>
      <c r="AO719" s="1051"/>
      <c r="AP719" s="1052"/>
      <c r="AQ719" s="1051"/>
      <c r="AR719" s="1051"/>
      <c r="AS719" s="1052"/>
      <c r="AT719" s="1051"/>
      <c r="AU719" s="1051"/>
      <c r="AV719" s="1052"/>
      <c r="AW719" s="1051"/>
      <c r="AX719" s="1051"/>
      <c r="AY719" s="1053"/>
      <c r="AZ719" s="1051"/>
      <c r="BA719" s="1051"/>
      <c r="BB719" s="1053"/>
      <c r="BC719" s="1051"/>
      <c r="BD719" s="1051"/>
      <c r="BE719" s="1053"/>
      <c r="BF719" s="1051"/>
      <c r="BG719" s="1051"/>
      <c r="BH719" s="1053"/>
      <c r="BI719" s="1052"/>
      <c r="BJ719" s="1052"/>
      <c r="BK719" s="1052"/>
      <c r="BL719" s="1052"/>
      <c r="BM719" s="1052"/>
      <c r="BN719" s="1054"/>
      <c r="BO719" s="1076">
        <f t="shared" si="22"/>
        <v>0</v>
      </c>
      <c r="BP719" s="1051"/>
      <c r="BQ719" s="1052"/>
      <c r="BR719" s="1054"/>
      <c r="BS719" s="1053"/>
      <c r="BT719" s="1051"/>
      <c r="BU719" s="1051"/>
      <c r="BV719" s="1051"/>
      <c r="BW719" s="1052"/>
      <c r="BX719" s="1052"/>
      <c r="BY719" s="1052"/>
      <c r="BZ719" s="1052"/>
      <c r="CA719" s="1052"/>
      <c r="CB719" s="1053"/>
      <c r="CC719" s="1053"/>
      <c r="CD719" s="1053"/>
      <c r="CE719" s="1053"/>
      <c r="CF719" s="1053"/>
      <c r="CG719" s="1053"/>
      <c r="CH719" s="1053"/>
      <c r="CI719" s="1123"/>
      <c r="CJ719" s="1123"/>
      <c r="CK719" s="1123"/>
      <c r="CL719" s="1123"/>
      <c r="CM719" s="1123"/>
      <c r="CN719" s="1123"/>
      <c r="CO719" s="1123"/>
      <c r="CP719" s="1123"/>
      <c r="CQ719" s="1123"/>
      <c r="CR719" s="1123"/>
      <c r="CS719" s="1123"/>
      <c r="CT719" s="1123"/>
      <c r="CU719" s="1123"/>
      <c r="CV719" s="1123"/>
      <c r="CW719" s="1123"/>
      <c r="CX719" s="1123"/>
      <c r="CY719" s="1123"/>
      <c r="CZ719" s="1114"/>
      <c r="DA719" s="1114"/>
      <c r="DB719" s="1114"/>
      <c r="DC719" s="1114"/>
      <c r="DD719" s="1114"/>
      <c r="DE719" s="1114"/>
      <c r="DF719" s="1114"/>
      <c r="DG719" s="1114"/>
      <c r="DH719" s="1114"/>
      <c r="DI719" s="1114"/>
      <c r="DJ719" s="1114"/>
      <c r="DK719" s="1114"/>
      <c r="DL719" s="1114"/>
      <c r="DM719" s="1114"/>
      <c r="DN719" s="1114"/>
      <c r="DO719" s="1114"/>
      <c r="DP719" s="1114"/>
      <c r="DQ719" s="1114"/>
      <c r="DR719" s="1114"/>
      <c r="DS719" s="1114"/>
      <c r="DT719" s="1114"/>
      <c r="DU719" s="1114"/>
      <c r="DV719" s="1115"/>
      <c r="DW719" s="1116"/>
      <c r="DX719" s="1116"/>
      <c r="DY719" s="1116"/>
      <c r="DZ719" s="1116"/>
      <c r="EA719" s="1116"/>
      <c r="EB719" s="1116"/>
      <c r="EC719" s="1116"/>
      <c r="ED719" s="1116"/>
      <c r="EE719" s="1116"/>
      <c r="EF719" s="1116"/>
      <c r="EG719" s="1116"/>
      <c r="EH719" s="1116"/>
      <c r="EI719" s="1116"/>
      <c r="EJ719" s="1116"/>
      <c r="EK719" s="1116"/>
      <c r="EL719" s="1116"/>
      <c r="EM719" s="1116"/>
      <c r="EN719" s="1116"/>
      <c r="EO719" s="1116"/>
      <c r="EP719" s="1116"/>
      <c r="EQ719" s="1116"/>
      <c r="ER719" s="1116"/>
      <c r="ES719" s="1116"/>
    </row>
    <row r="720" spans="1:149" ht="15" customHeight="1">
      <c r="A720" s="1185">
        <v>705</v>
      </c>
      <c r="B720" s="1041"/>
      <c r="C720" s="1050"/>
      <c r="D720" s="1050"/>
      <c r="E720" s="1050"/>
      <c r="F720" s="1049"/>
      <c r="G720" s="1457"/>
      <c r="H720" s="1049"/>
      <c r="I720" s="1049"/>
      <c r="J720" s="1050"/>
      <c r="K720" s="1050"/>
      <c r="L720" s="1043"/>
      <c r="M720" s="1051"/>
      <c r="N720" s="1051"/>
      <c r="O720" s="1052"/>
      <c r="P720" s="1051"/>
      <c r="Q720" s="1051"/>
      <c r="R720" s="1052"/>
      <c r="S720" s="1051"/>
      <c r="T720" s="1051"/>
      <c r="U720" s="1052"/>
      <c r="V720" s="1051"/>
      <c r="W720" s="1051"/>
      <c r="X720" s="1052"/>
      <c r="Y720" s="1053"/>
      <c r="Z720" s="1051"/>
      <c r="AA720" s="1051"/>
      <c r="AB720" s="1052"/>
      <c r="AC720" s="1051"/>
      <c r="AD720" s="1051"/>
      <c r="AE720" s="1052"/>
      <c r="AF720" s="1051"/>
      <c r="AG720" s="1051"/>
      <c r="AH720" s="1051"/>
      <c r="AI720" s="1051"/>
      <c r="AJ720" s="1052"/>
      <c r="AK720" s="1051"/>
      <c r="AL720" s="1051"/>
      <c r="AM720" s="1052"/>
      <c r="AN720" s="1051"/>
      <c r="AO720" s="1051"/>
      <c r="AP720" s="1052"/>
      <c r="AQ720" s="1051"/>
      <c r="AR720" s="1051"/>
      <c r="AS720" s="1052"/>
      <c r="AT720" s="1051"/>
      <c r="AU720" s="1051"/>
      <c r="AV720" s="1052"/>
      <c r="AW720" s="1051"/>
      <c r="AX720" s="1051"/>
      <c r="AY720" s="1053"/>
      <c r="AZ720" s="1051"/>
      <c r="BA720" s="1051"/>
      <c r="BB720" s="1053"/>
      <c r="BC720" s="1051"/>
      <c r="BD720" s="1051"/>
      <c r="BE720" s="1053"/>
      <c r="BF720" s="1051"/>
      <c r="BG720" s="1051"/>
      <c r="BH720" s="1053"/>
      <c r="BI720" s="1052"/>
      <c r="BJ720" s="1052"/>
      <c r="BK720" s="1052"/>
      <c r="BL720" s="1052"/>
      <c r="BM720" s="1052"/>
      <c r="BN720" s="1054"/>
      <c r="BO720" s="1076">
        <f t="shared" si="22"/>
        <v>0</v>
      </c>
      <c r="BP720" s="1051"/>
      <c r="BQ720" s="1052"/>
      <c r="BR720" s="1054"/>
      <c r="BS720" s="1053"/>
      <c r="BT720" s="1051"/>
      <c r="BU720" s="1051"/>
      <c r="BV720" s="1051"/>
      <c r="BW720" s="1052"/>
      <c r="BX720" s="1052"/>
      <c r="BY720" s="1052"/>
      <c r="BZ720" s="1052"/>
      <c r="CA720" s="1052"/>
      <c r="CB720" s="1053"/>
      <c r="CC720" s="1053"/>
      <c r="CD720" s="1053"/>
      <c r="CE720" s="1053"/>
      <c r="CF720" s="1053"/>
      <c r="CG720" s="1053"/>
      <c r="CH720" s="1053"/>
      <c r="CI720" s="1123"/>
      <c r="CJ720" s="1123"/>
      <c r="CK720" s="1123"/>
      <c r="CL720" s="1123"/>
      <c r="CM720" s="1123"/>
      <c r="CN720" s="1123"/>
      <c r="CO720" s="1123"/>
      <c r="CP720" s="1123"/>
      <c r="CQ720" s="1123"/>
      <c r="CR720" s="1123"/>
      <c r="CS720" s="1123"/>
      <c r="CT720" s="1123"/>
      <c r="CU720" s="1123"/>
      <c r="CV720" s="1123"/>
      <c r="CW720" s="1123"/>
      <c r="CX720" s="1123"/>
      <c r="CY720" s="1123"/>
      <c r="CZ720" s="1114"/>
      <c r="DA720" s="1114"/>
      <c r="DB720" s="1114"/>
      <c r="DC720" s="1114"/>
      <c r="DD720" s="1114"/>
      <c r="DE720" s="1114"/>
      <c r="DF720" s="1114"/>
      <c r="DG720" s="1114"/>
      <c r="DH720" s="1114"/>
      <c r="DI720" s="1114"/>
      <c r="DJ720" s="1114"/>
      <c r="DK720" s="1114"/>
      <c r="DL720" s="1114"/>
      <c r="DM720" s="1114"/>
      <c r="DN720" s="1114"/>
      <c r="DO720" s="1114"/>
      <c r="DP720" s="1114"/>
      <c r="DQ720" s="1114"/>
      <c r="DR720" s="1114"/>
      <c r="DS720" s="1114"/>
      <c r="DT720" s="1114"/>
      <c r="DU720" s="1114"/>
      <c r="DV720" s="1115"/>
      <c r="DW720" s="1116"/>
      <c r="DX720" s="1116"/>
      <c r="DY720" s="1116"/>
      <c r="DZ720" s="1116"/>
      <c r="EA720" s="1116"/>
      <c r="EB720" s="1116"/>
      <c r="EC720" s="1116"/>
      <c r="ED720" s="1116"/>
      <c r="EE720" s="1116"/>
      <c r="EF720" s="1116"/>
      <c r="EG720" s="1116"/>
      <c r="EH720" s="1116"/>
      <c r="EI720" s="1116"/>
      <c r="EJ720" s="1116"/>
      <c r="EK720" s="1116"/>
      <c r="EL720" s="1116"/>
      <c r="EM720" s="1116"/>
      <c r="EN720" s="1116"/>
      <c r="EO720" s="1116"/>
      <c r="EP720" s="1116"/>
      <c r="EQ720" s="1116"/>
      <c r="ER720" s="1116"/>
      <c r="ES720" s="1116"/>
    </row>
    <row r="721" spans="1:149" ht="15" customHeight="1">
      <c r="A721" s="1185">
        <v>706</v>
      </c>
      <c r="B721" s="1041"/>
      <c r="C721" s="1050"/>
      <c r="D721" s="1050"/>
      <c r="E721" s="1050"/>
      <c r="F721" s="1049"/>
      <c r="G721" s="1457"/>
      <c r="H721" s="1049"/>
      <c r="I721" s="1049"/>
      <c r="J721" s="1050"/>
      <c r="K721" s="1050"/>
      <c r="L721" s="1043"/>
      <c r="M721" s="1051"/>
      <c r="N721" s="1051"/>
      <c r="O721" s="1052"/>
      <c r="P721" s="1051"/>
      <c r="Q721" s="1051"/>
      <c r="R721" s="1052"/>
      <c r="S721" s="1051"/>
      <c r="T721" s="1051"/>
      <c r="U721" s="1052"/>
      <c r="V721" s="1051"/>
      <c r="W721" s="1051"/>
      <c r="X721" s="1052"/>
      <c r="Y721" s="1053"/>
      <c r="Z721" s="1051"/>
      <c r="AA721" s="1051"/>
      <c r="AB721" s="1052"/>
      <c r="AC721" s="1051"/>
      <c r="AD721" s="1051"/>
      <c r="AE721" s="1052"/>
      <c r="AF721" s="1051"/>
      <c r="AG721" s="1051"/>
      <c r="AH721" s="1051"/>
      <c r="AI721" s="1051"/>
      <c r="AJ721" s="1052"/>
      <c r="AK721" s="1051"/>
      <c r="AL721" s="1051"/>
      <c r="AM721" s="1052"/>
      <c r="AN721" s="1051"/>
      <c r="AO721" s="1051"/>
      <c r="AP721" s="1052"/>
      <c r="AQ721" s="1051"/>
      <c r="AR721" s="1051"/>
      <c r="AS721" s="1052"/>
      <c r="AT721" s="1051"/>
      <c r="AU721" s="1051"/>
      <c r="AV721" s="1052"/>
      <c r="AW721" s="1051"/>
      <c r="AX721" s="1051"/>
      <c r="AY721" s="1053"/>
      <c r="AZ721" s="1051"/>
      <c r="BA721" s="1051"/>
      <c r="BB721" s="1053"/>
      <c r="BC721" s="1051"/>
      <c r="BD721" s="1051"/>
      <c r="BE721" s="1053"/>
      <c r="BF721" s="1051"/>
      <c r="BG721" s="1051"/>
      <c r="BH721" s="1053"/>
      <c r="BI721" s="1052"/>
      <c r="BJ721" s="1052"/>
      <c r="BK721" s="1052"/>
      <c r="BL721" s="1052"/>
      <c r="BM721" s="1052"/>
      <c r="BN721" s="1054"/>
      <c r="BO721" s="1076">
        <f t="shared" si="22"/>
        <v>0</v>
      </c>
      <c r="BP721" s="1051"/>
      <c r="BQ721" s="1052"/>
      <c r="BR721" s="1054"/>
      <c r="BS721" s="1053"/>
      <c r="BT721" s="1051"/>
      <c r="BU721" s="1051"/>
      <c r="BV721" s="1051"/>
      <c r="BW721" s="1052"/>
      <c r="BX721" s="1052"/>
      <c r="BY721" s="1052"/>
      <c r="BZ721" s="1052"/>
      <c r="CA721" s="1052"/>
      <c r="CB721" s="1053"/>
      <c r="CC721" s="1053"/>
      <c r="CD721" s="1053"/>
      <c r="CE721" s="1053"/>
      <c r="CF721" s="1053"/>
      <c r="CG721" s="1053"/>
      <c r="CH721" s="1053"/>
      <c r="CI721" s="1123"/>
      <c r="CJ721" s="1123"/>
      <c r="CK721" s="1123"/>
      <c r="CL721" s="1123"/>
      <c r="CM721" s="1123"/>
      <c r="CN721" s="1123"/>
      <c r="CO721" s="1123"/>
      <c r="CP721" s="1123"/>
      <c r="CQ721" s="1123"/>
      <c r="CR721" s="1123"/>
      <c r="CS721" s="1123"/>
      <c r="CT721" s="1123"/>
      <c r="CU721" s="1123"/>
      <c r="CV721" s="1123"/>
      <c r="CW721" s="1123"/>
      <c r="CX721" s="1123"/>
      <c r="CY721" s="1123"/>
      <c r="CZ721" s="1114"/>
      <c r="DA721" s="1114"/>
      <c r="DB721" s="1114"/>
      <c r="DC721" s="1114"/>
      <c r="DD721" s="1114"/>
      <c r="DE721" s="1114"/>
      <c r="DF721" s="1114"/>
      <c r="DG721" s="1114"/>
      <c r="DH721" s="1114"/>
      <c r="DI721" s="1114"/>
      <c r="DJ721" s="1114"/>
      <c r="DK721" s="1114"/>
      <c r="DL721" s="1114"/>
      <c r="DM721" s="1114"/>
      <c r="DN721" s="1114"/>
      <c r="DO721" s="1114"/>
      <c r="DP721" s="1114"/>
      <c r="DQ721" s="1114"/>
      <c r="DR721" s="1114"/>
      <c r="DS721" s="1114"/>
      <c r="DT721" s="1114"/>
      <c r="DU721" s="1114"/>
      <c r="DV721" s="1115"/>
      <c r="DW721" s="1116"/>
      <c r="DX721" s="1116"/>
      <c r="DY721" s="1116"/>
      <c r="DZ721" s="1116"/>
      <c r="EA721" s="1116"/>
      <c r="EB721" s="1116"/>
      <c r="EC721" s="1116"/>
      <c r="ED721" s="1116"/>
      <c r="EE721" s="1116"/>
      <c r="EF721" s="1116"/>
      <c r="EG721" s="1116"/>
      <c r="EH721" s="1116"/>
      <c r="EI721" s="1116"/>
      <c r="EJ721" s="1116"/>
      <c r="EK721" s="1116"/>
      <c r="EL721" s="1116"/>
      <c r="EM721" s="1116"/>
      <c r="EN721" s="1116"/>
      <c r="EO721" s="1116"/>
      <c r="EP721" s="1116"/>
      <c r="EQ721" s="1116"/>
      <c r="ER721" s="1116"/>
      <c r="ES721" s="1116"/>
    </row>
    <row r="722" spans="1:149" ht="15" customHeight="1">
      <c r="A722" s="1185">
        <v>707</v>
      </c>
      <c r="B722" s="1041"/>
      <c r="C722" s="1050"/>
      <c r="D722" s="1050"/>
      <c r="E722" s="1050"/>
      <c r="F722" s="1049"/>
      <c r="G722" s="1457"/>
      <c r="H722" s="1049"/>
      <c r="I722" s="1049"/>
      <c r="J722" s="1050"/>
      <c r="K722" s="1050"/>
      <c r="L722" s="1043"/>
      <c r="M722" s="1051"/>
      <c r="N722" s="1051"/>
      <c r="O722" s="1052"/>
      <c r="P722" s="1051"/>
      <c r="Q722" s="1051"/>
      <c r="R722" s="1052"/>
      <c r="S722" s="1051"/>
      <c r="T722" s="1051"/>
      <c r="U722" s="1052"/>
      <c r="V722" s="1051"/>
      <c r="W722" s="1051"/>
      <c r="X722" s="1052"/>
      <c r="Y722" s="1053"/>
      <c r="Z722" s="1051"/>
      <c r="AA722" s="1051"/>
      <c r="AB722" s="1052"/>
      <c r="AC722" s="1051"/>
      <c r="AD722" s="1051"/>
      <c r="AE722" s="1052"/>
      <c r="AF722" s="1051"/>
      <c r="AG722" s="1051"/>
      <c r="AH722" s="1051"/>
      <c r="AI722" s="1051"/>
      <c r="AJ722" s="1052"/>
      <c r="AK722" s="1051"/>
      <c r="AL722" s="1051"/>
      <c r="AM722" s="1052"/>
      <c r="AN722" s="1051"/>
      <c r="AO722" s="1051"/>
      <c r="AP722" s="1052"/>
      <c r="AQ722" s="1051"/>
      <c r="AR722" s="1051"/>
      <c r="AS722" s="1052"/>
      <c r="AT722" s="1051"/>
      <c r="AU722" s="1051"/>
      <c r="AV722" s="1052"/>
      <c r="AW722" s="1051"/>
      <c r="AX722" s="1051"/>
      <c r="AY722" s="1053"/>
      <c r="AZ722" s="1051"/>
      <c r="BA722" s="1051"/>
      <c r="BB722" s="1053"/>
      <c r="BC722" s="1051"/>
      <c r="BD722" s="1051"/>
      <c r="BE722" s="1053"/>
      <c r="BF722" s="1051"/>
      <c r="BG722" s="1051"/>
      <c r="BH722" s="1053"/>
      <c r="BI722" s="1052"/>
      <c r="BJ722" s="1052"/>
      <c r="BK722" s="1052"/>
      <c r="BL722" s="1052"/>
      <c r="BM722" s="1052"/>
      <c r="BN722" s="1054"/>
      <c r="BO722" s="1076">
        <f t="shared" si="22"/>
        <v>0</v>
      </c>
      <c r="BP722" s="1051"/>
      <c r="BQ722" s="1052"/>
      <c r="BR722" s="1054"/>
      <c r="BS722" s="1053"/>
      <c r="BT722" s="1051"/>
      <c r="BU722" s="1051"/>
      <c r="BV722" s="1051"/>
      <c r="BW722" s="1052"/>
      <c r="BX722" s="1052"/>
      <c r="BY722" s="1052"/>
      <c r="BZ722" s="1052"/>
      <c r="CA722" s="1052"/>
      <c r="CB722" s="1053"/>
      <c r="CC722" s="1053"/>
      <c r="CD722" s="1053"/>
      <c r="CE722" s="1053"/>
      <c r="CF722" s="1053"/>
      <c r="CG722" s="1053"/>
      <c r="CH722" s="1053"/>
      <c r="CI722" s="1123"/>
      <c r="CJ722" s="1123"/>
      <c r="CK722" s="1123"/>
      <c r="CL722" s="1123"/>
      <c r="CM722" s="1123"/>
      <c r="CN722" s="1123"/>
      <c r="CO722" s="1123"/>
      <c r="CP722" s="1123"/>
      <c r="CQ722" s="1123"/>
      <c r="CR722" s="1123"/>
      <c r="CS722" s="1123"/>
      <c r="CT722" s="1123"/>
      <c r="CU722" s="1123"/>
      <c r="CV722" s="1123"/>
      <c r="CW722" s="1123"/>
      <c r="CX722" s="1123"/>
      <c r="CY722" s="1123"/>
      <c r="CZ722" s="1114"/>
      <c r="DA722" s="1114"/>
      <c r="DB722" s="1114"/>
      <c r="DC722" s="1114"/>
      <c r="DD722" s="1114"/>
      <c r="DE722" s="1114"/>
      <c r="DF722" s="1114"/>
      <c r="DG722" s="1114"/>
      <c r="DH722" s="1114"/>
      <c r="DI722" s="1114"/>
      <c r="DJ722" s="1114"/>
      <c r="DK722" s="1114"/>
      <c r="DL722" s="1114"/>
      <c r="DM722" s="1114"/>
      <c r="DN722" s="1114"/>
      <c r="DO722" s="1114"/>
      <c r="DP722" s="1114"/>
      <c r="DQ722" s="1114"/>
      <c r="DR722" s="1114"/>
      <c r="DS722" s="1114"/>
      <c r="DT722" s="1114"/>
      <c r="DU722" s="1114"/>
      <c r="DV722" s="1115"/>
      <c r="DW722" s="1116"/>
      <c r="DX722" s="1116"/>
      <c r="DY722" s="1116"/>
      <c r="DZ722" s="1116"/>
      <c r="EA722" s="1116"/>
      <c r="EB722" s="1116"/>
      <c r="EC722" s="1116"/>
      <c r="ED722" s="1116"/>
      <c r="EE722" s="1116"/>
      <c r="EF722" s="1116"/>
      <c r="EG722" s="1116"/>
      <c r="EH722" s="1116"/>
      <c r="EI722" s="1116"/>
      <c r="EJ722" s="1116"/>
      <c r="EK722" s="1116"/>
      <c r="EL722" s="1116"/>
      <c r="EM722" s="1116"/>
      <c r="EN722" s="1116"/>
      <c r="EO722" s="1116"/>
      <c r="EP722" s="1116"/>
      <c r="EQ722" s="1116"/>
      <c r="ER722" s="1116"/>
      <c r="ES722" s="1116"/>
    </row>
    <row r="723" spans="1:149" ht="15" customHeight="1">
      <c r="A723" s="1185">
        <v>708</v>
      </c>
      <c r="B723" s="1041"/>
      <c r="C723" s="1050"/>
      <c r="D723" s="1050"/>
      <c r="E723" s="1050"/>
      <c r="F723" s="1049"/>
      <c r="G723" s="1457"/>
      <c r="H723" s="1049"/>
      <c r="I723" s="1049"/>
      <c r="J723" s="1050"/>
      <c r="K723" s="1050"/>
      <c r="L723" s="1043"/>
      <c r="M723" s="1051"/>
      <c r="N723" s="1051"/>
      <c r="O723" s="1052"/>
      <c r="P723" s="1051"/>
      <c r="Q723" s="1051"/>
      <c r="R723" s="1052"/>
      <c r="S723" s="1051"/>
      <c r="T723" s="1051"/>
      <c r="U723" s="1052"/>
      <c r="V723" s="1051"/>
      <c r="W723" s="1051"/>
      <c r="X723" s="1052"/>
      <c r="Y723" s="1053"/>
      <c r="Z723" s="1051"/>
      <c r="AA723" s="1051"/>
      <c r="AB723" s="1052"/>
      <c r="AC723" s="1051"/>
      <c r="AD723" s="1051"/>
      <c r="AE723" s="1052"/>
      <c r="AF723" s="1051"/>
      <c r="AG723" s="1051"/>
      <c r="AH723" s="1051"/>
      <c r="AI723" s="1051"/>
      <c r="AJ723" s="1052"/>
      <c r="AK723" s="1051"/>
      <c r="AL723" s="1051"/>
      <c r="AM723" s="1052"/>
      <c r="AN723" s="1051"/>
      <c r="AO723" s="1051"/>
      <c r="AP723" s="1052"/>
      <c r="AQ723" s="1051"/>
      <c r="AR723" s="1051"/>
      <c r="AS723" s="1052"/>
      <c r="AT723" s="1051"/>
      <c r="AU723" s="1051"/>
      <c r="AV723" s="1052"/>
      <c r="AW723" s="1051"/>
      <c r="AX723" s="1051"/>
      <c r="AY723" s="1053"/>
      <c r="AZ723" s="1051"/>
      <c r="BA723" s="1051"/>
      <c r="BB723" s="1053"/>
      <c r="BC723" s="1051"/>
      <c r="BD723" s="1051"/>
      <c r="BE723" s="1053"/>
      <c r="BF723" s="1051"/>
      <c r="BG723" s="1051"/>
      <c r="BH723" s="1053"/>
      <c r="BI723" s="1052"/>
      <c r="BJ723" s="1052"/>
      <c r="BK723" s="1052"/>
      <c r="BL723" s="1052"/>
      <c r="BM723" s="1052"/>
      <c r="BN723" s="1054"/>
      <c r="BO723" s="1076">
        <f t="shared" si="22"/>
        <v>0</v>
      </c>
      <c r="BP723" s="1051"/>
      <c r="BQ723" s="1052"/>
      <c r="BR723" s="1054"/>
      <c r="BS723" s="1053"/>
      <c r="BT723" s="1051"/>
      <c r="BU723" s="1051"/>
      <c r="BV723" s="1051"/>
      <c r="BW723" s="1052"/>
      <c r="BX723" s="1052"/>
      <c r="BY723" s="1052"/>
      <c r="BZ723" s="1052"/>
      <c r="CA723" s="1052"/>
      <c r="CB723" s="1053"/>
      <c r="CC723" s="1053"/>
      <c r="CD723" s="1053"/>
      <c r="CE723" s="1053"/>
      <c r="CF723" s="1053"/>
      <c r="CG723" s="1053"/>
      <c r="CH723" s="1053"/>
      <c r="CI723" s="1123"/>
      <c r="CJ723" s="1123"/>
      <c r="CK723" s="1123"/>
      <c r="CL723" s="1123"/>
      <c r="CM723" s="1123"/>
      <c r="CN723" s="1123"/>
      <c r="CO723" s="1123"/>
      <c r="CP723" s="1123"/>
      <c r="CQ723" s="1123"/>
      <c r="CR723" s="1123"/>
      <c r="CS723" s="1123"/>
      <c r="CT723" s="1123"/>
      <c r="CU723" s="1123"/>
      <c r="CV723" s="1123"/>
      <c r="CW723" s="1123"/>
      <c r="CX723" s="1123"/>
      <c r="CY723" s="1123"/>
      <c r="CZ723" s="1114"/>
      <c r="DA723" s="1114"/>
      <c r="DB723" s="1114"/>
      <c r="DC723" s="1114"/>
      <c r="DD723" s="1114"/>
      <c r="DE723" s="1114"/>
      <c r="DF723" s="1114"/>
      <c r="DG723" s="1114"/>
      <c r="DH723" s="1114"/>
      <c r="DI723" s="1114"/>
      <c r="DJ723" s="1114"/>
      <c r="DK723" s="1114"/>
      <c r="DL723" s="1114"/>
      <c r="DM723" s="1114"/>
      <c r="DN723" s="1114"/>
      <c r="DO723" s="1114"/>
      <c r="DP723" s="1114"/>
      <c r="DQ723" s="1114"/>
      <c r="DR723" s="1114"/>
      <c r="DS723" s="1114"/>
      <c r="DT723" s="1114"/>
      <c r="DU723" s="1114"/>
      <c r="DV723" s="1115"/>
      <c r="DW723" s="1116"/>
      <c r="DX723" s="1116"/>
      <c r="DY723" s="1116"/>
      <c r="DZ723" s="1116"/>
      <c r="EA723" s="1116"/>
      <c r="EB723" s="1116"/>
      <c r="EC723" s="1116"/>
      <c r="ED723" s="1116"/>
      <c r="EE723" s="1116"/>
      <c r="EF723" s="1116"/>
      <c r="EG723" s="1116"/>
      <c r="EH723" s="1116"/>
      <c r="EI723" s="1116"/>
      <c r="EJ723" s="1116"/>
      <c r="EK723" s="1116"/>
      <c r="EL723" s="1116"/>
      <c r="EM723" s="1116"/>
      <c r="EN723" s="1116"/>
      <c r="EO723" s="1116"/>
      <c r="EP723" s="1116"/>
      <c r="EQ723" s="1116"/>
      <c r="ER723" s="1116"/>
      <c r="ES723" s="1116"/>
    </row>
    <row r="724" spans="1:149" ht="15" customHeight="1">
      <c r="A724" s="1185">
        <v>709</v>
      </c>
      <c r="B724" s="1041"/>
      <c r="C724" s="1050"/>
      <c r="D724" s="1050"/>
      <c r="E724" s="1050"/>
      <c r="F724" s="1049"/>
      <c r="G724" s="1457"/>
      <c r="H724" s="1049"/>
      <c r="I724" s="1049"/>
      <c r="J724" s="1050"/>
      <c r="K724" s="1050"/>
      <c r="L724" s="1043"/>
      <c r="M724" s="1051"/>
      <c r="N724" s="1051"/>
      <c r="O724" s="1052"/>
      <c r="P724" s="1051"/>
      <c r="Q724" s="1051"/>
      <c r="R724" s="1052"/>
      <c r="S724" s="1051"/>
      <c r="T724" s="1051"/>
      <c r="U724" s="1052"/>
      <c r="V724" s="1051"/>
      <c r="W724" s="1051"/>
      <c r="X724" s="1052"/>
      <c r="Y724" s="1053"/>
      <c r="Z724" s="1051"/>
      <c r="AA724" s="1051"/>
      <c r="AB724" s="1052"/>
      <c r="AC724" s="1051"/>
      <c r="AD724" s="1051"/>
      <c r="AE724" s="1052"/>
      <c r="AF724" s="1051"/>
      <c r="AG724" s="1051"/>
      <c r="AH724" s="1051"/>
      <c r="AI724" s="1051"/>
      <c r="AJ724" s="1052"/>
      <c r="AK724" s="1051"/>
      <c r="AL724" s="1051"/>
      <c r="AM724" s="1052"/>
      <c r="AN724" s="1051"/>
      <c r="AO724" s="1051"/>
      <c r="AP724" s="1052"/>
      <c r="AQ724" s="1051"/>
      <c r="AR724" s="1051"/>
      <c r="AS724" s="1052"/>
      <c r="AT724" s="1051"/>
      <c r="AU724" s="1051"/>
      <c r="AV724" s="1052"/>
      <c r="AW724" s="1051"/>
      <c r="AX724" s="1051"/>
      <c r="AY724" s="1053"/>
      <c r="AZ724" s="1051"/>
      <c r="BA724" s="1051"/>
      <c r="BB724" s="1053"/>
      <c r="BC724" s="1051"/>
      <c r="BD724" s="1051"/>
      <c r="BE724" s="1053"/>
      <c r="BF724" s="1051"/>
      <c r="BG724" s="1051"/>
      <c r="BH724" s="1053"/>
      <c r="BI724" s="1052"/>
      <c r="BJ724" s="1052"/>
      <c r="BK724" s="1052"/>
      <c r="BL724" s="1052"/>
      <c r="BM724" s="1052"/>
      <c r="BN724" s="1054"/>
      <c r="BO724" s="1076">
        <f t="shared" si="22"/>
        <v>0</v>
      </c>
      <c r="BP724" s="1051"/>
      <c r="BQ724" s="1052"/>
      <c r="BR724" s="1054"/>
      <c r="BS724" s="1053"/>
      <c r="BT724" s="1051"/>
      <c r="BU724" s="1051"/>
      <c r="BV724" s="1051"/>
      <c r="BW724" s="1052"/>
      <c r="BX724" s="1052"/>
      <c r="BY724" s="1052"/>
      <c r="BZ724" s="1052"/>
      <c r="CA724" s="1052"/>
      <c r="CB724" s="1053"/>
      <c r="CC724" s="1053"/>
      <c r="CD724" s="1053"/>
      <c r="CE724" s="1053"/>
      <c r="CF724" s="1053"/>
      <c r="CG724" s="1053"/>
      <c r="CH724" s="1053"/>
      <c r="CI724" s="1123"/>
      <c r="CJ724" s="1123"/>
      <c r="CK724" s="1123"/>
      <c r="CL724" s="1123"/>
      <c r="CM724" s="1123"/>
      <c r="CN724" s="1123"/>
      <c r="CO724" s="1123"/>
      <c r="CP724" s="1123"/>
      <c r="CQ724" s="1123"/>
      <c r="CR724" s="1123"/>
      <c r="CS724" s="1123"/>
      <c r="CT724" s="1123"/>
      <c r="CU724" s="1123"/>
      <c r="CV724" s="1123"/>
      <c r="CW724" s="1123"/>
      <c r="CX724" s="1123"/>
      <c r="CY724" s="1123"/>
      <c r="CZ724" s="1114"/>
      <c r="DA724" s="1114"/>
      <c r="DB724" s="1114"/>
      <c r="DC724" s="1114"/>
      <c r="DD724" s="1114"/>
      <c r="DE724" s="1114"/>
      <c r="DF724" s="1114"/>
      <c r="DG724" s="1114"/>
      <c r="DH724" s="1114"/>
      <c r="DI724" s="1114"/>
      <c r="DJ724" s="1114"/>
      <c r="DK724" s="1114"/>
      <c r="DL724" s="1114"/>
      <c r="DM724" s="1114"/>
      <c r="DN724" s="1114"/>
      <c r="DO724" s="1114"/>
      <c r="DP724" s="1114"/>
      <c r="DQ724" s="1114"/>
      <c r="DR724" s="1114"/>
      <c r="DS724" s="1114"/>
      <c r="DT724" s="1114"/>
      <c r="DU724" s="1114"/>
      <c r="DV724" s="1115"/>
      <c r="DW724" s="1116"/>
      <c r="DX724" s="1116"/>
      <c r="DY724" s="1116"/>
      <c r="DZ724" s="1116"/>
      <c r="EA724" s="1116"/>
      <c r="EB724" s="1116"/>
      <c r="EC724" s="1116"/>
      <c r="ED724" s="1116"/>
      <c r="EE724" s="1116"/>
      <c r="EF724" s="1116"/>
      <c r="EG724" s="1116"/>
      <c r="EH724" s="1116"/>
      <c r="EI724" s="1116"/>
      <c r="EJ724" s="1116"/>
      <c r="EK724" s="1116"/>
      <c r="EL724" s="1116"/>
      <c r="EM724" s="1116"/>
      <c r="EN724" s="1116"/>
      <c r="EO724" s="1116"/>
      <c r="EP724" s="1116"/>
      <c r="EQ724" s="1116"/>
      <c r="ER724" s="1116"/>
      <c r="ES724" s="1116"/>
    </row>
    <row r="725" spans="1:149" ht="15" customHeight="1">
      <c r="A725" s="1185">
        <v>710</v>
      </c>
      <c r="B725" s="1041"/>
      <c r="C725" s="1050"/>
      <c r="D725" s="1050"/>
      <c r="E725" s="1050"/>
      <c r="F725" s="1049"/>
      <c r="G725" s="1457"/>
      <c r="H725" s="1049"/>
      <c r="I725" s="1049"/>
      <c r="J725" s="1050"/>
      <c r="K725" s="1050"/>
      <c r="L725" s="1043"/>
      <c r="M725" s="1051"/>
      <c r="N725" s="1051"/>
      <c r="O725" s="1052"/>
      <c r="P725" s="1051"/>
      <c r="Q725" s="1051"/>
      <c r="R725" s="1052"/>
      <c r="S725" s="1051"/>
      <c r="T725" s="1051"/>
      <c r="U725" s="1052"/>
      <c r="V725" s="1051"/>
      <c r="W725" s="1051"/>
      <c r="X725" s="1052"/>
      <c r="Y725" s="1053"/>
      <c r="Z725" s="1051"/>
      <c r="AA725" s="1051"/>
      <c r="AB725" s="1052"/>
      <c r="AC725" s="1051"/>
      <c r="AD725" s="1051"/>
      <c r="AE725" s="1052"/>
      <c r="AF725" s="1051"/>
      <c r="AG725" s="1051"/>
      <c r="AH725" s="1051"/>
      <c r="AI725" s="1051"/>
      <c r="AJ725" s="1052"/>
      <c r="AK725" s="1051"/>
      <c r="AL725" s="1051"/>
      <c r="AM725" s="1052"/>
      <c r="AN725" s="1051"/>
      <c r="AO725" s="1051"/>
      <c r="AP725" s="1052"/>
      <c r="AQ725" s="1051"/>
      <c r="AR725" s="1051"/>
      <c r="AS725" s="1052"/>
      <c r="AT725" s="1051"/>
      <c r="AU725" s="1051"/>
      <c r="AV725" s="1052"/>
      <c r="AW725" s="1051"/>
      <c r="AX725" s="1051"/>
      <c r="AY725" s="1053"/>
      <c r="AZ725" s="1051"/>
      <c r="BA725" s="1051"/>
      <c r="BB725" s="1053"/>
      <c r="BC725" s="1051"/>
      <c r="BD725" s="1051"/>
      <c r="BE725" s="1053"/>
      <c r="BF725" s="1051"/>
      <c r="BG725" s="1051"/>
      <c r="BH725" s="1053"/>
      <c r="BI725" s="1052"/>
      <c r="BJ725" s="1052"/>
      <c r="BK725" s="1052"/>
      <c r="BL725" s="1052"/>
      <c r="BM725" s="1052"/>
      <c r="BN725" s="1054"/>
      <c r="BO725" s="1076">
        <f t="shared" si="22"/>
        <v>0</v>
      </c>
      <c r="BP725" s="1051"/>
      <c r="BQ725" s="1052"/>
      <c r="BR725" s="1054"/>
      <c r="BS725" s="1053"/>
      <c r="BT725" s="1051"/>
      <c r="BU725" s="1051"/>
      <c r="BV725" s="1051"/>
      <c r="BW725" s="1052"/>
      <c r="BX725" s="1052"/>
      <c r="BY725" s="1052"/>
      <c r="BZ725" s="1052"/>
      <c r="CA725" s="1052"/>
      <c r="CB725" s="1053"/>
      <c r="CC725" s="1053"/>
      <c r="CD725" s="1053"/>
      <c r="CE725" s="1053"/>
      <c r="CF725" s="1053"/>
      <c r="CG725" s="1053"/>
      <c r="CH725" s="1053"/>
      <c r="CI725" s="1123"/>
      <c r="CJ725" s="1123"/>
      <c r="CK725" s="1123"/>
      <c r="CL725" s="1123"/>
      <c r="CM725" s="1123"/>
      <c r="CN725" s="1123"/>
      <c r="CO725" s="1123"/>
      <c r="CP725" s="1123"/>
      <c r="CQ725" s="1123"/>
      <c r="CR725" s="1123"/>
      <c r="CS725" s="1123"/>
      <c r="CT725" s="1123"/>
      <c r="CU725" s="1123"/>
      <c r="CV725" s="1123"/>
      <c r="CW725" s="1123"/>
      <c r="CX725" s="1123"/>
      <c r="CY725" s="1123"/>
      <c r="CZ725" s="1114"/>
      <c r="DA725" s="1114"/>
      <c r="DB725" s="1114"/>
      <c r="DC725" s="1114"/>
      <c r="DD725" s="1114"/>
      <c r="DE725" s="1114"/>
      <c r="DF725" s="1114"/>
      <c r="DG725" s="1114"/>
      <c r="DH725" s="1114"/>
      <c r="DI725" s="1114"/>
      <c r="DJ725" s="1114"/>
      <c r="DK725" s="1114"/>
      <c r="DL725" s="1114"/>
      <c r="DM725" s="1114"/>
      <c r="DN725" s="1114"/>
      <c r="DO725" s="1114"/>
      <c r="DP725" s="1114"/>
      <c r="DQ725" s="1114"/>
      <c r="DR725" s="1114"/>
      <c r="DS725" s="1114"/>
      <c r="DT725" s="1114"/>
      <c r="DU725" s="1114"/>
      <c r="DV725" s="1115"/>
      <c r="DW725" s="1116"/>
      <c r="DX725" s="1116"/>
      <c r="DY725" s="1116"/>
      <c r="DZ725" s="1116"/>
      <c r="EA725" s="1116"/>
      <c r="EB725" s="1116"/>
      <c r="EC725" s="1116"/>
      <c r="ED725" s="1116"/>
      <c r="EE725" s="1116"/>
      <c r="EF725" s="1116"/>
      <c r="EG725" s="1116"/>
      <c r="EH725" s="1116"/>
      <c r="EI725" s="1116"/>
      <c r="EJ725" s="1116"/>
      <c r="EK725" s="1116"/>
      <c r="EL725" s="1116"/>
      <c r="EM725" s="1116"/>
      <c r="EN725" s="1116"/>
      <c r="EO725" s="1116"/>
      <c r="EP725" s="1116"/>
      <c r="EQ725" s="1116"/>
      <c r="ER725" s="1116"/>
      <c r="ES725" s="1116"/>
    </row>
    <row r="726" spans="1:149" ht="15" customHeight="1">
      <c r="A726" s="1185">
        <v>711</v>
      </c>
      <c r="B726" s="1041"/>
      <c r="C726" s="1050"/>
      <c r="D726" s="1050"/>
      <c r="E726" s="1050"/>
      <c r="F726" s="1049"/>
      <c r="G726" s="1457"/>
      <c r="H726" s="1049"/>
      <c r="I726" s="1049"/>
      <c r="J726" s="1050"/>
      <c r="K726" s="1050"/>
      <c r="L726" s="1043"/>
      <c r="M726" s="1051"/>
      <c r="N726" s="1051"/>
      <c r="O726" s="1052"/>
      <c r="P726" s="1051"/>
      <c r="Q726" s="1051"/>
      <c r="R726" s="1052"/>
      <c r="S726" s="1051"/>
      <c r="T726" s="1051"/>
      <c r="U726" s="1052"/>
      <c r="V726" s="1051"/>
      <c r="W726" s="1051"/>
      <c r="X726" s="1052"/>
      <c r="Y726" s="1053"/>
      <c r="Z726" s="1051"/>
      <c r="AA726" s="1051"/>
      <c r="AB726" s="1052"/>
      <c r="AC726" s="1051"/>
      <c r="AD726" s="1051"/>
      <c r="AE726" s="1052"/>
      <c r="AF726" s="1051"/>
      <c r="AG726" s="1051"/>
      <c r="AH726" s="1051"/>
      <c r="AI726" s="1051"/>
      <c r="AJ726" s="1052"/>
      <c r="AK726" s="1051"/>
      <c r="AL726" s="1051"/>
      <c r="AM726" s="1052"/>
      <c r="AN726" s="1051"/>
      <c r="AO726" s="1051"/>
      <c r="AP726" s="1052"/>
      <c r="AQ726" s="1051"/>
      <c r="AR726" s="1051"/>
      <c r="AS726" s="1052"/>
      <c r="AT726" s="1051"/>
      <c r="AU726" s="1051"/>
      <c r="AV726" s="1052"/>
      <c r="AW726" s="1051"/>
      <c r="AX726" s="1051"/>
      <c r="AY726" s="1053"/>
      <c r="AZ726" s="1051"/>
      <c r="BA726" s="1051"/>
      <c r="BB726" s="1053"/>
      <c r="BC726" s="1051"/>
      <c r="BD726" s="1051"/>
      <c r="BE726" s="1053"/>
      <c r="BF726" s="1051"/>
      <c r="BG726" s="1051"/>
      <c r="BH726" s="1053"/>
      <c r="BI726" s="1052"/>
      <c r="BJ726" s="1052"/>
      <c r="BK726" s="1052"/>
      <c r="BL726" s="1052"/>
      <c r="BM726" s="1052"/>
      <c r="BN726" s="1054"/>
      <c r="BO726" s="1076">
        <f t="shared" si="22"/>
        <v>0</v>
      </c>
      <c r="BP726" s="1051"/>
      <c r="BQ726" s="1052"/>
      <c r="BR726" s="1054"/>
      <c r="BS726" s="1053"/>
      <c r="BT726" s="1051"/>
      <c r="BU726" s="1051"/>
      <c r="BV726" s="1051"/>
      <c r="BW726" s="1052"/>
      <c r="BX726" s="1052"/>
      <c r="BY726" s="1052"/>
      <c r="BZ726" s="1052"/>
      <c r="CA726" s="1052"/>
      <c r="CB726" s="1053"/>
      <c r="CC726" s="1053"/>
      <c r="CD726" s="1053"/>
      <c r="CE726" s="1053"/>
      <c r="CF726" s="1053"/>
      <c r="CG726" s="1053"/>
      <c r="CH726" s="1053"/>
      <c r="CI726" s="1123"/>
      <c r="CJ726" s="1123"/>
      <c r="CK726" s="1123"/>
      <c r="CL726" s="1123"/>
      <c r="CM726" s="1123"/>
      <c r="CN726" s="1123"/>
      <c r="CO726" s="1123"/>
      <c r="CP726" s="1123"/>
      <c r="CQ726" s="1123"/>
      <c r="CR726" s="1123"/>
      <c r="CS726" s="1123"/>
      <c r="CT726" s="1123"/>
      <c r="CU726" s="1123"/>
      <c r="CV726" s="1123"/>
      <c r="CW726" s="1123"/>
      <c r="CX726" s="1123"/>
      <c r="CY726" s="1123"/>
      <c r="CZ726" s="1114"/>
      <c r="DA726" s="1114"/>
      <c r="DB726" s="1114"/>
      <c r="DC726" s="1114"/>
      <c r="DD726" s="1114"/>
      <c r="DE726" s="1114"/>
      <c r="DF726" s="1114"/>
      <c r="DG726" s="1114"/>
      <c r="DH726" s="1114"/>
      <c r="DI726" s="1114"/>
      <c r="DJ726" s="1114"/>
      <c r="DK726" s="1114"/>
      <c r="DL726" s="1114"/>
      <c r="DM726" s="1114"/>
      <c r="DN726" s="1114"/>
      <c r="DO726" s="1114"/>
      <c r="DP726" s="1114"/>
      <c r="DQ726" s="1114"/>
      <c r="DR726" s="1114"/>
      <c r="DS726" s="1114"/>
      <c r="DT726" s="1114"/>
      <c r="DU726" s="1114"/>
      <c r="DV726" s="1115"/>
      <c r="DW726" s="1116"/>
      <c r="DX726" s="1116"/>
      <c r="DY726" s="1116"/>
      <c r="DZ726" s="1116"/>
      <c r="EA726" s="1116"/>
      <c r="EB726" s="1116"/>
      <c r="EC726" s="1116"/>
      <c r="ED726" s="1116"/>
      <c r="EE726" s="1116"/>
      <c r="EF726" s="1116"/>
      <c r="EG726" s="1116"/>
      <c r="EH726" s="1116"/>
      <c r="EI726" s="1116"/>
      <c r="EJ726" s="1116"/>
      <c r="EK726" s="1116"/>
      <c r="EL726" s="1116"/>
      <c r="EM726" s="1116"/>
      <c r="EN726" s="1116"/>
      <c r="EO726" s="1116"/>
      <c r="EP726" s="1116"/>
      <c r="EQ726" s="1116"/>
      <c r="ER726" s="1116"/>
      <c r="ES726" s="1116"/>
    </row>
    <row r="727" spans="1:149" ht="15" customHeight="1">
      <c r="A727" s="1185">
        <v>712</v>
      </c>
      <c r="B727" s="1041"/>
      <c r="C727" s="1050"/>
      <c r="D727" s="1050"/>
      <c r="E727" s="1050"/>
      <c r="F727" s="1049"/>
      <c r="G727" s="1457"/>
      <c r="H727" s="1049"/>
      <c r="I727" s="1049"/>
      <c r="J727" s="1050"/>
      <c r="K727" s="1050"/>
      <c r="L727" s="1043"/>
      <c r="M727" s="1051"/>
      <c r="N727" s="1051"/>
      <c r="O727" s="1052"/>
      <c r="P727" s="1051"/>
      <c r="Q727" s="1051"/>
      <c r="R727" s="1052"/>
      <c r="S727" s="1051"/>
      <c r="T727" s="1051"/>
      <c r="U727" s="1052"/>
      <c r="V727" s="1051"/>
      <c r="W727" s="1051"/>
      <c r="X727" s="1052"/>
      <c r="Y727" s="1053"/>
      <c r="Z727" s="1051"/>
      <c r="AA727" s="1051"/>
      <c r="AB727" s="1052"/>
      <c r="AC727" s="1051"/>
      <c r="AD727" s="1051"/>
      <c r="AE727" s="1052"/>
      <c r="AF727" s="1051"/>
      <c r="AG727" s="1051"/>
      <c r="AH727" s="1051"/>
      <c r="AI727" s="1051"/>
      <c r="AJ727" s="1052"/>
      <c r="AK727" s="1051"/>
      <c r="AL727" s="1051"/>
      <c r="AM727" s="1052"/>
      <c r="AN727" s="1051"/>
      <c r="AO727" s="1051"/>
      <c r="AP727" s="1052"/>
      <c r="AQ727" s="1051"/>
      <c r="AR727" s="1051"/>
      <c r="AS727" s="1052"/>
      <c r="AT727" s="1051"/>
      <c r="AU727" s="1051"/>
      <c r="AV727" s="1052"/>
      <c r="AW727" s="1051"/>
      <c r="AX727" s="1051"/>
      <c r="AY727" s="1053"/>
      <c r="AZ727" s="1051"/>
      <c r="BA727" s="1051"/>
      <c r="BB727" s="1053"/>
      <c r="BC727" s="1051"/>
      <c r="BD727" s="1051"/>
      <c r="BE727" s="1053"/>
      <c r="BF727" s="1051"/>
      <c r="BG727" s="1051"/>
      <c r="BH727" s="1053"/>
      <c r="BI727" s="1052"/>
      <c r="BJ727" s="1052"/>
      <c r="BK727" s="1052"/>
      <c r="BL727" s="1052"/>
      <c r="BM727" s="1052"/>
      <c r="BN727" s="1054"/>
      <c r="BO727" s="1076">
        <f t="shared" si="22"/>
        <v>0</v>
      </c>
      <c r="BP727" s="1051"/>
      <c r="BQ727" s="1052"/>
      <c r="BR727" s="1054"/>
      <c r="BS727" s="1053"/>
      <c r="BT727" s="1051"/>
      <c r="BU727" s="1051"/>
      <c r="BV727" s="1051"/>
      <c r="BW727" s="1052"/>
      <c r="BX727" s="1052"/>
      <c r="BY727" s="1052"/>
      <c r="BZ727" s="1052"/>
      <c r="CA727" s="1052"/>
      <c r="CB727" s="1053"/>
      <c r="CC727" s="1053"/>
      <c r="CD727" s="1053"/>
      <c r="CE727" s="1053"/>
      <c r="CF727" s="1053"/>
      <c r="CG727" s="1053"/>
      <c r="CH727" s="1053"/>
      <c r="CI727" s="1123"/>
      <c r="CJ727" s="1123"/>
      <c r="CK727" s="1123"/>
      <c r="CL727" s="1123"/>
      <c r="CM727" s="1123"/>
      <c r="CN727" s="1123"/>
      <c r="CO727" s="1123"/>
      <c r="CP727" s="1123"/>
      <c r="CQ727" s="1123"/>
      <c r="CR727" s="1123"/>
      <c r="CS727" s="1123"/>
      <c r="CT727" s="1123"/>
      <c r="CU727" s="1123"/>
      <c r="CV727" s="1123"/>
      <c r="CW727" s="1123"/>
      <c r="CX727" s="1123"/>
      <c r="CY727" s="1123"/>
      <c r="CZ727" s="1114"/>
      <c r="DA727" s="1114"/>
      <c r="DB727" s="1114"/>
      <c r="DC727" s="1114"/>
      <c r="DD727" s="1114"/>
      <c r="DE727" s="1114"/>
      <c r="DF727" s="1114"/>
      <c r="DG727" s="1114"/>
      <c r="DH727" s="1114"/>
      <c r="DI727" s="1114"/>
      <c r="DJ727" s="1114"/>
      <c r="DK727" s="1114"/>
      <c r="DL727" s="1114"/>
      <c r="DM727" s="1114"/>
      <c r="DN727" s="1114"/>
      <c r="DO727" s="1114"/>
      <c r="DP727" s="1114"/>
      <c r="DQ727" s="1114"/>
      <c r="DR727" s="1114"/>
      <c r="DS727" s="1114"/>
      <c r="DT727" s="1114"/>
      <c r="DU727" s="1114"/>
      <c r="DV727" s="1115"/>
      <c r="DW727" s="1116"/>
      <c r="DX727" s="1116"/>
      <c r="DY727" s="1116"/>
      <c r="DZ727" s="1116"/>
      <c r="EA727" s="1116"/>
      <c r="EB727" s="1116"/>
      <c r="EC727" s="1116"/>
      <c r="ED727" s="1116"/>
      <c r="EE727" s="1116"/>
      <c r="EF727" s="1116"/>
      <c r="EG727" s="1116"/>
      <c r="EH727" s="1116"/>
      <c r="EI727" s="1116"/>
      <c r="EJ727" s="1116"/>
      <c r="EK727" s="1116"/>
      <c r="EL727" s="1116"/>
      <c r="EM727" s="1116"/>
      <c r="EN727" s="1116"/>
      <c r="EO727" s="1116"/>
      <c r="EP727" s="1116"/>
      <c r="EQ727" s="1116"/>
      <c r="ER727" s="1116"/>
      <c r="ES727" s="1116"/>
    </row>
    <row r="728" spans="1:149" ht="15" customHeight="1">
      <c r="A728" s="1185">
        <v>713</v>
      </c>
      <c r="B728" s="1041"/>
      <c r="C728" s="1050"/>
      <c r="D728" s="1050"/>
      <c r="E728" s="1050"/>
      <c r="F728" s="1049"/>
      <c r="G728" s="1457"/>
      <c r="H728" s="1049"/>
      <c r="I728" s="1049"/>
      <c r="J728" s="1050"/>
      <c r="K728" s="1050"/>
      <c r="L728" s="1043"/>
      <c r="M728" s="1051"/>
      <c r="N728" s="1051"/>
      <c r="O728" s="1052"/>
      <c r="P728" s="1051"/>
      <c r="Q728" s="1051"/>
      <c r="R728" s="1052"/>
      <c r="S728" s="1051"/>
      <c r="T728" s="1051"/>
      <c r="U728" s="1052"/>
      <c r="V728" s="1051"/>
      <c r="W728" s="1051"/>
      <c r="X728" s="1052"/>
      <c r="Y728" s="1053"/>
      <c r="Z728" s="1051"/>
      <c r="AA728" s="1051"/>
      <c r="AB728" s="1052"/>
      <c r="AC728" s="1051"/>
      <c r="AD728" s="1051"/>
      <c r="AE728" s="1052"/>
      <c r="AF728" s="1051"/>
      <c r="AG728" s="1051"/>
      <c r="AH728" s="1051"/>
      <c r="AI728" s="1051"/>
      <c r="AJ728" s="1052"/>
      <c r="AK728" s="1051"/>
      <c r="AL728" s="1051"/>
      <c r="AM728" s="1052"/>
      <c r="AN728" s="1051"/>
      <c r="AO728" s="1051"/>
      <c r="AP728" s="1052"/>
      <c r="AQ728" s="1051"/>
      <c r="AR728" s="1051"/>
      <c r="AS728" s="1052"/>
      <c r="AT728" s="1051"/>
      <c r="AU728" s="1051"/>
      <c r="AV728" s="1052"/>
      <c r="AW728" s="1051"/>
      <c r="AX728" s="1051"/>
      <c r="AY728" s="1053"/>
      <c r="AZ728" s="1051"/>
      <c r="BA728" s="1051"/>
      <c r="BB728" s="1053"/>
      <c r="BC728" s="1051"/>
      <c r="BD728" s="1051"/>
      <c r="BE728" s="1053"/>
      <c r="BF728" s="1051"/>
      <c r="BG728" s="1051"/>
      <c r="BH728" s="1053"/>
      <c r="BI728" s="1052"/>
      <c r="BJ728" s="1052"/>
      <c r="BK728" s="1052"/>
      <c r="BL728" s="1052"/>
      <c r="BM728" s="1052"/>
      <c r="BN728" s="1054"/>
      <c r="BO728" s="1076">
        <f t="shared" si="22"/>
        <v>0</v>
      </c>
      <c r="BP728" s="1051"/>
      <c r="BQ728" s="1052"/>
      <c r="BR728" s="1054"/>
      <c r="BS728" s="1053"/>
      <c r="BT728" s="1051"/>
      <c r="BU728" s="1051"/>
      <c r="BV728" s="1051"/>
      <c r="BW728" s="1052"/>
      <c r="BX728" s="1052"/>
      <c r="BY728" s="1052"/>
      <c r="BZ728" s="1052"/>
      <c r="CA728" s="1052"/>
      <c r="CB728" s="1053"/>
      <c r="CC728" s="1053"/>
      <c r="CD728" s="1053"/>
      <c r="CE728" s="1053"/>
      <c r="CF728" s="1053"/>
      <c r="CG728" s="1053"/>
      <c r="CH728" s="1053"/>
      <c r="CI728" s="1123"/>
      <c r="CJ728" s="1123"/>
      <c r="CK728" s="1123"/>
      <c r="CL728" s="1123"/>
      <c r="CM728" s="1123"/>
      <c r="CN728" s="1123"/>
      <c r="CO728" s="1123"/>
      <c r="CP728" s="1123"/>
      <c r="CQ728" s="1123"/>
      <c r="CR728" s="1123"/>
      <c r="CS728" s="1123"/>
      <c r="CT728" s="1123"/>
      <c r="CU728" s="1123"/>
      <c r="CV728" s="1123"/>
      <c r="CW728" s="1123"/>
      <c r="CX728" s="1123"/>
      <c r="CY728" s="1123"/>
      <c r="CZ728" s="1114"/>
      <c r="DA728" s="1114"/>
      <c r="DB728" s="1114"/>
      <c r="DC728" s="1114"/>
      <c r="DD728" s="1114"/>
      <c r="DE728" s="1114"/>
      <c r="DF728" s="1114"/>
      <c r="DG728" s="1114"/>
      <c r="DH728" s="1114"/>
      <c r="DI728" s="1114"/>
      <c r="DJ728" s="1114"/>
      <c r="DK728" s="1114"/>
      <c r="DL728" s="1114"/>
      <c r="DM728" s="1114"/>
      <c r="DN728" s="1114"/>
      <c r="DO728" s="1114"/>
      <c r="DP728" s="1114"/>
      <c r="DQ728" s="1114"/>
      <c r="DR728" s="1114"/>
      <c r="DS728" s="1114"/>
      <c r="DT728" s="1114"/>
      <c r="DU728" s="1114"/>
      <c r="DV728" s="1115"/>
      <c r="DW728" s="1116"/>
      <c r="DX728" s="1116"/>
      <c r="DY728" s="1116"/>
      <c r="DZ728" s="1116"/>
      <c r="EA728" s="1116"/>
      <c r="EB728" s="1116"/>
      <c r="EC728" s="1116"/>
      <c r="ED728" s="1116"/>
      <c r="EE728" s="1116"/>
      <c r="EF728" s="1116"/>
      <c r="EG728" s="1116"/>
      <c r="EH728" s="1116"/>
      <c r="EI728" s="1116"/>
      <c r="EJ728" s="1116"/>
      <c r="EK728" s="1116"/>
      <c r="EL728" s="1116"/>
      <c r="EM728" s="1116"/>
      <c r="EN728" s="1116"/>
      <c r="EO728" s="1116"/>
      <c r="EP728" s="1116"/>
      <c r="EQ728" s="1116"/>
      <c r="ER728" s="1116"/>
      <c r="ES728" s="1116"/>
    </row>
    <row r="729" spans="1:149" ht="15" customHeight="1">
      <c r="A729" s="1185">
        <v>714</v>
      </c>
      <c r="B729" s="1041"/>
      <c r="C729" s="1050"/>
      <c r="D729" s="1050"/>
      <c r="E729" s="1050"/>
      <c r="F729" s="1049"/>
      <c r="G729" s="1457"/>
      <c r="H729" s="1049"/>
      <c r="I729" s="1049"/>
      <c r="J729" s="1050"/>
      <c r="K729" s="1050"/>
      <c r="L729" s="1043"/>
      <c r="M729" s="1051"/>
      <c r="N729" s="1051"/>
      <c r="O729" s="1052"/>
      <c r="P729" s="1051"/>
      <c r="Q729" s="1051"/>
      <c r="R729" s="1052"/>
      <c r="S729" s="1051"/>
      <c r="T729" s="1051"/>
      <c r="U729" s="1052"/>
      <c r="V729" s="1051"/>
      <c r="W729" s="1051"/>
      <c r="X729" s="1052"/>
      <c r="Y729" s="1053"/>
      <c r="Z729" s="1051"/>
      <c r="AA729" s="1051"/>
      <c r="AB729" s="1052"/>
      <c r="AC729" s="1051"/>
      <c r="AD729" s="1051"/>
      <c r="AE729" s="1052"/>
      <c r="AF729" s="1051"/>
      <c r="AG729" s="1051"/>
      <c r="AH729" s="1051"/>
      <c r="AI729" s="1051"/>
      <c r="AJ729" s="1052"/>
      <c r="AK729" s="1051"/>
      <c r="AL729" s="1051"/>
      <c r="AM729" s="1052"/>
      <c r="AN729" s="1051"/>
      <c r="AO729" s="1051"/>
      <c r="AP729" s="1052"/>
      <c r="AQ729" s="1051"/>
      <c r="AR729" s="1051"/>
      <c r="AS729" s="1052"/>
      <c r="AT729" s="1051"/>
      <c r="AU729" s="1051"/>
      <c r="AV729" s="1052"/>
      <c r="AW729" s="1051"/>
      <c r="AX729" s="1051"/>
      <c r="AY729" s="1053"/>
      <c r="AZ729" s="1051"/>
      <c r="BA729" s="1051"/>
      <c r="BB729" s="1053"/>
      <c r="BC729" s="1051"/>
      <c r="BD729" s="1051"/>
      <c r="BE729" s="1053"/>
      <c r="BF729" s="1051"/>
      <c r="BG729" s="1051"/>
      <c r="BH729" s="1053"/>
      <c r="BI729" s="1052"/>
      <c r="BJ729" s="1052"/>
      <c r="BK729" s="1052"/>
      <c r="BL729" s="1052"/>
      <c r="BM729" s="1052"/>
      <c r="BN729" s="1054"/>
      <c r="BO729" s="1076">
        <f t="shared" si="22"/>
        <v>0</v>
      </c>
      <c r="BP729" s="1051"/>
      <c r="BQ729" s="1052"/>
      <c r="BR729" s="1054"/>
      <c r="BS729" s="1053"/>
      <c r="BT729" s="1051"/>
      <c r="BU729" s="1051"/>
      <c r="BV729" s="1051"/>
      <c r="BW729" s="1052"/>
      <c r="BX729" s="1052"/>
      <c r="BY729" s="1052"/>
      <c r="BZ729" s="1052"/>
      <c r="CA729" s="1052"/>
      <c r="CB729" s="1053"/>
      <c r="CC729" s="1053"/>
      <c r="CD729" s="1053"/>
      <c r="CE729" s="1053"/>
      <c r="CF729" s="1053"/>
      <c r="CG729" s="1053"/>
      <c r="CH729" s="1053"/>
      <c r="CI729" s="1123"/>
      <c r="CJ729" s="1123"/>
      <c r="CK729" s="1123"/>
      <c r="CL729" s="1123"/>
      <c r="CM729" s="1123"/>
      <c r="CN729" s="1123"/>
      <c r="CO729" s="1123"/>
      <c r="CP729" s="1123"/>
      <c r="CQ729" s="1123"/>
      <c r="CR729" s="1123"/>
      <c r="CS729" s="1123"/>
      <c r="CT729" s="1123"/>
      <c r="CU729" s="1123"/>
      <c r="CV729" s="1123"/>
      <c r="CW729" s="1123"/>
      <c r="CX729" s="1123"/>
      <c r="CY729" s="1123"/>
      <c r="CZ729" s="1114"/>
      <c r="DA729" s="1114"/>
      <c r="DB729" s="1114"/>
      <c r="DC729" s="1114"/>
      <c r="DD729" s="1114"/>
      <c r="DE729" s="1114"/>
      <c r="DF729" s="1114"/>
      <c r="DG729" s="1114"/>
      <c r="DH729" s="1114"/>
      <c r="DI729" s="1114"/>
      <c r="DJ729" s="1114"/>
      <c r="DK729" s="1114"/>
      <c r="DL729" s="1114"/>
      <c r="DM729" s="1114"/>
      <c r="DN729" s="1114"/>
      <c r="DO729" s="1114"/>
      <c r="DP729" s="1114"/>
      <c r="DQ729" s="1114"/>
      <c r="DR729" s="1114"/>
      <c r="DS729" s="1114"/>
      <c r="DT729" s="1114"/>
      <c r="DU729" s="1114"/>
      <c r="DV729" s="1115"/>
      <c r="DW729" s="1116"/>
      <c r="DX729" s="1116"/>
      <c r="DY729" s="1116"/>
      <c r="DZ729" s="1116"/>
      <c r="EA729" s="1116"/>
      <c r="EB729" s="1116"/>
      <c r="EC729" s="1116"/>
      <c r="ED729" s="1116"/>
      <c r="EE729" s="1116"/>
      <c r="EF729" s="1116"/>
      <c r="EG729" s="1116"/>
      <c r="EH729" s="1116"/>
      <c r="EI729" s="1116"/>
      <c r="EJ729" s="1116"/>
      <c r="EK729" s="1116"/>
      <c r="EL729" s="1116"/>
      <c r="EM729" s="1116"/>
      <c r="EN729" s="1116"/>
      <c r="EO729" s="1116"/>
      <c r="EP729" s="1116"/>
      <c r="EQ729" s="1116"/>
      <c r="ER729" s="1116"/>
      <c r="ES729" s="1116"/>
    </row>
    <row r="730" spans="1:149" ht="15" customHeight="1">
      <c r="A730" s="1185">
        <v>715</v>
      </c>
      <c r="B730" s="1041"/>
      <c r="C730" s="1050"/>
      <c r="D730" s="1050"/>
      <c r="E730" s="1050"/>
      <c r="F730" s="1049"/>
      <c r="G730" s="1457"/>
      <c r="H730" s="1049"/>
      <c r="I730" s="1049"/>
      <c r="J730" s="1050"/>
      <c r="K730" s="1050"/>
      <c r="L730" s="1043"/>
      <c r="M730" s="1051"/>
      <c r="N730" s="1051"/>
      <c r="O730" s="1052"/>
      <c r="P730" s="1051"/>
      <c r="Q730" s="1051"/>
      <c r="R730" s="1052"/>
      <c r="S730" s="1051"/>
      <c r="T730" s="1051"/>
      <c r="U730" s="1052"/>
      <c r="V730" s="1051"/>
      <c r="W730" s="1051"/>
      <c r="X730" s="1052"/>
      <c r="Y730" s="1053"/>
      <c r="Z730" s="1051"/>
      <c r="AA730" s="1051"/>
      <c r="AB730" s="1052"/>
      <c r="AC730" s="1051"/>
      <c r="AD730" s="1051"/>
      <c r="AE730" s="1052"/>
      <c r="AF730" s="1051"/>
      <c r="AG730" s="1051"/>
      <c r="AH730" s="1051"/>
      <c r="AI730" s="1051"/>
      <c r="AJ730" s="1052"/>
      <c r="AK730" s="1051"/>
      <c r="AL730" s="1051"/>
      <c r="AM730" s="1052"/>
      <c r="AN730" s="1051"/>
      <c r="AO730" s="1051"/>
      <c r="AP730" s="1052"/>
      <c r="AQ730" s="1051"/>
      <c r="AR730" s="1051"/>
      <c r="AS730" s="1052"/>
      <c r="AT730" s="1051"/>
      <c r="AU730" s="1051"/>
      <c r="AV730" s="1052"/>
      <c r="AW730" s="1051"/>
      <c r="AX730" s="1051"/>
      <c r="AY730" s="1053"/>
      <c r="AZ730" s="1051"/>
      <c r="BA730" s="1051"/>
      <c r="BB730" s="1053"/>
      <c r="BC730" s="1051"/>
      <c r="BD730" s="1051"/>
      <c r="BE730" s="1053"/>
      <c r="BF730" s="1051"/>
      <c r="BG730" s="1051"/>
      <c r="BH730" s="1053"/>
      <c r="BI730" s="1052"/>
      <c r="BJ730" s="1052"/>
      <c r="BK730" s="1052"/>
      <c r="BL730" s="1052"/>
      <c r="BM730" s="1052"/>
      <c r="BN730" s="1054"/>
      <c r="BO730" s="1076">
        <f t="shared" si="22"/>
        <v>0</v>
      </c>
      <c r="BP730" s="1051"/>
      <c r="BQ730" s="1052"/>
      <c r="BR730" s="1054"/>
      <c r="BS730" s="1053"/>
      <c r="BT730" s="1051"/>
      <c r="BU730" s="1051"/>
      <c r="BV730" s="1051"/>
      <c r="BW730" s="1052"/>
      <c r="BX730" s="1052"/>
      <c r="BY730" s="1052"/>
      <c r="BZ730" s="1052"/>
      <c r="CA730" s="1052"/>
      <c r="CB730" s="1053"/>
      <c r="CC730" s="1053"/>
      <c r="CD730" s="1053"/>
      <c r="CE730" s="1053"/>
      <c r="CF730" s="1053"/>
      <c r="CG730" s="1053"/>
      <c r="CH730" s="1053"/>
      <c r="CI730" s="1123"/>
      <c r="CJ730" s="1123"/>
      <c r="CK730" s="1123"/>
      <c r="CL730" s="1123"/>
      <c r="CM730" s="1123"/>
      <c r="CN730" s="1123"/>
      <c r="CO730" s="1123"/>
      <c r="CP730" s="1123"/>
      <c r="CQ730" s="1123"/>
      <c r="CR730" s="1123"/>
      <c r="CS730" s="1123"/>
      <c r="CT730" s="1123"/>
      <c r="CU730" s="1123"/>
      <c r="CV730" s="1123"/>
      <c r="CW730" s="1123"/>
      <c r="CX730" s="1123"/>
      <c r="CY730" s="1123"/>
      <c r="CZ730" s="1114"/>
      <c r="DA730" s="1114"/>
      <c r="DB730" s="1114"/>
      <c r="DC730" s="1114"/>
      <c r="DD730" s="1114"/>
      <c r="DE730" s="1114"/>
      <c r="DF730" s="1114"/>
      <c r="DG730" s="1114"/>
      <c r="DH730" s="1114"/>
      <c r="DI730" s="1114"/>
      <c r="DJ730" s="1114"/>
      <c r="DK730" s="1114"/>
      <c r="DL730" s="1114"/>
      <c r="DM730" s="1114"/>
      <c r="DN730" s="1114"/>
      <c r="DO730" s="1114"/>
      <c r="DP730" s="1114"/>
      <c r="DQ730" s="1114"/>
      <c r="DR730" s="1114"/>
      <c r="DS730" s="1114"/>
      <c r="DT730" s="1114"/>
      <c r="DU730" s="1114"/>
      <c r="DV730" s="1115"/>
      <c r="DW730" s="1116"/>
      <c r="DX730" s="1116"/>
      <c r="DY730" s="1116"/>
      <c r="DZ730" s="1116"/>
      <c r="EA730" s="1116"/>
      <c r="EB730" s="1116"/>
      <c r="EC730" s="1116"/>
      <c r="ED730" s="1116"/>
      <c r="EE730" s="1116"/>
      <c r="EF730" s="1116"/>
      <c r="EG730" s="1116"/>
      <c r="EH730" s="1116"/>
      <c r="EI730" s="1116"/>
      <c r="EJ730" s="1116"/>
      <c r="EK730" s="1116"/>
      <c r="EL730" s="1116"/>
      <c r="EM730" s="1116"/>
      <c r="EN730" s="1116"/>
      <c r="EO730" s="1116"/>
      <c r="EP730" s="1116"/>
      <c r="EQ730" s="1116"/>
      <c r="ER730" s="1116"/>
      <c r="ES730" s="1116"/>
    </row>
    <row r="731" spans="1:149" ht="15" customHeight="1">
      <c r="A731" s="1185">
        <v>716</v>
      </c>
      <c r="B731" s="1041"/>
      <c r="C731" s="1050"/>
      <c r="D731" s="1050"/>
      <c r="E731" s="1050"/>
      <c r="F731" s="1049"/>
      <c r="G731" s="1457"/>
      <c r="H731" s="1049"/>
      <c r="I731" s="1049"/>
      <c r="J731" s="1050"/>
      <c r="K731" s="1050"/>
      <c r="L731" s="1043"/>
      <c r="M731" s="1051"/>
      <c r="N731" s="1051"/>
      <c r="O731" s="1052"/>
      <c r="P731" s="1051"/>
      <c r="Q731" s="1051"/>
      <c r="R731" s="1052"/>
      <c r="S731" s="1051"/>
      <c r="T731" s="1051"/>
      <c r="U731" s="1052"/>
      <c r="V731" s="1051"/>
      <c r="W731" s="1051"/>
      <c r="X731" s="1052"/>
      <c r="Y731" s="1053"/>
      <c r="Z731" s="1051"/>
      <c r="AA731" s="1051"/>
      <c r="AB731" s="1052"/>
      <c r="AC731" s="1051"/>
      <c r="AD731" s="1051"/>
      <c r="AE731" s="1052"/>
      <c r="AF731" s="1051"/>
      <c r="AG731" s="1051"/>
      <c r="AH731" s="1051"/>
      <c r="AI731" s="1051"/>
      <c r="AJ731" s="1052"/>
      <c r="AK731" s="1051"/>
      <c r="AL731" s="1051"/>
      <c r="AM731" s="1052"/>
      <c r="AN731" s="1051"/>
      <c r="AO731" s="1051"/>
      <c r="AP731" s="1052"/>
      <c r="AQ731" s="1051"/>
      <c r="AR731" s="1051"/>
      <c r="AS731" s="1052"/>
      <c r="AT731" s="1051"/>
      <c r="AU731" s="1051"/>
      <c r="AV731" s="1052"/>
      <c r="AW731" s="1051"/>
      <c r="AX731" s="1051"/>
      <c r="AY731" s="1053"/>
      <c r="AZ731" s="1051"/>
      <c r="BA731" s="1051"/>
      <c r="BB731" s="1053"/>
      <c r="BC731" s="1051"/>
      <c r="BD731" s="1051"/>
      <c r="BE731" s="1053"/>
      <c r="BF731" s="1051"/>
      <c r="BG731" s="1051"/>
      <c r="BH731" s="1053"/>
      <c r="BI731" s="1052"/>
      <c r="BJ731" s="1052"/>
      <c r="BK731" s="1052"/>
      <c r="BL731" s="1052"/>
      <c r="BM731" s="1052"/>
      <c r="BN731" s="1054"/>
      <c r="BO731" s="1076">
        <f t="shared" si="22"/>
        <v>0</v>
      </c>
      <c r="BP731" s="1051"/>
      <c r="BQ731" s="1052"/>
      <c r="BR731" s="1054"/>
      <c r="BS731" s="1053"/>
      <c r="BT731" s="1051"/>
      <c r="BU731" s="1051"/>
      <c r="BV731" s="1051"/>
      <c r="BW731" s="1052"/>
      <c r="BX731" s="1052"/>
      <c r="BY731" s="1052"/>
      <c r="BZ731" s="1052"/>
      <c r="CA731" s="1052"/>
      <c r="CB731" s="1053"/>
      <c r="CC731" s="1053"/>
      <c r="CD731" s="1053"/>
      <c r="CE731" s="1053"/>
      <c r="CF731" s="1053"/>
      <c r="CG731" s="1053"/>
      <c r="CH731" s="1053"/>
      <c r="CI731" s="1123"/>
      <c r="CJ731" s="1123"/>
      <c r="CK731" s="1123"/>
      <c r="CL731" s="1123"/>
      <c r="CM731" s="1123"/>
      <c r="CN731" s="1123"/>
      <c r="CO731" s="1123"/>
      <c r="CP731" s="1123"/>
      <c r="CQ731" s="1123"/>
      <c r="CR731" s="1123"/>
      <c r="CS731" s="1123"/>
      <c r="CT731" s="1123"/>
      <c r="CU731" s="1123"/>
      <c r="CV731" s="1123"/>
      <c r="CW731" s="1123"/>
      <c r="CX731" s="1123"/>
      <c r="CY731" s="1123"/>
      <c r="CZ731" s="1114"/>
      <c r="DA731" s="1114"/>
      <c r="DB731" s="1114"/>
      <c r="DC731" s="1114"/>
      <c r="DD731" s="1114"/>
      <c r="DE731" s="1114"/>
      <c r="DF731" s="1114"/>
      <c r="DG731" s="1114"/>
      <c r="DH731" s="1114"/>
      <c r="DI731" s="1114"/>
      <c r="DJ731" s="1114"/>
      <c r="DK731" s="1114"/>
      <c r="DL731" s="1114"/>
      <c r="DM731" s="1114"/>
      <c r="DN731" s="1114"/>
      <c r="DO731" s="1114"/>
      <c r="DP731" s="1114"/>
      <c r="DQ731" s="1114"/>
      <c r="DR731" s="1114"/>
      <c r="DS731" s="1114"/>
      <c r="DT731" s="1114"/>
      <c r="DU731" s="1114"/>
      <c r="DV731" s="1115"/>
      <c r="DW731" s="1116"/>
      <c r="DX731" s="1116"/>
      <c r="DY731" s="1116"/>
      <c r="DZ731" s="1116"/>
      <c r="EA731" s="1116"/>
      <c r="EB731" s="1116"/>
      <c r="EC731" s="1116"/>
      <c r="ED731" s="1116"/>
      <c r="EE731" s="1116"/>
      <c r="EF731" s="1116"/>
      <c r="EG731" s="1116"/>
      <c r="EH731" s="1116"/>
      <c r="EI731" s="1116"/>
      <c r="EJ731" s="1116"/>
      <c r="EK731" s="1116"/>
      <c r="EL731" s="1116"/>
      <c r="EM731" s="1116"/>
      <c r="EN731" s="1116"/>
      <c r="EO731" s="1116"/>
      <c r="EP731" s="1116"/>
      <c r="EQ731" s="1116"/>
      <c r="ER731" s="1116"/>
      <c r="ES731" s="1116"/>
    </row>
    <row r="732" spans="1:149" ht="15" customHeight="1">
      <c r="A732" s="1185">
        <v>717</v>
      </c>
      <c r="B732" s="1041"/>
      <c r="C732" s="1050"/>
      <c r="D732" s="1050"/>
      <c r="E732" s="1050"/>
      <c r="F732" s="1049"/>
      <c r="G732" s="1457"/>
      <c r="H732" s="1049"/>
      <c r="I732" s="1049"/>
      <c r="J732" s="1050"/>
      <c r="K732" s="1050"/>
      <c r="L732" s="1043"/>
      <c r="M732" s="1051"/>
      <c r="N732" s="1051"/>
      <c r="O732" s="1052"/>
      <c r="P732" s="1051"/>
      <c r="Q732" s="1051"/>
      <c r="R732" s="1052"/>
      <c r="S732" s="1051"/>
      <c r="T732" s="1051"/>
      <c r="U732" s="1052"/>
      <c r="V732" s="1051"/>
      <c r="W732" s="1051"/>
      <c r="X732" s="1052"/>
      <c r="Y732" s="1053"/>
      <c r="Z732" s="1051"/>
      <c r="AA732" s="1051"/>
      <c r="AB732" s="1052"/>
      <c r="AC732" s="1051"/>
      <c r="AD732" s="1051"/>
      <c r="AE732" s="1052"/>
      <c r="AF732" s="1051"/>
      <c r="AG732" s="1051"/>
      <c r="AH732" s="1051"/>
      <c r="AI732" s="1051"/>
      <c r="AJ732" s="1052"/>
      <c r="AK732" s="1051"/>
      <c r="AL732" s="1051"/>
      <c r="AM732" s="1052"/>
      <c r="AN732" s="1051"/>
      <c r="AO732" s="1051"/>
      <c r="AP732" s="1052"/>
      <c r="AQ732" s="1051"/>
      <c r="AR732" s="1051"/>
      <c r="AS732" s="1052"/>
      <c r="AT732" s="1051"/>
      <c r="AU732" s="1051"/>
      <c r="AV732" s="1052"/>
      <c r="AW732" s="1051"/>
      <c r="AX732" s="1051"/>
      <c r="AY732" s="1053"/>
      <c r="AZ732" s="1051"/>
      <c r="BA732" s="1051"/>
      <c r="BB732" s="1053"/>
      <c r="BC732" s="1051"/>
      <c r="BD732" s="1051"/>
      <c r="BE732" s="1053"/>
      <c r="BF732" s="1051"/>
      <c r="BG732" s="1051"/>
      <c r="BH732" s="1053"/>
      <c r="BI732" s="1052"/>
      <c r="BJ732" s="1052"/>
      <c r="BK732" s="1052"/>
      <c r="BL732" s="1052"/>
      <c r="BM732" s="1052"/>
      <c r="BN732" s="1054"/>
      <c r="BO732" s="1076">
        <f t="shared" si="22"/>
        <v>0</v>
      </c>
      <c r="BP732" s="1051"/>
      <c r="BQ732" s="1052"/>
      <c r="BR732" s="1054"/>
      <c r="BS732" s="1053"/>
      <c r="BT732" s="1051"/>
      <c r="BU732" s="1051"/>
      <c r="BV732" s="1051"/>
      <c r="BW732" s="1052"/>
      <c r="BX732" s="1052"/>
      <c r="BY732" s="1052"/>
      <c r="BZ732" s="1052"/>
      <c r="CA732" s="1052"/>
      <c r="CB732" s="1053"/>
      <c r="CC732" s="1053"/>
      <c r="CD732" s="1053"/>
      <c r="CE732" s="1053"/>
      <c r="CF732" s="1053"/>
      <c r="CG732" s="1053"/>
      <c r="CH732" s="1053"/>
      <c r="CI732" s="1123"/>
      <c r="CJ732" s="1123"/>
      <c r="CK732" s="1123"/>
      <c r="CL732" s="1123"/>
      <c r="CM732" s="1123"/>
      <c r="CN732" s="1123"/>
      <c r="CO732" s="1123"/>
      <c r="CP732" s="1123"/>
      <c r="CQ732" s="1123"/>
      <c r="CR732" s="1123"/>
      <c r="CS732" s="1123"/>
      <c r="CT732" s="1123"/>
      <c r="CU732" s="1123"/>
      <c r="CV732" s="1123"/>
      <c r="CW732" s="1123"/>
      <c r="CX732" s="1123"/>
      <c r="CY732" s="1123"/>
      <c r="CZ732" s="1114"/>
      <c r="DA732" s="1114"/>
      <c r="DB732" s="1114"/>
      <c r="DC732" s="1114"/>
      <c r="DD732" s="1114"/>
      <c r="DE732" s="1114"/>
      <c r="DF732" s="1114"/>
      <c r="DG732" s="1114"/>
      <c r="DH732" s="1114"/>
      <c r="DI732" s="1114"/>
      <c r="DJ732" s="1114"/>
      <c r="DK732" s="1114"/>
      <c r="DL732" s="1114"/>
      <c r="DM732" s="1114"/>
      <c r="DN732" s="1114"/>
      <c r="DO732" s="1114"/>
      <c r="DP732" s="1114"/>
      <c r="DQ732" s="1114"/>
      <c r="DR732" s="1114"/>
      <c r="DS732" s="1114"/>
      <c r="DT732" s="1114"/>
      <c r="DU732" s="1114"/>
      <c r="DV732" s="1115"/>
      <c r="DW732" s="1116"/>
      <c r="DX732" s="1116"/>
      <c r="DY732" s="1116"/>
      <c r="DZ732" s="1116"/>
      <c r="EA732" s="1116"/>
      <c r="EB732" s="1116"/>
      <c r="EC732" s="1116"/>
      <c r="ED732" s="1116"/>
      <c r="EE732" s="1116"/>
      <c r="EF732" s="1116"/>
      <c r="EG732" s="1116"/>
      <c r="EH732" s="1116"/>
      <c r="EI732" s="1116"/>
      <c r="EJ732" s="1116"/>
      <c r="EK732" s="1116"/>
      <c r="EL732" s="1116"/>
      <c r="EM732" s="1116"/>
      <c r="EN732" s="1116"/>
      <c r="EO732" s="1116"/>
      <c r="EP732" s="1116"/>
      <c r="EQ732" s="1116"/>
      <c r="ER732" s="1116"/>
      <c r="ES732" s="1116"/>
    </row>
    <row r="733" spans="1:149" ht="15" customHeight="1">
      <c r="A733" s="1185">
        <v>718</v>
      </c>
      <c r="B733" s="1041"/>
      <c r="C733" s="1050"/>
      <c r="D733" s="1050"/>
      <c r="E733" s="1050"/>
      <c r="F733" s="1049"/>
      <c r="G733" s="1457"/>
      <c r="H733" s="1049"/>
      <c r="I733" s="1049"/>
      <c r="J733" s="1050"/>
      <c r="K733" s="1050"/>
      <c r="L733" s="1043"/>
      <c r="M733" s="1051"/>
      <c r="N733" s="1051"/>
      <c r="O733" s="1052"/>
      <c r="P733" s="1051"/>
      <c r="Q733" s="1051"/>
      <c r="R733" s="1052"/>
      <c r="S733" s="1051"/>
      <c r="T733" s="1051"/>
      <c r="U733" s="1052"/>
      <c r="V733" s="1051"/>
      <c r="W733" s="1051"/>
      <c r="X733" s="1052"/>
      <c r="Y733" s="1053"/>
      <c r="Z733" s="1051"/>
      <c r="AA733" s="1051"/>
      <c r="AB733" s="1052"/>
      <c r="AC733" s="1051"/>
      <c r="AD733" s="1051"/>
      <c r="AE733" s="1052"/>
      <c r="AF733" s="1051"/>
      <c r="AG733" s="1051"/>
      <c r="AH733" s="1051"/>
      <c r="AI733" s="1051"/>
      <c r="AJ733" s="1052"/>
      <c r="AK733" s="1051"/>
      <c r="AL733" s="1051"/>
      <c r="AM733" s="1052"/>
      <c r="AN733" s="1051"/>
      <c r="AO733" s="1051"/>
      <c r="AP733" s="1052"/>
      <c r="AQ733" s="1051"/>
      <c r="AR733" s="1051"/>
      <c r="AS733" s="1052"/>
      <c r="AT733" s="1051"/>
      <c r="AU733" s="1051"/>
      <c r="AV733" s="1052"/>
      <c r="AW733" s="1051"/>
      <c r="AX733" s="1051"/>
      <c r="AY733" s="1053"/>
      <c r="AZ733" s="1051"/>
      <c r="BA733" s="1051"/>
      <c r="BB733" s="1053"/>
      <c r="BC733" s="1051"/>
      <c r="BD733" s="1051"/>
      <c r="BE733" s="1053"/>
      <c r="BF733" s="1051"/>
      <c r="BG733" s="1051"/>
      <c r="BH733" s="1053"/>
      <c r="BI733" s="1052"/>
      <c r="BJ733" s="1052"/>
      <c r="BK733" s="1052"/>
      <c r="BL733" s="1052"/>
      <c r="BM733" s="1052"/>
      <c r="BN733" s="1054"/>
      <c r="BO733" s="1076">
        <f t="shared" si="22"/>
        <v>0</v>
      </c>
      <c r="BP733" s="1051"/>
      <c r="BQ733" s="1052"/>
      <c r="BR733" s="1054"/>
      <c r="BS733" s="1053"/>
      <c r="BT733" s="1051"/>
      <c r="BU733" s="1051"/>
      <c r="BV733" s="1051"/>
      <c r="BW733" s="1052"/>
      <c r="BX733" s="1052"/>
      <c r="BY733" s="1052"/>
      <c r="BZ733" s="1052"/>
      <c r="CA733" s="1052"/>
      <c r="CB733" s="1053"/>
      <c r="CC733" s="1053"/>
      <c r="CD733" s="1053"/>
      <c r="CE733" s="1053"/>
      <c r="CF733" s="1053"/>
      <c r="CG733" s="1053"/>
      <c r="CH733" s="1053"/>
      <c r="CI733" s="1123"/>
      <c r="CJ733" s="1123"/>
      <c r="CK733" s="1123"/>
      <c r="CL733" s="1123"/>
      <c r="CM733" s="1123"/>
      <c r="CN733" s="1123"/>
      <c r="CO733" s="1123"/>
      <c r="CP733" s="1123"/>
      <c r="CQ733" s="1123"/>
      <c r="CR733" s="1123"/>
      <c r="CS733" s="1123"/>
      <c r="CT733" s="1123"/>
      <c r="CU733" s="1123"/>
      <c r="CV733" s="1123"/>
      <c r="CW733" s="1123"/>
      <c r="CX733" s="1123"/>
      <c r="CY733" s="1123"/>
      <c r="CZ733" s="1114"/>
      <c r="DA733" s="1114"/>
      <c r="DB733" s="1114"/>
      <c r="DC733" s="1114"/>
      <c r="DD733" s="1114"/>
      <c r="DE733" s="1114"/>
      <c r="DF733" s="1114"/>
      <c r="DG733" s="1114"/>
      <c r="DH733" s="1114"/>
      <c r="DI733" s="1114"/>
      <c r="DJ733" s="1114"/>
      <c r="DK733" s="1114"/>
      <c r="DL733" s="1114"/>
      <c r="DM733" s="1114"/>
      <c r="DN733" s="1114"/>
      <c r="DO733" s="1114"/>
      <c r="DP733" s="1114"/>
      <c r="DQ733" s="1114"/>
      <c r="DR733" s="1114"/>
      <c r="DS733" s="1114"/>
      <c r="DT733" s="1114"/>
      <c r="DU733" s="1114"/>
      <c r="DV733" s="1115"/>
      <c r="DW733" s="1116"/>
      <c r="DX733" s="1116"/>
      <c r="DY733" s="1116"/>
      <c r="DZ733" s="1116"/>
      <c r="EA733" s="1116"/>
      <c r="EB733" s="1116"/>
      <c r="EC733" s="1116"/>
      <c r="ED733" s="1116"/>
      <c r="EE733" s="1116"/>
      <c r="EF733" s="1116"/>
      <c r="EG733" s="1116"/>
      <c r="EH733" s="1116"/>
      <c r="EI733" s="1116"/>
      <c r="EJ733" s="1116"/>
      <c r="EK733" s="1116"/>
      <c r="EL733" s="1116"/>
      <c r="EM733" s="1116"/>
      <c r="EN733" s="1116"/>
      <c r="EO733" s="1116"/>
      <c r="EP733" s="1116"/>
      <c r="EQ733" s="1116"/>
      <c r="ER733" s="1116"/>
      <c r="ES733" s="1116"/>
    </row>
    <row r="734" spans="1:149" ht="15" customHeight="1">
      <c r="A734" s="1185">
        <v>719</v>
      </c>
      <c r="B734" s="1041"/>
      <c r="C734" s="1050"/>
      <c r="D734" s="1050"/>
      <c r="E734" s="1050"/>
      <c r="F734" s="1049"/>
      <c r="G734" s="1457"/>
      <c r="H734" s="1049"/>
      <c r="I734" s="1049"/>
      <c r="J734" s="1050"/>
      <c r="K734" s="1050"/>
      <c r="L734" s="1043"/>
      <c r="M734" s="1051"/>
      <c r="N734" s="1051"/>
      <c r="O734" s="1052"/>
      <c r="P734" s="1051"/>
      <c r="Q734" s="1051"/>
      <c r="R734" s="1052"/>
      <c r="S734" s="1051"/>
      <c r="T734" s="1051"/>
      <c r="U734" s="1052"/>
      <c r="V734" s="1051"/>
      <c r="W734" s="1051"/>
      <c r="X734" s="1052"/>
      <c r="Y734" s="1053"/>
      <c r="Z734" s="1051"/>
      <c r="AA734" s="1051"/>
      <c r="AB734" s="1052"/>
      <c r="AC734" s="1051"/>
      <c r="AD734" s="1051"/>
      <c r="AE734" s="1052"/>
      <c r="AF734" s="1051"/>
      <c r="AG734" s="1051"/>
      <c r="AH734" s="1051"/>
      <c r="AI734" s="1051"/>
      <c r="AJ734" s="1052"/>
      <c r="AK734" s="1051"/>
      <c r="AL734" s="1051"/>
      <c r="AM734" s="1052"/>
      <c r="AN734" s="1051"/>
      <c r="AO734" s="1051"/>
      <c r="AP734" s="1052"/>
      <c r="AQ734" s="1051"/>
      <c r="AR734" s="1051"/>
      <c r="AS734" s="1052"/>
      <c r="AT734" s="1051"/>
      <c r="AU734" s="1051"/>
      <c r="AV734" s="1052"/>
      <c r="AW734" s="1051"/>
      <c r="AX734" s="1051"/>
      <c r="AY734" s="1053"/>
      <c r="AZ734" s="1051"/>
      <c r="BA734" s="1051"/>
      <c r="BB734" s="1053"/>
      <c r="BC734" s="1051"/>
      <c r="BD734" s="1051"/>
      <c r="BE734" s="1053"/>
      <c r="BF734" s="1051"/>
      <c r="BG734" s="1051"/>
      <c r="BH734" s="1053"/>
      <c r="BI734" s="1052"/>
      <c r="BJ734" s="1052"/>
      <c r="BK734" s="1052"/>
      <c r="BL734" s="1052"/>
      <c r="BM734" s="1052"/>
      <c r="BN734" s="1054"/>
      <c r="BO734" s="1076">
        <f t="shared" si="22"/>
        <v>0</v>
      </c>
      <c r="BP734" s="1051"/>
      <c r="BQ734" s="1052"/>
      <c r="BR734" s="1054"/>
      <c r="BS734" s="1053"/>
      <c r="BT734" s="1051"/>
      <c r="BU734" s="1051"/>
      <c r="BV734" s="1051"/>
      <c r="BW734" s="1052"/>
      <c r="BX734" s="1052"/>
      <c r="BY734" s="1052"/>
      <c r="BZ734" s="1052"/>
      <c r="CA734" s="1052"/>
      <c r="CB734" s="1053"/>
      <c r="CC734" s="1053"/>
      <c r="CD734" s="1053"/>
      <c r="CE734" s="1053"/>
      <c r="CF734" s="1053"/>
      <c r="CG734" s="1053"/>
      <c r="CH734" s="1053"/>
      <c r="CI734" s="1123"/>
      <c r="CJ734" s="1123"/>
      <c r="CK734" s="1123"/>
      <c r="CL734" s="1123"/>
      <c r="CM734" s="1123"/>
      <c r="CN734" s="1123"/>
      <c r="CO734" s="1123"/>
      <c r="CP734" s="1123"/>
      <c r="CQ734" s="1123"/>
      <c r="CR734" s="1123"/>
      <c r="CS734" s="1123"/>
      <c r="CT734" s="1123"/>
      <c r="CU734" s="1123"/>
      <c r="CV734" s="1123"/>
      <c r="CW734" s="1123"/>
      <c r="CX734" s="1123"/>
      <c r="CY734" s="1123"/>
      <c r="CZ734" s="1114"/>
      <c r="DA734" s="1114"/>
      <c r="DB734" s="1114"/>
      <c r="DC734" s="1114"/>
      <c r="DD734" s="1114"/>
      <c r="DE734" s="1114"/>
      <c r="DF734" s="1114"/>
      <c r="DG734" s="1114"/>
      <c r="DH734" s="1114"/>
      <c r="DI734" s="1114"/>
      <c r="DJ734" s="1114"/>
      <c r="DK734" s="1114"/>
      <c r="DL734" s="1114"/>
      <c r="DM734" s="1114"/>
      <c r="DN734" s="1114"/>
      <c r="DO734" s="1114"/>
      <c r="DP734" s="1114"/>
      <c r="DQ734" s="1114"/>
      <c r="DR734" s="1114"/>
      <c r="DS734" s="1114"/>
      <c r="DT734" s="1114"/>
      <c r="DU734" s="1114"/>
      <c r="DV734" s="1115"/>
      <c r="DW734" s="1116"/>
      <c r="DX734" s="1116"/>
      <c r="DY734" s="1116"/>
      <c r="DZ734" s="1116"/>
      <c r="EA734" s="1116"/>
      <c r="EB734" s="1116"/>
      <c r="EC734" s="1116"/>
      <c r="ED734" s="1116"/>
      <c r="EE734" s="1116"/>
      <c r="EF734" s="1116"/>
      <c r="EG734" s="1116"/>
      <c r="EH734" s="1116"/>
      <c r="EI734" s="1116"/>
      <c r="EJ734" s="1116"/>
      <c r="EK734" s="1116"/>
      <c r="EL734" s="1116"/>
      <c r="EM734" s="1116"/>
      <c r="EN734" s="1116"/>
      <c r="EO734" s="1116"/>
      <c r="EP734" s="1116"/>
      <c r="EQ734" s="1116"/>
      <c r="ER734" s="1116"/>
      <c r="ES734" s="1116"/>
    </row>
    <row r="735" spans="1:149" ht="15" customHeight="1">
      <c r="A735" s="1185">
        <v>720</v>
      </c>
      <c r="B735" s="1041"/>
      <c r="C735" s="1050"/>
      <c r="D735" s="1050"/>
      <c r="E735" s="1050"/>
      <c r="F735" s="1049"/>
      <c r="G735" s="1457"/>
      <c r="H735" s="1049"/>
      <c r="I735" s="1049"/>
      <c r="J735" s="1050"/>
      <c r="K735" s="1050"/>
      <c r="L735" s="1043"/>
      <c r="M735" s="1051"/>
      <c r="N735" s="1051"/>
      <c r="O735" s="1052"/>
      <c r="P735" s="1051"/>
      <c r="Q735" s="1051"/>
      <c r="R735" s="1052"/>
      <c r="S735" s="1051"/>
      <c r="T735" s="1051"/>
      <c r="U735" s="1052"/>
      <c r="V735" s="1051"/>
      <c r="W735" s="1051"/>
      <c r="X735" s="1052"/>
      <c r="Y735" s="1053"/>
      <c r="Z735" s="1051"/>
      <c r="AA735" s="1051"/>
      <c r="AB735" s="1052"/>
      <c r="AC735" s="1051"/>
      <c r="AD735" s="1051"/>
      <c r="AE735" s="1052"/>
      <c r="AF735" s="1051"/>
      <c r="AG735" s="1051"/>
      <c r="AH735" s="1051"/>
      <c r="AI735" s="1051"/>
      <c r="AJ735" s="1052"/>
      <c r="AK735" s="1051"/>
      <c r="AL735" s="1051"/>
      <c r="AM735" s="1052"/>
      <c r="AN735" s="1051"/>
      <c r="AO735" s="1051"/>
      <c r="AP735" s="1052"/>
      <c r="AQ735" s="1051"/>
      <c r="AR735" s="1051"/>
      <c r="AS735" s="1052"/>
      <c r="AT735" s="1051"/>
      <c r="AU735" s="1051"/>
      <c r="AV735" s="1052"/>
      <c r="AW735" s="1051"/>
      <c r="AX735" s="1051"/>
      <c r="AY735" s="1053"/>
      <c r="AZ735" s="1051"/>
      <c r="BA735" s="1051"/>
      <c r="BB735" s="1053"/>
      <c r="BC735" s="1051"/>
      <c r="BD735" s="1051"/>
      <c r="BE735" s="1053"/>
      <c r="BF735" s="1051"/>
      <c r="BG735" s="1051"/>
      <c r="BH735" s="1053"/>
      <c r="BI735" s="1052"/>
      <c r="BJ735" s="1052"/>
      <c r="BK735" s="1052"/>
      <c r="BL735" s="1052"/>
      <c r="BM735" s="1052"/>
      <c r="BN735" s="1054"/>
      <c r="BO735" s="1076">
        <f t="shared" si="22"/>
        <v>0</v>
      </c>
      <c r="BP735" s="1051"/>
      <c r="BQ735" s="1052"/>
      <c r="BR735" s="1054"/>
      <c r="BS735" s="1053"/>
      <c r="BT735" s="1051"/>
      <c r="BU735" s="1051"/>
      <c r="BV735" s="1051"/>
      <c r="BW735" s="1052"/>
      <c r="BX735" s="1052"/>
      <c r="BY735" s="1052"/>
      <c r="BZ735" s="1052"/>
      <c r="CA735" s="1052"/>
      <c r="CB735" s="1053"/>
      <c r="CC735" s="1053"/>
      <c r="CD735" s="1053"/>
      <c r="CE735" s="1053"/>
      <c r="CF735" s="1053"/>
      <c r="CG735" s="1053"/>
      <c r="CH735" s="1053"/>
      <c r="CI735" s="1123"/>
      <c r="CJ735" s="1123"/>
      <c r="CK735" s="1123"/>
      <c r="CL735" s="1123"/>
      <c r="CM735" s="1123"/>
      <c r="CN735" s="1123"/>
      <c r="CO735" s="1123"/>
      <c r="CP735" s="1123"/>
      <c r="CQ735" s="1123"/>
      <c r="CR735" s="1123"/>
      <c r="CS735" s="1123"/>
      <c r="CT735" s="1123"/>
      <c r="CU735" s="1123"/>
      <c r="CV735" s="1123"/>
      <c r="CW735" s="1123"/>
      <c r="CX735" s="1123"/>
      <c r="CY735" s="1123"/>
      <c r="CZ735" s="1114"/>
      <c r="DA735" s="1114"/>
      <c r="DB735" s="1114"/>
      <c r="DC735" s="1114"/>
      <c r="DD735" s="1114"/>
      <c r="DE735" s="1114"/>
      <c r="DF735" s="1114"/>
      <c r="DG735" s="1114"/>
      <c r="DH735" s="1114"/>
      <c r="DI735" s="1114"/>
      <c r="DJ735" s="1114"/>
      <c r="DK735" s="1114"/>
      <c r="DL735" s="1114"/>
      <c r="DM735" s="1114"/>
      <c r="DN735" s="1114"/>
      <c r="DO735" s="1114"/>
      <c r="DP735" s="1114"/>
      <c r="DQ735" s="1114"/>
      <c r="DR735" s="1114"/>
      <c r="DS735" s="1114"/>
      <c r="DT735" s="1114"/>
      <c r="DU735" s="1114"/>
      <c r="DV735" s="1115"/>
      <c r="DW735" s="1116"/>
      <c r="DX735" s="1116"/>
      <c r="DY735" s="1116"/>
      <c r="DZ735" s="1116"/>
      <c r="EA735" s="1116"/>
      <c r="EB735" s="1116"/>
      <c r="EC735" s="1116"/>
      <c r="ED735" s="1116"/>
      <c r="EE735" s="1116"/>
      <c r="EF735" s="1116"/>
      <c r="EG735" s="1116"/>
      <c r="EH735" s="1116"/>
      <c r="EI735" s="1116"/>
      <c r="EJ735" s="1116"/>
      <c r="EK735" s="1116"/>
      <c r="EL735" s="1116"/>
      <c r="EM735" s="1116"/>
      <c r="EN735" s="1116"/>
      <c r="EO735" s="1116"/>
      <c r="EP735" s="1116"/>
      <c r="EQ735" s="1116"/>
      <c r="ER735" s="1116"/>
      <c r="ES735" s="1116"/>
    </row>
    <row r="736" spans="1:149" ht="15" customHeight="1">
      <c r="A736" s="1185">
        <v>721</v>
      </c>
      <c r="B736" s="1041"/>
      <c r="C736" s="1050"/>
      <c r="D736" s="1050"/>
      <c r="E736" s="1050"/>
      <c r="F736" s="1049"/>
      <c r="G736" s="1457"/>
      <c r="H736" s="1049"/>
      <c r="I736" s="1049"/>
      <c r="J736" s="1050"/>
      <c r="K736" s="1050"/>
      <c r="L736" s="1043"/>
      <c r="M736" s="1051"/>
      <c r="N736" s="1051"/>
      <c r="O736" s="1052"/>
      <c r="P736" s="1051"/>
      <c r="Q736" s="1051"/>
      <c r="R736" s="1052"/>
      <c r="S736" s="1051"/>
      <c r="T736" s="1051"/>
      <c r="U736" s="1052"/>
      <c r="V736" s="1051"/>
      <c r="W736" s="1051"/>
      <c r="X736" s="1052"/>
      <c r="Y736" s="1053"/>
      <c r="Z736" s="1051"/>
      <c r="AA736" s="1051"/>
      <c r="AB736" s="1052"/>
      <c r="AC736" s="1051"/>
      <c r="AD736" s="1051"/>
      <c r="AE736" s="1052"/>
      <c r="AF736" s="1051"/>
      <c r="AG736" s="1051"/>
      <c r="AH736" s="1051"/>
      <c r="AI736" s="1051"/>
      <c r="AJ736" s="1052"/>
      <c r="AK736" s="1051"/>
      <c r="AL736" s="1051"/>
      <c r="AM736" s="1052"/>
      <c r="AN736" s="1051"/>
      <c r="AO736" s="1051"/>
      <c r="AP736" s="1052"/>
      <c r="AQ736" s="1051"/>
      <c r="AR736" s="1051"/>
      <c r="AS736" s="1052"/>
      <c r="AT736" s="1051"/>
      <c r="AU736" s="1051"/>
      <c r="AV736" s="1052"/>
      <c r="AW736" s="1051"/>
      <c r="AX736" s="1051"/>
      <c r="AY736" s="1053"/>
      <c r="AZ736" s="1051"/>
      <c r="BA736" s="1051"/>
      <c r="BB736" s="1053"/>
      <c r="BC736" s="1051"/>
      <c r="BD736" s="1051"/>
      <c r="BE736" s="1053"/>
      <c r="BF736" s="1051"/>
      <c r="BG736" s="1051"/>
      <c r="BH736" s="1053"/>
      <c r="BI736" s="1052"/>
      <c r="BJ736" s="1052"/>
      <c r="BK736" s="1052"/>
      <c r="BL736" s="1052"/>
      <c r="BM736" s="1052"/>
      <c r="BN736" s="1054"/>
      <c r="BO736" s="1076">
        <f t="shared" si="22"/>
        <v>0</v>
      </c>
      <c r="BP736" s="1051"/>
      <c r="BQ736" s="1052"/>
      <c r="BR736" s="1054"/>
      <c r="BS736" s="1053"/>
      <c r="BT736" s="1051"/>
      <c r="BU736" s="1051"/>
      <c r="BV736" s="1051"/>
      <c r="BW736" s="1052"/>
      <c r="BX736" s="1052"/>
      <c r="BY736" s="1052"/>
      <c r="BZ736" s="1052"/>
      <c r="CA736" s="1052"/>
      <c r="CB736" s="1053"/>
      <c r="CC736" s="1053"/>
      <c r="CD736" s="1053"/>
      <c r="CE736" s="1053"/>
      <c r="CF736" s="1053"/>
      <c r="CG736" s="1053"/>
      <c r="CH736" s="1053"/>
      <c r="CI736" s="1123"/>
      <c r="CJ736" s="1123"/>
      <c r="CK736" s="1123"/>
      <c r="CL736" s="1123"/>
      <c r="CM736" s="1123"/>
      <c r="CN736" s="1123"/>
      <c r="CO736" s="1123"/>
      <c r="CP736" s="1123"/>
      <c r="CQ736" s="1123"/>
      <c r="CR736" s="1123"/>
      <c r="CS736" s="1123"/>
      <c r="CT736" s="1123"/>
      <c r="CU736" s="1123"/>
      <c r="CV736" s="1123"/>
      <c r="CW736" s="1123"/>
      <c r="CX736" s="1123"/>
      <c r="CY736" s="1123"/>
      <c r="CZ736" s="1114"/>
      <c r="DA736" s="1114"/>
      <c r="DB736" s="1114"/>
      <c r="DC736" s="1114"/>
      <c r="DD736" s="1114"/>
      <c r="DE736" s="1114"/>
      <c r="DF736" s="1114"/>
      <c r="DG736" s="1114"/>
      <c r="DH736" s="1114"/>
      <c r="DI736" s="1114"/>
      <c r="DJ736" s="1114"/>
      <c r="DK736" s="1114"/>
      <c r="DL736" s="1114"/>
      <c r="DM736" s="1114"/>
      <c r="DN736" s="1114"/>
      <c r="DO736" s="1114"/>
      <c r="DP736" s="1114"/>
      <c r="DQ736" s="1114"/>
      <c r="DR736" s="1114"/>
      <c r="DS736" s="1114"/>
      <c r="DT736" s="1114"/>
      <c r="DU736" s="1114"/>
      <c r="DV736" s="1115"/>
      <c r="DW736" s="1116"/>
      <c r="DX736" s="1116"/>
      <c r="DY736" s="1116"/>
      <c r="DZ736" s="1116"/>
      <c r="EA736" s="1116"/>
      <c r="EB736" s="1116"/>
      <c r="EC736" s="1116"/>
      <c r="ED736" s="1116"/>
      <c r="EE736" s="1116"/>
      <c r="EF736" s="1116"/>
      <c r="EG736" s="1116"/>
      <c r="EH736" s="1116"/>
      <c r="EI736" s="1116"/>
      <c r="EJ736" s="1116"/>
      <c r="EK736" s="1116"/>
      <c r="EL736" s="1116"/>
      <c r="EM736" s="1116"/>
      <c r="EN736" s="1116"/>
      <c r="EO736" s="1116"/>
      <c r="EP736" s="1116"/>
      <c r="EQ736" s="1116"/>
      <c r="ER736" s="1116"/>
      <c r="ES736" s="1116"/>
    </row>
    <row r="737" spans="1:149" ht="15" customHeight="1">
      <c r="A737" s="1185">
        <v>722</v>
      </c>
      <c r="B737" s="1041"/>
      <c r="C737" s="1050"/>
      <c r="D737" s="1050"/>
      <c r="E737" s="1050"/>
      <c r="F737" s="1049"/>
      <c r="G737" s="1457"/>
      <c r="H737" s="1049"/>
      <c r="I737" s="1049"/>
      <c r="J737" s="1050"/>
      <c r="K737" s="1050"/>
      <c r="L737" s="1043"/>
      <c r="M737" s="1051"/>
      <c r="N737" s="1051"/>
      <c r="O737" s="1052"/>
      <c r="P737" s="1051"/>
      <c r="Q737" s="1051"/>
      <c r="R737" s="1052"/>
      <c r="S737" s="1051"/>
      <c r="T737" s="1051"/>
      <c r="U737" s="1052"/>
      <c r="V737" s="1051"/>
      <c r="W737" s="1051"/>
      <c r="X737" s="1052"/>
      <c r="Y737" s="1053"/>
      <c r="Z737" s="1051"/>
      <c r="AA737" s="1051"/>
      <c r="AB737" s="1052"/>
      <c r="AC737" s="1051"/>
      <c r="AD737" s="1051"/>
      <c r="AE737" s="1052"/>
      <c r="AF737" s="1051"/>
      <c r="AG737" s="1051"/>
      <c r="AH737" s="1051"/>
      <c r="AI737" s="1051"/>
      <c r="AJ737" s="1052"/>
      <c r="AK737" s="1051"/>
      <c r="AL737" s="1051"/>
      <c r="AM737" s="1052"/>
      <c r="AN737" s="1051"/>
      <c r="AO737" s="1051"/>
      <c r="AP737" s="1052"/>
      <c r="AQ737" s="1051"/>
      <c r="AR737" s="1051"/>
      <c r="AS737" s="1052"/>
      <c r="AT737" s="1051"/>
      <c r="AU737" s="1051"/>
      <c r="AV737" s="1052"/>
      <c r="AW737" s="1051"/>
      <c r="AX737" s="1051"/>
      <c r="AY737" s="1053"/>
      <c r="AZ737" s="1051"/>
      <c r="BA737" s="1051"/>
      <c r="BB737" s="1053"/>
      <c r="BC737" s="1051"/>
      <c r="BD737" s="1051"/>
      <c r="BE737" s="1053"/>
      <c r="BF737" s="1051"/>
      <c r="BG737" s="1051"/>
      <c r="BH737" s="1053"/>
      <c r="BI737" s="1052"/>
      <c r="BJ737" s="1052"/>
      <c r="BK737" s="1052"/>
      <c r="BL737" s="1052"/>
      <c r="BM737" s="1052"/>
      <c r="BN737" s="1054"/>
      <c r="BO737" s="1076">
        <f t="shared" si="22"/>
        <v>0</v>
      </c>
      <c r="BP737" s="1051"/>
      <c r="BQ737" s="1052"/>
      <c r="BR737" s="1054"/>
      <c r="BS737" s="1053"/>
      <c r="BT737" s="1051"/>
      <c r="BU737" s="1051"/>
      <c r="BV737" s="1051"/>
      <c r="BW737" s="1052"/>
      <c r="BX737" s="1052"/>
      <c r="BY737" s="1052"/>
      <c r="BZ737" s="1052"/>
      <c r="CA737" s="1052"/>
      <c r="CB737" s="1053"/>
      <c r="CC737" s="1053"/>
      <c r="CD737" s="1053"/>
      <c r="CE737" s="1053"/>
      <c r="CF737" s="1053"/>
      <c r="CG737" s="1053"/>
      <c r="CH737" s="1053"/>
      <c r="CI737" s="1123"/>
      <c r="CJ737" s="1123"/>
      <c r="CK737" s="1123"/>
      <c r="CL737" s="1123"/>
      <c r="CM737" s="1123"/>
      <c r="CN737" s="1123"/>
      <c r="CO737" s="1123"/>
      <c r="CP737" s="1123"/>
      <c r="CQ737" s="1123"/>
      <c r="CR737" s="1123"/>
      <c r="CS737" s="1123"/>
      <c r="CT737" s="1123"/>
      <c r="CU737" s="1123"/>
      <c r="CV737" s="1123"/>
      <c r="CW737" s="1123"/>
      <c r="CX737" s="1123"/>
      <c r="CY737" s="1123"/>
      <c r="CZ737" s="1114"/>
      <c r="DA737" s="1114"/>
      <c r="DB737" s="1114"/>
      <c r="DC737" s="1114"/>
      <c r="DD737" s="1114"/>
      <c r="DE737" s="1114"/>
      <c r="DF737" s="1114"/>
      <c r="DG737" s="1114"/>
      <c r="DH737" s="1114"/>
      <c r="DI737" s="1114"/>
      <c r="DJ737" s="1114"/>
      <c r="DK737" s="1114"/>
      <c r="DL737" s="1114"/>
      <c r="DM737" s="1114"/>
      <c r="DN737" s="1114"/>
      <c r="DO737" s="1114"/>
      <c r="DP737" s="1114"/>
      <c r="DQ737" s="1114"/>
      <c r="DR737" s="1114"/>
      <c r="DS737" s="1114"/>
      <c r="DT737" s="1114"/>
      <c r="DU737" s="1114"/>
      <c r="DV737" s="1115"/>
      <c r="DW737" s="1116"/>
      <c r="DX737" s="1116"/>
      <c r="DY737" s="1116"/>
      <c r="DZ737" s="1116"/>
      <c r="EA737" s="1116"/>
      <c r="EB737" s="1116"/>
      <c r="EC737" s="1116"/>
      <c r="ED737" s="1116"/>
      <c r="EE737" s="1116"/>
      <c r="EF737" s="1116"/>
      <c r="EG737" s="1116"/>
      <c r="EH737" s="1116"/>
      <c r="EI737" s="1116"/>
      <c r="EJ737" s="1116"/>
      <c r="EK737" s="1116"/>
      <c r="EL737" s="1116"/>
      <c r="EM737" s="1116"/>
      <c r="EN737" s="1116"/>
      <c r="EO737" s="1116"/>
      <c r="EP737" s="1116"/>
      <c r="EQ737" s="1116"/>
      <c r="ER737" s="1116"/>
      <c r="ES737" s="1116"/>
    </row>
    <row r="738" spans="1:149" ht="15" customHeight="1">
      <c r="A738" s="1185">
        <v>723</v>
      </c>
      <c r="B738" s="1041"/>
      <c r="C738" s="1050"/>
      <c r="D738" s="1050"/>
      <c r="E738" s="1050"/>
      <c r="F738" s="1049"/>
      <c r="G738" s="1457"/>
      <c r="H738" s="1049"/>
      <c r="I738" s="1049"/>
      <c r="J738" s="1050"/>
      <c r="K738" s="1050"/>
      <c r="L738" s="1043"/>
      <c r="M738" s="1051"/>
      <c r="N738" s="1051"/>
      <c r="O738" s="1052"/>
      <c r="P738" s="1051"/>
      <c r="Q738" s="1051"/>
      <c r="R738" s="1052"/>
      <c r="S738" s="1051"/>
      <c r="T738" s="1051"/>
      <c r="U738" s="1052"/>
      <c r="V738" s="1051"/>
      <c r="W738" s="1051"/>
      <c r="X738" s="1052"/>
      <c r="Y738" s="1053"/>
      <c r="Z738" s="1051"/>
      <c r="AA738" s="1051"/>
      <c r="AB738" s="1052"/>
      <c r="AC738" s="1051"/>
      <c r="AD738" s="1051"/>
      <c r="AE738" s="1052"/>
      <c r="AF738" s="1051"/>
      <c r="AG738" s="1051"/>
      <c r="AH738" s="1051"/>
      <c r="AI738" s="1051"/>
      <c r="AJ738" s="1052"/>
      <c r="AK738" s="1051"/>
      <c r="AL738" s="1051"/>
      <c r="AM738" s="1052"/>
      <c r="AN738" s="1051"/>
      <c r="AO738" s="1051"/>
      <c r="AP738" s="1052"/>
      <c r="AQ738" s="1051"/>
      <c r="AR738" s="1051"/>
      <c r="AS738" s="1052"/>
      <c r="AT738" s="1051"/>
      <c r="AU738" s="1051"/>
      <c r="AV738" s="1052"/>
      <c r="AW738" s="1051"/>
      <c r="AX738" s="1051"/>
      <c r="AY738" s="1053"/>
      <c r="AZ738" s="1051"/>
      <c r="BA738" s="1051"/>
      <c r="BB738" s="1053"/>
      <c r="BC738" s="1051"/>
      <c r="BD738" s="1051"/>
      <c r="BE738" s="1053"/>
      <c r="BF738" s="1051"/>
      <c r="BG738" s="1051"/>
      <c r="BH738" s="1053"/>
      <c r="BI738" s="1052"/>
      <c r="BJ738" s="1052"/>
      <c r="BK738" s="1052"/>
      <c r="BL738" s="1052"/>
      <c r="BM738" s="1052"/>
      <c r="BN738" s="1054"/>
      <c r="BO738" s="1076">
        <f t="shared" si="22"/>
        <v>0</v>
      </c>
      <c r="BP738" s="1051"/>
      <c r="BQ738" s="1052"/>
      <c r="BR738" s="1054"/>
      <c r="BS738" s="1053"/>
      <c r="BT738" s="1051"/>
      <c r="BU738" s="1051"/>
      <c r="BV738" s="1051"/>
      <c r="BW738" s="1052"/>
      <c r="BX738" s="1052"/>
      <c r="BY738" s="1052"/>
      <c r="BZ738" s="1052"/>
      <c r="CA738" s="1052"/>
      <c r="CB738" s="1053"/>
      <c r="CC738" s="1053"/>
      <c r="CD738" s="1053"/>
      <c r="CE738" s="1053"/>
      <c r="CF738" s="1053"/>
      <c r="CG738" s="1053"/>
      <c r="CH738" s="1053"/>
      <c r="CI738" s="1123"/>
      <c r="CJ738" s="1123"/>
      <c r="CK738" s="1123"/>
      <c r="CL738" s="1123"/>
      <c r="CM738" s="1123"/>
      <c r="CN738" s="1123"/>
      <c r="CO738" s="1123"/>
      <c r="CP738" s="1123"/>
      <c r="CQ738" s="1123"/>
      <c r="CR738" s="1123"/>
      <c r="CS738" s="1123"/>
      <c r="CT738" s="1123"/>
      <c r="CU738" s="1123"/>
      <c r="CV738" s="1123"/>
      <c r="CW738" s="1123"/>
      <c r="CX738" s="1123"/>
      <c r="CY738" s="1123"/>
      <c r="CZ738" s="1114"/>
      <c r="DA738" s="1114"/>
      <c r="DB738" s="1114"/>
      <c r="DC738" s="1114"/>
      <c r="DD738" s="1114"/>
      <c r="DE738" s="1114"/>
      <c r="DF738" s="1114"/>
      <c r="DG738" s="1114"/>
      <c r="DH738" s="1114"/>
      <c r="DI738" s="1114"/>
      <c r="DJ738" s="1114"/>
      <c r="DK738" s="1114"/>
      <c r="DL738" s="1114"/>
      <c r="DM738" s="1114"/>
      <c r="DN738" s="1114"/>
      <c r="DO738" s="1114"/>
      <c r="DP738" s="1114"/>
      <c r="DQ738" s="1114"/>
      <c r="DR738" s="1114"/>
      <c r="DS738" s="1114"/>
      <c r="DT738" s="1114"/>
      <c r="DU738" s="1114"/>
      <c r="DV738" s="1115"/>
      <c r="DW738" s="1116"/>
      <c r="DX738" s="1116"/>
      <c r="DY738" s="1116"/>
      <c r="DZ738" s="1116"/>
      <c r="EA738" s="1116"/>
      <c r="EB738" s="1116"/>
      <c r="EC738" s="1116"/>
      <c r="ED738" s="1116"/>
      <c r="EE738" s="1116"/>
      <c r="EF738" s="1116"/>
      <c r="EG738" s="1116"/>
      <c r="EH738" s="1116"/>
      <c r="EI738" s="1116"/>
      <c r="EJ738" s="1116"/>
      <c r="EK738" s="1116"/>
      <c r="EL738" s="1116"/>
      <c r="EM738" s="1116"/>
      <c r="EN738" s="1116"/>
      <c r="EO738" s="1116"/>
      <c r="EP738" s="1116"/>
      <c r="EQ738" s="1116"/>
      <c r="ER738" s="1116"/>
      <c r="ES738" s="1116"/>
    </row>
    <row r="739" spans="1:149" ht="15" customHeight="1">
      <c r="A739" s="1185">
        <v>724</v>
      </c>
      <c r="B739" s="1041"/>
      <c r="C739" s="1050"/>
      <c r="D739" s="1050"/>
      <c r="E739" s="1050"/>
      <c r="F739" s="1049"/>
      <c r="G739" s="1457"/>
      <c r="H739" s="1049"/>
      <c r="I739" s="1049"/>
      <c r="J739" s="1050"/>
      <c r="K739" s="1050"/>
      <c r="L739" s="1043"/>
      <c r="M739" s="1051"/>
      <c r="N739" s="1051"/>
      <c r="O739" s="1052"/>
      <c r="P739" s="1051"/>
      <c r="Q739" s="1051"/>
      <c r="R739" s="1052"/>
      <c r="S739" s="1051"/>
      <c r="T739" s="1051"/>
      <c r="U739" s="1052"/>
      <c r="V739" s="1051"/>
      <c r="W739" s="1051"/>
      <c r="X739" s="1052"/>
      <c r="Y739" s="1053"/>
      <c r="Z739" s="1051"/>
      <c r="AA739" s="1051"/>
      <c r="AB739" s="1052"/>
      <c r="AC739" s="1051"/>
      <c r="AD739" s="1051"/>
      <c r="AE739" s="1052"/>
      <c r="AF739" s="1051"/>
      <c r="AG739" s="1051"/>
      <c r="AH739" s="1051"/>
      <c r="AI739" s="1051"/>
      <c r="AJ739" s="1052"/>
      <c r="AK739" s="1051"/>
      <c r="AL739" s="1051"/>
      <c r="AM739" s="1052"/>
      <c r="AN739" s="1051"/>
      <c r="AO739" s="1051"/>
      <c r="AP739" s="1052"/>
      <c r="AQ739" s="1051"/>
      <c r="AR739" s="1051"/>
      <c r="AS739" s="1052"/>
      <c r="AT739" s="1051"/>
      <c r="AU739" s="1051"/>
      <c r="AV739" s="1052"/>
      <c r="AW739" s="1051"/>
      <c r="AX739" s="1051"/>
      <c r="AY739" s="1053"/>
      <c r="AZ739" s="1051"/>
      <c r="BA739" s="1051"/>
      <c r="BB739" s="1053"/>
      <c r="BC739" s="1051"/>
      <c r="BD739" s="1051"/>
      <c r="BE739" s="1053"/>
      <c r="BF739" s="1051"/>
      <c r="BG739" s="1051"/>
      <c r="BH739" s="1053"/>
      <c r="BI739" s="1052"/>
      <c r="BJ739" s="1052"/>
      <c r="BK739" s="1052"/>
      <c r="BL739" s="1052"/>
      <c r="BM739" s="1052"/>
      <c r="BN739" s="1054"/>
      <c r="BO739" s="1076">
        <f t="shared" si="22"/>
        <v>0</v>
      </c>
      <c r="BP739" s="1051"/>
      <c r="BQ739" s="1052"/>
      <c r="BR739" s="1054"/>
      <c r="BS739" s="1053"/>
      <c r="BT739" s="1051"/>
      <c r="BU739" s="1051"/>
      <c r="BV739" s="1051"/>
      <c r="BW739" s="1052"/>
      <c r="BX739" s="1052"/>
      <c r="BY739" s="1052"/>
      <c r="BZ739" s="1052"/>
      <c r="CA739" s="1052"/>
      <c r="CB739" s="1053"/>
      <c r="CC739" s="1053"/>
      <c r="CD739" s="1053"/>
      <c r="CE739" s="1053"/>
      <c r="CF739" s="1053"/>
      <c r="CG739" s="1053"/>
      <c r="CH739" s="1053"/>
      <c r="CI739" s="1123"/>
      <c r="CJ739" s="1123"/>
      <c r="CK739" s="1123"/>
      <c r="CL739" s="1123"/>
      <c r="CM739" s="1123"/>
      <c r="CN739" s="1123"/>
      <c r="CO739" s="1123"/>
      <c r="CP739" s="1123"/>
      <c r="CQ739" s="1123"/>
      <c r="CR739" s="1123"/>
      <c r="CS739" s="1123"/>
      <c r="CT739" s="1123"/>
      <c r="CU739" s="1123"/>
      <c r="CV739" s="1123"/>
      <c r="CW739" s="1123"/>
      <c r="CX739" s="1123"/>
      <c r="CY739" s="1123"/>
      <c r="CZ739" s="1114"/>
      <c r="DA739" s="1114"/>
      <c r="DB739" s="1114"/>
      <c r="DC739" s="1114"/>
      <c r="DD739" s="1114"/>
      <c r="DE739" s="1114"/>
      <c r="DF739" s="1114"/>
      <c r="DG739" s="1114"/>
      <c r="DH739" s="1114"/>
      <c r="DI739" s="1114"/>
      <c r="DJ739" s="1114"/>
      <c r="DK739" s="1114"/>
      <c r="DL739" s="1114"/>
      <c r="DM739" s="1114"/>
      <c r="DN739" s="1114"/>
      <c r="DO739" s="1114"/>
      <c r="DP739" s="1114"/>
      <c r="DQ739" s="1114"/>
      <c r="DR739" s="1114"/>
      <c r="DS739" s="1114"/>
      <c r="DT739" s="1114"/>
      <c r="DU739" s="1114"/>
      <c r="DV739" s="1115"/>
      <c r="DW739" s="1116"/>
      <c r="DX739" s="1116"/>
      <c r="DY739" s="1116"/>
      <c r="DZ739" s="1116"/>
      <c r="EA739" s="1116"/>
      <c r="EB739" s="1116"/>
      <c r="EC739" s="1116"/>
      <c r="ED739" s="1116"/>
      <c r="EE739" s="1116"/>
      <c r="EF739" s="1116"/>
      <c r="EG739" s="1116"/>
      <c r="EH739" s="1116"/>
      <c r="EI739" s="1116"/>
      <c r="EJ739" s="1116"/>
      <c r="EK739" s="1116"/>
      <c r="EL739" s="1116"/>
      <c r="EM739" s="1116"/>
      <c r="EN739" s="1116"/>
      <c r="EO739" s="1116"/>
      <c r="EP739" s="1116"/>
      <c r="EQ739" s="1116"/>
      <c r="ER739" s="1116"/>
      <c r="ES739" s="1116"/>
    </row>
    <row r="740" spans="1:149" ht="15" customHeight="1">
      <c r="A740" s="1185">
        <v>725</v>
      </c>
      <c r="B740" s="1041"/>
      <c r="C740" s="1050"/>
      <c r="D740" s="1050"/>
      <c r="E740" s="1050"/>
      <c r="F740" s="1049"/>
      <c r="G740" s="1457"/>
      <c r="H740" s="1049"/>
      <c r="I740" s="1049"/>
      <c r="J740" s="1050"/>
      <c r="K740" s="1050"/>
      <c r="L740" s="1043"/>
      <c r="M740" s="1051"/>
      <c r="N740" s="1051"/>
      <c r="O740" s="1052"/>
      <c r="P740" s="1051"/>
      <c r="Q740" s="1051"/>
      <c r="R740" s="1052"/>
      <c r="S740" s="1051"/>
      <c r="T740" s="1051"/>
      <c r="U740" s="1052"/>
      <c r="V740" s="1051"/>
      <c r="W740" s="1051"/>
      <c r="X740" s="1052"/>
      <c r="Y740" s="1053"/>
      <c r="Z740" s="1051"/>
      <c r="AA740" s="1051"/>
      <c r="AB740" s="1052"/>
      <c r="AC740" s="1051"/>
      <c r="AD740" s="1051"/>
      <c r="AE740" s="1052"/>
      <c r="AF740" s="1051"/>
      <c r="AG740" s="1051"/>
      <c r="AH740" s="1051"/>
      <c r="AI740" s="1051"/>
      <c r="AJ740" s="1052"/>
      <c r="AK740" s="1051"/>
      <c r="AL740" s="1051"/>
      <c r="AM740" s="1052"/>
      <c r="AN740" s="1051"/>
      <c r="AO740" s="1051"/>
      <c r="AP740" s="1052"/>
      <c r="AQ740" s="1051"/>
      <c r="AR740" s="1051"/>
      <c r="AS740" s="1052"/>
      <c r="AT740" s="1051"/>
      <c r="AU740" s="1051"/>
      <c r="AV740" s="1052"/>
      <c r="AW740" s="1051"/>
      <c r="AX740" s="1051"/>
      <c r="AY740" s="1053"/>
      <c r="AZ740" s="1051"/>
      <c r="BA740" s="1051"/>
      <c r="BB740" s="1053"/>
      <c r="BC740" s="1051"/>
      <c r="BD740" s="1051"/>
      <c r="BE740" s="1053"/>
      <c r="BF740" s="1051"/>
      <c r="BG740" s="1051"/>
      <c r="BH740" s="1053"/>
      <c r="BI740" s="1052"/>
      <c r="BJ740" s="1052"/>
      <c r="BK740" s="1052"/>
      <c r="BL740" s="1052"/>
      <c r="BM740" s="1052"/>
      <c r="BN740" s="1054"/>
      <c r="BO740" s="1076">
        <f t="shared" si="22"/>
        <v>0</v>
      </c>
      <c r="BP740" s="1051"/>
      <c r="BQ740" s="1052"/>
      <c r="BR740" s="1054"/>
      <c r="BS740" s="1053"/>
      <c r="BT740" s="1051"/>
      <c r="BU740" s="1051"/>
      <c r="BV740" s="1051"/>
      <c r="BW740" s="1052"/>
      <c r="BX740" s="1052"/>
      <c r="BY740" s="1052"/>
      <c r="BZ740" s="1052"/>
      <c r="CA740" s="1052"/>
      <c r="CB740" s="1053"/>
      <c r="CC740" s="1053"/>
      <c r="CD740" s="1053"/>
      <c r="CE740" s="1053"/>
      <c r="CF740" s="1053"/>
      <c r="CG740" s="1053"/>
      <c r="CH740" s="1053"/>
      <c r="CI740" s="1123"/>
      <c r="CJ740" s="1123"/>
      <c r="CK740" s="1123"/>
      <c r="CL740" s="1123"/>
      <c r="CM740" s="1123"/>
      <c r="CN740" s="1123"/>
      <c r="CO740" s="1123"/>
      <c r="CP740" s="1123"/>
      <c r="CQ740" s="1123"/>
      <c r="CR740" s="1123"/>
      <c r="CS740" s="1123"/>
      <c r="CT740" s="1123"/>
      <c r="CU740" s="1123"/>
      <c r="CV740" s="1123"/>
      <c r="CW740" s="1123"/>
      <c r="CX740" s="1123"/>
      <c r="CY740" s="1123"/>
      <c r="CZ740" s="1114"/>
      <c r="DA740" s="1114"/>
      <c r="DB740" s="1114"/>
      <c r="DC740" s="1114"/>
      <c r="DD740" s="1114"/>
      <c r="DE740" s="1114"/>
      <c r="DF740" s="1114"/>
      <c r="DG740" s="1114"/>
      <c r="DH740" s="1114"/>
      <c r="DI740" s="1114"/>
      <c r="DJ740" s="1114"/>
      <c r="DK740" s="1114"/>
      <c r="DL740" s="1114"/>
      <c r="DM740" s="1114"/>
      <c r="DN740" s="1114"/>
      <c r="DO740" s="1114"/>
      <c r="DP740" s="1114"/>
      <c r="DQ740" s="1114"/>
      <c r="DR740" s="1114"/>
      <c r="DS740" s="1114"/>
      <c r="DT740" s="1114"/>
      <c r="DU740" s="1114"/>
      <c r="DV740" s="1115"/>
      <c r="DW740" s="1116"/>
      <c r="DX740" s="1116"/>
      <c r="DY740" s="1116"/>
      <c r="DZ740" s="1116"/>
      <c r="EA740" s="1116"/>
      <c r="EB740" s="1116"/>
      <c r="EC740" s="1116"/>
      <c r="ED740" s="1116"/>
      <c r="EE740" s="1116"/>
      <c r="EF740" s="1116"/>
      <c r="EG740" s="1116"/>
      <c r="EH740" s="1116"/>
      <c r="EI740" s="1116"/>
      <c r="EJ740" s="1116"/>
      <c r="EK740" s="1116"/>
      <c r="EL740" s="1116"/>
      <c r="EM740" s="1116"/>
      <c r="EN740" s="1116"/>
      <c r="EO740" s="1116"/>
      <c r="EP740" s="1116"/>
      <c r="EQ740" s="1116"/>
      <c r="ER740" s="1116"/>
      <c r="ES740" s="1116"/>
    </row>
    <row r="741" spans="1:149" ht="15" customHeight="1">
      <c r="A741" s="1185">
        <v>726</v>
      </c>
      <c r="B741" s="1041"/>
      <c r="C741" s="1050"/>
      <c r="D741" s="1050"/>
      <c r="E741" s="1050"/>
      <c r="F741" s="1049"/>
      <c r="G741" s="1457"/>
      <c r="H741" s="1049"/>
      <c r="I741" s="1049"/>
      <c r="J741" s="1050"/>
      <c r="K741" s="1050"/>
      <c r="L741" s="1043"/>
      <c r="M741" s="1051"/>
      <c r="N741" s="1051"/>
      <c r="O741" s="1052"/>
      <c r="P741" s="1051"/>
      <c r="Q741" s="1051"/>
      <c r="R741" s="1052"/>
      <c r="S741" s="1051"/>
      <c r="T741" s="1051"/>
      <c r="U741" s="1052"/>
      <c r="V741" s="1051"/>
      <c r="W741" s="1051"/>
      <c r="X741" s="1052"/>
      <c r="Y741" s="1053"/>
      <c r="Z741" s="1051"/>
      <c r="AA741" s="1051"/>
      <c r="AB741" s="1052"/>
      <c r="AC741" s="1051"/>
      <c r="AD741" s="1051"/>
      <c r="AE741" s="1052"/>
      <c r="AF741" s="1051"/>
      <c r="AG741" s="1051"/>
      <c r="AH741" s="1051"/>
      <c r="AI741" s="1051"/>
      <c r="AJ741" s="1052"/>
      <c r="AK741" s="1051"/>
      <c r="AL741" s="1051"/>
      <c r="AM741" s="1052"/>
      <c r="AN741" s="1051"/>
      <c r="AO741" s="1051"/>
      <c r="AP741" s="1052"/>
      <c r="AQ741" s="1051"/>
      <c r="AR741" s="1051"/>
      <c r="AS741" s="1052"/>
      <c r="AT741" s="1051"/>
      <c r="AU741" s="1051"/>
      <c r="AV741" s="1052"/>
      <c r="AW741" s="1051"/>
      <c r="AX741" s="1051"/>
      <c r="AY741" s="1053"/>
      <c r="AZ741" s="1051"/>
      <c r="BA741" s="1051"/>
      <c r="BB741" s="1053"/>
      <c r="BC741" s="1051"/>
      <c r="BD741" s="1051"/>
      <c r="BE741" s="1053"/>
      <c r="BF741" s="1051"/>
      <c r="BG741" s="1051"/>
      <c r="BH741" s="1053"/>
      <c r="BI741" s="1052"/>
      <c r="BJ741" s="1052"/>
      <c r="BK741" s="1052"/>
      <c r="BL741" s="1052"/>
      <c r="BM741" s="1052"/>
      <c r="BN741" s="1054"/>
      <c r="BO741" s="1076">
        <f t="shared" si="22"/>
        <v>0</v>
      </c>
      <c r="BP741" s="1051"/>
      <c r="BQ741" s="1052"/>
      <c r="BR741" s="1054"/>
      <c r="BS741" s="1053"/>
      <c r="BT741" s="1051"/>
      <c r="BU741" s="1051"/>
      <c r="BV741" s="1051"/>
      <c r="BW741" s="1052"/>
      <c r="BX741" s="1052"/>
      <c r="BY741" s="1052"/>
      <c r="BZ741" s="1052"/>
      <c r="CA741" s="1052"/>
      <c r="CB741" s="1053"/>
      <c r="CC741" s="1053"/>
      <c r="CD741" s="1053"/>
      <c r="CE741" s="1053"/>
      <c r="CF741" s="1053"/>
      <c r="CG741" s="1053"/>
      <c r="CH741" s="1053"/>
      <c r="CI741" s="1123"/>
      <c r="CJ741" s="1123"/>
      <c r="CK741" s="1123"/>
      <c r="CL741" s="1123"/>
      <c r="CM741" s="1123"/>
      <c r="CN741" s="1123"/>
      <c r="CO741" s="1123"/>
      <c r="CP741" s="1123"/>
      <c r="CQ741" s="1123"/>
      <c r="CR741" s="1123"/>
      <c r="CS741" s="1123"/>
      <c r="CT741" s="1123"/>
      <c r="CU741" s="1123"/>
      <c r="CV741" s="1123"/>
      <c r="CW741" s="1123"/>
      <c r="CX741" s="1123"/>
      <c r="CY741" s="1123"/>
      <c r="CZ741" s="1114"/>
      <c r="DA741" s="1114"/>
      <c r="DB741" s="1114"/>
      <c r="DC741" s="1114"/>
      <c r="DD741" s="1114"/>
      <c r="DE741" s="1114"/>
      <c r="DF741" s="1114"/>
      <c r="DG741" s="1114"/>
      <c r="DH741" s="1114"/>
      <c r="DI741" s="1114"/>
      <c r="DJ741" s="1114"/>
      <c r="DK741" s="1114"/>
      <c r="DL741" s="1114"/>
      <c r="DM741" s="1114"/>
      <c r="DN741" s="1114"/>
      <c r="DO741" s="1114"/>
      <c r="DP741" s="1114"/>
      <c r="DQ741" s="1114"/>
      <c r="DR741" s="1114"/>
      <c r="DS741" s="1114"/>
      <c r="DT741" s="1114"/>
      <c r="DU741" s="1114"/>
      <c r="DV741" s="1115"/>
      <c r="DW741" s="1116"/>
      <c r="DX741" s="1116"/>
      <c r="DY741" s="1116"/>
      <c r="DZ741" s="1116"/>
      <c r="EA741" s="1116"/>
      <c r="EB741" s="1116"/>
      <c r="EC741" s="1116"/>
      <c r="ED741" s="1116"/>
      <c r="EE741" s="1116"/>
      <c r="EF741" s="1116"/>
      <c r="EG741" s="1116"/>
      <c r="EH741" s="1116"/>
      <c r="EI741" s="1116"/>
      <c r="EJ741" s="1116"/>
      <c r="EK741" s="1116"/>
      <c r="EL741" s="1116"/>
      <c r="EM741" s="1116"/>
      <c r="EN741" s="1116"/>
      <c r="EO741" s="1116"/>
      <c r="EP741" s="1116"/>
      <c r="EQ741" s="1116"/>
      <c r="ER741" s="1116"/>
      <c r="ES741" s="1116"/>
    </row>
    <row r="742" spans="1:149" ht="15" customHeight="1">
      <c r="A742" s="1185">
        <v>727</v>
      </c>
      <c r="B742" s="1041"/>
      <c r="C742" s="1050"/>
      <c r="D742" s="1050"/>
      <c r="E742" s="1050"/>
      <c r="F742" s="1049"/>
      <c r="G742" s="1457"/>
      <c r="H742" s="1049"/>
      <c r="I742" s="1049"/>
      <c r="J742" s="1050"/>
      <c r="K742" s="1050"/>
      <c r="L742" s="1043"/>
      <c r="M742" s="1051"/>
      <c r="N742" s="1051"/>
      <c r="O742" s="1052"/>
      <c r="P742" s="1051"/>
      <c r="Q742" s="1051"/>
      <c r="R742" s="1052"/>
      <c r="S742" s="1051"/>
      <c r="T742" s="1051"/>
      <c r="U742" s="1052"/>
      <c r="V742" s="1051"/>
      <c r="W742" s="1051"/>
      <c r="X742" s="1052"/>
      <c r="Y742" s="1053"/>
      <c r="Z742" s="1051"/>
      <c r="AA742" s="1051"/>
      <c r="AB742" s="1052"/>
      <c r="AC742" s="1051"/>
      <c r="AD742" s="1051"/>
      <c r="AE742" s="1052"/>
      <c r="AF742" s="1051"/>
      <c r="AG742" s="1051"/>
      <c r="AH742" s="1051"/>
      <c r="AI742" s="1051"/>
      <c r="AJ742" s="1052"/>
      <c r="AK742" s="1051"/>
      <c r="AL742" s="1051"/>
      <c r="AM742" s="1052"/>
      <c r="AN742" s="1051"/>
      <c r="AO742" s="1051"/>
      <c r="AP742" s="1052"/>
      <c r="AQ742" s="1051"/>
      <c r="AR742" s="1051"/>
      <c r="AS742" s="1052"/>
      <c r="AT742" s="1051"/>
      <c r="AU742" s="1051"/>
      <c r="AV742" s="1052"/>
      <c r="AW742" s="1051"/>
      <c r="AX742" s="1051"/>
      <c r="AY742" s="1053"/>
      <c r="AZ742" s="1051"/>
      <c r="BA742" s="1051"/>
      <c r="BB742" s="1053"/>
      <c r="BC742" s="1051"/>
      <c r="BD742" s="1051"/>
      <c r="BE742" s="1053"/>
      <c r="BF742" s="1051"/>
      <c r="BG742" s="1051"/>
      <c r="BH742" s="1053"/>
      <c r="BI742" s="1052"/>
      <c r="BJ742" s="1052"/>
      <c r="BK742" s="1052"/>
      <c r="BL742" s="1052"/>
      <c r="BM742" s="1052"/>
      <c r="BN742" s="1054"/>
      <c r="BO742" s="1076">
        <f t="shared" si="22"/>
        <v>0</v>
      </c>
      <c r="BP742" s="1051"/>
      <c r="BQ742" s="1052"/>
      <c r="BR742" s="1054"/>
      <c r="BS742" s="1053"/>
      <c r="BT742" s="1051"/>
      <c r="BU742" s="1051"/>
      <c r="BV742" s="1051"/>
      <c r="BW742" s="1052"/>
      <c r="BX742" s="1052"/>
      <c r="BY742" s="1052"/>
      <c r="BZ742" s="1052"/>
      <c r="CA742" s="1052"/>
      <c r="CB742" s="1053"/>
      <c r="CC742" s="1053"/>
      <c r="CD742" s="1053"/>
      <c r="CE742" s="1053"/>
      <c r="CF742" s="1053"/>
      <c r="CG742" s="1053"/>
      <c r="CH742" s="1053"/>
      <c r="CI742" s="1123"/>
      <c r="CJ742" s="1123"/>
      <c r="CK742" s="1123"/>
      <c r="CL742" s="1123"/>
      <c r="CM742" s="1123"/>
      <c r="CN742" s="1123"/>
      <c r="CO742" s="1123"/>
      <c r="CP742" s="1123"/>
      <c r="CQ742" s="1123"/>
      <c r="CR742" s="1123"/>
      <c r="CS742" s="1123"/>
      <c r="CT742" s="1123"/>
      <c r="CU742" s="1123"/>
      <c r="CV742" s="1123"/>
      <c r="CW742" s="1123"/>
      <c r="CX742" s="1123"/>
      <c r="CY742" s="1123"/>
      <c r="CZ742" s="1114"/>
      <c r="DA742" s="1114"/>
      <c r="DB742" s="1114"/>
      <c r="DC742" s="1114"/>
      <c r="DD742" s="1114"/>
      <c r="DE742" s="1114"/>
      <c r="DF742" s="1114"/>
      <c r="DG742" s="1114"/>
      <c r="DH742" s="1114"/>
      <c r="DI742" s="1114"/>
      <c r="DJ742" s="1114"/>
      <c r="DK742" s="1114"/>
      <c r="DL742" s="1114"/>
      <c r="DM742" s="1114"/>
      <c r="DN742" s="1114"/>
      <c r="DO742" s="1114"/>
      <c r="DP742" s="1114"/>
      <c r="DQ742" s="1114"/>
      <c r="DR742" s="1114"/>
      <c r="DS742" s="1114"/>
      <c r="DT742" s="1114"/>
      <c r="DU742" s="1114"/>
      <c r="DV742" s="1115"/>
      <c r="DW742" s="1116"/>
      <c r="DX742" s="1116"/>
      <c r="DY742" s="1116"/>
      <c r="DZ742" s="1116"/>
      <c r="EA742" s="1116"/>
      <c r="EB742" s="1116"/>
      <c r="EC742" s="1116"/>
      <c r="ED742" s="1116"/>
      <c r="EE742" s="1116"/>
      <c r="EF742" s="1116"/>
      <c r="EG742" s="1116"/>
      <c r="EH742" s="1116"/>
      <c r="EI742" s="1116"/>
      <c r="EJ742" s="1116"/>
      <c r="EK742" s="1116"/>
      <c r="EL742" s="1116"/>
      <c r="EM742" s="1116"/>
      <c r="EN742" s="1116"/>
      <c r="EO742" s="1116"/>
      <c r="EP742" s="1116"/>
      <c r="EQ742" s="1116"/>
      <c r="ER742" s="1116"/>
      <c r="ES742" s="1116"/>
    </row>
    <row r="743" spans="1:149" ht="15" customHeight="1">
      <c r="A743" s="1185">
        <v>728</v>
      </c>
      <c r="B743" s="1041"/>
      <c r="C743" s="1050"/>
      <c r="D743" s="1050"/>
      <c r="E743" s="1050"/>
      <c r="F743" s="1049"/>
      <c r="G743" s="1457"/>
      <c r="H743" s="1049"/>
      <c r="I743" s="1049"/>
      <c r="J743" s="1050"/>
      <c r="K743" s="1050"/>
      <c r="L743" s="1043"/>
      <c r="M743" s="1051"/>
      <c r="N743" s="1051"/>
      <c r="O743" s="1052"/>
      <c r="P743" s="1051"/>
      <c r="Q743" s="1051"/>
      <c r="R743" s="1052"/>
      <c r="S743" s="1051"/>
      <c r="T743" s="1051"/>
      <c r="U743" s="1052"/>
      <c r="V743" s="1051"/>
      <c r="W743" s="1051"/>
      <c r="X743" s="1052"/>
      <c r="Y743" s="1053"/>
      <c r="Z743" s="1051"/>
      <c r="AA743" s="1051"/>
      <c r="AB743" s="1052"/>
      <c r="AC743" s="1051"/>
      <c r="AD743" s="1051"/>
      <c r="AE743" s="1052"/>
      <c r="AF743" s="1051"/>
      <c r="AG743" s="1051"/>
      <c r="AH743" s="1051"/>
      <c r="AI743" s="1051"/>
      <c r="AJ743" s="1052"/>
      <c r="AK743" s="1051"/>
      <c r="AL743" s="1051"/>
      <c r="AM743" s="1052"/>
      <c r="AN743" s="1051"/>
      <c r="AO743" s="1051"/>
      <c r="AP743" s="1052"/>
      <c r="AQ743" s="1051"/>
      <c r="AR743" s="1051"/>
      <c r="AS743" s="1052"/>
      <c r="AT743" s="1051"/>
      <c r="AU743" s="1051"/>
      <c r="AV743" s="1052"/>
      <c r="AW743" s="1051"/>
      <c r="AX743" s="1051"/>
      <c r="AY743" s="1053"/>
      <c r="AZ743" s="1051"/>
      <c r="BA743" s="1051"/>
      <c r="BB743" s="1053"/>
      <c r="BC743" s="1051"/>
      <c r="BD743" s="1051"/>
      <c r="BE743" s="1053"/>
      <c r="BF743" s="1051"/>
      <c r="BG743" s="1051"/>
      <c r="BH743" s="1053"/>
      <c r="BI743" s="1052"/>
      <c r="BJ743" s="1052"/>
      <c r="BK743" s="1052"/>
      <c r="BL743" s="1052"/>
      <c r="BM743" s="1052"/>
      <c r="BN743" s="1054"/>
      <c r="BO743" s="1076">
        <f t="shared" si="22"/>
        <v>0</v>
      </c>
      <c r="BP743" s="1051"/>
      <c r="BQ743" s="1052"/>
      <c r="BR743" s="1054"/>
      <c r="BS743" s="1053"/>
      <c r="BT743" s="1051"/>
      <c r="BU743" s="1051"/>
      <c r="BV743" s="1051"/>
      <c r="BW743" s="1052"/>
      <c r="BX743" s="1052"/>
      <c r="BY743" s="1052"/>
      <c r="BZ743" s="1052"/>
      <c r="CA743" s="1052"/>
      <c r="CB743" s="1053"/>
      <c r="CC743" s="1053"/>
      <c r="CD743" s="1053"/>
      <c r="CE743" s="1053"/>
      <c r="CF743" s="1053"/>
      <c r="CG743" s="1053"/>
      <c r="CH743" s="1053"/>
      <c r="CI743" s="1123"/>
      <c r="CJ743" s="1123"/>
      <c r="CK743" s="1123"/>
      <c r="CL743" s="1123"/>
      <c r="CM743" s="1123"/>
      <c r="CN743" s="1123"/>
      <c r="CO743" s="1123"/>
      <c r="CP743" s="1123"/>
      <c r="CQ743" s="1123"/>
      <c r="CR743" s="1123"/>
      <c r="CS743" s="1123"/>
      <c r="CT743" s="1123"/>
      <c r="CU743" s="1123"/>
      <c r="CV743" s="1123"/>
      <c r="CW743" s="1123"/>
      <c r="CX743" s="1123"/>
      <c r="CY743" s="1123"/>
      <c r="CZ743" s="1114"/>
      <c r="DA743" s="1114"/>
      <c r="DB743" s="1114"/>
      <c r="DC743" s="1114"/>
      <c r="DD743" s="1114"/>
      <c r="DE743" s="1114"/>
      <c r="DF743" s="1114"/>
      <c r="DG743" s="1114"/>
      <c r="DH743" s="1114"/>
      <c r="DI743" s="1114"/>
      <c r="DJ743" s="1114"/>
      <c r="DK743" s="1114"/>
      <c r="DL743" s="1114"/>
      <c r="DM743" s="1114"/>
      <c r="DN743" s="1114"/>
      <c r="DO743" s="1114"/>
      <c r="DP743" s="1114"/>
      <c r="DQ743" s="1114"/>
      <c r="DR743" s="1114"/>
      <c r="DS743" s="1114"/>
      <c r="DT743" s="1114"/>
      <c r="DU743" s="1114"/>
      <c r="DV743" s="1115"/>
      <c r="DW743" s="1116"/>
      <c r="DX743" s="1116"/>
      <c r="DY743" s="1116"/>
      <c r="DZ743" s="1116"/>
      <c r="EA743" s="1116"/>
      <c r="EB743" s="1116"/>
      <c r="EC743" s="1116"/>
      <c r="ED743" s="1116"/>
      <c r="EE743" s="1116"/>
      <c r="EF743" s="1116"/>
      <c r="EG743" s="1116"/>
      <c r="EH743" s="1116"/>
      <c r="EI743" s="1116"/>
      <c r="EJ743" s="1116"/>
      <c r="EK743" s="1116"/>
      <c r="EL743" s="1116"/>
      <c r="EM743" s="1116"/>
      <c r="EN743" s="1116"/>
      <c r="EO743" s="1116"/>
      <c r="EP743" s="1116"/>
      <c r="EQ743" s="1116"/>
      <c r="ER743" s="1116"/>
      <c r="ES743" s="1116"/>
    </row>
    <row r="744" spans="1:149" ht="15" customHeight="1">
      <c r="A744" s="1185">
        <v>729</v>
      </c>
      <c r="B744" s="1041"/>
      <c r="C744" s="1050"/>
      <c r="D744" s="1050"/>
      <c r="E744" s="1050"/>
      <c r="F744" s="1049"/>
      <c r="G744" s="1457"/>
      <c r="H744" s="1049"/>
      <c r="I744" s="1049"/>
      <c r="J744" s="1050"/>
      <c r="K744" s="1050"/>
      <c r="L744" s="1043"/>
      <c r="M744" s="1051"/>
      <c r="N744" s="1051"/>
      <c r="O744" s="1052"/>
      <c r="P744" s="1051"/>
      <c r="Q744" s="1051"/>
      <c r="R744" s="1052"/>
      <c r="S744" s="1051"/>
      <c r="T744" s="1051"/>
      <c r="U744" s="1052"/>
      <c r="V744" s="1051"/>
      <c r="W744" s="1051"/>
      <c r="X744" s="1052"/>
      <c r="Y744" s="1053"/>
      <c r="Z744" s="1051"/>
      <c r="AA744" s="1051"/>
      <c r="AB744" s="1052"/>
      <c r="AC744" s="1051"/>
      <c r="AD744" s="1051"/>
      <c r="AE744" s="1052"/>
      <c r="AF744" s="1051"/>
      <c r="AG744" s="1051"/>
      <c r="AH744" s="1051"/>
      <c r="AI744" s="1051"/>
      <c r="AJ744" s="1052"/>
      <c r="AK744" s="1051"/>
      <c r="AL744" s="1051"/>
      <c r="AM744" s="1052"/>
      <c r="AN744" s="1051"/>
      <c r="AO744" s="1051"/>
      <c r="AP744" s="1052"/>
      <c r="AQ744" s="1051"/>
      <c r="AR744" s="1051"/>
      <c r="AS744" s="1052"/>
      <c r="AT744" s="1051"/>
      <c r="AU744" s="1051"/>
      <c r="AV744" s="1052"/>
      <c r="AW744" s="1051"/>
      <c r="AX744" s="1051"/>
      <c r="AY744" s="1053"/>
      <c r="AZ744" s="1051"/>
      <c r="BA744" s="1051"/>
      <c r="BB744" s="1053"/>
      <c r="BC744" s="1051"/>
      <c r="BD744" s="1051"/>
      <c r="BE744" s="1053"/>
      <c r="BF744" s="1051"/>
      <c r="BG744" s="1051"/>
      <c r="BH744" s="1053"/>
      <c r="BI744" s="1052"/>
      <c r="BJ744" s="1052"/>
      <c r="BK744" s="1052"/>
      <c r="BL744" s="1052"/>
      <c r="BM744" s="1052"/>
      <c r="BN744" s="1054"/>
      <c r="BO744" s="1076">
        <f t="shared" si="22"/>
        <v>0</v>
      </c>
      <c r="BP744" s="1051"/>
      <c r="BQ744" s="1052"/>
      <c r="BR744" s="1054"/>
      <c r="BS744" s="1053"/>
      <c r="BT744" s="1051"/>
      <c r="BU744" s="1051"/>
      <c r="BV744" s="1051"/>
      <c r="BW744" s="1052"/>
      <c r="BX744" s="1052"/>
      <c r="BY744" s="1052"/>
      <c r="BZ744" s="1052"/>
      <c r="CA744" s="1052"/>
      <c r="CB744" s="1053"/>
      <c r="CC744" s="1053"/>
      <c r="CD744" s="1053"/>
      <c r="CE744" s="1053"/>
      <c r="CF744" s="1053"/>
      <c r="CG744" s="1053"/>
      <c r="CH744" s="1053"/>
      <c r="CI744" s="1123"/>
      <c r="CJ744" s="1123"/>
      <c r="CK744" s="1123"/>
      <c r="CL744" s="1123"/>
      <c r="CM744" s="1123"/>
      <c r="CN744" s="1123"/>
      <c r="CO744" s="1123"/>
      <c r="CP744" s="1123"/>
      <c r="CQ744" s="1123"/>
      <c r="CR744" s="1123"/>
      <c r="CS744" s="1123"/>
      <c r="CT744" s="1123"/>
      <c r="CU744" s="1123"/>
      <c r="CV744" s="1123"/>
      <c r="CW744" s="1123"/>
      <c r="CX744" s="1123"/>
      <c r="CY744" s="1123"/>
      <c r="CZ744" s="1114"/>
      <c r="DA744" s="1114"/>
      <c r="DB744" s="1114"/>
      <c r="DC744" s="1114"/>
      <c r="DD744" s="1114"/>
      <c r="DE744" s="1114"/>
      <c r="DF744" s="1114"/>
      <c r="DG744" s="1114"/>
      <c r="DH744" s="1114"/>
      <c r="DI744" s="1114"/>
      <c r="DJ744" s="1114"/>
      <c r="DK744" s="1114"/>
      <c r="DL744" s="1114"/>
      <c r="DM744" s="1114"/>
      <c r="DN744" s="1114"/>
      <c r="DO744" s="1114"/>
      <c r="DP744" s="1114"/>
      <c r="DQ744" s="1114"/>
      <c r="DR744" s="1114"/>
      <c r="DS744" s="1114"/>
      <c r="DT744" s="1114"/>
      <c r="DU744" s="1114"/>
      <c r="DV744" s="1115"/>
      <c r="DW744" s="1116"/>
      <c r="DX744" s="1116"/>
      <c r="DY744" s="1116"/>
      <c r="DZ744" s="1116"/>
      <c r="EA744" s="1116"/>
      <c r="EB744" s="1116"/>
      <c r="EC744" s="1116"/>
      <c r="ED744" s="1116"/>
      <c r="EE744" s="1116"/>
      <c r="EF744" s="1116"/>
      <c r="EG744" s="1116"/>
      <c r="EH744" s="1116"/>
      <c r="EI744" s="1116"/>
      <c r="EJ744" s="1116"/>
      <c r="EK744" s="1116"/>
      <c r="EL744" s="1116"/>
      <c r="EM744" s="1116"/>
      <c r="EN744" s="1116"/>
      <c r="EO744" s="1116"/>
      <c r="EP744" s="1116"/>
      <c r="EQ744" s="1116"/>
      <c r="ER744" s="1116"/>
      <c r="ES744" s="1116"/>
    </row>
    <row r="745" spans="1:149" ht="15" customHeight="1">
      <c r="A745" s="1185">
        <v>730</v>
      </c>
      <c r="B745" s="1041"/>
      <c r="C745" s="1050"/>
      <c r="D745" s="1050"/>
      <c r="E745" s="1050"/>
      <c r="F745" s="1049"/>
      <c r="G745" s="1457"/>
      <c r="H745" s="1049"/>
      <c r="I745" s="1049"/>
      <c r="J745" s="1050"/>
      <c r="K745" s="1050"/>
      <c r="L745" s="1043"/>
      <c r="M745" s="1051"/>
      <c r="N745" s="1051"/>
      <c r="O745" s="1052"/>
      <c r="P745" s="1051"/>
      <c r="Q745" s="1051"/>
      <c r="R745" s="1052"/>
      <c r="S745" s="1051"/>
      <c r="T745" s="1051"/>
      <c r="U745" s="1052"/>
      <c r="V745" s="1051"/>
      <c r="W745" s="1051"/>
      <c r="X745" s="1052"/>
      <c r="Y745" s="1053"/>
      <c r="Z745" s="1051"/>
      <c r="AA745" s="1051"/>
      <c r="AB745" s="1052"/>
      <c r="AC745" s="1051"/>
      <c r="AD745" s="1051"/>
      <c r="AE745" s="1052"/>
      <c r="AF745" s="1051"/>
      <c r="AG745" s="1051"/>
      <c r="AH745" s="1051"/>
      <c r="AI745" s="1051"/>
      <c r="AJ745" s="1052"/>
      <c r="AK745" s="1051"/>
      <c r="AL745" s="1051"/>
      <c r="AM745" s="1052"/>
      <c r="AN745" s="1051"/>
      <c r="AO745" s="1051"/>
      <c r="AP745" s="1052"/>
      <c r="AQ745" s="1051"/>
      <c r="AR745" s="1051"/>
      <c r="AS745" s="1052"/>
      <c r="AT745" s="1051"/>
      <c r="AU745" s="1051"/>
      <c r="AV745" s="1052"/>
      <c r="AW745" s="1051"/>
      <c r="AX745" s="1051"/>
      <c r="AY745" s="1053"/>
      <c r="AZ745" s="1051"/>
      <c r="BA745" s="1051"/>
      <c r="BB745" s="1053"/>
      <c r="BC745" s="1051"/>
      <c r="BD745" s="1051"/>
      <c r="BE745" s="1053"/>
      <c r="BF745" s="1051"/>
      <c r="BG745" s="1051"/>
      <c r="BH745" s="1053"/>
      <c r="BI745" s="1052"/>
      <c r="BJ745" s="1052"/>
      <c r="BK745" s="1052"/>
      <c r="BL745" s="1052"/>
      <c r="BM745" s="1052"/>
      <c r="BN745" s="1054"/>
      <c r="BO745" s="1076">
        <f t="shared" si="22"/>
        <v>0</v>
      </c>
      <c r="BP745" s="1051"/>
      <c r="BQ745" s="1052"/>
      <c r="BR745" s="1054"/>
      <c r="BS745" s="1053"/>
      <c r="BT745" s="1051"/>
      <c r="BU745" s="1051"/>
      <c r="BV745" s="1051"/>
      <c r="BW745" s="1052"/>
      <c r="BX745" s="1052"/>
      <c r="BY745" s="1052"/>
      <c r="BZ745" s="1052"/>
      <c r="CA745" s="1052"/>
      <c r="CB745" s="1053"/>
      <c r="CC745" s="1053"/>
      <c r="CD745" s="1053"/>
      <c r="CE745" s="1053"/>
      <c r="CF745" s="1053"/>
      <c r="CG745" s="1053"/>
      <c r="CH745" s="1053"/>
      <c r="CI745" s="1123"/>
      <c r="CJ745" s="1123"/>
      <c r="CK745" s="1123"/>
      <c r="CL745" s="1123"/>
      <c r="CM745" s="1123"/>
      <c r="CN745" s="1123"/>
      <c r="CO745" s="1123"/>
      <c r="CP745" s="1123"/>
      <c r="CQ745" s="1123"/>
      <c r="CR745" s="1123"/>
      <c r="CS745" s="1123"/>
      <c r="CT745" s="1123"/>
      <c r="CU745" s="1123"/>
      <c r="CV745" s="1123"/>
      <c r="CW745" s="1123"/>
      <c r="CX745" s="1123"/>
      <c r="CY745" s="1123"/>
      <c r="CZ745" s="1114"/>
      <c r="DA745" s="1114"/>
      <c r="DB745" s="1114"/>
      <c r="DC745" s="1114"/>
      <c r="DD745" s="1114"/>
      <c r="DE745" s="1114"/>
      <c r="DF745" s="1114"/>
      <c r="DG745" s="1114"/>
      <c r="DH745" s="1114"/>
      <c r="DI745" s="1114"/>
      <c r="DJ745" s="1114"/>
      <c r="DK745" s="1114"/>
      <c r="DL745" s="1114"/>
      <c r="DM745" s="1114"/>
      <c r="DN745" s="1114"/>
      <c r="DO745" s="1114"/>
      <c r="DP745" s="1114"/>
      <c r="DQ745" s="1114"/>
      <c r="DR745" s="1114"/>
      <c r="DS745" s="1114"/>
      <c r="DT745" s="1114"/>
      <c r="DU745" s="1114"/>
      <c r="DV745" s="1115"/>
      <c r="DW745" s="1116"/>
      <c r="DX745" s="1116"/>
      <c r="DY745" s="1116"/>
      <c r="DZ745" s="1116"/>
      <c r="EA745" s="1116"/>
      <c r="EB745" s="1116"/>
      <c r="EC745" s="1116"/>
      <c r="ED745" s="1116"/>
      <c r="EE745" s="1116"/>
      <c r="EF745" s="1116"/>
      <c r="EG745" s="1116"/>
      <c r="EH745" s="1116"/>
      <c r="EI745" s="1116"/>
      <c r="EJ745" s="1116"/>
      <c r="EK745" s="1116"/>
      <c r="EL745" s="1116"/>
      <c r="EM745" s="1116"/>
      <c r="EN745" s="1116"/>
      <c r="EO745" s="1116"/>
      <c r="EP745" s="1116"/>
      <c r="EQ745" s="1116"/>
      <c r="ER745" s="1116"/>
      <c r="ES745" s="1116"/>
    </row>
    <row r="746" spans="1:149" ht="15" customHeight="1">
      <c r="A746" s="1185">
        <v>731</v>
      </c>
      <c r="B746" s="1041"/>
      <c r="C746" s="1050"/>
      <c r="D746" s="1050"/>
      <c r="E746" s="1050"/>
      <c r="F746" s="1049"/>
      <c r="G746" s="1457"/>
      <c r="H746" s="1049"/>
      <c r="I746" s="1049"/>
      <c r="J746" s="1050"/>
      <c r="K746" s="1050"/>
      <c r="L746" s="1043"/>
      <c r="M746" s="1051"/>
      <c r="N746" s="1051"/>
      <c r="O746" s="1052"/>
      <c r="P746" s="1051"/>
      <c r="Q746" s="1051"/>
      <c r="R746" s="1052"/>
      <c r="S746" s="1051"/>
      <c r="T746" s="1051"/>
      <c r="U746" s="1052"/>
      <c r="V746" s="1051"/>
      <c r="W746" s="1051"/>
      <c r="X746" s="1052"/>
      <c r="Y746" s="1053"/>
      <c r="Z746" s="1051"/>
      <c r="AA746" s="1051"/>
      <c r="AB746" s="1052"/>
      <c r="AC746" s="1051"/>
      <c r="AD746" s="1051"/>
      <c r="AE746" s="1052"/>
      <c r="AF746" s="1051"/>
      <c r="AG746" s="1051"/>
      <c r="AH746" s="1051"/>
      <c r="AI746" s="1051"/>
      <c r="AJ746" s="1052"/>
      <c r="AK746" s="1051"/>
      <c r="AL746" s="1051"/>
      <c r="AM746" s="1052"/>
      <c r="AN746" s="1051"/>
      <c r="AO746" s="1051"/>
      <c r="AP746" s="1052"/>
      <c r="AQ746" s="1051"/>
      <c r="AR746" s="1051"/>
      <c r="AS746" s="1052"/>
      <c r="AT746" s="1051"/>
      <c r="AU746" s="1051"/>
      <c r="AV746" s="1052"/>
      <c r="AW746" s="1051"/>
      <c r="AX746" s="1051"/>
      <c r="AY746" s="1053"/>
      <c r="AZ746" s="1051"/>
      <c r="BA746" s="1051"/>
      <c r="BB746" s="1053"/>
      <c r="BC746" s="1051"/>
      <c r="BD746" s="1051"/>
      <c r="BE746" s="1053"/>
      <c r="BF746" s="1051"/>
      <c r="BG746" s="1051"/>
      <c r="BH746" s="1053"/>
      <c r="BI746" s="1052"/>
      <c r="BJ746" s="1052"/>
      <c r="BK746" s="1052"/>
      <c r="BL746" s="1052"/>
      <c r="BM746" s="1052"/>
      <c r="BN746" s="1054"/>
      <c r="BO746" s="1076">
        <f t="shared" si="22"/>
        <v>0</v>
      </c>
      <c r="BP746" s="1051"/>
      <c r="BQ746" s="1052"/>
      <c r="BR746" s="1054"/>
      <c r="BS746" s="1053"/>
      <c r="BT746" s="1051"/>
      <c r="BU746" s="1051"/>
      <c r="BV746" s="1051"/>
      <c r="BW746" s="1052"/>
      <c r="BX746" s="1052"/>
      <c r="BY746" s="1052"/>
      <c r="BZ746" s="1052"/>
      <c r="CA746" s="1052"/>
      <c r="CB746" s="1053"/>
      <c r="CC746" s="1053"/>
      <c r="CD746" s="1053"/>
      <c r="CE746" s="1053"/>
      <c r="CF746" s="1053"/>
      <c r="CG746" s="1053"/>
      <c r="CH746" s="1053"/>
      <c r="CI746" s="1123"/>
      <c r="CJ746" s="1123"/>
      <c r="CK746" s="1123"/>
      <c r="CL746" s="1123"/>
      <c r="CM746" s="1123"/>
      <c r="CN746" s="1123"/>
      <c r="CO746" s="1123"/>
      <c r="CP746" s="1123"/>
      <c r="CQ746" s="1123"/>
      <c r="CR746" s="1123"/>
      <c r="CS746" s="1123"/>
      <c r="CT746" s="1123"/>
      <c r="CU746" s="1123"/>
      <c r="CV746" s="1123"/>
      <c r="CW746" s="1123"/>
      <c r="CX746" s="1123"/>
      <c r="CY746" s="1123"/>
      <c r="CZ746" s="1114"/>
      <c r="DA746" s="1114"/>
      <c r="DB746" s="1114"/>
      <c r="DC746" s="1114"/>
      <c r="DD746" s="1114"/>
      <c r="DE746" s="1114"/>
      <c r="DF746" s="1114"/>
      <c r="DG746" s="1114"/>
      <c r="DH746" s="1114"/>
      <c r="DI746" s="1114"/>
      <c r="DJ746" s="1114"/>
      <c r="DK746" s="1114"/>
      <c r="DL746" s="1114"/>
      <c r="DM746" s="1114"/>
      <c r="DN746" s="1114"/>
      <c r="DO746" s="1114"/>
      <c r="DP746" s="1114"/>
      <c r="DQ746" s="1114"/>
      <c r="DR746" s="1114"/>
      <c r="DS746" s="1114"/>
      <c r="DT746" s="1114"/>
      <c r="DU746" s="1114"/>
      <c r="DV746" s="1115"/>
      <c r="DW746" s="1116"/>
      <c r="DX746" s="1116"/>
      <c r="DY746" s="1116"/>
      <c r="DZ746" s="1116"/>
      <c r="EA746" s="1116"/>
      <c r="EB746" s="1116"/>
      <c r="EC746" s="1116"/>
      <c r="ED746" s="1116"/>
      <c r="EE746" s="1116"/>
      <c r="EF746" s="1116"/>
      <c r="EG746" s="1116"/>
      <c r="EH746" s="1116"/>
      <c r="EI746" s="1116"/>
      <c r="EJ746" s="1116"/>
      <c r="EK746" s="1116"/>
      <c r="EL746" s="1116"/>
      <c r="EM746" s="1116"/>
      <c r="EN746" s="1116"/>
      <c r="EO746" s="1116"/>
      <c r="EP746" s="1116"/>
      <c r="EQ746" s="1116"/>
      <c r="ER746" s="1116"/>
      <c r="ES746" s="1116"/>
    </row>
    <row r="747" spans="1:149" ht="15" customHeight="1">
      <c r="A747" s="1185">
        <v>732</v>
      </c>
      <c r="B747" s="1041"/>
      <c r="C747" s="1050"/>
      <c r="D747" s="1050"/>
      <c r="E747" s="1050"/>
      <c r="F747" s="1049"/>
      <c r="G747" s="1457"/>
      <c r="H747" s="1049"/>
      <c r="I747" s="1049"/>
      <c r="J747" s="1050"/>
      <c r="K747" s="1050"/>
      <c r="L747" s="1043"/>
      <c r="M747" s="1051"/>
      <c r="N747" s="1051"/>
      <c r="O747" s="1052"/>
      <c r="P747" s="1051"/>
      <c r="Q747" s="1051"/>
      <c r="R747" s="1052"/>
      <c r="S747" s="1051"/>
      <c r="T747" s="1051"/>
      <c r="U747" s="1052"/>
      <c r="V747" s="1051"/>
      <c r="W747" s="1051"/>
      <c r="X747" s="1052"/>
      <c r="Y747" s="1053"/>
      <c r="Z747" s="1051"/>
      <c r="AA747" s="1051"/>
      <c r="AB747" s="1052"/>
      <c r="AC747" s="1051"/>
      <c r="AD747" s="1051"/>
      <c r="AE747" s="1052"/>
      <c r="AF747" s="1051"/>
      <c r="AG747" s="1051"/>
      <c r="AH747" s="1051"/>
      <c r="AI747" s="1051"/>
      <c r="AJ747" s="1052"/>
      <c r="AK747" s="1051"/>
      <c r="AL747" s="1051"/>
      <c r="AM747" s="1052"/>
      <c r="AN747" s="1051"/>
      <c r="AO747" s="1051"/>
      <c r="AP747" s="1052"/>
      <c r="AQ747" s="1051"/>
      <c r="AR747" s="1051"/>
      <c r="AS747" s="1052"/>
      <c r="AT747" s="1051"/>
      <c r="AU747" s="1051"/>
      <c r="AV747" s="1052"/>
      <c r="AW747" s="1051"/>
      <c r="AX747" s="1051"/>
      <c r="AY747" s="1053"/>
      <c r="AZ747" s="1051"/>
      <c r="BA747" s="1051"/>
      <c r="BB747" s="1053"/>
      <c r="BC747" s="1051"/>
      <c r="BD747" s="1051"/>
      <c r="BE747" s="1053"/>
      <c r="BF747" s="1051"/>
      <c r="BG747" s="1051"/>
      <c r="BH747" s="1053"/>
      <c r="BI747" s="1052"/>
      <c r="BJ747" s="1052"/>
      <c r="BK747" s="1052"/>
      <c r="BL747" s="1052"/>
      <c r="BM747" s="1052"/>
      <c r="BN747" s="1054"/>
      <c r="BO747" s="1076">
        <f t="shared" si="22"/>
        <v>0</v>
      </c>
      <c r="BP747" s="1051"/>
      <c r="BQ747" s="1052"/>
      <c r="BR747" s="1054"/>
      <c r="BS747" s="1053"/>
      <c r="BT747" s="1051"/>
      <c r="BU747" s="1051"/>
      <c r="BV747" s="1051"/>
      <c r="BW747" s="1052"/>
      <c r="BX747" s="1052"/>
      <c r="BY747" s="1052"/>
      <c r="BZ747" s="1052"/>
      <c r="CA747" s="1052"/>
      <c r="CB747" s="1053"/>
      <c r="CC747" s="1053"/>
      <c r="CD747" s="1053"/>
      <c r="CE747" s="1053"/>
      <c r="CF747" s="1053"/>
      <c r="CG747" s="1053"/>
      <c r="CH747" s="1053"/>
      <c r="CI747" s="1123"/>
      <c r="CJ747" s="1123"/>
      <c r="CK747" s="1123"/>
      <c r="CL747" s="1123"/>
      <c r="CM747" s="1123"/>
      <c r="CN747" s="1123"/>
      <c r="CO747" s="1123"/>
      <c r="CP747" s="1123"/>
      <c r="CQ747" s="1123"/>
      <c r="CR747" s="1123"/>
      <c r="CS747" s="1123"/>
      <c r="CT747" s="1123"/>
      <c r="CU747" s="1123"/>
      <c r="CV747" s="1123"/>
      <c r="CW747" s="1123"/>
      <c r="CX747" s="1123"/>
      <c r="CY747" s="1123"/>
      <c r="CZ747" s="1114"/>
      <c r="DA747" s="1114"/>
      <c r="DB747" s="1114"/>
      <c r="DC747" s="1114"/>
      <c r="DD747" s="1114"/>
      <c r="DE747" s="1114"/>
      <c r="DF747" s="1114"/>
      <c r="DG747" s="1114"/>
      <c r="DH747" s="1114"/>
      <c r="DI747" s="1114"/>
      <c r="DJ747" s="1114"/>
      <c r="DK747" s="1114"/>
      <c r="DL747" s="1114"/>
      <c r="DM747" s="1114"/>
      <c r="DN747" s="1114"/>
      <c r="DO747" s="1114"/>
      <c r="DP747" s="1114"/>
      <c r="DQ747" s="1114"/>
      <c r="DR747" s="1114"/>
      <c r="DS747" s="1114"/>
      <c r="DT747" s="1114"/>
      <c r="DU747" s="1114"/>
      <c r="DV747" s="1115"/>
      <c r="DW747" s="1116"/>
      <c r="DX747" s="1116"/>
      <c r="DY747" s="1116"/>
      <c r="DZ747" s="1116"/>
      <c r="EA747" s="1116"/>
      <c r="EB747" s="1116"/>
      <c r="EC747" s="1116"/>
      <c r="ED747" s="1116"/>
      <c r="EE747" s="1116"/>
      <c r="EF747" s="1116"/>
      <c r="EG747" s="1116"/>
      <c r="EH747" s="1116"/>
      <c r="EI747" s="1116"/>
      <c r="EJ747" s="1116"/>
      <c r="EK747" s="1116"/>
      <c r="EL747" s="1116"/>
      <c r="EM747" s="1116"/>
      <c r="EN747" s="1116"/>
      <c r="EO747" s="1116"/>
      <c r="EP747" s="1116"/>
      <c r="EQ747" s="1116"/>
      <c r="ER747" s="1116"/>
      <c r="ES747" s="1116"/>
    </row>
    <row r="748" spans="1:149" ht="15" customHeight="1">
      <c r="A748" s="1185">
        <v>733</v>
      </c>
      <c r="B748" s="1041"/>
      <c r="C748" s="1050"/>
      <c r="D748" s="1050"/>
      <c r="E748" s="1050"/>
      <c r="F748" s="1049"/>
      <c r="G748" s="1457"/>
      <c r="H748" s="1049"/>
      <c r="I748" s="1049"/>
      <c r="J748" s="1050"/>
      <c r="K748" s="1050"/>
      <c r="L748" s="1043"/>
      <c r="M748" s="1051"/>
      <c r="N748" s="1051"/>
      <c r="O748" s="1052"/>
      <c r="P748" s="1051"/>
      <c r="Q748" s="1051"/>
      <c r="R748" s="1052"/>
      <c r="S748" s="1051"/>
      <c r="T748" s="1051"/>
      <c r="U748" s="1052"/>
      <c r="V748" s="1051"/>
      <c r="W748" s="1051"/>
      <c r="X748" s="1052"/>
      <c r="Y748" s="1053"/>
      <c r="Z748" s="1051"/>
      <c r="AA748" s="1051"/>
      <c r="AB748" s="1052"/>
      <c r="AC748" s="1051"/>
      <c r="AD748" s="1051"/>
      <c r="AE748" s="1052"/>
      <c r="AF748" s="1051"/>
      <c r="AG748" s="1051"/>
      <c r="AH748" s="1051"/>
      <c r="AI748" s="1051"/>
      <c r="AJ748" s="1052"/>
      <c r="AK748" s="1051"/>
      <c r="AL748" s="1051"/>
      <c r="AM748" s="1052"/>
      <c r="AN748" s="1051"/>
      <c r="AO748" s="1051"/>
      <c r="AP748" s="1052"/>
      <c r="AQ748" s="1051"/>
      <c r="AR748" s="1051"/>
      <c r="AS748" s="1052"/>
      <c r="AT748" s="1051"/>
      <c r="AU748" s="1051"/>
      <c r="AV748" s="1052"/>
      <c r="AW748" s="1051"/>
      <c r="AX748" s="1051"/>
      <c r="AY748" s="1053"/>
      <c r="AZ748" s="1051"/>
      <c r="BA748" s="1051"/>
      <c r="BB748" s="1053"/>
      <c r="BC748" s="1051"/>
      <c r="BD748" s="1051"/>
      <c r="BE748" s="1053"/>
      <c r="BF748" s="1051"/>
      <c r="BG748" s="1051"/>
      <c r="BH748" s="1053"/>
      <c r="BI748" s="1052"/>
      <c r="BJ748" s="1052"/>
      <c r="BK748" s="1052"/>
      <c r="BL748" s="1052"/>
      <c r="BM748" s="1052"/>
      <c r="BN748" s="1054"/>
      <c r="BO748" s="1076">
        <f t="shared" si="22"/>
        <v>0</v>
      </c>
      <c r="BP748" s="1051"/>
      <c r="BQ748" s="1052"/>
      <c r="BR748" s="1054"/>
      <c r="BS748" s="1053"/>
      <c r="BT748" s="1051"/>
      <c r="BU748" s="1051"/>
      <c r="BV748" s="1051"/>
      <c r="BW748" s="1052"/>
      <c r="BX748" s="1052"/>
      <c r="BY748" s="1052"/>
      <c r="BZ748" s="1052"/>
      <c r="CA748" s="1052"/>
      <c r="CB748" s="1053"/>
      <c r="CC748" s="1053"/>
      <c r="CD748" s="1053"/>
      <c r="CE748" s="1053"/>
      <c r="CF748" s="1053"/>
      <c r="CG748" s="1053"/>
      <c r="CH748" s="1053"/>
      <c r="CI748" s="1123"/>
      <c r="CJ748" s="1123"/>
      <c r="CK748" s="1123"/>
      <c r="CL748" s="1123"/>
      <c r="CM748" s="1123"/>
      <c r="CN748" s="1123"/>
      <c r="CO748" s="1123"/>
      <c r="CP748" s="1123"/>
      <c r="CQ748" s="1123"/>
      <c r="CR748" s="1123"/>
      <c r="CS748" s="1123"/>
      <c r="CT748" s="1123"/>
      <c r="CU748" s="1123"/>
      <c r="CV748" s="1123"/>
      <c r="CW748" s="1123"/>
      <c r="CX748" s="1123"/>
      <c r="CY748" s="1123"/>
      <c r="CZ748" s="1114"/>
      <c r="DA748" s="1114"/>
      <c r="DB748" s="1114"/>
      <c r="DC748" s="1114"/>
      <c r="DD748" s="1114"/>
      <c r="DE748" s="1114"/>
      <c r="DF748" s="1114"/>
      <c r="DG748" s="1114"/>
      <c r="DH748" s="1114"/>
      <c r="DI748" s="1114"/>
      <c r="DJ748" s="1114"/>
      <c r="DK748" s="1114"/>
      <c r="DL748" s="1114"/>
      <c r="DM748" s="1114"/>
      <c r="DN748" s="1114"/>
      <c r="DO748" s="1114"/>
      <c r="DP748" s="1114"/>
      <c r="DQ748" s="1114"/>
      <c r="DR748" s="1114"/>
      <c r="DS748" s="1114"/>
      <c r="DT748" s="1114"/>
      <c r="DU748" s="1114"/>
      <c r="DV748" s="1115"/>
      <c r="DW748" s="1116"/>
      <c r="DX748" s="1116"/>
      <c r="DY748" s="1116"/>
      <c r="DZ748" s="1116"/>
      <c r="EA748" s="1116"/>
      <c r="EB748" s="1116"/>
      <c r="EC748" s="1116"/>
      <c r="ED748" s="1116"/>
      <c r="EE748" s="1116"/>
      <c r="EF748" s="1116"/>
      <c r="EG748" s="1116"/>
      <c r="EH748" s="1116"/>
      <c r="EI748" s="1116"/>
      <c r="EJ748" s="1116"/>
      <c r="EK748" s="1116"/>
      <c r="EL748" s="1116"/>
      <c r="EM748" s="1116"/>
      <c r="EN748" s="1116"/>
      <c r="EO748" s="1116"/>
      <c r="EP748" s="1116"/>
      <c r="EQ748" s="1116"/>
      <c r="ER748" s="1116"/>
      <c r="ES748" s="1116"/>
    </row>
    <row r="749" spans="1:149" ht="15" customHeight="1">
      <c r="A749" s="1185">
        <v>734</v>
      </c>
      <c r="B749" s="1041"/>
      <c r="C749" s="1050"/>
      <c r="D749" s="1050"/>
      <c r="E749" s="1050"/>
      <c r="F749" s="1049"/>
      <c r="G749" s="1457"/>
      <c r="H749" s="1049"/>
      <c r="I749" s="1049"/>
      <c r="J749" s="1050"/>
      <c r="K749" s="1050"/>
      <c r="L749" s="1043"/>
      <c r="M749" s="1051"/>
      <c r="N749" s="1051"/>
      <c r="O749" s="1052"/>
      <c r="P749" s="1051"/>
      <c r="Q749" s="1051"/>
      <c r="R749" s="1052"/>
      <c r="S749" s="1051"/>
      <c r="T749" s="1051"/>
      <c r="U749" s="1052"/>
      <c r="V749" s="1051"/>
      <c r="W749" s="1051"/>
      <c r="X749" s="1052"/>
      <c r="Y749" s="1053"/>
      <c r="Z749" s="1051"/>
      <c r="AA749" s="1051"/>
      <c r="AB749" s="1052"/>
      <c r="AC749" s="1051"/>
      <c r="AD749" s="1051"/>
      <c r="AE749" s="1052"/>
      <c r="AF749" s="1051"/>
      <c r="AG749" s="1051"/>
      <c r="AH749" s="1051"/>
      <c r="AI749" s="1051"/>
      <c r="AJ749" s="1052"/>
      <c r="AK749" s="1051"/>
      <c r="AL749" s="1051"/>
      <c r="AM749" s="1052"/>
      <c r="AN749" s="1051"/>
      <c r="AO749" s="1051"/>
      <c r="AP749" s="1052"/>
      <c r="AQ749" s="1051"/>
      <c r="AR749" s="1051"/>
      <c r="AS749" s="1052"/>
      <c r="AT749" s="1051"/>
      <c r="AU749" s="1051"/>
      <c r="AV749" s="1052"/>
      <c r="AW749" s="1051"/>
      <c r="AX749" s="1051"/>
      <c r="AY749" s="1053"/>
      <c r="AZ749" s="1051"/>
      <c r="BA749" s="1051"/>
      <c r="BB749" s="1053"/>
      <c r="BC749" s="1051"/>
      <c r="BD749" s="1051"/>
      <c r="BE749" s="1053"/>
      <c r="BF749" s="1051"/>
      <c r="BG749" s="1051"/>
      <c r="BH749" s="1053"/>
      <c r="BI749" s="1052"/>
      <c r="BJ749" s="1052"/>
      <c r="BK749" s="1052"/>
      <c r="BL749" s="1052"/>
      <c r="BM749" s="1052"/>
      <c r="BN749" s="1054"/>
      <c r="BO749" s="1076">
        <f t="shared" si="22"/>
        <v>0</v>
      </c>
      <c r="BP749" s="1051"/>
      <c r="BQ749" s="1052"/>
      <c r="BR749" s="1054"/>
      <c r="BS749" s="1053"/>
      <c r="BT749" s="1051"/>
      <c r="BU749" s="1051"/>
      <c r="BV749" s="1051"/>
      <c r="BW749" s="1052"/>
      <c r="BX749" s="1052"/>
      <c r="BY749" s="1052"/>
      <c r="BZ749" s="1052"/>
      <c r="CA749" s="1052"/>
      <c r="CB749" s="1053"/>
      <c r="CC749" s="1053"/>
      <c r="CD749" s="1053"/>
      <c r="CE749" s="1053"/>
      <c r="CF749" s="1053"/>
      <c r="CG749" s="1053"/>
      <c r="CH749" s="1053"/>
      <c r="CI749" s="1123"/>
      <c r="CJ749" s="1123"/>
      <c r="CK749" s="1123"/>
      <c r="CL749" s="1123"/>
      <c r="CM749" s="1123"/>
      <c r="CN749" s="1123"/>
      <c r="CO749" s="1123"/>
      <c r="CP749" s="1123"/>
      <c r="CQ749" s="1123"/>
      <c r="CR749" s="1123"/>
      <c r="CS749" s="1123"/>
      <c r="CT749" s="1123"/>
      <c r="CU749" s="1123"/>
      <c r="CV749" s="1123"/>
      <c r="CW749" s="1123"/>
      <c r="CX749" s="1123"/>
      <c r="CY749" s="1123"/>
      <c r="CZ749" s="1114"/>
      <c r="DA749" s="1114"/>
      <c r="DB749" s="1114"/>
      <c r="DC749" s="1114"/>
      <c r="DD749" s="1114"/>
      <c r="DE749" s="1114"/>
      <c r="DF749" s="1114"/>
      <c r="DG749" s="1114"/>
      <c r="DH749" s="1114"/>
      <c r="DI749" s="1114"/>
      <c r="DJ749" s="1114"/>
      <c r="DK749" s="1114"/>
      <c r="DL749" s="1114"/>
      <c r="DM749" s="1114"/>
      <c r="DN749" s="1114"/>
      <c r="DO749" s="1114"/>
      <c r="DP749" s="1114"/>
      <c r="DQ749" s="1114"/>
      <c r="DR749" s="1114"/>
      <c r="DS749" s="1114"/>
      <c r="DT749" s="1114"/>
      <c r="DU749" s="1114"/>
      <c r="DV749" s="1115"/>
      <c r="DW749" s="1116"/>
      <c r="DX749" s="1116"/>
      <c r="DY749" s="1116"/>
      <c r="DZ749" s="1116"/>
      <c r="EA749" s="1116"/>
      <c r="EB749" s="1116"/>
      <c r="EC749" s="1116"/>
      <c r="ED749" s="1116"/>
      <c r="EE749" s="1116"/>
      <c r="EF749" s="1116"/>
      <c r="EG749" s="1116"/>
      <c r="EH749" s="1116"/>
      <c r="EI749" s="1116"/>
      <c r="EJ749" s="1116"/>
      <c r="EK749" s="1116"/>
      <c r="EL749" s="1116"/>
      <c r="EM749" s="1116"/>
      <c r="EN749" s="1116"/>
      <c r="EO749" s="1116"/>
      <c r="EP749" s="1116"/>
      <c r="EQ749" s="1116"/>
      <c r="ER749" s="1116"/>
      <c r="ES749" s="1116"/>
    </row>
    <row r="750" spans="1:149" ht="15" customHeight="1">
      <c r="A750" s="1185">
        <v>735</v>
      </c>
      <c r="B750" s="1041"/>
      <c r="C750" s="1050"/>
      <c r="D750" s="1050"/>
      <c r="E750" s="1050"/>
      <c r="F750" s="1049"/>
      <c r="G750" s="1457"/>
      <c r="H750" s="1049"/>
      <c r="I750" s="1049"/>
      <c r="J750" s="1050"/>
      <c r="K750" s="1050"/>
      <c r="L750" s="1043"/>
      <c r="M750" s="1051"/>
      <c r="N750" s="1051"/>
      <c r="O750" s="1052"/>
      <c r="P750" s="1051"/>
      <c r="Q750" s="1051"/>
      <c r="R750" s="1052"/>
      <c r="S750" s="1051"/>
      <c r="T750" s="1051"/>
      <c r="U750" s="1052"/>
      <c r="V750" s="1051"/>
      <c r="W750" s="1051"/>
      <c r="X750" s="1052"/>
      <c r="Y750" s="1053"/>
      <c r="Z750" s="1051"/>
      <c r="AA750" s="1051"/>
      <c r="AB750" s="1052"/>
      <c r="AC750" s="1051"/>
      <c r="AD750" s="1051"/>
      <c r="AE750" s="1052"/>
      <c r="AF750" s="1051"/>
      <c r="AG750" s="1051"/>
      <c r="AH750" s="1051"/>
      <c r="AI750" s="1051"/>
      <c r="AJ750" s="1052"/>
      <c r="AK750" s="1051"/>
      <c r="AL750" s="1051"/>
      <c r="AM750" s="1052"/>
      <c r="AN750" s="1051"/>
      <c r="AO750" s="1051"/>
      <c r="AP750" s="1052"/>
      <c r="AQ750" s="1051"/>
      <c r="AR750" s="1051"/>
      <c r="AS750" s="1052"/>
      <c r="AT750" s="1051"/>
      <c r="AU750" s="1051"/>
      <c r="AV750" s="1052"/>
      <c r="AW750" s="1051"/>
      <c r="AX750" s="1051"/>
      <c r="AY750" s="1053"/>
      <c r="AZ750" s="1051"/>
      <c r="BA750" s="1051"/>
      <c r="BB750" s="1053"/>
      <c r="BC750" s="1051"/>
      <c r="BD750" s="1051"/>
      <c r="BE750" s="1053"/>
      <c r="BF750" s="1051"/>
      <c r="BG750" s="1051"/>
      <c r="BH750" s="1053"/>
      <c r="BI750" s="1052"/>
      <c r="BJ750" s="1052"/>
      <c r="BK750" s="1052"/>
      <c r="BL750" s="1052"/>
      <c r="BM750" s="1052"/>
      <c r="BN750" s="1054"/>
      <c r="BO750" s="1076">
        <f t="shared" si="22"/>
        <v>0</v>
      </c>
      <c r="BP750" s="1051"/>
      <c r="BQ750" s="1052"/>
      <c r="BR750" s="1054"/>
      <c r="BS750" s="1053"/>
      <c r="BT750" s="1051"/>
      <c r="BU750" s="1051"/>
      <c r="BV750" s="1051"/>
      <c r="BW750" s="1052"/>
      <c r="BX750" s="1052"/>
      <c r="BY750" s="1052"/>
      <c r="BZ750" s="1052"/>
      <c r="CA750" s="1052"/>
      <c r="CB750" s="1053"/>
      <c r="CC750" s="1053"/>
      <c r="CD750" s="1053"/>
      <c r="CE750" s="1053"/>
      <c r="CF750" s="1053"/>
      <c r="CG750" s="1053"/>
      <c r="CH750" s="1053"/>
      <c r="CI750" s="1123"/>
      <c r="CJ750" s="1123"/>
      <c r="CK750" s="1123"/>
      <c r="CL750" s="1123"/>
      <c r="CM750" s="1123"/>
      <c r="CN750" s="1123"/>
      <c r="CO750" s="1123"/>
      <c r="CP750" s="1123"/>
      <c r="CQ750" s="1123"/>
      <c r="CR750" s="1123"/>
      <c r="CS750" s="1123"/>
      <c r="CT750" s="1123"/>
      <c r="CU750" s="1123"/>
      <c r="CV750" s="1123"/>
      <c r="CW750" s="1123"/>
      <c r="CX750" s="1123"/>
      <c r="CY750" s="1123"/>
      <c r="CZ750" s="1114"/>
      <c r="DA750" s="1114"/>
      <c r="DB750" s="1114"/>
      <c r="DC750" s="1114"/>
      <c r="DD750" s="1114"/>
      <c r="DE750" s="1114"/>
      <c r="DF750" s="1114"/>
      <c r="DG750" s="1114"/>
      <c r="DH750" s="1114"/>
      <c r="DI750" s="1114"/>
      <c r="DJ750" s="1114"/>
      <c r="DK750" s="1114"/>
      <c r="DL750" s="1114"/>
      <c r="DM750" s="1114"/>
      <c r="DN750" s="1114"/>
      <c r="DO750" s="1114"/>
      <c r="DP750" s="1114"/>
      <c r="DQ750" s="1114"/>
      <c r="DR750" s="1114"/>
      <c r="DS750" s="1114"/>
      <c r="DT750" s="1114"/>
      <c r="DU750" s="1114"/>
      <c r="DV750" s="1115"/>
      <c r="DW750" s="1116"/>
      <c r="DX750" s="1116"/>
      <c r="DY750" s="1116"/>
      <c r="DZ750" s="1116"/>
      <c r="EA750" s="1116"/>
      <c r="EB750" s="1116"/>
      <c r="EC750" s="1116"/>
      <c r="ED750" s="1116"/>
      <c r="EE750" s="1116"/>
      <c r="EF750" s="1116"/>
      <c r="EG750" s="1116"/>
      <c r="EH750" s="1116"/>
      <c r="EI750" s="1116"/>
      <c r="EJ750" s="1116"/>
      <c r="EK750" s="1116"/>
      <c r="EL750" s="1116"/>
      <c r="EM750" s="1116"/>
      <c r="EN750" s="1116"/>
      <c r="EO750" s="1116"/>
      <c r="EP750" s="1116"/>
      <c r="EQ750" s="1116"/>
      <c r="ER750" s="1116"/>
      <c r="ES750" s="1116"/>
    </row>
    <row r="751" spans="1:149" ht="15" customHeight="1">
      <c r="A751" s="1185">
        <v>736</v>
      </c>
      <c r="B751" s="1041"/>
      <c r="C751" s="1050"/>
      <c r="D751" s="1050"/>
      <c r="E751" s="1050"/>
      <c r="F751" s="1049"/>
      <c r="G751" s="1457"/>
      <c r="H751" s="1049"/>
      <c r="I751" s="1049"/>
      <c r="J751" s="1050"/>
      <c r="K751" s="1050"/>
      <c r="L751" s="1043"/>
      <c r="M751" s="1051"/>
      <c r="N751" s="1051"/>
      <c r="O751" s="1052"/>
      <c r="P751" s="1051"/>
      <c r="Q751" s="1051"/>
      <c r="R751" s="1052"/>
      <c r="S751" s="1051"/>
      <c r="T751" s="1051"/>
      <c r="U751" s="1052"/>
      <c r="V751" s="1051"/>
      <c r="W751" s="1051"/>
      <c r="X751" s="1052"/>
      <c r="Y751" s="1053"/>
      <c r="Z751" s="1051"/>
      <c r="AA751" s="1051"/>
      <c r="AB751" s="1052"/>
      <c r="AC751" s="1051"/>
      <c r="AD751" s="1051"/>
      <c r="AE751" s="1052"/>
      <c r="AF751" s="1051"/>
      <c r="AG751" s="1051"/>
      <c r="AH751" s="1051"/>
      <c r="AI751" s="1051"/>
      <c r="AJ751" s="1052"/>
      <c r="AK751" s="1051"/>
      <c r="AL751" s="1051"/>
      <c r="AM751" s="1052"/>
      <c r="AN751" s="1051"/>
      <c r="AO751" s="1051"/>
      <c r="AP751" s="1052"/>
      <c r="AQ751" s="1051"/>
      <c r="AR751" s="1051"/>
      <c r="AS751" s="1052"/>
      <c r="AT751" s="1051"/>
      <c r="AU751" s="1051"/>
      <c r="AV751" s="1052"/>
      <c r="AW751" s="1051"/>
      <c r="AX751" s="1051"/>
      <c r="AY751" s="1053"/>
      <c r="AZ751" s="1051"/>
      <c r="BA751" s="1051"/>
      <c r="BB751" s="1053"/>
      <c r="BC751" s="1051"/>
      <c r="BD751" s="1051"/>
      <c r="BE751" s="1053"/>
      <c r="BF751" s="1051"/>
      <c r="BG751" s="1051"/>
      <c r="BH751" s="1053"/>
      <c r="BI751" s="1052"/>
      <c r="BJ751" s="1052"/>
      <c r="BK751" s="1052"/>
      <c r="BL751" s="1052"/>
      <c r="BM751" s="1052"/>
      <c r="BN751" s="1054"/>
      <c r="BO751" s="1076">
        <f t="shared" si="22"/>
        <v>0</v>
      </c>
      <c r="BP751" s="1051"/>
      <c r="BQ751" s="1052"/>
      <c r="BR751" s="1054"/>
      <c r="BS751" s="1053"/>
      <c r="BT751" s="1051"/>
      <c r="BU751" s="1051"/>
      <c r="BV751" s="1051"/>
      <c r="BW751" s="1052"/>
      <c r="BX751" s="1052"/>
      <c r="BY751" s="1052"/>
      <c r="BZ751" s="1052"/>
      <c r="CA751" s="1052"/>
      <c r="CB751" s="1053"/>
      <c r="CC751" s="1053"/>
      <c r="CD751" s="1053"/>
      <c r="CE751" s="1053"/>
      <c r="CF751" s="1053"/>
      <c r="CG751" s="1053"/>
      <c r="CH751" s="1053"/>
      <c r="CI751" s="1123"/>
      <c r="CJ751" s="1123"/>
      <c r="CK751" s="1123"/>
      <c r="CL751" s="1123"/>
      <c r="CM751" s="1123"/>
      <c r="CN751" s="1123"/>
      <c r="CO751" s="1123"/>
      <c r="CP751" s="1123"/>
      <c r="CQ751" s="1123"/>
      <c r="CR751" s="1123"/>
      <c r="CS751" s="1123"/>
      <c r="CT751" s="1123"/>
      <c r="CU751" s="1123"/>
      <c r="CV751" s="1123"/>
      <c r="CW751" s="1123"/>
      <c r="CX751" s="1123"/>
      <c r="CY751" s="1123"/>
      <c r="CZ751" s="1114"/>
      <c r="DA751" s="1114"/>
      <c r="DB751" s="1114"/>
      <c r="DC751" s="1114"/>
      <c r="DD751" s="1114"/>
      <c r="DE751" s="1114"/>
      <c r="DF751" s="1114"/>
      <c r="DG751" s="1114"/>
      <c r="DH751" s="1114"/>
      <c r="DI751" s="1114"/>
      <c r="DJ751" s="1114"/>
      <c r="DK751" s="1114"/>
      <c r="DL751" s="1114"/>
      <c r="DM751" s="1114"/>
      <c r="DN751" s="1114"/>
      <c r="DO751" s="1114"/>
      <c r="DP751" s="1114"/>
      <c r="DQ751" s="1114"/>
      <c r="DR751" s="1114"/>
      <c r="DS751" s="1114"/>
      <c r="DT751" s="1114"/>
      <c r="DU751" s="1114"/>
      <c r="DV751" s="1115"/>
      <c r="DW751" s="1116"/>
      <c r="DX751" s="1116"/>
      <c r="DY751" s="1116"/>
      <c r="DZ751" s="1116"/>
      <c r="EA751" s="1116"/>
      <c r="EB751" s="1116"/>
      <c r="EC751" s="1116"/>
      <c r="ED751" s="1116"/>
      <c r="EE751" s="1116"/>
      <c r="EF751" s="1116"/>
      <c r="EG751" s="1116"/>
      <c r="EH751" s="1116"/>
      <c r="EI751" s="1116"/>
      <c r="EJ751" s="1116"/>
      <c r="EK751" s="1116"/>
      <c r="EL751" s="1116"/>
      <c r="EM751" s="1116"/>
      <c r="EN751" s="1116"/>
      <c r="EO751" s="1116"/>
      <c r="EP751" s="1116"/>
      <c r="EQ751" s="1116"/>
      <c r="ER751" s="1116"/>
      <c r="ES751" s="1116"/>
    </row>
    <row r="752" spans="1:149" ht="15" customHeight="1">
      <c r="A752" s="1185">
        <v>737</v>
      </c>
      <c r="B752" s="1041"/>
      <c r="C752" s="1050"/>
      <c r="D752" s="1050"/>
      <c r="E752" s="1050"/>
      <c r="F752" s="1049"/>
      <c r="G752" s="1457"/>
      <c r="H752" s="1049"/>
      <c r="I752" s="1049"/>
      <c r="J752" s="1050"/>
      <c r="K752" s="1050"/>
      <c r="L752" s="1043"/>
      <c r="M752" s="1051"/>
      <c r="N752" s="1051"/>
      <c r="O752" s="1052"/>
      <c r="P752" s="1051"/>
      <c r="Q752" s="1051"/>
      <c r="R752" s="1052"/>
      <c r="S752" s="1051"/>
      <c r="T752" s="1051"/>
      <c r="U752" s="1052"/>
      <c r="V752" s="1051"/>
      <c r="W752" s="1051"/>
      <c r="X752" s="1052"/>
      <c r="Y752" s="1053"/>
      <c r="Z752" s="1051"/>
      <c r="AA752" s="1051"/>
      <c r="AB752" s="1052"/>
      <c r="AC752" s="1051"/>
      <c r="AD752" s="1051"/>
      <c r="AE752" s="1052"/>
      <c r="AF752" s="1051"/>
      <c r="AG752" s="1051"/>
      <c r="AH752" s="1051"/>
      <c r="AI752" s="1051"/>
      <c r="AJ752" s="1052"/>
      <c r="AK752" s="1051"/>
      <c r="AL752" s="1051"/>
      <c r="AM752" s="1052"/>
      <c r="AN752" s="1051"/>
      <c r="AO752" s="1051"/>
      <c r="AP752" s="1052"/>
      <c r="AQ752" s="1051"/>
      <c r="AR752" s="1051"/>
      <c r="AS752" s="1052"/>
      <c r="AT752" s="1051"/>
      <c r="AU752" s="1051"/>
      <c r="AV752" s="1052"/>
      <c r="AW752" s="1051"/>
      <c r="AX752" s="1051"/>
      <c r="AY752" s="1053"/>
      <c r="AZ752" s="1051"/>
      <c r="BA752" s="1051"/>
      <c r="BB752" s="1053"/>
      <c r="BC752" s="1051"/>
      <c r="BD752" s="1051"/>
      <c r="BE752" s="1053"/>
      <c r="BF752" s="1051"/>
      <c r="BG752" s="1051"/>
      <c r="BH752" s="1053"/>
      <c r="BI752" s="1052"/>
      <c r="BJ752" s="1052"/>
      <c r="BK752" s="1052"/>
      <c r="BL752" s="1052"/>
      <c r="BM752" s="1052"/>
      <c r="BN752" s="1054"/>
      <c r="BO752" s="1076">
        <f t="shared" si="22"/>
        <v>0</v>
      </c>
      <c r="BP752" s="1051"/>
      <c r="BQ752" s="1052"/>
      <c r="BR752" s="1054"/>
      <c r="BS752" s="1053"/>
      <c r="BT752" s="1051"/>
      <c r="BU752" s="1051"/>
      <c r="BV752" s="1051"/>
      <c r="BW752" s="1052"/>
      <c r="BX752" s="1052"/>
      <c r="BY752" s="1052"/>
      <c r="BZ752" s="1052"/>
      <c r="CA752" s="1052"/>
      <c r="CB752" s="1053"/>
      <c r="CC752" s="1053"/>
      <c r="CD752" s="1053"/>
      <c r="CE752" s="1053"/>
      <c r="CF752" s="1053"/>
      <c r="CG752" s="1053"/>
      <c r="CH752" s="1053"/>
      <c r="CI752" s="1123"/>
      <c r="CJ752" s="1123"/>
      <c r="CK752" s="1123"/>
      <c r="CL752" s="1123"/>
      <c r="CM752" s="1123"/>
      <c r="CN752" s="1123"/>
      <c r="CO752" s="1123"/>
      <c r="CP752" s="1123"/>
      <c r="CQ752" s="1123"/>
      <c r="CR752" s="1123"/>
      <c r="CS752" s="1123"/>
      <c r="CT752" s="1123"/>
      <c r="CU752" s="1123"/>
      <c r="CV752" s="1123"/>
      <c r="CW752" s="1123"/>
      <c r="CX752" s="1123"/>
      <c r="CY752" s="1123"/>
      <c r="CZ752" s="1114"/>
      <c r="DA752" s="1114"/>
      <c r="DB752" s="1114"/>
      <c r="DC752" s="1114"/>
      <c r="DD752" s="1114"/>
      <c r="DE752" s="1114"/>
      <c r="DF752" s="1114"/>
      <c r="DG752" s="1114"/>
      <c r="DH752" s="1114"/>
      <c r="DI752" s="1114"/>
      <c r="DJ752" s="1114"/>
      <c r="DK752" s="1114"/>
      <c r="DL752" s="1114"/>
      <c r="DM752" s="1114"/>
      <c r="DN752" s="1114"/>
      <c r="DO752" s="1114"/>
      <c r="DP752" s="1114"/>
      <c r="DQ752" s="1114"/>
      <c r="DR752" s="1114"/>
      <c r="DS752" s="1114"/>
      <c r="DT752" s="1114"/>
      <c r="DU752" s="1114"/>
      <c r="DV752" s="1115"/>
      <c r="DW752" s="1116"/>
      <c r="DX752" s="1116"/>
      <c r="DY752" s="1116"/>
      <c r="DZ752" s="1116"/>
      <c r="EA752" s="1116"/>
      <c r="EB752" s="1116"/>
      <c r="EC752" s="1116"/>
      <c r="ED752" s="1116"/>
      <c r="EE752" s="1116"/>
      <c r="EF752" s="1116"/>
      <c r="EG752" s="1116"/>
      <c r="EH752" s="1116"/>
      <c r="EI752" s="1116"/>
      <c r="EJ752" s="1116"/>
      <c r="EK752" s="1116"/>
      <c r="EL752" s="1116"/>
      <c r="EM752" s="1116"/>
      <c r="EN752" s="1116"/>
      <c r="EO752" s="1116"/>
      <c r="EP752" s="1116"/>
      <c r="EQ752" s="1116"/>
      <c r="ER752" s="1116"/>
      <c r="ES752" s="1116"/>
    </row>
    <row r="753" spans="1:149" ht="15" customHeight="1">
      <c r="A753" s="1185">
        <v>738</v>
      </c>
      <c r="B753" s="1041"/>
      <c r="C753" s="1050"/>
      <c r="D753" s="1050"/>
      <c r="E753" s="1050"/>
      <c r="F753" s="1049"/>
      <c r="G753" s="1457"/>
      <c r="H753" s="1049"/>
      <c r="I753" s="1049"/>
      <c r="J753" s="1050"/>
      <c r="K753" s="1050"/>
      <c r="L753" s="1043"/>
      <c r="M753" s="1051"/>
      <c r="N753" s="1051"/>
      <c r="O753" s="1052"/>
      <c r="P753" s="1051"/>
      <c r="Q753" s="1051"/>
      <c r="R753" s="1052"/>
      <c r="S753" s="1051"/>
      <c r="T753" s="1051"/>
      <c r="U753" s="1052"/>
      <c r="V753" s="1051"/>
      <c r="W753" s="1051"/>
      <c r="X753" s="1052"/>
      <c r="Y753" s="1053"/>
      <c r="Z753" s="1051"/>
      <c r="AA753" s="1051"/>
      <c r="AB753" s="1052"/>
      <c r="AC753" s="1051"/>
      <c r="AD753" s="1051"/>
      <c r="AE753" s="1052"/>
      <c r="AF753" s="1051"/>
      <c r="AG753" s="1051"/>
      <c r="AH753" s="1051"/>
      <c r="AI753" s="1051"/>
      <c r="AJ753" s="1052"/>
      <c r="AK753" s="1051"/>
      <c r="AL753" s="1051"/>
      <c r="AM753" s="1052"/>
      <c r="AN753" s="1051"/>
      <c r="AO753" s="1051"/>
      <c r="AP753" s="1052"/>
      <c r="AQ753" s="1051"/>
      <c r="AR753" s="1051"/>
      <c r="AS753" s="1052"/>
      <c r="AT753" s="1051"/>
      <c r="AU753" s="1051"/>
      <c r="AV753" s="1052"/>
      <c r="AW753" s="1051"/>
      <c r="AX753" s="1051"/>
      <c r="AY753" s="1053"/>
      <c r="AZ753" s="1051"/>
      <c r="BA753" s="1051"/>
      <c r="BB753" s="1053"/>
      <c r="BC753" s="1051"/>
      <c r="BD753" s="1051"/>
      <c r="BE753" s="1053"/>
      <c r="BF753" s="1051"/>
      <c r="BG753" s="1051"/>
      <c r="BH753" s="1053"/>
      <c r="BI753" s="1052"/>
      <c r="BJ753" s="1052"/>
      <c r="BK753" s="1052"/>
      <c r="BL753" s="1052"/>
      <c r="BM753" s="1052"/>
      <c r="BN753" s="1054"/>
      <c r="BO753" s="1076">
        <f t="shared" si="22"/>
        <v>0</v>
      </c>
      <c r="BP753" s="1051"/>
      <c r="BQ753" s="1052"/>
      <c r="BR753" s="1054"/>
      <c r="BS753" s="1053"/>
      <c r="BT753" s="1051"/>
      <c r="BU753" s="1051"/>
      <c r="BV753" s="1051"/>
      <c r="BW753" s="1052"/>
      <c r="BX753" s="1052"/>
      <c r="BY753" s="1052"/>
      <c r="BZ753" s="1052"/>
      <c r="CA753" s="1052"/>
      <c r="CB753" s="1053"/>
      <c r="CC753" s="1053"/>
      <c r="CD753" s="1053"/>
      <c r="CE753" s="1053"/>
      <c r="CF753" s="1053"/>
      <c r="CG753" s="1053"/>
      <c r="CH753" s="1053"/>
      <c r="CI753" s="1123"/>
      <c r="CJ753" s="1123"/>
      <c r="CK753" s="1123"/>
      <c r="CL753" s="1123"/>
      <c r="CM753" s="1123"/>
      <c r="CN753" s="1123"/>
      <c r="CO753" s="1123"/>
      <c r="CP753" s="1123"/>
      <c r="CQ753" s="1123"/>
      <c r="CR753" s="1123"/>
      <c r="CS753" s="1123"/>
      <c r="CT753" s="1123"/>
      <c r="CU753" s="1123"/>
      <c r="CV753" s="1123"/>
      <c r="CW753" s="1123"/>
      <c r="CX753" s="1123"/>
      <c r="CY753" s="1123"/>
      <c r="CZ753" s="1114"/>
      <c r="DA753" s="1114"/>
      <c r="DB753" s="1114"/>
      <c r="DC753" s="1114"/>
      <c r="DD753" s="1114"/>
      <c r="DE753" s="1114"/>
      <c r="DF753" s="1114"/>
      <c r="DG753" s="1114"/>
      <c r="DH753" s="1114"/>
      <c r="DI753" s="1114"/>
      <c r="DJ753" s="1114"/>
      <c r="DK753" s="1114"/>
      <c r="DL753" s="1114"/>
      <c r="DM753" s="1114"/>
      <c r="DN753" s="1114"/>
      <c r="DO753" s="1114"/>
      <c r="DP753" s="1114"/>
      <c r="DQ753" s="1114"/>
      <c r="DR753" s="1114"/>
      <c r="DS753" s="1114"/>
      <c r="DT753" s="1114"/>
      <c r="DU753" s="1114"/>
      <c r="DV753" s="1115"/>
      <c r="DW753" s="1116"/>
      <c r="DX753" s="1116"/>
      <c r="DY753" s="1116"/>
      <c r="DZ753" s="1116"/>
      <c r="EA753" s="1116"/>
      <c r="EB753" s="1116"/>
      <c r="EC753" s="1116"/>
      <c r="ED753" s="1116"/>
      <c r="EE753" s="1116"/>
      <c r="EF753" s="1116"/>
      <c r="EG753" s="1116"/>
      <c r="EH753" s="1116"/>
      <c r="EI753" s="1116"/>
      <c r="EJ753" s="1116"/>
      <c r="EK753" s="1116"/>
      <c r="EL753" s="1116"/>
      <c r="EM753" s="1116"/>
      <c r="EN753" s="1116"/>
      <c r="EO753" s="1116"/>
      <c r="EP753" s="1116"/>
      <c r="EQ753" s="1116"/>
      <c r="ER753" s="1116"/>
      <c r="ES753" s="1116"/>
    </row>
    <row r="754" spans="1:149" ht="15" customHeight="1">
      <c r="A754" s="1185">
        <v>739</v>
      </c>
      <c r="B754" s="1041"/>
      <c r="C754" s="1050"/>
      <c r="D754" s="1050"/>
      <c r="E754" s="1050"/>
      <c r="F754" s="1049"/>
      <c r="G754" s="1457"/>
      <c r="H754" s="1049"/>
      <c r="I754" s="1049"/>
      <c r="J754" s="1050"/>
      <c r="K754" s="1050"/>
      <c r="L754" s="1043"/>
      <c r="M754" s="1051"/>
      <c r="N754" s="1051"/>
      <c r="O754" s="1052"/>
      <c r="P754" s="1051"/>
      <c r="Q754" s="1051"/>
      <c r="R754" s="1052"/>
      <c r="S754" s="1051"/>
      <c r="T754" s="1051"/>
      <c r="U754" s="1052"/>
      <c r="V754" s="1051"/>
      <c r="W754" s="1051"/>
      <c r="X754" s="1052"/>
      <c r="Y754" s="1053"/>
      <c r="Z754" s="1051"/>
      <c r="AA754" s="1051"/>
      <c r="AB754" s="1052"/>
      <c r="AC754" s="1051"/>
      <c r="AD754" s="1051"/>
      <c r="AE754" s="1052"/>
      <c r="AF754" s="1051"/>
      <c r="AG754" s="1051"/>
      <c r="AH754" s="1051"/>
      <c r="AI754" s="1051"/>
      <c r="AJ754" s="1052"/>
      <c r="AK754" s="1051"/>
      <c r="AL754" s="1051"/>
      <c r="AM754" s="1052"/>
      <c r="AN754" s="1051"/>
      <c r="AO754" s="1051"/>
      <c r="AP754" s="1052"/>
      <c r="AQ754" s="1051"/>
      <c r="AR754" s="1051"/>
      <c r="AS754" s="1052"/>
      <c r="AT754" s="1051"/>
      <c r="AU754" s="1051"/>
      <c r="AV754" s="1052"/>
      <c r="AW754" s="1051"/>
      <c r="AX754" s="1051"/>
      <c r="AY754" s="1053"/>
      <c r="AZ754" s="1051"/>
      <c r="BA754" s="1051"/>
      <c r="BB754" s="1053"/>
      <c r="BC754" s="1051"/>
      <c r="BD754" s="1051"/>
      <c r="BE754" s="1053"/>
      <c r="BF754" s="1051"/>
      <c r="BG754" s="1051"/>
      <c r="BH754" s="1053"/>
      <c r="BI754" s="1052"/>
      <c r="BJ754" s="1052"/>
      <c r="BK754" s="1052"/>
      <c r="BL754" s="1052"/>
      <c r="BM754" s="1052"/>
      <c r="BN754" s="1054"/>
      <c r="BO754" s="1076">
        <f t="shared" si="22"/>
        <v>0</v>
      </c>
      <c r="BP754" s="1051"/>
      <c r="BQ754" s="1052"/>
      <c r="BR754" s="1054"/>
      <c r="BS754" s="1053"/>
      <c r="BT754" s="1051"/>
      <c r="BU754" s="1051"/>
      <c r="BV754" s="1051"/>
      <c r="BW754" s="1052"/>
      <c r="BX754" s="1052"/>
      <c r="BY754" s="1052"/>
      <c r="BZ754" s="1052"/>
      <c r="CA754" s="1052"/>
      <c r="CB754" s="1053"/>
      <c r="CC754" s="1053"/>
      <c r="CD754" s="1053"/>
      <c r="CE754" s="1053"/>
      <c r="CF754" s="1053"/>
      <c r="CG754" s="1053"/>
      <c r="CH754" s="1053"/>
      <c r="CI754" s="1123"/>
      <c r="CJ754" s="1123"/>
      <c r="CK754" s="1123"/>
      <c r="CL754" s="1123"/>
      <c r="CM754" s="1123"/>
      <c r="CN754" s="1123"/>
      <c r="CO754" s="1123"/>
      <c r="CP754" s="1123"/>
      <c r="CQ754" s="1123"/>
      <c r="CR754" s="1123"/>
      <c r="CS754" s="1123"/>
      <c r="CT754" s="1123"/>
      <c r="CU754" s="1123"/>
      <c r="CV754" s="1123"/>
      <c r="CW754" s="1123"/>
      <c r="CX754" s="1123"/>
      <c r="CY754" s="1123"/>
      <c r="CZ754" s="1114"/>
      <c r="DA754" s="1114"/>
      <c r="DB754" s="1114"/>
      <c r="DC754" s="1114"/>
      <c r="DD754" s="1114"/>
      <c r="DE754" s="1114"/>
      <c r="DF754" s="1114"/>
      <c r="DG754" s="1114"/>
      <c r="DH754" s="1114"/>
      <c r="DI754" s="1114"/>
      <c r="DJ754" s="1114"/>
      <c r="DK754" s="1114"/>
      <c r="DL754" s="1114"/>
      <c r="DM754" s="1114"/>
      <c r="DN754" s="1114"/>
      <c r="DO754" s="1114"/>
      <c r="DP754" s="1114"/>
      <c r="DQ754" s="1114"/>
      <c r="DR754" s="1114"/>
      <c r="DS754" s="1114"/>
      <c r="DT754" s="1114"/>
      <c r="DU754" s="1114"/>
      <c r="DV754" s="1115"/>
      <c r="DW754" s="1116"/>
      <c r="DX754" s="1116"/>
      <c r="DY754" s="1116"/>
      <c r="DZ754" s="1116"/>
      <c r="EA754" s="1116"/>
      <c r="EB754" s="1116"/>
      <c r="EC754" s="1116"/>
      <c r="ED754" s="1116"/>
      <c r="EE754" s="1116"/>
      <c r="EF754" s="1116"/>
      <c r="EG754" s="1116"/>
      <c r="EH754" s="1116"/>
      <c r="EI754" s="1116"/>
      <c r="EJ754" s="1116"/>
      <c r="EK754" s="1116"/>
      <c r="EL754" s="1116"/>
      <c r="EM754" s="1116"/>
      <c r="EN754" s="1116"/>
      <c r="EO754" s="1116"/>
      <c r="EP754" s="1116"/>
      <c r="EQ754" s="1116"/>
      <c r="ER754" s="1116"/>
      <c r="ES754" s="1116"/>
    </row>
    <row r="755" spans="1:149" ht="15" customHeight="1">
      <c r="A755" s="1185">
        <v>740</v>
      </c>
      <c r="B755" s="1041"/>
      <c r="C755" s="1050"/>
      <c r="D755" s="1050"/>
      <c r="E755" s="1050"/>
      <c r="F755" s="1049"/>
      <c r="G755" s="1457"/>
      <c r="H755" s="1049"/>
      <c r="I755" s="1049"/>
      <c r="J755" s="1050"/>
      <c r="K755" s="1050"/>
      <c r="L755" s="1043"/>
      <c r="M755" s="1051"/>
      <c r="N755" s="1051"/>
      <c r="O755" s="1052"/>
      <c r="P755" s="1051"/>
      <c r="Q755" s="1051"/>
      <c r="R755" s="1052"/>
      <c r="S755" s="1051"/>
      <c r="T755" s="1051"/>
      <c r="U755" s="1052"/>
      <c r="V755" s="1051"/>
      <c r="W755" s="1051"/>
      <c r="X755" s="1052"/>
      <c r="Y755" s="1053"/>
      <c r="Z755" s="1051"/>
      <c r="AA755" s="1051"/>
      <c r="AB755" s="1052"/>
      <c r="AC755" s="1051"/>
      <c r="AD755" s="1051"/>
      <c r="AE755" s="1052"/>
      <c r="AF755" s="1051"/>
      <c r="AG755" s="1051"/>
      <c r="AH755" s="1051"/>
      <c r="AI755" s="1051"/>
      <c r="AJ755" s="1052"/>
      <c r="AK755" s="1051"/>
      <c r="AL755" s="1051"/>
      <c r="AM755" s="1052"/>
      <c r="AN755" s="1051"/>
      <c r="AO755" s="1051"/>
      <c r="AP755" s="1052"/>
      <c r="AQ755" s="1051"/>
      <c r="AR755" s="1051"/>
      <c r="AS755" s="1052"/>
      <c r="AT755" s="1051"/>
      <c r="AU755" s="1051"/>
      <c r="AV755" s="1052"/>
      <c r="AW755" s="1051"/>
      <c r="AX755" s="1051"/>
      <c r="AY755" s="1053"/>
      <c r="AZ755" s="1051"/>
      <c r="BA755" s="1051"/>
      <c r="BB755" s="1053"/>
      <c r="BC755" s="1051"/>
      <c r="BD755" s="1051"/>
      <c r="BE755" s="1053"/>
      <c r="BF755" s="1051"/>
      <c r="BG755" s="1051"/>
      <c r="BH755" s="1053"/>
      <c r="BI755" s="1052"/>
      <c r="BJ755" s="1052"/>
      <c r="BK755" s="1052"/>
      <c r="BL755" s="1052"/>
      <c r="BM755" s="1052"/>
      <c r="BN755" s="1054"/>
      <c r="BO755" s="1076">
        <f t="shared" si="22"/>
        <v>0</v>
      </c>
      <c r="BP755" s="1051"/>
      <c r="BQ755" s="1052"/>
      <c r="BR755" s="1054"/>
      <c r="BS755" s="1053"/>
      <c r="BT755" s="1051"/>
      <c r="BU755" s="1051"/>
      <c r="BV755" s="1051"/>
      <c r="BW755" s="1052"/>
      <c r="BX755" s="1052"/>
      <c r="BY755" s="1052"/>
      <c r="BZ755" s="1052"/>
      <c r="CA755" s="1052"/>
      <c r="CB755" s="1053"/>
      <c r="CC755" s="1053"/>
      <c r="CD755" s="1053"/>
      <c r="CE755" s="1053"/>
      <c r="CF755" s="1053"/>
      <c r="CG755" s="1053"/>
      <c r="CH755" s="1053"/>
      <c r="CI755" s="1123"/>
      <c r="CJ755" s="1123"/>
      <c r="CK755" s="1123"/>
      <c r="CL755" s="1123"/>
      <c r="CM755" s="1123"/>
      <c r="CN755" s="1123"/>
      <c r="CO755" s="1123"/>
      <c r="CP755" s="1123"/>
      <c r="CQ755" s="1123"/>
      <c r="CR755" s="1123"/>
      <c r="CS755" s="1123"/>
      <c r="CT755" s="1123"/>
      <c r="CU755" s="1123"/>
      <c r="CV755" s="1123"/>
      <c r="CW755" s="1123"/>
      <c r="CX755" s="1123"/>
      <c r="CY755" s="1123"/>
      <c r="CZ755" s="1114"/>
      <c r="DA755" s="1114"/>
      <c r="DB755" s="1114"/>
      <c r="DC755" s="1114"/>
      <c r="DD755" s="1114"/>
      <c r="DE755" s="1114"/>
      <c r="DF755" s="1114"/>
      <c r="DG755" s="1114"/>
      <c r="DH755" s="1114"/>
      <c r="DI755" s="1114"/>
      <c r="DJ755" s="1114"/>
      <c r="DK755" s="1114"/>
      <c r="DL755" s="1114"/>
      <c r="DM755" s="1114"/>
      <c r="DN755" s="1114"/>
      <c r="DO755" s="1114"/>
      <c r="DP755" s="1114"/>
      <c r="DQ755" s="1114"/>
      <c r="DR755" s="1114"/>
      <c r="DS755" s="1114"/>
      <c r="DT755" s="1114"/>
      <c r="DU755" s="1114"/>
      <c r="DV755" s="1115"/>
      <c r="DW755" s="1116"/>
      <c r="DX755" s="1116"/>
      <c r="DY755" s="1116"/>
      <c r="DZ755" s="1116"/>
      <c r="EA755" s="1116"/>
      <c r="EB755" s="1116"/>
      <c r="EC755" s="1116"/>
      <c r="ED755" s="1116"/>
      <c r="EE755" s="1116"/>
      <c r="EF755" s="1116"/>
      <c r="EG755" s="1116"/>
      <c r="EH755" s="1116"/>
      <c r="EI755" s="1116"/>
      <c r="EJ755" s="1116"/>
      <c r="EK755" s="1116"/>
      <c r="EL755" s="1116"/>
      <c r="EM755" s="1116"/>
      <c r="EN755" s="1116"/>
      <c r="EO755" s="1116"/>
      <c r="EP755" s="1116"/>
      <c r="EQ755" s="1116"/>
      <c r="ER755" s="1116"/>
      <c r="ES755" s="1116"/>
    </row>
    <row r="756" spans="1:149" ht="15" customHeight="1">
      <c r="A756" s="1185">
        <v>741</v>
      </c>
      <c r="B756" s="1041"/>
      <c r="C756" s="1050"/>
      <c r="D756" s="1050"/>
      <c r="E756" s="1050"/>
      <c r="F756" s="1049"/>
      <c r="G756" s="1457"/>
      <c r="H756" s="1049"/>
      <c r="I756" s="1049"/>
      <c r="J756" s="1050"/>
      <c r="K756" s="1050"/>
      <c r="L756" s="1043"/>
      <c r="M756" s="1051"/>
      <c r="N756" s="1051"/>
      <c r="O756" s="1052"/>
      <c r="P756" s="1051"/>
      <c r="Q756" s="1051"/>
      <c r="R756" s="1052"/>
      <c r="S756" s="1051"/>
      <c r="T756" s="1051"/>
      <c r="U756" s="1052"/>
      <c r="V756" s="1051"/>
      <c r="W756" s="1051"/>
      <c r="X756" s="1052"/>
      <c r="Y756" s="1053"/>
      <c r="Z756" s="1051"/>
      <c r="AA756" s="1051"/>
      <c r="AB756" s="1052"/>
      <c r="AC756" s="1051"/>
      <c r="AD756" s="1051"/>
      <c r="AE756" s="1052"/>
      <c r="AF756" s="1051"/>
      <c r="AG756" s="1051"/>
      <c r="AH756" s="1051"/>
      <c r="AI756" s="1051"/>
      <c r="AJ756" s="1052"/>
      <c r="AK756" s="1051"/>
      <c r="AL756" s="1051"/>
      <c r="AM756" s="1052"/>
      <c r="AN756" s="1051"/>
      <c r="AO756" s="1051"/>
      <c r="AP756" s="1052"/>
      <c r="AQ756" s="1051"/>
      <c r="AR756" s="1051"/>
      <c r="AS756" s="1052"/>
      <c r="AT756" s="1051"/>
      <c r="AU756" s="1051"/>
      <c r="AV756" s="1052"/>
      <c r="AW756" s="1051"/>
      <c r="AX756" s="1051"/>
      <c r="AY756" s="1053"/>
      <c r="AZ756" s="1051"/>
      <c r="BA756" s="1051"/>
      <c r="BB756" s="1053"/>
      <c r="BC756" s="1051"/>
      <c r="BD756" s="1051"/>
      <c r="BE756" s="1053"/>
      <c r="BF756" s="1051"/>
      <c r="BG756" s="1051"/>
      <c r="BH756" s="1053"/>
      <c r="BI756" s="1052"/>
      <c r="BJ756" s="1052"/>
      <c r="BK756" s="1052"/>
      <c r="BL756" s="1052"/>
      <c r="BM756" s="1052"/>
      <c r="BN756" s="1054"/>
      <c r="BO756" s="1076">
        <f t="shared" si="22"/>
        <v>0</v>
      </c>
      <c r="BP756" s="1051"/>
      <c r="BQ756" s="1052"/>
      <c r="BR756" s="1054"/>
      <c r="BS756" s="1053"/>
      <c r="BT756" s="1051"/>
      <c r="BU756" s="1051"/>
      <c r="BV756" s="1051"/>
      <c r="BW756" s="1052"/>
      <c r="BX756" s="1052"/>
      <c r="BY756" s="1052"/>
      <c r="BZ756" s="1052"/>
      <c r="CA756" s="1052"/>
      <c r="CB756" s="1053"/>
      <c r="CC756" s="1053"/>
      <c r="CD756" s="1053"/>
      <c r="CE756" s="1053"/>
      <c r="CF756" s="1053"/>
      <c r="CG756" s="1053"/>
      <c r="CH756" s="1053"/>
      <c r="CI756" s="1123"/>
      <c r="CJ756" s="1123"/>
      <c r="CK756" s="1123"/>
      <c r="CL756" s="1123"/>
      <c r="CM756" s="1123"/>
      <c r="CN756" s="1123"/>
      <c r="CO756" s="1123"/>
      <c r="CP756" s="1123"/>
      <c r="CQ756" s="1123"/>
      <c r="CR756" s="1123"/>
      <c r="CS756" s="1123"/>
      <c r="CT756" s="1123"/>
      <c r="CU756" s="1123"/>
      <c r="CV756" s="1123"/>
      <c r="CW756" s="1123"/>
      <c r="CX756" s="1123"/>
      <c r="CY756" s="1123"/>
      <c r="CZ756" s="1114"/>
      <c r="DA756" s="1114"/>
      <c r="DB756" s="1114"/>
      <c r="DC756" s="1114"/>
      <c r="DD756" s="1114"/>
      <c r="DE756" s="1114"/>
      <c r="DF756" s="1114"/>
      <c r="DG756" s="1114"/>
      <c r="DH756" s="1114"/>
      <c r="DI756" s="1114"/>
      <c r="DJ756" s="1114"/>
      <c r="DK756" s="1114"/>
      <c r="DL756" s="1114"/>
      <c r="DM756" s="1114"/>
      <c r="DN756" s="1114"/>
      <c r="DO756" s="1114"/>
      <c r="DP756" s="1114"/>
      <c r="DQ756" s="1114"/>
      <c r="DR756" s="1114"/>
      <c r="DS756" s="1114"/>
      <c r="DT756" s="1114"/>
      <c r="DU756" s="1114"/>
      <c r="DV756" s="1115"/>
      <c r="DW756" s="1116"/>
      <c r="DX756" s="1116"/>
      <c r="DY756" s="1116"/>
      <c r="DZ756" s="1116"/>
      <c r="EA756" s="1116"/>
      <c r="EB756" s="1116"/>
      <c r="EC756" s="1116"/>
      <c r="ED756" s="1116"/>
      <c r="EE756" s="1116"/>
      <c r="EF756" s="1116"/>
      <c r="EG756" s="1116"/>
      <c r="EH756" s="1116"/>
      <c r="EI756" s="1116"/>
      <c r="EJ756" s="1116"/>
      <c r="EK756" s="1116"/>
      <c r="EL756" s="1116"/>
      <c r="EM756" s="1116"/>
      <c r="EN756" s="1116"/>
      <c r="EO756" s="1116"/>
      <c r="EP756" s="1116"/>
      <c r="EQ756" s="1116"/>
      <c r="ER756" s="1116"/>
      <c r="ES756" s="1116"/>
    </row>
    <row r="757" spans="1:149" ht="15" customHeight="1">
      <c r="A757" s="1185">
        <v>742</v>
      </c>
      <c r="B757" s="1041"/>
      <c r="C757" s="1050"/>
      <c r="D757" s="1050"/>
      <c r="E757" s="1050"/>
      <c r="F757" s="1049"/>
      <c r="G757" s="1457"/>
      <c r="H757" s="1049"/>
      <c r="I757" s="1049"/>
      <c r="J757" s="1050"/>
      <c r="K757" s="1050"/>
      <c r="L757" s="1043"/>
      <c r="M757" s="1051"/>
      <c r="N757" s="1051"/>
      <c r="O757" s="1052"/>
      <c r="P757" s="1051"/>
      <c r="Q757" s="1051"/>
      <c r="R757" s="1052"/>
      <c r="S757" s="1051"/>
      <c r="T757" s="1051"/>
      <c r="U757" s="1052"/>
      <c r="V757" s="1051"/>
      <c r="W757" s="1051"/>
      <c r="X757" s="1052"/>
      <c r="Y757" s="1053"/>
      <c r="Z757" s="1051"/>
      <c r="AA757" s="1051"/>
      <c r="AB757" s="1052"/>
      <c r="AC757" s="1051"/>
      <c r="AD757" s="1051"/>
      <c r="AE757" s="1052"/>
      <c r="AF757" s="1051"/>
      <c r="AG757" s="1051"/>
      <c r="AH757" s="1051"/>
      <c r="AI757" s="1051"/>
      <c r="AJ757" s="1052"/>
      <c r="AK757" s="1051"/>
      <c r="AL757" s="1051"/>
      <c r="AM757" s="1052"/>
      <c r="AN757" s="1051"/>
      <c r="AO757" s="1051"/>
      <c r="AP757" s="1052"/>
      <c r="AQ757" s="1051"/>
      <c r="AR757" s="1051"/>
      <c r="AS757" s="1052"/>
      <c r="AT757" s="1051"/>
      <c r="AU757" s="1051"/>
      <c r="AV757" s="1052"/>
      <c r="AW757" s="1051"/>
      <c r="AX757" s="1051"/>
      <c r="AY757" s="1053"/>
      <c r="AZ757" s="1051"/>
      <c r="BA757" s="1051"/>
      <c r="BB757" s="1053"/>
      <c r="BC757" s="1051"/>
      <c r="BD757" s="1051"/>
      <c r="BE757" s="1053"/>
      <c r="BF757" s="1051"/>
      <c r="BG757" s="1051"/>
      <c r="BH757" s="1053"/>
      <c r="BI757" s="1052"/>
      <c r="BJ757" s="1052"/>
      <c r="BK757" s="1052"/>
      <c r="BL757" s="1052"/>
      <c r="BM757" s="1052"/>
      <c r="BN757" s="1054"/>
      <c r="BO757" s="1076">
        <f t="shared" si="22"/>
        <v>0</v>
      </c>
      <c r="BP757" s="1051"/>
      <c r="BQ757" s="1052"/>
      <c r="BR757" s="1054"/>
      <c r="BS757" s="1053"/>
      <c r="BT757" s="1051"/>
      <c r="BU757" s="1051"/>
      <c r="BV757" s="1051"/>
      <c r="BW757" s="1052"/>
      <c r="BX757" s="1052"/>
      <c r="BY757" s="1052"/>
      <c r="BZ757" s="1052"/>
      <c r="CA757" s="1052"/>
      <c r="CB757" s="1053"/>
      <c r="CC757" s="1053"/>
      <c r="CD757" s="1053"/>
      <c r="CE757" s="1053"/>
      <c r="CF757" s="1053"/>
      <c r="CG757" s="1053"/>
      <c r="CH757" s="1053"/>
      <c r="CI757" s="1123"/>
      <c r="CJ757" s="1123"/>
      <c r="CK757" s="1123"/>
      <c r="CL757" s="1123"/>
      <c r="CM757" s="1123"/>
      <c r="CN757" s="1123"/>
      <c r="CO757" s="1123"/>
      <c r="CP757" s="1123"/>
      <c r="CQ757" s="1123"/>
      <c r="CR757" s="1123"/>
      <c r="CS757" s="1123"/>
      <c r="CT757" s="1123"/>
      <c r="CU757" s="1123"/>
      <c r="CV757" s="1123"/>
      <c r="CW757" s="1123"/>
      <c r="CX757" s="1123"/>
      <c r="CY757" s="1123"/>
      <c r="CZ757" s="1114"/>
      <c r="DA757" s="1114"/>
      <c r="DB757" s="1114"/>
      <c r="DC757" s="1114"/>
      <c r="DD757" s="1114"/>
      <c r="DE757" s="1114"/>
      <c r="DF757" s="1114"/>
      <c r="DG757" s="1114"/>
      <c r="DH757" s="1114"/>
      <c r="DI757" s="1114"/>
      <c r="DJ757" s="1114"/>
      <c r="DK757" s="1114"/>
      <c r="DL757" s="1114"/>
      <c r="DM757" s="1114"/>
      <c r="DN757" s="1114"/>
      <c r="DO757" s="1114"/>
      <c r="DP757" s="1114"/>
      <c r="DQ757" s="1114"/>
      <c r="DR757" s="1114"/>
      <c r="DS757" s="1114"/>
      <c r="DT757" s="1114"/>
      <c r="DU757" s="1114"/>
      <c r="DV757" s="1115"/>
      <c r="DW757" s="1116"/>
      <c r="DX757" s="1116"/>
      <c r="DY757" s="1116"/>
      <c r="DZ757" s="1116"/>
      <c r="EA757" s="1116"/>
      <c r="EB757" s="1116"/>
      <c r="EC757" s="1116"/>
      <c r="ED757" s="1116"/>
      <c r="EE757" s="1116"/>
      <c r="EF757" s="1116"/>
      <c r="EG757" s="1116"/>
      <c r="EH757" s="1116"/>
      <c r="EI757" s="1116"/>
      <c r="EJ757" s="1116"/>
      <c r="EK757" s="1116"/>
      <c r="EL757" s="1116"/>
      <c r="EM757" s="1116"/>
      <c r="EN757" s="1116"/>
      <c r="EO757" s="1116"/>
      <c r="EP757" s="1116"/>
      <c r="EQ757" s="1116"/>
      <c r="ER757" s="1116"/>
      <c r="ES757" s="1116"/>
    </row>
    <row r="758" spans="1:149" ht="15" customHeight="1">
      <c r="A758" s="1185">
        <v>743</v>
      </c>
      <c r="B758" s="1041"/>
      <c r="C758" s="1050"/>
      <c r="D758" s="1050"/>
      <c r="E758" s="1050"/>
      <c r="F758" s="1049"/>
      <c r="G758" s="1457"/>
      <c r="H758" s="1049"/>
      <c r="I758" s="1049"/>
      <c r="J758" s="1050"/>
      <c r="K758" s="1050"/>
      <c r="L758" s="1043"/>
      <c r="M758" s="1051"/>
      <c r="N758" s="1051"/>
      <c r="O758" s="1052"/>
      <c r="P758" s="1051"/>
      <c r="Q758" s="1051"/>
      <c r="R758" s="1052"/>
      <c r="S758" s="1051"/>
      <c r="T758" s="1051"/>
      <c r="U758" s="1052"/>
      <c r="V758" s="1051"/>
      <c r="W758" s="1051"/>
      <c r="X758" s="1052"/>
      <c r="Y758" s="1053"/>
      <c r="Z758" s="1051"/>
      <c r="AA758" s="1051"/>
      <c r="AB758" s="1052"/>
      <c r="AC758" s="1051"/>
      <c r="AD758" s="1051"/>
      <c r="AE758" s="1052"/>
      <c r="AF758" s="1051"/>
      <c r="AG758" s="1051"/>
      <c r="AH758" s="1051"/>
      <c r="AI758" s="1051"/>
      <c r="AJ758" s="1052"/>
      <c r="AK758" s="1051"/>
      <c r="AL758" s="1051"/>
      <c r="AM758" s="1052"/>
      <c r="AN758" s="1051"/>
      <c r="AO758" s="1051"/>
      <c r="AP758" s="1052"/>
      <c r="AQ758" s="1051"/>
      <c r="AR758" s="1051"/>
      <c r="AS758" s="1052"/>
      <c r="AT758" s="1051"/>
      <c r="AU758" s="1051"/>
      <c r="AV758" s="1052"/>
      <c r="AW758" s="1051"/>
      <c r="AX758" s="1051"/>
      <c r="AY758" s="1053"/>
      <c r="AZ758" s="1051"/>
      <c r="BA758" s="1051"/>
      <c r="BB758" s="1053"/>
      <c r="BC758" s="1051"/>
      <c r="BD758" s="1051"/>
      <c r="BE758" s="1053"/>
      <c r="BF758" s="1051"/>
      <c r="BG758" s="1051"/>
      <c r="BH758" s="1053"/>
      <c r="BI758" s="1052"/>
      <c r="BJ758" s="1052"/>
      <c r="BK758" s="1052"/>
      <c r="BL758" s="1052"/>
      <c r="BM758" s="1052"/>
      <c r="BN758" s="1054"/>
      <c r="BO758" s="1076">
        <f t="shared" ref="BO758:BO821" si="23">H758</f>
        <v>0</v>
      </c>
      <c r="BP758" s="1051"/>
      <c r="BQ758" s="1052"/>
      <c r="BR758" s="1054"/>
      <c r="BS758" s="1053"/>
      <c r="BT758" s="1051"/>
      <c r="BU758" s="1051"/>
      <c r="BV758" s="1051"/>
      <c r="BW758" s="1052"/>
      <c r="BX758" s="1052"/>
      <c r="BY758" s="1052"/>
      <c r="BZ758" s="1052"/>
      <c r="CA758" s="1052"/>
      <c r="CB758" s="1053"/>
      <c r="CC758" s="1053"/>
      <c r="CD758" s="1053"/>
      <c r="CE758" s="1053"/>
      <c r="CF758" s="1053"/>
      <c r="CG758" s="1053"/>
      <c r="CH758" s="1053"/>
      <c r="CI758" s="1123"/>
      <c r="CJ758" s="1123"/>
      <c r="CK758" s="1123"/>
      <c r="CL758" s="1123"/>
      <c r="CM758" s="1123"/>
      <c r="CN758" s="1123"/>
      <c r="CO758" s="1123"/>
      <c r="CP758" s="1123"/>
      <c r="CQ758" s="1123"/>
      <c r="CR758" s="1123"/>
      <c r="CS758" s="1123"/>
      <c r="CT758" s="1123"/>
      <c r="CU758" s="1123"/>
      <c r="CV758" s="1123"/>
      <c r="CW758" s="1123"/>
      <c r="CX758" s="1123"/>
      <c r="CY758" s="1123"/>
      <c r="CZ758" s="1114"/>
      <c r="DA758" s="1114"/>
      <c r="DB758" s="1114"/>
      <c r="DC758" s="1114"/>
      <c r="DD758" s="1114"/>
      <c r="DE758" s="1114"/>
      <c r="DF758" s="1114"/>
      <c r="DG758" s="1114"/>
      <c r="DH758" s="1114"/>
      <c r="DI758" s="1114"/>
      <c r="DJ758" s="1114"/>
      <c r="DK758" s="1114"/>
      <c r="DL758" s="1114"/>
      <c r="DM758" s="1114"/>
      <c r="DN758" s="1114"/>
      <c r="DO758" s="1114"/>
      <c r="DP758" s="1114"/>
      <c r="DQ758" s="1114"/>
      <c r="DR758" s="1114"/>
      <c r="DS758" s="1114"/>
      <c r="DT758" s="1114"/>
      <c r="DU758" s="1114"/>
      <c r="DV758" s="1115"/>
      <c r="DW758" s="1116"/>
      <c r="DX758" s="1116"/>
      <c r="DY758" s="1116"/>
      <c r="DZ758" s="1116"/>
      <c r="EA758" s="1116"/>
      <c r="EB758" s="1116"/>
      <c r="EC758" s="1116"/>
      <c r="ED758" s="1116"/>
      <c r="EE758" s="1116"/>
      <c r="EF758" s="1116"/>
      <c r="EG758" s="1116"/>
      <c r="EH758" s="1116"/>
      <c r="EI758" s="1116"/>
      <c r="EJ758" s="1116"/>
      <c r="EK758" s="1116"/>
      <c r="EL758" s="1116"/>
      <c r="EM758" s="1116"/>
      <c r="EN758" s="1116"/>
      <c r="EO758" s="1116"/>
      <c r="EP758" s="1116"/>
      <c r="EQ758" s="1116"/>
      <c r="ER758" s="1116"/>
      <c r="ES758" s="1116"/>
    </row>
    <row r="759" spans="1:149" ht="15" customHeight="1">
      <c r="A759" s="1185">
        <v>744</v>
      </c>
      <c r="B759" s="1041"/>
      <c r="C759" s="1050"/>
      <c r="D759" s="1050"/>
      <c r="E759" s="1050"/>
      <c r="F759" s="1049"/>
      <c r="G759" s="1457"/>
      <c r="H759" s="1049"/>
      <c r="I759" s="1049"/>
      <c r="J759" s="1050"/>
      <c r="K759" s="1050"/>
      <c r="L759" s="1043"/>
      <c r="M759" s="1051"/>
      <c r="N759" s="1051"/>
      <c r="O759" s="1052"/>
      <c r="P759" s="1051"/>
      <c r="Q759" s="1051"/>
      <c r="R759" s="1052"/>
      <c r="S759" s="1051"/>
      <c r="T759" s="1051"/>
      <c r="U759" s="1052"/>
      <c r="V759" s="1051"/>
      <c r="W759" s="1051"/>
      <c r="X759" s="1052"/>
      <c r="Y759" s="1053"/>
      <c r="Z759" s="1051"/>
      <c r="AA759" s="1051"/>
      <c r="AB759" s="1052"/>
      <c r="AC759" s="1051"/>
      <c r="AD759" s="1051"/>
      <c r="AE759" s="1052"/>
      <c r="AF759" s="1051"/>
      <c r="AG759" s="1051"/>
      <c r="AH759" s="1051"/>
      <c r="AI759" s="1051"/>
      <c r="AJ759" s="1052"/>
      <c r="AK759" s="1051"/>
      <c r="AL759" s="1051"/>
      <c r="AM759" s="1052"/>
      <c r="AN759" s="1051"/>
      <c r="AO759" s="1051"/>
      <c r="AP759" s="1052"/>
      <c r="AQ759" s="1051"/>
      <c r="AR759" s="1051"/>
      <c r="AS759" s="1052"/>
      <c r="AT759" s="1051"/>
      <c r="AU759" s="1051"/>
      <c r="AV759" s="1052"/>
      <c r="AW759" s="1051"/>
      <c r="AX759" s="1051"/>
      <c r="AY759" s="1053"/>
      <c r="AZ759" s="1051"/>
      <c r="BA759" s="1051"/>
      <c r="BB759" s="1053"/>
      <c r="BC759" s="1051"/>
      <c r="BD759" s="1051"/>
      <c r="BE759" s="1053"/>
      <c r="BF759" s="1051"/>
      <c r="BG759" s="1051"/>
      <c r="BH759" s="1053"/>
      <c r="BI759" s="1052"/>
      <c r="BJ759" s="1052"/>
      <c r="BK759" s="1052"/>
      <c r="BL759" s="1052"/>
      <c r="BM759" s="1052"/>
      <c r="BN759" s="1054"/>
      <c r="BO759" s="1076">
        <f t="shared" si="23"/>
        <v>0</v>
      </c>
      <c r="BP759" s="1051"/>
      <c r="BQ759" s="1052"/>
      <c r="BR759" s="1054"/>
      <c r="BS759" s="1053"/>
      <c r="BT759" s="1051"/>
      <c r="BU759" s="1051"/>
      <c r="BV759" s="1051"/>
      <c r="BW759" s="1052"/>
      <c r="BX759" s="1052"/>
      <c r="BY759" s="1052"/>
      <c r="BZ759" s="1052"/>
      <c r="CA759" s="1052"/>
      <c r="CB759" s="1053"/>
      <c r="CC759" s="1053"/>
      <c r="CD759" s="1053"/>
      <c r="CE759" s="1053"/>
      <c r="CF759" s="1053"/>
      <c r="CG759" s="1053"/>
      <c r="CH759" s="1053"/>
      <c r="CI759" s="1123"/>
      <c r="CJ759" s="1123"/>
      <c r="CK759" s="1123"/>
      <c r="CL759" s="1123"/>
      <c r="CM759" s="1123"/>
      <c r="CN759" s="1123"/>
      <c r="CO759" s="1123"/>
      <c r="CP759" s="1123"/>
      <c r="CQ759" s="1123"/>
      <c r="CR759" s="1123"/>
      <c r="CS759" s="1123"/>
      <c r="CT759" s="1123"/>
      <c r="CU759" s="1123"/>
      <c r="CV759" s="1123"/>
      <c r="CW759" s="1123"/>
      <c r="CX759" s="1123"/>
      <c r="CY759" s="1123"/>
      <c r="CZ759" s="1114"/>
      <c r="DA759" s="1114"/>
      <c r="DB759" s="1114"/>
      <c r="DC759" s="1114"/>
      <c r="DD759" s="1114"/>
      <c r="DE759" s="1114"/>
      <c r="DF759" s="1114"/>
      <c r="DG759" s="1114"/>
      <c r="DH759" s="1114"/>
      <c r="DI759" s="1114"/>
      <c r="DJ759" s="1114"/>
      <c r="DK759" s="1114"/>
      <c r="DL759" s="1114"/>
      <c r="DM759" s="1114"/>
      <c r="DN759" s="1114"/>
      <c r="DO759" s="1114"/>
      <c r="DP759" s="1114"/>
      <c r="DQ759" s="1114"/>
      <c r="DR759" s="1114"/>
      <c r="DS759" s="1114"/>
      <c r="DT759" s="1114"/>
      <c r="DU759" s="1114"/>
      <c r="DV759" s="1115"/>
      <c r="DW759" s="1116"/>
      <c r="DX759" s="1116"/>
      <c r="DY759" s="1116"/>
      <c r="DZ759" s="1116"/>
      <c r="EA759" s="1116"/>
      <c r="EB759" s="1116"/>
      <c r="EC759" s="1116"/>
      <c r="ED759" s="1116"/>
      <c r="EE759" s="1116"/>
      <c r="EF759" s="1116"/>
      <c r="EG759" s="1116"/>
      <c r="EH759" s="1116"/>
      <c r="EI759" s="1116"/>
      <c r="EJ759" s="1116"/>
      <c r="EK759" s="1116"/>
      <c r="EL759" s="1116"/>
      <c r="EM759" s="1116"/>
      <c r="EN759" s="1116"/>
      <c r="EO759" s="1116"/>
      <c r="EP759" s="1116"/>
      <c r="EQ759" s="1116"/>
      <c r="ER759" s="1116"/>
      <c r="ES759" s="1116"/>
    </row>
    <row r="760" spans="1:149" ht="15" customHeight="1">
      <c r="A760" s="1185">
        <v>745</v>
      </c>
      <c r="B760" s="1041"/>
      <c r="C760" s="1050"/>
      <c r="D760" s="1050"/>
      <c r="E760" s="1050"/>
      <c r="F760" s="1049"/>
      <c r="G760" s="1457"/>
      <c r="H760" s="1049"/>
      <c r="I760" s="1049"/>
      <c r="J760" s="1050"/>
      <c r="K760" s="1050"/>
      <c r="L760" s="1043"/>
      <c r="M760" s="1051"/>
      <c r="N760" s="1051"/>
      <c r="O760" s="1052"/>
      <c r="P760" s="1051"/>
      <c r="Q760" s="1051"/>
      <c r="R760" s="1052"/>
      <c r="S760" s="1051"/>
      <c r="T760" s="1051"/>
      <c r="U760" s="1052"/>
      <c r="V760" s="1051"/>
      <c r="W760" s="1051"/>
      <c r="X760" s="1052"/>
      <c r="Y760" s="1053"/>
      <c r="Z760" s="1051"/>
      <c r="AA760" s="1051"/>
      <c r="AB760" s="1052"/>
      <c r="AC760" s="1051"/>
      <c r="AD760" s="1051"/>
      <c r="AE760" s="1052"/>
      <c r="AF760" s="1051"/>
      <c r="AG760" s="1051"/>
      <c r="AH760" s="1051"/>
      <c r="AI760" s="1051"/>
      <c r="AJ760" s="1052"/>
      <c r="AK760" s="1051"/>
      <c r="AL760" s="1051"/>
      <c r="AM760" s="1052"/>
      <c r="AN760" s="1051"/>
      <c r="AO760" s="1051"/>
      <c r="AP760" s="1052"/>
      <c r="AQ760" s="1051"/>
      <c r="AR760" s="1051"/>
      <c r="AS760" s="1052"/>
      <c r="AT760" s="1051"/>
      <c r="AU760" s="1051"/>
      <c r="AV760" s="1052"/>
      <c r="AW760" s="1051"/>
      <c r="AX760" s="1051"/>
      <c r="AY760" s="1053"/>
      <c r="AZ760" s="1051"/>
      <c r="BA760" s="1051"/>
      <c r="BB760" s="1053"/>
      <c r="BC760" s="1051"/>
      <c r="BD760" s="1051"/>
      <c r="BE760" s="1053"/>
      <c r="BF760" s="1051"/>
      <c r="BG760" s="1051"/>
      <c r="BH760" s="1053"/>
      <c r="BI760" s="1052"/>
      <c r="BJ760" s="1052"/>
      <c r="BK760" s="1052"/>
      <c r="BL760" s="1052"/>
      <c r="BM760" s="1052"/>
      <c r="BN760" s="1054"/>
      <c r="BO760" s="1076">
        <f t="shared" si="23"/>
        <v>0</v>
      </c>
      <c r="BP760" s="1051"/>
      <c r="BQ760" s="1052"/>
      <c r="BR760" s="1054"/>
      <c r="BS760" s="1053"/>
      <c r="BT760" s="1051"/>
      <c r="BU760" s="1051"/>
      <c r="BV760" s="1051"/>
      <c r="BW760" s="1052"/>
      <c r="BX760" s="1052"/>
      <c r="BY760" s="1052"/>
      <c r="BZ760" s="1052"/>
      <c r="CA760" s="1052"/>
      <c r="CB760" s="1053"/>
      <c r="CC760" s="1053"/>
      <c r="CD760" s="1053"/>
      <c r="CE760" s="1053"/>
      <c r="CF760" s="1053"/>
      <c r="CG760" s="1053"/>
      <c r="CH760" s="1053"/>
      <c r="CI760" s="1123"/>
      <c r="CJ760" s="1123"/>
      <c r="CK760" s="1123"/>
      <c r="CL760" s="1123"/>
      <c r="CM760" s="1123"/>
      <c r="CN760" s="1123"/>
      <c r="CO760" s="1123"/>
      <c r="CP760" s="1123"/>
      <c r="CQ760" s="1123"/>
      <c r="CR760" s="1123"/>
      <c r="CS760" s="1123"/>
      <c r="CT760" s="1123"/>
      <c r="CU760" s="1123"/>
      <c r="CV760" s="1123"/>
      <c r="CW760" s="1123"/>
      <c r="CX760" s="1123"/>
      <c r="CY760" s="1123"/>
      <c r="CZ760" s="1114"/>
      <c r="DA760" s="1114"/>
      <c r="DB760" s="1114"/>
      <c r="DC760" s="1114"/>
      <c r="DD760" s="1114"/>
      <c r="DE760" s="1114"/>
      <c r="DF760" s="1114"/>
      <c r="DG760" s="1114"/>
      <c r="DH760" s="1114"/>
      <c r="DI760" s="1114"/>
      <c r="DJ760" s="1114"/>
      <c r="DK760" s="1114"/>
      <c r="DL760" s="1114"/>
      <c r="DM760" s="1114"/>
      <c r="DN760" s="1114"/>
      <c r="DO760" s="1114"/>
      <c r="DP760" s="1114"/>
      <c r="DQ760" s="1114"/>
      <c r="DR760" s="1114"/>
      <c r="DS760" s="1114"/>
      <c r="DT760" s="1114"/>
      <c r="DU760" s="1114"/>
      <c r="DV760" s="1115"/>
      <c r="DW760" s="1116"/>
      <c r="DX760" s="1116"/>
      <c r="DY760" s="1116"/>
      <c r="DZ760" s="1116"/>
      <c r="EA760" s="1116"/>
      <c r="EB760" s="1116"/>
      <c r="EC760" s="1116"/>
      <c r="ED760" s="1116"/>
      <c r="EE760" s="1116"/>
      <c r="EF760" s="1116"/>
      <c r="EG760" s="1116"/>
      <c r="EH760" s="1116"/>
      <c r="EI760" s="1116"/>
      <c r="EJ760" s="1116"/>
      <c r="EK760" s="1116"/>
      <c r="EL760" s="1116"/>
      <c r="EM760" s="1116"/>
      <c r="EN760" s="1116"/>
      <c r="EO760" s="1116"/>
      <c r="EP760" s="1116"/>
      <c r="EQ760" s="1116"/>
      <c r="ER760" s="1116"/>
      <c r="ES760" s="1116"/>
    </row>
    <row r="761" spans="1:149" ht="15" customHeight="1">
      <c r="A761" s="1185">
        <v>746</v>
      </c>
      <c r="B761" s="1041"/>
      <c r="C761" s="1050"/>
      <c r="D761" s="1050"/>
      <c r="E761" s="1050"/>
      <c r="F761" s="1049"/>
      <c r="G761" s="1457"/>
      <c r="H761" s="1049"/>
      <c r="I761" s="1049"/>
      <c r="J761" s="1050"/>
      <c r="K761" s="1050"/>
      <c r="L761" s="1043"/>
      <c r="M761" s="1051"/>
      <c r="N761" s="1051"/>
      <c r="O761" s="1052"/>
      <c r="P761" s="1051"/>
      <c r="Q761" s="1051"/>
      <c r="R761" s="1052"/>
      <c r="S761" s="1051"/>
      <c r="T761" s="1051"/>
      <c r="U761" s="1052"/>
      <c r="V761" s="1051"/>
      <c r="W761" s="1051"/>
      <c r="X761" s="1052"/>
      <c r="Y761" s="1053"/>
      <c r="Z761" s="1051"/>
      <c r="AA761" s="1051"/>
      <c r="AB761" s="1052"/>
      <c r="AC761" s="1051"/>
      <c r="AD761" s="1051"/>
      <c r="AE761" s="1052"/>
      <c r="AF761" s="1051"/>
      <c r="AG761" s="1051"/>
      <c r="AH761" s="1051"/>
      <c r="AI761" s="1051"/>
      <c r="AJ761" s="1052"/>
      <c r="AK761" s="1051"/>
      <c r="AL761" s="1051"/>
      <c r="AM761" s="1052"/>
      <c r="AN761" s="1051"/>
      <c r="AO761" s="1051"/>
      <c r="AP761" s="1052"/>
      <c r="AQ761" s="1051"/>
      <c r="AR761" s="1051"/>
      <c r="AS761" s="1052"/>
      <c r="AT761" s="1051"/>
      <c r="AU761" s="1051"/>
      <c r="AV761" s="1052"/>
      <c r="AW761" s="1051"/>
      <c r="AX761" s="1051"/>
      <c r="AY761" s="1053"/>
      <c r="AZ761" s="1051"/>
      <c r="BA761" s="1051"/>
      <c r="BB761" s="1053"/>
      <c r="BC761" s="1051"/>
      <c r="BD761" s="1051"/>
      <c r="BE761" s="1053"/>
      <c r="BF761" s="1051"/>
      <c r="BG761" s="1051"/>
      <c r="BH761" s="1053"/>
      <c r="BI761" s="1052"/>
      <c r="BJ761" s="1052"/>
      <c r="BK761" s="1052"/>
      <c r="BL761" s="1052"/>
      <c r="BM761" s="1052"/>
      <c r="BN761" s="1054"/>
      <c r="BO761" s="1076">
        <f t="shared" si="23"/>
        <v>0</v>
      </c>
      <c r="BP761" s="1051"/>
      <c r="BQ761" s="1052"/>
      <c r="BR761" s="1054"/>
      <c r="BS761" s="1053"/>
      <c r="BT761" s="1051"/>
      <c r="BU761" s="1051"/>
      <c r="BV761" s="1051"/>
      <c r="BW761" s="1052"/>
      <c r="BX761" s="1052"/>
      <c r="BY761" s="1052"/>
      <c r="BZ761" s="1052"/>
      <c r="CA761" s="1052"/>
      <c r="CB761" s="1053"/>
      <c r="CC761" s="1053"/>
      <c r="CD761" s="1053"/>
      <c r="CE761" s="1053"/>
      <c r="CF761" s="1053"/>
      <c r="CG761" s="1053"/>
      <c r="CH761" s="1053"/>
      <c r="CI761" s="1123"/>
      <c r="CJ761" s="1123"/>
      <c r="CK761" s="1123"/>
      <c r="CL761" s="1123"/>
      <c r="CM761" s="1123"/>
      <c r="CN761" s="1123"/>
      <c r="CO761" s="1123"/>
      <c r="CP761" s="1123"/>
      <c r="CQ761" s="1123"/>
      <c r="CR761" s="1123"/>
      <c r="CS761" s="1123"/>
      <c r="CT761" s="1123"/>
      <c r="CU761" s="1123"/>
      <c r="CV761" s="1123"/>
      <c r="CW761" s="1123"/>
      <c r="CX761" s="1123"/>
      <c r="CY761" s="1123"/>
      <c r="CZ761" s="1114"/>
      <c r="DA761" s="1114"/>
      <c r="DB761" s="1114"/>
      <c r="DC761" s="1114"/>
      <c r="DD761" s="1114"/>
      <c r="DE761" s="1114"/>
      <c r="DF761" s="1114"/>
      <c r="DG761" s="1114"/>
      <c r="DH761" s="1114"/>
      <c r="DI761" s="1114"/>
      <c r="DJ761" s="1114"/>
      <c r="DK761" s="1114"/>
      <c r="DL761" s="1114"/>
      <c r="DM761" s="1114"/>
      <c r="DN761" s="1114"/>
      <c r="DO761" s="1114"/>
      <c r="DP761" s="1114"/>
      <c r="DQ761" s="1114"/>
      <c r="DR761" s="1114"/>
      <c r="DS761" s="1114"/>
      <c r="DT761" s="1114"/>
      <c r="DU761" s="1114"/>
      <c r="DV761" s="1115"/>
      <c r="DW761" s="1116"/>
      <c r="DX761" s="1116"/>
      <c r="DY761" s="1116"/>
      <c r="DZ761" s="1116"/>
      <c r="EA761" s="1116"/>
      <c r="EB761" s="1116"/>
      <c r="EC761" s="1116"/>
      <c r="ED761" s="1116"/>
      <c r="EE761" s="1116"/>
      <c r="EF761" s="1116"/>
      <c r="EG761" s="1116"/>
      <c r="EH761" s="1116"/>
      <c r="EI761" s="1116"/>
      <c r="EJ761" s="1116"/>
      <c r="EK761" s="1116"/>
      <c r="EL761" s="1116"/>
      <c r="EM761" s="1116"/>
      <c r="EN761" s="1116"/>
      <c r="EO761" s="1116"/>
      <c r="EP761" s="1116"/>
      <c r="EQ761" s="1116"/>
      <c r="ER761" s="1116"/>
      <c r="ES761" s="1116"/>
    </row>
    <row r="762" spans="1:149" ht="15" customHeight="1">
      <c r="A762" s="1185">
        <v>747</v>
      </c>
      <c r="B762" s="1041"/>
      <c r="C762" s="1050"/>
      <c r="D762" s="1050"/>
      <c r="E762" s="1050"/>
      <c r="F762" s="1049"/>
      <c r="G762" s="1457"/>
      <c r="H762" s="1049"/>
      <c r="I762" s="1049"/>
      <c r="J762" s="1050"/>
      <c r="K762" s="1050"/>
      <c r="L762" s="1043"/>
      <c r="M762" s="1051"/>
      <c r="N762" s="1051"/>
      <c r="O762" s="1052"/>
      <c r="P762" s="1051"/>
      <c r="Q762" s="1051"/>
      <c r="R762" s="1052"/>
      <c r="S762" s="1051"/>
      <c r="T762" s="1051"/>
      <c r="U762" s="1052"/>
      <c r="V762" s="1051"/>
      <c r="W762" s="1051"/>
      <c r="X762" s="1052"/>
      <c r="Y762" s="1053"/>
      <c r="Z762" s="1051"/>
      <c r="AA762" s="1051"/>
      <c r="AB762" s="1052"/>
      <c r="AC762" s="1051"/>
      <c r="AD762" s="1051"/>
      <c r="AE762" s="1052"/>
      <c r="AF762" s="1051"/>
      <c r="AG762" s="1051"/>
      <c r="AH762" s="1051"/>
      <c r="AI762" s="1051"/>
      <c r="AJ762" s="1052"/>
      <c r="AK762" s="1051"/>
      <c r="AL762" s="1051"/>
      <c r="AM762" s="1052"/>
      <c r="AN762" s="1051"/>
      <c r="AO762" s="1051"/>
      <c r="AP762" s="1052"/>
      <c r="AQ762" s="1051"/>
      <c r="AR762" s="1051"/>
      <c r="AS762" s="1052"/>
      <c r="AT762" s="1051"/>
      <c r="AU762" s="1051"/>
      <c r="AV762" s="1052"/>
      <c r="AW762" s="1051"/>
      <c r="AX762" s="1051"/>
      <c r="AY762" s="1053"/>
      <c r="AZ762" s="1051"/>
      <c r="BA762" s="1051"/>
      <c r="BB762" s="1053"/>
      <c r="BC762" s="1051"/>
      <c r="BD762" s="1051"/>
      <c r="BE762" s="1053"/>
      <c r="BF762" s="1051"/>
      <c r="BG762" s="1051"/>
      <c r="BH762" s="1053"/>
      <c r="BI762" s="1052"/>
      <c r="BJ762" s="1052"/>
      <c r="BK762" s="1052"/>
      <c r="BL762" s="1052"/>
      <c r="BM762" s="1052"/>
      <c r="BN762" s="1054"/>
      <c r="BO762" s="1076">
        <f t="shared" si="23"/>
        <v>0</v>
      </c>
      <c r="BP762" s="1051"/>
      <c r="BQ762" s="1052"/>
      <c r="BR762" s="1054"/>
      <c r="BS762" s="1053"/>
      <c r="BT762" s="1051"/>
      <c r="BU762" s="1051"/>
      <c r="BV762" s="1051"/>
      <c r="BW762" s="1052"/>
      <c r="BX762" s="1052"/>
      <c r="BY762" s="1052"/>
      <c r="BZ762" s="1052"/>
      <c r="CA762" s="1052"/>
      <c r="CB762" s="1053"/>
      <c r="CC762" s="1053"/>
      <c r="CD762" s="1053"/>
      <c r="CE762" s="1053"/>
      <c r="CF762" s="1053"/>
      <c r="CG762" s="1053"/>
      <c r="CH762" s="1053"/>
      <c r="CI762" s="1123"/>
      <c r="CJ762" s="1123"/>
      <c r="CK762" s="1123"/>
      <c r="CL762" s="1123"/>
      <c r="CM762" s="1123"/>
      <c r="CN762" s="1123"/>
      <c r="CO762" s="1123"/>
      <c r="CP762" s="1123"/>
      <c r="CQ762" s="1123"/>
      <c r="CR762" s="1123"/>
      <c r="CS762" s="1123"/>
      <c r="CT762" s="1123"/>
      <c r="CU762" s="1123"/>
      <c r="CV762" s="1123"/>
      <c r="CW762" s="1123"/>
      <c r="CX762" s="1123"/>
      <c r="CY762" s="1123"/>
      <c r="CZ762" s="1114"/>
      <c r="DA762" s="1114"/>
      <c r="DB762" s="1114"/>
      <c r="DC762" s="1114"/>
      <c r="DD762" s="1114"/>
      <c r="DE762" s="1114"/>
      <c r="DF762" s="1114"/>
      <c r="DG762" s="1114"/>
      <c r="DH762" s="1114"/>
      <c r="DI762" s="1114"/>
      <c r="DJ762" s="1114"/>
      <c r="DK762" s="1114"/>
      <c r="DL762" s="1114"/>
      <c r="DM762" s="1114"/>
      <c r="DN762" s="1114"/>
      <c r="DO762" s="1114"/>
      <c r="DP762" s="1114"/>
      <c r="DQ762" s="1114"/>
      <c r="DR762" s="1114"/>
      <c r="DS762" s="1114"/>
      <c r="DT762" s="1114"/>
      <c r="DU762" s="1114"/>
      <c r="DV762" s="1115"/>
      <c r="DW762" s="1116"/>
      <c r="DX762" s="1116"/>
      <c r="DY762" s="1116"/>
      <c r="DZ762" s="1116"/>
      <c r="EA762" s="1116"/>
      <c r="EB762" s="1116"/>
      <c r="EC762" s="1116"/>
      <c r="ED762" s="1116"/>
      <c r="EE762" s="1116"/>
      <c r="EF762" s="1116"/>
      <c r="EG762" s="1116"/>
      <c r="EH762" s="1116"/>
      <c r="EI762" s="1116"/>
      <c r="EJ762" s="1116"/>
      <c r="EK762" s="1116"/>
      <c r="EL762" s="1116"/>
      <c r="EM762" s="1116"/>
      <c r="EN762" s="1116"/>
      <c r="EO762" s="1116"/>
      <c r="EP762" s="1116"/>
      <c r="EQ762" s="1116"/>
      <c r="ER762" s="1116"/>
      <c r="ES762" s="1116"/>
    </row>
    <row r="763" spans="1:149" ht="15" customHeight="1">
      <c r="A763" s="1185">
        <v>748</v>
      </c>
      <c r="B763" s="1041"/>
      <c r="C763" s="1050"/>
      <c r="D763" s="1050"/>
      <c r="E763" s="1050"/>
      <c r="F763" s="1049"/>
      <c r="G763" s="1457"/>
      <c r="H763" s="1049"/>
      <c r="I763" s="1049"/>
      <c r="J763" s="1050"/>
      <c r="K763" s="1050"/>
      <c r="L763" s="1043"/>
      <c r="M763" s="1051"/>
      <c r="N763" s="1051"/>
      <c r="O763" s="1052"/>
      <c r="P763" s="1051"/>
      <c r="Q763" s="1051"/>
      <c r="R763" s="1052"/>
      <c r="S763" s="1051"/>
      <c r="T763" s="1051"/>
      <c r="U763" s="1052"/>
      <c r="V763" s="1051"/>
      <c r="W763" s="1051"/>
      <c r="X763" s="1052"/>
      <c r="Y763" s="1053"/>
      <c r="Z763" s="1051"/>
      <c r="AA763" s="1051"/>
      <c r="AB763" s="1052"/>
      <c r="AC763" s="1051"/>
      <c r="AD763" s="1051"/>
      <c r="AE763" s="1052"/>
      <c r="AF763" s="1051"/>
      <c r="AG763" s="1051"/>
      <c r="AH763" s="1051"/>
      <c r="AI763" s="1051"/>
      <c r="AJ763" s="1052"/>
      <c r="AK763" s="1051"/>
      <c r="AL763" s="1051"/>
      <c r="AM763" s="1052"/>
      <c r="AN763" s="1051"/>
      <c r="AO763" s="1051"/>
      <c r="AP763" s="1052"/>
      <c r="AQ763" s="1051"/>
      <c r="AR763" s="1051"/>
      <c r="AS763" s="1052"/>
      <c r="AT763" s="1051"/>
      <c r="AU763" s="1051"/>
      <c r="AV763" s="1052"/>
      <c r="AW763" s="1051"/>
      <c r="AX763" s="1051"/>
      <c r="AY763" s="1053"/>
      <c r="AZ763" s="1051"/>
      <c r="BA763" s="1051"/>
      <c r="BB763" s="1053"/>
      <c r="BC763" s="1051"/>
      <c r="BD763" s="1051"/>
      <c r="BE763" s="1053"/>
      <c r="BF763" s="1051"/>
      <c r="BG763" s="1051"/>
      <c r="BH763" s="1053"/>
      <c r="BI763" s="1052"/>
      <c r="BJ763" s="1052"/>
      <c r="BK763" s="1052"/>
      <c r="BL763" s="1052"/>
      <c r="BM763" s="1052"/>
      <c r="BN763" s="1054"/>
      <c r="BO763" s="1076">
        <f t="shared" si="23"/>
        <v>0</v>
      </c>
      <c r="BP763" s="1051"/>
      <c r="BQ763" s="1052"/>
      <c r="BR763" s="1054"/>
      <c r="BS763" s="1053"/>
      <c r="BT763" s="1051"/>
      <c r="BU763" s="1051"/>
      <c r="BV763" s="1051"/>
      <c r="BW763" s="1052"/>
      <c r="BX763" s="1052"/>
      <c r="BY763" s="1052"/>
      <c r="BZ763" s="1052"/>
      <c r="CA763" s="1052"/>
      <c r="CB763" s="1053"/>
      <c r="CC763" s="1053"/>
      <c r="CD763" s="1053"/>
      <c r="CE763" s="1053"/>
      <c r="CF763" s="1053"/>
      <c r="CG763" s="1053"/>
      <c r="CH763" s="1053"/>
      <c r="CI763" s="1123"/>
      <c r="CJ763" s="1123"/>
      <c r="CK763" s="1123"/>
      <c r="CL763" s="1123"/>
      <c r="CM763" s="1123"/>
      <c r="CN763" s="1123"/>
      <c r="CO763" s="1123"/>
      <c r="CP763" s="1123"/>
      <c r="CQ763" s="1123"/>
      <c r="CR763" s="1123"/>
      <c r="CS763" s="1123"/>
      <c r="CT763" s="1123"/>
      <c r="CU763" s="1123"/>
      <c r="CV763" s="1123"/>
      <c r="CW763" s="1123"/>
      <c r="CX763" s="1123"/>
      <c r="CY763" s="1123"/>
      <c r="CZ763" s="1114"/>
      <c r="DA763" s="1114"/>
      <c r="DB763" s="1114"/>
      <c r="DC763" s="1114"/>
      <c r="DD763" s="1114"/>
      <c r="DE763" s="1114"/>
      <c r="DF763" s="1114"/>
      <c r="DG763" s="1114"/>
      <c r="DH763" s="1114"/>
      <c r="DI763" s="1114"/>
      <c r="DJ763" s="1114"/>
      <c r="DK763" s="1114"/>
      <c r="DL763" s="1114"/>
      <c r="DM763" s="1114"/>
      <c r="DN763" s="1114"/>
      <c r="DO763" s="1114"/>
      <c r="DP763" s="1114"/>
      <c r="DQ763" s="1114"/>
      <c r="DR763" s="1114"/>
      <c r="DS763" s="1114"/>
      <c r="DT763" s="1114"/>
      <c r="DU763" s="1114"/>
      <c r="DV763" s="1115"/>
      <c r="DW763" s="1116"/>
      <c r="DX763" s="1116"/>
      <c r="DY763" s="1116"/>
      <c r="DZ763" s="1116"/>
      <c r="EA763" s="1116"/>
      <c r="EB763" s="1116"/>
      <c r="EC763" s="1116"/>
      <c r="ED763" s="1116"/>
      <c r="EE763" s="1116"/>
      <c r="EF763" s="1116"/>
      <c r="EG763" s="1116"/>
      <c r="EH763" s="1116"/>
      <c r="EI763" s="1116"/>
      <c r="EJ763" s="1116"/>
      <c r="EK763" s="1116"/>
      <c r="EL763" s="1116"/>
      <c r="EM763" s="1116"/>
      <c r="EN763" s="1116"/>
      <c r="EO763" s="1116"/>
      <c r="EP763" s="1116"/>
      <c r="EQ763" s="1116"/>
      <c r="ER763" s="1116"/>
      <c r="ES763" s="1116"/>
    </row>
    <row r="764" spans="1:149" ht="15" customHeight="1">
      <c r="A764" s="1185">
        <v>749</v>
      </c>
      <c r="B764" s="1041"/>
      <c r="C764" s="1050"/>
      <c r="D764" s="1050"/>
      <c r="E764" s="1050"/>
      <c r="F764" s="1049"/>
      <c r="G764" s="1457"/>
      <c r="H764" s="1049"/>
      <c r="I764" s="1049"/>
      <c r="J764" s="1050"/>
      <c r="K764" s="1050"/>
      <c r="L764" s="1043"/>
      <c r="M764" s="1051"/>
      <c r="N764" s="1051"/>
      <c r="O764" s="1052"/>
      <c r="P764" s="1051"/>
      <c r="Q764" s="1051"/>
      <c r="R764" s="1052"/>
      <c r="S764" s="1051"/>
      <c r="T764" s="1051"/>
      <c r="U764" s="1052"/>
      <c r="V764" s="1051"/>
      <c r="W764" s="1051"/>
      <c r="X764" s="1052"/>
      <c r="Y764" s="1053"/>
      <c r="Z764" s="1051"/>
      <c r="AA764" s="1051"/>
      <c r="AB764" s="1052"/>
      <c r="AC764" s="1051"/>
      <c r="AD764" s="1051"/>
      <c r="AE764" s="1052"/>
      <c r="AF764" s="1051"/>
      <c r="AG764" s="1051"/>
      <c r="AH764" s="1051"/>
      <c r="AI764" s="1051"/>
      <c r="AJ764" s="1052"/>
      <c r="AK764" s="1051"/>
      <c r="AL764" s="1051"/>
      <c r="AM764" s="1052"/>
      <c r="AN764" s="1051"/>
      <c r="AO764" s="1051"/>
      <c r="AP764" s="1052"/>
      <c r="AQ764" s="1051"/>
      <c r="AR764" s="1051"/>
      <c r="AS764" s="1052"/>
      <c r="AT764" s="1051"/>
      <c r="AU764" s="1051"/>
      <c r="AV764" s="1052"/>
      <c r="AW764" s="1051"/>
      <c r="AX764" s="1051"/>
      <c r="AY764" s="1053"/>
      <c r="AZ764" s="1051"/>
      <c r="BA764" s="1051"/>
      <c r="BB764" s="1053"/>
      <c r="BC764" s="1051"/>
      <c r="BD764" s="1051"/>
      <c r="BE764" s="1053"/>
      <c r="BF764" s="1051"/>
      <c r="BG764" s="1051"/>
      <c r="BH764" s="1053"/>
      <c r="BI764" s="1052"/>
      <c r="BJ764" s="1052"/>
      <c r="BK764" s="1052"/>
      <c r="BL764" s="1052"/>
      <c r="BM764" s="1052"/>
      <c r="BN764" s="1054"/>
      <c r="BO764" s="1076">
        <f t="shared" si="23"/>
        <v>0</v>
      </c>
      <c r="BP764" s="1051"/>
      <c r="BQ764" s="1052"/>
      <c r="BR764" s="1054"/>
      <c r="BS764" s="1053"/>
      <c r="BT764" s="1051"/>
      <c r="BU764" s="1051"/>
      <c r="BV764" s="1051"/>
      <c r="BW764" s="1052"/>
      <c r="BX764" s="1052"/>
      <c r="BY764" s="1052"/>
      <c r="BZ764" s="1052"/>
      <c r="CA764" s="1052"/>
      <c r="CB764" s="1053"/>
      <c r="CC764" s="1053"/>
      <c r="CD764" s="1053"/>
      <c r="CE764" s="1053"/>
      <c r="CF764" s="1053"/>
      <c r="CG764" s="1053"/>
      <c r="CH764" s="1053"/>
      <c r="CI764" s="1123"/>
      <c r="CJ764" s="1123"/>
      <c r="CK764" s="1123"/>
      <c r="CL764" s="1123"/>
      <c r="CM764" s="1123"/>
      <c r="CN764" s="1123"/>
      <c r="CO764" s="1123"/>
      <c r="CP764" s="1123"/>
      <c r="CQ764" s="1123"/>
      <c r="CR764" s="1123"/>
      <c r="CS764" s="1123"/>
      <c r="CT764" s="1123"/>
      <c r="CU764" s="1123"/>
      <c r="CV764" s="1123"/>
      <c r="CW764" s="1123"/>
      <c r="CX764" s="1123"/>
      <c r="CY764" s="1123"/>
      <c r="CZ764" s="1114"/>
      <c r="DA764" s="1114"/>
      <c r="DB764" s="1114"/>
      <c r="DC764" s="1114"/>
      <c r="DD764" s="1114"/>
      <c r="DE764" s="1114"/>
      <c r="DF764" s="1114"/>
      <c r="DG764" s="1114"/>
      <c r="DH764" s="1114"/>
      <c r="DI764" s="1114"/>
      <c r="DJ764" s="1114"/>
      <c r="DK764" s="1114"/>
      <c r="DL764" s="1114"/>
      <c r="DM764" s="1114"/>
      <c r="DN764" s="1114"/>
      <c r="DO764" s="1114"/>
      <c r="DP764" s="1114"/>
      <c r="DQ764" s="1114"/>
      <c r="DR764" s="1114"/>
      <c r="DS764" s="1114"/>
      <c r="DT764" s="1114"/>
      <c r="DU764" s="1114"/>
      <c r="DV764" s="1115"/>
      <c r="DW764" s="1116"/>
      <c r="DX764" s="1116"/>
      <c r="DY764" s="1116"/>
      <c r="DZ764" s="1116"/>
      <c r="EA764" s="1116"/>
      <c r="EB764" s="1116"/>
      <c r="EC764" s="1116"/>
      <c r="ED764" s="1116"/>
      <c r="EE764" s="1116"/>
      <c r="EF764" s="1116"/>
      <c r="EG764" s="1116"/>
      <c r="EH764" s="1116"/>
      <c r="EI764" s="1116"/>
      <c r="EJ764" s="1116"/>
      <c r="EK764" s="1116"/>
      <c r="EL764" s="1116"/>
      <c r="EM764" s="1116"/>
      <c r="EN764" s="1116"/>
      <c r="EO764" s="1116"/>
      <c r="EP764" s="1116"/>
      <c r="EQ764" s="1116"/>
      <c r="ER764" s="1116"/>
      <c r="ES764" s="1116"/>
    </row>
    <row r="765" spans="1:149" ht="15" customHeight="1">
      <c r="A765" s="1185">
        <v>750</v>
      </c>
      <c r="B765" s="1041"/>
      <c r="C765" s="1050"/>
      <c r="D765" s="1050"/>
      <c r="E765" s="1050"/>
      <c r="F765" s="1049"/>
      <c r="G765" s="1457"/>
      <c r="H765" s="1049"/>
      <c r="I765" s="1049"/>
      <c r="J765" s="1050"/>
      <c r="K765" s="1050"/>
      <c r="L765" s="1043"/>
      <c r="M765" s="1051"/>
      <c r="N765" s="1051"/>
      <c r="O765" s="1052"/>
      <c r="P765" s="1051"/>
      <c r="Q765" s="1051"/>
      <c r="R765" s="1052"/>
      <c r="S765" s="1051"/>
      <c r="T765" s="1051"/>
      <c r="U765" s="1052"/>
      <c r="V765" s="1051"/>
      <c r="W765" s="1051"/>
      <c r="X765" s="1052"/>
      <c r="Y765" s="1053"/>
      <c r="Z765" s="1051"/>
      <c r="AA765" s="1051"/>
      <c r="AB765" s="1052"/>
      <c r="AC765" s="1051"/>
      <c r="AD765" s="1051"/>
      <c r="AE765" s="1052"/>
      <c r="AF765" s="1051"/>
      <c r="AG765" s="1051"/>
      <c r="AH765" s="1051"/>
      <c r="AI765" s="1051"/>
      <c r="AJ765" s="1052"/>
      <c r="AK765" s="1051"/>
      <c r="AL765" s="1051"/>
      <c r="AM765" s="1052"/>
      <c r="AN765" s="1051"/>
      <c r="AO765" s="1051"/>
      <c r="AP765" s="1052"/>
      <c r="AQ765" s="1051"/>
      <c r="AR765" s="1051"/>
      <c r="AS765" s="1052"/>
      <c r="AT765" s="1051"/>
      <c r="AU765" s="1051"/>
      <c r="AV765" s="1052"/>
      <c r="AW765" s="1051"/>
      <c r="AX765" s="1051"/>
      <c r="AY765" s="1053"/>
      <c r="AZ765" s="1051"/>
      <c r="BA765" s="1051"/>
      <c r="BB765" s="1053"/>
      <c r="BC765" s="1051"/>
      <c r="BD765" s="1051"/>
      <c r="BE765" s="1053"/>
      <c r="BF765" s="1051"/>
      <c r="BG765" s="1051"/>
      <c r="BH765" s="1053"/>
      <c r="BI765" s="1052"/>
      <c r="BJ765" s="1052"/>
      <c r="BK765" s="1052"/>
      <c r="BL765" s="1052"/>
      <c r="BM765" s="1052"/>
      <c r="BN765" s="1054"/>
      <c r="BO765" s="1076">
        <f t="shared" si="23"/>
        <v>0</v>
      </c>
      <c r="BP765" s="1051"/>
      <c r="BQ765" s="1052"/>
      <c r="BR765" s="1054"/>
      <c r="BS765" s="1053"/>
      <c r="BT765" s="1051"/>
      <c r="BU765" s="1051"/>
      <c r="BV765" s="1051"/>
      <c r="BW765" s="1052"/>
      <c r="BX765" s="1052"/>
      <c r="BY765" s="1052"/>
      <c r="BZ765" s="1052"/>
      <c r="CA765" s="1052"/>
      <c r="CB765" s="1053"/>
      <c r="CC765" s="1053"/>
      <c r="CD765" s="1053"/>
      <c r="CE765" s="1053"/>
      <c r="CF765" s="1053"/>
      <c r="CG765" s="1053"/>
      <c r="CH765" s="1053"/>
      <c r="CI765" s="1123"/>
      <c r="CJ765" s="1123"/>
      <c r="CK765" s="1123"/>
      <c r="CL765" s="1123"/>
      <c r="CM765" s="1123"/>
      <c r="CN765" s="1123"/>
      <c r="CO765" s="1123"/>
      <c r="CP765" s="1123"/>
      <c r="CQ765" s="1123"/>
      <c r="CR765" s="1123"/>
      <c r="CS765" s="1123"/>
      <c r="CT765" s="1123"/>
      <c r="CU765" s="1123"/>
      <c r="CV765" s="1123"/>
      <c r="CW765" s="1123"/>
      <c r="CX765" s="1123"/>
      <c r="CY765" s="1123"/>
      <c r="CZ765" s="1114"/>
      <c r="DA765" s="1114"/>
      <c r="DB765" s="1114"/>
      <c r="DC765" s="1114"/>
      <c r="DD765" s="1114"/>
      <c r="DE765" s="1114"/>
      <c r="DF765" s="1114"/>
      <c r="DG765" s="1114"/>
      <c r="DH765" s="1114"/>
      <c r="DI765" s="1114"/>
      <c r="DJ765" s="1114"/>
      <c r="DK765" s="1114"/>
      <c r="DL765" s="1114"/>
      <c r="DM765" s="1114"/>
      <c r="DN765" s="1114"/>
      <c r="DO765" s="1114"/>
      <c r="DP765" s="1114"/>
      <c r="DQ765" s="1114"/>
      <c r="DR765" s="1114"/>
      <c r="DS765" s="1114"/>
      <c r="DT765" s="1114"/>
      <c r="DU765" s="1114"/>
      <c r="DV765" s="1115"/>
      <c r="DW765" s="1116"/>
      <c r="DX765" s="1116"/>
      <c r="DY765" s="1116"/>
      <c r="DZ765" s="1116"/>
      <c r="EA765" s="1116"/>
      <c r="EB765" s="1116"/>
      <c r="EC765" s="1116"/>
      <c r="ED765" s="1116"/>
      <c r="EE765" s="1116"/>
      <c r="EF765" s="1116"/>
      <c r="EG765" s="1116"/>
      <c r="EH765" s="1116"/>
      <c r="EI765" s="1116"/>
      <c r="EJ765" s="1116"/>
      <c r="EK765" s="1116"/>
      <c r="EL765" s="1116"/>
      <c r="EM765" s="1116"/>
      <c r="EN765" s="1116"/>
      <c r="EO765" s="1116"/>
      <c r="EP765" s="1116"/>
      <c r="EQ765" s="1116"/>
      <c r="ER765" s="1116"/>
      <c r="ES765" s="1116"/>
    </row>
    <row r="766" spans="1:149" ht="15" customHeight="1">
      <c r="A766" s="1185">
        <v>751</v>
      </c>
      <c r="B766" s="1041"/>
      <c r="C766" s="1050"/>
      <c r="D766" s="1050"/>
      <c r="E766" s="1050"/>
      <c r="F766" s="1049"/>
      <c r="G766" s="1457"/>
      <c r="H766" s="1049"/>
      <c r="I766" s="1049"/>
      <c r="J766" s="1050"/>
      <c r="K766" s="1050"/>
      <c r="L766" s="1043"/>
      <c r="M766" s="1051"/>
      <c r="N766" s="1051"/>
      <c r="O766" s="1052"/>
      <c r="P766" s="1051"/>
      <c r="Q766" s="1051"/>
      <c r="R766" s="1052"/>
      <c r="S766" s="1051"/>
      <c r="T766" s="1051"/>
      <c r="U766" s="1052"/>
      <c r="V766" s="1051"/>
      <c r="W766" s="1051"/>
      <c r="X766" s="1052"/>
      <c r="Y766" s="1053"/>
      <c r="Z766" s="1051"/>
      <c r="AA766" s="1051"/>
      <c r="AB766" s="1052"/>
      <c r="AC766" s="1051"/>
      <c r="AD766" s="1051"/>
      <c r="AE766" s="1052"/>
      <c r="AF766" s="1051"/>
      <c r="AG766" s="1051"/>
      <c r="AH766" s="1051"/>
      <c r="AI766" s="1051"/>
      <c r="AJ766" s="1052"/>
      <c r="AK766" s="1051"/>
      <c r="AL766" s="1051"/>
      <c r="AM766" s="1052"/>
      <c r="AN766" s="1051"/>
      <c r="AO766" s="1051"/>
      <c r="AP766" s="1052"/>
      <c r="AQ766" s="1051"/>
      <c r="AR766" s="1051"/>
      <c r="AS766" s="1052"/>
      <c r="AT766" s="1051"/>
      <c r="AU766" s="1051"/>
      <c r="AV766" s="1052"/>
      <c r="AW766" s="1051"/>
      <c r="AX766" s="1051"/>
      <c r="AY766" s="1053"/>
      <c r="AZ766" s="1051"/>
      <c r="BA766" s="1051"/>
      <c r="BB766" s="1053"/>
      <c r="BC766" s="1051"/>
      <c r="BD766" s="1051"/>
      <c r="BE766" s="1053"/>
      <c r="BF766" s="1051"/>
      <c r="BG766" s="1051"/>
      <c r="BH766" s="1053"/>
      <c r="BI766" s="1052"/>
      <c r="BJ766" s="1052"/>
      <c r="BK766" s="1052"/>
      <c r="BL766" s="1052"/>
      <c r="BM766" s="1052"/>
      <c r="BN766" s="1054"/>
      <c r="BO766" s="1076">
        <f t="shared" si="23"/>
        <v>0</v>
      </c>
      <c r="BP766" s="1051"/>
      <c r="BQ766" s="1052"/>
      <c r="BR766" s="1054"/>
      <c r="BS766" s="1053"/>
      <c r="BT766" s="1051"/>
      <c r="BU766" s="1051"/>
      <c r="BV766" s="1051"/>
      <c r="BW766" s="1052"/>
      <c r="BX766" s="1052"/>
      <c r="BY766" s="1052"/>
      <c r="BZ766" s="1052"/>
      <c r="CA766" s="1052"/>
      <c r="CB766" s="1053"/>
      <c r="CC766" s="1053"/>
      <c r="CD766" s="1053"/>
      <c r="CE766" s="1053"/>
      <c r="CF766" s="1053"/>
      <c r="CG766" s="1053"/>
      <c r="CH766" s="1053"/>
      <c r="CI766" s="1123"/>
      <c r="CJ766" s="1123"/>
      <c r="CK766" s="1123"/>
      <c r="CL766" s="1123"/>
      <c r="CM766" s="1123"/>
      <c r="CN766" s="1123"/>
      <c r="CO766" s="1123"/>
      <c r="CP766" s="1123"/>
      <c r="CQ766" s="1123"/>
      <c r="CR766" s="1123"/>
      <c r="CS766" s="1123"/>
      <c r="CT766" s="1123"/>
      <c r="CU766" s="1123"/>
      <c r="CV766" s="1123"/>
      <c r="CW766" s="1123"/>
      <c r="CX766" s="1123"/>
      <c r="CY766" s="1123"/>
      <c r="CZ766" s="1114"/>
      <c r="DA766" s="1114"/>
      <c r="DB766" s="1114"/>
      <c r="DC766" s="1114"/>
      <c r="DD766" s="1114"/>
      <c r="DE766" s="1114"/>
      <c r="DF766" s="1114"/>
      <c r="DG766" s="1114"/>
      <c r="DH766" s="1114"/>
      <c r="DI766" s="1114"/>
      <c r="DJ766" s="1114"/>
      <c r="DK766" s="1114"/>
      <c r="DL766" s="1114"/>
      <c r="DM766" s="1114"/>
      <c r="DN766" s="1114"/>
      <c r="DO766" s="1114"/>
      <c r="DP766" s="1114"/>
      <c r="DQ766" s="1114"/>
      <c r="DR766" s="1114"/>
      <c r="DS766" s="1114"/>
      <c r="DT766" s="1114"/>
      <c r="DU766" s="1114"/>
      <c r="DV766" s="1115"/>
      <c r="DW766" s="1116"/>
      <c r="DX766" s="1116"/>
      <c r="DY766" s="1116"/>
      <c r="DZ766" s="1116"/>
      <c r="EA766" s="1116"/>
      <c r="EB766" s="1116"/>
      <c r="EC766" s="1116"/>
      <c r="ED766" s="1116"/>
      <c r="EE766" s="1116"/>
      <c r="EF766" s="1116"/>
      <c r="EG766" s="1116"/>
      <c r="EH766" s="1116"/>
      <c r="EI766" s="1116"/>
      <c r="EJ766" s="1116"/>
      <c r="EK766" s="1116"/>
      <c r="EL766" s="1116"/>
      <c r="EM766" s="1116"/>
      <c r="EN766" s="1116"/>
      <c r="EO766" s="1116"/>
      <c r="EP766" s="1116"/>
      <c r="EQ766" s="1116"/>
      <c r="ER766" s="1116"/>
      <c r="ES766" s="1116"/>
    </row>
    <row r="767" spans="1:149" ht="15" customHeight="1">
      <c r="A767" s="1185">
        <v>752</v>
      </c>
      <c r="B767" s="1041"/>
      <c r="C767" s="1050"/>
      <c r="D767" s="1050"/>
      <c r="E767" s="1050"/>
      <c r="F767" s="1049"/>
      <c r="G767" s="1457"/>
      <c r="H767" s="1049"/>
      <c r="I767" s="1049"/>
      <c r="J767" s="1050"/>
      <c r="K767" s="1050"/>
      <c r="L767" s="1043"/>
      <c r="M767" s="1051"/>
      <c r="N767" s="1051"/>
      <c r="O767" s="1052"/>
      <c r="P767" s="1051"/>
      <c r="Q767" s="1051"/>
      <c r="R767" s="1052"/>
      <c r="S767" s="1051"/>
      <c r="T767" s="1051"/>
      <c r="U767" s="1052"/>
      <c r="V767" s="1051"/>
      <c r="W767" s="1051"/>
      <c r="X767" s="1052"/>
      <c r="Y767" s="1053"/>
      <c r="Z767" s="1051"/>
      <c r="AA767" s="1051"/>
      <c r="AB767" s="1052"/>
      <c r="AC767" s="1051"/>
      <c r="AD767" s="1051"/>
      <c r="AE767" s="1052"/>
      <c r="AF767" s="1051"/>
      <c r="AG767" s="1051"/>
      <c r="AH767" s="1051"/>
      <c r="AI767" s="1051"/>
      <c r="AJ767" s="1052"/>
      <c r="AK767" s="1051"/>
      <c r="AL767" s="1051"/>
      <c r="AM767" s="1052"/>
      <c r="AN767" s="1051"/>
      <c r="AO767" s="1051"/>
      <c r="AP767" s="1052"/>
      <c r="AQ767" s="1051"/>
      <c r="AR767" s="1051"/>
      <c r="AS767" s="1052"/>
      <c r="AT767" s="1051"/>
      <c r="AU767" s="1051"/>
      <c r="AV767" s="1052"/>
      <c r="AW767" s="1051"/>
      <c r="AX767" s="1051"/>
      <c r="AY767" s="1053"/>
      <c r="AZ767" s="1051"/>
      <c r="BA767" s="1051"/>
      <c r="BB767" s="1053"/>
      <c r="BC767" s="1051"/>
      <c r="BD767" s="1051"/>
      <c r="BE767" s="1053"/>
      <c r="BF767" s="1051"/>
      <c r="BG767" s="1051"/>
      <c r="BH767" s="1053"/>
      <c r="BI767" s="1052"/>
      <c r="BJ767" s="1052"/>
      <c r="BK767" s="1052"/>
      <c r="BL767" s="1052"/>
      <c r="BM767" s="1052"/>
      <c r="BN767" s="1054"/>
      <c r="BO767" s="1076">
        <f t="shared" si="23"/>
        <v>0</v>
      </c>
      <c r="BP767" s="1051"/>
      <c r="BQ767" s="1052"/>
      <c r="BR767" s="1054"/>
      <c r="BS767" s="1053"/>
      <c r="BT767" s="1051"/>
      <c r="BU767" s="1051"/>
      <c r="BV767" s="1051"/>
      <c r="BW767" s="1052"/>
      <c r="BX767" s="1052"/>
      <c r="BY767" s="1052"/>
      <c r="BZ767" s="1052"/>
      <c r="CA767" s="1052"/>
      <c r="CB767" s="1053"/>
      <c r="CC767" s="1053"/>
      <c r="CD767" s="1053"/>
      <c r="CE767" s="1053"/>
      <c r="CF767" s="1053"/>
      <c r="CG767" s="1053"/>
      <c r="CH767" s="1053"/>
      <c r="CI767" s="1123"/>
      <c r="CJ767" s="1123"/>
      <c r="CK767" s="1123"/>
      <c r="CL767" s="1123"/>
      <c r="CM767" s="1123"/>
      <c r="CN767" s="1123"/>
      <c r="CO767" s="1123"/>
      <c r="CP767" s="1123"/>
      <c r="CQ767" s="1123"/>
      <c r="CR767" s="1123"/>
      <c r="CS767" s="1123"/>
      <c r="CT767" s="1123"/>
      <c r="CU767" s="1123"/>
      <c r="CV767" s="1123"/>
      <c r="CW767" s="1123"/>
      <c r="CX767" s="1123"/>
      <c r="CY767" s="1123"/>
      <c r="CZ767" s="1114"/>
      <c r="DA767" s="1114"/>
      <c r="DB767" s="1114"/>
      <c r="DC767" s="1114"/>
      <c r="DD767" s="1114"/>
      <c r="DE767" s="1114"/>
      <c r="DF767" s="1114"/>
      <c r="DG767" s="1114"/>
      <c r="DH767" s="1114"/>
      <c r="DI767" s="1114"/>
      <c r="DJ767" s="1114"/>
      <c r="DK767" s="1114"/>
      <c r="DL767" s="1114"/>
      <c r="DM767" s="1114"/>
      <c r="DN767" s="1114"/>
      <c r="DO767" s="1114"/>
      <c r="DP767" s="1114"/>
      <c r="DQ767" s="1114"/>
      <c r="DR767" s="1114"/>
      <c r="DS767" s="1114"/>
      <c r="DT767" s="1114"/>
      <c r="DU767" s="1114"/>
      <c r="DV767" s="1115"/>
      <c r="DW767" s="1116"/>
      <c r="DX767" s="1116"/>
      <c r="DY767" s="1116"/>
      <c r="DZ767" s="1116"/>
      <c r="EA767" s="1116"/>
      <c r="EB767" s="1116"/>
      <c r="EC767" s="1116"/>
      <c r="ED767" s="1116"/>
      <c r="EE767" s="1116"/>
      <c r="EF767" s="1116"/>
      <c r="EG767" s="1116"/>
      <c r="EH767" s="1116"/>
      <c r="EI767" s="1116"/>
      <c r="EJ767" s="1116"/>
      <c r="EK767" s="1116"/>
      <c r="EL767" s="1116"/>
      <c r="EM767" s="1116"/>
      <c r="EN767" s="1116"/>
      <c r="EO767" s="1116"/>
      <c r="EP767" s="1116"/>
      <c r="EQ767" s="1116"/>
      <c r="ER767" s="1116"/>
      <c r="ES767" s="1116"/>
    </row>
    <row r="768" spans="1:149" ht="15" customHeight="1">
      <c r="A768" s="1185">
        <v>753</v>
      </c>
      <c r="B768" s="1041"/>
      <c r="C768" s="1050"/>
      <c r="D768" s="1050"/>
      <c r="E768" s="1050"/>
      <c r="F768" s="1049"/>
      <c r="G768" s="1457"/>
      <c r="H768" s="1049"/>
      <c r="I768" s="1049"/>
      <c r="J768" s="1050"/>
      <c r="K768" s="1050"/>
      <c r="L768" s="1043"/>
      <c r="M768" s="1051"/>
      <c r="N768" s="1051"/>
      <c r="O768" s="1052"/>
      <c r="P768" s="1051"/>
      <c r="Q768" s="1051"/>
      <c r="R768" s="1052"/>
      <c r="S768" s="1051"/>
      <c r="T768" s="1051"/>
      <c r="U768" s="1052"/>
      <c r="V768" s="1051"/>
      <c r="W768" s="1051"/>
      <c r="X768" s="1052"/>
      <c r="Y768" s="1053"/>
      <c r="Z768" s="1051"/>
      <c r="AA768" s="1051"/>
      <c r="AB768" s="1052"/>
      <c r="AC768" s="1051"/>
      <c r="AD768" s="1051"/>
      <c r="AE768" s="1052"/>
      <c r="AF768" s="1051"/>
      <c r="AG768" s="1051"/>
      <c r="AH768" s="1051"/>
      <c r="AI768" s="1051"/>
      <c r="AJ768" s="1052"/>
      <c r="AK768" s="1051"/>
      <c r="AL768" s="1051"/>
      <c r="AM768" s="1052"/>
      <c r="AN768" s="1051"/>
      <c r="AO768" s="1051"/>
      <c r="AP768" s="1052"/>
      <c r="AQ768" s="1051"/>
      <c r="AR768" s="1051"/>
      <c r="AS768" s="1052"/>
      <c r="AT768" s="1051"/>
      <c r="AU768" s="1051"/>
      <c r="AV768" s="1052"/>
      <c r="AW768" s="1051"/>
      <c r="AX768" s="1051"/>
      <c r="AY768" s="1053"/>
      <c r="AZ768" s="1051"/>
      <c r="BA768" s="1051"/>
      <c r="BB768" s="1053"/>
      <c r="BC768" s="1051"/>
      <c r="BD768" s="1051"/>
      <c r="BE768" s="1053"/>
      <c r="BF768" s="1051"/>
      <c r="BG768" s="1051"/>
      <c r="BH768" s="1053"/>
      <c r="BI768" s="1052"/>
      <c r="BJ768" s="1052"/>
      <c r="BK768" s="1052"/>
      <c r="BL768" s="1052"/>
      <c r="BM768" s="1052"/>
      <c r="BN768" s="1054"/>
      <c r="BO768" s="1076">
        <f t="shared" si="23"/>
        <v>0</v>
      </c>
      <c r="BP768" s="1051"/>
      <c r="BQ768" s="1052"/>
      <c r="BR768" s="1054"/>
      <c r="BS768" s="1053"/>
      <c r="BT768" s="1051"/>
      <c r="BU768" s="1051"/>
      <c r="BV768" s="1051"/>
      <c r="BW768" s="1052"/>
      <c r="BX768" s="1052"/>
      <c r="BY768" s="1052"/>
      <c r="BZ768" s="1052"/>
      <c r="CA768" s="1052"/>
      <c r="CB768" s="1053"/>
      <c r="CC768" s="1053"/>
      <c r="CD768" s="1053"/>
      <c r="CE768" s="1053"/>
      <c r="CF768" s="1053"/>
      <c r="CG768" s="1053"/>
      <c r="CH768" s="1053"/>
      <c r="CI768" s="1123"/>
      <c r="CJ768" s="1123"/>
      <c r="CK768" s="1123"/>
      <c r="CL768" s="1123"/>
      <c r="CM768" s="1123"/>
      <c r="CN768" s="1123"/>
      <c r="CO768" s="1123"/>
      <c r="CP768" s="1123"/>
      <c r="CQ768" s="1123"/>
      <c r="CR768" s="1123"/>
      <c r="CS768" s="1123"/>
      <c r="CT768" s="1123"/>
      <c r="CU768" s="1123"/>
      <c r="CV768" s="1123"/>
      <c r="CW768" s="1123"/>
      <c r="CX768" s="1123"/>
      <c r="CY768" s="1123"/>
      <c r="CZ768" s="1114"/>
      <c r="DA768" s="1114"/>
      <c r="DB768" s="1114"/>
      <c r="DC768" s="1114"/>
      <c r="DD768" s="1114"/>
      <c r="DE768" s="1114"/>
      <c r="DF768" s="1114"/>
      <c r="DG768" s="1114"/>
      <c r="DH768" s="1114"/>
      <c r="DI768" s="1114"/>
      <c r="DJ768" s="1114"/>
      <c r="DK768" s="1114"/>
      <c r="DL768" s="1114"/>
      <c r="DM768" s="1114"/>
      <c r="DN768" s="1114"/>
      <c r="DO768" s="1114"/>
      <c r="DP768" s="1114"/>
      <c r="DQ768" s="1114"/>
      <c r="DR768" s="1114"/>
      <c r="DS768" s="1114"/>
      <c r="DT768" s="1114"/>
      <c r="DU768" s="1114"/>
      <c r="DV768" s="1115"/>
      <c r="DW768" s="1116"/>
      <c r="DX768" s="1116"/>
      <c r="DY768" s="1116"/>
      <c r="DZ768" s="1116"/>
      <c r="EA768" s="1116"/>
      <c r="EB768" s="1116"/>
      <c r="EC768" s="1116"/>
      <c r="ED768" s="1116"/>
      <c r="EE768" s="1116"/>
      <c r="EF768" s="1116"/>
      <c r="EG768" s="1116"/>
      <c r="EH768" s="1116"/>
      <c r="EI768" s="1116"/>
      <c r="EJ768" s="1116"/>
      <c r="EK768" s="1116"/>
      <c r="EL768" s="1116"/>
      <c r="EM768" s="1116"/>
      <c r="EN768" s="1116"/>
      <c r="EO768" s="1116"/>
      <c r="EP768" s="1116"/>
      <c r="EQ768" s="1116"/>
      <c r="ER768" s="1116"/>
      <c r="ES768" s="1116"/>
    </row>
    <row r="769" spans="1:149" ht="15" customHeight="1">
      <c r="A769" s="1185">
        <v>754</v>
      </c>
      <c r="B769" s="1041"/>
      <c r="C769" s="1050"/>
      <c r="D769" s="1050"/>
      <c r="E769" s="1050"/>
      <c r="F769" s="1049"/>
      <c r="G769" s="1457"/>
      <c r="H769" s="1049"/>
      <c r="I769" s="1049"/>
      <c r="J769" s="1050"/>
      <c r="K769" s="1050"/>
      <c r="L769" s="1043"/>
      <c r="M769" s="1051"/>
      <c r="N769" s="1051"/>
      <c r="O769" s="1052"/>
      <c r="P769" s="1051"/>
      <c r="Q769" s="1051"/>
      <c r="R769" s="1052"/>
      <c r="S769" s="1051"/>
      <c r="T769" s="1051"/>
      <c r="U769" s="1052"/>
      <c r="V769" s="1051"/>
      <c r="W769" s="1051"/>
      <c r="X769" s="1052"/>
      <c r="Y769" s="1053"/>
      <c r="Z769" s="1051"/>
      <c r="AA769" s="1051"/>
      <c r="AB769" s="1052"/>
      <c r="AC769" s="1051"/>
      <c r="AD769" s="1051"/>
      <c r="AE769" s="1052"/>
      <c r="AF769" s="1051"/>
      <c r="AG769" s="1051"/>
      <c r="AH769" s="1051"/>
      <c r="AI769" s="1051"/>
      <c r="AJ769" s="1052"/>
      <c r="AK769" s="1051"/>
      <c r="AL769" s="1051"/>
      <c r="AM769" s="1052"/>
      <c r="AN769" s="1051"/>
      <c r="AO769" s="1051"/>
      <c r="AP769" s="1052"/>
      <c r="AQ769" s="1051"/>
      <c r="AR769" s="1051"/>
      <c r="AS769" s="1052"/>
      <c r="AT769" s="1051"/>
      <c r="AU769" s="1051"/>
      <c r="AV769" s="1052"/>
      <c r="AW769" s="1051"/>
      <c r="AX769" s="1051"/>
      <c r="AY769" s="1053"/>
      <c r="AZ769" s="1051"/>
      <c r="BA769" s="1051"/>
      <c r="BB769" s="1053"/>
      <c r="BC769" s="1051"/>
      <c r="BD769" s="1051"/>
      <c r="BE769" s="1053"/>
      <c r="BF769" s="1051"/>
      <c r="BG769" s="1051"/>
      <c r="BH769" s="1053"/>
      <c r="BI769" s="1052"/>
      <c r="BJ769" s="1052"/>
      <c r="BK769" s="1052"/>
      <c r="BL769" s="1052"/>
      <c r="BM769" s="1052"/>
      <c r="BN769" s="1054"/>
      <c r="BO769" s="1076">
        <f t="shared" si="23"/>
        <v>0</v>
      </c>
      <c r="BP769" s="1051"/>
      <c r="BQ769" s="1052"/>
      <c r="BR769" s="1054"/>
      <c r="BS769" s="1053"/>
      <c r="BT769" s="1051"/>
      <c r="BU769" s="1051"/>
      <c r="BV769" s="1051"/>
      <c r="BW769" s="1052"/>
      <c r="BX769" s="1052"/>
      <c r="BY769" s="1052"/>
      <c r="BZ769" s="1052"/>
      <c r="CA769" s="1052"/>
      <c r="CB769" s="1053"/>
      <c r="CC769" s="1053"/>
      <c r="CD769" s="1053"/>
      <c r="CE769" s="1053"/>
      <c r="CF769" s="1053"/>
      <c r="CG769" s="1053"/>
      <c r="CH769" s="1053"/>
      <c r="CI769" s="1123"/>
      <c r="CJ769" s="1123"/>
      <c r="CK769" s="1123"/>
      <c r="CL769" s="1123"/>
      <c r="CM769" s="1123"/>
      <c r="CN769" s="1123"/>
      <c r="CO769" s="1123"/>
      <c r="CP769" s="1123"/>
      <c r="CQ769" s="1123"/>
      <c r="CR769" s="1123"/>
      <c r="CS769" s="1123"/>
      <c r="CT769" s="1123"/>
      <c r="CU769" s="1123"/>
      <c r="CV769" s="1123"/>
      <c r="CW769" s="1123"/>
      <c r="CX769" s="1123"/>
      <c r="CY769" s="1123"/>
      <c r="CZ769" s="1114"/>
      <c r="DA769" s="1114"/>
      <c r="DB769" s="1114"/>
      <c r="DC769" s="1114"/>
      <c r="DD769" s="1114"/>
      <c r="DE769" s="1114"/>
      <c r="DF769" s="1114"/>
      <c r="DG769" s="1114"/>
      <c r="DH769" s="1114"/>
      <c r="DI769" s="1114"/>
      <c r="DJ769" s="1114"/>
      <c r="DK769" s="1114"/>
      <c r="DL769" s="1114"/>
      <c r="DM769" s="1114"/>
      <c r="DN769" s="1114"/>
      <c r="DO769" s="1114"/>
      <c r="DP769" s="1114"/>
      <c r="DQ769" s="1114"/>
      <c r="DR769" s="1114"/>
      <c r="DS769" s="1114"/>
      <c r="DT769" s="1114"/>
      <c r="DU769" s="1114"/>
      <c r="DV769" s="1115"/>
      <c r="DW769" s="1116"/>
      <c r="DX769" s="1116"/>
      <c r="DY769" s="1116"/>
      <c r="DZ769" s="1116"/>
      <c r="EA769" s="1116"/>
      <c r="EB769" s="1116"/>
      <c r="EC769" s="1116"/>
      <c r="ED769" s="1116"/>
      <c r="EE769" s="1116"/>
      <c r="EF769" s="1116"/>
      <c r="EG769" s="1116"/>
      <c r="EH769" s="1116"/>
      <c r="EI769" s="1116"/>
      <c r="EJ769" s="1116"/>
      <c r="EK769" s="1116"/>
      <c r="EL769" s="1116"/>
      <c r="EM769" s="1116"/>
      <c r="EN769" s="1116"/>
      <c r="EO769" s="1116"/>
      <c r="EP769" s="1116"/>
      <c r="EQ769" s="1116"/>
      <c r="ER769" s="1116"/>
      <c r="ES769" s="1116"/>
    </row>
    <row r="770" spans="1:149" ht="15" customHeight="1">
      <c r="A770" s="1185">
        <v>755</v>
      </c>
      <c r="B770" s="1041"/>
      <c r="C770" s="1050"/>
      <c r="D770" s="1050"/>
      <c r="E770" s="1050"/>
      <c r="F770" s="1049"/>
      <c r="G770" s="1457"/>
      <c r="H770" s="1049"/>
      <c r="I770" s="1049"/>
      <c r="J770" s="1050"/>
      <c r="K770" s="1050"/>
      <c r="L770" s="1043"/>
      <c r="M770" s="1051"/>
      <c r="N770" s="1051"/>
      <c r="O770" s="1052"/>
      <c r="P770" s="1051"/>
      <c r="Q770" s="1051"/>
      <c r="R770" s="1052"/>
      <c r="S770" s="1051"/>
      <c r="T770" s="1051"/>
      <c r="U770" s="1052"/>
      <c r="V770" s="1051"/>
      <c r="W770" s="1051"/>
      <c r="X770" s="1052"/>
      <c r="Y770" s="1053"/>
      <c r="Z770" s="1051"/>
      <c r="AA770" s="1051"/>
      <c r="AB770" s="1052"/>
      <c r="AC770" s="1051"/>
      <c r="AD770" s="1051"/>
      <c r="AE770" s="1052"/>
      <c r="AF770" s="1051"/>
      <c r="AG770" s="1051"/>
      <c r="AH770" s="1051"/>
      <c r="AI770" s="1051"/>
      <c r="AJ770" s="1052"/>
      <c r="AK770" s="1051"/>
      <c r="AL770" s="1051"/>
      <c r="AM770" s="1052"/>
      <c r="AN770" s="1051"/>
      <c r="AO770" s="1051"/>
      <c r="AP770" s="1052"/>
      <c r="AQ770" s="1051"/>
      <c r="AR770" s="1051"/>
      <c r="AS770" s="1052"/>
      <c r="AT770" s="1051"/>
      <c r="AU770" s="1051"/>
      <c r="AV770" s="1052"/>
      <c r="AW770" s="1051"/>
      <c r="AX770" s="1051"/>
      <c r="AY770" s="1053"/>
      <c r="AZ770" s="1051"/>
      <c r="BA770" s="1051"/>
      <c r="BB770" s="1053"/>
      <c r="BC770" s="1051"/>
      <c r="BD770" s="1051"/>
      <c r="BE770" s="1053"/>
      <c r="BF770" s="1051"/>
      <c r="BG770" s="1051"/>
      <c r="BH770" s="1053"/>
      <c r="BI770" s="1052"/>
      <c r="BJ770" s="1052"/>
      <c r="BK770" s="1052"/>
      <c r="BL770" s="1052"/>
      <c r="BM770" s="1052"/>
      <c r="BN770" s="1054"/>
      <c r="BO770" s="1076">
        <f t="shared" si="23"/>
        <v>0</v>
      </c>
      <c r="BP770" s="1051"/>
      <c r="BQ770" s="1052"/>
      <c r="BR770" s="1054"/>
      <c r="BS770" s="1053"/>
      <c r="BT770" s="1051"/>
      <c r="BU770" s="1051"/>
      <c r="BV770" s="1051"/>
      <c r="BW770" s="1052"/>
      <c r="BX770" s="1052"/>
      <c r="BY770" s="1052"/>
      <c r="BZ770" s="1052"/>
      <c r="CA770" s="1052"/>
      <c r="CB770" s="1053"/>
      <c r="CC770" s="1053"/>
      <c r="CD770" s="1053"/>
      <c r="CE770" s="1053"/>
      <c r="CF770" s="1053"/>
      <c r="CG770" s="1053"/>
      <c r="CH770" s="1053"/>
      <c r="CI770" s="1123"/>
      <c r="CJ770" s="1123"/>
      <c r="CK770" s="1123"/>
      <c r="CL770" s="1123"/>
      <c r="CM770" s="1123"/>
      <c r="CN770" s="1123"/>
      <c r="CO770" s="1123"/>
      <c r="CP770" s="1123"/>
      <c r="CQ770" s="1123"/>
      <c r="CR770" s="1123"/>
      <c r="CS770" s="1123"/>
      <c r="CT770" s="1123"/>
      <c r="CU770" s="1123"/>
      <c r="CV770" s="1123"/>
      <c r="CW770" s="1123"/>
      <c r="CX770" s="1123"/>
      <c r="CY770" s="1123"/>
      <c r="CZ770" s="1114"/>
      <c r="DA770" s="1114"/>
      <c r="DB770" s="1114"/>
      <c r="DC770" s="1114"/>
      <c r="DD770" s="1114"/>
      <c r="DE770" s="1114"/>
      <c r="DF770" s="1114"/>
      <c r="DG770" s="1114"/>
      <c r="DH770" s="1114"/>
      <c r="DI770" s="1114"/>
      <c r="DJ770" s="1114"/>
      <c r="DK770" s="1114"/>
      <c r="DL770" s="1114"/>
      <c r="DM770" s="1114"/>
      <c r="DN770" s="1114"/>
      <c r="DO770" s="1114"/>
      <c r="DP770" s="1114"/>
      <c r="DQ770" s="1114"/>
      <c r="DR770" s="1114"/>
      <c r="DS770" s="1114"/>
      <c r="DT770" s="1114"/>
      <c r="DU770" s="1114"/>
      <c r="DV770" s="1115"/>
      <c r="DW770" s="1116"/>
      <c r="DX770" s="1116"/>
      <c r="DY770" s="1116"/>
      <c r="DZ770" s="1116"/>
      <c r="EA770" s="1116"/>
      <c r="EB770" s="1116"/>
      <c r="EC770" s="1116"/>
      <c r="ED770" s="1116"/>
      <c r="EE770" s="1116"/>
      <c r="EF770" s="1116"/>
      <c r="EG770" s="1116"/>
      <c r="EH770" s="1116"/>
      <c r="EI770" s="1116"/>
      <c r="EJ770" s="1116"/>
      <c r="EK770" s="1116"/>
      <c r="EL770" s="1116"/>
      <c r="EM770" s="1116"/>
      <c r="EN770" s="1116"/>
      <c r="EO770" s="1116"/>
      <c r="EP770" s="1116"/>
      <c r="EQ770" s="1116"/>
      <c r="ER770" s="1116"/>
      <c r="ES770" s="1116"/>
    </row>
    <row r="771" spans="1:149" ht="15" customHeight="1">
      <c r="A771" s="1185">
        <v>756</v>
      </c>
      <c r="B771" s="1041"/>
      <c r="C771" s="1050"/>
      <c r="D771" s="1050"/>
      <c r="E771" s="1050"/>
      <c r="F771" s="1049"/>
      <c r="G771" s="1457"/>
      <c r="H771" s="1049"/>
      <c r="I771" s="1049"/>
      <c r="J771" s="1050"/>
      <c r="K771" s="1050"/>
      <c r="L771" s="1043"/>
      <c r="M771" s="1051"/>
      <c r="N771" s="1051"/>
      <c r="O771" s="1052"/>
      <c r="P771" s="1051"/>
      <c r="Q771" s="1051"/>
      <c r="R771" s="1052"/>
      <c r="S771" s="1051"/>
      <c r="T771" s="1051"/>
      <c r="U771" s="1052"/>
      <c r="V771" s="1051"/>
      <c r="W771" s="1051"/>
      <c r="X771" s="1052"/>
      <c r="Y771" s="1053"/>
      <c r="Z771" s="1051"/>
      <c r="AA771" s="1051"/>
      <c r="AB771" s="1052"/>
      <c r="AC771" s="1051"/>
      <c r="AD771" s="1051"/>
      <c r="AE771" s="1052"/>
      <c r="AF771" s="1051"/>
      <c r="AG771" s="1051"/>
      <c r="AH771" s="1051"/>
      <c r="AI771" s="1051"/>
      <c r="AJ771" s="1052"/>
      <c r="AK771" s="1051"/>
      <c r="AL771" s="1051"/>
      <c r="AM771" s="1052"/>
      <c r="AN771" s="1051"/>
      <c r="AO771" s="1051"/>
      <c r="AP771" s="1052"/>
      <c r="AQ771" s="1051"/>
      <c r="AR771" s="1051"/>
      <c r="AS771" s="1052"/>
      <c r="AT771" s="1051"/>
      <c r="AU771" s="1051"/>
      <c r="AV771" s="1052"/>
      <c r="AW771" s="1051"/>
      <c r="AX771" s="1051"/>
      <c r="AY771" s="1053"/>
      <c r="AZ771" s="1051"/>
      <c r="BA771" s="1051"/>
      <c r="BB771" s="1053"/>
      <c r="BC771" s="1051"/>
      <c r="BD771" s="1051"/>
      <c r="BE771" s="1053"/>
      <c r="BF771" s="1051"/>
      <c r="BG771" s="1051"/>
      <c r="BH771" s="1053"/>
      <c r="BI771" s="1052"/>
      <c r="BJ771" s="1052"/>
      <c r="BK771" s="1052"/>
      <c r="BL771" s="1052"/>
      <c r="BM771" s="1052"/>
      <c r="BN771" s="1054"/>
      <c r="BO771" s="1076">
        <f t="shared" si="23"/>
        <v>0</v>
      </c>
      <c r="BP771" s="1051"/>
      <c r="BQ771" s="1052"/>
      <c r="BR771" s="1054"/>
      <c r="BS771" s="1053"/>
      <c r="BT771" s="1051"/>
      <c r="BU771" s="1051"/>
      <c r="BV771" s="1051"/>
      <c r="BW771" s="1052"/>
      <c r="BX771" s="1052"/>
      <c r="BY771" s="1052"/>
      <c r="BZ771" s="1052"/>
      <c r="CA771" s="1052"/>
      <c r="CB771" s="1053"/>
      <c r="CC771" s="1053"/>
      <c r="CD771" s="1053"/>
      <c r="CE771" s="1053"/>
      <c r="CF771" s="1053"/>
      <c r="CG771" s="1053"/>
      <c r="CH771" s="1053"/>
      <c r="CI771" s="1123"/>
      <c r="CJ771" s="1123"/>
      <c r="CK771" s="1123"/>
      <c r="CL771" s="1123"/>
      <c r="CM771" s="1123"/>
      <c r="CN771" s="1123"/>
      <c r="CO771" s="1123"/>
      <c r="CP771" s="1123"/>
      <c r="CQ771" s="1123"/>
      <c r="CR771" s="1123"/>
      <c r="CS771" s="1123"/>
      <c r="CT771" s="1123"/>
      <c r="CU771" s="1123"/>
      <c r="CV771" s="1123"/>
      <c r="CW771" s="1123"/>
      <c r="CX771" s="1123"/>
      <c r="CY771" s="1123"/>
      <c r="CZ771" s="1114"/>
      <c r="DA771" s="1114"/>
      <c r="DB771" s="1114"/>
      <c r="DC771" s="1114"/>
      <c r="DD771" s="1114"/>
      <c r="DE771" s="1114"/>
      <c r="DF771" s="1114"/>
      <c r="DG771" s="1114"/>
      <c r="DH771" s="1114"/>
      <c r="DI771" s="1114"/>
      <c r="DJ771" s="1114"/>
      <c r="DK771" s="1114"/>
      <c r="DL771" s="1114"/>
      <c r="DM771" s="1114"/>
      <c r="DN771" s="1114"/>
      <c r="DO771" s="1114"/>
      <c r="DP771" s="1114"/>
      <c r="DQ771" s="1114"/>
      <c r="DR771" s="1114"/>
      <c r="DS771" s="1114"/>
      <c r="DT771" s="1114"/>
      <c r="DU771" s="1114"/>
      <c r="DV771" s="1115"/>
      <c r="DW771" s="1116"/>
      <c r="DX771" s="1116"/>
      <c r="DY771" s="1116"/>
      <c r="DZ771" s="1116"/>
      <c r="EA771" s="1116"/>
      <c r="EB771" s="1116"/>
      <c r="EC771" s="1116"/>
      <c r="ED771" s="1116"/>
      <c r="EE771" s="1116"/>
      <c r="EF771" s="1116"/>
      <c r="EG771" s="1116"/>
      <c r="EH771" s="1116"/>
      <c r="EI771" s="1116"/>
      <c r="EJ771" s="1116"/>
      <c r="EK771" s="1116"/>
      <c r="EL771" s="1116"/>
      <c r="EM771" s="1116"/>
      <c r="EN771" s="1116"/>
      <c r="EO771" s="1116"/>
      <c r="EP771" s="1116"/>
      <c r="EQ771" s="1116"/>
      <c r="ER771" s="1116"/>
      <c r="ES771" s="1116"/>
    </row>
    <row r="772" spans="1:149" ht="15" customHeight="1">
      <c r="A772" s="1185">
        <v>757</v>
      </c>
      <c r="B772" s="1041"/>
      <c r="C772" s="1050"/>
      <c r="D772" s="1050"/>
      <c r="E772" s="1050"/>
      <c r="F772" s="1049"/>
      <c r="G772" s="1457"/>
      <c r="H772" s="1049"/>
      <c r="I772" s="1049"/>
      <c r="J772" s="1050"/>
      <c r="K772" s="1050"/>
      <c r="L772" s="1043"/>
      <c r="M772" s="1051"/>
      <c r="N772" s="1051"/>
      <c r="O772" s="1052"/>
      <c r="P772" s="1051"/>
      <c r="Q772" s="1051"/>
      <c r="R772" s="1052"/>
      <c r="S772" s="1051"/>
      <c r="T772" s="1051"/>
      <c r="U772" s="1052"/>
      <c r="V772" s="1051"/>
      <c r="W772" s="1051"/>
      <c r="X772" s="1052"/>
      <c r="Y772" s="1053"/>
      <c r="Z772" s="1051"/>
      <c r="AA772" s="1051"/>
      <c r="AB772" s="1052"/>
      <c r="AC772" s="1051"/>
      <c r="AD772" s="1051"/>
      <c r="AE772" s="1052"/>
      <c r="AF772" s="1051"/>
      <c r="AG772" s="1051"/>
      <c r="AH772" s="1051"/>
      <c r="AI772" s="1051"/>
      <c r="AJ772" s="1052"/>
      <c r="AK772" s="1051"/>
      <c r="AL772" s="1051"/>
      <c r="AM772" s="1052"/>
      <c r="AN772" s="1051"/>
      <c r="AO772" s="1051"/>
      <c r="AP772" s="1052"/>
      <c r="AQ772" s="1051"/>
      <c r="AR772" s="1051"/>
      <c r="AS772" s="1052"/>
      <c r="AT772" s="1051"/>
      <c r="AU772" s="1051"/>
      <c r="AV772" s="1052"/>
      <c r="AW772" s="1051"/>
      <c r="AX772" s="1051"/>
      <c r="AY772" s="1053"/>
      <c r="AZ772" s="1051"/>
      <c r="BA772" s="1051"/>
      <c r="BB772" s="1053"/>
      <c r="BC772" s="1051"/>
      <c r="BD772" s="1051"/>
      <c r="BE772" s="1053"/>
      <c r="BF772" s="1051"/>
      <c r="BG772" s="1051"/>
      <c r="BH772" s="1053"/>
      <c r="BI772" s="1052"/>
      <c r="BJ772" s="1052"/>
      <c r="BK772" s="1052"/>
      <c r="BL772" s="1052"/>
      <c r="BM772" s="1052"/>
      <c r="BN772" s="1054"/>
      <c r="BO772" s="1076">
        <f t="shared" si="23"/>
        <v>0</v>
      </c>
      <c r="BP772" s="1051"/>
      <c r="BQ772" s="1052"/>
      <c r="BR772" s="1054"/>
      <c r="BS772" s="1053"/>
      <c r="BT772" s="1051"/>
      <c r="BU772" s="1051"/>
      <c r="BV772" s="1051"/>
      <c r="BW772" s="1052"/>
      <c r="BX772" s="1052"/>
      <c r="BY772" s="1052"/>
      <c r="BZ772" s="1052"/>
      <c r="CA772" s="1052"/>
      <c r="CB772" s="1053"/>
      <c r="CC772" s="1053"/>
      <c r="CD772" s="1053"/>
      <c r="CE772" s="1053"/>
      <c r="CF772" s="1053"/>
      <c r="CG772" s="1053"/>
      <c r="CH772" s="1053"/>
      <c r="CI772" s="1123"/>
      <c r="CJ772" s="1123"/>
      <c r="CK772" s="1123"/>
      <c r="CL772" s="1123"/>
      <c r="CM772" s="1123"/>
      <c r="CN772" s="1123"/>
      <c r="CO772" s="1123"/>
      <c r="CP772" s="1123"/>
      <c r="CQ772" s="1123"/>
      <c r="CR772" s="1123"/>
      <c r="CS772" s="1123"/>
      <c r="CT772" s="1123"/>
      <c r="CU772" s="1123"/>
      <c r="CV772" s="1123"/>
      <c r="CW772" s="1123"/>
      <c r="CX772" s="1123"/>
      <c r="CY772" s="1123"/>
      <c r="CZ772" s="1114"/>
      <c r="DA772" s="1114"/>
      <c r="DB772" s="1114"/>
      <c r="DC772" s="1114"/>
      <c r="DD772" s="1114"/>
      <c r="DE772" s="1114"/>
      <c r="DF772" s="1114"/>
      <c r="DG772" s="1114"/>
      <c r="DH772" s="1114"/>
      <c r="DI772" s="1114"/>
      <c r="DJ772" s="1114"/>
      <c r="DK772" s="1114"/>
      <c r="DL772" s="1114"/>
      <c r="DM772" s="1114"/>
      <c r="DN772" s="1114"/>
      <c r="DO772" s="1114"/>
      <c r="DP772" s="1114"/>
      <c r="DQ772" s="1114"/>
      <c r="DR772" s="1114"/>
      <c r="DS772" s="1114"/>
      <c r="DT772" s="1114"/>
      <c r="DU772" s="1114"/>
      <c r="DV772" s="1115"/>
      <c r="DW772" s="1116"/>
      <c r="DX772" s="1116"/>
      <c r="DY772" s="1116"/>
      <c r="DZ772" s="1116"/>
      <c r="EA772" s="1116"/>
      <c r="EB772" s="1116"/>
      <c r="EC772" s="1116"/>
      <c r="ED772" s="1116"/>
      <c r="EE772" s="1116"/>
      <c r="EF772" s="1116"/>
      <c r="EG772" s="1116"/>
      <c r="EH772" s="1116"/>
      <c r="EI772" s="1116"/>
      <c r="EJ772" s="1116"/>
      <c r="EK772" s="1116"/>
      <c r="EL772" s="1116"/>
      <c r="EM772" s="1116"/>
      <c r="EN772" s="1116"/>
      <c r="EO772" s="1116"/>
      <c r="EP772" s="1116"/>
      <c r="EQ772" s="1116"/>
      <c r="ER772" s="1116"/>
      <c r="ES772" s="1116"/>
    </row>
    <row r="773" spans="1:149" ht="15" customHeight="1">
      <c r="A773" s="1185">
        <v>758</v>
      </c>
      <c r="B773" s="1041"/>
      <c r="C773" s="1050"/>
      <c r="D773" s="1050"/>
      <c r="E773" s="1050"/>
      <c r="F773" s="1049"/>
      <c r="G773" s="1457"/>
      <c r="H773" s="1049"/>
      <c r="I773" s="1049"/>
      <c r="J773" s="1050"/>
      <c r="K773" s="1050"/>
      <c r="L773" s="1043"/>
      <c r="M773" s="1051"/>
      <c r="N773" s="1051"/>
      <c r="O773" s="1052"/>
      <c r="P773" s="1051"/>
      <c r="Q773" s="1051"/>
      <c r="R773" s="1052"/>
      <c r="S773" s="1051"/>
      <c r="T773" s="1051"/>
      <c r="U773" s="1052"/>
      <c r="V773" s="1051"/>
      <c r="W773" s="1051"/>
      <c r="X773" s="1052"/>
      <c r="Y773" s="1053"/>
      <c r="Z773" s="1051"/>
      <c r="AA773" s="1051"/>
      <c r="AB773" s="1052"/>
      <c r="AC773" s="1051"/>
      <c r="AD773" s="1051"/>
      <c r="AE773" s="1052"/>
      <c r="AF773" s="1051"/>
      <c r="AG773" s="1051"/>
      <c r="AH773" s="1051"/>
      <c r="AI773" s="1051"/>
      <c r="AJ773" s="1052"/>
      <c r="AK773" s="1051"/>
      <c r="AL773" s="1051"/>
      <c r="AM773" s="1052"/>
      <c r="AN773" s="1051"/>
      <c r="AO773" s="1051"/>
      <c r="AP773" s="1052"/>
      <c r="AQ773" s="1051"/>
      <c r="AR773" s="1051"/>
      <c r="AS773" s="1052"/>
      <c r="AT773" s="1051"/>
      <c r="AU773" s="1051"/>
      <c r="AV773" s="1052"/>
      <c r="AW773" s="1051"/>
      <c r="AX773" s="1051"/>
      <c r="AY773" s="1053"/>
      <c r="AZ773" s="1051"/>
      <c r="BA773" s="1051"/>
      <c r="BB773" s="1053"/>
      <c r="BC773" s="1051"/>
      <c r="BD773" s="1051"/>
      <c r="BE773" s="1053"/>
      <c r="BF773" s="1051"/>
      <c r="BG773" s="1051"/>
      <c r="BH773" s="1053"/>
      <c r="BI773" s="1052"/>
      <c r="BJ773" s="1052"/>
      <c r="BK773" s="1052"/>
      <c r="BL773" s="1052"/>
      <c r="BM773" s="1052"/>
      <c r="BN773" s="1054"/>
      <c r="BO773" s="1076">
        <f t="shared" si="23"/>
        <v>0</v>
      </c>
      <c r="BP773" s="1051"/>
      <c r="BQ773" s="1052"/>
      <c r="BR773" s="1054"/>
      <c r="BS773" s="1053"/>
      <c r="BT773" s="1051"/>
      <c r="BU773" s="1051"/>
      <c r="BV773" s="1051"/>
      <c r="BW773" s="1052"/>
      <c r="BX773" s="1052"/>
      <c r="BY773" s="1052"/>
      <c r="BZ773" s="1052"/>
      <c r="CA773" s="1052"/>
      <c r="CB773" s="1053"/>
      <c r="CC773" s="1053"/>
      <c r="CD773" s="1053"/>
      <c r="CE773" s="1053"/>
      <c r="CF773" s="1053"/>
      <c r="CG773" s="1053"/>
      <c r="CH773" s="1053"/>
      <c r="CI773" s="1123"/>
      <c r="CJ773" s="1123"/>
      <c r="CK773" s="1123"/>
      <c r="CL773" s="1123"/>
      <c r="CM773" s="1123"/>
      <c r="CN773" s="1123"/>
      <c r="CO773" s="1123"/>
      <c r="CP773" s="1123"/>
      <c r="CQ773" s="1123"/>
      <c r="CR773" s="1123"/>
      <c r="CS773" s="1123"/>
      <c r="CT773" s="1123"/>
      <c r="CU773" s="1123"/>
      <c r="CV773" s="1123"/>
      <c r="CW773" s="1123"/>
      <c r="CX773" s="1123"/>
      <c r="CY773" s="1123"/>
      <c r="CZ773" s="1114"/>
      <c r="DA773" s="1114"/>
      <c r="DB773" s="1114"/>
      <c r="DC773" s="1114"/>
      <c r="DD773" s="1114"/>
      <c r="DE773" s="1114"/>
      <c r="DF773" s="1114"/>
      <c r="DG773" s="1114"/>
      <c r="DH773" s="1114"/>
      <c r="DI773" s="1114"/>
      <c r="DJ773" s="1114"/>
      <c r="DK773" s="1114"/>
      <c r="DL773" s="1114"/>
      <c r="DM773" s="1114"/>
      <c r="DN773" s="1114"/>
      <c r="DO773" s="1114"/>
      <c r="DP773" s="1114"/>
      <c r="DQ773" s="1114"/>
      <c r="DR773" s="1114"/>
      <c r="DS773" s="1114"/>
      <c r="DT773" s="1114"/>
      <c r="DU773" s="1114"/>
      <c r="DV773" s="1115"/>
      <c r="DW773" s="1116"/>
      <c r="DX773" s="1116"/>
      <c r="DY773" s="1116"/>
      <c r="DZ773" s="1116"/>
      <c r="EA773" s="1116"/>
      <c r="EB773" s="1116"/>
      <c r="EC773" s="1116"/>
      <c r="ED773" s="1116"/>
      <c r="EE773" s="1116"/>
      <c r="EF773" s="1116"/>
      <c r="EG773" s="1116"/>
      <c r="EH773" s="1116"/>
      <c r="EI773" s="1116"/>
      <c r="EJ773" s="1116"/>
      <c r="EK773" s="1116"/>
      <c r="EL773" s="1116"/>
      <c r="EM773" s="1116"/>
      <c r="EN773" s="1116"/>
      <c r="EO773" s="1116"/>
      <c r="EP773" s="1116"/>
      <c r="EQ773" s="1116"/>
      <c r="ER773" s="1116"/>
      <c r="ES773" s="1116"/>
    </row>
    <row r="774" spans="1:149" ht="15" customHeight="1">
      <c r="A774" s="1185">
        <v>759</v>
      </c>
      <c r="B774" s="1041"/>
      <c r="C774" s="1050"/>
      <c r="D774" s="1050"/>
      <c r="E774" s="1050"/>
      <c r="F774" s="1049"/>
      <c r="G774" s="1457"/>
      <c r="H774" s="1049"/>
      <c r="I774" s="1049"/>
      <c r="J774" s="1050"/>
      <c r="K774" s="1050"/>
      <c r="L774" s="1043"/>
      <c r="M774" s="1051"/>
      <c r="N774" s="1051"/>
      <c r="O774" s="1052"/>
      <c r="P774" s="1051"/>
      <c r="Q774" s="1051"/>
      <c r="R774" s="1052"/>
      <c r="S774" s="1051"/>
      <c r="T774" s="1051"/>
      <c r="U774" s="1052"/>
      <c r="V774" s="1051"/>
      <c r="W774" s="1051"/>
      <c r="X774" s="1052"/>
      <c r="Y774" s="1053"/>
      <c r="Z774" s="1051"/>
      <c r="AA774" s="1051"/>
      <c r="AB774" s="1052"/>
      <c r="AC774" s="1051"/>
      <c r="AD774" s="1051"/>
      <c r="AE774" s="1052"/>
      <c r="AF774" s="1051"/>
      <c r="AG774" s="1051"/>
      <c r="AH774" s="1051"/>
      <c r="AI774" s="1051"/>
      <c r="AJ774" s="1052"/>
      <c r="AK774" s="1051"/>
      <c r="AL774" s="1051"/>
      <c r="AM774" s="1052"/>
      <c r="AN774" s="1051"/>
      <c r="AO774" s="1051"/>
      <c r="AP774" s="1052"/>
      <c r="AQ774" s="1051"/>
      <c r="AR774" s="1051"/>
      <c r="AS774" s="1052"/>
      <c r="AT774" s="1051"/>
      <c r="AU774" s="1051"/>
      <c r="AV774" s="1052"/>
      <c r="AW774" s="1051"/>
      <c r="AX774" s="1051"/>
      <c r="AY774" s="1053"/>
      <c r="AZ774" s="1051"/>
      <c r="BA774" s="1051"/>
      <c r="BB774" s="1053"/>
      <c r="BC774" s="1051"/>
      <c r="BD774" s="1051"/>
      <c r="BE774" s="1053"/>
      <c r="BF774" s="1051"/>
      <c r="BG774" s="1051"/>
      <c r="BH774" s="1053"/>
      <c r="BI774" s="1052"/>
      <c r="BJ774" s="1052"/>
      <c r="BK774" s="1052"/>
      <c r="BL774" s="1052"/>
      <c r="BM774" s="1052"/>
      <c r="BN774" s="1054"/>
      <c r="BO774" s="1076">
        <f t="shared" si="23"/>
        <v>0</v>
      </c>
      <c r="BP774" s="1051"/>
      <c r="BQ774" s="1052"/>
      <c r="BR774" s="1054"/>
      <c r="BS774" s="1053"/>
      <c r="BT774" s="1051"/>
      <c r="BU774" s="1051"/>
      <c r="BV774" s="1051"/>
      <c r="BW774" s="1052"/>
      <c r="BX774" s="1052"/>
      <c r="BY774" s="1052"/>
      <c r="BZ774" s="1052"/>
      <c r="CA774" s="1052"/>
      <c r="CB774" s="1053"/>
      <c r="CC774" s="1053"/>
      <c r="CD774" s="1053"/>
      <c r="CE774" s="1053"/>
      <c r="CF774" s="1053"/>
      <c r="CG774" s="1053"/>
      <c r="CH774" s="1053"/>
      <c r="CI774" s="1123"/>
      <c r="CJ774" s="1123"/>
      <c r="CK774" s="1123"/>
      <c r="CL774" s="1123"/>
      <c r="CM774" s="1123"/>
      <c r="CN774" s="1123"/>
      <c r="CO774" s="1123"/>
      <c r="CP774" s="1123"/>
      <c r="CQ774" s="1123"/>
      <c r="CR774" s="1123"/>
      <c r="CS774" s="1123"/>
      <c r="CT774" s="1123"/>
      <c r="CU774" s="1123"/>
      <c r="CV774" s="1123"/>
      <c r="CW774" s="1123"/>
      <c r="CX774" s="1123"/>
      <c r="CY774" s="1123"/>
      <c r="CZ774" s="1114"/>
      <c r="DA774" s="1114"/>
      <c r="DB774" s="1114"/>
      <c r="DC774" s="1114"/>
      <c r="DD774" s="1114"/>
      <c r="DE774" s="1114"/>
      <c r="DF774" s="1114"/>
      <c r="DG774" s="1114"/>
      <c r="DH774" s="1114"/>
      <c r="DI774" s="1114"/>
      <c r="DJ774" s="1114"/>
      <c r="DK774" s="1114"/>
      <c r="DL774" s="1114"/>
      <c r="DM774" s="1114"/>
      <c r="DN774" s="1114"/>
      <c r="DO774" s="1114"/>
      <c r="DP774" s="1114"/>
      <c r="DQ774" s="1114"/>
      <c r="DR774" s="1114"/>
      <c r="DS774" s="1114"/>
      <c r="DT774" s="1114"/>
      <c r="DU774" s="1114"/>
      <c r="DV774" s="1115"/>
      <c r="DW774" s="1116"/>
      <c r="DX774" s="1116"/>
      <c r="DY774" s="1116"/>
      <c r="DZ774" s="1116"/>
      <c r="EA774" s="1116"/>
      <c r="EB774" s="1116"/>
      <c r="EC774" s="1116"/>
      <c r="ED774" s="1116"/>
      <c r="EE774" s="1116"/>
      <c r="EF774" s="1116"/>
      <c r="EG774" s="1116"/>
      <c r="EH774" s="1116"/>
      <c r="EI774" s="1116"/>
      <c r="EJ774" s="1116"/>
      <c r="EK774" s="1116"/>
      <c r="EL774" s="1116"/>
      <c r="EM774" s="1116"/>
      <c r="EN774" s="1116"/>
      <c r="EO774" s="1116"/>
      <c r="EP774" s="1116"/>
      <c r="EQ774" s="1116"/>
      <c r="ER774" s="1116"/>
      <c r="ES774" s="1116"/>
    </row>
    <row r="775" spans="1:149" ht="15" customHeight="1">
      <c r="A775" s="1185">
        <v>760</v>
      </c>
      <c r="B775" s="1041"/>
      <c r="C775" s="1050"/>
      <c r="D775" s="1050"/>
      <c r="E775" s="1050"/>
      <c r="F775" s="1049"/>
      <c r="G775" s="1457"/>
      <c r="H775" s="1049"/>
      <c r="I775" s="1049"/>
      <c r="J775" s="1050"/>
      <c r="K775" s="1050"/>
      <c r="L775" s="1043"/>
      <c r="M775" s="1051"/>
      <c r="N775" s="1051"/>
      <c r="O775" s="1052"/>
      <c r="P775" s="1051"/>
      <c r="Q775" s="1051"/>
      <c r="R775" s="1052"/>
      <c r="S775" s="1051"/>
      <c r="T775" s="1051"/>
      <c r="U775" s="1052"/>
      <c r="V775" s="1051"/>
      <c r="W775" s="1051"/>
      <c r="X775" s="1052"/>
      <c r="Y775" s="1053"/>
      <c r="Z775" s="1051"/>
      <c r="AA775" s="1051"/>
      <c r="AB775" s="1052"/>
      <c r="AC775" s="1051"/>
      <c r="AD775" s="1051"/>
      <c r="AE775" s="1052"/>
      <c r="AF775" s="1051"/>
      <c r="AG775" s="1051"/>
      <c r="AH775" s="1051"/>
      <c r="AI775" s="1051"/>
      <c r="AJ775" s="1052"/>
      <c r="AK775" s="1051"/>
      <c r="AL775" s="1051"/>
      <c r="AM775" s="1052"/>
      <c r="AN775" s="1051"/>
      <c r="AO775" s="1051"/>
      <c r="AP775" s="1052"/>
      <c r="AQ775" s="1051"/>
      <c r="AR775" s="1051"/>
      <c r="AS775" s="1052"/>
      <c r="AT775" s="1051"/>
      <c r="AU775" s="1051"/>
      <c r="AV775" s="1052"/>
      <c r="AW775" s="1051"/>
      <c r="AX775" s="1051"/>
      <c r="AY775" s="1053"/>
      <c r="AZ775" s="1051"/>
      <c r="BA775" s="1051"/>
      <c r="BB775" s="1053"/>
      <c r="BC775" s="1051"/>
      <c r="BD775" s="1051"/>
      <c r="BE775" s="1053"/>
      <c r="BF775" s="1051"/>
      <c r="BG775" s="1051"/>
      <c r="BH775" s="1053"/>
      <c r="BI775" s="1052"/>
      <c r="BJ775" s="1052"/>
      <c r="BK775" s="1052"/>
      <c r="BL775" s="1052"/>
      <c r="BM775" s="1052"/>
      <c r="BN775" s="1054"/>
      <c r="BO775" s="1076">
        <f t="shared" si="23"/>
        <v>0</v>
      </c>
      <c r="BP775" s="1051"/>
      <c r="BQ775" s="1052"/>
      <c r="BR775" s="1054"/>
      <c r="BS775" s="1053"/>
      <c r="BT775" s="1051"/>
      <c r="BU775" s="1051"/>
      <c r="BV775" s="1051"/>
      <c r="BW775" s="1052"/>
      <c r="BX775" s="1052"/>
      <c r="BY775" s="1052"/>
      <c r="BZ775" s="1052"/>
      <c r="CA775" s="1052"/>
      <c r="CB775" s="1053"/>
      <c r="CC775" s="1053"/>
      <c r="CD775" s="1053"/>
      <c r="CE775" s="1053"/>
      <c r="CF775" s="1053"/>
      <c r="CG775" s="1053"/>
      <c r="CH775" s="1053"/>
      <c r="CI775" s="1123"/>
      <c r="CJ775" s="1123"/>
      <c r="CK775" s="1123"/>
      <c r="CL775" s="1123"/>
      <c r="CM775" s="1123"/>
      <c r="CN775" s="1123"/>
      <c r="CO775" s="1123"/>
      <c r="CP775" s="1123"/>
      <c r="CQ775" s="1123"/>
      <c r="CR775" s="1123"/>
      <c r="CS775" s="1123"/>
      <c r="CT775" s="1123"/>
      <c r="CU775" s="1123"/>
      <c r="CV775" s="1123"/>
      <c r="CW775" s="1123"/>
      <c r="CX775" s="1123"/>
      <c r="CY775" s="1123"/>
      <c r="CZ775" s="1114"/>
      <c r="DA775" s="1114"/>
      <c r="DB775" s="1114"/>
      <c r="DC775" s="1114"/>
      <c r="DD775" s="1114"/>
      <c r="DE775" s="1114"/>
      <c r="DF775" s="1114"/>
      <c r="DG775" s="1114"/>
      <c r="DH775" s="1114"/>
      <c r="DI775" s="1114"/>
      <c r="DJ775" s="1114"/>
      <c r="DK775" s="1114"/>
      <c r="DL775" s="1114"/>
      <c r="DM775" s="1114"/>
      <c r="DN775" s="1114"/>
      <c r="DO775" s="1114"/>
      <c r="DP775" s="1114"/>
      <c r="DQ775" s="1114"/>
      <c r="DR775" s="1114"/>
      <c r="DS775" s="1114"/>
      <c r="DT775" s="1114"/>
      <c r="DU775" s="1114"/>
      <c r="DV775" s="1115"/>
      <c r="DW775" s="1116"/>
      <c r="DX775" s="1116"/>
      <c r="DY775" s="1116"/>
      <c r="DZ775" s="1116"/>
      <c r="EA775" s="1116"/>
      <c r="EB775" s="1116"/>
      <c r="EC775" s="1116"/>
      <c r="ED775" s="1116"/>
      <c r="EE775" s="1116"/>
      <c r="EF775" s="1116"/>
      <c r="EG775" s="1116"/>
      <c r="EH775" s="1116"/>
      <c r="EI775" s="1116"/>
      <c r="EJ775" s="1116"/>
      <c r="EK775" s="1116"/>
      <c r="EL775" s="1116"/>
      <c r="EM775" s="1116"/>
      <c r="EN775" s="1116"/>
      <c r="EO775" s="1116"/>
      <c r="EP775" s="1116"/>
      <c r="EQ775" s="1116"/>
      <c r="ER775" s="1116"/>
      <c r="ES775" s="1116"/>
    </row>
    <row r="776" spans="1:149" ht="15" customHeight="1">
      <c r="A776" s="1185">
        <v>761</v>
      </c>
      <c r="B776" s="1041"/>
      <c r="C776" s="1050"/>
      <c r="D776" s="1050"/>
      <c r="E776" s="1050"/>
      <c r="F776" s="1049"/>
      <c r="G776" s="1457"/>
      <c r="H776" s="1049"/>
      <c r="I776" s="1049"/>
      <c r="J776" s="1050"/>
      <c r="K776" s="1050"/>
      <c r="L776" s="1043"/>
      <c r="M776" s="1051"/>
      <c r="N776" s="1051"/>
      <c r="O776" s="1052"/>
      <c r="P776" s="1051"/>
      <c r="Q776" s="1051"/>
      <c r="R776" s="1052"/>
      <c r="S776" s="1051"/>
      <c r="T776" s="1051"/>
      <c r="U776" s="1052"/>
      <c r="V776" s="1051"/>
      <c r="W776" s="1051"/>
      <c r="X776" s="1052"/>
      <c r="Y776" s="1053"/>
      <c r="Z776" s="1051"/>
      <c r="AA776" s="1051"/>
      <c r="AB776" s="1052"/>
      <c r="AC776" s="1051"/>
      <c r="AD776" s="1051"/>
      <c r="AE776" s="1052"/>
      <c r="AF776" s="1051"/>
      <c r="AG776" s="1051"/>
      <c r="AH776" s="1051"/>
      <c r="AI776" s="1051"/>
      <c r="AJ776" s="1052"/>
      <c r="AK776" s="1051"/>
      <c r="AL776" s="1051"/>
      <c r="AM776" s="1052"/>
      <c r="AN776" s="1051"/>
      <c r="AO776" s="1051"/>
      <c r="AP776" s="1052"/>
      <c r="AQ776" s="1051"/>
      <c r="AR776" s="1051"/>
      <c r="AS776" s="1052"/>
      <c r="AT776" s="1051"/>
      <c r="AU776" s="1051"/>
      <c r="AV776" s="1052"/>
      <c r="AW776" s="1051"/>
      <c r="AX776" s="1051"/>
      <c r="AY776" s="1053"/>
      <c r="AZ776" s="1051"/>
      <c r="BA776" s="1051"/>
      <c r="BB776" s="1053"/>
      <c r="BC776" s="1051"/>
      <c r="BD776" s="1051"/>
      <c r="BE776" s="1053"/>
      <c r="BF776" s="1051"/>
      <c r="BG776" s="1051"/>
      <c r="BH776" s="1053"/>
      <c r="BI776" s="1052"/>
      <c r="BJ776" s="1052"/>
      <c r="BK776" s="1052"/>
      <c r="BL776" s="1052"/>
      <c r="BM776" s="1052"/>
      <c r="BN776" s="1054"/>
      <c r="BO776" s="1076">
        <f t="shared" si="23"/>
        <v>0</v>
      </c>
      <c r="BP776" s="1051"/>
      <c r="BQ776" s="1052"/>
      <c r="BR776" s="1054"/>
      <c r="BS776" s="1053"/>
      <c r="BT776" s="1051"/>
      <c r="BU776" s="1051"/>
      <c r="BV776" s="1051"/>
      <c r="BW776" s="1052"/>
      <c r="BX776" s="1052"/>
      <c r="BY776" s="1052"/>
      <c r="BZ776" s="1052"/>
      <c r="CA776" s="1052"/>
      <c r="CB776" s="1053"/>
      <c r="CC776" s="1053"/>
      <c r="CD776" s="1053"/>
      <c r="CE776" s="1053"/>
      <c r="CF776" s="1053"/>
      <c r="CG776" s="1053"/>
      <c r="CH776" s="1053"/>
      <c r="CI776" s="1123"/>
      <c r="CJ776" s="1123"/>
      <c r="CK776" s="1123"/>
      <c r="CL776" s="1123"/>
      <c r="CM776" s="1123"/>
      <c r="CN776" s="1123"/>
      <c r="CO776" s="1123"/>
      <c r="CP776" s="1123"/>
      <c r="CQ776" s="1123"/>
      <c r="CR776" s="1123"/>
      <c r="CS776" s="1123"/>
      <c r="CT776" s="1123"/>
      <c r="CU776" s="1123"/>
      <c r="CV776" s="1123"/>
      <c r="CW776" s="1123"/>
      <c r="CX776" s="1123"/>
      <c r="CY776" s="1123"/>
      <c r="CZ776" s="1114"/>
      <c r="DA776" s="1114"/>
      <c r="DB776" s="1114"/>
      <c r="DC776" s="1114"/>
      <c r="DD776" s="1114"/>
      <c r="DE776" s="1114"/>
      <c r="DF776" s="1114"/>
      <c r="DG776" s="1114"/>
      <c r="DH776" s="1114"/>
      <c r="DI776" s="1114"/>
      <c r="DJ776" s="1114"/>
      <c r="DK776" s="1114"/>
      <c r="DL776" s="1114"/>
      <c r="DM776" s="1114"/>
      <c r="DN776" s="1114"/>
      <c r="DO776" s="1114"/>
      <c r="DP776" s="1114"/>
      <c r="DQ776" s="1114"/>
      <c r="DR776" s="1114"/>
      <c r="DS776" s="1114"/>
      <c r="DT776" s="1114"/>
      <c r="DU776" s="1114"/>
      <c r="DV776" s="1115"/>
      <c r="DW776" s="1116"/>
      <c r="DX776" s="1116"/>
      <c r="DY776" s="1116"/>
      <c r="DZ776" s="1116"/>
      <c r="EA776" s="1116"/>
      <c r="EB776" s="1116"/>
      <c r="EC776" s="1116"/>
      <c r="ED776" s="1116"/>
      <c r="EE776" s="1116"/>
      <c r="EF776" s="1116"/>
      <c r="EG776" s="1116"/>
      <c r="EH776" s="1116"/>
      <c r="EI776" s="1116"/>
      <c r="EJ776" s="1116"/>
      <c r="EK776" s="1116"/>
      <c r="EL776" s="1116"/>
      <c r="EM776" s="1116"/>
      <c r="EN776" s="1116"/>
      <c r="EO776" s="1116"/>
      <c r="EP776" s="1116"/>
      <c r="EQ776" s="1116"/>
      <c r="ER776" s="1116"/>
      <c r="ES776" s="1116"/>
    </row>
    <row r="777" spans="1:149" ht="15" customHeight="1">
      <c r="A777" s="1185">
        <v>762</v>
      </c>
      <c r="B777" s="1041"/>
      <c r="C777" s="1050"/>
      <c r="D777" s="1050"/>
      <c r="E777" s="1050"/>
      <c r="F777" s="1049"/>
      <c r="G777" s="1457"/>
      <c r="H777" s="1049"/>
      <c r="I777" s="1049"/>
      <c r="J777" s="1050"/>
      <c r="K777" s="1050"/>
      <c r="L777" s="1043"/>
      <c r="M777" s="1051"/>
      <c r="N777" s="1051"/>
      <c r="O777" s="1052"/>
      <c r="P777" s="1051"/>
      <c r="Q777" s="1051"/>
      <c r="R777" s="1052"/>
      <c r="S777" s="1051"/>
      <c r="T777" s="1051"/>
      <c r="U777" s="1052"/>
      <c r="V777" s="1051"/>
      <c r="W777" s="1051"/>
      <c r="X777" s="1052"/>
      <c r="Y777" s="1053"/>
      <c r="Z777" s="1051"/>
      <c r="AA777" s="1051"/>
      <c r="AB777" s="1052"/>
      <c r="AC777" s="1051"/>
      <c r="AD777" s="1051"/>
      <c r="AE777" s="1052"/>
      <c r="AF777" s="1051"/>
      <c r="AG777" s="1051"/>
      <c r="AH777" s="1051"/>
      <c r="AI777" s="1051"/>
      <c r="AJ777" s="1052"/>
      <c r="AK777" s="1051"/>
      <c r="AL777" s="1051"/>
      <c r="AM777" s="1052"/>
      <c r="AN777" s="1051"/>
      <c r="AO777" s="1051"/>
      <c r="AP777" s="1052"/>
      <c r="AQ777" s="1051"/>
      <c r="AR777" s="1051"/>
      <c r="AS777" s="1052"/>
      <c r="AT777" s="1051"/>
      <c r="AU777" s="1051"/>
      <c r="AV777" s="1052"/>
      <c r="AW777" s="1051"/>
      <c r="AX777" s="1051"/>
      <c r="AY777" s="1053"/>
      <c r="AZ777" s="1051"/>
      <c r="BA777" s="1051"/>
      <c r="BB777" s="1053"/>
      <c r="BC777" s="1051"/>
      <c r="BD777" s="1051"/>
      <c r="BE777" s="1053"/>
      <c r="BF777" s="1051"/>
      <c r="BG777" s="1051"/>
      <c r="BH777" s="1053"/>
      <c r="BI777" s="1052"/>
      <c r="BJ777" s="1052"/>
      <c r="BK777" s="1052"/>
      <c r="BL777" s="1052"/>
      <c r="BM777" s="1052"/>
      <c r="BN777" s="1054"/>
      <c r="BO777" s="1076">
        <f t="shared" si="23"/>
        <v>0</v>
      </c>
      <c r="BP777" s="1051"/>
      <c r="BQ777" s="1052"/>
      <c r="BR777" s="1054"/>
      <c r="BS777" s="1053"/>
      <c r="BT777" s="1051"/>
      <c r="BU777" s="1051"/>
      <c r="BV777" s="1051"/>
      <c r="BW777" s="1052"/>
      <c r="BX777" s="1052"/>
      <c r="BY777" s="1052"/>
      <c r="BZ777" s="1052"/>
      <c r="CA777" s="1052"/>
      <c r="CB777" s="1053"/>
      <c r="CC777" s="1053"/>
      <c r="CD777" s="1053"/>
      <c r="CE777" s="1053"/>
      <c r="CF777" s="1053"/>
      <c r="CG777" s="1053"/>
      <c r="CH777" s="1053"/>
      <c r="CI777" s="1123"/>
      <c r="CJ777" s="1123"/>
      <c r="CK777" s="1123"/>
      <c r="CL777" s="1123"/>
      <c r="CM777" s="1123"/>
      <c r="CN777" s="1123"/>
      <c r="CO777" s="1123"/>
      <c r="CP777" s="1123"/>
      <c r="CQ777" s="1123"/>
      <c r="CR777" s="1123"/>
      <c r="CS777" s="1123"/>
      <c r="CT777" s="1123"/>
      <c r="CU777" s="1123"/>
      <c r="CV777" s="1123"/>
      <c r="CW777" s="1123"/>
      <c r="CX777" s="1123"/>
      <c r="CY777" s="1123"/>
      <c r="CZ777" s="1114"/>
      <c r="DA777" s="1114"/>
      <c r="DB777" s="1114"/>
      <c r="DC777" s="1114"/>
      <c r="DD777" s="1114"/>
      <c r="DE777" s="1114"/>
      <c r="DF777" s="1114"/>
      <c r="DG777" s="1114"/>
      <c r="DH777" s="1114"/>
      <c r="DI777" s="1114"/>
      <c r="DJ777" s="1114"/>
      <c r="DK777" s="1114"/>
      <c r="DL777" s="1114"/>
      <c r="DM777" s="1114"/>
      <c r="DN777" s="1114"/>
      <c r="DO777" s="1114"/>
      <c r="DP777" s="1114"/>
      <c r="DQ777" s="1114"/>
      <c r="DR777" s="1114"/>
      <c r="DS777" s="1114"/>
      <c r="DT777" s="1114"/>
      <c r="DU777" s="1114"/>
      <c r="DV777" s="1115"/>
      <c r="DW777" s="1116"/>
      <c r="DX777" s="1116"/>
      <c r="DY777" s="1116"/>
      <c r="DZ777" s="1116"/>
      <c r="EA777" s="1116"/>
      <c r="EB777" s="1116"/>
      <c r="EC777" s="1116"/>
      <c r="ED777" s="1116"/>
      <c r="EE777" s="1116"/>
      <c r="EF777" s="1116"/>
      <c r="EG777" s="1116"/>
      <c r="EH777" s="1116"/>
      <c r="EI777" s="1116"/>
      <c r="EJ777" s="1116"/>
      <c r="EK777" s="1116"/>
      <c r="EL777" s="1116"/>
      <c r="EM777" s="1116"/>
      <c r="EN777" s="1116"/>
      <c r="EO777" s="1116"/>
      <c r="EP777" s="1116"/>
      <c r="EQ777" s="1116"/>
      <c r="ER777" s="1116"/>
      <c r="ES777" s="1116"/>
    </row>
    <row r="778" spans="1:149" ht="15" customHeight="1">
      <c r="A778" s="1185">
        <v>763</v>
      </c>
      <c r="B778" s="1041"/>
      <c r="C778" s="1050"/>
      <c r="D778" s="1050"/>
      <c r="E778" s="1050"/>
      <c r="F778" s="1049"/>
      <c r="G778" s="1457"/>
      <c r="H778" s="1049"/>
      <c r="I778" s="1049"/>
      <c r="J778" s="1050"/>
      <c r="K778" s="1050"/>
      <c r="L778" s="1043"/>
      <c r="M778" s="1051"/>
      <c r="N778" s="1051"/>
      <c r="O778" s="1052"/>
      <c r="P778" s="1051"/>
      <c r="Q778" s="1051"/>
      <c r="R778" s="1052"/>
      <c r="S778" s="1051"/>
      <c r="T778" s="1051"/>
      <c r="U778" s="1052"/>
      <c r="V778" s="1051"/>
      <c r="W778" s="1051"/>
      <c r="X778" s="1052"/>
      <c r="Y778" s="1053"/>
      <c r="Z778" s="1051"/>
      <c r="AA778" s="1051"/>
      <c r="AB778" s="1052"/>
      <c r="AC778" s="1051"/>
      <c r="AD778" s="1051"/>
      <c r="AE778" s="1052"/>
      <c r="AF778" s="1051"/>
      <c r="AG778" s="1051"/>
      <c r="AH778" s="1051"/>
      <c r="AI778" s="1051"/>
      <c r="AJ778" s="1052"/>
      <c r="AK778" s="1051"/>
      <c r="AL778" s="1051"/>
      <c r="AM778" s="1052"/>
      <c r="AN778" s="1051"/>
      <c r="AO778" s="1051"/>
      <c r="AP778" s="1052"/>
      <c r="AQ778" s="1051"/>
      <c r="AR778" s="1051"/>
      <c r="AS778" s="1052"/>
      <c r="AT778" s="1051"/>
      <c r="AU778" s="1051"/>
      <c r="AV778" s="1052"/>
      <c r="AW778" s="1051"/>
      <c r="AX778" s="1051"/>
      <c r="AY778" s="1053"/>
      <c r="AZ778" s="1051"/>
      <c r="BA778" s="1051"/>
      <c r="BB778" s="1053"/>
      <c r="BC778" s="1051"/>
      <c r="BD778" s="1051"/>
      <c r="BE778" s="1053"/>
      <c r="BF778" s="1051"/>
      <c r="BG778" s="1051"/>
      <c r="BH778" s="1053"/>
      <c r="BI778" s="1052"/>
      <c r="BJ778" s="1052"/>
      <c r="BK778" s="1052"/>
      <c r="BL778" s="1052"/>
      <c r="BM778" s="1052"/>
      <c r="BN778" s="1054"/>
      <c r="BO778" s="1076">
        <f t="shared" si="23"/>
        <v>0</v>
      </c>
      <c r="BP778" s="1051"/>
      <c r="BQ778" s="1052"/>
      <c r="BR778" s="1054"/>
      <c r="BS778" s="1053"/>
      <c r="BT778" s="1051"/>
      <c r="BU778" s="1051"/>
      <c r="BV778" s="1051"/>
      <c r="BW778" s="1052"/>
      <c r="BX778" s="1052"/>
      <c r="BY778" s="1052"/>
      <c r="BZ778" s="1052"/>
      <c r="CA778" s="1052"/>
      <c r="CB778" s="1053"/>
      <c r="CC778" s="1053"/>
      <c r="CD778" s="1053"/>
      <c r="CE778" s="1053"/>
      <c r="CF778" s="1053"/>
      <c r="CG778" s="1053"/>
      <c r="CH778" s="1053"/>
      <c r="CI778" s="1123"/>
      <c r="CJ778" s="1123"/>
      <c r="CK778" s="1123"/>
      <c r="CL778" s="1123"/>
      <c r="CM778" s="1123"/>
      <c r="CN778" s="1123"/>
      <c r="CO778" s="1123"/>
      <c r="CP778" s="1123"/>
      <c r="CQ778" s="1123"/>
      <c r="CR778" s="1123"/>
      <c r="CS778" s="1123"/>
      <c r="CT778" s="1123"/>
      <c r="CU778" s="1123"/>
      <c r="CV778" s="1123"/>
      <c r="CW778" s="1123"/>
      <c r="CX778" s="1123"/>
      <c r="CY778" s="1123"/>
      <c r="CZ778" s="1114"/>
      <c r="DA778" s="1114"/>
      <c r="DB778" s="1114"/>
      <c r="DC778" s="1114"/>
      <c r="DD778" s="1114"/>
      <c r="DE778" s="1114"/>
      <c r="DF778" s="1114"/>
      <c r="DG778" s="1114"/>
      <c r="DH778" s="1114"/>
      <c r="DI778" s="1114"/>
      <c r="DJ778" s="1114"/>
      <c r="DK778" s="1114"/>
      <c r="DL778" s="1114"/>
      <c r="DM778" s="1114"/>
      <c r="DN778" s="1114"/>
      <c r="DO778" s="1114"/>
      <c r="DP778" s="1114"/>
      <c r="DQ778" s="1114"/>
      <c r="DR778" s="1114"/>
      <c r="DS778" s="1114"/>
      <c r="DT778" s="1114"/>
      <c r="DU778" s="1114"/>
      <c r="DV778" s="1115"/>
      <c r="DW778" s="1116"/>
      <c r="DX778" s="1116"/>
      <c r="DY778" s="1116"/>
      <c r="DZ778" s="1116"/>
      <c r="EA778" s="1116"/>
      <c r="EB778" s="1116"/>
      <c r="EC778" s="1116"/>
      <c r="ED778" s="1116"/>
      <c r="EE778" s="1116"/>
      <c r="EF778" s="1116"/>
      <c r="EG778" s="1116"/>
      <c r="EH778" s="1116"/>
      <c r="EI778" s="1116"/>
      <c r="EJ778" s="1116"/>
      <c r="EK778" s="1116"/>
      <c r="EL778" s="1116"/>
      <c r="EM778" s="1116"/>
      <c r="EN778" s="1116"/>
      <c r="EO778" s="1116"/>
      <c r="EP778" s="1116"/>
      <c r="EQ778" s="1116"/>
      <c r="ER778" s="1116"/>
      <c r="ES778" s="1116"/>
    </row>
    <row r="779" spans="1:149" ht="15" customHeight="1">
      <c r="A779" s="1185">
        <v>764</v>
      </c>
      <c r="B779" s="1041"/>
      <c r="C779" s="1050"/>
      <c r="D779" s="1050"/>
      <c r="E779" s="1050"/>
      <c r="F779" s="1049"/>
      <c r="G779" s="1457"/>
      <c r="H779" s="1049"/>
      <c r="I779" s="1049"/>
      <c r="J779" s="1050"/>
      <c r="K779" s="1050"/>
      <c r="L779" s="1043"/>
      <c r="M779" s="1051"/>
      <c r="N779" s="1051"/>
      <c r="O779" s="1052"/>
      <c r="P779" s="1051"/>
      <c r="Q779" s="1051"/>
      <c r="R779" s="1052"/>
      <c r="S779" s="1051"/>
      <c r="T779" s="1051"/>
      <c r="U779" s="1052"/>
      <c r="V779" s="1051"/>
      <c r="W779" s="1051"/>
      <c r="X779" s="1052"/>
      <c r="Y779" s="1053"/>
      <c r="Z779" s="1051"/>
      <c r="AA779" s="1051"/>
      <c r="AB779" s="1052"/>
      <c r="AC779" s="1051"/>
      <c r="AD779" s="1051"/>
      <c r="AE779" s="1052"/>
      <c r="AF779" s="1051"/>
      <c r="AG779" s="1051"/>
      <c r="AH779" s="1051"/>
      <c r="AI779" s="1051"/>
      <c r="AJ779" s="1052"/>
      <c r="AK779" s="1051"/>
      <c r="AL779" s="1051"/>
      <c r="AM779" s="1052"/>
      <c r="AN779" s="1051"/>
      <c r="AO779" s="1051"/>
      <c r="AP779" s="1052"/>
      <c r="AQ779" s="1051"/>
      <c r="AR779" s="1051"/>
      <c r="AS779" s="1052"/>
      <c r="AT779" s="1051"/>
      <c r="AU779" s="1051"/>
      <c r="AV779" s="1052"/>
      <c r="AW779" s="1051"/>
      <c r="AX779" s="1051"/>
      <c r="AY779" s="1053"/>
      <c r="AZ779" s="1051"/>
      <c r="BA779" s="1051"/>
      <c r="BB779" s="1053"/>
      <c r="BC779" s="1051"/>
      <c r="BD779" s="1051"/>
      <c r="BE779" s="1053"/>
      <c r="BF779" s="1051"/>
      <c r="BG779" s="1051"/>
      <c r="BH779" s="1053"/>
      <c r="BI779" s="1052"/>
      <c r="BJ779" s="1052"/>
      <c r="BK779" s="1052"/>
      <c r="BL779" s="1052"/>
      <c r="BM779" s="1052"/>
      <c r="BN779" s="1054"/>
      <c r="BO779" s="1076">
        <f t="shared" si="23"/>
        <v>0</v>
      </c>
      <c r="BP779" s="1051"/>
      <c r="BQ779" s="1052"/>
      <c r="BR779" s="1054"/>
      <c r="BS779" s="1053"/>
      <c r="BT779" s="1051"/>
      <c r="BU779" s="1051"/>
      <c r="BV779" s="1051"/>
      <c r="BW779" s="1052"/>
      <c r="BX779" s="1052"/>
      <c r="BY779" s="1052"/>
      <c r="BZ779" s="1052"/>
      <c r="CA779" s="1052"/>
      <c r="CB779" s="1053"/>
      <c r="CC779" s="1053"/>
      <c r="CD779" s="1053"/>
      <c r="CE779" s="1053"/>
      <c r="CF779" s="1053"/>
      <c r="CG779" s="1053"/>
      <c r="CH779" s="1053"/>
      <c r="CI779" s="1123"/>
      <c r="CJ779" s="1123"/>
      <c r="CK779" s="1123"/>
      <c r="CL779" s="1123"/>
      <c r="CM779" s="1123"/>
      <c r="CN779" s="1123"/>
      <c r="CO779" s="1123"/>
      <c r="CP779" s="1123"/>
      <c r="CQ779" s="1123"/>
      <c r="CR779" s="1123"/>
      <c r="CS779" s="1123"/>
      <c r="CT779" s="1123"/>
      <c r="CU779" s="1123"/>
      <c r="CV779" s="1123"/>
      <c r="CW779" s="1123"/>
      <c r="CX779" s="1123"/>
      <c r="CY779" s="1123"/>
      <c r="CZ779" s="1114"/>
      <c r="DA779" s="1114"/>
      <c r="DB779" s="1114"/>
      <c r="DC779" s="1114"/>
      <c r="DD779" s="1114"/>
      <c r="DE779" s="1114"/>
      <c r="DF779" s="1114"/>
      <c r="DG779" s="1114"/>
      <c r="DH779" s="1114"/>
      <c r="DI779" s="1114"/>
      <c r="DJ779" s="1114"/>
      <c r="DK779" s="1114"/>
      <c r="DL779" s="1114"/>
      <c r="DM779" s="1114"/>
      <c r="DN779" s="1114"/>
      <c r="DO779" s="1114"/>
      <c r="DP779" s="1114"/>
      <c r="DQ779" s="1114"/>
      <c r="DR779" s="1114"/>
      <c r="DS779" s="1114"/>
      <c r="DT779" s="1114"/>
      <c r="DU779" s="1114"/>
      <c r="DV779" s="1115"/>
      <c r="DW779" s="1116"/>
      <c r="DX779" s="1116"/>
      <c r="DY779" s="1116"/>
      <c r="DZ779" s="1116"/>
      <c r="EA779" s="1116"/>
      <c r="EB779" s="1116"/>
      <c r="EC779" s="1116"/>
      <c r="ED779" s="1116"/>
      <c r="EE779" s="1116"/>
      <c r="EF779" s="1116"/>
      <c r="EG779" s="1116"/>
      <c r="EH779" s="1116"/>
      <c r="EI779" s="1116"/>
      <c r="EJ779" s="1116"/>
      <c r="EK779" s="1116"/>
      <c r="EL779" s="1116"/>
      <c r="EM779" s="1116"/>
      <c r="EN779" s="1116"/>
      <c r="EO779" s="1116"/>
      <c r="EP779" s="1116"/>
      <c r="EQ779" s="1116"/>
      <c r="ER779" s="1116"/>
      <c r="ES779" s="1116"/>
    </row>
    <row r="780" spans="1:149" ht="15" customHeight="1">
      <c r="A780" s="1185">
        <v>765</v>
      </c>
      <c r="B780" s="1041"/>
      <c r="C780" s="1050"/>
      <c r="D780" s="1050"/>
      <c r="E780" s="1050"/>
      <c r="F780" s="1049"/>
      <c r="G780" s="1457"/>
      <c r="H780" s="1049"/>
      <c r="I780" s="1049"/>
      <c r="J780" s="1050"/>
      <c r="K780" s="1050"/>
      <c r="L780" s="1043"/>
      <c r="M780" s="1051"/>
      <c r="N780" s="1051"/>
      <c r="O780" s="1052"/>
      <c r="P780" s="1051"/>
      <c r="Q780" s="1051"/>
      <c r="R780" s="1052"/>
      <c r="S780" s="1051"/>
      <c r="T780" s="1051"/>
      <c r="U780" s="1052"/>
      <c r="V780" s="1051"/>
      <c r="W780" s="1051"/>
      <c r="X780" s="1052"/>
      <c r="Y780" s="1053"/>
      <c r="Z780" s="1051"/>
      <c r="AA780" s="1051"/>
      <c r="AB780" s="1052"/>
      <c r="AC780" s="1051"/>
      <c r="AD780" s="1051"/>
      <c r="AE780" s="1052"/>
      <c r="AF780" s="1051"/>
      <c r="AG780" s="1051"/>
      <c r="AH780" s="1051"/>
      <c r="AI780" s="1051"/>
      <c r="AJ780" s="1052"/>
      <c r="AK780" s="1051"/>
      <c r="AL780" s="1051"/>
      <c r="AM780" s="1052"/>
      <c r="AN780" s="1051"/>
      <c r="AO780" s="1051"/>
      <c r="AP780" s="1052"/>
      <c r="AQ780" s="1051"/>
      <c r="AR780" s="1051"/>
      <c r="AS780" s="1052"/>
      <c r="AT780" s="1051"/>
      <c r="AU780" s="1051"/>
      <c r="AV780" s="1052"/>
      <c r="AW780" s="1051"/>
      <c r="AX780" s="1051"/>
      <c r="AY780" s="1053"/>
      <c r="AZ780" s="1051"/>
      <c r="BA780" s="1051"/>
      <c r="BB780" s="1053"/>
      <c r="BC780" s="1051"/>
      <c r="BD780" s="1051"/>
      <c r="BE780" s="1053"/>
      <c r="BF780" s="1051"/>
      <c r="BG780" s="1051"/>
      <c r="BH780" s="1053"/>
      <c r="BI780" s="1052"/>
      <c r="BJ780" s="1052"/>
      <c r="BK780" s="1052"/>
      <c r="BL780" s="1052"/>
      <c r="BM780" s="1052"/>
      <c r="BN780" s="1054"/>
      <c r="BO780" s="1076">
        <f t="shared" si="23"/>
        <v>0</v>
      </c>
      <c r="BP780" s="1051"/>
      <c r="BQ780" s="1052"/>
      <c r="BR780" s="1054"/>
      <c r="BS780" s="1053"/>
      <c r="BT780" s="1051"/>
      <c r="BU780" s="1051"/>
      <c r="BV780" s="1051"/>
      <c r="BW780" s="1052"/>
      <c r="BX780" s="1052"/>
      <c r="BY780" s="1052"/>
      <c r="BZ780" s="1052"/>
      <c r="CA780" s="1052"/>
      <c r="CB780" s="1053"/>
      <c r="CC780" s="1053"/>
      <c r="CD780" s="1053"/>
      <c r="CE780" s="1053"/>
      <c r="CF780" s="1053"/>
      <c r="CG780" s="1053"/>
      <c r="CH780" s="1053"/>
      <c r="CI780" s="1123"/>
      <c r="CJ780" s="1123"/>
      <c r="CK780" s="1123"/>
      <c r="CL780" s="1123"/>
      <c r="CM780" s="1123"/>
      <c r="CN780" s="1123"/>
      <c r="CO780" s="1123"/>
      <c r="CP780" s="1123"/>
      <c r="CQ780" s="1123"/>
      <c r="CR780" s="1123"/>
      <c r="CS780" s="1123"/>
      <c r="CT780" s="1123"/>
      <c r="CU780" s="1123"/>
      <c r="CV780" s="1123"/>
      <c r="CW780" s="1123"/>
      <c r="CX780" s="1123"/>
      <c r="CY780" s="1123"/>
      <c r="CZ780" s="1114"/>
      <c r="DA780" s="1114"/>
      <c r="DB780" s="1114"/>
      <c r="DC780" s="1114"/>
      <c r="DD780" s="1114"/>
      <c r="DE780" s="1114"/>
      <c r="DF780" s="1114"/>
      <c r="DG780" s="1114"/>
      <c r="DH780" s="1114"/>
      <c r="DI780" s="1114"/>
      <c r="DJ780" s="1114"/>
      <c r="DK780" s="1114"/>
      <c r="DL780" s="1114"/>
      <c r="DM780" s="1114"/>
      <c r="DN780" s="1114"/>
      <c r="DO780" s="1114"/>
      <c r="DP780" s="1114"/>
      <c r="DQ780" s="1114"/>
      <c r="DR780" s="1114"/>
      <c r="DS780" s="1114"/>
      <c r="DT780" s="1114"/>
      <c r="DU780" s="1114"/>
      <c r="DV780" s="1115"/>
      <c r="DW780" s="1116"/>
      <c r="DX780" s="1116"/>
      <c r="DY780" s="1116"/>
      <c r="DZ780" s="1116"/>
      <c r="EA780" s="1116"/>
      <c r="EB780" s="1116"/>
      <c r="EC780" s="1116"/>
      <c r="ED780" s="1116"/>
      <c r="EE780" s="1116"/>
      <c r="EF780" s="1116"/>
      <c r="EG780" s="1116"/>
      <c r="EH780" s="1116"/>
      <c r="EI780" s="1116"/>
      <c r="EJ780" s="1116"/>
      <c r="EK780" s="1116"/>
      <c r="EL780" s="1116"/>
      <c r="EM780" s="1116"/>
      <c r="EN780" s="1116"/>
      <c r="EO780" s="1116"/>
      <c r="EP780" s="1116"/>
      <c r="EQ780" s="1116"/>
      <c r="ER780" s="1116"/>
      <c r="ES780" s="1116"/>
    </row>
    <row r="781" spans="1:149" ht="15" customHeight="1">
      <c r="A781" s="1185">
        <v>766</v>
      </c>
      <c r="B781" s="1041"/>
      <c r="C781" s="1050"/>
      <c r="D781" s="1050"/>
      <c r="E781" s="1050"/>
      <c r="F781" s="1049"/>
      <c r="G781" s="1457"/>
      <c r="H781" s="1049"/>
      <c r="I781" s="1049"/>
      <c r="J781" s="1050"/>
      <c r="K781" s="1050"/>
      <c r="L781" s="1043"/>
      <c r="M781" s="1051"/>
      <c r="N781" s="1051"/>
      <c r="O781" s="1052"/>
      <c r="P781" s="1051"/>
      <c r="Q781" s="1051"/>
      <c r="R781" s="1052"/>
      <c r="S781" s="1051"/>
      <c r="T781" s="1051"/>
      <c r="U781" s="1052"/>
      <c r="V781" s="1051"/>
      <c r="W781" s="1051"/>
      <c r="X781" s="1052"/>
      <c r="Y781" s="1053"/>
      <c r="Z781" s="1051"/>
      <c r="AA781" s="1051"/>
      <c r="AB781" s="1052"/>
      <c r="AC781" s="1051"/>
      <c r="AD781" s="1051"/>
      <c r="AE781" s="1052"/>
      <c r="AF781" s="1051"/>
      <c r="AG781" s="1051"/>
      <c r="AH781" s="1051"/>
      <c r="AI781" s="1051"/>
      <c r="AJ781" s="1052"/>
      <c r="AK781" s="1051"/>
      <c r="AL781" s="1051"/>
      <c r="AM781" s="1052"/>
      <c r="AN781" s="1051"/>
      <c r="AO781" s="1051"/>
      <c r="AP781" s="1052"/>
      <c r="AQ781" s="1051"/>
      <c r="AR781" s="1051"/>
      <c r="AS781" s="1052"/>
      <c r="AT781" s="1051"/>
      <c r="AU781" s="1051"/>
      <c r="AV781" s="1052"/>
      <c r="AW781" s="1051"/>
      <c r="AX781" s="1051"/>
      <c r="AY781" s="1053"/>
      <c r="AZ781" s="1051"/>
      <c r="BA781" s="1051"/>
      <c r="BB781" s="1053"/>
      <c r="BC781" s="1051"/>
      <c r="BD781" s="1051"/>
      <c r="BE781" s="1053"/>
      <c r="BF781" s="1051"/>
      <c r="BG781" s="1051"/>
      <c r="BH781" s="1053"/>
      <c r="BI781" s="1052"/>
      <c r="BJ781" s="1052"/>
      <c r="BK781" s="1052"/>
      <c r="BL781" s="1052"/>
      <c r="BM781" s="1052"/>
      <c r="BN781" s="1054"/>
      <c r="BO781" s="1076">
        <f t="shared" si="23"/>
        <v>0</v>
      </c>
      <c r="BP781" s="1051"/>
      <c r="BQ781" s="1052"/>
      <c r="BR781" s="1054"/>
      <c r="BS781" s="1053"/>
      <c r="BT781" s="1051"/>
      <c r="BU781" s="1051"/>
      <c r="BV781" s="1051"/>
      <c r="BW781" s="1052"/>
      <c r="BX781" s="1052"/>
      <c r="BY781" s="1052"/>
      <c r="BZ781" s="1052"/>
      <c r="CA781" s="1052"/>
      <c r="CB781" s="1053"/>
      <c r="CC781" s="1053"/>
      <c r="CD781" s="1053"/>
      <c r="CE781" s="1053"/>
      <c r="CF781" s="1053"/>
      <c r="CG781" s="1053"/>
      <c r="CH781" s="1053"/>
      <c r="CI781" s="1123"/>
      <c r="CJ781" s="1123"/>
      <c r="CK781" s="1123"/>
      <c r="CL781" s="1123"/>
      <c r="CM781" s="1123"/>
      <c r="CN781" s="1123"/>
      <c r="CO781" s="1123"/>
      <c r="CP781" s="1123"/>
      <c r="CQ781" s="1123"/>
      <c r="CR781" s="1123"/>
      <c r="CS781" s="1123"/>
      <c r="CT781" s="1123"/>
      <c r="CU781" s="1123"/>
      <c r="CV781" s="1123"/>
      <c r="CW781" s="1123"/>
      <c r="CX781" s="1123"/>
      <c r="CY781" s="1123"/>
      <c r="CZ781" s="1114"/>
      <c r="DA781" s="1114"/>
      <c r="DB781" s="1114"/>
      <c r="DC781" s="1114"/>
      <c r="DD781" s="1114"/>
      <c r="DE781" s="1114"/>
      <c r="DF781" s="1114"/>
      <c r="DG781" s="1114"/>
      <c r="DH781" s="1114"/>
      <c r="DI781" s="1114"/>
      <c r="DJ781" s="1114"/>
      <c r="DK781" s="1114"/>
      <c r="DL781" s="1114"/>
      <c r="DM781" s="1114"/>
      <c r="DN781" s="1114"/>
      <c r="DO781" s="1114"/>
      <c r="DP781" s="1114"/>
      <c r="DQ781" s="1114"/>
      <c r="DR781" s="1114"/>
      <c r="DS781" s="1114"/>
      <c r="DT781" s="1114"/>
      <c r="DU781" s="1114"/>
      <c r="DV781" s="1115"/>
      <c r="DW781" s="1116"/>
      <c r="DX781" s="1116"/>
      <c r="DY781" s="1116"/>
      <c r="DZ781" s="1116"/>
      <c r="EA781" s="1116"/>
      <c r="EB781" s="1116"/>
      <c r="EC781" s="1116"/>
      <c r="ED781" s="1116"/>
      <c r="EE781" s="1116"/>
      <c r="EF781" s="1116"/>
      <c r="EG781" s="1116"/>
      <c r="EH781" s="1116"/>
      <c r="EI781" s="1116"/>
      <c r="EJ781" s="1116"/>
      <c r="EK781" s="1116"/>
      <c r="EL781" s="1116"/>
      <c r="EM781" s="1116"/>
      <c r="EN781" s="1116"/>
      <c r="EO781" s="1116"/>
      <c r="EP781" s="1116"/>
      <c r="EQ781" s="1116"/>
      <c r="ER781" s="1116"/>
      <c r="ES781" s="1116"/>
    </row>
    <row r="782" spans="1:149" ht="15" customHeight="1">
      <c r="A782" s="1185">
        <v>767</v>
      </c>
      <c r="B782" s="1041"/>
      <c r="C782" s="1050"/>
      <c r="D782" s="1050"/>
      <c r="E782" s="1050"/>
      <c r="F782" s="1049"/>
      <c r="G782" s="1457"/>
      <c r="H782" s="1049"/>
      <c r="I782" s="1049"/>
      <c r="J782" s="1050"/>
      <c r="K782" s="1050"/>
      <c r="L782" s="1043"/>
      <c r="M782" s="1051"/>
      <c r="N782" s="1051"/>
      <c r="O782" s="1052"/>
      <c r="P782" s="1051"/>
      <c r="Q782" s="1051"/>
      <c r="R782" s="1052"/>
      <c r="S782" s="1051"/>
      <c r="T782" s="1051"/>
      <c r="U782" s="1052"/>
      <c r="V782" s="1051"/>
      <c r="W782" s="1051"/>
      <c r="X782" s="1052"/>
      <c r="Y782" s="1053"/>
      <c r="Z782" s="1051"/>
      <c r="AA782" s="1051"/>
      <c r="AB782" s="1052"/>
      <c r="AC782" s="1051"/>
      <c r="AD782" s="1051"/>
      <c r="AE782" s="1052"/>
      <c r="AF782" s="1051"/>
      <c r="AG782" s="1051"/>
      <c r="AH782" s="1051"/>
      <c r="AI782" s="1051"/>
      <c r="AJ782" s="1052"/>
      <c r="AK782" s="1051"/>
      <c r="AL782" s="1051"/>
      <c r="AM782" s="1052"/>
      <c r="AN782" s="1051"/>
      <c r="AO782" s="1051"/>
      <c r="AP782" s="1052"/>
      <c r="AQ782" s="1051"/>
      <c r="AR782" s="1051"/>
      <c r="AS782" s="1052"/>
      <c r="AT782" s="1051"/>
      <c r="AU782" s="1051"/>
      <c r="AV782" s="1052"/>
      <c r="AW782" s="1051"/>
      <c r="AX782" s="1051"/>
      <c r="AY782" s="1053"/>
      <c r="AZ782" s="1051"/>
      <c r="BA782" s="1051"/>
      <c r="BB782" s="1053"/>
      <c r="BC782" s="1051"/>
      <c r="BD782" s="1051"/>
      <c r="BE782" s="1053"/>
      <c r="BF782" s="1051"/>
      <c r="BG782" s="1051"/>
      <c r="BH782" s="1053"/>
      <c r="BI782" s="1052"/>
      <c r="BJ782" s="1052"/>
      <c r="BK782" s="1052"/>
      <c r="BL782" s="1052"/>
      <c r="BM782" s="1052"/>
      <c r="BN782" s="1054"/>
      <c r="BO782" s="1076">
        <f t="shared" si="23"/>
        <v>0</v>
      </c>
      <c r="BP782" s="1051"/>
      <c r="BQ782" s="1052"/>
      <c r="BR782" s="1054"/>
      <c r="BS782" s="1053"/>
      <c r="BT782" s="1051"/>
      <c r="BU782" s="1051"/>
      <c r="BV782" s="1051"/>
      <c r="BW782" s="1052"/>
      <c r="BX782" s="1052"/>
      <c r="BY782" s="1052"/>
      <c r="BZ782" s="1052"/>
      <c r="CA782" s="1052"/>
      <c r="CB782" s="1053"/>
      <c r="CC782" s="1053"/>
      <c r="CD782" s="1053"/>
      <c r="CE782" s="1053"/>
      <c r="CF782" s="1053"/>
      <c r="CG782" s="1053"/>
      <c r="CH782" s="1053"/>
      <c r="CI782" s="1123"/>
      <c r="CJ782" s="1123"/>
      <c r="CK782" s="1123"/>
      <c r="CL782" s="1123"/>
      <c r="CM782" s="1123"/>
      <c r="CN782" s="1123"/>
      <c r="CO782" s="1123"/>
      <c r="CP782" s="1123"/>
      <c r="CQ782" s="1123"/>
      <c r="CR782" s="1123"/>
      <c r="CS782" s="1123"/>
      <c r="CT782" s="1123"/>
      <c r="CU782" s="1123"/>
      <c r="CV782" s="1123"/>
      <c r="CW782" s="1123"/>
      <c r="CX782" s="1123"/>
      <c r="CY782" s="1123"/>
      <c r="CZ782" s="1114"/>
      <c r="DA782" s="1114"/>
      <c r="DB782" s="1114"/>
      <c r="DC782" s="1114"/>
      <c r="DD782" s="1114"/>
      <c r="DE782" s="1114"/>
      <c r="DF782" s="1114"/>
      <c r="DG782" s="1114"/>
      <c r="DH782" s="1114"/>
      <c r="DI782" s="1114"/>
      <c r="DJ782" s="1114"/>
      <c r="DK782" s="1114"/>
      <c r="DL782" s="1114"/>
      <c r="DM782" s="1114"/>
      <c r="DN782" s="1114"/>
      <c r="DO782" s="1114"/>
      <c r="DP782" s="1114"/>
      <c r="DQ782" s="1114"/>
      <c r="DR782" s="1114"/>
      <c r="DS782" s="1114"/>
      <c r="DT782" s="1114"/>
      <c r="DU782" s="1114"/>
      <c r="DV782" s="1115"/>
      <c r="DW782" s="1116"/>
      <c r="DX782" s="1116"/>
      <c r="DY782" s="1116"/>
      <c r="DZ782" s="1116"/>
      <c r="EA782" s="1116"/>
      <c r="EB782" s="1116"/>
      <c r="EC782" s="1116"/>
      <c r="ED782" s="1116"/>
      <c r="EE782" s="1116"/>
      <c r="EF782" s="1116"/>
      <c r="EG782" s="1116"/>
      <c r="EH782" s="1116"/>
      <c r="EI782" s="1116"/>
      <c r="EJ782" s="1116"/>
      <c r="EK782" s="1116"/>
      <c r="EL782" s="1116"/>
      <c r="EM782" s="1116"/>
      <c r="EN782" s="1116"/>
      <c r="EO782" s="1116"/>
      <c r="EP782" s="1116"/>
      <c r="EQ782" s="1116"/>
      <c r="ER782" s="1116"/>
      <c r="ES782" s="1116"/>
    </row>
    <row r="783" spans="1:149" ht="15" customHeight="1">
      <c r="A783" s="1185">
        <v>768</v>
      </c>
      <c r="B783" s="1041"/>
      <c r="C783" s="1050"/>
      <c r="D783" s="1050"/>
      <c r="E783" s="1050"/>
      <c r="F783" s="1049"/>
      <c r="G783" s="1457"/>
      <c r="H783" s="1049"/>
      <c r="I783" s="1049"/>
      <c r="J783" s="1050"/>
      <c r="K783" s="1050"/>
      <c r="L783" s="1043"/>
      <c r="M783" s="1051"/>
      <c r="N783" s="1051"/>
      <c r="O783" s="1052"/>
      <c r="P783" s="1051"/>
      <c r="Q783" s="1051"/>
      <c r="R783" s="1052"/>
      <c r="S783" s="1051"/>
      <c r="T783" s="1051"/>
      <c r="U783" s="1052"/>
      <c r="V783" s="1051"/>
      <c r="W783" s="1051"/>
      <c r="X783" s="1052"/>
      <c r="Y783" s="1053"/>
      <c r="Z783" s="1051"/>
      <c r="AA783" s="1051"/>
      <c r="AB783" s="1052"/>
      <c r="AC783" s="1051"/>
      <c r="AD783" s="1051"/>
      <c r="AE783" s="1052"/>
      <c r="AF783" s="1051"/>
      <c r="AG783" s="1051"/>
      <c r="AH783" s="1051"/>
      <c r="AI783" s="1051"/>
      <c r="AJ783" s="1052"/>
      <c r="AK783" s="1051"/>
      <c r="AL783" s="1051"/>
      <c r="AM783" s="1052"/>
      <c r="AN783" s="1051"/>
      <c r="AO783" s="1051"/>
      <c r="AP783" s="1052"/>
      <c r="AQ783" s="1051"/>
      <c r="AR783" s="1051"/>
      <c r="AS783" s="1052"/>
      <c r="AT783" s="1051"/>
      <c r="AU783" s="1051"/>
      <c r="AV783" s="1052"/>
      <c r="AW783" s="1051"/>
      <c r="AX783" s="1051"/>
      <c r="AY783" s="1053"/>
      <c r="AZ783" s="1051"/>
      <c r="BA783" s="1051"/>
      <c r="BB783" s="1053"/>
      <c r="BC783" s="1051"/>
      <c r="BD783" s="1051"/>
      <c r="BE783" s="1053"/>
      <c r="BF783" s="1051"/>
      <c r="BG783" s="1051"/>
      <c r="BH783" s="1053"/>
      <c r="BI783" s="1052"/>
      <c r="BJ783" s="1052"/>
      <c r="BK783" s="1052"/>
      <c r="BL783" s="1052"/>
      <c r="BM783" s="1052"/>
      <c r="BN783" s="1054"/>
      <c r="BO783" s="1076">
        <f t="shared" si="23"/>
        <v>0</v>
      </c>
      <c r="BP783" s="1051"/>
      <c r="BQ783" s="1052"/>
      <c r="BR783" s="1054"/>
      <c r="BS783" s="1053"/>
      <c r="BT783" s="1051"/>
      <c r="BU783" s="1051"/>
      <c r="BV783" s="1051"/>
      <c r="BW783" s="1052"/>
      <c r="BX783" s="1052"/>
      <c r="BY783" s="1052"/>
      <c r="BZ783" s="1052"/>
      <c r="CA783" s="1052"/>
      <c r="CB783" s="1053"/>
      <c r="CC783" s="1053"/>
      <c r="CD783" s="1053"/>
      <c r="CE783" s="1053"/>
      <c r="CF783" s="1053"/>
      <c r="CG783" s="1053"/>
      <c r="CH783" s="1053"/>
      <c r="CI783" s="1123"/>
      <c r="CJ783" s="1123"/>
      <c r="CK783" s="1123"/>
      <c r="CL783" s="1123"/>
      <c r="CM783" s="1123"/>
      <c r="CN783" s="1123"/>
      <c r="CO783" s="1123"/>
      <c r="CP783" s="1123"/>
      <c r="CQ783" s="1123"/>
      <c r="CR783" s="1123"/>
      <c r="CS783" s="1123"/>
      <c r="CT783" s="1123"/>
      <c r="CU783" s="1123"/>
      <c r="CV783" s="1123"/>
      <c r="CW783" s="1123"/>
      <c r="CX783" s="1123"/>
      <c r="CY783" s="1123"/>
      <c r="CZ783" s="1114"/>
      <c r="DA783" s="1114"/>
      <c r="DB783" s="1114"/>
      <c r="DC783" s="1114"/>
      <c r="DD783" s="1114"/>
      <c r="DE783" s="1114"/>
      <c r="DF783" s="1114"/>
      <c r="DG783" s="1114"/>
      <c r="DH783" s="1114"/>
      <c r="DI783" s="1114"/>
      <c r="DJ783" s="1114"/>
      <c r="DK783" s="1114"/>
      <c r="DL783" s="1114"/>
      <c r="DM783" s="1114"/>
      <c r="DN783" s="1114"/>
      <c r="DO783" s="1114"/>
      <c r="DP783" s="1114"/>
      <c r="DQ783" s="1114"/>
      <c r="DR783" s="1114"/>
      <c r="DS783" s="1114"/>
      <c r="DT783" s="1114"/>
      <c r="DU783" s="1114"/>
      <c r="DV783" s="1115"/>
      <c r="DW783" s="1116"/>
      <c r="DX783" s="1116"/>
      <c r="DY783" s="1116"/>
      <c r="DZ783" s="1116"/>
      <c r="EA783" s="1116"/>
      <c r="EB783" s="1116"/>
      <c r="EC783" s="1116"/>
      <c r="ED783" s="1116"/>
      <c r="EE783" s="1116"/>
      <c r="EF783" s="1116"/>
      <c r="EG783" s="1116"/>
      <c r="EH783" s="1116"/>
      <c r="EI783" s="1116"/>
      <c r="EJ783" s="1116"/>
      <c r="EK783" s="1116"/>
      <c r="EL783" s="1116"/>
      <c r="EM783" s="1116"/>
      <c r="EN783" s="1116"/>
      <c r="EO783" s="1116"/>
      <c r="EP783" s="1116"/>
      <c r="EQ783" s="1116"/>
      <c r="ER783" s="1116"/>
      <c r="ES783" s="1116"/>
    </row>
    <row r="784" spans="1:149" ht="15" customHeight="1">
      <c r="A784" s="1185">
        <v>769</v>
      </c>
      <c r="B784" s="1041"/>
      <c r="C784" s="1050"/>
      <c r="D784" s="1050"/>
      <c r="E784" s="1050"/>
      <c r="F784" s="1049"/>
      <c r="G784" s="1457"/>
      <c r="H784" s="1049"/>
      <c r="I784" s="1049"/>
      <c r="J784" s="1050"/>
      <c r="K784" s="1050"/>
      <c r="L784" s="1043"/>
      <c r="M784" s="1051"/>
      <c r="N784" s="1051"/>
      <c r="O784" s="1052"/>
      <c r="P784" s="1051"/>
      <c r="Q784" s="1051"/>
      <c r="R784" s="1052"/>
      <c r="S784" s="1051"/>
      <c r="T784" s="1051"/>
      <c r="U784" s="1052"/>
      <c r="V784" s="1051"/>
      <c r="W784" s="1051"/>
      <c r="X784" s="1052"/>
      <c r="Y784" s="1053"/>
      <c r="Z784" s="1051"/>
      <c r="AA784" s="1051"/>
      <c r="AB784" s="1052"/>
      <c r="AC784" s="1051"/>
      <c r="AD784" s="1051"/>
      <c r="AE784" s="1052"/>
      <c r="AF784" s="1051"/>
      <c r="AG784" s="1051"/>
      <c r="AH784" s="1051"/>
      <c r="AI784" s="1051"/>
      <c r="AJ784" s="1052"/>
      <c r="AK784" s="1051"/>
      <c r="AL784" s="1051"/>
      <c r="AM784" s="1052"/>
      <c r="AN784" s="1051"/>
      <c r="AO784" s="1051"/>
      <c r="AP784" s="1052"/>
      <c r="AQ784" s="1051"/>
      <c r="AR784" s="1051"/>
      <c r="AS784" s="1052"/>
      <c r="AT784" s="1051"/>
      <c r="AU784" s="1051"/>
      <c r="AV784" s="1052"/>
      <c r="AW784" s="1051"/>
      <c r="AX784" s="1051"/>
      <c r="AY784" s="1053"/>
      <c r="AZ784" s="1051"/>
      <c r="BA784" s="1051"/>
      <c r="BB784" s="1053"/>
      <c r="BC784" s="1051"/>
      <c r="BD784" s="1051"/>
      <c r="BE784" s="1053"/>
      <c r="BF784" s="1051"/>
      <c r="BG784" s="1051"/>
      <c r="BH784" s="1053"/>
      <c r="BI784" s="1052"/>
      <c r="BJ784" s="1052"/>
      <c r="BK784" s="1052"/>
      <c r="BL784" s="1052"/>
      <c r="BM784" s="1052"/>
      <c r="BN784" s="1054"/>
      <c r="BO784" s="1076">
        <f t="shared" si="23"/>
        <v>0</v>
      </c>
      <c r="BP784" s="1051"/>
      <c r="BQ784" s="1052"/>
      <c r="BR784" s="1054"/>
      <c r="BS784" s="1053"/>
      <c r="BT784" s="1051"/>
      <c r="BU784" s="1051"/>
      <c r="BV784" s="1051"/>
      <c r="BW784" s="1052"/>
      <c r="BX784" s="1052"/>
      <c r="BY784" s="1052"/>
      <c r="BZ784" s="1052"/>
      <c r="CA784" s="1052"/>
      <c r="CB784" s="1053"/>
      <c r="CC784" s="1053"/>
      <c r="CD784" s="1053"/>
      <c r="CE784" s="1053"/>
      <c r="CF784" s="1053"/>
      <c r="CG784" s="1053"/>
      <c r="CH784" s="1053"/>
      <c r="CI784" s="1123"/>
      <c r="CJ784" s="1123"/>
      <c r="CK784" s="1123"/>
      <c r="CL784" s="1123"/>
      <c r="CM784" s="1123"/>
      <c r="CN784" s="1123"/>
      <c r="CO784" s="1123"/>
      <c r="CP784" s="1123"/>
      <c r="CQ784" s="1123"/>
      <c r="CR784" s="1123"/>
      <c r="CS784" s="1123"/>
      <c r="CT784" s="1123"/>
      <c r="CU784" s="1123"/>
      <c r="CV784" s="1123"/>
      <c r="CW784" s="1123"/>
      <c r="CX784" s="1123"/>
      <c r="CY784" s="1123"/>
      <c r="CZ784" s="1114"/>
      <c r="DA784" s="1114"/>
      <c r="DB784" s="1114"/>
      <c r="DC784" s="1114"/>
      <c r="DD784" s="1114"/>
      <c r="DE784" s="1114"/>
      <c r="DF784" s="1114"/>
      <c r="DG784" s="1114"/>
      <c r="DH784" s="1114"/>
      <c r="DI784" s="1114"/>
      <c r="DJ784" s="1114"/>
      <c r="DK784" s="1114"/>
      <c r="DL784" s="1114"/>
      <c r="DM784" s="1114"/>
      <c r="DN784" s="1114"/>
      <c r="DO784" s="1114"/>
      <c r="DP784" s="1114"/>
      <c r="DQ784" s="1114"/>
      <c r="DR784" s="1114"/>
      <c r="DS784" s="1114"/>
      <c r="DT784" s="1114"/>
      <c r="DU784" s="1114"/>
      <c r="DV784" s="1115"/>
      <c r="DW784" s="1116"/>
      <c r="DX784" s="1116"/>
      <c r="DY784" s="1116"/>
      <c r="DZ784" s="1116"/>
      <c r="EA784" s="1116"/>
      <c r="EB784" s="1116"/>
      <c r="EC784" s="1116"/>
      <c r="ED784" s="1116"/>
      <c r="EE784" s="1116"/>
      <c r="EF784" s="1116"/>
      <c r="EG784" s="1116"/>
      <c r="EH784" s="1116"/>
      <c r="EI784" s="1116"/>
      <c r="EJ784" s="1116"/>
      <c r="EK784" s="1116"/>
      <c r="EL784" s="1116"/>
      <c r="EM784" s="1116"/>
      <c r="EN784" s="1116"/>
      <c r="EO784" s="1116"/>
      <c r="EP784" s="1116"/>
      <c r="EQ784" s="1116"/>
      <c r="ER784" s="1116"/>
      <c r="ES784" s="1116"/>
    </row>
    <row r="785" spans="1:149" ht="15" customHeight="1">
      <c r="A785" s="1185">
        <v>770</v>
      </c>
      <c r="B785" s="1041"/>
      <c r="C785" s="1050"/>
      <c r="D785" s="1050"/>
      <c r="E785" s="1050"/>
      <c r="F785" s="1049"/>
      <c r="G785" s="1457"/>
      <c r="H785" s="1049"/>
      <c r="I785" s="1049"/>
      <c r="J785" s="1050"/>
      <c r="K785" s="1050"/>
      <c r="L785" s="1043"/>
      <c r="M785" s="1051"/>
      <c r="N785" s="1051"/>
      <c r="O785" s="1052"/>
      <c r="P785" s="1051"/>
      <c r="Q785" s="1051"/>
      <c r="R785" s="1052"/>
      <c r="S785" s="1051"/>
      <c r="T785" s="1051"/>
      <c r="U785" s="1052"/>
      <c r="V785" s="1051"/>
      <c r="W785" s="1051"/>
      <c r="X785" s="1052"/>
      <c r="Y785" s="1053"/>
      <c r="Z785" s="1051"/>
      <c r="AA785" s="1051"/>
      <c r="AB785" s="1052"/>
      <c r="AC785" s="1051"/>
      <c r="AD785" s="1051"/>
      <c r="AE785" s="1052"/>
      <c r="AF785" s="1051"/>
      <c r="AG785" s="1051"/>
      <c r="AH785" s="1051"/>
      <c r="AI785" s="1051"/>
      <c r="AJ785" s="1052"/>
      <c r="AK785" s="1051"/>
      <c r="AL785" s="1051"/>
      <c r="AM785" s="1052"/>
      <c r="AN785" s="1051"/>
      <c r="AO785" s="1051"/>
      <c r="AP785" s="1052"/>
      <c r="AQ785" s="1051"/>
      <c r="AR785" s="1051"/>
      <c r="AS785" s="1052"/>
      <c r="AT785" s="1051"/>
      <c r="AU785" s="1051"/>
      <c r="AV785" s="1052"/>
      <c r="AW785" s="1051"/>
      <c r="AX785" s="1051"/>
      <c r="AY785" s="1053"/>
      <c r="AZ785" s="1051"/>
      <c r="BA785" s="1051"/>
      <c r="BB785" s="1053"/>
      <c r="BC785" s="1051"/>
      <c r="BD785" s="1051"/>
      <c r="BE785" s="1053"/>
      <c r="BF785" s="1051"/>
      <c r="BG785" s="1051"/>
      <c r="BH785" s="1053"/>
      <c r="BI785" s="1052"/>
      <c r="BJ785" s="1052"/>
      <c r="BK785" s="1052"/>
      <c r="BL785" s="1052"/>
      <c r="BM785" s="1052"/>
      <c r="BN785" s="1054"/>
      <c r="BO785" s="1076">
        <f t="shared" si="23"/>
        <v>0</v>
      </c>
      <c r="BP785" s="1051"/>
      <c r="BQ785" s="1052"/>
      <c r="BR785" s="1054"/>
      <c r="BS785" s="1053"/>
      <c r="BT785" s="1051"/>
      <c r="BU785" s="1051"/>
      <c r="BV785" s="1051"/>
      <c r="BW785" s="1052"/>
      <c r="BX785" s="1052"/>
      <c r="BY785" s="1052"/>
      <c r="BZ785" s="1052"/>
      <c r="CA785" s="1052"/>
      <c r="CB785" s="1053"/>
      <c r="CC785" s="1053"/>
      <c r="CD785" s="1053"/>
      <c r="CE785" s="1053"/>
      <c r="CF785" s="1053"/>
      <c r="CG785" s="1053"/>
      <c r="CH785" s="1053"/>
      <c r="CI785" s="1123"/>
      <c r="CJ785" s="1123"/>
      <c r="CK785" s="1123"/>
      <c r="CL785" s="1123"/>
      <c r="CM785" s="1123"/>
      <c r="CN785" s="1123"/>
      <c r="CO785" s="1123"/>
      <c r="CP785" s="1123"/>
      <c r="CQ785" s="1123"/>
      <c r="CR785" s="1123"/>
      <c r="CS785" s="1123"/>
      <c r="CT785" s="1123"/>
      <c r="CU785" s="1123"/>
      <c r="CV785" s="1123"/>
      <c r="CW785" s="1123"/>
      <c r="CX785" s="1123"/>
      <c r="CY785" s="1123"/>
      <c r="CZ785" s="1114"/>
      <c r="DA785" s="1114"/>
      <c r="DB785" s="1114"/>
      <c r="DC785" s="1114"/>
      <c r="DD785" s="1114"/>
      <c r="DE785" s="1114"/>
      <c r="DF785" s="1114"/>
      <c r="DG785" s="1114"/>
      <c r="DH785" s="1114"/>
      <c r="DI785" s="1114"/>
      <c r="DJ785" s="1114"/>
      <c r="DK785" s="1114"/>
      <c r="DL785" s="1114"/>
      <c r="DM785" s="1114"/>
      <c r="DN785" s="1114"/>
      <c r="DO785" s="1114"/>
      <c r="DP785" s="1114"/>
      <c r="DQ785" s="1114"/>
      <c r="DR785" s="1114"/>
      <c r="DS785" s="1114"/>
      <c r="DT785" s="1114"/>
      <c r="DU785" s="1114"/>
      <c r="DV785" s="1115"/>
      <c r="DW785" s="1116"/>
      <c r="DX785" s="1116"/>
      <c r="DY785" s="1116"/>
      <c r="DZ785" s="1116"/>
      <c r="EA785" s="1116"/>
      <c r="EB785" s="1116"/>
      <c r="EC785" s="1116"/>
      <c r="ED785" s="1116"/>
      <c r="EE785" s="1116"/>
      <c r="EF785" s="1116"/>
      <c r="EG785" s="1116"/>
      <c r="EH785" s="1116"/>
      <c r="EI785" s="1116"/>
      <c r="EJ785" s="1116"/>
      <c r="EK785" s="1116"/>
      <c r="EL785" s="1116"/>
      <c r="EM785" s="1116"/>
      <c r="EN785" s="1116"/>
      <c r="EO785" s="1116"/>
      <c r="EP785" s="1116"/>
      <c r="EQ785" s="1116"/>
      <c r="ER785" s="1116"/>
      <c r="ES785" s="1116"/>
    </row>
    <row r="786" spans="1:149" ht="15" customHeight="1">
      <c r="A786" s="1185">
        <v>771</v>
      </c>
      <c r="B786" s="1041"/>
      <c r="C786" s="1050"/>
      <c r="D786" s="1050"/>
      <c r="E786" s="1050"/>
      <c r="F786" s="1049"/>
      <c r="G786" s="1457"/>
      <c r="H786" s="1049"/>
      <c r="I786" s="1049"/>
      <c r="J786" s="1050"/>
      <c r="K786" s="1050"/>
      <c r="L786" s="1043"/>
      <c r="M786" s="1051"/>
      <c r="N786" s="1051"/>
      <c r="O786" s="1052"/>
      <c r="P786" s="1051"/>
      <c r="Q786" s="1051"/>
      <c r="R786" s="1052"/>
      <c r="S786" s="1051"/>
      <c r="T786" s="1051"/>
      <c r="U786" s="1052"/>
      <c r="V786" s="1051"/>
      <c r="W786" s="1051"/>
      <c r="X786" s="1052"/>
      <c r="Y786" s="1053"/>
      <c r="Z786" s="1051"/>
      <c r="AA786" s="1051"/>
      <c r="AB786" s="1052"/>
      <c r="AC786" s="1051"/>
      <c r="AD786" s="1051"/>
      <c r="AE786" s="1052"/>
      <c r="AF786" s="1051"/>
      <c r="AG786" s="1051"/>
      <c r="AH786" s="1051"/>
      <c r="AI786" s="1051"/>
      <c r="AJ786" s="1052"/>
      <c r="AK786" s="1051"/>
      <c r="AL786" s="1051"/>
      <c r="AM786" s="1052"/>
      <c r="AN786" s="1051"/>
      <c r="AO786" s="1051"/>
      <c r="AP786" s="1052"/>
      <c r="AQ786" s="1051"/>
      <c r="AR786" s="1051"/>
      <c r="AS786" s="1052"/>
      <c r="AT786" s="1051"/>
      <c r="AU786" s="1051"/>
      <c r="AV786" s="1052"/>
      <c r="AW786" s="1051"/>
      <c r="AX786" s="1051"/>
      <c r="AY786" s="1053"/>
      <c r="AZ786" s="1051"/>
      <c r="BA786" s="1051"/>
      <c r="BB786" s="1053"/>
      <c r="BC786" s="1051"/>
      <c r="BD786" s="1051"/>
      <c r="BE786" s="1053"/>
      <c r="BF786" s="1051"/>
      <c r="BG786" s="1051"/>
      <c r="BH786" s="1053"/>
      <c r="BI786" s="1052"/>
      <c r="BJ786" s="1052"/>
      <c r="BK786" s="1052"/>
      <c r="BL786" s="1052"/>
      <c r="BM786" s="1052"/>
      <c r="BN786" s="1054"/>
      <c r="BO786" s="1076">
        <f t="shared" si="23"/>
        <v>0</v>
      </c>
      <c r="BP786" s="1051"/>
      <c r="BQ786" s="1052"/>
      <c r="BR786" s="1054"/>
      <c r="BS786" s="1053"/>
      <c r="BT786" s="1051"/>
      <c r="BU786" s="1051"/>
      <c r="BV786" s="1051"/>
      <c r="BW786" s="1052"/>
      <c r="BX786" s="1052"/>
      <c r="BY786" s="1052"/>
      <c r="BZ786" s="1052"/>
      <c r="CA786" s="1052"/>
      <c r="CB786" s="1053"/>
      <c r="CC786" s="1053"/>
      <c r="CD786" s="1053"/>
      <c r="CE786" s="1053"/>
      <c r="CF786" s="1053"/>
      <c r="CG786" s="1053"/>
      <c r="CH786" s="1053"/>
      <c r="CI786" s="1123"/>
      <c r="CJ786" s="1123"/>
      <c r="CK786" s="1123"/>
      <c r="CL786" s="1123"/>
      <c r="CM786" s="1123"/>
      <c r="CN786" s="1123"/>
      <c r="CO786" s="1123"/>
      <c r="CP786" s="1123"/>
      <c r="CQ786" s="1123"/>
      <c r="CR786" s="1123"/>
      <c r="CS786" s="1123"/>
      <c r="CT786" s="1123"/>
      <c r="CU786" s="1123"/>
      <c r="CV786" s="1123"/>
      <c r="CW786" s="1123"/>
      <c r="CX786" s="1123"/>
      <c r="CY786" s="1123"/>
      <c r="CZ786" s="1114"/>
      <c r="DA786" s="1114"/>
      <c r="DB786" s="1114"/>
      <c r="DC786" s="1114"/>
      <c r="DD786" s="1114"/>
      <c r="DE786" s="1114"/>
      <c r="DF786" s="1114"/>
      <c r="DG786" s="1114"/>
      <c r="DH786" s="1114"/>
      <c r="DI786" s="1114"/>
      <c r="DJ786" s="1114"/>
      <c r="DK786" s="1114"/>
      <c r="DL786" s="1114"/>
      <c r="DM786" s="1114"/>
      <c r="DN786" s="1114"/>
      <c r="DO786" s="1114"/>
      <c r="DP786" s="1114"/>
      <c r="DQ786" s="1114"/>
      <c r="DR786" s="1114"/>
      <c r="DS786" s="1114"/>
      <c r="DT786" s="1114"/>
      <c r="DU786" s="1114"/>
      <c r="DV786" s="1115"/>
      <c r="DW786" s="1116"/>
      <c r="DX786" s="1116"/>
      <c r="DY786" s="1116"/>
      <c r="DZ786" s="1116"/>
      <c r="EA786" s="1116"/>
      <c r="EB786" s="1116"/>
      <c r="EC786" s="1116"/>
      <c r="ED786" s="1116"/>
      <c r="EE786" s="1116"/>
      <c r="EF786" s="1116"/>
      <c r="EG786" s="1116"/>
      <c r="EH786" s="1116"/>
      <c r="EI786" s="1116"/>
      <c r="EJ786" s="1116"/>
      <c r="EK786" s="1116"/>
      <c r="EL786" s="1116"/>
      <c r="EM786" s="1116"/>
      <c r="EN786" s="1116"/>
      <c r="EO786" s="1116"/>
      <c r="EP786" s="1116"/>
      <c r="EQ786" s="1116"/>
      <c r="ER786" s="1116"/>
      <c r="ES786" s="1116"/>
    </row>
    <row r="787" spans="1:149" ht="15" customHeight="1">
      <c r="A787" s="1185">
        <v>772</v>
      </c>
      <c r="B787" s="1041"/>
      <c r="C787" s="1050"/>
      <c r="D787" s="1050"/>
      <c r="E787" s="1050"/>
      <c r="F787" s="1049"/>
      <c r="G787" s="1457"/>
      <c r="H787" s="1049"/>
      <c r="I787" s="1049"/>
      <c r="J787" s="1050"/>
      <c r="K787" s="1050"/>
      <c r="L787" s="1043"/>
      <c r="M787" s="1051"/>
      <c r="N787" s="1051"/>
      <c r="O787" s="1052"/>
      <c r="P787" s="1051"/>
      <c r="Q787" s="1051"/>
      <c r="R787" s="1052"/>
      <c r="S787" s="1051"/>
      <c r="T787" s="1051"/>
      <c r="U787" s="1052"/>
      <c r="V787" s="1051"/>
      <c r="W787" s="1051"/>
      <c r="X787" s="1052"/>
      <c r="Y787" s="1053"/>
      <c r="Z787" s="1051"/>
      <c r="AA787" s="1051"/>
      <c r="AB787" s="1052"/>
      <c r="AC787" s="1051"/>
      <c r="AD787" s="1051"/>
      <c r="AE787" s="1052"/>
      <c r="AF787" s="1051"/>
      <c r="AG787" s="1051"/>
      <c r="AH787" s="1051"/>
      <c r="AI787" s="1051"/>
      <c r="AJ787" s="1052"/>
      <c r="AK787" s="1051"/>
      <c r="AL787" s="1051"/>
      <c r="AM787" s="1052"/>
      <c r="AN787" s="1051"/>
      <c r="AO787" s="1051"/>
      <c r="AP787" s="1052"/>
      <c r="AQ787" s="1051"/>
      <c r="AR787" s="1051"/>
      <c r="AS787" s="1052"/>
      <c r="AT787" s="1051"/>
      <c r="AU787" s="1051"/>
      <c r="AV787" s="1052"/>
      <c r="AW787" s="1051"/>
      <c r="AX787" s="1051"/>
      <c r="AY787" s="1053"/>
      <c r="AZ787" s="1051"/>
      <c r="BA787" s="1051"/>
      <c r="BB787" s="1053"/>
      <c r="BC787" s="1051"/>
      <c r="BD787" s="1051"/>
      <c r="BE787" s="1053"/>
      <c r="BF787" s="1051"/>
      <c r="BG787" s="1051"/>
      <c r="BH787" s="1053"/>
      <c r="BI787" s="1052"/>
      <c r="BJ787" s="1052"/>
      <c r="BK787" s="1052"/>
      <c r="BL787" s="1052"/>
      <c r="BM787" s="1052"/>
      <c r="BN787" s="1054"/>
      <c r="BO787" s="1076">
        <f t="shared" si="23"/>
        <v>0</v>
      </c>
      <c r="BP787" s="1051"/>
      <c r="BQ787" s="1052"/>
      <c r="BR787" s="1054"/>
      <c r="BS787" s="1053"/>
      <c r="BT787" s="1051"/>
      <c r="BU787" s="1051"/>
      <c r="BV787" s="1051"/>
      <c r="BW787" s="1052"/>
      <c r="BX787" s="1052"/>
      <c r="BY787" s="1052"/>
      <c r="BZ787" s="1052"/>
      <c r="CA787" s="1052"/>
      <c r="CB787" s="1053"/>
      <c r="CC787" s="1053"/>
      <c r="CD787" s="1053"/>
      <c r="CE787" s="1053"/>
      <c r="CF787" s="1053"/>
      <c r="CG787" s="1053"/>
      <c r="CH787" s="1053"/>
      <c r="CI787" s="1123"/>
      <c r="CJ787" s="1123"/>
      <c r="CK787" s="1123"/>
      <c r="CL787" s="1123"/>
      <c r="CM787" s="1123"/>
      <c r="CN787" s="1123"/>
      <c r="CO787" s="1123"/>
      <c r="CP787" s="1123"/>
      <c r="CQ787" s="1123"/>
      <c r="CR787" s="1123"/>
      <c r="CS787" s="1123"/>
      <c r="CT787" s="1123"/>
      <c r="CU787" s="1123"/>
      <c r="CV787" s="1123"/>
      <c r="CW787" s="1123"/>
      <c r="CX787" s="1123"/>
      <c r="CY787" s="1123"/>
      <c r="CZ787" s="1114"/>
      <c r="DA787" s="1114"/>
      <c r="DB787" s="1114"/>
      <c r="DC787" s="1114"/>
      <c r="DD787" s="1114"/>
      <c r="DE787" s="1114"/>
      <c r="DF787" s="1114"/>
      <c r="DG787" s="1114"/>
      <c r="DH787" s="1114"/>
      <c r="DI787" s="1114"/>
      <c r="DJ787" s="1114"/>
      <c r="DK787" s="1114"/>
      <c r="DL787" s="1114"/>
      <c r="DM787" s="1114"/>
      <c r="DN787" s="1114"/>
      <c r="DO787" s="1114"/>
      <c r="DP787" s="1114"/>
      <c r="DQ787" s="1114"/>
      <c r="DR787" s="1114"/>
      <c r="DS787" s="1114"/>
      <c r="DT787" s="1114"/>
      <c r="DU787" s="1114"/>
      <c r="DV787" s="1115"/>
      <c r="DW787" s="1116"/>
      <c r="DX787" s="1116"/>
      <c r="DY787" s="1116"/>
      <c r="DZ787" s="1116"/>
      <c r="EA787" s="1116"/>
      <c r="EB787" s="1116"/>
      <c r="EC787" s="1116"/>
      <c r="ED787" s="1116"/>
      <c r="EE787" s="1116"/>
      <c r="EF787" s="1116"/>
      <c r="EG787" s="1116"/>
      <c r="EH787" s="1116"/>
      <c r="EI787" s="1116"/>
      <c r="EJ787" s="1116"/>
      <c r="EK787" s="1116"/>
      <c r="EL787" s="1116"/>
      <c r="EM787" s="1116"/>
      <c r="EN787" s="1116"/>
      <c r="EO787" s="1116"/>
      <c r="EP787" s="1116"/>
      <c r="EQ787" s="1116"/>
      <c r="ER787" s="1116"/>
      <c r="ES787" s="1116"/>
    </row>
    <row r="788" spans="1:149" ht="15" customHeight="1">
      <c r="A788" s="1185">
        <v>773</v>
      </c>
      <c r="B788" s="1041"/>
      <c r="C788" s="1050"/>
      <c r="D788" s="1050"/>
      <c r="E788" s="1050"/>
      <c r="F788" s="1049"/>
      <c r="G788" s="1457"/>
      <c r="H788" s="1049"/>
      <c r="I788" s="1049"/>
      <c r="J788" s="1050"/>
      <c r="K788" s="1050"/>
      <c r="L788" s="1043"/>
      <c r="M788" s="1051"/>
      <c r="N788" s="1051"/>
      <c r="O788" s="1052"/>
      <c r="P788" s="1051"/>
      <c r="Q788" s="1051"/>
      <c r="R788" s="1052"/>
      <c r="S788" s="1051"/>
      <c r="T788" s="1051"/>
      <c r="U788" s="1052"/>
      <c r="V788" s="1051"/>
      <c r="W788" s="1051"/>
      <c r="X788" s="1052"/>
      <c r="Y788" s="1053"/>
      <c r="Z788" s="1051"/>
      <c r="AA788" s="1051"/>
      <c r="AB788" s="1052"/>
      <c r="AC788" s="1051"/>
      <c r="AD788" s="1051"/>
      <c r="AE788" s="1052"/>
      <c r="AF788" s="1051"/>
      <c r="AG788" s="1051"/>
      <c r="AH788" s="1051"/>
      <c r="AI788" s="1051"/>
      <c r="AJ788" s="1052"/>
      <c r="AK788" s="1051"/>
      <c r="AL788" s="1051"/>
      <c r="AM788" s="1052"/>
      <c r="AN788" s="1051"/>
      <c r="AO788" s="1051"/>
      <c r="AP788" s="1052"/>
      <c r="AQ788" s="1051"/>
      <c r="AR788" s="1051"/>
      <c r="AS788" s="1052"/>
      <c r="AT788" s="1051"/>
      <c r="AU788" s="1051"/>
      <c r="AV788" s="1052"/>
      <c r="AW788" s="1051"/>
      <c r="AX788" s="1051"/>
      <c r="AY788" s="1053"/>
      <c r="AZ788" s="1051"/>
      <c r="BA788" s="1051"/>
      <c r="BB788" s="1053"/>
      <c r="BC788" s="1051"/>
      <c r="BD788" s="1051"/>
      <c r="BE788" s="1053"/>
      <c r="BF788" s="1051"/>
      <c r="BG788" s="1051"/>
      <c r="BH788" s="1053"/>
      <c r="BI788" s="1052"/>
      <c r="BJ788" s="1052"/>
      <c r="BK788" s="1052"/>
      <c r="BL788" s="1052"/>
      <c r="BM788" s="1052"/>
      <c r="BN788" s="1054"/>
      <c r="BO788" s="1076">
        <f t="shared" si="23"/>
        <v>0</v>
      </c>
      <c r="BP788" s="1051"/>
      <c r="BQ788" s="1052"/>
      <c r="BR788" s="1054"/>
      <c r="BS788" s="1053"/>
      <c r="BT788" s="1051"/>
      <c r="BU788" s="1051"/>
      <c r="BV788" s="1051"/>
      <c r="BW788" s="1052"/>
      <c r="BX788" s="1052"/>
      <c r="BY788" s="1052"/>
      <c r="BZ788" s="1052"/>
      <c r="CA788" s="1052"/>
      <c r="CB788" s="1053"/>
      <c r="CC788" s="1053"/>
      <c r="CD788" s="1053"/>
      <c r="CE788" s="1053"/>
      <c r="CF788" s="1053"/>
      <c r="CG788" s="1053"/>
      <c r="CH788" s="1053"/>
      <c r="CI788" s="1123"/>
      <c r="CJ788" s="1123"/>
      <c r="CK788" s="1123"/>
      <c r="CL788" s="1123"/>
      <c r="CM788" s="1123"/>
      <c r="CN788" s="1123"/>
      <c r="CO788" s="1123"/>
      <c r="CP788" s="1123"/>
      <c r="CQ788" s="1123"/>
      <c r="CR788" s="1123"/>
      <c r="CS788" s="1123"/>
      <c r="CT788" s="1123"/>
      <c r="CU788" s="1123"/>
      <c r="CV788" s="1123"/>
      <c r="CW788" s="1123"/>
      <c r="CX788" s="1123"/>
      <c r="CY788" s="1123"/>
      <c r="CZ788" s="1114"/>
      <c r="DA788" s="1114"/>
      <c r="DB788" s="1114"/>
      <c r="DC788" s="1114"/>
      <c r="DD788" s="1114"/>
      <c r="DE788" s="1114"/>
      <c r="DF788" s="1114"/>
      <c r="DG788" s="1114"/>
      <c r="DH788" s="1114"/>
      <c r="DI788" s="1114"/>
      <c r="DJ788" s="1114"/>
      <c r="DK788" s="1114"/>
      <c r="DL788" s="1114"/>
      <c r="DM788" s="1114"/>
      <c r="DN788" s="1114"/>
      <c r="DO788" s="1114"/>
      <c r="DP788" s="1114"/>
      <c r="DQ788" s="1114"/>
      <c r="DR788" s="1114"/>
      <c r="DS788" s="1114"/>
      <c r="DT788" s="1114"/>
      <c r="DU788" s="1114"/>
      <c r="DV788" s="1115"/>
      <c r="DW788" s="1116"/>
      <c r="DX788" s="1116"/>
      <c r="DY788" s="1116"/>
      <c r="DZ788" s="1116"/>
      <c r="EA788" s="1116"/>
      <c r="EB788" s="1116"/>
      <c r="EC788" s="1116"/>
      <c r="ED788" s="1116"/>
      <c r="EE788" s="1116"/>
      <c r="EF788" s="1116"/>
      <c r="EG788" s="1116"/>
      <c r="EH788" s="1116"/>
      <c r="EI788" s="1116"/>
      <c r="EJ788" s="1116"/>
      <c r="EK788" s="1116"/>
      <c r="EL788" s="1116"/>
      <c r="EM788" s="1116"/>
      <c r="EN788" s="1116"/>
      <c r="EO788" s="1116"/>
      <c r="EP788" s="1116"/>
      <c r="EQ788" s="1116"/>
      <c r="ER788" s="1116"/>
      <c r="ES788" s="1116"/>
    </row>
    <row r="789" spans="1:149" ht="15" customHeight="1">
      <c r="A789" s="1185">
        <v>774</v>
      </c>
      <c r="B789" s="1041"/>
      <c r="C789" s="1050"/>
      <c r="D789" s="1050"/>
      <c r="E789" s="1050"/>
      <c r="F789" s="1049"/>
      <c r="G789" s="1457"/>
      <c r="H789" s="1049"/>
      <c r="I789" s="1049"/>
      <c r="J789" s="1050"/>
      <c r="K789" s="1050"/>
      <c r="L789" s="1043"/>
      <c r="M789" s="1051"/>
      <c r="N789" s="1051"/>
      <c r="O789" s="1052"/>
      <c r="P789" s="1051"/>
      <c r="Q789" s="1051"/>
      <c r="R789" s="1052"/>
      <c r="S789" s="1051"/>
      <c r="T789" s="1051"/>
      <c r="U789" s="1052"/>
      <c r="V789" s="1051"/>
      <c r="W789" s="1051"/>
      <c r="X789" s="1052"/>
      <c r="Y789" s="1053"/>
      <c r="Z789" s="1051"/>
      <c r="AA789" s="1051"/>
      <c r="AB789" s="1052"/>
      <c r="AC789" s="1051"/>
      <c r="AD789" s="1051"/>
      <c r="AE789" s="1052"/>
      <c r="AF789" s="1051"/>
      <c r="AG789" s="1051"/>
      <c r="AH789" s="1051"/>
      <c r="AI789" s="1051"/>
      <c r="AJ789" s="1052"/>
      <c r="AK789" s="1051"/>
      <c r="AL789" s="1051"/>
      <c r="AM789" s="1052"/>
      <c r="AN789" s="1051"/>
      <c r="AO789" s="1051"/>
      <c r="AP789" s="1052"/>
      <c r="AQ789" s="1051"/>
      <c r="AR789" s="1051"/>
      <c r="AS789" s="1052"/>
      <c r="AT789" s="1051"/>
      <c r="AU789" s="1051"/>
      <c r="AV789" s="1052"/>
      <c r="AW789" s="1051"/>
      <c r="AX789" s="1051"/>
      <c r="AY789" s="1053"/>
      <c r="AZ789" s="1051"/>
      <c r="BA789" s="1051"/>
      <c r="BB789" s="1053"/>
      <c r="BC789" s="1051"/>
      <c r="BD789" s="1051"/>
      <c r="BE789" s="1053"/>
      <c r="BF789" s="1051"/>
      <c r="BG789" s="1051"/>
      <c r="BH789" s="1053"/>
      <c r="BI789" s="1052"/>
      <c r="BJ789" s="1052"/>
      <c r="BK789" s="1052"/>
      <c r="BL789" s="1052"/>
      <c r="BM789" s="1052"/>
      <c r="BN789" s="1054"/>
      <c r="BO789" s="1076">
        <f t="shared" si="23"/>
        <v>0</v>
      </c>
      <c r="BP789" s="1051"/>
      <c r="BQ789" s="1052"/>
      <c r="BR789" s="1054"/>
      <c r="BS789" s="1053"/>
      <c r="BT789" s="1051"/>
      <c r="BU789" s="1051"/>
      <c r="BV789" s="1051"/>
      <c r="BW789" s="1052"/>
      <c r="BX789" s="1052"/>
      <c r="BY789" s="1052"/>
      <c r="BZ789" s="1052"/>
      <c r="CA789" s="1052"/>
      <c r="CB789" s="1053"/>
      <c r="CC789" s="1053"/>
      <c r="CD789" s="1053"/>
      <c r="CE789" s="1053"/>
      <c r="CF789" s="1053"/>
      <c r="CG789" s="1053"/>
      <c r="CH789" s="1053"/>
      <c r="CI789" s="1123"/>
      <c r="CJ789" s="1123"/>
      <c r="CK789" s="1123"/>
      <c r="CL789" s="1123"/>
      <c r="CM789" s="1123"/>
      <c r="CN789" s="1123"/>
      <c r="CO789" s="1123"/>
      <c r="CP789" s="1123"/>
      <c r="CQ789" s="1123"/>
      <c r="CR789" s="1123"/>
      <c r="CS789" s="1123"/>
      <c r="CT789" s="1123"/>
      <c r="CU789" s="1123"/>
      <c r="CV789" s="1123"/>
      <c r="CW789" s="1123"/>
      <c r="CX789" s="1123"/>
      <c r="CY789" s="1123"/>
      <c r="CZ789" s="1114"/>
      <c r="DA789" s="1114"/>
      <c r="DB789" s="1114"/>
      <c r="DC789" s="1114"/>
      <c r="DD789" s="1114"/>
      <c r="DE789" s="1114"/>
      <c r="DF789" s="1114"/>
      <c r="DG789" s="1114"/>
      <c r="DH789" s="1114"/>
      <c r="DI789" s="1114"/>
      <c r="DJ789" s="1114"/>
      <c r="DK789" s="1114"/>
      <c r="DL789" s="1114"/>
      <c r="DM789" s="1114"/>
      <c r="DN789" s="1114"/>
      <c r="DO789" s="1114"/>
      <c r="DP789" s="1114"/>
      <c r="DQ789" s="1114"/>
      <c r="DR789" s="1114"/>
      <c r="DS789" s="1114"/>
      <c r="DT789" s="1114"/>
      <c r="DU789" s="1114"/>
      <c r="DV789" s="1115"/>
      <c r="DW789" s="1116"/>
      <c r="DX789" s="1116"/>
      <c r="DY789" s="1116"/>
      <c r="DZ789" s="1116"/>
      <c r="EA789" s="1116"/>
      <c r="EB789" s="1116"/>
      <c r="EC789" s="1116"/>
      <c r="ED789" s="1116"/>
      <c r="EE789" s="1116"/>
      <c r="EF789" s="1116"/>
      <c r="EG789" s="1116"/>
      <c r="EH789" s="1116"/>
      <c r="EI789" s="1116"/>
      <c r="EJ789" s="1116"/>
      <c r="EK789" s="1116"/>
      <c r="EL789" s="1116"/>
      <c r="EM789" s="1116"/>
      <c r="EN789" s="1116"/>
      <c r="EO789" s="1116"/>
      <c r="EP789" s="1116"/>
      <c r="EQ789" s="1116"/>
      <c r="ER789" s="1116"/>
      <c r="ES789" s="1116"/>
    </row>
    <row r="790" spans="1:149" ht="15" customHeight="1">
      <c r="A790" s="1185">
        <v>775</v>
      </c>
      <c r="B790" s="1041"/>
      <c r="C790" s="1050"/>
      <c r="D790" s="1050"/>
      <c r="E790" s="1050"/>
      <c r="F790" s="1049"/>
      <c r="G790" s="1457"/>
      <c r="H790" s="1049"/>
      <c r="I790" s="1049"/>
      <c r="J790" s="1050"/>
      <c r="K790" s="1050"/>
      <c r="L790" s="1043"/>
      <c r="M790" s="1051"/>
      <c r="N790" s="1051"/>
      <c r="O790" s="1052"/>
      <c r="P790" s="1051"/>
      <c r="Q790" s="1051"/>
      <c r="R790" s="1052"/>
      <c r="S790" s="1051"/>
      <c r="T790" s="1051"/>
      <c r="U790" s="1052"/>
      <c r="V790" s="1051"/>
      <c r="W790" s="1051"/>
      <c r="X790" s="1052"/>
      <c r="Y790" s="1053"/>
      <c r="Z790" s="1051"/>
      <c r="AA790" s="1051"/>
      <c r="AB790" s="1052"/>
      <c r="AC790" s="1051"/>
      <c r="AD790" s="1051"/>
      <c r="AE790" s="1052"/>
      <c r="AF790" s="1051"/>
      <c r="AG790" s="1051"/>
      <c r="AH790" s="1051"/>
      <c r="AI790" s="1051"/>
      <c r="AJ790" s="1052"/>
      <c r="AK790" s="1051"/>
      <c r="AL790" s="1051"/>
      <c r="AM790" s="1052"/>
      <c r="AN790" s="1051"/>
      <c r="AO790" s="1051"/>
      <c r="AP790" s="1052"/>
      <c r="AQ790" s="1051"/>
      <c r="AR790" s="1051"/>
      <c r="AS790" s="1052"/>
      <c r="AT790" s="1051"/>
      <c r="AU790" s="1051"/>
      <c r="AV790" s="1052"/>
      <c r="AW790" s="1051"/>
      <c r="AX790" s="1051"/>
      <c r="AY790" s="1053"/>
      <c r="AZ790" s="1051"/>
      <c r="BA790" s="1051"/>
      <c r="BB790" s="1053"/>
      <c r="BC790" s="1051"/>
      <c r="BD790" s="1051"/>
      <c r="BE790" s="1053"/>
      <c r="BF790" s="1051"/>
      <c r="BG790" s="1051"/>
      <c r="BH790" s="1053"/>
      <c r="BI790" s="1052"/>
      <c r="BJ790" s="1052"/>
      <c r="BK790" s="1052"/>
      <c r="BL790" s="1052"/>
      <c r="BM790" s="1052"/>
      <c r="BN790" s="1054"/>
      <c r="BO790" s="1076">
        <f t="shared" si="23"/>
        <v>0</v>
      </c>
      <c r="BP790" s="1051"/>
      <c r="BQ790" s="1052"/>
      <c r="BR790" s="1054"/>
      <c r="BS790" s="1053"/>
      <c r="BT790" s="1051"/>
      <c r="BU790" s="1051"/>
      <c r="BV790" s="1051"/>
      <c r="BW790" s="1052"/>
      <c r="BX790" s="1052"/>
      <c r="BY790" s="1052"/>
      <c r="BZ790" s="1052"/>
      <c r="CA790" s="1052"/>
      <c r="CB790" s="1053"/>
      <c r="CC790" s="1053"/>
      <c r="CD790" s="1053"/>
      <c r="CE790" s="1053"/>
      <c r="CF790" s="1053"/>
      <c r="CG790" s="1053"/>
      <c r="CH790" s="1053"/>
      <c r="CI790" s="1123"/>
      <c r="CJ790" s="1123"/>
      <c r="CK790" s="1123"/>
      <c r="CL790" s="1123"/>
      <c r="CM790" s="1123"/>
      <c r="CN790" s="1123"/>
      <c r="CO790" s="1123"/>
      <c r="CP790" s="1123"/>
      <c r="CQ790" s="1123"/>
      <c r="CR790" s="1123"/>
      <c r="CS790" s="1123"/>
      <c r="CT790" s="1123"/>
      <c r="CU790" s="1123"/>
      <c r="CV790" s="1123"/>
      <c r="CW790" s="1123"/>
      <c r="CX790" s="1123"/>
      <c r="CY790" s="1123"/>
      <c r="CZ790" s="1114"/>
      <c r="DA790" s="1114"/>
      <c r="DB790" s="1114"/>
      <c r="DC790" s="1114"/>
      <c r="DD790" s="1114"/>
      <c r="DE790" s="1114"/>
      <c r="DF790" s="1114"/>
      <c r="DG790" s="1114"/>
      <c r="DH790" s="1114"/>
      <c r="DI790" s="1114"/>
      <c r="DJ790" s="1114"/>
      <c r="DK790" s="1114"/>
      <c r="DL790" s="1114"/>
      <c r="DM790" s="1114"/>
      <c r="DN790" s="1114"/>
      <c r="DO790" s="1114"/>
      <c r="DP790" s="1114"/>
      <c r="DQ790" s="1114"/>
      <c r="DR790" s="1114"/>
      <c r="DS790" s="1114"/>
      <c r="DT790" s="1114"/>
      <c r="DU790" s="1114"/>
      <c r="DV790" s="1115"/>
      <c r="DW790" s="1116"/>
      <c r="DX790" s="1116"/>
      <c r="DY790" s="1116"/>
      <c r="DZ790" s="1116"/>
      <c r="EA790" s="1116"/>
      <c r="EB790" s="1116"/>
      <c r="EC790" s="1116"/>
      <c r="ED790" s="1116"/>
      <c r="EE790" s="1116"/>
      <c r="EF790" s="1116"/>
      <c r="EG790" s="1116"/>
      <c r="EH790" s="1116"/>
      <c r="EI790" s="1116"/>
      <c r="EJ790" s="1116"/>
      <c r="EK790" s="1116"/>
      <c r="EL790" s="1116"/>
      <c r="EM790" s="1116"/>
      <c r="EN790" s="1116"/>
      <c r="EO790" s="1116"/>
      <c r="EP790" s="1116"/>
      <c r="EQ790" s="1116"/>
      <c r="ER790" s="1116"/>
      <c r="ES790" s="1116"/>
    </row>
    <row r="791" spans="1:149" ht="15" customHeight="1">
      <c r="A791" s="1185">
        <v>776</v>
      </c>
      <c r="B791" s="1041"/>
      <c r="C791" s="1050"/>
      <c r="D791" s="1050"/>
      <c r="E791" s="1050"/>
      <c r="F791" s="1049"/>
      <c r="G791" s="1457"/>
      <c r="H791" s="1049"/>
      <c r="I791" s="1049"/>
      <c r="J791" s="1050"/>
      <c r="K791" s="1050"/>
      <c r="L791" s="1043"/>
      <c r="M791" s="1051"/>
      <c r="N791" s="1051"/>
      <c r="O791" s="1052"/>
      <c r="P791" s="1051"/>
      <c r="Q791" s="1051"/>
      <c r="R791" s="1052"/>
      <c r="S791" s="1051"/>
      <c r="T791" s="1051"/>
      <c r="U791" s="1052"/>
      <c r="V791" s="1051"/>
      <c r="W791" s="1051"/>
      <c r="X791" s="1052"/>
      <c r="Y791" s="1053"/>
      <c r="Z791" s="1051"/>
      <c r="AA791" s="1051"/>
      <c r="AB791" s="1052"/>
      <c r="AC791" s="1051"/>
      <c r="AD791" s="1051"/>
      <c r="AE791" s="1052"/>
      <c r="AF791" s="1051"/>
      <c r="AG791" s="1051"/>
      <c r="AH791" s="1051"/>
      <c r="AI791" s="1051"/>
      <c r="AJ791" s="1052"/>
      <c r="AK791" s="1051"/>
      <c r="AL791" s="1051"/>
      <c r="AM791" s="1052"/>
      <c r="AN791" s="1051"/>
      <c r="AO791" s="1051"/>
      <c r="AP791" s="1052"/>
      <c r="AQ791" s="1051"/>
      <c r="AR791" s="1051"/>
      <c r="AS791" s="1052"/>
      <c r="AT791" s="1051"/>
      <c r="AU791" s="1051"/>
      <c r="AV791" s="1052"/>
      <c r="AW791" s="1051"/>
      <c r="AX791" s="1051"/>
      <c r="AY791" s="1053"/>
      <c r="AZ791" s="1051"/>
      <c r="BA791" s="1051"/>
      <c r="BB791" s="1053"/>
      <c r="BC791" s="1051"/>
      <c r="BD791" s="1051"/>
      <c r="BE791" s="1053"/>
      <c r="BF791" s="1051"/>
      <c r="BG791" s="1051"/>
      <c r="BH791" s="1053"/>
      <c r="BI791" s="1052"/>
      <c r="BJ791" s="1052"/>
      <c r="BK791" s="1052"/>
      <c r="BL791" s="1052"/>
      <c r="BM791" s="1052"/>
      <c r="BN791" s="1054"/>
      <c r="BO791" s="1076">
        <f t="shared" si="23"/>
        <v>0</v>
      </c>
      <c r="BP791" s="1051"/>
      <c r="BQ791" s="1052"/>
      <c r="BR791" s="1054"/>
      <c r="BS791" s="1053"/>
      <c r="BT791" s="1051"/>
      <c r="BU791" s="1051"/>
      <c r="BV791" s="1051"/>
      <c r="BW791" s="1052"/>
      <c r="BX791" s="1052"/>
      <c r="BY791" s="1052"/>
      <c r="BZ791" s="1052"/>
      <c r="CA791" s="1052"/>
      <c r="CB791" s="1053"/>
      <c r="CC791" s="1053"/>
      <c r="CD791" s="1053"/>
      <c r="CE791" s="1053"/>
      <c r="CF791" s="1053"/>
      <c r="CG791" s="1053"/>
      <c r="CH791" s="1053"/>
      <c r="CI791" s="1123"/>
      <c r="CJ791" s="1123"/>
      <c r="CK791" s="1123"/>
      <c r="CL791" s="1123"/>
      <c r="CM791" s="1123"/>
      <c r="CN791" s="1123"/>
      <c r="CO791" s="1123"/>
      <c r="CP791" s="1123"/>
      <c r="CQ791" s="1123"/>
      <c r="CR791" s="1123"/>
      <c r="CS791" s="1123"/>
      <c r="CT791" s="1123"/>
      <c r="CU791" s="1123"/>
      <c r="CV791" s="1123"/>
      <c r="CW791" s="1123"/>
      <c r="CX791" s="1123"/>
      <c r="CY791" s="1123"/>
      <c r="CZ791" s="1114"/>
      <c r="DA791" s="1114"/>
      <c r="DB791" s="1114"/>
      <c r="DC791" s="1114"/>
      <c r="DD791" s="1114"/>
      <c r="DE791" s="1114"/>
      <c r="DF791" s="1114"/>
      <c r="DG791" s="1114"/>
      <c r="DH791" s="1114"/>
      <c r="DI791" s="1114"/>
      <c r="DJ791" s="1114"/>
      <c r="DK791" s="1114"/>
      <c r="DL791" s="1114"/>
      <c r="DM791" s="1114"/>
      <c r="DN791" s="1114"/>
      <c r="DO791" s="1114"/>
      <c r="DP791" s="1114"/>
      <c r="DQ791" s="1114"/>
      <c r="DR791" s="1114"/>
      <c r="DS791" s="1114"/>
      <c r="DT791" s="1114"/>
      <c r="DU791" s="1114"/>
      <c r="DV791" s="1115"/>
      <c r="DW791" s="1116"/>
      <c r="DX791" s="1116"/>
      <c r="DY791" s="1116"/>
      <c r="DZ791" s="1116"/>
      <c r="EA791" s="1116"/>
      <c r="EB791" s="1116"/>
      <c r="EC791" s="1116"/>
      <c r="ED791" s="1116"/>
      <c r="EE791" s="1116"/>
      <c r="EF791" s="1116"/>
      <c r="EG791" s="1116"/>
      <c r="EH791" s="1116"/>
      <c r="EI791" s="1116"/>
      <c r="EJ791" s="1116"/>
      <c r="EK791" s="1116"/>
      <c r="EL791" s="1116"/>
      <c r="EM791" s="1116"/>
      <c r="EN791" s="1116"/>
      <c r="EO791" s="1116"/>
      <c r="EP791" s="1116"/>
      <c r="EQ791" s="1116"/>
      <c r="ER791" s="1116"/>
      <c r="ES791" s="1116"/>
    </row>
    <row r="792" spans="1:149" ht="15" customHeight="1">
      <c r="A792" s="1185">
        <v>777</v>
      </c>
      <c r="B792" s="1041"/>
      <c r="C792" s="1050"/>
      <c r="D792" s="1050"/>
      <c r="E792" s="1050"/>
      <c r="F792" s="1049"/>
      <c r="G792" s="1457"/>
      <c r="H792" s="1049"/>
      <c r="I792" s="1049"/>
      <c r="J792" s="1050"/>
      <c r="K792" s="1050"/>
      <c r="L792" s="1043"/>
      <c r="M792" s="1051"/>
      <c r="N792" s="1051"/>
      <c r="O792" s="1052"/>
      <c r="P792" s="1051"/>
      <c r="Q792" s="1051"/>
      <c r="R792" s="1052"/>
      <c r="S792" s="1051"/>
      <c r="T792" s="1051"/>
      <c r="U792" s="1052"/>
      <c r="V792" s="1051"/>
      <c r="W792" s="1051"/>
      <c r="X792" s="1052"/>
      <c r="Y792" s="1053"/>
      <c r="Z792" s="1051"/>
      <c r="AA792" s="1051"/>
      <c r="AB792" s="1052"/>
      <c r="AC792" s="1051"/>
      <c r="AD792" s="1051"/>
      <c r="AE792" s="1052"/>
      <c r="AF792" s="1051"/>
      <c r="AG792" s="1051"/>
      <c r="AH792" s="1051"/>
      <c r="AI792" s="1051"/>
      <c r="AJ792" s="1052"/>
      <c r="AK792" s="1051"/>
      <c r="AL792" s="1051"/>
      <c r="AM792" s="1052"/>
      <c r="AN792" s="1051"/>
      <c r="AO792" s="1051"/>
      <c r="AP792" s="1052"/>
      <c r="AQ792" s="1051"/>
      <c r="AR792" s="1051"/>
      <c r="AS792" s="1052"/>
      <c r="AT792" s="1051"/>
      <c r="AU792" s="1051"/>
      <c r="AV792" s="1052"/>
      <c r="AW792" s="1051"/>
      <c r="AX792" s="1051"/>
      <c r="AY792" s="1053"/>
      <c r="AZ792" s="1051"/>
      <c r="BA792" s="1051"/>
      <c r="BB792" s="1053"/>
      <c r="BC792" s="1051"/>
      <c r="BD792" s="1051"/>
      <c r="BE792" s="1053"/>
      <c r="BF792" s="1051"/>
      <c r="BG792" s="1051"/>
      <c r="BH792" s="1053"/>
      <c r="BI792" s="1052"/>
      <c r="BJ792" s="1052"/>
      <c r="BK792" s="1052"/>
      <c r="BL792" s="1052"/>
      <c r="BM792" s="1052"/>
      <c r="BN792" s="1054"/>
      <c r="BO792" s="1076">
        <f t="shared" si="23"/>
        <v>0</v>
      </c>
      <c r="BP792" s="1051"/>
      <c r="BQ792" s="1052"/>
      <c r="BR792" s="1054"/>
      <c r="BS792" s="1053"/>
      <c r="BT792" s="1051"/>
      <c r="BU792" s="1051"/>
      <c r="BV792" s="1051"/>
      <c r="BW792" s="1052"/>
      <c r="BX792" s="1052"/>
      <c r="BY792" s="1052"/>
      <c r="BZ792" s="1052"/>
      <c r="CA792" s="1052"/>
      <c r="CB792" s="1053"/>
      <c r="CC792" s="1053"/>
      <c r="CD792" s="1053"/>
      <c r="CE792" s="1053"/>
      <c r="CF792" s="1053"/>
      <c r="CG792" s="1053"/>
      <c r="CH792" s="1053"/>
      <c r="CI792" s="1123"/>
      <c r="CJ792" s="1123"/>
      <c r="CK792" s="1123"/>
      <c r="CL792" s="1123"/>
      <c r="CM792" s="1123"/>
      <c r="CN792" s="1123"/>
      <c r="CO792" s="1123"/>
      <c r="CP792" s="1123"/>
      <c r="CQ792" s="1123"/>
      <c r="CR792" s="1123"/>
      <c r="CS792" s="1123"/>
      <c r="CT792" s="1123"/>
      <c r="CU792" s="1123"/>
      <c r="CV792" s="1123"/>
      <c r="CW792" s="1123"/>
      <c r="CX792" s="1123"/>
      <c r="CY792" s="1123"/>
      <c r="CZ792" s="1114"/>
      <c r="DA792" s="1114"/>
      <c r="DB792" s="1114"/>
      <c r="DC792" s="1114"/>
      <c r="DD792" s="1114"/>
      <c r="DE792" s="1114"/>
      <c r="DF792" s="1114"/>
      <c r="DG792" s="1114"/>
      <c r="DH792" s="1114"/>
      <c r="DI792" s="1114"/>
      <c r="DJ792" s="1114"/>
      <c r="DK792" s="1114"/>
      <c r="DL792" s="1114"/>
      <c r="DM792" s="1114"/>
      <c r="DN792" s="1114"/>
      <c r="DO792" s="1114"/>
      <c r="DP792" s="1114"/>
      <c r="DQ792" s="1114"/>
      <c r="DR792" s="1114"/>
      <c r="DS792" s="1114"/>
      <c r="DT792" s="1114"/>
      <c r="DU792" s="1114"/>
      <c r="DV792" s="1115"/>
      <c r="DW792" s="1116"/>
      <c r="DX792" s="1116"/>
      <c r="DY792" s="1116"/>
      <c r="DZ792" s="1116"/>
      <c r="EA792" s="1116"/>
      <c r="EB792" s="1116"/>
      <c r="EC792" s="1116"/>
      <c r="ED792" s="1116"/>
      <c r="EE792" s="1116"/>
      <c r="EF792" s="1116"/>
      <c r="EG792" s="1116"/>
      <c r="EH792" s="1116"/>
      <c r="EI792" s="1116"/>
      <c r="EJ792" s="1116"/>
      <c r="EK792" s="1116"/>
      <c r="EL792" s="1116"/>
      <c r="EM792" s="1116"/>
      <c r="EN792" s="1116"/>
      <c r="EO792" s="1116"/>
      <c r="EP792" s="1116"/>
      <c r="EQ792" s="1116"/>
      <c r="ER792" s="1116"/>
      <c r="ES792" s="1116"/>
    </row>
    <row r="793" spans="1:149" ht="15" customHeight="1">
      <c r="A793" s="1185">
        <v>778</v>
      </c>
      <c r="B793" s="1041"/>
      <c r="C793" s="1050"/>
      <c r="D793" s="1050"/>
      <c r="E793" s="1050"/>
      <c r="F793" s="1049"/>
      <c r="G793" s="1457"/>
      <c r="H793" s="1049"/>
      <c r="I793" s="1049"/>
      <c r="J793" s="1050"/>
      <c r="K793" s="1050"/>
      <c r="L793" s="1043"/>
      <c r="M793" s="1051"/>
      <c r="N793" s="1051"/>
      <c r="O793" s="1052"/>
      <c r="P793" s="1051"/>
      <c r="Q793" s="1051"/>
      <c r="R793" s="1052"/>
      <c r="S793" s="1051"/>
      <c r="T793" s="1051"/>
      <c r="U793" s="1052"/>
      <c r="V793" s="1051"/>
      <c r="W793" s="1051"/>
      <c r="X793" s="1052"/>
      <c r="Y793" s="1053"/>
      <c r="Z793" s="1051"/>
      <c r="AA793" s="1051"/>
      <c r="AB793" s="1052"/>
      <c r="AC793" s="1051"/>
      <c r="AD793" s="1051"/>
      <c r="AE793" s="1052"/>
      <c r="AF793" s="1051"/>
      <c r="AG793" s="1051"/>
      <c r="AH793" s="1051"/>
      <c r="AI793" s="1051"/>
      <c r="AJ793" s="1052"/>
      <c r="AK793" s="1051"/>
      <c r="AL793" s="1051"/>
      <c r="AM793" s="1052"/>
      <c r="AN793" s="1051"/>
      <c r="AO793" s="1051"/>
      <c r="AP793" s="1052"/>
      <c r="AQ793" s="1051"/>
      <c r="AR793" s="1051"/>
      <c r="AS793" s="1052"/>
      <c r="AT793" s="1051"/>
      <c r="AU793" s="1051"/>
      <c r="AV793" s="1052"/>
      <c r="AW793" s="1051"/>
      <c r="AX793" s="1051"/>
      <c r="AY793" s="1053"/>
      <c r="AZ793" s="1051"/>
      <c r="BA793" s="1051"/>
      <c r="BB793" s="1053"/>
      <c r="BC793" s="1051"/>
      <c r="BD793" s="1051"/>
      <c r="BE793" s="1053"/>
      <c r="BF793" s="1051"/>
      <c r="BG793" s="1051"/>
      <c r="BH793" s="1053"/>
      <c r="BI793" s="1052"/>
      <c r="BJ793" s="1052"/>
      <c r="BK793" s="1052"/>
      <c r="BL793" s="1052"/>
      <c r="BM793" s="1052"/>
      <c r="BN793" s="1054"/>
      <c r="BO793" s="1076">
        <f t="shared" si="23"/>
        <v>0</v>
      </c>
      <c r="BP793" s="1051"/>
      <c r="BQ793" s="1052"/>
      <c r="BR793" s="1054"/>
      <c r="BS793" s="1053"/>
      <c r="BT793" s="1051"/>
      <c r="BU793" s="1051"/>
      <c r="BV793" s="1051"/>
      <c r="BW793" s="1052"/>
      <c r="BX793" s="1052"/>
      <c r="BY793" s="1052"/>
      <c r="BZ793" s="1052"/>
      <c r="CA793" s="1052"/>
      <c r="CB793" s="1053"/>
      <c r="CC793" s="1053"/>
      <c r="CD793" s="1053"/>
      <c r="CE793" s="1053"/>
      <c r="CF793" s="1053"/>
      <c r="CG793" s="1053"/>
      <c r="CH793" s="1053"/>
      <c r="CI793" s="1123"/>
      <c r="CJ793" s="1123"/>
      <c r="CK793" s="1123"/>
      <c r="CL793" s="1123"/>
      <c r="CM793" s="1123"/>
      <c r="CN793" s="1123"/>
      <c r="CO793" s="1123"/>
      <c r="CP793" s="1123"/>
      <c r="CQ793" s="1123"/>
      <c r="CR793" s="1123"/>
      <c r="CS793" s="1123"/>
      <c r="CT793" s="1123"/>
      <c r="CU793" s="1123"/>
      <c r="CV793" s="1123"/>
      <c r="CW793" s="1123"/>
      <c r="CX793" s="1123"/>
      <c r="CY793" s="1123"/>
      <c r="CZ793" s="1114"/>
      <c r="DA793" s="1114"/>
      <c r="DB793" s="1114"/>
      <c r="DC793" s="1114"/>
      <c r="DD793" s="1114"/>
      <c r="DE793" s="1114"/>
      <c r="DF793" s="1114"/>
      <c r="DG793" s="1114"/>
      <c r="DH793" s="1114"/>
      <c r="DI793" s="1114"/>
      <c r="DJ793" s="1114"/>
      <c r="DK793" s="1114"/>
      <c r="DL793" s="1114"/>
      <c r="DM793" s="1114"/>
      <c r="DN793" s="1114"/>
      <c r="DO793" s="1114"/>
      <c r="DP793" s="1114"/>
      <c r="DQ793" s="1114"/>
      <c r="DR793" s="1114"/>
      <c r="DS793" s="1114"/>
      <c r="DT793" s="1114"/>
      <c r="DU793" s="1114"/>
      <c r="DV793" s="1115"/>
      <c r="DW793" s="1116"/>
      <c r="DX793" s="1116"/>
      <c r="DY793" s="1116"/>
      <c r="DZ793" s="1116"/>
      <c r="EA793" s="1116"/>
      <c r="EB793" s="1116"/>
      <c r="EC793" s="1116"/>
      <c r="ED793" s="1116"/>
      <c r="EE793" s="1116"/>
      <c r="EF793" s="1116"/>
      <c r="EG793" s="1116"/>
      <c r="EH793" s="1116"/>
      <c r="EI793" s="1116"/>
      <c r="EJ793" s="1116"/>
      <c r="EK793" s="1116"/>
      <c r="EL793" s="1116"/>
      <c r="EM793" s="1116"/>
      <c r="EN793" s="1116"/>
      <c r="EO793" s="1116"/>
      <c r="EP793" s="1116"/>
      <c r="EQ793" s="1116"/>
      <c r="ER793" s="1116"/>
      <c r="ES793" s="1116"/>
    </row>
    <row r="794" spans="1:149" ht="15" customHeight="1">
      <c r="A794" s="1185">
        <v>779</v>
      </c>
      <c r="B794" s="1041"/>
      <c r="C794" s="1050"/>
      <c r="D794" s="1050"/>
      <c r="E794" s="1050"/>
      <c r="F794" s="1049"/>
      <c r="G794" s="1457"/>
      <c r="H794" s="1049"/>
      <c r="I794" s="1049"/>
      <c r="J794" s="1050"/>
      <c r="K794" s="1050"/>
      <c r="L794" s="1043"/>
      <c r="M794" s="1051"/>
      <c r="N794" s="1051"/>
      <c r="O794" s="1052"/>
      <c r="P794" s="1051"/>
      <c r="Q794" s="1051"/>
      <c r="R794" s="1052"/>
      <c r="S794" s="1051"/>
      <c r="T794" s="1051"/>
      <c r="U794" s="1052"/>
      <c r="V794" s="1051"/>
      <c r="W794" s="1051"/>
      <c r="X794" s="1052"/>
      <c r="Y794" s="1053"/>
      <c r="Z794" s="1051"/>
      <c r="AA794" s="1051"/>
      <c r="AB794" s="1052"/>
      <c r="AC794" s="1051"/>
      <c r="AD794" s="1051"/>
      <c r="AE794" s="1052"/>
      <c r="AF794" s="1051"/>
      <c r="AG794" s="1051"/>
      <c r="AH794" s="1051"/>
      <c r="AI794" s="1051"/>
      <c r="AJ794" s="1052"/>
      <c r="AK794" s="1051"/>
      <c r="AL794" s="1051"/>
      <c r="AM794" s="1052"/>
      <c r="AN794" s="1051"/>
      <c r="AO794" s="1051"/>
      <c r="AP794" s="1052"/>
      <c r="AQ794" s="1051"/>
      <c r="AR794" s="1051"/>
      <c r="AS794" s="1052"/>
      <c r="AT794" s="1051"/>
      <c r="AU794" s="1051"/>
      <c r="AV794" s="1052"/>
      <c r="AW794" s="1051"/>
      <c r="AX794" s="1051"/>
      <c r="AY794" s="1053"/>
      <c r="AZ794" s="1051"/>
      <c r="BA794" s="1051"/>
      <c r="BB794" s="1053"/>
      <c r="BC794" s="1051"/>
      <c r="BD794" s="1051"/>
      <c r="BE794" s="1053"/>
      <c r="BF794" s="1051"/>
      <c r="BG794" s="1051"/>
      <c r="BH794" s="1053"/>
      <c r="BI794" s="1052"/>
      <c r="BJ794" s="1052"/>
      <c r="BK794" s="1052"/>
      <c r="BL794" s="1052"/>
      <c r="BM794" s="1052"/>
      <c r="BN794" s="1054"/>
      <c r="BO794" s="1076">
        <f t="shared" si="23"/>
        <v>0</v>
      </c>
      <c r="BP794" s="1051"/>
      <c r="BQ794" s="1052"/>
      <c r="BR794" s="1054"/>
      <c r="BS794" s="1053"/>
      <c r="BT794" s="1051"/>
      <c r="BU794" s="1051"/>
      <c r="BV794" s="1051"/>
      <c r="BW794" s="1052"/>
      <c r="BX794" s="1052"/>
      <c r="BY794" s="1052"/>
      <c r="BZ794" s="1052"/>
      <c r="CA794" s="1052"/>
      <c r="CB794" s="1053"/>
      <c r="CC794" s="1053"/>
      <c r="CD794" s="1053"/>
      <c r="CE794" s="1053"/>
      <c r="CF794" s="1053"/>
      <c r="CG794" s="1053"/>
      <c r="CH794" s="1053"/>
      <c r="CI794" s="1123"/>
      <c r="CJ794" s="1123"/>
      <c r="CK794" s="1123"/>
      <c r="CL794" s="1123"/>
      <c r="CM794" s="1123"/>
      <c r="CN794" s="1123"/>
      <c r="CO794" s="1123"/>
      <c r="CP794" s="1123"/>
      <c r="CQ794" s="1123"/>
      <c r="CR794" s="1123"/>
      <c r="CS794" s="1123"/>
      <c r="CT794" s="1123"/>
      <c r="CU794" s="1123"/>
      <c r="CV794" s="1123"/>
      <c r="CW794" s="1123"/>
      <c r="CX794" s="1123"/>
      <c r="CY794" s="1123"/>
      <c r="CZ794" s="1114"/>
      <c r="DA794" s="1114"/>
      <c r="DB794" s="1114"/>
      <c r="DC794" s="1114"/>
      <c r="DD794" s="1114"/>
      <c r="DE794" s="1114"/>
      <c r="DF794" s="1114"/>
      <c r="DG794" s="1114"/>
      <c r="DH794" s="1114"/>
      <c r="DI794" s="1114"/>
      <c r="DJ794" s="1114"/>
      <c r="DK794" s="1114"/>
      <c r="DL794" s="1114"/>
      <c r="DM794" s="1114"/>
      <c r="DN794" s="1114"/>
      <c r="DO794" s="1114"/>
      <c r="DP794" s="1114"/>
      <c r="DQ794" s="1114"/>
      <c r="DR794" s="1114"/>
      <c r="DS794" s="1114"/>
      <c r="DT794" s="1114"/>
      <c r="DU794" s="1114"/>
      <c r="DV794" s="1115"/>
      <c r="DW794" s="1116"/>
      <c r="DX794" s="1116"/>
      <c r="DY794" s="1116"/>
      <c r="DZ794" s="1116"/>
      <c r="EA794" s="1116"/>
      <c r="EB794" s="1116"/>
      <c r="EC794" s="1116"/>
      <c r="ED794" s="1116"/>
      <c r="EE794" s="1116"/>
      <c r="EF794" s="1116"/>
      <c r="EG794" s="1116"/>
      <c r="EH794" s="1116"/>
      <c r="EI794" s="1116"/>
      <c r="EJ794" s="1116"/>
      <c r="EK794" s="1116"/>
      <c r="EL794" s="1116"/>
      <c r="EM794" s="1116"/>
      <c r="EN794" s="1116"/>
      <c r="EO794" s="1116"/>
      <c r="EP794" s="1116"/>
      <c r="EQ794" s="1116"/>
      <c r="ER794" s="1116"/>
      <c r="ES794" s="1116"/>
    </row>
    <row r="795" spans="1:149" ht="15" customHeight="1">
      <c r="A795" s="1185">
        <v>780</v>
      </c>
      <c r="B795" s="1041"/>
      <c r="C795" s="1050"/>
      <c r="D795" s="1050"/>
      <c r="E795" s="1050"/>
      <c r="F795" s="1049"/>
      <c r="G795" s="1457"/>
      <c r="H795" s="1049"/>
      <c r="I795" s="1049"/>
      <c r="J795" s="1050"/>
      <c r="K795" s="1050"/>
      <c r="L795" s="1043"/>
      <c r="M795" s="1051"/>
      <c r="N795" s="1051"/>
      <c r="O795" s="1052"/>
      <c r="P795" s="1051"/>
      <c r="Q795" s="1051"/>
      <c r="R795" s="1052"/>
      <c r="S795" s="1051"/>
      <c r="T795" s="1051"/>
      <c r="U795" s="1052"/>
      <c r="V795" s="1051"/>
      <c r="W795" s="1051"/>
      <c r="X795" s="1052"/>
      <c r="Y795" s="1053"/>
      <c r="Z795" s="1051"/>
      <c r="AA795" s="1051"/>
      <c r="AB795" s="1052"/>
      <c r="AC795" s="1051"/>
      <c r="AD795" s="1051"/>
      <c r="AE795" s="1052"/>
      <c r="AF795" s="1051"/>
      <c r="AG795" s="1051"/>
      <c r="AH795" s="1051"/>
      <c r="AI795" s="1051"/>
      <c r="AJ795" s="1052"/>
      <c r="AK795" s="1051"/>
      <c r="AL795" s="1051"/>
      <c r="AM795" s="1052"/>
      <c r="AN795" s="1051"/>
      <c r="AO795" s="1051"/>
      <c r="AP795" s="1052"/>
      <c r="AQ795" s="1051"/>
      <c r="AR795" s="1051"/>
      <c r="AS795" s="1052"/>
      <c r="AT795" s="1051"/>
      <c r="AU795" s="1051"/>
      <c r="AV795" s="1052"/>
      <c r="AW795" s="1051"/>
      <c r="AX795" s="1051"/>
      <c r="AY795" s="1053"/>
      <c r="AZ795" s="1051"/>
      <c r="BA795" s="1051"/>
      <c r="BB795" s="1053"/>
      <c r="BC795" s="1051"/>
      <c r="BD795" s="1051"/>
      <c r="BE795" s="1053"/>
      <c r="BF795" s="1051"/>
      <c r="BG795" s="1051"/>
      <c r="BH795" s="1053"/>
      <c r="BI795" s="1052"/>
      <c r="BJ795" s="1052"/>
      <c r="BK795" s="1052"/>
      <c r="BL795" s="1052"/>
      <c r="BM795" s="1052"/>
      <c r="BN795" s="1054"/>
      <c r="BO795" s="1076">
        <f t="shared" si="23"/>
        <v>0</v>
      </c>
      <c r="BP795" s="1051"/>
      <c r="BQ795" s="1052"/>
      <c r="BR795" s="1054"/>
      <c r="BS795" s="1053"/>
      <c r="BT795" s="1051"/>
      <c r="BU795" s="1051"/>
      <c r="BV795" s="1051"/>
      <c r="BW795" s="1052"/>
      <c r="BX795" s="1052"/>
      <c r="BY795" s="1052"/>
      <c r="BZ795" s="1052"/>
      <c r="CA795" s="1052"/>
      <c r="CB795" s="1053"/>
      <c r="CC795" s="1053"/>
      <c r="CD795" s="1053"/>
      <c r="CE795" s="1053"/>
      <c r="CF795" s="1053"/>
      <c r="CG795" s="1053"/>
      <c r="CH795" s="1053"/>
      <c r="CI795" s="1123"/>
      <c r="CJ795" s="1123"/>
      <c r="CK795" s="1123"/>
      <c r="CL795" s="1123"/>
      <c r="CM795" s="1123"/>
      <c r="CN795" s="1123"/>
      <c r="CO795" s="1123"/>
      <c r="CP795" s="1123"/>
      <c r="CQ795" s="1123"/>
      <c r="CR795" s="1123"/>
      <c r="CS795" s="1123"/>
      <c r="CT795" s="1123"/>
      <c r="CU795" s="1123"/>
      <c r="CV795" s="1123"/>
      <c r="CW795" s="1123"/>
      <c r="CX795" s="1123"/>
      <c r="CY795" s="1123"/>
      <c r="CZ795" s="1114"/>
      <c r="DA795" s="1114"/>
      <c r="DB795" s="1114"/>
      <c r="DC795" s="1114"/>
      <c r="DD795" s="1114"/>
      <c r="DE795" s="1114"/>
      <c r="DF795" s="1114"/>
      <c r="DG795" s="1114"/>
      <c r="DH795" s="1114"/>
      <c r="DI795" s="1114"/>
      <c r="DJ795" s="1114"/>
      <c r="DK795" s="1114"/>
      <c r="DL795" s="1114"/>
      <c r="DM795" s="1114"/>
      <c r="DN795" s="1114"/>
      <c r="DO795" s="1114"/>
      <c r="DP795" s="1114"/>
      <c r="DQ795" s="1114"/>
      <c r="DR795" s="1114"/>
      <c r="DS795" s="1114"/>
      <c r="DT795" s="1114"/>
      <c r="DU795" s="1114"/>
      <c r="DV795" s="1115"/>
      <c r="DW795" s="1116"/>
      <c r="DX795" s="1116"/>
      <c r="DY795" s="1116"/>
      <c r="DZ795" s="1116"/>
      <c r="EA795" s="1116"/>
      <c r="EB795" s="1116"/>
      <c r="EC795" s="1116"/>
      <c r="ED795" s="1116"/>
      <c r="EE795" s="1116"/>
      <c r="EF795" s="1116"/>
      <c r="EG795" s="1116"/>
      <c r="EH795" s="1116"/>
      <c r="EI795" s="1116"/>
      <c r="EJ795" s="1116"/>
      <c r="EK795" s="1116"/>
      <c r="EL795" s="1116"/>
      <c r="EM795" s="1116"/>
      <c r="EN795" s="1116"/>
      <c r="EO795" s="1116"/>
      <c r="EP795" s="1116"/>
      <c r="EQ795" s="1116"/>
      <c r="ER795" s="1116"/>
      <c r="ES795" s="1116"/>
    </row>
    <row r="796" spans="1:149" ht="15" customHeight="1">
      <c r="A796" s="1185">
        <v>781</v>
      </c>
      <c r="B796" s="1041"/>
      <c r="C796" s="1050"/>
      <c r="D796" s="1050"/>
      <c r="E796" s="1050"/>
      <c r="F796" s="1049"/>
      <c r="G796" s="1457"/>
      <c r="H796" s="1049"/>
      <c r="I796" s="1049"/>
      <c r="J796" s="1050"/>
      <c r="K796" s="1050"/>
      <c r="L796" s="1043"/>
      <c r="M796" s="1051"/>
      <c r="N796" s="1051"/>
      <c r="O796" s="1052"/>
      <c r="P796" s="1051"/>
      <c r="Q796" s="1051"/>
      <c r="R796" s="1052"/>
      <c r="S796" s="1051"/>
      <c r="T796" s="1051"/>
      <c r="U796" s="1052"/>
      <c r="V796" s="1051"/>
      <c r="W796" s="1051"/>
      <c r="X796" s="1052"/>
      <c r="Y796" s="1053"/>
      <c r="Z796" s="1051"/>
      <c r="AA796" s="1051"/>
      <c r="AB796" s="1052"/>
      <c r="AC796" s="1051"/>
      <c r="AD796" s="1051"/>
      <c r="AE796" s="1052"/>
      <c r="AF796" s="1051"/>
      <c r="AG796" s="1051"/>
      <c r="AH796" s="1051"/>
      <c r="AI796" s="1051"/>
      <c r="AJ796" s="1052"/>
      <c r="AK796" s="1051"/>
      <c r="AL796" s="1051"/>
      <c r="AM796" s="1052"/>
      <c r="AN796" s="1051"/>
      <c r="AO796" s="1051"/>
      <c r="AP796" s="1052"/>
      <c r="AQ796" s="1051"/>
      <c r="AR796" s="1051"/>
      <c r="AS796" s="1052"/>
      <c r="AT796" s="1051"/>
      <c r="AU796" s="1051"/>
      <c r="AV796" s="1052"/>
      <c r="AW796" s="1051"/>
      <c r="AX796" s="1051"/>
      <c r="AY796" s="1053"/>
      <c r="AZ796" s="1051"/>
      <c r="BA796" s="1051"/>
      <c r="BB796" s="1053"/>
      <c r="BC796" s="1051"/>
      <c r="BD796" s="1051"/>
      <c r="BE796" s="1053"/>
      <c r="BF796" s="1051"/>
      <c r="BG796" s="1051"/>
      <c r="BH796" s="1053"/>
      <c r="BI796" s="1052"/>
      <c r="BJ796" s="1052"/>
      <c r="BK796" s="1052"/>
      <c r="BL796" s="1052"/>
      <c r="BM796" s="1052"/>
      <c r="BN796" s="1054"/>
      <c r="BO796" s="1076">
        <f t="shared" si="23"/>
        <v>0</v>
      </c>
      <c r="BP796" s="1051"/>
      <c r="BQ796" s="1052"/>
      <c r="BR796" s="1054"/>
      <c r="BS796" s="1053"/>
      <c r="BT796" s="1051"/>
      <c r="BU796" s="1051"/>
      <c r="BV796" s="1051"/>
      <c r="BW796" s="1052"/>
      <c r="BX796" s="1052"/>
      <c r="BY796" s="1052"/>
      <c r="BZ796" s="1052"/>
      <c r="CA796" s="1052"/>
      <c r="CB796" s="1053"/>
      <c r="CC796" s="1053"/>
      <c r="CD796" s="1053"/>
      <c r="CE796" s="1053"/>
      <c r="CF796" s="1053"/>
      <c r="CG796" s="1053"/>
      <c r="CH796" s="1053"/>
      <c r="CI796" s="1123"/>
      <c r="CJ796" s="1123"/>
      <c r="CK796" s="1123"/>
      <c r="CL796" s="1123"/>
      <c r="CM796" s="1123"/>
      <c r="CN796" s="1123"/>
      <c r="CO796" s="1123"/>
      <c r="CP796" s="1123"/>
      <c r="CQ796" s="1123"/>
      <c r="CR796" s="1123"/>
      <c r="CS796" s="1123"/>
      <c r="CT796" s="1123"/>
      <c r="CU796" s="1123"/>
      <c r="CV796" s="1123"/>
      <c r="CW796" s="1123"/>
      <c r="CX796" s="1123"/>
      <c r="CY796" s="1123"/>
      <c r="CZ796" s="1114"/>
      <c r="DA796" s="1114"/>
      <c r="DB796" s="1114"/>
      <c r="DC796" s="1114"/>
      <c r="DD796" s="1114"/>
      <c r="DE796" s="1114"/>
      <c r="DF796" s="1114"/>
      <c r="DG796" s="1114"/>
      <c r="DH796" s="1114"/>
      <c r="DI796" s="1114"/>
      <c r="DJ796" s="1114"/>
      <c r="DK796" s="1114"/>
      <c r="DL796" s="1114"/>
      <c r="DM796" s="1114"/>
      <c r="DN796" s="1114"/>
      <c r="DO796" s="1114"/>
      <c r="DP796" s="1114"/>
      <c r="DQ796" s="1114"/>
      <c r="DR796" s="1114"/>
      <c r="DS796" s="1114"/>
      <c r="DT796" s="1114"/>
      <c r="DU796" s="1114"/>
      <c r="DV796" s="1115"/>
      <c r="DW796" s="1116"/>
      <c r="DX796" s="1116"/>
      <c r="DY796" s="1116"/>
      <c r="DZ796" s="1116"/>
      <c r="EA796" s="1116"/>
      <c r="EB796" s="1116"/>
      <c r="EC796" s="1116"/>
      <c r="ED796" s="1116"/>
      <c r="EE796" s="1116"/>
      <c r="EF796" s="1116"/>
      <c r="EG796" s="1116"/>
      <c r="EH796" s="1116"/>
      <c r="EI796" s="1116"/>
      <c r="EJ796" s="1116"/>
      <c r="EK796" s="1116"/>
      <c r="EL796" s="1116"/>
      <c r="EM796" s="1116"/>
      <c r="EN796" s="1116"/>
      <c r="EO796" s="1116"/>
      <c r="EP796" s="1116"/>
      <c r="EQ796" s="1116"/>
      <c r="ER796" s="1116"/>
      <c r="ES796" s="1116"/>
    </row>
    <row r="797" spans="1:149" ht="15" customHeight="1">
      <c r="A797" s="1185">
        <v>782</v>
      </c>
      <c r="B797" s="1041"/>
      <c r="C797" s="1050"/>
      <c r="D797" s="1050"/>
      <c r="E797" s="1050"/>
      <c r="F797" s="1049"/>
      <c r="G797" s="1457"/>
      <c r="H797" s="1049"/>
      <c r="I797" s="1049"/>
      <c r="J797" s="1050"/>
      <c r="K797" s="1050"/>
      <c r="L797" s="1043"/>
      <c r="M797" s="1051"/>
      <c r="N797" s="1051"/>
      <c r="O797" s="1052"/>
      <c r="P797" s="1051"/>
      <c r="Q797" s="1051"/>
      <c r="R797" s="1052"/>
      <c r="S797" s="1051"/>
      <c r="T797" s="1051"/>
      <c r="U797" s="1052"/>
      <c r="V797" s="1051"/>
      <c r="W797" s="1051"/>
      <c r="X797" s="1052"/>
      <c r="Y797" s="1053"/>
      <c r="Z797" s="1051"/>
      <c r="AA797" s="1051"/>
      <c r="AB797" s="1052"/>
      <c r="AC797" s="1051"/>
      <c r="AD797" s="1051"/>
      <c r="AE797" s="1052"/>
      <c r="AF797" s="1051"/>
      <c r="AG797" s="1051"/>
      <c r="AH797" s="1051"/>
      <c r="AI797" s="1051"/>
      <c r="AJ797" s="1052"/>
      <c r="AK797" s="1051"/>
      <c r="AL797" s="1051"/>
      <c r="AM797" s="1052"/>
      <c r="AN797" s="1051"/>
      <c r="AO797" s="1051"/>
      <c r="AP797" s="1052"/>
      <c r="AQ797" s="1051"/>
      <c r="AR797" s="1051"/>
      <c r="AS797" s="1052"/>
      <c r="AT797" s="1051"/>
      <c r="AU797" s="1051"/>
      <c r="AV797" s="1052"/>
      <c r="AW797" s="1051"/>
      <c r="AX797" s="1051"/>
      <c r="AY797" s="1053"/>
      <c r="AZ797" s="1051"/>
      <c r="BA797" s="1051"/>
      <c r="BB797" s="1053"/>
      <c r="BC797" s="1051"/>
      <c r="BD797" s="1051"/>
      <c r="BE797" s="1053"/>
      <c r="BF797" s="1051"/>
      <c r="BG797" s="1051"/>
      <c r="BH797" s="1053"/>
      <c r="BI797" s="1052"/>
      <c r="BJ797" s="1052"/>
      <c r="BK797" s="1052"/>
      <c r="BL797" s="1052"/>
      <c r="BM797" s="1052"/>
      <c r="BN797" s="1054"/>
      <c r="BO797" s="1076">
        <f t="shared" si="23"/>
        <v>0</v>
      </c>
      <c r="BP797" s="1051"/>
      <c r="BQ797" s="1052"/>
      <c r="BR797" s="1054"/>
      <c r="BS797" s="1053"/>
      <c r="BT797" s="1051"/>
      <c r="BU797" s="1051"/>
      <c r="BV797" s="1051"/>
      <c r="BW797" s="1052"/>
      <c r="BX797" s="1052"/>
      <c r="BY797" s="1052"/>
      <c r="BZ797" s="1052"/>
      <c r="CA797" s="1052"/>
      <c r="CB797" s="1053"/>
      <c r="CC797" s="1053"/>
      <c r="CD797" s="1053"/>
      <c r="CE797" s="1053"/>
      <c r="CF797" s="1053"/>
      <c r="CG797" s="1053"/>
      <c r="CH797" s="1053"/>
      <c r="CI797" s="1123"/>
      <c r="CJ797" s="1123"/>
      <c r="CK797" s="1123"/>
      <c r="CL797" s="1123"/>
      <c r="CM797" s="1123"/>
      <c r="CN797" s="1123"/>
      <c r="CO797" s="1123"/>
      <c r="CP797" s="1123"/>
      <c r="CQ797" s="1123"/>
      <c r="CR797" s="1123"/>
      <c r="CS797" s="1123"/>
      <c r="CT797" s="1123"/>
      <c r="CU797" s="1123"/>
      <c r="CV797" s="1123"/>
      <c r="CW797" s="1123"/>
      <c r="CX797" s="1123"/>
      <c r="CY797" s="1123"/>
      <c r="CZ797" s="1114"/>
      <c r="DA797" s="1114"/>
      <c r="DB797" s="1114"/>
      <c r="DC797" s="1114"/>
      <c r="DD797" s="1114"/>
      <c r="DE797" s="1114"/>
      <c r="DF797" s="1114"/>
      <c r="DG797" s="1114"/>
      <c r="DH797" s="1114"/>
      <c r="DI797" s="1114"/>
      <c r="DJ797" s="1114"/>
      <c r="DK797" s="1114"/>
      <c r="DL797" s="1114"/>
      <c r="DM797" s="1114"/>
      <c r="DN797" s="1114"/>
      <c r="DO797" s="1114"/>
      <c r="DP797" s="1114"/>
      <c r="DQ797" s="1114"/>
      <c r="DR797" s="1114"/>
      <c r="DS797" s="1114"/>
      <c r="DT797" s="1114"/>
      <c r="DU797" s="1114"/>
      <c r="DV797" s="1115"/>
      <c r="DW797" s="1116"/>
      <c r="DX797" s="1116"/>
      <c r="DY797" s="1116"/>
      <c r="DZ797" s="1116"/>
      <c r="EA797" s="1116"/>
      <c r="EB797" s="1116"/>
      <c r="EC797" s="1116"/>
      <c r="ED797" s="1116"/>
      <c r="EE797" s="1116"/>
      <c r="EF797" s="1116"/>
      <c r="EG797" s="1116"/>
      <c r="EH797" s="1116"/>
      <c r="EI797" s="1116"/>
      <c r="EJ797" s="1116"/>
      <c r="EK797" s="1116"/>
      <c r="EL797" s="1116"/>
      <c r="EM797" s="1116"/>
      <c r="EN797" s="1116"/>
      <c r="EO797" s="1116"/>
      <c r="EP797" s="1116"/>
      <c r="EQ797" s="1116"/>
      <c r="ER797" s="1116"/>
      <c r="ES797" s="1116"/>
    </row>
    <row r="798" spans="1:149" ht="15" customHeight="1">
      <c r="A798" s="1185">
        <v>783</v>
      </c>
      <c r="B798" s="1041"/>
      <c r="C798" s="1050"/>
      <c r="D798" s="1050"/>
      <c r="E798" s="1050"/>
      <c r="F798" s="1049"/>
      <c r="G798" s="1457"/>
      <c r="H798" s="1049"/>
      <c r="I798" s="1049"/>
      <c r="J798" s="1050"/>
      <c r="K798" s="1050"/>
      <c r="L798" s="1043"/>
      <c r="M798" s="1051"/>
      <c r="N798" s="1051"/>
      <c r="O798" s="1052"/>
      <c r="P798" s="1051"/>
      <c r="Q798" s="1051"/>
      <c r="R798" s="1052"/>
      <c r="S798" s="1051"/>
      <c r="T798" s="1051"/>
      <c r="U798" s="1052"/>
      <c r="V798" s="1051"/>
      <c r="W798" s="1051"/>
      <c r="X798" s="1052"/>
      <c r="Y798" s="1053"/>
      <c r="Z798" s="1051"/>
      <c r="AA798" s="1051"/>
      <c r="AB798" s="1052"/>
      <c r="AC798" s="1051"/>
      <c r="AD798" s="1051"/>
      <c r="AE798" s="1052"/>
      <c r="AF798" s="1051"/>
      <c r="AG798" s="1051"/>
      <c r="AH798" s="1051"/>
      <c r="AI798" s="1051"/>
      <c r="AJ798" s="1052"/>
      <c r="AK798" s="1051"/>
      <c r="AL798" s="1051"/>
      <c r="AM798" s="1052"/>
      <c r="AN798" s="1051"/>
      <c r="AO798" s="1051"/>
      <c r="AP798" s="1052"/>
      <c r="AQ798" s="1051"/>
      <c r="AR798" s="1051"/>
      <c r="AS798" s="1052"/>
      <c r="AT798" s="1051"/>
      <c r="AU798" s="1051"/>
      <c r="AV798" s="1052"/>
      <c r="AW798" s="1051"/>
      <c r="AX798" s="1051"/>
      <c r="AY798" s="1053"/>
      <c r="AZ798" s="1051"/>
      <c r="BA798" s="1051"/>
      <c r="BB798" s="1053"/>
      <c r="BC798" s="1051"/>
      <c r="BD798" s="1051"/>
      <c r="BE798" s="1053"/>
      <c r="BF798" s="1051"/>
      <c r="BG798" s="1051"/>
      <c r="BH798" s="1053"/>
      <c r="BI798" s="1052"/>
      <c r="BJ798" s="1052"/>
      <c r="BK798" s="1052"/>
      <c r="BL798" s="1052"/>
      <c r="BM798" s="1052"/>
      <c r="BN798" s="1054"/>
      <c r="BO798" s="1076">
        <f t="shared" si="23"/>
        <v>0</v>
      </c>
      <c r="BP798" s="1051"/>
      <c r="BQ798" s="1052"/>
      <c r="BR798" s="1054"/>
      <c r="BS798" s="1053"/>
      <c r="BT798" s="1051"/>
      <c r="BU798" s="1051"/>
      <c r="BV798" s="1051"/>
      <c r="BW798" s="1052"/>
      <c r="BX798" s="1052"/>
      <c r="BY798" s="1052"/>
      <c r="BZ798" s="1052"/>
      <c r="CA798" s="1052"/>
      <c r="CB798" s="1053"/>
      <c r="CC798" s="1053"/>
      <c r="CD798" s="1053"/>
      <c r="CE798" s="1053"/>
      <c r="CF798" s="1053"/>
      <c r="CG798" s="1053"/>
      <c r="CH798" s="1053"/>
      <c r="CI798" s="1123"/>
      <c r="CJ798" s="1123"/>
      <c r="CK798" s="1123"/>
      <c r="CL798" s="1123"/>
      <c r="CM798" s="1123"/>
      <c r="CN798" s="1123"/>
      <c r="CO798" s="1123"/>
      <c r="CP798" s="1123"/>
      <c r="CQ798" s="1123"/>
      <c r="CR798" s="1123"/>
      <c r="CS798" s="1123"/>
      <c r="CT798" s="1123"/>
      <c r="CU798" s="1123"/>
      <c r="CV798" s="1123"/>
      <c r="CW798" s="1123"/>
      <c r="CX798" s="1123"/>
      <c r="CY798" s="1123"/>
      <c r="CZ798" s="1114"/>
      <c r="DA798" s="1114"/>
      <c r="DB798" s="1114"/>
      <c r="DC798" s="1114"/>
      <c r="DD798" s="1114"/>
      <c r="DE798" s="1114"/>
      <c r="DF798" s="1114"/>
      <c r="DG798" s="1114"/>
      <c r="DH798" s="1114"/>
      <c r="DI798" s="1114"/>
      <c r="DJ798" s="1114"/>
      <c r="DK798" s="1114"/>
      <c r="DL798" s="1114"/>
      <c r="DM798" s="1114"/>
      <c r="DN798" s="1114"/>
      <c r="DO798" s="1114"/>
      <c r="DP798" s="1114"/>
      <c r="DQ798" s="1114"/>
      <c r="DR798" s="1114"/>
      <c r="DS798" s="1114"/>
      <c r="DT798" s="1114"/>
      <c r="DU798" s="1114"/>
      <c r="DV798" s="1115"/>
      <c r="DW798" s="1116"/>
      <c r="DX798" s="1116"/>
      <c r="DY798" s="1116"/>
      <c r="DZ798" s="1116"/>
      <c r="EA798" s="1116"/>
      <c r="EB798" s="1116"/>
      <c r="EC798" s="1116"/>
      <c r="ED798" s="1116"/>
      <c r="EE798" s="1116"/>
      <c r="EF798" s="1116"/>
      <c r="EG798" s="1116"/>
      <c r="EH798" s="1116"/>
      <c r="EI798" s="1116"/>
      <c r="EJ798" s="1116"/>
      <c r="EK798" s="1116"/>
      <c r="EL798" s="1116"/>
      <c r="EM798" s="1116"/>
      <c r="EN798" s="1116"/>
      <c r="EO798" s="1116"/>
      <c r="EP798" s="1116"/>
      <c r="EQ798" s="1116"/>
      <c r="ER798" s="1116"/>
      <c r="ES798" s="1116"/>
    </row>
    <row r="799" spans="1:149" ht="15" customHeight="1">
      <c r="A799" s="1185">
        <v>784</v>
      </c>
      <c r="B799" s="1041"/>
      <c r="C799" s="1050"/>
      <c r="D799" s="1050"/>
      <c r="E799" s="1050"/>
      <c r="F799" s="1049"/>
      <c r="G799" s="1457"/>
      <c r="H799" s="1049"/>
      <c r="I799" s="1049"/>
      <c r="J799" s="1050"/>
      <c r="K799" s="1050"/>
      <c r="L799" s="1043"/>
      <c r="M799" s="1051"/>
      <c r="N799" s="1051"/>
      <c r="O799" s="1052"/>
      <c r="P799" s="1051"/>
      <c r="Q799" s="1051"/>
      <c r="R799" s="1052"/>
      <c r="S799" s="1051"/>
      <c r="T799" s="1051"/>
      <c r="U799" s="1052"/>
      <c r="V799" s="1051"/>
      <c r="W799" s="1051"/>
      <c r="X799" s="1052"/>
      <c r="Y799" s="1053"/>
      <c r="Z799" s="1051"/>
      <c r="AA799" s="1051"/>
      <c r="AB799" s="1052"/>
      <c r="AC799" s="1051"/>
      <c r="AD799" s="1051"/>
      <c r="AE799" s="1052"/>
      <c r="AF799" s="1051"/>
      <c r="AG799" s="1051"/>
      <c r="AH799" s="1051"/>
      <c r="AI799" s="1051"/>
      <c r="AJ799" s="1052"/>
      <c r="AK799" s="1051"/>
      <c r="AL799" s="1051"/>
      <c r="AM799" s="1052"/>
      <c r="AN799" s="1051"/>
      <c r="AO799" s="1051"/>
      <c r="AP799" s="1052"/>
      <c r="AQ799" s="1051"/>
      <c r="AR799" s="1051"/>
      <c r="AS799" s="1052"/>
      <c r="AT799" s="1051"/>
      <c r="AU799" s="1051"/>
      <c r="AV799" s="1052"/>
      <c r="AW799" s="1051"/>
      <c r="AX799" s="1051"/>
      <c r="AY799" s="1053"/>
      <c r="AZ799" s="1051"/>
      <c r="BA799" s="1051"/>
      <c r="BB799" s="1053"/>
      <c r="BC799" s="1051"/>
      <c r="BD799" s="1051"/>
      <c r="BE799" s="1053"/>
      <c r="BF799" s="1051"/>
      <c r="BG799" s="1051"/>
      <c r="BH799" s="1053"/>
      <c r="BI799" s="1052"/>
      <c r="BJ799" s="1052"/>
      <c r="BK799" s="1052"/>
      <c r="BL799" s="1052"/>
      <c r="BM799" s="1052"/>
      <c r="BN799" s="1054"/>
      <c r="BO799" s="1076">
        <f t="shared" si="23"/>
        <v>0</v>
      </c>
      <c r="BP799" s="1051"/>
      <c r="BQ799" s="1052"/>
      <c r="BR799" s="1054"/>
      <c r="BS799" s="1053"/>
      <c r="BT799" s="1051"/>
      <c r="BU799" s="1051"/>
      <c r="BV799" s="1051"/>
      <c r="BW799" s="1052"/>
      <c r="BX799" s="1052"/>
      <c r="BY799" s="1052"/>
      <c r="BZ799" s="1052"/>
      <c r="CA799" s="1052"/>
      <c r="CB799" s="1053"/>
      <c r="CC799" s="1053"/>
      <c r="CD799" s="1053"/>
      <c r="CE799" s="1053"/>
      <c r="CF799" s="1053"/>
      <c r="CG799" s="1053"/>
      <c r="CH799" s="1053"/>
      <c r="CI799" s="1123"/>
      <c r="CJ799" s="1123"/>
      <c r="CK799" s="1123"/>
      <c r="CL799" s="1123"/>
      <c r="CM799" s="1123"/>
      <c r="CN799" s="1123"/>
      <c r="CO799" s="1123"/>
      <c r="CP799" s="1123"/>
      <c r="CQ799" s="1123"/>
      <c r="CR799" s="1123"/>
      <c r="CS799" s="1123"/>
      <c r="CT799" s="1123"/>
      <c r="CU799" s="1123"/>
      <c r="CV799" s="1123"/>
      <c r="CW799" s="1123"/>
      <c r="CX799" s="1123"/>
      <c r="CY799" s="1123"/>
      <c r="CZ799" s="1114"/>
      <c r="DA799" s="1114"/>
      <c r="DB799" s="1114"/>
      <c r="DC799" s="1114"/>
      <c r="DD799" s="1114"/>
      <c r="DE799" s="1114"/>
      <c r="DF799" s="1114"/>
      <c r="DG799" s="1114"/>
      <c r="DH799" s="1114"/>
      <c r="DI799" s="1114"/>
      <c r="DJ799" s="1114"/>
      <c r="DK799" s="1114"/>
      <c r="DL799" s="1114"/>
      <c r="DM799" s="1114"/>
      <c r="DN799" s="1114"/>
      <c r="DO799" s="1114"/>
      <c r="DP799" s="1114"/>
      <c r="DQ799" s="1114"/>
      <c r="DR799" s="1114"/>
      <c r="DS799" s="1114"/>
      <c r="DT799" s="1114"/>
      <c r="DU799" s="1114"/>
      <c r="DV799" s="1115"/>
      <c r="DW799" s="1116"/>
      <c r="DX799" s="1116"/>
      <c r="DY799" s="1116"/>
      <c r="DZ799" s="1116"/>
      <c r="EA799" s="1116"/>
      <c r="EB799" s="1116"/>
      <c r="EC799" s="1116"/>
      <c r="ED799" s="1116"/>
      <c r="EE799" s="1116"/>
      <c r="EF799" s="1116"/>
      <c r="EG799" s="1116"/>
      <c r="EH799" s="1116"/>
      <c r="EI799" s="1116"/>
      <c r="EJ799" s="1116"/>
      <c r="EK799" s="1116"/>
      <c r="EL799" s="1116"/>
      <c r="EM799" s="1116"/>
      <c r="EN799" s="1116"/>
      <c r="EO799" s="1116"/>
      <c r="EP799" s="1116"/>
      <c r="EQ799" s="1116"/>
      <c r="ER799" s="1116"/>
      <c r="ES799" s="1116"/>
    </row>
    <row r="800" spans="1:149" ht="15" customHeight="1">
      <c r="A800" s="1185">
        <v>785</v>
      </c>
      <c r="B800" s="1041"/>
      <c r="C800" s="1050"/>
      <c r="D800" s="1050"/>
      <c r="E800" s="1050"/>
      <c r="F800" s="1049"/>
      <c r="G800" s="1457"/>
      <c r="H800" s="1049"/>
      <c r="I800" s="1049"/>
      <c r="J800" s="1050"/>
      <c r="K800" s="1050"/>
      <c r="L800" s="1043"/>
      <c r="M800" s="1051"/>
      <c r="N800" s="1051"/>
      <c r="O800" s="1052"/>
      <c r="P800" s="1051"/>
      <c r="Q800" s="1051"/>
      <c r="R800" s="1052"/>
      <c r="S800" s="1051"/>
      <c r="T800" s="1051"/>
      <c r="U800" s="1052"/>
      <c r="V800" s="1051"/>
      <c r="W800" s="1051"/>
      <c r="X800" s="1052"/>
      <c r="Y800" s="1053"/>
      <c r="Z800" s="1051"/>
      <c r="AA800" s="1051"/>
      <c r="AB800" s="1052"/>
      <c r="AC800" s="1051"/>
      <c r="AD800" s="1051"/>
      <c r="AE800" s="1052"/>
      <c r="AF800" s="1051"/>
      <c r="AG800" s="1051"/>
      <c r="AH800" s="1051"/>
      <c r="AI800" s="1051"/>
      <c r="AJ800" s="1052"/>
      <c r="AK800" s="1051"/>
      <c r="AL800" s="1051"/>
      <c r="AM800" s="1052"/>
      <c r="AN800" s="1051"/>
      <c r="AO800" s="1051"/>
      <c r="AP800" s="1052"/>
      <c r="AQ800" s="1051"/>
      <c r="AR800" s="1051"/>
      <c r="AS800" s="1052"/>
      <c r="AT800" s="1051"/>
      <c r="AU800" s="1051"/>
      <c r="AV800" s="1052"/>
      <c r="AW800" s="1051"/>
      <c r="AX800" s="1051"/>
      <c r="AY800" s="1053"/>
      <c r="AZ800" s="1051"/>
      <c r="BA800" s="1051"/>
      <c r="BB800" s="1053"/>
      <c r="BC800" s="1051"/>
      <c r="BD800" s="1051"/>
      <c r="BE800" s="1053"/>
      <c r="BF800" s="1051"/>
      <c r="BG800" s="1051"/>
      <c r="BH800" s="1053"/>
      <c r="BI800" s="1052"/>
      <c r="BJ800" s="1052"/>
      <c r="BK800" s="1052"/>
      <c r="BL800" s="1052"/>
      <c r="BM800" s="1052"/>
      <c r="BN800" s="1054"/>
      <c r="BO800" s="1076">
        <f t="shared" si="23"/>
        <v>0</v>
      </c>
      <c r="BP800" s="1051"/>
      <c r="BQ800" s="1052"/>
      <c r="BR800" s="1054"/>
      <c r="BS800" s="1053"/>
      <c r="BT800" s="1051"/>
      <c r="BU800" s="1051"/>
      <c r="BV800" s="1051"/>
      <c r="BW800" s="1052"/>
      <c r="BX800" s="1052"/>
      <c r="BY800" s="1052"/>
      <c r="BZ800" s="1052"/>
      <c r="CA800" s="1052"/>
      <c r="CB800" s="1053"/>
      <c r="CC800" s="1053"/>
      <c r="CD800" s="1053"/>
      <c r="CE800" s="1053"/>
      <c r="CF800" s="1053"/>
      <c r="CG800" s="1053"/>
      <c r="CH800" s="1053"/>
      <c r="CI800" s="1123"/>
      <c r="CJ800" s="1123"/>
      <c r="CK800" s="1123"/>
      <c r="CL800" s="1123"/>
      <c r="CM800" s="1123"/>
      <c r="CN800" s="1123"/>
      <c r="CO800" s="1123"/>
      <c r="CP800" s="1123"/>
      <c r="CQ800" s="1123"/>
      <c r="CR800" s="1123"/>
      <c r="CS800" s="1123"/>
      <c r="CT800" s="1123"/>
      <c r="CU800" s="1123"/>
      <c r="CV800" s="1123"/>
      <c r="CW800" s="1123"/>
      <c r="CX800" s="1123"/>
      <c r="CY800" s="1123"/>
      <c r="CZ800" s="1114"/>
      <c r="DA800" s="1114"/>
      <c r="DB800" s="1114"/>
      <c r="DC800" s="1114"/>
      <c r="DD800" s="1114"/>
      <c r="DE800" s="1114"/>
      <c r="DF800" s="1114"/>
      <c r="DG800" s="1114"/>
      <c r="DH800" s="1114"/>
      <c r="DI800" s="1114"/>
      <c r="DJ800" s="1114"/>
      <c r="DK800" s="1114"/>
      <c r="DL800" s="1114"/>
      <c r="DM800" s="1114"/>
      <c r="DN800" s="1114"/>
      <c r="DO800" s="1114"/>
      <c r="DP800" s="1114"/>
      <c r="DQ800" s="1114"/>
      <c r="DR800" s="1114"/>
      <c r="DS800" s="1114"/>
      <c r="DT800" s="1114"/>
      <c r="DU800" s="1114"/>
      <c r="DV800" s="1115"/>
      <c r="DW800" s="1116"/>
      <c r="DX800" s="1116"/>
      <c r="DY800" s="1116"/>
      <c r="DZ800" s="1116"/>
      <c r="EA800" s="1116"/>
      <c r="EB800" s="1116"/>
      <c r="EC800" s="1116"/>
      <c r="ED800" s="1116"/>
      <c r="EE800" s="1116"/>
      <c r="EF800" s="1116"/>
      <c r="EG800" s="1116"/>
      <c r="EH800" s="1116"/>
      <c r="EI800" s="1116"/>
      <c r="EJ800" s="1116"/>
      <c r="EK800" s="1116"/>
      <c r="EL800" s="1116"/>
      <c r="EM800" s="1116"/>
      <c r="EN800" s="1116"/>
      <c r="EO800" s="1116"/>
      <c r="EP800" s="1116"/>
      <c r="EQ800" s="1116"/>
      <c r="ER800" s="1116"/>
      <c r="ES800" s="1116"/>
    </row>
    <row r="801" spans="1:149" ht="15" customHeight="1">
      <c r="A801" s="1185">
        <v>786</v>
      </c>
      <c r="B801" s="1041"/>
      <c r="C801" s="1050"/>
      <c r="D801" s="1050"/>
      <c r="E801" s="1050"/>
      <c r="F801" s="1049"/>
      <c r="G801" s="1457"/>
      <c r="H801" s="1049"/>
      <c r="I801" s="1049"/>
      <c r="J801" s="1050"/>
      <c r="K801" s="1050"/>
      <c r="L801" s="1043"/>
      <c r="M801" s="1051"/>
      <c r="N801" s="1051"/>
      <c r="O801" s="1052"/>
      <c r="P801" s="1051"/>
      <c r="Q801" s="1051"/>
      <c r="R801" s="1052"/>
      <c r="S801" s="1051"/>
      <c r="T801" s="1051"/>
      <c r="U801" s="1052"/>
      <c r="V801" s="1051"/>
      <c r="W801" s="1051"/>
      <c r="X801" s="1052"/>
      <c r="Y801" s="1053"/>
      <c r="Z801" s="1051"/>
      <c r="AA801" s="1051"/>
      <c r="AB801" s="1052"/>
      <c r="AC801" s="1051"/>
      <c r="AD801" s="1051"/>
      <c r="AE801" s="1052"/>
      <c r="AF801" s="1051"/>
      <c r="AG801" s="1051"/>
      <c r="AH801" s="1051"/>
      <c r="AI801" s="1051"/>
      <c r="AJ801" s="1052"/>
      <c r="AK801" s="1051"/>
      <c r="AL801" s="1051"/>
      <c r="AM801" s="1052"/>
      <c r="AN801" s="1051"/>
      <c r="AO801" s="1051"/>
      <c r="AP801" s="1052"/>
      <c r="AQ801" s="1051"/>
      <c r="AR801" s="1051"/>
      <c r="AS801" s="1052"/>
      <c r="AT801" s="1051"/>
      <c r="AU801" s="1051"/>
      <c r="AV801" s="1052"/>
      <c r="AW801" s="1051"/>
      <c r="AX801" s="1051"/>
      <c r="AY801" s="1053"/>
      <c r="AZ801" s="1051"/>
      <c r="BA801" s="1051"/>
      <c r="BB801" s="1053"/>
      <c r="BC801" s="1051"/>
      <c r="BD801" s="1051"/>
      <c r="BE801" s="1053"/>
      <c r="BF801" s="1051"/>
      <c r="BG801" s="1051"/>
      <c r="BH801" s="1053"/>
      <c r="BI801" s="1052"/>
      <c r="BJ801" s="1052"/>
      <c r="BK801" s="1052"/>
      <c r="BL801" s="1052"/>
      <c r="BM801" s="1052"/>
      <c r="BN801" s="1054"/>
      <c r="BO801" s="1076">
        <f t="shared" si="23"/>
        <v>0</v>
      </c>
      <c r="BP801" s="1051"/>
      <c r="BQ801" s="1052"/>
      <c r="BR801" s="1054"/>
      <c r="BS801" s="1053"/>
      <c r="BT801" s="1051"/>
      <c r="BU801" s="1051"/>
      <c r="BV801" s="1051"/>
      <c r="BW801" s="1052"/>
      <c r="BX801" s="1052"/>
      <c r="BY801" s="1052"/>
      <c r="BZ801" s="1052"/>
      <c r="CA801" s="1052"/>
      <c r="CB801" s="1053"/>
      <c r="CC801" s="1053"/>
      <c r="CD801" s="1053"/>
      <c r="CE801" s="1053"/>
      <c r="CF801" s="1053"/>
      <c r="CG801" s="1053"/>
      <c r="CH801" s="1053"/>
      <c r="CI801" s="1123"/>
      <c r="CJ801" s="1123"/>
      <c r="CK801" s="1123"/>
      <c r="CL801" s="1123"/>
      <c r="CM801" s="1123"/>
      <c r="CN801" s="1123"/>
      <c r="CO801" s="1123"/>
      <c r="CP801" s="1123"/>
      <c r="CQ801" s="1123"/>
      <c r="CR801" s="1123"/>
      <c r="CS801" s="1123"/>
      <c r="CT801" s="1123"/>
      <c r="CU801" s="1123"/>
      <c r="CV801" s="1123"/>
      <c r="CW801" s="1123"/>
      <c r="CX801" s="1123"/>
      <c r="CY801" s="1123"/>
      <c r="CZ801" s="1114"/>
      <c r="DA801" s="1114"/>
      <c r="DB801" s="1114"/>
      <c r="DC801" s="1114"/>
      <c r="DD801" s="1114"/>
      <c r="DE801" s="1114"/>
      <c r="DF801" s="1114"/>
      <c r="DG801" s="1114"/>
      <c r="DH801" s="1114"/>
      <c r="DI801" s="1114"/>
      <c r="DJ801" s="1114"/>
      <c r="DK801" s="1114"/>
      <c r="DL801" s="1114"/>
      <c r="DM801" s="1114"/>
      <c r="DN801" s="1114"/>
      <c r="DO801" s="1114"/>
      <c r="DP801" s="1114"/>
      <c r="DQ801" s="1114"/>
      <c r="DR801" s="1114"/>
      <c r="DS801" s="1114"/>
      <c r="DT801" s="1114"/>
      <c r="DU801" s="1114"/>
      <c r="DV801" s="1115"/>
      <c r="DW801" s="1116"/>
      <c r="DX801" s="1116"/>
      <c r="DY801" s="1116"/>
      <c r="DZ801" s="1116"/>
      <c r="EA801" s="1116"/>
      <c r="EB801" s="1116"/>
      <c r="EC801" s="1116"/>
      <c r="ED801" s="1116"/>
      <c r="EE801" s="1116"/>
      <c r="EF801" s="1116"/>
      <c r="EG801" s="1116"/>
      <c r="EH801" s="1116"/>
      <c r="EI801" s="1116"/>
      <c r="EJ801" s="1116"/>
      <c r="EK801" s="1116"/>
      <c r="EL801" s="1116"/>
      <c r="EM801" s="1116"/>
      <c r="EN801" s="1116"/>
      <c r="EO801" s="1116"/>
      <c r="EP801" s="1116"/>
      <c r="EQ801" s="1116"/>
      <c r="ER801" s="1116"/>
      <c r="ES801" s="1116"/>
    </row>
    <row r="802" spans="1:149" ht="15" customHeight="1">
      <c r="A802" s="1185">
        <v>787</v>
      </c>
      <c r="B802" s="1041"/>
      <c r="C802" s="1050"/>
      <c r="D802" s="1050"/>
      <c r="E802" s="1050"/>
      <c r="F802" s="1049"/>
      <c r="G802" s="1457"/>
      <c r="H802" s="1049"/>
      <c r="I802" s="1049"/>
      <c r="J802" s="1050"/>
      <c r="K802" s="1050"/>
      <c r="L802" s="1043"/>
      <c r="M802" s="1051"/>
      <c r="N802" s="1051"/>
      <c r="O802" s="1052"/>
      <c r="P802" s="1051"/>
      <c r="Q802" s="1051"/>
      <c r="R802" s="1052"/>
      <c r="S802" s="1051"/>
      <c r="T802" s="1051"/>
      <c r="U802" s="1052"/>
      <c r="V802" s="1051"/>
      <c r="W802" s="1051"/>
      <c r="X802" s="1052"/>
      <c r="Y802" s="1053"/>
      <c r="Z802" s="1051"/>
      <c r="AA802" s="1051"/>
      <c r="AB802" s="1052"/>
      <c r="AC802" s="1051"/>
      <c r="AD802" s="1051"/>
      <c r="AE802" s="1052"/>
      <c r="AF802" s="1051"/>
      <c r="AG802" s="1051"/>
      <c r="AH802" s="1051"/>
      <c r="AI802" s="1051"/>
      <c r="AJ802" s="1052"/>
      <c r="AK802" s="1051"/>
      <c r="AL802" s="1051"/>
      <c r="AM802" s="1052"/>
      <c r="AN802" s="1051"/>
      <c r="AO802" s="1051"/>
      <c r="AP802" s="1052"/>
      <c r="AQ802" s="1051"/>
      <c r="AR802" s="1051"/>
      <c r="AS802" s="1052"/>
      <c r="AT802" s="1051"/>
      <c r="AU802" s="1051"/>
      <c r="AV802" s="1052"/>
      <c r="AW802" s="1051"/>
      <c r="AX802" s="1051"/>
      <c r="AY802" s="1053"/>
      <c r="AZ802" s="1051"/>
      <c r="BA802" s="1051"/>
      <c r="BB802" s="1053"/>
      <c r="BC802" s="1051"/>
      <c r="BD802" s="1051"/>
      <c r="BE802" s="1053"/>
      <c r="BF802" s="1051"/>
      <c r="BG802" s="1051"/>
      <c r="BH802" s="1053"/>
      <c r="BI802" s="1052"/>
      <c r="BJ802" s="1052"/>
      <c r="BK802" s="1052"/>
      <c r="BL802" s="1052"/>
      <c r="BM802" s="1052"/>
      <c r="BN802" s="1054"/>
      <c r="BO802" s="1076">
        <f t="shared" si="23"/>
        <v>0</v>
      </c>
      <c r="BP802" s="1051"/>
      <c r="BQ802" s="1052"/>
      <c r="BR802" s="1054"/>
      <c r="BS802" s="1053"/>
      <c r="BT802" s="1051"/>
      <c r="BU802" s="1051"/>
      <c r="BV802" s="1051"/>
      <c r="BW802" s="1052"/>
      <c r="BX802" s="1052"/>
      <c r="BY802" s="1052"/>
      <c r="BZ802" s="1052"/>
      <c r="CA802" s="1052"/>
      <c r="CB802" s="1053"/>
      <c r="CC802" s="1053"/>
      <c r="CD802" s="1053"/>
      <c r="CE802" s="1053"/>
      <c r="CF802" s="1053"/>
      <c r="CG802" s="1053"/>
      <c r="CH802" s="1053"/>
      <c r="CI802" s="1123"/>
      <c r="CJ802" s="1123"/>
      <c r="CK802" s="1123"/>
      <c r="CL802" s="1123"/>
      <c r="CM802" s="1123"/>
      <c r="CN802" s="1123"/>
      <c r="CO802" s="1123"/>
      <c r="CP802" s="1123"/>
      <c r="CQ802" s="1123"/>
      <c r="CR802" s="1123"/>
      <c r="CS802" s="1123"/>
      <c r="CT802" s="1123"/>
      <c r="CU802" s="1123"/>
      <c r="CV802" s="1123"/>
      <c r="CW802" s="1123"/>
      <c r="CX802" s="1123"/>
      <c r="CY802" s="1123"/>
      <c r="CZ802" s="1114"/>
      <c r="DA802" s="1114"/>
      <c r="DB802" s="1114"/>
      <c r="DC802" s="1114"/>
      <c r="DD802" s="1114"/>
      <c r="DE802" s="1114"/>
      <c r="DF802" s="1114"/>
      <c r="DG802" s="1114"/>
      <c r="DH802" s="1114"/>
      <c r="DI802" s="1114"/>
      <c r="DJ802" s="1114"/>
      <c r="DK802" s="1114"/>
      <c r="DL802" s="1114"/>
      <c r="DM802" s="1114"/>
      <c r="DN802" s="1114"/>
      <c r="DO802" s="1114"/>
      <c r="DP802" s="1114"/>
      <c r="DQ802" s="1114"/>
      <c r="DR802" s="1114"/>
      <c r="DS802" s="1114"/>
      <c r="DT802" s="1114"/>
      <c r="DU802" s="1114"/>
      <c r="DV802" s="1115"/>
      <c r="DW802" s="1116"/>
      <c r="DX802" s="1116"/>
      <c r="DY802" s="1116"/>
      <c r="DZ802" s="1116"/>
      <c r="EA802" s="1116"/>
      <c r="EB802" s="1116"/>
      <c r="EC802" s="1116"/>
      <c r="ED802" s="1116"/>
      <c r="EE802" s="1116"/>
      <c r="EF802" s="1116"/>
      <c r="EG802" s="1116"/>
      <c r="EH802" s="1116"/>
      <c r="EI802" s="1116"/>
      <c r="EJ802" s="1116"/>
      <c r="EK802" s="1116"/>
      <c r="EL802" s="1116"/>
      <c r="EM802" s="1116"/>
      <c r="EN802" s="1116"/>
      <c r="EO802" s="1116"/>
      <c r="EP802" s="1116"/>
      <c r="EQ802" s="1116"/>
      <c r="ER802" s="1116"/>
      <c r="ES802" s="1116"/>
    </row>
    <row r="803" spans="1:149" ht="15" customHeight="1">
      <c r="A803" s="1185">
        <v>788</v>
      </c>
      <c r="B803" s="1041"/>
      <c r="C803" s="1050"/>
      <c r="D803" s="1050"/>
      <c r="E803" s="1050"/>
      <c r="F803" s="1049"/>
      <c r="G803" s="1457"/>
      <c r="H803" s="1049"/>
      <c r="I803" s="1049"/>
      <c r="J803" s="1050"/>
      <c r="K803" s="1050"/>
      <c r="L803" s="1043"/>
      <c r="M803" s="1051"/>
      <c r="N803" s="1051"/>
      <c r="O803" s="1052"/>
      <c r="P803" s="1051"/>
      <c r="Q803" s="1051"/>
      <c r="R803" s="1052"/>
      <c r="S803" s="1051"/>
      <c r="T803" s="1051"/>
      <c r="U803" s="1052"/>
      <c r="V803" s="1051"/>
      <c r="W803" s="1051"/>
      <c r="X803" s="1052"/>
      <c r="Y803" s="1053"/>
      <c r="Z803" s="1051"/>
      <c r="AA803" s="1051"/>
      <c r="AB803" s="1052"/>
      <c r="AC803" s="1051"/>
      <c r="AD803" s="1051"/>
      <c r="AE803" s="1052"/>
      <c r="AF803" s="1051"/>
      <c r="AG803" s="1051"/>
      <c r="AH803" s="1051"/>
      <c r="AI803" s="1051"/>
      <c r="AJ803" s="1052"/>
      <c r="AK803" s="1051"/>
      <c r="AL803" s="1051"/>
      <c r="AM803" s="1052"/>
      <c r="AN803" s="1051"/>
      <c r="AO803" s="1051"/>
      <c r="AP803" s="1052"/>
      <c r="AQ803" s="1051"/>
      <c r="AR803" s="1051"/>
      <c r="AS803" s="1052"/>
      <c r="AT803" s="1051"/>
      <c r="AU803" s="1051"/>
      <c r="AV803" s="1052"/>
      <c r="AW803" s="1051"/>
      <c r="AX803" s="1051"/>
      <c r="AY803" s="1053"/>
      <c r="AZ803" s="1051"/>
      <c r="BA803" s="1051"/>
      <c r="BB803" s="1053"/>
      <c r="BC803" s="1051"/>
      <c r="BD803" s="1051"/>
      <c r="BE803" s="1053"/>
      <c r="BF803" s="1051"/>
      <c r="BG803" s="1051"/>
      <c r="BH803" s="1053"/>
      <c r="BI803" s="1052"/>
      <c r="BJ803" s="1052"/>
      <c r="BK803" s="1052"/>
      <c r="BL803" s="1052"/>
      <c r="BM803" s="1052"/>
      <c r="BN803" s="1054"/>
      <c r="BO803" s="1076">
        <f t="shared" si="23"/>
        <v>0</v>
      </c>
      <c r="BP803" s="1051"/>
      <c r="BQ803" s="1052"/>
      <c r="BR803" s="1054"/>
      <c r="BS803" s="1053"/>
      <c r="BT803" s="1051"/>
      <c r="BU803" s="1051"/>
      <c r="BV803" s="1051"/>
      <c r="BW803" s="1052"/>
      <c r="BX803" s="1052"/>
      <c r="BY803" s="1052"/>
      <c r="BZ803" s="1052"/>
      <c r="CA803" s="1052"/>
      <c r="CB803" s="1053"/>
      <c r="CC803" s="1053"/>
      <c r="CD803" s="1053"/>
      <c r="CE803" s="1053"/>
      <c r="CF803" s="1053"/>
      <c r="CG803" s="1053"/>
      <c r="CH803" s="1053"/>
      <c r="CI803" s="1123"/>
      <c r="CJ803" s="1123"/>
      <c r="CK803" s="1123"/>
      <c r="CL803" s="1123"/>
      <c r="CM803" s="1123"/>
      <c r="CN803" s="1123"/>
      <c r="CO803" s="1123"/>
      <c r="CP803" s="1123"/>
      <c r="CQ803" s="1123"/>
      <c r="CR803" s="1123"/>
      <c r="CS803" s="1123"/>
      <c r="CT803" s="1123"/>
      <c r="CU803" s="1123"/>
      <c r="CV803" s="1123"/>
      <c r="CW803" s="1123"/>
      <c r="CX803" s="1123"/>
      <c r="CY803" s="1123"/>
      <c r="CZ803" s="1114"/>
      <c r="DA803" s="1114"/>
      <c r="DB803" s="1114"/>
      <c r="DC803" s="1114"/>
      <c r="DD803" s="1114"/>
      <c r="DE803" s="1114"/>
      <c r="DF803" s="1114"/>
      <c r="DG803" s="1114"/>
      <c r="DH803" s="1114"/>
      <c r="DI803" s="1114"/>
      <c r="DJ803" s="1114"/>
      <c r="DK803" s="1114"/>
      <c r="DL803" s="1114"/>
      <c r="DM803" s="1114"/>
      <c r="DN803" s="1114"/>
      <c r="DO803" s="1114"/>
      <c r="DP803" s="1114"/>
      <c r="DQ803" s="1114"/>
      <c r="DR803" s="1114"/>
      <c r="DS803" s="1114"/>
      <c r="DT803" s="1114"/>
      <c r="DU803" s="1114"/>
      <c r="DV803" s="1115"/>
      <c r="DW803" s="1116"/>
      <c r="DX803" s="1116"/>
      <c r="DY803" s="1116"/>
      <c r="DZ803" s="1116"/>
      <c r="EA803" s="1116"/>
      <c r="EB803" s="1116"/>
      <c r="EC803" s="1116"/>
      <c r="ED803" s="1116"/>
      <c r="EE803" s="1116"/>
      <c r="EF803" s="1116"/>
      <c r="EG803" s="1116"/>
      <c r="EH803" s="1116"/>
      <c r="EI803" s="1116"/>
      <c r="EJ803" s="1116"/>
      <c r="EK803" s="1116"/>
      <c r="EL803" s="1116"/>
      <c r="EM803" s="1116"/>
      <c r="EN803" s="1116"/>
      <c r="EO803" s="1116"/>
      <c r="EP803" s="1116"/>
      <c r="EQ803" s="1116"/>
      <c r="ER803" s="1116"/>
      <c r="ES803" s="1116"/>
    </row>
    <row r="804" spans="1:149" ht="15" customHeight="1">
      <c r="A804" s="1185">
        <v>789</v>
      </c>
      <c r="B804" s="1041"/>
      <c r="C804" s="1050"/>
      <c r="D804" s="1050"/>
      <c r="E804" s="1050"/>
      <c r="F804" s="1049"/>
      <c r="G804" s="1457"/>
      <c r="H804" s="1049"/>
      <c r="I804" s="1049"/>
      <c r="J804" s="1050"/>
      <c r="K804" s="1050"/>
      <c r="L804" s="1043"/>
      <c r="M804" s="1051"/>
      <c r="N804" s="1051"/>
      <c r="O804" s="1052"/>
      <c r="P804" s="1051"/>
      <c r="Q804" s="1051"/>
      <c r="R804" s="1052"/>
      <c r="S804" s="1051"/>
      <c r="T804" s="1051"/>
      <c r="U804" s="1052"/>
      <c r="V804" s="1051"/>
      <c r="W804" s="1051"/>
      <c r="X804" s="1052"/>
      <c r="Y804" s="1053"/>
      <c r="Z804" s="1051"/>
      <c r="AA804" s="1051"/>
      <c r="AB804" s="1052"/>
      <c r="AC804" s="1051"/>
      <c r="AD804" s="1051"/>
      <c r="AE804" s="1052"/>
      <c r="AF804" s="1051"/>
      <c r="AG804" s="1051"/>
      <c r="AH804" s="1051"/>
      <c r="AI804" s="1051"/>
      <c r="AJ804" s="1052"/>
      <c r="AK804" s="1051"/>
      <c r="AL804" s="1051"/>
      <c r="AM804" s="1052"/>
      <c r="AN804" s="1051"/>
      <c r="AO804" s="1051"/>
      <c r="AP804" s="1052"/>
      <c r="AQ804" s="1051"/>
      <c r="AR804" s="1051"/>
      <c r="AS804" s="1052"/>
      <c r="AT804" s="1051"/>
      <c r="AU804" s="1051"/>
      <c r="AV804" s="1052"/>
      <c r="AW804" s="1051"/>
      <c r="AX804" s="1051"/>
      <c r="AY804" s="1053"/>
      <c r="AZ804" s="1051"/>
      <c r="BA804" s="1051"/>
      <c r="BB804" s="1053"/>
      <c r="BC804" s="1051"/>
      <c r="BD804" s="1051"/>
      <c r="BE804" s="1053"/>
      <c r="BF804" s="1051"/>
      <c r="BG804" s="1051"/>
      <c r="BH804" s="1053"/>
      <c r="BI804" s="1052"/>
      <c r="BJ804" s="1052"/>
      <c r="BK804" s="1052"/>
      <c r="BL804" s="1052"/>
      <c r="BM804" s="1052"/>
      <c r="BN804" s="1054"/>
      <c r="BO804" s="1076">
        <f t="shared" si="23"/>
        <v>0</v>
      </c>
      <c r="BP804" s="1051"/>
      <c r="BQ804" s="1052"/>
      <c r="BR804" s="1054"/>
      <c r="BS804" s="1053"/>
      <c r="BT804" s="1051"/>
      <c r="BU804" s="1051"/>
      <c r="BV804" s="1051"/>
      <c r="BW804" s="1052"/>
      <c r="BX804" s="1052"/>
      <c r="BY804" s="1052"/>
      <c r="BZ804" s="1052"/>
      <c r="CA804" s="1052"/>
      <c r="CB804" s="1053"/>
      <c r="CC804" s="1053"/>
      <c r="CD804" s="1053"/>
      <c r="CE804" s="1053"/>
      <c r="CF804" s="1053"/>
      <c r="CG804" s="1053"/>
      <c r="CH804" s="1053"/>
      <c r="CI804" s="1123"/>
      <c r="CJ804" s="1123"/>
      <c r="CK804" s="1123"/>
      <c r="CL804" s="1123"/>
      <c r="CM804" s="1123"/>
      <c r="CN804" s="1123"/>
      <c r="CO804" s="1123"/>
      <c r="CP804" s="1123"/>
      <c r="CQ804" s="1123"/>
      <c r="CR804" s="1123"/>
      <c r="CS804" s="1123"/>
      <c r="CT804" s="1123"/>
      <c r="CU804" s="1123"/>
      <c r="CV804" s="1123"/>
      <c r="CW804" s="1123"/>
      <c r="CX804" s="1123"/>
      <c r="CY804" s="1123"/>
      <c r="CZ804" s="1114"/>
      <c r="DA804" s="1114"/>
      <c r="DB804" s="1114"/>
      <c r="DC804" s="1114"/>
      <c r="DD804" s="1114"/>
      <c r="DE804" s="1114"/>
      <c r="DF804" s="1114"/>
      <c r="DG804" s="1114"/>
      <c r="DH804" s="1114"/>
      <c r="DI804" s="1114"/>
      <c r="DJ804" s="1114"/>
      <c r="DK804" s="1114"/>
      <c r="DL804" s="1114"/>
      <c r="DM804" s="1114"/>
      <c r="DN804" s="1114"/>
      <c r="DO804" s="1114"/>
      <c r="DP804" s="1114"/>
      <c r="DQ804" s="1114"/>
      <c r="DR804" s="1114"/>
      <c r="DS804" s="1114"/>
      <c r="DT804" s="1114"/>
      <c r="DU804" s="1114"/>
      <c r="DV804" s="1115"/>
      <c r="DW804" s="1116"/>
      <c r="DX804" s="1116"/>
      <c r="DY804" s="1116"/>
      <c r="DZ804" s="1116"/>
      <c r="EA804" s="1116"/>
      <c r="EB804" s="1116"/>
      <c r="EC804" s="1116"/>
      <c r="ED804" s="1116"/>
      <c r="EE804" s="1116"/>
      <c r="EF804" s="1116"/>
      <c r="EG804" s="1116"/>
      <c r="EH804" s="1116"/>
      <c r="EI804" s="1116"/>
      <c r="EJ804" s="1116"/>
      <c r="EK804" s="1116"/>
      <c r="EL804" s="1116"/>
      <c r="EM804" s="1116"/>
      <c r="EN804" s="1116"/>
      <c r="EO804" s="1116"/>
      <c r="EP804" s="1116"/>
      <c r="EQ804" s="1116"/>
      <c r="ER804" s="1116"/>
      <c r="ES804" s="1116"/>
    </row>
    <row r="805" spans="1:149" ht="15" customHeight="1">
      <c r="A805" s="1185">
        <v>790</v>
      </c>
      <c r="B805" s="1041"/>
      <c r="C805" s="1050"/>
      <c r="D805" s="1050"/>
      <c r="E805" s="1050"/>
      <c r="F805" s="1049"/>
      <c r="G805" s="1457"/>
      <c r="H805" s="1049"/>
      <c r="I805" s="1049"/>
      <c r="J805" s="1050"/>
      <c r="K805" s="1050"/>
      <c r="L805" s="1043"/>
      <c r="M805" s="1051"/>
      <c r="N805" s="1051"/>
      <c r="O805" s="1052"/>
      <c r="P805" s="1051"/>
      <c r="Q805" s="1051"/>
      <c r="R805" s="1052"/>
      <c r="S805" s="1051"/>
      <c r="T805" s="1051"/>
      <c r="U805" s="1052"/>
      <c r="V805" s="1051"/>
      <c r="W805" s="1051"/>
      <c r="X805" s="1052"/>
      <c r="Y805" s="1053"/>
      <c r="Z805" s="1051"/>
      <c r="AA805" s="1051"/>
      <c r="AB805" s="1052"/>
      <c r="AC805" s="1051"/>
      <c r="AD805" s="1051"/>
      <c r="AE805" s="1052"/>
      <c r="AF805" s="1051"/>
      <c r="AG805" s="1051"/>
      <c r="AH805" s="1051"/>
      <c r="AI805" s="1051"/>
      <c r="AJ805" s="1052"/>
      <c r="AK805" s="1051"/>
      <c r="AL805" s="1051"/>
      <c r="AM805" s="1052"/>
      <c r="AN805" s="1051"/>
      <c r="AO805" s="1051"/>
      <c r="AP805" s="1052"/>
      <c r="AQ805" s="1051"/>
      <c r="AR805" s="1051"/>
      <c r="AS805" s="1052"/>
      <c r="AT805" s="1051"/>
      <c r="AU805" s="1051"/>
      <c r="AV805" s="1052"/>
      <c r="AW805" s="1051"/>
      <c r="AX805" s="1051"/>
      <c r="AY805" s="1053"/>
      <c r="AZ805" s="1051"/>
      <c r="BA805" s="1051"/>
      <c r="BB805" s="1053"/>
      <c r="BC805" s="1051"/>
      <c r="BD805" s="1051"/>
      <c r="BE805" s="1053"/>
      <c r="BF805" s="1051"/>
      <c r="BG805" s="1051"/>
      <c r="BH805" s="1053"/>
      <c r="BI805" s="1052"/>
      <c r="BJ805" s="1052"/>
      <c r="BK805" s="1052"/>
      <c r="BL805" s="1052"/>
      <c r="BM805" s="1052"/>
      <c r="BN805" s="1054"/>
      <c r="BO805" s="1076">
        <f t="shared" si="23"/>
        <v>0</v>
      </c>
      <c r="BP805" s="1051"/>
      <c r="BQ805" s="1052"/>
      <c r="BR805" s="1054"/>
      <c r="BS805" s="1053"/>
      <c r="BT805" s="1051"/>
      <c r="BU805" s="1051"/>
      <c r="BV805" s="1051"/>
      <c r="BW805" s="1052"/>
      <c r="BX805" s="1052"/>
      <c r="BY805" s="1052"/>
      <c r="BZ805" s="1052"/>
      <c r="CA805" s="1052"/>
      <c r="CB805" s="1053"/>
      <c r="CC805" s="1053"/>
      <c r="CD805" s="1053"/>
      <c r="CE805" s="1053"/>
      <c r="CF805" s="1053"/>
      <c r="CG805" s="1053"/>
      <c r="CH805" s="1053"/>
      <c r="CI805" s="1123"/>
      <c r="CJ805" s="1123"/>
      <c r="CK805" s="1123"/>
      <c r="CL805" s="1123"/>
      <c r="CM805" s="1123"/>
      <c r="CN805" s="1123"/>
      <c r="CO805" s="1123"/>
      <c r="CP805" s="1123"/>
      <c r="CQ805" s="1123"/>
      <c r="CR805" s="1123"/>
      <c r="CS805" s="1123"/>
      <c r="CT805" s="1123"/>
      <c r="CU805" s="1123"/>
      <c r="CV805" s="1123"/>
      <c r="CW805" s="1123"/>
      <c r="CX805" s="1123"/>
      <c r="CY805" s="1123"/>
      <c r="CZ805" s="1114"/>
      <c r="DA805" s="1114"/>
      <c r="DB805" s="1114"/>
      <c r="DC805" s="1114"/>
      <c r="DD805" s="1114"/>
      <c r="DE805" s="1114"/>
      <c r="DF805" s="1114"/>
      <c r="DG805" s="1114"/>
      <c r="DH805" s="1114"/>
      <c r="DI805" s="1114"/>
      <c r="DJ805" s="1114"/>
      <c r="DK805" s="1114"/>
      <c r="DL805" s="1114"/>
      <c r="DM805" s="1114"/>
      <c r="DN805" s="1114"/>
      <c r="DO805" s="1114"/>
      <c r="DP805" s="1114"/>
      <c r="DQ805" s="1114"/>
      <c r="DR805" s="1114"/>
      <c r="DS805" s="1114"/>
      <c r="DT805" s="1114"/>
      <c r="DU805" s="1114"/>
      <c r="DV805" s="1115"/>
      <c r="DW805" s="1116"/>
      <c r="DX805" s="1116"/>
      <c r="DY805" s="1116"/>
      <c r="DZ805" s="1116"/>
      <c r="EA805" s="1116"/>
      <c r="EB805" s="1116"/>
      <c r="EC805" s="1116"/>
      <c r="ED805" s="1116"/>
      <c r="EE805" s="1116"/>
      <c r="EF805" s="1116"/>
      <c r="EG805" s="1116"/>
      <c r="EH805" s="1116"/>
      <c r="EI805" s="1116"/>
      <c r="EJ805" s="1116"/>
      <c r="EK805" s="1116"/>
      <c r="EL805" s="1116"/>
      <c r="EM805" s="1116"/>
      <c r="EN805" s="1116"/>
      <c r="EO805" s="1116"/>
      <c r="EP805" s="1116"/>
      <c r="EQ805" s="1116"/>
      <c r="ER805" s="1116"/>
      <c r="ES805" s="1116"/>
    </row>
    <row r="806" spans="1:149" ht="15" customHeight="1">
      <c r="A806" s="1185">
        <v>791</v>
      </c>
      <c r="B806" s="1041"/>
      <c r="C806" s="1050"/>
      <c r="D806" s="1050"/>
      <c r="E806" s="1050"/>
      <c r="F806" s="1049"/>
      <c r="G806" s="1457"/>
      <c r="H806" s="1049"/>
      <c r="I806" s="1049"/>
      <c r="J806" s="1050"/>
      <c r="K806" s="1050"/>
      <c r="L806" s="1043"/>
      <c r="M806" s="1051"/>
      <c r="N806" s="1051"/>
      <c r="O806" s="1052"/>
      <c r="P806" s="1051"/>
      <c r="Q806" s="1051"/>
      <c r="R806" s="1052"/>
      <c r="S806" s="1051"/>
      <c r="T806" s="1051"/>
      <c r="U806" s="1052"/>
      <c r="V806" s="1051"/>
      <c r="W806" s="1051"/>
      <c r="X806" s="1052"/>
      <c r="Y806" s="1053"/>
      <c r="Z806" s="1051"/>
      <c r="AA806" s="1051"/>
      <c r="AB806" s="1052"/>
      <c r="AC806" s="1051"/>
      <c r="AD806" s="1051"/>
      <c r="AE806" s="1052"/>
      <c r="AF806" s="1051"/>
      <c r="AG806" s="1051"/>
      <c r="AH806" s="1051"/>
      <c r="AI806" s="1051"/>
      <c r="AJ806" s="1052"/>
      <c r="AK806" s="1051"/>
      <c r="AL806" s="1051"/>
      <c r="AM806" s="1052"/>
      <c r="AN806" s="1051"/>
      <c r="AO806" s="1051"/>
      <c r="AP806" s="1052"/>
      <c r="AQ806" s="1051"/>
      <c r="AR806" s="1051"/>
      <c r="AS806" s="1052"/>
      <c r="AT806" s="1051"/>
      <c r="AU806" s="1051"/>
      <c r="AV806" s="1052"/>
      <c r="AW806" s="1051"/>
      <c r="AX806" s="1051"/>
      <c r="AY806" s="1053"/>
      <c r="AZ806" s="1051"/>
      <c r="BA806" s="1051"/>
      <c r="BB806" s="1053"/>
      <c r="BC806" s="1051"/>
      <c r="BD806" s="1051"/>
      <c r="BE806" s="1053"/>
      <c r="BF806" s="1051"/>
      <c r="BG806" s="1051"/>
      <c r="BH806" s="1053"/>
      <c r="BI806" s="1052"/>
      <c r="BJ806" s="1052"/>
      <c r="BK806" s="1052"/>
      <c r="BL806" s="1052"/>
      <c r="BM806" s="1052"/>
      <c r="BN806" s="1054"/>
      <c r="BO806" s="1076">
        <f t="shared" si="23"/>
        <v>0</v>
      </c>
      <c r="BP806" s="1051"/>
      <c r="BQ806" s="1052"/>
      <c r="BR806" s="1054"/>
      <c r="BS806" s="1053"/>
      <c r="BT806" s="1051"/>
      <c r="BU806" s="1051"/>
      <c r="BV806" s="1051"/>
      <c r="BW806" s="1052"/>
      <c r="BX806" s="1052"/>
      <c r="BY806" s="1052"/>
      <c r="BZ806" s="1052"/>
      <c r="CA806" s="1052"/>
      <c r="CB806" s="1053"/>
      <c r="CC806" s="1053"/>
      <c r="CD806" s="1053"/>
      <c r="CE806" s="1053"/>
      <c r="CF806" s="1053"/>
      <c r="CG806" s="1053"/>
      <c r="CH806" s="1053"/>
      <c r="CI806" s="1123"/>
      <c r="CJ806" s="1123"/>
      <c r="CK806" s="1123"/>
      <c r="CL806" s="1123"/>
      <c r="CM806" s="1123"/>
      <c r="CN806" s="1123"/>
      <c r="CO806" s="1123"/>
      <c r="CP806" s="1123"/>
      <c r="CQ806" s="1123"/>
      <c r="CR806" s="1123"/>
      <c r="CS806" s="1123"/>
      <c r="CT806" s="1123"/>
      <c r="CU806" s="1123"/>
      <c r="CV806" s="1123"/>
      <c r="CW806" s="1123"/>
      <c r="CX806" s="1123"/>
      <c r="CY806" s="1123"/>
      <c r="CZ806" s="1114"/>
      <c r="DA806" s="1114"/>
      <c r="DB806" s="1114"/>
      <c r="DC806" s="1114"/>
      <c r="DD806" s="1114"/>
      <c r="DE806" s="1114"/>
      <c r="DF806" s="1114"/>
      <c r="DG806" s="1114"/>
      <c r="DH806" s="1114"/>
      <c r="DI806" s="1114"/>
      <c r="DJ806" s="1114"/>
      <c r="DK806" s="1114"/>
      <c r="DL806" s="1114"/>
      <c r="DM806" s="1114"/>
      <c r="DN806" s="1114"/>
      <c r="DO806" s="1114"/>
      <c r="DP806" s="1114"/>
      <c r="DQ806" s="1114"/>
      <c r="DR806" s="1114"/>
      <c r="DS806" s="1114"/>
      <c r="DT806" s="1114"/>
      <c r="DU806" s="1114"/>
      <c r="DV806" s="1115"/>
      <c r="DW806" s="1116"/>
      <c r="DX806" s="1116"/>
      <c r="DY806" s="1116"/>
      <c r="DZ806" s="1116"/>
      <c r="EA806" s="1116"/>
      <c r="EB806" s="1116"/>
      <c r="EC806" s="1116"/>
      <c r="ED806" s="1116"/>
      <c r="EE806" s="1116"/>
      <c r="EF806" s="1116"/>
      <c r="EG806" s="1116"/>
      <c r="EH806" s="1116"/>
      <c r="EI806" s="1116"/>
      <c r="EJ806" s="1116"/>
      <c r="EK806" s="1116"/>
      <c r="EL806" s="1116"/>
      <c r="EM806" s="1116"/>
      <c r="EN806" s="1116"/>
      <c r="EO806" s="1116"/>
      <c r="EP806" s="1116"/>
      <c r="EQ806" s="1116"/>
      <c r="ER806" s="1116"/>
      <c r="ES806" s="1116"/>
    </row>
    <row r="807" spans="1:149" ht="15" customHeight="1">
      <c r="A807" s="1185">
        <v>792</v>
      </c>
      <c r="B807" s="1041"/>
      <c r="C807" s="1050"/>
      <c r="D807" s="1050"/>
      <c r="E807" s="1050"/>
      <c r="F807" s="1049"/>
      <c r="G807" s="1457"/>
      <c r="H807" s="1049"/>
      <c r="I807" s="1049"/>
      <c r="J807" s="1050"/>
      <c r="K807" s="1050"/>
      <c r="L807" s="1043"/>
      <c r="M807" s="1051"/>
      <c r="N807" s="1051"/>
      <c r="O807" s="1052"/>
      <c r="P807" s="1051"/>
      <c r="Q807" s="1051"/>
      <c r="R807" s="1052"/>
      <c r="S807" s="1051"/>
      <c r="T807" s="1051"/>
      <c r="U807" s="1052"/>
      <c r="V807" s="1051"/>
      <c r="W807" s="1051"/>
      <c r="X807" s="1052"/>
      <c r="Y807" s="1053"/>
      <c r="Z807" s="1051"/>
      <c r="AA807" s="1051"/>
      <c r="AB807" s="1052"/>
      <c r="AC807" s="1051"/>
      <c r="AD807" s="1051"/>
      <c r="AE807" s="1052"/>
      <c r="AF807" s="1051"/>
      <c r="AG807" s="1051"/>
      <c r="AH807" s="1051"/>
      <c r="AI807" s="1051"/>
      <c r="AJ807" s="1052"/>
      <c r="AK807" s="1051"/>
      <c r="AL807" s="1051"/>
      <c r="AM807" s="1052"/>
      <c r="AN807" s="1051"/>
      <c r="AO807" s="1051"/>
      <c r="AP807" s="1052"/>
      <c r="AQ807" s="1051"/>
      <c r="AR807" s="1051"/>
      <c r="AS807" s="1052"/>
      <c r="AT807" s="1051"/>
      <c r="AU807" s="1051"/>
      <c r="AV807" s="1052"/>
      <c r="AW807" s="1051"/>
      <c r="AX807" s="1051"/>
      <c r="AY807" s="1053"/>
      <c r="AZ807" s="1051"/>
      <c r="BA807" s="1051"/>
      <c r="BB807" s="1053"/>
      <c r="BC807" s="1051"/>
      <c r="BD807" s="1051"/>
      <c r="BE807" s="1053"/>
      <c r="BF807" s="1051"/>
      <c r="BG807" s="1051"/>
      <c r="BH807" s="1053"/>
      <c r="BI807" s="1052"/>
      <c r="BJ807" s="1052"/>
      <c r="BK807" s="1052"/>
      <c r="BL807" s="1052"/>
      <c r="BM807" s="1052"/>
      <c r="BN807" s="1054"/>
      <c r="BO807" s="1076">
        <f t="shared" si="23"/>
        <v>0</v>
      </c>
      <c r="BP807" s="1051"/>
      <c r="BQ807" s="1052"/>
      <c r="BR807" s="1054"/>
      <c r="BS807" s="1053"/>
      <c r="BT807" s="1051"/>
      <c r="BU807" s="1051"/>
      <c r="BV807" s="1051"/>
      <c r="BW807" s="1052"/>
      <c r="BX807" s="1052"/>
      <c r="BY807" s="1052"/>
      <c r="BZ807" s="1052"/>
      <c r="CA807" s="1052"/>
      <c r="CB807" s="1053"/>
      <c r="CC807" s="1053"/>
      <c r="CD807" s="1053"/>
      <c r="CE807" s="1053"/>
      <c r="CF807" s="1053"/>
      <c r="CG807" s="1053"/>
      <c r="CH807" s="1053"/>
      <c r="CI807" s="1123"/>
      <c r="CJ807" s="1123"/>
      <c r="CK807" s="1123"/>
      <c r="CL807" s="1123"/>
      <c r="CM807" s="1123"/>
      <c r="CN807" s="1123"/>
      <c r="CO807" s="1123"/>
      <c r="CP807" s="1123"/>
      <c r="CQ807" s="1123"/>
      <c r="CR807" s="1123"/>
      <c r="CS807" s="1123"/>
      <c r="CT807" s="1123"/>
      <c r="CU807" s="1123"/>
      <c r="CV807" s="1123"/>
      <c r="CW807" s="1123"/>
      <c r="CX807" s="1123"/>
      <c r="CY807" s="1123"/>
      <c r="CZ807" s="1114"/>
      <c r="DA807" s="1114"/>
      <c r="DB807" s="1114"/>
      <c r="DC807" s="1114"/>
      <c r="DD807" s="1114"/>
      <c r="DE807" s="1114"/>
      <c r="DF807" s="1114"/>
      <c r="DG807" s="1114"/>
      <c r="DH807" s="1114"/>
      <c r="DI807" s="1114"/>
      <c r="DJ807" s="1114"/>
      <c r="DK807" s="1114"/>
      <c r="DL807" s="1114"/>
      <c r="DM807" s="1114"/>
      <c r="DN807" s="1114"/>
      <c r="DO807" s="1114"/>
      <c r="DP807" s="1114"/>
      <c r="DQ807" s="1114"/>
      <c r="DR807" s="1114"/>
      <c r="DS807" s="1114"/>
      <c r="DT807" s="1114"/>
      <c r="DU807" s="1114"/>
      <c r="DV807" s="1115"/>
      <c r="DW807" s="1116"/>
      <c r="DX807" s="1116"/>
      <c r="DY807" s="1116"/>
      <c r="DZ807" s="1116"/>
      <c r="EA807" s="1116"/>
      <c r="EB807" s="1116"/>
      <c r="EC807" s="1116"/>
      <c r="ED807" s="1116"/>
      <c r="EE807" s="1116"/>
      <c r="EF807" s="1116"/>
      <c r="EG807" s="1116"/>
      <c r="EH807" s="1116"/>
      <c r="EI807" s="1116"/>
      <c r="EJ807" s="1116"/>
      <c r="EK807" s="1116"/>
      <c r="EL807" s="1116"/>
      <c r="EM807" s="1116"/>
      <c r="EN807" s="1116"/>
      <c r="EO807" s="1116"/>
      <c r="EP807" s="1116"/>
      <c r="EQ807" s="1116"/>
      <c r="ER807" s="1116"/>
      <c r="ES807" s="1116"/>
    </row>
    <row r="808" spans="1:149" ht="15" customHeight="1">
      <c r="A808" s="1185">
        <v>793</v>
      </c>
      <c r="B808" s="1041"/>
      <c r="C808" s="1050"/>
      <c r="D808" s="1050"/>
      <c r="E808" s="1050"/>
      <c r="F808" s="1049"/>
      <c r="G808" s="1457"/>
      <c r="H808" s="1049"/>
      <c r="I808" s="1049"/>
      <c r="J808" s="1050"/>
      <c r="K808" s="1050"/>
      <c r="L808" s="1043"/>
      <c r="M808" s="1051"/>
      <c r="N808" s="1051"/>
      <c r="O808" s="1052"/>
      <c r="P808" s="1051"/>
      <c r="Q808" s="1051"/>
      <c r="R808" s="1052"/>
      <c r="S808" s="1051"/>
      <c r="T808" s="1051"/>
      <c r="U808" s="1052"/>
      <c r="V808" s="1051"/>
      <c r="W808" s="1051"/>
      <c r="X808" s="1052"/>
      <c r="Y808" s="1053"/>
      <c r="Z808" s="1051"/>
      <c r="AA808" s="1051"/>
      <c r="AB808" s="1052"/>
      <c r="AC808" s="1051"/>
      <c r="AD808" s="1051"/>
      <c r="AE808" s="1052"/>
      <c r="AF808" s="1051"/>
      <c r="AG808" s="1051"/>
      <c r="AH808" s="1051"/>
      <c r="AI808" s="1051"/>
      <c r="AJ808" s="1052"/>
      <c r="AK808" s="1051"/>
      <c r="AL808" s="1051"/>
      <c r="AM808" s="1052"/>
      <c r="AN808" s="1051"/>
      <c r="AO808" s="1051"/>
      <c r="AP808" s="1052"/>
      <c r="AQ808" s="1051"/>
      <c r="AR808" s="1051"/>
      <c r="AS808" s="1052"/>
      <c r="AT808" s="1051"/>
      <c r="AU808" s="1051"/>
      <c r="AV808" s="1052"/>
      <c r="AW808" s="1051"/>
      <c r="AX808" s="1051"/>
      <c r="AY808" s="1053"/>
      <c r="AZ808" s="1051"/>
      <c r="BA808" s="1051"/>
      <c r="BB808" s="1053"/>
      <c r="BC808" s="1051"/>
      <c r="BD808" s="1051"/>
      <c r="BE808" s="1053"/>
      <c r="BF808" s="1051"/>
      <c r="BG808" s="1051"/>
      <c r="BH808" s="1053"/>
      <c r="BI808" s="1052"/>
      <c r="BJ808" s="1052"/>
      <c r="BK808" s="1052"/>
      <c r="BL808" s="1052"/>
      <c r="BM808" s="1052"/>
      <c r="BN808" s="1054"/>
      <c r="BO808" s="1076">
        <f t="shared" si="23"/>
        <v>0</v>
      </c>
      <c r="BP808" s="1051"/>
      <c r="BQ808" s="1052"/>
      <c r="BR808" s="1054"/>
      <c r="BS808" s="1053"/>
      <c r="BT808" s="1051"/>
      <c r="BU808" s="1051"/>
      <c r="BV808" s="1051"/>
      <c r="BW808" s="1052"/>
      <c r="BX808" s="1052"/>
      <c r="BY808" s="1052"/>
      <c r="BZ808" s="1052"/>
      <c r="CA808" s="1052"/>
      <c r="CB808" s="1053"/>
      <c r="CC808" s="1053"/>
      <c r="CD808" s="1053"/>
      <c r="CE808" s="1053"/>
      <c r="CF808" s="1053"/>
      <c r="CG808" s="1053"/>
      <c r="CH808" s="1053"/>
      <c r="CI808" s="1123"/>
      <c r="CJ808" s="1123"/>
      <c r="CK808" s="1123"/>
      <c r="CL808" s="1123"/>
      <c r="CM808" s="1123"/>
      <c r="CN808" s="1123"/>
      <c r="CO808" s="1123"/>
      <c r="CP808" s="1123"/>
      <c r="CQ808" s="1123"/>
      <c r="CR808" s="1123"/>
      <c r="CS808" s="1123"/>
      <c r="CT808" s="1123"/>
      <c r="CU808" s="1123"/>
      <c r="CV808" s="1123"/>
      <c r="CW808" s="1123"/>
      <c r="CX808" s="1123"/>
      <c r="CY808" s="1123"/>
      <c r="CZ808" s="1114"/>
      <c r="DA808" s="1114"/>
      <c r="DB808" s="1114"/>
      <c r="DC808" s="1114"/>
      <c r="DD808" s="1114"/>
      <c r="DE808" s="1114"/>
      <c r="DF808" s="1114"/>
      <c r="DG808" s="1114"/>
      <c r="DH808" s="1114"/>
      <c r="DI808" s="1114"/>
      <c r="DJ808" s="1114"/>
      <c r="DK808" s="1114"/>
      <c r="DL808" s="1114"/>
      <c r="DM808" s="1114"/>
      <c r="DN808" s="1114"/>
      <c r="DO808" s="1114"/>
      <c r="DP808" s="1114"/>
      <c r="DQ808" s="1114"/>
      <c r="DR808" s="1114"/>
      <c r="DS808" s="1114"/>
      <c r="DT808" s="1114"/>
      <c r="DU808" s="1114"/>
      <c r="DV808" s="1115"/>
      <c r="DW808" s="1116"/>
      <c r="DX808" s="1116"/>
      <c r="DY808" s="1116"/>
      <c r="DZ808" s="1116"/>
      <c r="EA808" s="1116"/>
      <c r="EB808" s="1116"/>
      <c r="EC808" s="1116"/>
      <c r="ED808" s="1116"/>
      <c r="EE808" s="1116"/>
      <c r="EF808" s="1116"/>
      <c r="EG808" s="1116"/>
      <c r="EH808" s="1116"/>
      <c r="EI808" s="1116"/>
      <c r="EJ808" s="1116"/>
      <c r="EK808" s="1116"/>
      <c r="EL808" s="1116"/>
      <c r="EM808" s="1116"/>
      <c r="EN808" s="1116"/>
      <c r="EO808" s="1116"/>
      <c r="EP808" s="1116"/>
      <c r="EQ808" s="1116"/>
      <c r="ER808" s="1116"/>
      <c r="ES808" s="1116"/>
    </row>
    <row r="809" spans="1:149" ht="15" customHeight="1">
      <c r="A809" s="1185">
        <v>794</v>
      </c>
      <c r="B809" s="1041"/>
      <c r="C809" s="1050"/>
      <c r="D809" s="1050"/>
      <c r="E809" s="1050"/>
      <c r="F809" s="1049"/>
      <c r="G809" s="1457"/>
      <c r="H809" s="1049"/>
      <c r="I809" s="1049"/>
      <c r="J809" s="1050"/>
      <c r="K809" s="1050"/>
      <c r="L809" s="1043"/>
      <c r="M809" s="1051"/>
      <c r="N809" s="1051"/>
      <c r="O809" s="1052"/>
      <c r="P809" s="1051"/>
      <c r="Q809" s="1051"/>
      <c r="R809" s="1052"/>
      <c r="S809" s="1051"/>
      <c r="T809" s="1051"/>
      <c r="U809" s="1052"/>
      <c r="V809" s="1051"/>
      <c r="W809" s="1051"/>
      <c r="X809" s="1052"/>
      <c r="Y809" s="1053"/>
      <c r="Z809" s="1051"/>
      <c r="AA809" s="1051"/>
      <c r="AB809" s="1052"/>
      <c r="AC809" s="1051"/>
      <c r="AD809" s="1051"/>
      <c r="AE809" s="1052"/>
      <c r="AF809" s="1051"/>
      <c r="AG809" s="1051"/>
      <c r="AH809" s="1051"/>
      <c r="AI809" s="1051"/>
      <c r="AJ809" s="1052"/>
      <c r="AK809" s="1051"/>
      <c r="AL809" s="1051"/>
      <c r="AM809" s="1052"/>
      <c r="AN809" s="1051"/>
      <c r="AO809" s="1051"/>
      <c r="AP809" s="1052"/>
      <c r="AQ809" s="1051"/>
      <c r="AR809" s="1051"/>
      <c r="AS809" s="1052"/>
      <c r="AT809" s="1051"/>
      <c r="AU809" s="1051"/>
      <c r="AV809" s="1052"/>
      <c r="AW809" s="1051"/>
      <c r="AX809" s="1051"/>
      <c r="AY809" s="1053"/>
      <c r="AZ809" s="1051"/>
      <c r="BA809" s="1051"/>
      <c r="BB809" s="1053"/>
      <c r="BC809" s="1051"/>
      <c r="BD809" s="1051"/>
      <c r="BE809" s="1053"/>
      <c r="BF809" s="1051"/>
      <c r="BG809" s="1051"/>
      <c r="BH809" s="1053"/>
      <c r="BI809" s="1052"/>
      <c r="BJ809" s="1052"/>
      <c r="BK809" s="1052"/>
      <c r="BL809" s="1052"/>
      <c r="BM809" s="1052"/>
      <c r="BN809" s="1054"/>
      <c r="BO809" s="1076">
        <f t="shared" si="23"/>
        <v>0</v>
      </c>
      <c r="BP809" s="1051"/>
      <c r="BQ809" s="1052"/>
      <c r="BR809" s="1054"/>
      <c r="BS809" s="1053"/>
      <c r="BT809" s="1051"/>
      <c r="BU809" s="1051"/>
      <c r="BV809" s="1051"/>
      <c r="BW809" s="1052"/>
      <c r="BX809" s="1052"/>
      <c r="BY809" s="1052"/>
      <c r="BZ809" s="1052"/>
      <c r="CA809" s="1052"/>
      <c r="CB809" s="1053"/>
      <c r="CC809" s="1053"/>
      <c r="CD809" s="1053"/>
      <c r="CE809" s="1053"/>
      <c r="CF809" s="1053"/>
      <c r="CG809" s="1053"/>
      <c r="CH809" s="1053"/>
      <c r="CI809" s="1123"/>
      <c r="CJ809" s="1123"/>
      <c r="CK809" s="1123"/>
      <c r="CL809" s="1123"/>
      <c r="CM809" s="1123"/>
      <c r="CN809" s="1123"/>
      <c r="CO809" s="1123"/>
      <c r="CP809" s="1123"/>
      <c r="CQ809" s="1123"/>
      <c r="CR809" s="1123"/>
      <c r="CS809" s="1123"/>
      <c r="CT809" s="1123"/>
      <c r="CU809" s="1123"/>
      <c r="CV809" s="1123"/>
      <c r="CW809" s="1123"/>
      <c r="CX809" s="1123"/>
      <c r="CY809" s="1123"/>
      <c r="CZ809" s="1114"/>
      <c r="DA809" s="1114"/>
      <c r="DB809" s="1114"/>
      <c r="DC809" s="1114"/>
      <c r="DD809" s="1114"/>
      <c r="DE809" s="1114"/>
      <c r="DF809" s="1114"/>
      <c r="DG809" s="1114"/>
      <c r="DH809" s="1114"/>
      <c r="DI809" s="1114"/>
      <c r="DJ809" s="1114"/>
      <c r="DK809" s="1114"/>
      <c r="DL809" s="1114"/>
      <c r="DM809" s="1114"/>
      <c r="DN809" s="1114"/>
      <c r="DO809" s="1114"/>
      <c r="DP809" s="1114"/>
      <c r="DQ809" s="1114"/>
      <c r="DR809" s="1114"/>
      <c r="DS809" s="1114"/>
      <c r="DT809" s="1114"/>
      <c r="DU809" s="1114"/>
      <c r="DV809" s="1115"/>
      <c r="DW809" s="1116"/>
      <c r="DX809" s="1116"/>
      <c r="DY809" s="1116"/>
      <c r="DZ809" s="1116"/>
      <c r="EA809" s="1116"/>
      <c r="EB809" s="1116"/>
      <c r="EC809" s="1116"/>
      <c r="ED809" s="1116"/>
      <c r="EE809" s="1116"/>
      <c r="EF809" s="1116"/>
      <c r="EG809" s="1116"/>
      <c r="EH809" s="1116"/>
      <c r="EI809" s="1116"/>
      <c r="EJ809" s="1116"/>
      <c r="EK809" s="1116"/>
      <c r="EL809" s="1116"/>
      <c r="EM809" s="1116"/>
      <c r="EN809" s="1116"/>
      <c r="EO809" s="1116"/>
      <c r="EP809" s="1116"/>
      <c r="EQ809" s="1116"/>
      <c r="ER809" s="1116"/>
      <c r="ES809" s="1116"/>
    </row>
    <row r="810" spans="1:149" ht="15" customHeight="1">
      <c r="A810" s="1185">
        <v>795</v>
      </c>
      <c r="B810" s="1041"/>
      <c r="C810" s="1050"/>
      <c r="D810" s="1050"/>
      <c r="E810" s="1050"/>
      <c r="F810" s="1049"/>
      <c r="G810" s="1457"/>
      <c r="H810" s="1049"/>
      <c r="I810" s="1049"/>
      <c r="J810" s="1050"/>
      <c r="K810" s="1050"/>
      <c r="L810" s="1043"/>
      <c r="M810" s="1051"/>
      <c r="N810" s="1051"/>
      <c r="O810" s="1052"/>
      <c r="P810" s="1051"/>
      <c r="Q810" s="1051"/>
      <c r="R810" s="1052"/>
      <c r="S810" s="1051"/>
      <c r="T810" s="1051"/>
      <c r="U810" s="1052"/>
      <c r="V810" s="1051"/>
      <c r="W810" s="1051"/>
      <c r="X810" s="1052"/>
      <c r="Y810" s="1053"/>
      <c r="Z810" s="1051"/>
      <c r="AA810" s="1051"/>
      <c r="AB810" s="1052"/>
      <c r="AC810" s="1051"/>
      <c r="AD810" s="1051"/>
      <c r="AE810" s="1052"/>
      <c r="AF810" s="1051"/>
      <c r="AG810" s="1051"/>
      <c r="AH810" s="1051"/>
      <c r="AI810" s="1051"/>
      <c r="AJ810" s="1052"/>
      <c r="AK810" s="1051"/>
      <c r="AL810" s="1051"/>
      <c r="AM810" s="1052"/>
      <c r="AN810" s="1051"/>
      <c r="AO810" s="1051"/>
      <c r="AP810" s="1052"/>
      <c r="AQ810" s="1051"/>
      <c r="AR810" s="1051"/>
      <c r="AS810" s="1052"/>
      <c r="AT810" s="1051"/>
      <c r="AU810" s="1051"/>
      <c r="AV810" s="1052"/>
      <c r="AW810" s="1051"/>
      <c r="AX810" s="1051"/>
      <c r="AY810" s="1053"/>
      <c r="AZ810" s="1051"/>
      <c r="BA810" s="1051"/>
      <c r="BB810" s="1053"/>
      <c r="BC810" s="1051"/>
      <c r="BD810" s="1051"/>
      <c r="BE810" s="1053"/>
      <c r="BF810" s="1051"/>
      <c r="BG810" s="1051"/>
      <c r="BH810" s="1053"/>
      <c r="BI810" s="1052"/>
      <c r="BJ810" s="1052"/>
      <c r="BK810" s="1052"/>
      <c r="BL810" s="1052"/>
      <c r="BM810" s="1052"/>
      <c r="BN810" s="1054"/>
      <c r="BO810" s="1076">
        <f t="shared" si="23"/>
        <v>0</v>
      </c>
      <c r="BP810" s="1051"/>
      <c r="BQ810" s="1052"/>
      <c r="BR810" s="1054"/>
      <c r="BS810" s="1053"/>
      <c r="BT810" s="1051"/>
      <c r="BU810" s="1051"/>
      <c r="BV810" s="1051"/>
      <c r="BW810" s="1052"/>
      <c r="BX810" s="1052"/>
      <c r="BY810" s="1052"/>
      <c r="BZ810" s="1052"/>
      <c r="CA810" s="1052"/>
      <c r="CB810" s="1053"/>
      <c r="CC810" s="1053"/>
      <c r="CD810" s="1053"/>
      <c r="CE810" s="1053"/>
      <c r="CF810" s="1053"/>
      <c r="CG810" s="1053"/>
      <c r="CH810" s="1053"/>
      <c r="CI810" s="1123"/>
      <c r="CJ810" s="1123"/>
      <c r="CK810" s="1123"/>
      <c r="CL810" s="1123"/>
      <c r="CM810" s="1123"/>
      <c r="CN810" s="1123"/>
      <c r="CO810" s="1123"/>
      <c r="CP810" s="1123"/>
      <c r="CQ810" s="1123"/>
      <c r="CR810" s="1123"/>
      <c r="CS810" s="1123"/>
      <c r="CT810" s="1123"/>
      <c r="CU810" s="1123"/>
      <c r="CV810" s="1123"/>
      <c r="CW810" s="1123"/>
      <c r="CX810" s="1123"/>
      <c r="CY810" s="1123"/>
      <c r="CZ810" s="1114"/>
      <c r="DA810" s="1114"/>
      <c r="DB810" s="1114"/>
      <c r="DC810" s="1114"/>
      <c r="DD810" s="1114"/>
      <c r="DE810" s="1114"/>
      <c r="DF810" s="1114"/>
      <c r="DG810" s="1114"/>
      <c r="DH810" s="1114"/>
      <c r="DI810" s="1114"/>
      <c r="DJ810" s="1114"/>
      <c r="DK810" s="1114"/>
      <c r="DL810" s="1114"/>
      <c r="DM810" s="1114"/>
      <c r="DN810" s="1114"/>
      <c r="DO810" s="1114"/>
      <c r="DP810" s="1114"/>
      <c r="DQ810" s="1114"/>
      <c r="DR810" s="1114"/>
      <c r="DS810" s="1114"/>
      <c r="DT810" s="1114"/>
      <c r="DU810" s="1114"/>
      <c r="DV810" s="1115"/>
      <c r="DW810" s="1116"/>
      <c r="DX810" s="1116"/>
      <c r="DY810" s="1116"/>
      <c r="DZ810" s="1116"/>
      <c r="EA810" s="1116"/>
      <c r="EB810" s="1116"/>
      <c r="EC810" s="1116"/>
      <c r="ED810" s="1116"/>
      <c r="EE810" s="1116"/>
      <c r="EF810" s="1116"/>
      <c r="EG810" s="1116"/>
      <c r="EH810" s="1116"/>
      <c r="EI810" s="1116"/>
      <c r="EJ810" s="1116"/>
      <c r="EK810" s="1116"/>
      <c r="EL810" s="1116"/>
      <c r="EM810" s="1116"/>
      <c r="EN810" s="1116"/>
      <c r="EO810" s="1116"/>
      <c r="EP810" s="1116"/>
      <c r="EQ810" s="1116"/>
      <c r="ER810" s="1116"/>
      <c r="ES810" s="1116"/>
    </row>
    <row r="811" spans="1:149" ht="15" customHeight="1">
      <c r="A811" s="1185">
        <v>796</v>
      </c>
      <c r="B811" s="1041"/>
      <c r="C811" s="1050"/>
      <c r="D811" s="1050"/>
      <c r="E811" s="1050"/>
      <c r="F811" s="1049"/>
      <c r="G811" s="1457"/>
      <c r="H811" s="1049"/>
      <c r="I811" s="1049"/>
      <c r="J811" s="1050"/>
      <c r="K811" s="1050"/>
      <c r="L811" s="1043"/>
      <c r="M811" s="1051"/>
      <c r="N811" s="1051"/>
      <c r="O811" s="1052"/>
      <c r="P811" s="1051"/>
      <c r="Q811" s="1051"/>
      <c r="R811" s="1052"/>
      <c r="S811" s="1051"/>
      <c r="T811" s="1051"/>
      <c r="U811" s="1052"/>
      <c r="V811" s="1051"/>
      <c r="W811" s="1051"/>
      <c r="X811" s="1052"/>
      <c r="Y811" s="1053"/>
      <c r="Z811" s="1051"/>
      <c r="AA811" s="1051"/>
      <c r="AB811" s="1052"/>
      <c r="AC811" s="1051"/>
      <c r="AD811" s="1051"/>
      <c r="AE811" s="1052"/>
      <c r="AF811" s="1051"/>
      <c r="AG811" s="1051"/>
      <c r="AH811" s="1051"/>
      <c r="AI811" s="1051"/>
      <c r="AJ811" s="1052"/>
      <c r="AK811" s="1051"/>
      <c r="AL811" s="1051"/>
      <c r="AM811" s="1052"/>
      <c r="AN811" s="1051"/>
      <c r="AO811" s="1051"/>
      <c r="AP811" s="1052"/>
      <c r="AQ811" s="1051"/>
      <c r="AR811" s="1051"/>
      <c r="AS811" s="1052"/>
      <c r="AT811" s="1051"/>
      <c r="AU811" s="1051"/>
      <c r="AV811" s="1052"/>
      <c r="AW811" s="1051"/>
      <c r="AX811" s="1051"/>
      <c r="AY811" s="1053"/>
      <c r="AZ811" s="1051"/>
      <c r="BA811" s="1051"/>
      <c r="BB811" s="1053"/>
      <c r="BC811" s="1051"/>
      <c r="BD811" s="1051"/>
      <c r="BE811" s="1053"/>
      <c r="BF811" s="1051"/>
      <c r="BG811" s="1051"/>
      <c r="BH811" s="1053"/>
      <c r="BI811" s="1052"/>
      <c r="BJ811" s="1052"/>
      <c r="BK811" s="1052"/>
      <c r="BL811" s="1052"/>
      <c r="BM811" s="1052"/>
      <c r="BN811" s="1054"/>
      <c r="BO811" s="1076">
        <f t="shared" si="23"/>
        <v>0</v>
      </c>
      <c r="BP811" s="1051"/>
      <c r="BQ811" s="1052"/>
      <c r="BR811" s="1054"/>
      <c r="BS811" s="1053"/>
      <c r="BT811" s="1051"/>
      <c r="BU811" s="1051"/>
      <c r="BV811" s="1051"/>
      <c r="BW811" s="1052"/>
      <c r="BX811" s="1052"/>
      <c r="BY811" s="1052"/>
      <c r="BZ811" s="1052"/>
      <c r="CA811" s="1052"/>
      <c r="CB811" s="1053"/>
      <c r="CC811" s="1053"/>
      <c r="CD811" s="1053"/>
      <c r="CE811" s="1053"/>
      <c r="CF811" s="1053"/>
      <c r="CG811" s="1053"/>
      <c r="CH811" s="1053"/>
      <c r="CI811" s="1123"/>
      <c r="CJ811" s="1123"/>
      <c r="CK811" s="1123"/>
      <c r="CL811" s="1123"/>
      <c r="CM811" s="1123"/>
      <c r="CN811" s="1123"/>
      <c r="CO811" s="1123"/>
      <c r="CP811" s="1123"/>
      <c r="CQ811" s="1123"/>
      <c r="CR811" s="1123"/>
      <c r="CS811" s="1123"/>
      <c r="CT811" s="1123"/>
      <c r="CU811" s="1123"/>
      <c r="CV811" s="1123"/>
      <c r="CW811" s="1123"/>
      <c r="CX811" s="1123"/>
      <c r="CY811" s="1123"/>
      <c r="CZ811" s="1114"/>
      <c r="DA811" s="1114"/>
      <c r="DB811" s="1114"/>
      <c r="DC811" s="1114"/>
      <c r="DD811" s="1114"/>
      <c r="DE811" s="1114"/>
      <c r="DF811" s="1114"/>
      <c r="DG811" s="1114"/>
      <c r="DH811" s="1114"/>
      <c r="DI811" s="1114"/>
      <c r="DJ811" s="1114"/>
      <c r="DK811" s="1114"/>
      <c r="DL811" s="1114"/>
      <c r="DM811" s="1114"/>
      <c r="DN811" s="1114"/>
      <c r="DO811" s="1114"/>
      <c r="DP811" s="1114"/>
      <c r="DQ811" s="1114"/>
      <c r="DR811" s="1114"/>
      <c r="DS811" s="1114"/>
      <c r="DT811" s="1114"/>
      <c r="DU811" s="1114"/>
      <c r="DV811" s="1115"/>
      <c r="DW811" s="1116"/>
      <c r="DX811" s="1116"/>
      <c r="DY811" s="1116"/>
      <c r="DZ811" s="1116"/>
      <c r="EA811" s="1116"/>
      <c r="EB811" s="1116"/>
      <c r="EC811" s="1116"/>
      <c r="ED811" s="1116"/>
      <c r="EE811" s="1116"/>
      <c r="EF811" s="1116"/>
      <c r="EG811" s="1116"/>
      <c r="EH811" s="1116"/>
      <c r="EI811" s="1116"/>
      <c r="EJ811" s="1116"/>
      <c r="EK811" s="1116"/>
      <c r="EL811" s="1116"/>
      <c r="EM811" s="1116"/>
      <c r="EN811" s="1116"/>
      <c r="EO811" s="1116"/>
      <c r="EP811" s="1116"/>
      <c r="EQ811" s="1116"/>
      <c r="ER811" s="1116"/>
      <c r="ES811" s="1116"/>
    </row>
    <row r="812" spans="1:149" ht="15" customHeight="1">
      <c r="A812" s="1185">
        <v>797</v>
      </c>
      <c r="B812" s="1041"/>
      <c r="C812" s="1050"/>
      <c r="D812" s="1050"/>
      <c r="E812" s="1050"/>
      <c r="F812" s="1049"/>
      <c r="G812" s="1457"/>
      <c r="H812" s="1049"/>
      <c r="I812" s="1049"/>
      <c r="J812" s="1050"/>
      <c r="K812" s="1050"/>
      <c r="L812" s="1043"/>
      <c r="M812" s="1051"/>
      <c r="N812" s="1051"/>
      <c r="O812" s="1052"/>
      <c r="P812" s="1051"/>
      <c r="Q812" s="1051"/>
      <c r="R812" s="1052"/>
      <c r="S812" s="1051"/>
      <c r="T812" s="1051"/>
      <c r="U812" s="1052"/>
      <c r="V812" s="1051"/>
      <c r="W812" s="1051"/>
      <c r="X812" s="1052"/>
      <c r="Y812" s="1053"/>
      <c r="Z812" s="1051"/>
      <c r="AA812" s="1051"/>
      <c r="AB812" s="1052"/>
      <c r="AC812" s="1051"/>
      <c r="AD812" s="1051"/>
      <c r="AE812" s="1052"/>
      <c r="AF812" s="1051"/>
      <c r="AG812" s="1051"/>
      <c r="AH812" s="1051"/>
      <c r="AI812" s="1051"/>
      <c r="AJ812" s="1052"/>
      <c r="AK812" s="1051"/>
      <c r="AL812" s="1051"/>
      <c r="AM812" s="1052"/>
      <c r="AN812" s="1051"/>
      <c r="AO812" s="1051"/>
      <c r="AP812" s="1052"/>
      <c r="AQ812" s="1051"/>
      <c r="AR812" s="1051"/>
      <c r="AS812" s="1052"/>
      <c r="AT812" s="1051"/>
      <c r="AU812" s="1051"/>
      <c r="AV812" s="1052"/>
      <c r="AW812" s="1051"/>
      <c r="AX812" s="1051"/>
      <c r="AY812" s="1053"/>
      <c r="AZ812" s="1051"/>
      <c r="BA812" s="1051"/>
      <c r="BB812" s="1053"/>
      <c r="BC812" s="1051"/>
      <c r="BD812" s="1051"/>
      <c r="BE812" s="1053"/>
      <c r="BF812" s="1051"/>
      <c r="BG812" s="1051"/>
      <c r="BH812" s="1053"/>
      <c r="BI812" s="1052"/>
      <c r="BJ812" s="1052"/>
      <c r="BK812" s="1052"/>
      <c r="BL812" s="1052"/>
      <c r="BM812" s="1052"/>
      <c r="BN812" s="1054"/>
      <c r="BO812" s="1076">
        <f t="shared" si="23"/>
        <v>0</v>
      </c>
      <c r="BP812" s="1051"/>
      <c r="BQ812" s="1052"/>
      <c r="BR812" s="1054"/>
      <c r="BS812" s="1053"/>
      <c r="BT812" s="1051"/>
      <c r="BU812" s="1051"/>
      <c r="BV812" s="1051"/>
      <c r="BW812" s="1052"/>
      <c r="BX812" s="1052"/>
      <c r="BY812" s="1052"/>
      <c r="BZ812" s="1052"/>
      <c r="CA812" s="1052"/>
      <c r="CB812" s="1053"/>
      <c r="CC812" s="1053"/>
      <c r="CD812" s="1053"/>
      <c r="CE812" s="1053"/>
      <c r="CF812" s="1053"/>
      <c r="CG812" s="1053"/>
      <c r="CH812" s="1053"/>
      <c r="CI812" s="1123"/>
      <c r="CJ812" s="1123"/>
      <c r="CK812" s="1123"/>
      <c r="CL812" s="1123"/>
      <c r="CM812" s="1123"/>
      <c r="CN812" s="1123"/>
      <c r="CO812" s="1123"/>
      <c r="CP812" s="1123"/>
      <c r="CQ812" s="1123"/>
      <c r="CR812" s="1123"/>
      <c r="CS812" s="1123"/>
      <c r="CT812" s="1123"/>
      <c r="CU812" s="1123"/>
      <c r="CV812" s="1123"/>
      <c r="CW812" s="1123"/>
      <c r="CX812" s="1123"/>
      <c r="CY812" s="1123"/>
      <c r="CZ812" s="1114"/>
      <c r="DA812" s="1114"/>
      <c r="DB812" s="1114"/>
      <c r="DC812" s="1114"/>
      <c r="DD812" s="1114"/>
      <c r="DE812" s="1114"/>
      <c r="DF812" s="1114"/>
      <c r="DG812" s="1114"/>
      <c r="DH812" s="1114"/>
      <c r="DI812" s="1114"/>
      <c r="DJ812" s="1114"/>
      <c r="DK812" s="1114"/>
      <c r="DL812" s="1114"/>
      <c r="DM812" s="1114"/>
      <c r="DN812" s="1114"/>
      <c r="DO812" s="1114"/>
      <c r="DP812" s="1114"/>
      <c r="DQ812" s="1114"/>
      <c r="DR812" s="1114"/>
      <c r="DS812" s="1114"/>
      <c r="DT812" s="1114"/>
      <c r="DU812" s="1114"/>
      <c r="DV812" s="1115"/>
      <c r="DW812" s="1116"/>
      <c r="DX812" s="1116"/>
      <c r="DY812" s="1116"/>
      <c r="DZ812" s="1116"/>
      <c r="EA812" s="1116"/>
      <c r="EB812" s="1116"/>
      <c r="EC812" s="1116"/>
      <c r="ED812" s="1116"/>
      <c r="EE812" s="1116"/>
      <c r="EF812" s="1116"/>
      <c r="EG812" s="1116"/>
      <c r="EH812" s="1116"/>
      <c r="EI812" s="1116"/>
      <c r="EJ812" s="1116"/>
      <c r="EK812" s="1116"/>
      <c r="EL812" s="1116"/>
      <c r="EM812" s="1116"/>
      <c r="EN812" s="1116"/>
      <c r="EO812" s="1116"/>
      <c r="EP812" s="1116"/>
      <c r="EQ812" s="1116"/>
      <c r="ER812" s="1116"/>
      <c r="ES812" s="1116"/>
    </row>
    <row r="813" spans="1:149" ht="15" customHeight="1">
      <c r="A813" s="1185">
        <v>798</v>
      </c>
      <c r="B813" s="1041"/>
      <c r="C813" s="1050"/>
      <c r="D813" s="1050"/>
      <c r="E813" s="1050"/>
      <c r="F813" s="1049"/>
      <c r="G813" s="1457"/>
      <c r="H813" s="1049"/>
      <c r="I813" s="1049"/>
      <c r="J813" s="1050"/>
      <c r="K813" s="1050"/>
      <c r="L813" s="1043"/>
      <c r="M813" s="1051"/>
      <c r="N813" s="1051"/>
      <c r="O813" s="1052"/>
      <c r="P813" s="1051"/>
      <c r="Q813" s="1051"/>
      <c r="R813" s="1052"/>
      <c r="S813" s="1051"/>
      <c r="T813" s="1051"/>
      <c r="U813" s="1052"/>
      <c r="V813" s="1051"/>
      <c r="W813" s="1051"/>
      <c r="X813" s="1052"/>
      <c r="Y813" s="1053"/>
      <c r="Z813" s="1051"/>
      <c r="AA813" s="1051"/>
      <c r="AB813" s="1052"/>
      <c r="AC813" s="1051"/>
      <c r="AD813" s="1051"/>
      <c r="AE813" s="1052"/>
      <c r="AF813" s="1051"/>
      <c r="AG813" s="1051"/>
      <c r="AH813" s="1051"/>
      <c r="AI813" s="1051"/>
      <c r="AJ813" s="1052"/>
      <c r="AK813" s="1051"/>
      <c r="AL813" s="1051"/>
      <c r="AM813" s="1052"/>
      <c r="AN813" s="1051"/>
      <c r="AO813" s="1051"/>
      <c r="AP813" s="1052"/>
      <c r="AQ813" s="1051"/>
      <c r="AR813" s="1051"/>
      <c r="AS813" s="1052"/>
      <c r="AT813" s="1051"/>
      <c r="AU813" s="1051"/>
      <c r="AV813" s="1052"/>
      <c r="AW813" s="1051"/>
      <c r="AX813" s="1051"/>
      <c r="AY813" s="1053"/>
      <c r="AZ813" s="1051"/>
      <c r="BA813" s="1051"/>
      <c r="BB813" s="1053"/>
      <c r="BC813" s="1051"/>
      <c r="BD813" s="1051"/>
      <c r="BE813" s="1053"/>
      <c r="BF813" s="1051"/>
      <c r="BG813" s="1051"/>
      <c r="BH813" s="1053"/>
      <c r="BI813" s="1052"/>
      <c r="BJ813" s="1052"/>
      <c r="BK813" s="1052"/>
      <c r="BL813" s="1052"/>
      <c r="BM813" s="1052"/>
      <c r="BN813" s="1054"/>
      <c r="BO813" s="1076">
        <f t="shared" si="23"/>
        <v>0</v>
      </c>
      <c r="BP813" s="1051"/>
      <c r="BQ813" s="1052"/>
      <c r="BR813" s="1054"/>
      <c r="BS813" s="1053"/>
      <c r="BT813" s="1051"/>
      <c r="BU813" s="1051"/>
      <c r="BV813" s="1051"/>
      <c r="BW813" s="1052"/>
      <c r="BX813" s="1052"/>
      <c r="BY813" s="1052"/>
      <c r="BZ813" s="1052"/>
      <c r="CA813" s="1052"/>
      <c r="CB813" s="1053"/>
      <c r="CC813" s="1053"/>
      <c r="CD813" s="1053"/>
      <c r="CE813" s="1053"/>
      <c r="CF813" s="1053"/>
      <c r="CG813" s="1053"/>
      <c r="CH813" s="1053"/>
      <c r="CI813" s="1123"/>
      <c r="CJ813" s="1123"/>
      <c r="CK813" s="1123"/>
      <c r="CL813" s="1123"/>
      <c r="CM813" s="1123"/>
      <c r="CN813" s="1123"/>
      <c r="CO813" s="1123"/>
      <c r="CP813" s="1123"/>
      <c r="CQ813" s="1123"/>
      <c r="CR813" s="1123"/>
      <c r="CS813" s="1123"/>
      <c r="CT813" s="1123"/>
      <c r="CU813" s="1123"/>
      <c r="CV813" s="1123"/>
      <c r="CW813" s="1123"/>
      <c r="CX813" s="1123"/>
      <c r="CY813" s="1123"/>
      <c r="CZ813" s="1114"/>
      <c r="DA813" s="1114"/>
      <c r="DB813" s="1114"/>
      <c r="DC813" s="1114"/>
      <c r="DD813" s="1114"/>
      <c r="DE813" s="1114"/>
      <c r="DF813" s="1114"/>
      <c r="DG813" s="1114"/>
      <c r="DH813" s="1114"/>
      <c r="DI813" s="1114"/>
      <c r="DJ813" s="1114"/>
      <c r="DK813" s="1114"/>
      <c r="DL813" s="1114"/>
      <c r="DM813" s="1114"/>
      <c r="DN813" s="1114"/>
      <c r="DO813" s="1114"/>
      <c r="DP813" s="1114"/>
      <c r="DQ813" s="1114"/>
      <c r="DR813" s="1114"/>
      <c r="DS813" s="1114"/>
      <c r="DT813" s="1114"/>
      <c r="DU813" s="1114"/>
      <c r="DV813" s="1115"/>
      <c r="DW813" s="1116"/>
      <c r="DX813" s="1116"/>
      <c r="DY813" s="1116"/>
      <c r="DZ813" s="1116"/>
      <c r="EA813" s="1116"/>
      <c r="EB813" s="1116"/>
      <c r="EC813" s="1116"/>
      <c r="ED813" s="1116"/>
      <c r="EE813" s="1116"/>
      <c r="EF813" s="1116"/>
      <c r="EG813" s="1116"/>
      <c r="EH813" s="1116"/>
      <c r="EI813" s="1116"/>
      <c r="EJ813" s="1116"/>
      <c r="EK813" s="1116"/>
      <c r="EL813" s="1116"/>
      <c r="EM813" s="1116"/>
      <c r="EN813" s="1116"/>
      <c r="EO813" s="1116"/>
      <c r="EP813" s="1116"/>
      <c r="EQ813" s="1116"/>
      <c r="ER813" s="1116"/>
      <c r="ES813" s="1116"/>
    </row>
    <row r="814" spans="1:149" ht="15" customHeight="1">
      <c r="A814" s="1185">
        <v>799</v>
      </c>
      <c r="B814" s="1041"/>
      <c r="C814" s="1050"/>
      <c r="D814" s="1050"/>
      <c r="E814" s="1050"/>
      <c r="F814" s="1049"/>
      <c r="G814" s="1457"/>
      <c r="H814" s="1049"/>
      <c r="I814" s="1049"/>
      <c r="J814" s="1050"/>
      <c r="K814" s="1050"/>
      <c r="L814" s="1043"/>
      <c r="M814" s="1051"/>
      <c r="N814" s="1051"/>
      <c r="O814" s="1052"/>
      <c r="P814" s="1051"/>
      <c r="Q814" s="1051"/>
      <c r="R814" s="1052"/>
      <c r="S814" s="1051"/>
      <c r="T814" s="1051"/>
      <c r="U814" s="1052"/>
      <c r="V814" s="1051"/>
      <c r="W814" s="1051"/>
      <c r="X814" s="1052"/>
      <c r="Y814" s="1053"/>
      <c r="Z814" s="1051"/>
      <c r="AA814" s="1051"/>
      <c r="AB814" s="1052"/>
      <c r="AC814" s="1051"/>
      <c r="AD814" s="1051"/>
      <c r="AE814" s="1052"/>
      <c r="AF814" s="1051"/>
      <c r="AG814" s="1051"/>
      <c r="AH814" s="1051"/>
      <c r="AI814" s="1051"/>
      <c r="AJ814" s="1052"/>
      <c r="AK814" s="1051"/>
      <c r="AL814" s="1051"/>
      <c r="AM814" s="1052"/>
      <c r="AN814" s="1051"/>
      <c r="AO814" s="1051"/>
      <c r="AP814" s="1052"/>
      <c r="AQ814" s="1051"/>
      <c r="AR814" s="1051"/>
      <c r="AS814" s="1052"/>
      <c r="AT814" s="1051"/>
      <c r="AU814" s="1051"/>
      <c r="AV814" s="1052"/>
      <c r="AW814" s="1051"/>
      <c r="AX814" s="1051"/>
      <c r="AY814" s="1053"/>
      <c r="AZ814" s="1051"/>
      <c r="BA814" s="1051"/>
      <c r="BB814" s="1053"/>
      <c r="BC814" s="1051"/>
      <c r="BD814" s="1051"/>
      <c r="BE814" s="1053"/>
      <c r="BF814" s="1051"/>
      <c r="BG814" s="1051"/>
      <c r="BH814" s="1053"/>
      <c r="BI814" s="1052"/>
      <c r="BJ814" s="1052"/>
      <c r="BK814" s="1052"/>
      <c r="BL814" s="1052"/>
      <c r="BM814" s="1052"/>
      <c r="BN814" s="1054"/>
      <c r="BO814" s="1076">
        <f t="shared" si="23"/>
        <v>0</v>
      </c>
      <c r="BP814" s="1051"/>
      <c r="BQ814" s="1052"/>
      <c r="BR814" s="1054"/>
      <c r="BS814" s="1053"/>
      <c r="BT814" s="1051"/>
      <c r="BU814" s="1051"/>
      <c r="BV814" s="1051"/>
      <c r="BW814" s="1052"/>
      <c r="BX814" s="1052"/>
      <c r="BY814" s="1052"/>
      <c r="BZ814" s="1052"/>
      <c r="CA814" s="1052"/>
      <c r="CB814" s="1053"/>
      <c r="CC814" s="1053"/>
      <c r="CD814" s="1053"/>
      <c r="CE814" s="1053"/>
      <c r="CF814" s="1053"/>
      <c r="CG814" s="1053"/>
      <c r="CH814" s="1053"/>
      <c r="CI814" s="1123"/>
      <c r="CJ814" s="1123"/>
      <c r="CK814" s="1123"/>
      <c r="CL814" s="1123"/>
      <c r="CM814" s="1123"/>
      <c r="CN814" s="1123"/>
      <c r="CO814" s="1123"/>
      <c r="CP814" s="1123"/>
      <c r="CQ814" s="1123"/>
      <c r="CR814" s="1123"/>
      <c r="CS814" s="1123"/>
      <c r="CT814" s="1123"/>
      <c r="CU814" s="1123"/>
      <c r="CV814" s="1123"/>
      <c r="CW814" s="1123"/>
      <c r="CX814" s="1123"/>
      <c r="CY814" s="1123"/>
      <c r="CZ814" s="1114"/>
      <c r="DA814" s="1114"/>
      <c r="DB814" s="1114"/>
      <c r="DC814" s="1114"/>
      <c r="DD814" s="1114"/>
      <c r="DE814" s="1114"/>
      <c r="DF814" s="1114"/>
      <c r="DG814" s="1114"/>
      <c r="DH814" s="1114"/>
      <c r="DI814" s="1114"/>
      <c r="DJ814" s="1114"/>
      <c r="DK814" s="1114"/>
      <c r="DL814" s="1114"/>
      <c r="DM814" s="1114"/>
      <c r="DN814" s="1114"/>
      <c r="DO814" s="1114"/>
      <c r="DP814" s="1114"/>
      <c r="DQ814" s="1114"/>
      <c r="DR814" s="1114"/>
      <c r="DS814" s="1114"/>
      <c r="DT814" s="1114"/>
      <c r="DU814" s="1114"/>
      <c r="DV814" s="1115"/>
      <c r="DW814" s="1116"/>
      <c r="DX814" s="1116"/>
      <c r="DY814" s="1116"/>
      <c r="DZ814" s="1116"/>
      <c r="EA814" s="1116"/>
      <c r="EB814" s="1116"/>
      <c r="EC814" s="1116"/>
      <c r="ED814" s="1116"/>
      <c r="EE814" s="1116"/>
      <c r="EF814" s="1116"/>
      <c r="EG814" s="1116"/>
      <c r="EH814" s="1116"/>
      <c r="EI814" s="1116"/>
      <c r="EJ814" s="1116"/>
      <c r="EK814" s="1116"/>
      <c r="EL814" s="1116"/>
      <c r="EM814" s="1116"/>
      <c r="EN814" s="1116"/>
      <c r="EO814" s="1116"/>
      <c r="EP814" s="1116"/>
      <c r="EQ814" s="1116"/>
      <c r="ER814" s="1116"/>
      <c r="ES814" s="1116"/>
    </row>
    <row r="815" spans="1:149" ht="15" customHeight="1">
      <c r="A815" s="1185">
        <v>800</v>
      </c>
      <c r="B815" s="1041"/>
      <c r="C815" s="1050"/>
      <c r="D815" s="1050"/>
      <c r="E815" s="1050"/>
      <c r="F815" s="1049"/>
      <c r="G815" s="1457"/>
      <c r="H815" s="1049"/>
      <c r="I815" s="1049"/>
      <c r="J815" s="1050"/>
      <c r="K815" s="1050"/>
      <c r="L815" s="1043"/>
      <c r="M815" s="1051"/>
      <c r="N815" s="1051"/>
      <c r="O815" s="1052"/>
      <c r="P815" s="1051"/>
      <c r="Q815" s="1051"/>
      <c r="R815" s="1052"/>
      <c r="S815" s="1051"/>
      <c r="T815" s="1051"/>
      <c r="U815" s="1052"/>
      <c r="V815" s="1051"/>
      <c r="W815" s="1051"/>
      <c r="X815" s="1052"/>
      <c r="Y815" s="1053"/>
      <c r="Z815" s="1051"/>
      <c r="AA815" s="1051"/>
      <c r="AB815" s="1052"/>
      <c r="AC815" s="1051"/>
      <c r="AD815" s="1051"/>
      <c r="AE815" s="1052"/>
      <c r="AF815" s="1051"/>
      <c r="AG815" s="1051"/>
      <c r="AH815" s="1051"/>
      <c r="AI815" s="1051"/>
      <c r="AJ815" s="1052"/>
      <c r="AK815" s="1051"/>
      <c r="AL815" s="1051"/>
      <c r="AM815" s="1052"/>
      <c r="AN815" s="1051"/>
      <c r="AO815" s="1051"/>
      <c r="AP815" s="1052"/>
      <c r="AQ815" s="1051"/>
      <c r="AR815" s="1051"/>
      <c r="AS815" s="1052"/>
      <c r="AT815" s="1051"/>
      <c r="AU815" s="1051"/>
      <c r="AV815" s="1052"/>
      <c r="AW815" s="1051"/>
      <c r="AX815" s="1051"/>
      <c r="AY815" s="1053"/>
      <c r="AZ815" s="1051"/>
      <c r="BA815" s="1051"/>
      <c r="BB815" s="1053"/>
      <c r="BC815" s="1051"/>
      <c r="BD815" s="1051"/>
      <c r="BE815" s="1053"/>
      <c r="BF815" s="1051"/>
      <c r="BG815" s="1051"/>
      <c r="BH815" s="1053"/>
      <c r="BI815" s="1052"/>
      <c r="BJ815" s="1052"/>
      <c r="BK815" s="1052"/>
      <c r="BL815" s="1052"/>
      <c r="BM815" s="1052"/>
      <c r="BN815" s="1054"/>
      <c r="BO815" s="1076">
        <f t="shared" si="23"/>
        <v>0</v>
      </c>
      <c r="BP815" s="1051"/>
      <c r="BQ815" s="1052"/>
      <c r="BR815" s="1054"/>
      <c r="BS815" s="1053"/>
      <c r="BT815" s="1051"/>
      <c r="BU815" s="1051"/>
      <c r="BV815" s="1051"/>
      <c r="BW815" s="1052"/>
      <c r="BX815" s="1052"/>
      <c r="BY815" s="1052"/>
      <c r="BZ815" s="1052"/>
      <c r="CA815" s="1052"/>
      <c r="CB815" s="1053"/>
      <c r="CC815" s="1053"/>
      <c r="CD815" s="1053"/>
      <c r="CE815" s="1053"/>
      <c r="CF815" s="1053"/>
      <c r="CG815" s="1053"/>
      <c r="CH815" s="1053"/>
      <c r="CI815" s="1123"/>
      <c r="CJ815" s="1123"/>
      <c r="CK815" s="1123"/>
      <c r="CL815" s="1123"/>
      <c r="CM815" s="1123"/>
      <c r="CN815" s="1123"/>
      <c r="CO815" s="1123"/>
      <c r="CP815" s="1123"/>
      <c r="CQ815" s="1123"/>
      <c r="CR815" s="1123"/>
      <c r="CS815" s="1123"/>
      <c r="CT815" s="1123"/>
      <c r="CU815" s="1123"/>
      <c r="CV815" s="1123"/>
      <c r="CW815" s="1123"/>
      <c r="CX815" s="1123"/>
      <c r="CY815" s="1123"/>
      <c r="CZ815" s="1114"/>
      <c r="DA815" s="1114"/>
      <c r="DB815" s="1114"/>
      <c r="DC815" s="1114"/>
      <c r="DD815" s="1114"/>
      <c r="DE815" s="1114"/>
      <c r="DF815" s="1114"/>
      <c r="DG815" s="1114"/>
      <c r="DH815" s="1114"/>
      <c r="DI815" s="1114"/>
      <c r="DJ815" s="1114"/>
      <c r="DK815" s="1114"/>
      <c r="DL815" s="1114"/>
      <c r="DM815" s="1114"/>
      <c r="DN815" s="1114"/>
      <c r="DO815" s="1114"/>
      <c r="DP815" s="1114"/>
      <c r="DQ815" s="1114"/>
      <c r="DR815" s="1114"/>
      <c r="DS815" s="1114"/>
      <c r="DT815" s="1114"/>
      <c r="DU815" s="1114"/>
      <c r="DV815" s="1115"/>
      <c r="DW815" s="1116"/>
      <c r="DX815" s="1116"/>
      <c r="DY815" s="1116"/>
      <c r="DZ815" s="1116"/>
      <c r="EA815" s="1116"/>
      <c r="EB815" s="1116"/>
      <c r="EC815" s="1116"/>
      <c r="ED815" s="1116"/>
      <c r="EE815" s="1116"/>
      <c r="EF815" s="1116"/>
      <c r="EG815" s="1116"/>
      <c r="EH815" s="1116"/>
      <c r="EI815" s="1116"/>
      <c r="EJ815" s="1116"/>
      <c r="EK815" s="1116"/>
      <c r="EL815" s="1116"/>
      <c r="EM815" s="1116"/>
      <c r="EN815" s="1116"/>
      <c r="EO815" s="1116"/>
      <c r="EP815" s="1116"/>
      <c r="EQ815" s="1116"/>
      <c r="ER815" s="1116"/>
      <c r="ES815" s="1116"/>
    </row>
    <row r="816" spans="1:149" ht="15" customHeight="1">
      <c r="A816" s="1185">
        <v>801</v>
      </c>
      <c r="B816" s="1041"/>
      <c r="C816" s="1050"/>
      <c r="D816" s="1050"/>
      <c r="E816" s="1050"/>
      <c r="F816" s="1049"/>
      <c r="G816" s="1457"/>
      <c r="H816" s="1049"/>
      <c r="I816" s="1049"/>
      <c r="J816" s="1050"/>
      <c r="K816" s="1050"/>
      <c r="L816" s="1043"/>
      <c r="M816" s="1051"/>
      <c r="N816" s="1051"/>
      <c r="O816" s="1052"/>
      <c r="P816" s="1051"/>
      <c r="Q816" s="1051"/>
      <c r="R816" s="1052"/>
      <c r="S816" s="1051"/>
      <c r="T816" s="1051"/>
      <c r="U816" s="1052"/>
      <c r="V816" s="1051"/>
      <c r="W816" s="1051"/>
      <c r="X816" s="1052"/>
      <c r="Y816" s="1053"/>
      <c r="Z816" s="1051"/>
      <c r="AA816" s="1051"/>
      <c r="AB816" s="1052"/>
      <c r="AC816" s="1051"/>
      <c r="AD816" s="1051"/>
      <c r="AE816" s="1052"/>
      <c r="AF816" s="1051"/>
      <c r="AG816" s="1051"/>
      <c r="AH816" s="1051"/>
      <c r="AI816" s="1051"/>
      <c r="AJ816" s="1052"/>
      <c r="AK816" s="1051"/>
      <c r="AL816" s="1051"/>
      <c r="AM816" s="1052"/>
      <c r="AN816" s="1051"/>
      <c r="AO816" s="1051"/>
      <c r="AP816" s="1052"/>
      <c r="AQ816" s="1051"/>
      <c r="AR816" s="1051"/>
      <c r="AS816" s="1052"/>
      <c r="AT816" s="1051"/>
      <c r="AU816" s="1051"/>
      <c r="AV816" s="1052"/>
      <c r="AW816" s="1051"/>
      <c r="AX816" s="1051"/>
      <c r="AY816" s="1053"/>
      <c r="AZ816" s="1051"/>
      <c r="BA816" s="1051"/>
      <c r="BB816" s="1053"/>
      <c r="BC816" s="1051"/>
      <c r="BD816" s="1051"/>
      <c r="BE816" s="1053"/>
      <c r="BF816" s="1051"/>
      <c r="BG816" s="1051"/>
      <c r="BH816" s="1053"/>
      <c r="BI816" s="1052"/>
      <c r="BJ816" s="1052"/>
      <c r="BK816" s="1052"/>
      <c r="BL816" s="1052"/>
      <c r="BM816" s="1052"/>
      <c r="BN816" s="1054"/>
      <c r="BO816" s="1076">
        <f t="shared" si="23"/>
        <v>0</v>
      </c>
      <c r="BP816" s="1051"/>
      <c r="BQ816" s="1052"/>
      <c r="BR816" s="1054"/>
      <c r="BS816" s="1053"/>
      <c r="BT816" s="1051"/>
      <c r="BU816" s="1051"/>
      <c r="BV816" s="1051"/>
      <c r="BW816" s="1052"/>
      <c r="BX816" s="1052"/>
      <c r="BY816" s="1052"/>
      <c r="BZ816" s="1052"/>
      <c r="CA816" s="1052"/>
      <c r="CB816" s="1053"/>
      <c r="CC816" s="1053"/>
      <c r="CD816" s="1053"/>
      <c r="CE816" s="1053"/>
      <c r="CF816" s="1053"/>
      <c r="CG816" s="1053"/>
      <c r="CH816" s="1053"/>
      <c r="CI816" s="1123"/>
      <c r="CJ816" s="1123"/>
      <c r="CK816" s="1123"/>
      <c r="CL816" s="1123"/>
      <c r="CM816" s="1123"/>
      <c r="CN816" s="1123"/>
      <c r="CO816" s="1123"/>
      <c r="CP816" s="1123"/>
      <c r="CQ816" s="1123"/>
      <c r="CR816" s="1123"/>
      <c r="CS816" s="1123"/>
      <c r="CT816" s="1123"/>
      <c r="CU816" s="1123"/>
      <c r="CV816" s="1123"/>
      <c r="CW816" s="1123"/>
      <c r="CX816" s="1123"/>
      <c r="CY816" s="1123"/>
      <c r="CZ816" s="1114"/>
      <c r="DA816" s="1114"/>
      <c r="DB816" s="1114"/>
      <c r="DC816" s="1114"/>
      <c r="DD816" s="1114"/>
      <c r="DE816" s="1114"/>
      <c r="DF816" s="1114"/>
      <c r="DG816" s="1114"/>
      <c r="DH816" s="1114"/>
      <c r="DI816" s="1114"/>
      <c r="DJ816" s="1114"/>
      <c r="DK816" s="1114"/>
      <c r="DL816" s="1114"/>
      <c r="DM816" s="1114"/>
      <c r="DN816" s="1114"/>
      <c r="DO816" s="1114"/>
      <c r="DP816" s="1114"/>
      <c r="DQ816" s="1114"/>
      <c r="DR816" s="1114"/>
      <c r="DS816" s="1114"/>
      <c r="DT816" s="1114"/>
      <c r="DU816" s="1114"/>
      <c r="DV816" s="1115"/>
      <c r="DW816" s="1116"/>
      <c r="DX816" s="1116"/>
      <c r="DY816" s="1116"/>
      <c r="DZ816" s="1116"/>
      <c r="EA816" s="1116"/>
      <c r="EB816" s="1116"/>
      <c r="EC816" s="1116"/>
      <c r="ED816" s="1116"/>
      <c r="EE816" s="1116"/>
      <c r="EF816" s="1116"/>
      <c r="EG816" s="1116"/>
      <c r="EH816" s="1116"/>
      <c r="EI816" s="1116"/>
      <c r="EJ816" s="1116"/>
      <c r="EK816" s="1116"/>
      <c r="EL816" s="1116"/>
      <c r="EM816" s="1116"/>
      <c r="EN816" s="1116"/>
      <c r="EO816" s="1116"/>
      <c r="EP816" s="1116"/>
      <c r="EQ816" s="1116"/>
      <c r="ER816" s="1116"/>
      <c r="ES816" s="1116"/>
    </row>
    <row r="817" spans="1:149" ht="15" customHeight="1">
      <c r="A817" s="1185">
        <v>802</v>
      </c>
      <c r="B817" s="1041"/>
      <c r="C817" s="1050"/>
      <c r="D817" s="1050"/>
      <c r="E817" s="1050"/>
      <c r="F817" s="1049"/>
      <c r="G817" s="1457"/>
      <c r="H817" s="1049"/>
      <c r="I817" s="1049"/>
      <c r="J817" s="1050"/>
      <c r="K817" s="1050"/>
      <c r="L817" s="1043"/>
      <c r="M817" s="1051"/>
      <c r="N817" s="1051"/>
      <c r="O817" s="1052"/>
      <c r="P817" s="1051"/>
      <c r="Q817" s="1051"/>
      <c r="R817" s="1052"/>
      <c r="S817" s="1051"/>
      <c r="T817" s="1051"/>
      <c r="U817" s="1052"/>
      <c r="V817" s="1051"/>
      <c r="W817" s="1051"/>
      <c r="X817" s="1052"/>
      <c r="Y817" s="1053"/>
      <c r="Z817" s="1051"/>
      <c r="AA817" s="1051"/>
      <c r="AB817" s="1052"/>
      <c r="AC817" s="1051"/>
      <c r="AD817" s="1051"/>
      <c r="AE817" s="1052"/>
      <c r="AF817" s="1051"/>
      <c r="AG817" s="1051"/>
      <c r="AH817" s="1051"/>
      <c r="AI817" s="1051"/>
      <c r="AJ817" s="1052"/>
      <c r="AK817" s="1051"/>
      <c r="AL817" s="1051"/>
      <c r="AM817" s="1052"/>
      <c r="AN817" s="1051"/>
      <c r="AO817" s="1051"/>
      <c r="AP817" s="1052"/>
      <c r="AQ817" s="1051"/>
      <c r="AR817" s="1051"/>
      <c r="AS817" s="1052"/>
      <c r="AT817" s="1051"/>
      <c r="AU817" s="1051"/>
      <c r="AV817" s="1052"/>
      <c r="AW817" s="1051"/>
      <c r="AX817" s="1051"/>
      <c r="AY817" s="1053"/>
      <c r="AZ817" s="1051"/>
      <c r="BA817" s="1051"/>
      <c r="BB817" s="1053"/>
      <c r="BC817" s="1051"/>
      <c r="BD817" s="1051"/>
      <c r="BE817" s="1053"/>
      <c r="BF817" s="1051"/>
      <c r="BG817" s="1051"/>
      <c r="BH817" s="1053"/>
      <c r="BI817" s="1052"/>
      <c r="BJ817" s="1052"/>
      <c r="BK817" s="1052"/>
      <c r="BL817" s="1052"/>
      <c r="BM817" s="1052"/>
      <c r="BN817" s="1054"/>
      <c r="BO817" s="1076">
        <f t="shared" si="23"/>
        <v>0</v>
      </c>
      <c r="BP817" s="1051"/>
      <c r="BQ817" s="1052"/>
      <c r="BR817" s="1054"/>
      <c r="BS817" s="1053"/>
      <c r="BT817" s="1051"/>
      <c r="BU817" s="1051"/>
      <c r="BV817" s="1051"/>
      <c r="BW817" s="1052"/>
      <c r="BX817" s="1052"/>
      <c r="BY817" s="1052"/>
      <c r="BZ817" s="1052"/>
      <c r="CA817" s="1052"/>
      <c r="CB817" s="1053"/>
      <c r="CC817" s="1053"/>
      <c r="CD817" s="1053"/>
      <c r="CE817" s="1053"/>
      <c r="CF817" s="1053"/>
      <c r="CG817" s="1053"/>
      <c r="CH817" s="1053"/>
      <c r="CI817" s="1123"/>
      <c r="CJ817" s="1123"/>
      <c r="CK817" s="1123"/>
      <c r="CL817" s="1123"/>
      <c r="CM817" s="1123"/>
      <c r="CN817" s="1123"/>
      <c r="CO817" s="1123"/>
      <c r="CP817" s="1123"/>
      <c r="CQ817" s="1123"/>
      <c r="CR817" s="1123"/>
      <c r="CS817" s="1123"/>
      <c r="CT817" s="1123"/>
      <c r="CU817" s="1123"/>
      <c r="CV817" s="1123"/>
      <c r="CW817" s="1123"/>
      <c r="CX817" s="1123"/>
      <c r="CY817" s="1123"/>
      <c r="CZ817" s="1114"/>
      <c r="DA817" s="1114"/>
      <c r="DB817" s="1114"/>
      <c r="DC817" s="1114"/>
      <c r="DD817" s="1114"/>
      <c r="DE817" s="1114"/>
      <c r="DF817" s="1114"/>
      <c r="DG817" s="1114"/>
      <c r="DH817" s="1114"/>
      <c r="DI817" s="1114"/>
      <c r="DJ817" s="1114"/>
      <c r="DK817" s="1114"/>
      <c r="DL817" s="1114"/>
      <c r="DM817" s="1114"/>
      <c r="DN817" s="1114"/>
      <c r="DO817" s="1114"/>
      <c r="DP817" s="1114"/>
      <c r="DQ817" s="1114"/>
      <c r="DR817" s="1114"/>
      <c r="DS817" s="1114"/>
      <c r="DT817" s="1114"/>
      <c r="DU817" s="1114"/>
      <c r="DV817" s="1115"/>
      <c r="DW817" s="1116"/>
      <c r="DX817" s="1116"/>
      <c r="DY817" s="1116"/>
      <c r="DZ817" s="1116"/>
      <c r="EA817" s="1116"/>
      <c r="EB817" s="1116"/>
      <c r="EC817" s="1116"/>
      <c r="ED817" s="1116"/>
      <c r="EE817" s="1116"/>
      <c r="EF817" s="1116"/>
      <c r="EG817" s="1116"/>
      <c r="EH817" s="1116"/>
      <c r="EI817" s="1116"/>
      <c r="EJ817" s="1116"/>
      <c r="EK817" s="1116"/>
      <c r="EL817" s="1116"/>
      <c r="EM817" s="1116"/>
      <c r="EN817" s="1116"/>
      <c r="EO817" s="1116"/>
      <c r="EP817" s="1116"/>
      <c r="EQ817" s="1116"/>
      <c r="ER817" s="1116"/>
      <c r="ES817" s="1116"/>
    </row>
    <row r="818" spans="1:149" ht="15" customHeight="1">
      <c r="A818" s="1185">
        <v>803</v>
      </c>
      <c r="B818" s="1041"/>
      <c r="C818" s="1050"/>
      <c r="D818" s="1050"/>
      <c r="E818" s="1050"/>
      <c r="F818" s="1049"/>
      <c r="G818" s="1457"/>
      <c r="H818" s="1049"/>
      <c r="I818" s="1049"/>
      <c r="J818" s="1050"/>
      <c r="K818" s="1050"/>
      <c r="L818" s="1043"/>
      <c r="M818" s="1051"/>
      <c r="N818" s="1051"/>
      <c r="O818" s="1052"/>
      <c r="P818" s="1051"/>
      <c r="Q818" s="1051"/>
      <c r="R818" s="1052"/>
      <c r="S818" s="1051"/>
      <c r="T818" s="1051"/>
      <c r="U818" s="1052"/>
      <c r="V818" s="1051"/>
      <c r="W818" s="1051"/>
      <c r="X818" s="1052"/>
      <c r="Y818" s="1053"/>
      <c r="Z818" s="1051"/>
      <c r="AA818" s="1051"/>
      <c r="AB818" s="1052"/>
      <c r="AC818" s="1051"/>
      <c r="AD818" s="1051"/>
      <c r="AE818" s="1052"/>
      <c r="AF818" s="1051"/>
      <c r="AG818" s="1051"/>
      <c r="AH818" s="1051"/>
      <c r="AI818" s="1051"/>
      <c r="AJ818" s="1052"/>
      <c r="AK818" s="1051"/>
      <c r="AL818" s="1051"/>
      <c r="AM818" s="1052"/>
      <c r="AN818" s="1051"/>
      <c r="AO818" s="1051"/>
      <c r="AP818" s="1052"/>
      <c r="AQ818" s="1051"/>
      <c r="AR818" s="1051"/>
      <c r="AS818" s="1052"/>
      <c r="AT818" s="1051"/>
      <c r="AU818" s="1051"/>
      <c r="AV818" s="1052"/>
      <c r="AW818" s="1051"/>
      <c r="AX818" s="1051"/>
      <c r="AY818" s="1053"/>
      <c r="AZ818" s="1051"/>
      <c r="BA818" s="1051"/>
      <c r="BB818" s="1053"/>
      <c r="BC818" s="1051"/>
      <c r="BD818" s="1051"/>
      <c r="BE818" s="1053"/>
      <c r="BF818" s="1051"/>
      <c r="BG818" s="1051"/>
      <c r="BH818" s="1053"/>
      <c r="BI818" s="1052"/>
      <c r="BJ818" s="1052"/>
      <c r="BK818" s="1052"/>
      <c r="BL818" s="1052"/>
      <c r="BM818" s="1052"/>
      <c r="BN818" s="1054"/>
      <c r="BO818" s="1076">
        <f t="shared" si="23"/>
        <v>0</v>
      </c>
      <c r="BP818" s="1051"/>
      <c r="BQ818" s="1052"/>
      <c r="BR818" s="1054"/>
      <c r="BS818" s="1053"/>
      <c r="BT818" s="1051"/>
      <c r="BU818" s="1051"/>
      <c r="BV818" s="1051"/>
      <c r="BW818" s="1052"/>
      <c r="BX818" s="1052"/>
      <c r="BY818" s="1052"/>
      <c r="BZ818" s="1052"/>
      <c r="CA818" s="1052"/>
      <c r="CB818" s="1053"/>
      <c r="CC818" s="1053"/>
      <c r="CD818" s="1053"/>
      <c r="CE818" s="1053"/>
      <c r="CF818" s="1053"/>
      <c r="CG818" s="1053"/>
      <c r="CH818" s="1053"/>
      <c r="CI818" s="1123"/>
      <c r="CJ818" s="1123"/>
      <c r="CK818" s="1123"/>
      <c r="CL818" s="1123"/>
      <c r="CM818" s="1123"/>
      <c r="CN818" s="1123"/>
      <c r="CO818" s="1123"/>
      <c r="CP818" s="1123"/>
      <c r="CQ818" s="1123"/>
      <c r="CR818" s="1123"/>
      <c r="CS818" s="1123"/>
      <c r="CT818" s="1123"/>
      <c r="CU818" s="1123"/>
      <c r="CV818" s="1123"/>
      <c r="CW818" s="1123"/>
      <c r="CX818" s="1123"/>
      <c r="CY818" s="1123"/>
      <c r="CZ818" s="1114"/>
      <c r="DA818" s="1114"/>
      <c r="DB818" s="1114"/>
      <c r="DC818" s="1114"/>
      <c r="DD818" s="1114"/>
      <c r="DE818" s="1114"/>
      <c r="DF818" s="1114"/>
      <c r="DG818" s="1114"/>
      <c r="DH818" s="1114"/>
      <c r="DI818" s="1114"/>
      <c r="DJ818" s="1114"/>
      <c r="DK818" s="1114"/>
      <c r="DL818" s="1114"/>
      <c r="DM818" s="1114"/>
      <c r="DN818" s="1114"/>
      <c r="DO818" s="1114"/>
      <c r="DP818" s="1114"/>
      <c r="DQ818" s="1114"/>
      <c r="DR818" s="1114"/>
      <c r="DS818" s="1114"/>
      <c r="DT818" s="1114"/>
      <c r="DU818" s="1114"/>
      <c r="DV818" s="1115"/>
      <c r="DW818" s="1116"/>
      <c r="DX818" s="1116"/>
      <c r="DY818" s="1116"/>
      <c r="DZ818" s="1116"/>
      <c r="EA818" s="1116"/>
      <c r="EB818" s="1116"/>
      <c r="EC818" s="1116"/>
      <c r="ED818" s="1116"/>
      <c r="EE818" s="1116"/>
      <c r="EF818" s="1116"/>
      <c r="EG818" s="1116"/>
      <c r="EH818" s="1116"/>
      <c r="EI818" s="1116"/>
      <c r="EJ818" s="1116"/>
      <c r="EK818" s="1116"/>
      <c r="EL818" s="1116"/>
      <c r="EM818" s="1116"/>
      <c r="EN818" s="1116"/>
      <c r="EO818" s="1116"/>
      <c r="EP818" s="1116"/>
      <c r="EQ818" s="1116"/>
      <c r="ER818" s="1116"/>
      <c r="ES818" s="1116"/>
    </row>
    <row r="819" spans="1:149" ht="15" customHeight="1">
      <c r="A819" s="1185">
        <v>804</v>
      </c>
      <c r="B819" s="1041"/>
      <c r="C819" s="1050"/>
      <c r="D819" s="1050"/>
      <c r="E819" s="1050"/>
      <c r="F819" s="1049"/>
      <c r="G819" s="1457"/>
      <c r="H819" s="1049"/>
      <c r="I819" s="1049"/>
      <c r="J819" s="1050"/>
      <c r="K819" s="1050"/>
      <c r="L819" s="1043"/>
      <c r="M819" s="1051"/>
      <c r="N819" s="1051"/>
      <c r="O819" s="1052"/>
      <c r="P819" s="1051"/>
      <c r="Q819" s="1051"/>
      <c r="R819" s="1052"/>
      <c r="S819" s="1051"/>
      <c r="T819" s="1051"/>
      <c r="U819" s="1052"/>
      <c r="V819" s="1051"/>
      <c r="W819" s="1051"/>
      <c r="X819" s="1052"/>
      <c r="Y819" s="1053"/>
      <c r="Z819" s="1051"/>
      <c r="AA819" s="1051"/>
      <c r="AB819" s="1052"/>
      <c r="AC819" s="1051"/>
      <c r="AD819" s="1051"/>
      <c r="AE819" s="1052"/>
      <c r="AF819" s="1051"/>
      <c r="AG819" s="1051"/>
      <c r="AH819" s="1051"/>
      <c r="AI819" s="1051"/>
      <c r="AJ819" s="1052"/>
      <c r="AK819" s="1051"/>
      <c r="AL819" s="1051"/>
      <c r="AM819" s="1052"/>
      <c r="AN819" s="1051"/>
      <c r="AO819" s="1051"/>
      <c r="AP819" s="1052"/>
      <c r="AQ819" s="1051"/>
      <c r="AR819" s="1051"/>
      <c r="AS819" s="1052"/>
      <c r="AT819" s="1051"/>
      <c r="AU819" s="1051"/>
      <c r="AV819" s="1052"/>
      <c r="AW819" s="1051"/>
      <c r="AX819" s="1051"/>
      <c r="AY819" s="1053"/>
      <c r="AZ819" s="1051"/>
      <c r="BA819" s="1051"/>
      <c r="BB819" s="1053"/>
      <c r="BC819" s="1051"/>
      <c r="BD819" s="1051"/>
      <c r="BE819" s="1053"/>
      <c r="BF819" s="1051"/>
      <c r="BG819" s="1051"/>
      <c r="BH819" s="1053"/>
      <c r="BI819" s="1052"/>
      <c r="BJ819" s="1052"/>
      <c r="BK819" s="1052"/>
      <c r="BL819" s="1052"/>
      <c r="BM819" s="1052"/>
      <c r="BN819" s="1054"/>
      <c r="BO819" s="1076">
        <f t="shared" si="23"/>
        <v>0</v>
      </c>
      <c r="BP819" s="1051"/>
      <c r="BQ819" s="1052"/>
      <c r="BR819" s="1054"/>
      <c r="BS819" s="1053"/>
      <c r="BT819" s="1051"/>
      <c r="BU819" s="1051"/>
      <c r="BV819" s="1051"/>
      <c r="BW819" s="1052"/>
      <c r="BX819" s="1052"/>
      <c r="BY819" s="1052"/>
      <c r="BZ819" s="1052"/>
      <c r="CA819" s="1052"/>
      <c r="CB819" s="1053"/>
      <c r="CC819" s="1053"/>
      <c r="CD819" s="1053"/>
      <c r="CE819" s="1053"/>
      <c r="CF819" s="1053"/>
      <c r="CG819" s="1053"/>
      <c r="CH819" s="1053"/>
      <c r="CI819" s="1123"/>
      <c r="CJ819" s="1123"/>
      <c r="CK819" s="1123"/>
      <c r="CL819" s="1123"/>
      <c r="CM819" s="1123"/>
      <c r="CN819" s="1123"/>
      <c r="CO819" s="1123"/>
      <c r="CP819" s="1123"/>
      <c r="CQ819" s="1123"/>
      <c r="CR819" s="1123"/>
      <c r="CS819" s="1123"/>
      <c r="CT819" s="1123"/>
      <c r="CU819" s="1123"/>
      <c r="CV819" s="1123"/>
      <c r="CW819" s="1123"/>
      <c r="CX819" s="1123"/>
      <c r="CY819" s="1123"/>
      <c r="CZ819" s="1114"/>
      <c r="DA819" s="1114"/>
      <c r="DB819" s="1114"/>
      <c r="DC819" s="1114"/>
      <c r="DD819" s="1114"/>
      <c r="DE819" s="1114"/>
      <c r="DF819" s="1114"/>
      <c r="DG819" s="1114"/>
      <c r="DH819" s="1114"/>
      <c r="DI819" s="1114"/>
      <c r="DJ819" s="1114"/>
      <c r="DK819" s="1114"/>
      <c r="DL819" s="1114"/>
      <c r="DM819" s="1114"/>
      <c r="DN819" s="1114"/>
      <c r="DO819" s="1114"/>
      <c r="DP819" s="1114"/>
      <c r="DQ819" s="1114"/>
      <c r="DR819" s="1114"/>
      <c r="DS819" s="1114"/>
      <c r="DT819" s="1114"/>
      <c r="DU819" s="1114"/>
      <c r="DV819" s="1115"/>
      <c r="DW819" s="1116"/>
      <c r="DX819" s="1116"/>
      <c r="DY819" s="1116"/>
      <c r="DZ819" s="1116"/>
      <c r="EA819" s="1116"/>
      <c r="EB819" s="1116"/>
      <c r="EC819" s="1116"/>
      <c r="ED819" s="1116"/>
      <c r="EE819" s="1116"/>
      <c r="EF819" s="1116"/>
      <c r="EG819" s="1116"/>
      <c r="EH819" s="1116"/>
      <c r="EI819" s="1116"/>
      <c r="EJ819" s="1116"/>
      <c r="EK819" s="1116"/>
      <c r="EL819" s="1116"/>
      <c r="EM819" s="1116"/>
      <c r="EN819" s="1116"/>
      <c r="EO819" s="1116"/>
      <c r="EP819" s="1116"/>
      <c r="EQ819" s="1116"/>
      <c r="ER819" s="1116"/>
      <c r="ES819" s="1116"/>
    </row>
    <row r="820" spans="1:149" ht="15" customHeight="1">
      <c r="A820" s="1185">
        <v>805</v>
      </c>
      <c r="B820" s="1041"/>
      <c r="C820" s="1050"/>
      <c r="D820" s="1050"/>
      <c r="E820" s="1050"/>
      <c r="F820" s="1049"/>
      <c r="G820" s="1457"/>
      <c r="H820" s="1049"/>
      <c r="I820" s="1049"/>
      <c r="J820" s="1050"/>
      <c r="K820" s="1050"/>
      <c r="L820" s="1043"/>
      <c r="M820" s="1051"/>
      <c r="N820" s="1051"/>
      <c r="O820" s="1052"/>
      <c r="P820" s="1051"/>
      <c r="Q820" s="1051"/>
      <c r="R820" s="1052"/>
      <c r="S820" s="1051"/>
      <c r="T820" s="1051"/>
      <c r="U820" s="1052"/>
      <c r="V820" s="1051"/>
      <c r="W820" s="1051"/>
      <c r="X820" s="1052"/>
      <c r="Y820" s="1053"/>
      <c r="Z820" s="1051"/>
      <c r="AA820" s="1051"/>
      <c r="AB820" s="1052"/>
      <c r="AC820" s="1051"/>
      <c r="AD820" s="1051"/>
      <c r="AE820" s="1052"/>
      <c r="AF820" s="1051"/>
      <c r="AG820" s="1051"/>
      <c r="AH820" s="1051"/>
      <c r="AI820" s="1051"/>
      <c r="AJ820" s="1052"/>
      <c r="AK820" s="1051"/>
      <c r="AL820" s="1051"/>
      <c r="AM820" s="1052"/>
      <c r="AN820" s="1051"/>
      <c r="AO820" s="1051"/>
      <c r="AP820" s="1052"/>
      <c r="AQ820" s="1051"/>
      <c r="AR820" s="1051"/>
      <c r="AS820" s="1052"/>
      <c r="AT820" s="1051"/>
      <c r="AU820" s="1051"/>
      <c r="AV820" s="1052"/>
      <c r="AW820" s="1051"/>
      <c r="AX820" s="1051"/>
      <c r="AY820" s="1053"/>
      <c r="AZ820" s="1051"/>
      <c r="BA820" s="1051"/>
      <c r="BB820" s="1053"/>
      <c r="BC820" s="1051"/>
      <c r="BD820" s="1051"/>
      <c r="BE820" s="1053"/>
      <c r="BF820" s="1051"/>
      <c r="BG820" s="1051"/>
      <c r="BH820" s="1053"/>
      <c r="BI820" s="1052"/>
      <c r="BJ820" s="1052"/>
      <c r="BK820" s="1052"/>
      <c r="BL820" s="1052"/>
      <c r="BM820" s="1052"/>
      <c r="BN820" s="1054"/>
      <c r="BO820" s="1076">
        <f t="shared" si="23"/>
        <v>0</v>
      </c>
      <c r="BP820" s="1051"/>
      <c r="BQ820" s="1052"/>
      <c r="BR820" s="1054"/>
      <c r="BS820" s="1053"/>
      <c r="BT820" s="1051"/>
      <c r="BU820" s="1051"/>
      <c r="BV820" s="1051"/>
      <c r="BW820" s="1052"/>
      <c r="BX820" s="1052"/>
      <c r="BY820" s="1052"/>
      <c r="BZ820" s="1052"/>
      <c r="CA820" s="1052"/>
      <c r="CB820" s="1053"/>
      <c r="CC820" s="1053"/>
      <c r="CD820" s="1053"/>
      <c r="CE820" s="1053"/>
      <c r="CF820" s="1053"/>
      <c r="CG820" s="1053"/>
      <c r="CH820" s="1053"/>
      <c r="CI820" s="1123"/>
      <c r="CJ820" s="1123"/>
      <c r="CK820" s="1123"/>
      <c r="CL820" s="1123"/>
      <c r="CM820" s="1123"/>
      <c r="CN820" s="1123"/>
      <c r="CO820" s="1123"/>
      <c r="CP820" s="1123"/>
      <c r="CQ820" s="1123"/>
      <c r="CR820" s="1123"/>
      <c r="CS820" s="1123"/>
      <c r="CT820" s="1123"/>
      <c r="CU820" s="1123"/>
      <c r="CV820" s="1123"/>
      <c r="CW820" s="1123"/>
      <c r="CX820" s="1123"/>
      <c r="CY820" s="1123"/>
      <c r="CZ820" s="1114"/>
      <c r="DA820" s="1114"/>
      <c r="DB820" s="1114"/>
      <c r="DC820" s="1114"/>
      <c r="DD820" s="1114"/>
      <c r="DE820" s="1114"/>
      <c r="DF820" s="1114"/>
      <c r="DG820" s="1114"/>
      <c r="DH820" s="1114"/>
      <c r="DI820" s="1114"/>
      <c r="DJ820" s="1114"/>
      <c r="DK820" s="1114"/>
      <c r="DL820" s="1114"/>
      <c r="DM820" s="1114"/>
      <c r="DN820" s="1114"/>
      <c r="DO820" s="1114"/>
      <c r="DP820" s="1114"/>
      <c r="DQ820" s="1114"/>
      <c r="DR820" s="1114"/>
      <c r="DS820" s="1114"/>
      <c r="DT820" s="1114"/>
      <c r="DU820" s="1114"/>
      <c r="DV820" s="1115"/>
      <c r="DW820" s="1116"/>
      <c r="DX820" s="1116"/>
      <c r="DY820" s="1116"/>
      <c r="DZ820" s="1116"/>
      <c r="EA820" s="1116"/>
      <c r="EB820" s="1116"/>
      <c r="EC820" s="1116"/>
      <c r="ED820" s="1116"/>
      <c r="EE820" s="1116"/>
      <c r="EF820" s="1116"/>
      <c r="EG820" s="1116"/>
      <c r="EH820" s="1116"/>
      <c r="EI820" s="1116"/>
      <c r="EJ820" s="1116"/>
      <c r="EK820" s="1116"/>
      <c r="EL820" s="1116"/>
      <c r="EM820" s="1116"/>
      <c r="EN820" s="1116"/>
      <c r="EO820" s="1116"/>
      <c r="EP820" s="1116"/>
      <c r="EQ820" s="1116"/>
      <c r="ER820" s="1116"/>
      <c r="ES820" s="1116"/>
    </row>
    <row r="821" spans="1:149" ht="15" customHeight="1">
      <c r="A821" s="1185">
        <v>806</v>
      </c>
      <c r="B821" s="1041"/>
      <c r="C821" s="1050"/>
      <c r="D821" s="1050"/>
      <c r="E821" s="1050"/>
      <c r="F821" s="1049"/>
      <c r="G821" s="1457"/>
      <c r="H821" s="1049"/>
      <c r="I821" s="1049"/>
      <c r="J821" s="1050"/>
      <c r="K821" s="1050"/>
      <c r="L821" s="1043"/>
      <c r="M821" s="1051"/>
      <c r="N821" s="1051"/>
      <c r="O821" s="1052"/>
      <c r="P821" s="1051"/>
      <c r="Q821" s="1051"/>
      <c r="R821" s="1052"/>
      <c r="S821" s="1051"/>
      <c r="T821" s="1051"/>
      <c r="U821" s="1052"/>
      <c r="V821" s="1051"/>
      <c r="W821" s="1051"/>
      <c r="X821" s="1052"/>
      <c r="Y821" s="1053"/>
      <c r="Z821" s="1051"/>
      <c r="AA821" s="1051"/>
      <c r="AB821" s="1052"/>
      <c r="AC821" s="1051"/>
      <c r="AD821" s="1051"/>
      <c r="AE821" s="1052"/>
      <c r="AF821" s="1051"/>
      <c r="AG821" s="1051"/>
      <c r="AH821" s="1051"/>
      <c r="AI821" s="1051"/>
      <c r="AJ821" s="1052"/>
      <c r="AK821" s="1051"/>
      <c r="AL821" s="1051"/>
      <c r="AM821" s="1052"/>
      <c r="AN821" s="1051"/>
      <c r="AO821" s="1051"/>
      <c r="AP821" s="1052"/>
      <c r="AQ821" s="1051"/>
      <c r="AR821" s="1051"/>
      <c r="AS821" s="1052"/>
      <c r="AT821" s="1051"/>
      <c r="AU821" s="1051"/>
      <c r="AV821" s="1052"/>
      <c r="AW821" s="1051"/>
      <c r="AX821" s="1051"/>
      <c r="AY821" s="1053"/>
      <c r="AZ821" s="1051"/>
      <c r="BA821" s="1051"/>
      <c r="BB821" s="1053"/>
      <c r="BC821" s="1051"/>
      <c r="BD821" s="1051"/>
      <c r="BE821" s="1053"/>
      <c r="BF821" s="1051"/>
      <c r="BG821" s="1051"/>
      <c r="BH821" s="1053"/>
      <c r="BI821" s="1052"/>
      <c r="BJ821" s="1052"/>
      <c r="BK821" s="1052"/>
      <c r="BL821" s="1052"/>
      <c r="BM821" s="1052"/>
      <c r="BN821" s="1054"/>
      <c r="BO821" s="1076">
        <f t="shared" si="23"/>
        <v>0</v>
      </c>
      <c r="BP821" s="1051"/>
      <c r="BQ821" s="1052"/>
      <c r="BR821" s="1054"/>
      <c r="BS821" s="1053"/>
      <c r="BT821" s="1051"/>
      <c r="BU821" s="1051"/>
      <c r="BV821" s="1051"/>
      <c r="BW821" s="1052"/>
      <c r="BX821" s="1052"/>
      <c r="BY821" s="1052"/>
      <c r="BZ821" s="1052"/>
      <c r="CA821" s="1052"/>
      <c r="CB821" s="1053"/>
      <c r="CC821" s="1053"/>
      <c r="CD821" s="1053"/>
      <c r="CE821" s="1053"/>
      <c r="CF821" s="1053"/>
      <c r="CG821" s="1053"/>
      <c r="CH821" s="1053"/>
      <c r="CI821" s="1123"/>
      <c r="CJ821" s="1123"/>
      <c r="CK821" s="1123"/>
      <c r="CL821" s="1123"/>
      <c r="CM821" s="1123"/>
      <c r="CN821" s="1123"/>
      <c r="CO821" s="1123"/>
      <c r="CP821" s="1123"/>
      <c r="CQ821" s="1123"/>
      <c r="CR821" s="1123"/>
      <c r="CS821" s="1123"/>
      <c r="CT821" s="1123"/>
      <c r="CU821" s="1123"/>
      <c r="CV821" s="1123"/>
      <c r="CW821" s="1123"/>
      <c r="CX821" s="1123"/>
      <c r="CY821" s="1123"/>
      <c r="CZ821" s="1114"/>
      <c r="DA821" s="1114"/>
      <c r="DB821" s="1114"/>
      <c r="DC821" s="1114"/>
      <c r="DD821" s="1114"/>
      <c r="DE821" s="1114"/>
      <c r="DF821" s="1114"/>
      <c r="DG821" s="1114"/>
      <c r="DH821" s="1114"/>
      <c r="DI821" s="1114"/>
      <c r="DJ821" s="1114"/>
      <c r="DK821" s="1114"/>
      <c r="DL821" s="1114"/>
      <c r="DM821" s="1114"/>
      <c r="DN821" s="1114"/>
      <c r="DO821" s="1114"/>
      <c r="DP821" s="1114"/>
      <c r="DQ821" s="1114"/>
      <c r="DR821" s="1114"/>
      <c r="DS821" s="1114"/>
      <c r="DT821" s="1114"/>
      <c r="DU821" s="1114"/>
      <c r="DV821" s="1115"/>
      <c r="DW821" s="1116"/>
      <c r="DX821" s="1116"/>
      <c r="DY821" s="1116"/>
      <c r="DZ821" s="1116"/>
      <c r="EA821" s="1116"/>
      <c r="EB821" s="1116"/>
      <c r="EC821" s="1116"/>
      <c r="ED821" s="1116"/>
      <c r="EE821" s="1116"/>
      <c r="EF821" s="1116"/>
      <c r="EG821" s="1116"/>
      <c r="EH821" s="1116"/>
      <c r="EI821" s="1116"/>
      <c r="EJ821" s="1116"/>
      <c r="EK821" s="1116"/>
      <c r="EL821" s="1116"/>
      <c r="EM821" s="1116"/>
      <c r="EN821" s="1116"/>
      <c r="EO821" s="1116"/>
      <c r="EP821" s="1116"/>
      <c r="EQ821" s="1116"/>
      <c r="ER821" s="1116"/>
      <c r="ES821" s="1116"/>
    </row>
    <row r="822" spans="1:149" ht="15" customHeight="1">
      <c r="A822" s="1185">
        <v>807</v>
      </c>
      <c r="B822" s="1041"/>
      <c r="C822" s="1050"/>
      <c r="D822" s="1050"/>
      <c r="E822" s="1050"/>
      <c r="F822" s="1049"/>
      <c r="G822" s="1457"/>
      <c r="H822" s="1049"/>
      <c r="I822" s="1049"/>
      <c r="J822" s="1050"/>
      <c r="K822" s="1050"/>
      <c r="L822" s="1043"/>
      <c r="M822" s="1051"/>
      <c r="N822" s="1051"/>
      <c r="O822" s="1052"/>
      <c r="P822" s="1051"/>
      <c r="Q822" s="1051"/>
      <c r="R822" s="1052"/>
      <c r="S822" s="1051"/>
      <c r="T822" s="1051"/>
      <c r="U822" s="1052"/>
      <c r="V822" s="1051"/>
      <c r="W822" s="1051"/>
      <c r="X822" s="1052"/>
      <c r="Y822" s="1053"/>
      <c r="Z822" s="1051"/>
      <c r="AA822" s="1051"/>
      <c r="AB822" s="1052"/>
      <c r="AC822" s="1051"/>
      <c r="AD822" s="1051"/>
      <c r="AE822" s="1052"/>
      <c r="AF822" s="1051"/>
      <c r="AG822" s="1051"/>
      <c r="AH822" s="1051"/>
      <c r="AI822" s="1051"/>
      <c r="AJ822" s="1052"/>
      <c r="AK822" s="1051"/>
      <c r="AL822" s="1051"/>
      <c r="AM822" s="1052"/>
      <c r="AN822" s="1051"/>
      <c r="AO822" s="1051"/>
      <c r="AP822" s="1052"/>
      <c r="AQ822" s="1051"/>
      <c r="AR822" s="1051"/>
      <c r="AS822" s="1052"/>
      <c r="AT822" s="1051"/>
      <c r="AU822" s="1051"/>
      <c r="AV822" s="1052"/>
      <c r="AW822" s="1051"/>
      <c r="AX822" s="1051"/>
      <c r="AY822" s="1053"/>
      <c r="AZ822" s="1051"/>
      <c r="BA822" s="1051"/>
      <c r="BB822" s="1053"/>
      <c r="BC822" s="1051"/>
      <c r="BD822" s="1051"/>
      <c r="BE822" s="1053"/>
      <c r="BF822" s="1051"/>
      <c r="BG822" s="1051"/>
      <c r="BH822" s="1053"/>
      <c r="BI822" s="1052"/>
      <c r="BJ822" s="1052"/>
      <c r="BK822" s="1052"/>
      <c r="BL822" s="1052"/>
      <c r="BM822" s="1052"/>
      <c r="BN822" s="1054"/>
      <c r="BO822" s="1076">
        <f t="shared" ref="BO822:BO885" si="24">H822</f>
        <v>0</v>
      </c>
      <c r="BP822" s="1051"/>
      <c r="BQ822" s="1052"/>
      <c r="BR822" s="1054"/>
      <c r="BS822" s="1053"/>
      <c r="BT822" s="1051"/>
      <c r="BU822" s="1051"/>
      <c r="BV822" s="1051"/>
      <c r="BW822" s="1052"/>
      <c r="BX822" s="1052"/>
      <c r="BY822" s="1052"/>
      <c r="BZ822" s="1052"/>
      <c r="CA822" s="1052"/>
      <c r="CB822" s="1053"/>
      <c r="CC822" s="1053"/>
      <c r="CD822" s="1053"/>
      <c r="CE822" s="1053"/>
      <c r="CF822" s="1053"/>
      <c r="CG822" s="1053"/>
      <c r="CH822" s="1053"/>
      <c r="CI822" s="1123"/>
      <c r="CJ822" s="1123"/>
      <c r="CK822" s="1123"/>
      <c r="CL822" s="1123"/>
      <c r="CM822" s="1123"/>
      <c r="CN822" s="1123"/>
      <c r="CO822" s="1123"/>
      <c r="CP822" s="1123"/>
      <c r="CQ822" s="1123"/>
      <c r="CR822" s="1123"/>
      <c r="CS822" s="1123"/>
      <c r="CT822" s="1123"/>
      <c r="CU822" s="1123"/>
      <c r="CV822" s="1123"/>
      <c r="CW822" s="1123"/>
      <c r="CX822" s="1123"/>
      <c r="CY822" s="1123"/>
      <c r="CZ822" s="1114"/>
      <c r="DA822" s="1114"/>
      <c r="DB822" s="1114"/>
      <c r="DC822" s="1114"/>
      <c r="DD822" s="1114"/>
      <c r="DE822" s="1114"/>
      <c r="DF822" s="1114"/>
      <c r="DG822" s="1114"/>
      <c r="DH822" s="1114"/>
      <c r="DI822" s="1114"/>
      <c r="DJ822" s="1114"/>
      <c r="DK822" s="1114"/>
      <c r="DL822" s="1114"/>
      <c r="DM822" s="1114"/>
      <c r="DN822" s="1114"/>
      <c r="DO822" s="1114"/>
      <c r="DP822" s="1114"/>
      <c r="DQ822" s="1114"/>
      <c r="DR822" s="1114"/>
      <c r="DS822" s="1114"/>
      <c r="DT822" s="1114"/>
      <c r="DU822" s="1114"/>
      <c r="DV822" s="1115"/>
      <c r="DW822" s="1116"/>
      <c r="DX822" s="1116"/>
      <c r="DY822" s="1116"/>
      <c r="DZ822" s="1116"/>
      <c r="EA822" s="1116"/>
      <c r="EB822" s="1116"/>
      <c r="EC822" s="1116"/>
      <c r="ED822" s="1116"/>
      <c r="EE822" s="1116"/>
      <c r="EF822" s="1116"/>
      <c r="EG822" s="1116"/>
      <c r="EH822" s="1116"/>
      <c r="EI822" s="1116"/>
      <c r="EJ822" s="1116"/>
      <c r="EK822" s="1116"/>
      <c r="EL822" s="1116"/>
      <c r="EM822" s="1116"/>
      <c r="EN822" s="1116"/>
      <c r="EO822" s="1116"/>
      <c r="EP822" s="1116"/>
      <c r="EQ822" s="1116"/>
      <c r="ER822" s="1116"/>
      <c r="ES822" s="1116"/>
    </row>
    <row r="823" spans="1:149" ht="15" customHeight="1">
      <c r="A823" s="1185">
        <v>808</v>
      </c>
      <c r="B823" s="1041"/>
      <c r="C823" s="1050"/>
      <c r="D823" s="1050"/>
      <c r="E823" s="1050"/>
      <c r="F823" s="1049"/>
      <c r="G823" s="1457"/>
      <c r="H823" s="1049"/>
      <c r="I823" s="1049"/>
      <c r="J823" s="1050"/>
      <c r="K823" s="1050"/>
      <c r="L823" s="1043"/>
      <c r="M823" s="1051"/>
      <c r="N823" s="1051"/>
      <c r="O823" s="1052"/>
      <c r="P823" s="1051"/>
      <c r="Q823" s="1051"/>
      <c r="R823" s="1052"/>
      <c r="S823" s="1051"/>
      <c r="T823" s="1051"/>
      <c r="U823" s="1052"/>
      <c r="V823" s="1051"/>
      <c r="W823" s="1051"/>
      <c r="X823" s="1052"/>
      <c r="Y823" s="1053"/>
      <c r="Z823" s="1051"/>
      <c r="AA823" s="1051"/>
      <c r="AB823" s="1052"/>
      <c r="AC823" s="1051"/>
      <c r="AD823" s="1051"/>
      <c r="AE823" s="1052"/>
      <c r="AF823" s="1051"/>
      <c r="AG823" s="1051"/>
      <c r="AH823" s="1051"/>
      <c r="AI823" s="1051"/>
      <c r="AJ823" s="1052"/>
      <c r="AK823" s="1051"/>
      <c r="AL823" s="1051"/>
      <c r="AM823" s="1052"/>
      <c r="AN823" s="1051"/>
      <c r="AO823" s="1051"/>
      <c r="AP823" s="1052"/>
      <c r="AQ823" s="1051"/>
      <c r="AR823" s="1051"/>
      <c r="AS823" s="1052"/>
      <c r="AT823" s="1051"/>
      <c r="AU823" s="1051"/>
      <c r="AV823" s="1052"/>
      <c r="AW823" s="1051"/>
      <c r="AX823" s="1051"/>
      <c r="AY823" s="1053"/>
      <c r="AZ823" s="1051"/>
      <c r="BA823" s="1051"/>
      <c r="BB823" s="1053"/>
      <c r="BC823" s="1051"/>
      <c r="BD823" s="1051"/>
      <c r="BE823" s="1053"/>
      <c r="BF823" s="1051"/>
      <c r="BG823" s="1051"/>
      <c r="BH823" s="1053"/>
      <c r="BI823" s="1052"/>
      <c r="BJ823" s="1052"/>
      <c r="BK823" s="1052"/>
      <c r="BL823" s="1052"/>
      <c r="BM823" s="1052"/>
      <c r="BN823" s="1054"/>
      <c r="BO823" s="1076">
        <f t="shared" si="24"/>
        <v>0</v>
      </c>
      <c r="BP823" s="1051"/>
      <c r="BQ823" s="1052"/>
      <c r="BR823" s="1054"/>
      <c r="BS823" s="1053"/>
      <c r="BT823" s="1051"/>
      <c r="BU823" s="1051"/>
      <c r="BV823" s="1051"/>
      <c r="BW823" s="1052"/>
      <c r="BX823" s="1052"/>
      <c r="BY823" s="1052"/>
      <c r="BZ823" s="1052"/>
      <c r="CA823" s="1052"/>
      <c r="CB823" s="1053"/>
      <c r="CC823" s="1053"/>
      <c r="CD823" s="1053"/>
      <c r="CE823" s="1053"/>
      <c r="CF823" s="1053"/>
      <c r="CG823" s="1053"/>
      <c r="CH823" s="1053"/>
      <c r="CI823" s="1123"/>
      <c r="CJ823" s="1123"/>
      <c r="CK823" s="1123"/>
      <c r="CL823" s="1123"/>
      <c r="CM823" s="1123"/>
      <c r="CN823" s="1123"/>
      <c r="CO823" s="1123"/>
      <c r="CP823" s="1123"/>
      <c r="CQ823" s="1123"/>
      <c r="CR823" s="1123"/>
      <c r="CS823" s="1123"/>
      <c r="CT823" s="1123"/>
      <c r="CU823" s="1123"/>
      <c r="CV823" s="1123"/>
      <c r="CW823" s="1123"/>
      <c r="CX823" s="1123"/>
      <c r="CY823" s="1123"/>
      <c r="CZ823" s="1114"/>
      <c r="DA823" s="1114"/>
      <c r="DB823" s="1114"/>
      <c r="DC823" s="1114"/>
      <c r="DD823" s="1114"/>
      <c r="DE823" s="1114"/>
      <c r="DF823" s="1114"/>
      <c r="DG823" s="1114"/>
      <c r="DH823" s="1114"/>
      <c r="DI823" s="1114"/>
      <c r="DJ823" s="1114"/>
      <c r="DK823" s="1114"/>
      <c r="DL823" s="1114"/>
      <c r="DM823" s="1114"/>
      <c r="DN823" s="1114"/>
      <c r="DO823" s="1114"/>
      <c r="DP823" s="1114"/>
      <c r="DQ823" s="1114"/>
      <c r="DR823" s="1114"/>
      <c r="DS823" s="1114"/>
      <c r="DT823" s="1114"/>
      <c r="DU823" s="1114"/>
      <c r="DV823" s="1115"/>
      <c r="DW823" s="1116"/>
      <c r="DX823" s="1116"/>
      <c r="DY823" s="1116"/>
      <c r="DZ823" s="1116"/>
      <c r="EA823" s="1116"/>
      <c r="EB823" s="1116"/>
      <c r="EC823" s="1116"/>
      <c r="ED823" s="1116"/>
      <c r="EE823" s="1116"/>
      <c r="EF823" s="1116"/>
      <c r="EG823" s="1116"/>
      <c r="EH823" s="1116"/>
      <c r="EI823" s="1116"/>
      <c r="EJ823" s="1116"/>
      <c r="EK823" s="1116"/>
      <c r="EL823" s="1116"/>
      <c r="EM823" s="1116"/>
      <c r="EN823" s="1116"/>
      <c r="EO823" s="1116"/>
      <c r="EP823" s="1116"/>
      <c r="EQ823" s="1116"/>
      <c r="ER823" s="1116"/>
      <c r="ES823" s="1116"/>
    </row>
    <row r="824" spans="1:149" ht="15" customHeight="1">
      <c r="A824" s="1185">
        <v>809</v>
      </c>
      <c r="B824" s="1041"/>
      <c r="C824" s="1050"/>
      <c r="D824" s="1050"/>
      <c r="E824" s="1050"/>
      <c r="F824" s="1049"/>
      <c r="G824" s="1457"/>
      <c r="H824" s="1049"/>
      <c r="I824" s="1049"/>
      <c r="J824" s="1050"/>
      <c r="K824" s="1050"/>
      <c r="L824" s="1043"/>
      <c r="M824" s="1051"/>
      <c r="N824" s="1051"/>
      <c r="O824" s="1052"/>
      <c r="P824" s="1051"/>
      <c r="Q824" s="1051"/>
      <c r="R824" s="1052"/>
      <c r="S824" s="1051"/>
      <c r="T824" s="1051"/>
      <c r="U824" s="1052"/>
      <c r="V824" s="1051"/>
      <c r="W824" s="1051"/>
      <c r="X824" s="1052"/>
      <c r="Y824" s="1053"/>
      <c r="Z824" s="1051"/>
      <c r="AA824" s="1051"/>
      <c r="AB824" s="1052"/>
      <c r="AC824" s="1051"/>
      <c r="AD824" s="1051"/>
      <c r="AE824" s="1052"/>
      <c r="AF824" s="1051"/>
      <c r="AG824" s="1051"/>
      <c r="AH824" s="1051"/>
      <c r="AI824" s="1051"/>
      <c r="AJ824" s="1052"/>
      <c r="AK824" s="1051"/>
      <c r="AL824" s="1051"/>
      <c r="AM824" s="1052"/>
      <c r="AN824" s="1051"/>
      <c r="AO824" s="1051"/>
      <c r="AP824" s="1052"/>
      <c r="AQ824" s="1051"/>
      <c r="AR824" s="1051"/>
      <c r="AS824" s="1052"/>
      <c r="AT824" s="1051"/>
      <c r="AU824" s="1051"/>
      <c r="AV824" s="1052"/>
      <c r="AW824" s="1051"/>
      <c r="AX824" s="1051"/>
      <c r="AY824" s="1053"/>
      <c r="AZ824" s="1051"/>
      <c r="BA824" s="1051"/>
      <c r="BB824" s="1053"/>
      <c r="BC824" s="1051"/>
      <c r="BD824" s="1051"/>
      <c r="BE824" s="1053"/>
      <c r="BF824" s="1051"/>
      <c r="BG824" s="1051"/>
      <c r="BH824" s="1053"/>
      <c r="BI824" s="1052"/>
      <c r="BJ824" s="1052"/>
      <c r="BK824" s="1052"/>
      <c r="BL824" s="1052"/>
      <c r="BM824" s="1052"/>
      <c r="BN824" s="1054"/>
      <c r="BO824" s="1076">
        <f t="shared" si="24"/>
        <v>0</v>
      </c>
      <c r="BP824" s="1051"/>
      <c r="BQ824" s="1052"/>
      <c r="BR824" s="1054"/>
      <c r="BS824" s="1053"/>
      <c r="BT824" s="1051"/>
      <c r="BU824" s="1051"/>
      <c r="BV824" s="1051"/>
      <c r="BW824" s="1052"/>
      <c r="BX824" s="1052"/>
      <c r="BY824" s="1052"/>
      <c r="BZ824" s="1052"/>
      <c r="CA824" s="1052"/>
      <c r="CB824" s="1053"/>
      <c r="CC824" s="1053"/>
      <c r="CD824" s="1053"/>
      <c r="CE824" s="1053"/>
      <c r="CF824" s="1053"/>
      <c r="CG824" s="1053"/>
      <c r="CH824" s="1053"/>
      <c r="CI824" s="1123"/>
      <c r="CJ824" s="1123"/>
      <c r="CK824" s="1123"/>
      <c r="CL824" s="1123"/>
      <c r="CM824" s="1123"/>
      <c r="CN824" s="1123"/>
      <c r="CO824" s="1123"/>
      <c r="CP824" s="1123"/>
      <c r="CQ824" s="1123"/>
      <c r="CR824" s="1123"/>
      <c r="CS824" s="1123"/>
      <c r="CT824" s="1123"/>
      <c r="CU824" s="1123"/>
      <c r="CV824" s="1123"/>
      <c r="CW824" s="1123"/>
      <c r="CX824" s="1123"/>
      <c r="CY824" s="1123"/>
      <c r="CZ824" s="1114"/>
      <c r="DA824" s="1114"/>
      <c r="DB824" s="1114"/>
      <c r="DC824" s="1114"/>
      <c r="DD824" s="1114"/>
      <c r="DE824" s="1114"/>
      <c r="DF824" s="1114"/>
      <c r="DG824" s="1114"/>
      <c r="DH824" s="1114"/>
      <c r="DI824" s="1114"/>
      <c r="DJ824" s="1114"/>
      <c r="DK824" s="1114"/>
      <c r="DL824" s="1114"/>
      <c r="DM824" s="1114"/>
      <c r="DN824" s="1114"/>
      <c r="DO824" s="1114"/>
      <c r="DP824" s="1114"/>
      <c r="DQ824" s="1114"/>
      <c r="DR824" s="1114"/>
      <c r="DS824" s="1114"/>
      <c r="DT824" s="1114"/>
      <c r="DU824" s="1114"/>
      <c r="DV824" s="1115"/>
      <c r="DW824" s="1116"/>
      <c r="DX824" s="1116"/>
      <c r="DY824" s="1116"/>
      <c r="DZ824" s="1116"/>
      <c r="EA824" s="1116"/>
      <c r="EB824" s="1116"/>
      <c r="EC824" s="1116"/>
      <c r="ED824" s="1116"/>
      <c r="EE824" s="1116"/>
      <c r="EF824" s="1116"/>
      <c r="EG824" s="1116"/>
      <c r="EH824" s="1116"/>
      <c r="EI824" s="1116"/>
      <c r="EJ824" s="1116"/>
      <c r="EK824" s="1116"/>
      <c r="EL824" s="1116"/>
      <c r="EM824" s="1116"/>
      <c r="EN824" s="1116"/>
      <c r="EO824" s="1116"/>
      <c r="EP824" s="1116"/>
      <c r="EQ824" s="1116"/>
      <c r="ER824" s="1116"/>
      <c r="ES824" s="1116"/>
    </row>
    <row r="825" spans="1:149" ht="15" customHeight="1">
      <c r="A825" s="1185">
        <v>810</v>
      </c>
      <c r="B825" s="1041"/>
      <c r="C825" s="1050"/>
      <c r="D825" s="1050"/>
      <c r="E825" s="1050"/>
      <c r="F825" s="1049"/>
      <c r="G825" s="1457"/>
      <c r="H825" s="1049"/>
      <c r="I825" s="1049"/>
      <c r="J825" s="1050"/>
      <c r="K825" s="1050"/>
      <c r="L825" s="1043"/>
      <c r="M825" s="1051"/>
      <c r="N825" s="1051"/>
      <c r="O825" s="1052"/>
      <c r="P825" s="1051"/>
      <c r="Q825" s="1051"/>
      <c r="R825" s="1052"/>
      <c r="S825" s="1051"/>
      <c r="T825" s="1051"/>
      <c r="U825" s="1052"/>
      <c r="V825" s="1051"/>
      <c r="W825" s="1051"/>
      <c r="X825" s="1052"/>
      <c r="Y825" s="1053"/>
      <c r="Z825" s="1051"/>
      <c r="AA825" s="1051"/>
      <c r="AB825" s="1052"/>
      <c r="AC825" s="1051"/>
      <c r="AD825" s="1051"/>
      <c r="AE825" s="1052"/>
      <c r="AF825" s="1051"/>
      <c r="AG825" s="1051"/>
      <c r="AH825" s="1051"/>
      <c r="AI825" s="1051"/>
      <c r="AJ825" s="1052"/>
      <c r="AK825" s="1051"/>
      <c r="AL825" s="1051"/>
      <c r="AM825" s="1052"/>
      <c r="AN825" s="1051"/>
      <c r="AO825" s="1051"/>
      <c r="AP825" s="1052"/>
      <c r="AQ825" s="1051"/>
      <c r="AR825" s="1051"/>
      <c r="AS825" s="1052"/>
      <c r="AT825" s="1051"/>
      <c r="AU825" s="1051"/>
      <c r="AV825" s="1052"/>
      <c r="AW825" s="1051"/>
      <c r="AX825" s="1051"/>
      <c r="AY825" s="1053"/>
      <c r="AZ825" s="1051"/>
      <c r="BA825" s="1051"/>
      <c r="BB825" s="1053"/>
      <c r="BC825" s="1051"/>
      <c r="BD825" s="1051"/>
      <c r="BE825" s="1053"/>
      <c r="BF825" s="1051"/>
      <c r="BG825" s="1051"/>
      <c r="BH825" s="1053"/>
      <c r="BI825" s="1052"/>
      <c r="BJ825" s="1052"/>
      <c r="BK825" s="1052"/>
      <c r="BL825" s="1052"/>
      <c r="BM825" s="1052"/>
      <c r="BN825" s="1054"/>
      <c r="BO825" s="1076">
        <f t="shared" si="24"/>
        <v>0</v>
      </c>
      <c r="BP825" s="1051"/>
      <c r="BQ825" s="1052"/>
      <c r="BR825" s="1054"/>
      <c r="BS825" s="1053"/>
      <c r="BT825" s="1051"/>
      <c r="BU825" s="1051"/>
      <c r="BV825" s="1051"/>
      <c r="BW825" s="1052"/>
      <c r="BX825" s="1052"/>
      <c r="BY825" s="1052"/>
      <c r="BZ825" s="1052"/>
      <c r="CA825" s="1052"/>
      <c r="CB825" s="1053"/>
      <c r="CC825" s="1053"/>
      <c r="CD825" s="1053"/>
      <c r="CE825" s="1053"/>
      <c r="CF825" s="1053"/>
      <c r="CG825" s="1053"/>
      <c r="CH825" s="1053"/>
      <c r="CI825" s="1123"/>
      <c r="CJ825" s="1123"/>
      <c r="CK825" s="1123"/>
      <c r="CL825" s="1123"/>
      <c r="CM825" s="1123"/>
      <c r="CN825" s="1123"/>
      <c r="CO825" s="1123"/>
      <c r="CP825" s="1123"/>
      <c r="CQ825" s="1123"/>
      <c r="CR825" s="1123"/>
      <c r="CS825" s="1123"/>
      <c r="CT825" s="1123"/>
      <c r="CU825" s="1123"/>
      <c r="CV825" s="1123"/>
      <c r="CW825" s="1123"/>
      <c r="CX825" s="1123"/>
      <c r="CY825" s="1123"/>
      <c r="CZ825" s="1114"/>
      <c r="DA825" s="1114"/>
      <c r="DB825" s="1114"/>
      <c r="DC825" s="1114"/>
      <c r="DD825" s="1114"/>
      <c r="DE825" s="1114"/>
      <c r="DF825" s="1114"/>
      <c r="DG825" s="1114"/>
      <c r="DH825" s="1114"/>
      <c r="DI825" s="1114"/>
      <c r="DJ825" s="1114"/>
      <c r="DK825" s="1114"/>
      <c r="DL825" s="1114"/>
      <c r="DM825" s="1114"/>
      <c r="DN825" s="1114"/>
      <c r="DO825" s="1114"/>
      <c r="DP825" s="1114"/>
      <c r="DQ825" s="1114"/>
      <c r="DR825" s="1114"/>
      <c r="DS825" s="1114"/>
      <c r="DT825" s="1114"/>
      <c r="DU825" s="1114"/>
      <c r="DV825" s="1115"/>
      <c r="DW825" s="1116"/>
      <c r="DX825" s="1116"/>
      <c r="DY825" s="1116"/>
      <c r="DZ825" s="1116"/>
      <c r="EA825" s="1116"/>
      <c r="EB825" s="1116"/>
      <c r="EC825" s="1116"/>
      <c r="ED825" s="1116"/>
      <c r="EE825" s="1116"/>
      <c r="EF825" s="1116"/>
      <c r="EG825" s="1116"/>
      <c r="EH825" s="1116"/>
      <c r="EI825" s="1116"/>
      <c r="EJ825" s="1116"/>
      <c r="EK825" s="1116"/>
      <c r="EL825" s="1116"/>
      <c r="EM825" s="1116"/>
      <c r="EN825" s="1116"/>
      <c r="EO825" s="1116"/>
      <c r="EP825" s="1116"/>
      <c r="EQ825" s="1116"/>
      <c r="ER825" s="1116"/>
      <c r="ES825" s="1116"/>
    </row>
    <row r="826" spans="1:149" ht="15" customHeight="1">
      <c r="A826" s="1185">
        <v>811</v>
      </c>
      <c r="B826" s="1041"/>
      <c r="C826" s="1050"/>
      <c r="D826" s="1050"/>
      <c r="E826" s="1050"/>
      <c r="F826" s="1049"/>
      <c r="G826" s="1457"/>
      <c r="H826" s="1049"/>
      <c r="I826" s="1049"/>
      <c r="J826" s="1050"/>
      <c r="K826" s="1050"/>
      <c r="L826" s="1043"/>
      <c r="M826" s="1051"/>
      <c r="N826" s="1051"/>
      <c r="O826" s="1052"/>
      <c r="P826" s="1051"/>
      <c r="Q826" s="1051"/>
      <c r="R826" s="1052"/>
      <c r="S826" s="1051"/>
      <c r="T826" s="1051"/>
      <c r="U826" s="1052"/>
      <c r="V826" s="1051"/>
      <c r="W826" s="1051"/>
      <c r="X826" s="1052"/>
      <c r="Y826" s="1053"/>
      <c r="Z826" s="1051"/>
      <c r="AA826" s="1051"/>
      <c r="AB826" s="1052"/>
      <c r="AC826" s="1051"/>
      <c r="AD826" s="1051"/>
      <c r="AE826" s="1052"/>
      <c r="AF826" s="1051"/>
      <c r="AG826" s="1051"/>
      <c r="AH826" s="1051"/>
      <c r="AI826" s="1051"/>
      <c r="AJ826" s="1052"/>
      <c r="AK826" s="1051"/>
      <c r="AL826" s="1051"/>
      <c r="AM826" s="1052"/>
      <c r="AN826" s="1051"/>
      <c r="AO826" s="1051"/>
      <c r="AP826" s="1052"/>
      <c r="AQ826" s="1051"/>
      <c r="AR826" s="1051"/>
      <c r="AS826" s="1052"/>
      <c r="AT826" s="1051"/>
      <c r="AU826" s="1051"/>
      <c r="AV826" s="1052"/>
      <c r="AW826" s="1051"/>
      <c r="AX826" s="1051"/>
      <c r="AY826" s="1053"/>
      <c r="AZ826" s="1051"/>
      <c r="BA826" s="1051"/>
      <c r="BB826" s="1053"/>
      <c r="BC826" s="1051"/>
      <c r="BD826" s="1051"/>
      <c r="BE826" s="1053"/>
      <c r="BF826" s="1051"/>
      <c r="BG826" s="1051"/>
      <c r="BH826" s="1053"/>
      <c r="BI826" s="1052"/>
      <c r="BJ826" s="1052"/>
      <c r="BK826" s="1052"/>
      <c r="BL826" s="1052"/>
      <c r="BM826" s="1052"/>
      <c r="BN826" s="1054"/>
      <c r="BO826" s="1076">
        <f t="shared" si="24"/>
        <v>0</v>
      </c>
      <c r="BP826" s="1051"/>
      <c r="BQ826" s="1052"/>
      <c r="BR826" s="1054"/>
      <c r="BS826" s="1053"/>
      <c r="BT826" s="1051"/>
      <c r="BU826" s="1051"/>
      <c r="BV826" s="1051"/>
      <c r="BW826" s="1052"/>
      <c r="BX826" s="1052"/>
      <c r="BY826" s="1052"/>
      <c r="BZ826" s="1052"/>
      <c r="CA826" s="1052"/>
      <c r="CB826" s="1053"/>
      <c r="CC826" s="1053"/>
      <c r="CD826" s="1053"/>
      <c r="CE826" s="1053"/>
      <c r="CF826" s="1053"/>
      <c r="CG826" s="1053"/>
      <c r="CH826" s="1053"/>
      <c r="CI826" s="1123"/>
      <c r="CJ826" s="1123"/>
      <c r="CK826" s="1123"/>
      <c r="CL826" s="1123"/>
      <c r="CM826" s="1123"/>
      <c r="CN826" s="1123"/>
      <c r="CO826" s="1123"/>
      <c r="CP826" s="1123"/>
      <c r="CQ826" s="1123"/>
      <c r="CR826" s="1123"/>
      <c r="CS826" s="1123"/>
      <c r="CT826" s="1123"/>
      <c r="CU826" s="1123"/>
      <c r="CV826" s="1123"/>
      <c r="CW826" s="1123"/>
      <c r="CX826" s="1123"/>
      <c r="CY826" s="1123"/>
      <c r="CZ826" s="1114"/>
      <c r="DA826" s="1114"/>
      <c r="DB826" s="1114"/>
      <c r="DC826" s="1114"/>
      <c r="DD826" s="1114"/>
      <c r="DE826" s="1114"/>
      <c r="DF826" s="1114"/>
      <c r="DG826" s="1114"/>
      <c r="DH826" s="1114"/>
      <c r="DI826" s="1114"/>
      <c r="DJ826" s="1114"/>
      <c r="DK826" s="1114"/>
      <c r="DL826" s="1114"/>
      <c r="DM826" s="1114"/>
      <c r="DN826" s="1114"/>
      <c r="DO826" s="1114"/>
      <c r="DP826" s="1114"/>
      <c r="DQ826" s="1114"/>
      <c r="DR826" s="1114"/>
      <c r="DS826" s="1114"/>
      <c r="DT826" s="1114"/>
      <c r="DU826" s="1114"/>
      <c r="DV826" s="1115"/>
      <c r="DW826" s="1116"/>
      <c r="DX826" s="1116"/>
      <c r="DY826" s="1116"/>
      <c r="DZ826" s="1116"/>
      <c r="EA826" s="1116"/>
      <c r="EB826" s="1116"/>
      <c r="EC826" s="1116"/>
      <c r="ED826" s="1116"/>
      <c r="EE826" s="1116"/>
      <c r="EF826" s="1116"/>
      <c r="EG826" s="1116"/>
      <c r="EH826" s="1116"/>
      <c r="EI826" s="1116"/>
      <c r="EJ826" s="1116"/>
      <c r="EK826" s="1116"/>
      <c r="EL826" s="1116"/>
      <c r="EM826" s="1116"/>
      <c r="EN826" s="1116"/>
      <c r="EO826" s="1116"/>
      <c r="EP826" s="1116"/>
      <c r="EQ826" s="1116"/>
      <c r="ER826" s="1116"/>
      <c r="ES826" s="1116"/>
    </row>
    <row r="827" spans="1:149" ht="15" customHeight="1">
      <c r="A827" s="1185">
        <v>812</v>
      </c>
      <c r="B827" s="1041"/>
      <c r="C827" s="1050"/>
      <c r="D827" s="1050"/>
      <c r="E827" s="1050"/>
      <c r="F827" s="1049"/>
      <c r="G827" s="1457"/>
      <c r="H827" s="1049"/>
      <c r="I827" s="1049"/>
      <c r="J827" s="1050"/>
      <c r="K827" s="1050"/>
      <c r="L827" s="1043"/>
      <c r="M827" s="1051"/>
      <c r="N827" s="1051"/>
      <c r="O827" s="1052"/>
      <c r="P827" s="1051"/>
      <c r="Q827" s="1051"/>
      <c r="R827" s="1052"/>
      <c r="S827" s="1051"/>
      <c r="T827" s="1051"/>
      <c r="U827" s="1052"/>
      <c r="V827" s="1051"/>
      <c r="W827" s="1051"/>
      <c r="X827" s="1052"/>
      <c r="Y827" s="1053"/>
      <c r="Z827" s="1051"/>
      <c r="AA827" s="1051"/>
      <c r="AB827" s="1052"/>
      <c r="AC827" s="1051"/>
      <c r="AD827" s="1051"/>
      <c r="AE827" s="1052"/>
      <c r="AF827" s="1051"/>
      <c r="AG827" s="1051"/>
      <c r="AH827" s="1051"/>
      <c r="AI827" s="1051"/>
      <c r="AJ827" s="1052"/>
      <c r="AK827" s="1051"/>
      <c r="AL827" s="1051"/>
      <c r="AM827" s="1052"/>
      <c r="AN827" s="1051"/>
      <c r="AO827" s="1051"/>
      <c r="AP827" s="1052"/>
      <c r="AQ827" s="1051"/>
      <c r="AR827" s="1051"/>
      <c r="AS827" s="1052"/>
      <c r="AT827" s="1051"/>
      <c r="AU827" s="1051"/>
      <c r="AV827" s="1052"/>
      <c r="AW827" s="1051"/>
      <c r="AX827" s="1051"/>
      <c r="AY827" s="1053"/>
      <c r="AZ827" s="1051"/>
      <c r="BA827" s="1051"/>
      <c r="BB827" s="1053"/>
      <c r="BC827" s="1051"/>
      <c r="BD827" s="1051"/>
      <c r="BE827" s="1053"/>
      <c r="BF827" s="1051"/>
      <c r="BG827" s="1051"/>
      <c r="BH827" s="1053"/>
      <c r="BI827" s="1052"/>
      <c r="BJ827" s="1052"/>
      <c r="BK827" s="1052"/>
      <c r="BL827" s="1052"/>
      <c r="BM827" s="1052"/>
      <c r="BN827" s="1054"/>
      <c r="BO827" s="1076">
        <f t="shared" si="24"/>
        <v>0</v>
      </c>
      <c r="BP827" s="1051"/>
      <c r="BQ827" s="1052"/>
      <c r="BR827" s="1054"/>
      <c r="BS827" s="1053"/>
      <c r="BT827" s="1051"/>
      <c r="BU827" s="1051"/>
      <c r="BV827" s="1051"/>
      <c r="BW827" s="1052"/>
      <c r="BX827" s="1052"/>
      <c r="BY827" s="1052"/>
      <c r="BZ827" s="1052"/>
      <c r="CA827" s="1052"/>
      <c r="CB827" s="1053"/>
      <c r="CC827" s="1053"/>
      <c r="CD827" s="1053"/>
      <c r="CE827" s="1053"/>
      <c r="CF827" s="1053"/>
      <c r="CG827" s="1053"/>
      <c r="CH827" s="1053"/>
      <c r="CI827" s="1123"/>
      <c r="CJ827" s="1123"/>
      <c r="CK827" s="1123"/>
      <c r="CL827" s="1123"/>
      <c r="CM827" s="1123"/>
      <c r="CN827" s="1123"/>
      <c r="CO827" s="1123"/>
      <c r="CP827" s="1123"/>
      <c r="CQ827" s="1123"/>
      <c r="CR827" s="1123"/>
      <c r="CS827" s="1123"/>
      <c r="CT827" s="1123"/>
      <c r="CU827" s="1123"/>
      <c r="CV827" s="1123"/>
      <c r="CW827" s="1123"/>
      <c r="CX827" s="1123"/>
      <c r="CY827" s="1123"/>
      <c r="CZ827" s="1114"/>
      <c r="DA827" s="1114"/>
      <c r="DB827" s="1114"/>
      <c r="DC827" s="1114"/>
      <c r="DD827" s="1114"/>
      <c r="DE827" s="1114"/>
      <c r="DF827" s="1114"/>
      <c r="DG827" s="1114"/>
      <c r="DH827" s="1114"/>
      <c r="DI827" s="1114"/>
      <c r="DJ827" s="1114"/>
      <c r="DK827" s="1114"/>
      <c r="DL827" s="1114"/>
      <c r="DM827" s="1114"/>
      <c r="DN827" s="1114"/>
      <c r="DO827" s="1114"/>
      <c r="DP827" s="1114"/>
      <c r="DQ827" s="1114"/>
      <c r="DR827" s="1114"/>
      <c r="DS827" s="1114"/>
      <c r="DT827" s="1114"/>
      <c r="DU827" s="1114"/>
      <c r="DV827" s="1115"/>
      <c r="DW827" s="1116"/>
      <c r="DX827" s="1116"/>
      <c r="DY827" s="1116"/>
      <c r="DZ827" s="1116"/>
      <c r="EA827" s="1116"/>
      <c r="EB827" s="1116"/>
      <c r="EC827" s="1116"/>
      <c r="ED827" s="1116"/>
      <c r="EE827" s="1116"/>
      <c r="EF827" s="1116"/>
      <c r="EG827" s="1116"/>
      <c r="EH827" s="1116"/>
      <c r="EI827" s="1116"/>
      <c r="EJ827" s="1116"/>
      <c r="EK827" s="1116"/>
      <c r="EL827" s="1116"/>
      <c r="EM827" s="1116"/>
      <c r="EN827" s="1116"/>
      <c r="EO827" s="1116"/>
      <c r="EP827" s="1116"/>
      <c r="EQ827" s="1116"/>
      <c r="ER827" s="1116"/>
      <c r="ES827" s="1116"/>
    </row>
    <row r="828" spans="1:149" ht="15" customHeight="1">
      <c r="A828" s="1185">
        <v>813</v>
      </c>
      <c r="B828" s="1041"/>
      <c r="C828" s="1050"/>
      <c r="D828" s="1050"/>
      <c r="E828" s="1050"/>
      <c r="F828" s="1049"/>
      <c r="G828" s="1457"/>
      <c r="H828" s="1049"/>
      <c r="I828" s="1049"/>
      <c r="J828" s="1050"/>
      <c r="K828" s="1050"/>
      <c r="L828" s="1043"/>
      <c r="M828" s="1051"/>
      <c r="N828" s="1051"/>
      <c r="O828" s="1052"/>
      <c r="P828" s="1051"/>
      <c r="Q828" s="1051"/>
      <c r="R828" s="1052"/>
      <c r="S828" s="1051"/>
      <c r="T828" s="1051"/>
      <c r="U828" s="1052"/>
      <c r="V828" s="1051"/>
      <c r="W828" s="1051"/>
      <c r="X828" s="1052"/>
      <c r="Y828" s="1053"/>
      <c r="Z828" s="1051"/>
      <c r="AA828" s="1051"/>
      <c r="AB828" s="1052"/>
      <c r="AC828" s="1051"/>
      <c r="AD828" s="1051"/>
      <c r="AE828" s="1052"/>
      <c r="AF828" s="1051"/>
      <c r="AG828" s="1051"/>
      <c r="AH828" s="1051"/>
      <c r="AI828" s="1051"/>
      <c r="AJ828" s="1052"/>
      <c r="AK828" s="1051"/>
      <c r="AL828" s="1051"/>
      <c r="AM828" s="1052"/>
      <c r="AN828" s="1051"/>
      <c r="AO828" s="1051"/>
      <c r="AP828" s="1052"/>
      <c r="AQ828" s="1051"/>
      <c r="AR828" s="1051"/>
      <c r="AS828" s="1052"/>
      <c r="AT828" s="1051"/>
      <c r="AU828" s="1051"/>
      <c r="AV828" s="1052"/>
      <c r="AW828" s="1051"/>
      <c r="AX828" s="1051"/>
      <c r="AY828" s="1053"/>
      <c r="AZ828" s="1051"/>
      <c r="BA828" s="1051"/>
      <c r="BB828" s="1053"/>
      <c r="BC828" s="1051"/>
      <c r="BD828" s="1051"/>
      <c r="BE828" s="1053"/>
      <c r="BF828" s="1051"/>
      <c r="BG828" s="1051"/>
      <c r="BH828" s="1053"/>
      <c r="BI828" s="1052"/>
      <c r="BJ828" s="1052"/>
      <c r="BK828" s="1052"/>
      <c r="BL828" s="1052"/>
      <c r="BM828" s="1052"/>
      <c r="BN828" s="1054"/>
      <c r="BO828" s="1076">
        <f t="shared" si="24"/>
        <v>0</v>
      </c>
      <c r="BP828" s="1051"/>
      <c r="BQ828" s="1052"/>
      <c r="BR828" s="1054"/>
      <c r="BS828" s="1053"/>
      <c r="BT828" s="1051"/>
      <c r="BU828" s="1051"/>
      <c r="BV828" s="1051"/>
      <c r="BW828" s="1052"/>
      <c r="BX828" s="1052"/>
      <c r="BY828" s="1052"/>
      <c r="BZ828" s="1052"/>
      <c r="CA828" s="1052"/>
      <c r="CB828" s="1053"/>
      <c r="CC828" s="1053"/>
      <c r="CD828" s="1053"/>
      <c r="CE828" s="1053"/>
      <c r="CF828" s="1053"/>
      <c r="CG828" s="1053"/>
      <c r="CH828" s="1053"/>
      <c r="CI828" s="1123"/>
      <c r="CJ828" s="1123"/>
      <c r="CK828" s="1123"/>
      <c r="CL828" s="1123"/>
      <c r="CM828" s="1123"/>
      <c r="CN828" s="1123"/>
      <c r="CO828" s="1123"/>
      <c r="CP828" s="1123"/>
      <c r="CQ828" s="1123"/>
      <c r="CR828" s="1123"/>
      <c r="CS828" s="1123"/>
      <c r="CT828" s="1123"/>
      <c r="CU828" s="1123"/>
      <c r="CV828" s="1123"/>
      <c r="CW828" s="1123"/>
      <c r="CX828" s="1123"/>
      <c r="CY828" s="1123"/>
      <c r="CZ828" s="1114"/>
      <c r="DA828" s="1114"/>
      <c r="DB828" s="1114"/>
      <c r="DC828" s="1114"/>
      <c r="DD828" s="1114"/>
      <c r="DE828" s="1114"/>
      <c r="DF828" s="1114"/>
      <c r="DG828" s="1114"/>
      <c r="DH828" s="1114"/>
      <c r="DI828" s="1114"/>
      <c r="DJ828" s="1114"/>
      <c r="DK828" s="1114"/>
      <c r="DL828" s="1114"/>
      <c r="DM828" s="1114"/>
      <c r="DN828" s="1114"/>
      <c r="DO828" s="1114"/>
      <c r="DP828" s="1114"/>
      <c r="DQ828" s="1114"/>
      <c r="DR828" s="1114"/>
      <c r="DS828" s="1114"/>
      <c r="DT828" s="1114"/>
      <c r="DU828" s="1114"/>
      <c r="DV828" s="1115"/>
      <c r="DW828" s="1116"/>
      <c r="DX828" s="1116"/>
      <c r="DY828" s="1116"/>
      <c r="DZ828" s="1116"/>
      <c r="EA828" s="1116"/>
      <c r="EB828" s="1116"/>
      <c r="EC828" s="1116"/>
      <c r="ED828" s="1116"/>
      <c r="EE828" s="1116"/>
      <c r="EF828" s="1116"/>
      <c r="EG828" s="1116"/>
      <c r="EH828" s="1116"/>
      <c r="EI828" s="1116"/>
      <c r="EJ828" s="1116"/>
      <c r="EK828" s="1116"/>
      <c r="EL828" s="1116"/>
      <c r="EM828" s="1116"/>
      <c r="EN828" s="1116"/>
      <c r="EO828" s="1116"/>
      <c r="EP828" s="1116"/>
      <c r="EQ828" s="1116"/>
      <c r="ER828" s="1116"/>
      <c r="ES828" s="1116"/>
    </row>
    <row r="829" spans="1:149" ht="15" customHeight="1">
      <c r="A829" s="1185">
        <v>814</v>
      </c>
      <c r="B829" s="1041"/>
      <c r="C829" s="1050"/>
      <c r="D829" s="1050"/>
      <c r="E829" s="1050"/>
      <c r="F829" s="1049"/>
      <c r="G829" s="1457"/>
      <c r="H829" s="1049"/>
      <c r="I829" s="1049"/>
      <c r="J829" s="1050"/>
      <c r="K829" s="1050"/>
      <c r="L829" s="1043"/>
      <c r="M829" s="1051"/>
      <c r="N829" s="1051"/>
      <c r="O829" s="1052"/>
      <c r="P829" s="1051"/>
      <c r="Q829" s="1051"/>
      <c r="R829" s="1052"/>
      <c r="S829" s="1051"/>
      <c r="T829" s="1051"/>
      <c r="U829" s="1052"/>
      <c r="V829" s="1051"/>
      <c r="W829" s="1051"/>
      <c r="X829" s="1052"/>
      <c r="Y829" s="1053"/>
      <c r="Z829" s="1051"/>
      <c r="AA829" s="1051"/>
      <c r="AB829" s="1052"/>
      <c r="AC829" s="1051"/>
      <c r="AD829" s="1051"/>
      <c r="AE829" s="1052"/>
      <c r="AF829" s="1051"/>
      <c r="AG829" s="1051"/>
      <c r="AH829" s="1051"/>
      <c r="AI829" s="1051"/>
      <c r="AJ829" s="1052"/>
      <c r="AK829" s="1051"/>
      <c r="AL829" s="1051"/>
      <c r="AM829" s="1052"/>
      <c r="AN829" s="1051"/>
      <c r="AO829" s="1051"/>
      <c r="AP829" s="1052"/>
      <c r="AQ829" s="1051"/>
      <c r="AR829" s="1051"/>
      <c r="AS829" s="1052"/>
      <c r="AT829" s="1051"/>
      <c r="AU829" s="1051"/>
      <c r="AV829" s="1052"/>
      <c r="AW829" s="1051"/>
      <c r="AX829" s="1051"/>
      <c r="AY829" s="1053"/>
      <c r="AZ829" s="1051"/>
      <c r="BA829" s="1051"/>
      <c r="BB829" s="1053"/>
      <c r="BC829" s="1051"/>
      <c r="BD829" s="1051"/>
      <c r="BE829" s="1053"/>
      <c r="BF829" s="1051"/>
      <c r="BG829" s="1051"/>
      <c r="BH829" s="1053"/>
      <c r="BI829" s="1052"/>
      <c r="BJ829" s="1052"/>
      <c r="BK829" s="1052"/>
      <c r="BL829" s="1052"/>
      <c r="BM829" s="1052"/>
      <c r="BN829" s="1054"/>
      <c r="BO829" s="1076">
        <f t="shared" si="24"/>
        <v>0</v>
      </c>
      <c r="BP829" s="1051"/>
      <c r="BQ829" s="1052"/>
      <c r="BR829" s="1054"/>
      <c r="BS829" s="1053"/>
      <c r="BT829" s="1051"/>
      <c r="BU829" s="1051"/>
      <c r="BV829" s="1051"/>
      <c r="BW829" s="1052"/>
      <c r="BX829" s="1052"/>
      <c r="BY829" s="1052"/>
      <c r="BZ829" s="1052"/>
      <c r="CA829" s="1052"/>
      <c r="CB829" s="1053"/>
      <c r="CC829" s="1053"/>
      <c r="CD829" s="1053"/>
      <c r="CE829" s="1053"/>
      <c r="CF829" s="1053"/>
      <c r="CG829" s="1053"/>
      <c r="CH829" s="1053"/>
      <c r="CI829" s="1123"/>
      <c r="CJ829" s="1123"/>
      <c r="CK829" s="1123"/>
      <c r="CL829" s="1123"/>
      <c r="CM829" s="1123"/>
      <c r="CN829" s="1123"/>
      <c r="CO829" s="1123"/>
      <c r="CP829" s="1123"/>
      <c r="CQ829" s="1123"/>
      <c r="CR829" s="1123"/>
      <c r="CS829" s="1123"/>
      <c r="CT829" s="1123"/>
      <c r="CU829" s="1123"/>
      <c r="CV829" s="1123"/>
      <c r="CW829" s="1123"/>
      <c r="CX829" s="1123"/>
      <c r="CY829" s="1123"/>
      <c r="CZ829" s="1114"/>
      <c r="DA829" s="1114"/>
      <c r="DB829" s="1114"/>
      <c r="DC829" s="1114"/>
      <c r="DD829" s="1114"/>
      <c r="DE829" s="1114"/>
      <c r="DF829" s="1114"/>
      <c r="DG829" s="1114"/>
      <c r="DH829" s="1114"/>
      <c r="DI829" s="1114"/>
      <c r="DJ829" s="1114"/>
      <c r="DK829" s="1114"/>
      <c r="DL829" s="1114"/>
      <c r="DM829" s="1114"/>
      <c r="DN829" s="1114"/>
      <c r="DO829" s="1114"/>
      <c r="DP829" s="1114"/>
      <c r="DQ829" s="1114"/>
      <c r="DR829" s="1114"/>
      <c r="DS829" s="1114"/>
      <c r="DT829" s="1114"/>
      <c r="DU829" s="1114"/>
      <c r="DV829" s="1115"/>
      <c r="DW829" s="1116"/>
      <c r="DX829" s="1116"/>
      <c r="DY829" s="1116"/>
      <c r="DZ829" s="1116"/>
      <c r="EA829" s="1116"/>
      <c r="EB829" s="1116"/>
      <c r="EC829" s="1116"/>
      <c r="ED829" s="1116"/>
      <c r="EE829" s="1116"/>
      <c r="EF829" s="1116"/>
      <c r="EG829" s="1116"/>
      <c r="EH829" s="1116"/>
      <c r="EI829" s="1116"/>
      <c r="EJ829" s="1116"/>
      <c r="EK829" s="1116"/>
      <c r="EL829" s="1116"/>
      <c r="EM829" s="1116"/>
      <c r="EN829" s="1116"/>
      <c r="EO829" s="1116"/>
      <c r="EP829" s="1116"/>
      <c r="EQ829" s="1116"/>
      <c r="ER829" s="1116"/>
      <c r="ES829" s="1116"/>
    </row>
    <row r="830" spans="1:149" ht="15" customHeight="1">
      <c r="A830" s="1185">
        <v>815</v>
      </c>
      <c r="B830" s="1041"/>
      <c r="C830" s="1050"/>
      <c r="D830" s="1050"/>
      <c r="E830" s="1050"/>
      <c r="F830" s="1049"/>
      <c r="G830" s="1457"/>
      <c r="H830" s="1049"/>
      <c r="I830" s="1049"/>
      <c r="J830" s="1050"/>
      <c r="K830" s="1050"/>
      <c r="L830" s="1043"/>
      <c r="M830" s="1051"/>
      <c r="N830" s="1051"/>
      <c r="O830" s="1052"/>
      <c r="P830" s="1051"/>
      <c r="Q830" s="1051"/>
      <c r="R830" s="1052"/>
      <c r="S830" s="1051"/>
      <c r="T830" s="1051"/>
      <c r="U830" s="1052"/>
      <c r="V830" s="1051"/>
      <c r="W830" s="1051"/>
      <c r="X830" s="1052"/>
      <c r="Y830" s="1053"/>
      <c r="Z830" s="1051"/>
      <c r="AA830" s="1051"/>
      <c r="AB830" s="1052"/>
      <c r="AC830" s="1051"/>
      <c r="AD830" s="1051"/>
      <c r="AE830" s="1052"/>
      <c r="AF830" s="1051"/>
      <c r="AG830" s="1051"/>
      <c r="AH830" s="1051"/>
      <c r="AI830" s="1051"/>
      <c r="AJ830" s="1052"/>
      <c r="AK830" s="1051"/>
      <c r="AL830" s="1051"/>
      <c r="AM830" s="1052"/>
      <c r="AN830" s="1051"/>
      <c r="AO830" s="1051"/>
      <c r="AP830" s="1052"/>
      <c r="AQ830" s="1051"/>
      <c r="AR830" s="1051"/>
      <c r="AS830" s="1052"/>
      <c r="AT830" s="1051"/>
      <c r="AU830" s="1051"/>
      <c r="AV830" s="1052"/>
      <c r="AW830" s="1051"/>
      <c r="AX830" s="1051"/>
      <c r="AY830" s="1053"/>
      <c r="AZ830" s="1051"/>
      <c r="BA830" s="1051"/>
      <c r="BB830" s="1053"/>
      <c r="BC830" s="1051"/>
      <c r="BD830" s="1051"/>
      <c r="BE830" s="1053"/>
      <c r="BF830" s="1051"/>
      <c r="BG830" s="1051"/>
      <c r="BH830" s="1053"/>
      <c r="BI830" s="1052"/>
      <c r="BJ830" s="1052"/>
      <c r="BK830" s="1052"/>
      <c r="BL830" s="1052"/>
      <c r="BM830" s="1052"/>
      <c r="BN830" s="1054"/>
      <c r="BO830" s="1076">
        <f t="shared" si="24"/>
        <v>0</v>
      </c>
      <c r="BP830" s="1051"/>
      <c r="BQ830" s="1052"/>
      <c r="BR830" s="1054"/>
      <c r="BS830" s="1053"/>
      <c r="BT830" s="1051"/>
      <c r="BU830" s="1051"/>
      <c r="BV830" s="1051"/>
      <c r="BW830" s="1052"/>
      <c r="BX830" s="1052"/>
      <c r="BY830" s="1052"/>
      <c r="BZ830" s="1052"/>
      <c r="CA830" s="1052"/>
      <c r="CB830" s="1053"/>
      <c r="CC830" s="1053"/>
      <c r="CD830" s="1053"/>
      <c r="CE830" s="1053"/>
      <c r="CF830" s="1053"/>
      <c r="CG830" s="1053"/>
      <c r="CH830" s="1053"/>
      <c r="CI830" s="1123"/>
      <c r="CJ830" s="1123"/>
      <c r="CK830" s="1123"/>
      <c r="CL830" s="1123"/>
      <c r="CM830" s="1123"/>
      <c r="CN830" s="1123"/>
      <c r="CO830" s="1123"/>
      <c r="CP830" s="1123"/>
      <c r="CQ830" s="1123"/>
      <c r="CR830" s="1123"/>
      <c r="CS830" s="1123"/>
      <c r="CT830" s="1123"/>
      <c r="CU830" s="1123"/>
      <c r="CV830" s="1123"/>
      <c r="CW830" s="1123"/>
      <c r="CX830" s="1123"/>
      <c r="CY830" s="1123"/>
      <c r="CZ830" s="1114"/>
      <c r="DA830" s="1114"/>
      <c r="DB830" s="1114"/>
      <c r="DC830" s="1114"/>
      <c r="DD830" s="1114"/>
      <c r="DE830" s="1114"/>
      <c r="DF830" s="1114"/>
      <c r="DG830" s="1114"/>
      <c r="DH830" s="1114"/>
      <c r="DI830" s="1114"/>
      <c r="DJ830" s="1114"/>
      <c r="DK830" s="1114"/>
      <c r="DL830" s="1114"/>
      <c r="DM830" s="1114"/>
      <c r="DN830" s="1114"/>
      <c r="DO830" s="1114"/>
      <c r="DP830" s="1114"/>
      <c r="DQ830" s="1114"/>
      <c r="DR830" s="1114"/>
      <c r="DS830" s="1114"/>
      <c r="DT830" s="1114"/>
      <c r="DU830" s="1114"/>
      <c r="DV830" s="1115"/>
      <c r="DW830" s="1116"/>
      <c r="DX830" s="1116"/>
      <c r="DY830" s="1116"/>
      <c r="DZ830" s="1116"/>
      <c r="EA830" s="1116"/>
      <c r="EB830" s="1116"/>
      <c r="EC830" s="1116"/>
      <c r="ED830" s="1116"/>
      <c r="EE830" s="1116"/>
      <c r="EF830" s="1116"/>
      <c r="EG830" s="1116"/>
      <c r="EH830" s="1116"/>
      <c r="EI830" s="1116"/>
      <c r="EJ830" s="1116"/>
      <c r="EK830" s="1116"/>
      <c r="EL830" s="1116"/>
      <c r="EM830" s="1116"/>
      <c r="EN830" s="1116"/>
      <c r="EO830" s="1116"/>
      <c r="EP830" s="1116"/>
      <c r="EQ830" s="1116"/>
      <c r="ER830" s="1116"/>
      <c r="ES830" s="1116"/>
    </row>
    <row r="831" spans="1:149" ht="15" customHeight="1">
      <c r="A831" s="1185">
        <v>816</v>
      </c>
      <c r="B831" s="1041"/>
      <c r="C831" s="1050"/>
      <c r="D831" s="1050"/>
      <c r="E831" s="1050"/>
      <c r="F831" s="1049"/>
      <c r="G831" s="1457"/>
      <c r="H831" s="1049"/>
      <c r="I831" s="1049"/>
      <c r="J831" s="1050"/>
      <c r="K831" s="1050"/>
      <c r="L831" s="1043"/>
      <c r="M831" s="1051"/>
      <c r="N831" s="1051"/>
      <c r="O831" s="1052"/>
      <c r="P831" s="1051"/>
      <c r="Q831" s="1051"/>
      <c r="R831" s="1052"/>
      <c r="S831" s="1051"/>
      <c r="T831" s="1051"/>
      <c r="U831" s="1052"/>
      <c r="V831" s="1051"/>
      <c r="W831" s="1051"/>
      <c r="X831" s="1052"/>
      <c r="Y831" s="1053"/>
      <c r="Z831" s="1051"/>
      <c r="AA831" s="1051"/>
      <c r="AB831" s="1052"/>
      <c r="AC831" s="1051"/>
      <c r="AD831" s="1051"/>
      <c r="AE831" s="1052"/>
      <c r="AF831" s="1051"/>
      <c r="AG831" s="1051"/>
      <c r="AH831" s="1051"/>
      <c r="AI831" s="1051"/>
      <c r="AJ831" s="1052"/>
      <c r="AK831" s="1051"/>
      <c r="AL831" s="1051"/>
      <c r="AM831" s="1052"/>
      <c r="AN831" s="1051"/>
      <c r="AO831" s="1051"/>
      <c r="AP831" s="1052"/>
      <c r="AQ831" s="1051"/>
      <c r="AR831" s="1051"/>
      <c r="AS831" s="1052"/>
      <c r="AT831" s="1051"/>
      <c r="AU831" s="1051"/>
      <c r="AV831" s="1052"/>
      <c r="AW831" s="1051"/>
      <c r="AX831" s="1051"/>
      <c r="AY831" s="1053"/>
      <c r="AZ831" s="1051"/>
      <c r="BA831" s="1051"/>
      <c r="BB831" s="1053"/>
      <c r="BC831" s="1051"/>
      <c r="BD831" s="1051"/>
      <c r="BE831" s="1053"/>
      <c r="BF831" s="1051"/>
      <c r="BG831" s="1051"/>
      <c r="BH831" s="1053"/>
      <c r="BI831" s="1052"/>
      <c r="BJ831" s="1052"/>
      <c r="BK831" s="1052"/>
      <c r="BL831" s="1052"/>
      <c r="BM831" s="1052"/>
      <c r="BN831" s="1054"/>
      <c r="BO831" s="1076">
        <f t="shared" si="24"/>
        <v>0</v>
      </c>
      <c r="BP831" s="1051"/>
      <c r="BQ831" s="1052"/>
      <c r="BR831" s="1054"/>
      <c r="BS831" s="1053"/>
      <c r="BT831" s="1051"/>
      <c r="BU831" s="1051"/>
      <c r="BV831" s="1051"/>
      <c r="BW831" s="1052"/>
      <c r="BX831" s="1052"/>
      <c r="BY831" s="1052"/>
      <c r="BZ831" s="1052"/>
      <c r="CA831" s="1052"/>
      <c r="CB831" s="1053"/>
      <c r="CC831" s="1053"/>
      <c r="CD831" s="1053"/>
      <c r="CE831" s="1053"/>
      <c r="CF831" s="1053"/>
      <c r="CG831" s="1053"/>
      <c r="CH831" s="1053"/>
      <c r="CI831" s="1123"/>
      <c r="CJ831" s="1123"/>
      <c r="CK831" s="1123"/>
      <c r="CL831" s="1123"/>
      <c r="CM831" s="1123"/>
      <c r="CN831" s="1123"/>
      <c r="CO831" s="1123"/>
      <c r="CP831" s="1123"/>
      <c r="CQ831" s="1123"/>
      <c r="CR831" s="1123"/>
      <c r="CS831" s="1123"/>
      <c r="CT831" s="1123"/>
      <c r="CU831" s="1123"/>
      <c r="CV831" s="1123"/>
      <c r="CW831" s="1123"/>
      <c r="CX831" s="1123"/>
      <c r="CY831" s="1123"/>
      <c r="CZ831" s="1114"/>
      <c r="DA831" s="1114"/>
      <c r="DB831" s="1114"/>
      <c r="DC831" s="1114"/>
      <c r="DD831" s="1114"/>
      <c r="DE831" s="1114"/>
      <c r="DF831" s="1114"/>
      <c r="DG831" s="1114"/>
      <c r="DH831" s="1114"/>
      <c r="DI831" s="1114"/>
      <c r="DJ831" s="1114"/>
      <c r="DK831" s="1114"/>
      <c r="DL831" s="1114"/>
      <c r="DM831" s="1114"/>
      <c r="DN831" s="1114"/>
      <c r="DO831" s="1114"/>
      <c r="DP831" s="1114"/>
      <c r="DQ831" s="1114"/>
      <c r="DR831" s="1114"/>
      <c r="DS831" s="1114"/>
      <c r="DT831" s="1114"/>
      <c r="DU831" s="1114"/>
      <c r="DV831" s="1115"/>
      <c r="DW831" s="1116"/>
      <c r="DX831" s="1116"/>
      <c r="DY831" s="1116"/>
      <c r="DZ831" s="1116"/>
      <c r="EA831" s="1116"/>
      <c r="EB831" s="1116"/>
      <c r="EC831" s="1116"/>
      <c r="ED831" s="1116"/>
      <c r="EE831" s="1116"/>
      <c r="EF831" s="1116"/>
      <c r="EG831" s="1116"/>
      <c r="EH831" s="1116"/>
      <c r="EI831" s="1116"/>
      <c r="EJ831" s="1116"/>
      <c r="EK831" s="1116"/>
      <c r="EL831" s="1116"/>
      <c r="EM831" s="1116"/>
      <c r="EN831" s="1116"/>
      <c r="EO831" s="1116"/>
      <c r="EP831" s="1116"/>
      <c r="EQ831" s="1116"/>
      <c r="ER831" s="1116"/>
      <c r="ES831" s="1116"/>
    </row>
    <row r="832" spans="1:149" ht="15" customHeight="1">
      <c r="A832" s="1185">
        <v>817</v>
      </c>
      <c r="B832" s="1041"/>
      <c r="C832" s="1050"/>
      <c r="D832" s="1050"/>
      <c r="E832" s="1050"/>
      <c r="F832" s="1049"/>
      <c r="G832" s="1457"/>
      <c r="H832" s="1049"/>
      <c r="I832" s="1049"/>
      <c r="J832" s="1050"/>
      <c r="K832" s="1050"/>
      <c r="L832" s="1043"/>
      <c r="M832" s="1051"/>
      <c r="N832" s="1051"/>
      <c r="O832" s="1052"/>
      <c r="P832" s="1051"/>
      <c r="Q832" s="1051"/>
      <c r="R832" s="1052"/>
      <c r="S832" s="1051"/>
      <c r="T832" s="1051"/>
      <c r="U832" s="1052"/>
      <c r="V832" s="1051"/>
      <c r="W832" s="1051"/>
      <c r="X832" s="1052"/>
      <c r="Y832" s="1053"/>
      <c r="Z832" s="1051"/>
      <c r="AA832" s="1051"/>
      <c r="AB832" s="1052"/>
      <c r="AC832" s="1051"/>
      <c r="AD832" s="1051"/>
      <c r="AE832" s="1052"/>
      <c r="AF832" s="1051"/>
      <c r="AG832" s="1051"/>
      <c r="AH832" s="1051"/>
      <c r="AI832" s="1051"/>
      <c r="AJ832" s="1052"/>
      <c r="AK832" s="1051"/>
      <c r="AL832" s="1051"/>
      <c r="AM832" s="1052"/>
      <c r="AN832" s="1051"/>
      <c r="AO832" s="1051"/>
      <c r="AP832" s="1052"/>
      <c r="AQ832" s="1051"/>
      <c r="AR832" s="1051"/>
      <c r="AS832" s="1052"/>
      <c r="AT832" s="1051"/>
      <c r="AU832" s="1051"/>
      <c r="AV832" s="1052"/>
      <c r="AW832" s="1051"/>
      <c r="AX832" s="1051"/>
      <c r="AY832" s="1053"/>
      <c r="AZ832" s="1051"/>
      <c r="BA832" s="1051"/>
      <c r="BB832" s="1053"/>
      <c r="BC832" s="1051"/>
      <c r="BD832" s="1051"/>
      <c r="BE832" s="1053"/>
      <c r="BF832" s="1051"/>
      <c r="BG832" s="1051"/>
      <c r="BH832" s="1053"/>
      <c r="BI832" s="1052"/>
      <c r="BJ832" s="1052"/>
      <c r="BK832" s="1052"/>
      <c r="BL832" s="1052"/>
      <c r="BM832" s="1052"/>
      <c r="BN832" s="1054"/>
      <c r="BO832" s="1076">
        <f t="shared" si="24"/>
        <v>0</v>
      </c>
      <c r="BP832" s="1051"/>
      <c r="BQ832" s="1052"/>
      <c r="BR832" s="1054"/>
      <c r="BS832" s="1053"/>
      <c r="BT832" s="1051"/>
      <c r="BU832" s="1051"/>
      <c r="BV832" s="1051"/>
      <c r="BW832" s="1052"/>
      <c r="BX832" s="1052"/>
      <c r="BY832" s="1052"/>
      <c r="BZ832" s="1052"/>
      <c r="CA832" s="1052"/>
      <c r="CB832" s="1053"/>
      <c r="CC832" s="1053"/>
      <c r="CD832" s="1053"/>
      <c r="CE832" s="1053"/>
      <c r="CF832" s="1053"/>
      <c r="CG832" s="1053"/>
      <c r="CH832" s="1053"/>
      <c r="CI832" s="1123"/>
      <c r="CJ832" s="1123"/>
      <c r="CK832" s="1123"/>
      <c r="CL832" s="1123"/>
      <c r="CM832" s="1123"/>
      <c r="CN832" s="1123"/>
      <c r="CO832" s="1123"/>
      <c r="CP832" s="1123"/>
      <c r="CQ832" s="1123"/>
      <c r="CR832" s="1123"/>
      <c r="CS832" s="1123"/>
      <c r="CT832" s="1123"/>
      <c r="CU832" s="1123"/>
      <c r="CV832" s="1123"/>
      <c r="CW832" s="1123"/>
      <c r="CX832" s="1123"/>
      <c r="CY832" s="1123"/>
      <c r="CZ832" s="1114"/>
      <c r="DA832" s="1114"/>
      <c r="DB832" s="1114"/>
      <c r="DC832" s="1114"/>
      <c r="DD832" s="1114"/>
      <c r="DE832" s="1114"/>
      <c r="DF832" s="1114"/>
      <c r="DG832" s="1114"/>
      <c r="DH832" s="1114"/>
      <c r="DI832" s="1114"/>
      <c r="DJ832" s="1114"/>
      <c r="DK832" s="1114"/>
      <c r="DL832" s="1114"/>
      <c r="DM832" s="1114"/>
      <c r="DN832" s="1114"/>
      <c r="DO832" s="1114"/>
      <c r="DP832" s="1114"/>
      <c r="DQ832" s="1114"/>
      <c r="DR832" s="1114"/>
      <c r="DS832" s="1114"/>
      <c r="DT832" s="1114"/>
      <c r="DU832" s="1114"/>
      <c r="DV832" s="1115"/>
      <c r="DW832" s="1116"/>
      <c r="DX832" s="1116"/>
      <c r="DY832" s="1116"/>
      <c r="DZ832" s="1116"/>
      <c r="EA832" s="1116"/>
      <c r="EB832" s="1116"/>
      <c r="EC832" s="1116"/>
      <c r="ED832" s="1116"/>
      <c r="EE832" s="1116"/>
      <c r="EF832" s="1116"/>
      <c r="EG832" s="1116"/>
      <c r="EH832" s="1116"/>
      <c r="EI832" s="1116"/>
      <c r="EJ832" s="1116"/>
      <c r="EK832" s="1116"/>
      <c r="EL832" s="1116"/>
      <c r="EM832" s="1116"/>
      <c r="EN832" s="1116"/>
      <c r="EO832" s="1116"/>
      <c r="EP832" s="1116"/>
      <c r="EQ832" s="1116"/>
      <c r="ER832" s="1116"/>
      <c r="ES832" s="1116"/>
    </row>
    <row r="833" spans="1:149" ht="15" customHeight="1">
      <c r="A833" s="1185">
        <v>818</v>
      </c>
      <c r="B833" s="1041"/>
      <c r="C833" s="1050"/>
      <c r="D833" s="1050"/>
      <c r="E833" s="1050"/>
      <c r="F833" s="1049"/>
      <c r="G833" s="1457"/>
      <c r="H833" s="1049"/>
      <c r="I833" s="1049"/>
      <c r="J833" s="1050"/>
      <c r="K833" s="1050"/>
      <c r="L833" s="1043"/>
      <c r="M833" s="1051"/>
      <c r="N833" s="1051"/>
      <c r="O833" s="1052"/>
      <c r="P833" s="1051"/>
      <c r="Q833" s="1051"/>
      <c r="R833" s="1052"/>
      <c r="S833" s="1051"/>
      <c r="T833" s="1051"/>
      <c r="U833" s="1052"/>
      <c r="V833" s="1051"/>
      <c r="W833" s="1051"/>
      <c r="X833" s="1052"/>
      <c r="Y833" s="1053"/>
      <c r="Z833" s="1051"/>
      <c r="AA833" s="1051"/>
      <c r="AB833" s="1052"/>
      <c r="AC833" s="1051"/>
      <c r="AD833" s="1051"/>
      <c r="AE833" s="1052"/>
      <c r="AF833" s="1051"/>
      <c r="AG833" s="1051"/>
      <c r="AH833" s="1051"/>
      <c r="AI833" s="1051"/>
      <c r="AJ833" s="1052"/>
      <c r="AK833" s="1051"/>
      <c r="AL833" s="1051"/>
      <c r="AM833" s="1052"/>
      <c r="AN833" s="1051"/>
      <c r="AO833" s="1051"/>
      <c r="AP833" s="1052"/>
      <c r="AQ833" s="1051"/>
      <c r="AR833" s="1051"/>
      <c r="AS833" s="1052"/>
      <c r="AT833" s="1051"/>
      <c r="AU833" s="1051"/>
      <c r="AV833" s="1052"/>
      <c r="AW833" s="1051"/>
      <c r="AX833" s="1051"/>
      <c r="AY833" s="1053"/>
      <c r="AZ833" s="1051"/>
      <c r="BA833" s="1051"/>
      <c r="BB833" s="1053"/>
      <c r="BC833" s="1051"/>
      <c r="BD833" s="1051"/>
      <c r="BE833" s="1053"/>
      <c r="BF833" s="1051"/>
      <c r="BG833" s="1051"/>
      <c r="BH833" s="1053"/>
      <c r="BI833" s="1052"/>
      <c r="BJ833" s="1052"/>
      <c r="BK833" s="1052"/>
      <c r="BL833" s="1052"/>
      <c r="BM833" s="1052"/>
      <c r="BN833" s="1054"/>
      <c r="BO833" s="1076">
        <f t="shared" si="24"/>
        <v>0</v>
      </c>
      <c r="BP833" s="1051"/>
      <c r="BQ833" s="1052"/>
      <c r="BR833" s="1054"/>
      <c r="BS833" s="1053"/>
      <c r="BT833" s="1051"/>
      <c r="BU833" s="1051"/>
      <c r="BV833" s="1051"/>
      <c r="BW833" s="1052"/>
      <c r="BX833" s="1052"/>
      <c r="BY833" s="1052"/>
      <c r="BZ833" s="1052"/>
      <c r="CA833" s="1052"/>
      <c r="CB833" s="1053"/>
      <c r="CC833" s="1053"/>
      <c r="CD833" s="1053"/>
      <c r="CE833" s="1053"/>
      <c r="CF833" s="1053"/>
      <c r="CG833" s="1053"/>
      <c r="CH833" s="1053"/>
      <c r="CI833" s="1123"/>
      <c r="CJ833" s="1123"/>
      <c r="CK833" s="1123"/>
      <c r="CL833" s="1123"/>
      <c r="CM833" s="1123"/>
      <c r="CN833" s="1123"/>
      <c r="CO833" s="1123"/>
      <c r="CP833" s="1123"/>
      <c r="CQ833" s="1123"/>
      <c r="CR833" s="1123"/>
      <c r="CS833" s="1123"/>
      <c r="CT833" s="1123"/>
      <c r="CU833" s="1123"/>
      <c r="CV833" s="1123"/>
      <c r="CW833" s="1123"/>
      <c r="CX833" s="1123"/>
      <c r="CY833" s="1123"/>
      <c r="CZ833" s="1114"/>
      <c r="DA833" s="1114"/>
      <c r="DB833" s="1114"/>
      <c r="DC833" s="1114"/>
      <c r="DD833" s="1114"/>
      <c r="DE833" s="1114"/>
      <c r="DF833" s="1114"/>
      <c r="DG833" s="1114"/>
      <c r="DH833" s="1114"/>
      <c r="DI833" s="1114"/>
      <c r="DJ833" s="1114"/>
      <c r="DK833" s="1114"/>
      <c r="DL833" s="1114"/>
      <c r="DM833" s="1114"/>
      <c r="DN833" s="1114"/>
      <c r="DO833" s="1114"/>
      <c r="DP833" s="1114"/>
      <c r="DQ833" s="1114"/>
      <c r="DR833" s="1114"/>
      <c r="DS833" s="1114"/>
      <c r="DT833" s="1114"/>
      <c r="DU833" s="1114"/>
      <c r="DV833" s="1115"/>
      <c r="DW833" s="1116"/>
      <c r="DX833" s="1116"/>
      <c r="DY833" s="1116"/>
      <c r="DZ833" s="1116"/>
      <c r="EA833" s="1116"/>
      <c r="EB833" s="1116"/>
      <c r="EC833" s="1116"/>
      <c r="ED833" s="1116"/>
      <c r="EE833" s="1116"/>
      <c r="EF833" s="1116"/>
      <c r="EG833" s="1116"/>
      <c r="EH833" s="1116"/>
      <c r="EI833" s="1116"/>
      <c r="EJ833" s="1116"/>
      <c r="EK833" s="1116"/>
      <c r="EL833" s="1116"/>
      <c r="EM833" s="1116"/>
      <c r="EN833" s="1116"/>
      <c r="EO833" s="1116"/>
      <c r="EP833" s="1116"/>
      <c r="EQ833" s="1116"/>
      <c r="ER833" s="1116"/>
      <c r="ES833" s="1116"/>
    </row>
    <row r="834" spans="1:149" ht="15" customHeight="1">
      <c r="A834" s="1185">
        <v>819</v>
      </c>
      <c r="B834" s="1041"/>
      <c r="C834" s="1050"/>
      <c r="D834" s="1050"/>
      <c r="E834" s="1050"/>
      <c r="F834" s="1049"/>
      <c r="G834" s="1457"/>
      <c r="H834" s="1049"/>
      <c r="I834" s="1049"/>
      <c r="J834" s="1050"/>
      <c r="K834" s="1050"/>
      <c r="L834" s="1043"/>
      <c r="M834" s="1051"/>
      <c r="N834" s="1051"/>
      <c r="O834" s="1052"/>
      <c r="P834" s="1051"/>
      <c r="Q834" s="1051"/>
      <c r="R834" s="1052"/>
      <c r="S834" s="1051"/>
      <c r="T834" s="1051"/>
      <c r="U834" s="1052"/>
      <c r="V834" s="1051"/>
      <c r="W834" s="1051"/>
      <c r="X834" s="1052"/>
      <c r="Y834" s="1053"/>
      <c r="Z834" s="1051"/>
      <c r="AA834" s="1051"/>
      <c r="AB834" s="1052"/>
      <c r="AC834" s="1051"/>
      <c r="AD834" s="1051"/>
      <c r="AE834" s="1052"/>
      <c r="AF834" s="1051"/>
      <c r="AG834" s="1051"/>
      <c r="AH834" s="1051"/>
      <c r="AI834" s="1051"/>
      <c r="AJ834" s="1052"/>
      <c r="AK834" s="1051"/>
      <c r="AL834" s="1051"/>
      <c r="AM834" s="1052"/>
      <c r="AN834" s="1051"/>
      <c r="AO834" s="1051"/>
      <c r="AP834" s="1052"/>
      <c r="AQ834" s="1051"/>
      <c r="AR834" s="1051"/>
      <c r="AS834" s="1052"/>
      <c r="AT834" s="1051"/>
      <c r="AU834" s="1051"/>
      <c r="AV834" s="1052"/>
      <c r="AW834" s="1051"/>
      <c r="AX834" s="1051"/>
      <c r="AY834" s="1053"/>
      <c r="AZ834" s="1051"/>
      <c r="BA834" s="1051"/>
      <c r="BB834" s="1053"/>
      <c r="BC834" s="1051"/>
      <c r="BD834" s="1051"/>
      <c r="BE834" s="1053"/>
      <c r="BF834" s="1051"/>
      <c r="BG834" s="1051"/>
      <c r="BH834" s="1053"/>
      <c r="BI834" s="1052"/>
      <c r="BJ834" s="1052"/>
      <c r="BK834" s="1052"/>
      <c r="BL834" s="1052"/>
      <c r="BM834" s="1052"/>
      <c r="BN834" s="1054"/>
      <c r="BO834" s="1076">
        <f t="shared" si="24"/>
        <v>0</v>
      </c>
      <c r="BP834" s="1051"/>
      <c r="BQ834" s="1052"/>
      <c r="BR834" s="1054"/>
      <c r="BS834" s="1053"/>
      <c r="BT834" s="1051"/>
      <c r="BU834" s="1051"/>
      <c r="BV834" s="1051"/>
      <c r="BW834" s="1052"/>
      <c r="BX834" s="1052"/>
      <c r="BY834" s="1052"/>
      <c r="BZ834" s="1052"/>
      <c r="CA834" s="1052"/>
      <c r="CB834" s="1053"/>
      <c r="CC834" s="1053"/>
      <c r="CD834" s="1053"/>
      <c r="CE834" s="1053"/>
      <c r="CF834" s="1053"/>
      <c r="CG834" s="1053"/>
      <c r="CH834" s="1053"/>
      <c r="CI834" s="1123"/>
      <c r="CJ834" s="1123"/>
      <c r="CK834" s="1123"/>
      <c r="CL834" s="1123"/>
      <c r="CM834" s="1123"/>
      <c r="CN834" s="1123"/>
      <c r="CO834" s="1123"/>
      <c r="CP834" s="1123"/>
      <c r="CQ834" s="1123"/>
      <c r="CR834" s="1123"/>
      <c r="CS834" s="1123"/>
      <c r="CT834" s="1123"/>
      <c r="CU834" s="1123"/>
      <c r="CV834" s="1123"/>
      <c r="CW834" s="1123"/>
      <c r="CX834" s="1123"/>
      <c r="CY834" s="1123"/>
      <c r="CZ834" s="1114"/>
      <c r="DA834" s="1114"/>
      <c r="DB834" s="1114"/>
      <c r="DC834" s="1114"/>
      <c r="DD834" s="1114"/>
      <c r="DE834" s="1114"/>
      <c r="DF834" s="1114"/>
      <c r="DG834" s="1114"/>
      <c r="DH834" s="1114"/>
      <c r="DI834" s="1114"/>
      <c r="DJ834" s="1114"/>
      <c r="DK834" s="1114"/>
      <c r="DL834" s="1114"/>
      <c r="DM834" s="1114"/>
      <c r="DN834" s="1114"/>
      <c r="DO834" s="1114"/>
      <c r="DP834" s="1114"/>
      <c r="DQ834" s="1114"/>
      <c r="DR834" s="1114"/>
      <c r="DS834" s="1114"/>
      <c r="DT834" s="1114"/>
      <c r="DU834" s="1114"/>
      <c r="DV834" s="1115"/>
      <c r="DW834" s="1116"/>
      <c r="DX834" s="1116"/>
      <c r="DY834" s="1116"/>
      <c r="DZ834" s="1116"/>
      <c r="EA834" s="1116"/>
      <c r="EB834" s="1116"/>
      <c r="EC834" s="1116"/>
      <c r="ED834" s="1116"/>
      <c r="EE834" s="1116"/>
      <c r="EF834" s="1116"/>
      <c r="EG834" s="1116"/>
      <c r="EH834" s="1116"/>
      <c r="EI834" s="1116"/>
      <c r="EJ834" s="1116"/>
      <c r="EK834" s="1116"/>
      <c r="EL834" s="1116"/>
      <c r="EM834" s="1116"/>
      <c r="EN834" s="1116"/>
      <c r="EO834" s="1116"/>
      <c r="EP834" s="1116"/>
      <c r="EQ834" s="1116"/>
      <c r="ER834" s="1116"/>
      <c r="ES834" s="1116"/>
    </row>
    <row r="835" spans="1:149" ht="15" customHeight="1">
      <c r="A835" s="1185">
        <v>820</v>
      </c>
      <c r="B835" s="1041"/>
      <c r="C835" s="1050"/>
      <c r="D835" s="1050"/>
      <c r="E835" s="1050"/>
      <c r="F835" s="1049"/>
      <c r="G835" s="1457"/>
      <c r="H835" s="1049"/>
      <c r="I835" s="1049"/>
      <c r="J835" s="1050"/>
      <c r="K835" s="1050"/>
      <c r="L835" s="1043"/>
      <c r="M835" s="1051"/>
      <c r="N835" s="1051"/>
      <c r="O835" s="1052"/>
      <c r="P835" s="1051"/>
      <c r="Q835" s="1051"/>
      <c r="R835" s="1052"/>
      <c r="S835" s="1051"/>
      <c r="T835" s="1051"/>
      <c r="U835" s="1052"/>
      <c r="V835" s="1051"/>
      <c r="W835" s="1051"/>
      <c r="X835" s="1052"/>
      <c r="Y835" s="1053"/>
      <c r="Z835" s="1051"/>
      <c r="AA835" s="1051"/>
      <c r="AB835" s="1052"/>
      <c r="AC835" s="1051"/>
      <c r="AD835" s="1051"/>
      <c r="AE835" s="1052"/>
      <c r="AF835" s="1051"/>
      <c r="AG835" s="1051"/>
      <c r="AH835" s="1051"/>
      <c r="AI835" s="1051"/>
      <c r="AJ835" s="1052"/>
      <c r="AK835" s="1051"/>
      <c r="AL835" s="1051"/>
      <c r="AM835" s="1052"/>
      <c r="AN835" s="1051"/>
      <c r="AO835" s="1051"/>
      <c r="AP835" s="1052"/>
      <c r="AQ835" s="1051"/>
      <c r="AR835" s="1051"/>
      <c r="AS835" s="1052"/>
      <c r="AT835" s="1051"/>
      <c r="AU835" s="1051"/>
      <c r="AV835" s="1052"/>
      <c r="AW835" s="1051"/>
      <c r="AX835" s="1051"/>
      <c r="AY835" s="1053"/>
      <c r="AZ835" s="1051"/>
      <c r="BA835" s="1051"/>
      <c r="BB835" s="1053"/>
      <c r="BC835" s="1051"/>
      <c r="BD835" s="1051"/>
      <c r="BE835" s="1053"/>
      <c r="BF835" s="1051"/>
      <c r="BG835" s="1051"/>
      <c r="BH835" s="1053"/>
      <c r="BI835" s="1052"/>
      <c r="BJ835" s="1052"/>
      <c r="BK835" s="1052"/>
      <c r="BL835" s="1052"/>
      <c r="BM835" s="1052"/>
      <c r="BN835" s="1054"/>
      <c r="BO835" s="1076">
        <f t="shared" si="24"/>
        <v>0</v>
      </c>
      <c r="BP835" s="1051"/>
      <c r="BQ835" s="1052"/>
      <c r="BR835" s="1054"/>
      <c r="BS835" s="1053"/>
      <c r="BT835" s="1051"/>
      <c r="BU835" s="1051"/>
      <c r="BV835" s="1051"/>
      <c r="BW835" s="1052"/>
      <c r="BX835" s="1052"/>
      <c r="BY835" s="1052"/>
      <c r="BZ835" s="1052"/>
      <c r="CA835" s="1052"/>
      <c r="CB835" s="1053"/>
      <c r="CC835" s="1053"/>
      <c r="CD835" s="1053"/>
      <c r="CE835" s="1053"/>
      <c r="CF835" s="1053"/>
      <c r="CG835" s="1053"/>
      <c r="CH835" s="1053"/>
      <c r="CI835" s="1123"/>
      <c r="CJ835" s="1123"/>
      <c r="CK835" s="1123"/>
      <c r="CL835" s="1123"/>
      <c r="CM835" s="1123"/>
      <c r="CN835" s="1123"/>
      <c r="CO835" s="1123"/>
      <c r="CP835" s="1123"/>
      <c r="CQ835" s="1123"/>
      <c r="CR835" s="1123"/>
      <c r="CS835" s="1123"/>
      <c r="CT835" s="1123"/>
      <c r="CU835" s="1123"/>
      <c r="CV835" s="1123"/>
      <c r="CW835" s="1123"/>
      <c r="CX835" s="1123"/>
      <c r="CY835" s="1123"/>
      <c r="CZ835" s="1114"/>
      <c r="DA835" s="1114"/>
      <c r="DB835" s="1114"/>
      <c r="DC835" s="1114"/>
      <c r="DD835" s="1114"/>
      <c r="DE835" s="1114"/>
      <c r="DF835" s="1114"/>
      <c r="DG835" s="1114"/>
      <c r="DH835" s="1114"/>
      <c r="DI835" s="1114"/>
      <c r="DJ835" s="1114"/>
      <c r="DK835" s="1114"/>
      <c r="DL835" s="1114"/>
      <c r="DM835" s="1114"/>
      <c r="DN835" s="1114"/>
      <c r="DO835" s="1114"/>
      <c r="DP835" s="1114"/>
      <c r="DQ835" s="1114"/>
      <c r="DR835" s="1114"/>
      <c r="DS835" s="1114"/>
      <c r="DT835" s="1114"/>
      <c r="DU835" s="1114"/>
      <c r="DV835" s="1115"/>
      <c r="DW835" s="1116"/>
      <c r="DX835" s="1116"/>
      <c r="DY835" s="1116"/>
      <c r="DZ835" s="1116"/>
      <c r="EA835" s="1116"/>
      <c r="EB835" s="1116"/>
      <c r="EC835" s="1116"/>
      <c r="ED835" s="1116"/>
      <c r="EE835" s="1116"/>
      <c r="EF835" s="1116"/>
      <c r="EG835" s="1116"/>
      <c r="EH835" s="1116"/>
      <c r="EI835" s="1116"/>
      <c r="EJ835" s="1116"/>
      <c r="EK835" s="1116"/>
      <c r="EL835" s="1116"/>
      <c r="EM835" s="1116"/>
      <c r="EN835" s="1116"/>
      <c r="EO835" s="1116"/>
      <c r="EP835" s="1116"/>
      <c r="EQ835" s="1116"/>
      <c r="ER835" s="1116"/>
      <c r="ES835" s="1116"/>
    </row>
    <row r="836" spans="1:149" ht="15" customHeight="1">
      <c r="A836" s="1185">
        <v>821</v>
      </c>
      <c r="B836" s="1041"/>
      <c r="C836" s="1050"/>
      <c r="D836" s="1050"/>
      <c r="E836" s="1050"/>
      <c r="F836" s="1049"/>
      <c r="G836" s="1457"/>
      <c r="H836" s="1049"/>
      <c r="I836" s="1049"/>
      <c r="J836" s="1050"/>
      <c r="K836" s="1050"/>
      <c r="L836" s="1043"/>
      <c r="M836" s="1051"/>
      <c r="N836" s="1051"/>
      <c r="O836" s="1052"/>
      <c r="P836" s="1051"/>
      <c r="Q836" s="1051"/>
      <c r="R836" s="1052"/>
      <c r="S836" s="1051"/>
      <c r="T836" s="1051"/>
      <c r="U836" s="1052"/>
      <c r="V836" s="1051"/>
      <c r="W836" s="1051"/>
      <c r="X836" s="1052"/>
      <c r="Y836" s="1053"/>
      <c r="Z836" s="1051"/>
      <c r="AA836" s="1051"/>
      <c r="AB836" s="1052"/>
      <c r="AC836" s="1051"/>
      <c r="AD836" s="1051"/>
      <c r="AE836" s="1052"/>
      <c r="AF836" s="1051"/>
      <c r="AG836" s="1051"/>
      <c r="AH836" s="1051"/>
      <c r="AI836" s="1051"/>
      <c r="AJ836" s="1052"/>
      <c r="AK836" s="1051"/>
      <c r="AL836" s="1051"/>
      <c r="AM836" s="1052"/>
      <c r="AN836" s="1051"/>
      <c r="AO836" s="1051"/>
      <c r="AP836" s="1052"/>
      <c r="AQ836" s="1051"/>
      <c r="AR836" s="1051"/>
      <c r="AS836" s="1052"/>
      <c r="AT836" s="1051"/>
      <c r="AU836" s="1051"/>
      <c r="AV836" s="1052"/>
      <c r="AW836" s="1051"/>
      <c r="AX836" s="1051"/>
      <c r="AY836" s="1053"/>
      <c r="AZ836" s="1051"/>
      <c r="BA836" s="1051"/>
      <c r="BB836" s="1053"/>
      <c r="BC836" s="1051"/>
      <c r="BD836" s="1051"/>
      <c r="BE836" s="1053"/>
      <c r="BF836" s="1051"/>
      <c r="BG836" s="1051"/>
      <c r="BH836" s="1053"/>
      <c r="BI836" s="1052"/>
      <c r="BJ836" s="1052"/>
      <c r="BK836" s="1052"/>
      <c r="BL836" s="1052"/>
      <c r="BM836" s="1052"/>
      <c r="BN836" s="1054"/>
      <c r="BO836" s="1076">
        <f t="shared" si="24"/>
        <v>0</v>
      </c>
      <c r="BP836" s="1051"/>
      <c r="BQ836" s="1052"/>
      <c r="BR836" s="1054"/>
      <c r="BS836" s="1053"/>
      <c r="BT836" s="1051"/>
      <c r="BU836" s="1051"/>
      <c r="BV836" s="1051"/>
      <c r="BW836" s="1052"/>
      <c r="BX836" s="1052"/>
      <c r="BY836" s="1052"/>
      <c r="BZ836" s="1052"/>
      <c r="CA836" s="1052"/>
      <c r="CB836" s="1053"/>
      <c r="CC836" s="1053"/>
      <c r="CD836" s="1053"/>
      <c r="CE836" s="1053"/>
      <c r="CF836" s="1053"/>
      <c r="CG836" s="1053"/>
      <c r="CH836" s="1053"/>
      <c r="CI836" s="1123"/>
      <c r="CJ836" s="1123"/>
      <c r="CK836" s="1123"/>
      <c r="CL836" s="1123"/>
      <c r="CM836" s="1123"/>
      <c r="CN836" s="1123"/>
      <c r="CO836" s="1123"/>
      <c r="CP836" s="1123"/>
      <c r="CQ836" s="1123"/>
      <c r="CR836" s="1123"/>
      <c r="CS836" s="1123"/>
      <c r="CT836" s="1123"/>
      <c r="CU836" s="1123"/>
      <c r="CV836" s="1123"/>
      <c r="CW836" s="1123"/>
      <c r="CX836" s="1123"/>
      <c r="CY836" s="1123"/>
      <c r="CZ836" s="1114"/>
      <c r="DA836" s="1114"/>
      <c r="DB836" s="1114"/>
      <c r="DC836" s="1114"/>
      <c r="DD836" s="1114"/>
      <c r="DE836" s="1114"/>
      <c r="DF836" s="1114"/>
      <c r="DG836" s="1114"/>
      <c r="DH836" s="1114"/>
      <c r="DI836" s="1114"/>
      <c r="DJ836" s="1114"/>
      <c r="DK836" s="1114"/>
      <c r="DL836" s="1114"/>
      <c r="DM836" s="1114"/>
      <c r="DN836" s="1114"/>
      <c r="DO836" s="1114"/>
      <c r="DP836" s="1114"/>
      <c r="DQ836" s="1114"/>
      <c r="DR836" s="1114"/>
      <c r="DS836" s="1114"/>
      <c r="DT836" s="1114"/>
      <c r="DU836" s="1114"/>
      <c r="DV836" s="1115"/>
      <c r="DW836" s="1116"/>
      <c r="DX836" s="1116"/>
      <c r="DY836" s="1116"/>
      <c r="DZ836" s="1116"/>
      <c r="EA836" s="1116"/>
      <c r="EB836" s="1116"/>
      <c r="EC836" s="1116"/>
      <c r="ED836" s="1116"/>
      <c r="EE836" s="1116"/>
      <c r="EF836" s="1116"/>
      <c r="EG836" s="1116"/>
      <c r="EH836" s="1116"/>
      <c r="EI836" s="1116"/>
      <c r="EJ836" s="1116"/>
      <c r="EK836" s="1116"/>
      <c r="EL836" s="1116"/>
      <c r="EM836" s="1116"/>
      <c r="EN836" s="1116"/>
      <c r="EO836" s="1116"/>
      <c r="EP836" s="1116"/>
      <c r="EQ836" s="1116"/>
      <c r="ER836" s="1116"/>
      <c r="ES836" s="1116"/>
    </row>
    <row r="837" spans="1:149" ht="15" customHeight="1">
      <c r="A837" s="1185">
        <v>822</v>
      </c>
      <c r="B837" s="1041"/>
      <c r="C837" s="1050"/>
      <c r="D837" s="1050"/>
      <c r="E837" s="1050"/>
      <c r="F837" s="1049"/>
      <c r="G837" s="1457"/>
      <c r="H837" s="1049"/>
      <c r="I837" s="1049"/>
      <c r="J837" s="1050"/>
      <c r="K837" s="1050"/>
      <c r="L837" s="1043"/>
      <c r="M837" s="1051"/>
      <c r="N837" s="1051"/>
      <c r="O837" s="1052"/>
      <c r="P837" s="1051"/>
      <c r="Q837" s="1051"/>
      <c r="R837" s="1052"/>
      <c r="S837" s="1051"/>
      <c r="T837" s="1051"/>
      <c r="U837" s="1052"/>
      <c r="V837" s="1051"/>
      <c r="W837" s="1051"/>
      <c r="X837" s="1052"/>
      <c r="Y837" s="1053"/>
      <c r="Z837" s="1051"/>
      <c r="AA837" s="1051"/>
      <c r="AB837" s="1052"/>
      <c r="AC837" s="1051"/>
      <c r="AD837" s="1051"/>
      <c r="AE837" s="1052"/>
      <c r="AF837" s="1051"/>
      <c r="AG837" s="1051"/>
      <c r="AH837" s="1051"/>
      <c r="AI837" s="1051"/>
      <c r="AJ837" s="1052"/>
      <c r="AK837" s="1051"/>
      <c r="AL837" s="1051"/>
      <c r="AM837" s="1052"/>
      <c r="AN837" s="1051"/>
      <c r="AO837" s="1051"/>
      <c r="AP837" s="1052"/>
      <c r="AQ837" s="1051"/>
      <c r="AR837" s="1051"/>
      <c r="AS837" s="1052"/>
      <c r="AT837" s="1051"/>
      <c r="AU837" s="1051"/>
      <c r="AV837" s="1052"/>
      <c r="AW837" s="1051"/>
      <c r="AX837" s="1051"/>
      <c r="AY837" s="1053"/>
      <c r="AZ837" s="1051"/>
      <c r="BA837" s="1051"/>
      <c r="BB837" s="1053"/>
      <c r="BC837" s="1051"/>
      <c r="BD837" s="1051"/>
      <c r="BE837" s="1053"/>
      <c r="BF837" s="1051"/>
      <c r="BG837" s="1051"/>
      <c r="BH837" s="1053"/>
      <c r="BI837" s="1052"/>
      <c r="BJ837" s="1052"/>
      <c r="BK837" s="1052"/>
      <c r="BL837" s="1052"/>
      <c r="BM837" s="1052"/>
      <c r="BN837" s="1054"/>
      <c r="BO837" s="1076">
        <f t="shared" si="24"/>
        <v>0</v>
      </c>
      <c r="BP837" s="1051"/>
      <c r="BQ837" s="1052"/>
      <c r="BR837" s="1054"/>
      <c r="BS837" s="1053"/>
      <c r="BT837" s="1051"/>
      <c r="BU837" s="1051"/>
      <c r="BV837" s="1051"/>
      <c r="BW837" s="1052"/>
      <c r="BX837" s="1052"/>
      <c r="BY837" s="1052"/>
      <c r="BZ837" s="1052"/>
      <c r="CA837" s="1052"/>
      <c r="CB837" s="1053"/>
      <c r="CC837" s="1053"/>
      <c r="CD837" s="1053"/>
      <c r="CE837" s="1053"/>
      <c r="CF837" s="1053"/>
      <c r="CG837" s="1053"/>
      <c r="CH837" s="1053"/>
      <c r="CI837" s="1123"/>
      <c r="CJ837" s="1123"/>
      <c r="CK837" s="1123"/>
      <c r="CL837" s="1123"/>
      <c r="CM837" s="1123"/>
      <c r="CN837" s="1123"/>
      <c r="CO837" s="1123"/>
      <c r="CP837" s="1123"/>
      <c r="CQ837" s="1123"/>
      <c r="CR837" s="1123"/>
      <c r="CS837" s="1123"/>
      <c r="CT837" s="1123"/>
      <c r="CU837" s="1123"/>
      <c r="CV837" s="1123"/>
      <c r="CW837" s="1123"/>
      <c r="CX837" s="1123"/>
      <c r="CY837" s="1123"/>
      <c r="CZ837" s="1114"/>
      <c r="DA837" s="1114"/>
      <c r="DB837" s="1114"/>
      <c r="DC837" s="1114"/>
      <c r="DD837" s="1114"/>
      <c r="DE837" s="1114"/>
      <c r="DF837" s="1114"/>
      <c r="DG837" s="1114"/>
      <c r="DH837" s="1114"/>
      <c r="DI837" s="1114"/>
      <c r="DJ837" s="1114"/>
      <c r="DK837" s="1114"/>
      <c r="DL837" s="1114"/>
      <c r="DM837" s="1114"/>
      <c r="DN837" s="1114"/>
      <c r="DO837" s="1114"/>
      <c r="DP837" s="1114"/>
      <c r="DQ837" s="1114"/>
      <c r="DR837" s="1114"/>
      <c r="DS837" s="1114"/>
      <c r="DT837" s="1114"/>
      <c r="DU837" s="1114"/>
      <c r="DV837" s="1115"/>
      <c r="DW837" s="1116"/>
      <c r="DX837" s="1116"/>
      <c r="DY837" s="1116"/>
      <c r="DZ837" s="1116"/>
      <c r="EA837" s="1116"/>
      <c r="EB837" s="1116"/>
      <c r="EC837" s="1116"/>
      <c r="ED837" s="1116"/>
      <c r="EE837" s="1116"/>
      <c r="EF837" s="1116"/>
      <c r="EG837" s="1116"/>
      <c r="EH837" s="1116"/>
      <c r="EI837" s="1116"/>
      <c r="EJ837" s="1116"/>
      <c r="EK837" s="1116"/>
      <c r="EL837" s="1116"/>
      <c r="EM837" s="1116"/>
      <c r="EN837" s="1116"/>
      <c r="EO837" s="1116"/>
      <c r="EP837" s="1116"/>
      <c r="EQ837" s="1116"/>
      <c r="ER837" s="1116"/>
      <c r="ES837" s="1116"/>
    </row>
    <row r="838" spans="1:149" ht="15" customHeight="1">
      <c r="A838" s="1185">
        <v>823</v>
      </c>
      <c r="B838" s="1041"/>
      <c r="C838" s="1050"/>
      <c r="D838" s="1050"/>
      <c r="E838" s="1050"/>
      <c r="F838" s="1049"/>
      <c r="G838" s="1457"/>
      <c r="H838" s="1049"/>
      <c r="I838" s="1049"/>
      <c r="J838" s="1050"/>
      <c r="K838" s="1050"/>
      <c r="L838" s="1043"/>
      <c r="M838" s="1051"/>
      <c r="N838" s="1051"/>
      <c r="O838" s="1052"/>
      <c r="P838" s="1051"/>
      <c r="Q838" s="1051"/>
      <c r="R838" s="1052"/>
      <c r="S838" s="1051"/>
      <c r="T838" s="1051"/>
      <c r="U838" s="1052"/>
      <c r="V838" s="1051"/>
      <c r="W838" s="1051"/>
      <c r="X838" s="1052"/>
      <c r="Y838" s="1053"/>
      <c r="Z838" s="1051"/>
      <c r="AA838" s="1051"/>
      <c r="AB838" s="1052"/>
      <c r="AC838" s="1051"/>
      <c r="AD838" s="1051"/>
      <c r="AE838" s="1052"/>
      <c r="AF838" s="1051"/>
      <c r="AG838" s="1051"/>
      <c r="AH838" s="1051"/>
      <c r="AI838" s="1051"/>
      <c r="AJ838" s="1052"/>
      <c r="AK838" s="1051"/>
      <c r="AL838" s="1051"/>
      <c r="AM838" s="1052"/>
      <c r="AN838" s="1051"/>
      <c r="AO838" s="1051"/>
      <c r="AP838" s="1052"/>
      <c r="AQ838" s="1051"/>
      <c r="AR838" s="1051"/>
      <c r="AS838" s="1052"/>
      <c r="AT838" s="1051"/>
      <c r="AU838" s="1051"/>
      <c r="AV838" s="1052"/>
      <c r="AW838" s="1051"/>
      <c r="AX838" s="1051"/>
      <c r="AY838" s="1053"/>
      <c r="AZ838" s="1051"/>
      <c r="BA838" s="1051"/>
      <c r="BB838" s="1053"/>
      <c r="BC838" s="1051"/>
      <c r="BD838" s="1051"/>
      <c r="BE838" s="1053"/>
      <c r="BF838" s="1051"/>
      <c r="BG838" s="1051"/>
      <c r="BH838" s="1053"/>
      <c r="BI838" s="1052"/>
      <c r="BJ838" s="1052"/>
      <c r="BK838" s="1052"/>
      <c r="BL838" s="1052"/>
      <c r="BM838" s="1052"/>
      <c r="BN838" s="1054"/>
      <c r="BO838" s="1076">
        <f t="shared" si="24"/>
        <v>0</v>
      </c>
      <c r="BP838" s="1051"/>
      <c r="BQ838" s="1052"/>
      <c r="BR838" s="1054"/>
      <c r="BS838" s="1053"/>
      <c r="BT838" s="1051"/>
      <c r="BU838" s="1051"/>
      <c r="BV838" s="1051"/>
      <c r="BW838" s="1052"/>
      <c r="BX838" s="1052"/>
      <c r="BY838" s="1052"/>
      <c r="BZ838" s="1052"/>
      <c r="CA838" s="1052"/>
      <c r="CB838" s="1053"/>
      <c r="CC838" s="1053"/>
      <c r="CD838" s="1053"/>
      <c r="CE838" s="1053"/>
      <c r="CF838" s="1053"/>
      <c r="CG838" s="1053"/>
      <c r="CH838" s="1053"/>
      <c r="CI838" s="1123"/>
      <c r="CJ838" s="1123"/>
      <c r="CK838" s="1123"/>
      <c r="CL838" s="1123"/>
      <c r="CM838" s="1123"/>
      <c r="CN838" s="1123"/>
      <c r="CO838" s="1123"/>
      <c r="CP838" s="1123"/>
      <c r="CQ838" s="1123"/>
      <c r="CR838" s="1123"/>
      <c r="CS838" s="1123"/>
      <c r="CT838" s="1123"/>
      <c r="CU838" s="1123"/>
      <c r="CV838" s="1123"/>
      <c r="CW838" s="1123"/>
      <c r="CX838" s="1123"/>
      <c r="CY838" s="1123"/>
      <c r="CZ838" s="1114"/>
      <c r="DA838" s="1114"/>
      <c r="DB838" s="1114"/>
      <c r="DC838" s="1114"/>
      <c r="DD838" s="1114"/>
      <c r="DE838" s="1114"/>
      <c r="DF838" s="1114"/>
      <c r="DG838" s="1114"/>
      <c r="DH838" s="1114"/>
      <c r="DI838" s="1114"/>
      <c r="DJ838" s="1114"/>
      <c r="DK838" s="1114"/>
      <c r="DL838" s="1114"/>
      <c r="DM838" s="1114"/>
      <c r="DN838" s="1114"/>
      <c r="DO838" s="1114"/>
      <c r="DP838" s="1114"/>
      <c r="DQ838" s="1114"/>
      <c r="DR838" s="1114"/>
      <c r="DS838" s="1114"/>
      <c r="DT838" s="1114"/>
      <c r="DU838" s="1114"/>
      <c r="DV838" s="1115"/>
      <c r="DW838" s="1116"/>
      <c r="DX838" s="1116"/>
      <c r="DY838" s="1116"/>
      <c r="DZ838" s="1116"/>
      <c r="EA838" s="1116"/>
      <c r="EB838" s="1116"/>
      <c r="EC838" s="1116"/>
      <c r="ED838" s="1116"/>
      <c r="EE838" s="1116"/>
      <c r="EF838" s="1116"/>
      <c r="EG838" s="1116"/>
      <c r="EH838" s="1116"/>
      <c r="EI838" s="1116"/>
      <c r="EJ838" s="1116"/>
      <c r="EK838" s="1116"/>
      <c r="EL838" s="1116"/>
      <c r="EM838" s="1116"/>
      <c r="EN838" s="1116"/>
      <c r="EO838" s="1116"/>
      <c r="EP838" s="1116"/>
      <c r="EQ838" s="1116"/>
      <c r="ER838" s="1116"/>
      <c r="ES838" s="1116"/>
    </row>
    <row r="839" spans="1:149" ht="15" customHeight="1">
      <c r="A839" s="1185">
        <v>824</v>
      </c>
      <c r="B839" s="1041"/>
      <c r="C839" s="1050"/>
      <c r="D839" s="1050"/>
      <c r="E839" s="1050"/>
      <c r="F839" s="1049"/>
      <c r="G839" s="1457"/>
      <c r="H839" s="1049"/>
      <c r="I839" s="1049"/>
      <c r="J839" s="1050"/>
      <c r="K839" s="1050"/>
      <c r="L839" s="1043"/>
      <c r="M839" s="1051"/>
      <c r="N839" s="1051"/>
      <c r="O839" s="1052"/>
      <c r="P839" s="1051"/>
      <c r="Q839" s="1051"/>
      <c r="R839" s="1052"/>
      <c r="S839" s="1051"/>
      <c r="T839" s="1051"/>
      <c r="U839" s="1052"/>
      <c r="V839" s="1051"/>
      <c r="W839" s="1051"/>
      <c r="X839" s="1052"/>
      <c r="Y839" s="1053"/>
      <c r="Z839" s="1051"/>
      <c r="AA839" s="1051"/>
      <c r="AB839" s="1052"/>
      <c r="AC839" s="1051"/>
      <c r="AD839" s="1051"/>
      <c r="AE839" s="1052"/>
      <c r="AF839" s="1051"/>
      <c r="AG839" s="1051"/>
      <c r="AH839" s="1051"/>
      <c r="AI839" s="1051"/>
      <c r="AJ839" s="1052"/>
      <c r="AK839" s="1051"/>
      <c r="AL839" s="1051"/>
      <c r="AM839" s="1052"/>
      <c r="AN839" s="1051"/>
      <c r="AO839" s="1051"/>
      <c r="AP839" s="1052"/>
      <c r="AQ839" s="1051"/>
      <c r="AR839" s="1051"/>
      <c r="AS839" s="1052"/>
      <c r="AT839" s="1051"/>
      <c r="AU839" s="1051"/>
      <c r="AV839" s="1052"/>
      <c r="AW839" s="1051"/>
      <c r="AX839" s="1051"/>
      <c r="AY839" s="1053"/>
      <c r="AZ839" s="1051"/>
      <c r="BA839" s="1051"/>
      <c r="BB839" s="1053"/>
      <c r="BC839" s="1051"/>
      <c r="BD839" s="1051"/>
      <c r="BE839" s="1053"/>
      <c r="BF839" s="1051"/>
      <c r="BG839" s="1051"/>
      <c r="BH839" s="1053"/>
      <c r="BI839" s="1052"/>
      <c r="BJ839" s="1052"/>
      <c r="BK839" s="1052"/>
      <c r="BL839" s="1052"/>
      <c r="BM839" s="1052"/>
      <c r="BN839" s="1054"/>
      <c r="BO839" s="1076">
        <f t="shared" si="24"/>
        <v>0</v>
      </c>
      <c r="BP839" s="1051"/>
      <c r="BQ839" s="1052"/>
      <c r="BR839" s="1054"/>
      <c r="BS839" s="1053"/>
      <c r="BT839" s="1051"/>
      <c r="BU839" s="1051"/>
      <c r="BV839" s="1051"/>
      <c r="BW839" s="1052"/>
      <c r="BX839" s="1052"/>
      <c r="BY839" s="1052"/>
      <c r="BZ839" s="1052"/>
      <c r="CA839" s="1052"/>
      <c r="CB839" s="1053"/>
      <c r="CC839" s="1053"/>
      <c r="CD839" s="1053"/>
      <c r="CE839" s="1053"/>
      <c r="CF839" s="1053"/>
      <c r="CG839" s="1053"/>
      <c r="CH839" s="1053"/>
      <c r="CI839" s="1123"/>
      <c r="CJ839" s="1123"/>
      <c r="CK839" s="1123"/>
      <c r="CL839" s="1123"/>
      <c r="CM839" s="1123"/>
      <c r="CN839" s="1123"/>
      <c r="CO839" s="1123"/>
      <c r="CP839" s="1123"/>
      <c r="CQ839" s="1123"/>
      <c r="CR839" s="1123"/>
      <c r="CS839" s="1123"/>
      <c r="CT839" s="1123"/>
      <c r="CU839" s="1123"/>
      <c r="CV839" s="1123"/>
      <c r="CW839" s="1123"/>
      <c r="CX839" s="1123"/>
      <c r="CY839" s="1123"/>
      <c r="CZ839" s="1114"/>
      <c r="DA839" s="1114"/>
      <c r="DB839" s="1114"/>
      <c r="DC839" s="1114"/>
      <c r="DD839" s="1114"/>
      <c r="DE839" s="1114"/>
      <c r="DF839" s="1114"/>
      <c r="DG839" s="1114"/>
      <c r="DH839" s="1114"/>
      <c r="DI839" s="1114"/>
      <c r="DJ839" s="1114"/>
      <c r="DK839" s="1114"/>
      <c r="DL839" s="1114"/>
      <c r="DM839" s="1114"/>
      <c r="DN839" s="1114"/>
      <c r="DO839" s="1114"/>
      <c r="DP839" s="1114"/>
      <c r="DQ839" s="1114"/>
      <c r="DR839" s="1114"/>
      <c r="DS839" s="1114"/>
      <c r="DT839" s="1114"/>
      <c r="DU839" s="1114"/>
      <c r="DV839" s="1115"/>
      <c r="DW839" s="1116"/>
      <c r="DX839" s="1116"/>
      <c r="DY839" s="1116"/>
      <c r="DZ839" s="1116"/>
      <c r="EA839" s="1116"/>
      <c r="EB839" s="1116"/>
      <c r="EC839" s="1116"/>
      <c r="ED839" s="1116"/>
      <c r="EE839" s="1116"/>
      <c r="EF839" s="1116"/>
      <c r="EG839" s="1116"/>
      <c r="EH839" s="1116"/>
      <c r="EI839" s="1116"/>
      <c r="EJ839" s="1116"/>
      <c r="EK839" s="1116"/>
      <c r="EL839" s="1116"/>
      <c r="EM839" s="1116"/>
      <c r="EN839" s="1116"/>
      <c r="EO839" s="1116"/>
      <c r="EP839" s="1116"/>
      <c r="EQ839" s="1116"/>
      <c r="ER839" s="1116"/>
      <c r="ES839" s="1116"/>
    </row>
    <row r="840" spans="1:149" ht="15" customHeight="1">
      <c r="A840" s="1185">
        <v>825</v>
      </c>
      <c r="B840" s="1041"/>
      <c r="C840" s="1050"/>
      <c r="D840" s="1050"/>
      <c r="E840" s="1050"/>
      <c r="F840" s="1049"/>
      <c r="G840" s="1457"/>
      <c r="H840" s="1049"/>
      <c r="I840" s="1049"/>
      <c r="J840" s="1050"/>
      <c r="K840" s="1050"/>
      <c r="L840" s="1043"/>
      <c r="M840" s="1051"/>
      <c r="N840" s="1051"/>
      <c r="O840" s="1052"/>
      <c r="P840" s="1051"/>
      <c r="Q840" s="1051"/>
      <c r="R840" s="1052"/>
      <c r="S840" s="1051"/>
      <c r="T840" s="1051"/>
      <c r="U840" s="1052"/>
      <c r="V840" s="1051"/>
      <c r="W840" s="1051"/>
      <c r="X840" s="1052"/>
      <c r="Y840" s="1053"/>
      <c r="Z840" s="1051"/>
      <c r="AA840" s="1051"/>
      <c r="AB840" s="1052"/>
      <c r="AC840" s="1051"/>
      <c r="AD840" s="1051"/>
      <c r="AE840" s="1052"/>
      <c r="AF840" s="1051"/>
      <c r="AG840" s="1051"/>
      <c r="AH840" s="1051"/>
      <c r="AI840" s="1051"/>
      <c r="AJ840" s="1052"/>
      <c r="AK840" s="1051"/>
      <c r="AL840" s="1051"/>
      <c r="AM840" s="1052"/>
      <c r="AN840" s="1051"/>
      <c r="AO840" s="1051"/>
      <c r="AP840" s="1052"/>
      <c r="AQ840" s="1051"/>
      <c r="AR840" s="1051"/>
      <c r="AS840" s="1052"/>
      <c r="AT840" s="1051"/>
      <c r="AU840" s="1051"/>
      <c r="AV840" s="1052"/>
      <c r="AW840" s="1051"/>
      <c r="AX840" s="1051"/>
      <c r="AY840" s="1053"/>
      <c r="AZ840" s="1051"/>
      <c r="BA840" s="1051"/>
      <c r="BB840" s="1053"/>
      <c r="BC840" s="1051"/>
      <c r="BD840" s="1051"/>
      <c r="BE840" s="1053"/>
      <c r="BF840" s="1051"/>
      <c r="BG840" s="1051"/>
      <c r="BH840" s="1053"/>
      <c r="BI840" s="1052"/>
      <c r="BJ840" s="1052"/>
      <c r="BK840" s="1052"/>
      <c r="BL840" s="1052"/>
      <c r="BM840" s="1052"/>
      <c r="BN840" s="1054"/>
      <c r="BO840" s="1076">
        <f t="shared" si="24"/>
        <v>0</v>
      </c>
      <c r="BP840" s="1051"/>
      <c r="BQ840" s="1052"/>
      <c r="BR840" s="1054"/>
      <c r="BS840" s="1053"/>
      <c r="BT840" s="1051"/>
      <c r="BU840" s="1051"/>
      <c r="BV840" s="1051"/>
      <c r="BW840" s="1052"/>
      <c r="BX840" s="1052"/>
      <c r="BY840" s="1052"/>
      <c r="BZ840" s="1052"/>
      <c r="CA840" s="1052"/>
      <c r="CB840" s="1053"/>
      <c r="CC840" s="1053"/>
      <c r="CD840" s="1053"/>
      <c r="CE840" s="1053"/>
      <c r="CF840" s="1053"/>
      <c r="CG840" s="1053"/>
      <c r="CH840" s="1053"/>
      <c r="CI840" s="1123"/>
      <c r="CJ840" s="1123"/>
      <c r="CK840" s="1123"/>
      <c r="CL840" s="1123"/>
      <c r="CM840" s="1123"/>
      <c r="CN840" s="1123"/>
      <c r="CO840" s="1123"/>
      <c r="CP840" s="1123"/>
      <c r="CQ840" s="1123"/>
      <c r="CR840" s="1123"/>
      <c r="CS840" s="1123"/>
      <c r="CT840" s="1123"/>
      <c r="CU840" s="1123"/>
      <c r="CV840" s="1123"/>
      <c r="CW840" s="1123"/>
      <c r="CX840" s="1123"/>
      <c r="CY840" s="1123"/>
      <c r="CZ840" s="1114"/>
      <c r="DA840" s="1114"/>
      <c r="DB840" s="1114"/>
      <c r="DC840" s="1114"/>
      <c r="DD840" s="1114"/>
      <c r="DE840" s="1114"/>
      <c r="DF840" s="1114"/>
      <c r="DG840" s="1114"/>
      <c r="DH840" s="1114"/>
      <c r="DI840" s="1114"/>
      <c r="DJ840" s="1114"/>
      <c r="DK840" s="1114"/>
      <c r="DL840" s="1114"/>
      <c r="DM840" s="1114"/>
      <c r="DN840" s="1114"/>
      <c r="DO840" s="1114"/>
      <c r="DP840" s="1114"/>
      <c r="DQ840" s="1114"/>
      <c r="DR840" s="1114"/>
      <c r="DS840" s="1114"/>
      <c r="DT840" s="1114"/>
      <c r="DU840" s="1114"/>
      <c r="DV840" s="1115"/>
      <c r="DW840" s="1116"/>
      <c r="DX840" s="1116"/>
      <c r="DY840" s="1116"/>
      <c r="DZ840" s="1116"/>
      <c r="EA840" s="1116"/>
      <c r="EB840" s="1116"/>
      <c r="EC840" s="1116"/>
      <c r="ED840" s="1116"/>
      <c r="EE840" s="1116"/>
      <c r="EF840" s="1116"/>
      <c r="EG840" s="1116"/>
      <c r="EH840" s="1116"/>
      <c r="EI840" s="1116"/>
      <c r="EJ840" s="1116"/>
      <c r="EK840" s="1116"/>
      <c r="EL840" s="1116"/>
      <c r="EM840" s="1116"/>
      <c r="EN840" s="1116"/>
      <c r="EO840" s="1116"/>
      <c r="EP840" s="1116"/>
      <c r="EQ840" s="1116"/>
      <c r="ER840" s="1116"/>
      <c r="ES840" s="1116"/>
    </row>
    <row r="841" spans="1:149" ht="15" customHeight="1">
      <c r="A841" s="1185">
        <v>826</v>
      </c>
      <c r="B841" s="1041"/>
      <c r="C841" s="1050"/>
      <c r="D841" s="1050"/>
      <c r="E841" s="1050"/>
      <c r="F841" s="1049"/>
      <c r="G841" s="1457"/>
      <c r="H841" s="1049"/>
      <c r="I841" s="1049"/>
      <c r="J841" s="1050"/>
      <c r="K841" s="1050"/>
      <c r="L841" s="1043"/>
      <c r="M841" s="1051"/>
      <c r="N841" s="1051"/>
      <c r="O841" s="1052"/>
      <c r="P841" s="1051"/>
      <c r="Q841" s="1051"/>
      <c r="R841" s="1052"/>
      <c r="S841" s="1051"/>
      <c r="T841" s="1051"/>
      <c r="U841" s="1052"/>
      <c r="V841" s="1051"/>
      <c r="W841" s="1051"/>
      <c r="X841" s="1052"/>
      <c r="Y841" s="1053"/>
      <c r="Z841" s="1051"/>
      <c r="AA841" s="1051"/>
      <c r="AB841" s="1052"/>
      <c r="AC841" s="1051"/>
      <c r="AD841" s="1051"/>
      <c r="AE841" s="1052"/>
      <c r="AF841" s="1051"/>
      <c r="AG841" s="1051"/>
      <c r="AH841" s="1051"/>
      <c r="AI841" s="1051"/>
      <c r="AJ841" s="1052"/>
      <c r="AK841" s="1051"/>
      <c r="AL841" s="1051"/>
      <c r="AM841" s="1052"/>
      <c r="AN841" s="1051"/>
      <c r="AO841" s="1051"/>
      <c r="AP841" s="1052"/>
      <c r="AQ841" s="1051"/>
      <c r="AR841" s="1051"/>
      <c r="AS841" s="1052"/>
      <c r="AT841" s="1051"/>
      <c r="AU841" s="1051"/>
      <c r="AV841" s="1052"/>
      <c r="AW841" s="1051"/>
      <c r="AX841" s="1051"/>
      <c r="AY841" s="1053"/>
      <c r="AZ841" s="1051"/>
      <c r="BA841" s="1051"/>
      <c r="BB841" s="1053"/>
      <c r="BC841" s="1051"/>
      <c r="BD841" s="1051"/>
      <c r="BE841" s="1053"/>
      <c r="BF841" s="1051"/>
      <c r="BG841" s="1051"/>
      <c r="BH841" s="1053"/>
      <c r="BI841" s="1052"/>
      <c r="BJ841" s="1052"/>
      <c r="BK841" s="1052"/>
      <c r="BL841" s="1052"/>
      <c r="BM841" s="1052"/>
      <c r="BN841" s="1054"/>
      <c r="BO841" s="1076">
        <f t="shared" si="24"/>
        <v>0</v>
      </c>
      <c r="BP841" s="1051"/>
      <c r="BQ841" s="1052"/>
      <c r="BR841" s="1054"/>
      <c r="BS841" s="1053"/>
      <c r="BT841" s="1051"/>
      <c r="BU841" s="1051"/>
      <c r="BV841" s="1051"/>
      <c r="BW841" s="1052"/>
      <c r="BX841" s="1052"/>
      <c r="BY841" s="1052"/>
      <c r="BZ841" s="1052"/>
      <c r="CA841" s="1052"/>
      <c r="CB841" s="1053"/>
      <c r="CC841" s="1053"/>
      <c r="CD841" s="1053"/>
      <c r="CE841" s="1053"/>
      <c r="CF841" s="1053"/>
      <c r="CG841" s="1053"/>
      <c r="CH841" s="1053"/>
      <c r="CI841" s="1123"/>
      <c r="CJ841" s="1123"/>
      <c r="CK841" s="1123"/>
      <c r="CL841" s="1123"/>
      <c r="CM841" s="1123"/>
      <c r="CN841" s="1123"/>
      <c r="CO841" s="1123"/>
      <c r="CP841" s="1123"/>
      <c r="CQ841" s="1123"/>
      <c r="CR841" s="1123"/>
      <c r="CS841" s="1123"/>
      <c r="CT841" s="1123"/>
      <c r="CU841" s="1123"/>
      <c r="CV841" s="1123"/>
      <c r="CW841" s="1123"/>
      <c r="CX841" s="1123"/>
      <c r="CY841" s="1123"/>
      <c r="CZ841" s="1114"/>
      <c r="DA841" s="1114"/>
      <c r="DB841" s="1114"/>
      <c r="DC841" s="1114"/>
      <c r="DD841" s="1114"/>
      <c r="DE841" s="1114"/>
      <c r="DF841" s="1114"/>
      <c r="DG841" s="1114"/>
      <c r="DH841" s="1114"/>
      <c r="DI841" s="1114"/>
      <c r="DJ841" s="1114"/>
      <c r="DK841" s="1114"/>
      <c r="DL841" s="1114"/>
      <c r="DM841" s="1114"/>
      <c r="DN841" s="1114"/>
      <c r="DO841" s="1114"/>
      <c r="DP841" s="1114"/>
      <c r="DQ841" s="1114"/>
      <c r="DR841" s="1114"/>
      <c r="DS841" s="1114"/>
      <c r="DT841" s="1114"/>
      <c r="DU841" s="1114"/>
      <c r="DV841" s="1115"/>
      <c r="DW841" s="1116"/>
      <c r="DX841" s="1116"/>
      <c r="DY841" s="1116"/>
      <c r="DZ841" s="1116"/>
      <c r="EA841" s="1116"/>
      <c r="EB841" s="1116"/>
      <c r="EC841" s="1116"/>
      <c r="ED841" s="1116"/>
      <c r="EE841" s="1116"/>
      <c r="EF841" s="1116"/>
      <c r="EG841" s="1116"/>
      <c r="EH841" s="1116"/>
      <c r="EI841" s="1116"/>
      <c r="EJ841" s="1116"/>
      <c r="EK841" s="1116"/>
      <c r="EL841" s="1116"/>
      <c r="EM841" s="1116"/>
      <c r="EN841" s="1116"/>
      <c r="EO841" s="1116"/>
      <c r="EP841" s="1116"/>
      <c r="EQ841" s="1116"/>
      <c r="ER841" s="1116"/>
      <c r="ES841" s="1116"/>
    </row>
    <row r="842" spans="1:149" ht="15" customHeight="1">
      <c r="A842" s="1185">
        <v>827</v>
      </c>
      <c r="B842" s="1041"/>
      <c r="C842" s="1050"/>
      <c r="D842" s="1050"/>
      <c r="E842" s="1050"/>
      <c r="F842" s="1049"/>
      <c r="G842" s="1457"/>
      <c r="H842" s="1049"/>
      <c r="I842" s="1049"/>
      <c r="J842" s="1050"/>
      <c r="K842" s="1050"/>
      <c r="L842" s="1043"/>
      <c r="M842" s="1051"/>
      <c r="N842" s="1051"/>
      <c r="O842" s="1052"/>
      <c r="P842" s="1051"/>
      <c r="Q842" s="1051"/>
      <c r="R842" s="1052"/>
      <c r="S842" s="1051"/>
      <c r="T842" s="1051"/>
      <c r="U842" s="1052"/>
      <c r="V842" s="1051"/>
      <c r="W842" s="1051"/>
      <c r="X842" s="1052"/>
      <c r="Y842" s="1053"/>
      <c r="Z842" s="1051"/>
      <c r="AA842" s="1051"/>
      <c r="AB842" s="1052"/>
      <c r="AC842" s="1051"/>
      <c r="AD842" s="1051"/>
      <c r="AE842" s="1052"/>
      <c r="AF842" s="1051"/>
      <c r="AG842" s="1051"/>
      <c r="AH842" s="1051"/>
      <c r="AI842" s="1051"/>
      <c r="AJ842" s="1052"/>
      <c r="AK842" s="1051"/>
      <c r="AL842" s="1051"/>
      <c r="AM842" s="1052"/>
      <c r="AN842" s="1051"/>
      <c r="AO842" s="1051"/>
      <c r="AP842" s="1052"/>
      <c r="AQ842" s="1051"/>
      <c r="AR842" s="1051"/>
      <c r="AS842" s="1052"/>
      <c r="AT842" s="1051"/>
      <c r="AU842" s="1051"/>
      <c r="AV842" s="1052"/>
      <c r="AW842" s="1051"/>
      <c r="AX842" s="1051"/>
      <c r="AY842" s="1053"/>
      <c r="AZ842" s="1051"/>
      <c r="BA842" s="1051"/>
      <c r="BB842" s="1053"/>
      <c r="BC842" s="1051"/>
      <c r="BD842" s="1051"/>
      <c r="BE842" s="1053"/>
      <c r="BF842" s="1051"/>
      <c r="BG842" s="1051"/>
      <c r="BH842" s="1053"/>
      <c r="BI842" s="1052"/>
      <c r="BJ842" s="1052"/>
      <c r="BK842" s="1052"/>
      <c r="BL842" s="1052"/>
      <c r="BM842" s="1052"/>
      <c r="BN842" s="1054"/>
      <c r="BO842" s="1076">
        <f t="shared" si="24"/>
        <v>0</v>
      </c>
      <c r="BP842" s="1051"/>
      <c r="BQ842" s="1052"/>
      <c r="BR842" s="1054"/>
      <c r="BS842" s="1053"/>
      <c r="BT842" s="1051"/>
      <c r="BU842" s="1051"/>
      <c r="BV842" s="1051"/>
      <c r="BW842" s="1052"/>
      <c r="BX842" s="1052"/>
      <c r="BY842" s="1052"/>
      <c r="BZ842" s="1052"/>
      <c r="CA842" s="1052"/>
      <c r="CB842" s="1053"/>
      <c r="CC842" s="1053"/>
      <c r="CD842" s="1053"/>
      <c r="CE842" s="1053"/>
      <c r="CF842" s="1053"/>
      <c r="CG842" s="1053"/>
      <c r="CH842" s="1053"/>
      <c r="CI842" s="1123"/>
      <c r="CJ842" s="1123"/>
      <c r="CK842" s="1123"/>
      <c r="CL842" s="1123"/>
      <c r="CM842" s="1123"/>
      <c r="CN842" s="1123"/>
      <c r="CO842" s="1123"/>
      <c r="CP842" s="1123"/>
      <c r="CQ842" s="1123"/>
      <c r="CR842" s="1123"/>
      <c r="CS842" s="1123"/>
      <c r="CT842" s="1123"/>
      <c r="CU842" s="1123"/>
      <c r="CV842" s="1123"/>
      <c r="CW842" s="1123"/>
      <c r="CX842" s="1123"/>
      <c r="CY842" s="1123"/>
      <c r="CZ842" s="1114"/>
      <c r="DA842" s="1114"/>
      <c r="DB842" s="1114"/>
      <c r="DC842" s="1114"/>
      <c r="DD842" s="1114"/>
      <c r="DE842" s="1114"/>
      <c r="DF842" s="1114"/>
      <c r="DG842" s="1114"/>
      <c r="DH842" s="1114"/>
      <c r="DI842" s="1114"/>
      <c r="DJ842" s="1114"/>
      <c r="DK842" s="1114"/>
      <c r="DL842" s="1114"/>
      <c r="DM842" s="1114"/>
      <c r="DN842" s="1114"/>
      <c r="DO842" s="1114"/>
      <c r="DP842" s="1114"/>
      <c r="DQ842" s="1114"/>
      <c r="DR842" s="1114"/>
      <c r="DS842" s="1114"/>
      <c r="DT842" s="1114"/>
      <c r="DU842" s="1114"/>
      <c r="DV842" s="1115"/>
      <c r="DW842" s="1116"/>
      <c r="DX842" s="1116"/>
      <c r="DY842" s="1116"/>
      <c r="DZ842" s="1116"/>
      <c r="EA842" s="1116"/>
      <c r="EB842" s="1116"/>
      <c r="EC842" s="1116"/>
      <c r="ED842" s="1116"/>
      <c r="EE842" s="1116"/>
      <c r="EF842" s="1116"/>
      <c r="EG842" s="1116"/>
      <c r="EH842" s="1116"/>
      <c r="EI842" s="1116"/>
      <c r="EJ842" s="1116"/>
      <c r="EK842" s="1116"/>
      <c r="EL842" s="1116"/>
      <c r="EM842" s="1116"/>
      <c r="EN842" s="1116"/>
      <c r="EO842" s="1116"/>
      <c r="EP842" s="1116"/>
      <c r="EQ842" s="1116"/>
      <c r="ER842" s="1116"/>
      <c r="ES842" s="1116"/>
    </row>
    <row r="843" spans="1:149" ht="15" customHeight="1">
      <c r="A843" s="1185">
        <v>828</v>
      </c>
      <c r="B843" s="1041"/>
      <c r="C843" s="1050"/>
      <c r="D843" s="1050"/>
      <c r="E843" s="1050"/>
      <c r="F843" s="1049"/>
      <c r="G843" s="1457"/>
      <c r="H843" s="1049"/>
      <c r="I843" s="1049"/>
      <c r="J843" s="1050"/>
      <c r="K843" s="1050"/>
      <c r="L843" s="1043"/>
      <c r="M843" s="1051"/>
      <c r="N843" s="1051"/>
      <c r="O843" s="1052"/>
      <c r="P843" s="1051"/>
      <c r="Q843" s="1051"/>
      <c r="R843" s="1052"/>
      <c r="S843" s="1051"/>
      <c r="T843" s="1051"/>
      <c r="U843" s="1052"/>
      <c r="V843" s="1051"/>
      <c r="W843" s="1051"/>
      <c r="X843" s="1052"/>
      <c r="Y843" s="1053"/>
      <c r="Z843" s="1051"/>
      <c r="AA843" s="1051"/>
      <c r="AB843" s="1052"/>
      <c r="AC843" s="1051"/>
      <c r="AD843" s="1051"/>
      <c r="AE843" s="1052"/>
      <c r="AF843" s="1051"/>
      <c r="AG843" s="1051"/>
      <c r="AH843" s="1051"/>
      <c r="AI843" s="1051"/>
      <c r="AJ843" s="1052"/>
      <c r="AK843" s="1051"/>
      <c r="AL843" s="1051"/>
      <c r="AM843" s="1052"/>
      <c r="AN843" s="1051"/>
      <c r="AO843" s="1051"/>
      <c r="AP843" s="1052"/>
      <c r="AQ843" s="1051"/>
      <c r="AR843" s="1051"/>
      <c r="AS843" s="1052"/>
      <c r="AT843" s="1051"/>
      <c r="AU843" s="1051"/>
      <c r="AV843" s="1052"/>
      <c r="AW843" s="1051"/>
      <c r="AX843" s="1051"/>
      <c r="AY843" s="1053"/>
      <c r="AZ843" s="1051"/>
      <c r="BA843" s="1051"/>
      <c r="BB843" s="1053"/>
      <c r="BC843" s="1051"/>
      <c r="BD843" s="1051"/>
      <c r="BE843" s="1053"/>
      <c r="BF843" s="1051"/>
      <c r="BG843" s="1051"/>
      <c r="BH843" s="1053"/>
      <c r="BI843" s="1052"/>
      <c r="BJ843" s="1052"/>
      <c r="BK843" s="1052"/>
      <c r="BL843" s="1052"/>
      <c r="BM843" s="1052"/>
      <c r="BN843" s="1054"/>
      <c r="BO843" s="1076">
        <f t="shared" si="24"/>
        <v>0</v>
      </c>
      <c r="BP843" s="1051"/>
      <c r="BQ843" s="1052"/>
      <c r="BR843" s="1054"/>
      <c r="BS843" s="1053"/>
      <c r="BT843" s="1051"/>
      <c r="BU843" s="1051"/>
      <c r="BV843" s="1051"/>
      <c r="BW843" s="1052"/>
      <c r="BX843" s="1052"/>
      <c r="BY843" s="1052"/>
      <c r="BZ843" s="1052"/>
      <c r="CA843" s="1052"/>
      <c r="CB843" s="1053"/>
      <c r="CC843" s="1053"/>
      <c r="CD843" s="1053"/>
      <c r="CE843" s="1053"/>
      <c r="CF843" s="1053"/>
      <c r="CG843" s="1053"/>
      <c r="CH843" s="1053"/>
      <c r="CI843" s="1123"/>
      <c r="CJ843" s="1123"/>
      <c r="CK843" s="1123"/>
      <c r="CL843" s="1123"/>
      <c r="CM843" s="1123"/>
      <c r="CN843" s="1123"/>
      <c r="CO843" s="1123"/>
      <c r="CP843" s="1123"/>
      <c r="CQ843" s="1123"/>
      <c r="CR843" s="1123"/>
      <c r="CS843" s="1123"/>
      <c r="CT843" s="1123"/>
      <c r="CU843" s="1123"/>
      <c r="CV843" s="1123"/>
      <c r="CW843" s="1123"/>
      <c r="CX843" s="1123"/>
      <c r="CY843" s="1123"/>
      <c r="CZ843" s="1114"/>
      <c r="DA843" s="1114"/>
      <c r="DB843" s="1114"/>
      <c r="DC843" s="1114"/>
      <c r="DD843" s="1114"/>
      <c r="DE843" s="1114"/>
      <c r="DF843" s="1114"/>
      <c r="DG843" s="1114"/>
      <c r="DH843" s="1114"/>
      <c r="DI843" s="1114"/>
      <c r="DJ843" s="1114"/>
      <c r="DK843" s="1114"/>
      <c r="DL843" s="1114"/>
      <c r="DM843" s="1114"/>
      <c r="DN843" s="1114"/>
      <c r="DO843" s="1114"/>
      <c r="DP843" s="1114"/>
      <c r="DQ843" s="1114"/>
      <c r="DR843" s="1114"/>
      <c r="DS843" s="1114"/>
      <c r="DT843" s="1114"/>
      <c r="DU843" s="1114"/>
      <c r="DV843" s="1115"/>
      <c r="DW843" s="1116"/>
      <c r="DX843" s="1116"/>
      <c r="DY843" s="1116"/>
      <c r="DZ843" s="1116"/>
      <c r="EA843" s="1116"/>
      <c r="EB843" s="1116"/>
      <c r="EC843" s="1116"/>
      <c r="ED843" s="1116"/>
      <c r="EE843" s="1116"/>
      <c r="EF843" s="1116"/>
      <c r="EG843" s="1116"/>
      <c r="EH843" s="1116"/>
      <c r="EI843" s="1116"/>
      <c r="EJ843" s="1116"/>
      <c r="EK843" s="1116"/>
      <c r="EL843" s="1116"/>
      <c r="EM843" s="1116"/>
      <c r="EN843" s="1116"/>
      <c r="EO843" s="1116"/>
      <c r="EP843" s="1116"/>
      <c r="EQ843" s="1116"/>
      <c r="ER843" s="1116"/>
      <c r="ES843" s="1116"/>
    </row>
    <row r="844" spans="1:149" ht="15" customHeight="1">
      <c r="A844" s="1185">
        <v>829</v>
      </c>
      <c r="B844" s="1041"/>
      <c r="C844" s="1050"/>
      <c r="D844" s="1050"/>
      <c r="E844" s="1050"/>
      <c r="F844" s="1049"/>
      <c r="G844" s="1457"/>
      <c r="H844" s="1049"/>
      <c r="I844" s="1049"/>
      <c r="J844" s="1050"/>
      <c r="K844" s="1050"/>
      <c r="L844" s="1043"/>
      <c r="M844" s="1051"/>
      <c r="N844" s="1051"/>
      <c r="O844" s="1052"/>
      <c r="P844" s="1051"/>
      <c r="Q844" s="1051"/>
      <c r="R844" s="1052"/>
      <c r="S844" s="1051"/>
      <c r="T844" s="1051"/>
      <c r="U844" s="1052"/>
      <c r="V844" s="1051"/>
      <c r="W844" s="1051"/>
      <c r="X844" s="1052"/>
      <c r="Y844" s="1053"/>
      <c r="Z844" s="1051"/>
      <c r="AA844" s="1051"/>
      <c r="AB844" s="1052"/>
      <c r="AC844" s="1051"/>
      <c r="AD844" s="1051"/>
      <c r="AE844" s="1052"/>
      <c r="AF844" s="1051"/>
      <c r="AG844" s="1051"/>
      <c r="AH844" s="1051"/>
      <c r="AI844" s="1051"/>
      <c r="AJ844" s="1052"/>
      <c r="AK844" s="1051"/>
      <c r="AL844" s="1051"/>
      <c r="AM844" s="1052"/>
      <c r="AN844" s="1051"/>
      <c r="AO844" s="1051"/>
      <c r="AP844" s="1052"/>
      <c r="AQ844" s="1051"/>
      <c r="AR844" s="1051"/>
      <c r="AS844" s="1052"/>
      <c r="AT844" s="1051"/>
      <c r="AU844" s="1051"/>
      <c r="AV844" s="1052"/>
      <c r="AW844" s="1051"/>
      <c r="AX844" s="1051"/>
      <c r="AY844" s="1053"/>
      <c r="AZ844" s="1051"/>
      <c r="BA844" s="1051"/>
      <c r="BB844" s="1053"/>
      <c r="BC844" s="1051"/>
      <c r="BD844" s="1051"/>
      <c r="BE844" s="1053"/>
      <c r="BF844" s="1051"/>
      <c r="BG844" s="1051"/>
      <c r="BH844" s="1053"/>
      <c r="BI844" s="1052"/>
      <c r="BJ844" s="1052"/>
      <c r="BK844" s="1052"/>
      <c r="BL844" s="1052"/>
      <c r="BM844" s="1052"/>
      <c r="BN844" s="1054"/>
      <c r="BO844" s="1076">
        <f t="shared" si="24"/>
        <v>0</v>
      </c>
      <c r="BP844" s="1051"/>
      <c r="BQ844" s="1052"/>
      <c r="BR844" s="1054"/>
      <c r="BS844" s="1053"/>
      <c r="BT844" s="1051"/>
      <c r="BU844" s="1051"/>
      <c r="BV844" s="1051"/>
      <c r="BW844" s="1052"/>
      <c r="BX844" s="1052"/>
      <c r="BY844" s="1052"/>
      <c r="BZ844" s="1052"/>
      <c r="CA844" s="1052"/>
      <c r="CB844" s="1053"/>
      <c r="CC844" s="1053"/>
      <c r="CD844" s="1053"/>
      <c r="CE844" s="1053"/>
      <c r="CF844" s="1053"/>
      <c r="CG844" s="1053"/>
      <c r="CH844" s="1053"/>
      <c r="CI844" s="1123"/>
      <c r="CJ844" s="1123"/>
      <c r="CK844" s="1123"/>
      <c r="CL844" s="1123"/>
      <c r="CM844" s="1123"/>
      <c r="CN844" s="1123"/>
      <c r="CO844" s="1123"/>
      <c r="CP844" s="1123"/>
      <c r="CQ844" s="1123"/>
      <c r="CR844" s="1123"/>
      <c r="CS844" s="1123"/>
      <c r="CT844" s="1123"/>
      <c r="CU844" s="1123"/>
      <c r="CV844" s="1123"/>
      <c r="CW844" s="1123"/>
      <c r="CX844" s="1123"/>
      <c r="CY844" s="1123"/>
      <c r="CZ844" s="1114"/>
      <c r="DA844" s="1114"/>
      <c r="DB844" s="1114"/>
      <c r="DC844" s="1114"/>
      <c r="DD844" s="1114"/>
      <c r="DE844" s="1114"/>
      <c r="DF844" s="1114"/>
      <c r="DG844" s="1114"/>
      <c r="DH844" s="1114"/>
      <c r="DI844" s="1114"/>
      <c r="DJ844" s="1114"/>
      <c r="DK844" s="1114"/>
      <c r="DL844" s="1114"/>
      <c r="DM844" s="1114"/>
      <c r="DN844" s="1114"/>
      <c r="DO844" s="1114"/>
      <c r="DP844" s="1114"/>
      <c r="DQ844" s="1114"/>
      <c r="DR844" s="1114"/>
      <c r="DS844" s="1114"/>
      <c r="DT844" s="1114"/>
      <c r="DU844" s="1114"/>
      <c r="DV844" s="1115"/>
      <c r="DW844" s="1116"/>
      <c r="DX844" s="1116"/>
      <c r="DY844" s="1116"/>
      <c r="DZ844" s="1116"/>
      <c r="EA844" s="1116"/>
      <c r="EB844" s="1116"/>
      <c r="EC844" s="1116"/>
      <c r="ED844" s="1116"/>
      <c r="EE844" s="1116"/>
      <c r="EF844" s="1116"/>
      <c r="EG844" s="1116"/>
      <c r="EH844" s="1116"/>
      <c r="EI844" s="1116"/>
      <c r="EJ844" s="1116"/>
      <c r="EK844" s="1116"/>
      <c r="EL844" s="1116"/>
      <c r="EM844" s="1116"/>
      <c r="EN844" s="1116"/>
      <c r="EO844" s="1116"/>
      <c r="EP844" s="1116"/>
      <c r="EQ844" s="1116"/>
      <c r="ER844" s="1116"/>
      <c r="ES844" s="1116"/>
    </row>
    <row r="845" spans="1:149" ht="15" customHeight="1">
      <c r="A845" s="1185">
        <v>830</v>
      </c>
      <c r="B845" s="1041"/>
      <c r="C845" s="1050"/>
      <c r="D845" s="1050"/>
      <c r="E845" s="1050"/>
      <c r="F845" s="1049"/>
      <c r="G845" s="1457"/>
      <c r="H845" s="1049"/>
      <c r="I845" s="1049"/>
      <c r="J845" s="1050"/>
      <c r="K845" s="1050"/>
      <c r="L845" s="1043"/>
      <c r="M845" s="1051"/>
      <c r="N845" s="1051"/>
      <c r="O845" s="1052"/>
      <c r="P845" s="1051"/>
      <c r="Q845" s="1051"/>
      <c r="R845" s="1052"/>
      <c r="S845" s="1051"/>
      <c r="T845" s="1051"/>
      <c r="U845" s="1052"/>
      <c r="V845" s="1051"/>
      <c r="W845" s="1051"/>
      <c r="X845" s="1052"/>
      <c r="Y845" s="1053"/>
      <c r="Z845" s="1051"/>
      <c r="AA845" s="1051"/>
      <c r="AB845" s="1052"/>
      <c r="AC845" s="1051"/>
      <c r="AD845" s="1051"/>
      <c r="AE845" s="1052"/>
      <c r="AF845" s="1051"/>
      <c r="AG845" s="1051"/>
      <c r="AH845" s="1051"/>
      <c r="AI845" s="1051"/>
      <c r="AJ845" s="1052"/>
      <c r="AK845" s="1051"/>
      <c r="AL845" s="1051"/>
      <c r="AM845" s="1052"/>
      <c r="AN845" s="1051"/>
      <c r="AO845" s="1051"/>
      <c r="AP845" s="1052"/>
      <c r="AQ845" s="1051"/>
      <c r="AR845" s="1051"/>
      <c r="AS845" s="1052"/>
      <c r="AT845" s="1051"/>
      <c r="AU845" s="1051"/>
      <c r="AV845" s="1052"/>
      <c r="AW845" s="1051"/>
      <c r="AX845" s="1051"/>
      <c r="AY845" s="1053"/>
      <c r="AZ845" s="1051"/>
      <c r="BA845" s="1051"/>
      <c r="BB845" s="1053"/>
      <c r="BC845" s="1051"/>
      <c r="BD845" s="1051"/>
      <c r="BE845" s="1053"/>
      <c r="BF845" s="1051"/>
      <c r="BG845" s="1051"/>
      <c r="BH845" s="1053"/>
      <c r="BI845" s="1052"/>
      <c r="BJ845" s="1052"/>
      <c r="BK845" s="1052"/>
      <c r="BL845" s="1052"/>
      <c r="BM845" s="1052"/>
      <c r="BN845" s="1054"/>
      <c r="BO845" s="1076">
        <f t="shared" si="24"/>
        <v>0</v>
      </c>
      <c r="BP845" s="1051"/>
      <c r="BQ845" s="1052"/>
      <c r="BR845" s="1054"/>
      <c r="BS845" s="1053"/>
      <c r="BT845" s="1051"/>
      <c r="BU845" s="1051"/>
      <c r="BV845" s="1051"/>
      <c r="BW845" s="1052"/>
      <c r="BX845" s="1052"/>
      <c r="BY845" s="1052"/>
      <c r="BZ845" s="1052"/>
      <c r="CA845" s="1052"/>
      <c r="CB845" s="1053"/>
      <c r="CC845" s="1053"/>
      <c r="CD845" s="1053"/>
      <c r="CE845" s="1053"/>
      <c r="CF845" s="1053"/>
      <c r="CG845" s="1053"/>
      <c r="CH845" s="1053"/>
      <c r="CI845" s="1123"/>
      <c r="CJ845" s="1123"/>
      <c r="CK845" s="1123"/>
      <c r="CL845" s="1123"/>
      <c r="CM845" s="1123"/>
      <c r="CN845" s="1123"/>
      <c r="CO845" s="1123"/>
      <c r="CP845" s="1123"/>
      <c r="CQ845" s="1123"/>
      <c r="CR845" s="1123"/>
      <c r="CS845" s="1123"/>
      <c r="CT845" s="1123"/>
      <c r="CU845" s="1123"/>
      <c r="CV845" s="1123"/>
      <c r="CW845" s="1123"/>
      <c r="CX845" s="1123"/>
      <c r="CY845" s="1123"/>
      <c r="CZ845" s="1114"/>
      <c r="DA845" s="1114"/>
      <c r="DB845" s="1114"/>
      <c r="DC845" s="1114"/>
      <c r="DD845" s="1114"/>
      <c r="DE845" s="1114"/>
      <c r="DF845" s="1114"/>
      <c r="DG845" s="1114"/>
      <c r="DH845" s="1114"/>
      <c r="DI845" s="1114"/>
      <c r="DJ845" s="1114"/>
      <c r="DK845" s="1114"/>
      <c r="DL845" s="1114"/>
      <c r="DM845" s="1114"/>
      <c r="DN845" s="1114"/>
      <c r="DO845" s="1114"/>
      <c r="DP845" s="1114"/>
      <c r="DQ845" s="1114"/>
      <c r="DR845" s="1114"/>
      <c r="DS845" s="1114"/>
      <c r="DT845" s="1114"/>
      <c r="DU845" s="1114"/>
      <c r="DV845" s="1115"/>
      <c r="DW845" s="1116"/>
      <c r="DX845" s="1116"/>
      <c r="DY845" s="1116"/>
      <c r="DZ845" s="1116"/>
      <c r="EA845" s="1116"/>
      <c r="EB845" s="1116"/>
      <c r="EC845" s="1116"/>
      <c r="ED845" s="1116"/>
      <c r="EE845" s="1116"/>
      <c r="EF845" s="1116"/>
      <c r="EG845" s="1116"/>
      <c r="EH845" s="1116"/>
      <c r="EI845" s="1116"/>
      <c r="EJ845" s="1116"/>
      <c r="EK845" s="1116"/>
      <c r="EL845" s="1116"/>
      <c r="EM845" s="1116"/>
      <c r="EN845" s="1116"/>
      <c r="EO845" s="1116"/>
      <c r="EP845" s="1116"/>
      <c r="EQ845" s="1116"/>
      <c r="ER845" s="1116"/>
      <c r="ES845" s="1116"/>
    </row>
    <row r="846" spans="1:149" ht="15" customHeight="1">
      <c r="A846" s="1185">
        <v>831</v>
      </c>
      <c r="B846" s="1041"/>
      <c r="C846" s="1050"/>
      <c r="D846" s="1050"/>
      <c r="E846" s="1050"/>
      <c r="F846" s="1049"/>
      <c r="G846" s="1457"/>
      <c r="H846" s="1049"/>
      <c r="I846" s="1049"/>
      <c r="J846" s="1050"/>
      <c r="K846" s="1050"/>
      <c r="L846" s="1043"/>
      <c r="M846" s="1051"/>
      <c r="N846" s="1051"/>
      <c r="O846" s="1052"/>
      <c r="P846" s="1051"/>
      <c r="Q846" s="1051"/>
      <c r="R846" s="1052"/>
      <c r="S846" s="1051"/>
      <c r="T846" s="1051"/>
      <c r="U846" s="1052"/>
      <c r="V846" s="1051"/>
      <c r="W846" s="1051"/>
      <c r="X846" s="1052"/>
      <c r="Y846" s="1053"/>
      <c r="Z846" s="1051"/>
      <c r="AA846" s="1051"/>
      <c r="AB846" s="1052"/>
      <c r="AC846" s="1051"/>
      <c r="AD846" s="1051"/>
      <c r="AE846" s="1052"/>
      <c r="AF846" s="1051"/>
      <c r="AG846" s="1051"/>
      <c r="AH846" s="1051"/>
      <c r="AI846" s="1051"/>
      <c r="AJ846" s="1052"/>
      <c r="AK846" s="1051"/>
      <c r="AL846" s="1051"/>
      <c r="AM846" s="1052"/>
      <c r="AN846" s="1051"/>
      <c r="AO846" s="1051"/>
      <c r="AP846" s="1052"/>
      <c r="AQ846" s="1051"/>
      <c r="AR846" s="1051"/>
      <c r="AS846" s="1052"/>
      <c r="AT846" s="1051"/>
      <c r="AU846" s="1051"/>
      <c r="AV846" s="1052"/>
      <c r="AW846" s="1051"/>
      <c r="AX846" s="1051"/>
      <c r="AY846" s="1053"/>
      <c r="AZ846" s="1051"/>
      <c r="BA846" s="1051"/>
      <c r="BB846" s="1053"/>
      <c r="BC846" s="1051"/>
      <c r="BD846" s="1051"/>
      <c r="BE846" s="1053"/>
      <c r="BF846" s="1051"/>
      <c r="BG846" s="1051"/>
      <c r="BH846" s="1053"/>
      <c r="BI846" s="1052"/>
      <c r="BJ846" s="1052"/>
      <c r="BK846" s="1052"/>
      <c r="BL846" s="1052"/>
      <c r="BM846" s="1052"/>
      <c r="BN846" s="1054"/>
      <c r="BO846" s="1076">
        <f t="shared" si="24"/>
        <v>0</v>
      </c>
      <c r="BP846" s="1051"/>
      <c r="BQ846" s="1052"/>
      <c r="BR846" s="1054"/>
      <c r="BS846" s="1053"/>
      <c r="BT846" s="1051"/>
      <c r="BU846" s="1051"/>
      <c r="BV846" s="1051"/>
      <c r="BW846" s="1052"/>
      <c r="BX846" s="1052"/>
      <c r="BY846" s="1052"/>
      <c r="BZ846" s="1052"/>
      <c r="CA846" s="1052"/>
      <c r="CB846" s="1053"/>
      <c r="CC846" s="1053"/>
      <c r="CD846" s="1053"/>
      <c r="CE846" s="1053"/>
      <c r="CF846" s="1053"/>
      <c r="CG846" s="1053"/>
      <c r="CH846" s="1053"/>
      <c r="CI846" s="1123"/>
      <c r="CJ846" s="1123"/>
      <c r="CK846" s="1123"/>
      <c r="CL846" s="1123"/>
      <c r="CM846" s="1123"/>
      <c r="CN846" s="1123"/>
      <c r="CO846" s="1123"/>
      <c r="CP846" s="1123"/>
      <c r="CQ846" s="1123"/>
      <c r="CR846" s="1123"/>
      <c r="CS846" s="1123"/>
      <c r="CT846" s="1123"/>
      <c r="CU846" s="1123"/>
      <c r="CV846" s="1123"/>
      <c r="CW846" s="1123"/>
      <c r="CX846" s="1123"/>
      <c r="CY846" s="1123"/>
      <c r="CZ846" s="1114"/>
      <c r="DA846" s="1114"/>
      <c r="DB846" s="1114"/>
      <c r="DC846" s="1114"/>
      <c r="DD846" s="1114"/>
      <c r="DE846" s="1114"/>
      <c r="DF846" s="1114"/>
      <c r="DG846" s="1114"/>
      <c r="DH846" s="1114"/>
      <c r="DI846" s="1114"/>
      <c r="DJ846" s="1114"/>
      <c r="DK846" s="1114"/>
      <c r="DL846" s="1114"/>
      <c r="DM846" s="1114"/>
      <c r="DN846" s="1114"/>
      <c r="DO846" s="1114"/>
      <c r="DP846" s="1114"/>
      <c r="DQ846" s="1114"/>
      <c r="DR846" s="1114"/>
      <c r="DS846" s="1114"/>
      <c r="DT846" s="1114"/>
      <c r="DU846" s="1114"/>
      <c r="DV846" s="1115"/>
      <c r="DW846" s="1116"/>
      <c r="DX846" s="1116"/>
      <c r="DY846" s="1116"/>
      <c r="DZ846" s="1116"/>
      <c r="EA846" s="1116"/>
      <c r="EB846" s="1116"/>
      <c r="EC846" s="1116"/>
      <c r="ED846" s="1116"/>
      <c r="EE846" s="1116"/>
      <c r="EF846" s="1116"/>
      <c r="EG846" s="1116"/>
      <c r="EH846" s="1116"/>
      <c r="EI846" s="1116"/>
      <c r="EJ846" s="1116"/>
      <c r="EK846" s="1116"/>
      <c r="EL846" s="1116"/>
      <c r="EM846" s="1116"/>
      <c r="EN846" s="1116"/>
      <c r="EO846" s="1116"/>
      <c r="EP846" s="1116"/>
      <c r="EQ846" s="1116"/>
      <c r="ER846" s="1116"/>
      <c r="ES846" s="1116"/>
    </row>
    <row r="847" spans="1:149" ht="15" customHeight="1">
      <c r="A847" s="1185">
        <v>832</v>
      </c>
      <c r="B847" s="1041"/>
      <c r="C847" s="1050"/>
      <c r="D847" s="1050"/>
      <c r="E847" s="1050"/>
      <c r="F847" s="1049"/>
      <c r="G847" s="1457"/>
      <c r="H847" s="1049"/>
      <c r="I847" s="1049"/>
      <c r="J847" s="1050"/>
      <c r="K847" s="1050"/>
      <c r="L847" s="1043"/>
      <c r="M847" s="1051"/>
      <c r="N847" s="1051"/>
      <c r="O847" s="1052"/>
      <c r="P847" s="1051"/>
      <c r="Q847" s="1051"/>
      <c r="R847" s="1052"/>
      <c r="S847" s="1051"/>
      <c r="T847" s="1051"/>
      <c r="U847" s="1052"/>
      <c r="V847" s="1051"/>
      <c r="W847" s="1051"/>
      <c r="X847" s="1052"/>
      <c r="Y847" s="1053"/>
      <c r="Z847" s="1051"/>
      <c r="AA847" s="1051"/>
      <c r="AB847" s="1052"/>
      <c r="AC847" s="1051"/>
      <c r="AD847" s="1051"/>
      <c r="AE847" s="1052"/>
      <c r="AF847" s="1051"/>
      <c r="AG847" s="1051"/>
      <c r="AH847" s="1051"/>
      <c r="AI847" s="1051"/>
      <c r="AJ847" s="1052"/>
      <c r="AK847" s="1051"/>
      <c r="AL847" s="1051"/>
      <c r="AM847" s="1052"/>
      <c r="AN847" s="1051"/>
      <c r="AO847" s="1051"/>
      <c r="AP847" s="1052"/>
      <c r="AQ847" s="1051"/>
      <c r="AR847" s="1051"/>
      <c r="AS847" s="1052"/>
      <c r="AT847" s="1051"/>
      <c r="AU847" s="1051"/>
      <c r="AV847" s="1052"/>
      <c r="AW847" s="1051"/>
      <c r="AX847" s="1051"/>
      <c r="AY847" s="1053"/>
      <c r="AZ847" s="1051"/>
      <c r="BA847" s="1051"/>
      <c r="BB847" s="1053"/>
      <c r="BC847" s="1051"/>
      <c r="BD847" s="1051"/>
      <c r="BE847" s="1053"/>
      <c r="BF847" s="1051"/>
      <c r="BG847" s="1051"/>
      <c r="BH847" s="1053"/>
      <c r="BI847" s="1052"/>
      <c r="BJ847" s="1052"/>
      <c r="BK847" s="1052"/>
      <c r="BL847" s="1052"/>
      <c r="BM847" s="1052"/>
      <c r="BN847" s="1054"/>
      <c r="BO847" s="1076">
        <f t="shared" si="24"/>
        <v>0</v>
      </c>
      <c r="BP847" s="1051"/>
      <c r="BQ847" s="1052"/>
      <c r="BR847" s="1054"/>
      <c r="BS847" s="1053"/>
      <c r="BT847" s="1051"/>
      <c r="BU847" s="1051"/>
      <c r="BV847" s="1051"/>
      <c r="BW847" s="1052"/>
      <c r="BX847" s="1052"/>
      <c r="BY847" s="1052"/>
      <c r="BZ847" s="1052"/>
      <c r="CA847" s="1052"/>
      <c r="CB847" s="1053"/>
      <c r="CC847" s="1053"/>
      <c r="CD847" s="1053"/>
      <c r="CE847" s="1053"/>
      <c r="CF847" s="1053"/>
      <c r="CG847" s="1053"/>
      <c r="CH847" s="1053"/>
      <c r="CI847" s="1123"/>
      <c r="CJ847" s="1123"/>
      <c r="CK847" s="1123"/>
      <c r="CL847" s="1123"/>
      <c r="CM847" s="1123"/>
      <c r="CN847" s="1123"/>
      <c r="CO847" s="1123"/>
      <c r="CP847" s="1123"/>
      <c r="CQ847" s="1123"/>
      <c r="CR847" s="1123"/>
      <c r="CS847" s="1123"/>
      <c r="CT847" s="1123"/>
      <c r="CU847" s="1123"/>
      <c r="CV847" s="1123"/>
      <c r="CW847" s="1123"/>
      <c r="CX847" s="1123"/>
      <c r="CY847" s="1123"/>
      <c r="CZ847" s="1114"/>
      <c r="DA847" s="1114"/>
      <c r="DB847" s="1114"/>
      <c r="DC847" s="1114"/>
      <c r="DD847" s="1114"/>
      <c r="DE847" s="1114"/>
      <c r="DF847" s="1114"/>
      <c r="DG847" s="1114"/>
      <c r="DH847" s="1114"/>
      <c r="DI847" s="1114"/>
      <c r="DJ847" s="1114"/>
      <c r="DK847" s="1114"/>
      <c r="DL847" s="1114"/>
      <c r="DM847" s="1114"/>
      <c r="DN847" s="1114"/>
      <c r="DO847" s="1114"/>
      <c r="DP847" s="1114"/>
      <c r="DQ847" s="1114"/>
      <c r="DR847" s="1114"/>
      <c r="DS847" s="1114"/>
      <c r="DT847" s="1114"/>
      <c r="DU847" s="1114"/>
      <c r="DV847" s="1115"/>
      <c r="DW847" s="1116"/>
      <c r="DX847" s="1116"/>
      <c r="DY847" s="1116"/>
      <c r="DZ847" s="1116"/>
      <c r="EA847" s="1116"/>
      <c r="EB847" s="1116"/>
      <c r="EC847" s="1116"/>
      <c r="ED847" s="1116"/>
      <c r="EE847" s="1116"/>
      <c r="EF847" s="1116"/>
      <c r="EG847" s="1116"/>
      <c r="EH847" s="1116"/>
      <c r="EI847" s="1116"/>
      <c r="EJ847" s="1116"/>
      <c r="EK847" s="1116"/>
      <c r="EL847" s="1116"/>
      <c r="EM847" s="1116"/>
      <c r="EN847" s="1116"/>
      <c r="EO847" s="1116"/>
      <c r="EP847" s="1116"/>
      <c r="EQ847" s="1116"/>
      <c r="ER847" s="1116"/>
      <c r="ES847" s="1116"/>
    </row>
    <row r="848" spans="1:149" ht="15" customHeight="1">
      <c r="A848" s="1185">
        <v>833</v>
      </c>
      <c r="B848" s="1041"/>
      <c r="C848" s="1050"/>
      <c r="D848" s="1050"/>
      <c r="E848" s="1050"/>
      <c r="F848" s="1049"/>
      <c r="G848" s="1457"/>
      <c r="H848" s="1049"/>
      <c r="I848" s="1049"/>
      <c r="J848" s="1050"/>
      <c r="K848" s="1050"/>
      <c r="L848" s="1043"/>
      <c r="M848" s="1051"/>
      <c r="N848" s="1051"/>
      <c r="O848" s="1052"/>
      <c r="P848" s="1051"/>
      <c r="Q848" s="1051"/>
      <c r="R848" s="1052"/>
      <c r="S848" s="1051"/>
      <c r="T848" s="1051"/>
      <c r="U848" s="1052"/>
      <c r="V848" s="1051"/>
      <c r="W848" s="1051"/>
      <c r="X848" s="1052"/>
      <c r="Y848" s="1053"/>
      <c r="Z848" s="1051"/>
      <c r="AA848" s="1051"/>
      <c r="AB848" s="1052"/>
      <c r="AC848" s="1051"/>
      <c r="AD848" s="1051"/>
      <c r="AE848" s="1052"/>
      <c r="AF848" s="1051"/>
      <c r="AG848" s="1051"/>
      <c r="AH848" s="1051"/>
      <c r="AI848" s="1051"/>
      <c r="AJ848" s="1052"/>
      <c r="AK848" s="1051"/>
      <c r="AL848" s="1051"/>
      <c r="AM848" s="1052"/>
      <c r="AN848" s="1051"/>
      <c r="AO848" s="1051"/>
      <c r="AP848" s="1052"/>
      <c r="AQ848" s="1051"/>
      <c r="AR848" s="1051"/>
      <c r="AS848" s="1052"/>
      <c r="AT848" s="1051"/>
      <c r="AU848" s="1051"/>
      <c r="AV848" s="1052"/>
      <c r="AW848" s="1051"/>
      <c r="AX848" s="1051"/>
      <c r="AY848" s="1053"/>
      <c r="AZ848" s="1051"/>
      <c r="BA848" s="1051"/>
      <c r="BB848" s="1053"/>
      <c r="BC848" s="1051"/>
      <c r="BD848" s="1051"/>
      <c r="BE848" s="1053"/>
      <c r="BF848" s="1051"/>
      <c r="BG848" s="1051"/>
      <c r="BH848" s="1053"/>
      <c r="BI848" s="1052"/>
      <c r="BJ848" s="1052"/>
      <c r="BK848" s="1052"/>
      <c r="BL848" s="1052"/>
      <c r="BM848" s="1052"/>
      <c r="BN848" s="1054"/>
      <c r="BO848" s="1076">
        <f t="shared" si="24"/>
        <v>0</v>
      </c>
      <c r="BP848" s="1051"/>
      <c r="BQ848" s="1052"/>
      <c r="BR848" s="1054"/>
      <c r="BS848" s="1053"/>
      <c r="BT848" s="1051"/>
      <c r="BU848" s="1051"/>
      <c r="BV848" s="1051"/>
      <c r="BW848" s="1052"/>
      <c r="BX848" s="1052"/>
      <c r="BY848" s="1052"/>
      <c r="BZ848" s="1052"/>
      <c r="CA848" s="1052"/>
      <c r="CB848" s="1053"/>
      <c r="CC848" s="1053"/>
      <c r="CD848" s="1053"/>
      <c r="CE848" s="1053"/>
      <c r="CF848" s="1053"/>
      <c r="CG848" s="1053"/>
      <c r="CH848" s="1053"/>
      <c r="CI848" s="1123"/>
      <c r="CJ848" s="1123"/>
      <c r="CK848" s="1123"/>
      <c r="CL848" s="1123"/>
      <c r="CM848" s="1123"/>
      <c r="CN848" s="1123"/>
      <c r="CO848" s="1123"/>
      <c r="CP848" s="1123"/>
      <c r="CQ848" s="1123"/>
      <c r="CR848" s="1123"/>
      <c r="CS848" s="1123"/>
      <c r="CT848" s="1123"/>
      <c r="CU848" s="1123"/>
      <c r="CV848" s="1123"/>
      <c r="CW848" s="1123"/>
      <c r="CX848" s="1123"/>
      <c r="CY848" s="1123"/>
      <c r="CZ848" s="1114"/>
      <c r="DA848" s="1114"/>
      <c r="DB848" s="1114"/>
      <c r="DC848" s="1114"/>
      <c r="DD848" s="1114"/>
      <c r="DE848" s="1114"/>
      <c r="DF848" s="1114"/>
      <c r="DG848" s="1114"/>
      <c r="DH848" s="1114"/>
      <c r="DI848" s="1114"/>
      <c r="DJ848" s="1114"/>
      <c r="DK848" s="1114"/>
      <c r="DL848" s="1114"/>
      <c r="DM848" s="1114"/>
      <c r="DN848" s="1114"/>
      <c r="DO848" s="1114"/>
      <c r="DP848" s="1114"/>
      <c r="DQ848" s="1114"/>
      <c r="DR848" s="1114"/>
      <c r="DS848" s="1114"/>
      <c r="DT848" s="1114"/>
      <c r="DU848" s="1114"/>
      <c r="DV848" s="1115"/>
      <c r="DW848" s="1116"/>
      <c r="DX848" s="1116"/>
      <c r="DY848" s="1116"/>
      <c r="DZ848" s="1116"/>
      <c r="EA848" s="1116"/>
      <c r="EB848" s="1116"/>
      <c r="EC848" s="1116"/>
      <c r="ED848" s="1116"/>
      <c r="EE848" s="1116"/>
      <c r="EF848" s="1116"/>
      <c r="EG848" s="1116"/>
      <c r="EH848" s="1116"/>
      <c r="EI848" s="1116"/>
      <c r="EJ848" s="1116"/>
      <c r="EK848" s="1116"/>
      <c r="EL848" s="1116"/>
      <c r="EM848" s="1116"/>
      <c r="EN848" s="1116"/>
      <c r="EO848" s="1116"/>
      <c r="EP848" s="1116"/>
      <c r="EQ848" s="1116"/>
      <c r="ER848" s="1116"/>
      <c r="ES848" s="1116"/>
    </row>
    <row r="849" spans="1:149" ht="15" customHeight="1">
      <c r="A849" s="1185">
        <v>834</v>
      </c>
      <c r="B849" s="1041"/>
      <c r="C849" s="1050"/>
      <c r="D849" s="1050"/>
      <c r="E849" s="1050"/>
      <c r="F849" s="1049"/>
      <c r="G849" s="1457"/>
      <c r="H849" s="1049"/>
      <c r="I849" s="1049"/>
      <c r="J849" s="1050"/>
      <c r="K849" s="1050"/>
      <c r="L849" s="1043"/>
      <c r="M849" s="1051"/>
      <c r="N849" s="1051"/>
      <c r="O849" s="1052"/>
      <c r="P849" s="1051"/>
      <c r="Q849" s="1051"/>
      <c r="R849" s="1052"/>
      <c r="S849" s="1051"/>
      <c r="T849" s="1051"/>
      <c r="U849" s="1052"/>
      <c r="V849" s="1051"/>
      <c r="W849" s="1051"/>
      <c r="X849" s="1052"/>
      <c r="Y849" s="1053"/>
      <c r="Z849" s="1051"/>
      <c r="AA849" s="1051"/>
      <c r="AB849" s="1052"/>
      <c r="AC849" s="1051"/>
      <c r="AD849" s="1051"/>
      <c r="AE849" s="1052"/>
      <c r="AF849" s="1051"/>
      <c r="AG849" s="1051"/>
      <c r="AH849" s="1051"/>
      <c r="AI849" s="1051"/>
      <c r="AJ849" s="1052"/>
      <c r="AK849" s="1051"/>
      <c r="AL849" s="1051"/>
      <c r="AM849" s="1052"/>
      <c r="AN849" s="1051"/>
      <c r="AO849" s="1051"/>
      <c r="AP849" s="1052"/>
      <c r="AQ849" s="1051"/>
      <c r="AR849" s="1051"/>
      <c r="AS849" s="1052"/>
      <c r="AT849" s="1051"/>
      <c r="AU849" s="1051"/>
      <c r="AV849" s="1052"/>
      <c r="AW849" s="1051"/>
      <c r="AX849" s="1051"/>
      <c r="AY849" s="1053"/>
      <c r="AZ849" s="1051"/>
      <c r="BA849" s="1051"/>
      <c r="BB849" s="1053"/>
      <c r="BC849" s="1051"/>
      <c r="BD849" s="1051"/>
      <c r="BE849" s="1053"/>
      <c r="BF849" s="1051"/>
      <c r="BG849" s="1051"/>
      <c r="BH849" s="1053"/>
      <c r="BI849" s="1052"/>
      <c r="BJ849" s="1052"/>
      <c r="BK849" s="1052"/>
      <c r="BL849" s="1052"/>
      <c r="BM849" s="1052"/>
      <c r="BN849" s="1054"/>
      <c r="BO849" s="1076">
        <f t="shared" si="24"/>
        <v>0</v>
      </c>
      <c r="BP849" s="1051"/>
      <c r="BQ849" s="1052"/>
      <c r="BR849" s="1054"/>
      <c r="BS849" s="1053"/>
      <c r="BT849" s="1051"/>
      <c r="BU849" s="1051"/>
      <c r="BV849" s="1051"/>
      <c r="BW849" s="1052"/>
      <c r="BX849" s="1052"/>
      <c r="BY849" s="1052"/>
      <c r="BZ849" s="1052"/>
      <c r="CA849" s="1052"/>
      <c r="CB849" s="1053"/>
      <c r="CC849" s="1053"/>
      <c r="CD849" s="1053"/>
      <c r="CE849" s="1053"/>
      <c r="CF849" s="1053"/>
      <c r="CG849" s="1053"/>
      <c r="CH849" s="1053"/>
      <c r="CI849" s="1123"/>
      <c r="CJ849" s="1123"/>
      <c r="CK849" s="1123"/>
      <c r="CL849" s="1123"/>
      <c r="CM849" s="1123"/>
      <c r="CN849" s="1123"/>
      <c r="CO849" s="1123"/>
      <c r="CP849" s="1123"/>
      <c r="CQ849" s="1123"/>
      <c r="CR849" s="1123"/>
      <c r="CS849" s="1123"/>
      <c r="CT849" s="1123"/>
      <c r="CU849" s="1123"/>
      <c r="CV849" s="1123"/>
      <c r="CW849" s="1123"/>
      <c r="CX849" s="1123"/>
      <c r="CY849" s="1123"/>
      <c r="CZ849" s="1114"/>
      <c r="DA849" s="1114"/>
      <c r="DB849" s="1114"/>
      <c r="DC849" s="1114"/>
      <c r="DD849" s="1114"/>
      <c r="DE849" s="1114"/>
      <c r="DF849" s="1114"/>
      <c r="DG849" s="1114"/>
      <c r="DH849" s="1114"/>
      <c r="DI849" s="1114"/>
      <c r="DJ849" s="1114"/>
      <c r="DK849" s="1114"/>
      <c r="DL849" s="1114"/>
      <c r="DM849" s="1114"/>
      <c r="DN849" s="1114"/>
      <c r="DO849" s="1114"/>
      <c r="DP849" s="1114"/>
      <c r="DQ849" s="1114"/>
      <c r="DR849" s="1114"/>
      <c r="DS849" s="1114"/>
      <c r="DT849" s="1114"/>
      <c r="DU849" s="1114"/>
      <c r="DV849" s="1115"/>
      <c r="DW849" s="1116"/>
      <c r="DX849" s="1116"/>
      <c r="DY849" s="1116"/>
      <c r="DZ849" s="1116"/>
      <c r="EA849" s="1116"/>
      <c r="EB849" s="1116"/>
      <c r="EC849" s="1116"/>
      <c r="ED849" s="1116"/>
      <c r="EE849" s="1116"/>
      <c r="EF849" s="1116"/>
      <c r="EG849" s="1116"/>
      <c r="EH849" s="1116"/>
      <c r="EI849" s="1116"/>
      <c r="EJ849" s="1116"/>
      <c r="EK849" s="1116"/>
      <c r="EL849" s="1116"/>
      <c r="EM849" s="1116"/>
      <c r="EN849" s="1116"/>
      <c r="EO849" s="1116"/>
      <c r="EP849" s="1116"/>
      <c r="EQ849" s="1116"/>
      <c r="ER849" s="1116"/>
      <c r="ES849" s="1116"/>
    </row>
    <row r="850" spans="1:149" ht="15" customHeight="1">
      <c r="A850" s="1185">
        <v>835</v>
      </c>
      <c r="B850" s="1041"/>
      <c r="C850" s="1050"/>
      <c r="D850" s="1050"/>
      <c r="E850" s="1050"/>
      <c r="F850" s="1049"/>
      <c r="G850" s="1457"/>
      <c r="H850" s="1049"/>
      <c r="I850" s="1049"/>
      <c r="J850" s="1050"/>
      <c r="K850" s="1050"/>
      <c r="L850" s="1043"/>
      <c r="M850" s="1051"/>
      <c r="N850" s="1051"/>
      <c r="O850" s="1052"/>
      <c r="P850" s="1051"/>
      <c r="Q850" s="1051"/>
      <c r="R850" s="1052"/>
      <c r="S850" s="1051"/>
      <c r="T850" s="1051"/>
      <c r="U850" s="1052"/>
      <c r="V850" s="1051"/>
      <c r="W850" s="1051"/>
      <c r="X850" s="1052"/>
      <c r="Y850" s="1053"/>
      <c r="Z850" s="1051"/>
      <c r="AA850" s="1051"/>
      <c r="AB850" s="1052"/>
      <c r="AC850" s="1051"/>
      <c r="AD850" s="1051"/>
      <c r="AE850" s="1052"/>
      <c r="AF850" s="1051"/>
      <c r="AG850" s="1051"/>
      <c r="AH850" s="1051"/>
      <c r="AI850" s="1051"/>
      <c r="AJ850" s="1052"/>
      <c r="AK850" s="1051"/>
      <c r="AL850" s="1051"/>
      <c r="AM850" s="1052"/>
      <c r="AN850" s="1051"/>
      <c r="AO850" s="1051"/>
      <c r="AP850" s="1052"/>
      <c r="AQ850" s="1051"/>
      <c r="AR850" s="1051"/>
      <c r="AS850" s="1052"/>
      <c r="AT850" s="1051"/>
      <c r="AU850" s="1051"/>
      <c r="AV850" s="1052"/>
      <c r="AW850" s="1051"/>
      <c r="AX850" s="1051"/>
      <c r="AY850" s="1053"/>
      <c r="AZ850" s="1051"/>
      <c r="BA850" s="1051"/>
      <c r="BB850" s="1053"/>
      <c r="BC850" s="1051"/>
      <c r="BD850" s="1051"/>
      <c r="BE850" s="1053"/>
      <c r="BF850" s="1051"/>
      <c r="BG850" s="1051"/>
      <c r="BH850" s="1053"/>
      <c r="BI850" s="1052"/>
      <c r="BJ850" s="1052"/>
      <c r="BK850" s="1052"/>
      <c r="BL850" s="1052"/>
      <c r="BM850" s="1052"/>
      <c r="BN850" s="1054"/>
      <c r="BO850" s="1076">
        <f t="shared" si="24"/>
        <v>0</v>
      </c>
      <c r="BP850" s="1051"/>
      <c r="BQ850" s="1052"/>
      <c r="BR850" s="1054"/>
      <c r="BS850" s="1053"/>
      <c r="BT850" s="1051"/>
      <c r="BU850" s="1051"/>
      <c r="BV850" s="1051"/>
      <c r="BW850" s="1052"/>
      <c r="BX850" s="1052"/>
      <c r="BY850" s="1052"/>
      <c r="BZ850" s="1052"/>
      <c r="CA850" s="1052"/>
      <c r="CB850" s="1053"/>
      <c r="CC850" s="1053"/>
      <c r="CD850" s="1053"/>
      <c r="CE850" s="1053"/>
      <c r="CF850" s="1053"/>
      <c r="CG850" s="1053"/>
      <c r="CH850" s="1053"/>
      <c r="CI850" s="1123"/>
      <c r="CJ850" s="1123"/>
      <c r="CK850" s="1123"/>
      <c r="CL850" s="1123"/>
      <c r="CM850" s="1123"/>
      <c r="CN850" s="1123"/>
      <c r="CO850" s="1123"/>
      <c r="CP850" s="1123"/>
      <c r="CQ850" s="1123"/>
      <c r="CR850" s="1123"/>
      <c r="CS850" s="1123"/>
      <c r="CT850" s="1123"/>
      <c r="CU850" s="1123"/>
      <c r="CV850" s="1123"/>
      <c r="CW850" s="1123"/>
      <c r="CX850" s="1123"/>
      <c r="CY850" s="1123"/>
      <c r="CZ850" s="1114"/>
      <c r="DA850" s="1114"/>
      <c r="DB850" s="1114"/>
      <c r="DC850" s="1114"/>
      <c r="DD850" s="1114"/>
      <c r="DE850" s="1114"/>
      <c r="DF850" s="1114"/>
      <c r="DG850" s="1114"/>
      <c r="DH850" s="1114"/>
      <c r="DI850" s="1114"/>
      <c r="DJ850" s="1114"/>
      <c r="DK850" s="1114"/>
      <c r="DL850" s="1114"/>
      <c r="DM850" s="1114"/>
      <c r="DN850" s="1114"/>
      <c r="DO850" s="1114"/>
      <c r="DP850" s="1114"/>
      <c r="DQ850" s="1114"/>
      <c r="DR850" s="1114"/>
      <c r="DS850" s="1114"/>
      <c r="DT850" s="1114"/>
      <c r="DU850" s="1114"/>
      <c r="DV850" s="1115"/>
      <c r="DW850" s="1116"/>
      <c r="DX850" s="1116"/>
      <c r="DY850" s="1116"/>
      <c r="DZ850" s="1116"/>
      <c r="EA850" s="1116"/>
      <c r="EB850" s="1116"/>
      <c r="EC850" s="1116"/>
      <c r="ED850" s="1116"/>
      <c r="EE850" s="1116"/>
      <c r="EF850" s="1116"/>
      <c r="EG850" s="1116"/>
      <c r="EH850" s="1116"/>
      <c r="EI850" s="1116"/>
      <c r="EJ850" s="1116"/>
      <c r="EK850" s="1116"/>
      <c r="EL850" s="1116"/>
      <c r="EM850" s="1116"/>
      <c r="EN850" s="1116"/>
      <c r="EO850" s="1116"/>
      <c r="EP850" s="1116"/>
      <c r="EQ850" s="1116"/>
      <c r="ER850" s="1116"/>
      <c r="ES850" s="1116"/>
    </row>
    <row r="851" spans="1:149" ht="15" customHeight="1">
      <c r="A851" s="1185">
        <v>836</v>
      </c>
      <c r="B851" s="1041"/>
      <c r="C851" s="1050"/>
      <c r="D851" s="1050"/>
      <c r="E851" s="1050"/>
      <c r="F851" s="1049"/>
      <c r="G851" s="1457"/>
      <c r="H851" s="1049"/>
      <c r="I851" s="1049"/>
      <c r="J851" s="1050"/>
      <c r="K851" s="1050"/>
      <c r="L851" s="1043"/>
      <c r="M851" s="1051"/>
      <c r="N851" s="1051"/>
      <c r="O851" s="1052"/>
      <c r="P851" s="1051"/>
      <c r="Q851" s="1051"/>
      <c r="R851" s="1052"/>
      <c r="S851" s="1051"/>
      <c r="T851" s="1051"/>
      <c r="U851" s="1052"/>
      <c r="V851" s="1051"/>
      <c r="W851" s="1051"/>
      <c r="X851" s="1052"/>
      <c r="Y851" s="1053"/>
      <c r="Z851" s="1051"/>
      <c r="AA851" s="1051"/>
      <c r="AB851" s="1052"/>
      <c r="AC851" s="1051"/>
      <c r="AD851" s="1051"/>
      <c r="AE851" s="1052"/>
      <c r="AF851" s="1051"/>
      <c r="AG851" s="1051"/>
      <c r="AH851" s="1051"/>
      <c r="AI851" s="1051"/>
      <c r="AJ851" s="1052"/>
      <c r="AK851" s="1051"/>
      <c r="AL851" s="1051"/>
      <c r="AM851" s="1052"/>
      <c r="AN851" s="1051"/>
      <c r="AO851" s="1051"/>
      <c r="AP851" s="1052"/>
      <c r="AQ851" s="1051"/>
      <c r="AR851" s="1051"/>
      <c r="AS851" s="1052"/>
      <c r="AT851" s="1051"/>
      <c r="AU851" s="1051"/>
      <c r="AV851" s="1052"/>
      <c r="AW851" s="1051"/>
      <c r="AX851" s="1051"/>
      <c r="AY851" s="1053"/>
      <c r="AZ851" s="1051"/>
      <c r="BA851" s="1051"/>
      <c r="BB851" s="1053"/>
      <c r="BC851" s="1051"/>
      <c r="BD851" s="1051"/>
      <c r="BE851" s="1053"/>
      <c r="BF851" s="1051"/>
      <c r="BG851" s="1051"/>
      <c r="BH851" s="1053"/>
      <c r="BI851" s="1052"/>
      <c r="BJ851" s="1052"/>
      <c r="BK851" s="1052"/>
      <c r="BL851" s="1052"/>
      <c r="BM851" s="1052"/>
      <c r="BN851" s="1054"/>
      <c r="BO851" s="1076">
        <f t="shared" si="24"/>
        <v>0</v>
      </c>
      <c r="BP851" s="1051"/>
      <c r="BQ851" s="1052"/>
      <c r="BR851" s="1054"/>
      <c r="BS851" s="1053"/>
      <c r="BT851" s="1051"/>
      <c r="BU851" s="1051"/>
      <c r="BV851" s="1051"/>
      <c r="BW851" s="1052"/>
      <c r="BX851" s="1052"/>
      <c r="BY851" s="1052"/>
      <c r="BZ851" s="1052"/>
      <c r="CA851" s="1052"/>
      <c r="CB851" s="1053"/>
      <c r="CC851" s="1053"/>
      <c r="CD851" s="1053"/>
      <c r="CE851" s="1053"/>
      <c r="CF851" s="1053"/>
      <c r="CG851" s="1053"/>
      <c r="CH851" s="1053"/>
      <c r="CI851" s="1123"/>
      <c r="CJ851" s="1123"/>
      <c r="CK851" s="1123"/>
      <c r="CL851" s="1123"/>
      <c r="CM851" s="1123"/>
      <c r="CN851" s="1123"/>
      <c r="CO851" s="1123"/>
      <c r="CP851" s="1123"/>
      <c r="CQ851" s="1123"/>
      <c r="CR851" s="1123"/>
      <c r="CS851" s="1123"/>
      <c r="CT851" s="1123"/>
      <c r="CU851" s="1123"/>
      <c r="CV851" s="1123"/>
      <c r="CW851" s="1123"/>
      <c r="CX851" s="1123"/>
      <c r="CY851" s="1123"/>
      <c r="CZ851" s="1114"/>
      <c r="DA851" s="1114"/>
      <c r="DB851" s="1114"/>
      <c r="DC851" s="1114"/>
      <c r="DD851" s="1114"/>
      <c r="DE851" s="1114"/>
      <c r="DF851" s="1114"/>
      <c r="DG851" s="1114"/>
      <c r="DH851" s="1114"/>
      <c r="DI851" s="1114"/>
      <c r="DJ851" s="1114"/>
      <c r="DK851" s="1114"/>
      <c r="DL851" s="1114"/>
      <c r="DM851" s="1114"/>
      <c r="DN851" s="1114"/>
      <c r="DO851" s="1114"/>
      <c r="DP851" s="1114"/>
      <c r="DQ851" s="1114"/>
      <c r="DR851" s="1114"/>
      <c r="DS851" s="1114"/>
      <c r="DT851" s="1114"/>
      <c r="DU851" s="1114"/>
      <c r="DV851" s="1115"/>
      <c r="DW851" s="1116"/>
      <c r="DX851" s="1116"/>
      <c r="DY851" s="1116"/>
      <c r="DZ851" s="1116"/>
      <c r="EA851" s="1116"/>
      <c r="EB851" s="1116"/>
      <c r="EC851" s="1116"/>
      <c r="ED851" s="1116"/>
      <c r="EE851" s="1116"/>
      <c r="EF851" s="1116"/>
      <c r="EG851" s="1116"/>
      <c r="EH851" s="1116"/>
      <c r="EI851" s="1116"/>
      <c r="EJ851" s="1116"/>
      <c r="EK851" s="1116"/>
      <c r="EL851" s="1116"/>
      <c r="EM851" s="1116"/>
      <c r="EN851" s="1116"/>
      <c r="EO851" s="1116"/>
      <c r="EP851" s="1116"/>
      <c r="EQ851" s="1116"/>
      <c r="ER851" s="1116"/>
      <c r="ES851" s="1116"/>
    </row>
    <row r="852" spans="1:149" ht="15" customHeight="1">
      <c r="A852" s="1185">
        <v>837</v>
      </c>
      <c r="B852" s="1041"/>
      <c r="C852" s="1050"/>
      <c r="D852" s="1050"/>
      <c r="E852" s="1050"/>
      <c r="F852" s="1049"/>
      <c r="G852" s="1457"/>
      <c r="H852" s="1049"/>
      <c r="I852" s="1049"/>
      <c r="J852" s="1050"/>
      <c r="K852" s="1050"/>
      <c r="L852" s="1043"/>
      <c r="M852" s="1051"/>
      <c r="N852" s="1051"/>
      <c r="O852" s="1052"/>
      <c r="P852" s="1051"/>
      <c r="Q852" s="1051"/>
      <c r="R852" s="1052"/>
      <c r="S852" s="1051"/>
      <c r="T852" s="1051"/>
      <c r="U852" s="1052"/>
      <c r="V852" s="1051"/>
      <c r="W852" s="1051"/>
      <c r="X852" s="1052"/>
      <c r="Y852" s="1053"/>
      <c r="Z852" s="1051"/>
      <c r="AA852" s="1051"/>
      <c r="AB852" s="1052"/>
      <c r="AC852" s="1051"/>
      <c r="AD852" s="1051"/>
      <c r="AE852" s="1052"/>
      <c r="AF852" s="1051"/>
      <c r="AG852" s="1051"/>
      <c r="AH852" s="1051"/>
      <c r="AI852" s="1051"/>
      <c r="AJ852" s="1052"/>
      <c r="AK852" s="1051"/>
      <c r="AL852" s="1051"/>
      <c r="AM852" s="1052"/>
      <c r="AN852" s="1051"/>
      <c r="AO852" s="1051"/>
      <c r="AP852" s="1052"/>
      <c r="AQ852" s="1051"/>
      <c r="AR852" s="1051"/>
      <c r="AS852" s="1052"/>
      <c r="AT852" s="1051"/>
      <c r="AU852" s="1051"/>
      <c r="AV852" s="1052"/>
      <c r="AW852" s="1051"/>
      <c r="AX852" s="1051"/>
      <c r="AY852" s="1053"/>
      <c r="AZ852" s="1051"/>
      <c r="BA852" s="1051"/>
      <c r="BB852" s="1053"/>
      <c r="BC852" s="1051"/>
      <c r="BD852" s="1051"/>
      <c r="BE852" s="1053"/>
      <c r="BF852" s="1051"/>
      <c r="BG852" s="1051"/>
      <c r="BH852" s="1053"/>
      <c r="BI852" s="1052"/>
      <c r="BJ852" s="1052"/>
      <c r="BK852" s="1052"/>
      <c r="BL852" s="1052"/>
      <c r="BM852" s="1052"/>
      <c r="BN852" s="1054"/>
      <c r="BO852" s="1076">
        <f t="shared" si="24"/>
        <v>0</v>
      </c>
      <c r="BP852" s="1051"/>
      <c r="BQ852" s="1052"/>
      <c r="BR852" s="1054"/>
      <c r="BS852" s="1053"/>
      <c r="BT852" s="1051"/>
      <c r="BU852" s="1051"/>
      <c r="BV852" s="1051"/>
      <c r="BW852" s="1052"/>
      <c r="BX852" s="1052"/>
      <c r="BY852" s="1052"/>
      <c r="BZ852" s="1052"/>
      <c r="CA852" s="1052"/>
      <c r="CB852" s="1053"/>
      <c r="CC852" s="1053"/>
      <c r="CD852" s="1053"/>
      <c r="CE852" s="1053"/>
      <c r="CF852" s="1053"/>
      <c r="CG852" s="1053"/>
      <c r="CH852" s="1053"/>
      <c r="CI852" s="1123"/>
      <c r="CJ852" s="1123"/>
      <c r="CK852" s="1123"/>
      <c r="CL852" s="1123"/>
      <c r="CM852" s="1123"/>
      <c r="CN852" s="1123"/>
      <c r="CO852" s="1123"/>
      <c r="CP852" s="1123"/>
      <c r="CQ852" s="1123"/>
      <c r="CR852" s="1123"/>
      <c r="CS852" s="1123"/>
      <c r="CT852" s="1123"/>
      <c r="CU852" s="1123"/>
      <c r="CV852" s="1123"/>
      <c r="CW852" s="1123"/>
      <c r="CX852" s="1123"/>
      <c r="CY852" s="1123"/>
      <c r="CZ852" s="1114"/>
      <c r="DA852" s="1114"/>
      <c r="DB852" s="1114"/>
      <c r="DC852" s="1114"/>
      <c r="DD852" s="1114"/>
      <c r="DE852" s="1114"/>
      <c r="DF852" s="1114"/>
      <c r="DG852" s="1114"/>
      <c r="DH852" s="1114"/>
      <c r="DI852" s="1114"/>
      <c r="DJ852" s="1114"/>
      <c r="DK852" s="1114"/>
      <c r="DL852" s="1114"/>
      <c r="DM852" s="1114"/>
      <c r="DN852" s="1114"/>
      <c r="DO852" s="1114"/>
      <c r="DP852" s="1114"/>
      <c r="DQ852" s="1114"/>
      <c r="DR852" s="1114"/>
      <c r="DS852" s="1114"/>
      <c r="DT852" s="1114"/>
      <c r="DU852" s="1114"/>
      <c r="DV852" s="1115"/>
      <c r="DW852" s="1116"/>
      <c r="DX852" s="1116"/>
      <c r="DY852" s="1116"/>
      <c r="DZ852" s="1116"/>
      <c r="EA852" s="1116"/>
      <c r="EB852" s="1116"/>
      <c r="EC852" s="1116"/>
      <c r="ED852" s="1116"/>
      <c r="EE852" s="1116"/>
      <c r="EF852" s="1116"/>
      <c r="EG852" s="1116"/>
      <c r="EH852" s="1116"/>
      <c r="EI852" s="1116"/>
      <c r="EJ852" s="1116"/>
      <c r="EK852" s="1116"/>
      <c r="EL852" s="1116"/>
      <c r="EM852" s="1116"/>
      <c r="EN852" s="1116"/>
      <c r="EO852" s="1116"/>
      <c r="EP852" s="1116"/>
      <c r="EQ852" s="1116"/>
      <c r="ER852" s="1116"/>
      <c r="ES852" s="1116"/>
    </row>
    <row r="853" spans="1:149" ht="15" customHeight="1">
      <c r="A853" s="1185">
        <v>838</v>
      </c>
      <c r="B853" s="1041"/>
      <c r="C853" s="1050"/>
      <c r="D853" s="1050"/>
      <c r="E853" s="1050"/>
      <c r="F853" s="1049"/>
      <c r="G853" s="1457"/>
      <c r="H853" s="1049"/>
      <c r="I853" s="1049"/>
      <c r="J853" s="1050"/>
      <c r="K853" s="1050"/>
      <c r="L853" s="1043"/>
      <c r="M853" s="1051"/>
      <c r="N853" s="1051"/>
      <c r="O853" s="1052"/>
      <c r="P853" s="1051"/>
      <c r="Q853" s="1051"/>
      <c r="R853" s="1052"/>
      <c r="S853" s="1051"/>
      <c r="T853" s="1051"/>
      <c r="U853" s="1052"/>
      <c r="V853" s="1051"/>
      <c r="W853" s="1051"/>
      <c r="X853" s="1052"/>
      <c r="Y853" s="1053"/>
      <c r="Z853" s="1051"/>
      <c r="AA853" s="1051"/>
      <c r="AB853" s="1052"/>
      <c r="AC853" s="1051"/>
      <c r="AD853" s="1051"/>
      <c r="AE853" s="1052"/>
      <c r="AF853" s="1051"/>
      <c r="AG853" s="1051"/>
      <c r="AH853" s="1051"/>
      <c r="AI853" s="1051"/>
      <c r="AJ853" s="1052"/>
      <c r="AK853" s="1051"/>
      <c r="AL853" s="1051"/>
      <c r="AM853" s="1052"/>
      <c r="AN853" s="1051"/>
      <c r="AO853" s="1051"/>
      <c r="AP853" s="1052"/>
      <c r="AQ853" s="1051"/>
      <c r="AR853" s="1051"/>
      <c r="AS853" s="1052"/>
      <c r="AT853" s="1051"/>
      <c r="AU853" s="1051"/>
      <c r="AV853" s="1052"/>
      <c r="AW853" s="1051"/>
      <c r="AX853" s="1051"/>
      <c r="AY853" s="1053"/>
      <c r="AZ853" s="1051"/>
      <c r="BA853" s="1051"/>
      <c r="BB853" s="1053"/>
      <c r="BC853" s="1051"/>
      <c r="BD853" s="1051"/>
      <c r="BE853" s="1053"/>
      <c r="BF853" s="1051"/>
      <c r="BG853" s="1051"/>
      <c r="BH853" s="1053"/>
      <c r="BI853" s="1052"/>
      <c r="BJ853" s="1052"/>
      <c r="BK853" s="1052"/>
      <c r="BL853" s="1052"/>
      <c r="BM853" s="1052"/>
      <c r="BN853" s="1054"/>
      <c r="BO853" s="1076">
        <f t="shared" si="24"/>
        <v>0</v>
      </c>
      <c r="BP853" s="1051"/>
      <c r="BQ853" s="1052"/>
      <c r="BR853" s="1054"/>
      <c r="BS853" s="1053"/>
      <c r="BT853" s="1051"/>
      <c r="BU853" s="1051"/>
      <c r="BV853" s="1051"/>
      <c r="BW853" s="1052"/>
      <c r="BX853" s="1052"/>
      <c r="BY853" s="1052"/>
      <c r="BZ853" s="1052"/>
      <c r="CA853" s="1052"/>
      <c r="CB853" s="1053"/>
      <c r="CC853" s="1053"/>
      <c r="CD853" s="1053"/>
      <c r="CE853" s="1053"/>
      <c r="CF853" s="1053"/>
      <c r="CG853" s="1053"/>
      <c r="CH853" s="1053"/>
      <c r="CI853" s="1123"/>
      <c r="CJ853" s="1123"/>
      <c r="CK853" s="1123"/>
      <c r="CL853" s="1123"/>
      <c r="CM853" s="1123"/>
      <c r="CN853" s="1123"/>
      <c r="CO853" s="1123"/>
      <c r="CP853" s="1123"/>
      <c r="CQ853" s="1123"/>
      <c r="CR853" s="1123"/>
      <c r="CS853" s="1123"/>
      <c r="CT853" s="1123"/>
      <c r="CU853" s="1123"/>
      <c r="CV853" s="1123"/>
      <c r="CW853" s="1123"/>
      <c r="CX853" s="1123"/>
      <c r="CY853" s="1123"/>
      <c r="CZ853" s="1114"/>
      <c r="DA853" s="1114"/>
      <c r="DB853" s="1114"/>
      <c r="DC853" s="1114"/>
      <c r="DD853" s="1114"/>
      <c r="DE853" s="1114"/>
      <c r="DF853" s="1114"/>
      <c r="DG853" s="1114"/>
      <c r="DH853" s="1114"/>
      <c r="DI853" s="1114"/>
      <c r="DJ853" s="1114"/>
      <c r="DK853" s="1114"/>
      <c r="DL853" s="1114"/>
      <c r="DM853" s="1114"/>
      <c r="DN853" s="1114"/>
      <c r="DO853" s="1114"/>
      <c r="DP853" s="1114"/>
      <c r="DQ853" s="1114"/>
      <c r="DR853" s="1114"/>
      <c r="DS853" s="1114"/>
      <c r="DT853" s="1114"/>
      <c r="DU853" s="1114"/>
      <c r="DV853" s="1115"/>
      <c r="DW853" s="1116"/>
      <c r="DX853" s="1116"/>
      <c r="DY853" s="1116"/>
      <c r="DZ853" s="1116"/>
      <c r="EA853" s="1116"/>
      <c r="EB853" s="1116"/>
      <c r="EC853" s="1116"/>
      <c r="ED853" s="1116"/>
      <c r="EE853" s="1116"/>
      <c r="EF853" s="1116"/>
      <c r="EG853" s="1116"/>
      <c r="EH853" s="1116"/>
      <c r="EI853" s="1116"/>
      <c r="EJ853" s="1116"/>
      <c r="EK853" s="1116"/>
      <c r="EL853" s="1116"/>
      <c r="EM853" s="1116"/>
      <c r="EN853" s="1116"/>
      <c r="EO853" s="1116"/>
      <c r="EP853" s="1116"/>
      <c r="EQ853" s="1116"/>
      <c r="ER853" s="1116"/>
      <c r="ES853" s="1116"/>
    </row>
    <row r="854" spans="1:149" ht="15" customHeight="1">
      <c r="A854" s="1185">
        <v>839</v>
      </c>
      <c r="B854" s="1041"/>
      <c r="C854" s="1050"/>
      <c r="D854" s="1050"/>
      <c r="E854" s="1050"/>
      <c r="F854" s="1049"/>
      <c r="G854" s="1457"/>
      <c r="H854" s="1049"/>
      <c r="I854" s="1049"/>
      <c r="J854" s="1050"/>
      <c r="K854" s="1050"/>
      <c r="L854" s="1043"/>
      <c r="M854" s="1051"/>
      <c r="N854" s="1051"/>
      <c r="O854" s="1052"/>
      <c r="P854" s="1051"/>
      <c r="Q854" s="1051"/>
      <c r="R854" s="1052"/>
      <c r="S854" s="1051"/>
      <c r="T854" s="1051"/>
      <c r="U854" s="1052"/>
      <c r="V854" s="1051"/>
      <c r="W854" s="1051"/>
      <c r="X854" s="1052"/>
      <c r="Y854" s="1053"/>
      <c r="Z854" s="1051"/>
      <c r="AA854" s="1051"/>
      <c r="AB854" s="1052"/>
      <c r="AC854" s="1051"/>
      <c r="AD854" s="1051"/>
      <c r="AE854" s="1052"/>
      <c r="AF854" s="1051"/>
      <c r="AG854" s="1051"/>
      <c r="AH854" s="1051"/>
      <c r="AI854" s="1051"/>
      <c r="AJ854" s="1052"/>
      <c r="AK854" s="1051"/>
      <c r="AL854" s="1051"/>
      <c r="AM854" s="1052"/>
      <c r="AN854" s="1051"/>
      <c r="AO854" s="1051"/>
      <c r="AP854" s="1052"/>
      <c r="AQ854" s="1051"/>
      <c r="AR854" s="1051"/>
      <c r="AS854" s="1052"/>
      <c r="AT854" s="1051"/>
      <c r="AU854" s="1051"/>
      <c r="AV854" s="1052"/>
      <c r="AW854" s="1051"/>
      <c r="AX854" s="1051"/>
      <c r="AY854" s="1053"/>
      <c r="AZ854" s="1051"/>
      <c r="BA854" s="1051"/>
      <c r="BB854" s="1053"/>
      <c r="BC854" s="1051"/>
      <c r="BD854" s="1051"/>
      <c r="BE854" s="1053"/>
      <c r="BF854" s="1051"/>
      <c r="BG854" s="1051"/>
      <c r="BH854" s="1053"/>
      <c r="BI854" s="1052"/>
      <c r="BJ854" s="1052"/>
      <c r="BK854" s="1052"/>
      <c r="BL854" s="1052"/>
      <c r="BM854" s="1052"/>
      <c r="BN854" s="1054"/>
      <c r="BO854" s="1076">
        <f t="shared" si="24"/>
        <v>0</v>
      </c>
      <c r="BP854" s="1051"/>
      <c r="BQ854" s="1052"/>
      <c r="BR854" s="1054"/>
      <c r="BS854" s="1053"/>
      <c r="BT854" s="1051"/>
      <c r="BU854" s="1051"/>
      <c r="BV854" s="1051"/>
      <c r="BW854" s="1052"/>
      <c r="BX854" s="1052"/>
      <c r="BY854" s="1052"/>
      <c r="BZ854" s="1052"/>
      <c r="CA854" s="1052"/>
      <c r="CB854" s="1053"/>
      <c r="CC854" s="1053"/>
      <c r="CD854" s="1053"/>
      <c r="CE854" s="1053"/>
      <c r="CF854" s="1053"/>
      <c r="CG854" s="1053"/>
      <c r="CH854" s="1053"/>
      <c r="CI854" s="1123"/>
      <c r="CJ854" s="1123"/>
      <c r="CK854" s="1123"/>
      <c r="CL854" s="1123"/>
      <c r="CM854" s="1123"/>
      <c r="CN854" s="1123"/>
      <c r="CO854" s="1123"/>
      <c r="CP854" s="1123"/>
      <c r="CQ854" s="1123"/>
      <c r="CR854" s="1123"/>
      <c r="CS854" s="1123"/>
      <c r="CT854" s="1123"/>
      <c r="CU854" s="1123"/>
      <c r="CV854" s="1123"/>
      <c r="CW854" s="1123"/>
      <c r="CX854" s="1123"/>
      <c r="CY854" s="1123"/>
      <c r="CZ854" s="1114"/>
      <c r="DA854" s="1114"/>
      <c r="DB854" s="1114"/>
      <c r="DC854" s="1114"/>
      <c r="DD854" s="1114"/>
      <c r="DE854" s="1114"/>
      <c r="DF854" s="1114"/>
      <c r="DG854" s="1114"/>
      <c r="DH854" s="1114"/>
      <c r="DI854" s="1114"/>
      <c r="DJ854" s="1114"/>
      <c r="DK854" s="1114"/>
      <c r="DL854" s="1114"/>
      <c r="DM854" s="1114"/>
      <c r="DN854" s="1114"/>
      <c r="DO854" s="1114"/>
      <c r="DP854" s="1114"/>
      <c r="DQ854" s="1114"/>
      <c r="DR854" s="1114"/>
      <c r="DS854" s="1114"/>
      <c r="DT854" s="1114"/>
      <c r="DU854" s="1114"/>
      <c r="DV854" s="1115"/>
      <c r="DW854" s="1116"/>
      <c r="DX854" s="1116"/>
      <c r="DY854" s="1116"/>
      <c r="DZ854" s="1116"/>
      <c r="EA854" s="1116"/>
      <c r="EB854" s="1116"/>
      <c r="EC854" s="1116"/>
      <c r="ED854" s="1116"/>
      <c r="EE854" s="1116"/>
      <c r="EF854" s="1116"/>
      <c r="EG854" s="1116"/>
      <c r="EH854" s="1116"/>
      <c r="EI854" s="1116"/>
      <c r="EJ854" s="1116"/>
      <c r="EK854" s="1116"/>
      <c r="EL854" s="1116"/>
      <c r="EM854" s="1116"/>
      <c r="EN854" s="1116"/>
      <c r="EO854" s="1116"/>
      <c r="EP854" s="1116"/>
      <c r="EQ854" s="1116"/>
      <c r="ER854" s="1116"/>
      <c r="ES854" s="1116"/>
    </row>
    <row r="855" spans="1:149" ht="15" customHeight="1">
      <c r="A855" s="1185">
        <v>840</v>
      </c>
      <c r="B855" s="1041"/>
      <c r="C855" s="1050"/>
      <c r="D855" s="1050"/>
      <c r="E855" s="1050"/>
      <c r="F855" s="1049"/>
      <c r="G855" s="1457"/>
      <c r="H855" s="1049"/>
      <c r="I855" s="1049"/>
      <c r="J855" s="1050"/>
      <c r="K855" s="1050"/>
      <c r="L855" s="1043"/>
      <c r="M855" s="1051"/>
      <c r="N855" s="1051"/>
      <c r="O855" s="1052"/>
      <c r="P855" s="1051"/>
      <c r="Q855" s="1051"/>
      <c r="R855" s="1052"/>
      <c r="S855" s="1051"/>
      <c r="T855" s="1051"/>
      <c r="U855" s="1052"/>
      <c r="V855" s="1051"/>
      <c r="W855" s="1051"/>
      <c r="X855" s="1052"/>
      <c r="Y855" s="1053"/>
      <c r="Z855" s="1051"/>
      <c r="AA855" s="1051"/>
      <c r="AB855" s="1052"/>
      <c r="AC855" s="1051"/>
      <c r="AD855" s="1051"/>
      <c r="AE855" s="1052"/>
      <c r="AF855" s="1051"/>
      <c r="AG855" s="1051"/>
      <c r="AH855" s="1051"/>
      <c r="AI855" s="1051"/>
      <c r="AJ855" s="1052"/>
      <c r="AK855" s="1051"/>
      <c r="AL855" s="1051"/>
      <c r="AM855" s="1052"/>
      <c r="AN855" s="1051"/>
      <c r="AO855" s="1051"/>
      <c r="AP855" s="1052"/>
      <c r="AQ855" s="1051"/>
      <c r="AR855" s="1051"/>
      <c r="AS855" s="1052"/>
      <c r="AT855" s="1051"/>
      <c r="AU855" s="1051"/>
      <c r="AV855" s="1052"/>
      <c r="AW855" s="1051"/>
      <c r="AX855" s="1051"/>
      <c r="AY855" s="1053"/>
      <c r="AZ855" s="1051"/>
      <c r="BA855" s="1051"/>
      <c r="BB855" s="1053"/>
      <c r="BC855" s="1051"/>
      <c r="BD855" s="1051"/>
      <c r="BE855" s="1053"/>
      <c r="BF855" s="1051"/>
      <c r="BG855" s="1051"/>
      <c r="BH855" s="1053"/>
      <c r="BI855" s="1052"/>
      <c r="BJ855" s="1052"/>
      <c r="BK855" s="1052"/>
      <c r="BL855" s="1052"/>
      <c r="BM855" s="1052"/>
      <c r="BN855" s="1054"/>
      <c r="BO855" s="1076">
        <f t="shared" si="24"/>
        <v>0</v>
      </c>
      <c r="BP855" s="1051"/>
      <c r="BQ855" s="1052"/>
      <c r="BR855" s="1054"/>
      <c r="BS855" s="1053"/>
      <c r="BT855" s="1051"/>
      <c r="BU855" s="1051"/>
      <c r="BV855" s="1051"/>
      <c r="BW855" s="1052"/>
      <c r="BX855" s="1052"/>
      <c r="BY855" s="1052"/>
      <c r="BZ855" s="1052"/>
      <c r="CA855" s="1052"/>
      <c r="CB855" s="1053"/>
      <c r="CC855" s="1053"/>
      <c r="CD855" s="1053"/>
      <c r="CE855" s="1053"/>
      <c r="CF855" s="1053"/>
      <c r="CG855" s="1053"/>
      <c r="CH855" s="1053"/>
      <c r="CI855" s="1123"/>
      <c r="CJ855" s="1123"/>
      <c r="CK855" s="1123"/>
      <c r="CL855" s="1123"/>
      <c r="CM855" s="1123"/>
      <c r="CN855" s="1123"/>
      <c r="CO855" s="1123"/>
      <c r="CP855" s="1123"/>
      <c r="CQ855" s="1123"/>
      <c r="CR855" s="1123"/>
      <c r="CS855" s="1123"/>
      <c r="CT855" s="1123"/>
      <c r="CU855" s="1123"/>
      <c r="CV855" s="1123"/>
      <c r="CW855" s="1123"/>
      <c r="CX855" s="1123"/>
      <c r="CY855" s="1123"/>
      <c r="CZ855" s="1114"/>
      <c r="DA855" s="1114"/>
      <c r="DB855" s="1114"/>
      <c r="DC855" s="1114"/>
      <c r="DD855" s="1114"/>
      <c r="DE855" s="1114"/>
      <c r="DF855" s="1114"/>
      <c r="DG855" s="1114"/>
      <c r="DH855" s="1114"/>
      <c r="DI855" s="1114"/>
      <c r="DJ855" s="1114"/>
      <c r="DK855" s="1114"/>
      <c r="DL855" s="1114"/>
      <c r="DM855" s="1114"/>
      <c r="DN855" s="1114"/>
      <c r="DO855" s="1114"/>
      <c r="DP855" s="1114"/>
      <c r="DQ855" s="1114"/>
      <c r="DR855" s="1114"/>
      <c r="DS855" s="1114"/>
      <c r="DT855" s="1114"/>
      <c r="DU855" s="1114"/>
      <c r="DV855" s="1115"/>
      <c r="DW855" s="1116"/>
      <c r="DX855" s="1116"/>
      <c r="DY855" s="1116"/>
      <c r="DZ855" s="1116"/>
      <c r="EA855" s="1116"/>
      <c r="EB855" s="1116"/>
      <c r="EC855" s="1116"/>
      <c r="ED855" s="1116"/>
      <c r="EE855" s="1116"/>
      <c r="EF855" s="1116"/>
      <c r="EG855" s="1116"/>
      <c r="EH855" s="1116"/>
      <c r="EI855" s="1116"/>
      <c r="EJ855" s="1116"/>
      <c r="EK855" s="1116"/>
      <c r="EL855" s="1116"/>
      <c r="EM855" s="1116"/>
      <c r="EN855" s="1116"/>
      <c r="EO855" s="1116"/>
      <c r="EP855" s="1116"/>
      <c r="EQ855" s="1116"/>
      <c r="ER855" s="1116"/>
      <c r="ES855" s="1116"/>
    </row>
    <row r="856" spans="1:149" ht="15" customHeight="1">
      <c r="A856" s="1185">
        <v>841</v>
      </c>
      <c r="B856" s="1041"/>
      <c r="C856" s="1050"/>
      <c r="D856" s="1050"/>
      <c r="E856" s="1050"/>
      <c r="F856" s="1049"/>
      <c r="G856" s="1457"/>
      <c r="H856" s="1049"/>
      <c r="I856" s="1049"/>
      <c r="J856" s="1050"/>
      <c r="K856" s="1050"/>
      <c r="L856" s="1043"/>
      <c r="M856" s="1051"/>
      <c r="N856" s="1051"/>
      <c r="O856" s="1052"/>
      <c r="P856" s="1051"/>
      <c r="Q856" s="1051"/>
      <c r="R856" s="1052"/>
      <c r="S856" s="1051"/>
      <c r="T856" s="1051"/>
      <c r="U856" s="1052"/>
      <c r="V856" s="1051"/>
      <c r="W856" s="1051"/>
      <c r="X856" s="1052"/>
      <c r="Y856" s="1053"/>
      <c r="Z856" s="1051"/>
      <c r="AA856" s="1051"/>
      <c r="AB856" s="1052"/>
      <c r="AC856" s="1051"/>
      <c r="AD856" s="1051"/>
      <c r="AE856" s="1052"/>
      <c r="AF856" s="1051"/>
      <c r="AG856" s="1051"/>
      <c r="AH856" s="1051"/>
      <c r="AI856" s="1051"/>
      <c r="AJ856" s="1052"/>
      <c r="AK856" s="1051"/>
      <c r="AL856" s="1051"/>
      <c r="AM856" s="1052"/>
      <c r="AN856" s="1051"/>
      <c r="AO856" s="1051"/>
      <c r="AP856" s="1052"/>
      <c r="AQ856" s="1051"/>
      <c r="AR856" s="1051"/>
      <c r="AS856" s="1052"/>
      <c r="AT856" s="1051"/>
      <c r="AU856" s="1051"/>
      <c r="AV856" s="1052"/>
      <c r="AW856" s="1051"/>
      <c r="AX856" s="1051"/>
      <c r="AY856" s="1053"/>
      <c r="AZ856" s="1051"/>
      <c r="BA856" s="1051"/>
      <c r="BB856" s="1053"/>
      <c r="BC856" s="1051"/>
      <c r="BD856" s="1051"/>
      <c r="BE856" s="1053"/>
      <c r="BF856" s="1051"/>
      <c r="BG856" s="1051"/>
      <c r="BH856" s="1053"/>
      <c r="BI856" s="1052"/>
      <c r="BJ856" s="1052"/>
      <c r="BK856" s="1052"/>
      <c r="BL856" s="1052"/>
      <c r="BM856" s="1052"/>
      <c r="BN856" s="1054"/>
      <c r="BO856" s="1076">
        <f t="shared" si="24"/>
        <v>0</v>
      </c>
      <c r="BP856" s="1051"/>
      <c r="BQ856" s="1052"/>
      <c r="BR856" s="1054"/>
      <c r="BS856" s="1053"/>
      <c r="BT856" s="1051"/>
      <c r="BU856" s="1051"/>
      <c r="BV856" s="1051"/>
      <c r="BW856" s="1052"/>
      <c r="BX856" s="1052"/>
      <c r="BY856" s="1052"/>
      <c r="BZ856" s="1052"/>
      <c r="CA856" s="1052"/>
      <c r="CB856" s="1053"/>
      <c r="CC856" s="1053"/>
      <c r="CD856" s="1053"/>
      <c r="CE856" s="1053"/>
      <c r="CF856" s="1053"/>
      <c r="CG856" s="1053"/>
      <c r="CH856" s="1053"/>
      <c r="CI856" s="1123"/>
      <c r="CJ856" s="1123"/>
      <c r="CK856" s="1123"/>
      <c r="CL856" s="1123"/>
      <c r="CM856" s="1123"/>
      <c r="CN856" s="1123"/>
      <c r="CO856" s="1123"/>
      <c r="CP856" s="1123"/>
      <c r="CQ856" s="1123"/>
      <c r="CR856" s="1123"/>
      <c r="CS856" s="1123"/>
      <c r="CT856" s="1123"/>
      <c r="CU856" s="1123"/>
      <c r="CV856" s="1123"/>
      <c r="CW856" s="1123"/>
      <c r="CX856" s="1123"/>
      <c r="CY856" s="1123"/>
      <c r="CZ856" s="1114"/>
      <c r="DA856" s="1114"/>
      <c r="DB856" s="1114"/>
      <c r="DC856" s="1114"/>
      <c r="DD856" s="1114"/>
      <c r="DE856" s="1114"/>
      <c r="DF856" s="1114"/>
      <c r="DG856" s="1114"/>
      <c r="DH856" s="1114"/>
      <c r="DI856" s="1114"/>
      <c r="DJ856" s="1114"/>
      <c r="DK856" s="1114"/>
      <c r="DL856" s="1114"/>
      <c r="DM856" s="1114"/>
      <c r="DN856" s="1114"/>
      <c r="DO856" s="1114"/>
      <c r="DP856" s="1114"/>
      <c r="DQ856" s="1114"/>
      <c r="DR856" s="1114"/>
      <c r="DS856" s="1114"/>
      <c r="DT856" s="1114"/>
      <c r="DU856" s="1114"/>
      <c r="DV856" s="1115"/>
      <c r="DW856" s="1116"/>
      <c r="DX856" s="1116"/>
      <c r="DY856" s="1116"/>
      <c r="DZ856" s="1116"/>
      <c r="EA856" s="1116"/>
      <c r="EB856" s="1116"/>
      <c r="EC856" s="1116"/>
      <c r="ED856" s="1116"/>
      <c r="EE856" s="1116"/>
      <c r="EF856" s="1116"/>
      <c r="EG856" s="1116"/>
      <c r="EH856" s="1116"/>
      <c r="EI856" s="1116"/>
      <c r="EJ856" s="1116"/>
      <c r="EK856" s="1116"/>
      <c r="EL856" s="1116"/>
      <c r="EM856" s="1116"/>
      <c r="EN856" s="1116"/>
      <c r="EO856" s="1116"/>
      <c r="EP856" s="1116"/>
      <c r="EQ856" s="1116"/>
      <c r="ER856" s="1116"/>
      <c r="ES856" s="1116"/>
    </row>
    <row r="857" spans="1:149" ht="15" customHeight="1">
      <c r="A857" s="1185">
        <v>842</v>
      </c>
      <c r="B857" s="1041"/>
      <c r="C857" s="1050"/>
      <c r="D857" s="1050"/>
      <c r="E857" s="1050"/>
      <c r="F857" s="1049"/>
      <c r="G857" s="1457"/>
      <c r="H857" s="1049"/>
      <c r="I857" s="1049"/>
      <c r="J857" s="1050"/>
      <c r="K857" s="1050"/>
      <c r="L857" s="1043"/>
      <c r="M857" s="1051"/>
      <c r="N857" s="1051"/>
      <c r="O857" s="1052"/>
      <c r="P857" s="1051"/>
      <c r="Q857" s="1051"/>
      <c r="R857" s="1052"/>
      <c r="S857" s="1051"/>
      <c r="T857" s="1051"/>
      <c r="U857" s="1052"/>
      <c r="V857" s="1051"/>
      <c r="W857" s="1051"/>
      <c r="X857" s="1052"/>
      <c r="Y857" s="1053"/>
      <c r="Z857" s="1051"/>
      <c r="AA857" s="1051"/>
      <c r="AB857" s="1052"/>
      <c r="AC857" s="1051"/>
      <c r="AD857" s="1051"/>
      <c r="AE857" s="1052"/>
      <c r="AF857" s="1051"/>
      <c r="AG857" s="1051"/>
      <c r="AH857" s="1051"/>
      <c r="AI857" s="1051"/>
      <c r="AJ857" s="1052"/>
      <c r="AK857" s="1051"/>
      <c r="AL857" s="1051"/>
      <c r="AM857" s="1052"/>
      <c r="AN857" s="1051"/>
      <c r="AO857" s="1051"/>
      <c r="AP857" s="1052"/>
      <c r="AQ857" s="1051"/>
      <c r="AR857" s="1051"/>
      <c r="AS857" s="1052"/>
      <c r="AT857" s="1051"/>
      <c r="AU857" s="1051"/>
      <c r="AV857" s="1052"/>
      <c r="AW857" s="1051"/>
      <c r="AX857" s="1051"/>
      <c r="AY857" s="1053"/>
      <c r="AZ857" s="1051"/>
      <c r="BA857" s="1051"/>
      <c r="BB857" s="1053"/>
      <c r="BC857" s="1051"/>
      <c r="BD857" s="1051"/>
      <c r="BE857" s="1053"/>
      <c r="BF857" s="1051"/>
      <c r="BG857" s="1051"/>
      <c r="BH857" s="1053"/>
      <c r="BI857" s="1052"/>
      <c r="BJ857" s="1052"/>
      <c r="BK857" s="1052"/>
      <c r="BL857" s="1052"/>
      <c r="BM857" s="1052"/>
      <c r="BN857" s="1054"/>
      <c r="BO857" s="1076">
        <f t="shared" si="24"/>
        <v>0</v>
      </c>
      <c r="BP857" s="1051"/>
      <c r="BQ857" s="1052"/>
      <c r="BR857" s="1054"/>
      <c r="BS857" s="1053"/>
      <c r="BT857" s="1051"/>
      <c r="BU857" s="1051"/>
      <c r="BV857" s="1051"/>
      <c r="BW857" s="1052"/>
      <c r="BX857" s="1052"/>
      <c r="BY857" s="1052"/>
      <c r="BZ857" s="1052"/>
      <c r="CA857" s="1052"/>
      <c r="CB857" s="1053"/>
      <c r="CC857" s="1053"/>
      <c r="CD857" s="1053"/>
      <c r="CE857" s="1053"/>
      <c r="CF857" s="1053"/>
      <c r="CG857" s="1053"/>
      <c r="CH857" s="1053"/>
      <c r="CI857" s="1123"/>
      <c r="CJ857" s="1123"/>
      <c r="CK857" s="1123"/>
      <c r="CL857" s="1123"/>
      <c r="CM857" s="1123"/>
      <c r="CN857" s="1123"/>
      <c r="CO857" s="1123"/>
      <c r="CP857" s="1123"/>
      <c r="CQ857" s="1123"/>
      <c r="CR857" s="1123"/>
      <c r="CS857" s="1123"/>
      <c r="CT857" s="1123"/>
      <c r="CU857" s="1123"/>
      <c r="CV857" s="1123"/>
      <c r="CW857" s="1123"/>
      <c r="CX857" s="1123"/>
      <c r="CY857" s="1123"/>
      <c r="CZ857" s="1114"/>
      <c r="DA857" s="1114"/>
      <c r="DB857" s="1114"/>
      <c r="DC857" s="1114"/>
      <c r="DD857" s="1114"/>
      <c r="DE857" s="1114"/>
      <c r="DF857" s="1114"/>
      <c r="DG857" s="1114"/>
      <c r="DH857" s="1114"/>
      <c r="DI857" s="1114"/>
      <c r="DJ857" s="1114"/>
      <c r="DK857" s="1114"/>
      <c r="DL857" s="1114"/>
      <c r="DM857" s="1114"/>
      <c r="DN857" s="1114"/>
      <c r="DO857" s="1114"/>
      <c r="DP857" s="1114"/>
      <c r="DQ857" s="1114"/>
      <c r="DR857" s="1114"/>
      <c r="DS857" s="1114"/>
      <c r="DT857" s="1114"/>
      <c r="DU857" s="1114"/>
      <c r="DV857" s="1115"/>
      <c r="DW857" s="1116"/>
      <c r="DX857" s="1116"/>
      <c r="DY857" s="1116"/>
      <c r="DZ857" s="1116"/>
      <c r="EA857" s="1116"/>
      <c r="EB857" s="1116"/>
      <c r="EC857" s="1116"/>
      <c r="ED857" s="1116"/>
      <c r="EE857" s="1116"/>
      <c r="EF857" s="1116"/>
      <c r="EG857" s="1116"/>
      <c r="EH857" s="1116"/>
      <c r="EI857" s="1116"/>
      <c r="EJ857" s="1116"/>
      <c r="EK857" s="1116"/>
      <c r="EL857" s="1116"/>
      <c r="EM857" s="1116"/>
      <c r="EN857" s="1116"/>
      <c r="EO857" s="1116"/>
      <c r="EP857" s="1116"/>
      <c r="EQ857" s="1116"/>
      <c r="ER857" s="1116"/>
      <c r="ES857" s="1116"/>
    </row>
    <row r="858" spans="1:149" ht="15" customHeight="1">
      <c r="A858" s="1185">
        <v>843</v>
      </c>
      <c r="B858" s="1041"/>
      <c r="C858" s="1050"/>
      <c r="D858" s="1050"/>
      <c r="E858" s="1050"/>
      <c r="F858" s="1049"/>
      <c r="G858" s="1457"/>
      <c r="H858" s="1049"/>
      <c r="I858" s="1049"/>
      <c r="J858" s="1050"/>
      <c r="K858" s="1050"/>
      <c r="L858" s="1043"/>
      <c r="M858" s="1051"/>
      <c r="N858" s="1051"/>
      <c r="O858" s="1052"/>
      <c r="P858" s="1051"/>
      <c r="Q858" s="1051"/>
      <c r="R858" s="1052"/>
      <c r="S858" s="1051"/>
      <c r="T858" s="1051"/>
      <c r="U858" s="1052"/>
      <c r="V858" s="1051"/>
      <c r="W858" s="1051"/>
      <c r="X858" s="1052"/>
      <c r="Y858" s="1053"/>
      <c r="Z858" s="1051"/>
      <c r="AA858" s="1051"/>
      <c r="AB858" s="1052"/>
      <c r="AC858" s="1051"/>
      <c r="AD858" s="1051"/>
      <c r="AE858" s="1052"/>
      <c r="AF858" s="1051"/>
      <c r="AG858" s="1051"/>
      <c r="AH858" s="1051"/>
      <c r="AI858" s="1051"/>
      <c r="AJ858" s="1052"/>
      <c r="AK858" s="1051"/>
      <c r="AL858" s="1051"/>
      <c r="AM858" s="1052"/>
      <c r="AN858" s="1051"/>
      <c r="AO858" s="1051"/>
      <c r="AP858" s="1052"/>
      <c r="AQ858" s="1051"/>
      <c r="AR858" s="1051"/>
      <c r="AS858" s="1052"/>
      <c r="AT858" s="1051"/>
      <c r="AU858" s="1051"/>
      <c r="AV858" s="1052"/>
      <c r="AW858" s="1051"/>
      <c r="AX858" s="1051"/>
      <c r="AY858" s="1053"/>
      <c r="AZ858" s="1051"/>
      <c r="BA858" s="1051"/>
      <c r="BB858" s="1053"/>
      <c r="BC858" s="1051"/>
      <c r="BD858" s="1051"/>
      <c r="BE858" s="1053"/>
      <c r="BF858" s="1051"/>
      <c r="BG858" s="1051"/>
      <c r="BH858" s="1053"/>
      <c r="BI858" s="1052"/>
      <c r="BJ858" s="1052"/>
      <c r="BK858" s="1052"/>
      <c r="BL858" s="1052"/>
      <c r="BM858" s="1052"/>
      <c r="BN858" s="1054"/>
      <c r="BO858" s="1076">
        <f t="shared" si="24"/>
        <v>0</v>
      </c>
      <c r="BP858" s="1051"/>
      <c r="BQ858" s="1052"/>
      <c r="BR858" s="1054"/>
      <c r="BS858" s="1053"/>
      <c r="BT858" s="1051"/>
      <c r="BU858" s="1051"/>
      <c r="BV858" s="1051"/>
      <c r="BW858" s="1052"/>
      <c r="BX858" s="1052"/>
      <c r="BY858" s="1052"/>
      <c r="BZ858" s="1052"/>
      <c r="CA858" s="1052"/>
      <c r="CB858" s="1053"/>
      <c r="CC858" s="1053"/>
      <c r="CD858" s="1053"/>
      <c r="CE858" s="1053"/>
      <c r="CF858" s="1053"/>
      <c r="CG858" s="1053"/>
      <c r="CH858" s="1053"/>
      <c r="CI858" s="1123"/>
      <c r="CJ858" s="1123"/>
      <c r="CK858" s="1123"/>
      <c r="CL858" s="1123"/>
      <c r="CM858" s="1123"/>
      <c r="CN858" s="1123"/>
      <c r="CO858" s="1123"/>
      <c r="CP858" s="1123"/>
      <c r="CQ858" s="1123"/>
      <c r="CR858" s="1123"/>
      <c r="CS858" s="1123"/>
      <c r="CT858" s="1123"/>
      <c r="CU858" s="1123"/>
      <c r="CV858" s="1123"/>
      <c r="CW858" s="1123"/>
      <c r="CX858" s="1123"/>
      <c r="CY858" s="1123"/>
      <c r="CZ858" s="1114"/>
      <c r="DA858" s="1114"/>
      <c r="DB858" s="1114"/>
      <c r="DC858" s="1114"/>
      <c r="DD858" s="1114"/>
      <c r="DE858" s="1114"/>
      <c r="DF858" s="1114"/>
      <c r="DG858" s="1114"/>
      <c r="DH858" s="1114"/>
      <c r="DI858" s="1114"/>
      <c r="DJ858" s="1114"/>
      <c r="DK858" s="1114"/>
      <c r="DL858" s="1114"/>
      <c r="DM858" s="1114"/>
      <c r="DN858" s="1114"/>
      <c r="DO858" s="1114"/>
      <c r="DP858" s="1114"/>
      <c r="DQ858" s="1114"/>
      <c r="DR858" s="1114"/>
      <c r="DS858" s="1114"/>
      <c r="DT858" s="1114"/>
      <c r="DU858" s="1114"/>
      <c r="DV858" s="1115"/>
      <c r="DW858" s="1116"/>
      <c r="DX858" s="1116"/>
      <c r="DY858" s="1116"/>
      <c r="DZ858" s="1116"/>
      <c r="EA858" s="1116"/>
      <c r="EB858" s="1116"/>
      <c r="EC858" s="1116"/>
      <c r="ED858" s="1116"/>
      <c r="EE858" s="1116"/>
      <c r="EF858" s="1116"/>
      <c r="EG858" s="1116"/>
      <c r="EH858" s="1116"/>
      <c r="EI858" s="1116"/>
      <c r="EJ858" s="1116"/>
      <c r="EK858" s="1116"/>
      <c r="EL858" s="1116"/>
      <c r="EM858" s="1116"/>
      <c r="EN858" s="1116"/>
      <c r="EO858" s="1116"/>
      <c r="EP858" s="1116"/>
      <c r="EQ858" s="1116"/>
      <c r="ER858" s="1116"/>
      <c r="ES858" s="1116"/>
    </row>
    <row r="859" spans="1:149" ht="15" customHeight="1">
      <c r="A859" s="1185">
        <v>844</v>
      </c>
      <c r="B859" s="1041"/>
      <c r="C859" s="1050"/>
      <c r="D859" s="1050"/>
      <c r="E859" s="1050"/>
      <c r="F859" s="1049"/>
      <c r="G859" s="1457"/>
      <c r="H859" s="1049"/>
      <c r="I859" s="1049"/>
      <c r="J859" s="1050"/>
      <c r="K859" s="1050"/>
      <c r="L859" s="1043"/>
      <c r="M859" s="1051"/>
      <c r="N859" s="1051"/>
      <c r="O859" s="1052"/>
      <c r="P859" s="1051"/>
      <c r="Q859" s="1051"/>
      <c r="R859" s="1052"/>
      <c r="S859" s="1051"/>
      <c r="T859" s="1051"/>
      <c r="U859" s="1052"/>
      <c r="V859" s="1051"/>
      <c r="W859" s="1051"/>
      <c r="X859" s="1052"/>
      <c r="Y859" s="1053"/>
      <c r="Z859" s="1051"/>
      <c r="AA859" s="1051"/>
      <c r="AB859" s="1052"/>
      <c r="AC859" s="1051"/>
      <c r="AD859" s="1051"/>
      <c r="AE859" s="1052"/>
      <c r="AF859" s="1051"/>
      <c r="AG859" s="1051"/>
      <c r="AH859" s="1051"/>
      <c r="AI859" s="1051"/>
      <c r="AJ859" s="1052"/>
      <c r="AK859" s="1051"/>
      <c r="AL859" s="1051"/>
      <c r="AM859" s="1052"/>
      <c r="AN859" s="1051"/>
      <c r="AO859" s="1051"/>
      <c r="AP859" s="1052"/>
      <c r="AQ859" s="1051"/>
      <c r="AR859" s="1051"/>
      <c r="AS859" s="1052"/>
      <c r="AT859" s="1051"/>
      <c r="AU859" s="1051"/>
      <c r="AV859" s="1052"/>
      <c r="AW859" s="1051"/>
      <c r="AX859" s="1051"/>
      <c r="AY859" s="1053"/>
      <c r="AZ859" s="1051"/>
      <c r="BA859" s="1051"/>
      <c r="BB859" s="1053"/>
      <c r="BC859" s="1051"/>
      <c r="BD859" s="1051"/>
      <c r="BE859" s="1053"/>
      <c r="BF859" s="1051"/>
      <c r="BG859" s="1051"/>
      <c r="BH859" s="1053"/>
      <c r="BI859" s="1052"/>
      <c r="BJ859" s="1052"/>
      <c r="BK859" s="1052"/>
      <c r="BL859" s="1052"/>
      <c r="BM859" s="1052"/>
      <c r="BN859" s="1054"/>
      <c r="BO859" s="1076">
        <f t="shared" si="24"/>
        <v>0</v>
      </c>
      <c r="BP859" s="1051"/>
      <c r="BQ859" s="1052"/>
      <c r="BR859" s="1054"/>
      <c r="BS859" s="1053"/>
      <c r="BT859" s="1051"/>
      <c r="BU859" s="1051"/>
      <c r="BV859" s="1051"/>
      <c r="BW859" s="1052"/>
      <c r="BX859" s="1052"/>
      <c r="BY859" s="1052"/>
      <c r="BZ859" s="1052"/>
      <c r="CA859" s="1052"/>
      <c r="CB859" s="1053"/>
      <c r="CC859" s="1053"/>
      <c r="CD859" s="1053"/>
      <c r="CE859" s="1053"/>
      <c r="CF859" s="1053"/>
      <c r="CG859" s="1053"/>
      <c r="CH859" s="1053"/>
      <c r="CI859" s="1123"/>
      <c r="CJ859" s="1123"/>
      <c r="CK859" s="1123"/>
      <c r="CL859" s="1123"/>
      <c r="CM859" s="1123"/>
      <c r="CN859" s="1123"/>
      <c r="CO859" s="1123"/>
      <c r="CP859" s="1123"/>
      <c r="CQ859" s="1123"/>
      <c r="CR859" s="1123"/>
      <c r="CS859" s="1123"/>
      <c r="CT859" s="1123"/>
      <c r="CU859" s="1123"/>
      <c r="CV859" s="1123"/>
      <c r="CW859" s="1123"/>
      <c r="CX859" s="1123"/>
      <c r="CY859" s="1123"/>
      <c r="CZ859" s="1114"/>
      <c r="DA859" s="1114"/>
      <c r="DB859" s="1114"/>
      <c r="DC859" s="1114"/>
      <c r="DD859" s="1114"/>
      <c r="DE859" s="1114"/>
      <c r="DF859" s="1114"/>
      <c r="DG859" s="1114"/>
      <c r="DH859" s="1114"/>
      <c r="DI859" s="1114"/>
      <c r="DJ859" s="1114"/>
      <c r="DK859" s="1114"/>
      <c r="DL859" s="1114"/>
      <c r="DM859" s="1114"/>
      <c r="DN859" s="1114"/>
      <c r="DO859" s="1114"/>
      <c r="DP859" s="1114"/>
      <c r="DQ859" s="1114"/>
      <c r="DR859" s="1114"/>
      <c r="DS859" s="1114"/>
      <c r="DT859" s="1114"/>
      <c r="DU859" s="1114"/>
      <c r="DV859" s="1115"/>
      <c r="DW859" s="1116"/>
      <c r="DX859" s="1116"/>
      <c r="DY859" s="1116"/>
      <c r="DZ859" s="1116"/>
      <c r="EA859" s="1116"/>
      <c r="EB859" s="1116"/>
      <c r="EC859" s="1116"/>
      <c r="ED859" s="1116"/>
      <c r="EE859" s="1116"/>
      <c r="EF859" s="1116"/>
      <c r="EG859" s="1116"/>
      <c r="EH859" s="1116"/>
      <c r="EI859" s="1116"/>
      <c r="EJ859" s="1116"/>
      <c r="EK859" s="1116"/>
      <c r="EL859" s="1116"/>
      <c r="EM859" s="1116"/>
      <c r="EN859" s="1116"/>
      <c r="EO859" s="1116"/>
      <c r="EP859" s="1116"/>
      <c r="EQ859" s="1116"/>
      <c r="ER859" s="1116"/>
      <c r="ES859" s="1116"/>
    </row>
    <row r="860" spans="1:149" ht="15" customHeight="1">
      <c r="A860" s="1185">
        <v>845</v>
      </c>
      <c r="B860" s="1041"/>
      <c r="C860" s="1050"/>
      <c r="D860" s="1050"/>
      <c r="E860" s="1050"/>
      <c r="F860" s="1049"/>
      <c r="G860" s="1457"/>
      <c r="H860" s="1049"/>
      <c r="I860" s="1049"/>
      <c r="J860" s="1050"/>
      <c r="K860" s="1050"/>
      <c r="L860" s="1043"/>
      <c r="M860" s="1051"/>
      <c r="N860" s="1051"/>
      <c r="O860" s="1052"/>
      <c r="P860" s="1051"/>
      <c r="Q860" s="1051"/>
      <c r="R860" s="1052"/>
      <c r="S860" s="1051"/>
      <c r="T860" s="1051"/>
      <c r="U860" s="1052"/>
      <c r="V860" s="1051"/>
      <c r="W860" s="1051"/>
      <c r="X860" s="1052"/>
      <c r="Y860" s="1053"/>
      <c r="Z860" s="1051"/>
      <c r="AA860" s="1051"/>
      <c r="AB860" s="1052"/>
      <c r="AC860" s="1051"/>
      <c r="AD860" s="1051"/>
      <c r="AE860" s="1052"/>
      <c r="AF860" s="1051"/>
      <c r="AG860" s="1051"/>
      <c r="AH860" s="1051"/>
      <c r="AI860" s="1051"/>
      <c r="AJ860" s="1052"/>
      <c r="AK860" s="1051"/>
      <c r="AL860" s="1051"/>
      <c r="AM860" s="1052"/>
      <c r="AN860" s="1051"/>
      <c r="AO860" s="1051"/>
      <c r="AP860" s="1052"/>
      <c r="AQ860" s="1051"/>
      <c r="AR860" s="1051"/>
      <c r="AS860" s="1052"/>
      <c r="AT860" s="1051"/>
      <c r="AU860" s="1051"/>
      <c r="AV860" s="1052"/>
      <c r="AW860" s="1051"/>
      <c r="AX860" s="1051"/>
      <c r="AY860" s="1053"/>
      <c r="AZ860" s="1051"/>
      <c r="BA860" s="1051"/>
      <c r="BB860" s="1053"/>
      <c r="BC860" s="1051"/>
      <c r="BD860" s="1051"/>
      <c r="BE860" s="1053"/>
      <c r="BF860" s="1051"/>
      <c r="BG860" s="1051"/>
      <c r="BH860" s="1053"/>
      <c r="BI860" s="1052"/>
      <c r="BJ860" s="1052"/>
      <c r="BK860" s="1052"/>
      <c r="BL860" s="1052"/>
      <c r="BM860" s="1052"/>
      <c r="BN860" s="1054"/>
      <c r="BO860" s="1076">
        <f t="shared" si="24"/>
        <v>0</v>
      </c>
      <c r="BP860" s="1051"/>
      <c r="BQ860" s="1052"/>
      <c r="BR860" s="1054"/>
      <c r="BS860" s="1053"/>
      <c r="BT860" s="1051"/>
      <c r="BU860" s="1051"/>
      <c r="BV860" s="1051"/>
      <c r="BW860" s="1052"/>
      <c r="BX860" s="1052"/>
      <c r="BY860" s="1052"/>
      <c r="BZ860" s="1052"/>
      <c r="CA860" s="1052"/>
      <c r="CB860" s="1053"/>
      <c r="CC860" s="1053"/>
      <c r="CD860" s="1053"/>
      <c r="CE860" s="1053"/>
      <c r="CF860" s="1053"/>
      <c r="CG860" s="1053"/>
      <c r="CH860" s="1053"/>
      <c r="CI860" s="1123"/>
      <c r="CJ860" s="1123"/>
      <c r="CK860" s="1123"/>
      <c r="CL860" s="1123"/>
      <c r="CM860" s="1123"/>
      <c r="CN860" s="1123"/>
      <c r="CO860" s="1123"/>
      <c r="CP860" s="1123"/>
      <c r="CQ860" s="1123"/>
      <c r="CR860" s="1123"/>
      <c r="CS860" s="1123"/>
      <c r="CT860" s="1123"/>
      <c r="CU860" s="1123"/>
      <c r="CV860" s="1123"/>
      <c r="CW860" s="1123"/>
      <c r="CX860" s="1123"/>
      <c r="CY860" s="1123"/>
      <c r="CZ860" s="1114"/>
      <c r="DA860" s="1114"/>
      <c r="DB860" s="1114"/>
      <c r="DC860" s="1114"/>
      <c r="DD860" s="1114"/>
      <c r="DE860" s="1114"/>
      <c r="DF860" s="1114"/>
      <c r="DG860" s="1114"/>
      <c r="DH860" s="1114"/>
      <c r="DI860" s="1114"/>
      <c r="DJ860" s="1114"/>
      <c r="DK860" s="1114"/>
      <c r="DL860" s="1114"/>
      <c r="DM860" s="1114"/>
      <c r="DN860" s="1114"/>
      <c r="DO860" s="1114"/>
      <c r="DP860" s="1114"/>
      <c r="DQ860" s="1114"/>
      <c r="DR860" s="1114"/>
      <c r="DS860" s="1114"/>
      <c r="DT860" s="1114"/>
      <c r="DU860" s="1114"/>
      <c r="DV860" s="1115"/>
      <c r="DW860" s="1116"/>
      <c r="DX860" s="1116"/>
      <c r="DY860" s="1116"/>
      <c r="DZ860" s="1116"/>
      <c r="EA860" s="1116"/>
      <c r="EB860" s="1116"/>
      <c r="EC860" s="1116"/>
      <c r="ED860" s="1116"/>
      <c r="EE860" s="1116"/>
      <c r="EF860" s="1116"/>
      <c r="EG860" s="1116"/>
      <c r="EH860" s="1116"/>
      <c r="EI860" s="1116"/>
      <c r="EJ860" s="1116"/>
      <c r="EK860" s="1116"/>
      <c r="EL860" s="1116"/>
      <c r="EM860" s="1116"/>
      <c r="EN860" s="1116"/>
      <c r="EO860" s="1116"/>
      <c r="EP860" s="1116"/>
      <c r="EQ860" s="1116"/>
      <c r="ER860" s="1116"/>
      <c r="ES860" s="1116"/>
    </row>
    <row r="861" spans="1:149" ht="15" customHeight="1">
      <c r="A861" s="1185">
        <v>846</v>
      </c>
      <c r="B861" s="1041"/>
      <c r="C861" s="1050"/>
      <c r="D861" s="1050"/>
      <c r="E861" s="1050"/>
      <c r="F861" s="1049"/>
      <c r="G861" s="1457"/>
      <c r="H861" s="1049"/>
      <c r="I861" s="1049"/>
      <c r="J861" s="1050"/>
      <c r="K861" s="1050"/>
      <c r="L861" s="1043"/>
      <c r="M861" s="1051"/>
      <c r="N861" s="1051"/>
      <c r="O861" s="1052"/>
      <c r="P861" s="1051"/>
      <c r="Q861" s="1051"/>
      <c r="R861" s="1052"/>
      <c r="S861" s="1051"/>
      <c r="T861" s="1051"/>
      <c r="U861" s="1052"/>
      <c r="V861" s="1051"/>
      <c r="W861" s="1051"/>
      <c r="X861" s="1052"/>
      <c r="Y861" s="1053"/>
      <c r="Z861" s="1051"/>
      <c r="AA861" s="1051"/>
      <c r="AB861" s="1052"/>
      <c r="AC861" s="1051"/>
      <c r="AD861" s="1051"/>
      <c r="AE861" s="1052"/>
      <c r="AF861" s="1051"/>
      <c r="AG861" s="1051"/>
      <c r="AH861" s="1051"/>
      <c r="AI861" s="1051"/>
      <c r="AJ861" s="1052"/>
      <c r="AK861" s="1051"/>
      <c r="AL861" s="1051"/>
      <c r="AM861" s="1052"/>
      <c r="AN861" s="1051"/>
      <c r="AO861" s="1051"/>
      <c r="AP861" s="1052"/>
      <c r="AQ861" s="1051"/>
      <c r="AR861" s="1051"/>
      <c r="AS861" s="1052"/>
      <c r="AT861" s="1051"/>
      <c r="AU861" s="1051"/>
      <c r="AV861" s="1052"/>
      <c r="AW861" s="1051"/>
      <c r="AX861" s="1051"/>
      <c r="AY861" s="1053"/>
      <c r="AZ861" s="1051"/>
      <c r="BA861" s="1051"/>
      <c r="BB861" s="1053"/>
      <c r="BC861" s="1051"/>
      <c r="BD861" s="1051"/>
      <c r="BE861" s="1053"/>
      <c r="BF861" s="1051"/>
      <c r="BG861" s="1051"/>
      <c r="BH861" s="1053"/>
      <c r="BI861" s="1052"/>
      <c r="BJ861" s="1052"/>
      <c r="BK861" s="1052"/>
      <c r="BL861" s="1052"/>
      <c r="BM861" s="1052"/>
      <c r="BN861" s="1054"/>
      <c r="BO861" s="1076">
        <f t="shared" si="24"/>
        <v>0</v>
      </c>
      <c r="BP861" s="1051"/>
      <c r="BQ861" s="1052"/>
      <c r="BR861" s="1054"/>
      <c r="BS861" s="1053"/>
      <c r="BT861" s="1051"/>
      <c r="BU861" s="1051"/>
      <c r="BV861" s="1051"/>
      <c r="BW861" s="1052"/>
      <c r="BX861" s="1052"/>
      <c r="BY861" s="1052"/>
      <c r="BZ861" s="1052"/>
      <c r="CA861" s="1052"/>
      <c r="CB861" s="1053"/>
      <c r="CC861" s="1053"/>
      <c r="CD861" s="1053"/>
      <c r="CE861" s="1053"/>
      <c r="CF861" s="1053"/>
      <c r="CG861" s="1053"/>
      <c r="CH861" s="1053"/>
      <c r="CI861" s="1123"/>
      <c r="CJ861" s="1123"/>
      <c r="CK861" s="1123"/>
      <c r="CL861" s="1123"/>
      <c r="CM861" s="1123"/>
      <c r="CN861" s="1123"/>
      <c r="CO861" s="1123"/>
      <c r="CP861" s="1123"/>
      <c r="CQ861" s="1123"/>
      <c r="CR861" s="1123"/>
      <c r="CS861" s="1123"/>
      <c r="CT861" s="1123"/>
      <c r="CU861" s="1123"/>
      <c r="CV861" s="1123"/>
      <c r="CW861" s="1123"/>
      <c r="CX861" s="1123"/>
      <c r="CY861" s="1123"/>
      <c r="CZ861" s="1114"/>
      <c r="DA861" s="1114"/>
      <c r="DB861" s="1114"/>
      <c r="DC861" s="1114"/>
      <c r="DD861" s="1114"/>
      <c r="DE861" s="1114"/>
      <c r="DF861" s="1114"/>
      <c r="DG861" s="1114"/>
      <c r="DH861" s="1114"/>
      <c r="DI861" s="1114"/>
      <c r="DJ861" s="1114"/>
      <c r="DK861" s="1114"/>
      <c r="DL861" s="1114"/>
      <c r="DM861" s="1114"/>
      <c r="DN861" s="1114"/>
      <c r="DO861" s="1114"/>
      <c r="DP861" s="1114"/>
      <c r="DQ861" s="1114"/>
      <c r="DR861" s="1114"/>
      <c r="DS861" s="1114"/>
      <c r="DT861" s="1114"/>
      <c r="DU861" s="1114"/>
      <c r="DV861" s="1115"/>
      <c r="DW861" s="1116"/>
      <c r="DX861" s="1116"/>
      <c r="DY861" s="1116"/>
      <c r="DZ861" s="1116"/>
      <c r="EA861" s="1116"/>
      <c r="EB861" s="1116"/>
      <c r="EC861" s="1116"/>
      <c r="ED861" s="1116"/>
      <c r="EE861" s="1116"/>
      <c r="EF861" s="1116"/>
      <c r="EG861" s="1116"/>
      <c r="EH861" s="1116"/>
      <c r="EI861" s="1116"/>
      <c r="EJ861" s="1116"/>
      <c r="EK861" s="1116"/>
      <c r="EL861" s="1116"/>
      <c r="EM861" s="1116"/>
      <c r="EN861" s="1116"/>
      <c r="EO861" s="1116"/>
      <c r="EP861" s="1116"/>
      <c r="EQ861" s="1116"/>
      <c r="ER861" s="1116"/>
      <c r="ES861" s="1116"/>
    </row>
    <row r="862" spans="1:149" ht="15" customHeight="1">
      <c r="A862" s="1185">
        <v>847</v>
      </c>
      <c r="B862" s="1041"/>
      <c r="C862" s="1050"/>
      <c r="D862" s="1050"/>
      <c r="E862" s="1050"/>
      <c r="F862" s="1049"/>
      <c r="G862" s="1457"/>
      <c r="H862" s="1049"/>
      <c r="I862" s="1049"/>
      <c r="J862" s="1050"/>
      <c r="K862" s="1050"/>
      <c r="L862" s="1043"/>
      <c r="M862" s="1051"/>
      <c r="N862" s="1051"/>
      <c r="O862" s="1052"/>
      <c r="P862" s="1051"/>
      <c r="Q862" s="1051"/>
      <c r="R862" s="1052"/>
      <c r="S862" s="1051"/>
      <c r="T862" s="1051"/>
      <c r="U862" s="1052"/>
      <c r="V862" s="1051"/>
      <c r="W862" s="1051"/>
      <c r="X862" s="1052"/>
      <c r="Y862" s="1053"/>
      <c r="Z862" s="1051"/>
      <c r="AA862" s="1051"/>
      <c r="AB862" s="1052"/>
      <c r="AC862" s="1051"/>
      <c r="AD862" s="1051"/>
      <c r="AE862" s="1052"/>
      <c r="AF862" s="1051"/>
      <c r="AG862" s="1051"/>
      <c r="AH862" s="1051"/>
      <c r="AI862" s="1051"/>
      <c r="AJ862" s="1052"/>
      <c r="AK862" s="1051"/>
      <c r="AL862" s="1051"/>
      <c r="AM862" s="1052"/>
      <c r="AN862" s="1051"/>
      <c r="AO862" s="1051"/>
      <c r="AP862" s="1052"/>
      <c r="AQ862" s="1051"/>
      <c r="AR862" s="1051"/>
      <c r="AS862" s="1052"/>
      <c r="AT862" s="1051"/>
      <c r="AU862" s="1051"/>
      <c r="AV862" s="1052"/>
      <c r="AW862" s="1051"/>
      <c r="AX862" s="1051"/>
      <c r="AY862" s="1053"/>
      <c r="AZ862" s="1051"/>
      <c r="BA862" s="1051"/>
      <c r="BB862" s="1053"/>
      <c r="BC862" s="1051"/>
      <c r="BD862" s="1051"/>
      <c r="BE862" s="1053"/>
      <c r="BF862" s="1051"/>
      <c r="BG862" s="1051"/>
      <c r="BH862" s="1053"/>
      <c r="BI862" s="1052"/>
      <c r="BJ862" s="1052"/>
      <c r="BK862" s="1052"/>
      <c r="BL862" s="1052"/>
      <c r="BM862" s="1052"/>
      <c r="BN862" s="1054"/>
      <c r="BO862" s="1076">
        <f t="shared" si="24"/>
        <v>0</v>
      </c>
      <c r="BP862" s="1051"/>
      <c r="BQ862" s="1052"/>
      <c r="BR862" s="1054"/>
      <c r="BS862" s="1053"/>
      <c r="BT862" s="1051"/>
      <c r="BU862" s="1051"/>
      <c r="BV862" s="1051"/>
      <c r="BW862" s="1052"/>
      <c r="BX862" s="1052"/>
      <c r="BY862" s="1052"/>
      <c r="BZ862" s="1052"/>
      <c r="CA862" s="1052"/>
      <c r="CB862" s="1053"/>
      <c r="CC862" s="1053"/>
      <c r="CD862" s="1053"/>
      <c r="CE862" s="1053"/>
      <c r="CF862" s="1053"/>
      <c r="CG862" s="1053"/>
      <c r="CH862" s="1053"/>
      <c r="CI862" s="1123"/>
      <c r="CJ862" s="1123"/>
      <c r="CK862" s="1123"/>
      <c r="CL862" s="1123"/>
      <c r="CM862" s="1123"/>
      <c r="CN862" s="1123"/>
      <c r="CO862" s="1123"/>
      <c r="CP862" s="1123"/>
      <c r="CQ862" s="1123"/>
      <c r="CR862" s="1123"/>
      <c r="CS862" s="1123"/>
      <c r="CT862" s="1123"/>
      <c r="CU862" s="1123"/>
      <c r="CV862" s="1123"/>
      <c r="CW862" s="1123"/>
      <c r="CX862" s="1123"/>
      <c r="CY862" s="1123"/>
      <c r="CZ862" s="1114"/>
      <c r="DA862" s="1114"/>
      <c r="DB862" s="1114"/>
      <c r="DC862" s="1114"/>
      <c r="DD862" s="1114"/>
      <c r="DE862" s="1114"/>
      <c r="DF862" s="1114"/>
      <c r="DG862" s="1114"/>
      <c r="DH862" s="1114"/>
      <c r="DI862" s="1114"/>
      <c r="DJ862" s="1114"/>
      <c r="DK862" s="1114"/>
      <c r="DL862" s="1114"/>
      <c r="DM862" s="1114"/>
      <c r="DN862" s="1114"/>
      <c r="DO862" s="1114"/>
      <c r="DP862" s="1114"/>
      <c r="DQ862" s="1114"/>
      <c r="DR862" s="1114"/>
      <c r="DS862" s="1114"/>
      <c r="DT862" s="1114"/>
      <c r="DU862" s="1114"/>
      <c r="DV862" s="1115"/>
      <c r="DW862" s="1116"/>
      <c r="DX862" s="1116"/>
      <c r="DY862" s="1116"/>
      <c r="DZ862" s="1116"/>
      <c r="EA862" s="1116"/>
      <c r="EB862" s="1116"/>
      <c r="EC862" s="1116"/>
      <c r="ED862" s="1116"/>
      <c r="EE862" s="1116"/>
      <c r="EF862" s="1116"/>
      <c r="EG862" s="1116"/>
      <c r="EH862" s="1116"/>
      <c r="EI862" s="1116"/>
      <c r="EJ862" s="1116"/>
      <c r="EK862" s="1116"/>
      <c r="EL862" s="1116"/>
      <c r="EM862" s="1116"/>
      <c r="EN862" s="1116"/>
      <c r="EO862" s="1116"/>
      <c r="EP862" s="1116"/>
      <c r="EQ862" s="1116"/>
      <c r="ER862" s="1116"/>
      <c r="ES862" s="1116"/>
    </row>
    <row r="863" spans="1:149" ht="15" customHeight="1">
      <c r="A863" s="1185">
        <v>848</v>
      </c>
      <c r="B863" s="1041"/>
      <c r="C863" s="1050"/>
      <c r="D863" s="1050"/>
      <c r="E863" s="1050"/>
      <c r="F863" s="1049"/>
      <c r="G863" s="1457"/>
      <c r="H863" s="1049"/>
      <c r="I863" s="1049"/>
      <c r="J863" s="1050"/>
      <c r="K863" s="1050"/>
      <c r="L863" s="1043"/>
      <c r="M863" s="1051"/>
      <c r="N863" s="1051"/>
      <c r="O863" s="1052"/>
      <c r="P863" s="1051"/>
      <c r="Q863" s="1051"/>
      <c r="R863" s="1052"/>
      <c r="S863" s="1051"/>
      <c r="T863" s="1051"/>
      <c r="U863" s="1052"/>
      <c r="V863" s="1051"/>
      <c r="W863" s="1051"/>
      <c r="X863" s="1052"/>
      <c r="Y863" s="1053"/>
      <c r="Z863" s="1051"/>
      <c r="AA863" s="1051"/>
      <c r="AB863" s="1052"/>
      <c r="AC863" s="1051"/>
      <c r="AD863" s="1051"/>
      <c r="AE863" s="1052"/>
      <c r="AF863" s="1051"/>
      <c r="AG863" s="1051"/>
      <c r="AH863" s="1051"/>
      <c r="AI863" s="1051"/>
      <c r="AJ863" s="1052"/>
      <c r="AK863" s="1051"/>
      <c r="AL863" s="1051"/>
      <c r="AM863" s="1052"/>
      <c r="AN863" s="1051"/>
      <c r="AO863" s="1051"/>
      <c r="AP863" s="1052"/>
      <c r="AQ863" s="1051"/>
      <c r="AR863" s="1051"/>
      <c r="AS863" s="1052"/>
      <c r="AT863" s="1051"/>
      <c r="AU863" s="1051"/>
      <c r="AV863" s="1052"/>
      <c r="AW863" s="1051"/>
      <c r="AX863" s="1051"/>
      <c r="AY863" s="1053"/>
      <c r="AZ863" s="1051"/>
      <c r="BA863" s="1051"/>
      <c r="BB863" s="1053"/>
      <c r="BC863" s="1051"/>
      <c r="BD863" s="1051"/>
      <c r="BE863" s="1053"/>
      <c r="BF863" s="1051"/>
      <c r="BG863" s="1051"/>
      <c r="BH863" s="1053"/>
      <c r="BI863" s="1052"/>
      <c r="BJ863" s="1052"/>
      <c r="BK863" s="1052"/>
      <c r="BL863" s="1052"/>
      <c r="BM863" s="1052"/>
      <c r="BN863" s="1054"/>
      <c r="BO863" s="1076">
        <f t="shared" si="24"/>
        <v>0</v>
      </c>
      <c r="BP863" s="1051"/>
      <c r="BQ863" s="1052"/>
      <c r="BR863" s="1054"/>
      <c r="BS863" s="1053"/>
      <c r="BT863" s="1051"/>
      <c r="BU863" s="1051"/>
      <c r="BV863" s="1051"/>
      <c r="BW863" s="1052"/>
      <c r="BX863" s="1052"/>
      <c r="BY863" s="1052"/>
      <c r="BZ863" s="1052"/>
      <c r="CA863" s="1052"/>
      <c r="CB863" s="1053"/>
      <c r="CC863" s="1053"/>
      <c r="CD863" s="1053"/>
      <c r="CE863" s="1053"/>
      <c r="CF863" s="1053"/>
      <c r="CG863" s="1053"/>
      <c r="CH863" s="1053"/>
      <c r="CI863" s="1123"/>
      <c r="CJ863" s="1123"/>
      <c r="CK863" s="1123"/>
      <c r="CL863" s="1123"/>
      <c r="CM863" s="1123"/>
      <c r="CN863" s="1123"/>
      <c r="CO863" s="1123"/>
      <c r="CP863" s="1123"/>
      <c r="CQ863" s="1123"/>
      <c r="CR863" s="1123"/>
      <c r="CS863" s="1123"/>
      <c r="CT863" s="1123"/>
      <c r="CU863" s="1123"/>
      <c r="CV863" s="1123"/>
      <c r="CW863" s="1123"/>
      <c r="CX863" s="1123"/>
      <c r="CY863" s="1123"/>
      <c r="CZ863" s="1114"/>
      <c r="DA863" s="1114"/>
      <c r="DB863" s="1114"/>
      <c r="DC863" s="1114"/>
      <c r="DD863" s="1114"/>
      <c r="DE863" s="1114"/>
      <c r="DF863" s="1114"/>
      <c r="DG863" s="1114"/>
      <c r="DH863" s="1114"/>
      <c r="DI863" s="1114"/>
      <c r="DJ863" s="1114"/>
      <c r="DK863" s="1114"/>
      <c r="DL863" s="1114"/>
      <c r="DM863" s="1114"/>
      <c r="DN863" s="1114"/>
      <c r="DO863" s="1114"/>
      <c r="DP863" s="1114"/>
      <c r="DQ863" s="1114"/>
      <c r="DR863" s="1114"/>
      <c r="DS863" s="1114"/>
      <c r="DT863" s="1114"/>
      <c r="DU863" s="1114"/>
      <c r="DV863" s="1115"/>
      <c r="DW863" s="1116"/>
      <c r="DX863" s="1116"/>
      <c r="DY863" s="1116"/>
      <c r="DZ863" s="1116"/>
      <c r="EA863" s="1116"/>
      <c r="EB863" s="1116"/>
      <c r="EC863" s="1116"/>
      <c r="ED863" s="1116"/>
      <c r="EE863" s="1116"/>
      <c r="EF863" s="1116"/>
      <c r="EG863" s="1116"/>
      <c r="EH863" s="1116"/>
      <c r="EI863" s="1116"/>
      <c r="EJ863" s="1116"/>
      <c r="EK863" s="1116"/>
      <c r="EL863" s="1116"/>
      <c r="EM863" s="1116"/>
      <c r="EN863" s="1116"/>
      <c r="EO863" s="1116"/>
      <c r="EP863" s="1116"/>
      <c r="EQ863" s="1116"/>
      <c r="ER863" s="1116"/>
      <c r="ES863" s="1116"/>
    </row>
    <row r="864" spans="1:149" ht="15" customHeight="1">
      <c r="A864" s="1185">
        <v>849</v>
      </c>
      <c r="B864" s="1041"/>
      <c r="C864" s="1050"/>
      <c r="D864" s="1050"/>
      <c r="E864" s="1050"/>
      <c r="F864" s="1049"/>
      <c r="G864" s="1457"/>
      <c r="H864" s="1049"/>
      <c r="I864" s="1049"/>
      <c r="J864" s="1050"/>
      <c r="K864" s="1050"/>
      <c r="L864" s="1043"/>
      <c r="M864" s="1051"/>
      <c r="N864" s="1051"/>
      <c r="O864" s="1052"/>
      <c r="P864" s="1051"/>
      <c r="Q864" s="1051"/>
      <c r="R864" s="1052"/>
      <c r="S864" s="1051"/>
      <c r="T864" s="1051"/>
      <c r="U864" s="1052"/>
      <c r="V864" s="1051"/>
      <c r="W864" s="1051"/>
      <c r="X864" s="1052"/>
      <c r="Y864" s="1053"/>
      <c r="Z864" s="1051"/>
      <c r="AA864" s="1051"/>
      <c r="AB864" s="1052"/>
      <c r="AC864" s="1051"/>
      <c r="AD864" s="1051"/>
      <c r="AE864" s="1052"/>
      <c r="AF864" s="1051"/>
      <c r="AG864" s="1051"/>
      <c r="AH864" s="1051"/>
      <c r="AI864" s="1051"/>
      <c r="AJ864" s="1052"/>
      <c r="AK864" s="1051"/>
      <c r="AL864" s="1051"/>
      <c r="AM864" s="1052"/>
      <c r="AN864" s="1051"/>
      <c r="AO864" s="1051"/>
      <c r="AP864" s="1052"/>
      <c r="AQ864" s="1051"/>
      <c r="AR864" s="1051"/>
      <c r="AS864" s="1052"/>
      <c r="AT864" s="1051"/>
      <c r="AU864" s="1051"/>
      <c r="AV864" s="1052"/>
      <c r="AW864" s="1051"/>
      <c r="AX864" s="1051"/>
      <c r="AY864" s="1053"/>
      <c r="AZ864" s="1051"/>
      <c r="BA864" s="1051"/>
      <c r="BB864" s="1053"/>
      <c r="BC864" s="1051"/>
      <c r="BD864" s="1051"/>
      <c r="BE864" s="1053"/>
      <c r="BF864" s="1051"/>
      <c r="BG864" s="1051"/>
      <c r="BH864" s="1053"/>
      <c r="BI864" s="1052"/>
      <c r="BJ864" s="1052"/>
      <c r="BK864" s="1052"/>
      <c r="BL864" s="1052"/>
      <c r="BM864" s="1052"/>
      <c r="BN864" s="1054"/>
      <c r="BO864" s="1076">
        <f t="shared" si="24"/>
        <v>0</v>
      </c>
      <c r="BP864" s="1051"/>
      <c r="BQ864" s="1052"/>
      <c r="BR864" s="1054"/>
      <c r="BS864" s="1053"/>
      <c r="BT864" s="1051"/>
      <c r="BU864" s="1051"/>
      <c r="BV864" s="1051"/>
      <c r="BW864" s="1052"/>
      <c r="BX864" s="1052"/>
      <c r="BY864" s="1052"/>
      <c r="BZ864" s="1052"/>
      <c r="CA864" s="1052"/>
      <c r="CB864" s="1053"/>
      <c r="CC864" s="1053"/>
      <c r="CD864" s="1053"/>
      <c r="CE864" s="1053"/>
      <c r="CF864" s="1053"/>
      <c r="CG864" s="1053"/>
      <c r="CH864" s="1053"/>
      <c r="CI864" s="1123"/>
      <c r="CJ864" s="1123"/>
      <c r="CK864" s="1123"/>
      <c r="CL864" s="1123"/>
      <c r="CM864" s="1123"/>
      <c r="CN864" s="1123"/>
      <c r="CO864" s="1123"/>
      <c r="CP864" s="1123"/>
      <c r="CQ864" s="1123"/>
      <c r="CR864" s="1123"/>
      <c r="CS864" s="1123"/>
      <c r="CT864" s="1123"/>
      <c r="CU864" s="1123"/>
      <c r="CV864" s="1123"/>
      <c r="CW864" s="1123"/>
      <c r="CX864" s="1123"/>
      <c r="CY864" s="1123"/>
      <c r="CZ864" s="1114"/>
      <c r="DA864" s="1114"/>
      <c r="DB864" s="1114"/>
      <c r="DC864" s="1114"/>
      <c r="DD864" s="1114"/>
      <c r="DE864" s="1114"/>
      <c r="DF864" s="1114"/>
      <c r="DG864" s="1114"/>
      <c r="DH864" s="1114"/>
      <c r="DI864" s="1114"/>
      <c r="DJ864" s="1114"/>
      <c r="DK864" s="1114"/>
      <c r="DL864" s="1114"/>
      <c r="DM864" s="1114"/>
      <c r="DN864" s="1114"/>
      <c r="DO864" s="1114"/>
      <c r="DP864" s="1114"/>
      <c r="DQ864" s="1114"/>
      <c r="DR864" s="1114"/>
      <c r="DS864" s="1114"/>
      <c r="DT864" s="1114"/>
      <c r="DU864" s="1114"/>
      <c r="DV864" s="1115"/>
      <c r="DW864" s="1116"/>
      <c r="DX864" s="1116"/>
      <c r="DY864" s="1116"/>
      <c r="DZ864" s="1116"/>
      <c r="EA864" s="1116"/>
      <c r="EB864" s="1116"/>
      <c r="EC864" s="1116"/>
      <c r="ED864" s="1116"/>
      <c r="EE864" s="1116"/>
      <c r="EF864" s="1116"/>
      <c r="EG864" s="1116"/>
      <c r="EH864" s="1116"/>
      <c r="EI864" s="1116"/>
      <c r="EJ864" s="1116"/>
      <c r="EK864" s="1116"/>
      <c r="EL864" s="1116"/>
      <c r="EM864" s="1116"/>
      <c r="EN864" s="1116"/>
      <c r="EO864" s="1116"/>
      <c r="EP864" s="1116"/>
      <c r="EQ864" s="1116"/>
      <c r="ER864" s="1116"/>
      <c r="ES864" s="1116"/>
    </row>
    <row r="865" spans="1:149" ht="15" customHeight="1">
      <c r="A865" s="1185">
        <v>850</v>
      </c>
      <c r="B865" s="1041"/>
      <c r="C865" s="1050"/>
      <c r="D865" s="1050"/>
      <c r="E865" s="1050"/>
      <c r="F865" s="1049"/>
      <c r="G865" s="1457"/>
      <c r="H865" s="1049"/>
      <c r="I865" s="1049"/>
      <c r="J865" s="1050"/>
      <c r="K865" s="1050"/>
      <c r="L865" s="1043"/>
      <c r="M865" s="1051"/>
      <c r="N865" s="1051"/>
      <c r="O865" s="1052"/>
      <c r="P865" s="1051"/>
      <c r="Q865" s="1051"/>
      <c r="R865" s="1052"/>
      <c r="S865" s="1051"/>
      <c r="T865" s="1051"/>
      <c r="U865" s="1052"/>
      <c r="V865" s="1051"/>
      <c r="W865" s="1051"/>
      <c r="X865" s="1052"/>
      <c r="Y865" s="1053"/>
      <c r="Z865" s="1051"/>
      <c r="AA865" s="1051"/>
      <c r="AB865" s="1052"/>
      <c r="AC865" s="1051"/>
      <c r="AD865" s="1051"/>
      <c r="AE865" s="1052"/>
      <c r="AF865" s="1051"/>
      <c r="AG865" s="1051"/>
      <c r="AH865" s="1051"/>
      <c r="AI865" s="1051"/>
      <c r="AJ865" s="1052"/>
      <c r="AK865" s="1051"/>
      <c r="AL865" s="1051"/>
      <c r="AM865" s="1052"/>
      <c r="AN865" s="1051"/>
      <c r="AO865" s="1051"/>
      <c r="AP865" s="1052"/>
      <c r="AQ865" s="1051"/>
      <c r="AR865" s="1051"/>
      <c r="AS865" s="1052"/>
      <c r="AT865" s="1051"/>
      <c r="AU865" s="1051"/>
      <c r="AV865" s="1052"/>
      <c r="AW865" s="1051"/>
      <c r="AX865" s="1051"/>
      <c r="AY865" s="1053"/>
      <c r="AZ865" s="1051"/>
      <c r="BA865" s="1051"/>
      <c r="BB865" s="1053"/>
      <c r="BC865" s="1051"/>
      <c r="BD865" s="1051"/>
      <c r="BE865" s="1053"/>
      <c r="BF865" s="1051"/>
      <c r="BG865" s="1051"/>
      <c r="BH865" s="1053"/>
      <c r="BI865" s="1052"/>
      <c r="BJ865" s="1052"/>
      <c r="BK865" s="1052"/>
      <c r="BL865" s="1052"/>
      <c r="BM865" s="1052"/>
      <c r="BN865" s="1054"/>
      <c r="BO865" s="1076">
        <f t="shared" si="24"/>
        <v>0</v>
      </c>
      <c r="BP865" s="1051"/>
      <c r="BQ865" s="1052"/>
      <c r="BR865" s="1054"/>
      <c r="BS865" s="1053"/>
      <c r="BT865" s="1051"/>
      <c r="BU865" s="1051"/>
      <c r="BV865" s="1051"/>
      <c r="BW865" s="1052"/>
      <c r="BX865" s="1052"/>
      <c r="BY865" s="1052"/>
      <c r="BZ865" s="1052"/>
      <c r="CA865" s="1052"/>
      <c r="CB865" s="1053"/>
      <c r="CC865" s="1053"/>
      <c r="CD865" s="1053"/>
      <c r="CE865" s="1053"/>
      <c r="CF865" s="1053"/>
      <c r="CG865" s="1053"/>
      <c r="CH865" s="1053"/>
      <c r="CI865" s="1123"/>
      <c r="CJ865" s="1123"/>
      <c r="CK865" s="1123"/>
      <c r="CL865" s="1123"/>
      <c r="CM865" s="1123"/>
      <c r="CN865" s="1123"/>
      <c r="CO865" s="1123"/>
      <c r="CP865" s="1123"/>
      <c r="CQ865" s="1123"/>
      <c r="CR865" s="1123"/>
      <c r="CS865" s="1123"/>
      <c r="CT865" s="1123"/>
      <c r="CU865" s="1123"/>
      <c r="CV865" s="1123"/>
      <c r="CW865" s="1123"/>
      <c r="CX865" s="1123"/>
      <c r="CY865" s="1123"/>
      <c r="CZ865" s="1114"/>
      <c r="DA865" s="1114"/>
      <c r="DB865" s="1114"/>
      <c r="DC865" s="1114"/>
      <c r="DD865" s="1114"/>
      <c r="DE865" s="1114"/>
      <c r="DF865" s="1114"/>
      <c r="DG865" s="1114"/>
      <c r="DH865" s="1114"/>
      <c r="DI865" s="1114"/>
      <c r="DJ865" s="1114"/>
      <c r="DK865" s="1114"/>
      <c r="DL865" s="1114"/>
      <c r="DM865" s="1114"/>
      <c r="DN865" s="1114"/>
      <c r="DO865" s="1114"/>
      <c r="DP865" s="1114"/>
      <c r="DQ865" s="1114"/>
      <c r="DR865" s="1114"/>
      <c r="DS865" s="1114"/>
      <c r="DT865" s="1114"/>
      <c r="DU865" s="1114"/>
      <c r="DV865" s="1115"/>
      <c r="DW865" s="1116"/>
      <c r="DX865" s="1116"/>
      <c r="DY865" s="1116"/>
      <c r="DZ865" s="1116"/>
      <c r="EA865" s="1116"/>
      <c r="EB865" s="1116"/>
      <c r="EC865" s="1116"/>
      <c r="ED865" s="1116"/>
      <c r="EE865" s="1116"/>
      <c r="EF865" s="1116"/>
      <c r="EG865" s="1116"/>
      <c r="EH865" s="1116"/>
      <c r="EI865" s="1116"/>
      <c r="EJ865" s="1116"/>
      <c r="EK865" s="1116"/>
      <c r="EL865" s="1116"/>
      <c r="EM865" s="1116"/>
      <c r="EN865" s="1116"/>
      <c r="EO865" s="1116"/>
      <c r="EP865" s="1116"/>
      <c r="EQ865" s="1116"/>
      <c r="ER865" s="1116"/>
      <c r="ES865" s="1116"/>
    </row>
    <row r="866" spans="1:149" ht="15" customHeight="1">
      <c r="A866" s="1185">
        <v>851</v>
      </c>
      <c r="B866" s="1041"/>
      <c r="C866" s="1050"/>
      <c r="D866" s="1050"/>
      <c r="E866" s="1050"/>
      <c r="F866" s="1049"/>
      <c r="G866" s="1457"/>
      <c r="H866" s="1049"/>
      <c r="I866" s="1049"/>
      <c r="J866" s="1050"/>
      <c r="K866" s="1050"/>
      <c r="L866" s="1043"/>
      <c r="M866" s="1051"/>
      <c r="N866" s="1051"/>
      <c r="O866" s="1052"/>
      <c r="P866" s="1051"/>
      <c r="Q866" s="1051"/>
      <c r="R866" s="1052"/>
      <c r="S866" s="1051"/>
      <c r="T866" s="1051"/>
      <c r="U866" s="1052"/>
      <c r="V866" s="1051"/>
      <c r="W866" s="1051"/>
      <c r="X866" s="1052"/>
      <c r="Y866" s="1053"/>
      <c r="Z866" s="1051"/>
      <c r="AA866" s="1051"/>
      <c r="AB866" s="1052"/>
      <c r="AC866" s="1051"/>
      <c r="AD866" s="1051"/>
      <c r="AE866" s="1052"/>
      <c r="AF866" s="1051"/>
      <c r="AG866" s="1051"/>
      <c r="AH866" s="1051"/>
      <c r="AI866" s="1051"/>
      <c r="AJ866" s="1052"/>
      <c r="AK866" s="1051"/>
      <c r="AL866" s="1051"/>
      <c r="AM866" s="1052"/>
      <c r="AN866" s="1051"/>
      <c r="AO866" s="1051"/>
      <c r="AP866" s="1052"/>
      <c r="AQ866" s="1051"/>
      <c r="AR866" s="1051"/>
      <c r="AS866" s="1052"/>
      <c r="AT866" s="1051"/>
      <c r="AU866" s="1051"/>
      <c r="AV866" s="1052"/>
      <c r="AW866" s="1051"/>
      <c r="AX866" s="1051"/>
      <c r="AY866" s="1053"/>
      <c r="AZ866" s="1051"/>
      <c r="BA866" s="1051"/>
      <c r="BB866" s="1053"/>
      <c r="BC866" s="1051"/>
      <c r="BD866" s="1051"/>
      <c r="BE866" s="1053"/>
      <c r="BF866" s="1051"/>
      <c r="BG866" s="1051"/>
      <c r="BH866" s="1053"/>
      <c r="BI866" s="1052"/>
      <c r="BJ866" s="1052"/>
      <c r="BK866" s="1052"/>
      <c r="BL866" s="1052"/>
      <c r="BM866" s="1052"/>
      <c r="BN866" s="1054"/>
      <c r="BO866" s="1076">
        <f t="shared" si="24"/>
        <v>0</v>
      </c>
      <c r="BP866" s="1051"/>
      <c r="BQ866" s="1052"/>
      <c r="BR866" s="1054"/>
      <c r="BS866" s="1053"/>
      <c r="BT866" s="1051"/>
      <c r="BU866" s="1051"/>
      <c r="BV866" s="1051"/>
      <c r="BW866" s="1052"/>
      <c r="BX866" s="1052"/>
      <c r="BY866" s="1052"/>
      <c r="BZ866" s="1052"/>
      <c r="CA866" s="1052"/>
      <c r="CB866" s="1053"/>
      <c r="CC866" s="1053"/>
      <c r="CD866" s="1053"/>
      <c r="CE866" s="1053"/>
      <c r="CF866" s="1053"/>
      <c r="CG866" s="1053"/>
      <c r="CH866" s="1053"/>
      <c r="CI866" s="1123"/>
      <c r="CJ866" s="1123"/>
      <c r="CK866" s="1123"/>
      <c r="CL866" s="1123"/>
      <c r="CM866" s="1123"/>
      <c r="CN866" s="1123"/>
      <c r="CO866" s="1123"/>
      <c r="CP866" s="1123"/>
      <c r="CQ866" s="1123"/>
      <c r="CR866" s="1123"/>
      <c r="CS866" s="1123"/>
      <c r="CT866" s="1123"/>
      <c r="CU866" s="1123"/>
      <c r="CV866" s="1123"/>
      <c r="CW866" s="1123"/>
      <c r="CX866" s="1123"/>
      <c r="CY866" s="1123"/>
      <c r="CZ866" s="1114"/>
      <c r="DA866" s="1114"/>
      <c r="DB866" s="1114"/>
      <c r="DC866" s="1114"/>
      <c r="DD866" s="1114"/>
      <c r="DE866" s="1114"/>
      <c r="DF866" s="1114"/>
      <c r="DG866" s="1114"/>
      <c r="DH866" s="1114"/>
      <c r="DI866" s="1114"/>
      <c r="DJ866" s="1114"/>
      <c r="DK866" s="1114"/>
      <c r="DL866" s="1114"/>
      <c r="DM866" s="1114"/>
      <c r="DN866" s="1114"/>
      <c r="DO866" s="1114"/>
      <c r="DP866" s="1114"/>
      <c r="DQ866" s="1114"/>
      <c r="DR866" s="1114"/>
      <c r="DS866" s="1114"/>
      <c r="DT866" s="1114"/>
      <c r="DU866" s="1114"/>
      <c r="DV866" s="1115"/>
      <c r="DW866" s="1116"/>
      <c r="DX866" s="1116"/>
      <c r="DY866" s="1116"/>
      <c r="DZ866" s="1116"/>
      <c r="EA866" s="1116"/>
      <c r="EB866" s="1116"/>
      <c r="EC866" s="1116"/>
      <c r="ED866" s="1116"/>
      <c r="EE866" s="1116"/>
      <c r="EF866" s="1116"/>
      <c r="EG866" s="1116"/>
      <c r="EH866" s="1116"/>
      <c r="EI866" s="1116"/>
      <c r="EJ866" s="1116"/>
      <c r="EK866" s="1116"/>
      <c r="EL866" s="1116"/>
      <c r="EM866" s="1116"/>
      <c r="EN866" s="1116"/>
      <c r="EO866" s="1116"/>
      <c r="EP866" s="1116"/>
      <c r="EQ866" s="1116"/>
      <c r="ER866" s="1116"/>
      <c r="ES866" s="1116"/>
    </row>
    <row r="867" spans="1:149" ht="15" customHeight="1">
      <c r="A867" s="1185">
        <v>852</v>
      </c>
      <c r="B867" s="1041"/>
      <c r="C867" s="1050"/>
      <c r="D867" s="1050"/>
      <c r="E867" s="1050"/>
      <c r="F867" s="1049"/>
      <c r="G867" s="1457"/>
      <c r="H867" s="1049"/>
      <c r="I867" s="1049"/>
      <c r="J867" s="1050"/>
      <c r="K867" s="1050"/>
      <c r="L867" s="1043"/>
      <c r="M867" s="1051"/>
      <c r="N867" s="1051"/>
      <c r="O867" s="1052"/>
      <c r="P867" s="1051"/>
      <c r="Q867" s="1051"/>
      <c r="R867" s="1052"/>
      <c r="S867" s="1051"/>
      <c r="T867" s="1051"/>
      <c r="U867" s="1052"/>
      <c r="V867" s="1051"/>
      <c r="W867" s="1051"/>
      <c r="X867" s="1052"/>
      <c r="Y867" s="1053"/>
      <c r="Z867" s="1051"/>
      <c r="AA867" s="1051"/>
      <c r="AB867" s="1052"/>
      <c r="AC867" s="1051"/>
      <c r="AD867" s="1051"/>
      <c r="AE867" s="1052"/>
      <c r="AF867" s="1051"/>
      <c r="AG867" s="1051"/>
      <c r="AH867" s="1051"/>
      <c r="AI867" s="1051"/>
      <c r="AJ867" s="1052"/>
      <c r="AK867" s="1051"/>
      <c r="AL867" s="1051"/>
      <c r="AM867" s="1052"/>
      <c r="AN867" s="1051"/>
      <c r="AO867" s="1051"/>
      <c r="AP867" s="1052"/>
      <c r="AQ867" s="1051"/>
      <c r="AR867" s="1051"/>
      <c r="AS867" s="1052"/>
      <c r="AT867" s="1051"/>
      <c r="AU867" s="1051"/>
      <c r="AV867" s="1052"/>
      <c r="AW867" s="1051"/>
      <c r="AX867" s="1051"/>
      <c r="AY867" s="1053"/>
      <c r="AZ867" s="1051"/>
      <c r="BA867" s="1051"/>
      <c r="BB867" s="1053"/>
      <c r="BC867" s="1051"/>
      <c r="BD867" s="1051"/>
      <c r="BE867" s="1053"/>
      <c r="BF867" s="1051"/>
      <c r="BG867" s="1051"/>
      <c r="BH867" s="1053"/>
      <c r="BI867" s="1052"/>
      <c r="BJ867" s="1052"/>
      <c r="BK867" s="1052"/>
      <c r="BL867" s="1052"/>
      <c r="BM867" s="1052"/>
      <c r="BN867" s="1054"/>
      <c r="BO867" s="1076">
        <f t="shared" si="24"/>
        <v>0</v>
      </c>
      <c r="BP867" s="1051"/>
      <c r="BQ867" s="1052"/>
      <c r="BR867" s="1054"/>
      <c r="BS867" s="1053"/>
      <c r="BT867" s="1051"/>
      <c r="BU867" s="1051"/>
      <c r="BV867" s="1051"/>
      <c r="BW867" s="1052"/>
      <c r="BX867" s="1052"/>
      <c r="BY867" s="1052"/>
      <c r="BZ867" s="1052"/>
      <c r="CA867" s="1052"/>
      <c r="CB867" s="1053"/>
      <c r="CC867" s="1053"/>
      <c r="CD867" s="1053"/>
      <c r="CE867" s="1053"/>
      <c r="CF867" s="1053"/>
      <c r="CG867" s="1053"/>
      <c r="CH867" s="1053"/>
      <c r="CI867" s="1123"/>
      <c r="CJ867" s="1123"/>
      <c r="CK867" s="1123"/>
      <c r="CL867" s="1123"/>
      <c r="CM867" s="1123"/>
      <c r="CN867" s="1123"/>
      <c r="CO867" s="1123"/>
      <c r="CP867" s="1123"/>
      <c r="CQ867" s="1123"/>
      <c r="CR867" s="1123"/>
      <c r="CS867" s="1123"/>
      <c r="CT867" s="1123"/>
      <c r="CU867" s="1123"/>
      <c r="CV867" s="1123"/>
      <c r="CW867" s="1123"/>
      <c r="CX867" s="1123"/>
      <c r="CY867" s="1123"/>
      <c r="CZ867" s="1114"/>
      <c r="DA867" s="1114"/>
      <c r="DB867" s="1114"/>
      <c r="DC867" s="1114"/>
      <c r="DD867" s="1114"/>
      <c r="DE867" s="1114"/>
      <c r="DF867" s="1114"/>
      <c r="DG867" s="1114"/>
      <c r="DH867" s="1114"/>
      <c r="DI867" s="1114"/>
      <c r="DJ867" s="1114"/>
      <c r="DK867" s="1114"/>
      <c r="DL867" s="1114"/>
      <c r="DM867" s="1114"/>
      <c r="DN867" s="1114"/>
      <c r="DO867" s="1114"/>
      <c r="DP867" s="1114"/>
      <c r="DQ867" s="1114"/>
      <c r="DR867" s="1114"/>
      <c r="DS867" s="1114"/>
      <c r="DT867" s="1114"/>
      <c r="DU867" s="1114"/>
      <c r="DV867" s="1115"/>
      <c r="DW867" s="1116"/>
      <c r="DX867" s="1116"/>
      <c r="DY867" s="1116"/>
      <c r="DZ867" s="1116"/>
      <c r="EA867" s="1116"/>
      <c r="EB867" s="1116"/>
      <c r="EC867" s="1116"/>
      <c r="ED867" s="1116"/>
      <c r="EE867" s="1116"/>
      <c r="EF867" s="1116"/>
      <c r="EG867" s="1116"/>
      <c r="EH867" s="1116"/>
      <c r="EI867" s="1116"/>
      <c r="EJ867" s="1116"/>
      <c r="EK867" s="1116"/>
      <c r="EL867" s="1116"/>
      <c r="EM867" s="1116"/>
      <c r="EN867" s="1116"/>
      <c r="EO867" s="1116"/>
      <c r="EP867" s="1116"/>
      <c r="EQ867" s="1116"/>
      <c r="ER867" s="1116"/>
      <c r="ES867" s="1116"/>
    </row>
    <row r="868" spans="1:149" ht="15" customHeight="1">
      <c r="A868" s="1185">
        <v>853</v>
      </c>
      <c r="B868" s="1041"/>
      <c r="C868" s="1050"/>
      <c r="D868" s="1050"/>
      <c r="E868" s="1050"/>
      <c r="F868" s="1049"/>
      <c r="G868" s="1457"/>
      <c r="H868" s="1049"/>
      <c r="I868" s="1049"/>
      <c r="J868" s="1050"/>
      <c r="K868" s="1050"/>
      <c r="L868" s="1043"/>
      <c r="M868" s="1051"/>
      <c r="N868" s="1051"/>
      <c r="O868" s="1052"/>
      <c r="P868" s="1051"/>
      <c r="Q868" s="1051"/>
      <c r="R868" s="1052"/>
      <c r="S868" s="1051"/>
      <c r="T868" s="1051"/>
      <c r="U868" s="1052"/>
      <c r="V868" s="1051"/>
      <c r="W868" s="1051"/>
      <c r="X868" s="1052"/>
      <c r="Y868" s="1053"/>
      <c r="Z868" s="1051"/>
      <c r="AA868" s="1051"/>
      <c r="AB868" s="1052"/>
      <c r="AC868" s="1051"/>
      <c r="AD868" s="1051"/>
      <c r="AE868" s="1052"/>
      <c r="AF868" s="1051"/>
      <c r="AG868" s="1051"/>
      <c r="AH868" s="1051"/>
      <c r="AI868" s="1051"/>
      <c r="AJ868" s="1052"/>
      <c r="AK868" s="1051"/>
      <c r="AL868" s="1051"/>
      <c r="AM868" s="1052"/>
      <c r="AN868" s="1051"/>
      <c r="AO868" s="1051"/>
      <c r="AP868" s="1052"/>
      <c r="AQ868" s="1051"/>
      <c r="AR868" s="1051"/>
      <c r="AS868" s="1052"/>
      <c r="AT868" s="1051"/>
      <c r="AU868" s="1051"/>
      <c r="AV868" s="1052"/>
      <c r="AW868" s="1051"/>
      <c r="AX868" s="1051"/>
      <c r="AY868" s="1053"/>
      <c r="AZ868" s="1051"/>
      <c r="BA868" s="1051"/>
      <c r="BB868" s="1053"/>
      <c r="BC868" s="1051"/>
      <c r="BD868" s="1051"/>
      <c r="BE868" s="1053"/>
      <c r="BF868" s="1051"/>
      <c r="BG868" s="1051"/>
      <c r="BH868" s="1053"/>
      <c r="BI868" s="1052"/>
      <c r="BJ868" s="1052"/>
      <c r="BK868" s="1052"/>
      <c r="BL868" s="1052"/>
      <c r="BM868" s="1052"/>
      <c r="BN868" s="1054"/>
      <c r="BO868" s="1076">
        <f t="shared" si="24"/>
        <v>0</v>
      </c>
      <c r="BP868" s="1051"/>
      <c r="BQ868" s="1052"/>
      <c r="BR868" s="1054"/>
      <c r="BS868" s="1053"/>
      <c r="BT868" s="1051"/>
      <c r="BU868" s="1051"/>
      <c r="BV868" s="1051"/>
      <c r="BW868" s="1052"/>
      <c r="BX868" s="1052"/>
      <c r="BY868" s="1052"/>
      <c r="BZ868" s="1052"/>
      <c r="CA868" s="1052"/>
      <c r="CB868" s="1053"/>
      <c r="CC868" s="1053"/>
      <c r="CD868" s="1053"/>
      <c r="CE868" s="1053"/>
      <c r="CF868" s="1053"/>
      <c r="CG868" s="1053"/>
      <c r="CH868" s="1053"/>
      <c r="CI868" s="1123"/>
      <c r="CJ868" s="1123"/>
      <c r="CK868" s="1123"/>
      <c r="CL868" s="1123"/>
      <c r="CM868" s="1123"/>
      <c r="CN868" s="1123"/>
      <c r="CO868" s="1123"/>
      <c r="CP868" s="1123"/>
      <c r="CQ868" s="1123"/>
      <c r="CR868" s="1123"/>
      <c r="CS868" s="1123"/>
      <c r="CT868" s="1123"/>
      <c r="CU868" s="1123"/>
      <c r="CV868" s="1123"/>
      <c r="CW868" s="1123"/>
      <c r="CX868" s="1123"/>
      <c r="CY868" s="1123"/>
      <c r="CZ868" s="1114"/>
      <c r="DA868" s="1114"/>
      <c r="DB868" s="1114"/>
      <c r="DC868" s="1114"/>
      <c r="DD868" s="1114"/>
      <c r="DE868" s="1114"/>
      <c r="DF868" s="1114"/>
      <c r="DG868" s="1114"/>
      <c r="DH868" s="1114"/>
      <c r="DI868" s="1114"/>
      <c r="DJ868" s="1114"/>
      <c r="DK868" s="1114"/>
      <c r="DL868" s="1114"/>
      <c r="DM868" s="1114"/>
      <c r="DN868" s="1114"/>
      <c r="DO868" s="1114"/>
      <c r="DP868" s="1114"/>
      <c r="DQ868" s="1114"/>
      <c r="DR868" s="1114"/>
      <c r="DS868" s="1114"/>
      <c r="DT868" s="1114"/>
      <c r="DU868" s="1114"/>
      <c r="DV868" s="1115"/>
      <c r="DW868" s="1116"/>
      <c r="DX868" s="1116"/>
      <c r="DY868" s="1116"/>
      <c r="DZ868" s="1116"/>
      <c r="EA868" s="1116"/>
      <c r="EB868" s="1116"/>
      <c r="EC868" s="1116"/>
      <c r="ED868" s="1116"/>
      <c r="EE868" s="1116"/>
      <c r="EF868" s="1116"/>
      <c r="EG868" s="1116"/>
      <c r="EH868" s="1116"/>
      <c r="EI868" s="1116"/>
      <c r="EJ868" s="1116"/>
      <c r="EK868" s="1116"/>
      <c r="EL868" s="1116"/>
      <c r="EM868" s="1116"/>
      <c r="EN868" s="1116"/>
      <c r="EO868" s="1116"/>
      <c r="EP868" s="1116"/>
      <c r="EQ868" s="1116"/>
      <c r="ER868" s="1116"/>
      <c r="ES868" s="1116"/>
    </row>
    <row r="869" spans="1:149" ht="15" customHeight="1">
      <c r="A869" s="1185">
        <v>854</v>
      </c>
      <c r="B869" s="1041"/>
      <c r="C869" s="1050"/>
      <c r="D869" s="1050"/>
      <c r="E869" s="1050"/>
      <c r="F869" s="1049"/>
      <c r="G869" s="1457"/>
      <c r="H869" s="1049"/>
      <c r="I869" s="1049"/>
      <c r="J869" s="1050"/>
      <c r="K869" s="1050"/>
      <c r="L869" s="1043"/>
      <c r="M869" s="1051"/>
      <c r="N869" s="1051"/>
      <c r="O869" s="1052"/>
      <c r="P869" s="1051"/>
      <c r="Q869" s="1051"/>
      <c r="R869" s="1052"/>
      <c r="S869" s="1051"/>
      <c r="T869" s="1051"/>
      <c r="U869" s="1052"/>
      <c r="V869" s="1051"/>
      <c r="W869" s="1051"/>
      <c r="X869" s="1052"/>
      <c r="Y869" s="1053"/>
      <c r="Z869" s="1051"/>
      <c r="AA869" s="1051"/>
      <c r="AB869" s="1052"/>
      <c r="AC869" s="1051"/>
      <c r="AD869" s="1051"/>
      <c r="AE869" s="1052"/>
      <c r="AF869" s="1051"/>
      <c r="AG869" s="1051"/>
      <c r="AH869" s="1051"/>
      <c r="AI869" s="1051"/>
      <c r="AJ869" s="1052"/>
      <c r="AK869" s="1051"/>
      <c r="AL869" s="1051"/>
      <c r="AM869" s="1052"/>
      <c r="AN869" s="1051"/>
      <c r="AO869" s="1051"/>
      <c r="AP869" s="1052"/>
      <c r="AQ869" s="1051"/>
      <c r="AR869" s="1051"/>
      <c r="AS869" s="1052"/>
      <c r="AT869" s="1051"/>
      <c r="AU869" s="1051"/>
      <c r="AV869" s="1052"/>
      <c r="AW869" s="1051"/>
      <c r="AX869" s="1051"/>
      <c r="AY869" s="1053"/>
      <c r="AZ869" s="1051"/>
      <c r="BA869" s="1051"/>
      <c r="BB869" s="1053"/>
      <c r="BC869" s="1051"/>
      <c r="BD869" s="1051"/>
      <c r="BE869" s="1053"/>
      <c r="BF869" s="1051"/>
      <c r="BG869" s="1051"/>
      <c r="BH869" s="1053"/>
      <c r="BI869" s="1052"/>
      <c r="BJ869" s="1052"/>
      <c r="BK869" s="1052"/>
      <c r="BL869" s="1052"/>
      <c r="BM869" s="1052"/>
      <c r="BN869" s="1054"/>
      <c r="BO869" s="1076">
        <f t="shared" si="24"/>
        <v>0</v>
      </c>
      <c r="BP869" s="1051"/>
      <c r="BQ869" s="1052"/>
      <c r="BR869" s="1054"/>
      <c r="BS869" s="1053"/>
      <c r="BT869" s="1051"/>
      <c r="BU869" s="1051"/>
      <c r="BV869" s="1051"/>
      <c r="BW869" s="1052"/>
      <c r="BX869" s="1052"/>
      <c r="BY869" s="1052"/>
      <c r="BZ869" s="1052"/>
      <c r="CA869" s="1052"/>
      <c r="CB869" s="1053"/>
      <c r="CC869" s="1053"/>
      <c r="CD869" s="1053"/>
      <c r="CE869" s="1053"/>
      <c r="CF869" s="1053"/>
      <c r="CG869" s="1053"/>
      <c r="CH869" s="1053"/>
      <c r="CI869" s="1123"/>
      <c r="CJ869" s="1123"/>
      <c r="CK869" s="1123"/>
      <c r="CL869" s="1123"/>
      <c r="CM869" s="1123"/>
      <c r="CN869" s="1123"/>
      <c r="CO869" s="1123"/>
      <c r="CP869" s="1123"/>
      <c r="CQ869" s="1123"/>
      <c r="CR869" s="1123"/>
      <c r="CS869" s="1123"/>
      <c r="CT869" s="1123"/>
      <c r="CU869" s="1123"/>
      <c r="CV869" s="1123"/>
      <c r="CW869" s="1123"/>
      <c r="CX869" s="1123"/>
      <c r="CY869" s="1123"/>
      <c r="CZ869" s="1114"/>
      <c r="DA869" s="1114"/>
      <c r="DB869" s="1114"/>
      <c r="DC869" s="1114"/>
      <c r="DD869" s="1114"/>
      <c r="DE869" s="1114"/>
      <c r="DF869" s="1114"/>
      <c r="DG869" s="1114"/>
      <c r="DH869" s="1114"/>
      <c r="DI869" s="1114"/>
      <c r="DJ869" s="1114"/>
      <c r="DK869" s="1114"/>
      <c r="DL869" s="1114"/>
      <c r="DM869" s="1114"/>
      <c r="DN869" s="1114"/>
      <c r="DO869" s="1114"/>
      <c r="DP869" s="1114"/>
      <c r="DQ869" s="1114"/>
      <c r="DR869" s="1114"/>
      <c r="DS869" s="1114"/>
      <c r="DT869" s="1114"/>
      <c r="DU869" s="1114"/>
      <c r="DV869" s="1115"/>
      <c r="DW869" s="1116"/>
      <c r="DX869" s="1116"/>
      <c r="DY869" s="1116"/>
      <c r="DZ869" s="1116"/>
      <c r="EA869" s="1116"/>
      <c r="EB869" s="1116"/>
      <c r="EC869" s="1116"/>
      <c r="ED869" s="1116"/>
      <c r="EE869" s="1116"/>
      <c r="EF869" s="1116"/>
      <c r="EG869" s="1116"/>
      <c r="EH869" s="1116"/>
      <c r="EI869" s="1116"/>
      <c r="EJ869" s="1116"/>
      <c r="EK869" s="1116"/>
      <c r="EL869" s="1116"/>
      <c r="EM869" s="1116"/>
      <c r="EN869" s="1116"/>
      <c r="EO869" s="1116"/>
      <c r="EP869" s="1116"/>
      <c r="EQ869" s="1116"/>
      <c r="ER869" s="1116"/>
      <c r="ES869" s="1116"/>
    </row>
    <row r="870" spans="1:149" ht="15" customHeight="1">
      <c r="A870" s="1185">
        <v>855</v>
      </c>
      <c r="B870" s="1041"/>
      <c r="C870" s="1050"/>
      <c r="D870" s="1050"/>
      <c r="E870" s="1050"/>
      <c r="F870" s="1049"/>
      <c r="G870" s="1457"/>
      <c r="H870" s="1049"/>
      <c r="I870" s="1049"/>
      <c r="J870" s="1050"/>
      <c r="K870" s="1050"/>
      <c r="L870" s="1043"/>
      <c r="M870" s="1051"/>
      <c r="N870" s="1051"/>
      <c r="O870" s="1052"/>
      <c r="P870" s="1051"/>
      <c r="Q870" s="1051"/>
      <c r="R870" s="1052"/>
      <c r="S870" s="1051"/>
      <c r="T870" s="1051"/>
      <c r="U870" s="1052"/>
      <c r="V870" s="1051"/>
      <c r="W870" s="1051"/>
      <c r="X870" s="1052"/>
      <c r="Y870" s="1053"/>
      <c r="Z870" s="1051"/>
      <c r="AA870" s="1051"/>
      <c r="AB870" s="1052"/>
      <c r="AC870" s="1051"/>
      <c r="AD870" s="1051"/>
      <c r="AE870" s="1052"/>
      <c r="AF870" s="1051"/>
      <c r="AG870" s="1051"/>
      <c r="AH870" s="1051"/>
      <c r="AI870" s="1051"/>
      <c r="AJ870" s="1052"/>
      <c r="AK870" s="1051"/>
      <c r="AL870" s="1051"/>
      <c r="AM870" s="1052"/>
      <c r="AN870" s="1051"/>
      <c r="AO870" s="1051"/>
      <c r="AP870" s="1052"/>
      <c r="AQ870" s="1051"/>
      <c r="AR870" s="1051"/>
      <c r="AS870" s="1052"/>
      <c r="AT870" s="1051"/>
      <c r="AU870" s="1051"/>
      <c r="AV870" s="1052"/>
      <c r="AW870" s="1051"/>
      <c r="AX870" s="1051"/>
      <c r="AY870" s="1053"/>
      <c r="AZ870" s="1051"/>
      <c r="BA870" s="1051"/>
      <c r="BB870" s="1053"/>
      <c r="BC870" s="1051"/>
      <c r="BD870" s="1051"/>
      <c r="BE870" s="1053"/>
      <c r="BF870" s="1051"/>
      <c r="BG870" s="1051"/>
      <c r="BH870" s="1053"/>
      <c r="BI870" s="1052"/>
      <c r="BJ870" s="1052"/>
      <c r="BK870" s="1052"/>
      <c r="BL870" s="1052"/>
      <c r="BM870" s="1052"/>
      <c r="BN870" s="1054"/>
      <c r="BO870" s="1076">
        <f t="shared" si="24"/>
        <v>0</v>
      </c>
      <c r="BP870" s="1051"/>
      <c r="BQ870" s="1052"/>
      <c r="BR870" s="1054"/>
      <c r="BS870" s="1053"/>
      <c r="BT870" s="1051"/>
      <c r="BU870" s="1051"/>
      <c r="BV870" s="1051"/>
      <c r="BW870" s="1052"/>
      <c r="BX870" s="1052"/>
      <c r="BY870" s="1052"/>
      <c r="BZ870" s="1052"/>
      <c r="CA870" s="1052"/>
      <c r="CB870" s="1053"/>
      <c r="CC870" s="1053"/>
      <c r="CD870" s="1053"/>
      <c r="CE870" s="1053"/>
      <c r="CF870" s="1053"/>
      <c r="CG870" s="1053"/>
      <c r="CH870" s="1053"/>
      <c r="CI870" s="1123"/>
      <c r="CJ870" s="1123"/>
      <c r="CK870" s="1123"/>
      <c r="CL870" s="1123"/>
      <c r="CM870" s="1123"/>
      <c r="CN870" s="1123"/>
      <c r="CO870" s="1123"/>
      <c r="CP870" s="1123"/>
      <c r="CQ870" s="1123"/>
      <c r="CR870" s="1123"/>
      <c r="CS870" s="1123"/>
      <c r="CT870" s="1123"/>
      <c r="CU870" s="1123"/>
      <c r="CV870" s="1123"/>
      <c r="CW870" s="1123"/>
      <c r="CX870" s="1123"/>
      <c r="CY870" s="1123"/>
      <c r="CZ870" s="1114"/>
      <c r="DA870" s="1114"/>
      <c r="DB870" s="1114"/>
      <c r="DC870" s="1114"/>
      <c r="DD870" s="1114"/>
      <c r="DE870" s="1114"/>
      <c r="DF870" s="1114"/>
      <c r="DG870" s="1114"/>
      <c r="DH870" s="1114"/>
      <c r="DI870" s="1114"/>
      <c r="DJ870" s="1114"/>
      <c r="DK870" s="1114"/>
      <c r="DL870" s="1114"/>
      <c r="DM870" s="1114"/>
      <c r="DN870" s="1114"/>
      <c r="DO870" s="1114"/>
      <c r="DP870" s="1114"/>
      <c r="DQ870" s="1114"/>
      <c r="DR870" s="1114"/>
      <c r="DS870" s="1114"/>
      <c r="DT870" s="1114"/>
      <c r="DU870" s="1114"/>
      <c r="DV870" s="1115"/>
      <c r="DW870" s="1116"/>
      <c r="DX870" s="1116"/>
      <c r="DY870" s="1116"/>
      <c r="DZ870" s="1116"/>
      <c r="EA870" s="1116"/>
      <c r="EB870" s="1116"/>
      <c r="EC870" s="1116"/>
      <c r="ED870" s="1116"/>
      <c r="EE870" s="1116"/>
      <c r="EF870" s="1116"/>
      <c r="EG870" s="1116"/>
      <c r="EH870" s="1116"/>
      <c r="EI870" s="1116"/>
      <c r="EJ870" s="1116"/>
      <c r="EK870" s="1116"/>
      <c r="EL870" s="1116"/>
      <c r="EM870" s="1116"/>
      <c r="EN870" s="1116"/>
      <c r="EO870" s="1116"/>
      <c r="EP870" s="1116"/>
      <c r="EQ870" s="1116"/>
      <c r="ER870" s="1116"/>
      <c r="ES870" s="1116"/>
    </row>
    <row r="871" spans="1:149" ht="15" customHeight="1">
      <c r="A871" s="1185">
        <v>856</v>
      </c>
      <c r="B871" s="1041"/>
      <c r="C871" s="1050"/>
      <c r="D871" s="1050"/>
      <c r="E871" s="1050"/>
      <c r="F871" s="1049"/>
      <c r="G871" s="1457"/>
      <c r="H871" s="1049"/>
      <c r="I871" s="1049"/>
      <c r="J871" s="1050"/>
      <c r="K871" s="1050"/>
      <c r="L871" s="1043"/>
      <c r="M871" s="1051"/>
      <c r="N871" s="1051"/>
      <c r="O871" s="1052"/>
      <c r="P871" s="1051"/>
      <c r="Q871" s="1051"/>
      <c r="R871" s="1052"/>
      <c r="S871" s="1051"/>
      <c r="T871" s="1051"/>
      <c r="U871" s="1052"/>
      <c r="V871" s="1051"/>
      <c r="W871" s="1051"/>
      <c r="X871" s="1052"/>
      <c r="Y871" s="1053"/>
      <c r="Z871" s="1051"/>
      <c r="AA871" s="1051"/>
      <c r="AB871" s="1052"/>
      <c r="AC871" s="1051"/>
      <c r="AD871" s="1051"/>
      <c r="AE871" s="1052"/>
      <c r="AF871" s="1051"/>
      <c r="AG871" s="1051"/>
      <c r="AH871" s="1051"/>
      <c r="AI871" s="1051"/>
      <c r="AJ871" s="1052"/>
      <c r="AK871" s="1051"/>
      <c r="AL871" s="1051"/>
      <c r="AM871" s="1052"/>
      <c r="AN871" s="1051"/>
      <c r="AO871" s="1051"/>
      <c r="AP871" s="1052"/>
      <c r="AQ871" s="1051"/>
      <c r="AR871" s="1051"/>
      <c r="AS871" s="1052"/>
      <c r="AT871" s="1051"/>
      <c r="AU871" s="1051"/>
      <c r="AV871" s="1052"/>
      <c r="AW871" s="1051"/>
      <c r="AX871" s="1051"/>
      <c r="AY871" s="1053"/>
      <c r="AZ871" s="1051"/>
      <c r="BA871" s="1051"/>
      <c r="BB871" s="1053"/>
      <c r="BC871" s="1051"/>
      <c r="BD871" s="1051"/>
      <c r="BE871" s="1053"/>
      <c r="BF871" s="1051"/>
      <c r="BG871" s="1051"/>
      <c r="BH871" s="1053"/>
      <c r="BI871" s="1052"/>
      <c r="BJ871" s="1052"/>
      <c r="BK871" s="1052"/>
      <c r="BL871" s="1052"/>
      <c r="BM871" s="1052"/>
      <c r="BN871" s="1054"/>
      <c r="BO871" s="1076">
        <f t="shared" si="24"/>
        <v>0</v>
      </c>
      <c r="BP871" s="1051"/>
      <c r="BQ871" s="1052"/>
      <c r="BR871" s="1054"/>
      <c r="BS871" s="1053"/>
      <c r="BT871" s="1051"/>
      <c r="BU871" s="1051"/>
      <c r="BV871" s="1051"/>
      <c r="BW871" s="1052"/>
      <c r="BX871" s="1052"/>
      <c r="BY871" s="1052"/>
      <c r="BZ871" s="1052"/>
      <c r="CA871" s="1052"/>
      <c r="CB871" s="1053"/>
      <c r="CC871" s="1053"/>
      <c r="CD871" s="1053"/>
      <c r="CE871" s="1053"/>
      <c r="CF871" s="1053"/>
      <c r="CG871" s="1053"/>
      <c r="CH871" s="1053"/>
      <c r="CI871" s="1123"/>
      <c r="CJ871" s="1123"/>
      <c r="CK871" s="1123"/>
      <c r="CL871" s="1123"/>
      <c r="CM871" s="1123"/>
      <c r="CN871" s="1123"/>
      <c r="CO871" s="1123"/>
      <c r="CP871" s="1123"/>
      <c r="CQ871" s="1123"/>
      <c r="CR871" s="1123"/>
      <c r="CS871" s="1123"/>
      <c r="CT871" s="1123"/>
      <c r="CU871" s="1123"/>
      <c r="CV871" s="1123"/>
      <c r="CW871" s="1123"/>
      <c r="CX871" s="1123"/>
      <c r="CY871" s="1123"/>
      <c r="CZ871" s="1114"/>
      <c r="DA871" s="1114"/>
      <c r="DB871" s="1114"/>
      <c r="DC871" s="1114"/>
      <c r="DD871" s="1114"/>
      <c r="DE871" s="1114"/>
      <c r="DF871" s="1114"/>
      <c r="DG871" s="1114"/>
      <c r="DH871" s="1114"/>
      <c r="DI871" s="1114"/>
      <c r="DJ871" s="1114"/>
      <c r="DK871" s="1114"/>
      <c r="DL871" s="1114"/>
      <c r="DM871" s="1114"/>
      <c r="DN871" s="1114"/>
      <c r="DO871" s="1114"/>
      <c r="DP871" s="1114"/>
      <c r="DQ871" s="1114"/>
      <c r="DR871" s="1114"/>
      <c r="DS871" s="1114"/>
      <c r="DT871" s="1114"/>
      <c r="DU871" s="1114"/>
      <c r="DV871" s="1115"/>
      <c r="DW871" s="1116"/>
      <c r="DX871" s="1116"/>
      <c r="DY871" s="1116"/>
      <c r="DZ871" s="1116"/>
      <c r="EA871" s="1116"/>
      <c r="EB871" s="1116"/>
      <c r="EC871" s="1116"/>
      <c r="ED871" s="1116"/>
      <c r="EE871" s="1116"/>
      <c r="EF871" s="1116"/>
      <c r="EG871" s="1116"/>
      <c r="EH871" s="1116"/>
      <c r="EI871" s="1116"/>
      <c r="EJ871" s="1116"/>
      <c r="EK871" s="1116"/>
      <c r="EL871" s="1116"/>
      <c r="EM871" s="1116"/>
      <c r="EN871" s="1116"/>
      <c r="EO871" s="1116"/>
      <c r="EP871" s="1116"/>
      <c r="EQ871" s="1116"/>
      <c r="ER871" s="1116"/>
      <c r="ES871" s="1116"/>
    </row>
    <row r="872" spans="1:149" ht="15" customHeight="1">
      <c r="A872" s="1185">
        <v>857</v>
      </c>
      <c r="B872" s="1041"/>
      <c r="C872" s="1050"/>
      <c r="D872" s="1050"/>
      <c r="E872" s="1050"/>
      <c r="F872" s="1049"/>
      <c r="G872" s="1457"/>
      <c r="H872" s="1049"/>
      <c r="I872" s="1049"/>
      <c r="J872" s="1050"/>
      <c r="K872" s="1050"/>
      <c r="L872" s="1043"/>
      <c r="M872" s="1051"/>
      <c r="N872" s="1051"/>
      <c r="O872" s="1052"/>
      <c r="P872" s="1051"/>
      <c r="Q872" s="1051"/>
      <c r="R872" s="1052"/>
      <c r="S872" s="1051"/>
      <c r="T872" s="1051"/>
      <c r="U872" s="1052"/>
      <c r="V872" s="1051"/>
      <c r="W872" s="1051"/>
      <c r="X872" s="1052"/>
      <c r="Y872" s="1053"/>
      <c r="Z872" s="1051"/>
      <c r="AA872" s="1051"/>
      <c r="AB872" s="1052"/>
      <c r="AC872" s="1051"/>
      <c r="AD872" s="1051"/>
      <c r="AE872" s="1052"/>
      <c r="AF872" s="1051"/>
      <c r="AG872" s="1051"/>
      <c r="AH872" s="1051"/>
      <c r="AI872" s="1051"/>
      <c r="AJ872" s="1052"/>
      <c r="AK872" s="1051"/>
      <c r="AL872" s="1051"/>
      <c r="AM872" s="1052"/>
      <c r="AN872" s="1051"/>
      <c r="AO872" s="1051"/>
      <c r="AP872" s="1052"/>
      <c r="AQ872" s="1051"/>
      <c r="AR872" s="1051"/>
      <c r="AS872" s="1052"/>
      <c r="AT872" s="1051"/>
      <c r="AU872" s="1051"/>
      <c r="AV872" s="1052"/>
      <c r="AW872" s="1051"/>
      <c r="AX872" s="1051"/>
      <c r="AY872" s="1053"/>
      <c r="AZ872" s="1051"/>
      <c r="BA872" s="1051"/>
      <c r="BB872" s="1053"/>
      <c r="BC872" s="1051"/>
      <c r="BD872" s="1051"/>
      <c r="BE872" s="1053"/>
      <c r="BF872" s="1051"/>
      <c r="BG872" s="1051"/>
      <c r="BH872" s="1053"/>
      <c r="BI872" s="1052"/>
      <c r="BJ872" s="1052"/>
      <c r="BK872" s="1052"/>
      <c r="BL872" s="1052"/>
      <c r="BM872" s="1052"/>
      <c r="BN872" s="1054"/>
      <c r="BO872" s="1076">
        <f t="shared" si="24"/>
        <v>0</v>
      </c>
      <c r="BP872" s="1051"/>
      <c r="BQ872" s="1052"/>
      <c r="BR872" s="1054"/>
      <c r="BS872" s="1053"/>
      <c r="BT872" s="1051"/>
      <c r="BU872" s="1051"/>
      <c r="BV872" s="1051"/>
      <c r="BW872" s="1052"/>
      <c r="BX872" s="1052"/>
      <c r="BY872" s="1052"/>
      <c r="BZ872" s="1052"/>
      <c r="CA872" s="1052"/>
      <c r="CB872" s="1053"/>
      <c r="CC872" s="1053"/>
      <c r="CD872" s="1053"/>
      <c r="CE872" s="1053"/>
      <c r="CF872" s="1053"/>
      <c r="CG872" s="1053"/>
      <c r="CH872" s="1053"/>
      <c r="CI872" s="1123"/>
      <c r="CJ872" s="1123"/>
      <c r="CK872" s="1123"/>
      <c r="CL872" s="1123"/>
      <c r="CM872" s="1123"/>
      <c r="CN872" s="1123"/>
      <c r="CO872" s="1123"/>
      <c r="CP872" s="1123"/>
      <c r="CQ872" s="1123"/>
      <c r="CR872" s="1123"/>
      <c r="CS872" s="1123"/>
      <c r="CT872" s="1123"/>
      <c r="CU872" s="1123"/>
      <c r="CV872" s="1123"/>
      <c r="CW872" s="1123"/>
      <c r="CX872" s="1123"/>
      <c r="CY872" s="1123"/>
      <c r="CZ872" s="1114"/>
      <c r="DA872" s="1114"/>
      <c r="DB872" s="1114"/>
      <c r="DC872" s="1114"/>
      <c r="DD872" s="1114"/>
      <c r="DE872" s="1114"/>
      <c r="DF872" s="1114"/>
      <c r="DG872" s="1114"/>
      <c r="DH872" s="1114"/>
      <c r="DI872" s="1114"/>
      <c r="DJ872" s="1114"/>
      <c r="DK872" s="1114"/>
      <c r="DL872" s="1114"/>
      <c r="DM872" s="1114"/>
      <c r="DN872" s="1114"/>
      <c r="DO872" s="1114"/>
      <c r="DP872" s="1114"/>
      <c r="DQ872" s="1114"/>
      <c r="DR872" s="1114"/>
      <c r="DS872" s="1114"/>
      <c r="DT872" s="1114"/>
      <c r="DU872" s="1114"/>
      <c r="DV872" s="1115"/>
      <c r="DW872" s="1116"/>
      <c r="DX872" s="1116"/>
      <c r="DY872" s="1116"/>
      <c r="DZ872" s="1116"/>
      <c r="EA872" s="1116"/>
      <c r="EB872" s="1116"/>
      <c r="EC872" s="1116"/>
      <c r="ED872" s="1116"/>
      <c r="EE872" s="1116"/>
      <c r="EF872" s="1116"/>
      <c r="EG872" s="1116"/>
      <c r="EH872" s="1116"/>
      <c r="EI872" s="1116"/>
      <c r="EJ872" s="1116"/>
      <c r="EK872" s="1116"/>
      <c r="EL872" s="1116"/>
      <c r="EM872" s="1116"/>
      <c r="EN872" s="1116"/>
      <c r="EO872" s="1116"/>
      <c r="EP872" s="1116"/>
      <c r="EQ872" s="1116"/>
      <c r="ER872" s="1116"/>
      <c r="ES872" s="1116"/>
    </row>
    <row r="873" spans="1:149" ht="15" customHeight="1">
      <c r="A873" s="1185">
        <v>858</v>
      </c>
      <c r="B873" s="1041"/>
      <c r="C873" s="1050"/>
      <c r="D873" s="1050"/>
      <c r="E873" s="1050"/>
      <c r="F873" s="1049"/>
      <c r="G873" s="1457"/>
      <c r="H873" s="1049"/>
      <c r="I873" s="1049"/>
      <c r="J873" s="1050"/>
      <c r="K873" s="1050"/>
      <c r="L873" s="1043"/>
      <c r="M873" s="1051"/>
      <c r="N873" s="1051"/>
      <c r="O873" s="1052"/>
      <c r="P873" s="1051"/>
      <c r="Q873" s="1051"/>
      <c r="R873" s="1052"/>
      <c r="S873" s="1051"/>
      <c r="T873" s="1051"/>
      <c r="U873" s="1052"/>
      <c r="V873" s="1051"/>
      <c r="W873" s="1051"/>
      <c r="X873" s="1052"/>
      <c r="Y873" s="1053"/>
      <c r="Z873" s="1051"/>
      <c r="AA873" s="1051"/>
      <c r="AB873" s="1052"/>
      <c r="AC873" s="1051"/>
      <c r="AD873" s="1051"/>
      <c r="AE873" s="1052"/>
      <c r="AF873" s="1051"/>
      <c r="AG873" s="1051"/>
      <c r="AH873" s="1051"/>
      <c r="AI873" s="1051"/>
      <c r="AJ873" s="1052"/>
      <c r="AK873" s="1051"/>
      <c r="AL873" s="1051"/>
      <c r="AM873" s="1052"/>
      <c r="AN873" s="1051"/>
      <c r="AO873" s="1051"/>
      <c r="AP873" s="1052"/>
      <c r="AQ873" s="1051"/>
      <c r="AR873" s="1051"/>
      <c r="AS873" s="1052"/>
      <c r="AT873" s="1051"/>
      <c r="AU873" s="1051"/>
      <c r="AV873" s="1052"/>
      <c r="AW873" s="1051"/>
      <c r="AX873" s="1051"/>
      <c r="AY873" s="1053"/>
      <c r="AZ873" s="1051"/>
      <c r="BA873" s="1051"/>
      <c r="BB873" s="1053"/>
      <c r="BC873" s="1051"/>
      <c r="BD873" s="1051"/>
      <c r="BE873" s="1053"/>
      <c r="BF873" s="1051"/>
      <c r="BG873" s="1051"/>
      <c r="BH873" s="1053"/>
      <c r="BI873" s="1052"/>
      <c r="BJ873" s="1052"/>
      <c r="BK873" s="1052"/>
      <c r="BL873" s="1052"/>
      <c r="BM873" s="1052"/>
      <c r="BN873" s="1054"/>
      <c r="BO873" s="1076">
        <f t="shared" si="24"/>
        <v>0</v>
      </c>
      <c r="BP873" s="1051"/>
      <c r="BQ873" s="1052"/>
      <c r="BR873" s="1054"/>
      <c r="BS873" s="1053"/>
      <c r="BT873" s="1051"/>
      <c r="BU873" s="1051"/>
      <c r="BV873" s="1051"/>
      <c r="BW873" s="1052"/>
      <c r="BX873" s="1052"/>
      <c r="BY873" s="1052"/>
      <c r="BZ873" s="1052"/>
      <c r="CA873" s="1052"/>
      <c r="CB873" s="1053"/>
      <c r="CC873" s="1053"/>
      <c r="CD873" s="1053"/>
      <c r="CE873" s="1053"/>
      <c r="CF873" s="1053"/>
      <c r="CG873" s="1053"/>
      <c r="CH873" s="1053"/>
      <c r="CI873" s="1123"/>
      <c r="CJ873" s="1123"/>
      <c r="CK873" s="1123"/>
      <c r="CL873" s="1123"/>
      <c r="CM873" s="1123"/>
      <c r="CN873" s="1123"/>
      <c r="CO873" s="1123"/>
      <c r="CP873" s="1123"/>
      <c r="CQ873" s="1123"/>
      <c r="CR873" s="1123"/>
      <c r="CS873" s="1123"/>
      <c r="CT873" s="1123"/>
      <c r="CU873" s="1123"/>
      <c r="CV873" s="1123"/>
      <c r="CW873" s="1123"/>
      <c r="CX873" s="1123"/>
      <c r="CY873" s="1123"/>
      <c r="CZ873" s="1114"/>
      <c r="DA873" s="1114"/>
      <c r="DB873" s="1114"/>
      <c r="DC873" s="1114"/>
      <c r="DD873" s="1114"/>
      <c r="DE873" s="1114"/>
      <c r="DF873" s="1114"/>
      <c r="DG873" s="1114"/>
      <c r="DH873" s="1114"/>
      <c r="DI873" s="1114"/>
      <c r="DJ873" s="1114"/>
      <c r="DK873" s="1114"/>
      <c r="DL873" s="1114"/>
      <c r="DM873" s="1114"/>
      <c r="DN873" s="1114"/>
      <c r="DO873" s="1114"/>
      <c r="DP873" s="1114"/>
      <c r="DQ873" s="1114"/>
      <c r="DR873" s="1114"/>
      <c r="DS873" s="1114"/>
      <c r="DT873" s="1114"/>
      <c r="DU873" s="1114"/>
      <c r="DV873" s="1115"/>
      <c r="DW873" s="1116"/>
      <c r="DX873" s="1116"/>
      <c r="DY873" s="1116"/>
      <c r="DZ873" s="1116"/>
      <c r="EA873" s="1116"/>
      <c r="EB873" s="1116"/>
      <c r="EC873" s="1116"/>
      <c r="ED873" s="1116"/>
      <c r="EE873" s="1116"/>
      <c r="EF873" s="1116"/>
      <c r="EG873" s="1116"/>
      <c r="EH873" s="1116"/>
      <c r="EI873" s="1116"/>
      <c r="EJ873" s="1116"/>
      <c r="EK873" s="1116"/>
      <c r="EL873" s="1116"/>
      <c r="EM873" s="1116"/>
      <c r="EN873" s="1116"/>
      <c r="EO873" s="1116"/>
      <c r="EP873" s="1116"/>
      <c r="EQ873" s="1116"/>
      <c r="ER873" s="1116"/>
      <c r="ES873" s="1116"/>
    </row>
    <row r="874" spans="1:149" ht="15" customHeight="1">
      <c r="A874" s="1185">
        <v>859</v>
      </c>
      <c r="B874" s="1041"/>
      <c r="C874" s="1050"/>
      <c r="D874" s="1050"/>
      <c r="E874" s="1050"/>
      <c r="F874" s="1049"/>
      <c r="G874" s="1457"/>
      <c r="H874" s="1049"/>
      <c r="I874" s="1049"/>
      <c r="J874" s="1050"/>
      <c r="K874" s="1050"/>
      <c r="L874" s="1043"/>
      <c r="M874" s="1051"/>
      <c r="N874" s="1051"/>
      <c r="O874" s="1052"/>
      <c r="P874" s="1051"/>
      <c r="Q874" s="1051"/>
      <c r="R874" s="1052"/>
      <c r="S874" s="1051"/>
      <c r="T874" s="1051"/>
      <c r="U874" s="1052"/>
      <c r="V874" s="1051"/>
      <c r="W874" s="1051"/>
      <c r="X874" s="1052"/>
      <c r="Y874" s="1053"/>
      <c r="Z874" s="1051"/>
      <c r="AA874" s="1051"/>
      <c r="AB874" s="1052"/>
      <c r="AC874" s="1051"/>
      <c r="AD874" s="1051"/>
      <c r="AE874" s="1052"/>
      <c r="AF874" s="1051"/>
      <c r="AG874" s="1051"/>
      <c r="AH874" s="1051"/>
      <c r="AI874" s="1051"/>
      <c r="AJ874" s="1052"/>
      <c r="AK874" s="1051"/>
      <c r="AL874" s="1051"/>
      <c r="AM874" s="1052"/>
      <c r="AN874" s="1051"/>
      <c r="AO874" s="1051"/>
      <c r="AP874" s="1052"/>
      <c r="AQ874" s="1051"/>
      <c r="AR874" s="1051"/>
      <c r="AS874" s="1052"/>
      <c r="AT874" s="1051"/>
      <c r="AU874" s="1051"/>
      <c r="AV874" s="1052"/>
      <c r="AW874" s="1051"/>
      <c r="AX874" s="1051"/>
      <c r="AY874" s="1053"/>
      <c r="AZ874" s="1051"/>
      <c r="BA874" s="1051"/>
      <c r="BB874" s="1053"/>
      <c r="BC874" s="1051"/>
      <c r="BD874" s="1051"/>
      <c r="BE874" s="1053"/>
      <c r="BF874" s="1051"/>
      <c r="BG874" s="1051"/>
      <c r="BH874" s="1053"/>
      <c r="BI874" s="1052"/>
      <c r="BJ874" s="1052"/>
      <c r="BK874" s="1052"/>
      <c r="BL874" s="1052"/>
      <c r="BM874" s="1052"/>
      <c r="BN874" s="1054"/>
      <c r="BO874" s="1076">
        <f t="shared" si="24"/>
        <v>0</v>
      </c>
      <c r="BP874" s="1051"/>
      <c r="BQ874" s="1052"/>
      <c r="BR874" s="1054"/>
      <c r="BS874" s="1053"/>
      <c r="BT874" s="1051"/>
      <c r="BU874" s="1051"/>
      <c r="BV874" s="1051"/>
      <c r="BW874" s="1052"/>
      <c r="BX874" s="1052"/>
      <c r="BY874" s="1052"/>
      <c r="BZ874" s="1052"/>
      <c r="CA874" s="1052"/>
      <c r="CB874" s="1053"/>
      <c r="CC874" s="1053"/>
      <c r="CD874" s="1053"/>
      <c r="CE874" s="1053"/>
      <c r="CF874" s="1053"/>
      <c r="CG874" s="1053"/>
      <c r="CH874" s="1053"/>
      <c r="CI874" s="1123"/>
      <c r="CJ874" s="1123"/>
      <c r="CK874" s="1123"/>
      <c r="CL874" s="1123"/>
      <c r="CM874" s="1123"/>
      <c r="CN874" s="1123"/>
      <c r="CO874" s="1123"/>
      <c r="CP874" s="1123"/>
      <c r="CQ874" s="1123"/>
      <c r="CR874" s="1123"/>
      <c r="CS874" s="1123"/>
      <c r="CT874" s="1123"/>
      <c r="CU874" s="1123"/>
      <c r="CV874" s="1123"/>
      <c r="CW874" s="1123"/>
      <c r="CX874" s="1123"/>
      <c r="CY874" s="1123"/>
      <c r="CZ874" s="1114"/>
      <c r="DA874" s="1114"/>
      <c r="DB874" s="1114"/>
      <c r="DC874" s="1114"/>
      <c r="DD874" s="1114"/>
      <c r="DE874" s="1114"/>
      <c r="DF874" s="1114"/>
      <c r="DG874" s="1114"/>
      <c r="DH874" s="1114"/>
      <c r="DI874" s="1114"/>
      <c r="DJ874" s="1114"/>
      <c r="DK874" s="1114"/>
      <c r="DL874" s="1114"/>
      <c r="DM874" s="1114"/>
      <c r="DN874" s="1114"/>
      <c r="DO874" s="1114"/>
      <c r="DP874" s="1114"/>
      <c r="DQ874" s="1114"/>
      <c r="DR874" s="1114"/>
      <c r="DS874" s="1114"/>
      <c r="DT874" s="1114"/>
      <c r="DU874" s="1114"/>
      <c r="DV874" s="1115"/>
      <c r="DW874" s="1116"/>
      <c r="DX874" s="1116"/>
      <c r="DY874" s="1116"/>
      <c r="DZ874" s="1116"/>
      <c r="EA874" s="1116"/>
      <c r="EB874" s="1116"/>
      <c r="EC874" s="1116"/>
      <c r="ED874" s="1116"/>
      <c r="EE874" s="1116"/>
      <c r="EF874" s="1116"/>
      <c r="EG874" s="1116"/>
      <c r="EH874" s="1116"/>
      <c r="EI874" s="1116"/>
      <c r="EJ874" s="1116"/>
      <c r="EK874" s="1116"/>
      <c r="EL874" s="1116"/>
      <c r="EM874" s="1116"/>
      <c r="EN874" s="1116"/>
      <c r="EO874" s="1116"/>
      <c r="EP874" s="1116"/>
      <c r="EQ874" s="1116"/>
      <c r="ER874" s="1116"/>
      <c r="ES874" s="1116"/>
    </row>
    <row r="875" spans="1:149" ht="15" customHeight="1">
      <c r="A875" s="1185">
        <v>860</v>
      </c>
      <c r="B875" s="1041"/>
      <c r="C875" s="1050"/>
      <c r="D875" s="1050"/>
      <c r="E875" s="1050"/>
      <c r="F875" s="1049"/>
      <c r="G875" s="1457"/>
      <c r="H875" s="1049"/>
      <c r="I875" s="1049"/>
      <c r="J875" s="1050"/>
      <c r="K875" s="1050"/>
      <c r="L875" s="1043"/>
      <c r="M875" s="1051"/>
      <c r="N875" s="1051"/>
      <c r="O875" s="1052"/>
      <c r="P875" s="1051"/>
      <c r="Q875" s="1051"/>
      <c r="R875" s="1052"/>
      <c r="S875" s="1051"/>
      <c r="T875" s="1051"/>
      <c r="U875" s="1052"/>
      <c r="V875" s="1051"/>
      <c r="W875" s="1051"/>
      <c r="X875" s="1052"/>
      <c r="Y875" s="1053"/>
      <c r="Z875" s="1051"/>
      <c r="AA875" s="1051"/>
      <c r="AB875" s="1052"/>
      <c r="AC875" s="1051"/>
      <c r="AD875" s="1051"/>
      <c r="AE875" s="1052"/>
      <c r="AF875" s="1051"/>
      <c r="AG875" s="1051"/>
      <c r="AH875" s="1051"/>
      <c r="AI875" s="1051"/>
      <c r="AJ875" s="1052"/>
      <c r="AK875" s="1051"/>
      <c r="AL875" s="1051"/>
      <c r="AM875" s="1052"/>
      <c r="AN875" s="1051"/>
      <c r="AO875" s="1051"/>
      <c r="AP875" s="1052"/>
      <c r="AQ875" s="1051"/>
      <c r="AR875" s="1051"/>
      <c r="AS875" s="1052"/>
      <c r="AT875" s="1051"/>
      <c r="AU875" s="1051"/>
      <c r="AV875" s="1052"/>
      <c r="AW875" s="1051"/>
      <c r="AX875" s="1051"/>
      <c r="AY875" s="1053"/>
      <c r="AZ875" s="1051"/>
      <c r="BA875" s="1051"/>
      <c r="BB875" s="1053"/>
      <c r="BC875" s="1051"/>
      <c r="BD875" s="1051"/>
      <c r="BE875" s="1053"/>
      <c r="BF875" s="1051"/>
      <c r="BG875" s="1051"/>
      <c r="BH875" s="1053"/>
      <c r="BI875" s="1052"/>
      <c r="BJ875" s="1052"/>
      <c r="BK875" s="1052"/>
      <c r="BL875" s="1052"/>
      <c r="BM875" s="1052"/>
      <c r="BN875" s="1054"/>
      <c r="BO875" s="1076">
        <f t="shared" si="24"/>
        <v>0</v>
      </c>
      <c r="BP875" s="1051"/>
      <c r="BQ875" s="1052"/>
      <c r="BR875" s="1054"/>
      <c r="BS875" s="1053"/>
      <c r="BT875" s="1051"/>
      <c r="BU875" s="1051"/>
      <c r="BV875" s="1051"/>
      <c r="BW875" s="1052"/>
      <c r="BX875" s="1052"/>
      <c r="BY875" s="1052"/>
      <c r="BZ875" s="1052"/>
      <c r="CA875" s="1052"/>
      <c r="CB875" s="1053"/>
      <c r="CC875" s="1053"/>
      <c r="CD875" s="1053"/>
      <c r="CE875" s="1053"/>
      <c r="CF875" s="1053"/>
      <c r="CG875" s="1053"/>
      <c r="CH875" s="1053"/>
      <c r="CI875" s="1123"/>
      <c r="CJ875" s="1123"/>
      <c r="CK875" s="1123"/>
      <c r="CL875" s="1123"/>
      <c r="CM875" s="1123"/>
      <c r="CN875" s="1123"/>
      <c r="CO875" s="1123"/>
      <c r="CP875" s="1123"/>
      <c r="CQ875" s="1123"/>
      <c r="CR875" s="1123"/>
      <c r="CS875" s="1123"/>
      <c r="CT875" s="1123"/>
      <c r="CU875" s="1123"/>
      <c r="CV875" s="1123"/>
      <c r="CW875" s="1123"/>
      <c r="CX875" s="1123"/>
      <c r="CY875" s="1123"/>
      <c r="CZ875" s="1114"/>
      <c r="DA875" s="1114"/>
      <c r="DB875" s="1114"/>
      <c r="DC875" s="1114"/>
      <c r="DD875" s="1114"/>
      <c r="DE875" s="1114"/>
      <c r="DF875" s="1114"/>
      <c r="DG875" s="1114"/>
      <c r="DH875" s="1114"/>
      <c r="DI875" s="1114"/>
      <c r="DJ875" s="1114"/>
      <c r="DK875" s="1114"/>
      <c r="DL875" s="1114"/>
      <c r="DM875" s="1114"/>
      <c r="DN875" s="1114"/>
      <c r="DO875" s="1114"/>
      <c r="DP875" s="1114"/>
      <c r="DQ875" s="1114"/>
      <c r="DR875" s="1114"/>
      <c r="DS875" s="1114"/>
      <c r="DT875" s="1114"/>
      <c r="DU875" s="1114"/>
      <c r="DV875" s="1115"/>
      <c r="DW875" s="1116"/>
      <c r="DX875" s="1116"/>
      <c r="DY875" s="1116"/>
      <c r="DZ875" s="1116"/>
      <c r="EA875" s="1116"/>
      <c r="EB875" s="1116"/>
      <c r="EC875" s="1116"/>
      <c r="ED875" s="1116"/>
      <c r="EE875" s="1116"/>
      <c r="EF875" s="1116"/>
      <c r="EG875" s="1116"/>
      <c r="EH875" s="1116"/>
      <c r="EI875" s="1116"/>
      <c r="EJ875" s="1116"/>
      <c r="EK875" s="1116"/>
      <c r="EL875" s="1116"/>
      <c r="EM875" s="1116"/>
      <c r="EN875" s="1116"/>
      <c r="EO875" s="1116"/>
      <c r="EP875" s="1116"/>
      <c r="EQ875" s="1116"/>
      <c r="ER875" s="1116"/>
      <c r="ES875" s="1116"/>
    </row>
    <row r="876" spans="1:149" ht="15" customHeight="1">
      <c r="A876" s="1185">
        <v>861</v>
      </c>
      <c r="B876" s="1041"/>
      <c r="C876" s="1050"/>
      <c r="D876" s="1050"/>
      <c r="E876" s="1050"/>
      <c r="F876" s="1049"/>
      <c r="G876" s="1457"/>
      <c r="H876" s="1049"/>
      <c r="I876" s="1049"/>
      <c r="J876" s="1050"/>
      <c r="K876" s="1050"/>
      <c r="L876" s="1043"/>
      <c r="M876" s="1051"/>
      <c r="N876" s="1051"/>
      <c r="O876" s="1052"/>
      <c r="P876" s="1051"/>
      <c r="Q876" s="1051"/>
      <c r="R876" s="1052"/>
      <c r="S876" s="1051"/>
      <c r="T876" s="1051"/>
      <c r="U876" s="1052"/>
      <c r="V876" s="1051"/>
      <c r="W876" s="1051"/>
      <c r="X876" s="1052"/>
      <c r="Y876" s="1053"/>
      <c r="Z876" s="1051"/>
      <c r="AA876" s="1051"/>
      <c r="AB876" s="1052"/>
      <c r="AC876" s="1051"/>
      <c r="AD876" s="1051"/>
      <c r="AE876" s="1052"/>
      <c r="AF876" s="1051"/>
      <c r="AG876" s="1051"/>
      <c r="AH876" s="1051"/>
      <c r="AI876" s="1051"/>
      <c r="AJ876" s="1052"/>
      <c r="AK876" s="1051"/>
      <c r="AL876" s="1051"/>
      <c r="AM876" s="1052"/>
      <c r="AN876" s="1051"/>
      <c r="AO876" s="1051"/>
      <c r="AP876" s="1052"/>
      <c r="AQ876" s="1051"/>
      <c r="AR876" s="1051"/>
      <c r="AS876" s="1052"/>
      <c r="AT876" s="1051"/>
      <c r="AU876" s="1051"/>
      <c r="AV876" s="1052"/>
      <c r="AW876" s="1051"/>
      <c r="AX876" s="1051"/>
      <c r="AY876" s="1053"/>
      <c r="AZ876" s="1051"/>
      <c r="BA876" s="1051"/>
      <c r="BB876" s="1053"/>
      <c r="BC876" s="1051"/>
      <c r="BD876" s="1051"/>
      <c r="BE876" s="1053"/>
      <c r="BF876" s="1051"/>
      <c r="BG876" s="1051"/>
      <c r="BH876" s="1053"/>
      <c r="BI876" s="1052"/>
      <c r="BJ876" s="1052"/>
      <c r="BK876" s="1052"/>
      <c r="BL876" s="1052"/>
      <c r="BM876" s="1052"/>
      <c r="BN876" s="1054"/>
      <c r="BO876" s="1076">
        <f t="shared" si="24"/>
        <v>0</v>
      </c>
      <c r="BP876" s="1051"/>
      <c r="BQ876" s="1052"/>
      <c r="BR876" s="1054"/>
      <c r="BS876" s="1053"/>
      <c r="BT876" s="1051"/>
      <c r="BU876" s="1051"/>
      <c r="BV876" s="1051"/>
      <c r="BW876" s="1052"/>
      <c r="BX876" s="1052"/>
      <c r="BY876" s="1052"/>
      <c r="BZ876" s="1052"/>
      <c r="CA876" s="1052"/>
      <c r="CB876" s="1053"/>
      <c r="CC876" s="1053"/>
      <c r="CD876" s="1053"/>
      <c r="CE876" s="1053"/>
      <c r="CF876" s="1053"/>
      <c r="CG876" s="1053"/>
      <c r="CH876" s="1053"/>
      <c r="CI876" s="1123"/>
      <c r="CJ876" s="1123"/>
      <c r="CK876" s="1123"/>
      <c r="CL876" s="1123"/>
      <c r="CM876" s="1123"/>
      <c r="CN876" s="1123"/>
      <c r="CO876" s="1123"/>
      <c r="CP876" s="1123"/>
      <c r="CQ876" s="1123"/>
      <c r="CR876" s="1123"/>
      <c r="CS876" s="1123"/>
      <c r="CT876" s="1123"/>
      <c r="CU876" s="1123"/>
      <c r="CV876" s="1123"/>
      <c r="CW876" s="1123"/>
      <c r="CX876" s="1123"/>
      <c r="CY876" s="1123"/>
      <c r="CZ876" s="1114"/>
      <c r="DA876" s="1114"/>
      <c r="DB876" s="1114"/>
      <c r="DC876" s="1114"/>
      <c r="DD876" s="1114"/>
      <c r="DE876" s="1114"/>
      <c r="DF876" s="1114"/>
      <c r="DG876" s="1114"/>
      <c r="DH876" s="1114"/>
      <c r="DI876" s="1114"/>
      <c r="DJ876" s="1114"/>
      <c r="DK876" s="1114"/>
      <c r="DL876" s="1114"/>
      <c r="DM876" s="1114"/>
      <c r="DN876" s="1114"/>
      <c r="DO876" s="1114"/>
      <c r="DP876" s="1114"/>
      <c r="DQ876" s="1114"/>
      <c r="DR876" s="1114"/>
      <c r="DS876" s="1114"/>
      <c r="DT876" s="1114"/>
      <c r="DU876" s="1114"/>
      <c r="DV876" s="1115"/>
      <c r="DW876" s="1116"/>
      <c r="DX876" s="1116"/>
      <c r="DY876" s="1116"/>
      <c r="DZ876" s="1116"/>
      <c r="EA876" s="1116"/>
      <c r="EB876" s="1116"/>
      <c r="EC876" s="1116"/>
      <c r="ED876" s="1116"/>
      <c r="EE876" s="1116"/>
      <c r="EF876" s="1116"/>
      <c r="EG876" s="1116"/>
      <c r="EH876" s="1116"/>
      <c r="EI876" s="1116"/>
      <c r="EJ876" s="1116"/>
      <c r="EK876" s="1116"/>
      <c r="EL876" s="1116"/>
      <c r="EM876" s="1116"/>
      <c r="EN876" s="1116"/>
      <c r="EO876" s="1116"/>
      <c r="EP876" s="1116"/>
      <c r="EQ876" s="1116"/>
      <c r="ER876" s="1116"/>
      <c r="ES876" s="1116"/>
    </row>
    <row r="877" spans="1:149" ht="15" customHeight="1">
      <c r="A877" s="1185">
        <v>862</v>
      </c>
      <c r="B877" s="1041"/>
      <c r="C877" s="1050"/>
      <c r="D877" s="1050"/>
      <c r="E877" s="1050"/>
      <c r="F877" s="1049"/>
      <c r="G877" s="1457"/>
      <c r="H877" s="1049"/>
      <c r="I877" s="1049"/>
      <c r="J877" s="1050"/>
      <c r="K877" s="1050"/>
      <c r="L877" s="1043"/>
      <c r="M877" s="1051"/>
      <c r="N877" s="1051"/>
      <c r="O877" s="1052"/>
      <c r="P877" s="1051"/>
      <c r="Q877" s="1051"/>
      <c r="R877" s="1052"/>
      <c r="S877" s="1051"/>
      <c r="T877" s="1051"/>
      <c r="U877" s="1052"/>
      <c r="V877" s="1051"/>
      <c r="W877" s="1051"/>
      <c r="X877" s="1052"/>
      <c r="Y877" s="1053"/>
      <c r="Z877" s="1051"/>
      <c r="AA877" s="1051"/>
      <c r="AB877" s="1052"/>
      <c r="AC877" s="1051"/>
      <c r="AD877" s="1051"/>
      <c r="AE877" s="1052"/>
      <c r="AF877" s="1051"/>
      <c r="AG877" s="1051"/>
      <c r="AH877" s="1051"/>
      <c r="AI877" s="1051"/>
      <c r="AJ877" s="1052"/>
      <c r="AK877" s="1051"/>
      <c r="AL877" s="1051"/>
      <c r="AM877" s="1052"/>
      <c r="AN877" s="1051"/>
      <c r="AO877" s="1051"/>
      <c r="AP877" s="1052"/>
      <c r="AQ877" s="1051"/>
      <c r="AR877" s="1051"/>
      <c r="AS877" s="1052"/>
      <c r="AT877" s="1051"/>
      <c r="AU877" s="1051"/>
      <c r="AV877" s="1052"/>
      <c r="AW877" s="1051"/>
      <c r="AX877" s="1051"/>
      <c r="AY877" s="1053"/>
      <c r="AZ877" s="1051"/>
      <c r="BA877" s="1051"/>
      <c r="BB877" s="1053"/>
      <c r="BC877" s="1051"/>
      <c r="BD877" s="1051"/>
      <c r="BE877" s="1053"/>
      <c r="BF877" s="1051"/>
      <c r="BG877" s="1051"/>
      <c r="BH877" s="1053"/>
      <c r="BI877" s="1052"/>
      <c r="BJ877" s="1052"/>
      <c r="BK877" s="1052"/>
      <c r="BL877" s="1052"/>
      <c r="BM877" s="1052"/>
      <c r="BN877" s="1054"/>
      <c r="BO877" s="1076">
        <f t="shared" si="24"/>
        <v>0</v>
      </c>
      <c r="BP877" s="1051"/>
      <c r="BQ877" s="1052"/>
      <c r="BR877" s="1054"/>
      <c r="BS877" s="1053"/>
      <c r="BT877" s="1051"/>
      <c r="BU877" s="1051"/>
      <c r="BV877" s="1051"/>
      <c r="BW877" s="1052"/>
      <c r="BX877" s="1052"/>
      <c r="BY877" s="1052"/>
      <c r="BZ877" s="1052"/>
      <c r="CA877" s="1052"/>
      <c r="CB877" s="1053"/>
      <c r="CC877" s="1053"/>
      <c r="CD877" s="1053"/>
      <c r="CE877" s="1053"/>
      <c r="CF877" s="1053"/>
      <c r="CG877" s="1053"/>
      <c r="CH877" s="1053"/>
      <c r="CI877" s="1123"/>
      <c r="CJ877" s="1123"/>
      <c r="CK877" s="1123"/>
      <c r="CL877" s="1123"/>
      <c r="CM877" s="1123"/>
      <c r="CN877" s="1123"/>
      <c r="CO877" s="1123"/>
      <c r="CP877" s="1123"/>
      <c r="CQ877" s="1123"/>
      <c r="CR877" s="1123"/>
      <c r="CS877" s="1123"/>
      <c r="CT877" s="1123"/>
      <c r="CU877" s="1123"/>
      <c r="CV877" s="1123"/>
      <c r="CW877" s="1123"/>
      <c r="CX877" s="1123"/>
      <c r="CY877" s="1123"/>
      <c r="CZ877" s="1114"/>
      <c r="DA877" s="1114"/>
      <c r="DB877" s="1114"/>
      <c r="DC877" s="1114"/>
      <c r="DD877" s="1114"/>
      <c r="DE877" s="1114"/>
      <c r="DF877" s="1114"/>
      <c r="DG877" s="1114"/>
      <c r="DH877" s="1114"/>
      <c r="DI877" s="1114"/>
      <c r="DJ877" s="1114"/>
      <c r="DK877" s="1114"/>
      <c r="DL877" s="1114"/>
      <c r="DM877" s="1114"/>
      <c r="DN877" s="1114"/>
      <c r="DO877" s="1114"/>
      <c r="DP877" s="1114"/>
      <c r="DQ877" s="1114"/>
      <c r="DR877" s="1114"/>
      <c r="DS877" s="1114"/>
      <c r="DT877" s="1114"/>
      <c r="DU877" s="1114"/>
      <c r="DV877" s="1115"/>
      <c r="DW877" s="1116"/>
      <c r="DX877" s="1116"/>
      <c r="DY877" s="1116"/>
      <c r="DZ877" s="1116"/>
      <c r="EA877" s="1116"/>
      <c r="EB877" s="1116"/>
      <c r="EC877" s="1116"/>
      <c r="ED877" s="1116"/>
      <c r="EE877" s="1116"/>
      <c r="EF877" s="1116"/>
      <c r="EG877" s="1116"/>
      <c r="EH877" s="1116"/>
      <c r="EI877" s="1116"/>
      <c r="EJ877" s="1116"/>
      <c r="EK877" s="1116"/>
      <c r="EL877" s="1116"/>
      <c r="EM877" s="1116"/>
      <c r="EN877" s="1116"/>
      <c r="EO877" s="1116"/>
      <c r="EP877" s="1116"/>
      <c r="EQ877" s="1116"/>
      <c r="ER877" s="1116"/>
      <c r="ES877" s="1116"/>
    </row>
    <row r="878" spans="1:149" ht="15" customHeight="1">
      <c r="A878" s="1185">
        <v>863</v>
      </c>
      <c r="B878" s="1041"/>
      <c r="C878" s="1050"/>
      <c r="D878" s="1050"/>
      <c r="E878" s="1050"/>
      <c r="F878" s="1049"/>
      <c r="G878" s="1457"/>
      <c r="H878" s="1049"/>
      <c r="I878" s="1049"/>
      <c r="J878" s="1050"/>
      <c r="K878" s="1050"/>
      <c r="L878" s="1043"/>
      <c r="M878" s="1051"/>
      <c r="N878" s="1051"/>
      <c r="O878" s="1052"/>
      <c r="P878" s="1051"/>
      <c r="Q878" s="1051"/>
      <c r="R878" s="1052"/>
      <c r="S878" s="1051"/>
      <c r="T878" s="1051"/>
      <c r="U878" s="1052"/>
      <c r="V878" s="1051"/>
      <c r="W878" s="1051"/>
      <c r="X878" s="1052"/>
      <c r="Y878" s="1053"/>
      <c r="Z878" s="1051"/>
      <c r="AA878" s="1051"/>
      <c r="AB878" s="1052"/>
      <c r="AC878" s="1051"/>
      <c r="AD878" s="1051"/>
      <c r="AE878" s="1052"/>
      <c r="AF878" s="1051"/>
      <c r="AG878" s="1051"/>
      <c r="AH878" s="1051"/>
      <c r="AI878" s="1051"/>
      <c r="AJ878" s="1052"/>
      <c r="AK878" s="1051"/>
      <c r="AL878" s="1051"/>
      <c r="AM878" s="1052"/>
      <c r="AN878" s="1051"/>
      <c r="AO878" s="1051"/>
      <c r="AP878" s="1052"/>
      <c r="AQ878" s="1051"/>
      <c r="AR878" s="1051"/>
      <c r="AS878" s="1052"/>
      <c r="AT878" s="1051"/>
      <c r="AU878" s="1051"/>
      <c r="AV878" s="1052"/>
      <c r="AW878" s="1051"/>
      <c r="AX878" s="1051"/>
      <c r="AY878" s="1053"/>
      <c r="AZ878" s="1051"/>
      <c r="BA878" s="1051"/>
      <c r="BB878" s="1053"/>
      <c r="BC878" s="1051"/>
      <c r="BD878" s="1051"/>
      <c r="BE878" s="1053"/>
      <c r="BF878" s="1051"/>
      <c r="BG878" s="1051"/>
      <c r="BH878" s="1053"/>
      <c r="BI878" s="1052"/>
      <c r="BJ878" s="1052"/>
      <c r="BK878" s="1052"/>
      <c r="BL878" s="1052"/>
      <c r="BM878" s="1052"/>
      <c r="BN878" s="1054"/>
      <c r="BO878" s="1076">
        <f t="shared" si="24"/>
        <v>0</v>
      </c>
      <c r="BP878" s="1051"/>
      <c r="BQ878" s="1052"/>
      <c r="BR878" s="1054"/>
      <c r="BS878" s="1053"/>
      <c r="BT878" s="1051"/>
      <c r="BU878" s="1051"/>
      <c r="BV878" s="1051"/>
      <c r="BW878" s="1052"/>
      <c r="BX878" s="1052"/>
      <c r="BY878" s="1052"/>
      <c r="BZ878" s="1052"/>
      <c r="CA878" s="1052"/>
      <c r="CB878" s="1053"/>
      <c r="CC878" s="1053"/>
      <c r="CD878" s="1053"/>
      <c r="CE878" s="1053"/>
      <c r="CF878" s="1053"/>
      <c r="CG878" s="1053"/>
      <c r="CH878" s="1053"/>
      <c r="CI878" s="1123"/>
      <c r="CJ878" s="1123"/>
      <c r="CK878" s="1123"/>
      <c r="CL878" s="1123"/>
      <c r="CM878" s="1123"/>
      <c r="CN878" s="1123"/>
      <c r="CO878" s="1123"/>
      <c r="CP878" s="1123"/>
      <c r="CQ878" s="1123"/>
      <c r="CR878" s="1123"/>
      <c r="CS878" s="1123"/>
      <c r="CT878" s="1123"/>
      <c r="CU878" s="1123"/>
      <c r="CV878" s="1123"/>
      <c r="CW878" s="1123"/>
      <c r="CX878" s="1123"/>
      <c r="CY878" s="1123"/>
      <c r="CZ878" s="1114"/>
      <c r="DA878" s="1114"/>
      <c r="DB878" s="1114"/>
      <c r="DC878" s="1114"/>
      <c r="DD878" s="1114"/>
      <c r="DE878" s="1114"/>
      <c r="DF878" s="1114"/>
      <c r="DG878" s="1114"/>
      <c r="DH878" s="1114"/>
      <c r="DI878" s="1114"/>
      <c r="DJ878" s="1114"/>
      <c r="DK878" s="1114"/>
      <c r="DL878" s="1114"/>
      <c r="DM878" s="1114"/>
      <c r="DN878" s="1114"/>
      <c r="DO878" s="1114"/>
      <c r="DP878" s="1114"/>
      <c r="DQ878" s="1114"/>
      <c r="DR878" s="1114"/>
      <c r="DS878" s="1114"/>
      <c r="DT878" s="1114"/>
      <c r="DU878" s="1114"/>
      <c r="DV878" s="1115"/>
      <c r="DW878" s="1116"/>
      <c r="DX878" s="1116"/>
      <c r="DY878" s="1116"/>
      <c r="DZ878" s="1116"/>
      <c r="EA878" s="1116"/>
      <c r="EB878" s="1116"/>
      <c r="EC878" s="1116"/>
      <c r="ED878" s="1116"/>
      <c r="EE878" s="1116"/>
      <c r="EF878" s="1116"/>
      <c r="EG878" s="1116"/>
      <c r="EH878" s="1116"/>
      <c r="EI878" s="1116"/>
      <c r="EJ878" s="1116"/>
      <c r="EK878" s="1116"/>
      <c r="EL878" s="1116"/>
      <c r="EM878" s="1116"/>
      <c r="EN878" s="1116"/>
      <c r="EO878" s="1116"/>
      <c r="EP878" s="1116"/>
      <c r="EQ878" s="1116"/>
      <c r="ER878" s="1116"/>
      <c r="ES878" s="1116"/>
    </row>
    <row r="879" spans="1:149" ht="15" customHeight="1">
      <c r="A879" s="1185">
        <v>864</v>
      </c>
      <c r="B879" s="1041"/>
      <c r="C879" s="1050"/>
      <c r="D879" s="1050"/>
      <c r="E879" s="1050"/>
      <c r="F879" s="1049"/>
      <c r="G879" s="1457"/>
      <c r="H879" s="1049"/>
      <c r="I879" s="1049"/>
      <c r="J879" s="1050"/>
      <c r="K879" s="1050"/>
      <c r="L879" s="1043"/>
      <c r="M879" s="1051"/>
      <c r="N879" s="1051"/>
      <c r="O879" s="1052"/>
      <c r="P879" s="1051"/>
      <c r="Q879" s="1051"/>
      <c r="R879" s="1052"/>
      <c r="S879" s="1051"/>
      <c r="T879" s="1051"/>
      <c r="U879" s="1052"/>
      <c r="V879" s="1051"/>
      <c r="W879" s="1051"/>
      <c r="X879" s="1052"/>
      <c r="Y879" s="1053"/>
      <c r="Z879" s="1051"/>
      <c r="AA879" s="1051"/>
      <c r="AB879" s="1052"/>
      <c r="AC879" s="1051"/>
      <c r="AD879" s="1051"/>
      <c r="AE879" s="1052"/>
      <c r="AF879" s="1051"/>
      <c r="AG879" s="1051"/>
      <c r="AH879" s="1051"/>
      <c r="AI879" s="1051"/>
      <c r="AJ879" s="1052"/>
      <c r="AK879" s="1051"/>
      <c r="AL879" s="1051"/>
      <c r="AM879" s="1052"/>
      <c r="AN879" s="1051"/>
      <c r="AO879" s="1051"/>
      <c r="AP879" s="1052"/>
      <c r="AQ879" s="1051"/>
      <c r="AR879" s="1051"/>
      <c r="AS879" s="1052"/>
      <c r="AT879" s="1051"/>
      <c r="AU879" s="1051"/>
      <c r="AV879" s="1052"/>
      <c r="AW879" s="1051"/>
      <c r="AX879" s="1051"/>
      <c r="AY879" s="1053"/>
      <c r="AZ879" s="1051"/>
      <c r="BA879" s="1051"/>
      <c r="BB879" s="1053"/>
      <c r="BC879" s="1051"/>
      <c r="BD879" s="1051"/>
      <c r="BE879" s="1053"/>
      <c r="BF879" s="1051"/>
      <c r="BG879" s="1051"/>
      <c r="BH879" s="1053"/>
      <c r="BI879" s="1052"/>
      <c r="BJ879" s="1052"/>
      <c r="BK879" s="1052"/>
      <c r="BL879" s="1052"/>
      <c r="BM879" s="1052"/>
      <c r="BN879" s="1054"/>
      <c r="BO879" s="1076">
        <f t="shared" si="24"/>
        <v>0</v>
      </c>
      <c r="BP879" s="1051"/>
      <c r="BQ879" s="1052"/>
      <c r="BR879" s="1054"/>
      <c r="BS879" s="1053"/>
      <c r="BT879" s="1051"/>
      <c r="BU879" s="1051"/>
      <c r="BV879" s="1051"/>
      <c r="BW879" s="1052"/>
      <c r="BX879" s="1052"/>
      <c r="BY879" s="1052"/>
      <c r="BZ879" s="1052"/>
      <c r="CA879" s="1052"/>
      <c r="CB879" s="1053"/>
      <c r="CC879" s="1053"/>
      <c r="CD879" s="1053"/>
      <c r="CE879" s="1053"/>
      <c r="CF879" s="1053"/>
      <c r="CG879" s="1053"/>
      <c r="CH879" s="1053"/>
      <c r="CI879" s="1123"/>
      <c r="CJ879" s="1123"/>
      <c r="CK879" s="1123"/>
      <c r="CL879" s="1123"/>
      <c r="CM879" s="1123"/>
      <c r="CN879" s="1123"/>
      <c r="CO879" s="1123"/>
      <c r="CP879" s="1123"/>
      <c r="CQ879" s="1123"/>
      <c r="CR879" s="1123"/>
      <c r="CS879" s="1123"/>
      <c r="CT879" s="1123"/>
      <c r="CU879" s="1123"/>
      <c r="CV879" s="1123"/>
      <c r="CW879" s="1123"/>
      <c r="CX879" s="1123"/>
      <c r="CY879" s="1123"/>
      <c r="CZ879" s="1114"/>
      <c r="DA879" s="1114"/>
      <c r="DB879" s="1114"/>
      <c r="DC879" s="1114"/>
      <c r="DD879" s="1114"/>
      <c r="DE879" s="1114"/>
      <c r="DF879" s="1114"/>
      <c r="DG879" s="1114"/>
      <c r="DH879" s="1114"/>
      <c r="DI879" s="1114"/>
      <c r="DJ879" s="1114"/>
      <c r="DK879" s="1114"/>
      <c r="DL879" s="1114"/>
      <c r="DM879" s="1114"/>
      <c r="DN879" s="1114"/>
      <c r="DO879" s="1114"/>
      <c r="DP879" s="1114"/>
      <c r="DQ879" s="1114"/>
      <c r="DR879" s="1114"/>
      <c r="DS879" s="1114"/>
      <c r="DT879" s="1114"/>
      <c r="DU879" s="1114"/>
      <c r="DV879" s="1115"/>
      <c r="DW879" s="1116"/>
      <c r="DX879" s="1116"/>
      <c r="DY879" s="1116"/>
      <c r="DZ879" s="1116"/>
      <c r="EA879" s="1116"/>
      <c r="EB879" s="1116"/>
      <c r="EC879" s="1116"/>
      <c r="ED879" s="1116"/>
      <c r="EE879" s="1116"/>
      <c r="EF879" s="1116"/>
      <c r="EG879" s="1116"/>
      <c r="EH879" s="1116"/>
      <c r="EI879" s="1116"/>
      <c r="EJ879" s="1116"/>
      <c r="EK879" s="1116"/>
      <c r="EL879" s="1116"/>
      <c r="EM879" s="1116"/>
      <c r="EN879" s="1116"/>
      <c r="EO879" s="1116"/>
      <c r="EP879" s="1116"/>
      <c r="EQ879" s="1116"/>
      <c r="ER879" s="1116"/>
      <c r="ES879" s="1116"/>
    </row>
    <row r="880" spans="1:149" ht="15" customHeight="1">
      <c r="A880" s="1185">
        <v>865</v>
      </c>
      <c r="B880" s="1041"/>
      <c r="C880" s="1050"/>
      <c r="D880" s="1050"/>
      <c r="E880" s="1050"/>
      <c r="F880" s="1049"/>
      <c r="G880" s="1457"/>
      <c r="H880" s="1049"/>
      <c r="I880" s="1049"/>
      <c r="J880" s="1050"/>
      <c r="K880" s="1050"/>
      <c r="L880" s="1043"/>
      <c r="M880" s="1051"/>
      <c r="N880" s="1051"/>
      <c r="O880" s="1052"/>
      <c r="P880" s="1051"/>
      <c r="Q880" s="1051"/>
      <c r="R880" s="1052"/>
      <c r="S880" s="1051"/>
      <c r="T880" s="1051"/>
      <c r="U880" s="1052"/>
      <c r="V880" s="1051"/>
      <c r="W880" s="1051"/>
      <c r="X880" s="1052"/>
      <c r="Y880" s="1053"/>
      <c r="Z880" s="1051"/>
      <c r="AA880" s="1051"/>
      <c r="AB880" s="1052"/>
      <c r="AC880" s="1051"/>
      <c r="AD880" s="1051"/>
      <c r="AE880" s="1052"/>
      <c r="AF880" s="1051"/>
      <c r="AG880" s="1051"/>
      <c r="AH880" s="1051"/>
      <c r="AI880" s="1051"/>
      <c r="AJ880" s="1052"/>
      <c r="AK880" s="1051"/>
      <c r="AL880" s="1051"/>
      <c r="AM880" s="1052"/>
      <c r="AN880" s="1051"/>
      <c r="AO880" s="1051"/>
      <c r="AP880" s="1052"/>
      <c r="AQ880" s="1051"/>
      <c r="AR880" s="1051"/>
      <c r="AS880" s="1052"/>
      <c r="AT880" s="1051"/>
      <c r="AU880" s="1051"/>
      <c r="AV880" s="1052"/>
      <c r="AW880" s="1051"/>
      <c r="AX880" s="1051"/>
      <c r="AY880" s="1053"/>
      <c r="AZ880" s="1051"/>
      <c r="BA880" s="1051"/>
      <c r="BB880" s="1053"/>
      <c r="BC880" s="1051"/>
      <c r="BD880" s="1051"/>
      <c r="BE880" s="1053"/>
      <c r="BF880" s="1051"/>
      <c r="BG880" s="1051"/>
      <c r="BH880" s="1053"/>
      <c r="BI880" s="1052"/>
      <c r="BJ880" s="1052"/>
      <c r="BK880" s="1052"/>
      <c r="BL880" s="1052"/>
      <c r="BM880" s="1052"/>
      <c r="BN880" s="1054"/>
      <c r="BO880" s="1076">
        <f t="shared" si="24"/>
        <v>0</v>
      </c>
      <c r="BP880" s="1051"/>
      <c r="BQ880" s="1052"/>
      <c r="BR880" s="1054"/>
      <c r="BS880" s="1053"/>
      <c r="BT880" s="1051"/>
      <c r="BU880" s="1051"/>
      <c r="BV880" s="1051"/>
      <c r="BW880" s="1052"/>
      <c r="BX880" s="1052"/>
      <c r="BY880" s="1052"/>
      <c r="BZ880" s="1052"/>
      <c r="CA880" s="1052"/>
      <c r="CB880" s="1053"/>
      <c r="CC880" s="1053"/>
      <c r="CD880" s="1053"/>
      <c r="CE880" s="1053"/>
      <c r="CF880" s="1053"/>
      <c r="CG880" s="1053"/>
      <c r="CH880" s="1053"/>
      <c r="CI880" s="1123"/>
      <c r="CJ880" s="1123"/>
      <c r="CK880" s="1123"/>
      <c r="CL880" s="1123"/>
      <c r="CM880" s="1123"/>
      <c r="CN880" s="1123"/>
      <c r="CO880" s="1123"/>
      <c r="CP880" s="1123"/>
      <c r="CQ880" s="1123"/>
      <c r="CR880" s="1123"/>
      <c r="CS880" s="1123"/>
      <c r="CT880" s="1123"/>
      <c r="CU880" s="1123"/>
      <c r="CV880" s="1123"/>
      <c r="CW880" s="1123"/>
      <c r="CX880" s="1123"/>
      <c r="CY880" s="1123"/>
      <c r="CZ880" s="1114"/>
      <c r="DA880" s="1114"/>
      <c r="DB880" s="1114"/>
      <c r="DC880" s="1114"/>
      <c r="DD880" s="1114"/>
      <c r="DE880" s="1114"/>
      <c r="DF880" s="1114"/>
      <c r="DG880" s="1114"/>
      <c r="DH880" s="1114"/>
      <c r="DI880" s="1114"/>
      <c r="DJ880" s="1114"/>
      <c r="DK880" s="1114"/>
      <c r="DL880" s="1114"/>
      <c r="DM880" s="1114"/>
      <c r="DN880" s="1114"/>
      <c r="DO880" s="1114"/>
      <c r="DP880" s="1114"/>
      <c r="DQ880" s="1114"/>
      <c r="DR880" s="1114"/>
      <c r="DS880" s="1114"/>
      <c r="DT880" s="1114"/>
      <c r="DU880" s="1114"/>
      <c r="DV880" s="1115"/>
      <c r="DW880" s="1116"/>
      <c r="DX880" s="1116"/>
      <c r="DY880" s="1116"/>
      <c r="DZ880" s="1116"/>
      <c r="EA880" s="1116"/>
      <c r="EB880" s="1116"/>
      <c r="EC880" s="1116"/>
      <c r="ED880" s="1116"/>
      <c r="EE880" s="1116"/>
      <c r="EF880" s="1116"/>
      <c r="EG880" s="1116"/>
      <c r="EH880" s="1116"/>
      <c r="EI880" s="1116"/>
      <c r="EJ880" s="1116"/>
      <c r="EK880" s="1116"/>
      <c r="EL880" s="1116"/>
      <c r="EM880" s="1116"/>
      <c r="EN880" s="1116"/>
      <c r="EO880" s="1116"/>
      <c r="EP880" s="1116"/>
      <c r="EQ880" s="1116"/>
      <c r="ER880" s="1116"/>
      <c r="ES880" s="1116"/>
    </row>
    <row r="881" spans="1:149" ht="15" customHeight="1">
      <c r="A881" s="1185">
        <v>866</v>
      </c>
      <c r="B881" s="1041"/>
      <c r="C881" s="1050"/>
      <c r="D881" s="1050"/>
      <c r="E881" s="1050"/>
      <c r="F881" s="1049"/>
      <c r="G881" s="1457"/>
      <c r="H881" s="1049"/>
      <c r="I881" s="1049"/>
      <c r="J881" s="1050"/>
      <c r="K881" s="1050"/>
      <c r="L881" s="1043"/>
      <c r="M881" s="1051"/>
      <c r="N881" s="1051"/>
      <c r="O881" s="1052"/>
      <c r="P881" s="1051"/>
      <c r="Q881" s="1051"/>
      <c r="R881" s="1052"/>
      <c r="S881" s="1051"/>
      <c r="T881" s="1051"/>
      <c r="U881" s="1052"/>
      <c r="V881" s="1051"/>
      <c r="W881" s="1051"/>
      <c r="X881" s="1052"/>
      <c r="Y881" s="1053"/>
      <c r="Z881" s="1051"/>
      <c r="AA881" s="1051"/>
      <c r="AB881" s="1052"/>
      <c r="AC881" s="1051"/>
      <c r="AD881" s="1051"/>
      <c r="AE881" s="1052"/>
      <c r="AF881" s="1051"/>
      <c r="AG881" s="1051"/>
      <c r="AH881" s="1051"/>
      <c r="AI881" s="1051"/>
      <c r="AJ881" s="1052"/>
      <c r="AK881" s="1051"/>
      <c r="AL881" s="1051"/>
      <c r="AM881" s="1052"/>
      <c r="AN881" s="1051"/>
      <c r="AO881" s="1051"/>
      <c r="AP881" s="1052"/>
      <c r="AQ881" s="1051"/>
      <c r="AR881" s="1051"/>
      <c r="AS881" s="1052"/>
      <c r="AT881" s="1051"/>
      <c r="AU881" s="1051"/>
      <c r="AV881" s="1052"/>
      <c r="AW881" s="1051"/>
      <c r="AX881" s="1051"/>
      <c r="AY881" s="1053"/>
      <c r="AZ881" s="1051"/>
      <c r="BA881" s="1051"/>
      <c r="BB881" s="1053"/>
      <c r="BC881" s="1051"/>
      <c r="BD881" s="1051"/>
      <c r="BE881" s="1053"/>
      <c r="BF881" s="1051"/>
      <c r="BG881" s="1051"/>
      <c r="BH881" s="1053"/>
      <c r="BI881" s="1052"/>
      <c r="BJ881" s="1052"/>
      <c r="BK881" s="1052"/>
      <c r="BL881" s="1052"/>
      <c r="BM881" s="1052"/>
      <c r="BN881" s="1054"/>
      <c r="BO881" s="1076">
        <f t="shared" si="24"/>
        <v>0</v>
      </c>
      <c r="BP881" s="1051"/>
      <c r="BQ881" s="1052"/>
      <c r="BR881" s="1054"/>
      <c r="BS881" s="1053"/>
      <c r="BT881" s="1051"/>
      <c r="BU881" s="1051"/>
      <c r="BV881" s="1051"/>
      <c r="BW881" s="1052"/>
      <c r="BX881" s="1052"/>
      <c r="BY881" s="1052"/>
      <c r="BZ881" s="1052"/>
      <c r="CA881" s="1052"/>
      <c r="CB881" s="1053"/>
      <c r="CC881" s="1053"/>
      <c r="CD881" s="1053"/>
      <c r="CE881" s="1053"/>
      <c r="CF881" s="1053"/>
      <c r="CG881" s="1053"/>
      <c r="CH881" s="1053"/>
      <c r="CI881" s="1123"/>
      <c r="CJ881" s="1123"/>
      <c r="CK881" s="1123"/>
      <c r="CL881" s="1123"/>
      <c r="CM881" s="1123"/>
      <c r="CN881" s="1123"/>
      <c r="CO881" s="1123"/>
      <c r="CP881" s="1123"/>
      <c r="CQ881" s="1123"/>
      <c r="CR881" s="1123"/>
      <c r="CS881" s="1123"/>
      <c r="CT881" s="1123"/>
      <c r="CU881" s="1123"/>
      <c r="CV881" s="1123"/>
      <c r="CW881" s="1123"/>
      <c r="CX881" s="1123"/>
      <c r="CY881" s="1123"/>
      <c r="CZ881" s="1114"/>
      <c r="DA881" s="1114"/>
      <c r="DB881" s="1114"/>
      <c r="DC881" s="1114"/>
      <c r="DD881" s="1114"/>
      <c r="DE881" s="1114"/>
      <c r="DF881" s="1114"/>
      <c r="DG881" s="1114"/>
      <c r="DH881" s="1114"/>
      <c r="DI881" s="1114"/>
      <c r="DJ881" s="1114"/>
      <c r="DK881" s="1114"/>
      <c r="DL881" s="1114"/>
      <c r="DM881" s="1114"/>
      <c r="DN881" s="1114"/>
      <c r="DO881" s="1114"/>
      <c r="DP881" s="1114"/>
      <c r="DQ881" s="1114"/>
      <c r="DR881" s="1114"/>
      <c r="DS881" s="1114"/>
      <c r="DT881" s="1114"/>
      <c r="DU881" s="1114"/>
      <c r="DV881" s="1115"/>
      <c r="DW881" s="1116"/>
      <c r="DX881" s="1116"/>
      <c r="DY881" s="1116"/>
      <c r="DZ881" s="1116"/>
      <c r="EA881" s="1116"/>
      <c r="EB881" s="1116"/>
      <c r="EC881" s="1116"/>
      <c r="ED881" s="1116"/>
      <c r="EE881" s="1116"/>
      <c r="EF881" s="1116"/>
      <c r="EG881" s="1116"/>
      <c r="EH881" s="1116"/>
      <c r="EI881" s="1116"/>
      <c r="EJ881" s="1116"/>
      <c r="EK881" s="1116"/>
      <c r="EL881" s="1116"/>
      <c r="EM881" s="1116"/>
      <c r="EN881" s="1116"/>
      <c r="EO881" s="1116"/>
      <c r="EP881" s="1116"/>
      <c r="EQ881" s="1116"/>
      <c r="ER881" s="1116"/>
      <c r="ES881" s="1116"/>
    </row>
    <row r="882" spans="1:149" ht="15" customHeight="1">
      <c r="A882" s="1185">
        <v>867</v>
      </c>
      <c r="B882" s="1041"/>
      <c r="C882" s="1050"/>
      <c r="D882" s="1050"/>
      <c r="E882" s="1050"/>
      <c r="F882" s="1049"/>
      <c r="G882" s="1457"/>
      <c r="H882" s="1049"/>
      <c r="I882" s="1049"/>
      <c r="J882" s="1050"/>
      <c r="K882" s="1050"/>
      <c r="L882" s="1043"/>
      <c r="M882" s="1051"/>
      <c r="N882" s="1051"/>
      <c r="O882" s="1052"/>
      <c r="P882" s="1051"/>
      <c r="Q882" s="1051"/>
      <c r="R882" s="1052"/>
      <c r="S882" s="1051"/>
      <c r="T882" s="1051"/>
      <c r="U882" s="1052"/>
      <c r="V882" s="1051"/>
      <c r="W882" s="1051"/>
      <c r="X882" s="1052"/>
      <c r="Y882" s="1053"/>
      <c r="Z882" s="1051"/>
      <c r="AA882" s="1051"/>
      <c r="AB882" s="1052"/>
      <c r="AC882" s="1051"/>
      <c r="AD882" s="1051"/>
      <c r="AE882" s="1052"/>
      <c r="AF882" s="1051"/>
      <c r="AG882" s="1051"/>
      <c r="AH882" s="1051"/>
      <c r="AI882" s="1051"/>
      <c r="AJ882" s="1052"/>
      <c r="AK882" s="1051"/>
      <c r="AL882" s="1051"/>
      <c r="AM882" s="1052"/>
      <c r="AN882" s="1051"/>
      <c r="AO882" s="1051"/>
      <c r="AP882" s="1052"/>
      <c r="AQ882" s="1051"/>
      <c r="AR882" s="1051"/>
      <c r="AS882" s="1052"/>
      <c r="AT882" s="1051"/>
      <c r="AU882" s="1051"/>
      <c r="AV882" s="1052"/>
      <c r="AW882" s="1051"/>
      <c r="AX882" s="1051"/>
      <c r="AY882" s="1053"/>
      <c r="AZ882" s="1051"/>
      <c r="BA882" s="1051"/>
      <c r="BB882" s="1053"/>
      <c r="BC882" s="1051"/>
      <c r="BD882" s="1051"/>
      <c r="BE882" s="1053"/>
      <c r="BF882" s="1051"/>
      <c r="BG882" s="1051"/>
      <c r="BH882" s="1053"/>
      <c r="BI882" s="1052"/>
      <c r="BJ882" s="1052"/>
      <c r="BK882" s="1052"/>
      <c r="BL882" s="1052"/>
      <c r="BM882" s="1052"/>
      <c r="BN882" s="1054"/>
      <c r="BO882" s="1076">
        <f t="shared" si="24"/>
        <v>0</v>
      </c>
      <c r="BP882" s="1051"/>
      <c r="BQ882" s="1052"/>
      <c r="BR882" s="1054"/>
      <c r="BS882" s="1053"/>
      <c r="BT882" s="1051"/>
      <c r="BU882" s="1051"/>
      <c r="BV882" s="1051"/>
      <c r="BW882" s="1052"/>
      <c r="BX882" s="1052"/>
      <c r="BY882" s="1052"/>
      <c r="BZ882" s="1052"/>
      <c r="CA882" s="1052"/>
      <c r="CB882" s="1053"/>
      <c r="CC882" s="1053"/>
      <c r="CD882" s="1053"/>
      <c r="CE882" s="1053"/>
      <c r="CF882" s="1053"/>
      <c r="CG882" s="1053"/>
      <c r="CH882" s="1053"/>
      <c r="CI882" s="1123"/>
      <c r="CJ882" s="1123"/>
      <c r="CK882" s="1123"/>
      <c r="CL882" s="1123"/>
      <c r="CM882" s="1123"/>
      <c r="CN882" s="1123"/>
      <c r="CO882" s="1123"/>
      <c r="CP882" s="1123"/>
      <c r="CQ882" s="1123"/>
      <c r="CR882" s="1123"/>
      <c r="CS882" s="1123"/>
      <c r="CT882" s="1123"/>
      <c r="CU882" s="1123"/>
      <c r="CV882" s="1123"/>
      <c r="CW882" s="1123"/>
      <c r="CX882" s="1123"/>
      <c r="CY882" s="1123"/>
      <c r="CZ882" s="1114"/>
      <c r="DA882" s="1114"/>
      <c r="DB882" s="1114"/>
      <c r="DC882" s="1114"/>
      <c r="DD882" s="1114"/>
      <c r="DE882" s="1114"/>
      <c r="DF882" s="1114"/>
      <c r="DG882" s="1114"/>
      <c r="DH882" s="1114"/>
      <c r="DI882" s="1114"/>
      <c r="DJ882" s="1114"/>
      <c r="DK882" s="1114"/>
      <c r="DL882" s="1114"/>
      <c r="DM882" s="1114"/>
      <c r="DN882" s="1114"/>
      <c r="DO882" s="1114"/>
      <c r="DP882" s="1114"/>
      <c r="DQ882" s="1114"/>
      <c r="DR882" s="1114"/>
      <c r="DS882" s="1114"/>
      <c r="DT882" s="1114"/>
      <c r="DU882" s="1114"/>
      <c r="DV882" s="1115"/>
      <c r="DW882" s="1116"/>
      <c r="DX882" s="1116"/>
      <c r="DY882" s="1116"/>
      <c r="DZ882" s="1116"/>
      <c r="EA882" s="1116"/>
      <c r="EB882" s="1116"/>
      <c r="EC882" s="1116"/>
      <c r="ED882" s="1116"/>
      <c r="EE882" s="1116"/>
      <c r="EF882" s="1116"/>
      <c r="EG882" s="1116"/>
      <c r="EH882" s="1116"/>
      <c r="EI882" s="1116"/>
      <c r="EJ882" s="1116"/>
      <c r="EK882" s="1116"/>
      <c r="EL882" s="1116"/>
      <c r="EM882" s="1116"/>
      <c r="EN882" s="1116"/>
      <c r="EO882" s="1116"/>
      <c r="EP882" s="1116"/>
      <c r="EQ882" s="1116"/>
      <c r="ER882" s="1116"/>
      <c r="ES882" s="1116"/>
    </row>
    <row r="883" spans="1:149" ht="15" customHeight="1">
      <c r="A883" s="1185">
        <v>868</v>
      </c>
      <c r="B883" s="1041"/>
      <c r="C883" s="1050"/>
      <c r="D883" s="1050"/>
      <c r="E883" s="1050"/>
      <c r="F883" s="1049"/>
      <c r="G883" s="1457"/>
      <c r="H883" s="1049"/>
      <c r="I883" s="1049"/>
      <c r="J883" s="1050"/>
      <c r="K883" s="1050"/>
      <c r="L883" s="1043"/>
      <c r="M883" s="1051"/>
      <c r="N883" s="1051"/>
      <c r="O883" s="1052"/>
      <c r="P883" s="1051"/>
      <c r="Q883" s="1051"/>
      <c r="R883" s="1052"/>
      <c r="S883" s="1051"/>
      <c r="T883" s="1051"/>
      <c r="U883" s="1052"/>
      <c r="V883" s="1051"/>
      <c r="W883" s="1051"/>
      <c r="X883" s="1052"/>
      <c r="Y883" s="1053"/>
      <c r="Z883" s="1051"/>
      <c r="AA883" s="1051"/>
      <c r="AB883" s="1052"/>
      <c r="AC883" s="1051"/>
      <c r="AD883" s="1051"/>
      <c r="AE883" s="1052"/>
      <c r="AF883" s="1051"/>
      <c r="AG883" s="1051"/>
      <c r="AH883" s="1051"/>
      <c r="AI883" s="1051"/>
      <c r="AJ883" s="1052"/>
      <c r="AK883" s="1051"/>
      <c r="AL883" s="1051"/>
      <c r="AM883" s="1052"/>
      <c r="AN883" s="1051"/>
      <c r="AO883" s="1051"/>
      <c r="AP883" s="1052"/>
      <c r="AQ883" s="1051"/>
      <c r="AR883" s="1051"/>
      <c r="AS883" s="1052"/>
      <c r="AT883" s="1051"/>
      <c r="AU883" s="1051"/>
      <c r="AV883" s="1052"/>
      <c r="AW883" s="1051"/>
      <c r="AX883" s="1051"/>
      <c r="AY883" s="1053"/>
      <c r="AZ883" s="1051"/>
      <c r="BA883" s="1051"/>
      <c r="BB883" s="1053"/>
      <c r="BC883" s="1051"/>
      <c r="BD883" s="1051"/>
      <c r="BE883" s="1053"/>
      <c r="BF883" s="1051"/>
      <c r="BG883" s="1051"/>
      <c r="BH883" s="1053"/>
      <c r="BI883" s="1052"/>
      <c r="BJ883" s="1052"/>
      <c r="BK883" s="1052"/>
      <c r="BL883" s="1052"/>
      <c r="BM883" s="1052"/>
      <c r="BN883" s="1054"/>
      <c r="BO883" s="1076">
        <f t="shared" si="24"/>
        <v>0</v>
      </c>
      <c r="BP883" s="1051"/>
      <c r="BQ883" s="1052"/>
      <c r="BR883" s="1054"/>
      <c r="BS883" s="1053"/>
      <c r="BT883" s="1051"/>
      <c r="BU883" s="1051"/>
      <c r="BV883" s="1051"/>
      <c r="BW883" s="1052"/>
      <c r="BX883" s="1052"/>
      <c r="BY883" s="1052"/>
      <c r="BZ883" s="1052"/>
      <c r="CA883" s="1052"/>
      <c r="CB883" s="1053"/>
      <c r="CC883" s="1053"/>
      <c r="CD883" s="1053"/>
      <c r="CE883" s="1053"/>
      <c r="CF883" s="1053"/>
      <c r="CG883" s="1053"/>
      <c r="CH883" s="1053"/>
      <c r="CI883" s="1123"/>
      <c r="CJ883" s="1123"/>
      <c r="CK883" s="1123"/>
      <c r="CL883" s="1123"/>
      <c r="CM883" s="1123"/>
      <c r="CN883" s="1123"/>
      <c r="CO883" s="1123"/>
      <c r="CP883" s="1123"/>
      <c r="CQ883" s="1123"/>
      <c r="CR883" s="1123"/>
      <c r="CS883" s="1123"/>
      <c r="CT883" s="1123"/>
      <c r="CU883" s="1123"/>
      <c r="CV883" s="1123"/>
      <c r="CW883" s="1123"/>
      <c r="CX883" s="1123"/>
      <c r="CY883" s="1123"/>
      <c r="CZ883" s="1114"/>
      <c r="DA883" s="1114"/>
      <c r="DB883" s="1114"/>
      <c r="DC883" s="1114"/>
      <c r="DD883" s="1114"/>
      <c r="DE883" s="1114"/>
      <c r="DF883" s="1114"/>
      <c r="DG883" s="1114"/>
      <c r="DH883" s="1114"/>
      <c r="DI883" s="1114"/>
      <c r="DJ883" s="1114"/>
      <c r="DK883" s="1114"/>
      <c r="DL883" s="1114"/>
      <c r="DM883" s="1114"/>
      <c r="DN883" s="1114"/>
      <c r="DO883" s="1114"/>
      <c r="DP883" s="1114"/>
      <c r="DQ883" s="1114"/>
      <c r="DR883" s="1114"/>
      <c r="DS883" s="1114"/>
      <c r="DT883" s="1114"/>
      <c r="DU883" s="1114"/>
      <c r="DV883" s="1115"/>
      <c r="DW883" s="1116"/>
      <c r="DX883" s="1116"/>
      <c r="DY883" s="1116"/>
      <c r="DZ883" s="1116"/>
      <c r="EA883" s="1116"/>
      <c r="EB883" s="1116"/>
      <c r="EC883" s="1116"/>
      <c r="ED883" s="1116"/>
      <c r="EE883" s="1116"/>
      <c r="EF883" s="1116"/>
      <c r="EG883" s="1116"/>
      <c r="EH883" s="1116"/>
      <c r="EI883" s="1116"/>
      <c r="EJ883" s="1116"/>
      <c r="EK883" s="1116"/>
      <c r="EL883" s="1116"/>
      <c r="EM883" s="1116"/>
      <c r="EN883" s="1116"/>
      <c r="EO883" s="1116"/>
      <c r="EP883" s="1116"/>
      <c r="EQ883" s="1116"/>
      <c r="ER883" s="1116"/>
      <c r="ES883" s="1116"/>
    </row>
    <row r="884" spans="1:149" ht="15" customHeight="1">
      <c r="A884" s="1185">
        <v>869</v>
      </c>
      <c r="B884" s="1041"/>
      <c r="C884" s="1050"/>
      <c r="D884" s="1050"/>
      <c r="E884" s="1050"/>
      <c r="F884" s="1049"/>
      <c r="G884" s="1457"/>
      <c r="H884" s="1049"/>
      <c r="I884" s="1049"/>
      <c r="J884" s="1050"/>
      <c r="K884" s="1050"/>
      <c r="L884" s="1043"/>
      <c r="M884" s="1051"/>
      <c r="N884" s="1051"/>
      <c r="O884" s="1052"/>
      <c r="P884" s="1051"/>
      <c r="Q884" s="1051"/>
      <c r="R884" s="1052"/>
      <c r="S884" s="1051"/>
      <c r="T884" s="1051"/>
      <c r="U884" s="1052"/>
      <c r="V884" s="1051"/>
      <c r="W884" s="1051"/>
      <c r="X884" s="1052"/>
      <c r="Y884" s="1053"/>
      <c r="Z884" s="1051"/>
      <c r="AA884" s="1051"/>
      <c r="AB884" s="1052"/>
      <c r="AC884" s="1051"/>
      <c r="AD884" s="1051"/>
      <c r="AE884" s="1052"/>
      <c r="AF884" s="1051"/>
      <c r="AG884" s="1051"/>
      <c r="AH884" s="1051"/>
      <c r="AI884" s="1051"/>
      <c r="AJ884" s="1052"/>
      <c r="AK884" s="1051"/>
      <c r="AL884" s="1051"/>
      <c r="AM884" s="1052"/>
      <c r="AN884" s="1051"/>
      <c r="AO884" s="1051"/>
      <c r="AP884" s="1052"/>
      <c r="AQ884" s="1051"/>
      <c r="AR884" s="1051"/>
      <c r="AS884" s="1052"/>
      <c r="AT884" s="1051"/>
      <c r="AU884" s="1051"/>
      <c r="AV884" s="1052"/>
      <c r="AW884" s="1051"/>
      <c r="AX884" s="1051"/>
      <c r="AY884" s="1053"/>
      <c r="AZ884" s="1051"/>
      <c r="BA884" s="1051"/>
      <c r="BB884" s="1053"/>
      <c r="BC884" s="1051"/>
      <c r="BD884" s="1051"/>
      <c r="BE884" s="1053"/>
      <c r="BF884" s="1051"/>
      <c r="BG884" s="1051"/>
      <c r="BH884" s="1053"/>
      <c r="BI884" s="1052"/>
      <c r="BJ884" s="1052"/>
      <c r="BK884" s="1052"/>
      <c r="BL884" s="1052"/>
      <c r="BM884" s="1052"/>
      <c r="BN884" s="1054"/>
      <c r="BO884" s="1076">
        <f t="shared" si="24"/>
        <v>0</v>
      </c>
      <c r="BP884" s="1051"/>
      <c r="BQ884" s="1052"/>
      <c r="BR884" s="1054"/>
      <c r="BS884" s="1053"/>
      <c r="BT884" s="1051"/>
      <c r="BU884" s="1051"/>
      <c r="BV884" s="1051"/>
      <c r="BW884" s="1052"/>
      <c r="BX884" s="1052"/>
      <c r="BY884" s="1052"/>
      <c r="BZ884" s="1052"/>
      <c r="CA884" s="1052"/>
      <c r="CB884" s="1053"/>
      <c r="CC884" s="1053"/>
      <c r="CD884" s="1053"/>
      <c r="CE884" s="1053"/>
      <c r="CF884" s="1053"/>
      <c r="CG884" s="1053"/>
      <c r="CH884" s="1053"/>
      <c r="CI884" s="1123"/>
      <c r="CJ884" s="1123"/>
      <c r="CK884" s="1123"/>
      <c r="CL884" s="1123"/>
      <c r="CM884" s="1123"/>
      <c r="CN884" s="1123"/>
      <c r="CO884" s="1123"/>
      <c r="CP884" s="1123"/>
      <c r="CQ884" s="1123"/>
      <c r="CR884" s="1123"/>
      <c r="CS884" s="1123"/>
      <c r="CT884" s="1123"/>
      <c r="CU884" s="1123"/>
      <c r="CV884" s="1123"/>
      <c r="CW884" s="1123"/>
      <c r="CX884" s="1123"/>
      <c r="CY884" s="1123"/>
      <c r="CZ884" s="1114"/>
      <c r="DA884" s="1114"/>
      <c r="DB884" s="1114"/>
      <c r="DC884" s="1114"/>
      <c r="DD884" s="1114"/>
      <c r="DE884" s="1114"/>
      <c r="DF884" s="1114"/>
      <c r="DG884" s="1114"/>
      <c r="DH884" s="1114"/>
      <c r="DI884" s="1114"/>
      <c r="DJ884" s="1114"/>
      <c r="DK884" s="1114"/>
      <c r="DL884" s="1114"/>
      <c r="DM884" s="1114"/>
      <c r="DN884" s="1114"/>
      <c r="DO884" s="1114"/>
      <c r="DP884" s="1114"/>
      <c r="DQ884" s="1114"/>
      <c r="DR884" s="1114"/>
      <c r="DS884" s="1114"/>
      <c r="DT884" s="1114"/>
      <c r="DU884" s="1114"/>
      <c r="DV884" s="1115"/>
      <c r="DW884" s="1116"/>
      <c r="DX884" s="1116"/>
      <c r="DY884" s="1116"/>
      <c r="DZ884" s="1116"/>
      <c r="EA884" s="1116"/>
      <c r="EB884" s="1116"/>
      <c r="EC884" s="1116"/>
      <c r="ED884" s="1116"/>
      <c r="EE884" s="1116"/>
      <c r="EF884" s="1116"/>
      <c r="EG884" s="1116"/>
      <c r="EH884" s="1116"/>
      <c r="EI884" s="1116"/>
      <c r="EJ884" s="1116"/>
      <c r="EK884" s="1116"/>
      <c r="EL884" s="1116"/>
      <c r="EM884" s="1116"/>
      <c r="EN884" s="1116"/>
      <c r="EO884" s="1116"/>
      <c r="EP884" s="1116"/>
      <c r="EQ884" s="1116"/>
      <c r="ER884" s="1116"/>
      <c r="ES884" s="1116"/>
    </row>
    <row r="885" spans="1:149" ht="15" customHeight="1">
      <c r="A885" s="1185">
        <v>870</v>
      </c>
      <c r="B885" s="1041"/>
      <c r="C885" s="1050"/>
      <c r="D885" s="1050"/>
      <c r="E885" s="1050"/>
      <c r="F885" s="1049"/>
      <c r="G885" s="1457"/>
      <c r="H885" s="1049"/>
      <c r="I885" s="1049"/>
      <c r="J885" s="1050"/>
      <c r="K885" s="1050"/>
      <c r="L885" s="1043"/>
      <c r="M885" s="1051"/>
      <c r="N885" s="1051"/>
      <c r="O885" s="1052"/>
      <c r="P885" s="1051"/>
      <c r="Q885" s="1051"/>
      <c r="R885" s="1052"/>
      <c r="S885" s="1051"/>
      <c r="T885" s="1051"/>
      <c r="U885" s="1052"/>
      <c r="V885" s="1051"/>
      <c r="W885" s="1051"/>
      <c r="X885" s="1052"/>
      <c r="Y885" s="1053"/>
      <c r="Z885" s="1051"/>
      <c r="AA885" s="1051"/>
      <c r="AB885" s="1052"/>
      <c r="AC885" s="1051"/>
      <c r="AD885" s="1051"/>
      <c r="AE885" s="1052"/>
      <c r="AF885" s="1051"/>
      <c r="AG885" s="1051"/>
      <c r="AH885" s="1051"/>
      <c r="AI885" s="1051"/>
      <c r="AJ885" s="1052"/>
      <c r="AK885" s="1051"/>
      <c r="AL885" s="1051"/>
      <c r="AM885" s="1052"/>
      <c r="AN885" s="1051"/>
      <c r="AO885" s="1051"/>
      <c r="AP885" s="1052"/>
      <c r="AQ885" s="1051"/>
      <c r="AR885" s="1051"/>
      <c r="AS885" s="1052"/>
      <c r="AT885" s="1051"/>
      <c r="AU885" s="1051"/>
      <c r="AV885" s="1052"/>
      <c r="AW885" s="1051"/>
      <c r="AX885" s="1051"/>
      <c r="AY885" s="1053"/>
      <c r="AZ885" s="1051"/>
      <c r="BA885" s="1051"/>
      <c r="BB885" s="1053"/>
      <c r="BC885" s="1051"/>
      <c r="BD885" s="1051"/>
      <c r="BE885" s="1053"/>
      <c r="BF885" s="1051"/>
      <c r="BG885" s="1051"/>
      <c r="BH885" s="1053"/>
      <c r="BI885" s="1052"/>
      <c r="BJ885" s="1052"/>
      <c r="BK885" s="1052"/>
      <c r="BL885" s="1052"/>
      <c r="BM885" s="1052"/>
      <c r="BN885" s="1054"/>
      <c r="BO885" s="1076">
        <f t="shared" si="24"/>
        <v>0</v>
      </c>
      <c r="BP885" s="1051"/>
      <c r="BQ885" s="1052"/>
      <c r="BR885" s="1054"/>
      <c r="BS885" s="1053"/>
      <c r="BT885" s="1051"/>
      <c r="BU885" s="1051"/>
      <c r="BV885" s="1051"/>
      <c r="BW885" s="1052"/>
      <c r="BX885" s="1052"/>
      <c r="BY885" s="1052"/>
      <c r="BZ885" s="1052"/>
      <c r="CA885" s="1052"/>
      <c r="CB885" s="1053"/>
      <c r="CC885" s="1053"/>
      <c r="CD885" s="1053"/>
      <c r="CE885" s="1053"/>
      <c r="CF885" s="1053"/>
      <c r="CG885" s="1053"/>
      <c r="CH885" s="1053"/>
      <c r="CI885" s="1123"/>
      <c r="CJ885" s="1123"/>
      <c r="CK885" s="1123"/>
      <c r="CL885" s="1123"/>
      <c r="CM885" s="1123"/>
      <c r="CN885" s="1123"/>
      <c r="CO885" s="1123"/>
      <c r="CP885" s="1123"/>
      <c r="CQ885" s="1123"/>
      <c r="CR885" s="1123"/>
      <c r="CS885" s="1123"/>
      <c r="CT885" s="1123"/>
      <c r="CU885" s="1123"/>
      <c r="CV885" s="1123"/>
      <c r="CW885" s="1123"/>
      <c r="CX885" s="1123"/>
      <c r="CY885" s="1123"/>
      <c r="CZ885" s="1114"/>
      <c r="DA885" s="1114"/>
      <c r="DB885" s="1114"/>
      <c r="DC885" s="1114"/>
      <c r="DD885" s="1114"/>
      <c r="DE885" s="1114"/>
      <c r="DF885" s="1114"/>
      <c r="DG885" s="1114"/>
      <c r="DH885" s="1114"/>
      <c r="DI885" s="1114"/>
      <c r="DJ885" s="1114"/>
      <c r="DK885" s="1114"/>
      <c r="DL885" s="1114"/>
      <c r="DM885" s="1114"/>
      <c r="DN885" s="1114"/>
      <c r="DO885" s="1114"/>
      <c r="DP885" s="1114"/>
      <c r="DQ885" s="1114"/>
      <c r="DR885" s="1114"/>
      <c r="DS885" s="1114"/>
      <c r="DT885" s="1114"/>
      <c r="DU885" s="1114"/>
      <c r="DV885" s="1115"/>
      <c r="DW885" s="1116"/>
      <c r="DX885" s="1116"/>
      <c r="DY885" s="1116"/>
      <c r="DZ885" s="1116"/>
      <c r="EA885" s="1116"/>
      <c r="EB885" s="1116"/>
      <c r="EC885" s="1116"/>
      <c r="ED885" s="1116"/>
      <c r="EE885" s="1116"/>
      <c r="EF885" s="1116"/>
      <c r="EG885" s="1116"/>
      <c r="EH885" s="1116"/>
      <c r="EI885" s="1116"/>
      <c r="EJ885" s="1116"/>
      <c r="EK885" s="1116"/>
      <c r="EL885" s="1116"/>
      <c r="EM885" s="1116"/>
      <c r="EN885" s="1116"/>
      <c r="EO885" s="1116"/>
      <c r="EP885" s="1116"/>
      <c r="EQ885" s="1116"/>
      <c r="ER885" s="1116"/>
      <c r="ES885" s="1116"/>
    </row>
    <row r="886" spans="1:149" ht="15" customHeight="1">
      <c r="A886" s="1185">
        <v>871</v>
      </c>
      <c r="B886" s="1041"/>
      <c r="C886" s="1050"/>
      <c r="D886" s="1050"/>
      <c r="E886" s="1050"/>
      <c r="F886" s="1049"/>
      <c r="G886" s="1457"/>
      <c r="H886" s="1049"/>
      <c r="I886" s="1049"/>
      <c r="J886" s="1050"/>
      <c r="K886" s="1050"/>
      <c r="L886" s="1043"/>
      <c r="M886" s="1051"/>
      <c r="N886" s="1051"/>
      <c r="O886" s="1052"/>
      <c r="P886" s="1051"/>
      <c r="Q886" s="1051"/>
      <c r="R886" s="1052"/>
      <c r="S886" s="1051"/>
      <c r="T886" s="1051"/>
      <c r="U886" s="1052"/>
      <c r="V886" s="1051"/>
      <c r="W886" s="1051"/>
      <c r="X886" s="1052"/>
      <c r="Y886" s="1053"/>
      <c r="Z886" s="1051"/>
      <c r="AA886" s="1051"/>
      <c r="AB886" s="1052"/>
      <c r="AC886" s="1051"/>
      <c r="AD886" s="1051"/>
      <c r="AE886" s="1052"/>
      <c r="AF886" s="1051"/>
      <c r="AG886" s="1051"/>
      <c r="AH886" s="1051"/>
      <c r="AI886" s="1051"/>
      <c r="AJ886" s="1052"/>
      <c r="AK886" s="1051"/>
      <c r="AL886" s="1051"/>
      <c r="AM886" s="1052"/>
      <c r="AN886" s="1051"/>
      <c r="AO886" s="1051"/>
      <c r="AP886" s="1052"/>
      <c r="AQ886" s="1051"/>
      <c r="AR886" s="1051"/>
      <c r="AS886" s="1052"/>
      <c r="AT886" s="1051"/>
      <c r="AU886" s="1051"/>
      <c r="AV886" s="1052"/>
      <c r="AW886" s="1051"/>
      <c r="AX886" s="1051"/>
      <c r="AY886" s="1053"/>
      <c r="AZ886" s="1051"/>
      <c r="BA886" s="1051"/>
      <c r="BB886" s="1053"/>
      <c r="BC886" s="1051"/>
      <c r="BD886" s="1051"/>
      <c r="BE886" s="1053"/>
      <c r="BF886" s="1051"/>
      <c r="BG886" s="1051"/>
      <c r="BH886" s="1053"/>
      <c r="BI886" s="1052"/>
      <c r="BJ886" s="1052"/>
      <c r="BK886" s="1052"/>
      <c r="BL886" s="1052"/>
      <c r="BM886" s="1052"/>
      <c r="BN886" s="1054"/>
      <c r="BO886" s="1076">
        <f t="shared" ref="BO886:BO949" si="25">H886</f>
        <v>0</v>
      </c>
      <c r="BP886" s="1051"/>
      <c r="BQ886" s="1052"/>
      <c r="BR886" s="1054"/>
      <c r="BS886" s="1053"/>
      <c r="BT886" s="1051"/>
      <c r="BU886" s="1051"/>
      <c r="BV886" s="1051"/>
      <c r="BW886" s="1052"/>
      <c r="BX886" s="1052"/>
      <c r="BY886" s="1052"/>
      <c r="BZ886" s="1052"/>
      <c r="CA886" s="1052"/>
      <c r="CB886" s="1053"/>
      <c r="CC886" s="1053"/>
      <c r="CD886" s="1053"/>
      <c r="CE886" s="1053"/>
      <c r="CF886" s="1053"/>
      <c r="CG886" s="1053"/>
      <c r="CH886" s="1053"/>
      <c r="CI886" s="1123"/>
      <c r="CJ886" s="1123"/>
      <c r="CK886" s="1123"/>
      <c r="CL886" s="1123"/>
      <c r="CM886" s="1123"/>
      <c r="CN886" s="1123"/>
      <c r="CO886" s="1123"/>
      <c r="CP886" s="1123"/>
      <c r="CQ886" s="1123"/>
      <c r="CR886" s="1123"/>
      <c r="CS886" s="1123"/>
      <c r="CT886" s="1123"/>
      <c r="CU886" s="1123"/>
      <c r="CV886" s="1123"/>
      <c r="CW886" s="1123"/>
      <c r="CX886" s="1123"/>
      <c r="CY886" s="1123"/>
      <c r="CZ886" s="1114"/>
      <c r="DA886" s="1114"/>
      <c r="DB886" s="1114"/>
      <c r="DC886" s="1114"/>
      <c r="DD886" s="1114"/>
      <c r="DE886" s="1114"/>
      <c r="DF886" s="1114"/>
      <c r="DG886" s="1114"/>
      <c r="DH886" s="1114"/>
      <c r="DI886" s="1114"/>
      <c r="DJ886" s="1114"/>
      <c r="DK886" s="1114"/>
      <c r="DL886" s="1114"/>
      <c r="DM886" s="1114"/>
      <c r="DN886" s="1114"/>
      <c r="DO886" s="1114"/>
      <c r="DP886" s="1114"/>
      <c r="DQ886" s="1114"/>
      <c r="DR886" s="1114"/>
      <c r="DS886" s="1114"/>
      <c r="DT886" s="1114"/>
      <c r="DU886" s="1114"/>
      <c r="DV886" s="1115"/>
      <c r="DW886" s="1116"/>
      <c r="DX886" s="1116"/>
      <c r="DY886" s="1116"/>
      <c r="DZ886" s="1116"/>
      <c r="EA886" s="1116"/>
      <c r="EB886" s="1116"/>
      <c r="EC886" s="1116"/>
      <c r="ED886" s="1116"/>
      <c r="EE886" s="1116"/>
      <c r="EF886" s="1116"/>
      <c r="EG886" s="1116"/>
      <c r="EH886" s="1116"/>
      <c r="EI886" s="1116"/>
      <c r="EJ886" s="1116"/>
      <c r="EK886" s="1116"/>
      <c r="EL886" s="1116"/>
      <c r="EM886" s="1116"/>
      <c r="EN886" s="1116"/>
      <c r="EO886" s="1116"/>
      <c r="EP886" s="1116"/>
      <c r="EQ886" s="1116"/>
      <c r="ER886" s="1116"/>
      <c r="ES886" s="1116"/>
    </row>
    <row r="887" spans="1:149" ht="15" customHeight="1">
      <c r="A887" s="1185">
        <v>872</v>
      </c>
      <c r="B887" s="1041"/>
      <c r="C887" s="1050"/>
      <c r="D887" s="1050"/>
      <c r="E887" s="1050"/>
      <c r="F887" s="1049"/>
      <c r="G887" s="1457"/>
      <c r="H887" s="1049"/>
      <c r="I887" s="1049"/>
      <c r="J887" s="1050"/>
      <c r="K887" s="1050"/>
      <c r="L887" s="1043"/>
      <c r="M887" s="1051"/>
      <c r="N887" s="1051"/>
      <c r="O887" s="1052"/>
      <c r="P887" s="1051"/>
      <c r="Q887" s="1051"/>
      <c r="R887" s="1052"/>
      <c r="S887" s="1051"/>
      <c r="T887" s="1051"/>
      <c r="U887" s="1052"/>
      <c r="V887" s="1051"/>
      <c r="W887" s="1051"/>
      <c r="X887" s="1052"/>
      <c r="Y887" s="1053"/>
      <c r="Z887" s="1051"/>
      <c r="AA887" s="1051"/>
      <c r="AB887" s="1052"/>
      <c r="AC887" s="1051"/>
      <c r="AD887" s="1051"/>
      <c r="AE887" s="1052"/>
      <c r="AF887" s="1051"/>
      <c r="AG887" s="1051"/>
      <c r="AH887" s="1051"/>
      <c r="AI887" s="1051"/>
      <c r="AJ887" s="1052"/>
      <c r="AK887" s="1051"/>
      <c r="AL887" s="1051"/>
      <c r="AM887" s="1052"/>
      <c r="AN887" s="1051"/>
      <c r="AO887" s="1051"/>
      <c r="AP887" s="1052"/>
      <c r="AQ887" s="1051"/>
      <c r="AR887" s="1051"/>
      <c r="AS887" s="1052"/>
      <c r="AT887" s="1051"/>
      <c r="AU887" s="1051"/>
      <c r="AV887" s="1052"/>
      <c r="AW887" s="1051"/>
      <c r="AX887" s="1051"/>
      <c r="AY887" s="1053"/>
      <c r="AZ887" s="1051"/>
      <c r="BA887" s="1051"/>
      <c r="BB887" s="1053"/>
      <c r="BC887" s="1051"/>
      <c r="BD887" s="1051"/>
      <c r="BE887" s="1053"/>
      <c r="BF887" s="1051"/>
      <c r="BG887" s="1051"/>
      <c r="BH887" s="1053"/>
      <c r="BI887" s="1052"/>
      <c r="BJ887" s="1052"/>
      <c r="BK887" s="1052"/>
      <c r="BL887" s="1052"/>
      <c r="BM887" s="1052"/>
      <c r="BN887" s="1054"/>
      <c r="BO887" s="1076">
        <f t="shared" si="25"/>
        <v>0</v>
      </c>
      <c r="BP887" s="1051"/>
      <c r="BQ887" s="1052"/>
      <c r="BR887" s="1054"/>
      <c r="BS887" s="1053"/>
      <c r="BT887" s="1051"/>
      <c r="BU887" s="1051"/>
      <c r="BV887" s="1051"/>
      <c r="BW887" s="1052"/>
      <c r="BX887" s="1052"/>
      <c r="BY887" s="1052"/>
      <c r="BZ887" s="1052"/>
      <c r="CA887" s="1052"/>
      <c r="CB887" s="1053"/>
      <c r="CC887" s="1053"/>
      <c r="CD887" s="1053"/>
      <c r="CE887" s="1053"/>
      <c r="CF887" s="1053"/>
      <c r="CG887" s="1053"/>
      <c r="CH887" s="1053"/>
      <c r="CI887" s="1123"/>
      <c r="CJ887" s="1123"/>
      <c r="CK887" s="1123"/>
      <c r="CL887" s="1123"/>
      <c r="CM887" s="1123"/>
      <c r="CN887" s="1123"/>
      <c r="CO887" s="1123"/>
      <c r="CP887" s="1123"/>
      <c r="CQ887" s="1123"/>
      <c r="CR887" s="1123"/>
      <c r="CS887" s="1123"/>
      <c r="CT887" s="1123"/>
      <c r="CU887" s="1123"/>
      <c r="CV887" s="1123"/>
      <c r="CW887" s="1123"/>
      <c r="CX887" s="1123"/>
      <c r="CY887" s="1123"/>
      <c r="CZ887" s="1114"/>
      <c r="DA887" s="1114"/>
      <c r="DB887" s="1114"/>
      <c r="DC887" s="1114"/>
      <c r="DD887" s="1114"/>
      <c r="DE887" s="1114"/>
      <c r="DF887" s="1114"/>
      <c r="DG887" s="1114"/>
      <c r="DH887" s="1114"/>
      <c r="DI887" s="1114"/>
      <c r="DJ887" s="1114"/>
      <c r="DK887" s="1114"/>
      <c r="DL887" s="1114"/>
      <c r="DM887" s="1114"/>
      <c r="DN887" s="1114"/>
      <c r="DO887" s="1114"/>
      <c r="DP887" s="1114"/>
      <c r="DQ887" s="1114"/>
      <c r="DR887" s="1114"/>
      <c r="DS887" s="1114"/>
      <c r="DT887" s="1114"/>
      <c r="DU887" s="1114"/>
      <c r="DV887" s="1115"/>
      <c r="DW887" s="1116"/>
      <c r="DX887" s="1116"/>
      <c r="DY887" s="1116"/>
      <c r="DZ887" s="1116"/>
      <c r="EA887" s="1116"/>
      <c r="EB887" s="1116"/>
      <c r="EC887" s="1116"/>
      <c r="ED887" s="1116"/>
      <c r="EE887" s="1116"/>
      <c r="EF887" s="1116"/>
      <c r="EG887" s="1116"/>
      <c r="EH887" s="1116"/>
      <c r="EI887" s="1116"/>
      <c r="EJ887" s="1116"/>
      <c r="EK887" s="1116"/>
      <c r="EL887" s="1116"/>
      <c r="EM887" s="1116"/>
      <c r="EN887" s="1116"/>
      <c r="EO887" s="1116"/>
      <c r="EP887" s="1116"/>
      <c r="EQ887" s="1116"/>
      <c r="ER887" s="1116"/>
      <c r="ES887" s="1116"/>
    </row>
    <row r="888" spans="1:149" ht="15" customHeight="1">
      <c r="A888" s="1185">
        <v>873</v>
      </c>
      <c r="B888" s="1041"/>
      <c r="C888" s="1050"/>
      <c r="D888" s="1050"/>
      <c r="E888" s="1050"/>
      <c r="F888" s="1049"/>
      <c r="G888" s="1457"/>
      <c r="H888" s="1049"/>
      <c r="I888" s="1049"/>
      <c r="J888" s="1050"/>
      <c r="K888" s="1050"/>
      <c r="L888" s="1043"/>
      <c r="M888" s="1051"/>
      <c r="N888" s="1051"/>
      <c r="O888" s="1052"/>
      <c r="P888" s="1051"/>
      <c r="Q888" s="1051"/>
      <c r="R888" s="1052"/>
      <c r="S888" s="1051"/>
      <c r="T888" s="1051"/>
      <c r="U888" s="1052"/>
      <c r="V888" s="1051"/>
      <c r="W888" s="1051"/>
      <c r="X888" s="1052"/>
      <c r="Y888" s="1053"/>
      <c r="Z888" s="1051"/>
      <c r="AA888" s="1051"/>
      <c r="AB888" s="1052"/>
      <c r="AC888" s="1051"/>
      <c r="AD888" s="1051"/>
      <c r="AE888" s="1052"/>
      <c r="AF888" s="1051"/>
      <c r="AG888" s="1051"/>
      <c r="AH888" s="1051"/>
      <c r="AI888" s="1051"/>
      <c r="AJ888" s="1052"/>
      <c r="AK888" s="1051"/>
      <c r="AL888" s="1051"/>
      <c r="AM888" s="1052"/>
      <c r="AN888" s="1051"/>
      <c r="AO888" s="1051"/>
      <c r="AP888" s="1052"/>
      <c r="AQ888" s="1051"/>
      <c r="AR888" s="1051"/>
      <c r="AS888" s="1052"/>
      <c r="AT888" s="1051"/>
      <c r="AU888" s="1051"/>
      <c r="AV888" s="1052"/>
      <c r="AW888" s="1051"/>
      <c r="AX888" s="1051"/>
      <c r="AY888" s="1053"/>
      <c r="AZ888" s="1051"/>
      <c r="BA888" s="1051"/>
      <c r="BB888" s="1053"/>
      <c r="BC888" s="1051"/>
      <c r="BD888" s="1051"/>
      <c r="BE888" s="1053"/>
      <c r="BF888" s="1051"/>
      <c r="BG888" s="1051"/>
      <c r="BH888" s="1053"/>
      <c r="BI888" s="1052"/>
      <c r="BJ888" s="1052"/>
      <c r="BK888" s="1052"/>
      <c r="BL888" s="1052"/>
      <c r="BM888" s="1052"/>
      <c r="BN888" s="1054"/>
      <c r="BO888" s="1076">
        <f t="shared" si="25"/>
        <v>0</v>
      </c>
      <c r="BP888" s="1051"/>
      <c r="BQ888" s="1052"/>
      <c r="BR888" s="1054"/>
      <c r="BS888" s="1053"/>
      <c r="BT888" s="1051"/>
      <c r="BU888" s="1051"/>
      <c r="BV888" s="1051"/>
      <c r="BW888" s="1052"/>
      <c r="BX888" s="1052"/>
      <c r="BY888" s="1052"/>
      <c r="BZ888" s="1052"/>
      <c r="CA888" s="1052"/>
      <c r="CB888" s="1053"/>
      <c r="CC888" s="1053"/>
      <c r="CD888" s="1053"/>
      <c r="CE888" s="1053"/>
      <c r="CF888" s="1053"/>
      <c r="CG888" s="1053"/>
      <c r="CH888" s="1053"/>
      <c r="CI888" s="1123"/>
      <c r="CJ888" s="1123"/>
      <c r="CK888" s="1123"/>
      <c r="CL888" s="1123"/>
      <c r="CM888" s="1123"/>
      <c r="CN888" s="1123"/>
      <c r="CO888" s="1123"/>
      <c r="CP888" s="1123"/>
      <c r="CQ888" s="1123"/>
      <c r="CR888" s="1123"/>
      <c r="CS888" s="1123"/>
      <c r="CT888" s="1123"/>
      <c r="CU888" s="1123"/>
      <c r="CV888" s="1123"/>
      <c r="CW888" s="1123"/>
      <c r="CX888" s="1123"/>
      <c r="CY888" s="1123"/>
      <c r="CZ888" s="1114"/>
      <c r="DA888" s="1114"/>
      <c r="DB888" s="1114"/>
      <c r="DC888" s="1114"/>
      <c r="DD888" s="1114"/>
      <c r="DE888" s="1114"/>
      <c r="DF888" s="1114"/>
      <c r="DG888" s="1114"/>
      <c r="DH888" s="1114"/>
      <c r="DI888" s="1114"/>
      <c r="DJ888" s="1114"/>
      <c r="DK888" s="1114"/>
      <c r="DL888" s="1114"/>
      <c r="DM888" s="1114"/>
      <c r="DN888" s="1114"/>
      <c r="DO888" s="1114"/>
      <c r="DP888" s="1114"/>
      <c r="DQ888" s="1114"/>
      <c r="DR888" s="1114"/>
      <c r="DS888" s="1114"/>
      <c r="DT888" s="1114"/>
      <c r="DU888" s="1114"/>
      <c r="DV888" s="1115"/>
      <c r="DW888" s="1116"/>
      <c r="DX888" s="1116"/>
      <c r="DY888" s="1116"/>
      <c r="DZ888" s="1116"/>
      <c r="EA888" s="1116"/>
      <c r="EB888" s="1116"/>
      <c r="EC888" s="1116"/>
      <c r="ED888" s="1116"/>
      <c r="EE888" s="1116"/>
      <c r="EF888" s="1116"/>
      <c r="EG888" s="1116"/>
      <c r="EH888" s="1116"/>
      <c r="EI888" s="1116"/>
      <c r="EJ888" s="1116"/>
      <c r="EK888" s="1116"/>
      <c r="EL888" s="1116"/>
      <c r="EM888" s="1116"/>
      <c r="EN888" s="1116"/>
      <c r="EO888" s="1116"/>
      <c r="EP888" s="1116"/>
      <c r="EQ888" s="1116"/>
      <c r="ER888" s="1116"/>
      <c r="ES888" s="1116"/>
    </row>
    <row r="889" spans="1:149" ht="15" customHeight="1">
      <c r="A889" s="1185">
        <v>874</v>
      </c>
      <c r="B889" s="1041"/>
      <c r="C889" s="1050"/>
      <c r="D889" s="1050"/>
      <c r="E889" s="1050"/>
      <c r="F889" s="1049"/>
      <c r="G889" s="1457"/>
      <c r="H889" s="1049"/>
      <c r="I889" s="1049"/>
      <c r="J889" s="1050"/>
      <c r="K889" s="1050"/>
      <c r="L889" s="1043"/>
      <c r="M889" s="1051"/>
      <c r="N889" s="1051"/>
      <c r="O889" s="1052"/>
      <c r="P889" s="1051"/>
      <c r="Q889" s="1051"/>
      <c r="R889" s="1052"/>
      <c r="S889" s="1051"/>
      <c r="T889" s="1051"/>
      <c r="U889" s="1052"/>
      <c r="V889" s="1051"/>
      <c r="W889" s="1051"/>
      <c r="X889" s="1052"/>
      <c r="Y889" s="1053"/>
      <c r="Z889" s="1051"/>
      <c r="AA889" s="1051"/>
      <c r="AB889" s="1052"/>
      <c r="AC889" s="1051"/>
      <c r="AD889" s="1051"/>
      <c r="AE889" s="1052"/>
      <c r="AF889" s="1051"/>
      <c r="AG889" s="1051"/>
      <c r="AH889" s="1051"/>
      <c r="AI889" s="1051"/>
      <c r="AJ889" s="1052"/>
      <c r="AK889" s="1051"/>
      <c r="AL889" s="1051"/>
      <c r="AM889" s="1052"/>
      <c r="AN889" s="1051"/>
      <c r="AO889" s="1051"/>
      <c r="AP889" s="1052"/>
      <c r="AQ889" s="1051"/>
      <c r="AR889" s="1051"/>
      <c r="AS889" s="1052"/>
      <c r="AT889" s="1051"/>
      <c r="AU889" s="1051"/>
      <c r="AV889" s="1052"/>
      <c r="AW889" s="1051"/>
      <c r="AX889" s="1051"/>
      <c r="AY889" s="1053"/>
      <c r="AZ889" s="1051"/>
      <c r="BA889" s="1051"/>
      <c r="BB889" s="1053"/>
      <c r="BC889" s="1051"/>
      <c r="BD889" s="1051"/>
      <c r="BE889" s="1053"/>
      <c r="BF889" s="1051"/>
      <c r="BG889" s="1051"/>
      <c r="BH889" s="1053"/>
      <c r="BI889" s="1052"/>
      <c r="BJ889" s="1052"/>
      <c r="BK889" s="1052"/>
      <c r="BL889" s="1052"/>
      <c r="BM889" s="1052"/>
      <c r="BN889" s="1054"/>
      <c r="BO889" s="1076">
        <f t="shared" si="25"/>
        <v>0</v>
      </c>
      <c r="BP889" s="1051"/>
      <c r="BQ889" s="1052"/>
      <c r="BR889" s="1054"/>
      <c r="BS889" s="1053"/>
      <c r="BT889" s="1051"/>
      <c r="BU889" s="1051"/>
      <c r="BV889" s="1051"/>
      <c r="BW889" s="1052"/>
      <c r="BX889" s="1052"/>
      <c r="BY889" s="1052"/>
      <c r="BZ889" s="1052"/>
      <c r="CA889" s="1052"/>
      <c r="CB889" s="1053"/>
      <c r="CC889" s="1053"/>
      <c r="CD889" s="1053"/>
      <c r="CE889" s="1053"/>
      <c r="CF889" s="1053"/>
      <c r="CG889" s="1053"/>
      <c r="CH889" s="1053"/>
      <c r="CI889" s="1123"/>
      <c r="CJ889" s="1123"/>
      <c r="CK889" s="1123"/>
      <c r="CL889" s="1123"/>
      <c r="CM889" s="1123"/>
      <c r="CN889" s="1123"/>
      <c r="CO889" s="1123"/>
      <c r="CP889" s="1123"/>
      <c r="CQ889" s="1123"/>
      <c r="CR889" s="1123"/>
      <c r="CS889" s="1123"/>
      <c r="CT889" s="1123"/>
      <c r="CU889" s="1123"/>
      <c r="CV889" s="1123"/>
      <c r="CW889" s="1123"/>
      <c r="CX889" s="1123"/>
      <c r="CY889" s="1123"/>
      <c r="CZ889" s="1114"/>
      <c r="DA889" s="1114"/>
      <c r="DB889" s="1114"/>
      <c r="DC889" s="1114"/>
      <c r="DD889" s="1114"/>
      <c r="DE889" s="1114"/>
      <c r="DF889" s="1114"/>
      <c r="DG889" s="1114"/>
      <c r="DH889" s="1114"/>
      <c r="DI889" s="1114"/>
      <c r="DJ889" s="1114"/>
      <c r="DK889" s="1114"/>
      <c r="DL889" s="1114"/>
      <c r="DM889" s="1114"/>
      <c r="DN889" s="1114"/>
      <c r="DO889" s="1114"/>
      <c r="DP889" s="1114"/>
      <c r="DQ889" s="1114"/>
      <c r="DR889" s="1114"/>
      <c r="DS889" s="1114"/>
      <c r="DT889" s="1114"/>
      <c r="DU889" s="1114"/>
      <c r="DV889" s="1115"/>
      <c r="DW889" s="1116"/>
      <c r="DX889" s="1116"/>
      <c r="DY889" s="1116"/>
      <c r="DZ889" s="1116"/>
      <c r="EA889" s="1116"/>
      <c r="EB889" s="1116"/>
      <c r="EC889" s="1116"/>
      <c r="ED889" s="1116"/>
      <c r="EE889" s="1116"/>
      <c r="EF889" s="1116"/>
      <c r="EG889" s="1116"/>
      <c r="EH889" s="1116"/>
      <c r="EI889" s="1116"/>
      <c r="EJ889" s="1116"/>
      <c r="EK889" s="1116"/>
      <c r="EL889" s="1116"/>
      <c r="EM889" s="1116"/>
      <c r="EN889" s="1116"/>
      <c r="EO889" s="1116"/>
      <c r="EP889" s="1116"/>
      <c r="EQ889" s="1116"/>
      <c r="ER889" s="1116"/>
      <c r="ES889" s="1116"/>
    </row>
    <row r="890" spans="1:149" ht="15" customHeight="1">
      <c r="A890" s="1185">
        <v>875</v>
      </c>
      <c r="B890" s="1041"/>
      <c r="C890" s="1050"/>
      <c r="D890" s="1050"/>
      <c r="E890" s="1050"/>
      <c r="F890" s="1049"/>
      <c r="G890" s="1457"/>
      <c r="H890" s="1049"/>
      <c r="I890" s="1049"/>
      <c r="J890" s="1050"/>
      <c r="K890" s="1050"/>
      <c r="L890" s="1043"/>
      <c r="M890" s="1051"/>
      <c r="N890" s="1051"/>
      <c r="O890" s="1052"/>
      <c r="P890" s="1051"/>
      <c r="Q890" s="1051"/>
      <c r="R890" s="1052"/>
      <c r="S890" s="1051"/>
      <c r="T890" s="1051"/>
      <c r="U890" s="1052"/>
      <c r="V890" s="1051"/>
      <c r="W890" s="1051"/>
      <c r="X890" s="1052"/>
      <c r="Y890" s="1053"/>
      <c r="Z890" s="1051"/>
      <c r="AA890" s="1051"/>
      <c r="AB890" s="1052"/>
      <c r="AC890" s="1051"/>
      <c r="AD890" s="1051"/>
      <c r="AE890" s="1052"/>
      <c r="AF890" s="1051"/>
      <c r="AG890" s="1051"/>
      <c r="AH890" s="1051"/>
      <c r="AI890" s="1051"/>
      <c r="AJ890" s="1052"/>
      <c r="AK890" s="1051"/>
      <c r="AL890" s="1051"/>
      <c r="AM890" s="1052"/>
      <c r="AN890" s="1051"/>
      <c r="AO890" s="1051"/>
      <c r="AP890" s="1052"/>
      <c r="AQ890" s="1051"/>
      <c r="AR890" s="1051"/>
      <c r="AS890" s="1052"/>
      <c r="AT890" s="1051"/>
      <c r="AU890" s="1051"/>
      <c r="AV890" s="1052"/>
      <c r="AW890" s="1051"/>
      <c r="AX890" s="1051"/>
      <c r="AY890" s="1053"/>
      <c r="AZ890" s="1051"/>
      <c r="BA890" s="1051"/>
      <c r="BB890" s="1053"/>
      <c r="BC890" s="1051"/>
      <c r="BD890" s="1051"/>
      <c r="BE890" s="1053"/>
      <c r="BF890" s="1051"/>
      <c r="BG890" s="1051"/>
      <c r="BH890" s="1053"/>
      <c r="BI890" s="1052"/>
      <c r="BJ890" s="1052"/>
      <c r="BK890" s="1052"/>
      <c r="BL890" s="1052"/>
      <c r="BM890" s="1052"/>
      <c r="BN890" s="1054"/>
      <c r="BO890" s="1076">
        <f t="shared" si="25"/>
        <v>0</v>
      </c>
      <c r="BP890" s="1051"/>
      <c r="BQ890" s="1052"/>
      <c r="BR890" s="1054"/>
      <c r="BS890" s="1053"/>
      <c r="BT890" s="1051"/>
      <c r="BU890" s="1051"/>
      <c r="BV890" s="1051"/>
      <c r="BW890" s="1052"/>
      <c r="BX890" s="1052"/>
      <c r="BY890" s="1052"/>
      <c r="BZ890" s="1052"/>
      <c r="CA890" s="1052"/>
      <c r="CB890" s="1053"/>
      <c r="CC890" s="1053"/>
      <c r="CD890" s="1053"/>
      <c r="CE890" s="1053"/>
      <c r="CF890" s="1053"/>
      <c r="CG890" s="1053"/>
      <c r="CH890" s="1053"/>
      <c r="CI890" s="1123"/>
      <c r="CJ890" s="1123"/>
      <c r="CK890" s="1123"/>
      <c r="CL890" s="1123"/>
      <c r="CM890" s="1123"/>
      <c r="CN890" s="1123"/>
      <c r="CO890" s="1123"/>
      <c r="CP890" s="1123"/>
      <c r="CQ890" s="1123"/>
      <c r="CR890" s="1123"/>
      <c r="CS890" s="1123"/>
      <c r="CT890" s="1123"/>
      <c r="CU890" s="1123"/>
      <c r="CV890" s="1123"/>
      <c r="CW890" s="1123"/>
      <c r="CX890" s="1123"/>
      <c r="CY890" s="1123"/>
      <c r="CZ890" s="1114"/>
      <c r="DA890" s="1114"/>
      <c r="DB890" s="1114"/>
      <c r="DC890" s="1114"/>
      <c r="DD890" s="1114"/>
      <c r="DE890" s="1114"/>
      <c r="DF890" s="1114"/>
      <c r="DG890" s="1114"/>
      <c r="DH890" s="1114"/>
      <c r="DI890" s="1114"/>
      <c r="DJ890" s="1114"/>
      <c r="DK890" s="1114"/>
      <c r="DL890" s="1114"/>
      <c r="DM890" s="1114"/>
      <c r="DN890" s="1114"/>
      <c r="DO890" s="1114"/>
      <c r="DP890" s="1114"/>
      <c r="DQ890" s="1114"/>
      <c r="DR890" s="1114"/>
      <c r="DS890" s="1114"/>
      <c r="DT890" s="1114"/>
      <c r="DU890" s="1114"/>
      <c r="DV890" s="1115"/>
      <c r="DW890" s="1116"/>
      <c r="DX890" s="1116"/>
      <c r="DY890" s="1116"/>
      <c r="DZ890" s="1116"/>
      <c r="EA890" s="1116"/>
      <c r="EB890" s="1116"/>
      <c r="EC890" s="1116"/>
      <c r="ED890" s="1116"/>
      <c r="EE890" s="1116"/>
      <c r="EF890" s="1116"/>
      <c r="EG890" s="1116"/>
      <c r="EH890" s="1116"/>
      <c r="EI890" s="1116"/>
      <c r="EJ890" s="1116"/>
      <c r="EK890" s="1116"/>
      <c r="EL890" s="1116"/>
      <c r="EM890" s="1116"/>
      <c r="EN890" s="1116"/>
      <c r="EO890" s="1116"/>
      <c r="EP890" s="1116"/>
      <c r="EQ890" s="1116"/>
      <c r="ER890" s="1116"/>
      <c r="ES890" s="1116"/>
    </row>
    <row r="891" spans="1:149" ht="15" customHeight="1">
      <c r="A891" s="1185">
        <v>876</v>
      </c>
      <c r="B891" s="1041"/>
      <c r="C891" s="1050"/>
      <c r="D891" s="1050"/>
      <c r="E891" s="1050"/>
      <c r="F891" s="1049"/>
      <c r="G891" s="1457"/>
      <c r="H891" s="1049"/>
      <c r="I891" s="1049"/>
      <c r="J891" s="1050"/>
      <c r="K891" s="1050"/>
      <c r="L891" s="1043"/>
      <c r="M891" s="1051"/>
      <c r="N891" s="1051"/>
      <c r="O891" s="1052"/>
      <c r="P891" s="1051"/>
      <c r="Q891" s="1051"/>
      <c r="R891" s="1052"/>
      <c r="S891" s="1051"/>
      <c r="T891" s="1051"/>
      <c r="U891" s="1052"/>
      <c r="V891" s="1051"/>
      <c r="W891" s="1051"/>
      <c r="X891" s="1052"/>
      <c r="Y891" s="1053"/>
      <c r="Z891" s="1051"/>
      <c r="AA891" s="1051"/>
      <c r="AB891" s="1052"/>
      <c r="AC891" s="1051"/>
      <c r="AD891" s="1051"/>
      <c r="AE891" s="1052"/>
      <c r="AF891" s="1051"/>
      <c r="AG891" s="1051"/>
      <c r="AH891" s="1051"/>
      <c r="AI891" s="1051"/>
      <c r="AJ891" s="1052"/>
      <c r="AK891" s="1051"/>
      <c r="AL891" s="1051"/>
      <c r="AM891" s="1052"/>
      <c r="AN891" s="1051"/>
      <c r="AO891" s="1051"/>
      <c r="AP891" s="1052"/>
      <c r="AQ891" s="1051"/>
      <c r="AR891" s="1051"/>
      <c r="AS891" s="1052"/>
      <c r="AT891" s="1051"/>
      <c r="AU891" s="1051"/>
      <c r="AV891" s="1052"/>
      <c r="AW891" s="1051"/>
      <c r="AX891" s="1051"/>
      <c r="AY891" s="1053"/>
      <c r="AZ891" s="1051"/>
      <c r="BA891" s="1051"/>
      <c r="BB891" s="1053"/>
      <c r="BC891" s="1051"/>
      <c r="BD891" s="1051"/>
      <c r="BE891" s="1053"/>
      <c r="BF891" s="1051"/>
      <c r="BG891" s="1051"/>
      <c r="BH891" s="1053"/>
      <c r="BI891" s="1052"/>
      <c r="BJ891" s="1052"/>
      <c r="BK891" s="1052"/>
      <c r="BL891" s="1052"/>
      <c r="BM891" s="1052"/>
      <c r="BN891" s="1054"/>
      <c r="BO891" s="1076">
        <f t="shared" si="25"/>
        <v>0</v>
      </c>
      <c r="BP891" s="1051"/>
      <c r="BQ891" s="1052"/>
      <c r="BR891" s="1054"/>
      <c r="BS891" s="1053"/>
      <c r="BT891" s="1051"/>
      <c r="BU891" s="1051"/>
      <c r="BV891" s="1051"/>
      <c r="BW891" s="1052"/>
      <c r="BX891" s="1052"/>
      <c r="BY891" s="1052"/>
      <c r="BZ891" s="1052"/>
      <c r="CA891" s="1052"/>
      <c r="CB891" s="1053"/>
      <c r="CC891" s="1053"/>
      <c r="CD891" s="1053"/>
      <c r="CE891" s="1053"/>
      <c r="CF891" s="1053"/>
      <c r="CG891" s="1053"/>
      <c r="CH891" s="1053"/>
      <c r="CI891" s="1123"/>
      <c r="CJ891" s="1123"/>
      <c r="CK891" s="1123"/>
      <c r="CL891" s="1123"/>
      <c r="CM891" s="1123"/>
      <c r="CN891" s="1123"/>
      <c r="CO891" s="1123"/>
      <c r="CP891" s="1123"/>
      <c r="CQ891" s="1123"/>
      <c r="CR891" s="1123"/>
      <c r="CS891" s="1123"/>
      <c r="CT891" s="1123"/>
      <c r="CU891" s="1123"/>
      <c r="CV891" s="1123"/>
      <c r="CW891" s="1123"/>
      <c r="CX891" s="1123"/>
      <c r="CY891" s="1123"/>
      <c r="CZ891" s="1114"/>
      <c r="DA891" s="1114"/>
      <c r="DB891" s="1114"/>
      <c r="DC891" s="1114"/>
      <c r="DD891" s="1114"/>
      <c r="DE891" s="1114"/>
      <c r="DF891" s="1114"/>
      <c r="DG891" s="1114"/>
      <c r="DH891" s="1114"/>
      <c r="DI891" s="1114"/>
      <c r="DJ891" s="1114"/>
      <c r="DK891" s="1114"/>
      <c r="DL891" s="1114"/>
      <c r="DM891" s="1114"/>
      <c r="DN891" s="1114"/>
      <c r="DO891" s="1114"/>
      <c r="DP891" s="1114"/>
      <c r="DQ891" s="1114"/>
      <c r="DR891" s="1114"/>
      <c r="DS891" s="1114"/>
      <c r="DT891" s="1114"/>
      <c r="DU891" s="1114"/>
      <c r="DV891" s="1115"/>
      <c r="DW891" s="1116"/>
      <c r="DX891" s="1116"/>
      <c r="DY891" s="1116"/>
      <c r="DZ891" s="1116"/>
      <c r="EA891" s="1116"/>
      <c r="EB891" s="1116"/>
      <c r="EC891" s="1116"/>
      <c r="ED891" s="1116"/>
      <c r="EE891" s="1116"/>
      <c r="EF891" s="1116"/>
      <c r="EG891" s="1116"/>
      <c r="EH891" s="1116"/>
      <c r="EI891" s="1116"/>
      <c r="EJ891" s="1116"/>
      <c r="EK891" s="1116"/>
      <c r="EL891" s="1116"/>
      <c r="EM891" s="1116"/>
      <c r="EN891" s="1116"/>
      <c r="EO891" s="1116"/>
      <c r="EP891" s="1116"/>
      <c r="EQ891" s="1116"/>
      <c r="ER891" s="1116"/>
      <c r="ES891" s="1116"/>
    </row>
    <row r="892" spans="1:149" ht="15" customHeight="1">
      <c r="A892" s="1185">
        <v>877</v>
      </c>
      <c r="B892" s="1041"/>
      <c r="C892" s="1050"/>
      <c r="D892" s="1050"/>
      <c r="E892" s="1050"/>
      <c r="F892" s="1049"/>
      <c r="G892" s="1457"/>
      <c r="H892" s="1049"/>
      <c r="I892" s="1049"/>
      <c r="J892" s="1050"/>
      <c r="K892" s="1050"/>
      <c r="L892" s="1043"/>
      <c r="M892" s="1051"/>
      <c r="N892" s="1051"/>
      <c r="O892" s="1052"/>
      <c r="P892" s="1051"/>
      <c r="Q892" s="1051"/>
      <c r="R892" s="1052"/>
      <c r="S892" s="1051"/>
      <c r="T892" s="1051"/>
      <c r="U892" s="1052"/>
      <c r="V892" s="1051"/>
      <c r="W892" s="1051"/>
      <c r="X892" s="1052"/>
      <c r="Y892" s="1053"/>
      <c r="Z892" s="1051"/>
      <c r="AA892" s="1051"/>
      <c r="AB892" s="1052"/>
      <c r="AC892" s="1051"/>
      <c r="AD892" s="1051"/>
      <c r="AE892" s="1052"/>
      <c r="AF892" s="1051"/>
      <c r="AG892" s="1051"/>
      <c r="AH892" s="1051"/>
      <c r="AI892" s="1051"/>
      <c r="AJ892" s="1052"/>
      <c r="AK892" s="1051"/>
      <c r="AL892" s="1051"/>
      <c r="AM892" s="1052"/>
      <c r="AN892" s="1051"/>
      <c r="AO892" s="1051"/>
      <c r="AP892" s="1052"/>
      <c r="AQ892" s="1051"/>
      <c r="AR892" s="1051"/>
      <c r="AS892" s="1052"/>
      <c r="AT892" s="1051"/>
      <c r="AU892" s="1051"/>
      <c r="AV892" s="1052"/>
      <c r="AW892" s="1051"/>
      <c r="AX892" s="1051"/>
      <c r="AY892" s="1053"/>
      <c r="AZ892" s="1051"/>
      <c r="BA892" s="1051"/>
      <c r="BB892" s="1053"/>
      <c r="BC892" s="1051"/>
      <c r="BD892" s="1051"/>
      <c r="BE892" s="1053"/>
      <c r="BF892" s="1051"/>
      <c r="BG892" s="1051"/>
      <c r="BH892" s="1053"/>
      <c r="BI892" s="1052"/>
      <c r="BJ892" s="1052"/>
      <c r="BK892" s="1052"/>
      <c r="BL892" s="1052"/>
      <c r="BM892" s="1052"/>
      <c r="BN892" s="1054"/>
      <c r="BO892" s="1076">
        <f t="shared" si="25"/>
        <v>0</v>
      </c>
      <c r="BP892" s="1051"/>
      <c r="BQ892" s="1052"/>
      <c r="BR892" s="1054"/>
      <c r="BS892" s="1053"/>
      <c r="BT892" s="1051"/>
      <c r="BU892" s="1051"/>
      <c r="BV892" s="1051"/>
      <c r="BW892" s="1052"/>
      <c r="BX892" s="1052"/>
      <c r="BY892" s="1052"/>
      <c r="BZ892" s="1052"/>
      <c r="CA892" s="1052"/>
      <c r="CB892" s="1053"/>
      <c r="CC892" s="1053"/>
      <c r="CD892" s="1053"/>
      <c r="CE892" s="1053"/>
      <c r="CF892" s="1053"/>
      <c r="CG892" s="1053"/>
      <c r="CH892" s="1053"/>
      <c r="CI892" s="1123"/>
      <c r="CJ892" s="1123"/>
      <c r="CK892" s="1123"/>
      <c r="CL892" s="1123"/>
      <c r="CM892" s="1123"/>
      <c r="CN892" s="1123"/>
      <c r="CO892" s="1123"/>
      <c r="CP892" s="1123"/>
      <c r="CQ892" s="1123"/>
      <c r="CR892" s="1123"/>
      <c r="CS892" s="1123"/>
      <c r="CT892" s="1123"/>
      <c r="CU892" s="1123"/>
      <c r="CV892" s="1123"/>
      <c r="CW892" s="1123"/>
      <c r="CX892" s="1123"/>
      <c r="CY892" s="1123"/>
      <c r="CZ892" s="1114"/>
      <c r="DA892" s="1114"/>
      <c r="DB892" s="1114"/>
      <c r="DC892" s="1114"/>
      <c r="DD892" s="1114"/>
      <c r="DE892" s="1114"/>
      <c r="DF892" s="1114"/>
      <c r="DG892" s="1114"/>
      <c r="DH892" s="1114"/>
      <c r="DI892" s="1114"/>
      <c r="DJ892" s="1114"/>
      <c r="DK892" s="1114"/>
      <c r="DL892" s="1114"/>
      <c r="DM892" s="1114"/>
      <c r="DN892" s="1114"/>
      <c r="DO892" s="1114"/>
      <c r="DP892" s="1114"/>
      <c r="DQ892" s="1114"/>
      <c r="DR892" s="1114"/>
      <c r="DS892" s="1114"/>
      <c r="DT892" s="1114"/>
      <c r="DU892" s="1114"/>
      <c r="DV892" s="1115"/>
      <c r="DW892" s="1116"/>
      <c r="DX892" s="1116"/>
      <c r="DY892" s="1116"/>
      <c r="DZ892" s="1116"/>
      <c r="EA892" s="1116"/>
      <c r="EB892" s="1116"/>
      <c r="EC892" s="1116"/>
      <c r="ED892" s="1116"/>
      <c r="EE892" s="1116"/>
      <c r="EF892" s="1116"/>
      <c r="EG892" s="1116"/>
      <c r="EH892" s="1116"/>
      <c r="EI892" s="1116"/>
      <c r="EJ892" s="1116"/>
      <c r="EK892" s="1116"/>
      <c r="EL892" s="1116"/>
      <c r="EM892" s="1116"/>
      <c r="EN892" s="1116"/>
      <c r="EO892" s="1116"/>
      <c r="EP892" s="1116"/>
      <c r="EQ892" s="1116"/>
      <c r="ER892" s="1116"/>
      <c r="ES892" s="1116"/>
    </row>
    <row r="893" spans="1:149" ht="15" customHeight="1">
      <c r="A893" s="1185">
        <v>878</v>
      </c>
      <c r="B893" s="1041"/>
      <c r="C893" s="1050"/>
      <c r="D893" s="1050"/>
      <c r="E893" s="1050"/>
      <c r="F893" s="1049"/>
      <c r="G893" s="1457"/>
      <c r="H893" s="1049"/>
      <c r="I893" s="1049"/>
      <c r="J893" s="1050"/>
      <c r="K893" s="1050"/>
      <c r="L893" s="1043"/>
      <c r="M893" s="1051"/>
      <c r="N893" s="1051"/>
      <c r="O893" s="1052"/>
      <c r="P893" s="1051"/>
      <c r="Q893" s="1051"/>
      <c r="R893" s="1052"/>
      <c r="S893" s="1051"/>
      <c r="T893" s="1051"/>
      <c r="U893" s="1052"/>
      <c r="V893" s="1051"/>
      <c r="W893" s="1051"/>
      <c r="X893" s="1052"/>
      <c r="Y893" s="1053"/>
      <c r="Z893" s="1051"/>
      <c r="AA893" s="1051"/>
      <c r="AB893" s="1052"/>
      <c r="AC893" s="1051"/>
      <c r="AD893" s="1051"/>
      <c r="AE893" s="1052"/>
      <c r="AF893" s="1051"/>
      <c r="AG893" s="1051"/>
      <c r="AH893" s="1051"/>
      <c r="AI893" s="1051"/>
      <c r="AJ893" s="1052"/>
      <c r="AK893" s="1051"/>
      <c r="AL893" s="1051"/>
      <c r="AM893" s="1052"/>
      <c r="AN893" s="1051"/>
      <c r="AO893" s="1051"/>
      <c r="AP893" s="1052"/>
      <c r="AQ893" s="1051"/>
      <c r="AR893" s="1051"/>
      <c r="AS893" s="1052"/>
      <c r="AT893" s="1051"/>
      <c r="AU893" s="1051"/>
      <c r="AV893" s="1052"/>
      <c r="AW893" s="1051"/>
      <c r="AX893" s="1051"/>
      <c r="AY893" s="1053"/>
      <c r="AZ893" s="1051"/>
      <c r="BA893" s="1051"/>
      <c r="BB893" s="1053"/>
      <c r="BC893" s="1051"/>
      <c r="BD893" s="1051"/>
      <c r="BE893" s="1053"/>
      <c r="BF893" s="1051"/>
      <c r="BG893" s="1051"/>
      <c r="BH893" s="1053"/>
      <c r="BI893" s="1052"/>
      <c r="BJ893" s="1052"/>
      <c r="BK893" s="1052"/>
      <c r="BL893" s="1052"/>
      <c r="BM893" s="1052"/>
      <c r="BN893" s="1054"/>
      <c r="BO893" s="1076">
        <f t="shared" si="25"/>
        <v>0</v>
      </c>
      <c r="BP893" s="1051"/>
      <c r="BQ893" s="1052"/>
      <c r="BR893" s="1054"/>
      <c r="BS893" s="1053"/>
      <c r="BT893" s="1051"/>
      <c r="BU893" s="1051"/>
      <c r="BV893" s="1051"/>
      <c r="BW893" s="1052"/>
      <c r="BX893" s="1052"/>
      <c r="BY893" s="1052"/>
      <c r="BZ893" s="1052"/>
      <c r="CA893" s="1052"/>
      <c r="CB893" s="1053"/>
      <c r="CC893" s="1053"/>
      <c r="CD893" s="1053"/>
      <c r="CE893" s="1053"/>
      <c r="CF893" s="1053"/>
      <c r="CG893" s="1053"/>
      <c r="CH893" s="1053"/>
      <c r="CI893" s="1123"/>
      <c r="CJ893" s="1123"/>
      <c r="CK893" s="1123"/>
      <c r="CL893" s="1123"/>
      <c r="CM893" s="1123"/>
      <c r="CN893" s="1123"/>
      <c r="CO893" s="1123"/>
      <c r="CP893" s="1123"/>
      <c r="CQ893" s="1123"/>
      <c r="CR893" s="1123"/>
      <c r="CS893" s="1123"/>
      <c r="CT893" s="1123"/>
      <c r="CU893" s="1123"/>
      <c r="CV893" s="1123"/>
      <c r="CW893" s="1123"/>
      <c r="CX893" s="1123"/>
      <c r="CY893" s="1123"/>
      <c r="CZ893" s="1114"/>
      <c r="DA893" s="1114"/>
      <c r="DB893" s="1114"/>
      <c r="DC893" s="1114"/>
      <c r="DD893" s="1114"/>
      <c r="DE893" s="1114"/>
      <c r="DF893" s="1114"/>
      <c r="DG893" s="1114"/>
      <c r="DH893" s="1114"/>
      <c r="DI893" s="1114"/>
      <c r="DJ893" s="1114"/>
      <c r="DK893" s="1114"/>
      <c r="DL893" s="1114"/>
      <c r="DM893" s="1114"/>
      <c r="DN893" s="1114"/>
      <c r="DO893" s="1114"/>
      <c r="DP893" s="1114"/>
      <c r="DQ893" s="1114"/>
      <c r="DR893" s="1114"/>
      <c r="DS893" s="1114"/>
      <c r="DT893" s="1114"/>
      <c r="DU893" s="1114"/>
      <c r="DV893" s="1115"/>
      <c r="DW893" s="1116"/>
      <c r="DX893" s="1116"/>
      <c r="DY893" s="1116"/>
      <c r="DZ893" s="1116"/>
      <c r="EA893" s="1116"/>
      <c r="EB893" s="1116"/>
      <c r="EC893" s="1116"/>
      <c r="ED893" s="1116"/>
      <c r="EE893" s="1116"/>
      <c r="EF893" s="1116"/>
      <c r="EG893" s="1116"/>
      <c r="EH893" s="1116"/>
      <c r="EI893" s="1116"/>
      <c r="EJ893" s="1116"/>
      <c r="EK893" s="1116"/>
      <c r="EL893" s="1116"/>
      <c r="EM893" s="1116"/>
      <c r="EN893" s="1116"/>
      <c r="EO893" s="1116"/>
      <c r="EP893" s="1116"/>
      <c r="EQ893" s="1116"/>
      <c r="ER893" s="1116"/>
      <c r="ES893" s="1116"/>
    </row>
    <row r="894" spans="1:149" ht="15" customHeight="1">
      <c r="A894" s="1185">
        <v>879</v>
      </c>
      <c r="B894" s="1041"/>
      <c r="C894" s="1050"/>
      <c r="D894" s="1050"/>
      <c r="E894" s="1050"/>
      <c r="F894" s="1049"/>
      <c r="G894" s="1457"/>
      <c r="H894" s="1049"/>
      <c r="I894" s="1049"/>
      <c r="J894" s="1050"/>
      <c r="K894" s="1050"/>
      <c r="L894" s="1043"/>
      <c r="M894" s="1051"/>
      <c r="N894" s="1051"/>
      <c r="O894" s="1052"/>
      <c r="P894" s="1051"/>
      <c r="Q894" s="1051"/>
      <c r="R894" s="1052"/>
      <c r="S894" s="1051"/>
      <c r="T894" s="1051"/>
      <c r="U894" s="1052"/>
      <c r="V894" s="1051"/>
      <c r="W894" s="1051"/>
      <c r="X894" s="1052"/>
      <c r="Y894" s="1053"/>
      <c r="Z894" s="1051"/>
      <c r="AA894" s="1051"/>
      <c r="AB894" s="1052"/>
      <c r="AC894" s="1051"/>
      <c r="AD894" s="1051"/>
      <c r="AE894" s="1052"/>
      <c r="AF894" s="1051"/>
      <c r="AG894" s="1051"/>
      <c r="AH894" s="1051"/>
      <c r="AI894" s="1051"/>
      <c r="AJ894" s="1052"/>
      <c r="AK894" s="1051"/>
      <c r="AL894" s="1051"/>
      <c r="AM894" s="1052"/>
      <c r="AN894" s="1051"/>
      <c r="AO894" s="1051"/>
      <c r="AP894" s="1052"/>
      <c r="AQ894" s="1051"/>
      <c r="AR894" s="1051"/>
      <c r="AS894" s="1052"/>
      <c r="AT894" s="1051"/>
      <c r="AU894" s="1051"/>
      <c r="AV894" s="1052"/>
      <c r="AW894" s="1051"/>
      <c r="AX894" s="1051"/>
      <c r="AY894" s="1053"/>
      <c r="AZ894" s="1051"/>
      <c r="BA894" s="1051"/>
      <c r="BB894" s="1053"/>
      <c r="BC894" s="1051"/>
      <c r="BD894" s="1051"/>
      <c r="BE894" s="1053"/>
      <c r="BF894" s="1051"/>
      <c r="BG894" s="1051"/>
      <c r="BH894" s="1053"/>
      <c r="BI894" s="1052"/>
      <c r="BJ894" s="1052"/>
      <c r="BK894" s="1052"/>
      <c r="BL894" s="1052"/>
      <c r="BM894" s="1052"/>
      <c r="BN894" s="1054"/>
      <c r="BO894" s="1076">
        <f t="shared" si="25"/>
        <v>0</v>
      </c>
      <c r="BP894" s="1051"/>
      <c r="BQ894" s="1052"/>
      <c r="BR894" s="1054"/>
      <c r="BS894" s="1053"/>
      <c r="BT894" s="1051"/>
      <c r="BU894" s="1051"/>
      <c r="BV894" s="1051"/>
      <c r="BW894" s="1052"/>
      <c r="BX894" s="1052"/>
      <c r="BY894" s="1052"/>
      <c r="BZ894" s="1052"/>
      <c r="CA894" s="1052"/>
      <c r="CB894" s="1053"/>
      <c r="CC894" s="1053"/>
      <c r="CD894" s="1053"/>
      <c r="CE894" s="1053"/>
      <c r="CF894" s="1053"/>
      <c r="CG894" s="1053"/>
      <c r="CH894" s="1053"/>
      <c r="CI894" s="1123"/>
      <c r="CJ894" s="1123"/>
      <c r="CK894" s="1123"/>
      <c r="CL894" s="1123"/>
      <c r="CM894" s="1123"/>
      <c r="CN894" s="1123"/>
      <c r="CO894" s="1123"/>
      <c r="CP894" s="1123"/>
      <c r="CQ894" s="1123"/>
      <c r="CR894" s="1123"/>
      <c r="CS894" s="1123"/>
      <c r="CT894" s="1123"/>
      <c r="CU894" s="1123"/>
      <c r="CV894" s="1123"/>
      <c r="CW894" s="1123"/>
      <c r="CX894" s="1123"/>
      <c r="CY894" s="1123"/>
      <c r="CZ894" s="1114"/>
      <c r="DA894" s="1114"/>
      <c r="DB894" s="1114"/>
      <c r="DC894" s="1114"/>
      <c r="DD894" s="1114"/>
      <c r="DE894" s="1114"/>
      <c r="DF894" s="1114"/>
      <c r="DG894" s="1114"/>
      <c r="DH894" s="1114"/>
      <c r="DI894" s="1114"/>
      <c r="DJ894" s="1114"/>
      <c r="DK894" s="1114"/>
      <c r="DL894" s="1114"/>
      <c r="DM894" s="1114"/>
      <c r="DN894" s="1114"/>
      <c r="DO894" s="1114"/>
      <c r="DP894" s="1114"/>
      <c r="DQ894" s="1114"/>
      <c r="DR894" s="1114"/>
      <c r="DS894" s="1114"/>
      <c r="DT894" s="1114"/>
      <c r="DU894" s="1114"/>
      <c r="DV894" s="1115"/>
      <c r="DW894" s="1116"/>
      <c r="DX894" s="1116"/>
      <c r="DY894" s="1116"/>
      <c r="DZ894" s="1116"/>
      <c r="EA894" s="1116"/>
      <c r="EB894" s="1116"/>
      <c r="EC894" s="1116"/>
      <c r="ED894" s="1116"/>
      <c r="EE894" s="1116"/>
      <c r="EF894" s="1116"/>
      <c r="EG894" s="1116"/>
      <c r="EH894" s="1116"/>
      <c r="EI894" s="1116"/>
      <c r="EJ894" s="1116"/>
      <c r="EK894" s="1116"/>
      <c r="EL894" s="1116"/>
      <c r="EM894" s="1116"/>
      <c r="EN894" s="1116"/>
      <c r="EO894" s="1116"/>
      <c r="EP894" s="1116"/>
      <c r="EQ894" s="1116"/>
      <c r="ER894" s="1116"/>
      <c r="ES894" s="1116"/>
    </row>
    <row r="895" spans="1:149" ht="15" customHeight="1">
      <c r="A895" s="1185">
        <v>880</v>
      </c>
      <c r="B895" s="1041"/>
      <c r="C895" s="1050"/>
      <c r="D895" s="1050"/>
      <c r="E895" s="1050"/>
      <c r="F895" s="1049"/>
      <c r="G895" s="1457"/>
      <c r="H895" s="1049"/>
      <c r="I895" s="1049"/>
      <c r="J895" s="1050"/>
      <c r="K895" s="1050"/>
      <c r="L895" s="1043"/>
      <c r="M895" s="1051"/>
      <c r="N895" s="1051"/>
      <c r="O895" s="1052"/>
      <c r="P895" s="1051"/>
      <c r="Q895" s="1051"/>
      <c r="R895" s="1052"/>
      <c r="S895" s="1051"/>
      <c r="T895" s="1051"/>
      <c r="U895" s="1052"/>
      <c r="V895" s="1051"/>
      <c r="W895" s="1051"/>
      <c r="X895" s="1052"/>
      <c r="Y895" s="1053"/>
      <c r="Z895" s="1051"/>
      <c r="AA895" s="1051"/>
      <c r="AB895" s="1052"/>
      <c r="AC895" s="1051"/>
      <c r="AD895" s="1051"/>
      <c r="AE895" s="1052"/>
      <c r="AF895" s="1051"/>
      <c r="AG895" s="1051"/>
      <c r="AH895" s="1051"/>
      <c r="AI895" s="1051"/>
      <c r="AJ895" s="1052"/>
      <c r="AK895" s="1051"/>
      <c r="AL895" s="1051"/>
      <c r="AM895" s="1052"/>
      <c r="AN895" s="1051"/>
      <c r="AO895" s="1051"/>
      <c r="AP895" s="1052"/>
      <c r="AQ895" s="1051"/>
      <c r="AR895" s="1051"/>
      <c r="AS895" s="1052"/>
      <c r="AT895" s="1051"/>
      <c r="AU895" s="1051"/>
      <c r="AV895" s="1052"/>
      <c r="AW895" s="1051"/>
      <c r="AX895" s="1051"/>
      <c r="AY895" s="1053"/>
      <c r="AZ895" s="1051"/>
      <c r="BA895" s="1051"/>
      <c r="BB895" s="1053"/>
      <c r="BC895" s="1051"/>
      <c r="BD895" s="1051"/>
      <c r="BE895" s="1053"/>
      <c r="BF895" s="1051"/>
      <c r="BG895" s="1051"/>
      <c r="BH895" s="1053"/>
      <c r="BI895" s="1052"/>
      <c r="BJ895" s="1052"/>
      <c r="BK895" s="1052"/>
      <c r="BL895" s="1052"/>
      <c r="BM895" s="1052"/>
      <c r="BN895" s="1054"/>
      <c r="BO895" s="1076">
        <f t="shared" si="25"/>
        <v>0</v>
      </c>
      <c r="BP895" s="1051"/>
      <c r="BQ895" s="1052"/>
      <c r="BR895" s="1054"/>
      <c r="BS895" s="1053"/>
      <c r="BT895" s="1051"/>
      <c r="BU895" s="1051"/>
      <c r="BV895" s="1051"/>
      <c r="BW895" s="1052"/>
      <c r="BX895" s="1052"/>
      <c r="BY895" s="1052"/>
      <c r="BZ895" s="1052"/>
      <c r="CA895" s="1052"/>
      <c r="CB895" s="1053"/>
      <c r="CC895" s="1053"/>
      <c r="CD895" s="1053"/>
      <c r="CE895" s="1053"/>
      <c r="CF895" s="1053"/>
      <c r="CG895" s="1053"/>
      <c r="CH895" s="1053"/>
      <c r="CI895" s="1123"/>
      <c r="CJ895" s="1123"/>
      <c r="CK895" s="1123"/>
      <c r="CL895" s="1123"/>
      <c r="CM895" s="1123"/>
      <c r="CN895" s="1123"/>
      <c r="CO895" s="1123"/>
      <c r="CP895" s="1123"/>
      <c r="CQ895" s="1123"/>
      <c r="CR895" s="1123"/>
      <c r="CS895" s="1123"/>
      <c r="CT895" s="1123"/>
      <c r="CU895" s="1123"/>
      <c r="CV895" s="1123"/>
      <c r="CW895" s="1123"/>
      <c r="CX895" s="1123"/>
      <c r="CY895" s="1123"/>
      <c r="CZ895" s="1114"/>
      <c r="DA895" s="1114"/>
      <c r="DB895" s="1114"/>
      <c r="DC895" s="1114"/>
      <c r="DD895" s="1114"/>
      <c r="DE895" s="1114"/>
      <c r="DF895" s="1114"/>
      <c r="DG895" s="1114"/>
      <c r="DH895" s="1114"/>
      <c r="DI895" s="1114"/>
      <c r="DJ895" s="1114"/>
      <c r="DK895" s="1114"/>
      <c r="DL895" s="1114"/>
      <c r="DM895" s="1114"/>
      <c r="DN895" s="1114"/>
      <c r="DO895" s="1114"/>
      <c r="DP895" s="1114"/>
      <c r="DQ895" s="1114"/>
      <c r="DR895" s="1114"/>
      <c r="DS895" s="1114"/>
      <c r="DT895" s="1114"/>
      <c r="DU895" s="1114"/>
      <c r="DV895" s="1115"/>
      <c r="DW895" s="1116"/>
      <c r="DX895" s="1116"/>
      <c r="DY895" s="1116"/>
      <c r="DZ895" s="1116"/>
      <c r="EA895" s="1116"/>
      <c r="EB895" s="1116"/>
      <c r="EC895" s="1116"/>
      <c r="ED895" s="1116"/>
      <c r="EE895" s="1116"/>
      <c r="EF895" s="1116"/>
      <c r="EG895" s="1116"/>
      <c r="EH895" s="1116"/>
      <c r="EI895" s="1116"/>
      <c r="EJ895" s="1116"/>
      <c r="EK895" s="1116"/>
      <c r="EL895" s="1116"/>
      <c r="EM895" s="1116"/>
      <c r="EN895" s="1116"/>
      <c r="EO895" s="1116"/>
      <c r="EP895" s="1116"/>
      <c r="EQ895" s="1116"/>
      <c r="ER895" s="1116"/>
      <c r="ES895" s="1116"/>
    </row>
    <row r="896" spans="1:149" ht="15" customHeight="1">
      <c r="A896" s="1185">
        <v>881</v>
      </c>
      <c r="B896" s="1041"/>
      <c r="C896" s="1050"/>
      <c r="D896" s="1050"/>
      <c r="E896" s="1050"/>
      <c r="F896" s="1049"/>
      <c r="G896" s="1457"/>
      <c r="H896" s="1049"/>
      <c r="I896" s="1049"/>
      <c r="J896" s="1050"/>
      <c r="K896" s="1050"/>
      <c r="L896" s="1043"/>
      <c r="M896" s="1051"/>
      <c r="N896" s="1051"/>
      <c r="O896" s="1052"/>
      <c r="P896" s="1051"/>
      <c r="Q896" s="1051"/>
      <c r="R896" s="1052"/>
      <c r="S896" s="1051"/>
      <c r="T896" s="1051"/>
      <c r="U896" s="1052"/>
      <c r="V896" s="1051"/>
      <c r="W896" s="1051"/>
      <c r="X896" s="1052"/>
      <c r="Y896" s="1053"/>
      <c r="Z896" s="1051"/>
      <c r="AA896" s="1051"/>
      <c r="AB896" s="1052"/>
      <c r="AC896" s="1051"/>
      <c r="AD896" s="1051"/>
      <c r="AE896" s="1052"/>
      <c r="AF896" s="1051"/>
      <c r="AG896" s="1051"/>
      <c r="AH896" s="1051"/>
      <c r="AI896" s="1051"/>
      <c r="AJ896" s="1052"/>
      <c r="AK896" s="1051"/>
      <c r="AL896" s="1051"/>
      <c r="AM896" s="1052"/>
      <c r="AN896" s="1051"/>
      <c r="AO896" s="1051"/>
      <c r="AP896" s="1052"/>
      <c r="AQ896" s="1051"/>
      <c r="AR896" s="1051"/>
      <c r="AS896" s="1052"/>
      <c r="AT896" s="1051"/>
      <c r="AU896" s="1051"/>
      <c r="AV896" s="1052"/>
      <c r="AW896" s="1051"/>
      <c r="AX896" s="1051"/>
      <c r="AY896" s="1053"/>
      <c r="AZ896" s="1051"/>
      <c r="BA896" s="1051"/>
      <c r="BB896" s="1053"/>
      <c r="BC896" s="1051"/>
      <c r="BD896" s="1051"/>
      <c r="BE896" s="1053"/>
      <c r="BF896" s="1051"/>
      <c r="BG896" s="1051"/>
      <c r="BH896" s="1053"/>
      <c r="BI896" s="1052"/>
      <c r="BJ896" s="1052"/>
      <c r="BK896" s="1052"/>
      <c r="BL896" s="1052"/>
      <c r="BM896" s="1052"/>
      <c r="BN896" s="1054"/>
      <c r="BO896" s="1076">
        <f t="shared" si="25"/>
        <v>0</v>
      </c>
      <c r="BP896" s="1051"/>
      <c r="BQ896" s="1052"/>
      <c r="BR896" s="1054"/>
      <c r="BS896" s="1053"/>
      <c r="BT896" s="1051"/>
      <c r="BU896" s="1051"/>
      <c r="BV896" s="1051"/>
      <c r="BW896" s="1052"/>
      <c r="BX896" s="1052"/>
      <c r="BY896" s="1052"/>
      <c r="BZ896" s="1052"/>
      <c r="CA896" s="1052"/>
      <c r="CB896" s="1053"/>
      <c r="CC896" s="1053"/>
      <c r="CD896" s="1053"/>
      <c r="CE896" s="1053"/>
      <c r="CF896" s="1053"/>
      <c r="CG896" s="1053"/>
      <c r="CH896" s="1053"/>
      <c r="CI896" s="1123"/>
      <c r="CJ896" s="1123"/>
      <c r="CK896" s="1123"/>
      <c r="CL896" s="1123"/>
      <c r="CM896" s="1123"/>
      <c r="CN896" s="1123"/>
      <c r="CO896" s="1123"/>
      <c r="CP896" s="1123"/>
      <c r="CQ896" s="1123"/>
      <c r="CR896" s="1123"/>
      <c r="CS896" s="1123"/>
      <c r="CT896" s="1123"/>
      <c r="CU896" s="1123"/>
      <c r="CV896" s="1123"/>
      <c r="CW896" s="1123"/>
      <c r="CX896" s="1123"/>
      <c r="CY896" s="1123"/>
      <c r="CZ896" s="1114"/>
      <c r="DA896" s="1114"/>
      <c r="DB896" s="1114"/>
      <c r="DC896" s="1114"/>
      <c r="DD896" s="1114"/>
      <c r="DE896" s="1114"/>
      <c r="DF896" s="1114"/>
      <c r="DG896" s="1114"/>
      <c r="DH896" s="1114"/>
      <c r="DI896" s="1114"/>
      <c r="DJ896" s="1114"/>
      <c r="DK896" s="1114"/>
      <c r="DL896" s="1114"/>
      <c r="DM896" s="1114"/>
      <c r="DN896" s="1114"/>
      <c r="DO896" s="1114"/>
      <c r="DP896" s="1114"/>
      <c r="DQ896" s="1114"/>
      <c r="DR896" s="1114"/>
      <c r="DS896" s="1114"/>
      <c r="DT896" s="1114"/>
      <c r="DU896" s="1114"/>
      <c r="DV896" s="1115"/>
      <c r="DW896" s="1116"/>
      <c r="DX896" s="1116"/>
      <c r="DY896" s="1116"/>
      <c r="DZ896" s="1116"/>
      <c r="EA896" s="1116"/>
      <c r="EB896" s="1116"/>
      <c r="EC896" s="1116"/>
      <c r="ED896" s="1116"/>
      <c r="EE896" s="1116"/>
      <c r="EF896" s="1116"/>
      <c r="EG896" s="1116"/>
      <c r="EH896" s="1116"/>
      <c r="EI896" s="1116"/>
      <c r="EJ896" s="1116"/>
      <c r="EK896" s="1116"/>
      <c r="EL896" s="1116"/>
      <c r="EM896" s="1116"/>
      <c r="EN896" s="1116"/>
      <c r="EO896" s="1116"/>
      <c r="EP896" s="1116"/>
      <c r="EQ896" s="1116"/>
      <c r="ER896" s="1116"/>
      <c r="ES896" s="1116"/>
    </row>
    <row r="897" spans="1:149" ht="15" customHeight="1">
      <c r="A897" s="1185">
        <v>882</v>
      </c>
      <c r="B897" s="1041"/>
      <c r="C897" s="1050"/>
      <c r="D897" s="1050"/>
      <c r="E897" s="1050"/>
      <c r="F897" s="1049"/>
      <c r="G897" s="1457"/>
      <c r="H897" s="1049"/>
      <c r="I897" s="1049"/>
      <c r="J897" s="1050"/>
      <c r="K897" s="1050"/>
      <c r="L897" s="1043"/>
      <c r="M897" s="1051"/>
      <c r="N897" s="1051"/>
      <c r="O897" s="1052"/>
      <c r="P897" s="1051"/>
      <c r="Q897" s="1051"/>
      <c r="R897" s="1052"/>
      <c r="S897" s="1051"/>
      <c r="T897" s="1051"/>
      <c r="U897" s="1052"/>
      <c r="V897" s="1051"/>
      <c r="W897" s="1051"/>
      <c r="X897" s="1052"/>
      <c r="Y897" s="1053"/>
      <c r="Z897" s="1051"/>
      <c r="AA897" s="1051"/>
      <c r="AB897" s="1052"/>
      <c r="AC897" s="1051"/>
      <c r="AD897" s="1051"/>
      <c r="AE897" s="1052"/>
      <c r="AF897" s="1051"/>
      <c r="AG897" s="1051"/>
      <c r="AH897" s="1051"/>
      <c r="AI897" s="1051"/>
      <c r="AJ897" s="1052"/>
      <c r="AK897" s="1051"/>
      <c r="AL897" s="1051"/>
      <c r="AM897" s="1052"/>
      <c r="AN897" s="1051"/>
      <c r="AO897" s="1051"/>
      <c r="AP897" s="1052"/>
      <c r="AQ897" s="1051"/>
      <c r="AR897" s="1051"/>
      <c r="AS897" s="1052"/>
      <c r="AT897" s="1051"/>
      <c r="AU897" s="1051"/>
      <c r="AV897" s="1052"/>
      <c r="AW897" s="1051"/>
      <c r="AX897" s="1051"/>
      <c r="AY897" s="1053"/>
      <c r="AZ897" s="1051"/>
      <c r="BA897" s="1051"/>
      <c r="BB897" s="1053"/>
      <c r="BC897" s="1051"/>
      <c r="BD897" s="1051"/>
      <c r="BE897" s="1053"/>
      <c r="BF897" s="1051"/>
      <c r="BG897" s="1051"/>
      <c r="BH897" s="1053"/>
      <c r="BI897" s="1052"/>
      <c r="BJ897" s="1052"/>
      <c r="BK897" s="1052"/>
      <c r="BL897" s="1052"/>
      <c r="BM897" s="1052"/>
      <c r="BN897" s="1054"/>
      <c r="BO897" s="1076">
        <f t="shared" si="25"/>
        <v>0</v>
      </c>
      <c r="BP897" s="1051"/>
      <c r="BQ897" s="1052"/>
      <c r="BR897" s="1054"/>
      <c r="BS897" s="1053"/>
      <c r="BT897" s="1051"/>
      <c r="BU897" s="1051"/>
      <c r="BV897" s="1051"/>
      <c r="BW897" s="1052"/>
      <c r="BX897" s="1052"/>
      <c r="BY897" s="1052"/>
      <c r="BZ897" s="1052"/>
      <c r="CA897" s="1052"/>
      <c r="CB897" s="1053"/>
      <c r="CC897" s="1053"/>
      <c r="CD897" s="1053"/>
      <c r="CE897" s="1053"/>
      <c r="CF897" s="1053"/>
      <c r="CG897" s="1053"/>
      <c r="CH897" s="1053"/>
      <c r="CI897" s="1123"/>
      <c r="CJ897" s="1123"/>
      <c r="CK897" s="1123"/>
      <c r="CL897" s="1123"/>
      <c r="CM897" s="1123"/>
      <c r="CN897" s="1123"/>
      <c r="CO897" s="1123"/>
      <c r="CP897" s="1123"/>
      <c r="CQ897" s="1123"/>
      <c r="CR897" s="1123"/>
      <c r="CS897" s="1123"/>
      <c r="CT897" s="1123"/>
      <c r="CU897" s="1123"/>
      <c r="CV897" s="1123"/>
      <c r="CW897" s="1123"/>
      <c r="CX897" s="1123"/>
      <c r="CY897" s="1123"/>
      <c r="CZ897" s="1114"/>
      <c r="DA897" s="1114"/>
      <c r="DB897" s="1114"/>
      <c r="DC897" s="1114"/>
      <c r="DD897" s="1114"/>
      <c r="DE897" s="1114"/>
      <c r="DF897" s="1114"/>
      <c r="DG897" s="1114"/>
      <c r="DH897" s="1114"/>
      <c r="DI897" s="1114"/>
      <c r="DJ897" s="1114"/>
      <c r="DK897" s="1114"/>
      <c r="DL897" s="1114"/>
      <c r="DM897" s="1114"/>
      <c r="DN897" s="1114"/>
      <c r="DO897" s="1114"/>
      <c r="DP897" s="1114"/>
      <c r="DQ897" s="1114"/>
      <c r="DR897" s="1114"/>
      <c r="DS897" s="1114"/>
      <c r="DT897" s="1114"/>
      <c r="DU897" s="1114"/>
      <c r="DV897" s="1115"/>
      <c r="DW897" s="1116"/>
      <c r="DX897" s="1116"/>
      <c r="DY897" s="1116"/>
      <c r="DZ897" s="1116"/>
      <c r="EA897" s="1116"/>
      <c r="EB897" s="1116"/>
      <c r="EC897" s="1116"/>
      <c r="ED897" s="1116"/>
      <c r="EE897" s="1116"/>
      <c r="EF897" s="1116"/>
      <c r="EG897" s="1116"/>
      <c r="EH897" s="1116"/>
      <c r="EI897" s="1116"/>
      <c r="EJ897" s="1116"/>
      <c r="EK897" s="1116"/>
      <c r="EL897" s="1116"/>
      <c r="EM897" s="1116"/>
      <c r="EN897" s="1116"/>
      <c r="EO897" s="1116"/>
      <c r="EP897" s="1116"/>
      <c r="EQ897" s="1116"/>
      <c r="ER897" s="1116"/>
      <c r="ES897" s="1116"/>
    </row>
    <row r="898" spans="1:149" ht="15" customHeight="1">
      <c r="A898" s="1185">
        <v>883</v>
      </c>
      <c r="B898" s="1041"/>
      <c r="C898" s="1050"/>
      <c r="D898" s="1050"/>
      <c r="E898" s="1050"/>
      <c r="F898" s="1049"/>
      <c r="G898" s="1457"/>
      <c r="H898" s="1049"/>
      <c r="I898" s="1049"/>
      <c r="J898" s="1050"/>
      <c r="K898" s="1050"/>
      <c r="L898" s="1043"/>
      <c r="M898" s="1051"/>
      <c r="N898" s="1051"/>
      <c r="O898" s="1052"/>
      <c r="P898" s="1051"/>
      <c r="Q898" s="1051"/>
      <c r="R898" s="1052"/>
      <c r="S898" s="1051"/>
      <c r="T898" s="1051"/>
      <c r="U898" s="1052"/>
      <c r="V898" s="1051"/>
      <c r="W898" s="1051"/>
      <c r="X898" s="1052"/>
      <c r="Y898" s="1053"/>
      <c r="Z898" s="1051"/>
      <c r="AA898" s="1051"/>
      <c r="AB898" s="1052"/>
      <c r="AC898" s="1051"/>
      <c r="AD898" s="1051"/>
      <c r="AE898" s="1052"/>
      <c r="AF898" s="1051"/>
      <c r="AG898" s="1051"/>
      <c r="AH898" s="1051"/>
      <c r="AI898" s="1051"/>
      <c r="AJ898" s="1052"/>
      <c r="AK898" s="1051"/>
      <c r="AL898" s="1051"/>
      <c r="AM898" s="1052"/>
      <c r="AN898" s="1051"/>
      <c r="AO898" s="1051"/>
      <c r="AP898" s="1052"/>
      <c r="AQ898" s="1051"/>
      <c r="AR898" s="1051"/>
      <c r="AS898" s="1052"/>
      <c r="AT898" s="1051"/>
      <c r="AU898" s="1051"/>
      <c r="AV898" s="1052"/>
      <c r="AW898" s="1051"/>
      <c r="AX898" s="1051"/>
      <c r="AY898" s="1053"/>
      <c r="AZ898" s="1051"/>
      <c r="BA898" s="1051"/>
      <c r="BB898" s="1053"/>
      <c r="BC898" s="1051"/>
      <c r="BD898" s="1051"/>
      <c r="BE898" s="1053"/>
      <c r="BF898" s="1051"/>
      <c r="BG898" s="1051"/>
      <c r="BH898" s="1053"/>
      <c r="BI898" s="1052"/>
      <c r="BJ898" s="1052"/>
      <c r="BK898" s="1052"/>
      <c r="BL898" s="1052"/>
      <c r="BM898" s="1052"/>
      <c r="BN898" s="1054"/>
      <c r="BO898" s="1076">
        <f t="shared" si="25"/>
        <v>0</v>
      </c>
      <c r="BP898" s="1051"/>
      <c r="BQ898" s="1052"/>
      <c r="BR898" s="1054"/>
      <c r="BS898" s="1053"/>
      <c r="BT898" s="1051"/>
      <c r="BU898" s="1051"/>
      <c r="BV898" s="1051"/>
      <c r="BW898" s="1052"/>
      <c r="BX898" s="1052"/>
      <c r="BY898" s="1052"/>
      <c r="BZ898" s="1052"/>
      <c r="CA898" s="1052"/>
      <c r="CB898" s="1053"/>
      <c r="CC898" s="1053"/>
      <c r="CD898" s="1053"/>
      <c r="CE898" s="1053"/>
      <c r="CF898" s="1053"/>
      <c r="CG898" s="1053"/>
      <c r="CH898" s="1053"/>
      <c r="CI898" s="1123"/>
      <c r="CJ898" s="1123"/>
      <c r="CK898" s="1123"/>
      <c r="CL898" s="1123"/>
      <c r="CM898" s="1123"/>
      <c r="CN898" s="1123"/>
      <c r="CO898" s="1123"/>
      <c r="CP898" s="1123"/>
      <c r="CQ898" s="1123"/>
      <c r="CR898" s="1123"/>
      <c r="CS898" s="1123"/>
      <c r="CT898" s="1123"/>
      <c r="CU898" s="1123"/>
      <c r="CV898" s="1123"/>
      <c r="CW898" s="1123"/>
      <c r="CX898" s="1123"/>
      <c r="CY898" s="1123"/>
      <c r="CZ898" s="1114"/>
      <c r="DA898" s="1114"/>
      <c r="DB898" s="1114"/>
      <c r="DC898" s="1114"/>
      <c r="DD898" s="1114"/>
      <c r="DE898" s="1114"/>
      <c r="DF898" s="1114"/>
      <c r="DG898" s="1114"/>
      <c r="DH898" s="1114"/>
      <c r="DI898" s="1114"/>
      <c r="DJ898" s="1114"/>
      <c r="DK898" s="1114"/>
      <c r="DL898" s="1114"/>
      <c r="DM898" s="1114"/>
      <c r="DN898" s="1114"/>
      <c r="DO898" s="1114"/>
      <c r="DP898" s="1114"/>
      <c r="DQ898" s="1114"/>
      <c r="DR898" s="1114"/>
      <c r="DS898" s="1114"/>
      <c r="DT898" s="1114"/>
      <c r="DU898" s="1114"/>
      <c r="DV898" s="1115"/>
      <c r="DW898" s="1116"/>
      <c r="DX898" s="1116"/>
      <c r="DY898" s="1116"/>
      <c r="DZ898" s="1116"/>
      <c r="EA898" s="1116"/>
      <c r="EB898" s="1116"/>
      <c r="EC898" s="1116"/>
      <c r="ED898" s="1116"/>
      <c r="EE898" s="1116"/>
      <c r="EF898" s="1116"/>
      <c r="EG898" s="1116"/>
      <c r="EH898" s="1116"/>
      <c r="EI898" s="1116"/>
      <c r="EJ898" s="1116"/>
      <c r="EK898" s="1116"/>
      <c r="EL898" s="1116"/>
      <c r="EM898" s="1116"/>
      <c r="EN898" s="1116"/>
      <c r="EO898" s="1116"/>
      <c r="EP898" s="1116"/>
      <c r="EQ898" s="1116"/>
      <c r="ER898" s="1116"/>
      <c r="ES898" s="1116"/>
    </row>
    <row r="899" spans="1:149" ht="15" customHeight="1">
      <c r="A899" s="1185">
        <v>884</v>
      </c>
      <c r="B899" s="1041"/>
      <c r="C899" s="1050"/>
      <c r="D899" s="1050"/>
      <c r="E899" s="1050"/>
      <c r="F899" s="1049"/>
      <c r="G899" s="1457"/>
      <c r="H899" s="1049"/>
      <c r="I899" s="1049"/>
      <c r="J899" s="1050"/>
      <c r="K899" s="1050"/>
      <c r="L899" s="1043"/>
      <c r="M899" s="1051"/>
      <c r="N899" s="1051"/>
      <c r="O899" s="1052"/>
      <c r="P899" s="1051"/>
      <c r="Q899" s="1051"/>
      <c r="R899" s="1052"/>
      <c r="S899" s="1051"/>
      <c r="T899" s="1051"/>
      <c r="U899" s="1052"/>
      <c r="V899" s="1051"/>
      <c r="W899" s="1051"/>
      <c r="X899" s="1052"/>
      <c r="Y899" s="1053"/>
      <c r="Z899" s="1051"/>
      <c r="AA899" s="1051"/>
      <c r="AB899" s="1052"/>
      <c r="AC899" s="1051"/>
      <c r="AD899" s="1051"/>
      <c r="AE899" s="1052"/>
      <c r="AF899" s="1051"/>
      <c r="AG899" s="1051"/>
      <c r="AH899" s="1051"/>
      <c r="AI899" s="1051"/>
      <c r="AJ899" s="1052"/>
      <c r="AK899" s="1051"/>
      <c r="AL899" s="1051"/>
      <c r="AM899" s="1052"/>
      <c r="AN899" s="1051"/>
      <c r="AO899" s="1051"/>
      <c r="AP899" s="1052"/>
      <c r="AQ899" s="1051"/>
      <c r="AR899" s="1051"/>
      <c r="AS899" s="1052"/>
      <c r="AT899" s="1051"/>
      <c r="AU899" s="1051"/>
      <c r="AV899" s="1052"/>
      <c r="AW899" s="1051"/>
      <c r="AX899" s="1051"/>
      <c r="AY899" s="1053"/>
      <c r="AZ899" s="1051"/>
      <c r="BA899" s="1051"/>
      <c r="BB899" s="1053"/>
      <c r="BC899" s="1051"/>
      <c r="BD899" s="1051"/>
      <c r="BE899" s="1053"/>
      <c r="BF899" s="1051"/>
      <c r="BG899" s="1051"/>
      <c r="BH899" s="1053"/>
      <c r="BI899" s="1052"/>
      <c r="BJ899" s="1052"/>
      <c r="BK899" s="1052"/>
      <c r="BL899" s="1052"/>
      <c r="BM899" s="1052"/>
      <c r="BN899" s="1054"/>
      <c r="BO899" s="1076">
        <f t="shared" si="25"/>
        <v>0</v>
      </c>
      <c r="BP899" s="1051"/>
      <c r="BQ899" s="1052"/>
      <c r="BR899" s="1054"/>
      <c r="BS899" s="1053"/>
      <c r="BT899" s="1051"/>
      <c r="BU899" s="1051"/>
      <c r="BV899" s="1051"/>
      <c r="BW899" s="1052"/>
      <c r="BX899" s="1052"/>
      <c r="BY899" s="1052"/>
      <c r="BZ899" s="1052"/>
      <c r="CA899" s="1052"/>
      <c r="CB899" s="1053"/>
      <c r="CC899" s="1053"/>
      <c r="CD899" s="1053"/>
      <c r="CE899" s="1053"/>
      <c r="CF899" s="1053"/>
      <c r="CG899" s="1053"/>
      <c r="CH899" s="1053"/>
      <c r="CI899" s="1123"/>
      <c r="CJ899" s="1123"/>
      <c r="CK899" s="1123"/>
      <c r="CL899" s="1123"/>
      <c r="CM899" s="1123"/>
      <c r="CN899" s="1123"/>
      <c r="CO899" s="1123"/>
      <c r="CP899" s="1123"/>
      <c r="CQ899" s="1123"/>
      <c r="CR899" s="1123"/>
      <c r="CS899" s="1123"/>
      <c r="CT899" s="1123"/>
      <c r="CU899" s="1123"/>
      <c r="CV899" s="1123"/>
      <c r="CW899" s="1123"/>
      <c r="CX899" s="1123"/>
      <c r="CY899" s="1123"/>
      <c r="CZ899" s="1114"/>
      <c r="DA899" s="1114"/>
      <c r="DB899" s="1114"/>
      <c r="DC899" s="1114"/>
      <c r="DD899" s="1114"/>
      <c r="DE899" s="1114"/>
      <c r="DF899" s="1114"/>
      <c r="DG899" s="1114"/>
      <c r="DH899" s="1114"/>
      <c r="DI899" s="1114"/>
      <c r="DJ899" s="1114"/>
      <c r="DK899" s="1114"/>
      <c r="DL899" s="1114"/>
      <c r="DM899" s="1114"/>
      <c r="DN899" s="1114"/>
      <c r="DO899" s="1114"/>
      <c r="DP899" s="1114"/>
      <c r="DQ899" s="1114"/>
      <c r="DR899" s="1114"/>
      <c r="DS899" s="1114"/>
      <c r="DT899" s="1114"/>
      <c r="DU899" s="1114"/>
      <c r="DV899" s="1115"/>
      <c r="DW899" s="1116"/>
      <c r="DX899" s="1116"/>
      <c r="DY899" s="1116"/>
      <c r="DZ899" s="1116"/>
      <c r="EA899" s="1116"/>
      <c r="EB899" s="1116"/>
      <c r="EC899" s="1116"/>
      <c r="ED899" s="1116"/>
      <c r="EE899" s="1116"/>
      <c r="EF899" s="1116"/>
      <c r="EG899" s="1116"/>
      <c r="EH899" s="1116"/>
      <c r="EI899" s="1116"/>
      <c r="EJ899" s="1116"/>
      <c r="EK899" s="1116"/>
      <c r="EL899" s="1116"/>
      <c r="EM899" s="1116"/>
      <c r="EN899" s="1116"/>
      <c r="EO899" s="1116"/>
      <c r="EP899" s="1116"/>
      <c r="EQ899" s="1116"/>
      <c r="ER899" s="1116"/>
      <c r="ES899" s="1116"/>
    </row>
    <row r="900" spans="1:149" ht="15" customHeight="1">
      <c r="A900" s="1185">
        <v>885</v>
      </c>
      <c r="B900" s="1041"/>
      <c r="C900" s="1050"/>
      <c r="D900" s="1050"/>
      <c r="E900" s="1050"/>
      <c r="F900" s="1049"/>
      <c r="G900" s="1457"/>
      <c r="H900" s="1049"/>
      <c r="I900" s="1049"/>
      <c r="J900" s="1050"/>
      <c r="K900" s="1050"/>
      <c r="L900" s="1043"/>
      <c r="M900" s="1051"/>
      <c r="N900" s="1051"/>
      <c r="O900" s="1052"/>
      <c r="P900" s="1051"/>
      <c r="Q900" s="1051"/>
      <c r="R900" s="1052"/>
      <c r="S900" s="1051"/>
      <c r="T900" s="1051"/>
      <c r="U900" s="1052"/>
      <c r="V900" s="1051"/>
      <c r="W900" s="1051"/>
      <c r="X900" s="1052"/>
      <c r="Y900" s="1053"/>
      <c r="Z900" s="1051"/>
      <c r="AA900" s="1051"/>
      <c r="AB900" s="1052"/>
      <c r="AC900" s="1051"/>
      <c r="AD900" s="1051"/>
      <c r="AE900" s="1052"/>
      <c r="AF900" s="1051"/>
      <c r="AG900" s="1051"/>
      <c r="AH900" s="1051"/>
      <c r="AI900" s="1051"/>
      <c r="AJ900" s="1052"/>
      <c r="AK900" s="1051"/>
      <c r="AL900" s="1051"/>
      <c r="AM900" s="1052"/>
      <c r="AN900" s="1051"/>
      <c r="AO900" s="1051"/>
      <c r="AP900" s="1052"/>
      <c r="AQ900" s="1051"/>
      <c r="AR900" s="1051"/>
      <c r="AS900" s="1052"/>
      <c r="AT900" s="1051"/>
      <c r="AU900" s="1051"/>
      <c r="AV900" s="1052"/>
      <c r="AW900" s="1051"/>
      <c r="AX900" s="1051"/>
      <c r="AY900" s="1053"/>
      <c r="AZ900" s="1051"/>
      <c r="BA900" s="1051"/>
      <c r="BB900" s="1053"/>
      <c r="BC900" s="1051"/>
      <c r="BD900" s="1051"/>
      <c r="BE900" s="1053"/>
      <c r="BF900" s="1051"/>
      <c r="BG900" s="1051"/>
      <c r="BH900" s="1053"/>
      <c r="BI900" s="1052"/>
      <c r="BJ900" s="1052"/>
      <c r="BK900" s="1052"/>
      <c r="BL900" s="1052"/>
      <c r="BM900" s="1052"/>
      <c r="BN900" s="1054"/>
      <c r="BO900" s="1076">
        <f t="shared" si="25"/>
        <v>0</v>
      </c>
      <c r="BP900" s="1051"/>
      <c r="BQ900" s="1052"/>
      <c r="BR900" s="1054"/>
      <c r="BS900" s="1053"/>
      <c r="BT900" s="1051"/>
      <c r="BU900" s="1051"/>
      <c r="BV900" s="1051"/>
      <c r="BW900" s="1052"/>
      <c r="BX900" s="1052"/>
      <c r="BY900" s="1052"/>
      <c r="BZ900" s="1052"/>
      <c r="CA900" s="1052"/>
      <c r="CB900" s="1053"/>
      <c r="CC900" s="1053"/>
      <c r="CD900" s="1053"/>
      <c r="CE900" s="1053"/>
      <c r="CF900" s="1053"/>
      <c r="CG900" s="1053"/>
      <c r="CH900" s="1053"/>
      <c r="CI900" s="1123"/>
      <c r="CJ900" s="1123"/>
      <c r="CK900" s="1123"/>
      <c r="CL900" s="1123"/>
      <c r="CM900" s="1123"/>
      <c r="CN900" s="1123"/>
      <c r="CO900" s="1123"/>
      <c r="CP900" s="1123"/>
      <c r="CQ900" s="1123"/>
      <c r="CR900" s="1123"/>
      <c r="CS900" s="1123"/>
      <c r="CT900" s="1123"/>
      <c r="CU900" s="1123"/>
      <c r="CV900" s="1123"/>
      <c r="CW900" s="1123"/>
      <c r="CX900" s="1123"/>
      <c r="CY900" s="1123"/>
      <c r="CZ900" s="1114"/>
      <c r="DA900" s="1114"/>
      <c r="DB900" s="1114"/>
      <c r="DC900" s="1114"/>
      <c r="DD900" s="1114"/>
      <c r="DE900" s="1114"/>
      <c r="DF900" s="1114"/>
      <c r="DG900" s="1114"/>
      <c r="DH900" s="1114"/>
      <c r="DI900" s="1114"/>
      <c r="DJ900" s="1114"/>
      <c r="DK900" s="1114"/>
      <c r="DL900" s="1114"/>
      <c r="DM900" s="1114"/>
      <c r="DN900" s="1114"/>
      <c r="DO900" s="1114"/>
      <c r="DP900" s="1114"/>
      <c r="DQ900" s="1114"/>
      <c r="DR900" s="1114"/>
      <c r="DS900" s="1114"/>
      <c r="DT900" s="1114"/>
      <c r="DU900" s="1114"/>
      <c r="DV900" s="1115"/>
      <c r="DW900" s="1116"/>
      <c r="DX900" s="1116"/>
      <c r="DY900" s="1116"/>
      <c r="DZ900" s="1116"/>
      <c r="EA900" s="1116"/>
      <c r="EB900" s="1116"/>
      <c r="EC900" s="1116"/>
      <c r="ED900" s="1116"/>
      <c r="EE900" s="1116"/>
      <c r="EF900" s="1116"/>
      <c r="EG900" s="1116"/>
      <c r="EH900" s="1116"/>
      <c r="EI900" s="1116"/>
      <c r="EJ900" s="1116"/>
      <c r="EK900" s="1116"/>
      <c r="EL900" s="1116"/>
      <c r="EM900" s="1116"/>
      <c r="EN900" s="1116"/>
      <c r="EO900" s="1116"/>
      <c r="EP900" s="1116"/>
      <c r="EQ900" s="1116"/>
      <c r="ER900" s="1116"/>
      <c r="ES900" s="1116"/>
    </row>
    <row r="901" spans="1:149" ht="15" customHeight="1">
      <c r="A901" s="1185">
        <v>886</v>
      </c>
      <c r="B901" s="1041"/>
      <c r="C901" s="1050"/>
      <c r="D901" s="1050"/>
      <c r="E901" s="1050"/>
      <c r="F901" s="1049"/>
      <c r="G901" s="1457"/>
      <c r="H901" s="1049"/>
      <c r="I901" s="1049"/>
      <c r="J901" s="1050"/>
      <c r="K901" s="1050"/>
      <c r="L901" s="1043"/>
      <c r="M901" s="1051"/>
      <c r="N901" s="1051"/>
      <c r="O901" s="1052"/>
      <c r="P901" s="1051"/>
      <c r="Q901" s="1051"/>
      <c r="R901" s="1052"/>
      <c r="S901" s="1051"/>
      <c r="T901" s="1051"/>
      <c r="U901" s="1052"/>
      <c r="V901" s="1051"/>
      <c r="W901" s="1051"/>
      <c r="X901" s="1052"/>
      <c r="Y901" s="1053"/>
      <c r="Z901" s="1051"/>
      <c r="AA901" s="1051"/>
      <c r="AB901" s="1052"/>
      <c r="AC901" s="1051"/>
      <c r="AD901" s="1051"/>
      <c r="AE901" s="1052"/>
      <c r="AF901" s="1051"/>
      <c r="AG901" s="1051"/>
      <c r="AH901" s="1051"/>
      <c r="AI901" s="1051"/>
      <c r="AJ901" s="1052"/>
      <c r="AK901" s="1051"/>
      <c r="AL901" s="1051"/>
      <c r="AM901" s="1052"/>
      <c r="AN901" s="1051"/>
      <c r="AO901" s="1051"/>
      <c r="AP901" s="1052"/>
      <c r="AQ901" s="1051"/>
      <c r="AR901" s="1051"/>
      <c r="AS901" s="1052"/>
      <c r="AT901" s="1051"/>
      <c r="AU901" s="1051"/>
      <c r="AV901" s="1052"/>
      <c r="AW901" s="1051"/>
      <c r="AX901" s="1051"/>
      <c r="AY901" s="1053"/>
      <c r="AZ901" s="1051"/>
      <c r="BA901" s="1051"/>
      <c r="BB901" s="1053"/>
      <c r="BC901" s="1051"/>
      <c r="BD901" s="1051"/>
      <c r="BE901" s="1053"/>
      <c r="BF901" s="1051"/>
      <c r="BG901" s="1051"/>
      <c r="BH901" s="1053"/>
      <c r="BI901" s="1052"/>
      <c r="BJ901" s="1052"/>
      <c r="BK901" s="1052"/>
      <c r="BL901" s="1052"/>
      <c r="BM901" s="1052"/>
      <c r="BN901" s="1054"/>
      <c r="BO901" s="1076">
        <f t="shared" si="25"/>
        <v>0</v>
      </c>
      <c r="BP901" s="1051"/>
      <c r="BQ901" s="1052"/>
      <c r="BR901" s="1054"/>
      <c r="BS901" s="1053"/>
      <c r="BT901" s="1051"/>
      <c r="BU901" s="1051"/>
      <c r="BV901" s="1051"/>
      <c r="BW901" s="1052"/>
      <c r="BX901" s="1052"/>
      <c r="BY901" s="1052"/>
      <c r="BZ901" s="1052"/>
      <c r="CA901" s="1052"/>
      <c r="CB901" s="1053"/>
      <c r="CC901" s="1053"/>
      <c r="CD901" s="1053"/>
      <c r="CE901" s="1053"/>
      <c r="CF901" s="1053"/>
      <c r="CG901" s="1053"/>
      <c r="CH901" s="1053"/>
      <c r="CI901" s="1123"/>
      <c r="CJ901" s="1123"/>
      <c r="CK901" s="1123"/>
      <c r="CL901" s="1123"/>
      <c r="CM901" s="1123"/>
      <c r="CN901" s="1123"/>
      <c r="CO901" s="1123"/>
      <c r="CP901" s="1123"/>
      <c r="CQ901" s="1123"/>
      <c r="CR901" s="1123"/>
      <c r="CS901" s="1123"/>
      <c r="CT901" s="1123"/>
      <c r="CU901" s="1123"/>
      <c r="CV901" s="1123"/>
      <c r="CW901" s="1123"/>
      <c r="CX901" s="1123"/>
      <c r="CY901" s="1123"/>
      <c r="CZ901" s="1114"/>
      <c r="DA901" s="1114"/>
      <c r="DB901" s="1114"/>
      <c r="DC901" s="1114"/>
      <c r="DD901" s="1114"/>
      <c r="DE901" s="1114"/>
      <c r="DF901" s="1114"/>
      <c r="DG901" s="1114"/>
      <c r="DH901" s="1114"/>
      <c r="DI901" s="1114"/>
      <c r="DJ901" s="1114"/>
      <c r="DK901" s="1114"/>
      <c r="DL901" s="1114"/>
      <c r="DM901" s="1114"/>
      <c r="DN901" s="1114"/>
      <c r="DO901" s="1114"/>
      <c r="DP901" s="1114"/>
      <c r="DQ901" s="1114"/>
      <c r="DR901" s="1114"/>
      <c r="DS901" s="1114"/>
      <c r="DT901" s="1114"/>
      <c r="DU901" s="1114"/>
      <c r="DV901" s="1115"/>
      <c r="DW901" s="1116"/>
      <c r="DX901" s="1116"/>
      <c r="DY901" s="1116"/>
      <c r="DZ901" s="1116"/>
      <c r="EA901" s="1116"/>
      <c r="EB901" s="1116"/>
      <c r="EC901" s="1116"/>
      <c r="ED901" s="1116"/>
      <c r="EE901" s="1116"/>
      <c r="EF901" s="1116"/>
      <c r="EG901" s="1116"/>
      <c r="EH901" s="1116"/>
      <c r="EI901" s="1116"/>
      <c r="EJ901" s="1116"/>
      <c r="EK901" s="1116"/>
      <c r="EL901" s="1116"/>
      <c r="EM901" s="1116"/>
      <c r="EN901" s="1116"/>
      <c r="EO901" s="1116"/>
      <c r="EP901" s="1116"/>
      <c r="EQ901" s="1116"/>
      <c r="ER901" s="1116"/>
      <c r="ES901" s="1116"/>
    </row>
    <row r="902" spans="1:149" ht="15" customHeight="1">
      <c r="A902" s="1185">
        <v>887</v>
      </c>
      <c r="B902" s="1041"/>
      <c r="C902" s="1050"/>
      <c r="D902" s="1050"/>
      <c r="E902" s="1050"/>
      <c r="F902" s="1049"/>
      <c r="G902" s="1457"/>
      <c r="H902" s="1049"/>
      <c r="I902" s="1049"/>
      <c r="J902" s="1050"/>
      <c r="K902" s="1050"/>
      <c r="L902" s="1043"/>
      <c r="M902" s="1051"/>
      <c r="N902" s="1051"/>
      <c r="O902" s="1052"/>
      <c r="P902" s="1051"/>
      <c r="Q902" s="1051"/>
      <c r="R902" s="1052"/>
      <c r="S902" s="1051"/>
      <c r="T902" s="1051"/>
      <c r="U902" s="1052"/>
      <c r="V902" s="1051"/>
      <c r="W902" s="1051"/>
      <c r="X902" s="1052"/>
      <c r="Y902" s="1053"/>
      <c r="Z902" s="1051"/>
      <c r="AA902" s="1051"/>
      <c r="AB902" s="1052"/>
      <c r="AC902" s="1051"/>
      <c r="AD902" s="1051"/>
      <c r="AE902" s="1052"/>
      <c r="AF902" s="1051"/>
      <c r="AG902" s="1051"/>
      <c r="AH902" s="1051"/>
      <c r="AI902" s="1051"/>
      <c r="AJ902" s="1052"/>
      <c r="AK902" s="1051"/>
      <c r="AL902" s="1051"/>
      <c r="AM902" s="1052"/>
      <c r="AN902" s="1051"/>
      <c r="AO902" s="1051"/>
      <c r="AP902" s="1052"/>
      <c r="AQ902" s="1051"/>
      <c r="AR902" s="1051"/>
      <c r="AS902" s="1052"/>
      <c r="AT902" s="1051"/>
      <c r="AU902" s="1051"/>
      <c r="AV902" s="1052"/>
      <c r="AW902" s="1051"/>
      <c r="AX902" s="1051"/>
      <c r="AY902" s="1053"/>
      <c r="AZ902" s="1051"/>
      <c r="BA902" s="1051"/>
      <c r="BB902" s="1053"/>
      <c r="BC902" s="1051"/>
      <c r="BD902" s="1051"/>
      <c r="BE902" s="1053"/>
      <c r="BF902" s="1051"/>
      <c r="BG902" s="1051"/>
      <c r="BH902" s="1053"/>
      <c r="BI902" s="1052"/>
      <c r="BJ902" s="1052"/>
      <c r="BK902" s="1052"/>
      <c r="BL902" s="1052"/>
      <c r="BM902" s="1052"/>
      <c r="BN902" s="1054"/>
      <c r="BO902" s="1076">
        <f t="shared" si="25"/>
        <v>0</v>
      </c>
      <c r="BP902" s="1051"/>
      <c r="BQ902" s="1052"/>
      <c r="BR902" s="1054"/>
      <c r="BS902" s="1053"/>
      <c r="BT902" s="1051"/>
      <c r="BU902" s="1051"/>
      <c r="BV902" s="1051"/>
      <c r="BW902" s="1052"/>
      <c r="BX902" s="1052"/>
      <c r="BY902" s="1052"/>
      <c r="BZ902" s="1052"/>
      <c r="CA902" s="1052"/>
      <c r="CB902" s="1053"/>
      <c r="CC902" s="1053"/>
      <c r="CD902" s="1053"/>
      <c r="CE902" s="1053"/>
      <c r="CF902" s="1053"/>
      <c r="CG902" s="1053"/>
      <c r="CH902" s="1053"/>
      <c r="CI902" s="1123"/>
      <c r="CJ902" s="1123"/>
      <c r="CK902" s="1123"/>
      <c r="CL902" s="1123"/>
      <c r="CM902" s="1123"/>
      <c r="CN902" s="1123"/>
      <c r="CO902" s="1123"/>
      <c r="CP902" s="1123"/>
      <c r="CQ902" s="1123"/>
      <c r="CR902" s="1123"/>
      <c r="CS902" s="1123"/>
      <c r="CT902" s="1123"/>
      <c r="CU902" s="1123"/>
      <c r="CV902" s="1123"/>
      <c r="CW902" s="1123"/>
      <c r="CX902" s="1123"/>
      <c r="CY902" s="1123"/>
      <c r="CZ902" s="1114"/>
      <c r="DA902" s="1114"/>
      <c r="DB902" s="1114"/>
      <c r="DC902" s="1114"/>
      <c r="DD902" s="1114"/>
      <c r="DE902" s="1114"/>
      <c r="DF902" s="1114"/>
      <c r="DG902" s="1114"/>
      <c r="DH902" s="1114"/>
      <c r="DI902" s="1114"/>
      <c r="DJ902" s="1114"/>
      <c r="DK902" s="1114"/>
      <c r="DL902" s="1114"/>
      <c r="DM902" s="1114"/>
      <c r="DN902" s="1114"/>
      <c r="DO902" s="1114"/>
      <c r="DP902" s="1114"/>
      <c r="DQ902" s="1114"/>
      <c r="DR902" s="1114"/>
      <c r="DS902" s="1114"/>
      <c r="DT902" s="1114"/>
      <c r="DU902" s="1114"/>
      <c r="DV902" s="1115"/>
      <c r="DW902" s="1116"/>
      <c r="DX902" s="1116"/>
      <c r="DY902" s="1116"/>
      <c r="DZ902" s="1116"/>
      <c r="EA902" s="1116"/>
      <c r="EB902" s="1116"/>
      <c r="EC902" s="1116"/>
      <c r="ED902" s="1116"/>
      <c r="EE902" s="1116"/>
      <c r="EF902" s="1116"/>
      <c r="EG902" s="1116"/>
      <c r="EH902" s="1116"/>
      <c r="EI902" s="1116"/>
      <c r="EJ902" s="1116"/>
      <c r="EK902" s="1116"/>
      <c r="EL902" s="1116"/>
      <c r="EM902" s="1116"/>
      <c r="EN902" s="1116"/>
      <c r="EO902" s="1116"/>
      <c r="EP902" s="1116"/>
      <c r="EQ902" s="1116"/>
      <c r="ER902" s="1116"/>
      <c r="ES902" s="1116"/>
    </row>
    <row r="903" spans="1:149" ht="15" customHeight="1">
      <c r="A903" s="1185">
        <v>888</v>
      </c>
      <c r="B903" s="1041"/>
      <c r="C903" s="1050"/>
      <c r="D903" s="1050"/>
      <c r="E903" s="1050"/>
      <c r="F903" s="1049"/>
      <c r="G903" s="1457"/>
      <c r="H903" s="1049"/>
      <c r="I903" s="1049"/>
      <c r="J903" s="1050"/>
      <c r="K903" s="1050"/>
      <c r="L903" s="1043"/>
      <c r="M903" s="1051"/>
      <c r="N903" s="1051"/>
      <c r="O903" s="1052"/>
      <c r="P903" s="1051"/>
      <c r="Q903" s="1051"/>
      <c r="R903" s="1052"/>
      <c r="S903" s="1051"/>
      <c r="T903" s="1051"/>
      <c r="U903" s="1052"/>
      <c r="V903" s="1051"/>
      <c r="W903" s="1051"/>
      <c r="X903" s="1052"/>
      <c r="Y903" s="1053"/>
      <c r="Z903" s="1051"/>
      <c r="AA903" s="1051"/>
      <c r="AB903" s="1052"/>
      <c r="AC903" s="1051"/>
      <c r="AD903" s="1051"/>
      <c r="AE903" s="1052"/>
      <c r="AF903" s="1051"/>
      <c r="AG903" s="1051"/>
      <c r="AH903" s="1051"/>
      <c r="AI903" s="1051"/>
      <c r="AJ903" s="1052"/>
      <c r="AK903" s="1051"/>
      <c r="AL903" s="1051"/>
      <c r="AM903" s="1052"/>
      <c r="AN903" s="1051"/>
      <c r="AO903" s="1051"/>
      <c r="AP903" s="1052"/>
      <c r="AQ903" s="1051"/>
      <c r="AR903" s="1051"/>
      <c r="AS903" s="1052"/>
      <c r="AT903" s="1051"/>
      <c r="AU903" s="1051"/>
      <c r="AV903" s="1052"/>
      <c r="AW903" s="1051"/>
      <c r="AX903" s="1051"/>
      <c r="AY903" s="1053"/>
      <c r="AZ903" s="1051"/>
      <c r="BA903" s="1051"/>
      <c r="BB903" s="1053"/>
      <c r="BC903" s="1051"/>
      <c r="BD903" s="1051"/>
      <c r="BE903" s="1053"/>
      <c r="BF903" s="1051"/>
      <c r="BG903" s="1051"/>
      <c r="BH903" s="1053"/>
      <c r="BI903" s="1052"/>
      <c r="BJ903" s="1052"/>
      <c r="BK903" s="1052"/>
      <c r="BL903" s="1052"/>
      <c r="BM903" s="1052"/>
      <c r="BN903" s="1054"/>
      <c r="BO903" s="1076">
        <f t="shared" si="25"/>
        <v>0</v>
      </c>
      <c r="BP903" s="1051"/>
      <c r="BQ903" s="1052"/>
      <c r="BR903" s="1054"/>
      <c r="BS903" s="1053"/>
      <c r="BT903" s="1051"/>
      <c r="BU903" s="1051"/>
      <c r="BV903" s="1051"/>
      <c r="BW903" s="1052"/>
      <c r="BX903" s="1052"/>
      <c r="BY903" s="1052"/>
      <c r="BZ903" s="1052"/>
      <c r="CA903" s="1052"/>
      <c r="CB903" s="1053"/>
      <c r="CC903" s="1053"/>
      <c r="CD903" s="1053"/>
      <c r="CE903" s="1053"/>
      <c r="CF903" s="1053"/>
      <c r="CG903" s="1053"/>
      <c r="CH903" s="1053"/>
      <c r="CI903" s="1123"/>
      <c r="CJ903" s="1123"/>
      <c r="CK903" s="1123"/>
      <c r="CL903" s="1123"/>
      <c r="CM903" s="1123"/>
      <c r="CN903" s="1123"/>
      <c r="CO903" s="1123"/>
      <c r="CP903" s="1123"/>
      <c r="CQ903" s="1123"/>
      <c r="CR903" s="1123"/>
      <c r="CS903" s="1123"/>
      <c r="CT903" s="1123"/>
      <c r="CU903" s="1123"/>
      <c r="CV903" s="1123"/>
      <c r="CW903" s="1123"/>
      <c r="CX903" s="1123"/>
      <c r="CY903" s="1123"/>
      <c r="CZ903" s="1114"/>
      <c r="DA903" s="1114"/>
      <c r="DB903" s="1114"/>
      <c r="DC903" s="1114"/>
      <c r="DD903" s="1114"/>
      <c r="DE903" s="1114"/>
      <c r="DF903" s="1114"/>
      <c r="DG903" s="1114"/>
      <c r="DH903" s="1114"/>
      <c r="DI903" s="1114"/>
      <c r="DJ903" s="1114"/>
      <c r="DK903" s="1114"/>
      <c r="DL903" s="1114"/>
      <c r="DM903" s="1114"/>
      <c r="DN903" s="1114"/>
      <c r="DO903" s="1114"/>
      <c r="DP903" s="1114"/>
      <c r="DQ903" s="1114"/>
      <c r="DR903" s="1114"/>
      <c r="DS903" s="1114"/>
      <c r="DT903" s="1114"/>
      <c r="DU903" s="1114"/>
      <c r="DV903" s="1115"/>
      <c r="DW903" s="1116"/>
      <c r="DX903" s="1116"/>
      <c r="DY903" s="1116"/>
      <c r="DZ903" s="1116"/>
      <c r="EA903" s="1116"/>
      <c r="EB903" s="1116"/>
      <c r="EC903" s="1116"/>
      <c r="ED903" s="1116"/>
      <c r="EE903" s="1116"/>
      <c r="EF903" s="1116"/>
      <c r="EG903" s="1116"/>
      <c r="EH903" s="1116"/>
      <c r="EI903" s="1116"/>
      <c r="EJ903" s="1116"/>
      <c r="EK903" s="1116"/>
      <c r="EL903" s="1116"/>
      <c r="EM903" s="1116"/>
      <c r="EN903" s="1116"/>
      <c r="EO903" s="1116"/>
      <c r="EP903" s="1116"/>
      <c r="EQ903" s="1116"/>
      <c r="ER903" s="1116"/>
      <c r="ES903" s="1116"/>
    </row>
    <row r="904" spans="1:149" ht="15" customHeight="1">
      <c r="A904" s="1185">
        <v>889</v>
      </c>
      <c r="B904" s="1041"/>
      <c r="C904" s="1050"/>
      <c r="D904" s="1050"/>
      <c r="E904" s="1050"/>
      <c r="F904" s="1049"/>
      <c r="G904" s="1457"/>
      <c r="H904" s="1049"/>
      <c r="I904" s="1049"/>
      <c r="J904" s="1050"/>
      <c r="K904" s="1050"/>
      <c r="L904" s="1043"/>
      <c r="M904" s="1051"/>
      <c r="N904" s="1051"/>
      <c r="O904" s="1052"/>
      <c r="P904" s="1051"/>
      <c r="Q904" s="1051"/>
      <c r="R904" s="1052"/>
      <c r="S904" s="1051"/>
      <c r="T904" s="1051"/>
      <c r="U904" s="1052"/>
      <c r="V904" s="1051"/>
      <c r="W904" s="1051"/>
      <c r="X904" s="1052"/>
      <c r="Y904" s="1053"/>
      <c r="Z904" s="1051"/>
      <c r="AA904" s="1051"/>
      <c r="AB904" s="1052"/>
      <c r="AC904" s="1051"/>
      <c r="AD904" s="1051"/>
      <c r="AE904" s="1052"/>
      <c r="AF904" s="1051"/>
      <c r="AG904" s="1051"/>
      <c r="AH904" s="1051"/>
      <c r="AI904" s="1051"/>
      <c r="AJ904" s="1052"/>
      <c r="AK904" s="1051"/>
      <c r="AL904" s="1051"/>
      <c r="AM904" s="1052"/>
      <c r="AN904" s="1051"/>
      <c r="AO904" s="1051"/>
      <c r="AP904" s="1052"/>
      <c r="AQ904" s="1051"/>
      <c r="AR904" s="1051"/>
      <c r="AS904" s="1052"/>
      <c r="AT904" s="1051"/>
      <c r="AU904" s="1051"/>
      <c r="AV904" s="1052"/>
      <c r="AW904" s="1051"/>
      <c r="AX904" s="1051"/>
      <c r="AY904" s="1053"/>
      <c r="AZ904" s="1051"/>
      <c r="BA904" s="1051"/>
      <c r="BB904" s="1053"/>
      <c r="BC904" s="1051"/>
      <c r="BD904" s="1051"/>
      <c r="BE904" s="1053"/>
      <c r="BF904" s="1051"/>
      <c r="BG904" s="1051"/>
      <c r="BH904" s="1053"/>
      <c r="BI904" s="1052"/>
      <c r="BJ904" s="1052"/>
      <c r="BK904" s="1052"/>
      <c r="BL904" s="1052"/>
      <c r="BM904" s="1052"/>
      <c r="BN904" s="1054"/>
      <c r="BO904" s="1076">
        <f t="shared" si="25"/>
        <v>0</v>
      </c>
      <c r="BP904" s="1051"/>
      <c r="BQ904" s="1052"/>
      <c r="BR904" s="1054"/>
      <c r="BS904" s="1053"/>
      <c r="BT904" s="1051"/>
      <c r="BU904" s="1051"/>
      <c r="BV904" s="1051"/>
      <c r="BW904" s="1052"/>
      <c r="BX904" s="1052"/>
      <c r="BY904" s="1052"/>
      <c r="BZ904" s="1052"/>
      <c r="CA904" s="1052"/>
      <c r="CB904" s="1053"/>
      <c r="CC904" s="1053"/>
      <c r="CD904" s="1053"/>
      <c r="CE904" s="1053"/>
      <c r="CF904" s="1053"/>
      <c r="CG904" s="1053"/>
      <c r="CH904" s="1053"/>
      <c r="CI904" s="1123"/>
      <c r="CJ904" s="1123"/>
      <c r="CK904" s="1123"/>
      <c r="CL904" s="1123"/>
      <c r="CM904" s="1123"/>
      <c r="CN904" s="1123"/>
      <c r="CO904" s="1123"/>
      <c r="CP904" s="1123"/>
      <c r="CQ904" s="1123"/>
      <c r="CR904" s="1123"/>
      <c r="CS904" s="1123"/>
      <c r="CT904" s="1123"/>
      <c r="CU904" s="1123"/>
      <c r="CV904" s="1123"/>
      <c r="CW904" s="1123"/>
      <c r="CX904" s="1123"/>
      <c r="CY904" s="1123"/>
      <c r="CZ904" s="1114"/>
      <c r="DA904" s="1114"/>
      <c r="DB904" s="1114"/>
      <c r="DC904" s="1114"/>
      <c r="DD904" s="1114"/>
      <c r="DE904" s="1114"/>
      <c r="DF904" s="1114"/>
      <c r="DG904" s="1114"/>
      <c r="DH904" s="1114"/>
      <c r="DI904" s="1114"/>
      <c r="DJ904" s="1114"/>
      <c r="DK904" s="1114"/>
      <c r="DL904" s="1114"/>
      <c r="DM904" s="1114"/>
      <c r="DN904" s="1114"/>
      <c r="DO904" s="1114"/>
      <c r="DP904" s="1114"/>
      <c r="DQ904" s="1114"/>
      <c r="DR904" s="1114"/>
      <c r="DS904" s="1114"/>
      <c r="DT904" s="1114"/>
      <c r="DU904" s="1114"/>
      <c r="DV904" s="1115"/>
      <c r="DW904" s="1116"/>
      <c r="DX904" s="1116"/>
      <c r="DY904" s="1116"/>
      <c r="DZ904" s="1116"/>
      <c r="EA904" s="1116"/>
      <c r="EB904" s="1116"/>
      <c r="EC904" s="1116"/>
      <c r="ED904" s="1116"/>
      <c r="EE904" s="1116"/>
      <c r="EF904" s="1116"/>
      <c r="EG904" s="1116"/>
      <c r="EH904" s="1116"/>
      <c r="EI904" s="1116"/>
      <c r="EJ904" s="1116"/>
      <c r="EK904" s="1116"/>
      <c r="EL904" s="1116"/>
      <c r="EM904" s="1116"/>
      <c r="EN904" s="1116"/>
      <c r="EO904" s="1116"/>
      <c r="EP904" s="1116"/>
      <c r="EQ904" s="1116"/>
      <c r="ER904" s="1116"/>
      <c r="ES904" s="1116"/>
    </row>
    <row r="905" spans="1:149" ht="15" customHeight="1">
      <c r="A905" s="1185">
        <v>890</v>
      </c>
      <c r="B905" s="1041"/>
      <c r="C905" s="1050"/>
      <c r="D905" s="1050"/>
      <c r="E905" s="1050"/>
      <c r="F905" s="1049"/>
      <c r="G905" s="1457"/>
      <c r="H905" s="1049"/>
      <c r="I905" s="1049"/>
      <c r="J905" s="1050"/>
      <c r="K905" s="1050"/>
      <c r="L905" s="1043"/>
      <c r="M905" s="1051"/>
      <c r="N905" s="1051"/>
      <c r="O905" s="1052"/>
      <c r="P905" s="1051"/>
      <c r="Q905" s="1051"/>
      <c r="R905" s="1052"/>
      <c r="S905" s="1051"/>
      <c r="T905" s="1051"/>
      <c r="U905" s="1052"/>
      <c r="V905" s="1051"/>
      <c r="W905" s="1051"/>
      <c r="X905" s="1052"/>
      <c r="Y905" s="1053"/>
      <c r="Z905" s="1051"/>
      <c r="AA905" s="1051"/>
      <c r="AB905" s="1052"/>
      <c r="AC905" s="1051"/>
      <c r="AD905" s="1051"/>
      <c r="AE905" s="1052"/>
      <c r="AF905" s="1051"/>
      <c r="AG905" s="1051"/>
      <c r="AH905" s="1051"/>
      <c r="AI905" s="1051"/>
      <c r="AJ905" s="1052"/>
      <c r="AK905" s="1051"/>
      <c r="AL905" s="1051"/>
      <c r="AM905" s="1052"/>
      <c r="AN905" s="1051"/>
      <c r="AO905" s="1051"/>
      <c r="AP905" s="1052"/>
      <c r="AQ905" s="1051"/>
      <c r="AR905" s="1051"/>
      <c r="AS905" s="1052"/>
      <c r="AT905" s="1051"/>
      <c r="AU905" s="1051"/>
      <c r="AV905" s="1052"/>
      <c r="AW905" s="1051"/>
      <c r="AX905" s="1051"/>
      <c r="AY905" s="1053"/>
      <c r="AZ905" s="1051"/>
      <c r="BA905" s="1051"/>
      <c r="BB905" s="1053"/>
      <c r="BC905" s="1051"/>
      <c r="BD905" s="1051"/>
      <c r="BE905" s="1053"/>
      <c r="BF905" s="1051"/>
      <c r="BG905" s="1051"/>
      <c r="BH905" s="1053"/>
      <c r="BI905" s="1052"/>
      <c r="BJ905" s="1052"/>
      <c r="BK905" s="1052"/>
      <c r="BL905" s="1052"/>
      <c r="BM905" s="1052"/>
      <c r="BN905" s="1054"/>
      <c r="BO905" s="1076">
        <f t="shared" si="25"/>
        <v>0</v>
      </c>
      <c r="BP905" s="1051"/>
      <c r="BQ905" s="1052"/>
      <c r="BR905" s="1054"/>
      <c r="BS905" s="1053"/>
      <c r="BT905" s="1051"/>
      <c r="BU905" s="1051"/>
      <c r="BV905" s="1051"/>
      <c r="BW905" s="1052"/>
      <c r="BX905" s="1052"/>
      <c r="BY905" s="1052"/>
      <c r="BZ905" s="1052"/>
      <c r="CA905" s="1052"/>
      <c r="CB905" s="1053"/>
      <c r="CC905" s="1053"/>
      <c r="CD905" s="1053"/>
      <c r="CE905" s="1053"/>
      <c r="CF905" s="1053"/>
      <c r="CG905" s="1053"/>
      <c r="CH905" s="1053"/>
      <c r="CI905" s="1123"/>
      <c r="CJ905" s="1123"/>
      <c r="CK905" s="1123"/>
      <c r="CL905" s="1123"/>
      <c r="CM905" s="1123"/>
      <c r="CN905" s="1123"/>
      <c r="CO905" s="1123"/>
      <c r="CP905" s="1123"/>
      <c r="CQ905" s="1123"/>
      <c r="CR905" s="1123"/>
      <c r="CS905" s="1123"/>
      <c r="CT905" s="1123"/>
      <c r="CU905" s="1123"/>
      <c r="CV905" s="1123"/>
      <c r="CW905" s="1123"/>
      <c r="CX905" s="1123"/>
      <c r="CY905" s="1123"/>
      <c r="CZ905" s="1114"/>
      <c r="DA905" s="1114"/>
      <c r="DB905" s="1114"/>
      <c r="DC905" s="1114"/>
      <c r="DD905" s="1114"/>
      <c r="DE905" s="1114"/>
      <c r="DF905" s="1114"/>
      <c r="DG905" s="1114"/>
      <c r="DH905" s="1114"/>
      <c r="DI905" s="1114"/>
      <c r="DJ905" s="1114"/>
      <c r="DK905" s="1114"/>
      <c r="DL905" s="1114"/>
      <c r="DM905" s="1114"/>
      <c r="DN905" s="1114"/>
      <c r="DO905" s="1114"/>
      <c r="DP905" s="1114"/>
      <c r="DQ905" s="1114"/>
      <c r="DR905" s="1114"/>
      <c r="DS905" s="1114"/>
      <c r="DT905" s="1114"/>
      <c r="DU905" s="1114"/>
      <c r="DV905" s="1115"/>
      <c r="DW905" s="1116"/>
      <c r="DX905" s="1116"/>
      <c r="DY905" s="1116"/>
      <c r="DZ905" s="1116"/>
      <c r="EA905" s="1116"/>
      <c r="EB905" s="1116"/>
      <c r="EC905" s="1116"/>
      <c r="ED905" s="1116"/>
      <c r="EE905" s="1116"/>
      <c r="EF905" s="1116"/>
      <c r="EG905" s="1116"/>
      <c r="EH905" s="1116"/>
      <c r="EI905" s="1116"/>
      <c r="EJ905" s="1116"/>
      <c r="EK905" s="1116"/>
      <c r="EL905" s="1116"/>
      <c r="EM905" s="1116"/>
      <c r="EN905" s="1116"/>
      <c r="EO905" s="1116"/>
      <c r="EP905" s="1116"/>
      <c r="EQ905" s="1116"/>
      <c r="ER905" s="1116"/>
      <c r="ES905" s="1116"/>
    </row>
    <row r="906" spans="1:149" ht="15" customHeight="1">
      <c r="A906" s="1185">
        <v>891</v>
      </c>
      <c r="B906" s="1041"/>
      <c r="C906" s="1050"/>
      <c r="D906" s="1050"/>
      <c r="E906" s="1050"/>
      <c r="F906" s="1049"/>
      <c r="G906" s="1457"/>
      <c r="H906" s="1049"/>
      <c r="I906" s="1049"/>
      <c r="J906" s="1050"/>
      <c r="K906" s="1050"/>
      <c r="L906" s="1043"/>
      <c r="M906" s="1051"/>
      <c r="N906" s="1051"/>
      <c r="O906" s="1052"/>
      <c r="P906" s="1051"/>
      <c r="Q906" s="1051"/>
      <c r="R906" s="1052"/>
      <c r="S906" s="1051"/>
      <c r="T906" s="1051"/>
      <c r="U906" s="1052"/>
      <c r="V906" s="1051"/>
      <c r="W906" s="1051"/>
      <c r="X906" s="1052"/>
      <c r="Y906" s="1053"/>
      <c r="Z906" s="1051"/>
      <c r="AA906" s="1051"/>
      <c r="AB906" s="1052"/>
      <c r="AC906" s="1051"/>
      <c r="AD906" s="1051"/>
      <c r="AE906" s="1052"/>
      <c r="AF906" s="1051"/>
      <c r="AG906" s="1051"/>
      <c r="AH906" s="1051"/>
      <c r="AI906" s="1051"/>
      <c r="AJ906" s="1052"/>
      <c r="AK906" s="1051"/>
      <c r="AL906" s="1051"/>
      <c r="AM906" s="1052"/>
      <c r="AN906" s="1051"/>
      <c r="AO906" s="1051"/>
      <c r="AP906" s="1052"/>
      <c r="AQ906" s="1051"/>
      <c r="AR906" s="1051"/>
      <c r="AS906" s="1052"/>
      <c r="AT906" s="1051"/>
      <c r="AU906" s="1051"/>
      <c r="AV906" s="1052"/>
      <c r="AW906" s="1051"/>
      <c r="AX906" s="1051"/>
      <c r="AY906" s="1053"/>
      <c r="AZ906" s="1051"/>
      <c r="BA906" s="1051"/>
      <c r="BB906" s="1053"/>
      <c r="BC906" s="1051"/>
      <c r="BD906" s="1051"/>
      <c r="BE906" s="1053"/>
      <c r="BF906" s="1051"/>
      <c r="BG906" s="1051"/>
      <c r="BH906" s="1053"/>
      <c r="BI906" s="1052"/>
      <c r="BJ906" s="1052"/>
      <c r="BK906" s="1052"/>
      <c r="BL906" s="1052"/>
      <c r="BM906" s="1052"/>
      <c r="BN906" s="1054"/>
      <c r="BO906" s="1076">
        <f t="shared" si="25"/>
        <v>0</v>
      </c>
      <c r="BP906" s="1051"/>
      <c r="BQ906" s="1052"/>
      <c r="BR906" s="1054"/>
      <c r="BS906" s="1053"/>
      <c r="BT906" s="1051"/>
      <c r="BU906" s="1051"/>
      <c r="BV906" s="1051"/>
      <c r="BW906" s="1052"/>
      <c r="BX906" s="1052"/>
      <c r="BY906" s="1052"/>
      <c r="BZ906" s="1052"/>
      <c r="CA906" s="1052"/>
      <c r="CB906" s="1053"/>
      <c r="CC906" s="1053"/>
      <c r="CD906" s="1053"/>
      <c r="CE906" s="1053"/>
      <c r="CF906" s="1053"/>
      <c r="CG906" s="1053"/>
      <c r="CH906" s="1053"/>
      <c r="CI906" s="1123"/>
      <c r="CJ906" s="1123"/>
      <c r="CK906" s="1123"/>
      <c r="CL906" s="1123"/>
      <c r="CM906" s="1123"/>
      <c r="CN906" s="1123"/>
      <c r="CO906" s="1123"/>
      <c r="CP906" s="1123"/>
      <c r="CQ906" s="1123"/>
      <c r="CR906" s="1123"/>
      <c r="CS906" s="1123"/>
      <c r="CT906" s="1123"/>
      <c r="CU906" s="1123"/>
      <c r="CV906" s="1123"/>
      <c r="CW906" s="1123"/>
      <c r="CX906" s="1123"/>
      <c r="CY906" s="1123"/>
      <c r="CZ906" s="1114"/>
      <c r="DA906" s="1114"/>
      <c r="DB906" s="1114"/>
      <c r="DC906" s="1114"/>
      <c r="DD906" s="1114"/>
      <c r="DE906" s="1114"/>
      <c r="DF906" s="1114"/>
      <c r="DG906" s="1114"/>
      <c r="DH906" s="1114"/>
      <c r="DI906" s="1114"/>
      <c r="DJ906" s="1114"/>
      <c r="DK906" s="1114"/>
      <c r="DL906" s="1114"/>
      <c r="DM906" s="1114"/>
      <c r="DN906" s="1114"/>
      <c r="DO906" s="1114"/>
      <c r="DP906" s="1114"/>
      <c r="DQ906" s="1114"/>
      <c r="DR906" s="1114"/>
      <c r="DS906" s="1114"/>
      <c r="DT906" s="1114"/>
      <c r="DU906" s="1114"/>
      <c r="DV906" s="1115"/>
      <c r="DW906" s="1116"/>
      <c r="DX906" s="1116"/>
      <c r="DY906" s="1116"/>
      <c r="DZ906" s="1116"/>
      <c r="EA906" s="1116"/>
      <c r="EB906" s="1116"/>
      <c r="EC906" s="1116"/>
      <c r="ED906" s="1116"/>
      <c r="EE906" s="1116"/>
      <c r="EF906" s="1116"/>
      <c r="EG906" s="1116"/>
      <c r="EH906" s="1116"/>
      <c r="EI906" s="1116"/>
      <c r="EJ906" s="1116"/>
      <c r="EK906" s="1116"/>
      <c r="EL906" s="1116"/>
      <c r="EM906" s="1116"/>
      <c r="EN906" s="1116"/>
      <c r="EO906" s="1116"/>
      <c r="EP906" s="1116"/>
      <c r="EQ906" s="1116"/>
      <c r="ER906" s="1116"/>
      <c r="ES906" s="1116"/>
    </row>
    <row r="907" spans="1:149" ht="15" customHeight="1">
      <c r="A907" s="1185">
        <v>892</v>
      </c>
      <c r="B907" s="1041"/>
      <c r="C907" s="1050"/>
      <c r="D907" s="1050"/>
      <c r="E907" s="1050"/>
      <c r="F907" s="1049"/>
      <c r="G907" s="1457"/>
      <c r="H907" s="1049"/>
      <c r="I907" s="1049"/>
      <c r="J907" s="1050"/>
      <c r="K907" s="1050"/>
      <c r="L907" s="1043"/>
      <c r="M907" s="1051"/>
      <c r="N907" s="1051"/>
      <c r="O907" s="1052"/>
      <c r="P907" s="1051"/>
      <c r="Q907" s="1051"/>
      <c r="R907" s="1052"/>
      <c r="S907" s="1051"/>
      <c r="T907" s="1051"/>
      <c r="U907" s="1052"/>
      <c r="V907" s="1051"/>
      <c r="W907" s="1051"/>
      <c r="X907" s="1052"/>
      <c r="Y907" s="1053"/>
      <c r="Z907" s="1051"/>
      <c r="AA907" s="1051"/>
      <c r="AB907" s="1052"/>
      <c r="AC907" s="1051"/>
      <c r="AD907" s="1051"/>
      <c r="AE907" s="1052"/>
      <c r="AF907" s="1051"/>
      <c r="AG907" s="1051"/>
      <c r="AH907" s="1051"/>
      <c r="AI907" s="1051"/>
      <c r="AJ907" s="1052"/>
      <c r="AK907" s="1051"/>
      <c r="AL907" s="1051"/>
      <c r="AM907" s="1052"/>
      <c r="AN907" s="1051"/>
      <c r="AO907" s="1051"/>
      <c r="AP907" s="1052"/>
      <c r="AQ907" s="1051"/>
      <c r="AR907" s="1051"/>
      <c r="AS907" s="1052"/>
      <c r="AT907" s="1051"/>
      <c r="AU907" s="1051"/>
      <c r="AV907" s="1052"/>
      <c r="AW907" s="1051"/>
      <c r="AX907" s="1051"/>
      <c r="AY907" s="1053"/>
      <c r="AZ907" s="1051"/>
      <c r="BA907" s="1051"/>
      <c r="BB907" s="1053"/>
      <c r="BC907" s="1051"/>
      <c r="BD907" s="1051"/>
      <c r="BE907" s="1053"/>
      <c r="BF907" s="1051"/>
      <c r="BG907" s="1051"/>
      <c r="BH907" s="1053"/>
      <c r="BI907" s="1052"/>
      <c r="BJ907" s="1052"/>
      <c r="BK907" s="1052"/>
      <c r="BL907" s="1052"/>
      <c r="BM907" s="1052"/>
      <c r="BN907" s="1054"/>
      <c r="BO907" s="1076">
        <f t="shared" si="25"/>
        <v>0</v>
      </c>
      <c r="BP907" s="1051"/>
      <c r="BQ907" s="1052"/>
      <c r="BR907" s="1054"/>
      <c r="BS907" s="1053"/>
      <c r="BT907" s="1051"/>
      <c r="BU907" s="1051"/>
      <c r="BV907" s="1051"/>
      <c r="BW907" s="1052"/>
      <c r="BX907" s="1052"/>
      <c r="BY907" s="1052"/>
      <c r="BZ907" s="1052"/>
      <c r="CA907" s="1052"/>
      <c r="CB907" s="1053"/>
      <c r="CC907" s="1053"/>
      <c r="CD907" s="1053"/>
      <c r="CE907" s="1053"/>
      <c r="CF907" s="1053"/>
      <c r="CG907" s="1053"/>
      <c r="CH907" s="1053"/>
      <c r="CI907" s="1123"/>
      <c r="CJ907" s="1123"/>
      <c r="CK907" s="1123"/>
      <c r="CL907" s="1123"/>
      <c r="CM907" s="1123"/>
      <c r="CN907" s="1123"/>
      <c r="CO907" s="1123"/>
      <c r="CP907" s="1123"/>
      <c r="CQ907" s="1123"/>
      <c r="CR907" s="1123"/>
      <c r="CS907" s="1123"/>
      <c r="CT907" s="1123"/>
      <c r="CU907" s="1123"/>
      <c r="CV907" s="1123"/>
      <c r="CW907" s="1123"/>
      <c r="CX907" s="1123"/>
      <c r="CY907" s="1123"/>
      <c r="CZ907" s="1114"/>
      <c r="DA907" s="1114"/>
      <c r="DB907" s="1114"/>
      <c r="DC907" s="1114"/>
      <c r="DD907" s="1114"/>
      <c r="DE907" s="1114"/>
      <c r="DF907" s="1114"/>
      <c r="DG907" s="1114"/>
      <c r="DH907" s="1114"/>
      <c r="DI907" s="1114"/>
      <c r="DJ907" s="1114"/>
      <c r="DK907" s="1114"/>
      <c r="DL907" s="1114"/>
      <c r="DM907" s="1114"/>
      <c r="DN907" s="1114"/>
      <c r="DO907" s="1114"/>
      <c r="DP907" s="1114"/>
      <c r="DQ907" s="1114"/>
      <c r="DR907" s="1114"/>
      <c r="DS907" s="1114"/>
      <c r="DT907" s="1114"/>
      <c r="DU907" s="1114"/>
      <c r="DV907" s="1115"/>
      <c r="DW907" s="1116"/>
      <c r="DX907" s="1116"/>
      <c r="DY907" s="1116"/>
      <c r="DZ907" s="1116"/>
      <c r="EA907" s="1116"/>
      <c r="EB907" s="1116"/>
      <c r="EC907" s="1116"/>
      <c r="ED907" s="1116"/>
      <c r="EE907" s="1116"/>
      <c r="EF907" s="1116"/>
      <c r="EG907" s="1116"/>
      <c r="EH907" s="1116"/>
      <c r="EI907" s="1116"/>
      <c r="EJ907" s="1116"/>
      <c r="EK907" s="1116"/>
      <c r="EL907" s="1116"/>
      <c r="EM907" s="1116"/>
      <c r="EN907" s="1116"/>
      <c r="EO907" s="1116"/>
      <c r="EP907" s="1116"/>
      <c r="EQ907" s="1116"/>
      <c r="ER907" s="1116"/>
      <c r="ES907" s="1116"/>
    </row>
    <row r="908" spans="1:149" ht="15" customHeight="1">
      <c r="A908" s="1185">
        <v>893</v>
      </c>
      <c r="B908" s="1041"/>
      <c r="C908" s="1050"/>
      <c r="D908" s="1050"/>
      <c r="E908" s="1050"/>
      <c r="F908" s="1049"/>
      <c r="G908" s="1457"/>
      <c r="H908" s="1049"/>
      <c r="I908" s="1049"/>
      <c r="J908" s="1050"/>
      <c r="K908" s="1050"/>
      <c r="L908" s="1043"/>
      <c r="M908" s="1051"/>
      <c r="N908" s="1051"/>
      <c r="O908" s="1052"/>
      <c r="P908" s="1051"/>
      <c r="Q908" s="1051"/>
      <c r="R908" s="1052"/>
      <c r="S908" s="1051"/>
      <c r="T908" s="1051"/>
      <c r="U908" s="1052"/>
      <c r="V908" s="1051"/>
      <c r="W908" s="1051"/>
      <c r="X908" s="1052"/>
      <c r="Y908" s="1053"/>
      <c r="Z908" s="1051"/>
      <c r="AA908" s="1051"/>
      <c r="AB908" s="1052"/>
      <c r="AC908" s="1051"/>
      <c r="AD908" s="1051"/>
      <c r="AE908" s="1052"/>
      <c r="AF908" s="1051"/>
      <c r="AG908" s="1051"/>
      <c r="AH908" s="1051"/>
      <c r="AI908" s="1051"/>
      <c r="AJ908" s="1052"/>
      <c r="AK908" s="1051"/>
      <c r="AL908" s="1051"/>
      <c r="AM908" s="1052"/>
      <c r="AN908" s="1051"/>
      <c r="AO908" s="1051"/>
      <c r="AP908" s="1052"/>
      <c r="AQ908" s="1051"/>
      <c r="AR908" s="1051"/>
      <c r="AS908" s="1052"/>
      <c r="AT908" s="1051"/>
      <c r="AU908" s="1051"/>
      <c r="AV908" s="1052"/>
      <c r="AW908" s="1051"/>
      <c r="AX908" s="1051"/>
      <c r="AY908" s="1053"/>
      <c r="AZ908" s="1051"/>
      <c r="BA908" s="1051"/>
      <c r="BB908" s="1053"/>
      <c r="BC908" s="1051"/>
      <c r="BD908" s="1051"/>
      <c r="BE908" s="1053"/>
      <c r="BF908" s="1051"/>
      <c r="BG908" s="1051"/>
      <c r="BH908" s="1053"/>
      <c r="BI908" s="1052"/>
      <c r="BJ908" s="1052"/>
      <c r="BK908" s="1052"/>
      <c r="BL908" s="1052"/>
      <c r="BM908" s="1052"/>
      <c r="BN908" s="1054"/>
      <c r="BO908" s="1076">
        <f t="shared" si="25"/>
        <v>0</v>
      </c>
      <c r="BP908" s="1051"/>
      <c r="BQ908" s="1052"/>
      <c r="BR908" s="1054"/>
      <c r="BS908" s="1053"/>
      <c r="BT908" s="1051"/>
      <c r="BU908" s="1051"/>
      <c r="BV908" s="1051"/>
      <c r="BW908" s="1052"/>
      <c r="BX908" s="1052"/>
      <c r="BY908" s="1052"/>
      <c r="BZ908" s="1052"/>
      <c r="CA908" s="1052"/>
      <c r="CB908" s="1053"/>
      <c r="CC908" s="1053"/>
      <c r="CD908" s="1053"/>
      <c r="CE908" s="1053"/>
      <c r="CF908" s="1053"/>
      <c r="CG908" s="1053"/>
      <c r="CH908" s="1053"/>
      <c r="CI908" s="1123"/>
      <c r="CJ908" s="1123"/>
      <c r="CK908" s="1123"/>
      <c r="CL908" s="1123"/>
      <c r="CM908" s="1123"/>
      <c r="CN908" s="1123"/>
      <c r="CO908" s="1123"/>
      <c r="CP908" s="1123"/>
      <c r="CQ908" s="1123"/>
      <c r="CR908" s="1123"/>
      <c r="CS908" s="1123"/>
      <c r="CT908" s="1123"/>
      <c r="CU908" s="1123"/>
      <c r="CV908" s="1123"/>
      <c r="CW908" s="1123"/>
      <c r="CX908" s="1123"/>
      <c r="CY908" s="1123"/>
      <c r="CZ908" s="1114"/>
      <c r="DA908" s="1114"/>
      <c r="DB908" s="1114"/>
      <c r="DC908" s="1114"/>
      <c r="DD908" s="1114"/>
      <c r="DE908" s="1114"/>
      <c r="DF908" s="1114"/>
      <c r="DG908" s="1114"/>
      <c r="DH908" s="1114"/>
      <c r="DI908" s="1114"/>
      <c r="DJ908" s="1114"/>
      <c r="DK908" s="1114"/>
      <c r="DL908" s="1114"/>
      <c r="DM908" s="1114"/>
      <c r="DN908" s="1114"/>
      <c r="DO908" s="1114"/>
      <c r="DP908" s="1114"/>
      <c r="DQ908" s="1114"/>
      <c r="DR908" s="1114"/>
      <c r="DS908" s="1114"/>
      <c r="DT908" s="1114"/>
      <c r="DU908" s="1114"/>
      <c r="DV908" s="1115"/>
      <c r="DW908" s="1116"/>
      <c r="DX908" s="1116"/>
      <c r="DY908" s="1116"/>
      <c r="DZ908" s="1116"/>
      <c r="EA908" s="1116"/>
      <c r="EB908" s="1116"/>
      <c r="EC908" s="1116"/>
      <c r="ED908" s="1116"/>
      <c r="EE908" s="1116"/>
      <c r="EF908" s="1116"/>
      <c r="EG908" s="1116"/>
      <c r="EH908" s="1116"/>
      <c r="EI908" s="1116"/>
      <c r="EJ908" s="1116"/>
      <c r="EK908" s="1116"/>
      <c r="EL908" s="1116"/>
      <c r="EM908" s="1116"/>
      <c r="EN908" s="1116"/>
      <c r="EO908" s="1116"/>
      <c r="EP908" s="1116"/>
      <c r="EQ908" s="1116"/>
      <c r="ER908" s="1116"/>
      <c r="ES908" s="1116"/>
    </row>
    <row r="909" spans="1:149" ht="15" customHeight="1">
      <c r="A909" s="1185">
        <v>894</v>
      </c>
      <c r="B909" s="1041"/>
      <c r="C909" s="1050"/>
      <c r="D909" s="1050"/>
      <c r="E909" s="1050"/>
      <c r="F909" s="1049"/>
      <c r="G909" s="1457"/>
      <c r="H909" s="1049"/>
      <c r="I909" s="1049"/>
      <c r="J909" s="1050"/>
      <c r="K909" s="1050"/>
      <c r="L909" s="1043"/>
      <c r="M909" s="1051"/>
      <c r="N909" s="1051"/>
      <c r="O909" s="1052"/>
      <c r="P909" s="1051"/>
      <c r="Q909" s="1051"/>
      <c r="R909" s="1052"/>
      <c r="S909" s="1051"/>
      <c r="T909" s="1051"/>
      <c r="U909" s="1052"/>
      <c r="V909" s="1051"/>
      <c r="W909" s="1051"/>
      <c r="X909" s="1052"/>
      <c r="Y909" s="1053"/>
      <c r="Z909" s="1051"/>
      <c r="AA909" s="1051"/>
      <c r="AB909" s="1052"/>
      <c r="AC909" s="1051"/>
      <c r="AD909" s="1051"/>
      <c r="AE909" s="1052"/>
      <c r="AF909" s="1051"/>
      <c r="AG909" s="1051"/>
      <c r="AH909" s="1051"/>
      <c r="AI909" s="1051"/>
      <c r="AJ909" s="1052"/>
      <c r="AK909" s="1051"/>
      <c r="AL909" s="1051"/>
      <c r="AM909" s="1052"/>
      <c r="AN909" s="1051"/>
      <c r="AO909" s="1051"/>
      <c r="AP909" s="1052"/>
      <c r="AQ909" s="1051"/>
      <c r="AR909" s="1051"/>
      <c r="AS909" s="1052"/>
      <c r="AT909" s="1051"/>
      <c r="AU909" s="1051"/>
      <c r="AV909" s="1052"/>
      <c r="AW909" s="1051"/>
      <c r="AX909" s="1051"/>
      <c r="AY909" s="1053"/>
      <c r="AZ909" s="1051"/>
      <c r="BA909" s="1051"/>
      <c r="BB909" s="1053"/>
      <c r="BC909" s="1051"/>
      <c r="BD909" s="1051"/>
      <c r="BE909" s="1053"/>
      <c r="BF909" s="1051"/>
      <c r="BG909" s="1051"/>
      <c r="BH909" s="1053"/>
      <c r="BI909" s="1052"/>
      <c r="BJ909" s="1052"/>
      <c r="BK909" s="1052"/>
      <c r="BL909" s="1052"/>
      <c r="BM909" s="1052"/>
      <c r="BN909" s="1054"/>
      <c r="BO909" s="1076">
        <f t="shared" si="25"/>
        <v>0</v>
      </c>
      <c r="BP909" s="1051"/>
      <c r="BQ909" s="1052"/>
      <c r="BR909" s="1054"/>
      <c r="BS909" s="1053"/>
      <c r="BT909" s="1051"/>
      <c r="BU909" s="1051"/>
      <c r="BV909" s="1051"/>
      <c r="BW909" s="1052"/>
      <c r="BX909" s="1052"/>
      <c r="BY909" s="1052"/>
      <c r="BZ909" s="1052"/>
      <c r="CA909" s="1052"/>
      <c r="CB909" s="1053"/>
      <c r="CC909" s="1053"/>
      <c r="CD909" s="1053"/>
      <c r="CE909" s="1053"/>
      <c r="CF909" s="1053"/>
      <c r="CG909" s="1053"/>
      <c r="CH909" s="1053"/>
      <c r="CI909" s="1123"/>
      <c r="CJ909" s="1123"/>
      <c r="CK909" s="1123"/>
      <c r="CL909" s="1123"/>
      <c r="CM909" s="1123"/>
      <c r="CN909" s="1123"/>
      <c r="CO909" s="1123"/>
      <c r="CP909" s="1123"/>
      <c r="CQ909" s="1123"/>
      <c r="CR909" s="1123"/>
      <c r="CS909" s="1123"/>
      <c r="CT909" s="1123"/>
      <c r="CU909" s="1123"/>
      <c r="CV909" s="1123"/>
      <c r="CW909" s="1123"/>
      <c r="CX909" s="1123"/>
      <c r="CY909" s="1123"/>
      <c r="CZ909" s="1114"/>
      <c r="DA909" s="1114"/>
      <c r="DB909" s="1114"/>
      <c r="DC909" s="1114"/>
      <c r="DD909" s="1114"/>
      <c r="DE909" s="1114"/>
      <c r="DF909" s="1114"/>
      <c r="DG909" s="1114"/>
      <c r="DH909" s="1114"/>
      <c r="DI909" s="1114"/>
      <c r="DJ909" s="1114"/>
      <c r="DK909" s="1114"/>
      <c r="DL909" s="1114"/>
      <c r="DM909" s="1114"/>
      <c r="DN909" s="1114"/>
      <c r="DO909" s="1114"/>
      <c r="DP909" s="1114"/>
      <c r="DQ909" s="1114"/>
      <c r="DR909" s="1114"/>
      <c r="DS909" s="1114"/>
      <c r="DT909" s="1114"/>
      <c r="DU909" s="1114"/>
      <c r="DV909" s="1115"/>
      <c r="DW909" s="1116"/>
      <c r="DX909" s="1116"/>
      <c r="DY909" s="1116"/>
      <c r="DZ909" s="1116"/>
      <c r="EA909" s="1116"/>
      <c r="EB909" s="1116"/>
      <c r="EC909" s="1116"/>
      <c r="ED909" s="1116"/>
      <c r="EE909" s="1116"/>
      <c r="EF909" s="1116"/>
      <c r="EG909" s="1116"/>
      <c r="EH909" s="1116"/>
      <c r="EI909" s="1116"/>
      <c r="EJ909" s="1116"/>
      <c r="EK909" s="1116"/>
      <c r="EL909" s="1116"/>
      <c r="EM909" s="1116"/>
      <c r="EN909" s="1116"/>
      <c r="EO909" s="1116"/>
      <c r="EP909" s="1116"/>
      <c r="EQ909" s="1116"/>
      <c r="ER909" s="1116"/>
      <c r="ES909" s="1116"/>
    </row>
    <row r="910" spans="1:149" ht="15" customHeight="1">
      <c r="A910" s="1185">
        <v>895</v>
      </c>
      <c r="B910" s="1041"/>
      <c r="C910" s="1050"/>
      <c r="D910" s="1050"/>
      <c r="E910" s="1050"/>
      <c r="F910" s="1049"/>
      <c r="G910" s="1457"/>
      <c r="H910" s="1049"/>
      <c r="I910" s="1049"/>
      <c r="J910" s="1050"/>
      <c r="K910" s="1050"/>
      <c r="L910" s="1043"/>
      <c r="M910" s="1051"/>
      <c r="N910" s="1051"/>
      <c r="O910" s="1052"/>
      <c r="P910" s="1051"/>
      <c r="Q910" s="1051"/>
      <c r="R910" s="1052"/>
      <c r="S910" s="1051"/>
      <c r="T910" s="1051"/>
      <c r="U910" s="1052"/>
      <c r="V910" s="1051"/>
      <c r="W910" s="1051"/>
      <c r="X910" s="1052"/>
      <c r="Y910" s="1053"/>
      <c r="Z910" s="1051"/>
      <c r="AA910" s="1051"/>
      <c r="AB910" s="1052"/>
      <c r="AC910" s="1051"/>
      <c r="AD910" s="1051"/>
      <c r="AE910" s="1052"/>
      <c r="AF910" s="1051"/>
      <c r="AG910" s="1051"/>
      <c r="AH910" s="1051"/>
      <c r="AI910" s="1051"/>
      <c r="AJ910" s="1052"/>
      <c r="AK910" s="1051"/>
      <c r="AL910" s="1051"/>
      <c r="AM910" s="1052"/>
      <c r="AN910" s="1051"/>
      <c r="AO910" s="1051"/>
      <c r="AP910" s="1052"/>
      <c r="AQ910" s="1051"/>
      <c r="AR910" s="1051"/>
      <c r="AS910" s="1052"/>
      <c r="AT910" s="1051"/>
      <c r="AU910" s="1051"/>
      <c r="AV910" s="1052"/>
      <c r="AW910" s="1051"/>
      <c r="AX910" s="1051"/>
      <c r="AY910" s="1053"/>
      <c r="AZ910" s="1051"/>
      <c r="BA910" s="1051"/>
      <c r="BB910" s="1053"/>
      <c r="BC910" s="1051"/>
      <c r="BD910" s="1051"/>
      <c r="BE910" s="1053"/>
      <c r="BF910" s="1051"/>
      <c r="BG910" s="1051"/>
      <c r="BH910" s="1053"/>
      <c r="BI910" s="1052"/>
      <c r="BJ910" s="1052"/>
      <c r="BK910" s="1052"/>
      <c r="BL910" s="1052"/>
      <c r="BM910" s="1052"/>
      <c r="BN910" s="1054"/>
      <c r="BO910" s="1076">
        <f t="shared" si="25"/>
        <v>0</v>
      </c>
      <c r="BP910" s="1051"/>
      <c r="BQ910" s="1052"/>
      <c r="BR910" s="1054"/>
      <c r="BS910" s="1053"/>
      <c r="BT910" s="1051"/>
      <c r="BU910" s="1051"/>
      <c r="BV910" s="1051"/>
      <c r="BW910" s="1052"/>
      <c r="BX910" s="1052"/>
      <c r="BY910" s="1052"/>
      <c r="BZ910" s="1052"/>
      <c r="CA910" s="1052"/>
      <c r="CB910" s="1053"/>
      <c r="CC910" s="1053"/>
      <c r="CD910" s="1053"/>
      <c r="CE910" s="1053"/>
      <c r="CF910" s="1053"/>
      <c r="CG910" s="1053"/>
      <c r="CH910" s="1053"/>
      <c r="CI910" s="1123"/>
      <c r="CJ910" s="1123"/>
      <c r="CK910" s="1123"/>
      <c r="CL910" s="1123"/>
      <c r="CM910" s="1123"/>
      <c r="CN910" s="1123"/>
      <c r="CO910" s="1123"/>
      <c r="CP910" s="1123"/>
      <c r="CQ910" s="1123"/>
      <c r="CR910" s="1123"/>
      <c r="CS910" s="1123"/>
      <c r="CT910" s="1123"/>
      <c r="CU910" s="1123"/>
      <c r="CV910" s="1123"/>
      <c r="CW910" s="1123"/>
      <c r="CX910" s="1123"/>
      <c r="CY910" s="1123"/>
      <c r="CZ910" s="1114"/>
      <c r="DA910" s="1114"/>
      <c r="DB910" s="1114"/>
      <c r="DC910" s="1114"/>
      <c r="DD910" s="1114"/>
      <c r="DE910" s="1114"/>
      <c r="DF910" s="1114"/>
      <c r="DG910" s="1114"/>
      <c r="DH910" s="1114"/>
      <c r="DI910" s="1114"/>
      <c r="DJ910" s="1114"/>
      <c r="DK910" s="1114"/>
      <c r="DL910" s="1114"/>
      <c r="DM910" s="1114"/>
      <c r="DN910" s="1114"/>
      <c r="DO910" s="1114"/>
      <c r="DP910" s="1114"/>
      <c r="DQ910" s="1114"/>
      <c r="DR910" s="1114"/>
      <c r="DS910" s="1114"/>
      <c r="DT910" s="1114"/>
      <c r="DU910" s="1114"/>
      <c r="DV910" s="1115"/>
      <c r="DW910" s="1116"/>
      <c r="DX910" s="1116"/>
      <c r="DY910" s="1116"/>
      <c r="DZ910" s="1116"/>
      <c r="EA910" s="1116"/>
      <c r="EB910" s="1116"/>
      <c r="EC910" s="1116"/>
      <c r="ED910" s="1116"/>
      <c r="EE910" s="1116"/>
      <c r="EF910" s="1116"/>
      <c r="EG910" s="1116"/>
      <c r="EH910" s="1116"/>
      <c r="EI910" s="1116"/>
      <c r="EJ910" s="1116"/>
      <c r="EK910" s="1116"/>
      <c r="EL910" s="1116"/>
      <c r="EM910" s="1116"/>
      <c r="EN910" s="1116"/>
      <c r="EO910" s="1116"/>
      <c r="EP910" s="1116"/>
      <c r="EQ910" s="1116"/>
      <c r="ER910" s="1116"/>
      <c r="ES910" s="1116"/>
    </row>
    <row r="911" spans="1:149" ht="15" customHeight="1">
      <c r="A911" s="1185">
        <v>896</v>
      </c>
      <c r="B911" s="1041"/>
      <c r="C911" s="1050"/>
      <c r="D911" s="1050"/>
      <c r="E911" s="1050"/>
      <c r="F911" s="1049"/>
      <c r="G911" s="1457"/>
      <c r="H911" s="1049"/>
      <c r="I911" s="1049"/>
      <c r="J911" s="1050"/>
      <c r="K911" s="1050"/>
      <c r="L911" s="1043"/>
      <c r="M911" s="1051"/>
      <c r="N911" s="1051"/>
      <c r="O911" s="1052"/>
      <c r="P911" s="1051"/>
      <c r="Q911" s="1051"/>
      <c r="R911" s="1052"/>
      <c r="S911" s="1051"/>
      <c r="T911" s="1051"/>
      <c r="U911" s="1052"/>
      <c r="V911" s="1051"/>
      <c r="W911" s="1051"/>
      <c r="X911" s="1052"/>
      <c r="Y911" s="1053"/>
      <c r="Z911" s="1051"/>
      <c r="AA911" s="1051"/>
      <c r="AB911" s="1052"/>
      <c r="AC911" s="1051"/>
      <c r="AD911" s="1051"/>
      <c r="AE911" s="1052"/>
      <c r="AF911" s="1051"/>
      <c r="AG911" s="1051"/>
      <c r="AH911" s="1051"/>
      <c r="AI911" s="1051"/>
      <c r="AJ911" s="1052"/>
      <c r="AK911" s="1051"/>
      <c r="AL911" s="1051"/>
      <c r="AM911" s="1052"/>
      <c r="AN911" s="1051"/>
      <c r="AO911" s="1051"/>
      <c r="AP911" s="1052"/>
      <c r="AQ911" s="1051"/>
      <c r="AR911" s="1051"/>
      <c r="AS911" s="1052"/>
      <c r="AT911" s="1051"/>
      <c r="AU911" s="1051"/>
      <c r="AV911" s="1052"/>
      <c r="AW911" s="1051"/>
      <c r="AX911" s="1051"/>
      <c r="AY911" s="1053"/>
      <c r="AZ911" s="1051"/>
      <c r="BA911" s="1051"/>
      <c r="BB911" s="1053"/>
      <c r="BC911" s="1051"/>
      <c r="BD911" s="1051"/>
      <c r="BE911" s="1053"/>
      <c r="BF911" s="1051"/>
      <c r="BG911" s="1051"/>
      <c r="BH911" s="1053"/>
      <c r="BI911" s="1052"/>
      <c r="BJ911" s="1052"/>
      <c r="BK911" s="1052"/>
      <c r="BL911" s="1052"/>
      <c r="BM911" s="1052"/>
      <c r="BN911" s="1054"/>
      <c r="BO911" s="1076">
        <f t="shared" si="25"/>
        <v>0</v>
      </c>
      <c r="BP911" s="1051"/>
      <c r="BQ911" s="1052"/>
      <c r="BR911" s="1054"/>
      <c r="BS911" s="1053"/>
      <c r="BT911" s="1051"/>
      <c r="BU911" s="1051"/>
      <c r="BV911" s="1051"/>
      <c r="BW911" s="1052"/>
      <c r="BX911" s="1052"/>
      <c r="BY911" s="1052"/>
      <c r="BZ911" s="1052"/>
      <c r="CA911" s="1052"/>
      <c r="CB911" s="1053"/>
      <c r="CC911" s="1053"/>
      <c r="CD911" s="1053"/>
      <c r="CE911" s="1053"/>
      <c r="CF911" s="1053"/>
      <c r="CG911" s="1053"/>
      <c r="CH911" s="1053"/>
      <c r="CI911" s="1123"/>
      <c r="CJ911" s="1123"/>
      <c r="CK911" s="1123"/>
      <c r="CL911" s="1123"/>
      <c r="CM911" s="1123"/>
      <c r="CN911" s="1123"/>
      <c r="CO911" s="1123"/>
      <c r="CP911" s="1123"/>
      <c r="CQ911" s="1123"/>
      <c r="CR911" s="1123"/>
      <c r="CS911" s="1123"/>
      <c r="CT911" s="1123"/>
      <c r="CU911" s="1123"/>
      <c r="CV911" s="1123"/>
      <c r="CW911" s="1123"/>
      <c r="CX911" s="1123"/>
      <c r="CY911" s="1123"/>
      <c r="CZ911" s="1114"/>
      <c r="DA911" s="1114"/>
      <c r="DB911" s="1114"/>
      <c r="DC911" s="1114"/>
      <c r="DD911" s="1114"/>
      <c r="DE911" s="1114"/>
      <c r="DF911" s="1114"/>
      <c r="DG911" s="1114"/>
      <c r="DH911" s="1114"/>
      <c r="DI911" s="1114"/>
      <c r="DJ911" s="1114"/>
      <c r="DK911" s="1114"/>
      <c r="DL911" s="1114"/>
      <c r="DM911" s="1114"/>
      <c r="DN911" s="1114"/>
      <c r="DO911" s="1114"/>
      <c r="DP911" s="1114"/>
      <c r="DQ911" s="1114"/>
      <c r="DR911" s="1114"/>
      <c r="DS911" s="1114"/>
      <c r="DT911" s="1114"/>
      <c r="DU911" s="1114"/>
      <c r="DV911" s="1115"/>
      <c r="DW911" s="1116"/>
      <c r="DX911" s="1116"/>
      <c r="DY911" s="1116"/>
      <c r="DZ911" s="1116"/>
      <c r="EA911" s="1116"/>
      <c r="EB911" s="1116"/>
      <c r="EC911" s="1116"/>
      <c r="ED911" s="1116"/>
      <c r="EE911" s="1116"/>
      <c r="EF911" s="1116"/>
      <c r="EG911" s="1116"/>
      <c r="EH911" s="1116"/>
      <c r="EI911" s="1116"/>
      <c r="EJ911" s="1116"/>
      <c r="EK911" s="1116"/>
      <c r="EL911" s="1116"/>
      <c r="EM911" s="1116"/>
      <c r="EN911" s="1116"/>
      <c r="EO911" s="1116"/>
      <c r="EP911" s="1116"/>
      <c r="EQ911" s="1116"/>
      <c r="ER911" s="1116"/>
      <c r="ES911" s="1116"/>
    </row>
    <row r="912" spans="1:149" ht="15" customHeight="1">
      <c r="A912" s="1185">
        <v>897</v>
      </c>
      <c r="B912" s="1041"/>
      <c r="C912" s="1050"/>
      <c r="D912" s="1050"/>
      <c r="E912" s="1050"/>
      <c r="F912" s="1049"/>
      <c r="G912" s="1457"/>
      <c r="H912" s="1049"/>
      <c r="I912" s="1049"/>
      <c r="J912" s="1050"/>
      <c r="K912" s="1050"/>
      <c r="L912" s="1043"/>
      <c r="M912" s="1051"/>
      <c r="N912" s="1051"/>
      <c r="O912" s="1052"/>
      <c r="P912" s="1051"/>
      <c r="Q912" s="1051"/>
      <c r="R912" s="1052"/>
      <c r="S912" s="1051"/>
      <c r="T912" s="1051"/>
      <c r="U912" s="1052"/>
      <c r="V912" s="1051"/>
      <c r="W912" s="1051"/>
      <c r="X912" s="1052"/>
      <c r="Y912" s="1053"/>
      <c r="Z912" s="1051"/>
      <c r="AA912" s="1051"/>
      <c r="AB912" s="1052"/>
      <c r="AC912" s="1051"/>
      <c r="AD912" s="1051"/>
      <c r="AE912" s="1052"/>
      <c r="AF912" s="1051"/>
      <c r="AG912" s="1051"/>
      <c r="AH912" s="1051"/>
      <c r="AI912" s="1051"/>
      <c r="AJ912" s="1052"/>
      <c r="AK912" s="1051"/>
      <c r="AL912" s="1051"/>
      <c r="AM912" s="1052"/>
      <c r="AN912" s="1051"/>
      <c r="AO912" s="1051"/>
      <c r="AP912" s="1052"/>
      <c r="AQ912" s="1051"/>
      <c r="AR912" s="1051"/>
      <c r="AS912" s="1052"/>
      <c r="AT912" s="1051"/>
      <c r="AU912" s="1051"/>
      <c r="AV912" s="1052"/>
      <c r="AW912" s="1051"/>
      <c r="AX912" s="1051"/>
      <c r="AY912" s="1053"/>
      <c r="AZ912" s="1051"/>
      <c r="BA912" s="1051"/>
      <c r="BB912" s="1053"/>
      <c r="BC912" s="1051"/>
      <c r="BD912" s="1051"/>
      <c r="BE912" s="1053"/>
      <c r="BF912" s="1051"/>
      <c r="BG912" s="1051"/>
      <c r="BH912" s="1053"/>
      <c r="BI912" s="1052"/>
      <c r="BJ912" s="1052"/>
      <c r="BK912" s="1052"/>
      <c r="BL912" s="1052"/>
      <c r="BM912" s="1052"/>
      <c r="BN912" s="1054"/>
      <c r="BO912" s="1076">
        <f t="shared" si="25"/>
        <v>0</v>
      </c>
      <c r="BP912" s="1051"/>
      <c r="BQ912" s="1052"/>
      <c r="BR912" s="1054"/>
      <c r="BS912" s="1053"/>
      <c r="BT912" s="1051"/>
      <c r="BU912" s="1051"/>
      <c r="BV912" s="1051"/>
      <c r="BW912" s="1052"/>
      <c r="BX912" s="1052"/>
      <c r="BY912" s="1052"/>
      <c r="BZ912" s="1052"/>
      <c r="CA912" s="1052"/>
      <c r="CB912" s="1053"/>
      <c r="CC912" s="1053"/>
      <c r="CD912" s="1053"/>
      <c r="CE912" s="1053"/>
      <c r="CF912" s="1053"/>
      <c r="CG912" s="1053"/>
      <c r="CH912" s="1053"/>
      <c r="CI912" s="1123"/>
      <c r="CJ912" s="1123"/>
      <c r="CK912" s="1123"/>
      <c r="CL912" s="1123"/>
      <c r="CM912" s="1123"/>
      <c r="CN912" s="1123"/>
      <c r="CO912" s="1123"/>
      <c r="CP912" s="1123"/>
      <c r="CQ912" s="1123"/>
      <c r="CR912" s="1123"/>
      <c r="CS912" s="1123"/>
      <c r="CT912" s="1123"/>
      <c r="CU912" s="1123"/>
      <c r="CV912" s="1123"/>
      <c r="CW912" s="1123"/>
      <c r="CX912" s="1123"/>
      <c r="CY912" s="1123"/>
      <c r="CZ912" s="1114"/>
      <c r="DA912" s="1114"/>
      <c r="DB912" s="1114"/>
      <c r="DC912" s="1114"/>
      <c r="DD912" s="1114"/>
      <c r="DE912" s="1114"/>
      <c r="DF912" s="1114"/>
      <c r="DG912" s="1114"/>
      <c r="DH912" s="1114"/>
      <c r="DI912" s="1114"/>
      <c r="DJ912" s="1114"/>
      <c r="DK912" s="1114"/>
      <c r="DL912" s="1114"/>
      <c r="DM912" s="1114"/>
      <c r="DN912" s="1114"/>
      <c r="DO912" s="1114"/>
      <c r="DP912" s="1114"/>
      <c r="DQ912" s="1114"/>
      <c r="DR912" s="1114"/>
      <c r="DS912" s="1114"/>
      <c r="DT912" s="1114"/>
      <c r="DU912" s="1114"/>
      <c r="DV912" s="1115"/>
      <c r="DW912" s="1116"/>
      <c r="DX912" s="1116"/>
      <c r="DY912" s="1116"/>
      <c r="DZ912" s="1116"/>
      <c r="EA912" s="1116"/>
      <c r="EB912" s="1116"/>
      <c r="EC912" s="1116"/>
      <c r="ED912" s="1116"/>
      <c r="EE912" s="1116"/>
      <c r="EF912" s="1116"/>
      <c r="EG912" s="1116"/>
      <c r="EH912" s="1116"/>
      <c r="EI912" s="1116"/>
      <c r="EJ912" s="1116"/>
      <c r="EK912" s="1116"/>
      <c r="EL912" s="1116"/>
      <c r="EM912" s="1116"/>
      <c r="EN912" s="1116"/>
      <c r="EO912" s="1116"/>
      <c r="EP912" s="1116"/>
      <c r="EQ912" s="1116"/>
      <c r="ER912" s="1116"/>
      <c r="ES912" s="1116"/>
    </row>
    <row r="913" spans="1:149" ht="15" customHeight="1">
      <c r="A913" s="1185">
        <v>898</v>
      </c>
      <c r="B913" s="1041"/>
      <c r="C913" s="1050"/>
      <c r="D913" s="1050"/>
      <c r="E913" s="1050"/>
      <c r="F913" s="1049"/>
      <c r="G913" s="1457"/>
      <c r="H913" s="1049"/>
      <c r="I913" s="1049"/>
      <c r="J913" s="1050"/>
      <c r="K913" s="1050"/>
      <c r="L913" s="1043"/>
      <c r="M913" s="1051"/>
      <c r="N913" s="1051"/>
      <c r="O913" s="1052"/>
      <c r="P913" s="1051"/>
      <c r="Q913" s="1051"/>
      <c r="R913" s="1052"/>
      <c r="S913" s="1051"/>
      <c r="T913" s="1051"/>
      <c r="U913" s="1052"/>
      <c r="V913" s="1051"/>
      <c r="W913" s="1051"/>
      <c r="X913" s="1052"/>
      <c r="Y913" s="1053"/>
      <c r="Z913" s="1051"/>
      <c r="AA913" s="1051"/>
      <c r="AB913" s="1052"/>
      <c r="AC913" s="1051"/>
      <c r="AD913" s="1051"/>
      <c r="AE913" s="1052"/>
      <c r="AF913" s="1051"/>
      <c r="AG913" s="1051"/>
      <c r="AH913" s="1051"/>
      <c r="AI913" s="1051"/>
      <c r="AJ913" s="1052"/>
      <c r="AK913" s="1051"/>
      <c r="AL913" s="1051"/>
      <c r="AM913" s="1052"/>
      <c r="AN913" s="1051"/>
      <c r="AO913" s="1051"/>
      <c r="AP913" s="1052"/>
      <c r="AQ913" s="1051"/>
      <c r="AR913" s="1051"/>
      <c r="AS913" s="1052"/>
      <c r="AT913" s="1051"/>
      <c r="AU913" s="1051"/>
      <c r="AV913" s="1052"/>
      <c r="AW913" s="1051"/>
      <c r="AX913" s="1051"/>
      <c r="AY913" s="1053"/>
      <c r="AZ913" s="1051"/>
      <c r="BA913" s="1051"/>
      <c r="BB913" s="1053"/>
      <c r="BC913" s="1051"/>
      <c r="BD913" s="1051"/>
      <c r="BE913" s="1053"/>
      <c r="BF913" s="1051"/>
      <c r="BG913" s="1051"/>
      <c r="BH913" s="1053"/>
      <c r="BI913" s="1052"/>
      <c r="BJ913" s="1052"/>
      <c r="BK913" s="1052"/>
      <c r="BL913" s="1052"/>
      <c r="BM913" s="1052"/>
      <c r="BN913" s="1054"/>
      <c r="BO913" s="1076">
        <f t="shared" si="25"/>
        <v>0</v>
      </c>
      <c r="BP913" s="1051"/>
      <c r="BQ913" s="1052"/>
      <c r="BR913" s="1054"/>
      <c r="BS913" s="1053"/>
      <c r="BT913" s="1051"/>
      <c r="BU913" s="1051"/>
      <c r="BV913" s="1051"/>
      <c r="BW913" s="1052"/>
      <c r="BX913" s="1052"/>
      <c r="BY913" s="1052"/>
      <c r="BZ913" s="1052"/>
      <c r="CA913" s="1052"/>
      <c r="CB913" s="1053"/>
      <c r="CC913" s="1053"/>
      <c r="CD913" s="1053"/>
      <c r="CE913" s="1053"/>
      <c r="CF913" s="1053"/>
      <c r="CG913" s="1053"/>
      <c r="CH913" s="1053"/>
      <c r="CI913" s="1123"/>
      <c r="CJ913" s="1123"/>
      <c r="CK913" s="1123"/>
      <c r="CL913" s="1123"/>
      <c r="CM913" s="1123"/>
      <c r="CN913" s="1123"/>
      <c r="CO913" s="1123"/>
      <c r="CP913" s="1123"/>
      <c r="CQ913" s="1123"/>
      <c r="CR913" s="1123"/>
      <c r="CS913" s="1123"/>
      <c r="CT913" s="1123"/>
      <c r="CU913" s="1123"/>
      <c r="CV913" s="1123"/>
      <c r="CW913" s="1123"/>
      <c r="CX913" s="1123"/>
      <c r="CY913" s="1123"/>
      <c r="CZ913" s="1114"/>
      <c r="DA913" s="1114"/>
      <c r="DB913" s="1114"/>
      <c r="DC913" s="1114"/>
      <c r="DD913" s="1114"/>
      <c r="DE913" s="1114"/>
      <c r="DF913" s="1114"/>
      <c r="DG913" s="1114"/>
      <c r="DH913" s="1114"/>
      <c r="DI913" s="1114"/>
      <c r="DJ913" s="1114"/>
      <c r="DK913" s="1114"/>
      <c r="DL913" s="1114"/>
      <c r="DM913" s="1114"/>
      <c r="DN913" s="1114"/>
      <c r="DO913" s="1114"/>
      <c r="DP913" s="1114"/>
      <c r="DQ913" s="1114"/>
      <c r="DR913" s="1114"/>
      <c r="DS913" s="1114"/>
      <c r="DT913" s="1114"/>
      <c r="DU913" s="1114"/>
      <c r="DV913" s="1115"/>
      <c r="DW913" s="1116"/>
      <c r="DX913" s="1116"/>
      <c r="DY913" s="1116"/>
      <c r="DZ913" s="1116"/>
      <c r="EA913" s="1116"/>
      <c r="EB913" s="1116"/>
      <c r="EC913" s="1116"/>
      <c r="ED913" s="1116"/>
      <c r="EE913" s="1116"/>
      <c r="EF913" s="1116"/>
      <c r="EG913" s="1116"/>
      <c r="EH913" s="1116"/>
      <c r="EI913" s="1116"/>
      <c r="EJ913" s="1116"/>
      <c r="EK913" s="1116"/>
      <c r="EL913" s="1116"/>
      <c r="EM913" s="1116"/>
      <c r="EN913" s="1116"/>
      <c r="EO913" s="1116"/>
      <c r="EP913" s="1116"/>
      <c r="EQ913" s="1116"/>
      <c r="ER913" s="1116"/>
      <c r="ES913" s="1116"/>
    </row>
    <row r="914" spans="1:149" ht="15" customHeight="1">
      <c r="A914" s="1185">
        <v>899</v>
      </c>
      <c r="B914" s="1041"/>
      <c r="C914" s="1050"/>
      <c r="D914" s="1050"/>
      <c r="E914" s="1050"/>
      <c r="F914" s="1049"/>
      <c r="G914" s="1457"/>
      <c r="H914" s="1049"/>
      <c r="I914" s="1049"/>
      <c r="J914" s="1050"/>
      <c r="K914" s="1050"/>
      <c r="L914" s="1043"/>
      <c r="M914" s="1051"/>
      <c r="N914" s="1051"/>
      <c r="O914" s="1052"/>
      <c r="P914" s="1051"/>
      <c r="Q914" s="1051"/>
      <c r="R914" s="1052"/>
      <c r="S914" s="1051"/>
      <c r="T914" s="1051"/>
      <c r="U914" s="1052"/>
      <c r="V914" s="1051"/>
      <c r="W914" s="1051"/>
      <c r="X914" s="1052"/>
      <c r="Y914" s="1053"/>
      <c r="Z914" s="1051"/>
      <c r="AA914" s="1051"/>
      <c r="AB914" s="1052"/>
      <c r="AC914" s="1051"/>
      <c r="AD914" s="1051"/>
      <c r="AE914" s="1052"/>
      <c r="AF914" s="1051"/>
      <c r="AG914" s="1051"/>
      <c r="AH914" s="1051"/>
      <c r="AI914" s="1051"/>
      <c r="AJ914" s="1052"/>
      <c r="AK914" s="1051"/>
      <c r="AL914" s="1051"/>
      <c r="AM914" s="1052"/>
      <c r="AN914" s="1051"/>
      <c r="AO914" s="1051"/>
      <c r="AP914" s="1052"/>
      <c r="AQ914" s="1051"/>
      <c r="AR914" s="1051"/>
      <c r="AS914" s="1052"/>
      <c r="AT914" s="1051"/>
      <c r="AU914" s="1051"/>
      <c r="AV914" s="1052"/>
      <c r="AW914" s="1051"/>
      <c r="AX914" s="1051"/>
      <c r="AY914" s="1053"/>
      <c r="AZ914" s="1051"/>
      <c r="BA914" s="1051"/>
      <c r="BB914" s="1053"/>
      <c r="BC914" s="1051"/>
      <c r="BD914" s="1051"/>
      <c r="BE914" s="1053"/>
      <c r="BF914" s="1051"/>
      <c r="BG914" s="1051"/>
      <c r="BH914" s="1053"/>
      <c r="BI914" s="1052"/>
      <c r="BJ914" s="1052"/>
      <c r="BK914" s="1052"/>
      <c r="BL914" s="1052"/>
      <c r="BM914" s="1052"/>
      <c r="BN914" s="1054"/>
      <c r="BO914" s="1076">
        <f t="shared" si="25"/>
        <v>0</v>
      </c>
      <c r="BP914" s="1051"/>
      <c r="BQ914" s="1052"/>
      <c r="BR914" s="1054"/>
      <c r="BS914" s="1053"/>
      <c r="BT914" s="1051"/>
      <c r="BU914" s="1051"/>
      <c r="BV914" s="1051"/>
      <c r="BW914" s="1052"/>
      <c r="BX914" s="1052"/>
      <c r="BY914" s="1052"/>
      <c r="BZ914" s="1052"/>
      <c r="CA914" s="1052"/>
      <c r="CB914" s="1053"/>
      <c r="CC914" s="1053"/>
      <c r="CD914" s="1053"/>
      <c r="CE914" s="1053"/>
      <c r="CF914" s="1053"/>
      <c r="CG914" s="1053"/>
      <c r="CH914" s="1053"/>
      <c r="CI914" s="1123"/>
      <c r="CJ914" s="1123"/>
      <c r="CK914" s="1123"/>
      <c r="CL914" s="1123"/>
      <c r="CM914" s="1123"/>
      <c r="CN914" s="1123"/>
      <c r="CO914" s="1123"/>
      <c r="CP914" s="1123"/>
      <c r="CQ914" s="1123"/>
      <c r="CR914" s="1123"/>
      <c r="CS914" s="1123"/>
      <c r="CT914" s="1123"/>
      <c r="CU914" s="1123"/>
      <c r="CV914" s="1123"/>
      <c r="CW914" s="1123"/>
      <c r="CX914" s="1123"/>
      <c r="CY914" s="1123"/>
      <c r="CZ914" s="1114"/>
      <c r="DA914" s="1114"/>
      <c r="DB914" s="1114"/>
      <c r="DC914" s="1114"/>
      <c r="DD914" s="1114"/>
      <c r="DE914" s="1114"/>
      <c r="DF914" s="1114"/>
      <c r="DG914" s="1114"/>
      <c r="DH914" s="1114"/>
      <c r="DI914" s="1114"/>
      <c r="DJ914" s="1114"/>
      <c r="DK914" s="1114"/>
      <c r="DL914" s="1114"/>
      <c r="DM914" s="1114"/>
      <c r="DN914" s="1114"/>
      <c r="DO914" s="1114"/>
      <c r="DP914" s="1114"/>
      <c r="DQ914" s="1114"/>
      <c r="DR914" s="1114"/>
      <c r="DS914" s="1114"/>
      <c r="DT914" s="1114"/>
      <c r="DU914" s="1114"/>
      <c r="DV914" s="1115"/>
      <c r="DW914" s="1116"/>
      <c r="DX914" s="1116"/>
      <c r="DY914" s="1116"/>
      <c r="DZ914" s="1116"/>
      <c r="EA914" s="1116"/>
      <c r="EB914" s="1116"/>
      <c r="EC914" s="1116"/>
      <c r="ED914" s="1116"/>
      <c r="EE914" s="1116"/>
      <c r="EF914" s="1116"/>
      <c r="EG914" s="1116"/>
      <c r="EH914" s="1116"/>
      <c r="EI914" s="1116"/>
      <c r="EJ914" s="1116"/>
      <c r="EK914" s="1116"/>
      <c r="EL914" s="1116"/>
      <c r="EM914" s="1116"/>
      <c r="EN914" s="1116"/>
      <c r="EO914" s="1116"/>
      <c r="EP914" s="1116"/>
      <c r="EQ914" s="1116"/>
      <c r="ER914" s="1116"/>
      <c r="ES914" s="1116"/>
    </row>
    <row r="915" spans="1:149" ht="15" customHeight="1">
      <c r="A915" s="1185">
        <v>900</v>
      </c>
      <c r="B915" s="1041"/>
      <c r="C915" s="1050"/>
      <c r="D915" s="1050"/>
      <c r="E915" s="1050"/>
      <c r="F915" s="1049"/>
      <c r="G915" s="1457"/>
      <c r="H915" s="1049"/>
      <c r="I915" s="1049"/>
      <c r="J915" s="1050"/>
      <c r="K915" s="1050"/>
      <c r="L915" s="1043"/>
      <c r="M915" s="1051"/>
      <c r="N915" s="1051"/>
      <c r="O915" s="1052"/>
      <c r="P915" s="1051"/>
      <c r="Q915" s="1051"/>
      <c r="R915" s="1052"/>
      <c r="S915" s="1051"/>
      <c r="T915" s="1051"/>
      <c r="U915" s="1052"/>
      <c r="V915" s="1051"/>
      <c r="W915" s="1051"/>
      <c r="X915" s="1052"/>
      <c r="Y915" s="1053"/>
      <c r="Z915" s="1051"/>
      <c r="AA915" s="1051"/>
      <c r="AB915" s="1052"/>
      <c r="AC915" s="1051"/>
      <c r="AD915" s="1051"/>
      <c r="AE915" s="1052"/>
      <c r="AF915" s="1051"/>
      <c r="AG915" s="1051"/>
      <c r="AH915" s="1051"/>
      <c r="AI915" s="1051"/>
      <c r="AJ915" s="1052"/>
      <c r="AK915" s="1051"/>
      <c r="AL915" s="1051"/>
      <c r="AM915" s="1052"/>
      <c r="AN915" s="1051"/>
      <c r="AO915" s="1051"/>
      <c r="AP915" s="1052"/>
      <c r="AQ915" s="1051"/>
      <c r="AR915" s="1051"/>
      <c r="AS915" s="1052"/>
      <c r="AT915" s="1051"/>
      <c r="AU915" s="1051"/>
      <c r="AV915" s="1052"/>
      <c r="AW915" s="1051"/>
      <c r="AX915" s="1051"/>
      <c r="AY915" s="1053"/>
      <c r="AZ915" s="1051"/>
      <c r="BA915" s="1051"/>
      <c r="BB915" s="1053"/>
      <c r="BC915" s="1051"/>
      <c r="BD915" s="1051"/>
      <c r="BE915" s="1053"/>
      <c r="BF915" s="1051"/>
      <c r="BG915" s="1051"/>
      <c r="BH915" s="1053"/>
      <c r="BI915" s="1052"/>
      <c r="BJ915" s="1052"/>
      <c r="BK915" s="1052"/>
      <c r="BL915" s="1052"/>
      <c r="BM915" s="1052"/>
      <c r="BN915" s="1054"/>
      <c r="BO915" s="1076">
        <f t="shared" si="25"/>
        <v>0</v>
      </c>
      <c r="BP915" s="1051"/>
      <c r="BQ915" s="1052"/>
      <c r="BR915" s="1054"/>
      <c r="BS915" s="1053"/>
      <c r="BT915" s="1051"/>
      <c r="BU915" s="1051"/>
      <c r="BV915" s="1051"/>
      <c r="BW915" s="1052"/>
      <c r="BX915" s="1052"/>
      <c r="BY915" s="1052"/>
      <c r="BZ915" s="1052"/>
      <c r="CA915" s="1052"/>
      <c r="CB915" s="1053"/>
      <c r="CC915" s="1053"/>
      <c r="CD915" s="1053"/>
      <c r="CE915" s="1053"/>
      <c r="CF915" s="1053"/>
      <c r="CG915" s="1053"/>
      <c r="CH915" s="1053"/>
      <c r="CI915" s="1123"/>
      <c r="CJ915" s="1123"/>
      <c r="CK915" s="1123"/>
      <c r="CL915" s="1123"/>
      <c r="CM915" s="1123"/>
      <c r="CN915" s="1123"/>
      <c r="CO915" s="1123"/>
      <c r="CP915" s="1123"/>
      <c r="CQ915" s="1123"/>
      <c r="CR915" s="1123"/>
      <c r="CS915" s="1123"/>
      <c r="CT915" s="1123"/>
      <c r="CU915" s="1123"/>
      <c r="CV915" s="1123"/>
      <c r="CW915" s="1123"/>
      <c r="CX915" s="1123"/>
      <c r="CY915" s="1123"/>
      <c r="CZ915" s="1114"/>
      <c r="DA915" s="1114"/>
      <c r="DB915" s="1114"/>
      <c r="DC915" s="1114"/>
      <c r="DD915" s="1114"/>
      <c r="DE915" s="1114"/>
      <c r="DF915" s="1114"/>
      <c r="DG915" s="1114"/>
      <c r="DH915" s="1114"/>
      <c r="DI915" s="1114"/>
      <c r="DJ915" s="1114"/>
      <c r="DK915" s="1114"/>
      <c r="DL915" s="1114"/>
      <c r="DM915" s="1114"/>
      <c r="DN915" s="1114"/>
      <c r="DO915" s="1114"/>
      <c r="DP915" s="1114"/>
      <c r="DQ915" s="1114"/>
      <c r="DR915" s="1114"/>
      <c r="DS915" s="1114"/>
      <c r="DT915" s="1114"/>
      <c r="DU915" s="1114"/>
      <c r="DV915" s="1115"/>
      <c r="DW915" s="1116"/>
      <c r="DX915" s="1116"/>
      <c r="DY915" s="1116"/>
      <c r="DZ915" s="1116"/>
      <c r="EA915" s="1116"/>
      <c r="EB915" s="1116"/>
      <c r="EC915" s="1116"/>
      <c r="ED915" s="1116"/>
      <c r="EE915" s="1116"/>
      <c r="EF915" s="1116"/>
      <c r="EG915" s="1116"/>
      <c r="EH915" s="1116"/>
      <c r="EI915" s="1116"/>
      <c r="EJ915" s="1116"/>
      <c r="EK915" s="1116"/>
      <c r="EL915" s="1116"/>
      <c r="EM915" s="1116"/>
      <c r="EN915" s="1116"/>
      <c r="EO915" s="1116"/>
      <c r="EP915" s="1116"/>
      <c r="EQ915" s="1116"/>
      <c r="ER915" s="1116"/>
      <c r="ES915" s="1116"/>
    </row>
    <row r="916" spans="1:149" ht="15" customHeight="1">
      <c r="A916" s="1185">
        <v>901</v>
      </c>
      <c r="B916" s="1041"/>
      <c r="C916" s="1050"/>
      <c r="D916" s="1050"/>
      <c r="E916" s="1050"/>
      <c r="F916" s="1049"/>
      <c r="G916" s="1457"/>
      <c r="H916" s="1049"/>
      <c r="I916" s="1049"/>
      <c r="J916" s="1050"/>
      <c r="K916" s="1050"/>
      <c r="L916" s="1043"/>
      <c r="M916" s="1051"/>
      <c r="N916" s="1051"/>
      <c r="O916" s="1052"/>
      <c r="P916" s="1051"/>
      <c r="Q916" s="1051"/>
      <c r="R916" s="1052"/>
      <c r="S916" s="1051"/>
      <c r="T916" s="1051"/>
      <c r="U916" s="1052"/>
      <c r="V916" s="1051"/>
      <c r="W916" s="1051"/>
      <c r="X916" s="1052"/>
      <c r="Y916" s="1053"/>
      <c r="Z916" s="1051"/>
      <c r="AA916" s="1051"/>
      <c r="AB916" s="1052"/>
      <c r="AC916" s="1051"/>
      <c r="AD916" s="1051"/>
      <c r="AE916" s="1052"/>
      <c r="AF916" s="1051"/>
      <c r="AG916" s="1051"/>
      <c r="AH916" s="1051"/>
      <c r="AI916" s="1051"/>
      <c r="AJ916" s="1052"/>
      <c r="AK916" s="1051"/>
      <c r="AL916" s="1051"/>
      <c r="AM916" s="1052"/>
      <c r="AN916" s="1051"/>
      <c r="AO916" s="1051"/>
      <c r="AP916" s="1052"/>
      <c r="AQ916" s="1051"/>
      <c r="AR916" s="1051"/>
      <c r="AS916" s="1052"/>
      <c r="AT916" s="1051"/>
      <c r="AU916" s="1051"/>
      <c r="AV916" s="1052"/>
      <c r="AW916" s="1051"/>
      <c r="AX916" s="1051"/>
      <c r="AY916" s="1053"/>
      <c r="AZ916" s="1051"/>
      <c r="BA916" s="1051"/>
      <c r="BB916" s="1053"/>
      <c r="BC916" s="1051"/>
      <c r="BD916" s="1051"/>
      <c r="BE916" s="1053"/>
      <c r="BF916" s="1051"/>
      <c r="BG916" s="1051"/>
      <c r="BH916" s="1053"/>
      <c r="BI916" s="1052"/>
      <c r="BJ916" s="1052"/>
      <c r="BK916" s="1052"/>
      <c r="BL916" s="1052"/>
      <c r="BM916" s="1052"/>
      <c r="BN916" s="1054"/>
      <c r="BO916" s="1076">
        <f t="shared" si="25"/>
        <v>0</v>
      </c>
      <c r="BP916" s="1051"/>
      <c r="BQ916" s="1052"/>
      <c r="BR916" s="1054"/>
      <c r="BS916" s="1053"/>
      <c r="BT916" s="1051"/>
      <c r="BU916" s="1051"/>
      <c r="BV916" s="1051"/>
      <c r="BW916" s="1052"/>
      <c r="BX916" s="1052"/>
      <c r="BY916" s="1052"/>
      <c r="BZ916" s="1052"/>
      <c r="CA916" s="1052"/>
      <c r="CB916" s="1053"/>
      <c r="CC916" s="1053"/>
      <c r="CD916" s="1053"/>
      <c r="CE916" s="1053"/>
      <c r="CF916" s="1053"/>
      <c r="CG916" s="1053"/>
      <c r="CH916" s="1053"/>
      <c r="CI916" s="1123"/>
      <c r="CJ916" s="1123"/>
      <c r="CK916" s="1123"/>
      <c r="CL916" s="1123"/>
      <c r="CM916" s="1123"/>
      <c r="CN916" s="1123"/>
      <c r="CO916" s="1123"/>
      <c r="CP916" s="1123"/>
      <c r="CQ916" s="1123"/>
      <c r="CR916" s="1123"/>
      <c r="CS916" s="1123"/>
      <c r="CT916" s="1123"/>
      <c r="CU916" s="1123"/>
      <c r="CV916" s="1123"/>
      <c r="CW916" s="1123"/>
      <c r="CX916" s="1123"/>
      <c r="CY916" s="1123"/>
      <c r="CZ916" s="1114"/>
      <c r="DA916" s="1114"/>
      <c r="DB916" s="1114"/>
      <c r="DC916" s="1114"/>
      <c r="DD916" s="1114"/>
      <c r="DE916" s="1114"/>
      <c r="DF916" s="1114"/>
      <c r="DG916" s="1114"/>
      <c r="DH916" s="1114"/>
      <c r="DI916" s="1114"/>
      <c r="DJ916" s="1114"/>
      <c r="DK916" s="1114"/>
      <c r="DL916" s="1114"/>
      <c r="DM916" s="1114"/>
      <c r="DN916" s="1114"/>
      <c r="DO916" s="1114"/>
      <c r="DP916" s="1114"/>
      <c r="DQ916" s="1114"/>
      <c r="DR916" s="1114"/>
      <c r="DS916" s="1114"/>
      <c r="DT916" s="1114"/>
      <c r="DU916" s="1114"/>
      <c r="DV916" s="1115"/>
      <c r="DW916" s="1116"/>
      <c r="DX916" s="1116"/>
      <c r="DY916" s="1116"/>
      <c r="DZ916" s="1116"/>
      <c r="EA916" s="1116"/>
      <c r="EB916" s="1116"/>
      <c r="EC916" s="1116"/>
      <c r="ED916" s="1116"/>
      <c r="EE916" s="1116"/>
      <c r="EF916" s="1116"/>
      <c r="EG916" s="1116"/>
      <c r="EH916" s="1116"/>
      <c r="EI916" s="1116"/>
      <c r="EJ916" s="1116"/>
      <c r="EK916" s="1116"/>
      <c r="EL916" s="1116"/>
      <c r="EM916" s="1116"/>
      <c r="EN916" s="1116"/>
      <c r="EO916" s="1116"/>
      <c r="EP916" s="1116"/>
      <c r="EQ916" s="1116"/>
      <c r="ER916" s="1116"/>
      <c r="ES916" s="1116"/>
    </row>
    <row r="917" spans="1:149" ht="15" customHeight="1">
      <c r="A917" s="1185">
        <v>902</v>
      </c>
      <c r="B917" s="1041"/>
      <c r="C917" s="1050"/>
      <c r="D917" s="1050"/>
      <c r="E917" s="1050"/>
      <c r="F917" s="1049"/>
      <c r="G917" s="1457"/>
      <c r="H917" s="1049"/>
      <c r="I917" s="1049"/>
      <c r="J917" s="1050"/>
      <c r="K917" s="1050"/>
      <c r="L917" s="1043"/>
      <c r="M917" s="1051"/>
      <c r="N917" s="1051"/>
      <c r="O917" s="1052"/>
      <c r="P917" s="1051"/>
      <c r="Q917" s="1051"/>
      <c r="R917" s="1052"/>
      <c r="S917" s="1051"/>
      <c r="T917" s="1051"/>
      <c r="U917" s="1052"/>
      <c r="V917" s="1051"/>
      <c r="W917" s="1051"/>
      <c r="X917" s="1052"/>
      <c r="Y917" s="1053"/>
      <c r="Z917" s="1051"/>
      <c r="AA917" s="1051"/>
      <c r="AB917" s="1052"/>
      <c r="AC917" s="1051"/>
      <c r="AD917" s="1051"/>
      <c r="AE917" s="1052"/>
      <c r="AF917" s="1051"/>
      <c r="AG917" s="1051"/>
      <c r="AH917" s="1051"/>
      <c r="AI917" s="1051"/>
      <c r="AJ917" s="1052"/>
      <c r="AK917" s="1051"/>
      <c r="AL917" s="1051"/>
      <c r="AM917" s="1052"/>
      <c r="AN917" s="1051"/>
      <c r="AO917" s="1051"/>
      <c r="AP917" s="1052"/>
      <c r="AQ917" s="1051"/>
      <c r="AR917" s="1051"/>
      <c r="AS917" s="1052"/>
      <c r="AT917" s="1051"/>
      <c r="AU917" s="1051"/>
      <c r="AV917" s="1052"/>
      <c r="AW917" s="1051"/>
      <c r="AX917" s="1051"/>
      <c r="AY917" s="1053"/>
      <c r="AZ917" s="1051"/>
      <c r="BA917" s="1051"/>
      <c r="BB917" s="1053"/>
      <c r="BC917" s="1051"/>
      <c r="BD917" s="1051"/>
      <c r="BE917" s="1053"/>
      <c r="BF917" s="1051"/>
      <c r="BG917" s="1051"/>
      <c r="BH917" s="1053"/>
      <c r="BI917" s="1052"/>
      <c r="BJ917" s="1052"/>
      <c r="BK917" s="1052"/>
      <c r="BL917" s="1052"/>
      <c r="BM917" s="1052"/>
      <c r="BN917" s="1054"/>
      <c r="BO917" s="1076">
        <f t="shared" si="25"/>
        <v>0</v>
      </c>
      <c r="BP917" s="1051"/>
      <c r="BQ917" s="1052"/>
      <c r="BR917" s="1054"/>
      <c r="BS917" s="1053"/>
      <c r="BT917" s="1051"/>
      <c r="BU917" s="1051"/>
      <c r="BV917" s="1051"/>
      <c r="BW917" s="1052"/>
      <c r="BX917" s="1052"/>
      <c r="BY917" s="1052"/>
      <c r="BZ917" s="1052"/>
      <c r="CA917" s="1052"/>
      <c r="CB917" s="1053"/>
      <c r="CC917" s="1053"/>
      <c r="CD917" s="1053"/>
      <c r="CE917" s="1053"/>
      <c r="CF917" s="1053"/>
      <c r="CG917" s="1053"/>
      <c r="CH917" s="1053"/>
      <c r="CI917" s="1123"/>
      <c r="CJ917" s="1123"/>
      <c r="CK917" s="1123"/>
      <c r="CL917" s="1123"/>
      <c r="CM917" s="1123"/>
      <c r="CN917" s="1123"/>
      <c r="CO917" s="1123"/>
      <c r="CP917" s="1123"/>
      <c r="CQ917" s="1123"/>
      <c r="CR917" s="1123"/>
      <c r="CS917" s="1123"/>
      <c r="CT917" s="1123"/>
      <c r="CU917" s="1123"/>
      <c r="CV917" s="1123"/>
      <c r="CW917" s="1123"/>
      <c r="CX917" s="1123"/>
      <c r="CY917" s="1123"/>
      <c r="CZ917" s="1114"/>
      <c r="DA917" s="1114"/>
      <c r="DB917" s="1114"/>
      <c r="DC917" s="1114"/>
      <c r="DD917" s="1114"/>
      <c r="DE917" s="1114"/>
      <c r="DF917" s="1114"/>
      <c r="DG917" s="1114"/>
      <c r="DH917" s="1114"/>
      <c r="DI917" s="1114"/>
      <c r="DJ917" s="1114"/>
      <c r="DK917" s="1114"/>
      <c r="DL917" s="1114"/>
      <c r="DM917" s="1114"/>
      <c r="DN917" s="1114"/>
      <c r="DO917" s="1114"/>
      <c r="DP917" s="1114"/>
      <c r="DQ917" s="1114"/>
      <c r="DR917" s="1114"/>
      <c r="DS917" s="1114"/>
      <c r="DT917" s="1114"/>
      <c r="DU917" s="1114"/>
      <c r="DV917" s="1115"/>
      <c r="DW917" s="1116"/>
      <c r="DX917" s="1116"/>
      <c r="DY917" s="1116"/>
      <c r="DZ917" s="1116"/>
      <c r="EA917" s="1116"/>
      <c r="EB917" s="1116"/>
      <c r="EC917" s="1116"/>
      <c r="ED917" s="1116"/>
      <c r="EE917" s="1116"/>
      <c r="EF917" s="1116"/>
      <c r="EG917" s="1116"/>
      <c r="EH917" s="1116"/>
      <c r="EI917" s="1116"/>
      <c r="EJ917" s="1116"/>
      <c r="EK917" s="1116"/>
      <c r="EL917" s="1116"/>
      <c r="EM917" s="1116"/>
      <c r="EN917" s="1116"/>
      <c r="EO917" s="1116"/>
      <c r="EP917" s="1116"/>
      <c r="EQ917" s="1116"/>
      <c r="ER917" s="1116"/>
      <c r="ES917" s="1116"/>
    </row>
    <row r="918" spans="1:149" ht="15" customHeight="1">
      <c r="A918" s="1185">
        <v>903</v>
      </c>
      <c r="B918" s="1041"/>
      <c r="C918" s="1050"/>
      <c r="D918" s="1050"/>
      <c r="E918" s="1050"/>
      <c r="F918" s="1049"/>
      <c r="G918" s="1457"/>
      <c r="H918" s="1049"/>
      <c r="I918" s="1049"/>
      <c r="J918" s="1050"/>
      <c r="K918" s="1050"/>
      <c r="L918" s="1043"/>
      <c r="M918" s="1051"/>
      <c r="N918" s="1051"/>
      <c r="O918" s="1052"/>
      <c r="P918" s="1051"/>
      <c r="Q918" s="1051"/>
      <c r="R918" s="1052"/>
      <c r="S918" s="1051"/>
      <c r="T918" s="1051"/>
      <c r="U918" s="1052"/>
      <c r="V918" s="1051"/>
      <c r="W918" s="1051"/>
      <c r="X918" s="1052"/>
      <c r="Y918" s="1053"/>
      <c r="Z918" s="1051"/>
      <c r="AA918" s="1051"/>
      <c r="AB918" s="1052"/>
      <c r="AC918" s="1051"/>
      <c r="AD918" s="1051"/>
      <c r="AE918" s="1052"/>
      <c r="AF918" s="1051"/>
      <c r="AG918" s="1051"/>
      <c r="AH918" s="1051"/>
      <c r="AI918" s="1051"/>
      <c r="AJ918" s="1052"/>
      <c r="AK918" s="1051"/>
      <c r="AL918" s="1051"/>
      <c r="AM918" s="1052"/>
      <c r="AN918" s="1051"/>
      <c r="AO918" s="1051"/>
      <c r="AP918" s="1052"/>
      <c r="AQ918" s="1051"/>
      <c r="AR918" s="1051"/>
      <c r="AS918" s="1052"/>
      <c r="AT918" s="1051"/>
      <c r="AU918" s="1051"/>
      <c r="AV918" s="1052"/>
      <c r="AW918" s="1051"/>
      <c r="AX918" s="1051"/>
      <c r="AY918" s="1053"/>
      <c r="AZ918" s="1051"/>
      <c r="BA918" s="1051"/>
      <c r="BB918" s="1053"/>
      <c r="BC918" s="1051"/>
      <c r="BD918" s="1051"/>
      <c r="BE918" s="1053"/>
      <c r="BF918" s="1051"/>
      <c r="BG918" s="1051"/>
      <c r="BH918" s="1053"/>
      <c r="BI918" s="1052"/>
      <c r="BJ918" s="1052"/>
      <c r="BK918" s="1052"/>
      <c r="BL918" s="1052"/>
      <c r="BM918" s="1052"/>
      <c r="BN918" s="1054"/>
      <c r="BO918" s="1076">
        <f t="shared" si="25"/>
        <v>0</v>
      </c>
      <c r="BP918" s="1051"/>
      <c r="BQ918" s="1052"/>
      <c r="BR918" s="1054"/>
      <c r="BS918" s="1053"/>
      <c r="BT918" s="1051"/>
      <c r="BU918" s="1051"/>
      <c r="BV918" s="1051"/>
      <c r="BW918" s="1052"/>
      <c r="BX918" s="1052"/>
      <c r="BY918" s="1052"/>
      <c r="BZ918" s="1052"/>
      <c r="CA918" s="1052"/>
      <c r="CB918" s="1053"/>
      <c r="CC918" s="1053"/>
      <c r="CD918" s="1053"/>
      <c r="CE918" s="1053"/>
      <c r="CF918" s="1053"/>
      <c r="CG918" s="1053"/>
      <c r="CH918" s="1053"/>
      <c r="CI918" s="1123"/>
      <c r="CJ918" s="1123"/>
      <c r="CK918" s="1123"/>
      <c r="CL918" s="1123"/>
      <c r="CM918" s="1123"/>
      <c r="CN918" s="1123"/>
      <c r="CO918" s="1123"/>
      <c r="CP918" s="1123"/>
      <c r="CQ918" s="1123"/>
      <c r="CR918" s="1123"/>
      <c r="CS918" s="1123"/>
      <c r="CT918" s="1123"/>
      <c r="CU918" s="1123"/>
      <c r="CV918" s="1123"/>
      <c r="CW918" s="1123"/>
      <c r="CX918" s="1123"/>
      <c r="CY918" s="1123"/>
      <c r="CZ918" s="1114"/>
      <c r="DA918" s="1114"/>
      <c r="DB918" s="1114"/>
      <c r="DC918" s="1114"/>
      <c r="DD918" s="1114"/>
      <c r="DE918" s="1114"/>
      <c r="DF918" s="1114"/>
      <c r="DG918" s="1114"/>
      <c r="DH918" s="1114"/>
      <c r="DI918" s="1114"/>
      <c r="DJ918" s="1114"/>
      <c r="DK918" s="1114"/>
      <c r="DL918" s="1114"/>
      <c r="DM918" s="1114"/>
      <c r="DN918" s="1114"/>
      <c r="DO918" s="1114"/>
      <c r="DP918" s="1114"/>
      <c r="DQ918" s="1114"/>
      <c r="DR918" s="1114"/>
      <c r="DS918" s="1114"/>
      <c r="DT918" s="1114"/>
      <c r="DU918" s="1114"/>
      <c r="DV918" s="1115"/>
      <c r="DW918" s="1116"/>
      <c r="DX918" s="1116"/>
      <c r="DY918" s="1116"/>
      <c r="DZ918" s="1116"/>
      <c r="EA918" s="1116"/>
      <c r="EB918" s="1116"/>
      <c r="EC918" s="1116"/>
      <c r="ED918" s="1116"/>
      <c r="EE918" s="1116"/>
      <c r="EF918" s="1116"/>
      <c r="EG918" s="1116"/>
      <c r="EH918" s="1116"/>
      <c r="EI918" s="1116"/>
      <c r="EJ918" s="1116"/>
      <c r="EK918" s="1116"/>
      <c r="EL918" s="1116"/>
      <c r="EM918" s="1116"/>
      <c r="EN918" s="1116"/>
      <c r="EO918" s="1116"/>
      <c r="EP918" s="1116"/>
      <c r="EQ918" s="1116"/>
      <c r="ER918" s="1116"/>
      <c r="ES918" s="1116"/>
    </row>
    <row r="919" spans="1:149" ht="15" customHeight="1">
      <c r="A919" s="1185">
        <v>904</v>
      </c>
      <c r="B919" s="1041"/>
      <c r="C919" s="1050"/>
      <c r="D919" s="1050"/>
      <c r="E919" s="1050"/>
      <c r="F919" s="1049"/>
      <c r="G919" s="1457"/>
      <c r="H919" s="1049"/>
      <c r="I919" s="1049"/>
      <c r="J919" s="1050"/>
      <c r="K919" s="1050"/>
      <c r="L919" s="1043"/>
      <c r="M919" s="1051"/>
      <c r="N919" s="1051"/>
      <c r="O919" s="1052"/>
      <c r="P919" s="1051"/>
      <c r="Q919" s="1051"/>
      <c r="R919" s="1052"/>
      <c r="S919" s="1051"/>
      <c r="T919" s="1051"/>
      <c r="U919" s="1052"/>
      <c r="V919" s="1051"/>
      <c r="W919" s="1051"/>
      <c r="X919" s="1052"/>
      <c r="Y919" s="1053"/>
      <c r="Z919" s="1051"/>
      <c r="AA919" s="1051"/>
      <c r="AB919" s="1052"/>
      <c r="AC919" s="1051"/>
      <c r="AD919" s="1051"/>
      <c r="AE919" s="1052"/>
      <c r="AF919" s="1051"/>
      <c r="AG919" s="1051"/>
      <c r="AH919" s="1051"/>
      <c r="AI919" s="1051"/>
      <c r="AJ919" s="1052"/>
      <c r="AK919" s="1051"/>
      <c r="AL919" s="1051"/>
      <c r="AM919" s="1052"/>
      <c r="AN919" s="1051"/>
      <c r="AO919" s="1051"/>
      <c r="AP919" s="1052"/>
      <c r="AQ919" s="1051"/>
      <c r="AR919" s="1051"/>
      <c r="AS919" s="1052"/>
      <c r="AT919" s="1051"/>
      <c r="AU919" s="1051"/>
      <c r="AV919" s="1052"/>
      <c r="AW919" s="1051"/>
      <c r="AX919" s="1051"/>
      <c r="AY919" s="1053"/>
      <c r="AZ919" s="1051"/>
      <c r="BA919" s="1051"/>
      <c r="BB919" s="1053"/>
      <c r="BC919" s="1051"/>
      <c r="BD919" s="1051"/>
      <c r="BE919" s="1053"/>
      <c r="BF919" s="1051"/>
      <c r="BG919" s="1051"/>
      <c r="BH919" s="1053"/>
      <c r="BI919" s="1052"/>
      <c r="BJ919" s="1052"/>
      <c r="BK919" s="1052"/>
      <c r="BL919" s="1052"/>
      <c r="BM919" s="1052"/>
      <c r="BN919" s="1054"/>
      <c r="BO919" s="1076">
        <f t="shared" si="25"/>
        <v>0</v>
      </c>
      <c r="BP919" s="1051"/>
      <c r="BQ919" s="1052"/>
      <c r="BR919" s="1054"/>
      <c r="BS919" s="1053"/>
      <c r="BT919" s="1051"/>
      <c r="BU919" s="1051"/>
      <c r="BV919" s="1051"/>
      <c r="BW919" s="1052"/>
      <c r="BX919" s="1052"/>
      <c r="BY919" s="1052"/>
      <c r="BZ919" s="1052"/>
      <c r="CA919" s="1052"/>
      <c r="CB919" s="1053"/>
      <c r="CC919" s="1053"/>
      <c r="CD919" s="1053"/>
      <c r="CE919" s="1053"/>
      <c r="CF919" s="1053"/>
      <c r="CG919" s="1053"/>
      <c r="CH919" s="1053"/>
      <c r="CI919" s="1123"/>
      <c r="CJ919" s="1123"/>
      <c r="CK919" s="1123"/>
      <c r="CL919" s="1123"/>
      <c r="CM919" s="1123"/>
      <c r="CN919" s="1123"/>
      <c r="CO919" s="1123"/>
      <c r="CP919" s="1123"/>
      <c r="CQ919" s="1123"/>
      <c r="CR919" s="1123"/>
      <c r="CS919" s="1123"/>
      <c r="CT919" s="1123"/>
      <c r="CU919" s="1123"/>
      <c r="CV919" s="1123"/>
      <c r="CW919" s="1123"/>
      <c r="CX919" s="1123"/>
      <c r="CY919" s="1123"/>
      <c r="CZ919" s="1114"/>
      <c r="DA919" s="1114"/>
      <c r="DB919" s="1114"/>
      <c r="DC919" s="1114"/>
      <c r="DD919" s="1114"/>
      <c r="DE919" s="1114"/>
      <c r="DF919" s="1114"/>
      <c r="DG919" s="1114"/>
      <c r="DH919" s="1114"/>
      <c r="DI919" s="1114"/>
      <c r="DJ919" s="1114"/>
      <c r="DK919" s="1114"/>
      <c r="DL919" s="1114"/>
      <c r="DM919" s="1114"/>
      <c r="DN919" s="1114"/>
      <c r="DO919" s="1114"/>
      <c r="DP919" s="1114"/>
      <c r="DQ919" s="1114"/>
      <c r="DR919" s="1114"/>
      <c r="DS919" s="1114"/>
      <c r="DT919" s="1114"/>
      <c r="DU919" s="1114"/>
      <c r="DV919" s="1115"/>
      <c r="DW919" s="1116"/>
      <c r="DX919" s="1116"/>
      <c r="DY919" s="1116"/>
      <c r="DZ919" s="1116"/>
      <c r="EA919" s="1116"/>
      <c r="EB919" s="1116"/>
      <c r="EC919" s="1116"/>
      <c r="ED919" s="1116"/>
      <c r="EE919" s="1116"/>
      <c r="EF919" s="1116"/>
      <c r="EG919" s="1116"/>
      <c r="EH919" s="1116"/>
      <c r="EI919" s="1116"/>
      <c r="EJ919" s="1116"/>
      <c r="EK919" s="1116"/>
      <c r="EL919" s="1116"/>
      <c r="EM919" s="1116"/>
      <c r="EN919" s="1116"/>
      <c r="EO919" s="1116"/>
      <c r="EP919" s="1116"/>
      <c r="EQ919" s="1116"/>
      <c r="ER919" s="1116"/>
      <c r="ES919" s="1116"/>
    </row>
    <row r="920" spans="1:149" ht="15" customHeight="1">
      <c r="A920" s="1185">
        <v>905</v>
      </c>
      <c r="B920" s="1041"/>
      <c r="C920" s="1050"/>
      <c r="D920" s="1050"/>
      <c r="E920" s="1050"/>
      <c r="F920" s="1049"/>
      <c r="G920" s="1457"/>
      <c r="H920" s="1049"/>
      <c r="I920" s="1049"/>
      <c r="J920" s="1050"/>
      <c r="K920" s="1050"/>
      <c r="L920" s="1043"/>
      <c r="M920" s="1051"/>
      <c r="N920" s="1051"/>
      <c r="O920" s="1052"/>
      <c r="P920" s="1051"/>
      <c r="Q920" s="1051"/>
      <c r="R920" s="1052"/>
      <c r="S920" s="1051"/>
      <c r="T920" s="1051"/>
      <c r="U920" s="1052"/>
      <c r="V920" s="1051"/>
      <c r="W920" s="1051"/>
      <c r="X920" s="1052"/>
      <c r="Y920" s="1053"/>
      <c r="Z920" s="1051"/>
      <c r="AA920" s="1051"/>
      <c r="AB920" s="1052"/>
      <c r="AC920" s="1051"/>
      <c r="AD920" s="1051"/>
      <c r="AE920" s="1052"/>
      <c r="AF920" s="1051"/>
      <c r="AG920" s="1051"/>
      <c r="AH920" s="1051"/>
      <c r="AI920" s="1051"/>
      <c r="AJ920" s="1052"/>
      <c r="AK920" s="1051"/>
      <c r="AL920" s="1051"/>
      <c r="AM920" s="1052"/>
      <c r="AN920" s="1051"/>
      <c r="AO920" s="1051"/>
      <c r="AP920" s="1052"/>
      <c r="AQ920" s="1051"/>
      <c r="AR920" s="1051"/>
      <c r="AS920" s="1052"/>
      <c r="AT920" s="1051"/>
      <c r="AU920" s="1051"/>
      <c r="AV920" s="1052"/>
      <c r="AW920" s="1051"/>
      <c r="AX920" s="1051"/>
      <c r="AY920" s="1053"/>
      <c r="AZ920" s="1051"/>
      <c r="BA920" s="1051"/>
      <c r="BB920" s="1053"/>
      <c r="BC920" s="1051"/>
      <c r="BD920" s="1051"/>
      <c r="BE920" s="1053"/>
      <c r="BF920" s="1051"/>
      <c r="BG920" s="1051"/>
      <c r="BH920" s="1053"/>
      <c r="BI920" s="1052"/>
      <c r="BJ920" s="1052"/>
      <c r="BK920" s="1052"/>
      <c r="BL920" s="1052"/>
      <c r="BM920" s="1052"/>
      <c r="BN920" s="1054"/>
      <c r="BO920" s="1076">
        <f t="shared" si="25"/>
        <v>0</v>
      </c>
      <c r="BP920" s="1051"/>
      <c r="BQ920" s="1052"/>
      <c r="BR920" s="1054"/>
      <c r="BS920" s="1053"/>
      <c r="BT920" s="1051"/>
      <c r="BU920" s="1051"/>
      <c r="BV920" s="1051"/>
      <c r="BW920" s="1052"/>
      <c r="BX920" s="1052"/>
      <c r="BY920" s="1052"/>
      <c r="BZ920" s="1052"/>
      <c r="CA920" s="1052"/>
      <c r="CB920" s="1053"/>
      <c r="CC920" s="1053"/>
      <c r="CD920" s="1053"/>
      <c r="CE920" s="1053"/>
      <c r="CF920" s="1053"/>
      <c r="CG920" s="1053"/>
      <c r="CH920" s="1053"/>
      <c r="CI920" s="1123"/>
      <c r="CJ920" s="1123"/>
      <c r="CK920" s="1123"/>
      <c r="CL920" s="1123"/>
      <c r="CM920" s="1123"/>
      <c r="CN920" s="1123"/>
      <c r="CO920" s="1123"/>
      <c r="CP920" s="1123"/>
      <c r="CQ920" s="1123"/>
      <c r="CR920" s="1123"/>
      <c r="CS920" s="1123"/>
      <c r="CT920" s="1123"/>
      <c r="CU920" s="1123"/>
      <c r="CV920" s="1123"/>
      <c r="CW920" s="1123"/>
      <c r="CX920" s="1123"/>
      <c r="CY920" s="1123"/>
      <c r="CZ920" s="1114"/>
      <c r="DA920" s="1114"/>
      <c r="DB920" s="1114"/>
      <c r="DC920" s="1114"/>
      <c r="DD920" s="1114"/>
      <c r="DE920" s="1114"/>
      <c r="DF920" s="1114"/>
      <c r="DG920" s="1114"/>
      <c r="DH920" s="1114"/>
      <c r="DI920" s="1114"/>
      <c r="DJ920" s="1114"/>
      <c r="DK920" s="1114"/>
      <c r="DL920" s="1114"/>
      <c r="DM920" s="1114"/>
      <c r="DN920" s="1114"/>
      <c r="DO920" s="1114"/>
      <c r="DP920" s="1114"/>
      <c r="DQ920" s="1114"/>
      <c r="DR920" s="1114"/>
      <c r="DS920" s="1114"/>
      <c r="DT920" s="1114"/>
      <c r="DU920" s="1114"/>
      <c r="DV920" s="1115"/>
      <c r="DW920" s="1116"/>
      <c r="DX920" s="1116"/>
      <c r="DY920" s="1116"/>
      <c r="DZ920" s="1116"/>
      <c r="EA920" s="1116"/>
      <c r="EB920" s="1116"/>
      <c r="EC920" s="1116"/>
      <c r="ED920" s="1116"/>
      <c r="EE920" s="1116"/>
      <c r="EF920" s="1116"/>
      <c r="EG920" s="1116"/>
      <c r="EH920" s="1116"/>
      <c r="EI920" s="1116"/>
      <c r="EJ920" s="1116"/>
      <c r="EK920" s="1116"/>
      <c r="EL920" s="1116"/>
      <c r="EM920" s="1116"/>
      <c r="EN920" s="1116"/>
      <c r="EO920" s="1116"/>
      <c r="EP920" s="1116"/>
      <c r="EQ920" s="1116"/>
      <c r="ER920" s="1116"/>
      <c r="ES920" s="1116"/>
    </row>
    <row r="921" spans="1:149" ht="15" customHeight="1">
      <c r="A921" s="1185">
        <v>906</v>
      </c>
      <c r="B921" s="1041"/>
      <c r="C921" s="1050"/>
      <c r="D921" s="1050"/>
      <c r="E921" s="1050"/>
      <c r="F921" s="1049"/>
      <c r="G921" s="1457"/>
      <c r="H921" s="1049"/>
      <c r="I921" s="1049"/>
      <c r="J921" s="1050"/>
      <c r="K921" s="1050"/>
      <c r="L921" s="1043"/>
      <c r="M921" s="1051"/>
      <c r="N921" s="1051"/>
      <c r="O921" s="1052"/>
      <c r="P921" s="1051"/>
      <c r="Q921" s="1051"/>
      <c r="R921" s="1052"/>
      <c r="S921" s="1051"/>
      <c r="T921" s="1051"/>
      <c r="U921" s="1052"/>
      <c r="V921" s="1051"/>
      <c r="W921" s="1051"/>
      <c r="X921" s="1052"/>
      <c r="Y921" s="1053"/>
      <c r="Z921" s="1051"/>
      <c r="AA921" s="1051"/>
      <c r="AB921" s="1052"/>
      <c r="AC921" s="1051"/>
      <c r="AD921" s="1051"/>
      <c r="AE921" s="1052"/>
      <c r="AF921" s="1051"/>
      <c r="AG921" s="1051"/>
      <c r="AH921" s="1051"/>
      <c r="AI921" s="1051"/>
      <c r="AJ921" s="1052"/>
      <c r="AK921" s="1051"/>
      <c r="AL921" s="1051"/>
      <c r="AM921" s="1052"/>
      <c r="AN921" s="1051"/>
      <c r="AO921" s="1051"/>
      <c r="AP921" s="1052"/>
      <c r="AQ921" s="1051"/>
      <c r="AR921" s="1051"/>
      <c r="AS921" s="1052"/>
      <c r="AT921" s="1051"/>
      <c r="AU921" s="1051"/>
      <c r="AV921" s="1052"/>
      <c r="AW921" s="1051"/>
      <c r="AX921" s="1051"/>
      <c r="AY921" s="1053"/>
      <c r="AZ921" s="1051"/>
      <c r="BA921" s="1051"/>
      <c r="BB921" s="1053"/>
      <c r="BC921" s="1051"/>
      <c r="BD921" s="1051"/>
      <c r="BE921" s="1053"/>
      <c r="BF921" s="1051"/>
      <c r="BG921" s="1051"/>
      <c r="BH921" s="1053"/>
      <c r="BI921" s="1052"/>
      <c r="BJ921" s="1052"/>
      <c r="BK921" s="1052"/>
      <c r="BL921" s="1052"/>
      <c r="BM921" s="1052"/>
      <c r="BN921" s="1054"/>
      <c r="BO921" s="1076">
        <f t="shared" si="25"/>
        <v>0</v>
      </c>
      <c r="BP921" s="1051"/>
      <c r="BQ921" s="1052"/>
      <c r="BR921" s="1054"/>
      <c r="BS921" s="1053"/>
      <c r="BT921" s="1051"/>
      <c r="BU921" s="1051"/>
      <c r="BV921" s="1051"/>
      <c r="BW921" s="1052"/>
      <c r="BX921" s="1052"/>
      <c r="BY921" s="1052"/>
      <c r="BZ921" s="1052"/>
      <c r="CA921" s="1052"/>
      <c r="CB921" s="1053"/>
      <c r="CC921" s="1053"/>
      <c r="CD921" s="1053"/>
      <c r="CE921" s="1053"/>
      <c r="CF921" s="1053"/>
      <c r="CG921" s="1053"/>
      <c r="CH921" s="1053"/>
      <c r="CI921" s="1123"/>
      <c r="CJ921" s="1123"/>
      <c r="CK921" s="1123"/>
      <c r="CL921" s="1123"/>
      <c r="CM921" s="1123"/>
      <c r="CN921" s="1123"/>
      <c r="CO921" s="1123"/>
      <c r="CP921" s="1123"/>
      <c r="CQ921" s="1123"/>
      <c r="CR921" s="1123"/>
      <c r="CS921" s="1123"/>
      <c r="CT921" s="1123"/>
      <c r="CU921" s="1123"/>
      <c r="CV921" s="1123"/>
      <c r="CW921" s="1123"/>
      <c r="CX921" s="1123"/>
      <c r="CY921" s="1123"/>
      <c r="CZ921" s="1114"/>
      <c r="DA921" s="1114"/>
      <c r="DB921" s="1114"/>
      <c r="DC921" s="1114"/>
      <c r="DD921" s="1114"/>
      <c r="DE921" s="1114"/>
      <c r="DF921" s="1114"/>
      <c r="DG921" s="1114"/>
      <c r="DH921" s="1114"/>
      <c r="DI921" s="1114"/>
      <c r="DJ921" s="1114"/>
      <c r="DK921" s="1114"/>
      <c r="DL921" s="1114"/>
      <c r="DM921" s="1114"/>
      <c r="DN921" s="1114"/>
      <c r="DO921" s="1114"/>
      <c r="DP921" s="1114"/>
      <c r="DQ921" s="1114"/>
      <c r="DR921" s="1114"/>
      <c r="DS921" s="1114"/>
      <c r="DT921" s="1114"/>
      <c r="DU921" s="1114"/>
      <c r="DV921" s="1115"/>
      <c r="DW921" s="1116"/>
      <c r="DX921" s="1116"/>
      <c r="DY921" s="1116"/>
      <c r="DZ921" s="1116"/>
      <c r="EA921" s="1116"/>
      <c r="EB921" s="1116"/>
      <c r="EC921" s="1116"/>
      <c r="ED921" s="1116"/>
      <c r="EE921" s="1116"/>
      <c r="EF921" s="1116"/>
      <c r="EG921" s="1116"/>
      <c r="EH921" s="1116"/>
      <c r="EI921" s="1116"/>
      <c r="EJ921" s="1116"/>
      <c r="EK921" s="1116"/>
      <c r="EL921" s="1116"/>
      <c r="EM921" s="1116"/>
      <c r="EN921" s="1116"/>
      <c r="EO921" s="1116"/>
      <c r="EP921" s="1116"/>
      <c r="EQ921" s="1116"/>
      <c r="ER921" s="1116"/>
      <c r="ES921" s="1116"/>
    </row>
    <row r="922" spans="1:149" ht="15" customHeight="1">
      <c r="A922" s="1185">
        <v>907</v>
      </c>
      <c r="B922" s="1041"/>
      <c r="C922" s="1050"/>
      <c r="D922" s="1050"/>
      <c r="E922" s="1050"/>
      <c r="F922" s="1049"/>
      <c r="G922" s="1457"/>
      <c r="H922" s="1049"/>
      <c r="I922" s="1049"/>
      <c r="J922" s="1050"/>
      <c r="K922" s="1050"/>
      <c r="L922" s="1043"/>
      <c r="M922" s="1051"/>
      <c r="N922" s="1051"/>
      <c r="O922" s="1052"/>
      <c r="P922" s="1051"/>
      <c r="Q922" s="1051"/>
      <c r="R922" s="1052"/>
      <c r="S922" s="1051"/>
      <c r="T922" s="1051"/>
      <c r="U922" s="1052"/>
      <c r="V922" s="1051"/>
      <c r="W922" s="1051"/>
      <c r="X922" s="1052"/>
      <c r="Y922" s="1053"/>
      <c r="Z922" s="1051"/>
      <c r="AA922" s="1051"/>
      <c r="AB922" s="1052"/>
      <c r="AC922" s="1051"/>
      <c r="AD922" s="1051"/>
      <c r="AE922" s="1052"/>
      <c r="AF922" s="1051"/>
      <c r="AG922" s="1051"/>
      <c r="AH922" s="1051"/>
      <c r="AI922" s="1051"/>
      <c r="AJ922" s="1052"/>
      <c r="AK922" s="1051"/>
      <c r="AL922" s="1051"/>
      <c r="AM922" s="1052"/>
      <c r="AN922" s="1051"/>
      <c r="AO922" s="1051"/>
      <c r="AP922" s="1052"/>
      <c r="AQ922" s="1051"/>
      <c r="AR922" s="1051"/>
      <c r="AS922" s="1052"/>
      <c r="AT922" s="1051"/>
      <c r="AU922" s="1051"/>
      <c r="AV922" s="1052"/>
      <c r="AW922" s="1051"/>
      <c r="AX922" s="1051"/>
      <c r="AY922" s="1053"/>
      <c r="AZ922" s="1051"/>
      <c r="BA922" s="1051"/>
      <c r="BB922" s="1053"/>
      <c r="BC922" s="1051"/>
      <c r="BD922" s="1051"/>
      <c r="BE922" s="1053"/>
      <c r="BF922" s="1051"/>
      <c r="BG922" s="1051"/>
      <c r="BH922" s="1053"/>
      <c r="BI922" s="1052"/>
      <c r="BJ922" s="1052"/>
      <c r="BK922" s="1052"/>
      <c r="BL922" s="1052"/>
      <c r="BM922" s="1052"/>
      <c r="BN922" s="1054"/>
      <c r="BO922" s="1076">
        <f t="shared" si="25"/>
        <v>0</v>
      </c>
      <c r="BP922" s="1051"/>
      <c r="BQ922" s="1052"/>
      <c r="BR922" s="1054"/>
      <c r="BS922" s="1053"/>
      <c r="BT922" s="1051"/>
      <c r="BU922" s="1051"/>
      <c r="BV922" s="1051"/>
      <c r="BW922" s="1052"/>
      <c r="BX922" s="1052"/>
      <c r="BY922" s="1052"/>
      <c r="BZ922" s="1052"/>
      <c r="CA922" s="1052"/>
      <c r="CB922" s="1053"/>
      <c r="CC922" s="1053"/>
      <c r="CD922" s="1053"/>
      <c r="CE922" s="1053"/>
      <c r="CF922" s="1053"/>
      <c r="CG922" s="1053"/>
      <c r="CH922" s="1053"/>
      <c r="CI922" s="1123"/>
      <c r="CJ922" s="1123"/>
      <c r="CK922" s="1123"/>
      <c r="CL922" s="1123"/>
      <c r="CM922" s="1123"/>
      <c r="CN922" s="1123"/>
      <c r="CO922" s="1123"/>
      <c r="CP922" s="1123"/>
      <c r="CQ922" s="1123"/>
      <c r="CR922" s="1123"/>
      <c r="CS922" s="1123"/>
      <c r="CT922" s="1123"/>
      <c r="CU922" s="1123"/>
      <c r="CV922" s="1123"/>
      <c r="CW922" s="1123"/>
      <c r="CX922" s="1123"/>
      <c r="CY922" s="1123"/>
      <c r="CZ922" s="1114"/>
      <c r="DA922" s="1114"/>
      <c r="DB922" s="1114"/>
      <c r="DC922" s="1114"/>
      <c r="DD922" s="1114"/>
      <c r="DE922" s="1114"/>
      <c r="DF922" s="1114"/>
      <c r="DG922" s="1114"/>
      <c r="DH922" s="1114"/>
      <c r="DI922" s="1114"/>
      <c r="DJ922" s="1114"/>
      <c r="DK922" s="1114"/>
      <c r="DL922" s="1114"/>
      <c r="DM922" s="1114"/>
      <c r="DN922" s="1114"/>
      <c r="DO922" s="1114"/>
      <c r="DP922" s="1114"/>
      <c r="DQ922" s="1114"/>
      <c r="DR922" s="1114"/>
      <c r="DS922" s="1114"/>
      <c r="DT922" s="1114"/>
      <c r="DU922" s="1114"/>
      <c r="DV922" s="1115"/>
      <c r="DW922" s="1116"/>
      <c r="DX922" s="1116"/>
      <c r="DY922" s="1116"/>
      <c r="DZ922" s="1116"/>
      <c r="EA922" s="1116"/>
      <c r="EB922" s="1116"/>
      <c r="EC922" s="1116"/>
      <c r="ED922" s="1116"/>
      <c r="EE922" s="1116"/>
      <c r="EF922" s="1116"/>
      <c r="EG922" s="1116"/>
      <c r="EH922" s="1116"/>
      <c r="EI922" s="1116"/>
      <c r="EJ922" s="1116"/>
      <c r="EK922" s="1116"/>
      <c r="EL922" s="1116"/>
      <c r="EM922" s="1116"/>
      <c r="EN922" s="1116"/>
      <c r="EO922" s="1116"/>
      <c r="EP922" s="1116"/>
      <c r="EQ922" s="1116"/>
      <c r="ER922" s="1116"/>
      <c r="ES922" s="1116"/>
    </row>
    <row r="923" spans="1:149" ht="15" customHeight="1">
      <c r="A923" s="1185">
        <v>908</v>
      </c>
      <c r="B923" s="1041"/>
      <c r="C923" s="1050"/>
      <c r="D923" s="1050"/>
      <c r="E923" s="1050"/>
      <c r="F923" s="1049"/>
      <c r="G923" s="1457"/>
      <c r="H923" s="1049"/>
      <c r="I923" s="1049"/>
      <c r="J923" s="1050"/>
      <c r="K923" s="1050"/>
      <c r="L923" s="1043"/>
      <c r="M923" s="1051"/>
      <c r="N923" s="1051"/>
      <c r="O923" s="1052"/>
      <c r="P923" s="1051"/>
      <c r="Q923" s="1051"/>
      <c r="R923" s="1052"/>
      <c r="S923" s="1051"/>
      <c r="T923" s="1051"/>
      <c r="U923" s="1052"/>
      <c r="V923" s="1051"/>
      <c r="W923" s="1051"/>
      <c r="X923" s="1052"/>
      <c r="Y923" s="1053"/>
      <c r="Z923" s="1051"/>
      <c r="AA923" s="1051"/>
      <c r="AB923" s="1052"/>
      <c r="AC923" s="1051"/>
      <c r="AD923" s="1051"/>
      <c r="AE923" s="1052"/>
      <c r="AF923" s="1051"/>
      <c r="AG923" s="1051"/>
      <c r="AH923" s="1051"/>
      <c r="AI923" s="1051"/>
      <c r="AJ923" s="1052"/>
      <c r="AK923" s="1051"/>
      <c r="AL923" s="1051"/>
      <c r="AM923" s="1052"/>
      <c r="AN923" s="1051"/>
      <c r="AO923" s="1051"/>
      <c r="AP923" s="1052"/>
      <c r="AQ923" s="1051"/>
      <c r="AR923" s="1051"/>
      <c r="AS923" s="1052"/>
      <c r="AT923" s="1051"/>
      <c r="AU923" s="1051"/>
      <c r="AV923" s="1052"/>
      <c r="AW923" s="1051"/>
      <c r="AX923" s="1051"/>
      <c r="AY923" s="1053"/>
      <c r="AZ923" s="1051"/>
      <c r="BA923" s="1051"/>
      <c r="BB923" s="1053"/>
      <c r="BC923" s="1051"/>
      <c r="BD923" s="1051"/>
      <c r="BE923" s="1053"/>
      <c r="BF923" s="1051"/>
      <c r="BG923" s="1051"/>
      <c r="BH923" s="1053"/>
      <c r="BI923" s="1052"/>
      <c r="BJ923" s="1052"/>
      <c r="BK923" s="1052"/>
      <c r="BL923" s="1052"/>
      <c r="BM923" s="1052"/>
      <c r="BN923" s="1054"/>
      <c r="BO923" s="1076">
        <f t="shared" si="25"/>
        <v>0</v>
      </c>
      <c r="BP923" s="1051"/>
      <c r="BQ923" s="1052"/>
      <c r="BR923" s="1054"/>
      <c r="BS923" s="1053"/>
      <c r="BT923" s="1051"/>
      <c r="BU923" s="1051"/>
      <c r="BV923" s="1051"/>
      <c r="BW923" s="1052"/>
      <c r="BX923" s="1052"/>
      <c r="BY923" s="1052"/>
      <c r="BZ923" s="1052"/>
      <c r="CA923" s="1052"/>
      <c r="CB923" s="1053"/>
      <c r="CC923" s="1053"/>
      <c r="CD923" s="1053"/>
      <c r="CE923" s="1053"/>
      <c r="CF923" s="1053"/>
      <c r="CG923" s="1053"/>
      <c r="CH923" s="1053"/>
      <c r="CI923" s="1123"/>
      <c r="CJ923" s="1123"/>
      <c r="CK923" s="1123"/>
      <c r="CL923" s="1123"/>
      <c r="CM923" s="1123"/>
      <c r="CN923" s="1123"/>
      <c r="CO923" s="1123"/>
      <c r="CP923" s="1123"/>
      <c r="CQ923" s="1123"/>
      <c r="CR923" s="1123"/>
      <c r="CS923" s="1123"/>
      <c r="CT923" s="1123"/>
      <c r="CU923" s="1123"/>
      <c r="CV923" s="1123"/>
      <c r="CW923" s="1123"/>
      <c r="CX923" s="1123"/>
      <c r="CY923" s="1123"/>
      <c r="CZ923" s="1114"/>
      <c r="DA923" s="1114"/>
      <c r="DB923" s="1114"/>
      <c r="DC923" s="1114"/>
      <c r="DD923" s="1114"/>
      <c r="DE923" s="1114"/>
      <c r="DF923" s="1114"/>
      <c r="DG923" s="1114"/>
      <c r="DH923" s="1114"/>
      <c r="DI923" s="1114"/>
      <c r="DJ923" s="1114"/>
      <c r="DK923" s="1114"/>
      <c r="DL923" s="1114"/>
      <c r="DM923" s="1114"/>
      <c r="DN923" s="1114"/>
      <c r="DO923" s="1114"/>
      <c r="DP923" s="1114"/>
      <c r="DQ923" s="1114"/>
      <c r="DR923" s="1114"/>
      <c r="DS923" s="1114"/>
      <c r="DT923" s="1114"/>
      <c r="DU923" s="1114"/>
      <c r="DV923" s="1115"/>
      <c r="DW923" s="1116"/>
      <c r="DX923" s="1116"/>
      <c r="DY923" s="1116"/>
      <c r="DZ923" s="1116"/>
      <c r="EA923" s="1116"/>
      <c r="EB923" s="1116"/>
      <c r="EC923" s="1116"/>
      <c r="ED923" s="1116"/>
      <c r="EE923" s="1116"/>
      <c r="EF923" s="1116"/>
      <c r="EG923" s="1116"/>
      <c r="EH923" s="1116"/>
      <c r="EI923" s="1116"/>
      <c r="EJ923" s="1116"/>
      <c r="EK923" s="1116"/>
      <c r="EL923" s="1116"/>
      <c r="EM923" s="1116"/>
      <c r="EN923" s="1116"/>
      <c r="EO923" s="1116"/>
      <c r="EP923" s="1116"/>
      <c r="EQ923" s="1116"/>
      <c r="ER923" s="1116"/>
      <c r="ES923" s="1116"/>
    </row>
    <row r="924" spans="1:149" ht="15" customHeight="1">
      <c r="A924" s="1185">
        <v>909</v>
      </c>
      <c r="B924" s="1041"/>
      <c r="C924" s="1050"/>
      <c r="D924" s="1050"/>
      <c r="E924" s="1050"/>
      <c r="F924" s="1049"/>
      <c r="G924" s="1457"/>
      <c r="H924" s="1049"/>
      <c r="I924" s="1049"/>
      <c r="J924" s="1050"/>
      <c r="K924" s="1050"/>
      <c r="L924" s="1043"/>
      <c r="M924" s="1051"/>
      <c r="N924" s="1051"/>
      <c r="O924" s="1052"/>
      <c r="P924" s="1051"/>
      <c r="Q924" s="1051"/>
      <c r="R924" s="1052"/>
      <c r="S924" s="1051"/>
      <c r="T924" s="1051"/>
      <c r="U924" s="1052"/>
      <c r="V924" s="1051"/>
      <c r="W924" s="1051"/>
      <c r="X924" s="1052"/>
      <c r="Y924" s="1053"/>
      <c r="Z924" s="1051"/>
      <c r="AA924" s="1051"/>
      <c r="AB924" s="1052"/>
      <c r="AC924" s="1051"/>
      <c r="AD924" s="1051"/>
      <c r="AE924" s="1052"/>
      <c r="AF924" s="1051"/>
      <c r="AG924" s="1051"/>
      <c r="AH924" s="1051"/>
      <c r="AI924" s="1051"/>
      <c r="AJ924" s="1052"/>
      <c r="AK924" s="1051"/>
      <c r="AL924" s="1051"/>
      <c r="AM924" s="1052"/>
      <c r="AN924" s="1051"/>
      <c r="AO924" s="1051"/>
      <c r="AP924" s="1052"/>
      <c r="AQ924" s="1051"/>
      <c r="AR924" s="1051"/>
      <c r="AS924" s="1052"/>
      <c r="AT924" s="1051"/>
      <c r="AU924" s="1051"/>
      <c r="AV924" s="1052"/>
      <c r="AW924" s="1051"/>
      <c r="AX924" s="1051"/>
      <c r="AY924" s="1053"/>
      <c r="AZ924" s="1051"/>
      <c r="BA924" s="1051"/>
      <c r="BB924" s="1053"/>
      <c r="BC924" s="1051"/>
      <c r="BD924" s="1051"/>
      <c r="BE924" s="1053"/>
      <c r="BF924" s="1051"/>
      <c r="BG924" s="1051"/>
      <c r="BH924" s="1053"/>
      <c r="BI924" s="1052"/>
      <c r="BJ924" s="1052"/>
      <c r="BK924" s="1052"/>
      <c r="BL924" s="1052"/>
      <c r="BM924" s="1052"/>
      <c r="BN924" s="1054"/>
      <c r="BO924" s="1076">
        <f t="shared" si="25"/>
        <v>0</v>
      </c>
      <c r="BP924" s="1051"/>
      <c r="BQ924" s="1052"/>
      <c r="BR924" s="1054"/>
      <c r="BS924" s="1053"/>
      <c r="BT924" s="1051"/>
      <c r="BU924" s="1051"/>
      <c r="BV924" s="1051"/>
      <c r="BW924" s="1052"/>
      <c r="BX924" s="1052"/>
      <c r="BY924" s="1052"/>
      <c r="BZ924" s="1052"/>
      <c r="CA924" s="1052"/>
      <c r="CB924" s="1053"/>
      <c r="CC924" s="1053"/>
      <c r="CD924" s="1053"/>
      <c r="CE924" s="1053"/>
      <c r="CF924" s="1053"/>
      <c r="CG924" s="1053"/>
      <c r="CH924" s="1053"/>
      <c r="CI924" s="1123"/>
      <c r="CJ924" s="1123"/>
      <c r="CK924" s="1123"/>
      <c r="CL924" s="1123"/>
      <c r="CM924" s="1123"/>
      <c r="CN924" s="1123"/>
      <c r="CO924" s="1123"/>
      <c r="CP924" s="1123"/>
      <c r="CQ924" s="1123"/>
      <c r="CR924" s="1123"/>
      <c r="CS924" s="1123"/>
      <c r="CT924" s="1123"/>
      <c r="CU924" s="1123"/>
      <c r="CV924" s="1123"/>
      <c r="CW924" s="1123"/>
      <c r="CX924" s="1123"/>
      <c r="CY924" s="1123"/>
      <c r="CZ924" s="1114"/>
      <c r="DA924" s="1114"/>
      <c r="DB924" s="1114"/>
      <c r="DC924" s="1114"/>
      <c r="DD924" s="1114"/>
      <c r="DE924" s="1114"/>
      <c r="DF924" s="1114"/>
      <c r="DG924" s="1114"/>
      <c r="DH924" s="1114"/>
      <c r="DI924" s="1114"/>
      <c r="DJ924" s="1114"/>
      <c r="DK924" s="1114"/>
      <c r="DL924" s="1114"/>
      <c r="DM924" s="1114"/>
      <c r="DN924" s="1114"/>
      <c r="DO924" s="1114"/>
      <c r="DP924" s="1114"/>
      <c r="DQ924" s="1114"/>
      <c r="DR924" s="1114"/>
      <c r="DS924" s="1114"/>
      <c r="DT924" s="1114"/>
      <c r="DU924" s="1114"/>
      <c r="DV924" s="1115"/>
      <c r="DW924" s="1116"/>
      <c r="DX924" s="1116"/>
      <c r="DY924" s="1116"/>
      <c r="DZ924" s="1116"/>
      <c r="EA924" s="1116"/>
      <c r="EB924" s="1116"/>
      <c r="EC924" s="1116"/>
      <c r="ED924" s="1116"/>
      <c r="EE924" s="1116"/>
      <c r="EF924" s="1116"/>
      <c r="EG924" s="1116"/>
      <c r="EH924" s="1116"/>
      <c r="EI924" s="1116"/>
      <c r="EJ924" s="1116"/>
      <c r="EK924" s="1116"/>
      <c r="EL924" s="1116"/>
      <c r="EM924" s="1116"/>
      <c r="EN924" s="1116"/>
      <c r="EO924" s="1116"/>
      <c r="EP924" s="1116"/>
      <c r="EQ924" s="1116"/>
      <c r="ER924" s="1116"/>
      <c r="ES924" s="1116"/>
    </row>
    <row r="925" spans="1:149" ht="15" customHeight="1">
      <c r="A925" s="1185">
        <v>910</v>
      </c>
      <c r="B925" s="1041"/>
      <c r="C925" s="1050"/>
      <c r="D925" s="1050"/>
      <c r="E925" s="1050"/>
      <c r="F925" s="1049"/>
      <c r="G925" s="1457"/>
      <c r="H925" s="1049"/>
      <c r="I925" s="1049"/>
      <c r="J925" s="1050"/>
      <c r="K925" s="1050"/>
      <c r="L925" s="1043"/>
      <c r="M925" s="1051"/>
      <c r="N925" s="1051"/>
      <c r="O925" s="1052"/>
      <c r="P925" s="1051"/>
      <c r="Q925" s="1051"/>
      <c r="R925" s="1052"/>
      <c r="S925" s="1051"/>
      <c r="T925" s="1051"/>
      <c r="U925" s="1052"/>
      <c r="V925" s="1051"/>
      <c r="W925" s="1051"/>
      <c r="X925" s="1052"/>
      <c r="Y925" s="1053"/>
      <c r="Z925" s="1051"/>
      <c r="AA925" s="1051"/>
      <c r="AB925" s="1052"/>
      <c r="AC925" s="1051"/>
      <c r="AD925" s="1051"/>
      <c r="AE925" s="1052"/>
      <c r="AF925" s="1051"/>
      <c r="AG925" s="1051"/>
      <c r="AH925" s="1051"/>
      <c r="AI925" s="1051"/>
      <c r="AJ925" s="1052"/>
      <c r="AK925" s="1051"/>
      <c r="AL925" s="1051"/>
      <c r="AM925" s="1052"/>
      <c r="AN925" s="1051"/>
      <c r="AO925" s="1051"/>
      <c r="AP925" s="1052"/>
      <c r="AQ925" s="1051"/>
      <c r="AR925" s="1051"/>
      <c r="AS925" s="1052"/>
      <c r="AT925" s="1051"/>
      <c r="AU925" s="1051"/>
      <c r="AV925" s="1052"/>
      <c r="AW925" s="1051"/>
      <c r="AX925" s="1051"/>
      <c r="AY925" s="1053"/>
      <c r="AZ925" s="1051"/>
      <c r="BA925" s="1051"/>
      <c r="BB925" s="1053"/>
      <c r="BC925" s="1051"/>
      <c r="BD925" s="1051"/>
      <c r="BE925" s="1053"/>
      <c r="BF925" s="1051"/>
      <c r="BG925" s="1051"/>
      <c r="BH925" s="1053"/>
      <c r="BI925" s="1052"/>
      <c r="BJ925" s="1052"/>
      <c r="BK925" s="1052"/>
      <c r="BL925" s="1052"/>
      <c r="BM925" s="1052"/>
      <c r="BN925" s="1054"/>
      <c r="BO925" s="1076">
        <f t="shared" si="25"/>
        <v>0</v>
      </c>
      <c r="BP925" s="1051"/>
      <c r="BQ925" s="1052"/>
      <c r="BR925" s="1054"/>
      <c r="BS925" s="1053"/>
      <c r="BT925" s="1051"/>
      <c r="BU925" s="1051"/>
      <c r="BV925" s="1051"/>
      <c r="BW925" s="1052"/>
      <c r="BX925" s="1052"/>
      <c r="BY925" s="1052"/>
      <c r="BZ925" s="1052"/>
      <c r="CA925" s="1052"/>
      <c r="CB925" s="1053"/>
      <c r="CC925" s="1053"/>
      <c r="CD925" s="1053"/>
      <c r="CE925" s="1053"/>
      <c r="CF925" s="1053"/>
      <c r="CG925" s="1053"/>
      <c r="CH925" s="1053"/>
      <c r="CI925" s="1123"/>
      <c r="CJ925" s="1123"/>
      <c r="CK925" s="1123"/>
      <c r="CL925" s="1123"/>
      <c r="CM925" s="1123"/>
      <c r="CN925" s="1123"/>
      <c r="CO925" s="1123"/>
      <c r="CP925" s="1123"/>
      <c r="CQ925" s="1123"/>
      <c r="CR925" s="1123"/>
      <c r="CS925" s="1123"/>
      <c r="CT925" s="1123"/>
      <c r="CU925" s="1123"/>
      <c r="CV925" s="1123"/>
      <c r="CW925" s="1123"/>
      <c r="CX925" s="1123"/>
      <c r="CY925" s="1123"/>
      <c r="CZ925" s="1114"/>
      <c r="DA925" s="1114"/>
      <c r="DB925" s="1114"/>
      <c r="DC925" s="1114"/>
      <c r="DD925" s="1114"/>
      <c r="DE925" s="1114"/>
      <c r="DF925" s="1114"/>
      <c r="DG925" s="1114"/>
      <c r="DH925" s="1114"/>
      <c r="DI925" s="1114"/>
      <c r="DJ925" s="1114"/>
      <c r="DK925" s="1114"/>
      <c r="DL925" s="1114"/>
      <c r="DM925" s="1114"/>
      <c r="DN925" s="1114"/>
      <c r="DO925" s="1114"/>
      <c r="DP925" s="1114"/>
      <c r="DQ925" s="1114"/>
      <c r="DR925" s="1114"/>
      <c r="DS925" s="1114"/>
      <c r="DT925" s="1114"/>
      <c r="DU925" s="1114"/>
      <c r="DV925" s="1115"/>
      <c r="DW925" s="1116"/>
      <c r="DX925" s="1116"/>
      <c r="DY925" s="1116"/>
      <c r="DZ925" s="1116"/>
      <c r="EA925" s="1116"/>
      <c r="EB925" s="1116"/>
      <c r="EC925" s="1116"/>
      <c r="ED925" s="1116"/>
      <c r="EE925" s="1116"/>
      <c r="EF925" s="1116"/>
      <c r="EG925" s="1116"/>
      <c r="EH925" s="1116"/>
      <c r="EI925" s="1116"/>
      <c r="EJ925" s="1116"/>
      <c r="EK925" s="1116"/>
      <c r="EL925" s="1116"/>
      <c r="EM925" s="1116"/>
      <c r="EN925" s="1116"/>
      <c r="EO925" s="1116"/>
      <c r="EP925" s="1116"/>
      <c r="EQ925" s="1116"/>
      <c r="ER925" s="1116"/>
      <c r="ES925" s="1116"/>
    </row>
    <row r="926" spans="1:149" ht="15" customHeight="1">
      <c r="A926" s="1185">
        <v>911</v>
      </c>
      <c r="B926" s="1041"/>
      <c r="C926" s="1050"/>
      <c r="D926" s="1050"/>
      <c r="E926" s="1050"/>
      <c r="F926" s="1049"/>
      <c r="G926" s="1457"/>
      <c r="H926" s="1049"/>
      <c r="I926" s="1049"/>
      <c r="J926" s="1050"/>
      <c r="K926" s="1050"/>
      <c r="L926" s="1043"/>
      <c r="M926" s="1051"/>
      <c r="N926" s="1051"/>
      <c r="O926" s="1052"/>
      <c r="P926" s="1051"/>
      <c r="Q926" s="1051"/>
      <c r="R926" s="1052"/>
      <c r="S926" s="1051"/>
      <c r="T926" s="1051"/>
      <c r="U926" s="1052"/>
      <c r="V926" s="1051"/>
      <c r="W926" s="1051"/>
      <c r="X926" s="1052"/>
      <c r="Y926" s="1053"/>
      <c r="Z926" s="1051"/>
      <c r="AA926" s="1051"/>
      <c r="AB926" s="1052"/>
      <c r="AC926" s="1051"/>
      <c r="AD926" s="1051"/>
      <c r="AE926" s="1052"/>
      <c r="AF926" s="1051"/>
      <c r="AG926" s="1051"/>
      <c r="AH926" s="1051"/>
      <c r="AI926" s="1051"/>
      <c r="AJ926" s="1052"/>
      <c r="AK926" s="1051"/>
      <c r="AL926" s="1051"/>
      <c r="AM926" s="1052"/>
      <c r="AN926" s="1051"/>
      <c r="AO926" s="1051"/>
      <c r="AP926" s="1052"/>
      <c r="AQ926" s="1051"/>
      <c r="AR926" s="1051"/>
      <c r="AS926" s="1052"/>
      <c r="AT926" s="1051"/>
      <c r="AU926" s="1051"/>
      <c r="AV926" s="1052"/>
      <c r="AW926" s="1051"/>
      <c r="AX926" s="1051"/>
      <c r="AY926" s="1053"/>
      <c r="AZ926" s="1051"/>
      <c r="BA926" s="1051"/>
      <c r="BB926" s="1053"/>
      <c r="BC926" s="1051"/>
      <c r="BD926" s="1051"/>
      <c r="BE926" s="1053"/>
      <c r="BF926" s="1051"/>
      <c r="BG926" s="1051"/>
      <c r="BH926" s="1053"/>
      <c r="BI926" s="1052"/>
      <c r="BJ926" s="1052"/>
      <c r="BK926" s="1052"/>
      <c r="BL926" s="1052"/>
      <c r="BM926" s="1052"/>
      <c r="BN926" s="1054"/>
      <c r="BO926" s="1076">
        <f t="shared" si="25"/>
        <v>0</v>
      </c>
      <c r="BP926" s="1051"/>
      <c r="BQ926" s="1052"/>
      <c r="BR926" s="1054"/>
      <c r="BS926" s="1053"/>
      <c r="BT926" s="1051"/>
      <c r="BU926" s="1051"/>
      <c r="BV926" s="1051"/>
      <c r="BW926" s="1052"/>
      <c r="BX926" s="1052"/>
      <c r="BY926" s="1052"/>
      <c r="BZ926" s="1052"/>
      <c r="CA926" s="1052"/>
      <c r="CB926" s="1053"/>
      <c r="CC926" s="1053"/>
      <c r="CD926" s="1053"/>
      <c r="CE926" s="1053"/>
      <c r="CF926" s="1053"/>
      <c r="CG926" s="1053"/>
      <c r="CH926" s="1053"/>
      <c r="CI926" s="1123"/>
      <c r="CJ926" s="1123"/>
      <c r="CK926" s="1123"/>
      <c r="CL926" s="1123"/>
      <c r="CM926" s="1123"/>
      <c r="CN926" s="1123"/>
      <c r="CO926" s="1123"/>
      <c r="CP926" s="1123"/>
      <c r="CQ926" s="1123"/>
      <c r="CR926" s="1123"/>
      <c r="CS926" s="1123"/>
      <c r="CT926" s="1123"/>
      <c r="CU926" s="1123"/>
      <c r="CV926" s="1123"/>
      <c r="CW926" s="1123"/>
      <c r="CX926" s="1123"/>
      <c r="CY926" s="1123"/>
      <c r="CZ926" s="1114"/>
      <c r="DA926" s="1114"/>
      <c r="DB926" s="1114"/>
      <c r="DC926" s="1114"/>
      <c r="DD926" s="1114"/>
      <c r="DE926" s="1114"/>
      <c r="DF926" s="1114"/>
      <c r="DG926" s="1114"/>
      <c r="DH926" s="1114"/>
      <c r="DI926" s="1114"/>
      <c r="DJ926" s="1114"/>
      <c r="DK926" s="1114"/>
      <c r="DL926" s="1114"/>
      <c r="DM926" s="1114"/>
      <c r="DN926" s="1114"/>
      <c r="DO926" s="1114"/>
      <c r="DP926" s="1114"/>
      <c r="DQ926" s="1114"/>
      <c r="DR926" s="1114"/>
      <c r="DS926" s="1114"/>
      <c r="DT926" s="1114"/>
      <c r="DU926" s="1114"/>
      <c r="DV926" s="1115"/>
      <c r="DW926" s="1116"/>
      <c r="DX926" s="1116"/>
      <c r="DY926" s="1116"/>
      <c r="DZ926" s="1116"/>
      <c r="EA926" s="1116"/>
      <c r="EB926" s="1116"/>
      <c r="EC926" s="1116"/>
      <c r="ED926" s="1116"/>
      <c r="EE926" s="1116"/>
      <c r="EF926" s="1116"/>
      <c r="EG926" s="1116"/>
      <c r="EH926" s="1116"/>
      <c r="EI926" s="1116"/>
      <c r="EJ926" s="1116"/>
      <c r="EK926" s="1116"/>
      <c r="EL926" s="1116"/>
      <c r="EM926" s="1116"/>
      <c r="EN926" s="1116"/>
      <c r="EO926" s="1116"/>
      <c r="EP926" s="1116"/>
      <c r="EQ926" s="1116"/>
      <c r="ER926" s="1116"/>
      <c r="ES926" s="1116"/>
    </row>
    <row r="927" spans="1:149" ht="15" customHeight="1">
      <c r="A927" s="1185">
        <v>912</v>
      </c>
      <c r="B927" s="1041"/>
      <c r="C927" s="1050"/>
      <c r="D927" s="1050"/>
      <c r="E927" s="1050"/>
      <c r="F927" s="1049"/>
      <c r="G927" s="1457"/>
      <c r="H927" s="1049"/>
      <c r="I927" s="1049"/>
      <c r="J927" s="1050"/>
      <c r="K927" s="1050"/>
      <c r="L927" s="1043"/>
      <c r="M927" s="1051"/>
      <c r="N927" s="1051"/>
      <c r="O927" s="1052"/>
      <c r="P927" s="1051"/>
      <c r="Q927" s="1051"/>
      <c r="R927" s="1052"/>
      <c r="S927" s="1051"/>
      <c r="T927" s="1051"/>
      <c r="U927" s="1052"/>
      <c r="V927" s="1051"/>
      <c r="W927" s="1051"/>
      <c r="X927" s="1052"/>
      <c r="Y927" s="1053"/>
      <c r="Z927" s="1051"/>
      <c r="AA927" s="1051"/>
      <c r="AB927" s="1052"/>
      <c r="AC927" s="1051"/>
      <c r="AD927" s="1051"/>
      <c r="AE927" s="1052"/>
      <c r="AF927" s="1051"/>
      <c r="AG927" s="1051"/>
      <c r="AH927" s="1051"/>
      <c r="AI927" s="1051"/>
      <c r="AJ927" s="1052"/>
      <c r="AK927" s="1051"/>
      <c r="AL927" s="1051"/>
      <c r="AM927" s="1052"/>
      <c r="AN927" s="1051"/>
      <c r="AO927" s="1051"/>
      <c r="AP927" s="1052"/>
      <c r="AQ927" s="1051"/>
      <c r="AR927" s="1051"/>
      <c r="AS927" s="1052"/>
      <c r="AT927" s="1051"/>
      <c r="AU927" s="1051"/>
      <c r="AV927" s="1052"/>
      <c r="AW927" s="1051"/>
      <c r="AX927" s="1051"/>
      <c r="AY927" s="1053"/>
      <c r="AZ927" s="1051"/>
      <c r="BA927" s="1051"/>
      <c r="BB927" s="1053"/>
      <c r="BC927" s="1051"/>
      <c r="BD927" s="1051"/>
      <c r="BE927" s="1053"/>
      <c r="BF927" s="1051"/>
      <c r="BG927" s="1051"/>
      <c r="BH927" s="1053"/>
      <c r="BI927" s="1052"/>
      <c r="BJ927" s="1052"/>
      <c r="BK927" s="1052"/>
      <c r="BL927" s="1052"/>
      <c r="BM927" s="1052"/>
      <c r="BN927" s="1054"/>
      <c r="BO927" s="1076">
        <f t="shared" si="25"/>
        <v>0</v>
      </c>
      <c r="BP927" s="1051"/>
      <c r="BQ927" s="1052"/>
      <c r="BR927" s="1054"/>
      <c r="BS927" s="1053"/>
      <c r="BT927" s="1051"/>
      <c r="BU927" s="1051"/>
      <c r="BV927" s="1051"/>
      <c r="BW927" s="1052"/>
      <c r="BX927" s="1052"/>
      <c r="BY927" s="1052"/>
      <c r="BZ927" s="1052"/>
      <c r="CA927" s="1052"/>
      <c r="CB927" s="1053"/>
      <c r="CC927" s="1053"/>
      <c r="CD927" s="1053"/>
      <c r="CE927" s="1053"/>
      <c r="CF927" s="1053"/>
      <c r="CG927" s="1053"/>
      <c r="CH927" s="1053"/>
      <c r="CI927" s="1123"/>
      <c r="CJ927" s="1123"/>
      <c r="CK927" s="1123"/>
      <c r="CL927" s="1123"/>
      <c r="CM927" s="1123"/>
      <c r="CN927" s="1123"/>
      <c r="CO927" s="1123"/>
      <c r="CP927" s="1123"/>
      <c r="CQ927" s="1123"/>
      <c r="CR927" s="1123"/>
      <c r="CS927" s="1123"/>
      <c r="CT927" s="1123"/>
      <c r="CU927" s="1123"/>
      <c r="CV927" s="1123"/>
      <c r="CW927" s="1123"/>
      <c r="CX927" s="1123"/>
      <c r="CY927" s="1123"/>
      <c r="CZ927" s="1114"/>
      <c r="DA927" s="1114"/>
      <c r="DB927" s="1114"/>
      <c r="DC927" s="1114"/>
      <c r="DD927" s="1114"/>
      <c r="DE927" s="1114"/>
      <c r="DF927" s="1114"/>
      <c r="DG927" s="1114"/>
      <c r="DH927" s="1114"/>
      <c r="DI927" s="1114"/>
      <c r="DJ927" s="1114"/>
      <c r="DK927" s="1114"/>
      <c r="DL927" s="1114"/>
      <c r="DM927" s="1114"/>
      <c r="DN927" s="1114"/>
      <c r="DO927" s="1114"/>
      <c r="DP927" s="1114"/>
      <c r="DQ927" s="1114"/>
      <c r="DR927" s="1114"/>
      <c r="DS927" s="1114"/>
      <c r="DT927" s="1114"/>
      <c r="DU927" s="1114"/>
      <c r="DV927" s="1115"/>
      <c r="DW927" s="1116"/>
      <c r="DX927" s="1116"/>
      <c r="DY927" s="1116"/>
      <c r="DZ927" s="1116"/>
      <c r="EA927" s="1116"/>
      <c r="EB927" s="1116"/>
      <c r="EC927" s="1116"/>
      <c r="ED927" s="1116"/>
      <c r="EE927" s="1116"/>
      <c r="EF927" s="1116"/>
      <c r="EG927" s="1116"/>
      <c r="EH927" s="1116"/>
      <c r="EI927" s="1116"/>
      <c r="EJ927" s="1116"/>
      <c r="EK927" s="1116"/>
      <c r="EL927" s="1116"/>
      <c r="EM927" s="1116"/>
      <c r="EN927" s="1116"/>
      <c r="EO927" s="1116"/>
      <c r="EP927" s="1116"/>
      <c r="EQ927" s="1116"/>
      <c r="ER927" s="1116"/>
      <c r="ES927" s="1116"/>
    </row>
    <row r="928" spans="1:149" ht="15" customHeight="1">
      <c r="A928" s="1185">
        <v>913</v>
      </c>
      <c r="B928" s="1041"/>
      <c r="C928" s="1050"/>
      <c r="D928" s="1050"/>
      <c r="E928" s="1050"/>
      <c r="F928" s="1049"/>
      <c r="G928" s="1457"/>
      <c r="H928" s="1049"/>
      <c r="I928" s="1049"/>
      <c r="J928" s="1050"/>
      <c r="K928" s="1050"/>
      <c r="L928" s="1043"/>
      <c r="M928" s="1051"/>
      <c r="N928" s="1051"/>
      <c r="O928" s="1052"/>
      <c r="P928" s="1051"/>
      <c r="Q928" s="1051"/>
      <c r="R928" s="1052"/>
      <c r="S928" s="1051"/>
      <c r="T928" s="1051"/>
      <c r="U928" s="1052"/>
      <c r="V928" s="1051"/>
      <c r="W928" s="1051"/>
      <c r="X928" s="1052"/>
      <c r="Y928" s="1053"/>
      <c r="Z928" s="1051"/>
      <c r="AA928" s="1051"/>
      <c r="AB928" s="1052"/>
      <c r="AC928" s="1051"/>
      <c r="AD928" s="1051"/>
      <c r="AE928" s="1052"/>
      <c r="AF928" s="1051"/>
      <c r="AG928" s="1051"/>
      <c r="AH928" s="1051"/>
      <c r="AI928" s="1051"/>
      <c r="AJ928" s="1052"/>
      <c r="AK928" s="1051"/>
      <c r="AL928" s="1051"/>
      <c r="AM928" s="1052"/>
      <c r="AN928" s="1051"/>
      <c r="AO928" s="1051"/>
      <c r="AP928" s="1052"/>
      <c r="AQ928" s="1051"/>
      <c r="AR928" s="1051"/>
      <c r="AS928" s="1052"/>
      <c r="AT928" s="1051"/>
      <c r="AU928" s="1051"/>
      <c r="AV928" s="1052"/>
      <c r="AW928" s="1051"/>
      <c r="AX928" s="1051"/>
      <c r="AY928" s="1053"/>
      <c r="AZ928" s="1051"/>
      <c r="BA928" s="1051"/>
      <c r="BB928" s="1053"/>
      <c r="BC928" s="1051"/>
      <c r="BD928" s="1051"/>
      <c r="BE928" s="1053"/>
      <c r="BF928" s="1051"/>
      <c r="BG928" s="1051"/>
      <c r="BH928" s="1053"/>
      <c r="BI928" s="1052"/>
      <c r="BJ928" s="1052"/>
      <c r="BK928" s="1052"/>
      <c r="BL928" s="1052"/>
      <c r="BM928" s="1052"/>
      <c r="BN928" s="1054"/>
      <c r="BO928" s="1076">
        <f t="shared" si="25"/>
        <v>0</v>
      </c>
      <c r="BP928" s="1051"/>
      <c r="BQ928" s="1052"/>
      <c r="BR928" s="1054"/>
      <c r="BS928" s="1053"/>
      <c r="BT928" s="1051"/>
      <c r="BU928" s="1051"/>
      <c r="BV928" s="1051"/>
      <c r="BW928" s="1052"/>
      <c r="BX928" s="1052"/>
      <c r="BY928" s="1052"/>
      <c r="BZ928" s="1052"/>
      <c r="CA928" s="1052"/>
      <c r="CB928" s="1053"/>
      <c r="CC928" s="1053"/>
      <c r="CD928" s="1053"/>
      <c r="CE928" s="1053"/>
      <c r="CF928" s="1053"/>
      <c r="CG928" s="1053"/>
      <c r="CH928" s="1053"/>
      <c r="CI928" s="1123"/>
      <c r="CJ928" s="1123"/>
      <c r="CK928" s="1123"/>
      <c r="CL928" s="1123"/>
      <c r="CM928" s="1123"/>
      <c r="CN928" s="1123"/>
      <c r="CO928" s="1123"/>
      <c r="CP928" s="1123"/>
      <c r="CQ928" s="1123"/>
      <c r="CR928" s="1123"/>
      <c r="CS928" s="1123"/>
      <c r="CT928" s="1123"/>
      <c r="CU928" s="1123"/>
      <c r="CV928" s="1123"/>
      <c r="CW928" s="1123"/>
      <c r="CX928" s="1123"/>
      <c r="CY928" s="1123"/>
      <c r="CZ928" s="1114"/>
      <c r="DA928" s="1114"/>
      <c r="DB928" s="1114"/>
      <c r="DC928" s="1114"/>
      <c r="DD928" s="1114"/>
      <c r="DE928" s="1114"/>
      <c r="DF928" s="1114"/>
      <c r="DG928" s="1114"/>
      <c r="DH928" s="1114"/>
      <c r="DI928" s="1114"/>
      <c r="DJ928" s="1114"/>
      <c r="DK928" s="1114"/>
      <c r="DL928" s="1114"/>
      <c r="DM928" s="1114"/>
      <c r="DN928" s="1114"/>
      <c r="DO928" s="1114"/>
      <c r="DP928" s="1114"/>
      <c r="DQ928" s="1114"/>
      <c r="DR928" s="1114"/>
      <c r="DS928" s="1114"/>
      <c r="DT928" s="1114"/>
      <c r="DU928" s="1114"/>
      <c r="DV928" s="1115"/>
      <c r="DW928" s="1116"/>
      <c r="DX928" s="1116"/>
      <c r="DY928" s="1116"/>
      <c r="DZ928" s="1116"/>
      <c r="EA928" s="1116"/>
      <c r="EB928" s="1116"/>
      <c r="EC928" s="1116"/>
      <c r="ED928" s="1116"/>
      <c r="EE928" s="1116"/>
      <c r="EF928" s="1116"/>
      <c r="EG928" s="1116"/>
      <c r="EH928" s="1116"/>
      <c r="EI928" s="1116"/>
      <c r="EJ928" s="1116"/>
      <c r="EK928" s="1116"/>
      <c r="EL928" s="1116"/>
      <c r="EM928" s="1116"/>
      <c r="EN928" s="1116"/>
      <c r="EO928" s="1116"/>
      <c r="EP928" s="1116"/>
      <c r="EQ928" s="1116"/>
      <c r="ER928" s="1116"/>
      <c r="ES928" s="1116"/>
    </row>
    <row r="929" spans="1:149" ht="15" customHeight="1">
      <c r="A929" s="1185">
        <v>914</v>
      </c>
      <c r="B929" s="1041"/>
      <c r="C929" s="1050"/>
      <c r="D929" s="1050"/>
      <c r="E929" s="1050"/>
      <c r="F929" s="1049"/>
      <c r="G929" s="1457"/>
      <c r="H929" s="1049"/>
      <c r="I929" s="1049"/>
      <c r="J929" s="1050"/>
      <c r="K929" s="1050"/>
      <c r="L929" s="1043"/>
      <c r="M929" s="1051"/>
      <c r="N929" s="1051"/>
      <c r="O929" s="1052"/>
      <c r="P929" s="1051"/>
      <c r="Q929" s="1051"/>
      <c r="R929" s="1052"/>
      <c r="S929" s="1051"/>
      <c r="T929" s="1051"/>
      <c r="U929" s="1052"/>
      <c r="V929" s="1051"/>
      <c r="W929" s="1051"/>
      <c r="X929" s="1052"/>
      <c r="Y929" s="1053"/>
      <c r="Z929" s="1051"/>
      <c r="AA929" s="1051"/>
      <c r="AB929" s="1052"/>
      <c r="AC929" s="1051"/>
      <c r="AD929" s="1051"/>
      <c r="AE929" s="1052"/>
      <c r="AF929" s="1051"/>
      <c r="AG929" s="1051"/>
      <c r="AH929" s="1051"/>
      <c r="AI929" s="1051"/>
      <c r="AJ929" s="1052"/>
      <c r="AK929" s="1051"/>
      <c r="AL929" s="1051"/>
      <c r="AM929" s="1052"/>
      <c r="AN929" s="1051"/>
      <c r="AO929" s="1051"/>
      <c r="AP929" s="1052"/>
      <c r="AQ929" s="1051"/>
      <c r="AR929" s="1051"/>
      <c r="AS929" s="1052"/>
      <c r="AT929" s="1051"/>
      <c r="AU929" s="1051"/>
      <c r="AV929" s="1052"/>
      <c r="AW929" s="1051"/>
      <c r="AX929" s="1051"/>
      <c r="AY929" s="1053"/>
      <c r="AZ929" s="1051"/>
      <c r="BA929" s="1051"/>
      <c r="BB929" s="1053"/>
      <c r="BC929" s="1051"/>
      <c r="BD929" s="1051"/>
      <c r="BE929" s="1053"/>
      <c r="BF929" s="1051"/>
      <c r="BG929" s="1051"/>
      <c r="BH929" s="1053"/>
      <c r="BI929" s="1052"/>
      <c r="BJ929" s="1052"/>
      <c r="BK929" s="1052"/>
      <c r="BL929" s="1052"/>
      <c r="BM929" s="1052"/>
      <c r="BN929" s="1054"/>
      <c r="BO929" s="1076">
        <f t="shared" si="25"/>
        <v>0</v>
      </c>
      <c r="BP929" s="1051"/>
      <c r="BQ929" s="1052"/>
      <c r="BR929" s="1054"/>
      <c r="BS929" s="1053"/>
      <c r="BT929" s="1051"/>
      <c r="BU929" s="1051"/>
      <c r="BV929" s="1051"/>
      <c r="BW929" s="1052"/>
      <c r="BX929" s="1052"/>
      <c r="BY929" s="1052"/>
      <c r="BZ929" s="1052"/>
      <c r="CA929" s="1052"/>
      <c r="CB929" s="1053"/>
      <c r="CC929" s="1053"/>
      <c r="CD929" s="1053"/>
      <c r="CE929" s="1053"/>
      <c r="CF929" s="1053"/>
      <c r="CG929" s="1053"/>
      <c r="CH929" s="1053"/>
      <c r="CI929" s="1123"/>
      <c r="CJ929" s="1123"/>
      <c r="CK929" s="1123"/>
      <c r="CL929" s="1123"/>
      <c r="CM929" s="1123"/>
      <c r="CN929" s="1123"/>
      <c r="CO929" s="1123"/>
      <c r="CP929" s="1123"/>
      <c r="CQ929" s="1123"/>
      <c r="CR929" s="1123"/>
      <c r="CS929" s="1123"/>
      <c r="CT929" s="1123"/>
      <c r="CU929" s="1123"/>
      <c r="CV929" s="1123"/>
      <c r="CW929" s="1123"/>
      <c r="CX929" s="1123"/>
      <c r="CY929" s="1123"/>
      <c r="CZ929" s="1114"/>
      <c r="DA929" s="1114"/>
      <c r="DB929" s="1114"/>
      <c r="DC929" s="1114"/>
      <c r="DD929" s="1114"/>
      <c r="DE929" s="1114"/>
      <c r="DF929" s="1114"/>
      <c r="DG929" s="1114"/>
      <c r="DH929" s="1114"/>
      <c r="DI929" s="1114"/>
      <c r="DJ929" s="1114"/>
      <c r="DK929" s="1114"/>
      <c r="DL929" s="1114"/>
      <c r="DM929" s="1114"/>
      <c r="DN929" s="1114"/>
      <c r="DO929" s="1114"/>
      <c r="DP929" s="1114"/>
      <c r="DQ929" s="1114"/>
      <c r="DR929" s="1114"/>
      <c r="DS929" s="1114"/>
      <c r="DT929" s="1114"/>
      <c r="DU929" s="1114"/>
      <c r="DV929" s="1115"/>
      <c r="DW929" s="1116"/>
      <c r="DX929" s="1116"/>
      <c r="DY929" s="1116"/>
      <c r="DZ929" s="1116"/>
      <c r="EA929" s="1116"/>
      <c r="EB929" s="1116"/>
      <c r="EC929" s="1116"/>
      <c r="ED929" s="1116"/>
      <c r="EE929" s="1116"/>
      <c r="EF929" s="1116"/>
      <c r="EG929" s="1116"/>
      <c r="EH929" s="1116"/>
      <c r="EI929" s="1116"/>
      <c r="EJ929" s="1116"/>
      <c r="EK929" s="1116"/>
      <c r="EL929" s="1116"/>
      <c r="EM929" s="1116"/>
      <c r="EN929" s="1116"/>
      <c r="EO929" s="1116"/>
      <c r="EP929" s="1116"/>
      <c r="EQ929" s="1116"/>
      <c r="ER929" s="1116"/>
      <c r="ES929" s="1116"/>
    </row>
    <row r="930" spans="1:149" ht="15" customHeight="1">
      <c r="A930" s="1185">
        <v>915</v>
      </c>
      <c r="B930" s="1041"/>
      <c r="C930" s="1050"/>
      <c r="D930" s="1050"/>
      <c r="E930" s="1050"/>
      <c r="F930" s="1049"/>
      <c r="G930" s="1457"/>
      <c r="H930" s="1049"/>
      <c r="I930" s="1049"/>
      <c r="J930" s="1050"/>
      <c r="K930" s="1050"/>
      <c r="L930" s="1043"/>
      <c r="M930" s="1051"/>
      <c r="N930" s="1051"/>
      <c r="O930" s="1052"/>
      <c r="P930" s="1051"/>
      <c r="Q930" s="1051"/>
      <c r="R930" s="1052"/>
      <c r="S930" s="1051"/>
      <c r="T930" s="1051"/>
      <c r="U930" s="1052"/>
      <c r="V930" s="1051"/>
      <c r="W930" s="1051"/>
      <c r="X930" s="1052"/>
      <c r="Y930" s="1053"/>
      <c r="Z930" s="1051"/>
      <c r="AA930" s="1051"/>
      <c r="AB930" s="1052"/>
      <c r="AC930" s="1051"/>
      <c r="AD930" s="1051"/>
      <c r="AE930" s="1052"/>
      <c r="AF930" s="1051"/>
      <c r="AG930" s="1051"/>
      <c r="AH930" s="1051"/>
      <c r="AI930" s="1051"/>
      <c r="AJ930" s="1052"/>
      <c r="AK930" s="1051"/>
      <c r="AL930" s="1051"/>
      <c r="AM930" s="1052"/>
      <c r="AN930" s="1051"/>
      <c r="AO930" s="1051"/>
      <c r="AP930" s="1052"/>
      <c r="AQ930" s="1051"/>
      <c r="AR930" s="1051"/>
      <c r="AS930" s="1052"/>
      <c r="AT930" s="1051"/>
      <c r="AU930" s="1051"/>
      <c r="AV930" s="1052"/>
      <c r="AW930" s="1051"/>
      <c r="AX930" s="1051"/>
      <c r="AY930" s="1053"/>
      <c r="AZ930" s="1051"/>
      <c r="BA930" s="1051"/>
      <c r="BB930" s="1053"/>
      <c r="BC930" s="1051"/>
      <c r="BD930" s="1051"/>
      <c r="BE930" s="1053"/>
      <c r="BF930" s="1051"/>
      <c r="BG930" s="1051"/>
      <c r="BH930" s="1053"/>
      <c r="BI930" s="1052"/>
      <c r="BJ930" s="1052"/>
      <c r="BK930" s="1052"/>
      <c r="BL930" s="1052"/>
      <c r="BM930" s="1052"/>
      <c r="BN930" s="1054"/>
      <c r="BO930" s="1076">
        <f t="shared" si="25"/>
        <v>0</v>
      </c>
      <c r="BP930" s="1051"/>
      <c r="BQ930" s="1052"/>
      <c r="BR930" s="1054"/>
      <c r="BS930" s="1053"/>
      <c r="BT930" s="1051"/>
      <c r="BU930" s="1051"/>
      <c r="BV930" s="1051"/>
      <c r="BW930" s="1052"/>
      <c r="BX930" s="1052"/>
      <c r="BY930" s="1052"/>
      <c r="BZ930" s="1052"/>
      <c r="CA930" s="1052"/>
      <c r="CB930" s="1053"/>
      <c r="CC930" s="1053"/>
      <c r="CD930" s="1053"/>
      <c r="CE930" s="1053"/>
      <c r="CF930" s="1053"/>
      <c r="CG930" s="1053"/>
      <c r="CH930" s="1053"/>
      <c r="CI930" s="1123"/>
      <c r="CJ930" s="1123"/>
      <c r="CK930" s="1123"/>
      <c r="CL930" s="1123"/>
      <c r="CM930" s="1123"/>
      <c r="CN930" s="1123"/>
      <c r="CO930" s="1123"/>
      <c r="CP930" s="1123"/>
      <c r="CQ930" s="1123"/>
      <c r="CR930" s="1123"/>
      <c r="CS930" s="1123"/>
      <c r="CT930" s="1123"/>
      <c r="CU930" s="1123"/>
      <c r="CV930" s="1123"/>
      <c r="CW930" s="1123"/>
      <c r="CX930" s="1123"/>
      <c r="CY930" s="1123"/>
      <c r="CZ930" s="1114"/>
      <c r="DA930" s="1114"/>
      <c r="DB930" s="1114"/>
      <c r="DC930" s="1114"/>
      <c r="DD930" s="1114"/>
      <c r="DE930" s="1114"/>
      <c r="DF930" s="1114"/>
      <c r="DG930" s="1114"/>
      <c r="DH930" s="1114"/>
      <c r="DI930" s="1114"/>
      <c r="DJ930" s="1114"/>
      <c r="DK930" s="1114"/>
      <c r="DL930" s="1114"/>
      <c r="DM930" s="1114"/>
      <c r="DN930" s="1114"/>
      <c r="DO930" s="1114"/>
      <c r="DP930" s="1114"/>
      <c r="DQ930" s="1114"/>
      <c r="DR930" s="1114"/>
      <c r="DS930" s="1114"/>
      <c r="DT930" s="1114"/>
      <c r="DU930" s="1114"/>
      <c r="DV930" s="1115"/>
      <c r="DW930" s="1116"/>
      <c r="DX930" s="1116"/>
      <c r="DY930" s="1116"/>
      <c r="DZ930" s="1116"/>
      <c r="EA930" s="1116"/>
      <c r="EB930" s="1116"/>
      <c r="EC930" s="1116"/>
      <c r="ED930" s="1116"/>
      <c r="EE930" s="1116"/>
      <c r="EF930" s="1116"/>
      <c r="EG930" s="1116"/>
      <c r="EH930" s="1116"/>
      <c r="EI930" s="1116"/>
      <c r="EJ930" s="1116"/>
      <c r="EK930" s="1116"/>
      <c r="EL930" s="1116"/>
      <c r="EM930" s="1116"/>
      <c r="EN930" s="1116"/>
      <c r="EO930" s="1116"/>
      <c r="EP930" s="1116"/>
      <c r="EQ930" s="1116"/>
      <c r="ER930" s="1116"/>
      <c r="ES930" s="1116"/>
    </row>
    <row r="931" spans="1:149" ht="15" customHeight="1">
      <c r="A931" s="1185">
        <v>916</v>
      </c>
      <c r="B931" s="1041"/>
      <c r="C931" s="1050"/>
      <c r="D931" s="1050"/>
      <c r="E931" s="1050"/>
      <c r="F931" s="1049"/>
      <c r="G931" s="1457"/>
      <c r="H931" s="1049"/>
      <c r="I931" s="1049"/>
      <c r="J931" s="1050"/>
      <c r="K931" s="1050"/>
      <c r="L931" s="1043"/>
      <c r="M931" s="1051"/>
      <c r="N931" s="1051"/>
      <c r="O931" s="1052"/>
      <c r="P931" s="1051"/>
      <c r="Q931" s="1051"/>
      <c r="R931" s="1052"/>
      <c r="S931" s="1051"/>
      <c r="T931" s="1051"/>
      <c r="U931" s="1052"/>
      <c r="V931" s="1051"/>
      <c r="W931" s="1051"/>
      <c r="X931" s="1052"/>
      <c r="Y931" s="1053"/>
      <c r="Z931" s="1051"/>
      <c r="AA931" s="1051"/>
      <c r="AB931" s="1052"/>
      <c r="AC931" s="1051"/>
      <c r="AD931" s="1051"/>
      <c r="AE931" s="1052"/>
      <c r="AF931" s="1051"/>
      <c r="AG931" s="1051"/>
      <c r="AH931" s="1051"/>
      <c r="AI931" s="1051"/>
      <c r="AJ931" s="1052"/>
      <c r="AK931" s="1051"/>
      <c r="AL931" s="1051"/>
      <c r="AM931" s="1052"/>
      <c r="AN931" s="1051"/>
      <c r="AO931" s="1051"/>
      <c r="AP931" s="1052"/>
      <c r="AQ931" s="1051"/>
      <c r="AR931" s="1051"/>
      <c r="AS931" s="1052"/>
      <c r="AT931" s="1051"/>
      <c r="AU931" s="1051"/>
      <c r="AV931" s="1052"/>
      <c r="AW931" s="1051"/>
      <c r="AX931" s="1051"/>
      <c r="AY931" s="1053"/>
      <c r="AZ931" s="1051"/>
      <c r="BA931" s="1051"/>
      <c r="BB931" s="1053"/>
      <c r="BC931" s="1051"/>
      <c r="BD931" s="1051"/>
      <c r="BE931" s="1053"/>
      <c r="BF931" s="1051"/>
      <c r="BG931" s="1051"/>
      <c r="BH931" s="1053"/>
      <c r="BI931" s="1052"/>
      <c r="BJ931" s="1052"/>
      <c r="BK931" s="1052"/>
      <c r="BL931" s="1052"/>
      <c r="BM931" s="1052"/>
      <c r="BN931" s="1054"/>
      <c r="BO931" s="1076">
        <f t="shared" si="25"/>
        <v>0</v>
      </c>
      <c r="BP931" s="1051"/>
      <c r="BQ931" s="1052"/>
      <c r="BR931" s="1054"/>
      <c r="BS931" s="1053"/>
      <c r="BT931" s="1051"/>
      <c r="BU931" s="1051"/>
      <c r="BV931" s="1051"/>
      <c r="BW931" s="1052"/>
      <c r="BX931" s="1052"/>
      <c r="BY931" s="1052"/>
      <c r="BZ931" s="1052"/>
      <c r="CA931" s="1052"/>
      <c r="CB931" s="1053"/>
      <c r="CC931" s="1053"/>
      <c r="CD931" s="1053"/>
      <c r="CE931" s="1053"/>
      <c r="CF931" s="1053"/>
      <c r="CG931" s="1053"/>
      <c r="CH931" s="1053"/>
      <c r="CI931" s="1123"/>
      <c r="CJ931" s="1123"/>
      <c r="CK931" s="1123"/>
      <c r="CL931" s="1123"/>
      <c r="CM931" s="1123"/>
      <c r="CN931" s="1123"/>
      <c r="CO931" s="1123"/>
      <c r="CP931" s="1123"/>
      <c r="CQ931" s="1123"/>
      <c r="CR931" s="1123"/>
      <c r="CS931" s="1123"/>
      <c r="CT931" s="1123"/>
      <c r="CU931" s="1123"/>
      <c r="CV931" s="1123"/>
      <c r="CW931" s="1123"/>
      <c r="CX931" s="1123"/>
      <c r="CY931" s="1123"/>
      <c r="CZ931" s="1114"/>
      <c r="DA931" s="1114"/>
      <c r="DB931" s="1114"/>
      <c r="DC931" s="1114"/>
      <c r="DD931" s="1114"/>
      <c r="DE931" s="1114"/>
      <c r="DF931" s="1114"/>
      <c r="DG931" s="1114"/>
      <c r="DH931" s="1114"/>
      <c r="DI931" s="1114"/>
      <c r="DJ931" s="1114"/>
      <c r="DK931" s="1114"/>
      <c r="DL931" s="1114"/>
      <c r="DM931" s="1114"/>
      <c r="DN931" s="1114"/>
      <c r="DO931" s="1114"/>
      <c r="DP931" s="1114"/>
      <c r="DQ931" s="1114"/>
      <c r="DR931" s="1114"/>
      <c r="DS931" s="1114"/>
      <c r="DT931" s="1114"/>
      <c r="DU931" s="1114"/>
      <c r="DV931" s="1115"/>
      <c r="DW931" s="1116"/>
      <c r="DX931" s="1116"/>
      <c r="DY931" s="1116"/>
      <c r="DZ931" s="1116"/>
      <c r="EA931" s="1116"/>
      <c r="EB931" s="1116"/>
      <c r="EC931" s="1116"/>
      <c r="ED931" s="1116"/>
      <c r="EE931" s="1116"/>
      <c r="EF931" s="1116"/>
      <c r="EG931" s="1116"/>
      <c r="EH931" s="1116"/>
      <c r="EI931" s="1116"/>
      <c r="EJ931" s="1116"/>
      <c r="EK931" s="1116"/>
      <c r="EL931" s="1116"/>
      <c r="EM931" s="1116"/>
      <c r="EN931" s="1116"/>
      <c r="EO931" s="1116"/>
      <c r="EP931" s="1116"/>
      <c r="EQ931" s="1116"/>
      <c r="ER931" s="1116"/>
      <c r="ES931" s="1116"/>
    </row>
    <row r="932" spans="1:149" ht="15" customHeight="1">
      <c r="A932" s="1185">
        <v>917</v>
      </c>
      <c r="B932" s="1041"/>
      <c r="C932" s="1050"/>
      <c r="D932" s="1050"/>
      <c r="E932" s="1050"/>
      <c r="F932" s="1049"/>
      <c r="G932" s="1457"/>
      <c r="H932" s="1049"/>
      <c r="I932" s="1049"/>
      <c r="J932" s="1050"/>
      <c r="K932" s="1050"/>
      <c r="L932" s="1043"/>
      <c r="M932" s="1051"/>
      <c r="N932" s="1051"/>
      <c r="O932" s="1052"/>
      <c r="P932" s="1051"/>
      <c r="Q932" s="1051"/>
      <c r="R932" s="1052"/>
      <c r="S932" s="1051"/>
      <c r="T932" s="1051"/>
      <c r="U932" s="1052"/>
      <c r="V932" s="1051"/>
      <c r="W932" s="1051"/>
      <c r="X932" s="1052"/>
      <c r="Y932" s="1053"/>
      <c r="Z932" s="1051"/>
      <c r="AA932" s="1051"/>
      <c r="AB932" s="1052"/>
      <c r="AC932" s="1051"/>
      <c r="AD932" s="1051"/>
      <c r="AE932" s="1052"/>
      <c r="AF932" s="1051"/>
      <c r="AG932" s="1051"/>
      <c r="AH932" s="1051"/>
      <c r="AI932" s="1051"/>
      <c r="AJ932" s="1052"/>
      <c r="AK932" s="1051"/>
      <c r="AL932" s="1051"/>
      <c r="AM932" s="1052"/>
      <c r="AN932" s="1051"/>
      <c r="AO932" s="1051"/>
      <c r="AP932" s="1052"/>
      <c r="AQ932" s="1051"/>
      <c r="AR932" s="1051"/>
      <c r="AS932" s="1052"/>
      <c r="AT932" s="1051"/>
      <c r="AU932" s="1051"/>
      <c r="AV932" s="1052"/>
      <c r="AW932" s="1051"/>
      <c r="AX932" s="1051"/>
      <c r="AY932" s="1053"/>
      <c r="AZ932" s="1051"/>
      <c r="BA932" s="1051"/>
      <c r="BB932" s="1053"/>
      <c r="BC932" s="1051"/>
      <c r="BD932" s="1051"/>
      <c r="BE932" s="1053"/>
      <c r="BF932" s="1051"/>
      <c r="BG932" s="1051"/>
      <c r="BH932" s="1053"/>
      <c r="BI932" s="1052"/>
      <c r="BJ932" s="1052"/>
      <c r="BK932" s="1052"/>
      <c r="BL932" s="1052"/>
      <c r="BM932" s="1052"/>
      <c r="BN932" s="1054"/>
      <c r="BO932" s="1076">
        <f t="shared" si="25"/>
        <v>0</v>
      </c>
      <c r="BP932" s="1051"/>
      <c r="BQ932" s="1052"/>
      <c r="BR932" s="1054"/>
      <c r="BS932" s="1053"/>
      <c r="BT932" s="1051"/>
      <c r="BU932" s="1051"/>
      <c r="BV932" s="1051"/>
      <c r="BW932" s="1052"/>
      <c r="BX932" s="1052"/>
      <c r="BY932" s="1052"/>
      <c r="BZ932" s="1052"/>
      <c r="CA932" s="1052"/>
      <c r="CB932" s="1053"/>
      <c r="CC932" s="1053"/>
      <c r="CD932" s="1053"/>
      <c r="CE932" s="1053"/>
      <c r="CF932" s="1053"/>
      <c r="CG932" s="1053"/>
      <c r="CH932" s="1053"/>
      <c r="CI932" s="1123"/>
      <c r="CJ932" s="1123"/>
      <c r="CK932" s="1123"/>
      <c r="CL932" s="1123"/>
      <c r="CM932" s="1123"/>
      <c r="CN932" s="1123"/>
      <c r="CO932" s="1123"/>
      <c r="CP932" s="1123"/>
      <c r="CQ932" s="1123"/>
      <c r="CR932" s="1123"/>
      <c r="CS932" s="1123"/>
      <c r="CT932" s="1123"/>
      <c r="CU932" s="1123"/>
      <c r="CV932" s="1123"/>
      <c r="CW932" s="1123"/>
      <c r="CX932" s="1123"/>
      <c r="CY932" s="1123"/>
      <c r="CZ932" s="1114"/>
      <c r="DA932" s="1114"/>
      <c r="DB932" s="1114"/>
      <c r="DC932" s="1114"/>
      <c r="DD932" s="1114"/>
      <c r="DE932" s="1114"/>
      <c r="DF932" s="1114"/>
      <c r="DG932" s="1114"/>
      <c r="DH932" s="1114"/>
      <c r="DI932" s="1114"/>
      <c r="DJ932" s="1114"/>
      <c r="DK932" s="1114"/>
      <c r="DL932" s="1114"/>
      <c r="DM932" s="1114"/>
      <c r="DN932" s="1114"/>
      <c r="DO932" s="1114"/>
      <c r="DP932" s="1114"/>
      <c r="DQ932" s="1114"/>
      <c r="DR932" s="1114"/>
      <c r="DS932" s="1114"/>
      <c r="DT932" s="1114"/>
      <c r="DU932" s="1114"/>
      <c r="DV932" s="1115"/>
      <c r="DW932" s="1116"/>
      <c r="DX932" s="1116"/>
      <c r="DY932" s="1116"/>
      <c r="DZ932" s="1116"/>
      <c r="EA932" s="1116"/>
      <c r="EB932" s="1116"/>
      <c r="EC932" s="1116"/>
      <c r="ED932" s="1116"/>
      <c r="EE932" s="1116"/>
      <c r="EF932" s="1116"/>
      <c r="EG932" s="1116"/>
      <c r="EH932" s="1116"/>
      <c r="EI932" s="1116"/>
      <c r="EJ932" s="1116"/>
      <c r="EK932" s="1116"/>
      <c r="EL932" s="1116"/>
      <c r="EM932" s="1116"/>
      <c r="EN932" s="1116"/>
      <c r="EO932" s="1116"/>
      <c r="EP932" s="1116"/>
      <c r="EQ932" s="1116"/>
      <c r="ER932" s="1116"/>
      <c r="ES932" s="1116"/>
    </row>
    <row r="933" spans="1:149" ht="15" customHeight="1">
      <c r="A933" s="1185">
        <v>918</v>
      </c>
      <c r="B933" s="1041"/>
      <c r="C933" s="1050"/>
      <c r="D933" s="1050"/>
      <c r="E933" s="1050"/>
      <c r="F933" s="1049"/>
      <c r="G933" s="1457"/>
      <c r="H933" s="1049"/>
      <c r="I933" s="1049"/>
      <c r="J933" s="1050"/>
      <c r="K933" s="1050"/>
      <c r="L933" s="1043"/>
      <c r="M933" s="1051"/>
      <c r="N933" s="1051"/>
      <c r="O933" s="1052"/>
      <c r="P933" s="1051"/>
      <c r="Q933" s="1051"/>
      <c r="R933" s="1052"/>
      <c r="S933" s="1051"/>
      <c r="T933" s="1051"/>
      <c r="U933" s="1052"/>
      <c r="V933" s="1051"/>
      <c r="W933" s="1051"/>
      <c r="X933" s="1052"/>
      <c r="Y933" s="1053"/>
      <c r="Z933" s="1051"/>
      <c r="AA933" s="1051"/>
      <c r="AB933" s="1052"/>
      <c r="AC933" s="1051"/>
      <c r="AD933" s="1051"/>
      <c r="AE933" s="1052"/>
      <c r="AF933" s="1051"/>
      <c r="AG933" s="1051"/>
      <c r="AH933" s="1051"/>
      <c r="AI933" s="1051"/>
      <c r="AJ933" s="1052"/>
      <c r="AK933" s="1051"/>
      <c r="AL933" s="1051"/>
      <c r="AM933" s="1052"/>
      <c r="AN933" s="1051"/>
      <c r="AO933" s="1051"/>
      <c r="AP933" s="1052"/>
      <c r="AQ933" s="1051"/>
      <c r="AR933" s="1051"/>
      <c r="AS933" s="1052"/>
      <c r="AT933" s="1051"/>
      <c r="AU933" s="1051"/>
      <c r="AV933" s="1052"/>
      <c r="AW933" s="1051"/>
      <c r="AX933" s="1051"/>
      <c r="AY933" s="1053"/>
      <c r="AZ933" s="1051"/>
      <c r="BA933" s="1051"/>
      <c r="BB933" s="1053"/>
      <c r="BC933" s="1051"/>
      <c r="BD933" s="1051"/>
      <c r="BE933" s="1053"/>
      <c r="BF933" s="1051"/>
      <c r="BG933" s="1051"/>
      <c r="BH933" s="1053"/>
      <c r="BI933" s="1052"/>
      <c r="BJ933" s="1052"/>
      <c r="BK933" s="1052"/>
      <c r="BL933" s="1052"/>
      <c r="BM933" s="1052"/>
      <c r="BN933" s="1054"/>
      <c r="BO933" s="1076">
        <f t="shared" si="25"/>
        <v>0</v>
      </c>
      <c r="BP933" s="1051"/>
      <c r="BQ933" s="1052"/>
      <c r="BR933" s="1054"/>
      <c r="BS933" s="1053"/>
      <c r="BT933" s="1051"/>
      <c r="BU933" s="1051"/>
      <c r="BV933" s="1051"/>
      <c r="BW933" s="1052"/>
      <c r="BX933" s="1052"/>
      <c r="BY933" s="1052"/>
      <c r="BZ933" s="1052"/>
      <c r="CA933" s="1052"/>
      <c r="CB933" s="1053"/>
      <c r="CC933" s="1053"/>
      <c r="CD933" s="1053"/>
      <c r="CE933" s="1053"/>
      <c r="CF933" s="1053"/>
      <c r="CG933" s="1053"/>
      <c r="CH933" s="1053"/>
      <c r="CI933" s="1123"/>
      <c r="CJ933" s="1123"/>
      <c r="CK933" s="1123"/>
      <c r="CL933" s="1123"/>
      <c r="CM933" s="1123"/>
      <c r="CN933" s="1123"/>
      <c r="CO933" s="1123"/>
      <c r="CP933" s="1123"/>
      <c r="CQ933" s="1123"/>
      <c r="CR933" s="1123"/>
      <c r="CS933" s="1123"/>
      <c r="CT933" s="1123"/>
      <c r="CU933" s="1123"/>
      <c r="CV933" s="1123"/>
      <c r="CW933" s="1123"/>
      <c r="CX933" s="1123"/>
      <c r="CY933" s="1123"/>
      <c r="CZ933" s="1114"/>
      <c r="DA933" s="1114"/>
      <c r="DB933" s="1114"/>
      <c r="DC933" s="1114"/>
      <c r="DD933" s="1114"/>
      <c r="DE933" s="1114"/>
      <c r="DF933" s="1114"/>
      <c r="DG933" s="1114"/>
      <c r="DH933" s="1114"/>
      <c r="DI933" s="1114"/>
      <c r="DJ933" s="1114"/>
      <c r="DK933" s="1114"/>
      <c r="DL933" s="1114"/>
      <c r="DM933" s="1114"/>
      <c r="DN933" s="1114"/>
      <c r="DO933" s="1114"/>
      <c r="DP933" s="1114"/>
      <c r="DQ933" s="1114"/>
      <c r="DR933" s="1114"/>
      <c r="DS933" s="1114"/>
      <c r="DT933" s="1114"/>
      <c r="DU933" s="1114"/>
      <c r="DV933" s="1115"/>
      <c r="DW933" s="1116"/>
      <c r="DX933" s="1116"/>
      <c r="DY933" s="1116"/>
      <c r="DZ933" s="1116"/>
      <c r="EA933" s="1116"/>
      <c r="EB933" s="1116"/>
      <c r="EC933" s="1116"/>
      <c r="ED933" s="1116"/>
      <c r="EE933" s="1116"/>
      <c r="EF933" s="1116"/>
      <c r="EG933" s="1116"/>
      <c r="EH933" s="1116"/>
      <c r="EI933" s="1116"/>
      <c r="EJ933" s="1116"/>
      <c r="EK933" s="1116"/>
      <c r="EL933" s="1116"/>
      <c r="EM933" s="1116"/>
      <c r="EN933" s="1116"/>
      <c r="EO933" s="1116"/>
      <c r="EP933" s="1116"/>
      <c r="EQ933" s="1116"/>
      <c r="ER933" s="1116"/>
      <c r="ES933" s="1116"/>
    </row>
    <row r="934" spans="1:149" ht="15" customHeight="1">
      <c r="A934" s="1185">
        <v>919</v>
      </c>
      <c r="B934" s="1041"/>
      <c r="C934" s="1050"/>
      <c r="D934" s="1050"/>
      <c r="E934" s="1050"/>
      <c r="F934" s="1049"/>
      <c r="G934" s="1457"/>
      <c r="H934" s="1049"/>
      <c r="I934" s="1049"/>
      <c r="J934" s="1050"/>
      <c r="K934" s="1050"/>
      <c r="L934" s="1043"/>
      <c r="M934" s="1051"/>
      <c r="N934" s="1051"/>
      <c r="O934" s="1052"/>
      <c r="P934" s="1051"/>
      <c r="Q934" s="1051"/>
      <c r="R934" s="1052"/>
      <c r="S934" s="1051"/>
      <c r="T934" s="1051"/>
      <c r="U934" s="1052"/>
      <c r="V934" s="1051"/>
      <c r="W934" s="1051"/>
      <c r="X934" s="1052"/>
      <c r="Y934" s="1053"/>
      <c r="Z934" s="1051"/>
      <c r="AA934" s="1051"/>
      <c r="AB934" s="1052"/>
      <c r="AC934" s="1051"/>
      <c r="AD934" s="1051"/>
      <c r="AE934" s="1052"/>
      <c r="AF934" s="1051"/>
      <c r="AG934" s="1051"/>
      <c r="AH934" s="1051"/>
      <c r="AI934" s="1051"/>
      <c r="AJ934" s="1052"/>
      <c r="AK934" s="1051"/>
      <c r="AL934" s="1051"/>
      <c r="AM934" s="1052"/>
      <c r="AN934" s="1051"/>
      <c r="AO934" s="1051"/>
      <c r="AP934" s="1052"/>
      <c r="AQ934" s="1051"/>
      <c r="AR934" s="1051"/>
      <c r="AS934" s="1052"/>
      <c r="AT934" s="1051"/>
      <c r="AU934" s="1051"/>
      <c r="AV934" s="1052"/>
      <c r="AW934" s="1051"/>
      <c r="AX934" s="1051"/>
      <c r="AY934" s="1053"/>
      <c r="AZ934" s="1051"/>
      <c r="BA934" s="1051"/>
      <c r="BB934" s="1053"/>
      <c r="BC934" s="1051"/>
      <c r="BD934" s="1051"/>
      <c r="BE934" s="1053"/>
      <c r="BF934" s="1051"/>
      <c r="BG934" s="1051"/>
      <c r="BH934" s="1053"/>
      <c r="BI934" s="1052"/>
      <c r="BJ934" s="1052"/>
      <c r="BK934" s="1052"/>
      <c r="BL934" s="1052"/>
      <c r="BM934" s="1052"/>
      <c r="BN934" s="1054"/>
      <c r="BO934" s="1076">
        <f t="shared" si="25"/>
        <v>0</v>
      </c>
      <c r="BP934" s="1051"/>
      <c r="BQ934" s="1052"/>
      <c r="BR934" s="1054"/>
      <c r="BS934" s="1053"/>
      <c r="BT934" s="1051"/>
      <c r="BU934" s="1051"/>
      <c r="BV934" s="1051"/>
      <c r="BW934" s="1052"/>
      <c r="BX934" s="1052"/>
      <c r="BY934" s="1052"/>
      <c r="BZ934" s="1052"/>
      <c r="CA934" s="1052"/>
      <c r="CB934" s="1053"/>
      <c r="CC934" s="1053"/>
      <c r="CD934" s="1053"/>
      <c r="CE934" s="1053"/>
      <c r="CF934" s="1053"/>
      <c r="CG934" s="1053"/>
      <c r="CH934" s="1053"/>
      <c r="CI934" s="1123"/>
      <c r="CJ934" s="1123"/>
      <c r="CK934" s="1123"/>
      <c r="CL934" s="1123"/>
      <c r="CM934" s="1123"/>
      <c r="CN934" s="1123"/>
      <c r="CO934" s="1123"/>
      <c r="CP934" s="1123"/>
      <c r="CQ934" s="1123"/>
      <c r="CR934" s="1123"/>
      <c r="CS934" s="1123"/>
      <c r="CT934" s="1123"/>
      <c r="CU934" s="1123"/>
      <c r="CV934" s="1123"/>
      <c r="CW934" s="1123"/>
      <c r="CX934" s="1123"/>
      <c r="CY934" s="1123"/>
      <c r="CZ934" s="1114"/>
      <c r="DA934" s="1114"/>
      <c r="DB934" s="1114"/>
      <c r="DC934" s="1114"/>
      <c r="DD934" s="1114"/>
      <c r="DE934" s="1114"/>
      <c r="DF934" s="1114"/>
      <c r="DG934" s="1114"/>
      <c r="DH934" s="1114"/>
      <c r="DI934" s="1114"/>
      <c r="DJ934" s="1114"/>
      <c r="DK934" s="1114"/>
      <c r="DL934" s="1114"/>
      <c r="DM934" s="1114"/>
      <c r="DN934" s="1114"/>
      <c r="DO934" s="1114"/>
      <c r="DP934" s="1114"/>
      <c r="DQ934" s="1114"/>
      <c r="DR934" s="1114"/>
      <c r="DS934" s="1114"/>
      <c r="DT934" s="1114"/>
      <c r="DU934" s="1114"/>
      <c r="DV934" s="1115"/>
      <c r="DW934" s="1116"/>
      <c r="DX934" s="1116"/>
      <c r="DY934" s="1116"/>
      <c r="DZ934" s="1116"/>
      <c r="EA934" s="1116"/>
      <c r="EB934" s="1116"/>
      <c r="EC934" s="1116"/>
      <c r="ED934" s="1116"/>
      <c r="EE934" s="1116"/>
      <c r="EF934" s="1116"/>
      <c r="EG934" s="1116"/>
      <c r="EH934" s="1116"/>
      <c r="EI934" s="1116"/>
      <c r="EJ934" s="1116"/>
      <c r="EK934" s="1116"/>
      <c r="EL934" s="1116"/>
      <c r="EM934" s="1116"/>
      <c r="EN934" s="1116"/>
      <c r="EO934" s="1116"/>
      <c r="EP934" s="1116"/>
      <c r="EQ934" s="1116"/>
      <c r="ER934" s="1116"/>
      <c r="ES934" s="1116"/>
    </row>
    <row r="935" spans="1:149" ht="15" customHeight="1">
      <c r="A935" s="1185">
        <v>920</v>
      </c>
      <c r="B935" s="1041"/>
      <c r="C935" s="1050"/>
      <c r="D935" s="1050"/>
      <c r="E935" s="1050"/>
      <c r="F935" s="1049"/>
      <c r="G935" s="1457"/>
      <c r="H935" s="1049"/>
      <c r="I935" s="1049"/>
      <c r="J935" s="1050"/>
      <c r="K935" s="1050"/>
      <c r="L935" s="1043"/>
      <c r="M935" s="1051"/>
      <c r="N935" s="1051"/>
      <c r="O935" s="1052"/>
      <c r="P935" s="1051"/>
      <c r="Q935" s="1051"/>
      <c r="R935" s="1052"/>
      <c r="S935" s="1051"/>
      <c r="T935" s="1051"/>
      <c r="U935" s="1052"/>
      <c r="V935" s="1051"/>
      <c r="W935" s="1051"/>
      <c r="X935" s="1052"/>
      <c r="Y935" s="1053"/>
      <c r="Z935" s="1051"/>
      <c r="AA935" s="1051"/>
      <c r="AB935" s="1052"/>
      <c r="AC935" s="1051"/>
      <c r="AD935" s="1051"/>
      <c r="AE935" s="1052"/>
      <c r="AF935" s="1051"/>
      <c r="AG935" s="1051"/>
      <c r="AH935" s="1051"/>
      <c r="AI935" s="1051"/>
      <c r="AJ935" s="1052"/>
      <c r="AK935" s="1051"/>
      <c r="AL935" s="1051"/>
      <c r="AM935" s="1052"/>
      <c r="AN935" s="1051"/>
      <c r="AO935" s="1051"/>
      <c r="AP935" s="1052"/>
      <c r="AQ935" s="1051"/>
      <c r="AR935" s="1051"/>
      <c r="AS935" s="1052"/>
      <c r="AT935" s="1051"/>
      <c r="AU935" s="1051"/>
      <c r="AV935" s="1052"/>
      <c r="AW935" s="1051"/>
      <c r="AX935" s="1051"/>
      <c r="AY935" s="1053"/>
      <c r="AZ935" s="1051"/>
      <c r="BA935" s="1051"/>
      <c r="BB935" s="1053"/>
      <c r="BC935" s="1051"/>
      <c r="BD935" s="1051"/>
      <c r="BE935" s="1053"/>
      <c r="BF935" s="1051"/>
      <c r="BG935" s="1051"/>
      <c r="BH935" s="1053"/>
      <c r="BI935" s="1052"/>
      <c r="BJ935" s="1052"/>
      <c r="BK935" s="1052"/>
      <c r="BL935" s="1052"/>
      <c r="BM935" s="1052"/>
      <c r="BN935" s="1054"/>
      <c r="BO935" s="1076">
        <f t="shared" si="25"/>
        <v>0</v>
      </c>
      <c r="BP935" s="1051"/>
      <c r="BQ935" s="1052"/>
      <c r="BR935" s="1054"/>
      <c r="BS935" s="1053"/>
      <c r="BT935" s="1051"/>
      <c r="BU935" s="1051"/>
      <c r="BV935" s="1051"/>
      <c r="BW935" s="1052"/>
      <c r="BX935" s="1052"/>
      <c r="BY935" s="1052"/>
      <c r="BZ935" s="1052"/>
      <c r="CA935" s="1052"/>
      <c r="CB935" s="1053"/>
      <c r="CC935" s="1053"/>
      <c r="CD935" s="1053"/>
      <c r="CE935" s="1053"/>
      <c r="CF935" s="1053"/>
      <c r="CG935" s="1053"/>
      <c r="CH935" s="1053"/>
      <c r="CI935" s="1123"/>
      <c r="CJ935" s="1123"/>
      <c r="CK935" s="1123"/>
      <c r="CL935" s="1123"/>
      <c r="CM935" s="1123"/>
      <c r="CN935" s="1123"/>
      <c r="CO935" s="1123"/>
      <c r="CP935" s="1123"/>
      <c r="CQ935" s="1123"/>
      <c r="CR935" s="1123"/>
      <c r="CS935" s="1123"/>
      <c r="CT935" s="1123"/>
      <c r="CU935" s="1123"/>
      <c r="CV935" s="1123"/>
      <c r="CW935" s="1123"/>
      <c r="CX935" s="1123"/>
      <c r="CY935" s="1123"/>
      <c r="CZ935" s="1114"/>
      <c r="DA935" s="1114"/>
      <c r="DB935" s="1114"/>
      <c r="DC935" s="1114"/>
      <c r="DD935" s="1114"/>
      <c r="DE935" s="1114"/>
      <c r="DF935" s="1114"/>
      <c r="DG935" s="1114"/>
      <c r="DH935" s="1114"/>
      <c r="DI935" s="1114"/>
      <c r="DJ935" s="1114"/>
      <c r="DK935" s="1114"/>
      <c r="DL935" s="1114"/>
      <c r="DM935" s="1114"/>
      <c r="DN935" s="1114"/>
      <c r="DO935" s="1114"/>
      <c r="DP935" s="1114"/>
      <c r="DQ935" s="1114"/>
      <c r="DR935" s="1114"/>
      <c r="DS935" s="1114"/>
      <c r="DT935" s="1114"/>
      <c r="DU935" s="1114"/>
      <c r="DV935" s="1115"/>
      <c r="DW935" s="1116"/>
      <c r="DX935" s="1116"/>
      <c r="DY935" s="1116"/>
      <c r="DZ935" s="1116"/>
      <c r="EA935" s="1116"/>
      <c r="EB935" s="1116"/>
      <c r="EC935" s="1116"/>
      <c r="ED935" s="1116"/>
      <c r="EE935" s="1116"/>
      <c r="EF935" s="1116"/>
      <c r="EG935" s="1116"/>
      <c r="EH935" s="1116"/>
      <c r="EI935" s="1116"/>
      <c r="EJ935" s="1116"/>
      <c r="EK935" s="1116"/>
      <c r="EL935" s="1116"/>
      <c r="EM935" s="1116"/>
      <c r="EN935" s="1116"/>
      <c r="EO935" s="1116"/>
      <c r="EP935" s="1116"/>
      <c r="EQ935" s="1116"/>
      <c r="ER935" s="1116"/>
      <c r="ES935" s="1116"/>
    </row>
    <row r="936" spans="1:149" ht="15" customHeight="1">
      <c r="A936" s="1185">
        <v>921</v>
      </c>
      <c r="B936" s="1041"/>
      <c r="C936" s="1050"/>
      <c r="D936" s="1050"/>
      <c r="E936" s="1050"/>
      <c r="F936" s="1049"/>
      <c r="G936" s="1457"/>
      <c r="H936" s="1049"/>
      <c r="I936" s="1049"/>
      <c r="J936" s="1050"/>
      <c r="K936" s="1050"/>
      <c r="L936" s="1043"/>
      <c r="M936" s="1051"/>
      <c r="N936" s="1051"/>
      <c r="O936" s="1052"/>
      <c r="P936" s="1051"/>
      <c r="Q936" s="1051"/>
      <c r="R936" s="1052"/>
      <c r="S936" s="1051"/>
      <c r="T936" s="1051"/>
      <c r="U936" s="1052"/>
      <c r="V936" s="1051"/>
      <c r="W936" s="1051"/>
      <c r="X936" s="1052"/>
      <c r="Y936" s="1053"/>
      <c r="Z936" s="1051"/>
      <c r="AA936" s="1051"/>
      <c r="AB936" s="1052"/>
      <c r="AC936" s="1051"/>
      <c r="AD936" s="1051"/>
      <c r="AE936" s="1052"/>
      <c r="AF936" s="1051"/>
      <c r="AG936" s="1051"/>
      <c r="AH936" s="1051"/>
      <c r="AI936" s="1051"/>
      <c r="AJ936" s="1052"/>
      <c r="AK936" s="1051"/>
      <c r="AL936" s="1051"/>
      <c r="AM936" s="1052"/>
      <c r="AN936" s="1051"/>
      <c r="AO936" s="1051"/>
      <c r="AP936" s="1052"/>
      <c r="AQ936" s="1051"/>
      <c r="AR936" s="1051"/>
      <c r="AS936" s="1052"/>
      <c r="AT936" s="1051"/>
      <c r="AU936" s="1051"/>
      <c r="AV936" s="1052"/>
      <c r="AW936" s="1051"/>
      <c r="AX936" s="1051"/>
      <c r="AY936" s="1053"/>
      <c r="AZ936" s="1051"/>
      <c r="BA936" s="1051"/>
      <c r="BB936" s="1053"/>
      <c r="BC936" s="1051"/>
      <c r="BD936" s="1051"/>
      <c r="BE936" s="1053"/>
      <c r="BF936" s="1051"/>
      <c r="BG936" s="1051"/>
      <c r="BH936" s="1053"/>
      <c r="BI936" s="1052"/>
      <c r="BJ936" s="1052"/>
      <c r="BK936" s="1052"/>
      <c r="BL936" s="1052"/>
      <c r="BM936" s="1052"/>
      <c r="BN936" s="1054"/>
      <c r="BO936" s="1076">
        <f t="shared" si="25"/>
        <v>0</v>
      </c>
      <c r="BP936" s="1051"/>
      <c r="BQ936" s="1052"/>
      <c r="BR936" s="1054"/>
      <c r="BS936" s="1053"/>
      <c r="BT936" s="1051"/>
      <c r="BU936" s="1051"/>
      <c r="BV936" s="1051"/>
      <c r="BW936" s="1052"/>
      <c r="BX936" s="1052"/>
      <c r="BY936" s="1052"/>
      <c r="BZ936" s="1052"/>
      <c r="CA936" s="1052"/>
      <c r="CB936" s="1053"/>
      <c r="CC936" s="1053"/>
      <c r="CD936" s="1053"/>
      <c r="CE936" s="1053"/>
      <c r="CF936" s="1053"/>
      <c r="CG936" s="1053"/>
      <c r="CH936" s="1053"/>
      <c r="CI936" s="1123"/>
      <c r="CJ936" s="1123"/>
      <c r="CK936" s="1123"/>
      <c r="CL936" s="1123"/>
      <c r="CM936" s="1123"/>
      <c r="CN936" s="1123"/>
      <c r="CO936" s="1123"/>
      <c r="CP936" s="1123"/>
      <c r="CQ936" s="1123"/>
      <c r="CR936" s="1123"/>
      <c r="CS936" s="1123"/>
      <c r="CT936" s="1123"/>
      <c r="CU936" s="1123"/>
      <c r="CV936" s="1123"/>
      <c r="CW936" s="1123"/>
      <c r="CX936" s="1123"/>
      <c r="CY936" s="1123"/>
      <c r="CZ936" s="1114"/>
      <c r="DA936" s="1114"/>
      <c r="DB936" s="1114"/>
      <c r="DC936" s="1114"/>
      <c r="DD936" s="1114"/>
      <c r="DE936" s="1114"/>
      <c r="DF936" s="1114"/>
      <c r="DG936" s="1114"/>
      <c r="DH936" s="1114"/>
      <c r="DI936" s="1114"/>
      <c r="DJ936" s="1114"/>
      <c r="DK936" s="1114"/>
      <c r="DL936" s="1114"/>
      <c r="DM936" s="1114"/>
      <c r="DN936" s="1114"/>
      <c r="DO936" s="1114"/>
      <c r="DP936" s="1114"/>
      <c r="DQ936" s="1114"/>
      <c r="DR936" s="1114"/>
      <c r="DS936" s="1114"/>
      <c r="DT936" s="1114"/>
      <c r="DU936" s="1114"/>
      <c r="DV936" s="1115"/>
      <c r="DW936" s="1116"/>
      <c r="DX936" s="1116"/>
      <c r="DY936" s="1116"/>
      <c r="DZ936" s="1116"/>
      <c r="EA936" s="1116"/>
      <c r="EB936" s="1116"/>
      <c r="EC936" s="1116"/>
      <c r="ED936" s="1116"/>
      <c r="EE936" s="1116"/>
      <c r="EF936" s="1116"/>
      <c r="EG936" s="1116"/>
      <c r="EH936" s="1116"/>
      <c r="EI936" s="1116"/>
      <c r="EJ936" s="1116"/>
      <c r="EK936" s="1116"/>
      <c r="EL936" s="1116"/>
      <c r="EM936" s="1116"/>
      <c r="EN936" s="1116"/>
      <c r="EO936" s="1116"/>
      <c r="EP936" s="1116"/>
      <c r="EQ936" s="1116"/>
      <c r="ER936" s="1116"/>
      <c r="ES936" s="1116"/>
    </row>
    <row r="937" spans="1:149" ht="15" customHeight="1">
      <c r="A937" s="1185">
        <v>922</v>
      </c>
      <c r="B937" s="1041"/>
      <c r="C937" s="1050"/>
      <c r="D937" s="1050"/>
      <c r="E937" s="1050"/>
      <c r="F937" s="1049"/>
      <c r="G937" s="1457"/>
      <c r="H937" s="1049"/>
      <c r="I937" s="1049"/>
      <c r="J937" s="1050"/>
      <c r="K937" s="1050"/>
      <c r="L937" s="1043"/>
      <c r="M937" s="1051"/>
      <c r="N937" s="1051"/>
      <c r="O937" s="1052"/>
      <c r="P937" s="1051"/>
      <c r="Q937" s="1051"/>
      <c r="R937" s="1052"/>
      <c r="S937" s="1051"/>
      <c r="T937" s="1051"/>
      <c r="U937" s="1052"/>
      <c r="V937" s="1051"/>
      <c r="W937" s="1051"/>
      <c r="X937" s="1052"/>
      <c r="Y937" s="1053"/>
      <c r="Z937" s="1051"/>
      <c r="AA937" s="1051"/>
      <c r="AB937" s="1052"/>
      <c r="AC937" s="1051"/>
      <c r="AD937" s="1051"/>
      <c r="AE937" s="1052"/>
      <c r="AF937" s="1051"/>
      <c r="AG937" s="1051"/>
      <c r="AH937" s="1051"/>
      <c r="AI937" s="1051"/>
      <c r="AJ937" s="1052"/>
      <c r="AK937" s="1051"/>
      <c r="AL937" s="1051"/>
      <c r="AM937" s="1052"/>
      <c r="AN937" s="1051"/>
      <c r="AO937" s="1051"/>
      <c r="AP937" s="1052"/>
      <c r="AQ937" s="1051"/>
      <c r="AR937" s="1051"/>
      <c r="AS937" s="1052"/>
      <c r="AT937" s="1051"/>
      <c r="AU937" s="1051"/>
      <c r="AV937" s="1052"/>
      <c r="AW937" s="1051"/>
      <c r="AX937" s="1051"/>
      <c r="AY937" s="1053"/>
      <c r="AZ937" s="1051"/>
      <c r="BA937" s="1051"/>
      <c r="BB937" s="1053"/>
      <c r="BC937" s="1051"/>
      <c r="BD937" s="1051"/>
      <c r="BE937" s="1053"/>
      <c r="BF937" s="1051"/>
      <c r="BG937" s="1051"/>
      <c r="BH937" s="1053"/>
      <c r="BI937" s="1052"/>
      <c r="BJ937" s="1052"/>
      <c r="BK937" s="1052"/>
      <c r="BL937" s="1052"/>
      <c r="BM937" s="1052"/>
      <c r="BN937" s="1054"/>
      <c r="BO937" s="1076">
        <f t="shared" si="25"/>
        <v>0</v>
      </c>
      <c r="BP937" s="1051"/>
      <c r="BQ937" s="1052"/>
      <c r="BR937" s="1054"/>
      <c r="BS937" s="1053"/>
      <c r="BT937" s="1051"/>
      <c r="BU937" s="1051"/>
      <c r="BV937" s="1051"/>
      <c r="BW937" s="1052"/>
      <c r="BX937" s="1052"/>
      <c r="BY937" s="1052"/>
      <c r="BZ937" s="1052"/>
      <c r="CA937" s="1052"/>
      <c r="CB937" s="1053"/>
      <c r="CC937" s="1053"/>
      <c r="CD937" s="1053"/>
      <c r="CE937" s="1053"/>
      <c r="CF937" s="1053"/>
      <c r="CG937" s="1053"/>
      <c r="CH937" s="1053"/>
      <c r="CI937" s="1123"/>
      <c r="CJ937" s="1123"/>
      <c r="CK937" s="1123"/>
      <c r="CL937" s="1123"/>
      <c r="CM937" s="1123"/>
      <c r="CN937" s="1123"/>
      <c r="CO937" s="1123"/>
      <c r="CP937" s="1123"/>
      <c r="CQ937" s="1123"/>
      <c r="CR937" s="1123"/>
      <c r="CS937" s="1123"/>
      <c r="CT937" s="1123"/>
      <c r="CU937" s="1123"/>
      <c r="CV937" s="1123"/>
      <c r="CW937" s="1123"/>
      <c r="CX937" s="1123"/>
      <c r="CY937" s="1123"/>
      <c r="CZ937" s="1114"/>
      <c r="DA937" s="1114"/>
      <c r="DB937" s="1114"/>
      <c r="DC937" s="1114"/>
      <c r="DD937" s="1114"/>
      <c r="DE937" s="1114"/>
      <c r="DF937" s="1114"/>
      <c r="DG937" s="1114"/>
      <c r="DH937" s="1114"/>
      <c r="DI937" s="1114"/>
      <c r="DJ937" s="1114"/>
      <c r="DK937" s="1114"/>
      <c r="DL937" s="1114"/>
      <c r="DM937" s="1114"/>
      <c r="DN937" s="1114"/>
      <c r="DO937" s="1114"/>
      <c r="DP937" s="1114"/>
      <c r="DQ937" s="1114"/>
      <c r="DR937" s="1114"/>
      <c r="DS937" s="1114"/>
      <c r="DT937" s="1114"/>
      <c r="DU937" s="1114"/>
      <c r="DV937" s="1115"/>
      <c r="DW937" s="1116"/>
      <c r="DX937" s="1116"/>
      <c r="DY937" s="1116"/>
      <c r="DZ937" s="1116"/>
      <c r="EA937" s="1116"/>
      <c r="EB937" s="1116"/>
      <c r="EC937" s="1116"/>
      <c r="ED937" s="1116"/>
      <c r="EE937" s="1116"/>
      <c r="EF937" s="1116"/>
      <c r="EG937" s="1116"/>
      <c r="EH937" s="1116"/>
      <c r="EI937" s="1116"/>
      <c r="EJ937" s="1116"/>
      <c r="EK937" s="1116"/>
      <c r="EL937" s="1116"/>
      <c r="EM937" s="1116"/>
      <c r="EN937" s="1116"/>
      <c r="EO937" s="1116"/>
      <c r="EP937" s="1116"/>
      <c r="EQ937" s="1116"/>
      <c r="ER937" s="1116"/>
      <c r="ES937" s="1116"/>
    </row>
    <row r="938" spans="1:149" ht="15" customHeight="1">
      <c r="A938" s="1185">
        <v>923</v>
      </c>
      <c r="B938" s="1041"/>
      <c r="C938" s="1050"/>
      <c r="D938" s="1050"/>
      <c r="E938" s="1050"/>
      <c r="F938" s="1049"/>
      <c r="G938" s="1457"/>
      <c r="H938" s="1049"/>
      <c r="I938" s="1049"/>
      <c r="J938" s="1050"/>
      <c r="K938" s="1050"/>
      <c r="L938" s="1043"/>
      <c r="M938" s="1051"/>
      <c r="N938" s="1051"/>
      <c r="O938" s="1052"/>
      <c r="P938" s="1051"/>
      <c r="Q938" s="1051"/>
      <c r="R938" s="1052"/>
      <c r="S938" s="1051"/>
      <c r="T938" s="1051"/>
      <c r="U938" s="1052"/>
      <c r="V938" s="1051"/>
      <c r="W938" s="1051"/>
      <c r="X938" s="1052"/>
      <c r="Y938" s="1053"/>
      <c r="Z938" s="1051"/>
      <c r="AA938" s="1051"/>
      <c r="AB938" s="1052"/>
      <c r="AC938" s="1051"/>
      <c r="AD938" s="1051"/>
      <c r="AE938" s="1052"/>
      <c r="AF938" s="1051"/>
      <c r="AG938" s="1051"/>
      <c r="AH938" s="1051"/>
      <c r="AI938" s="1051"/>
      <c r="AJ938" s="1052"/>
      <c r="AK938" s="1051"/>
      <c r="AL938" s="1051"/>
      <c r="AM938" s="1052"/>
      <c r="AN938" s="1051"/>
      <c r="AO938" s="1051"/>
      <c r="AP938" s="1052"/>
      <c r="AQ938" s="1051"/>
      <c r="AR938" s="1051"/>
      <c r="AS938" s="1052"/>
      <c r="AT938" s="1051"/>
      <c r="AU938" s="1051"/>
      <c r="AV938" s="1052"/>
      <c r="AW938" s="1051"/>
      <c r="AX938" s="1051"/>
      <c r="AY938" s="1053"/>
      <c r="AZ938" s="1051"/>
      <c r="BA938" s="1051"/>
      <c r="BB938" s="1053"/>
      <c r="BC938" s="1051"/>
      <c r="BD938" s="1051"/>
      <c r="BE938" s="1053"/>
      <c r="BF938" s="1051"/>
      <c r="BG938" s="1051"/>
      <c r="BH938" s="1053"/>
      <c r="BI938" s="1052"/>
      <c r="BJ938" s="1052"/>
      <c r="BK938" s="1052"/>
      <c r="BL938" s="1052"/>
      <c r="BM938" s="1052"/>
      <c r="BN938" s="1054"/>
      <c r="BO938" s="1076">
        <f t="shared" si="25"/>
        <v>0</v>
      </c>
      <c r="BP938" s="1051"/>
      <c r="BQ938" s="1052"/>
      <c r="BR938" s="1054"/>
      <c r="BS938" s="1053"/>
      <c r="BT938" s="1051"/>
      <c r="BU938" s="1051"/>
      <c r="BV938" s="1051"/>
      <c r="BW938" s="1052"/>
      <c r="BX938" s="1052"/>
      <c r="BY938" s="1052"/>
      <c r="BZ938" s="1052"/>
      <c r="CA938" s="1052"/>
      <c r="CB938" s="1053"/>
      <c r="CC938" s="1053"/>
      <c r="CD938" s="1053"/>
      <c r="CE938" s="1053"/>
      <c r="CF938" s="1053"/>
      <c r="CG938" s="1053"/>
      <c r="CH938" s="1053"/>
      <c r="CI938" s="1123"/>
      <c r="CJ938" s="1123"/>
      <c r="CK938" s="1123"/>
      <c r="CL938" s="1123"/>
      <c r="CM938" s="1123"/>
      <c r="CN938" s="1123"/>
      <c r="CO938" s="1123"/>
      <c r="CP938" s="1123"/>
      <c r="CQ938" s="1123"/>
      <c r="CR938" s="1123"/>
      <c r="CS938" s="1123"/>
      <c r="CT938" s="1123"/>
      <c r="CU938" s="1123"/>
      <c r="CV938" s="1123"/>
      <c r="CW938" s="1123"/>
      <c r="CX938" s="1123"/>
      <c r="CY938" s="1123"/>
      <c r="CZ938" s="1114"/>
      <c r="DA938" s="1114"/>
      <c r="DB938" s="1114"/>
      <c r="DC938" s="1114"/>
      <c r="DD938" s="1114"/>
      <c r="DE938" s="1114"/>
      <c r="DF938" s="1114"/>
      <c r="DG938" s="1114"/>
      <c r="DH938" s="1114"/>
      <c r="DI938" s="1114"/>
      <c r="DJ938" s="1114"/>
      <c r="DK938" s="1114"/>
      <c r="DL938" s="1114"/>
      <c r="DM938" s="1114"/>
      <c r="DN938" s="1114"/>
      <c r="DO938" s="1114"/>
      <c r="DP938" s="1114"/>
      <c r="DQ938" s="1114"/>
      <c r="DR938" s="1114"/>
      <c r="DS938" s="1114"/>
      <c r="DT938" s="1114"/>
      <c r="DU938" s="1114"/>
      <c r="DV938" s="1115"/>
      <c r="DW938" s="1116"/>
      <c r="DX938" s="1116"/>
      <c r="DY938" s="1116"/>
      <c r="DZ938" s="1116"/>
      <c r="EA938" s="1116"/>
      <c r="EB938" s="1116"/>
      <c r="EC938" s="1116"/>
      <c r="ED938" s="1116"/>
      <c r="EE938" s="1116"/>
      <c r="EF938" s="1116"/>
      <c r="EG938" s="1116"/>
      <c r="EH938" s="1116"/>
      <c r="EI938" s="1116"/>
      <c r="EJ938" s="1116"/>
      <c r="EK938" s="1116"/>
      <c r="EL938" s="1116"/>
      <c r="EM938" s="1116"/>
      <c r="EN938" s="1116"/>
      <c r="EO938" s="1116"/>
      <c r="EP938" s="1116"/>
      <c r="EQ938" s="1116"/>
      <c r="ER938" s="1116"/>
      <c r="ES938" s="1116"/>
    </row>
    <row r="939" spans="1:149" ht="15" customHeight="1">
      <c r="A939" s="1185">
        <v>924</v>
      </c>
      <c r="B939" s="1041"/>
      <c r="C939" s="1050"/>
      <c r="D939" s="1050"/>
      <c r="E939" s="1050"/>
      <c r="F939" s="1049"/>
      <c r="G939" s="1457"/>
      <c r="H939" s="1049"/>
      <c r="I939" s="1049"/>
      <c r="J939" s="1050"/>
      <c r="K939" s="1050"/>
      <c r="L939" s="1043"/>
      <c r="M939" s="1051"/>
      <c r="N939" s="1051"/>
      <c r="O939" s="1052"/>
      <c r="P939" s="1051"/>
      <c r="Q939" s="1051"/>
      <c r="R939" s="1052"/>
      <c r="S939" s="1051"/>
      <c r="T939" s="1051"/>
      <c r="U939" s="1052"/>
      <c r="V939" s="1051"/>
      <c r="W939" s="1051"/>
      <c r="X939" s="1052"/>
      <c r="Y939" s="1053"/>
      <c r="Z939" s="1051"/>
      <c r="AA939" s="1051"/>
      <c r="AB939" s="1052"/>
      <c r="AC939" s="1051"/>
      <c r="AD939" s="1051"/>
      <c r="AE939" s="1052"/>
      <c r="AF939" s="1051"/>
      <c r="AG939" s="1051"/>
      <c r="AH939" s="1051"/>
      <c r="AI939" s="1051"/>
      <c r="AJ939" s="1052"/>
      <c r="AK939" s="1051"/>
      <c r="AL939" s="1051"/>
      <c r="AM939" s="1052"/>
      <c r="AN939" s="1051"/>
      <c r="AO939" s="1051"/>
      <c r="AP939" s="1052"/>
      <c r="AQ939" s="1051"/>
      <c r="AR939" s="1051"/>
      <c r="AS939" s="1052"/>
      <c r="AT939" s="1051"/>
      <c r="AU939" s="1051"/>
      <c r="AV939" s="1052"/>
      <c r="AW939" s="1051"/>
      <c r="AX939" s="1051"/>
      <c r="AY939" s="1053"/>
      <c r="AZ939" s="1051"/>
      <c r="BA939" s="1051"/>
      <c r="BB939" s="1053"/>
      <c r="BC939" s="1051"/>
      <c r="BD939" s="1051"/>
      <c r="BE939" s="1053"/>
      <c r="BF939" s="1051"/>
      <c r="BG939" s="1051"/>
      <c r="BH939" s="1053"/>
      <c r="BI939" s="1052"/>
      <c r="BJ939" s="1052"/>
      <c r="BK939" s="1052"/>
      <c r="BL939" s="1052"/>
      <c r="BM939" s="1052"/>
      <c r="BN939" s="1054"/>
      <c r="BO939" s="1076">
        <f t="shared" si="25"/>
        <v>0</v>
      </c>
      <c r="BP939" s="1051"/>
      <c r="BQ939" s="1052"/>
      <c r="BR939" s="1054"/>
      <c r="BS939" s="1053"/>
      <c r="BT939" s="1051"/>
      <c r="BU939" s="1051"/>
      <c r="BV939" s="1051"/>
      <c r="BW939" s="1052"/>
      <c r="BX939" s="1052"/>
      <c r="BY939" s="1052"/>
      <c r="BZ939" s="1052"/>
      <c r="CA939" s="1052"/>
      <c r="CB939" s="1053"/>
      <c r="CC939" s="1053"/>
      <c r="CD939" s="1053"/>
      <c r="CE939" s="1053"/>
      <c r="CF939" s="1053"/>
      <c r="CG939" s="1053"/>
      <c r="CH939" s="1053"/>
      <c r="CI939" s="1123"/>
      <c r="CJ939" s="1123"/>
      <c r="CK939" s="1123"/>
      <c r="CL939" s="1123"/>
      <c r="CM939" s="1123"/>
      <c r="CN939" s="1123"/>
      <c r="CO939" s="1123"/>
      <c r="CP939" s="1123"/>
      <c r="CQ939" s="1123"/>
      <c r="CR939" s="1123"/>
      <c r="CS939" s="1123"/>
      <c r="CT939" s="1123"/>
      <c r="CU939" s="1123"/>
      <c r="CV939" s="1123"/>
      <c r="CW939" s="1123"/>
      <c r="CX939" s="1123"/>
      <c r="CY939" s="1123"/>
      <c r="CZ939" s="1114"/>
      <c r="DA939" s="1114"/>
      <c r="DB939" s="1114"/>
      <c r="DC939" s="1114"/>
      <c r="DD939" s="1114"/>
      <c r="DE939" s="1114"/>
      <c r="DF939" s="1114"/>
      <c r="DG939" s="1114"/>
      <c r="DH939" s="1114"/>
      <c r="DI939" s="1114"/>
      <c r="DJ939" s="1114"/>
      <c r="DK939" s="1114"/>
      <c r="DL939" s="1114"/>
      <c r="DM939" s="1114"/>
      <c r="DN939" s="1114"/>
      <c r="DO939" s="1114"/>
      <c r="DP939" s="1114"/>
      <c r="DQ939" s="1114"/>
      <c r="DR939" s="1114"/>
      <c r="DS939" s="1114"/>
      <c r="DT939" s="1114"/>
      <c r="DU939" s="1114"/>
      <c r="DV939" s="1115"/>
      <c r="DW939" s="1116"/>
      <c r="DX939" s="1116"/>
      <c r="DY939" s="1116"/>
      <c r="DZ939" s="1116"/>
      <c r="EA939" s="1116"/>
      <c r="EB939" s="1116"/>
      <c r="EC939" s="1116"/>
      <c r="ED939" s="1116"/>
      <c r="EE939" s="1116"/>
      <c r="EF939" s="1116"/>
      <c r="EG939" s="1116"/>
      <c r="EH939" s="1116"/>
      <c r="EI939" s="1116"/>
      <c r="EJ939" s="1116"/>
      <c r="EK939" s="1116"/>
      <c r="EL939" s="1116"/>
      <c r="EM939" s="1116"/>
      <c r="EN939" s="1116"/>
      <c r="EO939" s="1116"/>
      <c r="EP939" s="1116"/>
      <c r="EQ939" s="1116"/>
      <c r="ER939" s="1116"/>
      <c r="ES939" s="1116"/>
    </row>
    <row r="940" spans="1:149" ht="15" customHeight="1">
      <c r="A940" s="1185">
        <v>925</v>
      </c>
      <c r="B940" s="1041"/>
      <c r="C940" s="1050"/>
      <c r="D940" s="1050"/>
      <c r="E940" s="1050"/>
      <c r="F940" s="1049"/>
      <c r="G940" s="1457"/>
      <c r="H940" s="1049"/>
      <c r="I940" s="1049"/>
      <c r="J940" s="1050"/>
      <c r="K940" s="1050"/>
      <c r="L940" s="1043"/>
      <c r="M940" s="1051"/>
      <c r="N940" s="1051"/>
      <c r="O940" s="1052"/>
      <c r="P940" s="1051"/>
      <c r="Q940" s="1051"/>
      <c r="R940" s="1052"/>
      <c r="S940" s="1051"/>
      <c r="T940" s="1051"/>
      <c r="U940" s="1052"/>
      <c r="V940" s="1051"/>
      <c r="W940" s="1051"/>
      <c r="X940" s="1052"/>
      <c r="Y940" s="1053"/>
      <c r="Z940" s="1051"/>
      <c r="AA940" s="1051"/>
      <c r="AB940" s="1052"/>
      <c r="AC940" s="1051"/>
      <c r="AD940" s="1051"/>
      <c r="AE940" s="1052"/>
      <c r="AF940" s="1051"/>
      <c r="AG940" s="1051"/>
      <c r="AH940" s="1051"/>
      <c r="AI940" s="1051"/>
      <c r="AJ940" s="1052"/>
      <c r="AK940" s="1051"/>
      <c r="AL940" s="1051"/>
      <c r="AM940" s="1052"/>
      <c r="AN940" s="1051"/>
      <c r="AO940" s="1051"/>
      <c r="AP940" s="1052"/>
      <c r="AQ940" s="1051"/>
      <c r="AR940" s="1051"/>
      <c r="AS940" s="1052"/>
      <c r="AT940" s="1051"/>
      <c r="AU940" s="1051"/>
      <c r="AV940" s="1052"/>
      <c r="AW940" s="1051"/>
      <c r="AX940" s="1051"/>
      <c r="AY940" s="1053"/>
      <c r="AZ940" s="1051"/>
      <c r="BA940" s="1051"/>
      <c r="BB940" s="1053"/>
      <c r="BC940" s="1051"/>
      <c r="BD940" s="1051"/>
      <c r="BE940" s="1053"/>
      <c r="BF940" s="1051"/>
      <c r="BG940" s="1051"/>
      <c r="BH940" s="1053"/>
      <c r="BI940" s="1052"/>
      <c r="BJ940" s="1052"/>
      <c r="BK940" s="1052"/>
      <c r="BL940" s="1052"/>
      <c r="BM940" s="1052"/>
      <c r="BN940" s="1054"/>
      <c r="BO940" s="1076">
        <f t="shared" si="25"/>
        <v>0</v>
      </c>
      <c r="BP940" s="1051"/>
      <c r="BQ940" s="1052"/>
      <c r="BR940" s="1054"/>
      <c r="BS940" s="1053"/>
      <c r="BT940" s="1051"/>
      <c r="BU940" s="1051"/>
      <c r="BV940" s="1051"/>
      <c r="BW940" s="1052"/>
      <c r="BX940" s="1052"/>
      <c r="BY940" s="1052"/>
      <c r="BZ940" s="1052"/>
      <c r="CA940" s="1052"/>
      <c r="CB940" s="1053"/>
      <c r="CC940" s="1053"/>
      <c r="CD940" s="1053"/>
      <c r="CE940" s="1053"/>
      <c r="CF940" s="1053"/>
      <c r="CG940" s="1053"/>
      <c r="CH940" s="1053"/>
      <c r="CI940" s="1123"/>
      <c r="CJ940" s="1123"/>
      <c r="CK940" s="1123"/>
      <c r="CL940" s="1123"/>
      <c r="CM940" s="1123"/>
      <c r="CN940" s="1123"/>
      <c r="CO940" s="1123"/>
      <c r="CP940" s="1123"/>
      <c r="CQ940" s="1123"/>
      <c r="CR940" s="1123"/>
      <c r="CS940" s="1123"/>
      <c r="CT940" s="1123"/>
      <c r="CU940" s="1123"/>
      <c r="CV940" s="1123"/>
      <c r="CW940" s="1123"/>
      <c r="CX940" s="1123"/>
      <c r="CY940" s="1123"/>
      <c r="CZ940" s="1114"/>
      <c r="DA940" s="1114"/>
      <c r="DB940" s="1114"/>
      <c r="DC940" s="1114"/>
      <c r="DD940" s="1114"/>
      <c r="DE940" s="1114"/>
      <c r="DF940" s="1114"/>
      <c r="DG940" s="1114"/>
      <c r="DH940" s="1114"/>
      <c r="DI940" s="1114"/>
      <c r="DJ940" s="1114"/>
      <c r="DK940" s="1114"/>
      <c r="DL940" s="1114"/>
      <c r="DM940" s="1114"/>
      <c r="DN940" s="1114"/>
      <c r="DO940" s="1114"/>
      <c r="DP940" s="1114"/>
      <c r="DQ940" s="1114"/>
      <c r="DR940" s="1114"/>
      <c r="DS940" s="1114"/>
      <c r="DT940" s="1114"/>
      <c r="DU940" s="1114"/>
      <c r="DV940" s="1115"/>
      <c r="DW940" s="1116"/>
      <c r="DX940" s="1116"/>
      <c r="DY940" s="1116"/>
      <c r="DZ940" s="1116"/>
      <c r="EA940" s="1116"/>
      <c r="EB940" s="1116"/>
      <c r="EC940" s="1116"/>
      <c r="ED940" s="1116"/>
      <c r="EE940" s="1116"/>
      <c r="EF940" s="1116"/>
      <c r="EG940" s="1116"/>
      <c r="EH940" s="1116"/>
      <c r="EI940" s="1116"/>
      <c r="EJ940" s="1116"/>
      <c r="EK940" s="1116"/>
      <c r="EL940" s="1116"/>
      <c r="EM940" s="1116"/>
      <c r="EN940" s="1116"/>
      <c r="EO940" s="1116"/>
      <c r="EP940" s="1116"/>
      <c r="EQ940" s="1116"/>
      <c r="ER940" s="1116"/>
      <c r="ES940" s="1116"/>
    </row>
    <row r="941" spans="1:149" ht="15" customHeight="1">
      <c r="A941" s="1185">
        <v>926</v>
      </c>
      <c r="B941" s="1041"/>
      <c r="C941" s="1050"/>
      <c r="D941" s="1050"/>
      <c r="E941" s="1050"/>
      <c r="F941" s="1049"/>
      <c r="G941" s="1457"/>
      <c r="H941" s="1049"/>
      <c r="I941" s="1049"/>
      <c r="J941" s="1050"/>
      <c r="K941" s="1050"/>
      <c r="L941" s="1043"/>
      <c r="M941" s="1051"/>
      <c r="N941" s="1051"/>
      <c r="O941" s="1052"/>
      <c r="P941" s="1051"/>
      <c r="Q941" s="1051"/>
      <c r="R941" s="1052"/>
      <c r="S941" s="1051"/>
      <c r="T941" s="1051"/>
      <c r="U941" s="1052"/>
      <c r="V941" s="1051"/>
      <c r="W941" s="1051"/>
      <c r="X941" s="1052"/>
      <c r="Y941" s="1053"/>
      <c r="Z941" s="1051"/>
      <c r="AA941" s="1051"/>
      <c r="AB941" s="1052"/>
      <c r="AC941" s="1051"/>
      <c r="AD941" s="1051"/>
      <c r="AE941" s="1052"/>
      <c r="AF941" s="1051"/>
      <c r="AG941" s="1051"/>
      <c r="AH941" s="1051"/>
      <c r="AI941" s="1051"/>
      <c r="AJ941" s="1052"/>
      <c r="AK941" s="1051"/>
      <c r="AL941" s="1051"/>
      <c r="AM941" s="1052"/>
      <c r="AN941" s="1051"/>
      <c r="AO941" s="1051"/>
      <c r="AP941" s="1052"/>
      <c r="AQ941" s="1051"/>
      <c r="AR941" s="1051"/>
      <c r="AS941" s="1052"/>
      <c r="AT941" s="1051"/>
      <c r="AU941" s="1051"/>
      <c r="AV941" s="1052"/>
      <c r="AW941" s="1051"/>
      <c r="AX941" s="1051"/>
      <c r="AY941" s="1053"/>
      <c r="AZ941" s="1051"/>
      <c r="BA941" s="1051"/>
      <c r="BB941" s="1053"/>
      <c r="BC941" s="1051"/>
      <c r="BD941" s="1051"/>
      <c r="BE941" s="1053"/>
      <c r="BF941" s="1051"/>
      <c r="BG941" s="1051"/>
      <c r="BH941" s="1053"/>
      <c r="BI941" s="1052"/>
      <c r="BJ941" s="1052"/>
      <c r="BK941" s="1052"/>
      <c r="BL941" s="1052"/>
      <c r="BM941" s="1052"/>
      <c r="BN941" s="1054"/>
      <c r="BO941" s="1076">
        <f t="shared" si="25"/>
        <v>0</v>
      </c>
      <c r="BP941" s="1051"/>
      <c r="BQ941" s="1052"/>
      <c r="BR941" s="1054"/>
      <c r="BS941" s="1053"/>
      <c r="BT941" s="1051"/>
      <c r="BU941" s="1051"/>
      <c r="BV941" s="1051"/>
      <c r="BW941" s="1052"/>
      <c r="BX941" s="1052"/>
      <c r="BY941" s="1052"/>
      <c r="BZ941" s="1052"/>
      <c r="CA941" s="1052"/>
      <c r="CB941" s="1053"/>
      <c r="CC941" s="1053"/>
      <c r="CD941" s="1053"/>
      <c r="CE941" s="1053"/>
      <c r="CF941" s="1053"/>
      <c r="CG941" s="1053"/>
      <c r="CH941" s="1053"/>
      <c r="CI941" s="1123"/>
      <c r="CJ941" s="1123"/>
      <c r="CK941" s="1123"/>
      <c r="CL941" s="1123"/>
      <c r="CM941" s="1123"/>
      <c r="CN941" s="1123"/>
      <c r="CO941" s="1123"/>
      <c r="CP941" s="1123"/>
      <c r="CQ941" s="1123"/>
      <c r="CR941" s="1123"/>
      <c r="CS941" s="1123"/>
      <c r="CT941" s="1123"/>
      <c r="CU941" s="1123"/>
      <c r="CV941" s="1123"/>
      <c r="CW941" s="1123"/>
      <c r="CX941" s="1123"/>
      <c r="CY941" s="1123"/>
      <c r="CZ941" s="1114"/>
      <c r="DA941" s="1114"/>
      <c r="DB941" s="1114"/>
      <c r="DC941" s="1114"/>
      <c r="DD941" s="1114"/>
      <c r="DE941" s="1114"/>
      <c r="DF941" s="1114"/>
      <c r="DG941" s="1114"/>
      <c r="DH941" s="1114"/>
      <c r="DI941" s="1114"/>
      <c r="DJ941" s="1114"/>
      <c r="DK941" s="1114"/>
      <c r="DL941" s="1114"/>
      <c r="DM941" s="1114"/>
      <c r="DN941" s="1114"/>
      <c r="DO941" s="1114"/>
      <c r="DP941" s="1114"/>
      <c r="DQ941" s="1114"/>
      <c r="DR941" s="1114"/>
      <c r="DS941" s="1114"/>
      <c r="DT941" s="1114"/>
      <c r="DU941" s="1114"/>
      <c r="DV941" s="1115"/>
      <c r="DW941" s="1116"/>
      <c r="DX941" s="1116"/>
      <c r="DY941" s="1116"/>
      <c r="DZ941" s="1116"/>
      <c r="EA941" s="1116"/>
      <c r="EB941" s="1116"/>
      <c r="EC941" s="1116"/>
      <c r="ED941" s="1116"/>
      <c r="EE941" s="1116"/>
      <c r="EF941" s="1116"/>
      <c r="EG941" s="1116"/>
      <c r="EH941" s="1116"/>
      <c r="EI941" s="1116"/>
      <c r="EJ941" s="1116"/>
      <c r="EK941" s="1116"/>
      <c r="EL941" s="1116"/>
      <c r="EM941" s="1116"/>
      <c r="EN941" s="1116"/>
      <c r="EO941" s="1116"/>
      <c r="EP941" s="1116"/>
      <c r="EQ941" s="1116"/>
      <c r="ER941" s="1116"/>
      <c r="ES941" s="1116"/>
    </row>
    <row r="942" spans="1:149" ht="15" customHeight="1">
      <c r="A942" s="1185">
        <v>927</v>
      </c>
      <c r="B942" s="1041"/>
      <c r="C942" s="1050"/>
      <c r="D942" s="1050"/>
      <c r="E942" s="1050"/>
      <c r="F942" s="1049"/>
      <c r="G942" s="1457"/>
      <c r="H942" s="1049"/>
      <c r="I942" s="1049"/>
      <c r="J942" s="1050"/>
      <c r="K942" s="1050"/>
      <c r="L942" s="1043"/>
      <c r="M942" s="1051"/>
      <c r="N942" s="1051"/>
      <c r="O942" s="1052"/>
      <c r="P942" s="1051"/>
      <c r="Q942" s="1051"/>
      <c r="R942" s="1052"/>
      <c r="S942" s="1051"/>
      <c r="T942" s="1051"/>
      <c r="U942" s="1052"/>
      <c r="V942" s="1051"/>
      <c r="W942" s="1051"/>
      <c r="X942" s="1052"/>
      <c r="Y942" s="1053"/>
      <c r="Z942" s="1051"/>
      <c r="AA942" s="1051"/>
      <c r="AB942" s="1052"/>
      <c r="AC942" s="1051"/>
      <c r="AD942" s="1051"/>
      <c r="AE942" s="1052"/>
      <c r="AF942" s="1051"/>
      <c r="AG942" s="1051"/>
      <c r="AH942" s="1051"/>
      <c r="AI942" s="1051"/>
      <c r="AJ942" s="1052"/>
      <c r="AK942" s="1051"/>
      <c r="AL942" s="1051"/>
      <c r="AM942" s="1052"/>
      <c r="AN942" s="1051"/>
      <c r="AO942" s="1051"/>
      <c r="AP942" s="1052"/>
      <c r="AQ942" s="1051"/>
      <c r="AR942" s="1051"/>
      <c r="AS942" s="1052"/>
      <c r="AT942" s="1051"/>
      <c r="AU942" s="1051"/>
      <c r="AV942" s="1052"/>
      <c r="AW942" s="1051"/>
      <c r="AX942" s="1051"/>
      <c r="AY942" s="1053"/>
      <c r="AZ942" s="1051"/>
      <c r="BA942" s="1051"/>
      <c r="BB942" s="1053"/>
      <c r="BC942" s="1051"/>
      <c r="BD942" s="1051"/>
      <c r="BE942" s="1053"/>
      <c r="BF942" s="1051"/>
      <c r="BG942" s="1051"/>
      <c r="BH942" s="1053"/>
      <c r="BI942" s="1052"/>
      <c r="BJ942" s="1052"/>
      <c r="BK942" s="1052"/>
      <c r="BL942" s="1052"/>
      <c r="BM942" s="1052"/>
      <c r="BN942" s="1054"/>
      <c r="BO942" s="1076">
        <f t="shared" si="25"/>
        <v>0</v>
      </c>
      <c r="BP942" s="1051"/>
      <c r="BQ942" s="1052"/>
      <c r="BR942" s="1054"/>
      <c r="BS942" s="1053"/>
      <c r="BT942" s="1051"/>
      <c r="BU942" s="1051"/>
      <c r="BV942" s="1051"/>
      <c r="BW942" s="1052"/>
      <c r="BX942" s="1052"/>
      <c r="BY942" s="1052"/>
      <c r="BZ942" s="1052"/>
      <c r="CA942" s="1052"/>
      <c r="CB942" s="1053"/>
      <c r="CC942" s="1053"/>
      <c r="CD942" s="1053"/>
      <c r="CE942" s="1053"/>
      <c r="CF942" s="1053"/>
      <c r="CG942" s="1053"/>
      <c r="CH942" s="1053"/>
      <c r="CI942" s="1123"/>
      <c r="CJ942" s="1123"/>
      <c r="CK942" s="1123"/>
      <c r="CL942" s="1123"/>
      <c r="CM942" s="1123"/>
      <c r="CN942" s="1123"/>
      <c r="CO942" s="1123"/>
      <c r="CP942" s="1123"/>
      <c r="CQ942" s="1123"/>
      <c r="CR942" s="1123"/>
      <c r="CS942" s="1123"/>
      <c r="CT942" s="1123"/>
      <c r="CU942" s="1123"/>
      <c r="CV942" s="1123"/>
      <c r="CW942" s="1123"/>
      <c r="CX942" s="1123"/>
      <c r="CY942" s="1123"/>
      <c r="CZ942" s="1114"/>
      <c r="DA942" s="1114"/>
      <c r="DB942" s="1114"/>
      <c r="DC942" s="1114"/>
      <c r="DD942" s="1114"/>
      <c r="DE942" s="1114"/>
      <c r="DF942" s="1114"/>
      <c r="DG942" s="1114"/>
      <c r="DH942" s="1114"/>
      <c r="DI942" s="1114"/>
      <c r="DJ942" s="1114"/>
      <c r="DK942" s="1114"/>
      <c r="DL942" s="1114"/>
      <c r="DM942" s="1114"/>
      <c r="DN942" s="1114"/>
      <c r="DO942" s="1114"/>
      <c r="DP942" s="1114"/>
      <c r="DQ942" s="1114"/>
      <c r="DR942" s="1114"/>
      <c r="DS942" s="1114"/>
      <c r="DT942" s="1114"/>
      <c r="DU942" s="1114"/>
      <c r="DV942" s="1115"/>
      <c r="DW942" s="1116"/>
      <c r="DX942" s="1116"/>
      <c r="DY942" s="1116"/>
      <c r="DZ942" s="1116"/>
      <c r="EA942" s="1116"/>
      <c r="EB942" s="1116"/>
      <c r="EC942" s="1116"/>
      <c r="ED942" s="1116"/>
      <c r="EE942" s="1116"/>
      <c r="EF942" s="1116"/>
      <c r="EG942" s="1116"/>
      <c r="EH942" s="1116"/>
      <c r="EI942" s="1116"/>
      <c r="EJ942" s="1116"/>
      <c r="EK942" s="1116"/>
      <c r="EL942" s="1116"/>
      <c r="EM942" s="1116"/>
      <c r="EN942" s="1116"/>
      <c r="EO942" s="1116"/>
      <c r="EP942" s="1116"/>
      <c r="EQ942" s="1116"/>
      <c r="ER942" s="1116"/>
      <c r="ES942" s="1116"/>
    </row>
    <row r="943" spans="1:149" ht="15" customHeight="1">
      <c r="A943" s="1185">
        <v>928</v>
      </c>
      <c r="B943" s="1041"/>
      <c r="C943" s="1050"/>
      <c r="D943" s="1050"/>
      <c r="E943" s="1050"/>
      <c r="F943" s="1049"/>
      <c r="G943" s="1457"/>
      <c r="H943" s="1049"/>
      <c r="I943" s="1049"/>
      <c r="J943" s="1050"/>
      <c r="K943" s="1050"/>
      <c r="L943" s="1043"/>
      <c r="M943" s="1051"/>
      <c r="N943" s="1051"/>
      <c r="O943" s="1052"/>
      <c r="P943" s="1051"/>
      <c r="Q943" s="1051"/>
      <c r="R943" s="1052"/>
      <c r="S943" s="1051"/>
      <c r="T943" s="1051"/>
      <c r="U943" s="1052"/>
      <c r="V943" s="1051"/>
      <c r="W943" s="1051"/>
      <c r="X943" s="1052"/>
      <c r="Y943" s="1053"/>
      <c r="Z943" s="1051"/>
      <c r="AA943" s="1051"/>
      <c r="AB943" s="1052"/>
      <c r="AC943" s="1051"/>
      <c r="AD943" s="1051"/>
      <c r="AE943" s="1052"/>
      <c r="AF943" s="1051"/>
      <c r="AG943" s="1051"/>
      <c r="AH943" s="1051"/>
      <c r="AI943" s="1051"/>
      <c r="AJ943" s="1052"/>
      <c r="AK943" s="1051"/>
      <c r="AL943" s="1051"/>
      <c r="AM943" s="1052"/>
      <c r="AN943" s="1051"/>
      <c r="AO943" s="1051"/>
      <c r="AP943" s="1052"/>
      <c r="AQ943" s="1051"/>
      <c r="AR943" s="1051"/>
      <c r="AS943" s="1052"/>
      <c r="AT943" s="1051"/>
      <c r="AU943" s="1051"/>
      <c r="AV943" s="1052"/>
      <c r="AW943" s="1051"/>
      <c r="AX943" s="1051"/>
      <c r="AY943" s="1053"/>
      <c r="AZ943" s="1051"/>
      <c r="BA943" s="1051"/>
      <c r="BB943" s="1053"/>
      <c r="BC943" s="1051"/>
      <c r="BD943" s="1051"/>
      <c r="BE943" s="1053"/>
      <c r="BF943" s="1051"/>
      <c r="BG943" s="1051"/>
      <c r="BH943" s="1053"/>
      <c r="BI943" s="1052"/>
      <c r="BJ943" s="1052"/>
      <c r="BK943" s="1052"/>
      <c r="BL943" s="1052"/>
      <c r="BM943" s="1052"/>
      <c r="BN943" s="1054"/>
      <c r="BO943" s="1076">
        <f t="shared" si="25"/>
        <v>0</v>
      </c>
      <c r="BP943" s="1051"/>
      <c r="BQ943" s="1052"/>
      <c r="BR943" s="1054"/>
      <c r="BS943" s="1053"/>
      <c r="BT943" s="1051"/>
      <c r="BU943" s="1051"/>
      <c r="BV943" s="1051"/>
      <c r="BW943" s="1052"/>
      <c r="BX943" s="1052"/>
      <c r="BY943" s="1052"/>
      <c r="BZ943" s="1052"/>
      <c r="CA943" s="1052"/>
      <c r="CB943" s="1053"/>
      <c r="CC943" s="1053"/>
      <c r="CD943" s="1053"/>
      <c r="CE943" s="1053"/>
      <c r="CF943" s="1053"/>
      <c r="CG943" s="1053"/>
      <c r="CH943" s="1053"/>
      <c r="CI943" s="1123"/>
      <c r="CJ943" s="1123"/>
      <c r="CK943" s="1123"/>
      <c r="CL943" s="1123"/>
      <c r="CM943" s="1123"/>
      <c r="CN943" s="1123"/>
      <c r="CO943" s="1123"/>
      <c r="CP943" s="1123"/>
      <c r="CQ943" s="1123"/>
      <c r="CR943" s="1123"/>
      <c r="CS943" s="1123"/>
      <c r="CT943" s="1123"/>
      <c r="CU943" s="1123"/>
      <c r="CV943" s="1123"/>
      <c r="CW943" s="1123"/>
      <c r="CX943" s="1123"/>
      <c r="CY943" s="1123"/>
      <c r="CZ943" s="1114"/>
      <c r="DA943" s="1114"/>
      <c r="DB943" s="1114"/>
      <c r="DC943" s="1114"/>
      <c r="DD943" s="1114"/>
      <c r="DE943" s="1114"/>
      <c r="DF943" s="1114"/>
      <c r="DG943" s="1114"/>
      <c r="DH943" s="1114"/>
      <c r="DI943" s="1114"/>
      <c r="DJ943" s="1114"/>
      <c r="DK943" s="1114"/>
      <c r="DL943" s="1114"/>
      <c r="DM943" s="1114"/>
      <c r="DN943" s="1114"/>
      <c r="DO943" s="1114"/>
      <c r="DP943" s="1114"/>
      <c r="DQ943" s="1114"/>
      <c r="DR943" s="1114"/>
      <c r="DS943" s="1114"/>
      <c r="DT943" s="1114"/>
      <c r="DU943" s="1114"/>
      <c r="DV943" s="1115"/>
      <c r="DW943" s="1116"/>
      <c r="DX943" s="1116"/>
      <c r="DY943" s="1116"/>
      <c r="DZ943" s="1116"/>
      <c r="EA943" s="1116"/>
      <c r="EB943" s="1116"/>
      <c r="EC943" s="1116"/>
      <c r="ED943" s="1116"/>
      <c r="EE943" s="1116"/>
      <c r="EF943" s="1116"/>
      <c r="EG943" s="1116"/>
      <c r="EH943" s="1116"/>
      <c r="EI943" s="1116"/>
      <c r="EJ943" s="1116"/>
      <c r="EK943" s="1116"/>
      <c r="EL943" s="1116"/>
      <c r="EM943" s="1116"/>
      <c r="EN943" s="1116"/>
      <c r="EO943" s="1116"/>
      <c r="EP943" s="1116"/>
      <c r="EQ943" s="1116"/>
      <c r="ER943" s="1116"/>
      <c r="ES943" s="1116"/>
    </row>
    <row r="944" spans="1:149" ht="15" customHeight="1">
      <c r="A944" s="1185">
        <v>929</v>
      </c>
      <c r="B944" s="1041"/>
      <c r="C944" s="1050"/>
      <c r="D944" s="1050"/>
      <c r="E944" s="1050"/>
      <c r="F944" s="1049"/>
      <c r="G944" s="1457"/>
      <c r="H944" s="1049"/>
      <c r="I944" s="1049"/>
      <c r="J944" s="1050"/>
      <c r="K944" s="1050"/>
      <c r="L944" s="1043"/>
      <c r="M944" s="1051"/>
      <c r="N944" s="1051"/>
      <c r="O944" s="1052"/>
      <c r="P944" s="1051"/>
      <c r="Q944" s="1051"/>
      <c r="R944" s="1052"/>
      <c r="S944" s="1051"/>
      <c r="T944" s="1051"/>
      <c r="U944" s="1052"/>
      <c r="V944" s="1051"/>
      <c r="W944" s="1051"/>
      <c r="X944" s="1052"/>
      <c r="Y944" s="1053"/>
      <c r="Z944" s="1051"/>
      <c r="AA944" s="1051"/>
      <c r="AB944" s="1052"/>
      <c r="AC944" s="1051"/>
      <c r="AD944" s="1051"/>
      <c r="AE944" s="1052"/>
      <c r="AF944" s="1051"/>
      <c r="AG944" s="1051"/>
      <c r="AH944" s="1051"/>
      <c r="AI944" s="1051"/>
      <c r="AJ944" s="1052"/>
      <c r="AK944" s="1051"/>
      <c r="AL944" s="1051"/>
      <c r="AM944" s="1052"/>
      <c r="AN944" s="1051"/>
      <c r="AO944" s="1051"/>
      <c r="AP944" s="1052"/>
      <c r="AQ944" s="1051"/>
      <c r="AR944" s="1051"/>
      <c r="AS944" s="1052"/>
      <c r="AT944" s="1051"/>
      <c r="AU944" s="1051"/>
      <c r="AV944" s="1052"/>
      <c r="AW944" s="1051"/>
      <c r="AX944" s="1051"/>
      <c r="AY944" s="1053"/>
      <c r="AZ944" s="1051"/>
      <c r="BA944" s="1051"/>
      <c r="BB944" s="1053"/>
      <c r="BC944" s="1051"/>
      <c r="BD944" s="1051"/>
      <c r="BE944" s="1053"/>
      <c r="BF944" s="1051"/>
      <c r="BG944" s="1051"/>
      <c r="BH944" s="1053"/>
      <c r="BI944" s="1052"/>
      <c r="BJ944" s="1052"/>
      <c r="BK944" s="1052"/>
      <c r="BL944" s="1052"/>
      <c r="BM944" s="1052"/>
      <c r="BN944" s="1054"/>
      <c r="BO944" s="1076">
        <f t="shared" si="25"/>
        <v>0</v>
      </c>
      <c r="BP944" s="1051"/>
      <c r="BQ944" s="1052"/>
      <c r="BR944" s="1054"/>
      <c r="BS944" s="1053"/>
      <c r="BT944" s="1051"/>
      <c r="BU944" s="1051"/>
      <c r="BV944" s="1051"/>
      <c r="BW944" s="1052"/>
      <c r="BX944" s="1052"/>
      <c r="BY944" s="1052"/>
      <c r="BZ944" s="1052"/>
      <c r="CA944" s="1052"/>
      <c r="CB944" s="1053"/>
      <c r="CC944" s="1053"/>
      <c r="CD944" s="1053"/>
      <c r="CE944" s="1053"/>
      <c r="CF944" s="1053"/>
      <c r="CG944" s="1053"/>
      <c r="CH944" s="1053"/>
      <c r="CI944" s="1123"/>
      <c r="CJ944" s="1123"/>
      <c r="CK944" s="1123"/>
      <c r="CL944" s="1123"/>
      <c r="CM944" s="1123"/>
      <c r="CN944" s="1123"/>
      <c r="CO944" s="1123"/>
      <c r="CP944" s="1123"/>
      <c r="CQ944" s="1123"/>
      <c r="CR944" s="1123"/>
      <c r="CS944" s="1123"/>
      <c r="CT944" s="1123"/>
      <c r="CU944" s="1123"/>
      <c r="CV944" s="1123"/>
      <c r="CW944" s="1123"/>
      <c r="CX944" s="1123"/>
      <c r="CY944" s="1123"/>
      <c r="CZ944" s="1114"/>
      <c r="DA944" s="1114"/>
      <c r="DB944" s="1114"/>
      <c r="DC944" s="1114"/>
      <c r="DD944" s="1114"/>
      <c r="DE944" s="1114"/>
      <c r="DF944" s="1114"/>
      <c r="DG944" s="1114"/>
      <c r="DH944" s="1114"/>
      <c r="DI944" s="1114"/>
      <c r="DJ944" s="1114"/>
      <c r="DK944" s="1114"/>
      <c r="DL944" s="1114"/>
      <c r="DM944" s="1114"/>
      <c r="DN944" s="1114"/>
      <c r="DO944" s="1114"/>
      <c r="DP944" s="1114"/>
      <c r="DQ944" s="1114"/>
      <c r="DR944" s="1114"/>
      <c r="DS944" s="1114"/>
      <c r="DT944" s="1114"/>
      <c r="DU944" s="1114"/>
      <c r="DV944" s="1115"/>
      <c r="DW944" s="1116"/>
      <c r="DX944" s="1116"/>
      <c r="DY944" s="1116"/>
      <c r="DZ944" s="1116"/>
      <c r="EA944" s="1116"/>
      <c r="EB944" s="1116"/>
      <c r="EC944" s="1116"/>
      <c r="ED944" s="1116"/>
      <c r="EE944" s="1116"/>
      <c r="EF944" s="1116"/>
      <c r="EG944" s="1116"/>
      <c r="EH944" s="1116"/>
      <c r="EI944" s="1116"/>
      <c r="EJ944" s="1116"/>
      <c r="EK944" s="1116"/>
      <c r="EL944" s="1116"/>
      <c r="EM944" s="1116"/>
      <c r="EN944" s="1116"/>
      <c r="EO944" s="1116"/>
      <c r="EP944" s="1116"/>
      <c r="EQ944" s="1116"/>
      <c r="ER944" s="1116"/>
      <c r="ES944" s="1116"/>
    </row>
    <row r="945" spans="1:149" ht="15" customHeight="1">
      <c r="A945" s="1185">
        <v>930</v>
      </c>
      <c r="B945" s="1041"/>
      <c r="C945" s="1050"/>
      <c r="D945" s="1050"/>
      <c r="E945" s="1050"/>
      <c r="F945" s="1049"/>
      <c r="G945" s="1457"/>
      <c r="H945" s="1049"/>
      <c r="I945" s="1049"/>
      <c r="J945" s="1050"/>
      <c r="K945" s="1050"/>
      <c r="L945" s="1043"/>
      <c r="M945" s="1051"/>
      <c r="N945" s="1051"/>
      <c r="O945" s="1052"/>
      <c r="P945" s="1051"/>
      <c r="Q945" s="1051"/>
      <c r="R945" s="1052"/>
      <c r="S945" s="1051"/>
      <c r="T945" s="1051"/>
      <c r="U945" s="1052"/>
      <c r="V945" s="1051"/>
      <c r="W945" s="1051"/>
      <c r="X945" s="1052"/>
      <c r="Y945" s="1053"/>
      <c r="Z945" s="1051"/>
      <c r="AA945" s="1051"/>
      <c r="AB945" s="1052"/>
      <c r="AC945" s="1051"/>
      <c r="AD945" s="1051"/>
      <c r="AE945" s="1052"/>
      <c r="AF945" s="1051"/>
      <c r="AG945" s="1051"/>
      <c r="AH945" s="1051"/>
      <c r="AI945" s="1051"/>
      <c r="AJ945" s="1052"/>
      <c r="AK945" s="1051"/>
      <c r="AL945" s="1051"/>
      <c r="AM945" s="1052"/>
      <c r="AN945" s="1051"/>
      <c r="AO945" s="1051"/>
      <c r="AP945" s="1052"/>
      <c r="AQ945" s="1051"/>
      <c r="AR945" s="1051"/>
      <c r="AS945" s="1052"/>
      <c r="AT945" s="1051"/>
      <c r="AU945" s="1051"/>
      <c r="AV945" s="1052"/>
      <c r="AW945" s="1051"/>
      <c r="AX945" s="1051"/>
      <c r="AY945" s="1053"/>
      <c r="AZ945" s="1051"/>
      <c r="BA945" s="1051"/>
      <c r="BB945" s="1053"/>
      <c r="BC945" s="1051"/>
      <c r="BD945" s="1051"/>
      <c r="BE945" s="1053"/>
      <c r="BF945" s="1051"/>
      <c r="BG945" s="1051"/>
      <c r="BH945" s="1053"/>
      <c r="BI945" s="1052"/>
      <c r="BJ945" s="1052"/>
      <c r="BK945" s="1052"/>
      <c r="BL945" s="1052"/>
      <c r="BM945" s="1052"/>
      <c r="BN945" s="1054"/>
      <c r="BO945" s="1076">
        <f t="shared" si="25"/>
        <v>0</v>
      </c>
      <c r="BP945" s="1051"/>
      <c r="BQ945" s="1052"/>
      <c r="BR945" s="1054"/>
      <c r="BS945" s="1053"/>
      <c r="BT945" s="1051"/>
      <c r="BU945" s="1051"/>
      <c r="BV945" s="1051"/>
      <c r="BW945" s="1052"/>
      <c r="BX945" s="1052"/>
      <c r="BY945" s="1052"/>
      <c r="BZ945" s="1052"/>
      <c r="CA945" s="1052"/>
      <c r="CB945" s="1053"/>
      <c r="CC945" s="1053"/>
      <c r="CD945" s="1053"/>
      <c r="CE945" s="1053"/>
      <c r="CF945" s="1053"/>
      <c r="CG945" s="1053"/>
      <c r="CH945" s="1053"/>
      <c r="CI945" s="1123"/>
      <c r="CJ945" s="1123"/>
      <c r="CK945" s="1123"/>
      <c r="CL945" s="1123"/>
      <c r="CM945" s="1123"/>
      <c r="CN945" s="1123"/>
      <c r="CO945" s="1123"/>
      <c r="CP945" s="1123"/>
      <c r="CQ945" s="1123"/>
      <c r="CR945" s="1123"/>
      <c r="CS945" s="1123"/>
      <c r="CT945" s="1123"/>
      <c r="CU945" s="1123"/>
      <c r="CV945" s="1123"/>
      <c r="CW945" s="1123"/>
      <c r="CX945" s="1123"/>
      <c r="CY945" s="1123"/>
      <c r="CZ945" s="1114"/>
      <c r="DA945" s="1114"/>
      <c r="DB945" s="1114"/>
      <c r="DC945" s="1114"/>
      <c r="DD945" s="1114"/>
      <c r="DE945" s="1114"/>
      <c r="DF945" s="1114"/>
      <c r="DG945" s="1114"/>
      <c r="DH945" s="1114"/>
      <c r="DI945" s="1114"/>
      <c r="DJ945" s="1114"/>
      <c r="DK945" s="1114"/>
      <c r="DL945" s="1114"/>
      <c r="DM945" s="1114"/>
      <c r="DN945" s="1114"/>
      <c r="DO945" s="1114"/>
      <c r="DP945" s="1114"/>
      <c r="DQ945" s="1114"/>
      <c r="DR945" s="1114"/>
      <c r="DS945" s="1114"/>
      <c r="DT945" s="1114"/>
      <c r="DU945" s="1114"/>
      <c r="DV945" s="1115"/>
      <c r="DW945" s="1116"/>
      <c r="DX945" s="1116"/>
      <c r="DY945" s="1116"/>
      <c r="DZ945" s="1116"/>
      <c r="EA945" s="1116"/>
      <c r="EB945" s="1116"/>
      <c r="EC945" s="1116"/>
      <c r="ED945" s="1116"/>
      <c r="EE945" s="1116"/>
      <c r="EF945" s="1116"/>
      <c r="EG945" s="1116"/>
      <c r="EH945" s="1116"/>
      <c r="EI945" s="1116"/>
      <c r="EJ945" s="1116"/>
      <c r="EK945" s="1116"/>
      <c r="EL945" s="1116"/>
      <c r="EM945" s="1116"/>
      <c r="EN945" s="1116"/>
      <c r="EO945" s="1116"/>
      <c r="EP945" s="1116"/>
      <c r="EQ945" s="1116"/>
      <c r="ER945" s="1116"/>
      <c r="ES945" s="1116"/>
    </row>
    <row r="946" spans="1:149" ht="15" customHeight="1">
      <c r="A946" s="1185">
        <v>931</v>
      </c>
      <c r="B946" s="1041"/>
      <c r="C946" s="1050"/>
      <c r="D946" s="1050"/>
      <c r="E946" s="1050"/>
      <c r="F946" s="1049"/>
      <c r="G946" s="1457"/>
      <c r="H946" s="1049"/>
      <c r="I946" s="1049"/>
      <c r="J946" s="1050"/>
      <c r="K946" s="1050"/>
      <c r="L946" s="1043"/>
      <c r="M946" s="1051"/>
      <c r="N946" s="1051"/>
      <c r="O946" s="1052"/>
      <c r="P946" s="1051"/>
      <c r="Q946" s="1051"/>
      <c r="R946" s="1052"/>
      <c r="S946" s="1051"/>
      <c r="T946" s="1051"/>
      <c r="U946" s="1052"/>
      <c r="V946" s="1051"/>
      <c r="W946" s="1051"/>
      <c r="X946" s="1052"/>
      <c r="Y946" s="1053"/>
      <c r="Z946" s="1051"/>
      <c r="AA946" s="1051"/>
      <c r="AB946" s="1052"/>
      <c r="AC946" s="1051"/>
      <c r="AD946" s="1051"/>
      <c r="AE946" s="1052"/>
      <c r="AF946" s="1051"/>
      <c r="AG946" s="1051"/>
      <c r="AH946" s="1051"/>
      <c r="AI946" s="1051"/>
      <c r="AJ946" s="1052"/>
      <c r="AK946" s="1051"/>
      <c r="AL946" s="1051"/>
      <c r="AM946" s="1052"/>
      <c r="AN946" s="1051"/>
      <c r="AO946" s="1051"/>
      <c r="AP946" s="1052"/>
      <c r="AQ946" s="1051"/>
      <c r="AR946" s="1051"/>
      <c r="AS946" s="1052"/>
      <c r="AT946" s="1051"/>
      <c r="AU946" s="1051"/>
      <c r="AV946" s="1052"/>
      <c r="AW946" s="1051"/>
      <c r="AX946" s="1051"/>
      <c r="AY946" s="1053"/>
      <c r="AZ946" s="1051"/>
      <c r="BA946" s="1051"/>
      <c r="BB946" s="1053"/>
      <c r="BC946" s="1051"/>
      <c r="BD946" s="1051"/>
      <c r="BE946" s="1053"/>
      <c r="BF946" s="1051"/>
      <c r="BG946" s="1051"/>
      <c r="BH946" s="1053"/>
      <c r="BI946" s="1052"/>
      <c r="BJ946" s="1052"/>
      <c r="BK946" s="1052"/>
      <c r="BL946" s="1052"/>
      <c r="BM946" s="1052"/>
      <c r="BN946" s="1054"/>
      <c r="BO946" s="1076">
        <f t="shared" si="25"/>
        <v>0</v>
      </c>
      <c r="BP946" s="1051"/>
      <c r="BQ946" s="1052"/>
      <c r="BR946" s="1054"/>
      <c r="BS946" s="1053"/>
      <c r="BT946" s="1051"/>
      <c r="BU946" s="1051"/>
      <c r="BV946" s="1051"/>
      <c r="BW946" s="1052"/>
      <c r="BX946" s="1052"/>
      <c r="BY946" s="1052"/>
      <c r="BZ946" s="1052"/>
      <c r="CA946" s="1052"/>
      <c r="CB946" s="1053"/>
      <c r="CC946" s="1053"/>
      <c r="CD946" s="1053"/>
      <c r="CE946" s="1053"/>
      <c r="CF946" s="1053"/>
      <c r="CG946" s="1053"/>
      <c r="CH946" s="1053"/>
      <c r="CI946" s="1123"/>
      <c r="CJ946" s="1123"/>
      <c r="CK946" s="1123"/>
      <c r="CL946" s="1123"/>
      <c r="CM946" s="1123"/>
      <c r="CN946" s="1123"/>
      <c r="CO946" s="1123"/>
      <c r="CP946" s="1123"/>
      <c r="CQ946" s="1123"/>
      <c r="CR946" s="1123"/>
      <c r="CS946" s="1123"/>
      <c r="CT946" s="1123"/>
      <c r="CU946" s="1123"/>
      <c r="CV946" s="1123"/>
      <c r="CW946" s="1123"/>
      <c r="CX946" s="1123"/>
      <c r="CY946" s="1123"/>
      <c r="CZ946" s="1114"/>
      <c r="DA946" s="1114"/>
      <c r="DB946" s="1114"/>
      <c r="DC946" s="1114"/>
      <c r="DD946" s="1114"/>
      <c r="DE946" s="1114"/>
      <c r="DF946" s="1114"/>
      <c r="DG946" s="1114"/>
      <c r="DH946" s="1114"/>
      <c r="DI946" s="1114"/>
      <c r="DJ946" s="1114"/>
      <c r="DK946" s="1114"/>
      <c r="DL946" s="1114"/>
      <c r="DM946" s="1114"/>
      <c r="DN946" s="1114"/>
      <c r="DO946" s="1114"/>
      <c r="DP946" s="1114"/>
      <c r="DQ946" s="1114"/>
      <c r="DR946" s="1114"/>
      <c r="DS946" s="1114"/>
      <c r="DT946" s="1114"/>
      <c r="DU946" s="1114"/>
      <c r="DV946" s="1115"/>
      <c r="DW946" s="1116"/>
      <c r="DX946" s="1116"/>
      <c r="DY946" s="1116"/>
      <c r="DZ946" s="1116"/>
      <c r="EA946" s="1116"/>
      <c r="EB946" s="1116"/>
      <c r="EC946" s="1116"/>
      <c r="ED946" s="1116"/>
      <c r="EE946" s="1116"/>
      <c r="EF946" s="1116"/>
      <c r="EG946" s="1116"/>
      <c r="EH946" s="1116"/>
      <c r="EI946" s="1116"/>
      <c r="EJ946" s="1116"/>
      <c r="EK946" s="1116"/>
      <c r="EL946" s="1116"/>
      <c r="EM946" s="1116"/>
      <c r="EN946" s="1116"/>
      <c r="EO946" s="1116"/>
      <c r="EP946" s="1116"/>
      <c r="EQ946" s="1116"/>
      <c r="ER946" s="1116"/>
      <c r="ES946" s="1116"/>
    </row>
    <row r="947" spans="1:149" ht="15" customHeight="1">
      <c r="A947" s="1185">
        <v>932</v>
      </c>
      <c r="B947" s="1041"/>
      <c r="C947" s="1050"/>
      <c r="D947" s="1050"/>
      <c r="E947" s="1050"/>
      <c r="F947" s="1049"/>
      <c r="G947" s="1457"/>
      <c r="H947" s="1049"/>
      <c r="I947" s="1049"/>
      <c r="J947" s="1050"/>
      <c r="K947" s="1050"/>
      <c r="L947" s="1043"/>
      <c r="M947" s="1051"/>
      <c r="N947" s="1051"/>
      <c r="O947" s="1052"/>
      <c r="P947" s="1051"/>
      <c r="Q947" s="1051"/>
      <c r="R947" s="1052"/>
      <c r="S947" s="1051"/>
      <c r="T947" s="1051"/>
      <c r="U947" s="1052"/>
      <c r="V947" s="1051"/>
      <c r="W947" s="1051"/>
      <c r="X947" s="1052"/>
      <c r="Y947" s="1053"/>
      <c r="Z947" s="1051"/>
      <c r="AA947" s="1051"/>
      <c r="AB947" s="1052"/>
      <c r="AC947" s="1051"/>
      <c r="AD947" s="1051"/>
      <c r="AE947" s="1052"/>
      <c r="AF947" s="1051"/>
      <c r="AG947" s="1051"/>
      <c r="AH947" s="1051"/>
      <c r="AI947" s="1051"/>
      <c r="AJ947" s="1052"/>
      <c r="AK947" s="1051"/>
      <c r="AL947" s="1051"/>
      <c r="AM947" s="1052"/>
      <c r="AN947" s="1051"/>
      <c r="AO947" s="1051"/>
      <c r="AP947" s="1052"/>
      <c r="AQ947" s="1051"/>
      <c r="AR947" s="1051"/>
      <c r="AS947" s="1052"/>
      <c r="AT947" s="1051"/>
      <c r="AU947" s="1051"/>
      <c r="AV947" s="1052"/>
      <c r="AW947" s="1051"/>
      <c r="AX947" s="1051"/>
      <c r="AY947" s="1053"/>
      <c r="AZ947" s="1051"/>
      <c r="BA947" s="1051"/>
      <c r="BB947" s="1053"/>
      <c r="BC947" s="1051"/>
      <c r="BD947" s="1051"/>
      <c r="BE947" s="1053"/>
      <c r="BF947" s="1051"/>
      <c r="BG947" s="1051"/>
      <c r="BH947" s="1053"/>
      <c r="BI947" s="1052"/>
      <c r="BJ947" s="1052"/>
      <c r="BK947" s="1052"/>
      <c r="BL947" s="1052"/>
      <c r="BM947" s="1052"/>
      <c r="BN947" s="1054"/>
      <c r="BO947" s="1076">
        <f t="shared" si="25"/>
        <v>0</v>
      </c>
      <c r="BP947" s="1051"/>
      <c r="BQ947" s="1052"/>
      <c r="BR947" s="1054"/>
      <c r="BS947" s="1053"/>
      <c r="BT947" s="1051"/>
      <c r="BU947" s="1051"/>
      <c r="BV947" s="1051"/>
      <c r="BW947" s="1052"/>
      <c r="BX947" s="1052"/>
      <c r="BY947" s="1052"/>
      <c r="BZ947" s="1052"/>
      <c r="CA947" s="1052"/>
      <c r="CB947" s="1053"/>
      <c r="CC947" s="1053"/>
      <c r="CD947" s="1053"/>
      <c r="CE947" s="1053"/>
      <c r="CF947" s="1053"/>
      <c r="CG947" s="1053"/>
      <c r="CH947" s="1053"/>
      <c r="CI947" s="1123"/>
      <c r="CJ947" s="1123"/>
      <c r="CK947" s="1123"/>
      <c r="CL947" s="1123"/>
      <c r="CM947" s="1123"/>
      <c r="CN947" s="1123"/>
      <c r="CO947" s="1123"/>
      <c r="CP947" s="1123"/>
      <c r="CQ947" s="1123"/>
      <c r="CR947" s="1123"/>
      <c r="CS947" s="1123"/>
      <c r="CT947" s="1123"/>
      <c r="CU947" s="1123"/>
      <c r="CV947" s="1123"/>
      <c r="CW947" s="1123"/>
      <c r="CX947" s="1123"/>
      <c r="CY947" s="1123"/>
      <c r="CZ947" s="1114"/>
      <c r="DA947" s="1114"/>
      <c r="DB947" s="1114"/>
      <c r="DC947" s="1114"/>
      <c r="DD947" s="1114"/>
      <c r="DE947" s="1114"/>
      <c r="DF947" s="1114"/>
      <c r="DG947" s="1114"/>
      <c r="DH947" s="1114"/>
      <c r="DI947" s="1114"/>
      <c r="DJ947" s="1114"/>
      <c r="DK947" s="1114"/>
      <c r="DL947" s="1114"/>
      <c r="DM947" s="1114"/>
      <c r="DN947" s="1114"/>
      <c r="DO947" s="1114"/>
      <c r="DP947" s="1114"/>
      <c r="DQ947" s="1114"/>
      <c r="DR947" s="1114"/>
      <c r="DS947" s="1114"/>
      <c r="DT947" s="1114"/>
      <c r="DU947" s="1114"/>
      <c r="DV947" s="1115"/>
      <c r="DW947" s="1116"/>
      <c r="DX947" s="1116"/>
      <c r="DY947" s="1116"/>
      <c r="DZ947" s="1116"/>
      <c r="EA947" s="1116"/>
      <c r="EB947" s="1116"/>
      <c r="EC947" s="1116"/>
      <c r="ED947" s="1116"/>
      <c r="EE947" s="1116"/>
      <c r="EF947" s="1116"/>
      <c r="EG947" s="1116"/>
      <c r="EH947" s="1116"/>
      <c r="EI947" s="1116"/>
      <c r="EJ947" s="1116"/>
      <c r="EK947" s="1116"/>
      <c r="EL947" s="1116"/>
      <c r="EM947" s="1116"/>
      <c r="EN947" s="1116"/>
      <c r="EO947" s="1116"/>
      <c r="EP947" s="1116"/>
      <c r="EQ947" s="1116"/>
      <c r="ER947" s="1116"/>
      <c r="ES947" s="1116"/>
    </row>
    <row r="948" spans="1:149" ht="15" customHeight="1">
      <c r="A948" s="1185">
        <v>933</v>
      </c>
      <c r="B948" s="1041"/>
      <c r="C948" s="1050"/>
      <c r="D948" s="1050"/>
      <c r="E948" s="1050"/>
      <c r="F948" s="1049"/>
      <c r="G948" s="1457"/>
      <c r="H948" s="1049"/>
      <c r="I948" s="1049"/>
      <c r="J948" s="1050"/>
      <c r="K948" s="1050"/>
      <c r="L948" s="1043"/>
      <c r="M948" s="1051"/>
      <c r="N948" s="1051"/>
      <c r="O948" s="1052"/>
      <c r="P948" s="1051"/>
      <c r="Q948" s="1051"/>
      <c r="R948" s="1052"/>
      <c r="S948" s="1051"/>
      <c r="T948" s="1051"/>
      <c r="U948" s="1052"/>
      <c r="V948" s="1051"/>
      <c r="W948" s="1051"/>
      <c r="X948" s="1052"/>
      <c r="Y948" s="1053"/>
      <c r="Z948" s="1051"/>
      <c r="AA948" s="1051"/>
      <c r="AB948" s="1052"/>
      <c r="AC948" s="1051"/>
      <c r="AD948" s="1051"/>
      <c r="AE948" s="1052"/>
      <c r="AF948" s="1051"/>
      <c r="AG948" s="1051"/>
      <c r="AH948" s="1051"/>
      <c r="AI948" s="1051"/>
      <c r="AJ948" s="1052"/>
      <c r="AK948" s="1051"/>
      <c r="AL948" s="1051"/>
      <c r="AM948" s="1052"/>
      <c r="AN948" s="1051"/>
      <c r="AO948" s="1051"/>
      <c r="AP948" s="1052"/>
      <c r="AQ948" s="1051"/>
      <c r="AR948" s="1051"/>
      <c r="AS948" s="1052"/>
      <c r="AT948" s="1051"/>
      <c r="AU948" s="1051"/>
      <c r="AV948" s="1052"/>
      <c r="AW948" s="1051"/>
      <c r="AX948" s="1051"/>
      <c r="AY948" s="1053"/>
      <c r="AZ948" s="1051"/>
      <c r="BA948" s="1051"/>
      <c r="BB948" s="1053"/>
      <c r="BC948" s="1051"/>
      <c r="BD948" s="1051"/>
      <c r="BE948" s="1053"/>
      <c r="BF948" s="1051"/>
      <c r="BG948" s="1051"/>
      <c r="BH948" s="1053"/>
      <c r="BI948" s="1052"/>
      <c r="BJ948" s="1052"/>
      <c r="BK948" s="1052"/>
      <c r="BL948" s="1052"/>
      <c r="BM948" s="1052"/>
      <c r="BN948" s="1054"/>
      <c r="BO948" s="1076">
        <f t="shared" si="25"/>
        <v>0</v>
      </c>
      <c r="BP948" s="1051"/>
      <c r="BQ948" s="1052"/>
      <c r="BR948" s="1054"/>
      <c r="BS948" s="1053"/>
      <c r="BT948" s="1051"/>
      <c r="BU948" s="1051"/>
      <c r="BV948" s="1051"/>
      <c r="BW948" s="1052"/>
      <c r="BX948" s="1052"/>
      <c r="BY948" s="1052"/>
      <c r="BZ948" s="1052"/>
      <c r="CA948" s="1052"/>
      <c r="CB948" s="1053"/>
      <c r="CC948" s="1053"/>
      <c r="CD948" s="1053"/>
      <c r="CE948" s="1053"/>
      <c r="CF948" s="1053"/>
      <c r="CG948" s="1053"/>
      <c r="CH948" s="1053"/>
      <c r="CI948" s="1123"/>
      <c r="CJ948" s="1123"/>
      <c r="CK948" s="1123"/>
      <c r="CL948" s="1123"/>
      <c r="CM948" s="1123"/>
      <c r="CN948" s="1123"/>
      <c r="CO948" s="1123"/>
      <c r="CP948" s="1123"/>
      <c r="CQ948" s="1123"/>
      <c r="CR948" s="1123"/>
      <c r="CS948" s="1123"/>
      <c r="CT948" s="1123"/>
      <c r="CU948" s="1123"/>
      <c r="CV948" s="1123"/>
      <c r="CW948" s="1123"/>
      <c r="CX948" s="1123"/>
      <c r="CY948" s="1123"/>
      <c r="CZ948" s="1114"/>
      <c r="DA948" s="1114"/>
      <c r="DB948" s="1114"/>
      <c r="DC948" s="1114"/>
      <c r="DD948" s="1114"/>
      <c r="DE948" s="1114"/>
      <c r="DF948" s="1114"/>
      <c r="DG948" s="1114"/>
      <c r="DH948" s="1114"/>
      <c r="DI948" s="1114"/>
      <c r="DJ948" s="1114"/>
      <c r="DK948" s="1114"/>
      <c r="DL948" s="1114"/>
      <c r="DM948" s="1114"/>
      <c r="DN948" s="1114"/>
      <c r="DO948" s="1114"/>
      <c r="DP948" s="1114"/>
      <c r="DQ948" s="1114"/>
      <c r="DR948" s="1114"/>
      <c r="DS948" s="1114"/>
      <c r="DT948" s="1114"/>
      <c r="DU948" s="1114"/>
      <c r="DV948" s="1115"/>
      <c r="DW948" s="1116"/>
      <c r="DX948" s="1116"/>
      <c r="DY948" s="1116"/>
      <c r="DZ948" s="1116"/>
      <c r="EA948" s="1116"/>
      <c r="EB948" s="1116"/>
      <c r="EC948" s="1116"/>
      <c r="ED948" s="1116"/>
      <c r="EE948" s="1116"/>
      <c r="EF948" s="1116"/>
      <c r="EG948" s="1116"/>
      <c r="EH948" s="1116"/>
      <c r="EI948" s="1116"/>
      <c r="EJ948" s="1116"/>
      <c r="EK948" s="1116"/>
      <c r="EL948" s="1116"/>
      <c r="EM948" s="1116"/>
      <c r="EN948" s="1116"/>
      <c r="EO948" s="1116"/>
      <c r="EP948" s="1116"/>
      <c r="EQ948" s="1116"/>
      <c r="ER948" s="1116"/>
      <c r="ES948" s="1116"/>
    </row>
    <row r="949" spans="1:149" ht="15" customHeight="1">
      <c r="A949" s="1185">
        <v>934</v>
      </c>
      <c r="B949" s="1041"/>
      <c r="C949" s="1050"/>
      <c r="D949" s="1050"/>
      <c r="E949" s="1050"/>
      <c r="F949" s="1049"/>
      <c r="G949" s="1457"/>
      <c r="H949" s="1049"/>
      <c r="I949" s="1049"/>
      <c r="J949" s="1050"/>
      <c r="K949" s="1050"/>
      <c r="L949" s="1043"/>
      <c r="M949" s="1051"/>
      <c r="N949" s="1051"/>
      <c r="O949" s="1052"/>
      <c r="P949" s="1051"/>
      <c r="Q949" s="1051"/>
      <c r="R949" s="1052"/>
      <c r="S949" s="1051"/>
      <c r="T949" s="1051"/>
      <c r="U949" s="1052"/>
      <c r="V949" s="1051"/>
      <c r="W949" s="1051"/>
      <c r="X949" s="1052"/>
      <c r="Y949" s="1053"/>
      <c r="Z949" s="1051"/>
      <c r="AA949" s="1051"/>
      <c r="AB949" s="1052"/>
      <c r="AC949" s="1051"/>
      <c r="AD949" s="1051"/>
      <c r="AE949" s="1052"/>
      <c r="AF949" s="1051"/>
      <c r="AG949" s="1051"/>
      <c r="AH949" s="1051"/>
      <c r="AI949" s="1051"/>
      <c r="AJ949" s="1052"/>
      <c r="AK949" s="1051"/>
      <c r="AL949" s="1051"/>
      <c r="AM949" s="1052"/>
      <c r="AN949" s="1051"/>
      <c r="AO949" s="1051"/>
      <c r="AP949" s="1052"/>
      <c r="AQ949" s="1051"/>
      <c r="AR949" s="1051"/>
      <c r="AS949" s="1052"/>
      <c r="AT949" s="1051"/>
      <c r="AU949" s="1051"/>
      <c r="AV949" s="1052"/>
      <c r="AW949" s="1051"/>
      <c r="AX949" s="1051"/>
      <c r="AY949" s="1053"/>
      <c r="AZ949" s="1051"/>
      <c r="BA949" s="1051"/>
      <c r="BB949" s="1053"/>
      <c r="BC949" s="1051"/>
      <c r="BD949" s="1051"/>
      <c r="BE949" s="1053"/>
      <c r="BF949" s="1051"/>
      <c r="BG949" s="1051"/>
      <c r="BH949" s="1053"/>
      <c r="BI949" s="1052"/>
      <c r="BJ949" s="1052"/>
      <c r="BK949" s="1052"/>
      <c r="BL949" s="1052"/>
      <c r="BM949" s="1052"/>
      <c r="BN949" s="1054"/>
      <c r="BO949" s="1076">
        <f t="shared" si="25"/>
        <v>0</v>
      </c>
      <c r="BP949" s="1051"/>
      <c r="BQ949" s="1052"/>
      <c r="BR949" s="1054"/>
      <c r="BS949" s="1053"/>
      <c r="BT949" s="1051"/>
      <c r="BU949" s="1051"/>
      <c r="BV949" s="1051"/>
      <c r="BW949" s="1052"/>
      <c r="BX949" s="1052"/>
      <c r="BY949" s="1052"/>
      <c r="BZ949" s="1052"/>
      <c r="CA949" s="1052"/>
      <c r="CB949" s="1053"/>
      <c r="CC949" s="1053"/>
      <c r="CD949" s="1053"/>
      <c r="CE949" s="1053"/>
      <c r="CF949" s="1053"/>
      <c r="CG949" s="1053"/>
      <c r="CH949" s="1053"/>
      <c r="CI949" s="1123"/>
      <c r="CJ949" s="1123"/>
      <c r="CK949" s="1123"/>
      <c r="CL949" s="1123"/>
      <c r="CM949" s="1123"/>
      <c r="CN949" s="1123"/>
      <c r="CO949" s="1123"/>
      <c r="CP949" s="1123"/>
      <c r="CQ949" s="1123"/>
      <c r="CR949" s="1123"/>
      <c r="CS949" s="1123"/>
      <c r="CT949" s="1123"/>
      <c r="CU949" s="1123"/>
      <c r="CV949" s="1123"/>
      <c r="CW949" s="1123"/>
      <c r="CX949" s="1123"/>
      <c r="CY949" s="1123"/>
      <c r="CZ949" s="1114"/>
      <c r="DA949" s="1114"/>
      <c r="DB949" s="1114"/>
      <c r="DC949" s="1114"/>
      <c r="DD949" s="1114"/>
      <c r="DE949" s="1114"/>
      <c r="DF949" s="1114"/>
      <c r="DG949" s="1114"/>
      <c r="DH949" s="1114"/>
      <c r="DI949" s="1114"/>
      <c r="DJ949" s="1114"/>
      <c r="DK949" s="1114"/>
      <c r="DL949" s="1114"/>
      <c r="DM949" s="1114"/>
      <c r="DN949" s="1114"/>
      <c r="DO949" s="1114"/>
      <c r="DP949" s="1114"/>
      <c r="DQ949" s="1114"/>
      <c r="DR949" s="1114"/>
      <c r="DS949" s="1114"/>
      <c r="DT949" s="1114"/>
      <c r="DU949" s="1114"/>
      <c r="DV949" s="1115"/>
      <c r="DW949" s="1116"/>
      <c r="DX949" s="1116"/>
      <c r="DY949" s="1116"/>
      <c r="DZ949" s="1116"/>
      <c r="EA949" s="1116"/>
      <c r="EB949" s="1116"/>
      <c r="EC949" s="1116"/>
      <c r="ED949" s="1116"/>
      <c r="EE949" s="1116"/>
      <c r="EF949" s="1116"/>
      <c r="EG949" s="1116"/>
      <c r="EH949" s="1116"/>
      <c r="EI949" s="1116"/>
      <c r="EJ949" s="1116"/>
      <c r="EK949" s="1116"/>
      <c r="EL949" s="1116"/>
      <c r="EM949" s="1116"/>
      <c r="EN949" s="1116"/>
      <c r="EO949" s="1116"/>
      <c r="EP949" s="1116"/>
      <c r="EQ949" s="1116"/>
      <c r="ER949" s="1116"/>
      <c r="ES949" s="1116"/>
    </row>
    <row r="950" spans="1:149" ht="15" customHeight="1">
      <c r="A950" s="1185">
        <v>935</v>
      </c>
      <c r="B950" s="1041"/>
      <c r="C950" s="1050"/>
      <c r="D950" s="1050"/>
      <c r="E950" s="1050"/>
      <c r="F950" s="1049"/>
      <c r="G950" s="1457"/>
      <c r="H950" s="1049"/>
      <c r="I950" s="1049"/>
      <c r="J950" s="1050"/>
      <c r="K950" s="1050"/>
      <c r="L950" s="1043"/>
      <c r="M950" s="1051"/>
      <c r="N950" s="1051"/>
      <c r="O950" s="1052"/>
      <c r="P950" s="1051"/>
      <c r="Q950" s="1051"/>
      <c r="R950" s="1052"/>
      <c r="S950" s="1051"/>
      <c r="T950" s="1051"/>
      <c r="U950" s="1052"/>
      <c r="V950" s="1051"/>
      <c r="W950" s="1051"/>
      <c r="X950" s="1052"/>
      <c r="Y950" s="1053"/>
      <c r="Z950" s="1051"/>
      <c r="AA950" s="1051"/>
      <c r="AB950" s="1052"/>
      <c r="AC950" s="1051"/>
      <c r="AD950" s="1051"/>
      <c r="AE950" s="1052"/>
      <c r="AF950" s="1051"/>
      <c r="AG950" s="1051"/>
      <c r="AH950" s="1051"/>
      <c r="AI950" s="1051"/>
      <c r="AJ950" s="1052"/>
      <c r="AK950" s="1051"/>
      <c r="AL950" s="1051"/>
      <c r="AM950" s="1052"/>
      <c r="AN950" s="1051"/>
      <c r="AO950" s="1051"/>
      <c r="AP950" s="1052"/>
      <c r="AQ950" s="1051"/>
      <c r="AR950" s="1051"/>
      <c r="AS950" s="1052"/>
      <c r="AT950" s="1051"/>
      <c r="AU950" s="1051"/>
      <c r="AV950" s="1052"/>
      <c r="AW950" s="1051"/>
      <c r="AX950" s="1051"/>
      <c r="AY950" s="1053"/>
      <c r="AZ950" s="1051"/>
      <c r="BA950" s="1051"/>
      <c r="BB950" s="1053"/>
      <c r="BC950" s="1051"/>
      <c r="BD950" s="1051"/>
      <c r="BE950" s="1053"/>
      <c r="BF950" s="1051"/>
      <c r="BG950" s="1051"/>
      <c r="BH950" s="1053"/>
      <c r="BI950" s="1052"/>
      <c r="BJ950" s="1052"/>
      <c r="BK950" s="1052"/>
      <c r="BL950" s="1052"/>
      <c r="BM950" s="1052"/>
      <c r="BN950" s="1054"/>
      <c r="BO950" s="1076">
        <f t="shared" ref="BO950:BO1013" si="26">H950</f>
        <v>0</v>
      </c>
      <c r="BP950" s="1051"/>
      <c r="BQ950" s="1052"/>
      <c r="BR950" s="1054"/>
      <c r="BS950" s="1053"/>
      <c r="BT950" s="1051"/>
      <c r="BU950" s="1051"/>
      <c r="BV950" s="1051"/>
      <c r="BW950" s="1052"/>
      <c r="BX950" s="1052"/>
      <c r="BY950" s="1052"/>
      <c r="BZ950" s="1052"/>
      <c r="CA950" s="1052"/>
      <c r="CB950" s="1053"/>
      <c r="CC950" s="1053"/>
      <c r="CD950" s="1053"/>
      <c r="CE950" s="1053"/>
      <c r="CF950" s="1053"/>
      <c r="CG950" s="1053"/>
      <c r="CH950" s="1053"/>
      <c r="CI950" s="1123"/>
      <c r="CJ950" s="1123"/>
      <c r="CK950" s="1123"/>
      <c r="CL950" s="1123"/>
      <c r="CM950" s="1123"/>
      <c r="CN950" s="1123"/>
      <c r="CO950" s="1123"/>
      <c r="CP950" s="1123"/>
      <c r="CQ950" s="1123"/>
      <c r="CR950" s="1123"/>
      <c r="CS950" s="1123"/>
      <c r="CT950" s="1123"/>
      <c r="CU950" s="1123"/>
      <c r="CV950" s="1123"/>
      <c r="CW950" s="1123"/>
      <c r="CX950" s="1123"/>
      <c r="CY950" s="1123"/>
      <c r="CZ950" s="1114"/>
      <c r="DA950" s="1114"/>
      <c r="DB950" s="1114"/>
      <c r="DC950" s="1114"/>
      <c r="DD950" s="1114"/>
      <c r="DE950" s="1114"/>
      <c r="DF950" s="1114"/>
      <c r="DG950" s="1114"/>
      <c r="DH950" s="1114"/>
      <c r="DI950" s="1114"/>
      <c r="DJ950" s="1114"/>
      <c r="DK950" s="1114"/>
      <c r="DL950" s="1114"/>
      <c r="DM950" s="1114"/>
      <c r="DN950" s="1114"/>
      <c r="DO950" s="1114"/>
      <c r="DP950" s="1114"/>
      <c r="DQ950" s="1114"/>
      <c r="DR950" s="1114"/>
      <c r="DS950" s="1114"/>
      <c r="DT950" s="1114"/>
      <c r="DU950" s="1114"/>
      <c r="DV950" s="1115"/>
      <c r="DW950" s="1116"/>
      <c r="DX950" s="1116"/>
      <c r="DY950" s="1116"/>
      <c r="DZ950" s="1116"/>
      <c r="EA950" s="1116"/>
      <c r="EB950" s="1116"/>
      <c r="EC950" s="1116"/>
      <c r="ED950" s="1116"/>
      <c r="EE950" s="1116"/>
      <c r="EF950" s="1116"/>
      <c r="EG950" s="1116"/>
      <c r="EH950" s="1116"/>
      <c r="EI950" s="1116"/>
      <c r="EJ950" s="1116"/>
      <c r="EK950" s="1116"/>
      <c r="EL950" s="1116"/>
      <c r="EM950" s="1116"/>
      <c r="EN950" s="1116"/>
      <c r="EO950" s="1116"/>
      <c r="EP950" s="1116"/>
      <c r="EQ950" s="1116"/>
      <c r="ER950" s="1116"/>
      <c r="ES950" s="1116"/>
    </row>
    <row r="951" spans="1:149" ht="15" customHeight="1">
      <c r="A951" s="1185">
        <v>936</v>
      </c>
      <c r="B951" s="1041"/>
      <c r="C951" s="1050"/>
      <c r="D951" s="1050"/>
      <c r="E951" s="1050"/>
      <c r="F951" s="1049"/>
      <c r="G951" s="1457"/>
      <c r="H951" s="1049"/>
      <c r="I951" s="1049"/>
      <c r="J951" s="1050"/>
      <c r="K951" s="1050"/>
      <c r="L951" s="1043"/>
      <c r="M951" s="1051"/>
      <c r="N951" s="1051"/>
      <c r="O951" s="1052"/>
      <c r="P951" s="1051"/>
      <c r="Q951" s="1051"/>
      <c r="R951" s="1052"/>
      <c r="S951" s="1051"/>
      <c r="T951" s="1051"/>
      <c r="U951" s="1052"/>
      <c r="V951" s="1051"/>
      <c r="W951" s="1051"/>
      <c r="X951" s="1052"/>
      <c r="Y951" s="1053"/>
      <c r="Z951" s="1051"/>
      <c r="AA951" s="1051"/>
      <c r="AB951" s="1052"/>
      <c r="AC951" s="1051"/>
      <c r="AD951" s="1051"/>
      <c r="AE951" s="1052"/>
      <c r="AF951" s="1051"/>
      <c r="AG951" s="1051"/>
      <c r="AH951" s="1051"/>
      <c r="AI951" s="1051"/>
      <c r="AJ951" s="1052"/>
      <c r="AK951" s="1051"/>
      <c r="AL951" s="1051"/>
      <c r="AM951" s="1052"/>
      <c r="AN951" s="1051"/>
      <c r="AO951" s="1051"/>
      <c r="AP951" s="1052"/>
      <c r="AQ951" s="1051"/>
      <c r="AR951" s="1051"/>
      <c r="AS951" s="1052"/>
      <c r="AT951" s="1051"/>
      <c r="AU951" s="1051"/>
      <c r="AV951" s="1052"/>
      <c r="AW951" s="1051"/>
      <c r="AX951" s="1051"/>
      <c r="AY951" s="1053"/>
      <c r="AZ951" s="1051"/>
      <c r="BA951" s="1051"/>
      <c r="BB951" s="1053"/>
      <c r="BC951" s="1051"/>
      <c r="BD951" s="1051"/>
      <c r="BE951" s="1053"/>
      <c r="BF951" s="1051"/>
      <c r="BG951" s="1051"/>
      <c r="BH951" s="1053"/>
      <c r="BI951" s="1052"/>
      <c r="BJ951" s="1052"/>
      <c r="BK951" s="1052"/>
      <c r="BL951" s="1052"/>
      <c r="BM951" s="1052"/>
      <c r="BN951" s="1054"/>
      <c r="BO951" s="1076">
        <f t="shared" si="26"/>
        <v>0</v>
      </c>
      <c r="BP951" s="1051"/>
      <c r="BQ951" s="1052"/>
      <c r="BR951" s="1054"/>
      <c r="BS951" s="1053"/>
      <c r="BT951" s="1051"/>
      <c r="BU951" s="1051"/>
      <c r="BV951" s="1051"/>
      <c r="BW951" s="1052"/>
      <c r="BX951" s="1052"/>
      <c r="BY951" s="1052"/>
      <c r="BZ951" s="1052"/>
      <c r="CA951" s="1052"/>
      <c r="CB951" s="1053"/>
      <c r="CC951" s="1053"/>
      <c r="CD951" s="1053"/>
      <c r="CE951" s="1053"/>
      <c r="CF951" s="1053"/>
      <c r="CG951" s="1053"/>
      <c r="CH951" s="1053"/>
      <c r="CI951" s="1123"/>
      <c r="CJ951" s="1123"/>
      <c r="CK951" s="1123"/>
      <c r="CL951" s="1123"/>
      <c r="CM951" s="1123"/>
      <c r="CN951" s="1123"/>
      <c r="CO951" s="1123"/>
      <c r="CP951" s="1123"/>
      <c r="CQ951" s="1123"/>
      <c r="CR951" s="1123"/>
      <c r="CS951" s="1123"/>
      <c r="CT951" s="1123"/>
      <c r="CU951" s="1123"/>
      <c r="CV951" s="1123"/>
      <c r="CW951" s="1123"/>
      <c r="CX951" s="1123"/>
      <c r="CY951" s="1123"/>
      <c r="CZ951" s="1114"/>
      <c r="DA951" s="1114"/>
      <c r="DB951" s="1114"/>
      <c r="DC951" s="1114"/>
      <c r="DD951" s="1114"/>
      <c r="DE951" s="1114"/>
      <c r="DF951" s="1114"/>
      <c r="DG951" s="1114"/>
      <c r="DH951" s="1114"/>
      <c r="DI951" s="1114"/>
      <c r="DJ951" s="1114"/>
      <c r="DK951" s="1114"/>
      <c r="DL951" s="1114"/>
      <c r="DM951" s="1114"/>
      <c r="DN951" s="1114"/>
      <c r="DO951" s="1114"/>
      <c r="DP951" s="1114"/>
      <c r="DQ951" s="1114"/>
      <c r="DR951" s="1114"/>
      <c r="DS951" s="1114"/>
      <c r="DT951" s="1114"/>
      <c r="DU951" s="1114"/>
      <c r="DV951" s="1115"/>
      <c r="DW951" s="1116"/>
      <c r="DX951" s="1116"/>
      <c r="DY951" s="1116"/>
      <c r="DZ951" s="1116"/>
      <c r="EA951" s="1116"/>
      <c r="EB951" s="1116"/>
      <c r="EC951" s="1116"/>
      <c r="ED951" s="1116"/>
      <c r="EE951" s="1116"/>
      <c r="EF951" s="1116"/>
      <c r="EG951" s="1116"/>
      <c r="EH951" s="1116"/>
      <c r="EI951" s="1116"/>
      <c r="EJ951" s="1116"/>
      <c r="EK951" s="1116"/>
      <c r="EL951" s="1116"/>
      <c r="EM951" s="1116"/>
      <c r="EN951" s="1116"/>
      <c r="EO951" s="1116"/>
      <c r="EP951" s="1116"/>
      <c r="EQ951" s="1116"/>
      <c r="ER951" s="1116"/>
      <c r="ES951" s="1116"/>
    </row>
    <row r="952" spans="1:149" ht="15" customHeight="1">
      <c r="A952" s="1185">
        <v>937</v>
      </c>
      <c r="B952" s="1041"/>
      <c r="C952" s="1050"/>
      <c r="D952" s="1050"/>
      <c r="E952" s="1050"/>
      <c r="F952" s="1049"/>
      <c r="G952" s="1457"/>
      <c r="H952" s="1049"/>
      <c r="I952" s="1049"/>
      <c r="J952" s="1050"/>
      <c r="K952" s="1050"/>
      <c r="L952" s="1043"/>
      <c r="M952" s="1051"/>
      <c r="N952" s="1051"/>
      <c r="O952" s="1052"/>
      <c r="P952" s="1051"/>
      <c r="Q952" s="1051"/>
      <c r="R952" s="1052"/>
      <c r="S952" s="1051"/>
      <c r="T952" s="1051"/>
      <c r="U952" s="1052"/>
      <c r="V952" s="1051"/>
      <c r="W952" s="1051"/>
      <c r="X952" s="1052"/>
      <c r="Y952" s="1053"/>
      <c r="Z952" s="1051"/>
      <c r="AA952" s="1051"/>
      <c r="AB952" s="1052"/>
      <c r="AC952" s="1051"/>
      <c r="AD952" s="1051"/>
      <c r="AE952" s="1052"/>
      <c r="AF952" s="1051"/>
      <c r="AG952" s="1051"/>
      <c r="AH952" s="1051"/>
      <c r="AI952" s="1051"/>
      <c r="AJ952" s="1052"/>
      <c r="AK952" s="1051"/>
      <c r="AL952" s="1051"/>
      <c r="AM952" s="1052"/>
      <c r="AN952" s="1051"/>
      <c r="AO952" s="1051"/>
      <c r="AP952" s="1052"/>
      <c r="AQ952" s="1051"/>
      <c r="AR952" s="1051"/>
      <c r="AS952" s="1052"/>
      <c r="AT952" s="1051"/>
      <c r="AU952" s="1051"/>
      <c r="AV952" s="1052"/>
      <c r="AW952" s="1051"/>
      <c r="AX952" s="1051"/>
      <c r="AY952" s="1053"/>
      <c r="AZ952" s="1051"/>
      <c r="BA952" s="1051"/>
      <c r="BB952" s="1053"/>
      <c r="BC952" s="1051"/>
      <c r="BD952" s="1051"/>
      <c r="BE952" s="1053"/>
      <c r="BF952" s="1051"/>
      <c r="BG952" s="1051"/>
      <c r="BH952" s="1053"/>
      <c r="BI952" s="1052"/>
      <c r="BJ952" s="1052"/>
      <c r="BK952" s="1052"/>
      <c r="BL952" s="1052"/>
      <c r="BM952" s="1052"/>
      <c r="BN952" s="1054"/>
      <c r="BO952" s="1076">
        <f t="shared" si="26"/>
        <v>0</v>
      </c>
      <c r="BP952" s="1051"/>
      <c r="BQ952" s="1052"/>
      <c r="BR952" s="1054"/>
      <c r="BS952" s="1053"/>
      <c r="BT952" s="1051"/>
      <c r="BU952" s="1051"/>
      <c r="BV952" s="1051"/>
      <c r="BW952" s="1052"/>
      <c r="BX952" s="1052"/>
      <c r="BY952" s="1052"/>
      <c r="BZ952" s="1052"/>
      <c r="CA952" s="1052"/>
      <c r="CB952" s="1053"/>
      <c r="CC952" s="1053"/>
      <c r="CD952" s="1053"/>
      <c r="CE952" s="1053"/>
      <c r="CF952" s="1053"/>
      <c r="CG952" s="1053"/>
      <c r="CH952" s="1053"/>
      <c r="CI952" s="1123"/>
      <c r="CJ952" s="1123"/>
      <c r="CK952" s="1123"/>
      <c r="CL952" s="1123"/>
      <c r="CM952" s="1123"/>
      <c r="CN952" s="1123"/>
      <c r="CO952" s="1123"/>
      <c r="CP952" s="1123"/>
      <c r="CQ952" s="1123"/>
      <c r="CR952" s="1123"/>
      <c r="CS952" s="1123"/>
      <c r="CT952" s="1123"/>
      <c r="CU952" s="1123"/>
      <c r="CV952" s="1123"/>
      <c r="CW952" s="1123"/>
      <c r="CX952" s="1123"/>
      <c r="CY952" s="1123"/>
      <c r="CZ952" s="1114"/>
      <c r="DA952" s="1114"/>
      <c r="DB952" s="1114"/>
      <c r="DC952" s="1114"/>
      <c r="DD952" s="1114"/>
      <c r="DE952" s="1114"/>
      <c r="DF952" s="1114"/>
      <c r="DG952" s="1114"/>
      <c r="DH952" s="1114"/>
      <c r="DI952" s="1114"/>
      <c r="DJ952" s="1114"/>
      <c r="DK952" s="1114"/>
      <c r="DL952" s="1114"/>
      <c r="DM952" s="1114"/>
      <c r="DN952" s="1114"/>
      <c r="DO952" s="1114"/>
      <c r="DP952" s="1114"/>
      <c r="DQ952" s="1114"/>
      <c r="DR952" s="1114"/>
      <c r="DS952" s="1114"/>
      <c r="DT952" s="1114"/>
      <c r="DU952" s="1114"/>
      <c r="DV952" s="1115"/>
      <c r="DW952" s="1116"/>
      <c r="DX952" s="1116"/>
      <c r="DY952" s="1116"/>
      <c r="DZ952" s="1116"/>
      <c r="EA952" s="1116"/>
      <c r="EB952" s="1116"/>
      <c r="EC952" s="1116"/>
      <c r="ED952" s="1116"/>
      <c r="EE952" s="1116"/>
      <c r="EF952" s="1116"/>
      <c r="EG952" s="1116"/>
      <c r="EH952" s="1116"/>
      <c r="EI952" s="1116"/>
      <c r="EJ952" s="1116"/>
      <c r="EK952" s="1116"/>
      <c r="EL952" s="1116"/>
      <c r="EM952" s="1116"/>
      <c r="EN952" s="1116"/>
      <c r="EO952" s="1116"/>
      <c r="EP952" s="1116"/>
      <c r="EQ952" s="1116"/>
      <c r="ER952" s="1116"/>
      <c r="ES952" s="1116"/>
    </row>
    <row r="953" spans="1:149" ht="15" customHeight="1">
      <c r="A953" s="1185">
        <v>938</v>
      </c>
      <c r="B953" s="1041"/>
      <c r="C953" s="1050"/>
      <c r="D953" s="1050"/>
      <c r="E953" s="1050"/>
      <c r="F953" s="1049"/>
      <c r="G953" s="1457"/>
      <c r="H953" s="1049"/>
      <c r="I953" s="1049"/>
      <c r="J953" s="1050"/>
      <c r="K953" s="1050"/>
      <c r="L953" s="1043"/>
      <c r="M953" s="1051"/>
      <c r="N953" s="1051"/>
      <c r="O953" s="1052"/>
      <c r="P953" s="1051"/>
      <c r="Q953" s="1051"/>
      <c r="R953" s="1052"/>
      <c r="S953" s="1051"/>
      <c r="T953" s="1051"/>
      <c r="U953" s="1052"/>
      <c r="V953" s="1051"/>
      <c r="W953" s="1051"/>
      <c r="X953" s="1052"/>
      <c r="Y953" s="1053"/>
      <c r="Z953" s="1051"/>
      <c r="AA953" s="1051"/>
      <c r="AB953" s="1052"/>
      <c r="AC953" s="1051"/>
      <c r="AD953" s="1051"/>
      <c r="AE953" s="1052"/>
      <c r="AF953" s="1051"/>
      <c r="AG953" s="1051"/>
      <c r="AH953" s="1051"/>
      <c r="AI953" s="1051"/>
      <c r="AJ953" s="1052"/>
      <c r="AK953" s="1051"/>
      <c r="AL953" s="1051"/>
      <c r="AM953" s="1052"/>
      <c r="AN953" s="1051"/>
      <c r="AO953" s="1051"/>
      <c r="AP953" s="1052"/>
      <c r="AQ953" s="1051"/>
      <c r="AR953" s="1051"/>
      <c r="AS953" s="1052"/>
      <c r="AT953" s="1051"/>
      <c r="AU953" s="1051"/>
      <c r="AV953" s="1052"/>
      <c r="AW953" s="1051"/>
      <c r="AX953" s="1051"/>
      <c r="AY953" s="1053"/>
      <c r="AZ953" s="1051"/>
      <c r="BA953" s="1051"/>
      <c r="BB953" s="1053"/>
      <c r="BC953" s="1051"/>
      <c r="BD953" s="1051"/>
      <c r="BE953" s="1053"/>
      <c r="BF953" s="1051"/>
      <c r="BG953" s="1051"/>
      <c r="BH953" s="1053"/>
      <c r="BI953" s="1052"/>
      <c r="BJ953" s="1052"/>
      <c r="BK953" s="1052"/>
      <c r="BL953" s="1052"/>
      <c r="BM953" s="1052"/>
      <c r="BN953" s="1054"/>
      <c r="BO953" s="1076">
        <f t="shared" si="26"/>
        <v>0</v>
      </c>
      <c r="BP953" s="1051"/>
      <c r="BQ953" s="1052"/>
      <c r="BR953" s="1054"/>
      <c r="BS953" s="1053"/>
      <c r="BT953" s="1051"/>
      <c r="BU953" s="1051"/>
      <c r="BV953" s="1051"/>
      <c r="BW953" s="1052"/>
      <c r="BX953" s="1052"/>
      <c r="BY953" s="1052"/>
      <c r="BZ953" s="1052"/>
      <c r="CA953" s="1052"/>
      <c r="CB953" s="1053"/>
      <c r="CC953" s="1053"/>
      <c r="CD953" s="1053"/>
      <c r="CE953" s="1053"/>
      <c r="CF953" s="1053"/>
      <c r="CG953" s="1053"/>
      <c r="CH953" s="1053"/>
      <c r="CI953" s="1123"/>
      <c r="CJ953" s="1123"/>
      <c r="CK953" s="1123"/>
      <c r="CL953" s="1123"/>
      <c r="CM953" s="1123"/>
      <c r="CN953" s="1123"/>
      <c r="CO953" s="1123"/>
      <c r="CP953" s="1123"/>
      <c r="CQ953" s="1123"/>
      <c r="CR953" s="1123"/>
      <c r="CS953" s="1123"/>
      <c r="CT953" s="1123"/>
      <c r="CU953" s="1123"/>
      <c r="CV953" s="1123"/>
      <c r="CW953" s="1123"/>
      <c r="CX953" s="1123"/>
      <c r="CY953" s="1123"/>
      <c r="CZ953" s="1114"/>
      <c r="DA953" s="1114"/>
      <c r="DB953" s="1114"/>
      <c r="DC953" s="1114"/>
      <c r="DD953" s="1114"/>
      <c r="DE953" s="1114"/>
      <c r="DF953" s="1114"/>
      <c r="DG953" s="1114"/>
      <c r="DH953" s="1114"/>
      <c r="DI953" s="1114"/>
      <c r="DJ953" s="1114"/>
      <c r="DK953" s="1114"/>
      <c r="DL953" s="1114"/>
      <c r="DM953" s="1114"/>
      <c r="DN953" s="1114"/>
      <c r="DO953" s="1114"/>
      <c r="DP953" s="1114"/>
      <c r="DQ953" s="1114"/>
      <c r="DR953" s="1114"/>
      <c r="DS953" s="1114"/>
      <c r="DT953" s="1114"/>
      <c r="DU953" s="1114"/>
      <c r="DV953" s="1115"/>
      <c r="DW953" s="1116"/>
      <c r="DX953" s="1116"/>
      <c r="DY953" s="1116"/>
      <c r="DZ953" s="1116"/>
      <c r="EA953" s="1116"/>
      <c r="EB953" s="1116"/>
      <c r="EC953" s="1116"/>
      <c r="ED953" s="1116"/>
      <c r="EE953" s="1116"/>
      <c r="EF953" s="1116"/>
      <c r="EG953" s="1116"/>
      <c r="EH953" s="1116"/>
      <c r="EI953" s="1116"/>
      <c r="EJ953" s="1116"/>
      <c r="EK953" s="1116"/>
      <c r="EL953" s="1116"/>
      <c r="EM953" s="1116"/>
      <c r="EN953" s="1116"/>
      <c r="EO953" s="1116"/>
      <c r="EP953" s="1116"/>
      <c r="EQ953" s="1116"/>
      <c r="ER953" s="1116"/>
      <c r="ES953" s="1116"/>
    </row>
    <row r="954" spans="1:149" ht="15" customHeight="1">
      <c r="A954" s="1185">
        <v>939</v>
      </c>
      <c r="B954" s="1041"/>
      <c r="C954" s="1050"/>
      <c r="D954" s="1050"/>
      <c r="E954" s="1050"/>
      <c r="F954" s="1049"/>
      <c r="G954" s="1457"/>
      <c r="H954" s="1049"/>
      <c r="I954" s="1049"/>
      <c r="J954" s="1050"/>
      <c r="K954" s="1050"/>
      <c r="L954" s="1043"/>
      <c r="M954" s="1051"/>
      <c r="N954" s="1051"/>
      <c r="O954" s="1052"/>
      <c r="P954" s="1051"/>
      <c r="Q954" s="1051"/>
      <c r="R954" s="1052"/>
      <c r="S954" s="1051"/>
      <c r="T954" s="1051"/>
      <c r="U954" s="1052"/>
      <c r="V954" s="1051"/>
      <c r="W954" s="1051"/>
      <c r="X954" s="1052"/>
      <c r="Y954" s="1053"/>
      <c r="Z954" s="1051"/>
      <c r="AA954" s="1051"/>
      <c r="AB954" s="1052"/>
      <c r="AC954" s="1051"/>
      <c r="AD954" s="1051"/>
      <c r="AE954" s="1052"/>
      <c r="AF954" s="1051"/>
      <c r="AG954" s="1051"/>
      <c r="AH954" s="1051"/>
      <c r="AI954" s="1051"/>
      <c r="AJ954" s="1052"/>
      <c r="AK954" s="1051"/>
      <c r="AL954" s="1051"/>
      <c r="AM954" s="1052"/>
      <c r="AN954" s="1051"/>
      <c r="AO954" s="1051"/>
      <c r="AP954" s="1052"/>
      <c r="AQ954" s="1051"/>
      <c r="AR954" s="1051"/>
      <c r="AS954" s="1052"/>
      <c r="AT954" s="1051"/>
      <c r="AU954" s="1051"/>
      <c r="AV954" s="1052"/>
      <c r="AW954" s="1051"/>
      <c r="AX954" s="1051"/>
      <c r="AY954" s="1053"/>
      <c r="AZ954" s="1051"/>
      <c r="BA954" s="1051"/>
      <c r="BB954" s="1053"/>
      <c r="BC954" s="1051"/>
      <c r="BD954" s="1051"/>
      <c r="BE954" s="1053"/>
      <c r="BF954" s="1051"/>
      <c r="BG954" s="1051"/>
      <c r="BH954" s="1053"/>
      <c r="BI954" s="1052"/>
      <c r="BJ954" s="1052"/>
      <c r="BK954" s="1052"/>
      <c r="BL954" s="1052"/>
      <c r="BM954" s="1052"/>
      <c r="BN954" s="1054"/>
      <c r="BO954" s="1076">
        <f t="shared" si="26"/>
        <v>0</v>
      </c>
      <c r="BP954" s="1051"/>
      <c r="BQ954" s="1052"/>
      <c r="BR954" s="1054"/>
      <c r="BS954" s="1053"/>
      <c r="BT954" s="1051"/>
      <c r="BU954" s="1051"/>
      <c r="BV954" s="1051"/>
      <c r="BW954" s="1052"/>
      <c r="BX954" s="1052"/>
      <c r="BY954" s="1052"/>
      <c r="BZ954" s="1052"/>
      <c r="CA954" s="1052"/>
      <c r="CB954" s="1053"/>
      <c r="CC954" s="1053"/>
      <c r="CD954" s="1053"/>
      <c r="CE954" s="1053"/>
      <c r="CF954" s="1053"/>
      <c r="CG954" s="1053"/>
      <c r="CH954" s="1053"/>
      <c r="CI954" s="1123"/>
      <c r="CJ954" s="1123"/>
      <c r="CK954" s="1123"/>
      <c r="CL954" s="1123"/>
      <c r="CM954" s="1123"/>
      <c r="CN954" s="1123"/>
      <c r="CO954" s="1123"/>
      <c r="CP954" s="1123"/>
      <c r="CQ954" s="1123"/>
      <c r="CR954" s="1123"/>
      <c r="CS954" s="1123"/>
      <c r="CT954" s="1123"/>
      <c r="CU954" s="1123"/>
      <c r="CV954" s="1123"/>
      <c r="CW954" s="1123"/>
      <c r="CX954" s="1123"/>
      <c r="CY954" s="1123"/>
      <c r="CZ954" s="1114"/>
      <c r="DA954" s="1114"/>
      <c r="DB954" s="1114"/>
      <c r="DC954" s="1114"/>
      <c r="DD954" s="1114"/>
      <c r="DE954" s="1114"/>
      <c r="DF954" s="1114"/>
      <c r="DG954" s="1114"/>
      <c r="DH954" s="1114"/>
      <c r="DI954" s="1114"/>
      <c r="DJ954" s="1114"/>
      <c r="DK954" s="1114"/>
      <c r="DL954" s="1114"/>
      <c r="DM954" s="1114"/>
      <c r="DN954" s="1114"/>
      <c r="DO954" s="1114"/>
      <c r="DP954" s="1114"/>
      <c r="DQ954" s="1114"/>
      <c r="DR954" s="1114"/>
      <c r="DS954" s="1114"/>
      <c r="DT954" s="1114"/>
      <c r="DU954" s="1114"/>
      <c r="DV954" s="1115"/>
      <c r="DW954" s="1116"/>
      <c r="DX954" s="1116"/>
      <c r="DY954" s="1116"/>
      <c r="DZ954" s="1116"/>
      <c r="EA954" s="1116"/>
      <c r="EB954" s="1116"/>
      <c r="EC954" s="1116"/>
      <c r="ED954" s="1116"/>
      <c r="EE954" s="1116"/>
      <c r="EF954" s="1116"/>
      <c r="EG954" s="1116"/>
      <c r="EH954" s="1116"/>
      <c r="EI954" s="1116"/>
      <c r="EJ954" s="1116"/>
      <c r="EK954" s="1116"/>
      <c r="EL954" s="1116"/>
      <c r="EM954" s="1116"/>
      <c r="EN954" s="1116"/>
      <c r="EO954" s="1116"/>
      <c r="EP954" s="1116"/>
      <c r="EQ954" s="1116"/>
      <c r="ER954" s="1116"/>
      <c r="ES954" s="1116"/>
    </row>
    <row r="955" spans="1:149" ht="15" customHeight="1">
      <c r="A955" s="1185">
        <v>940</v>
      </c>
      <c r="B955" s="1041"/>
      <c r="C955" s="1050"/>
      <c r="D955" s="1050"/>
      <c r="E955" s="1050"/>
      <c r="F955" s="1049"/>
      <c r="G955" s="1457"/>
      <c r="H955" s="1049"/>
      <c r="I955" s="1049"/>
      <c r="J955" s="1050"/>
      <c r="K955" s="1050"/>
      <c r="L955" s="1043"/>
      <c r="M955" s="1051"/>
      <c r="N955" s="1051"/>
      <c r="O955" s="1052"/>
      <c r="P955" s="1051"/>
      <c r="Q955" s="1051"/>
      <c r="R955" s="1052"/>
      <c r="S955" s="1051"/>
      <c r="T955" s="1051"/>
      <c r="U955" s="1052"/>
      <c r="V955" s="1051"/>
      <c r="W955" s="1051"/>
      <c r="X955" s="1052"/>
      <c r="Y955" s="1053"/>
      <c r="Z955" s="1051"/>
      <c r="AA955" s="1051"/>
      <c r="AB955" s="1052"/>
      <c r="AC955" s="1051"/>
      <c r="AD955" s="1051"/>
      <c r="AE955" s="1052"/>
      <c r="AF955" s="1051"/>
      <c r="AG955" s="1051"/>
      <c r="AH955" s="1051"/>
      <c r="AI955" s="1051"/>
      <c r="AJ955" s="1052"/>
      <c r="AK955" s="1051"/>
      <c r="AL955" s="1051"/>
      <c r="AM955" s="1052"/>
      <c r="AN955" s="1051"/>
      <c r="AO955" s="1051"/>
      <c r="AP955" s="1052"/>
      <c r="AQ955" s="1051"/>
      <c r="AR955" s="1051"/>
      <c r="AS955" s="1052"/>
      <c r="AT955" s="1051"/>
      <c r="AU955" s="1051"/>
      <c r="AV955" s="1052"/>
      <c r="AW955" s="1051"/>
      <c r="AX955" s="1051"/>
      <c r="AY955" s="1053"/>
      <c r="AZ955" s="1051"/>
      <c r="BA955" s="1051"/>
      <c r="BB955" s="1053"/>
      <c r="BC955" s="1051"/>
      <c r="BD955" s="1051"/>
      <c r="BE955" s="1053"/>
      <c r="BF955" s="1051"/>
      <c r="BG955" s="1051"/>
      <c r="BH955" s="1053"/>
      <c r="BI955" s="1052"/>
      <c r="BJ955" s="1052"/>
      <c r="BK955" s="1052"/>
      <c r="BL955" s="1052"/>
      <c r="BM955" s="1052"/>
      <c r="BN955" s="1054"/>
      <c r="BO955" s="1076">
        <f t="shared" si="26"/>
        <v>0</v>
      </c>
      <c r="BP955" s="1051"/>
      <c r="BQ955" s="1052"/>
      <c r="BR955" s="1054"/>
      <c r="BS955" s="1053"/>
      <c r="BT955" s="1051"/>
      <c r="BU955" s="1051"/>
      <c r="BV955" s="1051"/>
      <c r="BW955" s="1052"/>
      <c r="BX955" s="1052"/>
      <c r="BY955" s="1052"/>
      <c r="BZ955" s="1052"/>
      <c r="CA955" s="1052"/>
      <c r="CB955" s="1053"/>
      <c r="CC955" s="1053"/>
      <c r="CD955" s="1053"/>
      <c r="CE955" s="1053"/>
      <c r="CF955" s="1053"/>
      <c r="CG955" s="1053"/>
      <c r="CH955" s="1053"/>
      <c r="CI955" s="1123"/>
      <c r="CJ955" s="1123"/>
      <c r="CK955" s="1123"/>
      <c r="CL955" s="1123"/>
      <c r="CM955" s="1123"/>
      <c r="CN955" s="1123"/>
      <c r="CO955" s="1123"/>
      <c r="CP955" s="1123"/>
      <c r="CQ955" s="1123"/>
      <c r="CR955" s="1123"/>
      <c r="CS955" s="1123"/>
      <c r="CT955" s="1123"/>
      <c r="CU955" s="1123"/>
      <c r="CV955" s="1123"/>
      <c r="CW955" s="1123"/>
      <c r="CX955" s="1123"/>
      <c r="CY955" s="1123"/>
      <c r="CZ955" s="1114"/>
      <c r="DA955" s="1114"/>
      <c r="DB955" s="1114"/>
      <c r="DC955" s="1114"/>
      <c r="DD955" s="1114"/>
      <c r="DE955" s="1114"/>
      <c r="DF955" s="1114"/>
      <c r="DG955" s="1114"/>
      <c r="DH955" s="1114"/>
      <c r="DI955" s="1114"/>
      <c r="DJ955" s="1114"/>
      <c r="DK955" s="1114"/>
      <c r="DL955" s="1114"/>
      <c r="DM955" s="1114"/>
      <c r="DN955" s="1114"/>
      <c r="DO955" s="1114"/>
      <c r="DP955" s="1114"/>
      <c r="DQ955" s="1114"/>
      <c r="DR955" s="1114"/>
      <c r="DS955" s="1114"/>
      <c r="DT955" s="1114"/>
      <c r="DU955" s="1114"/>
      <c r="DV955" s="1115"/>
      <c r="DW955" s="1116"/>
      <c r="DX955" s="1116"/>
      <c r="DY955" s="1116"/>
      <c r="DZ955" s="1116"/>
      <c r="EA955" s="1116"/>
      <c r="EB955" s="1116"/>
      <c r="EC955" s="1116"/>
      <c r="ED955" s="1116"/>
      <c r="EE955" s="1116"/>
      <c r="EF955" s="1116"/>
      <c r="EG955" s="1116"/>
      <c r="EH955" s="1116"/>
      <c r="EI955" s="1116"/>
      <c r="EJ955" s="1116"/>
      <c r="EK955" s="1116"/>
      <c r="EL955" s="1116"/>
      <c r="EM955" s="1116"/>
      <c r="EN955" s="1116"/>
      <c r="EO955" s="1116"/>
      <c r="EP955" s="1116"/>
      <c r="EQ955" s="1116"/>
      <c r="ER955" s="1116"/>
      <c r="ES955" s="1116"/>
    </row>
    <row r="956" spans="1:149" ht="15" customHeight="1">
      <c r="A956" s="1185">
        <v>941</v>
      </c>
      <c r="B956" s="1041"/>
      <c r="C956" s="1050"/>
      <c r="D956" s="1050"/>
      <c r="E956" s="1050"/>
      <c r="F956" s="1049"/>
      <c r="G956" s="1457"/>
      <c r="H956" s="1049"/>
      <c r="I956" s="1049"/>
      <c r="J956" s="1050"/>
      <c r="K956" s="1050"/>
      <c r="L956" s="1043"/>
      <c r="M956" s="1051"/>
      <c r="N956" s="1051"/>
      <c r="O956" s="1052"/>
      <c r="P956" s="1051"/>
      <c r="Q956" s="1051"/>
      <c r="R956" s="1052"/>
      <c r="S956" s="1051"/>
      <c r="T956" s="1051"/>
      <c r="U956" s="1052"/>
      <c r="V956" s="1051"/>
      <c r="W956" s="1051"/>
      <c r="X956" s="1052"/>
      <c r="Y956" s="1053"/>
      <c r="Z956" s="1051"/>
      <c r="AA956" s="1051"/>
      <c r="AB956" s="1052"/>
      <c r="AC956" s="1051"/>
      <c r="AD956" s="1051"/>
      <c r="AE956" s="1052"/>
      <c r="AF956" s="1051"/>
      <c r="AG956" s="1051"/>
      <c r="AH956" s="1051"/>
      <c r="AI956" s="1051"/>
      <c r="AJ956" s="1052"/>
      <c r="AK956" s="1051"/>
      <c r="AL956" s="1051"/>
      <c r="AM956" s="1052"/>
      <c r="AN956" s="1051"/>
      <c r="AO956" s="1051"/>
      <c r="AP956" s="1052"/>
      <c r="AQ956" s="1051"/>
      <c r="AR956" s="1051"/>
      <c r="AS956" s="1052"/>
      <c r="AT956" s="1051"/>
      <c r="AU956" s="1051"/>
      <c r="AV956" s="1052"/>
      <c r="AW956" s="1051"/>
      <c r="AX956" s="1051"/>
      <c r="AY956" s="1053"/>
      <c r="AZ956" s="1051"/>
      <c r="BA956" s="1051"/>
      <c r="BB956" s="1053"/>
      <c r="BC956" s="1051"/>
      <c r="BD956" s="1051"/>
      <c r="BE956" s="1053"/>
      <c r="BF956" s="1051"/>
      <c r="BG956" s="1051"/>
      <c r="BH956" s="1053"/>
      <c r="BI956" s="1052"/>
      <c r="BJ956" s="1052"/>
      <c r="BK956" s="1052"/>
      <c r="BL956" s="1052"/>
      <c r="BM956" s="1052"/>
      <c r="BN956" s="1054"/>
      <c r="BO956" s="1076">
        <f t="shared" si="26"/>
        <v>0</v>
      </c>
      <c r="BP956" s="1051"/>
      <c r="BQ956" s="1052"/>
      <c r="BR956" s="1054"/>
      <c r="BS956" s="1053"/>
      <c r="BT956" s="1051"/>
      <c r="BU956" s="1051"/>
      <c r="BV956" s="1051"/>
      <c r="BW956" s="1052"/>
      <c r="BX956" s="1052"/>
      <c r="BY956" s="1052"/>
      <c r="BZ956" s="1052"/>
      <c r="CA956" s="1052"/>
      <c r="CB956" s="1053"/>
      <c r="CC956" s="1053"/>
      <c r="CD956" s="1053"/>
      <c r="CE956" s="1053"/>
      <c r="CF956" s="1053"/>
      <c r="CG956" s="1053"/>
      <c r="CH956" s="1053"/>
      <c r="CI956" s="1123"/>
      <c r="CJ956" s="1123"/>
      <c r="CK956" s="1123"/>
      <c r="CL956" s="1123"/>
      <c r="CM956" s="1123"/>
      <c r="CN956" s="1123"/>
      <c r="CO956" s="1123"/>
      <c r="CP956" s="1123"/>
      <c r="CQ956" s="1123"/>
      <c r="CR956" s="1123"/>
      <c r="CS956" s="1123"/>
      <c r="CT956" s="1123"/>
      <c r="CU956" s="1123"/>
      <c r="CV956" s="1123"/>
      <c r="CW956" s="1123"/>
      <c r="CX956" s="1123"/>
      <c r="CY956" s="1123"/>
      <c r="CZ956" s="1114"/>
      <c r="DA956" s="1114"/>
      <c r="DB956" s="1114"/>
      <c r="DC956" s="1114"/>
      <c r="DD956" s="1114"/>
      <c r="DE956" s="1114"/>
      <c r="DF956" s="1114"/>
      <c r="DG956" s="1114"/>
      <c r="DH956" s="1114"/>
      <c r="DI956" s="1114"/>
      <c r="DJ956" s="1114"/>
      <c r="DK956" s="1114"/>
      <c r="DL956" s="1114"/>
      <c r="DM956" s="1114"/>
      <c r="DN956" s="1114"/>
      <c r="DO956" s="1114"/>
      <c r="DP956" s="1114"/>
      <c r="DQ956" s="1114"/>
      <c r="DR956" s="1114"/>
      <c r="DS956" s="1114"/>
      <c r="DT956" s="1114"/>
      <c r="DU956" s="1114"/>
      <c r="DV956" s="1115"/>
      <c r="DW956" s="1116"/>
      <c r="DX956" s="1116"/>
      <c r="DY956" s="1116"/>
      <c r="DZ956" s="1116"/>
      <c r="EA956" s="1116"/>
      <c r="EB956" s="1116"/>
      <c r="EC956" s="1116"/>
      <c r="ED956" s="1116"/>
      <c r="EE956" s="1116"/>
      <c r="EF956" s="1116"/>
      <c r="EG956" s="1116"/>
      <c r="EH956" s="1116"/>
      <c r="EI956" s="1116"/>
      <c r="EJ956" s="1116"/>
      <c r="EK956" s="1116"/>
      <c r="EL956" s="1116"/>
      <c r="EM956" s="1116"/>
      <c r="EN956" s="1116"/>
      <c r="EO956" s="1116"/>
      <c r="EP956" s="1116"/>
      <c r="EQ956" s="1116"/>
      <c r="ER956" s="1116"/>
      <c r="ES956" s="1116"/>
    </row>
    <row r="957" spans="1:149" ht="15" customHeight="1">
      <c r="A957" s="1185">
        <v>942</v>
      </c>
      <c r="B957" s="1041"/>
      <c r="C957" s="1050"/>
      <c r="D957" s="1050"/>
      <c r="E957" s="1050"/>
      <c r="F957" s="1049"/>
      <c r="G957" s="1457"/>
      <c r="H957" s="1049"/>
      <c r="I957" s="1049"/>
      <c r="J957" s="1050"/>
      <c r="K957" s="1050"/>
      <c r="L957" s="1043"/>
      <c r="M957" s="1051"/>
      <c r="N957" s="1051"/>
      <c r="O957" s="1052"/>
      <c r="P957" s="1051"/>
      <c r="Q957" s="1051"/>
      <c r="R957" s="1052"/>
      <c r="S957" s="1051"/>
      <c r="T957" s="1051"/>
      <c r="U957" s="1052"/>
      <c r="V957" s="1051"/>
      <c r="W957" s="1051"/>
      <c r="X957" s="1052"/>
      <c r="Y957" s="1053"/>
      <c r="Z957" s="1051"/>
      <c r="AA957" s="1051"/>
      <c r="AB957" s="1052"/>
      <c r="AC957" s="1051"/>
      <c r="AD957" s="1051"/>
      <c r="AE957" s="1052"/>
      <c r="AF957" s="1051"/>
      <c r="AG957" s="1051"/>
      <c r="AH957" s="1051"/>
      <c r="AI957" s="1051"/>
      <c r="AJ957" s="1052"/>
      <c r="AK957" s="1051"/>
      <c r="AL957" s="1051"/>
      <c r="AM957" s="1052"/>
      <c r="AN957" s="1051"/>
      <c r="AO957" s="1051"/>
      <c r="AP957" s="1052"/>
      <c r="AQ957" s="1051"/>
      <c r="AR957" s="1051"/>
      <c r="AS957" s="1052"/>
      <c r="AT957" s="1051"/>
      <c r="AU957" s="1051"/>
      <c r="AV957" s="1052"/>
      <c r="AW957" s="1051"/>
      <c r="AX957" s="1051"/>
      <c r="AY957" s="1053"/>
      <c r="AZ957" s="1051"/>
      <c r="BA957" s="1051"/>
      <c r="BB957" s="1053"/>
      <c r="BC957" s="1051"/>
      <c r="BD957" s="1051"/>
      <c r="BE957" s="1053"/>
      <c r="BF957" s="1051"/>
      <c r="BG957" s="1051"/>
      <c r="BH957" s="1053"/>
      <c r="BI957" s="1052"/>
      <c r="BJ957" s="1052"/>
      <c r="BK957" s="1052"/>
      <c r="BL957" s="1052"/>
      <c r="BM957" s="1052"/>
      <c r="BN957" s="1054"/>
      <c r="BO957" s="1076">
        <f t="shared" si="26"/>
        <v>0</v>
      </c>
      <c r="BP957" s="1051"/>
      <c r="BQ957" s="1052"/>
      <c r="BR957" s="1054"/>
      <c r="BS957" s="1053"/>
      <c r="BT957" s="1051"/>
      <c r="BU957" s="1051"/>
      <c r="BV957" s="1051"/>
      <c r="BW957" s="1052"/>
      <c r="BX957" s="1052"/>
      <c r="BY957" s="1052"/>
      <c r="BZ957" s="1052"/>
      <c r="CA957" s="1052"/>
      <c r="CB957" s="1053"/>
      <c r="CC957" s="1053"/>
      <c r="CD957" s="1053"/>
      <c r="CE957" s="1053"/>
      <c r="CF957" s="1053"/>
      <c r="CG957" s="1053"/>
      <c r="CH957" s="1053"/>
      <c r="CI957" s="1123"/>
      <c r="CJ957" s="1123"/>
      <c r="CK957" s="1123"/>
      <c r="CL957" s="1123"/>
      <c r="CM957" s="1123"/>
      <c r="CN957" s="1123"/>
      <c r="CO957" s="1123"/>
      <c r="CP957" s="1123"/>
      <c r="CQ957" s="1123"/>
      <c r="CR957" s="1123"/>
      <c r="CS957" s="1123"/>
      <c r="CT957" s="1123"/>
      <c r="CU957" s="1123"/>
      <c r="CV957" s="1123"/>
      <c r="CW957" s="1123"/>
      <c r="CX957" s="1123"/>
      <c r="CY957" s="1123"/>
      <c r="CZ957" s="1114"/>
      <c r="DA957" s="1114"/>
      <c r="DB957" s="1114"/>
      <c r="DC957" s="1114"/>
      <c r="DD957" s="1114"/>
      <c r="DE957" s="1114"/>
      <c r="DF957" s="1114"/>
      <c r="DG957" s="1114"/>
      <c r="DH957" s="1114"/>
      <c r="DI957" s="1114"/>
      <c r="DJ957" s="1114"/>
      <c r="DK957" s="1114"/>
      <c r="DL957" s="1114"/>
      <c r="DM957" s="1114"/>
      <c r="DN957" s="1114"/>
      <c r="DO957" s="1114"/>
      <c r="DP957" s="1114"/>
      <c r="DQ957" s="1114"/>
      <c r="DR957" s="1114"/>
      <c r="DS957" s="1114"/>
      <c r="DT957" s="1114"/>
      <c r="DU957" s="1114"/>
      <c r="DV957" s="1115"/>
      <c r="DW957" s="1116"/>
      <c r="DX957" s="1116"/>
      <c r="DY957" s="1116"/>
      <c r="DZ957" s="1116"/>
      <c r="EA957" s="1116"/>
      <c r="EB957" s="1116"/>
      <c r="EC957" s="1116"/>
      <c r="ED957" s="1116"/>
      <c r="EE957" s="1116"/>
      <c r="EF957" s="1116"/>
      <c r="EG957" s="1116"/>
      <c r="EH957" s="1116"/>
      <c r="EI957" s="1116"/>
      <c r="EJ957" s="1116"/>
      <c r="EK957" s="1116"/>
      <c r="EL957" s="1116"/>
      <c r="EM957" s="1116"/>
      <c r="EN957" s="1116"/>
      <c r="EO957" s="1116"/>
      <c r="EP957" s="1116"/>
      <c r="EQ957" s="1116"/>
      <c r="ER957" s="1116"/>
      <c r="ES957" s="1116"/>
    </row>
    <row r="958" spans="1:149" ht="15" customHeight="1">
      <c r="A958" s="1185">
        <v>943</v>
      </c>
      <c r="B958" s="1041"/>
      <c r="C958" s="1050"/>
      <c r="D958" s="1050"/>
      <c r="E958" s="1050"/>
      <c r="F958" s="1049"/>
      <c r="G958" s="1457"/>
      <c r="H958" s="1049"/>
      <c r="I958" s="1049"/>
      <c r="J958" s="1050"/>
      <c r="K958" s="1050"/>
      <c r="L958" s="1043"/>
      <c r="M958" s="1051"/>
      <c r="N958" s="1051"/>
      <c r="O958" s="1052"/>
      <c r="P958" s="1051"/>
      <c r="Q958" s="1051"/>
      <c r="R958" s="1052"/>
      <c r="S958" s="1051"/>
      <c r="T958" s="1051"/>
      <c r="U958" s="1052"/>
      <c r="V958" s="1051"/>
      <c r="W958" s="1051"/>
      <c r="X958" s="1052"/>
      <c r="Y958" s="1053"/>
      <c r="Z958" s="1051"/>
      <c r="AA958" s="1051"/>
      <c r="AB958" s="1052"/>
      <c r="AC958" s="1051"/>
      <c r="AD958" s="1051"/>
      <c r="AE958" s="1052"/>
      <c r="AF958" s="1051"/>
      <c r="AG958" s="1051"/>
      <c r="AH958" s="1051"/>
      <c r="AI958" s="1051"/>
      <c r="AJ958" s="1052"/>
      <c r="AK958" s="1051"/>
      <c r="AL958" s="1051"/>
      <c r="AM958" s="1052"/>
      <c r="AN958" s="1051"/>
      <c r="AO958" s="1051"/>
      <c r="AP958" s="1052"/>
      <c r="AQ958" s="1051"/>
      <c r="AR958" s="1051"/>
      <c r="AS958" s="1052"/>
      <c r="AT958" s="1051"/>
      <c r="AU958" s="1051"/>
      <c r="AV958" s="1052"/>
      <c r="AW958" s="1051"/>
      <c r="AX958" s="1051"/>
      <c r="AY958" s="1053"/>
      <c r="AZ958" s="1051"/>
      <c r="BA958" s="1051"/>
      <c r="BB958" s="1053"/>
      <c r="BC958" s="1051"/>
      <c r="BD958" s="1051"/>
      <c r="BE958" s="1053"/>
      <c r="BF958" s="1051"/>
      <c r="BG958" s="1051"/>
      <c r="BH958" s="1053"/>
      <c r="BI958" s="1052"/>
      <c r="BJ958" s="1052"/>
      <c r="BK958" s="1052"/>
      <c r="BL958" s="1052"/>
      <c r="BM958" s="1052"/>
      <c r="BN958" s="1054"/>
      <c r="BO958" s="1076">
        <f t="shared" si="26"/>
        <v>0</v>
      </c>
      <c r="BP958" s="1051"/>
      <c r="BQ958" s="1052"/>
      <c r="BR958" s="1054"/>
      <c r="BS958" s="1053"/>
      <c r="BT958" s="1051"/>
      <c r="BU958" s="1051"/>
      <c r="BV958" s="1051"/>
      <c r="BW958" s="1052"/>
      <c r="BX958" s="1052"/>
      <c r="BY958" s="1052"/>
      <c r="BZ958" s="1052"/>
      <c r="CA958" s="1052"/>
      <c r="CB958" s="1053"/>
      <c r="CC958" s="1053"/>
      <c r="CD958" s="1053"/>
      <c r="CE958" s="1053"/>
      <c r="CF958" s="1053"/>
      <c r="CG958" s="1053"/>
      <c r="CH958" s="1053"/>
      <c r="CI958" s="1123"/>
      <c r="CJ958" s="1123"/>
      <c r="CK958" s="1123"/>
      <c r="CL958" s="1123"/>
      <c r="CM958" s="1123"/>
      <c r="CN958" s="1123"/>
      <c r="CO958" s="1123"/>
      <c r="CP958" s="1123"/>
      <c r="CQ958" s="1123"/>
      <c r="CR958" s="1123"/>
      <c r="CS958" s="1123"/>
      <c r="CT958" s="1123"/>
      <c r="CU958" s="1123"/>
      <c r="CV958" s="1123"/>
      <c r="CW958" s="1123"/>
      <c r="CX958" s="1123"/>
      <c r="CY958" s="1123"/>
      <c r="CZ958" s="1114"/>
      <c r="DA958" s="1114"/>
      <c r="DB958" s="1114"/>
      <c r="DC958" s="1114"/>
      <c r="DD958" s="1114"/>
      <c r="DE958" s="1114"/>
      <c r="DF958" s="1114"/>
      <c r="DG958" s="1114"/>
      <c r="DH958" s="1114"/>
      <c r="DI958" s="1114"/>
      <c r="DJ958" s="1114"/>
      <c r="DK958" s="1114"/>
      <c r="DL958" s="1114"/>
      <c r="DM958" s="1114"/>
      <c r="DN958" s="1114"/>
      <c r="DO958" s="1114"/>
      <c r="DP958" s="1114"/>
      <c r="DQ958" s="1114"/>
      <c r="DR958" s="1114"/>
      <c r="DS958" s="1114"/>
      <c r="DT958" s="1114"/>
      <c r="DU958" s="1114"/>
      <c r="DV958" s="1115"/>
      <c r="DW958" s="1116"/>
      <c r="DX958" s="1116"/>
      <c r="DY958" s="1116"/>
      <c r="DZ958" s="1116"/>
      <c r="EA958" s="1116"/>
      <c r="EB958" s="1116"/>
      <c r="EC958" s="1116"/>
      <c r="ED958" s="1116"/>
      <c r="EE958" s="1116"/>
      <c r="EF958" s="1116"/>
      <c r="EG958" s="1116"/>
      <c r="EH958" s="1116"/>
      <c r="EI958" s="1116"/>
      <c r="EJ958" s="1116"/>
      <c r="EK958" s="1116"/>
      <c r="EL958" s="1116"/>
      <c r="EM958" s="1116"/>
      <c r="EN958" s="1116"/>
      <c r="EO958" s="1116"/>
      <c r="EP958" s="1116"/>
      <c r="EQ958" s="1116"/>
      <c r="ER958" s="1116"/>
      <c r="ES958" s="1116"/>
    </row>
    <row r="959" spans="1:149" ht="15" customHeight="1">
      <c r="A959" s="1185">
        <v>944</v>
      </c>
      <c r="B959" s="1041"/>
      <c r="C959" s="1050"/>
      <c r="D959" s="1050"/>
      <c r="E959" s="1050"/>
      <c r="F959" s="1049"/>
      <c r="G959" s="1457"/>
      <c r="H959" s="1049"/>
      <c r="I959" s="1049"/>
      <c r="J959" s="1050"/>
      <c r="K959" s="1050"/>
      <c r="L959" s="1043"/>
      <c r="M959" s="1051"/>
      <c r="N959" s="1051"/>
      <c r="O959" s="1052"/>
      <c r="P959" s="1051"/>
      <c r="Q959" s="1051"/>
      <c r="R959" s="1052"/>
      <c r="S959" s="1051"/>
      <c r="T959" s="1051"/>
      <c r="U959" s="1052"/>
      <c r="V959" s="1051"/>
      <c r="W959" s="1051"/>
      <c r="X959" s="1052"/>
      <c r="Y959" s="1053"/>
      <c r="Z959" s="1051"/>
      <c r="AA959" s="1051"/>
      <c r="AB959" s="1052"/>
      <c r="AC959" s="1051"/>
      <c r="AD959" s="1051"/>
      <c r="AE959" s="1052"/>
      <c r="AF959" s="1051"/>
      <c r="AG959" s="1051"/>
      <c r="AH959" s="1051"/>
      <c r="AI959" s="1051"/>
      <c r="AJ959" s="1052"/>
      <c r="AK959" s="1051"/>
      <c r="AL959" s="1051"/>
      <c r="AM959" s="1052"/>
      <c r="AN959" s="1051"/>
      <c r="AO959" s="1051"/>
      <c r="AP959" s="1052"/>
      <c r="AQ959" s="1051"/>
      <c r="AR959" s="1051"/>
      <c r="AS959" s="1052"/>
      <c r="AT959" s="1051"/>
      <c r="AU959" s="1051"/>
      <c r="AV959" s="1052"/>
      <c r="AW959" s="1051"/>
      <c r="AX959" s="1051"/>
      <c r="AY959" s="1053"/>
      <c r="AZ959" s="1051"/>
      <c r="BA959" s="1051"/>
      <c r="BB959" s="1053"/>
      <c r="BC959" s="1051"/>
      <c r="BD959" s="1051"/>
      <c r="BE959" s="1053"/>
      <c r="BF959" s="1051"/>
      <c r="BG959" s="1051"/>
      <c r="BH959" s="1053"/>
      <c r="BI959" s="1052"/>
      <c r="BJ959" s="1052"/>
      <c r="BK959" s="1052"/>
      <c r="BL959" s="1052"/>
      <c r="BM959" s="1052"/>
      <c r="BN959" s="1054"/>
      <c r="BO959" s="1076">
        <f t="shared" si="26"/>
        <v>0</v>
      </c>
      <c r="BP959" s="1051"/>
      <c r="BQ959" s="1052"/>
      <c r="BR959" s="1054"/>
      <c r="BS959" s="1053"/>
      <c r="BT959" s="1051"/>
      <c r="BU959" s="1051"/>
      <c r="BV959" s="1051"/>
      <c r="BW959" s="1052"/>
      <c r="BX959" s="1052"/>
      <c r="BY959" s="1052"/>
      <c r="BZ959" s="1052"/>
      <c r="CA959" s="1052"/>
      <c r="CB959" s="1053"/>
      <c r="CC959" s="1053"/>
      <c r="CD959" s="1053"/>
      <c r="CE959" s="1053"/>
      <c r="CF959" s="1053"/>
      <c r="CG959" s="1053"/>
      <c r="CH959" s="1053"/>
      <c r="CI959" s="1123"/>
      <c r="CJ959" s="1123"/>
      <c r="CK959" s="1123"/>
      <c r="CL959" s="1123"/>
      <c r="CM959" s="1123"/>
      <c r="CN959" s="1123"/>
      <c r="CO959" s="1123"/>
      <c r="CP959" s="1123"/>
      <c r="CQ959" s="1123"/>
      <c r="CR959" s="1123"/>
      <c r="CS959" s="1123"/>
      <c r="CT959" s="1123"/>
      <c r="CU959" s="1123"/>
      <c r="CV959" s="1123"/>
      <c r="CW959" s="1123"/>
      <c r="CX959" s="1123"/>
      <c r="CY959" s="1123"/>
      <c r="CZ959" s="1114"/>
      <c r="DA959" s="1114"/>
      <c r="DB959" s="1114"/>
      <c r="DC959" s="1114"/>
      <c r="DD959" s="1114"/>
      <c r="DE959" s="1114"/>
      <c r="DF959" s="1114"/>
      <c r="DG959" s="1114"/>
      <c r="DH959" s="1114"/>
      <c r="DI959" s="1114"/>
      <c r="DJ959" s="1114"/>
      <c r="DK959" s="1114"/>
      <c r="DL959" s="1114"/>
      <c r="DM959" s="1114"/>
      <c r="DN959" s="1114"/>
      <c r="DO959" s="1114"/>
      <c r="DP959" s="1114"/>
      <c r="DQ959" s="1114"/>
      <c r="DR959" s="1114"/>
      <c r="DS959" s="1114"/>
      <c r="DT959" s="1114"/>
      <c r="DU959" s="1114"/>
      <c r="DV959" s="1115"/>
      <c r="DW959" s="1116"/>
      <c r="DX959" s="1116"/>
      <c r="DY959" s="1116"/>
      <c r="DZ959" s="1116"/>
      <c r="EA959" s="1116"/>
      <c r="EB959" s="1116"/>
      <c r="EC959" s="1116"/>
      <c r="ED959" s="1116"/>
      <c r="EE959" s="1116"/>
      <c r="EF959" s="1116"/>
      <c r="EG959" s="1116"/>
      <c r="EH959" s="1116"/>
      <c r="EI959" s="1116"/>
      <c r="EJ959" s="1116"/>
      <c r="EK959" s="1116"/>
      <c r="EL959" s="1116"/>
      <c r="EM959" s="1116"/>
      <c r="EN959" s="1116"/>
      <c r="EO959" s="1116"/>
      <c r="EP959" s="1116"/>
      <c r="EQ959" s="1116"/>
      <c r="ER959" s="1116"/>
      <c r="ES959" s="1116"/>
    </row>
    <row r="960" spans="1:149" ht="15" customHeight="1">
      <c r="A960" s="1185">
        <v>945</v>
      </c>
      <c r="B960" s="1041"/>
      <c r="C960" s="1050"/>
      <c r="D960" s="1050"/>
      <c r="E960" s="1050"/>
      <c r="F960" s="1049"/>
      <c r="G960" s="1457"/>
      <c r="H960" s="1049"/>
      <c r="I960" s="1049"/>
      <c r="J960" s="1050"/>
      <c r="K960" s="1050"/>
      <c r="L960" s="1043"/>
      <c r="M960" s="1051"/>
      <c r="N960" s="1051"/>
      <c r="O960" s="1052"/>
      <c r="P960" s="1051"/>
      <c r="Q960" s="1051"/>
      <c r="R960" s="1052"/>
      <c r="S960" s="1051"/>
      <c r="T960" s="1051"/>
      <c r="U960" s="1052"/>
      <c r="V960" s="1051"/>
      <c r="W960" s="1051"/>
      <c r="X960" s="1052"/>
      <c r="Y960" s="1053"/>
      <c r="Z960" s="1051"/>
      <c r="AA960" s="1051"/>
      <c r="AB960" s="1052"/>
      <c r="AC960" s="1051"/>
      <c r="AD960" s="1051"/>
      <c r="AE960" s="1052"/>
      <c r="AF960" s="1051"/>
      <c r="AG960" s="1051"/>
      <c r="AH960" s="1051"/>
      <c r="AI960" s="1051"/>
      <c r="AJ960" s="1052"/>
      <c r="AK960" s="1051"/>
      <c r="AL960" s="1051"/>
      <c r="AM960" s="1052"/>
      <c r="AN960" s="1051"/>
      <c r="AO960" s="1051"/>
      <c r="AP960" s="1052"/>
      <c r="AQ960" s="1051"/>
      <c r="AR960" s="1051"/>
      <c r="AS960" s="1052"/>
      <c r="AT960" s="1051"/>
      <c r="AU960" s="1051"/>
      <c r="AV960" s="1052"/>
      <c r="AW960" s="1051"/>
      <c r="AX960" s="1051"/>
      <c r="AY960" s="1053"/>
      <c r="AZ960" s="1051"/>
      <c r="BA960" s="1051"/>
      <c r="BB960" s="1053"/>
      <c r="BC960" s="1051"/>
      <c r="BD960" s="1051"/>
      <c r="BE960" s="1053"/>
      <c r="BF960" s="1051"/>
      <c r="BG960" s="1051"/>
      <c r="BH960" s="1053"/>
      <c r="BI960" s="1052"/>
      <c r="BJ960" s="1052"/>
      <c r="BK960" s="1052"/>
      <c r="BL960" s="1052"/>
      <c r="BM960" s="1052"/>
      <c r="BN960" s="1054"/>
      <c r="BO960" s="1076">
        <f t="shared" si="26"/>
        <v>0</v>
      </c>
      <c r="BP960" s="1051"/>
      <c r="BQ960" s="1052"/>
      <c r="BR960" s="1054"/>
      <c r="BS960" s="1053"/>
      <c r="BT960" s="1051"/>
      <c r="BU960" s="1051"/>
      <c r="BV960" s="1051"/>
      <c r="BW960" s="1052"/>
      <c r="BX960" s="1052"/>
      <c r="BY960" s="1052"/>
      <c r="BZ960" s="1052"/>
      <c r="CA960" s="1052"/>
      <c r="CB960" s="1053"/>
      <c r="CC960" s="1053"/>
      <c r="CD960" s="1053"/>
      <c r="CE960" s="1053"/>
      <c r="CF960" s="1053"/>
      <c r="CG960" s="1053"/>
      <c r="CH960" s="1053"/>
      <c r="CI960" s="1123"/>
      <c r="CJ960" s="1123"/>
      <c r="CK960" s="1123"/>
      <c r="CL960" s="1123"/>
      <c r="CM960" s="1123"/>
      <c r="CN960" s="1123"/>
      <c r="CO960" s="1123"/>
      <c r="CP960" s="1123"/>
      <c r="CQ960" s="1123"/>
      <c r="CR960" s="1123"/>
      <c r="CS960" s="1123"/>
      <c r="CT960" s="1123"/>
      <c r="CU960" s="1123"/>
      <c r="CV960" s="1123"/>
      <c r="CW960" s="1123"/>
      <c r="CX960" s="1123"/>
      <c r="CY960" s="1123"/>
      <c r="CZ960" s="1114"/>
      <c r="DA960" s="1114"/>
      <c r="DB960" s="1114"/>
      <c r="DC960" s="1114"/>
      <c r="DD960" s="1114"/>
      <c r="DE960" s="1114"/>
      <c r="DF960" s="1114"/>
      <c r="DG960" s="1114"/>
      <c r="DH960" s="1114"/>
      <c r="DI960" s="1114"/>
      <c r="DJ960" s="1114"/>
      <c r="DK960" s="1114"/>
      <c r="DL960" s="1114"/>
      <c r="DM960" s="1114"/>
      <c r="DN960" s="1114"/>
      <c r="DO960" s="1114"/>
      <c r="DP960" s="1114"/>
      <c r="DQ960" s="1114"/>
      <c r="DR960" s="1114"/>
      <c r="DS960" s="1114"/>
      <c r="DT960" s="1114"/>
      <c r="DU960" s="1114"/>
      <c r="DV960" s="1115"/>
      <c r="DW960" s="1116"/>
      <c r="DX960" s="1116"/>
      <c r="DY960" s="1116"/>
      <c r="DZ960" s="1116"/>
      <c r="EA960" s="1116"/>
      <c r="EB960" s="1116"/>
      <c r="EC960" s="1116"/>
      <c r="ED960" s="1116"/>
      <c r="EE960" s="1116"/>
      <c r="EF960" s="1116"/>
      <c r="EG960" s="1116"/>
      <c r="EH960" s="1116"/>
      <c r="EI960" s="1116"/>
      <c r="EJ960" s="1116"/>
      <c r="EK960" s="1116"/>
      <c r="EL960" s="1116"/>
      <c r="EM960" s="1116"/>
      <c r="EN960" s="1116"/>
      <c r="EO960" s="1116"/>
      <c r="EP960" s="1116"/>
      <c r="EQ960" s="1116"/>
      <c r="ER960" s="1116"/>
      <c r="ES960" s="1116"/>
    </row>
    <row r="961" spans="1:149" ht="15" customHeight="1">
      <c r="A961" s="1185">
        <v>946</v>
      </c>
      <c r="B961" s="1041"/>
      <c r="C961" s="1050"/>
      <c r="D961" s="1050"/>
      <c r="E961" s="1050"/>
      <c r="F961" s="1049"/>
      <c r="G961" s="1457"/>
      <c r="H961" s="1049"/>
      <c r="I961" s="1049"/>
      <c r="J961" s="1050"/>
      <c r="K961" s="1050"/>
      <c r="L961" s="1043"/>
      <c r="M961" s="1051"/>
      <c r="N961" s="1051"/>
      <c r="O961" s="1052"/>
      <c r="P961" s="1051"/>
      <c r="Q961" s="1051"/>
      <c r="R961" s="1052"/>
      <c r="S961" s="1051"/>
      <c r="T961" s="1051"/>
      <c r="U961" s="1052"/>
      <c r="V961" s="1051"/>
      <c r="W961" s="1051"/>
      <c r="X961" s="1052"/>
      <c r="Y961" s="1053"/>
      <c r="Z961" s="1051"/>
      <c r="AA961" s="1051"/>
      <c r="AB961" s="1052"/>
      <c r="AC961" s="1051"/>
      <c r="AD961" s="1051"/>
      <c r="AE961" s="1052"/>
      <c r="AF961" s="1051"/>
      <c r="AG961" s="1051"/>
      <c r="AH961" s="1051"/>
      <c r="AI961" s="1051"/>
      <c r="AJ961" s="1052"/>
      <c r="AK961" s="1051"/>
      <c r="AL961" s="1051"/>
      <c r="AM961" s="1052"/>
      <c r="AN961" s="1051"/>
      <c r="AO961" s="1051"/>
      <c r="AP961" s="1052"/>
      <c r="AQ961" s="1051"/>
      <c r="AR961" s="1051"/>
      <c r="AS961" s="1052"/>
      <c r="AT961" s="1051"/>
      <c r="AU961" s="1051"/>
      <c r="AV961" s="1052"/>
      <c r="AW961" s="1051"/>
      <c r="AX961" s="1051"/>
      <c r="AY961" s="1053"/>
      <c r="AZ961" s="1051"/>
      <c r="BA961" s="1051"/>
      <c r="BB961" s="1053"/>
      <c r="BC961" s="1051"/>
      <c r="BD961" s="1051"/>
      <c r="BE961" s="1053"/>
      <c r="BF961" s="1051"/>
      <c r="BG961" s="1051"/>
      <c r="BH961" s="1053"/>
      <c r="BI961" s="1052"/>
      <c r="BJ961" s="1052"/>
      <c r="BK961" s="1052"/>
      <c r="BL961" s="1052"/>
      <c r="BM961" s="1052"/>
      <c r="BN961" s="1054"/>
      <c r="BO961" s="1076">
        <f t="shared" si="26"/>
        <v>0</v>
      </c>
      <c r="BP961" s="1051"/>
      <c r="BQ961" s="1052"/>
      <c r="BR961" s="1054"/>
      <c r="BS961" s="1053"/>
      <c r="BT961" s="1051"/>
      <c r="BU961" s="1051"/>
      <c r="BV961" s="1051"/>
      <c r="BW961" s="1052"/>
      <c r="BX961" s="1052"/>
      <c r="BY961" s="1052"/>
      <c r="BZ961" s="1052"/>
      <c r="CA961" s="1052"/>
      <c r="CB961" s="1053"/>
      <c r="CC961" s="1053"/>
      <c r="CD961" s="1053"/>
      <c r="CE961" s="1053"/>
      <c r="CF961" s="1053"/>
      <c r="CG961" s="1053"/>
      <c r="CH961" s="1053"/>
      <c r="CI961" s="1123"/>
      <c r="CJ961" s="1123"/>
      <c r="CK961" s="1123"/>
      <c r="CL961" s="1123"/>
      <c r="CM961" s="1123"/>
      <c r="CN961" s="1123"/>
      <c r="CO961" s="1123"/>
      <c r="CP961" s="1123"/>
      <c r="CQ961" s="1123"/>
      <c r="CR961" s="1123"/>
      <c r="CS961" s="1123"/>
      <c r="CT961" s="1123"/>
      <c r="CU961" s="1123"/>
      <c r="CV961" s="1123"/>
      <c r="CW961" s="1123"/>
      <c r="CX961" s="1123"/>
      <c r="CY961" s="1123"/>
      <c r="CZ961" s="1114"/>
      <c r="DA961" s="1114"/>
      <c r="DB961" s="1114"/>
      <c r="DC961" s="1114"/>
      <c r="DD961" s="1114"/>
      <c r="DE961" s="1114"/>
      <c r="DF961" s="1114"/>
      <c r="DG961" s="1114"/>
      <c r="DH961" s="1114"/>
      <c r="DI961" s="1114"/>
      <c r="DJ961" s="1114"/>
      <c r="DK961" s="1114"/>
      <c r="DL961" s="1114"/>
      <c r="DM961" s="1114"/>
      <c r="DN961" s="1114"/>
      <c r="DO961" s="1114"/>
      <c r="DP961" s="1114"/>
      <c r="DQ961" s="1114"/>
      <c r="DR961" s="1114"/>
      <c r="DS961" s="1114"/>
      <c r="DT961" s="1114"/>
      <c r="DU961" s="1114"/>
      <c r="DV961" s="1115"/>
      <c r="DW961" s="1116"/>
      <c r="DX961" s="1116"/>
      <c r="DY961" s="1116"/>
      <c r="DZ961" s="1116"/>
      <c r="EA961" s="1116"/>
      <c r="EB961" s="1116"/>
      <c r="EC961" s="1116"/>
      <c r="ED961" s="1116"/>
      <c r="EE961" s="1116"/>
      <c r="EF961" s="1116"/>
      <c r="EG961" s="1116"/>
      <c r="EH961" s="1116"/>
      <c r="EI961" s="1116"/>
      <c r="EJ961" s="1116"/>
      <c r="EK961" s="1116"/>
      <c r="EL961" s="1116"/>
      <c r="EM961" s="1116"/>
      <c r="EN961" s="1116"/>
      <c r="EO961" s="1116"/>
      <c r="EP961" s="1116"/>
      <c r="EQ961" s="1116"/>
      <c r="ER961" s="1116"/>
      <c r="ES961" s="1116"/>
    </row>
    <row r="962" spans="1:149" ht="15" customHeight="1">
      <c r="A962" s="1185">
        <v>947</v>
      </c>
      <c r="B962" s="1041"/>
      <c r="C962" s="1050"/>
      <c r="D962" s="1050"/>
      <c r="E962" s="1050"/>
      <c r="F962" s="1049"/>
      <c r="G962" s="1457"/>
      <c r="H962" s="1049"/>
      <c r="I962" s="1049"/>
      <c r="J962" s="1050"/>
      <c r="K962" s="1050"/>
      <c r="L962" s="1043"/>
      <c r="M962" s="1051"/>
      <c r="N962" s="1051"/>
      <c r="O962" s="1052"/>
      <c r="P962" s="1051"/>
      <c r="Q962" s="1051"/>
      <c r="R962" s="1052"/>
      <c r="S962" s="1051"/>
      <c r="T962" s="1051"/>
      <c r="U962" s="1052"/>
      <c r="V962" s="1051"/>
      <c r="W962" s="1051"/>
      <c r="X962" s="1052"/>
      <c r="Y962" s="1053"/>
      <c r="Z962" s="1051"/>
      <c r="AA962" s="1051"/>
      <c r="AB962" s="1052"/>
      <c r="AC962" s="1051"/>
      <c r="AD962" s="1051"/>
      <c r="AE962" s="1052"/>
      <c r="AF962" s="1051"/>
      <c r="AG962" s="1051"/>
      <c r="AH962" s="1051"/>
      <c r="AI962" s="1051"/>
      <c r="AJ962" s="1052"/>
      <c r="AK962" s="1051"/>
      <c r="AL962" s="1051"/>
      <c r="AM962" s="1052"/>
      <c r="AN962" s="1051"/>
      <c r="AO962" s="1051"/>
      <c r="AP962" s="1052"/>
      <c r="AQ962" s="1051"/>
      <c r="AR962" s="1051"/>
      <c r="AS962" s="1052"/>
      <c r="AT962" s="1051"/>
      <c r="AU962" s="1051"/>
      <c r="AV962" s="1052"/>
      <c r="AW962" s="1051"/>
      <c r="AX962" s="1051"/>
      <c r="AY962" s="1053"/>
      <c r="AZ962" s="1051"/>
      <c r="BA962" s="1051"/>
      <c r="BB962" s="1053"/>
      <c r="BC962" s="1051"/>
      <c r="BD962" s="1051"/>
      <c r="BE962" s="1053"/>
      <c r="BF962" s="1051"/>
      <c r="BG962" s="1051"/>
      <c r="BH962" s="1053"/>
      <c r="BI962" s="1052"/>
      <c r="BJ962" s="1052"/>
      <c r="BK962" s="1052"/>
      <c r="BL962" s="1052"/>
      <c r="BM962" s="1052"/>
      <c r="BN962" s="1054"/>
      <c r="BO962" s="1076">
        <f t="shared" si="26"/>
        <v>0</v>
      </c>
      <c r="BP962" s="1051"/>
      <c r="BQ962" s="1052"/>
      <c r="BR962" s="1054"/>
      <c r="BS962" s="1053"/>
      <c r="BT962" s="1051"/>
      <c r="BU962" s="1051"/>
      <c r="BV962" s="1051"/>
      <c r="BW962" s="1052"/>
      <c r="BX962" s="1052"/>
      <c r="BY962" s="1052"/>
      <c r="BZ962" s="1052"/>
      <c r="CA962" s="1052"/>
      <c r="CB962" s="1053"/>
      <c r="CC962" s="1053"/>
      <c r="CD962" s="1053"/>
      <c r="CE962" s="1053"/>
      <c r="CF962" s="1053"/>
      <c r="CG962" s="1053"/>
      <c r="CH962" s="1053"/>
      <c r="CI962" s="1123"/>
      <c r="CJ962" s="1123"/>
      <c r="CK962" s="1123"/>
      <c r="CL962" s="1123"/>
      <c r="CM962" s="1123"/>
      <c r="CN962" s="1123"/>
      <c r="CO962" s="1123"/>
      <c r="CP962" s="1123"/>
      <c r="CQ962" s="1123"/>
      <c r="CR962" s="1123"/>
      <c r="CS962" s="1123"/>
      <c r="CT962" s="1123"/>
      <c r="CU962" s="1123"/>
      <c r="CV962" s="1123"/>
      <c r="CW962" s="1123"/>
      <c r="CX962" s="1123"/>
      <c r="CY962" s="1123"/>
      <c r="CZ962" s="1114"/>
      <c r="DA962" s="1114"/>
      <c r="DB962" s="1114"/>
      <c r="DC962" s="1114"/>
      <c r="DD962" s="1114"/>
      <c r="DE962" s="1114"/>
      <c r="DF962" s="1114"/>
      <c r="DG962" s="1114"/>
      <c r="DH962" s="1114"/>
      <c r="DI962" s="1114"/>
      <c r="DJ962" s="1114"/>
      <c r="DK962" s="1114"/>
      <c r="DL962" s="1114"/>
      <c r="DM962" s="1114"/>
      <c r="DN962" s="1114"/>
      <c r="DO962" s="1114"/>
      <c r="DP962" s="1114"/>
      <c r="DQ962" s="1114"/>
      <c r="DR962" s="1114"/>
      <c r="DS962" s="1114"/>
      <c r="DT962" s="1114"/>
      <c r="DU962" s="1114"/>
      <c r="DV962" s="1115"/>
      <c r="DW962" s="1116"/>
      <c r="DX962" s="1116"/>
      <c r="DY962" s="1116"/>
      <c r="DZ962" s="1116"/>
      <c r="EA962" s="1116"/>
      <c r="EB962" s="1116"/>
      <c r="EC962" s="1116"/>
      <c r="ED962" s="1116"/>
      <c r="EE962" s="1116"/>
      <c r="EF962" s="1116"/>
      <c r="EG962" s="1116"/>
      <c r="EH962" s="1116"/>
      <c r="EI962" s="1116"/>
      <c r="EJ962" s="1116"/>
      <c r="EK962" s="1116"/>
      <c r="EL962" s="1116"/>
      <c r="EM962" s="1116"/>
      <c r="EN962" s="1116"/>
      <c r="EO962" s="1116"/>
      <c r="EP962" s="1116"/>
      <c r="EQ962" s="1116"/>
      <c r="ER962" s="1116"/>
      <c r="ES962" s="1116"/>
    </row>
    <row r="963" spans="1:149" ht="15" customHeight="1">
      <c r="A963" s="1185">
        <v>948</v>
      </c>
      <c r="B963" s="1041"/>
      <c r="C963" s="1050"/>
      <c r="D963" s="1050"/>
      <c r="E963" s="1050"/>
      <c r="F963" s="1049"/>
      <c r="G963" s="1457"/>
      <c r="H963" s="1049"/>
      <c r="I963" s="1049"/>
      <c r="J963" s="1050"/>
      <c r="K963" s="1050"/>
      <c r="L963" s="1043"/>
      <c r="M963" s="1051"/>
      <c r="N963" s="1051"/>
      <c r="O963" s="1052"/>
      <c r="P963" s="1051"/>
      <c r="Q963" s="1051"/>
      <c r="R963" s="1052"/>
      <c r="S963" s="1051"/>
      <c r="T963" s="1051"/>
      <c r="U963" s="1052"/>
      <c r="V963" s="1051"/>
      <c r="W963" s="1051"/>
      <c r="X963" s="1052"/>
      <c r="Y963" s="1053"/>
      <c r="Z963" s="1051"/>
      <c r="AA963" s="1051"/>
      <c r="AB963" s="1052"/>
      <c r="AC963" s="1051"/>
      <c r="AD963" s="1051"/>
      <c r="AE963" s="1052"/>
      <c r="AF963" s="1051"/>
      <c r="AG963" s="1051"/>
      <c r="AH963" s="1051"/>
      <c r="AI963" s="1051"/>
      <c r="AJ963" s="1052"/>
      <c r="AK963" s="1051"/>
      <c r="AL963" s="1051"/>
      <c r="AM963" s="1052"/>
      <c r="AN963" s="1051"/>
      <c r="AO963" s="1051"/>
      <c r="AP963" s="1052"/>
      <c r="AQ963" s="1051"/>
      <c r="AR963" s="1051"/>
      <c r="AS963" s="1052"/>
      <c r="AT963" s="1051"/>
      <c r="AU963" s="1051"/>
      <c r="AV963" s="1052"/>
      <c r="AW963" s="1051"/>
      <c r="AX963" s="1051"/>
      <c r="AY963" s="1053"/>
      <c r="AZ963" s="1051"/>
      <c r="BA963" s="1051"/>
      <c r="BB963" s="1053"/>
      <c r="BC963" s="1051"/>
      <c r="BD963" s="1051"/>
      <c r="BE963" s="1053"/>
      <c r="BF963" s="1051"/>
      <c r="BG963" s="1051"/>
      <c r="BH963" s="1053"/>
      <c r="BI963" s="1052"/>
      <c r="BJ963" s="1052"/>
      <c r="BK963" s="1052"/>
      <c r="BL963" s="1052"/>
      <c r="BM963" s="1052"/>
      <c r="BN963" s="1054"/>
      <c r="BO963" s="1076">
        <f t="shared" si="26"/>
        <v>0</v>
      </c>
      <c r="BP963" s="1051"/>
      <c r="BQ963" s="1052"/>
      <c r="BR963" s="1054"/>
      <c r="BS963" s="1053"/>
      <c r="BT963" s="1051"/>
      <c r="BU963" s="1051"/>
      <c r="BV963" s="1051"/>
      <c r="BW963" s="1052"/>
      <c r="BX963" s="1052"/>
      <c r="BY963" s="1052"/>
      <c r="BZ963" s="1052"/>
      <c r="CA963" s="1052"/>
      <c r="CB963" s="1053"/>
      <c r="CC963" s="1053"/>
      <c r="CD963" s="1053"/>
      <c r="CE963" s="1053"/>
      <c r="CF963" s="1053"/>
      <c r="CG963" s="1053"/>
      <c r="CH963" s="1053"/>
      <c r="CI963" s="1123"/>
      <c r="CJ963" s="1123"/>
      <c r="CK963" s="1123"/>
      <c r="CL963" s="1123"/>
      <c r="CM963" s="1123"/>
      <c r="CN963" s="1123"/>
      <c r="CO963" s="1123"/>
      <c r="CP963" s="1123"/>
      <c r="CQ963" s="1123"/>
      <c r="CR963" s="1123"/>
      <c r="CS963" s="1123"/>
      <c r="CT963" s="1123"/>
      <c r="CU963" s="1123"/>
      <c r="CV963" s="1123"/>
      <c r="CW963" s="1123"/>
      <c r="CX963" s="1123"/>
      <c r="CY963" s="1123"/>
      <c r="CZ963" s="1114"/>
      <c r="DA963" s="1114"/>
      <c r="DB963" s="1114"/>
      <c r="DC963" s="1114"/>
      <c r="DD963" s="1114"/>
      <c r="DE963" s="1114"/>
      <c r="DF963" s="1114"/>
      <c r="DG963" s="1114"/>
      <c r="DH963" s="1114"/>
      <c r="DI963" s="1114"/>
      <c r="DJ963" s="1114"/>
      <c r="DK963" s="1114"/>
      <c r="DL963" s="1114"/>
      <c r="DM963" s="1114"/>
      <c r="DN963" s="1114"/>
      <c r="DO963" s="1114"/>
      <c r="DP963" s="1114"/>
      <c r="DQ963" s="1114"/>
      <c r="DR963" s="1114"/>
      <c r="DS963" s="1114"/>
      <c r="DT963" s="1114"/>
      <c r="DU963" s="1114"/>
      <c r="DV963" s="1115"/>
      <c r="DW963" s="1116"/>
      <c r="DX963" s="1116"/>
      <c r="DY963" s="1116"/>
      <c r="DZ963" s="1116"/>
      <c r="EA963" s="1116"/>
      <c r="EB963" s="1116"/>
      <c r="EC963" s="1116"/>
      <c r="ED963" s="1116"/>
      <c r="EE963" s="1116"/>
      <c r="EF963" s="1116"/>
      <c r="EG963" s="1116"/>
      <c r="EH963" s="1116"/>
      <c r="EI963" s="1116"/>
      <c r="EJ963" s="1116"/>
      <c r="EK963" s="1116"/>
      <c r="EL963" s="1116"/>
      <c r="EM963" s="1116"/>
      <c r="EN963" s="1116"/>
      <c r="EO963" s="1116"/>
      <c r="EP963" s="1116"/>
      <c r="EQ963" s="1116"/>
      <c r="ER963" s="1116"/>
      <c r="ES963" s="1116"/>
    </row>
    <row r="964" spans="1:149" ht="15" customHeight="1">
      <c r="A964" s="1185">
        <v>949</v>
      </c>
      <c r="B964" s="1041"/>
      <c r="C964" s="1050"/>
      <c r="D964" s="1050"/>
      <c r="E964" s="1050"/>
      <c r="F964" s="1049"/>
      <c r="G964" s="1457"/>
      <c r="H964" s="1049"/>
      <c r="I964" s="1049"/>
      <c r="J964" s="1050"/>
      <c r="K964" s="1050"/>
      <c r="L964" s="1043"/>
      <c r="M964" s="1051"/>
      <c r="N964" s="1051"/>
      <c r="O964" s="1052"/>
      <c r="P964" s="1051"/>
      <c r="Q964" s="1051"/>
      <c r="R964" s="1052"/>
      <c r="S964" s="1051"/>
      <c r="T964" s="1051"/>
      <c r="U964" s="1052"/>
      <c r="V964" s="1051"/>
      <c r="W964" s="1051"/>
      <c r="X964" s="1052"/>
      <c r="Y964" s="1053"/>
      <c r="Z964" s="1051"/>
      <c r="AA964" s="1051"/>
      <c r="AB964" s="1052"/>
      <c r="AC964" s="1051"/>
      <c r="AD964" s="1051"/>
      <c r="AE964" s="1052"/>
      <c r="AF964" s="1051"/>
      <c r="AG964" s="1051"/>
      <c r="AH964" s="1051"/>
      <c r="AI964" s="1051"/>
      <c r="AJ964" s="1052"/>
      <c r="AK964" s="1051"/>
      <c r="AL964" s="1051"/>
      <c r="AM964" s="1052"/>
      <c r="AN964" s="1051"/>
      <c r="AO964" s="1051"/>
      <c r="AP964" s="1052"/>
      <c r="AQ964" s="1051"/>
      <c r="AR964" s="1051"/>
      <c r="AS964" s="1052"/>
      <c r="AT964" s="1051"/>
      <c r="AU964" s="1051"/>
      <c r="AV964" s="1052"/>
      <c r="AW964" s="1051"/>
      <c r="AX964" s="1051"/>
      <c r="AY964" s="1053"/>
      <c r="AZ964" s="1051"/>
      <c r="BA964" s="1051"/>
      <c r="BB964" s="1053"/>
      <c r="BC964" s="1051"/>
      <c r="BD964" s="1051"/>
      <c r="BE964" s="1053"/>
      <c r="BF964" s="1051"/>
      <c r="BG964" s="1051"/>
      <c r="BH964" s="1053"/>
      <c r="BI964" s="1052"/>
      <c r="BJ964" s="1052"/>
      <c r="BK964" s="1052"/>
      <c r="BL964" s="1052"/>
      <c r="BM964" s="1052"/>
      <c r="BN964" s="1054"/>
      <c r="BO964" s="1076">
        <f t="shared" si="26"/>
        <v>0</v>
      </c>
      <c r="BP964" s="1051"/>
      <c r="BQ964" s="1052"/>
      <c r="BR964" s="1054"/>
      <c r="BS964" s="1053"/>
      <c r="BT964" s="1051"/>
      <c r="BU964" s="1051"/>
      <c r="BV964" s="1051"/>
      <c r="BW964" s="1052"/>
      <c r="BX964" s="1052"/>
      <c r="BY964" s="1052"/>
      <c r="BZ964" s="1052"/>
      <c r="CA964" s="1052"/>
      <c r="CB964" s="1053"/>
      <c r="CC964" s="1053"/>
      <c r="CD964" s="1053"/>
      <c r="CE964" s="1053"/>
      <c r="CF964" s="1053"/>
      <c r="CG964" s="1053"/>
      <c r="CH964" s="1053"/>
      <c r="CI964" s="1123"/>
      <c r="CJ964" s="1123"/>
      <c r="CK964" s="1123"/>
      <c r="CL964" s="1123"/>
      <c r="CM964" s="1123"/>
      <c r="CN964" s="1123"/>
      <c r="CO964" s="1123"/>
      <c r="CP964" s="1123"/>
      <c r="CQ964" s="1123"/>
      <c r="CR964" s="1123"/>
      <c r="CS964" s="1123"/>
      <c r="CT964" s="1123"/>
      <c r="CU964" s="1123"/>
      <c r="CV964" s="1123"/>
      <c r="CW964" s="1123"/>
      <c r="CX964" s="1123"/>
      <c r="CY964" s="1123"/>
      <c r="CZ964" s="1114"/>
      <c r="DA964" s="1114"/>
      <c r="DB964" s="1114"/>
      <c r="DC964" s="1114"/>
      <c r="DD964" s="1114"/>
      <c r="DE964" s="1114"/>
      <c r="DF964" s="1114"/>
      <c r="DG964" s="1114"/>
      <c r="DH964" s="1114"/>
      <c r="DI964" s="1114"/>
      <c r="DJ964" s="1114"/>
      <c r="DK964" s="1114"/>
      <c r="DL964" s="1114"/>
      <c r="DM964" s="1114"/>
      <c r="DN964" s="1114"/>
      <c r="DO964" s="1114"/>
      <c r="DP964" s="1114"/>
      <c r="DQ964" s="1114"/>
      <c r="DR964" s="1114"/>
      <c r="DS964" s="1114"/>
      <c r="DT964" s="1114"/>
      <c r="DU964" s="1114"/>
      <c r="DV964" s="1115"/>
      <c r="DW964" s="1116"/>
      <c r="DX964" s="1116"/>
      <c r="DY964" s="1116"/>
      <c r="DZ964" s="1116"/>
      <c r="EA964" s="1116"/>
      <c r="EB964" s="1116"/>
      <c r="EC964" s="1116"/>
      <c r="ED964" s="1116"/>
      <c r="EE964" s="1116"/>
      <c r="EF964" s="1116"/>
      <c r="EG964" s="1116"/>
      <c r="EH964" s="1116"/>
      <c r="EI964" s="1116"/>
      <c r="EJ964" s="1116"/>
      <c r="EK964" s="1116"/>
      <c r="EL964" s="1116"/>
      <c r="EM964" s="1116"/>
      <c r="EN964" s="1116"/>
      <c r="EO964" s="1116"/>
      <c r="EP964" s="1116"/>
      <c r="EQ964" s="1116"/>
      <c r="ER964" s="1116"/>
      <c r="ES964" s="1116"/>
    </row>
    <row r="965" spans="1:149" ht="15" customHeight="1">
      <c r="A965" s="1185">
        <v>950</v>
      </c>
      <c r="B965" s="1041"/>
      <c r="C965" s="1050"/>
      <c r="D965" s="1050"/>
      <c r="E965" s="1050"/>
      <c r="F965" s="1049"/>
      <c r="G965" s="1457"/>
      <c r="H965" s="1049"/>
      <c r="I965" s="1049"/>
      <c r="J965" s="1050"/>
      <c r="K965" s="1050"/>
      <c r="L965" s="1043"/>
      <c r="M965" s="1051"/>
      <c r="N965" s="1051"/>
      <c r="O965" s="1052"/>
      <c r="P965" s="1051"/>
      <c r="Q965" s="1051"/>
      <c r="R965" s="1052"/>
      <c r="S965" s="1051"/>
      <c r="T965" s="1051"/>
      <c r="U965" s="1052"/>
      <c r="V965" s="1051"/>
      <c r="W965" s="1051"/>
      <c r="X965" s="1052"/>
      <c r="Y965" s="1053"/>
      <c r="Z965" s="1051"/>
      <c r="AA965" s="1051"/>
      <c r="AB965" s="1052"/>
      <c r="AC965" s="1051"/>
      <c r="AD965" s="1051"/>
      <c r="AE965" s="1052"/>
      <c r="AF965" s="1051"/>
      <c r="AG965" s="1051"/>
      <c r="AH965" s="1051"/>
      <c r="AI965" s="1051"/>
      <c r="AJ965" s="1052"/>
      <c r="AK965" s="1051"/>
      <c r="AL965" s="1051"/>
      <c r="AM965" s="1052"/>
      <c r="AN965" s="1051"/>
      <c r="AO965" s="1051"/>
      <c r="AP965" s="1052"/>
      <c r="AQ965" s="1051"/>
      <c r="AR965" s="1051"/>
      <c r="AS965" s="1052"/>
      <c r="AT965" s="1051"/>
      <c r="AU965" s="1051"/>
      <c r="AV965" s="1052"/>
      <c r="AW965" s="1051"/>
      <c r="AX965" s="1051"/>
      <c r="AY965" s="1053"/>
      <c r="AZ965" s="1051"/>
      <c r="BA965" s="1051"/>
      <c r="BB965" s="1053"/>
      <c r="BC965" s="1051"/>
      <c r="BD965" s="1051"/>
      <c r="BE965" s="1053"/>
      <c r="BF965" s="1051"/>
      <c r="BG965" s="1051"/>
      <c r="BH965" s="1053"/>
      <c r="BI965" s="1052"/>
      <c r="BJ965" s="1052"/>
      <c r="BK965" s="1052"/>
      <c r="BL965" s="1052"/>
      <c r="BM965" s="1052"/>
      <c r="BN965" s="1054"/>
      <c r="BO965" s="1076">
        <f t="shared" si="26"/>
        <v>0</v>
      </c>
      <c r="BP965" s="1051"/>
      <c r="BQ965" s="1052"/>
      <c r="BR965" s="1054"/>
      <c r="BS965" s="1053"/>
      <c r="BT965" s="1051"/>
      <c r="BU965" s="1051"/>
      <c r="BV965" s="1051"/>
      <c r="BW965" s="1052"/>
      <c r="BX965" s="1052"/>
      <c r="BY965" s="1052"/>
      <c r="BZ965" s="1052"/>
      <c r="CA965" s="1052"/>
      <c r="CB965" s="1053"/>
      <c r="CC965" s="1053"/>
      <c r="CD965" s="1053"/>
      <c r="CE965" s="1053"/>
      <c r="CF965" s="1053"/>
      <c r="CG965" s="1053"/>
      <c r="CH965" s="1053"/>
      <c r="CI965" s="1123"/>
      <c r="CJ965" s="1123"/>
      <c r="CK965" s="1123"/>
      <c r="CL965" s="1123"/>
      <c r="CM965" s="1123"/>
      <c r="CN965" s="1123"/>
      <c r="CO965" s="1123"/>
      <c r="CP965" s="1123"/>
      <c r="CQ965" s="1123"/>
      <c r="CR965" s="1123"/>
      <c r="CS965" s="1123"/>
      <c r="CT965" s="1123"/>
      <c r="CU965" s="1123"/>
      <c r="CV965" s="1123"/>
      <c r="CW965" s="1123"/>
      <c r="CX965" s="1123"/>
      <c r="CY965" s="1123"/>
      <c r="CZ965" s="1114"/>
      <c r="DA965" s="1114"/>
      <c r="DB965" s="1114"/>
      <c r="DC965" s="1114"/>
      <c r="DD965" s="1114"/>
      <c r="DE965" s="1114"/>
      <c r="DF965" s="1114"/>
      <c r="DG965" s="1114"/>
      <c r="DH965" s="1114"/>
      <c r="DI965" s="1114"/>
      <c r="DJ965" s="1114"/>
      <c r="DK965" s="1114"/>
      <c r="DL965" s="1114"/>
      <c r="DM965" s="1114"/>
      <c r="DN965" s="1114"/>
      <c r="DO965" s="1114"/>
      <c r="DP965" s="1114"/>
      <c r="DQ965" s="1114"/>
      <c r="DR965" s="1114"/>
      <c r="DS965" s="1114"/>
      <c r="DT965" s="1114"/>
      <c r="DU965" s="1114"/>
      <c r="DV965" s="1115"/>
      <c r="DW965" s="1116"/>
      <c r="DX965" s="1116"/>
      <c r="DY965" s="1116"/>
      <c r="DZ965" s="1116"/>
      <c r="EA965" s="1116"/>
      <c r="EB965" s="1116"/>
      <c r="EC965" s="1116"/>
      <c r="ED965" s="1116"/>
      <c r="EE965" s="1116"/>
      <c r="EF965" s="1116"/>
      <c r="EG965" s="1116"/>
      <c r="EH965" s="1116"/>
      <c r="EI965" s="1116"/>
      <c r="EJ965" s="1116"/>
      <c r="EK965" s="1116"/>
      <c r="EL965" s="1116"/>
      <c r="EM965" s="1116"/>
      <c r="EN965" s="1116"/>
      <c r="EO965" s="1116"/>
      <c r="EP965" s="1116"/>
      <c r="EQ965" s="1116"/>
      <c r="ER965" s="1116"/>
      <c r="ES965" s="1116"/>
    </row>
    <row r="966" spans="1:149" ht="15" customHeight="1">
      <c r="A966" s="1185">
        <v>951</v>
      </c>
      <c r="B966" s="1041"/>
      <c r="C966" s="1050"/>
      <c r="D966" s="1050"/>
      <c r="E966" s="1050"/>
      <c r="F966" s="1049"/>
      <c r="G966" s="1457"/>
      <c r="H966" s="1049"/>
      <c r="I966" s="1049"/>
      <c r="J966" s="1050"/>
      <c r="K966" s="1050"/>
      <c r="L966" s="1043"/>
      <c r="M966" s="1051"/>
      <c r="N966" s="1051"/>
      <c r="O966" s="1052"/>
      <c r="P966" s="1051"/>
      <c r="Q966" s="1051"/>
      <c r="R966" s="1052"/>
      <c r="S966" s="1051"/>
      <c r="T966" s="1051"/>
      <c r="U966" s="1052"/>
      <c r="V966" s="1051"/>
      <c r="W966" s="1051"/>
      <c r="X966" s="1052"/>
      <c r="Y966" s="1053"/>
      <c r="Z966" s="1051"/>
      <c r="AA966" s="1051"/>
      <c r="AB966" s="1052"/>
      <c r="AC966" s="1051"/>
      <c r="AD966" s="1051"/>
      <c r="AE966" s="1052"/>
      <c r="AF966" s="1051"/>
      <c r="AG966" s="1051"/>
      <c r="AH966" s="1051"/>
      <c r="AI966" s="1051"/>
      <c r="AJ966" s="1052"/>
      <c r="AK966" s="1051"/>
      <c r="AL966" s="1051"/>
      <c r="AM966" s="1052"/>
      <c r="AN966" s="1051"/>
      <c r="AO966" s="1051"/>
      <c r="AP966" s="1052"/>
      <c r="AQ966" s="1051"/>
      <c r="AR966" s="1051"/>
      <c r="AS966" s="1052"/>
      <c r="AT966" s="1051"/>
      <c r="AU966" s="1051"/>
      <c r="AV966" s="1052"/>
      <c r="AW966" s="1051"/>
      <c r="AX966" s="1051"/>
      <c r="AY966" s="1053"/>
      <c r="AZ966" s="1051"/>
      <c r="BA966" s="1051"/>
      <c r="BB966" s="1053"/>
      <c r="BC966" s="1051"/>
      <c r="BD966" s="1051"/>
      <c r="BE966" s="1053"/>
      <c r="BF966" s="1051"/>
      <c r="BG966" s="1051"/>
      <c r="BH966" s="1053"/>
      <c r="BI966" s="1052"/>
      <c r="BJ966" s="1052"/>
      <c r="BK966" s="1052"/>
      <c r="BL966" s="1052"/>
      <c r="BM966" s="1052"/>
      <c r="BN966" s="1054"/>
      <c r="BO966" s="1076">
        <f t="shared" si="26"/>
        <v>0</v>
      </c>
      <c r="BP966" s="1051"/>
      <c r="BQ966" s="1052"/>
      <c r="BR966" s="1054"/>
      <c r="BS966" s="1053"/>
      <c r="BT966" s="1051"/>
      <c r="BU966" s="1051"/>
      <c r="BV966" s="1051"/>
      <c r="BW966" s="1052"/>
      <c r="BX966" s="1052"/>
      <c r="BY966" s="1052"/>
      <c r="BZ966" s="1052"/>
      <c r="CA966" s="1052"/>
      <c r="CB966" s="1053"/>
      <c r="CC966" s="1053"/>
      <c r="CD966" s="1053"/>
      <c r="CE966" s="1053"/>
      <c r="CF966" s="1053"/>
      <c r="CG966" s="1053"/>
      <c r="CH966" s="1053"/>
      <c r="CI966" s="1123"/>
      <c r="CJ966" s="1123"/>
      <c r="CK966" s="1123"/>
      <c r="CL966" s="1123"/>
      <c r="CM966" s="1123"/>
      <c r="CN966" s="1123"/>
      <c r="CO966" s="1123"/>
      <c r="CP966" s="1123"/>
      <c r="CQ966" s="1123"/>
      <c r="CR966" s="1123"/>
      <c r="CS966" s="1123"/>
      <c r="CT966" s="1123"/>
      <c r="CU966" s="1123"/>
      <c r="CV966" s="1123"/>
      <c r="CW966" s="1123"/>
      <c r="CX966" s="1123"/>
      <c r="CY966" s="1123"/>
      <c r="CZ966" s="1114"/>
      <c r="DA966" s="1114"/>
      <c r="DB966" s="1114"/>
      <c r="DC966" s="1114"/>
      <c r="DD966" s="1114"/>
      <c r="DE966" s="1114"/>
      <c r="DF966" s="1114"/>
      <c r="DG966" s="1114"/>
      <c r="DH966" s="1114"/>
      <c r="DI966" s="1114"/>
      <c r="DJ966" s="1114"/>
      <c r="DK966" s="1114"/>
      <c r="DL966" s="1114"/>
      <c r="DM966" s="1114"/>
      <c r="DN966" s="1114"/>
      <c r="DO966" s="1114"/>
      <c r="DP966" s="1114"/>
      <c r="DQ966" s="1114"/>
      <c r="DR966" s="1114"/>
      <c r="DS966" s="1114"/>
      <c r="DT966" s="1114"/>
      <c r="DU966" s="1114"/>
      <c r="DV966" s="1115"/>
      <c r="DW966" s="1116"/>
      <c r="DX966" s="1116"/>
      <c r="DY966" s="1116"/>
      <c r="DZ966" s="1116"/>
      <c r="EA966" s="1116"/>
      <c r="EB966" s="1116"/>
      <c r="EC966" s="1116"/>
      <c r="ED966" s="1116"/>
      <c r="EE966" s="1116"/>
      <c r="EF966" s="1116"/>
      <c r="EG966" s="1116"/>
      <c r="EH966" s="1116"/>
      <c r="EI966" s="1116"/>
      <c r="EJ966" s="1116"/>
      <c r="EK966" s="1116"/>
      <c r="EL966" s="1116"/>
      <c r="EM966" s="1116"/>
      <c r="EN966" s="1116"/>
      <c r="EO966" s="1116"/>
      <c r="EP966" s="1116"/>
      <c r="EQ966" s="1116"/>
      <c r="ER966" s="1116"/>
      <c r="ES966" s="1116"/>
    </row>
    <row r="967" spans="1:149" ht="15" customHeight="1">
      <c r="A967" s="1185">
        <v>952</v>
      </c>
      <c r="B967" s="1041"/>
      <c r="C967" s="1050"/>
      <c r="D967" s="1050"/>
      <c r="E967" s="1050"/>
      <c r="F967" s="1049"/>
      <c r="G967" s="1457"/>
      <c r="H967" s="1049"/>
      <c r="I967" s="1049"/>
      <c r="J967" s="1050"/>
      <c r="K967" s="1050"/>
      <c r="L967" s="1043"/>
      <c r="M967" s="1051"/>
      <c r="N967" s="1051"/>
      <c r="O967" s="1052"/>
      <c r="P967" s="1051"/>
      <c r="Q967" s="1051"/>
      <c r="R967" s="1052"/>
      <c r="S967" s="1051"/>
      <c r="T967" s="1051"/>
      <c r="U967" s="1052"/>
      <c r="V967" s="1051"/>
      <c r="W967" s="1051"/>
      <c r="X967" s="1052"/>
      <c r="Y967" s="1053"/>
      <c r="Z967" s="1051"/>
      <c r="AA967" s="1051"/>
      <c r="AB967" s="1052"/>
      <c r="AC967" s="1051"/>
      <c r="AD967" s="1051"/>
      <c r="AE967" s="1052"/>
      <c r="AF967" s="1051"/>
      <c r="AG967" s="1051"/>
      <c r="AH967" s="1051"/>
      <c r="AI967" s="1051"/>
      <c r="AJ967" s="1052"/>
      <c r="AK967" s="1051"/>
      <c r="AL967" s="1051"/>
      <c r="AM967" s="1052"/>
      <c r="AN967" s="1051"/>
      <c r="AO967" s="1051"/>
      <c r="AP967" s="1052"/>
      <c r="AQ967" s="1051"/>
      <c r="AR967" s="1051"/>
      <c r="AS967" s="1052"/>
      <c r="AT967" s="1051"/>
      <c r="AU967" s="1051"/>
      <c r="AV967" s="1052"/>
      <c r="AW967" s="1051"/>
      <c r="AX967" s="1051"/>
      <c r="AY967" s="1053"/>
      <c r="AZ967" s="1051"/>
      <c r="BA967" s="1051"/>
      <c r="BB967" s="1053"/>
      <c r="BC967" s="1051"/>
      <c r="BD967" s="1051"/>
      <c r="BE967" s="1053"/>
      <c r="BF967" s="1051"/>
      <c r="BG967" s="1051"/>
      <c r="BH967" s="1053"/>
      <c r="BI967" s="1052"/>
      <c r="BJ967" s="1052"/>
      <c r="BK967" s="1052"/>
      <c r="BL967" s="1052"/>
      <c r="BM967" s="1052"/>
      <c r="BN967" s="1054"/>
      <c r="BO967" s="1076">
        <f t="shared" si="26"/>
        <v>0</v>
      </c>
      <c r="BP967" s="1051"/>
      <c r="BQ967" s="1052"/>
      <c r="BR967" s="1054"/>
      <c r="BS967" s="1053"/>
      <c r="BT967" s="1051"/>
      <c r="BU967" s="1051"/>
      <c r="BV967" s="1051"/>
      <c r="BW967" s="1052"/>
      <c r="BX967" s="1052"/>
      <c r="BY967" s="1052"/>
      <c r="BZ967" s="1052"/>
      <c r="CA967" s="1052"/>
      <c r="CB967" s="1053"/>
      <c r="CC967" s="1053"/>
      <c r="CD967" s="1053"/>
      <c r="CE967" s="1053"/>
      <c r="CF967" s="1053"/>
      <c r="CG967" s="1053"/>
      <c r="CH967" s="1053"/>
      <c r="CI967" s="1123"/>
      <c r="CJ967" s="1123"/>
      <c r="CK967" s="1123"/>
      <c r="CL967" s="1123"/>
      <c r="CM967" s="1123"/>
      <c r="CN967" s="1123"/>
      <c r="CO967" s="1123"/>
      <c r="CP967" s="1123"/>
      <c r="CQ967" s="1123"/>
      <c r="CR967" s="1123"/>
      <c r="CS967" s="1123"/>
      <c r="CT967" s="1123"/>
      <c r="CU967" s="1123"/>
      <c r="CV967" s="1123"/>
      <c r="CW967" s="1123"/>
      <c r="CX967" s="1123"/>
      <c r="CY967" s="1123"/>
      <c r="CZ967" s="1114"/>
      <c r="DA967" s="1114"/>
      <c r="DB967" s="1114"/>
      <c r="DC967" s="1114"/>
      <c r="DD967" s="1114"/>
      <c r="DE967" s="1114"/>
      <c r="DF967" s="1114"/>
      <c r="DG967" s="1114"/>
      <c r="DH967" s="1114"/>
      <c r="DI967" s="1114"/>
      <c r="DJ967" s="1114"/>
      <c r="DK967" s="1114"/>
      <c r="DL967" s="1114"/>
      <c r="DM967" s="1114"/>
      <c r="DN967" s="1114"/>
      <c r="DO967" s="1114"/>
      <c r="DP967" s="1114"/>
      <c r="DQ967" s="1114"/>
      <c r="DR967" s="1114"/>
      <c r="DS967" s="1114"/>
      <c r="DT967" s="1114"/>
      <c r="DU967" s="1114"/>
      <c r="DV967" s="1115"/>
      <c r="DW967" s="1116"/>
      <c r="DX967" s="1116"/>
      <c r="DY967" s="1116"/>
      <c r="DZ967" s="1116"/>
      <c r="EA967" s="1116"/>
      <c r="EB967" s="1116"/>
      <c r="EC967" s="1116"/>
      <c r="ED967" s="1116"/>
      <c r="EE967" s="1116"/>
      <c r="EF967" s="1116"/>
      <c r="EG967" s="1116"/>
      <c r="EH967" s="1116"/>
      <c r="EI967" s="1116"/>
      <c r="EJ967" s="1116"/>
      <c r="EK967" s="1116"/>
      <c r="EL967" s="1116"/>
      <c r="EM967" s="1116"/>
      <c r="EN967" s="1116"/>
      <c r="EO967" s="1116"/>
      <c r="EP967" s="1116"/>
      <c r="EQ967" s="1116"/>
      <c r="ER967" s="1116"/>
      <c r="ES967" s="1116"/>
    </row>
    <row r="968" spans="1:149" ht="15" customHeight="1">
      <c r="A968" s="1185">
        <v>953</v>
      </c>
      <c r="B968" s="1041"/>
      <c r="C968" s="1050"/>
      <c r="D968" s="1050"/>
      <c r="E968" s="1050"/>
      <c r="F968" s="1049"/>
      <c r="G968" s="1457"/>
      <c r="H968" s="1049"/>
      <c r="I968" s="1049"/>
      <c r="J968" s="1050"/>
      <c r="K968" s="1050"/>
      <c r="L968" s="1043"/>
      <c r="M968" s="1051"/>
      <c r="N968" s="1051"/>
      <c r="O968" s="1052"/>
      <c r="P968" s="1051"/>
      <c r="Q968" s="1051"/>
      <c r="R968" s="1052"/>
      <c r="S968" s="1051"/>
      <c r="T968" s="1051"/>
      <c r="U968" s="1052"/>
      <c r="V968" s="1051"/>
      <c r="W968" s="1051"/>
      <c r="X968" s="1052"/>
      <c r="Y968" s="1053"/>
      <c r="Z968" s="1051"/>
      <c r="AA968" s="1051"/>
      <c r="AB968" s="1052"/>
      <c r="AC968" s="1051"/>
      <c r="AD968" s="1051"/>
      <c r="AE968" s="1052"/>
      <c r="AF968" s="1051"/>
      <c r="AG968" s="1051"/>
      <c r="AH968" s="1051"/>
      <c r="AI968" s="1051"/>
      <c r="AJ968" s="1052"/>
      <c r="AK968" s="1051"/>
      <c r="AL968" s="1051"/>
      <c r="AM968" s="1052"/>
      <c r="AN968" s="1051"/>
      <c r="AO968" s="1051"/>
      <c r="AP968" s="1052"/>
      <c r="AQ968" s="1051"/>
      <c r="AR968" s="1051"/>
      <c r="AS968" s="1052"/>
      <c r="AT968" s="1051"/>
      <c r="AU968" s="1051"/>
      <c r="AV968" s="1052"/>
      <c r="AW968" s="1051"/>
      <c r="AX968" s="1051"/>
      <c r="AY968" s="1053"/>
      <c r="AZ968" s="1051"/>
      <c r="BA968" s="1051"/>
      <c r="BB968" s="1053"/>
      <c r="BC968" s="1051"/>
      <c r="BD968" s="1051"/>
      <c r="BE968" s="1053"/>
      <c r="BF968" s="1051"/>
      <c r="BG968" s="1051"/>
      <c r="BH968" s="1053"/>
      <c r="BI968" s="1052"/>
      <c r="BJ968" s="1052"/>
      <c r="BK968" s="1052"/>
      <c r="BL968" s="1052"/>
      <c r="BM968" s="1052"/>
      <c r="BN968" s="1054"/>
      <c r="BO968" s="1076">
        <f t="shared" si="26"/>
        <v>0</v>
      </c>
      <c r="BP968" s="1051"/>
      <c r="BQ968" s="1052"/>
      <c r="BR968" s="1054"/>
      <c r="BS968" s="1053"/>
      <c r="BT968" s="1051"/>
      <c r="BU968" s="1051"/>
      <c r="BV968" s="1051"/>
      <c r="BW968" s="1052"/>
      <c r="BX968" s="1052"/>
      <c r="BY968" s="1052"/>
      <c r="BZ968" s="1052"/>
      <c r="CA968" s="1052"/>
      <c r="CB968" s="1053"/>
      <c r="CC968" s="1053"/>
      <c r="CD968" s="1053"/>
      <c r="CE968" s="1053"/>
      <c r="CF968" s="1053"/>
      <c r="CG968" s="1053"/>
      <c r="CH968" s="1053"/>
      <c r="CI968" s="1123"/>
      <c r="CJ968" s="1123"/>
      <c r="CK968" s="1123"/>
      <c r="CL968" s="1123"/>
      <c r="CM968" s="1123"/>
      <c r="CN968" s="1123"/>
      <c r="CO968" s="1123"/>
      <c r="CP968" s="1123"/>
      <c r="CQ968" s="1123"/>
      <c r="CR968" s="1123"/>
      <c r="CS968" s="1123"/>
      <c r="CT968" s="1123"/>
      <c r="CU968" s="1123"/>
      <c r="CV968" s="1123"/>
      <c r="CW968" s="1123"/>
      <c r="CX968" s="1123"/>
      <c r="CY968" s="1123"/>
      <c r="CZ968" s="1114"/>
      <c r="DA968" s="1114"/>
      <c r="DB968" s="1114"/>
      <c r="DC968" s="1114"/>
      <c r="DD968" s="1114"/>
      <c r="DE968" s="1114"/>
      <c r="DF968" s="1114"/>
      <c r="DG968" s="1114"/>
      <c r="DH968" s="1114"/>
      <c r="DI968" s="1114"/>
      <c r="DJ968" s="1114"/>
      <c r="DK968" s="1114"/>
      <c r="DL968" s="1114"/>
      <c r="DM968" s="1114"/>
      <c r="DN968" s="1114"/>
      <c r="DO968" s="1114"/>
      <c r="DP968" s="1114"/>
      <c r="DQ968" s="1114"/>
      <c r="DR968" s="1114"/>
      <c r="DS968" s="1114"/>
      <c r="DT968" s="1114"/>
      <c r="DU968" s="1114"/>
      <c r="DV968" s="1115"/>
      <c r="DW968" s="1116"/>
      <c r="DX968" s="1116"/>
      <c r="DY968" s="1116"/>
      <c r="DZ968" s="1116"/>
      <c r="EA968" s="1116"/>
      <c r="EB968" s="1116"/>
      <c r="EC968" s="1116"/>
      <c r="ED968" s="1116"/>
      <c r="EE968" s="1116"/>
      <c r="EF968" s="1116"/>
      <c r="EG968" s="1116"/>
      <c r="EH968" s="1116"/>
      <c r="EI968" s="1116"/>
      <c r="EJ968" s="1116"/>
      <c r="EK968" s="1116"/>
      <c r="EL968" s="1116"/>
      <c r="EM968" s="1116"/>
      <c r="EN968" s="1116"/>
      <c r="EO968" s="1116"/>
      <c r="EP968" s="1116"/>
      <c r="EQ968" s="1116"/>
      <c r="ER968" s="1116"/>
      <c r="ES968" s="1116"/>
    </row>
    <row r="969" spans="1:149" ht="15" customHeight="1">
      <c r="A969" s="1185">
        <v>954</v>
      </c>
      <c r="B969" s="1041"/>
      <c r="C969" s="1050"/>
      <c r="D969" s="1050"/>
      <c r="E969" s="1050"/>
      <c r="F969" s="1049"/>
      <c r="G969" s="1457"/>
      <c r="H969" s="1049"/>
      <c r="I969" s="1049"/>
      <c r="J969" s="1050"/>
      <c r="K969" s="1050"/>
      <c r="L969" s="1043"/>
      <c r="M969" s="1051"/>
      <c r="N969" s="1051"/>
      <c r="O969" s="1052"/>
      <c r="P969" s="1051"/>
      <c r="Q969" s="1051"/>
      <c r="R969" s="1052"/>
      <c r="S969" s="1051"/>
      <c r="T969" s="1051"/>
      <c r="U969" s="1052"/>
      <c r="V969" s="1051"/>
      <c r="W969" s="1051"/>
      <c r="X969" s="1052"/>
      <c r="Y969" s="1053"/>
      <c r="Z969" s="1051"/>
      <c r="AA969" s="1051"/>
      <c r="AB969" s="1052"/>
      <c r="AC969" s="1051"/>
      <c r="AD969" s="1051"/>
      <c r="AE969" s="1052"/>
      <c r="AF969" s="1051"/>
      <c r="AG969" s="1051"/>
      <c r="AH969" s="1051"/>
      <c r="AI969" s="1051"/>
      <c r="AJ969" s="1052"/>
      <c r="AK969" s="1051"/>
      <c r="AL969" s="1051"/>
      <c r="AM969" s="1052"/>
      <c r="AN969" s="1051"/>
      <c r="AO969" s="1051"/>
      <c r="AP969" s="1052"/>
      <c r="AQ969" s="1051"/>
      <c r="AR969" s="1051"/>
      <c r="AS969" s="1052"/>
      <c r="AT969" s="1051"/>
      <c r="AU969" s="1051"/>
      <c r="AV969" s="1052"/>
      <c r="AW969" s="1051"/>
      <c r="AX969" s="1051"/>
      <c r="AY969" s="1053"/>
      <c r="AZ969" s="1051"/>
      <c r="BA969" s="1051"/>
      <c r="BB969" s="1053"/>
      <c r="BC969" s="1051"/>
      <c r="BD969" s="1051"/>
      <c r="BE969" s="1053"/>
      <c r="BF969" s="1051"/>
      <c r="BG969" s="1051"/>
      <c r="BH969" s="1053"/>
      <c r="BI969" s="1052"/>
      <c r="BJ969" s="1052"/>
      <c r="BK969" s="1052"/>
      <c r="BL969" s="1052"/>
      <c r="BM969" s="1052"/>
      <c r="BN969" s="1054"/>
      <c r="BO969" s="1076">
        <f t="shared" si="26"/>
        <v>0</v>
      </c>
      <c r="BP969" s="1051"/>
      <c r="BQ969" s="1052"/>
      <c r="BR969" s="1054"/>
      <c r="BS969" s="1053"/>
      <c r="BT969" s="1051"/>
      <c r="BU969" s="1051"/>
      <c r="BV969" s="1051"/>
      <c r="BW969" s="1052"/>
      <c r="BX969" s="1052"/>
      <c r="BY969" s="1052"/>
      <c r="BZ969" s="1052"/>
      <c r="CA969" s="1052"/>
      <c r="CB969" s="1053"/>
      <c r="CC969" s="1053"/>
      <c r="CD969" s="1053"/>
      <c r="CE969" s="1053"/>
      <c r="CF969" s="1053"/>
      <c r="CG969" s="1053"/>
      <c r="CH969" s="1053"/>
      <c r="CI969" s="1123"/>
      <c r="CJ969" s="1123"/>
      <c r="CK969" s="1123"/>
      <c r="CL969" s="1123"/>
      <c r="CM969" s="1123"/>
      <c r="CN969" s="1123"/>
      <c r="CO969" s="1123"/>
      <c r="CP969" s="1123"/>
      <c r="CQ969" s="1123"/>
      <c r="CR969" s="1123"/>
      <c r="CS969" s="1123"/>
      <c r="CT969" s="1123"/>
      <c r="CU969" s="1123"/>
      <c r="CV969" s="1123"/>
      <c r="CW969" s="1123"/>
      <c r="CX969" s="1123"/>
      <c r="CY969" s="1123"/>
      <c r="CZ969" s="1114"/>
      <c r="DA969" s="1114"/>
      <c r="DB969" s="1114"/>
      <c r="DC969" s="1114"/>
      <c r="DD969" s="1114"/>
      <c r="DE969" s="1114"/>
      <c r="DF969" s="1114"/>
      <c r="DG969" s="1114"/>
      <c r="DH969" s="1114"/>
      <c r="DI969" s="1114"/>
      <c r="DJ969" s="1114"/>
      <c r="DK969" s="1114"/>
      <c r="DL969" s="1114"/>
      <c r="DM969" s="1114"/>
      <c r="DN969" s="1114"/>
      <c r="DO969" s="1114"/>
      <c r="DP969" s="1114"/>
      <c r="DQ969" s="1114"/>
      <c r="DR969" s="1114"/>
      <c r="DS969" s="1114"/>
      <c r="DT969" s="1114"/>
      <c r="DU969" s="1114"/>
      <c r="DV969" s="1115"/>
      <c r="DW969" s="1116"/>
      <c r="DX969" s="1116"/>
      <c r="DY969" s="1116"/>
      <c r="DZ969" s="1116"/>
      <c r="EA969" s="1116"/>
      <c r="EB969" s="1116"/>
      <c r="EC969" s="1116"/>
      <c r="ED969" s="1116"/>
      <c r="EE969" s="1116"/>
      <c r="EF969" s="1116"/>
      <c r="EG969" s="1116"/>
      <c r="EH969" s="1116"/>
      <c r="EI969" s="1116"/>
      <c r="EJ969" s="1116"/>
      <c r="EK969" s="1116"/>
      <c r="EL969" s="1116"/>
      <c r="EM969" s="1116"/>
      <c r="EN969" s="1116"/>
      <c r="EO969" s="1116"/>
      <c r="EP969" s="1116"/>
      <c r="EQ969" s="1116"/>
      <c r="ER969" s="1116"/>
      <c r="ES969" s="1116"/>
    </row>
    <row r="970" spans="1:149" ht="15" customHeight="1">
      <c r="A970" s="1185">
        <v>955</v>
      </c>
      <c r="B970" s="1041"/>
      <c r="C970" s="1050"/>
      <c r="D970" s="1050"/>
      <c r="E970" s="1050"/>
      <c r="F970" s="1049"/>
      <c r="G970" s="1457"/>
      <c r="H970" s="1049"/>
      <c r="I970" s="1049"/>
      <c r="J970" s="1050"/>
      <c r="K970" s="1050"/>
      <c r="L970" s="1043"/>
      <c r="M970" s="1051"/>
      <c r="N970" s="1051"/>
      <c r="O970" s="1052"/>
      <c r="P970" s="1051"/>
      <c r="Q970" s="1051"/>
      <c r="R970" s="1052"/>
      <c r="S970" s="1051"/>
      <c r="T970" s="1051"/>
      <c r="U970" s="1052"/>
      <c r="V970" s="1051"/>
      <c r="W970" s="1051"/>
      <c r="X970" s="1052"/>
      <c r="Y970" s="1053"/>
      <c r="Z970" s="1051"/>
      <c r="AA970" s="1051"/>
      <c r="AB970" s="1052"/>
      <c r="AC970" s="1051"/>
      <c r="AD970" s="1051"/>
      <c r="AE970" s="1052"/>
      <c r="AF970" s="1051"/>
      <c r="AG970" s="1051"/>
      <c r="AH970" s="1051"/>
      <c r="AI970" s="1051"/>
      <c r="AJ970" s="1052"/>
      <c r="AK970" s="1051"/>
      <c r="AL970" s="1051"/>
      <c r="AM970" s="1052"/>
      <c r="AN970" s="1051"/>
      <c r="AO970" s="1051"/>
      <c r="AP970" s="1052"/>
      <c r="AQ970" s="1051"/>
      <c r="AR970" s="1051"/>
      <c r="AS970" s="1052"/>
      <c r="AT970" s="1051"/>
      <c r="AU970" s="1051"/>
      <c r="AV970" s="1052"/>
      <c r="AW970" s="1051"/>
      <c r="AX970" s="1051"/>
      <c r="AY970" s="1053"/>
      <c r="AZ970" s="1051"/>
      <c r="BA970" s="1051"/>
      <c r="BB970" s="1053"/>
      <c r="BC970" s="1051"/>
      <c r="BD970" s="1051"/>
      <c r="BE970" s="1053"/>
      <c r="BF970" s="1051"/>
      <c r="BG970" s="1051"/>
      <c r="BH970" s="1053"/>
      <c r="BI970" s="1052"/>
      <c r="BJ970" s="1052"/>
      <c r="BK970" s="1052"/>
      <c r="BL970" s="1052"/>
      <c r="BM970" s="1052"/>
      <c r="BN970" s="1054"/>
      <c r="BO970" s="1076">
        <f t="shared" si="26"/>
        <v>0</v>
      </c>
      <c r="BP970" s="1051"/>
      <c r="BQ970" s="1052"/>
      <c r="BR970" s="1054"/>
      <c r="BS970" s="1053"/>
      <c r="BT970" s="1051"/>
      <c r="BU970" s="1051"/>
      <c r="BV970" s="1051"/>
      <c r="BW970" s="1052"/>
      <c r="BX970" s="1052"/>
      <c r="BY970" s="1052"/>
      <c r="BZ970" s="1052"/>
      <c r="CA970" s="1052"/>
      <c r="CB970" s="1053"/>
      <c r="CC970" s="1053"/>
      <c r="CD970" s="1053"/>
      <c r="CE970" s="1053"/>
      <c r="CF970" s="1053"/>
      <c r="CG970" s="1053"/>
      <c r="CH970" s="1053"/>
      <c r="CI970" s="1123"/>
      <c r="CJ970" s="1123"/>
      <c r="CK970" s="1123"/>
      <c r="CL970" s="1123"/>
      <c r="CM970" s="1123"/>
      <c r="CN970" s="1123"/>
      <c r="CO970" s="1123"/>
      <c r="CP970" s="1123"/>
      <c r="CQ970" s="1123"/>
      <c r="CR970" s="1123"/>
      <c r="CS970" s="1123"/>
      <c r="CT970" s="1123"/>
      <c r="CU970" s="1123"/>
      <c r="CV970" s="1123"/>
      <c r="CW970" s="1123"/>
      <c r="CX970" s="1123"/>
      <c r="CY970" s="1123"/>
      <c r="CZ970" s="1114"/>
      <c r="DA970" s="1114"/>
      <c r="DB970" s="1114"/>
      <c r="DC970" s="1114"/>
      <c r="DD970" s="1114"/>
      <c r="DE970" s="1114"/>
      <c r="DF970" s="1114"/>
      <c r="DG970" s="1114"/>
      <c r="DH970" s="1114"/>
      <c r="DI970" s="1114"/>
      <c r="DJ970" s="1114"/>
      <c r="DK970" s="1114"/>
      <c r="DL970" s="1114"/>
      <c r="DM970" s="1114"/>
      <c r="DN970" s="1114"/>
      <c r="DO970" s="1114"/>
      <c r="DP970" s="1114"/>
      <c r="DQ970" s="1114"/>
      <c r="DR970" s="1114"/>
      <c r="DS970" s="1114"/>
      <c r="DT970" s="1114"/>
      <c r="DU970" s="1114"/>
      <c r="DV970" s="1115"/>
      <c r="DW970" s="1116"/>
      <c r="DX970" s="1116"/>
      <c r="DY970" s="1116"/>
      <c r="DZ970" s="1116"/>
      <c r="EA970" s="1116"/>
      <c r="EB970" s="1116"/>
      <c r="EC970" s="1116"/>
      <c r="ED970" s="1116"/>
      <c r="EE970" s="1116"/>
      <c r="EF970" s="1116"/>
      <c r="EG970" s="1116"/>
      <c r="EH970" s="1116"/>
      <c r="EI970" s="1116"/>
      <c r="EJ970" s="1116"/>
      <c r="EK970" s="1116"/>
      <c r="EL970" s="1116"/>
      <c r="EM970" s="1116"/>
      <c r="EN970" s="1116"/>
      <c r="EO970" s="1116"/>
      <c r="EP970" s="1116"/>
      <c r="EQ970" s="1116"/>
      <c r="ER970" s="1116"/>
      <c r="ES970" s="1116"/>
    </row>
    <row r="971" spans="1:149" ht="15" customHeight="1">
      <c r="A971" s="1185">
        <v>956</v>
      </c>
      <c r="B971" s="1041"/>
      <c r="C971" s="1050"/>
      <c r="D971" s="1050"/>
      <c r="E971" s="1050"/>
      <c r="F971" s="1049"/>
      <c r="G971" s="1457"/>
      <c r="H971" s="1049"/>
      <c r="I971" s="1049"/>
      <c r="J971" s="1050"/>
      <c r="K971" s="1050"/>
      <c r="L971" s="1043"/>
      <c r="M971" s="1051"/>
      <c r="N971" s="1051"/>
      <c r="O971" s="1052"/>
      <c r="P971" s="1051"/>
      <c r="Q971" s="1051"/>
      <c r="R971" s="1052"/>
      <c r="S971" s="1051"/>
      <c r="T971" s="1051"/>
      <c r="U971" s="1052"/>
      <c r="V971" s="1051"/>
      <c r="W971" s="1051"/>
      <c r="X971" s="1052"/>
      <c r="Y971" s="1053"/>
      <c r="Z971" s="1051"/>
      <c r="AA971" s="1051"/>
      <c r="AB971" s="1052"/>
      <c r="AC971" s="1051"/>
      <c r="AD971" s="1051"/>
      <c r="AE971" s="1052"/>
      <c r="AF971" s="1051"/>
      <c r="AG971" s="1051"/>
      <c r="AH971" s="1051"/>
      <c r="AI971" s="1051"/>
      <c r="AJ971" s="1052"/>
      <c r="AK971" s="1051"/>
      <c r="AL971" s="1051"/>
      <c r="AM971" s="1052"/>
      <c r="AN971" s="1051"/>
      <c r="AO971" s="1051"/>
      <c r="AP971" s="1052"/>
      <c r="AQ971" s="1051"/>
      <c r="AR971" s="1051"/>
      <c r="AS971" s="1052"/>
      <c r="AT971" s="1051"/>
      <c r="AU971" s="1051"/>
      <c r="AV971" s="1052"/>
      <c r="AW971" s="1051"/>
      <c r="AX971" s="1051"/>
      <c r="AY971" s="1053"/>
      <c r="AZ971" s="1051"/>
      <c r="BA971" s="1051"/>
      <c r="BB971" s="1053"/>
      <c r="BC971" s="1051"/>
      <c r="BD971" s="1051"/>
      <c r="BE971" s="1053"/>
      <c r="BF971" s="1051"/>
      <c r="BG971" s="1051"/>
      <c r="BH971" s="1053"/>
      <c r="BI971" s="1052"/>
      <c r="BJ971" s="1052"/>
      <c r="BK971" s="1052"/>
      <c r="BL971" s="1052"/>
      <c r="BM971" s="1052"/>
      <c r="BN971" s="1054"/>
      <c r="BO971" s="1076">
        <f t="shared" si="26"/>
        <v>0</v>
      </c>
      <c r="BP971" s="1051"/>
      <c r="BQ971" s="1052"/>
      <c r="BR971" s="1054"/>
      <c r="BS971" s="1053"/>
      <c r="BT971" s="1051"/>
      <c r="BU971" s="1051"/>
      <c r="BV971" s="1051"/>
      <c r="BW971" s="1052"/>
      <c r="BX971" s="1052"/>
      <c r="BY971" s="1052"/>
      <c r="BZ971" s="1052"/>
      <c r="CA971" s="1052"/>
      <c r="CB971" s="1053"/>
      <c r="CC971" s="1053"/>
      <c r="CD971" s="1053"/>
      <c r="CE971" s="1053"/>
      <c r="CF971" s="1053"/>
      <c r="CG971" s="1053"/>
      <c r="CH971" s="1053"/>
      <c r="CI971" s="1123"/>
      <c r="CJ971" s="1123"/>
      <c r="CK971" s="1123"/>
      <c r="CL971" s="1123"/>
      <c r="CM971" s="1123"/>
      <c r="CN971" s="1123"/>
      <c r="CO971" s="1123"/>
      <c r="CP971" s="1123"/>
      <c r="CQ971" s="1123"/>
      <c r="CR971" s="1123"/>
      <c r="CS971" s="1123"/>
      <c r="CT971" s="1123"/>
      <c r="CU971" s="1123"/>
      <c r="CV971" s="1123"/>
      <c r="CW971" s="1123"/>
      <c r="CX971" s="1123"/>
      <c r="CY971" s="1123"/>
      <c r="CZ971" s="1114"/>
      <c r="DA971" s="1114"/>
      <c r="DB971" s="1114"/>
      <c r="DC971" s="1114"/>
      <c r="DD971" s="1114"/>
      <c r="DE971" s="1114"/>
      <c r="DF971" s="1114"/>
      <c r="DG971" s="1114"/>
      <c r="DH971" s="1114"/>
      <c r="DI971" s="1114"/>
      <c r="DJ971" s="1114"/>
      <c r="DK971" s="1114"/>
      <c r="DL971" s="1114"/>
      <c r="DM971" s="1114"/>
      <c r="DN971" s="1114"/>
      <c r="DO971" s="1114"/>
      <c r="DP971" s="1114"/>
      <c r="DQ971" s="1114"/>
      <c r="DR971" s="1114"/>
      <c r="DS971" s="1114"/>
      <c r="DT971" s="1114"/>
      <c r="DU971" s="1114"/>
      <c r="DV971" s="1115"/>
      <c r="DW971" s="1116"/>
      <c r="DX971" s="1116"/>
      <c r="DY971" s="1116"/>
      <c r="DZ971" s="1116"/>
      <c r="EA971" s="1116"/>
      <c r="EB971" s="1116"/>
      <c r="EC971" s="1116"/>
      <c r="ED971" s="1116"/>
      <c r="EE971" s="1116"/>
      <c r="EF971" s="1116"/>
      <c r="EG971" s="1116"/>
      <c r="EH971" s="1116"/>
      <c r="EI971" s="1116"/>
      <c r="EJ971" s="1116"/>
      <c r="EK971" s="1116"/>
      <c r="EL971" s="1116"/>
      <c r="EM971" s="1116"/>
      <c r="EN971" s="1116"/>
      <c r="EO971" s="1116"/>
      <c r="EP971" s="1116"/>
      <c r="EQ971" s="1116"/>
      <c r="ER971" s="1116"/>
      <c r="ES971" s="1116"/>
    </row>
    <row r="972" spans="1:149" ht="15" customHeight="1">
      <c r="A972" s="1185">
        <v>957</v>
      </c>
      <c r="B972" s="1041"/>
      <c r="C972" s="1050"/>
      <c r="D972" s="1050"/>
      <c r="E972" s="1050"/>
      <c r="F972" s="1049"/>
      <c r="G972" s="1457"/>
      <c r="H972" s="1049"/>
      <c r="I972" s="1049"/>
      <c r="J972" s="1050"/>
      <c r="K972" s="1050"/>
      <c r="L972" s="1043"/>
      <c r="M972" s="1051"/>
      <c r="N972" s="1051"/>
      <c r="O972" s="1052"/>
      <c r="P972" s="1051"/>
      <c r="Q972" s="1051"/>
      <c r="R972" s="1052"/>
      <c r="S972" s="1051"/>
      <c r="T972" s="1051"/>
      <c r="U972" s="1052"/>
      <c r="V972" s="1051"/>
      <c r="W972" s="1051"/>
      <c r="X972" s="1052"/>
      <c r="Y972" s="1053"/>
      <c r="Z972" s="1051"/>
      <c r="AA972" s="1051"/>
      <c r="AB972" s="1052"/>
      <c r="AC972" s="1051"/>
      <c r="AD972" s="1051"/>
      <c r="AE972" s="1052"/>
      <c r="AF972" s="1051"/>
      <c r="AG972" s="1051"/>
      <c r="AH972" s="1051"/>
      <c r="AI972" s="1051"/>
      <c r="AJ972" s="1052"/>
      <c r="AK972" s="1051"/>
      <c r="AL972" s="1051"/>
      <c r="AM972" s="1052"/>
      <c r="AN972" s="1051"/>
      <c r="AO972" s="1051"/>
      <c r="AP972" s="1052"/>
      <c r="AQ972" s="1051"/>
      <c r="AR972" s="1051"/>
      <c r="AS972" s="1052"/>
      <c r="AT972" s="1051"/>
      <c r="AU972" s="1051"/>
      <c r="AV972" s="1052"/>
      <c r="AW972" s="1051"/>
      <c r="AX972" s="1051"/>
      <c r="AY972" s="1053"/>
      <c r="AZ972" s="1051"/>
      <c r="BA972" s="1051"/>
      <c r="BB972" s="1053"/>
      <c r="BC972" s="1051"/>
      <c r="BD972" s="1051"/>
      <c r="BE972" s="1053"/>
      <c r="BF972" s="1051"/>
      <c r="BG972" s="1051"/>
      <c r="BH972" s="1053"/>
      <c r="BI972" s="1052"/>
      <c r="BJ972" s="1052"/>
      <c r="BK972" s="1052"/>
      <c r="BL972" s="1052"/>
      <c r="BM972" s="1052"/>
      <c r="BN972" s="1054"/>
      <c r="BO972" s="1076">
        <f t="shared" si="26"/>
        <v>0</v>
      </c>
      <c r="BP972" s="1051"/>
      <c r="BQ972" s="1052"/>
      <c r="BR972" s="1054"/>
      <c r="BS972" s="1053"/>
      <c r="BT972" s="1051"/>
      <c r="BU972" s="1051"/>
      <c r="BV972" s="1051"/>
      <c r="BW972" s="1052"/>
      <c r="BX972" s="1052"/>
      <c r="BY972" s="1052"/>
      <c r="BZ972" s="1052"/>
      <c r="CA972" s="1052"/>
      <c r="CB972" s="1053"/>
      <c r="CC972" s="1053"/>
      <c r="CD972" s="1053"/>
      <c r="CE972" s="1053"/>
      <c r="CF972" s="1053"/>
      <c r="CG972" s="1053"/>
      <c r="CH972" s="1053"/>
      <c r="CI972" s="1123"/>
      <c r="CJ972" s="1123"/>
      <c r="CK972" s="1123"/>
      <c r="CL972" s="1123"/>
      <c r="CM972" s="1123"/>
      <c r="CN972" s="1123"/>
      <c r="CO972" s="1123"/>
      <c r="CP972" s="1123"/>
      <c r="CQ972" s="1123"/>
      <c r="CR972" s="1123"/>
      <c r="CS972" s="1123"/>
      <c r="CT972" s="1123"/>
      <c r="CU972" s="1123"/>
      <c r="CV972" s="1123"/>
      <c r="CW972" s="1123"/>
      <c r="CX972" s="1123"/>
      <c r="CY972" s="1123"/>
      <c r="CZ972" s="1114"/>
      <c r="DA972" s="1114"/>
      <c r="DB972" s="1114"/>
      <c r="DC972" s="1114"/>
      <c r="DD972" s="1114"/>
      <c r="DE972" s="1114"/>
      <c r="DF972" s="1114"/>
      <c r="DG972" s="1114"/>
      <c r="DH972" s="1114"/>
      <c r="DI972" s="1114"/>
      <c r="DJ972" s="1114"/>
      <c r="DK972" s="1114"/>
      <c r="DL972" s="1114"/>
      <c r="DM972" s="1114"/>
      <c r="DN972" s="1114"/>
      <c r="DO972" s="1114"/>
      <c r="DP972" s="1114"/>
      <c r="DQ972" s="1114"/>
      <c r="DR972" s="1114"/>
      <c r="DS972" s="1114"/>
      <c r="DT972" s="1114"/>
      <c r="DU972" s="1114"/>
      <c r="DV972" s="1115"/>
      <c r="DW972" s="1116"/>
      <c r="DX972" s="1116"/>
      <c r="DY972" s="1116"/>
      <c r="DZ972" s="1116"/>
      <c r="EA972" s="1116"/>
      <c r="EB972" s="1116"/>
      <c r="EC972" s="1116"/>
      <c r="ED972" s="1116"/>
      <c r="EE972" s="1116"/>
      <c r="EF972" s="1116"/>
      <c r="EG972" s="1116"/>
      <c r="EH972" s="1116"/>
      <c r="EI972" s="1116"/>
      <c r="EJ972" s="1116"/>
      <c r="EK972" s="1116"/>
      <c r="EL972" s="1116"/>
      <c r="EM972" s="1116"/>
      <c r="EN972" s="1116"/>
      <c r="EO972" s="1116"/>
      <c r="EP972" s="1116"/>
      <c r="EQ972" s="1116"/>
      <c r="ER972" s="1116"/>
      <c r="ES972" s="1116"/>
    </row>
    <row r="973" spans="1:149" ht="15" customHeight="1">
      <c r="A973" s="1185">
        <v>958</v>
      </c>
      <c r="B973" s="1041"/>
      <c r="C973" s="1050"/>
      <c r="D973" s="1050"/>
      <c r="E973" s="1050"/>
      <c r="F973" s="1049"/>
      <c r="G973" s="1457"/>
      <c r="H973" s="1049"/>
      <c r="I973" s="1049"/>
      <c r="J973" s="1050"/>
      <c r="K973" s="1050"/>
      <c r="L973" s="1043"/>
      <c r="M973" s="1051"/>
      <c r="N973" s="1051"/>
      <c r="O973" s="1052"/>
      <c r="P973" s="1051"/>
      <c r="Q973" s="1051"/>
      <c r="R973" s="1052"/>
      <c r="S973" s="1051"/>
      <c r="T973" s="1051"/>
      <c r="U973" s="1052"/>
      <c r="V973" s="1051"/>
      <c r="W973" s="1051"/>
      <c r="X973" s="1052"/>
      <c r="Y973" s="1053"/>
      <c r="Z973" s="1051"/>
      <c r="AA973" s="1051"/>
      <c r="AB973" s="1052"/>
      <c r="AC973" s="1051"/>
      <c r="AD973" s="1051"/>
      <c r="AE973" s="1052"/>
      <c r="AF973" s="1051"/>
      <c r="AG973" s="1051"/>
      <c r="AH973" s="1051"/>
      <c r="AI973" s="1051"/>
      <c r="AJ973" s="1052"/>
      <c r="AK973" s="1051"/>
      <c r="AL973" s="1051"/>
      <c r="AM973" s="1052"/>
      <c r="AN973" s="1051"/>
      <c r="AO973" s="1051"/>
      <c r="AP973" s="1052"/>
      <c r="AQ973" s="1051"/>
      <c r="AR973" s="1051"/>
      <c r="AS973" s="1052"/>
      <c r="AT973" s="1051"/>
      <c r="AU973" s="1051"/>
      <c r="AV973" s="1052"/>
      <c r="AW973" s="1051"/>
      <c r="AX973" s="1051"/>
      <c r="AY973" s="1053"/>
      <c r="AZ973" s="1051"/>
      <c r="BA973" s="1051"/>
      <c r="BB973" s="1053"/>
      <c r="BC973" s="1051"/>
      <c r="BD973" s="1051"/>
      <c r="BE973" s="1053"/>
      <c r="BF973" s="1051"/>
      <c r="BG973" s="1051"/>
      <c r="BH973" s="1053"/>
      <c r="BI973" s="1052"/>
      <c r="BJ973" s="1052"/>
      <c r="BK973" s="1052"/>
      <c r="BL973" s="1052"/>
      <c r="BM973" s="1052"/>
      <c r="BN973" s="1054"/>
      <c r="BO973" s="1076">
        <f t="shared" si="26"/>
        <v>0</v>
      </c>
      <c r="BP973" s="1051"/>
      <c r="BQ973" s="1052"/>
      <c r="BR973" s="1054"/>
      <c r="BS973" s="1053"/>
      <c r="BT973" s="1051"/>
      <c r="BU973" s="1051"/>
      <c r="BV973" s="1051"/>
      <c r="BW973" s="1052"/>
      <c r="BX973" s="1052"/>
      <c r="BY973" s="1052"/>
      <c r="BZ973" s="1052"/>
      <c r="CA973" s="1052"/>
      <c r="CB973" s="1053"/>
      <c r="CC973" s="1053"/>
      <c r="CD973" s="1053"/>
      <c r="CE973" s="1053"/>
      <c r="CF973" s="1053"/>
      <c r="CG973" s="1053"/>
      <c r="CH973" s="1053"/>
      <c r="CI973" s="1123"/>
      <c r="CJ973" s="1123"/>
      <c r="CK973" s="1123"/>
      <c r="CL973" s="1123"/>
      <c r="CM973" s="1123"/>
      <c r="CN973" s="1123"/>
      <c r="CO973" s="1123"/>
      <c r="CP973" s="1123"/>
      <c r="CQ973" s="1123"/>
      <c r="CR973" s="1123"/>
      <c r="CS973" s="1123"/>
      <c r="CT973" s="1123"/>
      <c r="CU973" s="1123"/>
      <c r="CV973" s="1123"/>
      <c r="CW973" s="1123"/>
      <c r="CX973" s="1123"/>
      <c r="CY973" s="1123"/>
      <c r="CZ973" s="1114"/>
      <c r="DA973" s="1114"/>
      <c r="DB973" s="1114"/>
      <c r="DC973" s="1114"/>
      <c r="DD973" s="1114"/>
      <c r="DE973" s="1114"/>
      <c r="DF973" s="1114"/>
      <c r="DG973" s="1114"/>
      <c r="DH973" s="1114"/>
      <c r="DI973" s="1114"/>
      <c r="DJ973" s="1114"/>
      <c r="DK973" s="1114"/>
      <c r="DL973" s="1114"/>
      <c r="DM973" s="1114"/>
      <c r="DN973" s="1114"/>
      <c r="DO973" s="1114"/>
      <c r="DP973" s="1114"/>
      <c r="DQ973" s="1114"/>
      <c r="DR973" s="1114"/>
      <c r="DS973" s="1114"/>
      <c r="DT973" s="1114"/>
      <c r="DU973" s="1114"/>
      <c r="DV973" s="1115"/>
      <c r="DW973" s="1116"/>
      <c r="DX973" s="1116"/>
      <c r="DY973" s="1116"/>
      <c r="DZ973" s="1116"/>
      <c r="EA973" s="1116"/>
      <c r="EB973" s="1116"/>
      <c r="EC973" s="1116"/>
      <c r="ED973" s="1116"/>
      <c r="EE973" s="1116"/>
      <c r="EF973" s="1116"/>
      <c r="EG973" s="1116"/>
      <c r="EH973" s="1116"/>
      <c r="EI973" s="1116"/>
      <c r="EJ973" s="1116"/>
      <c r="EK973" s="1116"/>
      <c r="EL973" s="1116"/>
      <c r="EM973" s="1116"/>
      <c r="EN973" s="1116"/>
      <c r="EO973" s="1116"/>
      <c r="EP973" s="1116"/>
      <c r="EQ973" s="1116"/>
      <c r="ER973" s="1116"/>
      <c r="ES973" s="1116"/>
    </row>
    <row r="974" spans="1:149" ht="15" customHeight="1">
      <c r="A974" s="1185">
        <v>959</v>
      </c>
      <c r="B974" s="1041"/>
      <c r="C974" s="1050"/>
      <c r="D974" s="1050"/>
      <c r="E974" s="1050"/>
      <c r="F974" s="1049"/>
      <c r="G974" s="1457"/>
      <c r="H974" s="1049"/>
      <c r="I974" s="1049"/>
      <c r="J974" s="1050"/>
      <c r="K974" s="1050"/>
      <c r="L974" s="1043"/>
      <c r="M974" s="1051"/>
      <c r="N974" s="1051"/>
      <c r="O974" s="1052"/>
      <c r="P974" s="1051"/>
      <c r="Q974" s="1051"/>
      <c r="R974" s="1052"/>
      <c r="S974" s="1051"/>
      <c r="T974" s="1051"/>
      <c r="U974" s="1052"/>
      <c r="V974" s="1051"/>
      <c r="W974" s="1051"/>
      <c r="X974" s="1052"/>
      <c r="Y974" s="1053"/>
      <c r="Z974" s="1051"/>
      <c r="AA974" s="1051"/>
      <c r="AB974" s="1052"/>
      <c r="AC974" s="1051"/>
      <c r="AD974" s="1051"/>
      <c r="AE974" s="1052"/>
      <c r="AF974" s="1051"/>
      <c r="AG974" s="1051"/>
      <c r="AH974" s="1051"/>
      <c r="AI974" s="1051"/>
      <c r="AJ974" s="1052"/>
      <c r="AK974" s="1051"/>
      <c r="AL974" s="1051"/>
      <c r="AM974" s="1052"/>
      <c r="AN974" s="1051"/>
      <c r="AO974" s="1051"/>
      <c r="AP974" s="1052"/>
      <c r="AQ974" s="1051"/>
      <c r="AR974" s="1051"/>
      <c r="AS974" s="1052"/>
      <c r="AT974" s="1051"/>
      <c r="AU974" s="1051"/>
      <c r="AV974" s="1052"/>
      <c r="AW974" s="1051"/>
      <c r="AX974" s="1051"/>
      <c r="AY974" s="1053"/>
      <c r="AZ974" s="1051"/>
      <c r="BA974" s="1051"/>
      <c r="BB974" s="1053"/>
      <c r="BC974" s="1051"/>
      <c r="BD974" s="1051"/>
      <c r="BE974" s="1053"/>
      <c r="BF974" s="1051"/>
      <c r="BG974" s="1051"/>
      <c r="BH974" s="1053"/>
      <c r="BI974" s="1052"/>
      <c r="BJ974" s="1052"/>
      <c r="BK974" s="1052"/>
      <c r="BL974" s="1052"/>
      <c r="BM974" s="1052"/>
      <c r="BN974" s="1054"/>
      <c r="BO974" s="1076">
        <f t="shared" si="26"/>
        <v>0</v>
      </c>
      <c r="BP974" s="1051"/>
      <c r="BQ974" s="1052"/>
      <c r="BR974" s="1054"/>
      <c r="BS974" s="1053"/>
      <c r="BT974" s="1051"/>
      <c r="BU974" s="1051"/>
      <c r="BV974" s="1051"/>
      <c r="BW974" s="1052"/>
      <c r="BX974" s="1052"/>
      <c r="BY974" s="1052"/>
      <c r="BZ974" s="1052"/>
      <c r="CA974" s="1052"/>
      <c r="CB974" s="1053"/>
      <c r="CC974" s="1053"/>
      <c r="CD974" s="1053"/>
      <c r="CE974" s="1053"/>
      <c r="CF974" s="1053"/>
      <c r="CG974" s="1053"/>
      <c r="CH974" s="1053"/>
      <c r="CI974" s="1123"/>
      <c r="CJ974" s="1123"/>
      <c r="CK974" s="1123"/>
      <c r="CL974" s="1123"/>
      <c r="CM974" s="1123"/>
      <c r="CN974" s="1123"/>
      <c r="CO974" s="1123"/>
      <c r="CP974" s="1123"/>
      <c r="CQ974" s="1123"/>
      <c r="CR974" s="1123"/>
      <c r="CS974" s="1123"/>
      <c r="CT974" s="1123"/>
      <c r="CU974" s="1123"/>
      <c r="CV974" s="1123"/>
      <c r="CW974" s="1123"/>
      <c r="CX974" s="1123"/>
      <c r="CY974" s="1123"/>
      <c r="CZ974" s="1114"/>
      <c r="DA974" s="1114"/>
      <c r="DB974" s="1114"/>
      <c r="DC974" s="1114"/>
      <c r="DD974" s="1114"/>
      <c r="DE974" s="1114"/>
      <c r="DF974" s="1114"/>
      <c r="DG974" s="1114"/>
      <c r="DH974" s="1114"/>
      <c r="DI974" s="1114"/>
      <c r="DJ974" s="1114"/>
      <c r="DK974" s="1114"/>
      <c r="DL974" s="1114"/>
      <c r="DM974" s="1114"/>
      <c r="DN974" s="1114"/>
      <c r="DO974" s="1114"/>
      <c r="DP974" s="1114"/>
      <c r="DQ974" s="1114"/>
      <c r="DR974" s="1114"/>
      <c r="DS974" s="1114"/>
      <c r="DT974" s="1114"/>
      <c r="DU974" s="1114"/>
      <c r="DV974" s="1115"/>
      <c r="DW974" s="1116"/>
      <c r="DX974" s="1116"/>
      <c r="DY974" s="1116"/>
      <c r="DZ974" s="1116"/>
      <c r="EA974" s="1116"/>
      <c r="EB974" s="1116"/>
      <c r="EC974" s="1116"/>
      <c r="ED974" s="1116"/>
      <c r="EE974" s="1116"/>
      <c r="EF974" s="1116"/>
      <c r="EG974" s="1116"/>
      <c r="EH974" s="1116"/>
      <c r="EI974" s="1116"/>
      <c r="EJ974" s="1116"/>
      <c r="EK974" s="1116"/>
      <c r="EL974" s="1116"/>
      <c r="EM974" s="1116"/>
      <c r="EN974" s="1116"/>
      <c r="EO974" s="1116"/>
      <c r="EP974" s="1116"/>
      <c r="EQ974" s="1116"/>
      <c r="ER974" s="1116"/>
      <c r="ES974" s="1116"/>
    </row>
    <row r="975" spans="1:149" ht="15" customHeight="1">
      <c r="A975" s="1185">
        <v>960</v>
      </c>
      <c r="B975" s="1041"/>
      <c r="C975" s="1050"/>
      <c r="D975" s="1050"/>
      <c r="E975" s="1050"/>
      <c r="F975" s="1049"/>
      <c r="G975" s="1457"/>
      <c r="H975" s="1049"/>
      <c r="I975" s="1049"/>
      <c r="J975" s="1050"/>
      <c r="K975" s="1050"/>
      <c r="L975" s="1043"/>
      <c r="M975" s="1051"/>
      <c r="N975" s="1051"/>
      <c r="O975" s="1052"/>
      <c r="P975" s="1051"/>
      <c r="Q975" s="1051"/>
      <c r="R975" s="1052"/>
      <c r="S975" s="1051"/>
      <c r="T975" s="1051"/>
      <c r="U975" s="1052"/>
      <c r="V975" s="1051"/>
      <c r="W975" s="1051"/>
      <c r="X975" s="1052"/>
      <c r="Y975" s="1053"/>
      <c r="Z975" s="1051"/>
      <c r="AA975" s="1051"/>
      <c r="AB975" s="1052"/>
      <c r="AC975" s="1051"/>
      <c r="AD975" s="1051"/>
      <c r="AE975" s="1052"/>
      <c r="AF975" s="1051"/>
      <c r="AG975" s="1051"/>
      <c r="AH975" s="1051"/>
      <c r="AI975" s="1051"/>
      <c r="AJ975" s="1052"/>
      <c r="AK975" s="1051"/>
      <c r="AL975" s="1051"/>
      <c r="AM975" s="1052"/>
      <c r="AN975" s="1051"/>
      <c r="AO975" s="1051"/>
      <c r="AP975" s="1052"/>
      <c r="AQ975" s="1051"/>
      <c r="AR975" s="1051"/>
      <c r="AS975" s="1052"/>
      <c r="AT975" s="1051"/>
      <c r="AU975" s="1051"/>
      <c r="AV975" s="1052"/>
      <c r="AW975" s="1051"/>
      <c r="AX975" s="1051"/>
      <c r="AY975" s="1053"/>
      <c r="AZ975" s="1051"/>
      <c r="BA975" s="1051"/>
      <c r="BB975" s="1053"/>
      <c r="BC975" s="1051"/>
      <c r="BD975" s="1051"/>
      <c r="BE975" s="1053"/>
      <c r="BF975" s="1051"/>
      <c r="BG975" s="1051"/>
      <c r="BH975" s="1053"/>
      <c r="BI975" s="1052"/>
      <c r="BJ975" s="1052"/>
      <c r="BK975" s="1052"/>
      <c r="BL975" s="1052"/>
      <c r="BM975" s="1052"/>
      <c r="BN975" s="1054"/>
      <c r="BO975" s="1076">
        <f t="shared" si="26"/>
        <v>0</v>
      </c>
      <c r="BP975" s="1051"/>
      <c r="BQ975" s="1052"/>
      <c r="BR975" s="1054"/>
      <c r="BS975" s="1053"/>
      <c r="BT975" s="1051"/>
      <c r="BU975" s="1051"/>
      <c r="BV975" s="1051"/>
      <c r="BW975" s="1052"/>
      <c r="BX975" s="1052"/>
      <c r="BY975" s="1052"/>
      <c r="BZ975" s="1052"/>
      <c r="CA975" s="1052"/>
      <c r="CB975" s="1053"/>
      <c r="CC975" s="1053"/>
      <c r="CD975" s="1053"/>
      <c r="CE975" s="1053"/>
      <c r="CF975" s="1053"/>
      <c r="CG975" s="1053"/>
      <c r="CH975" s="1053"/>
      <c r="CI975" s="1123"/>
      <c r="CJ975" s="1123"/>
      <c r="CK975" s="1123"/>
      <c r="CL975" s="1123"/>
      <c r="CM975" s="1123"/>
      <c r="CN975" s="1123"/>
      <c r="CO975" s="1123"/>
      <c r="CP975" s="1123"/>
      <c r="CQ975" s="1123"/>
      <c r="CR975" s="1123"/>
      <c r="CS975" s="1123"/>
      <c r="CT975" s="1123"/>
      <c r="CU975" s="1123"/>
      <c r="CV975" s="1123"/>
      <c r="CW975" s="1123"/>
      <c r="CX975" s="1123"/>
      <c r="CY975" s="1123"/>
      <c r="CZ975" s="1114"/>
      <c r="DA975" s="1114"/>
      <c r="DB975" s="1114"/>
      <c r="DC975" s="1114"/>
      <c r="DD975" s="1114"/>
      <c r="DE975" s="1114"/>
      <c r="DF975" s="1114"/>
      <c r="DG975" s="1114"/>
      <c r="DH975" s="1114"/>
      <c r="DI975" s="1114"/>
      <c r="DJ975" s="1114"/>
      <c r="DK975" s="1114"/>
      <c r="DL975" s="1114"/>
      <c r="DM975" s="1114"/>
      <c r="DN975" s="1114"/>
      <c r="DO975" s="1114"/>
      <c r="DP975" s="1114"/>
      <c r="DQ975" s="1114"/>
      <c r="DR975" s="1114"/>
      <c r="DS975" s="1114"/>
      <c r="DT975" s="1114"/>
      <c r="DU975" s="1114"/>
      <c r="DV975" s="1115"/>
      <c r="DW975" s="1116"/>
      <c r="DX975" s="1116"/>
      <c r="DY975" s="1116"/>
      <c r="DZ975" s="1116"/>
      <c r="EA975" s="1116"/>
      <c r="EB975" s="1116"/>
      <c r="EC975" s="1116"/>
      <c r="ED975" s="1116"/>
      <c r="EE975" s="1116"/>
      <c r="EF975" s="1116"/>
      <c r="EG975" s="1116"/>
      <c r="EH975" s="1116"/>
      <c r="EI975" s="1116"/>
      <c r="EJ975" s="1116"/>
      <c r="EK975" s="1116"/>
      <c r="EL975" s="1116"/>
      <c r="EM975" s="1116"/>
      <c r="EN975" s="1116"/>
      <c r="EO975" s="1116"/>
      <c r="EP975" s="1116"/>
      <c r="EQ975" s="1116"/>
      <c r="ER975" s="1116"/>
      <c r="ES975" s="1116"/>
    </row>
    <row r="976" spans="1:149" ht="15" customHeight="1">
      <c r="A976" s="1185">
        <v>961</v>
      </c>
      <c r="B976" s="1041"/>
      <c r="C976" s="1050"/>
      <c r="D976" s="1050"/>
      <c r="E976" s="1050"/>
      <c r="F976" s="1049"/>
      <c r="G976" s="1457"/>
      <c r="H976" s="1049"/>
      <c r="I976" s="1049"/>
      <c r="J976" s="1050"/>
      <c r="K976" s="1050"/>
      <c r="L976" s="1043"/>
      <c r="M976" s="1051"/>
      <c r="N976" s="1051"/>
      <c r="O976" s="1052"/>
      <c r="P976" s="1051"/>
      <c r="Q976" s="1051"/>
      <c r="R976" s="1052"/>
      <c r="S976" s="1051"/>
      <c r="T976" s="1051"/>
      <c r="U976" s="1052"/>
      <c r="V976" s="1051"/>
      <c r="W976" s="1051"/>
      <c r="X976" s="1052"/>
      <c r="Y976" s="1053"/>
      <c r="Z976" s="1051"/>
      <c r="AA976" s="1051"/>
      <c r="AB976" s="1052"/>
      <c r="AC976" s="1051"/>
      <c r="AD976" s="1051"/>
      <c r="AE976" s="1052"/>
      <c r="AF976" s="1051"/>
      <c r="AG976" s="1051"/>
      <c r="AH976" s="1051"/>
      <c r="AI976" s="1051"/>
      <c r="AJ976" s="1052"/>
      <c r="AK976" s="1051"/>
      <c r="AL976" s="1051"/>
      <c r="AM976" s="1052"/>
      <c r="AN976" s="1051"/>
      <c r="AO976" s="1051"/>
      <c r="AP976" s="1052"/>
      <c r="AQ976" s="1051"/>
      <c r="AR976" s="1051"/>
      <c r="AS976" s="1052"/>
      <c r="AT976" s="1051"/>
      <c r="AU976" s="1051"/>
      <c r="AV976" s="1052"/>
      <c r="AW976" s="1051"/>
      <c r="AX976" s="1051"/>
      <c r="AY976" s="1053"/>
      <c r="AZ976" s="1051"/>
      <c r="BA976" s="1051"/>
      <c r="BB976" s="1053"/>
      <c r="BC976" s="1051"/>
      <c r="BD976" s="1051"/>
      <c r="BE976" s="1053"/>
      <c r="BF976" s="1051"/>
      <c r="BG976" s="1051"/>
      <c r="BH976" s="1053"/>
      <c r="BI976" s="1052"/>
      <c r="BJ976" s="1052"/>
      <c r="BK976" s="1052"/>
      <c r="BL976" s="1052"/>
      <c r="BM976" s="1052"/>
      <c r="BN976" s="1054"/>
      <c r="BO976" s="1076">
        <f t="shared" si="26"/>
        <v>0</v>
      </c>
      <c r="BP976" s="1051"/>
      <c r="BQ976" s="1052"/>
      <c r="BR976" s="1054"/>
      <c r="BS976" s="1053"/>
      <c r="BT976" s="1051"/>
      <c r="BU976" s="1051"/>
      <c r="BV976" s="1051"/>
      <c r="BW976" s="1052"/>
      <c r="BX976" s="1052"/>
      <c r="BY976" s="1052"/>
      <c r="BZ976" s="1052"/>
      <c r="CA976" s="1052"/>
      <c r="CB976" s="1053"/>
      <c r="CC976" s="1053"/>
      <c r="CD976" s="1053"/>
      <c r="CE976" s="1053"/>
      <c r="CF976" s="1053"/>
      <c r="CG976" s="1053"/>
      <c r="CH976" s="1053"/>
      <c r="CI976" s="1123"/>
      <c r="CJ976" s="1123"/>
      <c r="CK976" s="1123"/>
      <c r="CL976" s="1123"/>
      <c r="CM976" s="1123"/>
      <c r="CN976" s="1123"/>
      <c r="CO976" s="1123"/>
      <c r="CP976" s="1123"/>
      <c r="CQ976" s="1123"/>
      <c r="CR976" s="1123"/>
      <c r="CS976" s="1123"/>
      <c r="CT976" s="1123"/>
      <c r="CU976" s="1123"/>
      <c r="CV976" s="1123"/>
      <c r="CW976" s="1123"/>
      <c r="CX976" s="1123"/>
      <c r="CY976" s="1123"/>
      <c r="CZ976" s="1114"/>
      <c r="DA976" s="1114"/>
      <c r="DB976" s="1114"/>
      <c r="DC976" s="1114"/>
      <c r="DD976" s="1114"/>
      <c r="DE976" s="1114"/>
      <c r="DF976" s="1114"/>
      <c r="DG976" s="1114"/>
      <c r="DH976" s="1114"/>
      <c r="DI976" s="1114"/>
      <c r="DJ976" s="1114"/>
      <c r="DK976" s="1114"/>
      <c r="DL976" s="1114"/>
      <c r="DM976" s="1114"/>
      <c r="DN976" s="1114"/>
      <c r="DO976" s="1114"/>
      <c r="DP976" s="1114"/>
      <c r="DQ976" s="1114"/>
      <c r="DR976" s="1114"/>
      <c r="DS976" s="1114"/>
      <c r="DT976" s="1114"/>
      <c r="DU976" s="1114"/>
      <c r="DV976" s="1115"/>
      <c r="DW976" s="1116"/>
      <c r="DX976" s="1116"/>
      <c r="DY976" s="1116"/>
      <c r="DZ976" s="1116"/>
      <c r="EA976" s="1116"/>
      <c r="EB976" s="1116"/>
      <c r="EC976" s="1116"/>
      <c r="ED976" s="1116"/>
      <c r="EE976" s="1116"/>
      <c r="EF976" s="1116"/>
      <c r="EG976" s="1116"/>
      <c r="EH976" s="1116"/>
      <c r="EI976" s="1116"/>
      <c r="EJ976" s="1116"/>
      <c r="EK976" s="1116"/>
      <c r="EL976" s="1116"/>
      <c r="EM976" s="1116"/>
      <c r="EN976" s="1116"/>
      <c r="EO976" s="1116"/>
      <c r="EP976" s="1116"/>
      <c r="EQ976" s="1116"/>
      <c r="ER976" s="1116"/>
      <c r="ES976" s="1116"/>
    </row>
    <row r="977" spans="1:149" ht="15" customHeight="1">
      <c r="A977" s="1185">
        <v>962</v>
      </c>
      <c r="B977" s="1041"/>
      <c r="C977" s="1050"/>
      <c r="D977" s="1050"/>
      <c r="E977" s="1050"/>
      <c r="F977" s="1049"/>
      <c r="G977" s="1457"/>
      <c r="H977" s="1049"/>
      <c r="I977" s="1049"/>
      <c r="J977" s="1050"/>
      <c r="K977" s="1050"/>
      <c r="L977" s="1043"/>
      <c r="M977" s="1051"/>
      <c r="N977" s="1051"/>
      <c r="O977" s="1052"/>
      <c r="P977" s="1051"/>
      <c r="Q977" s="1051"/>
      <c r="R977" s="1052"/>
      <c r="S977" s="1051"/>
      <c r="T977" s="1051"/>
      <c r="U977" s="1052"/>
      <c r="V977" s="1051"/>
      <c r="W977" s="1051"/>
      <c r="X977" s="1052"/>
      <c r="Y977" s="1053"/>
      <c r="Z977" s="1051"/>
      <c r="AA977" s="1051"/>
      <c r="AB977" s="1052"/>
      <c r="AC977" s="1051"/>
      <c r="AD977" s="1051"/>
      <c r="AE977" s="1052"/>
      <c r="AF977" s="1051"/>
      <c r="AG977" s="1051"/>
      <c r="AH977" s="1051"/>
      <c r="AI977" s="1051"/>
      <c r="AJ977" s="1052"/>
      <c r="AK977" s="1051"/>
      <c r="AL977" s="1051"/>
      <c r="AM977" s="1052"/>
      <c r="AN977" s="1051"/>
      <c r="AO977" s="1051"/>
      <c r="AP977" s="1052"/>
      <c r="AQ977" s="1051"/>
      <c r="AR977" s="1051"/>
      <c r="AS977" s="1052"/>
      <c r="AT977" s="1051"/>
      <c r="AU977" s="1051"/>
      <c r="AV977" s="1052"/>
      <c r="AW977" s="1051"/>
      <c r="AX977" s="1051"/>
      <c r="AY977" s="1053"/>
      <c r="AZ977" s="1051"/>
      <c r="BA977" s="1051"/>
      <c r="BB977" s="1053"/>
      <c r="BC977" s="1051"/>
      <c r="BD977" s="1051"/>
      <c r="BE977" s="1053"/>
      <c r="BF977" s="1051"/>
      <c r="BG977" s="1051"/>
      <c r="BH977" s="1053"/>
      <c r="BI977" s="1052"/>
      <c r="BJ977" s="1052"/>
      <c r="BK977" s="1052"/>
      <c r="BL977" s="1052"/>
      <c r="BM977" s="1052"/>
      <c r="BN977" s="1054"/>
      <c r="BO977" s="1076">
        <f t="shared" si="26"/>
        <v>0</v>
      </c>
      <c r="BP977" s="1051"/>
      <c r="BQ977" s="1052"/>
      <c r="BR977" s="1054"/>
      <c r="BS977" s="1053"/>
      <c r="BT977" s="1051"/>
      <c r="BU977" s="1051"/>
      <c r="BV977" s="1051"/>
      <c r="BW977" s="1052"/>
      <c r="BX977" s="1052"/>
      <c r="BY977" s="1052"/>
      <c r="BZ977" s="1052"/>
      <c r="CA977" s="1052"/>
      <c r="CB977" s="1053"/>
      <c r="CC977" s="1053"/>
      <c r="CD977" s="1053"/>
      <c r="CE977" s="1053"/>
      <c r="CF977" s="1053"/>
      <c r="CG977" s="1053"/>
      <c r="CH977" s="1053"/>
      <c r="CI977" s="1123"/>
      <c r="CJ977" s="1123"/>
      <c r="CK977" s="1123"/>
      <c r="CL977" s="1123"/>
      <c r="CM977" s="1123"/>
      <c r="CN977" s="1123"/>
      <c r="CO977" s="1123"/>
      <c r="CP977" s="1123"/>
      <c r="CQ977" s="1123"/>
      <c r="CR977" s="1123"/>
      <c r="CS977" s="1123"/>
      <c r="CT977" s="1123"/>
      <c r="CU977" s="1123"/>
      <c r="CV977" s="1123"/>
      <c r="CW977" s="1123"/>
      <c r="CX977" s="1123"/>
      <c r="CY977" s="1123"/>
      <c r="CZ977" s="1114"/>
      <c r="DA977" s="1114"/>
      <c r="DB977" s="1114"/>
      <c r="DC977" s="1114"/>
      <c r="DD977" s="1114"/>
      <c r="DE977" s="1114"/>
      <c r="DF977" s="1114"/>
      <c r="DG977" s="1114"/>
      <c r="DH977" s="1114"/>
      <c r="DI977" s="1114"/>
      <c r="DJ977" s="1114"/>
      <c r="DK977" s="1114"/>
      <c r="DL977" s="1114"/>
      <c r="DM977" s="1114"/>
      <c r="DN977" s="1114"/>
      <c r="DO977" s="1114"/>
      <c r="DP977" s="1114"/>
      <c r="DQ977" s="1114"/>
      <c r="DR977" s="1114"/>
      <c r="DS977" s="1114"/>
      <c r="DT977" s="1114"/>
      <c r="DU977" s="1114"/>
      <c r="DV977" s="1115"/>
      <c r="DW977" s="1116"/>
      <c r="DX977" s="1116"/>
      <c r="DY977" s="1116"/>
      <c r="DZ977" s="1116"/>
      <c r="EA977" s="1116"/>
      <c r="EB977" s="1116"/>
      <c r="EC977" s="1116"/>
      <c r="ED977" s="1116"/>
      <c r="EE977" s="1116"/>
      <c r="EF977" s="1116"/>
      <c r="EG977" s="1116"/>
      <c r="EH977" s="1116"/>
      <c r="EI977" s="1116"/>
      <c r="EJ977" s="1116"/>
      <c r="EK977" s="1116"/>
      <c r="EL977" s="1116"/>
      <c r="EM977" s="1116"/>
      <c r="EN977" s="1116"/>
      <c r="EO977" s="1116"/>
      <c r="EP977" s="1116"/>
      <c r="EQ977" s="1116"/>
      <c r="ER977" s="1116"/>
      <c r="ES977" s="1116"/>
    </row>
    <row r="978" spans="1:149" ht="15" customHeight="1">
      <c r="A978" s="1185">
        <v>963</v>
      </c>
      <c r="B978" s="1041"/>
      <c r="C978" s="1050"/>
      <c r="D978" s="1050"/>
      <c r="E978" s="1050"/>
      <c r="F978" s="1049"/>
      <c r="G978" s="1457"/>
      <c r="H978" s="1049"/>
      <c r="I978" s="1049"/>
      <c r="J978" s="1050"/>
      <c r="K978" s="1050"/>
      <c r="L978" s="1043"/>
      <c r="M978" s="1051"/>
      <c r="N978" s="1051"/>
      <c r="O978" s="1052"/>
      <c r="P978" s="1051"/>
      <c r="Q978" s="1051"/>
      <c r="R978" s="1052"/>
      <c r="S978" s="1051"/>
      <c r="T978" s="1051"/>
      <c r="U978" s="1052"/>
      <c r="V978" s="1051"/>
      <c r="W978" s="1051"/>
      <c r="X978" s="1052"/>
      <c r="Y978" s="1053"/>
      <c r="Z978" s="1051"/>
      <c r="AA978" s="1051"/>
      <c r="AB978" s="1052"/>
      <c r="AC978" s="1051"/>
      <c r="AD978" s="1051"/>
      <c r="AE978" s="1052"/>
      <c r="AF978" s="1051"/>
      <c r="AG978" s="1051"/>
      <c r="AH978" s="1051"/>
      <c r="AI978" s="1051"/>
      <c r="AJ978" s="1052"/>
      <c r="AK978" s="1051"/>
      <c r="AL978" s="1051"/>
      <c r="AM978" s="1052"/>
      <c r="AN978" s="1051"/>
      <c r="AO978" s="1051"/>
      <c r="AP978" s="1052"/>
      <c r="AQ978" s="1051"/>
      <c r="AR978" s="1051"/>
      <c r="AS978" s="1052"/>
      <c r="AT978" s="1051"/>
      <c r="AU978" s="1051"/>
      <c r="AV978" s="1052"/>
      <c r="AW978" s="1051"/>
      <c r="AX978" s="1051"/>
      <c r="AY978" s="1053"/>
      <c r="AZ978" s="1051"/>
      <c r="BA978" s="1051"/>
      <c r="BB978" s="1053"/>
      <c r="BC978" s="1051"/>
      <c r="BD978" s="1051"/>
      <c r="BE978" s="1053"/>
      <c r="BF978" s="1051"/>
      <c r="BG978" s="1051"/>
      <c r="BH978" s="1053"/>
      <c r="BI978" s="1052"/>
      <c r="BJ978" s="1052"/>
      <c r="BK978" s="1052"/>
      <c r="BL978" s="1052"/>
      <c r="BM978" s="1052"/>
      <c r="BN978" s="1054"/>
      <c r="BO978" s="1076">
        <f t="shared" si="26"/>
        <v>0</v>
      </c>
      <c r="BP978" s="1051"/>
      <c r="BQ978" s="1052"/>
      <c r="BR978" s="1054"/>
      <c r="BS978" s="1053"/>
      <c r="BT978" s="1051"/>
      <c r="BU978" s="1051"/>
      <c r="BV978" s="1051"/>
      <c r="BW978" s="1052"/>
      <c r="BX978" s="1052"/>
      <c r="BY978" s="1052"/>
      <c r="BZ978" s="1052"/>
      <c r="CA978" s="1052"/>
      <c r="CB978" s="1053"/>
      <c r="CC978" s="1053"/>
      <c r="CD978" s="1053"/>
      <c r="CE978" s="1053"/>
      <c r="CF978" s="1053"/>
      <c r="CG978" s="1053"/>
      <c r="CH978" s="1053"/>
      <c r="CI978" s="1123"/>
      <c r="CJ978" s="1123"/>
      <c r="CK978" s="1123"/>
      <c r="CL978" s="1123"/>
      <c r="CM978" s="1123"/>
      <c r="CN978" s="1123"/>
      <c r="CO978" s="1123"/>
      <c r="CP978" s="1123"/>
      <c r="CQ978" s="1123"/>
      <c r="CR978" s="1123"/>
      <c r="CS978" s="1123"/>
      <c r="CT978" s="1123"/>
      <c r="CU978" s="1123"/>
      <c r="CV978" s="1123"/>
      <c r="CW978" s="1123"/>
      <c r="CX978" s="1123"/>
      <c r="CY978" s="1123"/>
      <c r="CZ978" s="1114"/>
      <c r="DA978" s="1114"/>
      <c r="DB978" s="1114"/>
      <c r="DC978" s="1114"/>
      <c r="DD978" s="1114"/>
      <c r="DE978" s="1114"/>
      <c r="DF978" s="1114"/>
      <c r="DG978" s="1114"/>
      <c r="DH978" s="1114"/>
      <c r="DI978" s="1114"/>
      <c r="DJ978" s="1114"/>
      <c r="DK978" s="1114"/>
      <c r="DL978" s="1114"/>
      <c r="DM978" s="1114"/>
      <c r="DN978" s="1114"/>
      <c r="DO978" s="1114"/>
      <c r="DP978" s="1114"/>
      <c r="DQ978" s="1114"/>
      <c r="DR978" s="1114"/>
      <c r="DS978" s="1114"/>
      <c r="DT978" s="1114"/>
      <c r="DU978" s="1114"/>
      <c r="DV978" s="1115"/>
      <c r="DW978" s="1116"/>
      <c r="DX978" s="1116"/>
      <c r="DY978" s="1116"/>
      <c r="DZ978" s="1116"/>
      <c r="EA978" s="1116"/>
      <c r="EB978" s="1116"/>
      <c r="EC978" s="1116"/>
      <c r="ED978" s="1116"/>
      <c r="EE978" s="1116"/>
      <c r="EF978" s="1116"/>
      <c r="EG978" s="1116"/>
      <c r="EH978" s="1116"/>
      <c r="EI978" s="1116"/>
      <c r="EJ978" s="1116"/>
      <c r="EK978" s="1116"/>
      <c r="EL978" s="1116"/>
      <c r="EM978" s="1116"/>
      <c r="EN978" s="1116"/>
      <c r="EO978" s="1116"/>
      <c r="EP978" s="1116"/>
      <c r="EQ978" s="1116"/>
      <c r="ER978" s="1116"/>
      <c r="ES978" s="1116"/>
    </row>
    <row r="979" spans="1:149" ht="15" customHeight="1">
      <c r="A979" s="1185">
        <v>964</v>
      </c>
      <c r="B979" s="1041"/>
      <c r="C979" s="1050"/>
      <c r="D979" s="1050"/>
      <c r="E979" s="1050"/>
      <c r="F979" s="1049"/>
      <c r="G979" s="1457"/>
      <c r="H979" s="1049"/>
      <c r="I979" s="1049"/>
      <c r="J979" s="1050"/>
      <c r="K979" s="1050"/>
      <c r="L979" s="1043"/>
      <c r="M979" s="1051"/>
      <c r="N979" s="1051"/>
      <c r="O979" s="1052"/>
      <c r="P979" s="1051"/>
      <c r="Q979" s="1051"/>
      <c r="R979" s="1052"/>
      <c r="S979" s="1051"/>
      <c r="T979" s="1051"/>
      <c r="U979" s="1052"/>
      <c r="V979" s="1051"/>
      <c r="W979" s="1051"/>
      <c r="X979" s="1052"/>
      <c r="Y979" s="1053"/>
      <c r="Z979" s="1051"/>
      <c r="AA979" s="1051"/>
      <c r="AB979" s="1052"/>
      <c r="AC979" s="1051"/>
      <c r="AD979" s="1051"/>
      <c r="AE979" s="1052"/>
      <c r="AF979" s="1051"/>
      <c r="AG979" s="1051"/>
      <c r="AH979" s="1051"/>
      <c r="AI979" s="1051"/>
      <c r="AJ979" s="1052"/>
      <c r="AK979" s="1051"/>
      <c r="AL979" s="1051"/>
      <c r="AM979" s="1052"/>
      <c r="AN979" s="1051"/>
      <c r="AO979" s="1051"/>
      <c r="AP979" s="1052"/>
      <c r="AQ979" s="1051"/>
      <c r="AR979" s="1051"/>
      <c r="AS979" s="1052"/>
      <c r="AT979" s="1051"/>
      <c r="AU979" s="1051"/>
      <c r="AV979" s="1052"/>
      <c r="AW979" s="1051"/>
      <c r="AX979" s="1051"/>
      <c r="AY979" s="1053"/>
      <c r="AZ979" s="1051"/>
      <c r="BA979" s="1051"/>
      <c r="BB979" s="1053"/>
      <c r="BC979" s="1051"/>
      <c r="BD979" s="1051"/>
      <c r="BE979" s="1053"/>
      <c r="BF979" s="1051"/>
      <c r="BG979" s="1051"/>
      <c r="BH979" s="1053"/>
      <c r="BI979" s="1052"/>
      <c r="BJ979" s="1052"/>
      <c r="BK979" s="1052"/>
      <c r="BL979" s="1052"/>
      <c r="BM979" s="1052"/>
      <c r="BN979" s="1054"/>
      <c r="BO979" s="1076">
        <f t="shared" si="26"/>
        <v>0</v>
      </c>
      <c r="BP979" s="1051"/>
      <c r="BQ979" s="1052"/>
      <c r="BR979" s="1054"/>
      <c r="BS979" s="1053"/>
      <c r="BT979" s="1051"/>
      <c r="BU979" s="1051"/>
      <c r="BV979" s="1051"/>
      <c r="BW979" s="1052"/>
      <c r="BX979" s="1052"/>
      <c r="BY979" s="1052"/>
      <c r="BZ979" s="1052"/>
      <c r="CA979" s="1052"/>
      <c r="CB979" s="1053"/>
      <c r="CC979" s="1053"/>
      <c r="CD979" s="1053"/>
      <c r="CE979" s="1053"/>
      <c r="CF979" s="1053"/>
      <c r="CG979" s="1053"/>
      <c r="CH979" s="1053"/>
      <c r="CI979" s="1123"/>
      <c r="CJ979" s="1123"/>
      <c r="CK979" s="1123"/>
      <c r="CL979" s="1123"/>
      <c r="CM979" s="1123"/>
      <c r="CN979" s="1123"/>
      <c r="CO979" s="1123"/>
      <c r="CP979" s="1123"/>
      <c r="CQ979" s="1123"/>
      <c r="CR979" s="1123"/>
      <c r="CS979" s="1123"/>
      <c r="CT979" s="1123"/>
      <c r="CU979" s="1123"/>
      <c r="CV979" s="1123"/>
      <c r="CW979" s="1123"/>
      <c r="CX979" s="1123"/>
      <c r="CY979" s="1123"/>
      <c r="CZ979" s="1114"/>
      <c r="DA979" s="1114"/>
      <c r="DB979" s="1114"/>
      <c r="DC979" s="1114"/>
      <c r="DD979" s="1114"/>
      <c r="DE979" s="1114"/>
      <c r="DF979" s="1114"/>
      <c r="DG979" s="1114"/>
      <c r="DH979" s="1114"/>
      <c r="DI979" s="1114"/>
      <c r="DJ979" s="1114"/>
      <c r="DK979" s="1114"/>
      <c r="DL979" s="1114"/>
      <c r="DM979" s="1114"/>
      <c r="DN979" s="1114"/>
      <c r="DO979" s="1114"/>
      <c r="DP979" s="1114"/>
      <c r="DQ979" s="1114"/>
      <c r="DR979" s="1114"/>
      <c r="DS979" s="1114"/>
      <c r="DT979" s="1114"/>
      <c r="DU979" s="1114"/>
      <c r="DV979" s="1115"/>
      <c r="DW979" s="1116"/>
      <c r="DX979" s="1116"/>
      <c r="DY979" s="1116"/>
      <c r="DZ979" s="1116"/>
      <c r="EA979" s="1116"/>
      <c r="EB979" s="1116"/>
      <c r="EC979" s="1116"/>
      <c r="ED979" s="1116"/>
      <c r="EE979" s="1116"/>
      <c r="EF979" s="1116"/>
      <c r="EG979" s="1116"/>
      <c r="EH979" s="1116"/>
      <c r="EI979" s="1116"/>
      <c r="EJ979" s="1116"/>
      <c r="EK979" s="1116"/>
      <c r="EL979" s="1116"/>
      <c r="EM979" s="1116"/>
      <c r="EN979" s="1116"/>
      <c r="EO979" s="1116"/>
      <c r="EP979" s="1116"/>
      <c r="EQ979" s="1116"/>
      <c r="ER979" s="1116"/>
      <c r="ES979" s="1116"/>
    </row>
    <row r="980" spans="1:149" ht="15" customHeight="1">
      <c r="A980" s="1185">
        <v>965</v>
      </c>
      <c r="B980" s="1041"/>
      <c r="C980" s="1050"/>
      <c r="D980" s="1050"/>
      <c r="E980" s="1050"/>
      <c r="F980" s="1049"/>
      <c r="G980" s="1457"/>
      <c r="H980" s="1049"/>
      <c r="I980" s="1049"/>
      <c r="J980" s="1050"/>
      <c r="K980" s="1050"/>
      <c r="L980" s="1043"/>
      <c r="M980" s="1051"/>
      <c r="N980" s="1051"/>
      <c r="O980" s="1052"/>
      <c r="P980" s="1051"/>
      <c r="Q980" s="1051"/>
      <c r="R980" s="1052"/>
      <c r="S980" s="1051"/>
      <c r="T980" s="1051"/>
      <c r="U980" s="1052"/>
      <c r="V980" s="1051"/>
      <c r="W980" s="1051"/>
      <c r="X980" s="1052"/>
      <c r="Y980" s="1053"/>
      <c r="Z980" s="1051"/>
      <c r="AA980" s="1051"/>
      <c r="AB980" s="1052"/>
      <c r="AC980" s="1051"/>
      <c r="AD980" s="1051"/>
      <c r="AE980" s="1052"/>
      <c r="AF980" s="1051"/>
      <c r="AG980" s="1051"/>
      <c r="AH980" s="1051"/>
      <c r="AI980" s="1051"/>
      <c r="AJ980" s="1052"/>
      <c r="AK980" s="1051"/>
      <c r="AL980" s="1051"/>
      <c r="AM980" s="1052"/>
      <c r="AN980" s="1051"/>
      <c r="AO980" s="1051"/>
      <c r="AP980" s="1052"/>
      <c r="AQ980" s="1051"/>
      <c r="AR980" s="1051"/>
      <c r="AS980" s="1052"/>
      <c r="AT980" s="1051"/>
      <c r="AU980" s="1051"/>
      <c r="AV980" s="1052"/>
      <c r="AW980" s="1051"/>
      <c r="AX980" s="1051"/>
      <c r="AY980" s="1053"/>
      <c r="AZ980" s="1051"/>
      <c r="BA980" s="1051"/>
      <c r="BB980" s="1053"/>
      <c r="BC980" s="1051"/>
      <c r="BD980" s="1051"/>
      <c r="BE980" s="1053"/>
      <c r="BF980" s="1051"/>
      <c r="BG980" s="1051"/>
      <c r="BH980" s="1053"/>
      <c r="BI980" s="1052"/>
      <c r="BJ980" s="1052"/>
      <c r="BK980" s="1052"/>
      <c r="BL980" s="1052"/>
      <c r="BM980" s="1052"/>
      <c r="BN980" s="1054"/>
      <c r="BO980" s="1076">
        <f t="shared" si="26"/>
        <v>0</v>
      </c>
      <c r="BP980" s="1051"/>
      <c r="BQ980" s="1052"/>
      <c r="BR980" s="1054"/>
      <c r="BS980" s="1053"/>
      <c r="BT980" s="1051"/>
      <c r="BU980" s="1051"/>
      <c r="BV980" s="1051"/>
      <c r="BW980" s="1052"/>
      <c r="BX980" s="1052"/>
      <c r="BY980" s="1052"/>
      <c r="BZ980" s="1052"/>
      <c r="CA980" s="1052"/>
      <c r="CB980" s="1053"/>
      <c r="CC980" s="1053"/>
      <c r="CD980" s="1053"/>
      <c r="CE980" s="1053"/>
      <c r="CF980" s="1053"/>
      <c r="CG980" s="1053"/>
      <c r="CH980" s="1053"/>
      <c r="CI980" s="1123"/>
      <c r="CJ980" s="1123"/>
      <c r="CK980" s="1123"/>
      <c r="CL980" s="1123"/>
      <c r="CM980" s="1123"/>
      <c r="CN980" s="1123"/>
      <c r="CO980" s="1123"/>
      <c r="CP980" s="1123"/>
      <c r="CQ980" s="1123"/>
      <c r="CR980" s="1123"/>
      <c r="CS980" s="1123"/>
      <c r="CT980" s="1123"/>
      <c r="CU980" s="1123"/>
      <c r="CV980" s="1123"/>
      <c r="CW980" s="1123"/>
      <c r="CX980" s="1123"/>
      <c r="CY980" s="1123"/>
      <c r="CZ980" s="1114"/>
      <c r="DA980" s="1114"/>
      <c r="DB980" s="1114"/>
      <c r="DC980" s="1114"/>
      <c r="DD980" s="1114"/>
      <c r="DE980" s="1114"/>
      <c r="DF980" s="1114"/>
      <c r="DG980" s="1114"/>
      <c r="DH980" s="1114"/>
      <c r="DI980" s="1114"/>
      <c r="DJ980" s="1114"/>
      <c r="DK980" s="1114"/>
      <c r="DL980" s="1114"/>
      <c r="DM980" s="1114"/>
      <c r="DN980" s="1114"/>
      <c r="DO980" s="1114"/>
      <c r="DP980" s="1114"/>
      <c r="DQ980" s="1114"/>
      <c r="DR980" s="1114"/>
      <c r="DS980" s="1114"/>
      <c r="DT980" s="1114"/>
      <c r="DU980" s="1114"/>
      <c r="DV980" s="1115"/>
      <c r="DW980" s="1116"/>
      <c r="DX980" s="1116"/>
      <c r="DY980" s="1116"/>
      <c r="DZ980" s="1116"/>
      <c r="EA980" s="1116"/>
      <c r="EB980" s="1116"/>
      <c r="EC980" s="1116"/>
      <c r="ED980" s="1116"/>
      <c r="EE980" s="1116"/>
      <c r="EF980" s="1116"/>
      <c r="EG980" s="1116"/>
      <c r="EH980" s="1116"/>
      <c r="EI980" s="1116"/>
      <c r="EJ980" s="1116"/>
      <c r="EK980" s="1116"/>
      <c r="EL980" s="1116"/>
      <c r="EM980" s="1116"/>
      <c r="EN980" s="1116"/>
      <c r="EO980" s="1116"/>
      <c r="EP980" s="1116"/>
      <c r="EQ980" s="1116"/>
      <c r="ER980" s="1116"/>
      <c r="ES980" s="1116"/>
    </row>
    <row r="981" spans="1:149" ht="15" customHeight="1">
      <c r="A981" s="1185">
        <v>966</v>
      </c>
      <c r="B981" s="1041"/>
      <c r="C981" s="1050"/>
      <c r="D981" s="1050"/>
      <c r="E981" s="1050"/>
      <c r="F981" s="1049"/>
      <c r="G981" s="1457"/>
      <c r="H981" s="1049"/>
      <c r="I981" s="1049"/>
      <c r="J981" s="1050"/>
      <c r="K981" s="1050"/>
      <c r="L981" s="1043"/>
      <c r="M981" s="1051"/>
      <c r="N981" s="1051"/>
      <c r="O981" s="1052"/>
      <c r="P981" s="1051"/>
      <c r="Q981" s="1051"/>
      <c r="R981" s="1052"/>
      <c r="S981" s="1051"/>
      <c r="T981" s="1051"/>
      <c r="U981" s="1052"/>
      <c r="V981" s="1051"/>
      <c r="W981" s="1051"/>
      <c r="X981" s="1052"/>
      <c r="Y981" s="1053"/>
      <c r="Z981" s="1051"/>
      <c r="AA981" s="1051"/>
      <c r="AB981" s="1052"/>
      <c r="AC981" s="1051"/>
      <c r="AD981" s="1051"/>
      <c r="AE981" s="1052"/>
      <c r="AF981" s="1051"/>
      <c r="AG981" s="1051"/>
      <c r="AH981" s="1051"/>
      <c r="AI981" s="1051"/>
      <c r="AJ981" s="1052"/>
      <c r="AK981" s="1051"/>
      <c r="AL981" s="1051"/>
      <c r="AM981" s="1052"/>
      <c r="AN981" s="1051"/>
      <c r="AO981" s="1051"/>
      <c r="AP981" s="1052"/>
      <c r="AQ981" s="1051"/>
      <c r="AR981" s="1051"/>
      <c r="AS981" s="1052"/>
      <c r="AT981" s="1051"/>
      <c r="AU981" s="1051"/>
      <c r="AV981" s="1052"/>
      <c r="AW981" s="1051"/>
      <c r="AX981" s="1051"/>
      <c r="AY981" s="1053"/>
      <c r="AZ981" s="1051"/>
      <c r="BA981" s="1051"/>
      <c r="BB981" s="1053"/>
      <c r="BC981" s="1051"/>
      <c r="BD981" s="1051"/>
      <c r="BE981" s="1053"/>
      <c r="BF981" s="1051"/>
      <c r="BG981" s="1051"/>
      <c r="BH981" s="1053"/>
      <c r="BI981" s="1052"/>
      <c r="BJ981" s="1052"/>
      <c r="BK981" s="1052"/>
      <c r="BL981" s="1052"/>
      <c r="BM981" s="1052"/>
      <c r="BN981" s="1054"/>
      <c r="BO981" s="1076">
        <f t="shared" si="26"/>
        <v>0</v>
      </c>
      <c r="BP981" s="1051"/>
      <c r="BQ981" s="1052"/>
      <c r="BR981" s="1054"/>
      <c r="BS981" s="1053"/>
      <c r="BT981" s="1051"/>
      <c r="BU981" s="1051"/>
      <c r="BV981" s="1051"/>
      <c r="BW981" s="1052"/>
      <c r="BX981" s="1052"/>
      <c r="BY981" s="1052"/>
      <c r="BZ981" s="1052"/>
      <c r="CA981" s="1052"/>
      <c r="CB981" s="1053"/>
      <c r="CC981" s="1053"/>
      <c r="CD981" s="1053"/>
      <c r="CE981" s="1053"/>
      <c r="CF981" s="1053"/>
      <c r="CG981" s="1053"/>
      <c r="CH981" s="1053"/>
      <c r="CI981" s="1123"/>
      <c r="CJ981" s="1123"/>
      <c r="CK981" s="1123"/>
      <c r="CL981" s="1123"/>
      <c r="CM981" s="1123"/>
      <c r="CN981" s="1123"/>
      <c r="CO981" s="1123"/>
      <c r="CP981" s="1123"/>
      <c r="CQ981" s="1123"/>
      <c r="CR981" s="1123"/>
      <c r="CS981" s="1123"/>
      <c r="CT981" s="1123"/>
      <c r="CU981" s="1123"/>
      <c r="CV981" s="1123"/>
      <c r="CW981" s="1123"/>
      <c r="CX981" s="1123"/>
      <c r="CY981" s="1123"/>
      <c r="CZ981" s="1114"/>
      <c r="DA981" s="1114"/>
      <c r="DB981" s="1114"/>
      <c r="DC981" s="1114"/>
      <c r="DD981" s="1114"/>
      <c r="DE981" s="1114"/>
      <c r="DF981" s="1114"/>
      <c r="DG981" s="1114"/>
      <c r="DH981" s="1114"/>
      <c r="DI981" s="1114"/>
      <c r="DJ981" s="1114"/>
      <c r="DK981" s="1114"/>
      <c r="DL981" s="1114"/>
      <c r="DM981" s="1114"/>
      <c r="DN981" s="1114"/>
      <c r="DO981" s="1114"/>
      <c r="DP981" s="1114"/>
      <c r="DQ981" s="1114"/>
      <c r="DR981" s="1114"/>
      <c r="DS981" s="1114"/>
      <c r="DT981" s="1114"/>
      <c r="DU981" s="1114"/>
      <c r="DV981" s="1115"/>
      <c r="DW981" s="1116"/>
      <c r="DX981" s="1116"/>
      <c r="DY981" s="1116"/>
      <c r="DZ981" s="1116"/>
      <c r="EA981" s="1116"/>
      <c r="EB981" s="1116"/>
      <c r="EC981" s="1116"/>
      <c r="ED981" s="1116"/>
      <c r="EE981" s="1116"/>
      <c r="EF981" s="1116"/>
      <c r="EG981" s="1116"/>
      <c r="EH981" s="1116"/>
      <c r="EI981" s="1116"/>
      <c r="EJ981" s="1116"/>
      <c r="EK981" s="1116"/>
      <c r="EL981" s="1116"/>
      <c r="EM981" s="1116"/>
      <c r="EN981" s="1116"/>
      <c r="EO981" s="1116"/>
      <c r="EP981" s="1116"/>
      <c r="EQ981" s="1116"/>
      <c r="ER981" s="1116"/>
      <c r="ES981" s="1116"/>
    </row>
    <row r="982" spans="1:149" ht="15" customHeight="1">
      <c r="A982" s="1185">
        <v>967</v>
      </c>
      <c r="B982" s="1041"/>
      <c r="C982" s="1050"/>
      <c r="D982" s="1050"/>
      <c r="E982" s="1050"/>
      <c r="F982" s="1049"/>
      <c r="G982" s="1457"/>
      <c r="H982" s="1049"/>
      <c r="I982" s="1049"/>
      <c r="J982" s="1050"/>
      <c r="K982" s="1050"/>
      <c r="L982" s="1043"/>
      <c r="M982" s="1051"/>
      <c r="N982" s="1051"/>
      <c r="O982" s="1052"/>
      <c r="P982" s="1051"/>
      <c r="Q982" s="1051"/>
      <c r="R982" s="1052"/>
      <c r="S982" s="1051"/>
      <c r="T982" s="1051"/>
      <c r="U982" s="1052"/>
      <c r="V982" s="1051"/>
      <c r="W982" s="1051"/>
      <c r="X982" s="1052"/>
      <c r="Y982" s="1053"/>
      <c r="Z982" s="1051"/>
      <c r="AA982" s="1051"/>
      <c r="AB982" s="1052"/>
      <c r="AC982" s="1051"/>
      <c r="AD982" s="1051"/>
      <c r="AE982" s="1052"/>
      <c r="AF982" s="1051"/>
      <c r="AG982" s="1051"/>
      <c r="AH982" s="1051"/>
      <c r="AI982" s="1051"/>
      <c r="AJ982" s="1052"/>
      <c r="AK982" s="1051"/>
      <c r="AL982" s="1051"/>
      <c r="AM982" s="1052"/>
      <c r="AN982" s="1051"/>
      <c r="AO982" s="1051"/>
      <c r="AP982" s="1052"/>
      <c r="AQ982" s="1051"/>
      <c r="AR982" s="1051"/>
      <c r="AS982" s="1052"/>
      <c r="AT982" s="1051"/>
      <c r="AU982" s="1051"/>
      <c r="AV982" s="1052"/>
      <c r="AW982" s="1051"/>
      <c r="AX982" s="1051"/>
      <c r="AY982" s="1053"/>
      <c r="AZ982" s="1051"/>
      <c r="BA982" s="1051"/>
      <c r="BB982" s="1053"/>
      <c r="BC982" s="1051"/>
      <c r="BD982" s="1051"/>
      <c r="BE982" s="1053"/>
      <c r="BF982" s="1051"/>
      <c r="BG982" s="1051"/>
      <c r="BH982" s="1053"/>
      <c r="BI982" s="1052"/>
      <c r="BJ982" s="1052"/>
      <c r="BK982" s="1052"/>
      <c r="BL982" s="1052"/>
      <c r="BM982" s="1052"/>
      <c r="BN982" s="1054"/>
      <c r="BO982" s="1076">
        <f t="shared" si="26"/>
        <v>0</v>
      </c>
      <c r="BP982" s="1051"/>
      <c r="BQ982" s="1052"/>
      <c r="BR982" s="1054"/>
      <c r="BS982" s="1053"/>
      <c r="BT982" s="1051"/>
      <c r="BU982" s="1051"/>
      <c r="BV982" s="1051"/>
      <c r="BW982" s="1052"/>
      <c r="BX982" s="1052"/>
      <c r="BY982" s="1052"/>
      <c r="BZ982" s="1052"/>
      <c r="CA982" s="1052"/>
      <c r="CB982" s="1053"/>
      <c r="CC982" s="1053"/>
      <c r="CD982" s="1053"/>
      <c r="CE982" s="1053"/>
      <c r="CF982" s="1053"/>
      <c r="CG982" s="1053"/>
      <c r="CH982" s="1053"/>
      <c r="CI982" s="1123"/>
      <c r="CJ982" s="1123"/>
      <c r="CK982" s="1123"/>
      <c r="CL982" s="1123"/>
      <c r="CM982" s="1123"/>
      <c r="CN982" s="1123"/>
      <c r="CO982" s="1123"/>
      <c r="CP982" s="1123"/>
      <c r="CQ982" s="1123"/>
      <c r="CR982" s="1123"/>
      <c r="CS982" s="1123"/>
      <c r="CT982" s="1123"/>
      <c r="CU982" s="1123"/>
      <c r="CV982" s="1123"/>
      <c r="CW982" s="1123"/>
      <c r="CX982" s="1123"/>
      <c r="CY982" s="1123"/>
      <c r="CZ982" s="1114"/>
      <c r="DA982" s="1114"/>
      <c r="DB982" s="1114"/>
      <c r="DC982" s="1114"/>
      <c r="DD982" s="1114"/>
      <c r="DE982" s="1114"/>
      <c r="DF982" s="1114"/>
      <c r="DG982" s="1114"/>
      <c r="DH982" s="1114"/>
      <c r="DI982" s="1114"/>
      <c r="DJ982" s="1114"/>
      <c r="DK982" s="1114"/>
      <c r="DL982" s="1114"/>
      <c r="DM982" s="1114"/>
      <c r="DN982" s="1114"/>
      <c r="DO982" s="1114"/>
      <c r="DP982" s="1114"/>
      <c r="DQ982" s="1114"/>
      <c r="DR982" s="1114"/>
      <c r="DS982" s="1114"/>
      <c r="DT982" s="1114"/>
      <c r="DU982" s="1114"/>
      <c r="DV982" s="1115"/>
      <c r="DW982" s="1116"/>
      <c r="DX982" s="1116"/>
      <c r="DY982" s="1116"/>
      <c r="DZ982" s="1116"/>
      <c r="EA982" s="1116"/>
      <c r="EB982" s="1116"/>
      <c r="EC982" s="1116"/>
      <c r="ED982" s="1116"/>
      <c r="EE982" s="1116"/>
      <c r="EF982" s="1116"/>
      <c r="EG982" s="1116"/>
      <c r="EH982" s="1116"/>
      <c r="EI982" s="1116"/>
      <c r="EJ982" s="1116"/>
      <c r="EK982" s="1116"/>
      <c r="EL982" s="1116"/>
      <c r="EM982" s="1116"/>
      <c r="EN982" s="1116"/>
      <c r="EO982" s="1116"/>
      <c r="EP982" s="1116"/>
      <c r="EQ982" s="1116"/>
      <c r="ER982" s="1116"/>
      <c r="ES982" s="1116"/>
    </row>
    <row r="983" spans="1:149" ht="15" customHeight="1">
      <c r="A983" s="1185">
        <v>968</v>
      </c>
      <c r="B983" s="1041"/>
      <c r="C983" s="1050"/>
      <c r="D983" s="1050"/>
      <c r="E983" s="1050"/>
      <c r="F983" s="1049"/>
      <c r="G983" s="1457"/>
      <c r="H983" s="1049"/>
      <c r="I983" s="1049"/>
      <c r="J983" s="1050"/>
      <c r="K983" s="1050"/>
      <c r="L983" s="1043"/>
      <c r="M983" s="1051"/>
      <c r="N983" s="1051"/>
      <c r="O983" s="1052"/>
      <c r="P983" s="1051"/>
      <c r="Q983" s="1051"/>
      <c r="R983" s="1052"/>
      <c r="S983" s="1051"/>
      <c r="T983" s="1051"/>
      <c r="U983" s="1052"/>
      <c r="V983" s="1051"/>
      <c r="W983" s="1051"/>
      <c r="X983" s="1052"/>
      <c r="Y983" s="1053"/>
      <c r="Z983" s="1051"/>
      <c r="AA983" s="1051"/>
      <c r="AB983" s="1052"/>
      <c r="AC983" s="1051"/>
      <c r="AD983" s="1051"/>
      <c r="AE983" s="1052"/>
      <c r="AF983" s="1051"/>
      <c r="AG983" s="1051"/>
      <c r="AH983" s="1051"/>
      <c r="AI983" s="1051"/>
      <c r="AJ983" s="1052"/>
      <c r="AK983" s="1051"/>
      <c r="AL983" s="1051"/>
      <c r="AM983" s="1052"/>
      <c r="AN983" s="1051"/>
      <c r="AO983" s="1051"/>
      <c r="AP983" s="1052"/>
      <c r="AQ983" s="1051"/>
      <c r="AR983" s="1051"/>
      <c r="AS983" s="1052"/>
      <c r="AT983" s="1051"/>
      <c r="AU983" s="1051"/>
      <c r="AV983" s="1052"/>
      <c r="AW983" s="1051"/>
      <c r="AX983" s="1051"/>
      <c r="AY983" s="1053"/>
      <c r="AZ983" s="1051"/>
      <c r="BA983" s="1051"/>
      <c r="BB983" s="1053"/>
      <c r="BC983" s="1051"/>
      <c r="BD983" s="1051"/>
      <c r="BE983" s="1053"/>
      <c r="BF983" s="1051"/>
      <c r="BG983" s="1051"/>
      <c r="BH983" s="1053"/>
      <c r="BI983" s="1052"/>
      <c r="BJ983" s="1052"/>
      <c r="BK983" s="1052"/>
      <c r="BL983" s="1052"/>
      <c r="BM983" s="1052"/>
      <c r="BN983" s="1054"/>
      <c r="BO983" s="1076">
        <f t="shared" si="26"/>
        <v>0</v>
      </c>
      <c r="BP983" s="1051"/>
      <c r="BQ983" s="1052"/>
      <c r="BR983" s="1054"/>
      <c r="BS983" s="1053"/>
      <c r="BT983" s="1051"/>
      <c r="BU983" s="1051"/>
      <c r="BV983" s="1051"/>
      <c r="BW983" s="1052"/>
      <c r="BX983" s="1052"/>
      <c r="BY983" s="1052"/>
      <c r="BZ983" s="1052"/>
      <c r="CA983" s="1052"/>
      <c r="CB983" s="1053"/>
      <c r="CC983" s="1053"/>
      <c r="CD983" s="1053"/>
      <c r="CE983" s="1053"/>
      <c r="CF983" s="1053"/>
      <c r="CG983" s="1053"/>
      <c r="CH983" s="1053"/>
      <c r="CI983" s="1123"/>
      <c r="CJ983" s="1123"/>
      <c r="CK983" s="1123"/>
      <c r="CL983" s="1123"/>
      <c r="CM983" s="1123"/>
      <c r="CN983" s="1123"/>
      <c r="CO983" s="1123"/>
      <c r="CP983" s="1123"/>
      <c r="CQ983" s="1123"/>
      <c r="CR983" s="1123"/>
      <c r="CS983" s="1123"/>
      <c r="CT983" s="1123"/>
      <c r="CU983" s="1123"/>
      <c r="CV983" s="1123"/>
      <c r="CW983" s="1123"/>
      <c r="CX983" s="1123"/>
      <c r="CY983" s="1123"/>
      <c r="CZ983" s="1114"/>
      <c r="DA983" s="1114"/>
      <c r="DB983" s="1114"/>
      <c r="DC983" s="1114"/>
      <c r="DD983" s="1114"/>
      <c r="DE983" s="1114"/>
      <c r="DF983" s="1114"/>
      <c r="DG983" s="1114"/>
      <c r="DH983" s="1114"/>
      <c r="DI983" s="1114"/>
      <c r="DJ983" s="1114"/>
      <c r="DK983" s="1114"/>
      <c r="DL983" s="1114"/>
      <c r="DM983" s="1114"/>
      <c r="DN983" s="1114"/>
      <c r="DO983" s="1114"/>
      <c r="DP983" s="1114"/>
      <c r="DQ983" s="1114"/>
      <c r="DR983" s="1114"/>
      <c r="DS983" s="1114"/>
      <c r="DT983" s="1114"/>
      <c r="DU983" s="1114"/>
      <c r="DV983" s="1115"/>
      <c r="DW983" s="1116"/>
      <c r="DX983" s="1116"/>
      <c r="DY983" s="1116"/>
      <c r="DZ983" s="1116"/>
      <c r="EA983" s="1116"/>
      <c r="EB983" s="1116"/>
      <c r="EC983" s="1116"/>
      <c r="ED983" s="1116"/>
      <c r="EE983" s="1116"/>
      <c r="EF983" s="1116"/>
      <c r="EG983" s="1116"/>
      <c r="EH983" s="1116"/>
      <c r="EI983" s="1116"/>
      <c r="EJ983" s="1116"/>
      <c r="EK983" s="1116"/>
      <c r="EL983" s="1116"/>
      <c r="EM983" s="1116"/>
      <c r="EN983" s="1116"/>
      <c r="EO983" s="1116"/>
      <c r="EP983" s="1116"/>
      <c r="EQ983" s="1116"/>
      <c r="ER983" s="1116"/>
      <c r="ES983" s="1116"/>
    </row>
    <row r="984" spans="1:149" ht="15" customHeight="1">
      <c r="A984" s="1185">
        <v>969</v>
      </c>
      <c r="B984" s="1041"/>
      <c r="C984" s="1050"/>
      <c r="D984" s="1050"/>
      <c r="E984" s="1050"/>
      <c r="F984" s="1049"/>
      <c r="G984" s="1457"/>
      <c r="H984" s="1049"/>
      <c r="I984" s="1049"/>
      <c r="J984" s="1050"/>
      <c r="K984" s="1050"/>
      <c r="L984" s="1043"/>
      <c r="M984" s="1051"/>
      <c r="N984" s="1051"/>
      <c r="O984" s="1052"/>
      <c r="P984" s="1051"/>
      <c r="Q984" s="1051"/>
      <c r="R984" s="1052"/>
      <c r="S984" s="1051"/>
      <c r="T984" s="1051"/>
      <c r="U984" s="1052"/>
      <c r="V984" s="1051"/>
      <c r="W984" s="1051"/>
      <c r="X984" s="1052"/>
      <c r="Y984" s="1053"/>
      <c r="Z984" s="1051"/>
      <c r="AA984" s="1051"/>
      <c r="AB984" s="1052"/>
      <c r="AC984" s="1051"/>
      <c r="AD984" s="1051"/>
      <c r="AE984" s="1052"/>
      <c r="AF984" s="1051"/>
      <c r="AG984" s="1051"/>
      <c r="AH984" s="1051"/>
      <c r="AI984" s="1051"/>
      <c r="AJ984" s="1052"/>
      <c r="AK984" s="1051"/>
      <c r="AL984" s="1051"/>
      <c r="AM984" s="1052"/>
      <c r="AN984" s="1051"/>
      <c r="AO984" s="1051"/>
      <c r="AP984" s="1052"/>
      <c r="AQ984" s="1051"/>
      <c r="AR984" s="1051"/>
      <c r="AS984" s="1052"/>
      <c r="AT984" s="1051"/>
      <c r="AU984" s="1051"/>
      <c r="AV984" s="1052"/>
      <c r="AW984" s="1051"/>
      <c r="AX984" s="1051"/>
      <c r="AY984" s="1053"/>
      <c r="AZ984" s="1051"/>
      <c r="BA984" s="1051"/>
      <c r="BB984" s="1053"/>
      <c r="BC984" s="1051"/>
      <c r="BD984" s="1051"/>
      <c r="BE984" s="1053"/>
      <c r="BF984" s="1051"/>
      <c r="BG984" s="1051"/>
      <c r="BH984" s="1053"/>
      <c r="BI984" s="1052"/>
      <c r="BJ984" s="1052"/>
      <c r="BK984" s="1052"/>
      <c r="BL984" s="1052"/>
      <c r="BM984" s="1052"/>
      <c r="BN984" s="1054"/>
      <c r="BO984" s="1076">
        <f t="shared" si="26"/>
        <v>0</v>
      </c>
      <c r="BP984" s="1051"/>
      <c r="BQ984" s="1052"/>
      <c r="BR984" s="1054"/>
      <c r="BS984" s="1053"/>
      <c r="BT984" s="1051"/>
      <c r="BU984" s="1051"/>
      <c r="BV984" s="1051"/>
      <c r="BW984" s="1052"/>
      <c r="BX984" s="1052"/>
      <c r="BY984" s="1052"/>
      <c r="BZ984" s="1052"/>
      <c r="CA984" s="1052"/>
      <c r="CB984" s="1053"/>
      <c r="CC984" s="1053"/>
      <c r="CD984" s="1053"/>
      <c r="CE984" s="1053"/>
      <c r="CF984" s="1053"/>
      <c r="CG984" s="1053"/>
      <c r="CH984" s="1053"/>
      <c r="CI984" s="1123"/>
      <c r="CJ984" s="1123"/>
      <c r="CK984" s="1123"/>
      <c r="CL984" s="1123"/>
      <c r="CM984" s="1123"/>
      <c r="CN984" s="1123"/>
      <c r="CO984" s="1123"/>
      <c r="CP984" s="1123"/>
      <c r="CQ984" s="1123"/>
      <c r="CR984" s="1123"/>
      <c r="CS984" s="1123"/>
      <c r="CT984" s="1123"/>
      <c r="CU984" s="1123"/>
      <c r="CV984" s="1123"/>
      <c r="CW984" s="1123"/>
      <c r="CX984" s="1123"/>
      <c r="CY984" s="1123"/>
      <c r="CZ984" s="1114"/>
      <c r="DA984" s="1114"/>
      <c r="DB984" s="1114"/>
      <c r="DC984" s="1114"/>
      <c r="DD984" s="1114"/>
      <c r="DE984" s="1114"/>
      <c r="DF984" s="1114"/>
      <c r="DG984" s="1114"/>
      <c r="DH984" s="1114"/>
      <c r="DI984" s="1114"/>
      <c r="DJ984" s="1114"/>
      <c r="DK984" s="1114"/>
      <c r="DL984" s="1114"/>
      <c r="DM984" s="1114"/>
      <c r="DN984" s="1114"/>
      <c r="DO984" s="1114"/>
      <c r="DP984" s="1114"/>
      <c r="DQ984" s="1114"/>
      <c r="DR984" s="1114"/>
      <c r="DS984" s="1114"/>
      <c r="DT984" s="1114"/>
      <c r="DU984" s="1114"/>
      <c r="DV984" s="1115"/>
      <c r="DW984" s="1116"/>
      <c r="DX984" s="1116"/>
      <c r="DY984" s="1116"/>
      <c r="DZ984" s="1116"/>
      <c r="EA984" s="1116"/>
      <c r="EB984" s="1116"/>
      <c r="EC984" s="1116"/>
      <c r="ED984" s="1116"/>
      <c r="EE984" s="1116"/>
      <c r="EF984" s="1116"/>
      <c r="EG984" s="1116"/>
      <c r="EH984" s="1116"/>
      <c r="EI984" s="1116"/>
      <c r="EJ984" s="1116"/>
      <c r="EK984" s="1116"/>
      <c r="EL984" s="1116"/>
      <c r="EM984" s="1116"/>
      <c r="EN984" s="1116"/>
      <c r="EO984" s="1116"/>
      <c r="EP984" s="1116"/>
      <c r="EQ984" s="1116"/>
      <c r="ER984" s="1116"/>
      <c r="ES984" s="1116"/>
    </row>
    <row r="985" spans="1:149" ht="15" customHeight="1">
      <c r="A985" s="1185">
        <v>970</v>
      </c>
      <c r="B985" s="1041"/>
      <c r="C985" s="1050"/>
      <c r="D985" s="1050"/>
      <c r="E985" s="1050"/>
      <c r="F985" s="1049"/>
      <c r="G985" s="1457"/>
      <c r="H985" s="1049"/>
      <c r="I985" s="1049"/>
      <c r="J985" s="1050"/>
      <c r="K985" s="1050"/>
      <c r="L985" s="1043"/>
      <c r="M985" s="1051"/>
      <c r="N985" s="1051"/>
      <c r="O985" s="1052"/>
      <c r="P985" s="1051"/>
      <c r="Q985" s="1051"/>
      <c r="R985" s="1052"/>
      <c r="S985" s="1051"/>
      <c r="T985" s="1051"/>
      <c r="U985" s="1052"/>
      <c r="V985" s="1051"/>
      <c r="W985" s="1051"/>
      <c r="X985" s="1052"/>
      <c r="Y985" s="1053"/>
      <c r="Z985" s="1051"/>
      <c r="AA985" s="1051"/>
      <c r="AB985" s="1052"/>
      <c r="AC985" s="1051"/>
      <c r="AD985" s="1051"/>
      <c r="AE985" s="1052"/>
      <c r="AF985" s="1051"/>
      <c r="AG985" s="1051"/>
      <c r="AH985" s="1051"/>
      <c r="AI985" s="1051"/>
      <c r="AJ985" s="1052"/>
      <c r="AK985" s="1051"/>
      <c r="AL985" s="1051"/>
      <c r="AM985" s="1052"/>
      <c r="AN985" s="1051"/>
      <c r="AO985" s="1051"/>
      <c r="AP985" s="1052"/>
      <c r="AQ985" s="1051"/>
      <c r="AR985" s="1051"/>
      <c r="AS985" s="1052"/>
      <c r="AT985" s="1051"/>
      <c r="AU985" s="1051"/>
      <c r="AV985" s="1052"/>
      <c r="AW985" s="1051"/>
      <c r="AX985" s="1051"/>
      <c r="AY985" s="1053"/>
      <c r="AZ985" s="1051"/>
      <c r="BA985" s="1051"/>
      <c r="BB985" s="1053"/>
      <c r="BC985" s="1051"/>
      <c r="BD985" s="1051"/>
      <c r="BE985" s="1053"/>
      <c r="BF985" s="1051"/>
      <c r="BG985" s="1051"/>
      <c r="BH985" s="1053"/>
      <c r="BI985" s="1052"/>
      <c r="BJ985" s="1052"/>
      <c r="BK985" s="1052"/>
      <c r="BL985" s="1052"/>
      <c r="BM985" s="1052"/>
      <c r="BN985" s="1054"/>
      <c r="BO985" s="1076">
        <f t="shared" si="26"/>
        <v>0</v>
      </c>
      <c r="BP985" s="1051"/>
      <c r="BQ985" s="1052"/>
      <c r="BR985" s="1054"/>
      <c r="BS985" s="1053"/>
      <c r="BT985" s="1051"/>
      <c r="BU985" s="1051"/>
      <c r="BV985" s="1051"/>
      <c r="BW985" s="1052"/>
      <c r="BX985" s="1052"/>
      <c r="BY985" s="1052"/>
      <c r="BZ985" s="1052"/>
      <c r="CA985" s="1052"/>
      <c r="CB985" s="1053"/>
      <c r="CC985" s="1053"/>
      <c r="CD985" s="1053"/>
      <c r="CE985" s="1053"/>
      <c r="CF985" s="1053"/>
      <c r="CG985" s="1053"/>
      <c r="CH985" s="1053"/>
      <c r="CI985" s="1123"/>
      <c r="CJ985" s="1123"/>
      <c r="CK985" s="1123"/>
      <c r="CL985" s="1123"/>
      <c r="CM985" s="1123"/>
      <c r="CN985" s="1123"/>
      <c r="CO985" s="1123"/>
      <c r="CP985" s="1123"/>
      <c r="CQ985" s="1123"/>
      <c r="CR985" s="1123"/>
      <c r="CS985" s="1123"/>
      <c r="CT985" s="1123"/>
      <c r="CU985" s="1123"/>
      <c r="CV985" s="1123"/>
      <c r="CW985" s="1123"/>
      <c r="CX985" s="1123"/>
      <c r="CY985" s="1123"/>
      <c r="CZ985" s="1114"/>
      <c r="DA985" s="1114"/>
      <c r="DB985" s="1114"/>
      <c r="DC985" s="1114"/>
      <c r="DD985" s="1114"/>
      <c r="DE985" s="1114"/>
      <c r="DF985" s="1114"/>
      <c r="DG985" s="1114"/>
      <c r="DH985" s="1114"/>
      <c r="DI985" s="1114"/>
      <c r="DJ985" s="1114"/>
      <c r="DK985" s="1114"/>
      <c r="DL985" s="1114"/>
      <c r="DM985" s="1114"/>
      <c r="DN985" s="1114"/>
      <c r="DO985" s="1114"/>
      <c r="DP985" s="1114"/>
      <c r="DQ985" s="1114"/>
      <c r="DR985" s="1114"/>
      <c r="DS985" s="1114"/>
      <c r="DT985" s="1114"/>
      <c r="DU985" s="1114"/>
      <c r="DV985" s="1115"/>
      <c r="DW985" s="1116"/>
      <c r="DX985" s="1116"/>
      <c r="DY985" s="1116"/>
      <c r="DZ985" s="1116"/>
      <c r="EA985" s="1116"/>
      <c r="EB985" s="1116"/>
      <c r="EC985" s="1116"/>
      <c r="ED985" s="1116"/>
      <c r="EE985" s="1116"/>
      <c r="EF985" s="1116"/>
      <c r="EG985" s="1116"/>
      <c r="EH985" s="1116"/>
      <c r="EI985" s="1116"/>
      <c r="EJ985" s="1116"/>
      <c r="EK985" s="1116"/>
      <c r="EL985" s="1116"/>
      <c r="EM985" s="1116"/>
      <c r="EN985" s="1116"/>
      <c r="EO985" s="1116"/>
      <c r="EP985" s="1116"/>
      <c r="EQ985" s="1116"/>
      <c r="ER985" s="1116"/>
      <c r="ES985" s="1116"/>
    </row>
    <row r="986" spans="1:149" ht="15" customHeight="1">
      <c r="A986" s="1185">
        <v>971</v>
      </c>
      <c r="B986" s="1041"/>
      <c r="C986" s="1050"/>
      <c r="D986" s="1050"/>
      <c r="E986" s="1050"/>
      <c r="F986" s="1049"/>
      <c r="G986" s="1457"/>
      <c r="H986" s="1049"/>
      <c r="I986" s="1049"/>
      <c r="J986" s="1050"/>
      <c r="K986" s="1050"/>
      <c r="L986" s="1043"/>
      <c r="M986" s="1051"/>
      <c r="N986" s="1051"/>
      <c r="O986" s="1052"/>
      <c r="P986" s="1051"/>
      <c r="Q986" s="1051"/>
      <c r="R986" s="1052"/>
      <c r="S986" s="1051"/>
      <c r="T986" s="1051"/>
      <c r="U986" s="1052"/>
      <c r="V986" s="1051"/>
      <c r="W986" s="1051"/>
      <c r="X986" s="1052"/>
      <c r="Y986" s="1053"/>
      <c r="Z986" s="1051"/>
      <c r="AA986" s="1051"/>
      <c r="AB986" s="1052"/>
      <c r="AC986" s="1051"/>
      <c r="AD986" s="1051"/>
      <c r="AE986" s="1052"/>
      <c r="AF986" s="1051"/>
      <c r="AG986" s="1051"/>
      <c r="AH986" s="1051"/>
      <c r="AI986" s="1051"/>
      <c r="AJ986" s="1052"/>
      <c r="AK986" s="1051"/>
      <c r="AL986" s="1051"/>
      <c r="AM986" s="1052"/>
      <c r="AN986" s="1051"/>
      <c r="AO986" s="1051"/>
      <c r="AP986" s="1052"/>
      <c r="AQ986" s="1051"/>
      <c r="AR986" s="1051"/>
      <c r="AS986" s="1052"/>
      <c r="AT986" s="1051"/>
      <c r="AU986" s="1051"/>
      <c r="AV986" s="1052"/>
      <c r="AW986" s="1051"/>
      <c r="AX986" s="1051"/>
      <c r="AY986" s="1053"/>
      <c r="AZ986" s="1051"/>
      <c r="BA986" s="1051"/>
      <c r="BB986" s="1053"/>
      <c r="BC986" s="1051"/>
      <c r="BD986" s="1051"/>
      <c r="BE986" s="1053"/>
      <c r="BF986" s="1051"/>
      <c r="BG986" s="1051"/>
      <c r="BH986" s="1053"/>
      <c r="BI986" s="1052"/>
      <c r="BJ986" s="1052"/>
      <c r="BK986" s="1052"/>
      <c r="BL986" s="1052"/>
      <c r="BM986" s="1052"/>
      <c r="BN986" s="1054"/>
      <c r="BO986" s="1076">
        <f t="shared" si="26"/>
        <v>0</v>
      </c>
      <c r="BP986" s="1051"/>
      <c r="BQ986" s="1052"/>
      <c r="BR986" s="1054"/>
      <c r="BS986" s="1053"/>
      <c r="BT986" s="1051"/>
      <c r="BU986" s="1051"/>
      <c r="BV986" s="1051"/>
      <c r="BW986" s="1052"/>
      <c r="BX986" s="1052"/>
      <c r="BY986" s="1052"/>
      <c r="BZ986" s="1052"/>
      <c r="CA986" s="1052"/>
      <c r="CB986" s="1053"/>
      <c r="CC986" s="1053"/>
      <c r="CD986" s="1053"/>
      <c r="CE986" s="1053"/>
      <c r="CF986" s="1053"/>
      <c r="CG986" s="1053"/>
      <c r="CH986" s="1053"/>
      <c r="CI986" s="1123"/>
      <c r="CJ986" s="1123"/>
      <c r="CK986" s="1123"/>
      <c r="CL986" s="1123"/>
      <c r="CM986" s="1123"/>
      <c r="CN986" s="1123"/>
      <c r="CO986" s="1123"/>
      <c r="CP986" s="1123"/>
      <c r="CQ986" s="1123"/>
      <c r="CR986" s="1123"/>
      <c r="CS986" s="1123"/>
      <c r="CT986" s="1123"/>
      <c r="CU986" s="1123"/>
      <c r="CV986" s="1123"/>
      <c r="CW986" s="1123"/>
      <c r="CX986" s="1123"/>
      <c r="CY986" s="1123"/>
      <c r="CZ986" s="1114"/>
      <c r="DA986" s="1114"/>
      <c r="DB986" s="1114"/>
      <c r="DC986" s="1114"/>
      <c r="DD986" s="1114"/>
      <c r="DE986" s="1114"/>
      <c r="DF986" s="1114"/>
      <c r="DG986" s="1114"/>
      <c r="DH986" s="1114"/>
      <c r="DI986" s="1114"/>
      <c r="DJ986" s="1114"/>
      <c r="DK986" s="1114"/>
      <c r="DL986" s="1114"/>
      <c r="DM986" s="1114"/>
      <c r="DN986" s="1114"/>
      <c r="DO986" s="1114"/>
      <c r="DP986" s="1114"/>
      <c r="DQ986" s="1114"/>
      <c r="DR986" s="1114"/>
      <c r="DS986" s="1114"/>
      <c r="DT986" s="1114"/>
      <c r="DU986" s="1114"/>
      <c r="DV986" s="1115"/>
      <c r="DW986" s="1116"/>
      <c r="DX986" s="1116"/>
      <c r="DY986" s="1116"/>
      <c r="DZ986" s="1116"/>
      <c r="EA986" s="1116"/>
      <c r="EB986" s="1116"/>
      <c r="EC986" s="1116"/>
      <c r="ED986" s="1116"/>
      <c r="EE986" s="1116"/>
      <c r="EF986" s="1116"/>
      <c r="EG986" s="1116"/>
      <c r="EH986" s="1116"/>
      <c r="EI986" s="1116"/>
      <c r="EJ986" s="1116"/>
      <c r="EK986" s="1116"/>
      <c r="EL986" s="1116"/>
      <c r="EM986" s="1116"/>
      <c r="EN986" s="1116"/>
      <c r="EO986" s="1116"/>
      <c r="EP986" s="1116"/>
      <c r="EQ986" s="1116"/>
      <c r="ER986" s="1116"/>
      <c r="ES986" s="1116"/>
    </row>
    <row r="987" spans="1:149" ht="15" customHeight="1">
      <c r="A987" s="1185">
        <v>972</v>
      </c>
      <c r="B987" s="1041"/>
      <c r="C987" s="1050"/>
      <c r="D987" s="1050"/>
      <c r="E987" s="1050"/>
      <c r="F987" s="1049"/>
      <c r="G987" s="1457"/>
      <c r="H987" s="1049"/>
      <c r="I987" s="1049"/>
      <c r="J987" s="1050"/>
      <c r="K987" s="1050"/>
      <c r="L987" s="1043"/>
      <c r="M987" s="1051"/>
      <c r="N987" s="1051"/>
      <c r="O987" s="1052"/>
      <c r="P987" s="1051"/>
      <c r="Q987" s="1051"/>
      <c r="R987" s="1052"/>
      <c r="S987" s="1051"/>
      <c r="T987" s="1051"/>
      <c r="U987" s="1052"/>
      <c r="V987" s="1051"/>
      <c r="W987" s="1051"/>
      <c r="X987" s="1052"/>
      <c r="Y987" s="1053"/>
      <c r="Z987" s="1051"/>
      <c r="AA987" s="1051"/>
      <c r="AB987" s="1052"/>
      <c r="AC987" s="1051"/>
      <c r="AD987" s="1051"/>
      <c r="AE987" s="1052"/>
      <c r="AF987" s="1051"/>
      <c r="AG987" s="1051"/>
      <c r="AH987" s="1051"/>
      <c r="AI987" s="1051"/>
      <c r="AJ987" s="1052"/>
      <c r="AK987" s="1051"/>
      <c r="AL987" s="1051"/>
      <c r="AM987" s="1052"/>
      <c r="AN987" s="1051"/>
      <c r="AO987" s="1051"/>
      <c r="AP987" s="1052"/>
      <c r="AQ987" s="1051"/>
      <c r="AR987" s="1051"/>
      <c r="AS987" s="1052"/>
      <c r="AT987" s="1051"/>
      <c r="AU987" s="1051"/>
      <c r="AV987" s="1052"/>
      <c r="AW987" s="1051"/>
      <c r="AX987" s="1051"/>
      <c r="AY987" s="1053"/>
      <c r="AZ987" s="1051"/>
      <c r="BA987" s="1051"/>
      <c r="BB987" s="1053"/>
      <c r="BC987" s="1051"/>
      <c r="BD987" s="1051"/>
      <c r="BE987" s="1053"/>
      <c r="BF987" s="1051"/>
      <c r="BG987" s="1051"/>
      <c r="BH987" s="1053"/>
      <c r="BI987" s="1052"/>
      <c r="BJ987" s="1052"/>
      <c r="BK987" s="1052"/>
      <c r="BL987" s="1052"/>
      <c r="BM987" s="1052"/>
      <c r="BN987" s="1054"/>
      <c r="BO987" s="1076">
        <f t="shared" si="26"/>
        <v>0</v>
      </c>
      <c r="BP987" s="1051"/>
      <c r="BQ987" s="1052"/>
      <c r="BR987" s="1054"/>
      <c r="BS987" s="1053"/>
      <c r="BT987" s="1051"/>
      <c r="BU987" s="1051"/>
      <c r="BV987" s="1051"/>
      <c r="BW987" s="1052"/>
      <c r="BX987" s="1052"/>
      <c r="BY987" s="1052"/>
      <c r="BZ987" s="1052"/>
      <c r="CA987" s="1052"/>
      <c r="CB987" s="1053"/>
      <c r="CC987" s="1053"/>
      <c r="CD987" s="1053"/>
      <c r="CE987" s="1053"/>
      <c r="CF987" s="1053"/>
      <c r="CG987" s="1053"/>
      <c r="CH987" s="1053"/>
      <c r="CI987" s="1123"/>
      <c r="CJ987" s="1123"/>
      <c r="CK987" s="1123"/>
      <c r="CL987" s="1123"/>
      <c r="CM987" s="1123"/>
      <c r="CN987" s="1123"/>
      <c r="CO987" s="1123"/>
      <c r="CP987" s="1123"/>
      <c r="CQ987" s="1123"/>
      <c r="CR987" s="1123"/>
      <c r="CS987" s="1123"/>
      <c r="CT987" s="1123"/>
      <c r="CU987" s="1123"/>
      <c r="CV987" s="1123"/>
      <c r="CW987" s="1123"/>
      <c r="CX987" s="1123"/>
      <c r="CY987" s="1123"/>
      <c r="CZ987" s="1114"/>
      <c r="DA987" s="1114"/>
      <c r="DB987" s="1114"/>
      <c r="DC987" s="1114"/>
      <c r="DD987" s="1114"/>
      <c r="DE987" s="1114"/>
      <c r="DF987" s="1114"/>
      <c r="DG987" s="1114"/>
      <c r="DH987" s="1114"/>
      <c r="DI987" s="1114"/>
      <c r="DJ987" s="1114"/>
      <c r="DK987" s="1114"/>
      <c r="DL987" s="1114"/>
      <c r="DM987" s="1114"/>
      <c r="DN987" s="1114"/>
      <c r="DO987" s="1114"/>
      <c r="DP987" s="1114"/>
      <c r="DQ987" s="1114"/>
      <c r="DR987" s="1114"/>
      <c r="DS987" s="1114"/>
      <c r="DT987" s="1114"/>
      <c r="DU987" s="1114"/>
      <c r="DV987" s="1115"/>
      <c r="DW987" s="1116"/>
      <c r="DX987" s="1116"/>
      <c r="DY987" s="1116"/>
      <c r="DZ987" s="1116"/>
      <c r="EA987" s="1116"/>
      <c r="EB987" s="1116"/>
      <c r="EC987" s="1116"/>
      <c r="ED987" s="1116"/>
      <c r="EE987" s="1116"/>
      <c r="EF987" s="1116"/>
      <c r="EG987" s="1116"/>
      <c r="EH987" s="1116"/>
      <c r="EI987" s="1116"/>
      <c r="EJ987" s="1116"/>
      <c r="EK987" s="1116"/>
      <c r="EL987" s="1116"/>
      <c r="EM987" s="1116"/>
      <c r="EN987" s="1116"/>
      <c r="EO987" s="1116"/>
      <c r="EP987" s="1116"/>
      <c r="EQ987" s="1116"/>
      <c r="ER987" s="1116"/>
      <c r="ES987" s="1116"/>
    </row>
    <row r="988" spans="1:149" ht="15" customHeight="1">
      <c r="A988" s="1185">
        <v>973</v>
      </c>
      <c r="B988" s="1041"/>
      <c r="C988" s="1050"/>
      <c r="D988" s="1050"/>
      <c r="E988" s="1050"/>
      <c r="F988" s="1049"/>
      <c r="G988" s="1457"/>
      <c r="H988" s="1049"/>
      <c r="I988" s="1049"/>
      <c r="J988" s="1050"/>
      <c r="K988" s="1050"/>
      <c r="L988" s="1043"/>
      <c r="M988" s="1051"/>
      <c r="N988" s="1051"/>
      <c r="O988" s="1052"/>
      <c r="P988" s="1051"/>
      <c r="Q988" s="1051"/>
      <c r="R988" s="1052"/>
      <c r="S988" s="1051"/>
      <c r="T988" s="1051"/>
      <c r="U988" s="1052"/>
      <c r="V988" s="1051"/>
      <c r="W988" s="1051"/>
      <c r="X988" s="1052"/>
      <c r="Y988" s="1053"/>
      <c r="Z988" s="1051"/>
      <c r="AA988" s="1051"/>
      <c r="AB988" s="1052"/>
      <c r="AC988" s="1051"/>
      <c r="AD988" s="1051"/>
      <c r="AE988" s="1052"/>
      <c r="AF988" s="1051"/>
      <c r="AG988" s="1051"/>
      <c r="AH988" s="1051"/>
      <c r="AI988" s="1051"/>
      <c r="AJ988" s="1052"/>
      <c r="AK988" s="1051"/>
      <c r="AL988" s="1051"/>
      <c r="AM988" s="1052"/>
      <c r="AN988" s="1051"/>
      <c r="AO988" s="1051"/>
      <c r="AP988" s="1052"/>
      <c r="AQ988" s="1051"/>
      <c r="AR988" s="1051"/>
      <c r="AS988" s="1052"/>
      <c r="AT988" s="1051"/>
      <c r="AU988" s="1051"/>
      <c r="AV988" s="1052"/>
      <c r="AW988" s="1051"/>
      <c r="AX988" s="1051"/>
      <c r="AY988" s="1053"/>
      <c r="AZ988" s="1051"/>
      <c r="BA988" s="1051"/>
      <c r="BB988" s="1053"/>
      <c r="BC988" s="1051"/>
      <c r="BD988" s="1051"/>
      <c r="BE988" s="1053"/>
      <c r="BF988" s="1051"/>
      <c r="BG988" s="1051"/>
      <c r="BH988" s="1053"/>
      <c r="BI988" s="1052"/>
      <c r="BJ988" s="1052"/>
      <c r="BK988" s="1052"/>
      <c r="BL988" s="1052"/>
      <c r="BM988" s="1052"/>
      <c r="BN988" s="1054"/>
      <c r="BO988" s="1076">
        <f t="shared" si="26"/>
        <v>0</v>
      </c>
      <c r="BP988" s="1051"/>
      <c r="BQ988" s="1052"/>
      <c r="BR988" s="1054"/>
      <c r="BS988" s="1053"/>
      <c r="BT988" s="1051"/>
      <c r="BU988" s="1051"/>
      <c r="BV988" s="1051"/>
      <c r="BW988" s="1052"/>
      <c r="BX988" s="1052"/>
      <c r="BY988" s="1052"/>
      <c r="BZ988" s="1052"/>
      <c r="CA988" s="1052"/>
      <c r="CB988" s="1053"/>
      <c r="CC988" s="1053"/>
      <c r="CD988" s="1053"/>
      <c r="CE988" s="1053"/>
      <c r="CF988" s="1053"/>
      <c r="CG988" s="1053"/>
      <c r="CH988" s="1053"/>
      <c r="CI988" s="1123"/>
      <c r="CJ988" s="1123"/>
      <c r="CK988" s="1123"/>
      <c r="CL988" s="1123"/>
      <c r="CM988" s="1123"/>
      <c r="CN988" s="1123"/>
      <c r="CO988" s="1123"/>
      <c r="CP988" s="1123"/>
      <c r="CQ988" s="1123"/>
      <c r="CR988" s="1123"/>
      <c r="CS988" s="1123"/>
      <c r="CT988" s="1123"/>
      <c r="CU988" s="1123"/>
      <c r="CV988" s="1123"/>
      <c r="CW988" s="1123"/>
      <c r="CX988" s="1123"/>
      <c r="CY988" s="1123"/>
      <c r="CZ988" s="1114"/>
      <c r="DA988" s="1114"/>
      <c r="DB988" s="1114"/>
      <c r="DC988" s="1114"/>
      <c r="DD988" s="1114"/>
      <c r="DE988" s="1114"/>
      <c r="DF988" s="1114"/>
      <c r="DG988" s="1114"/>
      <c r="DH988" s="1114"/>
      <c r="DI988" s="1114"/>
      <c r="DJ988" s="1114"/>
      <c r="DK988" s="1114"/>
      <c r="DL988" s="1114"/>
      <c r="DM988" s="1114"/>
      <c r="DN988" s="1114"/>
      <c r="DO988" s="1114"/>
      <c r="DP988" s="1114"/>
      <c r="DQ988" s="1114"/>
      <c r="DR988" s="1114"/>
      <c r="DS988" s="1114"/>
      <c r="DT988" s="1114"/>
      <c r="DU988" s="1114"/>
      <c r="DV988" s="1115"/>
      <c r="DW988" s="1116"/>
      <c r="DX988" s="1116"/>
      <c r="DY988" s="1116"/>
      <c r="DZ988" s="1116"/>
      <c r="EA988" s="1116"/>
      <c r="EB988" s="1116"/>
      <c r="EC988" s="1116"/>
      <c r="ED988" s="1116"/>
      <c r="EE988" s="1116"/>
      <c r="EF988" s="1116"/>
      <c r="EG988" s="1116"/>
      <c r="EH988" s="1116"/>
      <c r="EI988" s="1116"/>
      <c r="EJ988" s="1116"/>
      <c r="EK988" s="1116"/>
      <c r="EL988" s="1116"/>
      <c r="EM988" s="1116"/>
      <c r="EN988" s="1116"/>
      <c r="EO988" s="1116"/>
      <c r="EP988" s="1116"/>
      <c r="EQ988" s="1116"/>
      <c r="ER988" s="1116"/>
      <c r="ES988" s="1116"/>
    </row>
    <row r="989" spans="1:149" ht="15" customHeight="1">
      <c r="A989" s="1185">
        <v>974</v>
      </c>
      <c r="B989" s="1041"/>
      <c r="C989" s="1050"/>
      <c r="D989" s="1050"/>
      <c r="E989" s="1050"/>
      <c r="F989" s="1049"/>
      <c r="G989" s="1457"/>
      <c r="H989" s="1049"/>
      <c r="I989" s="1049"/>
      <c r="J989" s="1050"/>
      <c r="K989" s="1050"/>
      <c r="L989" s="1043"/>
      <c r="M989" s="1051"/>
      <c r="N989" s="1051"/>
      <c r="O989" s="1052"/>
      <c r="P989" s="1051"/>
      <c r="Q989" s="1051"/>
      <c r="R989" s="1052"/>
      <c r="S989" s="1051"/>
      <c r="T989" s="1051"/>
      <c r="U989" s="1052"/>
      <c r="V989" s="1051"/>
      <c r="W989" s="1051"/>
      <c r="X989" s="1052"/>
      <c r="Y989" s="1053"/>
      <c r="Z989" s="1051"/>
      <c r="AA989" s="1051"/>
      <c r="AB989" s="1052"/>
      <c r="AC989" s="1051"/>
      <c r="AD989" s="1051"/>
      <c r="AE989" s="1052"/>
      <c r="AF989" s="1051"/>
      <c r="AG989" s="1051"/>
      <c r="AH989" s="1051"/>
      <c r="AI989" s="1051"/>
      <c r="AJ989" s="1052"/>
      <c r="AK989" s="1051"/>
      <c r="AL989" s="1051"/>
      <c r="AM989" s="1052"/>
      <c r="AN989" s="1051"/>
      <c r="AO989" s="1051"/>
      <c r="AP989" s="1052"/>
      <c r="AQ989" s="1051"/>
      <c r="AR989" s="1051"/>
      <c r="AS989" s="1052"/>
      <c r="AT989" s="1051"/>
      <c r="AU989" s="1051"/>
      <c r="AV989" s="1052"/>
      <c r="AW989" s="1051"/>
      <c r="AX989" s="1051"/>
      <c r="AY989" s="1053"/>
      <c r="AZ989" s="1051"/>
      <c r="BA989" s="1051"/>
      <c r="BB989" s="1053"/>
      <c r="BC989" s="1051"/>
      <c r="BD989" s="1051"/>
      <c r="BE989" s="1053"/>
      <c r="BF989" s="1051"/>
      <c r="BG989" s="1051"/>
      <c r="BH989" s="1053"/>
      <c r="BI989" s="1052"/>
      <c r="BJ989" s="1052"/>
      <c r="BK989" s="1052"/>
      <c r="BL989" s="1052"/>
      <c r="BM989" s="1052"/>
      <c r="BN989" s="1054"/>
      <c r="BO989" s="1076">
        <f t="shared" si="26"/>
        <v>0</v>
      </c>
      <c r="BP989" s="1051"/>
      <c r="BQ989" s="1052"/>
      <c r="BR989" s="1054"/>
      <c r="BS989" s="1053"/>
      <c r="BT989" s="1051"/>
      <c r="BU989" s="1051"/>
      <c r="BV989" s="1051"/>
      <c r="BW989" s="1052"/>
      <c r="BX989" s="1052"/>
      <c r="BY989" s="1052"/>
      <c r="BZ989" s="1052"/>
      <c r="CA989" s="1052"/>
      <c r="CB989" s="1053"/>
      <c r="CC989" s="1053"/>
      <c r="CD989" s="1053"/>
      <c r="CE989" s="1053"/>
      <c r="CF989" s="1053"/>
      <c r="CG989" s="1053"/>
      <c r="CH989" s="1053"/>
      <c r="CI989" s="1123"/>
      <c r="CJ989" s="1123"/>
      <c r="CK989" s="1123"/>
      <c r="CL989" s="1123"/>
      <c r="CM989" s="1123"/>
      <c r="CN989" s="1123"/>
      <c r="CO989" s="1123"/>
      <c r="CP989" s="1123"/>
      <c r="CQ989" s="1123"/>
      <c r="CR989" s="1123"/>
      <c r="CS989" s="1123"/>
      <c r="CT989" s="1123"/>
      <c r="CU989" s="1123"/>
      <c r="CV989" s="1123"/>
      <c r="CW989" s="1123"/>
      <c r="CX989" s="1123"/>
      <c r="CY989" s="1123"/>
      <c r="CZ989" s="1114"/>
      <c r="DA989" s="1114"/>
      <c r="DB989" s="1114"/>
      <c r="DC989" s="1114"/>
      <c r="DD989" s="1114"/>
      <c r="DE989" s="1114"/>
      <c r="DF989" s="1114"/>
      <c r="DG989" s="1114"/>
      <c r="DH989" s="1114"/>
      <c r="DI989" s="1114"/>
      <c r="DJ989" s="1114"/>
      <c r="DK989" s="1114"/>
      <c r="DL989" s="1114"/>
      <c r="DM989" s="1114"/>
      <c r="DN989" s="1114"/>
      <c r="DO989" s="1114"/>
      <c r="DP989" s="1114"/>
      <c r="DQ989" s="1114"/>
      <c r="DR989" s="1114"/>
      <c r="DS989" s="1114"/>
      <c r="DT989" s="1114"/>
      <c r="DU989" s="1114"/>
      <c r="DV989" s="1115"/>
      <c r="DW989" s="1116"/>
      <c r="DX989" s="1116"/>
      <c r="DY989" s="1116"/>
      <c r="DZ989" s="1116"/>
      <c r="EA989" s="1116"/>
      <c r="EB989" s="1116"/>
      <c r="EC989" s="1116"/>
      <c r="ED989" s="1116"/>
      <c r="EE989" s="1116"/>
      <c r="EF989" s="1116"/>
      <c r="EG989" s="1116"/>
      <c r="EH989" s="1116"/>
      <c r="EI989" s="1116"/>
      <c r="EJ989" s="1116"/>
      <c r="EK989" s="1116"/>
      <c r="EL989" s="1116"/>
      <c r="EM989" s="1116"/>
      <c r="EN989" s="1116"/>
      <c r="EO989" s="1116"/>
      <c r="EP989" s="1116"/>
      <c r="EQ989" s="1116"/>
      <c r="ER989" s="1116"/>
      <c r="ES989" s="1116"/>
    </row>
    <row r="990" spans="1:149" ht="15" customHeight="1">
      <c r="A990" s="1185">
        <v>975</v>
      </c>
      <c r="B990" s="1041"/>
      <c r="C990" s="1050"/>
      <c r="D990" s="1050"/>
      <c r="E990" s="1050"/>
      <c r="F990" s="1049"/>
      <c r="G990" s="1457"/>
      <c r="H990" s="1049"/>
      <c r="I990" s="1049"/>
      <c r="J990" s="1050"/>
      <c r="K990" s="1050"/>
      <c r="L990" s="1043"/>
      <c r="M990" s="1051"/>
      <c r="N990" s="1051"/>
      <c r="O990" s="1052"/>
      <c r="P990" s="1051"/>
      <c r="Q990" s="1051"/>
      <c r="R990" s="1052"/>
      <c r="S990" s="1051"/>
      <c r="T990" s="1051"/>
      <c r="U990" s="1052"/>
      <c r="V990" s="1051"/>
      <c r="W990" s="1051"/>
      <c r="X990" s="1052"/>
      <c r="Y990" s="1053"/>
      <c r="Z990" s="1051"/>
      <c r="AA990" s="1051"/>
      <c r="AB990" s="1052"/>
      <c r="AC990" s="1051"/>
      <c r="AD990" s="1051"/>
      <c r="AE990" s="1052"/>
      <c r="AF990" s="1051"/>
      <c r="AG990" s="1051"/>
      <c r="AH990" s="1051"/>
      <c r="AI990" s="1051"/>
      <c r="AJ990" s="1052"/>
      <c r="AK990" s="1051"/>
      <c r="AL990" s="1051"/>
      <c r="AM990" s="1052"/>
      <c r="AN990" s="1051"/>
      <c r="AO990" s="1051"/>
      <c r="AP990" s="1052"/>
      <c r="AQ990" s="1051"/>
      <c r="AR990" s="1051"/>
      <c r="AS990" s="1052"/>
      <c r="AT990" s="1051"/>
      <c r="AU990" s="1051"/>
      <c r="AV990" s="1052"/>
      <c r="AW990" s="1051"/>
      <c r="AX990" s="1051"/>
      <c r="AY990" s="1053"/>
      <c r="AZ990" s="1051"/>
      <c r="BA990" s="1051"/>
      <c r="BB990" s="1053"/>
      <c r="BC990" s="1051"/>
      <c r="BD990" s="1051"/>
      <c r="BE990" s="1053"/>
      <c r="BF990" s="1051"/>
      <c r="BG990" s="1051"/>
      <c r="BH990" s="1053"/>
      <c r="BI990" s="1052"/>
      <c r="BJ990" s="1052"/>
      <c r="BK990" s="1052"/>
      <c r="BL990" s="1052"/>
      <c r="BM990" s="1052"/>
      <c r="BN990" s="1054"/>
      <c r="BO990" s="1076">
        <f t="shared" si="26"/>
        <v>0</v>
      </c>
      <c r="BP990" s="1051"/>
      <c r="BQ990" s="1052"/>
      <c r="BR990" s="1054"/>
      <c r="BS990" s="1053"/>
      <c r="BT990" s="1051"/>
      <c r="BU990" s="1051"/>
      <c r="BV990" s="1051"/>
      <c r="BW990" s="1052"/>
      <c r="BX990" s="1052"/>
      <c r="BY990" s="1052"/>
      <c r="BZ990" s="1052"/>
      <c r="CA990" s="1052"/>
      <c r="CB990" s="1053"/>
      <c r="CC990" s="1053"/>
      <c r="CD990" s="1053"/>
      <c r="CE990" s="1053"/>
      <c r="CF990" s="1053"/>
      <c r="CG990" s="1053"/>
      <c r="CH990" s="1053"/>
      <c r="CI990" s="1123"/>
      <c r="CJ990" s="1123"/>
      <c r="CK990" s="1123"/>
      <c r="CL990" s="1123"/>
      <c r="CM990" s="1123"/>
      <c r="CN990" s="1123"/>
      <c r="CO990" s="1123"/>
      <c r="CP990" s="1123"/>
      <c r="CQ990" s="1123"/>
      <c r="CR990" s="1123"/>
      <c r="CS990" s="1123"/>
      <c r="CT990" s="1123"/>
      <c r="CU990" s="1123"/>
      <c r="CV990" s="1123"/>
      <c r="CW990" s="1123"/>
      <c r="CX990" s="1123"/>
      <c r="CY990" s="1123"/>
      <c r="CZ990" s="1114"/>
      <c r="DA990" s="1114"/>
      <c r="DB990" s="1114"/>
      <c r="DC990" s="1114"/>
      <c r="DD990" s="1114"/>
      <c r="DE990" s="1114"/>
      <c r="DF990" s="1114"/>
      <c r="DG990" s="1114"/>
      <c r="DH990" s="1114"/>
      <c r="DI990" s="1114"/>
      <c r="DJ990" s="1114"/>
      <c r="DK990" s="1114"/>
      <c r="DL990" s="1114"/>
      <c r="DM990" s="1114"/>
      <c r="DN990" s="1114"/>
      <c r="DO990" s="1114"/>
      <c r="DP990" s="1114"/>
      <c r="DQ990" s="1114"/>
      <c r="DR990" s="1114"/>
      <c r="DS990" s="1114"/>
      <c r="DT990" s="1114"/>
      <c r="DU990" s="1114"/>
      <c r="DV990" s="1115"/>
      <c r="DW990" s="1116"/>
      <c r="DX990" s="1116"/>
      <c r="DY990" s="1116"/>
      <c r="DZ990" s="1116"/>
      <c r="EA990" s="1116"/>
      <c r="EB990" s="1116"/>
      <c r="EC990" s="1116"/>
      <c r="ED990" s="1116"/>
      <c r="EE990" s="1116"/>
      <c r="EF990" s="1116"/>
      <c r="EG990" s="1116"/>
      <c r="EH990" s="1116"/>
      <c r="EI990" s="1116"/>
      <c r="EJ990" s="1116"/>
      <c r="EK990" s="1116"/>
      <c r="EL990" s="1116"/>
      <c r="EM990" s="1116"/>
      <c r="EN990" s="1116"/>
      <c r="EO990" s="1116"/>
      <c r="EP990" s="1116"/>
      <c r="EQ990" s="1116"/>
      <c r="ER990" s="1116"/>
      <c r="ES990" s="1116"/>
    </row>
    <row r="991" spans="1:149" ht="15" customHeight="1">
      <c r="A991" s="1185">
        <v>976</v>
      </c>
      <c r="B991" s="1041"/>
      <c r="C991" s="1050"/>
      <c r="D991" s="1050"/>
      <c r="E991" s="1050"/>
      <c r="F991" s="1049"/>
      <c r="G991" s="1457"/>
      <c r="H991" s="1049"/>
      <c r="I991" s="1049"/>
      <c r="J991" s="1050"/>
      <c r="K991" s="1050"/>
      <c r="L991" s="1043"/>
      <c r="M991" s="1051"/>
      <c r="N991" s="1051"/>
      <c r="O991" s="1052"/>
      <c r="P991" s="1051"/>
      <c r="Q991" s="1051"/>
      <c r="R991" s="1052"/>
      <c r="S991" s="1051"/>
      <c r="T991" s="1051"/>
      <c r="U991" s="1052"/>
      <c r="V991" s="1051"/>
      <c r="W991" s="1051"/>
      <c r="X991" s="1052"/>
      <c r="Y991" s="1053"/>
      <c r="Z991" s="1051"/>
      <c r="AA991" s="1051"/>
      <c r="AB991" s="1052"/>
      <c r="AC991" s="1051"/>
      <c r="AD991" s="1051"/>
      <c r="AE991" s="1052"/>
      <c r="AF991" s="1051"/>
      <c r="AG991" s="1051"/>
      <c r="AH991" s="1051"/>
      <c r="AI991" s="1051"/>
      <c r="AJ991" s="1052"/>
      <c r="AK991" s="1051"/>
      <c r="AL991" s="1051"/>
      <c r="AM991" s="1052"/>
      <c r="AN991" s="1051"/>
      <c r="AO991" s="1051"/>
      <c r="AP991" s="1052"/>
      <c r="AQ991" s="1051"/>
      <c r="AR991" s="1051"/>
      <c r="AS991" s="1052"/>
      <c r="AT991" s="1051"/>
      <c r="AU991" s="1051"/>
      <c r="AV991" s="1052"/>
      <c r="AW991" s="1051"/>
      <c r="AX991" s="1051"/>
      <c r="AY991" s="1053"/>
      <c r="AZ991" s="1051"/>
      <c r="BA991" s="1051"/>
      <c r="BB991" s="1053"/>
      <c r="BC991" s="1051"/>
      <c r="BD991" s="1051"/>
      <c r="BE991" s="1053"/>
      <c r="BF991" s="1051"/>
      <c r="BG991" s="1051"/>
      <c r="BH991" s="1053"/>
      <c r="BI991" s="1052"/>
      <c r="BJ991" s="1052"/>
      <c r="BK991" s="1052"/>
      <c r="BL991" s="1052"/>
      <c r="BM991" s="1052"/>
      <c r="BN991" s="1054"/>
      <c r="BO991" s="1076">
        <f t="shared" si="26"/>
        <v>0</v>
      </c>
      <c r="BP991" s="1051"/>
      <c r="BQ991" s="1052"/>
      <c r="BR991" s="1054"/>
      <c r="BS991" s="1053"/>
      <c r="BT991" s="1051"/>
      <c r="BU991" s="1051"/>
      <c r="BV991" s="1051"/>
      <c r="BW991" s="1052"/>
      <c r="BX991" s="1052"/>
      <c r="BY991" s="1052"/>
      <c r="BZ991" s="1052"/>
      <c r="CA991" s="1052"/>
      <c r="CB991" s="1053"/>
      <c r="CC991" s="1053"/>
      <c r="CD991" s="1053"/>
      <c r="CE991" s="1053"/>
      <c r="CF991" s="1053"/>
      <c r="CG991" s="1053"/>
      <c r="CH991" s="1053"/>
      <c r="CI991" s="1123"/>
      <c r="CJ991" s="1123"/>
      <c r="CK991" s="1123"/>
      <c r="CL991" s="1123"/>
      <c r="CM991" s="1123"/>
      <c r="CN991" s="1123"/>
      <c r="CO991" s="1123"/>
      <c r="CP991" s="1123"/>
      <c r="CQ991" s="1123"/>
      <c r="CR991" s="1123"/>
      <c r="CS991" s="1123"/>
      <c r="CT991" s="1123"/>
      <c r="CU991" s="1123"/>
      <c r="CV991" s="1123"/>
      <c r="CW991" s="1123"/>
      <c r="CX991" s="1123"/>
      <c r="CY991" s="1123"/>
      <c r="CZ991" s="1114"/>
      <c r="DA991" s="1114"/>
      <c r="DB991" s="1114"/>
      <c r="DC991" s="1114"/>
      <c r="DD991" s="1114"/>
      <c r="DE991" s="1114"/>
      <c r="DF991" s="1114"/>
      <c r="DG991" s="1114"/>
      <c r="DH991" s="1114"/>
      <c r="DI991" s="1114"/>
      <c r="DJ991" s="1114"/>
      <c r="DK991" s="1114"/>
      <c r="DL991" s="1114"/>
      <c r="DM991" s="1114"/>
      <c r="DN991" s="1114"/>
      <c r="DO991" s="1114"/>
      <c r="DP991" s="1114"/>
      <c r="DQ991" s="1114"/>
      <c r="DR991" s="1114"/>
      <c r="DS991" s="1114"/>
      <c r="DT991" s="1114"/>
      <c r="DU991" s="1114"/>
      <c r="DV991" s="1115"/>
      <c r="DW991" s="1116"/>
      <c r="DX991" s="1116"/>
      <c r="DY991" s="1116"/>
      <c r="DZ991" s="1116"/>
      <c r="EA991" s="1116"/>
      <c r="EB991" s="1116"/>
      <c r="EC991" s="1116"/>
      <c r="ED991" s="1116"/>
      <c r="EE991" s="1116"/>
      <c r="EF991" s="1116"/>
      <c r="EG991" s="1116"/>
      <c r="EH991" s="1116"/>
      <c r="EI991" s="1116"/>
      <c r="EJ991" s="1116"/>
      <c r="EK991" s="1116"/>
      <c r="EL991" s="1116"/>
      <c r="EM991" s="1116"/>
      <c r="EN991" s="1116"/>
      <c r="EO991" s="1116"/>
      <c r="EP991" s="1116"/>
      <c r="EQ991" s="1116"/>
      <c r="ER991" s="1116"/>
      <c r="ES991" s="1116"/>
    </row>
    <row r="992" spans="1:149" ht="15" customHeight="1">
      <c r="A992" s="1185">
        <v>977</v>
      </c>
      <c r="B992" s="1041"/>
      <c r="C992" s="1050"/>
      <c r="D992" s="1050"/>
      <c r="E992" s="1050"/>
      <c r="F992" s="1049"/>
      <c r="G992" s="1457"/>
      <c r="H992" s="1049"/>
      <c r="I992" s="1049"/>
      <c r="J992" s="1050"/>
      <c r="K992" s="1050"/>
      <c r="L992" s="1043"/>
      <c r="M992" s="1051"/>
      <c r="N992" s="1051"/>
      <c r="O992" s="1052"/>
      <c r="P992" s="1051"/>
      <c r="Q992" s="1051"/>
      <c r="R992" s="1052"/>
      <c r="S992" s="1051"/>
      <c r="T992" s="1051"/>
      <c r="U992" s="1052"/>
      <c r="V992" s="1051"/>
      <c r="W992" s="1051"/>
      <c r="X992" s="1052"/>
      <c r="Y992" s="1053"/>
      <c r="Z992" s="1051"/>
      <c r="AA992" s="1051"/>
      <c r="AB992" s="1052"/>
      <c r="AC992" s="1051"/>
      <c r="AD992" s="1051"/>
      <c r="AE992" s="1052"/>
      <c r="AF992" s="1051"/>
      <c r="AG992" s="1051"/>
      <c r="AH992" s="1051"/>
      <c r="AI992" s="1051"/>
      <c r="AJ992" s="1052"/>
      <c r="AK992" s="1051"/>
      <c r="AL992" s="1051"/>
      <c r="AM992" s="1052"/>
      <c r="AN992" s="1051"/>
      <c r="AO992" s="1051"/>
      <c r="AP992" s="1052"/>
      <c r="AQ992" s="1051"/>
      <c r="AR992" s="1051"/>
      <c r="AS992" s="1052"/>
      <c r="AT992" s="1051"/>
      <c r="AU992" s="1051"/>
      <c r="AV992" s="1052"/>
      <c r="AW992" s="1051"/>
      <c r="AX992" s="1051"/>
      <c r="AY992" s="1053"/>
      <c r="AZ992" s="1051"/>
      <c r="BA992" s="1051"/>
      <c r="BB992" s="1053"/>
      <c r="BC992" s="1051"/>
      <c r="BD992" s="1051"/>
      <c r="BE992" s="1053"/>
      <c r="BF992" s="1051"/>
      <c r="BG992" s="1051"/>
      <c r="BH992" s="1053"/>
      <c r="BI992" s="1052"/>
      <c r="BJ992" s="1052"/>
      <c r="BK992" s="1052"/>
      <c r="BL992" s="1052"/>
      <c r="BM992" s="1052"/>
      <c r="BN992" s="1054"/>
      <c r="BO992" s="1076">
        <f t="shared" si="26"/>
        <v>0</v>
      </c>
      <c r="BP992" s="1051"/>
      <c r="BQ992" s="1052"/>
      <c r="BR992" s="1054"/>
      <c r="BS992" s="1053"/>
      <c r="BT992" s="1051"/>
      <c r="BU992" s="1051"/>
      <c r="BV992" s="1051"/>
      <c r="BW992" s="1052"/>
      <c r="BX992" s="1052"/>
      <c r="BY992" s="1052"/>
      <c r="BZ992" s="1052"/>
      <c r="CA992" s="1052"/>
      <c r="CB992" s="1053"/>
      <c r="CC992" s="1053"/>
      <c r="CD992" s="1053"/>
      <c r="CE992" s="1053"/>
      <c r="CF992" s="1053"/>
      <c r="CG992" s="1053"/>
      <c r="CH992" s="1053"/>
      <c r="CI992" s="1123"/>
      <c r="CJ992" s="1123"/>
      <c r="CK992" s="1123"/>
      <c r="CL992" s="1123"/>
      <c r="CM992" s="1123"/>
      <c r="CN992" s="1123"/>
      <c r="CO992" s="1123"/>
      <c r="CP992" s="1123"/>
      <c r="CQ992" s="1123"/>
      <c r="CR992" s="1123"/>
      <c r="CS992" s="1123"/>
      <c r="CT992" s="1123"/>
      <c r="CU992" s="1123"/>
      <c r="CV992" s="1123"/>
      <c r="CW992" s="1123"/>
      <c r="CX992" s="1123"/>
      <c r="CY992" s="1123"/>
      <c r="CZ992" s="1114"/>
      <c r="DA992" s="1114"/>
      <c r="DB992" s="1114"/>
      <c r="DC992" s="1114"/>
      <c r="DD992" s="1114"/>
      <c r="DE992" s="1114"/>
      <c r="DF992" s="1114"/>
      <c r="DG992" s="1114"/>
      <c r="DH992" s="1114"/>
      <c r="DI992" s="1114"/>
      <c r="DJ992" s="1114"/>
      <c r="DK992" s="1114"/>
      <c r="DL992" s="1114"/>
      <c r="DM992" s="1114"/>
      <c r="DN992" s="1114"/>
      <c r="DO992" s="1114"/>
      <c r="DP992" s="1114"/>
      <c r="DQ992" s="1114"/>
      <c r="DR992" s="1114"/>
      <c r="DS992" s="1114"/>
      <c r="DT992" s="1114"/>
      <c r="DU992" s="1114"/>
      <c r="DV992" s="1115"/>
      <c r="DW992" s="1116"/>
      <c r="DX992" s="1116"/>
      <c r="DY992" s="1116"/>
      <c r="DZ992" s="1116"/>
      <c r="EA992" s="1116"/>
      <c r="EB992" s="1116"/>
      <c r="EC992" s="1116"/>
      <c r="ED992" s="1116"/>
      <c r="EE992" s="1116"/>
      <c r="EF992" s="1116"/>
      <c r="EG992" s="1116"/>
      <c r="EH992" s="1116"/>
      <c r="EI992" s="1116"/>
      <c r="EJ992" s="1116"/>
      <c r="EK992" s="1116"/>
      <c r="EL992" s="1116"/>
      <c r="EM992" s="1116"/>
      <c r="EN992" s="1116"/>
      <c r="EO992" s="1116"/>
      <c r="EP992" s="1116"/>
      <c r="EQ992" s="1116"/>
      <c r="ER992" s="1116"/>
      <c r="ES992" s="1116"/>
    </row>
    <row r="993" spans="1:149" ht="15" customHeight="1">
      <c r="A993" s="1185">
        <v>978</v>
      </c>
      <c r="B993" s="1041"/>
      <c r="C993" s="1050"/>
      <c r="D993" s="1050"/>
      <c r="E993" s="1050"/>
      <c r="F993" s="1049"/>
      <c r="G993" s="1457"/>
      <c r="H993" s="1049"/>
      <c r="I993" s="1049"/>
      <c r="J993" s="1050"/>
      <c r="K993" s="1050"/>
      <c r="L993" s="1043"/>
      <c r="M993" s="1051"/>
      <c r="N993" s="1051"/>
      <c r="O993" s="1052"/>
      <c r="P993" s="1051"/>
      <c r="Q993" s="1051"/>
      <c r="R993" s="1052"/>
      <c r="S993" s="1051"/>
      <c r="T993" s="1051"/>
      <c r="U993" s="1052"/>
      <c r="V993" s="1051"/>
      <c r="W993" s="1051"/>
      <c r="X993" s="1052"/>
      <c r="Y993" s="1053"/>
      <c r="Z993" s="1051"/>
      <c r="AA993" s="1051"/>
      <c r="AB993" s="1052"/>
      <c r="AC993" s="1051"/>
      <c r="AD993" s="1051"/>
      <c r="AE993" s="1052"/>
      <c r="AF993" s="1051"/>
      <c r="AG993" s="1051"/>
      <c r="AH993" s="1051"/>
      <c r="AI993" s="1051"/>
      <c r="AJ993" s="1052"/>
      <c r="AK993" s="1051"/>
      <c r="AL993" s="1051"/>
      <c r="AM993" s="1052"/>
      <c r="AN993" s="1051"/>
      <c r="AO993" s="1051"/>
      <c r="AP993" s="1052"/>
      <c r="AQ993" s="1051"/>
      <c r="AR993" s="1051"/>
      <c r="AS993" s="1052"/>
      <c r="AT993" s="1051"/>
      <c r="AU993" s="1051"/>
      <c r="AV993" s="1052"/>
      <c r="AW993" s="1051"/>
      <c r="AX993" s="1051"/>
      <c r="AY993" s="1053"/>
      <c r="AZ993" s="1051"/>
      <c r="BA993" s="1051"/>
      <c r="BB993" s="1053"/>
      <c r="BC993" s="1051"/>
      <c r="BD993" s="1051"/>
      <c r="BE993" s="1053"/>
      <c r="BF993" s="1051"/>
      <c r="BG993" s="1051"/>
      <c r="BH993" s="1053"/>
      <c r="BI993" s="1052"/>
      <c r="BJ993" s="1052"/>
      <c r="BK993" s="1052"/>
      <c r="BL993" s="1052"/>
      <c r="BM993" s="1052"/>
      <c r="BN993" s="1054"/>
      <c r="BO993" s="1076">
        <f t="shared" si="26"/>
        <v>0</v>
      </c>
      <c r="BP993" s="1051"/>
      <c r="BQ993" s="1052"/>
      <c r="BR993" s="1054"/>
      <c r="BS993" s="1053"/>
      <c r="BT993" s="1051"/>
      <c r="BU993" s="1051"/>
      <c r="BV993" s="1051"/>
      <c r="BW993" s="1052"/>
      <c r="BX993" s="1052"/>
      <c r="BY993" s="1052"/>
      <c r="BZ993" s="1052"/>
      <c r="CA993" s="1052"/>
      <c r="CB993" s="1053"/>
      <c r="CC993" s="1053"/>
      <c r="CD993" s="1053"/>
      <c r="CE993" s="1053"/>
      <c r="CF993" s="1053"/>
      <c r="CG993" s="1053"/>
      <c r="CH993" s="1053"/>
      <c r="CI993" s="1123"/>
      <c r="CJ993" s="1123"/>
      <c r="CK993" s="1123"/>
      <c r="CL993" s="1123"/>
      <c r="CM993" s="1123"/>
      <c r="CN993" s="1123"/>
      <c r="CO993" s="1123"/>
      <c r="CP993" s="1123"/>
      <c r="CQ993" s="1123"/>
      <c r="CR993" s="1123"/>
      <c r="CS993" s="1123"/>
      <c r="CT993" s="1123"/>
      <c r="CU993" s="1123"/>
      <c r="CV993" s="1123"/>
      <c r="CW993" s="1123"/>
      <c r="CX993" s="1123"/>
      <c r="CY993" s="1123"/>
      <c r="CZ993" s="1114"/>
      <c r="DA993" s="1114"/>
      <c r="DB993" s="1114"/>
      <c r="DC993" s="1114"/>
      <c r="DD993" s="1114"/>
      <c r="DE993" s="1114"/>
      <c r="DF993" s="1114"/>
      <c r="DG993" s="1114"/>
      <c r="DH993" s="1114"/>
      <c r="DI993" s="1114"/>
      <c r="DJ993" s="1114"/>
      <c r="DK993" s="1114"/>
      <c r="DL993" s="1114"/>
      <c r="DM993" s="1114"/>
      <c r="DN993" s="1114"/>
      <c r="DO993" s="1114"/>
      <c r="DP993" s="1114"/>
      <c r="DQ993" s="1114"/>
      <c r="DR993" s="1114"/>
      <c r="DS993" s="1114"/>
      <c r="DT993" s="1114"/>
      <c r="DU993" s="1114"/>
      <c r="DV993" s="1115"/>
      <c r="DW993" s="1116"/>
      <c r="DX993" s="1116"/>
      <c r="DY993" s="1116"/>
      <c r="DZ993" s="1116"/>
      <c r="EA993" s="1116"/>
      <c r="EB993" s="1116"/>
      <c r="EC993" s="1116"/>
      <c r="ED993" s="1116"/>
      <c r="EE993" s="1116"/>
      <c r="EF993" s="1116"/>
      <c r="EG993" s="1116"/>
      <c r="EH993" s="1116"/>
      <c r="EI993" s="1116"/>
      <c r="EJ993" s="1116"/>
      <c r="EK993" s="1116"/>
      <c r="EL993" s="1116"/>
      <c r="EM993" s="1116"/>
      <c r="EN993" s="1116"/>
      <c r="EO993" s="1116"/>
      <c r="EP993" s="1116"/>
      <c r="EQ993" s="1116"/>
      <c r="ER993" s="1116"/>
      <c r="ES993" s="1116"/>
    </row>
    <row r="994" spans="1:149" ht="15" customHeight="1">
      <c r="A994" s="1185">
        <v>979</v>
      </c>
      <c r="B994" s="1041"/>
      <c r="C994" s="1050"/>
      <c r="D994" s="1050"/>
      <c r="E994" s="1050"/>
      <c r="F994" s="1049"/>
      <c r="G994" s="1457"/>
      <c r="H994" s="1049"/>
      <c r="I994" s="1049"/>
      <c r="J994" s="1050"/>
      <c r="K994" s="1050"/>
      <c r="L994" s="1043"/>
      <c r="M994" s="1051"/>
      <c r="N994" s="1051"/>
      <c r="O994" s="1052"/>
      <c r="P994" s="1051"/>
      <c r="Q994" s="1051"/>
      <c r="R994" s="1052"/>
      <c r="S994" s="1051"/>
      <c r="T994" s="1051"/>
      <c r="U994" s="1052"/>
      <c r="V994" s="1051"/>
      <c r="W994" s="1051"/>
      <c r="X994" s="1052"/>
      <c r="Y994" s="1053"/>
      <c r="Z994" s="1051"/>
      <c r="AA994" s="1051"/>
      <c r="AB994" s="1052"/>
      <c r="AC994" s="1051"/>
      <c r="AD994" s="1051"/>
      <c r="AE994" s="1052"/>
      <c r="AF994" s="1051"/>
      <c r="AG994" s="1051"/>
      <c r="AH994" s="1051"/>
      <c r="AI994" s="1051"/>
      <c r="AJ994" s="1052"/>
      <c r="AK994" s="1051"/>
      <c r="AL994" s="1051"/>
      <c r="AM994" s="1052"/>
      <c r="AN994" s="1051"/>
      <c r="AO994" s="1051"/>
      <c r="AP994" s="1052"/>
      <c r="AQ994" s="1051"/>
      <c r="AR994" s="1051"/>
      <c r="AS994" s="1052"/>
      <c r="AT994" s="1051"/>
      <c r="AU994" s="1051"/>
      <c r="AV994" s="1052"/>
      <c r="AW994" s="1051"/>
      <c r="AX994" s="1051"/>
      <c r="AY994" s="1053"/>
      <c r="AZ994" s="1051"/>
      <c r="BA994" s="1051"/>
      <c r="BB994" s="1053"/>
      <c r="BC994" s="1051"/>
      <c r="BD994" s="1051"/>
      <c r="BE994" s="1053"/>
      <c r="BF994" s="1051"/>
      <c r="BG994" s="1051"/>
      <c r="BH994" s="1053"/>
      <c r="BI994" s="1052"/>
      <c r="BJ994" s="1052"/>
      <c r="BK994" s="1052"/>
      <c r="BL994" s="1052"/>
      <c r="BM994" s="1052"/>
      <c r="BN994" s="1054"/>
      <c r="BO994" s="1076">
        <f t="shared" si="26"/>
        <v>0</v>
      </c>
      <c r="BP994" s="1051"/>
      <c r="BQ994" s="1052"/>
      <c r="BR994" s="1054"/>
      <c r="BS994" s="1053"/>
      <c r="BT994" s="1051"/>
      <c r="BU994" s="1051"/>
      <c r="BV994" s="1051"/>
      <c r="BW994" s="1052"/>
      <c r="BX994" s="1052"/>
      <c r="BY994" s="1052"/>
      <c r="BZ994" s="1052"/>
      <c r="CA994" s="1052"/>
      <c r="CB994" s="1053"/>
      <c r="CC994" s="1053"/>
      <c r="CD994" s="1053"/>
      <c r="CE994" s="1053"/>
      <c r="CF994" s="1053"/>
      <c r="CG994" s="1053"/>
      <c r="CH994" s="1053"/>
      <c r="CI994" s="1123"/>
      <c r="CJ994" s="1123"/>
      <c r="CK994" s="1123"/>
      <c r="CL994" s="1123"/>
      <c r="CM994" s="1123"/>
      <c r="CN994" s="1123"/>
      <c r="CO994" s="1123"/>
      <c r="CP994" s="1123"/>
      <c r="CQ994" s="1123"/>
      <c r="CR994" s="1123"/>
      <c r="CS994" s="1123"/>
      <c r="CT994" s="1123"/>
      <c r="CU994" s="1123"/>
      <c r="CV994" s="1123"/>
      <c r="CW994" s="1123"/>
      <c r="CX994" s="1123"/>
      <c r="CY994" s="1123"/>
      <c r="CZ994" s="1114"/>
      <c r="DA994" s="1114"/>
      <c r="DB994" s="1114"/>
      <c r="DC994" s="1114"/>
      <c r="DD994" s="1114"/>
      <c r="DE994" s="1114"/>
      <c r="DF994" s="1114"/>
      <c r="DG994" s="1114"/>
      <c r="DH994" s="1114"/>
      <c r="DI994" s="1114"/>
      <c r="DJ994" s="1114"/>
      <c r="DK994" s="1114"/>
      <c r="DL994" s="1114"/>
      <c r="DM994" s="1114"/>
      <c r="DN994" s="1114"/>
      <c r="DO994" s="1114"/>
      <c r="DP994" s="1114"/>
      <c r="DQ994" s="1114"/>
      <c r="DR994" s="1114"/>
      <c r="DS994" s="1114"/>
      <c r="DT994" s="1114"/>
      <c r="DU994" s="1114"/>
      <c r="DV994" s="1115"/>
      <c r="DW994" s="1116"/>
      <c r="DX994" s="1116"/>
      <c r="DY994" s="1116"/>
      <c r="DZ994" s="1116"/>
      <c r="EA994" s="1116"/>
      <c r="EB994" s="1116"/>
      <c r="EC994" s="1116"/>
      <c r="ED994" s="1116"/>
      <c r="EE994" s="1116"/>
      <c r="EF994" s="1116"/>
      <c r="EG994" s="1116"/>
      <c r="EH994" s="1116"/>
      <c r="EI994" s="1116"/>
      <c r="EJ994" s="1116"/>
      <c r="EK994" s="1116"/>
      <c r="EL994" s="1116"/>
      <c r="EM994" s="1116"/>
      <c r="EN994" s="1116"/>
      <c r="EO994" s="1116"/>
      <c r="EP994" s="1116"/>
      <c r="EQ994" s="1116"/>
      <c r="ER994" s="1116"/>
      <c r="ES994" s="1116"/>
    </row>
    <row r="995" spans="1:149" ht="15" customHeight="1">
      <c r="A995" s="1185">
        <v>980</v>
      </c>
      <c r="B995" s="1041"/>
      <c r="C995" s="1050"/>
      <c r="D995" s="1050"/>
      <c r="E995" s="1050"/>
      <c r="F995" s="1049"/>
      <c r="G995" s="1457"/>
      <c r="H995" s="1049"/>
      <c r="I995" s="1049"/>
      <c r="J995" s="1050"/>
      <c r="K995" s="1050"/>
      <c r="L995" s="1043"/>
      <c r="M995" s="1051"/>
      <c r="N995" s="1051"/>
      <c r="O995" s="1052"/>
      <c r="P995" s="1051"/>
      <c r="Q995" s="1051"/>
      <c r="R995" s="1052"/>
      <c r="S995" s="1051"/>
      <c r="T995" s="1051"/>
      <c r="U995" s="1052"/>
      <c r="V995" s="1051"/>
      <c r="W995" s="1051"/>
      <c r="X995" s="1052"/>
      <c r="Y995" s="1053"/>
      <c r="Z995" s="1051"/>
      <c r="AA995" s="1051"/>
      <c r="AB995" s="1052"/>
      <c r="AC995" s="1051"/>
      <c r="AD995" s="1051"/>
      <c r="AE995" s="1052"/>
      <c r="AF995" s="1051"/>
      <c r="AG995" s="1051"/>
      <c r="AH995" s="1051"/>
      <c r="AI995" s="1051"/>
      <c r="AJ995" s="1052"/>
      <c r="AK995" s="1051"/>
      <c r="AL995" s="1051"/>
      <c r="AM995" s="1052"/>
      <c r="AN995" s="1051"/>
      <c r="AO995" s="1051"/>
      <c r="AP995" s="1052"/>
      <c r="AQ995" s="1051"/>
      <c r="AR995" s="1051"/>
      <c r="AS995" s="1052"/>
      <c r="AT995" s="1051"/>
      <c r="AU995" s="1051"/>
      <c r="AV995" s="1052"/>
      <c r="AW995" s="1051"/>
      <c r="AX995" s="1051"/>
      <c r="AY995" s="1053"/>
      <c r="AZ995" s="1051"/>
      <c r="BA995" s="1051"/>
      <c r="BB995" s="1053"/>
      <c r="BC995" s="1051"/>
      <c r="BD995" s="1051"/>
      <c r="BE995" s="1053"/>
      <c r="BF995" s="1051"/>
      <c r="BG995" s="1051"/>
      <c r="BH995" s="1053"/>
      <c r="BI995" s="1052"/>
      <c r="BJ995" s="1052"/>
      <c r="BK995" s="1052"/>
      <c r="BL995" s="1052"/>
      <c r="BM995" s="1052"/>
      <c r="BN995" s="1054"/>
      <c r="BO995" s="1076">
        <f t="shared" si="26"/>
        <v>0</v>
      </c>
      <c r="BP995" s="1051"/>
      <c r="BQ995" s="1052"/>
      <c r="BR995" s="1054"/>
      <c r="BS995" s="1053"/>
      <c r="BT995" s="1051"/>
      <c r="BU995" s="1051"/>
      <c r="BV995" s="1051"/>
      <c r="BW995" s="1052"/>
      <c r="BX995" s="1052"/>
      <c r="BY995" s="1052"/>
      <c r="BZ995" s="1052"/>
      <c r="CA995" s="1052"/>
      <c r="CB995" s="1053"/>
      <c r="CC995" s="1053"/>
      <c r="CD995" s="1053"/>
      <c r="CE995" s="1053"/>
      <c r="CF995" s="1053"/>
      <c r="CG995" s="1053"/>
      <c r="CH995" s="1053"/>
      <c r="CI995" s="1123"/>
      <c r="CJ995" s="1123"/>
      <c r="CK995" s="1123"/>
      <c r="CL995" s="1123"/>
      <c r="CM995" s="1123"/>
      <c r="CN995" s="1123"/>
      <c r="CO995" s="1123"/>
      <c r="CP995" s="1123"/>
      <c r="CQ995" s="1123"/>
      <c r="CR995" s="1123"/>
      <c r="CS995" s="1123"/>
      <c r="CT995" s="1123"/>
      <c r="CU995" s="1123"/>
      <c r="CV995" s="1123"/>
      <c r="CW995" s="1123"/>
      <c r="CX995" s="1123"/>
      <c r="CY995" s="1123"/>
      <c r="CZ995" s="1114"/>
      <c r="DA995" s="1114"/>
      <c r="DB995" s="1114"/>
      <c r="DC995" s="1114"/>
      <c r="DD995" s="1114"/>
      <c r="DE995" s="1114"/>
      <c r="DF995" s="1114"/>
      <c r="DG995" s="1114"/>
      <c r="DH995" s="1114"/>
      <c r="DI995" s="1114"/>
      <c r="DJ995" s="1114"/>
      <c r="DK995" s="1114"/>
      <c r="DL995" s="1114"/>
      <c r="DM995" s="1114"/>
      <c r="DN995" s="1114"/>
      <c r="DO995" s="1114"/>
      <c r="DP995" s="1114"/>
      <c r="DQ995" s="1114"/>
      <c r="DR995" s="1114"/>
      <c r="DS995" s="1114"/>
      <c r="DT995" s="1114"/>
      <c r="DU995" s="1114"/>
      <c r="DV995" s="1115"/>
      <c r="DW995" s="1116"/>
      <c r="DX995" s="1116"/>
      <c r="DY995" s="1116"/>
      <c r="DZ995" s="1116"/>
      <c r="EA995" s="1116"/>
      <c r="EB995" s="1116"/>
      <c r="EC995" s="1116"/>
      <c r="ED995" s="1116"/>
      <c r="EE995" s="1116"/>
      <c r="EF995" s="1116"/>
      <c r="EG995" s="1116"/>
      <c r="EH995" s="1116"/>
      <c r="EI995" s="1116"/>
      <c r="EJ995" s="1116"/>
      <c r="EK995" s="1116"/>
      <c r="EL995" s="1116"/>
      <c r="EM995" s="1116"/>
      <c r="EN995" s="1116"/>
      <c r="EO995" s="1116"/>
      <c r="EP995" s="1116"/>
      <c r="EQ995" s="1116"/>
      <c r="ER995" s="1116"/>
      <c r="ES995" s="1116"/>
    </row>
    <row r="996" spans="1:149" ht="15" customHeight="1">
      <c r="A996" s="1185">
        <v>981</v>
      </c>
      <c r="B996" s="1041"/>
      <c r="C996" s="1050"/>
      <c r="D996" s="1050"/>
      <c r="E996" s="1050"/>
      <c r="F996" s="1049"/>
      <c r="G996" s="1457"/>
      <c r="H996" s="1049"/>
      <c r="I996" s="1049"/>
      <c r="J996" s="1050"/>
      <c r="K996" s="1050"/>
      <c r="L996" s="1043"/>
      <c r="M996" s="1051"/>
      <c r="N996" s="1051"/>
      <c r="O996" s="1052"/>
      <c r="P996" s="1051"/>
      <c r="Q996" s="1051"/>
      <c r="R996" s="1052"/>
      <c r="S996" s="1051"/>
      <c r="T996" s="1051"/>
      <c r="U996" s="1052"/>
      <c r="V996" s="1051"/>
      <c r="W996" s="1051"/>
      <c r="X996" s="1052"/>
      <c r="Y996" s="1053"/>
      <c r="Z996" s="1051"/>
      <c r="AA996" s="1051"/>
      <c r="AB996" s="1052"/>
      <c r="AC996" s="1051"/>
      <c r="AD996" s="1051"/>
      <c r="AE996" s="1052"/>
      <c r="AF996" s="1051"/>
      <c r="AG996" s="1051"/>
      <c r="AH996" s="1051"/>
      <c r="AI996" s="1051"/>
      <c r="AJ996" s="1052"/>
      <c r="AK996" s="1051"/>
      <c r="AL996" s="1051"/>
      <c r="AM996" s="1052"/>
      <c r="AN996" s="1051"/>
      <c r="AO996" s="1051"/>
      <c r="AP996" s="1052"/>
      <c r="AQ996" s="1051"/>
      <c r="AR996" s="1051"/>
      <c r="AS996" s="1052"/>
      <c r="AT996" s="1051"/>
      <c r="AU996" s="1051"/>
      <c r="AV996" s="1052"/>
      <c r="AW996" s="1051"/>
      <c r="AX996" s="1051"/>
      <c r="AY996" s="1053"/>
      <c r="AZ996" s="1051"/>
      <c r="BA996" s="1051"/>
      <c r="BB996" s="1053"/>
      <c r="BC996" s="1051"/>
      <c r="BD996" s="1051"/>
      <c r="BE996" s="1053"/>
      <c r="BF996" s="1051"/>
      <c r="BG996" s="1051"/>
      <c r="BH996" s="1053"/>
      <c r="BI996" s="1052"/>
      <c r="BJ996" s="1052"/>
      <c r="BK996" s="1052"/>
      <c r="BL996" s="1052"/>
      <c r="BM996" s="1052"/>
      <c r="BN996" s="1054"/>
      <c r="BO996" s="1076">
        <f t="shared" si="26"/>
        <v>0</v>
      </c>
      <c r="BP996" s="1051"/>
      <c r="BQ996" s="1052"/>
      <c r="BR996" s="1054"/>
      <c r="BS996" s="1053"/>
      <c r="BT996" s="1051"/>
      <c r="BU996" s="1051"/>
      <c r="BV996" s="1051"/>
      <c r="BW996" s="1052"/>
      <c r="BX996" s="1052"/>
      <c r="BY996" s="1052"/>
      <c r="BZ996" s="1052"/>
      <c r="CA996" s="1052"/>
      <c r="CB996" s="1053"/>
      <c r="CC996" s="1053"/>
      <c r="CD996" s="1053"/>
      <c r="CE996" s="1053"/>
      <c r="CF996" s="1053"/>
      <c r="CG996" s="1053"/>
      <c r="CH996" s="1053"/>
      <c r="CI996" s="1123"/>
      <c r="CJ996" s="1123"/>
      <c r="CK996" s="1123"/>
      <c r="CL996" s="1123"/>
      <c r="CM996" s="1123"/>
      <c r="CN996" s="1123"/>
      <c r="CO996" s="1123"/>
      <c r="CP996" s="1123"/>
      <c r="CQ996" s="1123"/>
      <c r="CR996" s="1123"/>
      <c r="CS996" s="1123"/>
      <c r="CT996" s="1123"/>
      <c r="CU996" s="1123"/>
      <c r="CV996" s="1123"/>
      <c r="CW996" s="1123"/>
      <c r="CX996" s="1123"/>
      <c r="CY996" s="1123"/>
      <c r="CZ996" s="1114"/>
      <c r="DA996" s="1114"/>
      <c r="DB996" s="1114"/>
      <c r="DC996" s="1114"/>
      <c r="DD996" s="1114"/>
      <c r="DE996" s="1114"/>
      <c r="DF996" s="1114"/>
      <c r="DG996" s="1114"/>
      <c r="DH996" s="1114"/>
      <c r="DI996" s="1114"/>
      <c r="DJ996" s="1114"/>
      <c r="DK996" s="1114"/>
      <c r="DL996" s="1114"/>
      <c r="DM996" s="1114"/>
      <c r="DN996" s="1114"/>
      <c r="DO996" s="1114"/>
      <c r="DP996" s="1114"/>
      <c r="DQ996" s="1114"/>
      <c r="DR996" s="1114"/>
      <c r="DS996" s="1114"/>
      <c r="DT996" s="1114"/>
      <c r="DU996" s="1114"/>
      <c r="DV996" s="1115"/>
      <c r="DW996" s="1116"/>
      <c r="DX996" s="1116"/>
      <c r="DY996" s="1116"/>
      <c r="DZ996" s="1116"/>
      <c r="EA996" s="1116"/>
      <c r="EB996" s="1116"/>
      <c r="EC996" s="1116"/>
      <c r="ED996" s="1116"/>
      <c r="EE996" s="1116"/>
      <c r="EF996" s="1116"/>
      <c r="EG996" s="1116"/>
      <c r="EH996" s="1116"/>
      <c r="EI996" s="1116"/>
      <c r="EJ996" s="1116"/>
      <c r="EK996" s="1116"/>
      <c r="EL996" s="1116"/>
      <c r="EM996" s="1116"/>
      <c r="EN996" s="1116"/>
      <c r="EO996" s="1116"/>
      <c r="EP996" s="1116"/>
      <c r="EQ996" s="1116"/>
      <c r="ER996" s="1116"/>
      <c r="ES996" s="1116"/>
    </row>
    <row r="997" spans="1:149" ht="15" customHeight="1">
      <c r="A997" s="1185">
        <v>982</v>
      </c>
      <c r="B997" s="1041"/>
      <c r="C997" s="1050"/>
      <c r="D997" s="1050"/>
      <c r="E997" s="1050"/>
      <c r="F997" s="1049"/>
      <c r="G997" s="1457"/>
      <c r="H997" s="1049"/>
      <c r="I997" s="1049"/>
      <c r="J997" s="1050"/>
      <c r="K997" s="1050"/>
      <c r="L997" s="1043"/>
      <c r="M997" s="1051"/>
      <c r="N997" s="1051"/>
      <c r="O997" s="1052"/>
      <c r="P997" s="1051"/>
      <c r="Q997" s="1051"/>
      <c r="R997" s="1052"/>
      <c r="S997" s="1051"/>
      <c r="T997" s="1051"/>
      <c r="U997" s="1052"/>
      <c r="V997" s="1051"/>
      <c r="W997" s="1051"/>
      <c r="X997" s="1052"/>
      <c r="Y997" s="1053"/>
      <c r="Z997" s="1051"/>
      <c r="AA997" s="1051"/>
      <c r="AB997" s="1052"/>
      <c r="AC997" s="1051"/>
      <c r="AD997" s="1051"/>
      <c r="AE997" s="1052"/>
      <c r="AF997" s="1051"/>
      <c r="AG997" s="1051"/>
      <c r="AH997" s="1051"/>
      <c r="AI997" s="1051"/>
      <c r="AJ997" s="1052"/>
      <c r="AK997" s="1051"/>
      <c r="AL997" s="1051"/>
      <c r="AM997" s="1052"/>
      <c r="AN997" s="1051"/>
      <c r="AO997" s="1051"/>
      <c r="AP997" s="1052"/>
      <c r="AQ997" s="1051"/>
      <c r="AR997" s="1051"/>
      <c r="AS997" s="1052"/>
      <c r="AT997" s="1051"/>
      <c r="AU997" s="1051"/>
      <c r="AV997" s="1052"/>
      <c r="AW997" s="1051"/>
      <c r="AX997" s="1051"/>
      <c r="AY997" s="1053"/>
      <c r="AZ997" s="1051"/>
      <c r="BA997" s="1051"/>
      <c r="BB997" s="1053"/>
      <c r="BC997" s="1051"/>
      <c r="BD997" s="1051"/>
      <c r="BE997" s="1053"/>
      <c r="BF997" s="1051"/>
      <c r="BG997" s="1051"/>
      <c r="BH997" s="1053"/>
      <c r="BI997" s="1052"/>
      <c r="BJ997" s="1052"/>
      <c r="BK997" s="1052"/>
      <c r="BL997" s="1052"/>
      <c r="BM997" s="1052"/>
      <c r="BN997" s="1054"/>
      <c r="BO997" s="1076">
        <f t="shared" si="26"/>
        <v>0</v>
      </c>
      <c r="BP997" s="1051"/>
      <c r="BQ997" s="1052"/>
      <c r="BR997" s="1054"/>
      <c r="BS997" s="1053"/>
      <c r="BT997" s="1051"/>
      <c r="BU997" s="1051"/>
      <c r="BV997" s="1051"/>
      <c r="BW997" s="1052"/>
      <c r="BX997" s="1052"/>
      <c r="BY997" s="1052"/>
      <c r="BZ997" s="1052"/>
      <c r="CA997" s="1052"/>
      <c r="CB997" s="1053"/>
      <c r="CC997" s="1053"/>
      <c r="CD997" s="1053"/>
      <c r="CE997" s="1053"/>
      <c r="CF997" s="1053"/>
      <c r="CG997" s="1053"/>
      <c r="CH997" s="1053"/>
      <c r="CI997" s="1123"/>
      <c r="CJ997" s="1123"/>
      <c r="CK997" s="1123"/>
      <c r="CL997" s="1123"/>
      <c r="CM997" s="1123"/>
      <c r="CN997" s="1123"/>
      <c r="CO997" s="1123"/>
      <c r="CP997" s="1123"/>
      <c r="CQ997" s="1123"/>
      <c r="CR997" s="1123"/>
      <c r="CS997" s="1123"/>
      <c r="CT997" s="1123"/>
      <c r="CU997" s="1123"/>
      <c r="CV997" s="1123"/>
      <c r="CW997" s="1123"/>
      <c r="CX997" s="1123"/>
      <c r="CY997" s="1123"/>
      <c r="CZ997" s="1114"/>
      <c r="DA997" s="1114"/>
      <c r="DB997" s="1114"/>
      <c r="DC997" s="1114"/>
      <c r="DD997" s="1114"/>
      <c r="DE997" s="1114"/>
      <c r="DF997" s="1114"/>
      <c r="DG997" s="1114"/>
      <c r="DH997" s="1114"/>
      <c r="DI997" s="1114"/>
      <c r="DJ997" s="1114"/>
      <c r="DK997" s="1114"/>
      <c r="DL997" s="1114"/>
      <c r="DM997" s="1114"/>
      <c r="DN997" s="1114"/>
      <c r="DO997" s="1114"/>
      <c r="DP997" s="1114"/>
      <c r="DQ997" s="1114"/>
      <c r="DR997" s="1114"/>
      <c r="DS997" s="1114"/>
      <c r="DT997" s="1114"/>
      <c r="DU997" s="1114"/>
      <c r="DV997" s="1115"/>
      <c r="DW997" s="1116"/>
      <c r="DX997" s="1116"/>
      <c r="DY997" s="1116"/>
      <c r="DZ997" s="1116"/>
      <c r="EA997" s="1116"/>
      <c r="EB997" s="1116"/>
      <c r="EC997" s="1116"/>
      <c r="ED997" s="1116"/>
      <c r="EE997" s="1116"/>
      <c r="EF997" s="1116"/>
      <c r="EG997" s="1116"/>
      <c r="EH997" s="1116"/>
      <c r="EI997" s="1116"/>
      <c r="EJ997" s="1116"/>
      <c r="EK997" s="1116"/>
      <c r="EL997" s="1116"/>
      <c r="EM997" s="1116"/>
      <c r="EN997" s="1116"/>
      <c r="EO997" s="1116"/>
      <c r="EP997" s="1116"/>
      <c r="EQ997" s="1116"/>
      <c r="ER997" s="1116"/>
      <c r="ES997" s="1116"/>
    </row>
    <row r="998" spans="1:149" ht="15" customHeight="1">
      <c r="A998" s="1185">
        <v>983</v>
      </c>
      <c r="B998" s="1041"/>
      <c r="C998" s="1050"/>
      <c r="D998" s="1050"/>
      <c r="E998" s="1050"/>
      <c r="F998" s="1049"/>
      <c r="G998" s="1457"/>
      <c r="H998" s="1049"/>
      <c r="I998" s="1049"/>
      <c r="J998" s="1050"/>
      <c r="K998" s="1050"/>
      <c r="L998" s="1043"/>
      <c r="M998" s="1051"/>
      <c r="N998" s="1051"/>
      <c r="O998" s="1052"/>
      <c r="P998" s="1051"/>
      <c r="Q998" s="1051"/>
      <c r="R998" s="1052"/>
      <c r="S998" s="1051"/>
      <c r="T998" s="1051"/>
      <c r="U998" s="1052"/>
      <c r="V998" s="1051"/>
      <c r="W998" s="1051"/>
      <c r="X998" s="1052"/>
      <c r="Y998" s="1053"/>
      <c r="Z998" s="1051"/>
      <c r="AA998" s="1051"/>
      <c r="AB998" s="1052"/>
      <c r="AC998" s="1051"/>
      <c r="AD998" s="1051"/>
      <c r="AE998" s="1052"/>
      <c r="AF998" s="1051"/>
      <c r="AG998" s="1051"/>
      <c r="AH998" s="1051"/>
      <c r="AI998" s="1051"/>
      <c r="AJ998" s="1052"/>
      <c r="AK998" s="1051"/>
      <c r="AL998" s="1051"/>
      <c r="AM998" s="1052"/>
      <c r="AN998" s="1051"/>
      <c r="AO998" s="1051"/>
      <c r="AP998" s="1052"/>
      <c r="AQ998" s="1051"/>
      <c r="AR998" s="1051"/>
      <c r="AS998" s="1052"/>
      <c r="AT998" s="1051"/>
      <c r="AU998" s="1051"/>
      <c r="AV998" s="1052"/>
      <c r="AW998" s="1051"/>
      <c r="AX998" s="1051"/>
      <c r="AY998" s="1053"/>
      <c r="AZ998" s="1051"/>
      <c r="BA998" s="1051"/>
      <c r="BB998" s="1053"/>
      <c r="BC998" s="1051"/>
      <c r="BD998" s="1051"/>
      <c r="BE998" s="1053"/>
      <c r="BF998" s="1051"/>
      <c r="BG998" s="1051"/>
      <c r="BH998" s="1053"/>
      <c r="BI998" s="1052"/>
      <c r="BJ998" s="1052"/>
      <c r="BK998" s="1052"/>
      <c r="BL998" s="1052"/>
      <c r="BM998" s="1052"/>
      <c r="BN998" s="1054"/>
      <c r="BO998" s="1076">
        <f t="shared" si="26"/>
        <v>0</v>
      </c>
      <c r="BP998" s="1051"/>
      <c r="BQ998" s="1052"/>
      <c r="BR998" s="1054"/>
      <c r="BS998" s="1053"/>
      <c r="BT998" s="1051"/>
      <c r="BU998" s="1051"/>
      <c r="BV998" s="1051"/>
      <c r="BW998" s="1052"/>
      <c r="BX998" s="1052"/>
      <c r="BY998" s="1052"/>
      <c r="BZ998" s="1052"/>
      <c r="CA998" s="1052"/>
      <c r="CB998" s="1053"/>
      <c r="CC998" s="1053"/>
      <c r="CD998" s="1053"/>
      <c r="CE998" s="1053"/>
      <c r="CF998" s="1053"/>
      <c r="CG998" s="1053"/>
      <c r="CH998" s="1053"/>
      <c r="CI998" s="1123"/>
      <c r="CJ998" s="1123"/>
      <c r="CK998" s="1123"/>
      <c r="CL998" s="1123"/>
      <c r="CM998" s="1123"/>
      <c r="CN998" s="1123"/>
      <c r="CO998" s="1123"/>
      <c r="CP998" s="1123"/>
      <c r="CQ998" s="1123"/>
      <c r="CR998" s="1123"/>
      <c r="CS998" s="1123"/>
      <c r="CT998" s="1123"/>
      <c r="CU998" s="1123"/>
      <c r="CV998" s="1123"/>
      <c r="CW998" s="1123"/>
      <c r="CX998" s="1123"/>
      <c r="CY998" s="1123"/>
      <c r="CZ998" s="1114"/>
      <c r="DA998" s="1114"/>
      <c r="DB998" s="1114"/>
      <c r="DC998" s="1114"/>
      <c r="DD998" s="1114"/>
      <c r="DE998" s="1114"/>
      <c r="DF998" s="1114"/>
      <c r="DG998" s="1114"/>
      <c r="DH998" s="1114"/>
      <c r="DI998" s="1114"/>
      <c r="DJ998" s="1114"/>
      <c r="DK998" s="1114"/>
      <c r="DL998" s="1114"/>
      <c r="DM998" s="1114"/>
      <c r="DN998" s="1114"/>
      <c r="DO998" s="1114"/>
      <c r="DP998" s="1114"/>
      <c r="DQ998" s="1114"/>
      <c r="DR998" s="1114"/>
      <c r="DS998" s="1114"/>
      <c r="DT998" s="1114"/>
      <c r="DU998" s="1114"/>
      <c r="DV998" s="1115"/>
      <c r="DW998" s="1116"/>
      <c r="DX998" s="1116"/>
      <c r="DY998" s="1116"/>
      <c r="DZ998" s="1116"/>
      <c r="EA998" s="1116"/>
      <c r="EB998" s="1116"/>
      <c r="EC998" s="1116"/>
      <c r="ED998" s="1116"/>
      <c r="EE998" s="1116"/>
      <c r="EF998" s="1116"/>
      <c r="EG998" s="1116"/>
      <c r="EH998" s="1116"/>
      <c r="EI998" s="1116"/>
      <c r="EJ998" s="1116"/>
      <c r="EK998" s="1116"/>
      <c r="EL998" s="1116"/>
      <c r="EM998" s="1116"/>
      <c r="EN998" s="1116"/>
      <c r="EO998" s="1116"/>
      <c r="EP998" s="1116"/>
      <c r="EQ998" s="1116"/>
      <c r="ER998" s="1116"/>
      <c r="ES998" s="1116"/>
    </row>
    <row r="999" spans="1:149" ht="15" customHeight="1">
      <c r="A999" s="1185">
        <v>984</v>
      </c>
      <c r="B999" s="1041"/>
      <c r="C999" s="1050"/>
      <c r="D999" s="1050"/>
      <c r="E999" s="1050"/>
      <c r="F999" s="1049"/>
      <c r="G999" s="1457"/>
      <c r="H999" s="1049"/>
      <c r="I999" s="1049"/>
      <c r="J999" s="1050"/>
      <c r="K999" s="1050"/>
      <c r="L999" s="1043"/>
      <c r="M999" s="1051"/>
      <c r="N999" s="1051"/>
      <c r="O999" s="1052"/>
      <c r="P999" s="1051"/>
      <c r="Q999" s="1051"/>
      <c r="R999" s="1052"/>
      <c r="S999" s="1051"/>
      <c r="T999" s="1051"/>
      <c r="U999" s="1052"/>
      <c r="V999" s="1051"/>
      <c r="W999" s="1051"/>
      <c r="X999" s="1052"/>
      <c r="Y999" s="1053"/>
      <c r="Z999" s="1051"/>
      <c r="AA999" s="1051"/>
      <c r="AB999" s="1052"/>
      <c r="AC999" s="1051"/>
      <c r="AD999" s="1051"/>
      <c r="AE999" s="1052"/>
      <c r="AF999" s="1051"/>
      <c r="AG999" s="1051"/>
      <c r="AH999" s="1051"/>
      <c r="AI999" s="1051"/>
      <c r="AJ999" s="1052"/>
      <c r="AK999" s="1051"/>
      <c r="AL999" s="1051"/>
      <c r="AM999" s="1052"/>
      <c r="AN999" s="1051"/>
      <c r="AO999" s="1051"/>
      <c r="AP999" s="1052"/>
      <c r="AQ999" s="1051"/>
      <c r="AR999" s="1051"/>
      <c r="AS999" s="1052"/>
      <c r="AT999" s="1051"/>
      <c r="AU999" s="1051"/>
      <c r="AV999" s="1052"/>
      <c r="AW999" s="1051"/>
      <c r="AX999" s="1051"/>
      <c r="AY999" s="1053"/>
      <c r="AZ999" s="1051"/>
      <c r="BA999" s="1051"/>
      <c r="BB999" s="1053"/>
      <c r="BC999" s="1051"/>
      <c r="BD999" s="1051"/>
      <c r="BE999" s="1053"/>
      <c r="BF999" s="1051"/>
      <c r="BG999" s="1051"/>
      <c r="BH999" s="1053"/>
      <c r="BI999" s="1052"/>
      <c r="BJ999" s="1052"/>
      <c r="BK999" s="1052"/>
      <c r="BL999" s="1052"/>
      <c r="BM999" s="1052"/>
      <c r="BN999" s="1054"/>
      <c r="BO999" s="1076">
        <f t="shared" si="26"/>
        <v>0</v>
      </c>
      <c r="BP999" s="1051"/>
      <c r="BQ999" s="1052"/>
      <c r="BR999" s="1054"/>
      <c r="BS999" s="1053"/>
      <c r="BT999" s="1051"/>
      <c r="BU999" s="1051"/>
      <c r="BV999" s="1051"/>
      <c r="BW999" s="1052"/>
      <c r="BX999" s="1052"/>
      <c r="BY999" s="1052"/>
      <c r="BZ999" s="1052"/>
      <c r="CA999" s="1052"/>
      <c r="CB999" s="1053"/>
      <c r="CC999" s="1053"/>
      <c r="CD999" s="1053"/>
      <c r="CE999" s="1053"/>
      <c r="CF999" s="1053"/>
      <c r="CG999" s="1053"/>
      <c r="CH999" s="1053"/>
      <c r="CI999" s="1123"/>
      <c r="CJ999" s="1123"/>
      <c r="CK999" s="1123"/>
      <c r="CL999" s="1123"/>
      <c r="CM999" s="1123"/>
      <c r="CN999" s="1123"/>
      <c r="CO999" s="1123"/>
      <c r="CP999" s="1123"/>
      <c r="CQ999" s="1123"/>
      <c r="CR999" s="1123"/>
      <c r="CS999" s="1123"/>
      <c r="CT999" s="1123"/>
      <c r="CU999" s="1123"/>
      <c r="CV999" s="1123"/>
      <c r="CW999" s="1123"/>
      <c r="CX999" s="1123"/>
      <c r="CY999" s="1123"/>
      <c r="CZ999" s="1114"/>
      <c r="DA999" s="1114"/>
      <c r="DB999" s="1114"/>
      <c r="DC999" s="1114"/>
      <c r="DD999" s="1114"/>
      <c r="DE999" s="1114"/>
      <c r="DF999" s="1114"/>
      <c r="DG999" s="1114"/>
      <c r="DH999" s="1114"/>
      <c r="DI999" s="1114"/>
      <c r="DJ999" s="1114"/>
      <c r="DK999" s="1114"/>
      <c r="DL999" s="1114"/>
      <c r="DM999" s="1114"/>
      <c r="DN999" s="1114"/>
      <c r="DO999" s="1114"/>
      <c r="DP999" s="1114"/>
      <c r="DQ999" s="1114"/>
      <c r="DR999" s="1114"/>
      <c r="DS999" s="1114"/>
      <c r="DT999" s="1114"/>
      <c r="DU999" s="1114"/>
      <c r="DV999" s="1115"/>
      <c r="DW999" s="1116"/>
      <c r="DX999" s="1116"/>
      <c r="DY999" s="1116"/>
      <c r="DZ999" s="1116"/>
      <c r="EA999" s="1116"/>
      <c r="EB999" s="1116"/>
      <c r="EC999" s="1116"/>
      <c r="ED999" s="1116"/>
      <c r="EE999" s="1116"/>
      <c r="EF999" s="1116"/>
      <c r="EG999" s="1116"/>
      <c r="EH999" s="1116"/>
      <c r="EI999" s="1116"/>
      <c r="EJ999" s="1116"/>
      <c r="EK999" s="1116"/>
      <c r="EL999" s="1116"/>
      <c r="EM999" s="1116"/>
      <c r="EN999" s="1116"/>
      <c r="EO999" s="1116"/>
      <c r="EP999" s="1116"/>
      <c r="EQ999" s="1116"/>
      <c r="ER999" s="1116"/>
      <c r="ES999" s="1116"/>
    </row>
    <row r="1000" spans="1:149" ht="15" customHeight="1">
      <c r="A1000" s="1185">
        <v>985</v>
      </c>
      <c r="B1000" s="1041"/>
      <c r="C1000" s="1050"/>
      <c r="D1000" s="1050"/>
      <c r="E1000" s="1050"/>
      <c r="F1000" s="1049"/>
      <c r="G1000" s="1457"/>
      <c r="H1000" s="1049"/>
      <c r="I1000" s="1049"/>
      <c r="J1000" s="1050"/>
      <c r="K1000" s="1050"/>
      <c r="L1000" s="1043"/>
      <c r="M1000" s="1051"/>
      <c r="N1000" s="1051"/>
      <c r="O1000" s="1052"/>
      <c r="P1000" s="1051"/>
      <c r="Q1000" s="1051"/>
      <c r="R1000" s="1052"/>
      <c r="S1000" s="1051"/>
      <c r="T1000" s="1051"/>
      <c r="U1000" s="1052"/>
      <c r="V1000" s="1051"/>
      <c r="W1000" s="1051"/>
      <c r="X1000" s="1052"/>
      <c r="Y1000" s="1053"/>
      <c r="Z1000" s="1051"/>
      <c r="AA1000" s="1051"/>
      <c r="AB1000" s="1052"/>
      <c r="AC1000" s="1051"/>
      <c r="AD1000" s="1051"/>
      <c r="AE1000" s="1052"/>
      <c r="AF1000" s="1051"/>
      <c r="AG1000" s="1051"/>
      <c r="AH1000" s="1051"/>
      <c r="AI1000" s="1051"/>
      <c r="AJ1000" s="1052"/>
      <c r="AK1000" s="1051"/>
      <c r="AL1000" s="1051"/>
      <c r="AM1000" s="1052"/>
      <c r="AN1000" s="1051"/>
      <c r="AO1000" s="1051"/>
      <c r="AP1000" s="1052"/>
      <c r="AQ1000" s="1051"/>
      <c r="AR1000" s="1051"/>
      <c r="AS1000" s="1052"/>
      <c r="AT1000" s="1051"/>
      <c r="AU1000" s="1051"/>
      <c r="AV1000" s="1052"/>
      <c r="AW1000" s="1051"/>
      <c r="AX1000" s="1051"/>
      <c r="AY1000" s="1053"/>
      <c r="AZ1000" s="1051"/>
      <c r="BA1000" s="1051"/>
      <c r="BB1000" s="1053"/>
      <c r="BC1000" s="1051"/>
      <c r="BD1000" s="1051"/>
      <c r="BE1000" s="1053"/>
      <c r="BF1000" s="1051"/>
      <c r="BG1000" s="1051"/>
      <c r="BH1000" s="1053"/>
      <c r="BI1000" s="1052"/>
      <c r="BJ1000" s="1052"/>
      <c r="BK1000" s="1052"/>
      <c r="BL1000" s="1052"/>
      <c r="BM1000" s="1052"/>
      <c r="BN1000" s="1054"/>
      <c r="BO1000" s="1076">
        <f t="shared" si="26"/>
        <v>0</v>
      </c>
      <c r="BP1000" s="1051"/>
      <c r="BQ1000" s="1052"/>
      <c r="BR1000" s="1054"/>
      <c r="BS1000" s="1053"/>
      <c r="BT1000" s="1051"/>
      <c r="BU1000" s="1051"/>
      <c r="BV1000" s="1051"/>
      <c r="BW1000" s="1052"/>
      <c r="BX1000" s="1052"/>
      <c r="BY1000" s="1052"/>
      <c r="BZ1000" s="1052"/>
      <c r="CA1000" s="1052"/>
      <c r="CB1000" s="1053"/>
      <c r="CC1000" s="1053"/>
      <c r="CD1000" s="1053"/>
      <c r="CE1000" s="1053"/>
      <c r="CF1000" s="1053"/>
      <c r="CG1000" s="1053"/>
      <c r="CH1000" s="1053"/>
      <c r="CI1000" s="1123"/>
      <c r="CJ1000" s="1123"/>
      <c r="CK1000" s="1123"/>
      <c r="CL1000" s="1123"/>
      <c r="CM1000" s="1123"/>
      <c r="CN1000" s="1123"/>
      <c r="CO1000" s="1123"/>
      <c r="CP1000" s="1123"/>
      <c r="CQ1000" s="1123"/>
      <c r="CR1000" s="1123"/>
      <c r="CS1000" s="1123"/>
      <c r="CT1000" s="1123"/>
      <c r="CU1000" s="1123"/>
      <c r="CV1000" s="1123"/>
      <c r="CW1000" s="1123"/>
      <c r="CX1000" s="1123"/>
      <c r="CY1000" s="1123"/>
      <c r="CZ1000" s="1114"/>
      <c r="DA1000" s="1114"/>
      <c r="DB1000" s="1114"/>
      <c r="DC1000" s="1114"/>
      <c r="DD1000" s="1114"/>
      <c r="DE1000" s="1114"/>
      <c r="DF1000" s="1114"/>
      <c r="DG1000" s="1114"/>
      <c r="DH1000" s="1114"/>
      <c r="DI1000" s="1114"/>
      <c r="DJ1000" s="1114"/>
      <c r="DK1000" s="1114"/>
      <c r="DL1000" s="1114"/>
      <c r="DM1000" s="1114"/>
      <c r="DN1000" s="1114"/>
      <c r="DO1000" s="1114"/>
      <c r="DP1000" s="1114"/>
      <c r="DQ1000" s="1114"/>
      <c r="DR1000" s="1114"/>
      <c r="DS1000" s="1114"/>
      <c r="DT1000" s="1114"/>
      <c r="DU1000" s="1114"/>
      <c r="DV1000" s="1115"/>
      <c r="DW1000" s="1116"/>
      <c r="DX1000" s="1116"/>
      <c r="DY1000" s="1116"/>
      <c r="DZ1000" s="1116"/>
      <c r="EA1000" s="1116"/>
      <c r="EB1000" s="1116"/>
      <c r="EC1000" s="1116"/>
      <c r="ED1000" s="1116"/>
      <c r="EE1000" s="1116"/>
      <c r="EF1000" s="1116"/>
      <c r="EG1000" s="1116"/>
      <c r="EH1000" s="1116"/>
      <c r="EI1000" s="1116"/>
      <c r="EJ1000" s="1116"/>
      <c r="EK1000" s="1116"/>
      <c r="EL1000" s="1116"/>
      <c r="EM1000" s="1116"/>
      <c r="EN1000" s="1116"/>
      <c r="EO1000" s="1116"/>
      <c r="EP1000" s="1116"/>
      <c r="EQ1000" s="1116"/>
      <c r="ER1000" s="1116"/>
      <c r="ES1000" s="1116"/>
    </row>
    <row r="1001" spans="1:149" ht="15" customHeight="1">
      <c r="A1001" s="1185">
        <v>986</v>
      </c>
      <c r="B1001" s="1041"/>
      <c r="C1001" s="1050"/>
      <c r="D1001" s="1050"/>
      <c r="E1001" s="1050"/>
      <c r="F1001" s="1049"/>
      <c r="G1001" s="1457"/>
      <c r="H1001" s="1049"/>
      <c r="I1001" s="1049"/>
      <c r="J1001" s="1050"/>
      <c r="K1001" s="1050"/>
      <c r="L1001" s="1043"/>
      <c r="M1001" s="1051"/>
      <c r="N1001" s="1051"/>
      <c r="O1001" s="1052"/>
      <c r="P1001" s="1051"/>
      <c r="Q1001" s="1051"/>
      <c r="R1001" s="1052"/>
      <c r="S1001" s="1051"/>
      <c r="T1001" s="1051"/>
      <c r="U1001" s="1052"/>
      <c r="V1001" s="1051"/>
      <c r="W1001" s="1051"/>
      <c r="X1001" s="1052"/>
      <c r="Y1001" s="1053"/>
      <c r="Z1001" s="1051"/>
      <c r="AA1001" s="1051"/>
      <c r="AB1001" s="1052"/>
      <c r="AC1001" s="1051"/>
      <c r="AD1001" s="1051"/>
      <c r="AE1001" s="1052"/>
      <c r="AF1001" s="1051"/>
      <c r="AG1001" s="1051"/>
      <c r="AH1001" s="1051"/>
      <c r="AI1001" s="1051"/>
      <c r="AJ1001" s="1052"/>
      <c r="AK1001" s="1051"/>
      <c r="AL1001" s="1051"/>
      <c r="AM1001" s="1052"/>
      <c r="AN1001" s="1051"/>
      <c r="AO1001" s="1051"/>
      <c r="AP1001" s="1052"/>
      <c r="AQ1001" s="1051"/>
      <c r="AR1001" s="1051"/>
      <c r="AS1001" s="1052"/>
      <c r="AT1001" s="1051"/>
      <c r="AU1001" s="1051"/>
      <c r="AV1001" s="1052"/>
      <c r="AW1001" s="1051"/>
      <c r="AX1001" s="1051"/>
      <c r="AY1001" s="1053"/>
      <c r="AZ1001" s="1051"/>
      <c r="BA1001" s="1051"/>
      <c r="BB1001" s="1053"/>
      <c r="BC1001" s="1051"/>
      <c r="BD1001" s="1051"/>
      <c r="BE1001" s="1053"/>
      <c r="BF1001" s="1051"/>
      <c r="BG1001" s="1051"/>
      <c r="BH1001" s="1053"/>
      <c r="BI1001" s="1052"/>
      <c r="BJ1001" s="1052"/>
      <c r="BK1001" s="1052"/>
      <c r="BL1001" s="1052"/>
      <c r="BM1001" s="1052"/>
      <c r="BN1001" s="1054"/>
      <c r="BO1001" s="1076">
        <f t="shared" si="26"/>
        <v>0</v>
      </c>
      <c r="BP1001" s="1051"/>
      <c r="BQ1001" s="1052"/>
      <c r="BR1001" s="1054"/>
      <c r="BS1001" s="1053"/>
      <c r="BT1001" s="1051"/>
      <c r="BU1001" s="1051"/>
      <c r="BV1001" s="1051"/>
      <c r="BW1001" s="1052"/>
      <c r="BX1001" s="1052"/>
      <c r="BY1001" s="1052"/>
      <c r="BZ1001" s="1052"/>
      <c r="CA1001" s="1052"/>
      <c r="CB1001" s="1053"/>
      <c r="CC1001" s="1053"/>
      <c r="CD1001" s="1053"/>
      <c r="CE1001" s="1053"/>
      <c r="CF1001" s="1053"/>
      <c r="CG1001" s="1053"/>
      <c r="CH1001" s="1053"/>
      <c r="CI1001" s="1123"/>
      <c r="CJ1001" s="1123"/>
      <c r="CK1001" s="1123"/>
      <c r="CL1001" s="1123"/>
      <c r="CM1001" s="1123"/>
      <c r="CN1001" s="1123"/>
      <c r="CO1001" s="1123"/>
      <c r="CP1001" s="1123"/>
      <c r="CQ1001" s="1123"/>
      <c r="CR1001" s="1123"/>
      <c r="CS1001" s="1123"/>
      <c r="CT1001" s="1123"/>
      <c r="CU1001" s="1123"/>
      <c r="CV1001" s="1123"/>
      <c r="CW1001" s="1123"/>
      <c r="CX1001" s="1123"/>
      <c r="CY1001" s="1123"/>
      <c r="CZ1001" s="1114"/>
      <c r="DA1001" s="1114"/>
      <c r="DB1001" s="1114"/>
      <c r="DC1001" s="1114"/>
      <c r="DD1001" s="1114"/>
      <c r="DE1001" s="1114"/>
      <c r="DF1001" s="1114"/>
      <c r="DG1001" s="1114"/>
      <c r="DH1001" s="1114"/>
      <c r="DI1001" s="1114"/>
      <c r="DJ1001" s="1114"/>
      <c r="DK1001" s="1114"/>
      <c r="DL1001" s="1114"/>
      <c r="DM1001" s="1114"/>
      <c r="DN1001" s="1114"/>
      <c r="DO1001" s="1114"/>
      <c r="DP1001" s="1114"/>
      <c r="DQ1001" s="1114"/>
      <c r="DR1001" s="1114"/>
      <c r="DS1001" s="1114"/>
      <c r="DT1001" s="1114"/>
      <c r="DU1001" s="1114"/>
      <c r="DV1001" s="1115"/>
      <c r="DW1001" s="1116"/>
      <c r="DX1001" s="1116"/>
      <c r="DY1001" s="1116"/>
      <c r="DZ1001" s="1116"/>
      <c r="EA1001" s="1116"/>
      <c r="EB1001" s="1116"/>
      <c r="EC1001" s="1116"/>
      <c r="ED1001" s="1116"/>
      <c r="EE1001" s="1116"/>
      <c r="EF1001" s="1116"/>
      <c r="EG1001" s="1116"/>
      <c r="EH1001" s="1116"/>
      <c r="EI1001" s="1116"/>
      <c r="EJ1001" s="1116"/>
      <c r="EK1001" s="1116"/>
      <c r="EL1001" s="1116"/>
      <c r="EM1001" s="1116"/>
      <c r="EN1001" s="1116"/>
      <c r="EO1001" s="1116"/>
      <c r="EP1001" s="1116"/>
      <c r="EQ1001" s="1116"/>
      <c r="ER1001" s="1116"/>
      <c r="ES1001" s="1116"/>
    </row>
    <row r="1002" spans="1:149" ht="15" customHeight="1">
      <c r="A1002" s="1185">
        <v>987</v>
      </c>
      <c r="B1002" s="1041"/>
      <c r="C1002" s="1050"/>
      <c r="D1002" s="1050"/>
      <c r="E1002" s="1050"/>
      <c r="F1002" s="1049"/>
      <c r="G1002" s="1457"/>
      <c r="H1002" s="1049"/>
      <c r="I1002" s="1049"/>
      <c r="J1002" s="1050"/>
      <c r="K1002" s="1050"/>
      <c r="L1002" s="1043"/>
      <c r="M1002" s="1051"/>
      <c r="N1002" s="1051"/>
      <c r="O1002" s="1052"/>
      <c r="P1002" s="1051"/>
      <c r="Q1002" s="1051"/>
      <c r="R1002" s="1052"/>
      <c r="S1002" s="1051"/>
      <c r="T1002" s="1051"/>
      <c r="U1002" s="1052"/>
      <c r="V1002" s="1051"/>
      <c r="W1002" s="1051"/>
      <c r="X1002" s="1052"/>
      <c r="Y1002" s="1053"/>
      <c r="Z1002" s="1051"/>
      <c r="AA1002" s="1051"/>
      <c r="AB1002" s="1052"/>
      <c r="AC1002" s="1051"/>
      <c r="AD1002" s="1051"/>
      <c r="AE1002" s="1052"/>
      <c r="AF1002" s="1051"/>
      <c r="AG1002" s="1051"/>
      <c r="AH1002" s="1051"/>
      <c r="AI1002" s="1051"/>
      <c r="AJ1002" s="1052"/>
      <c r="AK1002" s="1051"/>
      <c r="AL1002" s="1051"/>
      <c r="AM1002" s="1052"/>
      <c r="AN1002" s="1051"/>
      <c r="AO1002" s="1051"/>
      <c r="AP1002" s="1052"/>
      <c r="AQ1002" s="1051"/>
      <c r="AR1002" s="1051"/>
      <c r="AS1002" s="1052"/>
      <c r="AT1002" s="1051"/>
      <c r="AU1002" s="1051"/>
      <c r="AV1002" s="1052"/>
      <c r="AW1002" s="1051"/>
      <c r="AX1002" s="1051"/>
      <c r="AY1002" s="1053"/>
      <c r="AZ1002" s="1051"/>
      <c r="BA1002" s="1051"/>
      <c r="BB1002" s="1053"/>
      <c r="BC1002" s="1051"/>
      <c r="BD1002" s="1051"/>
      <c r="BE1002" s="1053"/>
      <c r="BF1002" s="1051"/>
      <c r="BG1002" s="1051"/>
      <c r="BH1002" s="1053"/>
      <c r="BI1002" s="1052"/>
      <c r="BJ1002" s="1052"/>
      <c r="BK1002" s="1052"/>
      <c r="BL1002" s="1052"/>
      <c r="BM1002" s="1052"/>
      <c r="BN1002" s="1054"/>
      <c r="BO1002" s="1076">
        <f t="shared" si="26"/>
        <v>0</v>
      </c>
      <c r="BP1002" s="1051"/>
      <c r="BQ1002" s="1052"/>
      <c r="BR1002" s="1054"/>
      <c r="BS1002" s="1053"/>
      <c r="BT1002" s="1051"/>
      <c r="BU1002" s="1051"/>
      <c r="BV1002" s="1051"/>
      <c r="BW1002" s="1052"/>
      <c r="BX1002" s="1052"/>
      <c r="BY1002" s="1052"/>
      <c r="BZ1002" s="1052"/>
      <c r="CA1002" s="1052"/>
      <c r="CB1002" s="1053"/>
      <c r="CC1002" s="1053"/>
      <c r="CD1002" s="1053"/>
      <c r="CE1002" s="1053"/>
      <c r="CF1002" s="1053"/>
      <c r="CG1002" s="1053"/>
      <c r="CH1002" s="1053"/>
      <c r="CI1002" s="1123"/>
      <c r="CJ1002" s="1123"/>
      <c r="CK1002" s="1123"/>
      <c r="CL1002" s="1123"/>
      <c r="CM1002" s="1123"/>
      <c r="CN1002" s="1123"/>
      <c r="CO1002" s="1123"/>
      <c r="CP1002" s="1123"/>
      <c r="CQ1002" s="1123"/>
      <c r="CR1002" s="1123"/>
      <c r="CS1002" s="1123"/>
      <c r="CT1002" s="1123"/>
      <c r="CU1002" s="1123"/>
      <c r="CV1002" s="1123"/>
      <c r="CW1002" s="1123"/>
      <c r="CX1002" s="1123"/>
      <c r="CY1002" s="1123"/>
      <c r="CZ1002" s="1114"/>
      <c r="DA1002" s="1114"/>
      <c r="DB1002" s="1114"/>
      <c r="DC1002" s="1114"/>
      <c r="DD1002" s="1114"/>
      <c r="DE1002" s="1114"/>
      <c r="DF1002" s="1114"/>
      <c r="DG1002" s="1114"/>
      <c r="DH1002" s="1114"/>
      <c r="DI1002" s="1114"/>
      <c r="DJ1002" s="1114"/>
      <c r="DK1002" s="1114"/>
      <c r="DL1002" s="1114"/>
      <c r="DM1002" s="1114"/>
      <c r="DN1002" s="1114"/>
      <c r="DO1002" s="1114"/>
      <c r="DP1002" s="1114"/>
      <c r="DQ1002" s="1114"/>
      <c r="DR1002" s="1114"/>
      <c r="DS1002" s="1114"/>
      <c r="DT1002" s="1114"/>
      <c r="DU1002" s="1114"/>
      <c r="DV1002" s="1115"/>
      <c r="DW1002" s="1116"/>
      <c r="DX1002" s="1116"/>
      <c r="DY1002" s="1116"/>
      <c r="DZ1002" s="1116"/>
      <c r="EA1002" s="1116"/>
      <c r="EB1002" s="1116"/>
      <c r="EC1002" s="1116"/>
      <c r="ED1002" s="1116"/>
      <c r="EE1002" s="1116"/>
      <c r="EF1002" s="1116"/>
      <c r="EG1002" s="1116"/>
      <c r="EH1002" s="1116"/>
      <c r="EI1002" s="1116"/>
      <c r="EJ1002" s="1116"/>
      <c r="EK1002" s="1116"/>
      <c r="EL1002" s="1116"/>
      <c r="EM1002" s="1116"/>
      <c r="EN1002" s="1116"/>
      <c r="EO1002" s="1116"/>
      <c r="EP1002" s="1116"/>
      <c r="EQ1002" s="1116"/>
      <c r="ER1002" s="1116"/>
      <c r="ES1002" s="1116"/>
    </row>
    <row r="1003" spans="1:149" ht="15" customHeight="1">
      <c r="A1003" s="1185">
        <v>988</v>
      </c>
      <c r="B1003" s="1041"/>
      <c r="C1003" s="1050"/>
      <c r="D1003" s="1050"/>
      <c r="E1003" s="1050"/>
      <c r="F1003" s="1049"/>
      <c r="G1003" s="1457"/>
      <c r="H1003" s="1049"/>
      <c r="I1003" s="1049"/>
      <c r="J1003" s="1050"/>
      <c r="K1003" s="1050"/>
      <c r="L1003" s="1043"/>
      <c r="M1003" s="1051"/>
      <c r="N1003" s="1051"/>
      <c r="O1003" s="1052"/>
      <c r="P1003" s="1051"/>
      <c r="Q1003" s="1051"/>
      <c r="R1003" s="1052"/>
      <c r="S1003" s="1051"/>
      <c r="T1003" s="1051"/>
      <c r="U1003" s="1052"/>
      <c r="V1003" s="1051"/>
      <c r="W1003" s="1051"/>
      <c r="X1003" s="1052"/>
      <c r="Y1003" s="1053"/>
      <c r="Z1003" s="1051"/>
      <c r="AA1003" s="1051"/>
      <c r="AB1003" s="1052"/>
      <c r="AC1003" s="1051"/>
      <c r="AD1003" s="1051"/>
      <c r="AE1003" s="1052"/>
      <c r="AF1003" s="1051"/>
      <c r="AG1003" s="1051"/>
      <c r="AH1003" s="1051"/>
      <c r="AI1003" s="1051"/>
      <c r="AJ1003" s="1052"/>
      <c r="AK1003" s="1051"/>
      <c r="AL1003" s="1051"/>
      <c r="AM1003" s="1052"/>
      <c r="AN1003" s="1051"/>
      <c r="AO1003" s="1051"/>
      <c r="AP1003" s="1052"/>
      <c r="AQ1003" s="1051"/>
      <c r="AR1003" s="1051"/>
      <c r="AS1003" s="1052"/>
      <c r="AT1003" s="1051"/>
      <c r="AU1003" s="1051"/>
      <c r="AV1003" s="1052"/>
      <c r="AW1003" s="1051"/>
      <c r="AX1003" s="1051"/>
      <c r="AY1003" s="1053"/>
      <c r="AZ1003" s="1051"/>
      <c r="BA1003" s="1051"/>
      <c r="BB1003" s="1053"/>
      <c r="BC1003" s="1051"/>
      <c r="BD1003" s="1051"/>
      <c r="BE1003" s="1053"/>
      <c r="BF1003" s="1051"/>
      <c r="BG1003" s="1051"/>
      <c r="BH1003" s="1053"/>
      <c r="BI1003" s="1052"/>
      <c r="BJ1003" s="1052"/>
      <c r="BK1003" s="1052"/>
      <c r="BL1003" s="1052"/>
      <c r="BM1003" s="1052"/>
      <c r="BN1003" s="1054"/>
      <c r="BO1003" s="1076">
        <f t="shared" si="26"/>
        <v>0</v>
      </c>
      <c r="BP1003" s="1051"/>
      <c r="BQ1003" s="1052"/>
      <c r="BR1003" s="1054"/>
      <c r="BS1003" s="1053"/>
      <c r="BT1003" s="1051"/>
      <c r="BU1003" s="1051"/>
      <c r="BV1003" s="1051"/>
      <c r="BW1003" s="1052"/>
      <c r="BX1003" s="1052"/>
      <c r="BY1003" s="1052"/>
      <c r="BZ1003" s="1052"/>
      <c r="CA1003" s="1052"/>
      <c r="CB1003" s="1053"/>
      <c r="CC1003" s="1053"/>
      <c r="CD1003" s="1053"/>
      <c r="CE1003" s="1053"/>
      <c r="CF1003" s="1053"/>
      <c r="CG1003" s="1053"/>
      <c r="CH1003" s="1053"/>
      <c r="CI1003" s="1123"/>
      <c r="CJ1003" s="1123"/>
      <c r="CK1003" s="1123"/>
      <c r="CL1003" s="1123"/>
      <c r="CM1003" s="1123"/>
      <c r="CN1003" s="1123"/>
      <c r="CO1003" s="1123"/>
      <c r="CP1003" s="1123"/>
      <c r="CQ1003" s="1123"/>
      <c r="CR1003" s="1123"/>
      <c r="CS1003" s="1123"/>
      <c r="CT1003" s="1123"/>
      <c r="CU1003" s="1123"/>
      <c r="CV1003" s="1123"/>
      <c r="CW1003" s="1123"/>
      <c r="CX1003" s="1123"/>
      <c r="CY1003" s="1123"/>
      <c r="CZ1003" s="1114"/>
      <c r="DA1003" s="1114"/>
      <c r="DB1003" s="1114"/>
      <c r="DC1003" s="1114"/>
      <c r="DD1003" s="1114"/>
      <c r="DE1003" s="1114"/>
      <c r="DF1003" s="1114"/>
      <c r="DG1003" s="1114"/>
      <c r="DH1003" s="1114"/>
      <c r="DI1003" s="1114"/>
      <c r="DJ1003" s="1114"/>
      <c r="DK1003" s="1114"/>
      <c r="DL1003" s="1114"/>
      <c r="DM1003" s="1114"/>
      <c r="DN1003" s="1114"/>
      <c r="DO1003" s="1114"/>
      <c r="DP1003" s="1114"/>
      <c r="DQ1003" s="1114"/>
      <c r="DR1003" s="1114"/>
      <c r="DS1003" s="1114"/>
      <c r="DT1003" s="1114"/>
      <c r="DU1003" s="1114"/>
      <c r="DV1003" s="1115"/>
      <c r="DW1003" s="1116"/>
      <c r="DX1003" s="1116"/>
      <c r="DY1003" s="1116"/>
      <c r="DZ1003" s="1116"/>
      <c r="EA1003" s="1116"/>
      <c r="EB1003" s="1116"/>
      <c r="EC1003" s="1116"/>
      <c r="ED1003" s="1116"/>
      <c r="EE1003" s="1116"/>
      <c r="EF1003" s="1116"/>
      <c r="EG1003" s="1116"/>
      <c r="EH1003" s="1116"/>
      <c r="EI1003" s="1116"/>
      <c r="EJ1003" s="1116"/>
      <c r="EK1003" s="1116"/>
      <c r="EL1003" s="1116"/>
      <c r="EM1003" s="1116"/>
      <c r="EN1003" s="1116"/>
      <c r="EO1003" s="1116"/>
      <c r="EP1003" s="1116"/>
      <c r="EQ1003" s="1116"/>
      <c r="ER1003" s="1116"/>
      <c r="ES1003" s="1116"/>
    </row>
    <row r="1004" spans="1:149" ht="15" customHeight="1">
      <c r="A1004" s="1185">
        <v>989</v>
      </c>
      <c r="B1004" s="1041"/>
      <c r="C1004" s="1050"/>
      <c r="D1004" s="1050"/>
      <c r="E1004" s="1050"/>
      <c r="F1004" s="1049"/>
      <c r="G1004" s="1457"/>
      <c r="H1004" s="1049"/>
      <c r="I1004" s="1049"/>
      <c r="J1004" s="1050"/>
      <c r="K1004" s="1050"/>
      <c r="L1004" s="1043"/>
      <c r="M1004" s="1051"/>
      <c r="N1004" s="1051"/>
      <c r="O1004" s="1052"/>
      <c r="P1004" s="1051"/>
      <c r="Q1004" s="1051"/>
      <c r="R1004" s="1052"/>
      <c r="S1004" s="1051"/>
      <c r="T1004" s="1051"/>
      <c r="U1004" s="1052"/>
      <c r="V1004" s="1051"/>
      <c r="W1004" s="1051"/>
      <c r="X1004" s="1052"/>
      <c r="Y1004" s="1053"/>
      <c r="Z1004" s="1051"/>
      <c r="AA1004" s="1051"/>
      <c r="AB1004" s="1052"/>
      <c r="AC1004" s="1051"/>
      <c r="AD1004" s="1051"/>
      <c r="AE1004" s="1052"/>
      <c r="AF1004" s="1051"/>
      <c r="AG1004" s="1051"/>
      <c r="AH1004" s="1051"/>
      <c r="AI1004" s="1051"/>
      <c r="AJ1004" s="1052"/>
      <c r="AK1004" s="1051"/>
      <c r="AL1004" s="1051"/>
      <c r="AM1004" s="1052"/>
      <c r="AN1004" s="1051"/>
      <c r="AO1004" s="1051"/>
      <c r="AP1004" s="1052"/>
      <c r="AQ1004" s="1051"/>
      <c r="AR1004" s="1051"/>
      <c r="AS1004" s="1052"/>
      <c r="AT1004" s="1051"/>
      <c r="AU1004" s="1051"/>
      <c r="AV1004" s="1052"/>
      <c r="AW1004" s="1051"/>
      <c r="AX1004" s="1051"/>
      <c r="AY1004" s="1053"/>
      <c r="AZ1004" s="1051"/>
      <c r="BA1004" s="1051"/>
      <c r="BB1004" s="1053"/>
      <c r="BC1004" s="1051"/>
      <c r="BD1004" s="1051"/>
      <c r="BE1004" s="1053"/>
      <c r="BF1004" s="1051"/>
      <c r="BG1004" s="1051"/>
      <c r="BH1004" s="1053"/>
      <c r="BI1004" s="1052"/>
      <c r="BJ1004" s="1052"/>
      <c r="BK1004" s="1052"/>
      <c r="BL1004" s="1052"/>
      <c r="BM1004" s="1052"/>
      <c r="BN1004" s="1054"/>
      <c r="BO1004" s="1076">
        <f t="shared" si="26"/>
        <v>0</v>
      </c>
      <c r="BP1004" s="1051"/>
      <c r="BQ1004" s="1052"/>
      <c r="BR1004" s="1054"/>
      <c r="BS1004" s="1053"/>
      <c r="BT1004" s="1051"/>
      <c r="BU1004" s="1051"/>
      <c r="BV1004" s="1051"/>
      <c r="BW1004" s="1052"/>
      <c r="BX1004" s="1052"/>
      <c r="BY1004" s="1052"/>
      <c r="BZ1004" s="1052"/>
      <c r="CA1004" s="1052"/>
      <c r="CB1004" s="1053"/>
      <c r="CC1004" s="1053"/>
      <c r="CD1004" s="1053"/>
      <c r="CE1004" s="1053"/>
      <c r="CF1004" s="1053"/>
      <c r="CG1004" s="1053"/>
      <c r="CH1004" s="1053"/>
      <c r="CI1004" s="1123"/>
      <c r="CJ1004" s="1123"/>
      <c r="CK1004" s="1123"/>
      <c r="CL1004" s="1123"/>
      <c r="CM1004" s="1123"/>
      <c r="CN1004" s="1123"/>
      <c r="CO1004" s="1123"/>
      <c r="CP1004" s="1123"/>
      <c r="CQ1004" s="1123"/>
      <c r="CR1004" s="1123"/>
      <c r="CS1004" s="1123"/>
      <c r="CT1004" s="1123"/>
      <c r="CU1004" s="1123"/>
      <c r="CV1004" s="1123"/>
      <c r="CW1004" s="1123"/>
      <c r="CX1004" s="1123"/>
      <c r="CY1004" s="1123"/>
      <c r="CZ1004" s="1114"/>
      <c r="DA1004" s="1114"/>
      <c r="DB1004" s="1114"/>
      <c r="DC1004" s="1114"/>
      <c r="DD1004" s="1114"/>
      <c r="DE1004" s="1114"/>
      <c r="DF1004" s="1114"/>
      <c r="DG1004" s="1114"/>
      <c r="DH1004" s="1114"/>
      <c r="DI1004" s="1114"/>
      <c r="DJ1004" s="1114"/>
      <c r="DK1004" s="1114"/>
      <c r="DL1004" s="1114"/>
      <c r="DM1004" s="1114"/>
      <c r="DN1004" s="1114"/>
      <c r="DO1004" s="1114"/>
      <c r="DP1004" s="1114"/>
      <c r="DQ1004" s="1114"/>
      <c r="DR1004" s="1114"/>
      <c r="DS1004" s="1114"/>
      <c r="DT1004" s="1114"/>
      <c r="DU1004" s="1114"/>
      <c r="DV1004" s="1115"/>
      <c r="DW1004" s="1116"/>
      <c r="DX1004" s="1116"/>
      <c r="DY1004" s="1116"/>
      <c r="DZ1004" s="1116"/>
      <c r="EA1004" s="1116"/>
      <c r="EB1004" s="1116"/>
      <c r="EC1004" s="1116"/>
      <c r="ED1004" s="1116"/>
      <c r="EE1004" s="1116"/>
      <c r="EF1004" s="1116"/>
      <c r="EG1004" s="1116"/>
      <c r="EH1004" s="1116"/>
      <c r="EI1004" s="1116"/>
      <c r="EJ1004" s="1116"/>
      <c r="EK1004" s="1116"/>
      <c r="EL1004" s="1116"/>
      <c r="EM1004" s="1116"/>
      <c r="EN1004" s="1116"/>
      <c r="EO1004" s="1116"/>
      <c r="EP1004" s="1116"/>
      <c r="EQ1004" s="1116"/>
      <c r="ER1004" s="1116"/>
      <c r="ES1004" s="1116"/>
    </row>
    <row r="1005" spans="1:149" ht="15" customHeight="1">
      <c r="A1005" s="1185">
        <v>990</v>
      </c>
      <c r="B1005" s="1041"/>
      <c r="C1005" s="1050"/>
      <c r="D1005" s="1050"/>
      <c r="E1005" s="1050"/>
      <c r="F1005" s="1049"/>
      <c r="G1005" s="1457"/>
      <c r="H1005" s="1049"/>
      <c r="I1005" s="1049"/>
      <c r="J1005" s="1050"/>
      <c r="K1005" s="1050"/>
      <c r="L1005" s="1043"/>
      <c r="M1005" s="1051"/>
      <c r="N1005" s="1051"/>
      <c r="O1005" s="1052"/>
      <c r="P1005" s="1051"/>
      <c r="Q1005" s="1051"/>
      <c r="R1005" s="1052"/>
      <c r="S1005" s="1051"/>
      <c r="T1005" s="1051"/>
      <c r="U1005" s="1052"/>
      <c r="V1005" s="1051"/>
      <c r="W1005" s="1051"/>
      <c r="X1005" s="1052"/>
      <c r="Y1005" s="1053"/>
      <c r="Z1005" s="1051"/>
      <c r="AA1005" s="1051"/>
      <c r="AB1005" s="1052"/>
      <c r="AC1005" s="1051"/>
      <c r="AD1005" s="1051"/>
      <c r="AE1005" s="1052"/>
      <c r="AF1005" s="1051"/>
      <c r="AG1005" s="1051"/>
      <c r="AH1005" s="1051"/>
      <c r="AI1005" s="1051"/>
      <c r="AJ1005" s="1052"/>
      <c r="AK1005" s="1051"/>
      <c r="AL1005" s="1051"/>
      <c r="AM1005" s="1052"/>
      <c r="AN1005" s="1051"/>
      <c r="AO1005" s="1051"/>
      <c r="AP1005" s="1052"/>
      <c r="AQ1005" s="1051"/>
      <c r="AR1005" s="1051"/>
      <c r="AS1005" s="1052"/>
      <c r="AT1005" s="1051"/>
      <c r="AU1005" s="1051"/>
      <c r="AV1005" s="1052"/>
      <c r="AW1005" s="1051"/>
      <c r="AX1005" s="1051"/>
      <c r="AY1005" s="1053"/>
      <c r="AZ1005" s="1051"/>
      <c r="BA1005" s="1051"/>
      <c r="BB1005" s="1053"/>
      <c r="BC1005" s="1051"/>
      <c r="BD1005" s="1051"/>
      <c r="BE1005" s="1053"/>
      <c r="BF1005" s="1051"/>
      <c r="BG1005" s="1051"/>
      <c r="BH1005" s="1053"/>
      <c r="BI1005" s="1052"/>
      <c r="BJ1005" s="1052"/>
      <c r="BK1005" s="1052"/>
      <c r="BL1005" s="1052"/>
      <c r="BM1005" s="1052"/>
      <c r="BN1005" s="1054"/>
      <c r="BO1005" s="1076">
        <f t="shared" si="26"/>
        <v>0</v>
      </c>
      <c r="BP1005" s="1051"/>
      <c r="BQ1005" s="1052"/>
      <c r="BR1005" s="1054"/>
      <c r="BS1005" s="1053"/>
      <c r="BT1005" s="1051"/>
      <c r="BU1005" s="1051"/>
      <c r="BV1005" s="1051"/>
      <c r="BW1005" s="1052"/>
      <c r="BX1005" s="1052"/>
      <c r="BY1005" s="1052"/>
      <c r="BZ1005" s="1052"/>
      <c r="CA1005" s="1052"/>
      <c r="CB1005" s="1053"/>
      <c r="CC1005" s="1053"/>
      <c r="CD1005" s="1053"/>
      <c r="CE1005" s="1053"/>
      <c r="CF1005" s="1053"/>
      <c r="CG1005" s="1053"/>
      <c r="CH1005" s="1053"/>
      <c r="CI1005" s="1123"/>
      <c r="CJ1005" s="1123"/>
      <c r="CK1005" s="1123"/>
      <c r="CL1005" s="1123"/>
      <c r="CM1005" s="1123"/>
      <c r="CN1005" s="1123"/>
      <c r="CO1005" s="1123"/>
      <c r="CP1005" s="1123"/>
      <c r="CQ1005" s="1123"/>
      <c r="CR1005" s="1123"/>
      <c r="CS1005" s="1123"/>
      <c r="CT1005" s="1123"/>
      <c r="CU1005" s="1123"/>
      <c r="CV1005" s="1123"/>
      <c r="CW1005" s="1123"/>
      <c r="CX1005" s="1123"/>
      <c r="CY1005" s="1123"/>
      <c r="CZ1005" s="1114"/>
      <c r="DA1005" s="1114"/>
      <c r="DB1005" s="1114"/>
      <c r="DC1005" s="1114"/>
      <c r="DD1005" s="1114"/>
      <c r="DE1005" s="1114"/>
      <c r="DF1005" s="1114"/>
      <c r="DG1005" s="1114"/>
      <c r="DH1005" s="1114"/>
      <c r="DI1005" s="1114"/>
      <c r="DJ1005" s="1114"/>
      <c r="DK1005" s="1114"/>
      <c r="DL1005" s="1114"/>
      <c r="DM1005" s="1114"/>
      <c r="DN1005" s="1114"/>
      <c r="DO1005" s="1114"/>
      <c r="DP1005" s="1114"/>
      <c r="DQ1005" s="1114"/>
      <c r="DR1005" s="1114"/>
      <c r="DS1005" s="1114"/>
      <c r="DT1005" s="1114"/>
      <c r="DU1005" s="1114"/>
      <c r="DV1005" s="1115"/>
      <c r="DW1005" s="1116"/>
      <c r="DX1005" s="1116"/>
      <c r="DY1005" s="1116"/>
      <c r="DZ1005" s="1116"/>
      <c r="EA1005" s="1116"/>
      <c r="EB1005" s="1116"/>
      <c r="EC1005" s="1116"/>
      <c r="ED1005" s="1116"/>
      <c r="EE1005" s="1116"/>
      <c r="EF1005" s="1116"/>
      <c r="EG1005" s="1116"/>
      <c r="EH1005" s="1116"/>
      <c r="EI1005" s="1116"/>
      <c r="EJ1005" s="1116"/>
      <c r="EK1005" s="1116"/>
      <c r="EL1005" s="1116"/>
      <c r="EM1005" s="1116"/>
      <c r="EN1005" s="1116"/>
      <c r="EO1005" s="1116"/>
      <c r="EP1005" s="1116"/>
      <c r="EQ1005" s="1116"/>
      <c r="ER1005" s="1116"/>
      <c r="ES1005" s="1116"/>
    </row>
    <row r="1006" spans="1:149" ht="15" customHeight="1">
      <c r="A1006" s="1185">
        <v>991</v>
      </c>
      <c r="B1006" s="1041"/>
      <c r="C1006" s="1050"/>
      <c r="D1006" s="1050"/>
      <c r="E1006" s="1050"/>
      <c r="F1006" s="1049"/>
      <c r="G1006" s="1457"/>
      <c r="H1006" s="1049"/>
      <c r="I1006" s="1049"/>
      <c r="J1006" s="1050"/>
      <c r="K1006" s="1050"/>
      <c r="L1006" s="1043"/>
      <c r="M1006" s="1051"/>
      <c r="N1006" s="1051"/>
      <c r="O1006" s="1052"/>
      <c r="P1006" s="1051"/>
      <c r="Q1006" s="1051"/>
      <c r="R1006" s="1052"/>
      <c r="S1006" s="1051"/>
      <c r="T1006" s="1051"/>
      <c r="U1006" s="1052"/>
      <c r="V1006" s="1051"/>
      <c r="W1006" s="1051"/>
      <c r="X1006" s="1052"/>
      <c r="Y1006" s="1053"/>
      <c r="Z1006" s="1051"/>
      <c r="AA1006" s="1051"/>
      <c r="AB1006" s="1052"/>
      <c r="AC1006" s="1051"/>
      <c r="AD1006" s="1051"/>
      <c r="AE1006" s="1052"/>
      <c r="AF1006" s="1051"/>
      <c r="AG1006" s="1051"/>
      <c r="AH1006" s="1051"/>
      <c r="AI1006" s="1051"/>
      <c r="AJ1006" s="1052"/>
      <c r="AK1006" s="1051"/>
      <c r="AL1006" s="1051"/>
      <c r="AM1006" s="1052"/>
      <c r="AN1006" s="1051"/>
      <c r="AO1006" s="1051"/>
      <c r="AP1006" s="1052"/>
      <c r="AQ1006" s="1051"/>
      <c r="AR1006" s="1051"/>
      <c r="AS1006" s="1052"/>
      <c r="AT1006" s="1051"/>
      <c r="AU1006" s="1051"/>
      <c r="AV1006" s="1052"/>
      <c r="AW1006" s="1051"/>
      <c r="AX1006" s="1051"/>
      <c r="AY1006" s="1053"/>
      <c r="AZ1006" s="1051"/>
      <c r="BA1006" s="1051"/>
      <c r="BB1006" s="1053"/>
      <c r="BC1006" s="1051"/>
      <c r="BD1006" s="1051"/>
      <c r="BE1006" s="1053"/>
      <c r="BF1006" s="1051"/>
      <c r="BG1006" s="1051"/>
      <c r="BH1006" s="1053"/>
      <c r="BI1006" s="1052"/>
      <c r="BJ1006" s="1052"/>
      <c r="BK1006" s="1052"/>
      <c r="BL1006" s="1052"/>
      <c r="BM1006" s="1052"/>
      <c r="BN1006" s="1054"/>
      <c r="BO1006" s="1076">
        <f t="shared" si="26"/>
        <v>0</v>
      </c>
      <c r="BP1006" s="1051"/>
      <c r="BQ1006" s="1052"/>
      <c r="BR1006" s="1054"/>
      <c r="BS1006" s="1053"/>
      <c r="BT1006" s="1051"/>
      <c r="BU1006" s="1051"/>
      <c r="BV1006" s="1051"/>
      <c r="BW1006" s="1052"/>
      <c r="BX1006" s="1052"/>
      <c r="BY1006" s="1052"/>
      <c r="BZ1006" s="1052"/>
      <c r="CA1006" s="1052"/>
      <c r="CB1006" s="1053"/>
      <c r="CC1006" s="1053"/>
      <c r="CD1006" s="1053"/>
      <c r="CE1006" s="1053"/>
      <c r="CF1006" s="1053"/>
      <c r="CG1006" s="1053"/>
      <c r="CH1006" s="1053"/>
      <c r="CI1006" s="1123"/>
      <c r="CJ1006" s="1123"/>
      <c r="CK1006" s="1123"/>
      <c r="CL1006" s="1123"/>
      <c r="CM1006" s="1123"/>
      <c r="CN1006" s="1123"/>
      <c r="CO1006" s="1123"/>
      <c r="CP1006" s="1123"/>
      <c r="CQ1006" s="1123"/>
      <c r="CR1006" s="1123"/>
      <c r="CS1006" s="1123"/>
      <c r="CT1006" s="1123"/>
      <c r="CU1006" s="1123"/>
      <c r="CV1006" s="1123"/>
      <c r="CW1006" s="1123"/>
      <c r="CX1006" s="1123"/>
      <c r="CY1006" s="1123"/>
      <c r="CZ1006" s="1114"/>
      <c r="DA1006" s="1114"/>
      <c r="DB1006" s="1114"/>
      <c r="DC1006" s="1114"/>
      <c r="DD1006" s="1114"/>
      <c r="DE1006" s="1114"/>
      <c r="DF1006" s="1114"/>
      <c r="DG1006" s="1114"/>
      <c r="DH1006" s="1114"/>
      <c r="DI1006" s="1114"/>
      <c r="DJ1006" s="1114"/>
      <c r="DK1006" s="1114"/>
      <c r="DL1006" s="1114"/>
      <c r="DM1006" s="1114"/>
      <c r="DN1006" s="1114"/>
      <c r="DO1006" s="1114"/>
      <c r="DP1006" s="1114"/>
      <c r="DQ1006" s="1114"/>
      <c r="DR1006" s="1114"/>
      <c r="DS1006" s="1114"/>
      <c r="DT1006" s="1114"/>
      <c r="DU1006" s="1114"/>
      <c r="DV1006" s="1115"/>
      <c r="DW1006" s="1116"/>
      <c r="DX1006" s="1116"/>
      <c r="DY1006" s="1116"/>
      <c r="DZ1006" s="1116"/>
      <c r="EA1006" s="1116"/>
      <c r="EB1006" s="1116"/>
      <c r="EC1006" s="1116"/>
      <c r="ED1006" s="1116"/>
      <c r="EE1006" s="1116"/>
      <c r="EF1006" s="1116"/>
      <c r="EG1006" s="1116"/>
      <c r="EH1006" s="1116"/>
      <c r="EI1006" s="1116"/>
      <c r="EJ1006" s="1116"/>
      <c r="EK1006" s="1116"/>
      <c r="EL1006" s="1116"/>
      <c r="EM1006" s="1116"/>
      <c r="EN1006" s="1116"/>
      <c r="EO1006" s="1116"/>
      <c r="EP1006" s="1116"/>
      <c r="EQ1006" s="1116"/>
      <c r="ER1006" s="1116"/>
      <c r="ES1006" s="1116"/>
    </row>
    <row r="1007" spans="1:149" ht="15" customHeight="1">
      <c r="A1007" s="1185">
        <v>992</v>
      </c>
      <c r="B1007" s="1041"/>
      <c r="C1007" s="1050"/>
      <c r="D1007" s="1050"/>
      <c r="E1007" s="1050"/>
      <c r="F1007" s="1049"/>
      <c r="G1007" s="1457"/>
      <c r="H1007" s="1049"/>
      <c r="I1007" s="1049"/>
      <c r="J1007" s="1050"/>
      <c r="K1007" s="1050"/>
      <c r="L1007" s="1043"/>
      <c r="M1007" s="1051"/>
      <c r="N1007" s="1051"/>
      <c r="O1007" s="1052"/>
      <c r="P1007" s="1051"/>
      <c r="Q1007" s="1051"/>
      <c r="R1007" s="1052"/>
      <c r="S1007" s="1051"/>
      <c r="T1007" s="1051"/>
      <c r="U1007" s="1052"/>
      <c r="V1007" s="1051"/>
      <c r="W1007" s="1051"/>
      <c r="X1007" s="1052"/>
      <c r="Y1007" s="1053"/>
      <c r="Z1007" s="1051"/>
      <c r="AA1007" s="1051"/>
      <c r="AB1007" s="1052"/>
      <c r="AC1007" s="1051"/>
      <c r="AD1007" s="1051"/>
      <c r="AE1007" s="1052"/>
      <c r="AF1007" s="1051"/>
      <c r="AG1007" s="1051"/>
      <c r="AH1007" s="1051"/>
      <c r="AI1007" s="1051"/>
      <c r="AJ1007" s="1052"/>
      <c r="AK1007" s="1051"/>
      <c r="AL1007" s="1051"/>
      <c r="AM1007" s="1052"/>
      <c r="AN1007" s="1051"/>
      <c r="AO1007" s="1051"/>
      <c r="AP1007" s="1052"/>
      <c r="AQ1007" s="1051"/>
      <c r="AR1007" s="1051"/>
      <c r="AS1007" s="1052"/>
      <c r="AT1007" s="1051"/>
      <c r="AU1007" s="1051"/>
      <c r="AV1007" s="1052"/>
      <c r="AW1007" s="1051"/>
      <c r="AX1007" s="1051"/>
      <c r="AY1007" s="1053"/>
      <c r="AZ1007" s="1051"/>
      <c r="BA1007" s="1051"/>
      <c r="BB1007" s="1053"/>
      <c r="BC1007" s="1051"/>
      <c r="BD1007" s="1051"/>
      <c r="BE1007" s="1053"/>
      <c r="BF1007" s="1051"/>
      <c r="BG1007" s="1051"/>
      <c r="BH1007" s="1053"/>
      <c r="BI1007" s="1052"/>
      <c r="BJ1007" s="1052"/>
      <c r="BK1007" s="1052"/>
      <c r="BL1007" s="1052"/>
      <c r="BM1007" s="1052"/>
      <c r="BN1007" s="1054"/>
      <c r="BO1007" s="1076">
        <f t="shared" si="26"/>
        <v>0</v>
      </c>
      <c r="BP1007" s="1051"/>
      <c r="BQ1007" s="1052"/>
      <c r="BR1007" s="1054"/>
      <c r="BS1007" s="1053"/>
      <c r="BT1007" s="1051"/>
      <c r="BU1007" s="1051"/>
      <c r="BV1007" s="1051"/>
      <c r="BW1007" s="1052"/>
      <c r="BX1007" s="1052"/>
      <c r="BY1007" s="1052"/>
      <c r="BZ1007" s="1052"/>
      <c r="CA1007" s="1052"/>
      <c r="CB1007" s="1053"/>
      <c r="CC1007" s="1053"/>
      <c r="CD1007" s="1053"/>
      <c r="CE1007" s="1053"/>
      <c r="CF1007" s="1053"/>
      <c r="CG1007" s="1053"/>
      <c r="CH1007" s="1053"/>
      <c r="CI1007" s="1123"/>
      <c r="CJ1007" s="1123"/>
      <c r="CK1007" s="1123"/>
      <c r="CL1007" s="1123"/>
      <c r="CM1007" s="1123"/>
      <c r="CN1007" s="1123"/>
      <c r="CO1007" s="1123"/>
      <c r="CP1007" s="1123"/>
      <c r="CQ1007" s="1123"/>
      <c r="CR1007" s="1123"/>
      <c r="CS1007" s="1123"/>
      <c r="CT1007" s="1123"/>
      <c r="CU1007" s="1123"/>
      <c r="CV1007" s="1123"/>
      <c r="CW1007" s="1123"/>
      <c r="CX1007" s="1123"/>
      <c r="CY1007" s="1123"/>
      <c r="CZ1007" s="1114"/>
      <c r="DA1007" s="1114"/>
      <c r="DB1007" s="1114"/>
      <c r="DC1007" s="1114"/>
      <c r="DD1007" s="1114"/>
      <c r="DE1007" s="1114"/>
      <c r="DF1007" s="1114"/>
      <c r="DG1007" s="1114"/>
      <c r="DH1007" s="1114"/>
      <c r="DI1007" s="1114"/>
      <c r="DJ1007" s="1114"/>
      <c r="DK1007" s="1114"/>
      <c r="DL1007" s="1114"/>
      <c r="DM1007" s="1114"/>
      <c r="DN1007" s="1114"/>
      <c r="DO1007" s="1114"/>
      <c r="DP1007" s="1114"/>
      <c r="DQ1007" s="1114"/>
      <c r="DR1007" s="1114"/>
      <c r="DS1007" s="1114"/>
      <c r="DT1007" s="1114"/>
      <c r="DU1007" s="1114"/>
      <c r="DV1007" s="1115"/>
      <c r="DW1007" s="1116"/>
      <c r="DX1007" s="1116"/>
      <c r="DY1007" s="1116"/>
      <c r="DZ1007" s="1116"/>
      <c r="EA1007" s="1116"/>
      <c r="EB1007" s="1116"/>
      <c r="EC1007" s="1116"/>
      <c r="ED1007" s="1116"/>
      <c r="EE1007" s="1116"/>
      <c r="EF1007" s="1116"/>
      <c r="EG1007" s="1116"/>
      <c r="EH1007" s="1116"/>
      <c r="EI1007" s="1116"/>
      <c r="EJ1007" s="1116"/>
      <c r="EK1007" s="1116"/>
      <c r="EL1007" s="1116"/>
      <c r="EM1007" s="1116"/>
      <c r="EN1007" s="1116"/>
      <c r="EO1007" s="1116"/>
      <c r="EP1007" s="1116"/>
      <c r="EQ1007" s="1116"/>
      <c r="ER1007" s="1116"/>
      <c r="ES1007" s="1116"/>
    </row>
    <row r="1008" spans="1:149" ht="15" customHeight="1">
      <c r="A1008" s="1185">
        <v>993</v>
      </c>
      <c r="B1008" s="1041"/>
      <c r="C1008" s="1050"/>
      <c r="D1008" s="1050"/>
      <c r="E1008" s="1050"/>
      <c r="F1008" s="1049"/>
      <c r="G1008" s="1457"/>
      <c r="H1008" s="1049"/>
      <c r="I1008" s="1049"/>
      <c r="J1008" s="1050"/>
      <c r="K1008" s="1050"/>
      <c r="L1008" s="1043"/>
      <c r="M1008" s="1051"/>
      <c r="N1008" s="1051"/>
      <c r="O1008" s="1052"/>
      <c r="P1008" s="1051"/>
      <c r="Q1008" s="1051"/>
      <c r="R1008" s="1052"/>
      <c r="S1008" s="1051"/>
      <c r="T1008" s="1051"/>
      <c r="U1008" s="1052"/>
      <c r="V1008" s="1051"/>
      <c r="W1008" s="1051"/>
      <c r="X1008" s="1052"/>
      <c r="Y1008" s="1053"/>
      <c r="Z1008" s="1051"/>
      <c r="AA1008" s="1051"/>
      <c r="AB1008" s="1052"/>
      <c r="AC1008" s="1051"/>
      <c r="AD1008" s="1051"/>
      <c r="AE1008" s="1052"/>
      <c r="AF1008" s="1051"/>
      <c r="AG1008" s="1051"/>
      <c r="AH1008" s="1051"/>
      <c r="AI1008" s="1051"/>
      <c r="AJ1008" s="1052"/>
      <c r="AK1008" s="1051"/>
      <c r="AL1008" s="1051"/>
      <c r="AM1008" s="1052"/>
      <c r="AN1008" s="1051"/>
      <c r="AO1008" s="1051"/>
      <c r="AP1008" s="1052"/>
      <c r="AQ1008" s="1051"/>
      <c r="AR1008" s="1051"/>
      <c r="AS1008" s="1052"/>
      <c r="AT1008" s="1051"/>
      <c r="AU1008" s="1051"/>
      <c r="AV1008" s="1052"/>
      <c r="AW1008" s="1051"/>
      <c r="AX1008" s="1051"/>
      <c r="AY1008" s="1053"/>
      <c r="AZ1008" s="1051"/>
      <c r="BA1008" s="1051"/>
      <c r="BB1008" s="1053"/>
      <c r="BC1008" s="1051"/>
      <c r="BD1008" s="1051"/>
      <c r="BE1008" s="1053"/>
      <c r="BF1008" s="1051"/>
      <c r="BG1008" s="1051"/>
      <c r="BH1008" s="1053"/>
      <c r="BI1008" s="1052"/>
      <c r="BJ1008" s="1052"/>
      <c r="BK1008" s="1052"/>
      <c r="BL1008" s="1052"/>
      <c r="BM1008" s="1052"/>
      <c r="BN1008" s="1054"/>
      <c r="BO1008" s="1076">
        <f t="shared" si="26"/>
        <v>0</v>
      </c>
      <c r="BP1008" s="1051"/>
      <c r="BQ1008" s="1052"/>
      <c r="BR1008" s="1054"/>
      <c r="BS1008" s="1053"/>
      <c r="BT1008" s="1051"/>
      <c r="BU1008" s="1051"/>
      <c r="BV1008" s="1051"/>
      <c r="BW1008" s="1052"/>
      <c r="BX1008" s="1052"/>
      <c r="BY1008" s="1052"/>
      <c r="BZ1008" s="1052"/>
      <c r="CA1008" s="1052"/>
      <c r="CB1008" s="1053"/>
      <c r="CC1008" s="1053"/>
      <c r="CD1008" s="1053"/>
      <c r="CE1008" s="1053"/>
      <c r="CF1008" s="1053"/>
      <c r="CG1008" s="1053"/>
      <c r="CH1008" s="1053"/>
      <c r="CI1008" s="1123"/>
      <c r="CJ1008" s="1123"/>
      <c r="CK1008" s="1123"/>
      <c r="CL1008" s="1123"/>
      <c r="CM1008" s="1123"/>
      <c r="CN1008" s="1123"/>
      <c r="CO1008" s="1123"/>
      <c r="CP1008" s="1123"/>
      <c r="CQ1008" s="1123"/>
      <c r="CR1008" s="1123"/>
      <c r="CS1008" s="1123"/>
      <c r="CT1008" s="1123"/>
      <c r="CU1008" s="1123"/>
      <c r="CV1008" s="1123"/>
      <c r="CW1008" s="1123"/>
      <c r="CX1008" s="1123"/>
      <c r="CY1008" s="1123"/>
      <c r="CZ1008" s="1114"/>
      <c r="DA1008" s="1114"/>
      <c r="DB1008" s="1114"/>
      <c r="DC1008" s="1114"/>
      <c r="DD1008" s="1114"/>
      <c r="DE1008" s="1114"/>
      <c r="DF1008" s="1114"/>
      <c r="DG1008" s="1114"/>
      <c r="DH1008" s="1114"/>
      <c r="DI1008" s="1114"/>
      <c r="DJ1008" s="1114"/>
      <c r="DK1008" s="1114"/>
      <c r="DL1008" s="1114"/>
      <c r="DM1008" s="1114"/>
      <c r="DN1008" s="1114"/>
      <c r="DO1008" s="1114"/>
      <c r="DP1008" s="1114"/>
      <c r="DQ1008" s="1114"/>
      <c r="DR1008" s="1114"/>
      <c r="DS1008" s="1114"/>
      <c r="DT1008" s="1114"/>
      <c r="DU1008" s="1114"/>
      <c r="DV1008" s="1115"/>
      <c r="DW1008" s="1116"/>
      <c r="DX1008" s="1116"/>
      <c r="DY1008" s="1116"/>
      <c r="DZ1008" s="1116"/>
      <c r="EA1008" s="1116"/>
      <c r="EB1008" s="1116"/>
      <c r="EC1008" s="1116"/>
      <c r="ED1008" s="1116"/>
      <c r="EE1008" s="1116"/>
      <c r="EF1008" s="1116"/>
      <c r="EG1008" s="1116"/>
      <c r="EH1008" s="1116"/>
      <c r="EI1008" s="1116"/>
      <c r="EJ1008" s="1116"/>
      <c r="EK1008" s="1116"/>
      <c r="EL1008" s="1116"/>
      <c r="EM1008" s="1116"/>
      <c r="EN1008" s="1116"/>
      <c r="EO1008" s="1116"/>
      <c r="EP1008" s="1116"/>
      <c r="EQ1008" s="1116"/>
      <c r="ER1008" s="1116"/>
      <c r="ES1008" s="1116"/>
    </row>
    <row r="1009" spans="1:149" ht="15" customHeight="1">
      <c r="A1009" s="1185">
        <v>994</v>
      </c>
      <c r="B1009" s="1041"/>
      <c r="C1009" s="1050"/>
      <c r="D1009" s="1050"/>
      <c r="E1009" s="1050"/>
      <c r="F1009" s="1049"/>
      <c r="G1009" s="1457"/>
      <c r="H1009" s="1049"/>
      <c r="I1009" s="1049"/>
      <c r="J1009" s="1050"/>
      <c r="K1009" s="1050"/>
      <c r="L1009" s="1043"/>
      <c r="M1009" s="1051"/>
      <c r="N1009" s="1051"/>
      <c r="O1009" s="1052"/>
      <c r="P1009" s="1051"/>
      <c r="Q1009" s="1051"/>
      <c r="R1009" s="1052"/>
      <c r="S1009" s="1051"/>
      <c r="T1009" s="1051"/>
      <c r="U1009" s="1052"/>
      <c r="V1009" s="1051"/>
      <c r="W1009" s="1051"/>
      <c r="X1009" s="1052"/>
      <c r="Y1009" s="1053"/>
      <c r="Z1009" s="1051"/>
      <c r="AA1009" s="1051"/>
      <c r="AB1009" s="1052"/>
      <c r="AC1009" s="1051"/>
      <c r="AD1009" s="1051"/>
      <c r="AE1009" s="1052"/>
      <c r="AF1009" s="1051"/>
      <c r="AG1009" s="1051"/>
      <c r="AH1009" s="1051"/>
      <c r="AI1009" s="1051"/>
      <c r="AJ1009" s="1052"/>
      <c r="AK1009" s="1051"/>
      <c r="AL1009" s="1051"/>
      <c r="AM1009" s="1052"/>
      <c r="AN1009" s="1051"/>
      <c r="AO1009" s="1051"/>
      <c r="AP1009" s="1052"/>
      <c r="AQ1009" s="1051"/>
      <c r="AR1009" s="1051"/>
      <c r="AS1009" s="1052"/>
      <c r="AT1009" s="1051"/>
      <c r="AU1009" s="1051"/>
      <c r="AV1009" s="1052"/>
      <c r="AW1009" s="1051"/>
      <c r="AX1009" s="1051"/>
      <c r="AY1009" s="1053"/>
      <c r="AZ1009" s="1051"/>
      <c r="BA1009" s="1051"/>
      <c r="BB1009" s="1053"/>
      <c r="BC1009" s="1051"/>
      <c r="BD1009" s="1051"/>
      <c r="BE1009" s="1053"/>
      <c r="BF1009" s="1051"/>
      <c r="BG1009" s="1051"/>
      <c r="BH1009" s="1053"/>
      <c r="BI1009" s="1052"/>
      <c r="BJ1009" s="1052"/>
      <c r="BK1009" s="1052"/>
      <c r="BL1009" s="1052"/>
      <c r="BM1009" s="1052"/>
      <c r="BN1009" s="1054"/>
      <c r="BO1009" s="1076">
        <f t="shared" si="26"/>
        <v>0</v>
      </c>
      <c r="BP1009" s="1051"/>
      <c r="BQ1009" s="1052"/>
      <c r="BR1009" s="1054"/>
      <c r="BS1009" s="1053"/>
      <c r="BT1009" s="1051"/>
      <c r="BU1009" s="1051"/>
      <c r="BV1009" s="1051"/>
      <c r="BW1009" s="1052"/>
      <c r="BX1009" s="1052"/>
      <c r="BY1009" s="1052"/>
      <c r="BZ1009" s="1052"/>
      <c r="CA1009" s="1052"/>
      <c r="CB1009" s="1053"/>
      <c r="CC1009" s="1053"/>
      <c r="CD1009" s="1053"/>
      <c r="CE1009" s="1053"/>
      <c r="CF1009" s="1053"/>
      <c r="CG1009" s="1053"/>
      <c r="CH1009" s="1053"/>
      <c r="CI1009" s="1123"/>
      <c r="CJ1009" s="1123"/>
      <c r="CK1009" s="1123"/>
      <c r="CL1009" s="1123"/>
      <c r="CM1009" s="1123"/>
      <c r="CN1009" s="1123"/>
      <c r="CO1009" s="1123"/>
      <c r="CP1009" s="1123"/>
      <c r="CQ1009" s="1123"/>
      <c r="CR1009" s="1123"/>
      <c r="CS1009" s="1123"/>
      <c r="CT1009" s="1123"/>
      <c r="CU1009" s="1123"/>
      <c r="CV1009" s="1123"/>
      <c r="CW1009" s="1123"/>
      <c r="CX1009" s="1123"/>
      <c r="CY1009" s="1123"/>
      <c r="CZ1009" s="1114"/>
      <c r="DA1009" s="1114"/>
      <c r="DB1009" s="1114"/>
      <c r="DC1009" s="1114"/>
      <c r="DD1009" s="1114"/>
      <c r="DE1009" s="1114"/>
      <c r="DF1009" s="1114"/>
      <c r="DG1009" s="1114"/>
      <c r="DH1009" s="1114"/>
      <c r="DI1009" s="1114"/>
      <c r="DJ1009" s="1114"/>
      <c r="DK1009" s="1114"/>
      <c r="DL1009" s="1114"/>
      <c r="DM1009" s="1114"/>
      <c r="DN1009" s="1114"/>
      <c r="DO1009" s="1114"/>
      <c r="DP1009" s="1114"/>
      <c r="DQ1009" s="1114"/>
      <c r="DR1009" s="1114"/>
      <c r="DS1009" s="1114"/>
      <c r="DT1009" s="1114"/>
      <c r="DU1009" s="1114"/>
      <c r="DV1009" s="1115"/>
      <c r="DW1009" s="1116"/>
      <c r="DX1009" s="1116"/>
      <c r="DY1009" s="1116"/>
      <c r="DZ1009" s="1116"/>
      <c r="EA1009" s="1116"/>
      <c r="EB1009" s="1116"/>
      <c r="EC1009" s="1116"/>
      <c r="ED1009" s="1116"/>
      <c r="EE1009" s="1116"/>
      <c r="EF1009" s="1116"/>
      <c r="EG1009" s="1116"/>
      <c r="EH1009" s="1116"/>
      <c r="EI1009" s="1116"/>
      <c r="EJ1009" s="1116"/>
      <c r="EK1009" s="1116"/>
      <c r="EL1009" s="1116"/>
      <c r="EM1009" s="1116"/>
      <c r="EN1009" s="1116"/>
      <c r="EO1009" s="1116"/>
      <c r="EP1009" s="1116"/>
      <c r="EQ1009" s="1116"/>
      <c r="ER1009" s="1116"/>
      <c r="ES1009" s="1116"/>
    </row>
    <row r="1010" spans="1:149" ht="15" customHeight="1">
      <c r="A1010" s="1185">
        <v>995</v>
      </c>
      <c r="B1010" s="1041"/>
      <c r="C1010" s="1050"/>
      <c r="D1010" s="1050"/>
      <c r="E1010" s="1050"/>
      <c r="F1010" s="1049"/>
      <c r="G1010" s="1457"/>
      <c r="H1010" s="1049"/>
      <c r="I1010" s="1049"/>
      <c r="J1010" s="1050"/>
      <c r="K1010" s="1050"/>
      <c r="L1010" s="1043"/>
      <c r="M1010" s="1051"/>
      <c r="N1010" s="1051"/>
      <c r="O1010" s="1052"/>
      <c r="P1010" s="1051"/>
      <c r="Q1010" s="1051"/>
      <c r="R1010" s="1052"/>
      <c r="S1010" s="1051"/>
      <c r="T1010" s="1051"/>
      <c r="U1010" s="1052"/>
      <c r="V1010" s="1051"/>
      <c r="W1010" s="1051"/>
      <c r="X1010" s="1052"/>
      <c r="Y1010" s="1053"/>
      <c r="Z1010" s="1051"/>
      <c r="AA1010" s="1051"/>
      <c r="AB1010" s="1052"/>
      <c r="AC1010" s="1051"/>
      <c r="AD1010" s="1051"/>
      <c r="AE1010" s="1052"/>
      <c r="AF1010" s="1051"/>
      <c r="AG1010" s="1051"/>
      <c r="AH1010" s="1051"/>
      <c r="AI1010" s="1051"/>
      <c r="AJ1010" s="1052"/>
      <c r="AK1010" s="1051"/>
      <c r="AL1010" s="1051"/>
      <c r="AM1010" s="1052"/>
      <c r="AN1010" s="1051"/>
      <c r="AO1010" s="1051"/>
      <c r="AP1010" s="1052"/>
      <c r="AQ1010" s="1051"/>
      <c r="AR1010" s="1051"/>
      <c r="AS1010" s="1052"/>
      <c r="AT1010" s="1051"/>
      <c r="AU1010" s="1051"/>
      <c r="AV1010" s="1052"/>
      <c r="AW1010" s="1051"/>
      <c r="AX1010" s="1051"/>
      <c r="AY1010" s="1053"/>
      <c r="AZ1010" s="1051"/>
      <c r="BA1010" s="1051"/>
      <c r="BB1010" s="1053"/>
      <c r="BC1010" s="1051"/>
      <c r="BD1010" s="1051"/>
      <c r="BE1010" s="1053"/>
      <c r="BF1010" s="1051"/>
      <c r="BG1010" s="1051"/>
      <c r="BH1010" s="1053"/>
      <c r="BI1010" s="1052"/>
      <c r="BJ1010" s="1052"/>
      <c r="BK1010" s="1052"/>
      <c r="BL1010" s="1052"/>
      <c r="BM1010" s="1052"/>
      <c r="BN1010" s="1054"/>
      <c r="BO1010" s="1076">
        <f t="shared" si="26"/>
        <v>0</v>
      </c>
      <c r="BP1010" s="1051"/>
      <c r="BQ1010" s="1052"/>
      <c r="BR1010" s="1054"/>
      <c r="BS1010" s="1053"/>
      <c r="BT1010" s="1051"/>
      <c r="BU1010" s="1051"/>
      <c r="BV1010" s="1051"/>
      <c r="BW1010" s="1052"/>
      <c r="BX1010" s="1052"/>
      <c r="BY1010" s="1052"/>
      <c r="BZ1010" s="1052"/>
      <c r="CA1010" s="1052"/>
      <c r="CB1010" s="1053"/>
      <c r="CC1010" s="1053"/>
      <c r="CD1010" s="1053"/>
      <c r="CE1010" s="1053"/>
      <c r="CF1010" s="1053"/>
      <c r="CG1010" s="1053"/>
      <c r="CH1010" s="1053"/>
      <c r="CI1010" s="1123"/>
      <c r="CJ1010" s="1123"/>
      <c r="CK1010" s="1123"/>
      <c r="CL1010" s="1123"/>
      <c r="CM1010" s="1123"/>
      <c r="CN1010" s="1123"/>
      <c r="CO1010" s="1123"/>
      <c r="CP1010" s="1123"/>
      <c r="CQ1010" s="1123"/>
      <c r="CR1010" s="1123"/>
      <c r="CS1010" s="1123"/>
      <c r="CT1010" s="1123"/>
      <c r="CU1010" s="1123"/>
      <c r="CV1010" s="1123"/>
      <c r="CW1010" s="1123"/>
      <c r="CX1010" s="1123"/>
      <c r="CY1010" s="1123"/>
      <c r="CZ1010" s="1114"/>
      <c r="DA1010" s="1114"/>
      <c r="DB1010" s="1114"/>
      <c r="DC1010" s="1114"/>
      <c r="DD1010" s="1114"/>
      <c r="DE1010" s="1114"/>
      <c r="DF1010" s="1114"/>
      <c r="DG1010" s="1114"/>
      <c r="DH1010" s="1114"/>
      <c r="DI1010" s="1114"/>
      <c r="DJ1010" s="1114"/>
      <c r="DK1010" s="1114"/>
      <c r="DL1010" s="1114"/>
      <c r="DM1010" s="1114"/>
      <c r="DN1010" s="1114"/>
      <c r="DO1010" s="1114"/>
      <c r="DP1010" s="1114"/>
      <c r="DQ1010" s="1114"/>
      <c r="DR1010" s="1114"/>
      <c r="DS1010" s="1114"/>
      <c r="DT1010" s="1114"/>
      <c r="DU1010" s="1114"/>
      <c r="DV1010" s="1115"/>
      <c r="DW1010" s="1116"/>
      <c r="DX1010" s="1116"/>
      <c r="DY1010" s="1116"/>
      <c r="DZ1010" s="1116"/>
      <c r="EA1010" s="1116"/>
      <c r="EB1010" s="1116"/>
      <c r="EC1010" s="1116"/>
      <c r="ED1010" s="1116"/>
      <c r="EE1010" s="1116"/>
      <c r="EF1010" s="1116"/>
      <c r="EG1010" s="1116"/>
      <c r="EH1010" s="1116"/>
      <c r="EI1010" s="1116"/>
      <c r="EJ1010" s="1116"/>
      <c r="EK1010" s="1116"/>
      <c r="EL1010" s="1116"/>
      <c r="EM1010" s="1116"/>
      <c r="EN1010" s="1116"/>
      <c r="EO1010" s="1116"/>
      <c r="EP1010" s="1116"/>
      <c r="EQ1010" s="1116"/>
      <c r="ER1010" s="1116"/>
      <c r="ES1010" s="1116"/>
    </row>
    <row r="1011" spans="1:149" ht="15" customHeight="1">
      <c r="A1011" s="1185">
        <v>996</v>
      </c>
      <c r="B1011" s="1041"/>
      <c r="C1011" s="1050"/>
      <c r="D1011" s="1050"/>
      <c r="E1011" s="1050"/>
      <c r="F1011" s="1049"/>
      <c r="G1011" s="1457"/>
      <c r="H1011" s="1049"/>
      <c r="I1011" s="1049"/>
      <c r="J1011" s="1050"/>
      <c r="K1011" s="1050"/>
      <c r="L1011" s="1043"/>
      <c r="M1011" s="1051"/>
      <c r="N1011" s="1051"/>
      <c r="O1011" s="1052"/>
      <c r="P1011" s="1051"/>
      <c r="Q1011" s="1051"/>
      <c r="R1011" s="1052"/>
      <c r="S1011" s="1051"/>
      <c r="T1011" s="1051"/>
      <c r="U1011" s="1052"/>
      <c r="V1011" s="1051"/>
      <c r="W1011" s="1051"/>
      <c r="X1011" s="1052"/>
      <c r="Y1011" s="1053"/>
      <c r="Z1011" s="1051"/>
      <c r="AA1011" s="1051"/>
      <c r="AB1011" s="1052"/>
      <c r="AC1011" s="1051"/>
      <c r="AD1011" s="1051"/>
      <c r="AE1011" s="1052"/>
      <c r="AF1011" s="1051"/>
      <c r="AG1011" s="1051"/>
      <c r="AH1011" s="1051"/>
      <c r="AI1011" s="1051"/>
      <c r="AJ1011" s="1052"/>
      <c r="AK1011" s="1051"/>
      <c r="AL1011" s="1051"/>
      <c r="AM1011" s="1052"/>
      <c r="AN1011" s="1051"/>
      <c r="AO1011" s="1051"/>
      <c r="AP1011" s="1052"/>
      <c r="AQ1011" s="1051"/>
      <c r="AR1011" s="1051"/>
      <c r="AS1011" s="1052"/>
      <c r="AT1011" s="1051"/>
      <c r="AU1011" s="1051"/>
      <c r="AV1011" s="1052"/>
      <c r="AW1011" s="1051"/>
      <c r="AX1011" s="1051"/>
      <c r="AY1011" s="1053"/>
      <c r="AZ1011" s="1051"/>
      <c r="BA1011" s="1051"/>
      <c r="BB1011" s="1053"/>
      <c r="BC1011" s="1051"/>
      <c r="BD1011" s="1051"/>
      <c r="BE1011" s="1053"/>
      <c r="BF1011" s="1051"/>
      <c r="BG1011" s="1051"/>
      <c r="BH1011" s="1053"/>
      <c r="BI1011" s="1052"/>
      <c r="BJ1011" s="1052"/>
      <c r="BK1011" s="1052"/>
      <c r="BL1011" s="1052"/>
      <c r="BM1011" s="1052"/>
      <c r="BN1011" s="1054"/>
      <c r="BO1011" s="1076">
        <f t="shared" si="26"/>
        <v>0</v>
      </c>
      <c r="BP1011" s="1051"/>
      <c r="BQ1011" s="1052"/>
      <c r="BR1011" s="1054"/>
      <c r="BS1011" s="1053"/>
      <c r="BT1011" s="1051"/>
      <c r="BU1011" s="1051"/>
      <c r="BV1011" s="1051"/>
      <c r="BW1011" s="1052"/>
      <c r="BX1011" s="1052"/>
      <c r="BY1011" s="1052"/>
      <c r="BZ1011" s="1052"/>
      <c r="CA1011" s="1052"/>
      <c r="CB1011" s="1053"/>
      <c r="CC1011" s="1053"/>
      <c r="CD1011" s="1053"/>
      <c r="CE1011" s="1053"/>
      <c r="CF1011" s="1053"/>
      <c r="CG1011" s="1053"/>
      <c r="CH1011" s="1053"/>
      <c r="CI1011" s="1123"/>
      <c r="CJ1011" s="1123"/>
      <c r="CK1011" s="1123"/>
      <c r="CL1011" s="1123"/>
      <c r="CM1011" s="1123"/>
      <c r="CN1011" s="1123"/>
      <c r="CO1011" s="1123"/>
      <c r="CP1011" s="1123"/>
      <c r="CQ1011" s="1123"/>
      <c r="CR1011" s="1123"/>
      <c r="CS1011" s="1123"/>
      <c r="CT1011" s="1123"/>
      <c r="CU1011" s="1123"/>
      <c r="CV1011" s="1123"/>
      <c r="CW1011" s="1123"/>
      <c r="CX1011" s="1123"/>
      <c r="CY1011" s="1123"/>
      <c r="CZ1011" s="1114"/>
      <c r="DA1011" s="1114"/>
      <c r="DB1011" s="1114"/>
      <c r="DC1011" s="1114"/>
      <c r="DD1011" s="1114"/>
      <c r="DE1011" s="1114"/>
      <c r="DF1011" s="1114"/>
      <c r="DG1011" s="1114"/>
      <c r="DH1011" s="1114"/>
      <c r="DI1011" s="1114"/>
      <c r="DJ1011" s="1114"/>
      <c r="DK1011" s="1114"/>
      <c r="DL1011" s="1114"/>
      <c r="DM1011" s="1114"/>
      <c r="DN1011" s="1114"/>
      <c r="DO1011" s="1114"/>
      <c r="DP1011" s="1114"/>
      <c r="DQ1011" s="1114"/>
      <c r="DR1011" s="1114"/>
      <c r="DS1011" s="1114"/>
      <c r="DT1011" s="1114"/>
      <c r="DU1011" s="1114"/>
      <c r="DV1011" s="1115"/>
      <c r="DW1011" s="1116"/>
      <c r="DX1011" s="1116"/>
      <c r="DY1011" s="1116"/>
      <c r="DZ1011" s="1116"/>
      <c r="EA1011" s="1116"/>
      <c r="EB1011" s="1116"/>
      <c r="EC1011" s="1116"/>
      <c r="ED1011" s="1116"/>
      <c r="EE1011" s="1116"/>
      <c r="EF1011" s="1116"/>
      <c r="EG1011" s="1116"/>
      <c r="EH1011" s="1116"/>
      <c r="EI1011" s="1116"/>
      <c r="EJ1011" s="1116"/>
      <c r="EK1011" s="1116"/>
      <c r="EL1011" s="1116"/>
      <c r="EM1011" s="1116"/>
      <c r="EN1011" s="1116"/>
      <c r="EO1011" s="1116"/>
      <c r="EP1011" s="1116"/>
      <c r="EQ1011" s="1116"/>
      <c r="ER1011" s="1116"/>
      <c r="ES1011" s="1116"/>
    </row>
    <row r="1012" spans="1:149" ht="15" customHeight="1">
      <c r="A1012" s="1185">
        <v>997</v>
      </c>
      <c r="B1012" s="1041"/>
      <c r="C1012" s="1050"/>
      <c r="D1012" s="1050"/>
      <c r="E1012" s="1050"/>
      <c r="F1012" s="1049"/>
      <c r="G1012" s="1457"/>
      <c r="H1012" s="1049"/>
      <c r="I1012" s="1049"/>
      <c r="J1012" s="1050"/>
      <c r="K1012" s="1050"/>
      <c r="L1012" s="1043"/>
      <c r="M1012" s="1051"/>
      <c r="N1012" s="1051"/>
      <c r="O1012" s="1052"/>
      <c r="P1012" s="1051"/>
      <c r="Q1012" s="1051"/>
      <c r="R1012" s="1052"/>
      <c r="S1012" s="1051"/>
      <c r="T1012" s="1051"/>
      <c r="U1012" s="1052"/>
      <c r="V1012" s="1051"/>
      <c r="W1012" s="1051"/>
      <c r="X1012" s="1052"/>
      <c r="Y1012" s="1053"/>
      <c r="Z1012" s="1051"/>
      <c r="AA1012" s="1051"/>
      <c r="AB1012" s="1052"/>
      <c r="AC1012" s="1051"/>
      <c r="AD1012" s="1051"/>
      <c r="AE1012" s="1052"/>
      <c r="AF1012" s="1051"/>
      <c r="AG1012" s="1051"/>
      <c r="AH1012" s="1051"/>
      <c r="AI1012" s="1051"/>
      <c r="AJ1012" s="1052"/>
      <c r="AK1012" s="1051"/>
      <c r="AL1012" s="1051"/>
      <c r="AM1012" s="1052"/>
      <c r="AN1012" s="1051"/>
      <c r="AO1012" s="1051"/>
      <c r="AP1012" s="1052"/>
      <c r="AQ1012" s="1051"/>
      <c r="AR1012" s="1051"/>
      <c r="AS1012" s="1052"/>
      <c r="AT1012" s="1051"/>
      <c r="AU1012" s="1051"/>
      <c r="AV1012" s="1052"/>
      <c r="AW1012" s="1051"/>
      <c r="AX1012" s="1051"/>
      <c r="AY1012" s="1053"/>
      <c r="AZ1012" s="1051"/>
      <c r="BA1012" s="1051"/>
      <c r="BB1012" s="1053"/>
      <c r="BC1012" s="1051"/>
      <c r="BD1012" s="1051"/>
      <c r="BE1012" s="1053"/>
      <c r="BF1012" s="1051"/>
      <c r="BG1012" s="1051"/>
      <c r="BH1012" s="1053"/>
      <c r="BI1012" s="1052"/>
      <c r="BJ1012" s="1052"/>
      <c r="BK1012" s="1052"/>
      <c r="BL1012" s="1052"/>
      <c r="BM1012" s="1052"/>
      <c r="BN1012" s="1054"/>
      <c r="BO1012" s="1076">
        <f t="shared" si="26"/>
        <v>0</v>
      </c>
      <c r="BP1012" s="1051"/>
      <c r="BQ1012" s="1052"/>
      <c r="BR1012" s="1054"/>
      <c r="BS1012" s="1053"/>
      <c r="BT1012" s="1051"/>
      <c r="BU1012" s="1051"/>
      <c r="BV1012" s="1051"/>
      <c r="BW1012" s="1052"/>
      <c r="BX1012" s="1052"/>
      <c r="BY1012" s="1052"/>
      <c r="BZ1012" s="1052"/>
      <c r="CA1012" s="1052"/>
      <c r="CB1012" s="1053"/>
      <c r="CC1012" s="1053"/>
      <c r="CD1012" s="1053"/>
      <c r="CE1012" s="1053"/>
      <c r="CF1012" s="1053"/>
      <c r="CG1012" s="1053"/>
      <c r="CH1012" s="1053"/>
      <c r="CI1012" s="1123"/>
      <c r="CJ1012" s="1123"/>
      <c r="CK1012" s="1123"/>
      <c r="CL1012" s="1123"/>
      <c r="CM1012" s="1123"/>
      <c r="CN1012" s="1123"/>
      <c r="CO1012" s="1123"/>
      <c r="CP1012" s="1123"/>
      <c r="CQ1012" s="1123"/>
      <c r="CR1012" s="1123"/>
      <c r="CS1012" s="1123"/>
      <c r="CT1012" s="1123"/>
      <c r="CU1012" s="1123"/>
      <c r="CV1012" s="1123"/>
      <c r="CW1012" s="1123"/>
      <c r="CX1012" s="1123"/>
      <c r="CY1012" s="1123"/>
      <c r="CZ1012" s="1114"/>
      <c r="DA1012" s="1114"/>
      <c r="DB1012" s="1114"/>
      <c r="DC1012" s="1114"/>
      <c r="DD1012" s="1114"/>
      <c r="DE1012" s="1114"/>
      <c r="DF1012" s="1114"/>
      <c r="DG1012" s="1114"/>
      <c r="DH1012" s="1114"/>
      <c r="DI1012" s="1114"/>
      <c r="DJ1012" s="1114"/>
      <c r="DK1012" s="1114"/>
      <c r="DL1012" s="1114"/>
      <c r="DM1012" s="1114"/>
      <c r="DN1012" s="1114"/>
      <c r="DO1012" s="1114"/>
      <c r="DP1012" s="1114"/>
      <c r="DQ1012" s="1114"/>
      <c r="DR1012" s="1114"/>
      <c r="DS1012" s="1114"/>
      <c r="DT1012" s="1114"/>
      <c r="DU1012" s="1114"/>
      <c r="DV1012" s="1115"/>
      <c r="DW1012" s="1116"/>
      <c r="DX1012" s="1116"/>
      <c r="DY1012" s="1116"/>
      <c r="DZ1012" s="1116"/>
      <c r="EA1012" s="1116"/>
      <c r="EB1012" s="1116"/>
      <c r="EC1012" s="1116"/>
      <c r="ED1012" s="1116"/>
      <c r="EE1012" s="1116"/>
      <c r="EF1012" s="1116"/>
      <c r="EG1012" s="1116"/>
      <c r="EH1012" s="1116"/>
      <c r="EI1012" s="1116"/>
      <c r="EJ1012" s="1116"/>
      <c r="EK1012" s="1116"/>
      <c r="EL1012" s="1116"/>
      <c r="EM1012" s="1116"/>
      <c r="EN1012" s="1116"/>
      <c r="EO1012" s="1116"/>
      <c r="EP1012" s="1116"/>
      <c r="EQ1012" s="1116"/>
      <c r="ER1012" s="1116"/>
      <c r="ES1012" s="1116"/>
    </row>
    <row r="1013" spans="1:149" ht="15" customHeight="1">
      <c r="A1013" s="1185">
        <v>998</v>
      </c>
      <c r="B1013" s="1041"/>
      <c r="C1013" s="1050"/>
      <c r="D1013" s="1050"/>
      <c r="E1013" s="1050"/>
      <c r="F1013" s="1049"/>
      <c r="G1013" s="1457"/>
      <c r="H1013" s="1049"/>
      <c r="I1013" s="1049"/>
      <c r="J1013" s="1050"/>
      <c r="K1013" s="1050"/>
      <c r="L1013" s="1043"/>
      <c r="M1013" s="1051"/>
      <c r="N1013" s="1051"/>
      <c r="O1013" s="1052"/>
      <c r="P1013" s="1051"/>
      <c r="Q1013" s="1051"/>
      <c r="R1013" s="1052"/>
      <c r="S1013" s="1051"/>
      <c r="T1013" s="1051"/>
      <c r="U1013" s="1052"/>
      <c r="V1013" s="1051"/>
      <c r="W1013" s="1051"/>
      <c r="X1013" s="1052"/>
      <c r="Y1013" s="1053"/>
      <c r="Z1013" s="1051"/>
      <c r="AA1013" s="1051"/>
      <c r="AB1013" s="1052"/>
      <c r="AC1013" s="1051"/>
      <c r="AD1013" s="1051"/>
      <c r="AE1013" s="1052"/>
      <c r="AF1013" s="1051"/>
      <c r="AG1013" s="1051"/>
      <c r="AH1013" s="1051"/>
      <c r="AI1013" s="1051"/>
      <c r="AJ1013" s="1052"/>
      <c r="AK1013" s="1051"/>
      <c r="AL1013" s="1051"/>
      <c r="AM1013" s="1052"/>
      <c r="AN1013" s="1051"/>
      <c r="AO1013" s="1051"/>
      <c r="AP1013" s="1052"/>
      <c r="AQ1013" s="1051"/>
      <c r="AR1013" s="1051"/>
      <c r="AS1013" s="1052"/>
      <c r="AT1013" s="1051"/>
      <c r="AU1013" s="1051"/>
      <c r="AV1013" s="1052"/>
      <c r="AW1013" s="1051"/>
      <c r="AX1013" s="1051"/>
      <c r="AY1013" s="1053"/>
      <c r="AZ1013" s="1051"/>
      <c r="BA1013" s="1051"/>
      <c r="BB1013" s="1053"/>
      <c r="BC1013" s="1051"/>
      <c r="BD1013" s="1051"/>
      <c r="BE1013" s="1053"/>
      <c r="BF1013" s="1051"/>
      <c r="BG1013" s="1051"/>
      <c r="BH1013" s="1053"/>
      <c r="BI1013" s="1052"/>
      <c r="BJ1013" s="1052"/>
      <c r="BK1013" s="1052"/>
      <c r="BL1013" s="1052"/>
      <c r="BM1013" s="1052"/>
      <c r="BN1013" s="1054"/>
      <c r="BO1013" s="1076">
        <f t="shared" si="26"/>
        <v>0</v>
      </c>
      <c r="BP1013" s="1051"/>
      <c r="BQ1013" s="1052"/>
      <c r="BR1013" s="1054"/>
      <c r="BS1013" s="1053"/>
      <c r="BT1013" s="1051"/>
      <c r="BU1013" s="1051"/>
      <c r="BV1013" s="1051"/>
      <c r="BW1013" s="1052"/>
      <c r="BX1013" s="1052"/>
      <c r="BY1013" s="1052"/>
      <c r="BZ1013" s="1052"/>
      <c r="CA1013" s="1052"/>
      <c r="CB1013" s="1053"/>
      <c r="CC1013" s="1053"/>
      <c r="CD1013" s="1053"/>
      <c r="CE1013" s="1053"/>
      <c r="CF1013" s="1053"/>
      <c r="CG1013" s="1053"/>
      <c r="CH1013" s="1053"/>
      <c r="CI1013" s="1123"/>
      <c r="CJ1013" s="1123"/>
      <c r="CK1013" s="1123"/>
      <c r="CL1013" s="1123"/>
      <c r="CM1013" s="1123"/>
      <c r="CN1013" s="1123"/>
      <c r="CO1013" s="1123"/>
      <c r="CP1013" s="1123"/>
      <c r="CQ1013" s="1123"/>
      <c r="CR1013" s="1123"/>
      <c r="CS1013" s="1123"/>
      <c r="CT1013" s="1123"/>
      <c r="CU1013" s="1123"/>
      <c r="CV1013" s="1123"/>
      <c r="CW1013" s="1123"/>
      <c r="CX1013" s="1123"/>
      <c r="CY1013" s="1123"/>
      <c r="CZ1013" s="1114"/>
      <c r="DA1013" s="1114"/>
      <c r="DB1013" s="1114"/>
      <c r="DC1013" s="1114"/>
      <c r="DD1013" s="1114"/>
      <c r="DE1013" s="1114"/>
      <c r="DF1013" s="1114"/>
      <c r="DG1013" s="1114"/>
      <c r="DH1013" s="1114"/>
      <c r="DI1013" s="1114"/>
      <c r="DJ1013" s="1114"/>
      <c r="DK1013" s="1114"/>
      <c r="DL1013" s="1114"/>
      <c r="DM1013" s="1114"/>
      <c r="DN1013" s="1114"/>
      <c r="DO1013" s="1114"/>
      <c r="DP1013" s="1114"/>
      <c r="DQ1013" s="1114"/>
      <c r="DR1013" s="1114"/>
      <c r="DS1013" s="1114"/>
      <c r="DT1013" s="1114"/>
      <c r="DU1013" s="1114"/>
      <c r="DV1013" s="1115"/>
      <c r="DW1013" s="1116"/>
      <c r="DX1013" s="1116"/>
      <c r="DY1013" s="1116"/>
      <c r="DZ1013" s="1116"/>
      <c r="EA1013" s="1116"/>
      <c r="EB1013" s="1116"/>
      <c r="EC1013" s="1116"/>
      <c r="ED1013" s="1116"/>
      <c r="EE1013" s="1116"/>
      <c r="EF1013" s="1116"/>
      <c r="EG1013" s="1116"/>
      <c r="EH1013" s="1116"/>
      <c r="EI1013" s="1116"/>
      <c r="EJ1013" s="1116"/>
      <c r="EK1013" s="1116"/>
      <c r="EL1013" s="1116"/>
      <c r="EM1013" s="1116"/>
      <c r="EN1013" s="1116"/>
      <c r="EO1013" s="1116"/>
      <c r="EP1013" s="1116"/>
      <c r="EQ1013" s="1116"/>
      <c r="ER1013" s="1116"/>
      <c r="ES1013" s="1116"/>
    </row>
    <row r="1014" spans="1:149" ht="15" customHeight="1">
      <c r="A1014" s="1185">
        <v>999</v>
      </c>
      <c r="B1014" s="1041"/>
      <c r="C1014" s="1050"/>
      <c r="D1014" s="1050"/>
      <c r="E1014" s="1050"/>
      <c r="F1014" s="1049"/>
      <c r="G1014" s="1457"/>
      <c r="H1014" s="1049"/>
      <c r="I1014" s="1049"/>
      <c r="J1014" s="1050"/>
      <c r="K1014" s="1050"/>
      <c r="L1014" s="1043"/>
      <c r="M1014" s="1051"/>
      <c r="N1014" s="1051"/>
      <c r="O1014" s="1052"/>
      <c r="P1014" s="1051"/>
      <c r="Q1014" s="1051"/>
      <c r="R1014" s="1052"/>
      <c r="S1014" s="1051"/>
      <c r="T1014" s="1051"/>
      <c r="U1014" s="1052"/>
      <c r="V1014" s="1051"/>
      <c r="W1014" s="1051"/>
      <c r="X1014" s="1052"/>
      <c r="Y1014" s="1053"/>
      <c r="Z1014" s="1051"/>
      <c r="AA1014" s="1051"/>
      <c r="AB1014" s="1052"/>
      <c r="AC1014" s="1051"/>
      <c r="AD1014" s="1051"/>
      <c r="AE1014" s="1052"/>
      <c r="AF1014" s="1051"/>
      <c r="AG1014" s="1051"/>
      <c r="AH1014" s="1051"/>
      <c r="AI1014" s="1051"/>
      <c r="AJ1014" s="1052"/>
      <c r="AK1014" s="1051"/>
      <c r="AL1014" s="1051"/>
      <c r="AM1014" s="1052"/>
      <c r="AN1014" s="1051"/>
      <c r="AO1014" s="1051"/>
      <c r="AP1014" s="1052"/>
      <c r="AQ1014" s="1051"/>
      <c r="AR1014" s="1051"/>
      <c r="AS1014" s="1052"/>
      <c r="AT1014" s="1051"/>
      <c r="AU1014" s="1051"/>
      <c r="AV1014" s="1052"/>
      <c r="AW1014" s="1051"/>
      <c r="AX1014" s="1051"/>
      <c r="AY1014" s="1053"/>
      <c r="AZ1014" s="1051"/>
      <c r="BA1014" s="1051"/>
      <c r="BB1014" s="1053"/>
      <c r="BC1014" s="1051"/>
      <c r="BD1014" s="1051"/>
      <c r="BE1014" s="1053"/>
      <c r="BF1014" s="1051"/>
      <c r="BG1014" s="1051"/>
      <c r="BH1014" s="1053"/>
      <c r="BI1014" s="1052"/>
      <c r="BJ1014" s="1052"/>
      <c r="BK1014" s="1052"/>
      <c r="BL1014" s="1052"/>
      <c r="BM1014" s="1052"/>
      <c r="BN1014" s="1054"/>
      <c r="BO1014" s="1076">
        <f t="shared" ref="BO1014:BO1015" si="27">H1014</f>
        <v>0</v>
      </c>
      <c r="BP1014" s="1051"/>
      <c r="BQ1014" s="1052"/>
      <c r="BR1014" s="1054"/>
      <c r="BS1014" s="1053"/>
      <c r="BT1014" s="1051"/>
      <c r="BU1014" s="1051"/>
      <c r="BV1014" s="1051"/>
      <c r="BW1014" s="1052"/>
      <c r="BX1014" s="1052"/>
      <c r="BY1014" s="1052"/>
      <c r="BZ1014" s="1052"/>
      <c r="CA1014" s="1052"/>
      <c r="CB1014" s="1053"/>
      <c r="CC1014" s="1053"/>
      <c r="CD1014" s="1053"/>
      <c r="CE1014" s="1053"/>
      <c r="CF1014" s="1053"/>
      <c r="CG1014" s="1053"/>
      <c r="CH1014" s="1053"/>
      <c r="CI1014" s="1123"/>
      <c r="CJ1014" s="1123"/>
      <c r="CK1014" s="1123"/>
      <c r="CL1014" s="1123"/>
      <c r="CM1014" s="1123"/>
      <c r="CN1014" s="1123"/>
      <c r="CO1014" s="1123"/>
      <c r="CP1014" s="1123"/>
      <c r="CQ1014" s="1123"/>
      <c r="CR1014" s="1123"/>
      <c r="CS1014" s="1123"/>
      <c r="CT1014" s="1123"/>
      <c r="CU1014" s="1123"/>
      <c r="CV1014" s="1123"/>
      <c r="CW1014" s="1123"/>
      <c r="CX1014" s="1123"/>
      <c r="CY1014" s="1123"/>
      <c r="CZ1014" s="1114"/>
      <c r="DA1014" s="1114"/>
      <c r="DB1014" s="1114"/>
      <c r="DC1014" s="1114"/>
      <c r="DD1014" s="1114"/>
      <c r="DE1014" s="1114"/>
      <c r="DF1014" s="1114"/>
      <c r="DG1014" s="1114"/>
      <c r="DH1014" s="1114"/>
      <c r="DI1014" s="1114"/>
      <c r="DJ1014" s="1114"/>
      <c r="DK1014" s="1114"/>
      <c r="DL1014" s="1114"/>
      <c r="DM1014" s="1114"/>
      <c r="DN1014" s="1114"/>
      <c r="DO1014" s="1114"/>
      <c r="DP1014" s="1114"/>
      <c r="DQ1014" s="1114"/>
      <c r="DR1014" s="1114"/>
      <c r="DS1014" s="1114"/>
      <c r="DT1014" s="1114"/>
      <c r="DU1014" s="1114"/>
      <c r="DV1014" s="1115"/>
      <c r="DW1014" s="1116"/>
      <c r="DX1014" s="1116"/>
      <c r="DY1014" s="1116"/>
      <c r="DZ1014" s="1116"/>
      <c r="EA1014" s="1116"/>
      <c r="EB1014" s="1116"/>
      <c r="EC1014" s="1116"/>
      <c r="ED1014" s="1116"/>
      <c r="EE1014" s="1116"/>
      <c r="EF1014" s="1116"/>
      <c r="EG1014" s="1116"/>
      <c r="EH1014" s="1116"/>
      <c r="EI1014" s="1116"/>
      <c r="EJ1014" s="1116"/>
      <c r="EK1014" s="1116"/>
      <c r="EL1014" s="1116"/>
      <c r="EM1014" s="1116"/>
      <c r="EN1014" s="1116"/>
      <c r="EO1014" s="1116"/>
      <c r="EP1014" s="1116"/>
      <c r="EQ1014" s="1116"/>
      <c r="ER1014" s="1116"/>
      <c r="ES1014" s="1116"/>
    </row>
    <row r="1015" spans="1:149" ht="15" customHeight="1">
      <c r="A1015" s="1185">
        <v>1000</v>
      </c>
      <c r="B1015" s="1041"/>
      <c r="C1015" s="1050"/>
      <c r="D1015" s="1050"/>
      <c r="E1015" s="1050"/>
      <c r="F1015" s="1049"/>
      <c r="G1015" s="1457"/>
      <c r="H1015" s="1049"/>
      <c r="I1015" s="1049"/>
      <c r="J1015" s="1050"/>
      <c r="K1015" s="1050"/>
      <c r="L1015" s="1043"/>
      <c r="M1015" s="1051"/>
      <c r="N1015" s="1051"/>
      <c r="O1015" s="1052"/>
      <c r="P1015" s="1051"/>
      <c r="Q1015" s="1051"/>
      <c r="R1015" s="1052"/>
      <c r="S1015" s="1051"/>
      <c r="T1015" s="1051"/>
      <c r="U1015" s="1052"/>
      <c r="V1015" s="1051"/>
      <c r="W1015" s="1051"/>
      <c r="X1015" s="1052"/>
      <c r="Y1015" s="1053"/>
      <c r="Z1015" s="1051"/>
      <c r="AA1015" s="1051"/>
      <c r="AB1015" s="1052"/>
      <c r="AC1015" s="1051"/>
      <c r="AD1015" s="1051"/>
      <c r="AE1015" s="1052"/>
      <c r="AF1015" s="1051"/>
      <c r="AG1015" s="1051"/>
      <c r="AH1015" s="1051"/>
      <c r="AI1015" s="1051"/>
      <c r="AJ1015" s="1052"/>
      <c r="AK1015" s="1051"/>
      <c r="AL1015" s="1051"/>
      <c r="AM1015" s="1052"/>
      <c r="AN1015" s="1051"/>
      <c r="AO1015" s="1051"/>
      <c r="AP1015" s="1052"/>
      <c r="AQ1015" s="1051"/>
      <c r="AR1015" s="1051"/>
      <c r="AS1015" s="1052"/>
      <c r="AT1015" s="1051"/>
      <c r="AU1015" s="1051"/>
      <c r="AV1015" s="1052"/>
      <c r="AW1015" s="1051"/>
      <c r="AX1015" s="1051"/>
      <c r="AY1015" s="1053"/>
      <c r="AZ1015" s="1051"/>
      <c r="BA1015" s="1051"/>
      <c r="BB1015" s="1053"/>
      <c r="BC1015" s="1051"/>
      <c r="BD1015" s="1051"/>
      <c r="BE1015" s="1053"/>
      <c r="BF1015" s="1051"/>
      <c r="BG1015" s="1051"/>
      <c r="BH1015" s="1053"/>
      <c r="BI1015" s="1052"/>
      <c r="BJ1015" s="1052"/>
      <c r="BK1015" s="1052"/>
      <c r="BL1015" s="1052"/>
      <c r="BM1015" s="1052"/>
      <c r="BN1015" s="1054"/>
      <c r="BO1015" s="1076">
        <f t="shared" si="27"/>
        <v>0</v>
      </c>
      <c r="BP1015" s="1051"/>
      <c r="BQ1015" s="1052"/>
      <c r="BR1015" s="1054"/>
      <c r="BS1015" s="1053"/>
      <c r="BT1015" s="1051"/>
      <c r="BU1015" s="1051"/>
      <c r="BV1015" s="1051"/>
      <c r="BW1015" s="1052"/>
      <c r="BX1015" s="1052"/>
      <c r="BY1015" s="1052"/>
      <c r="BZ1015" s="1052"/>
      <c r="CA1015" s="1052"/>
      <c r="CB1015" s="1053"/>
      <c r="CC1015" s="1053"/>
      <c r="CD1015" s="1053"/>
      <c r="CE1015" s="1053"/>
      <c r="CF1015" s="1053"/>
      <c r="CG1015" s="1053"/>
      <c r="CH1015" s="1053"/>
      <c r="CI1015" s="1123"/>
      <c r="CJ1015" s="1123"/>
      <c r="CK1015" s="1123"/>
      <c r="CL1015" s="1123"/>
      <c r="CM1015" s="1123"/>
      <c r="CN1015" s="1123"/>
      <c r="CO1015" s="1123"/>
      <c r="CP1015" s="1123"/>
      <c r="CQ1015" s="1123"/>
      <c r="CR1015" s="1123"/>
      <c r="CS1015" s="1123"/>
      <c r="CT1015" s="1123"/>
      <c r="CU1015" s="1123"/>
      <c r="CV1015" s="1123"/>
      <c r="CW1015" s="1123"/>
      <c r="CX1015" s="1123"/>
      <c r="CY1015" s="1123"/>
      <c r="CZ1015" s="1114"/>
      <c r="DA1015" s="1114"/>
      <c r="DB1015" s="1114"/>
      <c r="DC1015" s="1114"/>
      <c r="DD1015" s="1114"/>
      <c r="DE1015" s="1114"/>
      <c r="DF1015" s="1114"/>
      <c r="DG1015" s="1114"/>
      <c r="DH1015" s="1114"/>
      <c r="DI1015" s="1114"/>
      <c r="DJ1015" s="1114"/>
      <c r="DK1015" s="1114"/>
      <c r="DL1015" s="1114"/>
      <c r="DM1015" s="1114"/>
      <c r="DN1015" s="1114"/>
      <c r="DO1015" s="1114"/>
      <c r="DP1015" s="1114"/>
      <c r="DQ1015" s="1114"/>
      <c r="DR1015" s="1114"/>
      <c r="DS1015" s="1114"/>
      <c r="DT1015" s="1114"/>
      <c r="DU1015" s="1114"/>
      <c r="DV1015" s="1115"/>
      <c r="DW1015" s="1116"/>
      <c r="DX1015" s="1116"/>
      <c r="DY1015" s="1116"/>
      <c r="DZ1015" s="1116"/>
      <c r="EA1015" s="1116"/>
      <c r="EB1015" s="1116"/>
      <c r="EC1015" s="1116"/>
      <c r="ED1015" s="1116"/>
      <c r="EE1015" s="1116"/>
      <c r="EF1015" s="1116"/>
      <c r="EG1015" s="1116"/>
      <c r="EH1015" s="1116"/>
      <c r="EI1015" s="1116"/>
      <c r="EJ1015" s="1116"/>
      <c r="EK1015" s="1116"/>
      <c r="EL1015" s="1116"/>
      <c r="EM1015" s="1116"/>
      <c r="EN1015" s="1116"/>
      <c r="EO1015" s="1116"/>
      <c r="EP1015" s="1116"/>
      <c r="EQ1015" s="1116"/>
      <c r="ER1015" s="1116"/>
      <c r="ES1015" s="1116"/>
    </row>
    <row r="1016" spans="1:149" ht="31" customHeight="1"/>
    <row r="1017" spans="1:149" ht="15" customHeight="1"/>
    <row r="1018" spans="1:149" ht="15" customHeight="1"/>
    <row r="1019" spans="1:149" ht="15" customHeight="1"/>
    <row r="1020" spans="1:149" ht="15" customHeight="1"/>
    <row r="1021" spans="1:149" ht="15" customHeight="1"/>
    <row r="1022" spans="1:149" ht="15" customHeight="1"/>
    <row r="1023" spans="1:149" ht="15" customHeight="1"/>
    <row r="1024" spans="1:149" ht="15" customHeight="1"/>
    <row r="1025" ht="15" customHeight="1"/>
    <row r="1026" ht="15" customHeight="1"/>
    <row r="1027" ht="15" customHeight="1"/>
    <row r="1028" ht="15" customHeight="1"/>
    <row r="1029" ht="15" customHeight="1"/>
  </sheetData>
  <sheetProtection selectLockedCells="1" selectUnlockedCells="1"/>
  <mergeCells count="14">
    <mergeCell ref="B2:B3"/>
    <mergeCell ref="C2:C3"/>
    <mergeCell ref="D2:E2"/>
    <mergeCell ref="D3:E3"/>
    <mergeCell ref="F2:G2"/>
    <mergeCell ref="F3:G3"/>
    <mergeCell ref="N3:O3"/>
    <mergeCell ref="N2:O2"/>
    <mergeCell ref="H2:I2"/>
    <mergeCell ref="H3:I3"/>
    <mergeCell ref="J3:K3"/>
    <mergeCell ref="J2:K2"/>
    <mergeCell ref="L2:M2"/>
    <mergeCell ref="L3:M3"/>
  </mergeCells>
  <hyperlinks>
    <hyperlink ref="H3" location="Benchmark!A1" display="Benchmarking"/>
    <hyperlink ref="G3" location="Progress!A1" display="Progress!A1"/>
    <hyperlink ref="F3" location="Progress!A1" display="Progress"/>
    <hyperlink ref="D3" location="Data!A1" display="Data"/>
    <hyperlink ref="E3" location="Data!A1" display="Data!A1"/>
    <hyperlink ref="J3" location="'Heat map'!A1" display="Heat map"/>
    <hyperlink ref="L3" location="Overview_2!A1" display="Overview"/>
    <hyperlink ref="N3" location="Output!A1" display="Output"/>
    <hyperlink ref="F2" location="'City information'!A1" display="Set-up"/>
    <hyperlink ref="G2" location="'City information'!A1" display="'City information'!A1"/>
    <hyperlink ref="H2" location="Inventory!A1" display="Inventory"/>
    <hyperlink ref="J2" location="Calculators!A1" display="Calculators"/>
    <hyperlink ref="L2" location="Results!A1" display="Results"/>
    <hyperlink ref="D2" location="Home!A1" display="Introduction"/>
    <hyperlink ref="E2" location="Home!A1" display="Home!A1"/>
  </hyperlinks>
  <pageMargins left="0.25" right="0.25" top="0.75" bottom="0.75" header="0.3" footer="0.3"/>
  <pageSetup paperSize="9" scale="10" orientation="portrait" horizontalDpi="4294967292" verticalDpi="4294967292"/>
  <headerFooter>
    <oddHeader>&amp;CTable 4.1</oddHeader>
  </headerFooter>
  <ignoredErrors>
    <ignoredError sqref="G16" formula="1"/>
  </ignoredErrors>
  <drawing r:id="rId1"/>
  <extLst>
    <ext xmlns:mx="http://schemas.microsoft.com/office/mac/excel/2008/main" uri="{64002731-A6B0-56B0-2670-7721B7C09600}">
      <mx:PLV Mode="0" OnePage="0" WScale="71"/>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theme="4"/>
    <outlinePr summaryBelow="0"/>
    <pageSetUpPr fitToPage="1"/>
  </sheetPr>
  <dimension ref="A1:ET1016"/>
  <sheetViews>
    <sheetView showRowColHeaders="0" workbookViewId="0"/>
  </sheetViews>
  <sheetFormatPr baseColWidth="10" defaultColWidth="0" defaultRowHeight="15" customHeight="1" zeroHeight="1" x14ac:dyDescent="0"/>
  <cols>
    <col min="1" max="1" width="4.83203125" style="31" customWidth="1"/>
    <col min="2" max="2" width="12.83203125" style="32" customWidth="1"/>
    <col min="3" max="11" width="12.83203125" style="33" customWidth="1"/>
    <col min="12" max="13" width="12.83203125" style="34" customWidth="1"/>
    <col min="14" max="17" width="12.6640625" style="34" customWidth="1"/>
    <col min="18" max="21" width="12.83203125" style="31" customWidth="1"/>
    <col min="22" max="22" width="12.83203125" style="15" customWidth="1"/>
    <col min="23" max="26" width="12.83203125" style="31" customWidth="1"/>
    <col min="27" max="31" width="12.83203125" style="26" customWidth="1"/>
    <col min="32" max="149" width="12.83203125" style="31" customWidth="1"/>
    <col min="150" max="150" width="4.83203125" style="31" customWidth="1"/>
    <col min="151" max="16384" width="10.83203125" style="31" hidden="1"/>
  </cols>
  <sheetData>
    <row r="1" spans="1:150" s="498" customFormat="1">
      <c r="V1" s="499"/>
      <c r="W1" s="499"/>
      <c r="X1" s="499"/>
      <c r="Y1" s="500"/>
      <c r="Z1" s="500"/>
      <c r="AA1" s="500"/>
    </row>
    <row r="2" spans="1:150" s="464" customFormat="1" ht="31" customHeight="1">
      <c r="A2" s="494"/>
      <c r="B2" s="1817" t="s">
        <v>1965</v>
      </c>
      <c r="C2" s="1819">
        <v>400</v>
      </c>
      <c r="D2" s="2653" t="s">
        <v>1555</v>
      </c>
      <c r="E2" s="2653"/>
      <c r="F2" s="2654" t="s">
        <v>1563</v>
      </c>
      <c r="G2" s="2655"/>
      <c r="H2" s="2654" t="s">
        <v>794</v>
      </c>
      <c r="I2" s="2655"/>
      <c r="J2" s="2654" t="s">
        <v>1570</v>
      </c>
      <c r="K2" s="2655"/>
      <c r="L2" s="2654" t="s">
        <v>1564</v>
      </c>
      <c r="M2" s="2655"/>
      <c r="N2" s="2651" t="s">
        <v>1602</v>
      </c>
      <c r="O2" s="2652"/>
      <c r="P2" s="1472"/>
      <c r="Q2" s="1472"/>
      <c r="R2" s="1472"/>
      <c r="S2" s="1472"/>
      <c r="T2" s="496"/>
      <c r="U2" s="494"/>
      <c r="V2" s="494"/>
      <c r="W2" s="494"/>
      <c r="X2" s="494"/>
      <c r="Y2" s="494"/>
      <c r="Z2" s="494"/>
      <c r="AA2" s="494"/>
      <c r="AB2" s="494"/>
      <c r="AC2" s="494"/>
      <c r="AD2" s="494"/>
      <c r="AE2" s="494"/>
      <c r="AF2" s="494"/>
      <c r="AG2" s="494"/>
      <c r="AH2" s="494"/>
      <c r="AI2" s="494"/>
      <c r="AJ2" s="494"/>
      <c r="AK2" s="494"/>
      <c r="AL2" s="494"/>
      <c r="AM2" s="494"/>
      <c r="AN2" s="494"/>
      <c r="AO2" s="494"/>
      <c r="AP2" s="494"/>
      <c r="AQ2" s="494"/>
      <c r="AR2" s="494"/>
      <c r="AS2" s="494"/>
      <c r="AT2" s="494"/>
      <c r="AU2" s="494"/>
      <c r="AV2" s="494"/>
      <c r="AW2" s="494"/>
      <c r="AX2" s="494"/>
      <c r="AY2" s="494"/>
      <c r="AZ2" s="494"/>
      <c r="BA2" s="494"/>
      <c r="BB2" s="494"/>
      <c r="BC2" s="494"/>
      <c r="BD2" s="494"/>
      <c r="BE2" s="494"/>
      <c r="BF2" s="494"/>
      <c r="BG2" s="494"/>
      <c r="BH2" s="494"/>
      <c r="BI2" s="494"/>
      <c r="BJ2" s="494"/>
      <c r="BK2" s="494"/>
      <c r="BL2" s="494"/>
      <c r="BM2" s="494"/>
      <c r="BN2" s="494"/>
      <c r="BO2" s="494"/>
      <c r="BP2" s="494"/>
      <c r="BQ2" s="494"/>
      <c r="BR2" s="494"/>
      <c r="BS2" s="494"/>
      <c r="BT2" s="494"/>
      <c r="BU2" s="494"/>
      <c r="BV2" s="494"/>
      <c r="BW2" s="494"/>
      <c r="BX2" s="494"/>
      <c r="BY2" s="494"/>
      <c r="BZ2" s="494"/>
      <c r="CA2" s="494"/>
      <c r="CB2" s="494"/>
      <c r="CC2" s="494"/>
      <c r="CD2" s="494"/>
      <c r="CE2" s="494"/>
      <c r="CF2" s="494"/>
      <c r="CG2" s="494"/>
      <c r="CH2" s="494"/>
      <c r="CI2" s="494"/>
      <c r="CJ2" s="494"/>
      <c r="CK2" s="494"/>
      <c r="CL2" s="494"/>
      <c r="CM2" s="494"/>
      <c r="CN2" s="494"/>
      <c r="CO2" s="494"/>
      <c r="CP2" s="494"/>
      <c r="CQ2" s="494"/>
      <c r="CR2" s="494"/>
      <c r="CS2" s="494"/>
      <c r="CT2" s="494"/>
      <c r="CU2" s="494"/>
      <c r="CV2" s="494"/>
      <c r="CW2" s="494"/>
      <c r="CX2" s="494"/>
      <c r="CY2" s="494"/>
      <c r="CZ2" s="494"/>
      <c r="DA2" s="494"/>
      <c r="DB2" s="494"/>
      <c r="DC2" s="494"/>
      <c r="DD2" s="494"/>
      <c r="DE2" s="494"/>
      <c r="DF2" s="494"/>
      <c r="DG2" s="494"/>
      <c r="DH2" s="494"/>
      <c r="DI2" s="494"/>
      <c r="DJ2" s="494"/>
      <c r="DK2" s="494"/>
      <c r="DL2" s="494"/>
      <c r="DM2" s="494"/>
      <c r="DN2" s="494"/>
      <c r="DO2" s="494"/>
      <c r="DP2" s="494"/>
      <c r="DQ2" s="494"/>
      <c r="DR2" s="494"/>
      <c r="DS2" s="494"/>
      <c r="DT2" s="494"/>
      <c r="DU2" s="494"/>
      <c r="DV2" s="494"/>
      <c r="DW2" s="494"/>
      <c r="DX2" s="494"/>
      <c r="DY2" s="494"/>
      <c r="DZ2" s="494"/>
      <c r="EA2" s="494"/>
      <c r="EB2" s="494"/>
      <c r="EC2" s="494"/>
      <c r="ED2" s="494"/>
      <c r="EE2" s="494"/>
      <c r="EF2" s="494"/>
      <c r="EG2" s="494"/>
      <c r="EH2" s="494"/>
      <c r="EI2" s="494"/>
      <c r="EJ2" s="494"/>
      <c r="EK2" s="494"/>
      <c r="EL2" s="494"/>
      <c r="EM2" s="494"/>
      <c r="EN2" s="494"/>
      <c r="EO2" s="494"/>
      <c r="EP2" s="494"/>
      <c r="EQ2" s="494"/>
      <c r="ER2" s="494"/>
      <c r="ES2" s="494"/>
      <c r="ET2" s="494"/>
    </row>
    <row r="3" spans="1:150" s="464" customFormat="1" ht="31" customHeight="1">
      <c r="A3" s="494"/>
      <c r="B3" s="1818"/>
      <c r="C3" s="1820"/>
      <c r="D3" s="1843" t="s">
        <v>722</v>
      </c>
      <c r="E3" s="1844"/>
      <c r="F3" s="1843" t="s">
        <v>1608</v>
      </c>
      <c r="G3" s="1844"/>
      <c r="H3" s="1843" t="s">
        <v>1609</v>
      </c>
      <c r="I3" s="1844"/>
      <c r="J3" s="1843" t="s">
        <v>1909</v>
      </c>
      <c r="K3" s="1844"/>
      <c r="L3" s="1843" t="s">
        <v>1568</v>
      </c>
      <c r="M3" s="1844"/>
      <c r="N3" s="1843" t="s">
        <v>2004</v>
      </c>
      <c r="O3" s="1844"/>
      <c r="P3" s="2651" t="s">
        <v>2019</v>
      </c>
      <c r="Q3" s="2652"/>
      <c r="R3" s="1843" t="s">
        <v>2461</v>
      </c>
      <c r="S3" s="1844"/>
      <c r="T3" s="2104" t="s">
        <v>2608</v>
      </c>
      <c r="U3" s="2105"/>
      <c r="V3" s="2104" t="s">
        <v>2607</v>
      </c>
      <c r="W3" s="2105"/>
      <c r="X3" s="2104" t="s">
        <v>2460</v>
      </c>
      <c r="Y3" s="2105"/>
      <c r="Z3" s="2104" t="s">
        <v>2022</v>
      </c>
      <c r="AA3" s="2105"/>
      <c r="AB3" s="494"/>
      <c r="AC3" s="494"/>
      <c r="AD3" s="494"/>
      <c r="AE3" s="494"/>
      <c r="AF3" s="494"/>
      <c r="AG3" s="494"/>
      <c r="AH3" s="494"/>
      <c r="AI3" s="494"/>
      <c r="AJ3" s="494"/>
      <c r="AK3" s="494"/>
      <c r="AL3" s="494"/>
      <c r="AM3" s="494"/>
      <c r="AN3" s="494"/>
      <c r="AO3" s="494"/>
      <c r="AP3" s="494"/>
      <c r="AQ3" s="494"/>
      <c r="AR3" s="494"/>
      <c r="AS3" s="494"/>
      <c r="AT3" s="494"/>
      <c r="AU3" s="494"/>
      <c r="AV3" s="494"/>
      <c r="AW3" s="494"/>
      <c r="AX3" s="494"/>
      <c r="AY3" s="494"/>
      <c r="AZ3" s="494"/>
      <c r="BA3" s="494"/>
      <c r="BB3" s="494"/>
      <c r="BC3" s="494"/>
      <c r="BD3" s="494"/>
      <c r="BE3" s="494"/>
      <c r="BF3" s="494"/>
      <c r="BG3" s="494"/>
      <c r="BH3" s="494"/>
      <c r="BI3" s="494"/>
      <c r="BJ3" s="494"/>
      <c r="BK3" s="494"/>
      <c r="BL3" s="494"/>
      <c r="BM3" s="494"/>
      <c r="BN3" s="494"/>
      <c r="BO3" s="494"/>
      <c r="BP3" s="494"/>
      <c r="BQ3" s="494"/>
      <c r="BR3" s="494"/>
      <c r="BS3" s="494"/>
      <c r="BT3" s="494"/>
      <c r="BU3" s="494"/>
      <c r="BV3" s="494"/>
      <c r="BW3" s="494"/>
      <c r="BX3" s="494"/>
      <c r="BY3" s="494"/>
      <c r="BZ3" s="494"/>
      <c r="CA3" s="494"/>
      <c r="CB3" s="494"/>
      <c r="CC3" s="494"/>
      <c r="CD3" s="494"/>
      <c r="CE3" s="494"/>
      <c r="CF3" s="494"/>
      <c r="CG3" s="494"/>
      <c r="CH3" s="494"/>
      <c r="CI3" s="494"/>
      <c r="CJ3" s="494"/>
      <c r="CK3" s="494"/>
      <c r="CL3" s="494"/>
      <c r="CM3" s="494"/>
      <c r="CN3" s="494"/>
      <c r="CO3" s="494"/>
      <c r="CP3" s="494"/>
      <c r="CQ3" s="494"/>
      <c r="CR3" s="494"/>
      <c r="CS3" s="494"/>
      <c r="CT3" s="494"/>
      <c r="CU3" s="494"/>
      <c r="CV3" s="494"/>
      <c r="CW3" s="494"/>
      <c r="CX3" s="494"/>
      <c r="CY3" s="494"/>
      <c r="CZ3" s="494"/>
      <c r="DA3" s="494"/>
      <c r="DB3" s="494"/>
      <c r="DC3" s="494"/>
      <c r="DD3" s="494"/>
      <c r="DE3" s="494"/>
      <c r="DF3" s="494"/>
      <c r="DG3" s="494"/>
      <c r="DH3" s="494"/>
      <c r="DI3" s="494"/>
      <c r="DJ3" s="494"/>
      <c r="DK3" s="494"/>
      <c r="DL3" s="494"/>
      <c r="DM3" s="494"/>
      <c r="DN3" s="494"/>
      <c r="DO3" s="494"/>
      <c r="DP3" s="494"/>
      <c r="DQ3" s="494"/>
      <c r="DR3" s="494"/>
      <c r="DS3" s="494"/>
      <c r="DT3" s="494"/>
      <c r="DU3" s="494"/>
      <c r="DV3" s="494"/>
      <c r="DW3" s="494"/>
      <c r="DX3" s="494"/>
      <c r="DY3" s="494"/>
      <c r="DZ3" s="494"/>
      <c r="EA3" s="494"/>
      <c r="EB3" s="494"/>
      <c r="EC3" s="494"/>
      <c r="ED3" s="494"/>
      <c r="EE3" s="494"/>
      <c r="EF3" s="494"/>
      <c r="EG3" s="494"/>
      <c r="EH3" s="494"/>
      <c r="EI3" s="494"/>
      <c r="EJ3" s="494"/>
      <c r="EK3" s="494"/>
      <c r="EL3" s="494"/>
      <c r="EM3" s="494"/>
      <c r="EN3" s="494"/>
      <c r="EO3" s="494"/>
      <c r="EP3" s="494"/>
      <c r="EQ3" s="494"/>
      <c r="ER3" s="494"/>
      <c r="ES3" s="494"/>
      <c r="ET3" s="494"/>
    </row>
    <row r="4" spans="1:150" s="494" customFormat="1" ht="15" customHeight="1">
      <c r="B4" s="492"/>
      <c r="C4" s="495"/>
      <c r="D4" s="497"/>
      <c r="E4" s="497"/>
      <c r="F4" s="497"/>
      <c r="G4" s="497"/>
      <c r="H4" s="497"/>
      <c r="I4" s="497"/>
      <c r="J4" s="497"/>
      <c r="K4" s="497"/>
      <c r="L4" s="497"/>
      <c r="M4" s="497"/>
      <c r="N4" s="496"/>
      <c r="O4" s="496"/>
      <c r="P4" s="496"/>
      <c r="Q4" s="496"/>
      <c r="R4" s="496"/>
      <c r="S4" s="496"/>
      <c r="T4" s="496"/>
      <c r="U4" s="496"/>
    </row>
    <row r="5" spans="1:150" ht="31" customHeight="1">
      <c r="V5" s="31"/>
    </row>
    <row r="6" spans="1:150" s="29" customFormat="1" ht="31" customHeight="1" thickBot="1">
      <c r="A6" s="31"/>
      <c r="B6" s="1385" t="s">
        <v>2729</v>
      </c>
      <c r="C6" s="466"/>
      <c r="D6" s="466"/>
      <c r="E6" s="466"/>
      <c r="F6" s="466"/>
      <c r="G6" s="466"/>
      <c r="H6" s="466"/>
      <c r="I6" s="466"/>
      <c r="J6" s="466"/>
      <c r="K6" s="466"/>
      <c r="L6" s="467"/>
      <c r="M6" s="467"/>
      <c r="N6" s="467"/>
      <c r="O6" s="467"/>
      <c r="P6" s="467"/>
      <c r="Q6" s="467"/>
      <c r="R6" s="468"/>
      <c r="S6" s="468"/>
      <c r="T6" s="468"/>
      <c r="U6" s="468"/>
      <c r="V6" s="468"/>
      <c r="W6" s="468"/>
      <c r="X6" s="468"/>
      <c r="Y6" s="468"/>
      <c r="Z6" s="468"/>
      <c r="AA6" s="468"/>
      <c r="AB6" s="468"/>
      <c r="AC6" s="468"/>
      <c r="AD6" s="468"/>
      <c r="AE6" s="468"/>
      <c r="AF6" s="468"/>
      <c r="AG6" s="468"/>
      <c r="AH6" s="468"/>
      <c r="AI6" s="468"/>
      <c r="AJ6" s="468"/>
      <c r="AK6" s="468"/>
      <c r="AL6" s="468"/>
      <c r="AM6" s="468"/>
      <c r="AN6" s="468"/>
      <c r="AO6" s="468"/>
      <c r="AP6" s="468"/>
      <c r="AQ6" s="468"/>
      <c r="AR6" s="468"/>
      <c r="AS6" s="468"/>
      <c r="AT6" s="468"/>
      <c r="AU6" s="468"/>
      <c r="AV6" s="468"/>
      <c r="AW6" s="468"/>
      <c r="AX6" s="468"/>
      <c r="AY6" s="468"/>
      <c r="AZ6" s="468"/>
      <c r="BA6" s="468"/>
      <c r="BB6" s="468"/>
      <c r="BC6" s="468"/>
      <c r="BD6" s="468"/>
      <c r="BE6" s="468"/>
      <c r="BF6" s="468"/>
      <c r="BG6" s="468"/>
      <c r="BH6" s="468"/>
      <c r="BI6" s="468"/>
      <c r="BJ6" s="468"/>
      <c r="BK6" s="468"/>
      <c r="BL6" s="468"/>
      <c r="BM6" s="468"/>
      <c r="BN6" s="468"/>
      <c r="BO6" s="468"/>
      <c r="BP6" s="468"/>
      <c r="BQ6" s="468"/>
      <c r="BR6" s="468"/>
      <c r="BS6" s="468"/>
      <c r="BT6" s="468"/>
      <c r="BU6" s="468"/>
      <c r="BV6" s="468"/>
      <c r="BW6" s="468"/>
      <c r="BX6" s="468"/>
      <c r="BY6" s="468"/>
      <c r="BZ6" s="468"/>
      <c r="CA6" s="468"/>
      <c r="CB6" s="468"/>
      <c r="CC6" s="468"/>
      <c r="CD6" s="468"/>
      <c r="CE6" s="468"/>
      <c r="CF6" s="468"/>
      <c r="CG6" s="468"/>
      <c r="CH6" s="468"/>
      <c r="CI6" s="468"/>
      <c r="CJ6" s="468"/>
      <c r="CK6" s="468"/>
      <c r="CL6" s="468"/>
      <c r="CM6" s="468"/>
      <c r="CN6" s="468"/>
      <c r="CO6" s="468"/>
      <c r="CP6" s="468"/>
      <c r="CQ6" s="468"/>
      <c r="CR6" s="468"/>
      <c r="CS6" s="468"/>
      <c r="CT6" s="468"/>
      <c r="CU6" s="468"/>
      <c r="CV6" s="468"/>
      <c r="CW6" s="468"/>
      <c r="CX6" s="468"/>
      <c r="CY6" s="468"/>
      <c r="CZ6" s="468"/>
      <c r="DA6" s="468"/>
      <c r="DB6" s="468"/>
      <c r="DC6" s="468"/>
      <c r="DD6" s="468"/>
      <c r="DE6" s="468"/>
      <c r="DF6" s="468"/>
      <c r="DG6" s="468"/>
      <c r="DH6" s="468"/>
      <c r="DI6" s="468"/>
      <c r="DJ6" s="468"/>
      <c r="DK6" s="468"/>
      <c r="DL6" s="468"/>
      <c r="DM6" s="468"/>
      <c r="DN6" s="468"/>
      <c r="DO6" s="468"/>
      <c r="DP6" s="468"/>
      <c r="DQ6" s="468"/>
      <c r="DR6" s="468"/>
      <c r="DS6" s="468"/>
      <c r="DT6" s="468"/>
      <c r="DU6" s="468"/>
      <c r="DV6" s="468"/>
      <c r="DW6" s="468"/>
      <c r="DX6" s="468"/>
      <c r="DY6" s="468"/>
      <c r="DZ6" s="468"/>
      <c r="EA6" s="468"/>
      <c r="EB6" s="468"/>
      <c r="EC6" s="468"/>
      <c r="ED6" s="468"/>
      <c r="EE6" s="468"/>
      <c r="EF6" s="468"/>
      <c r="EG6" s="468"/>
      <c r="EH6" s="468"/>
      <c r="EI6" s="468"/>
      <c r="EJ6" s="468"/>
      <c r="EK6" s="468"/>
      <c r="EL6" s="468"/>
      <c r="EM6" s="468"/>
      <c r="EN6" s="468"/>
      <c r="EO6" s="468"/>
      <c r="EP6" s="468"/>
      <c r="EQ6" s="468"/>
      <c r="ER6" s="468"/>
      <c r="ES6" s="468"/>
    </row>
    <row r="7" spans="1:150" s="29" customFormat="1" ht="15" customHeight="1" thickTop="1">
      <c r="B7" s="229"/>
      <c r="C7" s="230"/>
      <c r="D7" s="230"/>
      <c r="E7" s="230"/>
      <c r="F7" s="230"/>
      <c r="G7" s="230"/>
      <c r="H7" s="230"/>
      <c r="I7" s="230"/>
      <c r="J7" s="230"/>
      <c r="K7" s="230"/>
      <c r="L7" s="30"/>
      <c r="M7" s="30"/>
      <c r="N7" s="30"/>
      <c r="O7" s="30"/>
      <c r="P7" s="30"/>
      <c r="Q7" s="30"/>
      <c r="AA7" s="234"/>
      <c r="AB7" s="234"/>
      <c r="AC7" s="234"/>
      <c r="AD7" s="234"/>
      <c r="AE7" s="234"/>
    </row>
    <row r="8" spans="1:150" s="29" customFormat="1" ht="15" customHeight="1">
      <c r="B8" s="465" t="s">
        <v>2496</v>
      </c>
      <c r="C8" s="230"/>
      <c r="D8" s="230"/>
      <c r="E8" s="230"/>
      <c r="H8" s="230"/>
      <c r="I8" s="230"/>
      <c r="J8" s="230"/>
      <c r="K8" s="230"/>
      <c r="L8" s="30"/>
      <c r="M8" s="30"/>
      <c r="N8" s="30"/>
      <c r="O8" s="30"/>
      <c r="AA8" s="234"/>
      <c r="AB8" s="234"/>
      <c r="AC8" s="234"/>
      <c r="AD8" s="234"/>
      <c r="AE8" s="234"/>
    </row>
    <row r="9" spans="1:150" s="15" customFormat="1" ht="15" customHeight="1">
      <c r="B9" s="1185">
        <v>1</v>
      </c>
      <c r="C9" s="1185">
        <v>2</v>
      </c>
      <c r="D9" s="1185">
        <v>3</v>
      </c>
      <c r="E9" s="1185">
        <v>4</v>
      </c>
      <c r="F9" s="1185">
        <v>5</v>
      </c>
      <c r="G9" s="1185">
        <v>6</v>
      </c>
      <c r="H9" s="1185">
        <v>7</v>
      </c>
      <c r="I9" s="1185">
        <v>8</v>
      </c>
      <c r="J9" s="1185">
        <v>9</v>
      </c>
      <c r="K9" s="1185">
        <v>10</v>
      </c>
      <c r="L9" s="1185">
        <v>11</v>
      </c>
      <c r="M9" s="1185">
        <v>12</v>
      </c>
      <c r="N9" s="1185">
        <v>13</v>
      </c>
      <c r="O9" s="1185">
        <v>14</v>
      </c>
      <c r="P9" s="1185">
        <v>15</v>
      </c>
      <c r="Q9" s="1185">
        <v>16</v>
      </c>
      <c r="R9" s="1185">
        <v>17</v>
      </c>
      <c r="S9" s="1185">
        <v>18</v>
      </c>
      <c r="T9" s="1185">
        <v>19</v>
      </c>
      <c r="U9" s="1185">
        <v>20</v>
      </c>
      <c r="V9" s="1185">
        <v>21</v>
      </c>
      <c r="W9" s="1185">
        <v>22</v>
      </c>
      <c r="X9" s="1185">
        <v>23</v>
      </c>
      <c r="Y9" s="1185">
        <v>24</v>
      </c>
      <c r="Z9" s="1185">
        <v>25</v>
      </c>
      <c r="AA9" s="1185">
        <v>26</v>
      </c>
      <c r="AB9" s="1185">
        <v>27</v>
      </c>
      <c r="AC9" s="1185">
        <v>28</v>
      </c>
      <c r="AD9" s="1185">
        <v>29</v>
      </c>
      <c r="AE9" s="1185">
        <v>30</v>
      </c>
      <c r="AF9" s="1185">
        <v>31</v>
      </c>
      <c r="AG9" s="1185">
        <v>32</v>
      </c>
      <c r="AH9" s="1185">
        <v>33</v>
      </c>
      <c r="AI9" s="1185">
        <v>34</v>
      </c>
      <c r="AJ9" s="1185">
        <v>35</v>
      </c>
      <c r="AK9" s="1185">
        <v>36</v>
      </c>
      <c r="AL9" s="1185">
        <v>37</v>
      </c>
      <c r="AM9" s="1185">
        <v>38</v>
      </c>
      <c r="AN9" s="1185">
        <v>39</v>
      </c>
      <c r="AO9" s="1185">
        <v>40</v>
      </c>
      <c r="AP9" s="1185">
        <v>41</v>
      </c>
      <c r="AQ9" s="1185">
        <v>42</v>
      </c>
      <c r="AR9" s="1185">
        <v>43</v>
      </c>
      <c r="AS9" s="1185">
        <v>44</v>
      </c>
      <c r="AT9" s="1185">
        <v>45</v>
      </c>
      <c r="AU9" s="1185">
        <v>46</v>
      </c>
      <c r="AV9" s="1185">
        <v>47</v>
      </c>
      <c r="AW9" s="1185">
        <v>48</v>
      </c>
      <c r="AX9" s="1185">
        <v>49</v>
      </c>
      <c r="AY9" s="1185">
        <v>50</v>
      </c>
      <c r="AZ9" s="1185">
        <v>51</v>
      </c>
      <c r="BA9" s="1185">
        <v>52</v>
      </c>
      <c r="BB9" s="1185">
        <v>53</v>
      </c>
      <c r="BC9" s="1185">
        <v>54</v>
      </c>
      <c r="BD9" s="1185">
        <v>55</v>
      </c>
      <c r="BE9" s="1185">
        <v>56</v>
      </c>
      <c r="BF9" s="1185">
        <v>57</v>
      </c>
      <c r="BG9" s="1185">
        <v>58</v>
      </c>
      <c r="BH9" s="1185">
        <v>59</v>
      </c>
      <c r="BI9" s="1185">
        <v>60</v>
      </c>
      <c r="BJ9" s="1185">
        <v>61</v>
      </c>
      <c r="BK9" s="1185">
        <v>62</v>
      </c>
      <c r="BL9" s="1185">
        <v>63</v>
      </c>
      <c r="BM9" s="1185">
        <v>64</v>
      </c>
      <c r="BN9" s="1185">
        <v>65</v>
      </c>
      <c r="BO9" s="1185">
        <v>1</v>
      </c>
      <c r="BP9" s="1185">
        <v>2</v>
      </c>
      <c r="BQ9" s="1185">
        <v>3</v>
      </c>
      <c r="BR9" s="1185">
        <v>4</v>
      </c>
      <c r="BS9" s="1185">
        <v>5</v>
      </c>
      <c r="BT9" s="1185">
        <v>6</v>
      </c>
      <c r="BU9" s="1185">
        <v>7</v>
      </c>
      <c r="BV9" s="1185">
        <v>8</v>
      </c>
      <c r="BW9" s="1185">
        <v>9</v>
      </c>
      <c r="BX9" s="1185">
        <v>10</v>
      </c>
      <c r="BY9" s="1185">
        <v>11</v>
      </c>
      <c r="BZ9" s="1185">
        <v>12</v>
      </c>
      <c r="CA9" s="1185">
        <v>13</v>
      </c>
      <c r="CB9" s="1185">
        <v>14</v>
      </c>
      <c r="CC9" s="1185">
        <v>15</v>
      </c>
      <c r="CD9" s="1185">
        <v>16</v>
      </c>
      <c r="CE9" s="1185">
        <v>17</v>
      </c>
      <c r="CF9" s="1185">
        <v>18</v>
      </c>
      <c r="CG9" s="1185">
        <v>19</v>
      </c>
      <c r="CH9" s="1185">
        <v>20</v>
      </c>
      <c r="CI9" s="1185">
        <v>21</v>
      </c>
      <c r="CJ9" s="1185">
        <v>22</v>
      </c>
      <c r="CK9" s="1185">
        <v>23</v>
      </c>
      <c r="CL9" s="1185">
        <v>24</v>
      </c>
      <c r="CM9" s="1185">
        <v>25</v>
      </c>
      <c r="CN9" s="1185">
        <v>26</v>
      </c>
      <c r="CO9" s="1185">
        <v>27</v>
      </c>
      <c r="CP9" s="1185">
        <v>28</v>
      </c>
      <c r="CQ9" s="1185">
        <v>29</v>
      </c>
      <c r="CR9" s="1185">
        <v>30</v>
      </c>
      <c r="CS9" s="1185">
        <v>31</v>
      </c>
      <c r="CT9" s="1185">
        <v>32</v>
      </c>
      <c r="CU9" s="1185">
        <v>33</v>
      </c>
      <c r="CV9" s="1185">
        <v>34</v>
      </c>
      <c r="CW9" s="1185">
        <v>35</v>
      </c>
      <c r="CX9" s="1185">
        <v>36</v>
      </c>
      <c r="CY9" s="1185">
        <v>37</v>
      </c>
      <c r="CZ9" s="1185">
        <v>38</v>
      </c>
      <c r="DA9" s="1185">
        <v>39</v>
      </c>
      <c r="DB9" s="1185">
        <v>40</v>
      </c>
      <c r="DC9" s="1185">
        <v>41</v>
      </c>
      <c r="DD9" s="1185">
        <v>42</v>
      </c>
      <c r="DE9" s="1185">
        <v>43</v>
      </c>
      <c r="DF9" s="1185">
        <v>44</v>
      </c>
      <c r="DG9" s="1185">
        <v>45</v>
      </c>
      <c r="DH9" s="1185">
        <v>46</v>
      </c>
      <c r="DI9" s="1185">
        <v>47</v>
      </c>
      <c r="DJ9" s="1185">
        <v>48</v>
      </c>
      <c r="DK9" s="1185">
        <v>49</v>
      </c>
      <c r="DL9" s="1185">
        <v>50</v>
      </c>
      <c r="DM9" s="1185">
        <v>51</v>
      </c>
      <c r="DN9" s="1185">
        <v>52</v>
      </c>
      <c r="DO9" s="1185">
        <v>53</v>
      </c>
      <c r="DP9" s="1185">
        <v>54</v>
      </c>
      <c r="DQ9" s="1185">
        <v>55</v>
      </c>
      <c r="DR9" s="1185">
        <v>56</v>
      </c>
      <c r="DS9" s="1185">
        <v>57</v>
      </c>
      <c r="DT9" s="1185">
        <v>58</v>
      </c>
      <c r="DU9" s="1185">
        <v>59</v>
      </c>
      <c r="DV9" s="1185">
        <v>60</v>
      </c>
      <c r="DW9" s="1185">
        <v>61</v>
      </c>
      <c r="DX9" s="1185">
        <v>62</v>
      </c>
      <c r="DY9" s="1185">
        <v>63</v>
      </c>
      <c r="DZ9" s="1185">
        <v>64</v>
      </c>
      <c r="EA9" s="1185">
        <v>65</v>
      </c>
      <c r="EB9" s="1185">
        <v>66</v>
      </c>
      <c r="EC9" s="1185">
        <v>67</v>
      </c>
      <c r="ED9" s="1185">
        <v>68</v>
      </c>
      <c r="EE9" s="1185">
        <v>69</v>
      </c>
      <c r="EF9" s="1185">
        <v>70</v>
      </c>
      <c r="EG9" s="1185">
        <v>71</v>
      </c>
      <c r="EH9" s="1185">
        <v>72</v>
      </c>
      <c r="EI9" s="1185">
        <v>73</v>
      </c>
      <c r="EJ9" s="1185">
        <v>74</v>
      </c>
      <c r="EK9" s="1185">
        <v>75</v>
      </c>
      <c r="EL9" s="1185">
        <v>76</v>
      </c>
      <c r="EM9" s="1185">
        <v>77</v>
      </c>
      <c r="EN9" s="1185">
        <v>78</v>
      </c>
      <c r="EO9" s="1185">
        <v>79</v>
      </c>
      <c r="EP9" s="1185">
        <v>80</v>
      </c>
      <c r="EQ9" s="1185">
        <v>81</v>
      </c>
      <c r="ER9" s="1185">
        <v>82</v>
      </c>
      <c r="ES9" s="1185">
        <v>83</v>
      </c>
    </row>
    <row r="10" spans="1:150" s="642" customFormat="1" ht="31" customHeight="1">
      <c r="B10" s="1070" t="s">
        <v>1025</v>
      </c>
      <c r="C10" s="1387" t="s">
        <v>620</v>
      </c>
      <c r="D10" s="1387" t="s">
        <v>1117</v>
      </c>
      <c r="E10" s="1387" t="s">
        <v>685</v>
      </c>
      <c r="F10" s="1388" t="s">
        <v>729</v>
      </c>
      <c r="G10" s="1388" t="s">
        <v>2495</v>
      </c>
      <c r="H10" s="1387" t="s">
        <v>2494</v>
      </c>
      <c r="I10" s="1473" t="s">
        <v>1636</v>
      </c>
      <c r="J10" s="1387" t="s">
        <v>1034</v>
      </c>
      <c r="K10" s="1387" t="s">
        <v>1614</v>
      </c>
      <c r="L10" s="1387" t="s">
        <v>1613</v>
      </c>
      <c r="M10" s="1388" t="s">
        <v>49</v>
      </c>
      <c r="N10" s="1388" t="s">
        <v>51</v>
      </c>
      <c r="O10" s="1388" t="s">
        <v>53</v>
      </c>
      <c r="P10" s="1388" t="s">
        <v>57</v>
      </c>
      <c r="Q10" s="1388" t="s">
        <v>58</v>
      </c>
      <c r="R10" s="1388" t="s">
        <v>59</v>
      </c>
      <c r="S10" s="1388" t="s">
        <v>61</v>
      </c>
      <c r="T10" s="1388" t="s">
        <v>62</v>
      </c>
      <c r="U10" s="1388" t="s">
        <v>63</v>
      </c>
      <c r="V10" s="1388" t="s">
        <v>65</v>
      </c>
      <c r="W10" s="1388" t="s">
        <v>67</v>
      </c>
      <c r="X10" s="1388" t="s">
        <v>69</v>
      </c>
      <c r="Y10" s="1388" t="s">
        <v>71</v>
      </c>
      <c r="Z10" s="1388" t="s">
        <v>75</v>
      </c>
      <c r="AA10" s="1388" t="s">
        <v>76</v>
      </c>
      <c r="AB10" s="1388" t="s">
        <v>77</v>
      </c>
      <c r="AC10" s="1388" t="s">
        <v>79</v>
      </c>
      <c r="AD10" s="1388" t="s">
        <v>80</v>
      </c>
      <c r="AE10" s="1388" t="s">
        <v>81</v>
      </c>
      <c r="AF10" s="1388" t="s">
        <v>83</v>
      </c>
      <c r="AG10" s="1388" t="s">
        <v>86</v>
      </c>
      <c r="AH10" s="1388" t="s">
        <v>90</v>
      </c>
      <c r="AI10" s="1388" t="s">
        <v>92</v>
      </c>
      <c r="AJ10" s="1388" t="s">
        <v>94</v>
      </c>
      <c r="AK10" s="1388" t="s">
        <v>96</v>
      </c>
      <c r="AL10" s="1388" t="s">
        <v>98</v>
      </c>
      <c r="AM10" s="1388" t="s">
        <v>100</v>
      </c>
      <c r="AN10" s="1388" t="s">
        <v>102</v>
      </c>
      <c r="AO10" s="1388" t="s">
        <v>104</v>
      </c>
      <c r="AP10" s="1388" t="s">
        <v>106</v>
      </c>
      <c r="AQ10" s="1388" t="s">
        <v>108</v>
      </c>
      <c r="AR10" s="1388" t="s">
        <v>110</v>
      </c>
      <c r="AS10" s="1388" t="s">
        <v>112</v>
      </c>
      <c r="AT10" s="1388" t="s">
        <v>115</v>
      </c>
      <c r="AU10" s="1388" t="s">
        <v>117</v>
      </c>
      <c r="AV10" s="1388" t="s">
        <v>623</v>
      </c>
      <c r="AW10" s="1388" t="s">
        <v>122</v>
      </c>
      <c r="AX10" s="1388" t="s">
        <v>124</v>
      </c>
      <c r="AY10" s="1388" t="s">
        <v>126</v>
      </c>
      <c r="AZ10" s="1388" t="s">
        <v>129</v>
      </c>
      <c r="BA10" s="1388" t="s">
        <v>130</v>
      </c>
      <c r="BB10" s="1388" t="s">
        <v>132</v>
      </c>
      <c r="BC10" s="1388" t="s">
        <v>135</v>
      </c>
      <c r="BD10" s="1388" t="s">
        <v>137</v>
      </c>
      <c r="BE10" s="1388" t="s">
        <v>139</v>
      </c>
      <c r="BF10" s="1388" t="s">
        <v>142</v>
      </c>
      <c r="BG10" s="1388" t="s">
        <v>144</v>
      </c>
      <c r="BH10" s="1388" t="s">
        <v>146</v>
      </c>
      <c r="BI10" s="1388" t="s">
        <v>150</v>
      </c>
      <c r="BJ10" s="1388" t="s">
        <v>152</v>
      </c>
      <c r="BK10" s="1388" t="s">
        <v>156</v>
      </c>
      <c r="BL10" s="1388" t="s">
        <v>167</v>
      </c>
      <c r="BM10" s="1388" t="s">
        <v>168</v>
      </c>
      <c r="BN10" s="1388" t="s">
        <v>161</v>
      </c>
      <c r="BO10" s="1388" t="s">
        <v>2494</v>
      </c>
      <c r="BP10" s="1387" t="s">
        <v>172</v>
      </c>
      <c r="BQ10" s="1387" t="s">
        <v>173</v>
      </c>
      <c r="BR10" s="1387" t="s">
        <v>1760</v>
      </c>
      <c r="BS10" s="1387" t="s">
        <v>1714</v>
      </c>
      <c r="BT10" s="1387" t="s">
        <v>1765</v>
      </c>
      <c r="BU10" s="1387" t="s">
        <v>1764</v>
      </c>
      <c r="BV10" s="1387" t="s">
        <v>1763</v>
      </c>
      <c r="BW10" s="1387" t="s">
        <v>1762</v>
      </c>
      <c r="BX10" s="1387" t="s">
        <v>1761</v>
      </c>
      <c r="BY10" s="1387" t="s">
        <v>1766</v>
      </c>
      <c r="BZ10" s="1387" t="s">
        <v>1767</v>
      </c>
      <c r="CA10" s="1387" t="s">
        <v>1768</v>
      </c>
      <c r="CB10" s="1387" t="s">
        <v>1769</v>
      </c>
      <c r="CC10" s="1387" t="s">
        <v>1771</v>
      </c>
      <c r="CD10" s="1387" t="s">
        <v>1770</v>
      </c>
      <c r="CE10" s="1387" t="s">
        <v>1772</v>
      </c>
      <c r="CF10" s="1387" t="s">
        <v>1773</v>
      </c>
      <c r="CG10" s="1387" t="s">
        <v>1893</v>
      </c>
      <c r="CH10" s="1387" t="s">
        <v>1894</v>
      </c>
      <c r="CI10" s="1387" t="s">
        <v>1833</v>
      </c>
      <c r="CJ10" s="1387" t="s">
        <v>1834</v>
      </c>
      <c r="CK10" s="1387" t="s">
        <v>1835</v>
      </c>
      <c r="CL10" s="1387" t="s">
        <v>1836</v>
      </c>
      <c r="CM10" s="1387" t="s">
        <v>1837</v>
      </c>
      <c r="CN10" s="1387" t="s">
        <v>1838</v>
      </c>
      <c r="CO10" s="1387" t="s">
        <v>1839</v>
      </c>
      <c r="CP10" s="1387" t="s">
        <v>1840</v>
      </c>
      <c r="CQ10" s="1387" t="s">
        <v>1841</v>
      </c>
      <c r="CR10" s="1387" t="s">
        <v>1842</v>
      </c>
      <c r="CS10" s="1387" t="s">
        <v>1843</v>
      </c>
      <c r="CT10" s="1387" t="s">
        <v>1844</v>
      </c>
      <c r="CU10" s="1387" t="s">
        <v>1845</v>
      </c>
      <c r="CV10" s="1387" t="s">
        <v>1846</v>
      </c>
      <c r="CW10" s="1387" t="s">
        <v>1847</v>
      </c>
      <c r="CX10" s="1387" t="s">
        <v>1848</v>
      </c>
      <c r="CY10" s="1387" t="s">
        <v>1849</v>
      </c>
      <c r="CZ10" s="1387" t="s">
        <v>1850</v>
      </c>
      <c r="DA10" s="1387" t="s">
        <v>1851</v>
      </c>
      <c r="DB10" s="1387" t="s">
        <v>1852</v>
      </c>
      <c r="DC10" s="1387" t="s">
        <v>1853</v>
      </c>
      <c r="DD10" s="1387" t="s">
        <v>1854</v>
      </c>
      <c r="DE10" s="1387" t="s">
        <v>1855</v>
      </c>
      <c r="DF10" s="1387" t="s">
        <v>1856</v>
      </c>
      <c r="DG10" s="1387" t="s">
        <v>1857</v>
      </c>
      <c r="DH10" s="1067" t="s">
        <v>1895</v>
      </c>
      <c r="DI10" s="1387" t="s">
        <v>1858</v>
      </c>
      <c r="DJ10" s="1387" t="s">
        <v>1859</v>
      </c>
      <c r="DK10" s="1387" t="s">
        <v>1860</v>
      </c>
      <c r="DL10" s="1387" t="s">
        <v>1861</v>
      </c>
      <c r="DM10" s="1387" t="s">
        <v>1862</v>
      </c>
      <c r="DN10" s="1387" t="s">
        <v>1863</v>
      </c>
      <c r="DO10" s="1387" t="s">
        <v>1864</v>
      </c>
      <c r="DP10" s="1387" t="s">
        <v>1865</v>
      </c>
      <c r="DQ10" s="1387" t="s">
        <v>1866</v>
      </c>
      <c r="DR10" s="1387" t="s">
        <v>1867</v>
      </c>
      <c r="DS10" s="1387" t="s">
        <v>1868</v>
      </c>
      <c r="DT10" s="1387" t="s">
        <v>1869</v>
      </c>
      <c r="DU10" s="1387" t="s">
        <v>1870</v>
      </c>
      <c r="DV10" s="1387" t="s">
        <v>1871</v>
      </c>
      <c r="DW10" s="1387" t="s">
        <v>1872</v>
      </c>
      <c r="DX10" s="1387" t="s">
        <v>1873</v>
      </c>
      <c r="DY10" s="1387" t="s">
        <v>1874</v>
      </c>
      <c r="DZ10" s="1387" t="s">
        <v>1875</v>
      </c>
      <c r="EA10" s="1387" t="s">
        <v>1876</v>
      </c>
      <c r="EB10" s="1387" t="s">
        <v>1877</v>
      </c>
      <c r="EC10" s="1387" t="s">
        <v>1878</v>
      </c>
      <c r="ED10" s="1387" t="s">
        <v>1879</v>
      </c>
      <c r="EE10" s="1387" t="s">
        <v>1880</v>
      </c>
      <c r="EF10" s="1387" t="s">
        <v>1881</v>
      </c>
      <c r="EG10" s="1387" t="s">
        <v>1882</v>
      </c>
      <c r="EH10" s="1387" t="s">
        <v>1883</v>
      </c>
      <c r="EI10" s="1387" t="s">
        <v>1884</v>
      </c>
      <c r="EJ10" s="1387" t="s">
        <v>1885</v>
      </c>
      <c r="EK10" s="1387" t="s">
        <v>1886</v>
      </c>
      <c r="EL10" s="1387" t="s">
        <v>1887</v>
      </c>
      <c r="EM10" s="1387" t="s">
        <v>1888</v>
      </c>
      <c r="EN10" s="1387" t="s">
        <v>1889</v>
      </c>
      <c r="EO10" s="1387" t="s">
        <v>1890</v>
      </c>
      <c r="EP10" s="1067" t="s">
        <v>1891</v>
      </c>
      <c r="EQ10" s="1067" t="s">
        <v>2482</v>
      </c>
      <c r="ER10" s="1067" t="s">
        <v>1892</v>
      </c>
      <c r="ES10" s="1069" t="s">
        <v>2483</v>
      </c>
    </row>
    <row r="11" spans="1:150" s="34" customFormat="1" ht="15" customHeight="1">
      <c r="A11" s="1185">
        <v>1</v>
      </c>
      <c r="B11" s="1055" t="str">
        <f>City_information</f>
        <v>Atlantis</v>
      </c>
      <c r="C11" s="1055" t="str">
        <f>'City information'!E11</f>
        <v>Gondwana</v>
      </c>
      <c r="D11" s="1055" t="str">
        <f>'City information'!E12</f>
        <v>Europe</v>
      </c>
      <c r="E11" s="1055" t="str">
        <f>'City information'!E14</f>
        <v>Combination of administrative divisions</v>
      </c>
      <c r="F11" s="1049">
        <f>'City information'!E13</f>
        <v>2014</v>
      </c>
      <c r="G11" s="1049">
        <v>2014</v>
      </c>
      <c r="H11" s="1049" t="str">
        <f>CONCATENATE(B11,"_",G11)</f>
        <v>Atlantis_2014</v>
      </c>
      <c r="I11" s="1049" t="str">
        <f>Data!I16</f>
        <v>BASIC</v>
      </c>
      <c r="J11" s="1049">
        <f>'City information'!E18</f>
        <v>4000000</v>
      </c>
      <c r="K11" s="1049">
        <f>'City information'!E17</f>
        <v>1000</v>
      </c>
      <c r="L11" s="1043">
        <f>'City information'!E19</f>
        <v>200000000000</v>
      </c>
      <c r="M11" s="1051">
        <f>Overview!J27</f>
        <v>790498.23643500009</v>
      </c>
      <c r="N11" s="1051">
        <f>Overview!K27</f>
        <v>1213983.4125000001</v>
      </c>
      <c r="O11" s="1052" t="str">
        <f>Overview!L27</f>
        <v>NE</v>
      </c>
      <c r="P11" s="1051">
        <f>Overview!J28</f>
        <v>976200.00000000012</v>
      </c>
      <c r="Q11" s="1051">
        <f>Overview!K28</f>
        <v>1572298.1206</v>
      </c>
      <c r="R11" s="1052" t="str">
        <f>Overview!L28</f>
        <v>NE</v>
      </c>
      <c r="S11" s="1051" t="str">
        <f>Overview!J29</f>
        <v>IE</v>
      </c>
      <c r="T11" s="1051" t="str">
        <f>Overview!K29</f>
        <v>IE</v>
      </c>
      <c r="U11" s="1052" t="str">
        <f>Overview!L29</f>
        <v>NE</v>
      </c>
      <c r="V11" s="1051" t="str">
        <f>Overview!J30</f>
        <v>NO</v>
      </c>
      <c r="W11" s="1051" t="str">
        <f>Overview!K30</f>
        <v>NO</v>
      </c>
      <c r="X11" s="1052" t="str">
        <f>Overview!L30</f>
        <v>NO</v>
      </c>
      <c r="Y11" s="1053" t="str">
        <f>Overview!J31</f>
        <v>NO</v>
      </c>
      <c r="Z11" s="1051" t="str">
        <f>Overview!J32</f>
        <v>NO</v>
      </c>
      <c r="AA11" s="1051" t="str">
        <f>Overview!K32</f>
        <v>NO</v>
      </c>
      <c r="AB11" s="1052" t="str">
        <f>Overview!L32</f>
        <v>NO</v>
      </c>
      <c r="AC11" s="1051" t="str">
        <f>Overview!J33</f>
        <v>NO</v>
      </c>
      <c r="AD11" s="1051" t="str">
        <f>Overview!K33</f>
        <v>NO</v>
      </c>
      <c r="AE11" s="1052" t="str">
        <f>Overview!L33</f>
        <v>NO</v>
      </c>
      <c r="AF11" s="1051" t="str">
        <f>Overview!J34</f>
        <v>NO</v>
      </c>
      <c r="AG11" s="1051">
        <f>Overview!J35</f>
        <v>11569.125003239355</v>
      </c>
      <c r="AH11" s="1051">
        <f>Overview!J38</f>
        <v>2791098.9412952</v>
      </c>
      <c r="AI11" s="1051" t="str">
        <f>Overview!K38</f>
        <v>IE</v>
      </c>
      <c r="AJ11" s="1052" t="str">
        <f>Overview!L38</f>
        <v>NE</v>
      </c>
      <c r="AK11" s="1051">
        <f>Overview!J39</f>
        <v>588272.17892480001</v>
      </c>
      <c r="AL11" s="1051">
        <f>Overview!K39</f>
        <v>273104.54521759995</v>
      </c>
      <c r="AM11" s="1052" t="str">
        <f>Overview!L39</f>
        <v>NE</v>
      </c>
      <c r="AN11" s="1051">
        <f>Overview!J40</f>
        <v>20258.495851789849</v>
      </c>
      <c r="AO11" s="1051" t="str">
        <f>Overview!K40</f>
        <v>NO</v>
      </c>
      <c r="AP11" s="1052" t="str">
        <f>Overview!L40</f>
        <v>NE</v>
      </c>
      <c r="AQ11" s="1051" t="str">
        <f>Overview!J41</f>
        <v>NO</v>
      </c>
      <c r="AR11" s="1051" t="str">
        <f>Overview!K41</f>
        <v>NO</v>
      </c>
      <c r="AS11" s="1052" t="str">
        <f>Overview!L41</f>
        <v>NO</v>
      </c>
      <c r="AT11" s="1051" t="str">
        <f>Overview!J42</f>
        <v>NO</v>
      </c>
      <c r="AU11" s="1051" t="str">
        <f>Overview!K42</f>
        <v>NO</v>
      </c>
      <c r="AV11" s="1052" t="str">
        <f>Overview!L42</f>
        <v>NE</v>
      </c>
      <c r="AW11" s="1051">
        <f>Overview!J45</f>
        <v>300000</v>
      </c>
      <c r="AX11" s="1051" t="str">
        <f>Overview!L45</f>
        <v>NO</v>
      </c>
      <c r="AY11" s="1053" t="str">
        <f>Overview!J49</f>
        <v>NO</v>
      </c>
      <c r="AZ11" s="1051">
        <f>Overview!J46</f>
        <v>17152</v>
      </c>
      <c r="BA11" s="1051">
        <f>Overview!L46</f>
        <v>34304</v>
      </c>
      <c r="BB11" s="1054" t="str">
        <f>Overview!J50</f>
        <v>NO</v>
      </c>
      <c r="BC11" s="1051" t="str">
        <f>Overview!J47</f>
        <v>NO</v>
      </c>
      <c r="BD11" s="1051" t="str">
        <f>Overview!L47</f>
        <v>NO</v>
      </c>
      <c r="BE11" s="1054" t="str">
        <f>Overview!J51</f>
        <v>NO</v>
      </c>
      <c r="BF11" s="1051" t="str">
        <f>Overview!J48</f>
        <v>NO</v>
      </c>
      <c r="BG11" s="1051">
        <f>Overview!L48</f>
        <v>153120.66</v>
      </c>
      <c r="BH11" s="1054" t="str">
        <f>Overview!J52</f>
        <v>NO</v>
      </c>
      <c r="BI11" s="1052" t="str">
        <f>Overview!J55</f>
        <v>NO</v>
      </c>
      <c r="BJ11" s="1052">
        <f>Overview!J56</f>
        <v>75000</v>
      </c>
      <c r="BK11" s="1052">
        <f>Overview!J59</f>
        <v>150000</v>
      </c>
      <c r="BL11" s="1052" t="str">
        <f>Overview!J60</f>
        <v>NE</v>
      </c>
      <c r="BM11" s="1052" t="str">
        <f>Overview!J61</f>
        <v>NE</v>
      </c>
      <c r="BN11" s="1054">
        <f>Overview!L64</f>
        <v>168000</v>
      </c>
      <c r="BO11" s="1075" t="str">
        <f>B11</f>
        <v>Atlantis</v>
      </c>
      <c r="BP11" s="1051">
        <f>Overview!K22</f>
        <v>8741859.715827629</v>
      </c>
      <c r="BQ11" s="1052">
        <f>Overview!L22</f>
        <v>8966859.715827629</v>
      </c>
      <c r="BR11" s="1054">
        <f>Overview!M22</f>
        <v>9134859.715827629</v>
      </c>
      <c r="BS11" s="1053">
        <f>Overview!H22</f>
        <v>5720048.9775100295</v>
      </c>
      <c r="BT11" s="1051">
        <f>Overview!K14</f>
        <v>4564548.8945382396</v>
      </c>
      <c r="BU11" s="1051">
        <f>Overview!K16</f>
        <v>3672734.1612893902</v>
      </c>
      <c r="BV11" s="1051">
        <f>Overview!K17</f>
        <v>504576.66000000003</v>
      </c>
      <c r="BW11" s="1052">
        <f>Overview!L14</f>
        <v>4564548.8945382396</v>
      </c>
      <c r="BX11" s="1052">
        <f>Overview!L16</f>
        <v>3672734.1612893902</v>
      </c>
      <c r="BY11" s="1052">
        <f>Overview!L17</f>
        <v>504576.66000000003</v>
      </c>
      <c r="BZ11" s="1052">
        <f>IF(Overview!L19="","",IF(Overview!L19=0,"",Overview!L19))</f>
        <v>75000</v>
      </c>
      <c r="CA11" s="1052">
        <f>IF(Overview!L20="","",IF(Overview!L20=0,"",Overview!L20))</f>
        <v>150000</v>
      </c>
      <c r="CB11" s="1053">
        <f>Overview!H14</f>
        <v>1778267.3614382397</v>
      </c>
      <c r="CC11" s="1053" t="str">
        <f>IF(Overview!H15="","",IF(Overview!H15=0,"",Overview!H15))</f>
        <v/>
      </c>
      <c r="CD11" s="1053">
        <f>Overview!H16</f>
        <v>3399629.61607179</v>
      </c>
      <c r="CE11" s="1053">
        <f>IF(Overview!H17="","",IF(Overview!H17=0,"",Overview!H17))</f>
        <v>317152</v>
      </c>
      <c r="CF11" s="1053" t="str">
        <f>IF(Overview!H18="","",IF(Overview!H18=0,"",Overview!H18))</f>
        <v/>
      </c>
      <c r="CG11" s="1053"/>
      <c r="CH11" s="1053"/>
      <c r="CI11" s="1051"/>
      <c r="CJ11" s="1051"/>
      <c r="CK11" s="1051"/>
      <c r="CL11" s="1051"/>
      <c r="CM11" s="1051"/>
      <c r="CN11" s="1051"/>
      <c r="CO11" s="1051"/>
      <c r="CP11" s="1051"/>
      <c r="CQ11" s="1051"/>
      <c r="CR11" s="1051"/>
      <c r="CS11" s="1051"/>
      <c r="CT11" s="1051"/>
      <c r="CU11" s="1051"/>
      <c r="CV11" s="1051"/>
      <c r="CW11" s="1051"/>
      <c r="CX11" s="1051"/>
      <c r="CY11" s="1051"/>
      <c r="CZ11" s="1056"/>
      <c r="DA11" s="1056"/>
      <c r="DB11" s="1056"/>
      <c r="DC11" s="1056"/>
      <c r="DD11" s="1056"/>
      <c r="DE11" s="1056"/>
      <c r="DF11" s="1056"/>
      <c r="DG11" s="1056"/>
      <c r="DH11" s="1056"/>
      <c r="DI11" s="1056"/>
      <c r="DJ11" s="1056"/>
      <c r="DK11" s="1056"/>
      <c r="DL11" s="1056"/>
      <c r="DM11" s="1056"/>
      <c r="DN11" s="1056"/>
      <c r="DO11" s="1056"/>
      <c r="DP11" s="1056"/>
      <c r="DQ11" s="1056"/>
      <c r="DR11" s="1056"/>
      <c r="DS11" s="1056"/>
      <c r="DT11" s="1056"/>
      <c r="DU11" s="1056"/>
      <c r="DV11" s="1057"/>
      <c r="DW11" s="1072"/>
      <c r="DX11" s="1072"/>
      <c r="DY11" s="1072"/>
      <c r="DZ11" s="1072"/>
      <c r="EA11" s="1072"/>
      <c r="EB11" s="1072"/>
      <c r="EC11" s="1072"/>
      <c r="ED11" s="1058"/>
      <c r="EE11" s="1058"/>
      <c r="EF11" s="1072"/>
      <c r="EG11" s="1072"/>
      <c r="EH11" s="1072"/>
      <c r="EI11" s="1072"/>
      <c r="EJ11" s="1072"/>
      <c r="EK11" s="1073"/>
      <c r="EL11" s="1072"/>
      <c r="EM11" s="1072"/>
      <c r="EN11" s="1072"/>
      <c r="EO11" s="1058"/>
      <c r="EP11" s="1058"/>
      <c r="EQ11" s="1058"/>
      <c r="ER11" s="1058"/>
      <c r="ES11" s="1058"/>
    </row>
    <row r="12" spans="1:150" s="1039" customFormat="1" ht="15" customHeight="1">
      <c r="A12" s="1185">
        <v>2</v>
      </c>
      <c r="B12" s="1055" t="s">
        <v>1615</v>
      </c>
      <c r="C12" s="1055" t="s">
        <v>1138</v>
      </c>
      <c r="D12" s="1055" t="s">
        <v>1134</v>
      </c>
      <c r="E12" s="1055" t="s">
        <v>687</v>
      </c>
      <c r="F12" s="1049">
        <v>2013</v>
      </c>
      <c r="G12" s="1049">
        <v>2013</v>
      </c>
      <c r="H12" s="1049" t="str">
        <f>CONCATENATE(B12,"_",G12)</f>
        <v>London_2013</v>
      </c>
      <c r="I12" s="1049" t="s">
        <v>172</v>
      </c>
      <c r="J12" s="1049">
        <v>8416500</v>
      </c>
      <c r="K12" s="1049">
        <v>1595</v>
      </c>
      <c r="L12" s="1043">
        <v>481061890500</v>
      </c>
      <c r="M12" s="1051">
        <v>8332650.5438481253</v>
      </c>
      <c r="N12" s="1051">
        <v>5836566.4188330807</v>
      </c>
      <c r="O12" s="1052">
        <v>499045.55736139003</v>
      </c>
      <c r="P12" s="1051">
        <v>5371230.7406843342</v>
      </c>
      <c r="Q12" s="1051">
        <v>11130687.466505319</v>
      </c>
      <c r="R12" s="1052">
        <v>951710.25769773626</v>
      </c>
      <c r="S12" s="1051" t="s">
        <v>176</v>
      </c>
      <c r="T12" s="1051" t="s">
        <v>176</v>
      </c>
      <c r="U12" s="1052" t="s">
        <v>176</v>
      </c>
      <c r="V12" s="1051" t="s">
        <v>176</v>
      </c>
      <c r="W12" s="1051" t="s">
        <v>176</v>
      </c>
      <c r="X12" s="1052" t="s">
        <v>177</v>
      </c>
      <c r="Y12" s="1053">
        <v>2558703.7892530733</v>
      </c>
      <c r="Z12" s="1051" t="s">
        <v>176</v>
      </c>
      <c r="AA12" s="1051" t="s">
        <v>176</v>
      </c>
      <c r="AB12" s="1052" t="s">
        <v>176</v>
      </c>
      <c r="AC12" s="1051" t="s">
        <v>175</v>
      </c>
      <c r="AD12" s="1051" t="s">
        <v>175</v>
      </c>
      <c r="AE12" s="1052" t="s">
        <v>175</v>
      </c>
      <c r="AF12" s="1051" t="s">
        <v>175</v>
      </c>
      <c r="AG12" s="1051">
        <v>11787.7</v>
      </c>
      <c r="AH12" s="1051">
        <v>6034654.4213315966</v>
      </c>
      <c r="AI12" s="1051" t="s">
        <v>176</v>
      </c>
      <c r="AJ12" s="1052" t="s">
        <v>176</v>
      </c>
      <c r="AK12" s="1051">
        <v>133889.96835635888</v>
      </c>
      <c r="AL12" s="1051">
        <v>1064893.3006678231</v>
      </c>
      <c r="AM12" s="1052">
        <v>91051.867249792107</v>
      </c>
      <c r="AN12" s="1051">
        <v>20258.495851789849</v>
      </c>
      <c r="AO12" s="1051" t="s">
        <v>176</v>
      </c>
      <c r="AP12" s="1052" t="s">
        <v>177</v>
      </c>
      <c r="AQ12" s="1051" t="s">
        <v>176</v>
      </c>
      <c r="AR12" s="1051" t="s">
        <v>175</v>
      </c>
      <c r="AS12" s="1052">
        <v>943023.180779282</v>
      </c>
      <c r="AT12" s="1051">
        <v>36153</v>
      </c>
      <c r="AU12" s="1051" t="s">
        <v>176</v>
      </c>
      <c r="AV12" s="1052" t="s">
        <v>175</v>
      </c>
      <c r="AW12" s="1051">
        <v>290890.71849776397</v>
      </c>
      <c r="AX12" s="1051">
        <v>1219506.3215999999</v>
      </c>
      <c r="AY12" s="1053" t="s">
        <v>175</v>
      </c>
      <c r="AZ12" s="1051">
        <v>23.876478112901914</v>
      </c>
      <c r="BA12" s="1051">
        <v>55.71178226343779</v>
      </c>
      <c r="BB12" s="1046" t="s">
        <v>175</v>
      </c>
      <c r="BC12" s="1051">
        <v>100585.61477551328</v>
      </c>
      <c r="BD12" s="1051">
        <v>234699.76780953095</v>
      </c>
      <c r="BE12" s="1046" t="s">
        <v>175</v>
      </c>
      <c r="BF12" s="1051">
        <v>5516.8898455531235</v>
      </c>
      <c r="BG12" s="1051">
        <v>1112.8895495167251</v>
      </c>
      <c r="BH12" s="1046" t="s">
        <v>175</v>
      </c>
      <c r="BI12" s="1052" t="s">
        <v>177</v>
      </c>
      <c r="BJ12" s="1052" t="s">
        <v>177</v>
      </c>
      <c r="BK12" s="1052" t="s">
        <v>177</v>
      </c>
      <c r="BL12" s="1052" t="s">
        <v>177</v>
      </c>
      <c r="BM12" s="1052" t="s">
        <v>177</v>
      </c>
      <c r="BN12" s="1054" t="s">
        <v>177</v>
      </c>
      <c r="BO12" s="1076" t="str">
        <f t="shared" ref="BO12:BO75" si="0">H12</f>
        <v>London_2013</v>
      </c>
      <c r="BP12" s="1051">
        <v>39825163.846416682</v>
      </c>
      <c r="BQ12" s="1052">
        <v>42309994.70950488</v>
      </c>
      <c r="BR12" s="1054">
        <v>42309994.70950488</v>
      </c>
      <c r="BS12" s="1053">
        <v>22896345.758922219</v>
      </c>
      <c r="BT12" s="1051">
        <v>30682922.869870856</v>
      </c>
      <c r="BU12" s="1051">
        <v>7289849.1862075683</v>
      </c>
      <c r="BV12" s="1051">
        <v>1852391.7903382543</v>
      </c>
      <c r="BW12" s="1052">
        <v>32133678.684929982</v>
      </c>
      <c r="BX12" s="1052">
        <v>8323924.2342366427</v>
      </c>
      <c r="BY12" s="1052">
        <v>1852391.7903382543</v>
      </c>
      <c r="BZ12" s="1052" t="s">
        <v>1637</v>
      </c>
      <c r="CA12" s="1052" t="s">
        <v>1637</v>
      </c>
      <c r="CB12" s="1053">
        <v>13715668.984532459</v>
      </c>
      <c r="CC12" s="1053">
        <v>2558703.7892530733</v>
      </c>
      <c r="CD12" s="1053">
        <v>6224955.885539745</v>
      </c>
      <c r="CE12" s="1053">
        <v>397017.0995969433</v>
      </c>
      <c r="CF12" s="1053" t="s">
        <v>1637</v>
      </c>
      <c r="CG12" s="1053" t="s">
        <v>1637</v>
      </c>
      <c r="CH12" s="1053" t="s">
        <v>1637</v>
      </c>
      <c r="CI12" s="1051">
        <v>14169216.962681206</v>
      </c>
      <c r="CJ12" s="1051">
        <v>16501918.207189653</v>
      </c>
      <c r="CK12" s="1051" t="s">
        <v>1637</v>
      </c>
      <c r="CL12" s="1051" t="s">
        <v>1637</v>
      </c>
      <c r="CM12" s="1051" t="s">
        <v>1637</v>
      </c>
      <c r="CN12" s="1051" t="s">
        <v>1637</v>
      </c>
      <c r="CO12" s="1051" t="s">
        <v>1637</v>
      </c>
      <c r="CP12" s="1051">
        <v>11787.7</v>
      </c>
      <c r="CQ12" s="1051">
        <v>6034654.4213315966</v>
      </c>
      <c r="CR12" s="1051">
        <v>1198783.2690241819</v>
      </c>
      <c r="CS12" s="1051">
        <v>20258.495851789849</v>
      </c>
      <c r="CT12" s="1051" t="s">
        <v>1637</v>
      </c>
      <c r="CU12" s="1051">
        <v>36153</v>
      </c>
      <c r="CV12" s="1051">
        <v>1510397.0400977638</v>
      </c>
      <c r="CW12" s="1051">
        <v>79.588260376339704</v>
      </c>
      <c r="CX12" s="1051">
        <v>335285.38258504425</v>
      </c>
      <c r="CY12" s="1051">
        <v>6629.7793950698488</v>
      </c>
      <c r="CZ12" s="1114">
        <v>14668262.520042596</v>
      </c>
      <c r="DA12" s="1114">
        <v>17453628.464887388</v>
      </c>
      <c r="DB12" s="1114" t="s">
        <v>1637</v>
      </c>
      <c r="DC12" s="1114" t="s">
        <v>1637</v>
      </c>
      <c r="DD12" s="1114" t="s">
        <v>1637</v>
      </c>
      <c r="DE12" s="1114" t="s">
        <v>1637</v>
      </c>
      <c r="DF12" s="1114" t="s">
        <v>1637</v>
      </c>
      <c r="DG12" s="1114">
        <v>11787.7</v>
      </c>
      <c r="DH12" s="1114">
        <v>6034654.4213315966</v>
      </c>
      <c r="DI12" s="1114">
        <v>1289835.1362739741</v>
      </c>
      <c r="DJ12" s="1114">
        <v>20258.495851789849</v>
      </c>
      <c r="DK12" s="1114">
        <v>943023.180779282</v>
      </c>
      <c r="DL12" s="1114">
        <v>36153</v>
      </c>
      <c r="DM12" s="1114">
        <v>1510397.0400977638</v>
      </c>
      <c r="DN12" s="1114">
        <v>79.588260376339704</v>
      </c>
      <c r="DO12" s="1114">
        <v>335285.38258504425</v>
      </c>
      <c r="DP12" s="1114">
        <v>6629.7793950698488</v>
      </c>
      <c r="DQ12" s="1114" t="s">
        <v>1637</v>
      </c>
      <c r="DR12" s="1114" t="s">
        <v>1637</v>
      </c>
      <c r="DS12" s="1114" t="s">
        <v>1637</v>
      </c>
      <c r="DT12" s="1114" t="s">
        <v>1637</v>
      </c>
      <c r="DU12" s="1114" t="s">
        <v>1637</v>
      </c>
      <c r="DV12" s="1115" t="s">
        <v>1637</v>
      </c>
      <c r="DW12" s="1116">
        <v>8332650.5438481253</v>
      </c>
      <c r="DX12" s="1116">
        <v>5371230.7406843342</v>
      </c>
      <c r="DY12" s="1116" t="s">
        <v>1637</v>
      </c>
      <c r="DZ12" s="1116" t="s">
        <v>1637</v>
      </c>
      <c r="EA12" s="1116">
        <v>2558703.7892530733</v>
      </c>
      <c r="EB12" s="1116" t="s">
        <v>1637</v>
      </c>
      <c r="EC12" s="1116" t="s">
        <v>1637</v>
      </c>
      <c r="ED12" s="1116" t="s">
        <v>1637</v>
      </c>
      <c r="EE12" s="1116">
        <v>11787.7</v>
      </c>
      <c r="EF12" s="1116">
        <v>6034654.4213315966</v>
      </c>
      <c r="EG12" s="1116">
        <v>133889.96835635888</v>
      </c>
      <c r="EH12" s="1116">
        <v>20258.495851789849</v>
      </c>
      <c r="EI12" s="1116" t="s">
        <v>1637</v>
      </c>
      <c r="EJ12" s="1116">
        <v>36153</v>
      </c>
      <c r="EK12" s="1116">
        <v>290890.71849776397</v>
      </c>
      <c r="EL12" s="1116">
        <v>23.876478112901914</v>
      </c>
      <c r="EM12" s="1116">
        <v>100585.61477551328</v>
      </c>
      <c r="EN12" s="1116">
        <v>5516.8898455531235</v>
      </c>
      <c r="EO12" s="1116" t="s">
        <v>1637</v>
      </c>
      <c r="EP12" s="1116" t="s">
        <v>1637</v>
      </c>
      <c r="EQ12" s="1116" t="s">
        <v>1637</v>
      </c>
      <c r="ER12" s="1116" t="s">
        <v>1637</v>
      </c>
      <c r="ES12" s="1116" t="s">
        <v>1637</v>
      </c>
    </row>
    <row r="13" spans="1:150" s="1121" customFormat="1" ht="15" customHeight="1">
      <c r="A13" s="1185">
        <v>3</v>
      </c>
      <c r="B13" s="1055" t="s">
        <v>1741</v>
      </c>
      <c r="C13" s="1055" t="s">
        <v>1030</v>
      </c>
      <c r="D13" s="1055" t="s">
        <v>1027</v>
      </c>
      <c r="E13" s="1055" t="s">
        <v>687</v>
      </c>
      <c r="F13" s="1049">
        <v>2012</v>
      </c>
      <c r="G13" s="1049">
        <v>2012</v>
      </c>
      <c r="H13" s="1049" t="str">
        <f>CONCATENATE(B13,"_",G13)</f>
        <v>Cape Town_2012</v>
      </c>
      <c r="I13" s="1049" t="s">
        <v>172</v>
      </c>
      <c r="J13" s="1049">
        <v>3837414</v>
      </c>
      <c r="K13" s="1049">
        <v>2455</v>
      </c>
      <c r="L13" s="1043">
        <v>17454000000</v>
      </c>
      <c r="M13" s="1051">
        <v>153682.01889099999</v>
      </c>
      <c r="N13" s="1051">
        <v>4420213.5690900004</v>
      </c>
      <c r="O13" s="1052">
        <v>178594.48764000001</v>
      </c>
      <c r="P13" s="1051">
        <v>69967.809854000006</v>
      </c>
      <c r="Q13" s="1051">
        <v>5652332.0756100006</v>
      </c>
      <c r="R13" s="1052">
        <v>228377.05356000003</v>
      </c>
      <c r="S13" s="1051">
        <v>663784.28619200003</v>
      </c>
      <c r="T13" s="1051">
        <v>1433450.304</v>
      </c>
      <c r="U13" s="1052">
        <v>57917.184000000001</v>
      </c>
      <c r="V13" s="1051" t="s">
        <v>176</v>
      </c>
      <c r="W13" s="1051" t="s">
        <v>176</v>
      </c>
      <c r="X13" s="1052" t="s">
        <v>176</v>
      </c>
      <c r="Y13" s="1053">
        <v>729083.78302399989</v>
      </c>
      <c r="Z13" s="1051">
        <v>22.641521999999998</v>
      </c>
      <c r="AA13" s="1051">
        <v>209156.85053999998</v>
      </c>
      <c r="AB13" s="1052">
        <v>8450.7818400000015</v>
      </c>
      <c r="AC13" s="1051" t="s">
        <v>175</v>
      </c>
      <c r="AD13" s="1051">
        <v>1042806.48615</v>
      </c>
      <c r="AE13" s="1052">
        <v>42133.595400000006</v>
      </c>
      <c r="AF13" s="1051" t="s">
        <v>175</v>
      </c>
      <c r="AG13" s="1051" t="s">
        <v>175</v>
      </c>
      <c r="AH13" s="1051">
        <v>5743301.3041220009</v>
      </c>
      <c r="AI13" s="1051" t="s">
        <v>175</v>
      </c>
      <c r="AJ13" s="1052" t="s">
        <v>177</v>
      </c>
      <c r="AK13" s="1051" t="s">
        <v>175</v>
      </c>
      <c r="AL13" s="1051">
        <v>102152.22336</v>
      </c>
      <c r="AM13" s="1052">
        <v>4127.3625600000005</v>
      </c>
      <c r="AN13" s="1051" t="s">
        <v>176</v>
      </c>
      <c r="AO13" s="1051" t="s">
        <v>175</v>
      </c>
      <c r="AP13" s="1052">
        <v>531665.96062999999</v>
      </c>
      <c r="AQ13" s="1051" t="s">
        <v>176</v>
      </c>
      <c r="AR13" s="1051" t="s">
        <v>175</v>
      </c>
      <c r="AS13" s="1052">
        <v>740101.58374100004</v>
      </c>
      <c r="AT13" s="1051" t="s">
        <v>176</v>
      </c>
      <c r="AU13" s="1051" t="s">
        <v>175</v>
      </c>
      <c r="AV13" s="1052" t="s">
        <v>177</v>
      </c>
      <c r="AW13" s="1051">
        <v>2286195.1755999997</v>
      </c>
      <c r="AX13" s="1051" t="s">
        <v>175</v>
      </c>
      <c r="AY13" s="1053" t="s">
        <v>176</v>
      </c>
      <c r="AZ13" s="1051" t="s">
        <v>175</v>
      </c>
      <c r="BA13" s="1051" t="s">
        <v>175</v>
      </c>
      <c r="BB13" s="1053" t="s">
        <v>175</v>
      </c>
      <c r="BC13" s="1051" t="s">
        <v>175</v>
      </c>
      <c r="BD13" s="1051" t="s">
        <v>175</v>
      </c>
      <c r="BE13" s="1053" t="s">
        <v>175</v>
      </c>
      <c r="BF13" s="1051">
        <v>137697</v>
      </c>
      <c r="BG13" s="1051" t="s">
        <v>175</v>
      </c>
      <c r="BH13" s="1053" t="s">
        <v>176</v>
      </c>
      <c r="BI13" s="1052" t="s">
        <v>177</v>
      </c>
      <c r="BJ13" s="1052" t="s">
        <v>177</v>
      </c>
      <c r="BK13" s="1052" t="s">
        <v>177</v>
      </c>
      <c r="BL13" s="1052" t="s">
        <v>177</v>
      </c>
      <c r="BM13" s="1052" t="s">
        <v>177</v>
      </c>
      <c r="BN13" s="1054" t="s">
        <v>177</v>
      </c>
      <c r="BO13" s="1076" t="str">
        <f t="shared" si="0"/>
        <v>Cape Town_2012</v>
      </c>
      <c r="BP13" s="1051">
        <v>21914761.744931001</v>
      </c>
      <c r="BQ13" s="1052">
        <v>23706129.754302002</v>
      </c>
      <c r="BR13" s="1054">
        <v>23706129.754302002</v>
      </c>
      <c r="BS13" s="1053">
        <v>9783734.0192050003</v>
      </c>
      <c r="BT13" s="1051">
        <v>13645416.041849</v>
      </c>
      <c r="BU13" s="1051">
        <v>5845453.5274820011</v>
      </c>
      <c r="BV13" s="1051">
        <v>2423892.1755999997</v>
      </c>
      <c r="BW13" s="1052">
        <v>14160889.144289</v>
      </c>
      <c r="BX13" s="1052">
        <v>7121348.4344130009</v>
      </c>
      <c r="BY13" s="1052">
        <v>2423892.1755999997</v>
      </c>
      <c r="BZ13" s="1052" t="s">
        <v>1637</v>
      </c>
      <c r="CA13" s="1052" t="s">
        <v>1637</v>
      </c>
      <c r="CB13" s="1053">
        <v>887456.75645899994</v>
      </c>
      <c r="CC13" s="1053">
        <v>729083.78302399989</v>
      </c>
      <c r="CD13" s="1053">
        <v>5743301.3041220009</v>
      </c>
      <c r="CE13" s="1053">
        <v>2423892.1755999997</v>
      </c>
      <c r="CF13" s="1053" t="s">
        <v>1637</v>
      </c>
      <c r="CG13" s="1053" t="s">
        <v>1637</v>
      </c>
      <c r="CH13" s="1053" t="s">
        <v>1637</v>
      </c>
      <c r="CI13" s="1051">
        <v>4573895.5879810005</v>
      </c>
      <c r="CJ13" s="1051">
        <v>5722299.8854640005</v>
      </c>
      <c r="CK13" s="1051">
        <v>2097234.5901919999</v>
      </c>
      <c r="CL13" s="1051" t="s">
        <v>1637</v>
      </c>
      <c r="CM13" s="1051">
        <v>209179.49206199998</v>
      </c>
      <c r="CN13" s="1051">
        <v>1042806.48615</v>
      </c>
      <c r="CO13" s="1051" t="s">
        <v>1637</v>
      </c>
      <c r="CP13" s="1051" t="s">
        <v>1637</v>
      </c>
      <c r="CQ13" s="1051">
        <v>5743301.3041220009</v>
      </c>
      <c r="CR13" s="1051">
        <v>102152.22336</v>
      </c>
      <c r="CS13" s="1051" t="s">
        <v>1637</v>
      </c>
      <c r="CT13" s="1051" t="s">
        <v>1637</v>
      </c>
      <c r="CU13" s="1051" t="s">
        <v>1637</v>
      </c>
      <c r="CV13" s="1051">
        <v>2286195.1755999997</v>
      </c>
      <c r="CW13" s="1051" t="s">
        <v>1637</v>
      </c>
      <c r="CX13" s="1051" t="s">
        <v>1637</v>
      </c>
      <c r="CY13" s="1051">
        <v>137697</v>
      </c>
      <c r="CZ13" s="1118">
        <v>4752490.0756210005</v>
      </c>
      <c r="DA13" s="1118">
        <v>5950676.9390240004</v>
      </c>
      <c r="DB13" s="1118">
        <v>2155151.7741919998</v>
      </c>
      <c r="DC13" s="1118" t="s">
        <v>1637</v>
      </c>
      <c r="DD13" s="1118">
        <v>217630.27390199999</v>
      </c>
      <c r="DE13" s="1118">
        <v>1084940.08155</v>
      </c>
      <c r="DF13" s="1118" t="s">
        <v>1637</v>
      </c>
      <c r="DG13" s="1118" t="s">
        <v>1637</v>
      </c>
      <c r="DH13" s="1118">
        <v>5743301.3041220009</v>
      </c>
      <c r="DI13" s="1118">
        <v>106279.58592</v>
      </c>
      <c r="DJ13" s="1118">
        <v>531665.96062999999</v>
      </c>
      <c r="DK13" s="1118">
        <v>740101.58374100004</v>
      </c>
      <c r="DL13" s="1118" t="s">
        <v>1637</v>
      </c>
      <c r="DM13" s="1118">
        <v>2286195.1755999997</v>
      </c>
      <c r="DN13" s="1118" t="s">
        <v>1637</v>
      </c>
      <c r="DO13" s="1118" t="s">
        <v>1637</v>
      </c>
      <c r="DP13" s="1118">
        <v>137697</v>
      </c>
      <c r="DQ13" s="1118" t="s">
        <v>1637</v>
      </c>
      <c r="DR13" s="1118" t="s">
        <v>1637</v>
      </c>
      <c r="DS13" s="1118" t="s">
        <v>1637</v>
      </c>
      <c r="DT13" s="1118" t="s">
        <v>1637</v>
      </c>
      <c r="DU13" s="1118" t="s">
        <v>1637</v>
      </c>
      <c r="DV13" s="1119" t="s">
        <v>1637</v>
      </c>
      <c r="DW13" s="1120">
        <v>153682.01889099999</v>
      </c>
      <c r="DX13" s="1120">
        <v>69967.809854000006</v>
      </c>
      <c r="DY13" s="1120">
        <v>663784.28619200003</v>
      </c>
      <c r="DZ13" s="1120" t="s">
        <v>1637</v>
      </c>
      <c r="EA13" s="1120">
        <v>729083.78302399989</v>
      </c>
      <c r="EB13" s="1120">
        <v>22.641521999999998</v>
      </c>
      <c r="EC13" s="1120" t="s">
        <v>1637</v>
      </c>
      <c r="ED13" s="1120" t="s">
        <v>1637</v>
      </c>
      <c r="EE13" s="1120" t="s">
        <v>1637</v>
      </c>
      <c r="EF13" s="1120">
        <v>5743301.3041220009</v>
      </c>
      <c r="EG13" s="1120" t="s">
        <v>1637</v>
      </c>
      <c r="EH13" s="1120" t="s">
        <v>1637</v>
      </c>
      <c r="EI13" s="1120" t="s">
        <v>1637</v>
      </c>
      <c r="EJ13" s="1120" t="s">
        <v>1637</v>
      </c>
      <c r="EK13" s="1120">
        <v>2286195.1755999997</v>
      </c>
      <c r="EL13" s="1120" t="s">
        <v>1637</v>
      </c>
      <c r="EM13" s="1120" t="s">
        <v>1637</v>
      </c>
      <c r="EN13" s="1120">
        <v>137697</v>
      </c>
      <c r="EO13" s="1120" t="s">
        <v>1637</v>
      </c>
      <c r="EP13" s="1120" t="s">
        <v>1637</v>
      </c>
      <c r="EQ13" s="1120" t="s">
        <v>1637</v>
      </c>
      <c r="ER13" s="1120" t="s">
        <v>1637</v>
      </c>
      <c r="ES13" s="1120" t="s">
        <v>1637</v>
      </c>
    </row>
    <row r="14" spans="1:150" s="1121" customFormat="1" ht="15" customHeight="1">
      <c r="A14" s="1185">
        <v>4</v>
      </c>
      <c r="B14" s="1055" t="s">
        <v>1742</v>
      </c>
      <c r="C14" s="1055" t="s">
        <v>1030</v>
      </c>
      <c r="D14" s="1055" t="s">
        <v>1027</v>
      </c>
      <c r="E14" s="1055" t="s">
        <v>687</v>
      </c>
      <c r="F14" s="1049">
        <v>2014</v>
      </c>
      <c r="G14" s="1049">
        <v>2014</v>
      </c>
      <c r="H14" s="1049" t="str">
        <f t="shared" ref="H14:H40" si="1">CONCATENATE(B14,"_",G14)</f>
        <v>Johannesburg_2014</v>
      </c>
      <c r="I14" s="1049" t="s">
        <v>172</v>
      </c>
      <c r="J14" s="1049">
        <v>4765329</v>
      </c>
      <c r="K14" s="1049">
        <v>1648</v>
      </c>
      <c r="L14" s="1043">
        <v>35684773914.663498</v>
      </c>
      <c r="M14" s="1051">
        <v>111086.04174139972</v>
      </c>
      <c r="N14" s="1051">
        <v>7064517.8217781894</v>
      </c>
      <c r="O14" s="1052">
        <v>467706.93777428096</v>
      </c>
      <c r="P14" s="1051">
        <v>120611.9438723268</v>
      </c>
      <c r="Q14" s="1051">
        <v>8227790.7469278369</v>
      </c>
      <c r="R14" s="1052">
        <v>657948.26290984929</v>
      </c>
      <c r="S14" s="1051">
        <v>207194.00789240401</v>
      </c>
      <c r="T14" s="1051">
        <v>38550.671549999999</v>
      </c>
      <c r="U14" s="1052" t="s">
        <v>176</v>
      </c>
      <c r="V14" s="1051" t="s">
        <v>176</v>
      </c>
      <c r="W14" s="1051" t="s">
        <v>176</v>
      </c>
      <c r="X14" s="1052" t="s">
        <v>177</v>
      </c>
      <c r="Y14" s="1053" t="s">
        <v>175</v>
      </c>
      <c r="Z14" s="1051" t="s">
        <v>175</v>
      </c>
      <c r="AA14" s="1051" t="s">
        <v>175</v>
      </c>
      <c r="AB14" s="1052" t="s">
        <v>175</v>
      </c>
      <c r="AC14" s="1051" t="s">
        <v>175</v>
      </c>
      <c r="AD14" s="1051" t="s">
        <v>175</v>
      </c>
      <c r="AE14" s="1052" t="s">
        <v>175</v>
      </c>
      <c r="AF14" s="1051" t="s">
        <v>175</v>
      </c>
      <c r="AG14" s="1051">
        <v>3222.5977544956122</v>
      </c>
      <c r="AH14" s="1051">
        <v>6875121.110458347</v>
      </c>
      <c r="AI14" s="1051" t="s">
        <v>175</v>
      </c>
      <c r="AJ14" s="1052" t="s">
        <v>177</v>
      </c>
      <c r="AK14" s="1051" t="s">
        <v>175</v>
      </c>
      <c r="AL14" s="1051">
        <v>330171.96207917598</v>
      </c>
      <c r="AM14" s="1052">
        <v>14049.514396056868</v>
      </c>
      <c r="AN14" s="1051" t="s">
        <v>175</v>
      </c>
      <c r="AO14" s="1051" t="s">
        <v>175</v>
      </c>
      <c r="AP14" s="1052" t="s">
        <v>175</v>
      </c>
      <c r="AQ14" s="1051" t="s">
        <v>175</v>
      </c>
      <c r="AR14" s="1051" t="s">
        <v>175</v>
      </c>
      <c r="AS14" s="1052">
        <v>1494181.5135538871</v>
      </c>
      <c r="AT14" s="1051" t="s">
        <v>176</v>
      </c>
      <c r="AU14" s="1051" t="s">
        <v>175</v>
      </c>
      <c r="AV14" s="1052" t="s">
        <v>175</v>
      </c>
      <c r="AW14" s="1051">
        <v>1619552.25</v>
      </c>
      <c r="AX14" s="1051" t="s">
        <v>175</v>
      </c>
      <c r="AY14" s="1053" t="s">
        <v>175</v>
      </c>
      <c r="AZ14" s="1051">
        <v>3315</v>
      </c>
      <c r="BA14" s="1051" t="s">
        <v>175</v>
      </c>
      <c r="BB14" s="1053" t="s">
        <v>175</v>
      </c>
      <c r="BC14" s="1051">
        <v>7228</v>
      </c>
      <c r="BD14" s="1051" t="s">
        <v>175</v>
      </c>
      <c r="BE14" s="1053" t="s">
        <v>175</v>
      </c>
      <c r="BF14" s="1051">
        <v>108350.70945459536</v>
      </c>
      <c r="BG14" s="1051" t="s">
        <v>175</v>
      </c>
      <c r="BH14" s="1053">
        <v>12675.890545404634</v>
      </c>
      <c r="BI14" s="1052" t="s">
        <v>177</v>
      </c>
      <c r="BJ14" s="1052" t="s">
        <v>177</v>
      </c>
      <c r="BK14" s="1052" t="s">
        <v>177</v>
      </c>
      <c r="BL14" s="1052" t="s">
        <v>177</v>
      </c>
      <c r="BM14" s="1052" t="s">
        <v>177</v>
      </c>
      <c r="BN14" s="1054" t="s">
        <v>177</v>
      </c>
      <c r="BO14" s="1076" t="str">
        <f t="shared" si="0"/>
        <v>Johannesburg_2014</v>
      </c>
      <c r="BP14" s="1051">
        <v>24716712.863508772</v>
      </c>
      <c r="BQ14" s="1052">
        <v>27350599.092142846</v>
      </c>
      <c r="BR14" s="1054">
        <v>27350599.092142846</v>
      </c>
      <c r="BS14" s="1053">
        <v>9068357.5517189745</v>
      </c>
      <c r="BT14" s="1051">
        <v>15772973.831516653</v>
      </c>
      <c r="BU14" s="1051">
        <v>7205293.0725375228</v>
      </c>
      <c r="BV14" s="1051">
        <v>1738445.9594545953</v>
      </c>
      <c r="BW14" s="1052">
        <v>16898629.032200783</v>
      </c>
      <c r="BX14" s="1052">
        <v>8713524.1004874669</v>
      </c>
      <c r="BY14" s="1052">
        <v>1738445.9594545953</v>
      </c>
      <c r="BZ14" s="1052" t="s">
        <v>1637</v>
      </c>
      <c r="CA14" s="1052" t="s">
        <v>1637</v>
      </c>
      <c r="CB14" s="1053">
        <v>442114.59126062616</v>
      </c>
      <c r="CC14" s="1053" t="s">
        <v>1637</v>
      </c>
      <c r="CD14" s="1053">
        <v>6875121.110458347</v>
      </c>
      <c r="CE14" s="1053">
        <v>1738445.9594545953</v>
      </c>
      <c r="CF14" s="1053">
        <v>12675.890545404634</v>
      </c>
      <c r="CG14" s="1053" t="s">
        <v>1637</v>
      </c>
      <c r="CH14" s="1053" t="s">
        <v>1637</v>
      </c>
      <c r="CI14" s="1051">
        <v>7175603.8635195894</v>
      </c>
      <c r="CJ14" s="1051">
        <v>8348402.6908001639</v>
      </c>
      <c r="CK14" s="1051">
        <v>245744.67944240401</v>
      </c>
      <c r="CL14" s="1051" t="s">
        <v>1637</v>
      </c>
      <c r="CM14" s="1051" t="s">
        <v>1637</v>
      </c>
      <c r="CN14" s="1051" t="s">
        <v>1637</v>
      </c>
      <c r="CO14" s="1051" t="s">
        <v>1637</v>
      </c>
      <c r="CP14" s="1051">
        <v>3222.5977544956122</v>
      </c>
      <c r="CQ14" s="1051">
        <v>6875121.110458347</v>
      </c>
      <c r="CR14" s="1051">
        <v>330171.96207917598</v>
      </c>
      <c r="CS14" s="1051" t="s">
        <v>1637</v>
      </c>
      <c r="CT14" s="1051" t="s">
        <v>1637</v>
      </c>
      <c r="CU14" s="1051" t="s">
        <v>1637</v>
      </c>
      <c r="CV14" s="1051">
        <v>1619552.25</v>
      </c>
      <c r="CW14" s="1051">
        <v>3315</v>
      </c>
      <c r="CX14" s="1051">
        <v>7228</v>
      </c>
      <c r="CY14" s="1051">
        <v>108350.70945459536</v>
      </c>
      <c r="CZ14" s="1118">
        <v>7643310.8012938704</v>
      </c>
      <c r="DA14" s="1118">
        <v>9006350.953710014</v>
      </c>
      <c r="DB14" s="1118">
        <v>245744.67944240401</v>
      </c>
      <c r="DC14" s="1118" t="s">
        <v>1637</v>
      </c>
      <c r="DD14" s="1118" t="s">
        <v>1637</v>
      </c>
      <c r="DE14" s="1118" t="s">
        <v>1637</v>
      </c>
      <c r="DF14" s="1118" t="s">
        <v>1637</v>
      </c>
      <c r="DG14" s="1118">
        <v>3222.5977544956122</v>
      </c>
      <c r="DH14" s="1118">
        <v>6875121.110458347</v>
      </c>
      <c r="DI14" s="1118">
        <v>344221.47647523286</v>
      </c>
      <c r="DJ14" s="1118" t="s">
        <v>1637</v>
      </c>
      <c r="DK14" s="1118">
        <v>1494181.5135538871</v>
      </c>
      <c r="DL14" s="1118" t="s">
        <v>1637</v>
      </c>
      <c r="DM14" s="1118">
        <v>1619552.25</v>
      </c>
      <c r="DN14" s="1118">
        <v>3315</v>
      </c>
      <c r="DO14" s="1118">
        <v>7228</v>
      </c>
      <c r="DP14" s="1118">
        <v>108350.70945459536</v>
      </c>
      <c r="DQ14" s="1118" t="s">
        <v>1637</v>
      </c>
      <c r="DR14" s="1118" t="s">
        <v>1637</v>
      </c>
      <c r="DS14" s="1118" t="s">
        <v>1637</v>
      </c>
      <c r="DT14" s="1118" t="s">
        <v>1637</v>
      </c>
      <c r="DU14" s="1118" t="s">
        <v>1637</v>
      </c>
      <c r="DV14" s="1119" t="s">
        <v>1637</v>
      </c>
      <c r="DW14" s="1120">
        <v>111086.04174139972</v>
      </c>
      <c r="DX14" s="1120">
        <v>120611.9438723268</v>
      </c>
      <c r="DY14" s="1120">
        <v>207194.00789240401</v>
      </c>
      <c r="DZ14" s="1120" t="s">
        <v>1637</v>
      </c>
      <c r="EA14" s="1120" t="s">
        <v>1637</v>
      </c>
      <c r="EB14" s="1120" t="s">
        <v>1637</v>
      </c>
      <c r="EC14" s="1120" t="s">
        <v>1637</v>
      </c>
      <c r="ED14" s="1120" t="s">
        <v>1637</v>
      </c>
      <c r="EE14" s="1120">
        <v>3222.5977544956122</v>
      </c>
      <c r="EF14" s="1120">
        <v>6875121.110458347</v>
      </c>
      <c r="EG14" s="1120" t="s">
        <v>1637</v>
      </c>
      <c r="EH14" s="1120" t="s">
        <v>1637</v>
      </c>
      <c r="EI14" s="1120" t="s">
        <v>1637</v>
      </c>
      <c r="EJ14" s="1120" t="s">
        <v>1637</v>
      </c>
      <c r="EK14" s="1120">
        <v>1619552.25</v>
      </c>
      <c r="EL14" s="1120">
        <v>3315</v>
      </c>
      <c r="EM14" s="1120">
        <v>7228</v>
      </c>
      <c r="EN14" s="1120">
        <v>121026.59999999999</v>
      </c>
      <c r="EO14" s="1120" t="s">
        <v>1637</v>
      </c>
      <c r="EP14" s="1120" t="s">
        <v>1637</v>
      </c>
      <c r="EQ14" s="1120" t="s">
        <v>1637</v>
      </c>
      <c r="ER14" s="1120" t="s">
        <v>1637</v>
      </c>
      <c r="ES14" s="1120" t="s">
        <v>1637</v>
      </c>
    </row>
    <row r="15" spans="1:150" s="1121" customFormat="1" ht="15" customHeight="1">
      <c r="A15" s="1185">
        <v>5</v>
      </c>
      <c r="B15" s="1055" t="s">
        <v>1743</v>
      </c>
      <c r="C15" s="1055" t="s">
        <v>1173</v>
      </c>
      <c r="D15" s="1055" t="s">
        <v>1134</v>
      </c>
      <c r="E15" s="1055" t="s">
        <v>687</v>
      </c>
      <c r="F15" s="1049">
        <v>2014</v>
      </c>
      <c r="G15" s="1049">
        <v>2014</v>
      </c>
      <c r="H15" s="1049" t="str">
        <f t="shared" si="1"/>
        <v>Athens_2014</v>
      </c>
      <c r="I15" s="1049" t="s">
        <v>172</v>
      </c>
      <c r="J15" s="1049">
        <v>664046</v>
      </c>
      <c r="K15" s="1049">
        <v>39</v>
      </c>
      <c r="L15" s="1043">
        <v>22249382330</v>
      </c>
      <c r="M15" s="1051">
        <v>276488.06254906149</v>
      </c>
      <c r="N15" s="1051">
        <v>1685927.8579662237</v>
      </c>
      <c r="O15" s="1052" t="s">
        <v>176</v>
      </c>
      <c r="P15" s="1051">
        <v>713.89134517095306</v>
      </c>
      <c r="Q15" s="1051">
        <v>1330926.5965112215</v>
      </c>
      <c r="R15" s="1052" t="s">
        <v>176</v>
      </c>
      <c r="S15" s="1051">
        <v>19266.569691914003</v>
      </c>
      <c r="T15" s="1051">
        <v>18002.491181884183</v>
      </c>
      <c r="U15" s="1052" t="s">
        <v>177</v>
      </c>
      <c r="V15" s="1051" t="s">
        <v>175</v>
      </c>
      <c r="W15" s="1051" t="s">
        <v>175</v>
      </c>
      <c r="X15" s="1052" t="s">
        <v>175</v>
      </c>
      <c r="Y15" s="1053" t="s">
        <v>175</v>
      </c>
      <c r="Z15" s="1051" t="s">
        <v>175</v>
      </c>
      <c r="AA15" s="1051" t="s">
        <v>175</v>
      </c>
      <c r="AB15" s="1052" t="s">
        <v>175</v>
      </c>
      <c r="AC15" s="1051" t="s">
        <v>175</v>
      </c>
      <c r="AD15" s="1051" t="s">
        <v>175</v>
      </c>
      <c r="AE15" s="1052" t="s">
        <v>175</v>
      </c>
      <c r="AF15" s="1051" t="s">
        <v>175</v>
      </c>
      <c r="AG15" s="1051">
        <v>365.80226524816146</v>
      </c>
      <c r="AH15" s="1051">
        <v>988587.28605382703</v>
      </c>
      <c r="AI15" s="1051">
        <v>27166.739133837291</v>
      </c>
      <c r="AJ15" s="1052" t="s">
        <v>177</v>
      </c>
      <c r="AK15" s="1051" t="s">
        <v>175</v>
      </c>
      <c r="AL15" s="1051">
        <v>48775.41055224336</v>
      </c>
      <c r="AM15" s="1052" t="s">
        <v>175</v>
      </c>
      <c r="AN15" s="1051" t="s">
        <v>175</v>
      </c>
      <c r="AO15" s="1051" t="s">
        <v>175</v>
      </c>
      <c r="AP15" s="1052" t="s">
        <v>175</v>
      </c>
      <c r="AQ15" s="1051" t="s">
        <v>175</v>
      </c>
      <c r="AR15" s="1051" t="s">
        <v>175</v>
      </c>
      <c r="AS15" s="1052">
        <v>66349.7505400144</v>
      </c>
      <c r="AT15" s="1051" t="s">
        <v>175</v>
      </c>
      <c r="AU15" s="1051" t="s">
        <v>175</v>
      </c>
      <c r="AV15" s="1052" t="s">
        <v>175</v>
      </c>
      <c r="AW15" s="1051" t="s">
        <v>175</v>
      </c>
      <c r="AX15" s="1051">
        <v>334081.98494235403</v>
      </c>
      <c r="AY15" s="1053" t="s">
        <v>175</v>
      </c>
      <c r="AZ15" s="1051" t="s">
        <v>175</v>
      </c>
      <c r="BA15" s="1051">
        <v>40.565692000000006</v>
      </c>
      <c r="BB15" s="1053" t="s">
        <v>175</v>
      </c>
      <c r="BC15" s="1051" t="s">
        <v>175</v>
      </c>
      <c r="BD15" s="1051" t="s">
        <v>175</v>
      </c>
      <c r="BE15" s="1053" t="s">
        <v>175</v>
      </c>
      <c r="BF15" s="1051" t="s">
        <v>175</v>
      </c>
      <c r="BG15" s="1051">
        <v>23341.621173909993</v>
      </c>
      <c r="BH15" s="1053" t="s">
        <v>175</v>
      </c>
      <c r="BI15" s="1052" t="s">
        <v>177</v>
      </c>
      <c r="BJ15" s="1052" t="s">
        <v>177</v>
      </c>
      <c r="BK15" s="1052" t="s">
        <v>175</v>
      </c>
      <c r="BL15" s="1052" t="s">
        <v>175</v>
      </c>
      <c r="BM15" s="1052" t="s">
        <v>175</v>
      </c>
      <c r="BN15" s="1054" t="s">
        <v>177</v>
      </c>
      <c r="BO15" s="1076" t="str">
        <f t="shared" si="0"/>
        <v>Athens_2014</v>
      </c>
      <c r="BP15" s="1051">
        <v>4753684.8790588956</v>
      </c>
      <c r="BQ15" s="1052">
        <v>4820034.62959891</v>
      </c>
      <c r="BR15" s="1054">
        <v>4820034.62959891</v>
      </c>
      <c r="BS15" s="1053">
        <v>1285421.6119052216</v>
      </c>
      <c r="BT15" s="1051">
        <v>3331691.271510724</v>
      </c>
      <c r="BU15" s="1051">
        <v>1064529.4357399077</v>
      </c>
      <c r="BV15" s="1051">
        <v>357464.17180826399</v>
      </c>
      <c r="BW15" s="1052">
        <v>3331691.271510724</v>
      </c>
      <c r="BX15" s="1052">
        <v>1130879.186279922</v>
      </c>
      <c r="BY15" s="1052">
        <v>357464.17180826399</v>
      </c>
      <c r="BZ15" s="1052" t="s">
        <v>1637</v>
      </c>
      <c r="CA15" s="1052" t="s">
        <v>1637</v>
      </c>
      <c r="CB15" s="1053">
        <v>296834.32585139462</v>
      </c>
      <c r="CC15" s="1053" t="s">
        <v>1637</v>
      </c>
      <c r="CD15" s="1053">
        <v>988587.28605382703</v>
      </c>
      <c r="CE15" s="1053" t="s">
        <v>1637</v>
      </c>
      <c r="CF15" s="1053" t="s">
        <v>1637</v>
      </c>
      <c r="CG15" s="1053" t="s">
        <v>1637</v>
      </c>
      <c r="CH15" s="1053" t="s">
        <v>1637</v>
      </c>
      <c r="CI15" s="1051">
        <v>1962415.9205152853</v>
      </c>
      <c r="CJ15" s="1051">
        <v>1331640.4878563925</v>
      </c>
      <c r="CK15" s="1051">
        <v>37269.060873798182</v>
      </c>
      <c r="CL15" s="1051" t="s">
        <v>1637</v>
      </c>
      <c r="CM15" s="1051" t="s">
        <v>1637</v>
      </c>
      <c r="CN15" s="1051" t="s">
        <v>1637</v>
      </c>
      <c r="CO15" s="1051" t="s">
        <v>1637</v>
      </c>
      <c r="CP15" s="1051">
        <v>365.80226524816146</v>
      </c>
      <c r="CQ15" s="1051">
        <v>1015754.0251876643</v>
      </c>
      <c r="CR15" s="1051">
        <v>48775.41055224336</v>
      </c>
      <c r="CS15" s="1051" t="s">
        <v>1637</v>
      </c>
      <c r="CT15" s="1051" t="s">
        <v>1637</v>
      </c>
      <c r="CU15" s="1051" t="s">
        <v>1637</v>
      </c>
      <c r="CV15" s="1051">
        <v>334081.98494235403</v>
      </c>
      <c r="CW15" s="1051">
        <v>40.565692000000006</v>
      </c>
      <c r="CX15" s="1051" t="s">
        <v>1637</v>
      </c>
      <c r="CY15" s="1051">
        <v>23341.621173909993</v>
      </c>
      <c r="CZ15" s="1118">
        <v>1962415.9205152853</v>
      </c>
      <c r="DA15" s="1118">
        <v>1331640.4878563925</v>
      </c>
      <c r="DB15" s="1118">
        <v>37269.060873798182</v>
      </c>
      <c r="DC15" s="1118" t="s">
        <v>1637</v>
      </c>
      <c r="DD15" s="1118" t="s">
        <v>1637</v>
      </c>
      <c r="DE15" s="1118" t="s">
        <v>1637</v>
      </c>
      <c r="DF15" s="1118" t="s">
        <v>1637</v>
      </c>
      <c r="DG15" s="1118">
        <v>365.80226524816146</v>
      </c>
      <c r="DH15" s="1118">
        <v>1015754.0251876643</v>
      </c>
      <c r="DI15" s="1118">
        <v>48775.41055224336</v>
      </c>
      <c r="DJ15" s="1118" t="s">
        <v>1637</v>
      </c>
      <c r="DK15" s="1118">
        <v>66349.7505400144</v>
      </c>
      <c r="DL15" s="1118" t="s">
        <v>1637</v>
      </c>
      <c r="DM15" s="1118">
        <v>334081.98494235403</v>
      </c>
      <c r="DN15" s="1118">
        <v>40.565692000000006</v>
      </c>
      <c r="DO15" s="1118" t="s">
        <v>1637</v>
      </c>
      <c r="DP15" s="1118">
        <v>23341.621173909993</v>
      </c>
      <c r="DQ15" s="1118" t="s">
        <v>1637</v>
      </c>
      <c r="DR15" s="1118" t="s">
        <v>1637</v>
      </c>
      <c r="DS15" s="1118" t="s">
        <v>1637</v>
      </c>
      <c r="DT15" s="1118" t="s">
        <v>1637</v>
      </c>
      <c r="DU15" s="1118" t="s">
        <v>1637</v>
      </c>
      <c r="DV15" s="1119" t="s">
        <v>1637</v>
      </c>
      <c r="DW15" s="1120">
        <v>276488.06254906149</v>
      </c>
      <c r="DX15" s="1120">
        <v>713.89134517095306</v>
      </c>
      <c r="DY15" s="1120">
        <v>19266.569691914003</v>
      </c>
      <c r="DZ15" s="1120" t="s">
        <v>1637</v>
      </c>
      <c r="EA15" s="1120" t="s">
        <v>1637</v>
      </c>
      <c r="EB15" s="1120" t="s">
        <v>1637</v>
      </c>
      <c r="EC15" s="1120" t="s">
        <v>1637</v>
      </c>
      <c r="ED15" s="1120" t="s">
        <v>1637</v>
      </c>
      <c r="EE15" s="1120">
        <v>365.80226524816146</v>
      </c>
      <c r="EF15" s="1120">
        <v>988587.28605382703</v>
      </c>
      <c r="EG15" s="1120" t="s">
        <v>1637</v>
      </c>
      <c r="EH15" s="1120" t="s">
        <v>1637</v>
      </c>
      <c r="EI15" s="1120" t="s">
        <v>1637</v>
      </c>
      <c r="EJ15" s="1120" t="s">
        <v>1637</v>
      </c>
      <c r="EK15" s="1120" t="s">
        <v>1637</v>
      </c>
      <c r="EL15" s="1120" t="s">
        <v>1637</v>
      </c>
      <c r="EM15" s="1120" t="s">
        <v>1637</v>
      </c>
      <c r="EN15" s="1120" t="s">
        <v>1637</v>
      </c>
      <c r="EO15" s="1120" t="s">
        <v>1637</v>
      </c>
      <c r="EP15" s="1120" t="s">
        <v>1637</v>
      </c>
      <c r="EQ15" s="1120" t="s">
        <v>1637</v>
      </c>
      <c r="ER15" s="1120" t="s">
        <v>1637</v>
      </c>
      <c r="ES15" s="1120" t="s">
        <v>1637</v>
      </c>
    </row>
    <row r="16" spans="1:150" s="1121" customFormat="1" ht="15" customHeight="1">
      <c r="A16" s="1185">
        <v>6</v>
      </c>
      <c r="B16" s="1055" t="s">
        <v>1744</v>
      </c>
      <c r="C16" s="1055" t="s">
        <v>1172</v>
      </c>
      <c r="D16" s="1055" t="s">
        <v>1134</v>
      </c>
      <c r="E16" s="1055" t="s">
        <v>687</v>
      </c>
      <c r="F16" s="1049">
        <v>2014</v>
      </c>
      <c r="G16" s="1049">
        <v>2014</v>
      </c>
      <c r="H16" s="1049" t="str">
        <f t="shared" si="1"/>
        <v>Copenhagen_2014</v>
      </c>
      <c r="I16" s="1049" t="s">
        <v>172</v>
      </c>
      <c r="J16" s="1049">
        <v>580184</v>
      </c>
      <c r="K16" s="1049">
        <v>86.22</v>
      </c>
      <c r="L16" s="1043">
        <v>51910270000</v>
      </c>
      <c r="M16" s="1051">
        <v>18042.118571428571</v>
      </c>
      <c r="N16" s="1051">
        <v>423356.77251277125</v>
      </c>
      <c r="O16" s="1052">
        <v>48721.384733215884</v>
      </c>
      <c r="P16" s="1051">
        <v>9077.5999999999985</v>
      </c>
      <c r="Q16" s="1051">
        <v>577454.55220211134</v>
      </c>
      <c r="R16" s="1052">
        <v>43996.499556875096</v>
      </c>
      <c r="S16" s="1051">
        <v>10672</v>
      </c>
      <c r="T16" s="1051">
        <v>91105.080029116914</v>
      </c>
      <c r="U16" s="1052">
        <v>6213.2441789566346</v>
      </c>
      <c r="V16" s="1051" t="s">
        <v>176</v>
      </c>
      <c r="W16" s="1051" t="s">
        <v>176</v>
      </c>
      <c r="X16" s="1052" t="s">
        <v>176</v>
      </c>
      <c r="Y16" s="1053">
        <v>1755238.487</v>
      </c>
      <c r="Z16" s="1051" t="s">
        <v>176</v>
      </c>
      <c r="AA16" s="1051">
        <v>64.129779990392024</v>
      </c>
      <c r="AB16" s="1052">
        <v>3.3150000000000004</v>
      </c>
      <c r="AC16" s="1051" t="s">
        <v>175</v>
      </c>
      <c r="AD16" s="1051" t="s">
        <v>175</v>
      </c>
      <c r="AE16" s="1052" t="s">
        <v>177</v>
      </c>
      <c r="AF16" s="1051" t="s">
        <v>175</v>
      </c>
      <c r="AG16" s="1051" t="s">
        <v>175</v>
      </c>
      <c r="AH16" s="1051">
        <v>349230.57939226693</v>
      </c>
      <c r="AI16" s="1051" t="s">
        <v>176</v>
      </c>
      <c r="AJ16" s="1052" t="s">
        <v>177</v>
      </c>
      <c r="AK16" s="1051">
        <v>2930.6437489999998</v>
      </c>
      <c r="AL16" s="1051">
        <v>25544.033381946716</v>
      </c>
      <c r="AM16" s="1052">
        <v>1320.4235329333728</v>
      </c>
      <c r="AN16" s="1051">
        <v>140000</v>
      </c>
      <c r="AO16" s="1051" t="s">
        <v>175</v>
      </c>
      <c r="AP16" s="1052" t="s">
        <v>177</v>
      </c>
      <c r="AQ16" s="1051" t="s">
        <v>175</v>
      </c>
      <c r="AR16" s="1051" t="s">
        <v>175</v>
      </c>
      <c r="AS16" s="1052">
        <v>14400</v>
      </c>
      <c r="AT16" s="1051">
        <v>62470</v>
      </c>
      <c r="AU16" s="1051" t="s">
        <v>176</v>
      </c>
      <c r="AV16" s="1052" t="s">
        <v>175</v>
      </c>
      <c r="AW16" s="1051" t="s">
        <v>175</v>
      </c>
      <c r="AX16" s="1051">
        <v>750</v>
      </c>
      <c r="AY16" s="1053" t="s">
        <v>175</v>
      </c>
      <c r="AZ16" s="1051" t="s">
        <v>175</v>
      </c>
      <c r="BA16" s="1051" t="s">
        <v>175</v>
      </c>
      <c r="BB16" s="1053" t="s">
        <v>175</v>
      </c>
      <c r="BC16" s="1051" t="s">
        <v>176</v>
      </c>
      <c r="BD16" s="1051" t="s">
        <v>176</v>
      </c>
      <c r="BE16" s="1053" t="s">
        <v>176</v>
      </c>
      <c r="BF16" s="1051">
        <v>16588</v>
      </c>
      <c r="BG16" s="1051" t="s">
        <v>175</v>
      </c>
      <c r="BH16" s="1053" t="s">
        <v>175</v>
      </c>
      <c r="BI16" s="1052">
        <v>3733.4</v>
      </c>
      <c r="BJ16" s="1052">
        <v>80384</v>
      </c>
      <c r="BK16" s="1052" t="s">
        <v>175</v>
      </c>
      <c r="BL16" s="1052">
        <v>-2218.8294000000001</v>
      </c>
      <c r="BM16" s="1052">
        <v>25</v>
      </c>
      <c r="BN16" s="1054" t="s">
        <v>177</v>
      </c>
      <c r="BO16" s="1076" t="str">
        <f t="shared" si="0"/>
        <v>Copenhagen_2014</v>
      </c>
      <c r="BP16" s="1051">
        <v>1727285.509618632</v>
      </c>
      <c r="BQ16" s="1052">
        <v>1923863.947220613</v>
      </c>
      <c r="BR16" s="1054">
        <v>1923863.947220613</v>
      </c>
      <c r="BS16" s="1053">
        <v>2446172.9993126956</v>
      </c>
      <c r="BT16" s="1051">
        <v>1129772.2530954184</v>
      </c>
      <c r="BU16" s="1051">
        <v>580175.2565232137</v>
      </c>
      <c r="BV16" s="1051">
        <v>17338</v>
      </c>
      <c r="BW16" s="1052">
        <v>1228706.696564466</v>
      </c>
      <c r="BX16" s="1052">
        <v>595895.68005614704</v>
      </c>
      <c r="BY16" s="1052">
        <v>17338</v>
      </c>
      <c r="BZ16" s="1052">
        <v>84117.4</v>
      </c>
      <c r="CA16" s="1052">
        <v>-2193.8294000000001</v>
      </c>
      <c r="CB16" s="1053">
        <v>37791.718571428573</v>
      </c>
      <c r="CC16" s="1053">
        <v>1755238.487</v>
      </c>
      <c r="CD16" s="1053">
        <v>554631.22314126696</v>
      </c>
      <c r="CE16" s="1053">
        <v>16588</v>
      </c>
      <c r="CF16" s="1053" t="s">
        <v>1637</v>
      </c>
      <c r="CG16" s="1053">
        <v>84117.4</v>
      </c>
      <c r="CH16" s="1053">
        <v>-2193.8294000000001</v>
      </c>
      <c r="CI16" s="1051">
        <v>441398.89108419983</v>
      </c>
      <c r="CJ16" s="1051">
        <v>586532.15220211132</v>
      </c>
      <c r="CK16" s="1051">
        <v>101777.08002911691</v>
      </c>
      <c r="CL16" s="1051" t="s">
        <v>1637</v>
      </c>
      <c r="CM16" s="1051">
        <v>64.129779990392024</v>
      </c>
      <c r="CN16" s="1051" t="s">
        <v>1637</v>
      </c>
      <c r="CO16" s="1051" t="s">
        <v>1637</v>
      </c>
      <c r="CP16" s="1051" t="s">
        <v>1637</v>
      </c>
      <c r="CQ16" s="1051">
        <v>349230.57939226693</v>
      </c>
      <c r="CR16" s="1051">
        <v>28474.677130946715</v>
      </c>
      <c r="CS16" s="1051">
        <v>140000</v>
      </c>
      <c r="CT16" s="1051" t="s">
        <v>1637</v>
      </c>
      <c r="CU16" s="1051">
        <v>62470</v>
      </c>
      <c r="CV16" s="1051">
        <v>750</v>
      </c>
      <c r="CW16" s="1051" t="s">
        <v>1637</v>
      </c>
      <c r="CX16" s="1051" t="s">
        <v>1637</v>
      </c>
      <c r="CY16" s="1051">
        <v>16588</v>
      </c>
      <c r="CZ16" s="1118">
        <v>490120.27581741574</v>
      </c>
      <c r="DA16" s="1118">
        <v>630528.65175898641</v>
      </c>
      <c r="DB16" s="1118">
        <v>107990.32420807355</v>
      </c>
      <c r="DC16" s="1118" t="s">
        <v>1637</v>
      </c>
      <c r="DD16" s="1118">
        <v>67.444779990392021</v>
      </c>
      <c r="DE16" s="1118" t="s">
        <v>1637</v>
      </c>
      <c r="DF16" s="1118" t="s">
        <v>1637</v>
      </c>
      <c r="DG16" s="1118" t="s">
        <v>1637</v>
      </c>
      <c r="DH16" s="1118">
        <v>349230.57939226693</v>
      </c>
      <c r="DI16" s="1118">
        <v>29795.100663880086</v>
      </c>
      <c r="DJ16" s="1118">
        <v>140000</v>
      </c>
      <c r="DK16" s="1118">
        <v>14400</v>
      </c>
      <c r="DL16" s="1118">
        <v>62470</v>
      </c>
      <c r="DM16" s="1118">
        <v>750</v>
      </c>
      <c r="DN16" s="1118" t="s">
        <v>1637</v>
      </c>
      <c r="DO16" s="1118" t="s">
        <v>1637</v>
      </c>
      <c r="DP16" s="1118">
        <v>16588</v>
      </c>
      <c r="DQ16" s="1118">
        <v>3733.4</v>
      </c>
      <c r="DR16" s="1118">
        <v>80384</v>
      </c>
      <c r="DS16" s="1118" t="s">
        <v>1637</v>
      </c>
      <c r="DT16" s="1118">
        <v>-2218.8294000000001</v>
      </c>
      <c r="DU16" s="1118">
        <v>25</v>
      </c>
      <c r="DV16" s="1119" t="s">
        <v>1637</v>
      </c>
      <c r="DW16" s="1120">
        <v>18042.118571428571</v>
      </c>
      <c r="DX16" s="1120">
        <v>9077.5999999999985</v>
      </c>
      <c r="DY16" s="1120">
        <v>10672</v>
      </c>
      <c r="DZ16" s="1120" t="s">
        <v>1637</v>
      </c>
      <c r="EA16" s="1120">
        <v>1755238.487</v>
      </c>
      <c r="EB16" s="1120" t="s">
        <v>1637</v>
      </c>
      <c r="EC16" s="1120" t="s">
        <v>1637</v>
      </c>
      <c r="ED16" s="1120" t="s">
        <v>1637</v>
      </c>
      <c r="EE16" s="1120" t="s">
        <v>1637</v>
      </c>
      <c r="EF16" s="1120">
        <v>349230.57939226693</v>
      </c>
      <c r="EG16" s="1120">
        <v>2930.6437489999998</v>
      </c>
      <c r="EH16" s="1120">
        <v>140000</v>
      </c>
      <c r="EI16" s="1120" t="s">
        <v>1637</v>
      </c>
      <c r="EJ16" s="1120">
        <v>62470</v>
      </c>
      <c r="EK16" s="1120" t="s">
        <v>1637</v>
      </c>
      <c r="EL16" s="1120" t="s">
        <v>1637</v>
      </c>
      <c r="EM16" s="1120" t="s">
        <v>1637</v>
      </c>
      <c r="EN16" s="1120">
        <v>16588</v>
      </c>
      <c r="EO16" s="1120">
        <v>3733.4</v>
      </c>
      <c r="EP16" s="1120">
        <v>80384</v>
      </c>
      <c r="EQ16" s="1120" t="s">
        <v>1637</v>
      </c>
      <c r="ER16" s="1120">
        <v>-2218.8294000000001</v>
      </c>
      <c r="ES16" s="1120">
        <v>25</v>
      </c>
    </row>
    <row r="17" spans="1:149" s="34" customFormat="1" ht="15" customHeight="1">
      <c r="A17" s="1185">
        <v>7</v>
      </c>
      <c r="B17" s="1041" t="s">
        <v>1734</v>
      </c>
      <c r="C17" s="1048" t="s">
        <v>1394</v>
      </c>
      <c r="D17" s="1048" t="s">
        <v>1134</v>
      </c>
      <c r="E17" s="1048" t="s">
        <v>687</v>
      </c>
      <c r="F17" s="1049">
        <v>2013</v>
      </c>
      <c r="G17" s="1049">
        <v>2013</v>
      </c>
      <c r="H17" s="1049" t="str">
        <f t="shared" si="1"/>
        <v>Madrid_2013</v>
      </c>
      <c r="I17" s="1049" t="s">
        <v>172</v>
      </c>
      <c r="J17" s="1050">
        <v>3207247</v>
      </c>
      <c r="K17" s="1050">
        <v>606</v>
      </c>
      <c r="L17" s="1043">
        <v>103261000000</v>
      </c>
      <c r="M17" s="1051">
        <v>1690972.4176907854</v>
      </c>
      <c r="N17" s="1051">
        <v>1115983.2500104399</v>
      </c>
      <c r="O17" s="1052">
        <v>139838.35649208806</v>
      </c>
      <c r="P17" s="1051">
        <v>712706.49062100879</v>
      </c>
      <c r="Q17" s="1051">
        <v>1686344.2572374691</v>
      </c>
      <c r="R17" s="1052">
        <v>211307.48101259817</v>
      </c>
      <c r="S17" s="1051">
        <v>323384.91365221376</v>
      </c>
      <c r="T17" s="1051">
        <v>181414.07972758432</v>
      </c>
      <c r="U17" s="1052">
        <v>22732.103509073902</v>
      </c>
      <c r="V17" s="1051">
        <v>37818.168982663905</v>
      </c>
      <c r="W17" s="1051" t="s">
        <v>175</v>
      </c>
      <c r="X17" s="1052" t="s">
        <v>175</v>
      </c>
      <c r="Y17" s="1053">
        <v>190899.55310656875</v>
      </c>
      <c r="Z17" s="1051">
        <v>27971.650063522313</v>
      </c>
      <c r="AA17" s="1051">
        <v>1311.1932314670059</v>
      </c>
      <c r="AB17" s="1052">
        <v>164.29915639879081</v>
      </c>
      <c r="AC17" s="1051">
        <v>49379.37165943643</v>
      </c>
      <c r="AD17" s="1051" t="s">
        <v>175</v>
      </c>
      <c r="AE17" s="1052" t="s">
        <v>175</v>
      </c>
      <c r="AF17" s="1051" t="s">
        <v>175</v>
      </c>
      <c r="AG17" s="1051">
        <v>17964.392896713704</v>
      </c>
      <c r="AH17" s="1051">
        <v>2149069.2879714854</v>
      </c>
      <c r="AI17" s="1051">
        <v>95.588835299722717</v>
      </c>
      <c r="AJ17" s="1052">
        <v>11.977765461247801</v>
      </c>
      <c r="AK17" s="1051">
        <v>4676.4334073592154</v>
      </c>
      <c r="AL17" s="1051">
        <v>265654.99018543016</v>
      </c>
      <c r="AM17" s="1052">
        <v>33287.916481815308</v>
      </c>
      <c r="AN17" s="1051" t="s">
        <v>175</v>
      </c>
      <c r="AO17" s="1051" t="s">
        <v>175</v>
      </c>
      <c r="AP17" s="1052" t="s">
        <v>175</v>
      </c>
      <c r="AQ17" s="1051">
        <v>506167.72730000003</v>
      </c>
      <c r="AR17" s="1051" t="s">
        <v>175</v>
      </c>
      <c r="AS17" s="1052" t="s">
        <v>177</v>
      </c>
      <c r="AT17" s="1051" t="s">
        <v>175</v>
      </c>
      <c r="AU17" s="1051" t="s">
        <v>175</v>
      </c>
      <c r="AV17" s="1052" t="s">
        <v>175</v>
      </c>
      <c r="AW17" s="1051">
        <v>338011.17891383066</v>
      </c>
      <c r="AX17" s="1051" t="s">
        <v>175</v>
      </c>
      <c r="AY17" s="1053">
        <v>5775.6181913673263</v>
      </c>
      <c r="AZ17" s="1051">
        <v>3675.2000000000003</v>
      </c>
      <c r="BA17" s="1051" t="s">
        <v>175</v>
      </c>
      <c r="BB17" s="1053" t="s">
        <v>176</v>
      </c>
      <c r="BC17" s="1051">
        <v>374.96522800000008</v>
      </c>
      <c r="BD17" s="1051" t="s">
        <v>175</v>
      </c>
      <c r="BE17" s="1053" t="s">
        <v>176</v>
      </c>
      <c r="BF17" s="1051">
        <v>89419.992247772228</v>
      </c>
      <c r="BG17" s="1051" t="s">
        <v>175</v>
      </c>
      <c r="BH17" s="1053" t="s">
        <v>175</v>
      </c>
      <c r="BI17" s="1052">
        <v>1175.1687465468124</v>
      </c>
      <c r="BJ17" s="1052">
        <v>678567.17631955422</v>
      </c>
      <c r="BK17" s="1052">
        <v>2268.4796248140938</v>
      </c>
      <c r="BL17" s="1052">
        <v>-43398.890789941084</v>
      </c>
      <c r="BM17" s="1052">
        <v>8698.028993038899</v>
      </c>
      <c r="BN17" s="1054" t="s">
        <v>177</v>
      </c>
      <c r="BO17" s="1076" t="str">
        <f t="shared" si="0"/>
        <v>Madrid_2013</v>
      </c>
      <c r="BP17" s="1051">
        <v>9202395.5498624835</v>
      </c>
      <c r="BQ17" s="1052">
        <v>10257047.647173932</v>
      </c>
      <c r="BR17" s="1054">
        <v>10257047.647173932</v>
      </c>
      <c r="BS17" s="1053">
        <v>6795577.3248267416</v>
      </c>
      <c r="BT17" s="1051">
        <v>5845250.1857733056</v>
      </c>
      <c r="BU17" s="1051">
        <v>2925664.0276995744</v>
      </c>
      <c r="BV17" s="1051">
        <v>431481.33638960292</v>
      </c>
      <c r="BW17" s="1052">
        <v>6219292.425943464</v>
      </c>
      <c r="BX17" s="1052">
        <v>2958963.9219468511</v>
      </c>
      <c r="BY17" s="1052">
        <v>431481.33638960292</v>
      </c>
      <c r="BZ17" s="1052">
        <v>679742.34506610106</v>
      </c>
      <c r="CA17" s="1052">
        <v>-32432.382172088095</v>
      </c>
      <c r="CB17" s="1053">
        <v>2860197.4055663445</v>
      </c>
      <c r="CC17" s="1053">
        <v>190899.55310656875</v>
      </c>
      <c r="CD17" s="1053">
        <v>2659913.4486788446</v>
      </c>
      <c r="CE17" s="1053">
        <v>431481.33638960292</v>
      </c>
      <c r="CF17" s="1053">
        <v>5775.6181913673263</v>
      </c>
      <c r="CG17" s="1053">
        <v>679742.34506610106</v>
      </c>
      <c r="CH17" s="1053">
        <v>-32432.382172088095</v>
      </c>
      <c r="CI17" s="1123">
        <v>2806955.6677012253</v>
      </c>
      <c r="CJ17" s="1123">
        <v>2399050.7478584778</v>
      </c>
      <c r="CK17" s="1123">
        <v>504798.99337979808</v>
      </c>
      <c r="CL17" s="1123">
        <v>37818.168982663905</v>
      </c>
      <c r="CM17" s="1123">
        <v>29282.843294989318</v>
      </c>
      <c r="CN17" s="1123">
        <v>49379.37165943643</v>
      </c>
      <c r="CO17" s="1123" t="s">
        <v>1637</v>
      </c>
      <c r="CP17" s="1123">
        <v>17964.392896713704</v>
      </c>
      <c r="CQ17" s="1123">
        <v>2149164.8768067854</v>
      </c>
      <c r="CR17" s="1123">
        <v>270331.42359278939</v>
      </c>
      <c r="CS17" s="1123" t="s">
        <v>1637</v>
      </c>
      <c r="CT17" s="1123">
        <v>506167.72730000003</v>
      </c>
      <c r="CU17" s="1123" t="s">
        <v>1637</v>
      </c>
      <c r="CV17" s="1123">
        <v>338011.17891383066</v>
      </c>
      <c r="CW17" s="1123">
        <v>3675.2000000000003</v>
      </c>
      <c r="CX17" s="1123">
        <v>374.96522800000008</v>
      </c>
      <c r="CY17" s="1123">
        <v>89419.992247772228</v>
      </c>
      <c r="CZ17" s="1114">
        <v>2946794.0241933134</v>
      </c>
      <c r="DA17" s="1114">
        <v>2610358.2288710759</v>
      </c>
      <c r="DB17" s="1114">
        <v>527531.09688887198</v>
      </c>
      <c r="DC17" s="1114">
        <v>37818.168982663905</v>
      </c>
      <c r="DD17" s="1114">
        <v>29447.14245138811</v>
      </c>
      <c r="DE17" s="1114">
        <v>49379.37165943643</v>
      </c>
      <c r="DF17" s="1114" t="s">
        <v>1637</v>
      </c>
      <c r="DG17" s="1114">
        <v>17964.392896713704</v>
      </c>
      <c r="DH17" s="1114">
        <v>2149176.8545722468</v>
      </c>
      <c r="DI17" s="1114">
        <v>303619.34007460473</v>
      </c>
      <c r="DJ17" s="1114" t="s">
        <v>1637</v>
      </c>
      <c r="DK17" s="1114">
        <v>506167.72730000003</v>
      </c>
      <c r="DL17" s="1114" t="s">
        <v>1637</v>
      </c>
      <c r="DM17" s="1114">
        <v>338011.17891383066</v>
      </c>
      <c r="DN17" s="1114">
        <v>3675.2000000000003</v>
      </c>
      <c r="DO17" s="1114">
        <v>374.96522800000008</v>
      </c>
      <c r="DP17" s="1114">
        <v>89419.992247772228</v>
      </c>
      <c r="DQ17" s="1114">
        <v>1175.1687465468124</v>
      </c>
      <c r="DR17" s="1114">
        <v>678567.17631955422</v>
      </c>
      <c r="DS17" s="1114">
        <v>2268.4796248140938</v>
      </c>
      <c r="DT17" s="1114">
        <v>-43398.890789941084</v>
      </c>
      <c r="DU17" s="1114">
        <v>8698.028993038899</v>
      </c>
      <c r="DV17" s="1115" t="s">
        <v>1637</v>
      </c>
      <c r="DW17" s="1116">
        <v>1690972.4176907854</v>
      </c>
      <c r="DX17" s="1116">
        <v>712706.49062100879</v>
      </c>
      <c r="DY17" s="1116">
        <v>323384.91365221376</v>
      </c>
      <c r="DZ17" s="1116">
        <v>37818.168982663905</v>
      </c>
      <c r="EA17" s="1116">
        <v>190899.55310656875</v>
      </c>
      <c r="EB17" s="1116">
        <v>27971.650063522313</v>
      </c>
      <c r="EC17" s="1116">
        <v>49379.37165943643</v>
      </c>
      <c r="ED17" s="1116" t="s">
        <v>1637</v>
      </c>
      <c r="EE17" s="1116">
        <v>17964.392896713704</v>
      </c>
      <c r="EF17" s="1116">
        <v>2149069.2879714854</v>
      </c>
      <c r="EG17" s="1116">
        <v>4676.4334073592154</v>
      </c>
      <c r="EH17" s="1116" t="s">
        <v>1637</v>
      </c>
      <c r="EI17" s="1116">
        <v>506167.72730000003</v>
      </c>
      <c r="EJ17" s="1116" t="s">
        <v>1637</v>
      </c>
      <c r="EK17" s="1116">
        <v>343786.79710519797</v>
      </c>
      <c r="EL17" s="1116">
        <v>3675.2000000000003</v>
      </c>
      <c r="EM17" s="1116">
        <v>374.96522800000008</v>
      </c>
      <c r="EN17" s="1116">
        <v>89419.992247772228</v>
      </c>
      <c r="EO17" s="1116">
        <v>1175.1687465468124</v>
      </c>
      <c r="EP17" s="1116">
        <v>678567.17631955422</v>
      </c>
      <c r="EQ17" s="1116">
        <v>2268.4796248140938</v>
      </c>
      <c r="ER17" s="1116">
        <v>-43398.890789941084</v>
      </c>
      <c r="ES17" s="1116">
        <v>8698.028993038899</v>
      </c>
    </row>
    <row r="18" spans="1:149" s="1121" customFormat="1" ht="15" customHeight="1">
      <c r="A18" s="1185">
        <v>8</v>
      </c>
      <c r="B18" s="1055" t="s">
        <v>1745</v>
      </c>
      <c r="C18" s="1055" t="s">
        <v>1356</v>
      </c>
      <c r="D18" s="1055" t="s">
        <v>1134</v>
      </c>
      <c r="E18" s="1055" t="s">
        <v>687</v>
      </c>
      <c r="F18" s="1049">
        <v>2013</v>
      </c>
      <c r="G18" s="1049">
        <v>2013</v>
      </c>
      <c r="H18" s="1049" t="str">
        <f t="shared" si="1"/>
        <v>Oslo_2013</v>
      </c>
      <c r="I18" s="1049" t="s">
        <v>172</v>
      </c>
      <c r="J18" s="1049">
        <v>623966</v>
      </c>
      <c r="K18" s="1049">
        <v>454</v>
      </c>
      <c r="L18" s="1043">
        <v>54510377469</v>
      </c>
      <c r="M18" s="1051">
        <v>238000.00048000002</v>
      </c>
      <c r="N18" s="1051">
        <v>84242.568383999998</v>
      </c>
      <c r="O18" s="1052" t="s">
        <v>177</v>
      </c>
      <c r="P18" s="1051" t="s">
        <v>176</v>
      </c>
      <c r="Q18" s="1051">
        <v>161757.43165399999</v>
      </c>
      <c r="R18" s="1052" t="s">
        <v>177</v>
      </c>
      <c r="S18" s="1051">
        <v>23999.998960000001</v>
      </c>
      <c r="T18" s="1051">
        <v>0</v>
      </c>
      <c r="U18" s="1052" t="s">
        <v>177</v>
      </c>
      <c r="V18" s="1051" t="s">
        <v>175</v>
      </c>
      <c r="W18" s="1051">
        <v>0</v>
      </c>
      <c r="X18" s="1052" t="s">
        <v>177</v>
      </c>
      <c r="Y18" s="1053">
        <v>245008.4995495991</v>
      </c>
      <c r="Z18" s="1051" t="s">
        <v>176</v>
      </c>
      <c r="AA18" s="1051">
        <v>0</v>
      </c>
      <c r="AB18" s="1052" t="s">
        <v>177</v>
      </c>
      <c r="AC18" s="1051" t="s">
        <v>175</v>
      </c>
      <c r="AD18" s="1051" t="s">
        <v>175</v>
      </c>
      <c r="AE18" s="1052" t="s">
        <v>177</v>
      </c>
      <c r="AF18" s="1051" t="s">
        <v>175</v>
      </c>
      <c r="AG18" s="1051" t="s">
        <v>175</v>
      </c>
      <c r="AH18" s="1051">
        <v>498000</v>
      </c>
      <c r="AI18" s="1051" t="s">
        <v>176</v>
      </c>
      <c r="AJ18" s="1052" t="s">
        <v>177</v>
      </c>
      <c r="AK18" s="1051" t="s">
        <v>175</v>
      </c>
      <c r="AL18" s="1051">
        <v>0</v>
      </c>
      <c r="AM18" s="1052" t="s">
        <v>177</v>
      </c>
      <c r="AN18" s="1051">
        <v>34992.997379</v>
      </c>
      <c r="AO18" s="1051">
        <v>0</v>
      </c>
      <c r="AP18" s="1052" t="s">
        <v>177</v>
      </c>
      <c r="AQ18" s="1051" t="s">
        <v>175</v>
      </c>
      <c r="AR18" s="1051" t="s">
        <v>175</v>
      </c>
      <c r="AS18" s="1052" t="s">
        <v>177</v>
      </c>
      <c r="AT18" s="1051">
        <v>244999.99982600001</v>
      </c>
      <c r="AU18" s="1051" t="s">
        <v>175</v>
      </c>
      <c r="AV18" s="1052" t="s">
        <v>177</v>
      </c>
      <c r="AW18" s="1051">
        <v>16000</v>
      </c>
      <c r="AX18" s="1051" t="s">
        <v>175</v>
      </c>
      <c r="AY18" s="1053" t="s">
        <v>175</v>
      </c>
      <c r="AZ18" s="1051">
        <v>9429.3119999999999</v>
      </c>
      <c r="BA18" s="1051" t="s">
        <v>176</v>
      </c>
      <c r="BB18" s="1053" t="s">
        <v>175</v>
      </c>
      <c r="BC18" s="1051" t="s">
        <v>176</v>
      </c>
      <c r="BD18" s="1051" t="s">
        <v>175</v>
      </c>
      <c r="BE18" s="1053" t="s">
        <v>176</v>
      </c>
      <c r="BF18" s="1051">
        <v>29000</v>
      </c>
      <c r="BG18" s="1051" t="s">
        <v>176</v>
      </c>
      <c r="BH18" s="1053" t="s">
        <v>175</v>
      </c>
      <c r="BI18" s="1052" t="s">
        <v>177</v>
      </c>
      <c r="BJ18" s="1052" t="s">
        <v>177</v>
      </c>
      <c r="BK18" s="1052" t="s">
        <v>177</v>
      </c>
      <c r="BL18" s="1052" t="s">
        <v>177</v>
      </c>
      <c r="BM18" s="1052" t="s">
        <v>177</v>
      </c>
      <c r="BN18" s="1054">
        <v>65000</v>
      </c>
      <c r="BO18" s="1076" t="str">
        <f t="shared" si="0"/>
        <v>Oslo_2013</v>
      </c>
      <c r="BP18" s="1051">
        <v>1340422.3086829998</v>
      </c>
      <c r="BQ18" s="1052">
        <v>1340422.3086829998</v>
      </c>
      <c r="BR18" s="1054">
        <v>1405422.3086829998</v>
      </c>
      <c r="BS18" s="1053">
        <v>1339430.8081945989</v>
      </c>
      <c r="BT18" s="1051">
        <v>507999.99947799998</v>
      </c>
      <c r="BU18" s="1051">
        <v>777992.99720499991</v>
      </c>
      <c r="BV18" s="1051">
        <v>54429.311999999998</v>
      </c>
      <c r="BW18" s="1052">
        <v>507999.99947799998</v>
      </c>
      <c r="BX18" s="1052">
        <v>777992.99720499991</v>
      </c>
      <c r="BY18" s="1052">
        <v>54429.311999999998</v>
      </c>
      <c r="BZ18" s="1052" t="s">
        <v>1637</v>
      </c>
      <c r="CA18" s="1052" t="s">
        <v>1637</v>
      </c>
      <c r="CB18" s="1053">
        <v>261999.99944000001</v>
      </c>
      <c r="CC18" s="1053">
        <v>245008.4995495991</v>
      </c>
      <c r="CD18" s="1053">
        <v>777992.99720499991</v>
      </c>
      <c r="CE18" s="1053">
        <v>54429.311999999998</v>
      </c>
      <c r="CF18" s="1053" t="s">
        <v>1637</v>
      </c>
      <c r="CG18" s="1053" t="s">
        <v>1637</v>
      </c>
      <c r="CH18" s="1053" t="s">
        <v>1637</v>
      </c>
      <c r="CI18" s="1051">
        <v>322242.56886400003</v>
      </c>
      <c r="CJ18" s="1051">
        <v>161757.43165399999</v>
      </c>
      <c r="CK18" s="1051">
        <v>23999.998960000001</v>
      </c>
      <c r="CL18" s="1051" t="s">
        <v>1637</v>
      </c>
      <c r="CM18" s="1051" t="s">
        <v>1637</v>
      </c>
      <c r="CN18" s="1051" t="s">
        <v>1637</v>
      </c>
      <c r="CO18" s="1051" t="s">
        <v>1637</v>
      </c>
      <c r="CP18" s="1051" t="s">
        <v>1637</v>
      </c>
      <c r="CQ18" s="1051">
        <v>498000</v>
      </c>
      <c r="CR18" s="1051" t="s">
        <v>1637</v>
      </c>
      <c r="CS18" s="1051">
        <v>34992.997379</v>
      </c>
      <c r="CT18" s="1051" t="s">
        <v>1637</v>
      </c>
      <c r="CU18" s="1051">
        <v>244999.99982600001</v>
      </c>
      <c r="CV18" s="1051">
        <v>16000</v>
      </c>
      <c r="CW18" s="1051">
        <v>9429.3119999999999</v>
      </c>
      <c r="CX18" s="1051" t="s">
        <v>1637</v>
      </c>
      <c r="CY18" s="1051">
        <v>29000</v>
      </c>
      <c r="CZ18" s="1118">
        <v>322242.56886400003</v>
      </c>
      <c r="DA18" s="1118">
        <v>161757.43165399999</v>
      </c>
      <c r="DB18" s="1118">
        <v>23999.998960000001</v>
      </c>
      <c r="DC18" s="1118" t="s">
        <v>1637</v>
      </c>
      <c r="DD18" s="1118" t="s">
        <v>1637</v>
      </c>
      <c r="DE18" s="1118" t="s">
        <v>1637</v>
      </c>
      <c r="DF18" s="1118" t="s">
        <v>1637</v>
      </c>
      <c r="DG18" s="1118" t="s">
        <v>1637</v>
      </c>
      <c r="DH18" s="1118">
        <v>498000</v>
      </c>
      <c r="DI18" s="1118" t="s">
        <v>1637</v>
      </c>
      <c r="DJ18" s="1118">
        <v>34992.997379</v>
      </c>
      <c r="DK18" s="1118" t="s">
        <v>1637</v>
      </c>
      <c r="DL18" s="1118">
        <v>244999.99982600001</v>
      </c>
      <c r="DM18" s="1118">
        <v>16000</v>
      </c>
      <c r="DN18" s="1118">
        <v>9429.3119999999999</v>
      </c>
      <c r="DO18" s="1118" t="s">
        <v>1637</v>
      </c>
      <c r="DP18" s="1118">
        <v>29000</v>
      </c>
      <c r="DQ18" s="1118" t="s">
        <v>1637</v>
      </c>
      <c r="DR18" s="1118" t="s">
        <v>1637</v>
      </c>
      <c r="DS18" s="1118" t="s">
        <v>1637</v>
      </c>
      <c r="DT18" s="1118" t="s">
        <v>1637</v>
      </c>
      <c r="DU18" s="1118" t="s">
        <v>1637</v>
      </c>
      <c r="DV18" s="1119">
        <v>65000</v>
      </c>
      <c r="DW18" s="1120">
        <v>238000.00048000002</v>
      </c>
      <c r="DX18" s="1120" t="s">
        <v>1637</v>
      </c>
      <c r="DY18" s="1120">
        <v>23999.998960000001</v>
      </c>
      <c r="DZ18" s="1120" t="s">
        <v>1637</v>
      </c>
      <c r="EA18" s="1120">
        <v>245008.4995495991</v>
      </c>
      <c r="EB18" s="1120" t="s">
        <v>1637</v>
      </c>
      <c r="EC18" s="1120" t="s">
        <v>1637</v>
      </c>
      <c r="ED18" s="1120" t="s">
        <v>1637</v>
      </c>
      <c r="EE18" s="1120" t="s">
        <v>1637</v>
      </c>
      <c r="EF18" s="1120">
        <v>498000</v>
      </c>
      <c r="EG18" s="1120" t="s">
        <v>1637</v>
      </c>
      <c r="EH18" s="1120">
        <v>34992.997379</v>
      </c>
      <c r="EI18" s="1120" t="s">
        <v>1637</v>
      </c>
      <c r="EJ18" s="1120">
        <v>244999.99982600001</v>
      </c>
      <c r="EK18" s="1120">
        <v>16000</v>
      </c>
      <c r="EL18" s="1120">
        <v>9429.3119999999999</v>
      </c>
      <c r="EM18" s="1120" t="s">
        <v>1637</v>
      </c>
      <c r="EN18" s="1120">
        <v>29000</v>
      </c>
      <c r="EO18" s="1120" t="s">
        <v>1637</v>
      </c>
      <c r="EP18" s="1120" t="s">
        <v>1637</v>
      </c>
      <c r="EQ18" s="1120" t="s">
        <v>1637</v>
      </c>
      <c r="ER18" s="1120" t="s">
        <v>1637</v>
      </c>
      <c r="ES18" s="1120" t="s">
        <v>1637</v>
      </c>
    </row>
    <row r="19" spans="1:149" s="34" customFormat="1" ht="15" customHeight="1">
      <c r="A19" s="1185">
        <v>9</v>
      </c>
      <c r="B19" s="1041" t="s">
        <v>1735</v>
      </c>
      <c r="C19" s="1048" t="s">
        <v>1139</v>
      </c>
      <c r="D19" s="1048" t="s">
        <v>1134</v>
      </c>
      <c r="E19" s="1048" t="s">
        <v>687</v>
      </c>
      <c r="F19" s="1049">
        <v>2009</v>
      </c>
      <c r="G19" s="1049">
        <v>2009</v>
      </c>
      <c r="H19" s="1049" t="str">
        <f t="shared" si="1"/>
        <v>Paris_2009</v>
      </c>
      <c r="I19" s="1049" t="s">
        <v>172</v>
      </c>
      <c r="J19" s="1050">
        <v>2270000</v>
      </c>
      <c r="K19" s="1050">
        <v>105</v>
      </c>
      <c r="L19" s="1043">
        <v>715000000000</v>
      </c>
      <c r="M19" s="1051">
        <v>1512901.7666666664</v>
      </c>
      <c r="N19" s="1051">
        <v>780120.00000000047</v>
      </c>
      <c r="O19" s="1052">
        <v>327450.13549472787</v>
      </c>
      <c r="P19" s="1051">
        <v>1340493.3999999994</v>
      </c>
      <c r="Q19" s="1051">
        <v>1050890.0000000007</v>
      </c>
      <c r="R19" s="1052">
        <v>294228.6652072802</v>
      </c>
      <c r="S19" s="1051" t="s">
        <v>175</v>
      </c>
      <c r="T19" s="1051" t="s">
        <v>175</v>
      </c>
      <c r="U19" s="1052" t="s">
        <v>175</v>
      </c>
      <c r="V19" s="1051" t="s">
        <v>175</v>
      </c>
      <c r="W19" s="1051" t="s">
        <v>175</v>
      </c>
      <c r="X19" s="1052" t="s">
        <v>175</v>
      </c>
      <c r="Y19" s="1053">
        <v>163579.88297318117</v>
      </c>
      <c r="Z19" s="1051" t="s">
        <v>175</v>
      </c>
      <c r="AA19" s="1051" t="s">
        <v>175</v>
      </c>
      <c r="AB19" s="1052" t="s">
        <v>175</v>
      </c>
      <c r="AC19" s="1051" t="s">
        <v>175</v>
      </c>
      <c r="AD19" s="1051" t="s">
        <v>175</v>
      </c>
      <c r="AE19" s="1052" t="s">
        <v>175</v>
      </c>
      <c r="AF19" s="1051" t="s">
        <v>175</v>
      </c>
      <c r="AG19" s="1051" t="s">
        <v>176</v>
      </c>
      <c r="AH19" s="1051">
        <v>805135.99930866656</v>
      </c>
      <c r="AI19" s="1051" t="s">
        <v>175</v>
      </c>
      <c r="AJ19" s="1052">
        <v>1950927.8273099998</v>
      </c>
      <c r="AK19" s="1051">
        <v>77760.099999999991</v>
      </c>
      <c r="AL19" s="1051">
        <v>150421.03333333315</v>
      </c>
      <c r="AM19" s="1052">
        <v>104.5</v>
      </c>
      <c r="AN19" s="1051" t="s">
        <v>175</v>
      </c>
      <c r="AO19" s="1051" t="s">
        <v>175</v>
      </c>
      <c r="AP19" s="1052">
        <v>10152.317712544978</v>
      </c>
      <c r="AQ19" s="1051">
        <v>4949.1200000000008</v>
      </c>
      <c r="AR19" s="1051" t="s">
        <v>175</v>
      </c>
      <c r="AS19" s="1052">
        <v>432.58493023255818</v>
      </c>
      <c r="AT19" s="1051" t="s">
        <v>176</v>
      </c>
      <c r="AU19" s="1051" t="s">
        <v>175</v>
      </c>
      <c r="AV19" s="1052" t="s">
        <v>175</v>
      </c>
      <c r="AW19" s="1051" t="s">
        <v>175</v>
      </c>
      <c r="AX19" s="1051">
        <v>58783.274000000005</v>
      </c>
      <c r="AY19" s="1053" t="s">
        <v>175</v>
      </c>
      <c r="AZ19" s="1051" t="s">
        <v>175</v>
      </c>
      <c r="BA19" s="1051">
        <v>4425.5305919999992</v>
      </c>
      <c r="BB19" s="1053" t="s">
        <v>175</v>
      </c>
      <c r="BC19" s="1051" t="s">
        <v>175</v>
      </c>
      <c r="BD19" s="1051">
        <v>403599.50033333345</v>
      </c>
      <c r="BE19" s="1053" t="s">
        <v>175</v>
      </c>
      <c r="BF19" s="1051" t="s">
        <v>175</v>
      </c>
      <c r="BG19" s="1051">
        <v>709.0625</v>
      </c>
      <c r="BH19" s="1053" t="s">
        <v>175</v>
      </c>
      <c r="BI19" s="1052">
        <v>2233000</v>
      </c>
      <c r="BJ19" s="1052" t="s">
        <v>177</v>
      </c>
      <c r="BK19" s="1052" t="s">
        <v>175</v>
      </c>
      <c r="BL19" s="1052">
        <v>-11000</v>
      </c>
      <c r="BM19" s="1052" t="s">
        <v>175</v>
      </c>
      <c r="BN19" s="1054">
        <v>7058894.2178288614</v>
      </c>
      <c r="BO19" s="1076" t="str">
        <f t="shared" si="0"/>
        <v>Paris_2009</v>
      </c>
      <c r="BP19" s="1051">
        <v>6190188.7867339998</v>
      </c>
      <c r="BQ19" s="1052">
        <v>10995484.817388786</v>
      </c>
      <c r="BR19" s="1054">
        <v>18054379.035217647</v>
      </c>
      <c r="BS19" s="1053">
        <v>6126820.268948514</v>
      </c>
      <c r="BT19" s="1051">
        <v>4684405.166666667</v>
      </c>
      <c r="BU19" s="1051">
        <v>1038266.2526419996</v>
      </c>
      <c r="BV19" s="1051">
        <v>467517.36742533348</v>
      </c>
      <c r="BW19" s="1052">
        <v>5306083.9673686754</v>
      </c>
      <c r="BX19" s="1052">
        <v>2999883.4825947769</v>
      </c>
      <c r="BY19" s="1052">
        <v>467517.36742533348</v>
      </c>
      <c r="BZ19" s="1052">
        <v>2233000</v>
      </c>
      <c r="CA19" s="1052">
        <v>-11000</v>
      </c>
      <c r="CB19" s="1053">
        <v>2853395.166666666</v>
      </c>
      <c r="CC19" s="1053">
        <v>163579.88297318117</v>
      </c>
      <c r="CD19" s="1053">
        <v>887845.21930866654</v>
      </c>
      <c r="CE19" s="1053" t="s">
        <v>1637</v>
      </c>
      <c r="CF19" s="1053" t="s">
        <v>1637</v>
      </c>
      <c r="CG19" s="1053">
        <v>2233000</v>
      </c>
      <c r="CH19" s="1053">
        <v>-11000</v>
      </c>
      <c r="CI19" s="1123">
        <v>2293021.7666666666</v>
      </c>
      <c r="CJ19" s="1123">
        <v>2391383.4000000004</v>
      </c>
      <c r="CK19" s="1123" t="s">
        <v>1637</v>
      </c>
      <c r="CL19" s="1123" t="s">
        <v>1637</v>
      </c>
      <c r="CM19" s="1123" t="s">
        <v>1637</v>
      </c>
      <c r="CN19" s="1123" t="s">
        <v>1637</v>
      </c>
      <c r="CO19" s="1123" t="s">
        <v>1637</v>
      </c>
      <c r="CP19" s="1123" t="s">
        <v>1637</v>
      </c>
      <c r="CQ19" s="1123">
        <v>805135.99930866656</v>
      </c>
      <c r="CR19" s="1123">
        <v>228181.13333333313</v>
      </c>
      <c r="CS19" s="1123" t="s">
        <v>1637</v>
      </c>
      <c r="CT19" s="1123">
        <v>4949.1200000000008</v>
      </c>
      <c r="CU19" s="1123" t="s">
        <v>1637</v>
      </c>
      <c r="CV19" s="1123">
        <v>58783.274000000005</v>
      </c>
      <c r="CW19" s="1123">
        <v>4425.5305919999992</v>
      </c>
      <c r="CX19" s="1123">
        <v>403599.50033333345</v>
      </c>
      <c r="CY19" s="1123">
        <v>709.0625</v>
      </c>
      <c r="CZ19" s="1114">
        <v>2620471.9021613942</v>
      </c>
      <c r="DA19" s="1114">
        <v>2685612.0652072807</v>
      </c>
      <c r="DB19" s="1114" t="s">
        <v>1637</v>
      </c>
      <c r="DC19" s="1114" t="s">
        <v>1637</v>
      </c>
      <c r="DD19" s="1114" t="s">
        <v>1637</v>
      </c>
      <c r="DE19" s="1114" t="s">
        <v>1637</v>
      </c>
      <c r="DF19" s="1114" t="s">
        <v>1637</v>
      </c>
      <c r="DG19" s="1114" t="s">
        <v>1637</v>
      </c>
      <c r="DH19" s="1114">
        <v>2756063.8266186663</v>
      </c>
      <c r="DI19" s="1114">
        <v>228285.63333333313</v>
      </c>
      <c r="DJ19" s="1114">
        <v>10152.317712544978</v>
      </c>
      <c r="DK19" s="1114">
        <v>5381.7049302325586</v>
      </c>
      <c r="DL19" s="1114" t="s">
        <v>1637</v>
      </c>
      <c r="DM19" s="1114">
        <v>58783.274000000005</v>
      </c>
      <c r="DN19" s="1114">
        <v>4425.5305919999992</v>
      </c>
      <c r="DO19" s="1114">
        <v>403599.50033333345</v>
      </c>
      <c r="DP19" s="1114">
        <v>709.0625</v>
      </c>
      <c r="DQ19" s="1114">
        <v>2233000</v>
      </c>
      <c r="DR19" s="1114" t="s">
        <v>1637</v>
      </c>
      <c r="DS19" s="1114" t="s">
        <v>1637</v>
      </c>
      <c r="DT19" s="1114">
        <v>-11000</v>
      </c>
      <c r="DU19" s="1114" t="s">
        <v>1637</v>
      </c>
      <c r="DV19" s="1115">
        <v>7058894.2178288614</v>
      </c>
      <c r="DW19" s="1116">
        <v>1512901.7666666664</v>
      </c>
      <c r="DX19" s="1116">
        <v>1340493.3999999994</v>
      </c>
      <c r="DY19" s="1116" t="s">
        <v>1637</v>
      </c>
      <c r="DZ19" s="1116" t="s">
        <v>1637</v>
      </c>
      <c r="EA19" s="1116">
        <v>163579.88297318117</v>
      </c>
      <c r="EB19" s="1116" t="s">
        <v>1637</v>
      </c>
      <c r="EC19" s="1116" t="s">
        <v>1637</v>
      </c>
      <c r="ED19" s="1116" t="s">
        <v>1637</v>
      </c>
      <c r="EE19" s="1116" t="s">
        <v>1637</v>
      </c>
      <c r="EF19" s="1116">
        <v>805135.99930866656</v>
      </c>
      <c r="EG19" s="1116">
        <v>77760.099999999991</v>
      </c>
      <c r="EH19" s="1116" t="s">
        <v>1637</v>
      </c>
      <c r="EI19" s="1116">
        <v>4949.1200000000008</v>
      </c>
      <c r="EJ19" s="1116" t="s">
        <v>1637</v>
      </c>
      <c r="EK19" s="1116" t="s">
        <v>1637</v>
      </c>
      <c r="EL19" s="1116" t="s">
        <v>1637</v>
      </c>
      <c r="EM19" s="1116" t="s">
        <v>1637</v>
      </c>
      <c r="EN19" s="1116" t="s">
        <v>1637</v>
      </c>
      <c r="EO19" s="1116">
        <v>2233000</v>
      </c>
      <c r="EP19" s="1116" t="s">
        <v>1637</v>
      </c>
      <c r="EQ19" s="1116" t="s">
        <v>1637</v>
      </c>
      <c r="ER19" s="1116">
        <v>-11000</v>
      </c>
      <c r="ES19" s="1116" t="s">
        <v>1637</v>
      </c>
    </row>
    <row r="20" spans="1:149" s="1121" customFormat="1" ht="15" customHeight="1">
      <c r="A20" s="1185">
        <v>10</v>
      </c>
      <c r="B20" s="1055" t="s">
        <v>1746</v>
      </c>
      <c r="C20" s="1055" t="s">
        <v>1174</v>
      </c>
      <c r="D20" s="1055" t="s">
        <v>1134</v>
      </c>
      <c r="E20" s="1055" t="s">
        <v>687</v>
      </c>
      <c r="F20" s="1049">
        <v>2012</v>
      </c>
      <c r="G20" s="1049">
        <v>2012</v>
      </c>
      <c r="H20" s="1049" t="str">
        <f t="shared" si="1"/>
        <v>Stockholm_2012</v>
      </c>
      <c r="I20" s="1049" t="s">
        <v>172</v>
      </c>
      <c r="J20" s="1049">
        <v>881235</v>
      </c>
      <c r="K20" s="1049">
        <v>216</v>
      </c>
      <c r="L20" s="1043">
        <v>416797000000</v>
      </c>
      <c r="M20" s="1051">
        <v>81221.145000000004</v>
      </c>
      <c r="N20" s="1051">
        <v>613044.81095000007</v>
      </c>
      <c r="O20" s="1052">
        <v>31087.049449999995</v>
      </c>
      <c r="P20" s="1051">
        <v>61503.056500000006</v>
      </c>
      <c r="Q20" s="1051">
        <v>414504.66404999996</v>
      </c>
      <c r="R20" s="1052">
        <v>21816.034950000001</v>
      </c>
      <c r="S20" s="1051">
        <v>13902.848499999998</v>
      </c>
      <c r="T20" s="1051">
        <v>36599.89</v>
      </c>
      <c r="U20" s="1052">
        <v>1926.31</v>
      </c>
      <c r="V20" s="1051" t="s">
        <v>176</v>
      </c>
      <c r="W20" s="1051" t="s">
        <v>176</v>
      </c>
      <c r="X20" s="1052" t="s">
        <v>176</v>
      </c>
      <c r="Y20" s="1053">
        <v>1006657.2699999998</v>
      </c>
      <c r="Z20" s="1051" t="s">
        <v>175</v>
      </c>
      <c r="AA20" s="1051" t="s">
        <v>175</v>
      </c>
      <c r="AB20" s="1052" t="s">
        <v>175</v>
      </c>
      <c r="AC20" s="1051" t="s">
        <v>175</v>
      </c>
      <c r="AD20" s="1051" t="s">
        <v>175</v>
      </c>
      <c r="AE20" s="1052" t="s">
        <v>175</v>
      </c>
      <c r="AF20" s="1051" t="s">
        <v>175</v>
      </c>
      <c r="AG20" s="1051">
        <v>33</v>
      </c>
      <c r="AH20" s="1051">
        <v>648378</v>
      </c>
      <c r="AI20" s="1051" t="s">
        <v>176</v>
      </c>
      <c r="AJ20" s="1052" t="s">
        <v>177</v>
      </c>
      <c r="AK20" s="1051" t="s">
        <v>175</v>
      </c>
      <c r="AL20" s="1051">
        <v>33190.625</v>
      </c>
      <c r="AM20" s="1052">
        <v>1746.875</v>
      </c>
      <c r="AN20" s="1051">
        <v>92000</v>
      </c>
      <c r="AO20" s="1051" t="s">
        <v>176</v>
      </c>
      <c r="AP20" s="1052" t="s">
        <v>177</v>
      </c>
      <c r="AQ20" s="1051">
        <v>19900</v>
      </c>
      <c r="AR20" s="1051" t="s">
        <v>175</v>
      </c>
      <c r="AS20" s="1052" t="s">
        <v>177</v>
      </c>
      <c r="AT20" s="1051">
        <v>121400</v>
      </c>
      <c r="AU20" s="1051" t="s">
        <v>176</v>
      </c>
      <c r="AV20" s="1052" t="s">
        <v>175</v>
      </c>
      <c r="AW20" s="1051" t="s">
        <v>175</v>
      </c>
      <c r="AX20" s="1051" t="s">
        <v>175</v>
      </c>
      <c r="AY20" s="1053" t="s">
        <v>175</v>
      </c>
      <c r="AZ20" s="1051" t="s">
        <v>176</v>
      </c>
      <c r="BA20" s="1051" t="s">
        <v>176</v>
      </c>
      <c r="BB20" s="1053" t="s">
        <v>175</v>
      </c>
      <c r="BC20" s="1051" t="s">
        <v>176</v>
      </c>
      <c r="BD20" s="1051" t="s">
        <v>175</v>
      </c>
      <c r="BE20" s="1053" t="s">
        <v>176</v>
      </c>
      <c r="BF20" s="1051">
        <v>7763.3378900000007</v>
      </c>
      <c r="BG20" s="1051" t="s">
        <v>176</v>
      </c>
      <c r="BH20" s="1053">
        <v>2318.9191100000003</v>
      </c>
      <c r="BI20" s="1052" t="s">
        <v>177</v>
      </c>
      <c r="BJ20" s="1052" t="s">
        <v>177</v>
      </c>
      <c r="BK20" s="1052" t="s">
        <v>177</v>
      </c>
      <c r="BL20" s="1052" t="s">
        <v>177</v>
      </c>
      <c r="BM20" s="1052" t="s">
        <v>177</v>
      </c>
      <c r="BN20" s="1054">
        <v>453622.99</v>
      </c>
      <c r="BO20" s="1076" t="str">
        <f t="shared" si="0"/>
        <v>Stockholm_2012</v>
      </c>
      <c r="BP20" s="1051">
        <v>2143441.3778900001</v>
      </c>
      <c r="BQ20" s="1052">
        <v>2200017.6472900002</v>
      </c>
      <c r="BR20" s="1054">
        <v>2653640.63729</v>
      </c>
      <c r="BS20" s="1053">
        <v>2055077.5769999998</v>
      </c>
      <c r="BT20" s="1051">
        <v>1220809.415</v>
      </c>
      <c r="BU20" s="1051">
        <v>914868.625</v>
      </c>
      <c r="BV20" s="1051">
        <v>7763.3378900000007</v>
      </c>
      <c r="BW20" s="1052">
        <v>1275638.8094000001</v>
      </c>
      <c r="BX20" s="1052">
        <v>916615.5</v>
      </c>
      <c r="BY20" s="1052">
        <v>7763.3378900000007</v>
      </c>
      <c r="BZ20" s="1052" t="s">
        <v>1637</v>
      </c>
      <c r="CA20" s="1052" t="s">
        <v>1637</v>
      </c>
      <c r="CB20" s="1053">
        <v>156660.05000000002</v>
      </c>
      <c r="CC20" s="1053">
        <v>1006657.2699999998</v>
      </c>
      <c r="CD20" s="1053">
        <v>881678</v>
      </c>
      <c r="CE20" s="1053">
        <v>7763.3378900000007</v>
      </c>
      <c r="CF20" s="1053">
        <v>2318.9191100000003</v>
      </c>
      <c r="CG20" s="1053" t="s">
        <v>1637</v>
      </c>
      <c r="CH20" s="1053" t="s">
        <v>1637</v>
      </c>
      <c r="CI20" s="1051">
        <v>694265.95595000009</v>
      </c>
      <c r="CJ20" s="1051">
        <v>476007.72054999997</v>
      </c>
      <c r="CK20" s="1051">
        <v>50502.738499999999</v>
      </c>
      <c r="CL20" s="1051" t="s">
        <v>1637</v>
      </c>
      <c r="CM20" s="1051" t="s">
        <v>1637</v>
      </c>
      <c r="CN20" s="1051" t="s">
        <v>1637</v>
      </c>
      <c r="CO20" s="1051" t="s">
        <v>1637</v>
      </c>
      <c r="CP20" s="1051">
        <v>33</v>
      </c>
      <c r="CQ20" s="1051">
        <v>648378</v>
      </c>
      <c r="CR20" s="1051">
        <v>33190.625</v>
      </c>
      <c r="CS20" s="1051">
        <v>92000</v>
      </c>
      <c r="CT20" s="1051">
        <v>19900</v>
      </c>
      <c r="CU20" s="1051">
        <v>121400</v>
      </c>
      <c r="CV20" s="1051" t="s">
        <v>1637</v>
      </c>
      <c r="CW20" s="1051" t="s">
        <v>1637</v>
      </c>
      <c r="CX20" s="1051" t="s">
        <v>1637</v>
      </c>
      <c r="CY20" s="1051">
        <v>7763.3378900000007</v>
      </c>
      <c r="CZ20" s="1118">
        <v>725353.00540000014</v>
      </c>
      <c r="DA20" s="1118">
        <v>497823.75549999997</v>
      </c>
      <c r="DB20" s="1118">
        <v>52429.048499999997</v>
      </c>
      <c r="DC20" s="1118" t="s">
        <v>1637</v>
      </c>
      <c r="DD20" s="1118" t="s">
        <v>1637</v>
      </c>
      <c r="DE20" s="1118" t="s">
        <v>1637</v>
      </c>
      <c r="DF20" s="1118" t="s">
        <v>1637</v>
      </c>
      <c r="DG20" s="1118">
        <v>33</v>
      </c>
      <c r="DH20" s="1118">
        <v>648378</v>
      </c>
      <c r="DI20" s="1118">
        <v>34937.5</v>
      </c>
      <c r="DJ20" s="1118">
        <v>92000</v>
      </c>
      <c r="DK20" s="1118">
        <v>19900</v>
      </c>
      <c r="DL20" s="1118">
        <v>121400</v>
      </c>
      <c r="DM20" s="1118" t="s">
        <v>1637</v>
      </c>
      <c r="DN20" s="1118" t="s">
        <v>1637</v>
      </c>
      <c r="DO20" s="1118" t="s">
        <v>1637</v>
      </c>
      <c r="DP20" s="1118">
        <v>7763.3378900000007</v>
      </c>
      <c r="DQ20" s="1118" t="s">
        <v>1637</v>
      </c>
      <c r="DR20" s="1118" t="s">
        <v>1637</v>
      </c>
      <c r="DS20" s="1118" t="s">
        <v>1637</v>
      </c>
      <c r="DT20" s="1118" t="s">
        <v>1637</v>
      </c>
      <c r="DU20" s="1118" t="s">
        <v>1637</v>
      </c>
      <c r="DV20" s="1119">
        <v>453622.99</v>
      </c>
      <c r="DW20" s="1120">
        <v>81221.145000000004</v>
      </c>
      <c r="DX20" s="1120">
        <v>61503.056500000006</v>
      </c>
      <c r="DY20" s="1120">
        <v>13902.848499999998</v>
      </c>
      <c r="DZ20" s="1120" t="s">
        <v>1637</v>
      </c>
      <c r="EA20" s="1120">
        <v>1006657.2699999998</v>
      </c>
      <c r="EB20" s="1120" t="s">
        <v>1637</v>
      </c>
      <c r="EC20" s="1120" t="s">
        <v>1637</v>
      </c>
      <c r="ED20" s="1120" t="s">
        <v>1637</v>
      </c>
      <c r="EE20" s="1120">
        <v>33</v>
      </c>
      <c r="EF20" s="1120">
        <v>648378</v>
      </c>
      <c r="EG20" s="1120" t="s">
        <v>1637</v>
      </c>
      <c r="EH20" s="1120">
        <v>92000</v>
      </c>
      <c r="EI20" s="1120">
        <v>19900</v>
      </c>
      <c r="EJ20" s="1120">
        <v>121400</v>
      </c>
      <c r="EK20" s="1120" t="s">
        <v>1637</v>
      </c>
      <c r="EL20" s="1120" t="s">
        <v>1637</v>
      </c>
      <c r="EM20" s="1120" t="s">
        <v>1637</v>
      </c>
      <c r="EN20" s="1120">
        <v>10082.257000000001</v>
      </c>
      <c r="EO20" s="1120" t="s">
        <v>1637</v>
      </c>
      <c r="EP20" s="1120" t="s">
        <v>1637</v>
      </c>
      <c r="EQ20" s="1120" t="s">
        <v>1637</v>
      </c>
      <c r="ER20" s="1120" t="s">
        <v>1637</v>
      </c>
      <c r="ES20" s="1120" t="s">
        <v>1637</v>
      </c>
    </row>
    <row r="21" spans="1:149" s="1121" customFormat="1" ht="15" customHeight="1">
      <c r="A21" s="1185">
        <v>11</v>
      </c>
      <c r="B21" s="1055" t="s">
        <v>2632</v>
      </c>
      <c r="C21" s="1055" t="s">
        <v>1748</v>
      </c>
      <c r="D21" s="1048" t="s">
        <v>1641</v>
      </c>
      <c r="E21" s="1055" t="s">
        <v>687</v>
      </c>
      <c r="F21" s="1049">
        <v>2012</v>
      </c>
      <c r="G21" s="1049">
        <v>2012</v>
      </c>
      <c r="H21" s="1049" t="str">
        <f t="shared" si="1"/>
        <v>Bogota_2012</v>
      </c>
      <c r="I21" s="1049" t="s">
        <v>172</v>
      </c>
      <c r="J21" s="1049">
        <v>7571345</v>
      </c>
      <c r="K21" s="1049">
        <v>1636.6</v>
      </c>
      <c r="L21" s="1043">
        <f>(1/1797)*122994*1000000000</f>
        <v>68444073455.759605</v>
      </c>
      <c r="M21" s="1051">
        <v>765140.46046302898</v>
      </c>
      <c r="N21" s="1051">
        <v>1394887.7965676526</v>
      </c>
      <c r="O21" s="1052" t="s">
        <v>177</v>
      </c>
      <c r="P21" s="1051">
        <v>1776265.5309885843</v>
      </c>
      <c r="Q21" s="1051">
        <v>782986.45746494574</v>
      </c>
      <c r="R21" s="1052" t="s">
        <v>177</v>
      </c>
      <c r="S21" s="1051">
        <v>1672673.8942635136</v>
      </c>
      <c r="T21" s="1051">
        <v>223495.33346062616</v>
      </c>
      <c r="U21" s="1052" t="s">
        <v>177</v>
      </c>
      <c r="V21" s="1051" t="s">
        <v>175</v>
      </c>
      <c r="W21" s="1051" t="s">
        <v>175</v>
      </c>
      <c r="X21" s="1052" t="s">
        <v>175</v>
      </c>
      <c r="Y21" s="1053" t="s">
        <v>175</v>
      </c>
      <c r="Z21" s="1051">
        <v>49732.085577456193</v>
      </c>
      <c r="AA21" s="1051" t="s">
        <v>176</v>
      </c>
      <c r="AB21" s="1052" t="s">
        <v>177</v>
      </c>
      <c r="AC21" s="1051">
        <v>1374.7727342043763</v>
      </c>
      <c r="AD21" s="1051">
        <v>80028.249042327559</v>
      </c>
      <c r="AE21" s="1052" t="s">
        <v>177</v>
      </c>
      <c r="AF21" s="1051" t="s">
        <v>175</v>
      </c>
      <c r="AG21" s="1051">
        <v>38226.44732715407</v>
      </c>
      <c r="AH21" s="1051">
        <v>4691955.43</v>
      </c>
      <c r="AI21" s="1051" t="s">
        <v>175</v>
      </c>
      <c r="AJ21" s="1052" t="s">
        <v>177</v>
      </c>
      <c r="AK21" s="1051">
        <v>213.26374879327605</v>
      </c>
      <c r="AL21" s="1051" t="s">
        <v>175</v>
      </c>
      <c r="AM21" s="1052" t="s">
        <v>177</v>
      </c>
      <c r="AN21" s="1051" t="s">
        <v>175</v>
      </c>
      <c r="AO21" s="1051" t="s">
        <v>175</v>
      </c>
      <c r="AP21" s="1052" t="s">
        <v>175</v>
      </c>
      <c r="AQ21" s="1051" t="s">
        <v>175</v>
      </c>
      <c r="AR21" s="1051" t="s">
        <v>175</v>
      </c>
      <c r="AS21" s="1052" t="s">
        <v>177</v>
      </c>
      <c r="AT21" s="1051" t="s">
        <v>176</v>
      </c>
      <c r="AU21" s="1051" t="s">
        <v>175</v>
      </c>
      <c r="AV21" s="1052" t="s">
        <v>175</v>
      </c>
      <c r="AW21" s="1051">
        <v>47973.854107185711</v>
      </c>
      <c r="AX21" s="1051" t="s">
        <v>175</v>
      </c>
      <c r="AY21" s="1053">
        <v>98.376299401197585</v>
      </c>
      <c r="AZ21" s="1051">
        <v>10.9619988</v>
      </c>
      <c r="BA21" s="1051" t="s">
        <v>175</v>
      </c>
      <c r="BB21" s="1053" t="s">
        <v>175</v>
      </c>
      <c r="BC21" s="1051">
        <v>9.59558</v>
      </c>
      <c r="BD21" s="1051">
        <v>127.85769999999999</v>
      </c>
      <c r="BE21" s="1053" t="s">
        <v>175</v>
      </c>
      <c r="BF21" s="1051">
        <v>884380.95173532935</v>
      </c>
      <c r="BG21" s="1051" t="s">
        <v>175</v>
      </c>
      <c r="BH21" s="1053" t="s">
        <v>175</v>
      </c>
      <c r="BI21" s="1052">
        <v>425.67</v>
      </c>
      <c r="BJ21" s="1052">
        <v>155136.10174985998</v>
      </c>
      <c r="BK21" s="1052">
        <v>65355.743233876252</v>
      </c>
      <c r="BL21" s="1052">
        <v>294849.74570664071</v>
      </c>
      <c r="BM21" s="1052">
        <v>5103569.7805090211</v>
      </c>
      <c r="BN21" s="1054" t="s">
        <v>177</v>
      </c>
      <c r="BO21" s="1076" t="str">
        <f t="shared" si="0"/>
        <v>Bogota_2012</v>
      </c>
      <c r="BP21" s="1051">
        <v>12409482.942759601</v>
      </c>
      <c r="BQ21" s="1052">
        <v>18028819.983958997</v>
      </c>
      <c r="BR21" s="1054">
        <v>18028819.983958997</v>
      </c>
      <c r="BS21" s="1053">
        <v>15547392.666022848</v>
      </c>
      <c r="BT21" s="1051">
        <v>6784811.0278894939</v>
      </c>
      <c r="BU21" s="1051">
        <v>4692168.6937487926</v>
      </c>
      <c r="BV21" s="1051">
        <v>932503.22112131515</v>
      </c>
      <c r="BW21" s="1052">
        <v>6784811.0278894939</v>
      </c>
      <c r="BX21" s="1052">
        <v>4692168.6937487926</v>
      </c>
      <c r="BY21" s="1052">
        <v>932503.22112131515</v>
      </c>
      <c r="BZ21" s="1052">
        <v>155561.77174986</v>
      </c>
      <c r="CA21" s="1052">
        <v>5463775.2694495376</v>
      </c>
      <c r="CB21" s="1053">
        <v>4303413.1913539413</v>
      </c>
      <c r="CC21" s="1053" t="s">
        <v>1637</v>
      </c>
      <c r="CD21" s="1053">
        <v>4692168.6937487926</v>
      </c>
      <c r="CE21" s="1053">
        <v>932375.36342131509</v>
      </c>
      <c r="CF21" s="1053">
        <v>98.376299401197585</v>
      </c>
      <c r="CG21" s="1053">
        <v>155561.77174986</v>
      </c>
      <c r="CH21" s="1053">
        <v>5463775.2694495376</v>
      </c>
      <c r="CI21" s="1051">
        <v>2160028.2570306817</v>
      </c>
      <c r="CJ21" s="1051">
        <v>2559251.9884535298</v>
      </c>
      <c r="CK21" s="1051">
        <v>1896169.2277241398</v>
      </c>
      <c r="CL21" s="1051" t="s">
        <v>1637</v>
      </c>
      <c r="CM21" s="1051">
        <v>49732.085577456193</v>
      </c>
      <c r="CN21" s="1051">
        <v>81403.021776531939</v>
      </c>
      <c r="CO21" s="1051" t="s">
        <v>1637</v>
      </c>
      <c r="CP21" s="1051">
        <v>38226.44732715407</v>
      </c>
      <c r="CQ21" s="1051">
        <v>4691955.43</v>
      </c>
      <c r="CR21" s="1051">
        <v>213.26374879327605</v>
      </c>
      <c r="CS21" s="1051" t="s">
        <v>1637</v>
      </c>
      <c r="CT21" s="1051" t="s">
        <v>1637</v>
      </c>
      <c r="CU21" s="1051" t="s">
        <v>1637</v>
      </c>
      <c r="CV21" s="1051">
        <v>47973.854107185711</v>
      </c>
      <c r="CW21" s="1051">
        <v>10.9619988</v>
      </c>
      <c r="CX21" s="1051">
        <v>137.45328000000001</v>
      </c>
      <c r="CY21" s="1051">
        <v>884380.95173532935</v>
      </c>
      <c r="CZ21" s="1118">
        <v>2160028.2570306817</v>
      </c>
      <c r="DA21" s="1118">
        <v>2559251.9884535298</v>
      </c>
      <c r="DB21" s="1118">
        <v>1896169.2277241398</v>
      </c>
      <c r="DC21" s="1118" t="s">
        <v>1637</v>
      </c>
      <c r="DD21" s="1118">
        <v>49732.085577456193</v>
      </c>
      <c r="DE21" s="1118">
        <v>81403.021776531939</v>
      </c>
      <c r="DF21" s="1118" t="s">
        <v>1637</v>
      </c>
      <c r="DG21" s="1118">
        <v>38226.44732715407</v>
      </c>
      <c r="DH21" s="1118">
        <v>4691955.43</v>
      </c>
      <c r="DI21" s="1118">
        <v>213.26374879327605</v>
      </c>
      <c r="DJ21" s="1118" t="s">
        <v>1637</v>
      </c>
      <c r="DK21" s="1118" t="s">
        <v>1637</v>
      </c>
      <c r="DL21" s="1118" t="s">
        <v>1637</v>
      </c>
      <c r="DM21" s="1118">
        <v>47973.854107185711</v>
      </c>
      <c r="DN21" s="1118">
        <v>10.9619988</v>
      </c>
      <c r="DO21" s="1118">
        <v>137.45328000000001</v>
      </c>
      <c r="DP21" s="1118">
        <v>884380.95173532935</v>
      </c>
      <c r="DQ21" s="1118">
        <v>425.67</v>
      </c>
      <c r="DR21" s="1118">
        <v>155136.10174985998</v>
      </c>
      <c r="DS21" s="1118">
        <v>65355.743233876252</v>
      </c>
      <c r="DT21" s="1118">
        <v>294849.74570664071</v>
      </c>
      <c r="DU21" s="1118">
        <v>5103569.7805090211</v>
      </c>
      <c r="DV21" s="1119" t="s">
        <v>1637</v>
      </c>
      <c r="DW21" s="1120">
        <v>765140.46046302898</v>
      </c>
      <c r="DX21" s="1120">
        <v>1776265.5309885843</v>
      </c>
      <c r="DY21" s="1120">
        <v>1672673.8942635136</v>
      </c>
      <c r="DZ21" s="1120" t="s">
        <v>1637</v>
      </c>
      <c r="EA21" s="1120" t="s">
        <v>1637</v>
      </c>
      <c r="EB21" s="1120">
        <v>49732.085577456193</v>
      </c>
      <c r="EC21" s="1120">
        <v>1374.7727342043763</v>
      </c>
      <c r="ED21" s="1120" t="s">
        <v>1637</v>
      </c>
      <c r="EE21" s="1120">
        <v>38226.44732715407</v>
      </c>
      <c r="EF21" s="1120">
        <v>4691955.43</v>
      </c>
      <c r="EG21" s="1120">
        <v>213.26374879327605</v>
      </c>
      <c r="EH21" s="1120" t="s">
        <v>1637</v>
      </c>
      <c r="EI21" s="1120" t="s">
        <v>1637</v>
      </c>
      <c r="EJ21" s="1120" t="s">
        <v>1637</v>
      </c>
      <c r="EK21" s="1120">
        <v>48072.23040658691</v>
      </c>
      <c r="EL21" s="1120">
        <v>10.9619988</v>
      </c>
      <c r="EM21" s="1120">
        <v>9.59558</v>
      </c>
      <c r="EN21" s="1120">
        <v>884380.95173532935</v>
      </c>
      <c r="EO21" s="1120">
        <v>425.67</v>
      </c>
      <c r="EP21" s="1120">
        <v>155136.10174985998</v>
      </c>
      <c r="EQ21" s="1120">
        <v>65355.743233876252</v>
      </c>
      <c r="ER21" s="1120">
        <v>294849.74570664071</v>
      </c>
      <c r="ES21" s="1120">
        <v>5103569.7805090211</v>
      </c>
    </row>
    <row r="22" spans="1:149" s="1121" customFormat="1" ht="15" customHeight="1">
      <c r="A22" s="1185">
        <v>12</v>
      </c>
      <c r="B22" s="1055" t="s">
        <v>2631</v>
      </c>
      <c r="C22" s="1055" t="s">
        <v>1235</v>
      </c>
      <c r="D22" s="1048" t="s">
        <v>1641</v>
      </c>
      <c r="E22" s="1055" t="s">
        <v>687</v>
      </c>
      <c r="F22" s="1049">
        <v>2013</v>
      </c>
      <c r="G22" s="1049">
        <v>2013</v>
      </c>
      <c r="H22" s="1049" t="str">
        <f t="shared" si="1"/>
        <v>Buenos Aires_2013</v>
      </c>
      <c r="I22" s="1049" t="s">
        <v>172</v>
      </c>
      <c r="J22" s="1049">
        <v>3079071</v>
      </c>
      <c r="K22" s="1049">
        <v>202.04</v>
      </c>
      <c r="L22" s="1043">
        <v>79384000000</v>
      </c>
      <c r="M22" s="1051">
        <v>2394807.3141091089</v>
      </c>
      <c r="N22" s="1051">
        <v>1454197.0477896938</v>
      </c>
      <c r="O22" s="1052">
        <v>214828.84228037242</v>
      </c>
      <c r="P22" s="1051">
        <v>846725.14632999885</v>
      </c>
      <c r="Q22" s="1051">
        <v>2075330.0732117784</v>
      </c>
      <c r="R22" s="1052">
        <v>254434.50119400752</v>
      </c>
      <c r="S22" s="1051">
        <v>370560.2434413209</v>
      </c>
      <c r="T22" s="1051">
        <v>369535.32667138078</v>
      </c>
      <c r="U22" s="1052">
        <v>49271.372881174597</v>
      </c>
      <c r="V22" s="1051" t="s">
        <v>176</v>
      </c>
      <c r="W22" s="1051" t="s">
        <v>176</v>
      </c>
      <c r="X22" s="1052" t="s">
        <v>176</v>
      </c>
      <c r="Y22" s="1053">
        <v>9574078.306376053</v>
      </c>
      <c r="Z22" s="1051" t="s">
        <v>175</v>
      </c>
      <c r="AA22" s="1051" t="s">
        <v>175</v>
      </c>
      <c r="AB22" s="1052" t="s">
        <v>175</v>
      </c>
      <c r="AC22" s="1051" t="s">
        <v>175</v>
      </c>
      <c r="AD22" s="1051" t="s">
        <v>175</v>
      </c>
      <c r="AE22" s="1052" t="s">
        <v>175</v>
      </c>
      <c r="AF22" s="1051" t="s">
        <v>175</v>
      </c>
      <c r="AG22" s="1051">
        <v>147197.6506580743</v>
      </c>
      <c r="AH22" s="1051">
        <v>3994892.8588032145</v>
      </c>
      <c r="AI22" s="1051" t="s">
        <v>175</v>
      </c>
      <c r="AJ22" s="1052" t="s">
        <v>177</v>
      </c>
      <c r="AK22" s="1051">
        <v>17541.769469090708</v>
      </c>
      <c r="AL22" s="1051">
        <v>78892.884675146299</v>
      </c>
      <c r="AM22" s="1052">
        <v>17033.43541626689</v>
      </c>
      <c r="AN22" s="1051" t="s">
        <v>175</v>
      </c>
      <c r="AO22" s="1051" t="s">
        <v>175</v>
      </c>
      <c r="AP22" s="1052" t="s">
        <v>177</v>
      </c>
      <c r="AQ22" s="1051" t="s">
        <v>175</v>
      </c>
      <c r="AR22" s="1051" t="s">
        <v>175</v>
      </c>
      <c r="AS22" s="1052" t="s">
        <v>177</v>
      </c>
      <c r="AT22" s="1051" t="s">
        <v>176</v>
      </c>
      <c r="AU22" s="1051" t="s">
        <v>175</v>
      </c>
      <c r="AV22" s="1052" t="s">
        <v>177</v>
      </c>
      <c r="AW22" s="1051" t="s">
        <v>175</v>
      </c>
      <c r="AX22" s="1051">
        <v>1637774</v>
      </c>
      <c r="AY22" s="1053" t="s">
        <v>175</v>
      </c>
      <c r="AZ22" s="1051" t="s">
        <v>175</v>
      </c>
      <c r="BA22" s="1051">
        <v>5261.6500000000005</v>
      </c>
      <c r="BB22" s="1053" t="s">
        <v>175</v>
      </c>
      <c r="BC22" s="1051" t="s">
        <v>175</v>
      </c>
      <c r="BD22" s="1051" t="s">
        <v>175</v>
      </c>
      <c r="BE22" s="1053" t="s">
        <v>175</v>
      </c>
      <c r="BF22" s="1051">
        <v>55390.376263450562</v>
      </c>
      <c r="BG22" s="1051">
        <v>83186</v>
      </c>
      <c r="BH22" s="1053" t="s">
        <v>175</v>
      </c>
      <c r="BI22" s="1052" t="s">
        <v>175</v>
      </c>
      <c r="BJ22" s="1052" t="s">
        <v>177</v>
      </c>
      <c r="BK22" s="1052" t="s">
        <v>175</v>
      </c>
      <c r="BL22" s="1052" t="s">
        <v>175</v>
      </c>
      <c r="BM22" s="1052" t="s">
        <v>175</v>
      </c>
      <c r="BN22" s="1054" t="s">
        <v>175</v>
      </c>
      <c r="BO22" s="1076" t="str">
        <f t="shared" si="0"/>
        <v>Buenos Aires_2013</v>
      </c>
      <c r="BP22" s="1051">
        <v>13531292.341422258</v>
      </c>
      <c r="BQ22" s="1052">
        <v>14066860.493194081</v>
      </c>
      <c r="BR22" s="1054">
        <v>14066860.493194079</v>
      </c>
      <c r="BS22" s="1053">
        <v>17401193.665450312</v>
      </c>
      <c r="BT22" s="1051">
        <v>7658352.8022113563</v>
      </c>
      <c r="BU22" s="1051">
        <v>4091327.5129474513</v>
      </c>
      <c r="BV22" s="1051">
        <v>1781612.0262634505</v>
      </c>
      <c r="BW22" s="1052">
        <v>8176887.5185669111</v>
      </c>
      <c r="BX22" s="1052">
        <v>4108360.9483637181</v>
      </c>
      <c r="BY22" s="1052">
        <v>1781612.0262634505</v>
      </c>
      <c r="BZ22" s="1052" t="s">
        <v>1637</v>
      </c>
      <c r="CA22" s="1052" t="s">
        <v>1637</v>
      </c>
      <c r="CB22" s="1053">
        <v>3759290.3545385031</v>
      </c>
      <c r="CC22" s="1053">
        <v>9574078.306376053</v>
      </c>
      <c r="CD22" s="1053">
        <v>4012434.6282723052</v>
      </c>
      <c r="CE22" s="1053">
        <v>55390.376263450562</v>
      </c>
      <c r="CF22" s="1053" t="s">
        <v>1637</v>
      </c>
      <c r="CG22" s="1053" t="s">
        <v>1637</v>
      </c>
      <c r="CH22" s="1053" t="s">
        <v>1637</v>
      </c>
      <c r="CI22" s="1051">
        <v>3849004.3618988027</v>
      </c>
      <c r="CJ22" s="1051">
        <v>2922055.2195417774</v>
      </c>
      <c r="CK22" s="1051">
        <v>740095.57011270174</v>
      </c>
      <c r="CL22" s="1051" t="s">
        <v>1637</v>
      </c>
      <c r="CM22" s="1051" t="s">
        <v>1637</v>
      </c>
      <c r="CN22" s="1051" t="s">
        <v>1637</v>
      </c>
      <c r="CO22" s="1051" t="s">
        <v>1637</v>
      </c>
      <c r="CP22" s="1051">
        <v>147197.6506580743</v>
      </c>
      <c r="CQ22" s="1051">
        <v>3994892.8588032145</v>
      </c>
      <c r="CR22" s="1051">
        <v>96434.654144237007</v>
      </c>
      <c r="CS22" s="1051" t="s">
        <v>1637</v>
      </c>
      <c r="CT22" s="1051" t="s">
        <v>1637</v>
      </c>
      <c r="CU22" s="1051" t="s">
        <v>1637</v>
      </c>
      <c r="CV22" s="1051">
        <v>1637774</v>
      </c>
      <c r="CW22" s="1051">
        <v>5261.6500000000005</v>
      </c>
      <c r="CX22" s="1051" t="s">
        <v>1637</v>
      </c>
      <c r="CY22" s="1051">
        <v>138576.37626345057</v>
      </c>
      <c r="CZ22" s="1118">
        <v>4063833.2041791752</v>
      </c>
      <c r="DA22" s="1118">
        <v>3176489.7207357851</v>
      </c>
      <c r="DB22" s="1118">
        <v>789366.94299387629</v>
      </c>
      <c r="DC22" s="1118" t="s">
        <v>1637</v>
      </c>
      <c r="DD22" s="1118" t="s">
        <v>1637</v>
      </c>
      <c r="DE22" s="1118" t="s">
        <v>1637</v>
      </c>
      <c r="DF22" s="1118" t="s">
        <v>1637</v>
      </c>
      <c r="DG22" s="1118">
        <v>147197.6506580743</v>
      </c>
      <c r="DH22" s="1118">
        <v>3994892.8588032145</v>
      </c>
      <c r="DI22" s="1118">
        <v>113468.0895605039</v>
      </c>
      <c r="DJ22" s="1118" t="s">
        <v>1637</v>
      </c>
      <c r="DK22" s="1118" t="s">
        <v>1637</v>
      </c>
      <c r="DL22" s="1118" t="s">
        <v>1637</v>
      </c>
      <c r="DM22" s="1118">
        <v>1637774</v>
      </c>
      <c r="DN22" s="1118">
        <v>5261.6500000000005</v>
      </c>
      <c r="DO22" s="1118" t="s">
        <v>1637</v>
      </c>
      <c r="DP22" s="1118">
        <v>138576.37626345057</v>
      </c>
      <c r="DQ22" s="1118" t="s">
        <v>1637</v>
      </c>
      <c r="DR22" s="1118" t="s">
        <v>1637</v>
      </c>
      <c r="DS22" s="1118" t="s">
        <v>1637</v>
      </c>
      <c r="DT22" s="1118" t="s">
        <v>1637</v>
      </c>
      <c r="DU22" s="1118" t="s">
        <v>1637</v>
      </c>
      <c r="DV22" s="1119" t="s">
        <v>1637</v>
      </c>
      <c r="DW22" s="1120">
        <v>2394807.3141091089</v>
      </c>
      <c r="DX22" s="1120">
        <v>846725.14632999885</v>
      </c>
      <c r="DY22" s="1120">
        <v>370560.2434413209</v>
      </c>
      <c r="DZ22" s="1120" t="s">
        <v>1637</v>
      </c>
      <c r="EA22" s="1120">
        <v>9574078.306376053</v>
      </c>
      <c r="EB22" s="1120" t="s">
        <v>1637</v>
      </c>
      <c r="EC22" s="1120" t="s">
        <v>1637</v>
      </c>
      <c r="ED22" s="1120" t="s">
        <v>1637</v>
      </c>
      <c r="EE22" s="1120">
        <v>147197.6506580743</v>
      </c>
      <c r="EF22" s="1120">
        <v>3994892.8588032145</v>
      </c>
      <c r="EG22" s="1120">
        <v>17541.769469090708</v>
      </c>
      <c r="EH22" s="1120" t="s">
        <v>1637</v>
      </c>
      <c r="EI22" s="1120" t="s">
        <v>1637</v>
      </c>
      <c r="EJ22" s="1120" t="s">
        <v>1637</v>
      </c>
      <c r="EK22" s="1120" t="s">
        <v>1637</v>
      </c>
      <c r="EL22" s="1120" t="s">
        <v>1637</v>
      </c>
      <c r="EM22" s="1120" t="s">
        <v>1637</v>
      </c>
      <c r="EN22" s="1120">
        <v>55390.376263450562</v>
      </c>
      <c r="EO22" s="1120" t="s">
        <v>1637</v>
      </c>
      <c r="EP22" s="1120" t="s">
        <v>1637</v>
      </c>
      <c r="EQ22" s="1120" t="s">
        <v>1637</v>
      </c>
      <c r="ER22" s="1120" t="s">
        <v>1637</v>
      </c>
      <c r="ES22" s="1120" t="s">
        <v>1637</v>
      </c>
    </row>
    <row r="23" spans="1:149" s="34" customFormat="1" ht="15" customHeight="1">
      <c r="A23" s="1185">
        <v>13</v>
      </c>
      <c r="B23" s="1041" t="s">
        <v>1749</v>
      </c>
      <c r="C23" s="1048" t="s">
        <v>1279</v>
      </c>
      <c r="D23" s="1048" t="s">
        <v>1641</v>
      </c>
      <c r="E23" s="1048" t="s">
        <v>320</v>
      </c>
      <c r="F23" s="1049">
        <v>2011</v>
      </c>
      <c r="G23" s="1049">
        <v>2011</v>
      </c>
      <c r="H23" s="1049" t="str">
        <f t="shared" si="1"/>
        <v>Quito_2011</v>
      </c>
      <c r="I23" s="1049" t="s">
        <v>172</v>
      </c>
      <c r="J23" s="1050">
        <v>1607734</v>
      </c>
      <c r="K23" s="1050">
        <v>372.39</v>
      </c>
      <c r="L23" s="1043">
        <v>16511524155.5264</v>
      </c>
      <c r="M23" s="1051">
        <v>562852.16181189939</v>
      </c>
      <c r="N23" s="1051">
        <v>233107.36994991699</v>
      </c>
      <c r="O23" s="1052" t="s">
        <v>177</v>
      </c>
      <c r="P23" s="1051" t="s">
        <v>176</v>
      </c>
      <c r="Q23" s="1051">
        <v>223380.30216740433</v>
      </c>
      <c r="R23" s="1052" t="s">
        <v>177</v>
      </c>
      <c r="S23" s="1051">
        <v>462586.51644866139</v>
      </c>
      <c r="T23" s="1051">
        <v>122779.58299214127</v>
      </c>
      <c r="U23" s="1052" t="s">
        <v>177</v>
      </c>
      <c r="V23" s="1051" t="s">
        <v>176</v>
      </c>
      <c r="W23" s="1051" t="s">
        <v>176</v>
      </c>
      <c r="X23" s="1052" t="s">
        <v>177</v>
      </c>
      <c r="Y23" s="1053">
        <v>15031.373537308731</v>
      </c>
      <c r="Z23" s="1051" t="s">
        <v>175</v>
      </c>
      <c r="AA23" s="1051" t="s">
        <v>175</v>
      </c>
      <c r="AB23" s="1052" t="s">
        <v>175</v>
      </c>
      <c r="AC23" s="1051" t="s">
        <v>175</v>
      </c>
      <c r="AD23" s="1051" t="s">
        <v>175</v>
      </c>
      <c r="AE23" s="1052" t="s">
        <v>177</v>
      </c>
      <c r="AF23" s="1051" t="s">
        <v>175</v>
      </c>
      <c r="AG23" s="1051" t="s">
        <v>175</v>
      </c>
      <c r="AH23" s="1051">
        <v>2901933.6822477826</v>
      </c>
      <c r="AI23" s="1051">
        <v>471.37279695396001</v>
      </c>
      <c r="AJ23" s="1052" t="s">
        <v>177</v>
      </c>
      <c r="AK23" s="1051" t="s">
        <v>175</v>
      </c>
      <c r="AL23" s="1051" t="s">
        <v>175</v>
      </c>
      <c r="AM23" s="1052" t="s">
        <v>177</v>
      </c>
      <c r="AN23" s="1051" t="s">
        <v>175</v>
      </c>
      <c r="AO23" s="1051" t="s">
        <v>175</v>
      </c>
      <c r="AP23" s="1052" t="s">
        <v>175</v>
      </c>
      <c r="AQ23" s="1051" t="s">
        <v>175</v>
      </c>
      <c r="AR23" s="1051" t="s">
        <v>175</v>
      </c>
      <c r="AS23" s="1052" t="s">
        <v>177</v>
      </c>
      <c r="AT23" s="1051" t="s">
        <v>176</v>
      </c>
      <c r="AU23" s="1051" t="s">
        <v>175</v>
      </c>
      <c r="AV23" s="1052" t="s">
        <v>175</v>
      </c>
      <c r="AW23" s="1051">
        <v>659092.478</v>
      </c>
      <c r="AX23" s="1051" t="s">
        <v>175</v>
      </c>
      <c r="AY23" s="1053" t="s">
        <v>175</v>
      </c>
      <c r="AZ23" s="1051" t="s">
        <v>175</v>
      </c>
      <c r="BA23" s="1051" t="s">
        <v>175</v>
      </c>
      <c r="BB23" s="1053" t="s">
        <v>175</v>
      </c>
      <c r="BC23" s="1051">
        <v>2596.4758839599999</v>
      </c>
      <c r="BD23" s="1051" t="s">
        <v>175</v>
      </c>
      <c r="BE23" s="1053" t="s">
        <v>175</v>
      </c>
      <c r="BF23" s="1051">
        <v>0</v>
      </c>
      <c r="BG23" s="1051" t="s">
        <v>175</v>
      </c>
      <c r="BH23" s="1053" t="s">
        <v>175</v>
      </c>
      <c r="BI23" s="1052" t="s">
        <v>177</v>
      </c>
      <c r="BJ23" s="1052" t="s">
        <v>177</v>
      </c>
      <c r="BK23" s="1052" t="s">
        <v>177</v>
      </c>
      <c r="BL23" s="1052" t="s">
        <v>177</v>
      </c>
      <c r="BM23" s="1052" t="s">
        <v>177</v>
      </c>
      <c r="BN23" s="1054" t="s">
        <v>177</v>
      </c>
      <c r="BO23" s="1076" t="str">
        <f t="shared" si="0"/>
        <v>Quito_2011</v>
      </c>
      <c r="BP23" s="1051">
        <v>5168799.9422987206</v>
      </c>
      <c r="BQ23" s="1052">
        <v>5168799.9422987206</v>
      </c>
      <c r="BR23" s="1054">
        <v>5168799.9422987206</v>
      </c>
      <c r="BS23" s="1053">
        <v>4604092.6879296126</v>
      </c>
      <c r="BT23" s="1051">
        <v>1604705.9333700235</v>
      </c>
      <c r="BU23" s="1051">
        <v>2902405.0550447367</v>
      </c>
      <c r="BV23" s="1051">
        <v>661688.95388396003</v>
      </c>
      <c r="BW23" s="1052">
        <v>1604705.9333700235</v>
      </c>
      <c r="BX23" s="1052">
        <v>2902405.0550447367</v>
      </c>
      <c r="BY23" s="1052">
        <v>661688.95388396003</v>
      </c>
      <c r="BZ23" s="1052" t="s">
        <v>1637</v>
      </c>
      <c r="CA23" s="1052" t="s">
        <v>1637</v>
      </c>
      <c r="CB23" s="1053">
        <v>1025438.6782605608</v>
      </c>
      <c r="CC23" s="1053">
        <v>15031.373537308731</v>
      </c>
      <c r="CD23" s="1053">
        <v>2901933.6822477826</v>
      </c>
      <c r="CE23" s="1053">
        <v>661688.95388396003</v>
      </c>
      <c r="CF23" s="1053" t="s">
        <v>1637</v>
      </c>
      <c r="CG23" s="1053" t="s">
        <v>1637</v>
      </c>
      <c r="CH23" s="1053" t="s">
        <v>1637</v>
      </c>
      <c r="CI23" s="1123">
        <v>795959.53176181635</v>
      </c>
      <c r="CJ23" s="1123">
        <v>223380.30216740433</v>
      </c>
      <c r="CK23" s="1123">
        <v>585366.0994408027</v>
      </c>
      <c r="CL23" s="1123" t="s">
        <v>1637</v>
      </c>
      <c r="CM23" s="1123" t="s">
        <v>1637</v>
      </c>
      <c r="CN23" s="1123" t="s">
        <v>1637</v>
      </c>
      <c r="CO23" s="1123" t="s">
        <v>1637</v>
      </c>
      <c r="CP23" s="1123" t="s">
        <v>1637</v>
      </c>
      <c r="CQ23" s="1123">
        <v>2902405.0550447367</v>
      </c>
      <c r="CR23" s="1123" t="s">
        <v>1637</v>
      </c>
      <c r="CS23" s="1123" t="s">
        <v>1637</v>
      </c>
      <c r="CT23" s="1123" t="s">
        <v>1637</v>
      </c>
      <c r="CU23" s="1123" t="s">
        <v>1637</v>
      </c>
      <c r="CV23" s="1123">
        <v>659092.478</v>
      </c>
      <c r="CW23" s="1123" t="s">
        <v>1637</v>
      </c>
      <c r="CX23" s="1123">
        <v>2596.4758839599999</v>
      </c>
      <c r="CY23" s="1123" t="s">
        <v>1637</v>
      </c>
      <c r="CZ23" s="1114">
        <v>795959.53176181635</v>
      </c>
      <c r="DA23" s="1114">
        <v>223380.30216740433</v>
      </c>
      <c r="DB23" s="1114">
        <v>585366.0994408027</v>
      </c>
      <c r="DC23" s="1114" t="s">
        <v>1637</v>
      </c>
      <c r="DD23" s="1114" t="s">
        <v>1637</v>
      </c>
      <c r="DE23" s="1114" t="s">
        <v>1637</v>
      </c>
      <c r="DF23" s="1114" t="s">
        <v>1637</v>
      </c>
      <c r="DG23" s="1114" t="s">
        <v>1637</v>
      </c>
      <c r="DH23" s="1114">
        <v>2902405.0550447367</v>
      </c>
      <c r="DI23" s="1114" t="s">
        <v>1637</v>
      </c>
      <c r="DJ23" s="1114" t="s">
        <v>1637</v>
      </c>
      <c r="DK23" s="1114" t="s">
        <v>1637</v>
      </c>
      <c r="DL23" s="1114" t="s">
        <v>1637</v>
      </c>
      <c r="DM23" s="1114">
        <v>659092.478</v>
      </c>
      <c r="DN23" s="1114" t="s">
        <v>1637</v>
      </c>
      <c r="DO23" s="1114">
        <v>2596.4758839599999</v>
      </c>
      <c r="DP23" s="1114" t="s">
        <v>1637</v>
      </c>
      <c r="DQ23" s="1114" t="s">
        <v>1637</v>
      </c>
      <c r="DR23" s="1114" t="s">
        <v>1637</v>
      </c>
      <c r="DS23" s="1114" t="s">
        <v>1637</v>
      </c>
      <c r="DT23" s="1114" t="s">
        <v>1637</v>
      </c>
      <c r="DU23" s="1114" t="s">
        <v>1637</v>
      </c>
      <c r="DV23" s="1115" t="s">
        <v>1637</v>
      </c>
      <c r="DW23" s="1116">
        <v>562852.16181189939</v>
      </c>
      <c r="DX23" s="1116" t="s">
        <v>1637</v>
      </c>
      <c r="DY23" s="1116">
        <v>462586.51644866139</v>
      </c>
      <c r="DZ23" s="1116" t="s">
        <v>1637</v>
      </c>
      <c r="EA23" s="1116">
        <v>15031.373537308731</v>
      </c>
      <c r="EB23" s="1116" t="s">
        <v>1637</v>
      </c>
      <c r="EC23" s="1116" t="s">
        <v>1637</v>
      </c>
      <c r="ED23" s="1116" t="s">
        <v>1637</v>
      </c>
      <c r="EE23" s="1116" t="s">
        <v>1637</v>
      </c>
      <c r="EF23" s="1116">
        <v>2901933.6822477826</v>
      </c>
      <c r="EG23" s="1116" t="s">
        <v>1637</v>
      </c>
      <c r="EH23" s="1116" t="s">
        <v>1637</v>
      </c>
      <c r="EI23" s="1116" t="s">
        <v>1637</v>
      </c>
      <c r="EJ23" s="1116" t="s">
        <v>1637</v>
      </c>
      <c r="EK23" s="1116">
        <v>659092.478</v>
      </c>
      <c r="EL23" s="1116" t="s">
        <v>1637</v>
      </c>
      <c r="EM23" s="1116">
        <v>2596.4758839599999</v>
      </c>
      <c r="EN23" s="1116" t="s">
        <v>1637</v>
      </c>
      <c r="EO23" s="1116" t="s">
        <v>1637</v>
      </c>
      <c r="EP23" s="1116" t="s">
        <v>1637</v>
      </c>
      <c r="EQ23" s="1116" t="s">
        <v>1637</v>
      </c>
      <c r="ER23" s="1116" t="s">
        <v>1637</v>
      </c>
      <c r="ES23" s="1116" t="s">
        <v>1637</v>
      </c>
    </row>
    <row r="24" spans="1:149" s="1121" customFormat="1" ht="15" customHeight="1">
      <c r="A24" s="1185">
        <v>14</v>
      </c>
      <c r="B24" s="1055" t="s">
        <v>1640</v>
      </c>
      <c r="C24" s="1055" t="s">
        <v>1147</v>
      </c>
      <c r="D24" s="1048" t="s">
        <v>1641</v>
      </c>
      <c r="E24" s="1055" t="s">
        <v>1750</v>
      </c>
      <c r="F24" s="1049">
        <v>2012</v>
      </c>
      <c r="G24" s="1049">
        <v>2012</v>
      </c>
      <c r="H24" s="1049" t="str">
        <f t="shared" si="1"/>
        <v>Mexico City_2012</v>
      </c>
      <c r="I24" s="1049" t="s">
        <v>172</v>
      </c>
      <c r="J24" s="1049">
        <v>8911664.7271708604</v>
      </c>
      <c r="K24" s="1049">
        <v>1485</v>
      </c>
      <c r="L24" s="1043">
        <v>169784923077</v>
      </c>
      <c r="M24" s="1051">
        <v>1974692.4294502581</v>
      </c>
      <c r="N24" s="1051">
        <v>2024295.6656560001</v>
      </c>
      <c r="O24" s="1052">
        <v>402917.14333200001</v>
      </c>
      <c r="P24" s="1051">
        <v>341201.14</v>
      </c>
      <c r="Q24" s="1051">
        <v>2077054.7976772001</v>
      </c>
      <c r="R24" s="1052">
        <v>413419.04779120005</v>
      </c>
      <c r="S24" s="1051">
        <v>1259693.4803487947</v>
      </c>
      <c r="T24" s="1051">
        <v>4107954.6661934</v>
      </c>
      <c r="U24" s="1052">
        <v>679119.15038218687</v>
      </c>
      <c r="V24" s="1051">
        <v>24036.725211199999</v>
      </c>
      <c r="W24" s="1051" t="s">
        <v>175</v>
      </c>
      <c r="X24" s="1052" t="s">
        <v>175</v>
      </c>
      <c r="Y24" s="1053">
        <v>0</v>
      </c>
      <c r="Z24" s="1051">
        <v>5503.1675999999998</v>
      </c>
      <c r="AA24" s="1051">
        <v>944.20432700000003</v>
      </c>
      <c r="AB24" s="1052">
        <v>188.1874368</v>
      </c>
      <c r="AC24" s="1051" t="s">
        <v>175</v>
      </c>
      <c r="AD24" s="1051" t="s">
        <v>175</v>
      </c>
      <c r="AE24" s="1052" t="s">
        <v>175</v>
      </c>
      <c r="AF24" s="1051" t="s">
        <v>175</v>
      </c>
      <c r="AG24" s="1051">
        <v>600</v>
      </c>
      <c r="AH24" s="1051">
        <v>11457963</v>
      </c>
      <c r="AI24" s="1051">
        <v>30843.136777200001</v>
      </c>
      <c r="AJ24" s="1052">
        <v>2759361.9616970001</v>
      </c>
      <c r="AK24" s="1051">
        <v>5108.3471456332591</v>
      </c>
      <c r="AL24" s="1051">
        <v>668562.65980460017</v>
      </c>
      <c r="AM24" s="1052">
        <v>133071.38781860002</v>
      </c>
      <c r="AN24" s="1051" t="s">
        <v>175</v>
      </c>
      <c r="AO24" s="1051" t="s">
        <v>175</v>
      </c>
      <c r="AP24" s="1052" t="s">
        <v>175</v>
      </c>
      <c r="AQ24" s="1051">
        <v>1398451.1388702944</v>
      </c>
      <c r="AR24" s="1051" t="s">
        <v>175</v>
      </c>
      <c r="AS24" s="1052">
        <v>1766282.4095717589</v>
      </c>
      <c r="AT24" s="1051">
        <v>115264.06240507808</v>
      </c>
      <c r="AU24" s="1051" t="s">
        <v>175</v>
      </c>
      <c r="AV24" s="1052" t="s">
        <v>175</v>
      </c>
      <c r="AW24" s="1051">
        <v>114575</v>
      </c>
      <c r="AX24" s="1051">
        <v>3731450</v>
      </c>
      <c r="AY24" s="1053" t="s">
        <v>175</v>
      </c>
      <c r="AZ24" s="1051">
        <v>616.87819999999999</v>
      </c>
      <c r="BA24" s="1051">
        <v>164578.9448</v>
      </c>
      <c r="BB24" s="1053" t="s">
        <v>175</v>
      </c>
      <c r="BC24" s="1051" t="s">
        <v>175</v>
      </c>
      <c r="BD24" s="1051" t="s">
        <v>175</v>
      </c>
      <c r="BE24" s="1053" t="s">
        <v>175</v>
      </c>
      <c r="BF24" s="1051">
        <v>54269.285432995624</v>
      </c>
      <c r="BG24" s="1051">
        <v>615828.14132365957</v>
      </c>
      <c r="BH24" s="1053" t="s">
        <v>175</v>
      </c>
      <c r="BI24" s="1052">
        <v>40098.843749312669</v>
      </c>
      <c r="BJ24" s="1052">
        <v>98347.229883404259</v>
      </c>
      <c r="BK24" s="1052">
        <v>19082.815994528086</v>
      </c>
      <c r="BL24" s="1052">
        <v>0</v>
      </c>
      <c r="BM24" s="1052">
        <v>8642</v>
      </c>
      <c r="BN24" s="1054">
        <v>1080.1224319999999</v>
      </c>
      <c r="BO24" s="1076" t="str">
        <f t="shared" si="0"/>
        <v>Mexico City_2012</v>
      </c>
      <c r="BP24" s="1051">
        <v>30173486.871223316</v>
      </c>
      <c r="BQ24" s="1052">
        <v>36494017.048880115</v>
      </c>
      <c r="BR24" s="1054">
        <v>36495097.171312109</v>
      </c>
      <c r="BS24" s="1053">
        <v>16918145.5442915</v>
      </c>
      <c r="BT24" s="1051">
        <v>11815976.276463853</v>
      </c>
      <c r="BU24" s="1051">
        <v>13676192.345002808</v>
      </c>
      <c r="BV24" s="1051">
        <v>4681318.2497566557</v>
      </c>
      <c r="BW24" s="1052">
        <v>13311619.80540604</v>
      </c>
      <c r="BX24" s="1052">
        <v>18334908.104090169</v>
      </c>
      <c r="BY24" s="1052">
        <v>4681318.2497566557</v>
      </c>
      <c r="BZ24" s="1052">
        <v>138446.07363271693</v>
      </c>
      <c r="CA24" s="1052">
        <v>27724.815994528086</v>
      </c>
      <c r="CB24" s="1053">
        <v>3605726.9426102526</v>
      </c>
      <c r="CC24" s="1053" t="s">
        <v>1637</v>
      </c>
      <c r="CD24" s="1053">
        <v>12976786.548421007</v>
      </c>
      <c r="CE24" s="1053">
        <v>169461.16363299562</v>
      </c>
      <c r="CF24" s="1053" t="s">
        <v>1637</v>
      </c>
      <c r="CG24" s="1053">
        <v>138446.07363271693</v>
      </c>
      <c r="CH24" s="1053">
        <v>27724.815994528086</v>
      </c>
      <c r="CI24" s="1051">
        <v>3998988.0951062581</v>
      </c>
      <c r="CJ24" s="1051">
        <v>2418255.9376772</v>
      </c>
      <c r="CK24" s="1051">
        <v>5367648.1465421952</v>
      </c>
      <c r="CL24" s="1051">
        <v>24036.725211199999</v>
      </c>
      <c r="CM24" s="1051">
        <v>6447.3719270000001</v>
      </c>
      <c r="CN24" s="1051" t="s">
        <v>1637</v>
      </c>
      <c r="CO24" s="1051" t="s">
        <v>1637</v>
      </c>
      <c r="CP24" s="1051">
        <v>600</v>
      </c>
      <c r="CQ24" s="1051">
        <v>11488806.1367772</v>
      </c>
      <c r="CR24" s="1051">
        <v>673671.00695023348</v>
      </c>
      <c r="CS24" s="1051" t="s">
        <v>1637</v>
      </c>
      <c r="CT24" s="1051">
        <v>1398451.1388702944</v>
      </c>
      <c r="CU24" s="1051">
        <v>115264.06240507808</v>
      </c>
      <c r="CV24" s="1051">
        <v>3846025</v>
      </c>
      <c r="CW24" s="1051">
        <v>165195.823</v>
      </c>
      <c r="CX24" s="1051" t="s">
        <v>1637</v>
      </c>
      <c r="CY24" s="1051">
        <v>670097.42675665522</v>
      </c>
      <c r="CZ24" s="1118">
        <v>4401905.2384382579</v>
      </c>
      <c r="DA24" s="1118">
        <v>2831674.9854684002</v>
      </c>
      <c r="DB24" s="1118">
        <v>6046767.2969243824</v>
      </c>
      <c r="DC24" s="1118">
        <v>24036.725211199999</v>
      </c>
      <c r="DD24" s="1118">
        <v>6635.5593638</v>
      </c>
      <c r="DE24" s="1118" t="s">
        <v>1637</v>
      </c>
      <c r="DF24" s="1118" t="s">
        <v>1637</v>
      </c>
      <c r="DG24" s="1118">
        <v>600</v>
      </c>
      <c r="DH24" s="1118">
        <v>14248168.098474201</v>
      </c>
      <c r="DI24" s="1118">
        <v>806742.39476883353</v>
      </c>
      <c r="DJ24" s="1118" t="s">
        <v>1637</v>
      </c>
      <c r="DK24" s="1118">
        <v>3164733.5484420536</v>
      </c>
      <c r="DL24" s="1118">
        <v>115264.06240507808</v>
      </c>
      <c r="DM24" s="1118">
        <v>3846025</v>
      </c>
      <c r="DN24" s="1118">
        <v>165195.823</v>
      </c>
      <c r="DO24" s="1118" t="s">
        <v>1637</v>
      </c>
      <c r="DP24" s="1118">
        <v>670097.42675665522</v>
      </c>
      <c r="DQ24" s="1118">
        <v>40098.843749312669</v>
      </c>
      <c r="DR24" s="1118">
        <v>98347.229883404259</v>
      </c>
      <c r="DS24" s="1118">
        <v>19082.815994528086</v>
      </c>
      <c r="DT24" s="1118" t="s">
        <v>1637</v>
      </c>
      <c r="DU24" s="1118">
        <v>8642</v>
      </c>
      <c r="DV24" s="1119">
        <v>1080.1224319999999</v>
      </c>
      <c r="DW24" s="1120">
        <v>1974692.4294502581</v>
      </c>
      <c r="DX24" s="1120">
        <v>341201.14</v>
      </c>
      <c r="DY24" s="1120">
        <v>1259693.4803487947</v>
      </c>
      <c r="DZ24" s="1120">
        <v>24036.725211199999</v>
      </c>
      <c r="EA24" s="1120" t="s">
        <v>1637</v>
      </c>
      <c r="EB24" s="1120">
        <v>5503.1675999999998</v>
      </c>
      <c r="EC24" s="1120" t="s">
        <v>1637</v>
      </c>
      <c r="ED24" s="1120" t="s">
        <v>1637</v>
      </c>
      <c r="EE24" s="1120">
        <v>600</v>
      </c>
      <c r="EF24" s="1120">
        <v>11457963</v>
      </c>
      <c r="EG24" s="1120">
        <v>5108.3471456332591</v>
      </c>
      <c r="EH24" s="1120" t="s">
        <v>1637</v>
      </c>
      <c r="EI24" s="1120">
        <v>1398451.1388702944</v>
      </c>
      <c r="EJ24" s="1120">
        <v>115264.06240507808</v>
      </c>
      <c r="EK24" s="1120">
        <v>114575</v>
      </c>
      <c r="EL24" s="1120">
        <v>616.87819999999999</v>
      </c>
      <c r="EM24" s="1120" t="s">
        <v>1637</v>
      </c>
      <c r="EN24" s="1120">
        <v>54269.285432995624</v>
      </c>
      <c r="EO24" s="1120">
        <v>40098.843749312669</v>
      </c>
      <c r="EP24" s="1120">
        <v>98347.229883404259</v>
      </c>
      <c r="EQ24" s="1120">
        <v>19082.815994528086</v>
      </c>
      <c r="ER24" s="1120" t="s">
        <v>1637</v>
      </c>
      <c r="ES24" s="1120">
        <v>8642</v>
      </c>
    </row>
    <row r="25" spans="1:149" s="1121" customFormat="1" ht="15" customHeight="1">
      <c r="A25" s="1185">
        <v>15</v>
      </c>
      <c r="B25" s="1055" t="s">
        <v>1642</v>
      </c>
      <c r="C25" s="1055" t="s">
        <v>1145</v>
      </c>
      <c r="D25" s="1048" t="s">
        <v>1641</v>
      </c>
      <c r="E25" s="1055" t="s">
        <v>687</v>
      </c>
      <c r="F25" s="1049">
        <v>2012</v>
      </c>
      <c r="G25" s="1049">
        <v>2012</v>
      </c>
      <c r="H25" s="1049" t="str">
        <f t="shared" si="1"/>
        <v>Rio de Janeiro_2012</v>
      </c>
      <c r="I25" s="1049" t="s">
        <v>173</v>
      </c>
      <c r="J25" s="1049">
        <v>6390290</v>
      </c>
      <c r="K25" s="1049">
        <v>1224.56</v>
      </c>
      <c r="L25" s="1043">
        <v>75060683634</v>
      </c>
      <c r="M25" s="1051">
        <v>619474.94239871937</v>
      </c>
      <c r="N25" s="1051">
        <v>1364648.2412052159</v>
      </c>
      <c r="O25" s="1052" t="s">
        <v>177</v>
      </c>
      <c r="P25" s="1051">
        <v>120117.16649917484</v>
      </c>
      <c r="Q25" s="1051">
        <v>2024690.3877564943</v>
      </c>
      <c r="R25" s="1052" t="s">
        <v>177</v>
      </c>
      <c r="S25" s="1051">
        <v>909588.59580063471</v>
      </c>
      <c r="T25" s="1051">
        <v>601627.26418700593</v>
      </c>
      <c r="U25" s="1052" t="s">
        <v>177</v>
      </c>
      <c r="V25" s="1051">
        <v>1353546.5242982078</v>
      </c>
      <c r="W25" s="1051" t="s">
        <v>175</v>
      </c>
      <c r="X25" s="1052" t="s">
        <v>177</v>
      </c>
      <c r="Y25" s="1053">
        <v>3251638.0102933897</v>
      </c>
      <c r="Z25" s="1051">
        <v>62.053308308700011</v>
      </c>
      <c r="AA25" s="1051">
        <v>601.32194827916567</v>
      </c>
      <c r="AB25" s="1052" t="s">
        <v>177</v>
      </c>
      <c r="AC25" s="1051">
        <v>29300.692913167924</v>
      </c>
      <c r="AD25" s="1051">
        <v>17850.596525771925</v>
      </c>
      <c r="AE25" s="1052">
        <v>1495373.8418812777</v>
      </c>
      <c r="AF25" s="1051">
        <v>921414</v>
      </c>
      <c r="AG25" s="1051">
        <v>121122.44316930753</v>
      </c>
      <c r="AH25" s="1051">
        <v>5336331.6780053079</v>
      </c>
      <c r="AI25" s="1051" t="s">
        <v>175</v>
      </c>
      <c r="AJ25" s="1052" t="s">
        <v>177</v>
      </c>
      <c r="AK25" s="1051">
        <v>3699.7513027709656</v>
      </c>
      <c r="AL25" s="1051">
        <v>87093.65962275854</v>
      </c>
      <c r="AM25" s="1052" t="s">
        <v>177</v>
      </c>
      <c r="AN25" s="1051">
        <v>9935.8456347251777</v>
      </c>
      <c r="AO25" s="1051" t="s">
        <v>175</v>
      </c>
      <c r="AP25" s="1052" t="s">
        <v>177</v>
      </c>
      <c r="AQ25" s="1051" t="s">
        <v>176</v>
      </c>
      <c r="AR25" s="1051" t="s">
        <v>175</v>
      </c>
      <c r="AS25" s="1052">
        <v>1665804.7248953958</v>
      </c>
      <c r="AT25" s="1051" t="s">
        <v>176</v>
      </c>
      <c r="AU25" s="1051" t="s">
        <v>175</v>
      </c>
      <c r="AV25" s="1052" t="s">
        <v>177</v>
      </c>
      <c r="AW25" s="1051">
        <v>462950.67</v>
      </c>
      <c r="AX25" s="1051">
        <v>1247412.4647619047</v>
      </c>
      <c r="AY25" s="1053" t="s">
        <v>175</v>
      </c>
      <c r="AZ25" s="1051">
        <v>731.53</v>
      </c>
      <c r="BA25" s="1051" t="s">
        <v>175</v>
      </c>
      <c r="BB25" s="1053" t="s">
        <v>175</v>
      </c>
      <c r="BC25" s="1051">
        <v>449.87899999999996</v>
      </c>
      <c r="BD25" s="1051" t="s">
        <v>175</v>
      </c>
      <c r="BE25" s="1053" t="s">
        <v>175</v>
      </c>
      <c r="BF25" s="1051">
        <v>624256.30000000005</v>
      </c>
      <c r="BG25" s="1051" t="s">
        <v>175</v>
      </c>
      <c r="BH25" s="1053" t="s">
        <v>175</v>
      </c>
      <c r="BI25" s="1052">
        <v>2304249.9363226704</v>
      </c>
      <c r="BJ25" s="1052">
        <v>94078.038122067665</v>
      </c>
      <c r="BK25" s="1052">
        <v>14423.946378742858</v>
      </c>
      <c r="BL25" s="1052">
        <v>-11639.27708005071</v>
      </c>
      <c r="BM25" s="1052">
        <v>5801.7343736654757</v>
      </c>
      <c r="BN25" s="1054">
        <v>1028166.6173436131</v>
      </c>
      <c r="BO25" s="1076" t="str">
        <f t="shared" si="0"/>
        <v>Rio de Janeiro_2012</v>
      </c>
      <c r="BP25" s="1051">
        <v>15856906.008337755</v>
      </c>
      <c r="BQ25" s="1052">
        <v>21424998.953231525</v>
      </c>
      <c r="BR25" s="1054">
        <v>22453165.570575137</v>
      </c>
      <c r="BS25" s="1053">
        <v>16171534.460740812</v>
      </c>
      <c r="BT25" s="1051">
        <v>8084044.2300102878</v>
      </c>
      <c r="BU25" s="1051">
        <v>5437060.9345655628</v>
      </c>
      <c r="BV25" s="1051">
        <v>2335800.8437619051</v>
      </c>
      <c r="BW25" s="1052">
        <v>9579418.0718915649</v>
      </c>
      <c r="BX25" s="1052">
        <v>7102865.6594609581</v>
      </c>
      <c r="BY25" s="1052">
        <v>2335800.8437619051</v>
      </c>
      <c r="BZ25" s="1052">
        <v>2398327.9744447381</v>
      </c>
      <c r="CA25" s="1052">
        <v>8586.4036723576246</v>
      </c>
      <c r="CB25" s="1053">
        <v>4074626.4183875211</v>
      </c>
      <c r="CC25" s="1053">
        <v>3251638.0102933897</v>
      </c>
      <c r="CD25" s="1053">
        <v>5349967.2749428041</v>
      </c>
      <c r="CE25" s="1053">
        <v>1088388.3790000002</v>
      </c>
      <c r="CF25" s="1053" t="s">
        <v>1637</v>
      </c>
      <c r="CG25" s="1053">
        <v>2398327.9744447381</v>
      </c>
      <c r="CH25" s="1053">
        <v>8586.4036723576246</v>
      </c>
      <c r="CI25" s="1051">
        <v>1984123.1836039354</v>
      </c>
      <c r="CJ25" s="1051">
        <v>2144807.554255669</v>
      </c>
      <c r="CK25" s="1051">
        <v>1511215.8599876408</v>
      </c>
      <c r="CL25" s="1051">
        <v>1353546.5242982078</v>
      </c>
      <c r="CM25" s="1051">
        <v>663.37525658786569</v>
      </c>
      <c r="CN25" s="1051">
        <v>47151.28943893985</v>
      </c>
      <c r="CO25" s="1051">
        <v>921414</v>
      </c>
      <c r="CP25" s="1051">
        <v>121122.44316930753</v>
      </c>
      <c r="CQ25" s="1051">
        <v>5336331.6780053079</v>
      </c>
      <c r="CR25" s="1051">
        <v>90793.410925529504</v>
      </c>
      <c r="CS25" s="1051">
        <v>9935.8456347251777</v>
      </c>
      <c r="CT25" s="1051" t="s">
        <v>1637</v>
      </c>
      <c r="CU25" s="1051" t="s">
        <v>1637</v>
      </c>
      <c r="CV25" s="1051">
        <v>1710363.1347619046</v>
      </c>
      <c r="CW25" s="1051">
        <v>731.53</v>
      </c>
      <c r="CX25" s="1051">
        <v>449.87899999999996</v>
      </c>
      <c r="CY25" s="1051">
        <v>624256.30000000005</v>
      </c>
      <c r="CZ25" s="1118">
        <v>1984123.1836039354</v>
      </c>
      <c r="DA25" s="1118">
        <v>2144807.554255669</v>
      </c>
      <c r="DB25" s="1118">
        <v>1511215.8599876408</v>
      </c>
      <c r="DC25" s="1118">
        <v>1353546.5242982078</v>
      </c>
      <c r="DD25" s="1118">
        <v>663.37525658786569</v>
      </c>
      <c r="DE25" s="1118">
        <v>1542525.1313202176</v>
      </c>
      <c r="DF25" s="1118">
        <v>921414</v>
      </c>
      <c r="DG25" s="1118">
        <v>121122.44316930753</v>
      </c>
      <c r="DH25" s="1118">
        <v>5336331.6780053079</v>
      </c>
      <c r="DI25" s="1118">
        <v>90793.410925529504</v>
      </c>
      <c r="DJ25" s="1118">
        <v>9935.8456347251777</v>
      </c>
      <c r="DK25" s="1118">
        <v>1665804.7248953958</v>
      </c>
      <c r="DL25" s="1118" t="s">
        <v>1637</v>
      </c>
      <c r="DM25" s="1118">
        <v>1710363.1347619046</v>
      </c>
      <c r="DN25" s="1118">
        <v>731.53</v>
      </c>
      <c r="DO25" s="1118">
        <v>449.87899999999996</v>
      </c>
      <c r="DP25" s="1118">
        <v>624256.30000000005</v>
      </c>
      <c r="DQ25" s="1118">
        <v>2304249.9363226704</v>
      </c>
      <c r="DR25" s="1118">
        <v>94078.038122067665</v>
      </c>
      <c r="DS25" s="1118">
        <v>14423.946378742858</v>
      </c>
      <c r="DT25" s="1118">
        <v>-11639.27708005071</v>
      </c>
      <c r="DU25" s="1118">
        <v>5801.7343736654757</v>
      </c>
      <c r="DV25" s="1119">
        <v>1028166.6173436131</v>
      </c>
      <c r="DW25" s="1120">
        <v>619474.94239871937</v>
      </c>
      <c r="DX25" s="1120">
        <v>120117.16649917484</v>
      </c>
      <c r="DY25" s="1120">
        <v>909588.59580063471</v>
      </c>
      <c r="DZ25" s="1120">
        <v>1353546.5242982078</v>
      </c>
      <c r="EA25" s="1120">
        <v>3251638.0102933897</v>
      </c>
      <c r="EB25" s="1120">
        <v>62.053308308700011</v>
      </c>
      <c r="EC25" s="1120">
        <v>29300.692913167924</v>
      </c>
      <c r="ED25" s="1120">
        <v>921414</v>
      </c>
      <c r="EE25" s="1120">
        <v>121122.44316930753</v>
      </c>
      <c r="EF25" s="1120">
        <v>5336331.6780053079</v>
      </c>
      <c r="EG25" s="1120">
        <v>3699.7513027709656</v>
      </c>
      <c r="EH25" s="1120">
        <v>9935.8456347251777</v>
      </c>
      <c r="EI25" s="1120" t="s">
        <v>1637</v>
      </c>
      <c r="EJ25" s="1120" t="s">
        <v>1637</v>
      </c>
      <c r="EK25" s="1120">
        <v>462950.67</v>
      </c>
      <c r="EL25" s="1120">
        <v>731.53</v>
      </c>
      <c r="EM25" s="1120">
        <v>449.87899999999996</v>
      </c>
      <c r="EN25" s="1120">
        <v>624256.30000000005</v>
      </c>
      <c r="EO25" s="1120">
        <v>2304249.9363226704</v>
      </c>
      <c r="EP25" s="1120">
        <v>94078.038122067665</v>
      </c>
      <c r="EQ25" s="1120">
        <v>14423.946378742858</v>
      </c>
      <c r="ER25" s="1120">
        <v>-11639.27708005071</v>
      </c>
      <c r="ES25" s="1120">
        <v>5801.7343736654757</v>
      </c>
    </row>
    <row r="26" spans="1:149" s="1121" customFormat="1" ht="15" customHeight="1">
      <c r="A26" s="1185">
        <v>16</v>
      </c>
      <c r="B26" s="1055" t="s">
        <v>1922</v>
      </c>
      <c r="C26" s="1055" t="s">
        <v>1149</v>
      </c>
      <c r="D26" s="1055" t="s">
        <v>1925</v>
      </c>
      <c r="E26" s="1055" t="s">
        <v>687</v>
      </c>
      <c r="F26" s="1049" t="s">
        <v>1751</v>
      </c>
      <c r="G26" s="1042">
        <v>2013</v>
      </c>
      <c r="H26" s="1049" t="str">
        <f t="shared" si="1"/>
        <v>City of Melbourne_2013</v>
      </c>
      <c r="I26" s="1049" t="s">
        <v>172</v>
      </c>
      <c r="J26" s="1049">
        <v>116431</v>
      </c>
      <c r="K26" s="1049">
        <v>37.6</v>
      </c>
      <c r="L26" s="1043">
        <v>67700000000</v>
      </c>
      <c r="M26" s="1051">
        <v>43262.172687650542</v>
      </c>
      <c r="N26" s="1051">
        <v>333044.23891802377</v>
      </c>
      <c r="O26" s="1052">
        <v>42336.13206585047</v>
      </c>
      <c r="P26" s="1051">
        <v>112602.27730931039</v>
      </c>
      <c r="Q26" s="1051">
        <v>4241813.0011191145</v>
      </c>
      <c r="R26" s="1052">
        <v>539213.5170914128</v>
      </c>
      <c r="S26" s="1051">
        <v>120654.11276590444</v>
      </c>
      <c r="T26" s="1051">
        <v>166757.40997694948</v>
      </c>
      <c r="U26" s="1052">
        <v>21197.975844527475</v>
      </c>
      <c r="V26" s="1051" t="s">
        <v>175</v>
      </c>
      <c r="W26" s="1051" t="s">
        <v>175</v>
      </c>
      <c r="X26" s="1052" t="s">
        <v>175</v>
      </c>
      <c r="Y26" s="1053" t="s">
        <v>175</v>
      </c>
      <c r="Z26" s="1051" t="s">
        <v>175</v>
      </c>
      <c r="AA26" s="1051" t="s">
        <v>175</v>
      </c>
      <c r="AB26" s="1052" t="s">
        <v>175</v>
      </c>
      <c r="AC26" s="1051" t="s">
        <v>176</v>
      </c>
      <c r="AD26" s="1051" t="s">
        <v>176</v>
      </c>
      <c r="AE26" s="1052" t="s">
        <v>176</v>
      </c>
      <c r="AF26" s="1051" t="s">
        <v>175</v>
      </c>
      <c r="AG26" s="1051" t="s">
        <v>175</v>
      </c>
      <c r="AH26" s="1051">
        <v>447971.45541720005</v>
      </c>
      <c r="AI26" s="1051" t="s">
        <v>176</v>
      </c>
      <c r="AJ26" s="1052">
        <v>7560.5794371999991</v>
      </c>
      <c r="AK26" s="1051" t="s">
        <v>175</v>
      </c>
      <c r="AL26" s="1051">
        <v>203757.1436035783</v>
      </c>
      <c r="AM26" s="1052" t="s">
        <v>177</v>
      </c>
      <c r="AN26" s="1051" t="s">
        <v>175</v>
      </c>
      <c r="AO26" s="1051" t="s">
        <v>176</v>
      </c>
      <c r="AP26" s="1052">
        <v>228119</v>
      </c>
      <c r="AQ26" s="1051" t="s">
        <v>175</v>
      </c>
      <c r="AR26" s="1051" t="s">
        <v>175</v>
      </c>
      <c r="AS26" s="1052" t="s">
        <v>177</v>
      </c>
      <c r="AT26" s="1051">
        <v>5850.3187762000007</v>
      </c>
      <c r="AU26" s="1051" t="s">
        <v>175</v>
      </c>
      <c r="AV26" s="1052" t="s">
        <v>177</v>
      </c>
      <c r="AW26" s="1051" t="s">
        <v>175</v>
      </c>
      <c r="AX26" s="1051">
        <v>148917.6</v>
      </c>
      <c r="AY26" s="1053" t="s">
        <v>175</v>
      </c>
      <c r="AZ26" s="1051" t="s">
        <v>175</v>
      </c>
      <c r="BA26" s="1051" t="s">
        <v>175</v>
      </c>
      <c r="BB26" s="1053" t="s">
        <v>175</v>
      </c>
      <c r="BC26" s="1051" t="s">
        <v>175</v>
      </c>
      <c r="BD26" s="1051" t="s">
        <v>175</v>
      </c>
      <c r="BE26" s="1053" t="s">
        <v>175</v>
      </c>
      <c r="BF26" s="1051" t="s">
        <v>175</v>
      </c>
      <c r="BG26" s="1051">
        <v>2898</v>
      </c>
      <c r="BH26" s="1053" t="s">
        <v>175</v>
      </c>
      <c r="BI26" s="1052" t="s">
        <v>175</v>
      </c>
      <c r="BJ26" s="1052" t="s">
        <v>177</v>
      </c>
      <c r="BK26" s="1052" t="s">
        <v>175</v>
      </c>
      <c r="BL26" s="1052" t="s">
        <v>175</v>
      </c>
      <c r="BM26" s="1052" t="s">
        <v>175</v>
      </c>
      <c r="BN26" s="1054">
        <v>81581.807942888554</v>
      </c>
      <c r="BO26" s="1076" t="str">
        <f t="shared" si="0"/>
        <v>City of Melbourne_2013</v>
      </c>
      <c r="BP26" s="1051">
        <v>5827527.7305739326</v>
      </c>
      <c r="BQ26" s="1052">
        <v>6665954.9350129236</v>
      </c>
      <c r="BR26" s="1054">
        <v>6747536.7429558104</v>
      </c>
      <c r="BS26" s="1053">
        <v>730340.33695626538</v>
      </c>
      <c r="BT26" s="1051">
        <v>5018133.2127769543</v>
      </c>
      <c r="BU26" s="1051">
        <v>657578.91779697838</v>
      </c>
      <c r="BV26" s="1051">
        <v>151815.6</v>
      </c>
      <c r="BW26" s="1052">
        <v>5620880.8377787452</v>
      </c>
      <c r="BX26" s="1052">
        <v>893258.49723417836</v>
      </c>
      <c r="BY26" s="1052">
        <v>151815.6</v>
      </c>
      <c r="BZ26" s="1052" t="s">
        <v>1637</v>
      </c>
      <c r="CA26" s="1052" t="s">
        <v>1637</v>
      </c>
      <c r="CB26" s="1053">
        <v>276518.56276286539</v>
      </c>
      <c r="CC26" s="1053" t="s">
        <v>1923</v>
      </c>
      <c r="CD26" s="1053">
        <v>453821.77419340005</v>
      </c>
      <c r="CE26" s="1053" t="s">
        <v>1923</v>
      </c>
      <c r="CF26" s="1053" t="s">
        <v>1923</v>
      </c>
      <c r="CG26" s="1053" t="s">
        <v>1637</v>
      </c>
      <c r="CH26" s="1053" t="s">
        <v>1637</v>
      </c>
      <c r="CI26" s="1051">
        <v>376306.41160567431</v>
      </c>
      <c r="CJ26" s="1051">
        <v>4354415.2784284251</v>
      </c>
      <c r="CK26" s="1051">
        <v>287411.52274285391</v>
      </c>
      <c r="CL26" s="1051" t="s">
        <v>1637</v>
      </c>
      <c r="CM26" s="1051" t="s">
        <v>1637</v>
      </c>
      <c r="CN26" s="1051" t="s">
        <v>1637</v>
      </c>
      <c r="CO26" s="1051" t="s">
        <v>1637</v>
      </c>
      <c r="CP26" s="1051" t="s">
        <v>1637</v>
      </c>
      <c r="CQ26" s="1051">
        <v>447971.45541720005</v>
      </c>
      <c r="CR26" s="1051">
        <v>203757.1436035783</v>
      </c>
      <c r="CS26" s="1051" t="s">
        <v>1637</v>
      </c>
      <c r="CT26" s="1051" t="s">
        <v>1637</v>
      </c>
      <c r="CU26" s="1051">
        <v>5850.3187762000007</v>
      </c>
      <c r="CV26" s="1051">
        <v>148917.6</v>
      </c>
      <c r="CW26" s="1051" t="s">
        <v>1637</v>
      </c>
      <c r="CX26" s="1051" t="s">
        <v>1637</v>
      </c>
      <c r="CY26" s="1051">
        <v>2898</v>
      </c>
      <c r="CZ26" s="1118">
        <v>418642.54367152479</v>
      </c>
      <c r="DA26" s="1118">
        <v>4893628.7955198381</v>
      </c>
      <c r="DB26" s="1118">
        <v>308609.49858738139</v>
      </c>
      <c r="DC26" s="1118" t="s">
        <v>1637</v>
      </c>
      <c r="DD26" s="1118" t="s">
        <v>1637</v>
      </c>
      <c r="DE26" s="1118" t="s">
        <v>1637</v>
      </c>
      <c r="DF26" s="1118" t="s">
        <v>1637</v>
      </c>
      <c r="DG26" s="1118" t="s">
        <v>1637</v>
      </c>
      <c r="DH26" s="1118">
        <v>455532.03485440003</v>
      </c>
      <c r="DI26" s="1118">
        <v>203757.1436035783</v>
      </c>
      <c r="DJ26" s="1118">
        <v>228119</v>
      </c>
      <c r="DK26" s="1118" t="s">
        <v>1637</v>
      </c>
      <c r="DL26" s="1118">
        <v>5850.3187762000007</v>
      </c>
      <c r="DM26" s="1118">
        <v>148917.6</v>
      </c>
      <c r="DN26" s="1118" t="s">
        <v>1637</v>
      </c>
      <c r="DO26" s="1118" t="s">
        <v>1637</v>
      </c>
      <c r="DP26" s="1118">
        <v>2898</v>
      </c>
      <c r="DQ26" s="1118" t="s">
        <v>1637</v>
      </c>
      <c r="DR26" s="1118" t="s">
        <v>1637</v>
      </c>
      <c r="DS26" s="1118" t="s">
        <v>1637</v>
      </c>
      <c r="DT26" s="1118" t="s">
        <v>1637</v>
      </c>
      <c r="DU26" s="1118" t="s">
        <v>1637</v>
      </c>
      <c r="DV26" s="1119">
        <v>81581.807942888554</v>
      </c>
      <c r="DW26" s="1120">
        <v>43262.172687650542</v>
      </c>
      <c r="DX26" s="1120">
        <v>112602.27730931039</v>
      </c>
      <c r="DY26" s="1120">
        <v>120654.11276590444</v>
      </c>
      <c r="DZ26" s="1120" t="s">
        <v>1637</v>
      </c>
      <c r="EA26" s="1120" t="s">
        <v>1637</v>
      </c>
      <c r="EB26" s="1120" t="s">
        <v>1637</v>
      </c>
      <c r="EC26" s="1120" t="s">
        <v>1637</v>
      </c>
      <c r="ED26" s="1120" t="s">
        <v>1637</v>
      </c>
      <c r="EE26" s="1120" t="s">
        <v>1637</v>
      </c>
      <c r="EF26" s="1120">
        <v>447971.45541720005</v>
      </c>
      <c r="EG26" s="1120" t="s">
        <v>1637</v>
      </c>
      <c r="EH26" s="1120" t="s">
        <v>1637</v>
      </c>
      <c r="EI26" s="1120" t="s">
        <v>1637</v>
      </c>
      <c r="EJ26" s="1120">
        <v>5850.3187762000007</v>
      </c>
      <c r="EK26" s="1120" t="s">
        <v>1637</v>
      </c>
      <c r="EL26" s="1120" t="s">
        <v>1637</v>
      </c>
      <c r="EM26" s="1120" t="s">
        <v>1637</v>
      </c>
      <c r="EN26" s="1120" t="s">
        <v>1637</v>
      </c>
      <c r="EO26" s="1120" t="s">
        <v>1637</v>
      </c>
      <c r="EP26" s="1120" t="s">
        <v>1637</v>
      </c>
      <c r="EQ26" s="1120" t="s">
        <v>1637</v>
      </c>
      <c r="ER26" s="1120" t="s">
        <v>1637</v>
      </c>
      <c r="ES26" s="1120" t="s">
        <v>1637</v>
      </c>
    </row>
    <row r="27" spans="1:149" s="34" customFormat="1" ht="15" customHeight="1">
      <c r="A27" s="1185">
        <v>17</v>
      </c>
      <c r="B27" s="1055" t="s">
        <v>1906</v>
      </c>
      <c r="C27" s="1048" t="s">
        <v>1149</v>
      </c>
      <c r="D27" s="1055" t="s">
        <v>1925</v>
      </c>
      <c r="E27" s="1048" t="s">
        <v>687</v>
      </c>
      <c r="F27" s="1049" t="s">
        <v>1751</v>
      </c>
      <c r="G27" s="1049">
        <v>2013</v>
      </c>
      <c r="H27" s="1049" t="str">
        <f t="shared" si="1"/>
        <v>City of Sydney_2013</v>
      </c>
      <c r="I27" s="1049" t="s">
        <v>172</v>
      </c>
      <c r="J27" s="1049">
        <v>197318.72159999999</v>
      </c>
      <c r="K27" s="1050">
        <v>26.15</v>
      </c>
      <c r="L27" s="1043">
        <v>73012549539.320007</v>
      </c>
      <c r="M27" s="1051">
        <v>62918.876760000014</v>
      </c>
      <c r="N27" s="1051">
        <v>328407.59999999998</v>
      </c>
      <c r="O27" s="1052" t="s">
        <v>176</v>
      </c>
      <c r="P27" s="1051">
        <v>108777.20142000003</v>
      </c>
      <c r="Q27" s="1051">
        <v>2830533.69</v>
      </c>
      <c r="R27" s="1052" t="s">
        <v>176</v>
      </c>
      <c r="S27" s="1051" t="s">
        <v>176</v>
      </c>
      <c r="T27" s="1051" t="s">
        <v>176</v>
      </c>
      <c r="U27" s="1052" t="s">
        <v>176</v>
      </c>
      <c r="V27" s="1051" t="s">
        <v>175</v>
      </c>
      <c r="W27" s="1051" t="s">
        <v>175</v>
      </c>
      <c r="X27" s="1052" t="s">
        <v>175</v>
      </c>
      <c r="Y27" s="1053" t="s">
        <v>175</v>
      </c>
      <c r="Z27" s="1051" t="s">
        <v>175</v>
      </c>
      <c r="AA27" s="1051" t="s">
        <v>175</v>
      </c>
      <c r="AB27" s="1052" t="s">
        <v>175</v>
      </c>
      <c r="AC27" s="1051" t="s">
        <v>175</v>
      </c>
      <c r="AD27" s="1051" t="s">
        <v>175</v>
      </c>
      <c r="AE27" s="1052" t="s">
        <v>175</v>
      </c>
      <c r="AF27" s="1051" t="s">
        <v>175</v>
      </c>
      <c r="AG27" s="1051">
        <v>14517.60083136</v>
      </c>
      <c r="AH27" s="1051">
        <v>296086.9382137084</v>
      </c>
      <c r="AI27" s="1051" t="s">
        <v>175</v>
      </c>
      <c r="AJ27" s="1052">
        <v>592173.87642741681</v>
      </c>
      <c r="AK27" s="1051" t="s">
        <v>175</v>
      </c>
      <c r="AL27" s="1051">
        <v>6437.8445753166661</v>
      </c>
      <c r="AM27" s="1052">
        <v>12875.689150633332</v>
      </c>
      <c r="AN27" s="1051" t="s">
        <v>175</v>
      </c>
      <c r="AO27" s="1051" t="s">
        <v>175</v>
      </c>
      <c r="AP27" s="1052" t="s">
        <v>177</v>
      </c>
      <c r="AQ27" s="1051" t="s">
        <v>175</v>
      </c>
      <c r="AR27" s="1051" t="s">
        <v>175</v>
      </c>
      <c r="AS27" s="1052" t="s">
        <v>177</v>
      </c>
      <c r="AT27" s="1051" t="s">
        <v>176</v>
      </c>
      <c r="AU27" s="1051" t="s">
        <v>175</v>
      </c>
      <c r="AV27" s="1052" t="s">
        <v>177</v>
      </c>
      <c r="AW27" s="1051" t="s">
        <v>175</v>
      </c>
      <c r="AX27" s="1051">
        <v>187326</v>
      </c>
      <c r="AY27" s="1053" t="s">
        <v>175</v>
      </c>
      <c r="AZ27" s="1051" t="s">
        <v>175</v>
      </c>
      <c r="BA27" s="1051">
        <v>166.8614</v>
      </c>
      <c r="BB27" s="1053" t="s">
        <v>175</v>
      </c>
      <c r="BC27" s="1051" t="s">
        <v>175</v>
      </c>
      <c r="BD27" s="1051" t="s">
        <v>175</v>
      </c>
      <c r="BE27" s="1053" t="s">
        <v>175</v>
      </c>
      <c r="BF27" s="1051" t="s">
        <v>175</v>
      </c>
      <c r="BG27" s="1051">
        <v>4996.5276366720009</v>
      </c>
      <c r="BH27" s="1053" t="s">
        <v>175</v>
      </c>
      <c r="BI27" s="1052" t="s">
        <v>177</v>
      </c>
      <c r="BJ27" s="1052" t="s">
        <v>177</v>
      </c>
      <c r="BK27" s="1052" t="s">
        <v>177</v>
      </c>
      <c r="BL27" s="1052" t="s">
        <v>177</v>
      </c>
      <c r="BM27" s="1052" t="s">
        <v>177</v>
      </c>
      <c r="BN27" s="1054">
        <v>466677.683654978</v>
      </c>
      <c r="BO27" s="1076" t="str">
        <f t="shared" si="0"/>
        <v>City of Sydney_2013</v>
      </c>
      <c r="BP27" s="1051">
        <v>3840169.140837057</v>
      </c>
      <c r="BQ27" s="1052">
        <v>4445218.7064151075</v>
      </c>
      <c r="BR27" s="1054">
        <v>4911896.3900700854</v>
      </c>
      <c r="BS27" s="1053">
        <v>482300.61722506845</v>
      </c>
      <c r="BT27" s="1051">
        <v>3345154.9690113598</v>
      </c>
      <c r="BU27" s="1051">
        <v>302524.78278902505</v>
      </c>
      <c r="BV27" s="1051">
        <v>192489.38903667199</v>
      </c>
      <c r="BW27" s="1052">
        <v>3345154.9690113598</v>
      </c>
      <c r="BX27" s="1052">
        <v>907574.3483670752</v>
      </c>
      <c r="BY27" s="1052">
        <v>192489.38903667199</v>
      </c>
      <c r="BZ27" s="1052" t="s">
        <v>1637</v>
      </c>
      <c r="CA27" s="1052" t="s">
        <v>1637</v>
      </c>
      <c r="CB27" s="1053">
        <v>186213.67901136004</v>
      </c>
      <c r="CC27" s="1053" t="s">
        <v>1637</v>
      </c>
      <c r="CD27" s="1053">
        <v>296086.9382137084</v>
      </c>
      <c r="CE27" s="1053" t="s">
        <v>1637</v>
      </c>
      <c r="CF27" s="1053" t="s">
        <v>1637</v>
      </c>
      <c r="CG27" s="1053" t="s">
        <v>1637</v>
      </c>
      <c r="CH27" s="1053" t="s">
        <v>1637</v>
      </c>
      <c r="CI27" s="1123">
        <v>391326.47675999999</v>
      </c>
      <c r="CJ27" s="1123">
        <v>2939310.8914199998</v>
      </c>
      <c r="CK27" s="1123" t="s">
        <v>1637</v>
      </c>
      <c r="CL27" s="1123" t="s">
        <v>1637</v>
      </c>
      <c r="CM27" s="1123" t="s">
        <v>1637</v>
      </c>
      <c r="CN27" s="1123" t="s">
        <v>1637</v>
      </c>
      <c r="CO27" s="1123" t="s">
        <v>1637</v>
      </c>
      <c r="CP27" s="1123">
        <v>14517.60083136</v>
      </c>
      <c r="CQ27" s="1123">
        <v>296086.9382137084</v>
      </c>
      <c r="CR27" s="1123">
        <v>6437.8445753166661</v>
      </c>
      <c r="CS27" s="1123" t="s">
        <v>1637</v>
      </c>
      <c r="CT27" s="1123" t="s">
        <v>1637</v>
      </c>
      <c r="CU27" s="1123" t="s">
        <v>1637</v>
      </c>
      <c r="CV27" s="1123">
        <v>187326</v>
      </c>
      <c r="CW27" s="1123">
        <v>166.8614</v>
      </c>
      <c r="CX27" s="1123" t="s">
        <v>1637</v>
      </c>
      <c r="CY27" s="1123">
        <v>4996.5276366720009</v>
      </c>
      <c r="CZ27" s="1114">
        <v>391326.47675999999</v>
      </c>
      <c r="DA27" s="1114">
        <v>2939310.8914199998</v>
      </c>
      <c r="DB27" s="1114" t="s">
        <v>1637</v>
      </c>
      <c r="DC27" s="1114" t="s">
        <v>1637</v>
      </c>
      <c r="DD27" s="1114" t="s">
        <v>1637</v>
      </c>
      <c r="DE27" s="1114" t="s">
        <v>1637</v>
      </c>
      <c r="DF27" s="1114" t="s">
        <v>1637</v>
      </c>
      <c r="DG27" s="1114">
        <v>14517.60083136</v>
      </c>
      <c r="DH27" s="1114">
        <v>888260.81464112527</v>
      </c>
      <c r="DI27" s="1114">
        <v>19313.533725949997</v>
      </c>
      <c r="DJ27" s="1114" t="s">
        <v>1637</v>
      </c>
      <c r="DK27" s="1114" t="s">
        <v>1637</v>
      </c>
      <c r="DL27" s="1114" t="s">
        <v>1637</v>
      </c>
      <c r="DM27" s="1114">
        <v>187326</v>
      </c>
      <c r="DN27" s="1114">
        <v>166.8614</v>
      </c>
      <c r="DO27" s="1114" t="s">
        <v>1637</v>
      </c>
      <c r="DP27" s="1114">
        <v>4996.5276366720009</v>
      </c>
      <c r="DQ27" s="1114" t="s">
        <v>1637</v>
      </c>
      <c r="DR27" s="1114" t="s">
        <v>1637</v>
      </c>
      <c r="DS27" s="1114" t="s">
        <v>1637</v>
      </c>
      <c r="DT27" s="1114" t="s">
        <v>1637</v>
      </c>
      <c r="DU27" s="1114" t="s">
        <v>1637</v>
      </c>
      <c r="DV27" s="1115">
        <v>466677.683654978</v>
      </c>
      <c r="DW27" s="1116">
        <v>62918.876760000014</v>
      </c>
      <c r="DX27" s="1116">
        <v>108777.20142000003</v>
      </c>
      <c r="DY27" s="1116" t="s">
        <v>1637</v>
      </c>
      <c r="DZ27" s="1116" t="s">
        <v>1637</v>
      </c>
      <c r="EA27" s="1116" t="s">
        <v>1637</v>
      </c>
      <c r="EB27" s="1116" t="s">
        <v>1637</v>
      </c>
      <c r="EC27" s="1116" t="s">
        <v>1637</v>
      </c>
      <c r="ED27" s="1116" t="s">
        <v>1637</v>
      </c>
      <c r="EE27" s="1116">
        <v>14517.60083136</v>
      </c>
      <c r="EF27" s="1116">
        <v>296086.9382137084</v>
      </c>
      <c r="EG27" s="1116" t="s">
        <v>1637</v>
      </c>
      <c r="EH27" s="1116" t="s">
        <v>1637</v>
      </c>
      <c r="EI27" s="1116" t="s">
        <v>1637</v>
      </c>
      <c r="EJ27" s="1116" t="s">
        <v>1637</v>
      </c>
      <c r="EK27" s="1116" t="s">
        <v>1637</v>
      </c>
      <c r="EL27" s="1116" t="s">
        <v>1637</v>
      </c>
      <c r="EM27" s="1116" t="s">
        <v>1637</v>
      </c>
      <c r="EN27" s="1116" t="s">
        <v>1637</v>
      </c>
      <c r="EO27" s="1116" t="s">
        <v>1637</v>
      </c>
      <c r="EP27" s="1116" t="s">
        <v>1637</v>
      </c>
      <c r="EQ27" s="1116" t="s">
        <v>1637</v>
      </c>
      <c r="ER27" s="1116" t="s">
        <v>1637</v>
      </c>
      <c r="ES27" s="1116" t="s">
        <v>1637</v>
      </c>
    </row>
    <row r="28" spans="1:149" s="1121" customFormat="1" ht="15" customHeight="1">
      <c r="A28" s="1185">
        <v>18</v>
      </c>
      <c r="B28" s="1055" t="s">
        <v>1753</v>
      </c>
      <c r="C28" s="1055" t="s">
        <v>1313</v>
      </c>
      <c r="D28" s="1055" t="s">
        <v>1645</v>
      </c>
      <c r="E28" s="1055" t="s">
        <v>689</v>
      </c>
      <c r="F28" s="1049">
        <v>2014</v>
      </c>
      <c r="G28" s="1049">
        <v>2014</v>
      </c>
      <c r="H28" s="1049" t="str">
        <f t="shared" si="1"/>
        <v>Amman_2014</v>
      </c>
      <c r="I28" s="1049" t="s">
        <v>172</v>
      </c>
      <c r="J28" s="1049">
        <v>3400000</v>
      </c>
      <c r="K28" s="1049">
        <v>801.92</v>
      </c>
      <c r="L28" s="1043">
        <v>15068000000</v>
      </c>
      <c r="M28" s="1051">
        <v>483248.6152</v>
      </c>
      <c r="N28" s="1051">
        <v>1968947.0314325637</v>
      </c>
      <c r="O28" s="1052" t="s">
        <v>177</v>
      </c>
      <c r="P28" s="1051">
        <v>324177.9565731418</v>
      </c>
      <c r="Q28" s="1051">
        <v>1650150.0633058769</v>
      </c>
      <c r="R28" s="1052" t="s">
        <v>177</v>
      </c>
      <c r="S28" s="1051">
        <v>54447.44720000001</v>
      </c>
      <c r="T28" s="1051">
        <v>273706.57809387986</v>
      </c>
      <c r="U28" s="1052" t="s">
        <v>177</v>
      </c>
      <c r="V28" s="1051" t="s">
        <v>175</v>
      </c>
      <c r="W28" s="1051" t="s">
        <v>175</v>
      </c>
      <c r="X28" s="1052" t="s">
        <v>175</v>
      </c>
      <c r="Y28" s="1053" t="s">
        <v>175</v>
      </c>
      <c r="Z28" s="1051" t="s">
        <v>175</v>
      </c>
      <c r="AA28" s="1051" t="s">
        <v>175</v>
      </c>
      <c r="AB28" s="1052" t="s">
        <v>175</v>
      </c>
      <c r="AC28" s="1051" t="s">
        <v>175</v>
      </c>
      <c r="AD28" s="1051" t="s">
        <v>175</v>
      </c>
      <c r="AE28" s="1052" t="s">
        <v>175</v>
      </c>
      <c r="AF28" s="1051" t="s">
        <v>175</v>
      </c>
      <c r="AG28" s="1051" t="s">
        <v>175</v>
      </c>
      <c r="AH28" s="1051">
        <v>2267555.2573226788</v>
      </c>
      <c r="AI28" s="1051" t="s">
        <v>175</v>
      </c>
      <c r="AJ28" s="1052" t="s">
        <v>177</v>
      </c>
      <c r="AK28" s="1051" t="s">
        <v>175</v>
      </c>
      <c r="AL28" s="1051" t="s">
        <v>175</v>
      </c>
      <c r="AM28" s="1052" t="s">
        <v>175</v>
      </c>
      <c r="AN28" s="1051" t="s">
        <v>175</v>
      </c>
      <c r="AO28" s="1051" t="s">
        <v>175</v>
      </c>
      <c r="AP28" s="1052" t="s">
        <v>175</v>
      </c>
      <c r="AQ28" s="1051" t="s">
        <v>175</v>
      </c>
      <c r="AR28" s="1051" t="s">
        <v>175</v>
      </c>
      <c r="AS28" s="1052" t="s">
        <v>177</v>
      </c>
      <c r="AT28" s="1051" t="s">
        <v>175</v>
      </c>
      <c r="AU28" s="1051" t="s">
        <v>175</v>
      </c>
      <c r="AV28" s="1052" t="s">
        <v>177</v>
      </c>
      <c r="AW28" s="1051">
        <v>164198.02410000007</v>
      </c>
      <c r="AX28" s="1051" t="s">
        <v>175</v>
      </c>
      <c r="AY28" s="1053">
        <v>28976.121900000006</v>
      </c>
      <c r="AZ28" s="1051" t="s">
        <v>175</v>
      </c>
      <c r="BA28" s="1051" t="s">
        <v>175</v>
      </c>
      <c r="BB28" s="1053" t="s">
        <v>175</v>
      </c>
      <c r="BC28" s="1051" t="s">
        <v>175</v>
      </c>
      <c r="BD28" s="1051" t="s">
        <v>175</v>
      </c>
      <c r="BE28" s="1053" t="s">
        <v>175</v>
      </c>
      <c r="BF28" s="1051" t="s">
        <v>175</v>
      </c>
      <c r="BG28" s="1051">
        <v>244990.84</v>
      </c>
      <c r="BH28" s="1053" t="s">
        <v>175</v>
      </c>
      <c r="BI28" s="1052" t="s">
        <v>177</v>
      </c>
      <c r="BJ28" s="1052" t="s">
        <v>177</v>
      </c>
      <c r="BK28" s="1052" t="s">
        <v>177</v>
      </c>
      <c r="BL28" s="1052" t="s">
        <v>177</v>
      </c>
      <c r="BM28" s="1052" t="s">
        <v>177</v>
      </c>
      <c r="BN28" s="1054" t="s">
        <v>177</v>
      </c>
      <c r="BO28" s="1076" t="str">
        <f t="shared" si="0"/>
        <v>Amman_2014</v>
      </c>
      <c r="BP28" s="1051">
        <v>7431421.8132281415</v>
      </c>
      <c r="BQ28" s="1052">
        <v>7431421.8132281415</v>
      </c>
      <c r="BR28" s="1054">
        <v>7431421.8132281415</v>
      </c>
      <c r="BS28" s="1053">
        <v>3322603.4222958209</v>
      </c>
      <c r="BT28" s="1051">
        <v>4754677.6918054624</v>
      </c>
      <c r="BU28" s="1051">
        <v>2267555.2573226788</v>
      </c>
      <c r="BV28" s="1051">
        <v>409188.86410000006</v>
      </c>
      <c r="BW28" s="1052">
        <v>4754677.6918054624</v>
      </c>
      <c r="BX28" s="1052">
        <v>2267555.2573226788</v>
      </c>
      <c r="BY28" s="1052">
        <v>409188.86410000006</v>
      </c>
      <c r="BZ28" s="1052" t="s">
        <v>1637</v>
      </c>
      <c r="CA28" s="1052" t="s">
        <v>1637</v>
      </c>
      <c r="CB28" s="1053">
        <v>861874.01897314191</v>
      </c>
      <c r="CC28" s="1053" t="s">
        <v>1637</v>
      </c>
      <c r="CD28" s="1053">
        <v>2267555.2573226788</v>
      </c>
      <c r="CE28" s="1053">
        <v>164198.02410000007</v>
      </c>
      <c r="CF28" s="1053">
        <v>28976.121900000006</v>
      </c>
      <c r="CG28" s="1053" t="s">
        <v>1637</v>
      </c>
      <c r="CH28" s="1053" t="s">
        <v>1637</v>
      </c>
      <c r="CI28" s="1051">
        <v>2452195.6466325638</v>
      </c>
      <c r="CJ28" s="1051">
        <v>1974328.0198790187</v>
      </c>
      <c r="CK28" s="1051">
        <v>328154.02529387985</v>
      </c>
      <c r="CL28" s="1051" t="s">
        <v>1637</v>
      </c>
      <c r="CM28" s="1051" t="s">
        <v>1637</v>
      </c>
      <c r="CN28" s="1051" t="s">
        <v>1637</v>
      </c>
      <c r="CO28" s="1051" t="s">
        <v>1637</v>
      </c>
      <c r="CP28" s="1051" t="s">
        <v>1637</v>
      </c>
      <c r="CQ28" s="1051">
        <v>2267555.2573226788</v>
      </c>
      <c r="CR28" s="1051" t="s">
        <v>1637</v>
      </c>
      <c r="CS28" s="1051" t="s">
        <v>1637</v>
      </c>
      <c r="CT28" s="1051" t="s">
        <v>1637</v>
      </c>
      <c r="CU28" s="1051" t="s">
        <v>1637</v>
      </c>
      <c r="CV28" s="1051">
        <v>164198.02410000007</v>
      </c>
      <c r="CW28" s="1051" t="s">
        <v>1637</v>
      </c>
      <c r="CX28" s="1051" t="s">
        <v>1637</v>
      </c>
      <c r="CY28" s="1051">
        <v>244990.84</v>
      </c>
      <c r="CZ28" s="1118">
        <v>2452195.6466325638</v>
      </c>
      <c r="DA28" s="1118">
        <v>1974328.0198790187</v>
      </c>
      <c r="DB28" s="1118">
        <v>328154.02529387985</v>
      </c>
      <c r="DC28" s="1118" t="s">
        <v>1637</v>
      </c>
      <c r="DD28" s="1118" t="s">
        <v>1637</v>
      </c>
      <c r="DE28" s="1118" t="s">
        <v>1637</v>
      </c>
      <c r="DF28" s="1118" t="s">
        <v>1637</v>
      </c>
      <c r="DG28" s="1118" t="s">
        <v>1637</v>
      </c>
      <c r="DH28" s="1118">
        <v>2267555.2573226788</v>
      </c>
      <c r="DI28" s="1118" t="s">
        <v>1637</v>
      </c>
      <c r="DJ28" s="1118" t="s">
        <v>1637</v>
      </c>
      <c r="DK28" s="1118" t="s">
        <v>1637</v>
      </c>
      <c r="DL28" s="1118" t="s">
        <v>1637</v>
      </c>
      <c r="DM28" s="1118">
        <v>164198.02410000007</v>
      </c>
      <c r="DN28" s="1118" t="s">
        <v>1637</v>
      </c>
      <c r="DO28" s="1118" t="s">
        <v>1637</v>
      </c>
      <c r="DP28" s="1118">
        <v>244990.84</v>
      </c>
      <c r="DQ28" s="1118" t="s">
        <v>1637</v>
      </c>
      <c r="DR28" s="1118" t="s">
        <v>1637</v>
      </c>
      <c r="DS28" s="1118" t="s">
        <v>1637</v>
      </c>
      <c r="DT28" s="1118" t="s">
        <v>1637</v>
      </c>
      <c r="DU28" s="1118" t="s">
        <v>1637</v>
      </c>
      <c r="DV28" s="1119" t="s">
        <v>1637</v>
      </c>
      <c r="DW28" s="1120">
        <v>483248.6152</v>
      </c>
      <c r="DX28" s="1120">
        <v>324177.9565731418</v>
      </c>
      <c r="DY28" s="1120">
        <v>54447.44720000001</v>
      </c>
      <c r="DZ28" s="1120" t="s">
        <v>1637</v>
      </c>
      <c r="EA28" s="1120" t="s">
        <v>1637</v>
      </c>
      <c r="EB28" s="1120" t="s">
        <v>1637</v>
      </c>
      <c r="EC28" s="1120" t="s">
        <v>1637</v>
      </c>
      <c r="ED28" s="1120" t="s">
        <v>1637</v>
      </c>
      <c r="EE28" s="1120" t="s">
        <v>1637</v>
      </c>
      <c r="EF28" s="1120">
        <v>2267555.2573226788</v>
      </c>
      <c r="EG28" s="1120" t="s">
        <v>1637</v>
      </c>
      <c r="EH28" s="1120" t="s">
        <v>1637</v>
      </c>
      <c r="EI28" s="1120" t="s">
        <v>1637</v>
      </c>
      <c r="EJ28" s="1120" t="s">
        <v>1637</v>
      </c>
      <c r="EK28" s="1120">
        <v>193174.14600000007</v>
      </c>
      <c r="EL28" s="1120" t="s">
        <v>1637</v>
      </c>
      <c r="EM28" s="1120" t="s">
        <v>1637</v>
      </c>
      <c r="EN28" s="1120" t="s">
        <v>1637</v>
      </c>
      <c r="EO28" s="1120" t="s">
        <v>1637</v>
      </c>
      <c r="EP28" s="1120" t="s">
        <v>1637</v>
      </c>
      <c r="EQ28" s="1120" t="s">
        <v>1637</v>
      </c>
      <c r="ER28" s="1120" t="s">
        <v>1637</v>
      </c>
      <c r="ES28" s="1120" t="s">
        <v>1637</v>
      </c>
    </row>
    <row r="29" spans="1:149" s="1121" customFormat="1" ht="15" customHeight="1">
      <c r="A29" s="1185">
        <v>19</v>
      </c>
      <c r="B29" s="1055" t="s">
        <v>1752</v>
      </c>
      <c r="C29" s="1055" t="s">
        <v>1737</v>
      </c>
      <c r="D29" s="1048" t="s">
        <v>1141</v>
      </c>
      <c r="E29" s="1055" t="s">
        <v>687</v>
      </c>
      <c r="F29" s="1049">
        <v>2013</v>
      </c>
      <c r="G29" s="1049">
        <v>2013</v>
      </c>
      <c r="H29" s="1049" t="str">
        <f t="shared" si="1"/>
        <v>Boston_2013</v>
      </c>
      <c r="I29" s="1049" t="s">
        <v>172</v>
      </c>
      <c r="J29" s="1049">
        <v>644710</v>
      </c>
      <c r="K29" s="1049">
        <v>125</v>
      </c>
      <c r="L29" s="1043">
        <v>109829400000</v>
      </c>
      <c r="M29" s="1051">
        <v>835785.2789264</v>
      </c>
      <c r="N29" s="1051">
        <v>453026.13390925678</v>
      </c>
      <c r="O29" s="1052" t="s">
        <v>177</v>
      </c>
      <c r="P29" s="1051">
        <v>1179180.4138613134</v>
      </c>
      <c r="Q29" s="1051">
        <v>1920851.019574417</v>
      </c>
      <c r="R29" s="1052" t="s">
        <v>177</v>
      </c>
      <c r="S29" s="1051" t="s">
        <v>176</v>
      </c>
      <c r="T29" s="1051" t="s">
        <v>176</v>
      </c>
      <c r="U29" s="1052" t="s">
        <v>177</v>
      </c>
      <c r="V29" s="1051" t="s">
        <v>175</v>
      </c>
      <c r="W29" s="1051" t="s">
        <v>175</v>
      </c>
      <c r="X29" s="1052" t="s">
        <v>175</v>
      </c>
      <c r="Y29" s="1053">
        <v>184998.88686706795</v>
      </c>
      <c r="Z29" s="1051" t="s">
        <v>175</v>
      </c>
      <c r="AA29" s="1051" t="s">
        <v>175</v>
      </c>
      <c r="AB29" s="1052" t="s">
        <v>175</v>
      </c>
      <c r="AC29" s="1051" t="s">
        <v>175</v>
      </c>
      <c r="AD29" s="1051" t="s">
        <v>175</v>
      </c>
      <c r="AE29" s="1052" t="s">
        <v>175</v>
      </c>
      <c r="AF29" s="1051" t="s">
        <v>175</v>
      </c>
      <c r="AG29" s="1051">
        <v>22586.198969997196</v>
      </c>
      <c r="AH29" s="1051">
        <v>1506122.2340378426</v>
      </c>
      <c r="AI29" s="1051" t="s">
        <v>175</v>
      </c>
      <c r="AJ29" s="1052" t="s">
        <v>177</v>
      </c>
      <c r="AK29" s="1051">
        <v>15466.198512840001</v>
      </c>
      <c r="AL29" s="1051">
        <v>55082.925822987258</v>
      </c>
      <c r="AM29" s="1052" t="s">
        <v>177</v>
      </c>
      <c r="AN29" s="1051">
        <v>385.67362240000006</v>
      </c>
      <c r="AO29" s="1051" t="s">
        <v>175</v>
      </c>
      <c r="AP29" s="1052" t="s">
        <v>177</v>
      </c>
      <c r="AQ29" s="1051" t="s">
        <v>175</v>
      </c>
      <c r="AR29" s="1051" t="s">
        <v>175</v>
      </c>
      <c r="AS29" s="1052" t="s">
        <v>177</v>
      </c>
      <c r="AT29" s="1051">
        <v>19754.778761830741</v>
      </c>
      <c r="AU29" s="1051" t="s">
        <v>175</v>
      </c>
      <c r="AV29" s="1052" t="s">
        <v>177</v>
      </c>
      <c r="AW29" s="1051" t="s">
        <v>175</v>
      </c>
      <c r="AX29" s="1051" t="s">
        <v>175</v>
      </c>
      <c r="AY29" s="1053" t="s">
        <v>175</v>
      </c>
      <c r="AZ29" s="1051" t="s">
        <v>175</v>
      </c>
      <c r="BA29" s="1051" t="s">
        <v>175</v>
      </c>
      <c r="BB29" s="1053" t="s">
        <v>175</v>
      </c>
      <c r="BC29" s="1051" t="s">
        <v>175</v>
      </c>
      <c r="BD29" s="1051">
        <v>0</v>
      </c>
      <c r="BE29" s="1053" t="s">
        <v>175</v>
      </c>
      <c r="BF29" s="1051">
        <v>17120.961810486329</v>
      </c>
      <c r="BG29" s="1051" t="s">
        <v>175</v>
      </c>
      <c r="BH29" s="1053">
        <v>34760.740645532846</v>
      </c>
      <c r="BI29" s="1052" t="s">
        <v>177</v>
      </c>
      <c r="BJ29" s="1052" t="s">
        <v>177</v>
      </c>
      <c r="BK29" s="1052" t="s">
        <v>177</v>
      </c>
      <c r="BL29" s="1052" t="s">
        <v>177</v>
      </c>
      <c r="BM29" s="1052" t="s">
        <v>177</v>
      </c>
      <c r="BN29" s="1054" t="s">
        <v>177</v>
      </c>
      <c r="BO29" s="1076" t="str">
        <f t="shared" si="0"/>
        <v>Boston_2013</v>
      </c>
      <c r="BP29" s="1051">
        <v>6025361.8178097717</v>
      </c>
      <c r="BQ29" s="1052">
        <v>6025361.8178097717</v>
      </c>
      <c r="BR29" s="1054">
        <v>6025361.8178097717</v>
      </c>
      <c r="BS29" s="1053">
        <v>3816161.3660157113</v>
      </c>
      <c r="BT29" s="1051">
        <v>4411429.0452413848</v>
      </c>
      <c r="BU29" s="1051">
        <v>1596811.8107579006</v>
      </c>
      <c r="BV29" s="1051">
        <v>17120.961810486329</v>
      </c>
      <c r="BW29" s="1052">
        <v>4411429.0452413848</v>
      </c>
      <c r="BX29" s="1052">
        <v>1596811.8107579006</v>
      </c>
      <c r="BY29" s="1052">
        <v>17120.961810486329</v>
      </c>
      <c r="BZ29" s="1052" t="s">
        <v>1637</v>
      </c>
      <c r="CA29" s="1052" t="s">
        <v>1637</v>
      </c>
      <c r="CB29" s="1053">
        <v>2037551.8917577106</v>
      </c>
      <c r="CC29" s="1053">
        <v>184998.88686706795</v>
      </c>
      <c r="CD29" s="1053">
        <v>1541728.8849349134</v>
      </c>
      <c r="CE29" s="1053">
        <v>17120.961810486329</v>
      </c>
      <c r="CF29" s="1053">
        <v>34760.740645532846</v>
      </c>
      <c r="CG29" s="1053" t="s">
        <v>1637</v>
      </c>
      <c r="CH29" s="1053" t="s">
        <v>1637</v>
      </c>
      <c r="CI29" s="1051">
        <v>1288811.4128356567</v>
      </c>
      <c r="CJ29" s="1051">
        <v>3100031.4334357306</v>
      </c>
      <c r="CK29" s="1051" t="s">
        <v>1637</v>
      </c>
      <c r="CL29" s="1051" t="s">
        <v>1637</v>
      </c>
      <c r="CM29" s="1051" t="s">
        <v>1637</v>
      </c>
      <c r="CN29" s="1051" t="s">
        <v>1637</v>
      </c>
      <c r="CO29" s="1051" t="s">
        <v>1637</v>
      </c>
      <c r="CP29" s="1051">
        <v>22586.198969997196</v>
      </c>
      <c r="CQ29" s="1051">
        <v>1506122.2340378426</v>
      </c>
      <c r="CR29" s="1051">
        <v>70549.124335827262</v>
      </c>
      <c r="CS29" s="1051">
        <v>385.67362240000006</v>
      </c>
      <c r="CT29" s="1051" t="s">
        <v>1637</v>
      </c>
      <c r="CU29" s="1051">
        <v>19754.778761830741</v>
      </c>
      <c r="CV29" s="1051" t="s">
        <v>1637</v>
      </c>
      <c r="CW29" s="1051" t="s">
        <v>1637</v>
      </c>
      <c r="CX29" s="1051" t="s">
        <v>1637</v>
      </c>
      <c r="CY29" s="1051">
        <v>17120.961810486329</v>
      </c>
      <c r="CZ29" s="1118">
        <v>1288811.4128356567</v>
      </c>
      <c r="DA29" s="1118">
        <v>3100031.4334357306</v>
      </c>
      <c r="DB29" s="1118" t="s">
        <v>1637</v>
      </c>
      <c r="DC29" s="1118" t="s">
        <v>1637</v>
      </c>
      <c r="DD29" s="1118" t="s">
        <v>1637</v>
      </c>
      <c r="DE29" s="1118" t="s">
        <v>1637</v>
      </c>
      <c r="DF29" s="1118" t="s">
        <v>1637</v>
      </c>
      <c r="DG29" s="1118">
        <v>22586.198969997196</v>
      </c>
      <c r="DH29" s="1118">
        <v>1506122.2340378426</v>
      </c>
      <c r="DI29" s="1118">
        <v>70549.124335827262</v>
      </c>
      <c r="DJ29" s="1118">
        <v>385.67362240000006</v>
      </c>
      <c r="DK29" s="1118" t="s">
        <v>1637</v>
      </c>
      <c r="DL29" s="1118">
        <v>19754.778761830741</v>
      </c>
      <c r="DM29" s="1118" t="s">
        <v>1637</v>
      </c>
      <c r="DN29" s="1118" t="s">
        <v>1637</v>
      </c>
      <c r="DO29" s="1118" t="s">
        <v>1637</v>
      </c>
      <c r="DP29" s="1118">
        <v>17120.961810486329</v>
      </c>
      <c r="DQ29" s="1118" t="s">
        <v>1637</v>
      </c>
      <c r="DR29" s="1118" t="s">
        <v>1637</v>
      </c>
      <c r="DS29" s="1118" t="s">
        <v>1637</v>
      </c>
      <c r="DT29" s="1118" t="s">
        <v>1637</v>
      </c>
      <c r="DU29" s="1118" t="s">
        <v>1637</v>
      </c>
      <c r="DV29" s="1119" t="s">
        <v>1637</v>
      </c>
      <c r="DW29" s="1120">
        <v>835785.2789264</v>
      </c>
      <c r="DX29" s="1120">
        <v>1179180.4138613134</v>
      </c>
      <c r="DY29" s="1120" t="s">
        <v>1637</v>
      </c>
      <c r="DZ29" s="1120" t="s">
        <v>1637</v>
      </c>
      <c r="EA29" s="1120">
        <v>184998.88686706795</v>
      </c>
      <c r="EB29" s="1120" t="s">
        <v>1637</v>
      </c>
      <c r="EC29" s="1120" t="s">
        <v>1637</v>
      </c>
      <c r="ED29" s="1120" t="s">
        <v>1637</v>
      </c>
      <c r="EE29" s="1120">
        <v>22586.198969997196</v>
      </c>
      <c r="EF29" s="1120">
        <v>1506122.2340378426</v>
      </c>
      <c r="EG29" s="1120">
        <v>15466.198512840001</v>
      </c>
      <c r="EH29" s="1120">
        <v>385.67362240000006</v>
      </c>
      <c r="EI29" s="1120" t="s">
        <v>1637</v>
      </c>
      <c r="EJ29" s="1120">
        <v>19754.778761830741</v>
      </c>
      <c r="EK29" s="1120" t="s">
        <v>1637</v>
      </c>
      <c r="EL29" s="1120" t="s">
        <v>1637</v>
      </c>
      <c r="EM29" s="1120" t="s">
        <v>1637</v>
      </c>
      <c r="EN29" s="1120">
        <v>51881.702456019178</v>
      </c>
      <c r="EO29" s="1120" t="s">
        <v>1637</v>
      </c>
      <c r="EP29" s="1120" t="s">
        <v>1637</v>
      </c>
      <c r="EQ29" s="1120" t="s">
        <v>1637</v>
      </c>
      <c r="ER29" s="1120" t="s">
        <v>1637</v>
      </c>
      <c r="ES29" s="1120" t="s">
        <v>1637</v>
      </c>
    </row>
    <row r="30" spans="1:149" s="1121" customFormat="1" ht="15" customHeight="1">
      <c r="A30" s="1185">
        <v>20</v>
      </c>
      <c r="B30" s="1055" t="s">
        <v>1736</v>
      </c>
      <c r="C30" s="1055" t="s">
        <v>1737</v>
      </c>
      <c r="D30" s="1048" t="s">
        <v>1141</v>
      </c>
      <c r="E30" s="1055" t="s">
        <v>687</v>
      </c>
      <c r="F30" s="1049">
        <v>2014</v>
      </c>
      <c r="G30" s="1049">
        <v>2014</v>
      </c>
      <c r="H30" s="1049" t="str">
        <f t="shared" si="1"/>
        <v>New York City_2014</v>
      </c>
      <c r="I30" s="1049" t="s">
        <v>172</v>
      </c>
      <c r="J30" s="1049">
        <v>8491079</v>
      </c>
      <c r="K30" s="1049">
        <v>783.8</v>
      </c>
      <c r="L30" s="1043">
        <v>778000000000</v>
      </c>
      <c r="M30" s="1051">
        <v>12473016.674175525</v>
      </c>
      <c r="N30" s="1051">
        <v>4948626.6313407924</v>
      </c>
      <c r="O30" s="1052" t="s">
        <v>177</v>
      </c>
      <c r="P30" s="1051">
        <v>6726920.5643910356</v>
      </c>
      <c r="Q30" s="1051">
        <v>7968472.6632246189</v>
      </c>
      <c r="R30" s="1052" t="s">
        <v>177</v>
      </c>
      <c r="S30" s="1051">
        <v>1574821.8984741361</v>
      </c>
      <c r="T30" s="1051">
        <v>2894286.7229397646</v>
      </c>
      <c r="U30" s="1052" t="s">
        <v>177</v>
      </c>
      <c r="V30" s="1051" t="s">
        <v>176</v>
      </c>
      <c r="W30" s="1051" t="s">
        <v>176</v>
      </c>
      <c r="X30" s="1052" t="s">
        <v>177</v>
      </c>
      <c r="Y30" s="1053">
        <v>11501119.360133234</v>
      </c>
      <c r="Z30" s="1051" t="s">
        <v>175</v>
      </c>
      <c r="AA30" s="1051" t="s">
        <v>175</v>
      </c>
      <c r="AB30" s="1052" t="s">
        <v>175</v>
      </c>
      <c r="AC30" s="1051" t="s">
        <v>175</v>
      </c>
      <c r="AD30" s="1051" t="s">
        <v>175</v>
      </c>
      <c r="AE30" s="1052" t="s">
        <v>175</v>
      </c>
      <c r="AF30" s="1051" t="s">
        <v>175</v>
      </c>
      <c r="AG30" s="1051">
        <v>220859.4716810603</v>
      </c>
      <c r="AH30" s="1051">
        <v>10909755.63631295</v>
      </c>
      <c r="AI30" s="1051" t="s">
        <v>176</v>
      </c>
      <c r="AJ30" s="1052">
        <v>592.23559614710268</v>
      </c>
      <c r="AK30" s="1051">
        <v>14801.209979342193</v>
      </c>
      <c r="AL30" s="1051">
        <v>854337.52940495266</v>
      </c>
      <c r="AM30" s="1052">
        <v>75451.635895589992</v>
      </c>
      <c r="AN30" s="1051">
        <v>37815.617446276767</v>
      </c>
      <c r="AO30" s="1051" t="s">
        <v>175</v>
      </c>
      <c r="AP30" s="1052" t="s">
        <v>175</v>
      </c>
      <c r="AQ30" s="1051">
        <v>2338.0227676172349</v>
      </c>
      <c r="AR30" s="1051" t="s">
        <v>175</v>
      </c>
      <c r="AS30" s="1052">
        <v>16013185.586246293</v>
      </c>
      <c r="AT30" s="1051" t="s">
        <v>175</v>
      </c>
      <c r="AU30" s="1051" t="s">
        <v>176</v>
      </c>
      <c r="AV30" s="1052" t="s">
        <v>177</v>
      </c>
      <c r="AW30" s="1051">
        <v>76625.640066178064</v>
      </c>
      <c r="AX30" s="1051">
        <v>2228483.5187383043</v>
      </c>
      <c r="AY30" s="1053" t="s">
        <v>175</v>
      </c>
      <c r="AZ30" s="1051" t="s">
        <v>175</v>
      </c>
      <c r="BA30" s="1051" t="s">
        <v>175</v>
      </c>
      <c r="BB30" s="1053" t="s">
        <v>175</v>
      </c>
      <c r="BC30" s="1051" t="s">
        <v>175</v>
      </c>
      <c r="BD30" s="1051">
        <v>162459.47862631147</v>
      </c>
      <c r="BE30" s="1053" t="s">
        <v>175</v>
      </c>
      <c r="BF30" s="1051">
        <v>217357.21084569639</v>
      </c>
      <c r="BG30" s="1051" t="s">
        <v>175</v>
      </c>
      <c r="BH30" s="1053" t="s">
        <v>175</v>
      </c>
      <c r="BI30" s="1052" t="s">
        <v>177</v>
      </c>
      <c r="BJ30" s="1052">
        <v>172383.9346463336</v>
      </c>
      <c r="BK30" s="1052" t="s">
        <v>177</v>
      </c>
      <c r="BL30" s="1052" t="s">
        <v>177</v>
      </c>
      <c r="BM30" s="1052" t="s">
        <v>177</v>
      </c>
      <c r="BN30" s="1054" t="s">
        <v>177</v>
      </c>
      <c r="BO30" s="1076" t="str">
        <f t="shared" si="0"/>
        <v>New York City_2014</v>
      </c>
      <c r="BP30" s="1051">
        <v>51310978.49041456</v>
      </c>
      <c r="BQ30" s="1052">
        <v>67572591.88279894</v>
      </c>
      <c r="BR30" s="1054">
        <v>67572591.882798925</v>
      </c>
      <c r="BS30" s="1053">
        <v>43927815.240919389</v>
      </c>
      <c r="BT30" s="1051">
        <v>36807004.626226932</v>
      </c>
      <c r="BU30" s="1051">
        <v>11819048.01591114</v>
      </c>
      <c r="BV30" s="1051">
        <v>2684925.8482764899</v>
      </c>
      <c r="BW30" s="1052">
        <v>36807004.626226932</v>
      </c>
      <c r="BX30" s="1052">
        <v>27908277.47364917</v>
      </c>
      <c r="BY30" s="1052">
        <v>2684925.8482764899</v>
      </c>
      <c r="BZ30" s="1052">
        <v>172383.9346463336</v>
      </c>
      <c r="CA30" s="1052" t="s">
        <v>1637</v>
      </c>
      <c r="CB30" s="1053">
        <v>20995618.608721759</v>
      </c>
      <c r="CC30" s="1053">
        <v>11501119.360133234</v>
      </c>
      <c r="CD30" s="1053">
        <v>10964710.486506186</v>
      </c>
      <c r="CE30" s="1053">
        <v>293982.85091187444</v>
      </c>
      <c r="CF30" s="1053" t="s">
        <v>1637</v>
      </c>
      <c r="CG30" s="1053">
        <v>172383.9346463336</v>
      </c>
      <c r="CH30" s="1053" t="s">
        <v>1637</v>
      </c>
      <c r="CI30" s="1051">
        <v>17421643.305516317</v>
      </c>
      <c r="CJ30" s="1051">
        <v>14695393.227615654</v>
      </c>
      <c r="CK30" s="1051">
        <v>4469108.6214139005</v>
      </c>
      <c r="CL30" s="1051" t="s">
        <v>1637</v>
      </c>
      <c r="CM30" s="1051" t="s">
        <v>1637</v>
      </c>
      <c r="CN30" s="1051" t="s">
        <v>1637</v>
      </c>
      <c r="CO30" s="1051" t="s">
        <v>1637</v>
      </c>
      <c r="CP30" s="1051">
        <v>220859.4716810603</v>
      </c>
      <c r="CQ30" s="1051">
        <v>10909755.63631295</v>
      </c>
      <c r="CR30" s="1051">
        <v>869138.73938429484</v>
      </c>
      <c r="CS30" s="1051">
        <v>37815.617446276767</v>
      </c>
      <c r="CT30" s="1051">
        <v>2338.0227676172349</v>
      </c>
      <c r="CU30" s="1051" t="s">
        <v>1637</v>
      </c>
      <c r="CV30" s="1051">
        <v>2305109.1588044823</v>
      </c>
      <c r="CW30" s="1051" t="s">
        <v>1637</v>
      </c>
      <c r="CX30" s="1051">
        <v>162459.47862631147</v>
      </c>
      <c r="CY30" s="1051">
        <v>217357.21084569639</v>
      </c>
      <c r="CZ30" s="1118">
        <v>17421643.305516317</v>
      </c>
      <c r="DA30" s="1118">
        <v>14695393.227615654</v>
      </c>
      <c r="DB30" s="1118">
        <v>4469108.6214139005</v>
      </c>
      <c r="DC30" s="1118" t="s">
        <v>1637</v>
      </c>
      <c r="DD30" s="1118" t="s">
        <v>1637</v>
      </c>
      <c r="DE30" s="1118" t="s">
        <v>1637</v>
      </c>
      <c r="DF30" s="1118" t="s">
        <v>1637</v>
      </c>
      <c r="DG30" s="1118">
        <v>220859.4716810603</v>
      </c>
      <c r="DH30" s="1118">
        <v>10910347.871909097</v>
      </c>
      <c r="DI30" s="1118">
        <v>944590.37527988479</v>
      </c>
      <c r="DJ30" s="1118">
        <v>37815.617446276767</v>
      </c>
      <c r="DK30" s="1118">
        <v>16015523.609013909</v>
      </c>
      <c r="DL30" s="1118" t="s">
        <v>1637</v>
      </c>
      <c r="DM30" s="1118">
        <v>2305109.1588044823</v>
      </c>
      <c r="DN30" s="1118" t="s">
        <v>1637</v>
      </c>
      <c r="DO30" s="1118">
        <v>162459.47862631147</v>
      </c>
      <c r="DP30" s="1118">
        <v>217357.21084569639</v>
      </c>
      <c r="DQ30" s="1118" t="s">
        <v>1637</v>
      </c>
      <c r="DR30" s="1118">
        <v>172383.9346463336</v>
      </c>
      <c r="DS30" s="1118" t="s">
        <v>1637</v>
      </c>
      <c r="DT30" s="1118" t="s">
        <v>1637</v>
      </c>
      <c r="DU30" s="1118" t="s">
        <v>1637</v>
      </c>
      <c r="DV30" s="1119" t="s">
        <v>1637</v>
      </c>
      <c r="DW30" s="1120">
        <v>12473016.674175525</v>
      </c>
      <c r="DX30" s="1120">
        <v>6726920.5643910356</v>
      </c>
      <c r="DY30" s="1120">
        <v>1574821.8984741361</v>
      </c>
      <c r="DZ30" s="1120" t="s">
        <v>1637</v>
      </c>
      <c r="EA30" s="1120">
        <v>11501119.360133234</v>
      </c>
      <c r="EB30" s="1120" t="s">
        <v>1637</v>
      </c>
      <c r="EC30" s="1120" t="s">
        <v>1637</v>
      </c>
      <c r="ED30" s="1120" t="s">
        <v>1637</v>
      </c>
      <c r="EE30" s="1120">
        <v>220859.4716810603</v>
      </c>
      <c r="EF30" s="1120">
        <v>10909755.63631295</v>
      </c>
      <c r="EG30" s="1120">
        <v>14801.209979342193</v>
      </c>
      <c r="EH30" s="1120">
        <v>37815.617446276767</v>
      </c>
      <c r="EI30" s="1120">
        <v>2338.0227676172349</v>
      </c>
      <c r="EJ30" s="1120" t="s">
        <v>1637</v>
      </c>
      <c r="EK30" s="1120">
        <v>76625.640066178064</v>
      </c>
      <c r="EL30" s="1120" t="s">
        <v>1637</v>
      </c>
      <c r="EM30" s="1120" t="s">
        <v>1637</v>
      </c>
      <c r="EN30" s="1120">
        <v>217357.21084569639</v>
      </c>
      <c r="EO30" s="1120" t="s">
        <v>1637</v>
      </c>
      <c r="EP30" s="1120">
        <v>172383.9346463336</v>
      </c>
      <c r="EQ30" s="1120" t="s">
        <v>1637</v>
      </c>
      <c r="ER30" s="1120" t="s">
        <v>1637</v>
      </c>
      <c r="ES30" s="1120" t="s">
        <v>1637</v>
      </c>
    </row>
    <row r="31" spans="1:149" s="1039" customFormat="1" ht="15" customHeight="1">
      <c r="A31" s="1185">
        <v>21</v>
      </c>
      <c r="B31" s="1055" t="s">
        <v>1738</v>
      </c>
      <c r="C31" s="1055" t="s">
        <v>1737</v>
      </c>
      <c r="D31" s="1048" t="s">
        <v>1141</v>
      </c>
      <c r="E31" s="1055" t="s">
        <v>687</v>
      </c>
      <c r="F31" s="1049">
        <v>2012</v>
      </c>
      <c r="G31" s="1049">
        <v>2012</v>
      </c>
      <c r="H31" s="1049" t="str">
        <f t="shared" si="1"/>
        <v>Philadelphia_2012</v>
      </c>
      <c r="I31" s="1049" t="s">
        <v>172</v>
      </c>
      <c r="J31" s="1049">
        <v>1547607</v>
      </c>
      <c r="K31" s="1049">
        <v>347.31741</v>
      </c>
      <c r="L31" s="1043">
        <v>367916000000</v>
      </c>
      <c r="M31" s="1051">
        <v>1923615.8201678949</v>
      </c>
      <c r="N31" s="1051">
        <v>1765192.6269305907</v>
      </c>
      <c r="O31" s="1052" t="s">
        <v>177</v>
      </c>
      <c r="P31" s="1051">
        <v>2153170.932409496</v>
      </c>
      <c r="Q31" s="1051">
        <v>4451926.4292392386</v>
      </c>
      <c r="R31" s="1052" t="s">
        <v>177</v>
      </c>
      <c r="S31" s="1051">
        <v>2711505</v>
      </c>
      <c r="T31" s="1051" t="s">
        <v>176</v>
      </c>
      <c r="U31" s="1052" t="s">
        <v>177</v>
      </c>
      <c r="V31" s="1051" t="s">
        <v>176</v>
      </c>
      <c r="W31" s="1051" t="s">
        <v>176</v>
      </c>
      <c r="X31" s="1052" t="s">
        <v>177</v>
      </c>
      <c r="Y31" s="1053">
        <v>695301.23</v>
      </c>
      <c r="Z31" s="1051" t="s">
        <v>175</v>
      </c>
      <c r="AA31" s="1051" t="s">
        <v>175</v>
      </c>
      <c r="AB31" s="1052" t="s">
        <v>175</v>
      </c>
      <c r="AC31" s="1051" t="s">
        <v>175</v>
      </c>
      <c r="AD31" s="1051" t="s">
        <v>175</v>
      </c>
      <c r="AE31" s="1052" t="s">
        <v>175</v>
      </c>
      <c r="AF31" s="1051" t="s">
        <v>175</v>
      </c>
      <c r="AG31" s="1051">
        <v>487098</v>
      </c>
      <c r="AH31" s="1051">
        <v>2966057.44</v>
      </c>
      <c r="AI31" s="1051" t="s">
        <v>176</v>
      </c>
      <c r="AJ31" s="1052" t="s">
        <v>177</v>
      </c>
      <c r="AK31" s="1051" t="s">
        <v>175</v>
      </c>
      <c r="AL31" s="1051">
        <v>328280.05796384555</v>
      </c>
      <c r="AM31" s="1052" t="s">
        <v>177</v>
      </c>
      <c r="AN31" s="1051" t="s">
        <v>175</v>
      </c>
      <c r="AO31" s="1051" t="s">
        <v>175</v>
      </c>
      <c r="AP31" s="1052" t="s">
        <v>175</v>
      </c>
      <c r="AQ31" s="1051" t="s">
        <v>175</v>
      </c>
      <c r="AR31" s="1051" t="s">
        <v>175</v>
      </c>
      <c r="AS31" s="1052" t="s">
        <v>177</v>
      </c>
      <c r="AT31" s="1051" t="s">
        <v>176</v>
      </c>
      <c r="AU31" s="1051" t="s">
        <v>176</v>
      </c>
      <c r="AV31" s="1052" t="s">
        <v>175</v>
      </c>
      <c r="AW31" s="1051" t="s">
        <v>175</v>
      </c>
      <c r="AX31" s="1051">
        <v>1454390.9211399693</v>
      </c>
      <c r="AY31" s="1053" t="s">
        <v>175</v>
      </c>
      <c r="AZ31" s="1051" t="s">
        <v>175</v>
      </c>
      <c r="BA31" s="1051" t="s">
        <v>175</v>
      </c>
      <c r="BB31" s="1046" t="s">
        <v>175</v>
      </c>
      <c r="BC31" s="1051" t="s">
        <v>175</v>
      </c>
      <c r="BD31" s="1051">
        <v>216697.97588422181</v>
      </c>
      <c r="BE31" s="1046" t="s">
        <v>175</v>
      </c>
      <c r="BF31" s="1051">
        <v>29977</v>
      </c>
      <c r="BG31" s="1051" t="s">
        <v>175</v>
      </c>
      <c r="BH31" s="1046" t="s">
        <v>175</v>
      </c>
      <c r="BI31" s="1052">
        <v>1596444</v>
      </c>
      <c r="BJ31" s="1052">
        <v>10873</v>
      </c>
      <c r="BK31" s="1052" t="s">
        <v>177</v>
      </c>
      <c r="BL31" s="1052" t="s">
        <v>177</v>
      </c>
      <c r="BM31" s="1052" t="s">
        <v>177</v>
      </c>
      <c r="BN31" s="1054" t="s">
        <v>177</v>
      </c>
      <c r="BO31" s="1076" t="str">
        <f t="shared" si="0"/>
        <v>Philadelphia_2012</v>
      </c>
      <c r="BP31" s="1051">
        <v>18487912.203735258</v>
      </c>
      <c r="BQ31" s="1052">
        <v>20095229.203735258</v>
      </c>
      <c r="BR31" s="1054">
        <v>20095229.203735258</v>
      </c>
      <c r="BS31" s="1053">
        <v>12574042.42257739</v>
      </c>
      <c r="BT31" s="1051">
        <v>13492508.808747221</v>
      </c>
      <c r="BU31" s="1051">
        <v>3294337.4979638457</v>
      </c>
      <c r="BV31" s="1051">
        <v>1701065.897024191</v>
      </c>
      <c r="BW31" s="1052">
        <v>13492508.808747221</v>
      </c>
      <c r="BX31" s="1052">
        <v>3294337.4979638457</v>
      </c>
      <c r="BY31" s="1052">
        <v>1701065.897024191</v>
      </c>
      <c r="BZ31" s="1052">
        <v>1607317</v>
      </c>
      <c r="CA31" s="1052" t="s">
        <v>1637</v>
      </c>
      <c r="CB31" s="1053">
        <v>7275389.7525773905</v>
      </c>
      <c r="CC31" s="1053">
        <v>695301.23</v>
      </c>
      <c r="CD31" s="1053">
        <v>2966057.44</v>
      </c>
      <c r="CE31" s="1053">
        <v>29977</v>
      </c>
      <c r="CF31" s="1053" t="s">
        <v>1637</v>
      </c>
      <c r="CG31" s="1053">
        <v>1607317</v>
      </c>
      <c r="CH31" s="1053" t="s">
        <v>1637</v>
      </c>
      <c r="CI31" s="1051">
        <v>3688808.4470984857</v>
      </c>
      <c r="CJ31" s="1051">
        <v>6605097.3616487347</v>
      </c>
      <c r="CK31" s="1051">
        <v>2711505</v>
      </c>
      <c r="CL31" s="1051" t="s">
        <v>1637</v>
      </c>
      <c r="CM31" s="1051" t="s">
        <v>1637</v>
      </c>
      <c r="CN31" s="1051" t="s">
        <v>1637</v>
      </c>
      <c r="CO31" s="1051" t="s">
        <v>1637</v>
      </c>
      <c r="CP31" s="1051">
        <v>487098</v>
      </c>
      <c r="CQ31" s="1051">
        <v>2966057.44</v>
      </c>
      <c r="CR31" s="1051">
        <v>328280.05796384555</v>
      </c>
      <c r="CS31" s="1051" t="s">
        <v>1637</v>
      </c>
      <c r="CT31" s="1051" t="s">
        <v>1637</v>
      </c>
      <c r="CU31" s="1051" t="s">
        <v>1637</v>
      </c>
      <c r="CV31" s="1051">
        <v>1454390.9211399693</v>
      </c>
      <c r="CW31" s="1051" t="s">
        <v>1637</v>
      </c>
      <c r="CX31" s="1051">
        <v>216697.97588422181</v>
      </c>
      <c r="CY31" s="1051">
        <v>29977</v>
      </c>
      <c r="CZ31" s="1114">
        <v>3688808.4470984857</v>
      </c>
      <c r="DA31" s="1114">
        <v>6605097.3616487347</v>
      </c>
      <c r="DB31" s="1114">
        <v>2711505</v>
      </c>
      <c r="DC31" s="1114" t="s">
        <v>1637</v>
      </c>
      <c r="DD31" s="1114" t="s">
        <v>1637</v>
      </c>
      <c r="DE31" s="1114" t="s">
        <v>1637</v>
      </c>
      <c r="DF31" s="1114" t="s">
        <v>1637</v>
      </c>
      <c r="DG31" s="1114">
        <v>487098</v>
      </c>
      <c r="DH31" s="1114">
        <v>2966057.44</v>
      </c>
      <c r="DI31" s="1114">
        <v>328280.05796384555</v>
      </c>
      <c r="DJ31" s="1114" t="s">
        <v>1637</v>
      </c>
      <c r="DK31" s="1114" t="s">
        <v>1637</v>
      </c>
      <c r="DL31" s="1114" t="s">
        <v>1637</v>
      </c>
      <c r="DM31" s="1114">
        <v>1454390.9211399693</v>
      </c>
      <c r="DN31" s="1114" t="s">
        <v>1637</v>
      </c>
      <c r="DO31" s="1114">
        <v>216697.97588422181</v>
      </c>
      <c r="DP31" s="1114">
        <v>29977</v>
      </c>
      <c r="DQ31" s="1114">
        <v>1596444</v>
      </c>
      <c r="DR31" s="1114">
        <v>10873</v>
      </c>
      <c r="DS31" s="1114" t="s">
        <v>1637</v>
      </c>
      <c r="DT31" s="1114" t="s">
        <v>1637</v>
      </c>
      <c r="DU31" s="1114" t="s">
        <v>1637</v>
      </c>
      <c r="DV31" s="1115" t="s">
        <v>1637</v>
      </c>
      <c r="DW31" s="1116">
        <v>1923615.8201678949</v>
      </c>
      <c r="DX31" s="1116">
        <v>2153170.932409496</v>
      </c>
      <c r="DY31" s="1116">
        <v>2711505</v>
      </c>
      <c r="DZ31" s="1116" t="s">
        <v>1637</v>
      </c>
      <c r="EA31" s="1116">
        <v>695301.23</v>
      </c>
      <c r="EB31" s="1116" t="s">
        <v>1637</v>
      </c>
      <c r="EC31" s="1116" t="s">
        <v>1637</v>
      </c>
      <c r="ED31" s="1116" t="s">
        <v>1637</v>
      </c>
      <c r="EE31" s="1116">
        <v>487098</v>
      </c>
      <c r="EF31" s="1116">
        <v>2966057.44</v>
      </c>
      <c r="EG31" s="1116" t="s">
        <v>1637</v>
      </c>
      <c r="EH31" s="1116" t="s">
        <v>1637</v>
      </c>
      <c r="EI31" s="1116" t="s">
        <v>1637</v>
      </c>
      <c r="EJ31" s="1116" t="s">
        <v>1637</v>
      </c>
      <c r="EK31" s="1116" t="s">
        <v>1637</v>
      </c>
      <c r="EL31" s="1116" t="s">
        <v>1637</v>
      </c>
      <c r="EM31" s="1116" t="s">
        <v>1637</v>
      </c>
      <c r="EN31" s="1116">
        <v>29977</v>
      </c>
      <c r="EO31" s="1116">
        <v>1596444</v>
      </c>
      <c r="EP31" s="1116">
        <v>10873</v>
      </c>
      <c r="EQ31" s="1116" t="s">
        <v>1637</v>
      </c>
      <c r="ER31" s="1116" t="s">
        <v>1637</v>
      </c>
      <c r="ES31" s="1116" t="s">
        <v>1637</v>
      </c>
    </row>
    <row r="32" spans="1:149" s="1121" customFormat="1" ht="15" customHeight="1">
      <c r="A32" s="1185">
        <v>22</v>
      </c>
      <c r="B32" s="1055" t="s">
        <v>1754</v>
      </c>
      <c r="C32" s="1055" t="s">
        <v>1418</v>
      </c>
      <c r="D32" s="1048" t="s">
        <v>1141</v>
      </c>
      <c r="E32" s="1055" t="s">
        <v>1755</v>
      </c>
      <c r="F32" s="1049">
        <v>2013</v>
      </c>
      <c r="G32" s="1049">
        <v>2013</v>
      </c>
      <c r="H32" s="1049" t="str">
        <f t="shared" si="1"/>
        <v>Portland_2013</v>
      </c>
      <c r="I32" s="1049" t="s">
        <v>172</v>
      </c>
      <c r="J32" s="1049">
        <v>766135</v>
      </c>
      <c r="K32" s="1049">
        <v>1206.2</v>
      </c>
      <c r="L32" s="1043">
        <v>163692000000</v>
      </c>
      <c r="M32" s="1051">
        <v>625101.80135526101</v>
      </c>
      <c r="N32" s="1051">
        <v>915327.55634858948</v>
      </c>
      <c r="O32" s="1052" t="s">
        <v>177</v>
      </c>
      <c r="P32" s="1051">
        <v>480556.67304030189</v>
      </c>
      <c r="Q32" s="1051">
        <v>1403251.1809733764</v>
      </c>
      <c r="R32" s="1052" t="s">
        <v>177</v>
      </c>
      <c r="S32" s="1051">
        <v>706538.95974610059</v>
      </c>
      <c r="T32" s="1051">
        <v>623990.7739873192</v>
      </c>
      <c r="U32" s="1052" t="s">
        <v>177</v>
      </c>
      <c r="V32" s="1051" t="s">
        <v>175</v>
      </c>
      <c r="W32" s="1051" t="s">
        <v>175</v>
      </c>
      <c r="X32" s="1052" t="s">
        <v>175</v>
      </c>
      <c r="Y32" s="1053" t="s">
        <v>175</v>
      </c>
      <c r="Z32" s="1051" t="s">
        <v>175</v>
      </c>
      <c r="AA32" s="1051" t="s">
        <v>175</v>
      </c>
      <c r="AB32" s="1052" t="s">
        <v>175</v>
      </c>
      <c r="AC32" s="1051" t="s">
        <v>175</v>
      </c>
      <c r="AD32" s="1051" t="s">
        <v>175</v>
      </c>
      <c r="AE32" s="1052" t="s">
        <v>175</v>
      </c>
      <c r="AF32" s="1051" t="s">
        <v>175</v>
      </c>
      <c r="AG32" s="1051">
        <v>14778</v>
      </c>
      <c r="AH32" s="1051">
        <v>2830124.1746198987</v>
      </c>
      <c r="AI32" s="1051" t="s">
        <v>176</v>
      </c>
      <c r="AJ32" s="1052" t="s">
        <v>177</v>
      </c>
      <c r="AK32" s="1051" t="s">
        <v>175</v>
      </c>
      <c r="AL32" s="1051" t="s">
        <v>176</v>
      </c>
      <c r="AM32" s="1052" t="s">
        <v>177</v>
      </c>
      <c r="AN32" s="1051" t="s">
        <v>175</v>
      </c>
      <c r="AO32" s="1051" t="s">
        <v>175</v>
      </c>
      <c r="AP32" s="1052" t="s">
        <v>177</v>
      </c>
      <c r="AQ32" s="1051" t="s">
        <v>175</v>
      </c>
      <c r="AR32" s="1051" t="s">
        <v>175</v>
      </c>
      <c r="AS32" s="1052" t="s">
        <v>177</v>
      </c>
      <c r="AT32" s="1051" t="s">
        <v>176</v>
      </c>
      <c r="AU32" s="1051" t="s">
        <v>176</v>
      </c>
      <c r="AV32" s="1052" t="s">
        <v>177</v>
      </c>
      <c r="AW32" s="1051" t="s">
        <v>175</v>
      </c>
      <c r="AX32" s="1051">
        <v>93080</v>
      </c>
      <c r="AY32" s="1053" t="s">
        <v>175</v>
      </c>
      <c r="AZ32" s="1051" t="s">
        <v>175</v>
      </c>
      <c r="BA32" s="1051" t="s">
        <v>175</v>
      </c>
      <c r="BB32" s="1053" t="s">
        <v>175</v>
      </c>
      <c r="BC32" s="1051" t="s">
        <v>175</v>
      </c>
      <c r="BD32" s="1051" t="s">
        <v>175</v>
      </c>
      <c r="BE32" s="1053" t="s">
        <v>175</v>
      </c>
      <c r="BF32" s="1051">
        <v>17521</v>
      </c>
      <c r="BG32" s="1051" t="s">
        <v>175</v>
      </c>
      <c r="BH32" s="1053" t="s">
        <v>175</v>
      </c>
      <c r="BI32" s="1052" t="s">
        <v>177</v>
      </c>
      <c r="BJ32" s="1052" t="s">
        <v>177</v>
      </c>
      <c r="BK32" s="1052" t="s">
        <v>177</v>
      </c>
      <c r="BL32" s="1052" t="s">
        <v>177</v>
      </c>
      <c r="BM32" s="1052" t="s">
        <v>177</v>
      </c>
      <c r="BN32" s="1054" t="s">
        <v>177</v>
      </c>
      <c r="BO32" s="1076" t="str">
        <f t="shared" si="0"/>
        <v>Portland_2013</v>
      </c>
      <c r="BP32" s="1051">
        <v>7710270.1200708468</v>
      </c>
      <c r="BQ32" s="1052">
        <v>7710270.1200708468</v>
      </c>
      <c r="BR32" s="1054">
        <v>7710270.1200708468</v>
      </c>
      <c r="BS32" s="1053">
        <v>4674620.608761562</v>
      </c>
      <c r="BT32" s="1051">
        <v>4769544.9454509486</v>
      </c>
      <c r="BU32" s="1051">
        <v>2830124.1746198987</v>
      </c>
      <c r="BV32" s="1051">
        <v>110601</v>
      </c>
      <c r="BW32" s="1052">
        <v>4769544.9454509486</v>
      </c>
      <c r="BX32" s="1052">
        <v>2830124.1746198987</v>
      </c>
      <c r="BY32" s="1052">
        <v>110601</v>
      </c>
      <c r="BZ32" s="1052" t="s">
        <v>1637</v>
      </c>
      <c r="CA32" s="1052" t="s">
        <v>1637</v>
      </c>
      <c r="CB32" s="1053">
        <v>1826975.4341416634</v>
      </c>
      <c r="CC32" s="1053" t="s">
        <v>1637</v>
      </c>
      <c r="CD32" s="1053">
        <v>2830124.1746198987</v>
      </c>
      <c r="CE32" s="1053">
        <v>17521</v>
      </c>
      <c r="CF32" s="1053" t="s">
        <v>1637</v>
      </c>
      <c r="CG32" s="1053" t="s">
        <v>1637</v>
      </c>
      <c r="CH32" s="1053" t="s">
        <v>1637</v>
      </c>
      <c r="CI32" s="1051">
        <v>1540429.3577038506</v>
      </c>
      <c r="CJ32" s="1051">
        <v>1883807.8540136782</v>
      </c>
      <c r="CK32" s="1051">
        <v>1330529.7337334198</v>
      </c>
      <c r="CL32" s="1051" t="s">
        <v>1637</v>
      </c>
      <c r="CM32" s="1051" t="s">
        <v>1637</v>
      </c>
      <c r="CN32" s="1051" t="s">
        <v>1637</v>
      </c>
      <c r="CO32" s="1051" t="s">
        <v>1637</v>
      </c>
      <c r="CP32" s="1051">
        <v>14778</v>
      </c>
      <c r="CQ32" s="1051">
        <v>2830124.1746198987</v>
      </c>
      <c r="CR32" s="1051" t="s">
        <v>1637</v>
      </c>
      <c r="CS32" s="1051" t="s">
        <v>1637</v>
      </c>
      <c r="CT32" s="1051" t="s">
        <v>1637</v>
      </c>
      <c r="CU32" s="1051" t="s">
        <v>1637</v>
      </c>
      <c r="CV32" s="1051">
        <v>93080</v>
      </c>
      <c r="CW32" s="1051" t="s">
        <v>1637</v>
      </c>
      <c r="CX32" s="1051" t="s">
        <v>1637</v>
      </c>
      <c r="CY32" s="1051">
        <v>17521</v>
      </c>
      <c r="CZ32" s="1118">
        <v>1540429.3577038506</v>
      </c>
      <c r="DA32" s="1118">
        <v>1883807.8540136782</v>
      </c>
      <c r="DB32" s="1118">
        <v>1330529.7337334198</v>
      </c>
      <c r="DC32" s="1118" t="s">
        <v>1637</v>
      </c>
      <c r="DD32" s="1118" t="s">
        <v>1637</v>
      </c>
      <c r="DE32" s="1118" t="s">
        <v>1637</v>
      </c>
      <c r="DF32" s="1118" t="s">
        <v>1637</v>
      </c>
      <c r="DG32" s="1118">
        <v>14778</v>
      </c>
      <c r="DH32" s="1118">
        <v>2830124.1746198987</v>
      </c>
      <c r="DI32" s="1118" t="s">
        <v>1637</v>
      </c>
      <c r="DJ32" s="1118" t="s">
        <v>1637</v>
      </c>
      <c r="DK32" s="1118" t="s">
        <v>1637</v>
      </c>
      <c r="DL32" s="1118" t="s">
        <v>1637</v>
      </c>
      <c r="DM32" s="1118">
        <v>93080</v>
      </c>
      <c r="DN32" s="1118" t="s">
        <v>1637</v>
      </c>
      <c r="DO32" s="1118" t="s">
        <v>1637</v>
      </c>
      <c r="DP32" s="1118">
        <v>17521</v>
      </c>
      <c r="DQ32" s="1118" t="s">
        <v>1637</v>
      </c>
      <c r="DR32" s="1118" t="s">
        <v>1637</v>
      </c>
      <c r="DS32" s="1118" t="s">
        <v>1637</v>
      </c>
      <c r="DT32" s="1118" t="s">
        <v>1637</v>
      </c>
      <c r="DU32" s="1118" t="s">
        <v>1637</v>
      </c>
      <c r="DV32" s="1119" t="s">
        <v>1637</v>
      </c>
      <c r="DW32" s="1120">
        <v>625101.80135526101</v>
      </c>
      <c r="DX32" s="1120">
        <v>480556.67304030189</v>
      </c>
      <c r="DY32" s="1120">
        <v>706538.95974610059</v>
      </c>
      <c r="DZ32" s="1120" t="s">
        <v>1637</v>
      </c>
      <c r="EA32" s="1120" t="s">
        <v>1637</v>
      </c>
      <c r="EB32" s="1120" t="s">
        <v>1637</v>
      </c>
      <c r="EC32" s="1120" t="s">
        <v>1637</v>
      </c>
      <c r="ED32" s="1120" t="s">
        <v>1637</v>
      </c>
      <c r="EE32" s="1120">
        <v>14778</v>
      </c>
      <c r="EF32" s="1120">
        <v>2830124.1746198987</v>
      </c>
      <c r="EG32" s="1120" t="s">
        <v>1637</v>
      </c>
      <c r="EH32" s="1120" t="s">
        <v>1637</v>
      </c>
      <c r="EI32" s="1120" t="s">
        <v>1637</v>
      </c>
      <c r="EJ32" s="1120" t="s">
        <v>1637</v>
      </c>
      <c r="EK32" s="1120" t="s">
        <v>1637</v>
      </c>
      <c r="EL32" s="1120" t="s">
        <v>1637</v>
      </c>
      <c r="EM32" s="1120" t="s">
        <v>1637</v>
      </c>
      <c r="EN32" s="1120">
        <v>17521</v>
      </c>
      <c r="EO32" s="1120" t="s">
        <v>1637</v>
      </c>
      <c r="EP32" s="1120" t="s">
        <v>1637</v>
      </c>
      <c r="EQ32" s="1120" t="s">
        <v>1637</v>
      </c>
      <c r="ER32" s="1120" t="s">
        <v>1637</v>
      </c>
      <c r="ES32" s="1120" t="s">
        <v>1637</v>
      </c>
    </row>
    <row r="33" spans="1:149" s="1121" customFormat="1" ht="15" customHeight="1">
      <c r="A33" s="1185">
        <v>23</v>
      </c>
      <c r="B33" s="1055" t="s">
        <v>1756</v>
      </c>
      <c r="C33" s="1055" t="s">
        <v>1737</v>
      </c>
      <c r="D33" s="1048" t="s">
        <v>1141</v>
      </c>
      <c r="E33" s="1055" t="s">
        <v>687</v>
      </c>
      <c r="F33" s="1049">
        <v>2012</v>
      </c>
      <c r="G33" s="1049">
        <v>2012</v>
      </c>
      <c r="H33" s="1049" t="str">
        <f t="shared" si="1"/>
        <v>Seattle_2012</v>
      </c>
      <c r="I33" s="1049" t="s">
        <v>172</v>
      </c>
      <c r="J33" s="1049">
        <v>634535</v>
      </c>
      <c r="K33" s="1049">
        <v>215</v>
      </c>
      <c r="L33" s="1043">
        <v>48900000000</v>
      </c>
      <c r="M33" s="1051">
        <v>528855.079794358</v>
      </c>
      <c r="N33" s="1051">
        <v>29183.962546194882</v>
      </c>
      <c r="O33" s="1052" t="s">
        <v>177</v>
      </c>
      <c r="P33" s="1051">
        <v>738344.41832332755</v>
      </c>
      <c r="Q33" s="1051">
        <v>131044.14206086134</v>
      </c>
      <c r="R33" s="1052" t="s">
        <v>177</v>
      </c>
      <c r="S33" s="1051">
        <v>478144.64186621003</v>
      </c>
      <c r="T33" s="1051">
        <v>10711.95427714908</v>
      </c>
      <c r="U33" s="1052" t="s">
        <v>177</v>
      </c>
      <c r="V33" s="1051" t="s">
        <v>175</v>
      </c>
      <c r="W33" s="1051" t="s">
        <v>175</v>
      </c>
      <c r="X33" s="1052" t="s">
        <v>175</v>
      </c>
      <c r="Y33" s="1053">
        <v>76135.31563087285</v>
      </c>
      <c r="Z33" s="1051" t="s">
        <v>175</v>
      </c>
      <c r="AA33" s="1051" t="s">
        <v>175</v>
      </c>
      <c r="AB33" s="1052" t="s">
        <v>175</v>
      </c>
      <c r="AC33" s="1051" t="s">
        <v>175</v>
      </c>
      <c r="AD33" s="1051" t="s">
        <v>175</v>
      </c>
      <c r="AE33" s="1052" t="s">
        <v>175</v>
      </c>
      <c r="AF33" s="1051" t="s">
        <v>175</v>
      </c>
      <c r="AG33" s="1051">
        <v>14892.150118021164</v>
      </c>
      <c r="AH33" s="1051">
        <v>2142773.5754222055</v>
      </c>
      <c r="AI33" s="1051" t="s">
        <v>175</v>
      </c>
      <c r="AJ33" s="1052" t="s">
        <v>177</v>
      </c>
      <c r="AK33" s="1051">
        <v>64352.532031178234</v>
      </c>
      <c r="AL33" s="1051">
        <v>228.5609457331839</v>
      </c>
      <c r="AM33" s="1052" t="s">
        <v>177</v>
      </c>
      <c r="AN33" s="1051">
        <v>179760.36383026894</v>
      </c>
      <c r="AO33" s="1051" t="s">
        <v>175</v>
      </c>
      <c r="AP33" s="1052" t="s">
        <v>175</v>
      </c>
      <c r="AQ33" s="1051" t="s">
        <v>175</v>
      </c>
      <c r="AR33" s="1051" t="s">
        <v>175</v>
      </c>
      <c r="AS33" s="1052">
        <v>913981.86843026942</v>
      </c>
      <c r="AT33" s="1051" t="s">
        <v>175</v>
      </c>
      <c r="AU33" s="1051" t="s">
        <v>175</v>
      </c>
      <c r="AV33" s="1052" t="s">
        <v>175</v>
      </c>
      <c r="AW33" s="1051" t="s">
        <v>175</v>
      </c>
      <c r="AX33" s="1051">
        <v>45085</v>
      </c>
      <c r="AY33" s="1053" t="s">
        <v>175</v>
      </c>
      <c r="AZ33" s="1051" t="s">
        <v>175</v>
      </c>
      <c r="BA33" s="1051" t="s">
        <v>175</v>
      </c>
      <c r="BB33" s="1053" t="s">
        <v>175</v>
      </c>
      <c r="BC33" s="1051" t="s">
        <v>175</v>
      </c>
      <c r="BD33" s="1051" t="s">
        <v>175</v>
      </c>
      <c r="BE33" s="1053" t="s">
        <v>175</v>
      </c>
      <c r="BF33" s="1051">
        <v>1893.6372978030768</v>
      </c>
      <c r="BG33" s="1051" t="s">
        <v>175</v>
      </c>
      <c r="BH33" s="1053" t="s">
        <v>175</v>
      </c>
      <c r="BI33" s="1052">
        <v>408257</v>
      </c>
      <c r="BJ33" s="1052">
        <v>235454.56268919128</v>
      </c>
      <c r="BK33" s="1052" t="s">
        <v>177</v>
      </c>
      <c r="BL33" s="1052" t="s">
        <v>177</v>
      </c>
      <c r="BM33" s="1052" t="s">
        <v>177</v>
      </c>
      <c r="BN33" s="1054" t="s">
        <v>177</v>
      </c>
      <c r="BO33" s="1076" t="str">
        <f t="shared" si="0"/>
        <v>Seattle_2012</v>
      </c>
      <c r="BP33" s="1051">
        <v>4365270.0185133107</v>
      </c>
      <c r="BQ33" s="1052">
        <v>5922963.4496327722</v>
      </c>
      <c r="BR33" s="1054">
        <v>5922963.4496327722</v>
      </c>
      <c r="BS33" s="1053">
        <v>4868863.2770034373</v>
      </c>
      <c r="BT33" s="1051">
        <v>1931176.3489861221</v>
      </c>
      <c r="BU33" s="1051">
        <v>2387115.0322293853</v>
      </c>
      <c r="BV33" s="1051">
        <v>46978.637297803078</v>
      </c>
      <c r="BW33" s="1052">
        <v>1931176.3489861221</v>
      </c>
      <c r="BX33" s="1052">
        <v>3301096.9006596548</v>
      </c>
      <c r="BY33" s="1052">
        <v>46978.637297803078</v>
      </c>
      <c r="BZ33" s="1052">
        <v>643711.56268919131</v>
      </c>
      <c r="CA33" s="1052" t="s">
        <v>1637</v>
      </c>
      <c r="CB33" s="1053">
        <v>1760236.2901019168</v>
      </c>
      <c r="CC33" s="1053">
        <v>76135.31563087285</v>
      </c>
      <c r="CD33" s="1053">
        <v>2386886.4712836524</v>
      </c>
      <c r="CE33" s="1053">
        <v>1893.6372978030768</v>
      </c>
      <c r="CF33" s="1053" t="s">
        <v>1637</v>
      </c>
      <c r="CG33" s="1053">
        <v>643711.56268919131</v>
      </c>
      <c r="CH33" s="1053" t="s">
        <v>1637</v>
      </c>
      <c r="CI33" s="1051">
        <v>558039.0423405529</v>
      </c>
      <c r="CJ33" s="1051">
        <v>869388.5603841889</v>
      </c>
      <c r="CK33" s="1051">
        <v>488856.59614335909</v>
      </c>
      <c r="CL33" s="1051" t="s">
        <v>1637</v>
      </c>
      <c r="CM33" s="1051" t="s">
        <v>1637</v>
      </c>
      <c r="CN33" s="1051" t="s">
        <v>1637</v>
      </c>
      <c r="CO33" s="1051" t="s">
        <v>1637</v>
      </c>
      <c r="CP33" s="1051">
        <v>14892.150118021164</v>
      </c>
      <c r="CQ33" s="1051">
        <v>2142773.5754222055</v>
      </c>
      <c r="CR33" s="1051">
        <v>64581.092976911415</v>
      </c>
      <c r="CS33" s="1051">
        <v>179760.36383026894</v>
      </c>
      <c r="CT33" s="1051" t="s">
        <v>1637</v>
      </c>
      <c r="CU33" s="1051" t="s">
        <v>1637</v>
      </c>
      <c r="CV33" s="1051">
        <v>45085</v>
      </c>
      <c r="CW33" s="1051" t="s">
        <v>1637</v>
      </c>
      <c r="CX33" s="1051" t="s">
        <v>1637</v>
      </c>
      <c r="CY33" s="1051">
        <v>1893.6372978030768</v>
      </c>
      <c r="CZ33" s="1118">
        <v>558039.0423405529</v>
      </c>
      <c r="DA33" s="1118">
        <v>869388.5603841889</v>
      </c>
      <c r="DB33" s="1118">
        <v>488856.59614335909</v>
      </c>
      <c r="DC33" s="1118" t="s">
        <v>1637</v>
      </c>
      <c r="DD33" s="1118" t="s">
        <v>1637</v>
      </c>
      <c r="DE33" s="1118" t="s">
        <v>1637</v>
      </c>
      <c r="DF33" s="1118" t="s">
        <v>1637</v>
      </c>
      <c r="DG33" s="1118">
        <v>14892.150118021164</v>
      </c>
      <c r="DH33" s="1118">
        <v>2142773.5754222055</v>
      </c>
      <c r="DI33" s="1118">
        <v>64581.092976911415</v>
      </c>
      <c r="DJ33" s="1118">
        <v>179760.36383026894</v>
      </c>
      <c r="DK33" s="1118">
        <v>913981.86843026942</v>
      </c>
      <c r="DL33" s="1118" t="s">
        <v>1637</v>
      </c>
      <c r="DM33" s="1118">
        <v>45085</v>
      </c>
      <c r="DN33" s="1118" t="s">
        <v>1637</v>
      </c>
      <c r="DO33" s="1118" t="s">
        <v>1637</v>
      </c>
      <c r="DP33" s="1118">
        <v>1893.6372978030768</v>
      </c>
      <c r="DQ33" s="1118">
        <v>408257</v>
      </c>
      <c r="DR33" s="1118">
        <v>235454.56268919128</v>
      </c>
      <c r="DS33" s="1118" t="s">
        <v>1637</v>
      </c>
      <c r="DT33" s="1118" t="s">
        <v>1637</v>
      </c>
      <c r="DU33" s="1118" t="s">
        <v>1637</v>
      </c>
      <c r="DV33" s="1119" t="s">
        <v>1637</v>
      </c>
      <c r="DW33" s="1120">
        <v>528855.079794358</v>
      </c>
      <c r="DX33" s="1120">
        <v>738344.41832332755</v>
      </c>
      <c r="DY33" s="1120">
        <v>478144.64186621003</v>
      </c>
      <c r="DZ33" s="1120" t="s">
        <v>1637</v>
      </c>
      <c r="EA33" s="1120">
        <v>76135.31563087285</v>
      </c>
      <c r="EB33" s="1120" t="s">
        <v>1637</v>
      </c>
      <c r="EC33" s="1120" t="s">
        <v>1637</v>
      </c>
      <c r="ED33" s="1120" t="s">
        <v>1637</v>
      </c>
      <c r="EE33" s="1120">
        <v>14892.150118021164</v>
      </c>
      <c r="EF33" s="1120">
        <v>2142773.5754222055</v>
      </c>
      <c r="EG33" s="1120">
        <v>64352.532031178234</v>
      </c>
      <c r="EH33" s="1120">
        <v>179760.36383026894</v>
      </c>
      <c r="EI33" s="1120" t="s">
        <v>1637</v>
      </c>
      <c r="EJ33" s="1120" t="s">
        <v>1637</v>
      </c>
      <c r="EK33" s="1120" t="s">
        <v>1637</v>
      </c>
      <c r="EL33" s="1120" t="s">
        <v>1637</v>
      </c>
      <c r="EM33" s="1120" t="s">
        <v>1637</v>
      </c>
      <c r="EN33" s="1120">
        <v>1893.6372978030768</v>
      </c>
      <c r="EO33" s="1120">
        <v>408257</v>
      </c>
      <c r="EP33" s="1120">
        <v>235454.56268919128</v>
      </c>
      <c r="EQ33" s="1120" t="s">
        <v>1637</v>
      </c>
      <c r="ER33" s="1120" t="s">
        <v>1637</v>
      </c>
      <c r="ES33" s="1120" t="s">
        <v>1637</v>
      </c>
    </row>
    <row r="34" spans="1:149" s="1121" customFormat="1" ht="15" customHeight="1">
      <c r="A34" s="1185">
        <v>24</v>
      </c>
      <c r="B34" s="1055" t="s">
        <v>1757</v>
      </c>
      <c r="C34" s="1055" t="s">
        <v>1737</v>
      </c>
      <c r="D34" s="1055" t="s">
        <v>1134</v>
      </c>
      <c r="E34" s="1055" t="s">
        <v>687</v>
      </c>
      <c r="F34" s="1049">
        <v>2012</v>
      </c>
      <c r="G34" s="1049">
        <v>2012</v>
      </c>
      <c r="H34" s="1049" t="str">
        <f t="shared" si="1"/>
        <v>San Francisco_2012</v>
      </c>
      <c r="I34" s="1049" t="s">
        <v>172</v>
      </c>
      <c r="J34" s="1049">
        <v>827420</v>
      </c>
      <c r="K34" s="1049">
        <v>121</v>
      </c>
      <c r="L34" s="1043">
        <v>89205219000</v>
      </c>
      <c r="M34" s="1051">
        <v>767434.603626</v>
      </c>
      <c r="N34" s="1051">
        <v>283079.60335203569</v>
      </c>
      <c r="O34" s="1052">
        <v>26539.097051081186</v>
      </c>
      <c r="P34" s="1051">
        <v>684387.22342888103</v>
      </c>
      <c r="Q34" s="1051">
        <v>791168.20160823897</v>
      </c>
      <c r="R34" s="1052">
        <v>64480.793143729476</v>
      </c>
      <c r="S34" s="1051" t="s">
        <v>176</v>
      </c>
      <c r="T34" s="1051" t="s">
        <v>176</v>
      </c>
      <c r="U34" s="1052" t="s">
        <v>176</v>
      </c>
      <c r="V34" s="1051">
        <v>70.5</v>
      </c>
      <c r="W34" s="1051" t="s">
        <v>175</v>
      </c>
      <c r="X34" s="1052" t="s">
        <v>175</v>
      </c>
      <c r="Y34" s="1053">
        <v>64223.613422818788</v>
      </c>
      <c r="Z34" s="1051">
        <v>109</v>
      </c>
      <c r="AA34" s="1051" t="s">
        <v>175</v>
      </c>
      <c r="AB34" s="1052" t="s">
        <v>175</v>
      </c>
      <c r="AC34" s="1051">
        <v>169081</v>
      </c>
      <c r="AD34" s="1051" t="s">
        <v>175</v>
      </c>
      <c r="AE34" s="1052" t="s">
        <v>175</v>
      </c>
      <c r="AF34" s="1051">
        <v>0</v>
      </c>
      <c r="AG34" s="1051">
        <v>13279.46497460359</v>
      </c>
      <c r="AH34" s="1051">
        <v>1970894.4880138319</v>
      </c>
      <c r="AI34" s="1051" t="s">
        <v>176</v>
      </c>
      <c r="AJ34" s="1052" t="s">
        <v>176</v>
      </c>
      <c r="AK34" s="1051">
        <v>11521.719372400403</v>
      </c>
      <c r="AL34" s="1051">
        <v>57103.92393852731</v>
      </c>
      <c r="AM34" s="1052" t="s">
        <v>177</v>
      </c>
      <c r="AN34" s="1051">
        <v>554661</v>
      </c>
      <c r="AO34" s="1051" t="s">
        <v>175</v>
      </c>
      <c r="AP34" s="1052" t="s">
        <v>177</v>
      </c>
      <c r="AQ34" s="1051" t="s">
        <v>175</v>
      </c>
      <c r="AR34" s="1051" t="s">
        <v>175</v>
      </c>
      <c r="AS34" s="1052" t="s">
        <v>177</v>
      </c>
      <c r="AT34" s="1051" t="s">
        <v>175</v>
      </c>
      <c r="AU34" s="1051" t="s">
        <v>175</v>
      </c>
      <c r="AV34" s="1052" t="s">
        <v>177</v>
      </c>
      <c r="AW34" s="1051" t="s">
        <v>175</v>
      </c>
      <c r="AX34" s="1051">
        <v>180397.52506944002</v>
      </c>
      <c r="AY34" s="1053" t="s">
        <v>175</v>
      </c>
      <c r="AZ34" s="1051" t="s">
        <v>175</v>
      </c>
      <c r="BA34" s="1051" t="s">
        <v>175</v>
      </c>
      <c r="BB34" s="1053" t="s">
        <v>175</v>
      </c>
      <c r="BC34" s="1051" t="s">
        <v>175</v>
      </c>
      <c r="BD34" s="1051" t="s">
        <v>175</v>
      </c>
      <c r="BE34" s="1053" t="s">
        <v>175</v>
      </c>
      <c r="BF34" s="1051">
        <v>9324.9940362863308</v>
      </c>
      <c r="BG34" s="1051" t="s">
        <v>175</v>
      </c>
      <c r="BH34" s="1053" t="s">
        <v>175</v>
      </c>
      <c r="BI34" s="1052" t="s">
        <v>175</v>
      </c>
      <c r="BJ34" s="1052" t="s">
        <v>177</v>
      </c>
      <c r="BK34" s="1052" t="s">
        <v>175</v>
      </c>
      <c r="BL34" s="1052">
        <v>5346.9</v>
      </c>
      <c r="BM34" s="1052" t="s">
        <v>175</v>
      </c>
      <c r="BN34" s="1054" t="s">
        <v>177</v>
      </c>
      <c r="BO34" s="1076" t="str">
        <f t="shared" si="0"/>
        <v>San Francisco_2012</v>
      </c>
      <c r="BP34" s="1051">
        <v>5492513.2474202449</v>
      </c>
      <c r="BQ34" s="1052">
        <v>5588880.0376150552</v>
      </c>
      <c r="BR34" s="1054">
        <v>5588880.0376150561</v>
      </c>
      <c r="BS34" s="1053">
        <v>4250334.5068748221</v>
      </c>
      <c r="BT34" s="1051">
        <v>2708609.5969897592</v>
      </c>
      <c r="BU34" s="1051">
        <v>2594181.1313247592</v>
      </c>
      <c r="BV34" s="1051">
        <v>189722.51910572636</v>
      </c>
      <c r="BW34" s="1052">
        <v>2799629.4871845697</v>
      </c>
      <c r="BX34" s="1052">
        <v>2594181.1313247592</v>
      </c>
      <c r="BY34" s="1052">
        <v>189722.51910572636</v>
      </c>
      <c r="BZ34" s="1052" t="s">
        <v>1637</v>
      </c>
      <c r="CA34" s="1052">
        <v>5346.9</v>
      </c>
      <c r="CB34" s="1053">
        <v>1634361.7920294846</v>
      </c>
      <c r="CC34" s="1053">
        <v>64223.613422818788</v>
      </c>
      <c r="CD34" s="1053">
        <v>2537077.207386232</v>
      </c>
      <c r="CE34" s="1053">
        <v>9324.9940362863308</v>
      </c>
      <c r="CF34" s="1053" t="s">
        <v>1637</v>
      </c>
      <c r="CG34" s="1053" t="s">
        <v>1637</v>
      </c>
      <c r="CH34" s="1053">
        <v>5346.9</v>
      </c>
      <c r="CI34" s="1051">
        <v>1050514.2069780356</v>
      </c>
      <c r="CJ34" s="1051">
        <v>1475555.42503712</v>
      </c>
      <c r="CK34" s="1051" t="s">
        <v>1637</v>
      </c>
      <c r="CL34" s="1051">
        <v>70.5</v>
      </c>
      <c r="CM34" s="1051">
        <v>109</v>
      </c>
      <c r="CN34" s="1051">
        <v>169081</v>
      </c>
      <c r="CO34" s="1051" t="s">
        <v>1637</v>
      </c>
      <c r="CP34" s="1051">
        <v>13279.46497460359</v>
      </c>
      <c r="CQ34" s="1051">
        <v>1970894.4880138319</v>
      </c>
      <c r="CR34" s="1051">
        <v>68625.643310927713</v>
      </c>
      <c r="CS34" s="1051">
        <v>554661</v>
      </c>
      <c r="CT34" s="1051" t="s">
        <v>1637</v>
      </c>
      <c r="CU34" s="1051" t="s">
        <v>1637</v>
      </c>
      <c r="CV34" s="1051">
        <v>180397.52506944002</v>
      </c>
      <c r="CW34" s="1051" t="s">
        <v>1637</v>
      </c>
      <c r="CX34" s="1051" t="s">
        <v>1637</v>
      </c>
      <c r="CY34" s="1051">
        <v>9324.9940362863308</v>
      </c>
      <c r="CZ34" s="1118">
        <v>1077053.3040291169</v>
      </c>
      <c r="DA34" s="1118">
        <v>1540036.2181808494</v>
      </c>
      <c r="DB34" s="1118" t="s">
        <v>1637</v>
      </c>
      <c r="DC34" s="1118">
        <v>70.5</v>
      </c>
      <c r="DD34" s="1118">
        <v>109</v>
      </c>
      <c r="DE34" s="1118">
        <v>169081</v>
      </c>
      <c r="DF34" s="1118" t="s">
        <v>1637</v>
      </c>
      <c r="DG34" s="1118">
        <v>13279.46497460359</v>
      </c>
      <c r="DH34" s="1118">
        <v>1970894.4880138319</v>
      </c>
      <c r="DI34" s="1118">
        <v>68625.643310927713</v>
      </c>
      <c r="DJ34" s="1118">
        <v>554661</v>
      </c>
      <c r="DK34" s="1118" t="s">
        <v>1637</v>
      </c>
      <c r="DL34" s="1118" t="s">
        <v>1637</v>
      </c>
      <c r="DM34" s="1118">
        <v>180397.52506944002</v>
      </c>
      <c r="DN34" s="1118" t="s">
        <v>1637</v>
      </c>
      <c r="DO34" s="1118" t="s">
        <v>1637</v>
      </c>
      <c r="DP34" s="1118">
        <v>9324.9940362863308</v>
      </c>
      <c r="DQ34" s="1118" t="s">
        <v>1637</v>
      </c>
      <c r="DR34" s="1118" t="s">
        <v>1637</v>
      </c>
      <c r="DS34" s="1118" t="s">
        <v>1637</v>
      </c>
      <c r="DT34" s="1118">
        <v>5346.9</v>
      </c>
      <c r="DU34" s="1118" t="s">
        <v>1637</v>
      </c>
      <c r="DV34" s="1119" t="s">
        <v>1637</v>
      </c>
      <c r="DW34" s="1120">
        <v>767434.603626</v>
      </c>
      <c r="DX34" s="1120">
        <v>684387.22342888103</v>
      </c>
      <c r="DY34" s="1120" t="s">
        <v>1637</v>
      </c>
      <c r="DZ34" s="1120">
        <v>70.5</v>
      </c>
      <c r="EA34" s="1120">
        <v>64223.613422818788</v>
      </c>
      <c r="EB34" s="1120">
        <v>109</v>
      </c>
      <c r="EC34" s="1120">
        <v>169081</v>
      </c>
      <c r="ED34" s="1120" t="s">
        <v>1637</v>
      </c>
      <c r="EE34" s="1120">
        <v>13279.46497460359</v>
      </c>
      <c r="EF34" s="1120">
        <v>1970894.4880138319</v>
      </c>
      <c r="EG34" s="1120">
        <v>11521.719372400403</v>
      </c>
      <c r="EH34" s="1120">
        <v>554661</v>
      </c>
      <c r="EI34" s="1120" t="s">
        <v>1637</v>
      </c>
      <c r="EJ34" s="1120" t="s">
        <v>1637</v>
      </c>
      <c r="EK34" s="1120" t="s">
        <v>1637</v>
      </c>
      <c r="EL34" s="1120" t="s">
        <v>1637</v>
      </c>
      <c r="EM34" s="1120" t="s">
        <v>1637</v>
      </c>
      <c r="EN34" s="1120">
        <v>9324.9940362863308</v>
      </c>
      <c r="EO34" s="1120" t="s">
        <v>1637</v>
      </c>
      <c r="EP34" s="1120" t="s">
        <v>1637</v>
      </c>
      <c r="EQ34" s="1120" t="s">
        <v>1637</v>
      </c>
      <c r="ER34" s="1120">
        <v>5346.9</v>
      </c>
      <c r="ES34" s="1120" t="s">
        <v>1637</v>
      </c>
    </row>
    <row r="35" spans="1:149" s="1121" customFormat="1" ht="15" customHeight="1">
      <c r="A35" s="1185">
        <v>25</v>
      </c>
      <c r="B35" s="1055" t="s">
        <v>1739</v>
      </c>
      <c r="C35" s="1055" t="s">
        <v>1143</v>
      </c>
      <c r="D35" s="1055" t="s">
        <v>1134</v>
      </c>
      <c r="E35" s="1055" t="s">
        <v>689</v>
      </c>
      <c r="F35" s="1049">
        <v>2013</v>
      </c>
      <c r="G35" s="1049">
        <v>2013</v>
      </c>
      <c r="H35" s="1049" t="str">
        <f t="shared" si="1"/>
        <v>Toronto_2013</v>
      </c>
      <c r="I35" s="1049" t="s">
        <v>172</v>
      </c>
      <c r="J35" s="1049">
        <v>2741280</v>
      </c>
      <c r="K35" s="1049">
        <v>641</v>
      </c>
      <c r="L35" s="1043">
        <v>157000000000</v>
      </c>
      <c r="M35" s="1051">
        <v>4207619.0211084448</v>
      </c>
      <c r="N35" s="1051">
        <v>438697.77231659583</v>
      </c>
      <c r="O35" s="1052" t="s">
        <v>177</v>
      </c>
      <c r="P35" s="1051">
        <v>2538630.171705625</v>
      </c>
      <c r="Q35" s="1051">
        <v>1486576.374048304</v>
      </c>
      <c r="R35" s="1052" t="s">
        <v>177</v>
      </c>
      <c r="S35" s="1051">
        <v>1021372.86724439</v>
      </c>
      <c r="T35" s="1051">
        <v>216616.62225834402</v>
      </c>
      <c r="U35" s="1052" t="s">
        <v>177</v>
      </c>
      <c r="V35" s="1051" t="s">
        <v>176</v>
      </c>
      <c r="W35" s="1051" t="s">
        <v>176</v>
      </c>
      <c r="X35" s="1052" t="s">
        <v>177</v>
      </c>
      <c r="Y35" s="1053">
        <v>434466.1</v>
      </c>
      <c r="Z35" s="1051" t="s">
        <v>175</v>
      </c>
      <c r="AA35" s="1051" t="s">
        <v>175</v>
      </c>
      <c r="AB35" s="1052" t="s">
        <v>175</v>
      </c>
      <c r="AC35" s="1051" t="s">
        <v>175</v>
      </c>
      <c r="AD35" s="1051" t="s">
        <v>175</v>
      </c>
      <c r="AE35" s="1052" t="s">
        <v>175</v>
      </c>
      <c r="AF35" s="1051" t="s">
        <v>175</v>
      </c>
      <c r="AG35" s="1051">
        <v>126168.572054652</v>
      </c>
      <c r="AH35" s="1051">
        <v>6892923.9903200874</v>
      </c>
      <c r="AI35" s="1051" t="s">
        <v>176</v>
      </c>
      <c r="AJ35" s="1052">
        <v>15197.340155400001</v>
      </c>
      <c r="AK35" s="1051">
        <v>127246.79618769999</v>
      </c>
      <c r="AL35" s="1051">
        <v>28056.248958584001</v>
      </c>
      <c r="AM35" s="1052" t="s">
        <v>175</v>
      </c>
      <c r="AN35" s="1051">
        <v>1429.0060386829998</v>
      </c>
      <c r="AO35" s="1051" t="s">
        <v>175</v>
      </c>
      <c r="AP35" s="1052" t="s">
        <v>175</v>
      </c>
      <c r="AQ35" s="1051" t="s">
        <v>175</v>
      </c>
      <c r="AR35" s="1051" t="s">
        <v>175</v>
      </c>
      <c r="AS35" s="1052" t="s">
        <v>175</v>
      </c>
      <c r="AT35" s="1051" t="s">
        <v>175</v>
      </c>
      <c r="AU35" s="1051" t="s">
        <v>175</v>
      </c>
      <c r="AV35" s="1052" t="s">
        <v>175</v>
      </c>
      <c r="AW35" s="1051">
        <v>332584.44035270449</v>
      </c>
      <c r="AX35" s="1051">
        <v>1920253.28554313</v>
      </c>
      <c r="AY35" s="1053" t="s">
        <v>175</v>
      </c>
      <c r="AZ35" s="1051" t="s">
        <v>175</v>
      </c>
      <c r="BA35" s="1051" t="s">
        <v>175</v>
      </c>
      <c r="BB35" s="1053" t="s">
        <v>175</v>
      </c>
      <c r="BC35" s="1051" t="s">
        <v>175</v>
      </c>
      <c r="BD35" s="1051" t="s">
        <v>175</v>
      </c>
      <c r="BE35" s="1053" t="s">
        <v>175</v>
      </c>
      <c r="BF35" s="1051">
        <v>26049.807611995813</v>
      </c>
      <c r="BG35" s="1051" t="s">
        <v>175</v>
      </c>
      <c r="BH35" s="1053" t="s">
        <v>175</v>
      </c>
      <c r="BI35" s="1052" t="s">
        <v>177</v>
      </c>
      <c r="BJ35" s="1052" t="s">
        <v>177</v>
      </c>
      <c r="BK35" s="1052" t="s">
        <v>177</v>
      </c>
      <c r="BL35" s="1052" t="s">
        <v>177</v>
      </c>
      <c r="BM35" s="1052" t="s">
        <v>177</v>
      </c>
      <c r="BN35" s="1054" t="s">
        <v>177</v>
      </c>
      <c r="BO35" s="1076" t="str">
        <f t="shared" si="0"/>
        <v>Toronto_2013</v>
      </c>
      <c r="BP35" s="1051">
        <v>19364224.975749239</v>
      </c>
      <c r="BQ35" s="1052">
        <v>19379422.31590464</v>
      </c>
      <c r="BR35" s="1054">
        <v>19379422.31590464</v>
      </c>
      <c r="BS35" s="1053">
        <v>15708490.772624282</v>
      </c>
      <c r="BT35" s="1051">
        <v>10035681.400736354</v>
      </c>
      <c r="BU35" s="1051">
        <v>7049656.0415050536</v>
      </c>
      <c r="BV35" s="1051">
        <v>2278887.5335078305</v>
      </c>
      <c r="BW35" s="1052">
        <v>10035681.400736354</v>
      </c>
      <c r="BX35" s="1052">
        <v>7064853.381660454</v>
      </c>
      <c r="BY35" s="1052">
        <v>2278887.5335078305</v>
      </c>
      <c r="BZ35" s="1052" t="s">
        <v>1637</v>
      </c>
      <c r="CA35" s="1052" t="s">
        <v>1637</v>
      </c>
      <c r="CB35" s="1053">
        <v>7893790.6321131112</v>
      </c>
      <c r="CC35" s="1053">
        <v>434466.1</v>
      </c>
      <c r="CD35" s="1053">
        <v>7021599.7925464697</v>
      </c>
      <c r="CE35" s="1053">
        <v>358634.24796470033</v>
      </c>
      <c r="CF35" s="1053" t="s">
        <v>1637</v>
      </c>
      <c r="CG35" s="1053" t="s">
        <v>1637</v>
      </c>
      <c r="CH35" s="1053" t="s">
        <v>1637</v>
      </c>
      <c r="CI35" s="1051">
        <v>4646316.7934250403</v>
      </c>
      <c r="CJ35" s="1051">
        <v>4025206.5457539288</v>
      </c>
      <c r="CK35" s="1051">
        <v>1237989.489502734</v>
      </c>
      <c r="CL35" s="1051" t="s">
        <v>1637</v>
      </c>
      <c r="CM35" s="1051" t="s">
        <v>1637</v>
      </c>
      <c r="CN35" s="1051" t="s">
        <v>1637</v>
      </c>
      <c r="CO35" s="1051" t="s">
        <v>1637</v>
      </c>
      <c r="CP35" s="1051">
        <v>126168.572054652</v>
      </c>
      <c r="CQ35" s="1051">
        <v>6892923.9903200874</v>
      </c>
      <c r="CR35" s="1051">
        <v>155303.04514628398</v>
      </c>
      <c r="CS35" s="1051">
        <v>1429.0060386829998</v>
      </c>
      <c r="CT35" s="1051" t="s">
        <v>1637</v>
      </c>
      <c r="CU35" s="1051" t="s">
        <v>1637</v>
      </c>
      <c r="CV35" s="1051">
        <v>2252837.7258958346</v>
      </c>
      <c r="CW35" s="1051" t="s">
        <v>1637</v>
      </c>
      <c r="CX35" s="1051" t="s">
        <v>1637</v>
      </c>
      <c r="CY35" s="1051">
        <v>26049.807611995813</v>
      </c>
      <c r="CZ35" s="1118">
        <v>4646316.7934250403</v>
      </c>
      <c r="DA35" s="1118">
        <v>4025206.5457539288</v>
      </c>
      <c r="DB35" s="1118">
        <v>1237989.489502734</v>
      </c>
      <c r="DC35" s="1118" t="s">
        <v>1637</v>
      </c>
      <c r="DD35" s="1118" t="s">
        <v>1637</v>
      </c>
      <c r="DE35" s="1118" t="s">
        <v>1637</v>
      </c>
      <c r="DF35" s="1118" t="s">
        <v>1637</v>
      </c>
      <c r="DG35" s="1118">
        <v>126168.572054652</v>
      </c>
      <c r="DH35" s="1118">
        <v>6908121.3304754877</v>
      </c>
      <c r="DI35" s="1118">
        <v>155303.04514628398</v>
      </c>
      <c r="DJ35" s="1118">
        <v>1429.0060386829998</v>
      </c>
      <c r="DK35" s="1118" t="s">
        <v>1637</v>
      </c>
      <c r="DL35" s="1118" t="s">
        <v>1637</v>
      </c>
      <c r="DM35" s="1118">
        <v>2252837.7258958346</v>
      </c>
      <c r="DN35" s="1118" t="s">
        <v>1637</v>
      </c>
      <c r="DO35" s="1118" t="s">
        <v>1637</v>
      </c>
      <c r="DP35" s="1118">
        <v>26049.807611995813</v>
      </c>
      <c r="DQ35" s="1118" t="s">
        <v>1637</v>
      </c>
      <c r="DR35" s="1118" t="s">
        <v>1637</v>
      </c>
      <c r="DS35" s="1118" t="s">
        <v>1637</v>
      </c>
      <c r="DT35" s="1118" t="s">
        <v>1637</v>
      </c>
      <c r="DU35" s="1118" t="s">
        <v>1637</v>
      </c>
      <c r="DV35" s="1119" t="s">
        <v>1637</v>
      </c>
      <c r="DW35" s="1120">
        <v>4207619.0211084448</v>
      </c>
      <c r="DX35" s="1120">
        <v>2538630.171705625</v>
      </c>
      <c r="DY35" s="1120">
        <v>1021372.86724439</v>
      </c>
      <c r="DZ35" s="1120" t="s">
        <v>1637</v>
      </c>
      <c r="EA35" s="1120">
        <v>434466.1</v>
      </c>
      <c r="EB35" s="1120" t="s">
        <v>1637</v>
      </c>
      <c r="EC35" s="1120" t="s">
        <v>1637</v>
      </c>
      <c r="ED35" s="1120" t="s">
        <v>1637</v>
      </c>
      <c r="EE35" s="1120">
        <v>126168.572054652</v>
      </c>
      <c r="EF35" s="1120">
        <v>6892923.9903200874</v>
      </c>
      <c r="EG35" s="1120">
        <v>127246.79618769999</v>
      </c>
      <c r="EH35" s="1120">
        <v>1429.0060386829998</v>
      </c>
      <c r="EI35" s="1120" t="s">
        <v>1637</v>
      </c>
      <c r="EJ35" s="1120" t="s">
        <v>1637</v>
      </c>
      <c r="EK35" s="1120">
        <v>332584.44035270449</v>
      </c>
      <c r="EL35" s="1120" t="s">
        <v>1637</v>
      </c>
      <c r="EM35" s="1120" t="s">
        <v>1637</v>
      </c>
      <c r="EN35" s="1120">
        <v>26049.807611995813</v>
      </c>
      <c r="EO35" s="1120" t="s">
        <v>1637</v>
      </c>
      <c r="EP35" s="1120" t="s">
        <v>1637</v>
      </c>
      <c r="EQ35" s="1120" t="s">
        <v>1637</v>
      </c>
      <c r="ER35" s="1120" t="s">
        <v>1637</v>
      </c>
      <c r="ES35" s="1120" t="s">
        <v>1637</v>
      </c>
    </row>
    <row r="36" spans="1:149" s="1121" customFormat="1" ht="15" customHeight="1">
      <c r="A36" s="1185">
        <v>26</v>
      </c>
      <c r="B36" s="1055" t="s">
        <v>1758</v>
      </c>
      <c r="C36" s="1055" t="s">
        <v>1143</v>
      </c>
      <c r="D36" s="1055" t="s">
        <v>1134</v>
      </c>
      <c r="E36" s="1055" t="s">
        <v>687</v>
      </c>
      <c r="F36" s="1049">
        <v>2014</v>
      </c>
      <c r="G36" s="1049">
        <v>2014</v>
      </c>
      <c r="H36" s="1049" t="str">
        <f t="shared" si="1"/>
        <v>City of Vancouver_2014</v>
      </c>
      <c r="I36" s="1049" t="s">
        <v>172</v>
      </c>
      <c r="J36" s="1049">
        <v>618502</v>
      </c>
      <c r="K36" s="1049">
        <v>114.97</v>
      </c>
      <c r="L36" s="1043">
        <v>84415033680.342926</v>
      </c>
      <c r="M36" s="1051">
        <v>466982.6893956</v>
      </c>
      <c r="N36" s="1051">
        <v>17750.205886706761</v>
      </c>
      <c r="O36" s="1052" t="s">
        <v>177</v>
      </c>
      <c r="P36" s="1051">
        <v>522081.42295680003</v>
      </c>
      <c r="Q36" s="1051">
        <v>32733.08956221231</v>
      </c>
      <c r="R36" s="1052" t="s">
        <v>177</v>
      </c>
      <c r="S36" s="1051">
        <v>344905.79996880004</v>
      </c>
      <c r="T36" s="1051">
        <v>2371.2336036487422</v>
      </c>
      <c r="U36" s="1052" t="s">
        <v>177</v>
      </c>
      <c r="V36" s="1051" t="s">
        <v>176</v>
      </c>
      <c r="W36" s="1051" t="s">
        <v>176</v>
      </c>
      <c r="X36" s="1052" t="s">
        <v>175</v>
      </c>
      <c r="Y36" s="1053">
        <v>1864.937519999851</v>
      </c>
      <c r="Z36" s="1051" t="s">
        <v>175</v>
      </c>
      <c r="AA36" s="1051" t="s">
        <v>175</v>
      </c>
      <c r="AB36" s="1052" t="s">
        <v>175</v>
      </c>
      <c r="AC36" s="1051" t="s">
        <v>175</v>
      </c>
      <c r="AD36" s="1051" t="s">
        <v>175</v>
      </c>
      <c r="AE36" s="1052" t="s">
        <v>175</v>
      </c>
      <c r="AF36" s="1051" t="s">
        <v>175</v>
      </c>
      <c r="AG36" s="1051">
        <v>19307.147751417866</v>
      </c>
      <c r="AH36" s="1051">
        <v>1005807.2450496393</v>
      </c>
      <c r="AI36" s="1051" t="s">
        <v>176</v>
      </c>
      <c r="AJ36" s="1052" t="s">
        <v>177</v>
      </c>
      <c r="AK36" s="1051">
        <v>12439.420904393815</v>
      </c>
      <c r="AL36" s="1051" t="s">
        <v>176</v>
      </c>
      <c r="AM36" s="1052" t="s">
        <v>177</v>
      </c>
      <c r="AN36" s="1051" t="s">
        <v>175</v>
      </c>
      <c r="AO36" s="1051" t="s">
        <v>175</v>
      </c>
      <c r="AP36" s="1052" t="s">
        <v>177</v>
      </c>
      <c r="AQ36" s="1051" t="s">
        <v>175</v>
      </c>
      <c r="AR36" s="1051" t="s">
        <v>175</v>
      </c>
      <c r="AS36" s="1052" t="s">
        <v>177</v>
      </c>
      <c r="AT36" s="1051">
        <v>16359</v>
      </c>
      <c r="AU36" s="1051" t="s">
        <v>175</v>
      </c>
      <c r="AV36" s="1052" t="s">
        <v>177</v>
      </c>
      <c r="AW36" s="1051" t="s">
        <v>175</v>
      </c>
      <c r="AX36" s="1051">
        <v>99429.707476538504</v>
      </c>
      <c r="AY36" s="1053" t="s">
        <v>175</v>
      </c>
      <c r="AZ36" s="1051" t="s">
        <v>175</v>
      </c>
      <c r="BA36" s="1051">
        <v>12990.567200000001</v>
      </c>
      <c r="BB36" s="1053" t="s">
        <v>175</v>
      </c>
      <c r="BC36" s="1051" t="s">
        <v>175</v>
      </c>
      <c r="BD36" s="1051" t="s">
        <v>176</v>
      </c>
      <c r="BE36" s="1053" t="s">
        <v>175</v>
      </c>
      <c r="BF36" s="1051" t="s">
        <v>175</v>
      </c>
      <c r="BG36" s="1051">
        <v>5311.7452460005024</v>
      </c>
      <c r="BH36" s="1053" t="s">
        <v>175</v>
      </c>
      <c r="BI36" s="1052" t="s">
        <v>177</v>
      </c>
      <c r="BJ36" s="1052" t="s">
        <v>177</v>
      </c>
      <c r="BK36" s="1052" t="s">
        <v>177</v>
      </c>
      <c r="BL36" s="1052" t="s">
        <v>177</v>
      </c>
      <c r="BM36" s="1052" t="s">
        <v>177</v>
      </c>
      <c r="BN36" s="1054" t="s">
        <v>177</v>
      </c>
      <c r="BO36" s="1076" t="str">
        <f t="shared" si="0"/>
        <v>City of Vancouver_2014</v>
      </c>
      <c r="BP36" s="1051">
        <v>2558469.2750017582</v>
      </c>
      <c r="BQ36" s="1052">
        <v>2558469.2750017582</v>
      </c>
      <c r="BR36" s="1054">
        <v>2558469.2750017578</v>
      </c>
      <c r="BS36" s="1053">
        <v>2389747.6635466511</v>
      </c>
      <c r="BT36" s="1051">
        <v>1406131.589125186</v>
      </c>
      <c r="BU36" s="1051">
        <v>1034605.665954033</v>
      </c>
      <c r="BV36" s="1051">
        <v>117732.01992253901</v>
      </c>
      <c r="BW36" s="1052">
        <v>1406131.589125186</v>
      </c>
      <c r="BX36" s="1052">
        <v>1034605.665954033</v>
      </c>
      <c r="BY36" s="1052">
        <v>117732.01992253901</v>
      </c>
      <c r="BZ36" s="1052" t="s">
        <v>1637</v>
      </c>
      <c r="CA36" s="1052" t="s">
        <v>1637</v>
      </c>
      <c r="CB36" s="1053">
        <v>1353277.0600726181</v>
      </c>
      <c r="CC36" s="1053">
        <v>1864.937519999851</v>
      </c>
      <c r="CD36" s="1053">
        <v>1034605.665954033</v>
      </c>
      <c r="CE36" s="1053" t="s">
        <v>1637</v>
      </c>
      <c r="CF36" s="1053" t="s">
        <v>1637</v>
      </c>
      <c r="CG36" s="1053" t="s">
        <v>1637</v>
      </c>
      <c r="CH36" s="1053" t="s">
        <v>1637</v>
      </c>
      <c r="CI36" s="1051">
        <v>484732.89528230677</v>
      </c>
      <c r="CJ36" s="1051">
        <v>554814.51251901232</v>
      </c>
      <c r="CK36" s="1051">
        <v>347277.03357244877</v>
      </c>
      <c r="CL36" s="1051" t="s">
        <v>1637</v>
      </c>
      <c r="CM36" s="1051" t="s">
        <v>1637</v>
      </c>
      <c r="CN36" s="1051" t="s">
        <v>1637</v>
      </c>
      <c r="CO36" s="1051" t="s">
        <v>1637</v>
      </c>
      <c r="CP36" s="1051">
        <v>19307.147751417866</v>
      </c>
      <c r="CQ36" s="1051">
        <v>1005807.2450496393</v>
      </c>
      <c r="CR36" s="1051">
        <v>12439.420904393815</v>
      </c>
      <c r="CS36" s="1051" t="s">
        <v>1637</v>
      </c>
      <c r="CT36" s="1051" t="s">
        <v>1637</v>
      </c>
      <c r="CU36" s="1051">
        <v>16359</v>
      </c>
      <c r="CV36" s="1051">
        <v>99429.707476538504</v>
      </c>
      <c r="CW36" s="1051">
        <v>12990.567200000001</v>
      </c>
      <c r="CX36" s="1051" t="s">
        <v>1637</v>
      </c>
      <c r="CY36" s="1051">
        <v>5311.7452460005024</v>
      </c>
      <c r="CZ36" s="1118">
        <v>484732.89528230677</v>
      </c>
      <c r="DA36" s="1118">
        <v>554814.51251901232</v>
      </c>
      <c r="DB36" s="1118">
        <v>347277.03357244877</v>
      </c>
      <c r="DC36" s="1118" t="s">
        <v>1637</v>
      </c>
      <c r="DD36" s="1118" t="s">
        <v>1637</v>
      </c>
      <c r="DE36" s="1118" t="s">
        <v>1637</v>
      </c>
      <c r="DF36" s="1118" t="s">
        <v>1637</v>
      </c>
      <c r="DG36" s="1118">
        <v>19307.147751417866</v>
      </c>
      <c r="DH36" s="1118">
        <v>1005807.2450496393</v>
      </c>
      <c r="DI36" s="1118">
        <v>12439.420904393815</v>
      </c>
      <c r="DJ36" s="1118" t="s">
        <v>1637</v>
      </c>
      <c r="DK36" s="1118" t="s">
        <v>1637</v>
      </c>
      <c r="DL36" s="1118">
        <v>16359</v>
      </c>
      <c r="DM36" s="1118">
        <v>99429.707476538504</v>
      </c>
      <c r="DN36" s="1118">
        <v>12990.567200000001</v>
      </c>
      <c r="DO36" s="1118" t="s">
        <v>1637</v>
      </c>
      <c r="DP36" s="1118">
        <v>5311.7452460005024</v>
      </c>
      <c r="DQ36" s="1118" t="s">
        <v>1637</v>
      </c>
      <c r="DR36" s="1118" t="s">
        <v>1637</v>
      </c>
      <c r="DS36" s="1118" t="s">
        <v>1637</v>
      </c>
      <c r="DT36" s="1118" t="s">
        <v>1637</v>
      </c>
      <c r="DU36" s="1118" t="s">
        <v>1637</v>
      </c>
      <c r="DV36" s="1119" t="s">
        <v>1637</v>
      </c>
      <c r="DW36" s="1120">
        <v>466982.6893956</v>
      </c>
      <c r="DX36" s="1120">
        <v>522081.42295680003</v>
      </c>
      <c r="DY36" s="1120">
        <v>344905.79996880004</v>
      </c>
      <c r="DZ36" s="1120" t="s">
        <v>1637</v>
      </c>
      <c r="EA36" s="1120">
        <v>1864.937519999851</v>
      </c>
      <c r="EB36" s="1120" t="s">
        <v>1637</v>
      </c>
      <c r="EC36" s="1120" t="s">
        <v>1637</v>
      </c>
      <c r="ED36" s="1120" t="s">
        <v>1637</v>
      </c>
      <c r="EE36" s="1120">
        <v>19307.147751417866</v>
      </c>
      <c r="EF36" s="1120">
        <v>1005807.2450496393</v>
      </c>
      <c r="EG36" s="1120">
        <v>12439.420904393815</v>
      </c>
      <c r="EH36" s="1120" t="s">
        <v>1637</v>
      </c>
      <c r="EI36" s="1120" t="s">
        <v>1637</v>
      </c>
      <c r="EJ36" s="1120">
        <v>16359</v>
      </c>
      <c r="EK36" s="1120" t="s">
        <v>1637</v>
      </c>
      <c r="EL36" s="1120" t="s">
        <v>1637</v>
      </c>
      <c r="EM36" s="1120" t="s">
        <v>1637</v>
      </c>
      <c r="EN36" s="1120" t="s">
        <v>1637</v>
      </c>
      <c r="EO36" s="1120" t="s">
        <v>1637</v>
      </c>
      <c r="EP36" s="1120" t="s">
        <v>1637</v>
      </c>
      <c r="EQ36" s="1120" t="s">
        <v>1637</v>
      </c>
      <c r="ER36" s="1120" t="s">
        <v>1637</v>
      </c>
      <c r="ES36" s="1120" t="s">
        <v>1637</v>
      </c>
    </row>
    <row r="37" spans="1:149" s="1121" customFormat="1" ht="15" customHeight="1">
      <c r="A37" s="1185">
        <v>27</v>
      </c>
      <c r="B37" s="1055" t="s">
        <v>1759</v>
      </c>
      <c r="C37" s="1055" t="s">
        <v>1142</v>
      </c>
      <c r="D37" s="1055" t="s">
        <v>1134</v>
      </c>
      <c r="E37" s="1055" t="s">
        <v>687</v>
      </c>
      <c r="F37" s="1049">
        <v>2013</v>
      </c>
      <c r="G37" s="1049">
        <v>2013</v>
      </c>
      <c r="H37" s="1049" t="str">
        <f t="shared" si="1"/>
        <v>District of Columbia_2013</v>
      </c>
      <c r="I37" s="1049" t="s">
        <v>172</v>
      </c>
      <c r="J37" s="1049">
        <v>649111</v>
      </c>
      <c r="K37" s="1049">
        <v>158</v>
      </c>
      <c r="L37" s="1043">
        <v>113362000000</v>
      </c>
      <c r="M37" s="1051">
        <v>599361.3757320001</v>
      </c>
      <c r="N37" s="1051">
        <v>835970.07342038478</v>
      </c>
      <c r="O37" s="1052" t="s">
        <v>177</v>
      </c>
      <c r="P37" s="1051">
        <v>1011169.493264</v>
      </c>
      <c r="Q37" s="1051">
        <v>4002984.6193531207</v>
      </c>
      <c r="R37" s="1052" t="s">
        <v>177</v>
      </c>
      <c r="S37" s="1051" t="s">
        <v>175</v>
      </c>
      <c r="T37" s="1051" t="s">
        <v>175</v>
      </c>
      <c r="U37" s="1052" t="s">
        <v>175</v>
      </c>
      <c r="V37" s="1051" t="s">
        <v>175</v>
      </c>
      <c r="W37" s="1051" t="s">
        <v>175</v>
      </c>
      <c r="X37" s="1052" t="s">
        <v>175</v>
      </c>
      <c r="Y37" s="1053" t="s">
        <v>175</v>
      </c>
      <c r="Z37" s="1051" t="s">
        <v>175</v>
      </c>
      <c r="AA37" s="1051" t="s">
        <v>175</v>
      </c>
      <c r="AB37" s="1052" t="s">
        <v>175</v>
      </c>
      <c r="AC37" s="1051" t="s">
        <v>175</v>
      </c>
      <c r="AD37" s="1051" t="s">
        <v>175</v>
      </c>
      <c r="AE37" s="1052" t="s">
        <v>175</v>
      </c>
      <c r="AF37" s="1051" t="s">
        <v>175</v>
      </c>
      <c r="AG37" s="1051">
        <v>21897.049049259589</v>
      </c>
      <c r="AH37" s="1051">
        <v>1477997.8682300001</v>
      </c>
      <c r="AI37" s="1051" t="s">
        <v>176</v>
      </c>
      <c r="AJ37" s="1052" t="s">
        <v>177</v>
      </c>
      <c r="AK37" s="1051" t="s">
        <v>175</v>
      </c>
      <c r="AL37" s="1051">
        <v>126294.63039770231</v>
      </c>
      <c r="AM37" s="1052" t="s">
        <v>177</v>
      </c>
      <c r="AN37" s="1051" t="s">
        <v>175</v>
      </c>
      <c r="AO37" s="1051" t="s">
        <v>175</v>
      </c>
      <c r="AP37" s="1052" t="s">
        <v>175</v>
      </c>
      <c r="AQ37" s="1051" t="s">
        <v>175</v>
      </c>
      <c r="AR37" s="1051" t="s">
        <v>175</v>
      </c>
      <c r="AS37" s="1052" t="s">
        <v>177</v>
      </c>
      <c r="AT37" s="1051" t="s">
        <v>175</v>
      </c>
      <c r="AU37" s="1051" t="s">
        <v>175</v>
      </c>
      <c r="AV37" s="1052" t="s">
        <v>175</v>
      </c>
      <c r="AW37" s="1051" t="s">
        <v>175</v>
      </c>
      <c r="AX37" s="1051">
        <v>181385</v>
      </c>
      <c r="AY37" s="1053" t="s">
        <v>175</v>
      </c>
      <c r="AZ37" s="1051" t="s">
        <v>175</v>
      </c>
      <c r="BA37" s="1051" t="s">
        <v>175</v>
      </c>
      <c r="BB37" s="1053" t="s">
        <v>175</v>
      </c>
      <c r="BC37" s="1051" t="s">
        <v>175</v>
      </c>
      <c r="BD37" s="1051" t="s">
        <v>176</v>
      </c>
      <c r="BE37" s="1053" t="s">
        <v>175</v>
      </c>
      <c r="BF37" s="1051">
        <v>6006.1726960337119</v>
      </c>
      <c r="BG37" s="1051" t="s">
        <v>175</v>
      </c>
      <c r="BH37" s="1053">
        <v>16238.911363350402</v>
      </c>
      <c r="BI37" s="1052" t="s">
        <v>175</v>
      </c>
      <c r="BJ37" s="1052" t="s">
        <v>177</v>
      </c>
      <c r="BK37" s="1052" t="s">
        <v>175</v>
      </c>
      <c r="BL37" s="1052" t="s">
        <v>175</v>
      </c>
      <c r="BM37" s="1052" t="s">
        <v>175</v>
      </c>
      <c r="BN37" s="1054" t="s">
        <v>177</v>
      </c>
      <c r="BO37" s="1076" t="str">
        <f t="shared" si="0"/>
        <v>District of Columbia_2013</v>
      </c>
      <c r="BP37" s="1051">
        <v>8263066.2821425013</v>
      </c>
      <c r="BQ37" s="1052">
        <v>8263066.2821425013</v>
      </c>
      <c r="BR37" s="1054">
        <v>8263066.2821425013</v>
      </c>
      <c r="BS37" s="1053">
        <v>3132670.8703346439</v>
      </c>
      <c r="BT37" s="1051">
        <v>6471382.6108187651</v>
      </c>
      <c r="BU37" s="1051">
        <v>1604292.4986277025</v>
      </c>
      <c r="BV37" s="1051">
        <v>187391.17269603373</v>
      </c>
      <c r="BW37" s="1052">
        <v>6471382.6108187651</v>
      </c>
      <c r="BX37" s="1052">
        <v>1604292.4986277025</v>
      </c>
      <c r="BY37" s="1052">
        <v>187391.17269603373</v>
      </c>
      <c r="BZ37" s="1052" t="s">
        <v>1637</v>
      </c>
      <c r="CA37" s="1052" t="s">
        <v>1637</v>
      </c>
      <c r="CB37" s="1053">
        <v>1632427.9180452598</v>
      </c>
      <c r="CC37" s="1053" t="s">
        <v>1637</v>
      </c>
      <c r="CD37" s="1053">
        <v>1477997.8682300001</v>
      </c>
      <c r="CE37" s="1053">
        <v>6006.1726960337119</v>
      </c>
      <c r="CF37" s="1053">
        <v>16238.911363350402</v>
      </c>
      <c r="CG37" s="1053" t="s">
        <v>1637</v>
      </c>
      <c r="CH37" s="1053" t="s">
        <v>1637</v>
      </c>
      <c r="CI37" s="1051">
        <v>1435331.4491523849</v>
      </c>
      <c r="CJ37" s="1051">
        <v>5014154.1126171211</v>
      </c>
      <c r="CK37" s="1051" t="s">
        <v>1637</v>
      </c>
      <c r="CL37" s="1051" t="s">
        <v>1637</v>
      </c>
      <c r="CM37" s="1051" t="s">
        <v>1637</v>
      </c>
      <c r="CN37" s="1051" t="s">
        <v>1637</v>
      </c>
      <c r="CO37" s="1051" t="s">
        <v>1637</v>
      </c>
      <c r="CP37" s="1051">
        <v>21897.049049259589</v>
      </c>
      <c r="CQ37" s="1051">
        <v>1477997.8682300001</v>
      </c>
      <c r="CR37" s="1051">
        <v>126294.63039770231</v>
      </c>
      <c r="CS37" s="1051" t="s">
        <v>1637</v>
      </c>
      <c r="CT37" s="1051" t="s">
        <v>1637</v>
      </c>
      <c r="CU37" s="1051" t="s">
        <v>1637</v>
      </c>
      <c r="CV37" s="1051">
        <v>181385</v>
      </c>
      <c r="CW37" s="1051" t="s">
        <v>1637</v>
      </c>
      <c r="CX37" s="1051" t="s">
        <v>1637</v>
      </c>
      <c r="CY37" s="1051">
        <v>6006.1726960337119</v>
      </c>
      <c r="CZ37" s="1118">
        <v>1435331.4491523849</v>
      </c>
      <c r="DA37" s="1118">
        <v>5014154.1126171211</v>
      </c>
      <c r="DB37" s="1118" t="s">
        <v>1637</v>
      </c>
      <c r="DC37" s="1118" t="s">
        <v>1637</v>
      </c>
      <c r="DD37" s="1118" t="s">
        <v>1637</v>
      </c>
      <c r="DE37" s="1118" t="s">
        <v>1637</v>
      </c>
      <c r="DF37" s="1118" t="s">
        <v>1637</v>
      </c>
      <c r="DG37" s="1118">
        <v>21897.049049259589</v>
      </c>
      <c r="DH37" s="1118">
        <v>1477997.8682300001</v>
      </c>
      <c r="DI37" s="1118">
        <v>126294.63039770231</v>
      </c>
      <c r="DJ37" s="1118" t="s">
        <v>1637</v>
      </c>
      <c r="DK37" s="1118" t="s">
        <v>1637</v>
      </c>
      <c r="DL37" s="1118" t="s">
        <v>1637</v>
      </c>
      <c r="DM37" s="1118">
        <v>181385</v>
      </c>
      <c r="DN37" s="1118" t="s">
        <v>1637</v>
      </c>
      <c r="DO37" s="1118" t="s">
        <v>1637</v>
      </c>
      <c r="DP37" s="1118">
        <v>6006.1726960337119</v>
      </c>
      <c r="DQ37" s="1118" t="s">
        <v>1637</v>
      </c>
      <c r="DR37" s="1118" t="s">
        <v>1637</v>
      </c>
      <c r="DS37" s="1118" t="s">
        <v>1637</v>
      </c>
      <c r="DT37" s="1118" t="s">
        <v>1637</v>
      </c>
      <c r="DU37" s="1118" t="s">
        <v>1637</v>
      </c>
      <c r="DV37" s="1119" t="s">
        <v>1637</v>
      </c>
      <c r="DW37" s="1120">
        <v>599361.3757320001</v>
      </c>
      <c r="DX37" s="1120">
        <v>1011169.493264</v>
      </c>
      <c r="DY37" s="1120" t="s">
        <v>1637</v>
      </c>
      <c r="DZ37" s="1120" t="s">
        <v>1637</v>
      </c>
      <c r="EA37" s="1120" t="s">
        <v>1637</v>
      </c>
      <c r="EB37" s="1120" t="s">
        <v>1637</v>
      </c>
      <c r="EC37" s="1120" t="s">
        <v>1637</v>
      </c>
      <c r="ED37" s="1120" t="s">
        <v>1637</v>
      </c>
      <c r="EE37" s="1120">
        <v>21897.049049259589</v>
      </c>
      <c r="EF37" s="1120">
        <v>1477997.8682300001</v>
      </c>
      <c r="EG37" s="1120" t="s">
        <v>1637</v>
      </c>
      <c r="EH37" s="1120" t="s">
        <v>1637</v>
      </c>
      <c r="EI37" s="1120" t="s">
        <v>1637</v>
      </c>
      <c r="EJ37" s="1120" t="s">
        <v>1637</v>
      </c>
      <c r="EK37" s="1120" t="s">
        <v>1637</v>
      </c>
      <c r="EL37" s="1120" t="s">
        <v>1637</v>
      </c>
      <c r="EM37" s="1120" t="s">
        <v>1637</v>
      </c>
      <c r="EN37" s="1120">
        <v>22245.084059384113</v>
      </c>
      <c r="EO37" s="1120" t="s">
        <v>1637</v>
      </c>
      <c r="EP37" s="1120" t="s">
        <v>1637</v>
      </c>
      <c r="EQ37" s="1120" t="s">
        <v>1637</v>
      </c>
      <c r="ER37" s="1120" t="s">
        <v>1637</v>
      </c>
      <c r="ES37" s="1120" t="s">
        <v>1637</v>
      </c>
    </row>
    <row r="38" spans="1:149" s="1121" customFormat="1" ht="15" customHeight="1">
      <c r="A38" s="1185">
        <v>28</v>
      </c>
      <c r="B38" s="1055" t="s">
        <v>1924</v>
      </c>
      <c r="C38" s="1055" t="s">
        <v>1737</v>
      </c>
      <c r="D38" s="1055" t="s">
        <v>1134</v>
      </c>
      <c r="E38" s="1055" t="s">
        <v>687</v>
      </c>
      <c r="F38" s="1049">
        <v>2010</v>
      </c>
      <c r="G38" s="1049">
        <v>2010</v>
      </c>
      <c r="H38" s="1049" t="str">
        <f t="shared" si="1"/>
        <v>Chicago_2010</v>
      </c>
      <c r="I38" s="1049" t="s">
        <v>172</v>
      </c>
      <c r="J38" s="1049">
        <v>2695598</v>
      </c>
      <c r="K38" s="1049">
        <v>606</v>
      </c>
      <c r="L38" s="1043">
        <v>496400000000</v>
      </c>
      <c r="M38" s="1051">
        <v>5715207.9086837154</v>
      </c>
      <c r="N38" s="1051">
        <v>4062733.7041084813</v>
      </c>
      <c r="O38" s="1052" t="s">
        <v>177</v>
      </c>
      <c r="P38" s="1051">
        <v>2996949.1307490799</v>
      </c>
      <c r="Q38" s="1051">
        <v>10747371.550037861</v>
      </c>
      <c r="R38" s="1052" t="s">
        <v>177</v>
      </c>
      <c r="S38" s="1051">
        <v>1350940.5697192827</v>
      </c>
      <c r="T38" s="1051" t="s">
        <v>176</v>
      </c>
      <c r="U38" s="1052" t="s">
        <v>177</v>
      </c>
      <c r="V38" s="1051" t="s">
        <v>175</v>
      </c>
      <c r="W38" s="1051" t="s">
        <v>175</v>
      </c>
      <c r="X38" s="1052" t="s">
        <v>175</v>
      </c>
      <c r="Y38" s="1053" t="s">
        <v>175</v>
      </c>
      <c r="Z38" s="1051" t="s">
        <v>175</v>
      </c>
      <c r="AA38" s="1051" t="s">
        <v>175</v>
      </c>
      <c r="AB38" s="1052" t="s">
        <v>175</v>
      </c>
      <c r="AC38" s="1051" t="s">
        <v>175</v>
      </c>
      <c r="AD38" s="1051" t="s">
        <v>175</v>
      </c>
      <c r="AE38" s="1052" t="s">
        <v>175</v>
      </c>
      <c r="AF38" s="1051" t="s">
        <v>175</v>
      </c>
      <c r="AG38" s="1051" t="s">
        <v>177</v>
      </c>
      <c r="AH38" s="1051">
        <v>6783031.2123398855</v>
      </c>
      <c r="AI38" s="1051" t="s">
        <v>176</v>
      </c>
      <c r="AJ38" s="1052" t="s">
        <v>177</v>
      </c>
      <c r="AK38" s="1051">
        <v>62587.199999999997</v>
      </c>
      <c r="AL38" s="1051">
        <v>251555.59406062285</v>
      </c>
      <c r="AM38" s="1052" t="s">
        <v>177</v>
      </c>
      <c r="AN38" s="1051">
        <v>246.86441798931068</v>
      </c>
      <c r="AO38" s="1051" t="s">
        <v>175</v>
      </c>
      <c r="AP38" s="1052" t="s">
        <v>175</v>
      </c>
      <c r="AQ38" s="1051" t="s">
        <v>175</v>
      </c>
      <c r="AR38" s="1051" t="s">
        <v>175</v>
      </c>
      <c r="AS38" s="1052" t="s">
        <v>175</v>
      </c>
      <c r="AT38" s="1051">
        <v>1011.6726599300484</v>
      </c>
      <c r="AU38" s="1051" t="s">
        <v>175</v>
      </c>
      <c r="AV38" s="1052" t="s">
        <v>175</v>
      </c>
      <c r="AW38" s="1051">
        <v>1291449.0378922205</v>
      </c>
      <c r="AX38" s="1051" t="s">
        <v>175</v>
      </c>
      <c r="AY38" s="1053" t="s">
        <v>175</v>
      </c>
      <c r="AZ38" s="1051" t="s">
        <v>175</v>
      </c>
      <c r="BA38" s="1051" t="s">
        <v>175</v>
      </c>
      <c r="BB38" s="1053" t="s">
        <v>175</v>
      </c>
      <c r="BC38" s="1051" t="s">
        <v>175</v>
      </c>
      <c r="BD38" s="1051" t="s">
        <v>175</v>
      </c>
      <c r="BE38" s="1053" t="s">
        <v>175</v>
      </c>
      <c r="BF38" s="1051">
        <v>35213.692568407758</v>
      </c>
      <c r="BG38" s="1051" t="s">
        <v>175</v>
      </c>
      <c r="BH38" s="1053" t="s">
        <v>175</v>
      </c>
      <c r="BI38" s="1052">
        <v>53738</v>
      </c>
      <c r="BJ38" s="1052">
        <v>193540.9803106488</v>
      </c>
      <c r="BK38" s="1052" t="s">
        <v>177</v>
      </c>
      <c r="BL38" s="1052" t="s">
        <v>177</v>
      </c>
      <c r="BM38" s="1052" t="s">
        <v>177</v>
      </c>
      <c r="BN38" s="1054" t="s">
        <v>177</v>
      </c>
      <c r="BO38" s="1076" t="str">
        <f t="shared" si="0"/>
        <v>Chicago_2010</v>
      </c>
      <c r="BP38" s="1051">
        <v>33298298.137237478</v>
      </c>
      <c r="BQ38" s="1052">
        <v>33545577.117548127</v>
      </c>
      <c r="BR38" s="1054">
        <v>33545577.117548127</v>
      </c>
      <c r="BS38" s="1053">
        <v>18483916.269341163</v>
      </c>
      <c r="BT38" s="1051">
        <v>24873202.86329842</v>
      </c>
      <c r="BU38" s="1051">
        <v>7098432.5434784284</v>
      </c>
      <c r="BV38" s="1051">
        <v>1326662.7304606284</v>
      </c>
      <c r="BW38" s="1052">
        <v>24873202.86329842</v>
      </c>
      <c r="BX38" s="1052">
        <v>7098432.5434784284</v>
      </c>
      <c r="BY38" s="1052">
        <v>1326662.7304606284</v>
      </c>
      <c r="BZ38" s="1052">
        <v>247278.9803106488</v>
      </c>
      <c r="CA38" s="1052" t="s">
        <v>1637</v>
      </c>
      <c r="CB38" s="1053">
        <v>10063097.609152079</v>
      </c>
      <c r="CC38" s="1053" t="s">
        <v>1637</v>
      </c>
      <c r="CD38" s="1053">
        <v>6846876.9494178053</v>
      </c>
      <c r="CE38" s="1053">
        <v>1326662.7304606284</v>
      </c>
      <c r="CF38" s="1053" t="s">
        <v>1637</v>
      </c>
      <c r="CG38" s="1053">
        <v>247278.9803106488</v>
      </c>
      <c r="CH38" s="1053" t="s">
        <v>1637</v>
      </c>
      <c r="CI38" s="1051">
        <v>9777941.6127921976</v>
      </c>
      <c r="CJ38" s="1051">
        <v>13744320.680786941</v>
      </c>
      <c r="CK38" s="1051">
        <v>1350940.5697192827</v>
      </c>
      <c r="CL38" s="1051" t="s">
        <v>1637</v>
      </c>
      <c r="CM38" s="1051" t="s">
        <v>1637</v>
      </c>
      <c r="CN38" s="1051" t="s">
        <v>1637</v>
      </c>
      <c r="CO38" s="1051" t="s">
        <v>1637</v>
      </c>
      <c r="CP38" s="1051" t="s">
        <v>1637</v>
      </c>
      <c r="CQ38" s="1051">
        <v>6783031.2123398855</v>
      </c>
      <c r="CR38" s="1051">
        <v>314142.79406062287</v>
      </c>
      <c r="CS38" s="1051">
        <v>246.86441798931068</v>
      </c>
      <c r="CT38" s="1051" t="s">
        <v>1637</v>
      </c>
      <c r="CU38" s="1051">
        <v>1011.6726599300484</v>
      </c>
      <c r="CV38" s="1051">
        <v>1291449.0378922205</v>
      </c>
      <c r="CW38" s="1051" t="s">
        <v>1637</v>
      </c>
      <c r="CX38" s="1051" t="s">
        <v>1637</v>
      </c>
      <c r="CY38" s="1051">
        <v>35213.692568407758</v>
      </c>
      <c r="CZ38" s="1118">
        <v>9777941.6127921976</v>
      </c>
      <c r="DA38" s="1118">
        <v>13744320.680786941</v>
      </c>
      <c r="DB38" s="1118">
        <v>1350940.5697192827</v>
      </c>
      <c r="DC38" s="1118" t="s">
        <v>1637</v>
      </c>
      <c r="DD38" s="1118" t="s">
        <v>1637</v>
      </c>
      <c r="DE38" s="1118" t="s">
        <v>1637</v>
      </c>
      <c r="DF38" s="1118" t="s">
        <v>1637</v>
      </c>
      <c r="DG38" s="1118" t="s">
        <v>1637</v>
      </c>
      <c r="DH38" s="1118">
        <v>6783031.2123398855</v>
      </c>
      <c r="DI38" s="1118">
        <v>314142.79406062287</v>
      </c>
      <c r="DJ38" s="1118">
        <v>246.86441798931068</v>
      </c>
      <c r="DK38" s="1118" t="s">
        <v>1637</v>
      </c>
      <c r="DL38" s="1118">
        <v>1011.6726599300484</v>
      </c>
      <c r="DM38" s="1118">
        <v>1291449.0378922205</v>
      </c>
      <c r="DN38" s="1118" t="s">
        <v>1637</v>
      </c>
      <c r="DO38" s="1118" t="s">
        <v>1637</v>
      </c>
      <c r="DP38" s="1118">
        <v>35213.692568407758</v>
      </c>
      <c r="DQ38" s="1118">
        <v>53738</v>
      </c>
      <c r="DR38" s="1118">
        <v>193540.9803106488</v>
      </c>
      <c r="DS38" s="1118" t="s">
        <v>1637</v>
      </c>
      <c r="DT38" s="1118" t="s">
        <v>1637</v>
      </c>
      <c r="DU38" s="1118" t="s">
        <v>1637</v>
      </c>
      <c r="DV38" s="1119" t="s">
        <v>1637</v>
      </c>
      <c r="DW38" s="1120">
        <v>5715207.9086837154</v>
      </c>
      <c r="DX38" s="1120">
        <v>2996949.1307490799</v>
      </c>
      <c r="DY38" s="1120">
        <v>1350940.5697192827</v>
      </c>
      <c r="DZ38" s="1120" t="s">
        <v>1637</v>
      </c>
      <c r="EA38" s="1120" t="s">
        <v>1637</v>
      </c>
      <c r="EB38" s="1120" t="s">
        <v>1637</v>
      </c>
      <c r="EC38" s="1120" t="s">
        <v>1637</v>
      </c>
      <c r="ED38" s="1120" t="s">
        <v>1637</v>
      </c>
      <c r="EE38" s="1120" t="s">
        <v>1637</v>
      </c>
      <c r="EF38" s="1120">
        <v>6783031.2123398855</v>
      </c>
      <c r="EG38" s="1120">
        <v>62587.199999999997</v>
      </c>
      <c r="EH38" s="1120">
        <v>246.86441798931068</v>
      </c>
      <c r="EI38" s="1120" t="s">
        <v>1637</v>
      </c>
      <c r="EJ38" s="1120">
        <v>1011.6726599300484</v>
      </c>
      <c r="EK38" s="1120">
        <v>1291449.0378922205</v>
      </c>
      <c r="EL38" s="1120" t="s">
        <v>1637</v>
      </c>
      <c r="EM38" s="1120" t="s">
        <v>1637</v>
      </c>
      <c r="EN38" s="1120">
        <v>35213.692568407758</v>
      </c>
      <c r="EO38" s="1120">
        <v>53738</v>
      </c>
      <c r="EP38" s="1120">
        <v>193540.9803106488</v>
      </c>
      <c r="EQ38" s="1120" t="s">
        <v>1637</v>
      </c>
      <c r="ER38" s="1120" t="s">
        <v>1637</v>
      </c>
      <c r="ES38" s="1120" t="s">
        <v>1637</v>
      </c>
    </row>
    <row r="39" spans="1:149" s="1121" customFormat="1" ht="15" customHeight="1">
      <c r="A39" s="1185">
        <v>29</v>
      </c>
      <c r="B39" s="1055" t="s">
        <v>1906</v>
      </c>
      <c r="C39" s="1055" t="s">
        <v>1149</v>
      </c>
      <c r="D39" s="1055" t="s">
        <v>1134</v>
      </c>
      <c r="E39" s="1055" t="s">
        <v>687</v>
      </c>
      <c r="F39" s="1049" t="s">
        <v>1974</v>
      </c>
      <c r="G39" s="1049">
        <v>2005</v>
      </c>
      <c r="H39" s="1049" t="str">
        <f t="shared" si="1"/>
        <v>City of Sydney_2005</v>
      </c>
      <c r="I39" s="1049" t="s">
        <v>172</v>
      </c>
      <c r="J39" s="1049">
        <v>156572</v>
      </c>
      <c r="K39" s="1049">
        <v>26.15</v>
      </c>
      <c r="L39" s="1043">
        <v>73012549539.320007</v>
      </c>
      <c r="M39" s="1051">
        <v>53399.501012000001</v>
      </c>
      <c r="N39" s="1051">
        <v>387052.17743000004</v>
      </c>
      <c r="O39" s="1052" t="s">
        <v>176</v>
      </c>
      <c r="P39" s="1051">
        <v>108299.34843200001</v>
      </c>
      <c r="Q39" s="1051">
        <v>3350783.9744600002</v>
      </c>
      <c r="R39" s="1052" t="s">
        <v>176</v>
      </c>
      <c r="S39" s="1051" t="s">
        <v>176</v>
      </c>
      <c r="T39" s="1051" t="s">
        <v>176</v>
      </c>
      <c r="U39" s="1052" t="s">
        <v>176</v>
      </c>
      <c r="V39" s="1051" t="s">
        <v>175</v>
      </c>
      <c r="W39" s="1051" t="s">
        <v>175</v>
      </c>
      <c r="X39" s="1052" t="s">
        <v>175</v>
      </c>
      <c r="Y39" s="1053" t="s">
        <v>175</v>
      </c>
      <c r="Z39" s="1051" t="s">
        <v>175</v>
      </c>
      <c r="AA39" s="1051" t="s">
        <v>175</v>
      </c>
      <c r="AB39" s="1052" t="s">
        <v>175</v>
      </c>
      <c r="AC39" s="1051" t="s">
        <v>175</v>
      </c>
      <c r="AD39" s="1051" t="s">
        <v>175</v>
      </c>
      <c r="AE39" s="1052" t="s">
        <v>175</v>
      </c>
      <c r="AF39" s="1051" t="s">
        <v>175</v>
      </c>
      <c r="AG39" s="1051">
        <v>13574.4463907712</v>
      </c>
      <c r="AH39" s="1051">
        <v>167387.04462199917</v>
      </c>
      <c r="AI39" s="1051" t="s">
        <v>175</v>
      </c>
      <c r="AJ39" s="1052">
        <v>343160.28680626495</v>
      </c>
      <c r="AK39" s="1051" t="s">
        <v>175</v>
      </c>
      <c r="AL39" s="1051">
        <v>96520.604843666937</v>
      </c>
      <c r="AM39" s="1052">
        <v>193041.20968733387</v>
      </c>
      <c r="AN39" s="1051">
        <v>8064.9257331500012</v>
      </c>
      <c r="AO39" s="1051" t="s">
        <v>175</v>
      </c>
      <c r="AP39" s="1052">
        <v>16129.851466300002</v>
      </c>
      <c r="AQ39" s="1051" t="s">
        <v>175</v>
      </c>
      <c r="AR39" s="1051" t="s">
        <v>175</v>
      </c>
      <c r="AS39" s="1052" t="s">
        <v>177</v>
      </c>
      <c r="AT39" s="1051" t="s">
        <v>176</v>
      </c>
      <c r="AU39" s="1051" t="s">
        <v>175</v>
      </c>
      <c r="AV39" s="1052" t="s">
        <v>177</v>
      </c>
      <c r="AW39" s="1051" t="s">
        <v>175</v>
      </c>
      <c r="AX39" s="1051">
        <v>338878.68</v>
      </c>
      <c r="AY39" s="1053" t="s">
        <v>175</v>
      </c>
      <c r="AZ39" s="1051" t="s">
        <v>175</v>
      </c>
      <c r="BA39" s="1051">
        <v>42.046799999999998</v>
      </c>
      <c r="BB39" s="1053" t="s">
        <v>175</v>
      </c>
      <c r="BC39" s="1051" t="s">
        <v>175</v>
      </c>
      <c r="BD39" s="1051" t="s">
        <v>175</v>
      </c>
      <c r="BE39" s="1053" t="s">
        <v>175</v>
      </c>
      <c r="BF39" s="1051" t="s">
        <v>175</v>
      </c>
      <c r="BG39" s="1051">
        <v>3896.5409774719997</v>
      </c>
      <c r="BH39" s="1053" t="s">
        <v>175</v>
      </c>
      <c r="BI39" s="1052" t="s">
        <v>177</v>
      </c>
      <c r="BJ39" s="1052" t="s">
        <v>177</v>
      </c>
      <c r="BK39" s="1052" t="s">
        <v>177</v>
      </c>
      <c r="BL39" s="1052" t="s">
        <v>177</v>
      </c>
      <c r="BM39" s="1052" t="s">
        <v>177</v>
      </c>
      <c r="BN39" s="1054">
        <v>764760.65864389169</v>
      </c>
      <c r="BO39" s="1076" t="str">
        <f t="shared" si="0"/>
        <v>City of Sydney_2005</v>
      </c>
      <c r="BP39" s="1051">
        <v>4527899.2907010596</v>
      </c>
      <c r="BQ39" s="1052">
        <v>5080230.638660958</v>
      </c>
      <c r="BR39" s="1054">
        <v>5844991.2973048501</v>
      </c>
      <c r="BS39" s="1053">
        <v>350725.26618992037</v>
      </c>
      <c r="BT39" s="1051">
        <v>3913109.4477247698</v>
      </c>
      <c r="BU39" s="1051">
        <v>271972.57519881614</v>
      </c>
      <c r="BV39" s="1051">
        <v>342817.26777747198</v>
      </c>
      <c r="BW39" s="1052">
        <v>3913109.4477247717</v>
      </c>
      <c r="BX39" s="1052">
        <v>824303.9231587149</v>
      </c>
      <c r="BY39" s="1052">
        <v>342817.26777747198</v>
      </c>
      <c r="BZ39" s="1052" t="s">
        <v>1637</v>
      </c>
      <c r="CA39" s="1052" t="s">
        <v>1637</v>
      </c>
      <c r="CB39" s="1053">
        <v>175273.29583477121</v>
      </c>
      <c r="CC39" s="1053" t="s">
        <v>1637</v>
      </c>
      <c r="CD39" s="1053">
        <v>175451.97035514918</v>
      </c>
      <c r="CE39" s="1053" t="s">
        <v>1637</v>
      </c>
      <c r="CF39" s="1053" t="s">
        <v>1637</v>
      </c>
      <c r="CG39" s="1053" t="s">
        <v>1637</v>
      </c>
      <c r="CH39" s="1053" t="s">
        <v>1637</v>
      </c>
      <c r="CI39" s="1051">
        <v>440451.67844200006</v>
      </c>
      <c r="CJ39" s="1051">
        <v>3459083.322892</v>
      </c>
      <c r="CK39" s="1051" t="s">
        <v>1637</v>
      </c>
      <c r="CL39" s="1051" t="s">
        <v>1637</v>
      </c>
      <c r="CM39" s="1051" t="s">
        <v>1637</v>
      </c>
      <c r="CN39" s="1051" t="s">
        <v>1637</v>
      </c>
      <c r="CO39" s="1051" t="s">
        <v>1637</v>
      </c>
      <c r="CP39" s="1051">
        <v>13574.4463907712</v>
      </c>
      <c r="CQ39" s="1051">
        <v>167387.04462199917</v>
      </c>
      <c r="CR39" s="1051">
        <v>96520.604843666937</v>
      </c>
      <c r="CS39" s="1051">
        <v>8064.9257331500012</v>
      </c>
      <c r="CT39" s="1051" t="s">
        <v>1637</v>
      </c>
      <c r="CU39" s="1051" t="s">
        <v>1637</v>
      </c>
      <c r="CV39" s="1051">
        <v>338878.68</v>
      </c>
      <c r="CW39" s="1051">
        <v>42.046799999999998</v>
      </c>
      <c r="CX39" s="1051" t="s">
        <v>1637</v>
      </c>
      <c r="CY39" s="1051">
        <v>3896.5409774719997</v>
      </c>
      <c r="CZ39" s="1118">
        <v>440451.67844200006</v>
      </c>
      <c r="DA39" s="1118">
        <v>3459083.322892</v>
      </c>
      <c r="DB39" s="1118" t="s">
        <v>1637</v>
      </c>
      <c r="DC39" s="1118" t="s">
        <v>1637</v>
      </c>
      <c r="DD39" s="1118" t="s">
        <v>1637</v>
      </c>
      <c r="DE39" s="1118" t="s">
        <v>1637</v>
      </c>
      <c r="DF39" s="1118" t="s">
        <v>1637</v>
      </c>
      <c r="DG39" s="1118">
        <v>13574.4463907712</v>
      </c>
      <c r="DH39" s="1118">
        <v>510547.33142826415</v>
      </c>
      <c r="DI39" s="1118">
        <v>289561.8145310008</v>
      </c>
      <c r="DJ39" s="1118">
        <v>24194.777199450004</v>
      </c>
      <c r="DK39" s="1118" t="s">
        <v>1637</v>
      </c>
      <c r="DL39" s="1118" t="s">
        <v>1637</v>
      </c>
      <c r="DM39" s="1118">
        <v>338878.68</v>
      </c>
      <c r="DN39" s="1118">
        <v>42.046799999999998</v>
      </c>
      <c r="DO39" s="1118" t="s">
        <v>1637</v>
      </c>
      <c r="DP39" s="1118">
        <v>3896.5409774719997</v>
      </c>
      <c r="DQ39" s="1118" t="s">
        <v>1637</v>
      </c>
      <c r="DR39" s="1118" t="s">
        <v>1637</v>
      </c>
      <c r="DS39" s="1118" t="s">
        <v>1637</v>
      </c>
      <c r="DT39" s="1118" t="s">
        <v>1637</v>
      </c>
      <c r="DU39" s="1118" t="s">
        <v>1637</v>
      </c>
      <c r="DV39" s="1119">
        <v>764760.65864389169</v>
      </c>
      <c r="DW39" s="1120">
        <v>53399.501012000001</v>
      </c>
      <c r="DX39" s="1120">
        <v>108299.34843200001</v>
      </c>
      <c r="DY39" s="1120" t="s">
        <v>1637</v>
      </c>
      <c r="DZ39" s="1120" t="s">
        <v>1637</v>
      </c>
      <c r="EA39" s="1120" t="s">
        <v>1637</v>
      </c>
      <c r="EB39" s="1120" t="s">
        <v>1637</v>
      </c>
      <c r="EC39" s="1120" t="s">
        <v>1637</v>
      </c>
      <c r="ED39" s="1120" t="s">
        <v>1637</v>
      </c>
      <c r="EE39" s="1120">
        <v>13574.4463907712</v>
      </c>
      <c r="EF39" s="1120">
        <v>167387.04462199917</v>
      </c>
      <c r="EG39" s="1120" t="s">
        <v>1637</v>
      </c>
      <c r="EH39" s="1120">
        <v>8064.9257331500012</v>
      </c>
      <c r="EI39" s="1120" t="s">
        <v>1637</v>
      </c>
      <c r="EJ39" s="1120" t="s">
        <v>1637</v>
      </c>
      <c r="EK39" s="1120" t="s">
        <v>1637</v>
      </c>
      <c r="EL39" s="1120" t="s">
        <v>1637</v>
      </c>
      <c r="EM39" s="1120" t="s">
        <v>1637</v>
      </c>
      <c r="EN39" s="1120" t="s">
        <v>1637</v>
      </c>
      <c r="EO39" s="1120" t="s">
        <v>1637</v>
      </c>
      <c r="EP39" s="1120" t="s">
        <v>1637</v>
      </c>
      <c r="EQ39" s="1120" t="s">
        <v>1637</v>
      </c>
      <c r="ER39" s="1120" t="s">
        <v>1637</v>
      </c>
      <c r="ES39" s="1120" t="s">
        <v>1637</v>
      </c>
    </row>
    <row r="40" spans="1:149" s="1121" customFormat="1" ht="15" customHeight="1">
      <c r="A40" s="1185">
        <v>30</v>
      </c>
      <c r="B40" s="1055" t="s">
        <v>1906</v>
      </c>
      <c r="C40" s="1055" t="s">
        <v>1149</v>
      </c>
      <c r="D40" s="1055" t="s">
        <v>1134</v>
      </c>
      <c r="E40" s="1055" t="s">
        <v>687</v>
      </c>
      <c r="F40" s="1049" t="s">
        <v>1975</v>
      </c>
      <c r="G40" s="1049">
        <v>2014</v>
      </c>
      <c r="H40" s="1049" t="str">
        <f t="shared" si="1"/>
        <v>City of Sydney_2014</v>
      </c>
      <c r="I40" s="1049" t="s">
        <v>172</v>
      </c>
      <c r="J40" s="1049">
        <v>205728.86297376096</v>
      </c>
      <c r="K40" s="1049">
        <v>26.15</v>
      </c>
      <c r="L40" s="1043">
        <v>73012549539.320007</v>
      </c>
      <c r="M40" s="1051">
        <v>68201.214473184664</v>
      </c>
      <c r="N40" s="1051">
        <v>345461.01185999997</v>
      </c>
      <c r="O40" s="1052" t="s">
        <v>176</v>
      </c>
      <c r="P40" s="1051">
        <v>111975.40561073429</v>
      </c>
      <c r="Q40" s="1051">
        <v>2766482.2709999997</v>
      </c>
      <c r="R40" s="1052" t="s">
        <v>176</v>
      </c>
      <c r="S40" s="1051" t="s">
        <v>176</v>
      </c>
      <c r="T40" s="1051" t="s">
        <v>176</v>
      </c>
      <c r="U40" s="1052" t="s">
        <v>176</v>
      </c>
      <c r="V40" s="1051" t="s">
        <v>175</v>
      </c>
      <c r="W40" s="1051" t="s">
        <v>175</v>
      </c>
      <c r="X40" s="1052" t="s">
        <v>175</v>
      </c>
      <c r="Y40" s="1053" t="s">
        <v>175</v>
      </c>
      <c r="Z40" s="1051" t="s">
        <v>175</v>
      </c>
      <c r="AA40" s="1051" t="s">
        <v>175</v>
      </c>
      <c r="AB40" s="1052" t="s">
        <v>175</v>
      </c>
      <c r="AC40" s="1051" t="s">
        <v>175</v>
      </c>
      <c r="AD40" s="1051" t="s">
        <v>175</v>
      </c>
      <c r="AE40" s="1052" t="s">
        <v>175</v>
      </c>
      <c r="AF40" s="1051" t="s">
        <v>175</v>
      </c>
      <c r="AG40" s="1051">
        <v>15234.665096891125</v>
      </c>
      <c r="AH40" s="1051">
        <v>158795.11042066236</v>
      </c>
      <c r="AI40" s="1051" t="s">
        <v>175</v>
      </c>
      <c r="AJ40" s="1052">
        <v>317590.22084132471</v>
      </c>
      <c r="AK40" s="1051" t="s">
        <v>175</v>
      </c>
      <c r="AL40" s="1051">
        <v>85521.344031772387</v>
      </c>
      <c r="AM40" s="1052">
        <v>171042.68806354477</v>
      </c>
      <c r="AN40" s="1051">
        <v>4857.6167573512748</v>
      </c>
      <c r="AO40" s="1051" t="s">
        <v>175</v>
      </c>
      <c r="AP40" s="1052">
        <v>9715.2335147025497</v>
      </c>
      <c r="AQ40" s="1051" t="s">
        <v>175</v>
      </c>
      <c r="AR40" s="1051" t="s">
        <v>175</v>
      </c>
      <c r="AS40" s="1052" t="s">
        <v>177</v>
      </c>
      <c r="AT40" s="1051" t="s">
        <v>176</v>
      </c>
      <c r="AU40" s="1051" t="s">
        <v>175</v>
      </c>
      <c r="AV40" s="1052" t="s">
        <v>177</v>
      </c>
      <c r="AW40" s="1051" t="s">
        <v>175</v>
      </c>
      <c r="AX40" s="1051">
        <v>175018.5</v>
      </c>
      <c r="AY40" s="1053" t="s">
        <v>175</v>
      </c>
      <c r="AZ40" s="1051" t="s">
        <v>175</v>
      </c>
      <c r="BA40" s="1051">
        <v>195.83959999999999</v>
      </c>
      <c r="BB40" s="1053" t="s">
        <v>175</v>
      </c>
      <c r="BC40" s="1051" t="s">
        <v>175</v>
      </c>
      <c r="BD40" s="1051" t="s">
        <v>175</v>
      </c>
      <c r="BE40" s="1053" t="s">
        <v>175</v>
      </c>
      <c r="BF40" s="1051" t="s">
        <v>175</v>
      </c>
      <c r="BG40" s="1051">
        <v>5119.8869837900875</v>
      </c>
      <c r="BH40" s="1053" t="s">
        <v>175</v>
      </c>
      <c r="BI40" s="1052" t="s">
        <v>177</v>
      </c>
      <c r="BJ40" s="1052" t="s">
        <v>177</v>
      </c>
      <c r="BK40" s="1052" t="s">
        <v>177</v>
      </c>
      <c r="BL40" s="1052" t="s">
        <v>177</v>
      </c>
      <c r="BM40" s="1052" t="s">
        <v>177</v>
      </c>
      <c r="BN40" s="1054">
        <v>518805.89412175561</v>
      </c>
      <c r="BO40" s="1076" t="str">
        <f t="shared" si="0"/>
        <v>City of Sydney_2014</v>
      </c>
      <c r="BP40" s="1051">
        <v>3736862.8658343856</v>
      </c>
      <c r="BQ40" s="1052">
        <v>4235211.0082539581</v>
      </c>
      <c r="BR40" s="1054">
        <v>4754016.9023757139</v>
      </c>
      <c r="BS40" s="1053">
        <v>359064.01235882367</v>
      </c>
      <c r="BT40" s="1051">
        <v>3307354.5680408096</v>
      </c>
      <c r="BU40" s="1051">
        <v>249174.07120978599</v>
      </c>
      <c r="BV40" s="1051">
        <v>180334.22658379009</v>
      </c>
      <c r="BW40" s="1052">
        <v>3307354.5680408096</v>
      </c>
      <c r="BX40" s="1052">
        <v>747522.21362935798</v>
      </c>
      <c r="BY40" s="1052">
        <v>180334.22658379009</v>
      </c>
      <c r="BZ40" s="1052" t="s">
        <v>1637</v>
      </c>
      <c r="CA40" s="1052" t="s">
        <v>1637</v>
      </c>
      <c r="CB40" s="1053">
        <v>195411.28518081008</v>
      </c>
      <c r="CC40" s="1053" t="s">
        <v>1637</v>
      </c>
      <c r="CD40" s="1053">
        <v>163652.72717801362</v>
      </c>
      <c r="CE40" s="1053" t="s">
        <v>1637</v>
      </c>
      <c r="CF40" s="1053" t="s">
        <v>1637</v>
      </c>
      <c r="CG40" s="1053" t="s">
        <v>1637</v>
      </c>
      <c r="CH40" s="1053" t="s">
        <v>1637</v>
      </c>
      <c r="CI40" s="1051">
        <v>413662.22633318463</v>
      </c>
      <c r="CJ40" s="1051">
        <v>2878457.6766107338</v>
      </c>
      <c r="CK40" s="1051" t="s">
        <v>1637</v>
      </c>
      <c r="CL40" s="1051" t="s">
        <v>1637</v>
      </c>
      <c r="CM40" s="1051" t="s">
        <v>1637</v>
      </c>
      <c r="CN40" s="1051" t="s">
        <v>1637</v>
      </c>
      <c r="CO40" s="1051" t="s">
        <v>1637</v>
      </c>
      <c r="CP40" s="1051">
        <v>15234.665096891125</v>
      </c>
      <c r="CQ40" s="1051">
        <v>158795.11042066236</v>
      </c>
      <c r="CR40" s="1051">
        <v>85521.344031772387</v>
      </c>
      <c r="CS40" s="1051">
        <v>4857.6167573512748</v>
      </c>
      <c r="CT40" s="1051" t="s">
        <v>1637</v>
      </c>
      <c r="CU40" s="1051" t="s">
        <v>1637</v>
      </c>
      <c r="CV40" s="1051">
        <v>175018.5</v>
      </c>
      <c r="CW40" s="1051">
        <v>195.83959999999999</v>
      </c>
      <c r="CX40" s="1051" t="s">
        <v>1637</v>
      </c>
      <c r="CY40" s="1051">
        <v>5119.8869837900875</v>
      </c>
      <c r="CZ40" s="1118">
        <v>413662.22633318463</v>
      </c>
      <c r="DA40" s="1118">
        <v>2878457.6766107338</v>
      </c>
      <c r="DB40" s="1118" t="s">
        <v>1637</v>
      </c>
      <c r="DC40" s="1118" t="s">
        <v>1637</v>
      </c>
      <c r="DD40" s="1118" t="s">
        <v>1637</v>
      </c>
      <c r="DE40" s="1118" t="s">
        <v>1637</v>
      </c>
      <c r="DF40" s="1118" t="s">
        <v>1637</v>
      </c>
      <c r="DG40" s="1118">
        <v>15234.665096891125</v>
      </c>
      <c r="DH40" s="1118">
        <v>476385.3312619871</v>
      </c>
      <c r="DI40" s="1118">
        <v>256564.03209531715</v>
      </c>
      <c r="DJ40" s="1118">
        <v>14572.850272053824</v>
      </c>
      <c r="DK40" s="1118" t="s">
        <v>1637</v>
      </c>
      <c r="DL40" s="1118" t="s">
        <v>1637</v>
      </c>
      <c r="DM40" s="1118">
        <v>175018.5</v>
      </c>
      <c r="DN40" s="1118">
        <v>195.83959999999999</v>
      </c>
      <c r="DO40" s="1118" t="s">
        <v>1637</v>
      </c>
      <c r="DP40" s="1118">
        <v>5119.8869837900875</v>
      </c>
      <c r="DQ40" s="1118" t="s">
        <v>1637</v>
      </c>
      <c r="DR40" s="1118" t="s">
        <v>1637</v>
      </c>
      <c r="DS40" s="1118" t="s">
        <v>1637</v>
      </c>
      <c r="DT40" s="1118" t="s">
        <v>1637</v>
      </c>
      <c r="DU40" s="1118" t="s">
        <v>1637</v>
      </c>
      <c r="DV40" s="1119">
        <v>518805.89412175561</v>
      </c>
      <c r="DW40" s="1120">
        <v>68201.214473184664</v>
      </c>
      <c r="DX40" s="1120">
        <v>111975.40561073429</v>
      </c>
      <c r="DY40" s="1120" t="s">
        <v>1637</v>
      </c>
      <c r="DZ40" s="1120" t="s">
        <v>1637</v>
      </c>
      <c r="EA40" s="1120" t="s">
        <v>1637</v>
      </c>
      <c r="EB40" s="1120" t="s">
        <v>1637</v>
      </c>
      <c r="EC40" s="1120" t="s">
        <v>1637</v>
      </c>
      <c r="ED40" s="1120" t="s">
        <v>1637</v>
      </c>
      <c r="EE40" s="1120">
        <v>15234.665096891125</v>
      </c>
      <c r="EF40" s="1120">
        <v>158795.11042066236</v>
      </c>
      <c r="EG40" s="1120" t="s">
        <v>1637</v>
      </c>
      <c r="EH40" s="1120">
        <v>4857.6167573512748</v>
      </c>
      <c r="EI40" s="1120" t="s">
        <v>1637</v>
      </c>
      <c r="EJ40" s="1120" t="s">
        <v>1637</v>
      </c>
      <c r="EK40" s="1120" t="s">
        <v>1637</v>
      </c>
      <c r="EL40" s="1120" t="s">
        <v>1637</v>
      </c>
      <c r="EM40" s="1120" t="s">
        <v>1637</v>
      </c>
      <c r="EN40" s="1120" t="s">
        <v>1637</v>
      </c>
      <c r="EO40" s="1120" t="s">
        <v>1637</v>
      </c>
      <c r="EP40" s="1120" t="s">
        <v>1637</v>
      </c>
      <c r="EQ40" s="1120" t="s">
        <v>1637</v>
      </c>
      <c r="ER40" s="1120" t="s">
        <v>1637</v>
      </c>
      <c r="ES40" s="1120" t="s">
        <v>1637</v>
      </c>
    </row>
    <row r="41" spans="1:149" s="34" customFormat="1" ht="15" customHeight="1">
      <c r="A41" s="1185">
        <v>31</v>
      </c>
      <c r="B41" s="1041"/>
      <c r="C41" s="1050"/>
      <c r="D41" s="1050"/>
      <c r="E41" s="1050"/>
      <c r="F41" s="1049"/>
      <c r="G41" s="1049"/>
      <c r="H41" s="1049"/>
      <c r="I41" s="1049"/>
      <c r="J41" s="1050"/>
      <c r="K41" s="1050"/>
      <c r="L41" s="1043"/>
      <c r="M41" s="1051"/>
      <c r="N41" s="1051"/>
      <c r="O41" s="1052"/>
      <c r="P41" s="1051"/>
      <c r="Q41" s="1051"/>
      <c r="R41" s="1052"/>
      <c r="S41" s="1051"/>
      <c r="T41" s="1051"/>
      <c r="U41" s="1052"/>
      <c r="V41" s="1051"/>
      <c r="W41" s="1051"/>
      <c r="X41" s="1052"/>
      <c r="Y41" s="1053"/>
      <c r="Z41" s="1051"/>
      <c r="AA41" s="1051"/>
      <c r="AB41" s="1052"/>
      <c r="AC41" s="1051"/>
      <c r="AD41" s="1051"/>
      <c r="AE41" s="1052"/>
      <c r="AF41" s="1051"/>
      <c r="AG41" s="1051"/>
      <c r="AH41" s="1051"/>
      <c r="AI41" s="1051"/>
      <c r="AJ41" s="1052"/>
      <c r="AK41" s="1051"/>
      <c r="AL41" s="1051"/>
      <c r="AM41" s="1052"/>
      <c r="AN41" s="1051"/>
      <c r="AO41" s="1051"/>
      <c r="AP41" s="1052"/>
      <c r="AQ41" s="1051"/>
      <c r="AR41" s="1051"/>
      <c r="AS41" s="1052"/>
      <c r="AT41" s="1051"/>
      <c r="AU41" s="1051"/>
      <c r="AV41" s="1052"/>
      <c r="AW41" s="1051"/>
      <c r="AX41" s="1051"/>
      <c r="AY41" s="1053"/>
      <c r="AZ41" s="1051"/>
      <c r="BA41" s="1051"/>
      <c r="BB41" s="1053"/>
      <c r="BC41" s="1051"/>
      <c r="BD41" s="1051"/>
      <c r="BE41" s="1053"/>
      <c r="BF41" s="1051"/>
      <c r="BG41" s="1051"/>
      <c r="BH41" s="1053"/>
      <c r="BI41" s="1052"/>
      <c r="BJ41" s="1052"/>
      <c r="BK41" s="1052"/>
      <c r="BL41" s="1052"/>
      <c r="BM41" s="1052"/>
      <c r="BN41" s="1054"/>
      <c r="BO41" s="1076">
        <f t="shared" si="0"/>
        <v>0</v>
      </c>
      <c r="BP41" s="1051"/>
      <c r="BQ41" s="1052"/>
      <c r="BR41" s="1054"/>
      <c r="BS41" s="1053"/>
      <c r="BT41" s="1051"/>
      <c r="BU41" s="1051"/>
      <c r="BV41" s="1051"/>
      <c r="BW41" s="1052"/>
      <c r="BX41" s="1052"/>
      <c r="BY41" s="1052"/>
      <c r="BZ41" s="1052"/>
      <c r="CA41" s="1052"/>
      <c r="CB41" s="1053"/>
      <c r="CC41" s="1053"/>
      <c r="CD41" s="1053"/>
      <c r="CE41" s="1053"/>
      <c r="CF41" s="1053"/>
      <c r="CG41" s="1053"/>
      <c r="CH41" s="1053"/>
      <c r="CI41" s="1123"/>
      <c r="CJ41" s="1123"/>
      <c r="CK41" s="1123"/>
      <c r="CL41" s="1123"/>
      <c r="CM41" s="1123"/>
      <c r="CN41" s="1123"/>
      <c r="CO41" s="1123"/>
      <c r="CP41" s="1123"/>
      <c r="CQ41" s="1123"/>
      <c r="CR41" s="1123"/>
      <c r="CS41" s="1123"/>
      <c r="CT41" s="1123"/>
      <c r="CU41" s="1123"/>
      <c r="CV41" s="1123"/>
      <c r="CW41" s="1123"/>
      <c r="CX41" s="1123"/>
      <c r="CY41" s="1123"/>
      <c r="CZ41" s="1114"/>
      <c r="DA41" s="1114"/>
      <c r="DB41" s="1114"/>
      <c r="DC41" s="1114"/>
      <c r="DD41" s="1114"/>
      <c r="DE41" s="1114"/>
      <c r="DF41" s="1114"/>
      <c r="DG41" s="1114"/>
      <c r="DH41" s="1114"/>
      <c r="DI41" s="1114"/>
      <c r="DJ41" s="1114"/>
      <c r="DK41" s="1114"/>
      <c r="DL41" s="1114"/>
      <c r="DM41" s="1114"/>
      <c r="DN41" s="1114"/>
      <c r="DO41" s="1114"/>
      <c r="DP41" s="1114"/>
      <c r="DQ41" s="1114"/>
      <c r="DR41" s="1114"/>
      <c r="DS41" s="1114"/>
      <c r="DT41" s="1114"/>
      <c r="DU41" s="1114"/>
      <c r="DV41" s="1115"/>
      <c r="DW41" s="1116"/>
      <c r="DX41" s="1116"/>
      <c r="DY41" s="1116"/>
      <c r="DZ41" s="1116"/>
      <c r="EA41" s="1116"/>
      <c r="EB41" s="1116"/>
      <c r="EC41" s="1116"/>
      <c r="ED41" s="1116"/>
      <c r="EE41" s="1116"/>
      <c r="EF41" s="1116"/>
      <c r="EG41" s="1116"/>
      <c r="EH41" s="1116"/>
      <c r="EI41" s="1116"/>
      <c r="EJ41" s="1116"/>
      <c r="EK41" s="1116"/>
      <c r="EL41" s="1116"/>
      <c r="EM41" s="1116"/>
      <c r="EN41" s="1116"/>
      <c r="EO41" s="1116"/>
      <c r="EP41" s="1116"/>
      <c r="EQ41" s="1116"/>
      <c r="ER41" s="1116"/>
      <c r="ES41" s="1116"/>
    </row>
    <row r="42" spans="1:149" s="34" customFormat="1" ht="15" customHeight="1">
      <c r="A42" s="1185">
        <v>32</v>
      </c>
      <c r="B42" s="1041"/>
      <c r="C42" s="1050"/>
      <c r="D42" s="1050"/>
      <c r="E42" s="1050"/>
      <c r="F42" s="1049"/>
      <c r="G42" s="1049"/>
      <c r="H42" s="1049"/>
      <c r="I42" s="1049"/>
      <c r="J42" s="1050"/>
      <c r="K42" s="1050"/>
      <c r="L42" s="1043"/>
      <c r="M42" s="1051"/>
      <c r="N42" s="1051"/>
      <c r="O42" s="1052"/>
      <c r="P42" s="1051"/>
      <c r="Q42" s="1051"/>
      <c r="R42" s="1052"/>
      <c r="S42" s="1051"/>
      <c r="T42" s="1051"/>
      <c r="U42" s="1052"/>
      <c r="V42" s="1051"/>
      <c r="W42" s="1051"/>
      <c r="X42" s="1052"/>
      <c r="Y42" s="1053"/>
      <c r="Z42" s="1051"/>
      <c r="AA42" s="1051"/>
      <c r="AB42" s="1052"/>
      <c r="AC42" s="1051"/>
      <c r="AD42" s="1051"/>
      <c r="AE42" s="1052"/>
      <c r="AF42" s="1051"/>
      <c r="AG42" s="1051"/>
      <c r="AH42" s="1051"/>
      <c r="AI42" s="1051"/>
      <c r="AJ42" s="1052"/>
      <c r="AK42" s="1051"/>
      <c r="AL42" s="1051"/>
      <c r="AM42" s="1052"/>
      <c r="AN42" s="1051"/>
      <c r="AO42" s="1051"/>
      <c r="AP42" s="1052"/>
      <c r="AQ42" s="1051"/>
      <c r="AR42" s="1051"/>
      <c r="AS42" s="1052"/>
      <c r="AT42" s="1051"/>
      <c r="AU42" s="1051"/>
      <c r="AV42" s="1052"/>
      <c r="AW42" s="1051"/>
      <c r="AX42" s="1051"/>
      <c r="AY42" s="1053"/>
      <c r="AZ42" s="1051"/>
      <c r="BA42" s="1051"/>
      <c r="BB42" s="1053"/>
      <c r="BC42" s="1051"/>
      <c r="BD42" s="1051"/>
      <c r="BE42" s="1053"/>
      <c r="BF42" s="1051"/>
      <c r="BG42" s="1051"/>
      <c r="BH42" s="1053"/>
      <c r="BI42" s="1052"/>
      <c r="BJ42" s="1052"/>
      <c r="BK42" s="1052"/>
      <c r="BL42" s="1052"/>
      <c r="BM42" s="1052"/>
      <c r="BN42" s="1054"/>
      <c r="BO42" s="1076">
        <f t="shared" si="0"/>
        <v>0</v>
      </c>
      <c r="BP42" s="1051"/>
      <c r="BQ42" s="1052"/>
      <c r="BR42" s="1054"/>
      <c r="BS42" s="1053"/>
      <c r="BT42" s="1051"/>
      <c r="BU42" s="1051"/>
      <c r="BV42" s="1051"/>
      <c r="BW42" s="1052"/>
      <c r="BX42" s="1052"/>
      <c r="BY42" s="1052"/>
      <c r="BZ42" s="1052"/>
      <c r="CA42" s="1052"/>
      <c r="CB42" s="1053"/>
      <c r="CC42" s="1053"/>
      <c r="CD42" s="1053"/>
      <c r="CE42" s="1053"/>
      <c r="CF42" s="1053"/>
      <c r="CG42" s="1053"/>
      <c r="CH42" s="1053"/>
      <c r="CI42" s="1123"/>
      <c r="CJ42" s="1123"/>
      <c r="CK42" s="1123"/>
      <c r="CL42" s="1123"/>
      <c r="CM42" s="1123"/>
      <c r="CN42" s="1123"/>
      <c r="CO42" s="1123"/>
      <c r="CP42" s="1123"/>
      <c r="CQ42" s="1123"/>
      <c r="CR42" s="1123"/>
      <c r="CS42" s="1123"/>
      <c r="CT42" s="1123"/>
      <c r="CU42" s="1123"/>
      <c r="CV42" s="1123"/>
      <c r="CW42" s="1123"/>
      <c r="CX42" s="1123"/>
      <c r="CY42" s="1123"/>
      <c r="CZ42" s="1114"/>
      <c r="DA42" s="1114"/>
      <c r="DB42" s="1114"/>
      <c r="DC42" s="1114"/>
      <c r="DD42" s="1114"/>
      <c r="DE42" s="1114"/>
      <c r="DF42" s="1114"/>
      <c r="DG42" s="1114"/>
      <c r="DH42" s="1114"/>
      <c r="DI42" s="1114"/>
      <c r="DJ42" s="1114"/>
      <c r="DK42" s="1114"/>
      <c r="DL42" s="1114"/>
      <c r="DM42" s="1114"/>
      <c r="DN42" s="1114"/>
      <c r="DO42" s="1114"/>
      <c r="DP42" s="1114"/>
      <c r="DQ42" s="1114"/>
      <c r="DR42" s="1114"/>
      <c r="DS42" s="1114"/>
      <c r="DT42" s="1114"/>
      <c r="DU42" s="1114"/>
      <c r="DV42" s="1115"/>
      <c r="DW42" s="1116"/>
      <c r="DX42" s="1116"/>
      <c r="DY42" s="1116"/>
      <c r="DZ42" s="1116"/>
      <c r="EA42" s="1116"/>
      <c r="EB42" s="1116"/>
      <c r="EC42" s="1116"/>
      <c r="ED42" s="1116"/>
      <c r="EE42" s="1116"/>
      <c r="EF42" s="1116"/>
      <c r="EG42" s="1116"/>
      <c r="EH42" s="1116"/>
      <c r="EI42" s="1116"/>
      <c r="EJ42" s="1116"/>
      <c r="EK42" s="1116"/>
      <c r="EL42" s="1116"/>
      <c r="EM42" s="1116"/>
      <c r="EN42" s="1116"/>
      <c r="EO42" s="1116"/>
      <c r="EP42" s="1116"/>
      <c r="EQ42" s="1116"/>
      <c r="ER42" s="1116"/>
      <c r="ES42" s="1116"/>
    </row>
    <row r="43" spans="1:149" s="34" customFormat="1" ht="15" customHeight="1">
      <c r="A43" s="1185">
        <v>33</v>
      </c>
      <c r="B43" s="1041"/>
      <c r="C43" s="1050"/>
      <c r="D43" s="1050"/>
      <c r="E43" s="1050"/>
      <c r="F43" s="1049"/>
      <c r="G43" s="1049"/>
      <c r="H43" s="1049"/>
      <c r="I43" s="1049"/>
      <c r="J43" s="1050"/>
      <c r="K43" s="1050"/>
      <c r="L43" s="1043"/>
      <c r="M43" s="1051"/>
      <c r="N43" s="1051"/>
      <c r="O43" s="1052"/>
      <c r="P43" s="1051"/>
      <c r="Q43" s="1051"/>
      <c r="R43" s="1052"/>
      <c r="S43" s="1051"/>
      <c r="T43" s="1051"/>
      <c r="U43" s="1052"/>
      <c r="V43" s="1051"/>
      <c r="W43" s="1051"/>
      <c r="X43" s="1052"/>
      <c r="Y43" s="1053"/>
      <c r="Z43" s="1051"/>
      <c r="AA43" s="1051"/>
      <c r="AB43" s="1052"/>
      <c r="AC43" s="1051"/>
      <c r="AD43" s="1051"/>
      <c r="AE43" s="1052"/>
      <c r="AF43" s="1051"/>
      <c r="AG43" s="1051"/>
      <c r="AH43" s="1051"/>
      <c r="AI43" s="1051"/>
      <c r="AJ43" s="1052"/>
      <c r="AK43" s="1051"/>
      <c r="AL43" s="1051"/>
      <c r="AM43" s="1052"/>
      <c r="AN43" s="1051"/>
      <c r="AO43" s="1051"/>
      <c r="AP43" s="1052"/>
      <c r="AQ43" s="1051"/>
      <c r="AR43" s="1051"/>
      <c r="AS43" s="1052"/>
      <c r="AT43" s="1051"/>
      <c r="AU43" s="1051"/>
      <c r="AV43" s="1052"/>
      <c r="AW43" s="1051"/>
      <c r="AX43" s="1051"/>
      <c r="AY43" s="1053"/>
      <c r="AZ43" s="1051"/>
      <c r="BA43" s="1051"/>
      <c r="BB43" s="1053"/>
      <c r="BC43" s="1051"/>
      <c r="BD43" s="1051"/>
      <c r="BE43" s="1053"/>
      <c r="BF43" s="1051"/>
      <c r="BG43" s="1051"/>
      <c r="BH43" s="1053"/>
      <c r="BI43" s="1052"/>
      <c r="BJ43" s="1052"/>
      <c r="BK43" s="1052"/>
      <c r="BL43" s="1052"/>
      <c r="BM43" s="1052"/>
      <c r="BN43" s="1054"/>
      <c r="BO43" s="1076">
        <f t="shared" si="0"/>
        <v>0</v>
      </c>
      <c r="BP43" s="1051"/>
      <c r="BQ43" s="1052"/>
      <c r="BR43" s="1054"/>
      <c r="BS43" s="1053"/>
      <c r="BT43" s="1051"/>
      <c r="BU43" s="1051"/>
      <c r="BV43" s="1051"/>
      <c r="BW43" s="1052"/>
      <c r="BX43" s="1052"/>
      <c r="BY43" s="1052"/>
      <c r="BZ43" s="1052"/>
      <c r="CA43" s="1052"/>
      <c r="CB43" s="1053"/>
      <c r="CC43" s="1053"/>
      <c r="CD43" s="1053"/>
      <c r="CE43" s="1053"/>
      <c r="CF43" s="1053"/>
      <c r="CG43" s="1053"/>
      <c r="CH43" s="1053"/>
      <c r="CI43" s="1123"/>
      <c r="CJ43" s="1123"/>
      <c r="CK43" s="1123"/>
      <c r="CL43" s="1123"/>
      <c r="CM43" s="1123"/>
      <c r="CN43" s="1123"/>
      <c r="CO43" s="1123"/>
      <c r="CP43" s="1123"/>
      <c r="CQ43" s="1123"/>
      <c r="CR43" s="1123"/>
      <c r="CS43" s="1123"/>
      <c r="CT43" s="1123"/>
      <c r="CU43" s="1123"/>
      <c r="CV43" s="1123"/>
      <c r="CW43" s="1123"/>
      <c r="CX43" s="1123"/>
      <c r="CY43" s="1123"/>
      <c r="CZ43" s="1114"/>
      <c r="DA43" s="1114"/>
      <c r="DB43" s="1114"/>
      <c r="DC43" s="1114"/>
      <c r="DD43" s="1114"/>
      <c r="DE43" s="1114"/>
      <c r="DF43" s="1114"/>
      <c r="DG43" s="1114"/>
      <c r="DH43" s="1114"/>
      <c r="DI43" s="1114"/>
      <c r="DJ43" s="1114"/>
      <c r="DK43" s="1114"/>
      <c r="DL43" s="1114"/>
      <c r="DM43" s="1114"/>
      <c r="DN43" s="1114"/>
      <c r="DO43" s="1114"/>
      <c r="DP43" s="1114"/>
      <c r="DQ43" s="1114"/>
      <c r="DR43" s="1114"/>
      <c r="DS43" s="1114"/>
      <c r="DT43" s="1114"/>
      <c r="DU43" s="1114"/>
      <c r="DV43" s="1115"/>
      <c r="DW43" s="1116"/>
      <c r="DX43" s="1116"/>
      <c r="DY43" s="1116"/>
      <c r="DZ43" s="1116"/>
      <c r="EA43" s="1116"/>
      <c r="EB43" s="1116"/>
      <c r="EC43" s="1116"/>
      <c r="ED43" s="1116"/>
      <c r="EE43" s="1116"/>
      <c r="EF43" s="1116"/>
      <c r="EG43" s="1116"/>
      <c r="EH43" s="1116"/>
      <c r="EI43" s="1116"/>
      <c r="EJ43" s="1116"/>
      <c r="EK43" s="1116"/>
      <c r="EL43" s="1116"/>
      <c r="EM43" s="1116"/>
      <c r="EN43" s="1116"/>
      <c r="EO43" s="1116"/>
      <c r="EP43" s="1116"/>
      <c r="EQ43" s="1116"/>
      <c r="ER43" s="1116"/>
      <c r="ES43" s="1116"/>
    </row>
    <row r="44" spans="1:149" s="34" customFormat="1" ht="15" customHeight="1">
      <c r="A44" s="1185">
        <v>34</v>
      </c>
      <c r="B44" s="1041"/>
      <c r="C44" s="1050"/>
      <c r="D44" s="1050"/>
      <c r="E44" s="1050"/>
      <c r="F44" s="1049"/>
      <c r="G44" s="1049"/>
      <c r="H44" s="1049"/>
      <c r="I44" s="1049"/>
      <c r="J44" s="1050"/>
      <c r="K44" s="1050"/>
      <c r="L44" s="1043"/>
      <c r="M44" s="1051"/>
      <c r="N44" s="1051"/>
      <c r="O44" s="1052"/>
      <c r="P44" s="1051"/>
      <c r="Q44" s="1051"/>
      <c r="R44" s="1052"/>
      <c r="S44" s="1051"/>
      <c r="T44" s="1051"/>
      <c r="U44" s="1052"/>
      <c r="V44" s="1051"/>
      <c r="W44" s="1051"/>
      <c r="X44" s="1052"/>
      <c r="Y44" s="1053"/>
      <c r="Z44" s="1051"/>
      <c r="AA44" s="1051"/>
      <c r="AB44" s="1052"/>
      <c r="AC44" s="1051"/>
      <c r="AD44" s="1051"/>
      <c r="AE44" s="1052"/>
      <c r="AF44" s="1051"/>
      <c r="AG44" s="1051"/>
      <c r="AH44" s="1051"/>
      <c r="AI44" s="1051"/>
      <c r="AJ44" s="1052"/>
      <c r="AK44" s="1051"/>
      <c r="AL44" s="1051"/>
      <c r="AM44" s="1052"/>
      <c r="AN44" s="1051"/>
      <c r="AO44" s="1051"/>
      <c r="AP44" s="1052"/>
      <c r="AQ44" s="1051"/>
      <c r="AR44" s="1051"/>
      <c r="AS44" s="1052"/>
      <c r="AT44" s="1051"/>
      <c r="AU44" s="1051"/>
      <c r="AV44" s="1052"/>
      <c r="AW44" s="1051"/>
      <c r="AX44" s="1051"/>
      <c r="AY44" s="1053"/>
      <c r="AZ44" s="1051"/>
      <c r="BA44" s="1051"/>
      <c r="BB44" s="1053"/>
      <c r="BC44" s="1051"/>
      <c r="BD44" s="1051"/>
      <c r="BE44" s="1053"/>
      <c r="BF44" s="1051"/>
      <c r="BG44" s="1051"/>
      <c r="BH44" s="1053"/>
      <c r="BI44" s="1052"/>
      <c r="BJ44" s="1052"/>
      <c r="BK44" s="1052"/>
      <c r="BL44" s="1052"/>
      <c r="BM44" s="1052"/>
      <c r="BN44" s="1054"/>
      <c r="BO44" s="1076">
        <f t="shared" si="0"/>
        <v>0</v>
      </c>
      <c r="BP44" s="1051"/>
      <c r="BQ44" s="1052"/>
      <c r="BR44" s="1054"/>
      <c r="BS44" s="1053"/>
      <c r="BT44" s="1051"/>
      <c r="BU44" s="1051"/>
      <c r="BV44" s="1051"/>
      <c r="BW44" s="1052"/>
      <c r="BX44" s="1052"/>
      <c r="BY44" s="1052"/>
      <c r="BZ44" s="1052"/>
      <c r="CA44" s="1052"/>
      <c r="CB44" s="1053"/>
      <c r="CC44" s="1053"/>
      <c r="CD44" s="1053"/>
      <c r="CE44" s="1053"/>
      <c r="CF44" s="1053"/>
      <c r="CG44" s="1053"/>
      <c r="CH44" s="1053"/>
      <c r="CI44" s="1123"/>
      <c r="CJ44" s="1123"/>
      <c r="CK44" s="1123"/>
      <c r="CL44" s="1123"/>
      <c r="CM44" s="1123"/>
      <c r="CN44" s="1123"/>
      <c r="CO44" s="1123"/>
      <c r="CP44" s="1123"/>
      <c r="CQ44" s="1123"/>
      <c r="CR44" s="1123"/>
      <c r="CS44" s="1123"/>
      <c r="CT44" s="1123"/>
      <c r="CU44" s="1123"/>
      <c r="CV44" s="1123"/>
      <c r="CW44" s="1123"/>
      <c r="CX44" s="1123"/>
      <c r="CY44" s="1123"/>
      <c r="CZ44" s="1114"/>
      <c r="DA44" s="1114"/>
      <c r="DB44" s="1114"/>
      <c r="DC44" s="1114"/>
      <c r="DD44" s="1114"/>
      <c r="DE44" s="1114"/>
      <c r="DF44" s="1114"/>
      <c r="DG44" s="1114"/>
      <c r="DH44" s="1114"/>
      <c r="DI44" s="1114"/>
      <c r="DJ44" s="1114"/>
      <c r="DK44" s="1114"/>
      <c r="DL44" s="1114"/>
      <c r="DM44" s="1114"/>
      <c r="DN44" s="1114"/>
      <c r="DO44" s="1114"/>
      <c r="DP44" s="1114"/>
      <c r="DQ44" s="1114"/>
      <c r="DR44" s="1114"/>
      <c r="DS44" s="1114"/>
      <c r="DT44" s="1114"/>
      <c r="DU44" s="1114"/>
      <c r="DV44" s="1115"/>
      <c r="DW44" s="1116"/>
      <c r="DX44" s="1116"/>
      <c r="DY44" s="1116"/>
      <c r="DZ44" s="1116"/>
      <c r="EA44" s="1116"/>
      <c r="EB44" s="1116"/>
      <c r="EC44" s="1116"/>
      <c r="ED44" s="1116"/>
      <c r="EE44" s="1116"/>
      <c r="EF44" s="1116"/>
      <c r="EG44" s="1116"/>
      <c r="EH44" s="1116"/>
      <c r="EI44" s="1116"/>
      <c r="EJ44" s="1116"/>
      <c r="EK44" s="1116"/>
      <c r="EL44" s="1116"/>
      <c r="EM44" s="1116"/>
      <c r="EN44" s="1116"/>
      <c r="EO44" s="1116"/>
      <c r="EP44" s="1116"/>
      <c r="EQ44" s="1116"/>
      <c r="ER44" s="1116"/>
      <c r="ES44" s="1116"/>
    </row>
    <row r="45" spans="1:149" s="34" customFormat="1" ht="15" customHeight="1">
      <c r="A45" s="1185">
        <v>35</v>
      </c>
      <c r="B45" s="1041"/>
      <c r="C45" s="1050"/>
      <c r="D45" s="1050"/>
      <c r="E45" s="1050"/>
      <c r="F45" s="1049"/>
      <c r="G45" s="1049"/>
      <c r="H45" s="1049"/>
      <c r="I45" s="1049"/>
      <c r="J45" s="1050"/>
      <c r="K45" s="1050"/>
      <c r="L45" s="1043"/>
      <c r="M45" s="1051"/>
      <c r="N45" s="1051"/>
      <c r="O45" s="1052"/>
      <c r="P45" s="1051"/>
      <c r="Q45" s="1051"/>
      <c r="R45" s="1052"/>
      <c r="S45" s="1051"/>
      <c r="T45" s="1051"/>
      <c r="U45" s="1052"/>
      <c r="V45" s="1051"/>
      <c r="W45" s="1051"/>
      <c r="X45" s="1052"/>
      <c r="Y45" s="1053"/>
      <c r="Z45" s="1051"/>
      <c r="AA45" s="1051"/>
      <c r="AB45" s="1052"/>
      <c r="AC45" s="1051"/>
      <c r="AD45" s="1051"/>
      <c r="AE45" s="1052"/>
      <c r="AF45" s="1051"/>
      <c r="AG45" s="1051"/>
      <c r="AH45" s="1051"/>
      <c r="AI45" s="1051"/>
      <c r="AJ45" s="1052"/>
      <c r="AK45" s="1051"/>
      <c r="AL45" s="1051"/>
      <c r="AM45" s="1052"/>
      <c r="AN45" s="1051"/>
      <c r="AO45" s="1051"/>
      <c r="AP45" s="1052"/>
      <c r="AQ45" s="1051"/>
      <c r="AR45" s="1051"/>
      <c r="AS45" s="1052"/>
      <c r="AT45" s="1051"/>
      <c r="AU45" s="1051"/>
      <c r="AV45" s="1052"/>
      <c r="AW45" s="1051"/>
      <c r="AX45" s="1051"/>
      <c r="AY45" s="1053"/>
      <c r="AZ45" s="1051"/>
      <c r="BA45" s="1051"/>
      <c r="BB45" s="1053"/>
      <c r="BC45" s="1051"/>
      <c r="BD45" s="1051"/>
      <c r="BE45" s="1053"/>
      <c r="BF45" s="1051"/>
      <c r="BG45" s="1051"/>
      <c r="BH45" s="1053"/>
      <c r="BI45" s="1052"/>
      <c r="BJ45" s="1052"/>
      <c r="BK45" s="1052"/>
      <c r="BL45" s="1052"/>
      <c r="BM45" s="1052"/>
      <c r="BN45" s="1054"/>
      <c r="BO45" s="1076">
        <f t="shared" si="0"/>
        <v>0</v>
      </c>
      <c r="BP45" s="1051"/>
      <c r="BQ45" s="1052"/>
      <c r="BR45" s="1054"/>
      <c r="BS45" s="1053"/>
      <c r="BT45" s="1051"/>
      <c r="BU45" s="1051"/>
      <c r="BV45" s="1051"/>
      <c r="BW45" s="1052"/>
      <c r="BX45" s="1052"/>
      <c r="BY45" s="1052"/>
      <c r="BZ45" s="1052"/>
      <c r="CA45" s="1052"/>
      <c r="CB45" s="1053"/>
      <c r="CC45" s="1053"/>
      <c r="CD45" s="1053"/>
      <c r="CE45" s="1053"/>
      <c r="CF45" s="1053"/>
      <c r="CG45" s="1053"/>
      <c r="CH45" s="1053"/>
      <c r="CI45" s="1123"/>
      <c r="CJ45" s="1123"/>
      <c r="CK45" s="1123"/>
      <c r="CL45" s="1123"/>
      <c r="CM45" s="1123"/>
      <c r="CN45" s="1123"/>
      <c r="CO45" s="1123"/>
      <c r="CP45" s="1123"/>
      <c r="CQ45" s="1123"/>
      <c r="CR45" s="1123"/>
      <c r="CS45" s="1123"/>
      <c r="CT45" s="1123"/>
      <c r="CU45" s="1123"/>
      <c r="CV45" s="1123"/>
      <c r="CW45" s="1123"/>
      <c r="CX45" s="1123"/>
      <c r="CY45" s="1123"/>
      <c r="CZ45" s="1114"/>
      <c r="DA45" s="1114"/>
      <c r="DB45" s="1114"/>
      <c r="DC45" s="1114"/>
      <c r="DD45" s="1114"/>
      <c r="DE45" s="1114"/>
      <c r="DF45" s="1114"/>
      <c r="DG45" s="1114"/>
      <c r="DH45" s="1114"/>
      <c r="DI45" s="1114"/>
      <c r="DJ45" s="1114"/>
      <c r="DK45" s="1114"/>
      <c r="DL45" s="1114"/>
      <c r="DM45" s="1114"/>
      <c r="DN45" s="1114"/>
      <c r="DO45" s="1114"/>
      <c r="DP45" s="1114"/>
      <c r="DQ45" s="1114"/>
      <c r="DR45" s="1114"/>
      <c r="DS45" s="1114"/>
      <c r="DT45" s="1114"/>
      <c r="DU45" s="1114"/>
      <c r="DV45" s="1115"/>
      <c r="DW45" s="1116"/>
      <c r="DX45" s="1116"/>
      <c r="DY45" s="1116"/>
      <c r="DZ45" s="1116"/>
      <c r="EA45" s="1116"/>
      <c r="EB45" s="1116"/>
      <c r="EC45" s="1116"/>
      <c r="ED45" s="1116"/>
      <c r="EE45" s="1116"/>
      <c r="EF45" s="1116"/>
      <c r="EG45" s="1116"/>
      <c r="EH45" s="1116"/>
      <c r="EI45" s="1116"/>
      <c r="EJ45" s="1116"/>
      <c r="EK45" s="1116"/>
      <c r="EL45" s="1116"/>
      <c r="EM45" s="1116"/>
      <c r="EN45" s="1116"/>
      <c r="EO45" s="1116"/>
      <c r="EP45" s="1116"/>
      <c r="EQ45" s="1116"/>
      <c r="ER45" s="1116"/>
      <c r="ES45" s="1116"/>
    </row>
    <row r="46" spans="1:149" s="34" customFormat="1" ht="15" customHeight="1">
      <c r="A46" s="1185">
        <v>36</v>
      </c>
      <c r="B46" s="1041"/>
      <c r="C46" s="1050"/>
      <c r="D46" s="1050"/>
      <c r="E46" s="1050"/>
      <c r="F46" s="1049"/>
      <c r="G46" s="1049"/>
      <c r="H46" s="1049"/>
      <c r="I46" s="1049"/>
      <c r="J46" s="1050"/>
      <c r="K46" s="1050"/>
      <c r="L46" s="1043"/>
      <c r="M46" s="1051"/>
      <c r="N46" s="1051"/>
      <c r="O46" s="1052"/>
      <c r="P46" s="1051"/>
      <c r="Q46" s="1051"/>
      <c r="R46" s="1052"/>
      <c r="S46" s="1051"/>
      <c r="T46" s="1051"/>
      <c r="U46" s="1052"/>
      <c r="V46" s="1051"/>
      <c r="W46" s="1051"/>
      <c r="X46" s="1052"/>
      <c r="Y46" s="1053"/>
      <c r="Z46" s="1051"/>
      <c r="AA46" s="1051"/>
      <c r="AB46" s="1052"/>
      <c r="AC46" s="1051"/>
      <c r="AD46" s="1051"/>
      <c r="AE46" s="1052"/>
      <c r="AF46" s="1051"/>
      <c r="AG46" s="1051"/>
      <c r="AH46" s="1051"/>
      <c r="AI46" s="1051"/>
      <c r="AJ46" s="1052"/>
      <c r="AK46" s="1051"/>
      <c r="AL46" s="1051"/>
      <c r="AM46" s="1052"/>
      <c r="AN46" s="1051"/>
      <c r="AO46" s="1051"/>
      <c r="AP46" s="1052"/>
      <c r="AQ46" s="1051"/>
      <c r="AR46" s="1051"/>
      <c r="AS46" s="1052"/>
      <c r="AT46" s="1051"/>
      <c r="AU46" s="1051"/>
      <c r="AV46" s="1052"/>
      <c r="AW46" s="1051"/>
      <c r="AX46" s="1051"/>
      <c r="AY46" s="1053"/>
      <c r="AZ46" s="1051"/>
      <c r="BA46" s="1051"/>
      <c r="BB46" s="1053"/>
      <c r="BC46" s="1051"/>
      <c r="BD46" s="1051"/>
      <c r="BE46" s="1053"/>
      <c r="BF46" s="1051"/>
      <c r="BG46" s="1051"/>
      <c r="BH46" s="1053"/>
      <c r="BI46" s="1052"/>
      <c r="BJ46" s="1052"/>
      <c r="BK46" s="1052"/>
      <c r="BL46" s="1052"/>
      <c r="BM46" s="1052"/>
      <c r="BN46" s="1054"/>
      <c r="BO46" s="1076">
        <f t="shared" si="0"/>
        <v>0</v>
      </c>
      <c r="BP46" s="1051"/>
      <c r="BQ46" s="1052"/>
      <c r="BR46" s="1054"/>
      <c r="BS46" s="1053"/>
      <c r="BT46" s="1051"/>
      <c r="BU46" s="1051"/>
      <c r="BV46" s="1051"/>
      <c r="BW46" s="1052"/>
      <c r="BX46" s="1052"/>
      <c r="BY46" s="1052"/>
      <c r="BZ46" s="1052"/>
      <c r="CA46" s="1052"/>
      <c r="CB46" s="1053"/>
      <c r="CC46" s="1053"/>
      <c r="CD46" s="1053"/>
      <c r="CE46" s="1053"/>
      <c r="CF46" s="1053"/>
      <c r="CG46" s="1053"/>
      <c r="CH46" s="1053"/>
      <c r="CI46" s="1123"/>
      <c r="CJ46" s="1123"/>
      <c r="CK46" s="1123"/>
      <c r="CL46" s="1123"/>
      <c r="CM46" s="1123"/>
      <c r="CN46" s="1123"/>
      <c r="CO46" s="1123"/>
      <c r="CP46" s="1123"/>
      <c r="CQ46" s="1123"/>
      <c r="CR46" s="1123"/>
      <c r="CS46" s="1123"/>
      <c r="CT46" s="1123"/>
      <c r="CU46" s="1123"/>
      <c r="CV46" s="1123"/>
      <c r="CW46" s="1123"/>
      <c r="CX46" s="1123"/>
      <c r="CY46" s="1123"/>
      <c r="CZ46" s="1114"/>
      <c r="DA46" s="1114"/>
      <c r="DB46" s="1114"/>
      <c r="DC46" s="1114"/>
      <c r="DD46" s="1114"/>
      <c r="DE46" s="1114"/>
      <c r="DF46" s="1114"/>
      <c r="DG46" s="1114"/>
      <c r="DH46" s="1114"/>
      <c r="DI46" s="1114"/>
      <c r="DJ46" s="1114"/>
      <c r="DK46" s="1114"/>
      <c r="DL46" s="1114"/>
      <c r="DM46" s="1114"/>
      <c r="DN46" s="1114"/>
      <c r="DO46" s="1114"/>
      <c r="DP46" s="1114"/>
      <c r="DQ46" s="1114"/>
      <c r="DR46" s="1114"/>
      <c r="DS46" s="1114"/>
      <c r="DT46" s="1114"/>
      <c r="DU46" s="1114"/>
      <c r="DV46" s="1115"/>
      <c r="DW46" s="1116"/>
      <c r="DX46" s="1116"/>
      <c r="DY46" s="1116"/>
      <c r="DZ46" s="1116"/>
      <c r="EA46" s="1116"/>
      <c r="EB46" s="1116"/>
      <c r="EC46" s="1116"/>
      <c r="ED46" s="1116"/>
      <c r="EE46" s="1116"/>
      <c r="EF46" s="1116"/>
      <c r="EG46" s="1116"/>
      <c r="EH46" s="1116"/>
      <c r="EI46" s="1116"/>
      <c r="EJ46" s="1116"/>
      <c r="EK46" s="1116"/>
      <c r="EL46" s="1116"/>
      <c r="EM46" s="1116"/>
      <c r="EN46" s="1116"/>
      <c r="EO46" s="1116"/>
      <c r="EP46" s="1116"/>
      <c r="EQ46" s="1116"/>
      <c r="ER46" s="1116"/>
      <c r="ES46" s="1116"/>
    </row>
    <row r="47" spans="1:149" s="34" customFormat="1" ht="15" customHeight="1">
      <c r="A47" s="1185">
        <v>37</v>
      </c>
      <c r="B47" s="1041"/>
      <c r="C47" s="1050"/>
      <c r="D47" s="1050"/>
      <c r="E47" s="1050"/>
      <c r="F47" s="1049"/>
      <c r="G47" s="1049"/>
      <c r="H47" s="1049"/>
      <c r="I47" s="1049"/>
      <c r="J47" s="1050"/>
      <c r="K47" s="1050"/>
      <c r="L47" s="1043"/>
      <c r="M47" s="1051"/>
      <c r="N47" s="1051"/>
      <c r="O47" s="1052"/>
      <c r="P47" s="1051"/>
      <c r="Q47" s="1051"/>
      <c r="R47" s="1052"/>
      <c r="S47" s="1051"/>
      <c r="T47" s="1051"/>
      <c r="U47" s="1052"/>
      <c r="V47" s="1051"/>
      <c r="W47" s="1051"/>
      <c r="X47" s="1052"/>
      <c r="Y47" s="1053"/>
      <c r="Z47" s="1051"/>
      <c r="AA47" s="1051"/>
      <c r="AB47" s="1052"/>
      <c r="AC47" s="1051"/>
      <c r="AD47" s="1051"/>
      <c r="AE47" s="1052"/>
      <c r="AF47" s="1051"/>
      <c r="AG47" s="1051"/>
      <c r="AH47" s="1051"/>
      <c r="AI47" s="1051"/>
      <c r="AJ47" s="1052"/>
      <c r="AK47" s="1051"/>
      <c r="AL47" s="1051"/>
      <c r="AM47" s="1052"/>
      <c r="AN47" s="1051"/>
      <c r="AO47" s="1051"/>
      <c r="AP47" s="1052"/>
      <c r="AQ47" s="1051"/>
      <c r="AR47" s="1051"/>
      <c r="AS47" s="1052"/>
      <c r="AT47" s="1051"/>
      <c r="AU47" s="1051"/>
      <c r="AV47" s="1052"/>
      <c r="AW47" s="1051"/>
      <c r="AX47" s="1051"/>
      <c r="AY47" s="1053"/>
      <c r="AZ47" s="1051"/>
      <c r="BA47" s="1051"/>
      <c r="BB47" s="1053"/>
      <c r="BC47" s="1051"/>
      <c r="BD47" s="1051"/>
      <c r="BE47" s="1053"/>
      <c r="BF47" s="1051"/>
      <c r="BG47" s="1051"/>
      <c r="BH47" s="1053"/>
      <c r="BI47" s="1052"/>
      <c r="BJ47" s="1052"/>
      <c r="BK47" s="1052"/>
      <c r="BL47" s="1052"/>
      <c r="BM47" s="1052"/>
      <c r="BN47" s="1054"/>
      <c r="BO47" s="1076">
        <f t="shared" si="0"/>
        <v>0</v>
      </c>
      <c r="BP47" s="1051"/>
      <c r="BQ47" s="1052"/>
      <c r="BR47" s="1054"/>
      <c r="BS47" s="1053"/>
      <c r="BT47" s="1051"/>
      <c r="BU47" s="1051"/>
      <c r="BV47" s="1051"/>
      <c r="BW47" s="1052"/>
      <c r="BX47" s="1052"/>
      <c r="BY47" s="1052"/>
      <c r="BZ47" s="1052"/>
      <c r="CA47" s="1052"/>
      <c r="CB47" s="1053"/>
      <c r="CC47" s="1053"/>
      <c r="CD47" s="1053"/>
      <c r="CE47" s="1053"/>
      <c r="CF47" s="1053"/>
      <c r="CG47" s="1053"/>
      <c r="CH47" s="1053"/>
      <c r="CI47" s="1123"/>
      <c r="CJ47" s="1123"/>
      <c r="CK47" s="1123"/>
      <c r="CL47" s="1123"/>
      <c r="CM47" s="1123"/>
      <c r="CN47" s="1123"/>
      <c r="CO47" s="1123"/>
      <c r="CP47" s="1123"/>
      <c r="CQ47" s="1123"/>
      <c r="CR47" s="1123"/>
      <c r="CS47" s="1123"/>
      <c r="CT47" s="1123"/>
      <c r="CU47" s="1123"/>
      <c r="CV47" s="1123"/>
      <c r="CW47" s="1123"/>
      <c r="CX47" s="1123"/>
      <c r="CY47" s="1123"/>
      <c r="CZ47" s="1114"/>
      <c r="DA47" s="1114"/>
      <c r="DB47" s="1114"/>
      <c r="DC47" s="1114"/>
      <c r="DD47" s="1114"/>
      <c r="DE47" s="1114"/>
      <c r="DF47" s="1114"/>
      <c r="DG47" s="1114"/>
      <c r="DH47" s="1114"/>
      <c r="DI47" s="1114"/>
      <c r="DJ47" s="1114"/>
      <c r="DK47" s="1114"/>
      <c r="DL47" s="1114"/>
      <c r="DM47" s="1114"/>
      <c r="DN47" s="1114"/>
      <c r="DO47" s="1114"/>
      <c r="DP47" s="1114"/>
      <c r="DQ47" s="1114"/>
      <c r="DR47" s="1114"/>
      <c r="DS47" s="1114"/>
      <c r="DT47" s="1114"/>
      <c r="DU47" s="1114"/>
      <c r="DV47" s="1115"/>
      <c r="DW47" s="1116"/>
      <c r="DX47" s="1116"/>
      <c r="DY47" s="1116"/>
      <c r="DZ47" s="1116"/>
      <c r="EA47" s="1116"/>
      <c r="EB47" s="1116"/>
      <c r="EC47" s="1116"/>
      <c r="ED47" s="1116"/>
      <c r="EE47" s="1116"/>
      <c r="EF47" s="1116"/>
      <c r="EG47" s="1116"/>
      <c r="EH47" s="1116"/>
      <c r="EI47" s="1116"/>
      <c r="EJ47" s="1116"/>
      <c r="EK47" s="1116"/>
      <c r="EL47" s="1116"/>
      <c r="EM47" s="1116"/>
      <c r="EN47" s="1116"/>
      <c r="EO47" s="1116"/>
      <c r="EP47" s="1116"/>
      <c r="EQ47" s="1116"/>
      <c r="ER47" s="1116"/>
      <c r="ES47" s="1116"/>
    </row>
    <row r="48" spans="1:149" s="34" customFormat="1" ht="15" customHeight="1">
      <c r="A48" s="1185">
        <v>38</v>
      </c>
      <c r="B48" s="1041"/>
      <c r="C48" s="1050"/>
      <c r="D48" s="1050"/>
      <c r="E48" s="1050"/>
      <c r="F48" s="1049"/>
      <c r="G48" s="1049"/>
      <c r="H48" s="1049"/>
      <c r="I48" s="1049"/>
      <c r="J48" s="1050"/>
      <c r="K48" s="1050"/>
      <c r="L48" s="1043"/>
      <c r="M48" s="1051"/>
      <c r="N48" s="1051"/>
      <c r="O48" s="1052"/>
      <c r="P48" s="1051"/>
      <c r="Q48" s="1051"/>
      <c r="R48" s="1052"/>
      <c r="S48" s="1051"/>
      <c r="T48" s="1051"/>
      <c r="U48" s="1052"/>
      <c r="V48" s="1051"/>
      <c r="W48" s="1051"/>
      <c r="X48" s="1052"/>
      <c r="Y48" s="1053"/>
      <c r="Z48" s="1051"/>
      <c r="AA48" s="1051"/>
      <c r="AB48" s="1052"/>
      <c r="AC48" s="1051"/>
      <c r="AD48" s="1051"/>
      <c r="AE48" s="1052"/>
      <c r="AF48" s="1051"/>
      <c r="AG48" s="1051"/>
      <c r="AH48" s="1051"/>
      <c r="AI48" s="1051"/>
      <c r="AJ48" s="1052"/>
      <c r="AK48" s="1051"/>
      <c r="AL48" s="1051"/>
      <c r="AM48" s="1052"/>
      <c r="AN48" s="1051"/>
      <c r="AO48" s="1051"/>
      <c r="AP48" s="1052"/>
      <c r="AQ48" s="1051"/>
      <c r="AR48" s="1051"/>
      <c r="AS48" s="1052"/>
      <c r="AT48" s="1051"/>
      <c r="AU48" s="1051"/>
      <c r="AV48" s="1052"/>
      <c r="AW48" s="1051"/>
      <c r="AX48" s="1051"/>
      <c r="AY48" s="1053"/>
      <c r="AZ48" s="1051"/>
      <c r="BA48" s="1051"/>
      <c r="BB48" s="1053"/>
      <c r="BC48" s="1051"/>
      <c r="BD48" s="1051"/>
      <c r="BE48" s="1053"/>
      <c r="BF48" s="1051"/>
      <c r="BG48" s="1051"/>
      <c r="BH48" s="1053"/>
      <c r="BI48" s="1052"/>
      <c r="BJ48" s="1052"/>
      <c r="BK48" s="1052"/>
      <c r="BL48" s="1052"/>
      <c r="BM48" s="1052"/>
      <c r="BN48" s="1054"/>
      <c r="BO48" s="1076">
        <f t="shared" si="0"/>
        <v>0</v>
      </c>
      <c r="BP48" s="1051"/>
      <c r="BQ48" s="1052"/>
      <c r="BR48" s="1054"/>
      <c r="BS48" s="1053"/>
      <c r="BT48" s="1051"/>
      <c r="BU48" s="1051"/>
      <c r="BV48" s="1051"/>
      <c r="BW48" s="1052"/>
      <c r="BX48" s="1052"/>
      <c r="BY48" s="1052"/>
      <c r="BZ48" s="1052"/>
      <c r="CA48" s="1052"/>
      <c r="CB48" s="1053"/>
      <c r="CC48" s="1053"/>
      <c r="CD48" s="1053"/>
      <c r="CE48" s="1053"/>
      <c r="CF48" s="1053"/>
      <c r="CG48" s="1053"/>
      <c r="CH48" s="1053"/>
      <c r="CI48" s="1123"/>
      <c r="CJ48" s="1123"/>
      <c r="CK48" s="1123"/>
      <c r="CL48" s="1123"/>
      <c r="CM48" s="1123"/>
      <c r="CN48" s="1123"/>
      <c r="CO48" s="1123"/>
      <c r="CP48" s="1123"/>
      <c r="CQ48" s="1123"/>
      <c r="CR48" s="1123"/>
      <c r="CS48" s="1123"/>
      <c r="CT48" s="1123"/>
      <c r="CU48" s="1123"/>
      <c r="CV48" s="1123"/>
      <c r="CW48" s="1123"/>
      <c r="CX48" s="1123"/>
      <c r="CY48" s="1123"/>
      <c r="CZ48" s="1114"/>
      <c r="DA48" s="1114"/>
      <c r="DB48" s="1114"/>
      <c r="DC48" s="1114"/>
      <c r="DD48" s="1114"/>
      <c r="DE48" s="1114"/>
      <c r="DF48" s="1114"/>
      <c r="DG48" s="1114"/>
      <c r="DH48" s="1114"/>
      <c r="DI48" s="1114"/>
      <c r="DJ48" s="1114"/>
      <c r="DK48" s="1114"/>
      <c r="DL48" s="1114"/>
      <c r="DM48" s="1114"/>
      <c r="DN48" s="1114"/>
      <c r="DO48" s="1114"/>
      <c r="DP48" s="1114"/>
      <c r="DQ48" s="1114"/>
      <c r="DR48" s="1114"/>
      <c r="DS48" s="1114"/>
      <c r="DT48" s="1114"/>
      <c r="DU48" s="1114"/>
      <c r="DV48" s="1115"/>
      <c r="DW48" s="1116"/>
      <c r="DX48" s="1116"/>
      <c r="DY48" s="1116"/>
      <c r="DZ48" s="1116"/>
      <c r="EA48" s="1116"/>
      <c r="EB48" s="1116"/>
      <c r="EC48" s="1116"/>
      <c r="ED48" s="1116"/>
      <c r="EE48" s="1116"/>
      <c r="EF48" s="1116"/>
      <c r="EG48" s="1116"/>
      <c r="EH48" s="1116"/>
      <c r="EI48" s="1116"/>
      <c r="EJ48" s="1116"/>
      <c r="EK48" s="1116"/>
      <c r="EL48" s="1116"/>
      <c r="EM48" s="1116"/>
      <c r="EN48" s="1116"/>
      <c r="EO48" s="1116"/>
      <c r="EP48" s="1116"/>
      <c r="EQ48" s="1116"/>
      <c r="ER48" s="1116"/>
      <c r="ES48" s="1116"/>
    </row>
    <row r="49" spans="1:149" s="34" customFormat="1" ht="15" customHeight="1">
      <c r="A49" s="1185">
        <v>39</v>
      </c>
      <c r="B49" s="1041"/>
      <c r="C49" s="1050"/>
      <c r="D49" s="1050"/>
      <c r="E49" s="1050"/>
      <c r="F49" s="1049"/>
      <c r="G49" s="1049"/>
      <c r="H49" s="1049"/>
      <c r="I49" s="1049"/>
      <c r="J49" s="1050"/>
      <c r="K49" s="1050"/>
      <c r="L49" s="1043"/>
      <c r="M49" s="1051"/>
      <c r="N49" s="1051"/>
      <c r="O49" s="1052"/>
      <c r="P49" s="1051"/>
      <c r="Q49" s="1051"/>
      <c r="R49" s="1052"/>
      <c r="S49" s="1051"/>
      <c r="T49" s="1051"/>
      <c r="U49" s="1052"/>
      <c r="V49" s="1051"/>
      <c r="W49" s="1051"/>
      <c r="X49" s="1052"/>
      <c r="Y49" s="1053"/>
      <c r="Z49" s="1051"/>
      <c r="AA49" s="1051"/>
      <c r="AB49" s="1052"/>
      <c r="AC49" s="1051"/>
      <c r="AD49" s="1051"/>
      <c r="AE49" s="1052"/>
      <c r="AF49" s="1051"/>
      <c r="AG49" s="1051"/>
      <c r="AH49" s="1051"/>
      <c r="AI49" s="1051"/>
      <c r="AJ49" s="1052"/>
      <c r="AK49" s="1051"/>
      <c r="AL49" s="1051"/>
      <c r="AM49" s="1052"/>
      <c r="AN49" s="1051"/>
      <c r="AO49" s="1051"/>
      <c r="AP49" s="1052"/>
      <c r="AQ49" s="1051"/>
      <c r="AR49" s="1051"/>
      <c r="AS49" s="1052"/>
      <c r="AT49" s="1051"/>
      <c r="AU49" s="1051"/>
      <c r="AV49" s="1052"/>
      <c r="AW49" s="1051"/>
      <c r="AX49" s="1051"/>
      <c r="AY49" s="1053"/>
      <c r="AZ49" s="1051"/>
      <c r="BA49" s="1051"/>
      <c r="BB49" s="1053"/>
      <c r="BC49" s="1051"/>
      <c r="BD49" s="1051"/>
      <c r="BE49" s="1053"/>
      <c r="BF49" s="1051"/>
      <c r="BG49" s="1051"/>
      <c r="BH49" s="1053"/>
      <c r="BI49" s="1052"/>
      <c r="BJ49" s="1052"/>
      <c r="BK49" s="1052"/>
      <c r="BL49" s="1052"/>
      <c r="BM49" s="1052"/>
      <c r="BN49" s="1054"/>
      <c r="BO49" s="1076">
        <f t="shared" si="0"/>
        <v>0</v>
      </c>
      <c r="BP49" s="1051"/>
      <c r="BQ49" s="1052"/>
      <c r="BR49" s="1054"/>
      <c r="BS49" s="1053"/>
      <c r="BT49" s="1051"/>
      <c r="BU49" s="1051"/>
      <c r="BV49" s="1051"/>
      <c r="BW49" s="1052"/>
      <c r="BX49" s="1052"/>
      <c r="BY49" s="1052"/>
      <c r="BZ49" s="1052"/>
      <c r="CA49" s="1052"/>
      <c r="CB49" s="1053"/>
      <c r="CC49" s="1053"/>
      <c r="CD49" s="1053"/>
      <c r="CE49" s="1053"/>
      <c r="CF49" s="1053"/>
      <c r="CG49" s="1053"/>
      <c r="CH49" s="1053"/>
      <c r="CI49" s="1123"/>
      <c r="CJ49" s="1123"/>
      <c r="CK49" s="1123"/>
      <c r="CL49" s="1123"/>
      <c r="CM49" s="1123"/>
      <c r="CN49" s="1123"/>
      <c r="CO49" s="1123"/>
      <c r="CP49" s="1123"/>
      <c r="CQ49" s="1123"/>
      <c r="CR49" s="1123"/>
      <c r="CS49" s="1123"/>
      <c r="CT49" s="1123"/>
      <c r="CU49" s="1123"/>
      <c r="CV49" s="1123"/>
      <c r="CW49" s="1123"/>
      <c r="CX49" s="1123"/>
      <c r="CY49" s="1123"/>
      <c r="CZ49" s="1114"/>
      <c r="DA49" s="1114"/>
      <c r="DB49" s="1114"/>
      <c r="DC49" s="1114"/>
      <c r="DD49" s="1114"/>
      <c r="DE49" s="1114"/>
      <c r="DF49" s="1114"/>
      <c r="DG49" s="1114"/>
      <c r="DH49" s="1114"/>
      <c r="DI49" s="1114"/>
      <c r="DJ49" s="1114"/>
      <c r="DK49" s="1114"/>
      <c r="DL49" s="1114"/>
      <c r="DM49" s="1114"/>
      <c r="DN49" s="1114"/>
      <c r="DO49" s="1114"/>
      <c r="DP49" s="1114"/>
      <c r="DQ49" s="1114"/>
      <c r="DR49" s="1114"/>
      <c r="DS49" s="1114"/>
      <c r="DT49" s="1114"/>
      <c r="DU49" s="1114"/>
      <c r="DV49" s="1115"/>
      <c r="DW49" s="1116"/>
      <c r="DX49" s="1116"/>
      <c r="DY49" s="1116"/>
      <c r="DZ49" s="1116"/>
      <c r="EA49" s="1116"/>
      <c r="EB49" s="1116"/>
      <c r="EC49" s="1116"/>
      <c r="ED49" s="1116"/>
      <c r="EE49" s="1116"/>
      <c r="EF49" s="1116"/>
      <c r="EG49" s="1116"/>
      <c r="EH49" s="1116"/>
      <c r="EI49" s="1116"/>
      <c r="EJ49" s="1116"/>
      <c r="EK49" s="1116"/>
      <c r="EL49" s="1116"/>
      <c r="EM49" s="1116"/>
      <c r="EN49" s="1116"/>
      <c r="EO49" s="1116"/>
      <c r="EP49" s="1116"/>
      <c r="EQ49" s="1116"/>
      <c r="ER49" s="1116"/>
      <c r="ES49" s="1116"/>
    </row>
    <row r="50" spans="1:149" s="34" customFormat="1" ht="15" customHeight="1">
      <c r="A50" s="1185">
        <v>40</v>
      </c>
      <c r="B50" s="1041"/>
      <c r="C50" s="1050"/>
      <c r="D50" s="1050"/>
      <c r="E50" s="1050"/>
      <c r="F50" s="1049"/>
      <c r="G50" s="1049"/>
      <c r="H50" s="1049"/>
      <c r="I50" s="1049"/>
      <c r="J50" s="1050"/>
      <c r="K50" s="1050"/>
      <c r="L50" s="1043"/>
      <c r="M50" s="1051"/>
      <c r="N50" s="1051"/>
      <c r="O50" s="1052"/>
      <c r="P50" s="1051"/>
      <c r="Q50" s="1051"/>
      <c r="R50" s="1052"/>
      <c r="S50" s="1051"/>
      <c r="T50" s="1051"/>
      <c r="U50" s="1052"/>
      <c r="V50" s="1051"/>
      <c r="W50" s="1051"/>
      <c r="X50" s="1052"/>
      <c r="Y50" s="1053"/>
      <c r="Z50" s="1051"/>
      <c r="AA50" s="1051"/>
      <c r="AB50" s="1052"/>
      <c r="AC50" s="1051"/>
      <c r="AD50" s="1051"/>
      <c r="AE50" s="1052"/>
      <c r="AF50" s="1051"/>
      <c r="AG50" s="1051"/>
      <c r="AH50" s="1051"/>
      <c r="AI50" s="1051"/>
      <c r="AJ50" s="1052"/>
      <c r="AK50" s="1051"/>
      <c r="AL50" s="1051"/>
      <c r="AM50" s="1052"/>
      <c r="AN50" s="1051"/>
      <c r="AO50" s="1051"/>
      <c r="AP50" s="1052"/>
      <c r="AQ50" s="1051"/>
      <c r="AR50" s="1051"/>
      <c r="AS50" s="1052"/>
      <c r="AT50" s="1051"/>
      <c r="AU50" s="1051"/>
      <c r="AV50" s="1052"/>
      <c r="AW50" s="1051"/>
      <c r="AX50" s="1051"/>
      <c r="AY50" s="1053"/>
      <c r="AZ50" s="1051"/>
      <c r="BA50" s="1051"/>
      <c r="BB50" s="1053"/>
      <c r="BC50" s="1051"/>
      <c r="BD50" s="1051"/>
      <c r="BE50" s="1053"/>
      <c r="BF50" s="1051"/>
      <c r="BG50" s="1051"/>
      <c r="BH50" s="1053"/>
      <c r="BI50" s="1052"/>
      <c r="BJ50" s="1052"/>
      <c r="BK50" s="1052"/>
      <c r="BL50" s="1052"/>
      <c r="BM50" s="1052"/>
      <c r="BN50" s="1054"/>
      <c r="BO50" s="1076">
        <f t="shared" si="0"/>
        <v>0</v>
      </c>
      <c r="BP50" s="1051"/>
      <c r="BQ50" s="1052"/>
      <c r="BR50" s="1054"/>
      <c r="BS50" s="1053"/>
      <c r="BT50" s="1051"/>
      <c r="BU50" s="1051"/>
      <c r="BV50" s="1051"/>
      <c r="BW50" s="1052"/>
      <c r="BX50" s="1052"/>
      <c r="BY50" s="1052"/>
      <c r="BZ50" s="1052"/>
      <c r="CA50" s="1052"/>
      <c r="CB50" s="1053"/>
      <c r="CC50" s="1053"/>
      <c r="CD50" s="1053"/>
      <c r="CE50" s="1053"/>
      <c r="CF50" s="1053"/>
      <c r="CG50" s="1053"/>
      <c r="CH50" s="1053"/>
      <c r="CI50" s="1123"/>
      <c r="CJ50" s="1123"/>
      <c r="CK50" s="1123"/>
      <c r="CL50" s="1123"/>
      <c r="CM50" s="1123"/>
      <c r="CN50" s="1123"/>
      <c r="CO50" s="1123"/>
      <c r="CP50" s="1123"/>
      <c r="CQ50" s="1123"/>
      <c r="CR50" s="1123"/>
      <c r="CS50" s="1123"/>
      <c r="CT50" s="1123"/>
      <c r="CU50" s="1123"/>
      <c r="CV50" s="1123"/>
      <c r="CW50" s="1123"/>
      <c r="CX50" s="1123"/>
      <c r="CY50" s="1123"/>
      <c r="CZ50" s="1114"/>
      <c r="DA50" s="1114"/>
      <c r="DB50" s="1114"/>
      <c r="DC50" s="1114"/>
      <c r="DD50" s="1114"/>
      <c r="DE50" s="1114"/>
      <c r="DF50" s="1114"/>
      <c r="DG50" s="1114"/>
      <c r="DH50" s="1114"/>
      <c r="DI50" s="1114"/>
      <c r="DJ50" s="1114"/>
      <c r="DK50" s="1114"/>
      <c r="DL50" s="1114"/>
      <c r="DM50" s="1114"/>
      <c r="DN50" s="1114"/>
      <c r="DO50" s="1114"/>
      <c r="DP50" s="1114"/>
      <c r="DQ50" s="1114"/>
      <c r="DR50" s="1114"/>
      <c r="DS50" s="1114"/>
      <c r="DT50" s="1114"/>
      <c r="DU50" s="1114"/>
      <c r="DV50" s="1115"/>
      <c r="DW50" s="1116"/>
      <c r="DX50" s="1116"/>
      <c r="DY50" s="1116"/>
      <c r="DZ50" s="1116"/>
      <c r="EA50" s="1116"/>
      <c r="EB50" s="1116"/>
      <c r="EC50" s="1116"/>
      <c r="ED50" s="1116"/>
      <c r="EE50" s="1116"/>
      <c r="EF50" s="1116"/>
      <c r="EG50" s="1116"/>
      <c r="EH50" s="1116"/>
      <c r="EI50" s="1116"/>
      <c r="EJ50" s="1116"/>
      <c r="EK50" s="1116"/>
      <c r="EL50" s="1116"/>
      <c r="EM50" s="1116"/>
      <c r="EN50" s="1116"/>
      <c r="EO50" s="1116"/>
      <c r="EP50" s="1116"/>
      <c r="EQ50" s="1116"/>
      <c r="ER50" s="1116"/>
      <c r="ES50" s="1116"/>
    </row>
    <row r="51" spans="1:149" s="34" customFormat="1" ht="15" customHeight="1">
      <c r="A51" s="1185">
        <v>41</v>
      </c>
      <c r="B51" s="1041"/>
      <c r="C51" s="1050"/>
      <c r="D51" s="1050"/>
      <c r="E51" s="1050"/>
      <c r="F51" s="1049"/>
      <c r="G51" s="1049"/>
      <c r="H51" s="1049"/>
      <c r="I51" s="1049"/>
      <c r="J51" s="1050"/>
      <c r="K51" s="1050"/>
      <c r="L51" s="1043"/>
      <c r="M51" s="1051"/>
      <c r="N51" s="1051"/>
      <c r="O51" s="1052"/>
      <c r="P51" s="1051"/>
      <c r="Q51" s="1051"/>
      <c r="R51" s="1052"/>
      <c r="S51" s="1051"/>
      <c r="T51" s="1051"/>
      <c r="U51" s="1052"/>
      <c r="V51" s="1051"/>
      <c r="W51" s="1051"/>
      <c r="X51" s="1052"/>
      <c r="Y51" s="1053"/>
      <c r="Z51" s="1051"/>
      <c r="AA51" s="1051"/>
      <c r="AB51" s="1052"/>
      <c r="AC51" s="1051"/>
      <c r="AD51" s="1051"/>
      <c r="AE51" s="1052"/>
      <c r="AF51" s="1051"/>
      <c r="AG51" s="1051"/>
      <c r="AH51" s="1051"/>
      <c r="AI51" s="1051"/>
      <c r="AJ51" s="1052"/>
      <c r="AK51" s="1051"/>
      <c r="AL51" s="1051"/>
      <c r="AM51" s="1052"/>
      <c r="AN51" s="1051"/>
      <c r="AO51" s="1051"/>
      <c r="AP51" s="1052"/>
      <c r="AQ51" s="1051"/>
      <c r="AR51" s="1051"/>
      <c r="AS51" s="1052"/>
      <c r="AT51" s="1051"/>
      <c r="AU51" s="1051"/>
      <c r="AV51" s="1052"/>
      <c r="AW51" s="1051"/>
      <c r="AX51" s="1051"/>
      <c r="AY51" s="1053"/>
      <c r="AZ51" s="1051"/>
      <c r="BA51" s="1051"/>
      <c r="BB51" s="1053"/>
      <c r="BC51" s="1051"/>
      <c r="BD51" s="1051"/>
      <c r="BE51" s="1053"/>
      <c r="BF51" s="1051"/>
      <c r="BG51" s="1051"/>
      <c r="BH51" s="1053"/>
      <c r="BI51" s="1052"/>
      <c r="BJ51" s="1052"/>
      <c r="BK51" s="1052"/>
      <c r="BL51" s="1052"/>
      <c r="BM51" s="1052"/>
      <c r="BN51" s="1054"/>
      <c r="BO51" s="1076">
        <f t="shared" si="0"/>
        <v>0</v>
      </c>
      <c r="BP51" s="1051"/>
      <c r="BQ51" s="1052"/>
      <c r="BR51" s="1054"/>
      <c r="BS51" s="1053"/>
      <c r="BT51" s="1051"/>
      <c r="BU51" s="1051"/>
      <c r="BV51" s="1051"/>
      <c r="BW51" s="1052"/>
      <c r="BX51" s="1052"/>
      <c r="BY51" s="1052"/>
      <c r="BZ51" s="1052"/>
      <c r="CA51" s="1052"/>
      <c r="CB51" s="1053"/>
      <c r="CC51" s="1053"/>
      <c r="CD51" s="1053"/>
      <c r="CE51" s="1053"/>
      <c r="CF51" s="1053"/>
      <c r="CG51" s="1053"/>
      <c r="CH51" s="1053"/>
      <c r="CI51" s="1123"/>
      <c r="CJ51" s="1123"/>
      <c r="CK51" s="1123"/>
      <c r="CL51" s="1123"/>
      <c r="CM51" s="1123"/>
      <c r="CN51" s="1123"/>
      <c r="CO51" s="1123"/>
      <c r="CP51" s="1123"/>
      <c r="CQ51" s="1123"/>
      <c r="CR51" s="1123"/>
      <c r="CS51" s="1123"/>
      <c r="CT51" s="1123"/>
      <c r="CU51" s="1123"/>
      <c r="CV51" s="1123"/>
      <c r="CW51" s="1123"/>
      <c r="CX51" s="1123"/>
      <c r="CY51" s="1123"/>
      <c r="CZ51" s="1114"/>
      <c r="DA51" s="1114"/>
      <c r="DB51" s="1114"/>
      <c r="DC51" s="1114"/>
      <c r="DD51" s="1114"/>
      <c r="DE51" s="1114"/>
      <c r="DF51" s="1114"/>
      <c r="DG51" s="1114"/>
      <c r="DH51" s="1114"/>
      <c r="DI51" s="1114"/>
      <c r="DJ51" s="1114"/>
      <c r="DK51" s="1114"/>
      <c r="DL51" s="1114"/>
      <c r="DM51" s="1114"/>
      <c r="DN51" s="1114"/>
      <c r="DO51" s="1114"/>
      <c r="DP51" s="1114"/>
      <c r="DQ51" s="1114"/>
      <c r="DR51" s="1114"/>
      <c r="DS51" s="1114"/>
      <c r="DT51" s="1114"/>
      <c r="DU51" s="1114"/>
      <c r="DV51" s="1115"/>
      <c r="DW51" s="1116"/>
      <c r="DX51" s="1116"/>
      <c r="DY51" s="1116"/>
      <c r="DZ51" s="1116"/>
      <c r="EA51" s="1116"/>
      <c r="EB51" s="1116"/>
      <c r="EC51" s="1116"/>
      <c r="ED51" s="1116"/>
      <c r="EE51" s="1116"/>
      <c r="EF51" s="1116"/>
      <c r="EG51" s="1116"/>
      <c r="EH51" s="1116"/>
      <c r="EI51" s="1116"/>
      <c r="EJ51" s="1116"/>
      <c r="EK51" s="1116"/>
      <c r="EL51" s="1116"/>
      <c r="EM51" s="1116"/>
      <c r="EN51" s="1116"/>
      <c r="EO51" s="1116"/>
      <c r="EP51" s="1116"/>
      <c r="EQ51" s="1116"/>
      <c r="ER51" s="1116"/>
      <c r="ES51" s="1116"/>
    </row>
    <row r="52" spans="1:149" s="34" customFormat="1" ht="15" customHeight="1">
      <c r="A52" s="1185">
        <v>42</v>
      </c>
      <c r="B52" s="1041"/>
      <c r="C52" s="1050"/>
      <c r="D52" s="1050"/>
      <c r="E52" s="1050"/>
      <c r="F52" s="1049"/>
      <c r="G52" s="1049"/>
      <c r="H52" s="1049"/>
      <c r="I52" s="1049"/>
      <c r="J52" s="1050"/>
      <c r="K52" s="1050"/>
      <c r="L52" s="1043"/>
      <c r="M52" s="1051"/>
      <c r="N52" s="1051"/>
      <c r="O52" s="1052"/>
      <c r="P52" s="1051"/>
      <c r="Q52" s="1051"/>
      <c r="R52" s="1052"/>
      <c r="S52" s="1051"/>
      <c r="T52" s="1051"/>
      <c r="U52" s="1052"/>
      <c r="V52" s="1051"/>
      <c r="W52" s="1051"/>
      <c r="X52" s="1052"/>
      <c r="Y52" s="1053"/>
      <c r="Z52" s="1051"/>
      <c r="AA52" s="1051"/>
      <c r="AB52" s="1052"/>
      <c r="AC52" s="1051"/>
      <c r="AD52" s="1051"/>
      <c r="AE52" s="1052"/>
      <c r="AF52" s="1051"/>
      <c r="AG52" s="1051"/>
      <c r="AH52" s="1051"/>
      <c r="AI52" s="1051"/>
      <c r="AJ52" s="1052"/>
      <c r="AK52" s="1051"/>
      <c r="AL52" s="1051"/>
      <c r="AM52" s="1052"/>
      <c r="AN52" s="1051"/>
      <c r="AO52" s="1051"/>
      <c r="AP52" s="1052"/>
      <c r="AQ52" s="1051"/>
      <c r="AR52" s="1051"/>
      <c r="AS52" s="1052"/>
      <c r="AT52" s="1051"/>
      <c r="AU52" s="1051"/>
      <c r="AV52" s="1052"/>
      <c r="AW52" s="1051"/>
      <c r="AX52" s="1051"/>
      <c r="AY52" s="1053"/>
      <c r="AZ52" s="1051"/>
      <c r="BA52" s="1051"/>
      <c r="BB52" s="1053"/>
      <c r="BC52" s="1051"/>
      <c r="BD52" s="1051"/>
      <c r="BE52" s="1053"/>
      <c r="BF52" s="1051"/>
      <c r="BG52" s="1051"/>
      <c r="BH52" s="1053"/>
      <c r="BI52" s="1052"/>
      <c r="BJ52" s="1052"/>
      <c r="BK52" s="1052"/>
      <c r="BL52" s="1052"/>
      <c r="BM52" s="1052"/>
      <c r="BN52" s="1054"/>
      <c r="BO52" s="1076">
        <f t="shared" si="0"/>
        <v>0</v>
      </c>
      <c r="BP52" s="1051"/>
      <c r="BQ52" s="1052"/>
      <c r="BR52" s="1054"/>
      <c r="BS52" s="1053"/>
      <c r="BT52" s="1051"/>
      <c r="BU52" s="1051"/>
      <c r="BV52" s="1051"/>
      <c r="BW52" s="1052"/>
      <c r="BX52" s="1052"/>
      <c r="BY52" s="1052"/>
      <c r="BZ52" s="1052"/>
      <c r="CA52" s="1052"/>
      <c r="CB52" s="1053"/>
      <c r="CC52" s="1053"/>
      <c r="CD52" s="1053"/>
      <c r="CE52" s="1053"/>
      <c r="CF52" s="1053"/>
      <c r="CG52" s="1053"/>
      <c r="CH52" s="1053"/>
      <c r="CI52" s="1123"/>
      <c r="CJ52" s="1123"/>
      <c r="CK52" s="1123"/>
      <c r="CL52" s="1123"/>
      <c r="CM52" s="1123"/>
      <c r="CN52" s="1123"/>
      <c r="CO52" s="1123"/>
      <c r="CP52" s="1123"/>
      <c r="CQ52" s="1123"/>
      <c r="CR52" s="1123"/>
      <c r="CS52" s="1123"/>
      <c r="CT52" s="1123"/>
      <c r="CU52" s="1123"/>
      <c r="CV52" s="1123"/>
      <c r="CW52" s="1123"/>
      <c r="CX52" s="1123"/>
      <c r="CY52" s="1123"/>
      <c r="CZ52" s="1114"/>
      <c r="DA52" s="1114"/>
      <c r="DB52" s="1114"/>
      <c r="DC52" s="1114"/>
      <c r="DD52" s="1114"/>
      <c r="DE52" s="1114"/>
      <c r="DF52" s="1114"/>
      <c r="DG52" s="1114"/>
      <c r="DH52" s="1114"/>
      <c r="DI52" s="1114"/>
      <c r="DJ52" s="1114"/>
      <c r="DK52" s="1114"/>
      <c r="DL52" s="1114"/>
      <c r="DM52" s="1114"/>
      <c r="DN52" s="1114"/>
      <c r="DO52" s="1114"/>
      <c r="DP52" s="1114"/>
      <c r="DQ52" s="1114"/>
      <c r="DR52" s="1114"/>
      <c r="DS52" s="1114"/>
      <c r="DT52" s="1114"/>
      <c r="DU52" s="1114"/>
      <c r="DV52" s="1115"/>
      <c r="DW52" s="1116"/>
      <c r="DX52" s="1116"/>
      <c r="DY52" s="1116"/>
      <c r="DZ52" s="1116"/>
      <c r="EA52" s="1116"/>
      <c r="EB52" s="1116"/>
      <c r="EC52" s="1116"/>
      <c r="ED52" s="1116"/>
      <c r="EE52" s="1116"/>
      <c r="EF52" s="1116"/>
      <c r="EG52" s="1116"/>
      <c r="EH52" s="1116"/>
      <c r="EI52" s="1116"/>
      <c r="EJ52" s="1116"/>
      <c r="EK52" s="1116"/>
      <c r="EL52" s="1116"/>
      <c r="EM52" s="1116"/>
      <c r="EN52" s="1116"/>
      <c r="EO52" s="1116"/>
      <c r="EP52" s="1116"/>
      <c r="EQ52" s="1116"/>
      <c r="ER52" s="1116"/>
      <c r="ES52" s="1116"/>
    </row>
    <row r="53" spans="1:149" s="34" customFormat="1" ht="15" customHeight="1">
      <c r="A53" s="1185">
        <v>43</v>
      </c>
      <c r="B53" s="1041"/>
      <c r="C53" s="1050"/>
      <c r="D53" s="1050"/>
      <c r="E53" s="1050"/>
      <c r="F53" s="1049"/>
      <c r="G53" s="1049"/>
      <c r="H53" s="1049"/>
      <c r="I53" s="1049"/>
      <c r="J53" s="1050"/>
      <c r="K53" s="1050"/>
      <c r="L53" s="1043"/>
      <c r="M53" s="1051"/>
      <c r="N53" s="1051"/>
      <c r="O53" s="1052"/>
      <c r="P53" s="1051"/>
      <c r="Q53" s="1051"/>
      <c r="R53" s="1052"/>
      <c r="S53" s="1051"/>
      <c r="T53" s="1051"/>
      <c r="U53" s="1052"/>
      <c r="V53" s="1051"/>
      <c r="W53" s="1051"/>
      <c r="X53" s="1052"/>
      <c r="Y53" s="1053"/>
      <c r="Z53" s="1051"/>
      <c r="AA53" s="1051"/>
      <c r="AB53" s="1052"/>
      <c r="AC53" s="1051"/>
      <c r="AD53" s="1051"/>
      <c r="AE53" s="1052"/>
      <c r="AF53" s="1051"/>
      <c r="AG53" s="1051"/>
      <c r="AH53" s="1051"/>
      <c r="AI53" s="1051"/>
      <c r="AJ53" s="1052"/>
      <c r="AK53" s="1051"/>
      <c r="AL53" s="1051"/>
      <c r="AM53" s="1052"/>
      <c r="AN53" s="1051"/>
      <c r="AO53" s="1051"/>
      <c r="AP53" s="1052"/>
      <c r="AQ53" s="1051"/>
      <c r="AR53" s="1051"/>
      <c r="AS53" s="1052"/>
      <c r="AT53" s="1051"/>
      <c r="AU53" s="1051"/>
      <c r="AV53" s="1052"/>
      <c r="AW53" s="1051"/>
      <c r="AX53" s="1051"/>
      <c r="AY53" s="1053"/>
      <c r="AZ53" s="1051"/>
      <c r="BA53" s="1051"/>
      <c r="BB53" s="1053"/>
      <c r="BC53" s="1051"/>
      <c r="BD53" s="1051"/>
      <c r="BE53" s="1053"/>
      <c r="BF53" s="1051"/>
      <c r="BG53" s="1051"/>
      <c r="BH53" s="1053"/>
      <c r="BI53" s="1052"/>
      <c r="BJ53" s="1052"/>
      <c r="BK53" s="1052"/>
      <c r="BL53" s="1052"/>
      <c r="BM53" s="1052"/>
      <c r="BN53" s="1054"/>
      <c r="BO53" s="1076">
        <f t="shared" si="0"/>
        <v>0</v>
      </c>
      <c r="BP53" s="1051"/>
      <c r="BQ53" s="1052"/>
      <c r="BR53" s="1054"/>
      <c r="BS53" s="1053"/>
      <c r="BT53" s="1051"/>
      <c r="BU53" s="1051"/>
      <c r="BV53" s="1051"/>
      <c r="BW53" s="1052"/>
      <c r="BX53" s="1052"/>
      <c r="BY53" s="1052"/>
      <c r="BZ53" s="1052"/>
      <c r="CA53" s="1052"/>
      <c r="CB53" s="1053"/>
      <c r="CC53" s="1053"/>
      <c r="CD53" s="1053"/>
      <c r="CE53" s="1053"/>
      <c r="CF53" s="1053"/>
      <c r="CG53" s="1053"/>
      <c r="CH53" s="1053"/>
      <c r="CI53" s="1123"/>
      <c r="CJ53" s="1123"/>
      <c r="CK53" s="1123"/>
      <c r="CL53" s="1123"/>
      <c r="CM53" s="1123"/>
      <c r="CN53" s="1123"/>
      <c r="CO53" s="1123"/>
      <c r="CP53" s="1123"/>
      <c r="CQ53" s="1123"/>
      <c r="CR53" s="1123"/>
      <c r="CS53" s="1123"/>
      <c r="CT53" s="1123"/>
      <c r="CU53" s="1123"/>
      <c r="CV53" s="1123"/>
      <c r="CW53" s="1123"/>
      <c r="CX53" s="1123"/>
      <c r="CY53" s="1123"/>
      <c r="CZ53" s="1114"/>
      <c r="DA53" s="1114"/>
      <c r="DB53" s="1114"/>
      <c r="DC53" s="1114"/>
      <c r="DD53" s="1114"/>
      <c r="DE53" s="1114"/>
      <c r="DF53" s="1114"/>
      <c r="DG53" s="1114"/>
      <c r="DH53" s="1114"/>
      <c r="DI53" s="1114"/>
      <c r="DJ53" s="1114"/>
      <c r="DK53" s="1114"/>
      <c r="DL53" s="1114"/>
      <c r="DM53" s="1114"/>
      <c r="DN53" s="1114"/>
      <c r="DO53" s="1114"/>
      <c r="DP53" s="1114"/>
      <c r="DQ53" s="1114"/>
      <c r="DR53" s="1114"/>
      <c r="DS53" s="1114"/>
      <c r="DT53" s="1114"/>
      <c r="DU53" s="1114"/>
      <c r="DV53" s="1115"/>
      <c r="DW53" s="1116"/>
      <c r="DX53" s="1116"/>
      <c r="DY53" s="1116"/>
      <c r="DZ53" s="1116"/>
      <c r="EA53" s="1116"/>
      <c r="EB53" s="1116"/>
      <c r="EC53" s="1116"/>
      <c r="ED53" s="1116"/>
      <c r="EE53" s="1116"/>
      <c r="EF53" s="1116"/>
      <c r="EG53" s="1116"/>
      <c r="EH53" s="1116"/>
      <c r="EI53" s="1116"/>
      <c r="EJ53" s="1116"/>
      <c r="EK53" s="1116"/>
      <c r="EL53" s="1116"/>
      <c r="EM53" s="1116"/>
      <c r="EN53" s="1116"/>
      <c r="EO53" s="1116"/>
      <c r="EP53" s="1116"/>
      <c r="EQ53" s="1116"/>
      <c r="ER53" s="1116"/>
      <c r="ES53" s="1116"/>
    </row>
    <row r="54" spans="1:149" s="34" customFormat="1" ht="15" customHeight="1">
      <c r="A54" s="1185">
        <v>44</v>
      </c>
      <c r="B54" s="1041"/>
      <c r="C54" s="1050"/>
      <c r="D54" s="1050"/>
      <c r="E54" s="1050"/>
      <c r="F54" s="1049"/>
      <c r="G54" s="1049"/>
      <c r="H54" s="1049"/>
      <c r="I54" s="1049"/>
      <c r="J54" s="1050"/>
      <c r="K54" s="1050"/>
      <c r="L54" s="1043"/>
      <c r="M54" s="1051"/>
      <c r="N54" s="1051"/>
      <c r="O54" s="1052"/>
      <c r="P54" s="1051"/>
      <c r="Q54" s="1051"/>
      <c r="R54" s="1052"/>
      <c r="S54" s="1051"/>
      <c r="T54" s="1051"/>
      <c r="U54" s="1052"/>
      <c r="V54" s="1051"/>
      <c r="W54" s="1051"/>
      <c r="X54" s="1052"/>
      <c r="Y54" s="1053"/>
      <c r="Z54" s="1051"/>
      <c r="AA54" s="1051"/>
      <c r="AB54" s="1052"/>
      <c r="AC54" s="1051"/>
      <c r="AD54" s="1051"/>
      <c r="AE54" s="1052"/>
      <c r="AF54" s="1051"/>
      <c r="AG54" s="1051"/>
      <c r="AH54" s="1051"/>
      <c r="AI54" s="1051"/>
      <c r="AJ54" s="1052"/>
      <c r="AK54" s="1051"/>
      <c r="AL54" s="1051"/>
      <c r="AM54" s="1052"/>
      <c r="AN54" s="1051"/>
      <c r="AO54" s="1051"/>
      <c r="AP54" s="1052"/>
      <c r="AQ54" s="1051"/>
      <c r="AR54" s="1051"/>
      <c r="AS54" s="1052"/>
      <c r="AT54" s="1051"/>
      <c r="AU54" s="1051"/>
      <c r="AV54" s="1052"/>
      <c r="AW54" s="1051"/>
      <c r="AX54" s="1051"/>
      <c r="AY54" s="1053"/>
      <c r="AZ54" s="1051"/>
      <c r="BA54" s="1051"/>
      <c r="BB54" s="1053"/>
      <c r="BC54" s="1051"/>
      <c r="BD54" s="1051"/>
      <c r="BE54" s="1053"/>
      <c r="BF54" s="1051"/>
      <c r="BG54" s="1051"/>
      <c r="BH54" s="1053"/>
      <c r="BI54" s="1052"/>
      <c r="BJ54" s="1052"/>
      <c r="BK54" s="1052"/>
      <c r="BL54" s="1052"/>
      <c r="BM54" s="1052"/>
      <c r="BN54" s="1054"/>
      <c r="BO54" s="1076">
        <f t="shared" si="0"/>
        <v>0</v>
      </c>
      <c r="BP54" s="1051"/>
      <c r="BQ54" s="1052"/>
      <c r="BR54" s="1054"/>
      <c r="BS54" s="1053"/>
      <c r="BT54" s="1051"/>
      <c r="BU54" s="1051"/>
      <c r="BV54" s="1051"/>
      <c r="BW54" s="1052"/>
      <c r="BX54" s="1052"/>
      <c r="BY54" s="1052"/>
      <c r="BZ54" s="1052"/>
      <c r="CA54" s="1052"/>
      <c r="CB54" s="1053"/>
      <c r="CC54" s="1053"/>
      <c r="CD54" s="1053"/>
      <c r="CE54" s="1053"/>
      <c r="CF54" s="1053"/>
      <c r="CG54" s="1053"/>
      <c r="CH54" s="1053"/>
      <c r="CI54" s="1123"/>
      <c r="CJ54" s="1123"/>
      <c r="CK54" s="1123"/>
      <c r="CL54" s="1123"/>
      <c r="CM54" s="1123"/>
      <c r="CN54" s="1123"/>
      <c r="CO54" s="1123"/>
      <c r="CP54" s="1123"/>
      <c r="CQ54" s="1123"/>
      <c r="CR54" s="1123"/>
      <c r="CS54" s="1123"/>
      <c r="CT54" s="1123"/>
      <c r="CU54" s="1123"/>
      <c r="CV54" s="1123"/>
      <c r="CW54" s="1123"/>
      <c r="CX54" s="1123"/>
      <c r="CY54" s="1123"/>
      <c r="CZ54" s="1114"/>
      <c r="DA54" s="1114"/>
      <c r="DB54" s="1114"/>
      <c r="DC54" s="1114"/>
      <c r="DD54" s="1114"/>
      <c r="DE54" s="1114"/>
      <c r="DF54" s="1114"/>
      <c r="DG54" s="1114"/>
      <c r="DH54" s="1114"/>
      <c r="DI54" s="1114"/>
      <c r="DJ54" s="1114"/>
      <c r="DK54" s="1114"/>
      <c r="DL54" s="1114"/>
      <c r="DM54" s="1114"/>
      <c r="DN54" s="1114"/>
      <c r="DO54" s="1114"/>
      <c r="DP54" s="1114"/>
      <c r="DQ54" s="1114"/>
      <c r="DR54" s="1114"/>
      <c r="DS54" s="1114"/>
      <c r="DT54" s="1114"/>
      <c r="DU54" s="1114"/>
      <c r="DV54" s="1115"/>
      <c r="DW54" s="1116"/>
      <c r="DX54" s="1116"/>
      <c r="DY54" s="1116"/>
      <c r="DZ54" s="1116"/>
      <c r="EA54" s="1116"/>
      <c r="EB54" s="1116"/>
      <c r="EC54" s="1116"/>
      <c r="ED54" s="1116"/>
      <c r="EE54" s="1116"/>
      <c r="EF54" s="1116"/>
      <c r="EG54" s="1116"/>
      <c r="EH54" s="1116"/>
      <c r="EI54" s="1116"/>
      <c r="EJ54" s="1116"/>
      <c r="EK54" s="1116"/>
      <c r="EL54" s="1116"/>
      <c r="EM54" s="1116"/>
      <c r="EN54" s="1116"/>
      <c r="EO54" s="1116"/>
      <c r="EP54" s="1116"/>
      <c r="EQ54" s="1116"/>
      <c r="ER54" s="1116"/>
      <c r="ES54" s="1116"/>
    </row>
    <row r="55" spans="1:149" s="34" customFormat="1" ht="15" customHeight="1">
      <c r="A55" s="1185">
        <v>45</v>
      </c>
      <c r="B55" s="1041"/>
      <c r="C55" s="1050"/>
      <c r="D55" s="1050"/>
      <c r="E55" s="1050"/>
      <c r="F55" s="1049"/>
      <c r="G55" s="1049"/>
      <c r="H55" s="1049"/>
      <c r="I55" s="1049"/>
      <c r="J55" s="1050"/>
      <c r="K55" s="1050"/>
      <c r="L55" s="1043"/>
      <c r="M55" s="1051"/>
      <c r="N55" s="1051"/>
      <c r="O55" s="1052"/>
      <c r="P55" s="1051"/>
      <c r="Q55" s="1051"/>
      <c r="R55" s="1052"/>
      <c r="S55" s="1051"/>
      <c r="T55" s="1051"/>
      <c r="U55" s="1052"/>
      <c r="V55" s="1051"/>
      <c r="W55" s="1051"/>
      <c r="X55" s="1052"/>
      <c r="Y55" s="1053"/>
      <c r="Z55" s="1051"/>
      <c r="AA55" s="1051"/>
      <c r="AB55" s="1052"/>
      <c r="AC55" s="1051"/>
      <c r="AD55" s="1051"/>
      <c r="AE55" s="1052"/>
      <c r="AF55" s="1051"/>
      <c r="AG55" s="1051"/>
      <c r="AH55" s="1051"/>
      <c r="AI55" s="1051"/>
      <c r="AJ55" s="1052"/>
      <c r="AK55" s="1051"/>
      <c r="AL55" s="1051"/>
      <c r="AM55" s="1052"/>
      <c r="AN55" s="1051"/>
      <c r="AO55" s="1051"/>
      <c r="AP55" s="1052"/>
      <c r="AQ55" s="1051"/>
      <c r="AR55" s="1051"/>
      <c r="AS55" s="1052"/>
      <c r="AT55" s="1051"/>
      <c r="AU55" s="1051"/>
      <c r="AV55" s="1052"/>
      <c r="AW55" s="1051"/>
      <c r="AX55" s="1051"/>
      <c r="AY55" s="1053"/>
      <c r="AZ55" s="1051"/>
      <c r="BA55" s="1051"/>
      <c r="BB55" s="1053"/>
      <c r="BC55" s="1051"/>
      <c r="BD55" s="1051"/>
      <c r="BE55" s="1053"/>
      <c r="BF55" s="1051"/>
      <c r="BG55" s="1051"/>
      <c r="BH55" s="1053"/>
      <c r="BI55" s="1052"/>
      <c r="BJ55" s="1052"/>
      <c r="BK55" s="1052"/>
      <c r="BL55" s="1052"/>
      <c r="BM55" s="1052"/>
      <c r="BN55" s="1054"/>
      <c r="BO55" s="1076">
        <f t="shared" si="0"/>
        <v>0</v>
      </c>
      <c r="BP55" s="1051"/>
      <c r="BQ55" s="1052"/>
      <c r="BR55" s="1054"/>
      <c r="BS55" s="1053"/>
      <c r="BT55" s="1051"/>
      <c r="BU55" s="1051"/>
      <c r="BV55" s="1051"/>
      <c r="BW55" s="1052"/>
      <c r="BX55" s="1052"/>
      <c r="BY55" s="1052"/>
      <c r="BZ55" s="1052"/>
      <c r="CA55" s="1052"/>
      <c r="CB55" s="1053"/>
      <c r="CC55" s="1053"/>
      <c r="CD55" s="1053"/>
      <c r="CE55" s="1053"/>
      <c r="CF55" s="1053"/>
      <c r="CG55" s="1053"/>
      <c r="CH55" s="1053"/>
      <c r="CI55" s="1123"/>
      <c r="CJ55" s="1123"/>
      <c r="CK55" s="1123"/>
      <c r="CL55" s="1123"/>
      <c r="CM55" s="1123"/>
      <c r="CN55" s="1123"/>
      <c r="CO55" s="1123"/>
      <c r="CP55" s="1123"/>
      <c r="CQ55" s="1123"/>
      <c r="CR55" s="1123"/>
      <c r="CS55" s="1123"/>
      <c r="CT55" s="1123"/>
      <c r="CU55" s="1123"/>
      <c r="CV55" s="1123"/>
      <c r="CW55" s="1123"/>
      <c r="CX55" s="1123"/>
      <c r="CY55" s="1123"/>
      <c r="CZ55" s="1114"/>
      <c r="DA55" s="1114"/>
      <c r="DB55" s="1114"/>
      <c r="DC55" s="1114"/>
      <c r="DD55" s="1114"/>
      <c r="DE55" s="1114"/>
      <c r="DF55" s="1114"/>
      <c r="DG55" s="1114"/>
      <c r="DH55" s="1114"/>
      <c r="DI55" s="1114"/>
      <c r="DJ55" s="1114"/>
      <c r="DK55" s="1114"/>
      <c r="DL55" s="1114"/>
      <c r="DM55" s="1114"/>
      <c r="DN55" s="1114"/>
      <c r="DO55" s="1114"/>
      <c r="DP55" s="1114"/>
      <c r="DQ55" s="1114"/>
      <c r="DR55" s="1114"/>
      <c r="DS55" s="1114"/>
      <c r="DT55" s="1114"/>
      <c r="DU55" s="1114"/>
      <c r="DV55" s="1115"/>
      <c r="DW55" s="1116"/>
      <c r="DX55" s="1116"/>
      <c r="DY55" s="1116"/>
      <c r="DZ55" s="1116"/>
      <c r="EA55" s="1116"/>
      <c r="EB55" s="1116"/>
      <c r="EC55" s="1116"/>
      <c r="ED55" s="1116"/>
      <c r="EE55" s="1116"/>
      <c r="EF55" s="1116"/>
      <c r="EG55" s="1116"/>
      <c r="EH55" s="1116"/>
      <c r="EI55" s="1116"/>
      <c r="EJ55" s="1116"/>
      <c r="EK55" s="1116"/>
      <c r="EL55" s="1116"/>
      <c r="EM55" s="1116"/>
      <c r="EN55" s="1116"/>
      <c r="EO55" s="1116"/>
      <c r="EP55" s="1116"/>
      <c r="EQ55" s="1116"/>
      <c r="ER55" s="1116"/>
      <c r="ES55" s="1116"/>
    </row>
    <row r="56" spans="1:149" s="34" customFormat="1" ht="15" customHeight="1">
      <c r="A56" s="1185">
        <v>46</v>
      </c>
      <c r="B56" s="1041"/>
      <c r="C56" s="1050"/>
      <c r="D56" s="1050"/>
      <c r="E56" s="1050"/>
      <c r="F56" s="1049"/>
      <c r="G56" s="1049"/>
      <c r="H56" s="1049"/>
      <c r="I56" s="1049"/>
      <c r="J56" s="1050"/>
      <c r="K56" s="1050"/>
      <c r="L56" s="1043"/>
      <c r="M56" s="1051"/>
      <c r="N56" s="1051"/>
      <c r="O56" s="1052"/>
      <c r="P56" s="1051"/>
      <c r="Q56" s="1051"/>
      <c r="R56" s="1052"/>
      <c r="S56" s="1051"/>
      <c r="T56" s="1051"/>
      <c r="U56" s="1052"/>
      <c r="V56" s="1051"/>
      <c r="W56" s="1051"/>
      <c r="X56" s="1052"/>
      <c r="Y56" s="1053"/>
      <c r="Z56" s="1051"/>
      <c r="AA56" s="1051"/>
      <c r="AB56" s="1052"/>
      <c r="AC56" s="1051"/>
      <c r="AD56" s="1051"/>
      <c r="AE56" s="1052"/>
      <c r="AF56" s="1051"/>
      <c r="AG56" s="1051"/>
      <c r="AH56" s="1051"/>
      <c r="AI56" s="1051"/>
      <c r="AJ56" s="1052"/>
      <c r="AK56" s="1051"/>
      <c r="AL56" s="1051"/>
      <c r="AM56" s="1052"/>
      <c r="AN56" s="1051"/>
      <c r="AO56" s="1051"/>
      <c r="AP56" s="1052"/>
      <c r="AQ56" s="1051"/>
      <c r="AR56" s="1051"/>
      <c r="AS56" s="1052"/>
      <c r="AT56" s="1051"/>
      <c r="AU56" s="1051"/>
      <c r="AV56" s="1052"/>
      <c r="AW56" s="1051"/>
      <c r="AX56" s="1051"/>
      <c r="AY56" s="1053"/>
      <c r="AZ56" s="1051"/>
      <c r="BA56" s="1051"/>
      <c r="BB56" s="1053"/>
      <c r="BC56" s="1051"/>
      <c r="BD56" s="1051"/>
      <c r="BE56" s="1053"/>
      <c r="BF56" s="1051"/>
      <c r="BG56" s="1051"/>
      <c r="BH56" s="1053"/>
      <c r="BI56" s="1052"/>
      <c r="BJ56" s="1052"/>
      <c r="BK56" s="1052"/>
      <c r="BL56" s="1052"/>
      <c r="BM56" s="1052"/>
      <c r="BN56" s="1054"/>
      <c r="BO56" s="1076">
        <f t="shared" si="0"/>
        <v>0</v>
      </c>
      <c r="BP56" s="1051"/>
      <c r="BQ56" s="1052"/>
      <c r="BR56" s="1054"/>
      <c r="BS56" s="1053"/>
      <c r="BT56" s="1051"/>
      <c r="BU56" s="1051"/>
      <c r="BV56" s="1051"/>
      <c r="BW56" s="1052"/>
      <c r="BX56" s="1052"/>
      <c r="BY56" s="1052"/>
      <c r="BZ56" s="1052"/>
      <c r="CA56" s="1052"/>
      <c r="CB56" s="1053"/>
      <c r="CC56" s="1053"/>
      <c r="CD56" s="1053"/>
      <c r="CE56" s="1053"/>
      <c r="CF56" s="1053"/>
      <c r="CG56" s="1053"/>
      <c r="CH56" s="1053"/>
      <c r="CI56" s="1123"/>
      <c r="CJ56" s="1123"/>
      <c r="CK56" s="1123"/>
      <c r="CL56" s="1123"/>
      <c r="CM56" s="1123"/>
      <c r="CN56" s="1123"/>
      <c r="CO56" s="1123"/>
      <c r="CP56" s="1123"/>
      <c r="CQ56" s="1123"/>
      <c r="CR56" s="1123"/>
      <c r="CS56" s="1123"/>
      <c r="CT56" s="1123"/>
      <c r="CU56" s="1123"/>
      <c r="CV56" s="1123"/>
      <c r="CW56" s="1123"/>
      <c r="CX56" s="1123"/>
      <c r="CY56" s="1123"/>
      <c r="CZ56" s="1114"/>
      <c r="DA56" s="1114"/>
      <c r="DB56" s="1114"/>
      <c r="DC56" s="1114"/>
      <c r="DD56" s="1114"/>
      <c r="DE56" s="1114"/>
      <c r="DF56" s="1114"/>
      <c r="DG56" s="1114"/>
      <c r="DH56" s="1114"/>
      <c r="DI56" s="1114"/>
      <c r="DJ56" s="1114"/>
      <c r="DK56" s="1114"/>
      <c r="DL56" s="1114"/>
      <c r="DM56" s="1114"/>
      <c r="DN56" s="1114"/>
      <c r="DO56" s="1114"/>
      <c r="DP56" s="1114"/>
      <c r="DQ56" s="1114"/>
      <c r="DR56" s="1114"/>
      <c r="DS56" s="1114"/>
      <c r="DT56" s="1114"/>
      <c r="DU56" s="1114"/>
      <c r="DV56" s="1115"/>
      <c r="DW56" s="1116"/>
      <c r="DX56" s="1116"/>
      <c r="DY56" s="1116"/>
      <c r="DZ56" s="1116"/>
      <c r="EA56" s="1116"/>
      <c r="EB56" s="1116"/>
      <c r="EC56" s="1116"/>
      <c r="ED56" s="1116"/>
      <c r="EE56" s="1116"/>
      <c r="EF56" s="1116"/>
      <c r="EG56" s="1116"/>
      <c r="EH56" s="1116"/>
      <c r="EI56" s="1116"/>
      <c r="EJ56" s="1116"/>
      <c r="EK56" s="1116"/>
      <c r="EL56" s="1116"/>
      <c r="EM56" s="1116"/>
      <c r="EN56" s="1116"/>
      <c r="EO56" s="1116"/>
      <c r="EP56" s="1116"/>
      <c r="EQ56" s="1116"/>
      <c r="ER56" s="1116"/>
      <c r="ES56" s="1116"/>
    </row>
    <row r="57" spans="1:149" s="34" customFormat="1" ht="15" customHeight="1">
      <c r="A57" s="1185">
        <v>47</v>
      </c>
      <c r="B57" s="1041"/>
      <c r="C57" s="1050"/>
      <c r="D57" s="1050"/>
      <c r="E57" s="1050"/>
      <c r="F57" s="1049"/>
      <c r="G57" s="1049"/>
      <c r="H57" s="1049"/>
      <c r="I57" s="1049"/>
      <c r="J57" s="1050"/>
      <c r="K57" s="1050"/>
      <c r="L57" s="1043"/>
      <c r="M57" s="1051"/>
      <c r="N57" s="1051"/>
      <c r="O57" s="1052"/>
      <c r="P57" s="1051"/>
      <c r="Q57" s="1051"/>
      <c r="R57" s="1052"/>
      <c r="S57" s="1051"/>
      <c r="T57" s="1051"/>
      <c r="U57" s="1052"/>
      <c r="V57" s="1051"/>
      <c r="W57" s="1051"/>
      <c r="X57" s="1052"/>
      <c r="Y57" s="1053"/>
      <c r="Z57" s="1051"/>
      <c r="AA57" s="1051"/>
      <c r="AB57" s="1052"/>
      <c r="AC57" s="1051"/>
      <c r="AD57" s="1051"/>
      <c r="AE57" s="1052"/>
      <c r="AF57" s="1051"/>
      <c r="AG57" s="1051"/>
      <c r="AH57" s="1051"/>
      <c r="AI57" s="1051"/>
      <c r="AJ57" s="1052"/>
      <c r="AK57" s="1051"/>
      <c r="AL57" s="1051"/>
      <c r="AM57" s="1052"/>
      <c r="AN57" s="1051"/>
      <c r="AO57" s="1051"/>
      <c r="AP57" s="1052"/>
      <c r="AQ57" s="1051"/>
      <c r="AR57" s="1051"/>
      <c r="AS57" s="1052"/>
      <c r="AT57" s="1051"/>
      <c r="AU57" s="1051"/>
      <c r="AV57" s="1052"/>
      <c r="AW57" s="1051"/>
      <c r="AX57" s="1051"/>
      <c r="AY57" s="1053"/>
      <c r="AZ57" s="1051"/>
      <c r="BA57" s="1051"/>
      <c r="BB57" s="1053"/>
      <c r="BC57" s="1051"/>
      <c r="BD57" s="1051"/>
      <c r="BE57" s="1053"/>
      <c r="BF57" s="1051"/>
      <c r="BG57" s="1051"/>
      <c r="BH57" s="1053"/>
      <c r="BI57" s="1052"/>
      <c r="BJ57" s="1052"/>
      <c r="BK57" s="1052"/>
      <c r="BL57" s="1052"/>
      <c r="BM57" s="1052"/>
      <c r="BN57" s="1054"/>
      <c r="BO57" s="1076">
        <f t="shared" si="0"/>
        <v>0</v>
      </c>
      <c r="BP57" s="1051"/>
      <c r="BQ57" s="1052"/>
      <c r="BR57" s="1054"/>
      <c r="BS57" s="1053"/>
      <c r="BT57" s="1051"/>
      <c r="BU57" s="1051"/>
      <c r="BV57" s="1051"/>
      <c r="BW57" s="1052"/>
      <c r="BX57" s="1052"/>
      <c r="BY57" s="1052"/>
      <c r="BZ57" s="1052"/>
      <c r="CA57" s="1052"/>
      <c r="CB57" s="1053"/>
      <c r="CC57" s="1053"/>
      <c r="CD57" s="1053"/>
      <c r="CE57" s="1053"/>
      <c r="CF57" s="1053"/>
      <c r="CG57" s="1053"/>
      <c r="CH57" s="1053"/>
      <c r="CI57" s="1123"/>
      <c r="CJ57" s="1123"/>
      <c r="CK57" s="1123"/>
      <c r="CL57" s="1123"/>
      <c r="CM57" s="1123"/>
      <c r="CN57" s="1123"/>
      <c r="CO57" s="1123"/>
      <c r="CP57" s="1123"/>
      <c r="CQ57" s="1123"/>
      <c r="CR57" s="1123"/>
      <c r="CS57" s="1123"/>
      <c r="CT57" s="1123"/>
      <c r="CU57" s="1123"/>
      <c r="CV57" s="1123"/>
      <c r="CW57" s="1123"/>
      <c r="CX57" s="1123"/>
      <c r="CY57" s="1123"/>
      <c r="CZ57" s="1114"/>
      <c r="DA57" s="1114"/>
      <c r="DB57" s="1114"/>
      <c r="DC57" s="1114"/>
      <c r="DD57" s="1114"/>
      <c r="DE57" s="1114"/>
      <c r="DF57" s="1114"/>
      <c r="DG57" s="1114"/>
      <c r="DH57" s="1114"/>
      <c r="DI57" s="1114"/>
      <c r="DJ57" s="1114"/>
      <c r="DK57" s="1114"/>
      <c r="DL57" s="1114"/>
      <c r="DM57" s="1114"/>
      <c r="DN57" s="1114"/>
      <c r="DO57" s="1114"/>
      <c r="DP57" s="1114"/>
      <c r="DQ57" s="1114"/>
      <c r="DR57" s="1114"/>
      <c r="DS57" s="1114"/>
      <c r="DT57" s="1114"/>
      <c r="DU57" s="1114"/>
      <c r="DV57" s="1115"/>
      <c r="DW57" s="1116"/>
      <c r="DX57" s="1116"/>
      <c r="DY57" s="1116"/>
      <c r="DZ57" s="1116"/>
      <c r="EA57" s="1116"/>
      <c r="EB57" s="1116"/>
      <c r="EC57" s="1116"/>
      <c r="ED57" s="1116"/>
      <c r="EE57" s="1116"/>
      <c r="EF57" s="1116"/>
      <c r="EG57" s="1116"/>
      <c r="EH57" s="1116"/>
      <c r="EI57" s="1116"/>
      <c r="EJ57" s="1116"/>
      <c r="EK57" s="1116"/>
      <c r="EL57" s="1116"/>
      <c r="EM57" s="1116"/>
      <c r="EN57" s="1116"/>
      <c r="EO57" s="1116"/>
      <c r="EP57" s="1116"/>
      <c r="EQ57" s="1116"/>
      <c r="ER57" s="1116"/>
      <c r="ES57" s="1116"/>
    </row>
    <row r="58" spans="1:149" s="34" customFormat="1" ht="15" customHeight="1">
      <c r="A58" s="1185">
        <v>48</v>
      </c>
      <c r="B58" s="1041"/>
      <c r="C58" s="1050"/>
      <c r="D58" s="1050"/>
      <c r="E58" s="1050"/>
      <c r="F58" s="1049"/>
      <c r="G58" s="1049"/>
      <c r="H58" s="1049"/>
      <c r="I58" s="1049"/>
      <c r="J58" s="1050"/>
      <c r="K58" s="1050"/>
      <c r="L58" s="1043"/>
      <c r="M58" s="1051"/>
      <c r="N58" s="1051"/>
      <c r="O58" s="1052"/>
      <c r="P58" s="1051"/>
      <c r="Q58" s="1051"/>
      <c r="R58" s="1052"/>
      <c r="S58" s="1051"/>
      <c r="T58" s="1051"/>
      <c r="U58" s="1052"/>
      <c r="V58" s="1051"/>
      <c r="W58" s="1051"/>
      <c r="X58" s="1052"/>
      <c r="Y58" s="1053"/>
      <c r="Z58" s="1051"/>
      <c r="AA58" s="1051"/>
      <c r="AB58" s="1052"/>
      <c r="AC58" s="1051"/>
      <c r="AD58" s="1051"/>
      <c r="AE58" s="1052"/>
      <c r="AF58" s="1051"/>
      <c r="AG58" s="1051"/>
      <c r="AH58" s="1051"/>
      <c r="AI58" s="1051"/>
      <c r="AJ58" s="1052"/>
      <c r="AK58" s="1051"/>
      <c r="AL58" s="1051"/>
      <c r="AM58" s="1052"/>
      <c r="AN58" s="1051"/>
      <c r="AO58" s="1051"/>
      <c r="AP58" s="1052"/>
      <c r="AQ58" s="1051"/>
      <c r="AR58" s="1051"/>
      <c r="AS58" s="1052"/>
      <c r="AT58" s="1051"/>
      <c r="AU58" s="1051"/>
      <c r="AV58" s="1052"/>
      <c r="AW58" s="1051"/>
      <c r="AX58" s="1051"/>
      <c r="AY58" s="1053"/>
      <c r="AZ58" s="1051"/>
      <c r="BA58" s="1051"/>
      <c r="BB58" s="1053"/>
      <c r="BC58" s="1051"/>
      <c r="BD58" s="1051"/>
      <c r="BE58" s="1053"/>
      <c r="BF58" s="1051"/>
      <c r="BG58" s="1051"/>
      <c r="BH58" s="1053"/>
      <c r="BI58" s="1052"/>
      <c r="BJ58" s="1052"/>
      <c r="BK58" s="1052"/>
      <c r="BL58" s="1052"/>
      <c r="BM58" s="1052"/>
      <c r="BN58" s="1054"/>
      <c r="BO58" s="1076">
        <f t="shared" si="0"/>
        <v>0</v>
      </c>
      <c r="BP58" s="1051"/>
      <c r="BQ58" s="1052"/>
      <c r="BR58" s="1054"/>
      <c r="BS58" s="1053"/>
      <c r="BT58" s="1051"/>
      <c r="BU58" s="1051"/>
      <c r="BV58" s="1051"/>
      <c r="BW58" s="1052"/>
      <c r="BX58" s="1052"/>
      <c r="BY58" s="1052"/>
      <c r="BZ58" s="1052"/>
      <c r="CA58" s="1052"/>
      <c r="CB58" s="1053"/>
      <c r="CC58" s="1053"/>
      <c r="CD58" s="1053"/>
      <c r="CE58" s="1053"/>
      <c r="CF58" s="1053"/>
      <c r="CG58" s="1053"/>
      <c r="CH58" s="1053"/>
      <c r="CI58" s="1123"/>
      <c r="CJ58" s="1123"/>
      <c r="CK58" s="1123"/>
      <c r="CL58" s="1123"/>
      <c r="CM58" s="1123"/>
      <c r="CN58" s="1123"/>
      <c r="CO58" s="1123"/>
      <c r="CP58" s="1123"/>
      <c r="CQ58" s="1123"/>
      <c r="CR58" s="1123"/>
      <c r="CS58" s="1123"/>
      <c r="CT58" s="1123"/>
      <c r="CU58" s="1123"/>
      <c r="CV58" s="1123"/>
      <c r="CW58" s="1123"/>
      <c r="CX58" s="1123"/>
      <c r="CY58" s="1123"/>
      <c r="CZ58" s="1114"/>
      <c r="DA58" s="1114"/>
      <c r="DB58" s="1114"/>
      <c r="DC58" s="1114"/>
      <c r="DD58" s="1114"/>
      <c r="DE58" s="1114"/>
      <c r="DF58" s="1114"/>
      <c r="DG58" s="1114"/>
      <c r="DH58" s="1114"/>
      <c r="DI58" s="1114"/>
      <c r="DJ58" s="1114"/>
      <c r="DK58" s="1114"/>
      <c r="DL58" s="1114"/>
      <c r="DM58" s="1114"/>
      <c r="DN58" s="1114"/>
      <c r="DO58" s="1114"/>
      <c r="DP58" s="1114"/>
      <c r="DQ58" s="1114"/>
      <c r="DR58" s="1114"/>
      <c r="DS58" s="1114"/>
      <c r="DT58" s="1114"/>
      <c r="DU58" s="1114"/>
      <c r="DV58" s="1115"/>
      <c r="DW58" s="1116"/>
      <c r="DX58" s="1116"/>
      <c r="DY58" s="1116"/>
      <c r="DZ58" s="1116"/>
      <c r="EA58" s="1116"/>
      <c r="EB58" s="1116"/>
      <c r="EC58" s="1116"/>
      <c r="ED58" s="1116"/>
      <c r="EE58" s="1116"/>
      <c r="EF58" s="1116"/>
      <c r="EG58" s="1116"/>
      <c r="EH58" s="1116"/>
      <c r="EI58" s="1116"/>
      <c r="EJ58" s="1116"/>
      <c r="EK58" s="1116"/>
      <c r="EL58" s="1116"/>
      <c r="EM58" s="1116"/>
      <c r="EN58" s="1116"/>
      <c r="EO58" s="1116"/>
      <c r="EP58" s="1116"/>
      <c r="EQ58" s="1116"/>
      <c r="ER58" s="1116"/>
      <c r="ES58" s="1116"/>
    </row>
    <row r="59" spans="1:149" s="34" customFormat="1" ht="15" customHeight="1">
      <c r="A59" s="1185">
        <v>49</v>
      </c>
      <c r="B59" s="1041"/>
      <c r="C59" s="1050"/>
      <c r="D59" s="1050"/>
      <c r="E59" s="1050"/>
      <c r="F59" s="1049"/>
      <c r="G59" s="1049"/>
      <c r="H59" s="1049"/>
      <c r="I59" s="1049"/>
      <c r="J59" s="1050"/>
      <c r="K59" s="1050"/>
      <c r="L59" s="1043"/>
      <c r="M59" s="1051"/>
      <c r="N59" s="1051"/>
      <c r="O59" s="1052"/>
      <c r="P59" s="1051"/>
      <c r="Q59" s="1051"/>
      <c r="R59" s="1052"/>
      <c r="S59" s="1051"/>
      <c r="T59" s="1051"/>
      <c r="U59" s="1052"/>
      <c r="V59" s="1051"/>
      <c r="W59" s="1051"/>
      <c r="X59" s="1052"/>
      <c r="Y59" s="1053"/>
      <c r="Z59" s="1051"/>
      <c r="AA59" s="1051"/>
      <c r="AB59" s="1052"/>
      <c r="AC59" s="1051"/>
      <c r="AD59" s="1051"/>
      <c r="AE59" s="1052"/>
      <c r="AF59" s="1051"/>
      <c r="AG59" s="1051"/>
      <c r="AH59" s="1051"/>
      <c r="AI59" s="1051"/>
      <c r="AJ59" s="1052"/>
      <c r="AK59" s="1051"/>
      <c r="AL59" s="1051"/>
      <c r="AM59" s="1052"/>
      <c r="AN59" s="1051"/>
      <c r="AO59" s="1051"/>
      <c r="AP59" s="1052"/>
      <c r="AQ59" s="1051"/>
      <c r="AR59" s="1051"/>
      <c r="AS59" s="1052"/>
      <c r="AT59" s="1051"/>
      <c r="AU59" s="1051"/>
      <c r="AV59" s="1052"/>
      <c r="AW59" s="1051"/>
      <c r="AX59" s="1051"/>
      <c r="AY59" s="1053"/>
      <c r="AZ59" s="1051"/>
      <c r="BA59" s="1051"/>
      <c r="BB59" s="1053"/>
      <c r="BC59" s="1051"/>
      <c r="BD59" s="1051"/>
      <c r="BE59" s="1053"/>
      <c r="BF59" s="1051"/>
      <c r="BG59" s="1051"/>
      <c r="BH59" s="1053"/>
      <c r="BI59" s="1052"/>
      <c r="BJ59" s="1052"/>
      <c r="BK59" s="1052"/>
      <c r="BL59" s="1052"/>
      <c r="BM59" s="1052"/>
      <c r="BN59" s="1054"/>
      <c r="BO59" s="1076">
        <f t="shared" si="0"/>
        <v>0</v>
      </c>
      <c r="BP59" s="1051"/>
      <c r="BQ59" s="1052"/>
      <c r="BR59" s="1054"/>
      <c r="BS59" s="1053"/>
      <c r="BT59" s="1051"/>
      <c r="BU59" s="1051"/>
      <c r="BV59" s="1051"/>
      <c r="BW59" s="1052"/>
      <c r="BX59" s="1052"/>
      <c r="BY59" s="1052"/>
      <c r="BZ59" s="1052"/>
      <c r="CA59" s="1052"/>
      <c r="CB59" s="1053"/>
      <c r="CC59" s="1053"/>
      <c r="CD59" s="1053"/>
      <c r="CE59" s="1053"/>
      <c r="CF59" s="1053"/>
      <c r="CG59" s="1053"/>
      <c r="CH59" s="1053"/>
      <c r="CI59" s="1123"/>
      <c r="CJ59" s="1123"/>
      <c r="CK59" s="1123"/>
      <c r="CL59" s="1123"/>
      <c r="CM59" s="1123"/>
      <c r="CN59" s="1123"/>
      <c r="CO59" s="1123"/>
      <c r="CP59" s="1123"/>
      <c r="CQ59" s="1123"/>
      <c r="CR59" s="1123"/>
      <c r="CS59" s="1123"/>
      <c r="CT59" s="1123"/>
      <c r="CU59" s="1123"/>
      <c r="CV59" s="1123"/>
      <c r="CW59" s="1123"/>
      <c r="CX59" s="1123"/>
      <c r="CY59" s="1123"/>
      <c r="CZ59" s="1114"/>
      <c r="DA59" s="1114"/>
      <c r="DB59" s="1114"/>
      <c r="DC59" s="1114"/>
      <c r="DD59" s="1114"/>
      <c r="DE59" s="1114"/>
      <c r="DF59" s="1114"/>
      <c r="DG59" s="1114"/>
      <c r="DH59" s="1114"/>
      <c r="DI59" s="1114"/>
      <c r="DJ59" s="1114"/>
      <c r="DK59" s="1114"/>
      <c r="DL59" s="1114"/>
      <c r="DM59" s="1114"/>
      <c r="DN59" s="1114"/>
      <c r="DO59" s="1114"/>
      <c r="DP59" s="1114"/>
      <c r="DQ59" s="1114"/>
      <c r="DR59" s="1114"/>
      <c r="DS59" s="1114"/>
      <c r="DT59" s="1114"/>
      <c r="DU59" s="1114"/>
      <c r="DV59" s="1115"/>
      <c r="DW59" s="1116"/>
      <c r="DX59" s="1116"/>
      <c r="DY59" s="1116"/>
      <c r="DZ59" s="1116"/>
      <c r="EA59" s="1116"/>
      <c r="EB59" s="1116"/>
      <c r="EC59" s="1116"/>
      <c r="ED59" s="1116"/>
      <c r="EE59" s="1116"/>
      <c r="EF59" s="1116"/>
      <c r="EG59" s="1116"/>
      <c r="EH59" s="1116"/>
      <c r="EI59" s="1116"/>
      <c r="EJ59" s="1116"/>
      <c r="EK59" s="1116"/>
      <c r="EL59" s="1116"/>
      <c r="EM59" s="1116"/>
      <c r="EN59" s="1116"/>
      <c r="EO59" s="1116"/>
      <c r="EP59" s="1116"/>
      <c r="EQ59" s="1116"/>
      <c r="ER59" s="1116"/>
      <c r="ES59" s="1116"/>
    </row>
    <row r="60" spans="1:149" s="34" customFormat="1" ht="15" customHeight="1">
      <c r="A60" s="1185">
        <v>50</v>
      </c>
      <c r="B60" s="1041"/>
      <c r="C60" s="1050"/>
      <c r="D60" s="1050"/>
      <c r="E60" s="1050"/>
      <c r="F60" s="1049"/>
      <c r="G60" s="1049"/>
      <c r="H60" s="1049"/>
      <c r="I60" s="1049"/>
      <c r="J60" s="1050"/>
      <c r="K60" s="1050"/>
      <c r="L60" s="1043"/>
      <c r="M60" s="1051"/>
      <c r="N60" s="1051"/>
      <c r="O60" s="1052"/>
      <c r="P60" s="1051"/>
      <c r="Q60" s="1051"/>
      <c r="R60" s="1052"/>
      <c r="S60" s="1051"/>
      <c r="T60" s="1051"/>
      <c r="U60" s="1052"/>
      <c r="V60" s="1051"/>
      <c r="W60" s="1051"/>
      <c r="X60" s="1052"/>
      <c r="Y60" s="1053"/>
      <c r="Z60" s="1051"/>
      <c r="AA60" s="1051"/>
      <c r="AB60" s="1052"/>
      <c r="AC60" s="1051"/>
      <c r="AD60" s="1051"/>
      <c r="AE60" s="1052"/>
      <c r="AF60" s="1051"/>
      <c r="AG60" s="1051"/>
      <c r="AH60" s="1051"/>
      <c r="AI60" s="1051"/>
      <c r="AJ60" s="1052"/>
      <c r="AK60" s="1051"/>
      <c r="AL60" s="1051"/>
      <c r="AM60" s="1052"/>
      <c r="AN60" s="1051"/>
      <c r="AO60" s="1051"/>
      <c r="AP60" s="1052"/>
      <c r="AQ60" s="1051"/>
      <c r="AR60" s="1051"/>
      <c r="AS60" s="1052"/>
      <c r="AT60" s="1051"/>
      <c r="AU60" s="1051"/>
      <c r="AV60" s="1052"/>
      <c r="AW60" s="1051"/>
      <c r="AX60" s="1051"/>
      <c r="AY60" s="1053"/>
      <c r="AZ60" s="1051"/>
      <c r="BA60" s="1051"/>
      <c r="BB60" s="1053"/>
      <c r="BC60" s="1051"/>
      <c r="BD60" s="1051"/>
      <c r="BE60" s="1053"/>
      <c r="BF60" s="1051"/>
      <c r="BG60" s="1051"/>
      <c r="BH60" s="1053"/>
      <c r="BI60" s="1052"/>
      <c r="BJ60" s="1052"/>
      <c r="BK60" s="1052"/>
      <c r="BL60" s="1052"/>
      <c r="BM60" s="1052"/>
      <c r="BN60" s="1054"/>
      <c r="BO60" s="1076">
        <f t="shared" si="0"/>
        <v>0</v>
      </c>
      <c r="BP60" s="1051"/>
      <c r="BQ60" s="1052"/>
      <c r="BR60" s="1054"/>
      <c r="BS60" s="1053"/>
      <c r="BT60" s="1051"/>
      <c r="BU60" s="1051"/>
      <c r="BV60" s="1051"/>
      <c r="BW60" s="1052"/>
      <c r="BX60" s="1052"/>
      <c r="BY60" s="1052"/>
      <c r="BZ60" s="1052"/>
      <c r="CA60" s="1052"/>
      <c r="CB60" s="1053"/>
      <c r="CC60" s="1053"/>
      <c r="CD60" s="1053"/>
      <c r="CE60" s="1053"/>
      <c r="CF60" s="1053"/>
      <c r="CG60" s="1053"/>
      <c r="CH60" s="1053"/>
      <c r="CI60" s="1123"/>
      <c r="CJ60" s="1123"/>
      <c r="CK60" s="1123"/>
      <c r="CL60" s="1123"/>
      <c r="CM60" s="1123"/>
      <c r="CN60" s="1123"/>
      <c r="CO60" s="1123"/>
      <c r="CP60" s="1123"/>
      <c r="CQ60" s="1123"/>
      <c r="CR60" s="1123"/>
      <c r="CS60" s="1123"/>
      <c r="CT60" s="1123"/>
      <c r="CU60" s="1123"/>
      <c r="CV60" s="1123"/>
      <c r="CW60" s="1123"/>
      <c r="CX60" s="1123"/>
      <c r="CY60" s="1123"/>
      <c r="CZ60" s="1114"/>
      <c r="DA60" s="1114"/>
      <c r="DB60" s="1114"/>
      <c r="DC60" s="1114"/>
      <c r="DD60" s="1114"/>
      <c r="DE60" s="1114"/>
      <c r="DF60" s="1114"/>
      <c r="DG60" s="1114"/>
      <c r="DH60" s="1114"/>
      <c r="DI60" s="1114"/>
      <c r="DJ60" s="1114"/>
      <c r="DK60" s="1114"/>
      <c r="DL60" s="1114"/>
      <c r="DM60" s="1114"/>
      <c r="DN60" s="1114"/>
      <c r="DO60" s="1114"/>
      <c r="DP60" s="1114"/>
      <c r="DQ60" s="1114"/>
      <c r="DR60" s="1114"/>
      <c r="DS60" s="1114"/>
      <c r="DT60" s="1114"/>
      <c r="DU60" s="1114"/>
      <c r="DV60" s="1115"/>
      <c r="DW60" s="1116"/>
      <c r="DX60" s="1116"/>
      <c r="DY60" s="1116"/>
      <c r="DZ60" s="1116"/>
      <c r="EA60" s="1116"/>
      <c r="EB60" s="1116"/>
      <c r="EC60" s="1116"/>
      <c r="ED60" s="1116"/>
      <c r="EE60" s="1116"/>
      <c r="EF60" s="1116"/>
      <c r="EG60" s="1116"/>
      <c r="EH60" s="1116"/>
      <c r="EI60" s="1116"/>
      <c r="EJ60" s="1116"/>
      <c r="EK60" s="1116"/>
      <c r="EL60" s="1116"/>
      <c r="EM60" s="1116"/>
      <c r="EN60" s="1116"/>
      <c r="EO60" s="1116"/>
      <c r="EP60" s="1116"/>
      <c r="EQ60" s="1116"/>
      <c r="ER60" s="1116"/>
      <c r="ES60" s="1116"/>
    </row>
    <row r="61" spans="1:149" s="34" customFormat="1" ht="15" customHeight="1">
      <c r="A61" s="1185">
        <v>51</v>
      </c>
      <c r="B61" s="1041"/>
      <c r="C61" s="1050"/>
      <c r="D61" s="1050"/>
      <c r="E61" s="1050"/>
      <c r="F61" s="1049"/>
      <c r="G61" s="1049"/>
      <c r="H61" s="1049"/>
      <c r="I61" s="1049"/>
      <c r="J61" s="1050"/>
      <c r="K61" s="1050"/>
      <c r="L61" s="1043"/>
      <c r="M61" s="1051"/>
      <c r="N61" s="1051"/>
      <c r="O61" s="1052"/>
      <c r="P61" s="1051"/>
      <c r="Q61" s="1051"/>
      <c r="R61" s="1052"/>
      <c r="S61" s="1051"/>
      <c r="T61" s="1051"/>
      <c r="U61" s="1052"/>
      <c r="V61" s="1051"/>
      <c r="W61" s="1051"/>
      <c r="X61" s="1052"/>
      <c r="Y61" s="1053"/>
      <c r="Z61" s="1051"/>
      <c r="AA61" s="1051"/>
      <c r="AB61" s="1052"/>
      <c r="AC61" s="1051"/>
      <c r="AD61" s="1051"/>
      <c r="AE61" s="1052"/>
      <c r="AF61" s="1051"/>
      <c r="AG61" s="1051"/>
      <c r="AH61" s="1051"/>
      <c r="AI61" s="1051"/>
      <c r="AJ61" s="1052"/>
      <c r="AK61" s="1051"/>
      <c r="AL61" s="1051"/>
      <c r="AM61" s="1052"/>
      <c r="AN61" s="1051"/>
      <c r="AO61" s="1051"/>
      <c r="AP61" s="1052"/>
      <c r="AQ61" s="1051"/>
      <c r="AR61" s="1051"/>
      <c r="AS61" s="1052"/>
      <c r="AT61" s="1051"/>
      <c r="AU61" s="1051"/>
      <c r="AV61" s="1052"/>
      <c r="AW61" s="1051"/>
      <c r="AX61" s="1051"/>
      <c r="AY61" s="1053"/>
      <c r="AZ61" s="1051"/>
      <c r="BA61" s="1051"/>
      <c r="BB61" s="1053"/>
      <c r="BC61" s="1051"/>
      <c r="BD61" s="1051"/>
      <c r="BE61" s="1053"/>
      <c r="BF61" s="1051"/>
      <c r="BG61" s="1051"/>
      <c r="BH61" s="1053"/>
      <c r="BI61" s="1052"/>
      <c r="BJ61" s="1052"/>
      <c r="BK61" s="1052"/>
      <c r="BL61" s="1052"/>
      <c r="BM61" s="1052"/>
      <c r="BN61" s="1054"/>
      <c r="BO61" s="1076">
        <f t="shared" si="0"/>
        <v>0</v>
      </c>
      <c r="BP61" s="1051"/>
      <c r="BQ61" s="1052"/>
      <c r="BR61" s="1054"/>
      <c r="BS61" s="1053"/>
      <c r="BT61" s="1051"/>
      <c r="BU61" s="1051"/>
      <c r="BV61" s="1051"/>
      <c r="BW61" s="1052"/>
      <c r="BX61" s="1052"/>
      <c r="BY61" s="1052"/>
      <c r="BZ61" s="1052"/>
      <c r="CA61" s="1052"/>
      <c r="CB61" s="1053"/>
      <c r="CC61" s="1053"/>
      <c r="CD61" s="1053"/>
      <c r="CE61" s="1053"/>
      <c r="CF61" s="1053"/>
      <c r="CG61" s="1053"/>
      <c r="CH61" s="1053"/>
      <c r="CI61" s="1123"/>
      <c r="CJ61" s="1123"/>
      <c r="CK61" s="1123"/>
      <c r="CL61" s="1123"/>
      <c r="CM61" s="1123"/>
      <c r="CN61" s="1123"/>
      <c r="CO61" s="1123"/>
      <c r="CP61" s="1123"/>
      <c r="CQ61" s="1123"/>
      <c r="CR61" s="1123"/>
      <c r="CS61" s="1123"/>
      <c r="CT61" s="1123"/>
      <c r="CU61" s="1123"/>
      <c r="CV61" s="1123"/>
      <c r="CW61" s="1123"/>
      <c r="CX61" s="1123"/>
      <c r="CY61" s="1123"/>
      <c r="CZ61" s="1114"/>
      <c r="DA61" s="1114"/>
      <c r="DB61" s="1114"/>
      <c r="DC61" s="1114"/>
      <c r="DD61" s="1114"/>
      <c r="DE61" s="1114"/>
      <c r="DF61" s="1114"/>
      <c r="DG61" s="1114"/>
      <c r="DH61" s="1114"/>
      <c r="DI61" s="1114"/>
      <c r="DJ61" s="1114"/>
      <c r="DK61" s="1114"/>
      <c r="DL61" s="1114"/>
      <c r="DM61" s="1114"/>
      <c r="DN61" s="1114"/>
      <c r="DO61" s="1114"/>
      <c r="DP61" s="1114"/>
      <c r="DQ61" s="1114"/>
      <c r="DR61" s="1114"/>
      <c r="DS61" s="1114"/>
      <c r="DT61" s="1114"/>
      <c r="DU61" s="1114"/>
      <c r="DV61" s="1115"/>
      <c r="DW61" s="1116"/>
      <c r="DX61" s="1116"/>
      <c r="DY61" s="1116"/>
      <c r="DZ61" s="1116"/>
      <c r="EA61" s="1116"/>
      <c r="EB61" s="1116"/>
      <c r="EC61" s="1116"/>
      <c r="ED61" s="1116"/>
      <c r="EE61" s="1116"/>
      <c r="EF61" s="1116"/>
      <c r="EG61" s="1116"/>
      <c r="EH61" s="1116"/>
      <c r="EI61" s="1116"/>
      <c r="EJ61" s="1116"/>
      <c r="EK61" s="1116"/>
      <c r="EL61" s="1116"/>
      <c r="EM61" s="1116"/>
      <c r="EN61" s="1116"/>
      <c r="EO61" s="1116"/>
      <c r="EP61" s="1116"/>
      <c r="EQ61" s="1116"/>
      <c r="ER61" s="1116"/>
      <c r="ES61" s="1116"/>
    </row>
    <row r="62" spans="1:149" s="34" customFormat="1" ht="15" customHeight="1">
      <c r="A62" s="1185">
        <v>52</v>
      </c>
      <c r="B62" s="1041"/>
      <c r="C62" s="1050"/>
      <c r="D62" s="1050"/>
      <c r="E62" s="1050"/>
      <c r="F62" s="1049"/>
      <c r="G62" s="1049"/>
      <c r="H62" s="1049"/>
      <c r="I62" s="1049"/>
      <c r="J62" s="1050"/>
      <c r="K62" s="1050"/>
      <c r="L62" s="1043"/>
      <c r="M62" s="1051"/>
      <c r="N62" s="1051"/>
      <c r="O62" s="1052"/>
      <c r="P62" s="1051"/>
      <c r="Q62" s="1051"/>
      <c r="R62" s="1052"/>
      <c r="S62" s="1051"/>
      <c r="T62" s="1051"/>
      <c r="U62" s="1052"/>
      <c r="V62" s="1051"/>
      <c r="W62" s="1051"/>
      <c r="X62" s="1052"/>
      <c r="Y62" s="1053"/>
      <c r="Z62" s="1051"/>
      <c r="AA62" s="1051"/>
      <c r="AB62" s="1052"/>
      <c r="AC62" s="1051"/>
      <c r="AD62" s="1051"/>
      <c r="AE62" s="1052"/>
      <c r="AF62" s="1051"/>
      <c r="AG62" s="1051"/>
      <c r="AH62" s="1051"/>
      <c r="AI62" s="1051"/>
      <c r="AJ62" s="1052"/>
      <c r="AK62" s="1051"/>
      <c r="AL62" s="1051"/>
      <c r="AM62" s="1052"/>
      <c r="AN62" s="1051"/>
      <c r="AO62" s="1051"/>
      <c r="AP62" s="1052"/>
      <c r="AQ62" s="1051"/>
      <c r="AR62" s="1051"/>
      <c r="AS62" s="1052"/>
      <c r="AT62" s="1051"/>
      <c r="AU62" s="1051"/>
      <c r="AV62" s="1052"/>
      <c r="AW62" s="1051"/>
      <c r="AX62" s="1051"/>
      <c r="AY62" s="1053"/>
      <c r="AZ62" s="1051"/>
      <c r="BA62" s="1051"/>
      <c r="BB62" s="1053"/>
      <c r="BC62" s="1051"/>
      <c r="BD62" s="1051"/>
      <c r="BE62" s="1053"/>
      <c r="BF62" s="1051"/>
      <c r="BG62" s="1051"/>
      <c r="BH62" s="1053"/>
      <c r="BI62" s="1052"/>
      <c r="BJ62" s="1052"/>
      <c r="BK62" s="1052"/>
      <c r="BL62" s="1052"/>
      <c r="BM62" s="1052"/>
      <c r="BN62" s="1054"/>
      <c r="BO62" s="1076">
        <f t="shared" si="0"/>
        <v>0</v>
      </c>
      <c r="BP62" s="1051"/>
      <c r="BQ62" s="1052"/>
      <c r="BR62" s="1054"/>
      <c r="BS62" s="1053"/>
      <c r="BT62" s="1051"/>
      <c r="BU62" s="1051"/>
      <c r="BV62" s="1051"/>
      <c r="BW62" s="1052"/>
      <c r="BX62" s="1052"/>
      <c r="BY62" s="1052"/>
      <c r="BZ62" s="1052"/>
      <c r="CA62" s="1052"/>
      <c r="CB62" s="1053"/>
      <c r="CC62" s="1053"/>
      <c r="CD62" s="1053"/>
      <c r="CE62" s="1053"/>
      <c r="CF62" s="1053"/>
      <c r="CG62" s="1053"/>
      <c r="CH62" s="1053"/>
      <c r="CI62" s="1123"/>
      <c r="CJ62" s="1123"/>
      <c r="CK62" s="1123"/>
      <c r="CL62" s="1123"/>
      <c r="CM62" s="1123"/>
      <c r="CN62" s="1123"/>
      <c r="CO62" s="1123"/>
      <c r="CP62" s="1123"/>
      <c r="CQ62" s="1123"/>
      <c r="CR62" s="1123"/>
      <c r="CS62" s="1123"/>
      <c r="CT62" s="1123"/>
      <c r="CU62" s="1123"/>
      <c r="CV62" s="1123"/>
      <c r="CW62" s="1123"/>
      <c r="CX62" s="1123"/>
      <c r="CY62" s="1123"/>
      <c r="CZ62" s="1114"/>
      <c r="DA62" s="1114"/>
      <c r="DB62" s="1114"/>
      <c r="DC62" s="1114"/>
      <c r="DD62" s="1114"/>
      <c r="DE62" s="1114"/>
      <c r="DF62" s="1114"/>
      <c r="DG62" s="1114"/>
      <c r="DH62" s="1114"/>
      <c r="DI62" s="1114"/>
      <c r="DJ62" s="1114"/>
      <c r="DK62" s="1114"/>
      <c r="DL62" s="1114"/>
      <c r="DM62" s="1114"/>
      <c r="DN62" s="1114"/>
      <c r="DO62" s="1114"/>
      <c r="DP62" s="1114"/>
      <c r="DQ62" s="1114"/>
      <c r="DR62" s="1114"/>
      <c r="DS62" s="1114"/>
      <c r="DT62" s="1114"/>
      <c r="DU62" s="1114"/>
      <c r="DV62" s="1115"/>
      <c r="DW62" s="1116"/>
      <c r="DX62" s="1116"/>
      <c r="DY62" s="1116"/>
      <c r="DZ62" s="1116"/>
      <c r="EA62" s="1116"/>
      <c r="EB62" s="1116"/>
      <c r="EC62" s="1116"/>
      <c r="ED62" s="1116"/>
      <c r="EE62" s="1116"/>
      <c r="EF62" s="1116"/>
      <c r="EG62" s="1116"/>
      <c r="EH62" s="1116"/>
      <c r="EI62" s="1116"/>
      <c r="EJ62" s="1116"/>
      <c r="EK62" s="1116"/>
      <c r="EL62" s="1116"/>
      <c r="EM62" s="1116"/>
      <c r="EN62" s="1116"/>
      <c r="EO62" s="1116"/>
      <c r="EP62" s="1116"/>
      <c r="EQ62" s="1116"/>
      <c r="ER62" s="1116"/>
      <c r="ES62" s="1116"/>
    </row>
    <row r="63" spans="1:149" s="34" customFormat="1" ht="15" customHeight="1">
      <c r="A63" s="1185">
        <v>53</v>
      </c>
      <c r="B63" s="1041"/>
      <c r="C63" s="1050"/>
      <c r="D63" s="1050"/>
      <c r="E63" s="1050"/>
      <c r="F63" s="1049"/>
      <c r="G63" s="1049"/>
      <c r="H63" s="1049"/>
      <c r="I63" s="1049"/>
      <c r="J63" s="1050"/>
      <c r="K63" s="1050"/>
      <c r="L63" s="1043"/>
      <c r="M63" s="1051"/>
      <c r="N63" s="1051"/>
      <c r="O63" s="1052"/>
      <c r="P63" s="1051"/>
      <c r="Q63" s="1051"/>
      <c r="R63" s="1052"/>
      <c r="S63" s="1051"/>
      <c r="T63" s="1051"/>
      <c r="U63" s="1052"/>
      <c r="V63" s="1051"/>
      <c r="W63" s="1051"/>
      <c r="X63" s="1052"/>
      <c r="Y63" s="1053"/>
      <c r="Z63" s="1051"/>
      <c r="AA63" s="1051"/>
      <c r="AB63" s="1052"/>
      <c r="AC63" s="1051"/>
      <c r="AD63" s="1051"/>
      <c r="AE63" s="1052"/>
      <c r="AF63" s="1051"/>
      <c r="AG63" s="1051"/>
      <c r="AH63" s="1051"/>
      <c r="AI63" s="1051"/>
      <c r="AJ63" s="1052"/>
      <c r="AK63" s="1051"/>
      <c r="AL63" s="1051"/>
      <c r="AM63" s="1052"/>
      <c r="AN63" s="1051"/>
      <c r="AO63" s="1051"/>
      <c r="AP63" s="1052"/>
      <c r="AQ63" s="1051"/>
      <c r="AR63" s="1051"/>
      <c r="AS63" s="1052"/>
      <c r="AT63" s="1051"/>
      <c r="AU63" s="1051"/>
      <c r="AV63" s="1052"/>
      <c r="AW63" s="1051"/>
      <c r="AX63" s="1051"/>
      <c r="AY63" s="1053"/>
      <c r="AZ63" s="1051"/>
      <c r="BA63" s="1051"/>
      <c r="BB63" s="1053"/>
      <c r="BC63" s="1051"/>
      <c r="BD63" s="1051"/>
      <c r="BE63" s="1053"/>
      <c r="BF63" s="1051"/>
      <c r="BG63" s="1051"/>
      <c r="BH63" s="1053"/>
      <c r="BI63" s="1052"/>
      <c r="BJ63" s="1052"/>
      <c r="BK63" s="1052"/>
      <c r="BL63" s="1052"/>
      <c r="BM63" s="1052"/>
      <c r="BN63" s="1054"/>
      <c r="BO63" s="1076">
        <f t="shared" si="0"/>
        <v>0</v>
      </c>
      <c r="BP63" s="1051"/>
      <c r="BQ63" s="1052"/>
      <c r="BR63" s="1054"/>
      <c r="BS63" s="1053"/>
      <c r="BT63" s="1051"/>
      <c r="BU63" s="1051"/>
      <c r="BV63" s="1051"/>
      <c r="BW63" s="1052"/>
      <c r="BX63" s="1052"/>
      <c r="BY63" s="1052"/>
      <c r="BZ63" s="1052"/>
      <c r="CA63" s="1052"/>
      <c r="CB63" s="1053"/>
      <c r="CC63" s="1053"/>
      <c r="CD63" s="1053"/>
      <c r="CE63" s="1053"/>
      <c r="CF63" s="1053"/>
      <c r="CG63" s="1053"/>
      <c r="CH63" s="1053"/>
      <c r="CI63" s="1123"/>
      <c r="CJ63" s="1123"/>
      <c r="CK63" s="1123"/>
      <c r="CL63" s="1123"/>
      <c r="CM63" s="1123"/>
      <c r="CN63" s="1123"/>
      <c r="CO63" s="1123"/>
      <c r="CP63" s="1123"/>
      <c r="CQ63" s="1123"/>
      <c r="CR63" s="1123"/>
      <c r="CS63" s="1123"/>
      <c r="CT63" s="1123"/>
      <c r="CU63" s="1123"/>
      <c r="CV63" s="1123"/>
      <c r="CW63" s="1123"/>
      <c r="CX63" s="1123"/>
      <c r="CY63" s="1123"/>
      <c r="CZ63" s="1114"/>
      <c r="DA63" s="1114"/>
      <c r="DB63" s="1114"/>
      <c r="DC63" s="1114"/>
      <c r="DD63" s="1114"/>
      <c r="DE63" s="1114"/>
      <c r="DF63" s="1114"/>
      <c r="DG63" s="1114"/>
      <c r="DH63" s="1114"/>
      <c r="DI63" s="1114"/>
      <c r="DJ63" s="1114"/>
      <c r="DK63" s="1114"/>
      <c r="DL63" s="1114"/>
      <c r="DM63" s="1114"/>
      <c r="DN63" s="1114"/>
      <c r="DO63" s="1114"/>
      <c r="DP63" s="1114"/>
      <c r="DQ63" s="1114"/>
      <c r="DR63" s="1114"/>
      <c r="DS63" s="1114"/>
      <c r="DT63" s="1114"/>
      <c r="DU63" s="1114"/>
      <c r="DV63" s="1115"/>
      <c r="DW63" s="1116"/>
      <c r="DX63" s="1116"/>
      <c r="DY63" s="1116"/>
      <c r="DZ63" s="1116"/>
      <c r="EA63" s="1116"/>
      <c r="EB63" s="1116"/>
      <c r="EC63" s="1116"/>
      <c r="ED63" s="1116"/>
      <c r="EE63" s="1116"/>
      <c r="EF63" s="1116"/>
      <c r="EG63" s="1116"/>
      <c r="EH63" s="1116"/>
      <c r="EI63" s="1116"/>
      <c r="EJ63" s="1116"/>
      <c r="EK63" s="1116"/>
      <c r="EL63" s="1116"/>
      <c r="EM63" s="1116"/>
      <c r="EN63" s="1116"/>
      <c r="EO63" s="1116"/>
      <c r="EP63" s="1116"/>
      <c r="EQ63" s="1116"/>
      <c r="ER63" s="1116"/>
      <c r="ES63" s="1116"/>
    </row>
    <row r="64" spans="1:149" s="34" customFormat="1" ht="15" customHeight="1">
      <c r="A64" s="1185">
        <v>54</v>
      </c>
      <c r="B64" s="1041"/>
      <c r="C64" s="1050"/>
      <c r="D64" s="1050"/>
      <c r="E64" s="1050"/>
      <c r="F64" s="1049"/>
      <c r="G64" s="1049"/>
      <c r="H64" s="1049"/>
      <c r="I64" s="1049"/>
      <c r="J64" s="1050"/>
      <c r="K64" s="1050"/>
      <c r="L64" s="1043"/>
      <c r="M64" s="1051"/>
      <c r="N64" s="1051"/>
      <c r="O64" s="1052"/>
      <c r="P64" s="1051"/>
      <c r="Q64" s="1051"/>
      <c r="R64" s="1052"/>
      <c r="S64" s="1051"/>
      <c r="T64" s="1051"/>
      <c r="U64" s="1052"/>
      <c r="V64" s="1051"/>
      <c r="W64" s="1051"/>
      <c r="X64" s="1052"/>
      <c r="Y64" s="1053"/>
      <c r="Z64" s="1051"/>
      <c r="AA64" s="1051"/>
      <c r="AB64" s="1052"/>
      <c r="AC64" s="1051"/>
      <c r="AD64" s="1051"/>
      <c r="AE64" s="1052"/>
      <c r="AF64" s="1051"/>
      <c r="AG64" s="1051"/>
      <c r="AH64" s="1051"/>
      <c r="AI64" s="1051"/>
      <c r="AJ64" s="1052"/>
      <c r="AK64" s="1051"/>
      <c r="AL64" s="1051"/>
      <c r="AM64" s="1052"/>
      <c r="AN64" s="1051"/>
      <c r="AO64" s="1051"/>
      <c r="AP64" s="1052"/>
      <c r="AQ64" s="1051"/>
      <c r="AR64" s="1051"/>
      <c r="AS64" s="1052"/>
      <c r="AT64" s="1051"/>
      <c r="AU64" s="1051"/>
      <c r="AV64" s="1052"/>
      <c r="AW64" s="1051"/>
      <c r="AX64" s="1051"/>
      <c r="AY64" s="1053"/>
      <c r="AZ64" s="1051"/>
      <c r="BA64" s="1051"/>
      <c r="BB64" s="1053"/>
      <c r="BC64" s="1051"/>
      <c r="BD64" s="1051"/>
      <c r="BE64" s="1053"/>
      <c r="BF64" s="1051"/>
      <c r="BG64" s="1051"/>
      <c r="BH64" s="1053"/>
      <c r="BI64" s="1052"/>
      <c r="BJ64" s="1052"/>
      <c r="BK64" s="1052"/>
      <c r="BL64" s="1052"/>
      <c r="BM64" s="1052"/>
      <c r="BN64" s="1054"/>
      <c r="BO64" s="1076">
        <f t="shared" si="0"/>
        <v>0</v>
      </c>
      <c r="BP64" s="1051"/>
      <c r="BQ64" s="1052"/>
      <c r="BR64" s="1054"/>
      <c r="BS64" s="1053"/>
      <c r="BT64" s="1051"/>
      <c r="BU64" s="1051"/>
      <c r="BV64" s="1051"/>
      <c r="BW64" s="1052"/>
      <c r="BX64" s="1052"/>
      <c r="BY64" s="1052"/>
      <c r="BZ64" s="1052"/>
      <c r="CA64" s="1052"/>
      <c r="CB64" s="1053"/>
      <c r="CC64" s="1053"/>
      <c r="CD64" s="1053"/>
      <c r="CE64" s="1053"/>
      <c r="CF64" s="1053"/>
      <c r="CG64" s="1053"/>
      <c r="CH64" s="1053"/>
      <c r="CI64" s="1123"/>
      <c r="CJ64" s="1123"/>
      <c r="CK64" s="1123"/>
      <c r="CL64" s="1123"/>
      <c r="CM64" s="1123"/>
      <c r="CN64" s="1123"/>
      <c r="CO64" s="1123"/>
      <c r="CP64" s="1123"/>
      <c r="CQ64" s="1123"/>
      <c r="CR64" s="1123"/>
      <c r="CS64" s="1123"/>
      <c r="CT64" s="1123"/>
      <c r="CU64" s="1123"/>
      <c r="CV64" s="1123"/>
      <c r="CW64" s="1123"/>
      <c r="CX64" s="1123"/>
      <c r="CY64" s="1123"/>
      <c r="CZ64" s="1114"/>
      <c r="DA64" s="1114"/>
      <c r="DB64" s="1114"/>
      <c r="DC64" s="1114"/>
      <c r="DD64" s="1114"/>
      <c r="DE64" s="1114"/>
      <c r="DF64" s="1114"/>
      <c r="DG64" s="1114"/>
      <c r="DH64" s="1114"/>
      <c r="DI64" s="1114"/>
      <c r="DJ64" s="1114"/>
      <c r="DK64" s="1114"/>
      <c r="DL64" s="1114"/>
      <c r="DM64" s="1114"/>
      <c r="DN64" s="1114"/>
      <c r="DO64" s="1114"/>
      <c r="DP64" s="1114"/>
      <c r="DQ64" s="1114"/>
      <c r="DR64" s="1114"/>
      <c r="DS64" s="1114"/>
      <c r="DT64" s="1114"/>
      <c r="DU64" s="1114"/>
      <c r="DV64" s="1115"/>
      <c r="DW64" s="1116"/>
      <c r="DX64" s="1116"/>
      <c r="DY64" s="1116"/>
      <c r="DZ64" s="1116"/>
      <c r="EA64" s="1116"/>
      <c r="EB64" s="1116"/>
      <c r="EC64" s="1116"/>
      <c r="ED64" s="1116"/>
      <c r="EE64" s="1116"/>
      <c r="EF64" s="1116"/>
      <c r="EG64" s="1116"/>
      <c r="EH64" s="1116"/>
      <c r="EI64" s="1116"/>
      <c r="EJ64" s="1116"/>
      <c r="EK64" s="1116"/>
      <c r="EL64" s="1116"/>
      <c r="EM64" s="1116"/>
      <c r="EN64" s="1116"/>
      <c r="EO64" s="1116"/>
      <c r="EP64" s="1116"/>
      <c r="EQ64" s="1116"/>
      <c r="ER64" s="1116"/>
      <c r="ES64" s="1116"/>
    </row>
    <row r="65" spans="1:149" s="34" customFormat="1" ht="15" customHeight="1">
      <c r="A65" s="1185">
        <v>55</v>
      </c>
      <c r="B65" s="1041"/>
      <c r="C65" s="1050"/>
      <c r="D65" s="1050"/>
      <c r="E65" s="1050"/>
      <c r="F65" s="1049"/>
      <c r="G65" s="1049"/>
      <c r="H65" s="1049"/>
      <c r="I65" s="1049"/>
      <c r="J65" s="1050"/>
      <c r="K65" s="1050"/>
      <c r="L65" s="1043"/>
      <c r="M65" s="1051"/>
      <c r="N65" s="1051"/>
      <c r="O65" s="1052"/>
      <c r="P65" s="1051"/>
      <c r="Q65" s="1051"/>
      <c r="R65" s="1052"/>
      <c r="S65" s="1051"/>
      <c r="T65" s="1051"/>
      <c r="U65" s="1052"/>
      <c r="V65" s="1051"/>
      <c r="W65" s="1051"/>
      <c r="X65" s="1052"/>
      <c r="Y65" s="1053"/>
      <c r="Z65" s="1051"/>
      <c r="AA65" s="1051"/>
      <c r="AB65" s="1052"/>
      <c r="AC65" s="1051"/>
      <c r="AD65" s="1051"/>
      <c r="AE65" s="1052"/>
      <c r="AF65" s="1051"/>
      <c r="AG65" s="1051"/>
      <c r="AH65" s="1051"/>
      <c r="AI65" s="1051"/>
      <c r="AJ65" s="1052"/>
      <c r="AK65" s="1051"/>
      <c r="AL65" s="1051"/>
      <c r="AM65" s="1052"/>
      <c r="AN65" s="1051"/>
      <c r="AO65" s="1051"/>
      <c r="AP65" s="1052"/>
      <c r="AQ65" s="1051"/>
      <c r="AR65" s="1051"/>
      <c r="AS65" s="1052"/>
      <c r="AT65" s="1051"/>
      <c r="AU65" s="1051"/>
      <c r="AV65" s="1052"/>
      <c r="AW65" s="1051"/>
      <c r="AX65" s="1051"/>
      <c r="AY65" s="1053"/>
      <c r="AZ65" s="1051"/>
      <c r="BA65" s="1051"/>
      <c r="BB65" s="1053"/>
      <c r="BC65" s="1051"/>
      <c r="BD65" s="1051"/>
      <c r="BE65" s="1053"/>
      <c r="BF65" s="1051"/>
      <c r="BG65" s="1051"/>
      <c r="BH65" s="1053"/>
      <c r="BI65" s="1052"/>
      <c r="BJ65" s="1052"/>
      <c r="BK65" s="1052"/>
      <c r="BL65" s="1052"/>
      <c r="BM65" s="1052"/>
      <c r="BN65" s="1054"/>
      <c r="BO65" s="1076">
        <f t="shared" si="0"/>
        <v>0</v>
      </c>
      <c r="BP65" s="1051"/>
      <c r="BQ65" s="1052"/>
      <c r="BR65" s="1054"/>
      <c r="BS65" s="1053"/>
      <c r="BT65" s="1051"/>
      <c r="BU65" s="1051"/>
      <c r="BV65" s="1051"/>
      <c r="BW65" s="1052"/>
      <c r="BX65" s="1052"/>
      <c r="BY65" s="1052"/>
      <c r="BZ65" s="1052"/>
      <c r="CA65" s="1052"/>
      <c r="CB65" s="1053"/>
      <c r="CC65" s="1053"/>
      <c r="CD65" s="1053"/>
      <c r="CE65" s="1053"/>
      <c r="CF65" s="1053"/>
      <c r="CG65" s="1053"/>
      <c r="CH65" s="1053"/>
      <c r="CI65" s="1123"/>
      <c r="CJ65" s="1123"/>
      <c r="CK65" s="1123"/>
      <c r="CL65" s="1123"/>
      <c r="CM65" s="1123"/>
      <c r="CN65" s="1123"/>
      <c r="CO65" s="1123"/>
      <c r="CP65" s="1123"/>
      <c r="CQ65" s="1123"/>
      <c r="CR65" s="1123"/>
      <c r="CS65" s="1123"/>
      <c r="CT65" s="1123"/>
      <c r="CU65" s="1123"/>
      <c r="CV65" s="1123"/>
      <c r="CW65" s="1123"/>
      <c r="CX65" s="1123"/>
      <c r="CY65" s="1123"/>
      <c r="CZ65" s="1114"/>
      <c r="DA65" s="1114"/>
      <c r="DB65" s="1114"/>
      <c r="DC65" s="1114"/>
      <c r="DD65" s="1114"/>
      <c r="DE65" s="1114"/>
      <c r="DF65" s="1114"/>
      <c r="DG65" s="1114"/>
      <c r="DH65" s="1114"/>
      <c r="DI65" s="1114"/>
      <c r="DJ65" s="1114"/>
      <c r="DK65" s="1114"/>
      <c r="DL65" s="1114"/>
      <c r="DM65" s="1114"/>
      <c r="DN65" s="1114"/>
      <c r="DO65" s="1114"/>
      <c r="DP65" s="1114"/>
      <c r="DQ65" s="1114"/>
      <c r="DR65" s="1114"/>
      <c r="DS65" s="1114"/>
      <c r="DT65" s="1114"/>
      <c r="DU65" s="1114"/>
      <c r="DV65" s="1115"/>
      <c r="DW65" s="1116"/>
      <c r="DX65" s="1116"/>
      <c r="DY65" s="1116"/>
      <c r="DZ65" s="1116"/>
      <c r="EA65" s="1116"/>
      <c r="EB65" s="1116"/>
      <c r="EC65" s="1116"/>
      <c r="ED65" s="1116"/>
      <c r="EE65" s="1116"/>
      <c r="EF65" s="1116"/>
      <c r="EG65" s="1116"/>
      <c r="EH65" s="1116"/>
      <c r="EI65" s="1116"/>
      <c r="EJ65" s="1116"/>
      <c r="EK65" s="1116"/>
      <c r="EL65" s="1116"/>
      <c r="EM65" s="1116"/>
      <c r="EN65" s="1116"/>
      <c r="EO65" s="1116"/>
      <c r="EP65" s="1116"/>
      <c r="EQ65" s="1116"/>
      <c r="ER65" s="1116"/>
      <c r="ES65" s="1116"/>
    </row>
    <row r="66" spans="1:149" s="34" customFormat="1" ht="15" customHeight="1">
      <c r="A66" s="1185">
        <v>56</v>
      </c>
      <c r="B66" s="1041"/>
      <c r="C66" s="1050"/>
      <c r="D66" s="1050"/>
      <c r="E66" s="1050"/>
      <c r="F66" s="1049"/>
      <c r="G66" s="1049"/>
      <c r="H66" s="1049"/>
      <c r="I66" s="1049"/>
      <c r="J66" s="1050"/>
      <c r="K66" s="1050"/>
      <c r="L66" s="1043"/>
      <c r="M66" s="1051"/>
      <c r="N66" s="1051"/>
      <c r="O66" s="1052"/>
      <c r="P66" s="1051"/>
      <c r="Q66" s="1051"/>
      <c r="R66" s="1052"/>
      <c r="S66" s="1051"/>
      <c r="T66" s="1051"/>
      <c r="U66" s="1052"/>
      <c r="V66" s="1051"/>
      <c r="W66" s="1051"/>
      <c r="X66" s="1052"/>
      <c r="Y66" s="1053"/>
      <c r="Z66" s="1051"/>
      <c r="AA66" s="1051"/>
      <c r="AB66" s="1052"/>
      <c r="AC66" s="1051"/>
      <c r="AD66" s="1051"/>
      <c r="AE66" s="1052"/>
      <c r="AF66" s="1051"/>
      <c r="AG66" s="1051"/>
      <c r="AH66" s="1051"/>
      <c r="AI66" s="1051"/>
      <c r="AJ66" s="1052"/>
      <c r="AK66" s="1051"/>
      <c r="AL66" s="1051"/>
      <c r="AM66" s="1052"/>
      <c r="AN66" s="1051"/>
      <c r="AO66" s="1051"/>
      <c r="AP66" s="1052"/>
      <c r="AQ66" s="1051"/>
      <c r="AR66" s="1051"/>
      <c r="AS66" s="1052"/>
      <c r="AT66" s="1051"/>
      <c r="AU66" s="1051"/>
      <c r="AV66" s="1052"/>
      <c r="AW66" s="1051"/>
      <c r="AX66" s="1051"/>
      <c r="AY66" s="1053"/>
      <c r="AZ66" s="1051"/>
      <c r="BA66" s="1051"/>
      <c r="BB66" s="1053"/>
      <c r="BC66" s="1051"/>
      <c r="BD66" s="1051"/>
      <c r="BE66" s="1053"/>
      <c r="BF66" s="1051"/>
      <c r="BG66" s="1051"/>
      <c r="BH66" s="1053"/>
      <c r="BI66" s="1052"/>
      <c r="BJ66" s="1052"/>
      <c r="BK66" s="1052"/>
      <c r="BL66" s="1052"/>
      <c r="BM66" s="1052"/>
      <c r="BN66" s="1054"/>
      <c r="BO66" s="1076">
        <f t="shared" si="0"/>
        <v>0</v>
      </c>
      <c r="BP66" s="1051"/>
      <c r="BQ66" s="1052"/>
      <c r="BR66" s="1054"/>
      <c r="BS66" s="1053"/>
      <c r="BT66" s="1051"/>
      <c r="BU66" s="1051"/>
      <c r="BV66" s="1051"/>
      <c r="BW66" s="1052"/>
      <c r="BX66" s="1052"/>
      <c r="BY66" s="1052"/>
      <c r="BZ66" s="1052"/>
      <c r="CA66" s="1052"/>
      <c r="CB66" s="1053"/>
      <c r="CC66" s="1053"/>
      <c r="CD66" s="1053"/>
      <c r="CE66" s="1053"/>
      <c r="CF66" s="1053"/>
      <c r="CG66" s="1053"/>
      <c r="CH66" s="1053"/>
      <c r="CI66" s="1123"/>
      <c r="CJ66" s="1123"/>
      <c r="CK66" s="1123"/>
      <c r="CL66" s="1123"/>
      <c r="CM66" s="1123"/>
      <c r="CN66" s="1123"/>
      <c r="CO66" s="1123"/>
      <c r="CP66" s="1123"/>
      <c r="CQ66" s="1123"/>
      <c r="CR66" s="1123"/>
      <c r="CS66" s="1123"/>
      <c r="CT66" s="1123"/>
      <c r="CU66" s="1123"/>
      <c r="CV66" s="1123"/>
      <c r="CW66" s="1123"/>
      <c r="CX66" s="1123"/>
      <c r="CY66" s="1123"/>
      <c r="CZ66" s="1114"/>
      <c r="DA66" s="1114"/>
      <c r="DB66" s="1114"/>
      <c r="DC66" s="1114"/>
      <c r="DD66" s="1114"/>
      <c r="DE66" s="1114"/>
      <c r="DF66" s="1114"/>
      <c r="DG66" s="1114"/>
      <c r="DH66" s="1114"/>
      <c r="DI66" s="1114"/>
      <c r="DJ66" s="1114"/>
      <c r="DK66" s="1114"/>
      <c r="DL66" s="1114"/>
      <c r="DM66" s="1114"/>
      <c r="DN66" s="1114"/>
      <c r="DO66" s="1114"/>
      <c r="DP66" s="1114"/>
      <c r="DQ66" s="1114"/>
      <c r="DR66" s="1114"/>
      <c r="DS66" s="1114"/>
      <c r="DT66" s="1114"/>
      <c r="DU66" s="1114"/>
      <c r="DV66" s="1115"/>
      <c r="DW66" s="1116"/>
      <c r="DX66" s="1116"/>
      <c r="DY66" s="1116"/>
      <c r="DZ66" s="1116"/>
      <c r="EA66" s="1116"/>
      <c r="EB66" s="1116"/>
      <c r="EC66" s="1116"/>
      <c r="ED66" s="1116"/>
      <c r="EE66" s="1116"/>
      <c r="EF66" s="1116"/>
      <c r="EG66" s="1116"/>
      <c r="EH66" s="1116"/>
      <c r="EI66" s="1116"/>
      <c r="EJ66" s="1116"/>
      <c r="EK66" s="1116"/>
      <c r="EL66" s="1116"/>
      <c r="EM66" s="1116"/>
      <c r="EN66" s="1116"/>
      <c r="EO66" s="1116"/>
      <c r="EP66" s="1116"/>
      <c r="EQ66" s="1116"/>
      <c r="ER66" s="1116"/>
      <c r="ES66" s="1116"/>
    </row>
    <row r="67" spans="1:149" s="34" customFormat="1" ht="15" customHeight="1">
      <c r="A67" s="1185">
        <v>57</v>
      </c>
      <c r="B67" s="1041"/>
      <c r="C67" s="1050"/>
      <c r="D67" s="1050"/>
      <c r="E67" s="1050"/>
      <c r="F67" s="1049"/>
      <c r="G67" s="1049"/>
      <c r="H67" s="1049"/>
      <c r="I67" s="1049"/>
      <c r="J67" s="1050"/>
      <c r="K67" s="1050"/>
      <c r="L67" s="1043"/>
      <c r="M67" s="1051"/>
      <c r="N67" s="1051"/>
      <c r="O67" s="1052"/>
      <c r="P67" s="1051"/>
      <c r="Q67" s="1051"/>
      <c r="R67" s="1052"/>
      <c r="S67" s="1051"/>
      <c r="T67" s="1051"/>
      <c r="U67" s="1052"/>
      <c r="V67" s="1051"/>
      <c r="W67" s="1051"/>
      <c r="X67" s="1052"/>
      <c r="Y67" s="1053"/>
      <c r="Z67" s="1051"/>
      <c r="AA67" s="1051"/>
      <c r="AB67" s="1052"/>
      <c r="AC67" s="1051"/>
      <c r="AD67" s="1051"/>
      <c r="AE67" s="1052"/>
      <c r="AF67" s="1051"/>
      <c r="AG67" s="1051"/>
      <c r="AH67" s="1051"/>
      <c r="AI67" s="1051"/>
      <c r="AJ67" s="1052"/>
      <c r="AK67" s="1051"/>
      <c r="AL67" s="1051"/>
      <c r="AM67" s="1052"/>
      <c r="AN67" s="1051"/>
      <c r="AO67" s="1051"/>
      <c r="AP67" s="1052"/>
      <c r="AQ67" s="1051"/>
      <c r="AR67" s="1051"/>
      <c r="AS67" s="1052"/>
      <c r="AT67" s="1051"/>
      <c r="AU67" s="1051"/>
      <c r="AV67" s="1052"/>
      <c r="AW67" s="1051"/>
      <c r="AX67" s="1051"/>
      <c r="AY67" s="1053"/>
      <c r="AZ67" s="1051"/>
      <c r="BA67" s="1051"/>
      <c r="BB67" s="1053"/>
      <c r="BC67" s="1051"/>
      <c r="BD67" s="1051"/>
      <c r="BE67" s="1053"/>
      <c r="BF67" s="1051"/>
      <c r="BG67" s="1051"/>
      <c r="BH67" s="1053"/>
      <c r="BI67" s="1052"/>
      <c r="BJ67" s="1052"/>
      <c r="BK67" s="1052"/>
      <c r="BL67" s="1052"/>
      <c r="BM67" s="1052"/>
      <c r="BN67" s="1054"/>
      <c r="BO67" s="1076">
        <f t="shared" si="0"/>
        <v>0</v>
      </c>
      <c r="BP67" s="1051"/>
      <c r="BQ67" s="1052"/>
      <c r="BR67" s="1054"/>
      <c r="BS67" s="1053"/>
      <c r="BT67" s="1051"/>
      <c r="BU67" s="1051"/>
      <c r="BV67" s="1051"/>
      <c r="BW67" s="1052"/>
      <c r="BX67" s="1052"/>
      <c r="BY67" s="1052"/>
      <c r="BZ67" s="1052"/>
      <c r="CA67" s="1052"/>
      <c r="CB67" s="1053"/>
      <c r="CC67" s="1053"/>
      <c r="CD67" s="1053"/>
      <c r="CE67" s="1053"/>
      <c r="CF67" s="1053"/>
      <c r="CG67" s="1053"/>
      <c r="CH67" s="1053"/>
      <c r="CI67" s="1123"/>
      <c r="CJ67" s="1123"/>
      <c r="CK67" s="1123"/>
      <c r="CL67" s="1123"/>
      <c r="CM67" s="1123"/>
      <c r="CN67" s="1123"/>
      <c r="CO67" s="1123"/>
      <c r="CP67" s="1123"/>
      <c r="CQ67" s="1123"/>
      <c r="CR67" s="1123"/>
      <c r="CS67" s="1123"/>
      <c r="CT67" s="1123"/>
      <c r="CU67" s="1123"/>
      <c r="CV67" s="1123"/>
      <c r="CW67" s="1123"/>
      <c r="CX67" s="1123"/>
      <c r="CY67" s="1123"/>
      <c r="CZ67" s="1114"/>
      <c r="DA67" s="1114"/>
      <c r="DB67" s="1114"/>
      <c r="DC67" s="1114"/>
      <c r="DD67" s="1114"/>
      <c r="DE67" s="1114"/>
      <c r="DF67" s="1114"/>
      <c r="DG67" s="1114"/>
      <c r="DH67" s="1114"/>
      <c r="DI67" s="1114"/>
      <c r="DJ67" s="1114"/>
      <c r="DK67" s="1114"/>
      <c r="DL67" s="1114"/>
      <c r="DM67" s="1114"/>
      <c r="DN67" s="1114"/>
      <c r="DO67" s="1114"/>
      <c r="DP67" s="1114"/>
      <c r="DQ67" s="1114"/>
      <c r="DR67" s="1114"/>
      <c r="DS67" s="1114"/>
      <c r="DT67" s="1114"/>
      <c r="DU67" s="1114"/>
      <c r="DV67" s="1115"/>
      <c r="DW67" s="1116"/>
      <c r="DX67" s="1116"/>
      <c r="DY67" s="1116"/>
      <c r="DZ67" s="1116"/>
      <c r="EA67" s="1116"/>
      <c r="EB67" s="1116"/>
      <c r="EC67" s="1116"/>
      <c r="ED67" s="1116"/>
      <c r="EE67" s="1116"/>
      <c r="EF67" s="1116"/>
      <c r="EG67" s="1116"/>
      <c r="EH67" s="1116"/>
      <c r="EI67" s="1116"/>
      <c r="EJ67" s="1116"/>
      <c r="EK67" s="1116"/>
      <c r="EL67" s="1116"/>
      <c r="EM67" s="1116"/>
      <c r="EN67" s="1116"/>
      <c r="EO67" s="1116"/>
      <c r="EP67" s="1116"/>
      <c r="EQ67" s="1116"/>
      <c r="ER67" s="1116"/>
      <c r="ES67" s="1116"/>
    </row>
    <row r="68" spans="1:149" s="34" customFormat="1" ht="15" customHeight="1">
      <c r="A68" s="1185">
        <v>58</v>
      </c>
      <c r="B68" s="1041"/>
      <c r="C68" s="1050"/>
      <c r="D68" s="1050"/>
      <c r="E68" s="1050"/>
      <c r="F68" s="1049"/>
      <c r="G68" s="1049"/>
      <c r="H68" s="1049"/>
      <c r="I68" s="1049"/>
      <c r="J68" s="1050"/>
      <c r="K68" s="1050"/>
      <c r="L68" s="1043"/>
      <c r="M68" s="1051"/>
      <c r="N68" s="1051"/>
      <c r="O68" s="1052"/>
      <c r="P68" s="1051"/>
      <c r="Q68" s="1051"/>
      <c r="R68" s="1052"/>
      <c r="S68" s="1051"/>
      <c r="T68" s="1051"/>
      <c r="U68" s="1052"/>
      <c r="V68" s="1051"/>
      <c r="W68" s="1051"/>
      <c r="X68" s="1052"/>
      <c r="Y68" s="1053"/>
      <c r="Z68" s="1051"/>
      <c r="AA68" s="1051"/>
      <c r="AB68" s="1052"/>
      <c r="AC68" s="1051"/>
      <c r="AD68" s="1051"/>
      <c r="AE68" s="1052"/>
      <c r="AF68" s="1051"/>
      <c r="AG68" s="1051"/>
      <c r="AH68" s="1051"/>
      <c r="AI68" s="1051"/>
      <c r="AJ68" s="1052"/>
      <c r="AK68" s="1051"/>
      <c r="AL68" s="1051"/>
      <c r="AM68" s="1052"/>
      <c r="AN68" s="1051"/>
      <c r="AO68" s="1051"/>
      <c r="AP68" s="1052"/>
      <c r="AQ68" s="1051"/>
      <c r="AR68" s="1051"/>
      <c r="AS68" s="1052"/>
      <c r="AT68" s="1051"/>
      <c r="AU68" s="1051"/>
      <c r="AV68" s="1052"/>
      <c r="AW68" s="1051"/>
      <c r="AX68" s="1051"/>
      <c r="AY68" s="1053"/>
      <c r="AZ68" s="1051"/>
      <c r="BA68" s="1051"/>
      <c r="BB68" s="1053"/>
      <c r="BC68" s="1051"/>
      <c r="BD68" s="1051"/>
      <c r="BE68" s="1053"/>
      <c r="BF68" s="1051"/>
      <c r="BG68" s="1051"/>
      <c r="BH68" s="1053"/>
      <c r="BI68" s="1052"/>
      <c r="BJ68" s="1052"/>
      <c r="BK68" s="1052"/>
      <c r="BL68" s="1052"/>
      <c r="BM68" s="1052"/>
      <c r="BN68" s="1054"/>
      <c r="BO68" s="1076">
        <f t="shared" si="0"/>
        <v>0</v>
      </c>
      <c r="BP68" s="1051"/>
      <c r="BQ68" s="1052"/>
      <c r="BR68" s="1054"/>
      <c r="BS68" s="1053"/>
      <c r="BT68" s="1051"/>
      <c r="BU68" s="1051"/>
      <c r="BV68" s="1051"/>
      <c r="BW68" s="1052"/>
      <c r="BX68" s="1052"/>
      <c r="BY68" s="1052"/>
      <c r="BZ68" s="1052"/>
      <c r="CA68" s="1052"/>
      <c r="CB68" s="1053"/>
      <c r="CC68" s="1053"/>
      <c r="CD68" s="1053"/>
      <c r="CE68" s="1053"/>
      <c r="CF68" s="1053"/>
      <c r="CG68" s="1053"/>
      <c r="CH68" s="1053"/>
      <c r="CI68" s="1123"/>
      <c r="CJ68" s="1123"/>
      <c r="CK68" s="1123"/>
      <c r="CL68" s="1123"/>
      <c r="CM68" s="1123"/>
      <c r="CN68" s="1123"/>
      <c r="CO68" s="1123"/>
      <c r="CP68" s="1123"/>
      <c r="CQ68" s="1123"/>
      <c r="CR68" s="1123"/>
      <c r="CS68" s="1123"/>
      <c r="CT68" s="1123"/>
      <c r="CU68" s="1123"/>
      <c r="CV68" s="1123"/>
      <c r="CW68" s="1123"/>
      <c r="CX68" s="1123"/>
      <c r="CY68" s="1123"/>
      <c r="CZ68" s="1114"/>
      <c r="DA68" s="1114"/>
      <c r="DB68" s="1114"/>
      <c r="DC68" s="1114"/>
      <c r="DD68" s="1114"/>
      <c r="DE68" s="1114"/>
      <c r="DF68" s="1114"/>
      <c r="DG68" s="1114"/>
      <c r="DH68" s="1114"/>
      <c r="DI68" s="1114"/>
      <c r="DJ68" s="1114"/>
      <c r="DK68" s="1114"/>
      <c r="DL68" s="1114"/>
      <c r="DM68" s="1114"/>
      <c r="DN68" s="1114"/>
      <c r="DO68" s="1114"/>
      <c r="DP68" s="1114"/>
      <c r="DQ68" s="1114"/>
      <c r="DR68" s="1114"/>
      <c r="DS68" s="1114"/>
      <c r="DT68" s="1114"/>
      <c r="DU68" s="1114"/>
      <c r="DV68" s="1115"/>
      <c r="DW68" s="1116"/>
      <c r="DX68" s="1116"/>
      <c r="DY68" s="1116"/>
      <c r="DZ68" s="1116"/>
      <c r="EA68" s="1116"/>
      <c r="EB68" s="1116"/>
      <c r="EC68" s="1116"/>
      <c r="ED68" s="1116"/>
      <c r="EE68" s="1116"/>
      <c r="EF68" s="1116"/>
      <c r="EG68" s="1116"/>
      <c r="EH68" s="1116"/>
      <c r="EI68" s="1116"/>
      <c r="EJ68" s="1116"/>
      <c r="EK68" s="1116"/>
      <c r="EL68" s="1116"/>
      <c r="EM68" s="1116"/>
      <c r="EN68" s="1116"/>
      <c r="EO68" s="1116"/>
      <c r="EP68" s="1116"/>
      <c r="EQ68" s="1116"/>
      <c r="ER68" s="1116"/>
      <c r="ES68" s="1116"/>
    </row>
    <row r="69" spans="1:149" s="34" customFormat="1" ht="15" customHeight="1">
      <c r="A69" s="1185">
        <v>59</v>
      </c>
      <c r="B69" s="1041"/>
      <c r="C69" s="1050"/>
      <c r="D69" s="1050"/>
      <c r="E69" s="1050"/>
      <c r="F69" s="1049"/>
      <c r="G69" s="1049"/>
      <c r="H69" s="1049"/>
      <c r="I69" s="1049"/>
      <c r="J69" s="1050"/>
      <c r="K69" s="1050"/>
      <c r="L69" s="1043"/>
      <c r="M69" s="1051"/>
      <c r="N69" s="1051"/>
      <c r="O69" s="1052"/>
      <c r="P69" s="1051"/>
      <c r="Q69" s="1051"/>
      <c r="R69" s="1052"/>
      <c r="S69" s="1051"/>
      <c r="T69" s="1051"/>
      <c r="U69" s="1052"/>
      <c r="V69" s="1051"/>
      <c r="W69" s="1051"/>
      <c r="X69" s="1052"/>
      <c r="Y69" s="1053"/>
      <c r="Z69" s="1051"/>
      <c r="AA69" s="1051"/>
      <c r="AB69" s="1052"/>
      <c r="AC69" s="1051"/>
      <c r="AD69" s="1051"/>
      <c r="AE69" s="1052"/>
      <c r="AF69" s="1051"/>
      <c r="AG69" s="1051"/>
      <c r="AH69" s="1051"/>
      <c r="AI69" s="1051"/>
      <c r="AJ69" s="1052"/>
      <c r="AK69" s="1051"/>
      <c r="AL69" s="1051"/>
      <c r="AM69" s="1052"/>
      <c r="AN69" s="1051"/>
      <c r="AO69" s="1051"/>
      <c r="AP69" s="1052"/>
      <c r="AQ69" s="1051"/>
      <c r="AR69" s="1051"/>
      <c r="AS69" s="1052"/>
      <c r="AT69" s="1051"/>
      <c r="AU69" s="1051"/>
      <c r="AV69" s="1052"/>
      <c r="AW69" s="1051"/>
      <c r="AX69" s="1051"/>
      <c r="AY69" s="1053"/>
      <c r="AZ69" s="1051"/>
      <c r="BA69" s="1051"/>
      <c r="BB69" s="1053"/>
      <c r="BC69" s="1051"/>
      <c r="BD69" s="1051"/>
      <c r="BE69" s="1053"/>
      <c r="BF69" s="1051"/>
      <c r="BG69" s="1051"/>
      <c r="BH69" s="1053"/>
      <c r="BI69" s="1052"/>
      <c r="BJ69" s="1052"/>
      <c r="BK69" s="1052"/>
      <c r="BL69" s="1052"/>
      <c r="BM69" s="1052"/>
      <c r="BN69" s="1054"/>
      <c r="BO69" s="1076">
        <f t="shared" si="0"/>
        <v>0</v>
      </c>
      <c r="BP69" s="1051"/>
      <c r="BQ69" s="1052"/>
      <c r="BR69" s="1054"/>
      <c r="BS69" s="1053"/>
      <c r="BT69" s="1051"/>
      <c r="BU69" s="1051"/>
      <c r="BV69" s="1051"/>
      <c r="BW69" s="1052"/>
      <c r="BX69" s="1052"/>
      <c r="BY69" s="1052"/>
      <c r="BZ69" s="1052"/>
      <c r="CA69" s="1052"/>
      <c r="CB69" s="1053"/>
      <c r="CC69" s="1053"/>
      <c r="CD69" s="1053"/>
      <c r="CE69" s="1053"/>
      <c r="CF69" s="1053"/>
      <c r="CG69" s="1053"/>
      <c r="CH69" s="1053"/>
      <c r="CI69" s="1123"/>
      <c r="CJ69" s="1123"/>
      <c r="CK69" s="1123"/>
      <c r="CL69" s="1123"/>
      <c r="CM69" s="1123"/>
      <c r="CN69" s="1123"/>
      <c r="CO69" s="1123"/>
      <c r="CP69" s="1123"/>
      <c r="CQ69" s="1123"/>
      <c r="CR69" s="1123"/>
      <c r="CS69" s="1123"/>
      <c r="CT69" s="1123"/>
      <c r="CU69" s="1123"/>
      <c r="CV69" s="1123"/>
      <c r="CW69" s="1123"/>
      <c r="CX69" s="1123"/>
      <c r="CY69" s="1123"/>
      <c r="CZ69" s="1114"/>
      <c r="DA69" s="1114"/>
      <c r="DB69" s="1114"/>
      <c r="DC69" s="1114"/>
      <c r="DD69" s="1114"/>
      <c r="DE69" s="1114"/>
      <c r="DF69" s="1114"/>
      <c r="DG69" s="1114"/>
      <c r="DH69" s="1114"/>
      <c r="DI69" s="1114"/>
      <c r="DJ69" s="1114"/>
      <c r="DK69" s="1114"/>
      <c r="DL69" s="1114"/>
      <c r="DM69" s="1114"/>
      <c r="DN69" s="1114"/>
      <c r="DO69" s="1114"/>
      <c r="DP69" s="1114"/>
      <c r="DQ69" s="1114"/>
      <c r="DR69" s="1114"/>
      <c r="DS69" s="1114"/>
      <c r="DT69" s="1114"/>
      <c r="DU69" s="1114"/>
      <c r="DV69" s="1115"/>
      <c r="DW69" s="1116"/>
      <c r="DX69" s="1116"/>
      <c r="DY69" s="1116"/>
      <c r="DZ69" s="1116"/>
      <c r="EA69" s="1116"/>
      <c r="EB69" s="1116"/>
      <c r="EC69" s="1116"/>
      <c r="ED69" s="1116"/>
      <c r="EE69" s="1116"/>
      <c r="EF69" s="1116"/>
      <c r="EG69" s="1116"/>
      <c r="EH69" s="1116"/>
      <c r="EI69" s="1116"/>
      <c r="EJ69" s="1116"/>
      <c r="EK69" s="1116"/>
      <c r="EL69" s="1116"/>
      <c r="EM69" s="1116"/>
      <c r="EN69" s="1116"/>
      <c r="EO69" s="1116"/>
      <c r="EP69" s="1116"/>
      <c r="EQ69" s="1116"/>
      <c r="ER69" s="1116"/>
      <c r="ES69" s="1116"/>
    </row>
    <row r="70" spans="1:149" s="34" customFormat="1" ht="15" customHeight="1">
      <c r="A70" s="1185">
        <v>60</v>
      </c>
      <c r="B70" s="1041"/>
      <c r="C70" s="1050"/>
      <c r="D70" s="1050"/>
      <c r="E70" s="1050"/>
      <c r="F70" s="1049"/>
      <c r="G70" s="1049"/>
      <c r="H70" s="1049"/>
      <c r="I70" s="1049"/>
      <c r="J70" s="1050"/>
      <c r="K70" s="1050"/>
      <c r="L70" s="1043"/>
      <c r="M70" s="1051"/>
      <c r="N70" s="1051"/>
      <c r="O70" s="1052"/>
      <c r="P70" s="1051"/>
      <c r="Q70" s="1051"/>
      <c r="R70" s="1052"/>
      <c r="S70" s="1051"/>
      <c r="T70" s="1051"/>
      <c r="U70" s="1052"/>
      <c r="V70" s="1051"/>
      <c r="W70" s="1051"/>
      <c r="X70" s="1052"/>
      <c r="Y70" s="1053"/>
      <c r="Z70" s="1051"/>
      <c r="AA70" s="1051"/>
      <c r="AB70" s="1052"/>
      <c r="AC70" s="1051"/>
      <c r="AD70" s="1051"/>
      <c r="AE70" s="1052"/>
      <c r="AF70" s="1051"/>
      <c r="AG70" s="1051"/>
      <c r="AH70" s="1051"/>
      <c r="AI70" s="1051"/>
      <c r="AJ70" s="1052"/>
      <c r="AK70" s="1051"/>
      <c r="AL70" s="1051"/>
      <c r="AM70" s="1052"/>
      <c r="AN70" s="1051"/>
      <c r="AO70" s="1051"/>
      <c r="AP70" s="1052"/>
      <c r="AQ70" s="1051"/>
      <c r="AR70" s="1051"/>
      <c r="AS70" s="1052"/>
      <c r="AT70" s="1051"/>
      <c r="AU70" s="1051"/>
      <c r="AV70" s="1052"/>
      <c r="AW70" s="1051"/>
      <c r="AX70" s="1051"/>
      <c r="AY70" s="1053"/>
      <c r="AZ70" s="1051"/>
      <c r="BA70" s="1051"/>
      <c r="BB70" s="1053"/>
      <c r="BC70" s="1051"/>
      <c r="BD70" s="1051"/>
      <c r="BE70" s="1053"/>
      <c r="BF70" s="1051"/>
      <c r="BG70" s="1051"/>
      <c r="BH70" s="1053"/>
      <c r="BI70" s="1052"/>
      <c r="BJ70" s="1052"/>
      <c r="BK70" s="1052"/>
      <c r="BL70" s="1052"/>
      <c r="BM70" s="1052"/>
      <c r="BN70" s="1054"/>
      <c r="BO70" s="1076">
        <f t="shared" si="0"/>
        <v>0</v>
      </c>
      <c r="BP70" s="1051"/>
      <c r="BQ70" s="1052"/>
      <c r="BR70" s="1054"/>
      <c r="BS70" s="1053"/>
      <c r="BT70" s="1051"/>
      <c r="BU70" s="1051"/>
      <c r="BV70" s="1051"/>
      <c r="BW70" s="1052"/>
      <c r="BX70" s="1052"/>
      <c r="BY70" s="1052"/>
      <c r="BZ70" s="1052"/>
      <c r="CA70" s="1052"/>
      <c r="CB70" s="1053"/>
      <c r="CC70" s="1053"/>
      <c r="CD70" s="1053"/>
      <c r="CE70" s="1053"/>
      <c r="CF70" s="1053"/>
      <c r="CG70" s="1053"/>
      <c r="CH70" s="1053"/>
      <c r="CI70" s="1123"/>
      <c r="CJ70" s="1123"/>
      <c r="CK70" s="1123"/>
      <c r="CL70" s="1123"/>
      <c r="CM70" s="1123"/>
      <c r="CN70" s="1123"/>
      <c r="CO70" s="1123"/>
      <c r="CP70" s="1123"/>
      <c r="CQ70" s="1123"/>
      <c r="CR70" s="1123"/>
      <c r="CS70" s="1123"/>
      <c r="CT70" s="1123"/>
      <c r="CU70" s="1123"/>
      <c r="CV70" s="1123"/>
      <c r="CW70" s="1123"/>
      <c r="CX70" s="1123"/>
      <c r="CY70" s="1123"/>
      <c r="CZ70" s="1114"/>
      <c r="DA70" s="1114"/>
      <c r="DB70" s="1114"/>
      <c r="DC70" s="1114"/>
      <c r="DD70" s="1114"/>
      <c r="DE70" s="1114"/>
      <c r="DF70" s="1114"/>
      <c r="DG70" s="1114"/>
      <c r="DH70" s="1114"/>
      <c r="DI70" s="1114"/>
      <c r="DJ70" s="1114"/>
      <c r="DK70" s="1114"/>
      <c r="DL70" s="1114"/>
      <c r="DM70" s="1114"/>
      <c r="DN70" s="1114"/>
      <c r="DO70" s="1114"/>
      <c r="DP70" s="1114"/>
      <c r="DQ70" s="1114"/>
      <c r="DR70" s="1114"/>
      <c r="DS70" s="1114"/>
      <c r="DT70" s="1114"/>
      <c r="DU70" s="1114"/>
      <c r="DV70" s="1115"/>
      <c r="DW70" s="1116"/>
      <c r="DX70" s="1116"/>
      <c r="DY70" s="1116"/>
      <c r="DZ70" s="1116"/>
      <c r="EA70" s="1116"/>
      <c r="EB70" s="1116"/>
      <c r="EC70" s="1116"/>
      <c r="ED70" s="1116"/>
      <c r="EE70" s="1116"/>
      <c r="EF70" s="1116"/>
      <c r="EG70" s="1116"/>
      <c r="EH70" s="1116"/>
      <c r="EI70" s="1116"/>
      <c r="EJ70" s="1116"/>
      <c r="EK70" s="1116"/>
      <c r="EL70" s="1116"/>
      <c r="EM70" s="1116"/>
      <c r="EN70" s="1116"/>
      <c r="EO70" s="1116"/>
      <c r="EP70" s="1116"/>
      <c r="EQ70" s="1116"/>
      <c r="ER70" s="1116"/>
      <c r="ES70" s="1116"/>
    </row>
    <row r="71" spans="1:149" s="34" customFormat="1" ht="15" customHeight="1">
      <c r="A71" s="1185">
        <v>61</v>
      </c>
      <c r="B71" s="1041"/>
      <c r="C71" s="1050"/>
      <c r="D71" s="1050"/>
      <c r="E71" s="1050"/>
      <c r="F71" s="1049"/>
      <c r="G71" s="1049"/>
      <c r="H71" s="1049"/>
      <c r="I71" s="1049"/>
      <c r="J71" s="1050"/>
      <c r="K71" s="1050"/>
      <c r="L71" s="1043"/>
      <c r="M71" s="1051"/>
      <c r="N71" s="1051"/>
      <c r="O71" s="1052"/>
      <c r="P71" s="1051"/>
      <c r="Q71" s="1051"/>
      <c r="R71" s="1052"/>
      <c r="S71" s="1051"/>
      <c r="T71" s="1051"/>
      <c r="U71" s="1052"/>
      <c r="V71" s="1051"/>
      <c r="W71" s="1051"/>
      <c r="X71" s="1052"/>
      <c r="Y71" s="1053"/>
      <c r="Z71" s="1051"/>
      <c r="AA71" s="1051"/>
      <c r="AB71" s="1052"/>
      <c r="AC71" s="1051"/>
      <c r="AD71" s="1051"/>
      <c r="AE71" s="1052"/>
      <c r="AF71" s="1051"/>
      <c r="AG71" s="1051"/>
      <c r="AH71" s="1051"/>
      <c r="AI71" s="1051"/>
      <c r="AJ71" s="1052"/>
      <c r="AK71" s="1051"/>
      <c r="AL71" s="1051"/>
      <c r="AM71" s="1052"/>
      <c r="AN71" s="1051"/>
      <c r="AO71" s="1051"/>
      <c r="AP71" s="1052"/>
      <c r="AQ71" s="1051"/>
      <c r="AR71" s="1051"/>
      <c r="AS71" s="1052"/>
      <c r="AT71" s="1051"/>
      <c r="AU71" s="1051"/>
      <c r="AV71" s="1052"/>
      <c r="AW71" s="1051"/>
      <c r="AX71" s="1051"/>
      <c r="AY71" s="1053"/>
      <c r="AZ71" s="1051"/>
      <c r="BA71" s="1051"/>
      <c r="BB71" s="1053"/>
      <c r="BC71" s="1051"/>
      <c r="BD71" s="1051"/>
      <c r="BE71" s="1053"/>
      <c r="BF71" s="1051"/>
      <c r="BG71" s="1051"/>
      <c r="BH71" s="1053"/>
      <c r="BI71" s="1052"/>
      <c r="BJ71" s="1052"/>
      <c r="BK71" s="1052"/>
      <c r="BL71" s="1052"/>
      <c r="BM71" s="1052"/>
      <c r="BN71" s="1054"/>
      <c r="BO71" s="1076">
        <f t="shared" si="0"/>
        <v>0</v>
      </c>
      <c r="BP71" s="1051"/>
      <c r="BQ71" s="1052"/>
      <c r="BR71" s="1054"/>
      <c r="BS71" s="1053"/>
      <c r="BT71" s="1051"/>
      <c r="BU71" s="1051"/>
      <c r="BV71" s="1051"/>
      <c r="BW71" s="1052"/>
      <c r="BX71" s="1052"/>
      <c r="BY71" s="1052"/>
      <c r="BZ71" s="1052"/>
      <c r="CA71" s="1052"/>
      <c r="CB71" s="1053"/>
      <c r="CC71" s="1053"/>
      <c r="CD71" s="1053"/>
      <c r="CE71" s="1053"/>
      <c r="CF71" s="1053"/>
      <c r="CG71" s="1053"/>
      <c r="CH71" s="1053"/>
      <c r="CI71" s="1123"/>
      <c r="CJ71" s="1123"/>
      <c r="CK71" s="1123"/>
      <c r="CL71" s="1123"/>
      <c r="CM71" s="1123"/>
      <c r="CN71" s="1123"/>
      <c r="CO71" s="1123"/>
      <c r="CP71" s="1123"/>
      <c r="CQ71" s="1123"/>
      <c r="CR71" s="1123"/>
      <c r="CS71" s="1123"/>
      <c r="CT71" s="1123"/>
      <c r="CU71" s="1123"/>
      <c r="CV71" s="1123"/>
      <c r="CW71" s="1123"/>
      <c r="CX71" s="1123"/>
      <c r="CY71" s="1123"/>
      <c r="CZ71" s="1114"/>
      <c r="DA71" s="1114"/>
      <c r="DB71" s="1114"/>
      <c r="DC71" s="1114"/>
      <c r="DD71" s="1114"/>
      <c r="DE71" s="1114"/>
      <c r="DF71" s="1114"/>
      <c r="DG71" s="1114"/>
      <c r="DH71" s="1114"/>
      <c r="DI71" s="1114"/>
      <c r="DJ71" s="1114"/>
      <c r="DK71" s="1114"/>
      <c r="DL71" s="1114"/>
      <c r="DM71" s="1114"/>
      <c r="DN71" s="1114"/>
      <c r="DO71" s="1114"/>
      <c r="DP71" s="1114"/>
      <c r="DQ71" s="1114"/>
      <c r="DR71" s="1114"/>
      <c r="DS71" s="1114"/>
      <c r="DT71" s="1114"/>
      <c r="DU71" s="1114"/>
      <c r="DV71" s="1115"/>
      <c r="DW71" s="1116"/>
      <c r="DX71" s="1116"/>
      <c r="DY71" s="1116"/>
      <c r="DZ71" s="1116"/>
      <c r="EA71" s="1116"/>
      <c r="EB71" s="1116"/>
      <c r="EC71" s="1116"/>
      <c r="ED71" s="1116"/>
      <c r="EE71" s="1116"/>
      <c r="EF71" s="1116"/>
      <c r="EG71" s="1116"/>
      <c r="EH71" s="1116"/>
      <c r="EI71" s="1116"/>
      <c r="EJ71" s="1116"/>
      <c r="EK71" s="1116"/>
      <c r="EL71" s="1116"/>
      <c r="EM71" s="1116"/>
      <c r="EN71" s="1116"/>
      <c r="EO71" s="1116"/>
      <c r="EP71" s="1116"/>
      <c r="EQ71" s="1116"/>
      <c r="ER71" s="1116"/>
      <c r="ES71" s="1116"/>
    </row>
    <row r="72" spans="1:149" s="34" customFormat="1" ht="15" customHeight="1">
      <c r="A72" s="1185">
        <v>62</v>
      </c>
      <c r="B72" s="1041"/>
      <c r="C72" s="1050"/>
      <c r="D72" s="1050"/>
      <c r="E72" s="1050"/>
      <c r="F72" s="1049"/>
      <c r="G72" s="1049"/>
      <c r="H72" s="1049"/>
      <c r="I72" s="1049"/>
      <c r="J72" s="1050"/>
      <c r="K72" s="1050"/>
      <c r="L72" s="1043"/>
      <c r="M72" s="1051"/>
      <c r="N72" s="1051"/>
      <c r="O72" s="1052"/>
      <c r="P72" s="1051"/>
      <c r="Q72" s="1051"/>
      <c r="R72" s="1052"/>
      <c r="S72" s="1051"/>
      <c r="T72" s="1051"/>
      <c r="U72" s="1052"/>
      <c r="V72" s="1051"/>
      <c r="W72" s="1051"/>
      <c r="X72" s="1052"/>
      <c r="Y72" s="1053"/>
      <c r="Z72" s="1051"/>
      <c r="AA72" s="1051"/>
      <c r="AB72" s="1052"/>
      <c r="AC72" s="1051"/>
      <c r="AD72" s="1051"/>
      <c r="AE72" s="1052"/>
      <c r="AF72" s="1051"/>
      <c r="AG72" s="1051"/>
      <c r="AH72" s="1051"/>
      <c r="AI72" s="1051"/>
      <c r="AJ72" s="1052"/>
      <c r="AK72" s="1051"/>
      <c r="AL72" s="1051"/>
      <c r="AM72" s="1052"/>
      <c r="AN72" s="1051"/>
      <c r="AO72" s="1051"/>
      <c r="AP72" s="1052"/>
      <c r="AQ72" s="1051"/>
      <c r="AR72" s="1051"/>
      <c r="AS72" s="1052"/>
      <c r="AT72" s="1051"/>
      <c r="AU72" s="1051"/>
      <c r="AV72" s="1052"/>
      <c r="AW72" s="1051"/>
      <c r="AX72" s="1051"/>
      <c r="AY72" s="1053"/>
      <c r="AZ72" s="1051"/>
      <c r="BA72" s="1051"/>
      <c r="BB72" s="1053"/>
      <c r="BC72" s="1051"/>
      <c r="BD72" s="1051"/>
      <c r="BE72" s="1053"/>
      <c r="BF72" s="1051"/>
      <c r="BG72" s="1051"/>
      <c r="BH72" s="1053"/>
      <c r="BI72" s="1052"/>
      <c r="BJ72" s="1052"/>
      <c r="BK72" s="1052"/>
      <c r="BL72" s="1052"/>
      <c r="BM72" s="1052"/>
      <c r="BN72" s="1054"/>
      <c r="BO72" s="1076">
        <f t="shared" si="0"/>
        <v>0</v>
      </c>
      <c r="BP72" s="1051"/>
      <c r="BQ72" s="1052"/>
      <c r="BR72" s="1054"/>
      <c r="BS72" s="1053"/>
      <c r="BT72" s="1051"/>
      <c r="BU72" s="1051"/>
      <c r="BV72" s="1051"/>
      <c r="BW72" s="1052"/>
      <c r="BX72" s="1052"/>
      <c r="BY72" s="1052"/>
      <c r="BZ72" s="1052"/>
      <c r="CA72" s="1052"/>
      <c r="CB72" s="1053"/>
      <c r="CC72" s="1053"/>
      <c r="CD72" s="1053"/>
      <c r="CE72" s="1053"/>
      <c r="CF72" s="1053"/>
      <c r="CG72" s="1053"/>
      <c r="CH72" s="1053"/>
      <c r="CI72" s="1123"/>
      <c r="CJ72" s="1123"/>
      <c r="CK72" s="1123"/>
      <c r="CL72" s="1123"/>
      <c r="CM72" s="1123"/>
      <c r="CN72" s="1123"/>
      <c r="CO72" s="1123"/>
      <c r="CP72" s="1123"/>
      <c r="CQ72" s="1123"/>
      <c r="CR72" s="1123"/>
      <c r="CS72" s="1123"/>
      <c r="CT72" s="1123"/>
      <c r="CU72" s="1123"/>
      <c r="CV72" s="1123"/>
      <c r="CW72" s="1123"/>
      <c r="CX72" s="1123"/>
      <c r="CY72" s="1123"/>
      <c r="CZ72" s="1114"/>
      <c r="DA72" s="1114"/>
      <c r="DB72" s="1114"/>
      <c r="DC72" s="1114"/>
      <c r="DD72" s="1114"/>
      <c r="DE72" s="1114"/>
      <c r="DF72" s="1114"/>
      <c r="DG72" s="1114"/>
      <c r="DH72" s="1114"/>
      <c r="DI72" s="1114"/>
      <c r="DJ72" s="1114"/>
      <c r="DK72" s="1114"/>
      <c r="DL72" s="1114"/>
      <c r="DM72" s="1114"/>
      <c r="DN72" s="1114"/>
      <c r="DO72" s="1114"/>
      <c r="DP72" s="1114"/>
      <c r="DQ72" s="1114"/>
      <c r="DR72" s="1114"/>
      <c r="DS72" s="1114"/>
      <c r="DT72" s="1114"/>
      <c r="DU72" s="1114"/>
      <c r="DV72" s="1115"/>
      <c r="DW72" s="1116"/>
      <c r="DX72" s="1116"/>
      <c r="DY72" s="1116"/>
      <c r="DZ72" s="1116"/>
      <c r="EA72" s="1116"/>
      <c r="EB72" s="1116"/>
      <c r="EC72" s="1116"/>
      <c r="ED72" s="1116"/>
      <c r="EE72" s="1116"/>
      <c r="EF72" s="1116"/>
      <c r="EG72" s="1116"/>
      <c r="EH72" s="1116"/>
      <c r="EI72" s="1116"/>
      <c r="EJ72" s="1116"/>
      <c r="EK72" s="1116"/>
      <c r="EL72" s="1116"/>
      <c r="EM72" s="1116"/>
      <c r="EN72" s="1116"/>
      <c r="EO72" s="1116"/>
      <c r="EP72" s="1116"/>
      <c r="EQ72" s="1116"/>
      <c r="ER72" s="1116"/>
      <c r="ES72" s="1116"/>
    </row>
    <row r="73" spans="1:149" s="34" customFormat="1" ht="15" customHeight="1">
      <c r="A73" s="1185">
        <v>63</v>
      </c>
      <c r="B73" s="1041"/>
      <c r="C73" s="1050"/>
      <c r="D73" s="1050"/>
      <c r="E73" s="1050"/>
      <c r="F73" s="1049"/>
      <c r="G73" s="1049"/>
      <c r="H73" s="1049"/>
      <c r="I73" s="1049"/>
      <c r="J73" s="1050"/>
      <c r="K73" s="1050"/>
      <c r="L73" s="1043"/>
      <c r="M73" s="1051"/>
      <c r="N73" s="1051"/>
      <c r="O73" s="1052"/>
      <c r="P73" s="1051"/>
      <c r="Q73" s="1051"/>
      <c r="R73" s="1052"/>
      <c r="S73" s="1051"/>
      <c r="T73" s="1051"/>
      <c r="U73" s="1052"/>
      <c r="V73" s="1051"/>
      <c r="W73" s="1051"/>
      <c r="X73" s="1052"/>
      <c r="Y73" s="1053"/>
      <c r="Z73" s="1051"/>
      <c r="AA73" s="1051"/>
      <c r="AB73" s="1052"/>
      <c r="AC73" s="1051"/>
      <c r="AD73" s="1051"/>
      <c r="AE73" s="1052"/>
      <c r="AF73" s="1051"/>
      <c r="AG73" s="1051"/>
      <c r="AH73" s="1051"/>
      <c r="AI73" s="1051"/>
      <c r="AJ73" s="1052"/>
      <c r="AK73" s="1051"/>
      <c r="AL73" s="1051"/>
      <c r="AM73" s="1052"/>
      <c r="AN73" s="1051"/>
      <c r="AO73" s="1051"/>
      <c r="AP73" s="1052"/>
      <c r="AQ73" s="1051"/>
      <c r="AR73" s="1051"/>
      <c r="AS73" s="1052"/>
      <c r="AT73" s="1051"/>
      <c r="AU73" s="1051"/>
      <c r="AV73" s="1052"/>
      <c r="AW73" s="1051"/>
      <c r="AX73" s="1051"/>
      <c r="AY73" s="1053"/>
      <c r="AZ73" s="1051"/>
      <c r="BA73" s="1051"/>
      <c r="BB73" s="1053"/>
      <c r="BC73" s="1051"/>
      <c r="BD73" s="1051"/>
      <c r="BE73" s="1053"/>
      <c r="BF73" s="1051"/>
      <c r="BG73" s="1051"/>
      <c r="BH73" s="1053"/>
      <c r="BI73" s="1052"/>
      <c r="BJ73" s="1052"/>
      <c r="BK73" s="1052"/>
      <c r="BL73" s="1052"/>
      <c r="BM73" s="1052"/>
      <c r="BN73" s="1054"/>
      <c r="BO73" s="1076">
        <f t="shared" si="0"/>
        <v>0</v>
      </c>
      <c r="BP73" s="1051"/>
      <c r="BQ73" s="1052"/>
      <c r="BR73" s="1054"/>
      <c r="BS73" s="1053"/>
      <c r="BT73" s="1051"/>
      <c r="BU73" s="1051"/>
      <c r="BV73" s="1051"/>
      <c r="BW73" s="1052"/>
      <c r="BX73" s="1052"/>
      <c r="BY73" s="1052"/>
      <c r="BZ73" s="1052"/>
      <c r="CA73" s="1052"/>
      <c r="CB73" s="1053"/>
      <c r="CC73" s="1053"/>
      <c r="CD73" s="1053"/>
      <c r="CE73" s="1053"/>
      <c r="CF73" s="1053"/>
      <c r="CG73" s="1053"/>
      <c r="CH73" s="1053"/>
      <c r="CI73" s="1123"/>
      <c r="CJ73" s="1123"/>
      <c r="CK73" s="1123"/>
      <c r="CL73" s="1123"/>
      <c r="CM73" s="1123"/>
      <c r="CN73" s="1123"/>
      <c r="CO73" s="1123"/>
      <c r="CP73" s="1123"/>
      <c r="CQ73" s="1123"/>
      <c r="CR73" s="1123"/>
      <c r="CS73" s="1123"/>
      <c r="CT73" s="1123"/>
      <c r="CU73" s="1123"/>
      <c r="CV73" s="1123"/>
      <c r="CW73" s="1123"/>
      <c r="CX73" s="1123"/>
      <c r="CY73" s="1123"/>
      <c r="CZ73" s="1114"/>
      <c r="DA73" s="1114"/>
      <c r="DB73" s="1114"/>
      <c r="DC73" s="1114"/>
      <c r="DD73" s="1114"/>
      <c r="DE73" s="1114"/>
      <c r="DF73" s="1114"/>
      <c r="DG73" s="1114"/>
      <c r="DH73" s="1114"/>
      <c r="DI73" s="1114"/>
      <c r="DJ73" s="1114"/>
      <c r="DK73" s="1114"/>
      <c r="DL73" s="1114"/>
      <c r="DM73" s="1114"/>
      <c r="DN73" s="1114"/>
      <c r="DO73" s="1114"/>
      <c r="DP73" s="1114"/>
      <c r="DQ73" s="1114"/>
      <c r="DR73" s="1114"/>
      <c r="DS73" s="1114"/>
      <c r="DT73" s="1114"/>
      <c r="DU73" s="1114"/>
      <c r="DV73" s="1115"/>
      <c r="DW73" s="1116"/>
      <c r="DX73" s="1116"/>
      <c r="DY73" s="1116"/>
      <c r="DZ73" s="1116"/>
      <c r="EA73" s="1116"/>
      <c r="EB73" s="1116"/>
      <c r="EC73" s="1116"/>
      <c r="ED73" s="1116"/>
      <c r="EE73" s="1116"/>
      <c r="EF73" s="1116"/>
      <c r="EG73" s="1116"/>
      <c r="EH73" s="1116"/>
      <c r="EI73" s="1116"/>
      <c r="EJ73" s="1116"/>
      <c r="EK73" s="1116"/>
      <c r="EL73" s="1116"/>
      <c r="EM73" s="1116"/>
      <c r="EN73" s="1116"/>
      <c r="EO73" s="1116"/>
      <c r="EP73" s="1116"/>
      <c r="EQ73" s="1116"/>
      <c r="ER73" s="1116"/>
      <c r="ES73" s="1116"/>
    </row>
    <row r="74" spans="1:149" s="34" customFormat="1" ht="15" customHeight="1">
      <c r="A74" s="1185">
        <v>64</v>
      </c>
      <c r="B74" s="1041"/>
      <c r="C74" s="1050"/>
      <c r="D74" s="1050"/>
      <c r="E74" s="1050"/>
      <c r="F74" s="1049"/>
      <c r="G74" s="1049"/>
      <c r="H74" s="1049"/>
      <c r="I74" s="1049"/>
      <c r="J74" s="1050"/>
      <c r="K74" s="1050"/>
      <c r="L74" s="1043"/>
      <c r="M74" s="1051"/>
      <c r="N74" s="1051"/>
      <c r="O74" s="1052"/>
      <c r="P74" s="1051"/>
      <c r="Q74" s="1051"/>
      <c r="R74" s="1052"/>
      <c r="S74" s="1051"/>
      <c r="T74" s="1051"/>
      <c r="U74" s="1052"/>
      <c r="V74" s="1051"/>
      <c r="W74" s="1051"/>
      <c r="X74" s="1052"/>
      <c r="Y74" s="1053"/>
      <c r="Z74" s="1051"/>
      <c r="AA74" s="1051"/>
      <c r="AB74" s="1052"/>
      <c r="AC74" s="1051"/>
      <c r="AD74" s="1051"/>
      <c r="AE74" s="1052"/>
      <c r="AF74" s="1051"/>
      <c r="AG74" s="1051"/>
      <c r="AH74" s="1051"/>
      <c r="AI74" s="1051"/>
      <c r="AJ74" s="1052"/>
      <c r="AK74" s="1051"/>
      <c r="AL74" s="1051"/>
      <c r="AM74" s="1052"/>
      <c r="AN74" s="1051"/>
      <c r="AO74" s="1051"/>
      <c r="AP74" s="1052"/>
      <c r="AQ74" s="1051"/>
      <c r="AR74" s="1051"/>
      <c r="AS74" s="1052"/>
      <c r="AT74" s="1051"/>
      <c r="AU74" s="1051"/>
      <c r="AV74" s="1052"/>
      <c r="AW74" s="1051"/>
      <c r="AX74" s="1051"/>
      <c r="AY74" s="1053"/>
      <c r="AZ74" s="1051"/>
      <c r="BA74" s="1051"/>
      <c r="BB74" s="1053"/>
      <c r="BC74" s="1051"/>
      <c r="BD74" s="1051"/>
      <c r="BE74" s="1053"/>
      <c r="BF74" s="1051"/>
      <c r="BG74" s="1051"/>
      <c r="BH74" s="1053"/>
      <c r="BI74" s="1052"/>
      <c r="BJ74" s="1052"/>
      <c r="BK74" s="1052"/>
      <c r="BL74" s="1052"/>
      <c r="BM74" s="1052"/>
      <c r="BN74" s="1054"/>
      <c r="BO74" s="1076">
        <f t="shared" si="0"/>
        <v>0</v>
      </c>
      <c r="BP74" s="1051"/>
      <c r="BQ74" s="1052"/>
      <c r="BR74" s="1054"/>
      <c r="BS74" s="1053"/>
      <c r="BT74" s="1051"/>
      <c r="BU74" s="1051"/>
      <c r="BV74" s="1051"/>
      <c r="BW74" s="1052"/>
      <c r="BX74" s="1052"/>
      <c r="BY74" s="1052"/>
      <c r="BZ74" s="1052"/>
      <c r="CA74" s="1052"/>
      <c r="CB74" s="1053"/>
      <c r="CC74" s="1053"/>
      <c r="CD74" s="1053"/>
      <c r="CE74" s="1053"/>
      <c r="CF74" s="1053"/>
      <c r="CG74" s="1053"/>
      <c r="CH74" s="1053"/>
      <c r="CI74" s="1123"/>
      <c r="CJ74" s="1123"/>
      <c r="CK74" s="1123"/>
      <c r="CL74" s="1123"/>
      <c r="CM74" s="1123"/>
      <c r="CN74" s="1123"/>
      <c r="CO74" s="1123"/>
      <c r="CP74" s="1123"/>
      <c r="CQ74" s="1123"/>
      <c r="CR74" s="1123"/>
      <c r="CS74" s="1123"/>
      <c r="CT74" s="1123"/>
      <c r="CU74" s="1123"/>
      <c r="CV74" s="1123"/>
      <c r="CW74" s="1123"/>
      <c r="CX74" s="1123"/>
      <c r="CY74" s="1123"/>
      <c r="CZ74" s="1114"/>
      <c r="DA74" s="1114"/>
      <c r="DB74" s="1114"/>
      <c r="DC74" s="1114"/>
      <c r="DD74" s="1114"/>
      <c r="DE74" s="1114"/>
      <c r="DF74" s="1114"/>
      <c r="DG74" s="1114"/>
      <c r="DH74" s="1114"/>
      <c r="DI74" s="1114"/>
      <c r="DJ74" s="1114"/>
      <c r="DK74" s="1114"/>
      <c r="DL74" s="1114"/>
      <c r="DM74" s="1114"/>
      <c r="DN74" s="1114"/>
      <c r="DO74" s="1114"/>
      <c r="DP74" s="1114"/>
      <c r="DQ74" s="1114"/>
      <c r="DR74" s="1114"/>
      <c r="DS74" s="1114"/>
      <c r="DT74" s="1114"/>
      <c r="DU74" s="1114"/>
      <c r="DV74" s="1115"/>
      <c r="DW74" s="1116"/>
      <c r="DX74" s="1116"/>
      <c r="DY74" s="1116"/>
      <c r="DZ74" s="1116"/>
      <c r="EA74" s="1116"/>
      <c r="EB74" s="1116"/>
      <c r="EC74" s="1116"/>
      <c r="ED74" s="1116"/>
      <c r="EE74" s="1116"/>
      <c r="EF74" s="1116"/>
      <c r="EG74" s="1116"/>
      <c r="EH74" s="1116"/>
      <c r="EI74" s="1116"/>
      <c r="EJ74" s="1116"/>
      <c r="EK74" s="1116"/>
      <c r="EL74" s="1116"/>
      <c r="EM74" s="1116"/>
      <c r="EN74" s="1116"/>
      <c r="EO74" s="1116"/>
      <c r="EP74" s="1116"/>
      <c r="EQ74" s="1116"/>
      <c r="ER74" s="1116"/>
      <c r="ES74" s="1116"/>
    </row>
    <row r="75" spans="1:149" s="34" customFormat="1" ht="15" customHeight="1">
      <c r="A75" s="1185">
        <v>65</v>
      </c>
      <c r="B75" s="1041"/>
      <c r="C75" s="1050"/>
      <c r="D75" s="1050"/>
      <c r="E75" s="1050"/>
      <c r="F75" s="1049"/>
      <c r="G75" s="1049"/>
      <c r="H75" s="1049"/>
      <c r="I75" s="1049"/>
      <c r="J75" s="1050"/>
      <c r="K75" s="1050"/>
      <c r="L75" s="1043"/>
      <c r="M75" s="1051"/>
      <c r="N75" s="1051"/>
      <c r="O75" s="1052"/>
      <c r="P75" s="1051"/>
      <c r="Q75" s="1051"/>
      <c r="R75" s="1052"/>
      <c r="S75" s="1051"/>
      <c r="T75" s="1051"/>
      <c r="U75" s="1052"/>
      <c r="V75" s="1051"/>
      <c r="W75" s="1051"/>
      <c r="X75" s="1052"/>
      <c r="Y75" s="1053"/>
      <c r="Z75" s="1051"/>
      <c r="AA75" s="1051"/>
      <c r="AB75" s="1052"/>
      <c r="AC75" s="1051"/>
      <c r="AD75" s="1051"/>
      <c r="AE75" s="1052"/>
      <c r="AF75" s="1051"/>
      <c r="AG75" s="1051"/>
      <c r="AH75" s="1051"/>
      <c r="AI75" s="1051"/>
      <c r="AJ75" s="1052"/>
      <c r="AK75" s="1051"/>
      <c r="AL75" s="1051"/>
      <c r="AM75" s="1052"/>
      <c r="AN75" s="1051"/>
      <c r="AO75" s="1051"/>
      <c r="AP75" s="1052"/>
      <c r="AQ75" s="1051"/>
      <c r="AR75" s="1051"/>
      <c r="AS75" s="1052"/>
      <c r="AT75" s="1051"/>
      <c r="AU75" s="1051"/>
      <c r="AV75" s="1052"/>
      <c r="AW75" s="1051"/>
      <c r="AX75" s="1051"/>
      <c r="AY75" s="1053"/>
      <c r="AZ75" s="1051"/>
      <c r="BA75" s="1051"/>
      <c r="BB75" s="1053"/>
      <c r="BC75" s="1051"/>
      <c r="BD75" s="1051"/>
      <c r="BE75" s="1053"/>
      <c r="BF75" s="1051"/>
      <c r="BG75" s="1051"/>
      <c r="BH75" s="1053"/>
      <c r="BI75" s="1052"/>
      <c r="BJ75" s="1052"/>
      <c r="BK75" s="1052"/>
      <c r="BL75" s="1052"/>
      <c r="BM75" s="1052"/>
      <c r="BN75" s="1054"/>
      <c r="BO75" s="1076">
        <f t="shared" si="0"/>
        <v>0</v>
      </c>
      <c r="BP75" s="1051"/>
      <c r="BQ75" s="1052"/>
      <c r="BR75" s="1054"/>
      <c r="BS75" s="1053"/>
      <c r="BT75" s="1051"/>
      <c r="BU75" s="1051"/>
      <c r="BV75" s="1051"/>
      <c r="BW75" s="1052"/>
      <c r="BX75" s="1052"/>
      <c r="BY75" s="1052"/>
      <c r="BZ75" s="1052"/>
      <c r="CA75" s="1052"/>
      <c r="CB75" s="1053"/>
      <c r="CC75" s="1053"/>
      <c r="CD75" s="1053"/>
      <c r="CE75" s="1053"/>
      <c r="CF75" s="1053"/>
      <c r="CG75" s="1053"/>
      <c r="CH75" s="1053"/>
      <c r="CI75" s="1123"/>
      <c r="CJ75" s="1123"/>
      <c r="CK75" s="1123"/>
      <c r="CL75" s="1123"/>
      <c r="CM75" s="1123"/>
      <c r="CN75" s="1123"/>
      <c r="CO75" s="1123"/>
      <c r="CP75" s="1123"/>
      <c r="CQ75" s="1123"/>
      <c r="CR75" s="1123"/>
      <c r="CS75" s="1123"/>
      <c r="CT75" s="1123"/>
      <c r="CU75" s="1123"/>
      <c r="CV75" s="1123"/>
      <c r="CW75" s="1123"/>
      <c r="CX75" s="1123"/>
      <c r="CY75" s="1123"/>
      <c r="CZ75" s="1114"/>
      <c r="DA75" s="1114"/>
      <c r="DB75" s="1114"/>
      <c r="DC75" s="1114"/>
      <c r="DD75" s="1114"/>
      <c r="DE75" s="1114"/>
      <c r="DF75" s="1114"/>
      <c r="DG75" s="1114"/>
      <c r="DH75" s="1114"/>
      <c r="DI75" s="1114"/>
      <c r="DJ75" s="1114"/>
      <c r="DK75" s="1114"/>
      <c r="DL75" s="1114"/>
      <c r="DM75" s="1114"/>
      <c r="DN75" s="1114"/>
      <c r="DO75" s="1114"/>
      <c r="DP75" s="1114"/>
      <c r="DQ75" s="1114"/>
      <c r="DR75" s="1114"/>
      <c r="DS75" s="1114"/>
      <c r="DT75" s="1114"/>
      <c r="DU75" s="1114"/>
      <c r="DV75" s="1115"/>
      <c r="DW75" s="1116"/>
      <c r="DX75" s="1116"/>
      <c r="DY75" s="1116"/>
      <c r="DZ75" s="1116"/>
      <c r="EA75" s="1116"/>
      <c r="EB75" s="1116"/>
      <c r="EC75" s="1116"/>
      <c r="ED75" s="1116"/>
      <c r="EE75" s="1116"/>
      <c r="EF75" s="1116"/>
      <c r="EG75" s="1116"/>
      <c r="EH75" s="1116"/>
      <c r="EI75" s="1116"/>
      <c r="EJ75" s="1116"/>
      <c r="EK75" s="1116"/>
      <c r="EL75" s="1116"/>
      <c r="EM75" s="1116"/>
      <c r="EN75" s="1116"/>
      <c r="EO75" s="1116"/>
      <c r="EP75" s="1116"/>
      <c r="EQ75" s="1116"/>
      <c r="ER75" s="1116"/>
      <c r="ES75" s="1116"/>
    </row>
    <row r="76" spans="1:149" s="34" customFormat="1" ht="15" customHeight="1">
      <c r="A76" s="1185">
        <v>66</v>
      </c>
      <c r="B76" s="1041"/>
      <c r="C76" s="1050"/>
      <c r="D76" s="1050"/>
      <c r="E76" s="1050"/>
      <c r="F76" s="1049"/>
      <c r="G76" s="1049"/>
      <c r="H76" s="1049"/>
      <c r="I76" s="1049"/>
      <c r="J76" s="1050"/>
      <c r="K76" s="1050"/>
      <c r="L76" s="1043"/>
      <c r="M76" s="1051"/>
      <c r="N76" s="1051"/>
      <c r="O76" s="1052"/>
      <c r="P76" s="1051"/>
      <c r="Q76" s="1051"/>
      <c r="R76" s="1052"/>
      <c r="S76" s="1051"/>
      <c r="T76" s="1051"/>
      <c r="U76" s="1052"/>
      <c r="V76" s="1051"/>
      <c r="W76" s="1051"/>
      <c r="X76" s="1052"/>
      <c r="Y76" s="1053"/>
      <c r="Z76" s="1051"/>
      <c r="AA76" s="1051"/>
      <c r="AB76" s="1052"/>
      <c r="AC76" s="1051"/>
      <c r="AD76" s="1051"/>
      <c r="AE76" s="1052"/>
      <c r="AF76" s="1051"/>
      <c r="AG76" s="1051"/>
      <c r="AH76" s="1051"/>
      <c r="AI76" s="1051"/>
      <c r="AJ76" s="1052"/>
      <c r="AK76" s="1051"/>
      <c r="AL76" s="1051"/>
      <c r="AM76" s="1052"/>
      <c r="AN76" s="1051"/>
      <c r="AO76" s="1051"/>
      <c r="AP76" s="1052"/>
      <c r="AQ76" s="1051"/>
      <c r="AR76" s="1051"/>
      <c r="AS76" s="1052"/>
      <c r="AT76" s="1051"/>
      <c r="AU76" s="1051"/>
      <c r="AV76" s="1052"/>
      <c r="AW76" s="1051"/>
      <c r="AX76" s="1051"/>
      <c r="AY76" s="1053"/>
      <c r="AZ76" s="1051"/>
      <c r="BA76" s="1051"/>
      <c r="BB76" s="1053"/>
      <c r="BC76" s="1051"/>
      <c r="BD76" s="1051"/>
      <c r="BE76" s="1053"/>
      <c r="BF76" s="1051"/>
      <c r="BG76" s="1051"/>
      <c r="BH76" s="1053"/>
      <c r="BI76" s="1052"/>
      <c r="BJ76" s="1052"/>
      <c r="BK76" s="1052"/>
      <c r="BL76" s="1052"/>
      <c r="BM76" s="1052"/>
      <c r="BN76" s="1054"/>
      <c r="BO76" s="1076">
        <f t="shared" ref="BO76:BO139" si="2">H76</f>
        <v>0</v>
      </c>
      <c r="BP76" s="1051"/>
      <c r="BQ76" s="1052"/>
      <c r="BR76" s="1054"/>
      <c r="BS76" s="1053"/>
      <c r="BT76" s="1051"/>
      <c r="BU76" s="1051"/>
      <c r="BV76" s="1051"/>
      <c r="BW76" s="1052"/>
      <c r="BX76" s="1052"/>
      <c r="BY76" s="1052"/>
      <c r="BZ76" s="1052"/>
      <c r="CA76" s="1052"/>
      <c r="CB76" s="1053"/>
      <c r="CC76" s="1053"/>
      <c r="CD76" s="1053"/>
      <c r="CE76" s="1053"/>
      <c r="CF76" s="1053"/>
      <c r="CG76" s="1053"/>
      <c r="CH76" s="1053"/>
      <c r="CI76" s="1123"/>
      <c r="CJ76" s="1123"/>
      <c r="CK76" s="1123"/>
      <c r="CL76" s="1123"/>
      <c r="CM76" s="1123"/>
      <c r="CN76" s="1123"/>
      <c r="CO76" s="1123"/>
      <c r="CP76" s="1123"/>
      <c r="CQ76" s="1123"/>
      <c r="CR76" s="1123"/>
      <c r="CS76" s="1123"/>
      <c r="CT76" s="1123"/>
      <c r="CU76" s="1123"/>
      <c r="CV76" s="1123"/>
      <c r="CW76" s="1123"/>
      <c r="CX76" s="1123"/>
      <c r="CY76" s="1123"/>
      <c r="CZ76" s="1114"/>
      <c r="DA76" s="1114"/>
      <c r="DB76" s="1114"/>
      <c r="DC76" s="1114"/>
      <c r="DD76" s="1114"/>
      <c r="DE76" s="1114"/>
      <c r="DF76" s="1114"/>
      <c r="DG76" s="1114"/>
      <c r="DH76" s="1114"/>
      <c r="DI76" s="1114"/>
      <c r="DJ76" s="1114"/>
      <c r="DK76" s="1114"/>
      <c r="DL76" s="1114"/>
      <c r="DM76" s="1114"/>
      <c r="DN76" s="1114"/>
      <c r="DO76" s="1114"/>
      <c r="DP76" s="1114"/>
      <c r="DQ76" s="1114"/>
      <c r="DR76" s="1114"/>
      <c r="DS76" s="1114"/>
      <c r="DT76" s="1114"/>
      <c r="DU76" s="1114"/>
      <c r="DV76" s="1115"/>
      <c r="DW76" s="1116"/>
      <c r="DX76" s="1116"/>
      <c r="DY76" s="1116"/>
      <c r="DZ76" s="1116"/>
      <c r="EA76" s="1116"/>
      <c r="EB76" s="1116"/>
      <c r="EC76" s="1116"/>
      <c r="ED76" s="1116"/>
      <c r="EE76" s="1116"/>
      <c r="EF76" s="1116"/>
      <c r="EG76" s="1116"/>
      <c r="EH76" s="1116"/>
      <c r="EI76" s="1116"/>
      <c r="EJ76" s="1116"/>
      <c r="EK76" s="1116"/>
      <c r="EL76" s="1116"/>
      <c r="EM76" s="1116"/>
      <c r="EN76" s="1116"/>
      <c r="EO76" s="1116"/>
      <c r="EP76" s="1116"/>
      <c r="EQ76" s="1116"/>
      <c r="ER76" s="1116"/>
      <c r="ES76" s="1116"/>
    </row>
    <row r="77" spans="1:149" s="34" customFormat="1" ht="15" customHeight="1">
      <c r="A77" s="1185">
        <v>67</v>
      </c>
      <c r="B77" s="1041"/>
      <c r="C77" s="1050"/>
      <c r="D77" s="1050"/>
      <c r="E77" s="1050"/>
      <c r="F77" s="1049"/>
      <c r="G77" s="1049"/>
      <c r="H77" s="1049"/>
      <c r="I77" s="1049"/>
      <c r="J77" s="1050"/>
      <c r="K77" s="1050"/>
      <c r="L77" s="1043"/>
      <c r="M77" s="1051"/>
      <c r="N77" s="1051"/>
      <c r="O77" s="1052"/>
      <c r="P77" s="1051"/>
      <c r="Q77" s="1051"/>
      <c r="R77" s="1052"/>
      <c r="S77" s="1051"/>
      <c r="T77" s="1051"/>
      <c r="U77" s="1052"/>
      <c r="V77" s="1051"/>
      <c r="W77" s="1051"/>
      <c r="X77" s="1052"/>
      <c r="Y77" s="1053"/>
      <c r="Z77" s="1051"/>
      <c r="AA77" s="1051"/>
      <c r="AB77" s="1052"/>
      <c r="AC77" s="1051"/>
      <c r="AD77" s="1051"/>
      <c r="AE77" s="1052"/>
      <c r="AF77" s="1051"/>
      <c r="AG77" s="1051"/>
      <c r="AH77" s="1051"/>
      <c r="AI77" s="1051"/>
      <c r="AJ77" s="1052"/>
      <c r="AK77" s="1051"/>
      <c r="AL77" s="1051"/>
      <c r="AM77" s="1052"/>
      <c r="AN77" s="1051"/>
      <c r="AO77" s="1051"/>
      <c r="AP77" s="1052"/>
      <c r="AQ77" s="1051"/>
      <c r="AR77" s="1051"/>
      <c r="AS77" s="1052"/>
      <c r="AT77" s="1051"/>
      <c r="AU77" s="1051"/>
      <c r="AV77" s="1052"/>
      <c r="AW77" s="1051"/>
      <c r="AX77" s="1051"/>
      <c r="AY77" s="1053"/>
      <c r="AZ77" s="1051"/>
      <c r="BA77" s="1051"/>
      <c r="BB77" s="1053"/>
      <c r="BC77" s="1051"/>
      <c r="BD77" s="1051"/>
      <c r="BE77" s="1053"/>
      <c r="BF77" s="1051"/>
      <c r="BG77" s="1051"/>
      <c r="BH77" s="1053"/>
      <c r="BI77" s="1052"/>
      <c r="BJ77" s="1052"/>
      <c r="BK77" s="1052"/>
      <c r="BL77" s="1052"/>
      <c r="BM77" s="1052"/>
      <c r="BN77" s="1054"/>
      <c r="BO77" s="1076">
        <f t="shared" si="2"/>
        <v>0</v>
      </c>
      <c r="BP77" s="1051"/>
      <c r="BQ77" s="1052"/>
      <c r="BR77" s="1054"/>
      <c r="BS77" s="1053"/>
      <c r="BT77" s="1051"/>
      <c r="BU77" s="1051"/>
      <c r="BV77" s="1051"/>
      <c r="BW77" s="1052"/>
      <c r="BX77" s="1052"/>
      <c r="BY77" s="1052"/>
      <c r="BZ77" s="1052"/>
      <c r="CA77" s="1052"/>
      <c r="CB77" s="1053"/>
      <c r="CC77" s="1053"/>
      <c r="CD77" s="1053"/>
      <c r="CE77" s="1053"/>
      <c r="CF77" s="1053"/>
      <c r="CG77" s="1053"/>
      <c r="CH77" s="1053"/>
      <c r="CI77" s="1123"/>
      <c r="CJ77" s="1123"/>
      <c r="CK77" s="1123"/>
      <c r="CL77" s="1123"/>
      <c r="CM77" s="1123"/>
      <c r="CN77" s="1123"/>
      <c r="CO77" s="1123"/>
      <c r="CP77" s="1123"/>
      <c r="CQ77" s="1123"/>
      <c r="CR77" s="1123"/>
      <c r="CS77" s="1123"/>
      <c r="CT77" s="1123"/>
      <c r="CU77" s="1123"/>
      <c r="CV77" s="1123"/>
      <c r="CW77" s="1123"/>
      <c r="CX77" s="1123"/>
      <c r="CY77" s="1123"/>
      <c r="CZ77" s="1114"/>
      <c r="DA77" s="1114"/>
      <c r="DB77" s="1114"/>
      <c r="DC77" s="1114"/>
      <c r="DD77" s="1114"/>
      <c r="DE77" s="1114"/>
      <c r="DF77" s="1114"/>
      <c r="DG77" s="1114"/>
      <c r="DH77" s="1114"/>
      <c r="DI77" s="1114"/>
      <c r="DJ77" s="1114"/>
      <c r="DK77" s="1114"/>
      <c r="DL77" s="1114"/>
      <c r="DM77" s="1114"/>
      <c r="DN77" s="1114"/>
      <c r="DO77" s="1114"/>
      <c r="DP77" s="1114"/>
      <c r="DQ77" s="1114"/>
      <c r="DR77" s="1114"/>
      <c r="DS77" s="1114"/>
      <c r="DT77" s="1114"/>
      <c r="DU77" s="1114"/>
      <c r="DV77" s="1115"/>
      <c r="DW77" s="1116"/>
      <c r="DX77" s="1116"/>
      <c r="DY77" s="1116"/>
      <c r="DZ77" s="1116"/>
      <c r="EA77" s="1116"/>
      <c r="EB77" s="1116"/>
      <c r="EC77" s="1116"/>
      <c r="ED77" s="1116"/>
      <c r="EE77" s="1116"/>
      <c r="EF77" s="1116"/>
      <c r="EG77" s="1116"/>
      <c r="EH77" s="1116"/>
      <c r="EI77" s="1116"/>
      <c r="EJ77" s="1116"/>
      <c r="EK77" s="1116"/>
      <c r="EL77" s="1116"/>
      <c r="EM77" s="1116"/>
      <c r="EN77" s="1116"/>
      <c r="EO77" s="1116"/>
      <c r="EP77" s="1116"/>
      <c r="EQ77" s="1116"/>
      <c r="ER77" s="1116"/>
      <c r="ES77" s="1116"/>
    </row>
    <row r="78" spans="1:149" s="34" customFormat="1" ht="15" customHeight="1">
      <c r="A78" s="1185">
        <v>68</v>
      </c>
      <c r="B78" s="1041"/>
      <c r="C78" s="1050"/>
      <c r="D78" s="1050"/>
      <c r="E78" s="1050"/>
      <c r="F78" s="1049"/>
      <c r="G78" s="1049"/>
      <c r="H78" s="1049"/>
      <c r="I78" s="1049"/>
      <c r="J78" s="1050"/>
      <c r="K78" s="1050"/>
      <c r="L78" s="1043"/>
      <c r="M78" s="1051"/>
      <c r="N78" s="1051"/>
      <c r="O78" s="1052"/>
      <c r="P78" s="1051"/>
      <c r="Q78" s="1051"/>
      <c r="R78" s="1052"/>
      <c r="S78" s="1051"/>
      <c r="T78" s="1051"/>
      <c r="U78" s="1052"/>
      <c r="V78" s="1051"/>
      <c r="W78" s="1051"/>
      <c r="X78" s="1052"/>
      <c r="Y78" s="1053"/>
      <c r="Z78" s="1051"/>
      <c r="AA78" s="1051"/>
      <c r="AB78" s="1052"/>
      <c r="AC78" s="1051"/>
      <c r="AD78" s="1051"/>
      <c r="AE78" s="1052"/>
      <c r="AF78" s="1051"/>
      <c r="AG78" s="1051"/>
      <c r="AH78" s="1051"/>
      <c r="AI78" s="1051"/>
      <c r="AJ78" s="1052"/>
      <c r="AK78" s="1051"/>
      <c r="AL78" s="1051"/>
      <c r="AM78" s="1052"/>
      <c r="AN78" s="1051"/>
      <c r="AO78" s="1051"/>
      <c r="AP78" s="1052"/>
      <c r="AQ78" s="1051"/>
      <c r="AR78" s="1051"/>
      <c r="AS78" s="1052"/>
      <c r="AT78" s="1051"/>
      <c r="AU78" s="1051"/>
      <c r="AV78" s="1052"/>
      <c r="AW78" s="1051"/>
      <c r="AX78" s="1051"/>
      <c r="AY78" s="1053"/>
      <c r="AZ78" s="1051"/>
      <c r="BA78" s="1051"/>
      <c r="BB78" s="1053"/>
      <c r="BC78" s="1051"/>
      <c r="BD78" s="1051"/>
      <c r="BE78" s="1053"/>
      <c r="BF78" s="1051"/>
      <c r="BG78" s="1051"/>
      <c r="BH78" s="1053"/>
      <c r="BI78" s="1052"/>
      <c r="BJ78" s="1052"/>
      <c r="BK78" s="1052"/>
      <c r="BL78" s="1052"/>
      <c r="BM78" s="1052"/>
      <c r="BN78" s="1054"/>
      <c r="BO78" s="1076">
        <f t="shared" si="2"/>
        <v>0</v>
      </c>
      <c r="BP78" s="1051"/>
      <c r="BQ78" s="1052"/>
      <c r="BR78" s="1054"/>
      <c r="BS78" s="1053"/>
      <c r="BT78" s="1051"/>
      <c r="BU78" s="1051"/>
      <c r="BV78" s="1051"/>
      <c r="BW78" s="1052"/>
      <c r="BX78" s="1052"/>
      <c r="BY78" s="1052"/>
      <c r="BZ78" s="1052"/>
      <c r="CA78" s="1052"/>
      <c r="CB78" s="1053"/>
      <c r="CC78" s="1053"/>
      <c r="CD78" s="1053"/>
      <c r="CE78" s="1053"/>
      <c r="CF78" s="1053"/>
      <c r="CG78" s="1053"/>
      <c r="CH78" s="1053"/>
      <c r="CI78" s="1123"/>
      <c r="CJ78" s="1123"/>
      <c r="CK78" s="1123"/>
      <c r="CL78" s="1123"/>
      <c r="CM78" s="1123"/>
      <c r="CN78" s="1123"/>
      <c r="CO78" s="1123"/>
      <c r="CP78" s="1123"/>
      <c r="CQ78" s="1123"/>
      <c r="CR78" s="1123"/>
      <c r="CS78" s="1123"/>
      <c r="CT78" s="1123"/>
      <c r="CU78" s="1123"/>
      <c r="CV78" s="1123"/>
      <c r="CW78" s="1123"/>
      <c r="CX78" s="1123"/>
      <c r="CY78" s="1123"/>
      <c r="CZ78" s="1114"/>
      <c r="DA78" s="1114"/>
      <c r="DB78" s="1114"/>
      <c r="DC78" s="1114"/>
      <c r="DD78" s="1114"/>
      <c r="DE78" s="1114"/>
      <c r="DF78" s="1114"/>
      <c r="DG78" s="1114"/>
      <c r="DH78" s="1114"/>
      <c r="DI78" s="1114"/>
      <c r="DJ78" s="1114"/>
      <c r="DK78" s="1114"/>
      <c r="DL78" s="1114"/>
      <c r="DM78" s="1114"/>
      <c r="DN78" s="1114"/>
      <c r="DO78" s="1114"/>
      <c r="DP78" s="1114"/>
      <c r="DQ78" s="1114"/>
      <c r="DR78" s="1114"/>
      <c r="DS78" s="1114"/>
      <c r="DT78" s="1114"/>
      <c r="DU78" s="1114"/>
      <c r="DV78" s="1115"/>
      <c r="DW78" s="1116"/>
      <c r="DX78" s="1116"/>
      <c r="DY78" s="1116"/>
      <c r="DZ78" s="1116"/>
      <c r="EA78" s="1116"/>
      <c r="EB78" s="1116"/>
      <c r="EC78" s="1116"/>
      <c r="ED78" s="1116"/>
      <c r="EE78" s="1116"/>
      <c r="EF78" s="1116"/>
      <c r="EG78" s="1116"/>
      <c r="EH78" s="1116"/>
      <c r="EI78" s="1116"/>
      <c r="EJ78" s="1116"/>
      <c r="EK78" s="1116"/>
      <c r="EL78" s="1116"/>
      <c r="EM78" s="1116"/>
      <c r="EN78" s="1116"/>
      <c r="EO78" s="1116"/>
      <c r="EP78" s="1116"/>
      <c r="EQ78" s="1116"/>
      <c r="ER78" s="1116"/>
      <c r="ES78" s="1116"/>
    </row>
    <row r="79" spans="1:149" s="34" customFormat="1" ht="15" customHeight="1">
      <c r="A79" s="1185">
        <v>69</v>
      </c>
      <c r="B79" s="1041"/>
      <c r="C79" s="1050"/>
      <c r="D79" s="1050"/>
      <c r="E79" s="1050"/>
      <c r="F79" s="1049"/>
      <c r="G79" s="1049"/>
      <c r="H79" s="1049"/>
      <c r="I79" s="1049"/>
      <c r="J79" s="1050"/>
      <c r="K79" s="1050"/>
      <c r="L79" s="1043"/>
      <c r="M79" s="1051"/>
      <c r="N79" s="1051"/>
      <c r="O79" s="1052"/>
      <c r="P79" s="1051"/>
      <c r="Q79" s="1051"/>
      <c r="R79" s="1052"/>
      <c r="S79" s="1051"/>
      <c r="T79" s="1051"/>
      <c r="U79" s="1052"/>
      <c r="V79" s="1051"/>
      <c r="W79" s="1051"/>
      <c r="X79" s="1052"/>
      <c r="Y79" s="1053"/>
      <c r="Z79" s="1051"/>
      <c r="AA79" s="1051"/>
      <c r="AB79" s="1052"/>
      <c r="AC79" s="1051"/>
      <c r="AD79" s="1051"/>
      <c r="AE79" s="1052"/>
      <c r="AF79" s="1051"/>
      <c r="AG79" s="1051"/>
      <c r="AH79" s="1051"/>
      <c r="AI79" s="1051"/>
      <c r="AJ79" s="1052"/>
      <c r="AK79" s="1051"/>
      <c r="AL79" s="1051"/>
      <c r="AM79" s="1052"/>
      <c r="AN79" s="1051"/>
      <c r="AO79" s="1051"/>
      <c r="AP79" s="1052"/>
      <c r="AQ79" s="1051"/>
      <c r="AR79" s="1051"/>
      <c r="AS79" s="1052"/>
      <c r="AT79" s="1051"/>
      <c r="AU79" s="1051"/>
      <c r="AV79" s="1052"/>
      <c r="AW79" s="1051"/>
      <c r="AX79" s="1051"/>
      <c r="AY79" s="1053"/>
      <c r="AZ79" s="1051"/>
      <c r="BA79" s="1051"/>
      <c r="BB79" s="1053"/>
      <c r="BC79" s="1051"/>
      <c r="BD79" s="1051"/>
      <c r="BE79" s="1053"/>
      <c r="BF79" s="1051"/>
      <c r="BG79" s="1051"/>
      <c r="BH79" s="1053"/>
      <c r="BI79" s="1052"/>
      <c r="BJ79" s="1052"/>
      <c r="BK79" s="1052"/>
      <c r="BL79" s="1052"/>
      <c r="BM79" s="1052"/>
      <c r="BN79" s="1054"/>
      <c r="BO79" s="1076">
        <f t="shared" si="2"/>
        <v>0</v>
      </c>
      <c r="BP79" s="1051"/>
      <c r="BQ79" s="1052"/>
      <c r="BR79" s="1054"/>
      <c r="BS79" s="1053"/>
      <c r="BT79" s="1051"/>
      <c r="BU79" s="1051"/>
      <c r="BV79" s="1051"/>
      <c r="BW79" s="1052"/>
      <c r="BX79" s="1052"/>
      <c r="BY79" s="1052"/>
      <c r="BZ79" s="1052"/>
      <c r="CA79" s="1052"/>
      <c r="CB79" s="1053"/>
      <c r="CC79" s="1053"/>
      <c r="CD79" s="1053"/>
      <c r="CE79" s="1053"/>
      <c r="CF79" s="1053"/>
      <c r="CG79" s="1053"/>
      <c r="CH79" s="1053"/>
      <c r="CI79" s="1123"/>
      <c r="CJ79" s="1123"/>
      <c r="CK79" s="1123"/>
      <c r="CL79" s="1123"/>
      <c r="CM79" s="1123"/>
      <c r="CN79" s="1123"/>
      <c r="CO79" s="1123"/>
      <c r="CP79" s="1123"/>
      <c r="CQ79" s="1123"/>
      <c r="CR79" s="1123"/>
      <c r="CS79" s="1123"/>
      <c r="CT79" s="1123"/>
      <c r="CU79" s="1123"/>
      <c r="CV79" s="1123"/>
      <c r="CW79" s="1123"/>
      <c r="CX79" s="1123"/>
      <c r="CY79" s="1123"/>
      <c r="CZ79" s="1114"/>
      <c r="DA79" s="1114"/>
      <c r="DB79" s="1114"/>
      <c r="DC79" s="1114"/>
      <c r="DD79" s="1114"/>
      <c r="DE79" s="1114"/>
      <c r="DF79" s="1114"/>
      <c r="DG79" s="1114"/>
      <c r="DH79" s="1114"/>
      <c r="DI79" s="1114"/>
      <c r="DJ79" s="1114"/>
      <c r="DK79" s="1114"/>
      <c r="DL79" s="1114"/>
      <c r="DM79" s="1114"/>
      <c r="DN79" s="1114"/>
      <c r="DO79" s="1114"/>
      <c r="DP79" s="1114"/>
      <c r="DQ79" s="1114"/>
      <c r="DR79" s="1114"/>
      <c r="DS79" s="1114"/>
      <c r="DT79" s="1114"/>
      <c r="DU79" s="1114"/>
      <c r="DV79" s="1115"/>
      <c r="DW79" s="1116"/>
      <c r="DX79" s="1116"/>
      <c r="DY79" s="1116"/>
      <c r="DZ79" s="1116"/>
      <c r="EA79" s="1116"/>
      <c r="EB79" s="1116"/>
      <c r="EC79" s="1116"/>
      <c r="ED79" s="1116"/>
      <c r="EE79" s="1116"/>
      <c r="EF79" s="1116"/>
      <c r="EG79" s="1116"/>
      <c r="EH79" s="1116"/>
      <c r="EI79" s="1116"/>
      <c r="EJ79" s="1116"/>
      <c r="EK79" s="1116"/>
      <c r="EL79" s="1116"/>
      <c r="EM79" s="1116"/>
      <c r="EN79" s="1116"/>
      <c r="EO79" s="1116"/>
      <c r="EP79" s="1116"/>
      <c r="EQ79" s="1116"/>
      <c r="ER79" s="1116"/>
      <c r="ES79" s="1116"/>
    </row>
    <row r="80" spans="1:149" s="34" customFormat="1" ht="15" customHeight="1">
      <c r="A80" s="1185">
        <v>70</v>
      </c>
      <c r="B80" s="1041"/>
      <c r="C80" s="1050"/>
      <c r="D80" s="1050"/>
      <c r="E80" s="1050"/>
      <c r="F80" s="1049"/>
      <c r="G80" s="1049"/>
      <c r="H80" s="1049"/>
      <c r="I80" s="1049"/>
      <c r="J80" s="1050"/>
      <c r="K80" s="1050"/>
      <c r="L80" s="1043"/>
      <c r="M80" s="1051"/>
      <c r="N80" s="1051"/>
      <c r="O80" s="1052"/>
      <c r="P80" s="1051"/>
      <c r="Q80" s="1051"/>
      <c r="R80" s="1052"/>
      <c r="S80" s="1051"/>
      <c r="T80" s="1051"/>
      <c r="U80" s="1052"/>
      <c r="V80" s="1051"/>
      <c r="W80" s="1051"/>
      <c r="X80" s="1052"/>
      <c r="Y80" s="1053"/>
      <c r="Z80" s="1051"/>
      <c r="AA80" s="1051"/>
      <c r="AB80" s="1052"/>
      <c r="AC80" s="1051"/>
      <c r="AD80" s="1051"/>
      <c r="AE80" s="1052"/>
      <c r="AF80" s="1051"/>
      <c r="AG80" s="1051"/>
      <c r="AH80" s="1051"/>
      <c r="AI80" s="1051"/>
      <c r="AJ80" s="1052"/>
      <c r="AK80" s="1051"/>
      <c r="AL80" s="1051"/>
      <c r="AM80" s="1052"/>
      <c r="AN80" s="1051"/>
      <c r="AO80" s="1051"/>
      <c r="AP80" s="1052"/>
      <c r="AQ80" s="1051"/>
      <c r="AR80" s="1051"/>
      <c r="AS80" s="1052"/>
      <c r="AT80" s="1051"/>
      <c r="AU80" s="1051"/>
      <c r="AV80" s="1052"/>
      <c r="AW80" s="1051"/>
      <c r="AX80" s="1051"/>
      <c r="AY80" s="1053"/>
      <c r="AZ80" s="1051"/>
      <c r="BA80" s="1051"/>
      <c r="BB80" s="1053"/>
      <c r="BC80" s="1051"/>
      <c r="BD80" s="1051"/>
      <c r="BE80" s="1053"/>
      <c r="BF80" s="1051"/>
      <c r="BG80" s="1051"/>
      <c r="BH80" s="1053"/>
      <c r="BI80" s="1052"/>
      <c r="BJ80" s="1052"/>
      <c r="BK80" s="1052"/>
      <c r="BL80" s="1052"/>
      <c r="BM80" s="1052"/>
      <c r="BN80" s="1054"/>
      <c r="BO80" s="1076">
        <f t="shared" si="2"/>
        <v>0</v>
      </c>
      <c r="BP80" s="1051"/>
      <c r="BQ80" s="1052"/>
      <c r="BR80" s="1054"/>
      <c r="BS80" s="1053"/>
      <c r="BT80" s="1051"/>
      <c r="BU80" s="1051"/>
      <c r="BV80" s="1051"/>
      <c r="BW80" s="1052"/>
      <c r="BX80" s="1052"/>
      <c r="BY80" s="1052"/>
      <c r="BZ80" s="1052"/>
      <c r="CA80" s="1052"/>
      <c r="CB80" s="1053"/>
      <c r="CC80" s="1053"/>
      <c r="CD80" s="1053"/>
      <c r="CE80" s="1053"/>
      <c r="CF80" s="1053"/>
      <c r="CG80" s="1053"/>
      <c r="CH80" s="1053"/>
      <c r="CI80" s="1123"/>
      <c r="CJ80" s="1123"/>
      <c r="CK80" s="1123"/>
      <c r="CL80" s="1123"/>
      <c r="CM80" s="1123"/>
      <c r="CN80" s="1123"/>
      <c r="CO80" s="1123"/>
      <c r="CP80" s="1123"/>
      <c r="CQ80" s="1123"/>
      <c r="CR80" s="1123"/>
      <c r="CS80" s="1123"/>
      <c r="CT80" s="1123"/>
      <c r="CU80" s="1123"/>
      <c r="CV80" s="1123"/>
      <c r="CW80" s="1123"/>
      <c r="CX80" s="1123"/>
      <c r="CY80" s="1123"/>
      <c r="CZ80" s="1114"/>
      <c r="DA80" s="1114"/>
      <c r="DB80" s="1114"/>
      <c r="DC80" s="1114"/>
      <c r="DD80" s="1114"/>
      <c r="DE80" s="1114"/>
      <c r="DF80" s="1114"/>
      <c r="DG80" s="1114"/>
      <c r="DH80" s="1114"/>
      <c r="DI80" s="1114"/>
      <c r="DJ80" s="1114"/>
      <c r="DK80" s="1114"/>
      <c r="DL80" s="1114"/>
      <c r="DM80" s="1114"/>
      <c r="DN80" s="1114"/>
      <c r="DO80" s="1114"/>
      <c r="DP80" s="1114"/>
      <c r="DQ80" s="1114"/>
      <c r="DR80" s="1114"/>
      <c r="DS80" s="1114"/>
      <c r="DT80" s="1114"/>
      <c r="DU80" s="1114"/>
      <c r="DV80" s="1115"/>
      <c r="DW80" s="1116"/>
      <c r="DX80" s="1116"/>
      <c r="DY80" s="1116"/>
      <c r="DZ80" s="1116"/>
      <c r="EA80" s="1116"/>
      <c r="EB80" s="1116"/>
      <c r="EC80" s="1116"/>
      <c r="ED80" s="1116"/>
      <c r="EE80" s="1116"/>
      <c r="EF80" s="1116"/>
      <c r="EG80" s="1116"/>
      <c r="EH80" s="1116"/>
      <c r="EI80" s="1116"/>
      <c r="EJ80" s="1116"/>
      <c r="EK80" s="1116"/>
      <c r="EL80" s="1116"/>
      <c r="EM80" s="1116"/>
      <c r="EN80" s="1116"/>
      <c r="EO80" s="1116"/>
      <c r="EP80" s="1116"/>
      <c r="EQ80" s="1116"/>
      <c r="ER80" s="1116"/>
      <c r="ES80" s="1116"/>
    </row>
    <row r="81" spans="1:149" s="34" customFormat="1" ht="15" customHeight="1">
      <c r="A81" s="1185">
        <v>71</v>
      </c>
      <c r="B81" s="1041"/>
      <c r="C81" s="1050"/>
      <c r="D81" s="1050"/>
      <c r="E81" s="1050"/>
      <c r="F81" s="1049"/>
      <c r="G81" s="1049"/>
      <c r="H81" s="1049"/>
      <c r="I81" s="1049"/>
      <c r="J81" s="1050"/>
      <c r="K81" s="1050"/>
      <c r="L81" s="1043"/>
      <c r="M81" s="1051"/>
      <c r="N81" s="1051"/>
      <c r="O81" s="1052"/>
      <c r="P81" s="1051"/>
      <c r="Q81" s="1051"/>
      <c r="R81" s="1052"/>
      <c r="S81" s="1051"/>
      <c r="T81" s="1051"/>
      <c r="U81" s="1052"/>
      <c r="V81" s="1051"/>
      <c r="W81" s="1051"/>
      <c r="X81" s="1052"/>
      <c r="Y81" s="1053"/>
      <c r="Z81" s="1051"/>
      <c r="AA81" s="1051"/>
      <c r="AB81" s="1052"/>
      <c r="AC81" s="1051"/>
      <c r="AD81" s="1051"/>
      <c r="AE81" s="1052"/>
      <c r="AF81" s="1051"/>
      <c r="AG81" s="1051"/>
      <c r="AH81" s="1051"/>
      <c r="AI81" s="1051"/>
      <c r="AJ81" s="1052"/>
      <c r="AK81" s="1051"/>
      <c r="AL81" s="1051"/>
      <c r="AM81" s="1052"/>
      <c r="AN81" s="1051"/>
      <c r="AO81" s="1051"/>
      <c r="AP81" s="1052"/>
      <c r="AQ81" s="1051"/>
      <c r="AR81" s="1051"/>
      <c r="AS81" s="1052"/>
      <c r="AT81" s="1051"/>
      <c r="AU81" s="1051"/>
      <c r="AV81" s="1052"/>
      <c r="AW81" s="1051"/>
      <c r="AX81" s="1051"/>
      <c r="AY81" s="1053"/>
      <c r="AZ81" s="1051"/>
      <c r="BA81" s="1051"/>
      <c r="BB81" s="1053"/>
      <c r="BC81" s="1051"/>
      <c r="BD81" s="1051"/>
      <c r="BE81" s="1053"/>
      <c r="BF81" s="1051"/>
      <c r="BG81" s="1051"/>
      <c r="BH81" s="1053"/>
      <c r="BI81" s="1052"/>
      <c r="BJ81" s="1052"/>
      <c r="BK81" s="1052"/>
      <c r="BL81" s="1052"/>
      <c r="BM81" s="1052"/>
      <c r="BN81" s="1054"/>
      <c r="BO81" s="1076">
        <f t="shared" si="2"/>
        <v>0</v>
      </c>
      <c r="BP81" s="1051"/>
      <c r="BQ81" s="1052"/>
      <c r="BR81" s="1054"/>
      <c r="BS81" s="1053"/>
      <c r="BT81" s="1051"/>
      <c r="BU81" s="1051"/>
      <c r="BV81" s="1051"/>
      <c r="BW81" s="1052"/>
      <c r="BX81" s="1052"/>
      <c r="BY81" s="1052"/>
      <c r="BZ81" s="1052"/>
      <c r="CA81" s="1052"/>
      <c r="CB81" s="1053"/>
      <c r="CC81" s="1053"/>
      <c r="CD81" s="1053"/>
      <c r="CE81" s="1053"/>
      <c r="CF81" s="1053"/>
      <c r="CG81" s="1053"/>
      <c r="CH81" s="1053"/>
      <c r="CI81" s="1123"/>
      <c r="CJ81" s="1123"/>
      <c r="CK81" s="1123"/>
      <c r="CL81" s="1123"/>
      <c r="CM81" s="1123"/>
      <c r="CN81" s="1123"/>
      <c r="CO81" s="1123"/>
      <c r="CP81" s="1123"/>
      <c r="CQ81" s="1123"/>
      <c r="CR81" s="1123"/>
      <c r="CS81" s="1123"/>
      <c r="CT81" s="1123"/>
      <c r="CU81" s="1123"/>
      <c r="CV81" s="1123"/>
      <c r="CW81" s="1123"/>
      <c r="CX81" s="1123"/>
      <c r="CY81" s="1123"/>
      <c r="CZ81" s="1114"/>
      <c r="DA81" s="1114"/>
      <c r="DB81" s="1114"/>
      <c r="DC81" s="1114"/>
      <c r="DD81" s="1114"/>
      <c r="DE81" s="1114"/>
      <c r="DF81" s="1114"/>
      <c r="DG81" s="1114"/>
      <c r="DH81" s="1114"/>
      <c r="DI81" s="1114"/>
      <c r="DJ81" s="1114"/>
      <c r="DK81" s="1114"/>
      <c r="DL81" s="1114"/>
      <c r="DM81" s="1114"/>
      <c r="DN81" s="1114"/>
      <c r="DO81" s="1114"/>
      <c r="DP81" s="1114"/>
      <c r="DQ81" s="1114"/>
      <c r="DR81" s="1114"/>
      <c r="DS81" s="1114"/>
      <c r="DT81" s="1114"/>
      <c r="DU81" s="1114"/>
      <c r="DV81" s="1115"/>
      <c r="DW81" s="1116"/>
      <c r="DX81" s="1116"/>
      <c r="DY81" s="1116"/>
      <c r="DZ81" s="1116"/>
      <c r="EA81" s="1116"/>
      <c r="EB81" s="1116"/>
      <c r="EC81" s="1116"/>
      <c r="ED81" s="1116"/>
      <c r="EE81" s="1116"/>
      <c r="EF81" s="1116"/>
      <c r="EG81" s="1116"/>
      <c r="EH81" s="1116"/>
      <c r="EI81" s="1116"/>
      <c r="EJ81" s="1116"/>
      <c r="EK81" s="1116"/>
      <c r="EL81" s="1116"/>
      <c r="EM81" s="1116"/>
      <c r="EN81" s="1116"/>
      <c r="EO81" s="1116"/>
      <c r="EP81" s="1116"/>
      <c r="EQ81" s="1116"/>
      <c r="ER81" s="1116"/>
      <c r="ES81" s="1116"/>
    </row>
    <row r="82" spans="1:149" s="34" customFormat="1" ht="15" customHeight="1">
      <c r="A82" s="1185">
        <v>72</v>
      </c>
      <c r="B82" s="1041"/>
      <c r="C82" s="1050"/>
      <c r="D82" s="1050"/>
      <c r="E82" s="1050"/>
      <c r="F82" s="1049"/>
      <c r="G82" s="1049"/>
      <c r="H82" s="1049"/>
      <c r="I82" s="1049"/>
      <c r="J82" s="1050"/>
      <c r="K82" s="1050"/>
      <c r="L82" s="1043"/>
      <c r="M82" s="1051"/>
      <c r="N82" s="1051"/>
      <c r="O82" s="1052"/>
      <c r="P82" s="1051"/>
      <c r="Q82" s="1051"/>
      <c r="R82" s="1052"/>
      <c r="S82" s="1051"/>
      <c r="T82" s="1051"/>
      <c r="U82" s="1052"/>
      <c r="V82" s="1051"/>
      <c r="W82" s="1051"/>
      <c r="X82" s="1052"/>
      <c r="Y82" s="1053"/>
      <c r="Z82" s="1051"/>
      <c r="AA82" s="1051"/>
      <c r="AB82" s="1052"/>
      <c r="AC82" s="1051"/>
      <c r="AD82" s="1051"/>
      <c r="AE82" s="1052"/>
      <c r="AF82" s="1051"/>
      <c r="AG82" s="1051"/>
      <c r="AH82" s="1051"/>
      <c r="AI82" s="1051"/>
      <c r="AJ82" s="1052"/>
      <c r="AK82" s="1051"/>
      <c r="AL82" s="1051"/>
      <c r="AM82" s="1052"/>
      <c r="AN82" s="1051"/>
      <c r="AO82" s="1051"/>
      <c r="AP82" s="1052"/>
      <c r="AQ82" s="1051"/>
      <c r="AR82" s="1051"/>
      <c r="AS82" s="1052"/>
      <c r="AT82" s="1051"/>
      <c r="AU82" s="1051"/>
      <c r="AV82" s="1052"/>
      <c r="AW82" s="1051"/>
      <c r="AX82" s="1051"/>
      <c r="AY82" s="1053"/>
      <c r="AZ82" s="1051"/>
      <c r="BA82" s="1051"/>
      <c r="BB82" s="1053"/>
      <c r="BC82" s="1051"/>
      <c r="BD82" s="1051"/>
      <c r="BE82" s="1053"/>
      <c r="BF82" s="1051"/>
      <c r="BG82" s="1051"/>
      <c r="BH82" s="1053"/>
      <c r="BI82" s="1052"/>
      <c r="BJ82" s="1052"/>
      <c r="BK82" s="1052"/>
      <c r="BL82" s="1052"/>
      <c r="BM82" s="1052"/>
      <c r="BN82" s="1054"/>
      <c r="BO82" s="1076">
        <f t="shared" si="2"/>
        <v>0</v>
      </c>
      <c r="BP82" s="1051"/>
      <c r="BQ82" s="1052"/>
      <c r="BR82" s="1054"/>
      <c r="BS82" s="1053"/>
      <c r="BT82" s="1051"/>
      <c r="BU82" s="1051"/>
      <c r="BV82" s="1051"/>
      <c r="BW82" s="1052"/>
      <c r="BX82" s="1052"/>
      <c r="BY82" s="1052"/>
      <c r="BZ82" s="1052"/>
      <c r="CA82" s="1052"/>
      <c r="CB82" s="1053"/>
      <c r="CC82" s="1053"/>
      <c r="CD82" s="1053"/>
      <c r="CE82" s="1053"/>
      <c r="CF82" s="1053"/>
      <c r="CG82" s="1053"/>
      <c r="CH82" s="1053"/>
      <c r="CI82" s="1123"/>
      <c r="CJ82" s="1123"/>
      <c r="CK82" s="1123"/>
      <c r="CL82" s="1123"/>
      <c r="CM82" s="1123"/>
      <c r="CN82" s="1123"/>
      <c r="CO82" s="1123"/>
      <c r="CP82" s="1123"/>
      <c r="CQ82" s="1123"/>
      <c r="CR82" s="1123"/>
      <c r="CS82" s="1123"/>
      <c r="CT82" s="1123"/>
      <c r="CU82" s="1123"/>
      <c r="CV82" s="1123"/>
      <c r="CW82" s="1123"/>
      <c r="CX82" s="1123"/>
      <c r="CY82" s="1123"/>
      <c r="CZ82" s="1114"/>
      <c r="DA82" s="1114"/>
      <c r="DB82" s="1114"/>
      <c r="DC82" s="1114"/>
      <c r="DD82" s="1114"/>
      <c r="DE82" s="1114"/>
      <c r="DF82" s="1114"/>
      <c r="DG82" s="1114"/>
      <c r="DH82" s="1114"/>
      <c r="DI82" s="1114"/>
      <c r="DJ82" s="1114"/>
      <c r="DK82" s="1114"/>
      <c r="DL82" s="1114"/>
      <c r="DM82" s="1114"/>
      <c r="DN82" s="1114"/>
      <c r="DO82" s="1114"/>
      <c r="DP82" s="1114"/>
      <c r="DQ82" s="1114"/>
      <c r="DR82" s="1114"/>
      <c r="DS82" s="1114"/>
      <c r="DT82" s="1114"/>
      <c r="DU82" s="1114"/>
      <c r="DV82" s="1115"/>
      <c r="DW82" s="1116"/>
      <c r="DX82" s="1116"/>
      <c r="DY82" s="1116"/>
      <c r="DZ82" s="1116"/>
      <c r="EA82" s="1116"/>
      <c r="EB82" s="1116"/>
      <c r="EC82" s="1116"/>
      <c r="ED82" s="1116"/>
      <c r="EE82" s="1116"/>
      <c r="EF82" s="1116"/>
      <c r="EG82" s="1116"/>
      <c r="EH82" s="1116"/>
      <c r="EI82" s="1116"/>
      <c r="EJ82" s="1116"/>
      <c r="EK82" s="1116"/>
      <c r="EL82" s="1116"/>
      <c r="EM82" s="1116"/>
      <c r="EN82" s="1116"/>
      <c r="EO82" s="1116"/>
      <c r="EP82" s="1116"/>
      <c r="EQ82" s="1116"/>
      <c r="ER82" s="1116"/>
      <c r="ES82" s="1116"/>
    </row>
    <row r="83" spans="1:149" s="34" customFormat="1" ht="15" customHeight="1">
      <c r="A83" s="1185">
        <v>73</v>
      </c>
      <c r="B83" s="1041"/>
      <c r="C83" s="1050"/>
      <c r="D83" s="1050"/>
      <c r="E83" s="1050"/>
      <c r="F83" s="1049"/>
      <c r="G83" s="1049"/>
      <c r="H83" s="1049"/>
      <c r="I83" s="1049"/>
      <c r="J83" s="1050"/>
      <c r="K83" s="1050"/>
      <c r="L83" s="1043"/>
      <c r="M83" s="1051"/>
      <c r="N83" s="1051"/>
      <c r="O83" s="1052"/>
      <c r="P83" s="1051"/>
      <c r="Q83" s="1051"/>
      <c r="R83" s="1052"/>
      <c r="S83" s="1051"/>
      <c r="T83" s="1051"/>
      <c r="U83" s="1052"/>
      <c r="V83" s="1051"/>
      <c r="W83" s="1051"/>
      <c r="X83" s="1052"/>
      <c r="Y83" s="1053"/>
      <c r="Z83" s="1051"/>
      <c r="AA83" s="1051"/>
      <c r="AB83" s="1052"/>
      <c r="AC83" s="1051"/>
      <c r="AD83" s="1051"/>
      <c r="AE83" s="1052"/>
      <c r="AF83" s="1051"/>
      <c r="AG83" s="1051"/>
      <c r="AH83" s="1051"/>
      <c r="AI83" s="1051"/>
      <c r="AJ83" s="1052"/>
      <c r="AK83" s="1051"/>
      <c r="AL83" s="1051"/>
      <c r="AM83" s="1052"/>
      <c r="AN83" s="1051"/>
      <c r="AO83" s="1051"/>
      <c r="AP83" s="1052"/>
      <c r="AQ83" s="1051"/>
      <c r="AR83" s="1051"/>
      <c r="AS83" s="1052"/>
      <c r="AT83" s="1051"/>
      <c r="AU83" s="1051"/>
      <c r="AV83" s="1052"/>
      <c r="AW83" s="1051"/>
      <c r="AX83" s="1051"/>
      <c r="AY83" s="1053"/>
      <c r="AZ83" s="1051"/>
      <c r="BA83" s="1051"/>
      <c r="BB83" s="1053"/>
      <c r="BC83" s="1051"/>
      <c r="BD83" s="1051"/>
      <c r="BE83" s="1053"/>
      <c r="BF83" s="1051"/>
      <c r="BG83" s="1051"/>
      <c r="BH83" s="1053"/>
      <c r="BI83" s="1052"/>
      <c r="BJ83" s="1052"/>
      <c r="BK83" s="1052"/>
      <c r="BL83" s="1052"/>
      <c r="BM83" s="1052"/>
      <c r="BN83" s="1054"/>
      <c r="BO83" s="1076">
        <f t="shared" si="2"/>
        <v>0</v>
      </c>
      <c r="BP83" s="1051"/>
      <c r="BQ83" s="1052"/>
      <c r="BR83" s="1054"/>
      <c r="BS83" s="1053"/>
      <c r="BT83" s="1051"/>
      <c r="BU83" s="1051"/>
      <c r="BV83" s="1051"/>
      <c r="BW83" s="1052"/>
      <c r="BX83" s="1052"/>
      <c r="BY83" s="1052"/>
      <c r="BZ83" s="1052"/>
      <c r="CA83" s="1052"/>
      <c r="CB83" s="1053"/>
      <c r="CC83" s="1053"/>
      <c r="CD83" s="1053"/>
      <c r="CE83" s="1053"/>
      <c r="CF83" s="1053"/>
      <c r="CG83" s="1053"/>
      <c r="CH83" s="1053"/>
      <c r="CI83" s="1123"/>
      <c r="CJ83" s="1123"/>
      <c r="CK83" s="1123"/>
      <c r="CL83" s="1123"/>
      <c r="CM83" s="1123"/>
      <c r="CN83" s="1123"/>
      <c r="CO83" s="1123"/>
      <c r="CP83" s="1123"/>
      <c r="CQ83" s="1123"/>
      <c r="CR83" s="1123"/>
      <c r="CS83" s="1123"/>
      <c r="CT83" s="1123"/>
      <c r="CU83" s="1123"/>
      <c r="CV83" s="1123"/>
      <c r="CW83" s="1123"/>
      <c r="CX83" s="1123"/>
      <c r="CY83" s="1123"/>
      <c r="CZ83" s="1114"/>
      <c r="DA83" s="1114"/>
      <c r="DB83" s="1114"/>
      <c r="DC83" s="1114"/>
      <c r="DD83" s="1114"/>
      <c r="DE83" s="1114"/>
      <c r="DF83" s="1114"/>
      <c r="DG83" s="1114"/>
      <c r="DH83" s="1114"/>
      <c r="DI83" s="1114"/>
      <c r="DJ83" s="1114"/>
      <c r="DK83" s="1114"/>
      <c r="DL83" s="1114"/>
      <c r="DM83" s="1114"/>
      <c r="DN83" s="1114"/>
      <c r="DO83" s="1114"/>
      <c r="DP83" s="1114"/>
      <c r="DQ83" s="1114"/>
      <c r="DR83" s="1114"/>
      <c r="DS83" s="1114"/>
      <c r="DT83" s="1114"/>
      <c r="DU83" s="1114"/>
      <c r="DV83" s="1115"/>
      <c r="DW83" s="1116"/>
      <c r="DX83" s="1116"/>
      <c r="DY83" s="1116"/>
      <c r="DZ83" s="1116"/>
      <c r="EA83" s="1116"/>
      <c r="EB83" s="1116"/>
      <c r="EC83" s="1116"/>
      <c r="ED83" s="1116"/>
      <c r="EE83" s="1116"/>
      <c r="EF83" s="1116"/>
      <c r="EG83" s="1116"/>
      <c r="EH83" s="1116"/>
      <c r="EI83" s="1116"/>
      <c r="EJ83" s="1116"/>
      <c r="EK83" s="1116"/>
      <c r="EL83" s="1116"/>
      <c r="EM83" s="1116"/>
      <c r="EN83" s="1116"/>
      <c r="EO83" s="1116"/>
      <c r="EP83" s="1116"/>
      <c r="EQ83" s="1116"/>
      <c r="ER83" s="1116"/>
      <c r="ES83" s="1116"/>
    </row>
    <row r="84" spans="1:149" s="34" customFormat="1" ht="15" customHeight="1">
      <c r="A84" s="1185">
        <v>74</v>
      </c>
      <c r="B84" s="1041"/>
      <c r="C84" s="1050"/>
      <c r="D84" s="1050"/>
      <c r="E84" s="1050"/>
      <c r="F84" s="1049"/>
      <c r="G84" s="1049"/>
      <c r="H84" s="1049"/>
      <c r="I84" s="1049"/>
      <c r="J84" s="1050"/>
      <c r="K84" s="1050"/>
      <c r="L84" s="1043"/>
      <c r="M84" s="1051"/>
      <c r="N84" s="1051"/>
      <c r="O84" s="1052"/>
      <c r="P84" s="1051"/>
      <c r="Q84" s="1051"/>
      <c r="R84" s="1052"/>
      <c r="S84" s="1051"/>
      <c r="T84" s="1051"/>
      <c r="U84" s="1052"/>
      <c r="V84" s="1051"/>
      <c r="W84" s="1051"/>
      <c r="X84" s="1052"/>
      <c r="Y84" s="1053"/>
      <c r="Z84" s="1051"/>
      <c r="AA84" s="1051"/>
      <c r="AB84" s="1052"/>
      <c r="AC84" s="1051"/>
      <c r="AD84" s="1051"/>
      <c r="AE84" s="1052"/>
      <c r="AF84" s="1051"/>
      <c r="AG84" s="1051"/>
      <c r="AH84" s="1051"/>
      <c r="AI84" s="1051"/>
      <c r="AJ84" s="1052"/>
      <c r="AK84" s="1051"/>
      <c r="AL84" s="1051"/>
      <c r="AM84" s="1052"/>
      <c r="AN84" s="1051"/>
      <c r="AO84" s="1051"/>
      <c r="AP84" s="1052"/>
      <c r="AQ84" s="1051"/>
      <c r="AR84" s="1051"/>
      <c r="AS84" s="1052"/>
      <c r="AT84" s="1051"/>
      <c r="AU84" s="1051"/>
      <c r="AV84" s="1052"/>
      <c r="AW84" s="1051"/>
      <c r="AX84" s="1051"/>
      <c r="AY84" s="1053"/>
      <c r="AZ84" s="1051"/>
      <c r="BA84" s="1051"/>
      <c r="BB84" s="1053"/>
      <c r="BC84" s="1051"/>
      <c r="BD84" s="1051"/>
      <c r="BE84" s="1053"/>
      <c r="BF84" s="1051"/>
      <c r="BG84" s="1051"/>
      <c r="BH84" s="1053"/>
      <c r="BI84" s="1052"/>
      <c r="BJ84" s="1052"/>
      <c r="BK84" s="1052"/>
      <c r="BL84" s="1052"/>
      <c r="BM84" s="1052"/>
      <c r="BN84" s="1054"/>
      <c r="BO84" s="1076">
        <f t="shared" si="2"/>
        <v>0</v>
      </c>
      <c r="BP84" s="1051"/>
      <c r="BQ84" s="1052"/>
      <c r="BR84" s="1054"/>
      <c r="BS84" s="1053"/>
      <c r="BT84" s="1051"/>
      <c r="BU84" s="1051"/>
      <c r="BV84" s="1051"/>
      <c r="BW84" s="1052"/>
      <c r="BX84" s="1052"/>
      <c r="BY84" s="1052"/>
      <c r="BZ84" s="1052"/>
      <c r="CA84" s="1052"/>
      <c r="CB84" s="1053"/>
      <c r="CC84" s="1053"/>
      <c r="CD84" s="1053"/>
      <c r="CE84" s="1053"/>
      <c r="CF84" s="1053"/>
      <c r="CG84" s="1053"/>
      <c r="CH84" s="1053"/>
      <c r="CI84" s="1123"/>
      <c r="CJ84" s="1123"/>
      <c r="CK84" s="1123"/>
      <c r="CL84" s="1123"/>
      <c r="CM84" s="1123"/>
      <c r="CN84" s="1123"/>
      <c r="CO84" s="1123"/>
      <c r="CP84" s="1123"/>
      <c r="CQ84" s="1123"/>
      <c r="CR84" s="1123"/>
      <c r="CS84" s="1123"/>
      <c r="CT84" s="1123"/>
      <c r="CU84" s="1123"/>
      <c r="CV84" s="1123"/>
      <c r="CW84" s="1123"/>
      <c r="CX84" s="1123"/>
      <c r="CY84" s="1123"/>
      <c r="CZ84" s="1114"/>
      <c r="DA84" s="1114"/>
      <c r="DB84" s="1114"/>
      <c r="DC84" s="1114"/>
      <c r="DD84" s="1114"/>
      <c r="DE84" s="1114"/>
      <c r="DF84" s="1114"/>
      <c r="DG84" s="1114"/>
      <c r="DH84" s="1114"/>
      <c r="DI84" s="1114"/>
      <c r="DJ84" s="1114"/>
      <c r="DK84" s="1114"/>
      <c r="DL84" s="1114"/>
      <c r="DM84" s="1114"/>
      <c r="DN84" s="1114"/>
      <c r="DO84" s="1114"/>
      <c r="DP84" s="1114"/>
      <c r="DQ84" s="1114"/>
      <c r="DR84" s="1114"/>
      <c r="DS84" s="1114"/>
      <c r="DT84" s="1114"/>
      <c r="DU84" s="1114"/>
      <c r="DV84" s="1115"/>
      <c r="DW84" s="1116"/>
      <c r="DX84" s="1116"/>
      <c r="DY84" s="1116"/>
      <c r="DZ84" s="1116"/>
      <c r="EA84" s="1116"/>
      <c r="EB84" s="1116"/>
      <c r="EC84" s="1116"/>
      <c r="ED84" s="1116"/>
      <c r="EE84" s="1116"/>
      <c r="EF84" s="1116"/>
      <c r="EG84" s="1116"/>
      <c r="EH84" s="1116"/>
      <c r="EI84" s="1116"/>
      <c r="EJ84" s="1116"/>
      <c r="EK84" s="1116"/>
      <c r="EL84" s="1116"/>
      <c r="EM84" s="1116"/>
      <c r="EN84" s="1116"/>
      <c r="EO84" s="1116"/>
      <c r="EP84" s="1116"/>
      <c r="EQ84" s="1116"/>
      <c r="ER84" s="1116"/>
      <c r="ES84" s="1116"/>
    </row>
    <row r="85" spans="1:149" s="34" customFormat="1" ht="15" customHeight="1">
      <c r="A85" s="1185">
        <v>75</v>
      </c>
      <c r="B85" s="1041"/>
      <c r="C85" s="1050"/>
      <c r="D85" s="1050"/>
      <c r="E85" s="1050"/>
      <c r="F85" s="1049"/>
      <c r="G85" s="1049"/>
      <c r="H85" s="1049"/>
      <c r="I85" s="1049"/>
      <c r="J85" s="1050"/>
      <c r="K85" s="1050"/>
      <c r="L85" s="1043"/>
      <c r="M85" s="1051"/>
      <c r="N85" s="1051"/>
      <c r="O85" s="1052"/>
      <c r="P85" s="1051"/>
      <c r="Q85" s="1051"/>
      <c r="R85" s="1052"/>
      <c r="S85" s="1051"/>
      <c r="T85" s="1051"/>
      <c r="U85" s="1052"/>
      <c r="V85" s="1051"/>
      <c r="W85" s="1051"/>
      <c r="X85" s="1052"/>
      <c r="Y85" s="1053"/>
      <c r="Z85" s="1051"/>
      <c r="AA85" s="1051"/>
      <c r="AB85" s="1052"/>
      <c r="AC85" s="1051"/>
      <c r="AD85" s="1051"/>
      <c r="AE85" s="1052"/>
      <c r="AF85" s="1051"/>
      <c r="AG85" s="1051"/>
      <c r="AH85" s="1051"/>
      <c r="AI85" s="1051"/>
      <c r="AJ85" s="1052"/>
      <c r="AK85" s="1051"/>
      <c r="AL85" s="1051"/>
      <c r="AM85" s="1052"/>
      <c r="AN85" s="1051"/>
      <c r="AO85" s="1051"/>
      <c r="AP85" s="1052"/>
      <c r="AQ85" s="1051"/>
      <c r="AR85" s="1051"/>
      <c r="AS85" s="1052"/>
      <c r="AT85" s="1051"/>
      <c r="AU85" s="1051"/>
      <c r="AV85" s="1052"/>
      <c r="AW85" s="1051"/>
      <c r="AX85" s="1051"/>
      <c r="AY85" s="1053"/>
      <c r="AZ85" s="1051"/>
      <c r="BA85" s="1051"/>
      <c r="BB85" s="1053"/>
      <c r="BC85" s="1051"/>
      <c r="BD85" s="1051"/>
      <c r="BE85" s="1053"/>
      <c r="BF85" s="1051"/>
      <c r="BG85" s="1051"/>
      <c r="BH85" s="1053"/>
      <c r="BI85" s="1052"/>
      <c r="BJ85" s="1052"/>
      <c r="BK85" s="1052"/>
      <c r="BL85" s="1052"/>
      <c r="BM85" s="1052"/>
      <c r="BN85" s="1054"/>
      <c r="BO85" s="1076">
        <f t="shared" si="2"/>
        <v>0</v>
      </c>
      <c r="BP85" s="1051"/>
      <c r="BQ85" s="1052"/>
      <c r="BR85" s="1054"/>
      <c r="BS85" s="1053"/>
      <c r="BT85" s="1051"/>
      <c r="BU85" s="1051"/>
      <c r="BV85" s="1051"/>
      <c r="BW85" s="1052"/>
      <c r="BX85" s="1052"/>
      <c r="BY85" s="1052"/>
      <c r="BZ85" s="1052"/>
      <c r="CA85" s="1052"/>
      <c r="CB85" s="1053"/>
      <c r="CC85" s="1053"/>
      <c r="CD85" s="1053"/>
      <c r="CE85" s="1053"/>
      <c r="CF85" s="1053"/>
      <c r="CG85" s="1053"/>
      <c r="CH85" s="1053"/>
      <c r="CI85" s="1123"/>
      <c r="CJ85" s="1123"/>
      <c r="CK85" s="1123"/>
      <c r="CL85" s="1123"/>
      <c r="CM85" s="1123"/>
      <c r="CN85" s="1123"/>
      <c r="CO85" s="1123"/>
      <c r="CP85" s="1123"/>
      <c r="CQ85" s="1123"/>
      <c r="CR85" s="1123"/>
      <c r="CS85" s="1123"/>
      <c r="CT85" s="1123"/>
      <c r="CU85" s="1123"/>
      <c r="CV85" s="1123"/>
      <c r="CW85" s="1123"/>
      <c r="CX85" s="1123"/>
      <c r="CY85" s="1123"/>
      <c r="CZ85" s="1114"/>
      <c r="DA85" s="1114"/>
      <c r="DB85" s="1114"/>
      <c r="DC85" s="1114"/>
      <c r="DD85" s="1114"/>
      <c r="DE85" s="1114"/>
      <c r="DF85" s="1114"/>
      <c r="DG85" s="1114"/>
      <c r="DH85" s="1114"/>
      <c r="DI85" s="1114"/>
      <c r="DJ85" s="1114"/>
      <c r="DK85" s="1114"/>
      <c r="DL85" s="1114"/>
      <c r="DM85" s="1114"/>
      <c r="DN85" s="1114"/>
      <c r="DO85" s="1114"/>
      <c r="DP85" s="1114"/>
      <c r="DQ85" s="1114"/>
      <c r="DR85" s="1114"/>
      <c r="DS85" s="1114"/>
      <c r="DT85" s="1114"/>
      <c r="DU85" s="1114"/>
      <c r="DV85" s="1115"/>
      <c r="DW85" s="1116"/>
      <c r="DX85" s="1116"/>
      <c r="DY85" s="1116"/>
      <c r="DZ85" s="1116"/>
      <c r="EA85" s="1116"/>
      <c r="EB85" s="1116"/>
      <c r="EC85" s="1116"/>
      <c r="ED85" s="1116"/>
      <c r="EE85" s="1116"/>
      <c r="EF85" s="1116"/>
      <c r="EG85" s="1116"/>
      <c r="EH85" s="1116"/>
      <c r="EI85" s="1116"/>
      <c r="EJ85" s="1116"/>
      <c r="EK85" s="1116"/>
      <c r="EL85" s="1116"/>
      <c r="EM85" s="1116"/>
      <c r="EN85" s="1116"/>
      <c r="EO85" s="1116"/>
      <c r="EP85" s="1116"/>
      <c r="EQ85" s="1116"/>
      <c r="ER85" s="1116"/>
      <c r="ES85" s="1116"/>
    </row>
    <row r="86" spans="1:149" s="34" customFormat="1" ht="15" customHeight="1">
      <c r="A86" s="1185">
        <v>76</v>
      </c>
      <c r="B86" s="1041"/>
      <c r="C86" s="1050"/>
      <c r="D86" s="1050"/>
      <c r="E86" s="1050"/>
      <c r="F86" s="1049"/>
      <c r="G86" s="1049"/>
      <c r="H86" s="1049"/>
      <c r="I86" s="1049"/>
      <c r="J86" s="1050"/>
      <c r="K86" s="1050"/>
      <c r="L86" s="1043"/>
      <c r="M86" s="1051"/>
      <c r="N86" s="1051"/>
      <c r="O86" s="1052"/>
      <c r="P86" s="1051"/>
      <c r="Q86" s="1051"/>
      <c r="R86" s="1052"/>
      <c r="S86" s="1051"/>
      <c r="T86" s="1051"/>
      <c r="U86" s="1052"/>
      <c r="V86" s="1051"/>
      <c r="W86" s="1051"/>
      <c r="X86" s="1052"/>
      <c r="Y86" s="1053"/>
      <c r="Z86" s="1051"/>
      <c r="AA86" s="1051"/>
      <c r="AB86" s="1052"/>
      <c r="AC86" s="1051"/>
      <c r="AD86" s="1051"/>
      <c r="AE86" s="1052"/>
      <c r="AF86" s="1051"/>
      <c r="AG86" s="1051"/>
      <c r="AH86" s="1051"/>
      <c r="AI86" s="1051"/>
      <c r="AJ86" s="1052"/>
      <c r="AK86" s="1051"/>
      <c r="AL86" s="1051"/>
      <c r="AM86" s="1052"/>
      <c r="AN86" s="1051"/>
      <c r="AO86" s="1051"/>
      <c r="AP86" s="1052"/>
      <c r="AQ86" s="1051"/>
      <c r="AR86" s="1051"/>
      <c r="AS86" s="1052"/>
      <c r="AT86" s="1051"/>
      <c r="AU86" s="1051"/>
      <c r="AV86" s="1052"/>
      <c r="AW86" s="1051"/>
      <c r="AX86" s="1051"/>
      <c r="AY86" s="1053"/>
      <c r="AZ86" s="1051"/>
      <c r="BA86" s="1051"/>
      <c r="BB86" s="1053"/>
      <c r="BC86" s="1051"/>
      <c r="BD86" s="1051"/>
      <c r="BE86" s="1053"/>
      <c r="BF86" s="1051"/>
      <c r="BG86" s="1051"/>
      <c r="BH86" s="1053"/>
      <c r="BI86" s="1052"/>
      <c r="BJ86" s="1052"/>
      <c r="BK86" s="1052"/>
      <c r="BL86" s="1052"/>
      <c r="BM86" s="1052"/>
      <c r="BN86" s="1054"/>
      <c r="BO86" s="1076">
        <f t="shared" si="2"/>
        <v>0</v>
      </c>
      <c r="BP86" s="1051"/>
      <c r="BQ86" s="1052"/>
      <c r="BR86" s="1054"/>
      <c r="BS86" s="1053"/>
      <c r="BT86" s="1051"/>
      <c r="BU86" s="1051"/>
      <c r="BV86" s="1051"/>
      <c r="BW86" s="1052"/>
      <c r="BX86" s="1052"/>
      <c r="BY86" s="1052"/>
      <c r="BZ86" s="1052"/>
      <c r="CA86" s="1052"/>
      <c r="CB86" s="1053"/>
      <c r="CC86" s="1053"/>
      <c r="CD86" s="1053"/>
      <c r="CE86" s="1053"/>
      <c r="CF86" s="1053"/>
      <c r="CG86" s="1053"/>
      <c r="CH86" s="1053"/>
      <c r="CI86" s="1123"/>
      <c r="CJ86" s="1123"/>
      <c r="CK86" s="1123"/>
      <c r="CL86" s="1123"/>
      <c r="CM86" s="1123"/>
      <c r="CN86" s="1123"/>
      <c r="CO86" s="1123"/>
      <c r="CP86" s="1123"/>
      <c r="CQ86" s="1123"/>
      <c r="CR86" s="1123"/>
      <c r="CS86" s="1123"/>
      <c r="CT86" s="1123"/>
      <c r="CU86" s="1123"/>
      <c r="CV86" s="1123"/>
      <c r="CW86" s="1123"/>
      <c r="CX86" s="1123"/>
      <c r="CY86" s="1123"/>
      <c r="CZ86" s="1114"/>
      <c r="DA86" s="1114"/>
      <c r="DB86" s="1114"/>
      <c r="DC86" s="1114"/>
      <c r="DD86" s="1114"/>
      <c r="DE86" s="1114"/>
      <c r="DF86" s="1114"/>
      <c r="DG86" s="1114"/>
      <c r="DH86" s="1114"/>
      <c r="DI86" s="1114"/>
      <c r="DJ86" s="1114"/>
      <c r="DK86" s="1114"/>
      <c r="DL86" s="1114"/>
      <c r="DM86" s="1114"/>
      <c r="DN86" s="1114"/>
      <c r="DO86" s="1114"/>
      <c r="DP86" s="1114"/>
      <c r="DQ86" s="1114"/>
      <c r="DR86" s="1114"/>
      <c r="DS86" s="1114"/>
      <c r="DT86" s="1114"/>
      <c r="DU86" s="1114"/>
      <c r="DV86" s="1115"/>
      <c r="DW86" s="1116"/>
      <c r="DX86" s="1116"/>
      <c r="DY86" s="1116"/>
      <c r="DZ86" s="1116"/>
      <c r="EA86" s="1116"/>
      <c r="EB86" s="1116"/>
      <c r="EC86" s="1116"/>
      <c r="ED86" s="1116"/>
      <c r="EE86" s="1116"/>
      <c r="EF86" s="1116"/>
      <c r="EG86" s="1116"/>
      <c r="EH86" s="1116"/>
      <c r="EI86" s="1116"/>
      <c r="EJ86" s="1116"/>
      <c r="EK86" s="1116"/>
      <c r="EL86" s="1116"/>
      <c r="EM86" s="1116"/>
      <c r="EN86" s="1116"/>
      <c r="EO86" s="1116"/>
      <c r="EP86" s="1116"/>
      <c r="EQ86" s="1116"/>
      <c r="ER86" s="1116"/>
      <c r="ES86" s="1116"/>
    </row>
    <row r="87" spans="1:149" s="34" customFormat="1" ht="15" customHeight="1">
      <c r="A87" s="1185">
        <v>77</v>
      </c>
      <c r="B87" s="1041"/>
      <c r="C87" s="1050"/>
      <c r="D87" s="1050"/>
      <c r="E87" s="1050"/>
      <c r="F87" s="1049"/>
      <c r="G87" s="1049"/>
      <c r="H87" s="1049"/>
      <c r="I87" s="1049"/>
      <c r="J87" s="1050"/>
      <c r="K87" s="1050"/>
      <c r="L87" s="1043"/>
      <c r="M87" s="1051"/>
      <c r="N87" s="1051"/>
      <c r="O87" s="1052"/>
      <c r="P87" s="1051"/>
      <c r="Q87" s="1051"/>
      <c r="R87" s="1052"/>
      <c r="S87" s="1051"/>
      <c r="T87" s="1051"/>
      <c r="U87" s="1052"/>
      <c r="V87" s="1051"/>
      <c r="W87" s="1051"/>
      <c r="X87" s="1052"/>
      <c r="Y87" s="1053"/>
      <c r="Z87" s="1051"/>
      <c r="AA87" s="1051"/>
      <c r="AB87" s="1052"/>
      <c r="AC87" s="1051"/>
      <c r="AD87" s="1051"/>
      <c r="AE87" s="1052"/>
      <c r="AF87" s="1051"/>
      <c r="AG87" s="1051"/>
      <c r="AH87" s="1051"/>
      <c r="AI87" s="1051"/>
      <c r="AJ87" s="1052"/>
      <c r="AK87" s="1051"/>
      <c r="AL87" s="1051"/>
      <c r="AM87" s="1052"/>
      <c r="AN87" s="1051"/>
      <c r="AO87" s="1051"/>
      <c r="AP87" s="1052"/>
      <c r="AQ87" s="1051"/>
      <c r="AR87" s="1051"/>
      <c r="AS87" s="1052"/>
      <c r="AT87" s="1051"/>
      <c r="AU87" s="1051"/>
      <c r="AV87" s="1052"/>
      <c r="AW87" s="1051"/>
      <c r="AX87" s="1051"/>
      <c r="AY87" s="1053"/>
      <c r="AZ87" s="1051"/>
      <c r="BA87" s="1051"/>
      <c r="BB87" s="1053"/>
      <c r="BC87" s="1051"/>
      <c r="BD87" s="1051"/>
      <c r="BE87" s="1053"/>
      <c r="BF87" s="1051"/>
      <c r="BG87" s="1051"/>
      <c r="BH87" s="1053"/>
      <c r="BI87" s="1052"/>
      <c r="BJ87" s="1052"/>
      <c r="BK87" s="1052"/>
      <c r="BL87" s="1052"/>
      <c r="BM87" s="1052"/>
      <c r="BN87" s="1054"/>
      <c r="BO87" s="1076">
        <f t="shared" si="2"/>
        <v>0</v>
      </c>
      <c r="BP87" s="1051"/>
      <c r="BQ87" s="1052"/>
      <c r="BR87" s="1054"/>
      <c r="BS87" s="1053"/>
      <c r="BT87" s="1051"/>
      <c r="BU87" s="1051"/>
      <c r="BV87" s="1051"/>
      <c r="BW87" s="1052"/>
      <c r="BX87" s="1052"/>
      <c r="BY87" s="1052"/>
      <c r="BZ87" s="1052"/>
      <c r="CA87" s="1052"/>
      <c r="CB87" s="1053"/>
      <c r="CC87" s="1053"/>
      <c r="CD87" s="1053"/>
      <c r="CE87" s="1053"/>
      <c r="CF87" s="1053"/>
      <c r="CG87" s="1053"/>
      <c r="CH87" s="1053"/>
      <c r="CI87" s="1123"/>
      <c r="CJ87" s="1123"/>
      <c r="CK87" s="1123"/>
      <c r="CL87" s="1123"/>
      <c r="CM87" s="1123"/>
      <c r="CN87" s="1123"/>
      <c r="CO87" s="1123"/>
      <c r="CP87" s="1123"/>
      <c r="CQ87" s="1123"/>
      <c r="CR87" s="1123"/>
      <c r="CS87" s="1123"/>
      <c r="CT87" s="1123"/>
      <c r="CU87" s="1123"/>
      <c r="CV87" s="1123"/>
      <c r="CW87" s="1123"/>
      <c r="CX87" s="1123"/>
      <c r="CY87" s="1123"/>
      <c r="CZ87" s="1114"/>
      <c r="DA87" s="1114"/>
      <c r="DB87" s="1114"/>
      <c r="DC87" s="1114"/>
      <c r="DD87" s="1114"/>
      <c r="DE87" s="1114"/>
      <c r="DF87" s="1114"/>
      <c r="DG87" s="1114"/>
      <c r="DH87" s="1114"/>
      <c r="DI87" s="1114"/>
      <c r="DJ87" s="1114"/>
      <c r="DK87" s="1114"/>
      <c r="DL87" s="1114"/>
      <c r="DM87" s="1114"/>
      <c r="DN87" s="1114"/>
      <c r="DO87" s="1114"/>
      <c r="DP87" s="1114"/>
      <c r="DQ87" s="1114"/>
      <c r="DR87" s="1114"/>
      <c r="DS87" s="1114"/>
      <c r="DT87" s="1114"/>
      <c r="DU87" s="1114"/>
      <c r="DV87" s="1115"/>
      <c r="DW87" s="1116"/>
      <c r="DX87" s="1116"/>
      <c r="DY87" s="1116"/>
      <c r="DZ87" s="1116"/>
      <c r="EA87" s="1116"/>
      <c r="EB87" s="1116"/>
      <c r="EC87" s="1116"/>
      <c r="ED87" s="1116"/>
      <c r="EE87" s="1116"/>
      <c r="EF87" s="1116"/>
      <c r="EG87" s="1116"/>
      <c r="EH87" s="1116"/>
      <c r="EI87" s="1116"/>
      <c r="EJ87" s="1116"/>
      <c r="EK87" s="1116"/>
      <c r="EL87" s="1116"/>
      <c r="EM87" s="1116"/>
      <c r="EN87" s="1116"/>
      <c r="EO87" s="1116"/>
      <c r="EP87" s="1116"/>
      <c r="EQ87" s="1116"/>
      <c r="ER87" s="1116"/>
      <c r="ES87" s="1116"/>
    </row>
    <row r="88" spans="1:149" s="34" customFormat="1" ht="15" customHeight="1">
      <c r="A88" s="1185">
        <v>78</v>
      </c>
      <c r="B88" s="1041"/>
      <c r="C88" s="1050"/>
      <c r="D88" s="1050"/>
      <c r="E88" s="1050"/>
      <c r="F88" s="1049"/>
      <c r="G88" s="1049"/>
      <c r="H88" s="1049"/>
      <c r="I88" s="1049"/>
      <c r="J88" s="1050"/>
      <c r="K88" s="1050"/>
      <c r="L88" s="1043"/>
      <c r="M88" s="1051"/>
      <c r="N88" s="1051"/>
      <c r="O88" s="1052"/>
      <c r="P88" s="1051"/>
      <c r="Q88" s="1051"/>
      <c r="R88" s="1052"/>
      <c r="S88" s="1051"/>
      <c r="T88" s="1051"/>
      <c r="U88" s="1052"/>
      <c r="V88" s="1051"/>
      <c r="W88" s="1051"/>
      <c r="X88" s="1052"/>
      <c r="Y88" s="1053"/>
      <c r="Z88" s="1051"/>
      <c r="AA88" s="1051"/>
      <c r="AB88" s="1052"/>
      <c r="AC88" s="1051"/>
      <c r="AD88" s="1051"/>
      <c r="AE88" s="1052"/>
      <c r="AF88" s="1051"/>
      <c r="AG88" s="1051"/>
      <c r="AH88" s="1051"/>
      <c r="AI88" s="1051"/>
      <c r="AJ88" s="1052"/>
      <c r="AK88" s="1051"/>
      <c r="AL88" s="1051"/>
      <c r="AM88" s="1052"/>
      <c r="AN88" s="1051"/>
      <c r="AO88" s="1051"/>
      <c r="AP88" s="1052"/>
      <c r="AQ88" s="1051"/>
      <c r="AR88" s="1051"/>
      <c r="AS88" s="1052"/>
      <c r="AT88" s="1051"/>
      <c r="AU88" s="1051"/>
      <c r="AV88" s="1052"/>
      <c r="AW88" s="1051"/>
      <c r="AX88" s="1051"/>
      <c r="AY88" s="1053"/>
      <c r="AZ88" s="1051"/>
      <c r="BA88" s="1051"/>
      <c r="BB88" s="1053"/>
      <c r="BC88" s="1051"/>
      <c r="BD88" s="1051"/>
      <c r="BE88" s="1053"/>
      <c r="BF88" s="1051"/>
      <c r="BG88" s="1051"/>
      <c r="BH88" s="1053"/>
      <c r="BI88" s="1052"/>
      <c r="BJ88" s="1052"/>
      <c r="BK88" s="1052"/>
      <c r="BL88" s="1052"/>
      <c r="BM88" s="1052"/>
      <c r="BN88" s="1054"/>
      <c r="BO88" s="1076">
        <f t="shared" si="2"/>
        <v>0</v>
      </c>
      <c r="BP88" s="1051"/>
      <c r="BQ88" s="1052"/>
      <c r="BR88" s="1054"/>
      <c r="BS88" s="1053"/>
      <c r="BT88" s="1051"/>
      <c r="BU88" s="1051"/>
      <c r="BV88" s="1051"/>
      <c r="BW88" s="1052"/>
      <c r="BX88" s="1052"/>
      <c r="BY88" s="1052"/>
      <c r="BZ88" s="1052"/>
      <c r="CA88" s="1052"/>
      <c r="CB88" s="1053"/>
      <c r="CC88" s="1053"/>
      <c r="CD88" s="1053"/>
      <c r="CE88" s="1053"/>
      <c r="CF88" s="1053"/>
      <c r="CG88" s="1053"/>
      <c r="CH88" s="1053"/>
      <c r="CI88" s="1123"/>
      <c r="CJ88" s="1123"/>
      <c r="CK88" s="1123"/>
      <c r="CL88" s="1123"/>
      <c r="CM88" s="1123"/>
      <c r="CN88" s="1123"/>
      <c r="CO88" s="1123"/>
      <c r="CP88" s="1123"/>
      <c r="CQ88" s="1123"/>
      <c r="CR88" s="1123"/>
      <c r="CS88" s="1123"/>
      <c r="CT88" s="1123"/>
      <c r="CU88" s="1123"/>
      <c r="CV88" s="1123"/>
      <c r="CW88" s="1123"/>
      <c r="CX88" s="1123"/>
      <c r="CY88" s="1123"/>
      <c r="CZ88" s="1114"/>
      <c r="DA88" s="1114"/>
      <c r="DB88" s="1114"/>
      <c r="DC88" s="1114"/>
      <c r="DD88" s="1114"/>
      <c r="DE88" s="1114"/>
      <c r="DF88" s="1114"/>
      <c r="DG88" s="1114"/>
      <c r="DH88" s="1114"/>
      <c r="DI88" s="1114"/>
      <c r="DJ88" s="1114"/>
      <c r="DK88" s="1114"/>
      <c r="DL88" s="1114"/>
      <c r="DM88" s="1114"/>
      <c r="DN88" s="1114"/>
      <c r="DO88" s="1114"/>
      <c r="DP88" s="1114"/>
      <c r="DQ88" s="1114"/>
      <c r="DR88" s="1114"/>
      <c r="DS88" s="1114"/>
      <c r="DT88" s="1114"/>
      <c r="DU88" s="1114"/>
      <c r="DV88" s="1115"/>
      <c r="DW88" s="1116"/>
      <c r="DX88" s="1116"/>
      <c r="DY88" s="1116"/>
      <c r="DZ88" s="1116"/>
      <c r="EA88" s="1116"/>
      <c r="EB88" s="1116"/>
      <c r="EC88" s="1116"/>
      <c r="ED88" s="1116"/>
      <c r="EE88" s="1116"/>
      <c r="EF88" s="1116"/>
      <c r="EG88" s="1116"/>
      <c r="EH88" s="1116"/>
      <c r="EI88" s="1116"/>
      <c r="EJ88" s="1116"/>
      <c r="EK88" s="1116"/>
      <c r="EL88" s="1116"/>
      <c r="EM88" s="1116"/>
      <c r="EN88" s="1116"/>
      <c r="EO88" s="1116"/>
      <c r="EP88" s="1116"/>
      <c r="EQ88" s="1116"/>
      <c r="ER88" s="1116"/>
      <c r="ES88" s="1116"/>
    </row>
    <row r="89" spans="1:149" s="34" customFormat="1" ht="15" customHeight="1">
      <c r="A89" s="1185">
        <v>79</v>
      </c>
      <c r="B89" s="1041"/>
      <c r="C89" s="1050"/>
      <c r="D89" s="1050"/>
      <c r="E89" s="1050"/>
      <c r="F89" s="1049"/>
      <c r="G89" s="1049"/>
      <c r="H89" s="1049"/>
      <c r="I89" s="1049"/>
      <c r="J89" s="1050"/>
      <c r="K89" s="1050"/>
      <c r="L89" s="1043"/>
      <c r="M89" s="1051"/>
      <c r="N89" s="1051"/>
      <c r="O89" s="1052"/>
      <c r="P89" s="1051"/>
      <c r="Q89" s="1051"/>
      <c r="R89" s="1052"/>
      <c r="S89" s="1051"/>
      <c r="T89" s="1051"/>
      <c r="U89" s="1052"/>
      <c r="V89" s="1051"/>
      <c r="W89" s="1051"/>
      <c r="X89" s="1052"/>
      <c r="Y89" s="1053"/>
      <c r="Z89" s="1051"/>
      <c r="AA89" s="1051"/>
      <c r="AB89" s="1052"/>
      <c r="AC89" s="1051"/>
      <c r="AD89" s="1051"/>
      <c r="AE89" s="1052"/>
      <c r="AF89" s="1051"/>
      <c r="AG89" s="1051"/>
      <c r="AH89" s="1051"/>
      <c r="AI89" s="1051"/>
      <c r="AJ89" s="1052"/>
      <c r="AK89" s="1051"/>
      <c r="AL89" s="1051"/>
      <c r="AM89" s="1052"/>
      <c r="AN89" s="1051"/>
      <c r="AO89" s="1051"/>
      <c r="AP89" s="1052"/>
      <c r="AQ89" s="1051"/>
      <c r="AR89" s="1051"/>
      <c r="AS89" s="1052"/>
      <c r="AT89" s="1051"/>
      <c r="AU89" s="1051"/>
      <c r="AV89" s="1052"/>
      <c r="AW89" s="1051"/>
      <c r="AX89" s="1051"/>
      <c r="AY89" s="1053"/>
      <c r="AZ89" s="1051"/>
      <c r="BA89" s="1051"/>
      <c r="BB89" s="1053"/>
      <c r="BC89" s="1051"/>
      <c r="BD89" s="1051"/>
      <c r="BE89" s="1053"/>
      <c r="BF89" s="1051"/>
      <c r="BG89" s="1051"/>
      <c r="BH89" s="1053"/>
      <c r="BI89" s="1052"/>
      <c r="BJ89" s="1052"/>
      <c r="BK89" s="1052"/>
      <c r="BL89" s="1052"/>
      <c r="BM89" s="1052"/>
      <c r="BN89" s="1054"/>
      <c r="BO89" s="1076">
        <f t="shared" si="2"/>
        <v>0</v>
      </c>
      <c r="BP89" s="1051"/>
      <c r="BQ89" s="1052"/>
      <c r="BR89" s="1054"/>
      <c r="BS89" s="1053"/>
      <c r="BT89" s="1051"/>
      <c r="BU89" s="1051"/>
      <c r="BV89" s="1051"/>
      <c r="BW89" s="1052"/>
      <c r="BX89" s="1052"/>
      <c r="BY89" s="1052"/>
      <c r="BZ89" s="1052"/>
      <c r="CA89" s="1052"/>
      <c r="CB89" s="1053"/>
      <c r="CC89" s="1053"/>
      <c r="CD89" s="1053"/>
      <c r="CE89" s="1053"/>
      <c r="CF89" s="1053"/>
      <c r="CG89" s="1053"/>
      <c r="CH89" s="1053"/>
      <c r="CI89" s="1123"/>
      <c r="CJ89" s="1123"/>
      <c r="CK89" s="1123"/>
      <c r="CL89" s="1123"/>
      <c r="CM89" s="1123"/>
      <c r="CN89" s="1123"/>
      <c r="CO89" s="1123"/>
      <c r="CP89" s="1123"/>
      <c r="CQ89" s="1123"/>
      <c r="CR89" s="1123"/>
      <c r="CS89" s="1123"/>
      <c r="CT89" s="1123"/>
      <c r="CU89" s="1123"/>
      <c r="CV89" s="1123"/>
      <c r="CW89" s="1123"/>
      <c r="CX89" s="1123"/>
      <c r="CY89" s="1123"/>
      <c r="CZ89" s="1114"/>
      <c r="DA89" s="1114"/>
      <c r="DB89" s="1114"/>
      <c r="DC89" s="1114"/>
      <c r="DD89" s="1114"/>
      <c r="DE89" s="1114"/>
      <c r="DF89" s="1114"/>
      <c r="DG89" s="1114"/>
      <c r="DH89" s="1114"/>
      <c r="DI89" s="1114"/>
      <c r="DJ89" s="1114"/>
      <c r="DK89" s="1114"/>
      <c r="DL89" s="1114"/>
      <c r="DM89" s="1114"/>
      <c r="DN89" s="1114"/>
      <c r="DO89" s="1114"/>
      <c r="DP89" s="1114"/>
      <c r="DQ89" s="1114"/>
      <c r="DR89" s="1114"/>
      <c r="DS89" s="1114"/>
      <c r="DT89" s="1114"/>
      <c r="DU89" s="1114"/>
      <c r="DV89" s="1115"/>
      <c r="DW89" s="1116"/>
      <c r="DX89" s="1116"/>
      <c r="DY89" s="1116"/>
      <c r="DZ89" s="1116"/>
      <c r="EA89" s="1116"/>
      <c r="EB89" s="1116"/>
      <c r="EC89" s="1116"/>
      <c r="ED89" s="1116"/>
      <c r="EE89" s="1116"/>
      <c r="EF89" s="1116"/>
      <c r="EG89" s="1116"/>
      <c r="EH89" s="1116"/>
      <c r="EI89" s="1116"/>
      <c r="EJ89" s="1116"/>
      <c r="EK89" s="1116"/>
      <c r="EL89" s="1116"/>
      <c r="EM89" s="1116"/>
      <c r="EN89" s="1116"/>
      <c r="EO89" s="1116"/>
      <c r="EP89" s="1116"/>
      <c r="EQ89" s="1116"/>
      <c r="ER89" s="1116"/>
      <c r="ES89" s="1116"/>
    </row>
    <row r="90" spans="1:149" s="34" customFormat="1" ht="15" customHeight="1">
      <c r="A90" s="1185">
        <v>80</v>
      </c>
      <c r="B90" s="1041"/>
      <c r="C90" s="1050"/>
      <c r="D90" s="1050"/>
      <c r="E90" s="1050"/>
      <c r="F90" s="1049"/>
      <c r="G90" s="1049"/>
      <c r="H90" s="1049"/>
      <c r="I90" s="1049"/>
      <c r="J90" s="1050"/>
      <c r="K90" s="1050"/>
      <c r="L90" s="1043"/>
      <c r="M90" s="1051"/>
      <c r="N90" s="1051"/>
      <c r="O90" s="1052"/>
      <c r="P90" s="1051"/>
      <c r="Q90" s="1051"/>
      <c r="R90" s="1052"/>
      <c r="S90" s="1051"/>
      <c r="T90" s="1051"/>
      <c r="U90" s="1052"/>
      <c r="V90" s="1051"/>
      <c r="W90" s="1051"/>
      <c r="X90" s="1052"/>
      <c r="Y90" s="1053"/>
      <c r="Z90" s="1051"/>
      <c r="AA90" s="1051"/>
      <c r="AB90" s="1052"/>
      <c r="AC90" s="1051"/>
      <c r="AD90" s="1051"/>
      <c r="AE90" s="1052"/>
      <c r="AF90" s="1051"/>
      <c r="AG90" s="1051"/>
      <c r="AH90" s="1051"/>
      <c r="AI90" s="1051"/>
      <c r="AJ90" s="1052"/>
      <c r="AK90" s="1051"/>
      <c r="AL90" s="1051"/>
      <c r="AM90" s="1052"/>
      <c r="AN90" s="1051"/>
      <c r="AO90" s="1051"/>
      <c r="AP90" s="1052"/>
      <c r="AQ90" s="1051"/>
      <c r="AR90" s="1051"/>
      <c r="AS90" s="1052"/>
      <c r="AT90" s="1051"/>
      <c r="AU90" s="1051"/>
      <c r="AV90" s="1052"/>
      <c r="AW90" s="1051"/>
      <c r="AX90" s="1051"/>
      <c r="AY90" s="1053"/>
      <c r="AZ90" s="1051"/>
      <c r="BA90" s="1051"/>
      <c r="BB90" s="1053"/>
      <c r="BC90" s="1051"/>
      <c r="BD90" s="1051"/>
      <c r="BE90" s="1053"/>
      <c r="BF90" s="1051"/>
      <c r="BG90" s="1051"/>
      <c r="BH90" s="1053"/>
      <c r="BI90" s="1052"/>
      <c r="BJ90" s="1052"/>
      <c r="BK90" s="1052"/>
      <c r="BL90" s="1052"/>
      <c r="BM90" s="1052"/>
      <c r="BN90" s="1054"/>
      <c r="BO90" s="1076">
        <f t="shared" si="2"/>
        <v>0</v>
      </c>
      <c r="BP90" s="1051"/>
      <c r="BQ90" s="1052"/>
      <c r="BR90" s="1054"/>
      <c r="BS90" s="1053"/>
      <c r="BT90" s="1051"/>
      <c r="BU90" s="1051"/>
      <c r="BV90" s="1051"/>
      <c r="BW90" s="1052"/>
      <c r="BX90" s="1052"/>
      <c r="BY90" s="1052"/>
      <c r="BZ90" s="1052"/>
      <c r="CA90" s="1052"/>
      <c r="CB90" s="1053"/>
      <c r="CC90" s="1053"/>
      <c r="CD90" s="1053"/>
      <c r="CE90" s="1053"/>
      <c r="CF90" s="1053"/>
      <c r="CG90" s="1053"/>
      <c r="CH90" s="1053"/>
      <c r="CI90" s="1123"/>
      <c r="CJ90" s="1123"/>
      <c r="CK90" s="1123"/>
      <c r="CL90" s="1123"/>
      <c r="CM90" s="1123"/>
      <c r="CN90" s="1123"/>
      <c r="CO90" s="1123"/>
      <c r="CP90" s="1123"/>
      <c r="CQ90" s="1123"/>
      <c r="CR90" s="1123"/>
      <c r="CS90" s="1123"/>
      <c r="CT90" s="1123"/>
      <c r="CU90" s="1123"/>
      <c r="CV90" s="1123"/>
      <c r="CW90" s="1123"/>
      <c r="CX90" s="1123"/>
      <c r="CY90" s="1123"/>
      <c r="CZ90" s="1114"/>
      <c r="DA90" s="1114"/>
      <c r="DB90" s="1114"/>
      <c r="DC90" s="1114"/>
      <c r="DD90" s="1114"/>
      <c r="DE90" s="1114"/>
      <c r="DF90" s="1114"/>
      <c r="DG90" s="1114"/>
      <c r="DH90" s="1114"/>
      <c r="DI90" s="1114"/>
      <c r="DJ90" s="1114"/>
      <c r="DK90" s="1114"/>
      <c r="DL90" s="1114"/>
      <c r="DM90" s="1114"/>
      <c r="DN90" s="1114"/>
      <c r="DO90" s="1114"/>
      <c r="DP90" s="1114"/>
      <c r="DQ90" s="1114"/>
      <c r="DR90" s="1114"/>
      <c r="DS90" s="1114"/>
      <c r="DT90" s="1114"/>
      <c r="DU90" s="1114"/>
      <c r="DV90" s="1115"/>
      <c r="DW90" s="1116"/>
      <c r="DX90" s="1116"/>
      <c r="DY90" s="1116"/>
      <c r="DZ90" s="1116"/>
      <c r="EA90" s="1116"/>
      <c r="EB90" s="1116"/>
      <c r="EC90" s="1116"/>
      <c r="ED90" s="1116"/>
      <c r="EE90" s="1116"/>
      <c r="EF90" s="1116"/>
      <c r="EG90" s="1116"/>
      <c r="EH90" s="1116"/>
      <c r="EI90" s="1116"/>
      <c r="EJ90" s="1116"/>
      <c r="EK90" s="1116"/>
      <c r="EL90" s="1116"/>
      <c r="EM90" s="1116"/>
      <c r="EN90" s="1116"/>
      <c r="EO90" s="1116"/>
      <c r="EP90" s="1116"/>
      <c r="EQ90" s="1116"/>
      <c r="ER90" s="1116"/>
      <c r="ES90" s="1116"/>
    </row>
    <row r="91" spans="1:149" s="34" customFormat="1" ht="15" customHeight="1">
      <c r="A91" s="1185">
        <v>81</v>
      </c>
      <c r="B91" s="1041"/>
      <c r="C91" s="1050"/>
      <c r="D91" s="1050"/>
      <c r="E91" s="1050"/>
      <c r="F91" s="1049"/>
      <c r="G91" s="1049"/>
      <c r="H91" s="1049"/>
      <c r="I91" s="1049"/>
      <c r="J91" s="1050"/>
      <c r="K91" s="1050"/>
      <c r="L91" s="1043"/>
      <c r="M91" s="1051"/>
      <c r="N91" s="1051"/>
      <c r="O91" s="1052"/>
      <c r="P91" s="1051"/>
      <c r="Q91" s="1051"/>
      <c r="R91" s="1052"/>
      <c r="S91" s="1051"/>
      <c r="T91" s="1051"/>
      <c r="U91" s="1052"/>
      <c r="V91" s="1051"/>
      <c r="W91" s="1051"/>
      <c r="X91" s="1052"/>
      <c r="Y91" s="1053"/>
      <c r="Z91" s="1051"/>
      <c r="AA91" s="1051"/>
      <c r="AB91" s="1052"/>
      <c r="AC91" s="1051"/>
      <c r="AD91" s="1051"/>
      <c r="AE91" s="1052"/>
      <c r="AF91" s="1051"/>
      <c r="AG91" s="1051"/>
      <c r="AH91" s="1051"/>
      <c r="AI91" s="1051"/>
      <c r="AJ91" s="1052"/>
      <c r="AK91" s="1051"/>
      <c r="AL91" s="1051"/>
      <c r="AM91" s="1052"/>
      <c r="AN91" s="1051"/>
      <c r="AO91" s="1051"/>
      <c r="AP91" s="1052"/>
      <c r="AQ91" s="1051"/>
      <c r="AR91" s="1051"/>
      <c r="AS91" s="1052"/>
      <c r="AT91" s="1051"/>
      <c r="AU91" s="1051"/>
      <c r="AV91" s="1052"/>
      <c r="AW91" s="1051"/>
      <c r="AX91" s="1051"/>
      <c r="AY91" s="1053"/>
      <c r="AZ91" s="1051"/>
      <c r="BA91" s="1051"/>
      <c r="BB91" s="1053"/>
      <c r="BC91" s="1051"/>
      <c r="BD91" s="1051"/>
      <c r="BE91" s="1053"/>
      <c r="BF91" s="1051"/>
      <c r="BG91" s="1051"/>
      <c r="BH91" s="1053"/>
      <c r="BI91" s="1052"/>
      <c r="BJ91" s="1052"/>
      <c r="BK91" s="1052"/>
      <c r="BL91" s="1052"/>
      <c r="BM91" s="1052"/>
      <c r="BN91" s="1054"/>
      <c r="BO91" s="1076">
        <f t="shared" si="2"/>
        <v>0</v>
      </c>
      <c r="BP91" s="1051"/>
      <c r="BQ91" s="1052"/>
      <c r="BR91" s="1054"/>
      <c r="BS91" s="1053"/>
      <c r="BT91" s="1051"/>
      <c r="BU91" s="1051"/>
      <c r="BV91" s="1051"/>
      <c r="BW91" s="1052"/>
      <c r="BX91" s="1052"/>
      <c r="BY91" s="1052"/>
      <c r="BZ91" s="1052"/>
      <c r="CA91" s="1052"/>
      <c r="CB91" s="1053"/>
      <c r="CC91" s="1053"/>
      <c r="CD91" s="1053"/>
      <c r="CE91" s="1053"/>
      <c r="CF91" s="1053"/>
      <c r="CG91" s="1053"/>
      <c r="CH91" s="1053"/>
      <c r="CI91" s="1123"/>
      <c r="CJ91" s="1123"/>
      <c r="CK91" s="1123"/>
      <c r="CL91" s="1123"/>
      <c r="CM91" s="1123"/>
      <c r="CN91" s="1123"/>
      <c r="CO91" s="1123"/>
      <c r="CP91" s="1123"/>
      <c r="CQ91" s="1123"/>
      <c r="CR91" s="1123"/>
      <c r="CS91" s="1123"/>
      <c r="CT91" s="1123"/>
      <c r="CU91" s="1123"/>
      <c r="CV91" s="1123"/>
      <c r="CW91" s="1123"/>
      <c r="CX91" s="1123"/>
      <c r="CY91" s="1123"/>
      <c r="CZ91" s="1114"/>
      <c r="DA91" s="1114"/>
      <c r="DB91" s="1114"/>
      <c r="DC91" s="1114"/>
      <c r="DD91" s="1114"/>
      <c r="DE91" s="1114"/>
      <c r="DF91" s="1114"/>
      <c r="DG91" s="1114"/>
      <c r="DH91" s="1114"/>
      <c r="DI91" s="1114"/>
      <c r="DJ91" s="1114"/>
      <c r="DK91" s="1114"/>
      <c r="DL91" s="1114"/>
      <c r="DM91" s="1114"/>
      <c r="DN91" s="1114"/>
      <c r="DO91" s="1114"/>
      <c r="DP91" s="1114"/>
      <c r="DQ91" s="1114"/>
      <c r="DR91" s="1114"/>
      <c r="DS91" s="1114"/>
      <c r="DT91" s="1114"/>
      <c r="DU91" s="1114"/>
      <c r="DV91" s="1115"/>
      <c r="DW91" s="1116"/>
      <c r="DX91" s="1116"/>
      <c r="DY91" s="1116"/>
      <c r="DZ91" s="1116"/>
      <c r="EA91" s="1116"/>
      <c r="EB91" s="1116"/>
      <c r="EC91" s="1116"/>
      <c r="ED91" s="1116"/>
      <c r="EE91" s="1116"/>
      <c r="EF91" s="1116"/>
      <c r="EG91" s="1116"/>
      <c r="EH91" s="1116"/>
      <c r="EI91" s="1116"/>
      <c r="EJ91" s="1116"/>
      <c r="EK91" s="1116"/>
      <c r="EL91" s="1116"/>
      <c r="EM91" s="1116"/>
      <c r="EN91" s="1116"/>
      <c r="EO91" s="1116"/>
      <c r="EP91" s="1116"/>
      <c r="EQ91" s="1116"/>
      <c r="ER91" s="1116"/>
      <c r="ES91" s="1116"/>
    </row>
    <row r="92" spans="1:149" ht="15" customHeight="1">
      <c r="A92" s="1185">
        <v>82</v>
      </c>
      <c r="B92" s="1041"/>
      <c r="C92" s="1050"/>
      <c r="D92" s="1050"/>
      <c r="E92" s="1050"/>
      <c r="F92" s="1049"/>
      <c r="G92" s="1049"/>
      <c r="H92" s="1049"/>
      <c r="I92" s="1049"/>
      <c r="J92" s="1050"/>
      <c r="K92" s="1050"/>
      <c r="L92" s="1043"/>
      <c r="M92" s="1051"/>
      <c r="N92" s="1051"/>
      <c r="O92" s="1052"/>
      <c r="P92" s="1051"/>
      <c r="Q92" s="1051"/>
      <c r="R92" s="1052"/>
      <c r="S92" s="1051"/>
      <c r="T92" s="1051"/>
      <c r="U92" s="1052"/>
      <c r="V92" s="1051"/>
      <c r="W92" s="1051"/>
      <c r="X92" s="1052"/>
      <c r="Y92" s="1053"/>
      <c r="Z92" s="1051"/>
      <c r="AA92" s="1051"/>
      <c r="AB92" s="1052"/>
      <c r="AC92" s="1051"/>
      <c r="AD92" s="1051"/>
      <c r="AE92" s="1052"/>
      <c r="AF92" s="1051"/>
      <c r="AG92" s="1051"/>
      <c r="AH92" s="1051"/>
      <c r="AI92" s="1051"/>
      <c r="AJ92" s="1052"/>
      <c r="AK92" s="1051"/>
      <c r="AL92" s="1051"/>
      <c r="AM92" s="1052"/>
      <c r="AN92" s="1051"/>
      <c r="AO92" s="1051"/>
      <c r="AP92" s="1052"/>
      <c r="AQ92" s="1051"/>
      <c r="AR92" s="1051"/>
      <c r="AS92" s="1052"/>
      <c r="AT92" s="1051"/>
      <c r="AU92" s="1051"/>
      <c r="AV92" s="1052"/>
      <c r="AW92" s="1051"/>
      <c r="AX92" s="1051"/>
      <c r="AY92" s="1053"/>
      <c r="AZ92" s="1051"/>
      <c r="BA92" s="1051"/>
      <c r="BB92" s="1053"/>
      <c r="BC92" s="1051"/>
      <c r="BD92" s="1051"/>
      <c r="BE92" s="1053"/>
      <c r="BF92" s="1051"/>
      <c r="BG92" s="1051"/>
      <c r="BH92" s="1053"/>
      <c r="BI92" s="1052"/>
      <c r="BJ92" s="1052"/>
      <c r="BK92" s="1052"/>
      <c r="BL92" s="1052"/>
      <c r="BM92" s="1052"/>
      <c r="BN92" s="1054"/>
      <c r="BO92" s="1076">
        <f t="shared" si="2"/>
        <v>0</v>
      </c>
      <c r="BP92" s="1051"/>
      <c r="BQ92" s="1052"/>
      <c r="BR92" s="1054"/>
      <c r="BS92" s="1053"/>
      <c r="BT92" s="1051"/>
      <c r="BU92" s="1051"/>
      <c r="BV92" s="1051"/>
      <c r="BW92" s="1052"/>
      <c r="BX92" s="1052"/>
      <c r="BY92" s="1052"/>
      <c r="BZ92" s="1052"/>
      <c r="CA92" s="1052"/>
      <c r="CB92" s="1053"/>
      <c r="CC92" s="1053"/>
      <c r="CD92" s="1053"/>
      <c r="CE92" s="1053"/>
      <c r="CF92" s="1053"/>
      <c r="CG92" s="1053"/>
      <c r="CH92" s="1053"/>
      <c r="CI92" s="1123"/>
      <c r="CJ92" s="1123"/>
      <c r="CK92" s="1123"/>
      <c r="CL92" s="1123"/>
      <c r="CM92" s="1123"/>
      <c r="CN92" s="1123"/>
      <c r="CO92" s="1123"/>
      <c r="CP92" s="1123"/>
      <c r="CQ92" s="1123"/>
      <c r="CR92" s="1123"/>
      <c r="CS92" s="1123"/>
      <c r="CT92" s="1123"/>
      <c r="CU92" s="1123"/>
      <c r="CV92" s="1123"/>
      <c r="CW92" s="1123"/>
      <c r="CX92" s="1123"/>
      <c r="CY92" s="1123"/>
      <c r="CZ92" s="1114"/>
      <c r="DA92" s="1114"/>
      <c r="DB92" s="1114"/>
      <c r="DC92" s="1114"/>
      <c r="DD92" s="1114"/>
      <c r="DE92" s="1114"/>
      <c r="DF92" s="1114"/>
      <c r="DG92" s="1114"/>
      <c r="DH92" s="1114"/>
      <c r="DI92" s="1114"/>
      <c r="DJ92" s="1114"/>
      <c r="DK92" s="1114"/>
      <c r="DL92" s="1114"/>
      <c r="DM92" s="1114"/>
      <c r="DN92" s="1114"/>
      <c r="DO92" s="1114"/>
      <c r="DP92" s="1114"/>
      <c r="DQ92" s="1114"/>
      <c r="DR92" s="1114"/>
      <c r="DS92" s="1114"/>
      <c r="DT92" s="1114"/>
      <c r="DU92" s="1114"/>
      <c r="DV92" s="1115"/>
      <c r="DW92" s="1116"/>
      <c r="DX92" s="1116"/>
      <c r="DY92" s="1116"/>
      <c r="DZ92" s="1116"/>
      <c r="EA92" s="1116"/>
      <c r="EB92" s="1116"/>
      <c r="EC92" s="1116"/>
      <c r="ED92" s="1116"/>
      <c r="EE92" s="1116"/>
      <c r="EF92" s="1116"/>
      <c r="EG92" s="1116"/>
      <c r="EH92" s="1116"/>
      <c r="EI92" s="1116"/>
      <c r="EJ92" s="1116"/>
      <c r="EK92" s="1116"/>
      <c r="EL92" s="1116"/>
      <c r="EM92" s="1116"/>
      <c r="EN92" s="1116"/>
      <c r="EO92" s="1116"/>
      <c r="EP92" s="1116"/>
      <c r="EQ92" s="1116"/>
      <c r="ER92" s="1116"/>
      <c r="ES92" s="1116"/>
    </row>
    <row r="93" spans="1:149" ht="15" customHeight="1">
      <c r="A93" s="1185">
        <v>83</v>
      </c>
      <c r="B93" s="1041"/>
      <c r="C93" s="1050"/>
      <c r="D93" s="1050"/>
      <c r="E93" s="1050"/>
      <c r="F93" s="1049"/>
      <c r="G93" s="1049"/>
      <c r="H93" s="1049"/>
      <c r="I93" s="1049"/>
      <c r="J93" s="1050"/>
      <c r="K93" s="1050"/>
      <c r="L93" s="1043"/>
      <c r="M93" s="1051"/>
      <c r="N93" s="1051"/>
      <c r="O93" s="1052"/>
      <c r="P93" s="1051"/>
      <c r="Q93" s="1051"/>
      <c r="R93" s="1052"/>
      <c r="S93" s="1051"/>
      <c r="T93" s="1051"/>
      <c r="U93" s="1052"/>
      <c r="V93" s="1051"/>
      <c r="W93" s="1051"/>
      <c r="X93" s="1052"/>
      <c r="Y93" s="1053"/>
      <c r="Z93" s="1051"/>
      <c r="AA93" s="1051"/>
      <c r="AB93" s="1052"/>
      <c r="AC93" s="1051"/>
      <c r="AD93" s="1051"/>
      <c r="AE93" s="1052"/>
      <c r="AF93" s="1051"/>
      <c r="AG93" s="1051"/>
      <c r="AH93" s="1051"/>
      <c r="AI93" s="1051"/>
      <c r="AJ93" s="1052"/>
      <c r="AK93" s="1051"/>
      <c r="AL93" s="1051"/>
      <c r="AM93" s="1052"/>
      <c r="AN93" s="1051"/>
      <c r="AO93" s="1051"/>
      <c r="AP93" s="1052"/>
      <c r="AQ93" s="1051"/>
      <c r="AR93" s="1051"/>
      <c r="AS93" s="1052"/>
      <c r="AT93" s="1051"/>
      <c r="AU93" s="1051"/>
      <c r="AV93" s="1052"/>
      <c r="AW93" s="1051"/>
      <c r="AX93" s="1051"/>
      <c r="AY93" s="1053"/>
      <c r="AZ93" s="1051"/>
      <c r="BA93" s="1051"/>
      <c r="BB93" s="1053"/>
      <c r="BC93" s="1051"/>
      <c r="BD93" s="1051"/>
      <c r="BE93" s="1053"/>
      <c r="BF93" s="1051"/>
      <c r="BG93" s="1051"/>
      <c r="BH93" s="1053"/>
      <c r="BI93" s="1052"/>
      <c r="BJ93" s="1052"/>
      <c r="BK93" s="1052"/>
      <c r="BL93" s="1052"/>
      <c r="BM93" s="1052"/>
      <c r="BN93" s="1054"/>
      <c r="BO93" s="1076">
        <f t="shared" si="2"/>
        <v>0</v>
      </c>
      <c r="BP93" s="1051"/>
      <c r="BQ93" s="1052"/>
      <c r="BR93" s="1054"/>
      <c r="BS93" s="1053"/>
      <c r="BT93" s="1051"/>
      <c r="BU93" s="1051"/>
      <c r="BV93" s="1051"/>
      <c r="BW93" s="1052"/>
      <c r="BX93" s="1052"/>
      <c r="BY93" s="1052"/>
      <c r="BZ93" s="1052"/>
      <c r="CA93" s="1052"/>
      <c r="CB93" s="1053"/>
      <c r="CC93" s="1053"/>
      <c r="CD93" s="1053"/>
      <c r="CE93" s="1053"/>
      <c r="CF93" s="1053"/>
      <c r="CG93" s="1053"/>
      <c r="CH93" s="1053"/>
      <c r="CI93" s="1123"/>
      <c r="CJ93" s="1123"/>
      <c r="CK93" s="1123"/>
      <c r="CL93" s="1123"/>
      <c r="CM93" s="1123"/>
      <c r="CN93" s="1123"/>
      <c r="CO93" s="1123"/>
      <c r="CP93" s="1123"/>
      <c r="CQ93" s="1123"/>
      <c r="CR93" s="1123"/>
      <c r="CS93" s="1123"/>
      <c r="CT93" s="1123"/>
      <c r="CU93" s="1123"/>
      <c r="CV93" s="1123"/>
      <c r="CW93" s="1123"/>
      <c r="CX93" s="1123"/>
      <c r="CY93" s="1123"/>
      <c r="CZ93" s="1114"/>
      <c r="DA93" s="1114"/>
      <c r="DB93" s="1114"/>
      <c r="DC93" s="1114"/>
      <c r="DD93" s="1114"/>
      <c r="DE93" s="1114"/>
      <c r="DF93" s="1114"/>
      <c r="DG93" s="1114"/>
      <c r="DH93" s="1114"/>
      <c r="DI93" s="1114"/>
      <c r="DJ93" s="1114"/>
      <c r="DK93" s="1114"/>
      <c r="DL93" s="1114"/>
      <c r="DM93" s="1114"/>
      <c r="DN93" s="1114"/>
      <c r="DO93" s="1114"/>
      <c r="DP93" s="1114"/>
      <c r="DQ93" s="1114"/>
      <c r="DR93" s="1114"/>
      <c r="DS93" s="1114"/>
      <c r="DT93" s="1114"/>
      <c r="DU93" s="1114"/>
      <c r="DV93" s="1115"/>
      <c r="DW93" s="1116"/>
      <c r="DX93" s="1116"/>
      <c r="DY93" s="1116"/>
      <c r="DZ93" s="1116"/>
      <c r="EA93" s="1116"/>
      <c r="EB93" s="1116"/>
      <c r="EC93" s="1116"/>
      <c r="ED93" s="1116"/>
      <c r="EE93" s="1116"/>
      <c r="EF93" s="1116"/>
      <c r="EG93" s="1116"/>
      <c r="EH93" s="1116"/>
      <c r="EI93" s="1116"/>
      <c r="EJ93" s="1116"/>
      <c r="EK93" s="1116"/>
      <c r="EL93" s="1116"/>
      <c r="EM93" s="1116"/>
      <c r="EN93" s="1116"/>
      <c r="EO93" s="1116"/>
      <c r="EP93" s="1116"/>
      <c r="EQ93" s="1116"/>
      <c r="ER93" s="1116"/>
      <c r="ES93" s="1116"/>
    </row>
    <row r="94" spans="1:149" ht="15" customHeight="1">
      <c r="A94" s="1185">
        <v>84</v>
      </c>
      <c r="B94" s="1041"/>
      <c r="C94" s="1050"/>
      <c r="D94" s="1050"/>
      <c r="E94" s="1050"/>
      <c r="F94" s="1049"/>
      <c r="G94" s="1049"/>
      <c r="H94" s="1049"/>
      <c r="I94" s="1049"/>
      <c r="J94" s="1050"/>
      <c r="K94" s="1050"/>
      <c r="L94" s="1043"/>
      <c r="M94" s="1051"/>
      <c r="N94" s="1051"/>
      <c r="O94" s="1052"/>
      <c r="P94" s="1051"/>
      <c r="Q94" s="1051"/>
      <c r="R94" s="1052"/>
      <c r="S94" s="1051"/>
      <c r="T94" s="1051"/>
      <c r="U94" s="1052"/>
      <c r="V94" s="1051"/>
      <c r="W94" s="1051"/>
      <c r="X94" s="1052"/>
      <c r="Y94" s="1053"/>
      <c r="Z94" s="1051"/>
      <c r="AA94" s="1051"/>
      <c r="AB94" s="1052"/>
      <c r="AC94" s="1051"/>
      <c r="AD94" s="1051"/>
      <c r="AE94" s="1052"/>
      <c r="AF94" s="1051"/>
      <c r="AG94" s="1051"/>
      <c r="AH94" s="1051"/>
      <c r="AI94" s="1051"/>
      <c r="AJ94" s="1052"/>
      <c r="AK94" s="1051"/>
      <c r="AL94" s="1051"/>
      <c r="AM94" s="1052"/>
      <c r="AN94" s="1051"/>
      <c r="AO94" s="1051"/>
      <c r="AP94" s="1052"/>
      <c r="AQ94" s="1051"/>
      <c r="AR94" s="1051"/>
      <c r="AS94" s="1052"/>
      <c r="AT94" s="1051"/>
      <c r="AU94" s="1051"/>
      <c r="AV94" s="1052"/>
      <c r="AW94" s="1051"/>
      <c r="AX94" s="1051"/>
      <c r="AY94" s="1053"/>
      <c r="AZ94" s="1051"/>
      <c r="BA94" s="1051"/>
      <c r="BB94" s="1053"/>
      <c r="BC94" s="1051"/>
      <c r="BD94" s="1051"/>
      <c r="BE94" s="1053"/>
      <c r="BF94" s="1051"/>
      <c r="BG94" s="1051"/>
      <c r="BH94" s="1053"/>
      <c r="BI94" s="1052"/>
      <c r="BJ94" s="1052"/>
      <c r="BK94" s="1052"/>
      <c r="BL94" s="1052"/>
      <c r="BM94" s="1052"/>
      <c r="BN94" s="1054"/>
      <c r="BO94" s="1076">
        <f t="shared" si="2"/>
        <v>0</v>
      </c>
      <c r="BP94" s="1051"/>
      <c r="BQ94" s="1052"/>
      <c r="BR94" s="1054"/>
      <c r="BS94" s="1053"/>
      <c r="BT94" s="1051"/>
      <c r="BU94" s="1051"/>
      <c r="BV94" s="1051"/>
      <c r="BW94" s="1052"/>
      <c r="BX94" s="1052"/>
      <c r="BY94" s="1052"/>
      <c r="BZ94" s="1052"/>
      <c r="CA94" s="1052"/>
      <c r="CB94" s="1053"/>
      <c r="CC94" s="1053"/>
      <c r="CD94" s="1053"/>
      <c r="CE94" s="1053"/>
      <c r="CF94" s="1053"/>
      <c r="CG94" s="1053"/>
      <c r="CH94" s="1053"/>
      <c r="CI94" s="1123"/>
      <c r="CJ94" s="1123"/>
      <c r="CK94" s="1123"/>
      <c r="CL94" s="1123"/>
      <c r="CM94" s="1123"/>
      <c r="CN94" s="1123"/>
      <c r="CO94" s="1123"/>
      <c r="CP94" s="1123"/>
      <c r="CQ94" s="1123"/>
      <c r="CR94" s="1123"/>
      <c r="CS94" s="1123"/>
      <c r="CT94" s="1123"/>
      <c r="CU94" s="1123"/>
      <c r="CV94" s="1123"/>
      <c r="CW94" s="1123"/>
      <c r="CX94" s="1123"/>
      <c r="CY94" s="1123"/>
      <c r="CZ94" s="1114"/>
      <c r="DA94" s="1114"/>
      <c r="DB94" s="1114"/>
      <c r="DC94" s="1114"/>
      <c r="DD94" s="1114"/>
      <c r="DE94" s="1114"/>
      <c r="DF94" s="1114"/>
      <c r="DG94" s="1114"/>
      <c r="DH94" s="1114"/>
      <c r="DI94" s="1114"/>
      <c r="DJ94" s="1114"/>
      <c r="DK94" s="1114"/>
      <c r="DL94" s="1114"/>
      <c r="DM94" s="1114"/>
      <c r="DN94" s="1114"/>
      <c r="DO94" s="1114"/>
      <c r="DP94" s="1114"/>
      <c r="DQ94" s="1114"/>
      <c r="DR94" s="1114"/>
      <c r="DS94" s="1114"/>
      <c r="DT94" s="1114"/>
      <c r="DU94" s="1114"/>
      <c r="DV94" s="1115"/>
      <c r="DW94" s="1116"/>
      <c r="DX94" s="1116"/>
      <c r="DY94" s="1116"/>
      <c r="DZ94" s="1116"/>
      <c r="EA94" s="1116"/>
      <c r="EB94" s="1116"/>
      <c r="EC94" s="1116"/>
      <c r="ED94" s="1116"/>
      <c r="EE94" s="1116"/>
      <c r="EF94" s="1116"/>
      <c r="EG94" s="1116"/>
      <c r="EH94" s="1116"/>
      <c r="EI94" s="1116"/>
      <c r="EJ94" s="1116"/>
      <c r="EK94" s="1116"/>
      <c r="EL94" s="1116"/>
      <c r="EM94" s="1116"/>
      <c r="EN94" s="1116"/>
      <c r="EO94" s="1116"/>
      <c r="EP94" s="1116"/>
      <c r="EQ94" s="1116"/>
      <c r="ER94" s="1116"/>
      <c r="ES94" s="1116"/>
    </row>
    <row r="95" spans="1:149" ht="15" customHeight="1">
      <c r="A95" s="1185">
        <v>85</v>
      </c>
      <c r="B95" s="1041"/>
      <c r="C95" s="1050"/>
      <c r="D95" s="1050"/>
      <c r="E95" s="1050"/>
      <c r="F95" s="1049"/>
      <c r="G95" s="1049"/>
      <c r="H95" s="1049"/>
      <c r="I95" s="1049"/>
      <c r="J95" s="1050"/>
      <c r="K95" s="1050"/>
      <c r="L95" s="1043"/>
      <c r="M95" s="1051"/>
      <c r="N95" s="1051"/>
      <c r="O95" s="1052"/>
      <c r="P95" s="1051"/>
      <c r="Q95" s="1051"/>
      <c r="R95" s="1052"/>
      <c r="S95" s="1051"/>
      <c r="T95" s="1051"/>
      <c r="U95" s="1052"/>
      <c r="V95" s="1051"/>
      <c r="W95" s="1051"/>
      <c r="X95" s="1052"/>
      <c r="Y95" s="1053"/>
      <c r="Z95" s="1051"/>
      <c r="AA95" s="1051"/>
      <c r="AB95" s="1052"/>
      <c r="AC95" s="1051"/>
      <c r="AD95" s="1051"/>
      <c r="AE95" s="1052"/>
      <c r="AF95" s="1051"/>
      <c r="AG95" s="1051"/>
      <c r="AH95" s="1051"/>
      <c r="AI95" s="1051"/>
      <c r="AJ95" s="1052"/>
      <c r="AK95" s="1051"/>
      <c r="AL95" s="1051"/>
      <c r="AM95" s="1052"/>
      <c r="AN95" s="1051"/>
      <c r="AO95" s="1051"/>
      <c r="AP95" s="1052"/>
      <c r="AQ95" s="1051"/>
      <c r="AR95" s="1051"/>
      <c r="AS95" s="1052"/>
      <c r="AT95" s="1051"/>
      <c r="AU95" s="1051"/>
      <c r="AV95" s="1052"/>
      <c r="AW95" s="1051"/>
      <c r="AX95" s="1051"/>
      <c r="AY95" s="1053"/>
      <c r="AZ95" s="1051"/>
      <c r="BA95" s="1051"/>
      <c r="BB95" s="1053"/>
      <c r="BC95" s="1051"/>
      <c r="BD95" s="1051"/>
      <c r="BE95" s="1053"/>
      <c r="BF95" s="1051"/>
      <c r="BG95" s="1051"/>
      <c r="BH95" s="1053"/>
      <c r="BI95" s="1052"/>
      <c r="BJ95" s="1052"/>
      <c r="BK95" s="1052"/>
      <c r="BL95" s="1052"/>
      <c r="BM95" s="1052"/>
      <c r="BN95" s="1054"/>
      <c r="BO95" s="1076">
        <f t="shared" si="2"/>
        <v>0</v>
      </c>
      <c r="BP95" s="1051"/>
      <c r="BQ95" s="1052"/>
      <c r="BR95" s="1054"/>
      <c r="BS95" s="1053"/>
      <c r="BT95" s="1051"/>
      <c r="BU95" s="1051"/>
      <c r="BV95" s="1051"/>
      <c r="BW95" s="1052"/>
      <c r="BX95" s="1052"/>
      <c r="BY95" s="1052"/>
      <c r="BZ95" s="1052"/>
      <c r="CA95" s="1052"/>
      <c r="CB95" s="1053"/>
      <c r="CC95" s="1053"/>
      <c r="CD95" s="1053"/>
      <c r="CE95" s="1053"/>
      <c r="CF95" s="1053"/>
      <c r="CG95" s="1053"/>
      <c r="CH95" s="1053"/>
      <c r="CI95" s="1123"/>
      <c r="CJ95" s="1123"/>
      <c r="CK95" s="1123"/>
      <c r="CL95" s="1123"/>
      <c r="CM95" s="1123"/>
      <c r="CN95" s="1123"/>
      <c r="CO95" s="1123"/>
      <c r="CP95" s="1123"/>
      <c r="CQ95" s="1123"/>
      <c r="CR95" s="1123"/>
      <c r="CS95" s="1123"/>
      <c r="CT95" s="1123"/>
      <c r="CU95" s="1123"/>
      <c r="CV95" s="1123"/>
      <c r="CW95" s="1123"/>
      <c r="CX95" s="1123"/>
      <c r="CY95" s="1123"/>
      <c r="CZ95" s="1114"/>
      <c r="DA95" s="1114"/>
      <c r="DB95" s="1114"/>
      <c r="DC95" s="1114"/>
      <c r="DD95" s="1114"/>
      <c r="DE95" s="1114"/>
      <c r="DF95" s="1114"/>
      <c r="DG95" s="1114"/>
      <c r="DH95" s="1114"/>
      <c r="DI95" s="1114"/>
      <c r="DJ95" s="1114"/>
      <c r="DK95" s="1114"/>
      <c r="DL95" s="1114"/>
      <c r="DM95" s="1114"/>
      <c r="DN95" s="1114"/>
      <c r="DO95" s="1114"/>
      <c r="DP95" s="1114"/>
      <c r="DQ95" s="1114"/>
      <c r="DR95" s="1114"/>
      <c r="DS95" s="1114"/>
      <c r="DT95" s="1114"/>
      <c r="DU95" s="1114"/>
      <c r="DV95" s="1115"/>
      <c r="DW95" s="1116"/>
      <c r="DX95" s="1116"/>
      <c r="DY95" s="1116"/>
      <c r="DZ95" s="1116"/>
      <c r="EA95" s="1116"/>
      <c r="EB95" s="1116"/>
      <c r="EC95" s="1116"/>
      <c r="ED95" s="1116"/>
      <c r="EE95" s="1116"/>
      <c r="EF95" s="1116"/>
      <c r="EG95" s="1116"/>
      <c r="EH95" s="1116"/>
      <c r="EI95" s="1116"/>
      <c r="EJ95" s="1116"/>
      <c r="EK95" s="1116"/>
      <c r="EL95" s="1116"/>
      <c r="EM95" s="1116"/>
      <c r="EN95" s="1116"/>
      <c r="EO95" s="1116"/>
      <c r="EP95" s="1116"/>
      <c r="EQ95" s="1116"/>
      <c r="ER95" s="1116"/>
      <c r="ES95" s="1116"/>
    </row>
    <row r="96" spans="1:149" ht="15" customHeight="1">
      <c r="A96" s="1185">
        <v>86</v>
      </c>
      <c r="B96" s="1041"/>
      <c r="C96" s="1050"/>
      <c r="D96" s="1050"/>
      <c r="E96" s="1050"/>
      <c r="F96" s="1049"/>
      <c r="G96" s="1049"/>
      <c r="H96" s="1049"/>
      <c r="I96" s="1049"/>
      <c r="J96" s="1050"/>
      <c r="K96" s="1050"/>
      <c r="L96" s="1043"/>
      <c r="M96" s="1051"/>
      <c r="N96" s="1051"/>
      <c r="O96" s="1052"/>
      <c r="P96" s="1051"/>
      <c r="Q96" s="1051"/>
      <c r="R96" s="1052"/>
      <c r="S96" s="1051"/>
      <c r="T96" s="1051"/>
      <c r="U96" s="1052"/>
      <c r="V96" s="1051"/>
      <c r="W96" s="1051"/>
      <c r="X96" s="1052"/>
      <c r="Y96" s="1053"/>
      <c r="Z96" s="1051"/>
      <c r="AA96" s="1051"/>
      <c r="AB96" s="1052"/>
      <c r="AC96" s="1051"/>
      <c r="AD96" s="1051"/>
      <c r="AE96" s="1052"/>
      <c r="AF96" s="1051"/>
      <c r="AG96" s="1051"/>
      <c r="AH96" s="1051"/>
      <c r="AI96" s="1051"/>
      <c r="AJ96" s="1052"/>
      <c r="AK96" s="1051"/>
      <c r="AL96" s="1051"/>
      <c r="AM96" s="1052"/>
      <c r="AN96" s="1051"/>
      <c r="AO96" s="1051"/>
      <c r="AP96" s="1052"/>
      <c r="AQ96" s="1051"/>
      <c r="AR96" s="1051"/>
      <c r="AS96" s="1052"/>
      <c r="AT96" s="1051"/>
      <c r="AU96" s="1051"/>
      <c r="AV96" s="1052"/>
      <c r="AW96" s="1051"/>
      <c r="AX96" s="1051"/>
      <c r="AY96" s="1053"/>
      <c r="AZ96" s="1051"/>
      <c r="BA96" s="1051"/>
      <c r="BB96" s="1053"/>
      <c r="BC96" s="1051"/>
      <c r="BD96" s="1051"/>
      <c r="BE96" s="1053"/>
      <c r="BF96" s="1051"/>
      <c r="BG96" s="1051"/>
      <c r="BH96" s="1053"/>
      <c r="BI96" s="1052"/>
      <c r="BJ96" s="1052"/>
      <c r="BK96" s="1052"/>
      <c r="BL96" s="1052"/>
      <c r="BM96" s="1052"/>
      <c r="BN96" s="1054"/>
      <c r="BO96" s="1076">
        <f t="shared" si="2"/>
        <v>0</v>
      </c>
      <c r="BP96" s="1051"/>
      <c r="BQ96" s="1052"/>
      <c r="BR96" s="1054"/>
      <c r="BS96" s="1053"/>
      <c r="BT96" s="1051"/>
      <c r="BU96" s="1051"/>
      <c r="BV96" s="1051"/>
      <c r="BW96" s="1052"/>
      <c r="BX96" s="1052"/>
      <c r="BY96" s="1052"/>
      <c r="BZ96" s="1052"/>
      <c r="CA96" s="1052"/>
      <c r="CB96" s="1053"/>
      <c r="CC96" s="1053"/>
      <c r="CD96" s="1053"/>
      <c r="CE96" s="1053"/>
      <c r="CF96" s="1053"/>
      <c r="CG96" s="1053"/>
      <c r="CH96" s="1053"/>
      <c r="CI96" s="1123"/>
      <c r="CJ96" s="1123"/>
      <c r="CK96" s="1123"/>
      <c r="CL96" s="1123"/>
      <c r="CM96" s="1123"/>
      <c r="CN96" s="1123"/>
      <c r="CO96" s="1123"/>
      <c r="CP96" s="1123"/>
      <c r="CQ96" s="1123"/>
      <c r="CR96" s="1123"/>
      <c r="CS96" s="1123"/>
      <c r="CT96" s="1123"/>
      <c r="CU96" s="1123"/>
      <c r="CV96" s="1123"/>
      <c r="CW96" s="1123"/>
      <c r="CX96" s="1123"/>
      <c r="CY96" s="1123"/>
      <c r="CZ96" s="1114"/>
      <c r="DA96" s="1114"/>
      <c r="DB96" s="1114"/>
      <c r="DC96" s="1114"/>
      <c r="DD96" s="1114"/>
      <c r="DE96" s="1114"/>
      <c r="DF96" s="1114"/>
      <c r="DG96" s="1114"/>
      <c r="DH96" s="1114"/>
      <c r="DI96" s="1114"/>
      <c r="DJ96" s="1114"/>
      <c r="DK96" s="1114"/>
      <c r="DL96" s="1114"/>
      <c r="DM96" s="1114"/>
      <c r="DN96" s="1114"/>
      <c r="DO96" s="1114"/>
      <c r="DP96" s="1114"/>
      <c r="DQ96" s="1114"/>
      <c r="DR96" s="1114"/>
      <c r="DS96" s="1114"/>
      <c r="DT96" s="1114"/>
      <c r="DU96" s="1114"/>
      <c r="DV96" s="1115"/>
      <c r="DW96" s="1116"/>
      <c r="DX96" s="1116"/>
      <c r="DY96" s="1116"/>
      <c r="DZ96" s="1116"/>
      <c r="EA96" s="1116"/>
      <c r="EB96" s="1116"/>
      <c r="EC96" s="1116"/>
      <c r="ED96" s="1116"/>
      <c r="EE96" s="1116"/>
      <c r="EF96" s="1116"/>
      <c r="EG96" s="1116"/>
      <c r="EH96" s="1116"/>
      <c r="EI96" s="1116"/>
      <c r="EJ96" s="1116"/>
      <c r="EK96" s="1116"/>
      <c r="EL96" s="1116"/>
      <c r="EM96" s="1116"/>
      <c r="EN96" s="1116"/>
      <c r="EO96" s="1116"/>
      <c r="EP96" s="1116"/>
      <c r="EQ96" s="1116"/>
      <c r="ER96" s="1116"/>
      <c r="ES96" s="1116"/>
    </row>
    <row r="97" spans="1:149" ht="15" customHeight="1">
      <c r="A97" s="1185">
        <v>87</v>
      </c>
      <c r="B97" s="1041"/>
      <c r="C97" s="1050"/>
      <c r="D97" s="1050"/>
      <c r="E97" s="1050"/>
      <c r="F97" s="1049"/>
      <c r="G97" s="1049"/>
      <c r="H97" s="1049"/>
      <c r="I97" s="1049"/>
      <c r="J97" s="1050"/>
      <c r="K97" s="1050"/>
      <c r="L97" s="1043"/>
      <c r="M97" s="1051"/>
      <c r="N97" s="1051"/>
      <c r="O97" s="1052"/>
      <c r="P97" s="1051"/>
      <c r="Q97" s="1051"/>
      <c r="R97" s="1052"/>
      <c r="S97" s="1051"/>
      <c r="T97" s="1051"/>
      <c r="U97" s="1052"/>
      <c r="V97" s="1051"/>
      <c r="W97" s="1051"/>
      <c r="X97" s="1052"/>
      <c r="Y97" s="1053"/>
      <c r="Z97" s="1051"/>
      <c r="AA97" s="1051"/>
      <c r="AB97" s="1052"/>
      <c r="AC97" s="1051"/>
      <c r="AD97" s="1051"/>
      <c r="AE97" s="1052"/>
      <c r="AF97" s="1051"/>
      <c r="AG97" s="1051"/>
      <c r="AH97" s="1051"/>
      <c r="AI97" s="1051"/>
      <c r="AJ97" s="1052"/>
      <c r="AK97" s="1051"/>
      <c r="AL97" s="1051"/>
      <c r="AM97" s="1052"/>
      <c r="AN97" s="1051"/>
      <c r="AO97" s="1051"/>
      <c r="AP97" s="1052"/>
      <c r="AQ97" s="1051"/>
      <c r="AR97" s="1051"/>
      <c r="AS97" s="1052"/>
      <c r="AT97" s="1051"/>
      <c r="AU97" s="1051"/>
      <c r="AV97" s="1052"/>
      <c r="AW97" s="1051"/>
      <c r="AX97" s="1051"/>
      <c r="AY97" s="1053"/>
      <c r="AZ97" s="1051"/>
      <c r="BA97" s="1051"/>
      <c r="BB97" s="1053"/>
      <c r="BC97" s="1051"/>
      <c r="BD97" s="1051"/>
      <c r="BE97" s="1053"/>
      <c r="BF97" s="1051"/>
      <c r="BG97" s="1051"/>
      <c r="BH97" s="1053"/>
      <c r="BI97" s="1052"/>
      <c r="BJ97" s="1052"/>
      <c r="BK97" s="1052"/>
      <c r="BL97" s="1052"/>
      <c r="BM97" s="1052"/>
      <c r="BN97" s="1054"/>
      <c r="BO97" s="1076">
        <f t="shared" si="2"/>
        <v>0</v>
      </c>
      <c r="BP97" s="1051"/>
      <c r="BQ97" s="1052"/>
      <c r="BR97" s="1054"/>
      <c r="BS97" s="1053"/>
      <c r="BT97" s="1051"/>
      <c r="BU97" s="1051"/>
      <c r="BV97" s="1051"/>
      <c r="BW97" s="1052"/>
      <c r="BX97" s="1052"/>
      <c r="BY97" s="1052"/>
      <c r="BZ97" s="1052"/>
      <c r="CA97" s="1052"/>
      <c r="CB97" s="1053"/>
      <c r="CC97" s="1053"/>
      <c r="CD97" s="1053"/>
      <c r="CE97" s="1053"/>
      <c r="CF97" s="1053"/>
      <c r="CG97" s="1053"/>
      <c r="CH97" s="1053"/>
      <c r="CI97" s="1123"/>
      <c r="CJ97" s="1123"/>
      <c r="CK97" s="1123"/>
      <c r="CL97" s="1123"/>
      <c r="CM97" s="1123"/>
      <c r="CN97" s="1123"/>
      <c r="CO97" s="1123"/>
      <c r="CP97" s="1123"/>
      <c r="CQ97" s="1123"/>
      <c r="CR97" s="1123"/>
      <c r="CS97" s="1123"/>
      <c r="CT97" s="1123"/>
      <c r="CU97" s="1123"/>
      <c r="CV97" s="1123"/>
      <c r="CW97" s="1123"/>
      <c r="CX97" s="1123"/>
      <c r="CY97" s="1123"/>
      <c r="CZ97" s="1114"/>
      <c r="DA97" s="1114"/>
      <c r="DB97" s="1114"/>
      <c r="DC97" s="1114"/>
      <c r="DD97" s="1114"/>
      <c r="DE97" s="1114"/>
      <c r="DF97" s="1114"/>
      <c r="DG97" s="1114"/>
      <c r="DH97" s="1114"/>
      <c r="DI97" s="1114"/>
      <c r="DJ97" s="1114"/>
      <c r="DK97" s="1114"/>
      <c r="DL97" s="1114"/>
      <c r="DM97" s="1114"/>
      <c r="DN97" s="1114"/>
      <c r="DO97" s="1114"/>
      <c r="DP97" s="1114"/>
      <c r="DQ97" s="1114"/>
      <c r="DR97" s="1114"/>
      <c r="DS97" s="1114"/>
      <c r="DT97" s="1114"/>
      <c r="DU97" s="1114"/>
      <c r="DV97" s="1115"/>
      <c r="DW97" s="1116"/>
      <c r="DX97" s="1116"/>
      <c r="DY97" s="1116"/>
      <c r="DZ97" s="1116"/>
      <c r="EA97" s="1116"/>
      <c r="EB97" s="1116"/>
      <c r="EC97" s="1116"/>
      <c r="ED97" s="1116"/>
      <c r="EE97" s="1116"/>
      <c r="EF97" s="1116"/>
      <c r="EG97" s="1116"/>
      <c r="EH97" s="1116"/>
      <c r="EI97" s="1116"/>
      <c r="EJ97" s="1116"/>
      <c r="EK97" s="1116"/>
      <c r="EL97" s="1116"/>
      <c r="EM97" s="1116"/>
      <c r="EN97" s="1116"/>
      <c r="EO97" s="1116"/>
      <c r="EP97" s="1116"/>
      <c r="EQ97" s="1116"/>
      <c r="ER97" s="1116"/>
      <c r="ES97" s="1116"/>
    </row>
    <row r="98" spans="1:149" ht="15" customHeight="1">
      <c r="A98" s="1185">
        <v>88</v>
      </c>
      <c r="B98" s="1041"/>
      <c r="C98" s="1050"/>
      <c r="D98" s="1050"/>
      <c r="E98" s="1050"/>
      <c r="F98" s="1049"/>
      <c r="G98" s="1049"/>
      <c r="H98" s="1049"/>
      <c r="I98" s="1049"/>
      <c r="J98" s="1050"/>
      <c r="K98" s="1050"/>
      <c r="L98" s="1043"/>
      <c r="M98" s="1051"/>
      <c r="N98" s="1051"/>
      <c r="O98" s="1052"/>
      <c r="P98" s="1051"/>
      <c r="Q98" s="1051"/>
      <c r="R98" s="1052"/>
      <c r="S98" s="1051"/>
      <c r="T98" s="1051"/>
      <c r="U98" s="1052"/>
      <c r="V98" s="1051"/>
      <c r="W98" s="1051"/>
      <c r="X98" s="1052"/>
      <c r="Y98" s="1053"/>
      <c r="Z98" s="1051"/>
      <c r="AA98" s="1051"/>
      <c r="AB98" s="1052"/>
      <c r="AC98" s="1051"/>
      <c r="AD98" s="1051"/>
      <c r="AE98" s="1052"/>
      <c r="AF98" s="1051"/>
      <c r="AG98" s="1051"/>
      <c r="AH98" s="1051"/>
      <c r="AI98" s="1051"/>
      <c r="AJ98" s="1052"/>
      <c r="AK98" s="1051"/>
      <c r="AL98" s="1051"/>
      <c r="AM98" s="1052"/>
      <c r="AN98" s="1051"/>
      <c r="AO98" s="1051"/>
      <c r="AP98" s="1052"/>
      <c r="AQ98" s="1051"/>
      <c r="AR98" s="1051"/>
      <c r="AS98" s="1052"/>
      <c r="AT98" s="1051"/>
      <c r="AU98" s="1051"/>
      <c r="AV98" s="1052"/>
      <c r="AW98" s="1051"/>
      <c r="AX98" s="1051"/>
      <c r="AY98" s="1053"/>
      <c r="AZ98" s="1051"/>
      <c r="BA98" s="1051"/>
      <c r="BB98" s="1053"/>
      <c r="BC98" s="1051"/>
      <c r="BD98" s="1051"/>
      <c r="BE98" s="1053"/>
      <c r="BF98" s="1051"/>
      <c r="BG98" s="1051"/>
      <c r="BH98" s="1053"/>
      <c r="BI98" s="1052"/>
      <c r="BJ98" s="1052"/>
      <c r="BK98" s="1052"/>
      <c r="BL98" s="1052"/>
      <c r="BM98" s="1052"/>
      <c r="BN98" s="1054"/>
      <c r="BO98" s="1076">
        <f t="shared" si="2"/>
        <v>0</v>
      </c>
      <c r="BP98" s="1051"/>
      <c r="BQ98" s="1052"/>
      <c r="BR98" s="1054"/>
      <c r="BS98" s="1053"/>
      <c r="BT98" s="1051"/>
      <c r="BU98" s="1051"/>
      <c r="BV98" s="1051"/>
      <c r="BW98" s="1052"/>
      <c r="BX98" s="1052"/>
      <c r="BY98" s="1052"/>
      <c r="BZ98" s="1052"/>
      <c r="CA98" s="1052"/>
      <c r="CB98" s="1053"/>
      <c r="CC98" s="1053"/>
      <c r="CD98" s="1053"/>
      <c r="CE98" s="1053"/>
      <c r="CF98" s="1053"/>
      <c r="CG98" s="1053"/>
      <c r="CH98" s="1053"/>
      <c r="CI98" s="1123"/>
      <c r="CJ98" s="1123"/>
      <c r="CK98" s="1123"/>
      <c r="CL98" s="1123"/>
      <c r="CM98" s="1123"/>
      <c r="CN98" s="1123"/>
      <c r="CO98" s="1123"/>
      <c r="CP98" s="1123"/>
      <c r="CQ98" s="1123"/>
      <c r="CR98" s="1123"/>
      <c r="CS98" s="1123"/>
      <c r="CT98" s="1123"/>
      <c r="CU98" s="1123"/>
      <c r="CV98" s="1123"/>
      <c r="CW98" s="1123"/>
      <c r="CX98" s="1123"/>
      <c r="CY98" s="1123"/>
      <c r="CZ98" s="1114"/>
      <c r="DA98" s="1114"/>
      <c r="DB98" s="1114"/>
      <c r="DC98" s="1114"/>
      <c r="DD98" s="1114"/>
      <c r="DE98" s="1114"/>
      <c r="DF98" s="1114"/>
      <c r="DG98" s="1114"/>
      <c r="DH98" s="1114"/>
      <c r="DI98" s="1114"/>
      <c r="DJ98" s="1114"/>
      <c r="DK98" s="1114"/>
      <c r="DL98" s="1114"/>
      <c r="DM98" s="1114"/>
      <c r="DN98" s="1114"/>
      <c r="DO98" s="1114"/>
      <c r="DP98" s="1114"/>
      <c r="DQ98" s="1114"/>
      <c r="DR98" s="1114"/>
      <c r="DS98" s="1114"/>
      <c r="DT98" s="1114"/>
      <c r="DU98" s="1114"/>
      <c r="DV98" s="1115"/>
      <c r="DW98" s="1116"/>
      <c r="DX98" s="1116"/>
      <c r="DY98" s="1116"/>
      <c r="DZ98" s="1116"/>
      <c r="EA98" s="1116"/>
      <c r="EB98" s="1116"/>
      <c r="EC98" s="1116"/>
      <c r="ED98" s="1116"/>
      <c r="EE98" s="1116"/>
      <c r="EF98" s="1116"/>
      <c r="EG98" s="1116"/>
      <c r="EH98" s="1116"/>
      <c r="EI98" s="1116"/>
      <c r="EJ98" s="1116"/>
      <c r="EK98" s="1116"/>
      <c r="EL98" s="1116"/>
      <c r="EM98" s="1116"/>
      <c r="EN98" s="1116"/>
      <c r="EO98" s="1116"/>
      <c r="EP98" s="1116"/>
      <c r="EQ98" s="1116"/>
      <c r="ER98" s="1116"/>
      <c r="ES98" s="1116"/>
    </row>
    <row r="99" spans="1:149" ht="15" customHeight="1">
      <c r="A99" s="1185">
        <v>89</v>
      </c>
      <c r="B99" s="1041"/>
      <c r="C99" s="1050"/>
      <c r="D99" s="1050"/>
      <c r="E99" s="1050"/>
      <c r="F99" s="1049"/>
      <c r="G99" s="1049"/>
      <c r="H99" s="1049"/>
      <c r="I99" s="1049"/>
      <c r="J99" s="1050"/>
      <c r="K99" s="1050"/>
      <c r="L99" s="1043"/>
      <c r="M99" s="1051"/>
      <c r="N99" s="1051"/>
      <c r="O99" s="1052"/>
      <c r="P99" s="1051"/>
      <c r="Q99" s="1051"/>
      <c r="R99" s="1052"/>
      <c r="S99" s="1051"/>
      <c r="T99" s="1051"/>
      <c r="U99" s="1052"/>
      <c r="V99" s="1051"/>
      <c r="W99" s="1051"/>
      <c r="X99" s="1052"/>
      <c r="Y99" s="1053"/>
      <c r="Z99" s="1051"/>
      <c r="AA99" s="1051"/>
      <c r="AB99" s="1052"/>
      <c r="AC99" s="1051"/>
      <c r="AD99" s="1051"/>
      <c r="AE99" s="1052"/>
      <c r="AF99" s="1051"/>
      <c r="AG99" s="1051"/>
      <c r="AH99" s="1051"/>
      <c r="AI99" s="1051"/>
      <c r="AJ99" s="1052"/>
      <c r="AK99" s="1051"/>
      <c r="AL99" s="1051"/>
      <c r="AM99" s="1052"/>
      <c r="AN99" s="1051"/>
      <c r="AO99" s="1051"/>
      <c r="AP99" s="1052"/>
      <c r="AQ99" s="1051"/>
      <c r="AR99" s="1051"/>
      <c r="AS99" s="1052"/>
      <c r="AT99" s="1051"/>
      <c r="AU99" s="1051"/>
      <c r="AV99" s="1052"/>
      <c r="AW99" s="1051"/>
      <c r="AX99" s="1051"/>
      <c r="AY99" s="1053"/>
      <c r="AZ99" s="1051"/>
      <c r="BA99" s="1051"/>
      <c r="BB99" s="1053"/>
      <c r="BC99" s="1051"/>
      <c r="BD99" s="1051"/>
      <c r="BE99" s="1053"/>
      <c r="BF99" s="1051"/>
      <c r="BG99" s="1051"/>
      <c r="BH99" s="1053"/>
      <c r="BI99" s="1052"/>
      <c r="BJ99" s="1052"/>
      <c r="BK99" s="1052"/>
      <c r="BL99" s="1052"/>
      <c r="BM99" s="1052"/>
      <c r="BN99" s="1054"/>
      <c r="BO99" s="1076">
        <f t="shared" si="2"/>
        <v>0</v>
      </c>
      <c r="BP99" s="1051"/>
      <c r="BQ99" s="1052"/>
      <c r="BR99" s="1054"/>
      <c r="BS99" s="1053"/>
      <c r="BT99" s="1051"/>
      <c r="BU99" s="1051"/>
      <c r="BV99" s="1051"/>
      <c r="BW99" s="1052"/>
      <c r="BX99" s="1052"/>
      <c r="BY99" s="1052"/>
      <c r="BZ99" s="1052"/>
      <c r="CA99" s="1052"/>
      <c r="CB99" s="1053"/>
      <c r="CC99" s="1053"/>
      <c r="CD99" s="1053"/>
      <c r="CE99" s="1053"/>
      <c r="CF99" s="1053"/>
      <c r="CG99" s="1053"/>
      <c r="CH99" s="1053"/>
      <c r="CI99" s="1123"/>
      <c r="CJ99" s="1123"/>
      <c r="CK99" s="1123"/>
      <c r="CL99" s="1123"/>
      <c r="CM99" s="1123"/>
      <c r="CN99" s="1123"/>
      <c r="CO99" s="1123"/>
      <c r="CP99" s="1123"/>
      <c r="CQ99" s="1123"/>
      <c r="CR99" s="1123"/>
      <c r="CS99" s="1123"/>
      <c r="CT99" s="1123"/>
      <c r="CU99" s="1123"/>
      <c r="CV99" s="1123"/>
      <c r="CW99" s="1123"/>
      <c r="CX99" s="1123"/>
      <c r="CY99" s="1123"/>
      <c r="CZ99" s="1114"/>
      <c r="DA99" s="1114"/>
      <c r="DB99" s="1114"/>
      <c r="DC99" s="1114"/>
      <c r="DD99" s="1114"/>
      <c r="DE99" s="1114"/>
      <c r="DF99" s="1114"/>
      <c r="DG99" s="1114"/>
      <c r="DH99" s="1114"/>
      <c r="DI99" s="1114"/>
      <c r="DJ99" s="1114"/>
      <c r="DK99" s="1114"/>
      <c r="DL99" s="1114"/>
      <c r="DM99" s="1114"/>
      <c r="DN99" s="1114"/>
      <c r="DO99" s="1114"/>
      <c r="DP99" s="1114"/>
      <c r="DQ99" s="1114"/>
      <c r="DR99" s="1114"/>
      <c r="DS99" s="1114"/>
      <c r="DT99" s="1114"/>
      <c r="DU99" s="1114"/>
      <c r="DV99" s="1115"/>
      <c r="DW99" s="1116"/>
      <c r="DX99" s="1116"/>
      <c r="DY99" s="1116"/>
      <c r="DZ99" s="1116"/>
      <c r="EA99" s="1116"/>
      <c r="EB99" s="1116"/>
      <c r="EC99" s="1116"/>
      <c r="ED99" s="1116"/>
      <c r="EE99" s="1116"/>
      <c r="EF99" s="1116"/>
      <c r="EG99" s="1116"/>
      <c r="EH99" s="1116"/>
      <c r="EI99" s="1116"/>
      <c r="EJ99" s="1116"/>
      <c r="EK99" s="1116"/>
      <c r="EL99" s="1116"/>
      <c r="EM99" s="1116"/>
      <c r="EN99" s="1116"/>
      <c r="EO99" s="1116"/>
      <c r="EP99" s="1116"/>
      <c r="EQ99" s="1116"/>
      <c r="ER99" s="1116"/>
      <c r="ES99" s="1116"/>
    </row>
    <row r="100" spans="1:149" ht="15" customHeight="1">
      <c r="A100" s="1185">
        <v>90</v>
      </c>
      <c r="B100" s="1041"/>
      <c r="C100" s="1050"/>
      <c r="D100" s="1050"/>
      <c r="E100" s="1050"/>
      <c r="F100" s="1049"/>
      <c r="G100" s="1049"/>
      <c r="H100" s="1049"/>
      <c r="I100" s="1049"/>
      <c r="J100" s="1050"/>
      <c r="K100" s="1050"/>
      <c r="L100" s="1043"/>
      <c r="M100" s="1051"/>
      <c r="N100" s="1051"/>
      <c r="O100" s="1052"/>
      <c r="P100" s="1051"/>
      <c r="Q100" s="1051"/>
      <c r="R100" s="1052"/>
      <c r="S100" s="1051"/>
      <c r="T100" s="1051"/>
      <c r="U100" s="1052"/>
      <c r="V100" s="1051"/>
      <c r="W100" s="1051"/>
      <c r="X100" s="1052"/>
      <c r="Y100" s="1053"/>
      <c r="Z100" s="1051"/>
      <c r="AA100" s="1051"/>
      <c r="AB100" s="1052"/>
      <c r="AC100" s="1051"/>
      <c r="AD100" s="1051"/>
      <c r="AE100" s="1052"/>
      <c r="AF100" s="1051"/>
      <c r="AG100" s="1051"/>
      <c r="AH100" s="1051"/>
      <c r="AI100" s="1051"/>
      <c r="AJ100" s="1052"/>
      <c r="AK100" s="1051"/>
      <c r="AL100" s="1051"/>
      <c r="AM100" s="1052"/>
      <c r="AN100" s="1051"/>
      <c r="AO100" s="1051"/>
      <c r="AP100" s="1052"/>
      <c r="AQ100" s="1051"/>
      <c r="AR100" s="1051"/>
      <c r="AS100" s="1052"/>
      <c r="AT100" s="1051"/>
      <c r="AU100" s="1051"/>
      <c r="AV100" s="1052"/>
      <c r="AW100" s="1051"/>
      <c r="AX100" s="1051"/>
      <c r="AY100" s="1053"/>
      <c r="AZ100" s="1051"/>
      <c r="BA100" s="1051"/>
      <c r="BB100" s="1053"/>
      <c r="BC100" s="1051"/>
      <c r="BD100" s="1051"/>
      <c r="BE100" s="1053"/>
      <c r="BF100" s="1051"/>
      <c r="BG100" s="1051"/>
      <c r="BH100" s="1053"/>
      <c r="BI100" s="1052"/>
      <c r="BJ100" s="1052"/>
      <c r="BK100" s="1052"/>
      <c r="BL100" s="1052"/>
      <c r="BM100" s="1052"/>
      <c r="BN100" s="1054"/>
      <c r="BO100" s="1076">
        <f t="shared" si="2"/>
        <v>0</v>
      </c>
      <c r="BP100" s="1051"/>
      <c r="BQ100" s="1052"/>
      <c r="BR100" s="1054"/>
      <c r="BS100" s="1053"/>
      <c r="BT100" s="1051"/>
      <c r="BU100" s="1051"/>
      <c r="BV100" s="1051"/>
      <c r="BW100" s="1052"/>
      <c r="BX100" s="1052"/>
      <c r="BY100" s="1052"/>
      <c r="BZ100" s="1052"/>
      <c r="CA100" s="1052"/>
      <c r="CB100" s="1053"/>
      <c r="CC100" s="1053"/>
      <c r="CD100" s="1053"/>
      <c r="CE100" s="1053"/>
      <c r="CF100" s="1053"/>
      <c r="CG100" s="1053"/>
      <c r="CH100" s="1053"/>
      <c r="CI100" s="1123"/>
      <c r="CJ100" s="1123"/>
      <c r="CK100" s="1123"/>
      <c r="CL100" s="1123"/>
      <c r="CM100" s="1123"/>
      <c r="CN100" s="1123"/>
      <c r="CO100" s="1123"/>
      <c r="CP100" s="1123"/>
      <c r="CQ100" s="1123"/>
      <c r="CR100" s="1123"/>
      <c r="CS100" s="1123"/>
      <c r="CT100" s="1123"/>
      <c r="CU100" s="1123"/>
      <c r="CV100" s="1123"/>
      <c r="CW100" s="1123"/>
      <c r="CX100" s="1123"/>
      <c r="CY100" s="1123"/>
      <c r="CZ100" s="1114"/>
      <c r="DA100" s="1114"/>
      <c r="DB100" s="1114"/>
      <c r="DC100" s="1114"/>
      <c r="DD100" s="1114"/>
      <c r="DE100" s="1114"/>
      <c r="DF100" s="1114"/>
      <c r="DG100" s="1114"/>
      <c r="DH100" s="1114"/>
      <c r="DI100" s="1114"/>
      <c r="DJ100" s="1114"/>
      <c r="DK100" s="1114"/>
      <c r="DL100" s="1114"/>
      <c r="DM100" s="1114"/>
      <c r="DN100" s="1114"/>
      <c r="DO100" s="1114"/>
      <c r="DP100" s="1114"/>
      <c r="DQ100" s="1114"/>
      <c r="DR100" s="1114"/>
      <c r="DS100" s="1114"/>
      <c r="DT100" s="1114"/>
      <c r="DU100" s="1114"/>
      <c r="DV100" s="1115"/>
      <c r="DW100" s="1116"/>
      <c r="DX100" s="1116"/>
      <c r="DY100" s="1116"/>
      <c r="DZ100" s="1116"/>
      <c r="EA100" s="1116"/>
      <c r="EB100" s="1116"/>
      <c r="EC100" s="1116"/>
      <c r="ED100" s="1116"/>
      <c r="EE100" s="1116"/>
      <c r="EF100" s="1116"/>
      <c r="EG100" s="1116"/>
      <c r="EH100" s="1116"/>
      <c r="EI100" s="1116"/>
      <c r="EJ100" s="1116"/>
      <c r="EK100" s="1116"/>
      <c r="EL100" s="1116"/>
      <c r="EM100" s="1116"/>
      <c r="EN100" s="1116"/>
      <c r="EO100" s="1116"/>
      <c r="EP100" s="1116"/>
      <c r="EQ100" s="1116"/>
      <c r="ER100" s="1116"/>
      <c r="ES100" s="1116"/>
    </row>
    <row r="101" spans="1:149" ht="15" customHeight="1">
      <c r="A101" s="1185">
        <v>91</v>
      </c>
      <c r="B101" s="1041"/>
      <c r="C101" s="1050"/>
      <c r="D101" s="1050"/>
      <c r="E101" s="1050"/>
      <c r="F101" s="1049"/>
      <c r="G101" s="1049"/>
      <c r="H101" s="1049"/>
      <c r="I101" s="1049"/>
      <c r="J101" s="1050"/>
      <c r="K101" s="1050"/>
      <c r="L101" s="1043"/>
      <c r="M101" s="1051"/>
      <c r="N101" s="1051"/>
      <c r="O101" s="1052"/>
      <c r="P101" s="1051"/>
      <c r="Q101" s="1051"/>
      <c r="R101" s="1052"/>
      <c r="S101" s="1051"/>
      <c r="T101" s="1051"/>
      <c r="U101" s="1052"/>
      <c r="V101" s="1051"/>
      <c r="W101" s="1051"/>
      <c r="X101" s="1052"/>
      <c r="Y101" s="1053"/>
      <c r="Z101" s="1051"/>
      <c r="AA101" s="1051"/>
      <c r="AB101" s="1052"/>
      <c r="AC101" s="1051"/>
      <c r="AD101" s="1051"/>
      <c r="AE101" s="1052"/>
      <c r="AF101" s="1051"/>
      <c r="AG101" s="1051"/>
      <c r="AH101" s="1051"/>
      <c r="AI101" s="1051"/>
      <c r="AJ101" s="1052"/>
      <c r="AK101" s="1051"/>
      <c r="AL101" s="1051"/>
      <c r="AM101" s="1052"/>
      <c r="AN101" s="1051"/>
      <c r="AO101" s="1051"/>
      <c r="AP101" s="1052"/>
      <c r="AQ101" s="1051"/>
      <c r="AR101" s="1051"/>
      <c r="AS101" s="1052"/>
      <c r="AT101" s="1051"/>
      <c r="AU101" s="1051"/>
      <c r="AV101" s="1052"/>
      <c r="AW101" s="1051"/>
      <c r="AX101" s="1051"/>
      <c r="AY101" s="1053"/>
      <c r="AZ101" s="1051"/>
      <c r="BA101" s="1051"/>
      <c r="BB101" s="1053"/>
      <c r="BC101" s="1051"/>
      <c r="BD101" s="1051"/>
      <c r="BE101" s="1053"/>
      <c r="BF101" s="1051"/>
      <c r="BG101" s="1051"/>
      <c r="BH101" s="1053"/>
      <c r="BI101" s="1052"/>
      <c r="BJ101" s="1052"/>
      <c r="BK101" s="1052"/>
      <c r="BL101" s="1052"/>
      <c r="BM101" s="1052"/>
      <c r="BN101" s="1054"/>
      <c r="BO101" s="1076">
        <f t="shared" si="2"/>
        <v>0</v>
      </c>
      <c r="BP101" s="1051"/>
      <c r="BQ101" s="1052"/>
      <c r="BR101" s="1054"/>
      <c r="BS101" s="1053"/>
      <c r="BT101" s="1051"/>
      <c r="BU101" s="1051"/>
      <c r="BV101" s="1051"/>
      <c r="BW101" s="1052"/>
      <c r="BX101" s="1052"/>
      <c r="BY101" s="1052"/>
      <c r="BZ101" s="1052"/>
      <c r="CA101" s="1052"/>
      <c r="CB101" s="1053"/>
      <c r="CC101" s="1053"/>
      <c r="CD101" s="1053"/>
      <c r="CE101" s="1053"/>
      <c r="CF101" s="1053"/>
      <c r="CG101" s="1053"/>
      <c r="CH101" s="1053"/>
      <c r="CI101" s="1123"/>
      <c r="CJ101" s="1123"/>
      <c r="CK101" s="1123"/>
      <c r="CL101" s="1123"/>
      <c r="CM101" s="1123"/>
      <c r="CN101" s="1123"/>
      <c r="CO101" s="1123"/>
      <c r="CP101" s="1123"/>
      <c r="CQ101" s="1123"/>
      <c r="CR101" s="1123"/>
      <c r="CS101" s="1123"/>
      <c r="CT101" s="1123"/>
      <c r="CU101" s="1123"/>
      <c r="CV101" s="1123"/>
      <c r="CW101" s="1123"/>
      <c r="CX101" s="1123"/>
      <c r="CY101" s="1123"/>
      <c r="CZ101" s="1114"/>
      <c r="DA101" s="1114"/>
      <c r="DB101" s="1114"/>
      <c r="DC101" s="1114"/>
      <c r="DD101" s="1114"/>
      <c r="DE101" s="1114"/>
      <c r="DF101" s="1114"/>
      <c r="DG101" s="1114"/>
      <c r="DH101" s="1114"/>
      <c r="DI101" s="1114"/>
      <c r="DJ101" s="1114"/>
      <c r="DK101" s="1114"/>
      <c r="DL101" s="1114"/>
      <c r="DM101" s="1114"/>
      <c r="DN101" s="1114"/>
      <c r="DO101" s="1114"/>
      <c r="DP101" s="1114"/>
      <c r="DQ101" s="1114"/>
      <c r="DR101" s="1114"/>
      <c r="DS101" s="1114"/>
      <c r="DT101" s="1114"/>
      <c r="DU101" s="1114"/>
      <c r="DV101" s="1115"/>
      <c r="DW101" s="1116"/>
      <c r="DX101" s="1116"/>
      <c r="DY101" s="1116"/>
      <c r="DZ101" s="1116"/>
      <c r="EA101" s="1116"/>
      <c r="EB101" s="1116"/>
      <c r="EC101" s="1116"/>
      <c r="ED101" s="1116"/>
      <c r="EE101" s="1116"/>
      <c r="EF101" s="1116"/>
      <c r="EG101" s="1116"/>
      <c r="EH101" s="1116"/>
      <c r="EI101" s="1116"/>
      <c r="EJ101" s="1116"/>
      <c r="EK101" s="1116"/>
      <c r="EL101" s="1116"/>
      <c r="EM101" s="1116"/>
      <c r="EN101" s="1116"/>
      <c r="EO101" s="1116"/>
      <c r="EP101" s="1116"/>
      <c r="EQ101" s="1116"/>
      <c r="ER101" s="1116"/>
      <c r="ES101" s="1116"/>
    </row>
    <row r="102" spans="1:149" ht="15" customHeight="1">
      <c r="A102" s="1185">
        <v>92</v>
      </c>
      <c r="B102" s="1041"/>
      <c r="C102" s="1050"/>
      <c r="D102" s="1050"/>
      <c r="E102" s="1050"/>
      <c r="F102" s="1049"/>
      <c r="G102" s="1049"/>
      <c r="H102" s="1049"/>
      <c r="I102" s="1049"/>
      <c r="J102" s="1050"/>
      <c r="K102" s="1050"/>
      <c r="L102" s="1043"/>
      <c r="M102" s="1051"/>
      <c r="N102" s="1051"/>
      <c r="O102" s="1052"/>
      <c r="P102" s="1051"/>
      <c r="Q102" s="1051"/>
      <c r="R102" s="1052"/>
      <c r="S102" s="1051"/>
      <c r="T102" s="1051"/>
      <c r="U102" s="1052"/>
      <c r="V102" s="1051"/>
      <c r="W102" s="1051"/>
      <c r="X102" s="1052"/>
      <c r="Y102" s="1053"/>
      <c r="Z102" s="1051"/>
      <c r="AA102" s="1051"/>
      <c r="AB102" s="1052"/>
      <c r="AC102" s="1051"/>
      <c r="AD102" s="1051"/>
      <c r="AE102" s="1052"/>
      <c r="AF102" s="1051"/>
      <c r="AG102" s="1051"/>
      <c r="AH102" s="1051"/>
      <c r="AI102" s="1051"/>
      <c r="AJ102" s="1052"/>
      <c r="AK102" s="1051"/>
      <c r="AL102" s="1051"/>
      <c r="AM102" s="1052"/>
      <c r="AN102" s="1051"/>
      <c r="AO102" s="1051"/>
      <c r="AP102" s="1052"/>
      <c r="AQ102" s="1051"/>
      <c r="AR102" s="1051"/>
      <c r="AS102" s="1052"/>
      <c r="AT102" s="1051"/>
      <c r="AU102" s="1051"/>
      <c r="AV102" s="1052"/>
      <c r="AW102" s="1051"/>
      <c r="AX102" s="1051"/>
      <c r="AY102" s="1053"/>
      <c r="AZ102" s="1051"/>
      <c r="BA102" s="1051"/>
      <c r="BB102" s="1053"/>
      <c r="BC102" s="1051"/>
      <c r="BD102" s="1051"/>
      <c r="BE102" s="1053"/>
      <c r="BF102" s="1051"/>
      <c r="BG102" s="1051"/>
      <c r="BH102" s="1053"/>
      <c r="BI102" s="1052"/>
      <c r="BJ102" s="1052"/>
      <c r="BK102" s="1052"/>
      <c r="BL102" s="1052"/>
      <c r="BM102" s="1052"/>
      <c r="BN102" s="1054"/>
      <c r="BO102" s="1076">
        <f t="shared" si="2"/>
        <v>0</v>
      </c>
      <c r="BP102" s="1051"/>
      <c r="BQ102" s="1052"/>
      <c r="BR102" s="1054"/>
      <c r="BS102" s="1053"/>
      <c r="BT102" s="1051"/>
      <c r="BU102" s="1051"/>
      <c r="BV102" s="1051"/>
      <c r="BW102" s="1052"/>
      <c r="BX102" s="1052"/>
      <c r="BY102" s="1052"/>
      <c r="BZ102" s="1052"/>
      <c r="CA102" s="1052"/>
      <c r="CB102" s="1053"/>
      <c r="CC102" s="1053"/>
      <c r="CD102" s="1053"/>
      <c r="CE102" s="1053"/>
      <c r="CF102" s="1053"/>
      <c r="CG102" s="1053"/>
      <c r="CH102" s="1053"/>
      <c r="CI102" s="1123"/>
      <c r="CJ102" s="1123"/>
      <c r="CK102" s="1123"/>
      <c r="CL102" s="1123"/>
      <c r="CM102" s="1123"/>
      <c r="CN102" s="1123"/>
      <c r="CO102" s="1123"/>
      <c r="CP102" s="1123"/>
      <c r="CQ102" s="1123"/>
      <c r="CR102" s="1123"/>
      <c r="CS102" s="1123"/>
      <c r="CT102" s="1123"/>
      <c r="CU102" s="1123"/>
      <c r="CV102" s="1123"/>
      <c r="CW102" s="1123"/>
      <c r="CX102" s="1123"/>
      <c r="CY102" s="1123"/>
      <c r="CZ102" s="1114"/>
      <c r="DA102" s="1114"/>
      <c r="DB102" s="1114"/>
      <c r="DC102" s="1114"/>
      <c r="DD102" s="1114"/>
      <c r="DE102" s="1114"/>
      <c r="DF102" s="1114"/>
      <c r="DG102" s="1114"/>
      <c r="DH102" s="1114"/>
      <c r="DI102" s="1114"/>
      <c r="DJ102" s="1114"/>
      <c r="DK102" s="1114"/>
      <c r="DL102" s="1114"/>
      <c r="DM102" s="1114"/>
      <c r="DN102" s="1114"/>
      <c r="DO102" s="1114"/>
      <c r="DP102" s="1114"/>
      <c r="DQ102" s="1114"/>
      <c r="DR102" s="1114"/>
      <c r="DS102" s="1114"/>
      <c r="DT102" s="1114"/>
      <c r="DU102" s="1114"/>
      <c r="DV102" s="1115"/>
      <c r="DW102" s="1116"/>
      <c r="DX102" s="1116"/>
      <c r="DY102" s="1116"/>
      <c r="DZ102" s="1116"/>
      <c r="EA102" s="1116"/>
      <c r="EB102" s="1116"/>
      <c r="EC102" s="1116"/>
      <c r="ED102" s="1116"/>
      <c r="EE102" s="1116"/>
      <c r="EF102" s="1116"/>
      <c r="EG102" s="1116"/>
      <c r="EH102" s="1116"/>
      <c r="EI102" s="1116"/>
      <c r="EJ102" s="1116"/>
      <c r="EK102" s="1116"/>
      <c r="EL102" s="1116"/>
      <c r="EM102" s="1116"/>
      <c r="EN102" s="1116"/>
      <c r="EO102" s="1116"/>
      <c r="EP102" s="1116"/>
      <c r="EQ102" s="1116"/>
      <c r="ER102" s="1116"/>
      <c r="ES102" s="1116"/>
    </row>
    <row r="103" spans="1:149" ht="15" customHeight="1">
      <c r="A103" s="1185">
        <v>93</v>
      </c>
      <c r="B103" s="1041"/>
      <c r="C103" s="1050"/>
      <c r="D103" s="1050"/>
      <c r="E103" s="1050"/>
      <c r="F103" s="1049"/>
      <c r="G103" s="1049"/>
      <c r="H103" s="1049"/>
      <c r="I103" s="1049"/>
      <c r="J103" s="1050"/>
      <c r="K103" s="1050"/>
      <c r="L103" s="1043"/>
      <c r="M103" s="1051"/>
      <c r="N103" s="1051"/>
      <c r="O103" s="1052"/>
      <c r="P103" s="1051"/>
      <c r="Q103" s="1051"/>
      <c r="R103" s="1052"/>
      <c r="S103" s="1051"/>
      <c r="T103" s="1051"/>
      <c r="U103" s="1052"/>
      <c r="V103" s="1051"/>
      <c r="W103" s="1051"/>
      <c r="X103" s="1052"/>
      <c r="Y103" s="1053"/>
      <c r="Z103" s="1051"/>
      <c r="AA103" s="1051"/>
      <c r="AB103" s="1052"/>
      <c r="AC103" s="1051"/>
      <c r="AD103" s="1051"/>
      <c r="AE103" s="1052"/>
      <c r="AF103" s="1051"/>
      <c r="AG103" s="1051"/>
      <c r="AH103" s="1051"/>
      <c r="AI103" s="1051"/>
      <c r="AJ103" s="1052"/>
      <c r="AK103" s="1051"/>
      <c r="AL103" s="1051"/>
      <c r="AM103" s="1052"/>
      <c r="AN103" s="1051"/>
      <c r="AO103" s="1051"/>
      <c r="AP103" s="1052"/>
      <c r="AQ103" s="1051"/>
      <c r="AR103" s="1051"/>
      <c r="AS103" s="1052"/>
      <c r="AT103" s="1051"/>
      <c r="AU103" s="1051"/>
      <c r="AV103" s="1052"/>
      <c r="AW103" s="1051"/>
      <c r="AX103" s="1051"/>
      <c r="AY103" s="1053"/>
      <c r="AZ103" s="1051"/>
      <c r="BA103" s="1051"/>
      <c r="BB103" s="1053"/>
      <c r="BC103" s="1051"/>
      <c r="BD103" s="1051"/>
      <c r="BE103" s="1053"/>
      <c r="BF103" s="1051"/>
      <c r="BG103" s="1051"/>
      <c r="BH103" s="1053"/>
      <c r="BI103" s="1052"/>
      <c r="BJ103" s="1052"/>
      <c r="BK103" s="1052"/>
      <c r="BL103" s="1052"/>
      <c r="BM103" s="1052"/>
      <c r="BN103" s="1054"/>
      <c r="BO103" s="1076">
        <f t="shared" si="2"/>
        <v>0</v>
      </c>
      <c r="BP103" s="1051"/>
      <c r="BQ103" s="1052"/>
      <c r="BR103" s="1054"/>
      <c r="BS103" s="1053"/>
      <c r="BT103" s="1051"/>
      <c r="BU103" s="1051"/>
      <c r="BV103" s="1051"/>
      <c r="BW103" s="1052"/>
      <c r="BX103" s="1052"/>
      <c r="BY103" s="1052"/>
      <c r="BZ103" s="1052"/>
      <c r="CA103" s="1052"/>
      <c r="CB103" s="1053"/>
      <c r="CC103" s="1053"/>
      <c r="CD103" s="1053"/>
      <c r="CE103" s="1053"/>
      <c r="CF103" s="1053"/>
      <c r="CG103" s="1053"/>
      <c r="CH103" s="1053"/>
      <c r="CI103" s="1123"/>
      <c r="CJ103" s="1123"/>
      <c r="CK103" s="1123"/>
      <c r="CL103" s="1123"/>
      <c r="CM103" s="1123"/>
      <c r="CN103" s="1123"/>
      <c r="CO103" s="1123"/>
      <c r="CP103" s="1123"/>
      <c r="CQ103" s="1123"/>
      <c r="CR103" s="1123"/>
      <c r="CS103" s="1123"/>
      <c r="CT103" s="1123"/>
      <c r="CU103" s="1123"/>
      <c r="CV103" s="1123"/>
      <c r="CW103" s="1123"/>
      <c r="CX103" s="1123"/>
      <c r="CY103" s="1123"/>
      <c r="CZ103" s="1114"/>
      <c r="DA103" s="1114"/>
      <c r="DB103" s="1114"/>
      <c r="DC103" s="1114"/>
      <c r="DD103" s="1114"/>
      <c r="DE103" s="1114"/>
      <c r="DF103" s="1114"/>
      <c r="DG103" s="1114"/>
      <c r="DH103" s="1114"/>
      <c r="DI103" s="1114"/>
      <c r="DJ103" s="1114"/>
      <c r="DK103" s="1114"/>
      <c r="DL103" s="1114"/>
      <c r="DM103" s="1114"/>
      <c r="DN103" s="1114"/>
      <c r="DO103" s="1114"/>
      <c r="DP103" s="1114"/>
      <c r="DQ103" s="1114"/>
      <c r="DR103" s="1114"/>
      <c r="DS103" s="1114"/>
      <c r="DT103" s="1114"/>
      <c r="DU103" s="1114"/>
      <c r="DV103" s="1115"/>
      <c r="DW103" s="1116"/>
      <c r="DX103" s="1116"/>
      <c r="DY103" s="1116"/>
      <c r="DZ103" s="1116"/>
      <c r="EA103" s="1116"/>
      <c r="EB103" s="1116"/>
      <c r="EC103" s="1116"/>
      <c r="ED103" s="1116"/>
      <c r="EE103" s="1116"/>
      <c r="EF103" s="1116"/>
      <c r="EG103" s="1116"/>
      <c r="EH103" s="1116"/>
      <c r="EI103" s="1116"/>
      <c r="EJ103" s="1116"/>
      <c r="EK103" s="1116"/>
      <c r="EL103" s="1116"/>
      <c r="EM103" s="1116"/>
      <c r="EN103" s="1116"/>
      <c r="EO103" s="1116"/>
      <c r="EP103" s="1116"/>
      <c r="EQ103" s="1116"/>
      <c r="ER103" s="1116"/>
      <c r="ES103" s="1116"/>
    </row>
    <row r="104" spans="1:149" ht="15" customHeight="1">
      <c r="A104" s="1185">
        <v>94</v>
      </c>
      <c r="B104" s="1041"/>
      <c r="C104" s="1050"/>
      <c r="D104" s="1050"/>
      <c r="E104" s="1050"/>
      <c r="F104" s="1049"/>
      <c r="G104" s="1049"/>
      <c r="H104" s="1049"/>
      <c r="I104" s="1049"/>
      <c r="J104" s="1050"/>
      <c r="K104" s="1050"/>
      <c r="L104" s="1043"/>
      <c r="M104" s="1051"/>
      <c r="N104" s="1051"/>
      <c r="O104" s="1052"/>
      <c r="P104" s="1051"/>
      <c r="Q104" s="1051"/>
      <c r="R104" s="1052"/>
      <c r="S104" s="1051"/>
      <c r="T104" s="1051"/>
      <c r="U104" s="1052"/>
      <c r="V104" s="1051"/>
      <c r="W104" s="1051"/>
      <c r="X104" s="1052"/>
      <c r="Y104" s="1053"/>
      <c r="Z104" s="1051"/>
      <c r="AA104" s="1051"/>
      <c r="AB104" s="1052"/>
      <c r="AC104" s="1051"/>
      <c r="AD104" s="1051"/>
      <c r="AE104" s="1052"/>
      <c r="AF104" s="1051"/>
      <c r="AG104" s="1051"/>
      <c r="AH104" s="1051"/>
      <c r="AI104" s="1051"/>
      <c r="AJ104" s="1052"/>
      <c r="AK104" s="1051"/>
      <c r="AL104" s="1051"/>
      <c r="AM104" s="1052"/>
      <c r="AN104" s="1051"/>
      <c r="AO104" s="1051"/>
      <c r="AP104" s="1052"/>
      <c r="AQ104" s="1051"/>
      <c r="AR104" s="1051"/>
      <c r="AS104" s="1052"/>
      <c r="AT104" s="1051"/>
      <c r="AU104" s="1051"/>
      <c r="AV104" s="1052"/>
      <c r="AW104" s="1051"/>
      <c r="AX104" s="1051"/>
      <c r="AY104" s="1053"/>
      <c r="AZ104" s="1051"/>
      <c r="BA104" s="1051"/>
      <c r="BB104" s="1053"/>
      <c r="BC104" s="1051"/>
      <c r="BD104" s="1051"/>
      <c r="BE104" s="1053"/>
      <c r="BF104" s="1051"/>
      <c r="BG104" s="1051"/>
      <c r="BH104" s="1053"/>
      <c r="BI104" s="1052"/>
      <c r="BJ104" s="1052"/>
      <c r="BK104" s="1052"/>
      <c r="BL104" s="1052"/>
      <c r="BM104" s="1052"/>
      <c r="BN104" s="1054"/>
      <c r="BO104" s="1076">
        <f t="shared" si="2"/>
        <v>0</v>
      </c>
      <c r="BP104" s="1051"/>
      <c r="BQ104" s="1052"/>
      <c r="BR104" s="1054"/>
      <c r="BS104" s="1053"/>
      <c r="BT104" s="1051"/>
      <c r="BU104" s="1051"/>
      <c r="BV104" s="1051"/>
      <c r="BW104" s="1052"/>
      <c r="BX104" s="1052"/>
      <c r="BY104" s="1052"/>
      <c r="BZ104" s="1052"/>
      <c r="CA104" s="1052"/>
      <c r="CB104" s="1053"/>
      <c r="CC104" s="1053"/>
      <c r="CD104" s="1053"/>
      <c r="CE104" s="1053"/>
      <c r="CF104" s="1053"/>
      <c r="CG104" s="1053"/>
      <c r="CH104" s="1053"/>
      <c r="CI104" s="1123"/>
      <c r="CJ104" s="1123"/>
      <c r="CK104" s="1123"/>
      <c r="CL104" s="1123"/>
      <c r="CM104" s="1123"/>
      <c r="CN104" s="1123"/>
      <c r="CO104" s="1123"/>
      <c r="CP104" s="1123"/>
      <c r="CQ104" s="1123"/>
      <c r="CR104" s="1123"/>
      <c r="CS104" s="1123"/>
      <c r="CT104" s="1123"/>
      <c r="CU104" s="1123"/>
      <c r="CV104" s="1123"/>
      <c r="CW104" s="1123"/>
      <c r="CX104" s="1123"/>
      <c r="CY104" s="1123"/>
      <c r="CZ104" s="1114"/>
      <c r="DA104" s="1114"/>
      <c r="DB104" s="1114"/>
      <c r="DC104" s="1114"/>
      <c r="DD104" s="1114"/>
      <c r="DE104" s="1114"/>
      <c r="DF104" s="1114"/>
      <c r="DG104" s="1114"/>
      <c r="DH104" s="1114"/>
      <c r="DI104" s="1114"/>
      <c r="DJ104" s="1114"/>
      <c r="DK104" s="1114"/>
      <c r="DL104" s="1114"/>
      <c r="DM104" s="1114"/>
      <c r="DN104" s="1114"/>
      <c r="DO104" s="1114"/>
      <c r="DP104" s="1114"/>
      <c r="DQ104" s="1114"/>
      <c r="DR104" s="1114"/>
      <c r="DS104" s="1114"/>
      <c r="DT104" s="1114"/>
      <c r="DU104" s="1114"/>
      <c r="DV104" s="1115"/>
      <c r="DW104" s="1116"/>
      <c r="DX104" s="1116"/>
      <c r="DY104" s="1116"/>
      <c r="DZ104" s="1116"/>
      <c r="EA104" s="1116"/>
      <c r="EB104" s="1116"/>
      <c r="EC104" s="1116"/>
      <c r="ED104" s="1116"/>
      <c r="EE104" s="1116"/>
      <c r="EF104" s="1116"/>
      <c r="EG104" s="1116"/>
      <c r="EH104" s="1116"/>
      <c r="EI104" s="1116"/>
      <c r="EJ104" s="1116"/>
      <c r="EK104" s="1116"/>
      <c r="EL104" s="1116"/>
      <c r="EM104" s="1116"/>
      <c r="EN104" s="1116"/>
      <c r="EO104" s="1116"/>
      <c r="EP104" s="1116"/>
      <c r="EQ104" s="1116"/>
      <c r="ER104" s="1116"/>
      <c r="ES104" s="1116"/>
    </row>
    <row r="105" spans="1:149" ht="15" customHeight="1">
      <c r="A105" s="1185">
        <v>95</v>
      </c>
      <c r="B105" s="1041"/>
      <c r="C105" s="1050"/>
      <c r="D105" s="1050"/>
      <c r="E105" s="1050"/>
      <c r="F105" s="1049"/>
      <c r="G105" s="1049"/>
      <c r="H105" s="1049"/>
      <c r="I105" s="1049"/>
      <c r="J105" s="1050"/>
      <c r="K105" s="1050"/>
      <c r="L105" s="1043"/>
      <c r="M105" s="1051"/>
      <c r="N105" s="1051"/>
      <c r="O105" s="1052"/>
      <c r="P105" s="1051"/>
      <c r="Q105" s="1051"/>
      <c r="R105" s="1052"/>
      <c r="S105" s="1051"/>
      <c r="T105" s="1051"/>
      <c r="U105" s="1052"/>
      <c r="V105" s="1051"/>
      <c r="W105" s="1051"/>
      <c r="X105" s="1052"/>
      <c r="Y105" s="1053"/>
      <c r="Z105" s="1051"/>
      <c r="AA105" s="1051"/>
      <c r="AB105" s="1052"/>
      <c r="AC105" s="1051"/>
      <c r="AD105" s="1051"/>
      <c r="AE105" s="1052"/>
      <c r="AF105" s="1051"/>
      <c r="AG105" s="1051"/>
      <c r="AH105" s="1051"/>
      <c r="AI105" s="1051"/>
      <c r="AJ105" s="1052"/>
      <c r="AK105" s="1051"/>
      <c r="AL105" s="1051"/>
      <c r="AM105" s="1052"/>
      <c r="AN105" s="1051"/>
      <c r="AO105" s="1051"/>
      <c r="AP105" s="1052"/>
      <c r="AQ105" s="1051"/>
      <c r="AR105" s="1051"/>
      <c r="AS105" s="1052"/>
      <c r="AT105" s="1051"/>
      <c r="AU105" s="1051"/>
      <c r="AV105" s="1052"/>
      <c r="AW105" s="1051"/>
      <c r="AX105" s="1051"/>
      <c r="AY105" s="1053"/>
      <c r="AZ105" s="1051"/>
      <c r="BA105" s="1051"/>
      <c r="BB105" s="1053"/>
      <c r="BC105" s="1051"/>
      <c r="BD105" s="1051"/>
      <c r="BE105" s="1053"/>
      <c r="BF105" s="1051"/>
      <c r="BG105" s="1051"/>
      <c r="BH105" s="1053"/>
      <c r="BI105" s="1052"/>
      <c r="BJ105" s="1052"/>
      <c r="BK105" s="1052"/>
      <c r="BL105" s="1052"/>
      <c r="BM105" s="1052"/>
      <c r="BN105" s="1054"/>
      <c r="BO105" s="1076">
        <f t="shared" si="2"/>
        <v>0</v>
      </c>
      <c r="BP105" s="1051"/>
      <c r="BQ105" s="1052"/>
      <c r="BR105" s="1054"/>
      <c r="BS105" s="1053"/>
      <c r="BT105" s="1051"/>
      <c r="BU105" s="1051"/>
      <c r="BV105" s="1051"/>
      <c r="BW105" s="1052"/>
      <c r="BX105" s="1052"/>
      <c r="BY105" s="1052"/>
      <c r="BZ105" s="1052"/>
      <c r="CA105" s="1052"/>
      <c r="CB105" s="1053"/>
      <c r="CC105" s="1053"/>
      <c r="CD105" s="1053"/>
      <c r="CE105" s="1053"/>
      <c r="CF105" s="1053"/>
      <c r="CG105" s="1053"/>
      <c r="CH105" s="1053"/>
      <c r="CI105" s="1123"/>
      <c r="CJ105" s="1123"/>
      <c r="CK105" s="1123"/>
      <c r="CL105" s="1123"/>
      <c r="CM105" s="1123"/>
      <c r="CN105" s="1123"/>
      <c r="CO105" s="1123"/>
      <c r="CP105" s="1123"/>
      <c r="CQ105" s="1123"/>
      <c r="CR105" s="1123"/>
      <c r="CS105" s="1123"/>
      <c r="CT105" s="1123"/>
      <c r="CU105" s="1123"/>
      <c r="CV105" s="1123"/>
      <c r="CW105" s="1123"/>
      <c r="CX105" s="1123"/>
      <c r="CY105" s="1123"/>
      <c r="CZ105" s="1114"/>
      <c r="DA105" s="1114"/>
      <c r="DB105" s="1114"/>
      <c r="DC105" s="1114"/>
      <c r="DD105" s="1114"/>
      <c r="DE105" s="1114"/>
      <c r="DF105" s="1114"/>
      <c r="DG105" s="1114"/>
      <c r="DH105" s="1114"/>
      <c r="DI105" s="1114"/>
      <c r="DJ105" s="1114"/>
      <c r="DK105" s="1114"/>
      <c r="DL105" s="1114"/>
      <c r="DM105" s="1114"/>
      <c r="DN105" s="1114"/>
      <c r="DO105" s="1114"/>
      <c r="DP105" s="1114"/>
      <c r="DQ105" s="1114"/>
      <c r="DR105" s="1114"/>
      <c r="DS105" s="1114"/>
      <c r="DT105" s="1114"/>
      <c r="DU105" s="1114"/>
      <c r="DV105" s="1115"/>
      <c r="DW105" s="1116"/>
      <c r="DX105" s="1116"/>
      <c r="DY105" s="1116"/>
      <c r="DZ105" s="1116"/>
      <c r="EA105" s="1116"/>
      <c r="EB105" s="1116"/>
      <c r="EC105" s="1116"/>
      <c r="ED105" s="1116"/>
      <c r="EE105" s="1116"/>
      <c r="EF105" s="1116"/>
      <c r="EG105" s="1116"/>
      <c r="EH105" s="1116"/>
      <c r="EI105" s="1116"/>
      <c r="EJ105" s="1116"/>
      <c r="EK105" s="1116"/>
      <c r="EL105" s="1116"/>
      <c r="EM105" s="1116"/>
      <c r="EN105" s="1116"/>
      <c r="EO105" s="1116"/>
      <c r="EP105" s="1116"/>
      <c r="EQ105" s="1116"/>
      <c r="ER105" s="1116"/>
      <c r="ES105" s="1116"/>
    </row>
    <row r="106" spans="1:149" ht="15" customHeight="1">
      <c r="A106" s="1185">
        <v>96</v>
      </c>
      <c r="B106" s="1041"/>
      <c r="C106" s="1050"/>
      <c r="D106" s="1050"/>
      <c r="E106" s="1050"/>
      <c r="F106" s="1049"/>
      <c r="G106" s="1049"/>
      <c r="H106" s="1049"/>
      <c r="I106" s="1049"/>
      <c r="J106" s="1050"/>
      <c r="K106" s="1050"/>
      <c r="L106" s="1043"/>
      <c r="M106" s="1051"/>
      <c r="N106" s="1051"/>
      <c r="O106" s="1052"/>
      <c r="P106" s="1051"/>
      <c r="Q106" s="1051"/>
      <c r="R106" s="1052"/>
      <c r="S106" s="1051"/>
      <c r="T106" s="1051"/>
      <c r="U106" s="1052"/>
      <c r="V106" s="1051"/>
      <c r="W106" s="1051"/>
      <c r="X106" s="1052"/>
      <c r="Y106" s="1053"/>
      <c r="Z106" s="1051"/>
      <c r="AA106" s="1051"/>
      <c r="AB106" s="1052"/>
      <c r="AC106" s="1051"/>
      <c r="AD106" s="1051"/>
      <c r="AE106" s="1052"/>
      <c r="AF106" s="1051"/>
      <c r="AG106" s="1051"/>
      <c r="AH106" s="1051"/>
      <c r="AI106" s="1051"/>
      <c r="AJ106" s="1052"/>
      <c r="AK106" s="1051"/>
      <c r="AL106" s="1051"/>
      <c r="AM106" s="1052"/>
      <c r="AN106" s="1051"/>
      <c r="AO106" s="1051"/>
      <c r="AP106" s="1052"/>
      <c r="AQ106" s="1051"/>
      <c r="AR106" s="1051"/>
      <c r="AS106" s="1052"/>
      <c r="AT106" s="1051"/>
      <c r="AU106" s="1051"/>
      <c r="AV106" s="1052"/>
      <c r="AW106" s="1051"/>
      <c r="AX106" s="1051"/>
      <c r="AY106" s="1053"/>
      <c r="AZ106" s="1051"/>
      <c r="BA106" s="1051"/>
      <c r="BB106" s="1053"/>
      <c r="BC106" s="1051"/>
      <c r="BD106" s="1051"/>
      <c r="BE106" s="1053"/>
      <c r="BF106" s="1051"/>
      <c r="BG106" s="1051"/>
      <c r="BH106" s="1053"/>
      <c r="BI106" s="1052"/>
      <c r="BJ106" s="1052"/>
      <c r="BK106" s="1052"/>
      <c r="BL106" s="1052"/>
      <c r="BM106" s="1052"/>
      <c r="BN106" s="1054"/>
      <c r="BO106" s="1076">
        <f t="shared" si="2"/>
        <v>0</v>
      </c>
      <c r="BP106" s="1051"/>
      <c r="BQ106" s="1052"/>
      <c r="BR106" s="1054"/>
      <c r="BS106" s="1053"/>
      <c r="BT106" s="1051"/>
      <c r="BU106" s="1051"/>
      <c r="BV106" s="1051"/>
      <c r="BW106" s="1052"/>
      <c r="BX106" s="1052"/>
      <c r="BY106" s="1052"/>
      <c r="BZ106" s="1052"/>
      <c r="CA106" s="1052"/>
      <c r="CB106" s="1053"/>
      <c r="CC106" s="1053"/>
      <c r="CD106" s="1053"/>
      <c r="CE106" s="1053"/>
      <c r="CF106" s="1053"/>
      <c r="CG106" s="1053"/>
      <c r="CH106" s="1053"/>
      <c r="CI106" s="1123"/>
      <c r="CJ106" s="1123"/>
      <c r="CK106" s="1123"/>
      <c r="CL106" s="1123"/>
      <c r="CM106" s="1123"/>
      <c r="CN106" s="1123"/>
      <c r="CO106" s="1123"/>
      <c r="CP106" s="1123"/>
      <c r="CQ106" s="1123"/>
      <c r="CR106" s="1123"/>
      <c r="CS106" s="1123"/>
      <c r="CT106" s="1123"/>
      <c r="CU106" s="1123"/>
      <c r="CV106" s="1123"/>
      <c r="CW106" s="1123"/>
      <c r="CX106" s="1123"/>
      <c r="CY106" s="1123"/>
      <c r="CZ106" s="1114"/>
      <c r="DA106" s="1114"/>
      <c r="DB106" s="1114"/>
      <c r="DC106" s="1114"/>
      <c r="DD106" s="1114"/>
      <c r="DE106" s="1114"/>
      <c r="DF106" s="1114"/>
      <c r="DG106" s="1114"/>
      <c r="DH106" s="1114"/>
      <c r="DI106" s="1114"/>
      <c r="DJ106" s="1114"/>
      <c r="DK106" s="1114"/>
      <c r="DL106" s="1114"/>
      <c r="DM106" s="1114"/>
      <c r="DN106" s="1114"/>
      <c r="DO106" s="1114"/>
      <c r="DP106" s="1114"/>
      <c r="DQ106" s="1114"/>
      <c r="DR106" s="1114"/>
      <c r="DS106" s="1114"/>
      <c r="DT106" s="1114"/>
      <c r="DU106" s="1114"/>
      <c r="DV106" s="1115"/>
      <c r="DW106" s="1116"/>
      <c r="DX106" s="1116"/>
      <c r="DY106" s="1116"/>
      <c r="DZ106" s="1116"/>
      <c r="EA106" s="1116"/>
      <c r="EB106" s="1116"/>
      <c r="EC106" s="1116"/>
      <c r="ED106" s="1116"/>
      <c r="EE106" s="1116"/>
      <c r="EF106" s="1116"/>
      <c r="EG106" s="1116"/>
      <c r="EH106" s="1116"/>
      <c r="EI106" s="1116"/>
      <c r="EJ106" s="1116"/>
      <c r="EK106" s="1116"/>
      <c r="EL106" s="1116"/>
      <c r="EM106" s="1116"/>
      <c r="EN106" s="1116"/>
      <c r="EO106" s="1116"/>
      <c r="EP106" s="1116"/>
      <c r="EQ106" s="1116"/>
      <c r="ER106" s="1116"/>
      <c r="ES106" s="1116"/>
    </row>
    <row r="107" spans="1:149" ht="15" customHeight="1">
      <c r="A107" s="1185">
        <v>97</v>
      </c>
      <c r="B107" s="1041"/>
      <c r="C107" s="1050"/>
      <c r="D107" s="1050"/>
      <c r="E107" s="1050"/>
      <c r="F107" s="1049"/>
      <c r="G107" s="1049"/>
      <c r="H107" s="1049"/>
      <c r="I107" s="1049"/>
      <c r="J107" s="1050"/>
      <c r="K107" s="1050"/>
      <c r="L107" s="1043"/>
      <c r="M107" s="1051"/>
      <c r="N107" s="1051"/>
      <c r="O107" s="1052"/>
      <c r="P107" s="1051"/>
      <c r="Q107" s="1051"/>
      <c r="R107" s="1052"/>
      <c r="S107" s="1051"/>
      <c r="T107" s="1051"/>
      <c r="U107" s="1052"/>
      <c r="V107" s="1051"/>
      <c r="W107" s="1051"/>
      <c r="X107" s="1052"/>
      <c r="Y107" s="1053"/>
      <c r="Z107" s="1051"/>
      <c r="AA107" s="1051"/>
      <c r="AB107" s="1052"/>
      <c r="AC107" s="1051"/>
      <c r="AD107" s="1051"/>
      <c r="AE107" s="1052"/>
      <c r="AF107" s="1051"/>
      <c r="AG107" s="1051"/>
      <c r="AH107" s="1051"/>
      <c r="AI107" s="1051"/>
      <c r="AJ107" s="1052"/>
      <c r="AK107" s="1051"/>
      <c r="AL107" s="1051"/>
      <c r="AM107" s="1052"/>
      <c r="AN107" s="1051"/>
      <c r="AO107" s="1051"/>
      <c r="AP107" s="1052"/>
      <c r="AQ107" s="1051"/>
      <c r="AR107" s="1051"/>
      <c r="AS107" s="1052"/>
      <c r="AT107" s="1051"/>
      <c r="AU107" s="1051"/>
      <c r="AV107" s="1052"/>
      <c r="AW107" s="1051"/>
      <c r="AX107" s="1051"/>
      <c r="AY107" s="1053"/>
      <c r="AZ107" s="1051"/>
      <c r="BA107" s="1051"/>
      <c r="BB107" s="1053"/>
      <c r="BC107" s="1051"/>
      <c r="BD107" s="1051"/>
      <c r="BE107" s="1053"/>
      <c r="BF107" s="1051"/>
      <c r="BG107" s="1051"/>
      <c r="BH107" s="1053"/>
      <c r="BI107" s="1052"/>
      <c r="BJ107" s="1052"/>
      <c r="BK107" s="1052"/>
      <c r="BL107" s="1052"/>
      <c r="BM107" s="1052"/>
      <c r="BN107" s="1054"/>
      <c r="BO107" s="1076">
        <f t="shared" si="2"/>
        <v>0</v>
      </c>
      <c r="BP107" s="1051"/>
      <c r="BQ107" s="1052"/>
      <c r="BR107" s="1054"/>
      <c r="BS107" s="1053"/>
      <c r="BT107" s="1051"/>
      <c r="BU107" s="1051"/>
      <c r="BV107" s="1051"/>
      <c r="BW107" s="1052"/>
      <c r="BX107" s="1052"/>
      <c r="BY107" s="1052"/>
      <c r="BZ107" s="1052"/>
      <c r="CA107" s="1052"/>
      <c r="CB107" s="1053"/>
      <c r="CC107" s="1053"/>
      <c r="CD107" s="1053"/>
      <c r="CE107" s="1053"/>
      <c r="CF107" s="1053"/>
      <c r="CG107" s="1053"/>
      <c r="CH107" s="1053"/>
      <c r="CI107" s="1123"/>
      <c r="CJ107" s="1123"/>
      <c r="CK107" s="1123"/>
      <c r="CL107" s="1123"/>
      <c r="CM107" s="1123"/>
      <c r="CN107" s="1123"/>
      <c r="CO107" s="1123"/>
      <c r="CP107" s="1123"/>
      <c r="CQ107" s="1123"/>
      <c r="CR107" s="1123"/>
      <c r="CS107" s="1123"/>
      <c r="CT107" s="1123"/>
      <c r="CU107" s="1123"/>
      <c r="CV107" s="1123"/>
      <c r="CW107" s="1123"/>
      <c r="CX107" s="1123"/>
      <c r="CY107" s="1123"/>
      <c r="CZ107" s="1114"/>
      <c r="DA107" s="1114"/>
      <c r="DB107" s="1114"/>
      <c r="DC107" s="1114"/>
      <c r="DD107" s="1114"/>
      <c r="DE107" s="1114"/>
      <c r="DF107" s="1114"/>
      <c r="DG107" s="1114"/>
      <c r="DH107" s="1114"/>
      <c r="DI107" s="1114"/>
      <c r="DJ107" s="1114"/>
      <c r="DK107" s="1114"/>
      <c r="DL107" s="1114"/>
      <c r="DM107" s="1114"/>
      <c r="DN107" s="1114"/>
      <c r="DO107" s="1114"/>
      <c r="DP107" s="1114"/>
      <c r="DQ107" s="1114"/>
      <c r="DR107" s="1114"/>
      <c r="DS107" s="1114"/>
      <c r="DT107" s="1114"/>
      <c r="DU107" s="1114"/>
      <c r="DV107" s="1115"/>
      <c r="DW107" s="1116"/>
      <c r="DX107" s="1116"/>
      <c r="DY107" s="1116"/>
      <c r="DZ107" s="1116"/>
      <c r="EA107" s="1116"/>
      <c r="EB107" s="1116"/>
      <c r="EC107" s="1116"/>
      <c r="ED107" s="1116"/>
      <c r="EE107" s="1116"/>
      <c r="EF107" s="1116"/>
      <c r="EG107" s="1116"/>
      <c r="EH107" s="1116"/>
      <c r="EI107" s="1116"/>
      <c r="EJ107" s="1116"/>
      <c r="EK107" s="1116"/>
      <c r="EL107" s="1116"/>
      <c r="EM107" s="1116"/>
      <c r="EN107" s="1116"/>
      <c r="EO107" s="1116"/>
      <c r="EP107" s="1116"/>
      <c r="EQ107" s="1116"/>
      <c r="ER107" s="1116"/>
      <c r="ES107" s="1116"/>
    </row>
    <row r="108" spans="1:149" ht="15" customHeight="1">
      <c r="A108" s="1185">
        <v>98</v>
      </c>
      <c r="B108" s="1041"/>
      <c r="C108" s="1050"/>
      <c r="D108" s="1050"/>
      <c r="E108" s="1050"/>
      <c r="F108" s="1049"/>
      <c r="G108" s="1049"/>
      <c r="H108" s="1049"/>
      <c r="I108" s="1049"/>
      <c r="J108" s="1050"/>
      <c r="K108" s="1050"/>
      <c r="L108" s="1043"/>
      <c r="M108" s="1051"/>
      <c r="N108" s="1051"/>
      <c r="O108" s="1052"/>
      <c r="P108" s="1051"/>
      <c r="Q108" s="1051"/>
      <c r="R108" s="1052"/>
      <c r="S108" s="1051"/>
      <c r="T108" s="1051"/>
      <c r="U108" s="1052"/>
      <c r="V108" s="1051"/>
      <c r="W108" s="1051"/>
      <c r="X108" s="1052"/>
      <c r="Y108" s="1053"/>
      <c r="Z108" s="1051"/>
      <c r="AA108" s="1051"/>
      <c r="AB108" s="1052"/>
      <c r="AC108" s="1051"/>
      <c r="AD108" s="1051"/>
      <c r="AE108" s="1052"/>
      <c r="AF108" s="1051"/>
      <c r="AG108" s="1051"/>
      <c r="AH108" s="1051"/>
      <c r="AI108" s="1051"/>
      <c r="AJ108" s="1052"/>
      <c r="AK108" s="1051"/>
      <c r="AL108" s="1051"/>
      <c r="AM108" s="1052"/>
      <c r="AN108" s="1051"/>
      <c r="AO108" s="1051"/>
      <c r="AP108" s="1052"/>
      <c r="AQ108" s="1051"/>
      <c r="AR108" s="1051"/>
      <c r="AS108" s="1052"/>
      <c r="AT108" s="1051"/>
      <c r="AU108" s="1051"/>
      <c r="AV108" s="1052"/>
      <c r="AW108" s="1051"/>
      <c r="AX108" s="1051"/>
      <c r="AY108" s="1053"/>
      <c r="AZ108" s="1051"/>
      <c r="BA108" s="1051"/>
      <c r="BB108" s="1053"/>
      <c r="BC108" s="1051"/>
      <c r="BD108" s="1051"/>
      <c r="BE108" s="1053"/>
      <c r="BF108" s="1051"/>
      <c r="BG108" s="1051"/>
      <c r="BH108" s="1053"/>
      <c r="BI108" s="1052"/>
      <c r="BJ108" s="1052"/>
      <c r="BK108" s="1052"/>
      <c r="BL108" s="1052"/>
      <c r="BM108" s="1052"/>
      <c r="BN108" s="1054"/>
      <c r="BO108" s="1076">
        <f t="shared" si="2"/>
        <v>0</v>
      </c>
      <c r="BP108" s="1051"/>
      <c r="BQ108" s="1052"/>
      <c r="BR108" s="1054"/>
      <c r="BS108" s="1053"/>
      <c r="BT108" s="1051"/>
      <c r="BU108" s="1051"/>
      <c r="BV108" s="1051"/>
      <c r="BW108" s="1052"/>
      <c r="BX108" s="1052"/>
      <c r="BY108" s="1052"/>
      <c r="BZ108" s="1052"/>
      <c r="CA108" s="1052"/>
      <c r="CB108" s="1053"/>
      <c r="CC108" s="1053"/>
      <c r="CD108" s="1053"/>
      <c r="CE108" s="1053"/>
      <c r="CF108" s="1053"/>
      <c r="CG108" s="1053"/>
      <c r="CH108" s="1053"/>
      <c r="CI108" s="1123"/>
      <c r="CJ108" s="1123"/>
      <c r="CK108" s="1123"/>
      <c r="CL108" s="1123"/>
      <c r="CM108" s="1123"/>
      <c r="CN108" s="1123"/>
      <c r="CO108" s="1123"/>
      <c r="CP108" s="1123"/>
      <c r="CQ108" s="1123"/>
      <c r="CR108" s="1123"/>
      <c r="CS108" s="1123"/>
      <c r="CT108" s="1123"/>
      <c r="CU108" s="1123"/>
      <c r="CV108" s="1123"/>
      <c r="CW108" s="1123"/>
      <c r="CX108" s="1123"/>
      <c r="CY108" s="1123"/>
      <c r="CZ108" s="1114"/>
      <c r="DA108" s="1114"/>
      <c r="DB108" s="1114"/>
      <c r="DC108" s="1114"/>
      <c r="DD108" s="1114"/>
      <c r="DE108" s="1114"/>
      <c r="DF108" s="1114"/>
      <c r="DG108" s="1114"/>
      <c r="DH108" s="1114"/>
      <c r="DI108" s="1114"/>
      <c r="DJ108" s="1114"/>
      <c r="DK108" s="1114"/>
      <c r="DL108" s="1114"/>
      <c r="DM108" s="1114"/>
      <c r="DN108" s="1114"/>
      <c r="DO108" s="1114"/>
      <c r="DP108" s="1114"/>
      <c r="DQ108" s="1114"/>
      <c r="DR108" s="1114"/>
      <c r="DS108" s="1114"/>
      <c r="DT108" s="1114"/>
      <c r="DU108" s="1114"/>
      <c r="DV108" s="1115"/>
      <c r="DW108" s="1116"/>
      <c r="DX108" s="1116"/>
      <c r="DY108" s="1116"/>
      <c r="DZ108" s="1116"/>
      <c r="EA108" s="1116"/>
      <c r="EB108" s="1116"/>
      <c r="EC108" s="1116"/>
      <c r="ED108" s="1116"/>
      <c r="EE108" s="1116"/>
      <c r="EF108" s="1116"/>
      <c r="EG108" s="1116"/>
      <c r="EH108" s="1116"/>
      <c r="EI108" s="1116"/>
      <c r="EJ108" s="1116"/>
      <c r="EK108" s="1116"/>
      <c r="EL108" s="1116"/>
      <c r="EM108" s="1116"/>
      <c r="EN108" s="1116"/>
      <c r="EO108" s="1116"/>
      <c r="EP108" s="1116"/>
      <c r="EQ108" s="1116"/>
      <c r="ER108" s="1116"/>
      <c r="ES108" s="1116"/>
    </row>
    <row r="109" spans="1:149" ht="15" customHeight="1">
      <c r="A109" s="1185">
        <v>99</v>
      </c>
      <c r="B109" s="1041"/>
      <c r="C109" s="1050"/>
      <c r="D109" s="1050"/>
      <c r="E109" s="1050"/>
      <c r="F109" s="1049"/>
      <c r="G109" s="1049"/>
      <c r="H109" s="1049"/>
      <c r="I109" s="1049"/>
      <c r="J109" s="1050"/>
      <c r="K109" s="1050"/>
      <c r="L109" s="1043"/>
      <c r="M109" s="1051"/>
      <c r="N109" s="1051"/>
      <c r="O109" s="1052"/>
      <c r="P109" s="1051"/>
      <c r="Q109" s="1051"/>
      <c r="R109" s="1052"/>
      <c r="S109" s="1051"/>
      <c r="T109" s="1051"/>
      <c r="U109" s="1052"/>
      <c r="V109" s="1051"/>
      <c r="W109" s="1051"/>
      <c r="X109" s="1052"/>
      <c r="Y109" s="1053"/>
      <c r="Z109" s="1051"/>
      <c r="AA109" s="1051"/>
      <c r="AB109" s="1052"/>
      <c r="AC109" s="1051"/>
      <c r="AD109" s="1051"/>
      <c r="AE109" s="1052"/>
      <c r="AF109" s="1051"/>
      <c r="AG109" s="1051"/>
      <c r="AH109" s="1051"/>
      <c r="AI109" s="1051"/>
      <c r="AJ109" s="1052"/>
      <c r="AK109" s="1051"/>
      <c r="AL109" s="1051"/>
      <c r="AM109" s="1052"/>
      <c r="AN109" s="1051"/>
      <c r="AO109" s="1051"/>
      <c r="AP109" s="1052"/>
      <c r="AQ109" s="1051"/>
      <c r="AR109" s="1051"/>
      <c r="AS109" s="1052"/>
      <c r="AT109" s="1051"/>
      <c r="AU109" s="1051"/>
      <c r="AV109" s="1052"/>
      <c r="AW109" s="1051"/>
      <c r="AX109" s="1051"/>
      <c r="AY109" s="1053"/>
      <c r="AZ109" s="1051"/>
      <c r="BA109" s="1051"/>
      <c r="BB109" s="1053"/>
      <c r="BC109" s="1051"/>
      <c r="BD109" s="1051"/>
      <c r="BE109" s="1053"/>
      <c r="BF109" s="1051"/>
      <c r="BG109" s="1051"/>
      <c r="BH109" s="1053"/>
      <c r="BI109" s="1052"/>
      <c r="BJ109" s="1052"/>
      <c r="BK109" s="1052"/>
      <c r="BL109" s="1052"/>
      <c r="BM109" s="1052"/>
      <c r="BN109" s="1054"/>
      <c r="BO109" s="1076">
        <f t="shared" si="2"/>
        <v>0</v>
      </c>
      <c r="BP109" s="1051"/>
      <c r="BQ109" s="1052"/>
      <c r="BR109" s="1054"/>
      <c r="BS109" s="1053"/>
      <c r="BT109" s="1051"/>
      <c r="BU109" s="1051"/>
      <c r="BV109" s="1051"/>
      <c r="BW109" s="1052"/>
      <c r="BX109" s="1052"/>
      <c r="BY109" s="1052"/>
      <c r="BZ109" s="1052"/>
      <c r="CA109" s="1052"/>
      <c r="CB109" s="1053"/>
      <c r="CC109" s="1053"/>
      <c r="CD109" s="1053"/>
      <c r="CE109" s="1053"/>
      <c r="CF109" s="1053"/>
      <c r="CG109" s="1053"/>
      <c r="CH109" s="1053"/>
      <c r="CI109" s="1123"/>
      <c r="CJ109" s="1123"/>
      <c r="CK109" s="1123"/>
      <c r="CL109" s="1123"/>
      <c r="CM109" s="1123"/>
      <c r="CN109" s="1123"/>
      <c r="CO109" s="1123"/>
      <c r="CP109" s="1123"/>
      <c r="CQ109" s="1123"/>
      <c r="CR109" s="1123"/>
      <c r="CS109" s="1123"/>
      <c r="CT109" s="1123"/>
      <c r="CU109" s="1123"/>
      <c r="CV109" s="1123"/>
      <c r="CW109" s="1123"/>
      <c r="CX109" s="1123"/>
      <c r="CY109" s="1123"/>
      <c r="CZ109" s="1114"/>
      <c r="DA109" s="1114"/>
      <c r="DB109" s="1114"/>
      <c r="DC109" s="1114"/>
      <c r="DD109" s="1114"/>
      <c r="DE109" s="1114"/>
      <c r="DF109" s="1114"/>
      <c r="DG109" s="1114"/>
      <c r="DH109" s="1114"/>
      <c r="DI109" s="1114"/>
      <c r="DJ109" s="1114"/>
      <c r="DK109" s="1114"/>
      <c r="DL109" s="1114"/>
      <c r="DM109" s="1114"/>
      <c r="DN109" s="1114"/>
      <c r="DO109" s="1114"/>
      <c r="DP109" s="1114"/>
      <c r="DQ109" s="1114"/>
      <c r="DR109" s="1114"/>
      <c r="DS109" s="1114"/>
      <c r="DT109" s="1114"/>
      <c r="DU109" s="1114"/>
      <c r="DV109" s="1115"/>
      <c r="DW109" s="1116"/>
      <c r="DX109" s="1116"/>
      <c r="DY109" s="1116"/>
      <c r="DZ109" s="1116"/>
      <c r="EA109" s="1116"/>
      <c r="EB109" s="1116"/>
      <c r="EC109" s="1116"/>
      <c r="ED109" s="1116"/>
      <c r="EE109" s="1116"/>
      <c r="EF109" s="1116"/>
      <c r="EG109" s="1116"/>
      <c r="EH109" s="1116"/>
      <c r="EI109" s="1116"/>
      <c r="EJ109" s="1116"/>
      <c r="EK109" s="1116"/>
      <c r="EL109" s="1116"/>
      <c r="EM109" s="1116"/>
      <c r="EN109" s="1116"/>
      <c r="EO109" s="1116"/>
      <c r="EP109" s="1116"/>
      <c r="EQ109" s="1116"/>
      <c r="ER109" s="1116"/>
      <c r="ES109" s="1116"/>
    </row>
    <row r="110" spans="1:149" ht="15" customHeight="1">
      <c r="A110" s="1185">
        <v>100</v>
      </c>
      <c r="B110" s="1041"/>
      <c r="C110" s="1050"/>
      <c r="D110" s="1050"/>
      <c r="E110" s="1050"/>
      <c r="F110" s="1049"/>
      <c r="G110" s="1049"/>
      <c r="H110" s="1049"/>
      <c r="I110" s="1049"/>
      <c r="J110" s="1050"/>
      <c r="K110" s="1050"/>
      <c r="L110" s="1043"/>
      <c r="M110" s="1051"/>
      <c r="N110" s="1051"/>
      <c r="O110" s="1052"/>
      <c r="P110" s="1051"/>
      <c r="Q110" s="1051"/>
      <c r="R110" s="1052"/>
      <c r="S110" s="1051"/>
      <c r="T110" s="1051"/>
      <c r="U110" s="1052"/>
      <c r="V110" s="1051"/>
      <c r="W110" s="1051"/>
      <c r="X110" s="1052"/>
      <c r="Y110" s="1053"/>
      <c r="Z110" s="1051"/>
      <c r="AA110" s="1051"/>
      <c r="AB110" s="1052"/>
      <c r="AC110" s="1051"/>
      <c r="AD110" s="1051"/>
      <c r="AE110" s="1052"/>
      <c r="AF110" s="1051"/>
      <c r="AG110" s="1051"/>
      <c r="AH110" s="1051"/>
      <c r="AI110" s="1051"/>
      <c r="AJ110" s="1052"/>
      <c r="AK110" s="1051"/>
      <c r="AL110" s="1051"/>
      <c r="AM110" s="1052"/>
      <c r="AN110" s="1051"/>
      <c r="AO110" s="1051"/>
      <c r="AP110" s="1052"/>
      <c r="AQ110" s="1051"/>
      <c r="AR110" s="1051"/>
      <c r="AS110" s="1052"/>
      <c r="AT110" s="1051"/>
      <c r="AU110" s="1051"/>
      <c r="AV110" s="1052"/>
      <c r="AW110" s="1051"/>
      <c r="AX110" s="1051"/>
      <c r="AY110" s="1053"/>
      <c r="AZ110" s="1051"/>
      <c r="BA110" s="1051"/>
      <c r="BB110" s="1053"/>
      <c r="BC110" s="1051"/>
      <c r="BD110" s="1051"/>
      <c r="BE110" s="1053"/>
      <c r="BF110" s="1051"/>
      <c r="BG110" s="1051"/>
      <c r="BH110" s="1053"/>
      <c r="BI110" s="1052"/>
      <c r="BJ110" s="1052"/>
      <c r="BK110" s="1052"/>
      <c r="BL110" s="1052"/>
      <c r="BM110" s="1052"/>
      <c r="BN110" s="1054"/>
      <c r="BO110" s="1076">
        <f t="shared" si="2"/>
        <v>0</v>
      </c>
      <c r="BP110" s="1051"/>
      <c r="BQ110" s="1052"/>
      <c r="BR110" s="1054"/>
      <c r="BS110" s="1053"/>
      <c r="BT110" s="1051"/>
      <c r="BU110" s="1051"/>
      <c r="BV110" s="1051"/>
      <c r="BW110" s="1052"/>
      <c r="BX110" s="1052"/>
      <c r="BY110" s="1052"/>
      <c r="BZ110" s="1052"/>
      <c r="CA110" s="1052"/>
      <c r="CB110" s="1053"/>
      <c r="CC110" s="1053"/>
      <c r="CD110" s="1053"/>
      <c r="CE110" s="1053"/>
      <c r="CF110" s="1053"/>
      <c r="CG110" s="1053"/>
      <c r="CH110" s="1053"/>
      <c r="CI110" s="1123"/>
      <c r="CJ110" s="1123"/>
      <c r="CK110" s="1123"/>
      <c r="CL110" s="1123"/>
      <c r="CM110" s="1123"/>
      <c r="CN110" s="1123"/>
      <c r="CO110" s="1123"/>
      <c r="CP110" s="1123"/>
      <c r="CQ110" s="1123"/>
      <c r="CR110" s="1123"/>
      <c r="CS110" s="1123"/>
      <c r="CT110" s="1123"/>
      <c r="CU110" s="1123"/>
      <c r="CV110" s="1123"/>
      <c r="CW110" s="1123"/>
      <c r="CX110" s="1123"/>
      <c r="CY110" s="1123"/>
      <c r="CZ110" s="1114"/>
      <c r="DA110" s="1114"/>
      <c r="DB110" s="1114"/>
      <c r="DC110" s="1114"/>
      <c r="DD110" s="1114"/>
      <c r="DE110" s="1114"/>
      <c r="DF110" s="1114"/>
      <c r="DG110" s="1114"/>
      <c r="DH110" s="1114"/>
      <c r="DI110" s="1114"/>
      <c r="DJ110" s="1114"/>
      <c r="DK110" s="1114"/>
      <c r="DL110" s="1114"/>
      <c r="DM110" s="1114"/>
      <c r="DN110" s="1114"/>
      <c r="DO110" s="1114"/>
      <c r="DP110" s="1114"/>
      <c r="DQ110" s="1114"/>
      <c r="DR110" s="1114"/>
      <c r="DS110" s="1114"/>
      <c r="DT110" s="1114"/>
      <c r="DU110" s="1114"/>
      <c r="DV110" s="1115"/>
      <c r="DW110" s="1116"/>
      <c r="DX110" s="1116"/>
      <c r="DY110" s="1116"/>
      <c r="DZ110" s="1116"/>
      <c r="EA110" s="1116"/>
      <c r="EB110" s="1116"/>
      <c r="EC110" s="1116"/>
      <c r="ED110" s="1116"/>
      <c r="EE110" s="1116"/>
      <c r="EF110" s="1116"/>
      <c r="EG110" s="1116"/>
      <c r="EH110" s="1116"/>
      <c r="EI110" s="1116"/>
      <c r="EJ110" s="1116"/>
      <c r="EK110" s="1116"/>
      <c r="EL110" s="1116"/>
      <c r="EM110" s="1116"/>
      <c r="EN110" s="1116"/>
      <c r="EO110" s="1116"/>
      <c r="EP110" s="1116"/>
      <c r="EQ110" s="1116"/>
      <c r="ER110" s="1116"/>
      <c r="ES110" s="1116"/>
    </row>
    <row r="111" spans="1:149" ht="15" customHeight="1">
      <c r="A111" s="1185">
        <v>101</v>
      </c>
      <c r="B111" s="1041"/>
      <c r="C111" s="1050"/>
      <c r="D111" s="1050"/>
      <c r="E111" s="1050"/>
      <c r="F111" s="1049"/>
      <c r="G111" s="1049"/>
      <c r="H111" s="1049"/>
      <c r="I111" s="1049"/>
      <c r="J111" s="1050"/>
      <c r="K111" s="1050"/>
      <c r="L111" s="1043"/>
      <c r="M111" s="1051"/>
      <c r="N111" s="1051"/>
      <c r="O111" s="1052"/>
      <c r="P111" s="1051"/>
      <c r="Q111" s="1051"/>
      <c r="R111" s="1052"/>
      <c r="S111" s="1051"/>
      <c r="T111" s="1051"/>
      <c r="U111" s="1052"/>
      <c r="V111" s="1051"/>
      <c r="W111" s="1051"/>
      <c r="X111" s="1052"/>
      <c r="Y111" s="1053"/>
      <c r="Z111" s="1051"/>
      <c r="AA111" s="1051"/>
      <c r="AB111" s="1052"/>
      <c r="AC111" s="1051"/>
      <c r="AD111" s="1051"/>
      <c r="AE111" s="1052"/>
      <c r="AF111" s="1051"/>
      <c r="AG111" s="1051"/>
      <c r="AH111" s="1051"/>
      <c r="AI111" s="1051"/>
      <c r="AJ111" s="1052"/>
      <c r="AK111" s="1051"/>
      <c r="AL111" s="1051"/>
      <c r="AM111" s="1052"/>
      <c r="AN111" s="1051"/>
      <c r="AO111" s="1051"/>
      <c r="AP111" s="1052"/>
      <c r="AQ111" s="1051"/>
      <c r="AR111" s="1051"/>
      <c r="AS111" s="1052"/>
      <c r="AT111" s="1051"/>
      <c r="AU111" s="1051"/>
      <c r="AV111" s="1052"/>
      <c r="AW111" s="1051"/>
      <c r="AX111" s="1051"/>
      <c r="AY111" s="1053"/>
      <c r="AZ111" s="1051"/>
      <c r="BA111" s="1051"/>
      <c r="BB111" s="1053"/>
      <c r="BC111" s="1051"/>
      <c r="BD111" s="1051"/>
      <c r="BE111" s="1053"/>
      <c r="BF111" s="1051"/>
      <c r="BG111" s="1051"/>
      <c r="BH111" s="1053"/>
      <c r="BI111" s="1052"/>
      <c r="BJ111" s="1052"/>
      <c r="BK111" s="1052"/>
      <c r="BL111" s="1052"/>
      <c r="BM111" s="1052"/>
      <c r="BN111" s="1054"/>
      <c r="BO111" s="1076">
        <f t="shared" si="2"/>
        <v>0</v>
      </c>
      <c r="BP111" s="1051"/>
      <c r="BQ111" s="1052"/>
      <c r="BR111" s="1054"/>
      <c r="BS111" s="1053"/>
      <c r="BT111" s="1051"/>
      <c r="BU111" s="1051"/>
      <c r="BV111" s="1051"/>
      <c r="BW111" s="1052"/>
      <c r="BX111" s="1052"/>
      <c r="BY111" s="1052"/>
      <c r="BZ111" s="1052"/>
      <c r="CA111" s="1052"/>
      <c r="CB111" s="1053"/>
      <c r="CC111" s="1053"/>
      <c r="CD111" s="1053"/>
      <c r="CE111" s="1053"/>
      <c r="CF111" s="1053"/>
      <c r="CG111" s="1053"/>
      <c r="CH111" s="1053"/>
      <c r="CI111" s="1123"/>
      <c r="CJ111" s="1123"/>
      <c r="CK111" s="1123"/>
      <c r="CL111" s="1123"/>
      <c r="CM111" s="1123"/>
      <c r="CN111" s="1123"/>
      <c r="CO111" s="1123"/>
      <c r="CP111" s="1123"/>
      <c r="CQ111" s="1123"/>
      <c r="CR111" s="1123"/>
      <c r="CS111" s="1123"/>
      <c r="CT111" s="1123"/>
      <c r="CU111" s="1123"/>
      <c r="CV111" s="1123"/>
      <c r="CW111" s="1123"/>
      <c r="CX111" s="1123"/>
      <c r="CY111" s="1123"/>
      <c r="CZ111" s="1114"/>
      <c r="DA111" s="1114"/>
      <c r="DB111" s="1114"/>
      <c r="DC111" s="1114"/>
      <c r="DD111" s="1114"/>
      <c r="DE111" s="1114"/>
      <c r="DF111" s="1114"/>
      <c r="DG111" s="1114"/>
      <c r="DH111" s="1114"/>
      <c r="DI111" s="1114"/>
      <c r="DJ111" s="1114"/>
      <c r="DK111" s="1114"/>
      <c r="DL111" s="1114"/>
      <c r="DM111" s="1114"/>
      <c r="DN111" s="1114"/>
      <c r="DO111" s="1114"/>
      <c r="DP111" s="1114"/>
      <c r="DQ111" s="1114"/>
      <c r="DR111" s="1114"/>
      <c r="DS111" s="1114"/>
      <c r="DT111" s="1114"/>
      <c r="DU111" s="1114"/>
      <c r="DV111" s="1115"/>
      <c r="DW111" s="1116"/>
      <c r="DX111" s="1116"/>
      <c r="DY111" s="1116"/>
      <c r="DZ111" s="1116"/>
      <c r="EA111" s="1116"/>
      <c r="EB111" s="1116"/>
      <c r="EC111" s="1116"/>
      <c r="ED111" s="1116"/>
      <c r="EE111" s="1116"/>
      <c r="EF111" s="1116"/>
      <c r="EG111" s="1116"/>
      <c r="EH111" s="1116"/>
      <c r="EI111" s="1116"/>
      <c r="EJ111" s="1116"/>
      <c r="EK111" s="1116"/>
      <c r="EL111" s="1116"/>
      <c r="EM111" s="1116"/>
      <c r="EN111" s="1116"/>
      <c r="EO111" s="1116"/>
      <c r="EP111" s="1116"/>
      <c r="EQ111" s="1116"/>
      <c r="ER111" s="1116"/>
      <c r="ES111" s="1116"/>
    </row>
    <row r="112" spans="1:149" ht="15" customHeight="1">
      <c r="A112" s="1185">
        <v>102</v>
      </c>
      <c r="B112" s="1041"/>
      <c r="C112" s="1050"/>
      <c r="D112" s="1050"/>
      <c r="E112" s="1050"/>
      <c r="F112" s="1049"/>
      <c r="G112" s="1049"/>
      <c r="H112" s="1049"/>
      <c r="I112" s="1049"/>
      <c r="J112" s="1050"/>
      <c r="K112" s="1050"/>
      <c r="L112" s="1043"/>
      <c r="M112" s="1051"/>
      <c r="N112" s="1051"/>
      <c r="O112" s="1052"/>
      <c r="P112" s="1051"/>
      <c r="Q112" s="1051"/>
      <c r="R112" s="1052"/>
      <c r="S112" s="1051"/>
      <c r="T112" s="1051"/>
      <c r="U112" s="1052"/>
      <c r="V112" s="1051"/>
      <c r="W112" s="1051"/>
      <c r="X112" s="1052"/>
      <c r="Y112" s="1053"/>
      <c r="Z112" s="1051"/>
      <c r="AA112" s="1051"/>
      <c r="AB112" s="1052"/>
      <c r="AC112" s="1051"/>
      <c r="AD112" s="1051"/>
      <c r="AE112" s="1052"/>
      <c r="AF112" s="1051"/>
      <c r="AG112" s="1051"/>
      <c r="AH112" s="1051"/>
      <c r="AI112" s="1051"/>
      <c r="AJ112" s="1052"/>
      <c r="AK112" s="1051"/>
      <c r="AL112" s="1051"/>
      <c r="AM112" s="1052"/>
      <c r="AN112" s="1051"/>
      <c r="AO112" s="1051"/>
      <c r="AP112" s="1052"/>
      <c r="AQ112" s="1051"/>
      <c r="AR112" s="1051"/>
      <c r="AS112" s="1052"/>
      <c r="AT112" s="1051"/>
      <c r="AU112" s="1051"/>
      <c r="AV112" s="1052"/>
      <c r="AW112" s="1051"/>
      <c r="AX112" s="1051"/>
      <c r="AY112" s="1053"/>
      <c r="AZ112" s="1051"/>
      <c r="BA112" s="1051"/>
      <c r="BB112" s="1053"/>
      <c r="BC112" s="1051"/>
      <c r="BD112" s="1051"/>
      <c r="BE112" s="1053"/>
      <c r="BF112" s="1051"/>
      <c r="BG112" s="1051"/>
      <c r="BH112" s="1053"/>
      <c r="BI112" s="1052"/>
      <c r="BJ112" s="1052"/>
      <c r="BK112" s="1052"/>
      <c r="BL112" s="1052"/>
      <c r="BM112" s="1052"/>
      <c r="BN112" s="1054"/>
      <c r="BO112" s="1076">
        <f t="shared" si="2"/>
        <v>0</v>
      </c>
      <c r="BP112" s="1051"/>
      <c r="BQ112" s="1052"/>
      <c r="BR112" s="1054"/>
      <c r="BS112" s="1053"/>
      <c r="BT112" s="1051"/>
      <c r="BU112" s="1051"/>
      <c r="BV112" s="1051"/>
      <c r="BW112" s="1052"/>
      <c r="BX112" s="1052"/>
      <c r="BY112" s="1052"/>
      <c r="BZ112" s="1052"/>
      <c r="CA112" s="1052"/>
      <c r="CB112" s="1053"/>
      <c r="CC112" s="1053"/>
      <c r="CD112" s="1053"/>
      <c r="CE112" s="1053"/>
      <c r="CF112" s="1053"/>
      <c r="CG112" s="1053"/>
      <c r="CH112" s="1053"/>
      <c r="CI112" s="1123"/>
      <c r="CJ112" s="1123"/>
      <c r="CK112" s="1123"/>
      <c r="CL112" s="1123"/>
      <c r="CM112" s="1123"/>
      <c r="CN112" s="1123"/>
      <c r="CO112" s="1123"/>
      <c r="CP112" s="1123"/>
      <c r="CQ112" s="1123"/>
      <c r="CR112" s="1123"/>
      <c r="CS112" s="1123"/>
      <c r="CT112" s="1123"/>
      <c r="CU112" s="1123"/>
      <c r="CV112" s="1123"/>
      <c r="CW112" s="1123"/>
      <c r="CX112" s="1123"/>
      <c r="CY112" s="1123"/>
      <c r="CZ112" s="1114"/>
      <c r="DA112" s="1114"/>
      <c r="DB112" s="1114"/>
      <c r="DC112" s="1114"/>
      <c r="DD112" s="1114"/>
      <c r="DE112" s="1114"/>
      <c r="DF112" s="1114"/>
      <c r="DG112" s="1114"/>
      <c r="DH112" s="1114"/>
      <c r="DI112" s="1114"/>
      <c r="DJ112" s="1114"/>
      <c r="DK112" s="1114"/>
      <c r="DL112" s="1114"/>
      <c r="DM112" s="1114"/>
      <c r="DN112" s="1114"/>
      <c r="DO112" s="1114"/>
      <c r="DP112" s="1114"/>
      <c r="DQ112" s="1114"/>
      <c r="DR112" s="1114"/>
      <c r="DS112" s="1114"/>
      <c r="DT112" s="1114"/>
      <c r="DU112" s="1114"/>
      <c r="DV112" s="1115"/>
      <c r="DW112" s="1116"/>
      <c r="DX112" s="1116"/>
      <c r="DY112" s="1116"/>
      <c r="DZ112" s="1116"/>
      <c r="EA112" s="1116"/>
      <c r="EB112" s="1116"/>
      <c r="EC112" s="1116"/>
      <c r="ED112" s="1116"/>
      <c r="EE112" s="1116"/>
      <c r="EF112" s="1116"/>
      <c r="EG112" s="1116"/>
      <c r="EH112" s="1116"/>
      <c r="EI112" s="1116"/>
      <c r="EJ112" s="1116"/>
      <c r="EK112" s="1116"/>
      <c r="EL112" s="1116"/>
      <c r="EM112" s="1116"/>
      <c r="EN112" s="1116"/>
      <c r="EO112" s="1116"/>
      <c r="EP112" s="1116"/>
      <c r="EQ112" s="1116"/>
      <c r="ER112" s="1116"/>
      <c r="ES112" s="1116"/>
    </row>
    <row r="113" spans="1:149" ht="15" customHeight="1">
      <c r="A113" s="1185">
        <v>103</v>
      </c>
      <c r="B113" s="1041"/>
      <c r="C113" s="1050"/>
      <c r="D113" s="1050"/>
      <c r="E113" s="1050"/>
      <c r="F113" s="1049"/>
      <c r="G113" s="1049"/>
      <c r="H113" s="1049"/>
      <c r="I113" s="1049"/>
      <c r="J113" s="1050"/>
      <c r="K113" s="1050"/>
      <c r="L113" s="1043"/>
      <c r="M113" s="1051"/>
      <c r="N113" s="1051"/>
      <c r="O113" s="1052"/>
      <c r="P113" s="1051"/>
      <c r="Q113" s="1051"/>
      <c r="R113" s="1052"/>
      <c r="S113" s="1051"/>
      <c r="T113" s="1051"/>
      <c r="U113" s="1052"/>
      <c r="V113" s="1051"/>
      <c r="W113" s="1051"/>
      <c r="X113" s="1052"/>
      <c r="Y113" s="1053"/>
      <c r="Z113" s="1051"/>
      <c r="AA113" s="1051"/>
      <c r="AB113" s="1052"/>
      <c r="AC113" s="1051"/>
      <c r="AD113" s="1051"/>
      <c r="AE113" s="1052"/>
      <c r="AF113" s="1051"/>
      <c r="AG113" s="1051"/>
      <c r="AH113" s="1051"/>
      <c r="AI113" s="1051"/>
      <c r="AJ113" s="1052"/>
      <c r="AK113" s="1051"/>
      <c r="AL113" s="1051"/>
      <c r="AM113" s="1052"/>
      <c r="AN113" s="1051"/>
      <c r="AO113" s="1051"/>
      <c r="AP113" s="1052"/>
      <c r="AQ113" s="1051"/>
      <c r="AR113" s="1051"/>
      <c r="AS113" s="1052"/>
      <c r="AT113" s="1051"/>
      <c r="AU113" s="1051"/>
      <c r="AV113" s="1052"/>
      <c r="AW113" s="1051"/>
      <c r="AX113" s="1051"/>
      <c r="AY113" s="1053"/>
      <c r="AZ113" s="1051"/>
      <c r="BA113" s="1051"/>
      <c r="BB113" s="1053"/>
      <c r="BC113" s="1051"/>
      <c r="BD113" s="1051"/>
      <c r="BE113" s="1053"/>
      <c r="BF113" s="1051"/>
      <c r="BG113" s="1051"/>
      <c r="BH113" s="1053"/>
      <c r="BI113" s="1052"/>
      <c r="BJ113" s="1052"/>
      <c r="BK113" s="1052"/>
      <c r="BL113" s="1052"/>
      <c r="BM113" s="1052"/>
      <c r="BN113" s="1054"/>
      <c r="BO113" s="1076">
        <f t="shared" si="2"/>
        <v>0</v>
      </c>
      <c r="BP113" s="1051"/>
      <c r="BQ113" s="1052"/>
      <c r="BR113" s="1054"/>
      <c r="BS113" s="1053"/>
      <c r="BT113" s="1051"/>
      <c r="BU113" s="1051"/>
      <c r="BV113" s="1051"/>
      <c r="BW113" s="1052"/>
      <c r="BX113" s="1052"/>
      <c r="BY113" s="1052"/>
      <c r="BZ113" s="1052"/>
      <c r="CA113" s="1052"/>
      <c r="CB113" s="1053"/>
      <c r="CC113" s="1053"/>
      <c r="CD113" s="1053"/>
      <c r="CE113" s="1053"/>
      <c r="CF113" s="1053"/>
      <c r="CG113" s="1053"/>
      <c r="CH113" s="1053"/>
      <c r="CI113" s="1123"/>
      <c r="CJ113" s="1123"/>
      <c r="CK113" s="1123"/>
      <c r="CL113" s="1123"/>
      <c r="CM113" s="1123"/>
      <c r="CN113" s="1123"/>
      <c r="CO113" s="1123"/>
      <c r="CP113" s="1123"/>
      <c r="CQ113" s="1123"/>
      <c r="CR113" s="1123"/>
      <c r="CS113" s="1123"/>
      <c r="CT113" s="1123"/>
      <c r="CU113" s="1123"/>
      <c r="CV113" s="1123"/>
      <c r="CW113" s="1123"/>
      <c r="CX113" s="1123"/>
      <c r="CY113" s="1123"/>
      <c r="CZ113" s="1114"/>
      <c r="DA113" s="1114"/>
      <c r="DB113" s="1114"/>
      <c r="DC113" s="1114"/>
      <c r="DD113" s="1114"/>
      <c r="DE113" s="1114"/>
      <c r="DF113" s="1114"/>
      <c r="DG113" s="1114"/>
      <c r="DH113" s="1114"/>
      <c r="DI113" s="1114"/>
      <c r="DJ113" s="1114"/>
      <c r="DK113" s="1114"/>
      <c r="DL113" s="1114"/>
      <c r="DM113" s="1114"/>
      <c r="DN113" s="1114"/>
      <c r="DO113" s="1114"/>
      <c r="DP113" s="1114"/>
      <c r="DQ113" s="1114"/>
      <c r="DR113" s="1114"/>
      <c r="DS113" s="1114"/>
      <c r="DT113" s="1114"/>
      <c r="DU113" s="1114"/>
      <c r="DV113" s="1115"/>
      <c r="DW113" s="1116"/>
      <c r="DX113" s="1116"/>
      <c r="DY113" s="1116"/>
      <c r="DZ113" s="1116"/>
      <c r="EA113" s="1116"/>
      <c r="EB113" s="1116"/>
      <c r="EC113" s="1116"/>
      <c r="ED113" s="1116"/>
      <c r="EE113" s="1116"/>
      <c r="EF113" s="1116"/>
      <c r="EG113" s="1116"/>
      <c r="EH113" s="1116"/>
      <c r="EI113" s="1116"/>
      <c r="EJ113" s="1116"/>
      <c r="EK113" s="1116"/>
      <c r="EL113" s="1116"/>
      <c r="EM113" s="1116"/>
      <c r="EN113" s="1116"/>
      <c r="EO113" s="1116"/>
      <c r="EP113" s="1116"/>
      <c r="EQ113" s="1116"/>
      <c r="ER113" s="1116"/>
      <c r="ES113" s="1116"/>
    </row>
    <row r="114" spans="1:149" ht="15" customHeight="1">
      <c r="A114" s="1185">
        <v>104</v>
      </c>
      <c r="B114" s="1041"/>
      <c r="C114" s="1050"/>
      <c r="D114" s="1050"/>
      <c r="E114" s="1050"/>
      <c r="F114" s="1049"/>
      <c r="G114" s="1049"/>
      <c r="H114" s="1049"/>
      <c r="I114" s="1049"/>
      <c r="J114" s="1050"/>
      <c r="K114" s="1050"/>
      <c r="L114" s="1043"/>
      <c r="M114" s="1051"/>
      <c r="N114" s="1051"/>
      <c r="O114" s="1052"/>
      <c r="P114" s="1051"/>
      <c r="Q114" s="1051"/>
      <c r="R114" s="1052"/>
      <c r="S114" s="1051"/>
      <c r="T114" s="1051"/>
      <c r="U114" s="1052"/>
      <c r="V114" s="1051"/>
      <c r="W114" s="1051"/>
      <c r="X114" s="1052"/>
      <c r="Y114" s="1053"/>
      <c r="Z114" s="1051"/>
      <c r="AA114" s="1051"/>
      <c r="AB114" s="1052"/>
      <c r="AC114" s="1051"/>
      <c r="AD114" s="1051"/>
      <c r="AE114" s="1052"/>
      <c r="AF114" s="1051"/>
      <c r="AG114" s="1051"/>
      <c r="AH114" s="1051"/>
      <c r="AI114" s="1051"/>
      <c r="AJ114" s="1052"/>
      <c r="AK114" s="1051"/>
      <c r="AL114" s="1051"/>
      <c r="AM114" s="1052"/>
      <c r="AN114" s="1051"/>
      <c r="AO114" s="1051"/>
      <c r="AP114" s="1052"/>
      <c r="AQ114" s="1051"/>
      <c r="AR114" s="1051"/>
      <c r="AS114" s="1052"/>
      <c r="AT114" s="1051"/>
      <c r="AU114" s="1051"/>
      <c r="AV114" s="1052"/>
      <c r="AW114" s="1051"/>
      <c r="AX114" s="1051"/>
      <c r="AY114" s="1053"/>
      <c r="AZ114" s="1051"/>
      <c r="BA114" s="1051"/>
      <c r="BB114" s="1053"/>
      <c r="BC114" s="1051"/>
      <c r="BD114" s="1051"/>
      <c r="BE114" s="1053"/>
      <c r="BF114" s="1051"/>
      <c r="BG114" s="1051"/>
      <c r="BH114" s="1053"/>
      <c r="BI114" s="1052"/>
      <c r="BJ114" s="1052"/>
      <c r="BK114" s="1052"/>
      <c r="BL114" s="1052"/>
      <c r="BM114" s="1052"/>
      <c r="BN114" s="1054"/>
      <c r="BO114" s="1076">
        <f t="shared" si="2"/>
        <v>0</v>
      </c>
      <c r="BP114" s="1051"/>
      <c r="BQ114" s="1052"/>
      <c r="BR114" s="1054"/>
      <c r="BS114" s="1053"/>
      <c r="BT114" s="1051"/>
      <c r="BU114" s="1051"/>
      <c r="BV114" s="1051"/>
      <c r="BW114" s="1052"/>
      <c r="BX114" s="1052"/>
      <c r="BY114" s="1052"/>
      <c r="BZ114" s="1052"/>
      <c r="CA114" s="1052"/>
      <c r="CB114" s="1053"/>
      <c r="CC114" s="1053"/>
      <c r="CD114" s="1053"/>
      <c r="CE114" s="1053"/>
      <c r="CF114" s="1053"/>
      <c r="CG114" s="1053"/>
      <c r="CH114" s="1053"/>
      <c r="CI114" s="1123"/>
      <c r="CJ114" s="1123"/>
      <c r="CK114" s="1123"/>
      <c r="CL114" s="1123"/>
      <c r="CM114" s="1123"/>
      <c r="CN114" s="1123"/>
      <c r="CO114" s="1123"/>
      <c r="CP114" s="1123"/>
      <c r="CQ114" s="1123"/>
      <c r="CR114" s="1123"/>
      <c r="CS114" s="1123"/>
      <c r="CT114" s="1123"/>
      <c r="CU114" s="1123"/>
      <c r="CV114" s="1123"/>
      <c r="CW114" s="1123"/>
      <c r="CX114" s="1123"/>
      <c r="CY114" s="1123"/>
      <c r="CZ114" s="1114"/>
      <c r="DA114" s="1114"/>
      <c r="DB114" s="1114"/>
      <c r="DC114" s="1114"/>
      <c r="DD114" s="1114"/>
      <c r="DE114" s="1114"/>
      <c r="DF114" s="1114"/>
      <c r="DG114" s="1114"/>
      <c r="DH114" s="1114"/>
      <c r="DI114" s="1114"/>
      <c r="DJ114" s="1114"/>
      <c r="DK114" s="1114"/>
      <c r="DL114" s="1114"/>
      <c r="DM114" s="1114"/>
      <c r="DN114" s="1114"/>
      <c r="DO114" s="1114"/>
      <c r="DP114" s="1114"/>
      <c r="DQ114" s="1114"/>
      <c r="DR114" s="1114"/>
      <c r="DS114" s="1114"/>
      <c r="DT114" s="1114"/>
      <c r="DU114" s="1114"/>
      <c r="DV114" s="1115"/>
      <c r="DW114" s="1116"/>
      <c r="DX114" s="1116"/>
      <c r="DY114" s="1116"/>
      <c r="DZ114" s="1116"/>
      <c r="EA114" s="1116"/>
      <c r="EB114" s="1116"/>
      <c r="EC114" s="1116"/>
      <c r="ED114" s="1116"/>
      <c r="EE114" s="1116"/>
      <c r="EF114" s="1116"/>
      <c r="EG114" s="1116"/>
      <c r="EH114" s="1116"/>
      <c r="EI114" s="1116"/>
      <c r="EJ114" s="1116"/>
      <c r="EK114" s="1116"/>
      <c r="EL114" s="1116"/>
      <c r="EM114" s="1116"/>
      <c r="EN114" s="1116"/>
      <c r="EO114" s="1116"/>
      <c r="EP114" s="1116"/>
      <c r="EQ114" s="1116"/>
      <c r="ER114" s="1116"/>
      <c r="ES114" s="1116"/>
    </row>
    <row r="115" spans="1:149" ht="15" customHeight="1">
      <c r="A115" s="1185">
        <v>105</v>
      </c>
      <c r="B115" s="1041"/>
      <c r="C115" s="1050"/>
      <c r="D115" s="1050"/>
      <c r="E115" s="1050"/>
      <c r="F115" s="1049"/>
      <c r="G115" s="1049"/>
      <c r="H115" s="1049"/>
      <c r="I115" s="1049"/>
      <c r="J115" s="1050"/>
      <c r="K115" s="1050"/>
      <c r="L115" s="1043"/>
      <c r="M115" s="1051"/>
      <c r="N115" s="1051"/>
      <c r="O115" s="1052"/>
      <c r="P115" s="1051"/>
      <c r="Q115" s="1051"/>
      <c r="R115" s="1052"/>
      <c r="S115" s="1051"/>
      <c r="T115" s="1051"/>
      <c r="U115" s="1052"/>
      <c r="V115" s="1051"/>
      <c r="W115" s="1051"/>
      <c r="X115" s="1052"/>
      <c r="Y115" s="1053"/>
      <c r="Z115" s="1051"/>
      <c r="AA115" s="1051"/>
      <c r="AB115" s="1052"/>
      <c r="AC115" s="1051"/>
      <c r="AD115" s="1051"/>
      <c r="AE115" s="1052"/>
      <c r="AF115" s="1051"/>
      <c r="AG115" s="1051"/>
      <c r="AH115" s="1051"/>
      <c r="AI115" s="1051"/>
      <c r="AJ115" s="1052"/>
      <c r="AK115" s="1051"/>
      <c r="AL115" s="1051"/>
      <c r="AM115" s="1052"/>
      <c r="AN115" s="1051"/>
      <c r="AO115" s="1051"/>
      <c r="AP115" s="1052"/>
      <c r="AQ115" s="1051"/>
      <c r="AR115" s="1051"/>
      <c r="AS115" s="1052"/>
      <c r="AT115" s="1051"/>
      <c r="AU115" s="1051"/>
      <c r="AV115" s="1052"/>
      <c r="AW115" s="1051"/>
      <c r="AX115" s="1051"/>
      <c r="AY115" s="1053"/>
      <c r="AZ115" s="1051"/>
      <c r="BA115" s="1051"/>
      <c r="BB115" s="1053"/>
      <c r="BC115" s="1051"/>
      <c r="BD115" s="1051"/>
      <c r="BE115" s="1053"/>
      <c r="BF115" s="1051"/>
      <c r="BG115" s="1051"/>
      <c r="BH115" s="1053"/>
      <c r="BI115" s="1052"/>
      <c r="BJ115" s="1052"/>
      <c r="BK115" s="1052"/>
      <c r="BL115" s="1052"/>
      <c r="BM115" s="1052"/>
      <c r="BN115" s="1054"/>
      <c r="BO115" s="1076">
        <f t="shared" si="2"/>
        <v>0</v>
      </c>
      <c r="BP115" s="1051"/>
      <c r="BQ115" s="1052"/>
      <c r="BR115" s="1054"/>
      <c r="BS115" s="1053"/>
      <c r="BT115" s="1051"/>
      <c r="BU115" s="1051"/>
      <c r="BV115" s="1051"/>
      <c r="BW115" s="1052"/>
      <c r="BX115" s="1052"/>
      <c r="BY115" s="1052"/>
      <c r="BZ115" s="1052"/>
      <c r="CA115" s="1052"/>
      <c r="CB115" s="1053"/>
      <c r="CC115" s="1053"/>
      <c r="CD115" s="1053"/>
      <c r="CE115" s="1053"/>
      <c r="CF115" s="1053"/>
      <c r="CG115" s="1053"/>
      <c r="CH115" s="1053"/>
      <c r="CI115" s="1123"/>
      <c r="CJ115" s="1123"/>
      <c r="CK115" s="1123"/>
      <c r="CL115" s="1123"/>
      <c r="CM115" s="1123"/>
      <c r="CN115" s="1123"/>
      <c r="CO115" s="1123"/>
      <c r="CP115" s="1123"/>
      <c r="CQ115" s="1123"/>
      <c r="CR115" s="1123"/>
      <c r="CS115" s="1123"/>
      <c r="CT115" s="1123"/>
      <c r="CU115" s="1123"/>
      <c r="CV115" s="1123"/>
      <c r="CW115" s="1123"/>
      <c r="CX115" s="1123"/>
      <c r="CY115" s="1123"/>
      <c r="CZ115" s="1114"/>
      <c r="DA115" s="1114"/>
      <c r="DB115" s="1114"/>
      <c r="DC115" s="1114"/>
      <c r="DD115" s="1114"/>
      <c r="DE115" s="1114"/>
      <c r="DF115" s="1114"/>
      <c r="DG115" s="1114"/>
      <c r="DH115" s="1114"/>
      <c r="DI115" s="1114"/>
      <c r="DJ115" s="1114"/>
      <c r="DK115" s="1114"/>
      <c r="DL115" s="1114"/>
      <c r="DM115" s="1114"/>
      <c r="DN115" s="1114"/>
      <c r="DO115" s="1114"/>
      <c r="DP115" s="1114"/>
      <c r="DQ115" s="1114"/>
      <c r="DR115" s="1114"/>
      <c r="DS115" s="1114"/>
      <c r="DT115" s="1114"/>
      <c r="DU115" s="1114"/>
      <c r="DV115" s="1115"/>
      <c r="DW115" s="1116"/>
      <c r="DX115" s="1116"/>
      <c r="DY115" s="1116"/>
      <c r="DZ115" s="1116"/>
      <c r="EA115" s="1116"/>
      <c r="EB115" s="1116"/>
      <c r="EC115" s="1116"/>
      <c r="ED115" s="1116"/>
      <c r="EE115" s="1116"/>
      <c r="EF115" s="1116"/>
      <c r="EG115" s="1116"/>
      <c r="EH115" s="1116"/>
      <c r="EI115" s="1116"/>
      <c r="EJ115" s="1116"/>
      <c r="EK115" s="1116"/>
      <c r="EL115" s="1116"/>
      <c r="EM115" s="1116"/>
      <c r="EN115" s="1116"/>
      <c r="EO115" s="1116"/>
      <c r="EP115" s="1116"/>
      <c r="EQ115" s="1116"/>
      <c r="ER115" s="1116"/>
      <c r="ES115" s="1116"/>
    </row>
    <row r="116" spans="1:149" ht="15" customHeight="1">
      <c r="A116" s="1185">
        <v>106</v>
      </c>
      <c r="B116" s="1041"/>
      <c r="C116" s="1050"/>
      <c r="D116" s="1050"/>
      <c r="E116" s="1050"/>
      <c r="F116" s="1049"/>
      <c r="G116" s="1049"/>
      <c r="H116" s="1049"/>
      <c r="I116" s="1049"/>
      <c r="J116" s="1050"/>
      <c r="K116" s="1050"/>
      <c r="L116" s="1043"/>
      <c r="M116" s="1051"/>
      <c r="N116" s="1051"/>
      <c r="O116" s="1052"/>
      <c r="P116" s="1051"/>
      <c r="Q116" s="1051"/>
      <c r="R116" s="1052"/>
      <c r="S116" s="1051"/>
      <c r="T116" s="1051"/>
      <c r="U116" s="1052"/>
      <c r="V116" s="1051"/>
      <c r="W116" s="1051"/>
      <c r="X116" s="1052"/>
      <c r="Y116" s="1053"/>
      <c r="Z116" s="1051"/>
      <c r="AA116" s="1051"/>
      <c r="AB116" s="1052"/>
      <c r="AC116" s="1051"/>
      <c r="AD116" s="1051"/>
      <c r="AE116" s="1052"/>
      <c r="AF116" s="1051"/>
      <c r="AG116" s="1051"/>
      <c r="AH116" s="1051"/>
      <c r="AI116" s="1051"/>
      <c r="AJ116" s="1052"/>
      <c r="AK116" s="1051"/>
      <c r="AL116" s="1051"/>
      <c r="AM116" s="1052"/>
      <c r="AN116" s="1051"/>
      <c r="AO116" s="1051"/>
      <c r="AP116" s="1052"/>
      <c r="AQ116" s="1051"/>
      <c r="AR116" s="1051"/>
      <c r="AS116" s="1052"/>
      <c r="AT116" s="1051"/>
      <c r="AU116" s="1051"/>
      <c r="AV116" s="1052"/>
      <c r="AW116" s="1051"/>
      <c r="AX116" s="1051"/>
      <c r="AY116" s="1053"/>
      <c r="AZ116" s="1051"/>
      <c r="BA116" s="1051"/>
      <c r="BB116" s="1053"/>
      <c r="BC116" s="1051"/>
      <c r="BD116" s="1051"/>
      <c r="BE116" s="1053"/>
      <c r="BF116" s="1051"/>
      <c r="BG116" s="1051"/>
      <c r="BH116" s="1053"/>
      <c r="BI116" s="1052"/>
      <c r="BJ116" s="1052"/>
      <c r="BK116" s="1052"/>
      <c r="BL116" s="1052"/>
      <c r="BM116" s="1052"/>
      <c r="BN116" s="1054"/>
      <c r="BO116" s="1076">
        <f t="shared" si="2"/>
        <v>0</v>
      </c>
      <c r="BP116" s="1051"/>
      <c r="BQ116" s="1052"/>
      <c r="BR116" s="1054"/>
      <c r="BS116" s="1053"/>
      <c r="BT116" s="1051"/>
      <c r="BU116" s="1051"/>
      <c r="BV116" s="1051"/>
      <c r="BW116" s="1052"/>
      <c r="BX116" s="1052"/>
      <c r="BY116" s="1052"/>
      <c r="BZ116" s="1052"/>
      <c r="CA116" s="1052"/>
      <c r="CB116" s="1053"/>
      <c r="CC116" s="1053"/>
      <c r="CD116" s="1053"/>
      <c r="CE116" s="1053"/>
      <c r="CF116" s="1053"/>
      <c r="CG116" s="1053"/>
      <c r="CH116" s="1053"/>
      <c r="CI116" s="1123"/>
      <c r="CJ116" s="1123"/>
      <c r="CK116" s="1123"/>
      <c r="CL116" s="1123"/>
      <c r="CM116" s="1123"/>
      <c r="CN116" s="1123"/>
      <c r="CO116" s="1123"/>
      <c r="CP116" s="1123"/>
      <c r="CQ116" s="1123"/>
      <c r="CR116" s="1123"/>
      <c r="CS116" s="1123"/>
      <c r="CT116" s="1123"/>
      <c r="CU116" s="1123"/>
      <c r="CV116" s="1123"/>
      <c r="CW116" s="1123"/>
      <c r="CX116" s="1123"/>
      <c r="CY116" s="1123"/>
      <c r="CZ116" s="1114"/>
      <c r="DA116" s="1114"/>
      <c r="DB116" s="1114"/>
      <c r="DC116" s="1114"/>
      <c r="DD116" s="1114"/>
      <c r="DE116" s="1114"/>
      <c r="DF116" s="1114"/>
      <c r="DG116" s="1114"/>
      <c r="DH116" s="1114"/>
      <c r="DI116" s="1114"/>
      <c r="DJ116" s="1114"/>
      <c r="DK116" s="1114"/>
      <c r="DL116" s="1114"/>
      <c r="DM116" s="1114"/>
      <c r="DN116" s="1114"/>
      <c r="DO116" s="1114"/>
      <c r="DP116" s="1114"/>
      <c r="DQ116" s="1114"/>
      <c r="DR116" s="1114"/>
      <c r="DS116" s="1114"/>
      <c r="DT116" s="1114"/>
      <c r="DU116" s="1114"/>
      <c r="DV116" s="1115"/>
      <c r="DW116" s="1116"/>
      <c r="DX116" s="1116"/>
      <c r="DY116" s="1116"/>
      <c r="DZ116" s="1116"/>
      <c r="EA116" s="1116"/>
      <c r="EB116" s="1116"/>
      <c r="EC116" s="1116"/>
      <c r="ED116" s="1116"/>
      <c r="EE116" s="1116"/>
      <c r="EF116" s="1116"/>
      <c r="EG116" s="1116"/>
      <c r="EH116" s="1116"/>
      <c r="EI116" s="1116"/>
      <c r="EJ116" s="1116"/>
      <c r="EK116" s="1116"/>
      <c r="EL116" s="1116"/>
      <c r="EM116" s="1116"/>
      <c r="EN116" s="1116"/>
      <c r="EO116" s="1116"/>
      <c r="EP116" s="1116"/>
      <c r="EQ116" s="1116"/>
      <c r="ER116" s="1116"/>
      <c r="ES116" s="1116"/>
    </row>
    <row r="117" spans="1:149" ht="15" customHeight="1">
      <c r="A117" s="1185">
        <v>107</v>
      </c>
      <c r="B117" s="1041"/>
      <c r="C117" s="1050"/>
      <c r="D117" s="1050"/>
      <c r="E117" s="1050"/>
      <c r="F117" s="1049"/>
      <c r="G117" s="1049"/>
      <c r="H117" s="1049"/>
      <c r="I117" s="1049"/>
      <c r="J117" s="1050"/>
      <c r="K117" s="1050"/>
      <c r="L117" s="1043"/>
      <c r="M117" s="1051"/>
      <c r="N117" s="1051"/>
      <c r="O117" s="1052"/>
      <c r="P117" s="1051"/>
      <c r="Q117" s="1051"/>
      <c r="R117" s="1052"/>
      <c r="S117" s="1051"/>
      <c r="T117" s="1051"/>
      <c r="U117" s="1052"/>
      <c r="V117" s="1051"/>
      <c r="W117" s="1051"/>
      <c r="X117" s="1052"/>
      <c r="Y117" s="1053"/>
      <c r="Z117" s="1051"/>
      <c r="AA117" s="1051"/>
      <c r="AB117" s="1052"/>
      <c r="AC117" s="1051"/>
      <c r="AD117" s="1051"/>
      <c r="AE117" s="1052"/>
      <c r="AF117" s="1051"/>
      <c r="AG117" s="1051"/>
      <c r="AH117" s="1051"/>
      <c r="AI117" s="1051"/>
      <c r="AJ117" s="1052"/>
      <c r="AK117" s="1051"/>
      <c r="AL117" s="1051"/>
      <c r="AM117" s="1052"/>
      <c r="AN117" s="1051"/>
      <c r="AO117" s="1051"/>
      <c r="AP117" s="1052"/>
      <c r="AQ117" s="1051"/>
      <c r="AR117" s="1051"/>
      <c r="AS117" s="1052"/>
      <c r="AT117" s="1051"/>
      <c r="AU117" s="1051"/>
      <c r="AV117" s="1052"/>
      <c r="AW117" s="1051"/>
      <c r="AX117" s="1051"/>
      <c r="AY117" s="1053"/>
      <c r="AZ117" s="1051"/>
      <c r="BA117" s="1051"/>
      <c r="BB117" s="1053"/>
      <c r="BC117" s="1051"/>
      <c r="BD117" s="1051"/>
      <c r="BE117" s="1053"/>
      <c r="BF117" s="1051"/>
      <c r="BG117" s="1051"/>
      <c r="BH117" s="1053"/>
      <c r="BI117" s="1052"/>
      <c r="BJ117" s="1052"/>
      <c r="BK117" s="1052"/>
      <c r="BL117" s="1052"/>
      <c r="BM117" s="1052"/>
      <c r="BN117" s="1054"/>
      <c r="BO117" s="1076">
        <f t="shared" si="2"/>
        <v>0</v>
      </c>
      <c r="BP117" s="1051"/>
      <c r="BQ117" s="1052"/>
      <c r="BR117" s="1054"/>
      <c r="BS117" s="1053"/>
      <c r="BT117" s="1051"/>
      <c r="BU117" s="1051"/>
      <c r="BV117" s="1051"/>
      <c r="BW117" s="1052"/>
      <c r="BX117" s="1052"/>
      <c r="BY117" s="1052"/>
      <c r="BZ117" s="1052"/>
      <c r="CA117" s="1052"/>
      <c r="CB117" s="1053"/>
      <c r="CC117" s="1053"/>
      <c r="CD117" s="1053"/>
      <c r="CE117" s="1053"/>
      <c r="CF117" s="1053"/>
      <c r="CG117" s="1053"/>
      <c r="CH117" s="1053"/>
      <c r="CI117" s="1123"/>
      <c r="CJ117" s="1123"/>
      <c r="CK117" s="1123"/>
      <c r="CL117" s="1123"/>
      <c r="CM117" s="1123"/>
      <c r="CN117" s="1123"/>
      <c r="CO117" s="1123"/>
      <c r="CP117" s="1123"/>
      <c r="CQ117" s="1123"/>
      <c r="CR117" s="1123"/>
      <c r="CS117" s="1123"/>
      <c r="CT117" s="1123"/>
      <c r="CU117" s="1123"/>
      <c r="CV117" s="1123"/>
      <c r="CW117" s="1123"/>
      <c r="CX117" s="1123"/>
      <c r="CY117" s="1123"/>
      <c r="CZ117" s="1114"/>
      <c r="DA117" s="1114"/>
      <c r="DB117" s="1114"/>
      <c r="DC117" s="1114"/>
      <c r="DD117" s="1114"/>
      <c r="DE117" s="1114"/>
      <c r="DF117" s="1114"/>
      <c r="DG117" s="1114"/>
      <c r="DH117" s="1114"/>
      <c r="DI117" s="1114"/>
      <c r="DJ117" s="1114"/>
      <c r="DK117" s="1114"/>
      <c r="DL117" s="1114"/>
      <c r="DM117" s="1114"/>
      <c r="DN117" s="1114"/>
      <c r="DO117" s="1114"/>
      <c r="DP117" s="1114"/>
      <c r="DQ117" s="1114"/>
      <c r="DR117" s="1114"/>
      <c r="DS117" s="1114"/>
      <c r="DT117" s="1114"/>
      <c r="DU117" s="1114"/>
      <c r="DV117" s="1115"/>
      <c r="DW117" s="1116"/>
      <c r="DX117" s="1116"/>
      <c r="DY117" s="1116"/>
      <c r="DZ117" s="1116"/>
      <c r="EA117" s="1116"/>
      <c r="EB117" s="1116"/>
      <c r="EC117" s="1116"/>
      <c r="ED117" s="1116"/>
      <c r="EE117" s="1116"/>
      <c r="EF117" s="1116"/>
      <c r="EG117" s="1116"/>
      <c r="EH117" s="1116"/>
      <c r="EI117" s="1116"/>
      <c r="EJ117" s="1116"/>
      <c r="EK117" s="1116"/>
      <c r="EL117" s="1116"/>
      <c r="EM117" s="1116"/>
      <c r="EN117" s="1116"/>
      <c r="EO117" s="1116"/>
      <c r="EP117" s="1116"/>
      <c r="EQ117" s="1116"/>
      <c r="ER117" s="1116"/>
      <c r="ES117" s="1116"/>
    </row>
    <row r="118" spans="1:149" ht="15" customHeight="1">
      <c r="A118" s="1185">
        <v>108</v>
      </c>
      <c r="B118" s="1041"/>
      <c r="C118" s="1050"/>
      <c r="D118" s="1050"/>
      <c r="E118" s="1050"/>
      <c r="F118" s="1049"/>
      <c r="G118" s="1049"/>
      <c r="H118" s="1049"/>
      <c r="I118" s="1049"/>
      <c r="J118" s="1050"/>
      <c r="K118" s="1050"/>
      <c r="L118" s="1043"/>
      <c r="M118" s="1051"/>
      <c r="N118" s="1051"/>
      <c r="O118" s="1052"/>
      <c r="P118" s="1051"/>
      <c r="Q118" s="1051"/>
      <c r="R118" s="1052"/>
      <c r="S118" s="1051"/>
      <c r="T118" s="1051"/>
      <c r="U118" s="1052"/>
      <c r="V118" s="1051"/>
      <c r="W118" s="1051"/>
      <c r="X118" s="1052"/>
      <c r="Y118" s="1053"/>
      <c r="Z118" s="1051"/>
      <c r="AA118" s="1051"/>
      <c r="AB118" s="1052"/>
      <c r="AC118" s="1051"/>
      <c r="AD118" s="1051"/>
      <c r="AE118" s="1052"/>
      <c r="AF118" s="1051"/>
      <c r="AG118" s="1051"/>
      <c r="AH118" s="1051"/>
      <c r="AI118" s="1051"/>
      <c r="AJ118" s="1052"/>
      <c r="AK118" s="1051"/>
      <c r="AL118" s="1051"/>
      <c r="AM118" s="1052"/>
      <c r="AN118" s="1051"/>
      <c r="AO118" s="1051"/>
      <c r="AP118" s="1052"/>
      <c r="AQ118" s="1051"/>
      <c r="AR118" s="1051"/>
      <c r="AS118" s="1052"/>
      <c r="AT118" s="1051"/>
      <c r="AU118" s="1051"/>
      <c r="AV118" s="1052"/>
      <c r="AW118" s="1051"/>
      <c r="AX118" s="1051"/>
      <c r="AY118" s="1053"/>
      <c r="AZ118" s="1051"/>
      <c r="BA118" s="1051"/>
      <c r="BB118" s="1053"/>
      <c r="BC118" s="1051"/>
      <c r="BD118" s="1051"/>
      <c r="BE118" s="1053"/>
      <c r="BF118" s="1051"/>
      <c r="BG118" s="1051"/>
      <c r="BH118" s="1053"/>
      <c r="BI118" s="1052"/>
      <c r="BJ118" s="1052"/>
      <c r="BK118" s="1052"/>
      <c r="BL118" s="1052"/>
      <c r="BM118" s="1052"/>
      <c r="BN118" s="1054"/>
      <c r="BO118" s="1076">
        <f t="shared" si="2"/>
        <v>0</v>
      </c>
      <c r="BP118" s="1051"/>
      <c r="BQ118" s="1052"/>
      <c r="BR118" s="1054"/>
      <c r="BS118" s="1053"/>
      <c r="BT118" s="1051"/>
      <c r="BU118" s="1051"/>
      <c r="BV118" s="1051"/>
      <c r="BW118" s="1052"/>
      <c r="BX118" s="1052"/>
      <c r="BY118" s="1052"/>
      <c r="BZ118" s="1052"/>
      <c r="CA118" s="1052"/>
      <c r="CB118" s="1053"/>
      <c r="CC118" s="1053"/>
      <c r="CD118" s="1053"/>
      <c r="CE118" s="1053"/>
      <c r="CF118" s="1053"/>
      <c r="CG118" s="1053"/>
      <c r="CH118" s="1053"/>
      <c r="CI118" s="1123"/>
      <c r="CJ118" s="1123"/>
      <c r="CK118" s="1123"/>
      <c r="CL118" s="1123"/>
      <c r="CM118" s="1123"/>
      <c r="CN118" s="1123"/>
      <c r="CO118" s="1123"/>
      <c r="CP118" s="1123"/>
      <c r="CQ118" s="1123"/>
      <c r="CR118" s="1123"/>
      <c r="CS118" s="1123"/>
      <c r="CT118" s="1123"/>
      <c r="CU118" s="1123"/>
      <c r="CV118" s="1123"/>
      <c r="CW118" s="1123"/>
      <c r="CX118" s="1123"/>
      <c r="CY118" s="1123"/>
      <c r="CZ118" s="1114"/>
      <c r="DA118" s="1114"/>
      <c r="DB118" s="1114"/>
      <c r="DC118" s="1114"/>
      <c r="DD118" s="1114"/>
      <c r="DE118" s="1114"/>
      <c r="DF118" s="1114"/>
      <c r="DG118" s="1114"/>
      <c r="DH118" s="1114"/>
      <c r="DI118" s="1114"/>
      <c r="DJ118" s="1114"/>
      <c r="DK118" s="1114"/>
      <c r="DL118" s="1114"/>
      <c r="DM118" s="1114"/>
      <c r="DN118" s="1114"/>
      <c r="DO118" s="1114"/>
      <c r="DP118" s="1114"/>
      <c r="DQ118" s="1114"/>
      <c r="DR118" s="1114"/>
      <c r="DS118" s="1114"/>
      <c r="DT118" s="1114"/>
      <c r="DU118" s="1114"/>
      <c r="DV118" s="1115"/>
      <c r="DW118" s="1116"/>
      <c r="DX118" s="1116"/>
      <c r="DY118" s="1116"/>
      <c r="DZ118" s="1116"/>
      <c r="EA118" s="1116"/>
      <c r="EB118" s="1116"/>
      <c r="EC118" s="1116"/>
      <c r="ED118" s="1116"/>
      <c r="EE118" s="1116"/>
      <c r="EF118" s="1116"/>
      <c r="EG118" s="1116"/>
      <c r="EH118" s="1116"/>
      <c r="EI118" s="1116"/>
      <c r="EJ118" s="1116"/>
      <c r="EK118" s="1116"/>
      <c r="EL118" s="1116"/>
      <c r="EM118" s="1116"/>
      <c r="EN118" s="1116"/>
      <c r="EO118" s="1116"/>
      <c r="EP118" s="1116"/>
      <c r="EQ118" s="1116"/>
      <c r="ER118" s="1116"/>
      <c r="ES118" s="1116"/>
    </row>
    <row r="119" spans="1:149" ht="15" customHeight="1">
      <c r="A119" s="1185">
        <v>109</v>
      </c>
      <c r="B119" s="1041"/>
      <c r="C119" s="1050"/>
      <c r="D119" s="1050"/>
      <c r="E119" s="1050"/>
      <c r="F119" s="1049"/>
      <c r="G119" s="1049"/>
      <c r="H119" s="1049"/>
      <c r="I119" s="1049"/>
      <c r="J119" s="1050"/>
      <c r="K119" s="1050"/>
      <c r="L119" s="1043"/>
      <c r="M119" s="1051"/>
      <c r="N119" s="1051"/>
      <c r="O119" s="1052"/>
      <c r="P119" s="1051"/>
      <c r="Q119" s="1051"/>
      <c r="R119" s="1052"/>
      <c r="S119" s="1051"/>
      <c r="T119" s="1051"/>
      <c r="U119" s="1052"/>
      <c r="V119" s="1051"/>
      <c r="W119" s="1051"/>
      <c r="X119" s="1052"/>
      <c r="Y119" s="1053"/>
      <c r="Z119" s="1051"/>
      <c r="AA119" s="1051"/>
      <c r="AB119" s="1052"/>
      <c r="AC119" s="1051"/>
      <c r="AD119" s="1051"/>
      <c r="AE119" s="1052"/>
      <c r="AF119" s="1051"/>
      <c r="AG119" s="1051"/>
      <c r="AH119" s="1051"/>
      <c r="AI119" s="1051"/>
      <c r="AJ119" s="1052"/>
      <c r="AK119" s="1051"/>
      <c r="AL119" s="1051"/>
      <c r="AM119" s="1052"/>
      <c r="AN119" s="1051"/>
      <c r="AO119" s="1051"/>
      <c r="AP119" s="1052"/>
      <c r="AQ119" s="1051"/>
      <c r="AR119" s="1051"/>
      <c r="AS119" s="1052"/>
      <c r="AT119" s="1051"/>
      <c r="AU119" s="1051"/>
      <c r="AV119" s="1052"/>
      <c r="AW119" s="1051"/>
      <c r="AX119" s="1051"/>
      <c r="AY119" s="1053"/>
      <c r="AZ119" s="1051"/>
      <c r="BA119" s="1051"/>
      <c r="BB119" s="1053"/>
      <c r="BC119" s="1051"/>
      <c r="BD119" s="1051"/>
      <c r="BE119" s="1053"/>
      <c r="BF119" s="1051"/>
      <c r="BG119" s="1051"/>
      <c r="BH119" s="1053"/>
      <c r="BI119" s="1052"/>
      <c r="BJ119" s="1052"/>
      <c r="BK119" s="1052"/>
      <c r="BL119" s="1052"/>
      <c r="BM119" s="1052"/>
      <c r="BN119" s="1054"/>
      <c r="BO119" s="1076">
        <f t="shared" si="2"/>
        <v>0</v>
      </c>
      <c r="BP119" s="1051"/>
      <c r="BQ119" s="1052"/>
      <c r="BR119" s="1054"/>
      <c r="BS119" s="1053"/>
      <c r="BT119" s="1051"/>
      <c r="BU119" s="1051"/>
      <c r="BV119" s="1051"/>
      <c r="BW119" s="1052"/>
      <c r="BX119" s="1052"/>
      <c r="BY119" s="1052"/>
      <c r="BZ119" s="1052"/>
      <c r="CA119" s="1052"/>
      <c r="CB119" s="1053"/>
      <c r="CC119" s="1053"/>
      <c r="CD119" s="1053"/>
      <c r="CE119" s="1053"/>
      <c r="CF119" s="1053"/>
      <c r="CG119" s="1053"/>
      <c r="CH119" s="1053"/>
      <c r="CI119" s="1123"/>
      <c r="CJ119" s="1123"/>
      <c r="CK119" s="1123"/>
      <c r="CL119" s="1123"/>
      <c r="CM119" s="1123"/>
      <c r="CN119" s="1123"/>
      <c r="CO119" s="1123"/>
      <c r="CP119" s="1123"/>
      <c r="CQ119" s="1123"/>
      <c r="CR119" s="1123"/>
      <c r="CS119" s="1123"/>
      <c r="CT119" s="1123"/>
      <c r="CU119" s="1123"/>
      <c r="CV119" s="1123"/>
      <c r="CW119" s="1123"/>
      <c r="CX119" s="1123"/>
      <c r="CY119" s="1123"/>
      <c r="CZ119" s="1114"/>
      <c r="DA119" s="1114"/>
      <c r="DB119" s="1114"/>
      <c r="DC119" s="1114"/>
      <c r="DD119" s="1114"/>
      <c r="DE119" s="1114"/>
      <c r="DF119" s="1114"/>
      <c r="DG119" s="1114"/>
      <c r="DH119" s="1114"/>
      <c r="DI119" s="1114"/>
      <c r="DJ119" s="1114"/>
      <c r="DK119" s="1114"/>
      <c r="DL119" s="1114"/>
      <c r="DM119" s="1114"/>
      <c r="DN119" s="1114"/>
      <c r="DO119" s="1114"/>
      <c r="DP119" s="1114"/>
      <c r="DQ119" s="1114"/>
      <c r="DR119" s="1114"/>
      <c r="DS119" s="1114"/>
      <c r="DT119" s="1114"/>
      <c r="DU119" s="1114"/>
      <c r="DV119" s="1115"/>
      <c r="DW119" s="1116"/>
      <c r="DX119" s="1116"/>
      <c r="DY119" s="1116"/>
      <c r="DZ119" s="1116"/>
      <c r="EA119" s="1116"/>
      <c r="EB119" s="1116"/>
      <c r="EC119" s="1116"/>
      <c r="ED119" s="1116"/>
      <c r="EE119" s="1116"/>
      <c r="EF119" s="1116"/>
      <c r="EG119" s="1116"/>
      <c r="EH119" s="1116"/>
      <c r="EI119" s="1116"/>
      <c r="EJ119" s="1116"/>
      <c r="EK119" s="1116"/>
      <c r="EL119" s="1116"/>
      <c r="EM119" s="1116"/>
      <c r="EN119" s="1116"/>
      <c r="EO119" s="1116"/>
      <c r="EP119" s="1116"/>
      <c r="EQ119" s="1116"/>
      <c r="ER119" s="1116"/>
      <c r="ES119" s="1116"/>
    </row>
    <row r="120" spans="1:149" ht="15" customHeight="1">
      <c r="A120" s="1185">
        <v>110</v>
      </c>
      <c r="B120" s="1041"/>
      <c r="C120" s="1050"/>
      <c r="D120" s="1050"/>
      <c r="E120" s="1050"/>
      <c r="F120" s="1049"/>
      <c r="G120" s="1049"/>
      <c r="H120" s="1049"/>
      <c r="I120" s="1049"/>
      <c r="J120" s="1050"/>
      <c r="K120" s="1050"/>
      <c r="L120" s="1043"/>
      <c r="M120" s="1051"/>
      <c r="N120" s="1051"/>
      <c r="O120" s="1052"/>
      <c r="P120" s="1051"/>
      <c r="Q120" s="1051"/>
      <c r="R120" s="1052"/>
      <c r="S120" s="1051"/>
      <c r="T120" s="1051"/>
      <c r="U120" s="1052"/>
      <c r="V120" s="1051"/>
      <c r="W120" s="1051"/>
      <c r="X120" s="1052"/>
      <c r="Y120" s="1053"/>
      <c r="Z120" s="1051"/>
      <c r="AA120" s="1051"/>
      <c r="AB120" s="1052"/>
      <c r="AC120" s="1051"/>
      <c r="AD120" s="1051"/>
      <c r="AE120" s="1052"/>
      <c r="AF120" s="1051"/>
      <c r="AG120" s="1051"/>
      <c r="AH120" s="1051"/>
      <c r="AI120" s="1051"/>
      <c r="AJ120" s="1052"/>
      <c r="AK120" s="1051"/>
      <c r="AL120" s="1051"/>
      <c r="AM120" s="1052"/>
      <c r="AN120" s="1051"/>
      <c r="AO120" s="1051"/>
      <c r="AP120" s="1052"/>
      <c r="AQ120" s="1051"/>
      <c r="AR120" s="1051"/>
      <c r="AS120" s="1052"/>
      <c r="AT120" s="1051"/>
      <c r="AU120" s="1051"/>
      <c r="AV120" s="1052"/>
      <c r="AW120" s="1051"/>
      <c r="AX120" s="1051"/>
      <c r="AY120" s="1053"/>
      <c r="AZ120" s="1051"/>
      <c r="BA120" s="1051"/>
      <c r="BB120" s="1053"/>
      <c r="BC120" s="1051"/>
      <c r="BD120" s="1051"/>
      <c r="BE120" s="1053"/>
      <c r="BF120" s="1051"/>
      <c r="BG120" s="1051"/>
      <c r="BH120" s="1053"/>
      <c r="BI120" s="1052"/>
      <c r="BJ120" s="1052"/>
      <c r="BK120" s="1052"/>
      <c r="BL120" s="1052"/>
      <c r="BM120" s="1052"/>
      <c r="BN120" s="1054"/>
      <c r="BO120" s="1076">
        <f t="shared" si="2"/>
        <v>0</v>
      </c>
      <c r="BP120" s="1051"/>
      <c r="BQ120" s="1052"/>
      <c r="BR120" s="1054"/>
      <c r="BS120" s="1053"/>
      <c r="BT120" s="1051"/>
      <c r="BU120" s="1051"/>
      <c r="BV120" s="1051"/>
      <c r="BW120" s="1052"/>
      <c r="BX120" s="1052"/>
      <c r="BY120" s="1052"/>
      <c r="BZ120" s="1052"/>
      <c r="CA120" s="1052"/>
      <c r="CB120" s="1053"/>
      <c r="CC120" s="1053"/>
      <c r="CD120" s="1053"/>
      <c r="CE120" s="1053"/>
      <c r="CF120" s="1053"/>
      <c r="CG120" s="1053"/>
      <c r="CH120" s="1053"/>
      <c r="CI120" s="1123"/>
      <c r="CJ120" s="1123"/>
      <c r="CK120" s="1123"/>
      <c r="CL120" s="1123"/>
      <c r="CM120" s="1123"/>
      <c r="CN120" s="1123"/>
      <c r="CO120" s="1123"/>
      <c r="CP120" s="1123"/>
      <c r="CQ120" s="1123"/>
      <c r="CR120" s="1123"/>
      <c r="CS120" s="1123"/>
      <c r="CT120" s="1123"/>
      <c r="CU120" s="1123"/>
      <c r="CV120" s="1123"/>
      <c r="CW120" s="1123"/>
      <c r="CX120" s="1123"/>
      <c r="CY120" s="1123"/>
      <c r="CZ120" s="1114"/>
      <c r="DA120" s="1114"/>
      <c r="DB120" s="1114"/>
      <c r="DC120" s="1114"/>
      <c r="DD120" s="1114"/>
      <c r="DE120" s="1114"/>
      <c r="DF120" s="1114"/>
      <c r="DG120" s="1114"/>
      <c r="DH120" s="1114"/>
      <c r="DI120" s="1114"/>
      <c r="DJ120" s="1114"/>
      <c r="DK120" s="1114"/>
      <c r="DL120" s="1114"/>
      <c r="DM120" s="1114"/>
      <c r="DN120" s="1114"/>
      <c r="DO120" s="1114"/>
      <c r="DP120" s="1114"/>
      <c r="DQ120" s="1114"/>
      <c r="DR120" s="1114"/>
      <c r="DS120" s="1114"/>
      <c r="DT120" s="1114"/>
      <c r="DU120" s="1114"/>
      <c r="DV120" s="1115"/>
      <c r="DW120" s="1116"/>
      <c r="DX120" s="1116"/>
      <c r="DY120" s="1116"/>
      <c r="DZ120" s="1116"/>
      <c r="EA120" s="1116"/>
      <c r="EB120" s="1116"/>
      <c r="EC120" s="1116"/>
      <c r="ED120" s="1116"/>
      <c r="EE120" s="1116"/>
      <c r="EF120" s="1116"/>
      <c r="EG120" s="1116"/>
      <c r="EH120" s="1116"/>
      <c r="EI120" s="1116"/>
      <c r="EJ120" s="1116"/>
      <c r="EK120" s="1116"/>
      <c r="EL120" s="1116"/>
      <c r="EM120" s="1116"/>
      <c r="EN120" s="1116"/>
      <c r="EO120" s="1116"/>
      <c r="EP120" s="1116"/>
      <c r="EQ120" s="1116"/>
      <c r="ER120" s="1116"/>
      <c r="ES120" s="1116"/>
    </row>
    <row r="121" spans="1:149" ht="15" customHeight="1">
      <c r="A121" s="1185">
        <v>111</v>
      </c>
      <c r="B121" s="1041"/>
      <c r="C121" s="1050"/>
      <c r="D121" s="1050"/>
      <c r="E121" s="1050"/>
      <c r="F121" s="1049"/>
      <c r="G121" s="1049"/>
      <c r="H121" s="1049"/>
      <c r="I121" s="1049"/>
      <c r="J121" s="1050"/>
      <c r="K121" s="1050"/>
      <c r="L121" s="1043"/>
      <c r="M121" s="1051"/>
      <c r="N121" s="1051"/>
      <c r="O121" s="1052"/>
      <c r="P121" s="1051"/>
      <c r="Q121" s="1051"/>
      <c r="R121" s="1052"/>
      <c r="S121" s="1051"/>
      <c r="T121" s="1051"/>
      <c r="U121" s="1052"/>
      <c r="V121" s="1051"/>
      <c r="W121" s="1051"/>
      <c r="X121" s="1052"/>
      <c r="Y121" s="1053"/>
      <c r="Z121" s="1051"/>
      <c r="AA121" s="1051"/>
      <c r="AB121" s="1052"/>
      <c r="AC121" s="1051"/>
      <c r="AD121" s="1051"/>
      <c r="AE121" s="1052"/>
      <c r="AF121" s="1051"/>
      <c r="AG121" s="1051"/>
      <c r="AH121" s="1051"/>
      <c r="AI121" s="1051"/>
      <c r="AJ121" s="1052"/>
      <c r="AK121" s="1051"/>
      <c r="AL121" s="1051"/>
      <c r="AM121" s="1052"/>
      <c r="AN121" s="1051"/>
      <c r="AO121" s="1051"/>
      <c r="AP121" s="1052"/>
      <c r="AQ121" s="1051"/>
      <c r="AR121" s="1051"/>
      <c r="AS121" s="1052"/>
      <c r="AT121" s="1051"/>
      <c r="AU121" s="1051"/>
      <c r="AV121" s="1052"/>
      <c r="AW121" s="1051"/>
      <c r="AX121" s="1051"/>
      <c r="AY121" s="1053"/>
      <c r="AZ121" s="1051"/>
      <c r="BA121" s="1051"/>
      <c r="BB121" s="1053"/>
      <c r="BC121" s="1051"/>
      <c r="BD121" s="1051"/>
      <c r="BE121" s="1053"/>
      <c r="BF121" s="1051"/>
      <c r="BG121" s="1051"/>
      <c r="BH121" s="1053"/>
      <c r="BI121" s="1052"/>
      <c r="BJ121" s="1052"/>
      <c r="BK121" s="1052"/>
      <c r="BL121" s="1052"/>
      <c r="BM121" s="1052"/>
      <c r="BN121" s="1054"/>
      <c r="BO121" s="1076">
        <f t="shared" si="2"/>
        <v>0</v>
      </c>
      <c r="BP121" s="1051"/>
      <c r="BQ121" s="1052"/>
      <c r="BR121" s="1054"/>
      <c r="BS121" s="1053"/>
      <c r="BT121" s="1051"/>
      <c r="BU121" s="1051"/>
      <c r="BV121" s="1051"/>
      <c r="BW121" s="1052"/>
      <c r="BX121" s="1052"/>
      <c r="BY121" s="1052"/>
      <c r="BZ121" s="1052"/>
      <c r="CA121" s="1052"/>
      <c r="CB121" s="1053"/>
      <c r="CC121" s="1053"/>
      <c r="CD121" s="1053"/>
      <c r="CE121" s="1053"/>
      <c r="CF121" s="1053"/>
      <c r="CG121" s="1053"/>
      <c r="CH121" s="1053"/>
      <c r="CI121" s="1123"/>
      <c r="CJ121" s="1123"/>
      <c r="CK121" s="1123"/>
      <c r="CL121" s="1123"/>
      <c r="CM121" s="1123"/>
      <c r="CN121" s="1123"/>
      <c r="CO121" s="1123"/>
      <c r="CP121" s="1123"/>
      <c r="CQ121" s="1123"/>
      <c r="CR121" s="1123"/>
      <c r="CS121" s="1123"/>
      <c r="CT121" s="1123"/>
      <c r="CU121" s="1123"/>
      <c r="CV121" s="1123"/>
      <c r="CW121" s="1123"/>
      <c r="CX121" s="1123"/>
      <c r="CY121" s="1123"/>
      <c r="CZ121" s="1114"/>
      <c r="DA121" s="1114"/>
      <c r="DB121" s="1114"/>
      <c r="DC121" s="1114"/>
      <c r="DD121" s="1114"/>
      <c r="DE121" s="1114"/>
      <c r="DF121" s="1114"/>
      <c r="DG121" s="1114"/>
      <c r="DH121" s="1114"/>
      <c r="DI121" s="1114"/>
      <c r="DJ121" s="1114"/>
      <c r="DK121" s="1114"/>
      <c r="DL121" s="1114"/>
      <c r="DM121" s="1114"/>
      <c r="DN121" s="1114"/>
      <c r="DO121" s="1114"/>
      <c r="DP121" s="1114"/>
      <c r="DQ121" s="1114"/>
      <c r="DR121" s="1114"/>
      <c r="DS121" s="1114"/>
      <c r="DT121" s="1114"/>
      <c r="DU121" s="1114"/>
      <c r="DV121" s="1115"/>
      <c r="DW121" s="1116"/>
      <c r="DX121" s="1116"/>
      <c r="DY121" s="1116"/>
      <c r="DZ121" s="1116"/>
      <c r="EA121" s="1116"/>
      <c r="EB121" s="1116"/>
      <c r="EC121" s="1116"/>
      <c r="ED121" s="1116"/>
      <c r="EE121" s="1116"/>
      <c r="EF121" s="1116"/>
      <c r="EG121" s="1116"/>
      <c r="EH121" s="1116"/>
      <c r="EI121" s="1116"/>
      <c r="EJ121" s="1116"/>
      <c r="EK121" s="1116"/>
      <c r="EL121" s="1116"/>
      <c r="EM121" s="1116"/>
      <c r="EN121" s="1116"/>
      <c r="EO121" s="1116"/>
      <c r="EP121" s="1116"/>
      <c r="EQ121" s="1116"/>
      <c r="ER121" s="1116"/>
      <c r="ES121" s="1116"/>
    </row>
    <row r="122" spans="1:149" ht="15" customHeight="1">
      <c r="A122" s="1185">
        <v>112</v>
      </c>
      <c r="B122" s="1041"/>
      <c r="C122" s="1050"/>
      <c r="D122" s="1050"/>
      <c r="E122" s="1050"/>
      <c r="F122" s="1049"/>
      <c r="G122" s="1049"/>
      <c r="H122" s="1049"/>
      <c r="I122" s="1049"/>
      <c r="J122" s="1050"/>
      <c r="K122" s="1050"/>
      <c r="L122" s="1043"/>
      <c r="M122" s="1051"/>
      <c r="N122" s="1051"/>
      <c r="O122" s="1052"/>
      <c r="P122" s="1051"/>
      <c r="Q122" s="1051"/>
      <c r="R122" s="1052"/>
      <c r="S122" s="1051"/>
      <c r="T122" s="1051"/>
      <c r="U122" s="1052"/>
      <c r="V122" s="1051"/>
      <c r="W122" s="1051"/>
      <c r="X122" s="1052"/>
      <c r="Y122" s="1053"/>
      <c r="Z122" s="1051"/>
      <c r="AA122" s="1051"/>
      <c r="AB122" s="1052"/>
      <c r="AC122" s="1051"/>
      <c r="AD122" s="1051"/>
      <c r="AE122" s="1052"/>
      <c r="AF122" s="1051"/>
      <c r="AG122" s="1051"/>
      <c r="AH122" s="1051"/>
      <c r="AI122" s="1051"/>
      <c r="AJ122" s="1052"/>
      <c r="AK122" s="1051"/>
      <c r="AL122" s="1051"/>
      <c r="AM122" s="1052"/>
      <c r="AN122" s="1051"/>
      <c r="AO122" s="1051"/>
      <c r="AP122" s="1052"/>
      <c r="AQ122" s="1051"/>
      <c r="AR122" s="1051"/>
      <c r="AS122" s="1052"/>
      <c r="AT122" s="1051"/>
      <c r="AU122" s="1051"/>
      <c r="AV122" s="1052"/>
      <c r="AW122" s="1051"/>
      <c r="AX122" s="1051"/>
      <c r="AY122" s="1053"/>
      <c r="AZ122" s="1051"/>
      <c r="BA122" s="1051"/>
      <c r="BB122" s="1053"/>
      <c r="BC122" s="1051"/>
      <c r="BD122" s="1051"/>
      <c r="BE122" s="1053"/>
      <c r="BF122" s="1051"/>
      <c r="BG122" s="1051"/>
      <c r="BH122" s="1053"/>
      <c r="BI122" s="1052"/>
      <c r="BJ122" s="1052"/>
      <c r="BK122" s="1052"/>
      <c r="BL122" s="1052"/>
      <c r="BM122" s="1052"/>
      <c r="BN122" s="1054"/>
      <c r="BO122" s="1076">
        <f t="shared" si="2"/>
        <v>0</v>
      </c>
      <c r="BP122" s="1051"/>
      <c r="BQ122" s="1052"/>
      <c r="BR122" s="1054"/>
      <c r="BS122" s="1053"/>
      <c r="BT122" s="1051"/>
      <c r="BU122" s="1051"/>
      <c r="BV122" s="1051"/>
      <c r="BW122" s="1052"/>
      <c r="BX122" s="1052"/>
      <c r="BY122" s="1052"/>
      <c r="BZ122" s="1052"/>
      <c r="CA122" s="1052"/>
      <c r="CB122" s="1053"/>
      <c r="CC122" s="1053"/>
      <c r="CD122" s="1053"/>
      <c r="CE122" s="1053"/>
      <c r="CF122" s="1053"/>
      <c r="CG122" s="1053"/>
      <c r="CH122" s="1053"/>
      <c r="CI122" s="1123"/>
      <c r="CJ122" s="1123"/>
      <c r="CK122" s="1123"/>
      <c r="CL122" s="1123"/>
      <c r="CM122" s="1123"/>
      <c r="CN122" s="1123"/>
      <c r="CO122" s="1123"/>
      <c r="CP122" s="1123"/>
      <c r="CQ122" s="1123"/>
      <c r="CR122" s="1123"/>
      <c r="CS122" s="1123"/>
      <c r="CT122" s="1123"/>
      <c r="CU122" s="1123"/>
      <c r="CV122" s="1123"/>
      <c r="CW122" s="1123"/>
      <c r="CX122" s="1123"/>
      <c r="CY122" s="1123"/>
      <c r="CZ122" s="1114"/>
      <c r="DA122" s="1114"/>
      <c r="DB122" s="1114"/>
      <c r="DC122" s="1114"/>
      <c r="DD122" s="1114"/>
      <c r="DE122" s="1114"/>
      <c r="DF122" s="1114"/>
      <c r="DG122" s="1114"/>
      <c r="DH122" s="1114"/>
      <c r="DI122" s="1114"/>
      <c r="DJ122" s="1114"/>
      <c r="DK122" s="1114"/>
      <c r="DL122" s="1114"/>
      <c r="DM122" s="1114"/>
      <c r="DN122" s="1114"/>
      <c r="DO122" s="1114"/>
      <c r="DP122" s="1114"/>
      <c r="DQ122" s="1114"/>
      <c r="DR122" s="1114"/>
      <c r="DS122" s="1114"/>
      <c r="DT122" s="1114"/>
      <c r="DU122" s="1114"/>
      <c r="DV122" s="1115"/>
      <c r="DW122" s="1116"/>
      <c r="DX122" s="1116"/>
      <c r="DY122" s="1116"/>
      <c r="DZ122" s="1116"/>
      <c r="EA122" s="1116"/>
      <c r="EB122" s="1116"/>
      <c r="EC122" s="1116"/>
      <c r="ED122" s="1116"/>
      <c r="EE122" s="1116"/>
      <c r="EF122" s="1116"/>
      <c r="EG122" s="1116"/>
      <c r="EH122" s="1116"/>
      <c r="EI122" s="1116"/>
      <c r="EJ122" s="1116"/>
      <c r="EK122" s="1116"/>
      <c r="EL122" s="1116"/>
      <c r="EM122" s="1116"/>
      <c r="EN122" s="1116"/>
      <c r="EO122" s="1116"/>
      <c r="EP122" s="1116"/>
      <c r="EQ122" s="1116"/>
      <c r="ER122" s="1116"/>
      <c r="ES122" s="1116"/>
    </row>
    <row r="123" spans="1:149" ht="15" customHeight="1">
      <c r="A123" s="1185">
        <v>113</v>
      </c>
      <c r="B123" s="1041"/>
      <c r="C123" s="1050"/>
      <c r="D123" s="1050"/>
      <c r="E123" s="1050"/>
      <c r="F123" s="1049"/>
      <c r="G123" s="1049"/>
      <c r="H123" s="1049"/>
      <c r="I123" s="1049"/>
      <c r="J123" s="1050"/>
      <c r="K123" s="1050"/>
      <c r="L123" s="1043"/>
      <c r="M123" s="1051"/>
      <c r="N123" s="1051"/>
      <c r="O123" s="1052"/>
      <c r="P123" s="1051"/>
      <c r="Q123" s="1051"/>
      <c r="R123" s="1052"/>
      <c r="S123" s="1051"/>
      <c r="T123" s="1051"/>
      <c r="U123" s="1052"/>
      <c r="V123" s="1051"/>
      <c r="W123" s="1051"/>
      <c r="X123" s="1052"/>
      <c r="Y123" s="1053"/>
      <c r="Z123" s="1051"/>
      <c r="AA123" s="1051"/>
      <c r="AB123" s="1052"/>
      <c r="AC123" s="1051"/>
      <c r="AD123" s="1051"/>
      <c r="AE123" s="1052"/>
      <c r="AF123" s="1051"/>
      <c r="AG123" s="1051"/>
      <c r="AH123" s="1051"/>
      <c r="AI123" s="1051"/>
      <c r="AJ123" s="1052"/>
      <c r="AK123" s="1051"/>
      <c r="AL123" s="1051"/>
      <c r="AM123" s="1052"/>
      <c r="AN123" s="1051"/>
      <c r="AO123" s="1051"/>
      <c r="AP123" s="1052"/>
      <c r="AQ123" s="1051"/>
      <c r="AR123" s="1051"/>
      <c r="AS123" s="1052"/>
      <c r="AT123" s="1051"/>
      <c r="AU123" s="1051"/>
      <c r="AV123" s="1052"/>
      <c r="AW123" s="1051"/>
      <c r="AX123" s="1051"/>
      <c r="AY123" s="1053"/>
      <c r="AZ123" s="1051"/>
      <c r="BA123" s="1051"/>
      <c r="BB123" s="1053"/>
      <c r="BC123" s="1051"/>
      <c r="BD123" s="1051"/>
      <c r="BE123" s="1053"/>
      <c r="BF123" s="1051"/>
      <c r="BG123" s="1051"/>
      <c r="BH123" s="1053"/>
      <c r="BI123" s="1052"/>
      <c r="BJ123" s="1052"/>
      <c r="BK123" s="1052"/>
      <c r="BL123" s="1052"/>
      <c r="BM123" s="1052"/>
      <c r="BN123" s="1054"/>
      <c r="BO123" s="1076">
        <f t="shared" si="2"/>
        <v>0</v>
      </c>
      <c r="BP123" s="1051"/>
      <c r="BQ123" s="1052"/>
      <c r="BR123" s="1054"/>
      <c r="BS123" s="1053"/>
      <c r="BT123" s="1051"/>
      <c r="BU123" s="1051"/>
      <c r="BV123" s="1051"/>
      <c r="BW123" s="1052"/>
      <c r="BX123" s="1052"/>
      <c r="BY123" s="1052"/>
      <c r="BZ123" s="1052"/>
      <c r="CA123" s="1052"/>
      <c r="CB123" s="1053"/>
      <c r="CC123" s="1053"/>
      <c r="CD123" s="1053"/>
      <c r="CE123" s="1053"/>
      <c r="CF123" s="1053"/>
      <c r="CG123" s="1053"/>
      <c r="CH123" s="1053"/>
      <c r="CI123" s="1123"/>
      <c r="CJ123" s="1123"/>
      <c r="CK123" s="1123"/>
      <c r="CL123" s="1123"/>
      <c r="CM123" s="1123"/>
      <c r="CN123" s="1123"/>
      <c r="CO123" s="1123"/>
      <c r="CP123" s="1123"/>
      <c r="CQ123" s="1123"/>
      <c r="CR123" s="1123"/>
      <c r="CS123" s="1123"/>
      <c r="CT123" s="1123"/>
      <c r="CU123" s="1123"/>
      <c r="CV123" s="1123"/>
      <c r="CW123" s="1123"/>
      <c r="CX123" s="1123"/>
      <c r="CY123" s="1123"/>
      <c r="CZ123" s="1114"/>
      <c r="DA123" s="1114"/>
      <c r="DB123" s="1114"/>
      <c r="DC123" s="1114"/>
      <c r="DD123" s="1114"/>
      <c r="DE123" s="1114"/>
      <c r="DF123" s="1114"/>
      <c r="DG123" s="1114"/>
      <c r="DH123" s="1114"/>
      <c r="DI123" s="1114"/>
      <c r="DJ123" s="1114"/>
      <c r="DK123" s="1114"/>
      <c r="DL123" s="1114"/>
      <c r="DM123" s="1114"/>
      <c r="DN123" s="1114"/>
      <c r="DO123" s="1114"/>
      <c r="DP123" s="1114"/>
      <c r="DQ123" s="1114"/>
      <c r="DR123" s="1114"/>
      <c r="DS123" s="1114"/>
      <c r="DT123" s="1114"/>
      <c r="DU123" s="1114"/>
      <c r="DV123" s="1115"/>
      <c r="DW123" s="1116"/>
      <c r="DX123" s="1116"/>
      <c r="DY123" s="1116"/>
      <c r="DZ123" s="1116"/>
      <c r="EA123" s="1116"/>
      <c r="EB123" s="1116"/>
      <c r="EC123" s="1116"/>
      <c r="ED123" s="1116"/>
      <c r="EE123" s="1116"/>
      <c r="EF123" s="1116"/>
      <c r="EG123" s="1116"/>
      <c r="EH123" s="1116"/>
      <c r="EI123" s="1116"/>
      <c r="EJ123" s="1116"/>
      <c r="EK123" s="1116"/>
      <c r="EL123" s="1116"/>
      <c r="EM123" s="1116"/>
      <c r="EN123" s="1116"/>
      <c r="EO123" s="1116"/>
      <c r="EP123" s="1116"/>
      <c r="EQ123" s="1116"/>
      <c r="ER123" s="1116"/>
      <c r="ES123" s="1116"/>
    </row>
    <row r="124" spans="1:149" ht="15" customHeight="1">
      <c r="A124" s="1185">
        <v>114</v>
      </c>
      <c r="B124" s="1041"/>
      <c r="C124" s="1050"/>
      <c r="D124" s="1050"/>
      <c r="E124" s="1050"/>
      <c r="F124" s="1049"/>
      <c r="G124" s="1049"/>
      <c r="H124" s="1049"/>
      <c r="I124" s="1049"/>
      <c r="J124" s="1050"/>
      <c r="K124" s="1050"/>
      <c r="L124" s="1043"/>
      <c r="M124" s="1051"/>
      <c r="N124" s="1051"/>
      <c r="O124" s="1052"/>
      <c r="P124" s="1051"/>
      <c r="Q124" s="1051"/>
      <c r="R124" s="1052"/>
      <c r="S124" s="1051"/>
      <c r="T124" s="1051"/>
      <c r="U124" s="1052"/>
      <c r="V124" s="1051"/>
      <c r="W124" s="1051"/>
      <c r="X124" s="1052"/>
      <c r="Y124" s="1053"/>
      <c r="Z124" s="1051"/>
      <c r="AA124" s="1051"/>
      <c r="AB124" s="1052"/>
      <c r="AC124" s="1051"/>
      <c r="AD124" s="1051"/>
      <c r="AE124" s="1052"/>
      <c r="AF124" s="1051"/>
      <c r="AG124" s="1051"/>
      <c r="AH124" s="1051"/>
      <c r="AI124" s="1051"/>
      <c r="AJ124" s="1052"/>
      <c r="AK124" s="1051"/>
      <c r="AL124" s="1051"/>
      <c r="AM124" s="1052"/>
      <c r="AN124" s="1051"/>
      <c r="AO124" s="1051"/>
      <c r="AP124" s="1052"/>
      <c r="AQ124" s="1051"/>
      <c r="AR124" s="1051"/>
      <c r="AS124" s="1052"/>
      <c r="AT124" s="1051"/>
      <c r="AU124" s="1051"/>
      <c r="AV124" s="1052"/>
      <c r="AW124" s="1051"/>
      <c r="AX124" s="1051"/>
      <c r="AY124" s="1053"/>
      <c r="AZ124" s="1051"/>
      <c r="BA124" s="1051"/>
      <c r="BB124" s="1053"/>
      <c r="BC124" s="1051"/>
      <c r="BD124" s="1051"/>
      <c r="BE124" s="1053"/>
      <c r="BF124" s="1051"/>
      <c r="BG124" s="1051"/>
      <c r="BH124" s="1053"/>
      <c r="BI124" s="1052"/>
      <c r="BJ124" s="1052"/>
      <c r="BK124" s="1052"/>
      <c r="BL124" s="1052"/>
      <c r="BM124" s="1052"/>
      <c r="BN124" s="1054"/>
      <c r="BO124" s="1076">
        <f t="shared" si="2"/>
        <v>0</v>
      </c>
      <c r="BP124" s="1051"/>
      <c r="BQ124" s="1052"/>
      <c r="BR124" s="1054"/>
      <c r="BS124" s="1053"/>
      <c r="BT124" s="1051"/>
      <c r="BU124" s="1051"/>
      <c r="BV124" s="1051"/>
      <c r="BW124" s="1052"/>
      <c r="BX124" s="1052"/>
      <c r="BY124" s="1052"/>
      <c r="BZ124" s="1052"/>
      <c r="CA124" s="1052"/>
      <c r="CB124" s="1053"/>
      <c r="CC124" s="1053"/>
      <c r="CD124" s="1053"/>
      <c r="CE124" s="1053"/>
      <c r="CF124" s="1053"/>
      <c r="CG124" s="1053"/>
      <c r="CH124" s="1053"/>
      <c r="CI124" s="1123"/>
      <c r="CJ124" s="1123"/>
      <c r="CK124" s="1123"/>
      <c r="CL124" s="1123"/>
      <c r="CM124" s="1123"/>
      <c r="CN124" s="1123"/>
      <c r="CO124" s="1123"/>
      <c r="CP124" s="1123"/>
      <c r="CQ124" s="1123"/>
      <c r="CR124" s="1123"/>
      <c r="CS124" s="1123"/>
      <c r="CT124" s="1123"/>
      <c r="CU124" s="1123"/>
      <c r="CV124" s="1123"/>
      <c r="CW124" s="1123"/>
      <c r="CX124" s="1123"/>
      <c r="CY124" s="1123"/>
      <c r="CZ124" s="1114"/>
      <c r="DA124" s="1114"/>
      <c r="DB124" s="1114"/>
      <c r="DC124" s="1114"/>
      <c r="DD124" s="1114"/>
      <c r="DE124" s="1114"/>
      <c r="DF124" s="1114"/>
      <c r="DG124" s="1114"/>
      <c r="DH124" s="1114"/>
      <c r="DI124" s="1114"/>
      <c r="DJ124" s="1114"/>
      <c r="DK124" s="1114"/>
      <c r="DL124" s="1114"/>
      <c r="DM124" s="1114"/>
      <c r="DN124" s="1114"/>
      <c r="DO124" s="1114"/>
      <c r="DP124" s="1114"/>
      <c r="DQ124" s="1114"/>
      <c r="DR124" s="1114"/>
      <c r="DS124" s="1114"/>
      <c r="DT124" s="1114"/>
      <c r="DU124" s="1114"/>
      <c r="DV124" s="1115"/>
      <c r="DW124" s="1116"/>
      <c r="DX124" s="1116"/>
      <c r="DY124" s="1116"/>
      <c r="DZ124" s="1116"/>
      <c r="EA124" s="1116"/>
      <c r="EB124" s="1116"/>
      <c r="EC124" s="1116"/>
      <c r="ED124" s="1116"/>
      <c r="EE124" s="1116"/>
      <c r="EF124" s="1116"/>
      <c r="EG124" s="1116"/>
      <c r="EH124" s="1116"/>
      <c r="EI124" s="1116"/>
      <c r="EJ124" s="1116"/>
      <c r="EK124" s="1116"/>
      <c r="EL124" s="1116"/>
      <c r="EM124" s="1116"/>
      <c r="EN124" s="1116"/>
      <c r="EO124" s="1116"/>
      <c r="EP124" s="1116"/>
      <c r="EQ124" s="1116"/>
      <c r="ER124" s="1116"/>
      <c r="ES124" s="1116"/>
    </row>
    <row r="125" spans="1:149" ht="15" customHeight="1">
      <c r="A125" s="1185">
        <v>115</v>
      </c>
      <c r="B125" s="1041"/>
      <c r="C125" s="1050"/>
      <c r="D125" s="1050"/>
      <c r="E125" s="1050"/>
      <c r="F125" s="1049"/>
      <c r="G125" s="1049"/>
      <c r="H125" s="1049"/>
      <c r="I125" s="1049"/>
      <c r="J125" s="1050"/>
      <c r="K125" s="1050"/>
      <c r="L125" s="1043"/>
      <c r="M125" s="1051"/>
      <c r="N125" s="1051"/>
      <c r="O125" s="1052"/>
      <c r="P125" s="1051"/>
      <c r="Q125" s="1051"/>
      <c r="R125" s="1052"/>
      <c r="S125" s="1051"/>
      <c r="T125" s="1051"/>
      <c r="U125" s="1052"/>
      <c r="V125" s="1051"/>
      <c r="W125" s="1051"/>
      <c r="X125" s="1052"/>
      <c r="Y125" s="1053"/>
      <c r="Z125" s="1051"/>
      <c r="AA125" s="1051"/>
      <c r="AB125" s="1052"/>
      <c r="AC125" s="1051"/>
      <c r="AD125" s="1051"/>
      <c r="AE125" s="1052"/>
      <c r="AF125" s="1051"/>
      <c r="AG125" s="1051"/>
      <c r="AH125" s="1051"/>
      <c r="AI125" s="1051"/>
      <c r="AJ125" s="1052"/>
      <c r="AK125" s="1051"/>
      <c r="AL125" s="1051"/>
      <c r="AM125" s="1052"/>
      <c r="AN125" s="1051"/>
      <c r="AO125" s="1051"/>
      <c r="AP125" s="1052"/>
      <c r="AQ125" s="1051"/>
      <c r="AR125" s="1051"/>
      <c r="AS125" s="1052"/>
      <c r="AT125" s="1051"/>
      <c r="AU125" s="1051"/>
      <c r="AV125" s="1052"/>
      <c r="AW125" s="1051"/>
      <c r="AX125" s="1051"/>
      <c r="AY125" s="1053"/>
      <c r="AZ125" s="1051"/>
      <c r="BA125" s="1051"/>
      <c r="BB125" s="1053"/>
      <c r="BC125" s="1051"/>
      <c r="BD125" s="1051"/>
      <c r="BE125" s="1053"/>
      <c r="BF125" s="1051"/>
      <c r="BG125" s="1051"/>
      <c r="BH125" s="1053"/>
      <c r="BI125" s="1052"/>
      <c r="BJ125" s="1052"/>
      <c r="BK125" s="1052"/>
      <c r="BL125" s="1052"/>
      <c r="BM125" s="1052"/>
      <c r="BN125" s="1054"/>
      <c r="BO125" s="1076">
        <f t="shared" si="2"/>
        <v>0</v>
      </c>
      <c r="BP125" s="1051"/>
      <c r="BQ125" s="1052"/>
      <c r="BR125" s="1054"/>
      <c r="BS125" s="1053"/>
      <c r="BT125" s="1051"/>
      <c r="BU125" s="1051"/>
      <c r="BV125" s="1051"/>
      <c r="BW125" s="1052"/>
      <c r="BX125" s="1052"/>
      <c r="BY125" s="1052"/>
      <c r="BZ125" s="1052"/>
      <c r="CA125" s="1052"/>
      <c r="CB125" s="1053"/>
      <c r="CC125" s="1053"/>
      <c r="CD125" s="1053"/>
      <c r="CE125" s="1053"/>
      <c r="CF125" s="1053"/>
      <c r="CG125" s="1053"/>
      <c r="CH125" s="1053"/>
      <c r="CI125" s="1123"/>
      <c r="CJ125" s="1123"/>
      <c r="CK125" s="1123"/>
      <c r="CL125" s="1123"/>
      <c r="CM125" s="1123"/>
      <c r="CN125" s="1123"/>
      <c r="CO125" s="1123"/>
      <c r="CP125" s="1123"/>
      <c r="CQ125" s="1123"/>
      <c r="CR125" s="1123"/>
      <c r="CS125" s="1123"/>
      <c r="CT125" s="1123"/>
      <c r="CU125" s="1123"/>
      <c r="CV125" s="1123"/>
      <c r="CW125" s="1123"/>
      <c r="CX125" s="1123"/>
      <c r="CY125" s="1123"/>
      <c r="CZ125" s="1114"/>
      <c r="DA125" s="1114"/>
      <c r="DB125" s="1114"/>
      <c r="DC125" s="1114"/>
      <c r="DD125" s="1114"/>
      <c r="DE125" s="1114"/>
      <c r="DF125" s="1114"/>
      <c r="DG125" s="1114"/>
      <c r="DH125" s="1114"/>
      <c r="DI125" s="1114"/>
      <c r="DJ125" s="1114"/>
      <c r="DK125" s="1114"/>
      <c r="DL125" s="1114"/>
      <c r="DM125" s="1114"/>
      <c r="DN125" s="1114"/>
      <c r="DO125" s="1114"/>
      <c r="DP125" s="1114"/>
      <c r="DQ125" s="1114"/>
      <c r="DR125" s="1114"/>
      <c r="DS125" s="1114"/>
      <c r="DT125" s="1114"/>
      <c r="DU125" s="1114"/>
      <c r="DV125" s="1115"/>
      <c r="DW125" s="1116"/>
      <c r="DX125" s="1116"/>
      <c r="DY125" s="1116"/>
      <c r="DZ125" s="1116"/>
      <c r="EA125" s="1116"/>
      <c r="EB125" s="1116"/>
      <c r="EC125" s="1116"/>
      <c r="ED125" s="1116"/>
      <c r="EE125" s="1116"/>
      <c r="EF125" s="1116"/>
      <c r="EG125" s="1116"/>
      <c r="EH125" s="1116"/>
      <c r="EI125" s="1116"/>
      <c r="EJ125" s="1116"/>
      <c r="EK125" s="1116"/>
      <c r="EL125" s="1116"/>
      <c r="EM125" s="1116"/>
      <c r="EN125" s="1116"/>
      <c r="EO125" s="1116"/>
      <c r="EP125" s="1116"/>
      <c r="EQ125" s="1116"/>
      <c r="ER125" s="1116"/>
      <c r="ES125" s="1116"/>
    </row>
    <row r="126" spans="1:149" ht="15" customHeight="1">
      <c r="A126" s="1185">
        <v>116</v>
      </c>
      <c r="B126" s="1041"/>
      <c r="C126" s="1050"/>
      <c r="D126" s="1050"/>
      <c r="E126" s="1050"/>
      <c r="F126" s="1049"/>
      <c r="G126" s="1049"/>
      <c r="H126" s="1049"/>
      <c r="I126" s="1049"/>
      <c r="J126" s="1050"/>
      <c r="K126" s="1050"/>
      <c r="L126" s="1043"/>
      <c r="M126" s="1051"/>
      <c r="N126" s="1051"/>
      <c r="O126" s="1052"/>
      <c r="P126" s="1051"/>
      <c r="Q126" s="1051"/>
      <c r="R126" s="1052"/>
      <c r="S126" s="1051"/>
      <c r="T126" s="1051"/>
      <c r="U126" s="1052"/>
      <c r="V126" s="1051"/>
      <c r="W126" s="1051"/>
      <c r="X126" s="1052"/>
      <c r="Y126" s="1053"/>
      <c r="Z126" s="1051"/>
      <c r="AA126" s="1051"/>
      <c r="AB126" s="1052"/>
      <c r="AC126" s="1051"/>
      <c r="AD126" s="1051"/>
      <c r="AE126" s="1052"/>
      <c r="AF126" s="1051"/>
      <c r="AG126" s="1051"/>
      <c r="AH126" s="1051"/>
      <c r="AI126" s="1051"/>
      <c r="AJ126" s="1052"/>
      <c r="AK126" s="1051"/>
      <c r="AL126" s="1051"/>
      <c r="AM126" s="1052"/>
      <c r="AN126" s="1051"/>
      <c r="AO126" s="1051"/>
      <c r="AP126" s="1052"/>
      <c r="AQ126" s="1051"/>
      <c r="AR126" s="1051"/>
      <c r="AS126" s="1052"/>
      <c r="AT126" s="1051"/>
      <c r="AU126" s="1051"/>
      <c r="AV126" s="1052"/>
      <c r="AW126" s="1051"/>
      <c r="AX126" s="1051"/>
      <c r="AY126" s="1053"/>
      <c r="AZ126" s="1051"/>
      <c r="BA126" s="1051"/>
      <c r="BB126" s="1053"/>
      <c r="BC126" s="1051"/>
      <c r="BD126" s="1051"/>
      <c r="BE126" s="1053"/>
      <c r="BF126" s="1051"/>
      <c r="BG126" s="1051"/>
      <c r="BH126" s="1053"/>
      <c r="BI126" s="1052"/>
      <c r="BJ126" s="1052"/>
      <c r="BK126" s="1052"/>
      <c r="BL126" s="1052"/>
      <c r="BM126" s="1052"/>
      <c r="BN126" s="1054"/>
      <c r="BO126" s="1076">
        <f t="shared" si="2"/>
        <v>0</v>
      </c>
      <c r="BP126" s="1051"/>
      <c r="BQ126" s="1052"/>
      <c r="BR126" s="1054"/>
      <c r="BS126" s="1053"/>
      <c r="BT126" s="1051"/>
      <c r="BU126" s="1051"/>
      <c r="BV126" s="1051"/>
      <c r="BW126" s="1052"/>
      <c r="BX126" s="1052"/>
      <c r="BY126" s="1052"/>
      <c r="BZ126" s="1052"/>
      <c r="CA126" s="1052"/>
      <c r="CB126" s="1053"/>
      <c r="CC126" s="1053"/>
      <c r="CD126" s="1053"/>
      <c r="CE126" s="1053"/>
      <c r="CF126" s="1053"/>
      <c r="CG126" s="1053"/>
      <c r="CH126" s="1053"/>
      <c r="CI126" s="1123"/>
      <c r="CJ126" s="1123"/>
      <c r="CK126" s="1123"/>
      <c r="CL126" s="1123"/>
      <c r="CM126" s="1123"/>
      <c r="CN126" s="1123"/>
      <c r="CO126" s="1123"/>
      <c r="CP126" s="1123"/>
      <c r="CQ126" s="1123"/>
      <c r="CR126" s="1123"/>
      <c r="CS126" s="1123"/>
      <c r="CT126" s="1123"/>
      <c r="CU126" s="1123"/>
      <c r="CV126" s="1123"/>
      <c r="CW126" s="1123"/>
      <c r="CX126" s="1123"/>
      <c r="CY126" s="1123"/>
      <c r="CZ126" s="1114"/>
      <c r="DA126" s="1114"/>
      <c r="DB126" s="1114"/>
      <c r="DC126" s="1114"/>
      <c r="DD126" s="1114"/>
      <c r="DE126" s="1114"/>
      <c r="DF126" s="1114"/>
      <c r="DG126" s="1114"/>
      <c r="DH126" s="1114"/>
      <c r="DI126" s="1114"/>
      <c r="DJ126" s="1114"/>
      <c r="DK126" s="1114"/>
      <c r="DL126" s="1114"/>
      <c r="DM126" s="1114"/>
      <c r="DN126" s="1114"/>
      <c r="DO126" s="1114"/>
      <c r="DP126" s="1114"/>
      <c r="DQ126" s="1114"/>
      <c r="DR126" s="1114"/>
      <c r="DS126" s="1114"/>
      <c r="DT126" s="1114"/>
      <c r="DU126" s="1114"/>
      <c r="DV126" s="1115"/>
      <c r="DW126" s="1116"/>
      <c r="DX126" s="1116"/>
      <c r="DY126" s="1116"/>
      <c r="DZ126" s="1116"/>
      <c r="EA126" s="1116"/>
      <c r="EB126" s="1116"/>
      <c r="EC126" s="1116"/>
      <c r="ED126" s="1116"/>
      <c r="EE126" s="1116"/>
      <c r="EF126" s="1116"/>
      <c r="EG126" s="1116"/>
      <c r="EH126" s="1116"/>
      <c r="EI126" s="1116"/>
      <c r="EJ126" s="1116"/>
      <c r="EK126" s="1116"/>
      <c r="EL126" s="1116"/>
      <c r="EM126" s="1116"/>
      <c r="EN126" s="1116"/>
      <c r="EO126" s="1116"/>
      <c r="EP126" s="1116"/>
      <c r="EQ126" s="1116"/>
      <c r="ER126" s="1116"/>
      <c r="ES126" s="1116"/>
    </row>
    <row r="127" spans="1:149" ht="15" customHeight="1">
      <c r="A127" s="1185">
        <v>117</v>
      </c>
      <c r="B127" s="1041"/>
      <c r="C127" s="1050"/>
      <c r="D127" s="1050"/>
      <c r="E127" s="1050"/>
      <c r="F127" s="1049"/>
      <c r="G127" s="1049"/>
      <c r="H127" s="1049"/>
      <c r="I127" s="1049"/>
      <c r="J127" s="1050"/>
      <c r="K127" s="1050"/>
      <c r="L127" s="1043"/>
      <c r="M127" s="1051"/>
      <c r="N127" s="1051"/>
      <c r="O127" s="1052"/>
      <c r="P127" s="1051"/>
      <c r="Q127" s="1051"/>
      <c r="R127" s="1052"/>
      <c r="S127" s="1051"/>
      <c r="T127" s="1051"/>
      <c r="U127" s="1052"/>
      <c r="V127" s="1051"/>
      <c r="W127" s="1051"/>
      <c r="X127" s="1052"/>
      <c r="Y127" s="1053"/>
      <c r="Z127" s="1051"/>
      <c r="AA127" s="1051"/>
      <c r="AB127" s="1052"/>
      <c r="AC127" s="1051"/>
      <c r="AD127" s="1051"/>
      <c r="AE127" s="1052"/>
      <c r="AF127" s="1051"/>
      <c r="AG127" s="1051"/>
      <c r="AH127" s="1051"/>
      <c r="AI127" s="1051"/>
      <c r="AJ127" s="1052"/>
      <c r="AK127" s="1051"/>
      <c r="AL127" s="1051"/>
      <c r="AM127" s="1052"/>
      <c r="AN127" s="1051"/>
      <c r="AO127" s="1051"/>
      <c r="AP127" s="1052"/>
      <c r="AQ127" s="1051"/>
      <c r="AR127" s="1051"/>
      <c r="AS127" s="1052"/>
      <c r="AT127" s="1051"/>
      <c r="AU127" s="1051"/>
      <c r="AV127" s="1052"/>
      <c r="AW127" s="1051"/>
      <c r="AX127" s="1051"/>
      <c r="AY127" s="1053"/>
      <c r="AZ127" s="1051"/>
      <c r="BA127" s="1051"/>
      <c r="BB127" s="1053"/>
      <c r="BC127" s="1051"/>
      <c r="BD127" s="1051"/>
      <c r="BE127" s="1053"/>
      <c r="BF127" s="1051"/>
      <c r="BG127" s="1051"/>
      <c r="BH127" s="1053"/>
      <c r="BI127" s="1052"/>
      <c r="BJ127" s="1052"/>
      <c r="BK127" s="1052"/>
      <c r="BL127" s="1052"/>
      <c r="BM127" s="1052"/>
      <c r="BN127" s="1054"/>
      <c r="BO127" s="1076">
        <f t="shared" si="2"/>
        <v>0</v>
      </c>
      <c r="BP127" s="1051"/>
      <c r="BQ127" s="1052"/>
      <c r="BR127" s="1054"/>
      <c r="BS127" s="1053"/>
      <c r="BT127" s="1051"/>
      <c r="BU127" s="1051"/>
      <c r="BV127" s="1051"/>
      <c r="BW127" s="1052"/>
      <c r="BX127" s="1052"/>
      <c r="BY127" s="1052"/>
      <c r="BZ127" s="1052"/>
      <c r="CA127" s="1052"/>
      <c r="CB127" s="1053"/>
      <c r="CC127" s="1053"/>
      <c r="CD127" s="1053"/>
      <c r="CE127" s="1053"/>
      <c r="CF127" s="1053"/>
      <c r="CG127" s="1053"/>
      <c r="CH127" s="1053"/>
      <c r="CI127" s="1123"/>
      <c r="CJ127" s="1123"/>
      <c r="CK127" s="1123"/>
      <c r="CL127" s="1123"/>
      <c r="CM127" s="1123"/>
      <c r="CN127" s="1123"/>
      <c r="CO127" s="1123"/>
      <c r="CP127" s="1123"/>
      <c r="CQ127" s="1123"/>
      <c r="CR127" s="1123"/>
      <c r="CS127" s="1123"/>
      <c r="CT127" s="1123"/>
      <c r="CU127" s="1123"/>
      <c r="CV127" s="1123"/>
      <c r="CW127" s="1123"/>
      <c r="CX127" s="1123"/>
      <c r="CY127" s="1123"/>
      <c r="CZ127" s="1114"/>
      <c r="DA127" s="1114"/>
      <c r="DB127" s="1114"/>
      <c r="DC127" s="1114"/>
      <c r="DD127" s="1114"/>
      <c r="DE127" s="1114"/>
      <c r="DF127" s="1114"/>
      <c r="DG127" s="1114"/>
      <c r="DH127" s="1114"/>
      <c r="DI127" s="1114"/>
      <c r="DJ127" s="1114"/>
      <c r="DK127" s="1114"/>
      <c r="DL127" s="1114"/>
      <c r="DM127" s="1114"/>
      <c r="DN127" s="1114"/>
      <c r="DO127" s="1114"/>
      <c r="DP127" s="1114"/>
      <c r="DQ127" s="1114"/>
      <c r="DR127" s="1114"/>
      <c r="DS127" s="1114"/>
      <c r="DT127" s="1114"/>
      <c r="DU127" s="1114"/>
      <c r="DV127" s="1115"/>
      <c r="DW127" s="1116"/>
      <c r="DX127" s="1116"/>
      <c r="DY127" s="1116"/>
      <c r="DZ127" s="1116"/>
      <c r="EA127" s="1116"/>
      <c r="EB127" s="1116"/>
      <c r="EC127" s="1116"/>
      <c r="ED127" s="1116"/>
      <c r="EE127" s="1116"/>
      <c r="EF127" s="1116"/>
      <c r="EG127" s="1116"/>
      <c r="EH127" s="1116"/>
      <c r="EI127" s="1116"/>
      <c r="EJ127" s="1116"/>
      <c r="EK127" s="1116"/>
      <c r="EL127" s="1116"/>
      <c r="EM127" s="1116"/>
      <c r="EN127" s="1116"/>
      <c r="EO127" s="1116"/>
      <c r="EP127" s="1116"/>
      <c r="EQ127" s="1116"/>
      <c r="ER127" s="1116"/>
      <c r="ES127" s="1116"/>
    </row>
    <row r="128" spans="1:149" ht="15" customHeight="1">
      <c r="A128" s="1185">
        <v>118</v>
      </c>
      <c r="B128" s="1041"/>
      <c r="C128" s="1050"/>
      <c r="D128" s="1050"/>
      <c r="E128" s="1050"/>
      <c r="F128" s="1049"/>
      <c r="G128" s="1049"/>
      <c r="H128" s="1049"/>
      <c r="I128" s="1049"/>
      <c r="J128" s="1050"/>
      <c r="K128" s="1050"/>
      <c r="L128" s="1043"/>
      <c r="M128" s="1051"/>
      <c r="N128" s="1051"/>
      <c r="O128" s="1052"/>
      <c r="P128" s="1051"/>
      <c r="Q128" s="1051"/>
      <c r="R128" s="1052"/>
      <c r="S128" s="1051"/>
      <c r="T128" s="1051"/>
      <c r="U128" s="1052"/>
      <c r="V128" s="1051"/>
      <c r="W128" s="1051"/>
      <c r="X128" s="1052"/>
      <c r="Y128" s="1053"/>
      <c r="Z128" s="1051"/>
      <c r="AA128" s="1051"/>
      <c r="AB128" s="1052"/>
      <c r="AC128" s="1051"/>
      <c r="AD128" s="1051"/>
      <c r="AE128" s="1052"/>
      <c r="AF128" s="1051"/>
      <c r="AG128" s="1051"/>
      <c r="AH128" s="1051"/>
      <c r="AI128" s="1051"/>
      <c r="AJ128" s="1052"/>
      <c r="AK128" s="1051"/>
      <c r="AL128" s="1051"/>
      <c r="AM128" s="1052"/>
      <c r="AN128" s="1051"/>
      <c r="AO128" s="1051"/>
      <c r="AP128" s="1052"/>
      <c r="AQ128" s="1051"/>
      <c r="AR128" s="1051"/>
      <c r="AS128" s="1052"/>
      <c r="AT128" s="1051"/>
      <c r="AU128" s="1051"/>
      <c r="AV128" s="1052"/>
      <c r="AW128" s="1051"/>
      <c r="AX128" s="1051"/>
      <c r="AY128" s="1053"/>
      <c r="AZ128" s="1051"/>
      <c r="BA128" s="1051"/>
      <c r="BB128" s="1053"/>
      <c r="BC128" s="1051"/>
      <c r="BD128" s="1051"/>
      <c r="BE128" s="1053"/>
      <c r="BF128" s="1051"/>
      <c r="BG128" s="1051"/>
      <c r="BH128" s="1053"/>
      <c r="BI128" s="1052"/>
      <c r="BJ128" s="1052"/>
      <c r="BK128" s="1052"/>
      <c r="BL128" s="1052"/>
      <c r="BM128" s="1052"/>
      <c r="BN128" s="1054"/>
      <c r="BO128" s="1076">
        <f t="shared" si="2"/>
        <v>0</v>
      </c>
      <c r="BP128" s="1051"/>
      <c r="BQ128" s="1052"/>
      <c r="BR128" s="1054"/>
      <c r="BS128" s="1053"/>
      <c r="BT128" s="1051"/>
      <c r="BU128" s="1051"/>
      <c r="BV128" s="1051"/>
      <c r="BW128" s="1052"/>
      <c r="BX128" s="1052"/>
      <c r="BY128" s="1052"/>
      <c r="BZ128" s="1052"/>
      <c r="CA128" s="1052"/>
      <c r="CB128" s="1053"/>
      <c r="CC128" s="1053"/>
      <c r="CD128" s="1053"/>
      <c r="CE128" s="1053"/>
      <c r="CF128" s="1053"/>
      <c r="CG128" s="1053"/>
      <c r="CH128" s="1053"/>
      <c r="CI128" s="1123"/>
      <c r="CJ128" s="1123"/>
      <c r="CK128" s="1123"/>
      <c r="CL128" s="1123"/>
      <c r="CM128" s="1123"/>
      <c r="CN128" s="1123"/>
      <c r="CO128" s="1123"/>
      <c r="CP128" s="1123"/>
      <c r="CQ128" s="1123"/>
      <c r="CR128" s="1123"/>
      <c r="CS128" s="1123"/>
      <c r="CT128" s="1123"/>
      <c r="CU128" s="1123"/>
      <c r="CV128" s="1123"/>
      <c r="CW128" s="1123"/>
      <c r="CX128" s="1123"/>
      <c r="CY128" s="1123"/>
      <c r="CZ128" s="1114"/>
      <c r="DA128" s="1114"/>
      <c r="DB128" s="1114"/>
      <c r="DC128" s="1114"/>
      <c r="DD128" s="1114"/>
      <c r="DE128" s="1114"/>
      <c r="DF128" s="1114"/>
      <c r="DG128" s="1114"/>
      <c r="DH128" s="1114"/>
      <c r="DI128" s="1114"/>
      <c r="DJ128" s="1114"/>
      <c r="DK128" s="1114"/>
      <c r="DL128" s="1114"/>
      <c r="DM128" s="1114"/>
      <c r="DN128" s="1114"/>
      <c r="DO128" s="1114"/>
      <c r="DP128" s="1114"/>
      <c r="DQ128" s="1114"/>
      <c r="DR128" s="1114"/>
      <c r="DS128" s="1114"/>
      <c r="DT128" s="1114"/>
      <c r="DU128" s="1114"/>
      <c r="DV128" s="1115"/>
      <c r="DW128" s="1116"/>
      <c r="DX128" s="1116"/>
      <c r="DY128" s="1116"/>
      <c r="DZ128" s="1116"/>
      <c r="EA128" s="1116"/>
      <c r="EB128" s="1116"/>
      <c r="EC128" s="1116"/>
      <c r="ED128" s="1116"/>
      <c r="EE128" s="1116"/>
      <c r="EF128" s="1116"/>
      <c r="EG128" s="1116"/>
      <c r="EH128" s="1116"/>
      <c r="EI128" s="1116"/>
      <c r="EJ128" s="1116"/>
      <c r="EK128" s="1116"/>
      <c r="EL128" s="1116"/>
      <c r="EM128" s="1116"/>
      <c r="EN128" s="1116"/>
      <c r="EO128" s="1116"/>
      <c r="EP128" s="1116"/>
      <c r="EQ128" s="1116"/>
      <c r="ER128" s="1116"/>
      <c r="ES128" s="1116"/>
    </row>
    <row r="129" spans="1:149" ht="15" customHeight="1">
      <c r="A129" s="1185">
        <v>119</v>
      </c>
      <c r="B129" s="1041"/>
      <c r="C129" s="1050"/>
      <c r="D129" s="1050"/>
      <c r="E129" s="1050"/>
      <c r="F129" s="1049"/>
      <c r="G129" s="1049"/>
      <c r="H129" s="1049"/>
      <c r="I129" s="1049"/>
      <c r="J129" s="1050"/>
      <c r="K129" s="1050"/>
      <c r="L129" s="1043"/>
      <c r="M129" s="1051"/>
      <c r="N129" s="1051"/>
      <c r="O129" s="1052"/>
      <c r="P129" s="1051"/>
      <c r="Q129" s="1051"/>
      <c r="R129" s="1052"/>
      <c r="S129" s="1051"/>
      <c r="T129" s="1051"/>
      <c r="U129" s="1052"/>
      <c r="V129" s="1051"/>
      <c r="W129" s="1051"/>
      <c r="X129" s="1052"/>
      <c r="Y129" s="1053"/>
      <c r="Z129" s="1051"/>
      <c r="AA129" s="1051"/>
      <c r="AB129" s="1052"/>
      <c r="AC129" s="1051"/>
      <c r="AD129" s="1051"/>
      <c r="AE129" s="1052"/>
      <c r="AF129" s="1051"/>
      <c r="AG129" s="1051"/>
      <c r="AH129" s="1051"/>
      <c r="AI129" s="1051"/>
      <c r="AJ129" s="1052"/>
      <c r="AK129" s="1051"/>
      <c r="AL129" s="1051"/>
      <c r="AM129" s="1052"/>
      <c r="AN129" s="1051"/>
      <c r="AO129" s="1051"/>
      <c r="AP129" s="1052"/>
      <c r="AQ129" s="1051"/>
      <c r="AR129" s="1051"/>
      <c r="AS129" s="1052"/>
      <c r="AT129" s="1051"/>
      <c r="AU129" s="1051"/>
      <c r="AV129" s="1052"/>
      <c r="AW129" s="1051"/>
      <c r="AX129" s="1051"/>
      <c r="AY129" s="1053"/>
      <c r="AZ129" s="1051"/>
      <c r="BA129" s="1051"/>
      <c r="BB129" s="1053"/>
      <c r="BC129" s="1051"/>
      <c r="BD129" s="1051"/>
      <c r="BE129" s="1053"/>
      <c r="BF129" s="1051"/>
      <c r="BG129" s="1051"/>
      <c r="BH129" s="1053"/>
      <c r="BI129" s="1052"/>
      <c r="BJ129" s="1052"/>
      <c r="BK129" s="1052"/>
      <c r="BL129" s="1052"/>
      <c r="BM129" s="1052"/>
      <c r="BN129" s="1054"/>
      <c r="BO129" s="1076">
        <f t="shared" si="2"/>
        <v>0</v>
      </c>
      <c r="BP129" s="1051"/>
      <c r="BQ129" s="1052"/>
      <c r="BR129" s="1054"/>
      <c r="BS129" s="1053"/>
      <c r="BT129" s="1051"/>
      <c r="BU129" s="1051"/>
      <c r="BV129" s="1051"/>
      <c r="BW129" s="1052"/>
      <c r="BX129" s="1052"/>
      <c r="BY129" s="1052"/>
      <c r="BZ129" s="1052"/>
      <c r="CA129" s="1052"/>
      <c r="CB129" s="1053"/>
      <c r="CC129" s="1053"/>
      <c r="CD129" s="1053"/>
      <c r="CE129" s="1053"/>
      <c r="CF129" s="1053"/>
      <c r="CG129" s="1053"/>
      <c r="CH129" s="1053"/>
      <c r="CI129" s="1123"/>
      <c r="CJ129" s="1123"/>
      <c r="CK129" s="1123"/>
      <c r="CL129" s="1123"/>
      <c r="CM129" s="1123"/>
      <c r="CN129" s="1123"/>
      <c r="CO129" s="1123"/>
      <c r="CP129" s="1123"/>
      <c r="CQ129" s="1123"/>
      <c r="CR129" s="1123"/>
      <c r="CS129" s="1123"/>
      <c r="CT129" s="1123"/>
      <c r="CU129" s="1123"/>
      <c r="CV129" s="1123"/>
      <c r="CW129" s="1123"/>
      <c r="CX129" s="1123"/>
      <c r="CY129" s="1123"/>
      <c r="CZ129" s="1114"/>
      <c r="DA129" s="1114"/>
      <c r="DB129" s="1114"/>
      <c r="DC129" s="1114"/>
      <c r="DD129" s="1114"/>
      <c r="DE129" s="1114"/>
      <c r="DF129" s="1114"/>
      <c r="DG129" s="1114"/>
      <c r="DH129" s="1114"/>
      <c r="DI129" s="1114"/>
      <c r="DJ129" s="1114"/>
      <c r="DK129" s="1114"/>
      <c r="DL129" s="1114"/>
      <c r="DM129" s="1114"/>
      <c r="DN129" s="1114"/>
      <c r="DO129" s="1114"/>
      <c r="DP129" s="1114"/>
      <c r="DQ129" s="1114"/>
      <c r="DR129" s="1114"/>
      <c r="DS129" s="1114"/>
      <c r="DT129" s="1114"/>
      <c r="DU129" s="1114"/>
      <c r="DV129" s="1115"/>
      <c r="DW129" s="1116"/>
      <c r="DX129" s="1116"/>
      <c r="DY129" s="1116"/>
      <c r="DZ129" s="1116"/>
      <c r="EA129" s="1116"/>
      <c r="EB129" s="1116"/>
      <c r="EC129" s="1116"/>
      <c r="ED129" s="1116"/>
      <c r="EE129" s="1116"/>
      <c r="EF129" s="1116"/>
      <c r="EG129" s="1116"/>
      <c r="EH129" s="1116"/>
      <c r="EI129" s="1116"/>
      <c r="EJ129" s="1116"/>
      <c r="EK129" s="1116"/>
      <c r="EL129" s="1116"/>
      <c r="EM129" s="1116"/>
      <c r="EN129" s="1116"/>
      <c r="EO129" s="1116"/>
      <c r="EP129" s="1116"/>
      <c r="EQ129" s="1116"/>
      <c r="ER129" s="1116"/>
      <c r="ES129" s="1116"/>
    </row>
    <row r="130" spans="1:149" ht="15" customHeight="1">
      <c r="A130" s="1185">
        <v>120</v>
      </c>
      <c r="B130" s="1041"/>
      <c r="C130" s="1050"/>
      <c r="D130" s="1050"/>
      <c r="E130" s="1050"/>
      <c r="F130" s="1049"/>
      <c r="G130" s="1049"/>
      <c r="H130" s="1049"/>
      <c r="I130" s="1049"/>
      <c r="J130" s="1050"/>
      <c r="K130" s="1050"/>
      <c r="L130" s="1043"/>
      <c r="M130" s="1051"/>
      <c r="N130" s="1051"/>
      <c r="O130" s="1052"/>
      <c r="P130" s="1051"/>
      <c r="Q130" s="1051"/>
      <c r="R130" s="1052"/>
      <c r="S130" s="1051"/>
      <c r="T130" s="1051"/>
      <c r="U130" s="1052"/>
      <c r="V130" s="1051"/>
      <c r="W130" s="1051"/>
      <c r="X130" s="1052"/>
      <c r="Y130" s="1053"/>
      <c r="Z130" s="1051"/>
      <c r="AA130" s="1051"/>
      <c r="AB130" s="1052"/>
      <c r="AC130" s="1051"/>
      <c r="AD130" s="1051"/>
      <c r="AE130" s="1052"/>
      <c r="AF130" s="1051"/>
      <c r="AG130" s="1051"/>
      <c r="AH130" s="1051"/>
      <c r="AI130" s="1051"/>
      <c r="AJ130" s="1052"/>
      <c r="AK130" s="1051"/>
      <c r="AL130" s="1051"/>
      <c r="AM130" s="1052"/>
      <c r="AN130" s="1051"/>
      <c r="AO130" s="1051"/>
      <c r="AP130" s="1052"/>
      <c r="AQ130" s="1051"/>
      <c r="AR130" s="1051"/>
      <c r="AS130" s="1052"/>
      <c r="AT130" s="1051"/>
      <c r="AU130" s="1051"/>
      <c r="AV130" s="1052"/>
      <c r="AW130" s="1051"/>
      <c r="AX130" s="1051"/>
      <c r="AY130" s="1053"/>
      <c r="AZ130" s="1051"/>
      <c r="BA130" s="1051"/>
      <c r="BB130" s="1053"/>
      <c r="BC130" s="1051"/>
      <c r="BD130" s="1051"/>
      <c r="BE130" s="1053"/>
      <c r="BF130" s="1051"/>
      <c r="BG130" s="1051"/>
      <c r="BH130" s="1053"/>
      <c r="BI130" s="1052"/>
      <c r="BJ130" s="1052"/>
      <c r="BK130" s="1052"/>
      <c r="BL130" s="1052"/>
      <c r="BM130" s="1052"/>
      <c r="BN130" s="1054"/>
      <c r="BO130" s="1076">
        <f t="shared" si="2"/>
        <v>0</v>
      </c>
      <c r="BP130" s="1051"/>
      <c r="BQ130" s="1052"/>
      <c r="BR130" s="1054"/>
      <c r="BS130" s="1053"/>
      <c r="BT130" s="1051"/>
      <c r="BU130" s="1051"/>
      <c r="BV130" s="1051"/>
      <c r="BW130" s="1052"/>
      <c r="BX130" s="1052"/>
      <c r="BY130" s="1052"/>
      <c r="BZ130" s="1052"/>
      <c r="CA130" s="1052"/>
      <c r="CB130" s="1053"/>
      <c r="CC130" s="1053"/>
      <c r="CD130" s="1053"/>
      <c r="CE130" s="1053"/>
      <c r="CF130" s="1053"/>
      <c r="CG130" s="1053"/>
      <c r="CH130" s="1053"/>
      <c r="CI130" s="1123"/>
      <c r="CJ130" s="1123"/>
      <c r="CK130" s="1123"/>
      <c r="CL130" s="1123"/>
      <c r="CM130" s="1123"/>
      <c r="CN130" s="1123"/>
      <c r="CO130" s="1123"/>
      <c r="CP130" s="1123"/>
      <c r="CQ130" s="1123"/>
      <c r="CR130" s="1123"/>
      <c r="CS130" s="1123"/>
      <c r="CT130" s="1123"/>
      <c r="CU130" s="1123"/>
      <c r="CV130" s="1123"/>
      <c r="CW130" s="1123"/>
      <c r="CX130" s="1123"/>
      <c r="CY130" s="1123"/>
      <c r="CZ130" s="1114"/>
      <c r="DA130" s="1114"/>
      <c r="DB130" s="1114"/>
      <c r="DC130" s="1114"/>
      <c r="DD130" s="1114"/>
      <c r="DE130" s="1114"/>
      <c r="DF130" s="1114"/>
      <c r="DG130" s="1114"/>
      <c r="DH130" s="1114"/>
      <c r="DI130" s="1114"/>
      <c r="DJ130" s="1114"/>
      <c r="DK130" s="1114"/>
      <c r="DL130" s="1114"/>
      <c r="DM130" s="1114"/>
      <c r="DN130" s="1114"/>
      <c r="DO130" s="1114"/>
      <c r="DP130" s="1114"/>
      <c r="DQ130" s="1114"/>
      <c r="DR130" s="1114"/>
      <c r="DS130" s="1114"/>
      <c r="DT130" s="1114"/>
      <c r="DU130" s="1114"/>
      <c r="DV130" s="1115"/>
      <c r="DW130" s="1116"/>
      <c r="DX130" s="1116"/>
      <c r="DY130" s="1116"/>
      <c r="DZ130" s="1116"/>
      <c r="EA130" s="1116"/>
      <c r="EB130" s="1116"/>
      <c r="EC130" s="1116"/>
      <c r="ED130" s="1116"/>
      <c r="EE130" s="1116"/>
      <c r="EF130" s="1116"/>
      <c r="EG130" s="1116"/>
      <c r="EH130" s="1116"/>
      <c r="EI130" s="1116"/>
      <c r="EJ130" s="1116"/>
      <c r="EK130" s="1116"/>
      <c r="EL130" s="1116"/>
      <c r="EM130" s="1116"/>
      <c r="EN130" s="1116"/>
      <c r="EO130" s="1116"/>
      <c r="EP130" s="1116"/>
      <c r="EQ130" s="1116"/>
      <c r="ER130" s="1116"/>
      <c r="ES130" s="1116"/>
    </row>
    <row r="131" spans="1:149" ht="15" customHeight="1">
      <c r="A131" s="1185">
        <v>121</v>
      </c>
      <c r="B131" s="1041"/>
      <c r="C131" s="1050"/>
      <c r="D131" s="1050"/>
      <c r="E131" s="1050"/>
      <c r="F131" s="1049"/>
      <c r="G131" s="1049"/>
      <c r="H131" s="1049"/>
      <c r="I131" s="1049"/>
      <c r="J131" s="1050"/>
      <c r="K131" s="1050"/>
      <c r="L131" s="1043"/>
      <c r="M131" s="1051"/>
      <c r="N131" s="1051"/>
      <c r="O131" s="1052"/>
      <c r="P131" s="1051"/>
      <c r="Q131" s="1051"/>
      <c r="R131" s="1052"/>
      <c r="S131" s="1051"/>
      <c r="T131" s="1051"/>
      <c r="U131" s="1052"/>
      <c r="V131" s="1051"/>
      <c r="W131" s="1051"/>
      <c r="X131" s="1052"/>
      <c r="Y131" s="1053"/>
      <c r="Z131" s="1051"/>
      <c r="AA131" s="1051"/>
      <c r="AB131" s="1052"/>
      <c r="AC131" s="1051"/>
      <c r="AD131" s="1051"/>
      <c r="AE131" s="1052"/>
      <c r="AF131" s="1051"/>
      <c r="AG131" s="1051"/>
      <c r="AH131" s="1051"/>
      <c r="AI131" s="1051"/>
      <c r="AJ131" s="1052"/>
      <c r="AK131" s="1051"/>
      <c r="AL131" s="1051"/>
      <c r="AM131" s="1052"/>
      <c r="AN131" s="1051"/>
      <c r="AO131" s="1051"/>
      <c r="AP131" s="1052"/>
      <c r="AQ131" s="1051"/>
      <c r="AR131" s="1051"/>
      <c r="AS131" s="1052"/>
      <c r="AT131" s="1051"/>
      <c r="AU131" s="1051"/>
      <c r="AV131" s="1052"/>
      <c r="AW131" s="1051"/>
      <c r="AX131" s="1051"/>
      <c r="AY131" s="1053"/>
      <c r="AZ131" s="1051"/>
      <c r="BA131" s="1051"/>
      <c r="BB131" s="1053"/>
      <c r="BC131" s="1051"/>
      <c r="BD131" s="1051"/>
      <c r="BE131" s="1053"/>
      <c r="BF131" s="1051"/>
      <c r="BG131" s="1051"/>
      <c r="BH131" s="1053"/>
      <c r="BI131" s="1052"/>
      <c r="BJ131" s="1052"/>
      <c r="BK131" s="1052"/>
      <c r="BL131" s="1052"/>
      <c r="BM131" s="1052"/>
      <c r="BN131" s="1054"/>
      <c r="BO131" s="1076">
        <f t="shared" si="2"/>
        <v>0</v>
      </c>
      <c r="BP131" s="1051"/>
      <c r="BQ131" s="1052"/>
      <c r="BR131" s="1054"/>
      <c r="BS131" s="1053"/>
      <c r="BT131" s="1051"/>
      <c r="BU131" s="1051"/>
      <c r="BV131" s="1051"/>
      <c r="BW131" s="1052"/>
      <c r="BX131" s="1052"/>
      <c r="BY131" s="1052"/>
      <c r="BZ131" s="1052"/>
      <c r="CA131" s="1052"/>
      <c r="CB131" s="1053"/>
      <c r="CC131" s="1053"/>
      <c r="CD131" s="1053"/>
      <c r="CE131" s="1053"/>
      <c r="CF131" s="1053"/>
      <c r="CG131" s="1053"/>
      <c r="CH131" s="1053"/>
      <c r="CI131" s="1123"/>
      <c r="CJ131" s="1123"/>
      <c r="CK131" s="1123"/>
      <c r="CL131" s="1123"/>
      <c r="CM131" s="1123"/>
      <c r="CN131" s="1123"/>
      <c r="CO131" s="1123"/>
      <c r="CP131" s="1123"/>
      <c r="CQ131" s="1123"/>
      <c r="CR131" s="1123"/>
      <c r="CS131" s="1123"/>
      <c r="CT131" s="1123"/>
      <c r="CU131" s="1123"/>
      <c r="CV131" s="1123"/>
      <c r="CW131" s="1123"/>
      <c r="CX131" s="1123"/>
      <c r="CY131" s="1123"/>
      <c r="CZ131" s="1114"/>
      <c r="DA131" s="1114"/>
      <c r="DB131" s="1114"/>
      <c r="DC131" s="1114"/>
      <c r="DD131" s="1114"/>
      <c r="DE131" s="1114"/>
      <c r="DF131" s="1114"/>
      <c r="DG131" s="1114"/>
      <c r="DH131" s="1114"/>
      <c r="DI131" s="1114"/>
      <c r="DJ131" s="1114"/>
      <c r="DK131" s="1114"/>
      <c r="DL131" s="1114"/>
      <c r="DM131" s="1114"/>
      <c r="DN131" s="1114"/>
      <c r="DO131" s="1114"/>
      <c r="DP131" s="1114"/>
      <c r="DQ131" s="1114"/>
      <c r="DR131" s="1114"/>
      <c r="DS131" s="1114"/>
      <c r="DT131" s="1114"/>
      <c r="DU131" s="1114"/>
      <c r="DV131" s="1115"/>
      <c r="DW131" s="1116"/>
      <c r="DX131" s="1116"/>
      <c r="DY131" s="1116"/>
      <c r="DZ131" s="1116"/>
      <c r="EA131" s="1116"/>
      <c r="EB131" s="1116"/>
      <c r="EC131" s="1116"/>
      <c r="ED131" s="1116"/>
      <c r="EE131" s="1116"/>
      <c r="EF131" s="1116"/>
      <c r="EG131" s="1116"/>
      <c r="EH131" s="1116"/>
      <c r="EI131" s="1116"/>
      <c r="EJ131" s="1116"/>
      <c r="EK131" s="1116"/>
      <c r="EL131" s="1116"/>
      <c r="EM131" s="1116"/>
      <c r="EN131" s="1116"/>
      <c r="EO131" s="1116"/>
      <c r="EP131" s="1116"/>
      <c r="EQ131" s="1116"/>
      <c r="ER131" s="1116"/>
      <c r="ES131" s="1116"/>
    </row>
    <row r="132" spans="1:149" ht="15" customHeight="1">
      <c r="A132" s="1185">
        <v>122</v>
      </c>
      <c r="B132" s="1041"/>
      <c r="C132" s="1050"/>
      <c r="D132" s="1050"/>
      <c r="E132" s="1050"/>
      <c r="F132" s="1049"/>
      <c r="G132" s="1049"/>
      <c r="H132" s="1049"/>
      <c r="I132" s="1049"/>
      <c r="J132" s="1050"/>
      <c r="K132" s="1050"/>
      <c r="L132" s="1043"/>
      <c r="M132" s="1051"/>
      <c r="N132" s="1051"/>
      <c r="O132" s="1052"/>
      <c r="P132" s="1051"/>
      <c r="Q132" s="1051"/>
      <c r="R132" s="1052"/>
      <c r="S132" s="1051"/>
      <c r="T132" s="1051"/>
      <c r="U132" s="1052"/>
      <c r="V132" s="1051"/>
      <c r="W132" s="1051"/>
      <c r="X132" s="1052"/>
      <c r="Y132" s="1053"/>
      <c r="Z132" s="1051"/>
      <c r="AA132" s="1051"/>
      <c r="AB132" s="1052"/>
      <c r="AC132" s="1051"/>
      <c r="AD132" s="1051"/>
      <c r="AE132" s="1052"/>
      <c r="AF132" s="1051"/>
      <c r="AG132" s="1051"/>
      <c r="AH132" s="1051"/>
      <c r="AI132" s="1051"/>
      <c r="AJ132" s="1052"/>
      <c r="AK132" s="1051"/>
      <c r="AL132" s="1051"/>
      <c r="AM132" s="1052"/>
      <c r="AN132" s="1051"/>
      <c r="AO132" s="1051"/>
      <c r="AP132" s="1052"/>
      <c r="AQ132" s="1051"/>
      <c r="AR132" s="1051"/>
      <c r="AS132" s="1052"/>
      <c r="AT132" s="1051"/>
      <c r="AU132" s="1051"/>
      <c r="AV132" s="1052"/>
      <c r="AW132" s="1051"/>
      <c r="AX132" s="1051"/>
      <c r="AY132" s="1053"/>
      <c r="AZ132" s="1051"/>
      <c r="BA132" s="1051"/>
      <c r="BB132" s="1053"/>
      <c r="BC132" s="1051"/>
      <c r="BD132" s="1051"/>
      <c r="BE132" s="1053"/>
      <c r="BF132" s="1051"/>
      <c r="BG132" s="1051"/>
      <c r="BH132" s="1053"/>
      <c r="BI132" s="1052"/>
      <c r="BJ132" s="1052"/>
      <c r="BK132" s="1052"/>
      <c r="BL132" s="1052"/>
      <c r="BM132" s="1052"/>
      <c r="BN132" s="1054"/>
      <c r="BO132" s="1076">
        <f t="shared" si="2"/>
        <v>0</v>
      </c>
      <c r="BP132" s="1051"/>
      <c r="BQ132" s="1052"/>
      <c r="BR132" s="1054"/>
      <c r="BS132" s="1053"/>
      <c r="BT132" s="1051"/>
      <c r="BU132" s="1051"/>
      <c r="BV132" s="1051"/>
      <c r="BW132" s="1052"/>
      <c r="BX132" s="1052"/>
      <c r="BY132" s="1052"/>
      <c r="BZ132" s="1052"/>
      <c r="CA132" s="1052"/>
      <c r="CB132" s="1053"/>
      <c r="CC132" s="1053"/>
      <c r="CD132" s="1053"/>
      <c r="CE132" s="1053"/>
      <c r="CF132" s="1053"/>
      <c r="CG132" s="1053"/>
      <c r="CH132" s="1053"/>
      <c r="CI132" s="1123"/>
      <c r="CJ132" s="1123"/>
      <c r="CK132" s="1123"/>
      <c r="CL132" s="1123"/>
      <c r="CM132" s="1123"/>
      <c r="CN132" s="1123"/>
      <c r="CO132" s="1123"/>
      <c r="CP132" s="1123"/>
      <c r="CQ132" s="1123"/>
      <c r="CR132" s="1123"/>
      <c r="CS132" s="1123"/>
      <c r="CT132" s="1123"/>
      <c r="CU132" s="1123"/>
      <c r="CV132" s="1123"/>
      <c r="CW132" s="1123"/>
      <c r="CX132" s="1123"/>
      <c r="CY132" s="1123"/>
      <c r="CZ132" s="1114"/>
      <c r="DA132" s="1114"/>
      <c r="DB132" s="1114"/>
      <c r="DC132" s="1114"/>
      <c r="DD132" s="1114"/>
      <c r="DE132" s="1114"/>
      <c r="DF132" s="1114"/>
      <c r="DG132" s="1114"/>
      <c r="DH132" s="1114"/>
      <c r="DI132" s="1114"/>
      <c r="DJ132" s="1114"/>
      <c r="DK132" s="1114"/>
      <c r="DL132" s="1114"/>
      <c r="DM132" s="1114"/>
      <c r="DN132" s="1114"/>
      <c r="DO132" s="1114"/>
      <c r="DP132" s="1114"/>
      <c r="DQ132" s="1114"/>
      <c r="DR132" s="1114"/>
      <c r="DS132" s="1114"/>
      <c r="DT132" s="1114"/>
      <c r="DU132" s="1114"/>
      <c r="DV132" s="1115"/>
      <c r="DW132" s="1116"/>
      <c r="DX132" s="1116"/>
      <c r="DY132" s="1116"/>
      <c r="DZ132" s="1116"/>
      <c r="EA132" s="1116"/>
      <c r="EB132" s="1116"/>
      <c r="EC132" s="1116"/>
      <c r="ED132" s="1116"/>
      <c r="EE132" s="1116"/>
      <c r="EF132" s="1116"/>
      <c r="EG132" s="1116"/>
      <c r="EH132" s="1116"/>
      <c r="EI132" s="1116"/>
      <c r="EJ132" s="1116"/>
      <c r="EK132" s="1116"/>
      <c r="EL132" s="1116"/>
      <c r="EM132" s="1116"/>
      <c r="EN132" s="1116"/>
      <c r="EO132" s="1116"/>
      <c r="EP132" s="1116"/>
      <c r="EQ132" s="1116"/>
      <c r="ER132" s="1116"/>
      <c r="ES132" s="1116"/>
    </row>
    <row r="133" spans="1:149" ht="15" customHeight="1">
      <c r="A133" s="1185">
        <v>123</v>
      </c>
      <c r="B133" s="1041"/>
      <c r="C133" s="1050"/>
      <c r="D133" s="1050"/>
      <c r="E133" s="1050"/>
      <c r="F133" s="1049"/>
      <c r="G133" s="1049"/>
      <c r="H133" s="1049"/>
      <c r="I133" s="1049"/>
      <c r="J133" s="1050"/>
      <c r="K133" s="1050"/>
      <c r="L133" s="1043"/>
      <c r="M133" s="1051"/>
      <c r="N133" s="1051"/>
      <c r="O133" s="1052"/>
      <c r="P133" s="1051"/>
      <c r="Q133" s="1051"/>
      <c r="R133" s="1052"/>
      <c r="S133" s="1051"/>
      <c r="T133" s="1051"/>
      <c r="U133" s="1052"/>
      <c r="V133" s="1051"/>
      <c r="W133" s="1051"/>
      <c r="X133" s="1052"/>
      <c r="Y133" s="1053"/>
      <c r="Z133" s="1051"/>
      <c r="AA133" s="1051"/>
      <c r="AB133" s="1052"/>
      <c r="AC133" s="1051"/>
      <c r="AD133" s="1051"/>
      <c r="AE133" s="1052"/>
      <c r="AF133" s="1051"/>
      <c r="AG133" s="1051"/>
      <c r="AH133" s="1051"/>
      <c r="AI133" s="1051"/>
      <c r="AJ133" s="1052"/>
      <c r="AK133" s="1051"/>
      <c r="AL133" s="1051"/>
      <c r="AM133" s="1052"/>
      <c r="AN133" s="1051"/>
      <c r="AO133" s="1051"/>
      <c r="AP133" s="1052"/>
      <c r="AQ133" s="1051"/>
      <c r="AR133" s="1051"/>
      <c r="AS133" s="1052"/>
      <c r="AT133" s="1051"/>
      <c r="AU133" s="1051"/>
      <c r="AV133" s="1052"/>
      <c r="AW133" s="1051"/>
      <c r="AX133" s="1051"/>
      <c r="AY133" s="1053"/>
      <c r="AZ133" s="1051"/>
      <c r="BA133" s="1051"/>
      <c r="BB133" s="1053"/>
      <c r="BC133" s="1051"/>
      <c r="BD133" s="1051"/>
      <c r="BE133" s="1053"/>
      <c r="BF133" s="1051"/>
      <c r="BG133" s="1051"/>
      <c r="BH133" s="1053"/>
      <c r="BI133" s="1052"/>
      <c r="BJ133" s="1052"/>
      <c r="BK133" s="1052"/>
      <c r="BL133" s="1052"/>
      <c r="BM133" s="1052"/>
      <c r="BN133" s="1054"/>
      <c r="BO133" s="1076">
        <f t="shared" si="2"/>
        <v>0</v>
      </c>
      <c r="BP133" s="1051"/>
      <c r="BQ133" s="1052"/>
      <c r="BR133" s="1054"/>
      <c r="BS133" s="1053"/>
      <c r="BT133" s="1051"/>
      <c r="BU133" s="1051"/>
      <c r="BV133" s="1051"/>
      <c r="BW133" s="1052"/>
      <c r="BX133" s="1052"/>
      <c r="BY133" s="1052"/>
      <c r="BZ133" s="1052"/>
      <c r="CA133" s="1052"/>
      <c r="CB133" s="1053"/>
      <c r="CC133" s="1053"/>
      <c r="CD133" s="1053"/>
      <c r="CE133" s="1053"/>
      <c r="CF133" s="1053"/>
      <c r="CG133" s="1053"/>
      <c r="CH133" s="1053"/>
      <c r="CI133" s="1123"/>
      <c r="CJ133" s="1123"/>
      <c r="CK133" s="1123"/>
      <c r="CL133" s="1123"/>
      <c r="CM133" s="1123"/>
      <c r="CN133" s="1123"/>
      <c r="CO133" s="1123"/>
      <c r="CP133" s="1123"/>
      <c r="CQ133" s="1123"/>
      <c r="CR133" s="1123"/>
      <c r="CS133" s="1123"/>
      <c r="CT133" s="1123"/>
      <c r="CU133" s="1123"/>
      <c r="CV133" s="1123"/>
      <c r="CW133" s="1123"/>
      <c r="CX133" s="1123"/>
      <c r="CY133" s="1123"/>
      <c r="CZ133" s="1114"/>
      <c r="DA133" s="1114"/>
      <c r="DB133" s="1114"/>
      <c r="DC133" s="1114"/>
      <c r="DD133" s="1114"/>
      <c r="DE133" s="1114"/>
      <c r="DF133" s="1114"/>
      <c r="DG133" s="1114"/>
      <c r="DH133" s="1114"/>
      <c r="DI133" s="1114"/>
      <c r="DJ133" s="1114"/>
      <c r="DK133" s="1114"/>
      <c r="DL133" s="1114"/>
      <c r="DM133" s="1114"/>
      <c r="DN133" s="1114"/>
      <c r="DO133" s="1114"/>
      <c r="DP133" s="1114"/>
      <c r="DQ133" s="1114"/>
      <c r="DR133" s="1114"/>
      <c r="DS133" s="1114"/>
      <c r="DT133" s="1114"/>
      <c r="DU133" s="1114"/>
      <c r="DV133" s="1115"/>
      <c r="DW133" s="1116"/>
      <c r="DX133" s="1116"/>
      <c r="DY133" s="1116"/>
      <c r="DZ133" s="1116"/>
      <c r="EA133" s="1116"/>
      <c r="EB133" s="1116"/>
      <c r="EC133" s="1116"/>
      <c r="ED133" s="1116"/>
      <c r="EE133" s="1116"/>
      <c r="EF133" s="1116"/>
      <c r="EG133" s="1116"/>
      <c r="EH133" s="1116"/>
      <c r="EI133" s="1116"/>
      <c r="EJ133" s="1116"/>
      <c r="EK133" s="1116"/>
      <c r="EL133" s="1116"/>
      <c r="EM133" s="1116"/>
      <c r="EN133" s="1116"/>
      <c r="EO133" s="1116"/>
      <c r="EP133" s="1116"/>
      <c r="EQ133" s="1116"/>
      <c r="ER133" s="1116"/>
      <c r="ES133" s="1116"/>
    </row>
    <row r="134" spans="1:149" ht="15" customHeight="1">
      <c r="A134" s="1185">
        <v>124</v>
      </c>
      <c r="B134" s="1041"/>
      <c r="C134" s="1050"/>
      <c r="D134" s="1050"/>
      <c r="E134" s="1050"/>
      <c r="F134" s="1049"/>
      <c r="G134" s="1049"/>
      <c r="H134" s="1049"/>
      <c r="I134" s="1049"/>
      <c r="J134" s="1050"/>
      <c r="K134" s="1050"/>
      <c r="L134" s="1043"/>
      <c r="M134" s="1051"/>
      <c r="N134" s="1051"/>
      <c r="O134" s="1052"/>
      <c r="P134" s="1051"/>
      <c r="Q134" s="1051"/>
      <c r="R134" s="1052"/>
      <c r="S134" s="1051"/>
      <c r="T134" s="1051"/>
      <c r="U134" s="1052"/>
      <c r="V134" s="1051"/>
      <c r="W134" s="1051"/>
      <c r="X134" s="1052"/>
      <c r="Y134" s="1053"/>
      <c r="Z134" s="1051"/>
      <c r="AA134" s="1051"/>
      <c r="AB134" s="1052"/>
      <c r="AC134" s="1051"/>
      <c r="AD134" s="1051"/>
      <c r="AE134" s="1052"/>
      <c r="AF134" s="1051"/>
      <c r="AG134" s="1051"/>
      <c r="AH134" s="1051"/>
      <c r="AI134" s="1051"/>
      <c r="AJ134" s="1052"/>
      <c r="AK134" s="1051"/>
      <c r="AL134" s="1051"/>
      <c r="AM134" s="1052"/>
      <c r="AN134" s="1051"/>
      <c r="AO134" s="1051"/>
      <c r="AP134" s="1052"/>
      <c r="AQ134" s="1051"/>
      <c r="AR134" s="1051"/>
      <c r="AS134" s="1052"/>
      <c r="AT134" s="1051"/>
      <c r="AU134" s="1051"/>
      <c r="AV134" s="1052"/>
      <c r="AW134" s="1051"/>
      <c r="AX134" s="1051"/>
      <c r="AY134" s="1053"/>
      <c r="AZ134" s="1051"/>
      <c r="BA134" s="1051"/>
      <c r="BB134" s="1053"/>
      <c r="BC134" s="1051"/>
      <c r="BD134" s="1051"/>
      <c r="BE134" s="1053"/>
      <c r="BF134" s="1051"/>
      <c r="BG134" s="1051"/>
      <c r="BH134" s="1053"/>
      <c r="BI134" s="1052"/>
      <c r="BJ134" s="1052"/>
      <c r="BK134" s="1052"/>
      <c r="BL134" s="1052"/>
      <c r="BM134" s="1052"/>
      <c r="BN134" s="1054"/>
      <c r="BO134" s="1076">
        <f t="shared" si="2"/>
        <v>0</v>
      </c>
      <c r="BP134" s="1051"/>
      <c r="BQ134" s="1052"/>
      <c r="BR134" s="1054"/>
      <c r="BS134" s="1053"/>
      <c r="BT134" s="1051"/>
      <c r="BU134" s="1051"/>
      <c r="BV134" s="1051"/>
      <c r="BW134" s="1052"/>
      <c r="BX134" s="1052"/>
      <c r="BY134" s="1052"/>
      <c r="BZ134" s="1052"/>
      <c r="CA134" s="1052"/>
      <c r="CB134" s="1053"/>
      <c r="CC134" s="1053"/>
      <c r="CD134" s="1053"/>
      <c r="CE134" s="1053"/>
      <c r="CF134" s="1053"/>
      <c r="CG134" s="1053"/>
      <c r="CH134" s="1053"/>
      <c r="CI134" s="1123"/>
      <c r="CJ134" s="1123"/>
      <c r="CK134" s="1123"/>
      <c r="CL134" s="1123"/>
      <c r="CM134" s="1123"/>
      <c r="CN134" s="1123"/>
      <c r="CO134" s="1123"/>
      <c r="CP134" s="1123"/>
      <c r="CQ134" s="1123"/>
      <c r="CR134" s="1123"/>
      <c r="CS134" s="1123"/>
      <c r="CT134" s="1123"/>
      <c r="CU134" s="1123"/>
      <c r="CV134" s="1123"/>
      <c r="CW134" s="1123"/>
      <c r="CX134" s="1123"/>
      <c r="CY134" s="1123"/>
      <c r="CZ134" s="1114"/>
      <c r="DA134" s="1114"/>
      <c r="DB134" s="1114"/>
      <c r="DC134" s="1114"/>
      <c r="DD134" s="1114"/>
      <c r="DE134" s="1114"/>
      <c r="DF134" s="1114"/>
      <c r="DG134" s="1114"/>
      <c r="DH134" s="1114"/>
      <c r="DI134" s="1114"/>
      <c r="DJ134" s="1114"/>
      <c r="DK134" s="1114"/>
      <c r="DL134" s="1114"/>
      <c r="DM134" s="1114"/>
      <c r="DN134" s="1114"/>
      <c r="DO134" s="1114"/>
      <c r="DP134" s="1114"/>
      <c r="DQ134" s="1114"/>
      <c r="DR134" s="1114"/>
      <c r="DS134" s="1114"/>
      <c r="DT134" s="1114"/>
      <c r="DU134" s="1114"/>
      <c r="DV134" s="1115"/>
      <c r="DW134" s="1116"/>
      <c r="DX134" s="1116"/>
      <c r="DY134" s="1116"/>
      <c r="DZ134" s="1116"/>
      <c r="EA134" s="1116"/>
      <c r="EB134" s="1116"/>
      <c r="EC134" s="1116"/>
      <c r="ED134" s="1116"/>
      <c r="EE134" s="1116"/>
      <c r="EF134" s="1116"/>
      <c r="EG134" s="1116"/>
      <c r="EH134" s="1116"/>
      <c r="EI134" s="1116"/>
      <c r="EJ134" s="1116"/>
      <c r="EK134" s="1116"/>
      <c r="EL134" s="1116"/>
      <c r="EM134" s="1116"/>
      <c r="EN134" s="1116"/>
      <c r="EO134" s="1116"/>
      <c r="EP134" s="1116"/>
      <c r="EQ134" s="1116"/>
      <c r="ER134" s="1116"/>
      <c r="ES134" s="1116"/>
    </row>
    <row r="135" spans="1:149" ht="15" customHeight="1">
      <c r="A135" s="1185">
        <v>125</v>
      </c>
      <c r="B135" s="1041"/>
      <c r="C135" s="1050"/>
      <c r="D135" s="1050"/>
      <c r="E135" s="1050"/>
      <c r="F135" s="1049"/>
      <c r="G135" s="1049"/>
      <c r="H135" s="1049"/>
      <c r="I135" s="1049"/>
      <c r="J135" s="1050"/>
      <c r="K135" s="1050"/>
      <c r="L135" s="1043"/>
      <c r="M135" s="1051"/>
      <c r="N135" s="1051"/>
      <c r="O135" s="1052"/>
      <c r="P135" s="1051"/>
      <c r="Q135" s="1051"/>
      <c r="R135" s="1052"/>
      <c r="S135" s="1051"/>
      <c r="T135" s="1051"/>
      <c r="U135" s="1052"/>
      <c r="V135" s="1051"/>
      <c r="W135" s="1051"/>
      <c r="X135" s="1052"/>
      <c r="Y135" s="1053"/>
      <c r="Z135" s="1051"/>
      <c r="AA135" s="1051"/>
      <c r="AB135" s="1052"/>
      <c r="AC135" s="1051"/>
      <c r="AD135" s="1051"/>
      <c r="AE135" s="1052"/>
      <c r="AF135" s="1051"/>
      <c r="AG135" s="1051"/>
      <c r="AH135" s="1051"/>
      <c r="AI135" s="1051"/>
      <c r="AJ135" s="1052"/>
      <c r="AK135" s="1051"/>
      <c r="AL135" s="1051"/>
      <c r="AM135" s="1052"/>
      <c r="AN135" s="1051"/>
      <c r="AO135" s="1051"/>
      <c r="AP135" s="1052"/>
      <c r="AQ135" s="1051"/>
      <c r="AR135" s="1051"/>
      <c r="AS135" s="1052"/>
      <c r="AT135" s="1051"/>
      <c r="AU135" s="1051"/>
      <c r="AV135" s="1052"/>
      <c r="AW135" s="1051"/>
      <c r="AX135" s="1051"/>
      <c r="AY135" s="1053"/>
      <c r="AZ135" s="1051"/>
      <c r="BA135" s="1051"/>
      <c r="BB135" s="1053"/>
      <c r="BC135" s="1051"/>
      <c r="BD135" s="1051"/>
      <c r="BE135" s="1053"/>
      <c r="BF135" s="1051"/>
      <c r="BG135" s="1051"/>
      <c r="BH135" s="1053"/>
      <c r="BI135" s="1052"/>
      <c r="BJ135" s="1052"/>
      <c r="BK135" s="1052"/>
      <c r="BL135" s="1052"/>
      <c r="BM135" s="1052"/>
      <c r="BN135" s="1054"/>
      <c r="BO135" s="1076">
        <f t="shared" si="2"/>
        <v>0</v>
      </c>
      <c r="BP135" s="1051"/>
      <c r="BQ135" s="1052"/>
      <c r="BR135" s="1054"/>
      <c r="BS135" s="1053"/>
      <c r="BT135" s="1051"/>
      <c r="BU135" s="1051"/>
      <c r="BV135" s="1051"/>
      <c r="BW135" s="1052"/>
      <c r="BX135" s="1052"/>
      <c r="BY135" s="1052"/>
      <c r="BZ135" s="1052"/>
      <c r="CA135" s="1052"/>
      <c r="CB135" s="1053"/>
      <c r="CC135" s="1053"/>
      <c r="CD135" s="1053"/>
      <c r="CE135" s="1053"/>
      <c r="CF135" s="1053"/>
      <c r="CG135" s="1053"/>
      <c r="CH135" s="1053"/>
      <c r="CI135" s="1123"/>
      <c r="CJ135" s="1123"/>
      <c r="CK135" s="1123"/>
      <c r="CL135" s="1123"/>
      <c r="CM135" s="1123"/>
      <c r="CN135" s="1123"/>
      <c r="CO135" s="1123"/>
      <c r="CP135" s="1123"/>
      <c r="CQ135" s="1123"/>
      <c r="CR135" s="1123"/>
      <c r="CS135" s="1123"/>
      <c r="CT135" s="1123"/>
      <c r="CU135" s="1123"/>
      <c r="CV135" s="1123"/>
      <c r="CW135" s="1123"/>
      <c r="CX135" s="1123"/>
      <c r="CY135" s="1123"/>
      <c r="CZ135" s="1114"/>
      <c r="DA135" s="1114"/>
      <c r="DB135" s="1114"/>
      <c r="DC135" s="1114"/>
      <c r="DD135" s="1114"/>
      <c r="DE135" s="1114"/>
      <c r="DF135" s="1114"/>
      <c r="DG135" s="1114"/>
      <c r="DH135" s="1114"/>
      <c r="DI135" s="1114"/>
      <c r="DJ135" s="1114"/>
      <c r="DK135" s="1114"/>
      <c r="DL135" s="1114"/>
      <c r="DM135" s="1114"/>
      <c r="DN135" s="1114"/>
      <c r="DO135" s="1114"/>
      <c r="DP135" s="1114"/>
      <c r="DQ135" s="1114"/>
      <c r="DR135" s="1114"/>
      <c r="DS135" s="1114"/>
      <c r="DT135" s="1114"/>
      <c r="DU135" s="1114"/>
      <c r="DV135" s="1115"/>
      <c r="DW135" s="1116"/>
      <c r="DX135" s="1116"/>
      <c r="DY135" s="1116"/>
      <c r="DZ135" s="1116"/>
      <c r="EA135" s="1116"/>
      <c r="EB135" s="1116"/>
      <c r="EC135" s="1116"/>
      <c r="ED135" s="1116"/>
      <c r="EE135" s="1116"/>
      <c r="EF135" s="1116"/>
      <c r="EG135" s="1116"/>
      <c r="EH135" s="1116"/>
      <c r="EI135" s="1116"/>
      <c r="EJ135" s="1116"/>
      <c r="EK135" s="1116"/>
      <c r="EL135" s="1116"/>
      <c r="EM135" s="1116"/>
      <c r="EN135" s="1116"/>
      <c r="EO135" s="1116"/>
      <c r="EP135" s="1116"/>
      <c r="EQ135" s="1116"/>
      <c r="ER135" s="1116"/>
      <c r="ES135" s="1116"/>
    </row>
    <row r="136" spans="1:149" ht="15" customHeight="1">
      <c r="A136" s="1185">
        <v>126</v>
      </c>
      <c r="B136" s="1041"/>
      <c r="C136" s="1050"/>
      <c r="D136" s="1050"/>
      <c r="E136" s="1050"/>
      <c r="F136" s="1049"/>
      <c r="G136" s="1049"/>
      <c r="H136" s="1049"/>
      <c r="I136" s="1049"/>
      <c r="J136" s="1050"/>
      <c r="K136" s="1050"/>
      <c r="L136" s="1043"/>
      <c r="M136" s="1051"/>
      <c r="N136" s="1051"/>
      <c r="O136" s="1052"/>
      <c r="P136" s="1051"/>
      <c r="Q136" s="1051"/>
      <c r="R136" s="1052"/>
      <c r="S136" s="1051"/>
      <c r="T136" s="1051"/>
      <c r="U136" s="1052"/>
      <c r="V136" s="1051"/>
      <c r="W136" s="1051"/>
      <c r="X136" s="1052"/>
      <c r="Y136" s="1053"/>
      <c r="Z136" s="1051"/>
      <c r="AA136" s="1051"/>
      <c r="AB136" s="1052"/>
      <c r="AC136" s="1051"/>
      <c r="AD136" s="1051"/>
      <c r="AE136" s="1052"/>
      <c r="AF136" s="1051"/>
      <c r="AG136" s="1051"/>
      <c r="AH136" s="1051"/>
      <c r="AI136" s="1051"/>
      <c r="AJ136" s="1052"/>
      <c r="AK136" s="1051"/>
      <c r="AL136" s="1051"/>
      <c r="AM136" s="1052"/>
      <c r="AN136" s="1051"/>
      <c r="AO136" s="1051"/>
      <c r="AP136" s="1052"/>
      <c r="AQ136" s="1051"/>
      <c r="AR136" s="1051"/>
      <c r="AS136" s="1052"/>
      <c r="AT136" s="1051"/>
      <c r="AU136" s="1051"/>
      <c r="AV136" s="1052"/>
      <c r="AW136" s="1051"/>
      <c r="AX136" s="1051"/>
      <c r="AY136" s="1053"/>
      <c r="AZ136" s="1051"/>
      <c r="BA136" s="1051"/>
      <c r="BB136" s="1053"/>
      <c r="BC136" s="1051"/>
      <c r="BD136" s="1051"/>
      <c r="BE136" s="1053"/>
      <c r="BF136" s="1051"/>
      <c r="BG136" s="1051"/>
      <c r="BH136" s="1053"/>
      <c r="BI136" s="1052"/>
      <c r="BJ136" s="1052"/>
      <c r="BK136" s="1052"/>
      <c r="BL136" s="1052"/>
      <c r="BM136" s="1052"/>
      <c r="BN136" s="1054"/>
      <c r="BO136" s="1076">
        <f t="shared" si="2"/>
        <v>0</v>
      </c>
      <c r="BP136" s="1051"/>
      <c r="BQ136" s="1052"/>
      <c r="BR136" s="1054"/>
      <c r="BS136" s="1053"/>
      <c r="BT136" s="1051"/>
      <c r="BU136" s="1051"/>
      <c r="BV136" s="1051"/>
      <c r="BW136" s="1052"/>
      <c r="BX136" s="1052"/>
      <c r="BY136" s="1052"/>
      <c r="BZ136" s="1052"/>
      <c r="CA136" s="1052"/>
      <c r="CB136" s="1053"/>
      <c r="CC136" s="1053"/>
      <c r="CD136" s="1053"/>
      <c r="CE136" s="1053"/>
      <c r="CF136" s="1053"/>
      <c r="CG136" s="1053"/>
      <c r="CH136" s="1053"/>
      <c r="CI136" s="1123"/>
      <c r="CJ136" s="1123"/>
      <c r="CK136" s="1123"/>
      <c r="CL136" s="1123"/>
      <c r="CM136" s="1123"/>
      <c r="CN136" s="1123"/>
      <c r="CO136" s="1123"/>
      <c r="CP136" s="1123"/>
      <c r="CQ136" s="1123"/>
      <c r="CR136" s="1123"/>
      <c r="CS136" s="1123"/>
      <c r="CT136" s="1123"/>
      <c r="CU136" s="1123"/>
      <c r="CV136" s="1123"/>
      <c r="CW136" s="1123"/>
      <c r="CX136" s="1123"/>
      <c r="CY136" s="1123"/>
      <c r="CZ136" s="1114"/>
      <c r="DA136" s="1114"/>
      <c r="DB136" s="1114"/>
      <c r="DC136" s="1114"/>
      <c r="DD136" s="1114"/>
      <c r="DE136" s="1114"/>
      <c r="DF136" s="1114"/>
      <c r="DG136" s="1114"/>
      <c r="DH136" s="1114"/>
      <c r="DI136" s="1114"/>
      <c r="DJ136" s="1114"/>
      <c r="DK136" s="1114"/>
      <c r="DL136" s="1114"/>
      <c r="DM136" s="1114"/>
      <c r="DN136" s="1114"/>
      <c r="DO136" s="1114"/>
      <c r="DP136" s="1114"/>
      <c r="DQ136" s="1114"/>
      <c r="DR136" s="1114"/>
      <c r="DS136" s="1114"/>
      <c r="DT136" s="1114"/>
      <c r="DU136" s="1114"/>
      <c r="DV136" s="1115"/>
      <c r="DW136" s="1116"/>
      <c r="DX136" s="1116"/>
      <c r="DY136" s="1116"/>
      <c r="DZ136" s="1116"/>
      <c r="EA136" s="1116"/>
      <c r="EB136" s="1116"/>
      <c r="EC136" s="1116"/>
      <c r="ED136" s="1116"/>
      <c r="EE136" s="1116"/>
      <c r="EF136" s="1116"/>
      <c r="EG136" s="1116"/>
      <c r="EH136" s="1116"/>
      <c r="EI136" s="1116"/>
      <c r="EJ136" s="1116"/>
      <c r="EK136" s="1116"/>
      <c r="EL136" s="1116"/>
      <c r="EM136" s="1116"/>
      <c r="EN136" s="1116"/>
      <c r="EO136" s="1116"/>
      <c r="EP136" s="1116"/>
      <c r="EQ136" s="1116"/>
      <c r="ER136" s="1116"/>
      <c r="ES136" s="1116"/>
    </row>
    <row r="137" spans="1:149" ht="15" customHeight="1">
      <c r="A137" s="1185">
        <v>127</v>
      </c>
      <c r="B137" s="1041"/>
      <c r="C137" s="1050"/>
      <c r="D137" s="1050"/>
      <c r="E137" s="1050"/>
      <c r="F137" s="1049"/>
      <c r="G137" s="1049"/>
      <c r="H137" s="1049"/>
      <c r="I137" s="1049"/>
      <c r="J137" s="1050"/>
      <c r="K137" s="1050"/>
      <c r="L137" s="1043"/>
      <c r="M137" s="1051"/>
      <c r="N137" s="1051"/>
      <c r="O137" s="1052"/>
      <c r="P137" s="1051"/>
      <c r="Q137" s="1051"/>
      <c r="R137" s="1052"/>
      <c r="S137" s="1051"/>
      <c r="T137" s="1051"/>
      <c r="U137" s="1052"/>
      <c r="V137" s="1051"/>
      <c r="W137" s="1051"/>
      <c r="X137" s="1052"/>
      <c r="Y137" s="1053"/>
      <c r="Z137" s="1051"/>
      <c r="AA137" s="1051"/>
      <c r="AB137" s="1052"/>
      <c r="AC137" s="1051"/>
      <c r="AD137" s="1051"/>
      <c r="AE137" s="1052"/>
      <c r="AF137" s="1051"/>
      <c r="AG137" s="1051"/>
      <c r="AH137" s="1051"/>
      <c r="AI137" s="1051"/>
      <c r="AJ137" s="1052"/>
      <c r="AK137" s="1051"/>
      <c r="AL137" s="1051"/>
      <c r="AM137" s="1052"/>
      <c r="AN137" s="1051"/>
      <c r="AO137" s="1051"/>
      <c r="AP137" s="1052"/>
      <c r="AQ137" s="1051"/>
      <c r="AR137" s="1051"/>
      <c r="AS137" s="1052"/>
      <c r="AT137" s="1051"/>
      <c r="AU137" s="1051"/>
      <c r="AV137" s="1052"/>
      <c r="AW137" s="1051"/>
      <c r="AX137" s="1051"/>
      <c r="AY137" s="1053"/>
      <c r="AZ137" s="1051"/>
      <c r="BA137" s="1051"/>
      <c r="BB137" s="1053"/>
      <c r="BC137" s="1051"/>
      <c r="BD137" s="1051"/>
      <c r="BE137" s="1053"/>
      <c r="BF137" s="1051"/>
      <c r="BG137" s="1051"/>
      <c r="BH137" s="1053"/>
      <c r="BI137" s="1052"/>
      <c r="BJ137" s="1052"/>
      <c r="BK137" s="1052"/>
      <c r="BL137" s="1052"/>
      <c r="BM137" s="1052"/>
      <c r="BN137" s="1054"/>
      <c r="BO137" s="1076">
        <f t="shared" si="2"/>
        <v>0</v>
      </c>
      <c r="BP137" s="1051"/>
      <c r="BQ137" s="1052"/>
      <c r="BR137" s="1054"/>
      <c r="BS137" s="1053"/>
      <c r="BT137" s="1051"/>
      <c r="BU137" s="1051"/>
      <c r="BV137" s="1051"/>
      <c r="BW137" s="1052"/>
      <c r="BX137" s="1052"/>
      <c r="BY137" s="1052"/>
      <c r="BZ137" s="1052"/>
      <c r="CA137" s="1052"/>
      <c r="CB137" s="1053"/>
      <c r="CC137" s="1053"/>
      <c r="CD137" s="1053"/>
      <c r="CE137" s="1053"/>
      <c r="CF137" s="1053"/>
      <c r="CG137" s="1053"/>
      <c r="CH137" s="1053"/>
      <c r="CI137" s="1123"/>
      <c r="CJ137" s="1123"/>
      <c r="CK137" s="1123"/>
      <c r="CL137" s="1123"/>
      <c r="CM137" s="1123"/>
      <c r="CN137" s="1123"/>
      <c r="CO137" s="1123"/>
      <c r="CP137" s="1123"/>
      <c r="CQ137" s="1123"/>
      <c r="CR137" s="1123"/>
      <c r="CS137" s="1123"/>
      <c r="CT137" s="1123"/>
      <c r="CU137" s="1123"/>
      <c r="CV137" s="1123"/>
      <c r="CW137" s="1123"/>
      <c r="CX137" s="1123"/>
      <c r="CY137" s="1123"/>
      <c r="CZ137" s="1114"/>
      <c r="DA137" s="1114"/>
      <c r="DB137" s="1114"/>
      <c r="DC137" s="1114"/>
      <c r="DD137" s="1114"/>
      <c r="DE137" s="1114"/>
      <c r="DF137" s="1114"/>
      <c r="DG137" s="1114"/>
      <c r="DH137" s="1114"/>
      <c r="DI137" s="1114"/>
      <c r="DJ137" s="1114"/>
      <c r="DK137" s="1114"/>
      <c r="DL137" s="1114"/>
      <c r="DM137" s="1114"/>
      <c r="DN137" s="1114"/>
      <c r="DO137" s="1114"/>
      <c r="DP137" s="1114"/>
      <c r="DQ137" s="1114"/>
      <c r="DR137" s="1114"/>
      <c r="DS137" s="1114"/>
      <c r="DT137" s="1114"/>
      <c r="DU137" s="1114"/>
      <c r="DV137" s="1115"/>
      <c r="DW137" s="1116"/>
      <c r="DX137" s="1116"/>
      <c r="DY137" s="1116"/>
      <c r="DZ137" s="1116"/>
      <c r="EA137" s="1116"/>
      <c r="EB137" s="1116"/>
      <c r="EC137" s="1116"/>
      <c r="ED137" s="1116"/>
      <c r="EE137" s="1116"/>
      <c r="EF137" s="1116"/>
      <c r="EG137" s="1116"/>
      <c r="EH137" s="1116"/>
      <c r="EI137" s="1116"/>
      <c r="EJ137" s="1116"/>
      <c r="EK137" s="1116"/>
      <c r="EL137" s="1116"/>
      <c r="EM137" s="1116"/>
      <c r="EN137" s="1116"/>
      <c r="EO137" s="1116"/>
      <c r="EP137" s="1116"/>
      <c r="EQ137" s="1116"/>
      <c r="ER137" s="1116"/>
      <c r="ES137" s="1116"/>
    </row>
    <row r="138" spans="1:149" ht="15" customHeight="1">
      <c r="A138" s="1185">
        <v>128</v>
      </c>
      <c r="B138" s="1041"/>
      <c r="C138" s="1050"/>
      <c r="D138" s="1050"/>
      <c r="E138" s="1050"/>
      <c r="F138" s="1049"/>
      <c r="G138" s="1049"/>
      <c r="H138" s="1049"/>
      <c r="I138" s="1049"/>
      <c r="J138" s="1050"/>
      <c r="K138" s="1050"/>
      <c r="L138" s="1043"/>
      <c r="M138" s="1051"/>
      <c r="N138" s="1051"/>
      <c r="O138" s="1052"/>
      <c r="P138" s="1051"/>
      <c r="Q138" s="1051"/>
      <c r="R138" s="1052"/>
      <c r="S138" s="1051"/>
      <c r="T138" s="1051"/>
      <c r="U138" s="1052"/>
      <c r="V138" s="1051"/>
      <c r="W138" s="1051"/>
      <c r="X138" s="1052"/>
      <c r="Y138" s="1053"/>
      <c r="Z138" s="1051"/>
      <c r="AA138" s="1051"/>
      <c r="AB138" s="1052"/>
      <c r="AC138" s="1051"/>
      <c r="AD138" s="1051"/>
      <c r="AE138" s="1052"/>
      <c r="AF138" s="1051"/>
      <c r="AG138" s="1051"/>
      <c r="AH138" s="1051"/>
      <c r="AI138" s="1051"/>
      <c r="AJ138" s="1052"/>
      <c r="AK138" s="1051"/>
      <c r="AL138" s="1051"/>
      <c r="AM138" s="1052"/>
      <c r="AN138" s="1051"/>
      <c r="AO138" s="1051"/>
      <c r="AP138" s="1052"/>
      <c r="AQ138" s="1051"/>
      <c r="AR138" s="1051"/>
      <c r="AS138" s="1052"/>
      <c r="AT138" s="1051"/>
      <c r="AU138" s="1051"/>
      <c r="AV138" s="1052"/>
      <c r="AW138" s="1051"/>
      <c r="AX138" s="1051"/>
      <c r="AY138" s="1053"/>
      <c r="AZ138" s="1051"/>
      <c r="BA138" s="1051"/>
      <c r="BB138" s="1053"/>
      <c r="BC138" s="1051"/>
      <c r="BD138" s="1051"/>
      <c r="BE138" s="1053"/>
      <c r="BF138" s="1051"/>
      <c r="BG138" s="1051"/>
      <c r="BH138" s="1053"/>
      <c r="BI138" s="1052"/>
      <c r="BJ138" s="1052"/>
      <c r="BK138" s="1052"/>
      <c r="BL138" s="1052"/>
      <c r="BM138" s="1052"/>
      <c r="BN138" s="1054"/>
      <c r="BO138" s="1076">
        <f t="shared" si="2"/>
        <v>0</v>
      </c>
      <c r="BP138" s="1051"/>
      <c r="BQ138" s="1052"/>
      <c r="BR138" s="1054"/>
      <c r="BS138" s="1053"/>
      <c r="BT138" s="1051"/>
      <c r="BU138" s="1051"/>
      <c r="BV138" s="1051"/>
      <c r="BW138" s="1052"/>
      <c r="BX138" s="1052"/>
      <c r="BY138" s="1052"/>
      <c r="BZ138" s="1052"/>
      <c r="CA138" s="1052"/>
      <c r="CB138" s="1053"/>
      <c r="CC138" s="1053"/>
      <c r="CD138" s="1053"/>
      <c r="CE138" s="1053"/>
      <c r="CF138" s="1053"/>
      <c r="CG138" s="1053"/>
      <c r="CH138" s="1053"/>
      <c r="CI138" s="1123"/>
      <c r="CJ138" s="1123"/>
      <c r="CK138" s="1123"/>
      <c r="CL138" s="1123"/>
      <c r="CM138" s="1123"/>
      <c r="CN138" s="1123"/>
      <c r="CO138" s="1123"/>
      <c r="CP138" s="1123"/>
      <c r="CQ138" s="1123"/>
      <c r="CR138" s="1123"/>
      <c r="CS138" s="1123"/>
      <c r="CT138" s="1123"/>
      <c r="CU138" s="1123"/>
      <c r="CV138" s="1123"/>
      <c r="CW138" s="1123"/>
      <c r="CX138" s="1123"/>
      <c r="CY138" s="1123"/>
      <c r="CZ138" s="1114"/>
      <c r="DA138" s="1114"/>
      <c r="DB138" s="1114"/>
      <c r="DC138" s="1114"/>
      <c r="DD138" s="1114"/>
      <c r="DE138" s="1114"/>
      <c r="DF138" s="1114"/>
      <c r="DG138" s="1114"/>
      <c r="DH138" s="1114"/>
      <c r="DI138" s="1114"/>
      <c r="DJ138" s="1114"/>
      <c r="DK138" s="1114"/>
      <c r="DL138" s="1114"/>
      <c r="DM138" s="1114"/>
      <c r="DN138" s="1114"/>
      <c r="DO138" s="1114"/>
      <c r="DP138" s="1114"/>
      <c r="DQ138" s="1114"/>
      <c r="DR138" s="1114"/>
      <c r="DS138" s="1114"/>
      <c r="DT138" s="1114"/>
      <c r="DU138" s="1114"/>
      <c r="DV138" s="1115"/>
      <c r="DW138" s="1116"/>
      <c r="DX138" s="1116"/>
      <c r="DY138" s="1116"/>
      <c r="DZ138" s="1116"/>
      <c r="EA138" s="1116"/>
      <c r="EB138" s="1116"/>
      <c r="EC138" s="1116"/>
      <c r="ED138" s="1116"/>
      <c r="EE138" s="1116"/>
      <c r="EF138" s="1116"/>
      <c r="EG138" s="1116"/>
      <c r="EH138" s="1116"/>
      <c r="EI138" s="1116"/>
      <c r="EJ138" s="1116"/>
      <c r="EK138" s="1116"/>
      <c r="EL138" s="1116"/>
      <c r="EM138" s="1116"/>
      <c r="EN138" s="1116"/>
      <c r="EO138" s="1116"/>
      <c r="EP138" s="1116"/>
      <c r="EQ138" s="1116"/>
      <c r="ER138" s="1116"/>
      <c r="ES138" s="1116"/>
    </row>
    <row r="139" spans="1:149" ht="15" customHeight="1">
      <c r="A139" s="1185">
        <v>129</v>
      </c>
      <c r="B139" s="1041"/>
      <c r="C139" s="1050"/>
      <c r="D139" s="1050"/>
      <c r="E139" s="1050"/>
      <c r="F139" s="1049"/>
      <c r="G139" s="1049"/>
      <c r="H139" s="1049"/>
      <c r="I139" s="1049"/>
      <c r="J139" s="1050"/>
      <c r="K139" s="1050"/>
      <c r="L139" s="1043"/>
      <c r="M139" s="1051"/>
      <c r="N139" s="1051"/>
      <c r="O139" s="1052"/>
      <c r="P139" s="1051"/>
      <c r="Q139" s="1051"/>
      <c r="R139" s="1052"/>
      <c r="S139" s="1051"/>
      <c r="T139" s="1051"/>
      <c r="U139" s="1052"/>
      <c r="V139" s="1051"/>
      <c r="W139" s="1051"/>
      <c r="X139" s="1052"/>
      <c r="Y139" s="1053"/>
      <c r="Z139" s="1051"/>
      <c r="AA139" s="1051"/>
      <c r="AB139" s="1052"/>
      <c r="AC139" s="1051"/>
      <c r="AD139" s="1051"/>
      <c r="AE139" s="1052"/>
      <c r="AF139" s="1051"/>
      <c r="AG139" s="1051"/>
      <c r="AH139" s="1051"/>
      <c r="AI139" s="1051"/>
      <c r="AJ139" s="1052"/>
      <c r="AK139" s="1051"/>
      <c r="AL139" s="1051"/>
      <c r="AM139" s="1052"/>
      <c r="AN139" s="1051"/>
      <c r="AO139" s="1051"/>
      <c r="AP139" s="1052"/>
      <c r="AQ139" s="1051"/>
      <c r="AR139" s="1051"/>
      <c r="AS139" s="1052"/>
      <c r="AT139" s="1051"/>
      <c r="AU139" s="1051"/>
      <c r="AV139" s="1052"/>
      <c r="AW139" s="1051"/>
      <c r="AX139" s="1051"/>
      <c r="AY139" s="1053"/>
      <c r="AZ139" s="1051"/>
      <c r="BA139" s="1051"/>
      <c r="BB139" s="1053"/>
      <c r="BC139" s="1051"/>
      <c r="BD139" s="1051"/>
      <c r="BE139" s="1053"/>
      <c r="BF139" s="1051"/>
      <c r="BG139" s="1051"/>
      <c r="BH139" s="1053"/>
      <c r="BI139" s="1052"/>
      <c r="BJ139" s="1052"/>
      <c r="BK139" s="1052"/>
      <c r="BL139" s="1052"/>
      <c r="BM139" s="1052"/>
      <c r="BN139" s="1054"/>
      <c r="BO139" s="1076">
        <f t="shared" si="2"/>
        <v>0</v>
      </c>
      <c r="BP139" s="1051"/>
      <c r="BQ139" s="1052"/>
      <c r="BR139" s="1054"/>
      <c r="BS139" s="1053"/>
      <c r="BT139" s="1051"/>
      <c r="BU139" s="1051"/>
      <c r="BV139" s="1051"/>
      <c r="BW139" s="1052"/>
      <c r="BX139" s="1052"/>
      <c r="BY139" s="1052"/>
      <c r="BZ139" s="1052"/>
      <c r="CA139" s="1052"/>
      <c r="CB139" s="1053"/>
      <c r="CC139" s="1053"/>
      <c r="CD139" s="1053"/>
      <c r="CE139" s="1053"/>
      <c r="CF139" s="1053"/>
      <c r="CG139" s="1053"/>
      <c r="CH139" s="1053"/>
      <c r="CI139" s="1123"/>
      <c r="CJ139" s="1123"/>
      <c r="CK139" s="1123"/>
      <c r="CL139" s="1123"/>
      <c r="CM139" s="1123"/>
      <c r="CN139" s="1123"/>
      <c r="CO139" s="1123"/>
      <c r="CP139" s="1123"/>
      <c r="CQ139" s="1123"/>
      <c r="CR139" s="1123"/>
      <c r="CS139" s="1123"/>
      <c r="CT139" s="1123"/>
      <c r="CU139" s="1123"/>
      <c r="CV139" s="1123"/>
      <c r="CW139" s="1123"/>
      <c r="CX139" s="1123"/>
      <c r="CY139" s="1123"/>
      <c r="CZ139" s="1114"/>
      <c r="DA139" s="1114"/>
      <c r="DB139" s="1114"/>
      <c r="DC139" s="1114"/>
      <c r="DD139" s="1114"/>
      <c r="DE139" s="1114"/>
      <c r="DF139" s="1114"/>
      <c r="DG139" s="1114"/>
      <c r="DH139" s="1114"/>
      <c r="DI139" s="1114"/>
      <c r="DJ139" s="1114"/>
      <c r="DK139" s="1114"/>
      <c r="DL139" s="1114"/>
      <c r="DM139" s="1114"/>
      <c r="DN139" s="1114"/>
      <c r="DO139" s="1114"/>
      <c r="DP139" s="1114"/>
      <c r="DQ139" s="1114"/>
      <c r="DR139" s="1114"/>
      <c r="DS139" s="1114"/>
      <c r="DT139" s="1114"/>
      <c r="DU139" s="1114"/>
      <c r="DV139" s="1115"/>
      <c r="DW139" s="1116"/>
      <c r="DX139" s="1116"/>
      <c r="DY139" s="1116"/>
      <c r="DZ139" s="1116"/>
      <c r="EA139" s="1116"/>
      <c r="EB139" s="1116"/>
      <c r="EC139" s="1116"/>
      <c r="ED139" s="1116"/>
      <c r="EE139" s="1116"/>
      <c r="EF139" s="1116"/>
      <c r="EG139" s="1116"/>
      <c r="EH139" s="1116"/>
      <c r="EI139" s="1116"/>
      <c r="EJ139" s="1116"/>
      <c r="EK139" s="1116"/>
      <c r="EL139" s="1116"/>
      <c r="EM139" s="1116"/>
      <c r="EN139" s="1116"/>
      <c r="EO139" s="1116"/>
      <c r="EP139" s="1116"/>
      <c r="EQ139" s="1116"/>
      <c r="ER139" s="1116"/>
      <c r="ES139" s="1116"/>
    </row>
    <row r="140" spans="1:149" ht="15" customHeight="1">
      <c r="A140" s="1185">
        <v>130</v>
      </c>
      <c r="B140" s="1041"/>
      <c r="C140" s="1050"/>
      <c r="D140" s="1050"/>
      <c r="E140" s="1050"/>
      <c r="F140" s="1049"/>
      <c r="G140" s="1049"/>
      <c r="H140" s="1049"/>
      <c r="I140" s="1049"/>
      <c r="J140" s="1050"/>
      <c r="K140" s="1050"/>
      <c r="L140" s="1043"/>
      <c r="M140" s="1051"/>
      <c r="N140" s="1051"/>
      <c r="O140" s="1052"/>
      <c r="P140" s="1051"/>
      <c r="Q140" s="1051"/>
      <c r="R140" s="1052"/>
      <c r="S140" s="1051"/>
      <c r="T140" s="1051"/>
      <c r="U140" s="1052"/>
      <c r="V140" s="1051"/>
      <c r="W140" s="1051"/>
      <c r="X140" s="1052"/>
      <c r="Y140" s="1053"/>
      <c r="Z140" s="1051"/>
      <c r="AA140" s="1051"/>
      <c r="AB140" s="1052"/>
      <c r="AC140" s="1051"/>
      <c r="AD140" s="1051"/>
      <c r="AE140" s="1052"/>
      <c r="AF140" s="1051"/>
      <c r="AG140" s="1051"/>
      <c r="AH140" s="1051"/>
      <c r="AI140" s="1051"/>
      <c r="AJ140" s="1052"/>
      <c r="AK140" s="1051"/>
      <c r="AL140" s="1051"/>
      <c r="AM140" s="1052"/>
      <c r="AN140" s="1051"/>
      <c r="AO140" s="1051"/>
      <c r="AP140" s="1052"/>
      <c r="AQ140" s="1051"/>
      <c r="AR140" s="1051"/>
      <c r="AS140" s="1052"/>
      <c r="AT140" s="1051"/>
      <c r="AU140" s="1051"/>
      <c r="AV140" s="1052"/>
      <c r="AW140" s="1051"/>
      <c r="AX140" s="1051"/>
      <c r="AY140" s="1053"/>
      <c r="AZ140" s="1051"/>
      <c r="BA140" s="1051"/>
      <c r="BB140" s="1053"/>
      <c r="BC140" s="1051"/>
      <c r="BD140" s="1051"/>
      <c r="BE140" s="1053"/>
      <c r="BF140" s="1051"/>
      <c r="BG140" s="1051"/>
      <c r="BH140" s="1053"/>
      <c r="BI140" s="1052"/>
      <c r="BJ140" s="1052"/>
      <c r="BK140" s="1052"/>
      <c r="BL140" s="1052"/>
      <c r="BM140" s="1052"/>
      <c r="BN140" s="1054"/>
      <c r="BO140" s="1076">
        <f t="shared" ref="BO140:BO203" si="3">H140</f>
        <v>0</v>
      </c>
      <c r="BP140" s="1051"/>
      <c r="BQ140" s="1052"/>
      <c r="BR140" s="1054"/>
      <c r="BS140" s="1053"/>
      <c r="BT140" s="1051"/>
      <c r="BU140" s="1051"/>
      <c r="BV140" s="1051"/>
      <c r="BW140" s="1052"/>
      <c r="BX140" s="1052"/>
      <c r="BY140" s="1052"/>
      <c r="BZ140" s="1052"/>
      <c r="CA140" s="1052"/>
      <c r="CB140" s="1053"/>
      <c r="CC140" s="1053"/>
      <c r="CD140" s="1053"/>
      <c r="CE140" s="1053"/>
      <c r="CF140" s="1053"/>
      <c r="CG140" s="1053"/>
      <c r="CH140" s="1053"/>
      <c r="CI140" s="1123"/>
      <c r="CJ140" s="1123"/>
      <c r="CK140" s="1123"/>
      <c r="CL140" s="1123"/>
      <c r="CM140" s="1123"/>
      <c r="CN140" s="1123"/>
      <c r="CO140" s="1123"/>
      <c r="CP140" s="1123"/>
      <c r="CQ140" s="1123"/>
      <c r="CR140" s="1123"/>
      <c r="CS140" s="1123"/>
      <c r="CT140" s="1123"/>
      <c r="CU140" s="1123"/>
      <c r="CV140" s="1123"/>
      <c r="CW140" s="1123"/>
      <c r="CX140" s="1123"/>
      <c r="CY140" s="1123"/>
      <c r="CZ140" s="1114"/>
      <c r="DA140" s="1114"/>
      <c r="DB140" s="1114"/>
      <c r="DC140" s="1114"/>
      <c r="DD140" s="1114"/>
      <c r="DE140" s="1114"/>
      <c r="DF140" s="1114"/>
      <c r="DG140" s="1114"/>
      <c r="DH140" s="1114"/>
      <c r="DI140" s="1114"/>
      <c r="DJ140" s="1114"/>
      <c r="DK140" s="1114"/>
      <c r="DL140" s="1114"/>
      <c r="DM140" s="1114"/>
      <c r="DN140" s="1114"/>
      <c r="DO140" s="1114"/>
      <c r="DP140" s="1114"/>
      <c r="DQ140" s="1114"/>
      <c r="DR140" s="1114"/>
      <c r="DS140" s="1114"/>
      <c r="DT140" s="1114"/>
      <c r="DU140" s="1114"/>
      <c r="DV140" s="1115"/>
      <c r="DW140" s="1116"/>
      <c r="DX140" s="1116"/>
      <c r="DY140" s="1116"/>
      <c r="DZ140" s="1116"/>
      <c r="EA140" s="1116"/>
      <c r="EB140" s="1116"/>
      <c r="EC140" s="1116"/>
      <c r="ED140" s="1116"/>
      <c r="EE140" s="1116"/>
      <c r="EF140" s="1116"/>
      <c r="EG140" s="1116"/>
      <c r="EH140" s="1116"/>
      <c r="EI140" s="1116"/>
      <c r="EJ140" s="1116"/>
      <c r="EK140" s="1116"/>
      <c r="EL140" s="1116"/>
      <c r="EM140" s="1116"/>
      <c r="EN140" s="1116"/>
      <c r="EO140" s="1116"/>
      <c r="EP140" s="1116"/>
      <c r="EQ140" s="1116"/>
      <c r="ER140" s="1116"/>
      <c r="ES140" s="1116"/>
    </row>
    <row r="141" spans="1:149" ht="15" customHeight="1">
      <c r="A141" s="1185">
        <v>131</v>
      </c>
      <c r="B141" s="1041"/>
      <c r="C141" s="1050"/>
      <c r="D141" s="1050"/>
      <c r="E141" s="1050"/>
      <c r="F141" s="1049"/>
      <c r="G141" s="1049"/>
      <c r="H141" s="1049"/>
      <c r="I141" s="1049"/>
      <c r="J141" s="1050"/>
      <c r="K141" s="1050"/>
      <c r="L141" s="1043"/>
      <c r="M141" s="1051"/>
      <c r="N141" s="1051"/>
      <c r="O141" s="1052"/>
      <c r="P141" s="1051"/>
      <c r="Q141" s="1051"/>
      <c r="R141" s="1052"/>
      <c r="S141" s="1051"/>
      <c r="T141" s="1051"/>
      <c r="U141" s="1052"/>
      <c r="V141" s="1051"/>
      <c r="W141" s="1051"/>
      <c r="X141" s="1052"/>
      <c r="Y141" s="1053"/>
      <c r="Z141" s="1051"/>
      <c r="AA141" s="1051"/>
      <c r="AB141" s="1052"/>
      <c r="AC141" s="1051"/>
      <c r="AD141" s="1051"/>
      <c r="AE141" s="1052"/>
      <c r="AF141" s="1051"/>
      <c r="AG141" s="1051"/>
      <c r="AH141" s="1051"/>
      <c r="AI141" s="1051"/>
      <c r="AJ141" s="1052"/>
      <c r="AK141" s="1051"/>
      <c r="AL141" s="1051"/>
      <c r="AM141" s="1052"/>
      <c r="AN141" s="1051"/>
      <c r="AO141" s="1051"/>
      <c r="AP141" s="1052"/>
      <c r="AQ141" s="1051"/>
      <c r="AR141" s="1051"/>
      <c r="AS141" s="1052"/>
      <c r="AT141" s="1051"/>
      <c r="AU141" s="1051"/>
      <c r="AV141" s="1052"/>
      <c r="AW141" s="1051"/>
      <c r="AX141" s="1051"/>
      <c r="AY141" s="1053"/>
      <c r="AZ141" s="1051"/>
      <c r="BA141" s="1051"/>
      <c r="BB141" s="1053"/>
      <c r="BC141" s="1051"/>
      <c r="BD141" s="1051"/>
      <c r="BE141" s="1053"/>
      <c r="BF141" s="1051"/>
      <c r="BG141" s="1051"/>
      <c r="BH141" s="1053"/>
      <c r="BI141" s="1052"/>
      <c r="BJ141" s="1052"/>
      <c r="BK141" s="1052"/>
      <c r="BL141" s="1052"/>
      <c r="BM141" s="1052"/>
      <c r="BN141" s="1054"/>
      <c r="BO141" s="1076">
        <f t="shared" si="3"/>
        <v>0</v>
      </c>
      <c r="BP141" s="1051"/>
      <c r="BQ141" s="1052"/>
      <c r="BR141" s="1054"/>
      <c r="BS141" s="1053"/>
      <c r="BT141" s="1051"/>
      <c r="BU141" s="1051"/>
      <c r="BV141" s="1051"/>
      <c r="BW141" s="1052"/>
      <c r="BX141" s="1052"/>
      <c r="BY141" s="1052"/>
      <c r="BZ141" s="1052"/>
      <c r="CA141" s="1052"/>
      <c r="CB141" s="1053"/>
      <c r="CC141" s="1053"/>
      <c r="CD141" s="1053"/>
      <c r="CE141" s="1053"/>
      <c r="CF141" s="1053"/>
      <c r="CG141" s="1053"/>
      <c r="CH141" s="1053"/>
      <c r="CI141" s="1123"/>
      <c r="CJ141" s="1123"/>
      <c r="CK141" s="1123"/>
      <c r="CL141" s="1123"/>
      <c r="CM141" s="1123"/>
      <c r="CN141" s="1123"/>
      <c r="CO141" s="1123"/>
      <c r="CP141" s="1123"/>
      <c r="CQ141" s="1123"/>
      <c r="CR141" s="1123"/>
      <c r="CS141" s="1123"/>
      <c r="CT141" s="1123"/>
      <c r="CU141" s="1123"/>
      <c r="CV141" s="1123"/>
      <c r="CW141" s="1123"/>
      <c r="CX141" s="1123"/>
      <c r="CY141" s="1123"/>
      <c r="CZ141" s="1114"/>
      <c r="DA141" s="1114"/>
      <c r="DB141" s="1114"/>
      <c r="DC141" s="1114"/>
      <c r="DD141" s="1114"/>
      <c r="DE141" s="1114"/>
      <c r="DF141" s="1114"/>
      <c r="DG141" s="1114"/>
      <c r="DH141" s="1114"/>
      <c r="DI141" s="1114"/>
      <c r="DJ141" s="1114"/>
      <c r="DK141" s="1114"/>
      <c r="DL141" s="1114"/>
      <c r="DM141" s="1114"/>
      <c r="DN141" s="1114"/>
      <c r="DO141" s="1114"/>
      <c r="DP141" s="1114"/>
      <c r="DQ141" s="1114"/>
      <c r="DR141" s="1114"/>
      <c r="DS141" s="1114"/>
      <c r="DT141" s="1114"/>
      <c r="DU141" s="1114"/>
      <c r="DV141" s="1115"/>
      <c r="DW141" s="1116"/>
      <c r="DX141" s="1116"/>
      <c r="DY141" s="1116"/>
      <c r="DZ141" s="1116"/>
      <c r="EA141" s="1116"/>
      <c r="EB141" s="1116"/>
      <c r="EC141" s="1116"/>
      <c r="ED141" s="1116"/>
      <c r="EE141" s="1116"/>
      <c r="EF141" s="1116"/>
      <c r="EG141" s="1116"/>
      <c r="EH141" s="1116"/>
      <c r="EI141" s="1116"/>
      <c r="EJ141" s="1116"/>
      <c r="EK141" s="1116"/>
      <c r="EL141" s="1116"/>
      <c r="EM141" s="1116"/>
      <c r="EN141" s="1116"/>
      <c r="EO141" s="1116"/>
      <c r="EP141" s="1116"/>
      <c r="EQ141" s="1116"/>
      <c r="ER141" s="1116"/>
      <c r="ES141" s="1116"/>
    </row>
    <row r="142" spans="1:149" ht="15" customHeight="1">
      <c r="A142" s="1185">
        <v>132</v>
      </c>
      <c r="B142" s="1041"/>
      <c r="C142" s="1050"/>
      <c r="D142" s="1050"/>
      <c r="E142" s="1050"/>
      <c r="F142" s="1049"/>
      <c r="G142" s="1049"/>
      <c r="H142" s="1049"/>
      <c r="I142" s="1049"/>
      <c r="J142" s="1050"/>
      <c r="K142" s="1050"/>
      <c r="L142" s="1043"/>
      <c r="M142" s="1051"/>
      <c r="N142" s="1051"/>
      <c r="O142" s="1052"/>
      <c r="P142" s="1051"/>
      <c r="Q142" s="1051"/>
      <c r="R142" s="1052"/>
      <c r="S142" s="1051"/>
      <c r="T142" s="1051"/>
      <c r="U142" s="1052"/>
      <c r="V142" s="1051"/>
      <c r="W142" s="1051"/>
      <c r="X142" s="1052"/>
      <c r="Y142" s="1053"/>
      <c r="Z142" s="1051"/>
      <c r="AA142" s="1051"/>
      <c r="AB142" s="1052"/>
      <c r="AC142" s="1051"/>
      <c r="AD142" s="1051"/>
      <c r="AE142" s="1052"/>
      <c r="AF142" s="1051"/>
      <c r="AG142" s="1051"/>
      <c r="AH142" s="1051"/>
      <c r="AI142" s="1051"/>
      <c r="AJ142" s="1052"/>
      <c r="AK142" s="1051"/>
      <c r="AL142" s="1051"/>
      <c r="AM142" s="1052"/>
      <c r="AN142" s="1051"/>
      <c r="AO142" s="1051"/>
      <c r="AP142" s="1052"/>
      <c r="AQ142" s="1051"/>
      <c r="AR142" s="1051"/>
      <c r="AS142" s="1052"/>
      <c r="AT142" s="1051"/>
      <c r="AU142" s="1051"/>
      <c r="AV142" s="1052"/>
      <c r="AW142" s="1051"/>
      <c r="AX142" s="1051"/>
      <c r="AY142" s="1053"/>
      <c r="AZ142" s="1051"/>
      <c r="BA142" s="1051"/>
      <c r="BB142" s="1053"/>
      <c r="BC142" s="1051"/>
      <c r="BD142" s="1051"/>
      <c r="BE142" s="1053"/>
      <c r="BF142" s="1051"/>
      <c r="BG142" s="1051"/>
      <c r="BH142" s="1053"/>
      <c r="BI142" s="1052"/>
      <c r="BJ142" s="1052"/>
      <c r="BK142" s="1052"/>
      <c r="BL142" s="1052"/>
      <c r="BM142" s="1052"/>
      <c r="BN142" s="1054"/>
      <c r="BO142" s="1076">
        <f t="shared" si="3"/>
        <v>0</v>
      </c>
      <c r="BP142" s="1051"/>
      <c r="BQ142" s="1052"/>
      <c r="BR142" s="1054"/>
      <c r="BS142" s="1053"/>
      <c r="BT142" s="1051"/>
      <c r="BU142" s="1051"/>
      <c r="BV142" s="1051"/>
      <c r="BW142" s="1052"/>
      <c r="BX142" s="1052"/>
      <c r="BY142" s="1052"/>
      <c r="BZ142" s="1052"/>
      <c r="CA142" s="1052"/>
      <c r="CB142" s="1053"/>
      <c r="CC142" s="1053"/>
      <c r="CD142" s="1053"/>
      <c r="CE142" s="1053"/>
      <c r="CF142" s="1053"/>
      <c r="CG142" s="1053"/>
      <c r="CH142" s="1053"/>
      <c r="CI142" s="1123"/>
      <c r="CJ142" s="1123"/>
      <c r="CK142" s="1123"/>
      <c r="CL142" s="1123"/>
      <c r="CM142" s="1123"/>
      <c r="CN142" s="1123"/>
      <c r="CO142" s="1123"/>
      <c r="CP142" s="1123"/>
      <c r="CQ142" s="1123"/>
      <c r="CR142" s="1123"/>
      <c r="CS142" s="1123"/>
      <c r="CT142" s="1123"/>
      <c r="CU142" s="1123"/>
      <c r="CV142" s="1123"/>
      <c r="CW142" s="1123"/>
      <c r="CX142" s="1123"/>
      <c r="CY142" s="1123"/>
      <c r="CZ142" s="1114"/>
      <c r="DA142" s="1114"/>
      <c r="DB142" s="1114"/>
      <c r="DC142" s="1114"/>
      <c r="DD142" s="1114"/>
      <c r="DE142" s="1114"/>
      <c r="DF142" s="1114"/>
      <c r="DG142" s="1114"/>
      <c r="DH142" s="1114"/>
      <c r="DI142" s="1114"/>
      <c r="DJ142" s="1114"/>
      <c r="DK142" s="1114"/>
      <c r="DL142" s="1114"/>
      <c r="DM142" s="1114"/>
      <c r="DN142" s="1114"/>
      <c r="DO142" s="1114"/>
      <c r="DP142" s="1114"/>
      <c r="DQ142" s="1114"/>
      <c r="DR142" s="1114"/>
      <c r="DS142" s="1114"/>
      <c r="DT142" s="1114"/>
      <c r="DU142" s="1114"/>
      <c r="DV142" s="1115"/>
      <c r="DW142" s="1116"/>
      <c r="DX142" s="1116"/>
      <c r="DY142" s="1116"/>
      <c r="DZ142" s="1116"/>
      <c r="EA142" s="1116"/>
      <c r="EB142" s="1116"/>
      <c r="EC142" s="1116"/>
      <c r="ED142" s="1116"/>
      <c r="EE142" s="1116"/>
      <c r="EF142" s="1116"/>
      <c r="EG142" s="1116"/>
      <c r="EH142" s="1116"/>
      <c r="EI142" s="1116"/>
      <c r="EJ142" s="1116"/>
      <c r="EK142" s="1116"/>
      <c r="EL142" s="1116"/>
      <c r="EM142" s="1116"/>
      <c r="EN142" s="1116"/>
      <c r="EO142" s="1116"/>
      <c r="EP142" s="1116"/>
      <c r="EQ142" s="1116"/>
      <c r="ER142" s="1116"/>
      <c r="ES142" s="1116"/>
    </row>
    <row r="143" spans="1:149" ht="15" customHeight="1">
      <c r="A143" s="1185">
        <v>133</v>
      </c>
      <c r="B143" s="1041"/>
      <c r="C143" s="1050"/>
      <c r="D143" s="1050"/>
      <c r="E143" s="1050"/>
      <c r="F143" s="1049"/>
      <c r="G143" s="1049"/>
      <c r="H143" s="1049"/>
      <c r="I143" s="1049"/>
      <c r="J143" s="1050"/>
      <c r="K143" s="1050"/>
      <c r="L143" s="1043"/>
      <c r="M143" s="1051"/>
      <c r="N143" s="1051"/>
      <c r="O143" s="1052"/>
      <c r="P143" s="1051"/>
      <c r="Q143" s="1051"/>
      <c r="R143" s="1052"/>
      <c r="S143" s="1051"/>
      <c r="T143" s="1051"/>
      <c r="U143" s="1052"/>
      <c r="V143" s="1051"/>
      <c r="W143" s="1051"/>
      <c r="X143" s="1052"/>
      <c r="Y143" s="1053"/>
      <c r="Z143" s="1051"/>
      <c r="AA143" s="1051"/>
      <c r="AB143" s="1052"/>
      <c r="AC143" s="1051"/>
      <c r="AD143" s="1051"/>
      <c r="AE143" s="1052"/>
      <c r="AF143" s="1051"/>
      <c r="AG143" s="1051"/>
      <c r="AH143" s="1051"/>
      <c r="AI143" s="1051"/>
      <c r="AJ143" s="1052"/>
      <c r="AK143" s="1051"/>
      <c r="AL143" s="1051"/>
      <c r="AM143" s="1052"/>
      <c r="AN143" s="1051"/>
      <c r="AO143" s="1051"/>
      <c r="AP143" s="1052"/>
      <c r="AQ143" s="1051"/>
      <c r="AR143" s="1051"/>
      <c r="AS143" s="1052"/>
      <c r="AT143" s="1051"/>
      <c r="AU143" s="1051"/>
      <c r="AV143" s="1052"/>
      <c r="AW143" s="1051"/>
      <c r="AX143" s="1051"/>
      <c r="AY143" s="1053"/>
      <c r="AZ143" s="1051"/>
      <c r="BA143" s="1051"/>
      <c r="BB143" s="1053"/>
      <c r="BC143" s="1051"/>
      <c r="BD143" s="1051"/>
      <c r="BE143" s="1053"/>
      <c r="BF143" s="1051"/>
      <c r="BG143" s="1051"/>
      <c r="BH143" s="1053"/>
      <c r="BI143" s="1052"/>
      <c r="BJ143" s="1052"/>
      <c r="BK143" s="1052"/>
      <c r="BL143" s="1052"/>
      <c r="BM143" s="1052"/>
      <c r="BN143" s="1054"/>
      <c r="BO143" s="1076">
        <f t="shared" si="3"/>
        <v>0</v>
      </c>
      <c r="BP143" s="1051"/>
      <c r="BQ143" s="1052"/>
      <c r="BR143" s="1054"/>
      <c r="BS143" s="1053"/>
      <c r="BT143" s="1051"/>
      <c r="BU143" s="1051"/>
      <c r="BV143" s="1051"/>
      <c r="BW143" s="1052"/>
      <c r="BX143" s="1052"/>
      <c r="BY143" s="1052"/>
      <c r="BZ143" s="1052"/>
      <c r="CA143" s="1052"/>
      <c r="CB143" s="1053"/>
      <c r="CC143" s="1053"/>
      <c r="CD143" s="1053"/>
      <c r="CE143" s="1053"/>
      <c r="CF143" s="1053"/>
      <c r="CG143" s="1053"/>
      <c r="CH143" s="1053"/>
      <c r="CI143" s="1123"/>
      <c r="CJ143" s="1123"/>
      <c r="CK143" s="1123"/>
      <c r="CL143" s="1123"/>
      <c r="CM143" s="1123"/>
      <c r="CN143" s="1123"/>
      <c r="CO143" s="1123"/>
      <c r="CP143" s="1123"/>
      <c r="CQ143" s="1123"/>
      <c r="CR143" s="1123"/>
      <c r="CS143" s="1123"/>
      <c r="CT143" s="1123"/>
      <c r="CU143" s="1123"/>
      <c r="CV143" s="1123"/>
      <c r="CW143" s="1123"/>
      <c r="CX143" s="1123"/>
      <c r="CY143" s="1123"/>
      <c r="CZ143" s="1114"/>
      <c r="DA143" s="1114"/>
      <c r="DB143" s="1114"/>
      <c r="DC143" s="1114"/>
      <c r="DD143" s="1114"/>
      <c r="DE143" s="1114"/>
      <c r="DF143" s="1114"/>
      <c r="DG143" s="1114"/>
      <c r="DH143" s="1114"/>
      <c r="DI143" s="1114"/>
      <c r="DJ143" s="1114"/>
      <c r="DK143" s="1114"/>
      <c r="DL143" s="1114"/>
      <c r="DM143" s="1114"/>
      <c r="DN143" s="1114"/>
      <c r="DO143" s="1114"/>
      <c r="DP143" s="1114"/>
      <c r="DQ143" s="1114"/>
      <c r="DR143" s="1114"/>
      <c r="DS143" s="1114"/>
      <c r="DT143" s="1114"/>
      <c r="DU143" s="1114"/>
      <c r="DV143" s="1115"/>
      <c r="DW143" s="1116"/>
      <c r="DX143" s="1116"/>
      <c r="DY143" s="1116"/>
      <c r="DZ143" s="1116"/>
      <c r="EA143" s="1116"/>
      <c r="EB143" s="1116"/>
      <c r="EC143" s="1116"/>
      <c r="ED143" s="1116"/>
      <c r="EE143" s="1116"/>
      <c r="EF143" s="1116"/>
      <c r="EG143" s="1116"/>
      <c r="EH143" s="1116"/>
      <c r="EI143" s="1116"/>
      <c r="EJ143" s="1116"/>
      <c r="EK143" s="1116"/>
      <c r="EL143" s="1116"/>
      <c r="EM143" s="1116"/>
      <c r="EN143" s="1116"/>
      <c r="EO143" s="1116"/>
      <c r="EP143" s="1116"/>
      <c r="EQ143" s="1116"/>
      <c r="ER143" s="1116"/>
      <c r="ES143" s="1116"/>
    </row>
    <row r="144" spans="1:149" ht="15" customHeight="1">
      <c r="A144" s="1185">
        <v>134</v>
      </c>
      <c r="B144" s="1041"/>
      <c r="C144" s="1050"/>
      <c r="D144" s="1050"/>
      <c r="E144" s="1050"/>
      <c r="F144" s="1049"/>
      <c r="G144" s="1049"/>
      <c r="H144" s="1049"/>
      <c r="I144" s="1049"/>
      <c r="J144" s="1050"/>
      <c r="K144" s="1050"/>
      <c r="L144" s="1043"/>
      <c r="M144" s="1051"/>
      <c r="N144" s="1051"/>
      <c r="O144" s="1052"/>
      <c r="P144" s="1051"/>
      <c r="Q144" s="1051"/>
      <c r="R144" s="1052"/>
      <c r="S144" s="1051"/>
      <c r="T144" s="1051"/>
      <c r="U144" s="1052"/>
      <c r="V144" s="1051"/>
      <c r="W144" s="1051"/>
      <c r="X144" s="1052"/>
      <c r="Y144" s="1053"/>
      <c r="Z144" s="1051"/>
      <c r="AA144" s="1051"/>
      <c r="AB144" s="1052"/>
      <c r="AC144" s="1051"/>
      <c r="AD144" s="1051"/>
      <c r="AE144" s="1052"/>
      <c r="AF144" s="1051"/>
      <c r="AG144" s="1051"/>
      <c r="AH144" s="1051"/>
      <c r="AI144" s="1051"/>
      <c r="AJ144" s="1052"/>
      <c r="AK144" s="1051"/>
      <c r="AL144" s="1051"/>
      <c r="AM144" s="1052"/>
      <c r="AN144" s="1051"/>
      <c r="AO144" s="1051"/>
      <c r="AP144" s="1052"/>
      <c r="AQ144" s="1051"/>
      <c r="AR144" s="1051"/>
      <c r="AS144" s="1052"/>
      <c r="AT144" s="1051"/>
      <c r="AU144" s="1051"/>
      <c r="AV144" s="1052"/>
      <c r="AW144" s="1051"/>
      <c r="AX144" s="1051"/>
      <c r="AY144" s="1053"/>
      <c r="AZ144" s="1051"/>
      <c r="BA144" s="1051"/>
      <c r="BB144" s="1053"/>
      <c r="BC144" s="1051"/>
      <c r="BD144" s="1051"/>
      <c r="BE144" s="1053"/>
      <c r="BF144" s="1051"/>
      <c r="BG144" s="1051"/>
      <c r="BH144" s="1053"/>
      <c r="BI144" s="1052"/>
      <c r="BJ144" s="1052"/>
      <c r="BK144" s="1052"/>
      <c r="BL144" s="1052"/>
      <c r="BM144" s="1052"/>
      <c r="BN144" s="1054"/>
      <c r="BO144" s="1076">
        <f t="shared" si="3"/>
        <v>0</v>
      </c>
      <c r="BP144" s="1051"/>
      <c r="BQ144" s="1052"/>
      <c r="BR144" s="1054"/>
      <c r="BS144" s="1053"/>
      <c r="BT144" s="1051"/>
      <c r="BU144" s="1051"/>
      <c r="BV144" s="1051"/>
      <c r="BW144" s="1052"/>
      <c r="BX144" s="1052"/>
      <c r="BY144" s="1052"/>
      <c r="BZ144" s="1052"/>
      <c r="CA144" s="1052"/>
      <c r="CB144" s="1053"/>
      <c r="CC144" s="1053"/>
      <c r="CD144" s="1053"/>
      <c r="CE144" s="1053"/>
      <c r="CF144" s="1053"/>
      <c r="CG144" s="1053"/>
      <c r="CH144" s="1053"/>
      <c r="CI144" s="1123"/>
      <c r="CJ144" s="1123"/>
      <c r="CK144" s="1123"/>
      <c r="CL144" s="1123"/>
      <c r="CM144" s="1123"/>
      <c r="CN144" s="1123"/>
      <c r="CO144" s="1123"/>
      <c r="CP144" s="1123"/>
      <c r="CQ144" s="1123"/>
      <c r="CR144" s="1123"/>
      <c r="CS144" s="1123"/>
      <c r="CT144" s="1123"/>
      <c r="CU144" s="1123"/>
      <c r="CV144" s="1123"/>
      <c r="CW144" s="1123"/>
      <c r="CX144" s="1123"/>
      <c r="CY144" s="1123"/>
      <c r="CZ144" s="1114"/>
      <c r="DA144" s="1114"/>
      <c r="DB144" s="1114"/>
      <c r="DC144" s="1114"/>
      <c r="DD144" s="1114"/>
      <c r="DE144" s="1114"/>
      <c r="DF144" s="1114"/>
      <c r="DG144" s="1114"/>
      <c r="DH144" s="1114"/>
      <c r="DI144" s="1114"/>
      <c r="DJ144" s="1114"/>
      <c r="DK144" s="1114"/>
      <c r="DL144" s="1114"/>
      <c r="DM144" s="1114"/>
      <c r="DN144" s="1114"/>
      <c r="DO144" s="1114"/>
      <c r="DP144" s="1114"/>
      <c r="DQ144" s="1114"/>
      <c r="DR144" s="1114"/>
      <c r="DS144" s="1114"/>
      <c r="DT144" s="1114"/>
      <c r="DU144" s="1114"/>
      <c r="DV144" s="1115"/>
      <c r="DW144" s="1116"/>
      <c r="DX144" s="1116"/>
      <c r="DY144" s="1116"/>
      <c r="DZ144" s="1116"/>
      <c r="EA144" s="1116"/>
      <c r="EB144" s="1116"/>
      <c r="EC144" s="1116"/>
      <c r="ED144" s="1116"/>
      <c r="EE144" s="1116"/>
      <c r="EF144" s="1116"/>
      <c r="EG144" s="1116"/>
      <c r="EH144" s="1116"/>
      <c r="EI144" s="1116"/>
      <c r="EJ144" s="1116"/>
      <c r="EK144" s="1116"/>
      <c r="EL144" s="1116"/>
      <c r="EM144" s="1116"/>
      <c r="EN144" s="1116"/>
      <c r="EO144" s="1116"/>
      <c r="EP144" s="1116"/>
      <c r="EQ144" s="1116"/>
      <c r="ER144" s="1116"/>
      <c r="ES144" s="1116"/>
    </row>
    <row r="145" spans="1:149" ht="15" customHeight="1">
      <c r="A145" s="1185">
        <v>135</v>
      </c>
      <c r="B145" s="1041"/>
      <c r="C145" s="1050"/>
      <c r="D145" s="1050"/>
      <c r="E145" s="1050"/>
      <c r="F145" s="1049"/>
      <c r="G145" s="1049"/>
      <c r="H145" s="1049"/>
      <c r="I145" s="1049"/>
      <c r="J145" s="1050"/>
      <c r="K145" s="1050"/>
      <c r="L145" s="1043"/>
      <c r="M145" s="1051"/>
      <c r="N145" s="1051"/>
      <c r="O145" s="1052"/>
      <c r="P145" s="1051"/>
      <c r="Q145" s="1051"/>
      <c r="R145" s="1052"/>
      <c r="S145" s="1051"/>
      <c r="T145" s="1051"/>
      <c r="U145" s="1052"/>
      <c r="V145" s="1051"/>
      <c r="W145" s="1051"/>
      <c r="X145" s="1052"/>
      <c r="Y145" s="1053"/>
      <c r="Z145" s="1051"/>
      <c r="AA145" s="1051"/>
      <c r="AB145" s="1052"/>
      <c r="AC145" s="1051"/>
      <c r="AD145" s="1051"/>
      <c r="AE145" s="1052"/>
      <c r="AF145" s="1051"/>
      <c r="AG145" s="1051"/>
      <c r="AH145" s="1051"/>
      <c r="AI145" s="1051"/>
      <c r="AJ145" s="1052"/>
      <c r="AK145" s="1051"/>
      <c r="AL145" s="1051"/>
      <c r="AM145" s="1052"/>
      <c r="AN145" s="1051"/>
      <c r="AO145" s="1051"/>
      <c r="AP145" s="1052"/>
      <c r="AQ145" s="1051"/>
      <c r="AR145" s="1051"/>
      <c r="AS145" s="1052"/>
      <c r="AT145" s="1051"/>
      <c r="AU145" s="1051"/>
      <c r="AV145" s="1052"/>
      <c r="AW145" s="1051"/>
      <c r="AX145" s="1051"/>
      <c r="AY145" s="1053"/>
      <c r="AZ145" s="1051"/>
      <c r="BA145" s="1051"/>
      <c r="BB145" s="1053"/>
      <c r="BC145" s="1051"/>
      <c r="BD145" s="1051"/>
      <c r="BE145" s="1053"/>
      <c r="BF145" s="1051"/>
      <c r="BG145" s="1051"/>
      <c r="BH145" s="1053"/>
      <c r="BI145" s="1052"/>
      <c r="BJ145" s="1052"/>
      <c r="BK145" s="1052"/>
      <c r="BL145" s="1052"/>
      <c r="BM145" s="1052"/>
      <c r="BN145" s="1054"/>
      <c r="BO145" s="1076">
        <f t="shared" si="3"/>
        <v>0</v>
      </c>
      <c r="BP145" s="1051"/>
      <c r="BQ145" s="1052"/>
      <c r="BR145" s="1054"/>
      <c r="BS145" s="1053"/>
      <c r="BT145" s="1051"/>
      <c r="BU145" s="1051"/>
      <c r="BV145" s="1051"/>
      <c r="BW145" s="1052"/>
      <c r="BX145" s="1052"/>
      <c r="BY145" s="1052"/>
      <c r="BZ145" s="1052"/>
      <c r="CA145" s="1052"/>
      <c r="CB145" s="1053"/>
      <c r="CC145" s="1053"/>
      <c r="CD145" s="1053"/>
      <c r="CE145" s="1053"/>
      <c r="CF145" s="1053"/>
      <c r="CG145" s="1053"/>
      <c r="CH145" s="1053"/>
      <c r="CI145" s="1123"/>
      <c r="CJ145" s="1123"/>
      <c r="CK145" s="1123"/>
      <c r="CL145" s="1123"/>
      <c r="CM145" s="1123"/>
      <c r="CN145" s="1123"/>
      <c r="CO145" s="1123"/>
      <c r="CP145" s="1123"/>
      <c r="CQ145" s="1123"/>
      <c r="CR145" s="1123"/>
      <c r="CS145" s="1123"/>
      <c r="CT145" s="1123"/>
      <c r="CU145" s="1123"/>
      <c r="CV145" s="1123"/>
      <c r="CW145" s="1123"/>
      <c r="CX145" s="1123"/>
      <c r="CY145" s="1123"/>
      <c r="CZ145" s="1114"/>
      <c r="DA145" s="1114"/>
      <c r="DB145" s="1114"/>
      <c r="DC145" s="1114"/>
      <c r="DD145" s="1114"/>
      <c r="DE145" s="1114"/>
      <c r="DF145" s="1114"/>
      <c r="DG145" s="1114"/>
      <c r="DH145" s="1114"/>
      <c r="DI145" s="1114"/>
      <c r="DJ145" s="1114"/>
      <c r="DK145" s="1114"/>
      <c r="DL145" s="1114"/>
      <c r="DM145" s="1114"/>
      <c r="DN145" s="1114"/>
      <c r="DO145" s="1114"/>
      <c r="DP145" s="1114"/>
      <c r="DQ145" s="1114"/>
      <c r="DR145" s="1114"/>
      <c r="DS145" s="1114"/>
      <c r="DT145" s="1114"/>
      <c r="DU145" s="1114"/>
      <c r="DV145" s="1115"/>
      <c r="DW145" s="1116"/>
      <c r="DX145" s="1116"/>
      <c r="DY145" s="1116"/>
      <c r="DZ145" s="1116"/>
      <c r="EA145" s="1116"/>
      <c r="EB145" s="1116"/>
      <c r="EC145" s="1116"/>
      <c r="ED145" s="1116"/>
      <c r="EE145" s="1116"/>
      <c r="EF145" s="1116"/>
      <c r="EG145" s="1116"/>
      <c r="EH145" s="1116"/>
      <c r="EI145" s="1116"/>
      <c r="EJ145" s="1116"/>
      <c r="EK145" s="1116"/>
      <c r="EL145" s="1116"/>
      <c r="EM145" s="1116"/>
      <c r="EN145" s="1116"/>
      <c r="EO145" s="1116"/>
      <c r="EP145" s="1116"/>
      <c r="EQ145" s="1116"/>
      <c r="ER145" s="1116"/>
      <c r="ES145" s="1116"/>
    </row>
    <row r="146" spans="1:149" ht="15" customHeight="1">
      <c r="A146" s="1185">
        <v>136</v>
      </c>
      <c r="B146" s="1041"/>
      <c r="C146" s="1050"/>
      <c r="D146" s="1050"/>
      <c r="E146" s="1050"/>
      <c r="F146" s="1049"/>
      <c r="G146" s="1049"/>
      <c r="H146" s="1049"/>
      <c r="I146" s="1049"/>
      <c r="J146" s="1050"/>
      <c r="K146" s="1050"/>
      <c r="L146" s="1043"/>
      <c r="M146" s="1051"/>
      <c r="N146" s="1051"/>
      <c r="O146" s="1052"/>
      <c r="P146" s="1051"/>
      <c r="Q146" s="1051"/>
      <c r="R146" s="1052"/>
      <c r="S146" s="1051"/>
      <c r="T146" s="1051"/>
      <c r="U146" s="1052"/>
      <c r="V146" s="1051"/>
      <c r="W146" s="1051"/>
      <c r="X146" s="1052"/>
      <c r="Y146" s="1053"/>
      <c r="Z146" s="1051"/>
      <c r="AA146" s="1051"/>
      <c r="AB146" s="1052"/>
      <c r="AC146" s="1051"/>
      <c r="AD146" s="1051"/>
      <c r="AE146" s="1052"/>
      <c r="AF146" s="1051"/>
      <c r="AG146" s="1051"/>
      <c r="AH146" s="1051"/>
      <c r="AI146" s="1051"/>
      <c r="AJ146" s="1052"/>
      <c r="AK146" s="1051"/>
      <c r="AL146" s="1051"/>
      <c r="AM146" s="1052"/>
      <c r="AN146" s="1051"/>
      <c r="AO146" s="1051"/>
      <c r="AP146" s="1052"/>
      <c r="AQ146" s="1051"/>
      <c r="AR146" s="1051"/>
      <c r="AS146" s="1052"/>
      <c r="AT146" s="1051"/>
      <c r="AU146" s="1051"/>
      <c r="AV146" s="1052"/>
      <c r="AW146" s="1051"/>
      <c r="AX146" s="1051"/>
      <c r="AY146" s="1053"/>
      <c r="AZ146" s="1051"/>
      <c r="BA146" s="1051"/>
      <c r="BB146" s="1053"/>
      <c r="BC146" s="1051"/>
      <c r="BD146" s="1051"/>
      <c r="BE146" s="1053"/>
      <c r="BF146" s="1051"/>
      <c r="BG146" s="1051"/>
      <c r="BH146" s="1053"/>
      <c r="BI146" s="1052"/>
      <c r="BJ146" s="1052"/>
      <c r="BK146" s="1052"/>
      <c r="BL146" s="1052"/>
      <c r="BM146" s="1052"/>
      <c r="BN146" s="1054"/>
      <c r="BO146" s="1076">
        <f t="shared" si="3"/>
        <v>0</v>
      </c>
      <c r="BP146" s="1051"/>
      <c r="BQ146" s="1052"/>
      <c r="BR146" s="1054"/>
      <c r="BS146" s="1053"/>
      <c r="BT146" s="1051"/>
      <c r="BU146" s="1051"/>
      <c r="BV146" s="1051"/>
      <c r="BW146" s="1052"/>
      <c r="BX146" s="1052"/>
      <c r="BY146" s="1052"/>
      <c r="BZ146" s="1052"/>
      <c r="CA146" s="1052"/>
      <c r="CB146" s="1053"/>
      <c r="CC146" s="1053"/>
      <c r="CD146" s="1053"/>
      <c r="CE146" s="1053"/>
      <c r="CF146" s="1053"/>
      <c r="CG146" s="1053"/>
      <c r="CH146" s="1053"/>
      <c r="CI146" s="1123"/>
      <c r="CJ146" s="1123"/>
      <c r="CK146" s="1123"/>
      <c r="CL146" s="1123"/>
      <c r="CM146" s="1123"/>
      <c r="CN146" s="1123"/>
      <c r="CO146" s="1123"/>
      <c r="CP146" s="1123"/>
      <c r="CQ146" s="1123"/>
      <c r="CR146" s="1123"/>
      <c r="CS146" s="1123"/>
      <c r="CT146" s="1123"/>
      <c r="CU146" s="1123"/>
      <c r="CV146" s="1123"/>
      <c r="CW146" s="1123"/>
      <c r="CX146" s="1123"/>
      <c r="CY146" s="1123"/>
      <c r="CZ146" s="1114"/>
      <c r="DA146" s="1114"/>
      <c r="DB146" s="1114"/>
      <c r="DC146" s="1114"/>
      <c r="DD146" s="1114"/>
      <c r="DE146" s="1114"/>
      <c r="DF146" s="1114"/>
      <c r="DG146" s="1114"/>
      <c r="DH146" s="1114"/>
      <c r="DI146" s="1114"/>
      <c r="DJ146" s="1114"/>
      <c r="DK146" s="1114"/>
      <c r="DL146" s="1114"/>
      <c r="DM146" s="1114"/>
      <c r="DN146" s="1114"/>
      <c r="DO146" s="1114"/>
      <c r="DP146" s="1114"/>
      <c r="DQ146" s="1114"/>
      <c r="DR146" s="1114"/>
      <c r="DS146" s="1114"/>
      <c r="DT146" s="1114"/>
      <c r="DU146" s="1114"/>
      <c r="DV146" s="1115"/>
      <c r="DW146" s="1116"/>
      <c r="DX146" s="1116"/>
      <c r="DY146" s="1116"/>
      <c r="DZ146" s="1116"/>
      <c r="EA146" s="1116"/>
      <c r="EB146" s="1116"/>
      <c r="EC146" s="1116"/>
      <c r="ED146" s="1116"/>
      <c r="EE146" s="1116"/>
      <c r="EF146" s="1116"/>
      <c r="EG146" s="1116"/>
      <c r="EH146" s="1116"/>
      <c r="EI146" s="1116"/>
      <c r="EJ146" s="1116"/>
      <c r="EK146" s="1116"/>
      <c r="EL146" s="1116"/>
      <c r="EM146" s="1116"/>
      <c r="EN146" s="1116"/>
      <c r="EO146" s="1116"/>
      <c r="EP146" s="1116"/>
      <c r="EQ146" s="1116"/>
      <c r="ER146" s="1116"/>
      <c r="ES146" s="1116"/>
    </row>
    <row r="147" spans="1:149" ht="15" customHeight="1">
      <c r="A147" s="1185">
        <v>137</v>
      </c>
      <c r="B147" s="1041"/>
      <c r="C147" s="1050"/>
      <c r="D147" s="1050"/>
      <c r="E147" s="1050"/>
      <c r="F147" s="1049"/>
      <c r="G147" s="1049"/>
      <c r="H147" s="1049"/>
      <c r="I147" s="1049"/>
      <c r="J147" s="1050"/>
      <c r="K147" s="1050"/>
      <c r="L147" s="1043"/>
      <c r="M147" s="1051"/>
      <c r="N147" s="1051"/>
      <c r="O147" s="1052"/>
      <c r="P147" s="1051"/>
      <c r="Q147" s="1051"/>
      <c r="R147" s="1052"/>
      <c r="S147" s="1051"/>
      <c r="T147" s="1051"/>
      <c r="U147" s="1052"/>
      <c r="V147" s="1051"/>
      <c r="W147" s="1051"/>
      <c r="X147" s="1052"/>
      <c r="Y147" s="1053"/>
      <c r="Z147" s="1051"/>
      <c r="AA147" s="1051"/>
      <c r="AB147" s="1052"/>
      <c r="AC147" s="1051"/>
      <c r="AD147" s="1051"/>
      <c r="AE147" s="1052"/>
      <c r="AF147" s="1051"/>
      <c r="AG147" s="1051"/>
      <c r="AH147" s="1051"/>
      <c r="AI147" s="1051"/>
      <c r="AJ147" s="1052"/>
      <c r="AK147" s="1051"/>
      <c r="AL147" s="1051"/>
      <c r="AM147" s="1052"/>
      <c r="AN147" s="1051"/>
      <c r="AO147" s="1051"/>
      <c r="AP147" s="1052"/>
      <c r="AQ147" s="1051"/>
      <c r="AR147" s="1051"/>
      <c r="AS147" s="1052"/>
      <c r="AT147" s="1051"/>
      <c r="AU147" s="1051"/>
      <c r="AV147" s="1052"/>
      <c r="AW147" s="1051"/>
      <c r="AX147" s="1051"/>
      <c r="AY147" s="1053"/>
      <c r="AZ147" s="1051"/>
      <c r="BA147" s="1051"/>
      <c r="BB147" s="1053"/>
      <c r="BC147" s="1051"/>
      <c r="BD147" s="1051"/>
      <c r="BE147" s="1053"/>
      <c r="BF147" s="1051"/>
      <c r="BG147" s="1051"/>
      <c r="BH147" s="1053"/>
      <c r="BI147" s="1052"/>
      <c r="BJ147" s="1052"/>
      <c r="BK147" s="1052"/>
      <c r="BL147" s="1052"/>
      <c r="BM147" s="1052"/>
      <c r="BN147" s="1054"/>
      <c r="BO147" s="1076">
        <f t="shared" si="3"/>
        <v>0</v>
      </c>
      <c r="BP147" s="1051"/>
      <c r="BQ147" s="1052"/>
      <c r="BR147" s="1054"/>
      <c r="BS147" s="1053"/>
      <c r="BT147" s="1051"/>
      <c r="BU147" s="1051"/>
      <c r="BV147" s="1051"/>
      <c r="BW147" s="1052"/>
      <c r="BX147" s="1052"/>
      <c r="BY147" s="1052"/>
      <c r="BZ147" s="1052"/>
      <c r="CA147" s="1052"/>
      <c r="CB147" s="1053"/>
      <c r="CC147" s="1053"/>
      <c r="CD147" s="1053"/>
      <c r="CE147" s="1053"/>
      <c r="CF147" s="1053"/>
      <c r="CG147" s="1053"/>
      <c r="CH147" s="1053"/>
      <c r="CI147" s="1123"/>
      <c r="CJ147" s="1123"/>
      <c r="CK147" s="1123"/>
      <c r="CL147" s="1123"/>
      <c r="CM147" s="1123"/>
      <c r="CN147" s="1123"/>
      <c r="CO147" s="1123"/>
      <c r="CP147" s="1123"/>
      <c r="CQ147" s="1123"/>
      <c r="CR147" s="1123"/>
      <c r="CS147" s="1123"/>
      <c r="CT147" s="1123"/>
      <c r="CU147" s="1123"/>
      <c r="CV147" s="1123"/>
      <c r="CW147" s="1123"/>
      <c r="CX147" s="1123"/>
      <c r="CY147" s="1123"/>
      <c r="CZ147" s="1114"/>
      <c r="DA147" s="1114"/>
      <c r="DB147" s="1114"/>
      <c r="DC147" s="1114"/>
      <c r="DD147" s="1114"/>
      <c r="DE147" s="1114"/>
      <c r="DF147" s="1114"/>
      <c r="DG147" s="1114"/>
      <c r="DH147" s="1114"/>
      <c r="DI147" s="1114"/>
      <c r="DJ147" s="1114"/>
      <c r="DK147" s="1114"/>
      <c r="DL147" s="1114"/>
      <c r="DM147" s="1114"/>
      <c r="DN147" s="1114"/>
      <c r="DO147" s="1114"/>
      <c r="DP147" s="1114"/>
      <c r="DQ147" s="1114"/>
      <c r="DR147" s="1114"/>
      <c r="DS147" s="1114"/>
      <c r="DT147" s="1114"/>
      <c r="DU147" s="1114"/>
      <c r="DV147" s="1115"/>
      <c r="DW147" s="1116"/>
      <c r="DX147" s="1116"/>
      <c r="DY147" s="1116"/>
      <c r="DZ147" s="1116"/>
      <c r="EA147" s="1116"/>
      <c r="EB147" s="1116"/>
      <c r="EC147" s="1116"/>
      <c r="ED147" s="1116"/>
      <c r="EE147" s="1116"/>
      <c r="EF147" s="1116"/>
      <c r="EG147" s="1116"/>
      <c r="EH147" s="1116"/>
      <c r="EI147" s="1116"/>
      <c r="EJ147" s="1116"/>
      <c r="EK147" s="1116"/>
      <c r="EL147" s="1116"/>
      <c r="EM147" s="1116"/>
      <c r="EN147" s="1116"/>
      <c r="EO147" s="1116"/>
      <c r="EP147" s="1116"/>
      <c r="EQ147" s="1116"/>
      <c r="ER147" s="1116"/>
      <c r="ES147" s="1116"/>
    </row>
    <row r="148" spans="1:149" ht="15" customHeight="1">
      <c r="A148" s="1185">
        <v>138</v>
      </c>
      <c r="B148" s="1041"/>
      <c r="C148" s="1050"/>
      <c r="D148" s="1050"/>
      <c r="E148" s="1050"/>
      <c r="F148" s="1049"/>
      <c r="G148" s="1049"/>
      <c r="H148" s="1049"/>
      <c r="I148" s="1049"/>
      <c r="J148" s="1050"/>
      <c r="K148" s="1050"/>
      <c r="L148" s="1043"/>
      <c r="M148" s="1051"/>
      <c r="N148" s="1051"/>
      <c r="O148" s="1052"/>
      <c r="P148" s="1051"/>
      <c r="Q148" s="1051"/>
      <c r="R148" s="1052"/>
      <c r="S148" s="1051"/>
      <c r="T148" s="1051"/>
      <c r="U148" s="1052"/>
      <c r="V148" s="1051"/>
      <c r="W148" s="1051"/>
      <c r="X148" s="1052"/>
      <c r="Y148" s="1053"/>
      <c r="Z148" s="1051"/>
      <c r="AA148" s="1051"/>
      <c r="AB148" s="1052"/>
      <c r="AC148" s="1051"/>
      <c r="AD148" s="1051"/>
      <c r="AE148" s="1052"/>
      <c r="AF148" s="1051"/>
      <c r="AG148" s="1051"/>
      <c r="AH148" s="1051"/>
      <c r="AI148" s="1051"/>
      <c r="AJ148" s="1052"/>
      <c r="AK148" s="1051"/>
      <c r="AL148" s="1051"/>
      <c r="AM148" s="1052"/>
      <c r="AN148" s="1051"/>
      <c r="AO148" s="1051"/>
      <c r="AP148" s="1052"/>
      <c r="AQ148" s="1051"/>
      <c r="AR148" s="1051"/>
      <c r="AS148" s="1052"/>
      <c r="AT148" s="1051"/>
      <c r="AU148" s="1051"/>
      <c r="AV148" s="1052"/>
      <c r="AW148" s="1051"/>
      <c r="AX148" s="1051"/>
      <c r="AY148" s="1053"/>
      <c r="AZ148" s="1051"/>
      <c r="BA148" s="1051"/>
      <c r="BB148" s="1053"/>
      <c r="BC148" s="1051"/>
      <c r="BD148" s="1051"/>
      <c r="BE148" s="1053"/>
      <c r="BF148" s="1051"/>
      <c r="BG148" s="1051"/>
      <c r="BH148" s="1053"/>
      <c r="BI148" s="1052"/>
      <c r="BJ148" s="1052"/>
      <c r="BK148" s="1052"/>
      <c r="BL148" s="1052"/>
      <c r="BM148" s="1052"/>
      <c r="BN148" s="1054"/>
      <c r="BO148" s="1076">
        <f t="shared" si="3"/>
        <v>0</v>
      </c>
      <c r="BP148" s="1051"/>
      <c r="BQ148" s="1052"/>
      <c r="BR148" s="1054"/>
      <c r="BS148" s="1053"/>
      <c r="BT148" s="1051"/>
      <c r="BU148" s="1051"/>
      <c r="BV148" s="1051"/>
      <c r="BW148" s="1052"/>
      <c r="BX148" s="1052"/>
      <c r="BY148" s="1052"/>
      <c r="BZ148" s="1052"/>
      <c r="CA148" s="1052"/>
      <c r="CB148" s="1053"/>
      <c r="CC148" s="1053"/>
      <c r="CD148" s="1053"/>
      <c r="CE148" s="1053"/>
      <c r="CF148" s="1053"/>
      <c r="CG148" s="1053"/>
      <c r="CH148" s="1053"/>
      <c r="CI148" s="1123"/>
      <c r="CJ148" s="1123"/>
      <c r="CK148" s="1123"/>
      <c r="CL148" s="1123"/>
      <c r="CM148" s="1123"/>
      <c r="CN148" s="1123"/>
      <c r="CO148" s="1123"/>
      <c r="CP148" s="1123"/>
      <c r="CQ148" s="1123"/>
      <c r="CR148" s="1123"/>
      <c r="CS148" s="1123"/>
      <c r="CT148" s="1123"/>
      <c r="CU148" s="1123"/>
      <c r="CV148" s="1123"/>
      <c r="CW148" s="1123"/>
      <c r="CX148" s="1123"/>
      <c r="CY148" s="1123"/>
      <c r="CZ148" s="1114"/>
      <c r="DA148" s="1114"/>
      <c r="DB148" s="1114"/>
      <c r="DC148" s="1114"/>
      <c r="DD148" s="1114"/>
      <c r="DE148" s="1114"/>
      <c r="DF148" s="1114"/>
      <c r="DG148" s="1114"/>
      <c r="DH148" s="1114"/>
      <c r="DI148" s="1114"/>
      <c r="DJ148" s="1114"/>
      <c r="DK148" s="1114"/>
      <c r="DL148" s="1114"/>
      <c r="DM148" s="1114"/>
      <c r="DN148" s="1114"/>
      <c r="DO148" s="1114"/>
      <c r="DP148" s="1114"/>
      <c r="DQ148" s="1114"/>
      <c r="DR148" s="1114"/>
      <c r="DS148" s="1114"/>
      <c r="DT148" s="1114"/>
      <c r="DU148" s="1114"/>
      <c r="DV148" s="1115"/>
      <c r="DW148" s="1116"/>
      <c r="DX148" s="1116"/>
      <c r="DY148" s="1116"/>
      <c r="DZ148" s="1116"/>
      <c r="EA148" s="1116"/>
      <c r="EB148" s="1116"/>
      <c r="EC148" s="1116"/>
      <c r="ED148" s="1116"/>
      <c r="EE148" s="1116"/>
      <c r="EF148" s="1116"/>
      <c r="EG148" s="1116"/>
      <c r="EH148" s="1116"/>
      <c r="EI148" s="1116"/>
      <c r="EJ148" s="1116"/>
      <c r="EK148" s="1116"/>
      <c r="EL148" s="1116"/>
      <c r="EM148" s="1116"/>
      <c r="EN148" s="1116"/>
      <c r="EO148" s="1116"/>
      <c r="EP148" s="1116"/>
      <c r="EQ148" s="1116"/>
      <c r="ER148" s="1116"/>
      <c r="ES148" s="1116"/>
    </row>
    <row r="149" spans="1:149" ht="15" customHeight="1">
      <c r="A149" s="1185">
        <v>139</v>
      </c>
      <c r="B149" s="1041"/>
      <c r="C149" s="1050"/>
      <c r="D149" s="1050"/>
      <c r="E149" s="1050"/>
      <c r="F149" s="1049"/>
      <c r="G149" s="1049"/>
      <c r="H149" s="1049"/>
      <c r="I149" s="1049"/>
      <c r="J149" s="1050"/>
      <c r="K149" s="1050"/>
      <c r="L149" s="1043"/>
      <c r="M149" s="1051"/>
      <c r="N149" s="1051"/>
      <c r="O149" s="1052"/>
      <c r="P149" s="1051"/>
      <c r="Q149" s="1051"/>
      <c r="R149" s="1052"/>
      <c r="S149" s="1051"/>
      <c r="T149" s="1051"/>
      <c r="U149" s="1052"/>
      <c r="V149" s="1051"/>
      <c r="W149" s="1051"/>
      <c r="X149" s="1052"/>
      <c r="Y149" s="1053"/>
      <c r="Z149" s="1051"/>
      <c r="AA149" s="1051"/>
      <c r="AB149" s="1052"/>
      <c r="AC149" s="1051"/>
      <c r="AD149" s="1051"/>
      <c r="AE149" s="1052"/>
      <c r="AF149" s="1051"/>
      <c r="AG149" s="1051"/>
      <c r="AH149" s="1051"/>
      <c r="AI149" s="1051"/>
      <c r="AJ149" s="1052"/>
      <c r="AK149" s="1051"/>
      <c r="AL149" s="1051"/>
      <c r="AM149" s="1052"/>
      <c r="AN149" s="1051"/>
      <c r="AO149" s="1051"/>
      <c r="AP149" s="1052"/>
      <c r="AQ149" s="1051"/>
      <c r="AR149" s="1051"/>
      <c r="AS149" s="1052"/>
      <c r="AT149" s="1051"/>
      <c r="AU149" s="1051"/>
      <c r="AV149" s="1052"/>
      <c r="AW149" s="1051"/>
      <c r="AX149" s="1051"/>
      <c r="AY149" s="1053"/>
      <c r="AZ149" s="1051"/>
      <c r="BA149" s="1051"/>
      <c r="BB149" s="1053"/>
      <c r="BC149" s="1051"/>
      <c r="BD149" s="1051"/>
      <c r="BE149" s="1053"/>
      <c r="BF149" s="1051"/>
      <c r="BG149" s="1051"/>
      <c r="BH149" s="1053"/>
      <c r="BI149" s="1052"/>
      <c r="BJ149" s="1052"/>
      <c r="BK149" s="1052"/>
      <c r="BL149" s="1052"/>
      <c r="BM149" s="1052"/>
      <c r="BN149" s="1054"/>
      <c r="BO149" s="1076">
        <f t="shared" si="3"/>
        <v>0</v>
      </c>
      <c r="BP149" s="1051"/>
      <c r="BQ149" s="1052"/>
      <c r="BR149" s="1054"/>
      <c r="BS149" s="1053"/>
      <c r="BT149" s="1051"/>
      <c r="BU149" s="1051"/>
      <c r="BV149" s="1051"/>
      <c r="BW149" s="1052"/>
      <c r="BX149" s="1052"/>
      <c r="BY149" s="1052"/>
      <c r="BZ149" s="1052"/>
      <c r="CA149" s="1052"/>
      <c r="CB149" s="1053"/>
      <c r="CC149" s="1053"/>
      <c r="CD149" s="1053"/>
      <c r="CE149" s="1053"/>
      <c r="CF149" s="1053"/>
      <c r="CG149" s="1053"/>
      <c r="CH149" s="1053"/>
      <c r="CI149" s="1123"/>
      <c r="CJ149" s="1123"/>
      <c r="CK149" s="1123"/>
      <c r="CL149" s="1123"/>
      <c r="CM149" s="1123"/>
      <c r="CN149" s="1123"/>
      <c r="CO149" s="1123"/>
      <c r="CP149" s="1123"/>
      <c r="CQ149" s="1123"/>
      <c r="CR149" s="1123"/>
      <c r="CS149" s="1123"/>
      <c r="CT149" s="1123"/>
      <c r="CU149" s="1123"/>
      <c r="CV149" s="1123"/>
      <c r="CW149" s="1123"/>
      <c r="CX149" s="1123"/>
      <c r="CY149" s="1123"/>
      <c r="CZ149" s="1114"/>
      <c r="DA149" s="1114"/>
      <c r="DB149" s="1114"/>
      <c r="DC149" s="1114"/>
      <c r="DD149" s="1114"/>
      <c r="DE149" s="1114"/>
      <c r="DF149" s="1114"/>
      <c r="DG149" s="1114"/>
      <c r="DH149" s="1114"/>
      <c r="DI149" s="1114"/>
      <c r="DJ149" s="1114"/>
      <c r="DK149" s="1114"/>
      <c r="DL149" s="1114"/>
      <c r="DM149" s="1114"/>
      <c r="DN149" s="1114"/>
      <c r="DO149" s="1114"/>
      <c r="DP149" s="1114"/>
      <c r="DQ149" s="1114"/>
      <c r="DR149" s="1114"/>
      <c r="DS149" s="1114"/>
      <c r="DT149" s="1114"/>
      <c r="DU149" s="1114"/>
      <c r="DV149" s="1115"/>
      <c r="DW149" s="1116"/>
      <c r="DX149" s="1116"/>
      <c r="DY149" s="1116"/>
      <c r="DZ149" s="1116"/>
      <c r="EA149" s="1116"/>
      <c r="EB149" s="1116"/>
      <c r="EC149" s="1116"/>
      <c r="ED149" s="1116"/>
      <c r="EE149" s="1116"/>
      <c r="EF149" s="1116"/>
      <c r="EG149" s="1116"/>
      <c r="EH149" s="1116"/>
      <c r="EI149" s="1116"/>
      <c r="EJ149" s="1116"/>
      <c r="EK149" s="1116"/>
      <c r="EL149" s="1116"/>
      <c r="EM149" s="1116"/>
      <c r="EN149" s="1116"/>
      <c r="EO149" s="1116"/>
      <c r="EP149" s="1116"/>
      <c r="EQ149" s="1116"/>
      <c r="ER149" s="1116"/>
      <c r="ES149" s="1116"/>
    </row>
    <row r="150" spans="1:149" ht="15" customHeight="1">
      <c r="A150" s="1185">
        <v>140</v>
      </c>
      <c r="B150" s="1041"/>
      <c r="C150" s="1050"/>
      <c r="D150" s="1050"/>
      <c r="E150" s="1050"/>
      <c r="F150" s="1049"/>
      <c r="G150" s="1049"/>
      <c r="H150" s="1049"/>
      <c r="I150" s="1049"/>
      <c r="J150" s="1050"/>
      <c r="K150" s="1050"/>
      <c r="L150" s="1043"/>
      <c r="M150" s="1051"/>
      <c r="N150" s="1051"/>
      <c r="O150" s="1052"/>
      <c r="P150" s="1051"/>
      <c r="Q150" s="1051"/>
      <c r="R150" s="1052"/>
      <c r="S150" s="1051"/>
      <c r="T150" s="1051"/>
      <c r="U150" s="1052"/>
      <c r="V150" s="1051"/>
      <c r="W150" s="1051"/>
      <c r="X150" s="1052"/>
      <c r="Y150" s="1053"/>
      <c r="Z150" s="1051"/>
      <c r="AA150" s="1051"/>
      <c r="AB150" s="1052"/>
      <c r="AC150" s="1051"/>
      <c r="AD150" s="1051"/>
      <c r="AE150" s="1052"/>
      <c r="AF150" s="1051"/>
      <c r="AG150" s="1051"/>
      <c r="AH150" s="1051"/>
      <c r="AI150" s="1051"/>
      <c r="AJ150" s="1052"/>
      <c r="AK150" s="1051"/>
      <c r="AL150" s="1051"/>
      <c r="AM150" s="1052"/>
      <c r="AN150" s="1051"/>
      <c r="AO150" s="1051"/>
      <c r="AP150" s="1052"/>
      <c r="AQ150" s="1051"/>
      <c r="AR150" s="1051"/>
      <c r="AS150" s="1052"/>
      <c r="AT150" s="1051"/>
      <c r="AU150" s="1051"/>
      <c r="AV150" s="1052"/>
      <c r="AW150" s="1051"/>
      <c r="AX150" s="1051"/>
      <c r="AY150" s="1053"/>
      <c r="AZ150" s="1051"/>
      <c r="BA150" s="1051"/>
      <c r="BB150" s="1053"/>
      <c r="BC150" s="1051"/>
      <c r="BD150" s="1051"/>
      <c r="BE150" s="1053"/>
      <c r="BF150" s="1051"/>
      <c r="BG150" s="1051"/>
      <c r="BH150" s="1053"/>
      <c r="BI150" s="1052"/>
      <c r="BJ150" s="1052"/>
      <c r="BK150" s="1052"/>
      <c r="BL150" s="1052"/>
      <c r="BM150" s="1052"/>
      <c r="BN150" s="1054"/>
      <c r="BO150" s="1076">
        <f t="shared" si="3"/>
        <v>0</v>
      </c>
      <c r="BP150" s="1051"/>
      <c r="BQ150" s="1052"/>
      <c r="BR150" s="1054"/>
      <c r="BS150" s="1053"/>
      <c r="BT150" s="1051"/>
      <c r="BU150" s="1051"/>
      <c r="BV150" s="1051"/>
      <c r="BW150" s="1052"/>
      <c r="BX150" s="1052"/>
      <c r="BY150" s="1052"/>
      <c r="BZ150" s="1052"/>
      <c r="CA150" s="1052"/>
      <c r="CB150" s="1053"/>
      <c r="CC150" s="1053"/>
      <c r="CD150" s="1053"/>
      <c r="CE150" s="1053"/>
      <c r="CF150" s="1053"/>
      <c r="CG150" s="1053"/>
      <c r="CH150" s="1053"/>
      <c r="CI150" s="1123"/>
      <c r="CJ150" s="1123"/>
      <c r="CK150" s="1123"/>
      <c r="CL150" s="1123"/>
      <c r="CM150" s="1123"/>
      <c r="CN150" s="1123"/>
      <c r="CO150" s="1123"/>
      <c r="CP150" s="1123"/>
      <c r="CQ150" s="1123"/>
      <c r="CR150" s="1123"/>
      <c r="CS150" s="1123"/>
      <c r="CT150" s="1123"/>
      <c r="CU150" s="1123"/>
      <c r="CV150" s="1123"/>
      <c r="CW150" s="1123"/>
      <c r="CX150" s="1123"/>
      <c r="CY150" s="1123"/>
      <c r="CZ150" s="1114"/>
      <c r="DA150" s="1114"/>
      <c r="DB150" s="1114"/>
      <c r="DC150" s="1114"/>
      <c r="DD150" s="1114"/>
      <c r="DE150" s="1114"/>
      <c r="DF150" s="1114"/>
      <c r="DG150" s="1114"/>
      <c r="DH150" s="1114"/>
      <c r="DI150" s="1114"/>
      <c r="DJ150" s="1114"/>
      <c r="DK150" s="1114"/>
      <c r="DL150" s="1114"/>
      <c r="DM150" s="1114"/>
      <c r="DN150" s="1114"/>
      <c r="DO150" s="1114"/>
      <c r="DP150" s="1114"/>
      <c r="DQ150" s="1114"/>
      <c r="DR150" s="1114"/>
      <c r="DS150" s="1114"/>
      <c r="DT150" s="1114"/>
      <c r="DU150" s="1114"/>
      <c r="DV150" s="1115"/>
      <c r="DW150" s="1116"/>
      <c r="DX150" s="1116"/>
      <c r="DY150" s="1116"/>
      <c r="DZ150" s="1116"/>
      <c r="EA150" s="1116"/>
      <c r="EB150" s="1116"/>
      <c r="EC150" s="1116"/>
      <c r="ED150" s="1116"/>
      <c r="EE150" s="1116"/>
      <c r="EF150" s="1116"/>
      <c r="EG150" s="1116"/>
      <c r="EH150" s="1116"/>
      <c r="EI150" s="1116"/>
      <c r="EJ150" s="1116"/>
      <c r="EK150" s="1116"/>
      <c r="EL150" s="1116"/>
      <c r="EM150" s="1116"/>
      <c r="EN150" s="1116"/>
      <c r="EO150" s="1116"/>
      <c r="EP150" s="1116"/>
      <c r="EQ150" s="1116"/>
      <c r="ER150" s="1116"/>
      <c r="ES150" s="1116"/>
    </row>
    <row r="151" spans="1:149" ht="15" customHeight="1">
      <c r="A151" s="1185">
        <v>141</v>
      </c>
      <c r="B151" s="1041"/>
      <c r="C151" s="1050"/>
      <c r="D151" s="1050"/>
      <c r="E151" s="1050"/>
      <c r="F151" s="1049"/>
      <c r="G151" s="1049"/>
      <c r="H151" s="1049"/>
      <c r="I151" s="1049"/>
      <c r="J151" s="1050"/>
      <c r="K151" s="1050"/>
      <c r="L151" s="1043"/>
      <c r="M151" s="1051"/>
      <c r="N151" s="1051"/>
      <c r="O151" s="1052"/>
      <c r="P151" s="1051"/>
      <c r="Q151" s="1051"/>
      <c r="R151" s="1052"/>
      <c r="S151" s="1051"/>
      <c r="T151" s="1051"/>
      <c r="U151" s="1052"/>
      <c r="V151" s="1051"/>
      <c r="W151" s="1051"/>
      <c r="X151" s="1052"/>
      <c r="Y151" s="1053"/>
      <c r="Z151" s="1051"/>
      <c r="AA151" s="1051"/>
      <c r="AB151" s="1052"/>
      <c r="AC151" s="1051"/>
      <c r="AD151" s="1051"/>
      <c r="AE151" s="1052"/>
      <c r="AF151" s="1051"/>
      <c r="AG151" s="1051"/>
      <c r="AH151" s="1051"/>
      <c r="AI151" s="1051"/>
      <c r="AJ151" s="1052"/>
      <c r="AK151" s="1051"/>
      <c r="AL151" s="1051"/>
      <c r="AM151" s="1052"/>
      <c r="AN151" s="1051"/>
      <c r="AO151" s="1051"/>
      <c r="AP151" s="1052"/>
      <c r="AQ151" s="1051"/>
      <c r="AR151" s="1051"/>
      <c r="AS151" s="1052"/>
      <c r="AT151" s="1051"/>
      <c r="AU151" s="1051"/>
      <c r="AV151" s="1052"/>
      <c r="AW151" s="1051"/>
      <c r="AX151" s="1051"/>
      <c r="AY151" s="1053"/>
      <c r="AZ151" s="1051"/>
      <c r="BA151" s="1051"/>
      <c r="BB151" s="1053"/>
      <c r="BC151" s="1051"/>
      <c r="BD151" s="1051"/>
      <c r="BE151" s="1053"/>
      <c r="BF151" s="1051"/>
      <c r="BG151" s="1051"/>
      <c r="BH151" s="1053"/>
      <c r="BI151" s="1052"/>
      <c r="BJ151" s="1052"/>
      <c r="BK151" s="1052"/>
      <c r="BL151" s="1052"/>
      <c r="BM151" s="1052"/>
      <c r="BN151" s="1054"/>
      <c r="BO151" s="1076">
        <f t="shared" si="3"/>
        <v>0</v>
      </c>
      <c r="BP151" s="1051"/>
      <c r="BQ151" s="1052"/>
      <c r="BR151" s="1054"/>
      <c r="BS151" s="1053"/>
      <c r="BT151" s="1051"/>
      <c r="BU151" s="1051"/>
      <c r="BV151" s="1051"/>
      <c r="BW151" s="1052"/>
      <c r="BX151" s="1052"/>
      <c r="BY151" s="1052"/>
      <c r="BZ151" s="1052"/>
      <c r="CA151" s="1052"/>
      <c r="CB151" s="1053"/>
      <c r="CC151" s="1053"/>
      <c r="CD151" s="1053"/>
      <c r="CE151" s="1053"/>
      <c r="CF151" s="1053"/>
      <c r="CG151" s="1053"/>
      <c r="CH151" s="1053"/>
      <c r="CI151" s="1123"/>
      <c r="CJ151" s="1123"/>
      <c r="CK151" s="1123"/>
      <c r="CL151" s="1123"/>
      <c r="CM151" s="1123"/>
      <c r="CN151" s="1123"/>
      <c r="CO151" s="1123"/>
      <c r="CP151" s="1123"/>
      <c r="CQ151" s="1123"/>
      <c r="CR151" s="1123"/>
      <c r="CS151" s="1123"/>
      <c r="CT151" s="1123"/>
      <c r="CU151" s="1123"/>
      <c r="CV151" s="1123"/>
      <c r="CW151" s="1123"/>
      <c r="CX151" s="1123"/>
      <c r="CY151" s="1123"/>
      <c r="CZ151" s="1114"/>
      <c r="DA151" s="1114"/>
      <c r="DB151" s="1114"/>
      <c r="DC151" s="1114"/>
      <c r="DD151" s="1114"/>
      <c r="DE151" s="1114"/>
      <c r="DF151" s="1114"/>
      <c r="DG151" s="1114"/>
      <c r="DH151" s="1114"/>
      <c r="DI151" s="1114"/>
      <c r="DJ151" s="1114"/>
      <c r="DK151" s="1114"/>
      <c r="DL151" s="1114"/>
      <c r="DM151" s="1114"/>
      <c r="DN151" s="1114"/>
      <c r="DO151" s="1114"/>
      <c r="DP151" s="1114"/>
      <c r="DQ151" s="1114"/>
      <c r="DR151" s="1114"/>
      <c r="DS151" s="1114"/>
      <c r="DT151" s="1114"/>
      <c r="DU151" s="1114"/>
      <c r="DV151" s="1115"/>
      <c r="DW151" s="1116"/>
      <c r="DX151" s="1116"/>
      <c r="DY151" s="1116"/>
      <c r="DZ151" s="1116"/>
      <c r="EA151" s="1116"/>
      <c r="EB151" s="1116"/>
      <c r="EC151" s="1116"/>
      <c r="ED151" s="1116"/>
      <c r="EE151" s="1116"/>
      <c r="EF151" s="1116"/>
      <c r="EG151" s="1116"/>
      <c r="EH151" s="1116"/>
      <c r="EI151" s="1116"/>
      <c r="EJ151" s="1116"/>
      <c r="EK151" s="1116"/>
      <c r="EL151" s="1116"/>
      <c r="EM151" s="1116"/>
      <c r="EN151" s="1116"/>
      <c r="EO151" s="1116"/>
      <c r="EP151" s="1116"/>
      <c r="EQ151" s="1116"/>
      <c r="ER151" s="1116"/>
      <c r="ES151" s="1116"/>
    </row>
    <row r="152" spans="1:149" ht="15" customHeight="1">
      <c r="A152" s="1185">
        <v>142</v>
      </c>
      <c r="B152" s="1041"/>
      <c r="C152" s="1050"/>
      <c r="D152" s="1050"/>
      <c r="E152" s="1050"/>
      <c r="F152" s="1049"/>
      <c r="G152" s="1049"/>
      <c r="H152" s="1049"/>
      <c r="I152" s="1049"/>
      <c r="J152" s="1050"/>
      <c r="K152" s="1050"/>
      <c r="L152" s="1043"/>
      <c r="M152" s="1051"/>
      <c r="N152" s="1051"/>
      <c r="O152" s="1052"/>
      <c r="P152" s="1051"/>
      <c r="Q152" s="1051"/>
      <c r="R152" s="1052"/>
      <c r="S152" s="1051"/>
      <c r="T152" s="1051"/>
      <c r="U152" s="1052"/>
      <c r="V152" s="1051"/>
      <c r="W152" s="1051"/>
      <c r="X152" s="1052"/>
      <c r="Y152" s="1053"/>
      <c r="Z152" s="1051"/>
      <c r="AA152" s="1051"/>
      <c r="AB152" s="1052"/>
      <c r="AC152" s="1051"/>
      <c r="AD152" s="1051"/>
      <c r="AE152" s="1052"/>
      <c r="AF152" s="1051"/>
      <c r="AG152" s="1051"/>
      <c r="AH152" s="1051"/>
      <c r="AI152" s="1051"/>
      <c r="AJ152" s="1052"/>
      <c r="AK152" s="1051"/>
      <c r="AL152" s="1051"/>
      <c r="AM152" s="1052"/>
      <c r="AN152" s="1051"/>
      <c r="AO152" s="1051"/>
      <c r="AP152" s="1052"/>
      <c r="AQ152" s="1051"/>
      <c r="AR152" s="1051"/>
      <c r="AS152" s="1052"/>
      <c r="AT152" s="1051"/>
      <c r="AU152" s="1051"/>
      <c r="AV152" s="1052"/>
      <c r="AW152" s="1051"/>
      <c r="AX152" s="1051"/>
      <c r="AY152" s="1053"/>
      <c r="AZ152" s="1051"/>
      <c r="BA152" s="1051"/>
      <c r="BB152" s="1053"/>
      <c r="BC152" s="1051"/>
      <c r="BD152" s="1051"/>
      <c r="BE152" s="1053"/>
      <c r="BF152" s="1051"/>
      <c r="BG152" s="1051"/>
      <c r="BH152" s="1053"/>
      <c r="BI152" s="1052"/>
      <c r="BJ152" s="1052"/>
      <c r="BK152" s="1052"/>
      <c r="BL152" s="1052"/>
      <c r="BM152" s="1052"/>
      <c r="BN152" s="1054"/>
      <c r="BO152" s="1076">
        <f t="shared" si="3"/>
        <v>0</v>
      </c>
      <c r="BP152" s="1051"/>
      <c r="BQ152" s="1052"/>
      <c r="BR152" s="1054"/>
      <c r="BS152" s="1053"/>
      <c r="BT152" s="1051"/>
      <c r="BU152" s="1051"/>
      <c r="BV152" s="1051"/>
      <c r="BW152" s="1052"/>
      <c r="BX152" s="1052"/>
      <c r="BY152" s="1052"/>
      <c r="BZ152" s="1052"/>
      <c r="CA152" s="1052"/>
      <c r="CB152" s="1053"/>
      <c r="CC152" s="1053"/>
      <c r="CD152" s="1053"/>
      <c r="CE152" s="1053"/>
      <c r="CF152" s="1053"/>
      <c r="CG152" s="1053"/>
      <c r="CH152" s="1053"/>
      <c r="CI152" s="1123"/>
      <c r="CJ152" s="1123"/>
      <c r="CK152" s="1123"/>
      <c r="CL152" s="1123"/>
      <c r="CM152" s="1123"/>
      <c r="CN152" s="1123"/>
      <c r="CO152" s="1123"/>
      <c r="CP152" s="1123"/>
      <c r="CQ152" s="1123"/>
      <c r="CR152" s="1123"/>
      <c r="CS152" s="1123"/>
      <c r="CT152" s="1123"/>
      <c r="CU152" s="1123"/>
      <c r="CV152" s="1123"/>
      <c r="CW152" s="1123"/>
      <c r="CX152" s="1123"/>
      <c r="CY152" s="1123"/>
      <c r="CZ152" s="1114"/>
      <c r="DA152" s="1114"/>
      <c r="DB152" s="1114"/>
      <c r="DC152" s="1114"/>
      <c r="DD152" s="1114"/>
      <c r="DE152" s="1114"/>
      <c r="DF152" s="1114"/>
      <c r="DG152" s="1114"/>
      <c r="DH152" s="1114"/>
      <c r="DI152" s="1114"/>
      <c r="DJ152" s="1114"/>
      <c r="DK152" s="1114"/>
      <c r="DL152" s="1114"/>
      <c r="DM152" s="1114"/>
      <c r="DN152" s="1114"/>
      <c r="DO152" s="1114"/>
      <c r="DP152" s="1114"/>
      <c r="DQ152" s="1114"/>
      <c r="DR152" s="1114"/>
      <c r="DS152" s="1114"/>
      <c r="DT152" s="1114"/>
      <c r="DU152" s="1114"/>
      <c r="DV152" s="1115"/>
      <c r="DW152" s="1116"/>
      <c r="DX152" s="1116"/>
      <c r="DY152" s="1116"/>
      <c r="DZ152" s="1116"/>
      <c r="EA152" s="1116"/>
      <c r="EB152" s="1116"/>
      <c r="EC152" s="1116"/>
      <c r="ED152" s="1116"/>
      <c r="EE152" s="1116"/>
      <c r="EF152" s="1116"/>
      <c r="EG152" s="1116"/>
      <c r="EH152" s="1116"/>
      <c r="EI152" s="1116"/>
      <c r="EJ152" s="1116"/>
      <c r="EK152" s="1116"/>
      <c r="EL152" s="1116"/>
      <c r="EM152" s="1116"/>
      <c r="EN152" s="1116"/>
      <c r="EO152" s="1116"/>
      <c r="EP152" s="1116"/>
      <c r="EQ152" s="1116"/>
      <c r="ER152" s="1116"/>
      <c r="ES152" s="1116"/>
    </row>
    <row r="153" spans="1:149" ht="15" customHeight="1">
      <c r="A153" s="1185">
        <v>143</v>
      </c>
      <c r="B153" s="1041"/>
      <c r="C153" s="1050"/>
      <c r="D153" s="1050"/>
      <c r="E153" s="1050"/>
      <c r="F153" s="1049"/>
      <c r="G153" s="1049"/>
      <c r="H153" s="1049"/>
      <c r="I153" s="1049"/>
      <c r="J153" s="1050"/>
      <c r="K153" s="1050"/>
      <c r="L153" s="1043"/>
      <c r="M153" s="1051"/>
      <c r="N153" s="1051"/>
      <c r="O153" s="1052"/>
      <c r="P153" s="1051"/>
      <c r="Q153" s="1051"/>
      <c r="R153" s="1052"/>
      <c r="S153" s="1051"/>
      <c r="T153" s="1051"/>
      <c r="U153" s="1052"/>
      <c r="V153" s="1051"/>
      <c r="W153" s="1051"/>
      <c r="X153" s="1052"/>
      <c r="Y153" s="1053"/>
      <c r="Z153" s="1051"/>
      <c r="AA153" s="1051"/>
      <c r="AB153" s="1052"/>
      <c r="AC153" s="1051"/>
      <c r="AD153" s="1051"/>
      <c r="AE153" s="1052"/>
      <c r="AF153" s="1051"/>
      <c r="AG153" s="1051"/>
      <c r="AH153" s="1051"/>
      <c r="AI153" s="1051"/>
      <c r="AJ153" s="1052"/>
      <c r="AK153" s="1051"/>
      <c r="AL153" s="1051"/>
      <c r="AM153" s="1052"/>
      <c r="AN153" s="1051"/>
      <c r="AO153" s="1051"/>
      <c r="AP153" s="1052"/>
      <c r="AQ153" s="1051"/>
      <c r="AR153" s="1051"/>
      <c r="AS153" s="1052"/>
      <c r="AT153" s="1051"/>
      <c r="AU153" s="1051"/>
      <c r="AV153" s="1052"/>
      <c r="AW153" s="1051"/>
      <c r="AX153" s="1051"/>
      <c r="AY153" s="1053"/>
      <c r="AZ153" s="1051"/>
      <c r="BA153" s="1051"/>
      <c r="BB153" s="1053"/>
      <c r="BC153" s="1051"/>
      <c r="BD153" s="1051"/>
      <c r="BE153" s="1053"/>
      <c r="BF153" s="1051"/>
      <c r="BG153" s="1051"/>
      <c r="BH153" s="1053"/>
      <c r="BI153" s="1052"/>
      <c r="BJ153" s="1052"/>
      <c r="BK153" s="1052"/>
      <c r="BL153" s="1052"/>
      <c r="BM153" s="1052"/>
      <c r="BN153" s="1054"/>
      <c r="BO153" s="1076">
        <f t="shared" si="3"/>
        <v>0</v>
      </c>
      <c r="BP153" s="1051"/>
      <c r="BQ153" s="1052"/>
      <c r="BR153" s="1054"/>
      <c r="BS153" s="1053"/>
      <c r="BT153" s="1051"/>
      <c r="BU153" s="1051"/>
      <c r="BV153" s="1051"/>
      <c r="BW153" s="1052"/>
      <c r="BX153" s="1052"/>
      <c r="BY153" s="1052"/>
      <c r="BZ153" s="1052"/>
      <c r="CA153" s="1052"/>
      <c r="CB153" s="1053"/>
      <c r="CC153" s="1053"/>
      <c r="CD153" s="1053"/>
      <c r="CE153" s="1053"/>
      <c r="CF153" s="1053"/>
      <c r="CG153" s="1053"/>
      <c r="CH153" s="1053"/>
      <c r="CI153" s="1123"/>
      <c r="CJ153" s="1123"/>
      <c r="CK153" s="1123"/>
      <c r="CL153" s="1123"/>
      <c r="CM153" s="1123"/>
      <c r="CN153" s="1123"/>
      <c r="CO153" s="1123"/>
      <c r="CP153" s="1123"/>
      <c r="CQ153" s="1123"/>
      <c r="CR153" s="1123"/>
      <c r="CS153" s="1123"/>
      <c r="CT153" s="1123"/>
      <c r="CU153" s="1123"/>
      <c r="CV153" s="1123"/>
      <c r="CW153" s="1123"/>
      <c r="CX153" s="1123"/>
      <c r="CY153" s="1123"/>
      <c r="CZ153" s="1114"/>
      <c r="DA153" s="1114"/>
      <c r="DB153" s="1114"/>
      <c r="DC153" s="1114"/>
      <c r="DD153" s="1114"/>
      <c r="DE153" s="1114"/>
      <c r="DF153" s="1114"/>
      <c r="DG153" s="1114"/>
      <c r="DH153" s="1114"/>
      <c r="DI153" s="1114"/>
      <c r="DJ153" s="1114"/>
      <c r="DK153" s="1114"/>
      <c r="DL153" s="1114"/>
      <c r="DM153" s="1114"/>
      <c r="DN153" s="1114"/>
      <c r="DO153" s="1114"/>
      <c r="DP153" s="1114"/>
      <c r="DQ153" s="1114"/>
      <c r="DR153" s="1114"/>
      <c r="DS153" s="1114"/>
      <c r="DT153" s="1114"/>
      <c r="DU153" s="1114"/>
      <c r="DV153" s="1115"/>
      <c r="DW153" s="1116"/>
      <c r="DX153" s="1116"/>
      <c r="DY153" s="1116"/>
      <c r="DZ153" s="1116"/>
      <c r="EA153" s="1116"/>
      <c r="EB153" s="1116"/>
      <c r="EC153" s="1116"/>
      <c r="ED153" s="1116"/>
      <c r="EE153" s="1116"/>
      <c r="EF153" s="1116"/>
      <c r="EG153" s="1116"/>
      <c r="EH153" s="1116"/>
      <c r="EI153" s="1116"/>
      <c r="EJ153" s="1116"/>
      <c r="EK153" s="1116"/>
      <c r="EL153" s="1116"/>
      <c r="EM153" s="1116"/>
      <c r="EN153" s="1116"/>
      <c r="EO153" s="1116"/>
      <c r="EP153" s="1116"/>
      <c r="EQ153" s="1116"/>
      <c r="ER153" s="1116"/>
      <c r="ES153" s="1116"/>
    </row>
    <row r="154" spans="1:149" ht="15" customHeight="1">
      <c r="A154" s="1185">
        <v>144</v>
      </c>
      <c r="B154" s="1041"/>
      <c r="C154" s="1050"/>
      <c r="D154" s="1050"/>
      <c r="E154" s="1050"/>
      <c r="F154" s="1049"/>
      <c r="G154" s="1049"/>
      <c r="H154" s="1049"/>
      <c r="I154" s="1049"/>
      <c r="J154" s="1050"/>
      <c r="K154" s="1050"/>
      <c r="L154" s="1043"/>
      <c r="M154" s="1051"/>
      <c r="N154" s="1051"/>
      <c r="O154" s="1052"/>
      <c r="P154" s="1051"/>
      <c r="Q154" s="1051"/>
      <c r="R154" s="1052"/>
      <c r="S154" s="1051"/>
      <c r="T154" s="1051"/>
      <c r="U154" s="1052"/>
      <c r="V154" s="1051"/>
      <c r="W154" s="1051"/>
      <c r="X154" s="1052"/>
      <c r="Y154" s="1053"/>
      <c r="Z154" s="1051"/>
      <c r="AA154" s="1051"/>
      <c r="AB154" s="1052"/>
      <c r="AC154" s="1051"/>
      <c r="AD154" s="1051"/>
      <c r="AE154" s="1052"/>
      <c r="AF154" s="1051"/>
      <c r="AG154" s="1051"/>
      <c r="AH154" s="1051"/>
      <c r="AI154" s="1051"/>
      <c r="AJ154" s="1052"/>
      <c r="AK154" s="1051"/>
      <c r="AL154" s="1051"/>
      <c r="AM154" s="1052"/>
      <c r="AN154" s="1051"/>
      <c r="AO154" s="1051"/>
      <c r="AP154" s="1052"/>
      <c r="AQ154" s="1051"/>
      <c r="AR154" s="1051"/>
      <c r="AS154" s="1052"/>
      <c r="AT154" s="1051"/>
      <c r="AU154" s="1051"/>
      <c r="AV154" s="1052"/>
      <c r="AW154" s="1051"/>
      <c r="AX154" s="1051"/>
      <c r="AY154" s="1053"/>
      <c r="AZ154" s="1051"/>
      <c r="BA154" s="1051"/>
      <c r="BB154" s="1053"/>
      <c r="BC154" s="1051"/>
      <c r="BD154" s="1051"/>
      <c r="BE154" s="1053"/>
      <c r="BF154" s="1051"/>
      <c r="BG154" s="1051"/>
      <c r="BH154" s="1053"/>
      <c r="BI154" s="1052"/>
      <c r="BJ154" s="1052"/>
      <c r="BK154" s="1052"/>
      <c r="BL154" s="1052"/>
      <c r="BM154" s="1052"/>
      <c r="BN154" s="1054"/>
      <c r="BO154" s="1076">
        <f t="shared" si="3"/>
        <v>0</v>
      </c>
      <c r="BP154" s="1051"/>
      <c r="BQ154" s="1052"/>
      <c r="BR154" s="1054"/>
      <c r="BS154" s="1053"/>
      <c r="BT154" s="1051"/>
      <c r="BU154" s="1051"/>
      <c r="BV154" s="1051"/>
      <c r="BW154" s="1052"/>
      <c r="BX154" s="1052"/>
      <c r="BY154" s="1052"/>
      <c r="BZ154" s="1052"/>
      <c r="CA154" s="1052"/>
      <c r="CB154" s="1053"/>
      <c r="CC154" s="1053"/>
      <c r="CD154" s="1053"/>
      <c r="CE154" s="1053"/>
      <c r="CF154" s="1053"/>
      <c r="CG154" s="1053"/>
      <c r="CH154" s="1053"/>
      <c r="CI154" s="1123"/>
      <c r="CJ154" s="1123"/>
      <c r="CK154" s="1123"/>
      <c r="CL154" s="1123"/>
      <c r="CM154" s="1123"/>
      <c r="CN154" s="1123"/>
      <c r="CO154" s="1123"/>
      <c r="CP154" s="1123"/>
      <c r="CQ154" s="1123"/>
      <c r="CR154" s="1123"/>
      <c r="CS154" s="1123"/>
      <c r="CT154" s="1123"/>
      <c r="CU154" s="1123"/>
      <c r="CV154" s="1123"/>
      <c r="CW154" s="1123"/>
      <c r="CX154" s="1123"/>
      <c r="CY154" s="1123"/>
      <c r="CZ154" s="1114"/>
      <c r="DA154" s="1114"/>
      <c r="DB154" s="1114"/>
      <c r="DC154" s="1114"/>
      <c r="DD154" s="1114"/>
      <c r="DE154" s="1114"/>
      <c r="DF154" s="1114"/>
      <c r="DG154" s="1114"/>
      <c r="DH154" s="1114"/>
      <c r="DI154" s="1114"/>
      <c r="DJ154" s="1114"/>
      <c r="DK154" s="1114"/>
      <c r="DL154" s="1114"/>
      <c r="DM154" s="1114"/>
      <c r="DN154" s="1114"/>
      <c r="DO154" s="1114"/>
      <c r="DP154" s="1114"/>
      <c r="DQ154" s="1114"/>
      <c r="DR154" s="1114"/>
      <c r="DS154" s="1114"/>
      <c r="DT154" s="1114"/>
      <c r="DU154" s="1114"/>
      <c r="DV154" s="1115"/>
      <c r="DW154" s="1116"/>
      <c r="DX154" s="1116"/>
      <c r="DY154" s="1116"/>
      <c r="DZ154" s="1116"/>
      <c r="EA154" s="1116"/>
      <c r="EB154" s="1116"/>
      <c r="EC154" s="1116"/>
      <c r="ED154" s="1116"/>
      <c r="EE154" s="1116"/>
      <c r="EF154" s="1116"/>
      <c r="EG154" s="1116"/>
      <c r="EH154" s="1116"/>
      <c r="EI154" s="1116"/>
      <c r="EJ154" s="1116"/>
      <c r="EK154" s="1116"/>
      <c r="EL154" s="1116"/>
      <c r="EM154" s="1116"/>
      <c r="EN154" s="1116"/>
      <c r="EO154" s="1116"/>
      <c r="EP154" s="1116"/>
      <c r="EQ154" s="1116"/>
      <c r="ER154" s="1116"/>
      <c r="ES154" s="1116"/>
    </row>
    <row r="155" spans="1:149" ht="15" customHeight="1">
      <c r="A155" s="1185">
        <v>145</v>
      </c>
      <c r="B155" s="1041"/>
      <c r="C155" s="1050"/>
      <c r="D155" s="1050"/>
      <c r="E155" s="1050"/>
      <c r="F155" s="1049"/>
      <c r="G155" s="1049"/>
      <c r="H155" s="1049"/>
      <c r="I155" s="1049"/>
      <c r="J155" s="1050"/>
      <c r="K155" s="1050"/>
      <c r="L155" s="1043"/>
      <c r="M155" s="1051"/>
      <c r="N155" s="1051"/>
      <c r="O155" s="1052"/>
      <c r="P155" s="1051"/>
      <c r="Q155" s="1051"/>
      <c r="R155" s="1052"/>
      <c r="S155" s="1051"/>
      <c r="T155" s="1051"/>
      <c r="U155" s="1052"/>
      <c r="V155" s="1051"/>
      <c r="W155" s="1051"/>
      <c r="X155" s="1052"/>
      <c r="Y155" s="1053"/>
      <c r="Z155" s="1051"/>
      <c r="AA155" s="1051"/>
      <c r="AB155" s="1052"/>
      <c r="AC155" s="1051"/>
      <c r="AD155" s="1051"/>
      <c r="AE155" s="1052"/>
      <c r="AF155" s="1051"/>
      <c r="AG155" s="1051"/>
      <c r="AH155" s="1051"/>
      <c r="AI155" s="1051"/>
      <c r="AJ155" s="1052"/>
      <c r="AK155" s="1051"/>
      <c r="AL155" s="1051"/>
      <c r="AM155" s="1052"/>
      <c r="AN155" s="1051"/>
      <c r="AO155" s="1051"/>
      <c r="AP155" s="1052"/>
      <c r="AQ155" s="1051"/>
      <c r="AR155" s="1051"/>
      <c r="AS155" s="1052"/>
      <c r="AT155" s="1051"/>
      <c r="AU155" s="1051"/>
      <c r="AV155" s="1052"/>
      <c r="AW155" s="1051"/>
      <c r="AX155" s="1051"/>
      <c r="AY155" s="1053"/>
      <c r="AZ155" s="1051"/>
      <c r="BA155" s="1051"/>
      <c r="BB155" s="1053"/>
      <c r="BC155" s="1051"/>
      <c r="BD155" s="1051"/>
      <c r="BE155" s="1053"/>
      <c r="BF155" s="1051"/>
      <c r="BG155" s="1051"/>
      <c r="BH155" s="1053"/>
      <c r="BI155" s="1052"/>
      <c r="BJ155" s="1052"/>
      <c r="BK155" s="1052"/>
      <c r="BL155" s="1052"/>
      <c r="BM155" s="1052"/>
      <c r="BN155" s="1054"/>
      <c r="BO155" s="1076">
        <f t="shared" si="3"/>
        <v>0</v>
      </c>
      <c r="BP155" s="1051"/>
      <c r="BQ155" s="1052"/>
      <c r="BR155" s="1054"/>
      <c r="BS155" s="1053"/>
      <c r="BT155" s="1051"/>
      <c r="BU155" s="1051"/>
      <c r="BV155" s="1051"/>
      <c r="BW155" s="1052"/>
      <c r="BX155" s="1052"/>
      <c r="BY155" s="1052"/>
      <c r="BZ155" s="1052"/>
      <c r="CA155" s="1052"/>
      <c r="CB155" s="1053"/>
      <c r="CC155" s="1053"/>
      <c r="CD155" s="1053"/>
      <c r="CE155" s="1053"/>
      <c r="CF155" s="1053"/>
      <c r="CG155" s="1053"/>
      <c r="CH155" s="1053"/>
      <c r="CI155" s="1123"/>
      <c r="CJ155" s="1123"/>
      <c r="CK155" s="1123"/>
      <c r="CL155" s="1123"/>
      <c r="CM155" s="1123"/>
      <c r="CN155" s="1123"/>
      <c r="CO155" s="1123"/>
      <c r="CP155" s="1123"/>
      <c r="CQ155" s="1123"/>
      <c r="CR155" s="1123"/>
      <c r="CS155" s="1123"/>
      <c r="CT155" s="1123"/>
      <c r="CU155" s="1123"/>
      <c r="CV155" s="1123"/>
      <c r="CW155" s="1123"/>
      <c r="CX155" s="1123"/>
      <c r="CY155" s="1123"/>
      <c r="CZ155" s="1114"/>
      <c r="DA155" s="1114"/>
      <c r="DB155" s="1114"/>
      <c r="DC155" s="1114"/>
      <c r="DD155" s="1114"/>
      <c r="DE155" s="1114"/>
      <c r="DF155" s="1114"/>
      <c r="DG155" s="1114"/>
      <c r="DH155" s="1114"/>
      <c r="DI155" s="1114"/>
      <c r="DJ155" s="1114"/>
      <c r="DK155" s="1114"/>
      <c r="DL155" s="1114"/>
      <c r="DM155" s="1114"/>
      <c r="DN155" s="1114"/>
      <c r="DO155" s="1114"/>
      <c r="DP155" s="1114"/>
      <c r="DQ155" s="1114"/>
      <c r="DR155" s="1114"/>
      <c r="DS155" s="1114"/>
      <c r="DT155" s="1114"/>
      <c r="DU155" s="1114"/>
      <c r="DV155" s="1115"/>
      <c r="DW155" s="1116"/>
      <c r="DX155" s="1116"/>
      <c r="DY155" s="1116"/>
      <c r="DZ155" s="1116"/>
      <c r="EA155" s="1116"/>
      <c r="EB155" s="1116"/>
      <c r="EC155" s="1116"/>
      <c r="ED155" s="1116"/>
      <c r="EE155" s="1116"/>
      <c r="EF155" s="1116"/>
      <c r="EG155" s="1116"/>
      <c r="EH155" s="1116"/>
      <c r="EI155" s="1116"/>
      <c r="EJ155" s="1116"/>
      <c r="EK155" s="1116"/>
      <c r="EL155" s="1116"/>
      <c r="EM155" s="1116"/>
      <c r="EN155" s="1116"/>
      <c r="EO155" s="1116"/>
      <c r="EP155" s="1116"/>
      <c r="EQ155" s="1116"/>
      <c r="ER155" s="1116"/>
      <c r="ES155" s="1116"/>
    </row>
    <row r="156" spans="1:149" ht="15" customHeight="1">
      <c r="A156" s="1185">
        <v>146</v>
      </c>
      <c r="B156" s="1041"/>
      <c r="C156" s="1050"/>
      <c r="D156" s="1050"/>
      <c r="E156" s="1050"/>
      <c r="F156" s="1049"/>
      <c r="G156" s="1049"/>
      <c r="H156" s="1049"/>
      <c r="I156" s="1049"/>
      <c r="J156" s="1050"/>
      <c r="K156" s="1050"/>
      <c r="L156" s="1043"/>
      <c r="M156" s="1051"/>
      <c r="N156" s="1051"/>
      <c r="O156" s="1052"/>
      <c r="P156" s="1051"/>
      <c r="Q156" s="1051"/>
      <c r="R156" s="1052"/>
      <c r="S156" s="1051"/>
      <c r="T156" s="1051"/>
      <c r="U156" s="1052"/>
      <c r="V156" s="1051"/>
      <c r="W156" s="1051"/>
      <c r="X156" s="1052"/>
      <c r="Y156" s="1053"/>
      <c r="Z156" s="1051"/>
      <c r="AA156" s="1051"/>
      <c r="AB156" s="1052"/>
      <c r="AC156" s="1051"/>
      <c r="AD156" s="1051"/>
      <c r="AE156" s="1052"/>
      <c r="AF156" s="1051"/>
      <c r="AG156" s="1051"/>
      <c r="AH156" s="1051"/>
      <c r="AI156" s="1051"/>
      <c r="AJ156" s="1052"/>
      <c r="AK156" s="1051"/>
      <c r="AL156" s="1051"/>
      <c r="AM156" s="1052"/>
      <c r="AN156" s="1051"/>
      <c r="AO156" s="1051"/>
      <c r="AP156" s="1052"/>
      <c r="AQ156" s="1051"/>
      <c r="AR156" s="1051"/>
      <c r="AS156" s="1052"/>
      <c r="AT156" s="1051"/>
      <c r="AU156" s="1051"/>
      <c r="AV156" s="1052"/>
      <c r="AW156" s="1051"/>
      <c r="AX156" s="1051"/>
      <c r="AY156" s="1053"/>
      <c r="AZ156" s="1051"/>
      <c r="BA156" s="1051"/>
      <c r="BB156" s="1053"/>
      <c r="BC156" s="1051"/>
      <c r="BD156" s="1051"/>
      <c r="BE156" s="1053"/>
      <c r="BF156" s="1051"/>
      <c r="BG156" s="1051"/>
      <c r="BH156" s="1053"/>
      <c r="BI156" s="1052"/>
      <c r="BJ156" s="1052"/>
      <c r="BK156" s="1052"/>
      <c r="BL156" s="1052"/>
      <c r="BM156" s="1052"/>
      <c r="BN156" s="1054"/>
      <c r="BO156" s="1076">
        <f t="shared" si="3"/>
        <v>0</v>
      </c>
      <c r="BP156" s="1051"/>
      <c r="BQ156" s="1052"/>
      <c r="BR156" s="1054"/>
      <c r="BS156" s="1053"/>
      <c r="BT156" s="1051"/>
      <c r="BU156" s="1051"/>
      <c r="BV156" s="1051"/>
      <c r="BW156" s="1052"/>
      <c r="BX156" s="1052"/>
      <c r="BY156" s="1052"/>
      <c r="BZ156" s="1052"/>
      <c r="CA156" s="1052"/>
      <c r="CB156" s="1053"/>
      <c r="CC156" s="1053"/>
      <c r="CD156" s="1053"/>
      <c r="CE156" s="1053"/>
      <c r="CF156" s="1053"/>
      <c r="CG156" s="1053"/>
      <c r="CH156" s="1053"/>
      <c r="CI156" s="1123"/>
      <c r="CJ156" s="1123"/>
      <c r="CK156" s="1123"/>
      <c r="CL156" s="1123"/>
      <c r="CM156" s="1123"/>
      <c r="CN156" s="1123"/>
      <c r="CO156" s="1123"/>
      <c r="CP156" s="1123"/>
      <c r="CQ156" s="1123"/>
      <c r="CR156" s="1123"/>
      <c r="CS156" s="1123"/>
      <c r="CT156" s="1123"/>
      <c r="CU156" s="1123"/>
      <c r="CV156" s="1123"/>
      <c r="CW156" s="1123"/>
      <c r="CX156" s="1123"/>
      <c r="CY156" s="1123"/>
      <c r="CZ156" s="1114"/>
      <c r="DA156" s="1114"/>
      <c r="DB156" s="1114"/>
      <c r="DC156" s="1114"/>
      <c r="DD156" s="1114"/>
      <c r="DE156" s="1114"/>
      <c r="DF156" s="1114"/>
      <c r="DG156" s="1114"/>
      <c r="DH156" s="1114"/>
      <c r="DI156" s="1114"/>
      <c r="DJ156" s="1114"/>
      <c r="DK156" s="1114"/>
      <c r="DL156" s="1114"/>
      <c r="DM156" s="1114"/>
      <c r="DN156" s="1114"/>
      <c r="DO156" s="1114"/>
      <c r="DP156" s="1114"/>
      <c r="DQ156" s="1114"/>
      <c r="DR156" s="1114"/>
      <c r="DS156" s="1114"/>
      <c r="DT156" s="1114"/>
      <c r="DU156" s="1114"/>
      <c r="DV156" s="1115"/>
      <c r="DW156" s="1116"/>
      <c r="DX156" s="1116"/>
      <c r="DY156" s="1116"/>
      <c r="DZ156" s="1116"/>
      <c r="EA156" s="1116"/>
      <c r="EB156" s="1116"/>
      <c r="EC156" s="1116"/>
      <c r="ED156" s="1116"/>
      <c r="EE156" s="1116"/>
      <c r="EF156" s="1116"/>
      <c r="EG156" s="1116"/>
      <c r="EH156" s="1116"/>
      <c r="EI156" s="1116"/>
      <c r="EJ156" s="1116"/>
      <c r="EK156" s="1116"/>
      <c r="EL156" s="1116"/>
      <c r="EM156" s="1116"/>
      <c r="EN156" s="1116"/>
      <c r="EO156" s="1116"/>
      <c r="EP156" s="1116"/>
      <c r="EQ156" s="1116"/>
      <c r="ER156" s="1116"/>
      <c r="ES156" s="1116"/>
    </row>
    <row r="157" spans="1:149" ht="15" customHeight="1">
      <c r="A157" s="1185">
        <v>147</v>
      </c>
      <c r="B157" s="1041"/>
      <c r="C157" s="1050"/>
      <c r="D157" s="1050"/>
      <c r="E157" s="1050"/>
      <c r="F157" s="1049"/>
      <c r="G157" s="1049"/>
      <c r="H157" s="1049"/>
      <c r="I157" s="1049"/>
      <c r="J157" s="1050"/>
      <c r="K157" s="1050"/>
      <c r="L157" s="1043"/>
      <c r="M157" s="1051"/>
      <c r="N157" s="1051"/>
      <c r="O157" s="1052"/>
      <c r="P157" s="1051"/>
      <c r="Q157" s="1051"/>
      <c r="R157" s="1052"/>
      <c r="S157" s="1051"/>
      <c r="T157" s="1051"/>
      <c r="U157" s="1052"/>
      <c r="V157" s="1051"/>
      <c r="W157" s="1051"/>
      <c r="X157" s="1052"/>
      <c r="Y157" s="1053"/>
      <c r="Z157" s="1051"/>
      <c r="AA157" s="1051"/>
      <c r="AB157" s="1052"/>
      <c r="AC157" s="1051"/>
      <c r="AD157" s="1051"/>
      <c r="AE157" s="1052"/>
      <c r="AF157" s="1051"/>
      <c r="AG157" s="1051"/>
      <c r="AH157" s="1051"/>
      <c r="AI157" s="1051"/>
      <c r="AJ157" s="1052"/>
      <c r="AK157" s="1051"/>
      <c r="AL157" s="1051"/>
      <c r="AM157" s="1052"/>
      <c r="AN157" s="1051"/>
      <c r="AO157" s="1051"/>
      <c r="AP157" s="1052"/>
      <c r="AQ157" s="1051"/>
      <c r="AR157" s="1051"/>
      <c r="AS157" s="1052"/>
      <c r="AT157" s="1051"/>
      <c r="AU157" s="1051"/>
      <c r="AV157" s="1052"/>
      <c r="AW157" s="1051"/>
      <c r="AX157" s="1051"/>
      <c r="AY157" s="1053"/>
      <c r="AZ157" s="1051"/>
      <c r="BA157" s="1051"/>
      <c r="BB157" s="1053"/>
      <c r="BC157" s="1051"/>
      <c r="BD157" s="1051"/>
      <c r="BE157" s="1053"/>
      <c r="BF157" s="1051"/>
      <c r="BG157" s="1051"/>
      <c r="BH157" s="1053"/>
      <c r="BI157" s="1052"/>
      <c r="BJ157" s="1052"/>
      <c r="BK157" s="1052"/>
      <c r="BL157" s="1052"/>
      <c r="BM157" s="1052"/>
      <c r="BN157" s="1054"/>
      <c r="BO157" s="1076">
        <f t="shared" si="3"/>
        <v>0</v>
      </c>
      <c r="BP157" s="1051"/>
      <c r="BQ157" s="1052"/>
      <c r="BR157" s="1054"/>
      <c r="BS157" s="1053"/>
      <c r="BT157" s="1051"/>
      <c r="BU157" s="1051"/>
      <c r="BV157" s="1051"/>
      <c r="BW157" s="1052"/>
      <c r="BX157" s="1052"/>
      <c r="BY157" s="1052"/>
      <c r="BZ157" s="1052"/>
      <c r="CA157" s="1052"/>
      <c r="CB157" s="1053"/>
      <c r="CC157" s="1053"/>
      <c r="CD157" s="1053"/>
      <c r="CE157" s="1053"/>
      <c r="CF157" s="1053"/>
      <c r="CG157" s="1053"/>
      <c r="CH157" s="1053"/>
      <c r="CI157" s="1123"/>
      <c r="CJ157" s="1123"/>
      <c r="CK157" s="1123"/>
      <c r="CL157" s="1123"/>
      <c r="CM157" s="1123"/>
      <c r="CN157" s="1123"/>
      <c r="CO157" s="1123"/>
      <c r="CP157" s="1123"/>
      <c r="CQ157" s="1123"/>
      <c r="CR157" s="1123"/>
      <c r="CS157" s="1123"/>
      <c r="CT157" s="1123"/>
      <c r="CU157" s="1123"/>
      <c r="CV157" s="1123"/>
      <c r="CW157" s="1123"/>
      <c r="CX157" s="1123"/>
      <c r="CY157" s="1123"/>
      <c r="CZ157" s="1114"/>
      <c r="DA157" s="1114"/>
      <c r="DB157" s="1114"/>
      <c r="DC157" s="1114"/>
      <c r="DD157" s="1114"/>
      <c r="DE157" s="1114"/>
      <c r="DF157" s="1114"/>
      <c r="DG157" s="1114"/>
      <c r="DH157" s="1114"/>
      <c r="DI157" s="1114"/>
      <c r="DJ157" s="1114"/>
      <c r="DK157" s="1114"/>
      <c r="DL157" s="1114"/>
      <c r="DM157" s="1114"/>
      <c r="DN157" s="1114"/>
      <c r="DO157" s="1114"/>
      <c r="DP157" s="1114"/>
      <c r="DQ157" s="1114"/>
      <c r="DR157" s="1114"/>
      <c r="DS157" s="1114"/>
      <c r="DT157" s="1114"/>
      <c r="DU157" s="1114"/>
      <c r="DV157" s="1115"/>
      <c r="DW157" s="1116"/>
      <c r="DX157" s="1116"/>
      <c r="DY157" s="1116"/>
      <c r="DZ157" s="1116"/>
      <c r="EA157" s="1116"/>
      <c r="EB157" s="1116"/>
      <c r="EC157" s="1116"/>
      <c r="ED157" s="1116"/>
      <c r="EE157" s="1116"/>
      <c r="EF157" s="1116"/>
      <c r="EG157" s="1116"/>
      <c r="EH157" s="1116"/>
      <c r="EI157" s="1116"/>
      <c r="EJ157" s="1116"/>
      <c r="EK157" s="1116"/>
      <c r="EL157" s="1116"/>
      <c r="EM157" s="1116"/>
      <c r="EN157" s="1116"/>
      <c r="EO157" s="1116"/>
      <c r="EP157" s="1116"/>
      <c r="EQ157" s="1116"/>
      <c r="ER157" s="1116"/>
      <c r="ES157" s="1116"/>
    </row>
    <row r="158" spans="1:149" ht="15" customHeight="1">
      <c r="A158" s="1185">
        <v>148</v>
      </c>
      <c r="B158" s="1041"/>
      <c r="C158" s="1050"/>
      <c r="D158" s="1050"/>
      <c r="E158" s="1050"/>
      <c r="F158" s="1049"/>
      <c r="G158" s="1049"/>
      <c r="H158" s="1049"/>
      <c r="I158" s="1049"/>
      <c r="J158" s="1050"/>
      <c r="K158" s="1050"/>
      <c r="L158" s="1043"/>
      <c r="M158" s="1051"/>
      <c r="N158" s="1051"/>
      <c r="O158" s="1052"/>
      <c r="P158" s="1051"/>
      <c r="Q158" s="1051"/>
      <c r="R158" s="1052"/>
      <c r="S158" s="1051"/>
      <c r="T158" s="1051"/>
      <c r="U158" s="1052"/>
      <c r="V158" s="1051"/>
      <c r="W158" s="1051"/>
      <c r="X158" s="1052"/>
      <c r="Y158" s="1053"/>
      <c r="Z158" s="1051"/>
      <c r="AA158" s="1051"/>
      <c r="AB158" s="1052"/>
      <c r="AC158" s="1051"/>
      <c r="AD158" s="1051"/>
      <c r="AE158" s="1052"/>
      <c r="AF158" s="1051"/>
      <c r="AG158" s="1051"/>
      <c r="AH158" s="1051"/>
      <c r="AI158" s="1051"/>
      <c r="AJ158" s="1052"/>
      <c r="AK158" s="1051"/>
      <c r="AL158" s="1051"/>
      <c r="AM158" s="1052"/>
      <c r="AN158" s="1051"/>
      <c r="AO158" s="1051"/>
      <c r="AP158" s="1052"/>
      <c r="AQ158" s="1051"/>
      <c r="AR158" s="1051"/>
      <c r="AS158" s="1052"/>
      <c r="AT158" s="1051"/>
      <c r="AU158" s="1051"/>
      <c r="AV158" s="1052"/>
      <c r="AW158" s="1051"/>
      <c r="AX158" s="1051"/>
      <c r="AY158" s="1053"/>
      <c r="AZ158" s="1051"/>
      <c r="BA158" s="1051"/>
      <c r="BB158" s="1053"/>
      <c r="BC158" s="1051"/>
      <c r="BD158" s="1051"/>
      <c r="BE158" s="1053"/>
      <c r="BF158" s="1051"/>
      <c r="BG158" s="1051"/>
      <c r="BH158" s="1053"/>
      <c r="BI158" s="1052"/>
      <c r="BJ158" s="1052"/>
      <c r="BK158" s="1052"/>
      <c r="BL158" s="1052"/>
      <c r="BM158" s="1052"/>
      <c r="BN158" s="1054"/>
      <c r="BO158" s="1076">
        <f t="shared" si="3"/>
        <v>0</v>
      </c>
      <c r="BP158" s="1051"/>
      <c r="BQ158" s="1052"/>
      <c r="BR158" s="1054"/>
      <c r="BS158" s="1053"/>
      <c r="BT158" s="1051"/>
      <c r="BU158" s="1051"/>
      <c r="BV158" s="1051"/>
      <c r="BW158" s="1052"/>
      <c r="BX158" s="1052"/>
      <c r="BY158" s="1052"/>
      <c r="BZ158" s="1052"/>
      <c r="CA158" s="1052"/>
      <c r="CB158" s="1053"/>
      <c r="CC158" s="1053"/>
      <c r="CD158" s="1053"/>
      <c r="CE158" s="1053"/>
      <c r="CF158" s="1053"/>
      <c r="CG158" s="1053"/>
      <c r="CH158" s="1053"/>
      <c r="CI158" s="1123"/>
      <c r="CJ158" s="1123"/>
      <c r="CK158" s="1123"/>
      <c r="CL158" s="1123"/>
      <c r="CM158" s="1123"/>
      <c r="CN158" s="1123"/>
      <c r="CO158" s="1123"/>
      <c r="CP158" s="1123"/>
      <c r="CQ158" s="1123"/>
      <c r="CR158" s="1123"/>
      <c r="CS158" s="1123"/>
      <c r="CT158" s="1123"/>
      <c r="CU158" s="1123"/>
      <c r="CV158" s="1123"/>
      <c r="CW158" s="1123"/>
      <c r="CX158" s="1123"/>
      <c r="CY158" s="1123"/>
      <c r="CZ158" s="1114"/>
      <c r="DA158" s="1114"/>
      <c r="DB158" s="1114"/>
      <c r="DC158" s="1114"/>
      <c r="DD158" s="1114"/>
      <c r="DE158" s="1114"/>
      <c r="DF158" s="1114"/>
      <c r="DG158" s="1114"/>
      <c r="DH158" s="1114"/>
      <c r="DI158" s="1114"/>
      <c r="DJ158" s="1114"/>
      <c r="DK158" s="1114"/>
      <c r="DL158" s="1114"/>
      <c r="DM158" s="1114"/>
      <c r="DN158" s="1114"/>
      <c r="DO158" s="1114"/>
      <c r="DP158" s="1114"/>
      <c r="DQ158" s="1114"/>
      <c r="DR158" s="1114"/>
      <c r="DS158" s="1114"/>
      <c r="DT158" s="1114"/>
      <c r="DU158" s="1114"/>
      <c r="DV158" s="1115"/>
      <c r="DW158" s="1116"/>
      <c r="DX158" s="1116"/>
      <c r="DY158" s="1116"/>
      <c r="DZ158" s="1116"/>
      <c r="EA158" s="1116"/>
      <c r="EB158" s="1116"/>
      <c r="EC158" s="1116"/>
      <c r="ED158" s="1116"/>
      <c r="EE158" s="1116"/>
      <c r="EF158" s="1116"/>
      <c r="EG158" s="1116"/>
      <c r="EH158" s="1116"/>
      <c r="EI158" s="1116"/>
      <c r="EJ158" s="1116"/>
      <c r="EK158" s="1116"/>
      <c r="EL158" s="1116"/>
      <c r="EM158" s="1116"/>
      <c r="EN158" s="1116"/>
      <c r="EO158" s="1116"/>
      <c r="EP158" s="1116"/>
      <c r="EQ158" s="1116"/>
      <c r="ER158" s="1116"/>
      <c r="ES158" s="1116"/>
    </row>
    <row r="159" spans="1:149" ht="15" customHeight="1">
      <c r="A159" s="1185">
        <v>149</v>
      </c>
      <c r="B159" s="1041"/>
      <c r="C159" s="1050"/>
      <c r="D159" s="1050"/>
      <c r="E159" s="1050"/>
      <c r="F159" s="1049"/>
      <c r="G159" s="1049"/>
      <c r="H159" s="1049"/>
      <c r="I159" s="1049"/>
      <c r="J159" s="1050"/>
      <c r="K159" s="1050"/>
      <c r="L159" s="1043"/>
      <c r="M159" s="1051"/>
      <c r="N159" s="1051"/>
      <c r="O159" s="1052"/>
      <c r="P159" s="1051"/>
      <c r="Q159" s="1051"/>
      <c r="R159" s="1052"/>
      <c r="S159" s="1051"/>
      <c r="T159" s="1051"/>
      <c r="U159" s="1052"/>
      <c r="V159" s="1051"/>
      <c r="W159" s="1051"/>
      <c r="X159" s="1052"/>
      <c r="Y159" s="1053"/>
      <c r="Z159" s="1051"/>
      <c r="AA159" s="1051"/>
      <c r="AB159" s="1052"/>
      <c r="AC159" s="1051"/>
      <c r="AD159" s="1051"/>
      <c r="AE159" s="1052"/>
      <c r="AF159" s="1051"/>
      <c r="AG159" s="1051"/>
      <c r="AH159" s="1051"/>
      <c r="AI159" s="1051"/>
      <c r="AJ159" s="1052"/>
      <c r="AK159" s="1051"/>
      <c r="AL159" s="1051"/>
      <c r="AM159" s="1052"/>
      <c r="AN159" s="1051"/>
      <c r="AO159" s="1051"/>
      <c r="AP159" s="1052"/>
      <c r="AQ159" s="1051"/>
      <c r="AR159" s="1051"/>
      <c r="AS159" s="1052"/>
      <c r="AT159" s="1051"/>
      <c r="AU159" s="1051"/>
      <c r="AV159" s="1052"/>
      <c r="AW159" s="1051"/>
      <c r="AX159" s="1051"/>
      <c r="AY159" s="1053"/>
      <c r="AZ159" s="1051"/>
      <c r="BA159" s="1051"/>
      <c r="BB159" s="1053"/>
      <c r="BC159" s="1051"/>
      <c r="BD159" s="1051"/>
      <c r="BE159" s="1053"/>
      <c r="BF159" s="1051"/>
      <c r="BG159" s="1051"/>
      <c r="BH159" s="1053"/>
      <c r="BI159" s="1052"/>
      <c r="BJ159" s="1052"/>
      <c r="BK159" s="1052"/>
      <c r="BL159" s="1052"/>
      <c r="BM159" s="1052"/>
      <c r="BN159" s="1054"/>
      <c r="BO159" s="1076">
        <f t="shared" si="3"/>
        <v>0</v>
      </c>
      <c r="BP159" s="1051"/>
      <c r="BQ159" s="1052"/>
      <c r="BR159" s="1054"/>
      <c r="BS159" s="1053"/>
      <c r="BT159" s="1051"/>
      <c r="BU159" s="1051"/>
      <c r="BV159" s="1051"/>
      <c r="BW159" s="1052"/>
      <c r="BX159" s="1052"/>
      <c r="BY159" s="1052"/>
      <c r="BZ159" s="1052"/>
      <c r="CA159" s="1052"/>
      <c r="CB159" s="1053"/>
      <c r="CC159" s="1053"/>
      <c r="CD159" s="1053"/>
      <c r="CE159" s="1053"/>
      <c r="CF159" s="1053"/>
      <c r="CG159" s="1053"/>
      <c r="CH159" s="1053"/>
      <c r="CI159" s="1123"/>
      <c r="CJ159" s="1123"/>
      <c r="CK159" s="1123"/>
      <c r="CL159" s="1123"/>
      <c r="CM159" s="1123"/>
      <c r="CN159" s="1123"/>
      <c r="CO159" s="1123"/>
      <c r="CP159" s="1123"/>
      <c r="CQ159" s="1123"/>
      <c r="CR159" s="1123"/>
      <c r="CS159" s="1123"/>
      <c r="CT159" s="1123"/>
      <c r="CU159" s="1123"/>
      <c r="CV159" s="1123"/>
      <c r="CW159" s="1123"/>
      <c r="CX159" s="1123"/>
      <c r="CY159" s="1123"/>
      <c r="CZ159" s="1114"/>
      <c r="DA159" s="1114"/>
      <c r="DB159" s="1114"/>
      <c r="DC159" s="1114"/>
      <c r="DD159" s="1114"/>
      <c r="DE159" s="1114"/>
      <c r="DF159" s="1114"/>
      <c r="DG159" s="1114"/>
      <c r="DH159" s="1114"/>
      <c r="DI159" s="1114"/>
      <c r="DJ159" s="1114"/>
      <c r="DK159" s="1114"/>
      <c r="DL159" s="1114"/>
      <c r="DM159" s="1114"/>
      <c r="DN159" s="1114"/>
      <c r="DO159" s="1114"/>
      <c r="DP159" s="1114"/>
      <c r="DQ159" s="1114"/>
      <c r="DR159" s="1114"/>
      <c r="DS159" s="1114"/>
      <c r="DT159" s="1114"/>
      <c r="DU159" s="1114"/>
      <c r="DV159" s="1115"/>
      <c r="DW159" s="1116"/>
      <c r="DX159" s="1116"/>
      <c r="DY159" s="1116"/>
      <c r="DZ159" s="1116"/>
      <c r="EA159" s="1116"/>
      <c r="EB159" s="1116"/>
      <c r="EC159" s="1116"/>
      <c r="ED159" s="1116"/>
      <c r="EE159" s="1116"/>
      <c r="EF159" s="1116"/>
      <c r="EG159" s="1116"/>
      <c r="EH159" s="1116"/>
      <c r="EI159" s="1116"/>
      <c r="EJ159" s="1116"/>
      <c r="EK159" s="1116"/>
      <c r="EL159" s="1116"/>
      <c r="EM159" s="1116"/>
      <c r="EN159" s="1116"/>
      <c r="EO159" s="1116"/>
      <c r="EP159" s="1116"/>
      <c r="EQ159" s="1116"/>
      <c r="ER159" s="1116"/>
      <c r="ES159" s="1116"/>
    </row>
    <row r="160" spans="1:149" ht="15" customHeight="1">
      <c r="A160" s="1185">
        <v>150</v>
      </c>
      <c r="B160" s="1041"/>
      <c r="C160" s="1050"/>
      <c r="D160" s="1050"/>
      <c r="E160" s="1050"/>
      <c r="F160" s="1049"/>
      <c r="G160" s="1049"/>
      <c r="H160" s="1049"/>
      <c r="I160" s="1049"/>
      <c r="J160" s="1050"/>
      <c r="K160" s="1050"/>
      <c r="L160" s="1043"/>
      <c r="M160" s="1051"/>
      <c r="N160" s="1051"/>
      <c r="O160" s="1052"/>
      <c r="P160" s="1051"/>
      <c r="Q160" s="1051"/>
      <c r="R160" s="1052"/>
      <c r="S160" s="1051"/>
      <c r="T160" s="1051"/>
      <c r="U160" s="1052"/>
      <c r="V160" s="1051"/>
      <c r="W160" s="1051"/>
      <c r="X160" s="1052"/>
      <c r="Y160" s="1053"/>
      <c r="Z160" s="1051"/>
      <c r="AA160" s="1051"/>
      <c r="AB160" s="1052"/>
      <c r="AC160" s="1051"/>
      <c r="AD160" s="1051"/>
      <c r="AE160" s="1052"/>
      <c r="AF160" s="1051"/>
      <c r="AG160" s="1051"/>
      <c r="AH160" s="1051"/>
      <c r="AI160" s="1051"/>
      <c r="AJ160" s="1052"/>
      <c r="AK160" s="1051"/>
      <c r="AL160" s="1051"/>
      <c r="AM160" s="1052"/>
      <c r="AN160" s="1051"/>
      <c r="AO160" s="1051"/>
      <c r="AP160" s="1052"/>
      <c r="AQ160" s="1051"/>
      <c r="AR160" s="1051"/>
      <c r="AS160" s="1052"/>
      <c r="AT160" s="1051"/>
      <c r="AU160" s="1051"/>
      <c r="AV160" s="1052"/>
      <c r="AW160" s="1051"/>
      <c r="AX160" s="1051"/>
      <c r="AY160" s="1053"/>
      <c r="AZ160" s="1051"/>
      <c r="BA160" s="1051"/>
      <c r="BB160" s="1053"/>
      <c r="BC160" s="1051"/>
      <c r="BD160" s="1051"/>
      <c r="BE160" s="1053"/>
      <c r="BF160" s="1051"/>
      <c r="BG160" s="1051"/>
      <c r="BH160" s="1053"/>
      <c r="BI160" s="1052"/>
      <c r="BJ160" s="1052"/>
      <c r="BK160" s="1052"/>
      <c r="BL160" s="1052"/>
      <c r="BM160" s="1052"/>
      <c r="BN160" s="1054"/>
      <c r="BO160" s="1076">
        <f t="shared" si="3"/>
        <v>0</v>
      </c>
      <c r="BP160" s="1051"/>
      <c r="BQ160" s="1052"/>
      <c r="BR160" s="1054"/>
      <c r="BS160" s="1053"/>
      <c r="BT160" s="1051"/>
      <c r="BU160" s="1051"/>
      <c r="BV160" s="1051"/>
      <c r="BW160" s="1052"/>
      <c r="BX160" s="1052"/>
      <c r="BY160" s="1052"/>
      <c r="BZ160" s="1052"/>
      <c r="CA160" s="1052"/>
      <c r="CB160" s="1053"/>
      <c r="CC160" s="1053"/>
      <c r="CD160" s="1053"/>
      <c r="CE160" s="1053"/>
      <c r="CF160" s="1053"/>
      <c r="CG160" s="1053"/>
      <c r="CH160" s="1053"/>
      <c r="CI160" s="1123"/>
      <c r="CJ160" s="1123"/>
      <c r="CK160" s="1123"/>
      <c r="CL160" s="1123"/>
      <c r="CM160" s="1123"/>
      <c r="CN160" s="1123"/>
      <c r="CO160" s="1123"/>
      <c r="CP160" s="1123"/>
      <c r="CQ160" s="1123"/>
      <c r="CR160" s="1123"/>
      <c r="CS160" s="1123"/>
      <c r="CT160" s="1123"/>
      <c r="CU160" s="1123"/>
      <c r="CV160" s="1123"/>
      <c r="CW160" s="1123"/>
      <c r="CX160" s="1123"/>
      <c r="CY160" s="1123"/>
      <c r="CZ160" s="1114"/>
      <c r="DA160" s="1114"/>
      <c r="DB160" s="1114"/>
      <c r="DC160" s="1114"/>
      <c r="DD160" s="1114"/>
      <c r="DE160" s="1114"/>
      <c r="DF160" s="1114"/>
      <c r="DG160" s="1114"/>
      <c r="DH160" s="1114"/>
      <c r="DI160" s="1114"/>
      <c r="DJ160" s="1114"/>
      <c r="DK160" s="1114"/>
      <c r="DL160" s="1114"/>
      <c r="DM160" s="1114"/>
      <c r="DN160" s="1114"/>
      <c r="DO160" s="1114"/>
      <c r="DP160" s="1114"/>
      <c r="DQ160" s="1114"/>
      <c r="DR160" s="1114"/>
      <c r="DS160" s="1114"/>
      <c r="DT160" s="1114"/>
      <c r="DU160" s="1114"/>
      <c r="DV160" s="1115"/>
      <c r="DW160" s="1116"/>
      <c r="DX160" s="1116"/>
      <c r="DY160" s="1116"/>
      <c r="DZ160" s="1116"/>
      <c r="EA160" s="1116"/>
      <c r="EB160" s="1116"/>
      <c r="EC160" s="1116"/>
      <c r="ED160" s="1116"/>
      <c r="EE160" s="1116"/>
      <c r="EF160" s="1116"/>
      <c r="EG160" s="1116"/>
      <c r="EH160" s="1116"/>
      <c r="EI160" s="1116"/>
      <c r="EJ160" s="1116"/>
      <c r="EK160" s="1116"/>
      <c r="EL160" s="1116"/>
      <c r="EM160" s="1116"/>
      <c r="EN160" s="1116"/>
      <c r="EO160" s="1116"/>
      <c r="EP160" s="1116"/>
      <c r="EQ160" s="1116"/>
      <c r="ER160" s="1116"/>
      <c r="ES160" s="1116"/>
    </row>
    <row r="161" spans="1:149" ht="15" customHeight="1">
      <c r="A161" s="1185">
        <v>151</v>
      </c>
      <c r="B161" s="1041"/>
      <c r="C161" s="1050"/>
      <c r="D161" s="1050"/>
      <c r="E161" s="1050"/>
      <c r="F161" s="1049"/>
      <c r="G161" s="1049"/>
      <c r="H161" s="1049"/>
      <c r="I161" s="1049"/>
      <c r="J161" s="1050"/>
      <c r="K161" s="1050"/>
      <c r="L161" s="1043"/>
      <c r="M161" s="1051"/>
      <c r="N161" s="1051"/>
      <c r="O161" s="1052"/>
      <c r="P161" s="1051"/>
      <c r="Q161" s="1051"/>
      <c r="R161" s="1052"/>
      <c r="S161" s="1051"/>
      <c r="T161" s="1051"/>
      <c r="U161" s="1052"/>
      <c r="V161" s="1051"/>
      <c r="W161" s="1051"/>
      <c r="X161" s="1052"/>
      <c r="Y161" s="1053"/>
      <c r="Z161" s="1051"/>
      <c r="AA161" s="1051"/>
      <c r="AB161" s="1052"/>
      <c r="AC161" s="1051"/>
      <c r="AD161" s="1051"/>
      <c r="AE161" s="1052"/>
      <c r="AF161" s="1051"/>
      <c r="AG161" s="1051"/>
      <c r="AH161" s="1051"/>
      <c r="AI161" s="1051"/>
      <c r="AJ161" s="1052"/>
      <c r="AK161" s="1051"/>
      <c r="AL161" s="1051"/>
      <c r="AM161" s="1052"/>
      <c r="AN161" s="1051"/>
      <c r="AO161" s="1051"/>
      <c r="AP161" s="1052"/>
      <c r="AQ161" s="1051"/>
      <c r="AR161" s="1051"/>
      <c r="AS161" s="1052"/>
      <c r="AT161" s="1051"/>
      <c r="AU161" s="1051"/>
      <c r="AV161" s="1052"/>
      <c r="AW161" s="1051"/>
      <c r="AX161" s="1051"/>
      <c r="AY161" s="1053"/>
      <c r="AZ161" s="1051"/>
      <c r="BA161" s="1051"/>
      <c r="BB161" s="1053"/>
      <c r="BC161" s="1051"/>
      <c r="BD161" s="1051"/>
      <c r="BE161" s="1053"/>
      <c r="BF161" s="1051"/>
      <c r="BG161" s="1051"/>
      <c r="BH161" s="1053"/>
      <c r="BI161" s="1052"/>
      <c r="BJ161" s="1052"/>
      <c r="BK161" s="1052"/>
      <c r="BL161" s="1052"/>
      <c r="BM161" s="1052"/>
      <c r="BN161" s="1054"/>
      <c r="BO161" s="1076">
        <f t="shared" si="3"/>
        <v>0</v>
      </c>
      <c r="BP161" s="1051"/>
      <c r="BQ161" s="1052"/>
      <c r="BR161" s="1054"/>
      <c r="BS161" s="1053"/>
      <c r="BT161" s="1051"/>
      <c r="BU161" s="1051"/>
      <c r="BV161" s="1051"/>
      <c r="BW161" s="1052"/>
      <c r="BX161" s="1052"/>
      <c r="BY161" s="1052"/>
      <c r="BZ161" s="1052"/>
      <c r="CA161" s="1052"/>
      <c r="CB161" s="1053"/>
      <c r="CC161" s="1053"/>
      <c r="CD161" s="1053"/>
      <c r="CE161" s="1053"/>
      <c r="CF161" s="1053"/>
      <c r="CG161" s="1053"/>
      <c r="CH161" s="1053"/>
      <c r="CI161" s="1123"/>
      <c r="CJ161" s="1123"/>
      <c r="CK161" s="1123"/>
      <c r="CL161" s="1123"/>
      <c r="CM161" s="1123"/>
      <c r="CN161" s="1123"/>
      <c r="CO161" s="1123"/>
      <c r="CP161" s="1123"/>
      <c r="CQ161" s="1123"/>
      <c r="CR161" s="1123"/>
      <c r="CS161" s="1123"/>
      <c r="CT161" s="1123"/>
      <c r="CU161" s="1123"/>
      <c r="CV161" s="1123"/>
      <c r="CW161" s="1123"/>
      <c r="CX161" s="1123"/>
      <c r="CY161" s="1123"/>
      <c r="CZ161" s="1114"/>
      <c r="DA161" s="1114"/>
      <c r="DB161" s="1114"/>
      <c r="DC161" s="1114"/>
      <c r="DD161" s="1114"/>
      <c r="DE161" s="1114"/>
      <c r="DF161" s="1114"/>
      <c r="DG161" s="1114"/>
      <c r="DH161" s="1114"/>
      <c r="DI161" s="1114"/>
      <c r="DJ161" s="1114"/>
      <c r="DK161" s="1114"/>
      <c r="DL161" s="1114"/>
      <c r="DM161" s="1114"/>
      <c r="DN161" s="1114"/>
      <c r="DO161" s="1114"/>
      <c r="DP161" s="1114"/>
      <c r="DQ161" s="1114"/>
      <c r="DR161" s="1114"/>
      <c r="DS161" s="1114"/>
      <c r="DT161" s="1114"/>
      <c r="DU161" s="1114"/>
      <c r="DV161" s="1115"/>
      <c r="DW161" s="1116"/>
      <c r="DX161" s="1116"/>
      <c r="DY161" s="1116"/>
      <c r="DZ161" s="1116"/>
      <c r="EA161" s="1116"/>
      <c r="EB161" s="1116"/>
      <c r="EC161" s="1116"/>
      <c r="ED161" s="1116"/>
      <c r="EE161" s="1116"/>
      <c r="EF161" s="1116"/>
      <c r="EG161" s="1116"/>
      <c r="EH161" s="1116"/>
      <c r="EI161" s="1116"/>
      <c r="EJ161" s="1116"/>
      <c r="EK161" s="1116"/>
      <c r="EL161" s="1116"/>
      <c r="EM161" s="1116"/>
      <c r="EN161" s="1116"/>
      <c r="EO161" s="1116"/>
      <c r="EP161" s="1116"/>
      <c r="EQ161" s="1116"/>
      <c r="ER161" s="1116"/>
      <c r="ES161" s="1116"/>
    </row>
    <row r="162" spans="1:149" ht="15" customHeight="1">
      <c r="A162" s="1185">
        <v>152</v>
      </c>
      <c r="B162" s="1041"/>
      <c r="C162" s="1050"/>
      <c r="D162" s="1050"/>
      <c r="E162" s="1050"/>
      <c r="F162" s="1049"/>
      <c r="G162" s="1049"/>
      <c r="H162" s="1049"/>
      <c r="I162" s="1049"/>
      <c r="J162" s="1050"/>
      <c r="K162" s="1050"/>
      <c r="L162" s="1043"/>
      <c r="M162" s="1051"/>
      <c r="N162" s="1051"/>
      <c r="O162" s="1052"/>
      <c r="P162" s="1051"/>
      <c r="Q162" s="1051"/>
      <c r="R162" s="1052"/>
      <c r="S162" s="1051"/>
      <c r="T162" s="1051"/>
      <c r="U162" s="1052"/>
      <c r="V162" s="1051"/>
      <c r="W162" s="1051"/>
      <c r="X162" s="1052"/>
      <c r="Y162" s="1053"/>
      <c r="Z162" s="1051"/>
      <c r="AA162" s="1051"/>
      <c r="AB162" s="1052"/>
      <c r="AC162" s="1051"/>
      <c r="AD162" s="1051"/>
      <c r="AE162" s="1052"/>
      <c r="AF162" s="1051"/>
      <c r="AG162" s="1051"/>
      <c r="AH162" s="1051"/>
      <c r="AI162" s="1051"/>
      <c r="AJ162" s="1052"/>
      <c r="AK162" s="1051"/>
      <c r="AL162" s="1051"/>
      <c r="AM162" s="1052"/>
      <c r="AN162" s="1051"/>
      <c r="AO162" s="1051"/>
      <c r="AP162" s="1052"/>
      <c r="AQ162" s="1051"/>
      <c r="AR162" s="1051"/>
      <c r="AS162" s="1052"/>
      <c r="AT162" s="1051"/>
      <c r="AU162" s="1051"/>
      <c r="AV162" s="1052"/>
      <c r="AW162" s="1051"/>
      <c r="AX162" s="1051"/>
      <c r="AY162" s="1053"/>
      <c r="AZ162" s="1051"/>
      <c r="BA162" s="1051"/>
      <c r="BB162" s="1053"/>
      <c r="BC162" s="1051"/>
      <c r="BD162" s="1051"/>
      <c r="BE162" s="1053"/>
      <c r="BF162" s="1051"/>
      <c r="BG162" s="1051"/>
      <c r="BH162" s="1053"/>
      <c r="BI162" s="1052"/>
      <c r="BJ162" s="1052"/>
      <c r="BK162" s="1052"/>
      <c r="BL162" s="1052"/>
      <c r="BM162" s="1052"/>
      <c r="BN162" s="1054"/>
      <c r="BO162" s="1076">
        <f t="shared" si="3"/>
        <v>0</v>
      </c>
      <c r="BP162" s="1051"/>
      <c r="BQ162" s="1052"/>
      <c r="BR162" s="1054"/>
      <c r="BS162" s="1053"/>
      <c r="BT162" s="1051"/>
      <c r="BU162" s="1051"/>
      <c r="BV162" s="1051"/>
      <c r="BW162" s="1052"/>
      <c r="BX162" s="1052"/>
      <c r="BY162" s="1052"/>
      <c r="BZ162" s="1052"/>
      <c r="CA162" s="1052"/>
      <c r="CB162" s="1053"/>
      <c r="CC162" s="1053"/>
      <c r="CD162" s="1053"/>
      <c r="CE162" s="1053"/>
      <c r="CF162" s="1053"/>
      <c r="CG162" s="1053"/>
      <c r="CH162" s="1053"/>
      <c r="CI162" s="1123"/>
      <c r="CJ162" s="1123"/>
      <c r="CK162" s="1123"/>
      <c r="CL162" s="1123"/>
      <c r="CM162" s="1123"/>
      <c r="CN162" s="1123"/>
      <c r="CO162" s="1123"/>
      <c r="CP162" s="1123"/>
      <c r="CQ162" s="1123"/>
      <c r="CR162" s="1123"/>
      <c r="CS162" s="1123"/>
      <c r="CT162" s="1123"/>
      <c r="CU162" s="1123"/>
      <c r="CV162" s="1123"/>
      <c r="CW162" s="1123"/>
      <c r="CX162" s="1123"/>
      <c r="CY162" s="1123"/>
      <c r="CZ162" s="1114"/>
      <c r="DA162" s="1114"/>
      <c r="DB162" s="1114"/>
      <c r="DC162" s="1114"/>
      <c r="DD162" s="1114"/>
      <c r="DE162" s="1114"/>
      <c r="DF162" s="1114"/>
      <c r="DG162" s="1114"/>
      <c r="DH162" s="1114"/>
      <c r="DI162" s="1114"/>
      <c r="DJ162" s="1114"/>
      <c r="DK162" s="1114"/>
      <c r="DL162" s="1114"/>
      <c r="DM162" s="1114"/>
      <c r="DN162" s="1114"/>
      <c r="DO162" s="1114"/>
      <c r="DP162" s="1114"/>
      <c r="DQ162" s="1114"/>
      <c r="DR162" s="1114"/>
      <c r="DS162" s="1114"/>
      <c r="DT162" s="1114"/>
      <c r="DU162" s="1114"/>
      <c r="DV162" s="1115"/>
      <c r="DW162" s="1116"/>
      <c r="DX162" s="1116"/>
      <c r="DY162" s="1116"/>
      <c r="DZ162" s="1116"/>
      <c r="EA162" s="1116"/>
      <c r="EB162" s="1116"/>
      <c r="EC162" s="1116"/>
      <c r="ED162" s="1116"/>
      <c r="EE162" s="1116"/>
      <c r="EF162" s="1116"/>
      <c r="EG162" s="1116"/>
      <c r="EH162" s="1116"/>
      <c r="EI162" s="1116"/>
      <c r="EJ162" s="1116"/>
      <c r="EK162" s="1116"/>
      <c r="EL162" s="1116"/>
      <c r="EM162" s="1116"/>
      <c r="EN162" s="1116"/>
      <c r="EO162" s="1116"/>
      <c r="EP162" s="1116"/>
      <c r="EQ162" s="1116"/>
      <c r="ER162" s="1116"/>
      <c r="ES162" s="1116"/>
    </row>
    <row r="163" spans="1:149" ht="15" customHeight="1">
      <c r="A163" s="1185">
        <v>153</v>
      </c>
      <c r="B163" s="1041"/>
      <c r="C163" s="1050"/>
      <c r="D163" s="1050"/>
      <c r="E163" s="1050"/>
      <c r="F163" s="1049"/>
      <c r="G163" s="1049"/>
      <c r="H163" s="1049"/>
      <c r="I163" s="1049"/>
      <c r="J163" s="1050"/>
      <c r="K163" s="1050"/>
      <c r="L163" s="1043"/>
      <c r="M163" s="1051"/>
      <c r="N163" s="1051"/>
      <c r="O163" s="1052"/>
      <c r="P163" s="1051"/>
      <c r="Q163" s="1051"/>
      <c r="R163" s="1052"/>
      <c r="S163" s="1051"/>
      <c r="T163" s="1051"/>
      <c r="U163" s="1052"/>
      <c r="V163" s="1051"/>
      <c r="W163" s="1051"/>
      <c r="X163" s="1052"/>
      <c r="Y163" s="1053"/>
      <c r="Z163" s="1051"/>
      <c r="AA163" s="1051"/>
      <c r="AB163" s="1052"/>
      <c r="AC163" s="1051"/>
      <c r="AD163" s="1051"/>
      <c r="AE163" s="1052"/>
      <c r="AF163" s="1051"/>
      <c r="AG163" s="1051"/>
      <c r="AH163" s="1051"/>
      <c r="AI163" s="1051"/>
      <c r="AJ163" s="1052"/>
      <c r="AK163" s="1051"/>
      <c r="AL163" s="1051"/>
      <c r="AM163" s="1052"/>
      <c r="AN163" s="1051"/>
      <c r="AO163" s="1051"/>
      <c r="AP163" s="1052"/>
      <c r="AQ163" s="1051"/>
      <c r="AR163" s="1051"/>
      <c r="AS163" s="1052"/>
      <c r="AT163" s="1051"/>
      <c r="AU163" s="1051"/>
      <c r="AV163" s="1052"/>
      <c r="AW163" s="1051"/>
      <c r="AX163" s="1051"/>
      <c r="AY163" s="1053"/>
      <c r="AZ163" s="1051"/>
      <c r="BA163" s="1051"/>
      <c r="BB163" s="1053"/>
      <c r="BC163" s="1051"/>
      <c r="BD163" s="1051"/>
      <c r="BE163" s="1053"/>
      <c r="BF163" s="1051"/>
      <c r="BG163" s="1051"/>
      <c r="BH163" s="1053"/>
      <c r="BI163" s="1052"/>
      <c r="BJ163" s="1052"/>
      <c r="BK163" s="1052"/>
      <c r="BL163" s="1052"/>
      <c r="BM163" s="1052"/>
      <c r="BN163" s="1054"/>
      <c r="BO163" s="1076">
        <f t="shared" si="3"/>
        <v>0</v>
      </c>
      <c r="BP163" s="1051"/>
      <c r="BQ163" s="1052"/>
      <c r="BR163" s="1054"/>
      <c r="BS163" s="1053"/>
      <c r="BT163" s="1051"/>
      <c r="BU163" s="1051"/>
      <c r="BV163" s="1051"/>
      <c r="BW163" s="1052"/>
      <c r="BX163" s="1052"/>
      <c r="BY163" s="1052"/>
      <c r="BZ163" s="1052"/>
      <c r="CA163" s="1052"/>
      <c r="CB163" s="1053"/>
      <c r="CC163" s="1053"/>
      <c r="CD163" s="1053"/>
      <c r="CE163" s="1053"/>
      <c r="CF163" s="1053"/>
      <c r="CG163" s="1053"/>
      <c r="CH163" s="1053"/>
      <c r="CI163" s="1123"/>
      <c r="CJ163" s="1123"/>
      <c r="CK163" s="1123"/>
      <c r="CL163" s="1123"/>
      <c r="CM163" s="1123"/>
      <c r="CN163" s="1123"/>
      <c r="CO163" s="1123"/>
      <c r="CP163" s="1123"/>
      <c r="CQ163" s="1123"/>
      <c r="CR163" s="1123"/>
      <c r="CS163" s="1123"/>
      <c r="CT163" s="1123"/>
      <c r="CU163" s="1123"/>
      <c r="CV163" s="1123"/>
      <c r="CW163" s="1123"/>
      <c r="CX163" s="1123"/>
      <c r="CY163" s="1123"/>
      <c r="CZ163" s="1114"/>
      <c r="DA163" s="1114"/>
      <c r="DB163" s="1114"/>
      <c r="DC163" s="1114"/>
      <c r="DD163" s="1114"/>
      <c r="DE163" s="1114"/>
      <c r="DF163" s="1114"/>
      <c r="DG163" s="1114"/>
      <c r="DH163" s="1114"/>
      <c r="DI163" s="1114"/>
      <c r="DJ163" s="1114"/>
      <c r="DK163" s="1114"/>
      <c r="DL163" s="1114"/>
      <c r="DM163" s="1114"/>
      <c r="DN163" s="1114"/>
      <c r="DO163" s="1114"/>
      <c r="DP163" s="1114"/>
      <c r="DQ163" s="1114"/>
      <c r="DR163" s="1114"/>
      <c r="DS163" s="1114"/>
      <c r="DT163" s="1114"/>
      <c r="DU163" s="1114"/>
      <c r="DV163" s="1115"/>
      <c r="DW163" s="1116"/>
      <c r="DX163" s="1116"/>
      <c r="DY163" s="1116"/>
      <c r="DZ163" s="1116"/>
      <c r="EA163" s="1116"/>
      <c r="EB163" s="1116"/>
      <c r="EC163" s="1116"/>
      <c r="ED163" s="1116"/>
      <c r="EE163" s="1116"/>
      <c r="EF163" s="1116"/>
      <c r="EG163" s="1116"/>
      <c r="EH163" s="1116"/>
      <c r="EI163" s="1116"/>
      <c r="EJ163" s="1116"/>
      <c r="EK163" s="1116"/>
      <c r="EL163" s="1116"/>
      <c r="EM163" s="1116"/>
      <c r="EN163" s="1116"/>
      <c r="EO163" s="1116"/>
      <c r="EP163" s="1116"/>
      <c r="EQ163" s="1116"/>
      <c r="ER163" s="1116"/>
      <c r="ES163" s="1116"/>
    </row>
    <row r="164" spans="1:149" ht="15" customHeight="1">
      <c r="A164" s="1185">
        <v>154</v>
      </c>
      <c r="B164" s="1041"/>
      <c r="C164" s="1050"/>
      <c r="D164" s="1050"/>
      <c r="E164" s="1050"/>
      <c r="F164" s="1049"/>
      <c r="G164" s="1049"/>
      <c r="H164" s="1049"/>
      <c r="I164" s="1049"/>
      <c r="J164" s="1050"/>
      <c r="K164" s="1050"/>
      <c r="L164" s="1043"/>
      <c r="M164" s="1051"/>
      <c r="N164" s="1051"/>
      <c r="O164" s="1052"/>
      <c r="P164" s="1051"/>
      <c r="Q164" s="1051"/>
      <c r="R164" s="1052"/>
      <c r="S164" s="1051"/>
      <c r="T164" s="1051"/>
      <c r="U164" s="1052"/>
      <c r="V164" s="1051"/>
      <c r="W164" s="1051"/>
      <c r="X164" s="1052"/>
      <c r="Y164" s="1053"/>
      <c r="Z164" s="1051"/>
      <c r="AA164" s="1051"/>
      <c r="AB164" s="1052"/>
      <c r="AC164" s="1051"/>
      <c r="AD164" s="1051"/>
      <c r="AE164" s="1052"/>
      <c r="AF164" s="1051"/>
      <c r="AG164" s="1051"/>
      <c r="AH164" s="1051"/>
      <c r="AI164" s="1051"/>
      <c r="AJ164" s="1052"/>
      <c r="AK164" s="1051"/>
      <c r="AL164" s="1051"/>
      <c r="AM164" s="1052"/>
      <c r="AN164" s="1051"/>
      <c r="AO164" s="1051"/>
      <c r="AP164" s="1052"/>
      <c r="AQ164" s="1051"/>
      <c r="AR164" s="1051"/>
      <c r="AS164" s="1052"/>
      <c r="AT164" s="1051"/>
      <c r="AU164" s="1051"/>
      <c r="AV164" s="1052"/>
      <c r="AW164" s="1051"/>
      <c r="AX164" s="1051"/>
      <c r="AY164" s="1053"/>
      <c r="AZ164" s="1051"/>
      <c r="BA164" s="1051"/>
      <c r="BB164" s="1053"/>
      <c r="BC164" s="1051"/>
      <c r="BD164" s="1051"/>
      <c r="BE164" s="1053"/>
      <c r="BF164" s="1051"/>
      <c r="BG164" s="1051"/>
      <c r="BH164" s="1053"/>
      <c r="BI164" s="1052"/>
      <c r="BJ164" s="1052"/>
      <c r="BK164" s="1052"/>
      <c r="BL164" s="1052"/>
      <c r="BM164" s="1052"/>
      <c r="BN164" s="1054"/>
      <c r="BO164" s="1076">
        <f t="shared" si="3"/>
        <v>0</v>
      </c>
      <c r="BP164" s="1051"/>
      <c r="BQ164" s="1052"/>
      <c r="BR164" s="1054"/>
      <c r="BS164" s="1053"/>
      <c r="BT164" s="1051"/>
      <c r="BU164" s="1051"/>
      <c r="BV164" s="1051"/>
      <c r="BW164" s="1052"/>
      <c r="BX164" s="1052"/>
      <c r="BY164" s="1052"/>
      <c r="BZ164" s="1052"/>
      <c r="CA164" s="1052"/>
      <c r="CB164" s="1053"/>
      <c r="CC164" s="1053"/>
      <c r="CD164" s="1053"/>
      <c r="CE164" s="1053"/>
      <c r="CF164" s="1053"/>
      <c r="CG164" s="1053"/>
      <c r="CH164" s="1053"/>
      <c r="CI164" s="1123"/>
      <c r="CJ164" s="1123"/>
      <c r="CK164" s="1123"/>
      <c r="CL164" s="1123"/>
      <c r="CM164" s="1123"/>
      <c r="CN164" s="1123"/>
      <c r="CO164" s="1123"/>
      <c r="CP164" s="1123"/>
      <c r="CQ164" s="1123"/>
      <c r="CR164" s="1123"/>
      <c r="CS164" s="1123"/>
      <c r="CT164" s="1123"/>
      <c r="CU164" s="1123"/>
      <c r="CV164" s="1123"/>
      <c r="CW164" s="1123"/>
      <c r="CX164" s="1123"/>
      <c r="CY164" s="1123"/>
      <c r="CZ164" s="1114"/>
      <c r="DA164" s="1114"/>
      <c r="DB164" s="1114"/>
      <c r="DC164" s="1114"/>
      <c r="DD164" s="1114"/>
      <c r="DE164" s="1114"/>
      <c r="DF164" s="1114"/>
      <c r="DG164" s="1114"/>
      <c r="DH164" s="1114"/>
      <c r="DI164" s="1114"/>
      <c r="DJ164" s="1114"/>
      <c r="DK164" s="1114"/>
      <c r="DL164" s="1114"/>
      <c r="DM164" s="1114"/>
      <c r="DN164" s="1114"/>
      <c r="DO164" s="1114"/>
      <c r="DP164" s="1114"/>
      <c r="DQ164" s="1114"/>
      <c r="DR164" s="1114"/>
      <c r="DS164" s="1114"/>
      <c r="DT164" s="1114"/>
      <c r="DU164" s="1114"/>
      <c r="DV164" s="1115"/>
      <c r="DW164" s="1116"/>
      <c r="DX164" s="1116"/>
      <c r="DY164" s="1116"/>
      <c r="DZ164" s="1116"/>
      <c r="EA164" s="1116"/>
      <c r="EB164" s="1116"/>
      <c r="EC164" s="1116"/>
      <c r="ED164" s="1116"/>
      <c r="EE164" s="1116"/>
      <c r="EF164" s="1116"/>
      <c r="EG164" s="1116"/>
      <c r="EH164" s="1116"/>
      <c r="EI164" s="1116"/>
      <c r="EJ164" s="1116"/>
      <c r="EK164" s="1116"/>
      <c r="EL164" s="1116"/>
      <c r="EM164" s="1116"/>
      <c r="EN164" s="1116"/>
      <c r="EO164" s="1116"/>
      <c r="EP164" s="1116"/>
      <c r="EQ164" s="1116"/>
      <c r="ER164" s="1116"/>
      <c r="ES164" s="1116"/>
    </row>
    <row r="165" spans="1:149" ht="15" customHeight="1">
      <c r="A165" s="1185">
        <v>155</v>
      </c>
      <c r="B165" s="1041"/>
      <c r="C165" s="1050"/>
      <c r="D165" s="1050"/>
      <c r="E165" s="1050"/>
      <c r="F165" s="1049"/>
      <c r="G165" s="1049"/>
      <c r="H165" s="1049"/>
      <c r="I165" s="1049"/>
      <c r="J165" s="1050"/>
      <c r="K165" s="1050"/>
      <c r="L165" s="1043"/>
      <c r="M165" s="1051"/>
      <c r="N165" s="1051"/>
      <c r="O165" s="1052"/>
      <c r="P165" s="1051"/>
      <c r="Q165" s="1051"/>
      <c r="R165" s="1052"/>
      <c r="S165" s="1051"/>
      <c r="T165" s="1051"/>
      <c r="U165" s="1052"/>
      <c r="V165" s="1051"/>
      <c r="W165" s="1051"/>
      <c r="X165" s="1052"/>
      <c r="Y165" s="1053"/>
      <c r="Z165" s="1051"/>
      <c r="AA165" s="1051"/>
      <c r="AB165" s="1052"/>
      <c r="AC165" s="1051"/>
      <c r="AD165" s="1051"/>
      <c r="AE165" s="1052"/>
      <c r="AF165" s="1051"/>
      <c r="AG165" s="1051"/>
      <c r="AH165" s="1051"/>
      <c r="AI165" s="1051"/>
      <c r="AJ165" s="1052"/>
      <c r="AK165" s="1051"/>
      <c r="AL165" s="1051"/>
      <c r="AM165" s="1052"/>
      <c r="AN165" s="1051"/>
      <c r="AO165" s="1051"/>
      <c r="AP165" s="1052"/>
      <c r="AQ165" s="1051"/>
      <c r="AR165" s="1051"/>
      <c r="AS165" s="1052"/>
      <c r="AT165" s="1051"/>
      <c r="AU165" s="1051"/>
      <c r="AV165" s="1052"/>
      <c r="AW165" s="1051"/>
      <c r="AX165" s="1051"/>
      <c r="AY165" s="1053"/>
      <c r="AZ165" s="1051"/>
      <c r="BA165" s="1051"/>
      <c r="BB165" s="1053"/>
      <c r="BC165" s="1051"/>
      <c r="BD165" s="1051"/>
      <c r="BE165" s="1053"/>
      <c r="BF165" s="1051"/>
      <c r="BG165" s="1051"/>
      <c r="BH165" s="1053"/>
      <c r="BI165" s="1052"/>
      <c r="BJ165" s="1052"/>
      <c r="BK165" s="1052"/>
      <c r="BL165" s="1052"/>
      <c r="BM165" s="1052"/>
      <c r="BN165" s="1054"/>
      <c r="BO165" s="1076">
        <f t="shared" si="3"/>
        <v>0</v>
      </c>
      <c r="BP165" s="1051"/>
      <c r="BQ165" s="1052"/>
      <c r="BR165" s="1054"/>
      <c r="BS165" s="1053"/>
      <c r="BT165" s="1051"/>
      <c r="BU165" s="1051"/>
      <c r="BV165" s="1051"/>
      <c r="BW165" s="1052"/>
      <c r="BX165" s="1052"/>
      <c r="BY165" s="1052"/>
      <c r="BZ165" s="1052"/>
      <c r="CA165" s="1052"/>
      <c r="CB165" s="1053"/>
      <c r="CC165" s="1053"/>
      <c r="CD165" s="1053"/>
      <c r="CE165" s="1053"/>
      <c r="CF165" s="1053"/>
      <c r="CG165" s="1053"/>
      <c r="CH165" s="1053"/>
      <c r="CI165" s="1123"/>
      <c r="CJ165" s="1123"/>
      <c r="CK165" s="1123"/>
      <c r="CL165" s="1123"/>
      <c r="CM165" s="1123"/>
      <c r="CN165" s="1123"/>
      <c r="CO165" s="1123"/>
      <c r="CP165" s="1123"/>
      <c r="CQ165" s="1123"/>
      <c r="CR165" s="1123"/>
      <c r="CS165" s="1123"/>
      <c r="CT165" s="1123"/>
      <c r="CU165" s="1123"/>
      <c r="CV165" s="1123"/>
      <c r="CW165" s="1123"/>
      <c r="CX165" s="1123"/>
      <c r="CY165" s="1123"/>
      <c r="CZ165" s="1114"/>
      <c r="DA165" s="1114"/>
      <c r="DB165" s="1114"/>
      <c r="DC165" s="1114"/>
      <c r="DD165" s="1114"/>
      <c r="DE165" s="1114"/>
      <c r="DF165" s="1114"/>
      <c r="DG165" s="1114"/>
      <c r="DH165" s="1114"/>
      <c r="DI165" s="1114"/>
      <c r="DJ165" s="1114"/>
      <c r="DK165" s="1114"/>
      <c r="DL165" s="1114"/>
      <c r="DM165" s="1114"/>
      <c r="DN165" s="1114"/>
      <c r="DO165" s="1114"/>
      <c r="DP165" s="1114"/>
      <c r="DQ165" s="1114"/>
      <c r="DR165" s="1114"/>
      <c r="DS165" s="1114"/>
      <c r="DT165" s="1114"/>
      <c r="DU165" s="1114"/>
      <c r="DV165" s="1115"/>
      <c r="DW165" s="1116"/>
      <c r="DX165" s="1116"/>
      <c r="DY165" s="1116"/>
      <c r="DZ165" s="1116"/>
      <c r="EA165" s="1116"/>
      <c r="EB165" s="1116"/>
      <c r="EC165" s="1116"/>
      <c r="ED165" s="1116"/>
      <c r="EE165" s="1116"/>
      <c r="EF165" s="1116"/>
      <c r="EG165" s="1116"/>
      <c r="EH165" s="1116"/>
      <c r="EI165" s="1116"/>
      <c r="EJ165" s="1116"/>
      <c r="EK165" s="1116"/>
      <c r="EL165" s="1116"/>
      <c r="EM165" s="1116"/>
      <c r="EN165" s="1116"/>
      <c r="EO165" s="1116"/>
      <c r="EP165" s="1116"/>
      <c r="EQ165" s="1116"/>
      <c r="ER165" s="1116"/>
      <c r="ES165" s="1116"/>
    </row>
    <row r="166" spans="1:149" ht="15" customHeight="1">
      <c r="A166" s="1185">
        <v>156</v>
      </c>
      <c r="B166" s="1041"/>
      <c r="C166" s="1050"/>
      <c r="D166" s="1050"/>
      <c r="E166" s="1050"/>
      <c r="F166" s="1049"/>
      <c r="G166" s="1049"/>
      <c r="H166" s="1049"/>
      <c r="I166" s="1049"/>
      <c r="J166" s="1050"/>
      <c r="K166" s="1050"/>
      <c r="L166" s="1043"/>
      <c r="M166" s="1051"/>
      <c r="N166" s="1051"/>
      <c r="O166" s="1052"/>
      <c r="P166" s="1051"/>
      <c r="Q166" s="1051"/>
      <c r="R166" s="1052"/>
      <c r="S166" s="1051"/>
      <c r="T166" s="1051"/>
      <c r="U166" s="1052"/>
      <c r="V166" s="1051"/>
      <c r="W166" s="1051"/>
      <c r="X166" s="1052"/>
      <c r="Y166" s="1053"/>
      <c r="Z166" s="1051"/>
      <c r="AA166" s="1051"/>
      <c r="AB166" s="1052"/>
      <c r="AC166" s="1051"/>
      <c r="AD166" s="1051"/>
      <c r="AE166" s="1052"/>
      <c r="AF166" s="1051"/>
      <c r="AG166" s="1051"/>
      <c r="AH166" s="1051"/>
      <c r="AI166" s="1051"/>
      <c r="AJ166" s="1052"/>
      <c r="AK166" s="1051"/>
      <c r="AL166" s="1051"/>
      <c r="AM166" s="1052"/>
      <c r="AN166" s="1051"/>
      <c r="AO166" s="1051"/>
      <c r="AP166" s="1052"/>
      <c r="AQ166" s="1051"/>
      <c r="AR166" s="1051"/>
      <c r="AS166" s="1052"/>
      <c r="AT166" s="1051"/>
      <c r="AU166" s="1051"/>
      <c r="AV166" s="1052"/>
      <c r="AW166" s="1051"/>
      <c r="AX166" s="1051"/>
      <c r="AY166" s="1053"/>
      <c r="AZ166" s="1051"/>
      <c r="BA166" s="1051"/>
      <c r="BB166" s="1053"/>
      <c r="BC166" s="1051"/>
      <c r="BD166" s="1051"/>
      <c r="BE166" s="1053"/>
      <c r="BF166" s="1051"/>
      <c r="BG166" s="1051"/>
      <c r="BH166" s="1053"/>
      <c r="BI166" s="1052"/>
      <c r="BJ166" s="1052"/>
      <c r="BK166" s="1052"/>
      <c r="BL166" s="1052"/>
      <c r="BM166" s="1052"/>
      <c r="BN166" s="1054"/>
      <c r="BO166" s="1076">
        <f t="shared" si="3"/>
        <v>0</v>
      </c>
      <c r="BP166" s="1051"/>
      <c r="BQ166" s="1052"/>
      <c r="BR166" s="1054"/>
      <c r="BS166" s="1053"/>
      <c r="BT166" s="1051"/>
      <c r="BU166" s="1051"/>
      <c r="BV166" s="1051"/>
      <c r="BW166" s="1052"/>
      <c r="BX166" s="1052"/>
      <c r="BY166" s="1052"/>
      <c r="BZ166" s="1052"/>
      <c r="CA166" s="1052"/>
      <c r="CB166" s="1053"/>
      <c r="CC166" s="1053"/>
      <c r="CD166" s="1053"/>
      <c r="CE166" s="1053"/>
      <c r="CF166" s="1053"/>
      <c r="CG166" s="1053"/>
      <c r="CH166" s="1053"/>
      <c r="CI166" s="1123"/>
      <c r="CJ166" s="1123"/>
      <c r="CK166" s="1123"/>
      <c r="CL166" s="1123"/>
      <c r="CM166" s="1123"/>
      <c r="CN166" s="1123"/>
      <c r="CO166" s="1123"/>
      <c r="CP166" s="1123"/>
      <c r="CQ166" s="1123"/>
      <c r="CR166" s="1123"/>
      <c r="CS166" s="1123"/>
      <c r="CT166" s="1123"/>
      <c r="CU166" s="1123"/>
      <c r="CV166" s="1123"/>
      <c r="CW166" s="1123"/>
      <c r="CX166" s="1123"/>
      <c r="CY166" s="1123"/>
      <c r="CZ166" s="1114"/>
      <c r="DA166" s="1114"/>
      <c r="DB166" s="1114"/>
      <c r="DC166" s="1114"/>
      <c r="DD166" s="1114"/>
      <c r="DE166" s="1114"/>
      <c r="DF166" s="1114"/>
      <c r="DG166" s="1114"/>
      <c r="DH166" s="1114"/>
      <c r="DI166" s="1114"/>
      <c r="DJ166" s="1114"/>
      <c r="DK166" s="1114"/>
      <c r="DL166" s="1114"/>
      <c r="DM166" s="1114"/>
      <c r="DN166" s="1114"/>
      <c r="DO166" s="1114"/>
      <c r="DP166" s="1114"/>
      <c r="DQ166" s="1114"/>
      <c r="DR166" s="1114"/>
      <c r="DS166" s="1114"/>
      <c r="DT166" s="1114"/>
      <c r="DU166" s="1114"/>
      <c r="DV166" s="1115"/>
      <c r="DW166" s="1116"/>
      <c r="DX166" s="1116"/>
      <c r="DY166" s="1116"/>
      <c r="DZ166" s="1116"/>
      <c r="EA166" s="1116"/>
      <c r="EB166" s="1116"/>
      <c r="EC166" s="1116"/>
      <c r="ED166" s="1116"/>
      <c r="EE166" s="1116"/>
      <c r="EF166" s="1116"/>
      <c r="EG166" s="1116"/>
      <c r="EH166" s="1116"/>
      <c r="EI166" s="1116"/>
      <c r="EJ166" s="1116"/>
      <c r="EK166" s="1116"/>
      <c r="EL166" s="1116"/>
      <c r="EM166" s="1116"/>
      <c r="EN166" s="1116"/>
      <c r="EO166" s="1116"/>
      <c r="EP166" s="1116"/>
      <c r="EQ166" s="1116"/>
      <c r="ER166" s="1116"/>
      <c r="ES166" s="1116"/>
    </row>
    <row r="167" spans="1:149" ht="15" customHeight="1">
      <c r="A167" s="1185">
        <v>157</v>
      </c>
      <c r="B167" s="1041"/>
      <c r="C167" s="1050"/>
      <c r="D167" s="1050"/>
      <c r="E167" s="1050"/>
      <c r="F167" s="1049"/>
      <c r="G167" s="1049"/>
      <c r="H167" s="1049"/>
      <c r="I167" s="1049"/>
      <c r="J167" s="1050"/>
      <c r="K167" s="1050"/>
      <c r="L167" s="1043"/>
      <c r="M167" s="1051"/>
      <c r="N167" s="1051"/>
      <c r="O167" s="1052"/>
      <c r="P167" s="1051"/>
      <c r="Q167" s="1051"/>
      <c r="R167" s="1052"/>
      <c r="S167" s="1051"/>
      <c r="T167" s="1051"/>
      <c r="U167" s="1052"/>
      <c r="V167" s="1051"/>
      <c r="W167" s="1051"/>
      <c r="X167" s="1052"/>
      <c r="Y167" s="1053"/>
      <c r="Z167" s="1051"/>
      <c r="AA167" s="1051"/>
      <c r="AB167" s="1052"/>
      <c r="AC167" s="1051"/>
      <c r="AD167" s="1051"/>
      <c r="AE167" s="1052"/>
      <c r="AF167" s="1051"/>
      <c r="AG167" s="1051"/>
      <c r="AH167" s="1051"/>
      <c r="AI167" s="1051"/>
      <c r="AJ167" s="1052"/>
      <c r="AK167" s="1051"/>
      <c r="AL167" s="1051"/>
      <c r="AM167" s="1052"/>
      <c r="AN167" s="1051"/>
      <c r="AO167" s="1051"/>
      <c r="AP167" s="1052"/>
      <c r="AQ167" s="1051"/>
      <c r="AR167" s="1051"/>
      <c r="AS167" s="1052"/>
      <c r="AT167" s="1051"/>
      <c r="AU167" s="1051"/>
      <c r="AV167" s="1052"/>
      <c r="AW167" s="1051"/>
      <c r="AX167" s="1051"/>
      <c r="AY167" s="1053"/>
      <c r="AZ167" s="1051"/>
      <c r="BA167" s="1051"/>
      <c r="BB167" s="1053"/>
      <c r="BC167" s="1051"/>
      <c r="BD167" s="1051"/>
      <c r="BE167" s="1053"/>
      <c r="BF167" s="1051"/>
      <c r="BG167" s="1051"/>
      <c r="BH167" s="1053"/>
      <c r="BI167" s="1052"/>
      <c r="BJ167" s="1052"/>
      <c r="BK167" s="1052"/>
      <c r="BL167" s="1052"/>
      <c r="BM167" s="1052"/>
      <c r="BN167" s="1054"/>
      <c r="BO167" s="1076">
        <f t="shared" si="3"/>
        <v>0</v>
      </c>
      <c r="BP167" s="1051"/>
      <c r="BQ167" s="1052"/>
      <c r="BR167" s="1054"/>
      <c r="BS167" s="1053"/>
      <c r="BT167" s="1051"/>
      <c r="BU167" s="1051"/>
      <c r="BV167" s="1051"/>
      <c r="BW167" s="1052"/>
      <c r="BX167" s="1052"/>
      <c r="BY167" s="1052"/>
      <c r="BZ167" s="1052"/>
      <c r="CA167" s="1052"/>
      <c r="CB167" s="1053"/>
      <c r="CC167" s="1053"/>
      <c r="CD167" s="1053"/>
      <c r="CE167" s="1053"/>
      <c r="CF167" s="1053"/>
      <c r="CG167" s="1053"/>
      <c r="CH167" s="1053"/>
      <c r="CI167" s="1123"/>
      <c r="CJ167" s="1123"/>
      <c r="CK167" s="1123"/>
      <c r="CL167" s="1123"/>
      <c r="CM167" s="1123"/>
      <c r="CN167" s="1123"/>
      <c r="CO167" s="1123"/>
      <c r="CP167" s="1123"/>
      <c r="CQ167" s="1123"/>
      <c r="CR167" s="1123"/>
      <c r="CS167" s="1123"/>
      <c r="CT167" s="1123"/>
      <c r="CU167" s="1123"/>
      <c r="CV167" s="1123"/>
      <c r="CW167" s="1123"/>
      <c r="CX167" s="1123"/>
      <c r="CY167" s="1123"/>
      <c r="CZ167" s="1114"/>
      <c r="DA167" s="1114"/>
      <c r="DB167" s="1114"/>
      <c r="DC167" s="1114"/>
      <c r="DD167" s="1114"/>
      <c r="DE167" s="1114"/>
      <c r="DF167" s="1114"/>
      <c r="DG167" s="1114"/>
      <c r="DH167" s="1114"/>
      <c r="DI167" s="1114"/>
      <c r="DJ167" s="1114"/>
      <c r="DK167" s="1114"/>
      <c r="DL167" s="1114"/>
      <c r="DM167" s="1114"/>
      <c r="DN167" s="1114"/>
      <c r="DO167" s="1114"/>
      <c r="DP167" s="1114"/>
      <c r="DQ167" s="1114"/>
      <c r="DR167" s="1114"/>
      <c r="DS167" s="1114"/>
      <c r="DT167" s="1114"/>
      <c r="DU167" s="1114"/>
      <c r="DV167" s="1115"/>
      <c r="DW167" s="1116"/>
      <c r="DX167" s="1116"/>
      <c r="DY167" s="1116"/>
      <c r="DZ167" s="1116"/>
      <c r="EA167" s="1116"/>
      <c r="EB167" s="1116"/>
      <c r="EC167" s="1116"/>
      <c r="ED167" s="1116"/>
      <c r="EE167" s="1116"/>
      <c r="EF167" s="1116"/>
      <c r="EG167" s="1116"/>
      <c r="EH167" s="1116"/>
      <c r="EI167" s="1116"/>
      <c r="EJ167" s="1116"/>
      <c r="EK167" s="1116"/>
      <c r="EL167" s="1116"/>
      <c r="EM167" s="1116"/>
      <c r="EN167" s="1116"/>
      <c r="EO167" s="1116"/>
      <c r="EP167" s="1116"/>
      <c r="EQ167" s="1116"/>
      <c r="ER167" s="1116"/>
      <c r="ES167" s="1116"/>
    </row>
    <row r="168" spans="1:149" ht="15" customHeight="1">
      <c r="A168" s="1185">
        <v>158</v>
      </c>
      <c r="B168" s="1041"/>
      <c r="C168" s="1050"/>
      <c r="D168" s="1050"/>
      <c r="E168" s="1050"/>
      <c r="F168" s="1049"/>
      <c r="G168" s="1049"/>
      <c r="H168" s="1049"/>
      <c r="I168" s="1049"/>
      <c r="J168" s="1050"/>
      <c r="K168" s="1050"/>
      <c r="L168" s="1043"/>
      <c r="M168" s="1051"/>
      <c r="N168" s="1051"/>
      <c r="O168" s="1052"/>
      <c r="P168" s="1051"/>
      <c r="Q168" s="1051"/>
      <c r="R168" s="1052"/>
      <c r="S168" s="1051"/>
      <c r="T168" s="1051"/>
      <c r="U168" s="1052"/>
      <c r="V168" s="1051"/>
      <c r="W168" s="1051"/>
      <c r="X168" s="1052"/>
      <c r="Y168" s="1053"/>
      <c r="Z168" s="1051"/>
      <c r="AA168" s="1051"/>
      <c r="AB168" s="1052"/>
      <c r="AC168" s="1051"/>
      <c r="AD168" s="1051"/>
      <c r="AE168" s="1052"/>
      <c r="AF168" s="1051"/>
      <c r="AG168" s="1051"/>
      <c r="AH168" s="1051"/>
      <c r="AI168" s="1051"/>
      <c r="AJ168" s="1052"/>
      <c r="AK168" s="1051"/>
      <c r="AL168" s="1051"/>
      <c r="AM168" s="1052"/>
      <c r="AN168" s="1051"/>
      <c r="AO168" s="1051"/>
      <c r="AP168" s="1052"/>
      <c r="AQ168" s="1051"/>
      <c r="AR168" s="1051"/>
      <c r="AS168" s="1052"/>
      <c r="AT168" s="1051"/>
      <c r="AU168" s="1051"/>
      <c r="AV168" s="1052"/>
      <c r="AW168" s="1051"/>
      <c r="AX168" s="1051"/>
      <c r="AY168" s="1053"/>
      <c r="AZ168" s="1051"/>
      <c r="BA168" s="1051"/>
      <c r="BB168" s="1053"/>
      <c r="BC168" s="1051"/>
      <c r="BD168" s="1051"/>
      <c r="BE168" s="1053"/>
      <c r="BF168" s="1051"/>
      <c r="BG168" s="1051"/>
      <c r="BH168" s="1053"/>
      <c r="BI168" s="1052"/>
      <c r="BJ168" s="1052"/>
      <c r="BK168" s="1052"/>
      <c r="BL168" s="1052"/>
      <c r="BM168" s="1052"/>
      <c r="BN168" s="1054"/>
      <c r="BO168" s="1076">
        <f t="shared" si="3"/>
        <v>0</v>
      </c>
      <c r="BP168" s="1051"/>
      <c r="BQ168" s="1052"/>
      <c r="BR168" s="1054"/>
      <c r="BS168" s="1053"/>
      <c r="BT168" s="1051"/>
      <c r="BU168" s="1051"/>
      <c r="BV168" s="1051"/>
      <c r="BW168" s="1052"/>
      <c r="BX168" s="1052"/>
      <c r="BY168" s="1052"/>
      <c r="BZ168" s="1052"/>
      <c r="CA168" s="1052"/>
      <c r="CB168" s="1053"/>
      <c r="CC168" s="1053"/>
      <c r="CD168" s="1053"/>
      <c r="CE168" s="1053"/>
      <c r="CF168" s="1053"/>
      <c r="CG168" s="1053"/>
      <c r="CH168" s="1053"/>
      <c r="CI168" s="1123"/>
      <c r="CJ168" s="1123"/>
      <c r="CK168" s="1123"/>
      <c r="CL168" s="1123"/>
      <c r="CM168" s="1123"/>
      <c r="CN168" s="1123"/>
      <c r="CO168" s="1123"/>
      <c r="CP168" s="1123"/>
      <c r="CQ168" s="1123"/>
      <c r="CR168" s="1123"/>
      <c r="CS168" s="1123"/>
      <c r="CT168" s="1123"/>
      <c r="CU168" s="1123"/>
      <c r="CV168" s="1123"/>
      <c r="CW168" s="1123"/>
      <c r="CX168" s="1123"/>
      <c r="CY168" s="1123"/>
      <c r="CZ168" s="1114"/>
      <c r="DA168" s="1114"/>
      <c r="DB168" s="1114"/>
      <c r="DC168" s="1114"/>
      <c r="DD168" s="1114"/>
      <c r="DE168" s="1114"/>
      <c r="DF168" s="1114"/>
      <c r="DG168" s="1114"/>
      <c r="DH168" s="1114"/>
      <c r="DI168" s="1114"/>
      <c r="DJ168" s="1114"/>
      <c r="DK168" s="1114"/>
      <c r="DL168" s="1114"/>
      <c r="DM168" s="1114"/>
      <c r="DN168" s="1114"/>
      <c r="DO168" s="1114"/>
      <c r="DP168" s="1114"/>
      <c r="DQ168" s="1114"/>
      <c r="DR168" s="1114"/>
      <c r="DS168" s="1114"/>
      <c r="DT168" s="1114"/>
      <c r="DU168" s="1114"/>
      <c r="DV168" s="1115"/>
      <c r="DW168" s="1116"/>
      <c r="DX168" s="1116"/>
      <c r="DY168" s="1116"/>
      <c r="DZ168" s="1116"/>
      <c r="EA168" s="1116"/>
      <c r="EB168" s="1116"/>
      <c r="EC168" s="1116"/>
      <c r="ED168" s="1116"/>
      <c r="EE168" s="1116"/>
      <c r="EF168" s="1116"/>
      <c r="EG168" s="1116"/>
      <c r="EH168" s="1116"/>
      <c r="EI168" s="1116"/>
      <c r="EJ168" s="1116"/>
      <c r="EK168" s="1116"/>
      <c r="EL168" s="1116"/>
      <c r="EM168" s="1116"/>
      <c r="EN168" s="1116"/>
      <c r="EO168" s="1116"/>
      <c r="EP168" s="1116"/>
      <c r="EQ168" s="1116"/>
      <c r="ER168" s="1116"/>
      <c r="ES168" s="1116"/>
    </row>
    <row r="169" spans="1:149" ht="15" customHeight="1">
      <c r="A169" s="1185">
        <v>159</v>
      </c>
      <c r="B169" s="1041"/>
      <c r="C169" s="1050"/>
      <c r="D169" s="1050"/>
      <c r="E169" s="1050"/>
      <c r="F169" s="1049"/>
      <c r="G169" s="1049"/>
      <c r="H169" s="1049"/>
      <c r="I169" s="1049"/>
      <c r="J169" s="1050"/>
      <c r="K169" s="1050"/>
      <c r="L169" s="1043"/>
      <c r="M169" s="1051"/>
      <c r="N169" s="1051"/>
      <c r="O169" s="1052"/>
      <c r="P169" s="1051"/>
      <c r="Q169" s="1051"/>
      <c r="R169" s="1052"/>
      <c r="S169" s="1051"/>
      <c r="T169" s="1051"/>
      <c r="U169" s="1052"/>
      <c r="V169" s="1051"/>
      <c r="W169" s="1051"/>
      <c r="X169" s="1052"/>
      <c r="Y169" s="1053"/>
      <c r="Z169" s="1051"/>
      <c r="AA169" s="1051"/>
      <c r="AB169" s="1052"/>
      <c r="AC169" s="1051"/>
      <c r="AD169" s="1051"/>
      <c r="AE169" s="1052"/>
      <c r="AF169" s="1051"/>
      <c r="AG169" s="1051"/>
      <c r="AH169" s="1051"/>
      <c r="AI169" s="1051"/>
      <c r="AJ169" s="1052"/>
      <c r="AK169" s="1051"/>
      <c r="AL169" s="1051"/>
      <c r="AM169" s="1052"/>
      <c r="AN169" s="1051"/>
      <c r="AO169" s="1051"/>
      <c r="AP169" s="1052"/>
      <c r="AQ169" s="1051"/>
      <c r="AR169" s="1051"/>
      <c r="AS169" s="1052"/>
      <c r="AT169" s="1051"/>
      <c r="AU169" s="1051"/>
      <c r="AV169" s="1052"/>
      <c r="AW169" s="1051"/>
      <c r="AX169" s="1051"/>
      <c r="AY169" s="1053"/>
      <c r="AZ169" s="1051"/>
      <c r="BA169" s="1051"/>
      <c r="BB169" s="1053"/>
      <c r="BC169" s="1051"/>
      <c r="BD169" s="1051"/>
      <c r="BE169" s="1053"/>
      <c r="BF169" s="1051"/>
      <c r="BG169" s="1051"/>
      <c r="BH169" s="1053"/>
      <c r="BI169" s="1052"/>
      <c r="BJ169" s="1052"/>
      <c r="BK169" s="1052"/>
      <c r="BL169" s="1052"/>
      <c r="BM169" s="1052"/>
      <c r="BN169" s="1054"/>
      <c r="BO169" s="1076">
        <f t="shared" si="3"/>
        <v>0</v>
      </c>
      <c r="BP169" s="1051"/>
      <c r="BQ169" s="1052"/>
      <c r="BR169" s="1054"/>
      <c r="BS169" s="1053"/>
      <c r="BT169" s="1051"/>
      <c r="BU169" s="1051"/>
      <c r="BV169" s="1051"/>
      <c r="BW169" s="1052"/>
      <c r="BX169" s="1052"/>
      <c r="BY169" s="1052"/>
      <c r="BZ169" s="1052"/>
      <c r="CA169" s="1052"/>
      <c r="CB169" s="1053"/>
      <c r="CC169" s="1053"/>
      <c r="CD169" s="1053"/>
      <c r="CE169" s="1053"/>
      <c r="CF169" s="1053"/>
      <c r="CG169" s="1053"/>
      <c r="CH169" s="1053"/>
      <c r="CI169" s="1123"/>
      <c r="CJ169" s="1123"/>
      <c r="CK169" s="1123"/>
      <c r="CL169" s="1123"/>
      <c r="CM169" s="1123"/>
      <c r="CN169" s="1123"/>
      <c r="CO169" s="1123"/>
      <c r="CP169" s="1123"/>
      <c r="CQ169" s="1123"/>
      <c r="CR169" s="1123"/>
      <c r="CS169" s="1123"/>
      <c r="CT169" s="1123"/>
      <c r="CU169" s="1123"/>
      <c r="CV169" s="1123"/>
      <c r="CW169" s="1123"/>
      <c r="CX169" s="1123"/>
      <c r="CY169" s="1123"/>
      <c r="CZ169" s="1114"/>
      <c r="DA169" s="1114"/>
      <c r="DB169" s="1114"/>
      <c r="DC169" s="1114"/>
      <c r="DD169" s="1114"/>
      <c r="DE169" s="1114"/>
      <c r="DF169" s="1114"/>
      <c r="DG169" s="1114"/>
      <c r="DH169" s="1114"/>
      <c r="DI169" s="1114"/>
      <c r="DJ169" s="1114"/>
      <c r="DK169" s="1114"/>
      <c r="DL169" s="1114"/>
      <c r="DM169" s="1114"/>
      <c r="DN169" s="1114"/>
      <c r="DO169" s="1114"/>
      <c r="DP169" s="1114"/>
      <c r="DQ169" s="1114"/>
      <c r="DR169" s="1114"/>
      <c r="DS169" s="1114"/>
      <c r="DT169" s="1114"/>
      <c r="DU169" s="1114"/>
      <c r="DV169" s="1115"/>
      <c r="DW169" s="1116"/>
      <c r="DX169" s="1116"/>
      <c r="DY169" s="1116"/>
      <c r="DZ169" s="1116"/>
      <c r="EA169" s="1116"/>
      <c r="EB169" s="1116"/>
      <c r="EC169" s="1116"/>
      <c r="ED169" s="1116"/>
      <c r="EE169" s="1116"/>
      <c r="EF169" s="1116"/>
      <c r="EG169" s="1116"/>
      <c r="EH169" s="1116"/>
      <c r="EI169" s="1116"/>
      <c r="EJ169" s="1116"/>
      <c r="EK169" s="1116"/>
      <c r="EL169" s="1116"/>
      <c r="EM169" s="1116"/>
      <c r="EN169" s="1116"/>
      <c r="EO169" s="1116"/>
      <c r="EP169" s="1116"/>
      <c r="EQ169" s="1116"/>
      <c r="ER169" s="1116"/>
      <c r="ES169" s="1116"/>
    </row>
    <row r="170" spans="1:149" ht="15" customHeight="1">
      <c r="A170" s="1185">
        <v>160</v>
      </c>
      <c r="B170" s="1041"/>
      <c r="C170" s="1050"/>
      <c r="D170" s="1050"/>
      <c r="E170" s="1050"/>
      <c r="F170" s="1049"/>
      <c r="G170" s="1049"/>
      <c r="H170" s="1049"/>
      <c r="I170" s="1049"/>
      <c r="J170" s="1050"/>
      <c r="K170" s="1050"/>
      <c r="L170" s="1043"/>
      <c r="M170" s="1051"/>
      <c r="N170" s="1051"/>
      <c r="O170" s="1052"/>
      <c r="P170" s="1051"/>
      <c r="Q170" s="1051"/>
      <c r="R170" s="1052"/>
      <c r="S170" s="1051"/>
      <c r="T170" s="1051"/>
      <c r="U170" s="1052"/>
      <c r="V170" s="1051"/>
      <c r="W170" s="1051"/>
      <c r="X170" s="1052"/>
      <c r="Y170" s="1053"/>
      <c r="Z170" s="1051"/>
      <c r="AA170" s="1051"/>
      <c r="AB170" s="1052"/>
      <c r="AC170" s="1051"/>
      <c r="AD170" s="1051"/>
      <c r="AE170" s="1052"/>
      <c r="AF170" s="1051"/>
      <c r="AG170" s="1051"/>
      <c r="AH170" s="1051"/>
      <c r="AI170" s="1051"/>
      <c r="AJ170" s="1052"/>
      <c r="AK170" s="1051"/>
      <c r="AL170" s="1051"/>
      <c r="AM170" s="1052"/>
      <c r="AN170" s="1051"/>
      <c r="AO170" s="1051"/>
      <c r="AP170" s="1052"/>
      <c r="AQ170" s="1051"/>
      <c r="AR170" s="1051"/>
      <c r="AS170" s="1052"/>
      <c r="AT170" s="1051"/>
      <c r="AU170" s="1051"/>
      <c r="AV170" s="1052"/>
      <c r="AW170" s="1051"/>
      <c r="AX170" s="1051"/>
      <c r="AY170" s="1053"/>
      <c r="AZ170" s="1051"/>
      <c r="BA170" s="1051"/>
      <c r="BB170" s="1053"/>
      <c r="BC170" s="1051"/>
      <c r="BD170" s="1051"/>
      <c r="BE170" s="1053"/>
      <c r="BF170" s="1051"/>
      <c r="BG170" s="1051"/>
      <c r="BH170" s="1053"/>
      <c r="BI170" s="1052"/>
      <c r="BJ170" s="1052"/>
      <c r="BK170" s="1052"/>
      <c r="BL170" s="1052"/>
      <c r="BM170" s="1052"/>
      <c r="BN170" s="1054"/>
      <c r="BO170" s="1076">
        <f t="shared" si="3"/>
        <v>0</v>
      </c>
      <c r="BP170" s="1051"/>
      <c r="BQ170" s="1052"/>
      <c r="BR170" s="1054"/>
      <c r="BS170" s="1053"/>
      <c r="BT170" s="1051"/>
      <c r="BU170" s="1051"/>
      <c r="BV170" s="1051"/>
      <c r="BW170" s="1052"/>
      <c r="BX170" s="1052"/>
      <c r="BY170" s="1052"/>
      <c r="BZ170" s="1052"/>
      <c r="CA170" s="1052"/>
      <c r="CB170" s="1053"/>
      <c r="CC170" s="1053"/>
      <c r="CD170" s="1053"/>
      <c r="CE170" s="1053"/>
      <c r="CF170" s="1053"/>
      <c r="CG170" s="1053"/>
      <c r="CH170" s="1053"/>
      <c r="CI170" s="1123"/>
      <c r="CJ170" s="1123"/>
      <c r="CK170" s="1123"/>
      <c r="CL170" s="1123"/>
      <c r="CM170" s="1123"/>
      <c r="CN170" s="1123"/>
      <c r="CO170" s="1123"/>
      <c r="CP170" s="1123"/>
      <c r="CQ170" s="1123"/>
      <c r="CR170" s="1123"/>
      <c r="CS170" s="1123"/>
      <c r="CT170" s="1123"/>
      <c r="CU170" s="1123"/>
      <c r="CV170" s="1123"/>
      <c r="CW170" s="1123"/>
      <c r="CX170" s="1123"/>
      <c r="CY170" s="1123"/>
      <c r="CZ170" s="1114"/>
      <c r="DA170" s="1114"/>
      <c r="DB170" s="1114"/>
      <c r="DC170" s="1114"/>
      <c r="DD170" s="1114"/>
      <c r="DE170" s="1114"/>
      <c r="DF170" s="1114"/>
      <c r="DG170" s="1114"/>
      <c r="DH170" s="1114"/>
      <c r="DI170" s="1114"/>
      <c r="DJ170" s="1114"/>
      <c r="DK170" s="1114"/>
      <c r="DL170" s="1114"/>
      <c r="DM170" s="1114"/>
      <c r="DN170" s="1114"/>
      <c r="DO170" s="1114"/>
      <c r="DP170" s="1114"/>
      <c r="DQ170" s="1114"/>
      <c r="DR170" s="1114"/>
      <c r="DS170" s="1114"/>
      <c r="DT170" s="1114"/>
      <c r="DU170" s="1114"/>
      <c r="DV170" s="1115"/>
      <c r="DW170" s="1116"/>
      <c r="DX170" s="1116"/>
      <c r="DY170" s="1116"/>
      <c r="DZ170" s="1116"/>
      <c r="EA170" s="1116"/>
      <c r="EB170" s="1116"/>
      <c r="EC170" s="1116"/>
      <c r="ED170" s="1116"/>
      <c r="EE170" s="1116"/>
      <c r="EF170" s="1116"/>
      <c r="EG170" s="1116"/>
      <c r="EH170" s="1116"/>
      <c r="EI170" s="1116"/>
      <c r="EJ170" s="1116"/>
      <c r="EK170" s="1116"/>
      <c r="EL170" s="1116"/>
      <c r="EM170" s="1116"/>
      <c r="EN170" s="1116"/>
      <c r="EO170" s="1116"/>
      <c r="EP170" s="1116"/>
      <c r="EQ170" s="1116"/>
      <c r="ER170" s="1116"/>
      <c r="ES170" s="1116"/>
    </row>
    <row r="171" spans="1:149" ht="15" customHeight="1">
      <c r="A171" s="1185">
        <v>161</v>
      </c>
      <c r="B171" s="1041"/>
      <c r="C171" s="1050"/>
      <c r="D171" s="1050"/>
      <c r="E171" s="1050"/>
      <c r="F171" s="1049"/>
      <c r="G171" s="1049"/>
      <c r="H171" s="1049"/>
      <c r="I171" s="1049"/>
      <c r="J171" s="1050"/>
      <c r="K171" s="1050"/>
      <c r="L171" s="1043"/>
      <c r="M171" s="1051"/>
      <c r="N171" s="1051"/>
      <c r="O171" s="1052"/>
      <c r="P171" s="1051"/>
      <c r="Q171" s="1051"/>
      <c r="R171" s="1052"/>
      <c r="S171" s="1051"/>
      <c r="T171" s="1051"/>
      <c r="U171" s="1052"/>
      <c r="V171" s="1051"/>
      <c r="W171" s="1051"/>
      <c r="X171" s="1052"/>
      <c r="Y171" s="1053"/>
      <c r="Z171" s="1051"/>
      <c r="AA171" s="1051"/>
      <c r="AB171" s="1052"/>
      <c r="AC171" s="1051"/>
      <c r="AD171" s="1051"/>
      <c r="AE171" s="1052"/>
      <c r="AF171" s="1051"/>
      <c r="AG171" s="1051"/>
      <c r="AH171" s="1051"/>
      <c r="AI171" s="1051"/>
      <c r="AJ171" s="1052"/>
      <c r="AK171" s="1051"/>
      <c r="AL171" s="1051"/>
      <c r="AM171" s="1052"/>
      <c r="AN171" s="1051"/>
      <c r="AO171" s="1051"/>
      <c r="AP171" s="1052"/>
      <c r="AQ171" s="1051"/>
      <c r="AR171" s="1051"/>
      <c r="AS171" s="1052"/>
      <c r="AT171" s="1051"/>
      <c r="AU171" s="1051"/>
      <c r="AV171" s="1052"/>
      <c r="AW171" s="1051"/>
      <c r="AX171" s="1051"/>
      <c r="AY171" s="1053"/>
      <c r="AZ171" s="1051"/>
      <c r="BA171" s="1051"/>
      <c r="BB171" s="1053"/>
      <c r="BC171" s="1051"/>
      <c r="BD171" s="1051"/>
      <c r="BE171" s="1053"/>
      <c r="BF171" s="1051"/>
      <c r="BG171" s="1051"/>
      <c r="BH171" s="1053"/>
      <c r="BI171" s="1052"/>
      <c r="BJ171" s="1052"/>
      <c r="BK171" s="1052"/>
      <c r="BL171" s="1052"/>
      <c r="BM171" s="1052"/>
      <c r="BN171" s="1054"/>
      <c r="BO171" s="1076">
        <f t="shared" si="3"/>
        <v>0</v>
      </c>
      <c r="BP171" s="1051"/>
      <c r="BQ171" s="1052"/>
      <c r="BR171" s="1054"/>
      <c r="BS171" s="1053"/>
      <c r="BT171" s="1051"/>
      <c r="BU171" s="1051"/>
      <c r="BV171" s="1051"/>
      <c r="BW171" s="1052"/>
      <c r="BX171" s="1052"/>
      <c r="BY171" s="1052"/>
      <c r="BZ171" s="1052"/>
      <c r="CA171" s="1052"/>
      <c r="CB171" s="1053"/>
      <c r="CC171" s="1053"/>
      <c r="CD171" s="1053"/>
      <c r="CE171" s="1053"/>
      <c r="CF171" s="1053"/>
      <c r="CG171" s="1053"/>
      <c r="CH171" s="1053"/>
      <c r="CI171" s="1123"/>
      <c r="CJ171" s="1123"/>
      <c r="CK171" s="1123"/>
      <c r="CL171" s="1123"/>
      <c r="CM171" s="1123"/>
      <c r="CN171" s="1123"/>
      <c r="CO171" s="1123"/>
      <c r="CP171" s="1123"/>
      <c r="CQ171" s="1123"/>
      <c r="CR171" s="1123"/>
      <c r="CS171" s="1123"/>
      <c r="CT171" s="1123"/>
      <c r="CU171" s="1123"/>
      <c r="CV171" s="1123"/>
      <c r="CW171" s="1123"/>
      <c r="CX171" s="1123"/>
      <c r="CY171" s="1123"/>
      <c r="CZ171" s="1114"/>
      <c r="DA171" s="1114"/>
      <c r="DB171" s="1114"/>
      <c r="DC171" s="1114"/>
      <c r="DD171" s="1114"/>
      <c r="DE171" s="1114"/>
      <c r="DF171" s="1114"/>
      <c r="DG171" s="1114"/>
      <c r="DH171" s="1114"/>
      <c r="DI171" s="1114"/>
      <c r="DJ171" s="1114"/>
      <c r="DK171" s="1114"/>
      <c r="DL171" s="1114"/>
      <c r="DM171" s="1114"/>
      <c r="DN171" s="1114"/>
      <c r="DO171" s="1114"/>
      <c r="DP171" s="1114"/>
      <c r="DQ171" s="1114"/>
      <c r="DR171" s="1114"/>
      <c r="DS171" s="1114"/>
      <c r="DT171" s="1114"/>
      <c r="DU171" s="1114"/>
      <c r="DV171" s="1115"/>
      <c r="DW171" s="1116"/>
      <c r="DX171" s="1116"/>
      <c r="DY171" s="1116"/>
      <c r="DZ171" s="1116"/>
      <c r="EA171" s="1116"/>
      <c r="EB171" s="1116"/>
      <c r="EC171" s="1116"/>
      <c r="ED171" s="1116"/>
      <c r="EE171" s="1116"/>
      <c r="EF171" s="1116"/>
      <c r="EG171" s="1116"/>
      <c r="EH171" s="1116"/>
      <c r="EI171" s="1116"/>
      <c r="EJ171" s="1116"/>
      <c r="EK171" s="1116"/>
      <c r="EL171" s="1116"/>
      <c r="EM171" s="1116"/>
      <c r="EN171" s="1116"/>
      <c r="EO171" s="1116"/>
      <c r="EP171" s="1116"/>
      <c r="EQ171" s="1116"/>
      <c r="ER171" s="1116"/>
      <c r="ES171" s="1116"/>
    </row>
    <row r="172" spans="1:149" ht="15" customHeight="1">
      <c r="A172" s="1185">
        <v>162</v>
      </c>
      <c r="B172" s="1041"/>
      <c r="C172" s="1050"/>
      <c r="D172" s="1050"/>
      <c r="E172" s="1050"/>
      <c r="F172" s="1049"/>
      <c r="G172" s="1049"/>
      <c r="H172" s="1049"/>
      <c r="I172" s="1049"/>
      <c r="J172" s="1050"/>
      <c r="K172" s="1050"/>
      <c r="L172" s="1043"/>
      <c r="M172" s="1051"/>
      <c r="N172" s="1051"/>
      <c r="O172" s="1052"/>
      <c r="P172" s="1051"/>
      <c r="Q172" s="1051"/>
      <c r="R172" s="1052"/>
      <c r="S172" s="1051"/>
      <c r="T172" s="1051"/>
      <c r="U172" s="1052"/>
      <c r="V172" s="1051"/>
      <c r="W172" s="1051"/>
      <c r="X172" s="1052"/>
      <c r="Y172" s="1053"/>
      <c r="Z172" s="1051"/>
      <c r="AA172" s="1051"/>
      <c r="AB172" s="1052"/>
      <c r="AC172" s="1051"/>
      <c r="AD172" s="1051"/>
      <c r="AE172" s="1052"/>
      <c r="AF172" s="1051"/>
      <c r="AG172" s="1051"/>
      <c r="AH172" s="1051"/>
      <c r="AI172" s="1051"/>
      <c r="AJ172" s="1052"/>
      <c r="AK172" s="1051"/>
      <c r="AL172" s="1051"/>
      <c r="AM172" s="1052"/>
      <c r="AN172" s="1051"/>
      <c r="AO172" s="1051"/>
      <c r="AP172" s="1052"/>
      <c r="AQ172" s="1051"/>
      <c r="AR172" s="1051"/>
      <c r="AS172" s="1052"/>
      <c r="AT172" s="1051"/>
      <c r="AU172" s="1051"/>
      <c r="AV172" s="1052"/>
      <c r="AW172" s="1051"/>
      <c r="AX172" s="1051"/>
      <c r="AY172" s="1053"/>
      <c r="AZ172" s="1051"/>
      <c r="BA172" s="1051"/>
      <c r="BB172" s="1053"/>
      <c r="BC172" s="1051"/>
      <c r="BD172" s="1051"/>
      <c r="BE172" s="1053"/>
      <c r="BF172" s="1051"/>
      <c r="BG172" s="1051"/>
      <c r="BH172" s="1053"/>
      <c r="BI172" s="1052"/>
      <c r="BJ172" s="1052"/>
      <c r="BK172" s="1052"/>
      <c r="BL172" s="1052"/>
      <c r="BM172" s="1052"/>
      <c r="BN172" s="1054"/>
      <c r="BO172" s="1076">
        <f t="shared" si="3"/>
        <v>0</v>
      </c>
      <c r="BP172" s="1051"/>
      <c r="BQ172" s="1052"/>
      <c r="BR172" s="1054"/>
      <c r="BS172" s="1053"/>
      <c r="BT172" s="1051"/>
      <c r="BU172" s="1051"/>
      <c r="BV172" s="1051"/>
      <c r="BW172" s="1052"/>
      <c r="BX172" s="1052"/>
      <c r="BY172" s="1052"/>
      <c r="BZ172" s="1052"/>
      <c r="CA172" s="1052"/>
      <c r="CB172" s="1053"/>
      <c r="CC172" s="1053"/>
      <c r="CD172" s="1053"/>
      <c r="CE172" s="1053"/>
      <c r="CF172" s="1053"/>
      <c r="CG172" s="1053"/>
      <c r="CH172" s="1053"/>
      <c r="CI172" s="1123"/>
      <c r="CJ172" s="1123"/>
      <c r="CK172" s="1123"/>
      <c r="CL172" s="1123"/>
      <c r="CM172" s="1123"/>
      <c r="CN172" s="1123"/>
      <c r="CO172" s="1123"/>
      <c r="CP172" s="1123"/>
      <c r="CQ172" s="1123"/>
      <c r="CR172" s="1123"/>
      <c r="CS172" s="1123"/>
      <c r="CT172" s="1123"/>
      <c r="CU172" s="1123"/>
      <c r="CV172" s="1123"/>
      <c r="CW172" s="1123"/>
      <c r="CX172" s="1123"/>
      <c r="CY172" s="1123"/>
      <c r="CZ172" s="1114"/>
      <c r="DA172" s="1114"/>
      <c r="DB172" s="1114"/>
      <c r="DC172" s="1114"/>
      <c r="DD172" s="1114"/>
      <c r="DE172" s="1114"/>
      <c r="DF172" s="1114"/>
      <c r="DG172" s="1114"/>
      <c r="DH172" s="1114"/>
      <c r="DI172" s="1114"/>
      <c r="DJ172" s="1114"/>
      <c r="DK172" s="1114"/>
      <c r="DL172" s="1114"/>
      <c r="DM172" s="1114"/>
      <c r="DN172" s="1114"/>
      <c r="DO172" s="1114"/>
      <c r="DP172" s="1114"/>
      <c r="DQ172" s="1114"/>
      <c r="DR172" s="1114"/>
      <c r="DS172" s="1114"/>
      <c r="DT172" s="1114"/>
      <c r="DU172" s="1114"/>
      <c r="DV172" s="1115"/>
      <c r="DW172" s="1116"/>
      <c r="DX172" s="1116"/>
      <c r="DY172" s="1116"/>
      <c r="DZ172" s="1116"/>
      <c r="EA172" s="1116"/>
      <c r="EB172" s="1116"/>
      <c r="EC172" s="1116"/>
      <c r="ED172" s="1116"/>
      <c r="EE172" s="1116"/>
      <c r="EF172" s="1116"/>
      <c r="EG172" s="1116"/>
      <c r="EH172" s="1116"/>
      <c r="EI172" s="1116"/>
      <c r="EJ172" s="1116"/>
      <c r="EK172" s="1116"/>
      <c r="EL172" s="1116"/>
      <c r="EM172" s="1116"/>
      <c r="EN172" s="1116"/>
      <c r="EO172" s="1116"/>
      <c r="EP172" s="1116"/>
      <c r="EQ172" s="1116"/>
      <c r="ER172" s="1116"/>
      <c r="ES172" s="1116"/>
    </row>
    <row r="173" spans="1:149" ht="15" customHeight="1">
      <c r="A173" s="1185">
        <v>163</v>
      </c>
      <c r="B173" s="1041"/>
      <c r="C173" s="1050"/>
      <c r="D173" s="1050"/>
      <c r="E173" s="1050"/>
      <c r="F173" s="1049"/>
      <c r="G173" s="1049"/>
      <c r="H173" s="1049"/>
      <c r="I173" s="1049"/>
      <c r="J173" s="1050"/>
      <c r="K173" s="1050"/>
      <c r="L173" s="1043"/>
      <c r="M173" s="1051"/>
      <c r="N173" s="1051"/>
      <c r="O173" s="1052"/>
      <c r="P173" s="1051"/>
      <c r="Q173" s="1051"/>
      <c r="R173" s="1052"/>
      <c r="S173" s="1051"/>
      <c r="T173" s="1051"/>
      <c r="U173" s="1052"/>
      <c r="V173" s="1051"/>
      <c r="W173" s="1051"/>
      <c r="X173" s="1052"/>
      <c r="Y173" s="1053"/>
      <c r="Z173" s="1051"/>
      <c r="AA173" s="1051"/>
      <c r="AB173" s="1052"/>
      <c r="AC173" s="1051"/>
      <c r="AD173" s="1051"/>
      <c r="AE173" s="1052"/>
      <c r="AF173" s="1051"/>
      <c r="AG173" s="1051"/>
      <c r="AH173" s="1051"/>
      <c r="AI173" s="1051"/>
      <c r="AJ173" s="1052"/>
      <c r="AK173" s="1051"/>
      <c r="AL173" s="1051"/>
      <c r="AM173" s="1052"/>
      <c r="AN173" s="1051"/>
      <c r="AO173" s="1051"/>
      <c r="AP173" s="1052"/>
      <c r="AQ173" s="1051"/>
      <c r="AR173" s="1051"/>
      <c r="AS173" s="1052"/>
      <c r="AT173" s="1051"/>
      <c r="AU173" s="1051"/>
      <c r="AV173" s="1052"/>
      <c r="AW173" s="1051"/>
      <c r="AX173" s="1051"/>
      <c r="AY173" s="1053"/>
      <c r="AZ173" s="1051"/>
      <c r="BA173" s="1051"/>
      <c r="BB173" s="1053"/>
      <c r="BC173" s="1051"/>
      <c r="BD173" s="1051"/>
      <c r="BE173" s="1053"/>
      <c r="BF173" s="1051"/>
      <c r="BG173" s="1051"/>
      <c r="BH173" s="1053"/>
      <c r="BI173" s="1052"/>
      <c r="BJ173" s="1052"/>
      <c r="BK173" s="1052"/>
      <c r="BL173" s="1052"/>
      <c r="BM173" s="1052"/>
      <c r="BN173" s="1054"/>
      <c r="BO173" s="1076">
        <f t="shared" si="3"/>
        <v>0</v>
      </c>
      <c r="BP173" s="1051"/>
      <c r="BQ173" s="1052"/>
      <c r="BR173" s="1054"/>
      <c r="BS173" s="1053"/>
      <c r="BT173" s="1051"/>
      <c r="BU173" s="1051"/>
      <c r="BV173" s="1051"/>
      <c r="BW173" s="1052"/>
      <c r="BX173" s="1052"/>
      <c r="BY173" s="1052"/>
      <c r="BZ173" s="1052"/>
      <c r="CA173" s="1052"/>
      <c r="CB173" s="1053"/>
      <c r="CC173" s="1053"/>
      <c r="CD173" s="1053"/>
      <c r="CE173" s="1053"/>
      <c r="CF173" s="1053"/>
      <c r="CG173" s="1053"/>
      <c r="CH173" s="1053"/>
      <c r="CI173" s="1123"/>
      <c r="CJ173" s="1123"/>
      <c r="CK173" s="1123"/>
      <c r="CL173" s="1123"/>
      <c r="CM173" s="1123"/>
      <c r="CN173" s="1123"/>
      <c r="CO173" s="1123"/>
      <c r="CP173" s="1123"/>
      <c r="CQ173" s="1123"/>
      <c r="CR173" s="1123"/>
      <c r="CS173" s="1123"/>
      <c r="CT173" s="1123"/>
      <c r="CU173" s="1123"/>
      <c r="CV173" s="1123"/>
      <c r="CW173" s="1123"/>
      <c r="CX173" s="1123"/>
      <c r="CY173" s="1123"/>
      <c r="CZ173" s="1114"/>
      <c r="DA173" s="1114"/>
      <c r="DB173" s="1114"/>
      <c r="DC173" s="1114"/>
      <c r="DD173" s="1114"/>
      <c r="DE173" s="1114"/>
      <c r="DF173" s="1114"/>
      <c r="DG173" s="1114"/>
      <c r="DH173" s="1114"/>
      <c r="DI173" s="1114"/>
      <c r="DJ173" s="1114"/>
      <c r="DK173" s="1114"/>
      <c r="DL173" s="1114"/>
      <c r="DM173" s="1114"/>
      <c r="DN173" s="1114"/>
      <c r="DO173" s="1114"/>
      <c r="DP173" s="1114"/>
      <c r="DQ173" s="1114"/>
      <c r="DR173" s="1114"/>
      <c r="DS173" s="1114"/>
      <c r="DT173" s="1114"/>
      <c r="DU173" s="1114"/>
      <c r="DV173" s="1115"/>
      <c r="DW173" s="1116"/>
      <c r="DX173" s="1116"/>
      <c r="DY173" s="1116"/>
      <c r="DZ173" s="1116"/>
      <c r="EA173" s="1116"/>
      <c r="EB173" s="1116"/>
      <c r="EC173" s="1116"/>
      <c r="ED173" s="1116"/>
      <c r="EE173" s="1116"/>
      <c r="EF173" s="1116"/>
      <c r="EG173" s="1116"/>
      <c r="EH173" s="1116"/>
      <c r="EI173" s="1116"/>
      <c r="EJ173" s="1116"/>
      <c r="EK173" s="1116"/>
      <c r="EL173" s="1116"/>
      <c r="EM173" s="1116"/>
      <c r="EN173" s="1116"/>
      <c r="EO173" s="1116"/>
      <c r="EP173" s="1116"/>
      <c r="EQ173" s="1116"/>
      <c r="ER173" s="1116"/>
      <c r="ES173" s="1116"/>
    </row>
    <row r="174" spans="1:149" ht="15" customHeight="1">
      <c r="A174" s="1185">
        <v>164</v>
      </c>
      <c r="B174" s="1041"/>
      <c r="C174" s="1050"/>
      <c r="D174" s="1050"/>
      <c r="E174" s="1050"/>
      <c r="F174" s="1049"/>
      <c r="G174" s="1049"/>
      <c r="H174" s="1049"/>
      <c r="I174" s="1049"/>
      <c r="J174" s="1050"/>
      <c r="K174" s="1050"/>
      <c r="L174" s="1043"/>
      <c r="M174" s="1051"/>
      <c r="N174" s="1051"/>
      <c r="O174" s="1052"/>
      <c r="P174" s="1051"/>
      <c r="Q174" s="1051"/>
      <c r="R174" s="1052"/>
      <c r="S174" s="1051"/>
      <c r="T174" s="1051"/>
      <c r="U174" s="1052"/>
      <c r="V174" s="1051"/>
      <c r="W174" s="1051"/>
      <c r="X174" s="1052"/>
      <c r="Y174" s="1053"/>
      <c r="Z174" s="1051"/>
      <c r="AA174" s="1051"/>
      <c r="AB174" s="1052"/>
      <c r="AC174" s="1051"/>
      <c r="AD174" s="1051"/>
      <c r="AE174" s="1052"/>
      <c r="AF174" s="1051"/>
      <c r="AG174" s="1051"/>
      <c r="AH174" s="1051"/>
      <c r="AI174" s="1051"/>
      <c r="AJ174" s="1052"/>
      <c r="AK174" s="1051"/>
      <c r="AL174" s="1051"/>
      <c r="AM174" s="1052"/>
      <c r="AN174" s="1051"/>
      <c r="AO174" s="1051"/>
      <c r="AP174" s="1052"/>
      <c r="AQ174" s="1051"/>
      <c r="AR174" s="1051"/>
      <c r="AS174" s="1052"/>
      <c r="AT174" s="1051"/>
      <c r="AU174" s="1051"/>
      <c r="AV174" s="1052"/>
      <c r="AW174" s="1051"/>
      <c r="AX174" s="1051"/>
      <c r="AY174" s="1053"/>
      <c r="AZ174" s="1051"/>
      <c r="BA174" s="1051"/>
      <c r="BB174" s="1053"/>
      <c r="BC174" s="1051"/>
      <c r="BD174" s="1051"/>
      <c r="BE174" s="1053"/>
      <c r="BF174" s="1051"/>
      <c r="BG174" s="1051"/>
      <c r="BH174" s="1053"/>
      <c r="BI174" s="1052"/>
      <c r="BJ174" s="1052"/>
      <c r="BK174" s="1052"/>
      <c r="BL174" s="1052"/>
      <c r="BM174" s="1052"/>
      <c r="BN174" s="1054"/>
      <c r="BO174" s="1076">
        <f t="shared" si="3"/>
        <v>0</v>
      </c>
      <c r="BP174" s="1051"/>
      <c r="BQ174" s="1052"/>
      <c r="BR174" s="1054"/>
      <c r="BS174" s="1053"/>
      <c r="BT174" s="1051"/>
      <c r="BU174" s="1051"/>
      <c r="BV174" s="1051"/>
      <c r="BW174" s="1052"/>
      <c r="BX174" s="1052"/>
      <c r="BY174" s="1052"/>
      <c r="BZ174" s="1052"/>
      <c r="CA174" s="1052"/>
      <c r="CB174" s="1053"/>
      <c r="CC174" s="1053"/>
      <c r="CD174" s="1053"/>
      <c r="CE174" s="1053"/>
      <c r="CF174" s="1053"/>
      <c r="CG174" s="1053"/>
      <c r="CH174" s="1053"/>
      <c r="CI174" s="1123"/>
      <c r="CJ174" s="1123"/>
      <c r="CK174" s="1123"/>
      <c r="CL174" s="1123"/>
      <c r="CM174" s="1123"/>
      <c r="CN174" s="1123"/>
      <c r="CO174" s="1123"/>
      <c r="CP174" s="1123"/>
      <c r="CQ174" s="1123"/>
      <c r="CR174" s="1123"/>
      <c r="CS174" s="1123"/>
      <c r="CT174" s="1123"/>
      <c r="CU174" s="1123"/>
      <c r="CV174" s="1123"/>
      <c r="CW174" s="1123"/>
      <c r="CX174" s="1123"/>
      <c r="CY174" s="1123"/>
      <c r="CZ174" s="1114"/>
      <c r="DA174" s="1114"/>
      <c r="DB174" s="1114"/>
      <c r="DC174" s="1114"/>
      <c r="DD174" s="1114"/>
      <c r="DE174" s="1114"/>
      <c r="DF174" s="1114"/>
      <c r="DG174" s="1114"/>
      <c r="DH174" s="1114"/>
      <c r="DI174" s="1114"/>
      <c r="DJ174" s="1114"/>
      <c r="DK174" s="1114"/>
      <c r="DL174" s="1114"/>
      <c r="DM174" s="1114"/>
      <c r="DN174" s="1114"/>
      <c r="DO174" s="1114"/>
      <c r="DP174" s="1114"/>
      <c r="DQ174" s="1114"/>
      <c r="DR174" s="1114"/>
      <c r="DS174" s="1114"/>
      <c r="DT174" s="1114"/>
      <c r="DU174" s="1114"/>
      <c r="DV174" s="1115"/>
      <c r="DW174" s="1116"/>
      <c r="DX174" s="1116"/>
      <c r="DY174" s="1116"/>
      <c r="DZ174" s="1116"/>
      <c r="EA174" s="1116"/>
      <c r="EB174" s="1116"/>
      <c r="EC174" s="1116"/>
      <c r="ED174" s="1116"/>
      <c r="EE174" s="1116"/>
      <c r="EF174" s="1116"/>
      <c r="EG174" s="1116"/>
      <c r="EH174" s="1116"/>
      <c r="EI174" s="1116"/>
      <c r="EJ174" s="1116"/>
      <c r="EK174" s="1116"/>
      <c r="EL174" s="1116"/>
      <c r="EM174" s="1116"/>
      <c r="EN174" s="1116"/>
      <c r="EO174" s="1116"/>
      <c r="EP174" s="1116"/>
      <c r="EQ174" s="1116"/>
      <c r="ER174" s="1116"/>
      <c r="ES174" s="1116"/>
    </row>
    <row r="175" spans="1:149" ht="15" customHeight="1">
      <c r="A175" s="1185">
        <v>165</v>
      </c>
      <c r="B175" s="1041"/>
      <c r="C175" s="1050"/>
      <c r="D175" s="1050"/>
      <c r="E175" s="1050"/>
      <c r="F175" s="1049"/>
      <c r="G175" s="1049"/>
      <c r="H175" s="1049"/>
      <c r="I175" s="1049"/>
      <c r="J175" s="1050"/>
      <c r="K175" s="1050"/>
      <c r="L175" s="1043"/>
      <c r="M175" s="1051"/>
      <c r="N175" s="1051"/>
      <c r="O175" s="1052"/>
      <c r="P175" s="1051"/>
      <c r="Q175" s="1051"/>
      <c r="R175" s="1052"/>
      <c r="S175" s="1051"/>
      <c r="T175" s="1051"/>
      <c r="U175" s="1052"/>
      <c r="V175" s="1051"/>
      <c r="W175" s="1051"/>
      <c r="X175" s="1052"/>
      <c r="Y175" s="1053"/>
      <c r="Z175" s="1051"/>
      <c r="AA175" s="1051"/>
      <c r="AB175" s="1052"/>
      <c r="AC175" s="1051"/>
      <c r="AD175" s="1051"/>
      <c r="AE175" s="1052"/>
      <c r="AF175" s="1051"/>
      <c r="AG175" s="1051"/>
      <c r="AH175" s="1051"/>
      <c r="AI175" s="1051"/>
      <c r="AJ175" s="1052"/>
      <c r="AK175" s="1051"/>
      <c r="AL175" s="1051"/>
      <c r="AM175" s="1052"/>
      <c r="AN175" s="1051"/>
      <c r="AO175" s="1051"/>
      <c r="AP175" s="1052"/>
      <c r="AQ175" s="1051"/>
      <c r="AR175" s="1051"/>
      <c r="AS175" s="1052"/>
      <c r="AT175" s="1051"/>
      <c r="AU175" s="1051"/>
      <c r="AV175" s="1052"/>
      <c r="AW175" s="1051"/>
      <c r="AX175" s="1051"/>
      <c r="AY175" s="1053"/>
      <c r="AZ175" s="1051"/>
      <c r="BA175" s="1051"/>
      <c r="BB175" s="1053"/>
      <c r="BC175" s="1051"/>
      <c r="BD175" s="1051"/>
      <c r="BE175" s="1053"/>
      <c r="BF175" s="1051"/>
      <c r="BG175" s="1051"/>
      <c r="BH175" s="1053"/>
      <c r="BI175" s="1052"/>
      <c r="BJ175" s="1052"/>
      <c r="BK175" s="1052"/>
      <c r="BL175" s="1052"/>
      <c r="BM175" s="1052"/>
      <c r="BN175" s="1054"/>
      <c r="BO175" s="1076">
        <f t="shared" si="3"/>
        <v>0</v>
      </c>
      <c r="BP175" s="1051"/>
      <c r="BQ175" s="1052"/>
      <c r="BR175" s="1054"/>
      <c r="BS175" s="1053"/>
      <c r="BT175" s="1051"/>
      <c r="BU175" s="1051"/>
      <c r="BV175" s="1051"/>
      <c r="BW175" s="1052"/>
      <c r="BX175" s="1052"/>
      <c r="BY175" s="1052"/>
      <c r="BZ175" s="1052"/>
      <c r="CA175" s="1052"/>
      <c r="CB175" s="1053"/>
      <c r="CC175" s="1053"/>
      <c r="CD175" s="1053"/>
      <c r="CE175" s="1053"/>
      <c r="CF175" s="1053"/>
      <c r="CG175" s="1053"/>
      <c r="CH175" s="1053"/>
      <c r="CI175" s="1123"/>
      <c r="CJ175" s="1123"/>
      <c r="CK175" s="1123"/>
      <c r="CL175" s="1123"/>
      <c r="CM175" s="1123"/>
      <c r="CN175" s="1123"/>
      <c r="CO175" s="1123"/>
      <c r="CP175" s="1123"/>
      <c r="CQ175" s="1123"/>
      <c r="CR175" s="1123"/>
      <c r="CS175" s="1123"/>
      <c r="CT175" s="1123"/>
      <c r="CU175" s="1123"/>
      <c r="CV175" s="1123"/>
      <c r="CW175" s="1123"/>
      <c r="CX175" s="1123"/>
      <c r="CY175" s="1123"/>
      <c r="CZ175" s="1114"/>
      <c r="DA175" s="1114"/>
      <c r="DB175" s="1114"/>
      <c r="DC175" s="1114"/>
      <c r="DD175" s="1114"/>
      <c r="DE175" s="1114"/>
      <c r="DF175" s="1114"/>
      <c r="DG175" s="1114"/>
      <c r="DH175" s="1114"/>
      <c r="DI175" s="1114"/>
      <c r="DJ175" s="1114"/>
      <c r="DK175" s="1114"/>
      <c r="DL175" s="1114"/>
      <c r="DM175" s="1114"/>
      <c r="DN175" s="1114"/>
      <c r="DO175" s="1114"/>
      <c r="DP175" s="1114"/>
      <c r="DQ175" s="1114"/>
      <c r="DR175" s="1114"/>
      <c r="DS175" s="1114"/>
      <c r="DT175" s="1114"/>
      <c r="DU175" s="1114"/>
      <c r="DV175" s="1115"/>
      <c r="DW175" s="1116"/>
      <c r="DX175" s="1116"/>
      <c r="DY175" s="1116"/>
      <c r="DZ175" s="1116"/>
      <c r="EA175" s="1116"/>
      <c r="EB175" s="1116"/>
      <c r="EC175" s="1116"/>
      <c r="ED175" s="1116"/>
      <c r="EE175" s="1116"/>
      <c r="EF175" s="1116"/>
      <c r="EG175" s="1116"/>
      <c r="EH175" s="1116"/>
      <c r="EI175" s="1116"/>
      <c r="EJ175" s="1116"/>
      <c r="EK175" s="1116"/>
      <c r="EL175" s="1116"/>
      <c r="EM175" s="1116"/>
      <c r="EN175" s="1116"/>
      <c r="EO175" s="1116"/>
      <c r="EP175" s="1116"/>
      <c r="EQ175" s="1116"/>
      <c r="ER175" s="1116"/>
      <c r="ES175" s="1116"/>
    </row>
    <row r="176" spans="1:149" ht="15" customHeight="1">
      <c r="A176" s="1185">
        <v>166</v>
      </c>
      <c r="B176" s="1041"/>
      <c r="C176" s="1050"/>
      <c r="D176" s="1050"/>
      <c r="E176" s="1050"/>
      <c r="F176" s="1049"/>
      <c r="G176" s="1049"/>
      <c r="H176" s="1049"/>
      <c r="I176" s="1049"/>
      <c r="J176" s="1050"/>
      <c r="K176" s="1050"/>
      <c r="L176" s="1043"/>
      <c r="M176" s="1051"/>
      <c r="N176" s="1051"/>
      <c r="O176" s="1052"/>
      <c r="P176" s="1051"/>
      <c r="Q176" s="1051"/>
      <c r="R176" s="1052"/>
      <c r="S176" s="1051"/>
      <c r="T176" s="1051"/>
      <c r="U176" s="1052"/>
      <c r="V176" s="1051"/>
      <c r="W176" s="1051"/>
      <c r="X176" s="1052"/>
      <c r="Y176" s="1053"/>
      <c r="Z176" s="1051"/>
      <c r="AA176" s="1051"/>
      <c r="AB176" s="1052"/>
      <c r="AC176" s="1051"/>
      <c r="AD176" s="1051"/>
      <c r="AE176" s="1052"/>
      <c r="AF176" s="1051"/>
      <c r="AG176" s="1051"/>
      <c r="AH176" s="1051"/>
      <c r="AI176" s="1051"/>
      <c r="AJ176" s="1052"/>
      <c r="AK176" s="1051"/>
      <c r="AL176" s="1051"/>
      <c r="AM176" s="1052"/>
      <c r="AN176" s="1051"/>
      <c r="AO176" s="1051"/>
      <c r="AP176" s="1052"/>
      <c r="AQ176" s="1051"/>
      <c r="AR176" s="1051"/>
      <c r="AS176" s="1052"/>
      <c r="AT176" s="1051"/>
      <c r="AU176" s="1051"/>
      <c r="AV176" s="1052"/>
      <c r="AW176" s="1051"/>
      <c r="AX176" s="1051"/>
      <c r="AY176" s="1053"/>
      <c r="AZ176" s="1051"/>
      <c r="BA176" s="1051"/>
      <c r="BB176" s="1053"/>
      <c r="BC176" s="1051"/>
      <c r="BD176" s="1051"/>
      <c r="BE176" s="1053"/>
      <c r="BF176" s="1051"/>
      <c r="BG176" s="1051"/>
      <c r="BH176" s="1053"/>
      <c r="BI176" s="1052"/>
      <c r="BJ176" s="1052"/>
      <c r="BK176" s="1052"/>
      <c r="BL176" s="1052"/>
      <c r="BM176" s="1052"/>
      <c r="BN176" s="1054"/>
      <c r="BO176" s="1076">
        <f t="shared" si="3"/>
        <v>0</v>
      </c>
      <c r="BP176" s="1051"/>
      <c r="BQ176" s="1052"/>
      <c r="BR176" s="1054"/>
      <c r="BS176" s="1053"/>
      <c r="BT176" s="1051"/>
      <c r="BU176" s="1051"/>
      <c r="BV176" s="1051"/>
      <c r="BW176" s="1052"/>
      <c r="BX176" s="1052"/>
      <c r="BY176" s="1052"/>
      <c r="BZ176" s="1052"/>
      <c r="CA176" s="1052"/>
      <c r="CB176" s="1053"/>
      <c r="CC176" s="1053"/>
      <c r="CD176" s="1053"/>
      <c r="CE176" s="1053"/>
      <c r="CF176" s="1053"/>
      <c r="CG176" s="1053"/>
      <c r="CH176" s="1053"/>
      <c r="CI176" s="1123"/>
      <c r="CJ176" s="1123"/>
      <c r="CK176" s="1123"/>
      <c r="CL176" s="1123"/>
      <c r="CM176" s="1123"/>
      <c r="CN176" s="1123"/>
      <c r="CO176" s="1123"/>
      <c r="CP176" s="1123"/>
      <c r="CQ176" s="1123"/>
      <c r="CR176" s="1123"/>
      <c r="CS176" s="1123"/>
      <c r="CT176" s="1123"/>
      <c r="CU176" s="1123"/>
      <c r="CV176" s="1123"/>
      <c r="CW176" s="1123"/>
      <c r="CX176" s="1123"/>
      <c r="CY176" s="1123"/>
      <c r="CZ176" s="1114"/>
      <c r="DA176" s="1114"/>
      <c r="DB176" s="1114"/>
      <c r="DC176" s="1114"/>
      <c r="DD176" s="1114"/>
      <c r="DE176" s="1114"/>
      <c r="DF176" s="1114"/>
      <c r="DG176" s="1114"/>
      <c r="DH176" s="1114"/>
      <c r="DI176" s="1114"/>
      <c r="DJ176" s="1114"/>
      <c r="DK176" s="1114"/>
      <c r="DL176" s="1114"/>
      <c r="DM176" s="1114"/>
      <c r="DN176" s="1114"/>
      <c r="DO176" s="1114"/>
      <c r="DP176" s="1114"/>
      <c r="DQ176" s="1114"/>
      <c r="DR176" s="1114"/>
      <c r="DS176" s="1114"/>
      <c r="DT176" s="1114"/>
      <c r="DU176" s="1114"/>
      <c r="DV176" s="1115"/>
      <c r="DW176" s="1116"/>
      <c r="DX176" s="1116"/>
      <c r="DY176" s="1116"/>
      <c r="DZ176" s="1116"/>
      <c r="EA176" s="1116"/>
      <c r="EB176" s="1116"/>
      <c r="EC176" s="1116"/>
      <c r="ED176" s="1116"/>
      <c r="EE176" s="1116"/>
      <c r="EF176" s="1116"/>
      <c r="EG176" s="1116"/>
      <c r="EH176" s="1116"/>
      <c r="EI176" s="1116"/>
      <c r="EJ176" s="1116"/>
      <c r="EK176" s="1116"/>
      <c r="EL176" s="1116"/>
      <c r="EM176" s="1116"/>
      <c r="EN176" s="1116"/>
      <c r="EO176" s="1116"/>
      <c r="EP176" s="1116"/>
      <c r="EQ176" s="1116"/>
      <c r="ER176" s="1116"/>
      <c r="ES176" s="1116"/>
    </row>
    <row r="177" spans="1:149" ht="15" customHeight="1">
      <c r="A177" s="1185">
        <v>167</v>
      </c>
      <c r="B177" s="1041"/>
      <c r="C177" s="1050"/>
      <c r="D177" s="1050"/>
      <c r="E177" s="1050"/>
      <c r="F177" s="1049"/>
      <c r="G177" s="1049"/>
      <c r="H177" s="1049"/>
      <c r="I177" s="1049"/>
      <c r="J177" s="1050"/>
      <c r="K177" s="1050"/>
      <c r="L177" s="1043"/>
      <c r="M177" s="1051"/>
      <c r="N177" s="1051"/>
      <c r="O177" s="1052"/>
      <c r="P177" s="1051"/>
      <c r="Q177" s="1051"/>
      <c r="R177" s="1052"/>
      <c r="S177" s="1051"/>
      <c r="T177" s="1051"/>
      <c r="U177" s="1052"/>
      <c r="V177" s="1051"/>
      <c r="W177" s="1051"/>
      <c r="X177" s="1052"/>
      <c r="Y177" s="1053"/>
      <c r="Z177" s="1051"/>
      <c r="AA177" s="1051"/>
      <c r="AB177" s="1052"/>
      <c r="AC177" s="1051"/>
      <c r="AD177" s="1051"/>
      <c r="AE177" s="1052"/>
      <c r="AF177" s="1051"/>
      <c r="AG177" s="1051"/>
      <c r="AH177" s="1051"/>
      <c r="AI177" s="1051"/>
      <c r="AJ177" s="1052"/>
      <c r="AK177" s="1051"/>
      <c r="AL177" s="1051"/>
      <c r="AM177" s="1052"/>
      <c r="AN177" s="1051"/>
      <c r="AO177" s="1051"/>
      <c r="AP177" s="1052"/>
      <c r="AQ177" s="1051"/>
      <c r="AR177" s="1051"/>
      <c r="AS177" s="1052"/>
      <c r="AT177" s="1051"/>
      <c r="AU177" s="1051"/>
      <c r="AV177" s="1052"/>
      <c r="AW177" s="1051"/>
      <c r="AX177" s="1051"/>
      <c r="AY177" s="1053"/>
      <c r="AZ177" s="1051"/>
      <c r="BA177" s="1051"/>
      <c r="BB177" s="1053"/>
      <c r="BC177" s="1051"/>
      <c r="BD177" s="1051"/>
      <c r="BE177" s="1053"/>
      <c r="BF177" s="1051"/>
      <c r="BG177" s="1051"/>
      <c r="BH177" s="1053"/>
      <c r="BI177" s="1052"/>
      <c r="BJ177" s="1052"/>
      <c r="BK177" s="1052"/>
      <c r="BL177" s="1052"/>
      <c r="BM177" s="1052"/>
      <c r="BN177" s="1054"/>
      <c r="BO177" s="1076">
        <f t="shared" si="3"/>
        <v>0</v>
      </c>
      <c r="BP177" s="1051"/>
      <c r="BQ177" s="1052"/>
      <c r="BR177" s="1054"/>
      <c r="BS177" s="1053"/>
      <c r="BT177" s="1051"/>
      <c r="BU177" s="1051"/>
      <c r="BV177" s="1051"/>
      <c r="BW177" s="1052"/>
      <c r="BX177" s="1052"/>
      <c r="BY177" s="1052"/>
      <c r="BZ177" s="1052"/>
      <c r="CA177" s="1052"/>
      <c r="CB177" s="1053"/>
      <c r="CC177" s="1053"/>
      <c r="CD177" s="1053"/>
      <c r="CE177" s="1053"/>
      <c r="CF177" s="1053"/>
      <c r="CG177" s="1053"/>
      <c r="CH177" s="1053"/>
      <c r="CI177" s="1123"/>
      <c r="CJ177" s="1123"/>
      <c r="CK177" s="1123"/>
      <c r="CL177" s="1123"/>
      <c r="CM177" s="1123"/>
      <c r="CN177" s="1123"/>
      <c r="CO177" s="1123"/>
      <c r="CP177" s="1123"/>
      <c r="CQ177" s="1123"/>
      <c r="CR177" s="1123"/>
      <c r="CS177" s="1123"/>
      <c r="CT177" s="1123"/>
      <c r="CU177" s="1123"/>
      <c r="CV177" s="1123"/>
      <c r="CW177" s="1123"/>
      <c r="CX177" s="1123"/>
      <c r="CY177" s="1123"/>
      <c r="CZ177" s="1114"/>
      <c r="DA177" s="1114"/>
      <c r="DB177" s="1114"/>
      <c r="DC177" s="1114"/>
      <c r="DD177" s="1114"/>
      <c r="DE177" s="1114"/>
      <c r="DF177" s="1114"/>
      <c r="DG177" s="1114"/>
      <c r="DH177" s="1114"/>
      <c r="DI177" s="1114"/>
      <c r="DJ177" s="1114"/>
      <c r="DK177" s="1114"/>
      <c r="DL177" s="1114"/>
      <c r="DM177" s="1114"/>
      <c r="DN177" s="1114"/>
      <c r="DO177" s="1114"/>
      <c r="DP177" s="1114"/>
      <c r="DQ177" s="1114"/>
      <c r="DR177" s="1114"/>
      <c r="DS177" s="1114"/>
      <c r="DT177" s="1114"/>
      <c r="DU177" s="1114"/>
      <c r="DV177" s="1115"/>
      <c r="DW177" s="1116"/>
      <c r="DX177" s="1116"/>
      <c r="DY177" s="1116"/>
      <c r="DZ177" s="1116"/>
      <c r="EA177" s="1116"/>
      <c r="EB177" s="1116"/>
      <c r="EC177" s="1116"/>
      <c r="ED177" s="1116"/>
      <c r="EE177" s="1116"/>
      <c r="EF177" s="1116"/>
      <c r="EG177" s="1116"/>
      <c r="EH177" s="1116"/>
      <c r="EI177" s="1116"/>
      <c r="EJ177" s="1116"/>
      <c r="EK177" s="1116"/>
      <c r="EL177" s="1116"/>
      <c r="EM177" s="1116"/>
      <c r="EN177" s="1116"/>
      <c r="EO177" s="1116"/>
      <c r="EP177" s="1116"/>
      <c r="EQ177" s="1116"/>
      <c r="ER177" s="1116"/>
      <c r="ES177" s="1116"/>
    </row>
    <row r="178" spans="1:149" ht="15" customHeight="1">
      <c r="A178" s="1185">
        <v>168</v>
      </c>
      <c r="B178" s="1041"/>
      <c r="C178" s="1050"/>
      <c r="D178" s="1050"/>
      <c r="E178" s="1050"/>
      <c r="F178" s="1049"/>
      <c r="G178" s="1049"/>
      <c r="H178" s="1049"/>
      <c r="I178" s="1049"/>
      <c r="J178" s="1050"/>
      <c r="K178" s="1050"/>
      <c r="L178" s="1043"/>
      <c r="M178" s="1051"/>
      <c r="N178" s="1051"/>
      <c r="O178" s="1052"/>
      <c r="P178" s="1051"/>
      <c r="Q178" s="1051"/>
      <c r="R178" s="1052"/>
      <c r="S178" s="1051"/>
      <c r="T178" s="1051"/>
      <c r="U178" s="1052"/>
      <c r="V178" s="1051"/>
      <c r="W178" s="1051"/>
      <c r="X178" s="1052"/>
      <c r="Y178" s="1053"/>
      <c r="Z178" s="1051"/>
      <c r="AA178" s="1051"/>
      <c r="AB178" s="1052"/>
      <c r="AC178" s="1051"/>
      <c r="AD178" s="1051"/>
      <c r="AE178" s="1052"/>
      <c r="AF178" s="1051"/>
      <c r="AG178" s="1051"/>
      <c r="AH178" s="1051"/>
      <c r="AI178" s="1051"/>
      <c r="AJ178" s="1052"/>
      <c r="AK178" s="1051"/>
      <c r="AL178" s="1051"/>
      <c r="AM178" s="1052"/>
      <c r="AN178" s="1051"/>
      <c r="AO178" s="1051"/>
      <c r="AP178" s="1052"/>
      <c r="AQ178" s="1051"/>
      <c r="AR178" s="1051"/>
      <c r="AS178" s="1052"/>
      <c r="AT178" s="1051"/>
      <c r="AU178" s="1051"/>
      <c r="AV178" s="1052"/>
      <c r="AW178" s="1051"/>
      <c r="AX178" s="1051"/>
      <c r="AY178" s="1053"/>
      <c r="AZ178" s="1051"/>
      <c r="BA178" s="1051"/>
      <c r="BB178" s="1053"/>
      <c r="BC178" s="1051"/>
      <c r="BD178" s="1051"/>
      <c r="BE178" s="1053"/>
      <c r="BF178" s="1051"/>
      <c r="BG178" s="1051"/>
      <c r="BH178" s="1053"/>
      <c r="BI178" s="1052"/>
      <c r="BJ178" s="1052"/>
      <c r="BK178" s="1052"/>
      <c r="BL178" s="1052"/>
      <c r="BM178" s="1052"/>
      <c r="BN178" s="1054"/>
      <c r="BO178" s="1076">
        <f t="shared" si="3"/>
        <v>0</v>
      </c>
      <c r="BP178" s="1051"/>
      <c r="BQ178" s="1052"/>
      <c r="BR178" s="1054"/>
      <c r="BS178" s="1053"/>
      <c r="BT178" s="1051"/>
      <c r="BU178" s="1051"/>
      <c r="BV178" s="1051"/>
      <c r="BW178" s="1052"/>
      <c r="BX178" s="1052"/>
      <c r="BY178" s="1052"/>
      <c r="BZ178" s="1052"/>
      <c r="CA178" s="1052"/>
      <c r="CB178" s="1053"/>
      <c r="CC178" s="1053"/>
      <c r="CD178" s="1053"/>
      <c r="CE178" s="1053"/>
      <c r="CF178" s="1053"/>
      <c r="CG178" s="1053"/>
      <c r="CH178" s="1053"/>
      <c r="CI178" s="1123"/>
      <c r="CJ178" s="1123"/>
      <c r="CK178" s="1123"/>
      <c r="CL178" s="1123"/>
      <c r="CM178" s="1123"/>
      <c r="CN178" s="1123"/>
      <c r="CO178" s="1123"/>
      <c r="CP178" s="1123"/>
      <c r="CQ178" s="1123"/>
      <c r="CR178" s="1123"/>
      <c r="CS178" s="1123"/>
      <c r="CT178" s="1123"/>
      <c r="CU178" s="1123"/>
      <c r="CV178" s="1123"/>
      <c r="CW178" s="1123"/>
      <c r="CX178" s="1123"/>
      <c r="CY178" s="1123"/>
      <c r="CZ178" s="1114"/>
      <c r="DA178" s="1114"/>
      <c r="DB178" s="1114"/>
      <c r="DC178" s="1114"/>
      <c r="DD178" s="1114"/>
      <c r="DE178" s="1114"/>
      <c r="DF178" s="1114"/>
      <c r="DG178" s="1114"/>
      <c r="DH178" s="1114"/>
      <c r="DI178" s="1114"/>
      <c r="DJ178" s="1114"/>
      <c r="DK178" s="1114"/>
      <c r="DL178" s="1114"/>
      <c r="DM178" s="1114"/>
      <c r="DN178" s="1114"/>
      <c r="DO178" s="1114"/>
      <c r="DP178" s="1114"/>
      <c r="DQ178" s="1114"/>
      <c r="DR178" s="1114"/>
      <c r="DS178" s="1114"/>
      <c r="DT178" s="1114"/>
      <c r="DU178" s="1114"/>
      <c r="DV178" s="1115"/>
      <c r="DW178" s="1116"/>
      <c r="DX178" s="1116"/>
      <c r="DY178" s="1116"/>
      <c r="DZ178" s="1116"/>
      <c r="EA178" s="1116"/>
      <c r="EB178" s="1116"/>
      <c r="EC178" s="1116"/>
      <c r="ED178" s="1116"/>
      <c r="EE178" s="1116"/>
      <c r="EF178" s="1116"/>
      <c r="EG178" s="1116"/>
      <c r="EH178" s="1116"/>
      <c r="EI178" s="1116"/>
      <c r="EJ178" s="1116"/>
      <c r="EK178" s="1116"/>
      <c r="EL178" s="1116"/>
      <c r="EM178" s="1116"/>
      <c r="EN178" s="1116"/>
      <c r="EO178" s="1116"/>
      <c r="EP178" s="1116"/>
      <c r="EQ178" s="1116"/>
      <c r="ER178" s="1116"/>
      <c r="ES178" s="1116"/>
    </row>
    <row r="179" spans="1:149" ht="15" customHeight="1">
      <c r="A179" s="1185">
        <v>169</v>
      </c>
      <c r="B179" s="1041"/>
      <c r="C179" s="1050"/>
      <c r="D179" s="1050"/>
      <c r="E179" s="1050"/>
      <c r="F179" s="1049"/>
      <c r="G179" s="1049"/>
      <c r="H179" s="1049"/>
      <c r="I179" s="1049"/>
      <c r="J179" s="1050"/>
      <c r="K179" s="1050"/>
      <c r="L179" s="1043"/>
      <c r="M179" s="1051"/>
      <c r="N179" s="1051"/>
      <c r="O179" s="1052"/>
      <c r="P179" s="1051"/>
      <c r="Q179" s="1051"/>
      <c r="R179" s="1052"/>
      <c r="S179" s="1051"/>
      <c r="T179" s="1051"/>
      <c r="U179" s="1052"/>
      <c r="V179" s="1051"/>
      <c r="W179" s="1051"/>
      <c r="X179" s="1052"/>
      <c r="Y179" s="1053"/>
      <c r="Z179" s="1051"/>
      <c r="AA179" s="1051"/>
      <c r="AB179" s="1052"/>
      <c r="AC179" s="1051"/>
      <c r="AD179" s="1051"/>
      <c r="AE179" s="1052"/>
      <c r="AF179" s="1051"/>
      <c r="AG179" s="1051"/>
      <c r="AH179" s="1051"/>
      <c r="AI179" s="1051"/>
      <c r="AJ179" s="1052"/>
      <c r="AK179" s="1051"/>
      <c r="AL179" s="1051"/>
      <c r="AM179" s="1052"/>
      <c r="AN179" s="1051"/>
      <c r="AO179" s="1051"/>
      <c r="AP179" s="1052"/>
      <c r="AQ179" s="1051"/>
      <c r="AR179" s="1051"/>
      <c r="AS179" s="1052"/>
      <c r="AT179" s="1051"/>
      <c r="AU179" s="1051"/>
      <c r="AV179" s="1052"/>
      <c r="AW179" s="1051"/>
      <c r="AX179" s="1051"/>
      <c r="AY179" s="1053"/>
      <c r="AZ179" s="1051"/>
      <c r="BA179" s="1051"/>
      <c r="BB179" s="1053"/>
      <c r="BC179" s="1051"/>
      <c r="BD179" s="1051"/>
      <c r="BE179" s="1053"/>
      <c r="BF179" s="1051"/>
      <c r="BG179" s="1051"/>
      <c r="BH179" s="1053"/>
      <c r="BI179" s="1052"/>
      <c r="BJ179" s="1052"/>
      <c r="BK179" s="1052"/>
      <c r="BL179" s="1052"/>
      <c r="BM179" s="1052"/>
      <c r="BN179" s="1054"/>
      <c r="BO179" s="1076">
        <f t="shared" si="3"/>
        <v>0</v>
      </c>
      <c r="BP179" s="1051"/>
      <c r="BQ179" s="1052"/>
      <c r="BR179" s="1054"/>
      <c r="BS179" s="1053"/>
      <c r="BT179" s="1051"/>
      <c r="BU179" s="1051"/>
      <c r="BV179" s="1051"/>
      <c r="BW179" s="1052"/>
      <c r="BX179" s="1052"/>
      <c r="BY179" s="1052"/>
      <c r="BZ179" s="1052"/>
      <c r="CA179" s="1052"/>
      <c r="CB179" s="1053"/>
      <c r="CC179" s="1053"/>
      <c r="CD179" s="1053"/>
      <c r="CE179" s="1053"/>
      <c r="CF179" s="1053"/>
      <c r="CG179" s="1053"/>
      <c r="CH179" s="1053"/>
      <c r="CI179" s="1123"/>
      <c r="CJ179" s="1123"/>
      <c r="CK179" s="1123"/>
      <c r="CL179" s="1123"/>
      <c r="CM179" s="1123"/>
      <c r="CN179" s="1123"/>
      <c r="CO179" s="1123"/>
      <c r="CP179" s="1123"/>
      <c r="CQ179" s="1123"/>
      <c r="CR179" s="1123"/>
      <c r="CS179" s="1123"/>
      <c r="CT179" s="1123"/>
      <c r="CU179" s="1123"/>
      <c r="CV179" s="1123"/>
      <c r="CW179" s="1123"/>
      <c r="CX179" s="1123"/>
      <c r="CY179" s="1123"/>
      <c r="CZ179" s="1114"/>
      <c r="DA179" s="1114"/>
      <c r="DB179" s="1114"/>
      <c r="DC179" s="1114"/>
      <c r="DD179" s="1114"/>
      <c r="DE179" s="1114"/>
      <c r="DF179" s="1114"/>
      <c r="DG179" s="1114"/>
      <c r="DH179" s="1114"/>
      <c r="DI179" s="1114"/>
      <c r="DJ179" s="1114"/>
      <c r="DK179" s="1114"/>
      <c r="DL179" s="1114"/>
      <c r="DM179" s="1114"/>
      <c r="DN179" s="1114"/>
      <c r="DO179" s="1114"/>
      <c r="DP179" s="1114"/>
      <c r="DQ179" s="1114"/>
      <c r="DR179" s="1114"/>
      <c r="DS179" s="1114"/>
      <c r="DT179" s="1114"/>
      <c r="DU179" s="1114"/>
      <c r="DV179" s="1115"/>
      <c r="DW179" s="1116"/>
      <c r="DX179" s="1116"/>
      <c r="DY179" s="1116"/>
      <c r="DZ179" s="1116"/>
      <c r="EA179" s="1116"/>
      <c r="EB179" s="1116"/>
      <c r="EC179" s="1116"/>
      <c r="ED179" s="1116"/>
      <c r="EE179" s="1116"/>
      <c r="EF179" s="1116"/>
      <c r="EG179" s="1116"/>
      <c r="EH179" s="1116"/>
      <c r="EI179" s="1116"/>
      <c r="EJ179" s="1116"/>
      <c r="EK179" s="1116"/>
      <c r="EL179" s="1116"/>
      <c r="EM179" s="1116"/>
      <c r="EN179" s="1116"/>
      <c r="EO179" s="1116"/>
      <c r="EP179" s="1116"/>
      <c r="EQ179" s="1116"/>
      <c r="ER179" s="1116"/>
      <c r="ES179" s="1116"/>
    </row>
    <row r="180" spans="1:149" ht="15" customHeight="1">
      <c r="A180" s="1185">
        <v>170</v>
      </c>
      <c r="B180" s="1041"/>
      <c r="C180" s="1050"/>
      <c r="D180" s="1050"/>
      <c r="E180" s="1050"/>
      <c r="F180" s="1049"/>
      <c r="G180" s="1049"/>
      <c r="H180" s="1049"/>
      <c r="I180" s="1049"/>
      <c r="J180" s="1050"/>
      <c r="K180" s="1050"/>
      <c r="L180" s="1043"/>
      <c r="M180" s="1051"/>
      <c r="N180" s="1051"/>
      <c r="O180" s="1052"/>
      <c r="P180" s="1051"/>
      <c r="Q180" s="1051"/>
      <c r="R180" s="1052"/>
      <c r="S180" s="1051"/>
      <c r="T180" s="1051"/>
      <c r="U180" s="1052"/>
      <c r="V180" s="1051"/>
      <c r="W180" s="1051"/>
      <c r="X180" s="1052"/>
      <c r="Y180" s="1053"/>
      <c r="Z180" s="1051"/>
      <c r="AA180" s="1051"/>
      <c r="AB180" s="1052"/>
      <c r="AC180" s="1051"/>
      <c r="AD180" s="1051"/>
      <c r="AE180" s="1052"/>
      <c r="AF180" s="1051"/>
      <c r="AG180" s="1051"/>
      <c r="AH180" s="1051"/>
      <c r="AI180" s="1051"/>
      <c r="AJ180" s="1052"/>
      <c r="AK180" s="1051"/>
      <c r="AL180" s="1051"/>
      <c r="AM180" s="1052"/>
      <c r="AN180" s="1051"/>
      <c r="AO180" s="1051"/>
      <c r="AP180" s="1052"/>
      <c r="AQ180" s="1051"/>
      <c r="AR180" s="1051"/>
      <c r="AS180" s="1052"/>
      <c r="AT180" s="1051"/>
      <c r="AU180" s="1051"/>
      <c r="AV180" s="1052"/>
      <c r="AW180" s="1051"/>
      <c r="AX180" s="1051"/>
      <c r="AY180" s="1053"/>
      <c r="AZ180" s="1051"/>
      <c r="BA180" s="1051"/>
      <c r="BB180" s="1053"/>
      <c r="BC180" s="1051"/>
      <c r="BD180" s="1051"/>
      <c r="BE180" s="1053"/>
      <c r="BF180" s="1051"/>
      <c r="BG180" s="1051"/>
      <c r="BH180" s="1053"/>
      <c r="BI180" s="1052"/>
      <c r="BJ180" s="1052"/>
      <c r="BK180" s="1052"/>
      <c r="BL180" s="1052"/>
      <c r="BM180" s="1052"/>
      <c r="BN180" s="1054"/>
      <c r="BO180" s="1076">
        <f t="shared" si="3"/>
        <v>0</v>
      </c>
      <c r="BP180" s="1051"/>
      <c r="BQ180" s="1052"/>
      <c r="BR180" s="1054"/>
      <c r="BS180" s="1053"/>
      <c r="BT180" s="1051"/>
      <c r="BU180" s="1051"/>
      <c r="BV180" s="1051"/>
      <c r="BW180" s="1052"/>
      <c r="BX180" s="1052"/>
      <c r="BY180" s="1052"/>
      <c r="BZ180" s="1052"/>
      <c r="CA180" s="1052"/>
      <c r="CB180" s="1053"/>
      <c r="CC180" s="1053"/>
      <c r="CD180" s="1053"/>
      <c r="CE180" s="1053"/>
      <c r="CF180" s="1053"/>
      <c r="CG180" s="1053"/>
      <c r="CH180" s="1053"/>
      <c r="CI180" s="1123"/>
      <c r="CJ180" s="1123"/>
      <c r="CK180" s="1123"/>
      <c r="CL180" s="1123"/>
      <c r="CM180" s="1123"/>
      <c r="CN180" s="1123"/>
      <c r="CO180" s="1123"/>
      <c r="CP180" s="1123"/>
      <c r="CQ180" s="1123"/>
      <c r="CR180" s="1123"/>
      <c r="CS180" s="1123"/>
      <c r="CT180" s="1123"/>
      <c r="CU180" s="1123"/>
      <c r="CV180" s="1123"/>
      <c r="CW180" s="1123"/>
      <c r="CX180" s="1123"/>
      <c r="CY180" s="1123"/>
      <c r="CZ180" s="1114"/>
      <c r="DA180" s="1114"/>
      <c r="DB180" s="1114"/>
      <c r="DC180" s="1114"/>
      <c r="DD180" s="1114"/>
      <c r="DE180" s="1114"/>
      <c r="DF180" s="1114"/>
      <c r="DG180" s="1114"/>
      <c r="DH180" s="1114"/>
      <c r="DI180" s="1114"/>
      <c r="DJ180" s="1114"/>
      <c r="DK180" s="1114"/>
      <c r="DL180" s="1114"/>
      <c r="DM180" s="1114"/>
      <c r="DN180" s="1114"/>
      <c r="DO180" s="1114"/>
      <c r="DP180" s="1114"/>
      <c r="DQ180" s="1114"/>
      <c r="DR180" s="1114"/>
      <c r="DS180" s="1114"/>
      <c r="DT180" s="1114"/>
      <c r="DU180" s="1114"/>
      <c r="DV180" s="1115"/>
      <c r="DW180" s="1116"/>
      <c r="DX180" s="1116"/>
      <c r="DY180" s="1116"/>
      <c r="DZ180" s="1116"/>
      <c r="EA180" s="1116"/>
      <c r="EB180" s="1116"/>
      <c r="EC180" s="1116"/>
      <c r="ED180" s="1116"/>
      <c r="EE180" s="1116"/>
      <c r="EF180" s="1116"/>
      <c r="EG180" s="1116"/>
      <c r="EH180" s="1116"/>
      <c r="EI180" s="1116"/>
      <c r="EJ180" s="1116"/>
      <c r="EK180" s="1116"/>
      <c r="EL180" s="1116"/>
      <c r="EM180" s="1116"/>
      <c r="EN180" s="1116"/>
      <c r="EO180" s="1116"/>
      <c r="EP180" s="1116"/>
      <c r="EQ180" s="1116"/>
      <c r="ER180" s="1116"/>
      <c r="ES180" s="1116"/>
    </row>
    <row r="181" spans="1:149" ht="15" customHeight="1">
      <c r="A181" s="1185">
        <v>171</v>
      </c>
      <c r="B181" s="1041"/>
      <c r="C181" s="1050"/>
      <c r="D181" s="1050"/>
      <c r="E181" s="1050"/>
      <c r="F181" s="1049"/>
      <c r="G181" s="1049"/>
      <c r="H181" s="1049"/>
      <c r="I181" s="1049"/>
      <c r="J181" s="1050"/>
      <c r="K181" s="1050"/>
      <c r="L181" s="1043"/>
      <c r="M181" s="1051"/>
      <c r="N181" s="1051"/>
      <c r="O181" s="1052"/>
      <c r="P181" s="1051"/>
      <c r="Q181" s="1051"/>
      <c r="R181" s="1052"/>
      <c r="S181" s="1051"/>
      <c r="T181" s="1051"/>
      <c r="U181" s="1052"/>
      <c r="V181" s="1051"/>
      <c r="W181" s="1051"/>
      <c r="X181" s="1052"/>
      <c r="Y181" s="1053"/>
      <c r="Z181" s="1051"/>
      <c r="AA181" s="1051"/>
      <c r="AB181" s="1052"/>
      <c r="AC181" s="1051"/>
      <c r="AD181" s="1051"/>
      <c r="AE181" s="1052"/>
      <c r="AF181" s="1051"/>
      <c r="AG181" s="1051"/>
      <c r="AH181" s="1051"/>
      <c r="AI181" s="1051"/>
      <c r="AJ181" s="1052"/>
      <c r="AK181" s="1051"/>
      <c r="AL181" s="1051"/>
      <c r="AM181" s="1052"/>
      <c r="AN181" s="1051"/>
      <c r="AO181" s="1051"/>
      <c r="AP181" s="1052"/>
      <c r="AQ181" s="1051"/>
      <c r="AR181" s="1051"/>
      <c r="AS181" s="1052"/>
      <c r="AT181" s="1051"/>
      <c r="AU181" s="1051"/>
      <c r="AV181" s="1052"/>
      <c r="AW181" s="1051"/>
      <c r="AX181" s="1051"/>
      <c r="AY181" s="1053"/>
      <c r="AZ181" s="1051"/>
      <c r="BA181" s="1051"/>
      <c r="BB181" s="1053"/>
      <c r="BC181" s="1051"/>
      <c r="BD181" s="1051"/>
      <c r="BE181" s="1053"/>
      <c r="BF181" s="1051"/>
      <c r="BG181" s="1051"/>
      <c r="BH181" s="1053"/>
      <c r="BI181" s="1052"/>
      <c r="BJ181" s="1052"/>
      <c r="BK181" s="1052"/>
      <c r="BL181" s="1052"/>
      <c r="BM181" s="1052"/>
      <c r="BN181" s="1054"/>
      <c r="BO181" s="1076">
        <f t="shared" si="3"/>
        <v>0</v>
      </c>
      <c r="BP181" s="1051"/>
      <c r="BQ181" s="1052"/>
      <c r="BR181" s="1054"/>
      <c r="BS181" s="1053"/>
      <c r="BT181" s="1051"/>
      <c r="BU181" s="1051"/>
      <c r="BV181" s="1051"/>
      <c r="BW181" s="1052"/>
      <c r="BX181" s="1052"/>
      <c r="BY181" s="1052"/>
      <c r="BZ181" s="1052"/>
      <c r="CA181" s="1052"/>
      <c r="CB181" s="1053"/>
      <c r="CC181" s="1053"/>
      <c r="CD181" s="1053"/>
      <c r="CE181" s="1053"/>
      <c r="CF181" s="1053"/>
      <c r="CG181" s="1053"/>
      <c r="CH181" s="1053"/>
      <c r="CI181" s="1123"/>
      <c r="CJ181" s="1123"/>
      <c r="CK181" s="1123"/>
      <c r="CL181" s="1123"/>
      <c r="CM181" s="1123"/>
      <c r="CN181" s="1123"/>
      <c r="CO181" s="1123"/>
      <c r="CP181" s="1123"/>
      <c r="CQ181" s="1123"/>
      <c r="CR181" s="1123"/>
      <c r="CS181" s="1123"/>
      <c r="CT181" s="1123"/>
      <c r="CU181" s="1123"/>
      <c r="CV181" s="1123"/>
      <c r="CW181" s="1123"/>
      <c r="CX181" s="1123"/>
      <c r="CY181" s="1123"/>
      <c r="CZ181" s="1114"/>
      <c r="DA181" s="1114"/>
      <c r="DB181" s="1114"/>
      <c r="DC181" s="1114"/>
      <c r="DD181" s="1114"/>
      <c r="DE181" s="1114"/>
      <c r="DF181" s="1114"/>
      <c r="DG181" s="1114"/>
      <c r="DH181" s="1114"/>
      <c r="DI181" s="1114"/>
      <c r="DJ181" s="1114"/>
      <c r="DK181" s="1114"/>
      <c r="DL181" s="1114"/>
      <c r="DM181" s="1114"/>
      <c r="DN181" s="1114"/>
      <c r="DO181" s="1114"/>
      <c r="DP181" s="1114"/>
      <c r="DQ181" s="1114"/>
      <c r="DR181" s="1114"/>
      <c r="DS181" s="1114"/>
      <c r="DT181" s="1114"/>
      <c r="DU181" s="1114"/>
      <c r="DV181" s="1115"/>
      <c r="DW181" s="1116"/>
      <c r="DX181" s="1116"/>
      <c r="DY181" s="1116"/>
      <c r="DZ181" s="1116"/>
      <c r="EA181" s="1116"/>
      <c r="EB181" s="1116"/>
      <c r="EC181" s="1116"/>
      <c r="ED181" s="1116"/>
      <c r="EE181" s="1116"/>
      <c r="EF181" s="1116"/>
      <c r="EG181" s="1116"/>
      <c r="EH181" s="1116"/>
      <c r="EI181" s="1116"/>
      <c r="EJ181" s="1116"/>
      <c r="EK181" s="1116"/>
      <c r="EL181" s="1116"/>
      <c r="EM181" s="1116"/>
      <c r="EN181" s="1116"/>
      <c r="EO181" s="1116"/>
      <c r="EP181" s="1116"/>
      <c r="EQ181" s="1116"/>
      <c r="ER181" s="1116"/>
      <c r="ES181" s="1116"/>
    </row>
    <row r="182" spans="1:149" ht="15" customHeight="1">
      <c r="A182" s="1185">
        <v>172</v>
      </c>
      <c r="B182" s="1041"/>
      <c r="C182" s="1050"/>
      <c r="D182" s="1050"/>
      <c r="E182" s="1050"/>
      <c r="F182" s="1049"/>
      <c r="G182" s="1049"/>
      <c r="H182" s="1049"/>
      <c r="I182" s="1049"/>
      <c r="J182" s="1050"/>
      <c r="K182" s="1050"/>
      <c r="L182" s="1043"/>
      <c r="M182" s="1051"/>
      <c r="N182" s="1051"/>
      <c r="O182" s="1052"/>
      <c r="P182" s="1051"/>
      <c r="Q182" s="1051"/>
      <c r="R182" s="1052"/>
      <c r="S182" s="1051"/>
      <c r="T182" s="1051"/>
      <c r="U182" s="1052"/>
      <c r="V182" s="1051"/>
      <c r="W182" s="1051"/>
      <c r="X182" s="1052"/>
      <c r="Y182" s="1053"/>
      <c r="Z182" s="1051"/>
      <c r="AA182" s="1051"/>
      <c r="AB182" s="1052"/>
      <c r="AC182" s="1051"/>
      <c r="AD182" s="1051"/>
      <c r="AE182" s="1052"/>
      <c r="AF182" s="1051"/>
      <c r="AG182" s="1051"/>
      <c r="AH182" s="1051"/>
      <c r="AI182" s="1051"/>
      <c r="AJ182" s="1052"/>
      <c r="AK182" s="1051"/>
      <c r="AL182" s="1051"/>
      <c r="AM182" s="1052"/>
      <c r="AN182" s="1051"/>
      <c r="AO182" s="1051"/>
      <c r="AP182" s="1052"/>
      <c r="AQ182" s="1051"/>
      <c r="AR182" s="1051"/>
      <c r="AS182" s="1052"/>
      <c r="AT182" s="1051"/>
      <c r="AU182" s="1051"/>
      <c r="AV182" s="1052"/>
      <c r="AW182" s="1051"/>
      <c r="AX182" s="1051"/>
      <c r="AY182" s="1053"/>
      <c r="AZ182" s="1051"/>
      <c r="BA182" s="1051"/>
      <c r="BB182" s="1053"/>
      <c r="BC182" s="1051"/>
      <c r="BD182" s="1051"/>
      <c r="BE182" s="1053"/>
      <c r="BF182" s="1051"/>
      <c r="BG182" s="1051"/>
      <c r="BH182" s="1053"/>
      <c r="BI182" s="1052"/>
      <c r="BJ182" s="1052"/>
      <c r="BK182" s="1052"/>
      <c r="BL182" s="1052"/>
      <c r="BM182" s="1052"/>
      <c r="BN182" s="1054"/>
      <c r="BO182" s="1076">
        <f t="shared" si="3"/>
        <v>0</v>
      </c>
      <c r="BP182" s="1051"/>
      <c r="BQ182" s="1052"/>
      <c r="BR182" s="1054"/>
      <c r="BS182" s="1053"/>
      <c r="BT182" s="1051"/>
      <c r="BU182" s="1051"/>
      <c r="BV182" s="1051"/>
      <c r="BW182" s="1052"/>
      <c r="BX182" s="1052"/>
      <c r="BY182" s="1052"/>
      <c r="BZ182" s="1052"/>
      <c r="CA182" s="1052"/>
      <c r="CB182" s="1053"/>
      <c r="CC182" s="1053"/>
      <c r="CD182" s="1053"/>
      <c r="CE182" s="1053"/>
      <c r="CF182" s="1053"/>
      <c r="CG182" s="1053"/>
      <c r="CH182" s="1053"/>
      <c r="CI182" s="1123"/>
      <c r="CJ182" s="1123"/>
      <c r="CK182" s="1123"/>
      <c r="CL182" s="1123"/>
      <c r="CM182" s="1123"/>
      <c r="CN182" s="1123"/>
      <c r="CO182" s="1123"/>
      <c r="CP182" s="1123"/>
      <c r="CQ182" s="1123"/>
      <c r="CR182" s="1123"/>
      <c r="CS182" s="1123"/>
      <c r="CT182" s="1123"/>
      <c r="CU182" s="1123"/>
      <c r="CV182" s="1123"/>
      <c r="CW182" s="1123"/>
      <c r="CX182" s="1123"/>
      <c r="CY182" s="1123"/>
      <c r="CZ182" s="1114"/>
      <c r="DA182" s="1114"/>
      <c r="DB182" s="1114"/>
      <c r="DC182" s="1114"/>
      <c r="DD182" s="1114"/>
      <c r="DE182" s="1114"/>
      <c r="DF182" s="1114"/>
      <c r="DG182" s="1114"/>
      <c r="DH182" s="1114"/>
      <c r="DI182" s="1114"/>
      <c r="DJ182" s="1114"/>
      <c r="DK182" s="1114"/>
      <c r="DL182" s="1114"/>
      <c r="DM182" s="1114"/>
      <c r="DN182" s="1114"/>
      <c r="DO182" s="1114"/>
      <c r="DP182" s="1114"/>
      <c r="DQ182" s="1114"/>
      <c r="DR182" s="1114"/>
      <c r="DS182" s="1114"/>
      <c r="DT182" s="1114"/>
      <c r="DU182" s="1114"/>
      <c r="DV182" s="1115"/>
      <c r="DW182" s="1116"/>
      <c r="DX182" s="1116"/>
      <c r="DY182" s="1116"/>
      <c r="DZ182" s="1116"/>
      <c r="EA182" s="1116"/>
      <c r="EB182" s="1116"/>
      <c r="EC182" s="1116"/>
      <c r="ED182" s="1116"/>
      <c r="EE182" s="1116"/>
      <c r="EF182" s="1116"/>
      <c r="EG182" s="1116"/>
      <c r="EH182" s="1116"/>
      <c r="EI182" s="1116"/>
      <c r="EJ182" s="1116"/>
      <c r="EK182" s="1116"/>
      <c r="EL182" s="1116"/>
      <c r="EM182" s="1116"/>
      <c r="EN182" s="1116"/>
      <c r="EO182" s="1116"/>
      <c r="EP182" s="1116"/>
      <c r="EQ182" s="1116"/>
      <c r="ER182" s="1116"/>
      <c r="ES182" s="1116"/>
    </row>
    <row r="183" spans="1:149" ht="15" customHeight="1">
      <c r="A183" s="1185">
        <v>173</v>
      </c>
      <c r="B183" s="1041"/>
      <c r="C183" s="1050"/>
      <c r="D183" s="1050"/>
      <c r="E183" s="1050"/>
      <c r="F183" s="1049"/>
      <c r="G183" s="1049"/>
      <c r="H183" s="1049"/>
      <c r="I183" s="1049"/>
      <c r="J183" s="1050"/>
      <c r="K183" s="1050"/>
      <c r="L183" s="1043"/>
      <c r="M183" s="1051"/>
      <c r="N183" s="1051"/>
      <c r="O183" s="1052"/>
      <c r="P183" s="1051"/>
      <c r="Q183" s="1051"/>
      <c r="R183" s="1052"/>
      <c r="S183" s="1051"/>
      <c r="T183" s="1051"/>
      <c r="U183" s="1052"/>
      <c r="V183" s="1051"/>
      <c r="W183" s="1051"/>
      <c r="X183" s="1052"/>
      <c r="Y183" s="1053"/>
      <c r="Z183" s="1051"/>
      <c r="AA183" s="1051"/>
      <c r="AB183" s="1052"/>
      <c r="AC183" s="1051"/>
      <c r="AD183" s="1051"/>
      <c r="AE183" s="1052"/>
      <c r="AF183" s="1051"/>
      <c r="AG183" s="1051"/>
      <c r="AH183" s="1051"/>
      <c r="AI183" s="1051"/>
      <c r="AJ183" s="1052"/>
      <c r="AK183" s="1051"/>
      <c r="AL183" s="1051"/>
      <c r="AM183" s="1052"/>
      <c r="AN183" s="1051"/>
      <c r="AO183" s="1051"/>
      <c r="AP183" s="1052"/>
      <c r="AQ183" s="1051"/>
      <c r="AR183" s="1051"/>
      <c r="AS183" s="1052"/>
      <c r="AT183" s="1051"/>
      <c r="AU183" s="1051"/>
      <c r="AV183" s="1052"/>
      <c r="AW183" s="1051"/>
      <c r="AX183" s="1051"/>
      <c r="AY183" s="1053"/>
      <c r="AZ183" s="1051"/>
      <c r="BA183" s="1051"/>
      <c r="BB183" s="1053"/>
      <c r="BC183" s="1051"/>
      <c r="BD183" s="1051"/>
      <c r="BE183" s="1053"/>
      <c r="BF183" s="1051"/>
      <c r="BG183" s="1051"/>
      <c r="BH183" s="1053"/>
      <c r="BI183" s="1052"/>
      <c r="BJ183" s="1052"/>
      <c r="BK183" s="1052"/>
      <c r="BL183" s="1052"/>
      <c r="BM183" s="1052"/>
      <c r="BN183" s="1054"/>
      <c r="BO183" s="1076">
        <f t="shared" si="3"/>
        <v>0</v>
      </c>
      <c r="BP183" s="1051"/>
      <c r="BQ183" s="1052"/>
      <c r="BR183" s="1054"/>
      <c r="BS183" s="1053"/>
      <c r="BT183" s="1051"/>
      <c r="BU183" s="1051"/>
      <c r="BV183" s="1051"/>
      <c r="BW183" s="1052"/>
      <c r="BX183" s="1052"/>
      <c r="BY183" s="1052"/>
      <c r="BZ183" s="1052"/>
      <c r="CA183" s="1052"/>
      <c r="CB183" s="1053"/>
      <c r="CC183" s="1053"/>
      <c r="CD183" s="1053"/>
      <c r="CE183" s="1053"/>
      <c r="CF183" s="1053"/>
      <c r="CG183" s="1053"/>
      <c r="CH183" s="1053"/>
      <c r="CI183" s="1123"/>
      <c r="CJ183" s="1123"/>
      <c r="CK183" s="1123"/>
      <c r="CL183" s="1123"/>
      <c r="CM183" s="1123"/>
      <c r="CN183" s="1123"/>
      <c r="CO183" s="1123"/>
      <c r="CP183" s="1123"/>
      <c r="CQ183" s="1123"/>
      <c r="CR183" s="1123"/>
      <c r="CS183" s="1123"/>
      <c r="CT183" s="1123"/>
      <c r="CU183" s="1123"/>
      <c r="CV183" s="1123"/>
      <c r="CW183" s="1123"/>
      <c r="CX183" s="1123"/>
      <c r="CY183" s="1123"/>
      <c r="CZ183" s="1114"/>
      <c r="DA183" s="1114"/>
      <c r="DB183" s="1114"/>
      <c r="DC183" s="1114"/>
      <c r="DD183" s="1114"/>
      <c r="DE183" s="1114"/>
      <c r="DF183" s="1114"/>
      <c r="DG183" s="1114"/>
      <c r="DH183" s="1114"/>
      <c r="DI183" s="1114"/>
      <c r="DJ183" s="1114"/>
      <c r="DK183" s="1114"/>
      <c r="DL183" s="1114"/>
      <c r="DM183" s="1114"/>
      <c r="DN183" s="1114"/>
      <c r="DO183" s="1114"/>
      <c r="DP183" s="1114"/>
      <c r="DQ183" s="1114"/>
      <c r="DR183" s="1114"/>
      <c r="DS183" s="1114"/>
      <c r="DT183" s="1114"/>
      <c r="DU183" s="1114"/>
      <c r="DV183" s="1115"/>
      <c r="DW183" s="1116"/>
      <c r="DX183" s="1116"/>
      <c r="DY183" s="1116"/>
      <c r="DZ183" s="1116"/>
      <c r="EA183" s="1116"/>
      <c r="EB183" s="1116"/>
      <c r="EC183" s="1116"/>
      <c r="ED183" s="1116"/>
      <c r="EE183" s="1116"/>
      <c r="EF183" s="1116"/>
      <c r="EG183" s="1116"/>
      <c r="EH183" s="1116"/>
      <c r="EI183" s="1116"/>
      <c r="EJ183" s="1116"/>
      <c r="EK183" s="1116"/>
      <c r="EL183" s="1116"/>
      <c r="EM183" s="1116"/>
      <c r="EN183" s="1116"/>
      <c r="EO183" s="1116"/>
      <c r="EP183" s="1116"/>
      <c r="EQ183" s="1116"/>
      <c r="ER183" s="1116"/>
      <c r="ES183" s="1116"/>
    </row>
    <row r="184" spans="1:149" ht="15" customHeight="1">
      <c r="A184" s="1185">
        <v>174</v>
      </c>
      <c r="B184" s="1041"/>
      <c r="C184" s="1050"/>
      <c r="D184" s="1050"/>
      <c r="E184" s="1050"/>
      <c r="F184" s="1049"/>
      <c r="G184" s="1049"/>
      <c r="H184" s="1049"/>
      <c r="I184" s="1049"/>
      <c r="J184" s="1050"/>
      <c r="K184" s="1050"/>
      <c r="L184" s="1043"/>
      <c r="M184" s="1051"/>
      <c r="N184" s="1051"/>
      <c r="O184" s="1052"/>
      <c r="P184" s="1051"/>
      <c r="Q184" s="1051"/>
      <c r="R184" s="1052"/>
      <c r="S184" s="1051"/>
      <c r="T184" s="1051"/>
      <c r="U184" s="1052"/>
      <c r="V184" s="1051"/>
      <c r="W184" s="1051"/>
      <c r="X184" s="1052"/>
      <c r="Y184" s="1053"/>
      <c r="Z184" s="1051"/>
      <c r="AA184" s="1051"/>
      <c r="AB184" s="1052"/>
      <c r="AC184" s="1051"/>
      <c r="AD184" s="1051"/>
      <c r="AE184" s="1052"/>
      <c r="AF184" s="1051"/>
      <c r="AG184" s="1051"/>
      <c r="AH184" s="1051"/>
      <c r="AI184" s="1051"/>
      <c r="AJ184" s="1052"/>
      <c r="AK184" s="1051"/>
      <c r="AL184" s="1051"/>
      <c r="AM184" s="1052"/>
      <c r="AN184" s="1051"/>
      <c r="AO184" s="1051"/>
      <c r="AP184" s="1052"/>
      <c r="AQ184" s="1051"/>
      <c r="AR184" s="1051"/>
      <c r="AS184" s="1052"/>
      <c r="AT184" s="1051"/>
      <c r="AU184" s="1051"/>
      <c r="AV184" s="1052"/>
      <c r="AW184" s="1051"/>
      <c r="AX184" s="1051"/>
      <c r="AY184" s="1053"/>
      <c r="AZ184" s="1051"/>
      <c r="BA184" s="1051"/>
      <c r="BB184" s="1053"/>
      <c r="BC184" s="1051"/>
      <c r="BD184" s="1051"/>
      <c r="BE184" s="1053"/>
      <c r="BF184" s="1051"/>
      <c r="BG184" s="1051"/>
      <c r="BH184" s="1053"/>
      <c r="BI184" s="1052"/>
      <c r="BJ184" s="1052"/>
      <c r="BK184" s="1052"/>
      <c r="BL184" s="1052"/>
      <c r="BM184" s="1052"/>
      <c r="BN184" s="1054"/>
      <c r="BO184" s="1076">
        <f t="shared" si="3"/>
        <v>0</v>
      </c>
      <c r="BP184" s="1051"/>
      <c r="BQ184" s="1052"/>
      <c r="BR184" s="1054"/>
      <c r="BS184" s="1053"/>
      <c r="BT184" s="1051"/>
      <c r="BU184" s="1051"/>
      <c r="BV184" s="1051"/>
      <c r="BW184" s="1052"/>
      <c r="BX184" s="1052"/>
      <c r="BY184" s="1052"/>
      <c r="BZ184" s="1052"/>
      <c r="CA184" s="1052"/>
      <c r="CB184" s="1053"/>
      <c r="CC184" s="1053"/>
      <c r="CD184" s="1053"/>
      <c r="CE184" s="1053"/>
      <c r="CF184" s="1053"/>
      <c r="CG184" s="1053"/>
      <c r="CH184" s="1053"/>
      <c r="CI184" s="1123"/>
      <c r="CJ184" s="1123"/>
      <c r="CK184" s="1123"/>
      <c r="CL184" s="1123"/>
      <c r="CM184" s="1123"/>
      <c r="CN184" s="1123"/>
      <c r="CO184" s="1123"/>
      <c r="CP184" s="1123"/>
      <c r="CQ184" s="1123"/>
      <c r="CR184" s="1123"/>
      <c r="CS184" s="1123"/>
      <c r="CT184" s="1123"/>
      <c r="CU184" s="1123"/>
      <c r="CV184" s="1123"/>
      <c r="CW184" s="1123"/>
      <c r="CX184" s="1123"/>
      <c r="CY184" s="1123"/>
      <c r="CZ184" s="1114"/>
      <c r="DA184" s="1114"/>
      <c r="DB184" s="1114"/>
      <c r="DC184" s="1114"/>
      <c r="DD184" s="1114"/>
      <c r="DE184" s="1114"/>
      <c r="DF184" s="1114"/>
      <c r="DG184" s="1114"/>
      <c r="DH184" s="1114"/>
      <c r="DI184" s="1114"/>
      <c r="DJ184" s="1114"/>
      <c r="DK184" s="1114"/>
      <c r="DL184" s="1114"/>
      <c r="DM184" s="1114"/>
      <c r="DN184" s="1114"/>
      <c r="DO184" s="1114"/>
      <c r="DP184" s="1114"/>
      <c r="DQ184" s="1114"/>
      <c r="DR184" s="1114"/>
      <c r="DS184" s="1114"/>
      <c r="DT184" s="1114"/>
      <c r="DU184" s="1114"/>
      <c r="DV184" s="1115"/>
      <c r="DW184" s="1116"/>
      <c r="DX184" s="1116"/>
      <c r="DY184" s="1116"/>
      <c r="DZ184" s="1116"/>
      <c r="EA184" s="1116"/>
      <c r="EB184" s="1116"/>
      <c r="EC184" s="1116"/>
      <c r="ED184" s="1116"/>
      <c r="EE184" s="1116"/>
      <c r="EF184" s="1116"/>
      <c r="EG184" s="1116"/>
      <c r="EH184" s="1116"/>
      <c r="EI184" s="1116"/>
      <c r="EJ184" s="1116"/>
      <c r="EK184" s="1116"/>
      <c r="EL184" s="1116"/>
      <c r="EM184" s="1116"/>
      <c r="EN184" s="1116"/>
      <c r="EO184" s="1116"/>
      <c r="EP184" s="1116"/>
      <c r="EQ184" s="1116"/>
      <c r="ER184" s="1116"/>
      <c r="ES184" s="1116"/>
    </row>
    <row r="185" spans="1:149" ht="15" customHeight="1">
      <c r="A185" s="1185">
        <v>175</v>
      </c>
      <c r="B185" s="1041"/>
      <c r="C185" s="1050"/>
      <c r="D185" s="1050"/>
      <c r="E185" s="1050"/>
      <c r="F185" s="1049"/>
      <c r="G185" s="1049"/>
      <c r="H185" s="1049"/>
      <c r="I185" s="1049"/>
      <c r="J185" s="1050"/>
      <c r="K185" s="1050"/>
      <c r="L185" s="1043"/>
      <c r="M185" s="1051"/>
      <c r="N185" s="1051"/>
      <c r="O185" s="1052"/>
      <c r="P185" s="1051"/>
      <c r="Q185" s="1051"/>
      <c r="R185" s="1052"/>
      <c r="S185" s="1051"/>
      <c r="T185" s="1051"/>
      <c r="U185" s="1052"/>
      <c r="V185" s="1051"/>
      <c r="W185" s="1051"/>
      <c r="X185" s="1052"/>
      <c r="Y185" s="1053"/>
      <c r="Z185" s="1051"/>
      <c r="AA185" s="1051"/>
      <c r="AB185" s="1052"/>
      <c r="AC185" s="1051"/>
      <c r="AD185" s="1051"/>
      <c r="AE185" s="1052"/>
      <c r="AF185" s="1051"/>
      <c r="AG185" s="1051"/>
      <c r="AH185" s="1051"/>
      <c r="AI185" s="1051"/>
      <c r="AJ185" s="1052"/>
      <c r="AK185" s="1051"/>
      <c r="AL185" s="1051"/>
      <c r="AM185" s="1052"/>
      <c r="AN185" s="1051"/>
      <c r="AO185" s="1051"/>
      <c r="AP185" s="1052"/>
      <c r="AQ185" s="1051"/>
      <c r="AR185" s="1051"/>
      <c r="AS185" s="1052"/>
      <c r="AT185" s="1051"/>
      <c r="AU185" s="1051"/>
      <c r="AV185" s="1052"/>
      <c r="AW185" s="1051"/>
      <c r="AX185" s="1051"/>
      <c r="AY185" s="1053"/>
      <c r="AZ185" s="1051"/>
      <c r="BA185" s="1051"/>
      <c r="BB185" s="1053"/>
      <c r="BC185" s="1051"/>
      <c r="BD185" s="1051"/>
      <c r="BE185" s="1053"/>
      <c r="BF185" s="1051"/>
      <c r="BG185" s="1051"/>
      <c r="BH185" s="1053"/>
      <c r="BI185" s="1052"/>
      <c r="BJ185" s="1052"/>
      <c r="BK185" s="1052"/>
      <c r="BL185" s="1052"/>
      <c r="BM185" s="1052"/>
      <c r="BN185" s="1054"/>
      <c r="BO185" s="1076">
        <f t="shared" si="3"/>
        <v>0</v>
      </c>
      <c r="BP185" s="1051"/>
      <c r="BQ185" s="1052"/>
      <c r="BR185" s="1054"/>
      <c r="BS185" s="1053"/>
      <c r="BT185" s="1051"/>
      <c r="BU185" s="1051"/>
      <c r="BV185" s="1051"/>
      <c r="BW185" s="1052"/>
      <c r="BX185" s="1052"/>
      <c r="BY185" s="1052"/>
      <c r="BZ185" s="1052"/>
      <c r="CA185" s="1052"/>
      <c r="CB185" s="1053"/>
      <c r="CC185" s="1053"/>
      <c r="CD185" s="1053"/>
      <c r="CE185" s="1053"/>
      <c r="CF185" s="1053"/>
      <c r="CG185" s="1053"/>
      <c r="CH185" s="1053"/>
      <c r="CI185" s="1123"/>
      <c r="CJ185" s="1123"/>
      <c r="CK185" s="1123"/>
      <c r="CL185" s="1123"/>
      <c r="CM185" s="1123"/>
      <c r="CN185" s="1123"/>
      <c r="CO185" s="1123"/>
      <c r="CP185" s="1123"/>
      <c r="CQ185" s="1123"/>
      <c r="CR185" s="1123"/>
      <c r="CS185" s="1123"/>
      <c r="CT185" s="1123"/>
      <c r="CU185" s="1123"/>
      <c r="CV185" s="1123"/>
      <c r="CW185" s="1123"/>
      <c r="CX185" s="1123"/>
      <c r="CY185" s="1123"/>
      <c r="CZ185" s="1114"/>
      <c r="DA185" s="1114"/>
      <c r="DB185" s="1114"/>
      <c r="DC185" s="1114"/>
      <c r="DD185" s="1114"/>
      <c r="DE185" s="1114"/>
      <c r="DF185" s="1114"/>
      <c r="DG185" s="1114"/>
      <c r="DH185" s="1114"/>
      <c r="DI185" s="1114"/>
      <c r="DJ185" s="1114"/>
      <c r="DK185" s="1114"/>
      <c r="DL185" s="1114"/>
      <c r="DM185" s="1114"/>
      <c r="DN185" s="1114"/>
      <c r="DO185" s="1114"/>
      <c r="DP185" s="1114"/>
      <c r="DQ185" s="1114"/>
      <c r="DR185" s="1114"/>
      <c r="DS185" s="1114"/>
      <c r="DT185" s="1114"/>
      <c r="DU185" s="1114"/>
      <c r="DV185" s="1115"/>
      <c r="DW185" s="1116"/>
      <c r="DX185" s="1116"/>
      <c r="DY185" s="1116"/>
      <c r="DZ185" s="1116"/>
      <c r="EA185" s="1116"/>
      <c r="EB185" s="1116"/>
      <c r="EC185" s="1116"/>
      <c r="ED185" s="1116"/>
      <c r="EE185" s="1116"/>
      <c r="EF185" s="1116"/>
      <c r="EG185" s="1116"/>
      <c r="EH185" s="1116"/>
      <c r="EI185" s="1116"/>
      <c r="EJ185" s="1116"/>
      <c r="EK185" s="1116"/>
      <c r="EL185" s="1116"/>
      <c r="EM185" s="1116"/>
      <c r="EN185" s="1116"/>
      <c r="EO185" s="1116"/>
      <c r="EP185" s="1116"/>
      <c r="EQ185" s="1116"/>
      <c r="ER185" s="1116"/>
      <c r="ES185" s="1116"/>
    </row>
    <row r="186" spans="1:149" ht="15" customHeight="1">
      <c r="A186" s="1185">
        <v>176</v>
      </c>
      <c r="B186" s="1041"/>
      <c r="C186" s="1050"/>
      <c r="D186" s="1050"/>
      <c r="E186" s="1050"/>
      <c r="F186" s="1049"/>
      <c r="G186" s="1049"/>
      <c r="H186" s="1049"/>
      <c r="I186" s="1049"/>
      <c r="J186" s="1050"/>
      <c r="K186" s="1050"/>
      <c r="L186" s="1043"/>
      <c r="M186" s="1051"/>
      <c r="N186" s="1051"/>
      <c r="O186" s="1052"/>
      <c r="P186" s="1051"/>
      <c r="Q186" s="1051"/>
      <c r="R186" s="1052"/>
      <c r="S186" s="1051"/>
      <c r="T186" s="1051"/>
      <c r="U186" s="1052"/>
      <c r="V186" s="1051"/>
      <c r="W186" s="1051"/>
      <c r="X186" s="1052"/>
      <c r="Y186" s="1053"/>
      <c r="Z186" s="1051"/>
      <c r="AA186" s="1051"/>
      <c r="AB186" s="1052"/>
      <c r="AC186" s="1051"/>
      <c r="AD186" s="1051"/>
      <c r="AE186" s="1052"/>
      <c r="AF186" s="1051"/>
      <c r="AG186" s="1051"/>
      <c r="AH186" s="1051"/>
      <c r="AI186" s="1051"/>
      <c r="AJ186" s="1052"/>
      <c r="AK186" s="1051"/>
      <c r="AL186" s="1051"/>
      <c r="AM186" s="1052"/>
      <c r="AN186" s="1051"/>
      <c r="AO186" s="1051"/>
      <c r="AP186" s="1052"/>
      <c r="AQ186" s="1051"/>
      <c r="AR186" s="1051"/>
      <c r="AS186" s="1052"/>
      <c r="AT186" s="1051"/>
      <c r="AU186" s="1051"/>
      <c r="AV186" s="1052"/>
      <c r="AW186" s="1051"/>
      <c r="AX186" s="1051"/>
      <c r="AY186" s="1053"/>
      <c r="AZ186" s="1051"/>
      <c r="BA186" s="1051"/>
      <c r="BB186" s="1053"/>
      <c r="BC186" s="1051"/>
      <c r="BD186" s="1051"/>
      <c r="BE186" s="1053"/>
      <c r="BF186" s="1051"/>
      <c r="BG186" s="1051"/>
      <c r="BH186" s="1053"/>
      <c r="BI186" s="1052"/>
      <c r="BJ186" s="1052"/>
      <c r="BK186" s="1052"/>
      <c r="BL186" s="1052"/>
      <c r="BM186" s="1052"/>
      <c r="BN186" s="1054"/>
      <c r="BO186" s="1076">
        <f t="shared" si="3"/>
        <v>0</v>
      </c>
      <c r="BP186" s="1051"/>
      <c r="BQ186" s="1052"/>
      <c r="BR186" s="1054"/>
      <c r="BS186" s="1053"/>
      <c r="BT186" s="1051"/>
      <c r="BU186" s="1051"/>
      <c r="BV186" s="1051"/>
      <c r="BW186" s="1052"/>
      <c r="BX186" s="1052"/>
      <c r="BY186" s="1052"/>
      <c r="BZ186" s="1052"/>
      <c r="CA186" s="1052"/>
      <c r="CB186" s="1053"/>
      <c r="CC186" s="1053"/>
      <c r="CD186" s="1053"/>
      <c r="CE186" s="1053"/>
      <c r="CF186" s="1053"/>
      <c r="CG186" s="1053"/>
      <c r="CH186" s="1053"/>
      <c r="CI186" s="1123"/>
      <c r="CJ186" s="1123"/>
      <c r="CK186" s="1123"/>
      <c r="CL186" s="1123"/>
      <c r="CM186" s="1123"/>
      <c r="CN186" s="1123"/>
      <c r="CO186" s="1123"/>
      <c r="CP186" s="1123"/>
      <c r="CQ186" s="1123"/>
      <c r="CR186" s="1123"/>
      <c r="CS186" s="1123"/>
      <c r="CT186" s="1123"/>
      <c r="CU186" s="1123"/>
      <c r="CV186" s="1123"/>
      <c r="CW186" s="1123"/>
      <c r="CX186" s="1123"/>
      <c r="CY186" s="1123"/>
      <c r="CZ186" s="1114"/>
      <c r="DA186" s="1114"/>
      <c r="DB186" s="1114"/>
      <c r="DC186" s="1114"/>
      <c r="DD186" s="1114"/>
      <c r="DE186" s="1114"/>
      <c r="DF186" s="1114"/>
      <c r="DG186" s="1114"/>
      <c r="DH186" s="1114"/>
      <c r="DI186" s="1114"/>
      <c r="DJ186" s="1114"/>
      <c r="DK186" s="1114"/>
      <c r="DL186" s="1114"/>
      <c r="DM186" s="1114"/>
      <c r="DN186" s="1114"/>
      <c r="DO186" s="1114"/>
      <c r="DP186" s="1114"/>
      <c r="DQ186" s="1114"/>
      <c r="DR186" s="1114"/>
      <c r="DS186" s="1114"/>
      <c r="DT186" s="1114"/>
      <c r="DU186" s="1114"/>
      <c r="DV186" s="1115"/>
      <c r="DW186" s="1116"/>
      <c r="DX186" s="1116"/>
      <c r="DY186" s="1116"/>
      <c r="DZ186" s="1116"/>
      <c r="EA186" s="1116"/>
      <c r="EB186" s="1116"/>
      <c r="EC186" s="1116"/>
      <c r="ED186" s="1116"/>
      <c r="EE186" s="1116"/>
      <c r="EF186" s="1116"/>
      <c r="EG186" s="1116"/>
      <c r="EH186" s="1116"/>
      <c r="EI186" s="1116"/>
      <c r="EJ186" s="1116"/>
      <c r="EK186" s="1116"/>
      <c r="EL186" s="1116"/>
      <c r="EM186" s="1116"/>
      <c r="EN186" s="1116"/>
      <c r="EO186" s="1116"/>
      <c r="EP186" s="1116"/>
      <c r="EQ186" s="1116"/>
      <c r="ER186" s="1116"/>
      <c r="ES186" s="1116"/>
    </row>
    <row r="187" spans="1:149" ht="15" customHeight="1">
      <c r="A187" s="1185">
        <v>177</v>
      </c>
      <c r="B187" s="1041"/>
      <c r="C187" s="1050"/>
      <c r="D187" s="1050"/>
      <c r="E187" s="1050"/>
      <c r="F187" s="1049"/>
      <c r="G187" s="1049"/>
      <c r="H187" s="1049"/>
      <c r="I187" s="1049"/>
      <c r="J187" s="1050"/>
      <c r="K187" s="1050"/>
      <c r="L187" s="1043"/>
      <c r="M187" s="1051"/>
      <c r="N187" s="1051"/>
      <c r="O187" s="1052"/>
      <c r="P187" s="1051"/>
      <c r="Q187" s="1051"/>
      <c r="R187" s="1052"/>
      <c r="S187" s="1051"/>
      <c r="T187" s="1051"/>
      <c r="U187" s="1052"/>
      <c r="V187" s="1051"/>
      <c r="W187" s="1051"/>
      <c r="X187" s="1052"/>
      <c r="Y187" s="1053"/>
      <c r="Z187" s="1051"/>
      <c r="AA187" s="1051"/>
      <c r="AB187" s="1052"/>
      <c r="AC187" s="1051"/>
      <c r="AD187" s="1051"/>
      <c r="AE187" s="1052"/>
      <c r="AF187" s="1051"/>
      <c r="AG187" s="1051"/>
      <c r="AH187" s="1051"/>
      <c r="AI187" s="1051"/>
      <c r="AJ187" s="1052"/>
      <c r="AK187" s="1051"/>
      <c r="AL187" s="1051"/>
      <c r="AM187" s="1052"/>
      <c r="AN187" s="1051"/>
      <c r="AO187" s="1051"/>
      <c r="AP187" s="1052"/>
      <c r="AQ187" s="1051"/>
      <c r="AR187" s="1051"/>
      <c r="AS187" s="1052"/>
      <c r="AT187" s="1051"/>
      <c r="AU187" s="1051"/>
      <c r="AV187" s="1052"/>
      <c r="AW187" s="1051"/>
      <c r="AX187" s="1051"/>
      <c r="AY187" s="1053"/>
      <c r="AZ187" s="1051"/>
      <c r="BA187" s="1051"/>
      <c r="BB187" s="1053"/>
      <c r="BC187" s="1051"/>
      <c r="BD187" s="1051"/>
      <c r="BE187" s="1053"/>
      <c r="BF187" s="1051"/>
      <c r="BG187" s="1051"/>
      <c r="BH187" s="1053"/>
      <c r="BI187" s="1052"/>
      <c r="BJ187" s="1052"/>
      <c r="BK187" s="1052"/>
      <c r="BL187" s="1052"/>
      <c r="BM187" s="1052"/>
      <c r="BN187" s="1054"/>
      <c r="BO187" s="1076">
        <f t="shared" si="3"/>
        <v>0</v>
      </c>
      <c r="BP187" s="1051"/>
      <c r="BQ187" s="1052"/>
      <c r="BR187" s="1054"/>
      <c r="BS187" s="1053"/>
      <c r="BT187" s="1051"/>
      <c r="BU187" s="1051"/>
      <c r="BV187" s="1051"/>
      <c r="BW187" s="1052"/>
      <c r="BX187" s="1052"/>
      <c r="BY187" s="1052"/>
      <c r="BZ187" s="1052"/>
      <c r="CA187" s="1052"/>
      <c r="CB187" s="1053"/>
      <c r="CC187" s="1053"/>
      <c r="CD187" s="1053"/>
      <c r="CE187" s="1053"/>
      <c r="CF187" s="1053"/>
      <c r="CG187" s="1053"/>
      <c r="CH187" s="1053"/>
      <c r="CI187" s="1123"/>
      <c r="CJ187" s="1123"/>
      <c r="CK187" s="1123"/>
      <c r="CL187" s="1123"/>
      <c r="CM187" s="1123"/>
      <c r="CN187" s="1123"/>
      <c r="CO187" s="1123"/>
      <c r="CP187" s="1123"/>
      <c r="CQ187" s="1123"/>
      <c r="CR187" s="1123"/>
      <c r="CS187" s="1123"/>
      <c r="CT187" s="1123"/>
      <c r="CU187" s="1123"/>
      <c r="CV187" s="1123"/>
      <c r="CW187" s="1123"/>
      <c r="CX187" s="1123"/>
      <c r="CY187" s="1123"/>
      <c r="CZ187" s="1114"/>
      <c r="DA187" s="1114"/>
      <c r="DB187" s="1114"/>
      <c r="DC187" s="1114"/>
      <c r="DD187" s="1114"/>
      <c r="DE187" s="1114"/>
      <c r="DF187" s="1114"/>
      <c r="DG187" s="1114"/>
      <c r="DH187" s="1114"/>
      <c r="DI187" s="1114"/>
      <c r="DJ187" s="1114"/>
      <c r="DK187" s="1114"/>
      <c r="DL187" s="1114"/>
      <c r="DM187" s="1114"/>
      <c r="DN187" s="1114"/>
      <c r="DO187" s="1114"/>
      <c r="DP187" s="1114"/>
      <c r="DQ187" s="1114"/>
      <c r="DR187" s="1114"/>
      <c r="DS187" s="1114"/>
      <c r="DT187" s="1114"/>
      <c r="DU187" s="1114"/>
      <c r="DV187" s="1115"/>
      <c r="DW187" s="1116"/>
      <c r="DX187" s="1116"/>
      <c r="DY187" s="1116"/>
      <c r="DZ187" s="1116"/>
      <c r="EA187" s="1116"/>
      <c r="EB187" s="1116"/>
      <c r="EC187" s="1116"/>
      <c r="ED187" s="1116"/>
      <c r="EE187" s="1116"/>
      <c r="EF187" s="1116"/>
      <c r="EG187" s="1116"/>
      <c r="EH187" s="1116"/>
      <c r="EI187" s="1116"/>
      <c r="EJ187" s="1116"/>
      <c r="EK187" s="1116"/>
      <c r="EL187" s="1116"/>
      <c r="EM187" s="1116"/>
      <c r="EN187" s="1116"/>
      <c r="EO187" s="1116"/>
      <c r="EP187" s="1116"/>
      <c r="EQ187" s="1116"/>
      <c r="ER187" s="1116"/>
      <c r="ES187" s="1116"/>
    </row>
    <row r="188" spans="1:149" ht="15" customHeight="1">
      <c r="A188" s="1185">
        <v>178</v>
      </c>
      <c r="B188" s="1041"/>
      <c r="C188" s="1050"/>
      <c r="D188" s="1050"/>
      <c r="E188" s="1050"/>
      <c r="F188" s="1049"/>
      <c r="G188" s="1049"/>
      <c r="H188" s="1049"/>
      <c r="I188" s="1049"/>
      <c r="J188" s="1050"/>
      <c r="K188" s="1050"/>
      <c r="L188" s="1043"/>
      <c r="M188" s="1051"/>
      <c r="N188" s="1051"/>
      <c r="O188" s="1052"/>
      <c r="P188" s="1051"/>
      <c r="Q188" s="1051"/>
      <c r="R188" s="1052"/>
      <c r="S188" s="1051"/>
      <c r="T188" s="1051"/>
      <c r="U188" s="1052"/>
      <c r="V188" s="1051"/>
      <c r="W188" s="1051"/>
      <c r="X188" s="1052"/>
      <c r="Y188" s="1053"/>
      <c r="Z188" s="1051"/>
      <c r="AA188" s="1051"/>
      <c r="AB188" s="1052"/>
      <c r="AC188" s="1051"/>
      <c r="AD188" s="1051"/>
      <c r="AE188" s="1052"/>
      <c r="AF188" s="1051"/>
      <c r="AG188" s="1051"/>
      <c r="AH188" s="1051"/>
      <c r="AI188" s="1051"/>
      <c r="AJ188" s="1052"/>
      <c r="AK188" s="1051"/>
      <c r="AL188" s="1051"/>
      <c r="AM188" s="1052"/>
      <c r="AN188" s="1051"/>
      <c r="AO188" s="1051"/>
      <c r="AP188" s="1052"/>
      <c r="AQ188" s="1051"/>
      <c r="AR188" s="1051"/>
      <c r="AS188" s="1052"/>
      <c r="AT188" s="1051"/>
      <c r="AU188" s="1051"/>
      <c r="AV188" s="1052"/>
      <c r="AW188" s="1051"/>
      <c r="AX188" s="1051"/>
      <c r="AY188" s="1053"/>
      <c r="AZ188" s="1051"/>
      <c r="BA188" s="1051"/>
      <c r="BB188" s="1053"/>
      <c r="BC188" s="1051"/>
      <c r="BD188" s="1051"/>
      <c r="BE188" s="1053"/>
      <c r="BF188" s="1051"/>
      <c r="BG188" s="1051"/>
      <c r="BH188" s="1053"/>
      <c r="BI188" s="1052"/>
      <c r="BJ188" s="1052"/>
      <c r="BK188" s="1052"/>
      <c r="BL188" s="1052"/>
      <c r="BM188" s="1052"/>
      <c r="BN188" s="1054"/>
      <c r="BO188" s="1076">
        <f t="shared" si="3"/>
        <v>0</v>
      </c>
      <c r="BP188" s="1051"/>
      <c r="BQ188" s="1052"/>
      <c r="BR188" s="1054"/>
      <c r="BS188" s="1053"/>
      <c r="BT188" s="1051"/>
      <c r="BU188" s="1051"/>
      <c r="BV188" s="1051"/>
      <c r="BW188" s="1052"/>
      <c r="BX188" s="1052"/>
      <c r="BY188" s="1052"/>
      <c r="BZ188" s="1052"/>
      <c r="CA188" s="1052"/>
      <c r="CB188" s="1053"/>
      <c r="CC188" s="1053"/>
      <c r="CD188" s="1053"/>
      <c r="CE188" s="1053"/>
      <c r="CF188" s="1053"/>
      <c r="CG188" s="1053"/>
      <c r="CH188" s="1053"/>
      <c r="CI188" s="1123"/>
      <c r="CJ188" s="1123"/>
      <c r="CK188" s="1123"/>
      <c r="CL188" s="1123"/>
      <c r="CM188" s="1123"/>
      <c r="CN188" s="1123"/>
      <c r="CO188" s="1123"/>
      <c r="CP188" s="1123"/>
      <c r="CQ188" s="1123"/>
      <c r="CR188" s="1123"/>
      <c r="CS188" s="1123"/>
      <c r="CT188" s="1123"/>
      <c r="CU188" s="1123"/>
      <c r="CV188" s="1123"/>
      <c r="CW188" s="1123"/>
      <c r="CX188" s="1123"/>
      <c r="CY188" s="1123"/>
      <c r="CZ188" s="1114"/>
      <c r="DA188" s="1114"/>
      <c r="DB188" s="1114"/>
      <c r="DC188" s="1114"/>
      <c r="DD188" s="1114"/>
      <c r="DE188" s="1114"/>
      <c r="DF188" s="1114"/>
      <c r="DG188" s="1114"/>
      <c r="DH188" s="1114"/>
      <c r="DI188" s="1114"/>
      <c r="DJ188" s="1114"/>
      <c r="DK188" s="1114"/>
      <c r="DL188" s="1114"/>
      <c r="DM188" s="1114"/>
      <c r="DN188" s="1114"/>
      <c r="DO188" s="1114"/>
      <c r="DP188" s="1114"/>
      <c r="DQ188" s="1114"/>
      <c r="DR188" s="1114"/>
      <c r="DS188" s="1114"/>
      <c r="DT188" s="1114"/>
      <c r="DU188" s="1114"/>
      <c r="DV188" s="1115"/>
      <c r="DW188" s="1116"/>
      <c r="DX188" s="1116"/>
      <c r="DY188" s="1116"/>
      <c r="DZ188" s="1116"/>
      <c r="EA188" s="1116"/>
      <c r="EB188" s="1116"/>
      <c r="EC188" s="1116"/>
      <c r="ED188" s="1116"/>
      <c r="EE188" s="1116"/>
      <c r="EF188" s="1116"/>
      <c r="EG188" s="1116"/>
      <c r="EH188" s="1116"/>
      <c r="EI188" s="1116"/>
      <c r="EJ188" s="1116"/>
      <c r="EK188" s="1116"/>
      <c r="EL188" s="1116"/>
      <c r="EM188" s="1116"/>
      <c r="EN188" s="1116"/>
      <c r="EO188" s="1116"/>
      <c r="EP188" s="1116"/>
      <c r="EQ188" s="1116"/>
      <c r="ER188" s="1116"/>
      <c r="ES188" s="1116"/>
    </row>
    <row r="189" spans="1:149" ht="15" customHeight="1">
      <c r="A189" s="1185">
        <v>179</v>
      </c>
      <c r="B189" s="1041"/>
      <c r="C189" s="1050"/>
      <c r="D189" s="1050"/>
      <c r="E189" s="1050"/>
      <c r="F189" s="1049"/>
      <c r="G189" s="1049"/>
      <c r="H189" s="1049"/>
      <c r="I189" s="1049"/>
      <c r="J189" s="1050"/>
      <c r="K189" s="1050"/>
      <c r="L189" s="1043"/>
      <c r="M189" s="1051"/>
      <c r="N189" s="1051"/>
      <c r="O189" s="1052"/>
      <c r="P189" s="1051"/>
      <c r="Q189" s="1051"/>
      <c r="R189" s="1052"/>
      <c r="S189" s="1051"/>
      <c r="T189" s="1051"/>
      <c r="U189" s="1052"/>
      <c r="V189" s="1051"/>
      <c r="W189" s="1051"/>
      <c r="X189" s="1052"/>
      <c r="Y189" s="1053"/>
      <c r="Z189" s="1051"/>
      <c r="AA189" s="1051"/>
      <c r="AB189" s="1052"/>
      <c r="AC189" s="1051"/>
      <c r="AD189" s="1051"/>
      <c r="AE189" s="1052"/>
      <c r="AF189" s="1051"/>
      <c r="AG189" s="1051"/>
      <c r="AH189" s="1051"/>
      <c r="AI189" s="1051"/>
      <c r="AJ189" s="1052"/>
      <c r="AK189" s="1051"/>
      <c r="AL189" s="1051"/>
      <c r="AM189" s="1052"/>
      <c r="AN189" s="1051"/>
      <c r="AO189" s="1051"/>
      <c r="AP189" s="1052"/>
      <c r="AQ189" s="1051"/>
      <c r="AR189" s="1051"/>
      <c r="AS189" s="1052"/>
      <c r="AT189" s="1051"/>
      <c r="AU189" s="1051"/>
      <c r="AV189" s="1052"/>
      <c r="AW189" s="1051"/>
      <c r="AX189" s="1051"/>
      <c r="AY189" s="1053"/>
      <c r="AZ189" s="1051"/>
      <c r="BA189" s="1051"/>
      <c r="BB189" s="1053"/>
      <c r="BC189" s="1051"/>
      <c r="BD189" s="1051"/>
      <c r="BE189" s="1053"/>
      <c r="BF189" s="1051"/>
      <c r="BG189" s="1051"/>
      <c r="BH189" s="1053"/>
      <c r="BI189" s="1052"/>
      <c r="BJ189" s="1052"/>
      <c r="BK189" s="1052"/>
      <c r="BL189" s="1052"/>
      <c r="BM189" s="1052"/>
      <c r="BN189" s="1054"/>
      <c r="BO189" s="1076">
        <f t="shared" si="3"/>
        <v>0</v>
      </c>
      <c r="BP189" s="1051"/>
      <c r="BQ189" s="1052"/>
      <c r="BR189" s="1054"/>
      <c r="BS189" s="1053"/>
      <c r="BT189" s="1051"/>
      <c r="BU189" s="1051"/>
      <c r="BV189" s="1051"/>
      <c r="BW189" s="1052"/>
      <c r="BX189" s="1052"/>
      <c r="BY189" s="1052"/>
      <c r="BZ189" s="1052"/>
      <c r="CA189" s="1052"/>
      <c r="CB189" s="1053"/>
      <c r="CC189" s="1053"/>
      <c r="CD189" s="1053"/>
      <c r="CE189" s="1053"/>
      <c r="CF189" s="1053"/>
      <c r="CG189" s="1053"/>
      <c r="CH189" s="1053"/>
      <c r="CI189" s="1123"/>
      <c r="CJ189" s="1123"/>
      <c r="CK189" s="1123"/>
      <c r="CL189" s="1123"/>
      <c r="CM189" s="1123"/>
      <c r="CN189" s="1123"/>
      <c r="CO189" s="1123"/>
      <c r="CP189" s="1123"/>
      <c r="CQ189" s="1123"/>
      <c r="CR189" s="1123"/>
      <c r="CS189" s="1123"/>
      <c r="CT189" s="1123"/>
      <c r="CU189" s="1123"/>
      <c r="CV189" s="1123"/>
      <c r="CW189" s="1123"/>
      <c r="CX189" s="1123"/>
      <c r="CY189" s="1123"/>
      <c r="CZ189" s="1114"/>
      <c r="DA189" s="1114"/>
      <c r="DB189" s="1114"/>
      <c r="DC189" s="1114"/>
      <c r="DD189" s="1114"/>
      <c r="DE189" s="1114"/>
      <c r="DF189" s="1114"/>
      <c r="DG189" s="1114"/>
      <c r="DH189" s="1114"/>
      <c r="DI189" s="1114"/>
      <c r="DJ189" s="1114"/>
      <c r="DK189" s="1114"/>
      <c r="DL189" s="1114"/>
      <c r="DM189" s="1114"/>
      <c r="DN189" s="1114"/>
      <c r="DO189" s="1114"/>
      <c r="DP189" s="1114"/>
      <c r="DQ189" s="1114"/>
      <c r="DR189" s="1114"/>
      <c r="DS189" s="1114"/>
      <c r="DT189" s="1114"/>
      <c r="DU189" s="1114"/>
      <c r="DV189" s="1115"/>
      <c r="DW189" s="1116"/>
      <c r="DX189" s="1116"/>
      <c r="DY189" s="1116"/>
      <c r="DZ189" s="1116"/>
      <c r="EA189" s="1116"/>
      <c r="EB189" s="1116"/>
      <c r="EC189" s="1116"/>
      <c r="ED189" s="1116"/>
      <c r="EE189" s="1116"/>
      <c r="EF189" s="1116"/>
      <c r="EG189" s="1116"/>
      <c r="EH189" s="1116"/>
      <c r="EI189" s="1116"/>
      <c r="EJ189" s="1116"/>
      <c r="EK189" s="1116"/>
      <c r="EL189" s="1116"/>
      <c r="EM189" s="1116"/>
      <c r="EN189" s="1116"/>
      <c r="EO189" s="1116"/>
      <c r="EP189" s="1116"/>
      <c r="EQ189" s="1116"/>
      <c r="ER189" s="1116"/>
      <c r="ES189" s="1116"/>
    </row>
    <row r="190" spans="1:149" ht="15" customHeight="1">
      <c r="A190" s="1185">
        <v>180</v>
      </c>
      <c r="B190" s="1041"/>
      <c r="C190" s="1050"/>
      <c r="D190" s="1050"/>
      <c r="E190" s="1050"/>
      <c r="F190" s="1049"/>
      <c r="G190" s="1049"/>
      <c r="H190" s="1049"/>
      <c r="I190" s="1049"/>
      <c r="J190" s="1050"/>
      <c r="K190" s="1050"/>
      <c r="L190" s="1043"/>
      <c r="M190" s="1051"/>
      <c r="N190" s="1051"/>
      <c r="O190" s="1052"/>
      <c r="P190" s="1051"/>
      <c r="Q190" s="1051"/>
      <c r="R190" s="1052"/>
      <c r="S190" s="1051"/>
      <c r="T190" s="1051"/>
      <c r="U190" s="1052"/>
      <c r="V190" s="1051"/>
      <c r="W190" s="1051"/>
      <c r="X190" s="1052"/>
      <c r="Y190" s="1053"/>
      <c r="Z190" s="1051"/>
      <c r="AA190" s="1051"/>
      <c r="AB190" s="1052"/>
      <c r="AC190" s="1051"/>
      <c r="AD190" s="1051"/>
      <c r="AE190" s="1052"/>
      <c r="AF190" s="1051"/>
      <c r="AG190" s="1051"/>
      <c r="AH190" s="1051"/>
      <c r="AI190" s="1051"/>
      <c r="AJ190" s="1052"/>
      <c r="AK190" s="1051"/>
      <c r="AL190" s="1051"/>
      <c r="AM190" s="1052"/>
      <c r="AN190" s="1051"/>
      <c r="AO190" s="1051"/>
      <c r="AP190" s="1052"/>
      <c r="AQ190" s="1051"/>
      <c r="AR190" s="1051"/>
      <c r="AS190" s="1052"/>
      <c r="AT190" s="1051"/>
      <c r="AU190" s="1051"/>
      <c r="AV190" s="1052"/>
      <c r="AW190" s="1051"/>
      <c r="AX190" s="1051"/>
      <c r="AY190" s="1053"/>
      <c r="AZ190" s="1051"/>
      <c r="BA190" s="1051"/>
      <c r="BB190" s="1053"/>
      <c r="BC190" s="1051"/>
      <c r="BD190" s="1051"/>
      <c r="BE190" s="1053"/>
      <c r="BF190" s="1051"/>
      <c r="BG190" s="1051"/>
      <c r="BH190" s="1053"/>
      <c r="BI190" s="1052"/>
      <c r="BJ190" s="1052"/>
      <c r="BK190" s="1052"/>
      <c r="BL190" s="1052"/>
      <c r="BM190" s="1052"/>
      <c r="BN190" s="1054"/>
      <c r="BO190" s="1076">
        <f t="shared" si="3"/>
        <v>0</v>
      </c>
      <c r="BP190" s="1051"/>
      <c r="BQ190" s="1052"/>
      <c r="BR190" s="1054"/>
      <c r="BS190" s="1053"/>
      <c r="BT190" s="1051"/>
      <c r="BU190" s="1051"/>
      <c r="BV190" s="1051"/>
      <c r="BW190" s="1052"/>
      <c r="BX190" s="1052"/>
      <c r="BY190" s="1052"/>
      <c r="BZ190" s="1052"/>
      <c r="CA190" s="1052"/>
      <c r="CB190" s="1053"/>
      <c r="CC190" s="1053"/>
      <c r="CD190" s="1053"/>
      <c r="CE190" s="1053"/>
      <c r="CF190" s="1053"/>
      <c r="CG190" s="1053"/>
      <c r="CH190" s="1053"/>
      <c r="CI190" s="1123"/>
      <c r="CJ190" s="1123"/>
      <c r="CK190" s="1123"/>
      <c r="CL190" s="1123"/>
      <c r="CM190" s="1123"/>
      <c r="CN190" s="1123"/>
      <c r="CO190" s="1123"/>
      <c r="CP190" s="1123"/>
      <c r="CQ190" s="1123"/>
      <c r="CR190" s="1123"/>
      <c r="CS190" s="1123"/>
      <c r="CT190" s="1123"/>
      <c r="CU190" s="1123"/>
      <c r="CV190" s="1123"/>
      <c r="CW190" s="1123"/>
      <c r="CX190" s="1123"/>
      <c r="CY190" s="1123"/>
      <c r="CZ190" s="1114"/>
      <c r="DA190" s="1114"/>
      <c r="DB190" s="1114"/>
      <c r="DC190" s="1114"/>
      <c r="DD190" s="1114"/>
      <c r="DE190" s="1114"/>
      <c r="DF190" s="1114"/>
      <c r="DG190" s="1114"/>
      <c r="DH190" s="1114"/>
      <c r="DI190" s="1114"/>
      <c r="DJ190" s="1114"/>
      <c r="DK190" s="1114"/>
      <c r="DL190" s="1114"/>
      <c r="DM190" s="1114"/>
      <c r="DN190" s="1114"/>
      <c r="DO190" s="1114"/>
      <c r="DP190" s="1114"/>
      <c r="DQ190" s="1114"/>
      <c r="DR190" s="1114"/>
      <c r="DS190" s="1114"/>
      <c r="DT190" s="1114"/>
      <c r="DU190" s="1114"/>
      <c r="DV190" s="1115"/>
      <c r="DW190" s="1116"/>
      <c r="DX190" s="1116"/>
      <c r="DY190" s="1116"/>
      <c r="DZ190" s="1116"/>
      <c r="EA190" s="1116"/>
      <c r="EB190" s="1116"/>
      <c r="EC190" s="1116"/>
      <c r="ED190" s="1116"/>
      <c r="EE190" s="1116"/>
      <c r="EF190" s="1116"/>
      <c r="EG190" s="1116"/>
      <c r="EH190" s="1116"/>
      <c r="EI190" s="1116"/>
      <c r="EJ190" s="1116"/>
      <c r="EK190" s="1116"/>
      <c r="EL190" s="1116"/>
      <c r="EM190" s="1116"/>
      <c r="EN190" s="1116"/>
      <c r="EO190" s="1116"/>
      <c r="EP190" s="1116"/>
      <c r="EQ190" s="1116"/>
      <c r="ER190" s="1116"/>
      <c r="ES190" s="1116"/>
    </row>
    <row r="191" spans="1:149" ht="15" customHeight="1">
      <c r="A191" s="1185">
        <v>181</v>
      </c>
      <c r="B191" s="1041"/>
      <c r="C191" s="1050"/>
      <c r="D191" s="1050"/>
      <c r="E191" s="1050"/>
      <c r="F191" s="1049"/>
      <c r="G191" s="1049"/>
      <c r="H191" s="1049"/>
      <c r="I191" s="1049"/>
      <c r="J191" s="1050"/>
      <c r="K191" s="1050"/>
      <c r="L191" s="1043"/>
      <c r="M191" s="1051"/>
      <c r="N191" s="1051"/>
      <c r="O191" s="1052"/>
      <c r="P191" s="1051"/>
      <c r="Q191" s="1051"/>
      <c r="R191" s="1052"/>
      <c r="S191" s="1051"/>
      <c r="T191" s="1051"/>
      <c r="U191" s="1052"/>
      <c r="V191" s="1051"/>
      <c r="W191" s="1051"/>
      <c r="X191" s="1052"/>
      <c r="Y191" s="1053"/>
      <c r="Z191" s="1051"/>
      <c r="AA191" s="1051"/>
      <c r="AB191" s="1052"/>
      <c r="AC191" s="1051"/>
      <c r="AD191" s="1051"/>
      <c r="AE191" s="1052"/>
      <c r="AF191" s="1051"/>
      <c r="AG191" s="1051"/>
      <c r="AH191" s="1051"/>
      <c r="AI191" s="1051"/>
      <c r="AJ191" s="1052"/>
      <c r="AK191" s="1051"/>
      <c r="AL191" s="1051"/>
      <c r="AM191" s="1052"/>
      <c r="AN191" s="1051"/>
      <c r="AO191" s="1051"/>
      <c r="AP191" s="1052"/>
      <c r="AQ191" s="1051"/>
      <c r="AR191" s="1051"/>
      <c r="AS191" s="1052"/>
      <c r="AT191" s="1051"/>
      <c r="AU191" s="1051"/>
      <c r="AV191" s="1052"/>
      <c r="AW191" s="1051"/>
      <c r="AX191" s="1051"/>
      <c r="AY191" s="1053"/>
      <c r="AZ191" s="1051"/>
      <c r="BA191" s="1051"/>
      <c r="BB191" s="1053"/>
      <c r="BC191" s="1051"/>
      <c r="BD191" s="1051"/>
      <c r="BE191" s="1053"/>
      <c r="BF191" s="1051"/>
      <c r="BG191" s="1051"/>
      <c r="BH191" s="1053"/>
      <c r="BI191" s="1052"/>
      <c r="BJ191" s="1052"/>
      <c r="BK191" s="1052"/>
      <c r="BL191" s="1052"/>
      <c r="BM191" s="1052"/>
      <c r="BN191" s="1054"/>
      <c r="BO191" s="1076">
        <f t="shared" si="3"/>
        <v>0</v>
      </c>
      <c r="BP191" s="1051"/>
      <c r="BQ191" s="1052"/>
      <c r="BR191" s="1054"/>
      <c r="BS191" s="1053"/>
      <c r="BT191" s="1051"/>
      <c r="BU191" s="1051"/>
      <c r="BV191" s="1051"/>
      <c r="BW191" s="1052"/>
      <c r="BX191" s="1052"/>
      <c r="BY191" s="1052"/>
      <c r="BZ191" s="1052"/>
      <c r="CA191" s="1052"/>
      <c r="CB191" s="1053"/>
      <c r="CC191" s="1053"/>
      <c r="CD191" s="1053"/>
      <c r="CE191" s="1053"/>
      <c r="CF191" s="1053"/>
      <c r="CG191" s="1053"/>
      <c r="CH191" s="1053"/>
      <c r="CI191" s="1123"/>
      <c r="CJ191" s="1123"/>
      <c r="CK191" s="1123"/>
      <c r="CL191" s="1123"/>
      <c r="CM191" s="1123"/>
      <c r="CN191" s="1123"/>
      <c r="CO191" s="1123"/>
      <c r="CP191" s="1123"/>
      <c r="CQ191" s="1123"/>
      <c r="CR191" s="1123"/>
      <c r="CS191" s="1123"/>
      <c r="CT191" s="1123"/>
      <c r="CU191" s="1123"/>
      <c r="CV191" s="1123"/>
      <c r="CW191" s="1123"/>
      <c r="CX191" s="1123"/>
      <c r="CY191" s="1123"/>
      <c r="CZ191" s="1114"/>
      <c r="DA191" s="1114"/>
      <c r="DB191" s="1114"/>
      <c r="DC191" s="1114"/>
      <c r="DD191" s="1114"/>
      <c r="DE191" s="1114"/>
      <c r="DF191" s="1114"/>
      <c r="DG191" s="1114"/>
      <c r="DH191" s="1114"/>
      <c r="DI191" s="1114"/>
      <c r="DJ191" s="1114"/>
      <c r="DK191" s="1114"/>
      <c r="DL191" s="1114"/>
      <c r="DM191" s="1114"/>
      <c r="DN191" s="1114"/>
      <c r="DO191" s="1114"/>
      <c r="DP191" s="1114"/>
      <c r="DQ191" s="1114"/>
      <c r="DR191" s="1114"/>
      <c r="DS191" s="1114"/>
      <c r="DT191" s="1114"/>
      <c r="DU191" s="1114"/>
      <c r="DV191" s="1115"/>
      <c r="DW191" s="1116"/>
      <c r="DX191" s="1116"/>
      <c r="DY191" s="1116"/>
      <c r="DZ191" s="1116"/>
      <c r="EA191" s="1116"/>
      <c r="EB191" s="1116"/>
      <c r="EC191" s="1116"/>
      <c r="ED191" s="1116"/>
      <c r="EE191" s="1116"/>
      <c r="EF191" s="1116"/>
      <c r="EG191" s="1116"/>
      <c r="EH191" s="1116"/>
      <c r="EI191" s="1116"/>
      <c r="EJ191" s="1116"/>
      <c r="EK191" s="1116"/>
      <c r="EL191" s="1116"/>
      <c r="EM191" s="1116"/>
      <c r="EN191" s="1116"/>
      <c r="EO191" s="1116"/>
      <c r="EP191" s="1116"/>
      <c r="EQ191" s="1116"/>
      <c r="ER191" s="1116"/>
      <c r="ES191" s="1116"/>
    </row>
    <row r="192" spans="1:149" ht="15" customHeight="1">
      <c r="A192" s="1185">
        <v>182</v>
      </c>
      <c r="B192" s="1041"/>
      <c r="C192" s="1050"/>
      <c r="D192" s="1050"/>
      <c r="E192" s="1050"/>
      <c r="F192" s="1049"/>
      <c r="G192" s="1049"/>
      <c r="H192" s="1049"/>
      <c r="I192" s="1049"/>
      <c r="J192" s="1050"/>
      <c r="K192" s="1050"/>
      <c r="L192" s="1043"/>
      <c r="M192" s="1051"/>
      <c r="N192" s="1051"/>
      <c r="O192" s="1052"/>
      <c r="P192" s="1051"/>
      <c r="Q192" s="1051"/>
      <c r="R192" s="1052"/>
      <c r="S192" s="1051"/>
      <c r="T192" s="1051"/>
      <c r="U192" s="1052"/>
      <c r="V192" s="1051"/>
      <c r="W192" s="1051"/>
      <c r="X192" s="1052"/>
      <c r="Y192" s="1053"/>
      <c r="Z192" s="1051"/>
      <c r="AA192" s="1051"/>
      <c r="AB192" s="1052"/>
      <c r="AC192" s="1051"/>
      <c r="AD192" s="1051"/>
      <c r="AE192" s="1052"/>
      <c r="AF192" s="1051"/>
      <c r="AG192" s="1051"/>
      <c r="AH192" s="1051"/>
      <c r="AI192" s="1051"/>
      <c r="AJ192" s="1052"/>
      <c r="AK192" s="1051"/>
      <c r="AL192" s="1051"/>
      <c r="AM192" s="1052"/>
      <c r="AN192" s="1051"/>
      <c r="AO192" s="1051"/>
      <c r="AP192" s="1052"/>
      <c r="AQ192" s="1051"/>
      <c r="AR192" s="1051"/>
      <c r="AS192" s="1052"/>
      <c r="AT192" s="1051"/>
      <c r="AU192" s="1051"/>
      <c r="AV192" s="1052"/>
      <c r="AW192" s="1051"/>
      <c r="AX192" s="1051"/>
      <c r="AY192" s="1053"/>
      <c r="AZ192" s="1051"/>
      <c r="BA192" s="1051"/>
      <c r="BB192" s="1053"/>
      <c r="BC192" s="1051"/>
      <c r="BD192" s="1051"/>
      <c r="BE192" s="1053"/>
      <c r="BF192" s="1051"/>
      <c r="BG192" s="1051"/>
      <c r="BH192" s="1053"/>
      <c r="BI192" s="1052"/>
      <c r="BJ192" s="1052"/>
      <c r="BK192" s="1052"/>
      <c r="BL192" s="1052"/>
      <c r="BM192" s="1052"/>
      <c r="BN192" s="1054"/>
      <c r="BO192" s="1076">
        <f t="shared" si="3"/>
        <v>0</v>
      </c>
      <c r="BP192" s="1051"/>
      <c r="BQ192" s="1052"/>
      <c r="BR192" s="1054"/>
      <c r="BS192" s="1053"/>
      <c r="BT192" s="1051"/>
      <c r="BU192" s="1051"/>
      <c r="BV192" s="1051"/>
      <c r="BW192" s="1052"/>
      <c r="BX192" s="1052"/>
      <c r="BY192" s="1052"/>
      <c r="BZ192" s="1052"/>
      <c r="CA192" s="1052"/>
      <c r="CB192" s="1053"/>
      <c r="CC192" s="1053"/>
      <c r="CD192" s="1053"/>
      <c r="CE192" s="1053"/>
      <c r="CF192" s="1053"/>
      <c r="CG192" s="1053"/>
      <c r="CH192" s="1053"/>
      <c r="CI192" s="1123"/>
      <c r="CJ192" s="1123"/>
      <c r="CK192" s="1123"/>
      <c r="CL192" s="1123"/>
      <c r="CM192" s="1123"/>
      <c r="CN192" s="1123"/>
      <c r="CO192" s="1123"/>
      <c r="CP192" s="1123"/>
      <c r="CQ192" s="1123"/>
      <c r="CR192" s="1123"/>
      <c r="CS192" s="1123"/>
      <c r="CT192" s="1123"/>
      <c r="CU192" s="1123"/>
      <c r="CV192" s="1123"/>
      <c r="CW192" s="1123"/>
      <c r="CX192" s="1123"/>
      <c r="CY192" s="1123"/>
      <c r="CZ192" s="1114"/>
      <c r="DA192" s="1114"/>
      <c r="DB192" s="1114"/>
      <c r="DC192" s="1114"/>
      <c r="DD192" s="1114"/>
      <c r="DE192" s="1114"/>
      <c r="DF192" s="1114"/>
      <c r="DG192" s="1114"/>
      <c r="DH192" s="1114"/>
      <c r="DI192" s="1114"/>
      <c r="DJ192" s="1114"/>
      <c r="DK192" s="1114"/>
      <c r="DL192" s="1114"/>
      <c r="DM192" s="1114"/>
      <c r="DN192" s="1114"/>
      <c r="DO192" s="1114"/>
      <c r="DP192" s="1114"/>
      <c r="DQ192" s="1114"/>
      <c r="DR192" s="1114"/>
      <c r="DS192" s="1114"/>
      <c r="DT192" s="1114"/>
      <c r="DU192" s="1114"/>
      <c r="DV192" s="1115"/>
      <c r="DW192" s="1116"/>
      <c r="DX192" s="1116"/>
      <c r="DY192" s="1116"/>
      <c r="DZ192" s="1116"/>
      <c r="EA192" s="1116"/>
      <c r="EB192" s="1116"/>
      <c r="EC192" s="1116"/>
      <c r="ED192" s="1116"/>
      <c r="EE192" s="1116"/>
      <c r="EF192" s="1116"/>
      <c r="EG192" s="1116"/>
      <c r="EH192" s="1116"/>
      <c r="EI192" s="1116"/>
      <c r="EJ192" s="1116"/>
      <c r="EK192" s="1116"/>
      <c r="EL192" s="1116"/>
      <c r="EM192" s="1116"/>
      <c r="EN192" s="1116"/>
      <c r="EO192" s="1116"/>
      <c r="EP192" s="1116"/>
      <c r="EQ192" s="1116"/>
      <c r="ER192" s="1116"/>
      <c r="ES192" s="1116"/>
    </row>
    <row r="193" spans="1:149" ht="15" customHeight="1">
      <c r="A193" s="1185">
        <v>183</v>
      </c>
      <c r="B193" s="1041"/>
      <c r="C193" s="1050"/>
      <c r="D193" s="1050"/>
      <c r="E193" s="1050"/>
      <c r="F193" s="1049"/>
      <c r="G193" s="1049"/>
      <c r="H193" s="1049"/>
      <c r="I193" s="1049"/>
      <c r="J193" s="1050"/>
      <c r="K193" s="1050"/>
      <c r="L193" s="1043"/>
      <c r="M193" s="1051"/>
      <c r="N193" s="1051"/>
      <c r="O193" s="1052"/>
      <c r="P193" s="1051"/>
      <c r="Q193" s="1051"/>
      <c r="R193" s="1052"/>
      <c r="S193" s="1051"/>
      <c r="T193" s="1051"/>
      <c r="U193" s="1052"/>
      <c r="V193" s="1051"/>
      <c r="W193" s="1051"/>
      <c r="X193" s="1052"/>
      <c r="Y193" s="1053"/>
      <c r="Z193" s="1051"/>
      <c r="AA193" s="1051"/>
      <c r="AB193" s="1052"/>
      <c r="AC193" s="1051"/>
      <c r="AD193" s="1051"/>
      <c r="AE193" s="1052"/>
      <c r="AF193" s="1051"/>
      <c r="AG193" s="1051"/>
      <c r="AH193" s="1051"/>
      <c r="AI193" s="1051"/>
      <c r="AJ193" s="1052"/>
      <c r="AK193" s="1051"/>
      <c r="AL193" s="1051"/>
      <c r="AM193" s="1052"/>
      <c r="AN193" s="1051"/>
      <c r="AO193" s="1051"/>
      <c r="AP193" s="1052"/>
      <c r="AQ193" s="1051"/>
      <c r="AR193" s="1051"/>
      <c r="AS193" s="1052"/>
      <c r="AT193" s="1051"/>
      <c r="AU193" s="1051"/>
      <c r="AV193" s="1052"/>
      <c r="AW193" s="1051"/>
      <c r="AX193" s="1051"/>
      <c r="AY193" s="1053"/>
      <c r="AZ193" s="1051"/>
      <c r="BA193" s="1051"/>
      <c r="BB193" s="1053"/>
      <c r="BC193" s="1051"/>
      <c r="BD193" s="1051"/>
      <c r="BE193" s="1053"/>
      <c r="BF193" s="1051"/>
      <c r="BG193" s="1051"/>
      <c r="BH193" s="1053"/>
      <c r="BI193" s="1052"/>
      <c r="BJ193" s="1052"/>
      <c r="BK193" s="1052"/>
      <c r="BL193" s="1052"/>
      <c r="BM193" s="1052"/>
      <c r="BN193" s="1054"/>
      <c r="BO193" s="1076">
        <f t="shared" si="3"/>
        <v>0</v>
      </c>
      <c r="BP193" s="1051"/>
      <c r="BQ193" s="1052"/>
      <c r="BR193" s="1054"/>
      <c r="BS193" s="1053"/>
      <c r="BT193" s="1051"/>
      <c r="BU193" s="1051"/>
      <c r="BV193" s="1051"/>
      <c r="BW193" s="1052"/>
      <c r="BX193" s="1052"/>
      <c r="BY193" s="1052"/>
      <c r="BZ193" s="1052"/>
      <c r="CA193" s="1052"/>
      <c r="CB193" s="1053"/>
      <c r="CC193" s="1053"/>
      <c r="CD193" s="1053"/>
      <c r="CE193" s="1053"/>
      <c r="CF193" s="1053"/>
      <c r="CG193" s="1053"/>
      <c r="CH193" s="1053"/>
      <c r="CI193" s="1123"/>
      <c r="CJ193" s="1123"/>
      <c r="CK193" s="1123"/>
      <c r="CL193" s="1123"/>
      <c r="CM193" s="1123"/>
      <c r="CN193" s="1123"/>
      <c r="CO193" s="1123"/>
      <c r="CP193" s="1123"/>
      <c r="CQ193" s="1123"/>
      <c r="CR193" s="1123"/>
      <c r="CS193" s="1123"/>
      <c r="CT193" s="1123"/>
      <c r="CU193" s="1123"/>
      <c r="CV193" s="1123"/>
      <c r="CW193" s="1123"/>
      <c r="CX193" s="1123"/>
      <c r="CY193" s="1123"/>
      <c r="CZ193" s="1114"/>
      <c r="DA193" s="1114"/>
      <c r="DB193" s="1114"/>
      <c r="DC193" s="1114"/>
      <c r="DD193" s="1114"/>
      <c r="DE193" s="1114"/>
      <c r="DF193" s="1114"/>
      <c r="DG193" s="1114"/>
      <c r="DH193" s="1114"/>
      <c r="DI193" s="1114"/>
      <c r="DJ193" s="1114"/>
      <c r="DK193" s="1114"/>
      <c r="DL193" s="1114"/>
      <c r="DM193" s="1114"/>
      <c r="DN193" s="1114"/>
      <c r="DO193" s="1114"/>
      <c r="DP193" s="1114"/>
      <c r="DQ193" s="1114"/>
      <c r="DR193" s="1114"/>
      <c r="DS193" s="1114"/>
      <c r="DT193" s="1114"/>
      <c r="DU193" s="1114"/>
      <c r="DV193" s="1115"/>
      <c r="DW193" s="1116"/>
      <c r="DX193" s="1116"/>
      <c r="DY193" s="1116"/>
      <c r="DZ193" s="1116"/>
      <c r="EA193" s="1116"/>
      <c r="EB193" s="1116"/>
      <c r="EC193" s="1116"/>
      <c r="ED193" s="1116"/>
      <c r="EE193" s="1116"/>
      <c r="EF193" s="1116"/>
      <c r="EG193" s="1116"/>
      <c r="EH193" s="1116"/>
      <c r="EI193" s="1116"/>
      <c r="EJ193" s="1116"/>
      <c r="EK193" s="1116"/>
      <c r="EL193" s="1116"/>
      <c r="EM193" s="1116"/>
      <c r="EN193" s="1116"/>
      <c r="EO193" s="1116"/>
      <c r="EP193" s="1116"/>
      <c r="EQ193" s="1116"/>
      <c r="ER193" s="1116"/>
      <c r="ES193" s="1116"/>
    </row>
    <row r="194" spans="1:149" ht="15" customHeight="1">
      <c r="A194" s="1185">
        <v>184</v>
      </c>
      <c r="B194" s="1041"/>
      <c r="C194" s="1050"/>
      <c r="D194" s="1050"/>
      <c r="E194" s="1050"/>
      <c r="F194" s="1049"/>
      <c r="G194" s="1049"/>
      <c r="H194" s="1049"/>
      <c r="I194" s="1049"/>
      <c r="J194" s="1050"/>
      <c r="K194" s="1050"/>
      <c r="L194" s="1043"/>
      <c r="M194" s="1051"/>
      <c r="N194" s="1051"/>
      <c r="O194" s="1052"/>
      <c r="P194" s="1051"/>
      <c r="Q194" s="1051"/>
      <c r="R194" s="1052"/>
      <c r="S194" s="1051"/>
      <c r="T194" s="1051"/>
      <c r="U194" s="1052"/>
      <c r="V194" s="1051"/>
      <c r="W194" s="1051"/>
      <c r="X194" s="1052"/>
      <c r="Y194" s="1053"/>
      <c r="Z194" s="1051"/>
      <c r="AA194" s="1051"/>
      <c r="AB194" s="1052"/>
      <c r="AC194" s="1051"/>
      <c r="AD194" s="1051"/>
      <c r="AE194" s="1052"/>
      <c r="AF194" s="1051"/>
      <c r="AG194" s="1051"/>
      <c r="AH194" s="1051"/>
      <c r="AI194" s="1051"/>
      <c r="AJ194" s="1052"/>
      <c r="AK194" s="1051"/>
      <c r="AL194" s="1051"/>
      <c r="AM194" s="1052"/>
      <c r="AN194" s="1051"/>
      <c r="AO194" s="1051"/>
      <c r="AP194" s="1052"/>
      <c r="AQ194" s="1051"/>
      <c r="AR194" s="1051"/>
      <c r="AS194" s="1052"/>
      <c r="AT194" s="1051"/>
      <c r="AU194" s="1051"/>
      <c r="AV194" s="1052"/>
      <c r="AW194" s="1051"/>
      <c r="AX194" s="1051"/>
      <c r="AY194" s="1053"/>
      <c r="AZ194" s="1051"/>
      <c r="BA194" s="1051"/>
      <c r="BB194" s="1053"/>
      <c r="BC194" s="1051"/>
      <c r="BD194" s="1051"/>
      <c r="BE194" s="1053"/>
      <c r="BF194" s="1051"/>
      <c r="BG194" s="1051"/>
      <c r="BH194" s="1053"/>
      <c r="BI194" s="1052"/>
      <c r="BJ194" s="1052"/>
      <c r="BK194" s="1052"/>
      <c r="BL194" s="1052"/>
      <c r="BM194" s="1052"/>
      <c r="BN194" s="1054"/>
      <c r="BO194" s="1076">
        <f t="shared" si="3"/>
        <v>0</v>
      </c>
      <c r="BP194" s="1051"/>
      <c r="BQ194" s="1052"/>
      <c r="BR194" s="1054"/>
      <c r="BS194" s="1053"/>
      <c r="BT194" s="1051"/>
      <c r="BU194" s="1051"/>
      <c r="BV194" s="1051"/>
      <c r="BW194" s="1052"/>
      <c r="BX194" s="1052"/>
      <c r="BY194" s="1052"/>
      <c r="BZ194" s="1052"/>
      <c r="CA194" s="1052"/>
      <c r="CB194" s="1053"/>
      <c r="CC194" s="1053"/>
      <c r="CD194" s="1053"/>
      <c r="CE194" s="1053"/>
      <c r="CF194" s="1053"/>
      <c r="CG194" s="1053"/>
      <c r="CH194" s="1053"/>
      <c r="CI194" s="1123"/>
      <c r="CJ194" s="1123"/>
      <c r="CK194" s="1123"/>
      <c r="CL194" s="1123"/>
      <c r="CM194" s="1123"/>
      <c r="CN194" s="1123"/>
      <c r="CO194" s="1123"/>
      <c r="CP194" s="1123"/>
      <c r="CQ194" s="1123"/>
      <c r="CR194" s="1123"/>
      <c r="CS194" s="1123"/>
      <c r="CT194" s="1123"/>
      <c r="CU194" s="1123"/>
      <c r="CV194" s="1123"/>
      <c r="CW194" s="1123"/>
      <c r="CX194" s="1123"/>
      <c r="CY194" s="1123"/>
      <c r="CZ194" s="1114"/>
      <c r="DA194" s="1114"/>
      <c r="DB194" s="1114"/>
      <c r="DC194" s="1114"/>
      <c r="DD194" s="1114"/>
      <c r="DE194" s="1114"/>
      <c r="DF194" s="1114"/>
      <c r="DG194" s="1114"/>
      <c r="DH194" s="1114"/>
      <c r="DI194" s="1114"/>
      <c r="DJ194" s="1114"/>
      <c r="DK194" s="1114"/>
      <c r="DL194" s="1114"/>
      <c r="DM194" s="1114"/>
      <c r="DN194" s="1114"/>
      <c r="DO194" s="1114"/>
      <c r="DP194" s="1114"/>
      <c r="DQ194" s="1114"/>
      <c r="DR194" s="1114"/>
      <c r="DS194" s="1114"/>
      <c r="DT194" s="1114"/>
      <c r="DU194" s="1114"/>
      <c r="DV194" s="1115"/>
      <c r="DW194" s="1116"/>
      <c r="DX194" s="1116"/>
      <c r="DY194" s="1116"/>
      <c r="DZ194" s="1116"/>
      <c r="EA194" s="1116"/>
      <c r="EB194" s="1116"/>
      <c r="EC194" s="1116"/>
      <c r="ED194" s="1116"/>
      <c r="EE194" s="1116"/>
      <c r="EF194" s="1116"/>
      <c r="EG194" s="1116"/>
      <c r="EH194" s="1116"/>
      <c r="EI194" s="1116"/>
      <c r="EJ194" s="1116"/>
      <c r="EK194" s="1116"/>
      <c r="EL194" s="1116"/>
      <c r="EM194" s="1116"/>
      <c r="EN194" s="1116"/>
      <c r="EO194" s="1116"/>
      <c r="EP194" s="1116"/>
      <c r="EQ194" s="1116"/>
      <c r="ER194" s="1116"/>
      <c r="ES194" s="1116"/>
    </row>
    <row r="195" spans="1:149" ht="15" customHeight="1">
      <c r="A195" s="1185">
        <v>185</v>
      </c>
      <c r="B195" s="1041"/>
      <c r="C195" s="1050"/>
      <c r="D195" s="1050"/>
      <c r="E195" s="1050"/>
      <c r="F195" s="1049"/>
      <c r="G195" s="1049"/>
      <c r="H195" s="1049"/>
      <c r="I195" s="1049"/>
      <c r="J195" s="1050"/>
      <c r="K195" s="1050"/>
      <c r="L195" s="1043"/>
      <c r="M195" s="1051"/>
      <c r="N195" s="1051"/>
      <c r="O195" s="1052"/>
      <c r="P195" s="1051"/>
      <c r="Q195" s="1051"/>
      <c r="R195" s="1052"/>
      <c r="S195" s="1051"/>
      <c r="T195" s="1051"/>
      <c r="U195" s="1052"/>
      <c r="V195" s="1051"/>
      <c r="W195" s="1051"/>
      <c r="X195" s="1052"/>
      <c r="Y195" s="1053"/>
      <c r="Z195" s="1051"/>
      <c r="AA195" s="1051"/>
      <c r="AB195" s="1052"/>
      <c r="AC195" s="1051"/>
      <c r="AD195" s="1051"/>
      <c r="AE195" s="1052"/>
      <c r="AF195" s="1051"/>
      <c r="AG195" s="1051"/>
      <c r="AH195" s="1051"/>
      <c r="AI195" s="1051"/>
      <c r="AJ195" s="1052"/>
      <c r="AK195" s="1051"/>
      <c r="AL195" s="1051"/>
      <c r="AM195" s="1052"/>
      <c r="AN195" s="1051"/>
      <c r="AO195" s="1051"/>
      <c r="AP195" s="1052"/>
      <c r="AQ195" s="1051"/>
      <c r="AR195" s="1051"/>
      <c r="AS195" s="1052"/>
      <c r="AT195" s="1051"/>
      <c r="AU195" s="1051"/>
      <c r="AV195" s="1052"/>
      <c r="AW195" s="1051"/>
      <c r="AX195" s="1051"/>
      <c r="AY195" s="1053"/>
      <c r="AZ195" s="1051"/>
      <c r="BA195" s="1051"/>
      <c r="BB195" s="1053"/>
      <c r="BC195" s="1051"/>
      <c r="BD195" s="1051"/>
      <c r="BE195" s="1053"/>
      <c r="BF195" s="1051"/>
      <c r="BG195" s="1051"/>
      <c r="BH195" s="1053"/>
      <c r="BI195" s="1052"/>
      <c r="BJ195" s="1052"/>
      <c r="BK195" s="1052"/>
      <c r="BL195" s="1052"/>
      <c r="BM195" s="1052"/>
      <c r="BN195" s="1054"/>
      <c r="BO195" s="1076">
        <f t="shared" si="3"/>
        <v>0</v>
      </c>
      <c r="BP195" s="1051"/>
      <c r="BQ195" s="1052"/>
      <c r="BR195" s="1054"/>
      <c r="BS195" s="1053"/>
      <c r="BT195" s="1051"/>
      <c r="BU195" s="1051"/>
      <c r="BV195" s="1051"/>
      <c r="BW195" s="1052"/>
      <c r="BX195" s="1052"/>
      <c r="BY195" s="1052"/>
      <c r="BZ195" s="1052"/>
      <c r="CA195" s="1052"/>
      <c r="CB195" s="1053"/>
      <c r="CC195" s="1053"/>
      <c r="CD195" s="1053"/>
      <c r="CE195" s="1053"/>
      <c r="CF195" s="1053"/>
      <c r="CG195" s="1053"/>
      <c r="CH195" s="1053"/>
      <c r="CI195" s="1123"/>
      <c r="CJ195" s="1123"/>
      <c r="CK195" s="1123"/>
      <c r="CL195" s="1123"/>
      <c r="CM195" s="1123"/>
      <c r="CN195" s="1123"/>
      <c r="CO195" s="1123"/>
      <c r="CP195" s="1123"/>
      <c r="CQ195" s="1123"/>
      <c r="CR195" s="1123"/>
      <c r="CS195" s="1123"/>
      <c r="CT195" s="1123"/>
      <c r="CU195" s="1123"/>
      <c r="CV195" s="1123"/>
      <c r="CW195" s="1123"/>
      <c r="CX195" s="1123"/>
      <c r="CY195" s="1123"/>
      <c r="CZ195" s="1114"/>
      <c r="DA195" s="1114"/>
      <c r="DB195" s="1114"/>
      <c r="DC195" s="1114"/>
      <c r="DD195" s="1114"/>
      <c r="DE195" s="1114"/>
      <c r="DF195" s="1114"/>
      <c r="DG195" s="1114"/>
      <c r="DH195" s="1114"/>
      <c r="DI195" s="1114"/>
      <c r="DJ195" s="1114"/>
      <c r="DK195" s="1114"/>
      <c r="DL195" s="1114"/>
      <c r="DM195" s="1114"/>
      <c r="DN195" s="1114"/>
      <c r="DO195" s="1114"/>
      <c r="DP195" s="1114"/>
      <c r="DQ195" s="1114"/>
      <c r="DR195" s="1114"/>
      <c r="DS195" s="1114"/>
      <c r="DT195" s="1114"/>
      <c r="DU195" s="1114"/>
      <c r="DV195" s="1115"/>
      <c r="DW195" s="1116"/>
      <c r="DX195" s="1116"/>
      <c r="DY195" s="1116"/>
      <c r="DZ195" s="1116"/>
      <c r="EA195" s="1116"/>
      <c r="EB195" s="1116"/>
      <c r="EC195" s="1116"/>
      <c r="ED195" s="1116"/>
      <c r="EE195" s="1116"/>
      <c r="EF195" s="1116"/>
      <c r="EG195" s="1116"/>
      <c r="EH195" s="1116"/>
      <c r="EI195" s="1116"/>
      <c r="EJ195" s="1116"/>
      <c r="EK195" s="1116"/>
      <c r="EL195" s="1116"/>
      <c r="EM195" s="1116"/>
      <c r="EN195" s="1116"/>
      <c r="EO195" s="1116"/>
      <c r="EP195" s="1116"/>
      <c r="EQ195" s="1116"/>
      <c r="ER195" s="1116"/>
      <c r="ES195" s="1116"/>
    </row>
    <row r="196" spans="1:149" ht="15" customHeight="1">
      <c r="A196" s="1185">
        <v>186</v>
      </c>
      <c r="B196" s="1041"/>
      <c r="C196" s="1050"/>
      <c r="D196" s="1050"/>
      <c r="E196" s="1050"/>
      <c r="F196" s="1049"/>
      <c r="G196" s="1049"/>
      <c r="H196" s="1049"/>
      <c r="I196" s="1049"/>
      <c r="J196" s="1050"/>
      <c r="K196" s="1050"/>
      <c r="L196" s="1043"/>
      <c r="M196" s="1051"/>
      <c r="N196" s="1051"/>
      <c r="O196" s="1052"/>
      <c r="P196" s="1051"/>
      <c r="Q196" s="1051"/>
      <c r="R196" s="1052"/>
      <c r="S196" s="1051"/>
      <c r="T196" s="1051"/>
      <c r="U196" s="1052"/>
      <c r="V196" s="1051"/>
      <c r="W196" s="1051"/>
      <c r="X196" s="1052"/>
      <c r="Y196" s="1053"/>
      <c r="Z196" s="1051"/>
      <c r="AA196" s="1051"/>
      <c r="AB196" s="1052"/>
      <c r="AC196" s="1051"/>
      <c r="AD196" s="1051"/>
      <c r="AE196" s="1052"/>
      <c r="AF196" s="1051"/>
      <c r="AG196" s="1051"/>
      <c r="AH196" s="1051"/>
      <c r="AI196" s="1051"/>
      <c r="AJ196" s="1052"/>
      <c r="AK196" s="1051"/>
      <c r="AL196" s="1051"/>
      <c r="AM196" s="1052"/>
      <c r="AN196" s="1051"/>
      <c r="AO196" s="1051"/>
      <c r="AP196" s="1052"/>
      <c r="AQ196" s="1051"/>
      <c r="AR196" s="1051"/>
      <c r="AS196" s="1052"/>
      <c r="AT196" s="1051"/>
      <c r="AU196" s="1051"/>
      <c r="AV196" s="1052"/>
      <c r="AW196" s="1051"/>
      <c r="AX196" s="1051"/>
      <c r="AY196" s="1053"/>
      <c r="AZ196" s="1051"/>
      <c r="BA196" s="1051"/>
      <c r="BB196" s="1053"/>
      <c r="BC196" s="1051"/>
      <c r="BD196" s="1051"/>
      <c r="BE196" s="1053"/>
      <c r="BF196" s="1051"/>
      <c r="BG196" s="1051"/>
      <c r="BH196" s="1053"/>
      <c r="BI196" s="1052"/>
      <c r="BJ196" s="1052"/>
      <c r="BK196" s="1052"/>
      <c r="BL196" s="1052"/>
      <c r="BM196" s="1052"/>
      <c r="BN196" s="1054"/>
      <c r="BO196" s="1076">
        <f t="shared" si="3"/>
        <v>0</v>
      </c>
      <c r="BP196" s="1051"/>
      <c r="BQ196" s="1052"/>
      <c r="BR196" s="1054"/>
      <c r="BS196" s="1053"/>
      <c r="BT196" s="1051"/>
      <c r="BU196" s="1051"/>
      <c r="BV196" s="1051"/>
      <c r="BW196" s="1052"/>
      <c r="BX196" s="1052"/>
      <c r="BY196" s="1052"/>
      <c r="BZ196" s="1052"/>
      <c r="CA196" s="1052"/>
      <c r="CB196" s="1053"/>
      <c r="CC196" s="1053"/>
      <c r="CD196" s="1053"/>
      <c r="CE196" s="1053"/>
      <c r="CF196" s="1053"/>
      <c r="CG196" s="1053"/>
      <c r="CH196" s="1053"/>
      <c r="CI196" s="1123"/>
      <c r="CJ196" s="1123"/>
      <c r="CK196" s="1123"/>
      <c r="CL196" s="1123"/>
      <c r="CM196" s="1123"/>
      <c r="CN196" s="1123"/>
      <c r="CO196" s="1123"/>
      <c r="CP196" s="1123"/>
      <c r="CQ196" s="1123"/>
      <c r="CR196" s="1123"/>
      <c r="CS196" s="1123"/>
      <c r="CT196" s="1123"/>
      <c r="CU196" s="1123"/>
      <c r="CV196" s="1123"/>
      <c r="CW196" s="1123"/>
      <c r="CX196" s="1123"/>
      <c r="CY196" s="1123"/>
      <c r="CZ196" s="1114"/>
      <c r="DA196" s="1114"/>
      <c r="DB196" s="1114"/>
      <c r="DC196" s="1114"/>
      <c r="DD196" s="1114"/>
      <c r="DE196" s="1114"/>
      <c r="DF196" s="1114"/>
      <c r="DG196" s="1114"/>
      <c r="DH196" s="1114"/>
      <c r="DI196" s="1114"/>
      <c r="DJ196" s="1114"/>
      <c r="DK196" s="1114"/>
      <c r="DL196" s="1114"/>
      <c r="DM196" s="1114"/>
      <c r="DN196" s="1114"/>
      <c r="DO196" s="1114"/>
      <c r="DP196" s="1114"/>
      <c r="DQ196" s="1114"/>
      <c r="DR196" s="1114"/>
      <c r="DS196" s="1114"/>
      <c r="DT196" s="1114"/>
      <c r="DU196" s="1114"/>
      <c r="DV196" s="1115"/>
      <c r="DW196" s="1116"/>
      <c r="DX196" s="1116"/>
      <c r="DY196" s="1116"/>
      <c r="DZ196" s="1116"/>
      <c r="EA196" s="1116"/>
      <c r="EB196" s="1116"/>
      <c r="EC196" s="1116"/>
      <c r="ED196" s="1116"/>
      <c r="EE196" s="1116"/>
      <c r="EF196" s="1116"/>
      <c r="EG196" s="1116"/>
      <c r="EH196" s="1116"/>
      <c r="EI196" s="1116"/>
      <c r="EJ196" s="1116"/>
      <c r="EK196" s="1116"/>
      <c r="EL196" s="1116"/>
      <c r="EM196" s="1116"/>
      <c r="EN196" s="1116"/>
      <c r="EO196" s="1116"/>
      <c r="EP196" s="1116"/>
      <c r="EQ196" s="1116"/>
      <c r="ER196" s="1116"/>
      <c r="ES196" s="1116"/>
    </row>
    <row r="197" spans="1:149" ht="15" customHeight="1">
      <c r="A197" s="1185">
        <v>187</v>
      </c>
      <c r="B197" s="1041"/>
      <c r="C197" s="1050"/>
      <c r="D197" s="1050"/>
      <c r="E197" s="1050"/>
      <c r="F197" s="1049"/>
      <c r="G197" s="1049"/>
      <c r="H197" s="1049"/>
      <c r="I197" s="1049"/>
      <c r="J197" s="1050"/>
      <c r="K197" s="1050"/>
      <c r="L197" s="1043"/>
      <c r="M197" s="1051"/>
      <c r="N197" s="1051"/>
      <c r="O197" s="1052"/>
      <c r="P197" s="1051"/>
      <c r="Q197" s="1051"/>
      <c r="R197" s="1052"/>
      <c r="S197" s="1051"/>
      <c r="T197" s="1051"/>
      <c r="U197" s="1052"/>
      <c r="V197" s="1051"/>
      <c r="W197" s="1051"/>
      <c r="X197" s="1052"/>
      <c r="Y197" s="1053"/>
      <c r="Z197" s="1051"/>
      <c r="AA197" s="1051"/>
      <c r="AB197" s="1052"/>
      <c r="AC197" s="1051"/>
      <c r="AD197" s="1051"/>
      <c r="AE197" s="1052"/>
      <c r="AF197" s="1051"/>
      <c r="AG197" s="1051"/>
      <c r="AH197" s="1051"/>
      <c r="AI197" s="1051"/>
      <c r="AJ197" s="1052"/>
      <c r="AK197" s="1051"/>
      <c r="AL197" s="1051"/>
      <c r="AM197" s="1052"/>
      <c r="AN197" s="1051"/>
      <c r="AO197" s="1051"/>
      <c r="AP197" s="1052"/>
      <c r="AQ197" s="1051"/>
      <c r="AR197" s="1051"/>
      <c r="AS197" s="1052"/>
      <c r="AT197" s="1051"/>
      <c r="AU197" s="1051"/>
      <c r="AV197" s="1052"/>
      <c r="AW197" s="1051"/>
      <c r="AX197" s="1051"/>
      <c r="AY197" s="1053"/>
      <c r="AZ197" s="1051"/>
      <c r="BA197" s="1051"/>
      <c r="BB197" s="1053"/>
      <c r="BC197" s="1051"/>
      <c r="BD197" s="1051"/>
      <c r="BE197" s="1053"/>
      <c r="BF197" s="1051"/>
      <c r="BG197" s="1051"/>
      <c r="BH197" s="1053"/>
      <c r="BI197" s="1052"/>
      <c r="BJ197" s="1052"/>
      <c r="BK197" s="1052"/>
      <c r="BL197" s="1052"/>
      <c r="BM197" s="1052"/>
      <c r="BN197" s="1054"/>
      <c r="BO197" s="1076">
        <f t="shared" si="3"/>
        <v>0</v>
      </c>
      <c r="BP197" s="1051"/>
      <c r="BQ197" s="1052"/>
      <c r="BR197" s="1054"/>
      <c r="BS197" s="1053"/>
      <c r="BT197" s="1051"/>
      <c r="BU197" s="1051"/>
      <c r="BV197" s="1051"/>
      <c r="BW197" s="1052"/>
      <c r="BX197" s="1052"/>
      <c r="BY197" s="1052"/>
      <c r="BZ197" s="1052"/>
      <c r="CA197" s="1052"/>
      <c r="CB197" s="1053"/>
      <c r="CC197" s="1053"/>
      <c r="CD197" s="1053"/>
      <c r="CE197" s="1053"/>
      <c r="CF197" s="1053"/>
      <c r="CG197" s="1053"/>
      <c r="CH197" s="1053"/>
      <c r="CI197" s="1123"/>
      <c r="CJ197" s="1123"/>
      <c r="CK197" s="1123"/>
      <c r="CL197" s="1123"/>
      <c r="CM197" s="1123"/>
      <c r="CN197" s="1123"/>
      <c r="CO197" s="1123"/>
      <c r="CP197" s="1123"/>
      <c r="CQ197" s="1123"/>
      <c r="CR197" s="1123"/>
      <c r="CS197" s="1123"/>
      <c r="CT197" s="1123"/>
      <c r="CU197" s="1123"/>
      <c r="CV197" s="1123"/>
      <c r="CW197" s="1123"/>
      <c r="CX197" s="1123"/>
      <c r="CY197" s="1123"/>
      <c r="CZ197" s="1114"/>
      <c r="DA197" s="1114"/>
      <c r="DB197" s="1114"/>
      <c r="DC197" s="1114"/>
      <c r="DD197" s="1114"/>
      <c r="DE197" s="1114"/>
      <c r="DF197" s="1114"/>
      <c r="DG197" s="1114"/>
      <c r="DH197" s="1114"/>
      <c r="DI197" s="1114"/>
      <c r="DJ197" s="1114"/>
      <c r="DK197" s="1114"/>
      <c r="DL197" s="1114"/>
      <c r="DM197" s="1114"/>
      <c r="DN197" s="1114"/>
      <c r="DO197" s="1114"/>
      <c r="DP197" s="1114"/>
      <c r="DQ197" s="1114"/>
      <c r="DR197" s="1114"/>
      <c r="DS197" s="1114"/>
      <c r="DT197" s="1114"/>
      <c r="DU197" s="1114"/>
      <c r="DV197" s="1115"/>
      <c r="DW197" s="1116"/>
      <c r="DX197" s="1116"/>
      <c r="DY197" s="1116"/>
      <c r="DZ197" s="1116"/>
      <c r="EA197" s="1116"/>
      <c r="EB197" s="1116"/>
      <c r="EC197" s="1116"/>
      <c r="ED197" s="1116"/>
      <c r="EE197" s="1116"/>
      <c r="EF197" s="1116"/>
      <c r="EG197" s="1116"/>
      <c r="EH197" s="1116"/>
      <c r="EI197" s="1116"/>
      <c r="EJ197" s="1116"/>
      <c r="EK197" s="1116"/>
      <c r="EL197" s="1116"/>
      <c r="EM197" s="1116"/>
      <c r="EN197" s="1116"/>
      <c r="EO197" s="1116"/>
      <c r="EP197" s="1116"/>
      <c r="EQ197" s="1116"/>
      <c r="ER197" s="1116"/>
      <c r="ES197" s="1116"/>
    </row>
    <row r="198" spans="1:149" ht="15" customHeight="1">
      <c r="A198" s="1185">
        <v>188</v>
      </c>
      <c r="B198" s="1041"/>
      <c r="C198" s="1050"/>
      <c r="D198" s="1050"/>
      <c r="E198" s="1050"/>
      <c r="F198" s="1049"/>
      <c r="G198" s="1049"/>
      <c r="H198" s="1049"/>
      <c r="I198" s="1049"/>
      <c r="J198" s="1050"/>
      <c r="K198" s="1050"/>
      <c r="L198" s="1043"/>
      <c r="M198" s="1051"/>
      <c r="N198" s="1051"/>
      <c r="O198" s="1052"/>
      <c r="P198" s="1051"/>
      <c r="Q198" s="1051"/>
      <c r="R198" s="1052"/>
      <c r="S198" s="1051"/>
      <c r="T198" s="1051"/>
      <c r="U198" s="1052"/>
      <c r="V198" s="1051"/>
      <c r="W198" s="1051"/>
      <c r="X198" s="1052"/>
      <c r="Y198" s="1053"/>
      <c r="Z198" s="1051"/>
      <c r="AA198" s="1051"/>
      <c r="AB198" s="1052"/>
      <c r="AC198" s="1051"/>
      <c r="AD198" s="1051"/>
      <c r="AE198" s="1052"/>
      <c r="AF198" s="1051"/>
      <c r="AG198" s="1051"/>
      <c r="AH198" s="1051"/>
      <c r="AI198" s="1051"/>
      <c r="AJ198" s="1052"/>
      <c r="AK198" s="1051"/>
      <c r="AL198" s="1051"/>
      <c r="AM198" s="1052"/>
      <c r="AN198" s="1051"/>
      <c r="AO198" s="1051"/>
      <c r="AP198" s="1052"/>
      <c r="AQ198" s="1051"/>
      <c r="AR198" s="1051"/>
      <c r="AS198" s="1052"/>
      <c r="AT198" s="1051"/>
      <c r="AU198" s="1051"/>
      <c r="AV198" s="1052"/>
      <c r="AW198" s="1051"/>
      <c r="AX198" s="1051"/>
      <c r="AY198" s="1053"/>
      <c r="AZ198" s="1051"/>
      <c r="BA198" s="1051"/>
      <c r="BB198" s="1053"/>
      <c r="BC198" s="1051"/>
      <c r="BD198" s="1051"/>
      <c r="BE198" s="1053"/>
      <c r="BF198" s="1051"/>
      <c r="BG198" s="1051"/>
      <c r="BH198" s="1053"/>
      <c r="BI198" s="1052"/>
      <c r="BJ198" s="1052"/>
      <c r="BK198" s="1052"/>
      <c r="BL198" s="1052"/>
      <c r="BM198" s="1052"/>
      <c r="BN198" s="1054"/>
      <c r="BO198" s="1076">
        <f t="shared" si="3"/>
        <v>0</v>
      </c>
      <c r="BP198" s="1051"/>
      <c r="BQ198" s="1052"/>
      <c r="BR198" s="1054"/>
      <c r="BS198" s="1053"/>
      <c r="BT198" s="1051"/>
      <c r="BU198" s="1051"/>
      <c r="BV198" s="1051"/>
      <c r="BW198" s="1052"/>
      <c r="BX198" s="1052"/>
      <c r="BY198" s="1052"/>
      <c r="BZ198" s="1052"/>
      <c r="CA198" s="1052"/>
      <c r="CB198" s="1053"/>
      <c r="CC198" s="1053"/>
      <c r="CD198" s="1053"/>
      <c r="CE198" s="1053"/>
      <c r="CF198" s="1053"/>
      <c r="CG198" s="1053"/>
      <c r="CH198" s="1053"/>
      <c r="CI198" s="1123"/>
      <c r="CJ198" s="1123"/>
      <c r="CK198" s="1123"/>
      <c r="CL198" s="1123"/>
      <c r="CM198" s="1123"/>
      <c r="CN198" s="1123"/>
      <c r="CO198" s="1123"/>
      <c r="CP198" s="1123"/>
      <c r="CQ198" s="1123"/>
      <c r="CR198" s="1123"/>
      <c r="CS198" s="1123"/>
      <c r="CT198" s="1123"/>
      <c r="CU198" s="1123"/>
      <c r="CV198" s="1123"/>
      <c r="CW198" s="1123"/>
      <c r="CX198" s="1123"/>
      <c r="CY198" s="1123"/>
      <c r="CZ198" s="1114"/>
      <c r="DA198" s="1114"/>
      <c r="DB198" s="1114"/>
      <c r="DC198" s="1114"/>
      <c r="DD198" s="1114"/>
      <c r="DE198" s="1114"/>
      <c r="DF198" s="1114"/>
      <c r="DG198" s="1114"/>
      <c r="DH198" s="1114"/>
      <c r="DI198" s="1114"/>
      <c r="DJ198" s="1114"/>
      <c r="DK198" s="1114"/>
      <c r="DL198" s="1114"/>
      <c r="DM198" s="1114"/>
      <c r="DN198" s="1114"/>
      <c r="DO198" s="1114"/>
      <c r="DP198" s="1114"/>
      <c r="DQ198" s="1114"/>
      <c r="DR198" s="1114"/>
      <c r="DS198" s="1114"/>
      <c r="DT198" s="1114"/>
      <c r="DU198" s="1114"/>
      <c r="DV198" s="1115"/>
      <c r="DW198" s="1116"/>
      <c r="DX198" s="1116"/>
      <c r="DY198" s="1116"/>
      <c r="DZ198" s="1116"/>
      <c r="EA198" s="1116"/>
      <c r="EB198" s="1116"/>
      <c r="EC198" s="1116"/>
      <c r="ED198" s="1116"/>
      <c r="EE198" s="1116"/>
      <c r="EF198" s="1116"/>
      <c r="EG198" s="1116"/>
      <c r="EH198" s="1116"/>
      <c r="EI198" s="1116"/>
      <c r="EJ198" s="1116"/>
      <c r="EK198" s="1116"/>
      <c r="EL198" s="1116"/>
      <c r="EM198" s="1116"/>
      <c r="EN198" s="1116"/>
      <c r="EO198" s="1116"/>
      <c r="EP198" s="1116"/>
      <c r="EQ198" s="1116"/>
      <c r="ER198" s="1116"/>
      <c r="ES198" s="1116"/>
    </row>
    <row r="199" spans="1:149" ht="15" customHeight="1">
      <c r="A199" s="1185">
        <v>189</v>
      </c>
      <c r="B199" s="1041"/>
      <c r="C199" s="1050"/>
      <c r="D199" s="1050"/>
      <c r="E199" s="1050"/>
      <c r="F199" s="1049"/>
      <c r="G199" s="1049"/>
      <c r="H199" s="1049"/>
      <c r="I199" s="1049"/>
      <c r="J199" s="1050"/>
      <c r="K199" s="1050"/>
      <c r="L199" s="1043"/>
      <c r="M199" s="1051"/>
      <c r="N199" s="1051"/>
      <c r="O199" s="1052"/>
      <c r="P199" s="1051"/>
      <c r="Q199" s="1051"/>
      <c r="R199" s="1052"/>
      <c r="S199" s="1051"/>
      <c r="T199" s="1051"/>
      <c r="U199" s="1052"/>
      <c r="V199" s="1051"/>
      <c r="W199" s="1051"/>
      <c r="X199" s="1052"/>
      <c r="Y199" s="1053"/>
      <c r="Z199" s="1051"/>
      <c r="AA199" s="1051"/>
      <c r="AB199" s="1052"/>
      <c r="AC199" s="1051"/>
      <c r="AD199" s="1051"/>
      <c r="AE199" s="1052"/>
      <c r="AF199" s="1051"/>
      <c r="AG199" s="1051"/>
      <c r="AH199" s="1051"/>
      <c r="AI199" s="1051"/>
      <c r="AJ199" s="1052"/>
      <c r="AK199" s="1051"/>
      <c r="AL199" s="1051"/>
      <c r="AM199" s="1052"/>
      <c r="AN199" s="1051"/>
      <c r="AO199" s="1051"/>
      <c r="AP199" s="1052"/>
      <c r="AQ199" s="1051"/>
      <c r="AR199" s="1051"/>
      <c r="AS199" s="1052"/>
      <c r="AT199" s="1051"/>
      <c r="AU199" s="1051"/>
      <c r="AV199" s="1052"/>
      <c r="AW199" s="1051"/>
      <c r="AX199" s="1051"/>
      <c r="AY199" s="1053"/>
      <c r="AZ199" s="1051"/>
      <c r="BA199" s="1051"/>
      <c r="BB199" s="1053"/>
      <c r="BC199" s="1051"/>
      <c r="BD199" s="1051"/>
      <c r="BE199" s="1053"/>
      <c r="BF199" s="1051"/>
      <c r="BG199" s="1051"/>
      <c r="BH199" s="1053"/>
      <c r="BI199" s="1052"/>
      <c r="BJ199" s="1052"/>
      <c r="BK199" s="1052"/>
      <c r="BL199" s="1052"/>
      <c r="BM199" s="1052"/>
      <c r="BN199" s="1054"/>
      <c r="BO199" s="1076">
        <f t="shared" si="3"/>
        <v>0</v>
      </c>
      <c r="BP199" s="1051"/>
      <c r="BQ199" s="1052"/>
      <c r="BR199" s="1054"/>
      <c r="BS199" s="1053"/>
      <c r="BT199" s="1051"/>
      <c r="BU199" s="1051"/>
      <c r="BV199" s="1051"/>
      <c r="BW199" s="1052"/>
      <c r="BX199" s="1052"/>
      <c r="BY199" s="1052"/>
      <c r="BZ199" s="1052"/>
      <c r="CA199" s="1052"/>
      <c r="CB199" s="1053"/>
      <c r="CC199" s="1053"/>
      <c r="CD199" s="1053"/>
      <c r="CE199" s="1053"/>
      <c r="CF199" s="1053"/>
      <c r="CG199" s="1053"/>
      <c r="CH199" s="1053"/>
      <c r="CI199" s="1123"/>
      <c r="CJ199" s="1123"/>
      <c r="CK199" s="1123"/>
      <c r="CL199" s="1123"/>
      <c r="CM199" s="1123"/>
      <c r="CN199" s="1123"/>
      <c r="CO199" s="1123"/>
      <c r="CP199" s="1123"/>
      <c r="CQ199" s="1123"/>
      <c r="CR199" s="1123"/>
      <c r="CS199" s="1123"/>
      <c r="CT199" s="1123"/>
      <c r="CU199" s="1123"/>
      <c r="CV199" s="1123"/>
      <c r="CW199" s="1123"/>
      <c r="CX199" s="1123"/>
      <c r="CY199" s="1123"/>
      <c r="CZ199" s="1114"/>
      <c r="DA199" s="1114"/>
      <c r="DB199" s="1114"/>
      <c r="DC199" s="1114"/>
      <c r="DD199" s="1114"/>
      <c r="DE199" s="1114"/>
      <c r="DF199" s="1114"/>
      <c r="DG199" s="1114"/>
      <c r="DH199" s="1114"/>
      <c r="DI199" s="1114"/>
      <c r="DJ199" s="1114"/>
      <c r="DK199" s="1114"/>
      <c r="DL199" s="1114"/>
      <c r="DM199" s="1114"/>
      <c r="DN199" s="1114"/>
      <c r="DO199" s="1114"/>
      <c r="DP199" s="1114"/>
      <c r="DQ199" s="1114"/>
      <c r="DR199" s="1114"/>
      <c r="DS199" s="1114"/>
      <c r="DT199" s="1114"/>
      <c r="DU199" s="1114"/>
      <c r="DV199" s="1115"/>
      <c r="DW199" s="1116"/>
      <c r="DX199" s="1116"/>
      <c r="DY199" s="1116"/>
      <c r="DZ199" s="1116"/>
      <c r="EA199" s="1116"/>
      <c r="EB199" s="1116"/>
      <c r="EC199" s="1116"/>
      <c r="ED199" s="1116"/>
      <c r="EE199" s="1116"/>
      <c r="EF199" s="1116"/>
      <c r="EG199" s="1116"/>
      <c r="EH199" s="1116"/>
      <c r="EI199" s="1116"/>
      <c r="EJ199" s="1116"/>
      <c r="EK199" s="1116"/>
      <c r="EL199" s="1116"/>
      <c r="EM199" s="1116"/>
      <c r="EN199" s="1116"/>
      <c r="EO199" s="1116"/>
      <c r="EP199" s="1116"/>
      <c r="EQ199" s="1116"/>
      <c r="ER199" s="1116"/>
      <c r="ES199" s="1116"/>
    </row>
    <row r="200" spans="1:149" ht="15" customHeight="1">
      <c r="A200" s="1185">
        <v>190</v>
      </c>
      <c r="B200" s="1041"/>
      <c r="C200" s="1050"/>
      <c r="D200" s="1050"/>
      <c r="E200" s="1050"/>
      <c r="F200" s="1049"/>
      <c r="G200" s="1049"/>
      <c r="H200" s="1049"/>
      <c r="I200" s="1049"/>
      <c r="J200" s="1050"/>
      <c r="K200" s="1050"/>
      <c r="L200" s="1043"/>
      <c r="M200" s="1051"/>
      <c r="N200" s="1051"/>
      <c r="O200" s="1052"/>
      <c r="P200" s="1051"/>
      <c r="Q200" s="1051"/>
      <c r="R200" s="1052"/>
      <c r="S200" s="1051"/>
      <c r="T200" s="1051"/>
      <c r="U200" s="1052"/>
      <c r="V200" s="1051"/>
      <c r="W200" s="1051"/>
      <c r="X200" s="1052"/>
      <c r="Y200" s="1053"/>
      <c r="Z200" s="1051"/>
      <c r="AA200" s="1051"/>
      <c r="AB200" s="1052"/>
      <c r="AC200" s="1051"/>
      <c r="AD200" s="1051"/>
      <c r="AE200" s="1052"/>
      <c r="AF200" s="1051"/>
      <c r="AG200" s="1051"/>
      <c r="AH200" s="1051"/>
      <c r="AI200" s="1051"/>
      <c r="AJ200" s="1052"/>
      <c r="AK200" s="1051"/>
      <c r="AL200" s="1051"/>
      <c r="AM200" s="1052"/>
      <c r="AN200" s="1051"/>
      <c r="AO200" s="1051"/>
      <c r="AP200" s="1052"/>
      <c r="AQ200" s="1051"/>
      <c r="AR200" s="1051"/>
      <c r="AS200" s="1052"/>
      <c r="AT200" s="1051"/>
      <c r="AU200" s="1051"/>
      <c r="AV200" s="1052"/>
      <c r="AW200" s="1051"/>
      <c r="AX200" s="1051"/>
      <c r="AY200" s="1053"/>
      <c r="AZ200" s="1051"/>
      <c r="BA200" s="1051"/>
      <c r="BB200" s="1053"/>
      <c r="BC200" s="1051"/>
      <c r="BD200" s="1051"/>
      <c r="BE200" s="1053"/>
      <c r="BF200" s="1051"/>
      <c r="BG200" s="1051"/>
      <c r="BH200" s="1053"/>
      <c r="BI200" s="1052"/>
      <c r="BJ200" s="1052"/>
      <c r="BK200" s="1052"/>
      <c r="BL200" s="1052"/>
      <c r="BM200" s="1052"/>
      <c r="BN200" s="1054"/>
      <c r="BO200" s="1076">
        <f t="shared" si="3"/>
        <v>0</v>
      </c>
      <c r="BP200" s="1051"/>
      <c r="BQ200" s="1052"/>
      <c r="BR200" s="1054"/>
      <c r="BS200" s="1053"/>
      <c r="BT200" s="1051"/>
      <c r="BU200" s="1051"/>
      <c r="BV200" s="1051"/>
      <c r="BW200" s="1052"/>
      <c r="BX200" s="1052"/>
      <c r="BY200" s="1052"/>
      <c r="BZ200" s="1052"/>
      <c r="CA200" s="1052"/>
      <c r="CB200" s="1053"/>
      <c r="CC200" s="1053"/>
      <c r="CD200" s="1053"/>
      <c r="CE200" s="1053"/>
      <c r="CF200" s="1053"/>
      <c r="CG200" s="1053"/>
      <c r="CH200" s="1053"/>
      <c r="CI200" s="1123"/>
      <c r="CJ200" s="1123"/>
      <c r="CK200" s="1123"/>
      <c r="CL200" s="1123"/>
      <c r="CM200" s="1123"/>
      <c r="CN200" s="1123"/>
      <c r="CO200" s="1123"/>
      <c r="CP200" s="1123"/>
      <c r="CQ200" s="1123"/>
      <c r="CR200" s="1123"/>
      <c r="CS200" s="1123"/>
      <c r="CT200" s="1123"/>
      <c r="CU200" s="1123"/>
      <c r="CV200" s="1123"/>
      <c r="CW200" s="1123"/>
      <c r="CX200" s="1123"/>
      <c r="CY200" s="1123"/>
      <c r="CZ200" s="1114"/>
      <c r="DA200" s="1114"/>
      <c r="DB200" s="1114"/>
      <c r="DC200" s="1114"/>
      <c r="DD200" s="1114"/>
      <c r="DE200" s="1114"/>
      <c r="DF200" s="1114"/>
      <c r="DG200" s="1114"/>
      <c r="DH200" s="1114"/>
      <c r="DI200" s="1114"/>
      <c r="DJ200" s="1114"/>
      <c r="DK200" s="1114"/>
      <c r="DL200" s="1114"/>
      <c r="DM200" s="1114"/>
      <c r="DN200" s="1114"/>
      <c r="DO200" s="1114"/>
      <c r="DP200" s="1114"/>
      <c r="DQ200" s="1114"/>
      <c r="DR200" s="1114"/>
      <c r="DS200" s="1114"/>
      <c r="DT200" s="1114"/>
      <c r="DU200" s="1114"/>
      <c r="DV200" s="1115"/>
      <c r="DW200" s="1116"/>
      <c r="DX200" s="1116"/>
      <c r="DY200" s="1116"/>
      <c r="DZ200" s="1116"/>
      <c r="EA200" s="1116"/>
      <c r="EB200" s="1116"/>
      <c r="EC200" s="1116"/>
      <c r="ED200" s="1116"/>
      <c r="EE200" s="1116"/>
      <c r="EF200" s="1116"/>
      <c r="EG200" s="1116"/>
      <c r="EH200" s="1116"/>
      <c r="EI200" s="1116"/>
      <c r="EJ200" s="1116"/>
      <c r="EK200" s="1116"/>
      <c r="EL200" s="1116"/>
      <c r="EM200" s="1116"/>
      <c r="EN200" s="1116"/>
      <c r="EO200" s="1116"/>
      <c r="EP200" s="1116"/>
      <c r="EQ200" s="1116"/>
      <c r="ER200" s="1116"/>
      <c r="ES200" s="1116"/>
    </row>
    <row r="201" spans="1:149" ht="15" customHeight="1">
      <c r="A201" s="1185">
        <v>191</v>
      </c>
      <c r="B201" s="1041"/>
      <c r="C201" s="1050"/>
      <c r="D201" s="1050"/>
      <c r="E201" s="1050"/>
      <c r="F201" s="1049"/>
      <c r="G201" s="1049"/>
      <c r="H201" s="1049"/>
      <c r="I201" s="1049"/>
      <c r="J201" s="1050"/>
      <c r="K201" s="1050"/>
      <c r="L201" s="1043"/>
      <c r="M201" s="1051"/>
      <c r="N201" s="1051"/>
      <c r="O201" s="1052"/>
      <c r="P201" s="1051"/>
      <c r="Q201" s="1051"/>
      <c r="R201" s="1052"/>
      <c r="S201" s="1051"/>
      <c r="T201" s="1051"/>
      <c r="U201" s="1052"/>
      <c r="V201" s="1051"/>
      <c r="W201" s="1051"/>
      <c r="X201" s="1052"/>
      <c r="Y201" s="1053"/>
      <c r="Z201" s="1051"/>
      <c r="AA201" s="1051"/>
      <c r="AB201" s="1052"/>
      <c r="AC201" s="1051"/>
      <c r="AD201" s="1051"/>
      <c r="AE201" s="1052"/>
      <c r="AF201" s="1051"/>
      <c r="AG201" s="1051"/>
      <c r="AH201" s="1051"/>
      <c r="AI201" s="1051"/>
      <c r="AJ201" s="1052"/>
      <c r="AK201" s="1051"/>
      <c r="AL201" s="1051"/>
      <c r="AM201" s="1052"/>
      <c r="AN201" s="1051"/>
      <c r="AO201" s="1051"/>
      <c r="AP201" s="1052"/>
      <c r="AQ201" s="1051"/>
      <c r="AR201" s="1051"/>
      <c r="AS201" s="1052"/>
      <c r="AT201" s="1051"/>
      <c r="AU201" s="1051"/>
      <c r="AV201" s="1052"/>
      <c r="AW201" s="1051"/>
      <c r="AX201" s="1051"/>
      <c r="AY201" s="1053"/>
      <c r="AZ201" s="1051"/>
      <c r="BA201" s="1051"/>
      <c r="BB201" s="1053"/>
      <c r="BC201" s="1051"/>
      <c r="BD201" s="1051"/>
      <c r="BE201" s="1053"/>
      <c r="BF201" s="1051"/>
      <c r="BG201" s="1051"/>
      <c r="BH201" s="1053"/>
      <c r="BI201" s="1052"/>
      <c r="BJ201" s="1052"/>
      <c r="BK201" s="1052"/>
      <c r="BL201" s="1052"/>
      <c r="BM201" s="1052"/>
      <c r="BN201" s="1054"/>
      <c r="BO201" s="1076">
        <f t="shared" si="3"/>
        <v>0</v>
      </c>
      <c r="BP201" s="1051"/>
      <c r="BQ201" s="1052"/>
      <c r="BR201" s="1054"/>
      <c r="BS201" s="1053"/>
      <c r="BT201" s="1051"/>
      <c r="BU201" s="1051"/>
      <c r="BV201" s="1051"/>
      <c r="BW201" s="1052"/>
      <c r="BX201" s="1052"/>
      <c r="BY201" s="1052"/>
      <c r="BZ201" s="1052"/>
      <c r="CA201" s="1052"/>
      <c r="CB201" s="1053"/>
      <c r="CC201" s="1053"/>
      <c r="CD201" s="1053"/>
      <c r="CE201" s="1053"/>
      <c r="CF201" s="1053"/>
      <c r="CG201" s="1053"/>
      <c r="CH201" s="1053"/>
      <c r="CI201" s="1123"/>
      <c r="CJ201" s="1123"/>
      <c r="CK201" s="1123"/>
      <c r="CL201" s="1123"/>
      <c r="CM201" s="1123"/>
      <c r="CN201" s="1123"/>
      <c r="CO201" s="1123"/>
      <c r="CP201" s="1123"/>
      <c r="CQ201" s="1123"/>
      <c r="CR201" s="1123"/>
      <c r="CS201" s="1123"/>
      <c r="CT201" s="1123"/>
      <c r="CU201" s="1123"/>
      <c r="CV201" s="1123"/>
      <c r="CW201" s="1123"/>
      <c r="CX201" s="1123"/>
      <c r="CY201" s="1123"/>
      <c r="CZ201" s="1114"/>
      <c r="DA201" s="1114"/>
      <c r="DB201" s="1114"/>
      <c r="DC201" s="1114"/>
      <c r="DD201" s="1114"/>
      <c r="DE201" s="1114"/>
      <c r="DF201" s="1114"/>
      <c r="DG201" s="1114"/>
      <c r="DH201" s="1114"/>
      <c r="DI201" s="1114"/>
      <c r="DJ201" s="1114"/>
      <c r="DK201" s="1114"/>
      <c r="DL201" s="1114"/>
      <c r="DM201" s="1114"/>
      <c r="DN201" s="1114"/>
      <c r="DO201" s="1114"/>
      <c r="DP201" s="1114"/>
      <c r="DQ201" s="1114"/>
      <c r="DR201" s="1114"/>
      <c r="DS201" s="1114"/>
      <c r="DT201" s="1114"/>
      <c r="DU201" s="1114"/>
      <c r="DV201" s="1115"/>
      <c r="DW201" s="1116"/>
      <c r="DX201" s="1116"/>
      <c r="DY201" s="1116"/>
      <c r="DZ201" s="1116"/>
      <c r="EA201" s="1116"/>
      <c r="EB201" s="1116"/>
      <c r="EC201" s="1116"/>
      <c r="ED201" s="1116"/>
      <c r="EE201" s="1116"/>
      <c r="EF201" s="1116"/>
      <c r="EG201" s="1116"/>
      <c r="EH201" s="1116"/>
      <c r="EI201" s="1116"/>
      <c r="EJ201" s="1116"/>
      <c r="EK201" s="1116"/>
      <c r="EL201" s="1116"/>
      <c r="EM201" s="1116"/>
      <c r="EN201" s="1116"/>
      <c r="EO201" s="1116"/>
      <c r="EP201" s="1116"/>
      <c r="EQ201" s="1116"/>
      <c r="ER201" s="1116"/>
      <c r="ES201" s="1116"/>
    </row>
    <row r="202" spans="1:149" ht="15" customHeight="1">
      <c r="A202" s="1185">
        <v>192</v>
      </c>
      <c r="B202" s="1041"/>
      <c r="C202" s="1050"/>
      <c r="D202" s="1050"/>
      <c r="E202" s="1050"/>
      <c r="F202" s="1049"/>
      <c r="G202" s="1049"/>
      <c r="H202" s="1049"/>
      <c r="I202" s="1049"/>
      <c r="J202" s="1050"/>
      <c r="K202" s="1050"/>
      <c r="L202" s="1043"/>
      <c r="M202" s="1051"/>
      <c r="N202" s="1051"/>
      <c r="O202" s="1052"/>
      <c r="P202" s="1051"/>
      <c r="Q202" s="1051"/>
      <c r="R202" s="1052"/>
      <c r="S202" s="1051"/>
      <c r="T202" s="1051"/>
      <c r="U202" s="1052"/>
      <c r="V202" s="1051"/>
      <c r="W202" s="1051"/>
      <c r="X202" s="1052"/>
      <c r="Y202" s="1053"/>
      <c r="Z202" s="1051"/>
      <c r="AA202" s="1051"/>
      <c r="AB202" s="1052"/>
      <c r="AC202" s="1051"/>
      <c r="AD202" s="1051"/>
      <c r="AE202" s="1052"/>
      <c r="AF202" s="1051"/>
      <c r="AG202" s="1051"/>
      <c r="AH202" s="1051"/>
      <c r="AI202" s="1051"/>
      <c r="AJ202" s="1052"/>
      <c r="AK202" s="1051"/>
      <c r="AL202" s="1051"/>
      <c r="AM202" s="1052"/>
      <c r="AN202" s="1051"/>
      <c r="AO202" s="1051"/>
      <c r="AP202" s="1052"/>
      <c r="AQ202" s="1051"/>
      <c r="AR202" s="1051"/>
      <c r="AS202" s="1052"/>
      <c r="AT202" s="1051"/>
      <c r="AU202" s="1051"/>
      <c r="AV202" s="1052"/>
      <c r="AW202" s="1051"/>
      <c r="AX202" s="1051"/>
      <c r="AY202" s="1053"/>
      <c r="AZ202" s="1051"/>
      <c r="BA202" s="1051"/>
      <c r="BB202" s="1053"/>
      <c r="BC202" s="1051"/>
      <c r="BD202" s="1051"/>
      <c r="BE202" s="1053"/>
      <c r="BF202" s="1051"/>
      <c r="BG202" s="1051"/>
      <c r="BH202" s="1053"/>
      <c r="BI202" s="1052"/>
      <c r="BJ202" s="1052"/>
      <c r="BK202" s="1052"/>
      <c r="BL202" s="1052"/>
      <c r="BM202" s="1052"/>
      <c r="BN202" s="1054"/>
      <c r="BO202" s="1076">
        <f t="shared" si="3"/>
        <v>0</v>
      </c>
      <c r="BP202" s="1051"/>
      <c r="BQ202" s="1052"/>
      <c r="BR202" s="1054"/>
      <c r="BS202" s="1053"/>
      <c r="BT202" s="1051"/>
      <c r="BU202" s="1051"/>
      <c r="BV202" s="1051"/>
      <c r="BW202" s="1052"/>
      <c r="BX202" s="1052"/>
      <c r="BY202" s="1052"/>
      <c r="BZ202" s="1052"/>
      <c r="CA202" s="1052"/>
      <c r="CB202" s="1053"/>
      <c r="CC202" s="1053"/>
      <c r="CD202" s="1053"/>
      <c r="CE202" s="1053"/>
      <c r="CF202" s="1053"/>
      <c r="CG202" s="1053"/>
      <c r="CH202" s="1053"/>
      <c r="CI202" s="1123"/>
      <c r="CJ202" s="1123"/>
      <c r="CK202" s="1123"/>
      <c r="CL202" s="1123"/>
      <c r="CM202" s="1123"/>
      <c r="CN202" s="1123"/>
      <c r="CO202" s="1123"/>
      <c r="CP202" s="1123"/>
      <c r="CQ202" s="1123"/>
      <c r="CR202" s="1123"/>
      <c r="CS202" s="1123"/>
      <c r="CT202" s="1123"/>
      <c r="CU202" s="1123"/>
      <c r="CV202" s="1123"/>
      <c r="CW202" s="1123"/>
      <c r="CX202" s="1123"/>
      <c r="CY202" s="1123"/>
      <c r="CZ202" s="1114"/>
      <c r="DA202" s="1114"/>
      <c r="DB202" s="1114"/>
      <c r="DC202" s="1114"/>
      <c r="DD202" s="1114"/>
      <c r="DE202" s="1114"/>
      <c r="DF202" s="1114"/>
      <c r="DG202" s="1114"/>
      <c r="DH202" s="1114"/>
      <c r="DI202" s="1114"/>
      <c r="DJ202" s="1114"/>
      <c r="DK202" s="1114"/>
      <c r="DL202" s="1114"/>
      <c r="DM202" s="1114"/>
      <c r="DN202" s="1114"/>
      <c r="DO202" s="1114"/>
      <c r="DP202" s="1114"/>
      <c r="DQ202" s="1114"/>
      <c r="DR202" s="1114"/>
      <c r="DS202" s="1114"/>
      <c r="DT202" s="1114"/>
      <c r="DU202" s="1114"/>
      <c r="DV202" s="1115"/>
      <c r="DW202" s="1116"/>
      <c r="DX202" s="1116"/>
      <c r="DY202" s="1116"/>
      <c r="DZ202" s="1116"/>
      <c r="EA202" s="1116"/>
      <c r="EB202" s="1116"/>
      <c r="EC202" s="1116"/>
      <c r="ED202" s="1116"/>
      <c r="EE202" s="1116"/>
      <c r="EF202" s="1116"/>
      <c r="EG202" s="1116"/>
      <c r="EH202" s="1116"/>
      <c r="EI202" s="1116"/>
      <c r="EJ202" s="1116"/>
      <c r="EK202" s="1116"/>
      <c r="EL202" s="1116"/>
      <c r="EM202" s="1116"/>
      <c r="EN202" s="1116"/>
      <c r="EO202" s="1116"/>
      <c r="EP202" s="1116"/>
      <c r="EQ202" s="1116"/>
      <c r="ER202" s="1116"/>
      <c r="ES202" s="1116"/>
    </row>
    <row r="203" spans="1:149" ht="15" customHeight="1">
      <c r="A203" s="1185">
        <v>193</v>
      </c>
      <c r="B203" s="1041"/>
      <c r="C203" s="1050"/>
      <c r="D203" s="1050"/>
      <c r="E203" s="1050"/>
      <c r="F203" s="1049"/>
      <c r="G203" s="1049"/>
      <c r="H203" s="1049"/>
      <c r="I203" s="1049"/>
      <c r="J203" s="1050"/>
      <c r="K203" s="1050"/>
      <c r="L203" s="1043"/>
      <c r="M203" s="1051"/>
      <c r="N203" s="1051"/>
      <c r="O203" s="1052"/>
      <c r="P203" s="1051"/>
      <c r="Q203" s="1051"/>
      <c r="R203" s="1052"/>
      <c r="S203" s="1051"/>
      <c r="T203" s="1051"/>
      <c r="U203" s="1052"/>
      <c r="V203" s="1051"/>
      <c r="W203" s="1051"/>
      <c r="X203" s="1052"/>
      <c r="Y203" s="1053"/>
      <c r="Z203" s="1051"/>
      <c r="AA203" s="1051"/>
      <c r="AB203" s="1052"/>
      <c r="AC203" s="1051"/>
      <c r="AD203" s="1051"/>
      <c r="AE203" s="1052"/>
      <c r="AF203" s="1051"/>
      <c r="AG203" s="1051"/>
      <c r="AH203" s="1051"/>
      <c r="AI203" s="1051"/>
      <c r="AJ203" s="1052"/>
      <c r="AK203" s="1051"/>
      <c r="AL203" s="1051"/>
      <c r="AM203" s="1052"/>
      <c r="AN203" s="1051"/>
      <c r="AO203" s="1051"/>
      <c r="AP203" s="1052"/>
      <c r="AQ203" s="1051"/>
      <c r="AR203" s="1051"/>
      <c r="AS203" s="1052"/>
      <c r="AT203" s="1051"/>
      <c r="AU203" s="1051"/>
      <c r="AV203" s="1052"/>
      <c r="AW203" s="1051"/>
      <c r="AX203" s="1051"/>
      <c r="AY203" s="1053"/>
      <c r="AZ203" s="1051"/>
      <c r="BA203" s="1051"/>
      <c r="BB203" s="1053"/>
      <c r="BC203" s="1051"/>
      <c r="BD203" s="1051"/>
      <c r="BE203" s="1053"/>
      <c r="BF203" s="1051"/>
      <c r="BG203" s="1051"/>
      <c r="BH203" s="1053"/>
      <c r="BI203" s="1052"/>
      <c r="BJ203" s="1052"/>
      <c r="BK203" s="1052"/>
      <c r="BL203" s="1052"/>
      <c r="BM203" s="1052"/>
      <c r="BN203" s="1054"/>
      <c r="BO203" s="1076">
        <f t="shared" si="3"/>
        <v>0</v>
      </c>
      <c r="BP203" s="1051"/>
      <c r="BQ203" s="1052"/>
      <c r="BR203" s="1054"/>
      <c r="BS203" s="1053"/>
      <c r="BT203" s="1051"/>
      <c r="BU203" s="1051"/>
      <c r="BV203" s="1051"/>
      <c r="BW203" s="1052"/>
      <c r="BX203" s="1052"/>
      <c r="BY203" s="1052"/>
      <c r="BZ203" s="1052"/>
      <c r="CA203" s="1052"/>
      <c r="CB203" s="1053"/>
      <c r="CC203" s="1053"/>
      <c r="CD203" s="1053"/>
      <c r="CE203" s="1053"/>
      <c r="CF203" s="1053"/>
      <c r="CG203" s="1053"/>
      <c r="CH203" s="1053"/>
      <c r="CI203" s="1123"/>
      <c r="CJ203" s="1123"/>
      <c r="CK203" s="1123"/>
      <c r="CL203" s="1123"/>
      <c r="CM203" s="1123"/>
      <c r="CN203" s="1123"/>
      <c r="CO203" s="1123"/>
      <c r="CP203" s="1123"/>
      <c r="CQ203" s="1123"/>
      <c r="CR203" s="1123"/>
      <c r="CS203" s="1123"/>
      <c r="CT203" s="1123"/>
      <c r="CU203" s="1123"/>
      <c r="CV203" s="1123"/>
      <c r="CW203" s="1123"/>
      <c r="CX203" s="1123"/>
      <c r="CY203" s="1123"/>
      <c r="CZ203" s="1114"/>
      <c r="DA203" s="1114"/>
      <c r="DB203" s="1114"/>
      <c r="DC203" s="1114"/>
      <c r="DD203" s="1114"/>
      <c r="DE203" s="1114"/>
      <c r="DF203" s="1114"/>
      <c r="DG203" s="1114"/>
      <c r="DH203" s="1114"/>
      <c r="DI203" s="1114"/>
      <c r="DJ203" s="1114"/>
      <c r="DK203" s="1114"/>
      <c r="DL203" s="1114"/>
      <c r="DM203" s="1114"/>
      <c r="DN203" s="1114"/>
      <c r="DO203" s="1114"/>
      <c r="DP203" s="1114"/>
      <c r="DQ203" s="1114"/>
      <c r="DR203" s="1114"/>
      <c r="DS203" s="1114"/>
      <c r="DT203" s="1114"/>
      <c r="DU203" s="1114"/>
      <c r="DV203" s="1115"/>
      <c r="DW203" s="1116"/>
      <c r="DX203" s="1116"/>
      <c r="DY203" s="1116"/>
      <c r="DZ203" s="1116"/>
      <c r="EA203" s="1116"/>
      <c r="EB203" s="1116"/>
      <c r="EC203" s="1116"/>
      <c r="ED203" s="1116"/>
      <c r="EE203" s="1116"/>
      <c r="EF203" s="1116"/>
      <c r="EG203" s="1116"/>
      <c r="EH203" s="1116"/>
      <c r="EI203" s="1116"/>
      <c r="EJ203" s="1116"/>
      <c r="EK203" s="1116"/>
      <c r="EL203" s="1116"/>
      <c r="EM203" s="1116"/>
      <c r="EN203" s="1116"/>
      <c r="EO203" s="1116"/>
      <c r="EP203" s="1116"/>
      <c r="EQ203" s="1116"/>
      <c r="ER203" s="1116"/>
      <c r="ES203" s="1116"/>
    </row>
    <row r="204" spans="1:149" ht="15" customHeight="1">
      <c r="A204" s="1185">
        <v>194</v>
      </c>
      <c r="B204" s="1041"/>
      <c r="C204" s="1050"/>
      <c r="D204" s="1050"/>
      <c r="E204" s="1050"/>
      <c r="F204" s="1049"/>
      <c r="G204" s="1049"/>
      <c r="H204" s="1049"/>
      <c r="I204" s="1049"/>
      <c r="J204" s="1050"/>
      <c r="K204" s="1050"/>
      <c r="L204" s="1043"/>
      <c r="M204" s="1051"/>
      <c r="N204" s="1051"/>
      <c r="O204" s="1052"/>
      <c r="P204" s="1051"/>
      <c r="Q204" s="1051"/>
      <c r="R204" s="1052"/>
      <c r="S204" s="1051"/>
      <c r="T204" s="1051"/>
      <c r="U204" s="1052"/>
      <c r="V204" s="1051"/>
      <c r="W204" s="1051"/>
      <c r="X204" s="1052"/>
      <c r="Y204" s="1053"/>
      <c r="Z204" s="1051"/>
      <c r="AA204" s="1051"/>
      <c r="AB204" s="1052"/>
      <c r="AC204" s="1051"/>
      <c r="AD204" s="1051"/>
      <c r="AE204" s="1052"/>
      <c r="AF204" s="1051"/>
      <c r="AG204" s="1051"/>
      <c r="AH204" s="1051"/>
      <c r="AI204" s="1051"/>
      <c r="AJ204" s="1052"/>
      <c r="AK204" s="1051"/>
      <c r="AL204" s="1051"/>
      <c r="AM204" s="1052"/>
      <c r="AN204" s="1051"/>
      <c r="AO204" s="1051"/>
      <c r="AP204" s="1052"/>
      <c r="AQ204" s="1051"/>
      <c r="AR204" s="1051"/>
      <c r="AS204" s="1052"/>
      <c r="AT204" s="1051"/>
      <c r="AU204" s="1051"/>
      <c r="AV204" s="1052"/>
      <c r="AW204" s="1051"/>
      <c r="AX204" s="1051"/>
      <c r="AY204" s="1053"/>
      <c r="AZ204" s="1051"/>
      <c r="BA204" s="1051"/>
      <c r="BB204" s="1053"/>
      <c r="BC204" s="1051"/>
      <c r="BD204" s="1051"/>
      <c r="BE204" s="1053"/>
      <c r="BF204" s="1051"/>
      <c r="BG204" s="1051"/>
      <c r="BH204" s="1053"/>
      <c r="BI204" s="1052"/>
      <c r="BJ204" s="1052"/>
      <c r="BK204" s="1052"/>
      <c r="BL204" s="1052"/>
      <c r="BM204" s="1052"/>
      <c r="BN204" s="1054"/>
      <c r="BO204" s="1076">
        <f t="shared" ref="BO204:BO267" si="4">H204</f>
        <v>0</v>
      </c>
      <c r="BP204" s="1051"/>
      <c r="BQ204" s="1052"/>
      <c r="BR204" s="1054"/>
      <c r="BS204" s="1053"/>
      <c r="BT204" s="1051"/>
      <c r="BU204" s="1051"/>
      <c r="BV204" s="1051"/>
      <c r="BW204" s="1052"/>
      <c r="BX204" s="1052"/>
      <c r="BY204" s="1052"/>
      <c r="BZ204" s="1052"/>
      <c r="CA204" s="1052"/>
      <c r="CB204" s="1053"/>
      <c r="CC204" s="1053"/>
      <c r="CD204" s="1053"/>
      <c r="CE204" s="1053"/>
      <c r="CF204" s="1053"/>
      <c r="CG204" s="1053"/>
      <c r="CH204" s="1053"/>
      <c r="CI204" s="1123"/>
      <c r="CJ204" s="1123"/>
      <c r="CK204" s="1123"/>
      <c r="CL204" s="1123"/>
      <c r="CM204" s="1123"/>
      <c r="CN204" s="1123"/>
      <c r="CO204" s="1123"/>
      <c r="CP204" s="1123"/>
      <c r="CQ204" s="1123"/>
      <c r="CR204" s="1123"/>
      <c r="CS204" s="1123"/>
      <c r="CT204" s="1123"/>
      <c r="CU204" s="1123"/>
      <c r="CV204" s="1123"/>
      <c r="CW204" s="1123"/>
      <c r="CX204" s="1123"/>
      <c r="CY204" s="1123"/>
      <c r="CZ204" s="1114"/>
      <c r="DA204" s="1114"/>
      <c r="DB204" s="1114"/>
      <c r="DC204" s="1114"/>
      <c r="DD204" s="1114"/>
      <c r="DE204" s="1114"/>
      <c r="DF204" s="1114"/>
      <c r="DG204" s="1114"/>
      <c r="DH204" s="1114"/>
      <c r="DI204" s="1114"/>
      <c r="DJ204" s="1114"/>
      <c r="DK204" s="1114"/>
      <c r="DL204" s="1114"/>
      <c r="DM204" s="1114"/>
      <c r="DN204" s="1114"/>
      <c r="DO204" s="1114"/>
      <c r="DP204" s="1114"/>
      <c r="DQ204" s="1114"/>
      <c r="DR204" s="1114"/>
      <c r="DS204" s="1114"/>
      <c r="DT204" s="1114"/>
      <c r="DU204" s="1114"/>
      <c r="DV204" s="1115"/>
      <c r="DW204" s="1116"/>
      <c r="DX204" s="1116"/>
      <c r="DY204" s="1116"/>
      <c r="DZ204" s="1116"/>
      <c r="EA204" s="1116"/>
      <c r="EB204" s="1116"/>
      <c r="EC204" s="1116"/>
      <c r="ED204" s="1116"/>
      <c r="EE204" s="1116"/>
      <c r="EF204" s="1116"/>
      <c r="EG204" s="1116"/>
      <c r="EH204" s="1116"/>
      <c r="EI204" s="1116"/>
      <c r="EJ204" s="1116"/>
      <c r="EK204" s="1116"/>
      <c r="EL204" s="1116"/>
      <c r="EM204" s="1116"/>
      <c r="EN204" s="1116"/>
      <c r="EO204" s="1116"/>
      <c r="EP204" s="1116"/>
      <c r="EQ204" s="1116"/>
      <c r="ER204" s="1116"/>
      <c r="ES204" s="1116"/>
    </row>
    <row r="205" spans="1:149" ht="15" customHeight="1">
      <c r="A205" s="1185">
        <v>195</v>
      </c>
      <c r="B205" s="1041"/>
      <c r="C205" s="1050"/>
      <c r="D205" s="1050"/>
      <c r="E205" s="1050"/>
      <c r="F205" s="1049"/>
      <c r="G205" s="1049"/>
      <c r="H205" s="1049"/>
      <c r="I205" s="1049"/>
      <c r="J205" s="1050"/>
      <c r="K205" s="1050"/>
      <c r="L205" s="1043"/>
      <c r="M205" s="1051"/>
      <c r="N205" s="1051"/>
      <c r="O205" s="1052"/>
      <c r="P205" s="1051"/>
      <c r="Q205" s="1051"/>
      <c r="R205" s="1052"/>
      <c r="S205" s="1051"/>
      <c r="T205" s="1051"/>
      <c r="U205" s="1052"/>
      <c r="V205" s="1051"/>
      <c r="W205" s="1051"/>
      <c r="X205" s="1052"/>
      <c r="Y205" s="1053"/>
      <c r="Z205" s="1051"/>
      <c r="AA205" s="1051"/>
      <c r="AB205" s="1052"/>
      <c r="AC205" s="1051"/>
      <c r="AD205" s="1051"/>
      <c r="AE205" s="1052"/>
      <c r="AF205" s="1051"/>
      <c r="AG205" s="1051"/>
      <c r="AH205" s="1051"/>
      <c r="AI205" s="1051"/>
      <c r="AJ205" s="1052"/>
      <c r="AK205" s="1051"/>
      <c r="AL205" s="1051"/>
      <c r="AM205" s="1052"/>
      <c r="AN205" s="1051"/>
      <c r="AO205" s="1051"/>
      <c r="AP205" s="1052"/>
      <c r="AQ205" s="1051"/>
      <c r="AR205" s="1051"/>
      <c r="AS205" s="1052"/>
      <c r="AT205" s="1051"/>
      <c r="AU205" s="1051"/>
      <c r="AV205" s="1052"/>
      <c r="AW205" s="1051"/>
      <c r="AX205" s="1051"/>
      <c r="AY205" s="1053"/>
      <c r="AZ205" s="1051"/>
      <c r="BA205" s="1051"/>
      <c r="BB205" s="1053"/>
      <c r="BC205" s="1051"/>
      <c r="BD205" s="1051"/>
      <c r="BE205" s="1053"/>
      <c r="BF205" s="1051"/>
      <c r="BG205" s="1051"/>
      <c r="BH205" s="1053"/>
      <c r="BI205" s="1052"/>
      <c r="BJ205" s="1052"/>
      <c r="BK205" s="1052"/>
      <c r="BL205" s="1052"/>
      <c r="BM205" s="1052"/>
      <c r="BN205" s="1054"/>
      <c r="BO205" s="1076">
        <f t="shared" si="4"/>
        <v>0</v>
      </c>
      <c r="BP205" s="1051"/>
      <c r="BQ205" s="1052"/>
      <c r="BR205" s="1054"/>
      <c r="BS205" s="1053"/>
      <c r="BT205" s="1051"/>
      <c r="BU205" s="1051"/>
      <c r="BV205" s="1051"/>
      <c r="BW205" s="1052"/>
      <c r="BX205" s="1052"/>
      <c r="BY205" s="1052"/>
      <c r="BZ205" s="1052"/>
      <c r="CA205" s="1052"/>
      <c r="CB205" s="1053"/>
      <c r="CC205" s="1053"/>
      <c r="CD205" s="1053"/>
      <c r="CE205" s="1053"/>
      <c r="CF205" s="1053"/>
      <c r="CG205" s="1053"/>
      <c r="CH205" s="1053"/>
      <c r="CI205" s="1123"/>
      <c r="CJ205" s="1123"/>
      <c r="CK205" s="1123"/>
      <c r="CL205" s="1123"/>
      <c r="CM205" s="1123"/>
      <c r="CN205" s="1123"/>
      <c r="CO205" s="1123"/>
      <c r="CP205" s="1123"/>
      <c r="CQ205" s="1123"/>
      <c r="CR205" s="1123"/>
      <c r="CS205" s="1123"/>
      <c r="CT205" s="1123"/>
      <c r="CU205" s="1123"/>
      <c r="CV205" s="1123"/>
      <c r="CW205" s="1123"/>
      <c r="CX205" s="1123"/>
      <c r="CY205" s="1123"/>
      <c r="CZ205" s="1114"/>
      <c r="DA205" s="1114"/>
      <c r="DB205" s="1114"/>
      <c r="DC205" s="1114"/>
      <c r="DD205" s="1114"/>
      <c r="DE205" s="1114"/>
      <c r="DF205" s="1114"/>
      <c r="DG205" s="1114"/>
      <c r="DH205" s="1114"/>
      <c r="DI205" s="1114"/>
      <c r="DJ205" s="1114"/>
      <c r="DK205" s="1114"/>
      <c r="DL205" s="1114"/>
      <c r="DM205" s="1114"/>
      <c r="DN205" s="1114"/>
      <c r="DO205" s="1114"/>
      <c r="DP205" s="1114"/>
      <c r="DQ205" s="1114"/>
      <c r="DR205" s="1114"/>
      <c r="DS205" s="1114"/>
      <c r="DT205" s="1114"/>
      <c r="DU205" s="1114"/>
      <c r="DV205" s="1115"/>
      <c r="DW205" s="1116"/>
      <c r="DX205" s="1116"/>
      <c r="DY205" s="1116"/>
      <c r="DZ205" s="1116"/>
      <c r="EA205" s="1116"/>
      <c r="EB205" s="1116"/>
      <c r="EC205" s="1116"/>
      <c r="ED205" s="1116"/>
      <c r="EE205" s="1116"/>
      <c r="EF205" s="1116"/>
      <c r="EG205" s="1116"/>
      <c r="EH205" s="1116"/>
      <c r="EI205" s="1116"/>
      <c r="EJ205" s="1116"/>
      <c r="EK205" s="1116"/>
      <c r="EL205" s="1116"/>
      <c r="EM205" s="1116"/>
      <c r="EN205" s="1116"/>
      <c r="EO205" s="1116"/>
      <c r="EP205" s="1116"/>
      <c r="EQ205" s="1116"/>
      <c r="ER205" s="1116"/>
      <c r="ES205" s="1116"/>
    </row>
    <row r="206" spans="1:149" ht="15" customHeight="1">
      <c r="A206" s="1185">
        <v>196</v>
      </c>
      <c r="B206" s="1041"/>
      <c r="C206" s="1050"/>
      <c r="D206" s="1050"/>
      <c r="E206" s="1050"/>
      <c r="F206" s="1049"/>
      <c r="G206" s="1049"/>
      <c r="H206" s="1049"/>
      <c r="I206" s="1049"/>
      <c r="J206" s="1050"/>
      <c r="K206" s="1050"/>
      <c r="L206" s="1043"/>
      <c r="M206" s="1051"/>
      <c r="N206" s="1051"/>
      <c r="O206" s="1052"/>
      <c r="P206" s="1051"/>
      <c r="Q206" s="1051"/>
      <c r="R206" s="1052"/>
      <c r="S206" s="1051"/>
      <c r="T206" s="1051"/>
      <c r="U206" s="1052"/>
      <c r="V206" s="1051"/>
      <c r="W206" s="1051"/>
      <c r="X206" s="1052"/>
      <c r="Y206" s="1053"/>
      <c r="Z206" s="1051"/>
      <c r="AA206" s="1051"/>
      <c r="AB206" s="1052"/>
      <c r="AC206" s="1051"/>
      <c r="AD206" s="1051"/>
      <c r="AE206" s="1052"/>
      <c r="AF206" s="1051"/>
      <c r="AG206" s="1051"/>
      <c r="AH206" s="1051"/>
      <c r="AI206" s="1051"/>
      <c r="AJ206" s="1052"/>
      <c r="AK206" s="1051"/>
      <c r="AL206" s="1051"/>
      <c r="AM206" s="1052"/>
      <c r="AN206" s="1051"/>
      <c r="AO206" s="1051"/>
      <c r="AP206" s="1052"/>
      <c r="AQ206" s="1051"/>
      <c r="AR206" s="1051"/>
      <c r="AS206" s="1052"/>
      <c r="AT206" s="1051"/>
      <c r="AU206" s="1051"/>
      <c r="AV206" s="1052"/>
      <c r="AW206" s="1051"/>
      <c r="AX206" s="1051"/>
      <c r="AY206" s="1053"/>
      <c r="AZ206" s="1051"/>
      <c r="BA206" s="1051"/>
      <c r="BB206" s="1053"/>
      <c r="BC206" s="1051"/>
      <c r="BD206" s="1051"/>
      <c r="BE206" s="1053"/>
      <c r="BF206" s="1051"/>
      <c r="BG206" s="1051"/>
      <c r="BH206" s="1053"/>
      <c r="BI206" s="1052"/>
      <c r="BJ206" s="1052"/>
      <c r="BK206" s="1052"/>
      <c r="BL206" s="1052"/>
      <c r="BM206" s="1052"/>
      <c r="BN206" s="1054"/>
      <c r="BO206" s="1076">
        <f t="shared" si="4"/>
        <v>0</v>
      </c>
      <c r="BP206" s="1051"/>
      <c r="BQ206" s="1052"/>
      <c r="BR206" s="1054"/>
      <c r="BS206" s="1053"/>
      <c r="BT206" s="1051"/>
      <c r="BU206" s="1051"/>
      <c r="BV206" s="1051"/>
      <c r="BW206" s="1052"/>
      <c r="BX206" s="1052"/>
      <c r="BY206" s="1052"/>
      <c r="BZ206" s="1052"/>
      <c r="CA206" s="1052"/>
      <c r="CB206" s="1053"/>
      <c r="CC206" s="1053"/>
      <c r="CD206" s="1053"/>
      <c r="CE206" s="1053"/>
      <c r="CF206" s="1053"/>
      <c r="CG206" s="1053"/>
      <c r="CH206" s="1053"/>
      <c r="CI206" s="1123"/>
      <c r="CJ206" s="1123"/>
      <c r="CK206" s="1123"/>
      <c r="CL206" s="1123"/>
      <c r="CM206" s="1123"/>
      <c r="CN206" s="1123"/>
      <c r="CO206" s="1123"/>
      <c r="CP206" s="1123"/>
      <c r="CQ206" s="1123"/>
      <c r="CR206" s="1123"/>
      <c r="CS206" s="1123"/>
      <c r="CT206" s="1123"/>
      <c r="CU206" s="1123"/>
      <c r="CV206" s="1123"/>
      <c r="CW206" s="1123"/>
      <c r="CX206" s="1123"/>
      <c r="CY206" s="1123"/>
      <c r="CZ206" s="1114"/>
      <c r="DA206" s="1114"/>
      <c r="DB206" s="1114"/>
      <c r="DC206" s="1114"/>
      <c r="DD206" s="1114"/>
      <c r="DE206" s="1114"/>
      <c r="DF206" s="1114"/>
      <c r="DG206" s="1114"/>
      <c r="DH206" s="1114"/>
      <c r="DI206" s="1114"/>
      <c r="DJ206" s="1114"/>
      <c r="DK206" s="1114"/>
      <c r="DL206" s="1114"/>
      <c r="DM206" s="1114"/>
      <c r="DN206" s="1114"/>
      <c r="DO206" s="1114"/>
      <c r="DP206" s="1114"/>
      <c r="DQ206" s="1114"/>
      <c r="DR206" s="1114"/>
      <c r="DS206" s="1114"/>
      <c r="DT206" s="1114"/>
      <c r="DU206" s="1114"/>
      <c r="DV206" s="1115"/>
      <c r="DW206" s="1116"/>
      <c r="DX206" s="1116"/>
      <c r="DY206" s="1116"/>
      <c r="DZ206" s="1116"/>
      <c r="EA206" s="1116"/>
      <c r="EB206" s="1116"/>
      <c r="EC206" s="1116"/>
      <c r="ED206" s="1116"/>
      <c r="EE206" s="1116"/>
      <c r="EF206" s="1116"/>
      <c r="EG206" s="1116"/>
      <c r="EH206" s="1116"/>
      <c r="EI206" s="1116"/>
      <c r="EJ206" s="1116"/>
      <c r="EK206" s="1116"/>
      <c r="EL206" s="1116"/>
      <c r="EM206" s="1116"/>
      <c r="EN206" s="1116"/>
      <c r="EO206" s="1116"/>
      <c r="EP206" s="1116"/>
      <c r="EQ206" s="1116"/>
      <c r="ER206" s="1116"/>
      <c r="ES206" s="1116"/>
    </row>
    <row r="207" spans="1:149" ht="15" customHeight="1">
      <c r="A207" s="1185">
        <v>197</v>
      </c>
      <c r="B207" s="1041"/>
      <c r="C207" s="1050"/>
      <c r="D207" s="1050"/>
      <c r="E207" s="1050"/>
      <c r="F207" s="1049"/>
      <c r="G207" s="1049"/>
      <c r="H207" s="1049"/>
      <c r="I207" s="1049"/>
      <c r="J207" s="1050"/>
      <c r="K207" s="1050"/>
      <c r="L207" s="1043"/>
      <c r="M207" s="1051"/>
      <c r="N207" s="1051"/>
      <c r="O207" s="1052"/>
      <c r="P207" s="1051"/>
      <c r="Q207" s="1051"/>
      <c r="R207" s="1052"/>
      <c r="S207" s="1051"/>
      <c r="T207" s="1051"/>
      <c r="U207" s="1052"/>
      <c r="V207" s="1051"/>
      <c r="W207" s="1051"/>
      <c r="X207" s="1052"/>
      <c r="Y207" s="1053"/>
      <c r="Z207" s="1051"/>
      <c r="AA207" s="1051"/>
      <c r="AB207" s="1052"/>
      <c r="AC207" s="1051"/>
      <c r="AD207" s="1051"/>
      <c r="AE207" s="1052"/>
      <c r="AF207" s="1051"/>
      <c r="AG207" s="1051"/>
      <c r="AH207" s="1051"/>
      <c r="AI207" s="1051"/>
      <c r="AJ207" s="1052"/>
      <c r="AK207" s="1051"/>
      <c r="AL207" s="1051"/>
      <c r="AM207" s="1052"/>
      <c r="AN207" s="1051"/>
      <c r="AO207" s="1051"/>
      <c r="AP207" s="1052"/>
      <c r="AQ207" s="1051"/>
      <c r="AR207" s="1051"/>
      <c r="AS207" s="1052"/>
      <c r="AT207" s="1051"/>
      <c r="AU207" s="1051"/>
      <c r="AV207" s="1052"/>
      <c r="AW207" s="1051"/>
      <c r="AX207" s="1051"/>
      <c r="AY207" s="1053"/>
      <c r="AZ207" s="1051"/>
      <c r="BA207" s="1051"/>
      <c r="BB207" s="1053"/>
      <c r="BC207" s="1051"/>
      <c r="BD207" s="1051"/>
      <c r="BE207" s="1053"/>
      <c r="BF207" s="1051"/>
      <c r="BG207" s="1051"/>
      <c r="BH207" s="1053"/>
      <c r="BI207" s="1052"/>
      <c r="BJ207" s="1052"/>
      <c r="BK207" s="1052"/>
      <c r="BL207" s="1052"/>
      <c r="BM207" s="1052"/>
      <c r="BN207" s="1054"/>
      <c r="BO207" s="1076">
        <f t="shared" si="4"/>
        <v>0</v>
      </c>
      <c r="BP207" s="1051"/>
      <c r="BQ207" s="1052"/>
      <c r="BR207" s="1054"/>
      <c r="BS207" s="1053"/>
      <c r="BT207" s="1051"/>
      <c r="BU207" s="1051"/>
      <c r="BV207" s="1051"/>
      <c r="BW207" s="1052"/>
      <c r="BX207" s="1052"/>
      <c r="BY207" s="1052"/>
      <c r="BZ207" s="1052"/>
      <c r="CA207" s="1052"/>
      <c r="CB207" s="1053"/>
      <c r="CC207" s="1053"/>
      <c r="CD207" s="1053"/>
      <c r="CE207" s="1053"/>
      <c r="CF207" s="1053"/>
      <c r="CG207" s="1053"/>
      <c r="CH207" s="1053"/>
      <c r="CI207" s="1123"/>
      <c r="CJ207" s="1123"/>
      <c r="CK207" s="1123"/>
      <c r="CL207" s="1123"/>
      <c r="CM207" s="1123"/>
      <c r="CN207" s="1123"/>
      <c r="CO207" s="1123"/>
      <c r="CP207" s="1123"/>
      <c r="CQ207" s="1123"/>
      <c r="CR207" s="1123"/>
      <c r="CS207" s="1123"/>
      <c r="CT207" s="1123"/>
      <c r="CU207" s="1123"/>
      <c r="CV207" s="1123"/>
      <c r="CW207" s="1123"/>
      <c r="CX207" s="1123"/>
      <c r="CY207" s="1123"/>
      <c r="CZ207" s="1114"/>
      <c r="DA207" s="1114"/>
      <c r="DB207" s="1114"/>
      <c r="DC207" s="1114"/>
      <c r="DD207" s="1114"/>
      <c r="DE207" s="1114"/>
      <c r="DF207" s="1114"/>
      <c r="DG207" s="1114"/>
      <c r="DH207" s="1114"/>
      <c r="DI207" s="1114"/>
      <c r="DJ207" s="1114"/>
      <c r="DK207" s="1114"/>
      <c r="DL207" s="1114"/>
      <c r="DM207" s="1114"/>
      <c r="DN207" s="1114"/>
      <c r="DO207" s="1114"/>
      <c r="DP207" s="1114"/>
      <c r="DQ207" s="1114"/>
      <c r="DR207" s="1114"/>
      <c r="DS207" s="1114"/>
      <c r="DT207" s="1114"/>
      <c r="DU207" s="1114"/>
      <c r="DV207" s="1115"/>
      <c r="DW207" s="1116"/>
      <c r="DX207" s="1116"/>
      <c r="DY207" s="1116"/>
      <c r="DZ207" s="1116"/>
      <c r="EA207" s="1116"/>
      <c r="EB207" s="1116"/>
      <c r="EC207" s="1116"/>
      <c r="ED207" s="1116"/>
      <c r="EE207" s="1116"/>
      <c r="EF207" s="1116"/>
      <c r="EG207" s="1116"/>
      <c r="EH207" s="1116"/>
      <c r="EI207" s="1116"/>
      <c r="EJ207" s="1116"/>
      <c r="EK207" s="1116"/>
      <c r="EL207" s="1116"/>
      <c r="EM207" s="1116"/>
      <c r="EN207" s="1116"/>
      <c r="EO207" s="1116"/>
      <c r="EP207" s="1116"/>
      <c r="EQ207" s="1116"/>
      <c r="ER207" s="1116"/>
      <c r="ES207" s="1116"/>
    </row>
    <row r="208" spans="1:149" ht="15" customHeight="1">
      <c r="A208" s="1185">
        <v>198</v>
      </c>
      <c r="B208" s="1041"/>
      <c r="C208" s="1050"/>
      <c r="D208" s="1050"/>
      <c r="E208" s="1050"/>
      <c r="F208" s="1049"/>
      <c r="G208" s="1049"/>
      <c r="H208" s="1049"/>
      <c r="I208" s="1049"/>
      <c r="J208" s="1050"/>
      <c r="K208" s="1050"/>
      <c r="L208" s="1043"/>
      <c r="M208" s="1051"/>
      <c r="N208" s="1051"/>
      <c r="O208" s="1052"/>
      <c r="P208" s="1051"/>
      <c r="Q208" s="1051"/>
      <c r="R208" s="1052"/>
      <c r="S208" s="1051"/>
      <c r="T208" s="1051"/>
      <c r="U208" s="1052"/>
      <c r="V208" s="1051"/>
      <c r="W208" s="1051"/>
      <c r="X208" s="1052"/>
      <c r="Y208" s="1053"/>
      <c r="Z208" s="1051"/>
      <c r="AA208" s="1051"/>
      <c r="AB208" s="1052"/>
      <c r="AC208" s="1051"/>
      <c r="AD208" s="1051"/>
      <c r="AE208" s="1052"/>
      <c r="AF208" s="1051"/>
      <c r="AG208" s="1051"/>
      <c r="AH208" s="1051"/>
      <c r="AI208" s="1051"/>
      <c r="AJ208" s="1052"/>
      <c r="AK208" s="1051"/>
      <c r="AL208" s="1051"/>
      <c r="AM208" s="1052"/>
      <c r="AN208" s="1051"/>
      <c r="AO208" s="1051"/>
      <c r="AP208" s="1052"/>
      <c r="AQ208" s="1051"/>
      <c r="AR208" s="1051"/>
      <c r="AS208" s="1052"/>
      <c r="AT208" s="1051"/>
      <c r="AU208" s="1051"/>
      <c r="AV208" s="1052"/>
      <c r="AW208" s="1051"/>
      <c r="AX208" s="1051"/>
      <c r="AY208" s="1053"/>
      <c r="AZ208" s="1051"/>
      <c r="BA208" s="1051"/>
      <c r="BB208" s="1053"/>
      <c r="BC208" s="1051"/>
      <c r="BD208" s="1051"/>
      <c r="BE208" s="1053"/>
      <c r="BF208" s="1051"/>
      <c r="BG208" s="1051"/>
      <c r="BH208" s="1053"/>
      <c r="BI208" s="1052"/>
      <c r="BJ208" s="1052"/>
      <c r="BK208" s="1052"/>
      <c r="BL208" s="1052"/>
      <c r="BM208" s="1052"/>
      <c r="BN208" s="1054"/>
      <c r="BO208" s="1076">
        <f t="shared" si="4"/>
        <v>0</v>
      </c>
      <c r="BP208" s="1051"/>
      <c r="BQ208" s="1052"/>
      <c r="BR208" s="1054"/>
      <c r="BS208" s="1053"/>
      <c r="BT208" s="1051"/>
      <c r="BU208" s="1051"/>
      <c r="BV208" s="1051"/>
      <c r="BW208" s="1052"/>
      <c r="BX208" s="1052"/>
      <c r="BY208" s="1052"/>
      <c r="BZ208" s="1052"/>
      <c r="CA208" s="1052"/>
      <c r="CB208" s="1053"/>
      <c r="CC208" s="1053"/>
      <c r="CD208" s="1053"/>
      <c r="CE208" s="1053"/>
      <c r="CF208" s="1053"/>
      <c r="CG208" s="1053"/>
      <c r="CH208" s="1053"/>
      <c r="CI208" s="1123"/>
      <c r="CJ208" s="1123"/>
      <c r="CK208" s="1123"/>
      <c r="CL208" s="1123"/>
      <c r="CM208" s="1123"/>
      <c r="CN208" s="1123"/>
      <c r="CO208" s="1123"/>
      <c r="CP208" s="1123"/>
      <c r="CQ208" s="1123"/>
      <c r="CR208" s="1123"/>
      <c r="CS208" s="1123"/>
      <c r="CT208" s="1123"/>
      <c r="CU208" s="1123"/>
      <c r="CV208" s="1123"/>
      <c r="CW208" s="1123"/>
      <c r="CX208" s="1123"/>
      <c r="CY208" s="1123"/>
      <c r="CZ208" s="1114"/>
      <c r="DA208" s="1114"/>
      <c r="DB208" s="1114"/>
      <c r="DC208" s="1114"/>
      <c r="DD208" s="1114"/>
      <c r="DE208" s="1114"/>
      <c r="DF208" s="1114"/>
      <c r="DG208" s="1114"/>
      <c r="DH208" s="1114"/>
      <c r="DI208" s="1114"/>
      <c r="DJ208" s="1114"/>
      <c r="DK208" s="1114"/>
      <c r="DL208" s="1114"/>
      <c r="DM208" s="1114"/>
      <c r="DN208" s="1114"/>
      <c r="DO208" s="1114"/>
      <c r="DP208" s="1114"/>
      <c r="DQ208" s="1114"/>
      <c r="DR208" s="1114"/>
      <c r="DS208" s="1114"/>
      <c r="DT208" s="1114"/>
      <c r="DU208" s="1114"/>
      <c r="DV208" s="1115"/>
      <c r="DW208" s="1116"/>
      <c r="DX208" s="1116"/>
      <c r="DY208" s="1116"/>
      <c r="DZ208" s="1116"/>
      <c r="EA208" s="1116"/>
      <c r="EB208" s="1116"/>
      <c r="EC208" s="1116"/>
      <c r="ED208" s="1116"/>
      <c r="EE208" s="1116"/>
      <c r="EF208" s="1116"/>
      <c r="EG208" s="1116"/>
      <c r="EH208" s="1116"/>
      <c r="EI208" s="1116"/>
      <c r="EJ208" s="1116"/>
      <c r="EK208" s="1116"/>
      <c r="EL208" s="1116"/>
      <c r="EM208" s="1116"/>
      <c r="EN208" s="1116"/>
      <c r="EO208" s="1116"/>
      <c r="EP208" s="1116"/>
      <c r="EQ208" s="1116"/>
      <c r="ER208" s="1116"/>
      <c r="ES208" s="1116"/>
    </row>
    <row r="209" spans="1:149" ht="15" customHeight="1">
      <c r="A209" s="1185">
        <v>199</v>
      </c>
      <c r="B209" s="1041"/>
      <c r="C209" s="1050"/>
      <c r="D209" s="1050"/>
      <c r="E209" s="1050"/>
      <c r="F209" s="1049"/>
      <c r="G209" s="1049"/>
      <c r="H209" s="1049"/>
      <c r="I209" s="1049"/>
      <c r="J209" s="1050"/>
      <c r="K209" s="1050"/>
      <c r="L209" s="1043"/>
      <c r="M209" s="1051"/>
      <c r="N209" s="1051"/>
      <c r="O209" s="1052"/>
      <c r="P209" s="1051"/>
      <c r="Q209" s="1051"/>
      <c r="R209" s="1052"/>
      <c r="S209" s="1051"/>
      <c r="T209" s="1051"/>
      <c r="U209" s="1052"/>
      <c r="V209" s="1051"/>
      <c r="W209" s="1051"/>
      <c r="X209" s="1052"/>
      <c r="Y209" s="1053"/>
      <c r="Z209" s="1051"/>
      <c r="AA209" s="1051"/>
      <c r="AB209" s="1052"/>
      <c r="AC209" s="1051"/>
      <c r="AD209" s="1051"/>
      <c r="AE209" s="1052"/>
      <c r="AF209" s="1051"/>
      <c r="AG209" s="1051"/>
      <c r="AH209" s="1051"/>
      <c r="AI209" s="1051"/>
      <c r="AJ209" s="1052"/>
      <c r="AK209" s="1051"/>
      <c r="AL209" s="1051"/>
      <c r="AM209" s="1052"/>
      <c r="AN209" s="1051"/>
      <c r="AO209" s="1051"/>
      <c r="AP209" s="1052"/>
      <c r="AQ209" s="1051"/>
      <c r="AR209" s="1051"/>
      <c r="AS209" s="1052"/>
      <c r="AT209" s="1051"/>
      <c r="AU209" s="1051"/>
      <c r="AV209" s="1052"/>
      <c r="AW209" s="1051"/>
      <c r="AX209" s="1051"/>
      <c r="AY209" s="1053"/>
      <c r="AZ209" s="1051"/>
      <c r="BA209" s="1051"/>
      <c r="BB209" s="1053"/>
      <c r="BC209" s="1051"/>
      <c r="BD209" s="1051"/>
      <c r="BE209" s="1053"/>
      <c r="BF209" s="1051"/>
      <c r="BG209" s="1051"/>
      <c r="BH209" s="1053"/>
      <c r="BI209" s="1052"/>
      <c r="BJ209" s="1052"/>
      <c r="BK209" s="1052"/>
      <c r="BL209" s="1052"/>
      <c r="BM209" s="1052"/>
      <c r="BN209" s="1054"/>
      <c r="BO209" s="1076">
        <f t="shared" si="4"/>
        <v>0</v>
      </c>
      <c r="BP209" s="1051"/>
      <c r="BQ209" s="1052"/>
      <c r="BR209" s="1054"/>
      <c r="BS209" s="1053"/>
      <c r="BT209" s="1051"/>
      <c r="BU209" s="1051"/>
      <c r="BV209" s="1051"/>
      <c r="BW209" s="1052"/>
      <c r="BX209" s="1052"/>
      <c r="BY209" s="1052"/>
      <c r="BZ209" s="1052"/>
      <c r="CA209" s="1052"/>
      <c r="CB209" s="1053"/>
      <c r="CC209" s="1053"/>
      <c r="CD209" s="1053"/>
      <c r="CE209" s="1053"/>
      <c r="CF209" s="1053"/>
      <c r="CG209" s="1053"/>
      <c r="CH209" s="1053"/>
      <c r="CI209" s="1123"/>
      <c r="CJ209" s="1123"/>
      <c r="CK209" s="1123"/>
      <c r="CL209" s="1123"/>
      <c r="CM209" s="1123"/>
      <c r="CN209" s="1123"/>
      <c r="CO209" s="1123"/>
      <c r="CP209" s="1123"/>
      <c r="CQ209" s="1123"/>
      <c r="CR209" s="1123"/>
      <c r="CS209" s="1123"/>
      <c r="CT209" s="1123"/>
      <c r="CU209" s="1123"/>
      <c r="CV209" s="1123"/>
      <c r="CW209" s="1123"/>
      <c r="CX209" s="1123"/>
      <c r="CY209" s="1123"/>
      <c r="CZ209" s="1114"/>
      <c r="DA209" s="1114"/>
      <c r="DB209" s="1114"/>
      <c r="DC209" s="1114"/>
      <c r="DD209" s="1114"/>
      <c r="DE209" s="1114"/>
      <c r="DF209" s="1114"/>
      <c r="DG209" s="1114"/>
      <c r="DH209" s="1114"/>
      <c r="DI209" s="1114"/>
      <c r="DJ209" s="1114"/>
      <c r="DK209" s="1114"/>
      <c r="DL209" s="1114"/>
      <c r="DM209" s="1114"/>
      <c r="DN209" s="1114"/>
      <c r="DO209" s="1114"/>
      <c r="DP209" s="1114"/>
      <c r="DQ209" s="1114"/>
      <c r="DR209" s="1114"/>
      <c r="DS209" s="1114"/>
      <c r="DT209" s="1114"/>
      <c r="DU209" s="1114"/>
      <c r="DV209" s="1115"/>
      <c r="DW209" s="1116"/>
      <c r="DX209" s="1116"/>
      <c r="DY209" s="1116"/>
      <c r="DZ209" s="1116"/>
      <c r="EA209" s="1116"/>
      <c r="EB209" s="1116"/>
      <c r="EC209" s="1116"/>
      <c r="ED209" s="1116"/>
      <c r="EE209" s="1116"/>
      <c r="EF209" s="1116"/>
      <c r="EG209" s="1116"/>
      <c r="EH209" s="1116"/>
      <c r="EI209" s="1116"/>
      <c r="EJ209" s="1116"/>
      <c r="EK209" s="1116"/>
      <c r="EL209" s="1116"/>
      <c r="EM209" s="1116"/>
      <c r="EN209" s="1116"/>
      <c r="EO209" s="1116"/>
      <c r="EP209" s="1116"/>
      <c r="EQ209" s="1116"/>
      <c r="ER209" s="1116"/>
      <c r="ES209" s="1116"/>
    </row>
    <row r="210" spans="1:149" ht="15" customHeight="1">
      <c r="A210" s="1185">
        <v>200</v>
      </c>
      <c r="B210" s="1041"/>
      <c r="C210" s="1050"/>
      <c r="D210" s="1050"/>
      <c r="E210" s="1050"/>
      <c r="F210" s="1049"/>
      <c r="G210" s="1049"/>
      <c r="H210" s="1049"/>
      <c r="I210" s="1049"/>
      <c r="J210" s="1050"/>
      <c r="K210" s="1050"/>
      <c r="L210" s="1043"/>
      <c r="M210" s="1051"/>
      <c r="N210" s="1051"/>
      <c r="O210" s="1052"/>
      <c r="P210" s="1051"/>
      <c r="Q210" s="1051"/>
      <c r="R210" s="1052"/>
      <c r="S210" s="1051"/>
      <c r="T210" s="1051"/>
      <c r="U210" s="1052"/>
      <c r="V210" s="1051"/>
      <c r="W210" s="1051"/>
      <c r="X210" s="1052"/>
      <c r="Y210" s="1053"/>
      <c r="Z210" s="1051"/>
      <c r="AA210" s="1051"/>
      <c r="AB210" s="1052"/>
      <c r="AC210" s="1051"/>
      <c r="AD210" s="1051"/>
      <c r="AE210" s="1052"/>
      <c r="AF210" s="1051"/>
      <c r="AG210" s="1051"/>
      <c r="AH210" s="1051"/>
      <c r="AI210" s="1051"/>
      <c r="AJ210" s="1052"/>
      <c r="AK210" s="1051"/>
      <c r="AL210" s="1051"/>
      <c r="AM210" s="1052"/>
      <c r="AN210" s="1051"/>
      <c r="AO210" s="1051"/>
      <c r="AP210" s="1052"/>
      <c r="AQ210" s="1051"/>
      <c r="AR210" s="1051"/>
      <c r="AS210" s="1052"/>
      <c r="AT210" s="1051"/>
      <c r="AU210" s="1051"/>
      <c r="AV210" s="1052"/>
      <c r="AW210" s="1051"/>
      <c r="AX210" s="1051"/>
      <c r="AY210" s="1053"/>
      <c r="AZ210" s="1051"/>
      <c r="BA210" s="1051"/>
      <c r="BB210" s="1053"/>
      <c r="BC210" s="1051"/>
      <c r="BD210" s="1051"/>
      <c r="BE210" s="1053"/>
      <c r="BF210" s="1051"/>
      <c r="BG210" s="1051"/>
      <c r="BH210" s="1053"/>
      <c r="BI210" s="1052"/>
      <c r="BJ210" s="1052"/>
      <c r="BK210" s="1052"/>
      <c r="BL210" s="1052"/>
      <c r="BM210" s="1052"/>
      <c r="BN210" s="1054"/>
      <c r="BO210" s="1076">
        <f t="shared" si="4"/>
        <v>0</v>
      </c>
      <c r="BP210" s="1051"/>
      <c r="BQ210" s="1052"/>
      <c r="BR210" s="1054"/>
      <c r="BS210" s="1053"/>
      <c r="BT210" s="1051"/>
      <c r="BU210" s="1051"/>
      <c r="BV210" s="1051"/>
      <c r="BW210" s="1052"/>
      <c r="BX210" s="1052"/>
      <c r="BY210" s="1052"/>
      <c r="BZ210" s="1052"/>
      <c r="CA210" s="1052"/>
      <c r="CB210" s="1053"/>
      <c r="CC210" s="1053"/>
      <c r="CD210" s="1053"/>
      <c r="CE210" s="1053"/>
      <c r="CF210" s="1053"/>
      <c r="CG210" s="1053"/>
      <c r="CH210" s="1053"/>
      <c r="CI210" s="1123"/>
      <c r="CJ210" s="1123"/>
      <c r="CK210" s="1123"/>
      <c r="CL210" s="1123"/>
      <c r="CM210" s="1123"/>
      <c r="CN210" s="1123"/>
      <c r="CO210" s="1123"/>
      <c r="CP210" s="1123"/>
      <c r="CQ210" s="1123"/>
      <c r="CR210" s="1123"/>
      <c r="CS210" s="1123"/>
      <c r="CT210" s="1123"/>
      <c r="CU210" s="1123"/>
      <c r="CV210" s="1123"/>
      <c r="CW210" s="1123"/>
      <c r="CX210" s="1123"/>
      <c r="CY210" s="1123"/>
      <c r="CZ210" s="1114"/>
      <c r="DA210" s="1114"/>
      <c r="DB210" s="1114"/>
      <c r="DC210" s="1114"/>
      <c r="DD210" s="1114"/>
      <c r="DE210" s="1114"/>
      <c r="DF210" s="1114"/>
      <c r="DG210" s="1114"/>
      <c r="DH210" s="1114"/>
      <c r="DI210" s="1114"/>
      <c r="DJ210" s="1114"/>
      <c r="DK210" s="1114"/>
      <c r="DL210" s="1114"/>
      <c r="DM210" s="1114"/>
      <c r="DN210" s="1114"/>
      <c r="DO210" s="1114"/>
      <c r="DP210" s="1114"/>
      <c r="DQ210" s="1114"/>
      <c r="DR210" s="1114"/>
      <c r="DS210" s="1114"/>
      <c r="DT210" s="1114"/>
      <c r="DU210" s="1114"/>
      <c r="DV210" s="1115"/>
      <c r="DW210" s="1116"/>
      <c r="DX210" s="1116"/>
      <c r="DY210" s="1116"/>
      <c r="DZ210" s="1116"/>
      <c r="EA210" s="1116"/>
      <c r="EB210" s="1116"/>
      <c r="EC210" s="1116"/>
      <c r="ED210" s="1116"/>
      <c r="EE210" s="1116"/>
      <c r="EF210" s="1116"/>
      <c r="EG210" s="1116"/>
      <c r="EH210" s="1116"/>
      <c r="EI210" s="1116"/>
      <c r="EJ210" s="1116"/>
      <c r="EK210" s="1116"/>
      <c r="EL210" s="1116"/>
      <c r="EM210" s="1116"/>
      <c r="EN210" s="1116"/>
      <c r="EO210" s="1116"/>
      <c r="EP210" s="1116"/>
      <c r="EQ210" s="1116"/>
      <c r="ER210" s="1116"/>
      <c r="ES210" s="1116"/>
    </row>
    <row r="211" spans="1:149" ht="15" customHeight="1">
      <c r="A211" s="1185">
        <v>201</v>
      </c>
      <c r="B211" s="1041"/>
      <c r="C211" s="1050"/>
      <c r="D211" s="1050"/>
      <c r="E211" s="1050"/>
      <c r="F211" s="1049"/>
      <c r="G211" s="1049"/>
      <c r="H211" s="1049"/>
      <c r="I211" s="1049"/>
      <c r="J211" s="1050"/>
      <c r="K211" s="1050"/>
      <c r="L211" s="1043"/>
      <c r="M211" s="1051"/>
      <c r="N211" s="1051"/>
      <c r="O211" s="1052"/>
      <c r="P211" s="1051"/>
      <c r="Q211" s="1051"/>
      <c r="R211" s="1052"/>
      <c r="S211" s="1051"/>
      <c r="T211" s="1051"/>
      <c r="U211" s="1052"/>
      <c r="V211" s="1051"/>
      <c r="W211" s="1051"/>
      <c r="X211" s="1052"/>
      <c r="Y211" s="1053"/>
      <c r="Z211" s="1051"/>
      <c r="AA211" s="1051"/>
      <c r="AB211" s="1052"/>
      <c r="AC211" s="1051"/>
      <c r="AD211" s="1051"/>
      <c r="AE211" s="1052"/>
      <c r="AF211" s="1051"/>
      <c r="AG211" s="1051"/>
      <c r="AH211" s="1051"/>
      <c r="AI211" s="1051"/>
      <c r="AJ211" s="1052"/>
      <c r="AK211" s="1051"/>
      <c r="AL211" s="1051"/>
      <c r="AM211" s="1052"/>
      <c r="AN211" s="1051"/>
      <c r="AO211" s="1051"/>
      <c r="AP211" s="1052"/>
      <c r="AQ211" s="1051"/>
      <c r="AR211" s="1051"/>
      <c r="AS211" s="1052"/>
      <c r="AT211" s="1051"/>
      <c r="AU211" s="1051"/>
      <c r="AV211" s="1052"/>
      <c r="AW211" s="1051"/>
      <c r="AX211" s="1051"/>
      <c r="AY211" s="1053"/>
      <c r="AZ211" s="1051"/>
      <c r="BA211" s="1051"/>
      <c r="BB211" s="1053"/>
      <c r="BC211" s="1051"/>
      <c r="BD211" s="1051"/>
      <c r="BE211" s="1053"/>
      <c r="BF211" s="1051"/>
      <c r="BG211" s="1051"/>
      <c r="BH211" s="1053"/>
      <c r="BI211" s="1052"/>
      <c r="BJ211" s="1052"/>
      <c r="BK211" s="1052"/>
      <c r="BL211" s="1052"/>
      <c r="BM211" s="1052"/>
      <c r="BN211" s="1054"/>
      <c r="BO211" s="1076">
        <f t="shared" si="4"/>
        <v>0</v>
      </c>
      <c r="BP211" s="1051"/>
      <c r="BQ211" s="1052"/>
      <c r="BR211" s="1054"/>
      <c r="BS211" s="1053"/>
      <c r="BT211" s="1051"/>
      <c r="BU211" s="1051"/>
      <c r="BV211" s="1051"/>
      <c r="BW211" s="1052"/>
      <c r="BX211" s="1052"/>
      <c r="BY211" s="1052"/>
      <c r="BZ211" s="1052"/>
      <c r="CA211" s="1052"/>
      <c r="CB211" s="1053"/>
      <c r="CC211" s="1053"/>
      <c r="CD211" s="1053"/>
      <c r="CE211" s="1053"/>
      <c r="CF211" s="1053"/>
      <c r="CG211" s="1053"/>
      <c r="CH211" s="1053"/>
      <c r="CI211" s="1123"/>
      <c r="CJ211" s="1123"/>
      <c r="CK211" s="1123"/>
      <c r="CL211" s="1123"/>
      <c r="CM211" s="1123"/>
      <c r="CN211" s="1123"/>
      <c r="CO211" s="1123"/>
      <c r="CP211" s="1123"/>
      <c r="CQ211" s="1123"/>
      <c r="CR211" s="1123"/>
      <c r="CS211" s="1123"/>
      <c r="CT211" s="1123"/>
      <c r="CU211" s="1123"/>
      <c r="CV211" s="1123"/>
      <c r="CW211" s="1123"/>
      <c r="CX211" s="1123"/>
      <c r="CY211" s="1123"/>
      <c r="CZ211" s="1114"/>
      <c r="DA211" s="1114"/>
      <c r="DB211" s="1114"/>
      <c r="DC211" s="1114"/>
      <c r="DD211" s="1114"/>
      <c r="DE211" s="1114"/>
      <c r="DF211" s="1114"/>
      <c r="DG211" s="1114"/>
      <c r="DH211" s="1114"/>
      <c r="DI211" s="1114"/>
      <c r="DJ211" s="1114"/>
      <c r="DK211" s="1114"/>
      <c r="DL211" s="1114"/>
      <c r="DM211" s="1114"/>
      <c r="DN211" s="1114"/>
      <c r="DO211" s="1114"/>
      <c r="DP211" s="1114"/>
      <c r="DQ211" s="1114"/>
      <c r="DR211" s="1114"/>
      <c r="DS211" s="1114"/>
      <c r="DT211" s="1114"/>
      <c r="DU211" s="1114"/>
      <c r="DV211" s="1115"/>
      <c r="DW211" s="1116"/>
      <c r="DX211" s="1116"/>
      <c r="DY211" s="1116"/>
      <c r="DZ211" s="1116"/>
      <c r="EA211" s="1116"/>
      <c r="EB211" s="1116"/>
      <c r="EC211" s="1116"/>
      <c r="ED211" s="1116"/>
      <c r="EE211" s="1116"/>
      <c r="EF211" s="1116"/>
      <c r="EG211" s="1116"/>
      <c r="EH211" s="1116"/>
      <c r="EI211" s="1116"/>
      <c r="EJ211" s="1116"/>
      <c r="EK211" s="1116"/>
      <c r="EL211" s="1116"/>
      <c r="EM211" s="1116"/>
      <c r="EN211" s="1116"/>
      <c r="EO211" s="1116"/>
      <c r="EP211" s="1116"/>
      <c r="EQ211" s="1116"/>
      <c r="ER211" s="1116"/>
      <c r="ES211" s="1116"/>
    </row>
    <row r="212" spans="1:149" ht="15" customHeight="1">
      <c r="A212" s="1185">
        <v>202</v>
      </c>
      <c r="B212" s="1041"/>
      <c r="C212" s="1050"/>
      <c r="D212" s="1050"/>
      <c r="E212" s="1050"/>
      <c r="F212" s="1049"/>
      <c r="G212" s="1049"/>
      <c r="H212" s="1049"/>
      <c r="I212" s="1049"/>
      <c r="J212" s="1050"/>
      <c r="K212" s="1050"/>
      <c r="L212" s="1043"/>
      <c r="M212" s="1051"/>
      <c r="N212" s="1051"/>
      <c r="O212" s="1052"/>
      <c r="P212" s="1051"/>
      <c r="Q212" s="1051"/>
      <c r="R212" s="1052"/>
      <c r="S212" s="1051"/>
      <c r="T212" s="1051"/>
      <c r="U212" s="1052"/>
      <c r="V212" s="1051"/>
      <c r="W212" s="1051"/>
      <c r="X212" s="1052"/>
      <c r="Y212" s="1053"/>
      <c r="Z212" s="1051"/>
      <c r="AA212" s="1051"/>
      <c r="AB212" s="1052"/>
      <c r="AC212" s="1051"/>
      <c r="AD212" s="1051"/>
      <c r="AE212" s="1052"/>
      <c r="AF212" s="1051"/>
      <c r="AG212" s="1051"/>
      <c r="AH212" s="1051"/>
      <c r="AI212" s="1051"/>
      <c r="AJ212" s="1052"/>
      <c r="AK212" s="1051"/>
      <c r="AL212" s="1051"/>
      <c r="AM212" s="1052"/>
      <c r="AN212" s="1051"/>
      <c r="AO212" s="1051"/>
      <c r="AP212" s="1052"/>
      <c r="AQ212" s="1051"/>
      <c r="AR212" s="1051"/>
      <c r="AS212" s="1052"/>
      <c r="AT212" s="1051"/>
      <c r="AU212" s="1051"/>
      <c r="AV212" s="1052"/>
      <c r="AW212" s="1051"/>
      <c r="AX212" s="1051"/>
      <c r="AY212" s="1053"/>
      <c r="AZ212" s="1051"/>
      <c r="BA212" s="1051"/>
      <c r="BB212" s="1053"/>
      <c r="BC212" s="1051"/>
      <c r="BD212" s="1051"/>
      <c r="BE212" s="1053"/>
      <c r="BF212" s="1051"/>
      <c r="BG212" s="1051"/>
      <c r="BH212" s="1053"/>
      <c r="BI212" s="1052"/>
      <c r="BJ212" s="1052"/>
      <c r="BK212" s="1052"/>
      <c r="BL212" s="1052"/>
      <c r="BM212" s="1052"/>
      <c r="BN212" s="1054"/>
      <c r="BO212" s="1076">
        <f t="shared" si="4"/>
        <v>0</v>
      </c>
      <c r="BP212" s="1051"/>
      <c r="BQ212" s="1052"/>
      <c r="BR212" s="1054"/>
      <c r="BS212" s="1053"/>
      <c r="BT212" s="1051"/>
      <c r="BU212" s="1051"/>
      <c r="BV212" s="1051"/>
      <c r="BW212" s="1052"/>
      <c r="BX212" s="1052"/>
      <c r="BY212" s="1052"/>
      <c r="BZ212" s="1052"/>
      <c r="CA212" s="1052"/>
      <c r="CB212" s="1053"/>
      <c r="CC212" s="1053"/>
      <c r="CD212" s="1053"/>
      <c r="CE212" s="1053"/>
      <c r="CF212" s="1053"/>
      <c r="CG212" s="1053"/>
      <c r="CH212" s="1053"/>
      <c r="CI212" s="1123"/>
      <c r="CJ212" s="1123"/>
      <c r="CK212" s="1123"/>
      <c r="CL212" s="1123"/>
      <c r="CM212" s="1123"/>
      <c r="CN212" s="1123"/>
      <c r="CO212" s="1123"/>
      <c r="CP212" s="1123"/>
      <c r="CQ212" s="1123"/>
      <c r="CR212" s="1123"/>
      <c r="CS212" s="1123"/>
      <c r="CT212" s="1123"/>
      <c r="CU212" s="1123"/>
      <c r="CV212" s="1123"/>
      <c r="CW212" s="1123"/>
      <c r="CX212" s="1123"/>
      <c r="CY212" s="1123"/>
      <c r="CZ212" s="1114"/>
      <c r="DA212" s="1114"/>
      <c r="DB212" s="1114"/>
      <c r="DC212" s="1114"/>
      <c r="DD212" s="1114"/>
      <c r="DE212" s="1114"/>
      <c r="DF212" s="1114"/>
      <c r="DG212" s="1114"/>
      <c r="DH212" s="1114"/>
      <c r="DI212" s="1114"/>
      <c r="DJ212" s="1114"/>
      <c r="DK212" s="1114"/>
      <c r="DL212" s="1114"/>
      <c r="DM212" s="1114"/>
      <c r="DN212" s="1114"/>
      <c r="DO212" s="1114"/>
      <c r="DP212" s="1114"/>
      <c r="DQ212" s="1114"/>
      <c r="DR212" s="1114"/>
      <c r="DS212" s="1114"/>
      <c r="DT212" s="1114"/>
      <c r="DU212" s="1114"/>
      <c r="DV212" s="1115"/>
      <c r="DW212" s="1116"/>
      <c r="DX212" s="1116"/>
      <c r="DY212" s="1116"/>
      <c r="DZ212" s="1116"/>
      <c r="EA212" s="1116"/>
      <c r="EB212" s="1116"/>
      <c r="EC212" s="1116"/>
      <c r="ED212" s="1116"/>
      <c r="EE212" s="1116"/>
      <c r="EF212" s="1116"/>
      <c r="EG212" s="1116"/>
      <c r="EH212" s="1116"/>
      <c r="EI212" s="1116"/>
      <c r="EJ212" s="1116"/>
      <c r="EK212" s="1116"/>
      <c r="EL212" s="1116"/>
      <c r="EM212" s="1116"/>
      <c r="EN212" s="1116"/>
      <c r="EO212" s="1116"/>
      <c r="EP212" s="1116"/>
      <c r="EQ212" s="1116"/>
      <c r="ER212" s="1116"/>
      <c r="ES212" s="1116"/>
    </row>
    <row r="213" spans="1:149" ht="15" customHeight="1">
      <c r="A213" s="1185">
        <v>203</v>
      </c>
      <c r="B213" s="1041"/>
      <c r="C213" s="1050"/>
      <c r="D213" s="1050"/>
      <c r="E213" s="1050"/>
      <c r="F213" s="1049"/>
      <c r="G213" s="1049"/>
      <c r="H213" s="1049"/>
      <c r="I213" s="1049"/>
      <c r="J213" s="1050"/>
      <c r="K213" s="1050"/>
      <c r="L213" s="1043"/>
      <c r="M213" s="1051"/>
      <c r="N213" s="1051"/>
      <c r="O213" s="1052"/>
      <c r="P213" s="1051"/>
      <c r="Q213" s="1051"/>
      <c r="R213" s="1052"/>
      <c r="S213" s="1051"/>
      <c r="T213" s="1051"/>
      <c r="U213" s="1052"/>
      <c r="V213" s="1051"/>
      <c r="W213" s="1051"/>
      <c r="X213" s="1052"/>
      <c r="Y213" s="1053"/>
      <c r="Z213" s="1051"/>
      <c r="AA213" s="1051"/>
      <c r="AB213" s="1052"/>
      <c r="AC213" s="1051"/>
      <c r="AD213" s="1051"/>
      <c r="AE213" s="1052"/>
      <c r="AF213" s="1051"/>
      <c r="AG213" s="1051"/>
      <c r="AH213" s="1051"/>
      <c r="AI213" s="1051"/>
      <c r="AJ213" s="1052"/>
      <c r="AK213" s="1051"/>
      <c r="AL213" s="1051"/>
      <c r="AM213" s="1052"/>
      <c r="AN213" s="1051"/>
      <c r="AO213" s="1051"/>
      <c r="AP213" s="1052"/>
      <c r="AQ213" s="1051"/>
      <c r="AR213" s="1051"/>
      <c r="AS213" s="1052"/>
      <c r="AT213" s="1051"/>
      <c r="AU213" s="1051"/>
      <c r="AV213" s="1052"/>
      <c r="AW213" s="1051"/>
      <c r="AX213" s="1051"/>
      <c r="AY213" s="1053"/>
      <c r="AZ213" s="1051"/>
      <c r="BA213" s="1051"/>
      <c r="BB213" s="1053"/>
      <c r="BC213" s="1051"/>
      <c r="BD213" s="1051"/>
      <c r="BE213" s="1053"/>
      <c r="BF213" s="1051"/>
      <c r="BG213" s="1051"/>
      <c r="BH213" s="1053"/>
      <c r="BI213" s="1052"/>
      <c r="BJ213" s="1052"/>
      <c r="BK213" s="1052"/>
      <c r="BL213" s="1052"/>
      <c r="BM213" s="1052"/>
      <c r="BN213" s="1054"/>
      <c r="BO213" s="1076">
        <f t="shared" si="4"/>
        <v>0</v>
      </c>
      <c r="BP213" s="1051"/>
      <c r="BQ213" s="1052"/>
      <c r="BR213" s="1054"/>
      <c r="BS213" s="1053"/>
      <c r="BT213" s="1051"/>
      <c r="BU213" s="1051"/>
      <c r="BV213" s="1051"/>
      <c r="BW213" s="1052"/>
      <c r="BX213" s="1052"/>
      <c r="BY213" s="1052"/>
      <c r="BZ213" s="1052"/>
      <c r="CA213" s="1052"/>
      <c r="CB213" s="1053"/>
      <c r="CC213" s="1053"/>
      <c r="CD213" s="1053"/>
      <c r="CE213" s="1053"/>
      <c r="CF213" s="1053"/>
      <c r="CG213" s="1053"/>
      <c r="CH213" s="1053"/>
      <c r="CI213" s="1123"/>
      <c r="CJ213" s="1123"/>
      <c r="CK213" s="1123"/>
      <c r="CL213" s="1123"/>
      <c r="CM213" s="1123"/>
      <c r="CN213" s="1123"/>
      <c r="CO213" s="1123"/>
      <c r="CP213" s="1123"/>
      <c r="CQ213" s="1123"/>
      <c r="CR213" s="1123"/>
      <c r="CS213" s="1123"/>
      <c r="CT213" s="1123"/>
      <c r="CU213" s="1123"/>
      <c r="CV213" s="1123"/>
      <c r="CW213" s="1123"/>
      <c r="CX213" s="1123"/>
      <c r="CY213" s="1123"/>
      <c r="CZ213" s="1114"/>
      <c r="DA213" s="1114"/>
      <c r="DB213" s="1114"/>
      <c r="DC213" s="1114"/>
      <c r="DD213" s="1114"/>
      <c r="DE213" s="1114"/>
      <c r="DF213" s="1114"/>
      <c r="DG213" s="1114"/>
      <c r="DH213" s="1114"/>
      <c r="DI213" s="1114"/>
      <c r="DJ213" s="1114"/>
      <c r="DK213" s="1114"/>
      <c r="DL213" s="1114"/>
      <c r="DM213" s="1114"/>
      <c r="DN213" s="1114"/>
      <c r="DO213" s="1114"/>
      <c r="DP213" s="1114"/>
      <c r="DQ213" s="1114"/>
      <c r="DR213" s="1114"/>
      <c r="DS213" s="1114"/>
      <c r="DT213" s="1114"/>
      <c r="DU213" s="1114"/>
      <c r="DV213" s="1115"/>
      <c r="DW213" s="1116"/>
      <c r="DX213" s="1116"/>
      <c r="DY213" s="1116"/>
      <c r="DZ213" s="1116"/>
      <c r="EA213" s="1116"/>
      <c r="EB213" s="1116"/>
      <c r="EC213" s="1116"/>
      <c r="ED213" s="1116"/>
      <c r="EE213" s="1116"/>
      <c r="EF213" s="1116"/>
      <c r="EG213" s="1116"/>
      <c r="EH213" s="1116"/>
      <c r="EI213" s="1116"/>
      <c r="EJ213" s="1116"/>
      <c r="EK213" s="1116"/>
      <c r="EL213" s="1116"/>
      <c r="EM213" s="1116"/>
      <c r="EN213" s="1116"/>
      <c r="EO213" s="1116"/>
      <c r="EP213" s="1116"/>
      <c r="EQ213" s="1116"/>
      <c r="ER213" s="1116"/>
      <c r="ES213" s="1116"/>
    </row>
    <row r="214" spans="1:149" ht="15" customHeight="1">
      <c r="A214" s="1185">
        <v>204</v>
      </c>
      <c r="B214" s="1041"/>
      <c r="C214" s="1050"/>
      <c r="D214" s="1050"/>
      <c r="E214" s="1050"/>
      <c r="F214" s="1049"/>
      <c r="G214" s="1049"/>
      <c r="H214" s="1049"/>
      <c r="I214" s="1049"/>
      <c r="J214" s="1050"/>
      <c r="K214" s="1050"/>
      <c r="L214" s="1043"/>
      <c r="M214" s="1051"/>
      <c r="N214" s="1051"/>
      <c r="O214" s="1052"/>
      <c r="P214" s="1051"/>
      <c r="Q214" s="1051"/>
      <c r="R214" s="1052"/>
      <c r="S214" s="1051"/>
      <c r="T214" s="1051"/>
      <c r="U214" s="1052"/>
      <c r="V214" s="1051"/>
      <c r="W214" s="1051"/>
      <c r="X214" s="1052"/>
      <c r="Y214" s="1053"/>
      <c r="Z214" s="1051"/>
      <c r="AA214" s="1051"/>
      <c r="AB214" s="1052"/>
      <c r="AC214" s="1051"/>
      <c r="AD214" s="1051"/>
      <c r="AE214" s="1052"/>
      <c r="AF214" s="1051"/>
      <c r="AG214" s="1051"/>
      <c r="AH214" s="1051"/>
      <c r="AI214" s="1051"/>
      <c r="AJ214" s="1052"/>
      <c r="AK214" s="1051"/>
      <c r="AL214" s="1051"/>
      <c r="AM214" s="1052"/>
      <c r="AN214" s="1051"/>
      <c r="AO214" s="1051"/>
      <c r="AP214" s="1052"/>
      <c r="AQ214" s="1051"/>
      <c r="AR214" s="1051"/>
      <c r="AS214" s="1052"/>
      <c r="AT214" s="1051"/>
      <c r="AU214" s="1051"/>
      <c r="AV214" s="1052"/>
      <c r="AW214" s="1051"/>
      <c r="AX214" s="1051"/>
      <c r="AY214" s="1053"/>
      <c r="AZ214" s="1051"/>
      <c r="BA214" s="1051"/>
      <c r="BB214" s="1053"/>
      <c r="BC214" s="1051"/>
      <c r="BD214" s="1051"/>
      <c r="BE214" s="1053"/>
      <c r="BF214" s="1051"/>
      <c r="BG214" s="1051"/>
      <c r="BH214" s="1053"/>
      <c r="BI214" s="1052"/>
      <c r="BJ214" s="1052"/>
      <c r="BK214" s="1052"/>
      <c r="BL214" s="1052"/>
      <c r="BM214" s="1052"/>
      <c r="BN214" s="1054"/>
      <c r="BO214" s="1076">
        <f t="shared" si="4"/>
        <v>0</v>
      </c>
      <c r="BP214" s="1051"/>
      <c r="BQ214" s="1052"/>
      <c r="BR214" s="1054"/>
      <c r="BS214" s="1053"/>
      <c r="BT214" s="1051"/>
      <c r="BU214" s="1051"/>
      <c r="BV214" s="1051"/>
      <c r="BW214" s="1052"/>
      <c r="BX214" s="1052"/>
      <c r="BY214" s="1052"/>
      <c r="BZ214" s="1052"/>
      <c r="CA214" s="1052"/>
      <c r="CB214" s="1053"/>
      <c r="CC214" s="1053"/>
      <c r="CD214" s="1053"/>
      <c r="CE214" s="1053"/>
      <c r="CF214" s="1053"/>
      <c r="CG214" s="1053"/>
      <c r="CH214" s="1053"/>
      <c r="CI214" s="1123"/>
      <c r="CJ214" s="1123"/>
      <c r="CK214" s="1123"/>
      <c r="CL214" s="1123"/>
      <c r="CM214" s="1123"/>
      <c r="CN214" s="1123"/>
      <c r="CO214" s="1123"/>
      <c r="CP214" s="1123"/>
      <c r="CQ214" s="1123"/>
      <c r="CR214" s="1123"/>
      <c r="CS214" s="1123"/>
      <c r="CT214" s="1123"/>
      <c r="CU214" s="1123"/>
      <c r="CV214" s="1123"/>
      <c r="CW214" s="1123"/>
      <c r="CX214" s="1123"/>
      <c r="CY214" s="1123"/>
      <c r="CZ214" s="1114"/>
      <c r="DA214" s="1114"/>
      <c r="DB214" s="1114"/>
      <c r="DC214" s="1114"/>
      <c r="DD214" s="1114"/>
      <c r="DE214" s="1114"/>
      <c r="DF214" s="1114"/>
      <c r="DG214" s="1114"/>
      <c r="DH214" s="1114"/>
      <c r="DI214" s="1114"/>
      <c r="DJ214" s="1114"/>
      <c r="DK214" s="1114"/>
      <c r="DL214" s="1114"/>
      <c r="DM214" s="1114"/>
      <c r="DN214" s="1114"/>
      <c r="DO214" s="1114"/>
      <c r="DP214" s="1114"/>
      <c r="DQ214" s="1114"/>
      <c r="DR214" s="1114"/>
      <c r="DS214" s="1114"/>
      <c r="DT214" s="1114"/>
      <c r="DU214" s="1114"/>
      <c r="DV214" s="1115"/>
      <c r="DW214" s="1116"/>
      <c r="DX214" s="1116"/>
      <c r="DY214" s="1116"/>
      <c r="DZ214" s="1116"/>
      <c r="EA214" s="1116"/>
      <c r="EB214" s="1116"/>
      <c r="EC214" s="1116"/>
      <c r="ED214" s="1116"/>
      <c r="EE214" s="1116"/>
      <c r="EF214" s="1116"/>
      <c r="EG214" s="1116"/>
      <c r="EH214" s="1116"/>
      <c r="EI214" s="1116"/>
      <c r="EJ214" s="1116"/>
      <c r="EK214" s="1116"/>
      <c r="EL214" s="1116"/>
      <c r="EM214" s="1116"/>
      <c r="EN214" s="1116"/>
      <c r="EO214" s="1116"/>
      <c r="EP214" s="1116"/>
      <c r="EQ214" s="1116"/>
      <c r="ER214" s="1116"/>
      <c r="ES214" s="1116"/>
    </row>
    <row r="215" spans="1:149" ht="15" customHeight="1">
      <c r="A215" s="1185">
        <v>205</v>
      </c>
      <c r="B215" s="1041"/>
      <c r="C215" s="1050"/>
      <c r="D215" s="1050"/>
      <c r="E215" s="1050"/>
      <c r="F215" s="1049"/>
      <c r="G215" s="1049"/>
      <c r="H215" s="1049"/>
      <c r="I215" s="1049"/>
      <c r="J215" s="1050"/>
      <c r="K215" s="1050"/>
      <c r="L215" s="1043"/>
      <c r="M215" s="1051"/>
      <c r="N215" s="1051"/>
      <c r="O215" s="1052"/>
      <c r="P215" s="1051"/>
      <c r="Q215" s="1051"/>
      <c r="R215" s="1052"/>
      <c r="S215" s="1051"/>
      <c r="T215" s="1051"/>
      <c r="U215" s="1052"/>
      <c r="V215" s="1051"/>
      <c r="W215" s="1051"/>
      <c r="X215" s="1052"/>
      <c r="Y215" s="1053"/>
      <c r="Z215" s="1051"/>
      <c r="AA215" s="1051"/>
      <c r="AB215" s="1052"/>
      <c r="AC215" s="1051"/>
      <c r="AD215" s="1051"/>
      <c r="AE215" s="1052"/>
      <c r="AF215" s="1051"/>
      <c r="AG215" s="1051"/>
      <c r="AH215" s="1051"/>
      <c r="AI215" s="1051"/>
      <c r="AJ215" s="1052"/>
      <c r="AK215" s="1051"/>
      <c r="AL215" s="1051"/>
      <c r="AM215" s="1052"/>
      <c r="AN215" s="1051"/>
      <c r="AO215" s="1051"/>
      <c r="AP215" s="1052"/>
      <c r="AQ215" s="1051"/>
      <c r="AR215" s="1051"/>
      <c r="AS215" s="1052"/>
      <c r="AT215" s="1051"/>
      <c r="AU215" s="1051"/>
      <c r="AV215" s="1052"/>
      <c r="AW215" s="1051"/>
      <c r="AX215" s="1051"/>
      <c r="AY215" s="1053"/>
      <c r="AZ215" s="1051"/>
      <c r="BA215" s="1051"/>
      <c r="BB215" s="1053"/>
      <c r="BC215" s="1051"/>
      <c r="BD215" s="1051"/>
      <c r="BE215" s="1053"/>
      <c r="BF215" s="1051"/>
      <c r="BG215" s="1051"/>
      <c r="BH215" s="1053"/>
      <c r="BI215" s="1052"/>
      <c r="BJ215" s="1052"/>
      <c r="BK215" s="1052"/>
      <c r="BL215" s="1052"/>
      <c r="BM215" s="1052"/>
      <c r="BN215" s="1054"/>
      <c r="BO215" s="1076">
        <f t="shared" si="4"/>
        <v>0</v>
      </c>
      <c r="BP215" s="1051"/>
      <c r="BQ215" s="1052"/>
      <c r="BR215" s="1054"/>
      <c r="BS215" s="1053"/>
      <c r="BT215" s="1051"/>
      <c r="BU215" s="1051"/>
      <c r="BV215" s="1051"/>
      <c r="BW215" s="1052"/>
      <c r="BX215" s="1052"/>
      <c r="BY215" s="1052"/>
      <c r="BZ215" s="1052"/>
      <c r="CA215" s="1052"/>
      <c r="CB215" s="1053"/>
      <c r="CC215" s="1053"/>
      <c r="CD215" s="1053"/>
      <c r="CE215" s="1053"/>
      <c r="CF215" s="1053"/>
      <c r="CG215" s="1053"/>
      <c r="CH215" s="1053"/>
      <c r="CI215" s="1123"/>
      <c r="CJ215" s="1123"/>
      <c r="CK215" s="1123"/>
      <c r="CL215" s="1123"/>
      <c r="CM215" s="1123"/>
      <c r="CN215" s="1123"/>
      <c r="CO215" s="1123"/>
      <c r="CP215" s="1123"/>
      <c r="CQ215" s="1123"/>
      <c r="CR215" s="1123"/>
      <c r="CS215" s="1123"/>
      <c r="CT215" s="1123"/>
      <c r="CU215" s="1123"/>
      <c r="CV215" s="1123"/>
      <c r="CW215" s="1123"/>
      <c r="CX215" s="1123"/>
      <c r="CY215" s="1123"/>
      <c r="CZ215" s="1114"/>
      <c r="DA215" s="1114"/>
      <c r="DB215" s="1114"/>
      <c r="DC215" s="1114"/>
      <c r="DD215" s="1114"/>
      <c r="DE215" s="1114"/>
      <c r="DF215" s="1114"/>
      <c r="DG215" s="1114"/>
      <c r="DH215" s="1114"/>
      <c r="DI215" s="1114"/>
      <c r="DJ215" s="1114"/>
      <c r="DK215" s="1114"/>
      <c r="DL215" s="1114"/>
      <c r="DM215" s="1114"/>
      <c r="DN215" s="1114"/>
      <c r="DO215" s="1114"/>
      <c r="DP215" s="1114"/>
      <c r="DQ215" s="1114"/>
      <c r="DR215" s="1114"/>
      <c r="DS215" s="1114"/>
      <c r="DT215" s="1114"/>
      <c r="DU215" s="1114"/>
      <c r="DV215" s="1115"/>
      <c r="DW215" s="1116"/>
      <c r="DX215" s="1116"/>
      <c r="DY215" s="1116"/>
      <c r="DZ215" s="1116"/>
      <c r="EA215" s="1116"/>
      <c r="EB215" s="1116"/>
      <c r="EC215" s="1116"/>
      <c r="ED215" s="1116"/>
      <c r="EE215" s="1116"/>
      <c r="EF215" s="1116"/>
      <c r="EG215" s="1116"/>
      <c r="EH215" s="1116"/>
      <c r="EI215" s="1116"/>
      <c r="EJ215" s="1116"/>
      <c r="EK215" s="1116"/>
      <c r="EL215" s="1116"/>
      <c r="EM215" s="1116"/>
      <c r="EN215" s="1116"/>
      <c r="EO215" s="1116"/>
      <c r="EP215" s="1116"/>
      <c r="EQ215" s="1116"/>
      <c r="ER215" s="1116"/>
      <c r="ES215" s="1116"/>
    </row>
    <row r="216" spans="1:149" ht="15" customHeight="1">
      <c r="A216" s="1185">
        <v>206</v>
      </c>
      <c r="B216" s="1041"/>
      <c r="C216" s="1050"/>
      <c r="D216" s="1050"/>
      <c r="E216" s="1050"/>
      <c r="F216" s="1049"/>
      <c r="G216" s="1049"/>
      <c r="H216" s="1049"/>
      <c r="I216" s="1049"/>
      <c r="J216" s="1050"/>
      <c r="K216" s="1050"/>
      <c r="L216" s="1043"/>
      <c r="M216" s="1051"/>
      <c r="N216" s="1051"/>
      <c r="O216" s="1052"/>
      <c r="P216" s="1051"/>
      <c r="Q216" s="1051"/>
      <c r="R216" s="1052"/>
      <c r="S216" s="1051"/>
      <c r="T216" s="1051"/>
      <c r="U216" s="1052"/>
      <c r="V216" s="1051"/>
      <c r="W216" s="1051"/>
      <c r="X216" s="1052"/>
      <c r="Y216" s="1053"/>
      <c r="Z216" s="1051"/>
      <c r="AA216" s="1051"/>
      <c r="AB216" s="1052"/>
      <c r="AC216" s="1051"/>
      <c r="AD216" s="1051"/>
      <c r="AE216" s="1052"/>
      <c r="AF216" s="1051"/>
      <c r="AG216" s="1051"/>
      <c r="AH216" s="1051"/>
      <c r="AI216" s="1051"/>
      <c r="AJ216" s="1052"/>
      <c r="AK216" s="1051"/>
      <c r="AL216" s="1051"/>
      <c r="AM216" s="1052"/>
      <c r="AN216" s="1051"/>
      <c r="AO216" s="1051"/>
      <c r="AP216" s="1052"/>
      <c r="AQ216" s="1051"/>
      <c r="AR216" s="1051"/>
      <c r="AS216" s="1052"/>
      <c r="AT216" s="1051"/>
      <c r="AU216" s="1051"/>
      <c r="AV216" s="1052"/>
      <c r="AW216" s="1051"/>
      <c r="AX216" s="1051"/>
      <c r="AY216" s="1053"/>
      <c r="AZ216" s="1051"/>
      <c r="BA216" s="1051"/>
      <c r="BB216" s="1053"/>
      <c r="BC216" s="1051"/>
      <c r="BD216" s="1051"/>
      <c r="BE216" s="1053"/>
      <c r="BF216" s="1051"/>
      <c r="BG216" s="1051"/>
      <c r="BH216" s="1053"/>
      <c r="BI216" s="1052"/>
      <c r="BJ216" s="1052"/>
      <c r="BK216" s="1052"/>
      <c r="BL216" s="1052"/>
      <c r="BM216" s="1052"/>
      <c r="BN216" s="1054"/>
      <c r="BO216" s="1076">
        <f t="shared" si="4"/>
        <v>0</v>
      </c>
      <c r="BP216" s="1051"/>
      <c r="BQ216" s="1052"/>
      <c r="BR216" s="1054"/>
      <c r="BS216" s="1053"/>
      <c r="BT216" s="1051"/>
      <c r="BU216" s="1051"/>
      <c r="BV216" s="1051"/>
      <c r="BW216" s="1052"/>
      <c r="BX216" s="1052"/>
      <c r="BY216" s="1052"/>
      <c r="BZ216" s="1052"/>
      <c r="CA216" s="1052"/>
      <c r="CB216" s="1053"/>
      <c r="CC216" s="1053"/>
      <c r="CD216" s="1053"/>
      <c r="CE216" s="1053"/>
      <c r="CF216" s="1053"/>
      <c r="CG216" s="1053"/>
      <c r="CH216" s="1053"/>
      <c r="CI216" s="1123"/>
      <c r="CJ216" s="1123"/>
      <c r="CK216" s="1123"/>
      <c r="CL216" s="1123"/>
      <c r="CM216" s="1123"/>
      <c r="CN216" s="1123"/>
      <c r="CO216" s="1123"/>
      <c r="CP216" s="1123"/>
      <c r="CQ216" s="1123"/>
      <c r="CR216" s="1123"/>
      <c r="CS216" s="1123"/>
      <c r="CT216" s="1123"/>
      <c r="CU216" s="1123"/>
      <c r="CV216" s="1123"/>
      <c r="CW216" s="1123"/>
      <c r="CX216" s="1123"/>
      <c r="CY216" s="1123"/>
      <c r="CZ216" s="1114"/>
      <c r="DA216" s="1114"/>
      <c r="DB216" s="1114"/>
      <c r="DC216" s="1114"/>
      <c r="DD216" s="1114"/>
      <c r="DE216" s="1114"/>
      <c r="DF216" s="1114"/>
      <c r="DG216" s="1114"/>
      <c r="DH216" s="1114"/>
      <c r="DI216" s="1114"/>
      <c r="DJ216" s="1114"/>
      <c r="DK216" s="1114"/>
      <c r="DL216" s="1114"/>
      <c r="DM216" s="1114"/>
      <c r="DN216" s="1114"/>
      <c r="DO216" s="1114"/>
      <c r="DP216" s="1114"/>
      <c r="DQ216" s="1114"/>
      <c r="DR216" s="1114"/>
      <c r="DS216" s="1114"/>
      <c r="DT216" s="1114"/>
      <c r="DU216" s="1114"/>
      <c r="DV216" s="1115"/>
      <c r="DW216" s="1116"/>
      <c r="DX216" s="1116"/>
      <c r="DY216" s="1116"/>
      <c r="DZ216" s="1116"/>
      <c r="EA216" s="1116"/>
      <c r="EB216" s="1116"/>
      <c r="EC216" s="1116"/>
      <c r="ED216" s="1116"/>
      <c r="EE216" s="1116"/>
      <c r="EF216" s="1116"/>
      <c r="EG216" s="1116"/>
      <c r="EH216" s="1116"/>
      <c r="EI216" s="1116"/>
      <c r="EJ216" s="1116"/>
      <c r="EK216" s="1116"/>
      <c r="EL216" s="1116"/>
      <c r="EM216" s="1116"/>
      <c r="EN216" s="1116"/>
      <c r="EO216" s="1116"/>
      <c r="EP216" s="1116"/>
      <c r="EQ216" s="1116"/>
      <c r="ER216" s="1116"/>
      <c r="ES216" s="1116"/>
    </row>
    <row r="217" spans="1:149" ht="15" customHeight="1">
      <c r="A217" s="1185">
        <v>207</v>
      </c>
      <c r="B217" s="1041"/>
      <c r="C217" s="1050"/>
      <c r="D217" s="1050"/>
      <c r="E217" s="1050"/>
      <c r="F217" s="1049"/>
      <c r="G217" s="1049"/>
      <c r="H217" s="1049"/>
      <c r="I217" s="1049"/>
      <c r="J217" s="1050"/>
      <c r="K217" s="1050"/>
      <c r="L217" s="1043"/>
      <c r="M217" s="1051"/>
      <c r="N217" s="1051"/>
      <c r="O217" s="1052"/>
      <c r="P217" s="1051"/>
      <c r="Q217" s="1051"/>
      <c r="R217" s="1052"/>
      <c r="S217" s="1051"/>
      <c r="T217" s="1051"/>
      <c r="U217" s="1052"/>
      <c r="V217" s="1051"/>
      <c r="W217" s="1051"/>
      <c r="X217" s="1052"/>
      <c r="Y217" s="1053"/>
      <c r="Z217" s="1051"/>
      <c r="AA217" s="1051"/>
      <c r="AB217" s="1052"/>
      <c r="AC217" s="1051"/>
      <c r="AD217" s="1051"/>
      <c r="AE217" s="1052"/>
      <c r="AF217" s="1051"/>
      <c r="AG217" s="1051"/>
      <c r="AH217" s="1051"/>
      <c r="AI217" s="1051"/>
      <c r="AJ217" s="1052"/>
      <c r="AK217" s="1051"/>
      <c r="AL217" s="1051"/>
      <c r="AM217" s="1052"/>
      <c r="AN217" s="1051"/>
      <c r="AO217" s="1051"/>
      <c r="AP217" s="1052"/>
      <c r="AQ217" s="1051"/>
      <c r="AR217" s="1051"/>
      <c r="AS217" s="1052"/>
      <c r="AT217" s="1051"/>
      <c r="AU217" s="1051"/>
      <c r="AV217" s="1052"/>
      <c r="AW217" s="1051"/>
      <c r="AX217" s="1051"/>
      <c r="AY217" s="1053"/>
      <c r="AZ217" s="1051"/>
      <c r="BA217" s="1051"/>
      <c r="BB217" s="1053"/>
      <c r="BC217" s="1051"/>
      <c r="BD217" s="1051"/>
      <c r="BE217" s="1053"/>
      <c r="BF217" s="1051"/>
      <c r="BG217" s="1051"/>
      <c r="BH217" s="1053"/>
      <c r="BI217" s="1052"/>
      <c r="BJ217" s="1052"/>
      <c r="BK217" s="1052"/>
      <c r="BL217" s="1052"/>
      <c r="BM217" s="1052"/>
      <c r="BN217" s="1054"/>
      <c r="BO217" s="1076">
        <f t="shared" si="4"/>
        <v>0</v>
      </c>
      <c r="BP217" s="1051"/>
      <c r="BQ217" s="1052"/>
      <c r="BR217" s="1054"/>
      <c r="BS217" s="1053"/>
      <c r="BT217" s="1051"/>
      <c r="BU217" s="1051"/>
      <c r="BV217" s="1051"/>
      <c r="BW217" s="1052"/>
      <c r="BX217" s="1052"/>
      <c r="BY217" s="1052"/>
      <c r="BZ217" s="1052"/>
      <c r="CA217" s="1052"/>
      <c r="CB217" s="1053"/>
      <c r="CC217" s="1053"/>
      <c r="CD217" s="1053"/>
      <c r="CE217" s="1053"/>
      <c r="CF217" s="1053"/>
      <c r="CG217" s="1053"/>
      <c r="CH217" s="1053"/>
      <c r="CI217" s="1123"/>
      <c r="CJ217" s="1123"/>
      <c r="CK217" s="1123"/>
      <c r="CL217" s="1123"/>
      <c r="CM217" s="1123"/>
      <c r="CN217" s="1123"/>
      <c r="CO217" s="1123"/>
      <c r="CP217" s="1123"/>
      <c r="CQ217" s="1123"/>
      <c r="CR217" s="1123"/>
      <c r="CS217" s="1123"/>
      <c r="CT217" s="1123"/>
      <c r="CU217" s="1123"/>
      <c r="CV217" s="1123"/>
      <c r="CW217" s="1123"/>
      <c r="CX217" s="1123"/>
      <c r="CY217" s="1123"/>
      <c r="CZ217" s="1114"/>
      <c r="DA217" s="1114"/>
      <c r="DB217" s="1114"/>
      <c r="DC217" s="1114"/>
      <c r="DD217" s="1114"/>
      <c r="DE217" s="1114"/>
      <c r="DF217" s="1114"/>
      <c r="DG217" s="1114"/>
      <c r="DH217" s="1114"/>
      <c r="DI217" s="1114"/>
      <c r="DJ217" s="1114"/>
      <c r="DK217" s="1114"/>
      <c r="DL217" s="1114"/>
      <c r="DM217" s="1114"/>
      <c r="DN217" s="1114"/>
      <c r="DO217" s="1114"/>
      <c r="DP217" s="1114"/>
      <c r="DQ217" s="1114"/>
      <c r="DR217" s="1114"/>
      <c r="DS217" s="1114"/>
      <c r="DT217" s="1114"/>
      <c r="DU217" s="1114"/>
      <c r="DV217" s="1115"/>
      <c r="DW217" s="1116"/>
      <c r="DX217" s="1116"/>
      <c r="DY217" s="1116"/>
      <c r="DZ217" s="1116"/>
      <c r="EA217" s="1116"/>
      <c r="EB217" s="1116"/>
      <c r="EC217" s="1116"/>
      <c r="ED217" s="1116"/>
      <c r="EE217" s="1116"/>
      <c r="EF217" s="1116"/>
      <c r="EG217" s="1116"/>
      <c r="EH217" s="1116"/>
      <c r="EI217" s="1116"/>
      <c r="EJ217" s="1116"/>
      <c r="EK217" s="1116"/>
      <c r="EL217" s="1116"/>
      <c r="EM217" s="1116"/>
      <c r="EN217" s="1116"/>
      <c r="EO217" s="1116"/>
      <c r="EP217" s="1116"/>
      <c r="EQ217" s="1116"/>
      <c r="ER217" s="1116"/>
      <c r="ES217" s="1116"/>
    </row>
    <row r="218" spans="1:149" ht="15" customHeight="1">
      <c r="A218" s="1185">
        <v>208</v>
      </c>
      <c r="B218" s="1041"/>
      <c r="C218" s="1050"/>
      <c r="D218" s="1050"/>
      <c r="E218" s="1050"/>
      <c r="F218" s="1049"/>
      <c r="G218" s="1049"/>
      <c r="H218" s="1049"/>
      <c r="I218" s="1049"/>
      <c r="J218" s="1050"/>
      <c r="K218" s="1050"/>
      <c r="L218" s="1043"/>
      <c r="M218" s="1051"/>
      <c r="N218" s="1051"/>
      <c r="O218" s="1052"/>
      <c r="P218" s="1051"/>
      <c r="Q218" s="1051"/>
      <c r="R218" s="1052"/>
      <c r="S218" s="1051"/>
      <c r="T218" s="1051"/>
      <c r="U218" s="1052"/>
      <c r="V218" s="1051"/>
      <c r="W218" s="1051"/>
      <c r="X218" s="1052"/>
      <c r="Y218" s="1053"/>
      <c r="Z218" s="1051"/>
      <c r="AA218" s="1051"/>
      <c r="AB218" s="1052"/>
      <c r="AC218" s="1051"/>
      <c r="AD218" s="1051"/>
      <c r="AE218" s="1052"/>
      <c r="AF218" s="1051"/>
      <c r="AG218" s="1051"/>
      <c r="AH218" s="1051"/>
      <c r="AI218" s="1051"/>
      <c r="AJ218" s="1052"/>
      <c r="AK218" s="1051"/>
      <c r="AL218" s="1051"/>
      <c r="AM218" s="1052"/>
      <c r="AN218" s="1051"/>
      <c r="AO218" s="1051"/>
      <c r="AP218" s="1052"/>
      <c r="AQ218" s="1051"/>
      <c r="AR218" s="1051"/>
      <c r="AS218" s="1052"/>
      <c r="AT218" s="1051"/>
      <c r="AU218" s="1051"/>
      <c r="AV218" s="1052"/>
      <c r="AW218" s="1051"/>
      <c r="AX218" s="1051"/>
      <c r="AY218" s="1053"/>
      <c r="AZ218" s="1051"/>
      <c r="BA218" s="1051"/>
      <c r="BB218" s="1053"/>
      <c r="BC218" s="1051"/>
      <c r="BD218" s="1051"/>
      <c r="BE218" s="1053"/>
      <c r="BF218" s="1051"/>
      <c r="BG218" s="1051"/>
      <c r="BH218" s="1053"/>
      <c r="BI218" s="1052"/>
      <c r="BJ218" s="1052"/>
      <c r="BK218" s="1052"/>
      <c r="BL218" s="1052"/>
      <c r="BM218" s="1052"/>
      <c r="BN218" s="1054"/>
      <c r="BO218" s="1076">
        <f t="shared" si="4"/>
        <v>0</v>
      </c>
      <c r="BP218" s="1051"/>
      <c r="BQ218" s="1052"/>
      <c r="BR218" s="1054"/>
      <c r="BS218" s="1053"/>
      <c r="BT218" s="1051"/>
      <c r="BU218" s="1051"/>
      <c r="BV218" s="1051"/>
      <c r="BW218" s="1052"/>
      <c r="BX218" s="1052"/>
      <c r="BY218" s="1052"/>
      <c r="BZ218" s="1052"/>
      <c r="CA218" s="1052"/>
      <c r="CB218" s="1053"/>
      <c r="CC218" s="1053"/>
      <c r="CD218" s="1053"/>
      <c r="CE218" s="1053"/>
      <c r="CF218" s="1053"/>
      <c r="CG218" s="1053"/>
      <c r="CH218" s="1053"/>
      <c r="CI218" s="1123"/>
      <c r="CJ218" s="1123"/>
      <c r="CK218" s="1123"/>
      <c r="CL218" s="1123"/>
      <c r="CM218" s="1123"/>
      <c r="CN218" s="1123"/>
      <c r="CO218" s="1123"/>
      <c r="CP218" s="1123"/>
      <c r="CQ218" s="1123"/>
      <c r="CR218" s="1123"/>
      <c r="CS218" s="1123"/>
      <c r="CT218" s="1123"/>
      <c r="CU218" s="1123"/>
      <c r="CV218" s="1123"/>
      <c r="CW218" s="1123"/>
      <c r="CX218" s="1123"/>
      <c r="CY218" s="1123"/>
      <c r="CZ218" s="1114"/>
      <c r="DA218" s="1114"/>
      <c r="DB218" s="1114"/>
      <c r="DC218" s="1114"/>
      <c r="DD218" s="1114"/>
      <c r="DE218" s="1114"/>
      <c r="DF218" s="1114"/>
      <c r="DG218" s="1114"/>
      <c r="DH218" s="1114"/>
      <c r="DI218" s="1114"/>
      <c r="DJ218" s="1114"/>
      <c r="DK218" s="1114"/>
      <c r="DL218" s="1114"/>
      <c r="DM218" s="1114"/>
      <c r="DN218" s="1114"/>
      <c r="DO218" s="1114"/>
      <c r="DP218" s="1114"/>
      <c r="DQ218" s="1114"/>
      <c r="DR218" s="1114"/>
      <c r="DS218" s="1114"/>
      <c r="DT218" s="1114"/>
      <c r="DU218" s="1114"/>
      <c r="DV218" s="1115"/>
      <c r="DW218" s="1116"/>
      <c r="DX218" s="1116"/>
      <c r="DY218" s="1116"/>
      <c r="DZ218" s="1116"/>
      <c r="EA218" s="1116"/>
      <c r="EB218" s="1116"/>
      <c r="EC218" s="1116"/>
      <c r="ED218" s="1116"/>
      <c r="EE218" s="1116"/>
      <c r="EF218" s="1116"/>
      <c r="EG218" s="1116"/>
      <c r="EH218" s="1116"/>
      <c r="EI218" s="1116"/>
      <c r="EJ218" s="1116"/>
      <c r="EK218" s="1116"/>
      <c r="EL218" s="1116"/>
      <c r="EM218" s="1116"/>
      <c r="EN218" s="1116"/>
      <c r="EO218" s="1116"/>
      <c r="EP218" s="1116"/>
      <c r="EQ218" s="1116"/>
      <c r="ER218" s="1116"/>
      <c r="ES218" s="1116"/>
    </row>
    <row r="219" spans="1:149" ht="15" customHeight="1">
      <c r="A219" s="1185">
        <v>209</v>
      </c>
      <c r="B219" s="1041"/>
      <c r="C219" s="1050"/>
      <c r="D219" s="1050"/>
      <c r="E219" s="1050"/>
      <c r="F219" s="1049"/>
      <c r="G219" s="1049"/>
      <c r="H219" s="1049"/>
      <c r="I219" s="1049"/>
      <c r="J219" s="1050"/>
      <c r="K219" s="1050"/>
      <c r="L219" s="1043"/>
      <c r="M219" s="1051"/>
      <c r="N219" s="1051"/>
      <c r="O219" s="1052"/>
      <c r="P219" s="1051"/>
      <c r="Q219" s="1051"/>
      <c r="R219" s="1052"/>
      <c r="S219" s="1051"/>
      <c r="T219" s="1051"/>
      <c r="U219" s="1052"/>
      <c r="V219" s="1051"/>
      <c r="W219" s="1051"/>
      <c r="X219" s="1052"/>
      <c r="Y219" s="1053"/>
      <c r="Z219" s="1051"/>
      <c r="AA219" s="1051"/>
      <c r="AB219" s="1052"/>
      <c r="AC219" s="1051"/>
      <c r="AD219" s="1051"/>
      <c r="AE219" s="1052"/>
      <c r="AF219" s="1051"/>
      <c r="AG219" s="1051"/>
      <c r="AH219" s="1051"/>
      <c r="AI219" s="1051"/>
      <c r="AJ219" s="1052"/>
      <c r="AK219" s="1051"/>
      <c r="AL219" s="1051"/>
      <c r="AM219" s="1052"/>
      <c r="AN219" s="1051"/>
      <c r="AO219" s="1051"/>
      <c r="AP219" s="1052"/>
      <c r="AQ219" s="1051"/>
      <c r="AR219" s="1051"/>
      <c r="AS219" s="1052"/>
      <c r="AT219" s="1051"/>
      <c r="AU219" s="1051"/>
      <c r="AV219" s="1052"/>
      <c r="AW219" s="1051"/>
      <c r="AX219" s="1051"/>
      <c r="AY219" s="1053"/>
      <c r="AZ219" s="1051"/>
      <c r="BA219" s="1051"/>
      <c r="BB219" s="1053"/>
      <c r="BC219" s="1051"/>
      <c r="BD219" s="1051"/>
      <c r="BE219" s="1053"/>
      <c r="BF219" s="1051"/>
      <c r="BG219" s="1051"/>
      <c r="BH219" s="1053"/>
      <c r="BI219" s="1052"/>
      <c r="BJ219" s="1052"/>
      <c r="BK219" s="1052"/>
      <c r="BL219" s="1052"/>
      <c r="BM219" s="1052"/>
      <c r="BN219" s="1054"/>
      <c r="BO219" s="1076">
        <f t="shared" si="4"/>
        <v>0</v>
      </c>
      <c r="BP219" s="1051"/>
      <c r="BQ219" s="1052"/>
      <c r="BR219" s="1054"/>
      <c r="BS219" s="1053"/>
      <c r="BT219" s="1051"/>
      <c r="BU219" s="1051"/>
      <c r="BV219" s="1051"/>
      <c r="BW219" s="1052"/>
      <c r="BX219" s="1052"/>
      <c r="BY219" s="1052"/>
      <c r="BZ219" s="1052"/>
      <c r="CA219" s="1052"/>
      <c r="CB219" s="1053"/>
      <c r="CC219" s="1053"/>
      <c r="CD219" s="1053"/>
      <c r="CE219" s="1053"/>
      <c r="CF219" s="1053"/>
      <c r="CG219" s="1053"/>
      <c r="CH219" s="1053"/>
      <c r="CI219" s="1123"/>
      <c r="CJ219" s="1123"/>
      <c r="CK219" s="1123"/>
      <c r="CL219" s="1123"/>
      <c r="CM219" s="1123"/>
      <c r="CN219" s="1123"/>
      <c r="CO219" s="1123"/>
      <c r="CP219" s="1123"/>
      <c r="CQ219" s="1123"/>
      <c r="CR219" s="1123"/>
      <c r="CS219" s="1123"/>
      <c r="CT219" s="1123"/>
      <c r="CU219" s="1123"/>
      <c r="CV219" s="1123"/>
      <c r="CW219" s="1123"/>
      <c r="CX219" s="1123"/>
      <c r="CY219" s="1123"/>
      <c r="CZ219" s="1114"/>
      <c r="DA219" s="1114"/>
      <c r="DB219" s="1114"/>
      <c r="DC219" s="1114"/>
      <c r="DD219" s="1114"/>
      <c r="DE219" s="1114"/>
      <c r="DF219" s="1114"/>
      <c r="DG219" s="1114"/>
      <c r="DH219" s="1114"/>
      <c r="DI219" s="1114"/>
      <c r="DJ219" s="1114"/>
      <c r="DK219" s="1114"/>
      <c r="DL219" s="1114"/>
      <c r="DM219" s="1114"/>
      <c r="DN219" s="1114"/>
      <c r="DO219" s="1114"/>
      <c r="DP219" s="1114"/>
      <c r="DQ219" s="1114"/>
      <c r="DR219" s="1114"/>
      <c r="DS219" s="1114"/>
      <c r="DT219" s="1114"/>
      <c r="DU219" s="1114"/>
      <c r="DV219" s="1115"/>
      <c r="DW219" s="1116"/>
      <c r="DX219" s="1116"/>
      <c r="DY219" s="1116"/>
      <c r="DZ219" s="1116"/>
      <c r="EA219" s="1116"/>
      <c r="EB219" s="1116"/>
      <c r="EC219" s="1116"/>
      <c r="ED219" s="1116"/>
      <c r="EE219" s="1116"/>
      <c r="EF219" s="1116"/>
      <c r="EG219" s="1116"/>
      <c r="EH219" s="1116"/>
      <c r="EI219" s="1116"/>
      <c r="EJ219" s="1116"/>
      <c r="EK219" s="1116"/>
      <c r="EL219" s="1116"/>
      <c r="EM219" s="1116"/>
      <c r="EN219" s="1116"/>
      <c r="EO219" s="1116"/>
      <c r="EP219" s="1116"/>
      <c r="EQ219" s="1116"/>
      <c r="ER219" s="1116"/>
      <c r="ES219" s="1116"/>
    </row>
    <row r="220" spans="1:149" ht="15" customHeight="1">
      <c r="A220" s="1185">
        <v>210</v>
      </c>
      <c r="B220" s="1041"/>
      <c r="C220" s="1050"/>
      <c r="D220" s="1050"/>
      <c r="E220" s="1050"/>
      <c r="F220" s="1049"/>
      <c r="G220" s="1049"/>
      <c r="H220" s="1049"/>
      <c r="I220" s="1049"/>
      <c r="J220" s="1050"/>
      <c r="K220" s="1050"/>
      <c r="L220" s="1043"/>
      <c r="M220" s="1051"/>
      <c r="N220" s="1051"/>
      <c r="O220" s="1052"/>
      <c r="P220" s="1051"/>
      <c r="Q220" s="1051"/>
      <c r="R220" s="1052"/>
      <c r="S220" s="1051"/>
      <c r="T220" s="1051"/>
      <c r="U220" s="1052"/>
      <c r="V220" s="1051"/>
      <c r="W220" s="1051"/>
      <c r="X220" s="1052"/>
      <c r="Y220" s="1053"/>
      <c r="Z220" s="1051"/>
      <c r="AA220" s="1051"/>
      <c r="AB220" s="1052"/>
      <c r="AC220" s="1051"/>
      <c r="AD220" s="1051"/>
      <c r="AE220" s="1052"/>
      <c r="AF220" s="1051"/>
      <c r="AG220" s="1051"/>
      <c r="AH220" s="1051"/>
      <c r="AI220" s="1051"/>
      <c r="AJ220" s="1052"/>
      <c r="AK220" s="1051"/>
      <c r="AL220" s="1051"/>
      <c r="AM220" s="1052"/>
      <c r="AN220" s="1051"/>
      <c r="AO220" s="1051"/>
      <c r="AP220" s="1052"/>
      <c r="AQ220" s="1051"/>
      <c r="AR220" s="1051"/>
      <c r="AS220" s="1052"/>
      <c r="AT220" s="1051"/>
      <c r="AU220" s="1051"/>
      <c r="AV220" s="1052"/>
      <c r="AW220" s="1051"/>
      <c r="AX220" s="1051"/>
      <c r="AY220" s="1053"/>
      <c r="AZ220" s="1051"/>
      <c r="BA220" s="1051"/>
      <c r="BB220" s="1053"/>
      <c r="BC220" s="1051"/>
      <c r="BD220" s="1051"/>
      <c r="BE220" s="1053"/>
      <c r="BF220" s="1051"/>
      <c r="BG220" s="1051"/>
      <c r="BH220" s="1053"/>
      <c r="BI220" s="1052"/>
      <c r="BJ220" s="1052"/>
      <c r="BK220" s="1052"/>
      <c r="BL220" s="1052"/>
      <c r="BM220" s="1052"/>
      <c r="BN220" s="1054"/>
      <c r="BO220" s="1076">
        <f t="shared" si="4"/>
        <v>0</v>
      </c>
      <c r="BP220" s="1051"/>
      <c r="BQ220" s="1052"/>
      <c r="BR220" s="1054"/>
      <c r="BS220" s="1053"/>
      <c r="BT220" s="1051"/>
      <c r="BU220" s="1051"/>
      <c r="BV220" s="1051"/>
      <c r="BW220" s="1052"/>
      <c r="BX220" s="1052"/>
      <c r="BY220" s="1052"/>
      <c r="BZ220" s="1052"/>
      <c r="CA220" s="1052"/>
      <c r="CB220" s="1053"/>
      <c r="CC220" s="1053"/>
      <c r="CD220" s="1053"/>
      <c r="CE220" s="1053"/>
      <c r="CF220" s="1053"/>
      <c r="CG220" s="1053"/>
      <c r="CH220" s="1053"/>
      <c r="CI220" s="1123"/>
      <c r="CJ220" s="1123"/>
      <c r="CK220" s="1123"/>
      <c r="CL220" s="1123"/>
      <c r="CM220" s="1123"/>
      <c r="CN220" s="1123"/>
      <c r="CO220" s="1123"/>
      <c r="CP220" s="1123"/>
      <c r="CQ220" s="1123"/>
      <c r="CR220" s="1123"/>
      <c r="CS220" s="1123"/>
      <c r="CT220" s="1123"/>
      <c r="CU220" s="1123"/>
      <c r="CV220" s="1123"/>
      <c r="CW220" s="1123"/>
      <c r="CX220" s="1123"/>
      <c r="CY220" s="1123"/>
      <c r="CZ220" s="1114"/>
      <c r="DA220" s="1114"/>
      <c r="DB220" s="1114"/>
      <c r="DC220" s="1114"/>
      <c r="DD220" s="1114"/>
      <c r="DE220" s="1114"/>
      <c r="DF220" s="1114"/>
      <c r="DG220" s="1114"/>
      <c r="DH220" s="1114"/>
      <c r="DI220" s="1114"/>
      <c r="DJ220" s="1114"/>
      <c r="DK220" s="1114"/>
      <c r="DL220" s="1114"/>
      <c r="DM220" s="1114"/>
      <c r="DN220" s="1114"/>
      <c r="DO220" s="1114"/>
      <c r="DP220" s="1114"/>
      <c r="DQ220" s="1114"/>
      <c r="DR220" s="1114"/>
      <c r="DS220" s="1114"/>
      <c r="DT220" s="1114"/>
      <c r="DU220" s="1114"/>
      <c r="DV220" s="1115"/>
      <c r="DW220" s="1116"/>
      <c r="DX220" s="1116"/>
      <c r="DY220" s="1116"/>
      <c r="DZ220" s="1116"/>
      <c r="EA220" s="1116"/>
      <c r="EB220" s="1116"/>
      <c r="EC220" s="1116"/>
      <c r="ED220" s="1116"/>
      <c r="EE220" s="1116"/>
      <c r="EF220" s="1116"/>
      <c r="EG220" s="1116"/>
      <c r="EH220" s="1116"/>
      <c r="EI220" s="1116"/>
      <c r="EJ220" s="1116"/>
      <c r="EK220" s="1116"/>
      <c r="EL220" s="1116"/>
      <c r="EM220" s="1116"/>
      <c r="EN220" s="1116"/>
      <c r="EO220" s="1116"/>
      <c r="EP220" s="1116"/>
      <c r="EQ220" s="1116"/>
      <c r="ER220" s="1116"/>
      <c r="ES220" s="1116"/>
    </row>
    <row r="221" spans="1:149" ht="15" customHeight="1">
      <c r="A221" s="1185">
        <v>211</v>
      </c>
      <c r="B221" s="1041"/>
      <c r="C221" s="1050"/>
      <c r="D221" s="1050"/>
      <c r="E221" s="1050"/>
      <c r="F221" s="1049"/>
      <c r="G221" s="1049"/>
      <c r="H221" s="1049"/>
      <c r="I221" s="1049"/>
      <c r="J221" s="1050"/>
      <c r="K221" s="1050"/>
      <c r="L221" s="1043"/>
      <c r="M221" s="1051"/>
      <c r="N221" s="1051"/>
      <c r="O221" s="1052"/>
      <c r="P221" s="1051"/>
      <c r="Q221" s="1051"/>
      <c r="R221" s="1052"/>
      <c r="S221" s="1051"/>
      <c r="T221" s="1051"/>
      <c r="U221" s="1052"/>
      <c r="V221" s="1051"/>
      <c r="W221" s="1051"/>
      <c r="X221" s="1052"/>
      <c r="Y221" s="1053"/>
      <c r="Z221" s="1051"/>
      <c r="AA221" s="1051"/>
      <c r="AB221" s="1052"/>
      <c r="AC221" s="1051"/>
      <c r="AD221" s="1051"/>
      <c r="AE221" s="1052"/>
      <c r="AF221" s="1051"/>
      <c r="AG221" s="1051"/>
      <c r="AH221" s="1051"/>
      <c r="AI221" s="1051"/>
      <c r="AJ221" s="1052"/>
      <c r="AK221" s="1051"/>
      <c r="AL221" s="1051"/>
      <c r="AM221" s="1052"/>
      <c r="AN221" s="1051"/>
      <c r="AO221" s="1051"/>
      <c r="AP221" s="1052"/>
      <c r="AQ221" s="1051"/>
      <c r="AR221" s="1051"/>
      <c r="AS221" s="1052"/>
      <c r="AT221" s="1051"/>
      <c r="AU221" s="1051"/>
      <c r="AV221" s="1052"/>
      <c r="AW221" s="1051"/>
      <c r="AX221" s="1051"/>
      <c r="AY221" s="1053"/>
      <c r="AZ221" s="1051"/>
      <c r="BA221" s="1051"/>
      <c r="BB221" s="1053"/>
      <c r="BC221" s="1051"/>
      <c r="BD221" s="1051"/>
      <c r="BE221" s="1053"/>
      <c r="BF221" s="1051"/>
      <c r="BG221" s="1051"/>
      <c r="BH221" s="1053"/>
      <c r="BI221" s="1052"/>
      <c r="BJ221" s="1052"/>
      <c r="BK221" s="1052"/>
      <c r="BL221" s="1052"/>
      <c r="BM221" s="1052"/>
      <c r="BN221" s="1054"/>
      <c r="BO221" s="1076">
        <f t="shared" si="4"/>
        <v>0</v>
      </c>
      <c r="BP221" s="1051"/>
      <c r="BQ221" s="1052"/>
      <c r="BR221" s="1054"/>
      <c r="BS221" s="1053"/>
      <c r="BT221" s="1051"/>
      <c r="BU221" s="1051"/>
      <c r="BV221" s="1051"/>
      <c r="BW221" s="1052"/>
      <c r="BX221" s="1052"/>
      <c r="BY221" s="1052"/>
      <c r="BZ221" s="1052"/>
      <c r="CA221" s="1052"/>
      <c r="CB221" s="1053"/>
      <c r="CC221" s="1053"/>
      <c r="CD221" s="1053"/>
      <c r="CE221" s="1053"/>
      <c r="CF221" s="1053"/>
      <c r="CG221" s="1053"/>
      <c r="CH221" s="1053"/>
      <c r="CI221" s="1123"/>
      <c r="CJ221" s="1123"/>
      <c r="CK221" s="1123"/>
      <c r="CL221" s="1123"/>
      <c r="CM221" s="1123"/>
      <c r="CN221" s="1123"/>
      <c r="CO221" s="1123"/>
      <c r="CP221" s="1123"/>
      <c r="CQ221" s="1123"/>
      <c r="CR221" s="1123"/>
      <c r="CS221" s="1123"/>
      <c r="CT221" s="1123"/>
      <c r="CU221" s="1123"/>
      <c r="CV221" s="1123"/>
      <c r="CW221" s="1123"/>
      <c r="CX221" s="1123"/>
      <c r="CY221" s="1123"/>
      <c r="CZ221" s="1114"/>
      <c r="DA221" s="1114"/>
      <c r="DB221" s="1114"/>
      <c r="DC221" s="1114"/>
      <c r="DD221" s="1114"/>
      <c r="DE221" s="1114"/>
      <c r="DF221" s="1114"/>
      <c r="DG221" s="1114"/>
      <c r="DH221" s="1114"/>
      <c r="DI221" s="1114"/>
      <c r="DJ221" s="1114"/>
      <c r="DK221" s="1114"/>
      <c r="DL221" s="1114"/>
      <c r="DM221" s="1114"/>
      <c r="DN221" s="1114"/>
      <c r="DO221" s="1114"/>
      <c r="DP221" s="1114"/>
      <c r="DQ221" s="1114"/>
      <c r="DR221" s="1114"/>
      <c r="DS221" s="1114"/>
      <c r="DT221" s="1114"/>
      <c r="DU221" s="1114"/>
      <c r="DV221" s="1115"/>
      <c r="DW221" s="1116"/>
      <c r="DX221" s="1116"/>
      <c r="DY221" s="1116"/>
      <c r="DZ221" s="1116"/>
      <c r="EA221" s="1116"/>
      <c r="EB221" s="1116"/>
      <c r="EC221" s="1116"/>
      <c r="ED221" s="1116"/>
      <c r="EE221" s="1116"/>
      <c r="EF221" s="1116"/>
      <c r="EG221" s="1116"/>
      <c r="EH221" s="1116"/>
      <c r="EI221" s="1116"/>
      <c r="EJ221" s="1116"/>
      <c r="EK221" s="1116"/>
      <c r="EL221" s="1116"/>
      <c r="EM221" s="1116"/>
      <c r="EN221" s="1116"/>
      <c r="EO221" s="1116"/>
      <c r="EP221" s="1116"/>
      <c r="EQ221" s="1116"/>
      <c r="ER221" s="1116"/>
      <c r="ES221" s="1116"/>
    </row>
    <row r="222" spans="1:149" ht="15" customHeight="1">
      <c r="A222" s="1185">
        <v>212</v>
      </c>
      <c r="B222" s="1041"/>
      <c r="C222" s="1050"/>
      <c r="D222" s="1050"/>
      <c r="E222" s="1050"/>
      <c r="F222" s="1049"/>
      <c r="G222" s="1049"/>
      <c r="H222" s="1049"/>
      <c r="I222" s="1049"/>
      <c r="J222" s="1050"/>
      <c r="K222" s="1050"/>
      <c r="L222" s="1043"/>
      <c r="M222" s="1051"/>
      <c r="N222" s="1051"/>
      <c r="O222" s="1052"/>
      <c r="P222" s="1051"/>
      <c r="Q222" s="1051"/>
      <c r="R222" s="1052"/>
      <c r="S222" s="1051"/>
      <c r="T222" s="1051"/>
      <c r="U222" s="1052"/>
      <c r="V222" s="1051"/>
      <c r="W222" s="1051"/>
      <c r="X222" s="1052"/>
      <c r="Y222" s="1053"/>
      <c r="Z222" s="1051"/>
      <c r="AA222" s="1051"/>
      <c r="AB222" s="1052"/>
      <c r="AC222" s="1051"/>
      <c r="AD222" s="1051"/>
      <c r="AE222" s="1052"/>
      <c r="AF222" s="1051"/>
      <c r="AG222" s="1051"/>
      <c r="AH222" s="1051"/>
      <c r="AI222" s="1051"/>
      <c r="AJ222" s="1052"/>
      <c r="AK222" s="1051"/>
      <c r="AL222" s="1051"/>
      <c r="AM222" s="1052"/>
      <c r="AN222" s="1051"/>
      <c r="AO222" s="1051"/>
      <c r="AP222" s="1052"/>
      <c r="AQ222" s="1051"/>
      <c r="AR222" s="1051"/>
      <c r="AS222" s="1052"/>
      <c r="AT222" s="1051"/>
      <c r="AU222" s="1051"/>
      <c r="AV222" s="1052"/>
      <c r="AW222" s="1051"/>
      <c r="AX222" s="1051"/>
      <c r="AY222" s="1053"/>
      <c r="AZ222" s="1051"/>
      <c r="BA222" s="1051"/>
      <c r="BB222" s="1053"/>
      <c r="BC222" s="1051"/>
      <c r="BD222" s="1051"/>
      <c r="BE222" s="1053"/>
      <c r="BF222" s="1051"/>
      <c r="BG222" s="1051"/>
      <c r="BH222" s="1053"/>
      <c r="BI222" s="1052"/>
      <c r="BJ222" s="1052"/>
      <c r="BK222" s="1052"/>
      <c r="BL222" s="1052"/>
      <c r="BM222" s="1052"/>
      <c r="BN222" s="1054"/>
      <c r="BO222" s="1076">
        <f t="shared" si="4"/>
        <v>0</v>
      </c>
      <c r="BP222" s="1051"/>
      <c r="BQ222" s="1052"/>
      <c r="BR222" s="1054"/>
      <c r="BS222" s="1053"/>
      <c r="BT222" s="1051"/>
      <c r="BU222" s="1051"/>
      <c r="BV222" s="1051"/>
      <c r="BW222" s="1052"/>
      <c r="BX222" s="1052"/>
      <c r="BY222" s="1052"/>
      <c r="BZ222" s="1052"/>
      <c r="CA222" s="1052"/>
      <c r="CB222" s="1053"/>
      <c r="CC222" s="1053"/>
      <c r="CD222" s="1053"/>
      <c r="CE222" s="1053"/>
      <c r="CF222" s="1053"/>
      <c r="CG222" s="1053"/>
      <c r="CH222" s="1053"/>
      <c r="CI222" s="1123"/>
      <c r="CJ222" s="1123"/>
      <c r="CK222" s="1123"/>
      <c r="CL222" s="1123"/>
      <c r="CM222" s="1123"/>
      <c r="CN222" s="1123"/>
      <c r="CO222" s="1123"/>
      <c r="CP222" s="1123"/>
      <c r="CQ222" s="1123"/>
      <c r="CR222" s="1123"/>
      <c r="CS222" s="1123"/>
      <c r="CT222" s="1123"/>
      <c r="CU222" s="1123"/>
      <c r="CV222" s="1123"/>
      <c r="CW222" s="1123"/>
      <c r="CX222" s="1123"/>
      <c r="CY222" s="1123"/>
      <c r="CZ222" s="1114"/>
      <c r="DA222" s="1114"/>
      <c r="DB222" s="1114"/>
      <c r="DC222" s="1114"/>
      <c r="DD222" s="1114"/>
      <c r="DE222" s="1114"/>
      <c r="DF222" s="1114"/>
      <c r="DG222" s="1114"/>
      <c r="DH222" s="1114"/>
      <c r="DI222" s="1114"/>
      <c r="DJ222" s="1114"/>
      <c r="DK222" s="1114"/>
      <c r="DL222" s="1114"/>
      <c r="DM222" s="1114"/>
      <c r="DN222" s="1114"/>
      <c r="DO222" s="1114"/>
      <c r="DP222" s="1114"/>
      <c r="DQ222" s="1114"/>
      <c r="DR222" s="1114"/>
      <c r="DS222" s="1114"/>
      <c r="DT222" s="1114"/>
      <c r="DU222" s="1114"/>
      <c r="DV222" s="1115"/>
      <c r="DW222" s="1116"/>
      <c r="DX222" s="1116"/>
      <c r="DY222" s="1116"/>
      <c r="DZ222" s="1116"/>
      <c r="EA222" s="1116"/>
      <c r="EB222" s="1116"/>
      <c r="EC222" s="1116"/>
      <c r="ED222" s="1116"/>
      <c r="EE222" s="1116"/>
      <c r="EF222" s="1116"/>
      <c r="EG222" s="1116"/>
      <c r="EH222" s="1116"/>
      <c r="EI222" s="1116"/>
      <c r="EJ222" s="1116"/>
      <c r="EK222" s="1116"/>
      <c r="EL222" s="1116"/>
      <c r="EM222" s="1116"/>
      <c r="EN222" s="1116"/>
      <c r="EO222" s="1116"/>
      <c r="EP222" s="1116"/>
      <c r="EQ222" s="1116"/>
      <c r="ER222" s="1116"/>
      <c r="ES222" s="1116"/>
    </row>
    <row r="223" spans="1:149" ht="15" customHeight="1">
      <c r="A223" s="1185">
        <v>213</v>
      </c>
      <c r="B223" s="1041"/>
      <c r="C223" s="1050"/>
      <c r="D223" s="1050"/>
      <c r="E223" s="1050"/>
      <c r="F223" s="1049"/>
      <c r="G223" s="1049"/>
      <c r="H223" s="1049"/>
      <c r="I223" s="1049"/>
      <c r="J223" s="1050"/>
      <c r="K223" s="1050"/>
      <c r="L223" s="1043"/>
      <c r="M223" s="1051"/>
      <c r="N223" s="1051"/>
      <c r="O223" s="1052"/>
      <c r="P223" s="1051"/>
      <c r="Q223" s="1051"/>
      <c r="R223" s="1052"/>
      <c r="S223" s="1051"/>
      <c r="T223" s="1051"/>
      <c r="U223" s="1052"/>
      <c r="V223" s="1051"/>
      <c r="W223" s="1051"/>
      <c r="X223" s="1052"/>
      <c r="Y223" s="1053"/>
      <c r="Z223" s="1051"/>
      <c r="AA223" s="1051"/>
      <c r="AB223" s="1052"/>
      <c r="AC223" s="1051"/>
      <c r="AD223" s="1051"/>
      <c r="AE223" s="1052"/>
      <c r="AF223" s="1051"/>
      <c r="AG223" s="1051"/>
      <c r="AH223" s="1051"/>
      <c r="AI223" s="1051"/>
      <c r="AJ223" s="1052"/>
      <c r="AK223" s="1051"/>
      <c r="AL223" s="1051"/>
      <c r="AM223" s="1052"/>
      <c r="AN223" s="1051"/>
      <c r="AO223" s="1051"/>
      <c r="AP223" s="1052"/>
      <c r="AQ223" s="1051"/>
      <c r="AR223" s="1051"/>
      <c r="AS223" s="1052"/>
      <c r="AT223" s="1051"/>
      <c r="AU223" s="1051"/>
      <c r="AV223" s="1052"/>
      <c r="AW223" s="1051"/>
      <c r="AX223" s="1051"/>
      <c r="AY223" s="1053"/>
      <c r="AZ223" s="1051"/>
      <c r="BA223" s="1051"/>
      <c r="BB223" s="1053"/>
      <c r="BC223" s="1051"/>
      <c r="BD223" s="1051"/>
      <c r="BE223" s="1053"/>
      <c r="BF223" s="1051"/>
      <c r="BG223" s="1051"/>
      <c r="BH223" s="1053"/>
      <c r="BI223" s="1052"/>
      <c r="BJ223" s="1052"/>
      <c r="BK223" s="1052"/>
      <c r="BL223" s="1052"/>
      <c r="BM223" s="1052"/>
      <c r="BN223" s="1054"/>
      <c r="BO223" s="1076">
        <f t="shared" si="4"/>
        <v>0</v>
      </c>
      <c r="BP223" s="1051"/>
      <c r="BQ223" s="1052"/>
      <c r="BR223" s="1054"/>
      <c r="BS223" s="1053"/>
      <c r="BT223" s="1051"/>
      <c r="BU223" s="1051"/>
      <c r="BV223" s="1051"/>
      <c r="BW223" s="1052"/>
      <c r="BX223" s="1052"/>
      <c r="BY223" s="1052"/>
      <c r="BZ223" s="1052"/>
      <c r="CA223" s="1052"/>
      <c r="CB223" s="1053"/>
      <c r="CC223" s="1053"/>
      <c r="CD223" s="1053"/>
      <c r="CE223" s="1053"/>
      <c r="CF223" s="1053"/>
      <c r="CG223" s="1053"/>
      <c r="CH223" s="1053"/>
      <c r="CI223" s="1123"/>
      <c r="CJ223" s="1123"/>
      <c r="CK223" s="1123"/>
      <c r="CL223" s="1123"/>
      <c r="CM223" s="1123"/>
      <c r="CN223" s="1123"/>
      <c r="CO223" s="1123"/>
      <c r="CP223" s="1123"/>
      <c r="CQ223" s="1123"/>
      <c r="CR223" s="1123"/>
      <c r="CS223" s="1123"/>
      <c r="CT223" s="1123"/>
      <c r="CU223" s="1123"/>
      <c r="CV223" s="1123"/>
      <c r="CW223" s="1123"/>
      <c r="CX223" s="1123"/>
      <c r="CY223" s="1123"/>
      <c r="CZ223" s="1114"/>
      <c r="DA223" s="1114"/>
      <c r="DB223" s="1114"/>
      <c r="DC223" s="1114"/>
      <c r="DD223" s="1114"/>
      <c r="DE223" s="1114"/>
      <c r="DF223" s="1114"/>
      <c r="DG223" s="1114"/>
      <c r="DH223" s="1114"/>
      <c r="DI223" s="1114"/>
      <c r="DJ223" s="1114"/>
      <c r="DK223" s="1114"/>
      <c r="DL223" s="1114"/>
      <c r="DM223" s="1114"/>
      <c r="DN223" s="1114"/>
      <c r="DO223" s="1114"/>
      <c r="DP223" s="1114"/>
      <c r="DQ223" s="1114"/>
      <c r="DR223" s="1114"/>
      <c r="DS223" s="1114"/>
      <c r="DT223" s="1114"/>
      <c r="DU223" s="1114"/>
      <c r="DV223" s="1115"/>
      <c r="DW223" s="1116"/>
      <c r="DX223" s="1116"/>
      <c r="DY223" s="1116"/>
      <c r="DZ223" s="1116"/>
      <c r="EA223" s="1116"/>
      <c r="EB223" s="1116"/>
      <c r="EC223" s="1116"/>
      <c r="ED223" s="1116"/>
      <c r="EE223" s="1116"/>
      <c r="EF223" s="1116"/>
      <c r="EG223" s="1116"/>
      <c r="EH223" s="1116"/>
      <c r="EI223" s="1116"/>
      <c r="EJ223" s="1116"/>
      <c r="EK223" s="1116"/>
      <c r="EL223" s="1116"/>
      <c r="EM223" s="1116"/>
      <c r="EN223" s="1116"/>
      <c r="EO223" s="1116"/>
      <c r="EP223" s="1116"/>
      <c r="EQ223" s="1116"/>
      <c r="ER223" s="1116"/>
      <c r="ES223" s="1116"/>
    </row>
    <row r="224" spans="1:149" ht="15" customHeight="1">
      <c r="A224" s="1185">
        <v>214</v>
      </c>
      <c r="B224" s="1041"/>
      <c r="C224" s="1050"/>
      <c r="D224" s="1050"/>
      <c r="E224" s="1050"/>
      <c r="F224" s="1049"/>
      <c r="G224" s="1049"/>
      <c r="H224" s="1049"/>
      <c r="I224" s="1049"/>
      <c r="J224" s="1050"/>
      <c r="K224" s="1050"/>
      <c r="L224" s="1043"/>
      <c r="M224" s="1051"/>
      <c r="N224" s="1051"/>
      <c r="O224" s="1052"/>
      <c r="P224" s="1051"/>
      <c r="Q224" s="1051"/>
      <c r="R224" s="1052"/>
      <c r="S224" s="1051"/>
      <c r="T224" s="1051"/>
      <c r="U224" s="1052"/>
      <c r="V224" s="1051"/>
      <c r="W224" s="1051"/>
      <c r="X224" s="1052"/>
      <c r="Y224" s="1053"/>
      <c r="Z224" s="1051"/>
      <c r="AA224" s="1051"/>
      <c r="AB224" s="1052"/>
      <c r="AC224" s="1051"/>
      <c r="AD224" s="1051"/>
      <c r="AE224" s="1052"/>
      <c r="AF224" s="1051"/>
      <c r="AG224" s="1051"/>
      <c r="AH224" s="1051"/>
      <c r="AI224" s="1051"/>
      <c r="AJ224" s="1052"/>
      <c r="AK224" s="1051"/>
      <c r="AL224" s="1051"/>
      <c r="AM224" s="1052"/>
      <c r="AN224" s="1051"/>
      <c r="AO224" s="1051"/>
      <c r="AP224" s="1052"/>
      <c r="AQ224" s="1051"/>
      <c r="AR224" s="1051"/>
      <c r="AS224" s="1052"/>
      <c r="AT224" s="1051"/>
      <c r="AU224" s="1051"/>
      <c r="AV224" s="1052"/>
      <c r="AW224" s="1051"/>
      <c r="AX224" s="1051"/>
      <c r="AY224" s="1053"/>
      <c r="AZ224" s="1051"/>
      <c r="BA224" s="1051"/>
      <c r="BB224" s="1053"/>
      <c r="BC224" s="1051"/>
      <c r="BD224" s="1051"/>
      <c r="BE224" s="1053"/>
      <c r="BF224" s="1051"/>
      <c r="BG224" s="1051"/>
      <c r="BH224" s="1053"/>
      <c r="BI224" s="1052"/>
      <c r="BJ224" s="1052"/>
      <c r="BK224" s="1052"/>
      <c r="BL224" s="1052"/>
      <c r="BM224" s="1052"/>
      <c r="BN224" s="1054"/>
      <c r="BO224" s="1076">
        <f t="shared" si="4"/>
        <v>0</v>
      </c>
      <c r="BP224" s="1051"/>
      <c r="BQ224" s="1052"/>
      <c r="BR224" s="1054"/>
      <c r="BS224" s="1053"/>
      <c r="BT224" s="1051"/>
      <c r="BU224" s="1051"/>
      <c r="BV224" s="1051"/>
      <c r="BW224" s="1052"/>
      <c r="BX224" s="1052"/>
      <c r="BY224" s="1052"/>
      <c r="BZ224" s="1052"/>
      <c r="CA224" s="1052"/>
      <c r="CB224" s="1053"/>
      <c r="CC224" s="1053"/>
      <c r="CD224" s="1053"/>
      <c r="CE224" s="1053"/>
      <c r="CF224" s="1053"/>
      <c r="CG224" s="1053"/>
      <c r="CH224" s="1053"/>
      <c r="CI224" s="1123"/>
      <c r="CJ224" s="1123"/>
      <c r="CK224" s="1123"/>
      <c r="CL224" s="1123"/>
      <c r="CM224" s="1123"/>
      <c r="CN224" s="1123"/>
      <c r="CO224" s="1123"/>
      <c r="CP224" s="1123"/>
      <c r="CQ224" s="1123"/>
      <c r="CR224" s="1123"/>
      <c r="CS224" s="1123"/>
      <c r="CT224" s="1123"/>
      <c r="CU224" s="1123"/>
      <c r="CV224" s="1123"/>
      <c r="CW224" s="1123"/>
      <c r="CX224" s="1123"/>
      <c r="CY224" s="1123"/>
      <c r="CZ224" s="1114"/>
      <c r="DA224" s="1114"/>
      <c r="DB224" s="1114"/>
      <c r="DC224" s="1114"/>
      <c r="DD224" s="1114"/>
      <c r="DE224" s="1114"/>
      <c r="DF224" s="1114"/>
      <c r="DG224" s="1114"/>
      <c r="DH224" s="1114"/>
      <c r="DI224" s="1114"/>
      <c r="DJ224" s="1114"/>
      <c r="DK224" s="1114"/>
      <c r="DL224" s="1114"/>
      <c r="DM224" s="1114"/>
      <c r="DN224" s="1114"/>
      <c r="DO224" s="1114"/>
      <c r="DP224" s="1114"/>
      <c r="DQ224" s="1114"/>
      <c r="DR224" s="1114"/>
      <c r="DS224" s="1114"/>
      <c r="DT224" s="1114"/>
      <c r="DU224" s="1114"/>
      <c r="DV224" s="1115"/>
      <c r="DW224" s="1116"/>
      <c r="DX224" s="1116"/>
      <c r="DY224" s="1116"/>
      <c r="DZ224" s="1116"/>
      <c r="EA224" s="1116"/>
      <c r="EB224" s="1116"/>
      <c r="EC224" s="1116"/>
      <c r="ED224" s="1116"/>
      <c r="EE224" s="1116"/>
      <c r="EF224" s="1116"/>
      <c r="EG224" s="1116"/>
      <c r="EH224" s="1116"/>
      <c r="EI224" s="1116"/>
      <c r="EJ224" s="1116"/>
      <c r="EK224" s="1116"/>
      <c r="EL224" s="1116"/>
      <c r="EM224" s="1116"/>
      <c r="EN224" s="1116"/>
      <c r="EO224" s="1116"/>
      <c r="EP224" s="1116"/>
      <c r="EQ224" s="1116"/>
      <c r="ER224" s="1116"/>
      <c r="ES224" s="1116"/>
    </row>
    <row r="225" spans="1:149" ht="15" customHeight="1">
      <c r="A225" s="1185">
        <v>215</v>
      </c>
      <c r="B225" s="1041"/>
      <c r="C225" s="1050"/>
      <c r="D225" s="1050"/>
      <c r="E225" s="1050"/>
      <c r="F225" s="1049"/>
      <c r="G225" s="1049"/>
      <c r="H225" s="1049"/>
      <c r="I225" s="1049"/>
      <c r="J225" s="1050"/>
      <c r="K225" s="1050"/>
      <c r="L225" s="1043"/>
      <c r="M225" s="1051"/>
      <c r="N225" s="1051"/>
      <c r="O225" s="1052"/>
      <c r="P225" s="1051"/>
      <c r="Q225" s="1051"/>
      <c r="R225" s="1052"/>
      <c r="S225" s="1051"/>
      <c r="T225" s="1051"/>
      <c r="U225" s="1052"/>
      <c r="V225" s="1051"/>
      <c r="W225" s="1051"/>
      <c r="X225" s="1052"/>
      <c r="Y225" s="1053"/>
      <c r="Z225" s="1051"/>
      <c r="AA225" s="1051"/>
      <c r="AB225" s="1052"/>
      <c r="AC225" s="1051"/>
      <c r="AD225" s="1051"/>
      <c r="AE225" s="1052"/>
      <c r="AF225" s="1051"/>
      <c r="AG225" s="1051"/>
      <c r="AH225" s="1051"/>
      <c r="AI225" s="1051"/>
      <c r="AJ225" s="1052"/>
      <c r="AK225" s="1051"/>
      <c r="AL225" s="1051"/>
      <c r="AM225" s="1052"/>
      <c r="AN225" s="1051"/>
      <c r="AO225" s="1051"/>
      <c r="AP225" s="1052"/>
      <c r="AQ225" s="1051"/>
      <c r="AR225" s="1051"/>
      <c r="AS225" s="1052"/>
      <c r="AT225" s="1051"/>
      <c r="AU225" s="1051"/>
      <c r="AV225" s="1052"/>
      <c r="AW225" s="1051"/>
      <c r="AX225" s="1051"/>
      <c r="AY225" s="1053"/>
      <c r="AZ225" s="1051"/>
      <c r="BA225" s="1051"/>
      <c r="BB225" s="1053"/>
      <c r="BC225" s="1051"/>
      <c r="BD225" s="1051"/>
      <c r="BE225" s="1053"/>
      <c r="BF225" s="1051"/>
      <c r="BG225" s="1051"/>
      <c r="BH225" s="1053"/>
      <c r="BI225" s="1052"/>
      <c r="BJ225" s="1052"/>
      <c r="BK225" s="1052"/>
      <c r="BL225" s="1052"/>
      <c r="BM225" s="1052"/>
      <c r="BN225" s="1054"/>
      <c r="BO225" s="1076">
        <f t="shared" si="4"/>
        <v>0</v>
      </c>
      <c r="BP225" s="1051"/>
      <c r="BQ225" s="1052"/>
      <c r="BR225" s="1054"/>
      <c r="BS225" s="1053"/>
      <c r="BT225" s="1051"/>
      <c r="BU225" s="1051"/>
      <c r="BV225" s="1051"/>
      <c r="BW225" s="1052"/>
      <c r="BX225" s="1052"/>
      <c r="BY225" s="1052"/>
      <c r="BZ225" s="1052"/>
      <c r="CA225" s="1052"/>
      <c r="CB225" s="1053"/>
      <c r="CC225" s="1053"/>
      <c r="CD225" s="1053"/>
      <c r="CE225" s="1053"/>
      <c r="CF225" s="1053"/>
      <c r="CG225" s="1053"/>
      <c r="CH225" s="1053"/>
      <c r="CI225" s="1123"/>
      <c r="CJ225" s="1123"/>
      <c r="CK225" s="1123"/>
      <c r="CL225" s="1123"/>
      <c r="CM225" s="1123"/>
      <c r="CN225" s="1123"/>
      <c r="CO225" s="1123"/>
      <c r="CP225" s="1123"/>
      <c r="CQ225" s="1123"/>
      <c r="CR225" s="1123"/>
      <c r="CS225" s="1123"/>
      <c r="CT225" s="1123"/>
      <c r="CU225" s="1123"/>
      <c r="CV225" s="1123"/>
      <c r="CW225" s="1123"/>
      <c r="CX225" s="1123"/>
      <c r="CY225" s="1123"/>
      <c r="CZ225" s="1114"/>
      <c r="DA225" s="1114"/>
      <c r="DB225" s="1114"/>
      <c r="DC225" s="1114"/>
      <c r="DD225" s="1114"/>
      <c r="DE225" s="1114"/>
      <c r="DF225" s="1114"/>
      <c r="DG225" s="1114"/>
      <c r="DH225" s="1114"/>
      <c r="DI225" s="1114"/>
      <c r="DJ225" s="1114"/>
      <c r="DK225" s="1114"/>
      <c r="DL225" s="1114"/>
      <c r="DM225" s="1114"/>
      <c r="DN225" s="1114"/>
      <c r="DO225" s="1114"/>
      <c r="DP225" s="1114"/>
      <c r="DQ225" s="1114"/>
      <c r="DR225" s="1114"/>
      <c r="DS225" s="1114"/>
      <c r="DT225" s="1114"/>
      <c r="DU225" s="1114"/>
      <c r="DV225" s="1115"/>
      <c r="DW225" s="1116"/>
      <c r="DX225" s="1116"/>
      <c r="DY225" s="1116"/>
      <c r="DZ225" s="1116"/>
      <c r="EA225" s="1116"/>
      <c r="EB225" s="1116"/>
      <c r="EC225" s="1116"/>
      <c r="ED225" s="1116"/>
      <c r="EE225" s="1116"/>
      <c r="EF225" s="1116"/>
      <c r="EG225" s="1116"/>
      <c r="EH225" s="1116"/>
      <c r="EI225" s="1116"/>
      <c r="EJ225" s="1116"/>
      <c r="EK225" s="1116"/>
      <c r="EL225" s="1116"/>
      <c r="EM225" s="1116"/>
      <c r="EN225" s="1116"/>
      <c r="EO225" s="1116"/>
      <c r="EP225" s="1116"/>
      <c r="EQ225" s="1116"/>
      <c r="ER225" s="1116"/>
      <c r="ES225" s="1116"/>
    </row>
    <row r="226" spans="1:149" ht="15" customHeight="1">
      <c r="A226" s="1185">
        <v>216</v>
      </c>
      <c r="B226" s="1041"/>
      <c r="C226" s="1050"/>
      <c r="D226" s="1050"/>
      <c r="E226" s="1050"/>
      <c r="F226" s="1049"/>
      <c r="G226" s="1049"/>
      <c r="H226" s="1049"/>
      <c r="I226" s="1049"/>
      <c r="J226" s="1050"/>
      <c r="K226" s="1050"/>
      <c r="L226" s="1043"/>
      <c r="M226" s="1051"/>
      <c r="N226" s="1051"/>
      <c r="O226" s="1052"/>
      <c r="P226" s="1051"/>
      <c r="Q226" s="1051"/>
      <c r="R226" s="1052"/>
      <c r="S226" s="1051"/>
      <c r="T226" s="1051"/>
      <c r="U226" s="1052"/>
      <c r="V226" s="1051"/>
      <c r="W226" s="1051"/>
      <c r="X226" s="1052"/>
      <c r="Y226" s="1053"/>
      <c r="Z226" s="1051"/>
      <c r="AA226" s="1051"/>
      <c r="AB226" s="1052"/>
      <c r="AC226" s="1051"/>
      <c r="AD226" s="1051"/>
      <c r="AE226" s="1052"/>
      <c r="AF226" s="1051"/>
      <c r="AG226" s="1051"/>
      <c r="AH226" s="1051"/>
      <c r="AI226" s="1051"/>
      <c r="AJ226" s="1052"/>
      <c r="AK226" s="1051"/>
      <c r="AL226" s="1051"/>
      <c r="AM226" s="1052"/>
      <c r="AN226" s="1051"/>
      <c r="AO226" s="1051"/>
      <c r="AP226" s="1052"/>
      <c r="AQ226" s="1051"/>
      <c r="AR226" s="1051"/>
      <c r="AS226" s="1052"/>
      <c r="AT226" s="1051"/>
      <c r="AU226" s="1051"/>
      <c r="AV226" s="1052"/>
      <c r="AW226" s="1051"/>
      <c r="AX226" s="1051"/>
      <c r="AY226" s="1053"/>
      <c r="AZ226" s="1051"/>
      <c r="BA226" s="1051"/>
      <c r="BB226" s="1053"/>
      <c r="BC226" s="1051"/>
      <c r="BD226" s="1051"/>
      <c r="BE226" s="1053"/>
      <c r="BF226" s="1051"/>
      <c r="BG226" s="1051"/>
      <c r="BH226" s="1053"/>
      <c r="BI226" s="1052"/>
      <c r="BJ226" s="1052"/>
      <c r="BK226" s="1052"/>
      <c r="BL226" s="1052"/>
      <c r="BM226" s="1052"/>
      <c r="BN226" s="1054"/>
      <c r="BO226" s="1076">
        <f t="shared" si="4"/>
        <v>0</v>
      </c>
      <c r="BP226" s="1051"/>
      <c r="BQ226" s="1052"/>
      <c r="BR226" s="1054"/>
      <c r="BS226" s="1053"/>
      <c r="BT226" s="1051"/>
      <c r="BU226" s="1051"/>
      <c r="BV226" s="1051"/>
      <c r="BW226" s="1052"/>
      <c r="BX226" s="1052"/>
      <c r="BY226" s="1052"/>
      <c r="BZ226" s="1052"/>
      <c r="CA226" s="1052"/>
      <c r="CB226" s="1053"/>
      <c r="CC226" s="1053"/>
      <c r="CD226" s="1053"/>
      <c r="CE226" s="1053"/>
      <c r="CF226" s="1053"/>
      <c r="CG226" s="1053"/>
      <c r="CH226" s="1053"/>
      <c r="CI226" s="1123"/>
      <c r="CJ226" s="1123"/>
      <c r="CK226" s="1123"/>
      <c r="CL226" s="1123"/>
      <c r="CM226" s="1123"/>
      <c r="CN226" s="1123"/>
      <c r="CO226" s="1123"/>
      <c r="CP226" s="1123"/>
      <c r="CQ226" s="1123"/>
      <c r="CR226" s="1123"/>
      <c r="CS226" s="1123"/>
      <c r="CT226" s="1123"/>
      <c r="CU226" s="1123"/>
      <c r="CV226" s="1123"/>
      <c r="CW226" s="1123"/>
      <c r="CX226" s="1123"/>
      <c r="CY226" s="1123"/>
      <c r="CZ226" s="1114"/>
      <c r="DA226" s="1114"/>
      <c r="DB226" s="1114"/>
      <c r="DC226" s="1114"/>
      <c r="DD226" s="1114"/>
      <c r="DE226" s="1114"/>
      <c r="DF226" s="1114"/>
      <c r="DG226" s="1114"/>
      <c r="DH226" s="1114"/>
      <c r="DI226" s="1114"/>
      <c r="DJ226" s="1114"/>
      <c r="DK226" s="1114"/>
      <c r="DL226" s="1114"/>
      <c r="DM226" s="1114"/>
      <c r="DN226" s="1114"/>
      <c r="DO226" s="1114"/>
      <c r="DP226" s="1114"/>
      <c r="DQ226" s="1114"/>
      <c r="DR226" s="1114"/>
      <c r="DS226" s="1114"/>
      <c r="DT226" s="1114"/>
      <c r="DU226" s="1114"/>
      <c r="DV226" s="1115"/>
      <c r="DW226" s="1116"/>
      <c r="DX226" s="1116"/>
      <c r="DY226" s="1116"/>
      <c r="DZ226" s="1116"/>
      <c r="EA226" s="1116"/>
      <c r="EB226" s="1116"/>
      <c r="EC226" s="1116"/>
      <c r="ED226" s="1116"/>
      <c r="EE226" s="1116"/>
      <c r="EF226" s="1116"/>
      <c r="EG226" s="1116"/>
      <c r="EH226" s="1116"/>
      <c r="EI226" s="1116"/>
      <c r="EJ226" s="1116"/>
      <c r="EK226" s="1116"/>
      <c r="EL226" s="1116"/>
      <c r="EM226" s="1116"/>
      <c r="EN226" s="1116"/>
      <c r="EO226" s="1116"/>
      <c r="EP226" s="1116"/>
      <c r="EQ226" s="1116"/>
      <c r="ER226" s="1116"/>
      <c r="ES226" s="1116"/>
    </row>
    <row r="227" spans="1:149" ht="15" customHeight="1">
      <c r="A227" s="1185">
        <v>217</v>
      </c>
      <c r="B227" s="1041"/>
      <c r="C227" s="1050"/>
      <c r="D227" s="1050"/>
      <c r="E227" s="1050"/>
      <c r="F227" s="1049"/>
      <c r="G227" s="1049"/>
      <c r="H227" s="1049"/>
      <c r="I227" s="1049"/>
      <c r="J227" s="1050"/>
      <c r="K227" s="1050"/>
      <c r="L227" s="1043"/>
      <c r="M227" s="1051"/>
      <c r="N227" s="1051"/>
      <c r="O227" s="1052"/>
      <c r="P227" s="1051"/>
      <c r="Q227" s="1051"/>
      <c r="R227" s="1052"/>
      <c r="S227" s="1051"/>
      <c r="T227" s="1051"/>
      <c r="U227" s="1052"/>
      <c r="V227" s="1051"/>
      <c r="W227" s="1051"/>
      <c r="X227" s="1052"/>
      <c r="Y227" s="1053"/>
      <c r="Z227" s="1051"/>
      <c r="AA227" s="1051"/>
      <c r="AB227" s="1052"/>
      <c r="AC227" s="1051"/>
      <c r="AD227" s="1051"/>
      <c r="AE227" s="1052"/>
      <c r="AF227" s="1051"/>
      <c r="AG227" s="1051"/>
      <c r="AH227" s="1051"/>
      <c r="AI227" s="1051"/>
      <c r="AJ227" s="1052"/>
      <c r="AK227" s="1051"/>
      <c r="AL227" s="1051"/>
      <c r="AM227" s="1052"/>
      <c r="AN227" s="1051"/>
      <c r="AO227" s="1051"/>
      <c r="AP227" s="1052"/>
      <c r="AQ227" s="1051"/>
      <c r="AR227" s="1051"/>
      <c r="AS227" s="1052"/>
      <c r="AT227" s="1051"/>
      <c r="AU227" s="1051"/>
      <c r="AV227" s="1052"/>
      <c r="AW227" s="1051"/>
      <c r="AX227" s="1051"/>
      <c r="AY227" s="1053"/>
      <c r="AZ227" s="1051"/>
      <c r="BA227" s="1051"/>
      <c r="BB227" s="1053"/>
      <c r="BC227" s="1051"/>
      <c r="BD227" s="1051"/>
      <c r="BE227" s="1053"/>
      <c r="BF227" s="1051"/>
      <c r="BG227" s="1051"/>
      <c r="BH227" s="1053"/>
      <c r="BI227" s="1052"/>
      <c r="BJ227" s="1052"/>
      <c r="BK227" s="1052"/>
      <c r="BL227" s="1052"/>
      <c r="BM227" s="1052"/>
      <c r="BN227" s="1054"/>
      <c r="BO227" s="1076">
        <f t="shared" si="4"/>
        <v>0</v>
      </c>
      <c r="BP227" s="1051"/>
      <c r="BQ227" s="1052"/>
      <c r="BR227" s="1054"/>
      <c r="BS227" s="1053"/>
      <c r="BT227" s="1051"/>
      <c r="BU227" s="1051"/>
      <c r="BV227" s="1051"/>
      <c r="BW227" s="1052"/>
      <c r="BX227" s="1052"/>
      <c r="BY227" s="1052"/>
      <c r="BZ227" s="1052"/>
      <c r="CA227" s="1052"/>
      <c r="CB227" s="1053"/>
      <c r="CC227" s="1053"/>
      <c r="CD227" s="1053"/>
      <c r="CE227" s="1053"/>
      <c r="CF227" s="1053"/>
      <c r="CG227" s="1053"/>
      <c r="CH227" s="1053"/>
      <c r="CI227" s="1123"/>
      <c r="CJ227" s="1123"/>
      <c r="CK227" s="1123"/>
      <c r="CL227" s="1123"/>
      <c r="CM227" s="1123"/>
      <c r="CN227" s="1123"/>
      <c r="CO227" s="1123"/>
      <c r="CP227" s="1123"/>
      <c r="CQ227" s="1123"/>
      <c r="CR227" s="1123"/>
      <c r="CS227" s="1123"/>
      <c r="CT227" s="1123"/>
      <c r="CU227" s="1123"/>
      <c r="CV227" s="1123"/>
      <c r="CW227" s="1123"/>
      <c r="CX227" s="1123"/>
      <c r="CY227" s="1123"/>
      <c r="CZ227" s="1114"/>
      <c r="DA227" s="1114"/>
      <c r="DB227" s="1114"/>
      <c r="DC227" s="1114"/>
      <c r="DD227" s="1114"/>
      <c r="DE227" s="1114"/>
      <c r="DF227" s="1114"/>
      <c r="DG227" s="1114"/>
      <c r="DH227" s="1114"/>
      <c r="DI227" s="1114"/>
      <c r="DJ227" s="1114"/>
      <c r="DK227" s="1114"/>
      <c r="DL227" s="1114"/>
      <c r="DM227" s="1114"/>
      <c r="DN227" s="1114"/>
      <c r="DO227" s="1114"/>
      <c r="DP227" s="1114"/>
      <c r="DQ227" s="1114"/>
      <c r="DR227" s="1114"/>
      <c r="DS227" s="1114"/>
      <c r="DT227" s="1114"/>
      <c r="DU227" s="1114"/>
      <c r="DV227" s="1115"/>
      <c r="DW227" s="1116"/>
      <c r="DX227" s="1116"/>
      <c r="DY227" s="1116"/>
      <c r="DZ227" s="1116"/>
      <c r="EA227" s="1116"/>
      <c r="EB227" s="1116"/>
      <c r="EC227" s="1116"/>
      <c r="ED227" s="1116"/>
      <c r="EE227" s="1116"/>
      <c r="EF227" s="1116"/>
      <c r="EG227" s="1116"/>
      <c r="EH227" s="1116"/>
      <c r="EI227" s="1116"/>
      <c r="EJ227" s="1116"/>
      <c r="EK227" s="1116"/>
      <c r="EL227" s="1116"/>
      <c r="EM227" s="1116"/>
      <c r="EN227" s="1116"/>
      <c r="EO227" s="1116"/>
      <c r="EP227" s="1116"/>
      <c r="EQ227" s="1116"/>
      <c r="ER227" s="1116"/>
      <c r="ES227" s="1116"/>
    </row>
    <row r="228" spans="1:149" ht="15" customHeight="1">
      <c r="A228" s="1185">
        <v>218</v>
      </c>
      <c r="B228" s="1041"/>
      <c r="C228" s="1050"/>
      <c r="D228" s="1050"/>
      <c r="E228" s="1050"/>
      <c r="F228" s="1049"/>
      <c r="G228" s="1049"/>
      <c r="H228" s="1049"/>
      <c r="I228" s="1049"/>
      <c r="J228" s="1050"/>
      <c r="K228" s="1050"/>
      <c r="L228" s="1043"/>
      <c r="M228" s="1051"/>
      <c r="N228" s="1051"/>
      <c r="O228" s="1052"/>
      <c r="P228" s="1051"/>
      <c r="Q228" s="1051"/>
      <c r="R228" s="1052"/>
      <c r="S228" s="1051"/>
      <c r="T228" s="1051"/>
      <c r="U228" s="1052"/>
      <c r="V228" s="1051"/>
      <c r="W228" s="1051"/>
      <c r="X228" s="1052"/>
      <c r="Y228" s="1053"/>
      <c r="Z228" s="1051"/>
      <c r="AA228" s="1051"/>
      <c r="AB228" s="1052"/>
      <c r="AC228" s="1051"/>
      <c r="AD228" s="1051"/>
      <c r="AE228" s="1052"/>
      <c r="AF228" s="1051"/>
      <c r="AG228" s="1051"/>
      <c r="AH228" s="1051"/>
      <c r="AI228" s="1051"/>
      <c r="AJ228" s="1052"/>
      <c r="AK228" s="1051"/>
      <c r="AL228" s="1051"/>
      <c r="AM228" s="1052"/>
      <c r="AN228" s="1051"/>
      <c r="AO228" s="1051"/>
      <c r="AP228" s="1052"/>
      <c r="AQ228" s="1051"/>
      <c r="AR228" s="1051"/>
      <c r="AS228" s="1052"/>
      <c r="AT228" s="1051"/>
      <c r="AU228" s="1051"/>
      <c r="AV228" s="1052"/>
      <c r="AW228" s="1051"/>
      <c r="AX228" s="1051"/>
      <c r="AY228" s="1053"/>
      <c r="AZ228" s="1051"/>
      <c r="BA228" s="1051"/>
      <c r="BB228" s="1053"/>
      <c r="BC228" s="1051"/>
      <c r="BD228" s="1051"/>
      <c r="BE228" s="1053"/>
      <c r="BF228" s="1051"/>
      <c r="BG228" s="1051"/>
      <c r="BH228" s="1053"/>
      <c r="BI228" s="1052"/>
      <c r="BJ228" s="1052"/>
      <c r="BK228" s="1052"/>
      <c r="BL228" s="1052"/>
      <c r="BM228" s="1052"/>
      <c r="BN228" s="1054"/>
      <c r="BO228" s="1076">
        <f t="shared" si="4"/>
        <v>0</v>
      </c>
      <c r="BP228" s="1051"/>
      <c r="BQ228" s="1052"/>
      <c r="BR228" s="1054"/>
      <c r="BS228" s="1053"/>
      <c r="BT228" s="1051"/>
      <c r="BU228" s="1051"/>
      <c r="BV228" s="1051"/>
      <c r="BW228" s="1052"/>
      <c r="BX228" s="1052"/>
      <c r="BY228" s="1052"/>
      <c r="BZ228" s="1052"/>
      <c r="CA228" s="1052"/>
      <c r="CB228" s="1053"/>
      <c r="CC228" s="1053"/>
      <c r="CD228" s="1053"/>
      <c r="CE228" s="1053"/>
      <c r="CF228" s="1053"/>
      <c r="CG228" s="1053"/>
      <c r="CH228" s="1053"/>
      <c r="CI228" s="1123"/>
      <c r="CJ228" s="1123"/>
      <c r="CK228" s="1123"/>
      <c r="CL228" s="1123"/>
      <c r="CM228" s="1123"/>
      <c r="CN228" s="1123"/>
      <c r="CO228" s="1123"/>
      <c r="CP228" s="1123"/>
      <c r="CQ228" s="1123"/>
      <c r="CR228" s="1123"/>
      <c r="CS228" s="1123"/>
      <c r="CT228" s="1123"/>
      <c r="CU228" s="1123"/>
      <c r="CV228" s="1123"/>
      <c r="CW228" s="1123"/>
      <c r="CX228" s="1123"/>
      <c r="CY228" s="1123"/>
      <c r="CZ228" s="1114"/>
      <c r="DA228" s="1114"/>
      <c r="DB228" s="1114"/>
      <c r="DC228" s="1114"/>
      <c r="DD228" s="1114"/>
      <c r="DE228" s="1114"/>
      <c r="DF228" s="1114"/>
      <c r="DG228" s="1114"/>
      <c r="DH228" s="1114"/>
      <c r="DI228" s="1114"/>
      <c r="DJ228" s="1114"/>
      <c r="DK228" s="1114"/>
      <c r="DL228" s="1114"/>
      <c r="DM228" s="1114"/>
      <c r="DN228" s="1114"/>
      <c r="DO228" s="1114"/>
      <c r="DP228" s="1114"/>
      <c r="DQ228" s="1114"/>
      <c r="DR228" s="1114"/>
      <c r="DS228" s="1114"/>
      <c r="DT228" s="1114"/>
      <c r="DU228" s="1114"/>
      <c r="DV228" s="1115"/>
      <c r="DW228" s="1116"/>
      <c r="DX228" s="1116"/>
      <c r="DY228" s="1116"/>
      <c r="DZ228" s="1116"/>
      <c r="EA228" s="1116"/>
      <c r="EB228" s="1116"/>
      <c r="EC228" s="1116"/>
      <c r="ED228" s="1116"/>
      <c r="EE228" s="1116"/>
      <c r="EF228" s="1116"/>
      <c r="EG228" s="1116"/>
      <c r="EH228" s="1116"/>
      <c r="EI228" s="1116"/>
      <c r="EJ228" s="1116"/>
      <c r="EK228" s="1116"/>
      <c r="EL228" s="1116"/>
      <c r="EM228" s="1116"/>
      <c r="EN228" s="1116"/>
      <c r="EO228" s="1116"/>
      <c r="EP228" s="1116"/>
      <c r="EQ228" s="1116"/>
      <c r="ER228" s="1116"/>
      <c r="ES228" s="1116"/>
    </row>
    <row r="229" spans="1:149" ht="15" customHeight="1">
      <c r="A229" s="1185">
        <v>219</v>
      </c>
      <c r="B229" s="1041"/>
      <c r="C229" s="1050"/>
      <c r="D229" s="1050"/>
      <c r="E229" s="1050"/>
      <c r="F229" s="1049"/>
      <c r="G229" s="1049"/>
      <c r="H229" s="1049"/>
      <c r="I229" s="1049"/>
      <c r="J229" s="1050"/>
      <c r="K229" s="1050"/>
      <c r="L229" s="1043"/>
      <c r="M229" s="1051"/>
      <c r="N229" s="1051"/>
      <c r="O229" s="1052"/>
      <c r="P229" s="1051"/>
      <c r="Q229" s="1051"/>
      <c r="R229" s="1052"/>
      <c r="S229" s="1051"/>
      <c r="T229" s="1051"/>
      <c r="U229" s="1052"/>
      <c r="V229" s="1051"/>
      <c r="W229" s="1051"/>
      <c r="X229" s="1052"/>
      <c r="Y229" s="1053"/>
      <c r="Z229" s="1051"/>
      <c r="AA229" s="1051"/>
      <c r="AB229" s="1052"/>
      <c r="AC229" s="1051"/>
      <c r="AD229" s="1051"/>
      <c r="AE229" s="1052"/>
      <c r="AF229" s="1051"/>
      <c r="AG229" s="1051"/>
      <c r="AH229" s="1051"/>
      <c r="AI229" s="1051"/>
      <c r="AJ229" s="1052"/>
      <c r="AK229" s="1051"/>
      <c r="AL229" s="1051"/>
      <c r="AM229" s="1052"/>
      <c r="AN229" s="1051"/>
      <c r="AO229" s="1051"/>
      <c r="AP229" s="1052"/>
      <c r="AQ229" s="1051"/>
      <c r="AR229" s="1051"/>
      <c r="AS229" s="1052"/>
      <c r="AT229" s="1051"/>
      <c r="AU229" s="1051"/>
      <c r="AV229" s="1052"/>
      <c r="AW229" s="1051"/>
      <c r="AX229" s="1051"/>
      <c r="AY229" s="1053"/>
      <c r="AZ229" s="1051"/>
      <c r="BA229" s="1051"/>
      <c r="BB229" s="1053"/>
      <c r="BC229" s="1051"/>
      <c r="BD229" s="1051"/>
      <c r="BE229" s="1053"/>
      <c r="BF229" s="1051"/>
      <c r="BG229" s="1051"/>
      <c r="BH229" s="1053"/>
      <c r="BI229" s="1052"/>
      <c r="BJ229" s="1052"/>
      <c r="BK229" s="1052"/>
      <c r="BL229" s="1052"/>
      <c r="BM229" s="1052"/>
      <c r="BN229" s="1054"/>
      <c r="BO229" s="1076">
        <f t="shared" si="4"/>
        <v>0</v>
      </c>
      <c r="BP229" s="1051"/>
      <c r="BQ229" s="1052"/>
      <c r="BR229" s="1054"/>
      <c r="BS229" s="1053"/>
      <c r="BT229" s="1051"/>
      <c r="BU229" s="1051"/>
      <c r="BV229" s="1051"/>
      <c r="BW229" s="1052"/>
      <c r="BX229" s="1052"/>
      <c r="BY229" s="1052"/>
      <c r="BZ229" s="1052"/>
      <c r="CA229" s="1052"/>
      <c r="CB229" s="1053"/>
      <c r="CC229" s="1053"/>
      <c r="CD229" s="1053"/>
      <c r="CE229" s="1053"/>
      <c r="CF229" s="1053"/>
      <c r="CG229" s="1053"/>
      <c r="CH229" s="1053"/>
      <c r="CI229" s="1123"/>
      <c r="CJ229" s="1123"/>
      <c r="CK229" s="1123"/>
      <c r="CL229" s="1123"/>
      <c r="CM229" s="1123"/>
      <c r="CN229" s="1123"/>
      <c r="CO229" s="1123"/>
      <c r="CP229" s="1123"/>
      <c r="CQ229" s="1123"/>
      <c r="CR229" s="1123"/>
      <c r="CS229" s="1123"/>
      <c r="CT229" s="1123"/>
      <c r="CU229" s="1123"/>
      <c r="CV229" s="1123"/>
      <c r="CW229" s="1123"/>
      <c r="CX229" s="1123"/>
      <c r="CY229" s="1123"/>
      <c r="CZ229" s="1114"/>
      <c r="DA229" s="1114"/>
      <c r="DB229" s="1114"/>
      <c r="DC229" s="1114"/>
      <c r="DD229" s="1114"/>
      <c r="DE229" s="1114"/>
      <c r="DF229" s="1114"/>
      <c r="DG229" s="1114"/>
      <c r="DH229" s="1114"/>
      <c r="DI229" s="1114"/>
      <c r="DJ229" s="1114"/>
      <c r="DK229" s="1114"/>
      <c r="DL229" s="1114"/>
      <c r="DM229" s="1114"/>
      <c r="DN229" s="1114"/>
      <c r="DO229" s="1114"/>
      <c r="DP229" s="1114"/>
      <c r="DQ229" s="1114"/>
      <c r="DR229" s="1114"/>
      <c r="DS229" s="1114"/>
      <c r="DT229" s="1114"/>
      <c r="DU229" s="1114"/>
      <c r="DV229" s="1115"/>
      <c r="DW229" s="1116"/>
      <c r="DX229" s="1116"/>
      <c r="DY229" s="1116"/>
      <c r="DZ229" s="1116"/>
      <c r="EA229" s="1116"/>
      <c r="EB229" s="1116"/>
      <c r="EC229" s="1116"/>
      <c r="ED229" s="1116"/>
      <c r="EE229" s="1116"/>
      <c r="EF229" s="1116"/>
      <c r="EG229" s="1116"/>
      <c r="EH229" s="1116"/>
      <c r="EI229" s="1116"/>
      <c r="EJ229" s="1116"/>
      <c r="EK229" s="1116"/>
      <c r="EL229" s="1116"/>
      <c r="EM229" s="1116"/>
      <c r="EN229" s="1116"/>
      <c r="EO229" s="1116"/>
      <c r="EP229" s="1116"/>
      <c r="EQ229" s="1116"/>
      <c r="ER229" s="1116"/>
      <c r="ES229" s="1116"/>
    </row>
    <row r="230" spans="1:149" ht="15" customHeight="1">
      <c r="A230" s="1185">
        <v>220</v>
      </c>
      <c r="B230" s="1041"/>
      <c r="C230" s="1050"/>
      <c r="D230" s="1050"/>
      <c r="E230" s="1050"/>
      <c r="F230" s="1049"/>
      <c r="G230" s="1049"/>
      <c r="H230" s="1049"/>
      <c r="I230" s="1049"/>
      <c r="J230" s="1050"/>
      <c r="K230" s="1050"/>
      <c r="L230" s="1043"/>
      <c r="M230" s="1051"/>
      <c r="N230" s="1051"/>
      <c r="O230" s="1052"/>
      <c r="P230" s="1051"/>
      <c r="Q230" s="1051"/>
      <c r="R230" s="1052"/>
      <c r="S230" s="1051"/>
      <c r="T230" s="1051"/>
      <c r="U230" s="1052"/>
      <c r="V230" s="1051"/>
      <c r="W230" s="1051"/>
      <c r="X230" s="1052"/>
      <c r="Y230" s="1053"/>
      <c r="Z230" s="1051"/>
      <c r="AA230" s="1051"/>
      <c r="AB230" s="1052"/>
      <c r="AC230" s="1051"/>
      <c r="AD230" s="1051"/>
      <c r="AE230" s="1052"/>
      <c r="AF230" s="1051"/>
      <c r="AG230" s="1051"/>
      <c r="AH230" s="1051"/>
      <c r="AI230" s="1051"/>
      <c r="AJ230" s="1052"/>
      <c r="AK230" s="1051"/>
      <c r="AL230" s="1051"/>
      <c r="AM230" s="1052"/>
      <c r="AN230" s="1051"/>
      <c r="AO230" s="1051"/>
      <c r="AP230" s="1052"/>
      <c r="AQ230" s="1051"/>
      <c r="AR230" s="1051"/>
      <c r="AS230" s="1052"/>
      <c r="AT230" s="1051"/>
      <c r="AU230" s="1051"/>
      <c r="AV230" s="1052"/>
      <c r="AW230" s="1051"/>
      <c r="AX230" s="1051"/>
      <c r="AY230" s="1053"/>
      <c r="AZ230" s="1051"/>
      <c r="BA230" s="1051"/>
      <c r="BB230" s="1053"/>
      <c r="BC230" s="1051"/>
      <c r="BD230" s="1051"/>
      <c r="BE230" s="1053"/>
      <c r="BF230" s="1051"/>
      <c r="BG230" s="1051"/>
      <c r="BH230" s="1053"/>
      <c r="BI230" s="1052"/>
      <c r="BJ230" s="1052"/>
      <c r="BK230" s="1052"/>
      <c r="BL230" s="1052"/>
      <c r="BM230" s="1052"/>
      <c r="BN230" s="1054"/>
      <c r="BO230" s="1076">
        <f t="shared" si="4"/>
        <v>0</v>
      </c>
      <c r="BP230" s="1051"/>
      <c r="BQ230" s="1052"/>
      <c r="BR230" s="1054"/>
      <c r="BS230" s="1053"/>
      <c r="BT230" s="1051"/>
      <c r="BU230" s="1051"/>
      <c r="BV230" s="1051"/>
      <c r="BW230" s="1052"/>
      <c r="BX230" s="1052"/>
      <c r="BY230" s="1052"/>
      <c r="BZ230" s="1052"/>
      <c r="CA230" s="1052"/>
      <c r="CB230" s="1053"/>
      <c r="CC230" s="1053"/>
      <c r="CD230" s="1053"/>
      <c r="CE230" s="1053"/>
      <c r="CF230" s="1053"/>
      <c r="CG230" s="1053"/>
      <c r="CH230" s="1053"/>
      <c r="CI230" s="1123"/>
      <c r="CJ230" s="1123"/>
      <c r="CK230" s="1123"/>
      <c r="CL230" s="1123"/>
      <c r="CM230" s="1123"/>
      <c r="CN230" s="1123"/>
      <c r="CO230" s="1123"/>
      <c r="CP230" s="1123"/>
      <c r="CQ230" s="1123"/>
      <c r="CR230" s="1123"/>
      <c r="CS230" s="1123"/>
      <c r="CT230" s="1123"/>
      <c r="CU230" s="1123"/>
      <c r="CV230" s="1123"/>
      <c r="CW230" s="1123"/>
      <c r="CX230" s="1123"/>
      <c r="CY230" s="1123"/>
      <c r="CZ230" s="1114"/>
      <c r="DA230" s="1114"/>
      <c r="DB230" s="1114"/>
      <c r="DC230" s="1114"/>
      <c r="DD230" s="1114"/>
      <c r="DE230" s="1114"/>
      <c r="DF230" s="1114"/>
      <c r="DG230" s="1114"/>
      <c r="DH230" s="1114"/>
      <c r="DI230" s="1114"/>
      <c r="DJ230" s="1114"/>
      <c r="DK230" s="1114"/>
      <c r="DL230" s="1114"/>
      <c r="DM230" s="1114"/>
      <c r="DN230" s="1114"/>
      <c r="DO230" s="1114"/>
      <c r="DP230" s="1114"/>
      <c r="DQ230" s="1114"/>
      <c r="DR230" s="1114"/>
      <c r="DS230" s="1114"/>
      <c r="DT230" s="1114"/>
      <c r="DU230" s="1114"/>
      <c r="DV230" s="1115"/>
      <c r="DW230" s="1116"/>
      <c r="DX230" s="1116"/>
      <c r="DY230" s="1116"/>
      <c r="DZ230" s="1116"/>
      <c r="EA230" s="1116"/>
      <c r="EB230" s="1116"/>
      <c r="EC230" s="1116"/>
      <c r="ED230" s="1116"/>
      <c r="EE230" s="1116"/>
      <c r="EF230" s="1116"/>
      <c r="EG230" s="1116"/>
      <c r="EH230" s="1116"/>
      <c r="EI230" s="1116"/>
      <c r="EJ230" s="1116"/>
      <c r="EK230" s="1116"/>
      <c r="EL230" s="1116"/>
      <c r="EM230" s="1116"/>
      <c r="EN230" s="1116"/>
      <c r="EO230" s="1116"/>
      <c r="EP230" s="1116"/>
      <c r="EQ230" s="1116"/>
      <c r="ER230" s="1116"/>
      <c r="ES230" s="1116"/>
    </row>
    <row r="231" spans="1:149" ht="15" customHeight="1">
      <c r="A231" s="1185">
        <v>221</v>
      </c>
      <c r="B231" s="1041"/>
      <c r="C231" s="1050"/>
      <c r="D231" s="1050"/>
      <c r="E231" s="1050"/>
      <c r="F231" s="1049"/>
      <c r="G231" s="1049"/>
      <c r="H231" s="1049"/>
      <c r="I231" s="1049"/>
      <c r="J231" s="1050"/>
      <c r="K231" s="1050"/>
      <c r="L231" s="1043"/>
      <c r="M231" s="1051"/>
      <c r="N231" s="1051"/>
      <c r="O231" s="1052"/>
      <c r="P231" s="1051"/>
      <c r="Q231" s="1051"/>
      <c r="R231" s="1052"/>
      <c r="S231" s="1051"/>
      <c r="T231" s="1051"/>
      <c r="U231" s="1052"/>
      <c r="V231" s="1051"/>
      <c r="W231" s="1051"/>
      <c r="X231" s="1052"/>
      <c r="Y231" s="1053"/>
      <c r="Z231" s="1051"/>
      <c r="AA231" s="1051"/>
      <c r="AB231" s="1052"/>
      <c r="AC231" s="1051"/>
      <c r="AD231" s="1051"/>
      <c r="AE231" s="1052"/>
      <c r="AF231" s="1051"/>
      <c r="AG231" s="1051"/>
      <c r="AH231" s="1051"/>
      <c r="AI231" s="1051"/>
      <c r="AJ231" s="1052"/>
      <c r="AK231" s="1051"/>
      <c r="AL231" s="1051"/>
      <c r="AM231" s="1052"/>
      <c r="AN231" s="1051"/>
      <c r="AO231" s="1051"/>
      <c r="AP231" s="1052"/>
      <c r="AQ231" s="1051"/>
      <c r="AR231" s="1051"/>
      <c r="AS231" s="1052"/>
      <c r="AT231" s="1051"/>
      <c r="AU231" s="1051"/>
      <c r="AV231" s="1052"/>
      <c r="AW231" s="1051"/>
      <c r="AX231" s="1051"/>
      <c r="AY231" s="1053"/>
      <c r="AZ231" s="1051"/>
      <c r="BA231" s="1051"/>
      <c r="BB231" s="1053"/>
      <c r="BC231" s="1051"/>
      <c r="BD231" s="1051"/>
      <c r="BE231" s="1053"/>
      <c r="BF231" s="1051"/>
      <c r="BG231" s="1051"/>
      <c r="BH231" s="1053"/>
      <c r="BI231" s="1052"/>
      <c r="BJ231" s="1052"/>
      <c r="BK231" s="1052"/>
      <c r="BL231" s="1052"/>
      <c r="BM231" s="1052"/>
      <c r="BN231" s="1054"/>
      <c r="BO231" s="1076">
        <f t="shared" si="4"/>
        <v>0</v>
      </c>
      <c r="BP231" s="1051"/>
      <c r="BQ231" s="1052"/>
      <c r="BR231" s="1054"/>
      <c r="BS231" s="1053"/>
      <c r="BT231" s="1051"/>
      <c r="BU231" s="1051"/>
      <c r="BV231" s="1051"/>
      <c r="BW231" s="1052"/>
      <c r="BX231" s="1052"/>
      <c r="BY231" s="1052"/>
      <c r="BZ231" s="1052"/>
      <c r="CA231" s="1052"/>
      <c r="CB231" s="1053"/>
      <c r="CC231" s="1053"/>
      <c r="CD231" s="1053"/>
      <c r="CE231" s="1053"/>
      <c r="CF231" s="1053"/>
      <c r="CG231" s="1053"/>
      <c r="CH231" s="1053"/>
      <c r="CI231" s="1123"/>
      <c r="CJ231" s="1123"/>
      <c r="CK231" s="1123"/>
      <c r="CL231" s="1123"/>
      <c r="CM231" s="1123"/>
      <c r="CN231" s="1123"/>
      <c r="CO231" s="1123"/>
      <c r="CP231" s="1123"/>
      <c r="CQ231" s="1123"/>
      <c r="CR231" s="1123"/>
      <c r="CS231" s="1123"/>
      <c r="CT231" s="1123"/>
      <c r="CU231" s="1123"/>
      <c r="CV231" s="1123"/>
      <c r="CW231" s="1123"/>
      <c r="CX231" s="1123"/>
      <c r="CY231" s="1123"/>
      <c r="CZ231" s="1114"/>
      <c r="DA231" s="1114"/>
      <c r="DB231" s="1114"/>
      <c r="DC231" s="1114"/>
      <c r="DD231" s="1114"/>
      <c r="DE231" s="1114"/>
      <c r="DF231" s="1114"/>
      <c r="DG231" s="1114"/>
      <c r="DH231" s="1114"/>
      <c r="DI231" s="1114"/>
      <c r="DJ231" s="1114"/>
      <c r="DK231" s="1114"/>
      <c r="DL231" s="1114"/>
      <c r="DM231" s="1114"/>
      <c r="DN231" s="1114"/>
      <c r="DO231" s="1114"/>
      <c r="DP231" s="1114"/>
      <c r="DQ231" s="1114"/>
      <c r="DR231" s="1114"/>
      <c r="DS231" s="1114"/>
      <c r="DT231" s="1114"/>
      <c r="DU231" s="1114"/>
      <c r="DV231" s="1115"/>
      <c r="DW231" s="1116"/>
      <c r="DX231" s="1116"/>
      <c r="DY231" s="1116"/>
      <c r="DZ231" s="1116"/>
      <c r="EA231" s="1116"/>
      <c r="EB231" s="1116"/>
      <c r="EC231" s="1116"/>
      <c r="ED231" s="1116"/>
      <c r="EE231" s="1116"/>
      <c r="EF231" s="1116"/>
      <c r="EG231" s="1116"/>
      <c r="EH231" s="1116"/>
      <c r="EI231" s="1116"/>
      <c r="EJ231" s="1116"/>
      <c r="EK231" s="1116"/>
      <c r="EL231" s="1116"/>
      <c r="EM231" s="1116"/>
      <c r="EN231" s="1116"/>
      <c r="EO231" s="1116"/>
      <c r="EP231" s="1116"/>
      <c r="EQ231" s="1116"/>
      <c r="ER231" s="1116"/>
      <c r="ES231" s="1116"/>
    </row>
    <row r="232" spans="1:149" ht="15" customHeight="1">
      <c r="A232" s="1185">
        <v>222</v>
      </c>
      <c r="B232" s="1041"/>
      <c r="C232" s="1050"/>
      <c r="D232" s="1050"/>
      <c r="E232" s="1050"/>
      <c r="F232" s="1049"/>
      <c r="G232" s="1049"/>
      <c r="H232" s="1049"/>
      <c r="I232" s="1049"/>
      <c r="J232" s="1050"/>
      <c r="K232" s="1050"/>
      <c r="L232" s="1043"/>
      <c r="M232" s="1051"/>
      <c r="N232" s="1051"/>
      <c r="O232" s="1052"/>
      <c r="P232" s="1051"/>
      <c r="Q232" s="1051"/>
      <c r="R232" s="1052"/>
      <c r="S232" s="1051"/>
      <c r="T232" s="1051"/>
      <c r="U232" s="1052"/>
      <c r="V232" s="1051"/>
      <c r="W232" s="1051"/>
      <c r="X232" s="1052"/>
      <c r="Y232" s="1053"/>
      <c r="Z232" s="1051"/>
      <c r="AA232" s="1051"/>
      <c r="AB232" s="1052"/>
      <c r="AC232" s="1051"/>
      <c r="AD232" s="1051"/>
      <c r="AE232" s="1052"/>
      <c r="AF232" s="1051"/>
      <c r="AG232" s="1051"/>
      <c r="AH232" s="1051"/>
      <c r="AI232" s="1051"/>
      <c r="AJ232" s="1052"/>
      <c r="AK232" s="1051"/>
      <c r="AL232" s="1051"/>
      <c r="AM232" s="1052"/>
      <c r="AN232" s="1051"/>
      <c r="AO232" s="1051"/>
      <c r="AP232" s="1052"/>
      <c r="AQ232" s="1051"/>
      <c r="AR232" s="1051"/>
      <c r="AS232" s="1052"/>
      <c r="AT232" s="1051"/>
      <c r="AU232" s="1051"/>
      <c r="AV232" s="1052"/>
      <c r="AW232" s="1051"/>
      <c r="AX232" s="1051"/>
      <c r="AY232" s="1053"/>
      <c r="AZ232" s="1051"/>
      <c r="BA232" s="1051"/>
      <c r="BB232" s="1053"/>
      <c r="BC232" s="1051"/>
      <c r="BD232" s="1051"/>
      <c r="BE232" s="1053"/>
      <c r="BF232" s="1051"/>
      <c r="BG232" s="1051"/>
      <c r="BH232" s="1053"/>
      <c r="BI232" s="1052"/>
      <c r="BJ232" s="1052"/>
      <c r="BK232" s="1052"/>
      <c r="BL232" s="1052"/>
      <c r="BM232" s="1052"/>
      <c r="BN232" s="1054"/>
      <c r="BO232" s="1076">
        <f t="shared" si="4"/>
        <v>0</v>
      </c>
      <c r="BP232" s="1051"/>
      <c r="BQ232" s="1052"/>
      <c r="BR232" s="1054"/>
      <c r="BS232" s="1053"/>
      <c r="BT232" s="1051"/>
      <c r="BU232" s="1051"/>
      <c r="BV232" s="1051"/>
      <c r="BW232" s="1052"/>
      <c r="BX232" s="1052"/>
      <c r="BY232" s="1052"/>
      <c r="BZ232" s="1052"/>
      <c r="CA232" s="1052"/>
      <c r="CB232" s="1053"/>
      <c r="CC232" s="1053"/>
      <c r="CD232" s="1053"/>
      <c r="CE232" s="1053"/>
      <c r="CF232" s="1053"/>
      <c r="CG232" s="1053"/>
      <c r="CH232" s="1053"/>
      <c r="CI232" s="1123"/>
      <c r="CJ232" s="1123"/>
      <c r="CK232" s="1123"/>
      <c r="CL232" s="1123"/>
      <c r="CM232" s="1123"/>
      <c r="CN232" s="1123"/>
      <c r="CO232" s="1123"/>
      <c r="CP232" s="1123"/>
      <c r="CQ232" s="1123"/>
      <c r="CR232" s="1123"/>
      <c r="CS232" s="1123"/>
      <c r="CT232" s="1123"/>
      <c r="CU232" s="1123"/>
      <c r="CV232" s="1123"/>
      <c r="CW232" s="1123"/>
      <c r="CX232" s="1123"/>
      <c r="CY232" s="1123"/>
      <c r="CZ232" s="1114"/>
      <c r="DA232" s="1114"/>
      <c r="DB232" s="1114"/>
      <c r="DC232" s="1114"/>
      <c r="DD232" s="1114"/>
      <c r="DE232" s="1114"/>
      <c r="DF232" s="1114"/>
      <c r="DG232" s="1114"/>
      <c r="DH232" s="1114"/>
      <c r="DI232" s="1114"/>
      <c r="DJ232" s="1114"/>
      <c r="DK232" s="1114"/>
      <c r="DL232" s="1114"/>
      <c r="DM232" s="1114"/>
      <c r="DN232" s="1114"/>
      <c r="DO232" s="1114"/>
      <c r="DP232" s="1114"/>
      <c r="DQ232" s="1114"/>
      <c r="DR232" s="1114"/>
      <c r="DS232" s="1114"/>
      <c r="DT232" s="1114"/>
      <c r="DU232" s="1114"/>
      <c r="DV232" s="1115"/>
      <c r="DW232" s="1116"/>
      <c r="DX232" s="1116"/>
      <c r="DY232" s="1116"/>
      <c r="DZ232" s="1116"/>
      <c r="EA232" s="1116"/>
      <c r="EB232" s="1116"/>
      <c r="EC232" s="1116"/>
      <c r="ED232" s="1116"/>
      <c r="EE232" s="1116"/>
      <c r="EF232" s="1116"/>
      <c r="EG232" s="1116"/>
      <c r="EH232" s="1116"/>
      <c r="EI232" s="1116"/>
      <c r="EJ232" s="1116"/>
      <c r="EK232" s="1116"/>
      <c r="EL232" s="1116"/>
      <c r="EM232" s="1116"/>
      <c r="EN232" s="1116"/>
      <c r="EO232" s="1116"/>
      <c r="EP232" s="1116"/>
      <c r="EQ232" s="1116"/>
      <c r="ER232" s="1116"/>
      <c r="ES232" s="1116"/>
    </row>
    <row r="233" spans="1:149" ht="15" customHeight="1">
      <c r="A233" s="1185">
        <v>223</v>
      </c>
      <c r="B233" s="1041"/>
      <c r="C233" s="1050"/>
      <c r="D233" s="1050"/>
      <c r="E233" s="1050"/>
      <c r="F233" s="1049"/>
      <c r="G233" s="1049"/>
      <c r="H233" s="1049"/>
      <c r="I233" s="1049"/>
      <c r="J233" s="1050"/>
      <c r="K233" s="1050"/>
      <c r="L233" s="1043"/>
      <c r="M233" s="1051"/>
      <c r="N233" s="1051"/>
      <c r="O233" s="1052"/>
      <c r="P233" s="1051"/>
      <c r="Q233" s="1051"/>
      <c r="R233" s="1052"/>
      <c r="S233" s="1051"/>
      <c r="T233" s="1051"/>
      <c r="U233" s="1052"/>
      <c r="V233" s="1051"/>
      <c r="W233" s="1051"/>
      <c r="X233" s="1052"/>
      <c r="Y233" s="1053"/>
      <c r="Z233" s="1051"/>
      <c r="AA233" s="1051"/>
      <c r="AB233" s="1052"/>
      <c r="AC233" s="1051"/>
      <c r="AD233" s="1051"/>
      <c r="AE233" s="1052"/>
      <c r="AF233" s="1051"/>
      <c r="AG233" s="1051"/>
      <c r="AH233" s="1051"/>
      <c r="AI233" s="1051"/>
      <c r="AJ233" s="1052"/>
      <c r="AK233" s="1051"/>
      <c r="AL233" s="1051"/>
      <c r="AM233" s="1052"/>
      <c r="AN233" s="1051"/>
      <c r="AO233" s="1051"/>
      <c r="AP233" s="1052"/>
      <c r="AQ233" s="1051"/>
      <c r="AR233" s="1051"/>
      <c r="AS233" s="1052"/>
      <c r="AT233" s="1051"/>
      <c r="AU233" s="1051"/>
      <c r="AV233" s="1052"/>
      <c r="AW233" s="1051"/>
      <c r="AX233" s="1051"/>
      <c r="AY233" s="1053"/>
      <c r="AZ233" s="1051"/>
      <c r="BA233" s="1051"/>
      <c r="BB233" s="1053"/>
      <c r="BC233" s="1051"/>
      <c r="BD233" s="1051"/>
      <c r="BE233" s="1053"/>
      <c r="BF233" s="1051"/>
      <c r="BG233" s="1051"/>
      <c r="BH233" s="1053"/>
      <c r="BI233" s="1052"/>
      <c r="BJ233" s="1052"/>
      <c r="BK233" s="1052"/>
      <c r="BL233" s="1052"/>
      <c r="BM233" s="1052"/>
      <c r="BN233" s="1054"/>
      <c r="BO233" s="1076">
        <f t="shared" si="4"/>
        <v>0</v>
      </c>
      <c r="BP233" s="1051"/>
      <c r="BQ233" s="1052"/>
      <c r="BR233" s="1054"/>
      <c r="BS233" s="1053"/>
      <c r="BT233" s="1051"/>
      <c r="BU233" s="1051"/>
      <c r="BV233" s="1051"/>
      <c r="BW233" s="1052"/>
      <c r="BX233" s="1052"/>
      <c r="BY233" s="1052"/>
      <c r="BZ233" s="1052"/>
      <c r="CA233" s="1052"/>
      <c r="CB233" s="1053"/>
      <c r="CC233" s="1053"/>
      <c r="CD233" s="1053"/>
      <c r="CE233" s="1053"/>
      <c r="CF233" s="1053"/>
      <c r="CG233" s="1053"/>
      <c r="CH233" s="1053"/>
      <c r="CI233" s="1123"/>
      <c r="CJ233" s="1123"/>
      <c r="CK233" s="1123"/>
      <c r="CL233" s="1123"/>
      <c r="CM233" s="1123"/>
      <c r="CN233" s="1123"/>
      <c r="CO233" s="1123"/>
      <c r="CP233" s="1123"/>
      <c r="CQ233" s="1123"/>
      <c r="CR233" s="1123"/>
      <c r="CS233" s="1123"/>
      <c r="CT233" s="1123"/>
      <c r="CU233" s="1123"/>
      <c r="CV233" s="1123"/>
      <c r="CW233" s="1123"/>
      <c r="CX233" s="1123"/>
      <c r="CY233" s="1123"/>
      <c r="CZ233" s="1114"/>
      <c r="DA233" s="1114"/>
      <c r="DB233" s="1114"/>
      <c r="DC233" s="1114"/>
      <c r="DD233" s="1114"/>
      <c r="DE233" s="1114"/>
      <c r="DF233" s="1114"/>
      <c r="DG233" s="1114"/>
      <c r="DH233" s="1114"/>
      <c r="DI233" s="1114"/>
      <c r="DJ233" s="1114"/>
      <c r="DK233" s="1114"/>
      <c r="DL233" s="1114"/>
      <c r="DM233" s="1114"/>
      <c r="DN233" s="1114"/>
      <c r="DO233" s="1114"/>
      <c r="DP233" s="1114"/>
      <c r="DQ233" s="1114"/>
      <c r="DR233" s="1114"/>
      <c r="DS233" s="1114"/>
      <c r="DT233" s="1114"/>
      <c r="DU233" s="1114"/>
      <c r="DV233" s="1115"/>
      <c r="DW233" s="1116"/>
      <c r="DX233" s="1116"/>
      <c r="DY233" s="1116"/>
      <c r="DZ233" s="1116"/>
      <c r="EA233" s="1116"/>
      <c r="EB233" s="1116"/>
      <c r="EC233" s="1116"/>
      <c r="ED233" s="1116"/>
      <c r="EE233" s="1116"/>
      <c r="EF233" s="1116"/>
      <c r="EG233" s="1116"/>
      <c r="EH233" s="1116"/>
      <c r="EI233" s="1116"/>
      <c r="EJ233" s="1116"/>
      <c r="EK233" s="1116"/>
      <c r="EL233" s="1116"/>
      <c r="EM233" s="1116"/>
      <c r="EN233" s="1116"/>
      <c r="EO233" s="1116"/>
      <c r="EP233" s="1116"/>
      <c r="EQ233" s="1116"/>
      <c r="ER233" s="1116"/>
      <c r="ES233" s="1116"/>
    </row>
    <row r="234" spans="1:149" ht="15" customHeight="1">
      <c r="A234" s="1185">
        <v>224</v>
      </c>
      <c r="B234" s="1041"/>
      <c r="C234" s="1050"/>
      <c r="D234" s="1050"/>
      <c r="E234" s="1050"/>
      <c r="F234" s="1049"/>
      <c r="G234" s="1049"/>
      <c r="H234" s="1049"/>
      <c r="I234" s="1049"/>
      <c r="J234" s="1050"/>
      <c r="K234" s="1050"/>
      <c r="L234" s="1043"/>
      <c r="M234" s="1051"/>
      <c r="N234" s="1051"/>
      <c r="O234" s="1052"/>
      <c r="P234" s="1051"/>
      <c r="Q234" s="1051"/>
      <c r="R234" s="1052"/>
      <c r="S234" s="1051"/>
      <c r="T234" s="1051"/>
      <c r="U234" s="1052"/>
      <c r="V234" s="1051"/>
      <c r="W234" s="1051"/>
      <c r="X234" s="1052"/>
      <c r="Y234" s="1053"/>
      <c r="Z234" s="1051"/>
      <c r="AA234" s="1051"/>
      <c r="AB234" s="1052"/>
      <c r="AC234" s="1051"/>
      <c r="AD234" s="1051"/>
      <c r="AE234" s="1052"/>
      <c r="AF234" s="1051"/>
      <c r="AG234" s="1051"/>
      <c r="AH234" s="1051"/>
      <c r="AI234" s="1051"/>
      <c r="AJ234" s="1052"/>
      <c r="AK234" s="1051"/>
      <c r="AL234" s="1051"/>
      <c r="AM234" s="1052"/>
      <c r="AN234" s="1051"/>
      <c r="AO234" s="1051"/>
      <c r="AP234" s="1052"/>
      <c r="AQ234" s="1051"/>
      <c r="AR234" s="1051"/>
      <c r="AS234" s="1052"/>
      <c r="AT234" s="1051"/>
      <c r="AU234" s="1051"/>
      <c r="AV234" s="1052"/>
      <c r="AW234" s="1051"/>
      <c r="AX234" s="1051"/>
      <c r="AY234" s="1053"/>
      <c r="AZ234" s="1051"/>
      <c r="BA234" s="1051"/>
      <c r="BB234" s="1053"/>
      <c r="BC234" s="1051"/>
      <c r="BD234" s="1051"/>
      <c r="BE234" s="1053"/>
      <c r="BF234" s="1051"/>
      <c r="BG234" s="1051"/>
      <c r="BH234" s="1053"/>
      <c r="BI234" s="1052"/>
      <c r="BJ234" s="1052"/>
      <c r="BK234" s="1052"/>
      <c r="BL234" s="1052"/>
      <c r="BM234" s="1052"/>
      <c r="BN234" s="1054"/>
      <c r="BO234" s="1076">
        <f t="shared" si="4"/>
        <v>0</v>
      </c>
      <c r="BP234" s="1051"/>
      <c r="BQ234" s="1052"/>
      <c r="BR234" s="1054"/>
      <c r="BS234" s="1053"/>
      <c r="BT234" s="1051"/>
      <c r="BU234" s="1051"/>
      <c r="BV234" s="1051"/>
      <c r="BW234" s="1052"/>
      <c r="BX234" s="1052"/>
      <c r="BY234" s="1052"/>
      <c r="BZ234" s="1052"/>
      <c r="CA234" s="1052"/>
      <c r="CB234" s="1053"/>
      <c r="CC234" s="1053"/>
      <c r="CD234" s="1053"/>
      <c r="CE234" s="1053"/>
      <c r="CF234" s="1053"/>
      <c r="CG234" s="1053"/>
      <c r="CH234" s="1053"/>
      <c r="CI234" s="1123"/>
      <c r="CJ234" s="1123"/>
      <c r="CK234" s="1123"/>
      <c r="CL234" s="1123"/>
      <c r="CM234" s="1123"/>
      <c r="CN234" s="1123"/>
      <c r="CO234" s="1123"/>
      <c r="CP234" s="1123"/>
      <c r="CQ234" s="1123"/>
      <c r="CR234" s="1123"/>
      <c r="CS234" s="1123"/>
      <c r="CT234" s="1123"/>
      <c r="CU234" s="1123"/>
      <c r="CV234" s="1123"/>
      <c r="CW234" s="1123"/>
      <c r="CX234" s="1123"/>
      <c r="CY234" s="1123"/>
      <c r="CZ234" s="1114"/>
      <c r="DA234" s="1114"/>
      <c r="DB234" s="1114"/>
      <c r="DC234" s="1114"/>
      <c r="DD234" s="1114"/>
      <c r="DE234" s="1114"/>
      <c r="DF234" s="1114"/>
      <c r="DG234" s="1114"/>
      <c r="DH234" s="1114"/>
      <c r="DI234" s="1114"/>
      <c r="DJ234" s="1114"/>
      <c r="DK234" s="1114"/>
      <c r="DL234" s="1114"/>
      <c r="DM234" s="1114"/>
      <c r="DN234" s="1114"/>
      <c r="DO234" s="1114"/>
      <c r="DP234" s="1114"/>
      <c r="DQ234" s="1114"/>
      <c r="DR234" s="1114"/>
      <c r="DS234" s="1114"/>
      <c r="DT234" s="1114"/>
      <c r="DU234" s="1114"/>
      <c r="DV234" s="1115"/>
      <c r="DW234" s="1116"/>
      <c r="DX234" s="1116"/>
      <c r="DY234" s="1116"/>
      <c r="DZ234" s="1116"/>
      <c r="EA234" s="1116"/>
      <c r="EB234" s="1116"/>
      <c r="EC234" s="1116"/>
      <c r="ED234" s="1116"/>
      <c r="EE234" s="1116"/>
      <c r="EF234" s="1116"/>
      <c r="EG234" s="1116"/>
      <c r="EH234" s="1116"/>
      <c r="EI234" s="1116"/>
      <c r="EJ234" s="1116"/>
      <c r="EK234" s="1116"/>
      <c r="EL234" s="1116"/>
      <c r="EM234" s="1116"/>
      <c r="EN234" s="1116"/>
      <c r="EO234" s="1116"/>
      <c r="EP234" s="1116"/>
      <c r="EQ234" s="1116"/>
      <c r="ER234" s="1116"/>
      <c r="ES234" s="1116"/>
    </row>
    <row r="235" spans="1:149" ht="15" customHeight="1">
      <c r="A235" s="1185">
        <v>225</v>
      </c>
      <c r="B235" s="1041"/>
      <c r="C235" s="1050"/>
      <c r="D235" s="1050"/>
      <c r="E235" s="1050"/>
      <c r="F235" s="1049"/>
      <c r="G235" s="1049"/>
      <c r="H235" s="1049"/>
      <c r="I235" s="1049"/>
      <c r="J235" s="1050"/>
      <c r="K235" s="1050"/>
      <c r="L235" s="1043"/>
      <c r="M235" s="1051"/>
      <c r="N235" s="1051"/>
      <c r="O235" s="1052"/>
      <c r="P235" s="1051"/>
      <c r="Q235" s="1051"/>
      <c r="R235" s="1052"/>
      <c r="S235" s="1051"/>
      <c r="T235" s="1051"/>
      <c r="U235" s="1052"/>
      <c r="V235" s="1051"/>
      <c r="W235" s="1051"/>
      <c r="X235" s="1052"/>
      <c r="Y235" s="1053"/>
      <c r="Z235" s="1051"/>
      <c r="AA235" s="1051"/>
      <c r="AB235" s="1052"/>
      <c r="AC235" s="1051"/>
      <c r="AD235" s="1051"/>
      <c r="AE235" s="1052"/>
      <c r="AF235" s="1051"/>
      <c r="AG235" s="1051"/>
      <c r="AH235" s="1051"/>
      <c r="AI235" s="1051"/>
      <c r="AJ235" s="1052"/>
      <c r="AK235" s="1051"/>
      <c r="AL235" s="1051"/>
      <c r="AM235" s="1052"/>
      <c r="AN235" s="1051"/>
      <c r="AO235" s="1051"/>
      <c r="AP235" s="1052"/>
      <c r="AQ235" s="1051"/>
      <c r="AR235" s="1051"/>
      <c r="AS235" s="1052"/>
      <c r="AT235" s="1051"/>
      <c r="AU235" s="1051"/>
      <c r="AV235" s="1052"/>
      <c r="AW235" s="1051"/>
      <c r="AX235" s="1051"/>
      <c r="AY235" s="1053"/>
      <c r="AZ235" s="1051"/>
      <c r="BA235" s="1051"/>
      <c r="BB235" s="1053"/>
      <c r="BC235" s="1051"/>
      <c r="BD235" s="1051"/>
      <c r="BE235" s="1053"/>
      <c r="BF235" s="1051"/>
      <c r="BG235" s="1051"/>
      <c r="BH235" s="1053"/>
      <c r="BI235" s="1052"/>
      <c r="BJ235" s="1052"/>
      <c r="BK235" s="1052"/>
      <c r="BL235" s="1052"/>
      <c r="BM235" s="1052"/>
      <c r="BN235" s="1054"/>
      <c r="BO235" s="1076">
        <f t="shared" si="4"/>
        <v>0</v>
      </c>
      <c r="BP235" s="1051"/>
      <c r="BQ235" s="1052"/>
      <c r="BR235" s="1054"/>
      <c r="BS235" s="1053"/>
      <c r="BT235" s="1051"/>
      <c r="BU235" s="1051"/>
      <c r="BV235" s="1051"/>
      <c r="BW235" s="1052"/>
      <c r="BX235" s="1052"/>
      <c r="BY235" s="1052"/>
      <c r="BZ235" s="1052"/>
      <c r="CA235" s="1052"/>
      <c r="CB235" s="1053"/>
      <c r="CC235" s="1053"/>
      <c r="CD235" s="1053"/>
      <c r="CE235" s="1053"/>
      <c r="CF235" s="1053"/>
      <c r="CG235" s="1053"/>
      <c r="CH235" s="1053"/>
      <c r="CI235" s="1123"/>
      <c r="CJ235" s="1123"/>
      <c r="CK235" s="1123"/>
      <c r="CL235" s="1123"/>
      <c r="CM235" s="1123"/>
      <c r="CN235" s="1123"/>
      <c r="CO235" s="1123"/>
      <c r="CP235" s="1123"/>
      <c r="CQ235" s="1123"/>
      <c r="CR235" s="1123"/>
      <c r="CS235" s="1123"/>
      <c r="CT235" s="1123"/>
      <c r="CU235" s="1123"/>
      <c r="CV235" s="1123"/>
      <c r="CW235" s="1123"/>
      <c r="CX235" s="1123"/>
      <c r="CY235" s="1123"/>
      <c r="CZ235" s="1114"/>
      <c r="DA235" s="1114"/>
      <c r="DB235" s="1114"/>
      <c r="DC235" s="1114"/>
      <c r="DD235" s="1114"/>
      <c r="DE235" s="1114"/>
      <c r="DF235" s="1114"/>
      <c r="DG235" s="1114"/>
      <c r="DH235" s="1114"/>
      <c r="DI235" s="1114"/>
      <c r="DJ235" s="1114"/>
      <c r="DK235" s="1114"/>
      <c r="DL235" s="1114"/>
      <c r="DM235" s="1114"/>
      <c r="DN235" s="1114"/>
      <c r="DO235" s="1114"/>
      <c r="DP235" s="1114"/>
      <c r="DQ235" s="1114"/>
      <c r="DR235" s="1114"/>
      <c r="DS235" s="1114"/>
      <c r="DT235" s="1114"/>
      <c r="DU235" s="1114"/>
      <c r="DV235" s="1115"/>
      <c r="DW235" s="1116"/>
      <c r="DX235" s="1116"/>
      <c r="DY235" s="1116"/>
      <c r="DZ235" s="1116"/>
      <c r="EA235" s="1116"/>
      <c r="EB235" s="1116"/>
      <c r="EC235" s="1116"/>
      <c r="ED235" s="1116"/>
      <c r="EE235" s="1116"/>
      <c r="EF235" s="1116"/>
      <c r="EG235" s="1116"/>
      <c r="EH235" s="1116"/>
      <c r="EI235" s="1116"/>
      <c r="EJ235" s="1116"/>
      <c r="EK235" s="1116"/>
      <c r="EL235" s="1116"/>
      <c r="EM235" s="1116"/>
      <c r="EN235" s="1116"/>
      <c r="EO235" s="1116"/>
      <c r="EP235" s="1116"/>
      <c r="EQ235" s="1116"/>
      <c r="ER235" s="1116"/>
      <c r="ES235" s="1116"/>
    </row>
    <row r="236" spans="1:149" ht="15" customHeight="1">
      <c r="A236" s="1185">
        <v>226</v>
      </c>
      <c r="B236" s="1041"/>
      <c r="C236" s="1050"/>
      <c r="D236" s="1050"/>
      <c r="E236" s="1050"/>
      <c r="F236" s="1049"/>
      <c r="G236" s="1049"/>
      <c r="H236" s="1049"/>
      <c r="I236" s="1049"/>
      <c r="J236" s="1050"/>
      <c r="K236" s="1050"/>
      <c r="L236" s="1043"/>
      <c r="M236" s="1051"/>
      <c r="N236" s="1051"/>
      <c r="O236" s="1052"/>
      <c r="P236" s="1051"/>
      <c r="Q236" s="1051"/>
      <c r="R236" s="1052"/>
      <c r="S236" s="1051"/>
      <c r="T236" s="1051"/>
      <c r="U236" s="1052"/>
      <c r="V236" s="1051"/>
      <c r="W236" s="1051"/>
      <c r="X236" s="1052"/>
      <c r="Y236" s="1053"/>
      <c r="Z236" s="1051"/>
      <c r="AA236" s="1051"/>
      <c r="AB236" s="1052"/>
      <c r="AC236" s="1051"/>
      <c r="AD236" s="1051"/>
      <c r="AE236" s="1052"/>
      <c r="AF236" s="1051"/>
      <c r="AG236" s="1051"/>
      <c r="AH236" s="1051"/>
      <c r="AI236" s="1051"/>
      <c r="AJ236" s="1052"/>
      <c r="AK236" s="1051"/>
      <c r="AL236" s="1051"/>
      <c r="AM236" s="1052"/>
      <c r="AN236" s="1051"/>
      <c r="AO236" s="1051"/>
      <c r="AP236" s="1052"/>
      <c r="AQ236" s="1051"/>
      <c r="AR236" s="1051"/>
      <c r="AS236" s="1052"/>
      <c r="AT236" s="1051"/>
      <c r="AU236" s="1051"/>
      <c r="AV236" s="1052"/>
      <c r="AW236" s="1051"/>
      <c r="AX236" s="1051"/>
      <c r="AY236" s="1053"/>
      <c r="AZ236" s="1051"/>
      <c r="BA236" s="1051"/>
      <c r="BB236" s="1053"/>
      <c r="BC236" s="1051"/>
      <c r="BD236" s="1051"/>
      <c r="BE236" s="1053"/>
      <c r="BF236" s="1051"/>
      <c r="BG236" s="1051"/>
      <c r="BH236" s="1053"/>
      <c r="BI236" s="1052"/>
      <c r="BJ236" s="1052"/>
      <c r="BK236" s="1052"/>
      <c r="BL236" s="1052"/>
      <c r="BM236" s="1052"/>
      <c r="BN236" s="1054"/>
      <c r="BO236" s="1076">
        <f t="shared" si="4"/>
        <v>0</v>
      </c>
      <c r="BP236" s="1051"/>
      <c r="BQ236" s="1052"/>
      <c r="BR236" s="1054"/>
      <c r="BS236" s="1053"/>
      <c r="BT236" s="1051"/>
      <c r="BU236" s="1051"/>
      <c r="BV236" s="1051"/>
      <c r="BW236" s="1052"/>
      <c r="BX236" s="1052"/>
      <c r="BY236" s="1052"/>
      <c r="BZ236" s="1052"/>
      <c r="CA236" s="1052"/>
      <c r="CB236" s="1053"/>
      <c r="CC236" s="1053"/>
      <c r="CD236" s="1053"/>
      <c r="CE236" s="1053"/>
      <c r="CF236" s="1053"/>
      <c r="CG236" s="1053"/>
      <c r="CH236" s="1053"/>
      <c r="CI236" s="1123"/>
      <c r="CJ236" s="1123"/>
      <c r="CK236" s="1123"/>
      <c r="CL236" s="1123"/>
      <c r="CM236" s="1123"/>
      <c r="CN236" s="1123"/>
      <c r="CO236" s="1123"/>
      <c r="CP236" s="1123"/>
      <c r="CQ236" s="1123"/>
      <c r="CR236" s="1123"/>
      <c r="CS236" s="1123"/>
      <c r="CT236" s="1123"/>
      <c r="CU236" s="1123"/>
      <c r="CV236" s="1123"/>
      <c r="CW236" s="1123"/>
      <c r="CX236" s="1123"/>
      <c r="CY236" s="1123"/>
      <c r="CZ236" s="1114"/>
      <c r="DA236" s="1114"/>
      <c r="DB236" s="1114"/>
      <c r="DC236" s="1114"/>
      <c r="DD236" s="1114"/>
      <c r="DE236" s="1114"/>
      <c r="DF236" s="1114"/>
      <c r="DG236" s="1114"/>
      <c r="DH236" s="1114"/>
      <c r="DI236" s="1114"/>
      <c r="DJ236" s="1114"/>
      <c r="DK236" s="1114"/>
      <c r="DL236" s="1114"/>
      <c r="DM236" s="1114"/>
      <c r="DN236" s="1114"/>
      <c r="DO236" s="1114"/>
      <c r="DP236" s="1114"/>
      <c r="DQ236" s="1114"/>
      <c r="DR236" s="1114"/>
      <c r="DS236" s="1114"/>
      <c r="DT236" s="1114"/>
      <c r="DU236" s="1114"/>
      <c r="DV236" s="1115"/>
      <c r="DW236" s="1116"/>
      <c r="DX236" s="1116"/>
      <c r="DY236" s="1116"/>
      <c r="DZ236" s="1116"/>
      <c r="EA236" s="1116"/>
      <c r="EB236" s="1116"/>
      <c r="EC236" s="1116"/>
      <c r="ED236" s="1116"/>
      <c r="EE236" s="1116"/>
      <c r="EF236" s="1116"/>
      <c r="EG236" s="1116"/>
      <c r="EH236" s="1116"/>
      <c r="EI236" s="1116"/>
      <c r="EJ236" s="1116"/>
      <c r="EK236" s="1116"/>
      <c r="EL236" s="1116"/>
      <c r="EM236" s="1116"/>
      <c r="EN236" s="1116"/>
      <c r="EO236" s="1116"/>
      <c r="EP236" s="1116"/>
      <c r="EQ236" s="1116"/>
      <c r="ER236" s="1116"/>
      <c r="ES236" s="1116"/>
    </row>
    <row r="237" spans="1:149" ht="15" customHeight="1">
      <c r="A237" s="1185">
        <v>227</v>
      </c>
      <c r="B237" s="1041"/>
      <c r="C237" s="1050"/>
      <c r="D237" s="1050"/>
      <c r="E237" s="1050"/>
      <c r="F237" s="1049"/>
      <c r="G237" s="1049"/>
      <c r="H237" s="1049"/>
      <c r="I237" s="1049"/>
      <c r="J237" s="1050"/>
      <c r="K237" s="1050"/>
      <c r="L237" s="1043"/>
      <c r="M237" s="1051"/>
      <c r="N237" s="1051"/>
      <c r="O237" s="1052"/>
      <c r="P237" s="1051"/>
      <c r="Q237" s="1051"/>
      <c r="R237" s="1052"/>
      <c r="S237" s="1051"/>
      <c r="T237" s="1051"/>
      <c r="U237" s="1052"/>
      <c r="V237" s="1051"/>
      <c r="W237" s="1051"/>
      <c r="X237" s="1052"/>
      <c r="Y237" s="1053"/>
      <c r="Z237" s="1051"/>
      <c r="AA237" s="1051"/>
      <c r="AB237" s="1052"/>
      <c r="AC237" s="1051"/>
      <c r="AD237" s="1051"/>
      <c r="AE237" s="1052"/>
      <c r="AF237" s="1051"/>
      <c r="AG237" s="1051"/>
      <c r="AH237" s="1051"/>
      <c r="AI237" s="1051"/>
      <c r="AJ237" s="1052"/>
      <c r="AK237" s="1051"/>
      <c r="AL237" s="1051"/>
      <c r="AM237" s="1052"/>
      <c r="AN237" s="1051"/>
      <c r="AO237" s="1051"/>
      <c r="AP237" s="1052"/>
      <c r="AQ237" s="1051"/>
      <c r="AR237" s="1051"/>
      <c r="AS237" s="1052"/>
      <c r="AT237" s="1051"/>
      <c r="AU237" s="1051"/>
      <c r="AV237" s="1052"/>
      <c r="AW237" s="1051"/>
      <c r="AX237" s="1051"/>
      <c r="AY237" s="1053"/>
      <c r="AZ237" s="1051"/>
      <c r="BA237" s="1051"/>
      <c r="BB237" s="1053"/>
      <c r="BC237" s="1051"/>
      <c r="BD237" s="1051"/>
      <c r="BE237" s="1053"/>
      <c r="BF237" s="1051"/>
      <c r="BG237" s="1051"/>
      <c r="BH237" s="1053"/>
      <c r="BI237" s="1052"/>
      <c r="BJ237" s="1052"/>
      <c r="BK237" s="1052"/>
      <c r="BL237" s="1052"/>
      <c r="BM237" s="1052"/>
      <c r="BN237" s="1054"/>
      <c r="BO237" s="1076">
        <f t="shared" si="4"/>
        <v>0</v>
      </c>
      <c r="BP237" s="1051"/>
      <c r="BQ237" s="1052"/>
      <c r="BR237" s="1054"/>
      <c r="BS237" s="1053"/>
      <c r="BT237" s="1051"/>
      <c r="BU237" s="1051"/>
      <c r="BV237" s="1051"/>
      <c r="BW237" s="1052"/>
      <c r="BX237" s="1052"/>
      <c r="BY237" s="1052"/>
      <c r="BZ237" s="1052"/>
      <c r="CA237" s="1052"/>
      <c r="CB237" s="1053"/>
      <c r="CC237" s="1053"/>
      <c r="CD237" s="1053"/>
      <c r="CE237" s="1053"/>
      <c r="CF237" s="1053"/>
      <c r="CG237" s="1053"/>
      <c r="CH237" s="1053"/>
      <c r="CI237" s="1123"/>
      <c r="CJ237" s="1123"/>
      <c r="CK237" s="1123"/>
      <c r="CL237" s="1123"/>
      <c r="CM237" s="1123"/>
      <c r="CN237" s="1123"/>
      <c r="CO237" s="1123"/>
      <c r="CP237" s="1123"/>
      <c r="CQ237" s="1123"/>
      <c r="CR237" s="1123"/>
      <c r="CS237" s="1123"/>
      <c r="CT237" s="1123"/>
      <c r="CU237" s="1123"/>
      <c r="CV237" s="1123"/>
      <c r="CW237" s="1123"/>
      <c r="CX237" s="1123"/>
      <c r="CY237" s="1123"/>
      <c r="CZ237" s="1114"/>
      <c r="DA237" s="1114"/>
      <c r="DB237" s="1114"/>
      <c r="DC237" s="1114"/>
      <c r="DD237" s="1114"/>
      <c r="DE237" s="1114"/>
      <c r="DF237" s="1114"/>
      <c r="DG237" s="1114"/>
      <c r="DH237" s="1114"/>
      <c r="DI237" s="1114"/>
      <c r="DJ237" s="1114"/>
      <c r="DK237" s="1114"/>
      <c r="DL237" s="1114"/>
      <c r="DM237" s="1114"/>
      <c r="DN237" s="1114"/>
      <c r="DO237" s="1114"/>
      <c r="DP237" s="1114"/>
      <c r="DQ237" s="1114"/>
      <c r="DR237" s="1114"/>
      <c r="DS237" s="1114"/>
      <c r="DT237" s="1114"/>
      <c r="DU237" s="1114"/>
      <c r="DV237" s="1115"/>
      <c r="DW237" s="1116"/>
      <c r="DX237" s="1116"/>
      <c r="DY237" s="1116"/>
      <c r="DZ237" s="1116"/>
      <c r="EA237" s="1116"/>
      <c r="EB237" s="1116"/>
      <c r="EC237" s="1116"/>
      <c r="ED237" s="1116"/>
      <c r="EE237" s="1116"/>
      <c r="EF237" s="1116"/>
      <c r="EG237" s="1116"/>
      <c r="EH237" s="1116"/>
      <c r="EI237" s="1116"/>
      <c r="EJ237" s="1116"/>
      <c r="EK237" s="1116"/>
      <c r="EL237" s="1116"/>
      <c r="EM237" s="1116"/>
      <c r="EN237" s="1116"/>
      <c r="EO237" s="1116"/>
      <c r="EP237" s="1116"/>
      <c r="EQ237" s="1116"/>
      <c r="ER237" s="1116"/>
      <c r="ES237" s="1116"/>
    </row>
    <row r="238" spans="1:149" ht="15" customHeight="1">
      <c r="A238" s="1185">
        <v>228</v>
      </c>
      <c r="B238" s="1041"/>
      <c r="C238" s="1050"/>
      <c r="D238" s="1050"/>
      <c r="E238" s="1050"/>
      <c r="F238" s="1049"/>
      <c r="G238" s="1049"/>
      <c r="H238" s="1049"/>
      <c r="I238" s="1049"/>
      <c r="J238" s="1050"/>
      <c r="K238" s="1050"/>
      <c r="L238" s="1043"/>
      <c r="M238" s="1051"/>
      <c r="N238" s="1051"/>
      <c r="O238" s="1052"/>
      <c r="P238" s="1051"/>
      <c r="Q238" s="1051"/>
      <c r="R238" s="1052"/>
      <c r="S238" s="1051"/>
      <c r="T238" s="1051"/>
      <c r="U238" s="1052"/>
      <c r="V238" s="1051"/>
      <c r="W238" s="1051"/>
      <c r="X238" s="1052"/>
      <c r="Y238" s="1053"/>
      <c r="Z238" s="1051"/>
      <c r="AA238" s="1051"/>
      <c r="AB238" s="1052"/>
      <c r="AC238" s="1051"/>
      <c r="AD238" s="1051"/>
      <c r="AE238" s="1052"/>
      <c r="AF238" s="1051"/>
      <c r="AG238" s="1051"/>
      <c r="AH238" s="1051"/>
      <c r="AI238" s="1051"/>
      <c r="AJ238" s="1052"/>
      <c r="AK238" s="1051"/>
      <c r="AL238" s="1051"/>
      <c r="AM238" s="1052"/>
      <c r="AN238" s="1051"/>
      <c r="AO238" s="1051"/>
      <c r="AP238" s="1052"/>
      <c r="AQ238" s="1051"/>
      <c r="AR238" s="1051"/>
      <c r="AS238" s="1052"/>
      <c r="AT238" s="1051"/>
      <c r="AU238" s="1051"/>
      <c r="AV238" s="1052"/>
      <c r="AW238" s="1051"/>
      <c r="AX238" s="1051"/>
      <c r="AY238" s="1053"/>
      <c r="AZ238" s="1051"/>
      <c r="BA238" s="1051"/>
      <c r="BB238" s="1053"/>
      <c r="BC238" s="1051"/>
      <c r="BD238" s="1051"/>
      <c r="BE238" s="1053"/>
      <c r="BF238" s="1051"/>
      <c r="BG238" s="1051"/>
      <c r="BH238" s="1053"/>
      <c r="BI238" s="1052"/>
      <c r="BJ238" s="1052"/>
      <c r="BK238" s="1052"/>
      <c r="BL238" s="1052"/>
      <c r="BM238" s="1052"/>
      <c r="BN238" s="1054"/>
      <c r="BO238" s="1076">
        <f t="shared" si="4"/>
        <v>0</v>
      </c>
      <c r="BP238" s="1051"/>
      <c r="BQ238" s="1052"/>
      <c r="BR238" s="1054"/>
      <c r="BS238" s="1053"/>
      <c r="BT238" s="1051"/>
      <c r="BU238" s="1051"/>
      <c r="BV238" s="1051"/>
      <c r="BW238" s="1052"/>
      <c r="BX238" s="1052"/>
      <c r="BY238" s="1052"/>
      <c r="BZ238" s="1052"/>
      <c r="CA238" s="1052"/>
      <c r="CB238" s="1053"/>
      <c r="CC238" s="1053"/>
      <c r="CD238" s="1053"/>
      <c r="CE238" s="1053"/>
      <c r="CF238" s="1053"/>
      <c r="CG238" s="1053"/>
      <c r="CH238" s="1053"/>
      <c r="CI238" s="1123"/>
      <c r="CJ238" s="1123"/>
      <c r="CK238" s="1123"/>
      <c r="CL238" s="1123"/>
      <c r="CM238" s="1123"/>
      <c r="CN238" s="1123"/>
      <c r="CO238" s="1123"/>
      <c r="CP238" s="1123"/>
      <c r="CQ238" s="1123"/>
      <c r="CR238" s="1123"/>
      <c r="CS238" s="1123"/>
      <c r="CT238" s="1123"/>
      <c r="CU238" s="1123"/>
      <c r="CV238" s="1123"/>
      <c r="CW238" s="1123"/>
      <c r="CX238" s="1123"/>
      <c r="CY238" s="1123"/>
      <c r="CZ238" s="1114"/>
      <c r="DA238" s="1114"/>
      <c r="DB238" s="1114"/>
      <c r="DC238" s="1114"/>
      <c r="DD238" s="1114"/>
      <c r="DE238" s="1114"/>
      <c r="DF238" s="1114"/>
      <c r="DG238" s="1114"/>
      <c r="DH238" s="1114"/>
      <c r="DI238" s="1114"/>
      <c r="DJ238" s="1114"/>
      <c r="DK238" s="1114"/>
      <c r="DL238" s="1114"/>
      <c r="DM238" s="1114"/>
      <c r="DN238" s="1114"/>
      <c r="DO238" s="1114"/>
      <c r="DP238" s="1114"/>
      <c r="DQ238" s="1114"/>
      <c r="DR238" s="1114"/>
      <c r="DS238" s="1114"/>
      <c r="DT238" s="1114"/>
      <c r="DU238" s="1114"/>
      <c r="DV238" s="1115"/>
      <c r="DW238" s="1116"/>
      <c r="DX238" s="1116"/>
      <c r="DY238" s="1116"/>
      <c r="DZ238" s="1116"/>
      <c r="EA238" s="1116"/>
      <c r="EB238" s="1116"/>
      <c r="EC238" s="1116"/>
      <c r="ED238" s="1116"/>
      <c r="EE238" s="1116"/>
      <c r="EF238" s="1116"/>
      <c r="EG238" s="1116"/>
      <c r="EH238" s="1116"/>
      <c r="EI238" s="1116"/>
      <c r="EJ238" s="1116"/>
      <c r="EK238" s="1116"/>
      <c r="EL238" s="1116"/>
      <c r="EM238" s="1116"/>
      <c r="EN238" s="1116"/>
      <c r="EO238" s="1116"/>
      <c r="EP238" s="1116"/>
      <c r="EQ238" s="1116"/>
      <c r="ER238" s="1116"/>
      <c r="ES238" s="1116"/>
    </row>
    <row r="239" spans="1:149" ht="15" customHeight="1">
      <c r="A239" s="1185">
        <v>229</v>
      </c>
      <c r="B239" s="1041"/>
      <c r="C239" s="1050"/>
      <c r="D239" s="1050"/>
      <c r="E239" s="1050"/>
      <c r="F239" s="1049"/>
      <c r="G239" s="1049"/>
      <c r="H239" s="1049"/>
      <c r="I239" s="1049"/>
      <c r="J239" s="1050"/>
      <c r="K239" s="1050"/>
      <c r="L239" s="1043"/>
      <c r="M239" s="1051"/>
      <c r="N239" s="1051"/>
      <c r="O239" s="1052"/>
      <c r="P239" s="1051"/>
      <c r="Q239" s="1051"/>
      <c r="R239" s="1052"/>
      <c r="S239" s="1051"/>
      <c r="T239" s="1051"/>
      <c r="U239" s="1052"/>
      <c r="V239" s="1051"/>
      <c r="W239" s="1051"/>
      <c r="X239" s="1052"/>
      <c r="Y239" s="1053"/>
      <c r="Z239" s="1051"/>
      <c r="AA239" s="1051"/>
      <c r="AB239" s="1052"/>
      <c r="AC239" s="1051"/>
      <c r="AD239" s="1051"/>
      <c r="AE239" s="1052"/>
      <c r="AF239" s="1051"/>
      <c r="AG239" s="1051"/>
      <c r="AH239" s="1051"/>
      <c r="AI239" s="1051"/>
      <c r="AJ239" s="1052"/>
      <c r="AK239" s="1051"/>
      <c r="AL239" s="1051"/>
      <c r="AM239" s="1052"/>
      <c r="AN239" s="1051"/>
      <c r="AO239" s="1051"/>
      <c r="AP239" s="1052"/>
      <c r="AQ239" s="1051"/>
      <c r="AR239" s="1051"/>
      <c r="AS239" s="1052"/>
      <c r="AT239" s="1051"/>
      <c r="AU239" s="1051"/>
      <c r="AV239" s="1052"/>
      <c r="AW239" s="1051"/>
      <c r="AX239" s="1051"/>
      <c r="AY239" s="1053"/>
      <c r="AZ239" s="1051"/>
      <c r="BA239" s="1051"/>
      <c r="BB239" s="1053"/>
      <c r="BC239" s="1051"/>
      <c r="BD239" s="1051"/>
      <c r="BE239" s="1053"/>
      <c r="BF239" s="1051"/>
      <c r="BG239" s="1051"/>
      <c r="BH239" s="1053"/>
      <c r="BI239" s="1052"/>
      <c r="BJ239" s="1052"/>
      <c r="BK239" s="1052"/>
      <c r="BL239" s="1052"/>
      <c r="BM239" s="1052"/>
      <c r="BN239" s="1054"/>
      <c r="BO239" s="1076">
        <f t="shared" si="4"/>
        <v>0</v>
      </c>
      <c r="BP239" s="1051"/>
      <c r="BQ239" s="1052"/>
      <c r="BR239" s="1054"/>
      <c r="BS239" s="1053"/>
      <c r="BT239" s="1051"/>
      <c r="BU239" s="1051"/>
      <c r="BV239" s="1051"/>
      <c r="BW239" s="1052"/>
      <c r="BX239" s="1052"/>
      <c r="BY239" s="1052"/>
      <c r="BZ239" s="1052"/>
      <c r="CA239" s="1052"/>
      <c r="CB239" s="1053"/>
      <c r="CC239" s="1053"/>
      <c r="CD239" s="1053"/>
      <c r="CE239" s="1053"/>
      <c r="CF239" s="1053"/>
      <c r="CG239" s="1053"/>
      <c r="CH239" s="1053"/>
      <c r="CI239" s="1123"/>
      <c r="CJ239" s="1123"/>
      <c r="CK239" s="1123"/>
      <c r="CL239" s="1123"/>
      <c r="CM239" s="1123"/>
      <c r="CN239" s="1123"/>
      <c r="CO239" s="1123"/>
      <c r="CP239" s="1123"/>
      <c r="CQ239" s="1123"/>
      <c r="CR239" s="1123"/>
      <c r="CS239" s="1123"/>
      <c r="CT239" s="1123"/>
      <c r="CU239" s="1123"/>
      <c r="CV239" s="1123"/>
      <c r="CW239" s="1123"/>
      <c r="CX239" s="1123"/>
      <c r="CY239" s="1123"/>
      <c r="CZ239" s="1114"/>
      <c r="DA239" s="1114"/>
      <c r="DB239" s="1114"/>
      <c r="DC239" s="1114"/>
      <c r="DD239" s="1114"/>
      <c r="DE239" s="1114"/>
      <c r="DF239" s="1114"/>
      <c r="DG239" s="1114"/>
      <c r="DH239" s="1114"/>
      <c r="DI239" s="1114"/>
      <c r="DJ239" s="1114"/>
      <c r="DK239" s="1114"/>
      <c r="DL239" s="1114"/>
      <c r="DM239" s="1114"/>
      <c r="DN239" s="1114"/>
      <c r="DO239" s="1114"/>
      <c r="DP239" s="1114"/>
      <c r="DQ239" s="1114"/>
      <c r="DR239" s="1114"/>
      <c r="DS239" s="1114"/>
      <c r="DT239" s="1114"/>
      <c r="DU239" s="1114"/>
      <c r="DV239" s="1115"/>
      <c r="DW239" s="1116"/>
      <c r="DX239" s="1116"/>
      <c r="DY239" s="1116"/>
      <c r="DZ239" s="1116"/>
      <c r="EA239" s="1116"/>
      <c r="EB239" s="1116"/>
      <c r="EC239" s="1116"/>
      <c r="ED239" s="1116"/>
      <c r="EE239" s="1116"/>
      <c r="EF239" s="1116"/>
      <c r="EG239" s="1116"/>
      <c r="EH239" s="1116"/>
      <c r="EI239" s="1116"/>
      <c r="EJ239" s="1116"/>
      <c r="EK239" s="1116"/>
      <c r="EL239" s="1116"/>
      <c r="EM239" s="1116"/>
      <c r="EN239" s="1116"/>
      <c r="EO239" s="1116"/>
      <c r="EP239" s="1116"/>
      <c r="EQ239" s="1116"/>
      <c r="ER239" s="1116"/>
      <c r="ES239" s="1116"/>
    </row>
    <row r="240" spans="1:149" ht="15" customHeight="1">
      <c r="A240" s="1185">
        <v>230</v>
      </c>
      <c r="B240" s="1041"/>
      <c r="C240" s="1050"/>
      <c r="D240" s="1050"/>
      <c r="E240" s="1050"/>
      <c r="F240" s="1049"/>
      <c r="G240" s="1049"/>
      <c r="H240" s="1049"/>
      <c r="I240" s="1049"/>
      <c r="J240" s="1050"/>
      <c r="K240" s="1050"/>
      <c r="L240" s="1043"/>
      <c r="M240" s="1051"/>
      <c r="N240" s="1051"/>
      <c r="O240" s="1052"/>
      <c r="P240" s="1051"/>
      <c r="Q240" s="1051"/>
      <c r="R240" s="1052"/>
      <c r="S240" s="1051"/>
      <c r="T240" s="1051"/>
      <c r="U240" s="1052"/>
      <c r="V240" s="1051"/>
      <c r="W240" s="1051"/>
      <c r="X240" s="1052"/>
      <c r="Y240" s="1053"/>
      <c r="Z240" s="1051"/>
      <c r="AA240" s="1051"/>
      <c r="AB240" s="1052"/>
      <c r="AC240" s="1051"/>
      <c r="AD240" s="1051"/>
      <c r="AE240" s="1052"/>
      <c r="AF240" s="1051"/>
      <c r="AG240" s="1051"/>
      <c r="AH240" s="1051"/>
      <c r="AI240" s="1051"/>
      <c r="AJ240" s="1052"/>
      <c r="AK240" s="1051"/>
      <c r="AL240" s="1051"/>
      <c r="AM240" s="1052"/>
      <c r="AN240" s="1051"/>
      <c r="AO240" s="1051"/>
      <c r="AP240" s="1052"/>
      <c r="AQ240" s="1051"/>
      <c r="AR240" s="1051"/>
      <c r="AS240" s="1052"/>
      <c r="AT240" s="1051"/>
      <c r="AU240" s="1051"/>
      <c r="AV240" s="1052"/>
      <c r="AW240" s="1051"/>
      <c r="AX240" s="1051"/>
      <c r="AY240" s="1053"/>
      <c r="AZ240" s="1051"/>
      <c r="BA240" s="1051"/>
      <c r="BB240" s="1053"/>
      <c r="BC240" s="1051"/>
      <c r="BD240" s="1051"/>
      <c r="BE240" s="1053"/>
      <c r="BF240" s="1051"/>
      <c r="BG240" s="1051"/>
      <c r="BH240" s="1053"/>
      <c r="BI240" s="1052"/>
      <c r="BJ240" s="1052"/>
      <c r="BK240" s="1052"/>
      <c r="BL240" s="1052"/>
      <c r="BM240" s="1052"/>
      <c r="BN240" s="1054"/>
      <c r="BO240" s="1076">
        <f t="shared" si="4"/>
        <v>0</v>
      </c>
      <c r="BP240" s="1051"/>
      <c r="BQ240" s="1052"/>
      <c r="BR240" s="1054"/>
      <c r="BS240" s="1053"/>
      <c r="BT240" s="1051"/>
      <c r="BU240" s="1051"/>
      <c r="BV240" s="1051"/>
      <c r="BW240" s="1052"/>
      <c r="BX240" s="1052"/>
      <c r="BY240" s="1052"/>
      <c r="BZ240" s="1052"/>
      <c r="CA240" s="1052"/>
      <c r="CB240" s="1053"/>
      <c r="CC240" s="1053"/>
      <c r="CD240" s="1053"/>
      <c r="CE240" s="1053"/>
      <c r="CF240" s="1053"/>
      <c r="CG240" s="1053"/>
      <c r="CH240" s="1053"/>
      <c r="CI240" s="1123"/>
      <c r="CJ240" s="1123"/>
      <c r="CK240" s="1123"/>
      <c r="CL240" s="1123"/>
      <c r="CM240" s="1123"/>
      <c r="CN240" s="1123"/>
      <c r="CO240" s="1123"/>
      <c r="CP240" s="1123"/>
      <c r="CQ240" s="1123"/>
      <c r="CR240" s="1123"/>
      <c r="CS240" s="1123"/>
      <c r="CT240" s="1123"/>
      <c r="CU240" s="1123"/>
      <c r="CV240" s="1123"/>
      <c r="CW240" s="1123"/>
      <c r="CX240" s="1123"/>
      <c r="CY240" s="1123"/>
      <c r="CZ240" s="1114"/>
      <c r="DA240" s="1114"/>
      <c r="DB240" s="1114"/>
      <c r="DC240" s="1114"/>
      <c r="DD240" s="1114"/>
      <c r="DE240" s="1114"/>
      <c r="DF240" s="1114"/>
      <c r="DG240" s="1114"/>
      <c r="DH240" s="1114"/>
      <c r="DI240" s="1114"/>
      <c r="DJ240" s="1114"/>
      <c r="DK240" s="1114"/>
      <c r="DL240" s="1114"/>
      <c r="DM240" s="1114"/>
      <c r="DN240" s="1114"/>
      <c r="DO240" s="1114"/>
      <c r="DP240" s="1114"/>
      <c r="DQ240" s="1114"/>
      <c r="DR240" s="1114"/>
      <c r="DS240" s="1114"/>
      <c r="DT240" s="1114"/>
      <c r="DU240" s="1114"/>
      <c r="DV240" s="1115"/>
      <c r="DW240" s="1116"/>
      <c r="DX240" s="1116"/>
      <c r="DY240" s="1116"/>
      <c r="DZ240" s="1116"/>
      <c r="EA240" s="1116"/>
      <c r="EB240" s="1116"/>
      <c r="EC240" s="1116"/>
      <c r="ED240" s="1116"/>
      <c r="EE240" s="1116"/>
      <c r="EF240" s="1116"/>
      <c r="EG240" s="1116"/>
      <c r="EH240" s="1116"/>
      <c r="EI240" s="1116"/>
      <c r="EJ240" s="1116"/>
      <c r="EK240" s="1116"/>
      <c r="EL240" s="1116"/>
      <c r="EM240" s="1116"/>
      <c r="EN240" s="1116"/>
      <c r="EO240" s="1116"/>
      <c r="EP240" s="1116"/>
      <c r="EQ240" s="1116"/>
      <c r="ER240" s="1116"/>
      <c r="ES240" s="1116"/>
    </row>
    <row r="241" spans="1:149" ht="15" customHeight="1">
      <c r="A241" s="1185">
        <v>231</v>
      </c>
      <c r="B241" s="1041"/>
      <c r="C241" s="1050"/>
      <c r="D241" s="1050"/>
      <c r="E241" s="1050"/>
      <c r="F241" s="1049"/>
      <c r="G241" s="1049"/>
      <c r="H241" s="1049"/>
      <c r="I241" s="1049"/>
      <c r="J241" s="1050"/>
      <c r="K241" s="1050"/>
      <c r="L241" s="1043"/>
      <c r="M241" s="1051"/>
      <c r="N241" s="1051"/>
      <c r="O241" s="1052"/>
      <c r="P241" s="1051"/>
      <c r="Q241" s="1051"/>
      <c r="R241" s="1052"/>
      <c r="S241" s="1051"/>
      <c r="T241" s="1051"/>
      <c r="U241" s="1052"/>
      <c r="V241" s="1051"/>
      <c r="W241" s="1051"/>
      <c r="X241" s="1052"/>
      <c r="Y241" s="1053"/>
      <c r="Z241" s="1051"/>
      <c r="AA241" s="1051"/>
      <c r="AB241" s="1052"/>
      <c r="AC241" s="1051"/>
      <c r="AD241" s="1051"/>
      <c r="AE241" s="1052"/>
      <c r="AF241" s="1051"/>
      <c r="AG241" s="1051"/>
      <c r="AH241" s="1051"/>
      <c r="AI241" s="1051"/>
      <c r="AJ241" s="1052"/>
      <c r="AK241" s="1051"/>
      <c r="AL241" s="1051"/>
      <c r="AM241" s="1052"/>
      <c r="AN241" s="1051"/>
      <c r="AO241" s="1051"/>
      <c r="AP241" s="1052"/>
      <c r="AQ241" s="1051"/>
      <c r="AR241" s="1051"/>
      <c r="AS241" s="1052"/>
      <c r="AT241" s="1051"/>
      <c r="AU241" s="1051"/>
      <c r="AV241" s="1052"/>
      <c r="AW241" s="1051"/>
      <c r="AX241" s="1051"/>
      <c r="AY241" s="1053"/>
      <c r="AZ241" s="1051"/>
      <c r="BA241" s="1051"/>
      <c r="BB241" s="1053"/>
      <c r="BC241" s="1051"/>
      <c r="BD241" s="1051"/>
      <c r="BE241" s="1053"/>
      <c r="BF241" s="1051"/>
      <c r="BG241" s="1051"/>
      <c r="BH241" s="1053"/>
      <c r="BI241" s="1052"/>
      <c r="BJ241" s="1052"/>
      <c r="BK241" s="1052"/>
      <c r="BL241" s="1052"/>
      <c r="BM241" s="1052"/>
      <c r="BN241" s="1054"/>
      <c r="BO241" s="1076">
        <f t="shared" si="4"/>
        <v>0</v>
      </c>
      <c r="BP241" s="1051"/>
      <c r="BQ241" s="1052"/>
      <c r="BR241" s="1054"/>
      <c r="BS241" s="1053"/>
      <c r="BT241" s="1051"/>
      <c r="BU241" s="1051"/>
      <c r="BV241" s="1051"/>
      <c r="BW241" s="1052"/>
      <c r="BX241" s="1052"/>
      <c r="BY241" s="1052"/>
      <c r="BZ241" s="1052"/>
      <c r="CA241" s="1052"/>
      <c r="CB241" s="1053"/>
      <c r="CC241" s="1053"/>
      <c r="CD241" s="1053"/>
      <c r="CE241" s="1053"/>
      <c r="CF241" s="1053"/>
      <c r="CG241" s="1053"/>
      <c r="CH241" s="1053"/>
      <c r="CI241" s="1123"/>
      <c r="CJ241" s="1123"/>
      <c r="CK241" s="1123"/>
      <c r="CL241" s="1123"/>
      <c r="CM241" s="1123"/>
      <c r="CN241" s="1123"/>
      <c r="CO241" s="1123"/>
      <c r="CP241" s="1123"/>
      <c r="CQ241" s="1123"/>
      <c r="CR241" s="1123"/>
      <c r="CS241" s="1123"/>
      <c r="CT241" s="1123"/>
      <c r="CU241" s="1123"/>
      <c r="CV241" s="1123"/>
      <c r="CW241" s="1123"/>
      <c r="CX241" s="1123"/>
      <c r="CY241" s="1123"/>
      <c r="CZ241" s="1114"/>
      <c r="DA241" s="1114"/>
      <c r="DB241" s="1114"/>
      <c r="DC241" s="1114"/>
      <c r="DD241" s="1114"/>
      <c r="DE241" s="1114"/>
      <c r="DF241" s="1114"/>
      <c r="DG241" s="1114"/>
      <c r="DH241" s="1114"/>
      <c r="DI241" s="1114"/>
      <c r="DJ241" s="1114"/>
      <c r="DK241" s="1114"/>
      <c r="DL241" s="1114"/>
      <c r="DM241" s="1114"/>
      <c r="DN241" s="1114"/>
      <c r="DO241" s="1114"/>
      <c r="DP241" s="1114"/>
      <c r="DQ241" s="1114"/>
      <c r="DR241" s="1114"/>
      <c r="DS241" s="1114"/>
      <c r="DT241" s="1114"/>
      <c r="DU241" s="1114"/>
      <c r="DV241" s="1115"/>
      <c r="DW241" s="1116"/>
      <c r="DX241" s="1116"/>
      <c r="DY241" s="1116"/>
      <c r="DZ241" s="1116"/>
      <c r="EA241" s="1116"/>
      <c r="EB241" s="1116"/>
      <c r="EC241" s="1116"/>
      <c r="ED241" s="1116"/>
      <c r="EE241" s="1116"/>
      <c r="EF241" s="1116"/>
      <c r="EG241" s="1116"/>
      <c r="EH241" s="1116"/>
      <c r="EI241" s="1116"/>
      <c r="EJ241" s="1116"/>
      <c r="EK241" s="1116"/>
      <c r="EL241" s="1116"/>
      <c r="EM241" s="1116"/>
      <c r="EN241" s="1116"/>
      <c r="EO241" s="1116"/>
      <c r="EP241" s="1116"/>
      <c r="EQ241" s="1116"/>
      <c r="ER241" s="1116"/>
      <c r="ES241" s="1116"/>
    </row>
    <row r="242" spans="1:149" ht="15" customHeight="1">
      <c r="A242" s="1185">
        <v>232</v>
      </c>
      <c r="B242" s="1041"/>
      <c r="C242" s="1050"/>
      <c r="D242" s="1050"/>
      <c r="E242" s="1050"/>
      <c r="F242" s="1049"/>
      <c r="G242" s="1049"/>
      <c r="H242" s="1049"/>
      <c r="I242" s="1049"/>
      <c r="J242" s="1050"/>
      <c r="K242" s="1050"/>
      <c r="L242" s="1043"/>
      <c r="M242" s="1051"/>
      <c r="N242" s="1051"/>
      <c r="O242" s="1052"/>
      <c r="P242" s="1051"/>
      <c r="Q242" s="1051"/>
      <c r="R242" s="1052"/>
      <c r="S242" s="1051"/>
      <c r="T242" s="1051"/>
      <c r="U242" s="1052"/>
      <c r="V242" s="1051"/>
      <c r="W242" s="1051"/>
      <c r="X242" s="1052"/>
      <c r="Y242" s="1053"/>
      <c r="Z242" s="1051"/>
      <c r="AA242" s="1051"/>
      <c r="AB242" s="1052"/>
      <c r="AC242" s="1051"/>
      <c r="AD242" s="1051"/>
      <c r="AE242" s="1052"/>
      <c r="AF242" s="1051"/>
      <c r="AG242" s="1051"/>
      <c r="AH242" s="1051"/>
      <c r="AI242" s="1051"/>
      <c r="AJ242" s="1052"/>
      <c r="AK242" s="1051"/>
      <c r="AL242" s="1051"/>
      <c r="AM242" s="1052"/>
      <c r="AN242" s="1051"/>
      <c r="AO242" s="1051"/>
      <c r="AP242" s="1052"/>
      <c r="AQ242" s="1051"/>
      <c r="AR242" s="1051"/>
      <c r="AS242" s="1052"/>
      <c r="AT242" s="1051"/>
      <c r="AU242" s="1051"/>
      <c r="AV242" s="1052"/>
      <c r="AW242" s="1051"/>
      <c r="AX242" s="1051"/>
      <c r="AY242" s="1053"/>
      <c r="AZ242" s="1051"/>
      <c r="BA242" s="1051"/>
      <c r="BB242" s="1053"/>
      <c r="BC242" s="1051"/>
      <c r="BD242" s="1051"/>
      <c r="BE242" s="1053"/>
      <c r="BF242" s="1051"/>
      <c r="BG242" s="1051"/>
      <c r="BH242" s="1053"/>
      <c r="BI242" s="1052"/>
      <c r="BJ242" s="1052"/>
      <c r="BK242" s="1052"/>
      <c r="BL242" s="1052"/>
      <c r="BM242" s="1052"/>
      <c r="BN242" s="1054"/>
      <c r="BO242" s="1076">
        <f t="shared" si="4"/>
        <v>0</v>
      </c>
      <c r="BP242" s="1051"/>
      <c r="BQ242" s="1052"/>
      <c r="BR242" s="1054"/>
      <c r="BS242" s="1053"/>
      <c r="BT242" s="1051"/>
      <c r="BU242" s="1051"/>
      <c r="BV242" s="1051"/>
      <c r="BW242" s="1052"/>
      <c r="BX242" s="1052"/>
      <c r="BY242" s="1052"/>
      <c r="BZ242" s="1052"/>
      <c r="CA242" s="1052"/>
      <c r="CB242" s="1053"/>
      <c r="CC242" s="1053"/>
      <c r="CD242" s="1053"/>
      <c r="CE242" s="1053"/>
      <c r="CF242" s="1053"/>
      <c r="CG242" s="1053"/>
      <c r="CH242" s="1053"/>
      <c r="CI242" s="1123"/>
      <c r="CJ242" s="1123"/>
      <c r="CK242" s="1123"/>
      <c r="CL242" s="1123"/>
      <c r="CM242" s="1123"/>
      <c r="CN242" s="1123"/>
      <c r="CO242" s="1123"/>
      <c r="CP242" s="1123"/>
      <c r="CQ242" s="1123"/>
      <c r="CR242" s="1123"/>
      <c r="CS242" s="1123"/>
      <c r="CT242" s="1123"/>
      <c r="CU242" s="1123"/>
      <c r="CV242" s="1123"/>
      <c r="CW242" s="1123"/>
      <c r="CX242" s="1123"/>
      <c r="CY242" s="1123"/>
      <c r="CZ242" s="1114"/>
      <c r="DA242" s="1114"/>
      <c r="DB242" s="1114"/>
      <c r="DC242" s="1114"/>
      <c r="DD242" s="1114"/>
      <c r="DE242" s="1114"/>
      <c r="DF242" s="1114"/>
      <c r="DG242" s="1114"/>
      <c r="DH242" s="1114"/>
      <c r="DI242" s="1114"/>
      <c r="DJ242" s="1114"/>
      <c r="DK242" s="1114"/>
      <c r="DL242" s="1114"/>
      <c r="DM242" s="1114"/>
      <c r="DN242" s="1114"/>
      <c r="DO242" s="1114"/>
      <c r="DP242" s="1114"/>
      <c r="DQ242" s="1114"/>
      <c r="DR242" s="1114"/>
      <c r="DS242" s="1114"/>
      <c r="DT242" s="1114"/>
      <c r="DU242" s="1114"/>
      <c r="DV242" s="1115"/>
      <c r="DW242" s="1116"/>
      <c r="DX242" s="1116"/>
      <c r="DY242" s="1116"/>
      <c r="DZ242" s="1116"/>
      <c r="EA242" s="1116"/>
      <c r="EB242" s="1116"/>
      <c r="EC242" s="1116"/>
      <c r="ED242" s="1116"/>
      <c r="EE242" s="1116"/>
      <c r="EF242" s="1116"/>
      <c r="EG242" s="1116"/>
      <c r="EH242" s="1116"/>
      <c r="EI242" s="1116"/>
      <c r="EJ242" s="1116"/>
      <c r="EK242" s="1116"/>
      <c r="EL242" s="1116"/>
      <c r="EM242" s="1116"/>
      <c r="EN242" s="1116"/>
      <c r="EO242" s="1116"/>
      <c r="EP242" s="1116"/>
      <c r="EQ242" s="1116"/>
      <c r="ER242" s="1116"/>
      <c r="ES242" s="1116"/>
    </row>
    <row r="243" spans="1:149" ht="15" customHeight="1">
      <c r="A243" s="1185">
        <v>233</v>
      </c>
      <c r="B243" s="1041"/>
      <c r="C243" s="1050"/>
      <c r="D243" s="1050"/>
      <c r="E243" s="1050"/>
      <c r="F243" s="1049"/>
      <c r="G243" s="1049"/>
      <c r="H243" s="1049"/>
      <c r="I243" s="1049"/>
      <c r="J243" s="1050"/>
      <c r="K243" s="1050"/>
      <c r="L243" s="1043"/>
      <c r="M243" s="1051"/>
      <c r="N243" s="1051"/>
      <c r="O243" s="1052"/>
      <c r="P243" s="1051"/>
      <c r="Q243" s="1051"/>
      <c r="R243" s="1052"/>
      <c r="S243" s="1051"/>
      <c r="T243" s="1051"/>
      <c r="U243" s="1052"/>
      <c r="V243" s="1051"/>
      <c r="W243" s="1051"/>
      <c r="X243" s="1052"/>
      <c r="Y243" s="1053"/>
      <c r="Z243" s="1051"/>
      <c r="AA243" s="1051"/>
      <c r="AB243" s="1052"/>
      <c r="AC243" s="1051"/>
      <c r="AD243" s="1051"/>
      <c r="AE243" s="1052"/>
      <c r="AF243" s="1051"/>
      <c r="AG243" s="1051"/>
      <c r="AH243" s="1051"/>
      <c r="AI243" s="1051"/>
      <c r="AJ243" s="1052"/>
      <c r="AK243" s="1051"/>
      <c r="AL243" s="1051"/>
      <c r="AM243" s="1052"/>
      <c r="AN243" s="1051"/>
      <c r="AO243" s="1051"/>
      <c r="AP243" s="1052"/>
      <c r="AQ243" s="1051"/>
      <c r="AR243" s="1051"/>
      <c r="AS243" s="1052"/>
      <c r="AT243" s="1051"/>
      <c r="AU243" s="1051"/>
      <c r="AV243" s="1052"/>
      <c r="AW243" s="1051"/>
      <c r="AX243" s="1051"/>
      <c r="AY243" s="1053"/>
      <c r="AZ243" s="1051"/>
      <c r="BA243" s="1051"/>
      <c r="BB243" s="1053"/>
      <c r="BC243" s="1051"/>
      <c r="BD243" s="1051"/>
      <c r="BE243" s="1053"/>
      <c r="BF243" s="1051"/>
      <c r="BG243" s="1051"/>
      <c r="BH243" s="1053"/>
      <c r="BI243" s="1052"/>
      <c r="BJ243" s="1052"/>
      <c r="BK243" s="1052"/>
      <c r="BL243" s="1052"/>
      <c r="BM243" s="1052"/>
      <c r="BN243" s="1054"/>
      <c r="BO243" s="1076">
        <f t="shared" si="4"/>
        <v>0</v>
      </c>
      <c r="BP243" s="1051"/>
      <c r="BQ243" s="1052"/>
      <c r="BR243" s="1054"/>
      <c r="BS243" s="1053"/>
      <c r="BT243" s="1051"/>
      <c r="BU243" s="1051"/>
      <c r="BV243" s="1051"/>
      <c r="BW243" s="1052"/>
      <c r="BX243" s="1052"/>
      <c r="BY243" s="1052"/>
      <c r="BZ243" s="1052"/>
      <c r="CA243" s="1052"/>
      <c r="CB243" s="1053"/>
      <c r="CC243" s="1053"/>
      <c r="CD243" s="1053"/>
      <c r="CE243" s="1053"/>
      <c r="CF243" s="1053"/>
      <c r="CG243" s="1053"/>
      <c r="CH243" s="1053"/>
      <c r="CI243" s="1123"/>
      <c r="CJ243" s="1123"/>
      <c r="CK243" s="1123"/>
      <c r="CL243" s="1123"/>
      <c r="CM243" s="1123"/>
      <c r="CN243" s="1123"/>
      <c r="CO243" s="1123"/>
      <c r="CP243" s="1123"/>
      <c r="CQ243" s="1123"/>
      <c r="CR243" s="1123"/>
      <c r="CS243" s="1123"/>
      <c r="CT243" s="1123"/>
      <c r="CU243" s="1123"/>
      <c r="CV243" s="1123"/>
      <c r="CW243" s="1123"/>
      <c r="CX243" s="1123"/>
      <c r="CY243" s="1123"/>
      <c r="CZ243" s="1114"/>
      <c r="DA243" s="1114"/>
      <c r="DB243" s="1114"/>
      <c r="DC243" s="1114"/>
      <c r="DD243" s="1114"/>
      <c r="DE243" s="1114"/>
      <c r="DF243" s="1114"/>
      <c r="DG243" s="1114"/>
      <c r="DH243" s="1114"/>
      <c r="DI243" s="1114"/>
      <c r="DJ243" s="1114"/>
      <c r="DK243" s="1114"/>
      <c r="DL243" s="1114"/>
      <c r="DM243" s="1114"/>
      <c r="DN243" s="1114"/>
      <c r="DO243" s="1114"/>
      <c r="DP243" s="1114"/>
      <c r="DQ243" s="1114"/>
      <c r="DR243" s="1114"/>
      <c r="DS243" s="1114"/>
      <c r="DT243" s="1114"/>
      <c r="DU243" s="1114"/>
      <c r="DV243" s="1115"/>
      <c r="DW243" s="1116"/>
      <c r="DX243" s="1116"/>
      <c r="DY243" s="1116"/>
      <c r="DZ243" s="1116"/>
      <c r="EA243" s="1116"/>
      <c r="EB243" s="1116"/>
      <c r="EC243" s="1116"/>
      <c r="ED243" s="1116"/>
      <c r="EE243" s="1116"/>
      <c r="EF243" s="1116"/>
      <c r="EG243" s="1116"/>
      <c r="EH243" s="1116"/>
      <c r="EI243" s="1116"/>
      <c r="EJ243" s="1116"/>
      <c r="EK243" s="1116"/>
      <c r="EL243" s="1116"/>
      <c r="EM243" s="1116"/>
      <c r="EN243" s="1116"/>
      <c r="EO243" s="1116"/>
      <c r="EP243" s="1116"/>
      <c r="EQ243" s="1116"/>
      <c r="ER243" s="1116"/>
      <c r="ES243" s="1116"/>
    </row>
    <row r="244" spans="1:149" ht="15" customHeight="1">
      <c r="A244" s="1185">
        <v>234</v>
      </c>
      <c r="B244" s="1041"/>
      <c r="C244" s="1050"/>
      <c r="D244" s="1050"/>
      <c r="E244" s="1050"/>
      <c r="F244" s="1049"/>
      <c r="G244" s="1049"/>
      <c r="H244" s="1049"/>
      <c r="I244" s="1049"/>
      <c r="J244" s="1050"/>
      <c r="K244" s="1050"/>
      <c r="L244" s="1043"/>
      <c r="M244" s="1051"/>
      <c r="N244" s="1051"/>
      <c r="O244" s="1052"/>
      <c r="P244" s="1051"/>
      <c r="Q244" s="1051"/>
      <c r="R244" s="1052"/>
      <c r="S244" s="1051"/>
      <c r="T244" s="1051"/>
      <c r="U244" s="1052"/>
      <c r="V244" s="1051"/>
      <c r="W244" s="1051"/>
      <c r="X244" s="1052"/>
      <c r="Y244" s="1053"/>
      <c r="Z244" s="1051"/>
      <c r="AA244" s="1051"/>
      <c r="AB244" s="1052"/>
      <c r="AC244" s="1051"/>
      <c r="AD244" s="1051"/>
      <c r="AE244" s="1052"/>
      <c r="AF244" s="1051"/>
      <c r="AG244" s="1051"/>
      <c r="AH244" s="1051"/>
      <c r="AI244" s="1051"/>
      <c r="AJ244" s="1052"/>
      <c r="AK244" s="1051"/>
      <c r="AL244" s="1051"/>
      <c r="AM244" s="1052"/>
      <c r="AN244" s="1051"/>
      <c r="AO244" s="1051"/>
      <c r="AP244" s="1052"/>
      <c r="AQ244" s="1051"/>
      <c r="AR244" s="1051"/>
      <c r="AS244" s="1052"/>
      <c r="AT244" s="1051"/>
      <c r="AU244" s="1051"/>
      <c r="AV244" s="1052"/>
      <c r="AW244" s="1051"/>
      <c r="AX244" s="1051"/>
      <c r="AY244" s="1053"/>
      <c r="AZ244" s="1051"/>
      <c r="BA244" s="1051"/>
      <c r="BB244" s="1053"/>
      <c r="BC244" s="1051"/>
      <c r="BD244" s="1051"/>
      <c r="BE244" s="1053"/>
      <c r="BF244" s="1051"/>
      <c r="BG244" s="1051"/>
      <c r="BH244" s="1053"/>
      <c r="BI244" s="1052"/>
      <c r="BJ244" s="1052"/>
      <c r="BK244" s="1052"/>
      <c r="BL244" s="1052"/>
      <c r="BM244" s="1052"/>
      <c r="BN244" s="1054"/>
      <c r="BO244" s="1076">
        <f t="shared" si="4"/>
        <v>0</v>
      </c>
      <c r="BP244" s="1051"/>
      <c r="BQ244" s="1052"/>
      <c r="BR244" s="1054"/>
      <c r="BS244" s="1053"/>
      <c r="BT244" s="1051"/>
      <c r="BU244" s="1051"/>
      <c r="BV244" s="1051"/>
      <c r="BW244" s="1052"/>
      <c r="BX244" s="1052"/>
      <c r="BY244" s="1052"/>
      <c r="BZ244" s="1052"/>
      <c r="CA244" s="1052"/>
      <c r="CB244" s="1053"/>
      <c r="CC244" s="1053"/>
      <c r="CD244" s="1053"/>
      <c r="CE244" s="1053"/>
      <c r="CF244" s="1053"/>
      <c r="CG244" s="1053"/>
      <c r="CH244" s="1053"/>
      <c r="CI244" s="1123"/>
      <c r="CJ244" s="1123"/>
      <c r="CK244" s="1123"/>
      <c r="CL244" s="1123"/>
      <c r="CM244" s="1123"/>
      <c r="CN244" s="1123"/>
      <c r="CO244" s="1123"/>
      <c r="CP244" s="1123"/>
      <c r="CQ244" s="1123"/>
      <c r="CR244" s="1123"/>
      <c r="CS244" s="1123"/>
      <c r="CT244" s="1123"/>
      <c r="CU244" s="1123"/>
      <c r="CV244" s="1123"/>
      <c r="CW244" s="1123"/>
      <c r="CX244" s="1123"/>
      <c r="CY244" s="1123"/>
      <c r="CZ244" s="1114"/>
      <c r="DA244" s="1114"/>
      <c r="DB244" s="1114"/>
      <c r="DC244" s="1114"/>
      <c r="DD244" s="1114"/>
      <c r="DE244" s="1114"/>
      <c r="DF244" s="1114"/>
      <c r="DG244" s="1114"/>
      <c r="DH244" s="1114"/>
      <c r="DI244" s="1114"/>
      <c r="DJ244" s="1114"/>
      <c r="DK244" s="1114"/>
      <c r="DL244" s="1114"/>
      <c r="DM244" s="1114"/>
      <c r="DN244" s="1114"/>
      <c r="DO244" s="1114"/>
      <c r="DP244" s="1114"/>
      <c r="DQ244" s="1114"/>
      <c r="DR244" s="1114"/>
      <c r="DS244" s="1114"/>
      <c r="DT244" s="1114"/>
      <c r="DU244" s="1114"/>
      <c r="DV244" s="1115"/>
      <c r="DW244" s="1116"/>
      <c r="DX244" s="1116"/>
      <c r="DY244" s="1116"/>
      <c r="DZ244" s="1116"/>
      <c r="EA244" s="1116"/>
      <c r="EB244" s="1116"/>
      <c r="EC244" s="1116"/>
      <c r="ED244" s="1116"/>
      <c r="EE244" s="1116"/>
      <c r="EF244" s="1116"/>
      <c r="EG244" s="1116"/>
      <c r="EH244" s="1116"/>
      <c r="EI244" s="1116"/>
      <c r="EJ244" s="1116"/>
      <c r="EK244" s="1116"/>
      <c r="EL244" s="1116"/>
      <c r="EM244" s="1116"/>
      <c r="EN244" s="1116"/>
      <c r="EO244" s="1116"/>
      <c r="EP244" s="1116"/>
      <c r="EQ244" s="1116"/>
      <c r="ER244" s="1116"/>
      <c r="ES244" s="1116"/>
    </row>
    <row r="245" spans="1:149" ht="15" customHeight="1">
      <c r="A245" s="1185">
        <v>235</v>
      </c>
      <c r="B245" s="1041"/>
      <c r="C245" s="1050"/>
      <c r="D245" s="1050"/>
      <c r="E245" s="1050"/>
      <c r="F245" s="1049"/>
      <c r="G245" s="1049"/>
      <c r="H245" s="1049"/>
      <c r="I245" s="1049"/>
      <c r="J245" s="1050"/>
      <c r="K245" s="1050"/>
      <c r="L245" s="1043"/>
      <c r="M245" s="1051"/>
      <c r="N245" s="1051"/>
      <c r="O245" s="1052"/>
      <c r="P245" s="1051"/>
      <c r="Q245" s="1051"/>
      <c r="R245" s="1052"/>
      <c r="S245" s="1051"/>
      <c r="T245" s="1051"/>
      <c r="U245" s="1052"/>
      <c r="V245" s="1051"/>
      <c r="W245" s="1051"/>
      <c r="X245" s="1052"/>
      <c r="Y245" s="1053"/>
      <c r="Z245" s="1051"/>
      <c r="AA245" s="1051"/>
      <c r="AB245" s="1052"/>
      <c r="AC245" s="1051"/>
      <c r="AD245" s="1051"/>
      <c r="AE245" s="1052"/>
      <c r="AF245" s="1051"/>
      <c r="AG245" s="1051"/>
      <c r="AH245" s="1051"/>
      <c r="AI245" s="1051"/>
      <c r="AJ245" s="1052"/>
      <c r="AK245" s="1051"/>
      <c r="AL245" s="1051"/>
      <c r="AM245" s="1052"/>
      <c r="AN245" s="1051"/>
      <c r="AO245" s="1051"/>
      <c r="AP245" s="1052"/>
      <c r="AQ245" s="1051"/>
      <c r="AR245" s="1051"/>
      <c r="AS245" s="1052"/>
      <c r="AT245" s="1051"/>
      <c r="AU245" s="1051"/>
      <c r="AV245" s="1052"/>
      <c r="AW245" s="1051"/>
      <c r="AX245" s="1051"/>
      <c r="AY245" s="1053"/>
      <c r="AZ245" s="1051"/>
      <c r="BA245" s="1051"/>
      <c r="BB245" s="1053"/>
      <c r="BC245" s="1051"/>
      <c r="BD245" s="1051"/>
      <c r="BE245" s="1053"/>
      <c r="BF245" s="1051"/>
      <c r="BG245" s="1051"/>
      <c r="BH245" s="1053"/>
      <c r="BI245" s="1052"/>
      <c r="BJ245" s="1052"/>
      <c r="BK245" s="1052"/>
      <c r="BL245" s="1052"/>
      <c r="BM245" s="1052"/>
      <c r="BN245" s="1054"/>
      <c r="BO245" s="1076">
        <f t="shared" si="4"/>
        <v>0</v>
      </c>
      <c r="BP245" s="1051"/>
      <c r="BQ245" s="1052"/>
      <c r="BR245" s="1054"/>
      <c r="BS245" s="1053"/>
      <c r="BT245" s="1051"/>
      <c r="BU245" s="1051"/>
      <c r="BV245" s="1051"/>
      <c r="BW245" s="1052"/>
      <c r="BX245" s="1052"/>
      <c r="BY245" s="1052"/>
      <c r="BZ245" s="1052"/>
      <c r="CA245" s="1052"/>
      <c r="CB245" s="1053"/>
      <c r="CC245" s="1053"/>
      <c r="CD245" s="1053"/>
      <c r="CE245" s="1053"/>
      <c r="CF245" s="1053"/>
      <c r="CG245" s="1053"/>
      <c r="CH245" s="1053"/>
      <c r="CI245" s="1123"/>
      <c r="CJ245" s="1123"/>
      <c r="CK245" s="1123"/>
      <c r="CL245" s="1123"/>
      <c r="CM245" s="1123"/>
      <c r="CN245" s="1123"/>
      <c r="CO245" s="1123"/>
      <c r="CP245" s="1123"/>
      <c r="CQ245" s="1123"/>
      <c r="CR245" s="1123"/>
      <c r="CS245" s="1123"/>
      <c r="CT245" s="1123"/>
      <c r="CU245" s="1123"/>
      <c r="CV245" s="1123"/>
      <c r="CW245" s="1123"/>
      <c r="CX245" s="1123"/>
      <c r="CY245" s="1123"/>
      <c r="CZ245" s="1114"/>
      <c r="DA245" s="1114"/>
      <c r="DB245" s="1114"/>
      <c r="DC245" s="1114"/>
      <c r="DD245" s="1114"/>
      <c r="DE245" s="1114"/>
      <c r="DF245" s="1114"/>
      <c r="DG245" s="1114"/>
      <c r="DH245" s="1114"/>
      <c r="DI245" s="1114"/>
      <c r="DJ245" s="1114"/>
      <c r="DK245" s="1114"/>
      <c r="DL245" s="1114"/>
      <c r="DM245" s="1114"/>
      <c r="DN245" s="1114"/>
      <c r="DO245" s="1114"/>
      <c r="DP245" s="1114"/>
      <c r="DQ245" s="1114"/>
      <c r="DR245" s="1114"/>
      <c r="DS245" s="1114"/>
      <c r="DT245" s="1114"/>
      <c r="DU245" s="1114"/>
      <c r="DV245" s="1115"/>
      <c r="DW245" s="1116"/>
      <c r="DX245" s="1116"/>
      <c r="DY245" s="1116"/>
      <c r="DZ245" s="1116"/>
      <c r="EA245" s="1116"/>
      <c r="EB245" s="1116"/>
      <c r="EC245" s="1116"/>
      <c r="ED245" s="1116"/>
      <c r="EE245" s="1116"/>
      <c r="EF245" s="1116"/>
      <c r="EG245" s="1116"/>
      <c r="EH245" s="1116"/>
      <c r="EI245" s="1116"/>
      <c r="EJ245" s="1116"/>
      <c r="EK245" s="1116"/>
      <c r="EL245" s="1116"/>
      <c r="EM245" s="1116"/>
      <c r="EN245" s="1116"/>
      <c r="EO245" s="1116"/>
      <c r="EP245" s="1116"/>
      <c r="EQ245" s="1116"/>
      <c r="ER245" s="1116"/>
      <c r="ES245" s="1116"/>
    </row>
    <row r="246" spans="1:149" ht="15" customHeight="1">
      <c r="A246" s="1185">
        <v>236</v>
      </c>
      <c r="B246" s="1041"/>
      <c r="C246" s="1050"/>
      <c r="D246" s="1050"/>
      <c r="E246" s="1050"/>
      <c r="F246" s="1049"/>
      <c r="G246" s="1049"/>
      <c r="H246" s="1049"/>
      <c r="I246" s="1049"/>
      <c r="J246" s="1050"/>
      <c r="K246" s="1050"/>
      <c r="L246" s="1043"/>
      <c r="M246" s="1051"/>
      <c r="N246" s="1051"/>
      <c r="O246" s="1052"/>
      <c r="P246" s="1051"/>
      <c r="Q246" s="1051"/>
      <c r="R246" s="1052"/>
      <c r="S246" s="1051"/>
      <c r="T246" s="1051"/>
      <c r="U246" s="1052"/>
      <c r="V246" s="1051"/>
      <c r="W246" s="1051"/>
      <c r="X246" s="1052"/>
      <c r="Y246" s="1053"/>
      <c r="Z246" s="1051"/>
      <c r="AA246" s="1051"/>
      <c r="AB246" s="1052"/>
      <c r="AC246" s="1051"/>
      <c r="AD246" s="1051"/>
      <c r="AE246" s="1052"/>
      <c r="AF246" s="1051"/>
      <c r="AG246" s="1051"/>
      <c r="AH246" s="1051"/>
      <c r="AI246" s="1051"/>
      <c r="AJ246" s="1052"/>
      <c r="AK246" s="1051"/>
      <c r="AL246" s="1051"/>
      <c r="AM246" s="1052"/>
      <c r="AN246" s="1051"/>
      <c r="AO246" s="1051"/>
      <c r="AP246" s="1052"/>
      <c r="AQ246" s="1051"/>
      <c r="AR246" s="1051"/>
      <c r="AS246" s="1052"/>
      <c r="AT246" s="1051"/>
      <c r="AU246" s="1051"/>
      <c r="AV246" s="1052"/>
      <c r="AW246" s="1051"/>
      <c r="AX246" s="1051"/>
      <c r="AY246" s="1053"/>
      <c r="AZ246" s="1051"/>
      <c r="BA246" s="1051"/>
      <c r="BB246" s="1053"/>
      <c r="BC246" s="1051"/>
      <c r="BD246" s="1051"/>
      <c r="BE246" s="1053"/>
      <c r="BF246" s="1051"/>
      <c r="BG246" s="1051"/>
      <c r="BH246" s="1053"/>
      <c r="BI246" s="1052"/>
      <c r="BJ246" s="1052"/>
      <c r="BK246" s="1052"/>
      <c r="BL246" s="1052"/>
      <c r="BM246" s="1052"/>
      <c r="BN246" s="1054"/>
      <c r="BO246" s="1076">
        <f t="shared" si="4"/>
        <v>0</v>
      </c>
      <c r="BP246" s="1051"/>
      <c r="BQ246" s="1052"/>
      <c r="BR246" s="1054"/>
      <c r="BS246" s="1053"/>
      <c r="BT246" s="1051"/>
      <c r="BU246" s="1051"/>
      <c r="BV246" s="1051"/>
      <c r="BW246" s="1052"/>
      <c r="BX246" s="1052"/>
      <c r="BY246" s="1052"/>
      <c r="BZ246" s="1052"/>
      <c r="CA246" s="1052"/>
      <c r="CB246" s="1053"/>
      <c r="CC246" s="1053"/>
      <c r="CD246" s="1053"/>
      <c r="CE246" s="1053"/>
      <c r="CF246" s="1053"/>
      <c r="CG246" s="1053"/>
      <c r="CH246" s="1053"/>
      <c r="CI246" s="1123"/>
      <c r="CJ246" s="1123"/>
      <c r="CK246" s="1123"/>
      <c r="CL246" s="1123"/>
      <c r="CM246" s="1123"/>
      <c r="CN246" s="1123"/>
      <c r="CO246" s="1123"/>
      <c r="CP246" s="1123"/>
      <c r="CQ246" s="1123"/>
      <c r="CR246" s="1123"/>
      <c r="CS246" s="1123"/>
      <c r="CT246" s="1123"/>
      <c r="CU246" s="1123"/>
      <c r="CV246" s="1123"/>
      <c r="CW246" s="1123"/>
      <c r="CX246" s="1123"/>
      <c r="CY246" s="1123"/>
      <c r="CZ246" s="1114"/>
      <c r="DA246" s="1114"/>
      <c r="DB246" s="1114"/>
      <c r="DC246" s="1114"/>
      <c r="DD246" s="1114"/>
      <c r="DE246" s="1114"/>
      <c r="DF246" s="1114"/>
      <c r="DG246" s="1114"/>
      <c r="DH246" s="1114"/>
      <c r="DI246" s="1114"/>
      <c r="DJ246" s="1114"/>
      <c r="DK246" s="1114"/>
      <c r="DL246" s="1114"/>
      <c r="DM246" s="1114"/>
      <c r="DN246" s="1114"/>
      <c r="DO246" s="1114"/>
      <c r="DP246" s="1114"/>
      <c r="DQ246" s="1114"/>
      <c r="DR246" s="1114"/>
      <c r="DS246" s="1114"/>
      <c r="DT246" s="1114"/>
      <c r="DU246" s="1114"/>
      <c r="DV246" s="1115"/>
      <c r="DW246" s="1116"/>
      <c r="DX246" s="1116"/>
      <c r="DY246" s="1116"/>
      <c r="DZ246" s="1116"/>
      <c r="EA246" s="1116"/>
      <c r="EB246" s="1116"/>
      <c r="EC246" s="1116"/>
      <c r="ED246" s="1116"/>
      <c r="EE246" s="1116"/>
      <c r="EF246" s="1116"/>
      <c r="EG246" s="1116"/>
      <c r="EH246" s="1116"/>
      <c r="EI246" s="1116"/>
      <c r="EJ246" s="1116"/>
      <c r="EK246" s="1116"/>
      <c r="EL246" s="1116"/>
      <c r="EM246" s="1116"/>
      <c r="EN246" s="1116"/>
      <c r="EO246" s="1116"/>
      <c r="EP246" s="1116"/>
      <c r="EQ246" s="1116"/>
      <c r="ER246" s="1116"/>
      <c r="ES246" s="1116"/>
    </row>
    <row r="247" spans="1:149" ht="15" customHeight="1">
      <c r="A247" s="1185">
        <v>237</v>
      </c>
      <c r="B247" s="1041"/>
      <c r="C247" s="1050"/>
      <c r="D247" s="1050"/>
      <c r="E247" s="1050"/>
      <c r="F247" s="1049"/>
      <c r="G247" s="1049"/>
      <c r="H247" s="1049"/>
      <c r="I247" s="1049"/>
      <c r="J247" s="1050"/>
      <c r="K247" s="1050"/>
      <c r="L247" s="1043"/>
      <c r="M247" s="1051"/>
      <c r="N247" s="1051"/>
      <c r="O247" s="1052"/>
      <c r="P247" s="1051"/>
      <c r="Q247" s="1051"/>
      <c r="R247" s="1052"/>
      <c r="S247" s="1051"/>
      <c r="T247" s="1051"/>
      <c r="U247" s="1052"/>
      <c r="V247" s="1051"/>
      <c r="W247" s="1051"/>
      <c r="X247" s="1052"/>
      <c r="Y247" s="1053"/>
      <c r="Z247" s="1051"/>
      <c r="AA247" s="1051"/>
      <c r="AB247" s="1052"/>
      <c r="AC247" s="1051"/>
      <c r="AD247" s="1051"/>
      <c r="AE247" s="1052"/>
      <c r="AF247" s="1051"/>
      <c r="AG247" s="1051"/>
      <c r="AH247" s="1051"/>
      <c r="AI247" s="1051"/>
      <c r="AJ247" s="1052"/>
      <c r="AK247" s="1051"/>
      <c r="AL247" s="1051"/>
      <c r="AM247" s="1052"/>
      <c r="AN247" s="1051"/>
      <c r="AO247" s="1051"/>
      <c r="AP247" s="1052"/>
      <c r="AQ247" s="1051"/>
      <c r="AR247" s="1051"/>
      <c r="AS247" s="1052"/>
      <c r="AT247" s="1051"/>
      <c r="AU247" s="1051"/>
      <c r="AV247" s="1052"/>
      <c r="AW247" s="1051"/>
      <c r="AX247" s="1051"/>
      <c r="AY247" s="1053"/>
      <c r="AZ247" s="1051"/>
      <c r="BA247" s="1051"/>
      <c r="BB247" s="1053"/>
      <c r="BC247" s="1051"/>
      <c r="BD247" s="1051"/>
      <c r="BE247" s="1053"/>
      <c r="BF247" s="1051"/>
      <c r="BG247" s="1051"/>
      <c r="BH247" s="1053"/>
      <c r="BI247" s="1052"/>
      <c r="BJ247" s="1052"/>
      <c r="BK247" s="1052"/>
      <c r="BL247" s="1052"/>
      <c r="BM247" s="1052"/>
      <c r="BN247" s="1054"/>
      <c r="BO247" s="1076">
        <f t="shared" si="4"/>
        <v>0</v>
      </c>
      <c r="BP247" s="1051"/>
      <c r="BQ247" s="1052"/>
      <c r="BR247" s="1054"/>
      <c r="BS247" s="1053"/>
      <c r="BT247" s="1051"/>
      <c r="BU247" s="1051"/>
      <c r="BV247" s="1051"/>
      <c r="BW247" s="1052"/>
      <c r="BX247" s="1052"/>
      <c r="BY247" s="1052"/>
      <c r="BZ247" s="1052"/>
      <c r="CA247" s="1052"/>
      <c r="CB247" s="1053"/>
      <c r="CC247" s="1053"/>
      <c r="CD247" s="1053"/>
      <c r="CE247" s="1053"/>
      <c r="CF247" s="1053"/>
      <c r="CG247" s="1053"/>
      <c r="CH247" s="1053"/>
      <c r="CI247" s="1123"/>
      <c r="CJ247" s="1123"/>
      <c r="CK247" s="1123"/>
      <c r="CL247" s="1123"/>
      <c r="CM247" s="1123"/>
      <c r="CN247" s="1123"/>
      <c r="CO247" s="1123"/>
      <c r="CP247" s="1123"/>
      <c r="CQ247" s="1123"/>
      <c r="CR247" s="1123"/>
      <c r="CS247" s="1123"/>
      <c r="CT247" s="1123"/>
      <c r="CU247" s="1123"/>
      <c r="CV247" s="1123"/>
      <c r="CW247" s="1123"/>
      <c r="CX247" s="1123"/>
      <c r="CY247" s="1123"/>
      <c r="CZ247" s="1114"/>
      <c r="DA247" s="1114"/>
      <c r="DB247" s="1114"/>
      <c r="DC247" s="1114"/>
      <c r="DD247" s="1114"/>
      <c r="DE247" s="1114"/>
      <c r="DF247" s="1114"/>
      <c r="DG247" s="1114"/>
      <c r="DH247" s="1114"/>
      <c r="DI247" s="1114"/>
      <c r="DJ247" s="1114"/>
      <c r="DK247" s="1114"/>
      <c r="DL247" s="1114"/>
      <c r="DM247" s="1114"/>
      <c r="DN247" s="1114"/>
      <c r="DO247" s="1114"/>
      <c r="DP247" s="1114"/>
      <c r="DQ247" s="1114"/>
      <c r="DR247" s="1114"/>
      <c r="DS247" s="1114"/>
      <c r="DT247" s="1114"/>
      <c r="DU247" s="1114"/>
      <c r="DV247" s="1115"/>
      <c r="DW247" s="1116"/>
      <c r="DX247" s="1116"/>
      <c r="DY247" s="1116"/>
      <c r="DZ247" s="1116"/>
      <c r="EA247" s="1116"/>
      <c r="EB247" s="1116"/>
      <c r="EC247" s="1116"/>
      <c r="ED247" s="1116"/>
      <c r="EE247" s="1116"/>
      <c r="EF247" s="1116"/>
      <c r="EG247" s="1116"/>
      <c r="EH247" s="1116"/>
      <c r="EI247" s="1116"/>
      <c r="EJ247" s="1116"/>
      <c r="EK247" s="1116"/>
      <c r="EL247" s="1116"/>
      <c r="EM247" s="1116"/>
      <c r="EN247" s="1116"/>
      <c r="EO247" s="1116"/>
      <c r="EP247" s="1116"/>
      <c r="EQ247" s="1116"/>
      <c r="ER247" s="1116"/>
      <c r="ES247" s="1116"/>
    </row>
    <row r="248" spans="1:149" ht="15" customHeight="1">
      <c r="A248" s="1185">
        <v>238</v>
      </c>
      <c r="B248" s="1041"/>
      <c r="C248" s="1050"/>
      <c r="D248" s="1050"/>
      <c r="E248" s="1050"/>
      <c r="F248" s="1049"/>
      <c r="G248" s="1049"/>
      <c r="H248" s="1049"/>
      <c r="I248" s="1049"/>
      <c r="J248" s="1050"/>
      <c r="K248" s="1050"/>
      <c r="L248" s="1043"/>
      <c r="M248" s="1051"/>
      <c r="N248" s="1051"/>
      <c r="O248" s="1052"/>
      <c r="P248" s="1051"/>
      <c r="Q248" s="1051"/>
      <c r="R248" s="1052"/>
      <c r="S248" s="1051"/>
      <c r="T248" s="1051"/>
      <c r="U248" s="1052"/>
      <c r="V248" s="1051"/>
      <c r="W248" s="1051"/>
      <c r="X248" s="1052"/>
      <c r="Y248" s="1053"/>
      <c r="Z248" s="1051"/>
      <c r="AA248" s="1051"/>
      <c r="AB248" s="1052"/>
      <c r="AC248" s="1051"/>
      <c r="AD248" s="1051"/>
      <c r="AE248" s="1052"/>
      <c r="AF248" s="1051"/>
      <c r="AG248" s="1051"/>
      <c r="AH248" s="1051"/>
      <c r="AI248" s="1051"/>
      <c r="AJ248" s="1052"/>
      <c r="AK248" s="1051"/>
      <c r="AL248" s="1051"/>
      <c r="AM248" s="1052"/>
      <c r="AN248" s="1051"/>
      <c r="AO248" s="1051"/>
      <c r="AP248" s="1052"/>
      <c r="AQ248" s="1051"/>
      <c r="AR248" s="1051"/>
      <c r="AS248" s="1052"/>
      <c r="AT248" s="1051"/>
      <c r="AU248" s="1051"/>
      <c r="AV248" s="1052"/>
      <c r="AW248" s="1051"/>
      <c r="AX248" s="1051"/>
      <c r="AY248" s="1053"/>
      <c r="AZ248" s="1051"/>
      <c r="BA248" s="1051"/>
      <c r="BB248" s="1053"/>
      <c r="BC248" s="1051"/>
      <c r="BD248" s="1051"/>
      <c r="BE248" s="1053"/>
      <c r="BF248" s="1051"/>
      <c r="BG248" s="1051"/>
      <c r="BH248" s="1053"/>
      <c r="BI248" s="1052"/>
      <c r="BJ248" s="1052"/>
      <c r="BK248" s="1052"/>
      <c r="BL248" s="1052"/>
      <c r="BM248" s="1052"/>
      <c r="BN248" s="1054"/>
      <c r="BO248" s="1076">
        <f t="shared" si="4"/>
        <v>0</v>
      </c>
      <c r="BP248" s="1051"/>
      <c r="BQ248" s="1052"/>
      <c r="BR248" s="1054"/>
      <c r="BS248" s="1053"/>
      <c r="BT248" s="1051"/>
      <c r="BU248" s="1051"/>
      <c r="BV248" s="1051"/>
      <c r="BW248" s="1052"/>
      <c r="BX248" s="1052"/>
      <c r="BY248" s="1052"/>
      <c r="BZ248" s="1052"/>
      <c r="CA248" s="1052"/>
      <c r="CB248" s="1053"/>
      <c r="CC248" s="1053"/>
      <c r="CD248" s="1053"/>
      <c r="CE248" s="1053"/>
      <c r="CF248" s="1053"/>
      <c r="CG248" s="1053"/>
      <c r="CH248" s="1053"/>
      <c r="CI248" s="1123"/>
      <c r="CJ248" s="1123"/>
      <c r="CK248" s="1123"/>
      <c r="CL248" s="1123"/>
      <c r="CM248" s="1123"/>
      <c r="CN248" s="1123"/>
      <c r="CO248" s="1123"/>
      <c r="CP248" s="1123"/>
      <c r="CQ248" s="1123"/>
      <c r="CR248" s="1123"/>
      <c r="CS248" s="1123"/>
      <c r="CT248" s="1123"/>
      <c r="CU248" s="1123"/>
      <c r="CV248" s="1123"/>
      <c r="CW248" s="1123"/>
      <c r="CX248" s="1123"/>
      <c r="CY248" s="1123"/>
      <c r="CZ248" s="1114"/>
      <c r="DA248" s="1114"/>
      <c r="DB248" s="1114"/>
      <c r="DC248" s="1114"/>
      <c r="DD248" s="1114"/>
      <c r="DE248" s="1114"/>
      <c r="DF248" s="1114"/>
      <c r="DG248" s="1114"/>
      <c r="DH248" s="1114"/>
      <c r="DI248" s="1114"/>
      <c r="DJ248" s="1114"/>
      <c r="DK248" s="1114"/>
      <c r="DL248" s="1114"/>
      <c r="DM248" s="1114"/>
      <c r="DN248" s="1114"/>
      <c r="DO248" s="1114"/>
      <c r="DP248" s="1114"/>
      <c r="DQ248" s="1114"/>
      <c r="DR248" s="1114"/>
      <c r="DS248" s="1114"/>
      <c r="DT248" s="1114"/>
      <c r="DU248" s="1114"/>
      <c r="DV248" s="1115"/>
      <c r="DW248" s="1116"/>
      <c r="DX248" s="1116"/>
      <c r="DY248" s="1116"/>
      <c r="DZ248" s="1116"/>
      <c r="EA248" s="1116"/>
      <c r="EB248" s="1116"/>
      <c r="EC248" s="1116"/>
      <c r="ED248" s="1116"/>
      <c r="EE248" s="1116"/>
      <c r="EF248" s="1116"/>
      <c r="EG248" s="1116"/>
      <c r="EH248" s="1116"/>
      <c r="EI248" s="1116"/>
      <c r="EJ248" s="1116"/>
      <c r="EK248" s="1116"/>
      <c r="EL248" s="1116"/>
      <c r="EM248" s="1116"/>
      <c r="EN248" s="1116"/>
      <c r="EO248" s="1116"/>
      <c r="EP248" s="1116"/>
      <c r="EQ248" s="1116"/>
      <c r="ER248" s="1116"/>
      <c r="ES248" s="1116"/>
    </row>
    <row r="249" spans="1:149" ht="15" customHeight="1">
      <c r="A249" s="1185">
        <v>239</v>
      </c>
      <c r="B249" s="1041"/>
      <c r="C249" s="1050"/>
      <c r="D249" s="1050"/>
      <c r="E249" s="1050"/>
      <c r="F249" s="1049"/>
      <c r="G249" s="1049"/>
      <c r="H249" s="1049"/>
      <c r="I249" s="1049"/>
      <c r="J249" s="1050"/>
      <c r="K249" s="1050"/>
      <c r="L249" s="1043"/>
      <c r="M249" s="1051"/>
      <c r="N249" s="1051"/>
      <c r="O249" s="1052"/>
      <c r="P249" s="1051"/>
      <c r="Q249" s="1051"/>
      <c r="R249" s="1052"/>
      <c r="S249" s="1051"/>
      <c r="T249" s="1051"/>
      <c r="U249" s="1052"/>
      <c r="V249" s="1051"/>
      <c r="W249" s="1051"/>
      <c r="X249" s="1052"/>
      <c r="Y249" s="1053"/>
      <c r="Z249" s="1051"/>
      <c r="AA249" s="1051"/>
      <c r="AB249" s="1052"/>
      <c r="AC249" s="1051"/>
      <c r="AD249" s="1051"/>
      <c r="AE249" s="1052"/>
      <c r="AF249" s="1051"/>
      <c r="AG249" s="1051"/>
      <c r="AH249" s="1051"/>
      <c r="AI249" s="1051"/>
      <c r="AJ249" s="1052"/>
      <c r="AK249" s="1051"/>
      <c r="AL249" s="1051"/>
      <c r="AM249" s="1052"/>
      <c r="AN249" s="1051"/>
      <c r="AO249" s="1051"/>
      <c r="AP249" s="1052"/>
      <c r="AQ249" s="1051"/>
      <c r="AR249" s="1051"/>
      <c r="AS249" s="1052"/>
      <c r="AT249" s="1051"/>
      <c r="AU249" s="1051"/>
      <c r="AV249" s="1052"/>
      <c r="AW249" s="1051"/>
      <c r="AX249" s="1051"/>
      <c r="AY249" s="1053"/>
      <c r="AZ249" s="1051"/>
      <c r="BA249" s="1051"/>
      <c r="BB249" s="1053"/>
      <c r="BC249" s="1051"/>
      <c r="BD249" s="1051"/>
      <c r="BE249" s="1053"/>
      <c r="BF249" s="1051"/>
      <c r="BG249" s="1051"/>
      <c r="BH249" s="1053"/>
      <c r="BI249" s="1052"/>
      <c r="BJ249" s="1052"/>
      <c r="BK249" s="1052"/>
      <c r="BL249" s="1052"/>
      <c r="BM249" s="1052"/>
      <c r="BN249" s="1054"/>
      <c r="BO249" s="1076">
        <f t="shared" si="4"/>
        <v>0</v>
      </c>
      <c r="BP249" s="1051"/>
      <c r="BQ249" s="1052"/>
      <c r="BR249" s="1054"/>
      <c r="BS249" s="1053"/>
      <c r="BT249" s="1051"/>
      <c r="BU249" s="1051"/>
      <c r="BV249" s="1051"/>
      <c r="BW249" s="1052"/>
      <c r="BX249" s="1052"/>
      <c r="BY249" s="1052"/>
      <c r="BZ249" s="1052"/>
      <c r="CA249" s="1052"/>
      <c r="CB249" s="1053"/>
      <c r="CC249" s="1053"/>
      <c r="CD249" s="1053"/>
      <c r="CE249" s="1053"/>
      <c r="CF249" s="1053"/>
      <c r="CG249" s="1053"/>
      <c r="CH249" s="1053"/>
      <c r="CI249" s="1123"/>
      <c r="CJ249" s="1123"/>
      <c r="CK249" s="1123"/>
      <c r="CL249" s="1123"/>
      <c r="CM249" s="1123"/>
      <c r="CN249" s="1123"/>
      <c r="CO249" s="1123"/>
      <c r="CP249" s="1123"/>
      <c r="CQ249" s="1123"/>
      <c r="CR249" s="1123"/>
      <c r="CS249" s="1123"/>
      <c r="CT249" s="1123"/>
      <c r="CU249" s="1123"/>
      <c r="CV249" s="1123"/>
      <c r="CW249" s="1123"/>
      <c r="CX249" s="1123"/>
      <c r="CY249" s="1123"/>
      <c r="CZ249" s="1114"/>
      <c r="DA249" s="1114"/>
      <c r="DB249" s="1114"/>
      <c r="DC249" s="1114"/>
      <c r="DD249" s="1114"/>
      <c r="DE249" s="1114"/>
      <c r="DF249" s="1114"/>
      <c r="DG249" s="1114"/>
      <c r="DH249" s="1114"/>
      <c r="DI249" s="1114"/>
      <c r="DJ249" s="1114"/>
      <c r="DK249" s="1114"/>
      <c r="DL249" s="1114"/>
      <c r="DM249" s="1114"/>
      <c r="DN249" s="1114"/>
      <c r="DO249" s="1114"/>
      <c r="DP249" s="1114"/>
      <c r="DQ249" s="1114"/>
      <c r="DR249" s="1114"/>
      <c r="DS249" s="1114"/>
      <c r="DT249" s="1114"/>
      <c r="DU249" s="1114"/>
      <c r="DV249" s="1115"/>
      <c r="DW249" s="1116"/>
      <c r="DX249" s="1116"/>
      <c r="DY249" s="1116"/>
      <c r="DZ249" s="1116"/>
      <c r="EA249" s="1116"/>
      <c r="EB249" s="1116"/>
      <c r="EC249" s="1116"/>
      <c r="ED249" s="1116"/>
      <c r="EE249" s="1116"/>
      <c r="EF249" s="1116"/>
      <c r="EG249" s="1116"/>
      <c r="EH249" s="1116"/>
      <c r="EI249" s="1116"/>
      <c r="EJ249" s="1116"/>
      <c r="EK249" s="1116"/>
      <c r="EL249" s="1116"/>
      <c r="EM249" s="1116"/>
      <c r="EN249" s="1116"/>
      <c r="EO249" s="1116"/>
      <c r="EP249" s="1116"/>
      <c r="EQ249" s="1116"/>
      <c r="ER249" s="1116"/>
      <c r="ES249" s="1116"/>
    </row>
    <row r="250" spans="1:149" ht="15" customHeight="1">
      <c r="A250" s="1185">
        <v>240</v>
      </c>
      <c r="B250" s="1041"/>
      <c r="C250" s="1050"/>
      <c r="D250" s="1050"/>
      <c r="E250" s="1050"/>
      <c r="F250" s="1049"/>
      <c r="G250" s="1049"/>
      <c r="H250" s="1049"/>
      <c r="I250" s="1049"/>
      <c r="J250" s="1050"/>
      <c r="K250" s="1050"/>
      <c r="L250" s="1043"/>
      <c r="M250" s="1051"/>
      <c r="N250" s="1051"/>
      <c r="O250" s="1052"/>
      <c r="P250" s="1051"/>
      <c r="Q250" s="1051"/>
      <c r="R250" s="1052"/>
      <c r="S250" s="1051"/>
      <c r="T250" s="1051"/>
      <c r="U250" s="1052"/>
      <c r="V250" s="1051"/>
      <c r="W250" s="1051"/>
      <c r="X250" s="1052"/>
      <c r="Y250" s="1053"/>
      <c r="Z250" s="1051"/>
      <c r="AA250" s="1051"/>
      <c r="AB250" s="1052"/>
      <c r="AC250" s="1051"/>
      <c r="AD250" s="1051"/>
      <c r="AE250" s="1052"/>
      <c r="AF250" s="1051"/>
      <c r="AG250" s="1051"/>
      <c r="AH250" s="1051"/>
      <c r="AI250" s="1051"/>
      <c r="AJ250" s="1052"/>
      <c r="AK250" s="1051"/>
      <c r="AL250" s="1051"/>
      <c r="AM250" s="1052"/>
      <c r="AN250" s="1051"/>
      <c r="AO250" s="1051"/>
      <c r="AP250" s="1052"/>
      <c r="AQ250" s="1051"/>
      <c r="AR250" s="1051"/>
      <c r="AS250" s="1052"/>
      <c r="AT250" s="1051"/>
      <c r="AU250" s="1051"/>
      <c r="AV250" s="1052"/>
      <c r="AW250" s="1051"/>
      <c r="AX250" s="1051"/>
      <c r="AY250" s="1053"/>
      <c r="AZ250" s="1051"/>
      <c r="BA250" s="1051"/>
      <c r="BB250" s="1053"/>
      <c r="BC250" s="1051"/>
      <c r="BD250" s="1051"/>
      <c r="BE250" s="1053"/>
      <c r="BF250" s="1051"/>
      <c r="BG250" s="1051"/>
      <c r="BH250" s="1053"/>
      <c r="BI250" s="1052"/>
      <c r="BJ250" s="1052"/>
      <c r="BK250" s="1052"/>
      <c r="BL250" s="1052"/>
      <c r="BM250" s="1052"/>
      <c r="BN250" s="1054"/>
      <c r="BO250" s="1076">
        <f t="shared" si="4"/>
        <v>0</v>
      </c>
      <c r="BP250" s="1051"/>
      <c r="BQ250" s="1052"/>
      <c r="BR250" s="1054"/>
      <c r="BS250" s="1053"/>
      <c r="BT250" s="1051"/>
      <c r="BU250" s="1051"/>
      <c r="BV250" s="1051"/>
      <c r="BW250" s="1052"/>
      <c r="BX250" s="1052"/>
      <c r="BY250" s="1052"/>
      <c r="BZ250" s="1052"/>
      <c r="CA250" s="1052"/>
      <c r="CB250" s="1053"/>
      <c r="CC250" s="1053"/>
      <c r="CD250" s="1053"/>
      <c r="CE250" s="1053"/>
      <c r="CF250" s="1053"/>
      <c r="CG250" s="1053"/>
      <c r="CH250" s="1053"/>
      <c r="CI250" s="1123"/>
      <c r="CJ250" s="1123"/>
      <c r="CK250" s="1123"/>
      <c r="CL250" s="1123"/>
      <c r="CM250" s="1123"/>
      <c r="CN250" s="1123"/>
      <c r="CO250" s="1123"/>
      <c r="CP250" s="1123"/>
      <c r="CQ250" s="1123"/>
      <c r="CR250" s="1123"/>
      <c r="CS250" s="1123"/>
      <c r="CT250" s="1123"/>
      <c r="CU250" s="1123"/>
      <c r="CV250" s="1123"/>
      <c r="CW250" s="1123"/>
      <c r="CX250" s="1123"/>
      <c r="CY250" s="1123"/>
      <c r="CZ250" s="1114"/>
      <c r="DA250" s="1114"/>
      <c r="DB250" s="1114"/>
      <c r="DC250" s="1114"/>
      <c r="DD250" s="1114"/>
      <c r="DE250" s="1114"/>
      <c r="DF250" s="1114"/>
      <c r="DG250" s="1114"/>
      <c r="DH250" s="1114"/>
      <c r="DI250" s="1114"/>
      <c r="DJ250" s="1114"/>
      <c r="DK250" s="1114"/>
      <c r="DL250" s="1114"/>
      <c r="DM250" s="1114"/>
      <c r="DN250" s="1114"/>
      <c r="DO250" s="1114"/>
      <c r="DP250" s="1114"/>
      <c r="DQ250" s="1114"/>
      <c r="DR250" s="1114"/>
      <c r="DS250" s="1114"/>
      <c r="DT250" s="1114"/>
      <c r="DU250" s="1114"/>
      <c r="DV250" s="1115"/>
      <c r="DW250" s="1116"/>
      <c r="DX250" s="1116"/>
      <c r="DY250" s="1116"/>
      <c r="DZ250" s="1116"/>
      <c r="EA250" s="1116"/>
      <c r="EB250" s="1116"/>
      <c r="EC250" s="1116"/>
      <c r="ED250" s="1116"/>
      <c r="EE250" s="1116"/>
      <c r="EF250" s="1116"/>
      <c r="EG250" s="1116"/>
      <c r="EH250" s="1116"/>
      <c r="EI250" s="1116"/>
      <c r="EJ250" s="1116"/>
      <c r="EK250" s="1116"/>
      <c r="EL250" s="1116"/>
      <c r="EM250" s="1116"/>
      <c r="EN250" s="1116"/>
      <c r="EO250" s="1116"/>
      <c r="EP250" s="1116"/>
      <c r="EQ250" s="1116"/>
      <c r="ER250" s="1116"/>
      <c r="ES250" s="1116"/>
    </row>
    <row r="251" spans="1:149" ht="15" customHeight="1">
      <c r="A251" s="1185">
        <v>241</v>
      </c>
      <c r="B251" s="1041"/>
      <c r="C251" s="1050"/>
      <c r="D251" s="1050"/>
      <c r="E251" s="1050"/>
      <c r="F251" s="1049"/>
      <c r="G251" s="1049"/>
      <c r="H251" s="1049"/>
      <c r="I251" s="1049"/>
      <c r="J251" s="1050"/>
      <c r="K251" s="1050"/>
      <c r="L251" s="1043"/>
      <c r="M251" s="1051"/>
      <c r="N251" s="1051"/>
      <c r="O251" s="1052"/>
      <c r="P251" s="1051"/>
      <c r="Q251" s="1051"/>
      <c r="R251" s="1052"/>
      <c r="S251" s="1051"/>
      <c r="T251" s="1051"/>
      <c r="U251" s="1052"/>
      <c r="V251" s="1051"/>
      <c r="W251" s="1051"/>
      <c r="X251" s="1052"/>
      <c r="Y251" s="1053"/>
      <c r="Z251" s="1051"/>
      <c r="AA251" s="1051"/>
      <c r="AB251" s="1052"/>
      <c r="AC251" s="1051"/>
      <c r="AD251" s="1051"/>
      <c r="AE251" s="1052"/>
      <c r="AF251" s="1051"/>
      <c r="AG251" s="1051"/>
      <c r="AH251" s="1051"/>
      <c r="AI251" s="1051"/>
      <c r="AJ251" s="1052"/>
      <c r="AK251" s="1051"/>
      <c r="AL251" s="1051"/>
      <c r="AM251" s="1052"/>
      <c r="AN251" s="1051"/>
      <c r="AO251" s="1051"/>
      <c r="AP251" s="1052"/>
      <c r="AQ251" s="1051"/>
      <c r="AR251" s="1051"/>
      <c r="AS251" s="1052"/>
      <c r="AT251" s="1051"/>
      <c r="AU251" s="1051"/>
      <c r="AV251" s="1052"/>
      <c r="AW251" s="1051"/>
      <c r="AX251" s="1051"/>
      <c r="AY251" s="1053"/>
      <c r="AZ251" s="1051"/>
      <c r="BA251" s="1051"/>
      <c r="BB251" s="1053"/>
      <c r="BC251" s="1051"/>
      <c r="BD251" s="1051"/>
      <c r="BE251" s="1053"/>
      <c r="BF251" s="1051"/>
      <c r="BG251" s="1051"/>
      <c r="BH251" s="1053"/>
      <c r="BI251" s="1052"/>
      <c r="BJ251" s="1052"/>
      <c r="BK251" s="1052"/>
      <c r="BL251" s="1052"/>
      <c r="BM251" s="1052"/>
      <c r="BN251" s="1054"/>
      <c r="BO251" s="1076">
        <f t="shared" si="4"/>
        <v>0</v>
      </c>
      <c r="BP251" s="1051"/>
      <c r="BQ251" s="1052"/>
      <c r="BR251" s="1054"/>
      <c r="BS251" s="1053"/>
      <c r="BT251" s="1051"/>
      <c r="BU251" s="1051"/>
      <c r="BV251" s="1051"/>
      <c r="BW251" s="1052"/>
      <c r="BX251" s="1052"/>
      <c r="BY251" s="1052"/>
      <c r="BZ251" s="1052"/>
      <c r="CA251" s="1052"/>
      <c r="CB251" s="1053"/>
      <c r="CC251" s="1053"/>
      <c r="CD251" s="1053"/>
      <c r="CE251" s="1053"/>
      <c r="CF251" s="1053"/>
      <c r="CG251" s="1053"/>
      <c r="CH251" s="1053"/>
      <c r="CI251" s="1123"/>
      <c r="CJ251" s="1123"/>
      <c r="CK251" s="1123"/>
      <c r="CL251" s="1123"/>
      <c r="CM251" s="1123"/>
      <c r="CN251" s="1123"/>
      <c r="CO251" s="1123"/>
      <c r="CP251" s="1123"/>
      <c r="CQ251" s="1123"/>
      <c r="CR251" s="1123"/>
      <c r="CS251" s="1123"/>
      <c r="CT251" s="1123"/>
      <c r="CU251" s="1123"/>
      <c r="CV251" s="1123"/>
      <c r="CW251" s="1123"/>
      <c r="CX251" s="1123"/>
      <c r="CY251" s="1123"/>
      <c r="CZ251" s="1114"/>
      <c r="DA251" s="1114"/>
      <c r="DB251" s="1114"/>
      <c r="DC251" s="1114"/>
      <c r="DD251" s="1114"/>
      <c r="DE251" s="1114"/>
      <c r="DF251" s="1114"/>
      <c r="DG251" s="1114"/>
      <c r="DH251" s="1114"/>
      <c r="DI251" s="1114"/>
      <c r="DJ251" s="1114"/>
      <c r="DK251" s="1114"/>
      <c r="DL251" s="1114"/>
      <c r="DM251" s="1114"/>
      <c r="DN251" s="1114"/>
      <c r="DO251" s="1114"/>
      <c r="DP251" s="1114"/>
      <c r="DQ251" s="1114"/>
      <c r="DR251" s="1114"/>
      <c r="DS251" s="1114"/>
      <c r="DT251" s="1114"/>
      <c r="DU251" s="1114"/>
      <c r="DV251" s="1115"/>
      <c r="DW251" s="1116"/>
      <c r="DX251" s="1116"/>
      <c r="DY251" s="1116"/>
      <c r="DZ251" s="1116"/>
      <c r="EA251" s="1116"/>
      <c r="EB251" s="1116"/>
      <c r="EC251" s="1116"/>
      <c r="ED251" s="1116"/>
      <c r="EE251" s="1116"/>
      <c r="EF251" s="1116"/>
      <c r="EG251" s="1116"/>
      <c r="EH251" s="1116"/>
      <c r="EI251" s="1116"/>
      <c r="EJ251" s="1116"/>
      <c r="EK251" s="1116"/>
      <c r="EL251" s="1116"/>
      <c r="EM251" s="1116"/>
      <c r="EN251" s="1116"/>
      <c r="EO251" s="1116"/>
      <c r="EP251" s="1116"/>
      <c r="EQ251" s="1116"/>
      <c r="ER251" s="1116"/>
      <c r="ES251" s="1116"/>
    </row>
    <row r="252" spans="1:149" ht="15" customHeight="1">
      <c r="A252" s="1185">
        <v>242</v>
      </c>
      <c r="B252" s="1041"/>
      <c r="C252" s="1050"/>
      <c r="D252" s="1050"/>
      <c r="E252" s="1050"/>
      <c r="F252" s="1049"/>
      <c r="G252" s="1049"/>
      <c r="H252" s="1049"/>
      <c r="I252" s="1049"/>
      <c r="J252" s="1050"/>
      <c r="K252" s="1050"/>
      <c r="L252" s="1043"/>
      <c r="M252" s="1051"/>
      <c r="N252" s="1051"/>
      <c r="O252" s="1052"/>
      <c r="P252" s="1051"/>
      <c r="Q252" s="1051"/>
      <c r="R252" s="1052"/>
      <c r="S252" s="1051"/>
      <c r="T252" s="1051"/>
      <c r="U252" s="1052"/>
      <c r="V252" s="1051"/>
      <c r="W252" s="1051"/>
      <c r="X252" s="1052"/>
      <c r="Y252" s="1053"/>
      <c r="Z252" s="1051"/>
      <c r="AA252" s="1051"/>
      <c r="AB252" s="1052"/>
      <c r="AC252" s="1051"/>
      <c r="AD252" s="1051"/>
      <c r="AE252" s="1052"/>
      <c r="AF252" s="1051"/>
      <c r="AG252" s="1051"/>
      <c r="AH252" s="1051"/>
      <c r="AI252" s="1051"/>
      <c r="AJ252" s="1052"/>
      <c r="AK252" s="1051"/>
      <c r="AL252" s="1051"/>
      <c r="AM252" s="1052"/>
      <c r="AN252" s="1051"/>
      <c r="AO252" s="1051"/>
      <c r="AP252" s="1052"/>
      <c r="AQ252" s="1051"/>
      <c r="AR252" s="1051"/>
      <c r="AS252" s="1052"/>
      <c r="AT252" s="1051"/>
      <c r="AU252" s="1051"/>
      <c r="AV252" s="1052"/>
      <c r="AW252" s="1051"/>
      <c r="AX252" s="1051"/>
      <c r="AY252" s="1053"/>
      <c r="AZ252" s="1051"/>
      <c r="BA252" s="1051"/>
      <c r="BB252" s="1053"/>
      <c r="BC252" s="1051"/>
      <c r="BD252" s="1051"/>
      <c r="BE252" s="1053"/>
      <c r="BF252" s="1051"/>
      <c r="BG252" s="1051"/>
      <c r="BH252" s="1053"/>
      <c r="BI252" s="1052"/>
      <c r="BJ252" s="1052"/>
      <c r="BK252" s="1052"/>
      <c r="BL252" s="1052"/>
      <c r="BM252" s="1052"/>
      <c r="BN252" s="1054"/>
      <c r="BO252" s="1076">
        <f t="shared" si="4"/>
        <v>0</v>
      </c>
      <c r="BP252" s="1051"/>
      <c r="BQ252" s="1052"/>
      <c r="BR252" s="1054"/>
      <c r="BS252" s="1053"/>
      <c r="BT252" s="1051"/>
      <c r="BU252" s="1051"/>
      <c r="BV252" s="1051"/>
      <c r="BW252" s="1052"/>
      <c r="BX252" s="1052"/>
      <c r="BY252" s="1052"/>
      <c r="BZ252" s="1052"/>
      <c r="CA252" s="1052"/>
      <c r="CB252" s="1053"/>
      <c r="CC252" s="1053"/>
      <c r="CD252" s="1053"/>
      <c r="CE252" s="1053"/>
      <c r="CF252" s="1053"/>
      <c r="CG252" s="1053"/>
      <c r="CH252" s="1053"/>
      <c r="CI252" s="1123"/>
      <c r="CJ252" s="1123"/>
      <c r="CK252" s="1123"/>
      <c r="CL252" s="1123"/>
      <c r="CM252" s="1123"/>
      <c r="CN252" s="1123"/>
      <c r="CO252" s="1123"/>
      <c r="CP252" s="1123"/>
      <c r="CQ252" s="1123"/>
      <c r="CR252" s="1123"/>
      <c r="CS252" s="1123"/>
      <c r="CT252" s="1123"/>
      <c r="CU252" s="1123"/>
      <c r="CV252" s="1123"/>
      <c r="CW252" s="1123"/>
      <c r="CX252" s="1123"/>
      <c r="CY252" s="1123"/>
      <c r="CZ252" s="1114"/>
      <c r="DA252" s="1114"/>
      <c r="DB252" s="1114"/>
      <c r="DC252" s="1114"/>
      <c r="DD252" s="1114"/>
      <c r="DE252" s="1114"/>
      <c r="DF252" s="1114"/>
      <c r="DG252" s="1114"/>
      <c r="DH252" s="1114"/>
      <c r="DI252" s="1114"/>
      <c r="DJ252" s="1114"/>
      <c r="DK252" s="1114"/>
      <c r="DL252" s="1114"/>
      <c r="DM252" s="1114"/>
      <c r="DN252" s="1114"/>
      <c r="DO252" s="1114"/>
      <c r="DP252" s="1114"/>
      <c r="DQ252" s="1114"/>
      <c r="DR252" s="1114"/>
      <c r="DS252" s="1114"/>
      <c r="DT252" s="1114"/>
      <c r="DU252" s="1114"/>
      <c r="DV252" s="1115"/>
      <c r="DW252" s="1116"/>
      <c r="DX252" s="1116"/>
      <c r="DY252" s="1116"/>
      <c r="DZ252" s="1116"/>
      <c r="EA252" s="1116"/>
      <c r="EB252" s="1116"/>
      <c r="EC252" s="1116"/>
      <c r="ED252" s="1116"/>
      <c r="EE252" s="1116"/>
      <c r="EF252" s="1116"/>
      <c r="EG252" s="1116"/>
      <c r="EH252" s="1116"/>
      <c r="EI252" s="1116"/>
      <c r="EJ252" s="1116"/>
      <c r="EK252" s="1116"/>
      <c r="EL252" s="1116"/>
      <c r="EM252" s="1116"/>
      <c r="EN252" s="1116"/>
      <c r="EO252" s="1116"/>
      <c r="EP252" s="1116"/>
      <c r="EQ252" s="1116"/>
      <c r="ER252" s="1116"/>
      <c r="ES252" s="1116"/>
    </row>
    <row r="253" spans="1:149" ht="15" customHeight="1">
      <c r="A253" s="1185">
        <v>243</v>
      </c>
      <c r="B253" s="1041"/>
      <c r="C253" s="1050"/>
      <c r="D253" s="1050"/>
      <c r="E253" s="1050"/>
      <c r="F253" s="1049"/>
      <c r="G253" s="1049"/>
      <c r="H253" s="1049"/>
      <c r="I253" s="1049"/>
      <c r="J253" s="1050"/>
      <c r="K253" s="1050"/>
      <c r="L253" s="1043"/>
      <c r="M253" s="1051"/>
      <c r="N253" s="1051"/>
      <c r="O253" s="1052"/>
      <c r="P253" s="1051"/>
      <c r="Q253" s="1051"/>
      <c r="R253" s="1052"/>
      <c r="S253" s="1051"/>
      <c r="T253" s="1051"/>
      <c r="U253" s="1052"/>
      <c r="V253" s="1051"/>
      <c r="W253" s="1051"/>
      <c r="X253" s="1052"/>
      <c r="Y253" s="1053"/>
      <c r="Z253" s="1051"/>
      <c r="AA253" s="1051"/>
      <c r="AB253" s="1052"/>
      <c r="AC253" s="1051"/>
      <c r="AD253" s="1051"/>
      <c r="AE253" s="1052"/>
      <c r="AF253" s="1051"/>
      <c r="AG253" s="1051"/>
      <c r="AH253" s="1051"/>
      <c r="AI253" s="1051"/>
      <c r="AJ253" s="1052"/>
      <c r="AK253" s="1051"/>
      <c r="AL253" s="1051"/>
      <c r="AM253" s="1052"/>
      <c r="AN253" s="1051"/>
      <c r="AO253" s="1051"/>
      <c r="AP253" s="1052"/>
      <c r="AQ253" s="1051"/>
      <c r="AR253" s="1051"/>
      <c r="AS253" s="1052"/>
      <c r="AT253" s="1051"/>
      <c r="AU253" s="1051"/>
      <c r="AV253" s="1052"/>
      <c r="AW253" s="1051"/>
      <c r="AX253" s="1051"/>
      <c r="AY253" s="1053"/>
      <c r="AZ253" s="1051"/>
      <c r="BA253" s="1051"/>
      <c r="BB253" s="1053"/>
      <c r="BC253" s="1051"/>
      <c r="BD253" s="1051"/>
      <c r="BE253" s="1053"/>
      <c r="BF253" s="1051"/>
      <c r="BG253" s="1051"/>
      <c r="BH253" s="1053"/>
      <c r="BI253" s="1052"/>
      <c r="BJ253" s="1052"/>
      <c r="BK253" s="1052"/>
      <c r="BL253" s="1052"/>
      <c r="BM253" s="1052"/>
      <c r="BN253" s="1054"/>
      <c r="BO253" s="1076">
        <f t="shared" si="4"/>
        <v>0</v>
      </c>
      <c r="BP253" s="1051"/>
      <c r="BQ253" s="1052"/>
      <c r="BR253" s="1054"/>
      <c r="BS253" s="1053"/>
      <c r="BT253" s="1051"/>
      <c r="BU253" s="1051"/>
      <c r="BV253" s="1051"/>
      <c r="BW253" s="1052"/>
      <c r="BX253" s="1052"/>
      <c r="BY253" s="1052"/>
      <c r="BZ253" s="1052"/>
      <c r="CA253" s="1052"/>
      <c r="CB253" s="1053"/>
      <c r="CC253" s="1053"/>
      <c r="CD253" s="1053"/>
      <c r="CE253" s="1053"/>
      <c r="CF253" s="1053"/>
      <c r="CG253" s="1053"/>
      <c r="CH253" s="1053"/>
      <c r="CI253" s="1123"/>
      <c r="CJ253" s="1123"/>
      <c r="CK253" s="1123"/>
      <c r="CL253" s="1123"/>
      <c r="CM253" s="1123"/>
      <c r="CN253" s="1123"/>
      <c r="CO253" s="1123"/>
      <c r="CP253" s="1123"/>
      <c r="CQ253" s="1123"/>
      <c r="CR253" s="1123"/>
      <c r="CS253" s="1123"/>
      <c r="CT253" s="1123"/>
      <c r="CU253" s="1123"/>
      <c r="CV253" s="1123"/>
      <c r="CW253" s="1123"/>
      <c r="CX253" s="1123"/>
      <c r="CY253" s="1123"/>
      <c r="CZ253" s="1114"/>
      <c r="DA253" s="1114"/>
      <c r="DB253" s="1114"/>
      <c r="DC253" s="1114"/>
      <c r="DD253" s="1114"/>
      <c r="DE253" s="1114"/>
      <c r="DF253" s="1114"/>
      <c r="DG253" s="1114"/>
      <c r="DH253" s="1114"/>
      <c r="DI253" s="1114"/>
      <c r="DJ253" s="1114"/>
      <c r="DK253" s="1114"/>
      <c r="DL253" s="1114"/>
      <c r="DM253" s="1114"/>
      <c r="DN253" s="1114"/>
      <c r="DO253" s="1114"/>
      <c r="DP253" s="1114"/>
      <c r="DQ253" s="1114"/>
      <c r="DR253" s="1114"/>
      <c r="DS253" s="1114"/>
      <c r="DT253" s="1114"/>
      <c r="DU253" s="1114"/>
      <c r="DV253" s="1115"/>
      <c r="DW253" s="1116"/>
      <c r="DX253" s="1116"/>
      <c r="DY253" s="1116"/>
      <c r="DZ253" s="1116"/>
      <c r="EA253" s="1116"/>
      <c r="EB253" s="1116"/>
      <c r="EC253" s="1116"/>
      <c r="ED253" s="1116"/>
      <c r="EE253" s="1116"/>
      <c r="EF253" s="1116"/>
      <c r="EG253" s="1116"/>
      <c r="EH253" s="1116"/>
      <c r="EI253" s="1116"/>
      <c r="EJ253" s="1116"/>
      <c r="EK253" s="1116"/>
      <c r="EL253" s="1116"/>
      <c r="EM253" s="1116"/>
      <c r="EN253" s="1116"/>
      <c r="EO253" s="1116"/>
      <c r="EP253" s="1116"/>
      <c r="EQ253" s="1116"/>
      <c r="ER253" s="1116"/>
      <c r="ES253" s="1116"/>
    </row>
    <row r="254" spans="1:149" ht="15" customHeight="1">
      <c r="A254" s="1185">
        <v>244</v>
      </c>
      <c r="B254" s="1041"/>
      <c r="C254" s="1050"/>
      <c r="D254" s="1050"/>
      <c r="E254" s="1050"/>
      <c r="F254" s="1049"/>
      <c r="G254" s="1049"/>
      <c r="H254" s="1049"/>
      <c r="I254" s="1049"/>
      <c r="J254" s="1050"/>
      <c r="K254" s="1050"/>
      <c r="L254" s="1043"/>
      <c r="M254" s="1051"/>
      <c r="N254" s="1051"/>
      <c r="O254" s="1052"/>
      <c r="P254" s="1051"/>
      <c r="Q254" s="1051"/>
      <c r="R254" s="1052"/>
      <c r="S254" s="1051"/>
      <c r="T254" s="1051"/>
      <c r="U254" s="1052"/>
      <c r="V254" s="1051"/>
      <c r="W254" s="1051"/>
      <c r="X254" s="1052"/>
      <c r="Y254" s="1053"/>
      <c r="Z254" s="1051"/>
      <c r="AA254" s="1051"/>
      <c r="AB254" s="1052"/>
      <c r="AC254" s="1051"/>
      <c r="AD254" s="1051"/>
      <c r="AE254" s="1052"/>
      <c r="AF254" s="1051"/>
      <c r="AG254" s="1051"/>
      <c r="AH254" s="1051"/>
      <c r="AI254" s="1051"/>
      <c r="AJ254" s="1052"/>
      <c r="AK254" s="1051"/>
      <c r="AL254" s="1051"/>
      <c r="AM254" s="1052"/>
      <c r="AN254" s="1051"/>
      <c r="AO254" s="1051"/>
      <c r="AP254" s="1052"/>
      <c r="AQ254" s="1051"/>
      <c r="AR254" s="1051"/>
      <c r="AS254" s="1052"/>
      <c r="AT254" s="1051"/>
      <c r="AU254" s="1051"/>
      <c r="AV254" s="1052"/>
      <c r="AW254" s="1051"/>
      <c r="AX254" s="1051"/>
      <c r="AY254" s="1053"/>
      <c r="AZ254" s="1051"/>
      <c r="BA254" s="1051"/>
      <c r="BB254" s="1053"/>
      <c r="BC254" s="1051"/>
      <c r="BD254" s="1051"/>
      <c r="BE254" s="1053"/>
      <c r="BF254" s="1051"/>
      <c r="BG254" s="1051"/>
      <c r="BH254" s="1053"/>
      <c r="BI254" s="1052"/>
      <c r="BJ254" s="1052"/>
      <c r="BK254" s="1052"/>
      <c r="BL254" s="1052"/>
      <c r="BM254" s="1052"/>
      <c r="BN254" s="1054"/>
      <c r="BO254" s="1076">
        <f t="shared" si="4"/>
        <v>0</v>
      </c>
      <c r="BP254" s="1051"/>
      <c r="BQ254" s="1052"/>
      <c r="BR254" s="1054"/>
      <c r="BS254" s="1053"/>
      <c r="BT254" s="1051"/>
      <c r="BU254" s="1051"/>
      <c r="BV254" s="1051"/>
      <c r="BW254" s="1052"/>
      <c r="BX254" s="1052"/>
      <c r="BY254" s="1052"/>
      <c r="BZ254" s="1052"/>
      <c r="CA254" s="1052"/>
      <c r="CB254" s="1053"/>
      <c r="CC254" s="1053"/>
      <c r="CD254" s="1053"/>
      <c r="CE254" s="1053"/>
      <c r="CF254" s="1053"/>
      <c r="CG254" s="1053"/>
      <c r="CH254" s="1053"/>
      <c r="CI254" s="1123"/>
      <c r="CJ254" s="1123"/>
      <c r="CK254" s="1123"/>
      <c r="CL254" s="1123"/>
      <c r="CM254" s="1123"/>
      <c r="CN254" s="1123"/>
      <c r="CO254" s="1123"/>
      <c r="CP254" s="1123"/>
      <c r="CQ254" s="1123"/>
      <c r="CR254" s="1123"/>
      <c r="CS254" s="1123"/>
      <c r="CT254" s="1123"/>
      <c r="CU254" s="1123"/>
      <c r="CV254" s="1123"/>
      <c r="CW254" s="1123"/>
      <c r="CX254" s="1123"/>
      <c r="CY254" s="1123"/>
      <c r="CZ254" s="1114"/>
      <c r="DA254" s="1114"/>
      <c r="DB254" s="1114"/>
      <c r="DC254" s="1114"/>
      <c r="DD254" s="1114"/>
      <c r="DE254" s="1114"/>
      <c r="DF254" s="1114"/>
      <c r="DG254" s="1114"/>
      <c r="DH254" s="1114"/>
      <c r="DI254" s="1114"/>
      <c r="DJ254" s="1114"/>
      <c r="DK254" s="1114"/>
      <c r="DL254" s="1114"/>
      <c r="DM254" s="1114"/>
      <c r="DN254" s="1114"/>
      <c r="DO254" s="1114"/>
      <c r="DP254" s="1114"/>
      <c r="DQ254" s="1114"/>
      <c r="DR254" s="1114"/>
      <c r="DS254" s="1114"/>
      <c r="DT254" s="1114"/>
      <c r="DU254" s="1114"/>
      <c r="DV254" s="1115"/>
      <c r="DW254" s="1116"/>
      <c r="DX254" s="1116"/>
      <c r="DY254" s="1116"/>
      <c r="DZ254" s="1116"/>
      <c r="EA254" s="1116"/>
      <c r="EB254" s="1116"/>
      <c r="EC254" s="1116"/>
      <c r="ED254" s="1116"/>
      <c r="EE254" s="1116"/>
      <c r="EF254" s="1116"/>
      <c r="EG254" s="1116"/>
      <c r="EH254" s="1116"/>
      <c r="EI254" s="1116"/>
      <c r="EJ254" s="1116"/>
      <c r="EK254" s="1116"/>
      <c r="EL254" s="1116"/>
      <c r="EM254" s="1116"/>
      <c r="EN254" s="1116"/>
      <c r="EO254" s="1116"/>
      <c r="EP254" s="1116"/>
      <c r="EQ254" s="1116"/>
      <c r="ER254" s="1116"/>
      <c r="ES254" s="1116"/>
    </row>
    <row r="255" spans="1:149" ht="15" customHeight="1">
      <c r="A255" s="1185">
        <v>245</v>
      </c>
      <c r="B255" s="1041"/>
      <c r="C255" s="1050"/>
      <c r="D255" s="1050"/>
      <c r="E255" s="1050"/>
      <c r="F255" s="1049"/>
      <c r="G255" s="1049"/>
      <c r="H255" s="1049"/>
      <c r="I255" s="1049"/>
      <c r="J255" s="1050"/>
      <c r="K255" s="1050"/>
      <c r="L255" s="1043"/>
      <c r="M255" s="1051"/>
      <c r="N255" s="1051"/>
      <c r="O255" s="1052"/>
      <c r="P255" s="1051"/>
      <c r="Q255" s="1051"/>
      <c r="R255" s="1052"/>
      <c r="S255" s="1051"/>
      <c r="T255" s="1051"/>
      <c r="U255" s="1052"/>
      <c r="V255" s="1051"/>
      <c r="W255" s="1051"/>
      <c r="X255" s="1052"/>
      <c r="Y255" s="1053"/>
      <c r="Z255" s="1051"/>
      <c r="AA255" s="1051"/>
      <c r="AB255" s="1052"/>
      <c r="AC255" s="1051"/>
      <c r="AD255" s="1051"/>
      <c r="AE255" s="1052"/>
      <c r="AF255" s="1051"/>
      <c r="AG255" s="1051"/>
      <c r="AH255" s="1051"/>
      <c r="AI255" s="1051"/>
      <c r="AJ255" s="1052"/>
      <c r="AK255" s="1051"/>
      <c r="AL255" s="1051"/>
      <c r="AM255" s="1052"/>
      <c r="AN255" s="1051"/>
      <c r="AO255" s="1051"/>
      <c r="AP255" s="1052"/>
      <c r="AQ255" s="1051"/>
      <c r="AR255" s="1051"/>
      <c r="AS255" s="1052"/>
      <c r="AT255" s="1051"/>
      <c r="AU255" s="1051"/>
      <c r="AV255" s="1052"/>
      <c r="AW255" s="1051"/>
      <c r="AX255" s="1051"/>
      <c r="AY255" s="1053"/>
      <c r="AZ255" s="1051"/>
      <c r="BA255" s="1051"/>
      <c r="BB255" s="1053"/>
      <c r="BC255" s="1051"/>
      <c r="BD255" s="1051"/>
      <c r="BE255" s="1053"/>
      <c r="BF255" s="1051"/>
      <c r="BG255" s="1051"/>
      <c r="BH255" s="1053"/>
      <c r="BI255" s="1052"/>
      <c r="BJ255" s="1052"/>
      <c r="BK255" s="1052"/>
      <c r="BL255" s="1052"/>
      <c r="BM255" s="1052"/>
      <c r="BN255" s="1054"/>
      <c r="BO255" s="1076">
        <f t="shared" si="4"/>
        <v>0</v>
      </c>
      <c r="BP255" s="1051"/>
      <c r="BQ255" s="1052"/>
      <c r="BR255" s="1054"/>
      <c r="BS255" s="1053"/>
      <c r="BT255" s="1051"/>
      <c r="BU255" s="1051"/>
      <c r="BV255" s="1051"/>
      <c r="BW255" s="1052"/>
      <c r="BX255" s="1052"/>
      <c r="BY255" s="1052"/>
      <c r="BZ255" s="1052"/>
      <c r="CA255" s="1052"/>
      <c r="CB255" s="1053"/>
      <c r="CC255" s="1053"/>
      <c r="CD255" s="1053"/>
      <c r="CE255" s="1053"/>
      <c r="CF255" s="1053"/>
      <c r="CG255" s="1053"/>
      <c r="CH255" s="1053"/>
      <c r="CI255" s="1123"/>
      <c r="CJ255" s="1123"/>
      <c r="CK255" s="1123"/>
      <c r="CL255" s="1123"/>
      <c r="CM255" s="1123"/>
      <c r="CN255" s="1123"/>
      <c r="CO255" s="1123"/>
      <c r="CP255" s="1123"/>
      <c r="CQ255" s="1123"/>
      <c r="CR255" s="1123"/>
      <c r="CS255" s="1123"/>
      <c r="CT255" s="1123"/>
      <c r="CU255" s="1123"/>
      <c r="CV255" s="1123"/>
      <c r="CW255" s="1123"/>
      <c r="CX255" s="1123"/>
      <c r="CY255" s="1123"/>
      <c r="CZ255" s="1114"/>
      <c r="DA255" s="1114"/>
      <c r="DB255" s="1114"/>
      <c r="DC255" s="1114"/>
      <c r="DD255" s="1114"/>
      <c r="DE255" s="1114"/>
      <c r="DF255" s="1114"/>
      <c r="DG255" s="1114"/>
      <c r="DH255" s="1114"/>
      <c r="DI255" s="1114"/>
      <c r="DJ255" s="1114"/>
      <c r="DK255" s="1114"/>
      <c r="DL255" s="1114"/>
      <c r="DM255" s="1114"/>
      <c r="DN255" s="1114"/>
      <c r="DO255" s="1114"/>
      <c r="DP255" s="1114"/>
      <c r="DQ255" s="1114"/>
      <c r="DR255" s="1114"/>
      <c r="DS255" s="1114"/>
      <c r="DT255" s="1114"/>
      <c r="DU255" s="1114"/>
      <c r="DV255" s="1115"/>
      <c r="DW255" s="1116"/>
      <c r="DX255" s="1116"/>
      <c r="DY255" s="1116"/>
      <c r="DZ255" s="1116"/>
      <c r="EA255" s="1116"/>
      <c r="EB255" s="1116"/>
      <c r="EC255" s="1116"/>
      <c r="ED255" s="1116"/>
      <c r="EE255" s="1116"/>
      <c r="EF255" s="1116"/>
      <c r="EG255" s="1116"/>
      <c r="EH255" s="1116"/>
      <c r="EI255" s="1116"/>
      <c r="EJ255" s="1116"/>
      <c r="EK255" s="1116"/>
      <c r="EL255" s="1116"/>
      <c r="EM255" s="1116"/>
      <c r="EN255" s="1116"/>
      <c r="EO255" s="1116"/>
      <c r="EP255" s="1116"/>
      <c r="EQ255" s="1116"/>
      <c r="ER255" s="1116"/>
      <c r="ES255" s="1116"/>
    </row>
    <row r="256" spans="1:149" ht="15" customHeight="1">
      <c r="A256" s="1185">
        <v>246</v>
      </c>
      <c r="B256" s="1041"/>
      <c r="C256" s="1050"/>
      <c r="D256" s="1050"/>
      <c r="E256" s="1050"/>
      <c r="F256" s="1049"/>
      <c r="G256" s="1049"/>
      <c r="H256" s="1049"/>
      <c r="I256" s="1049"/>
      <c r="J256" s="1050"/>
      <c r="K256" s="1050"/>
      <c r="L256" s="1043"/>
      <c r="M256" s="1051"/>
      <c r="N256" s="1051"/>
      <c r="O256" s="1052"/>
      <c r="P256" s="1051"/>
      <c r="Q256" s="1051"/>
      <c r="R256" s="1052"/>
      <c r="S256" s="1051"/>
      <c r="T256" s="1051"/>
      <c r="U256" s="1052"/>
      <c r="V256" s="1051"/>
      <c r="W256" s="1051"/>
      <c r="X256" s="1052"/>
      <c r="Y256" s="1053"/>
      <c r="Z256" s="1051"/>
      <c r="AA256" s="1051"/>
      <c r="AB256" s="1052"/>
      <c r="AC256" s="1051"/>
      <c r="AD256" s="1051"/>
      <c r="AE256" s="1052"/>
      <c r="AF256" s="1051"/>
      <c r="AG256" s="1051"/>
      <c r="AH256" s="1051"/>
      <c r="AI256" s="1051"/>
      <c r="AJ256" s="1052"/>
      <c r="AK256" s="1051"/>
      <c r="AL256" s="1051"/>
      <c r="AM256" s="1052"/>
      <c r="AN256" s="1051"/>
      <c r="AO256" s="1051"/>
      <c r="AP256" s="1052"/>
      <c r="AQ256" s="1051"/>
      <c r="AR256" s="1051"/>
      <c r="AS256" s="1052"/>
      <c r="AT256" s="1051"/>
      <c r="AU256" s="1051"/>
      <c r="AV256" s="1052"/>
      <c r="AW256" s="1051"/>
      <c r="AX256" s="1051"/>
      <c r="AY256" s="1053"/>
      <c r="AZ256" s="1051"/>
      <c r="BA256" s="1051"/>
      <c r="BB256" s="1053"/>
      <c r="BC256" s="1051"/>
      <c r="BD256" s="1051"/>
      <c r="BE256" s="1053"/>
      <c r="BF256" s="1051"/>
      <c r="BG256" s="1051"/>
      <c r="BH256" s="1053"/>
      <c r="BI256" s="1052"/>
      <c r="BJ256" s="1052"/>
      <c r="BK256" s="1052"/>
      <c r="BL256" s="1052"/>
      <c r="BM256" s="1052"/>
      <c r="BN256" s="1054"/>
      <c r="BO256" s="1076">
        <f t="shared" si="4"/>
        <v>0</v>
      </c>
      <c r="BP256" s="1051"/>
      <c r="BQ256" s="1052"/>
      <c r="BR256" s="1054"/>
      <c r="BS256" s="1053"/>
      <c r="BT256" s="1051"/>
      <c r="BU256" s="1051"/>
      <c r="BV256" s="1051"/>
      <c r="BW256" s="1052"/>
      <c r="BX256" s="1052"/>
      <c r="BY256" s="1052"/>
      <c r="BZ256" s="1052"/>
      <c r="CA256" s="1052"/>
      <c r="CB256" s="1053"/>
      <c r="CC256" s="1053"/>
      <c r="CD256" s="1053"/>
      <c r="CE256" s="1053"/>
      <c r="CF256" s="1053"/>
      <c r="CG256" s="1053"/>
      <c r="CH256" s="1053"/>
      <c r="CI256" s="1123"/>
      <c r="CJ256" s="1123"/>
      <c r="CK256" s="1123"/>
      <c r="CL256" s="1123"/>
      <c r="CM256" s="1123"/>
      <c r="CN256" s="1123"/>
      <c r="CO256" s="1123"/>
      <c r="CP256" s="1123"/>
      <c r="CQ256" s="1123"/>
      <c r="CR256" s="1123"/>
      <c r="CS256" s="1123"/>
      <c r="CT256" s="1123"/>
      <c r="CU256" s="1123"/>
      <c r="CV256" s="1123"/>
      <c r="CW256" s="1123"/>
      <c r="CX256" s="1123"/>
      <c r="CY256" s="1123"/>
      <c r="CZ256" s="1114"/>
      <c r="DA256" s="1114"/>
      <c r="DB256" s="1114"/>
      <c r="DC256" s="1114"/>
      <c r="DD256" s="1114"/>
      <c r="DE256" s="1114"/>
      <c r="DF256" s="1114"/>
      <c r="DG256" s="1114"/>
      <c r="DH256" s="1114"/>
      <c r="DI256" s="1114"/>
      <c r="DJ256" s="1114"/>
      <c r="DK256" s="1114"/>
      <c r="DL256" s="1114"/>
      <c r="DM256" s="1114"/>
      <c r="DN256" s="1114"/>
      <c r="DO256" s="1114"/>
      <c r="DP256" s="1114"/>
      <c r="DQ256" s="1114"/>
      <c r="DR256" s="1114"/>
      <c r="DS256" s="1114"/>
      <c r="DT256" s="1114"/>
      <c r="DU256" s="1114"/>
      <c r="DV256" s="1115"/>
      <c r="DW256" s="1116"/>
      <c r="DX256" s="1116"/>
      <c r="DY256" s="1116"/>
      <c r="DZ256" s="1116"/>
      <c r="EA256" s="1116"/>
      <c r="EB256" s="1116"/>
      <c r="EC256" s="1116"/>
      <c r="ED256" s="1116"/>
      <c r="EE256" s="1116"/>
      <c r="EF256" s="1116"/>
      <c r="EG256" s="1116"/>
      <c r="EH256" s="1116"/>
      <c r="EI256" s="1116"/>
      <c r="EJ256" s="1116"/>
      <c r="EK256" s="1116"/>
      <c r="EL256" s="1116"/>
      <c r="EM256" s="1116"/>
      <c r="EN256" s="1116"/>
      <c r="EO256" s="1116"/>
      <c r="EP256" s="1116"/>
      <c r="EQ256" s="1116"/>
      <c r="ER256" s="1116"/>
      <c r="ES256" s="1116"/>
    </row>
    <row r="257" spans="1:149" ht="15" customHeight="1">
      <c r="A257" s="1185">
        <v>247</v>
      </c>
      <c r="B257" s="1041"/>
      <c r="C257" s="1050"/>
      <c r="D257" s="1050"/>
      <c r="E257" s="1050"/>
      <c r="F257" s="1049"/>
      <c r="G257" s="1049"/>
      <c r="H257" s="1049"/>
      <c r="I257" s="1049"/>
      <c r="J257" s="1050"/>
      <c r="K257" s="1050"/>
      <c r="L257" s="1043"/>
      <c r="M257" s="1051"/>
      <c r="N257" s="1051"/>
      <c r="O257" s="1052"/>
      <c r="P257" s="1051"/>
      <c r="Q257" s="1051"/>
      <c r="R257" s="1052"/>
      <c r="S257" s="1051"/>
      <c r="T257" s="1051"/>
      <c r="U257" s="1052"/>
      <c r="V257" s="1051"/>
      <c r="W257" s="1051"/>
      <c r="X257" s="1052"/>
      <c r="Y257" s="1053"/>
      <c r="Z257" s="1051"/>
      <c r="AA257" s="1051"/>
      <c r="AB257" s="1052"/>
      <c r="AC257" s="1051"/>
      <c r="AD257" s="1051"/>
      <c r="AE257" s="1052"/>
      <c r="AF257" s="1051"/>
      <c r="AG257" s="1051"/>
      <c r="AH257" s="1051"/>
      <c r="AI257" s="1051"/>
      <c r="AJ257" s="1052"/>
      <c r="AK257" s="1051"/>
      <c r="AL257" s="1051"/>
      <c r="AM257" s="1052"/>
      <c r="AN257" s="1051"/>
      <c r="AO257" s="1051"/>
      <c r="AP257" s="1052"/>
      <c r="AQ257" s="1051"/>
      <c r="AR257" s="1051"/>
      <c r="AS257" s="1052"/>
      <c r="AT257" s="1051"/>
      <c r="AU257" s="1051"/>
      <c r="AV257" s="1052"/>
      <c r="AW257" s="1051"/>
      <c r="AX257" s="1051"/>
      <c r="AY257" s="1053"/>
      <c r="AZ257" s="1051"/>
      <c r="BA257" s="1051"/>
      <c r="BB257" s="1053"/>
      <c r="BC257" s="1051"/>
      <c r="BD257" s="1051"/>
      <c r="BE257" s="1053"/>
      <c r="BF257" s="1051"/>
      <c r="BG257" s="1051"/>
      <c r="BH257" s="1053"/>
      <c r="BI257" s="1052"/>
      <c r="BJ257" s="1052"/>
      <c r="BK257" s="1052"/>
      <c r="BL257" s="1052"/>
      <c r="BM257" s="1052"/>
      <c r="BN257" s="1054"/>
      <c r="BO257" s="1076">
        <f t="shared" si="4"/>
        <v>0</v>
      </c>
      <c r="BP257" s="1051"/>
      <c r="BQ257" s="1052"/>
      <c r="BR257" s="1054"/>
      <c r="BS257" s="1053"/>
      <c r="BT257" s="1051"/>
      <c r="BU257" s="1051"/>
      <c r="BV257" s="1051"/>
      <c r="BW257" s="1052"/>
      <c r="BX257" s="1052"/>
      <c r="BY257" s="1052"/>
      <c r="BZ257" s="1052"/>
      <c r="CA257" s="1052"/>
      <c r="CB257" s="1053"/>
      <c r="CC257" s="1053"/>
      <c r="CD257" s="1053"/>
      <c r="CE257" s="1053"/>
      <c r="CF257" s="1053"/>
      <c r="CG257" s="1053"/>
      <c r="CH257" s="1053"/>
      <c r="CI257" s="1123"/>
      <c r="CJ257" s="1123"/>
      <c r="CK257" s="1123"/>
      <c r="CL257" s="1123"/>
      <c r="CM257" s="1123"/>
      <c r="CN257" s="1123"/>
      <c r="CO257" s="1123"/>
      <c r="CP257" s="1123"/>
      <c r="CQ257" s="1123"/>
      <c r="CR257" s="1123"/>
      <c r="CS257" s="1123"/>
      <c r="CT257" s="1123"/>
      <c r="CU257" s="1123"/>
      <c r="CV257" s="1123"/>
      <c r="CW257" s="1123"/>
      <c r="CX257" s="1123"/>
      <c r="CY257" s="1123"/>
      <c r="CZ257" s="1114"/>
      <c r="DA257" s="1114"/>
      <c r="DB257" s="1114"/>
      <c r="DC257" s="1114"/>
      <c r="DD257" s="1114"/>
      <c r="DE257" s="1114"/>
      <c r="DF257" s="1114"/>
      <c r="DG257" s="1114"/>
      <c r="DH257" s="1114"/>
      <c r="DI257" s="1114"/>
      <c r="DJ257" s="1114"/>
      <c r="DK257" s="1114"/>
      <c r="DL257" s="1114"/>
      <c r="DM257" s="1114"/>
      <c r="DN257" s="1114"/>
      <c r="DO257" s="1114"/>
      <c r="DP257" s="1114"/>
      <c r="DQ257" s="1114"/>
      <c r="DR257" s="1114"/>
      <c r="DS257" s="1114"/>
      <c r="DT257" s="1114"/>
      <c r="DU257" s="1114"/>
      <c r="DV257" s="1115"/>
      <c r="DW257" s="1116"/>
      <c r="DX257" s="1116"/>
      <c r="DY257" s="1116"/>
      <c r="DZ257" s="1116"/>
      <c r="EA257" s="1116"/>
      <c r="EB257" s="1116"/>
      <c r="EC257" s="1116"/>
      <c r="ED257" s="1116"/>
      <c r="EE257" s="1116"/>
      <c r="EF257" s="1116"/>
      <c r="EG257" s="1116"/>
      <c r="EH257" s="1116"/>
      <c r="EI257" s="1116"/>
      <c r="EJ257" s="1116"/>
      <c r="EK257" s="1116"/>
      <c r="EL257" s="1116"/>
      <c r="EM257" s="1116"/>
      <c r="EN257" s="1116"/>
      <c r="EO257" s="1116"/>
      <c r="EP257" s="1116"/>
      <c r="EQ257" s="1116"/>
      <c r="ER257" s="1116"/>
      <c r="ES257" s="1116"/>
    </row>
    <row r="258" spans="1:149" ht="15" customHeight="1">
      <c r="A258" s="1185">
        <v>248</v>
      </c>
      <c r="B258" s="1041"/>
      <c r="C258" s="1050"/>
      <c r="D258" s="1050"/>
      <c r="E258" s="1050"/>
      <c r="F258" s="1049"/>
      <c r="G258" s="1049"/>
      <c r="H258" s="1049"/>
      <c r="I258" s="1049"/>
      <c r="J258" s="1050"/>
      <c r="K258" s="1050"/>
      <c r="L258" s="1043"/>
      <c r="M258" s="1051"/>
      <c r="N258" s="1051"/>
      <c r="O258" s="1052"/>
      <c r="P258" s="1051"/>
      <c r="Q258" s="1051"/>
      <c r="R258" s="1052"/>
      <c r="S258" s="1051"/>
      <c r="T258" s="1051"/>
      <c r="U258" s="1052"/>
      <c r="V258" s="1051"/>
      <c r="W258" s="1051"/>
      <c r="X258" s="1052"/>
      <c r="Y258" s="1053"/>
      <c r="Z258" s="1051"/>
      <c r="AA258" s="1051"/>
      <c r="AB258" s="1052"/>
      <c r="AC258" s="1051"/>
      <c r="AD258" s="1051"/>
      <c r="AE258" s="1052"/>
      <c r="AF258" s="1051"/>
      <c r="AG258" s="1051"/>
      <c r="AH258" s="1051"/>
      <c r="AI258" s="1051"/>
      <c r="AJ258" s="1052"/>
      <c r="AK258" s="1051"/>
      <c r="AL258" s="1051"/>
      <c r="AM258" s="1052"/>
      <c r="AN258" s="1051"/>
      <c r="AO258" s="1051"/>
      <c r="AP258" s="1052"/>
      <c r="AQ258" s="1051"/>
      <c r="AR258" s="1051"/>
      <c r="AS258" s="1052"/>
      <c r="AT258" s="1051"/>
      <c r="AU258" s="1051"/>
      <c r="AV258" s="1052"/>
      <c r="AW258" s="1051"/>
      <c r="AX258" s="1051"/>
      <c r="AY258" s="1053"/>
      <c r="AZ258" s="1051"/>
      <c r="BA258" s="1051"/>
      <c r="BB258" s="1053"/>
      <c r="BC258" s="1051"/>
      <c r="BD258" s="1051"/>
      <c r="BE258" s="1053"/>
      <c r="BF258" s="1051"/>
      <c r="BG258" s="1051"/>
      <c r="BH258" s="1053"/>
      <c r="BI258" s="1052"/>
      <c r="BJ258" s="1052"/>
      <c r="BK258" s="1052"/>
      <c r="BL258" s="1052"/>
      <c r="BM258" s="1052"/>
      <c r="BN258" s="1054"/>
      <c r="BO258" s="1076">
        <f t="shared" si="4"/>
        <v>0</v>
      </c>
      <c r="BP258" s="1051"/>
      <c r="BQ258" s="1052"/>
      <c r="BR258" s="1054"/>
      <c r="BS258" s="1053"/>
      <c r="BT258" s="1051"/>
      <c r="BU258" s="1051"/>
      <c r="BV258" s="1051"/>
      <c r="BW258" s="1052"/>
      <c r="BX258" s="1052"/>
      <c r="BY258" s="1052"/>
      <c r="BZ258" s="1052"/>
      <c r="CA258" s="1052"/>
      <c r="CB258" s="1053"/>
      <c r="CC258" s="1053"/>
      <c r="CD258" s="1053"/>
      <c r="CE258" s="1053"/>
      <c r="CF258" s="1053"/>
      <c r="CG258" s="1053"/>
      <c r="CH258" s="1053"/>
      <c r="CI258" s="1123"/>
      <c r="CJ258" s="1123"/>
      <c r="CK258" s="1123"/>
      <c r="CL258" s="1123"/>
      <c r="CM258" s="1123"/>
      <c r="CN258" s="1123"/>
      <c r="CO258" s="1123"/>
      <c r="CP258" s="1123"/>
      <c r="CQ258" s="1123"/>
      <c r="CR258" s="1123"/>
      <c r="CS258" s="1123"/>
      <c r="CT258" s="1123"/>
      <c r="CU258" s="1123"/>
      <c r="CV258" s="1123"/>
      <c r="CW258" s="1123"/>
      <c r="CX258" s="1123"/>
      <c r="CY258" s="1123"/>
      <c r="CZ258" s="1114"/>
      <c r="DA258" s="1114"/>
      <c r="DB258" s="1114"/>
      <c r="DC258" s="1114"/>
      <c r="DD258" s="1114"/>
      <c r="DE258" s="1114"/>
      <c r="DF258" s="1114"/>
      <c r="DG258" s="1114"/>
      <c r="DH258" s="1114"/>
      <c r="DI258" s="1114"/>
      <c r="DJ258" s="1114"/>
      <c r="DK258" s="1114"/>
      <c r="DL258" s="1114"/>
      <c r="DM258" s="1114"/>
      <c r="DN258" s="1114"/>
      <c r="DO258" s="1114"/>
      <c r="DP258" s="1114"/>
      <c r="DQ258" s="1114"/>
      <c r="DR258" s="1114"/>
      <c r="DS258" s="1114"/>
      <c r="DT258" s="1114"/>
      <c r="DU258" s="1114"/>
      <c r="DV258" s="1115"/>
      <c r="DW258" s="1116"/>
      <c r="DX258" s="1116"/>
      <c r="DY258" s="1116"/>
      <c r="DZ258" s="1116"/>
      <c r="EA258" s="1116"/>
      <c r="EB258" s="1116"/>
      <c r="EC258" s="1116"/>
      <c r="ED258" s="1116"/>
      <c r="EE258" s="1116"/>
      <c r="EF258" s="1116"/>
      <c r="EG258" s="1116"/>
      <c r="EH258" s="1116"/>
      <c r="EI258" s="1116"/>
      <c r="EJ258" s="1116"/>
      <c r="EK258" s="1116"/>
      <c r="EL258" s="1116"/>
      <c r="EM258" s="1116"/>
      <c r="EN258" s="1116"/>
      <c r="EO258" s="1116"/>
      <c r="EP258" s="1116"/>
      <c r="EQ258" s="1116"/>
      <c r="ER258" s="1116"/>
      <c r="ES258" s="1116"/>
    </row>
    <row r="259" spans="1:149" ht="15" customHeight="1">
      <c r="A259" s="1185">
        <v>249</v>
      </c>
      <c r="B259" s="1041"/>
      <c r="C259" s="1050"/>
      <c r="D259" s="1050"/>
      <c r="E259" s="1050"/>
      <c r="F259" s="1049"/>
      <c r="G259" s="1049"/>
      <c r="H259" s="1049"/>
      <c r="I259" s="1049"/>
      <c r="J259" s="1050"/>
      <c r="K259" s="1050"/>
      <c r="L259" s="1043"/>
      <c r="M259" s="1051"/>
      <c r="N259" s="1051"/>
      <c r="O259" s="1052"/>
      <c r="P259" s="1051"/>
      <c r="Q259" s="1051"/>
      <c r="R259" s="1052"/>
      <c r="S259" s="1051"/>
      <c r="T259" s="1051"/>
      <c r="U259" s="1052"/>
      <c r="V259" s="1051"/>
      <c r="W259" s="1051"/>
      <c r="X259" s="1052"/>
      <c r="Y259" s="1053"/>
      <c r="Z259" s="1051"/>
      <c r="AA259" s="1051"/>
      <c r="AB259" s="1052"/>
      <c r="AC259" s="1051"/>
      <c r="AD259" s="1051"/>
      <c r="AE259" s="1052"/>
      <c r="AF259" s="1051"/>
      <c r="AG259" s="1051"/>
      <c r="AH259" s="1051"/>
      <c r="AI259" s="1051"/>
      <c r="AJ259" s="1052"/>
      <c r="AK259" s="1051"/>
      <c r="AL259" s="1051"/>
      <c r="AM259" s="1052"/>
      <c r="AN259" s="1051"/>
      <c r="AO259" s="1051"/>
      <c r="AP259" s="1052"/>
      <c r="AQ259" s="1051"/>
      <c r="AR259" s="1051"/>
      <c r="AS259" s="1052"/>
      <c r="AT259" s="1051"/>
      <c r="AU259" s="1051"/>
      <c r="AV259" s="1052"/>
      <c r="AW259" s="1051"/>
      <c r="AX259" s="1051"/>
      <c r="AY259" s="1053"/>
      <c r="AZ259" s="1051"/>
      <c r="BA259" s="1051"/>
      <c r="BB259" s="1053"/>
      <c r="BC259" s="1051"/>
      <c r="BD259" s="1051"/>
      <c r="BE259" s="1053"/>
      <c r="BF259" s="1051"/>
      <c r="BG259" s="1051"/>
      <c r="BH259" s="1053"/>
      <c r="BI259" s="1052"/>
      <c r="BJ259" s="1052"/>
      <c r="BK259" s="1052"/>
      <c r="BL259" s="1052"/>
      <c r="BM259" s="1052"/>
      <c r="BN259" s="1054"/>
      <c r="BO259" s="1076">
        <f t="shared" si="4"/>
        <v>0</v>
      </c>
      <c r="BP259" s="1051"/>
      <c r="BQ259" s="1052"/>
      <c r="BR259" s="1054"/>
      <c r="BS259" s="1053"/>
      <c r="BT259" s="1051"/>
      <c r="BU259" s="1051"/>
      <c r="BV259" s="1051"/>
      <c r="BW259" s="1052"/>
      <c r="BX259" s="1052"/>
      <c r="BY259" s="1052"/>
      <c r="BZ259" s="1052"/>
      <c r="CA259" s="1052"/>
      <c r="CB259" s="1053"/>
      <c r="CC259" s="1053"/>
      <c r="CD259" s="1053"/>
      <c r="CE259" s="1053"/>
      <c r="CF259" s="1053"/>
      <c r="CG259" s="1053"/>
      <c r="CH259" s="1053"/>
      <c r="CI259" s="1123"/>
      <c r="CJ259" s="1123"/>
      <c r="CK259" s="1123"/>
      <c r="CL259" s="1123"/>
      <c r="CM259" s="1123"/>
      <c r="CN259" s="1123"/>
      <c r="CO259" s="1123"/>
      <c r="CP259" s="1123"/>
      <c r="CQ259" s="1123"/>
      <c r="CR259" s="1123"/>
      <c r="CS259" s="1123"/>
      <c r="CT259" s="1123"/>
      <c r="CU259" s="1123"/>
      <c r="CV259" s="1123"/>
      <c r="CW259" s="1123"/>
      <c r="CX259" s="1123"/>
      <c r="CY259" s="1123"/>
      <c r="CZ259" s="1114"/>
      <c r="DA259" s="1114"/>
      <c r="DB259" s="1114"/>
      <c r="DC259" s="1114"/>
      <c r="DD259" s="1114"/>
      <c r="DE259" s="1114"/>
      <c r="DF259" s="1114"/>
      <c r="DG259" s="1114"/>
      <c r="DH259" s="1114"/>
      <c r="DI259" s="1114"/>
      <c r="DJ259" s="1114"/>
      <c r="DK259" s="1114"/>
      <c r="DL259" s="1114"/>
      <c r="DM259" s="1114"/>
      <c r="DN259" s="1114"/>
      <c r="DO259" s="1114"/>
      <c r="DP259" s="1114"/>
      <c r="DQ259" s="1114"/>
      <c r="DR259" s="1114"/>
      <c r="DS259" s="1114"/>
      <c r="DT259" s="1114"/>
      <c r="DU259" s="1114"/>
      <c r="DV259" s="1115"/>
      <c r="DW259" s="1116"/>
      <c r="DX259" s="1116"/>
      <c r="DY259" s="1116"/>
      <c r="DZ259" s="1116"/>
      <c r="EA259" s="1116"/>
      <c r="EB259" s="1116"/>
      <c r="EC259" s="1116"/>
      <c r="ED259" s="1116"/>
      <c r="EE259" s="1116"/>
      <c r="EF259" s="1116"/>
      <c r="EG259" s="1116"/>
      <c r="EH259" s="1116"/>
      <c r="EI259" s="1116"/>
      <c r="EJ259" s="1116"/>
      <c r="EK259" s="1116"/>
      <c r="EL259" s="1116"/>
      <c r="EM259" s="1116"/>
      <c r="EN259" s="1116"/>
      <c r="EO259" s="1116"/>
      <c r="EP259" s="1116"/>
      <c r="EQ259" s="1116"/>
      <c r="ER259" s="1116"/>
      <c r="ES259" s="1116"/>
    </row>
    <row r="260" spans="1:149" ht="15" customHeight="1">
      <c r="A260" s="1185">
        <v>250</v>
      </c>
      <c r="B260" s="1041"/>
      <c r="C260" s="1050"/>
      <c r="D260" s="1050"/>
      <c r="E260" s="1050"/>
      <c r="F260" s="1049"/>
      <c r="G260" s="1049"/>
      <c r="H260" s="1049"/>
      <c r="I260" s="1049"/>
      <c r="J260" s="1050"/>
      <c r="K260" s="1050"/>
      <c r="L260" s="1043"/>
      <c r="M260" s="1051"/>
      <c r="N260" s="1051"/>
      <c r="O260" s="1052"/>
      <c r="P260" s="1051"/>
      <c r="Q260" s="1051"/>
      <c r="R260" s="1052"/>
      <c r="S260" s="1051"/>
      <c r="T260" s="1051"/>
      <c r="U260" s="1052"/>
      <c r="V260" s="1051"/>
      <c r="W260" s="1051"/>
      <c r="X260" s="1052"/>
      <c r="Y260" s="1053"/>
      <c r="Z260" s="1051"/>
      <c r="AA260" s="1051"/>
      <c r="AB260" s="1052"/>
      <c r="AC260" s="1051"/>
      <c r="AD260" s="1051"/>
      <c r="AE260" s="1052"/>
      <c r="AF260" s="1051"/>
      <c r="AG260" s="1051"/>
      <c r="AH260" s="1051"/>
      <c r="AI260" s="1051"/>
      <c r="AJ260" s="1052"/>
      <c r="AK260" s="1051"/>
      <c r="AL260" s="1051"/>
      <c r="AM260" s="1052"/>
      <c r="AN260" s="1051"/>
      <c r="AO260" s="1051"/>
      <c r="AP260" s="1052"/>
      <c r="AQ260" s="1051"/>
      <c r="AR260" s="1051"/>
      <c r="AS260" s="1052"/>
      <c r="AT260" s="1051"/>
      <c r="AU260" s="1051"/>
      <c r="AV260" s="1052"/>
      <c r="AW260" s="1051"/>
      <c r="AX260" s="1051"/>
      <c r="AY260" s="1053"/>
      <c r="AZ260" s="1051"/>
      <c r="BA260" s="1051"/>
      <c r="BB260" s="1053"/>
      <c r="BC260" s="1051"/>
      <c r="BD260" s="1051"/>
      <c r="BE260" s="1053"/>
      <c r="BF260" s="1051"/>
      <c r="BG260" s="1051"/>
      <c r="BH260" s="1053"/>
      <c r="BI260" s="1052"/>
      <c r="BJ260" s="1052"/>
      <c r="BK260" s="1052"/>
      <c r="BL260" s="1052"/>
      <c r="BM260" s="1052"/>
      <c r="BN260" s="1054"/>
      <c r="BO260" s="1076">
        <f t="shared" si="4"/>
        <v>0</v>
      </c>
      <c r="BP260" s="1051"/>
      <c r="BQ260" s="1052"/>
      <c r="BR260" s="1054"/>
      <c r="BS260" s="1053"/>
      <c r="BT260" s="1051"/>
      <c r="BU260" s="1051"/>
      <c r="BV260" s="1051"/>
      <c r="BW260" s="1052"/>
      <c r="BX260" s="1052"/>
      <c r="BY260" s="1052"/>
      <c r="BZ260" s="1052"/>
      <c r="CA260" s="1052"/>
      <c r="CB260" s="1053"/>
      <c r="CC260" s="1053"/>
      <c r="CD260" s="1053"/>
      <c r="CE260" s="1053"/>
      <c r="CF260" s="1053"/>
      <c r="CG260" s="1053"/>
      <c r="CH260" s="1053"/>
      <c r="CI260" s="1123"/>
      <c r="CJ260" s="1123"/>
      <c r="CK260" s="1123"/>
      <c r="CL260" s="1123"/>
      <c r="CM260" s="1123"/>
      <c r="CN260" s="1123"/>
      <c r="CO260" s="1123"/>
      <c r="CP260" s="1123"/>
      <c r="CQ260" s="1123"/>
      <c r="CR260" s="1123"/>
      <c r="CS260" s="1123"/>
      <c r="CT260" s="1123"/>
      <c r="CU260" s="1123"/>
      <c r="CV260" s="1123"/>
      <c r="CW260" s="1123"/>
      <c r="CX260" s="1123"/>
      <c r="CY260" s="1123"/>
      <c r="CZ260" s="1114"/>
      <c r="DA260" s="1114"/>
      <c r="DB260" s="1114"/>
      <c r="DC260" s="1114"/>
      <c r="DD260" s="1114"/>
      <c r="DE260" s="1114"/>
      <c r="DF260" s="1114"/>
      <c r="DG260" s="1114"/>
      <c r="DH260" s="1114"/>
      <c r="DI260" s="1114"/>
      <c r="DJ260" s="1114"/>
      <c r="DK260" s="1114"/>
      <c r="DL260" s="1114"/>
      <c r="DM260" s="1114"/>
      <c r="DN260" s="1114"/>
      <c r="DO260" s="1114"/>
      <c r="DP260" s="1114"/>
      <c r="DQ260" s="1114"/>
      <c r="DR260" s="1114"/>
      <c r="DS260" s="1114"/>
      <c r="DT260" s="1114"/>
      <c r="DU260" s="1114"/>
      <c r="DV260" s="1115"/>
      <c r="DW260" s="1116"/>
      <c r="DX260" s="1116"/>
      <c r="DY260" s="1116"/>
      <c r="DZ260" s="1116"/>
      <c r="EA260" s="1116"/>
      <c r="EB260" s="1116"/>
      <c r="EC260" s="1116"/>
      <c r="ED260" s="1116"/>
      <c r="EE260" s="1116"/>
      <c r="EF260" s="1116"/>
      <c r="EG260" s="1116"/>
      <c r="EH260" s="1116"/>
      <c r="EI260" s="1116"/>
      <c r="EJ260" s="1116"/>
      <c r="EK260" s="1116"/>
      <c r="EL260" s="1116"/>
      <c r="EM260" s="1116"/>
      <c r="EN260" s="1116"/>
      <c r="EO260" s="1116"/>
      <c r="EP260" s="1116"/>
      <c r="EQ260" s="1116"/>
      <c r="ER260" s="1116"/>
      <c r="ES260" s="1116"/>
    </row>
    <row r="261" spans="1:149" ht="15" customHeight="1">
      <c r="A261" s="1185">
        <v>251</v>
      </c>
      <c r="B261" s="1041"/>
      <c r="C261" s="1050"/>
      <c r="D261" s="1050"/>
      <c r="E261" s="1050"/>
      <c r="F261" s="1049"/>
      <c r="G261" s="1049"/>
      <c r="H261" s="1049"/>
      <c r="I261" s="1049"/>
      <c r="J261" s="1050"/>
      <c r="K261" s="1050"/>
      <c r="L261" s="1043"/>
      <c r="M261" s="1051"/>
      <c r="N261" s="1051"/>
      <c r="O261" s="1052"/>
      <c r="P261" s="1051"/>
      <c r="Q261" s="1051"/>
      <c r="R261" s="1052"/>
      <c r="S261" s="1051"/>
      <c r="T261" s="1051"/>
      <c r="U261" s="1052"/>
      <c r="V261" s="1051"/>
      <c r="W261" s="1051"/>
      <c r="X261" s="1052"/>
      <c r="Y261" s="1053"/>
      <c r="Z261" s="1051"/>
      <c r="AA261" s="1051"/>
      <c r="AB261" s="1052"/>
      <c r="AC261" s="1051"/>
      <c r="AD261" s="1051"/>
      <c r="AE261" s="1052"/>
      <c r="AF261" s="1051"/>
      <c r="AG261" s="1051"/>
      <c r="AH261" s="1051"/>
      <c r="AI261" s="1051"/>
      <c r="AJ261" s="1052"/>
      <c r="AK261" s="1051"/>
      <c r="AL261" s="1051"/>
      <c r="AM261" s="1052"/>
      <c r="AN261" s="1051"/>
      <c r="AO261" s="1051"/>
      <c r="AP261" s="1052"/>
      <c r="AQ261" s="1051"/>
      <c r="AR261" s="1051"/>
      <c r="AS261" s="1052"/>
      <c r="AT261" s="1051"/>
      <c r="AU261" s="1051"/>
      <c r="AV261" s="1052"/>
      <c r="AW261" s="1051"/>
      <c r="AX261" s="1051"/>
      <c r="AY261" s="1053"/>
      <c r="AZ261" s="1051"/>
      <c r="BA261" s="1051"/>
      <c r="BB261" s="1053"/>
      <c r="BC261" s="1051"/>
      <c r="BD261" s="1051"/>
      <c r="BE261" s="1053"/>
      <c r="BF261" s="1051"/>
      <c r="BG261" s="1051"/>
      <c r="BH261" s="1053"/>
      <c r="BI261" s="1052"/>
      <c r="BJ261" s="1052"/>
      <c r="BK261" s="1052"/>
      <c r="BL261" s="1052"/>
      <c r="BM261" s="1052"/>
      <c r="BN261" s="1054"/>
      <c r="BO261" s="1076">
        <f t="shared" si="4"/>
        <v>0</v>
      </c>
      <c r="BP261" s="1051"/>
      <c r="BQ261" s="1052"/>
      <c r="BR261" s="1054"/>
      <c r="BS261" s="1053"/>
      <c r="BT261" s="1051"/>
      <c r="BU261" s="1051"/>
      <c r="BV261" s="1051"/>
      <c r="BW261" s="1052"/>
      <c r="BX261" s="1052"/>
      <c r="BY261" s="1052"/>
      <c r="BZ261" s="1052"/>
      <c r="CA261" s="1052"/>
      <c r="CB261" s="1053"/>
      <c r="CC261" s="1053"/>
      <c r="CD261" s="1053"/>
      <c r="CE261" s="1053"/>
      <c r="CF261" s="1053"/>
      <c r="CG261" s="1053"/>
      <c r="CH261" s="1053"/>
      <c r="CI261" s="1123"/>
      <c r="CJ261" s="1123"/>
      <c r="CK261" s="1123"/>
      <c r="CL261" s="1123"/>
      <c r="CM261" s="1123"/>
      <c r="CN261" s="1123"/>
      <c r="CO261" s="1123"/>
      <c r="CP261" s="1123"/>
      <c r="CQ261" s="1123"/>
      <c r="CR261" s="1123"/>
      <c r="CS261" s="1123"/>
      <c r="CT261" s="1123"/>
      <c r="CU261" s="1123"/>
      <c r="CV261" s="1123"/>
      <c r="CW261" s="1123"/>
      <c r="CX261" s="1123"/>
      <c r="CY261" s="1123"/>
      <c r="CZ261" s="1114"/>
      <c r="DA261" s="1114"/>
      <c r="DB261" s="1114"/>
      <c r="DC261" s="1114"/>
      <c r="DD261" s="1114"/>
      <c r="DE261" s="1114"/>
      <c r="DF261" s="1114"/>
      <c r="DG261" s="1114"/>
      <c r="DH261" s="1114"/>
      <c r="DI261" s="1114"/>
      <c r="DJ261" s="1114"/>
      <c r="DK261" s="1114"/>
      <c r="DL261" s="1114"/>
      <c r="DM261" s="1114"/>
      <c r="DN261" s="1114"/>
      <c r="DO261" s="1114"/>
      <c r="DP261" s="1114"/>
      <c r="DQ261" s="1114"/>
      <c r="DR261" s="1114"/>
      <c r="DS261" s="1114"/>
      <c r="DT261" s="1114"/>
      <c r="DU261" s="1114"/>
      <c r="DV261" s="1115"/>
      <c r="DW261" s="1116"/>
      <c r="DX261" s="1116"/>
      <c r="DY261" s="1116"/>
      <c r="DZ261" s="1116"/>
      <c r="EA261" s="1116"/>
      <c r="EB261" s="1116"/>
      <c r="EC261" s="1116"/>
      <c r="ED261" s="1116"/>
      <c r="EE261" s="1116"/>
      <c r="EF261" s="1116"/>
      <c r="EG261" s="1116"/>
      <c r="EH261" s="1116"/>
      <c r="EI261" s="1116"/>
      <c r="EJ261" s="1116"/>
      <c r="EK261" s="1116"/>
      <c r="EL261" s="1116"/>
      <c r="EM261" s="1116"/>
      <c r="EN261" s="1116"/>
      <c r="EO261" s="1116"/>
      <c r="EP261" s="1116"/>
      <c r="EQ261" s="1116"/>
      <c r="ER261" s="1116"/>
      <c r="ES261" s="1116"/>
    </row>
    <row r="262" spans="1:149" ht="15" customHeight="1">
      <c r="A262" s="1185">
        <v>252</v>
      </c>
      <c r="B262" s="1041"/>
      <c r="C262" s="1050"/>
      <c r="D262" s="1050"/>
      <c r="E262" s="1050"/>
      <c r="F262" s="1049"/>
      <c r="G262" s="1049"/>
      <c r="H262" s="1049"/>
      <c r="I262" s="1049"/>
      <c r="J262" s="1050"/>
      <c r="K262" s="1050"/>
      <c r="L262" s="1043"/>
      <c r="M262" s="1051"/>
      <c r="N262" s="1051"/>
      <c r="O262" s="1052"/>
      <c r="P262" s="1051"/>
      <c r="Q262" s="1051"/>
      <c r="R262" s="1052"/>
      <c r="S262" s="1051"/>
      <c r="T262" s="1051"/>
      <c r="U262" s="1052"/>
      <c r="V262" s="1051"/>
      <c r="W262" s="1051"/>
      <c r="X262" s="1052"/>
      <c r="Y262" s="1053"/>
      <c r="Z262" s="1051"/>
      <c r="AA262" s="1051"/>
      <c r="AB262" s="1052"/>
      <c r="AC262" s="1051"/>
      <c r="AD262" s="1051"/>
      <c r="AE262" s="1052"/>
      <c r="AF262" s="1051"/>
      <c r="AG262" s="1051"/>
      <c r="AH262" s="1051"/>
      <c r="AI262" s="1051"/>
      <c r="AJ262" s="1052"/>
      <c r="AK262" s="1051"/>
      <c r="AL262" s="1051"/>
      <c r="AM262" s="1052"/>
      <c r="AN262" s="1051"/>
      <c r="AO262" s="1051"/>
      <c r="AP262" s="1052"/>
      <c r="AQ262" s="1051"/>
      <c r="AR262" s="1051"/>
      <c r="AS262" s="1052"/>
      <c r="AT262" s="1051"/>
      <c r="AU262" s="1051"/>
      <c r="AV262" s="1052"/>
      <c r="AW262" s="1051"/>
      <c r="AX262" s="1051"/>
      <c r="AY262" s="1053"/>
      <c r="AZ262" s="1051"/>
      <c r="BA262" s="1051"/>
      <c r="BB262" s="1053"/>
      <c r="BC262" s="1051"/>
      <c r="BD262" s="1051"/>
      <c r="BE262" s="1053"/>
      <c r="BF262" s="1051"/>
      <c r="BG262" s="1051"/>
      <c r="BH262" s="1053"/>
      <c r="BI262" s="1052"/>
      <c r="BJ262" s="1052"/>
      <c r="BK262" s="1052"/>
      <c r="BL262" s="1052"/>
      <c r="BM262" s="1052"/>
      <c r="BN262" s="1054"/>
      <c r="BO262" s="1076">
        <f t="shared" si="4"/>
        <v>0</v>
      </c>
      <c r="BP262" s="1051"/>
      <c r="BQ262" s="1052"/>
      <c r="BR262" s="1054"/>
      <c r="BS262" s="1053"/>
      <c r="BT262" s="1051"/>
      <c r="BU262" s="1051"/>
      <c r="BV262" s="1051"/>
      <c r="BW262" s="1052"/>
      <c r="BX262" s="1052"/>
      <c r="BY262" s="1052"/>
      <c r="BZ262" s="1052"/>
      <c r="CA262" s="1052"/>
      <c r="CB262" s="1053"/>
      <c r="CC262" s="1053"/>
      <c r="CD262" s="1053"/>
      <c r="CE262" s="1053"/>
      <c r="CF262" s="1053"/>
      <c r="CG262" s="1053"/>
      <c r="CH262" s="1053"/>
      <c r="CI262" s="1123"/>
      <c r="CJ262" s="1123"/>
      <c r="CK262" s="1123"/>
      <c r="CL262" s="1123"/>
      <c r="CM262" s="1123"/>
      <c r="CN262" s="1123"/>
      <c r="CO262" s="1123"/>
      <c r="CP262" s="1123"/>
      <c r="CQ262" s="1123"/>
      <c r="CR262" s="1123"/>
      <c r="CS262" s="1123"/>
      <c r="CT262" s="1123"/>
      <c r="CU262" s="1123"/>
      <c r="CV262" s="1123"/>
      <c r="CW262" s="1123"/>
      <c r="CX262" s="1123"/>
      <c r="CY262" s="1123"/>
      <c r="CZ262" s="1114"/>
      <c r="DA262" s="1114"/>
      <c r="DB262" s="1114"/>
      <c r="DC262" s="1114"/>
      <c r="DD262" s="1114"/>
      <c r="DE262" s="1114"/>
      <c r="DF262" s="1114"/>
      <c r="DG262" s="1114"/>
      <c r="DH262" s="1114"/>
      <c r="DI262" s="1114"/>
      <c r="DJ262" s="1114"/>
      <c r="DK262" s="1114"/>
      <c r="DL262" s="1114"/>
      <c r="DM262" s="1114"/>
      <c r="DN262" s="1114"/>
      <c r="DO262" s="1114"/>
      <c r="DP262" s="1114"/>
      <c r="DQ262" s="1114"/>
      <c r="DR262" s="1114"/>
      <c r="DS262" s="1114"/>
      <c r="DT262" s="1114"/>
      <c r="DU262" s="1114"/>
      <c r="DV262" s="1115"/>
      <c r="DW262" s="1116"/>
      <c r="DX262" s="1116"/>
      <c r="DY262" s="1116"/>
      <c r="DZ262" s="1116"/>
      <c r="EA262" s="1116"/>
      <c r="EB262" s="1116"/>
      <c r="EC262" s="1116"/>
      <c r="ED262" s="1116"/>
      <c r="EE262" s="1116"/>
      <c r="EF262" s="1116"/>
      <c r="EG262" s="1116"/>
      <c r="EH262" s="1116"/>
      <c r="EI262" s="1116"/>
      <c r="EJ262" s="1116"/>
      <c r="EK262" s="1116"/>
      <c r="EL262" s="1116"/>
      <c r="EM262" s="1116"/>
      <c r="EN262" s="1116"/>
      <c r="EO262" s="1116"/>
      <c r="EP262" s="1116"/>
      <c r="EQ262" s="1116"/>
      <c r="ER262" s="1116"/>
      <c r="ES262" s="1116"/>
    </row>
    <row r="263" spans="1:149" ht="15" customHeight="1">
      <c r="A263" s="1185">
        <v>253</v>
      </c>
      <c r="B263" s="1041"/>
      <c r="C263" s="1050"/>
      <c r="D263" s="1050"/>
      <c r="E263" s="1050"/>
      <c r="F263" s="1049"/>
      <c r="G263" s="1049"/>
      <c r="H263" s="1049"/>
      <c r="I263" s="1049"/>
      <c r="J263" s="1050"/>
      <c r="K263" s="1050"/>
      <c r="L263" s="1043"/>
      <c r="M263" s="1051"/>
      <c r="N263" s="1051"/>
      <c r="O263" s="1052"/>
      <c r="P263" s="1051"/>
      <c r="Q263" s="1051"/>
      <c r="R263" s="1052"/>
      <c r="S263" s="1051"/>
      <c r="T263" s="1051"/>
      <c r="U263" s="1052"/>
      <c r="V263" s="1051"/>
      <c r="W263" s="1051"/>
      <c r="X263" s="1052"/>
      <c r="Y263" s="1053"/>
      <c r="Z263" s="1051"/>
      <c r="AA263" s="1051"/>
      <c r="AB263" s="1052"/>
      <c r="AC263" s="1051"/>
      <c r="AD263" s="1051"/>
      <c r="AE263" s="1052"/>
      <c r="AF263" s="1051"/>
      <c r="AG263" s="1051"/>
      <c r="AH263" s="1051"/>
      <c r="AI263" s="1051"/>
      <c r="AJ263" s="1052"/>
      <c r="AK263" s="1051"/>
      <c r="AL263" s="1051"/>
      <c r="AM263" s="1052"/>
      <c r="AN263" s="1051"/>
      <c r="AO263" s="1051"/>
      <c r="AP263" s="1052"/>
      <c r="AQ263" s="1051"/>
      <c r="AR263" s="1051"/>
      <c r="AS263" s="1052"/>
      <c r="AT263" s="1051"/>
      <c r="AU263" s="1051"/>
      <c r="AV263" s="1052"/>
      <c r="AW263" s="1051"/>
      <c r="AX263" s="1051"/>
      <c r="AY263" s="1053"/>
      <c r="AZ263" s="1051"/>
      <c r="BA263" s="1051"/>
      <c r="BB263" s="1053"/>
      <c r="BC263" s="1051"/>
      <c r="BD263" s="1051"/>
      <c r="BE263" s="1053"/>
      <c r="BF263" s="1051"/>
      <c r="BG263" s="1051"/>
      <c r="BH263" s="1053"/>
      <c r="BI263" s="1052"/>
      <c r="BJ263" s="1052"/>
      <c r="BK263" s="1052"/>
      <c r="BL263" s="1052"/>
      <c r="BM263" s="1052"/>
      <c r="BN263" s="1054"/>
      <c r="BO263" s="1076">
        <f t="shared" si="4"/>
        <v>0</v>
      </c>
      <c r="BP263" s="1051"/>
      <c r="BQ263" s="1052"/>
      <c r="BR263" s="1054"/>
      <c r="BS263" s="1053"/>
      <c r="BT263" s="1051"/>
      <c r="BU263" s="1051"/>
      <c r="BV263" s="1051"/>
      <c r="BW263" s="1052"/>
      <c r="BX263" s="1052"/>
      <c r="BY263" s="1052"/>
      <c r="BZ263" s="1052"/>
      <c r="CA263" s="1052"/>
      <c r="CB263" s="1053"/>
      <c r="CC263" s="1053"/>
      <c r="CD263" s="1053"/>
      <c r="CE263" s="1053"/>
      <c r="CF263" s="1053"/>
      <c r="CG263" s="1053"/>
      <c r="CH263" s="1053"/>
      <c r="CI263" s="1123"/>
      <c r="CJ263" s="1123"/>
      <c r="CK263" s="1123"/>
      <c r="CL263" s="1123"/>
      <c r="CM263" s="1123"/>
      <c r="CN263" s="1123"/>
      <c r="CO263" s="1123"/>
      <c r="CP263" s="1123"/>
      <c r="CQ263" s="1123"/>
      <c r="CR263" s="1123"/>
      <c r="CS263" s="1123"/>
      <c r="CT263" s="1123"/>
      <c r="CU263" s="1123"/>
      <c r="CV263" s="1123"/>
      <c r="CW263" s="1123"/>
      <c r="CX263" s="1123"/>
      <c r="CY263" s="1123"/>
      <c r="CZ263" s="1114"/>
      <c r="DA263" s="1114"/>
      <c r="DB263" s="1114"/>
      <c r="DC263" s="1114"/>
      <c r="DD263" s="1114"/>
      <c r="DE263" s="1114"/>
      <c r="DF263" s="1114"/>
      <c r="DG263" s="1114"/>
      <c r="DH263" s="1114"/>
      <c r="DI263" s="1114"/>
      <c r="DJ263" s="1114"/>
      <c r="DK263" s="1114"/>
      <c r="DL263" s="1114"/>
      <c r="DM263" s="1114"/>
      <c r="DN263" s="1114"/>
      <c r="DO263" s="1114"/>
      <c r="DP263" s="1114"/>
      <c r="DQ263" s="1114"/>
      <c r="DR263" s="1114"/>
      <c r="DS263" s="1114"/>
      <c r="DT263" s="1114"/>
      <c r="DU263" s="1114"/>
      <c r="DV263" s="1115"/>
      <c r="DW263" s="1116"/>
      <c r="DX263" s="1116"/>
      <c r="DY263" s="1116"/>
      <c r="DZ263" s="1116"/>
      <c r="EA263" s="1116"/>
      <c r="EB263" s="1116"/>
      <c r="EC263" s="1116"/>
      <c r="ED263" s="1116"/>
      <c r="EE263" s="1116"/>
      <c r="EF263" s="1116"/>
      <c r="EG263" s="1116"/>
      <c r="EH263" s="1116"/>
      <c r="EI263" s="1116"/>
      <c r="EJ263" s="1116"/>
      <c r="EK263" s="1116"/>
      <c r="EL263" s="1116"/>
      <c r="EM263" s="1116"/>
      <c r="EN263" s="1116"/>
      <c r="EO263" s="1116"/>
      <c r="EP263" s="1116"/>
      <c r="EQ263" s="1116"/>
      <c r="ER263" s="1116"/>
      <c r="ES263" s="1116"/>
    </row>
    <row r="264" spans="1:149" ht="15" customHeight="1">
      <c r="A264" s="1185">
        <v>254</v>
      </c>
      <c r="B264" s="1041"/>
      <c r="C264" s="1050"/>
      <c r="D264" s="1050"/>
      <c r="E264" s="1050"/>
      <c r="F264" s="1049"/>
      <c r="G264" s="1049"/>
      <c r="H264" s="1049"/>
      <c r="I264" s="1049"/>
      <c r="J264" s="1050"/>
      <c r="K264" s="1050"/>
      <c r="L264" s="1043"/>
      <c r="M264" s="1051"/>
      <c r="N264" s="1051"/>
      <c r="O264" s="1052"/>
      <c r="P264" s="1051"/>
      <c r="Q264" s="1051"/>
      <c r="R264" s="1052"/>
      <c r="S264" s="1051"/>
      <c r="T264" s="1051"/>
      <c r="U264" s="1052"/>
      <c r="V264" s="1051"/>
      <c r="W264" s="1051"/>
      <c r="X264" s="1052"/>
      <c r="Y264" s="1053"/>
      <c r="Z264" s="1051"/>
      <c r="AA264" s="1051"/>
      <c r="AB264" s="1052"/>
      <c r="AC264" s="1051"/>
      <c r="AD264" s="1051"/>
      <c r="AE264" s="1052"/>
      <c r="AF264" s="1051"/>
      <c r="AG264" s="1051"/>
      <c r="AH264" s="1051"/>
      <c r="AI264" s="1051"/>
      <c r="AJ264" s="1052"/>
      <c r="AK264" s="1051"/>
      <c r="AL264" s="1051"/>
      <c r="AM264" s="1052"/>
      <c r="AN264" s="1051"/>
      <c r="AO264" s="1051"/>
      <c r="AP264" s="1052"/>
      <c r="AQ264" s="1051"/>
      <c r="AR264" s="1051"/>
      <c r="AS264" s="1052"/>
      <c r="AT264" s="1051"/>
      <c r="AU264" s="1051"/>
      <c r="AV264" s="1052"/>
      <c r="AW264" s="1051"/>
      <c r="AX264" s="1051"/>
      <c r="AY264" s="1053"/>
      <c r="AZ264" s="1051"/>
      <c r="BA264" s="1051"/>
      <c r="BB264" s="1053"/>
      <c r="BC264" s="1051"/>
      <c r="BD264" s="1051"/>
      <c r="BE264" s="1053"/>
      <c r="BF264" s="1051"/>
      <c r="BG264" s="1051"/>
      <c r="BH264" s="1053"/>
      <c r="BI264" s="1052"/>
      <c r="BJ264" s="1052"/>
      <c r="BK264" s="1052"/>
      <c r="BL264" s="1052"/>
      <c r="BM264" s="1052"/>
      <c r="BN264" s="1054"/>
      <c r="BO264" s="1076">
        <f t="shared" si="4"/>
        <v>0</v>
      </c>
      <c r="BP264" s="1051"/>
      <c r="BQ264" s="1052"/>
      <c r="BR264" s="1054"/>
      <c r="BS264" s="1053"/>
      <c r="BT264" s="1051"/>
      <c r="BU264" s="1051"/>
      <c r="BV264" s="1051"/>
      <c r="BW264" s="1052"/>
      <c r="BX264" s="1052"/>
      <c r="BY264" s="1052"/>
      <c r="BZ264" s="1052"/>
      <c r="CA264" s="1052"/>
      <c r="CB264" s="1053"/>
      <c r="CC264" s="1053"/>
      <c r="CD264" s="1053"/>
      <c r="CE264" s="1053"/>
      <c r="CF264" s="1053"/>
      <c r="CG264" s="1053"/>
      <c r="CH264" s="1053"/>
      <c r="CI264" s="1123"/>
      <c r="CJ264" s="1123"/>
      <c r="CK264" s="1123"/>
      <c r="CL264" s="1123"/>
      <c r="CM264" s="1123"/>
      <c r="CN264" s="1123"/>
      <c r="CO264" s="1123"/>
      <c r="CP264" s="1123"/>
      <c r="CQ264" s="1123"/>
      <c r="CR264" s="1123"/>
      <c r="CS264" s="1123"/>
      <c r="CT264" s="1123"/>
      <c r="CU264" s="1123"/>
      <c r="CV264" s="1123"/>
      <c r="CW264" s="1123"/>
      <c r="CX264" s="1123"/>
      <c r="CY264" s="1123"/>
      <c r="CZ264" s="1114"/>
      <c r="DA264" s="1114"/>
      <c r="DB264" s="1114"/>
      <c r="DC264" s="1114"/>
      <c r="DD264" s="1114"/>
      <c r="DE264" s="1114"/>
      <c r="DF264" s="1114"/>
      <c r="DG264" s="1114"/>
      <c r="DH264" s="1114"/>
      <c r="DI264" s="1114"/>
      <c r="DJ264" s="1114"/>
      <c r="DK264" s="1114"/>
      <c r="DL264" s="1114"/>
      <c r="DM264" s="1114"/>
      <c r="DN264" s="1114"/>
      <c r="DO264" s="1114"/>
      <c r="DP264" s="1114"/>
      <c r="DQ264" s="1114"/>
      <c r="DR264" s="1114"/>
      <c r="DS264" s="1114"/>
      <c r="DT264" s="1114"/>
      <c r="DU264" s="1114"/>
      <c r="DV264" s="1115"/>
      <c r="DW264" s="1116"/>
      <c r="DX264" s="1116"/>
      <c r="DY264" s="1116"/>
      <c r="DZ264" s="1116"/>
      <c r="EA264" s="1116"/>
      <c r="EB264" s="1116"/>
      <c r="EC264" s="1116"/>
      <c r="ED264" s="1116"/>
      <c r="EE264" s="1116"/>
      <c r="EF264" s="1116"/>
      <c r="EG264" s="1116"/>
      <c r="EH264" s="1116"/>
      <c r="EI264" s="1116"/>
      <c r="EJ264" s="1116"/>
      <c r="EK264" s="1116"/>
      <c r="EL264" s="1116"/>
      <c r="EM264" s="1116"/>
      <c r="EN264" s="1116"/>
      <c r="EO264" s="1116"/>
      <c r="EP264" s="1116"/>
      <c r="EQ264" s="1116"/>
      <c r="ER264" s="1116"/>
      <c r="ES264" s="1116"/>
    </row>
    <row r="265" spans="1:149" ht="15" customHeight="1">
      <c r="A265" s="1185">
        <v>255</v>
      </c>
      <c r="B265" s="1041"/>
      <c r="C265" s="1050"/>
      <c r="D265" s="1050"/>
      <c r="E265" s="1050"/>
      <c r="F265" s="1049"/>
      <c r="G265" s="1049"/>
      <c r="H265" s="1049"/>
      <c r="I265" s="1049"/>
      <c r="J265" s="1050"/>
      <c r="K265" s="1050"/>
      <c r="L265" s="1043"/>
      <c r="M265" s="1051"/>
      <c r="N265" s="1051"/>
      <c r="O265" s="1052"/>
      <c r="P265" s="1051"/>
      <c r="Q265" s="1051"/>
      <c r="R265" s="1052"/>
      <c r="S265" s="1051"/>
      <c r="T265" s="1051"/>
      <c r="U265" s="1052"/>
      <c r="V265" s="1051"/>
      <c r="W265" s="1051"/>
      <c r="X265" s="1052"/>
      <c r="Y265" s="1053"/>
      <c r="Z265" s="1051"/>
      <c r="AA265" s="1051"/>
      <c r="AB265" s="1052"/>
      <c r="AC265" s="1051"/>
      <c r="AD265" s="1051"/>
      <c r="AE265" s="1052"/>
      <c r="AF265" s="1051"/>
      <c r="AG265" s="1051"/>
      <c r="AH265" s="1051"/>
      <c r="AI265" s="1051"/>
      <c r="AJ265" s="1052"/>
      <c r="AK265" s="1051"/>
      <c r="AL265" s="1051"/>
      <c r="AM265" s="1052"/>
      <c r="AN265" s="1051"/>
      <c r="AO265" s="1051"/>
      <c r="AP265" s="1052"/>
      <c r="AQ265" s="1051"/>
      <c r="AR265" s="1051"/>
      <c r="AS265" s="1052"/>
      <c r="AT265" s="1051"/>
      <c r="AU265" s="1051"/>
      <c r="AV265" s="1052"/>
      <c r="AW265" s="1051"/>
      <c r="AX265" s="1051"/>
      <c r="AY265" s="1053"/>
      <c r="AZ265" s="1051"/>
      <c r="BA265" s="1051"/>
      <c r="BB265" s="1053"/>
      <c r="BC265" s="1051"/>
      <c r="BD265" s="1051"/>
      <c r="BE265" s="1053"/>
      <c r="BF265" s="1051"/>
      <c r="BG265" s="1051"/>
      <c r="BH265" s="1053"/>
      <c r="BI265" s="1052"/>
      <c r="BJ265" s="1052"/>
      <c r="BK265" s="1052"/>
      <c r="BL265" s="1052"/>
      <c r="BM265" s="1052"/>
      <c r="BN265" s="1054"/>
      <c r="BO265" s="1076">
        <f t="shared" si="4"/>
        <v>0</v>
      </c>
      <c r="BP265" s="1051"/>
      <c r="BQ265" s="1052"/>
      <c r="BR265" s="1054"/>
      <c r="BS265" s="1053"/>
      <c r="BT265" s="1051"/>
      <c r="BU265" s="1051"/>
      <c r="BV265" s="1051"/>
      <c r="BW265" s="1052"/>
      <c r="BX265" s="1052"/>
      <c r="BY265" s="1052"/>
      <c r="BZ265" s="1052"/>
      <c r="CA265" s="1052"/>
      <c r="CB265" s="1053"/>
      <c r="CC265" s="1053"/>
      <c r="CD265" s="1053"/>
      <c r="CE265" s="1053"/>
      <c r="CF265" s="1053"/>
      <c r="CG265" s="1053"/>
      <c r="CH265" s="1053"/>
      <c r="CI265" s="1123"/>
      <c r="CJ265" s="1123"/>
      <c r="CK265" s="1123"/>
      <c r="CL265" s="1123"/>
      <c r="CM265" s="1123"/>
      <c r="CN265" s="1123"/>
      <c r="CO265" s="1123"/>
      <c r="CP265" s="1123"/>
      <c r="CQ265" s="1123"/>
      <c r="CR265" s="1123"/>
      <c r="CS265" s="1123"/>
      <c r="CT265" s="1123"/>
      <c r="CU265" s="1123"/>
      <c r="CV265" s="1123"/>
      <c r="CW265" s="1123"/>
      <c r="CX265" s="1123"/>
      <c r="CY265" s="1123"/>
      <c r="CZ265" s="1114"/>
      <c r="DA265" s="1114"/>
      <c r="DB265" s="1114"/>
      <c r="DC265" s="1114"/>
      <c r="DD265" s="1114"/>
      <c r="DE265" s="1114"/>
      <c r="DF265" s="1114"/>
      <c r="DG265" s="1114"/>
      <c r="DH265" s="1114"/>
      <c r="DI265" s="1114"/>
      <c r="DJ265" s="1114"/>
      <c r="DK265" s="1114"/>
      <c r="DL265" s="1114"/>
      <c r="DM265" s="1114"/>
      <c r="DN265" s="1114"/>
      <c r="DO265" s="1114"/>
      <c r="DP265" s="1114"/>
      <c r="DQ265" s="1114"/>
      <c r="DR265" s="1114"/>
      <c r="DS265" s="1114"/>
      <c r="DT265" s="1114"/>
      <c r="DU265" s="1114"/>
      <c r="DV265" s="1115"/>
      <c r="DW265" s="1116"/>
      <c r="DX265" s="1116"/>
      <c r="DY265" s="1116"/>
      <c r="DZ265" s="1116"/>
      <c r="EA265" s="1116"/>
      <c r="EB265" s="1116"/>
      <c r="EC265" s="1116"/>
      <c r="ED265" s="1116"/>
      <c r="EE265" s="1116"/>
      <c r="EF265" s="1116"/>
      <c r="EG265" s="1116"/>
      <c r="EH265" s="1116"/>
      <c r="EI265" s="1116"/>
      <c r="EJ265" s="1116"/>
      <c r="EK265" s="1116"/>
      <c r="EL265" s="1116"/>
      <c r="EM265" s="1116"/>
      <c r="EN265" s="1116"/>
      <c r="EO265" s="1116"/>
      <c r="EP265" s="1116"/>
      <c r="EQ265" s="1116"/>
      <c r="ER265" s="1116"/>
      <c r="ES265" s="1116"/>
    </row>
    <row r="266" spans="1:149" ht="15" customHeight="1">
      <c r="A266" s="1185">
        <v>256</v>
      </c>
      <c r="B266" s="1041"/>
      <c r="C266" s="1050"/>
      <c r="D266" s="1050"/>
      <c r="E266" s="1050"/>
      <c r="F266" s="1049"/>
      <c r="G266" s="1049"/>
      <c r="H266" s="1049"/>
      <c r="I266" s="1049"/>
      <c r="J266" s="1050"/>
      <c r="K266" s="1050"/>
      <c r="L266" s="1043"/>
      <c r="M266" s="1051"/>
      <c r="N266" s="1051"/>
      <c r="O266" s="1052"/>
      <c r="P266" s="1051"/>
      <c r="Q266" s="1051"/>
      <c r="R266" s="1052"/>
      <c r="S266" s="1051"/>
      <c r="T266" s="1051"/>
      <c r="U266" s="1052"/>
      <c r="V266" s="1051"/>
      <c r="W266" s="1051"/>
      <c r="X266" s="1052"/>
      <c r="Y266" s="1053"/>
      <c r="Z266" s="1051"/>
      <c r="AA266" s="1051"/>
      <c r="AB266" s="1052"/>
      <c r="AC266" s="1051"/>
      <c r="AD266" s="1051"/>
      <c r="AE266" s="1052"/>
      <c r="AF266" s="1051"/>
      <c r="AG266" s="1051"/>
      <c r="AH266" s="1051"/>
      <c r="AI266" s="1051"/>
      <c r="AJ266" s="1052"/>
      <c r="AK266" s="1051"/>
      <c r="AL266" s="1051"/>
      <c r="AM266" s="1052"/>
      <c r="AN266" s="1051"/>
      <c r="AO266" s="1051"/>
      <c r="AP266" s="1052"/>
      <c r="AQ266" s="1051"/>
      <c r="AR266" s="1051"/>
      <c r="AS266" s="1052"/>
      <c r="AT266" s="1051"/>
      <c r="AU266" s="1051"/>
      <c r="AV266" s="1052"/>
      <c r="AW266" s="1051"/>
      <c r="AX266" s="1051"/>
      <c r="AY266" s="1053"/>
      <c r="AZ266" s="1051"/>
      <c r="BA266" s="1051"/>
      <c r="BB266" s="1053"/>
      <c r="BC266" s="1051"/>
      <c r="BD266" s="1051"/>
      <c r="BE266" s="1053"/>
      <c r="BF266" s="1051"/>
      <c r="BG266" s="1051"/>
      <c r="BH266" s="1053"/>
      <c r="BI266" s="1052"/>
      <c r="BJ266" s="1052"/>
      <c r="BK266" s="1052"/>
      <c r="BL266" s="1052"/>
      <c r="BM266" s="1052"/>
      <c r="BN266" s="1054"/>
      <c r="BO266" s="1076">
        <f t="shared" si="4"/>
        <v>0</v>
      </c>
      <c r="BP266" s="1051"/>
      <c r="BQ266" s="1052"/>
      <c r="BR266" s="1054"/>
      <c r="BS266" s="1053"/>
      <c r="BT266" s="1051"/>
      <c r="BU266" s="1051"/>
      <c r="BV266" s="1051"/>
      <c r="BW266" s="1052"/>
      <c r="BX266" s="1052"/>
      <c r="BY266" s="1052"/>
      <c r="BZ266" s="1052"/>
      <c r="CA266" s="1052"/>
      <c r="CB266" s="1053"/>
      <c r="CC266" s="1053"/>
      <c r="CD266" s="1053"/>
      <c r="CE266" s="1053"/>
      <c r="CF266" s="1053"/>
      <c r="CG266" s="1053"/>
      <c r="CH266" s="1053"/>
      <c r="CI266" s="1123"/>
      <c r="CJ266" s="1123"/>
      <c r="CK266" s="1123"/>
      <c r="CL266" s="1123"/>
      <c r="CM266" s="1123"/>
      <c r="CN266" s="1123"/>
      <c r="CO266" s="1123"/>
      <c r="CP266" s="1123"/>
      <c r="CQ266" s="1123"/>
      <c r="CR266" s="1123"/>
      <c r="CS266" s="1123"/>
      <c r="CT266" s="1123"/>
      <c r="CU266" s="1123"/>
      <c r="CV266" s="1123"/>
      <c r="CW266" s="1123"/>
      <c r="CX266" s="1123"/>
      <c r="CY266" s="1123"/>
      <c r="CZ266" s="1114"/>
      <c r="DA266" s="1114"/>
      <c r="DB266" s="1114"/>
      <c r="DC266" s="1114"/>
      <c r="DD266" s="1114"/>
      <c r="DE266" s="1114"/>
      <c r="DF266" s="1114"/>
      <c r="DG266" s="1114"/>
      <c r="DH266" s="1114"/>
      <c r="DI266" s="1114"/>
      <c r="DJ266" s="1114"/>
      <c r="DK266" s="1114"/>
      <c r="DL266" s="1114"/>
      <c r="DM266" s="1114"/>
      <c r="DN266" s="1114"/>
      <c r="DO266" s="1114"/>
      <c r="DP266" s="1114"/>
      <c r="DQ266" s="1114"/>
      <c r="DR266" s="1114"/>
      <c r="DS266" s="1114"/>
      <c r="DT266" s="1114"/>
      <c r="DU266" s="1114"/>
      <c r="DV266" s="1115"/>
      <c r="DW266" s="1116"/>
      <c r="DX266" s="1116"/>
      <c r="DY266" s="1116"/>
      <c r="DZ266" s="1116"/>
      <c r="EA266" s="1116"/>
      <c r="EB266" s="1116"/>
      <c r="EC266" s="1116"/>
      <c r="ED266" s="1116"/>
      <c r="EE266" s="1116"/>
      <c r="EF266" s="1116"/>
      <c r="EG266" s="1116"/>
      <c r="EH266" s="1116"/>
      <c r="EI266" s="1116"/>
      <c r="EJ266" s="1116"/>
      <c r="EK266" s="1116"/>
      <c r="EL266" s="1116"/>
      <c r="EM266" s="1116"/>
      <c r="EN266" s="1116"/>
      <c r="EO266" s="1116"/>
      <c r="EP266" s="1116"/>
      <c r="EQ266" s="1116"/>
      <c r="ER266" s="1116"/>
      <c r="ES266" s="1116"/>
    </row>
    <row r="267" spans="1:149" ht="15" customHeight="1">
      <c r="A267" s="1185">
        <v>257</v>
      </c>
      <c r="B267" s="1041"/>
      <c r="C267" s="1050"/>
      <c r="D267" s="1050"/>
      <c r="E267" s="1050"/>
      <c r="F267" s="1049"/>
      <c r="G267" s="1049"/>
      <c r="H267" s="1049"/>
      <c r="I267" s="1049"/>
      <c r="J267" s="1050"/>
      <c r="K267" s="1050"/>
      <c r="L267" s="1043"/>
      <c r="M267" s="1051"/>
      <c r="N267" s="1051"/>
      <c r="O267" s="1052"/>
      <c r="P267" s="1051"/>
      <c r="Q267" s="1051"/>
      <c r="R267" s="1052"/>
      <c r="S267" s="1051"/>
      <c r="T267" s="1051"/>
      <c r="U267" s="1052"/>
      <c r="V267" s="1051"/>
      <c r="W267" s="1051"/>
      <c r="X267" s="1052"/>
      <c r="Y267" s="1053"/>
      <c r="Z267" s="1051"/>
      <c r="AA267" s="1051"/>
      <c r="AB267" s="1052"/>
      <c r="AC267" s="1051"/>
      <c r="AD267" s="1051"/>
      <c r="AE267" s="1052"/>
      <c r="AF267" s="1051"/>
      <c r="AG267" s="1051"/>
      <c r="AH267" s="1051"/>
      <c r="AI267" s="1051"/>
      <c r="AJ267" s="1052"/>
      <c r="AK267" s="1051"/>
      <c r="AL267" s="1051"/>
      <c r="AM267" s="1052"/>
      <c r="AN267" s="1051"/>
      <c r="AO267" s="1051"/>
      <c r="AP267" s="1052"/>
      <c r="AQ267" s="1051"/>
      <c r="AR267" s="1051"/>
      <c r="AS267" s="1052"/>
      <c r="AT267" s="1051"/>
      <c r="AU267" s="1051"/>
      <c r="AV267" s="1052"/>
      <c r="AW267" s="1051"/>
      <c r="AX267" s="1051"/>
      <c r="AY267" s="1053"/>
      <c r="AZ267" s="1051"/>
      <c r="BA267" s="1051"/>
      <c r="BB267" s="1053"/>
      <c r="BC267" s="1051"/>
      <c r="BD267" s="1051"/>
      <c r="BE267" s="1053"/>
      <c r="BF267" s="1051"/>
      <c r="BG267" s="1051"/>
      <c r="BH267" s="1053"/>
      <c r="BI267" s="1052"/>
      <c r="BJ267" s="1052"/>
      <c r="BK267" s="1052"/>
      <c r="BL267" s="1052"/>
      <c r="BM267" s="1052"/>
      <c r="BN267" s="1054"/>
      <c r="BO267" s="1076">
        <f t="shared" si="4"/>
        <v>0</v>
      </c>
      <c r="BP267" s="1051"/>
      <c r="BQ267" s="1052"/>
      <c r="BR267" s="1054"/>
      <c r="BS267" s="1053"/>
      <c r="BT267" s="1051"/>
      <c r="BU267" s="1051"/>
      <c r="BV267" s="1051"/>
      <c r="BW267" s="1052"/>
      <c r="BX267" s="1052"/>
      <c r="BY267" s="1052"/>
      <c r="BZ267" s="1052"/>
      <c r="CA267" s="1052"/>
      <c r="CB267" s="1053"/>
      <c r="CC267" s="1053"/>
      <c r="CD267" s="1053"/>
      <c r="CE267" s="1053"/>
      <c r="CF267" s="1053"/>
      <c r="CG267" s="1053"/>
      <c r="CH267" s="1053"/>
      <c r="CI267" s="1123"/>
      <c r="CJ267" s="1123"/>
      <c r="CK267" s="1123"/>
      <c r="CL267" s="1123"/>
      <c r="CM267" s="1123"/>
      <c r="CN267" s="1123"/>
      <c r="CO267" s="1123"/>
      <c r="CP267" s="1123"/>
      <c r="CQ267" s="1123"/>
      <c r="CR267" s="1123"/>
      <c r="CS267" s="1123"/>
      <c r="CT267" s="1123"/>
      <c r="CU267" s="1123"/>
      <c r="CV267" s="1123"/>
      <c r="CW267" s="1123"/>
      <c r="CX267" s="1123"/>
      <c r="CY267" s="1123"/>
      <c r="CZ267" s="1114"/>
      <c r="DA267" s="1114"/>
      <c r="DB267" s="1114"/>
      <c r="DC267" s="1114"/>
      <c r="DD267" s="1114"/>
      <c r="DE267" s="1114"/>
      <c r="DF267" s="1114"/>
      <c r="DG267" s="1114"/>
      <c r="DH267" s="1114"/>
      <c r="DI267" s="1114"/>
      <c r="DJ267" s="1114"/>
      <c r="DK267" s="1114"/>
      <c r="DL267" s="1114"/>
      <c r="DM267" s="1114"/>
      <c r="DN267" s="1114"/>
      <c r="DO267" s="1114"/>
      <c r="DP267" s="1114"/>
      <c r="DQ267" s="1114"/>
      <c r="DR267" s="1114"/>
      <c r="DS267" s="1114"/>
      <c r="DT267" s="1114"/>
      <c r="DU267" s="1114"/>
      <c r="DV267" s="1115"/>
      <c r="DW267" s="1116"/>
      <c r="DX267" s="1116"/>
      <c r="DY267" s="1116"/>
      <c r="DZ267" s="1116"/>
      <c r="EA267" s="1116"/>
      <c r="EB267" s="1116"/>
      <c r="EC267" s="1116"/>
      <c r="ED267" s="1116"/>
      <c r="EE267" s="1116"/>
      <c r="EF267" s="1116"/>
      <c r="EG267" s="1116"/>
      <c r="EH267" s="1116"/>
      <c r="EI267" s="1116"/>
      <c r="EJ267" s="1116"/>
      <c r="EK267" s="1116"/>
      <c r="EL267" s="1116"/>
      <c r="EM267" s="1116"/>
      <c r="EN267" s="1116"/>
      <c r="EO267" s="1116"/>
      <c r="EP267" s="1116"/>
      <c r="EQ267" s="1116"/>
      <c r="ER267" s="1116"/>
      <c r="ES267" s="1116"/>
    </row>
    <row r="268" spans="1:149" ht="15" customHeight="1">
      <c r="A268" s="1185">
        <v>258</v>
      </c>
      <c r="B268" s="1041"/>
      <c r="C268" s="1050"/>
      <c r="D268" s="1050"/>
      <c r="E268" s="1050"/>
      <c r="F268" s="1049"/>
      <c r="G268" s="1049"/>
      <c r="H268" s="1049"/>
      <c r="I268" s="1049"/>
      <c r="J268" s="1050"/>
      <c r="K268" s="1050"/>
      <c r="L268" s="1043"/>
      <c r="M268" s="1051"/>
      <c r="N268" s="1051"/>
      <c r="O268" s="1052"/>
      <c r="P268" s="1051"/>
      <c r="Q268" s="1051"/>
      <c r="R268" s="1052"/>
      <c r="S268" s="1051"/>
      <c r="T268" s="1051"/>
      <c r="U268" s="1052"/>
      <c r="V268" s="1051"/>
      <c r="W268" s="1051"/>
      <c r="X268" s="1052"/>
      <c r="Y268" s="1053"/>
      <c r="Z268" s="1051"/>
      <c r="AA268" s="1051"/>
      <c r="AB268" s="1052"/>
      <c r="AC268" s="1051"/>
      <c r="AD268" s="1051"/>
      <c r="AE268" s="1052"/>
      <c r="AF268" s="1051"/>
      <c r="AG268" s="1051"/>
      <c r="AH268" s="1051"/>
      <c r="AI268" s="1051"/>
      <c r="AJ268" s="1052"/>
      <c r="AK268" s="1051"/>
      <c r="AL268" s="1051"/>
      <c r="AM268" s="1052"/>
      <c r="AN268" s="1051"/>
      <c r="AO268" s="1051"/>
      <c r="AP268" s="1052"/>
      <c r="AQ268" s="1051"/>
      <c r="AR268" s="1051"/>
      <c r="AS268" s="1052"/>
      <c r="AT268" s="1051"/>
      <c r="AU268" s="1051"/>
      <c r="AV268" s="1052"/>
      <c r="AW268" s="1051"/>
      <c r="AX268" s="1051"/>
      <c r="AY268" s="1053"/>
      <c r="AZ268" s="1051"/>
      <c r="BA268" s="1051"/>
      <c r="BB268" s="1053"/>
      <c r="BC268" s="1051"/>
      <c r="BD268" s="1051"/>
      <c r="BE268" s="1053"/>
      <c r="BF268" s="1051"/>
      <c r="BG268" s="1051"/>
      <c r="BH268" s="1053"/>
      <c r="BI268" s="1052"/>
      <c r="BJ268" s="1052"/>
      <c r="BK268" s="1052"/>
      <c r="BL268" s="1052"/>
      <c r="BM268" s="1052"/>
      <c r="BN268" s="1054"/>
      <c r="BO268" s="1076">
        <f t="shared" ref="BO268:BO331" si="5">H268</f>
        <v>0</v>
      </c>
      <c r="BP268" s="1051"/>
      <c r="BQ268" s="1052"/>
      <c r="BR268" s="1054"/>
      <c r="BS268" s="1053"/>
      <c r="BT268" s="1051"/>
      <c r="BU268" s="1051"/>
      <c r="BV268" s="1051"/>
      <c r="BW268" s="1052"/>
      <c r="BX268" s="1052"/>
      <c r="BY268" s="1052"/>
      <c r="BZ268" s="1052"/>
      <c r="CA268" s="1052"/>
      <c r="CB268" s="1053"/>
      <c r="CC268" s="1053"/>
      <c r="CD268" s="1053"/>
      <c r="CE268" s="1053"/>
      <c r="CF268" s="1053"/>
      <c r="CG268" s="1053"/>
      <c r="CH268" s="1053"/>
      <c r="CI268" s="1123"/>
      <c r="CJ268" s="1123"/>
      <c r="CK268" s="1123"/>
      <c r="CL268" s="1123"/>
      <c r="CM268" s="1123"/>
      <c r="CN268" s="1123"/>
      <c r="CO268" s="1123"/>
      <c r="CP268" s="1123"/>
      <c r="CQ268" s="1123"/>
      <c r="CR268" s="1123"/>
      <c r="CS268" s="1123"/>
      <c r="CT268" s="1123"/>
      <c r="CU268" s="1123"/>
      <c r="CV268" s="1123"/>
      <c r="CW268" s="1123"/>
      <c r="CX268" s="1123"/>
      <c r="CY268" s="1123"/>
      <c r="CZ268" s="1114"/>
      <c r="DA268" s="1114"/>
      <c r="DB268" s="1114"/>
      <c r="DC268" s="1114"/>
      <c r="DD268" s="1114"/>
      <c r="DE268" s="1114"/>
      <c r="DF268" s="1114"/>
      <c r="DG268" s="1114"/>
      <c r="DH268" s="1114"/>
      <c r="DI268" s="1114"/>
      <c r="DJ268" s="1114"/>
      <c r="DK268" s="1114"/>
      <c r="DL268" s="1114"/>
      <c r="DM268" s="1114"/>
      <c r="DN268" s="1114"/>
      <c r="DO268" s="1114"/>
      <c r="DP268" s="1114"/>
      <c r="DQ268" s="1114"/>
      <c r="DR268" s="1114"/>
      <c r="DS268" s="1114"/>
      <c r="DT268" s="1114"/>
      <c r="DU268" s="1114"/>
      <c r="DV268" s="1115"/>
      <c r="DW268" s="1116"/>
      <c r="DX268" s="1116"/>
      <c r="DY268" s="1116"/>
      <c r="DZ268" s="1116"/>
      <c r="EA268" s="1116"/>
      <c r="EB268" s="1116"/>
      <c r="EC268" s="1116"/>
      <c r="ED268" s="1116"/>
      <c r="EE268" s="1116"/>
      <c r="EF268" s="1116"/>
      <c r="EG268" s="1116"/>
      <c r="EH268" s="1116"/>
      <c r="EI268" s="1116"/>
      <c r="EJ268" s="1116"/>
      <c r="EK268" s="1116"/>
      <c r="EL268" s="1116"/>
      <c r="EM268" s="1116"/>
      <c r="EN268" s="1116"/>
      <c r="EO268" s="1116"/>
      <c r="EP268" s="1116"/>
      <c r="EQ268" s="1116"/>
      <c r="ER268" s="1116"/>
      <c r="ES268" s="1116"/>
    </row>
    <row r="269" spans="1:149" ht="15" customHeight="1">
      <c r="A269" s="1185">
        <v>259</v>
      </c>
      <c r="B269" s="1041"/>
      <c r="C269" s="1050"/>
      <c r="D269" s="1050"/>
      <c r="E269" s="1050"/>
      <c r="F269" s="1049"/>
      <c r="G269" s="1049"/>
      <c r="H269" s="1049"/>
      <c r="I269" s="1049"/>
      <c r="J269" s="1050"/>
      <c r="K269" s="1050"/>
      <c r="L269" s="1043"/>
      <c r="M269" s="1051"/>
      <c r="N269" s="1051"/>
      <c r="O269" s="1052"/>
      <c r="P269" s="1051"/>
      <c r="Q269" s="1051"/>
      <c r="R269" s="1052"/>
      <c r="S269" s="1051"/>
      <c r="T269" s="1051"/>
      <c r="U269" s="1052"/>
      <c r="V269" s="1051"/>
      <c r="W269" s="1051"/>
      <c r="X269" s="1052"/>
      <c r="Y269" s="1053"/>
      <c r="Z269" s="1051"/>
      <c r="AA269" s="1051"/>
      <c r="AB269" s="1052"/>
      <c r="AC269" s="1051"/>
      <c r="AD269" s="1051"/>
      <c r="AE269" s="1052"/>
      <c r="AF269" s="1051"/>
      <c r="AG269" s="1051"/>
      <c r="AH269" s="1051"/>
      <c r="AI269" s="1051"/>
      <c r="AJ269" s="1052"/>
      <c r="AK269" s="1051"/>
      <c r="AL269" s="1051"/>
      <c r="AM269" s="1052"/>
      <c r="AN269" s="1051"/>
      <c r="AO269" s="1051"/>
      <c r="AP269" s="1052"/>
      <c r="AQ269" s="1051"/>
      <c r="AR269" s="1051"/>
      <c r="AS269" s="1052"/>
      <c r="AT269" s="1051"/>
      <c r="AU269" s="1051"/>
      <c r="AV269" s="1052"/>
      <c r="AW269" s="1051"/>
      <c r="AX269" s="1051"/>
      <c r="AY269" s="1053"/>
      <c r="AZ269" s="1051"/>
      <c r="BA269" s="1051"/>
      <c r="BB269" s="1053"/>
      <c r="BC269" s="1051"/>
      <c r="BD269" s="1051"/>
      <c r="BE269" s="1053"/>
      <c r="BF269" s="1051"/>
      <c r="BG269" s="1051"/>
      <c r="BH269" s="1053"/>
      <c r="BI269" s="1052"/>
      <c r="BJ269" s="1052"/>
      <c r="BK269" s="1052"/>
      <c r="BL269" s="1052"/>
      <c r="BM269" s="1052"/>
      <c r="BN269" s="1054"/>
      <c r="BO269" s="1076">
        <f t="shared" si="5"/>
        <v>0</v>
      </c>
      <c r="BP269" s="1051"/>
      <c r="BQ269" s="1052"/>
      <c r="BR269" s="1054"/>
      <c r="BS269" s="1053"/>
      <c r="BT269" s="1051"/>
      <c r="BU269" s="1051"/>
      <c r="BV269" s="1051"/>
      <c r="BW269" s="1052"/>
      <c r="BX269" s="1052"/>
      <c r="BY269" s="1052"/>
      <c r="BZ269" s="1052"/>
      <c r="CA269" s="1052"/>
      <c r="CB269" s="1053"/>
      <c r="CC269" s="1053"/>
      <c r="CD269" s="1053"/>
      <c r="CE269" s="1053"/>
      <c r="CF269" s="1053"/>
      <c r="CG269" s="1053"/>
      <c r="CH269" s="1053"/>
      <c r="CI269" s="1123"/>
      <c r="CJ269" s="1123"/>
      <c r="CK269" s="1123"/>
      <c r="CL269" s="1123"/>
      <c r="CM269" s="1123"/>
      <c r="CN269" s="1123"/>
      <c r="CO269" s="1123"/>
      <c r="CP269" s="1123"/>
      <c r="CQ269" s="1123"/>
      <c r="CR269" s="1123"/>
      <c r="CS269" s="1123"/>
      <c r="CT269" s="1123"/>
      <c r="CU269" s="1123"/>
      <c r="CV269" s="1123"/>
      <c r="CW269" s="1123"/>
      <c r="CX269" s="1123"/>
      <c r="CY269" s="1123"/>
      <c r="CZ269" s="1114"/>
      <c r="DA269" s="1114"/>
      <c r="DB269" s="1114"/>
      <c r="DC269" s="1114"/>
      <c r="DD269" s="1114"/>
      <c r="DE269" s="1114"/>
      <c r="DF269" s="1114"/>
      <c r="DG269" s="1114"/>
      <c r="DH269" s="1114"/>
      <c r="DI269" s="1114"/>
      <c r="DJ269" s="1114"/>
      <c r="DK269" s="1114"/>
      <c r="DL269" s="1114"/>
      <c r="DM269" s="1114"/>
      <c r="DN269" s="1114"/>
      <c r="DO269" s="1114"/>
      <c r="DP269" s="1114"/>
      <c r="DQ269" s="1114"/>
      <c r="DR269" s="1114"/>
      <c r="DS269" s="1114"/>
      <c r="DT269" s="1114"/>
      <c r="DU269" s="1114"/>
      <c r="DV269" s="1115"/>
      <c r="DW269" s="1116"/>
      <c r="DX269" s="1116"/>
      <c r="DY269" s="1116"/>
      <c r="DZ269" s="1116"/>
      <c r="EA269" s="1116"/>
      <c r="EB269" s="1116"/>
      <c r="EC269" s="1116"/>
      <c r="ED269" s="1116"/>
      <c r="EE269" s="1116"/>
      <c r="EF269" s="1116"/>
      <c r="EG269" s="1116"/>
      <c r="EH269" s="1116"/>
      <c r="EI269" s="1116"/>
      <c r="EJ269" s="1116"/>
      <c r="EK269" s="1116"/>
      <c r="EL269" s="1116"/>
      <c r="EM269" s="1116"/>
      <c r="EN269" s="1116"/>
      <c r="EO269" s="1116"/>
      <c r="EP269" s="1116"/>
      <c r="EQ269" s="1116"/>
      <c r="ER269" s="1116"/>
      <c r="ES269" s="1116"/>
    </row>
    <row r="270" spans="1:149" ht="15" customHeight="1">
      <c r="A270" s="1185">
        <v>260</v>
      </c>
      <c r="B270" s="1041"/>
      <c r="C270" s="1050"/>
      <c r="D270" s="1050"/>
      <c r="E270" s="1050"/>
      <c r="F270" s="1049"/>
      <c r="G270" s="1049"/>
      <c r="H270" s="1049"/>
      <c r="I270" s="1049"/>
      <c r="J270" s="1050"/>
      <c r="K270" s="1050"/>
      <c r="L270" s="1043"/>
      <c r="M270" s="1051"/>
      <c r="N270" s="1051"/>
      <c r="O270" s="1052"/>
      <c r="P270" s="1051"/>
      <c r="Q270" s="1051"/>
      <c r="R270" s="1052"/>
      <c r="S270" s="1051"/>
      <c r="T270" s="1051"/>
      <c r="U270" s="1052"/>
      <c r="V270" s="1051"/>
      <c r="W270" s="1051"/>
      <c r="X270" s="1052"/>
      <c r="Y270" s="1053"/>
      <c r="Z270" s="1051"/>
      <c r="AA270" s="1051"/>
      <c r="AB270" s="1052"/>
      <c r="AC270" s="1051"/>
      <c r="AD270" s="1051"/>
      <c r="AE270" s="1052"/>
      <c r="AF270" s="1051"/>
      <c r="AG270" s="1051"/>
      <c r="AH270" s="1051"/>
      <c r="AI270" s="1051"/>
      <c r="AJ270" s="1052"/>
      <c r="AK270" s="1051"/>
      <c r="AL270" s="1051"/>
      <c r="AM270" s="1052"/>
      <c r="AN270" s="1051"/>
      <c r="AO270" s="1051"/>
      <c r="AP270" s="1052"/>
      <c r="AQ270" s="1051"/>
      <c r="AR270" s="1051"/>
      <c r="AS270" s="1052"/>
      <c r="AT270" s="1051"/>
      <c r="AU270" s="1051"/>
      <c r="AV270" s="1052"/>
      <c r="AW270" s="1051"/>
      <c r="AX270" s="1051"/>
      <c r="AY270" s="1053"/>
      <c r="AZ270" s="1051"/>
      <c r="BA270" s="1051"/>
      <c r="BB270" s="1053"/>
      <c r="BC270" s="1051"/>
      <c r="BD270" s="1051"/>
      <c r="BE270" s="1053"/>
      <c r="BF270" s="1051"/>
      <c r="BG270" s="1051"/>
      <c r="BH270" s="1053"/>
      <c r="BI270" s="1052"/>
      <c r="BJ270" s="1052"/>
      <c r="BK270" s="1052"/>
      <c r="BL270" s="1052"/>
      <c r="BM270" s="1052"/>
      <c r="BN270" s="1054"/>
      <c r="BO270" s="1076">
        <f t="shared" si="5"/>
        <v>0</v>
      </c>
      <c r="BP270" s="1051"/>
      <c r="BQ270" s="1052"/>
      <c r="BR270" s="1054"/>
      <c r="BS270" s="1053"/>
      <c r="BT270" s="1051"/>
      <c r="BU270" s="1051"/>
      <c r="BV270" s="1051"/>
      <c r="BW270" s="1052"/>
      <c r="BX270" s="1052"/>
      <c r="BY270" s="1052"/>
      <c r="BZ270" s="1052"/>
      <c r="CA270" s="1052"/>
      <c r="CB270" s="1053"/>
      <c r="CC270" s="1053"/>
      <c r="CD270" s="1053"/>
      <c r="CE270" s="1053"/>
      <c r="CF270" s="1053"/>
      <c r="CG270" s="1053"/>
      <c r="CH270" s="1053"/>
      <c r="CI270" s="1123"/>
      <c r="CJ270" s="1123"/>
      <c r="CK270" s="1123"/>
      <c r="CL270" s="1123"/>
      <c r="CM270" s="1123"/>
      <c r="CN270" s="1123"/>
      <c r="CO270" s="1123"/>
      <c r="CP270" s="1123"/>
      <c r="CQ270" s="1123"/>
      <c r="CR270" s="1123"/>
      <c r="CS270" s="1123"/>
      <c r="CT270" s="1123"/>
      <c r="CU270" s="1123"/>
      <c r="CV270" s="1123"/>
      <c r="CW270" s="1123"/>
      <c r="CX270" s="1123"/>
      <c r="CY270" s="1123"/>
      <c r="CZ270" s="1114"/>
      <c r="DA270" s="1114"/>
      <c r="DB270" s="1114"/>
      <c r="DC270" s="1114"/>
      <c r="DD270" s="1114"/>
      <c r="DE270" s="1114"/>
      <c r="DF270" s="1114"/>
      <c r="DG270" s="1114"/>
      <c r="DH270" s="1114"/>
      <c r="DI270" s="1114"/>
      <c r="DJ270" s="1114"/>
      <c r="DK270" s="1114"/>
      <c r="DL270" s="1114"/>
      <c r="DM270" s="1114"/>
      <c r="DN270" s="1114"/>
      <c r="DO270" s="1114"/>
      <c r="DP270" s="1114"/>
      <c r="DQ270" s="1114"/>
      <c r="DR270" s="1114"/>
      <c r="DS270" s="1114"/>
      <c r="DT270" s="1114"/>
      <c r="DU270" s="1114"/>
      <c r="DV270" s="1115"/>
      <c r="DW270" s="1116"/>
      <c r="DX270" s="1116"/>
      <c r="DY270" s="1116"/>
      <c r="DZ270" s="1116"/>
      <c r="EA270" s="1116"/>
      <c r="EB270" s="1116"/>
      <c r="EC270" s="1116"/>
      <c r="ED270" s="1116"/>
      <c r="EE270" s="1116"/>
      <c r="EF270" s="1116"/>
      <c r="EG270" s="1116"/>
      <c r="EH270" s="1116"/>
      <c r="EI270" s="1116"/>
      <c r="EJ270" s="1116"/>
      <c r="EK270" s="1116"/>
      <c r="EL270" s="1116"/>
      <c r="EM270" s="1116"/>
      <c r="EN270" s="1116"/>
      <c r="EO270" s="1116"/>
      <c r="EP270" s="1116"/>
      <c r="EQ270" s="1116"/>
      <c r="ER270" s="1116"/>
      <c r="ES270" s="1116"/>
    </row>
    <row r="271" spans="1:149" ht="15" customHeight="1">
      <c r="A271" s="1185">
        <v>261</v>
      </c>
      <c r="B271" s="1041"/>
      <c r="C271" s="1050"/>
      <c r="D271" s="1050"/>
      <c r="E271" s="1050"/>
      <c r="F271" s="1049"/>
      <c r="G271" s="1049"/>
      <c r="H271" s="1049"/>
      <c r="I271" s="1049"/>
      <c r="J271" s="1050"/>
      <c r="K271" s="1050"/>
      <c r="L271" s="1043"/>
      <c r="M271" s="1051"/>
      <c r="N271" s="1051"/>
      <c r="O271" s="1052"/>
      <c r="P271" s="1051"/>
      <c r="Q271" s="1051"/>
      <c r="R271" s="1052"/>
      <c r="S271" s="1051"/>
      <c r="T271" s="1051"/>
      <c r="U271" s="1052"/>
      <c r="V271" s="1051"/>
      <c r="W271" s="1051"/>
      <c r="X271" s="1052"/>
      <c r="Y271" s="1053"/>
      <c r="Z271" s="1051"/>
      <c r="AA271" s="1051"/>
      <c r="AB271" s="1052"/>
      <c r="AC271" s="1051"/>
      <c r="AD271" s="1051"/>
      <c r="AE271" s="1052"/>
      <c r="AF271" s="1051"/>
      <c r="AG271" s="1051"/>
      <c r="AH271" s="1051"/>
      <c r="AI271" s="1051"/>
      <c r="AJ271" s="1052"/>
      <c r="AK271" s="1051"/>
      <c r="AL271" s="1051"/>
      <c r="AM271" s="1052"/>
      <c r="AN271" s="1051"/>
      <c r="AO271" s="1051"/>
      <c r="AP271" s="1052"/>
      <c r="AQ271" s="1051"/>
      <c r="AR271" s="1051"/>
      <c r="AS271" s="1052"/>
      <c r="AT271" s="1051"/>
      <c r="AU271" s="1051"/>
      <c r="AV271" s="1052"/>
      <c r="AW271" s="1051"/>
      <c r="AX271" s="1051"/>
      <c r="AY271" s="1053"/>
      <c r="AZ271" s="1051"/>
      <c r="BA271" s="1051"/>
      <c r="BB271" s="1053"/>
      <c r="BC271" s="1051"/>
      <c r="BD271" s="1051"/>
      <c r="BE271" s="1053"/>
      <c r="BF271" s="1051"/>
      <c r="BG271" s="1051"/>
      <c r="BH271" s="1053"/>
      <c r="BI271" s="1052"/>
      <c r="BJ271" s="1052"/>
      <c r="BK271" s="1052"/>
      <c r="BL271" s="1052"/>
      <c r="BM271" s="1052"/>
      <c r="BN271" s="1054"/>
      <c r="BO271" s="1076">
        <f t="shared" si="5"/>
        <v>0</v>
      </c>
      <c r="BP271" s="1051"/>
      <c r="BQ271" s="1052"/>
      <c r="BR271" s="1054"/>
      <c r="BS271" s="1053"/>
      <c r="BT271" s="1051"/>
      <c r="BU271" s="1051"/>
      <c r="BV271" s="1051"/>
      <c r="BW271" s="1052"/>
      <c r="BX271" s="1052"/>
      <c r="BY271" s="1052"/>
      <c r="BZ271" s="1052"/>
      <c r="CA271" s="1052"/>
      <c r="CB271" s="1053"/>
      <c r="CC271" s="1053"/>
      <c r="CD271" s="1053"/>
      <c r="CE271" s="1053"/>
      <c r="CF271" s="1053"/>
      <c r="CG271" s="1053"/>
      <c r="CH271" s="1053"/>
      <c r="CI271" s="1123"/>
      <c r="CJ271" s="1123"/>
      <c r="CK271" s="1123"/>
      <c r="CL271" s="1123"/>
      <c r="CM271" s="1123"/>
      <c r="CN271" s="1123"/>
      <c r="CO271" s="1123"/>
      <c r="CP271" s="1123"/>
      <c r="CQ271" s="1123"/>
      <c r="CR271" s="1123"/>
      <c r="CS271" s="1123"/>
      <c r="CT271" s="1123"/>
      <c r="CU271" s="1123"/>
      <c r="CV271" s="1123"/>
      <c r="CW271" s="1123"/>
      <c r="CX271" s="1123"/>
      <c r="CY271" s="1123"/>
      <c r="CZ271" s="1114"/>
      <c r="DA271" s="1114"/>
      <c r="DB271" s="1114"/>
      <c r="DC271" s="1114"/>
      <c r="DD271" s="1114"/>
      <c r="DE271" s="1114"/>
      <c r="DF271" s="1114"/>
      <c r="DG271" s="1114"/>
      <c r="DH271" s="1114"/>
      <c r="DI271" s="1114"/>
      <c r="DJ271" s="1114"/>
      <c r="DK271" s="1114"/>
      <c r="DL271" s="1114"/>
      <c r="DM271" s="1114"/>
      <c r="DN271" s="1114"/>
      <c r="DO271" s="1114"/>
      <c r="DP271" s="1114"/>
      <c r="DQ271" s="1114"/>
      <c r="DR271" s="1114"/>
      <c r="DS271" s="1114"/>
      <c r="DT271" s="1114"/>
      <c r="DU271" s="1114"/>
      <c r="DV271" s="1115"/>
      <c r="DW271" s="1116"/>
      <c r="DX271" s="1116"/>
      <c r="DY271" s="1116"/>
      <c r="DZ271" s="1116"/>
      <c r="EA271" s="1116"/>
      <c r="EB271" s="1116"/>
      <c r="EC271" s="1116"/>
      <c r="ED271" s="1116"/>
      <c r="EE271" s="1116"/>
      <c r="EF271" s="1116"/>
      <c r="EG271" s="1116"/>
      <c r="EH271" s="1116"/>
      <c r="EI271" s="1116"/>
      <c r="EJ271" s="1116"/>
      <c r="EK271" s="1116"/>
      <c r="EL271" s="1116"/>
      <c r="EM271" s="1116"/>
      <c r="EN271" s="1116"/>
      <c r="EO271" s="1116"/>
      <c r="EP271" s="1116"/>
      <c r="EQ271" s="1116"/>
      <c r="ER271" s="1116"/>
      <c r="ES271" s="1116"/>
    </row>
    <row r="272" spans="1:149" ht="15" customHeight="1">
      <c r="A272" s="1185">
        <v>262</v>
      </c>
      <c r="B272" s="1041"/>
      <c r="C272" s="1050"/>
      <c r="D272" s="1050"/>
      <c r="E272" s="1050"/>
      <c r="F272" s="1049"/>
      <c r="G272" s="1049"/>
      <c r="H272" s="1049"/>
      <c r="I272" s="1049"/>
      <c r="J272" s="1050"/>
      <c r="K272" s="1050"/>
      <c r="L272" s="1043"/>
      <c r="M272" s="1051"/>
      <c r="N272" s="1051"/>
      <c r="O272" s="1052"/>
      <c r="P272" s="1051"/>
      <c r="Q272" s="1051"/>
      <c r="R272" s="1052"/>
      <c r="S272" s="1051"/>
      <c r="T272" s="1051"/>
      <c r="U272" s="1052"/>
      <c r="V272" s="1051"/>
      <c r="W272" s="1051"/>
      <c r="X272" s="1052"/>
      <c r="Y272" s="1053"/>
      <c r="Z272" s="1051"/>
      <c r="AA272" s="1051"/>
      <c r="AB272" s="1052"/>
      <c r="AC272" s="1051"/>
      <c r="AD272" s="1051"/>
      <c r="AE272" s="1052"/>
      <c r="AF272" s="1051"/>
      <c r="AG272" s="1051"/>
      <c r="AH272" s="1051"/>
      <c r="AI272" s="1051"/>
      <c r="AJ272" s="1052"/>
      <c r="AK272" s="1051"/>
      <c r="AL272" s="1051"/>
      <c r="AM272" s="1052"/>
      <c r="AN272" s="1051"/>
      <c r="AO272" s="1051"/>
      <c r="AP272" s="1052"/>
      <c r="AQ272" s="1051"/>
      <c r="AR272" s="1051"/>
      <c r="AS272" s="1052"/>
      <c r="AT272" s="1051"/>
      <c r="AU272" s="1051"/>
      <c r="AV272" s="1052"/>
      <c r="AW272" s="1051"/>
      <c r="AX272" s="1051"/>
      <c r="AY272" s="1053"/>
      <c r="AZ272" s="1051"/>
      <c r="BA272" s="1051"/>
      <c r="BB272" s="1053"/>
      <c r="BC272" s="1051"/>
      <c r="BD272" s="1051"/>
      <c r="BE272" s="1053"/>
      <c r="BF272" s="1051"/>
      <c r="BG272" s="1051"/>
      <c r="BH272" s="1053"/>
      <c r="BI272" s="1052"/>
      <c r="BJ272" s="1052"/>
      <c r="BK272" s="1052"/>
      <c r="BL272" s="1052"/>
      <c r="BM272" s="1052"/>
      <c r="BN272" s="1054"/>
      <c r="BO272" s="1076">
        <f t="shared" si="5"/>
        <v>0</v>
      </c>
      <c r="BP272" s="1051"/>
      <c r="BQ272" s="1052"/>
      <c r="BR272" s="1054"/>
      <c r="BS272" s="1053"/>
      <c r="BT272" s="1051"/>
      <c r="BU272" s="1051"/>
      <c r="BV272" s="1051"/>
      <c r="BW272" s="1052"/>
      <c r="BX272" s="1052"/>
      <c r="BY272" s="1052"/>
      <c r="BZ272" s="1052"/>
      <c r="CA272" s="1052"/>
      <c r="CB272" s="1053"/>
      <c r="CC272" s="1053"/>
      <c r="CD272" s="1053"/>
      <c r="CE272" s="1053"/>
      <c r="CF272" s="1053"/>
      <c r="CG272" s="1053"/>
      <c r="CH272" s="1053"/>
      <c r="CI272" s="1123"/>
      <c r="CJ272" s="1123"/>
      <c r="CK272" s="1123"/>
      <c r="CL272" s="1123"/>
      <c r="CM272" s="1123"/>
      <c r="CN272" s="1123"/>
      <c r="CO272" s="1123"/>
      <c r="CP272" s="1123"/>
      <c r="CQ272" s="1123"/>
      <c r="CR272" s="1123"/>
      <c r="CS272" s="1123"/>
      <c r="CT272" s="1123"/>
      <c r="CU272" s="1123"/>
      <c r="CV272" s="1123"/>
      <c r="CW272" s="1123"/>
      <c r="CX272" s="1123"/>
      <c r="CY272" s="1123"/>
      <c r="CZ272" s="1114"/>
      <c r="DA272" s="1114"/>
      <c r="DB272" s="1114"/>
      <c r="DC272" s="1114"/>
      <c r="DD272" s="1114"/>
      <c r="DE272" s="1114"/>
      <c r="DF272" s="1114"/>
      <c r="DG272" s="1114"/>
      <c r="DH272" s="1114"/>
      <c r="DI272" s="1114"/>
      <c r="DJ272" s="1114"/>
      <c r="DK272" s="1114"/>
      <c r="DL272" s="1114"/>
      <c r="DM272" s="1114"/>
      <c r="DN272" s="1114"/>
      <c r="DO272" s="1114"/>
      <c r="DP272" s="1114"/>
      <c r="DQ272" s="1114"/>
      <c r="DR272" s="1114"/>
      <c r="DS272" s="1114"/>
      <c r="DT272" s="1114"/>
      <c r="DU272" s="1114"/>
      <c r="DV272" s="1115"/>
      <c r="DW272" s="1116"/>
      <c r="DX272" s="1116"/>
      <c r="DY272" s="1116"/>
      <c r="DZ272" s="1116"/>
      <c r="EA272" s="1116"/>
      <c r="EB272" s="1116"/>
      <c r="EC272" s="1116"/>
      <c r="ED272" s="1116"/>
      <c r="EE272" s="1116"/>
      <c r="EF272" s="1116"/>
      <c r="EG272" s="1116"/>
      <c r="EH272" s="1116"/>
      <c r="EI272" s="1116"/>
      <c r="EJ272" s="1116"/>
      <c r="EK272" s="1116"/>
      <c r="EL272" s="1116"/>
      <c r="EM272" s="1116"/>
      <c r="EN272" s="1116"/>
      <c r="EO272" s="1116"/>
      <c r="EP272" s="1116"/>
      <c r="EQ272" s="1116"/>
      <c r="ER272" s="1116"/>
      <c r="ES272" s="1116"/>
    </row>
    <row r="273" spans="1:149" ht="15" customHeight="1">
      <c r="A273" s="1185">
        <v>263</v>
      </c>
      <c r="B273" s="1041"/>
      <c r="C273" s="1050"/>
      <c r="D273" s="1050"/>
      <c r="E273" s="1050"/>
      <c r="F273" s="1049"/>
      <c r="G273" s="1049"/>
      <c r="H273" s="1049"/>
      <c r="I273" s="1049"/>
      <c r="J273" s="1050"/>
      <c r="K273" s="1050"/>
      <c r="L273" s="1043"/>
      <c r="M273" s="1051"/>
      <c r="N273" s="1051"/>
      <c r="O273" s="1052"/>
      <c r="P273" s="1051"/>
      <c r="Q273" s="1051"/>
      <c r="R273" s="1052"/>
      <c r="S273" s="1051"/>
      <c r="T273" s="1051"/>
      <c r="U273" s="1052"/>
      <c r="V273" s="1051"/>
      <c r="W273" s="1051"/>
      <c r="X273" s="1052"/>
      <c r="Y273" s="1053"/>
      <c r="Z273" s="1051"/>
      <c r="AA273" s="1051"/>
      <c r="AB273" s="1052"/>
      <c r="AC273" s="1051"/>
      <c r="AD273" s="1051"/>
      <c r="AE273" s="1052"/>
      <c r="AF273" s="1051"/>
      <c r="AG273" s="1051"/>
      <c r="AH273" s="1051"/>
      <c r="AI273" s="1051"/>
      <c r="AJ273" s="1052"/>
      <c r="AK273" s="1051"/>
      <c r="AL273" s="1051"/>
      <c r="AM273" s="1052"/>
      <c r="AN273" s="1051"/>
      <c r="AO273" s="1051"/>
      <c r="AP273" s="1052"/>
      <c r="AQ273" s="1051"/>
      <c r="AR273" s="1051"/>
      <c r="AS273" s="1052"/>
      <c r="AT273" s="1051"/>
      <c r="AU273" s="1051"/>
      <c r="AV273" s="1052"/>
      <c r="AW273" s="1051"/>
      <c r="AX273" s="1051"/>
      <c r="AY273" s="1053"/>
      <c r="AZ273" s="1051"/>
      <c r="BA273" s="1051"/>
      <c r="BB273" s="1053"/>
      <c r="BC273" s="1051"/>
      <c r="BD273" s="1051"/>
      <c r="BE273" s="1053"/>
      <c r="BF273" s="1051"/>
      <c r="BG273" s="1051"/>
      <c r="BH273" s="1053"/>
      <c r="BI273" s="1052"/>
      <c r="BJ273" s="1052"/>
      <c r="BK273" s="1052"/>
      <c r="BL273" s="1052"/>
      <c r="BM273" s="1052"/>
      <c r="BN273" s="1054"/>
      <c r="BO273" s="1076">
        <f t="shared" si="5"/>
        <v>0</v>
      </c>
      <c r="BP273" s="1051"/>
      <c r="BQ273" s="1052"/>
      <c r="BR273" s="1054"/>
      <c r="BS273" s="1053"/>
      <c r="BT273" s="1051"/>
      <c r="BU273" s="1051"/>
      <c r="BV273" s="1051"/>
      <c r="BW273" s="1052"/>
      <c r="BX273" s="1052"/>
      <c r="BY273" s="1052"/>
      <c r="BZ273" s="1052"/>
      <c r="CA273" s="1052"/>
      <c r="CB273" s="1053"/>
      <c r="CC273" s="1053"/>
      <c r="CD273" s="1053"/>
      <c r="CE273" s="1053"/>
      <c r="CF273" s="1053"/>
      <c r="CG273" s="1053"/>
      <c r="CH273" s="1053"/>
      <c r="CI273" s="1123"/>
      <c r="CJ273" s="1123"/>
      <c r="CK273" s="1123"/>
      <c r="CL273" s="1123"/>
      <c r="CM273" s="1123"/>
      <c r="CN273" s="1123"/>
      <c r="CO273" s="1123"/>
      <c r="CP273" s="1123"/>
      <c r="CQ273" s="1123"/>
      <c r="CR273" s="1123"/>
      <c r="CS273" s="1123"/>
      <c r="CT273" s="1123"/>
      <c r="CU273" s="1123"/>
      <c r="CV273" s="1123"/>
      <c r="CW273" s="1123"/>
      <c r="CX273" s="1123"/>
      <c r="CY273" s="1123"/>
      <c r="CZ273" s="1114"/>
      <c r="DA273" s="1114"/>
      <c r="DB273" s="1114"/>
      <c r="DC273" s="1114"/>
      <c r="DD273" s="1114"/>
      <c r="DE273" s="1114"/>
      <c r="DF273" s="1114"/>
      <c r="DG273" s="1114"/>
      <c r="DH273" s="1114"/>
      <c r="DI273" s="1114"/>
      <c r="DJ273" s="1114"/>
      <c r="DK273" s="1114"/>
      <c r="DL273" s="1114"/>
      <c r="DM273" s="1114"/>
      <c r="DN273" s="1114"/>
      <c r="DO273" s="1114"/>
      <c r="DP273" s="1114"/>
      <c r="DQ273" s="1114"/>
      <c r="DR273" s="1114"/>
      <c r="DS273" s="1114"/>
      <c r="DT273" s="1114"/>
      <c r="DU273" s="1114"/>
      <c r="DV273" s="1115"/>
      <c r="DW273" s="1116"/>
      <c r="DX273" s="1116"/>
      <c r="DY273" s="1116"/>
      <c r="DZ273" s="1116"/>
      <c r="EA273" s="1116"/>
      <c r="EB273" s="1116"/>
      <c r="EC273" s="1116"/>
      <c r="ED273" s="1116"/>
      <c r="EE273" s="1116"/>
      <c r="EF273" s="1116"/>
      <c r="EG273" s="1116"/>
      <c r="EH273" s="1116"/>
      <c r="EI273" s="1116"/>
      <c r="EJ273" s="1116"/>
      <c r="EK273" s="1116"/>
      <c r="EL273" s="1116"/>
      <c r="EM273" s="1116"/>
      <c r="EN273" s="1116"/>
      <c r="EO273" s="1116"/>
      <c r="EP273" s="1116"/>
      <c r="EQ273" s="1116"/>
      <c r="ER273" s="1116"/>
      <c r="ES273" s="1116"/>
    </row>
    <row r="274" spans="1:149" ht="15" customHeight="1">
      <c r="A274" s="1185">
        <v>264</v>
      </c>
      <c r="B274" s="1041"/>
      <c r="C274" s="1050"/>
      <c r="D274" s="1050"/>
      <c r="E274" s="1050"/>
      <c r="F274" s="1049"/>
      <c r="G274" s="1049"/>
      <c r="H274" s="1049"/>
      <c r="I274" s="1049"/>
      <c r="J274" s="1050"/>
      <c r="K274" s="1050"/>
      <c r="L274" s="1043"/>
      <c r="M274" s="1051"/>
      <c r="N274" s="1051"/>
      <c r="O274" s="1052"/>
      <c r="P274" s="1051"/>
      <c r="Q274" s="1051"/>
      <c r="R274" s="1052"/>
      <c r="S274" s="1051"/>
      <c r="T274" s="1051"/>
      <c r="U274" s="1052"/>
      <c r="V274" s="1051"/>
      <c r="W274" s="1051"/>
      <c r="X274" s="1052"/>
      <c r="Y274" s="1053"/>
      <c r="Z274" s="1051"/>
      <c r="AA274" s="1051"/>
      <c r="AB274" s="1052"/>
      <c r="AC274" s="1051"/>
      <c r="AD274" s="1051"/>
      <c r="AE274" s="1052"/>
      <c r="AF274" s="1051"/>
      <c r="AG274" s="1051"/>
      <c r="AH274" s="1051"/>
      <c r="AI274" s="1051"/>
      <c r="AJ274" s="1052"/>
      <c r="AK274" s="1051"/>
      <c r="AL274" s="1051"/>
      <c r="AM274" s="1052"/>
      <c r="AN274" s="1051"/>
      <c r="AO274" s="1051"/>
      <c r="AP274" s="1052"/>
      <c r="AQ274" s="1051"/>
      <c r="AR274" s="1051"/>
      <c r="AS274" s="1052"/>
      <c r="AT274" s="1051"/>
      <c r="AU274" s="1051"/>
      <c r="AV274" s="1052"/>
      <c r="AW274" s="1051"/>
      <c r="AX274" s="1051"/>
      <c r="AY274" s="1053"/>
      <c r="AZ274" s="1051"/>
      <c r="BA274" s="1051"/>
      <c r="BB274" s="1053"/>
      <c r="BC274" s="1051"/>
      <c r="BD274" s="1051"/>
      <c r="BE274" s="1053"/>
      <c r="BF274" s="1051"/>
      <c r="BG274" s="1051"/>
      <c r="BH274" s="1053"/>
      <c r="BI274" s="1052"/>
      <c r="BJ274" s="1052"/>
      <c r="BK274" s="1052"/>
      <c r="BL274" s="1052"/>
      <c r="BM274" s="1052"/>
      <c r="BN274" s="1054"/>
      <c r="BO274" s="1076">
        <f t="shared" si="5"/>
        <v>0</v>
      </c>
      <c r="BP274" s="1051"/>
      <c r="BQ274" s="1052"/>
      <c r="BR274" s="1054"/>
      <c r="BS274" s="1053"/>
      <c r="BT274" s="1051"/>
      <c r="BU274" s="1051"/>
      <c r="BV274" s="1051"/>
      <c r="BW274" s="1052"/>
      <c r="BX274" s="1052"/>
      <c r="BY274" s="1052"/>
      <c r="BZ274" s="1052"/>
      <c r="CA274" s="1052"/>
      <c r="CB274" s="1053"/>
      <c r="CC274" s="1053"/>
      <c r="CD274" s="1053"/>
      <c r="CE274" s="1053"/>
      <c r="CF274" s="1053"/>
      <c r="CG274" s="1053"/>
      <c r="CH274" s="1053"/>
      <c r="CI274" s="1123"/>
      <c r="CJ274" s="1123"/>
      <c r="CK274" s="1123"/>
      <c r="CL274" s="1123"/>
      <c r="CM274" s="1123"/>
      <c r="CN274" s="1123"/>
      <c r="CO274" s="1123"/>
      <c r="CP274" s="1123"/>
      <c r="CQ274" s="1123"/>
      <c r="CR274" s="1123"/>
      <c r="CS274" s="1123"/>
      <c r="CT274" s="1123"/>
      <c r="CU274" s="1123"/>
      <c r="CV274" s="1123"/>
      <c r="CW274" s="1123"/>
      <c r="CX274" s="1123"/>
      <c r="CY274" s="1123"/>
      <c r="CZ274" s="1114"/>
      <c r="DA274" s="1114"/>
      <c r="DB274" s="1114"/>
      <c r="DC274" s="1114"/>
      <c r="DD274" s="1114"/>
      <c r="DE274" s="1114"/>
      <c r="DF274" s="1114"/>
      <c r="DG274" s="1114"/>
      <c r="DH274" s="1114"/>
      <c r="DI274" s="1114"/>
      <c r="DJ274" s="1114"/>
      <c r="DK274" s="1114"/>
      <c r="DL274" s="1114"/>
      <c r="DM274" s="1114"/>
      <c r="DN274" s="1114"/>
      <c r="DO274" s="1114"/>
      <c r="DP274" s="1114"/>
      <c r="DQ274" s="1114"/>
      <c r="DR274" s="1114"/>
      <c r="DS274" s="1114"/>
      <c r="DT274" s="1114"/>
      <c r="DU274" s="1114"/>
      <c r="DV274" s="1115"/>
      <c r="DW274" s="1116"/>
      <c r="DX274" s="1116"/>
      <c r="DY274" s="1116"/>
      <c r="DZ274" s="1116"/>
      <c r="EA274" s="1116"/>
      <c r="EB274" s="1116"/>
      <c r="EC274" s="1116"/>
      <c r="ED274" s="1116"/>
      <c r="EE274" s="1116"/>
      <c r="EF274" s="1116"/>
      <c r="EG274" s="1116"/>
      <c r="EH274" s="1116"/>
      <c r="EI274" s="1116"/>
      <c r="EJ274" s="1116"/>
      <c r="EK274" s="1116"/>
      <c r="EL274" s="1116"/>
      <c r="EM274" s="1116"/>
      <c r="EN274" s="1116"/>
      <c r="EO274" s="1116"/>
      <c r="EP274" s="1116"/>
      <c r="EQ274" s="1116"/>
      <c r="ER274" s="1116"/>
      <c r="ES274" s="1116"/>
    </row>
    <row r="275" spans="1:149" ht="15" customHeight="1">
      <c r="A275" s="1185">
        <v>265</v>
      </c>
      <c r="B275" s="1041"/>
      <c r="C275" s="1050"/>
      <c r="D275" s="1050"/>
      <c r="E275" s="1050"/>
      <c r="F275" s="1049"/>
      <c r="G275" s="1049"/>
      <c r="H275" s="1049"/>
      <c r="I275" s="1049"/>
      <c r="J275" s="1050"/>
      <c r="K275" s="1050"/>
      <c r="L275" s="1043"/>
      <c r="M275" s="1051"/>
      <c r="N275" s="1051"/>
      <c r="O275" s="1052"/>
      <c r="P275" s="1051"/>
      <c r="Q275" s="1051"/>
      <c r="R275" s="1052"/>
      <c r="S275" s="1051"/>
      <c r="T275" s="1051"/>
      <c r="U275" s="1052"/>
      <c r="V275" s="1051"/>
      <c r="W275" s="1051"/>
      <c r="X275" s="1052"/>
      <c r="Y275" s="1053"/>
      <c r="Z275" s="1051"/>
      <c r="AA275" s="1051"/>
      <c r="AB275" s="1052"/>
      <c r="AC275" s="1051"/>
      <c r="AD275" s="1051"/>
      <c r="AE275" s="1052"/>
      <c r="AF275" s="1051"/>
      <c r="AG275" s="1051"/>
      <c r="AH275" s="1051"/>
      <c r="AI275" s="1051"/>
      <c r="AJ275" s="1052"/>
      <c r="AK275" s="1051"/>
      <c r="AL275" s="1051"/>
      <c r="AM275" s="1052"/>
      <c r="AN275" s="1051"/>
      <c r="AO275" s="1051"/>
      <c r="AP275" s="1052"/>
      <c r="AQ275" s="1051"/>
      <c r="AR275" s="1051"/>
      <c r="AS275" s="1052"/>
      <c r="AT275" s="1051"/>
      <c r="AU275" s="1051"/>
      <c r="AV275" s="1052"/>
      <c r="AW275" s="1051"/>
      <c r="AX275" s="1051"/>
      <c r="AY275" s="1053"/>
      <c r="AZ275" s="1051"/>
      <c r="BA275" s="1051"/>
      <c r="BB275" s="1053"/>
      <c r="BC275" s="1051"/>
      <c r="BD275" s="1051"/>
      <c r="BE275" s="1053"/>
      <c r="BF275" s="1051"/>
      <c r="BG275" s="1051"/>
      <c r="BH275" s="1053"/>
      <c r="BI275" s="1052"/>
      <c r="BJ275" s="1052"/>
      <c r="BK275" s="1052"/>
      <c r="BL275" s="1052"/>
      <c r="BM275" s="1052"/>
      <c r="BN275" s="1054"/>
      <c r="BO275" s="1076">
        <f t="shared" si="5"/>
        <v>0</v>
      </c>
      <c r="BP275" s="1051"/>
      <c r="BQ275" s="1052"/>
      <c r="BR275" s="1054"/>
      <c r="BS275" s="1053"/>
      <c r="BT275" s="1051"/>
      <c r="BU275" s="1051"/>
      <c r="BV275" s="1051"/>
      <c r="BW275" s="1052"/>
      <c r="BX275" s="1052"/>
      <c r="BY275" s="1052"/>
      <c r="BZ275" s="1052"/>
      <c r="CA275" s="1052"/>
      <c r="CB275" s="1053"/>
      <c r="CC275" s="1053"/>
      <c r="CD275" s="1053"/>
      <c r="CE275" s="1053"/>
      <c r="CF275" s="1053"/>
      <c r="CG275" s="1053"/>
      <c r="CH275" s="1053"/>
      <c r="CI275" s="1123"/>
      <c r="CJ275" s="1123"/>
      <c r="CK275" s="1123"/>
      <c r="CL275" s="1123"/>
      <c r="CM275" s="1123"/>
      <c r="CN275" s="1123"/>
      <c r="CO275" s="1123"/>
      <c r="CP275" s="1123"/>
      <c r="CQ275" s="1123"/>
      <c r="CR275" s="1123"/>
      <c r="CS275" s="1123"/>
      <c r="CT275" s="1123"/>
      <c r="CU275" s="1123"/>
      <c r="CV275" s="1123"/>
      <c r="CW275" s="1123"/>
      <c r="CX275" s="1123"/>
      <c r="CY275" s="1123"/>
      <c r="CZ275" s="1114"/>
      <c r="DA275" s="1114"/>
      <c r="DB275" s="1114"/>
      <c r="DC275" s="1114"/>
      <c r="DD275" s="1114"/>
      <c r="DE275" s="1114"/>
      <c r="DF275" s="1114"/>
      <c r="DG275" s="1114"/>
      <c r="DH275" s="1114"/>
      <c r="DI275" s="1114"/>
      <c r="DJ275" s="1114"/>
      <c r="DK275" s="1114"/>
      <c r="DL275" s="1114"/>
      <c r="DM275" s="1114"/>
      <c r="DN275" s="1114"/>
      <c r="DO275" s="1114"/>
      <c r="DP275" s="1114"/>
      <c r="DQ275" s="1114"/>
      <c r="DR275" s="1114"/>
      <c r="DS275" s="1114"/>
      <c r="DT275" s="1114"/>
      <c r="DU275" s="1114"/>
      <c r="DV275" s="1115"/>
      <c r="DW275" s="1116"/>
      <c r="DX275" s="1116"/>
      <c r="DY275" s="1116"/>
      <c r="DZ275" s="1116"/>
      <c r="EA275" s="1116"/>
      <c r="EB275" s="1116"/>
      <c r="EC275" s="1116"/>
      <c r="ED275" s="1116"/>
      <c r="EE275" s="1116"/>
      <c r="EF275" s="1116"/>
      <c r="EG275" s="1116"/>
      <c r="EH275" s="1116"/>
      <c r="EI275" s="1116"/>
      <c r="EJ275" s="1116"/>
      <c r="EK275" s="1116"/>
      <c r="EL275" s="1116"/>
      <c r="EM275" s="1116"/>
      <c r="EN275" s="1116"/>
      <c r="EO275" s="1116"/>
      <c r="EP275" s="1116"/>
      <c r="EQ275" s="1116"/>
      <c r="ER275" s="1116"/>
      <c r="ES275" s="1116"/>
    </row>
    <row r="276" spans="1:149" ht="15" customHeight="1">
      <c r="A276" s="1185">
        <v>266</v>
      </c>
      <c r="B276" s="1041"/>
      <c r="C276" s="1050"/>
      <c r="D276" s="1050"/>
      <c r="E276" s="1050"/>
      <c r="F276" s="1049"/>
      <c r="G276" s="1049"/>
      <c r="H276" s="1049"/>
      <c r="I276" s="1049"/>
      <c r="J276" s="1050"/>
      <c r="K276" s="1050"/>
      <c r="L276" s="1043"/>
      <c r="M276" s="1051"/>
      <c r="N276" s="1051"/>
      <c r="O276" s="1052"/>
      <c r="P276" s="1051"/>
      <c r="Q276" s="1051"/>
      <c r="R276" s="1052"/>
      <c r="S276" s="1051"/>
      <c r="T276" s="1051"/>
      <c r="U276" s="1052"/>
      <c r="V276" s="1051"/>
      <c r="W276" s="1051"/>
      <c r="X276" s="1052"/>
      <c r="Y276" s="1053"/>
      <c r="Z276" s="1051"/>
      <c r="AA276" s="1051"/>
      <c r="AB276" s="1052"/>
      <c r="AC276" s="1051"/>
      <c r="AD276" s="1051"/>
      <c r="AE276" s="1052"/>
      <c r="AF276" s="1051"/>
      <c r="AG276" s="1051"/>
      <c r="AH276" s="1051"/>
      <c r="AI276" s="1051"/>
      <c r="AJ276" s="1052"/>
      <c r="AK276" s="1051"/>
      <c r="AL276" s="1051"/>
      <c r="AM276" s="1052"/>
      <c r="AN276" s="1051"/>
      <c r="AO276" s="1051"/>
      <c r="AP276" s="1052"/>
      <c r="AQ276" s="1051"/>
      <c r="AR276" s="1051"/>
      <c r="AS276" s="1052"/>
      <c r="AT276" s="1051"/>
      <c r="AU276" s="1051"/>
      <c r="AV276" s="1052"/>
      <c r="AW276" s="1051"/>
      <c r="AX276" s="1051"/>
      <c r="AY276" s="1053"/>
      <c r="AZ276" s="1051"/>
      <c r="BA276" s="1051"/>
      <c r="BB276" s="1053"/>
      <c r="BC276" s="1051"/>
      <c r="BD276" s="1051"/>
      <c r="BE276" s="1053"/>
      <c r="BF276" s="1051"/>
      <c r="BG276" s="1051"/>
      <c r="BH276" s="1053"/>
      <c r="BI276" s="1052"/>
      <c r="BJ276" s="1052"/>
      <c r="BK276" s="1052"/>
      <c r="BL276" s="1052"/>
      <c r="BM276" s="1052"/>
      <c r="BN276" s="1054"/>
      <c r="BO276" s="1076">
        <f t="shared" si="5"/>
        <v>0</v>
      </c>
      <c r="BP276" s="1051"/>
      <c r="BQ276" s="1052"/>
      <c r="BR276" s="1054"/>
      <c r="BS276" s="1053"/>
      <c r="BT276" s="1051"/>
      <c r="BU276" s="1051"/>
      <c r="BV276" s="1051"/>
      <c r="BW276" s="1052"/>
      <c r="BX276" s="1052"/>
      <c r="BY276" s="1052"/>
      <c r="BZ276" s="1052"/>
      <c r="CA276" s="1052"/>
      <c r="CB276" s="1053"/>
      <c r="CC276" s="1053"/>
      <c r="CD276" s="1053"/>
      <c r="CE276" s="1053"/>
      <c r="CF276" s="1053"/>
      <c r="CG276" s="1053"/>
      <c r="CH276" s="1053"/>
      <c r="CI276" s="1123"/>
      <c r="CJ276" s="1123"/>
      <c r="CK276" s="1123"/>
      <c r="CL276" s="1123"/>
      <c r="CM276" s="1123"/>
      <c r="CN276" s="1123"/>
      <c r="CO276" s="1123"/>
      <c r="CP276" s="1123"/>
      <c r="CQ276" s="1123"/>
      <c r="CR276" s="1123"/>
      <c r="CS276" s="1123"/>
      <c r="CT276" s="1123"/>
      <c r="CU276" s="1123"/>
      <c r="CV276" s="1123"/>
      <c r="CW276" s="1123"/>
      <c r="CX276" s="1123"/>
      <c r="CY276" s="1123"/>
      <c r="CZ276" s="1114"/>
      <c r="DA276" s="1114"/>
      <c r="DB276" s="1114"/>
      <c r="DC276" s="1114"/>
      <c r="DD276" s="1114"/>
      <c r="DE276" s="1114"/>
      <c r="DF276" s="1114"/>
      <c r="DG276" s="1114"/>
      <c r="DH276" s="1114"/>
      <c r="DI276" s="1114"/>
      <c r="DJ276" s="1114"/>
      <c r="DK276" s="1114"/>
      <c r="DL276" s="1114"/>
      <c r="DM276" s="1114"/>
      <c r="DN276" s="1114"/>
      <c r="DO276" s="1114"/>
      <c r="DP276" s="1114"/>
      <c r="DQ276" s="1114"/>
      <c r="DR276" s="1114"/>
      <c r="DS276" s="1114"/>
      <c r="DT276" s="1114"/>
      <c r="DU276" s="1114"/>
      <c r="DV276" s="1115"/>
      <c r="DW276" s="1116"/>
      <c r="DX276" s="1116"/>
      <c r="DY276" s="1116"/>
      <c r="DZ276" s="1116"/>
      <c r="EA276" s="1116"/>
      <c r="EB276" s="1116"/>
      <c r="EC276" s="1116"/>
      <c r="ED276" s="1116"/>
      <c r="EE276" s="1116"/>
      <c r="EF276" s="1116"/>
      <c r="EG276" s="1116"/>
      <c r="EH276" s="1116"/>
      <c r="EI276" s="1116"/>
      <c r="EJ276" s="1116"/>
      <c r="EK276" s="1116"/>
      <c r="EL276" s="1116"/>
      <c r="EM276" s="1116"/>
      <c r="EN276" s="1116"/>
      <c r="EO276" s="1116"/>
      <c r="EP276" s="1116"/>
      <c r="EQ276" s="1116"/>
      <c r="ER276" s="1116"/>
      <c r="ES276" s="1116"/>
    </row>
    <row r="277" spans="1:149" ht="15" customHeight="1">
      <c r="A277" s="1185">
        <v>267</v>
      </c>
      <c r="B277" s="1041"/>
      <c r="C277" s="1050"/>
      <c r="D277" s="1050"/>
      <c r="E277" s="1050"/>
      <c r="F277" s="1049"/>
      <c r="G277" s="1049"/>
      <c r="H277" s="1049"/>
      <c r="I277" s="1049"/>
      <c r="J277" s="1050"/>
      <c r="K277" s="1050"/>
      <c r="L277" s="1043"/>
      <c r="M277" s="1051"/>
      <c r="N277" s="1051"/>
      <c r="O277" s="1052"/>
      <c r="P277" s="1051"/>
      <c r="Q277" s="1051"/>
      <c r="R277" s="1052"/>
      <c r="S277" s="1051"/>
      <c r="T277" s="1051"/>
      <c r="U277" s="1052"/>
      <c r="V277" s="1051"/>
      <c r="W277" s="1051"/>
      <c r="X277" s="1052"/>
      <c r="Y277" s="1053"/>
      <c r="Z277" s="1051"/>
      <c r="AA277" s="1051"/>
      <c r="AB277" s="1052"/>
      <c r="AC277" s="1051"/>
      <c r="AD277" s="1051"/>
      <c r="AE277" s="1052"/>
      <c r="AF277" s="1051"/>
      <c r="AG277" s="1051"/>
      <c r="AH277" s="1051"/>
      <c r="AI277" s="1051"/>
      <c r="AJ277" s="1052"/>
      <c r="AK277" s="1051"/>
      <c r="AL277" s="1051"/>
      <c r="AM277" s="1052"/>
      <c r="AN277" s="1051"/>
      <c r="AO277" s="1051"/>
      <c r="AP277" s="1052"/>
      <c r="AQ277" s="1051"/>
      <c r="AR277" s="1051"/>
      <c r="AS277" s="1052"/>
      <c r="AT277" s="1051"/>
      <c r="AU277" s="1051"/>
      <c r="AV277" s="1052"/>
      <c r="AW277" s="1051"/>
      <c r="AX277" s="1051"/>
      <c r="AY277" s="1053"/>
      <c r="AZ277" s="1051"/>
      <c r="BA277" s="1051"/>
      <c r="BB277" s="1053"/>
      <c r="BC277" s="1051"/>
      <c r="BD277" s="1051"/>
      <c r="BE277" s="1053"/>
      <c r="BF277" s="1051"/>
      <c r="BG277" s="1051"/>
      <c r="BH277" s="1053"/>
      <c r="BI277" s="1052"/>
      <c r="BJ277" s="1052"/>
      <c r="BK277" s="1052"/>
      <c r="BL277" s="1052"/>
      <c r="BM277" s="1052"/>
      <c r="BN277" s="1054"/>
      <c r="BO277" s="1076">
        <f t="shared" si="5"/>
        <v>0</v>
      </c>
      <c r="BP277" s="1051"/>
      <c r="BQ277" s="1052"/>
      <c r="BR277" s="1054"/>
      <c r="BS277" s="1053"/>
      <c r="BT277" s="1051"/>
      <c r="BU277" s="1051"/>
      <c r="BV277" s="1051"/>
      <c r="BW277" s="1052"/>
      <c r="BX277" s="1052"/>
      <c r="BY277" s="1052"/>
      <c r="BZ277" s="1052"/>
      <c r="CA277" s="1052"/>
      <c r="CB277" s="1053"/>
      <c r="CC277" s="1053"/>
      <c r="CD277" s="1053"/>
      <c r="CE277" s="1053"/>
      <c r="CF277" s="1053"/>
      <c r="CG277" s="1053"/>
      <c r="CH277" s="1053"/>
      <c r="CI277" s="1123"/>
      <c r="CJ277" s="1123"/>
      <c r="CK277" s="1123"/>
      <c r="CL277" s="1123"/>
      <c r="CM277" s="1123"/>
      <c r="CN277" s="1123"/>
      <c r="CO277" s="1123"/>
      <c r="CP277" s="1123"/>
      <c r="CQ277" s="1123"/>
      <c r="CR277" s="1123"/>
      <c r="CS277" s="1123"/>
      <c r="CT277" s="1123"/>
      <c r="CU277" s="1123"/>
      <c r="CV277" s="1123"/>
      <c r="CW277" s="1123"/>
      <c r="CX277" s="1123"/>
      <c r="CY277" s="1123"/>
      <c r="CZ277" s="1114"/>
      <c r="DA277" s="1114"/>
      <c r="DB277" s="1114"/>
      <c r="DC277" s="1114"/>
      <c r="DD277" s="1114"/>
      <c r="DE277" s="1114"/>
      <c r="DF277" s="1114"/>
      <c r="DG277" s="1114"/>
      <c r="DH277" s="1114"/>
      <c r="DI277" s="1114"/>
      <c r="DJ277" s="1114"/>
      <c r="DK277" s="1114"/>
      <c r="DL277" s="1114"/>
      <c r="DM277" s="1114"/>
      <c r="DN277" s="1114"/>
      <c r="DO277" s="1114"/>
      <c r="DP277" s="1114"/>
      <c r="DQ277" s="1114"/>
      <c r="DR277" s="1114"/>
      <c r="DS277" s="1114"/>
      <c r="DT277" s="1114"/>
      <c r="DU277" s="1114"/>
      <c r="DV277" s="1115"/>
      <c r="DW277" s="1116"/>
      <c r="DX277" s="1116"/>
      <c r="DY277" s="1116"/>
      <c r="DZ277" s="1116"/>
      <c r="EA277" s="1116"/>
      <c r="EB277" s="1116"/>
      <c r="EC277" s="1116"/>
      <c r="ED277" s="1116"/>
      <c r="EE277" s="1116"/>
      <c r="EF277" s="1116"/>
      <c r="EG277" s="1116"/>
      <c r="EH277" s="1116"/>
      <c r="EI277" s="1116"/>
      <c r="EJ277" s="1116"/>
      <c r="EK277" s="1116"/>
      <c r="EL277" s="1116"/>
      <c r="EM277" s="1116"/>
      <c r="EN277" s="1116"/>
      <c r="EO277" s="1116"/>
      <c r="EP277" s="1116"/>
      <c r="EQ277" s="1116"/>
      <c r="ER277" s="1116"/>
      <c r="ES277" s="1116"/>
    </row>
    <row r="278" spans="1:149" ht="15" customHeight="1">
      <c r="A278" s="1185">
        <v>268</v>
      </c>
      <c r="B278" s="1041"/>
      <c r="C278" s="1050"/>
      <c r="D278" s="1050"/>
      <c r="E278" s="1050"/>
      <c r="F278" s="1049"/>
      <c r="G278" s="1049"/>
      <c r="H278" s="1049"/>
      <c r="I278" s="1049"/>
      <c r="J278" s="1050"/>
      <c r="K278" s="1050"/>
      <c r="L278" s="1043"/>
      <c r="M278" s="1051"/>
      <c r="N278" s="1051"/>
      <c r="O278" s="1052"/>
      <c r="P278" s="1051"/>
      <c r="Q278" s="1051"/>
      <c r="R278" s="1052"/>
      <c r="S278" s="1051"/>
      <c r="T278" s="1051"/>
      <c r="U278" s="1052"/>
      <c r="V278" s="1051"/>
      <c r="W278" s="1051"/>
      <c r="X278" s="1052"/>
      <c r="Y278" s="1053"/>
      <c r="Z278" s="1051"/>
      <c r="AA278" s="1051"/>
      <c r="AB278" s="1052"/>
      <c r="AC278" s="1051"/>
      <c r="AD278" s="1051"/>
      <c r="AE278" s="1052"/>
      <c r="AF278" s="1051"/>
      <c r="AG278" s="1051"/>
      <c r="AH278" s="1051"/>
      <c r="AI278" s="1051"/>
      <c r="AJ278" s="1052"/>
      <c r="AK278" s="1051"/>
      <c r="AL278" s="1051"/>
      <c r="AM278" s="1052"/>
      <c r="AN278" s="1051"/>
      <c r="AO278" s="1051"/>
      <c r="AP278" s="1052"/>
      <c r="AQ278" s="1051"/>
      <c r="AR278" s="1051"/>
      <c r="AS278" s="1052"/>
      <c r="AT278" s="1051"/>
      <c r="AU278" s="1051"/>
      <c r="AV278" s="1052"/>
      <c r="AW278" s="1051"/>
      <c r="AX278" s="1051"/>
      <c r="AY278" s="1053"/>
      <c r="AZ278" s="1051"/>
      <c r="BA278" s="1051"/>
      <c r="BB278" s="1053"/>
      <c r="BC278" s="1051"/>
      <c r="BD278" s="1051"/>
      <c r="BE278" s="1053"/>
      <c r="BF278" s="1051"/>
      <c r="BG278" s="1051"/>
      <c r="BH278" s="1053"/>
      <c r="BI278" s="1052"/>
      <c r="BJ278" s="1052"/>
      <c r="BK278" s="1052"/>
      <c r="BL278" s="1052"/>
      <c r="BM278" s="1052"/>
      <c r="BN278" s="1054"/>
      <c r="BO278" s="1076">
        <f t="shared" si="5"/>
        <v>0</v>
      </c>
      <c r="BP278" s="1051"/>
      <c r="BQ278" s="1052"/>
      <c r="BR278" s="1054"/>
      <c r="BS278" s="1053"/>
      <c r="BT278" s="1051"/>
      <c r="BU278" s="1051"/>
      <c r="BV278" s="1051"/>
      <c r="BW278" s="1052"/>
      <c r="BX278" s="1052"/>
      <c r="BY278" s="1052"/>
      <c r="BZ278" s="1052"/>
      <c r="CA278" s="1052"/>
      <c r="CB278" s="1053"/>
      <c r="CC278" s="1053"/>
      <c r="CD278" s="1053"/>
      <c r="CE278" s="1053"/>
      <c r="CF278" s="1053"/>
      <c r="CG278" s="1053"/>
      <c r="CH278" s="1053"/>
      <c r="CI278" s="1123"/>
      <c r="CJ278" s="1123"/>
      <c r="CK278" s="1123"/>
      <c r="CL278" s="1123"/>
      <c r="CM278" s="1123"/>
      <c r="CN278" s="1123"/>
      <c r="CO278" s="1123"/>
      <c r="CP278" s="1123"/>
      <c r="CQ278" s="1123"/>
      <c r="CR278" s="1123"/>
      <c r="CS278" s="1123"/>
      <c r="CT278" s="1123"/>
      <c r="CU278" s="1123"/>
      <c r="CV278" s="1123"/>
      <c r="CW278" s="1123"/>
      <c r="CX278" s="1123"/>
      <c r="CY278" s="1123"/>
      <c r="CZ278" s="1114"/>
      <c r="DA278" s="1114"/>
      <c r="DB278" s="1114"/>
      <c r="DC278" s="1114"/>
      <c r="DD278" s="1114"/>
      <c r="DE278" s="1114"/>
      <c r="DF278" s="1114"/>
      <c r="DG278" s="1114"/>
      <c r="DH278" s="1114"/>
      <c r="DI278" s="1114"/>
      <c r="DJ278" s="1114"/>
      <c r="DK278" s="1114"/>
      <c r="DL278" s="1114"/>
      <c r="DM278" s="1114"/>
      <c r="DN278" s="1114"/>
      <c r="DO278" s="1114"/>
      <c r="DP278" s="1114"/>
      <c r="DQ278" s="1114"/>
      <c r="DR278" s="1114"/>
      <c r="DS278" s="1114"/>
      <c r="DT278" s="1114"/>
      <c r="DU278" s="1114"/>
      <c r="DV278" s="1115"/>
      <c r="DW278" s="1116"/>
      <c r="DX278" s="1116"/>
      <c r="DY278" s="1116"/>
      <c r="DZ278" s="1116"/>
      <c r="EA278" s="1116"/>
      <c r="EB278" s="1116"/>
      <c r="EC278" s="1116"/>
      <c r="ED278" s="1116"/>
      <c r="EE278" s="1116"/>
      <c r="EF278" s="1116"/>
      <c r="EG278" s="1116"/>
      <c r="EH278" s="1116"/>
      <c r="EI278" s="1116"/>
      <c r="EJ278" s="1116"/>
      <c r="EK278" s="1116"/>
      <c r="EL278" s="1116"/>
      <c r="EM278" s="1116"/>
      <c r="EN278" s="1116"/>
      <c r="EO278" s="1116"/>
      <c r="EP278" s="1116"/>
      <c r="EQ278" s="1116"/>
      <c r="ER278" s="1116"/>
      <c r="ES278" s="1116"/>
    </row>
    <row r="279" spans="1:149" ht="15" customHeight="1">
      <c r="A279" s="1185">
        <v>269</v>
      </c>
      <c r="B279" s="1041"/>
      <c r="C279" s="1050"/>
      <c r="D279" s="1050"/>
      <c r="E279" s="1050"/>
      <c r="F279" s="1049"/>
      <c r="G279" s="1049"/>
      <c r="H279" s="1049"/>
      <c r="I279" s="1049"/>
      <c r="J279" s="1050"/>
      <c r="K279" s="1050"/>
      <c r="L279" s="1043"/>
      <c r="M279" s="1051"/>
      <c r="N279" s="1051"/>
      <c r="O279" s="1052"/>
      <c r="P279" s="1051"/>
      <c r="Q279" s="1051"/>
      <c r="R279" s="1052"/>
      <c r="S279" s="1051"/>
      <c r="T279" s="1051"/>
      <c r="U279" s="1052"/>
      <c r="V279" s="1051"/>
      <c r="W279" s="1051"/>
      <c r="X279" s="1052"/>
      <c r="Y279" s="1053"/>
      <c r="Z279" s="1051"/>
      <c r="AA279" s="1051"/>
      <c r="AB279" s="1052"/>
      <c r="AC279" s="1051"/>
      <c r="AD279" s="1051"/>
      <c r="AE279" s="1052"/>
      <c r="AF279" s="1051"/>
      <c r="AG279" s="1051"/>
      <c r="AH279" s="1051"/>
      <c r="AI279" s="1051"/>
      <c r="AJ279" s="1052"/>
      <c r="AK279" s="1051"/>
      <c r="AL279" s="1051"/>
      <c r="AM279" s="1052"/>
      <c r="AN279" s="1051"/>
      <c r="AO279" s="1051"/>
      <c r="AP279" s="1052"/>
      <c r="AQ279" s="1051"/>
      <c r="AR279" s="1051"/>
      <c r="AS279" s="1052"/>
      <c r="AT279" s="1051"/>
      <c r="AU279" s="1051"/>
      <c r="AV279" s="1052"/>
      <c r="AW279" s="1051"/>
      <c r="AX279" s="1051"/>
      <c r="AY279" s="1053"/>
      <c r="AZ279" s="1051"/>
      <c r="BA279" s="1051"/>
      <c r="BB279" s="1053"/>
      <c r="BC279" s="1051"/>
      <c r="BD279" s="1051"/>
      <c r="BE279" s="1053"/>
      <c r="BF279" s="1051"/>
      <c r="BG279" s="1051"/>
      <c r="BH279" s="1053"/>
      <c r="BI279" s="1052"/>
      <c r="BJ279" s="1052"/>
      <c r="BK279" s="1052"/>
      <c r="BL279" s="1052"/>
      <c r="BM279" s="1052"/>
      <c r="BN279" s="1054"/>
      <c r="BO279" s="1076">
        <f t="shared" si="5"/>
        <v>0</v>
      </c>
      <c r="BP279" s="1051"/>
      <c r="BQ279" s="1052"/>
      <c r="BR279" s="1054"/>
      <c r="BS279" s="1053"/>
      <c r="BT279" s="1051"/>
      <c r="BU279" s="1051"/>
      <c r="BV279" s="1051"/>
      <c r="BW279" s="1052"/>
      <c r="BX279" s="1052"/>
      <c r="BY279" s="1052"/>
      <c r="BZ279" s="1052"/>
      <c r="CA279" s="1052"/>
      <c r="CB279" s="1053"/>
      <c r="CC279" s="1053"/>
      <c r="CD279" s="1053"/>
      <c r="CE279" s="1053"/>
      <c r="CF279" s="1053"/>
      <c r="CG279" s="1053"/>
      <c r="CH279" s="1053"/>
      <c r="CI279" s="1123"/>
      <c r="CJ279" s="1123"/>
      <c r="CK279" s="1123"/>
      <c r="CL279" s="1123"/>
      <c r="CM279" s="1123"/>
      <c r="CN279" s="1123"/>
      <c r="CO279" s="1123"/>
      <c r="CP279" s="1123"/>
      <c r="CQ279" s="1123"/>
      <c r="CR279" s="1123"/>
      <c r="CS279" s="1123"/>
      <c r="CT279" s="1123"/>
      <c r="CU279" s="1123"/>
      <c r="CV279" s="1123"/>
      <c r="CW279" s="1123"/>
      <c r="CX279" s="1123"/>
      <c r="CY279" s="1123"/>
      <c r="CZ279" s="1114"/>
      <c r="DA279" s="1114"/>
      <c r="DB279" s="1114"/>
      <c r="DC279" s="1114"/>
      <c r="DD279" s="1114"/>
      <c r="DE279" s="1114"/>
      <c r="DF279" s="1114"/>
      <c r="DG279" s="1114"/>
      <c r="DH279" s="1114"/>
      <c r="DI279" s="1114"/>
      <c r="DJ279" s="1114"/>
      <c r="DK279" s="1114"/>
      <c r="DL279" s="1114"/>
      <c r="DM279" s="1114"/>
      <c r="DN279" s="1114"/>
      <c r="DO279" s="1114"/>
      <c r="DP279" s="1114"/>
      <c r="DQ279" s="1114"/>
      <c r="DR279" s="1114"/>
      <c r="DS279" s="1114"/>
      <c r="DT279" s="1114"/>
      <c r="DU279" s="1114"/>
      <c r="DV279" s="1115"/>
      <c r="DW279" s="1116"/>
      <c r="DX279" s="1116"/>
      <c r="DY279" s="1116"/>
      <c r="DZ279" s="1116"/>
      <c r="EA279" s="1116"/>
      <c r="EB279" s="1116"/>
      <c r="EC279" s="1116"/>
      <c r="ED279" s="1116"/>
      <c r="EE279" s="1116"/>
      <c r="EF279" s="1116"/>
      <c r="EG279" s="1116"/>
      <c r="EH279" s="1116"/>
      <c r="EI279" s="1116"/>
      <c r="EJ279" s="1116"/>
      <c r="EK279" s="1116"/>
      <c r="EL279" s="1116"/>
      <c r="EM279" s="1116"/>
      <c r="EN279" s="1116"/>
      <c r="EO279" s="1116"/>
      <c r="EP279" s="1116"/>
      <c r="EQ279" s="1116"/>
      <c r="ER279" s="1116"/>
      <c r="ES279" s="1116"/>
    </row>
    <row r="280" spans="1:149" ht="15" customHeight="1">
      <c r="A280" s="1185">
        <v>270</v>
      </c>
      <c r="B280" s="1041"/>
      <c r="C280" s="1050"/>
      <c r="D280" s="1050"/>
      <c r="E280" s="1050"/>
      <c r="F280" s="1049"/>
      <c r="G280" s="1049"/>
      <c r="H280" s="1049"/>
      <c r="I280" s="1049"/>
      <c r="J280" s="1050"/>
      <c r="K280" s="1050"/>
      <c r="L280" s="1043"/>
      <c r="M280" s="1051"/>
      <c r="N280" s="1051"/>
      <c r="O280" s="1052"/>
      <c r="P280" s="1051"/>
      <c r="Q280" s="1051"/>
      <c r="R280" s="1052"/>
      <c r="S280" s="1051"/>
      <c r="T280" s="1051"/>
      <c r="U280" s="1052"/>
      <c r="V280" s="1051"/>
      <c r="W280" s="1051"/>
      <c r="X280" s="1052"/>
      <c r="Y280" s="1053"/>
      <c r="Z280" s="1051"/>
      <c r="AA280" s="1051"/>
      <c r="AB280" s="1052"/>
      <c r="AC280" s="1051"/>
      <c r="AD280" s="1051"/>
      <c r="AE280" s="1052"/>
      <c r="AF280" s="1051"/>
      <c r="AG280" s="1051"/>
      <c r="AH280" s="1051"/>
      <c r="AI280" s="1051"/>
      <c r="AJ280" s="1052"/>
      <c r="AK280" s="1051"/>
      <c r="AL280" s="1051"/>
      <c r="AM280" s="1052"/>
      <c r="AN280" s="1051"/>
      <c r="AO280" s="1051"/>
      <c r="AP280" s="1052"/>
      <c r="AQ280" s="1051"/>
      <c r="AR280" s="1051"/>
      <c r="AS280" s="1052"/>
      <c r="AT280" s="1051"/>
      <c r="AU280" s="1051"/>
      <c r="AV280" s="1052"/>
      <c r="AW280" s="1051"/>
      <c r="AX280" s="1051"/>
      <c r="AY280" s="1053"/>
      <c r="AZ280" s="1051"/>
      <c r="BA280" s="1051"/>
      <c r="BB280" s="1053"/>
      <c r="BC280" s="1051"/>
      <c r="BD280" s="1051"/>
      <c r="BE280" s="1053"/>
      <c r="BF280" s="1051"/>
      <c r="BG280" s="1051"/>
      <c r="BH280" s="1053"/>
      <c r="BI280" s="1052"/>
      <c r="BJ280" s="1052"/>
      <c r="BK280" s="1052"/>
      <c r="BL280" s="1052"/>
      <c r="BM280" s="1052"/>
      <c r="BN280" s="1054"/>
      <c r="BO280" s="1076">
        <f t="shared" si="5"/>
        <v>0</v>
      </c>
      <c r="BP280" s="1051"/>
      <c r="BQ280" s="1052"/>
      <c r="BR280" s="1054"/>
      <c r="BS280" s="1053"/>
      <c r="BT280" s="1051"/>
      <c r="BU280" s="1051"/>
      <c r="BV280" s="1051"/>
      <c r="BW280" s="1052"/>
      <c r="BX280" s="1052"/>
      <c r="BY280" s="1052"/>
      <c r="BZ280" s="1052"/>
      <c r="CA280" s="1052"/>
      <c r="CB280" s="1053"/>
      <c r="CC280" s="1053"/>
      <c r="CD280" s="1053"/>
      <c r="CE280" s="1053"/>
      <c r="CF280" s="1053"/>
      <c r="CG280" s="1053"/>
      <c r="CH280" s="1053"/>
      <c r="CI280" s="1123"/>
      <c r="CJ280" s="1123"/>
      <c r="CK280" s="1123"/>
      <c r="CL280" s="1123"/>
      <c r="CM280" s="1123"/>
      <c r="CN280" s="1123"/>
      <c r="CO280" s="1123"/>
      <c r="CP280" s="1123"/>
      <c r="CQ280" s="1123"/>
      <c r="CR280" s="1123"/>
      <c r="CS280" s="1123"/>
      <c r="CT280" s="1123"/>
      <c r="CU280" s="1123"/>
      <c r="CV280" s="1123"/>
      <c r="CW280" s="1123"/>
      <c r="CX280" s="1123"/>
      <c r="CY280" s="1123"/>
      <c r="CZ280" s="1114"/>
      <c r="DA280" s="1114"/>
      <c r="DB280" s="1114"/>
      <c r="DC280" s="1114"/>
      <c r="DD280" s="1114"/>
      <c r="DE280" s="1114"/>
      <c r="DF280" s="1114"/>
      <c r="DG280" s="1114"/>
      <c r="DH280" s="1114"/>
      <c r="DI280" s="1114"/>
      <c r="DJ280" s="1114"/>
      <c r="DK280" s="1114"/>
      <c r="DL280" s="1114"/>
      <c r="DM280" s="1114"/>
      <c r="DN280" s="1114"/>
      <c r="DO280" s="1114"/>
      <c r="DP280" s="1114"/>
      <c r="DQ280" s="1114"/>
      <c r="DR280" s="1114"/>
      <c r="DS280" s="1114"/>
      <c r="DT280" s="1114"/>
      <c r="DU280" s="1114"/>
      <c r="DV280" s="1115"/>
      <c r="DW280" s="1116"/>
      <c r="DX280" s="1116"/>
      <c r="DY280" s="1116"/>
      <c r="DZ280" s="1116"/>
      <c r="EA280" s="1116"/>
      <c r="EB280" s="1116"/>
      <c r="EC280" s="1116"/>
      <c r="ED280" s="1116"/>
      <c r="EE280" s="1116"/>
      <c r="EF280" s="1116"/>
      <c r="EG280" s="1116"/>
      <c r="EH280" s="1116"/>
      <c r="EI280" s="1116"/>
      <c r="EJ280" s="1116"/>
      <c r="EK280" s="1116"/>
      <c r="EL280" s="1116"/>
      <c r="EM280" s="1116"/>
      <c r="EN280" s="1116"/>
      <c r="EO280" s="1116"/>
      <c r="EP280" s="1116"/>
      <c r="EQ280" s="1116"/>
      <c r="ER280" s="1116"/>
      <c r="ES280" s="1116"/>
    </row>
    <row r="281" spans="1:149" ht="15" customHeight="1">
      <c r="A281" s="1185">
        <v>271</v>
      </c>
      <c r="B281" s="1041"/>
      <c r="C281" s="1050"/>
      <c r="D281" s="1050"/>
      <c r="E281" s="1050"/>
      <c r="F281" s="1049"/>
      <c r="G281" s="1049"/>
      <c r="H281" s="1049"/>
      <c r="I281" s="1049"/>
      <c r="J281" s="1050"/>
      <c r="K281" s="1050"/>
      <c r="L281" s="1043"/>
      <c r="M281" s="1051"/>
      <c r="N281" s="1051"/>
      <c r="O281" s="1052"/>
      <c r="P281" s="1051"/>
      <c r="Q281" s="1051"/>
      <c r="R281" s="1052"/>
      <c r="S281" s="1051"/>
      <c r="T281" s="1051"/>
      <c r="U281" s="1052"/>
      <c r="V281" s="1051"/>
      <c r="W281" s="1051"/>
      <c r="X281" s="1052"/>
      <c r="Y281" s="1053"/>
      <c r="Z281" s="1051"/>
      <c r="AA281" s="1051"/>
      <c r="AB281" s="1052"/>
      <c r="AC281" s="1051"/>
      <c r="AD281" s="1051"/>
      <c r="AE281" s="1052"/>
      <c r="AF281" s="1051"/>
      <c r="AG281" s="1051"/>
      <c r="AH281" s="1051"/>
      <c r="AI281" s="1051"/>
      <c r="AJ281" s="1052"/>
      <c r="AK281" s="1051"/>
      <c r="AL281" s="1051"/>
      <c r="AM281" s="1052"/>
      <c r="AN281" s="1051"/>
      <c r="AO281" s="1051"/>
      <c r="AP281" s="1052"/>
      <c r="AQ281" s="1051"/>
      <c r="AR281" s="1051"/>
      <c r="AS281" s="1052"/>
      <c r="AT281" s="1051"/>
      <c r="AU281" s="1051"/>
      <c r="AV281" s="1052"/>
      <c r="AW281" s="1051"/>
      <c r="AX281" s="1051"/>
      <c r="AY281" s="1053"/>
      <c r="AZ281" s="1051"/>
      <c r="BA281" s="1051"/>
      <c r="BB281" s="1053"/>
      <c r="BC281" s="1051"/>
      <c r="BD281" s="1051"/>
      <c r="BE281" s="1053"/>
      <c r="BF281" s="1051"/>
      <c r="BG281" s="1051"/>
      <c r="BH281" s="1053"/>
      <c r="BI281" s="1052"/>
      <c r="BJ281" s="1052"/>
      <c r="BK281" s="1052"/>
      <c r="BL281" s="1052"/>
      <c r="BM281" s="1052"/>
      <c r="BN281" s="1054"/>
      <c r="BO281" s="1076">
        <f t="shared" si="5"/>
        <v>0</v>
      </c>
      <c r="BP281" s="1051"/>
      <c r="BQ281" s="1052"/>
      <c r="BR281" s="1054"/>
      <c r="BS281" s="1053"/>
      <c r="BT281" s="1051"/>
      <c r="BU281" s="1051"/>
      <c r="BV281" s="1051"/>
      <c r="BW281" s="1052"/>
      <c r="BX281" s="1052"/>
      <c r="BY281" s="1052"/>
      <c r="BZ281" s="1052"/>
      <c r="CA281" s="1052"/>
      <c r="CB281" s="1053"/>
      <c r="CC281" s="1053"/>
      <c r="CD281" s="1053"/>
      <c r="CE281" s="1053"/>
      <c r="CF281" s="1053"/>
      <c r="CG281" s="1053"/>
      <c r="CH281" s="1053"/>
      <c r="CI281" s="1123"/>
      <c r="CJ281" s="1123"/>
      <c r="CK281" s="1123"/>
      <c r="CL281" s="1123"/>
      <c r="CM281" s="1123"/>
      <c r="CN281" s="1123"/>
      <c r="CO281" s="1123"/>
      <c r="CP281" s="1123"/>
      <c r="CQ281" s="1123"/>
      <c r="CR281" s="1123"/>
      <c r="CS281" s="1123"/>
      <c r="CT281" s="1123"/>
      <c r="CU281" s="1123"/>
      <c r="CV281" s="1123"/>
      <c r="CW281" s="1123"/>
      <c r="CX281" s="1123"/>
      <c r="CY281" s="1123"/>
      <c r="CZ281" s="1114"/>
      <c r="DA281" s="1114"/>
      <c r="DB281" s="1114"/>
      <c r="DC281" s="1114"/>
      <c r="DD281" s="1114"/>
      <c r="DE281" s="1114"/>
      <c r="DF281" s="1114"/>
      <c r="DG281" s="1114"/>
      <c r="DH281" s="1114"/>
      <c r="DI281" s="1114"/>
      <c r="DJ281" s="1114"/>
      <c r="DK281" s="1114"/>
      <c r="DL281" s="1114"/>
      <c r="DM281" s="1114"/>
      <c r="DN281" s="1114"/>
      <c r="DO281" s="1114"/>
      <c r="DP281" s="1114"/>
      <c r="DQ281" s="1114"/>
      <c r="DR281" s="1114"/>
      <c r="DS281" s="1114"/>
      <c r="DT281" s="1114"/>
      <c r="DU281" s="1114"/>
      <c r="DV281" s="1115"/>
      <c r="DW281" s="1116"/>
      <c r="DX281" s="1116"/>
      <c r="DY281" s="1116"/>
      <c r="DZ281" s="1116"/>
      <c r="EA281" s="1116"/>
      <c r="EB281" s="1116"/>
      <c r="EC281" s="1116"/>
      <c r="ED281" s="1116"/>
      <c r="EE281" s="1116"/>
      <c r="EF281" s="1116"/>
      <c r="EG281" s="1116"/>
      <c r="EH281" s="1116"/>
      <c r="EI281" s="1116"/>
      <c r="EJ281" s="1116"/>
      <c r="EK281" s="1116"/>
      <c r="EL281" s="1116"/>
      <c r="EM281" s="1116"/>
      <c r="EN281" s="1116"/>
      <c r="EO281" s="1116"/>
      <c r="EP281" s="1116"/>
      <c r="EQ281" s="1116"/>
      <c r="ER281" s="1116"/>
      <c r="ES281" s="1116"/>
    </row>
    <row r="282" spans="1:149" ht="15" customHeight="1">
      <c r="A282" s="1185">
        <v>272</v>
      </c>
      <c r="B282" s="1041"/>
      <c r="C282" s="1050"/>
      <c r="D282" s="1050"/>
      <c r="E282" s="1050"/>
      <c r="F282" s="1049"/>
      <c r="G282" s="1049"/>
      <c r="H282" s="1049"/>
      <c r="I282" s="1049"/>
      <c r="J282" s="1050"/>
      <c r="K282" s="1050"/>
      <c r="L282" s="1043"/>
      <c r="M282" s="1051"/>
      <c r="N282" s="1051"/>
      <c r="O282" s="1052"/>
      <c r="P282" s="1051"/>
      <c r="Q282" s="1051"/>
      <c r="R282" s="1052"/>
      <c r="S282" s="1051"/>
      <c r="T282" s="1051"/>
      <c r="U282" s="1052"/>
      <c r="V282" s="1051"/>
      <c r="W282" s="1051"/>
      <c r="X282" s="1052"/>
      <c r="Y282" s="1053"/>
      <c r="Z282" s="1051"/>
      <c r="AA282" s="1051"/>
      <c r="AB282" s="1052"/>
      <c r="AC282" s="1051"/>
      <c r="AD282" s="1051"/>
      <c r="AE282" s="1052"/>
      <c r="AF282" s="1051"/>
      <c r="AG282" s="1051"/>
      <c r="AH282" s="1051"/>
      <c r="AI282" s="1051"/>
      <c r="AJ282" s="1052"/>
      <c r="AK282" s="1051"/>
      <c r="AL282" s="1051"/>
      <c r="AM282" s="1052"/>
      <c r="AN282" s="1051"/>
      <c r="AO282" s="1051"/>
      <c r="AP282" s="1052"/>
      <c r="AQ282" s="1051"/>
      <c r="AR282" s="1051"/>
      <c r="AS282" s="1052"/>
      <c r="AT282" s="1051"/>
      <c r="AU282" s="1051"/>
      <c r="AV282" s="1052"/>
      <c r="AW282" s="1051"/>
      <c r="AX282" s="1051"/>
      <c r="AY282" s="1053"/>
      <c r="AZ282" s="1051"/>
      <c r="BA282" s="1051"/>
      <c r="BB282" s="1053"/>
      <c r="BC282" s="1051"/>
      <c r="BD282" s="1051"/>
      <c r="BE282" s="1053"/>
      <c r="BF282" s="1051"/>
      <c r="BG282" s="1051"/>
      <c r="BH282" s="1053"/>
      <c r="BI282" s="1052"/>
      <c r="BJ282" s="1052"/>
      <c r="BK282" s="1052"/>
      <c r="BL282" s="1052"/>
      <c r="BM282" s="1052"/>
      <c r="BN282" s="1054"/>
      <c r="BO282" s="1076">
        <f t="shared" si="5"/>
        <v>0</v>
      </c>
      <c r="BP282" s="1051"/>
      <c r="BQ282" s="1052"/>
      <c r="BR282" s="1054"/>
      <c r="BS282" s="1053"/>
      <c r="BT282" s="1051"/>
      <c r="BU282" s="1051"/>
      <c r="BV282" s="1051"/>
      <c r="BW282" s="1052"/>
      <c r="BX282" s="1052"/>
      <c r="BY282" s="1052"/>
      <c r="BZ282" s="1052"/>
      <c r="CA282" s="1052"/>
      <c r="CB282" s="1053"/>
      <c r="CC282" s="1053"/>
      <c r="CD282" s="1053"/>
      <c r="CE282" s="1053"/>
      <c r="CF282" s="1053"/>
      <c r="CG282" s="1053"/>
      <c r="CH282" s="1053"/>
      <c r="CI282" s="1123"/>
      <c r="CJ282" s="1123"/>
      <c r="CK282" s="1123"/>
      <c r="CL282" s="1123"/>
      <c r="CM282" s="1123"/>
      <c r="CN282" s="1123"/>
      <c r="CO282" s="1123"/>
      <c r="CP282" s="1123"/>
      <c r="CQ282" s="1123"/>
      <c r="CR282" s="1123"/>
      <c r="CS282" s="1123"/>
      <c r="CT282" s="1123"/>
      <c r="CU282" s="1123"/>
      <c r="CV282" s="1123"/>
      <c r="CW282" s="1123"/>
      <c r="CX282" s="1123"/>
      <c r="CY282" s="1123"/>
      <c r="CZ282" s="1114"/>
      <c r="DA282" s="1114"/>
      <c r="DB282" s="1114"/>
      <c r="DC282" s="1114"/>
      <c r="DD282" s="1114"/>
      <c r="DE282" s="1114"/>
      <c r="DF282" s="1114"/>
      <c r="DG282" s="1114"/>
      <c r="DH282" s="1114"/>
      <c r="DI282" s="1114"/>
      <c r="DJ282" s="1114"/>
      <c r="DK282" s="1114"/>
      <c r="DL282" s="1114"/>
      <c r="DM282" s="1114"/>
      <c r="DN282" s="1114"/>
      <c r="DO282" s="1114"/>
      <c r="DP282" s="1114"/>
      <c r="DQ282" s="1114"/>
      <c r="DR282" s="1114"/>
      <c r="DS282" s="1114"/>
      <c r="DT282" s="1114"/>
      <c r="DU282" s="1114"/>
      <c r="DV282" s="1115"/>
      <c r="DW282" s="1116"/>
      <c r="DX282" s="1116"/>
      <c r="DY282" s="1116"/>
      <c r="DZ282" s="1116"/>
      <c r="EA282" s="1116"/>
      <c r="EB282" s="1116"/>
      <c r="EC282" s="1116"/>
      <c r="ED282" s="1116"/>
      <c r="EE282" s="1116"/>
      <c r="EF282" s="1116"/>
      <c r="EG282" s="1116"/>
      <c r="EH282" s="1116"/>
      <c r="EI282" s="1116"/>
      <c r="EJ282" s="1116"/>
      <c r="EK282" s="1116"/>
      <c r="EL282" s="1116"/>
      <c r="EM282" s="1116"/>
      <c r="EN282" s="1116"/>
      <c r="EO282" s="1116"/>
      <c r="EP282" s="1116"/>
      <c r="EQ282" s="1116"/>
      <c r="ER282" s="1116"/>
      <c r="ES282" s="1116"/>
    </row>
    <row r="283" spans="1:149" ht="15" customHeight="1">
      <c r="A283" s="1185">
        <v>273</v>
      </c>
      <c r="B283" s="1041"/>
      <c r="C283" s="1050"/>
      <c r="D283" s="1050"/>
      <c r="E283" s="1050"/>
      <c r="F283" s="1049"/>
      <c r="G283" s="1049"/>
      <c r="H283" s="1049"/>
      <c r="I283" s="1049"/>
      <c r="J283" s="1050"/>
      <c r="K283" s="1050"/>
      <c r="L283" s="1043"/>
      <c r="M283" s="1051"/>
      <c r="N283" s="1051"/>
      <c r="O283" s="1052"/>
      <c r="P283" s="1051"/>
      <c r="Q283" s="1051"/>
      <c r="R283" s="1052"/>
      <c r="S283" s="1051"/>
      <c r="T283" s="1051"/>
      <c r="U283" s="1052"/>
      <c r="V283" s="1051"/>
      <c r="W283" s="1051"/>
      <c r="X283" s="1052"/>
      <c r="Y283" s="1053"/>
      <c r="Z283" s="1051"/>
      <c r="AA283" s="1051"/>
      <c r="AB283" s="1052"/>
      <c r="AC283" s="1051"/>
      <c r="AD283" s="1051"/>
      <c r="AE283" s="1052"/>
      <c r="AF283" s="1051"/>
      <c r="AG283" s="1051"/>
      <c r="AH283" s="1051"/>
      <c r="AI283" s="1051"/>
      <c r="AJ283" s="1052"/>
      <c r="AK283" s="1051"/>
      <c r="AL283" s="1051"/>
      <c r="AM283" s="1052"/>
      <c r="AN283" s="1051"/>
      <c r="AO283" s="1051"/>
      <c r="AP283" s="1052"/>
      <c r="AQ283" s="1051"/>
      <c r="AR283" s="1051"/>
      <c r="AS283" s="1052"/>
      <c r="AT283" s="1051"/>
      <c r="AU283" s="1051"/>
      <c r="AV283" s="1052"/>
      <c r="AW283" s="1051"/>
      <c r="AX283" s="1051"/>
      <c r="AY283" s="1053"/>
      <c r="AZ283" s="1051"/>
      <c r="BA283" s="1051"/>
      <c r="BB283" s="1053"/>
      <c r="BC283" s="1051"/>
      <c r="BD283" s="1051"/>
      <c r="BE283" s="1053"/>
      <c r="BF283" s="1051"/>
      <c r="BG283" s="1051"/>
      <c r="BH283" s="1053"/>
      <c r="BI283" s="1052"/>
      <c r="BJ283" s="1052"/>
      <c r="BK283" s="1052"/>
      <c r="BL283" s="1052"/>
      <c r="BM283" s="1052"/>
      <c r="BN283" s="1054"/>
      <c r="BO283" s="1076">
        <f t="shared" si="5"/>
        <v>0</v>
      </c>
      <c r="BP283" s="1051"/>
      <c r="BQ283" s="1052"/>
      <c r="BR283" s="1054"/>
      <c r="BS283" s="1053"/>
      <c r="BT283" s="1051"/>
      <c r="BU283" s="1051"/>
      <c r="BV283" s="1051"/>
      <c r="BW283" s="1052"/>
      <c r="BX283" s="1052"/>
      <c r="BY283" s="1052"/>
      <c r="BZ283" s="1052"/>
      <c r="CA283" s="1052"/>
      <c r="CB283" s="1053"/>
      <c r="CC283" s="1053"/>
      <c r="CD283" s="1053"/>
      <c r="CE283" s="1053"/>
      <c r="CF283" s="1053"/>
      <c r="CG283" s="1053"/>
      <c r="CH283" s="1053"/>
      <c r="CI283" s="1123"/>
      <c r="CJ283" s="1123"/>
      <c r="CK283" s="1123"/>
      <c r="CL283" s="1123"/>
      <c r="CM283" s="1123"/>
      <c r="CN283" s="1123"/>
      <c r="CO283" s="1123"/>
      <c r="CP283" s="1123"/>
      <c r="CQ283" s="1123"/>
      <c r="CR283" s="1123"/>
      <c r="CS283" s="1123"/>
      <c r="CT283" s="1123"/>
      <c r="CU283" s="1123"/>
      <c r="CV283" s="1123"/>
      <c r="CW283" s="1123"/>
      <c r="CX283" s="1123"/>
      <c r="CY283" s="1123"/>
      <c r="CZ283" s="1114"/>
      <c r="DA283" s="1114"/>
      <c r="DB283" s="1114"/>
      <c r="DC283" s="1114"/>
      <c r="DD283" s="1114"/>
      <c r="DE283" s="1114"/>
      <c r="DF283" s="1114"/>
      <c r="DG283" s="1114"/>
      <c r="DH283" s="1114"/>
      <c r="DI283" s="1114"/>
      <c r="DJ283" s="1114"/>
      <c r="DK283" s="1114"/>
      <c r="DL283" s="1114"/>
      <c r="DM283" s="1114"/>
      <c r="DN283" s="1114"/>
      <c r="DO283" s="1114"/>
      <c r="DP283" s="1114"/>
      <c r="DQ283" s="1114"/>
      <c r="DR283" s="1114"/>
      <c r="DS283" s="1114"/>
      <c r="DT283" s="1114"/>
      <c r="DU283" s="1114"/>
      <c r="DV283" s="1115"/>
      <c r="DW283" s="1116"/>
      <c r="DX283" s="1116"/>
      <c r="DY283" s="1116"/>
      <c r="DZ283" s="1116"/>
      <c r="EA283" s="1116"/>
      <c r="EB283" s="1116"/>
      <c r="EC283" s="1116"/>
      <c r="ED283" s="1116"/>
      <c r="EE283" s="1116"/>
      <c r="EF283" s="1116"/>
      <c r="EG283" s="1116"/>
      <c r="EH283" s="1116"/>
      <c r="EI283" s="1116"/>
      <c r="EJ283" s="1116"/>
      <c r="EK283" s="1116"/>
      <c r="EL283" s="1116"/>
      <c r="EM283" s="1116"/>
      <c r="EN283" s="1116"/>
      <c r="EO283" s="1116"/>
      <c r="EP283" s="1116"/>
      <c r="EQ283" s="1116"/>
      <c r="ER283" s="1116"/>
      <c r="ES283" s="1116"/>
    </row>
    <row r="284" spans="1:149" ht="15" customHeight="1">
      <c r="A284" s="1185">
        <v>274</v>
      </c>
      <c r="B284" s="1041"/>
      <c r="C284" s="1050"/>
      <c r="D284" s="1050"/>
      <c r="E284" s="1050"/>
      <c r="F284" s="1049"/>
      <c r="G284" s="1049"/>
      <c r="H284" s="1049"/>
      <c r="I284" s="1049"/>
      <c r="J284" s="1050"/>
      <c r="K284" s="1050"/>
      <c r="L284" s="1043"/>
      <c r="M284" s="1051"/>
      <c r="N284" s="1051"/>
      <c r="O284" s="1052"/>
      <c r="P284" s="1051"/>
      <c r="Q284" s="1051"/>
      <c r="R284" s="1052"/>
      <c r="S284" s="1051"/>
      <c r="T284" s="1051"/>
      <c r="U284" s="1052"/>
      <c r="V284" s="1051"/>
      <c r="W284" s="1051"/>
      <c r="X284" s="1052"/>
      <c r="Y284" s="1053"/>
      <c r="Z284" s="1051"/>
      <c r="AA284" s="1051"/>
      <c r="AB284" s="1052"/>
      <c r="AC284" s="1051"/>
      <c r="AD284" s="1051"/>
      <c r="AE284" s="1052"/>
      <c r="AF284" s="1051"/>
      <c r="AG284" s="1051"/>
      <c r="AH284" s="1051"/>
      <c r="AI284" s="1051"/>
      <c r="AJ284" s="1052"/>
      <c r="AK284" s="1051"/>
      <c r="AL284" s="1051"/>
      <c r="AM284" s="1052"/>
      <c r="AN284" s="1051"/>
      <c r="AO284" s="1051"/>
      <c r="AP284" s="1052"/>
      <c r="AQ284" s="1051"/>
      <c r="AR284" s="1051"/>
      <c r="AS284" s="1052"/>
      <c r="AT284" s="1051"/>
      <c r="AU284" s="1051"/>
      <c r="AV284" s="1052"/>
      <c r="AW284" s="1051"/>
      <c r="AX284" s="1051"/>
      <c r="AY284" s="1053"/>
      <c r="AZ284" s="1051"/>
      <c r="BA284" s="1051"/>
      <c r="BB284" s="1053"/>
      <c r="BC284" s="1051"/>
      <c r="BD284" s="1051"/>
      <c r="BE284" s="1053"/>
      <c r="BF284" s="1051"/>
      <c r="BG284" s="1051"/>
      <c r="BH284" s="1053"/>
      <c r="BI284" s="1052"/>
      <c r="BJ284" s="1052"/>
      <c r="BK284" s="1052"/>
      <c r="BL284" s="1052"/>
      <c r="BM284" s="1052"/>
      <c r="BN284" s="1054"/>
      <c r="BO284" s="1076">
        <f t="shared" si="5"/>
        <v>0</v>
      </c>
      <c r="BP284" s="1051"/>
      <c r="BQ284" s="1052"/>
      <c r="BR284" s="1054"/>
      <c r="BS284" s="1053"/>
      <c r="BT284" s="1051"/>
      <c r="BU284" s="1051"/>
      <c r="BV284" s="1051"/>
      <c r="BW284" s="1052"/>
      <c r="BX284" s="1052"/>
      <c r="BY284" s="1052"/>
      <c r="BZ284" s="1052"/>
      <c r="CA284" s="1052"/>
      <c r="CB284" s="1053"/>
      <c r="CC284" s="1053"/>
      <c r="CD284" s="1053"/>
      <c r="CE284" s="1053"/>
      <c r="CF284" s="1053"/>
      <c r="CG284" s="1053"/>
      <c r="CH284" s="1053"/>
      <c r="CI284" s="1123"/>
      <c r="CJ284" s="1123"/>
      <c r="CK284" s="1123"/>
      <c r="CL284" s="1123"/>
      <c r="CM284" s="1123"/>
      <c r="CN284" s="1123"/>
      <c r="CO284" s="1123"/>
      <c r="CP284" s="1123"/>
      <c r="CQ284" s="1123"/>
      <c r="CR284" s="1123"/>
      <c r="CS284" s="1123"/>
      <c r="CT284" s="1123"/>
      <c r="CU284" s="1123"/>
      <c r="CV284" s="1123"/>
      <c r="CW284" s="1123"/>
      <c r="CX284" s="1123"/>
      <c r="CY284" s="1123"/>
      <c r="CZ284" s="1114"/>
      <c r="DA284" s="1114"/>
      <c r="DB284" s="1114"/>
      <c r="DC284" s="1114"/>
      <c r="DD284" s="1114"/>
      <c r="DE284" s="1114"/>
      <c r="DF284" s="1114"/>
      <c r="DG284" s="1114"/>
      <c r="DH284" s="1114"/>
      <c r="DI284" s="1114"/>
      <c r="DJ284" s="1114"/>
      <c r="DK284" s="1114"/>
      <c r="DL284" s="1114"/>
      <c r="DM284" s="1114"/>
      <c r="DN284" s="1114"/>
      <c r="DO284" s="1114"/>
      <c r="DP284" s="1114"/>
      <c r="DQ284" s="1114"/>
      <c r="DR284" s="1114"/>
      <c r="DS284" s="1114"/>
      <c r="DT284" s="1114"/>
      <c r="DU284" s="1114"/>
      <c r="DV284" s="1115"/>
      <c r="DW284" s="1116"/>
      <c r="DX284" s="1116"/>
      <c r="DY284" s="1116"/>
      <c r="DZ284" s="1116"/>
      <c r="EA284" s="1116"/>
      <c r="EB284" s="1116"/>
      <c r="EC284" s="1116"/>
      <c r="ED284" s="1116"/>
      <c r="EE284" s="1116"/>
      <c r="EF284" s="1116"/>
      <c r="EG284" s="1116"/>
      <c r="EH284" s="1116"/>
      <c r="EI284" s="1116"/>
      <c r="EJ284" s="1116"/>
      <c r="EK284" s="1116"/>
      <c r="EL284" s="1116"/>
      <c r="EM284" s="1116"/>
      <c r="EN284" s="1116"/>
      <c r="EO284" s="1116"/>
      <c r="EP284" s="1116"/>
      <c r="EQ284" s="1116"/>
      <c r="ER284" s="1116"/>
      <c r="ES284" s="1116"/>
    </row>
    <row r="285" spans="1:149" ht="15" customHeight="1">
      <c r="A285" s="1185">
        <v>275</v>
      </c>
      <c r="B285" s="1041"/>
      <c r="C285" s="1050"/>
      <c r="D285" s="1050"/>
      <c r="E285" s="1050"/>
      <c r="F285" s="1049"/>
      <c r="G285" s="1049"/>
      <c r="H285" s="1049"/>
      <c r="I285" s="1049"/>
      <c r="J285" s="1050"/>
      <c r="K285" s="1050"/>
      <c r="L285" s="1043"/>
      <c r="M285" s="1051"/>
      <c r="N285" s="1051"/>
      <c r="O285" s="1052"/>
      <c r="P285" s="1051"/>
      <c r="Q285" s="1051"/>
      <c r="R285" s="1052"/>
      <c r="S285" s="1051"/>
      <c r="T285" s="1051"/>
      <c r="U285" s="1052"/>
      <c r="V285" s="1051"/>
      <c r="W285" s="1051"/>
      <c r="X285" s="1052"/>
      <c r="Y285" s="1053"/>
      <c r="Z285" s="1051"/>
      <c r="AA285" s="1051"/>
      <c r="AB285" s="1052"/>
      <c r="AC285" s="1051"/>
      <c r="AD285" s="1051"/>
      <c r="AE285" s="1052"/>
      <c r="AF285" s="1051"/>
      <c r="AG285" s="1051"/>
      <c r="AH285" s="1051"/>
      <c r="AI285" s="1051"/>
      <c r="AJ285" s="1052"/>
      <c r="AK285" s="1051"/>
      <c r="AL285" s="1051"/>
      <c r="AM285" s="1052"/>
      <c r="AN285" s="1051"/>
      <c r="AO285" s="1051"/>
      <c r="AP285" s="1052"/>
      <c r="AQ285" s="1051"/>
      <c r="AR285" s="1051"/>
      <c r="AS285" s="1052"/>
      <c r="AT285" s="1051"/>
      <c r="AU285" s="1051"/>
      <c r="AV285" s="1052"/>
      <c r="AW285" s="1051"/>
      <c r="AX285" s="1051"/>
      <c r="AY285" s="1053"/>
      <c r="AZ285" s="1051"/>
      <c r="BA285" s="1051"/>
      <c r="BB285" s="1053"/>
      <c r="BC285" s="1051"/>
      <c r="BD285" s="1051"/>
      <c r="BE285" s="1053"/>
      <c r="BF285" s="1051"/>
      <c r="BG285" s="1051"/>
      <c r="BH285" s="1053"/>
      <c r="BI285" s="1052"/>
      <c r="BJ285" s="1052"/>
      <c r="BK285" s="1052"/>
      <c r="BL285" s="1052"/>
      <c r="BM285" s="1052"/>
      <c r="BN285" s="1054"/>
      <c r="BO285" s="1076">
        <f t="shared" si="5"/>
        <v>0</v>
      </c>
      <c r="BP285" s="1051"/>
      <c r="BQ285" s="1052"/>
      <c r="BR285" s="1054"/>
      <c r="BS285" s="1053"/>
      <c r="BT285" s="1051"/>
      <c r="BU285" s="1051"/>
      <c r="BV285" s="1051"/>
      <c r="BW285" s="1052"/>
      <c r="BX285" s="1052"/>
      <c r="BY285" s="1052"/>
      <c r="BZ285" s="1052"/>
      <c r="CA285" s="1052"/>
      <c r="CB285" s="1053"/>
      <c r="CC285" s="1053"/>
      <c r="CD285" s="1053"/>
      <c r="CE285" s="1053"/>
      <c r="CF285" s="1053"/>
      <c r="CG285" s="1053"/>
      <c r="CH285" s="1053"/>
      <c r="CI285" s="1123"/>
      <c r="CJ285" s="1123"/>
      <c r="CK285" s="1123"/>
      <c r="CL285" s="1123"/>
      <c r="CM285" s="1123"/>
      <c r="CN285" s="1123"/>
      <c r="CO285" s="1123"/>
      <c r="CP285" s="1123"/>
      <c r="CQ285" s="1123"/>
      <c r="CR285" s="1123"/>
      <c r="CS285" s="1123"/>
      <c r="CT285" s="1123"/>
      <c r="CU285" s="1123"/>
      <c r="CV285" s="1123"/>
      <c r="CW285" s="1123"/>
      <c r="CX285" s="1123"/>
      <c r="CY285" s="1123"/>
      <c r="CZ285" s="1114"/>
      <c r="DA285" s="1114"/>
      <c r="DB285" s="1114"/>
      <c r="DC285" s="1114"/>
      <c r="DD285" s="1114"/>
      <c r="DE285" s="1114"/>
      <c r="DF285" s="1114"/>
      <c r="DG285" s="1114"/>
      <c r="DH285" s="1114"/>
      <c r="DI285" s="1114"/>
      <c r="DJ285" s="1114"/>
      <c r="DK285" s="1114"/>
      <c r="DL285" s="1114"/>
      <c r="DM285" s="1114"/>
      <c r="DN285" s="1114"/>
      <c r="DO285" s="1114"/>
      <c r="DP285" s="1114"/>
      <c r="DQ285" s="1114"/>
      <c r="DR285" s="1114"/>
      <c r="DS285" s="1114"/>
      <c r="DT285" s="1114"/>
      <c r="DU285" s="1114"/>
      <c r="DV285" s="1115"/>
      <c r="DW285" s="1116"/>
      <c r="DX285" s="1116"/>
      <c r="DY285" s="1116"/>
      <c r="DZ285" s="1116"/>
      <c r="EA285" s="1116"/>
      <c r="EB285" s="1116"/>
      <c r="EC285" s="1116"/>
      <c r="ED285" s="1116"/>
      <c r="EE285" s="1116"/>
      <c r="EF285" s="1116"/>
      <c r="EG285" s="1116"/>
      <c r="EH285" s="1116"/>
      <c r="EI285" s="1116"/>
      <c r="EJ285" s="1116"/>
      <c r="EK285" s="1116"/>
      <c r="EL285" s="1116"/>
      <c r="EM285" s="1116"/>
      <c r="EN285" s="1116"/>
      <c r="EO285" s="1116"/>
      <c r="EP285" s="1116"/>
      <c r="EQ285" s="1116"/>
      <c r="ER285" s="1116"/>
      <c r="ES285" s="1116"/>
    </row>
    <row r="286" spans="1:149" ht="15" customHeight="1">
      <c r="A286" s="1185">
        <v>276</v>
      </c>
      <c r="B286" s="1041"/>
      <c r="C286" s="1050"/>
      <c r="D286" s="1050"/>
      <c r="E286" s="1050"/>
      <c r="F286" s="1049"/>
      <c r="G286" s="1049"/>
      <c r="H286" s="1049"/>
      <c r="I286" s="1049"/>
      <c r="J286" s="1050"/>
      <c r="K286" s="1050"/>
      <c r="L286" s="1043"/>
      <c r="M286" s="1051"/>
      <c r="N286" s="1051"/>
      <c r="O286" s="1052"/>
      <c r="P286" s="1051"/>
      <c r="Q286" s="1051"/>
      <c r="R286" s="1052"/>
      <c r="S286" s="1051"/>
      <c r="T286" s="1051"/>
      <c r="U286" s="1052"/>
      <c r="V286" s="1051"/>
      <c r="W286" s="1051"/>
      <c r="X286" s="1052"/>
      <c r="Y286" s="1053"/>
      <c r="Z286" s="1051"/>
      <c r="AA286" s="1051"/>
      <c r="AB286" s="1052"/>
      <c r="AC286" s="1051"/>
      <c r="AD286" s="1051"/>
      <c r="AE286" s="1052"/>
      <c r="AF286" s="1051"/>
      <c r="AG286" s="1051"/>
      <c r="AH286" s="1051"/>
      <c r="AI286" s="1051"/>
      <c r="AJ286" s="1052"/>
      <c r="AK286" s="1051"/>
      <c r="AL286" s="1051"/>
      <c r="AM286" s="1052"/>
      <c r="AN286" s="1051"/>
      <c r="AO286" s="1051"/>
      <c r="AP286" s="1052"/>
      <c r="AQ286" s="1051"/>
      <c r="AR286" s="1051"/>
      <c r="AS286" s="1052"/>
      <c r="AT286" s="1051"/>
      <c r="AU286" s="1051"/>
      <c r="AV286" s="1052"/>
      <c r="AW286" s="1051"/>
      <c r="AX286" s="1051"/>
      <c r="AY286" s="1053"/>
      <c r="AZ286" s="1051"/>
      <c r="BA286" s="1051"/>
      <c r="BB286" s="1053"/>
      <c r="BC286" s="1051"/>
      <c r="BD286" s="1051"/>
      <c r="BE286" s="1053"/>
      <c r="BF286" s="1051"/>
      <c r="BG286" s="1051"/>
      <c r="BH286" s="1053"/>
      <c r="BI286" s="1052"/>
      <c r="BJ286" s="1052"/>
      <c r="BK286" s="1052"/>
      <c r="BL286" s="1052"/>
      <c r="BM286" s="1052"/>
      <c r="BN286" s="1054"/>
      <c r="BO286" s="1076">
        <f t="shared" si="5"/>
        <v>0</v>
      </c>
      <c r="BP286" s="1051"/>
      <c r="BQ286" s="1052"/>
      <c r="BR286" s="1054"/>
      <c r="BS286" s="1053"/>
      <c r="BT286" s="1051"/>
      <c r="BU286" s="1051"/>
      <c r="BV286" s="1051"/>
      <c r="BW286" s="1052"/>
      <c r="BX286" s="1052"/>
      <c r="BY286" s="1052"/>
      <c r="BZ286" s="1052"/>
      <c r="CA286" s="1052"/>
      <c r="CB286" s="1053"/>
      <c r="CC286" s="1053"/>
      <c r="CD286" s="1053"/>
      <c r="CE286" s="1053"/>
      <c r="CF286" s="1053"/>
      <c r="CG286" s="1053"/>
      <c r="CH286" s="1053"/>
      <c r="CI286" s="1123"/>
      <c r="CJ286" s="1123"/>
      <c r="CK286" s="1123"/>
      <c r="CL286" s="1123"/>
      <c r="CM286" s="1123"/>
      <c r="CN286" s="1123"/>
      <c r="CO286" s="1123"/>
      <c r="CP286" s="1123"/>
      <c r="CQ286" s="1123"/>
      <c r="CR286" s="1123"/>
      <c r="CS286" s="1123"/>
      <c r="CT286" s="1123"/>
      <c r="CU286" s="1123"/>
      <c r="CV286" s="1123"/>
      <c r="CW286" s="1123"/>
      <c r="CX286" s="1123"/>
      <c r="CY286" s="1123"/>
      <c r="CZ286" s="1114"/>
      <c r="DA286" s="1114"/>
      <c r="DB286" s="1114"/>
      <c r="DC286" s="1114"/>
      <c r="DD286" s="1114"/>
      <c r="DE286" s="1114"/>
      <c r="DF286" s="1114"/>
      <c r="DG286" s="1114"/>
      <c r="DH286" s="1114"/>
      <c r="DI286" s="1114"/>
      <c r="DJ286" s="1114"/>
      <c r="DK286" s="1114"/>
      <c r="DL286" s="1114"/>
      <c r="DM286" s="1114"/>
      <c r="DN286" s="1114"/>
      <c r="DO286" s="1114"/>
      <c r="DP286" s="1114"/>
      <c r="DQ286" s="1114"/>
      <c r="DR286" s="1114"/>
      <c r="DS286" s="1114"/>
      <c r="DT286" s="1114"/>
      <c r="DU286" s="1114"/>
      <c r="DV286" s="1115"/>
      <c r="DW286" s="1116"/>
      <c r="DX286" s="1116"/>
      <c r="DY286" s="1116"/>
      <c r="DZ286" s="1116"/>
      <c r="EA286" s="1116"/>
      <c r="EB286" s="1116"/>
      <c r="EC286" s="1116"/>
      <c r="ED286" s="1116"/>
      <c r="EE286" s="1116"/>
      <c r="EF286" s="1116"/>
      <c r="EG286" s="1116"/>
      <c r="EH286" s="1116"/>
      <c r="EI286" s="1116"/>
      <c r="EJ286" s="1116"/>
      <c r="EK286" s="1116"/>
      <c r="EL286" s="1116"/>
      <c r="EM286" s="1116"/>
      <c r="EN286" s="1116"/>
      <c r="EO286" s="1116"/>
      <c r="EP286" s="1116"/>
      <c r="EQ286" s="1116"/>
      <c r="ER286" s="1116"/>
      <c r="ES286" s="1116"/>
    </row>
    <row r="287" spans="1:149" ht="15" customHeight="1">
      <c r="A287" s="1185">
        <v>277</v>
      </c>
      <c r="B287" s="1041"/>
      <c r="C287" s="1050"/>
      <c r="D287" s="1050"/>
      <c r="E287" s="1050"/>
      <c r="F287" s="1049"/>
      <c r="G287" s="1049"/>
      <c r="H287" s="1049"/>
      <c r="I287" s="1049"/>
      <c r="J287" s="1050"/>
      <c r="K287" s="1050"/>
      <c r="L287" s="1043"/>
      <c r="M287" s="1051"/>
      <c r="N287" s="1051"/>
      <c r="O287" s="1052"/>
      <c r="P287" s="1051"/>
      <c r="Q287" s="1051"/>
      <c r="R287" s="1052"/>
      <c r="S287" s="1051"/>
      <c r="T287" s="1051"/>
      <c r="U287" s="1052"/>
      <c r="V287" s="1051"/>
      <c r="W287" s="1051"/>
      <c r="X287" s="1052"/>
      <c r="Y287" s="1053"/>
      <c r="Z287" s="1051"/>
      <c r="AA287" s="1051"/>
      <c r="AB287" s="1052"/>
      <c r="AC287" s="1051"/>
      <c r="AD287" s="1051"/>
      <c r="AE287" s="1052"/>
      <c r="AF287" s="1051"/>
      <c r="AG287" s="1051"/>
      <c r="AH287" s="1051"/>
      <c r="AI287" s="1051"/>
      <c r="AJ287" s="1052"/>
      <c r="AK287" s="1051"/>
      <c r="AL287" s="1051"/>
      <c r="AM287" s="1052"/>
      <c r="AN287" s="1051"/>
      <c r="AO287" s="1051"/>
      <c r="AP287" s="1052"/>
      <c r="AQ287" s="1051"/>
      <c r="AR287" s="1051"/>
      <c r="AS287" s="1052"/>
      <c r="AT287" s="1051"/>
      <c r="AU287" s="1051"/>
      <c r="AV287" s="1052"/>
      <c r="AW287" s="1051"/>
      <c r="AX287" s="1051"/>
      <c r="AY287" s="1053"/>
      <c r="AZ287" s="1051"/>
      <c r="BA287" s="1051"/>
      <c r="BB287" s="1053"/>
      <c r="BC287" s="1051"/>
      <c r="BD287" s="1051"/>
      <c r="BE287" s="1053"/>
      <c r="BF287" s="1051"/>
      <c r="BG287" s="1051"/>
      <c r="BH287" s="1053"/>
      <c r="BI287" s="1052"/>
      <c r="BJ287" s="1052"/>
      <c r="BK287" s="1052"/>
      <c r="BL287" s="1052"/>
      <c r="BM287" s="1052"/>
      <c r="BN287" s="1054"/>
      <c r="BO287" s="1076">
        <f t="shared" si="5"/>
        <v>0</v>
      </c>
      <c r="BP287" s="1051"/>
      <c r="BQ287" s="1052"/>
      <c r="BR287" s="1054"/>
      <c r="BS287" s="1053"/>
      <c r="BT287" s="1051"/>
      <c r="BU287" s="1051"/>
      <c r="BV287" s="1051"/>
      <c r="BW287" s="1052"/>
      <c r="BX287" s="1052"/>
      <c r="BY287" s="1052"/>
      <c r="BZ287" s="1052"/>
      <c r="CA287" s="1052"/>
      <c r="CB287" s="1053"/>
      <c r="CC287" s="1053"/>
      <c r="CD287" s="1053"/>
      <c r="CE287" s="1053"/>
      <c r="CF287" s="1053"/>
      <c r="CG287" s="1053"/>
      <c r="CH287" s="1053"/>
      <c r="CI287" s="1123"/>
      <c r="CJ287" s="1123"/>
      <c r="CK287" s="1123"/>
      <c r="CL287" s="1123"/>
      <c r="CM287" s="1123"/>
      <c r="CN287" s="1123"/>
      <c r="CO287" s="1123"/>
      <c r="CP287" s="1123"/>
      <c r="CQ287" s="1123"/>
      <c r="CR287" s="1123"/>
      <c r="CS287" s="1123"/>
      <c r="CT287" s="1123"/>
      <c r="CU287" s="1123"/>
      <c r="CV287" s="1123"/>
      <c r="CW287" s="1123"/>
      <c r="CX287" s="1123"/>
      <c r="CY287" s="1123"/>
      <c r="CZ287" s="1114"/>
      <c r="DA287" s="1114"/>
      <c r="DB287" s="1114"/>
      <c r="DC287" s="1114"/>
      <c r="DD287" s="1114"/>
      <c r="DE287" s="1114"/>
      <c r="DF287" s="1114"/>
      <c r="DG287" s="1114"/>
      <c r="DH287" s="1114"/>
      <c r="DI287" s="1114"/>
      <c r="DJ287" s="1114"/>
      <c r="DK287" s="1114"/>
      <c r="DL287" s="1114"/>
      <c r="DM287" s="1114"/>
      <c r="DN287" s="1114"/>
      <c r="DO287" s="1114"/>
      <c r="DP287" s="1114"/>
      <c r="DQ287" s="1114"/>
      <c r="DR287" s="1114"/>
      <c r="DS287" s="1114"/>
      <c r="DT287" s="1114"/>
      <c r="DU287" s="1114"/>
      <c r="DV287" s="1115"/>
      <c r="DW287" s="1116"/>
      <c r="DX287" s="1116"/>
      <c r="DY287" s="1116"/>
      <c r="DZ287" s="1116"/>
      <c r="EA287" s="1116"/>
      <c r="EB287" s="1116"/>
      <c r="EC287" s="1116"/>
      <c r="ED287" s="1116"/>
      <c r="EE287" s="1116"/>
      <c r="EF287" s="1116"/>
      <c r="EG287" s="1116"/>
      <c r="EH287" s="1116"/>
      <c r="EI287" s="1116"/>
      <c r="EJ287" s="1116"/>
      <c r="EK287" s="1116"/>
      <c r="EL287" s="1116"/>
      <c r="EM287" s="1116"/>
      <c r="EN287" s="1116"/>
      <c r="EO287" s="1116"/>
      <c r="EP287" s="1116"/>
      <c r="EQ287" s="1116"/>
      <c r="ER287" s="1116"/>
      <c r="ES287" s="1116"/>
    </row>
    <row r="288" spans="1:149" ht="15" customHeight="1">
      <c r="A288" s="1185">
        <v>278</v>
      </c>
      <c r="B288" s="1041"/>
      <c r="C288" s="1050"/>
      <c r="D288" s="1050"/>
      <c r="E288" s="1050"/>
      <c r="F288" s="1049"/>
      <c r="G288" s="1049"/>
      <c r="H288" s="1049"/>
      <c r="I288" s="1049"/>
      <c r="J288" s="1050"/>
      <c r="K288" s="1050"/>
      <c r="L288" s="1043"/>
      <c r="M288" s="1051"/>
      <c r="N288" s="1051"/>
      <c r="O288" s="1052"/>
      <c r="P288" s="1051"/>
      <c r="Q288" s="1051"/>
      <c r="R288" s="1052"/>
      <c r="S288" s="1051"/>
      <c r="T288" s="1051"/>
      <c r="U288" s="1052"/>
      <c r="V288" s="1051"/>
      <c r="W288" s="1051"/>
      <c r="X288" s="1052"/>
      <c r="Y288" s="1053"/>
      <c r="Z288" s="1051"/>
      <c r="AA288" s="1051"/>
      <c r="AB288" s="1052"/>
      <c r="AC288" s="1051"/>
      <c r="AD288" s="1051"/>
      <c r="AE288" s="1052"/>
      <c r="AF288" s="1051"/>
      <c r="AG288" s="1051"/>
      <c r="AH288" s="1051"/>
      <c r="AI288" s="1051"/>
      <c r="AJ288" s="1052"/>
      <c r="AK288" s="1051"/>
      <c r="AL288" s="1051"/>
      <c r="AM288" s="1052"/>
      <c r="AN288" s="1051"/>
      <c r="AO288" s="1051"/>
      <c r="AP288" s="1052"/>
      <c r="AQ288" s="1051"/>
      <c r="AR288" s="1051"/>
      <c r="AS288" s="1052"/>
      <c r="AT288" s="1051"/>
      <c r="AU288" s="1051"/>
      <c r="AV288" s="1052"/>
      <c r="AW288" s="1051"/>
      <c r="AX288" s="1051"/>
      <c r="AY288" s="1053"/>
      <c r="AZ288" s="1051"/>
      <c r="BA288" s="1051"/>
      <c r="BB288" s="1053"/>
      <c r="BC288" s="1051"/>
      <c r="BD288" s="1051"/>
      <c r="BE288" s="1053"/>
      <c r="BF288" s="1051"/>
      <c r="BG288" s="1051"/>
      <c r="BH288" s="1053"/>
      <c r="BI288" s="1052"/>
      <c r="BJ288" s="1052"/>
      <c r="BK288" s="1052"/>
      <c r="BL288" s="1052"/>
      <c r="BM288" s="1052"/>
      <c r="BN288" s="1054"/>
      <c r="BO288" s="1076">
        <f t="shared" si="5"/>
        <v>0</v>
      </c>
      <c r="BP288" s="1051"/>
      <c r="BQ288" s="1052"/>
      <c r="BR288" s="1054"/>
      <c r="BS288" s="1053"/>
      <c r="BT288" s="1051"/>
      <c r="BU288" s="1051"/>
      <c r="BV288" s="1051"/>
      <c r="BW288" s="1052"/>
      <c r="BX288" s="1052"/>
      <c r="BY288" s="1052"/>
      <c r="BZ288" s="1052"/>
      <c r="CA288" s="1052"/>
      <c r="CB288" s="1053"/>
      <c r="CC288" s="1053"/>
      <c r="CD288" s="1053"/>
      <c r="CE288" s="1053"/>
      <c r="CF288" s="1053"/>
      <c r="CG288" s="1053"/>
      <c r="CH288" s="1053"/>
      <c r="CI288" s="1123"/>
      <c r="CJ288" s="1123"/>
      <c r="CK288" s="1123"/>
      <c r="CL288" s="1123"/>
      <c r="CM288" s="1123"/>
      <c r="CN288" s="1123"/>
      <c r="CO288" s="1123"/>
      <c r="CP288" s="1123"/>
      <c r="CQ288" s="1123"/>
      <c r="CR288" s="1123"/>
      <c r="CS288" s="1123"/>
      <c r="CT288" s="1123"/>
      <c r="CU288" s="1123"/>
      <c r="CV288" s="1123"/>
      <c r="CW288" s="1123"/>
      <c r="CX288" s="1123"/>
      <c r="CY288" s="1123"/>
      <c r="CZ288" s="1114"/>
      <c r="DA288" s="1114"/>
      <c r="DB288" s="1114"/>
      <c r="DC288" s="1114"/>
      <c r="DD288" s="1114"/>
      <c r="DE288" s="1114"/>
      <c r="DF288" s="1114"/>
      <c r="DG288" s="1114"/>
      <c r="DH288" s="1114"/>
      <c r="DI288" s="1114"/>
      <c r="DJ288" s="1114"/>
      <c r="DK288" s="1114"/>
      <c r="DL288" s="1114"/>
      <c r="DM288" s="1114"/>
      <c r="DN288" s="1114"/>
      <c r="DO288" s="1114"/>
      <c r="DP288" s="1114"/>
      <c r="DQ288" s="1114"/>
      <c r="DR288" s="1114"/>
      <c r="DS288" s="1114"/>
      <c r="DT288" s="1114"/>
      <c r="DU288" s="1114"/>
      <c r="DV288" s="1115"/>
      <c r="DW288" s="1116"/>
      <c r="DX288" s="1116"/>
      <c r="DY288" s="1116"/>
      <c r="DZ288" s="1116"/>
      <c r="EA288" s="1116"/>
      <c r="EB288" s="1116"/>
      <c r="EC288" s="1116"/>
      <c r="ED288" s="1116"/>
      <c r="EE288" s="1116"/>
      <c r="EF288" s="1116"/>
      <c r="EG288" s="1116"/>
      <c r="EH288" s="1116"/>
      <c r="EI288" s="1116"/>
      <c r="EJ288" s="1116"/>
      <c r="EK288" s="1116"/>
      <c r="EL288" s="1116"/>
      <c r="EM288" s="1116"/>
      <c r="EN288" s="1116"/>
      <c r="EO288" s="1116"/>
      <c r="EP288" s="1116"/>
      <c r="EQ288" s="1116"/>
      <c r="ER288" s="1116"/>
      <c r="ES288" s="1116"/>
    </row>
    <row r="289" spans="1:149" ht="15" customHeight="1">
      <c r="A289" s="1185">
        <v>279</v>
      </c>
      <c r="B289" s="1041"/>
      <c r="C289" s="1050"/>
      <c r="D289" s="1050"/>
      <c r="E289" s="1050"/>
      <c r="F289" s="1049"/>
      <c r="G289" s="1049"/>
      <c r="H289" s="1049"/>
      <c r="I289" s="1049"/>
      <c r="J289" s="1050"/>
      <c r="K289" s="1050"/>
      <c r="L289" s="1043"/>
      <c r="M289" s="1051"/>
      <c r="N289" s="1051"/>
      <c r="O289" s="1052"/>
      <c r="P289" s="1051"/>
      <c r="Q289" s="1051"/>
      <c r="R289" s="1052"/>
      <c r="S289" s="1051"/>
      <c r="T289" s="1051"/>
      <c r="U289" s="1052"/>
      <c r="V289" s="1051"/>
      <c r="W289" s="1051"/>
      <c r="X289" s="1052"/>
      <c r="Y289" s="1053"/>
      <c r="Z289" s="1051"/>
      <c r="AA289" s="1051"/>
      <c r="AB289" s="1052"/>
      <c r="AC289" s="1051"/>
      <c r="AD289" s="1051"/>
      <c r="AE289" s="1052"/>
      <c r="AF289" s="1051"/>
      <c r="AG289" s="1051"/>
      <c r="AH289" s="1051"/>
      <c r="AI289" s="1051"/>
      <c r="AJ289" s="1052"/>
      <c r="AK289" s="1051"/>
      <c r="AL289" s="1051"/>
      <c r="AM289" s="1052"/>
      <c r="AN289" s="1051"/>
      <c r="AO289" s="1051"/>
      <c r="AP289" s="1052"/>
      <c r="AQ289" s="1051"/>
      <c r="AR289" s="1051"/>
      <c r="AS289" s="1052"/>
      <c r="AT289" s="1051"/>
      <c r="AU289" s="1051"/>
      <c r="AV289" s="1052"/>
      <c r="AW289" s="1051"/>
      <c r="AX289" s="1051"/>
      <c r="AY289" s="1053"/>
      <c r="AZ289" s="1051"/>
      <c r="BA289" s="1051"/>
      <c r="BB289" s="1053"/>
      <c r="BC289" s="1051"/>
      <c r="BD289" s="1051"/>
      <c r="BE289" s="1053"/>
      <c r="BF289" s="1051"/>
      <c r="BG289" s="1051"/>
      <c r="BH289" s="1053"/>
      <c r="BI289" s="1052"/>
      <c r="BJ289" s="1052"/>
      <c r="BK289" s="1052"/>
      <c r="BL289" s="1052"/>
      <c r="BM289" s="1052"/>
      <c r="BN289" s="1054"/>
      <c r="BO289" s="1076">
        <f t="shared" si="5"/>
        <v>0</v>
      </c>
      <c r="BP289" s="1051"/>
      <c r="BQ289" s="1052"/>
      <c r="BR289" s="1054"/>
      <c r="BS289" s="1053"/>
      <c r="BT289" s="1051"/>
      <c r="BU289" s="1051"/>
      <c r="BV289" s="1051"/>
      <c r="BW289" s="1052"/>
      <c r="BX289" s="1052"/>
      <c r="BY289" s="1052"/>
      <c r="BZ289" s="1052"/>
      <c r="CA289" s="1052"/>
      <c r="CB289" s="1053"/>
      <c r="CC289" s="1053"/>
      <c r="CD289" s="1053"/>
      <c r="CE289" s="1053"/>
      <c r="CF289" s="1053"/>
      <c r="CG289" s="1053"/>
      <c r="CH289" s="1053"/>
      <c r="CI289" s="1123"/>
      <c r="CJ289" s="1123"/>
      <c r="CK289" s="1123"/>
      <c r="CL289" s="1123"/>
      <c r="CM289" s="1123"/>
      <c r="CN289" s="1123"/>
      <c r="CO289" s="1123"/>
      <c r="CP289" s="1123"/>
      <c r="CQ289" s="1123"/>
      <c r="CR289" s="1123"/>
      <c r="CS289" s="1123"/>
      <c r="CT289" s="1123"/>
      <c r="CU289" s="1123"/>
      <c r="CV289" s="1123"/>
      <c r="CW289" s="1123"/>
      <c r="CX289" s="1123"/>
      <c r="CY289" s="1123"/>
      <c r="CZ289" s="1114"/>
      <c r="DA289" s="1114"/>
      <c r="DB289" s="1114"/>
      <c r="DC289" s="1114"/>
      <c r="DD289" s="1114"/>
      <c r="DE289" s="1114"/>
      <c r="DF289" s="1114"/>
      <c r="DG289" s="1114"/>
      <c r="DH289" s="1114"/>
      <c r="DI289" s="1114"/>
      <c r="DJ289" s="1114"/>
      <c r="DK289" s="1114"/>
      <c r="DL289" s="1114"/>
      <c r="DM289" s="1114"/>
      <c r="DN289" s="1114"/>
      <c r="DO289" s="1114"/>
      <c r="DP289" s="1114"/>
      <c r="DQ289" s="1114"/>
      <c r="DR289" s="1114"/>
      <c r="DS289" s="1114"/>
      <c r="DT289" s="1114"/>
      <c r="DU289" s="1114"/>
      <c r="DV289" s="1115"/>
      <c r="DW289" s="1116"/>
      <c r="DX289" s="1116"/>
      <c r="DY289" s="1116"/>
      <c r="DZ289" s="1116"/>
      <c r="EA289" s="1116"/>
      <c r="EB289" s="1116"/>
      <c r="EC289" s="1116"/>
      <c r="ED289" s="1116"/>
      <c r="EE289" s="1116"/>
      <c r="EF289" s="1116"/>
      <c r="EG289" s="1116"/>
      <c r="EH289" s="1116"/>
      <c r="EI289" s="1116"/>
      <c r="EJ289" s="1116"/>
      <c r="EK289" s="1116"/>
      <c r="EL289" s="1116"/>
      <c r="EM289" s="1116"/>
      <c r="EN289" s="1116"/>
      <c r="EO289" s="1116"/>
      <c r="EP289" s="1116"/>
      <c r="EQ289" s="1116"/>
      <c r="ER289" s="1116"/>
      <c r="ES289" s="1116"/>
    </row>
    <row r="290" spans="1:149" ht="15" customHeight="1">
      <c r="A290" s="1185">
        <v>280</v>
      </c>
      <c r="B290" s="1041"/>
      <c r="C290" s="1050"/>
      <c r="D290" s="1050"/>
      <c r="E290" s="1050"/>
      <c r="F290" s="1049"/>
      <c r="G290" s="1049"/>
      <c r="H290" s="1049"/>
      <c r="I290" s="1049"/>
      <c r="J290" s="1050"/>
      <c r="K290" s="1050"/>
      <c r="L290" s="1043"/>
      <c r="M290" s="1051"/>
      <c r="N290" s="1051"/>
      <c r="O290" s="1052"/>
      <c r="P290" s="1051"/>
      <c r="Q290" s="1051"/>
      <c r="R290" s="1052"/>
      <c r="S290" s="1051"/>
      <c r="T290" s="1051"/>
      <c r="U290" s="1052"/>
      <c r="V290" s="1051"/>
      <c r="W290" s="1051"/>
      <c r="X290" s="1052"/>
      <c r="Y290" s="1053"/>
      <c r="Z290" s="1051"/>
      <c r="AA290" s="1051"/>
      <c r="AB290" s="1052"/>
      <c r="AC290" s="1051"/>
      <c r="AD290" s="1051"/>
      <c r="AE290" s="1052"/>
      <c r="AF290" s="1051"/>
      <c r="AG290" s="1051"/>
      <c r="AH290" s="1051"/>
      <c r="AI290" s="1051"/>
      <c r="AJ290" s="1052"/>
      <c r="AK290" s="1051"/>
      <c r="AL290" s="1051"/>
      <c r="AM290" s="1052"/>
      <c r="AN290" s="1051"/>
      <c r="AO290" s="1051"/>
      <c r="AP290" s="1052"/>
      <c r="AQ290" s="1051"/>
      <c r="AR290" s="1051"/>
      <c r="AS290" s="1052"/>
      <c r="AT290" s="1051"/>
      <c r="AU290" s="1051"/>
      <c r="AV290" s="1052"/>
      <c r="AW290" s="1051"/>
      <c r="AX290" s="1051"/>
      <c r="AY290" s="1053"/>
      <c r="AZ290" s="1051"/>
      <c r="BA290" s="1051"/>
      <c r="BB290" s="1053"/>
      <c r="BC290" s="1051"/>
      <c r="BD290" s="1051"/>
      <c r="BE290" s="1053"/>
      <c r="BF290" s="1051"/>
      <c r="BG290" s="1051"/>
      <c r="BH290" s="1053"/>
      <c r="BI290" s="1052"/>
      <c r="BJ290" s="1052"/>
      <c r="BK290" s="1052"/>
      <c r="BL290" s="1052"/>
      <c r="BM290" s="1052"/>
      <c r="BN290" s="1054"/>
      <c r="BO290" s="1076">
        <f t="shared" si="5"/>
        <v>0</v>
      </c>
      <c r="BP290" s="1051"/>
      <c r="BQ290" s="1052"/>
      <c r="BR290" s="1054"/>
      <c r="BS290" s="1053"/>
      <c r="BT290" s="1051"/>
      <c r="BU290" s="1051"/>
      <c r="BV290" s="1051"/>
      <c r="BW290" s="1052"/>
      <c r="BX290" s="1052"/>
      <c r="BY290" s="1052"/>
      <c r="BZ290" s="1052"/>
      <c r="CA290" s="1052"/>
      <c r="CB290" s="1053"/>
      <c r="CC290" s="1053"/>
      <c r="CD290" s="1053"/>
      <c r="CE290" s="1053"/>
      <c r="CF290" s="1053"/>
      <c r="CG290" s="1053"/>
      <c r="CH290" s="1053"/>
      <c r="CI290" s="1123"/>
      <c r="CJ290" s="1123"/>
      <c r="CK290" s="1123"/>
      <c r="CL290" s="1123"/>
      <c r="CM290" s="1123"/>
      <c r="CN290" s="1123"/>
      <c r="CO290" s="1123"/>
      <c r="CP290" s="1123"/>
      <c r="CQ290" s="1123"/>
      <c r="CR290" s="1123"/>
      <c r="CS290" s="1123"/>
      <c r="CT290" s="1123"/>
      <c r="CU290" s="1123"/>
      <c r="CV290" s="1123"/>
      <c r="CW290" s="1123"/>
      <c r="CX290" s="1123"/>
      <c r="CY290" s="1123"/>
      <c r="CZ290" s="1114"/>
      <c r="DA290" s="1114"/>
      <c r="DB290" s="1114"/>
      <c r="DC290" s="1114"/>
      <c r="DD290" s="1114"/>
      <c r="DE290" s="1114"/>
      <c r="DF290" s="1114"/>
      <c r="DG290" s="1114"/>
      <c r="DH290" s="1114"/>
      <c r="DI290" s="1114"/>
      <c r="DJ290" s="1114"/>
      <c r="DK290" s="1114"/>
      <c r="DL290" s="1114"/>
      <c r="DM290" s="1114"/>
      <c r="DN290" s="1114"/>
      <c r="DO290" s="1114"/>
      <c r="DP290" s="1114"/>
      <c r="DQ290" s="1114"/>
      <c r="DR290" s="1114"/>
      <c r="DS290" s="1114"/>
      <c r="DT290" s="1114"/>
      <c r="DU290" s="1114"/>
      <c r="DV290" s="1115"/>
      <c r="DW290" s="1116"/>
      <c r="DX290" s="1116"/>
      <c r="DY290" s="1116"/>
      <c r="DZ290" s="1116"/>
      <c r="EA290" s="1116"/>
      <c r="EB290" s="1116"/>
      <c r="EC290" s="1116"/>
      <c r="ED290" s="1116"/>
      <c r="EE290" s="1116"/>
      <c r="EF290" s="1116"/>
      <c r="EG290" s="1116"/>
      <c r="EH290" s="1116"/>
      <c r="EI290" s="1116"/>
      <c r="EJ290" s="1116"/>
      <c r="EK290" s="1116"/>
      <c r="EL290" s="1116"/>
      <c r="EM290" s="1116"/>
      <c r="EN290" s="1116"/>
      <c r="EO290" s="1116"/>
      <c r="EP290" s="1116"/>
      <c r="EQ290" s="1116"/>
      <c r="ER290" s="1116"/>
      <c r="ES290" s="1116"/>
    </row>
    <row r="291" spans="1:149" ht="15" customHeight="1">
      <c r="A291" s="1185">
        <v>281</v>
      </c>
      <c r="B291" s="1041"/>
      <c r="C291" s="1050"/>
      <c r="D291" s="1050"/>
      <c r="E291" s="1050"/>
      <c r="F291" s="1049"/>
      <c r="G291" s="1049"/>
      <c r="H291" s="1049"/>
      <c r="I291" s="1049"/>
      <c r="J291" s="1050"/>
      <c r="K291" s="1050"/>
      <c r="L291" s="1043"/>
      <c r="M291" s="1051"/>
      <c r="N291" s="1051"/>
      <c r="O291" s="1052"/>
      <c r="P291" s="1051"/>
      <c r="Q291" s="1051"/>
      <c r="R291" s="1052"/>
      <c r="S291" s="1051"/>
      <c r="T291" s="1051"/>
      <c r="U291" s="1052"/>
      <c r="V291" s="1051"/>
      <c r="W291" s="1051"/>
      <c r="X291" s="1052"/>
      <c r="Y291" s="1053"/>
      <c r="Z291" s="1051"/>
      <c r="AA291" s="1051"/>
      <c r="AB291" s="1052"/>
      <c r="AC291" s="1051"/>
      <c r="AD291" s="1051"/>
      <c r="AE291" s="1052"/>
      <c r="AF291" s="1051"/>
      <c r="AG291" s="1051"/>
      <c r="AH291" s="1051"/>
      <c r="AI291" s="1051"/>
      <c r="AJ291" s="1052"/>
      <c r="AK291" s="1051"/>
      <c r="AL291" s="1051"/>
      <c r="AM291" s="1052"/>
      <c r="AN291" s="1051"/>
      <c r="AO291" s="1051"/>
      <c r="AP291" s="1052"/>
      <c r="AQ291" s="1051"/>
      <c r="AR291" s="1051"/>
      <c r="AS291" s="1052"/>
      <c r="AT291" s="1051"/>
      <c r="AU291" s="1051"/>
      <c r="AV291" s="1052"/>
      <c r="AW291" s="1051"/>
      <c r="AX291" s="1051"/>
      <c r="AY291" s="1053"/>
      <c r="AZ291" s="1051"/>
      <c r="BA291" s="1051"/>
      <c r="BB291" s="1053"/>
      <c r="BC291" s="1051"/>
      <c r="BD291" s="1051"/>
      <c r="BE291" s="1053"/>
      <c r="BF291" s="1051"/>
      <c r="BG291" s="1051"/>
      <c r="BH291" s="1053"/>
      <c r="BI291" s="1052"/>
      <c r="BJ291" s="1052"/>
      <c r="BK291" s="1052"/>
      <c r="BL291" s="1052"/>
      <c r="BM291" s="1052"/>
      <c r="BN291" s="1054"/>
      <c r="BO291" s="1076">
        <f t="shared" si="5"/>
        <v>0</v>
      </c>
      <c r="BP291" s="1051"/>
      <c r="BQ291" s="1052"/>
      <c r="BR291" s="1054"/>
      <c r="BS291" s="1053"/>
      <c r="BT291" s="1051"/>
      <c r="BU291" s="1051"/>
      <c r="BV291" s="1051"/>
      <c r="BW291" s="1052"/>
      <c r="BX291" s="1052"/>
      <c r="BY291" s="1052"/>
      <c r="BZ291" s="1052"/>
      <c r="CA291" s="1052"/>
      <c r="CB291" s="1053"/>
      <c r="CC291" s="1053"/>
      <c r="CD291" s="1053"/>
      <c r="CE291" s="1053"/>
      <c r="CF291" s="1053"/>
      <c r="CG291" s="1053"/>
      <c r="CH291" s="1053"/>
      <c r="CI291" s="1123"/>
      <c r="CJ291" s="1123"/>
      <c r="CK291" s="1123"/>
      <c r="CL291" s="1123"/>
      <c r="CM291" s="1123"/>
      <c r="CN291" s="1123"/>
      <c r="CO291" s="1123"/>
      <c r="CP291" s="1123"/>
      <c r="CQ291" s="1123"/>
      <c r="CR291" s="1123"/>
      <c r="CS291" s="1123"/>
      <c r="CT291" s="1123"/>
      <c r="CU291" s="1123"/>
      <c r="CV291" s="1123"/>
      <c r="CW291" s="1123"/>
      <c r="CX291" s="1123"/>
      <c r="CY291" s="1123"/>
      <c r="CZ291" s="1114"/>
      <c r="DA291" s="1114"/>
      <c r="DB291" s="1114"/>
      <c r="DC291" s="1114"/>
      <c r="DD291" s="1114"/>
      <c r="DE291" s="1114"/>
      <c r="DF291" s="1114"/>
      <c r="DG291" s="1114"/>
      <c r="DH291" s="1114"/>
      <c r="DI291" s="1114"/>
      <c r="DJ291" s="1114"/>
      <c r="DK291" s="1114"/>
      <c r="DL291" s="1114"/>
      <c r="DM291" s="1114"/>
      <c r="DN291" s="1114"/>
      <c r="DO291" s="1114"/>
      <c r="DP291" s="1114"/>
      <c r="DQ291" s="1114"/>
      <c r="DR291" s="1114"/>
      <c r="DS291" s="1114"/>
      <c r="DT291" s="1114"/>
      <c r="DU291" s="1114"/>
      <c r="DV291" s="1115"/>
      <c r="DW291" s="1116"/>
      <c r="DX291" s="1116"/>
      <c r="DY291" s="1116"/>
      <c r="DZ291" s="1116"/>
      <c r="EA291" s="1116"/>
      <c r="EB291" s="1116"/>
      <c r="EC291" s="1116"/>
      <c r="ED291" s="1116"/>
      <c r="EE291" s="1116"/>
      <c r="EF291" s="1116"/>
      <c r="EG291" s="1116"/>
      <c r="EH291" s="1116"/>
      <c r="EI291" s="1116"/>
      <c r="EJ291" s="1116"/>
      <c r="EK291" s="1116"/>
      <c r="EL291" s="1116"/>
      <c r="EM291" s="1116"/>
      <c r="EN291" s="1116"/>
      <c r="EO291" s="1116"/>
      <c r="EP291" s="1116"/>
      <c r="EQ291" s="1116"/>
      <c r="ER291" s="1116"/>
      <c r="ES291" s="1116"/>
    </row>
    <row r="292" spans="1:149" ht="15" customHeight="1">
      <c r="A292" s="1185">
        <v>282</v>
      </c>
      <c r="B292" s="1041"/>
      <c r="C292" s="1050"/>
      <c r="D292" s="1050"/>
      <c r="E292" s="1050"/>
      <c r="F292" s="1049"/>
      <c r="G292" s="1049"/>
      <c r="H292" s="1049"/>
      <c r="I292" s="1049"/>
      <c r="J292" s="1050"/>
      <c r="K292" s="1050"/>
      <c r="L292" s="1043"/>
      <c r="M292" s="1051"/>
      <c r="N292" s="1051"/>
      <c r="O292" s="1052"/>
      <c r="P292" s="1051"/>
      <c r="Q292" s="1051"/>
      <c r="R292" s="1052"/>
      <c r="S292" s="1051"/>
      <c r="T292" s="1051"/>
      <c r="U292" s="1052"/>
      <c r="V292" s="1051"/>
      <c r="W292" s="1051"/>
      <c r="X292" s="1052"/>
      <c r="Y292" s="1053"/>
      <c r="Z292" s="1051"/>
      <c r="AA292" s="1051"/>
      <c r="AB292" s="1052"/>
      <c r="AC292" s="1051"/>
      <c r="AD292" s="1051"/>
      <c r="AE292" s="1052"/>
      <c r="AF292" s="1051"/>
      <c r="AG292" s="1051"/>
      <c r="AH292" s="1051"/>
      <c r="AI292" s="1051"/>
      <c r="AJ292" s="1052"/>
      <c r="AK292" s="1051"/>
      <c r="AL292" s="1051"/>
      <c r="AM292" s="1052"/>
      <c r="AN292" s="1051"/>
      <c r="AO292" s="1051"/>
      <c r="AP292" s="1052"/>
      <c r="AQ292" s="1051"/>
      <c r="AR292" s="1051"/>
      <c r="AS292" s="1052"/>
      <c r="AT292" s="1051"/>
      <c r="AU292" s="1051"/>
      <c r="AV292" s="1052"/>
      <c r="AW292" s="1051"/>
      <c r="AX292" s="1051"/>
      <c r="AY292" s="1053"/>
      <c r="AZ292" s="1051"/>
      <c r="BA292" s="1051"/>
      <c r="BB292" s="1053"/>
      <c r="BC292" s="1051"/>
      <c r="BD292" s="1051"/>
      <c r="BE292" s="1053"/>
      <c r="BF292" s="1051"/>
      <c r="BG292" s="1051"/>
      <c r="BH292" s="1053"/>
      <c r="BI292" s="1052"/>
      <c r="BJ292" s="1052"/>
      <c r="BK292" s="1052"/>
      <c r="BL292" s="1052"/>
      <c r="BM292" s="1052"/>
      <c r="BN292" s="1054"/>
      <c r="BO292" s="1076">
        <f t="shared" si="5"/>
        <v>0</v>
      </c>
      <c r="BP292" s="1051"/>
      <c r="BQ292" s="1052"/>
      <c r="BR292" s="1054"/>
      <c r="BS292" s="1053"/>
      <c r="BT292" s="1051"/>
      <c r="BU292" s="1051"/>
      <c r="BV292" s="1051"/>
      <c r="BW292" s="1052"/>
      <c r="BX292" s="1052"/>
      <c r="BY292" s="1052"/>
      <c r="BZ292" s="1052"/>
      <c r="CA292" s="1052"/>
      <c r="CB292" s="1053"/>
      <c r="CC292" s="1053"/>
      <c r="CD292" s="1053"/>
      <c r="CE292" s="1053"/>
      <c r="CF292" s="1053"/>
      <c r="CG292" s="1053"/>
      <c r="CH292" s="1053"/>
      <c r="CI292" s="1123"/>
      <c r="CJ292" s="1123"/>
      <c r="CK292" s="1123"/>
      <c r="CL292" s="1123"/>
      <c r="CM292" s="1123"/>
      <c r="CN292" s="1123"/>
      <c r="CO292" s="1123"/>
      <c r="CP292" s="1123"/>
      <c r="CQ292" s="1123"/>
      <c r="CR292" s="1123"/>
      <c r="CS292" s="1123"/>
      <c r="CT292" s="1123"/>
      <c r="CU292" s="1123"/>
      <c r="CV292" s="1123"/>
      <c r="CW292" s="1123"/>
      <c r="CX292" s="1123"/>
      <c r="CY292" s="1123"/>
      <c r="CZ292" s="1114"/>
      <c r="DA292" s="1114"/>
      <c r="DB292" s="1114"/>
      <c r="DC292" s="1114"/>
      <c r="DD292" s="1114"/>
      <c r="DE292" s="1114"/>
      <c r="DF292" s="1114"/>
      <c r="DG292" s="1114"/>
      <c r="DH292" s="1114"/>
      <c r="DI292" s="1114"/>
      <c r="DJ292" s="1114"/>
      <c r="DK292" s="1114"/>
      <c r="DL292" s="1114"/>
      <c r="DM292" s="1114"/>
      <c r="DN292" s="1114"/>
      <c r="DO292" s="1114"/>
      <c r="DP292" s="1114"/>
      <c r="DQ292" s="1114"/>
      <c r="DR292" s="1114"/>
      <c r="DS292" s="1114"/>
      <c r="DT292" s="1114"/>
      <c r="DU292" s="1114"/>
      <c r="DV292" s="1115"/>
      <c r="DW292" s="1116"/>
      <c r="DX292" s="1116"/>
      <c r="DY292" s="1116"/>
      <c r="DZ292" s="1116"/>
      <c r="EA292" s="1116"/>
      <c r="EB292" s="1116"/>
      <c r="EC292" s="1116"/>
      <c r="ED292" s="1116"/>
      <c r="EE292" s="1116"/>
      <c r="EF292" s="1116"/>
      <c r="EG292" s="1116"/>
      <c r="EH292" s="1116"/>
      <c r="EI292" s="1116"/>
      <c r="EJ292" s="1116"/>
      <c r="EK292" s="1116"/>
      <c r="EL292" s="1116"/>
      <c r="EM292" s="1116"/>
      <c r="EN292" s="1116"/>
      <c r="EO292" s="1116"/>
      <c r="EP292" s="1116"/>
      <c r="EQ292" s="1116"/>
      <c r="ER292" s="1116"/>
      <c r="ES292" s="1116"/>
    </row>
    <row r="293" spans="1:149" ht="15" customHeight="1">
      <c r="A293" s="1185">
        <v>283</v>
      </c>
      <c r="B293" s="1041"/>
      <c r="C293" s="1050"/>
      <c r="D293" s="1050"/>
      <c r="E293" s="1050"/>
      <c r="F293" s="1049"/>
      <c r="G293" s="1049"/>
      <c r="H293" s="1049"/>
      <c r="I293" s="1049"/>
      <c r="J293" s="1050"/>
      <c r="K293" s="1050"/>
      <c r="L293" s="1043"/>
      <c r="M293" s="1051"/>
      <c r="N293" s="1051"/>
      <c r="O293" s="1052"/>
      <c r="P293" s="1051"/>
      <c r="Q293" s="1051"/>
      <c r="R293" s="1052"/>
      <c r="S293" s="1051"/>
      <c r="T293" s="1051"/>
      <c r="U293" s="1052"/>
      <c r="V293" s="1051"/>
      <c r="W293" s="1051"/>
      <c r="X293" s="1052"/>
      <c r="Y293" s="1053"/>
      <c r="Z293" s="1051"/>
      <c r="AA293" s="1051"/>
      <c r="AB293" s="1052"/>
      <c r="AC293" s="1051"/>
      <c r="AD293" s="1051"/>
      <c r="AE293" s="1052"/>
      <c r="AF293" s="1051"/>
      <c r="AG293" s="1051"/>
      <c r="AH293" s="1051"/>
      <c r="AI293" s="1051"/>
      <c r="AJ293" s="1052"/>
      <c r="AK293" s="1051"/>
      <c r="AL293" s="1051"/>
      <c r="AM293" s="1052"/>
      <c r="AN293" s="1051"/>
      <c r="AO293" s="1051"/>
      <c r="AP293" s="1052"/>
      <c r="AQ293" s="1051"/>
      <c r="AR293" s="1051"/>
      <c r="AS293" s="1052"/>
      <c r="AT293" s="1051"/>
      <c r="AU293" s="1051"/>
      <c r="AV293" s="1052"/>
      <c r="AW293" s="1051"/>
      <c r="AX293" s="1051"/>
      <c r="AY293" s="1053"/>
      <c r="AZ293" s="1051"/>
      <c r="BA293" s="1051"/>
      <c r="BB293" s="1053"/>
      <c r="BC293" s="1051"/>
      <c r="BD293" s="1051"/>
      <c r="BE293" s="1053"/>
      <c r="BF293" s="1051"/>
      <c r="BG293" s="1051"/>
      <c r="BH293" s="1053"/>
      <c r="BI293" s="1052"/>
      <c r="BJ293" s="1052"/>
      <c r="BK293" s="1052"/>
      <c r="BL293" s="1052"/>
      <c r="BM293" s="1052"/>
      <c r="BN293" s="1054"/>
      <c r="BO293" s="1076">
        <f t="shared" si="5"/>
        <v>0</v>
      </c>
      <c r="BP293" s="1051"/>
      <c r="BQ293" s="1052"/>
      <c r="BR293" s="1054"/>
      <c r="BS293" s="1053"/>
      <c r="BT293" s="1051"/>
      <c r="BU293" s="1051"/>
      <c r="BV293" s="1051"/>
      <c r="BW293" s="1052"/>
      <c r="BX293" s="1052"/>
      <c r="BY293" s="1052"/>
      <c r="BZ293" s="1052"/>
      <c r="CA293" s="1052"/>
      <c r="CB293" s="1053"/>
      <c r="CC293" s="1053"/>
      <c r="CD293" s="1053"/>
      <c r="CE293" s="1053"/>
      <c r="CF293" s="1053"/>
      <c r="CG293" s="1053"/>
      <c r="CH293" s="1053"/>
      <c r="CI293" s="1123"/>
      <c r="CJ293" s="1123"/>
      <c r="CK293" s="1123"/>
      <c r="CL293" s="1123"/>
      <c r="CM293" s="1123"/>
      <c r="CN293" s="1123"/>
      <c r="CO293" s="1123"/>
      <c r="CP293" s="1123"/>
      <c r="CQ293" s="1123"/>
      <c r="CR293" s="1123"/>
      <c r="CS293" s="1123"/>
      <c r="CT293" s="1123"/>
      <c r="CU293" s="1123"/>
      <c r="CV293" s="1123"/>
      <c r="CW293" s="1123"/>
      <c r="CX293" s="1123"/>
      <c r="CY293" s="1123"/>
      <c r="CZ293" s="1114"/>
      <c r="DA293" s="1114"/>
      <c r="DB293" s="1114"/>
      <c r="DC293" s="1114"/>
      <c r="DD293" s="1114"/>
      <c r="DE293" s="1114"/>
      <c r="DF293" s="1114"/>
      <c r="DG293" s="1114"/>
      <c r="DH293" s="1114"/>
      <c r="DI293" s="1114"/>
      <c r="DJ293" s="1114"/>
      <c r="DK293" s="1114"/>
      <c r="DL293" s="1114"/>
      <c r="DM293" s="1114"/>
      <c r="DN293" s="1114"/>
      <c r="DO293" s="1114"/>
      <c r="DP293" s="1114"/>
      <c r="DQ293" s="1114"/>
      <c r="DR293" s="1114"/>
      <c r="DS293" s="1114"/>
      <c r="DT293" s="1114"/>
      <c r="DU293" s="1114"/>
      <c r="DV293" s="1115"/>
      <c r="DW293" s="1116"/>
      <c r="DX293" s="1116"/>
      <c r="DY293" s="1116"/>
      <c r="DZ293" s="1116"/>
      <c r="EA293" s="1116"/>
      <c r="EB293" s="1116"/>
      <c r="EC293" s="1116"/>
      <c r="ED293" s="1116"/>
      <c r="EE293" s="1116"/>
      <c r="EF293" s="1116"/>
      <c r="EG293" s="1116"/>
      <c r="EH293" s="1116"/>
      <c r="EI293" s="1116"/>
      <c r="EJ293" s="1116"/>
      <c r="EK293" s="1116"/>
      <c r="EL293" s="1116"/>
      <c r="EM293" s="1116"/>
      <c r="EN293" s="1116"/>
      <c r="EO293" s="1116"/>
      <c r="EP293" s="1116"/>
      <c r="EQ293" s="1116"/>
      <c r="ER293" s="1116"/>
      <c r="ES293" s="1116"/>
    </row>
    <row r="294" spans="1:149" ht="15" customHeight="1">
      <c r="A294" s="1185">
        <v>284</v>
      </c>
      <c r="B294" s="1041"/>
      <c r="C294" s="1050"/>
      <c r="D294" s="1050"/>
      <c r="E294" s="1050"/>
      <c r="F294" s="1049"/>
      <c r="G294" s="1049"/>
      <c r="H294" s="1049"/>
      <c r="I294" s="1049"/>
      <c r="J294" s="1050"/>
      <c r="K294" s="1050"/>
      <c r="L294" s="1043"/>
      <c r="M294" s="1051"/>
      <c r="N294" s="1051"/>
      <c r="O294" s="1052"/>
      <c r="P294" s="1051"/>
      <c r="Q294" s="1051"/>
      <c r="R294" s="1052"/>
      <c r="S294" s="1051"/>
      <c r="T294" s="1051"/>
      <c r="U294" s="1052"/>
      <c r="V294" s="1051"/>
      <c r="W294" s="1051"/>
      <c r="X294" s="1052"/>
      <c r="Y294" s="1053"/>
      <c r="Z294" s="1051"/>
      <c r="AA294" s="1051"/>
      <c r="AB294" s="1052"/>
      <c r="AC294" s="1051"/>
      <c r="AD294" s="1051"/>
      <c r="AE294" s="1052"/>
      <c r="AF294" s="1051"/>
      <c r="AG294" s="1051"/>
      <c r="AH294" s="1051"/>
      <c r="AI294" s="1051"/>
      <c r="AJ294" s="1052"/>
      <c r="AK294" s="1051"/>
      <c r="AL294" s="1051"/>
      <c r="AM294" s="1052"/>
      <c r="AN294" s="1051"/>
      <c r="AO294" s="1051"/>
      <c r="AP294" s="1052"/>
      <c r="AQ294" s="1051"/>
      <c r="AR294" s="1051"/>
      <c r="AS294" s="1052"/>
      <c r="AT294" s="1051"/>
      <c r="AU294" s="1051"/>
      <c r="AV294" s="1052"/>
      <c r="AW294" s="1051"/>
      <c r="AX294" s="1051"/>
      <c r="AY294" s="1053"/>
      <c r="AZ294" s="1051"/>
      <c r="BA294" s="1051"/>
      <c r="BB294" s="1053"/>
      <c r="BC294" s="1051"/>
      <c r="BD294" s="1051"/>
      <c r="BE294" s="1053"/>
      <c r="BF294" s="1051"/>
      <c r="BG294" s="1051"/>
      <c r="BH294" s="1053"/>
      <c r="BI294" s="1052"/>
      <c r="BJ294" s="1052"/>
      <c r="BK294" s="1052"/>
      <c r="BL294" s="1052"/>
      <c r="BM294" s="1052"/>
      <c r="BN294" s="1054"/>
      <c r="BO294" s="1076">
        <f t="shared" si="5"/>
        <v>0</v>
      </c>
      <c r="BP294" s="1051"/>
      <c r="BQ294" s="1052"/>
      <c r="BR294" s="1054"/>
      <c r="BS294" s="1053"/>
      <c r="BT294" s="1051"/>
      <c r="BU294" s="1051"/>
      <c r="BV294" s="1051"/>
      <c r="BW294" s="1052"/>
      <c r="BX294" s="1052"/>
      <c r="BY294" s="1052"/>
      <c r="BZ294" s="1052"/>
      <c r="CA294" s="1052"/>
      <c r="CB294" s="1053"/>
      <c r="CC294" s="1053"/>
      <c r="CD294" s="1053"/>
      <c r="CE294" s="1053"/>
      <c r="CF294" s="1053"/>
      <c r="CG294" s="1053"/>
      <c r="CH294" s="1053"/>
      <c r="CI294" s="1123"/>
      <c r="CJ294" s="1123"/>
      <c r="CK294" s="1123"/>
      <c r="CL294" s="1123"/>
      <c r="CM294" s="1123"/>
      <c r="CN294" s="1123"/>
      <c r="CO294" s="1123"/>
      <c r="CP294" s="1123"/>
      <c r="CQ294" s="1123"/>
      <c r="CR294" s="1123"/>
      <c r="CS294" s="1123"/>
      <c r="CT294" s="1123"/>
      <c r="CU294" s="1123"/>
      <c r="CV294" s="1123"/>
      <c r="CW294" s="1123"/>
      <c r="CX294" s="1123"/>
      <c r="CY294" s="1123"/>
      <c r="CZ294" s="1114"/>
      <c r="DA294" s="1114"/>
      <c r="DB294" s="1114"/>
      <c r="DC294" s="1114"/>
      <c r="DD294" s="1114"/>
      <c r="DE294" s="1114"/>
      <c r="DF294" s="1114"/>
      <c r="DG294" s="1114"/>
      <c r="DH294" s="1114"/>
      <c r="DI294" s="1114"/>
      <c r="DJ294" s="1114"/>
      <c r="DK294" s="1114"/>
      <c r="DL294" s="1114"/>
      <c r="DM294" s="1114"/>
      <c r="DN294" s="1114"/>
      <c r="DO294" s="1114"/>
      <c r="DP294" s="1114"/>
      <c r="DQ294" s="1114"/>
      <c r="DR294" s="1114"/>
      <c r="DS294" s="1114"/>
      <c r="DT294" s="1114"/>
      <c r="DU294" s="1114"/>
      <c r="DV294" s="1115"/>
      <c r="DW294" s="1116"/>
      <c r="DX294" s="1116"/>
      <c r="DY294" s="1116"/>
      <c r="DZ294" s="1116"/>
      <c r="EA294" s="1116"/>
      <c r="EB294" s="1116"/>
      <c r="EC294" s="1116"/>
      <c r="ED294" s="1116"/>
      <c r="EE294" s="1116"/>
      <c r="EF294" s="1116"/>
      <c r="EG294" s="1116"/>
      <c r="EH294" s="1116"/>
      <c r="EI294" s="1116"/>
      <c r="EJ294" s="1116"/>
      <c r="EK294" s="1116"/>
      <c r="EL294" s="1116"/>
      <c r="EM294" s="1116"/>
      <c r="EN294" s="1116"/>
      <c r="EO294" s="1116"/>
      <c r="EP294" s="1116"/>
      <c r="EQ294" s="1116"/>
      <c r="ER294" s="1116"/>
      <c r="ES294" s="1116"/>
    </row>
    <row r="295" spans="1:149" ht="15" customHeight="1">
      <c r="A295" s="1185">
        <v>285</v>
      </c>
      <c r="B295" s="1041"/>
      <c r="C295" s="1050"/>
      <c r="D295" s="1050"/>
      <c r="E295" s="1050"/>
      <c r="F295" s="1049"/>
      <c r="G295" s="1049"/>
      <c r="H295" s="1049"/>
      <c r="I295" s="1049"/>
      <c r="J295" s="1050"/>
      <c r="K295" s="1050"/>
      <c r="L295" s="1043"/>
      <c r="M295" s="1051"/>
      <c r="N295" s="1051"/>
      <c r="O295" s="1052"/>
      <c r="P295" s="1051"/>
      <c r="Q295" s="1051"/>
      <c r="R295" s="1052"/>
      <c r="S295" s="1051"/>
      <c r="T295" s="1051"/>
      <c r="U295" s="1052"/>
      <c r="V295" s="1051"/>
      <c r="W295" s="1051"/>
      <c r="X295" s="1052"/>
      <c r="Y295" s="1053"/>
      <c r="Z295" s="1051"/>
      <c r="AA295" s="1051"/>
      <c r="AB295" s="1052"/>
      <c r="AC295" s="1051"/>
      <c r="AD295" s="1051"/>
      <c r="AE295" s="1052"/>
      <c r="AF295" s="1051"/>
      <c r="AG295" s="1051"/>
      <c r="AH295" s="1051"/>
      <c r="AI295" s="1051"/>
      <c r="AJ295" s="1052"/>
      <c r="AK295" s="1051"/>
      <c r="AL295" s="1051"/>
      <c r="AM295" s="1052"/>
      <c r="AN295" s="1051"/>
      <c r="AO295" s="1051"/>
      <c r="AP295" s="1052"/>
      <c r="AQ295" s="1051"/>
      <c r="AR295" s="1051"/>
      <c r="AS295" s="1052"/>
      <c r="AT295" s="1051"/>
      <c r="AU295" s="1051"/>
      <c r="AV295" s="1052"/>
      <c r="AW295" s="1051"/>
      <c r="AX295" s="1051"/>
      <c r="AY295" s="1053"/>
      <c r="AZ295" s="1051"/>
      <c r="BA295" s="1051"/>
      <c r="BB295" s="1053"/>
      <c r="BC295" s="1051"/>
      <c r="BD295" s="1051"/>
      <c r="BE295" s="1053"/>
      <c r="BF295" s="1051"/>
      <c r="BG295" s="1051"/>
      <c r="BH295" s="1053"/>
      <c r="BI295" s="1052"/>
      <c r="BJ295" s="1052"/>
      <c r="BK295" s="1052"/>
      <c r="BL295" s="1052"/>
      <c r="BM295" s="1052"/>
      <c r="BN295" s="1054"/>
      <c r="BO295" s="1076">
        <f t="shared" si="5"/>
        <v>0</v>
      </c>
      <c r="BP295" s="1051"/>
      <c r="BQ295" s="1052"/>
      <c r="BR295" s="1054"/>
      <c r="BS295" s="1053"/>
      <c r="BT295" s="1051"/>
      <c r="BU295" s="1051"/>
      <c r="BV295" s="1051"/>
      <c r="BW295" s="1052"/>
      <c r="BX295" s="1052"/>
      <c r="BY295" s="1052"/>
      <c r="BZ295" s="1052"/>
      <c r="CA295" s="1052"/>
      <c r="CB295" s="1053"/>
      <c r="CC295" s="1053"/>
      <c r="CD295" s="1053"/>
      <c r="CE295" s="1053"/>
      <c r="CF295" s="1053"/>
      <c r="CG295" s="1053"/>
      <c r="CH295" s="1053"/>
      <c r="CI295" s="1123"/>
      <c r="CJ295" s="1123"/>
      <c r="CK295" s="1123"/>
      <c r="CL295" s="1123"/>
      <c r="CM295" s="1123"/>
      <c r="CN295" s="1123"/>
      <c r="CO295" s="1123"/>
      <c r="CP295" s="1123"/>
      <c r="CQ295" s="1123"/>
      <c r="CR295" s="1123"/>
      <c r="CS295" s="1123"/>
      <c r="CT295" s="1123"/>
      <c r="CU295" s="1123"/>
      <c r="CV295" s="1123"/>
      <c r="CW295" s="1123"/>
      <c r="CX295" s="1123"/>
      <c r="CY295" s="1123"/>
      <c r="CZ295" s="1114"/>
      <c r="DA295" s="1114"/>
      <c r="DB295" s="1114"/>
      <c r="DC295" s="1114"/>
      <c r="DD295" s="1114"/>
      <c r="DE295" s="1114"/>
      <c r="DF295" s="1114"/>
      <c r="DG295" s="1114"/>
      <c r="DH295" s="1114"/>
      <c r="DI295" s="1114"/>
      <c r="DJ295" s="1114"/>
      <c r="DK295" s="1114"/>
      <c r="DL295" s="1114"/>
      <c r="DM295" s="1114"/>
      <c r="DN295" s="1114"/>
      <c r="DO295" s="1114"/>
      <c r="DP295" s="1114"/>
      <c r="DQ295" s="1114"/>
      <c r="DR295" s="1114"/>
      <c r="DS295" s="1114"/>
      <c r="DT295" s="1114"/>
      <c r="DU295" s="1114"/>
      <c r="DV295" s="1115"/>
      <c r="DW295" s="1116"/>
      <c r="DX295" s="1116"/>
      <c r="DY295" s="1116"/>
      <c r="DZ295" s="1116"/>
      <c r="EA295" s="1116"/>
      <c r="EB295" s="1116"/>
      <c r="EC295" s="1116"/>
      <c r="ED295" s="1116"/>
      <c r="EE295" s="1116"/>
      <c r="EF295" s="1116"/>
      <c r="EG295" s="1116"/>
      <c r="EH295" s="1116"/>
      <c r="EI295" s="1116"/>
      <c r="EJ295" s="1116"/>
      <c r="EK295" s="1116"/>
      <c r="EL295" s="1116"/>
      <c r="EM295" s="1116"/>
      <c r="EN295" s="1116"/>
      <c r="EO295" s="1116"/>
      <c r="EP295" s="1116"/>
      <c r="EQ295" s="1116"/>
      <c r="ER295" s="1116"/>
      <c r="ES295" s="1116"/>
    </row>
    <row r="296" spans="1:149" ht="15" customHeight="1">
      <c r="A296" s="1185">
        <v>286</v>
      </c>
      <c r="B296" s="1041"/>
      <c r="C296" s="1050"/>
      <c r="D296" s="1050"/>
      <c r="E296" s="1050"/>
      <c r="F296" s="1049"/>
      <c r="G296" s="1049"/>
      <c r="H296" s="1049"/>
      <c r="I296" s="1049"/>
      <c r="J296" s="1050"/>
      <c r="K296" s="1050"/>
      <c r="L296" s="1043"/>
      <c r="M296" s="1051"/>
      <c r="N296" s="1051"/>
      <c r="O296" s="1052"/>
      <c r="P296" s="1051"/>
      <c r="Q296" s="1051"/>
      <c r="R296" s="1052"/>
      <c r="S296" s="1051"/>
      <c r="T296" s="1051"/>
      <c r="U296" s="1052"/>
      <c r="V296" s="1051"/>
      <c r="W296" s="1051"/>
      <c r="X296" s="1052"/>
      <c r="Y296" s="1053"/>
      <c r="Z296" s="1051"/>
      <c r="AA296" s="1051"/>
      <c r="AB296" s="1052"/>
      <c r="AC296" s="1051"/>
      <c r="AD296" s="1051"/>
      <c r="AE296" s="1052"/>
      <c r="AF296" s="1051"/>
      <c r="AG296" s="1051"/>
      <c r="AH296" s="1051"/>
      <c r="AI296" s="1051"/>
      <c r="AJ296" s="1052"/>
      <c r="AK296" s="1051"/>
      <c r="AL296" s="1051"/>
      <c r="AM296" s="1052"/>
      <c r="AN296" s="1051"/>
      <c r="AO296" s="1051"/>
      <c r="AP296" s="1052"/>
      <c r="AQ296" s="1051"/>
      <c r="AR296" s="1051"/>
      <c r="AS296" s="1052"/>
      <c r="AT296" s="1051"/>
      <c r="AU296" s="1051"/>
      <c r="AV296" s="1052"/>
      <c r="AW296" s="1051"/>
      <c r="AX296" s="1051"/>
      <c r="AY296" s="1053"/>
      <c r="AZ296" s="1051"/>
      <c r="BA296" s="1051"/>
      <c r="BB296" s="1053"/>
      <c r="BC296" s="1051"/>
      <c r="BD296" s="1051"/>
      <c r="BE296" s="1053"/>
      <c r="BF296" s="1051"/>
      <c r="BG296" s="1051"/>
      <c r="BH296" s="1053"/>
      <c r="BI296" s="1052"/>
      <c r="BJ296" s="1052"/>
      <c r="BK296" s="1052"/>
      <c r="BL296" s="1052"/>
      <c r="BM296" s="1052"/>
      <c r="BN296" s="1054"/>
      <c r="BO296" s="1076">
        <f t="shared" si="5"/>
        <v>0</v>
      </c>
      <c r="BP296" s="1051"/>
      <c r="BQ296" s="1052"/>
      <c r="BR296" s="1054"/>
      <c r="BS296" s="1053"/>
      <c r="BT296" s="1051"/>
      <c r="BU296" s="1051"/>
      <c r="BV296" s="1051"/>
      <c r="BW296" s="1052"/>
      <c r="BX296" s="1052"/>
      <c r="BY296" s="1052"/>
      <c r="BZ296" s="1052"/>
      <c r="CA296" s="1052"/>
      <c r="CB296" s="1053"/>
      <c r="CC296" s="1053"/>
      <c r="CD296" s="1053"/>
      <c r="CE296" s="1053"/>
      <c r="CF296" s="1053"/>
      <c r="CG296" s="1053"/>
      <c r="CH296" s="1053"/>
      <c r="CI296" s="1123"/>
      <c r="CJ296" s="1123"/>
      <c r="CK296" s="1123"/>
      <c r="CL296" s="1123"/>
      <c r="CM296" s="1123"/>
      <c r="CN296" s="1123"/>
      <c r="CO296" s="1123"/>
      <c r="CP296" s="1123"/>
      <c r="CQ296" s="1123"/>
      <c r="CR296" s="1123"/>
      <c r="CS296" s="1123"/>
      <c r="CT296" s="1123"/>
      <c r="CU296" s="1123"/>
      <c r="CV296" s="1123"/>
      <c r="CW296" s="1123"/>
      <c r="CX296" s="1123"/>
      <c r="CY296" s="1123"/>
      <c r="CZ296" s="1114"/>
      <c r="DA296" s="1114"/>
      <c r="DB296" s="1114"/>
      <c r="DC296" s="1114"/>
      <c r="DD296" s="1114"/>
      <c r="DE296" s="1114"/>
      <c r="DF296" s="1114"/>
      <c r="DG296" s="1114"/>
      <c r="DH296" s="1114"/>
      <c r="DI296" s="1114"/>
      <c r="DJ296" s="1114"/>
      <c r="DK296" s="1114"/>
      <c r="DL296" s="1114"/>
      <c r="DM296" s="1114"/>
      <c r="DN296" s="1114"/>
      <c r="DO296" s="1114"/>
      <c r="DP296" s="1114"/>
      <c r="DQ296" s="1114"/>
      <c r="DR296" s="1114"/>
      <c r="DS296" s="1114"/>
      <c r="DT296" s="1114"/>
      <c r="DU296" s="1114"/>
      <c r="DV296" s="1115"/>
      <c r="DW296" s="1116"/>
      <c r="DX296" s="1116"/>
      <c r="DY296" s="1116"/>
      <c r="DZ296" s="1116"/>
      <c r="EA296" s="1116"/>
      <c r="EB296" s="1116"/>
      <c r="EC296" s="1116"/>
      <c r="ED296" s="1116"/>
      <c r="EE296" s="1116"/>
      <c r="EF296" s="1116"/>
      <c r="EG296" s="1116"/>
      <c r="EH296" s="1116"/>
      <c r="EI296" s="1116"/>
      <c r="EJ296" s="1116"/>
      <c r="EK296" s="1116"/>
      <c r="EL296" s="1116"/>
      <c r="EM296" s="1116"/>
      <c r="EN296" s="1116"/>
      <c r="EO296" s="1116"/>
      <c r="EP296" s="1116"/>
      <c r="EQ296" s="1116"/>
      <c r="ER296" s="1116"/>
      <c r="ES296" s="1116"/>
    </row>
    <row r="297" spans="1:149" ht="15" customHeight="1">
      <c r="A297" s="1185">
        <v>287</v>
      </c>
      <c r="B297" s="1041"/>
      <c r="C297" s="1050"/>
      <c r="D297" s="1050"/>
      <c r="E297" s="1050"/>
      <c r="F297" s="1049"/>
      <c r="G297" s="1049"/>
      <c r="H297" s="1049"/>
      <c r="I297" s="1049"/>
      <c r="J297" s="1050"/>
      <c r="K297" s="1050"/>
      <c r="L297" s="1043"/>
      <c r="M297" s="1051"/>
      <c r="N297" s="1051"/>
      <c r="O297" s="1052"/>
      <c r="P297" s="1051"/>
      <c r="Q297" s="1051"/>
      <c r="R297" s="1052"/>
      <c r="S297" s="1051"/>
      <c r="T297" s="1051"/>
      <c r="U297" s="1052"/>
      <c r="V297" s="1051"/>
      <c r="W297" s="1051"/>
      <c r="X297" s="1052"/>
      <c r="Y297" s="1053"/>
      <c r="Z297" s="1051"/>
      <c r="AA297" s="1051"/>
      <c r="AB297" s="1052"/>
      <c r="AC297" s="1051"/>
      <c r="AD297" s="1051"/>
      <c r="AE297" s="1052"/>
      <c r="AF297" s="1051"/>
      <c r="AG297" s="1051"/>
      <c r="AH297" s="1051"/>
      <c r="AI297" s="1051"/>
      <c r="AJ297" s="1052"/>
      <c r="AK297" s="1051"/>
      <c r="AL297" s="1051"/>
      <c r="AM297" s="1052"/>
      <c r="AN297" s="1051"/>
      <c r="AO297" s="1051"/>
      <c r="AP297" s="1052"/>
      <c r="AQ297" s="1051"/>
      <c r="AR297" s="1051"/>
      <c r="AS297" s="1052"/>
      <c r="AT297" s="1051"/>
      <c r="AU297" s="1051"/>
      <c r="AV297" s="1052"/>
      <c r="AW297" s="1051"/>
      <c r="AX297" s="1051"/>
      <c r="AY297" s="1053"/>
      <c r="AZ297" s="1051"/>
      <c r="BA297" s="1051"/>
      <c r="BB297" s="1053"/>
      <c r="BC297" s="1051"/>
      <c r="BD297" s="1051"/>
      <c r="BE297" s="1053"/>
      <c r="BF297" s="1051"/>
      <c r="BG297" s="1051"/>
      <c r="BH297" s="1053"/>
      <c r="BI297" s="1052"/>
      <c r="BJ297" s="1052"/>
      <c r="BK297" s="1052"/>
      <c r="BL297" s="1052"/>
      <c r="BM297" s="1052"/>
      <c r="BN297" s="1054"/>
      <c r="BO297" s="1076">
        <f t="shared" si="5"/>
        <v>0</v>
      </c>
      <c r="BP297" s="1051"/>
      <c r="BQ297" s="1052"/>
      <c r="BR297" s="1054"/>
      <c r="BS297" s="1053"/>
      <c r="BT297" s="1051"/>
      <c r="BU297" s="1051"/>
      <c r="BV297" s="1051"/>
      <c r="BW297" s="1052"/>
      <c r="BX297" s="1052"/>
      <c r="BY297" s="1052"/>
      <c r="BZ297" s="1052"/>
      <c r="CA297" s="1052"/>
      <c r="CB297" s="1053"/>
      <c r="CC297" s="1053"/>
      <c r="CD297" s="1053"/>
      <c r="CE297" s="1053"/>
      <c r="CF297" s="1053"/>
      <c r="CG297" s="1053"/>
      <c r="CH297" s="1053"/>
      <c r="CI297" s="1123"/>
      <c r="CJ297" s="1123"/>
      <c r="CK297" s="1123"/>
      <c r="CL297" s="1123"/>
      <c r="CM297" s="1123"/>
      <c r="CN297" s="1123"/>
      <c r="CO297" s="1123"/>
      <c r="CP297" s="1123"/>
      <c r="CQ297" s="1123"/>
      <c r="CR297" s="1123"/>
      <c r="CS297" s="1123"/>
      <c r="CT297" s="1123"/>
      <c r="CU297" s="1123"/>
      <c r="CV297" s="1123"/>
      <c r="CW297" s="1123"/>
      <c r="CX297" s="1123"/>
      <c r="CY297" s="1123"/>
      <c r="CZ297" s="1114"/>
      <c r="DA297" s="1114"/>
      <c r="DB297" s="1114"/>
      <c r="DC297" s="1114"/>
      <c r="DD297" s="1114"/>
      <c r="DE297" s="1114"/>
      <c r="DF297" s="1114"/>
      <c r="DG297" s="1114"/>
      <c r="DH297" s="1114"/>
      <c r="DI297" s="1114"/>
      <c r="DJ297" s="1114"/>
      <c r="DK297" s="1114"/>
      <c r="DL297" s="1114"/>
      <c r="DM297" s="1114"/>
      <c r="DN297" s="1114"/>
      <c r="DO297" s="1114"/>
      <c r="DP297" s="1114"/>
      <c r="DQ297" s="1114"/>
      <c r="DR297" s="1114"/>
      <c r="DS297" s="1114"/>
      <c r="DT297" s="1114"/>
      <c r="DU297" s="1114"/>
      <c r="DV297" s="1115"/>
      <c r="DW297" s="1116"/>
      <c r="DX297" s="1116"/>
      <c r="DY297" s="1116"/>
      <c r="DZ297" s="1116"/>
      <c r="EA297" s="1116"/>
      <c r="EB297" s="1116"/>
      <c r="EC297" s="1116"/>
      <c r="ED297" s="1116"/>
      <c r="EE297" s="1116"/>
      <c r="EF297" s="1116"/>
      <c r="EG297" s="1116"/>
      <c r="EH297" s="1116"/>
      <c r="EI297" s="1116"/>
      <c r="EJ297" s="1116"/>
      <c r="EK297" s="1116"/>
      <c r="EL297" s="1116"/>
      <c r="EM297" s="1116"/>
      <c r="EN297" s="1116"/>
      <c r="EO297" s="1116"/>
      <c r="EP297" s="1116"/>
      <c r="EQ297" s="1116"/>
      <c r="ER297" s="1116"/>
      <c r="ES297" s="1116"/>
    </row>
    <row r="298" spans="1:149" ht="15" customHeight="1">
      <c r="A298" s="1185">
        <v>288</v>
      </c>
      <c r="B298" s="1041"/>
      <c r="C298" s="1050"/>
      <c r="D298" s="1050"/>
      <c r="E298" s="1050"/>
      <c r="F298" s="1049"/>
      <c r="G298" s="1049"/>
      <c r="H298" s="1049"/>
      <c r="I298" s="1049"/>
      <c r="J298" s="1050"/>
      <c r="K298" s="1050"/>
      <c r="L298" s="1043"/>
      <c r="M298" s="1051"/>
      <c r="N298" s="1051"/>
      <c r="O298" s="1052"/>
      <c r="P298" s="1051"/>
      <c r="Q298" s="1051"/>
      <c r="R298" s="1052"/>
      <c r="S298" s="1051"/>
      <c r="T298" s="1051"/>
      <c r="U298" s="1052"/>
      <c r="V298" s="1051"/>
      <c r="W298" s="1051"/>
      <c r="X298" s="1052"/>
      <c r="Y298" s="1053"/>
      <c r="Z298" s="1051"/>
      <c r="AA298" s="1051"/>
      <c r="AB298" s="1052"/>
      <c r="AC298" s="1051"/>
      <c r="AD298" s="1051"/>
      <c r="AE298" s="1052"/>
      <c r="AF298" s="1051"/>
      <c r="AG298" s="1051"/>
      <c r="AH298" s="1051"/>
      <c r="AI298" s="1051"/>
      <c r="AJ298" s="1052"/>
      <c r="AK298" s="1051"/>
      <c r="AL298" s="1051"/>
      <c r="AM298" s="1052"/>
      <c r="AN298" s="1051"/>
      <c r="AO298" s="1051"/>
      <c r="AP298" s="1052"/>
      <c r="AQ298" s="1051"/>
      <c r="AR298" s="1051"/>
      <c r="AS298" s="1052"/>
      <c r="AT298" s="1051"/>
      <c r="AU298" s="1051"/>
      <c r="AV298" s="1052"/>
      <c r="AW298" s="1051"/>
      <c r="AX298" s="1051"/>
      <c r="AY298" s="1053"/>
      <c r="AZ298" s="1051"/>
      <c r="BA298" s="1051"/>
      <c r="BB298" s="1053"/>
      <c r="BC298" s="1051"/>
      <c r="BD298" s="1051"/>
      <c r="BE298" s="1053"/>
      <c r="BF298" s="1051"/>
      <c r="BG298" s="1051"/>
      <c r="BH298" s="1053"/>
      <c r="BI298" s="1052"/>
      <c r="BJ298" s="1052"/>
      <c r="BK298" s="1052"/>
      <c r="BL298" s="1052"/>
      <c r="BM298" s="1052"/>
      <c r="BN298" s="1054"/>
      <c r="BO298" s="1076">
        <f t="shared" si="5"/>
        <v>0</v>
      </c>
      <c r="BP298" s="1051"/>
      <c r="BQ298" s="1052"/>
      <c r="BR298" s="1054"/>
      <c r="BS298" s="1053"/>
      <c r="BT298" s="1051"/>
      <c r="BU298" s="1051"/>
      <c r="BV298" s="1051"/>
      <c r="BW298" s="1052"/>
      <c r="BX298" s="1052"/>
      <c r="BY298" s="1052"/>
      <c r="BZ298" s="1052"/>
      <c r="CA298" s="1052"/>
      <c r="CB298" s="1053"/>
      <c r="CC298" s="1053"/>
      <c r="CD298" s="1053"/>
      <c r="CE298" s="1053"/>
      <c r="CF298" s="1053"/>
      <c r="CG298" s="1053"/>
      <c r="CH298" s="1053"/>
      <c r="CI298" s="1123"/>
      <c r="CJ298" s="1123"/>
      <c r="CK298" s="1123"/>
      <c r="CL298" s="1123"/>
      <c r="CM298" s="1123"/>
      <c r="CN298" s="1123"/>
      <c r="CO298" s="1123"/>
      <c r="CP298" s="1123"/>
      <c r="CQ298" s="1123"/>
      <c r="CR298" s="1123"/>
      <c r="CS298" s="1123"/>
      <c r="CT298" s="1123"/>
      <c r="CU298" s="1123"/>
      <c r="CV298" s="1123"/>
      <c r="CW298" s="1123"/>
      <c r="CX298" s="1123"/>
      <c r="CY298" s="1123"/>
      <c r="CZ298" s="1114"/>
      <c r="DA298" s="1114"/>
      <c r="DB298" s="1114"/>
      <c r="DC298" s="1114"/>
      <c r="DD298" s="1114"/>
      <c r="DE298" s="1114"/>
      <c r="DF298" s="1114"/>
      <c r="DG298" s="1114"/>
      <c r="DH298" s="1114"/>
      <c r="DI298" s="1114"/>
      <c r="DJ298" s="1114"/>
      <c r="DK298" s="1114"/>
      <c r="DL298" s="1114"/>
      <c r="DM298" s="1114"/>
      <c r="DN298" s="1114"/>
      <c r="DO298" s="1114"/>
      <c r="DP298" s="1114"/>
      <c r="DQ298" s="1114"/>
      <c r="DR298" s="1114"/>
      <c r="DS298" s="1114"/>
      <c r="DT298" s="1114"/>
      <c r="DU298" s="1114"/>
      <c r="DV298" s="1115"/>
      <c r="DW298" s="1116"/>
      <c r="DX298" s="1116"/>
      <c r="DY298" s="1116"/>
      <c r="DZ298" s="1116"/>
      <c r="EA298" s="1116"/>
      <c r="EB298" s="1116"/>
      <c r="EC298" s="1116"/>
      <c r="ED298" s="1116"/>
      <c r="EE298" s="1116"/>
      <c r="EF298" s="1116"/>
      <c r="EG298" s="1116"/>
      <c r="EH298" s="1116"/>
      <c r="EI298" s="1116"/>
      <c r="EJ298" s="1116"/>
      <c r="EK298" s="1116"/>
      <c r="EL298" s="1116"/>
      <c r="EM298" s="1116"/>
      <c r="EN298" s="1116"/>
      <c r="EO298" s="1116"/>
      <c r="EP298" s="1116"/>
      <c r="EQ298" s="1116"/>
      <c r="ER298" s="1116"/>
      <c r="ES298" s="1116"/>
    </row>
    <row r="299" spans="1:149" ht="15" customHeight="1">
      <c r="A299" s="1185">
        <v>289</v>
      </c>
      <c r="B299" s="1041"/>
      <c r="C299" s="1050"/>
      <c r="D299" s="1050"/>
      <c r="E299" s="1050"/>
      <c r="F299" s="1049"/>
      <c r="G299" s="1049"/>
      <c r="H299" s="1049"/>
      <c r="I299" s="1049"/>
      <c r="J299" s="1050"/>
      <c r="K299" s="1050"/>
      <c r="L299" s="1043"/>
      <c r="M299" s="1051"/>
      <c r="N299" s="1051"/>
      <c r="O299" s="1052"/>
      <c r="P299" s="1051"/>
      <c r="Q299" s="1051"/>
      <c r="R299" s="1052"/>
      <c r="S299" s="1051"/>
      <c r="T299" s="1051"/>
      <c r="U299" s="1052"/>
      <c r="V299" s="1051"/>
      <c r="W299" s="1051"/>
      <c r="X299" s="1052"/>
      <c r="Y299" s="1053"/>
      <c r="Z299" s="1051"/>
      <c r="AA299" s="1051"/>
      <c r="AB299" s="1052"/>
      <c r="AC299" s="1051"/>
      <c r="AD299" s="1051"/>
      <c r="AE299" s="1052"/>
      <c r="AF299" s="1051"/>
      <c r="AG299" s="1051"/>
      <c r="AH299" s="1051"/>
      <c r="AI299" s="1051"/>
      <c r="AJ299" s="1052"/>
      <c r="AK299" s="1051"/>
      <c r="AL299" s="1051"/>
      <c r="AM299" s="1052"/>
      <c r="AN299" s="1051"/>
      <c r="AO299" s="1051"/>
      <c r="AP299" s="1052"/>
      <c r="AQ299" s="1051"/>
      <c r="AR299" s="1051"/>
      <c r="AS299" s="1052"/>
      <c r="AT299" s="1051"/>
      <c r="AU299" s="1051"/>
      <c r="AV299" s="1052"/>
      <c r="AW299" s="1051"/>
      <c r="AX299" s="1051"/>
      <c r="AY299" s="1053"/>
      <c r="AZ299" s="1051"/>
      <c r="BA299" s="1051"/>
      <c r="BB299" s="1053"/>
      <c r="BC299" s="1051"/>
      <c r="BD299" s="1051"/>
      <c r="BE299" s="1053"/>
      <c r="BF299" s="1051"/>
      <c r="BG299" s="1051"/>
      <c r="BH299" s="1053"/>
      <c r="BI299" s="1052"/>
      <c r="BJ299" s="1052"/>
      <c r="BK299" s="1052"/>
      <c r="BL299" s="1052"/>
      <c r="BM299" s="1052"/>
      <c r="BN299" s="1054"/>
      <c r="BO299" s="1076">
        <f t="shared" si="5"/>
        <v>0</v>
      </c>
      <c r="BP299" s="1051"/>
      <c r="BQ299" s="1052"/>
      <c r="BR299" s="1054"/>
      <c r="BS299" s="1053"/>
      <c r="BT299" s="1051"/>
      <c r="BU299" s="1051"/>
      <c r="BV299" s="1051"/>
      <c r="BW299" s="1052"/>
      <c r="BX299" s="1052"/>
      <c r="BY299" s="1052"/>
      <c r="BZ299" s="1052"/>
      <c r="CA299" s="1052"/>
      <c r="CB299" s="1053"/>
      <c r="CC299" s="1053"/>
      <c r="CD299" s="1053"/>
      <c r="CE299" s="1053"/>
      <c r="CF299" s="1053"/>
      <c r="CG299" s="1053"/>
      <c r="CH299" s="1053"/>
      <c r="CI299" s="1123"/>
      <c r="CJ299" s="1123"/>
      <c r="CK299" s="1123"/>
      <c r="CL299" s="1123"/>
      <c r="CM299" s="1123"/>
      <c r="CN299" s="1123"/>
      <c r="CO299" s="1123"/>
      <c r="CP299" s="1123"/>
      <c r="CQ299" s="1123"/>
      <c r="CR299" s="1123"/>
      <c r="CS299" s="1123"/>
      <c r="CT299" s="1123"/>
      <c r="CU299" s="1123"/>
      <c r="CV299" s="1123"/>
      <c r="CW299" s="1123"/>
      <c r="CX299" s="1123"/>
      <c r="CY299" s="1123"/>
      <c r="CZ299" s="1114"/>
      <c r="DA299" s="1114"/>
      <c r="DB299" s="1114"/>
      <c r="DC299" s="1114"/>
      <c r="DD299" s="1114"/>
      <c r="DE299" s="1114"/>
      <c r="DF299" s="1114"/>
      <c r="DG299" s="1114"/>
      <c r="DH299" s="1114"/>
      <c r="DI299" s="1114"/>
      <c r="DJ299" s="1114"/>
      <c r="DK299" s="1114"/>
      <c r="DL299" s="1114"/>
      <c r="DM299" s="1114"/>
      <c r="DN299" s="1114"/>
      <c r="DO299" s="1114"/>
      <c r="DP299" s="1114"/>
      <c r="DQ299" s="1114"/>
      <c r="DR299" s="1114"/>
      <c r="DS299" s="1114"/>
      <c r="DT299" s="1114"/>
      <c r="DU299" s="1114"/>
      <c r="DV299" s="1115"/>
      <c r="DW299" s="1116"/>
      <c r="DX299" s="1116"/>
      <c r="DY299" s="1116"/>
      <c r="DZ299" s="1116"/>
      <c r="EA299" s="1116"/>
      <c r="EB299" s="1116"/>
      <c r="EC299" s="1116"/>
      <c r="ED299" s="1116"/>
      <c r="EE299" s="1116"/>
      <c r="EF299" s="1116"/>
      <c r="EG299" s="1116"/>
      <c r="EH299" s="1116"/>
      <c r="EI299" s="1116"/>
      <c r="EJ299" s="1116"/>
      <c r="EK299" s="1116"/>
      <c r="EL299" s="1116"/>
      <c r="EM299" s="1116"/>
      <c r="EN299" s="1116"/>
      <c r="EO299" s="1116"/>
      <c r="EP299" s="1116"/>
      <c r="EQ299" s="1116"/>
      <c r="ER299" s="1116"/>
      <c r="ES299" s="1116"/>
    </row>
    <row r="300" spans="1:149" ht="15" customHeight="1">
      <c r="A300" s="1185">
        <v>290</v>
      </c>
      <c r="B300" s="1041"/>
      <c r="C300" s="1050"/>
      <c r="D300" s="1050"/>
      <c r="E300" s="1050"/>
      <c r="F300" s="1049"/>
      <c r="G300" s="1049"/>
      <c r="H300" s="1049"/>
      <c r="I300" s="1049"/>
      <c r="J300" s="1050"/>
      <c r="K300" s="1050"/>
      <c r="L300" s="1043"/>
      <c r="M300" s="1051"/>
      <c r="N300" s="1051"/>
      <c r="O300" s="1052"/>
      <c r="P300" s="1051"/>
      <c r="Q300" s="1051"/>
      <c r="R300" s="1052"/>
      <c r="S300" s="1051"/>
      <c r="T300" s="1051"/>
      <c r="U300" s="1052"/>
      <c r="V300" s="1051"/>
      <c r="W300" s="1051"/>
      <c r="X300" s="1052"/>
      <c r="Y300" s="1053"/>
      <c r="Z300" s="1051"/>
      <c r="AA300" s="1051"/>
      <c r="AB300" s="1052"/>
      <c r="AC300" s="1051"/>
      <c r="AD300" s="1051"/>
      <c r="AE300" s="1052"/>
      <c r="AF300" s="1051"/>
      <c r="AG300" s="1051"/>
      <c r="AH300" s="1051"/>
      <c r="AI300" s="1051"/>
      <c r="AJ300" s="1052"/>
      <c r="AK300" s="1051"/>
      <c r="AL300" s="1051"/>
      <c r="AM300" s="1052"/>
      <c r="AN300" s="1051"/>
      <c r="AO300" s="1051"/>
      <c r="AP300" s="1052"/>
      <c r="AQ300" s="1051"/>
      <c r="AR300" s="1051"/>
      <c r="AS300" s="1052"/>
      <c r="AT300" s="1051"/>
      <c r="AU300" s="1051"/>
      <c r="AV300" s="1052"/>
      <c r="AW300" s="1051"/>
      <c r="AX300" s="1051"/>
      <c r="AY300" s="1053"/>
      <c r="AZ300" s="1051"/>
      <c r="BA300" s="1051"/>
      <c r="BB300" s="1053"/>
      <c r="BC300" s="1051"/>
      <c r="BD300" s="1051"/>
      <c r="BE300" s="1053"/>
      <c r="BF300" s="1051"/>
      <c r="BG300" s="1051"/>
      <c r="BH300" s="1053"/>
      <c r="BI300" s="1052"/>
      <c r="BJ300" s="1052"/>
      <c r="BK300" s="1052"/>
      <c r="BL300" s="1052"/>
      <c r="BM300" s="1052"/>
      <c r="BN300" s="1054"/>
      <c r="BO300" s="1076">
        <f t="shared" si="5"/>
        <v>0</v>
      </c>
      <c r="BP300" s="1051"/>
      <c r="BQ300" s="1052"/>
      <c r="BR300" s="1054"/>
      <c r="BS300" s="1053"/>
      <c r="BT300" s="1051"/>
      <c r="BU300" s="1051"/>
      <c r="BV300" s="1051"/>
      <c r="BW300" s="1052"/>
      <c r="BX300" s="1052"/>
      <c r="BY300" s="1052"/>
      <c r="BZ300" s="1052"/>
      <c r="CA300" s="1052"/>
      <c r="CB300" s="1053"/>
      <c r="CC300" s="1053"/>
      <c r="CD300" s="1053"/>
      <c r="CE300" s="1053"/>
      <c r="CF300" s="1053"/>
      <c r="CG300" s="1053"/>
      <c r="CH300" s="1053"/>
      <c r="CI300" s="1123"/>
      <c r="CJ300" s="1123"/>
      <c r="CK300" s="1123"/>
      <c r="CL300" s="1123"/>
      <c r="CM300" s="1123"/>
      <c r="CN300" s="1123"/>
      <c r="CO300" s="1123"/>
      <c r="CP300" s="1123"/>
      <c r="CQ300" s="1123"/>
      <c r="CR300" s="1123"/>
      <c r="CS300" s="1123"/>
      <c r="CT300" s="1123"/>
      <c r="CU300" s="1123"/>
      <c r="CV300" s="1123"/>
      <c r="CW300" s="1123"/>
      <c r="CX300" s="1123"/>
      <c r="CY300" s="1123"/>
      <c r="CZ300" s="1114"/>
      <c r="DA300" s="1114"/>
      <c r="DB300" s="1114"/>
      <c r="DC300" s="1114"/>
      <c r="DD300" s="1114"/>
      <c r="DE300" s="1114"/>
      <c r="DF300" s="1114"/>
      <c r="DG300" s="1114"/>
      <c r="DH300" s="1114"/>
      <c r="DI300" s="1114"/>
      <c r="DJ300" s="1114"/>
      <c r="DK300" s="1114"/>
      <c r="DL300" s="1114"/>
      <c r="DM300" s="1114"/>
      <c r="DN300" s="1114"/>
      <c r="DO300" s="1114"/>
      <c r="DP300" s="1114"/>
      <c r="DQ300" s="1114"/>
      <c r="DR300" s="1114"/>
      <c r="DS300" s="1114"/>
      <c r="DT300" s="1114"/>
      <c r="DU300" s="1114"/>
      <c r="DV300" s="1115"/>
      <c r="DW300" s="1116"/>
      <c r="DX300" s="1116"/>
      <c r="DY300" s="1116"/>
      <c r="DZ300" s="1116"/>
      <c r="EA300" s="1116"/>
      <c r="EB300" s="1116"/>
      <c r="EC300" s="1116"/>
      <c r="ED300" s="1116"/>
      <c r="EE300" s="1116"/>
      <c r="EF300" s="1116"/>
      <c r="EG300" s="1116"/>
      <c r="EH300" s="1116"/>
      <c r="EI300" s="1116"/>
      <c r="EJ300" s="1116"/>
      <c r="EK300" s="1116"/>
      <c r="EL300" s="1116"/>
      <c r="EM300" s="1116"/>
      <c r="EN300" s="1116"/>
      <c r="EO300" s="1116"/>
      <c r="EP300" s="1116"/>
      <c r="EQ300" s="1116"/>
      <c r="ER300" s="1116"/>
      <c r="ES300" s="1116"/>
    </row>
    <row r="301" spans="1:149" ht="15" customHeight="1">
      <c r="A301" s="1185">
        <v>291</v>
      </c>
      <c r="B301" s="1041"/>
      <c r="C301" s="1050"/>
      <c r="D301" s="1050"/>
      <c r="E301" s="1050"/>
      <c r="F301" s="1049"/>
      <c r="G301" s="1049"/>
      <c r="H301" s="1049"/>
      <c r="I301" s="1049"/>
      <c r="J301" s="1050"/>
      <c r="K301" s="1050"/>
      <c r="L301" s="1043"/>
      <c r="M301" s="1051"/>
      <c r="N301" s="1051"/>
      <c r="O301" s="1052"/>
      <c r="P301" s="1051"/>
      <c r="Q301" s="1051"/>
      <c r="R301" s="1052"/>
      <c r="S301" s="1051"/>
      <c r="T301" s="1051"/>
      <c r="U301" s="1052"/>
      <c r="V301" s="1051"/>
      <c r="W301" s="1051"/>
      <c r="X301" s="1052"/>
      <c r="Y301" s="1053"/>
      <c r="Z301" s="1051"/>
      <c r="AA301" s="1051"/>
      <c r="AB301" s="1052"/>
      <c r="AC301" s="1051"/>
      <c r="AD301" s="1051"/>
      <c r="AE301" s="1052"/>
      <c r="AF301" s="1051"/>
      <c r="AG301" s="1051"/>
      <c r="AH301" s="1051"/>
      <c r="AI301" s="1051"/>
      <c r="AJ301" s="1052"/>
      <c r="AK301" s="1051"/>
      <c r="AL301" s="1051"/>
      <c r="AM301" s="1052"/>
      <c r="AN301" s="1051"/>
      <c r="AO301" s="1051"/>
      <c r="AP301" s="1052"/>
      <c r="AQ301" s="1051"/>
      <c r="AR301" s="1051"/>
      <c r="AS301" s="1052"/>
      <c r="AT301" s="1051"/>
      <c r="AU301" s="1051"/>
      <c r="AV301" s="1052"/>
      <c r="AW301" s="1051"/>
      <c r="AX301" s="1051"/>
      <c r="AY301" s="1053"/>
      <c r="AZ301" s="1051"/>
      <c r="BA301" s="1051"/>
      <c r="BB301" s="1053"/>
      <c r="BC301" s="1051"/>
      <c r="BD301" s="1051"/>
      <c r="BE301" s="1053"/>
      <c r="BF301" s="1051"/>
      <c r="BG301" s="1051"/>
      <c r="BH301" s="1053"/>
      <c r="BI301" s="1052"/>
      <c r="BJ301" s="1052"/>
      <c r="BK301" s="1052"/>
      <c r="BL301" s="1052"/>
      <c r="BM301" s="1052"/>
      <c r="BN301" s="1054"/>
      <c r="BO301" s="1076">
        <f t="shared" si="5"/>
        <v>0</v>
      </c>
      <c r="BP301" s="1051"/>
      <c r="BQ301" s="1052"/>
      <c r="BR301" s="1054"/>
      <c r="BS301" s="1053"/>
      <c r="BT301" s="1051"/>
      <c r="BU301" s="1051"/>
      <c r="BV301" s="1051"/>
      <c r="BW301" s="1052"/>
      <c r="BX301" s="1052"/>
      <c r="BY301" s="1052"/>
      <c r="BZ301" s="1052"/>
      <c r="CA301" s="1052"/>
      <c r="CB301" s="1053"/>
      <c r="CC301" s="1053"/>
      <c r="CD301" s="1053"/>
      <c r="CE301" s="1053"/>
      <c r="CF301" s="1053"/>
      <c r="CG301" s="1053"/>
      <c r="CH301" s="1053"/>
      <c r="CI301" s="1123"/>
      <c r="CJ301" s="1123"/>
      <c r="CK301" s="1123"/>
      <c r="CL301" s="1123"/>
      <c r="CM301" s="1123"/>
      <c r="CN301" s="1123"/>
      <c r="CO301" s="1123"/>
      <c r="CP301" s="1123"/>
      <c r="CQ301" s="1123"/>
      <c r="CR301" s="1123"/>
      <c r="CS301" s="1123"/>
      <c r="CT301" s="1123"/>
      <c r="CU301" s="1123"/>
      <c r="CV301" s="1123"/>
      <c r="CW301" s="1123"/>
      <c r="CX301" s="1123"/>
      <c r="CY301" s="1123"/>
      <c r="CZ301" s="1114"/>
      <c r="DA301" s="1114"/>
      <c r="DB301" s="1114"/>
      <c r="DC301" s="1114"/>
      <c r="DD301" s="1114"/>
      <c r="DE301" s="1114"/>
      <c r="DF301" s="1114"/>
      <c r="DG301" s="1114"/>
      <c r="DH301" s="1114"/>
      <c r="DI301" s="1114"/>
      <c r="DJ301" s="1114"/>
      <c r="DK301" s="1114"/>
      <c r="DL301" s="1114"/>
      <c r="DM301" s="1114"/>
      <c r="DN301" s="1114"/>
      <c r="DO301" s="1114"/>
      <c r="DP301" s="1114"/>
      <c r="DQ301" s="1114"/>
      <c r="DR301" s="1114"/>
      <c r="DS301" s="1114"/>
      <c r="DT301" s="1114"/>
      <c r="DU301" s="1114"/>
      <c r="DV301" s="1115"/>
      <c r="DW301" s="1116"/>
      <c r="DX301" s="1116"/>
      <c r="DY301" s="1116"/>
      <c r="DZ301" s="1116"/>
      <c r="EA301" s="1116"/>
      <c r="EB301" s="1116"/>
      <c r="EC301" s="1116"/>
      <c r="ED301" s="1116"/>
      <c r="EE301" s="1116"/>
      <c r="EF301" s="1116"/>
      <c r="EG301" s="1116"/>
      <c r="EH301" s="1116"/>
      <c r="EI301" s="1116"/>
      <c r="EJ301" s="1116"/>
      <c r="EK301" s="1116"/>
      <c r="EL301" s="1116"/>
      <c r="EM301" s="1116"/>
      <c r="EN301" s="1116"/>
      <c r="EO301" s="1116"/>
      <c r="EP301" s="1116"/>
      <c r="EQ301" s="1116"/>
      <c r="ER301" s="1116"/>
      <c r="ES301" s="1116"/>
    </row>
    <row r="302" spans="1:149" ht="15" customHeight="1">
      <c r="A302" s="1185">
        <v>292</v>
      </c>
      <c r="B302" s="1041"/>
      <c r="C302" s="1050"/>
      <c r="D302" s="1050"/>
      <c r="E302" s="1050"/>
      <c r="F302" s="1049"/>
      <c r="G302" s="1049"/>
      <c r="H302" s="1049"/>
      <c r="I302" s="1049"/>
      <c r="J302" s="1050"/>
      <c r="K302" s="1050"/>
      <c r="L302" s="1043"/>
      <c r="M302" s="1051"/>
      <c r="N302" s="1051"/>
      <c r="O302" s="1052"/>
      <c r="P302" s="1051"/>
      <c r="Q302" s="1051"/>
      <c r="R302" s="1052"/>
      <c r="S302" s="1051"/>
      <c r="T302" s="1051"/>
      <c r="U302" s="1052"/>
      <c r="V302" s="1051"/>
      <c r="W302" s="1051"/>
      <c r="X302" s="1052"/>
      <c r="Y302" s="1053"/>
      <c r="Z302" s="1051"/>
      <c r="AA302" s="1051"/>
      <c r="AB302" s="1052"/>
      <c r="AC302" s="1051"/>
      <c r="AD302" s="1051"/>
      <c r="AE302" s="1052"/>
      <c r="AF302" s="1051"/>
      <c r="AG302" s="1051"/>
      <c r="AH302" s="1051"/>
      <c r="AI302" s="1051"/>
      <c r="AJ302" s="1052"/>
      <c r="AK302" s="1051"/>
      <c r="AL302" s="1051"/>
      <c r="AM302" s="1052"/>
      <c r="AN302" s="1051"/>
      <c r="AO302" s="1051"/>
      <c r="AP302" s="1052"/>
      <c r="AQ302" s="1051"/>
      <c r="AR302" s="1051"/>
      <c r="AS302" s="1052"/>
      <c r="AT302" s="1051"/>
      <c r="AU302" s="1051"/>
      <c r="AV302" s="1052"/>
      <c r="AW302" s="1051"/>
      <c r="AX302" s="1051"/>
      <c r="AY302" s="1053"/>
      <c r="AZ302" s="1051"/>
      <c r="BA302" s="1051"/>
      <c r="BB302" s="1053"/>
      <c r="BC302" s="1051"/>
      <c r="BD302" s="1051"/>
      <c r="BE302" s="1053"/>
      <c r="BF302" s="1051"/>
      <c r="BG302" s="1051"/>
      <c r="BH302" s="1053"/>
      <c r="BI302" s="1052"/>
      <c r="BJ302" s="1052"/>
      <c r="BK302" s="1052"/>
      <c r="BL302" s="1052"/>
      <c r="BM302" s="1052"/>
      <c r="BN302" s="1054"/>
      <c r="BO302" s="1076">
        <f t="shared" si="5"/>
        <v>0</v>
      </c>
      <c r="BP302" s="1051"/>
      <c r="BQ302" s="1052"/>
      <c r="BR302" s="1054"/>
      <c r="BS302" s="1053"/>
      <c r="BT302" s="1051"/>
      <c r="BU302" s="1051"/>
      <c r="BV302" s="1051"/>
      <c r="BW302" s="1052"/>
      <c r="BX302" s="1052"/>
      <c r="BY302" s="1052"/>
      <c r="BZ302" s="1052"/>
      <c r="CA302" s="1052"/>
      <c r="CB302" s="1053"/>
      <c r="CC302" s="1053"/>
      <c r="CD302" s="1053"/>
      <c r="CE302" s="1053"/>
      <c r="CF302" s="1053"/>
      <c r="CG302" s="1053"/>
      <c r="CH302" s="1053"/>
      <c r="CI302" s="1123"/>
      <c r="CJ302" s="1123"/>
      <c r="CK302" s="1123"/>
      <c r="CL302" s="1123"/>
      <c r="CM302" s="1123"/>
      <c r="CN302" s="1123"/>
      <c r="CO302" s="1123"/>
      <c r="CP302" s="1123"/>
      <c r="CQ302" s="1123"/>
      <c r="CR302" s="1123"/>
      <c r="CS302" s="1123"/>
      <c r="CT302" s="1123"/>
      <c r="CU302" s="1123"/>
      <c r="CV302" s="1123"/>
      <c r="CW302" s="1123"/>
      <c r="CX302" s="1123"/>
      <c r="CY302" s="1123"/>
      <c r="CZ302" s="1114"/>
      <c r="DA302" s="1114"/>
      <c r="DB302" s="1114"/>
      <c r="DC302" s="1114"/>
      <c r="DD302" s="1114"/>
      <c r="DE302" s="1114"/>
      <c r="DF302" s="1114"/>
      <c r="DG302" s="1114"/>
      <c r="DH302" s="1114"/>
      <c r="DI302" s="1114"/>
      <c r="DJ302" s="1114"/>
      <c r="DK302" s="1114"/>
      <c r="DL302" s="1114"/>
      <c r="DM302" s="1114"/>
      <c r="DN302" s="1114"/>
      <c r="DO302" s="1114"/>
      <c r="DP302" s="1114"/>
      <c r="DQ302" s="1114"/>
      <c r="DR302" s="1114"/>
      <c r="DS302" s="1114"/>
      <c r="DT302" s="1114"/>
      <c r="DU302" s="1114"/>
      <c r="DV302" s="1115"/>
      <c r="DW302" s="1116"/>
      <c r="DX302" s="1116"/>
      <c r="DY302" s="1116"/>
      <c r="DZ302" s="1116"/>
      <c r="EA302" s="1116"/>
      <c r="EB302" s="1116"/>
      <c r="EC302" s="1116"/>
      <c r="ED302" s="1116"/>
      <c r="EE302" s="1116"/>
      <c r="EF302" s="1116"/>
      <c r="EG302" s="1116"/>
      <c r="EH302" s="1116"/>
      <c r="EI302" s="1116"/>
      <c r="EJ302" s="1116"/>
      <c r="EK302" s="1116"/>
      <c r="EL302" s="1116"/>
      <c r="EM302" s="1116"/>
      <c r="EN302" s="1116"/>
      <c r="EO302" s="1116"/>
      <c r="EP302" s="1116"/>
      <c r="EQ302" s="1116"/>
      <c r="ER302" s="1116"/>
      <c r="ES302" s="1116"/>
    </row>
    <row r="303" spans="1:149" ht="15" customHeight="1">
      <c r="A303" s="1185">
        <v>293</v>
      </c>
      <c r="B303" s="1041"/>
      <c r="C303" s="1050"/>
      <c r="D303" s="1050"/>
      <c r="E303" s="1050"/>
      <c r="F303" s="1049"/>
      <c r="G303" s="1049"/>
      <c r="H303" s="1049"/>
      <c r="I303" s="1049"/>
      <c r="J303" s="1050"/>
      <c r="K303" s="1050"/>
      <c r="L303" s="1043"/>
      <c r="M303" s="1051"/>
      <c r="N303" s="1051"/>
      <c r="O303" s="1052"/>
      <c r="P303" s="1051"/>
      <c r="Q303" s="1051"/>
      <c r="R303" s="1052"/>
      <c r="S303" s="1051"/>
      <c r="T303" s="1051"/>
      <c r="U303" s="1052"/>
      <c r="V303" s="1051"/>
      <c r="W303" s="1051"/>
      <c r="X303" s="1052"/>
      <c r="Y303" s="1053"/>
      <c r="Z303" s="1051"/>
      <c r="AA303" s="1051"/>
      <c r="AB303" s="1052"/>
      <c r="AC303" s="1051"/>
      <c r="AD303" s="1051"/>
      <c r="AE303" s="1052"/>
      <c r="AF303" s="1051"/>
      <c r="AG303" s="1051"/>
      <c r="AH303" s="1051"/>
      <c r="AI303" s="1051"/>
      <c r="AJ303" s="1052"/>
      <c r="AK303" s="1051"/>
      <c r="AL303" s="1051"/>
      <c r="AM303" s="1052"/>
      <c r="AN303" s="1051"/>
      <c r="AO303" s="1051"/>
      <c r="AP303" s="1052"/>
      <c r="AQ303" s="1051"/>
      <c r="AR303" s="1051"/>
      <c r="AS303" s="1052"/>
      <c r="AT303" s="1051"/>
      <c r="AU303" s="1051"/>
      <c r="AV303" s="1052"/>
      <c r="AW303" s="1051"/>
      <c r="AX303" s="1051"/>
      <c r="AY303" s="1053"/>
      <c r="AZ303" s="1051"/>
      <c r="BA303" s="1051"/>
      <c r="BB303" s="1053"/>
      <c r="BC303" s="1051"/>
      <c r="BD303" s="1051"/>
      <c r="BE303" s="1053"/>
      <c r="BF303" s="1051"/>
      <c r="BG303" s="1051"/>
      <c r="BH303" s="1053"/>
      <c r="BI303" s="1052"/>
      <c r="BJ303" s="1052"/>
      <c r="BK303" s="1052"/>
      <c r="BL303" s="1052"/>
      <c r="BM303" s="1052"/>
      <c r="BN303" s="1054"/>
      <c r="BO303" s="1076">
        <f t="shared" si="5"/>
        <v>0</v>
      </c>
      <c r="BP303" s="1051"/>
      <c r="BQ303" s="1052"/>
      <c r="BR303" s="1054"/>
      <c r="BS303" s="1053"/>
      <c r="BT303" s="1051"/>
      <c r="BU303" s="1051"/>
      <c r="BV303" s="1051"/>
      <c r="BW303" s="1052"/>
      <c r="BX303" s="1052"/>
      <c r="BY303" s="1052"/>
      <c r="BZ303" s="1052"/>
      <c r="CA303" s="1052"/>
      <c r="CB303" s="1053"/>
      <c r="CC303" s="1053"/>
      <c r="CD303" s="1053"/>
      <c r="CE303" s="1053"/>
      <c r="CF303" s="1053"/>
      <c r="CG303" s="1053"/>
      <c r="CH303" s="1053"/>
      <c r="CI303" s="1123"/>
      <c r="CJ303" s="1123"/>
      <c r="CK303" s="1123"/>
      <c r="CL303" s="1123"/>
      <c r="CM303" s="1123"/>
      <c r="CN303" s="1123"/>
      <c r="CO303" s="1123"/>
      <c r="CP303" s="1123"/>
      <c r="CQ303" s="1123"/>
      <c r="CR303" s="1123"/>
      <c r="CS303" s="1123"/>
      <c r="CT303" s="1123"/>
      <c r="CU303" s="1123"/>
      <c r="CV303" s="1123"/>
      <c r="CW303" s="1123"/>
      <c r="CX303" s="1123"/>
      <c r="CY303" s="1123"/>
      <c r="CZ303" s="1114"/>
      <c r="DA303" s="1114"/>
      <c r="DB303" s="1114"/>
      <c r="DC303" s="1114"/>
      <c r="DD303" s="1114"/>
      <c r="DE303" s="1114"/>
      <c r="DF303" s="1114"/>
      <c r="DG303" s="1114"/>
      <c r="DH303" s="1114"/>
      <c r="DI303" s="1114"/>
      <c r="DJ303" s="1114"/>
      <c r="DK303" s="1114"/>
      <c r="DL303" s="1114"/>
      <c r="DM303" s="1114"/>
      <c r="DN303" s="1114"/>
      <c r="DO303" s="1114"/>
      <c r="DP303" s="1114"/>
      <c r="DQ303" s="1114"/>
      <c r="DR303" s="1114"/>
      <c r="DS303" s="1114"/>
      <c r="DT303" s="1114"/>
      <c r="DU303" s="1114"/>
      <c r="DV303" s="1115"/>
      <c r="DW303" s="1116"/>
      <c r="DX303" s="1116"/>
      <c r="DY303" s="1116"/>
      <c r="DZ303" s="1116"/>
      <c r="EA303" s="1116"/>
      <c r="EB303" s="1116"/>
      <c r="EC303" s="1116"/>
      <c r="ED303" s="1116"/>
      <c r="EE303" s="1116"/>
      <c r="EF303" s="1116"/>
      <c r="EG303" s="1116"/>
      <c r="EH303" s="1116"/>
      <c r="EI303" s="1116"/>
      <c r="EJ303" s="1116"/>
      <c r="EK303" s="1116"/>
      <c r="EL303" s="1116"/>
      <c r="EM303" s="1116"/>
      <c r="EN303" s="1116"/>
      <c r="EO303" s="1116"/>
      <c r="EP303" s="1116"/>
      <c r="EQ303" s="1116"/>
      <c r="ER303" s="1116"/>
      <c r="ES303" s="1116"/>
    </row>
    <row r="304" spans="1:149" ht="15" customHeight="1">
      <c r="A304" s="1185">
        <v>294</v>
      </c>
      <c r="B304" s="1041"/>
      <c r="C304" s="1050"/>
      <c r="D304" s="1050"/>
      <c r="E304" s="1050"/>
      <c r="F304" s="1049"/>
      <c r="G304" s="1049"/>
      <c r="H304" s="1049"/>
      <c r="I304" s="1049"/>
      <c r="J304" s="1050"/>
      <c r="K304" s="1050"/>
      <c r="L304" s="1043"/>
      <c r="M304" s="1051"/>
      <c r="N304" s="1051"/>
      <c r="O304" s="1052"/>
      <c r="P304" s="1051"/>
      <c r="Q304" s="1051"/>
      <c r="R304" s="1052"/>
      <c r="S304" s="1051"/>
      <c r="T304" s="1051"/>
      <c r="U304" s="1052"/>
      <c r="V304" s="1051"/>
      <c r="W304" s="1051"/>
      <c r="X304" s="1052"/>
      <c r="Y304" s="1053"/>
      <c r="Z304" s="1051"/>
      <c r="AA304" s="1051"/>
      <c r="AB304" s="1052"/>
      <c r="AC304" s="1051"/>
      <c r="AD304" s="1051"/>
      <c r="AE304" s="1052"/>
      <c r="AF304" s="1051"/>
      <c r="AG304" s="1051"/>
      <c r="AH304" s="1051"/>
      <c r="AI304" s="1051"/>
      <c r="AJ304" s="1052"/>
      <c r="AK304" s="1051"/>
      <c r="AL304" s="1051"/>
      <c r="AM304" s="1052"/>
      <c r="AN304" s="1051"/>
      <c r="AO304" s="1051"/>
      <c r="AP304" s="1052"/>
      <c r="AQ304" s="1051"/>
      <c r="AR304" s="1051"/>
      <c r="AS304" s="1052"/>
      <c r="AT304" s="1051"/>
      <c r="AU304" s="1051"/>
      <c r="AV304" s="1052"/>
      <c r="AW304" s="1051"/>
      <c r="AX304" s="1051"/>
      <c r="AY304" s="1053"/>
      <c r="AZ304" s="1051"/>
      <c r="BA304" s="1051"/>
      <c r="BB304" s="1053"/>
      <c r="BC304" s="1051"/>
      <c r="BD304" s="1051"/>
      <c r="BE304" s="1053"/>
      <c r="BF304" s="1051"/>
      <c r="BG304" s="1051"/>
      <c r="BH304" s="1053"/>
      <c r="BI304" s="1052"/>
      <c r="BJ304" s="1052"/>
      <c r="BK304" s="1052"/>
      <c r="BL304" s="1052"/>
      <c r="BM304" s="1052"/>
      <c r="BN304" s="1054"/>
      <c r="BO304" s="1076">
        <f t="shared" si="5"/>
        <v>0</v>
      </c>
      <c r="BP304" s="1051"/>
      <c r="BQ304" s="1052"/>
      <c r="BR304" s="1054"/>
      <c r="BS304" s="1053"/>
      <c r="BT304" s="1051"/>
      <c r="BU304" s="1051"/>
      <c r="BV304" s="1051"/>
      <c r="BW304" s="1052"/>
      <c r="BX304" s="1052"/>
      <c r="BY304" s="1052"/>
      <c r="BZ304" s="1052"/>
      <c r="CA304" s="1052"/>
      <c r="CB304" s="1053"/>
      <c r="CC304" s="1053"/>
      <c r="CD304" s="1053"/>
      <c r="CE304" s="1053"/>
      <c r="CF304" s="1053"/>
      <c r="CG304" s="1053"/>
      <c r="CH304" s="1053"/>
      <c r="CI304" s="1123"/>
      <c r="CJ304" s="1123"/>
      <c r="CK304" s="1123"/>
      <c r="CL304" s="1123"/>
      <c r="CM304" s="1123"/>
      <c r="CN304" s="1123"/>
      <c r="CO304" s="1123"/>
      <c r="CP304" s="1123"/>
      <c r="CQ304" s="1123"/>
      <c r="CR304" s="1123"/>
      <c r="CS304" s="1123"/>
      <c r="CT304" s="1123"/>
      <c r="CU304" s="1123"/>
      <c r="CV304" s="1123"/>
      <c r="CW304" s="1123"/>
      <c r="CX304" s="1123"/>
      <c r="CY304" s="1123"/>
      <c r="CZ304" s="1114"/>
      <c r="DA304" s="1114"/>
      <c r="DB304" s="1114"/>
      <c r="DC304" s="1114"/>
      <c r="DD304" s="1114"/>
      <c r="DE304" s="1114"/>
      <c r="DF304" s="1114"/>
      <c r="DG304" s="1114"/>
      <c r="DH304" s="1114"/>
      <c r="DI304" s="1114"/>
      <c r="DJ304" s="1114"/>
      <c r="DK304" s="1114"/>
      <c r="DL304" s="1114"/>
      <c r="DM304" s="1114"/>
      <c r="DN304" s="1114"/>
      <c r="DO304" s="1114"/>
      <c r="DP304" s="1114"/>
      <c r="DQ304" s="1114"/>
      <c r="DR304" s="1114"/>
      <c r="DS304" s="1114"/>
      <c r="DT304" s="1114"/>
      <c r="DU304" s="1114"/>
      <c r="DV304" s="1115"/>
      <c r="DW304" s="1116"/>
      <c r="DX304" s="1116"/>
      <c r="DY304" s="1116"/>
      <c r="DZ304" s="1116"/>
      <c r="EA304" s="1116"/>
      <c r="EB304" s="1116"/>
      <c r="EC304" s="1116"/>
      <c r="ED304" s="1116"/>
      <c r="EE304" s="1116"/>
      <c r="EF304" s="1116"/>
      <c r="EG304" s="1116"/>
      <c r="EH304" s="1116"/>
      <c r="EI304" s="1116"/>
      <c r="EJ304" s="1116"/>
      <c r="EK304" s="1116"/>
      <c r="EL304" s="1116"/>
      <c r="EM304" s="1116"/>
      <c r="EN304" s="1116"/>
      <c r="EO304" s="1116"/>
      <c r="EP304" s="1116"/>
      <c r="EQ304" s="1116"/>
      <c r="ER304" s="1116"/>
      <c r="ES304" s="1116"/>
    </row>
    <row r="305" spans="1:149" ht="15" customHeight="1">
      <c r="A305" s="1185">
        <v>295</v>
      </c>
      <c r="B305" s="1041"/>
      <c r="C305" s="1050"/>
      <c r="D305" s="1050"/>
      <c r="E305" s="1050"/>
      <c r="F305" s="1049"/>
      <c r="G305" s="1049"/>
      <c r="H305" s="1049"/>
      <c r="I305" s="1049"/>
      <c r="J305" s="1050"/>
      <c r="K305" s="1050"/>
      <c r="L305" s="1043"/>
      <c r="M305" s="1051"/>
      <c r="N305" s="1051"/>
      <c r="O305" s="1052"/>
      <c r="P305" s="1051"/>
      <c r="Q305" s="1051"/>
      <c r="R305" s="1052"/>
      <c r="S305" s="1051"/>
      <c r="T305" s="1051"/>
      <c r="U305" s="1052"/>
      <c r="V305" s="1051"/>
      <c r="W305" s="1051"/>
      <c r="X305" s="1052"/>
      <c r="Y305" s="1053"/>
      <c r="Z305" s="1051"/>
      <c r="AA305" s="1051"/>
      <c r="AB305" s="1052"/>
      <c r="AC305" s="1051"/>
      <c r="AD305" s="1051"/>
      <c r="AE305" s="1052"/>
      <c r="AF305" s="1051"/>
      <c r="AG305" s="1051"/>
      <c r="AH305" s="1051"/>
      <c r="AI305" s="1051"/>
      <c r="AJ305" s="1052"/>
      <c r="AK305" s="1051"/>
      <c r="AL305" s="1051"/>
      <c r="AM305" s="1052"/>
      <c r="AN305" s="1051"/>
      <c r="AO305" s="1051"/>
      <c r="AP305" s="1052"/>
      <c r="AQ305" s="1051"/>
      <c r="AR305" s="1051"/>
      <c r="AS305" s="1052"/>
      <c r="AT305" s="1051"/>
      <c r="AU305" s="1051"/>
      <c r="AV305" s="1052"/>
      <c r="AW305" s="1051"/>
      <c r="AX305" s="1051"/>
      <c r="AY305" s="1053"/>
      <c r="AZ305" s="1051"/>
      <c r="BA305" s="1051"/>
      <c r="BB305" s="1053"/>
      <c r="BC305" s="1051"/>
      <c r="BD305" s="1051"/>
      <c r="BE305" s="1053"/>
      <c r="BF305" s="1051"/>
      <c r="BG305" s="1051"/>
      <c r="BH305" s="1053"/>
      <c r="BI305" s="1052"/>
      <c r="BJ305" s="1052"/>
      <c r="BK305" s="1052"/>
      <c r="BL305" s="1052"/>
      <c r="BM305" s="1052"/>
      <c r="BN305" s="1054"/>
      <c r="BO305" s="1076">
        <f t="shared" si="5"/>
        <v>0</v>
      </c>
      <c r="BP305" s="1051"/>
      <c r="BQ305" s="1052"/>
      <c r="BR305" s="1054"/>
      <c r="BS305" s="1053"/>
      <c r="BT305" s="1051"/>
      <c r="BU305" s="1051"/>
      <c r="BV305" s="1051"/>
      <c r="BW305" s="1052"/>
      <c r="BX305" s="1052"/>
      <c r="BY305" s="1052"/>
      <c r="BZ305" s="1052"/>
      <c r="CA305" s="1052"/>
      <c r="CB305" s="1053"/>
      <c r="CC305" s="1053"/>
      <c r="CD305" s="1053"/>
      <c r="CE305" s="1053"/>
      <c r="CF305" s="1053"/>
      <c r="CG305" s="1053"/>
      <c r="CH305" s="1053"/>
      <c r="CI305" s="1123"/>
      <c r="CJ305" s="1123"/>
      <c r="CK305" s="1123"/>
      <c r="CL305" s="1123"/>
      <c r="CM305" s="1123"/>
      <c r="CN305" s="1123"/>
      <c r="CO305" s="1123"/>
      <c r="CP305" s="1123"/>
      <c r="CQ305" s="1123"/>
      <c r="CR305" s="1123"/>
      <c r="CS305" s="1123"/>
      <c r="CT305" s="1123"/>
      <c r="CU305" s="1123"/>
      <c r="CV305" s="1123"/>
      <c r="CW305" s="1123"/>
      <c r="CX305" s="1123"/>
      <c r="CY305" s="1123"/>
      <c r="CZ305" s="1114"/>
      <c r="DA305" s="1114"/>
      <c r="DB305" s="1114"/>
      <c r="DC305" s="1114"/>
      <c r="DD305" s="1114"/>
      <c r="DE305" s="1114"/>
      <c r="DF305" s="1114"/>
      <c r="DG305" s="1114"/>
      <c r="DH305" s="1114"/>
      <c r="DI305" s="1114"/>
      <c r="DJ305" s="1114"/>
      <c r="DK305" s="1114"/>
      <c r="DL305" s="1114"/>
      <c r="DM305" s="1114"/>
      <c r="DN305" s="1114"/>
      <c r="DO305" s="1114"/>
      <c r="DP305" s="1114"/>
      <c r="DQ305" s="1114"/>
      <c r="DR305" s="1114"/>
      <c r="DS305" s="1114"/>
      <c r="DT305" s="1114"/>
      <c r="DU305" s="1114"/>
      <c r="DV305" s="1115"/>
      <c r="DW305" s="1116"/>
      <c r="DX305" s="1116"/>
      <c r="DY305" s="1116"/>
      <c r="DZ305" s="1116"/>
      <c r="EA305" s="1116"/>
      <c r="EB305" s="1116"/>
      <c r="EC305" s="1116"/>
      <c r="ED305" s="1116"/>
      <c r="EE305" s="1116"/>
      <c r="EF305" s="1116"/>
      <c r="EG305" s="1116"/>
      <c r="EH305" s="1116"/>
      <c r="EI305" s="1116"/>
      <c r="EJ305" s="1116"/>
      <c r="EK305" s="1116"/>
      <c r="EL305" s="1116"/>
      <c r="EM305" s="1116"/>
      <c r="EN305" s="1116"/>
      <c r="EO305" s="1116"/>
      <c r="EP305" s="1116"/>
      <c r="EQ305" s="1116"/>
      <c r="ER305" s="1116"/>
      <c r="ES305" s="1116"/>
    </row>
    <row r="306" spans="1:149" ht="15" customHeight="1">
      <c r="A306" s="1185">
        <v>296</v>
      </c>
      <c r="B306" s="1041"/>
      <c r="C306" s="1050"/>
      <c r="D306" s="1050"/>
      <c r="E306" s="1050"/>
      <c r="F306" s="1049"/>
      <c r="G306" s="1049"/>
      <c r="H306" s="1049"/>
      <c r="I306" s="1049"/>
      <c r="J306" s="1050"/>
      <c r="K306" s="1050"/>
      <c r="L306" s="1043"/>
      <c r="M306" s="1051"/>
      <c r="N306" s="1051"/>
      <c r="O306" s="1052"/>
      <c r="P306" s="1051"/>
      <c r="Q306" s="1051"/>
      <c r="R306" s="1052"/>
      <c r="S306" s="1051"/>
      <c r="T306" s="1051"/>
      <c r="U306" s="1052"/>
      <c r="V306" s="1051"/>
      <c r="W306" s="1051"/>
      <c r="X306" s="1052"/>
      <c r="Y306" s="1053"/>
      <c r="Z306" s="1051"/>
      <c r="AA306" s="1051"/>
      <c r="AB306" s="1052"/>
      <c r="AC306" s="1051"/>
      <c r="AD306" s="1051"/>
      <c r="AE306" s="1052"/>
      <c r="AF306" s="1051"/>
      <c r="AG306" s="1051"/>
      <c r="AH306" s="1051"/>
      <c r="AI306" s="1051"/>
      <c r="AJ306" s="1052"/>
      <c r="AK306" s="1051"/>
      <c r="AL306" s="1051"/>
      <c r="AM306" s="1052"/>
      <c r="AN306" s="1051"/>
      <c r="AO306" s="1051"/>
      <c r="AP306" s="1052"/>
      <c r="AQ306" s="1051"/>
      <c r="AR306" s="1051"/>
      <c r="AS306" s="1052"/>
      <c r="AT306" s="1051"/>
      <c r="AU306" s="1051"/>
      <c r="AV306" s="1052"/>
      <c r="AW306" s="1051"/>
      <c r="AX306" s="1051"/>
      <c r="AY306" s="1053"/>
      <c r="AZ306" s="1051"/>
      <c r="BA306" s="1051"/>
      <c r="BB306" s="1053"/>
      <c r="BC306" s="1051"/>
      <c r="BD306" s="1051"/>
      <c r="BE306" s="1053"/>
      <c r="BF306" s="1051"/>
      <c r="BG306" s="1051"/>
      <c r="BH306" s="1053"/>
      <c r="BI306" s="1052"/>
      <c r="BJ306" s="1052"/>
      <c r="BK306" s="1052"/>
      <c r="BL306" s="1052"/>
      <c r="BM306" s="1052"/>
      <c r="BN306" s="1054"/>
      <c r="BO306" s="1076">
        <f t="shared" si="5"/>
        <v>0</v>
      </c>
      <c r="BP306" s="1051"/>
      <c r="BQ306" s="1052"/>
      <c r="BR306" s="1054"/>
      <c r="BS306" s="1053"/>
      <c r="BT306" s="1051"/>
      <c r="BU306" s="1051"/>
      <c r="BV306" s="1051"/>
      <c r="BW306" s="1052"/>
      <c r="BX306" s="1052"/>
      <c r="BY306" s="1052"/>
      <c r="BZ306" s="1052"/>
      <c r="CA306" s="1052"/>
      <c r="CB306" s="1053"/>
      <c r="CC306" s="1053"/>
      <c r="CD306" s="1053"/>
      <c r="CE306" s="1053"/>
      <c r="CF306" s="1053"/>
      <c r="CG306" s="1053"/>
      <c r="CH306" s="1053"/>
      <c r="CI306" s="1123"/>
      <c r="CJ306" s="1123"/>
      <c r="CK306" s="1123"/>
      <c r="CL306" s="1123"/>
      <c r="CM306" s="1123"/>
      <c r="CN306" s="1123"/>
      <c r="CO306" s="1123"/>
      <c r="CP306" s="1123"/>
      <c r="CQ306" s="1123"/>
      <c r="CR306" s="1123"/>
      <c r="CS306" s="1123"/>
      <c r="CT306" s="1123"/>
      <c r="CU306" s="1123"/>
      <c r="CV306" s="1123"/>
      <c r="CW306" s="1123"/>
      <c r="CX306" s="1123"/>
      <c r="CY306" s="1123"/>
      <c r="CZ306" s="1114"/>
      <c r="DA306" s="1114"/>
      <c r="DB306" s="1114"/>
      <c r="DC306" s="1114"/>
      <c r="DD306" s="1114"/>
      <c r="DE306" s="1114"/>
      <c r="DF306" s="1114"/>
      <c r="DG306" s="1114"/>
      <c r="DH306" s="1114"/>
      <c r="DI306" s="1114"/>
      <c r="DJ306" s="1114"/>
      <c r="DK306" s="1114"/>
      <c r="DL306" s="1114"/>
      <c r="DM306" s="1114"/>
      <c r="DN306" s="1114"/>
      <c r="DO306" s="1114"/>
      <c r="DP306" s="1114"/>
      <c r="DQ306" s="1114"/>
      <c r="DR306" s="1114"/>
      <c r="DS306" s="1114"/>
      <c r="DT306" s="1114"/>
      <c r="DU306" s="1114"/>
      <c r="DV306" s="1115"/>
      <c r="DW306" s="1116"/>
      <c r="DX306" s="1116"/>
      <c r="DY306" s="1116"/>
      <c r="DZ306" s="1116"/>
      <c r="EA306" s="1116"/>
      <c r="EB306" s="1116"/>
      <c r="EC306" s="1116"/>
      <c r="ED306" s="1116"/>
      <c r="EE306" s="1116"/>
      <c r="EF306" s="1116"/>
      <c r="EG306" s="1116"/>
      <c r="EH306" s="1116"/>
      <c r="EI306" s="1116"/>
      <c r="EJ306" s="1116"/>
      <c r="EK306" s="1116"/>
      <c r="EL306" s="1116"/>
      <c r="EM306" s="1116"/>
      <c r="EN306" s="1116"/>
      <c r="EO306" s="1116"/>
      <c r="EP306" s="1116"/>
      <c r="EQ306" s="1116"/>
      <c r="ER306" s="1116"/>
      <c r="ES306" s="1116"/>
    </row>
    <row r="307" spans="1:149" ht="15" customHeight="1">
      <c r="A307" s="1185">
        <v>297</v>
      </c>
      <c r="B307" s="1041"/>
      <c r="C307" s="1050"/>
      <c r="D307" s="1050"/>
      <c r="E307" s="1050"/>
      <c r="F307" s="1049"/>
      <c r="G307" s="1049"/>
      <c r="H307" s="1049"/>
      <c r="I307" s="1049"/>
      <c r="J307" s="1050"/>
      <c r="K307" s="1050"/>
      <c r="L307" s="1043"/>
      <c r="M307" s="1051"/>
      <c r="N307" s="1051"/>
      <c r="O307" s="1052"/>
      <c r="P307" s="1051"/>
      <c r="Q307" s="1051"/>
      <c r="R307" s="1052"/>
      <c r="S307" s="1051"/>
      <c r="T307" s="1051"/>
      <c r="U307" s="1052"/>
      <c r="V307" s="1051"/>
      <c r="W307" s="1051"/>
      <c r="X307" s="1052"/>
      <c r="Y307" s="1053"/>
      <c r="Z307" s="1051"/>
      <c r="AA307" s="1051"/>
      <c r="AB307" s="1052"/>
      <c r="AC307" s="1051"/>
      <c r="AD307" s="1051"/>
      <c r="AE307" s="1052"/>
      <c r="AF307" s="1051"/>
      <c r="AG307" s="1051"/>
      <c r="AH307" s="1051"/>
      <c r="AI307" s="1051"/>
      <c r="AJ307" s="1052"/>
      <c r="AK307" s="1051"/>
      <c r="AL307" s="1051"/>
      <c r="AM307" s="1052"/>
      <c r="AN307" s="1051"/>
      <c r="AO307" s="1051"/>
      <c r="AP307" s="1052"/>
      <c r="AQ307" s="1051"/>
      <c r="AR307" s="1051"/>
      <c r="AS307" s="1052"/>
      <c r="AT307" s="1051"/>
      <c r="AU307" s="1051"/>
      <c r="AV307" s="1052"/>
      <c r="AW307" s="1051"/>
      <c r="AX307" s="1051"/>
      <c r="AY307" s="1053"/>
      <c r="AZ307" s="1051"/>
      <c r="BA307" s="1051"/>
      <c r="BB307" s="1053"/>
      <c r="BC307" s="1051"/>
      <c r="BD307" s="1051"/>
      <c r="BE307" s="1053"/>
      <c r="BF307" s="1051"/>
      <c r="BG307" s="1051"/>
      <c r="BH307" s="1053"/>
      <c r="BI307" s="1052"/>
      <c r="BJ307" s="1052"/>
      <c r="BK307" s="1052"/>
      <c r="BL307" s="1052"/>
      <c r="BM307" s="1052"/>
      <c r="BN307" s="1054"/>
      <c r="BO307" s="1076">
        <f t="shared" si="5"/>
        <v>0</v>
      </c>
      <c r="BP307" s="1051"/>
      <c r="BQ307" s="1052"/>
      <c r="BR307" s="1054"/>
      <c r="BS307" s="1053"/>
      <c r="BT307" s="1051"/>
      <c r="BU307" s="1051"/>
      <c r="BV307" s="1051"/>
      <c r="BW307" s="1052"/>
      <c r="BX307" s="1052"/>
      <c r="BY307" s="1052"/>
      <c r="BZ307" s="1052"/>
      <c r="CA307" s="1052"/>
      <c r="CB307" s="1053"/>
      <c r="CC307" s="1053"/>
      <c r="CD307" s="1053"/>
      <c r="CE307" s="1053"/>
      <c r="CF307" s="1053"/>
      <c r="CG307" s="1053"/>
      <c r="CH307" s="1053"/>
      <c r="CI307" s="1123"/>
      <c r="CJ307" s="1123"/>
      <c r="CK307" s="1123"/>
      <c r="CL307" s="1123"/>
      <c r="CM307" s="1123"/>
      <c r="CN307" s="1123"/>
      <c r="CO307" s="1123"/>
      <c r="CP307" s="1123"/>
      <c r="CQ307" s="1123"/>
      <c r="CR307" s="1123"/>
      <c r="CS307" s="1123"/>
      <c r="CT307" s="1123"/>
      <c r="CU307" s="1123"/>
      <c r="CV307" s="1123"/>
      <c r="CW307" s="1123"/>
      <c r="CX307" s="1123"/>
      <c r="CY307" s="1123"/>
      <c r="CZ307" s="1114"/>
      <c r="DA307" s="1114"/>
      <c r="DB307" s="1114"/>
      <c r="DC307" s="1114"/>
      <c r="DD307" s="1114"/>
      <c r="DE307" s="1114"/>
      <c r="DF307" s="1114"/>
      <c r="DG307" s="1114"/>
      <c r="DH307" s="1114"/>
      <c r="DI307" s="1114"/>
      <c r="DJ307" s="1114"/>
      <c r="DK307" s="1114"/>
      <c r="DL307" s="1114"/>
      <c r="DM307" s="1114"/>
      <c r="DN307" s="1114"/>
      <c r="DO307" s="1114"/>
      <c r="DP307" s="1114"/>
      <c r="DQ307" s="1114"/>
      <c r="DR307" s="1114"/>
      <c r="DS307" s="1114"/>
      <c r="DT307" s="1114"/>
      <c r="DU307" s="1114"/>
      <c r="DV307" s="1115"/>
      <c r="DW307" s="1116"/>
      <c r="DX307" s="1116"/>
      <c r="DY307" s="1116"/>
      <c r="DZ307" s="1116"/>
      <c r="EA307" s="1116"/>
      <c r="EB307" s="1116"/>
      <c r="EC307" s="1116"/>
      <c r="ED307" s="1116"/>
      <c r="EE307" s="1116"/>
      <c r="EF307" s="1116"/>
      <c r="EG307" s="1116"/>
      <c r="EH307" s="1116"/>
      <c r="EI307" s="1116"/>
      <c r="EJ307" s="1116"/>
      <c r="EK307" s="1116"/>
      <c r="EL307" s="1116"/>
      <c r="EM307" s="1116"/>
      <c r="EN307" s="1116"/>
      <c r="EO307" s="1116"/>
      <c r="EP307" s="1116"/>
      <c r="EQ307" s="1116"/>
      <c r="ER307" s="1116"/>
      <c r="ES307" s="1116"/>
    </row>
    <row r="308" spans="1:149" ht="15" customHeight="1">
      <c r="A308" s="1185">
        <v>298</v>
      </c>
      <c r="B308" s="1041"/>
      <c r="C308" s="1050"/>
      <c r="D308" s="1050"/>
      <c r="E308" s="1050"/>
      <c r="F308" s="1049"/>
      <c r="G308" s="1049"/>
      <c r="H308" s="1049"/>
      <c r="I308" s="1049"/>
      <c r="J308" s="1050"/>
      <c r="K308" s="1050"/>
      <c r="L308" s="1043"/>
      <c r="M308" s="1051"/>
      <c r="N308" s="1051"/>
      <c r="O308" s="1052"/>
      <c r="P308" s="1051"/>
      <c r="Q308" s="1051"/>
      <c r="R308" s="1052"/>
      <c r="S308" s="1051"/>
      <c r="T308" s="1051"/>
      <c r="U308" s="1052"/>
      <c r="V308" s="1051"/>
      <c r="W308" s="1051"/>
      <c r="X308" s="1052"/>
      <c r="Y308" s="1053"/>
      <c r="Z308" s="1051"/>
      <c r="AA308" s="1051"/>
      <c r="AB308" s="1052"/>
      <c r="AC308" s="1051"/>
      <c r="AD308" s="1051"/>
      <c r="AE308" s="1052"/>
      <c r="AF308" s="1051"/>
      <c r="AG308" s="1051"/>
      <c r="AH308" s="1051"/>
      <c r="AI308" s="1051"/>
      <c r="AJ308" s="1052"/>
      <c r="AK308" s="1051"/>
      <c r="AL308" s="1051"/>
      <c r="AM308" s="1052"/>
      <c r="AN308" s="1051"/>
      <c r="AO308" s="1051"/>
      <c r="AP308" s="1052"/>
      <c r="AQ308" s="1051"/>
      <c r="AR308" s="1051"/>
      <c r="AS308" s="1052"/>
      <c r="AT308" s="1051"/>
      <c r="AU308" s="1051"/>
      <c r="AV308" s="1052"/>
      <c r="AW308" s="1051"/>
      <c r="AX308" s="1051"/>
      <c r="AY308" s="1053"/>
      <c r="AZ308" s="1051"/>
      <c r="BA308" s="1051"/>
      <c r="BB308" s="1053"/>
      <c r="BC308" s="1051"/>
      <c r="BD308" s="1051"/>
      <c r="BE308" s="1053"/>
      <c r="BF308" s="1051"/>
      <c r="BG308" s="1051"/>
      <c r="BH308" s="1053"/>
      <c r="BI308" s="1052"/>
      <c r="BJ308" s="1052"/>
      <c r="BK308" s="1052"/>
      <c r="BL308" s="1052"/>
      <c r="BM308" s="1052"/>
      <c r="BN308" s="1054"/>
      <c r="BO308" s="1076">
        <f t="shared" si="5"/>
        <v>0</v>
      </c>
      <c r="BP308" s="1051"/>
      <c r="BQ308" s="1052"/>
      <c r="BR308" s="1054"/>
      <c r="BS308" s="1053"/>
      <c r="BT308" s="1051"/>
      <c r="BU308" s="1051"/>
      <c r="BV308" s="1051"/>
      <c r="BW308" s="1052"/>
      <c r="BX308" s="1052"/>
      <c r="BY308" s="1052"/>
      <c r="BZ308" s="1052"/>
      <c r="CA308" s="1052"/>
      <c r="CB308" s="1053"/>
      <c r="CC308" s="1053"/>
      <c r="CD308" s="1053"/>
      <c r="CE308" s="1053"/>
      <c r="CF308" s="1053"/>
      <c r="CG308" s="1053"/>
      <c r="CH308" s="1053"/>
      <c r="CI308" s="1123"/>
      <c r="CJ308" s="1123"/>
      <c r="CK308" s="1123"/>
      <c r="CL308" s="1123"/>
      <c r="CM308" s="1123"/>
      <c r="CN308" s="1123"/>
      <c r="CO308" s="1123"/>
      <c r="CP308" s="1123"/>
      <c r="CQ308" s="1123"/>
      <c r="CR308" s="1123"/>
      <c r="CS308" s="1123"/>
      <c r="CT308" s="1123"/>
      <c r="CU308" s="1123"/>
      <c r="CV308" s="1123"/>
      <c r="CW308" s="1123"/>
      <c r="CX308" s="1123"/>
      <c r="CY308" s="1123"/>
      <c r="CZ308" s="1114"/>
      <c r="DA308" s="1114"/>
      <c r="DB308" s="1114"/>
      <c r="DC308" s="1114"/>
      <c r="DD308" s="1114"/>
      <c r="DE308" s="1114"/>
      <c r="DF308" s="1114"/>
      <c r="DG308" s="1114"/>
      <c r="DH308" s="1114"/>
      <c r="DI308" s="1114"/>
      <c r="DJ308" s="1114"/>
      <c r="DK308" s="1114"/>
      <c r="DL308" s="1114"/>
      <c r="DM308" s="1114"/>
      <c r="DN308" s="1114"/>
      <c r="DO308" s="1114"/>
      <c r="DP308" s="1114"/>
      <c r="DQ308" s="1114"/>
      <c r="DR308" s="1114"/>
      <c r="DS308" s="1114"/>
      <c r="DT308" s="1114"/>
      <c r="DU308" s="1114"/>
      <c r="DV308" s="1115"/>
      <c r="DW308" s="1116"/>
      <c r="DX308" s="1116"/>
      <c r="DY308" s="1116"/>
      <c r="DZ308" s="1116"/>
      <c r="EA308" s="1116"/>
      <c r="EB308" s="1116"/>
      <c r="EC308" s="1116"/>
      <c r="ED308" s="1116"/>
      <c r="EE308" s="1116"/>
      <c r="EF308" s="1116"/>
      <c r="EG308" s="1116"/>
      <c r="EH308" s="1116"/>
      <c r="EI308" s="1116"/>
      <c r="EJ308" s="1116"/>
      <c r="EK308" s="1116"/>
      <c r="EL308" s="1116"/>
      <c r="EM308" s="1116"/>
      <c r="EN308" s="1116"/>
      <c r="EO308" s="1116"/>
      <c r="EP308" s="1116"/>
      <c r="EQ308" s="1116"/>
      <c r="ER308" s="1116"/>
      <c r="ES308" s="1116"/>
    </row>
    <row r="309" spans="1:149" ht="15" customHeight="1">
      <c r="A309" s="1185">
        <v>299</v>
      </c>
      <c r="B309" s="1041"/>
      <c r="C309" s="1050"/>
      <c r="D309" s="1050"/>
      <c r="E309" s="1050"/>
      <c r="F309" s="1049"/>
      <c r="G309" s="1049"/>
      <c r="H309" s="1049"/>
      <c r="I309" s="1049"/>
      <c r="J309" s="1050"/>
      <c r="K309" s="1050"/>
      <c r="L309" s="1043"/>
      <c r="M309" s="1051"/>
      <c r="N309" s="1051"/>
      <c r="O309" s="1052"/>
      <c r="P309" s="1051"/>
      <c r="Q309" s="1051"/>
      <c r="R309" s="1052"/>
      <c r="S309" s="1051"/>
      <c r="T309" s="1051"/>
      <c r="U309" s="1052"/>
      <c r="V309" s="1051"/>
      <c r="W309" s="1051"/>
      <c r="X309" s="1052"/>
      <c r="Y309" s="1053"/>
      <c r="Z309" s="1051"/>
      <c r="AA309" s="1051"/>
      <c r="AB309" s="1052"/>
      <c r="AC309" s="1051"/>
      <c r="AD309" s="1051"/>
      <c r="AE309" s="1052"/>
      <c r="AF309" s="1051"/>
      <c r="AG309" s="1051"/>
      <c r="AH309" s="1051"/>
      <c r="AI309" s="1051"/>
      <c r="AJ309" s="1052"/>
      <c r="AK309" s="1051"/>
      <c r="AL309" s="1051"/>
      <c r="AM309" s="1052"/>
      <c r="AN309" s="1051"/>
      <c r="AO309" s="1051"/>
      <c r="AP309" s="1052"/>
      <c r="AQ309" s="1051"/>
      <c r="AR309" s="1051"/>
      <c r="AS309" s="1052"/>
      <c r="AT309" s="1051"/>
      <c r="AU309" s="1051"/>
      <c r="AV309" s="1052"/>
      <c r="AW309" s="1051"/>
      <c r="AX309" s="1051"/>
      <c r="AY309" s="1053"/>
      <c r="AZ309" s="1051"/>
      <c r="BA309" s="1051"/>
      <c r="BB309" s="1053"/>
      <c r="BC309" s="1051"/>
      <c r="BD309" s="1051"/>
      <c r="BE309" s="1053"/>
      <c r="BF309" s="1051"/>
      <c r="BG309" s="1051"/>
      <c r="BH309" s="1053"/>
      <c r="BI309" s="1052"/>
      <c r="BJ309" s="1052"/>
      <c r="BK309" s="1052"/>
      <c r="BL309" s="1052"/>
      <c r="BM309" s="1052"/>
      <c r="BN309" s="1054"/>
      <c r="BO309" s="1076">
        <f t="shared" si="5"/>
        <v>0</v>
      </c>
      <c r="BP309" s="1051"/>
      <c r="BQ309" s="1052"/>
      <c r="BR309" s="1054"/>
      <c r="BS309" s="1053"/>
      <c r="BT309" s="1051"/>
      <c r="BU309" s="1051"/>
      <c r="BV309" s="1051"/>
      <c r="BW309" s="1052"/>
      <c r="BX309" s="1052"/>
      <c r="BY309" s="1052"/>
      <c r="BZ309" s="1052"/>
      <c r="CA309" s="1052"/>
      <c r="CB309" s="1053"/>
      <c r="CC309" s="1053"/>
      <c r="CD309" s="1053"/>
      <c r="CE309" s="1053"/>
      <c r="CF309" s="1053"/>
      <c r="CG309" s="1053"/>
      <c r="CH309" s="1053"/>
      <c r="CI309" s="1123"/>
      <c r="CJ309" s="1123"/>
      <c r="CK309" s="1123"/>
      <c r="CL309" s="1123"/>
      <c r="CM309" s="1123"/>
      <c r="CN309" s="1123"/>
      <c r="CO309" s="1123"/>
      <c r="CP309" s="1123"/>
      <c r="CQ309" s="1123"/>
      <c r="CR309" s="1123"/>
      <c r="CS309" s="1123"/>
      <c r="CT309" s="1123"/>
      <c r="CU309" s="1123"/>
      <c r="CV309" s="1123"/>
      <c r="CW309" s="1123"/>
      <c r="CX309" s="1123"/>
      <c r="CY309" s="1123"/>
      <c r="CZ309" s="1114"/>
      <c r="DA309" s="1114"/>
      <c r="DB309" s="1114"/>
      <c r="DC309" s="1114"/>
      <c r="DD309" s="1114"/>
      <c r="DE309" s="1114"/>
      <c r="DF309" s="1114"/>
      <c r="DG309" s="1114"/>
      <c r="DH309" s="1114"/>
      <c r="DI309" s="1114"/>
      <c r="DJ309" s="1114"/>
      <c r="DK309" s="1114"/>
      <c r="DL309" s="1114"/>
      <c r="DM309" s="1114"/>
      <c r="DN309" s="1114"/>
      <c r="DO309" s="1114"/>
      <c r="DP309" s="1114"/>
      <c r="DQ309" s="1114"/>
      <c r="DR309" s="1114"/>
      <c r="DS309" s="1114"/>
      <c r="DT309" s="1114"/>
      <c r="DU309" s="1114"/>
      <c r="DV309" s="1115"/>
      <c r="DW309" s="1116"/>
      <c r="DX309" s="1116"/>
      <c r="DY309" s="1116"/>
      <c r="DZ309" s="1116"/>
      <c r="EA309" s="1116"/>
      <c r="EB309" s="1116"/>
      <c r="EC309" s="1116"/>
      <c r="ED309" s="1116"/>
      <c r="EE309" s="1116"/>
      <c r="EF309" s="1116"/>
      <c r="EG309" s="1116"/>
      <c r="EH309" s="1116"/>
      <c r="EI309" s="1116"/>
      <c r="EJ309" s="1116"/>
      <c r="EK309" s="1116"/>
      <c r="EL309" s="1116"/>
      <c r="EM309" s="1116"/>
      <c r="EN309" s="1116"/>
      <c r="EO309" s="1116"/>
      <c r="EP309" s="1116"/>
      <c r="EQ309" s="1116"/>
      <c r="ER309" s="1116"/>
      <c r="ES309" s="1116"/>
    </row>
    <row r="310" spans="1:149" ht="15" customHeight="1">
      <c r="A310" s="1185">
        <v>300</v>
      </c>
      <c r="B310" s="1041"/>
      <c r="C310" s="1050"/>
      <c r="D310" s="1050"/>
      <c r="E310" s="1050"/>
      <c r="F310" s="1049"/>
      <c r="G310" s="1049"/>
      <c r="H310" s="1049"/>
      <c r="I310" s="1049"/>
      <c r="J310" s="1050"/>
      <c r="K310" s="1050"/>
      <c r="L310" s="1043"/>
      <c r="M310" s="1051"/>
      <c r="N310" s="1051"/>
      <c r="O310" s="1052"/>
      <c r="P310" s="1051"/>
      <c r="Q310" s="1051"/>
      <c r="R310" s="1052"/>
      <c r="S310" s="1051"/>
      <c r="T310" s="1051"/>
      <c r="U310" s="1052"/>
      <c r="V310" s="1051"/>
      <c r="W310" s="1051"/>
      <c r="X310" s="1052"/>
      <c r="Y310" s="1053"/>
      <c r="Z310" s="1051"/>
      <c r="AA310" s="1051"/>
      <c r="AB310" s="1052"/>
      <c r="AC310" s="1051"/>
      <c r="AD310" s="1051"/>
      <c r="AE310" s="1052"/>
      <c r="AF310" s="1051"/>
      <c r="AG310" s="1051"/>
      <c r="AH310" s="1051"/>
      <c r="AI310" s="1051"/>
      <c r="AJ310" s="1052"/>
      <c r="AK310" s="1051"/>
      <c r="AL310" s="1051"/>
      <c r="AM310" s="1052"/>
      <c r="AN310" s="1051"/>
      <c r="AO310" s="1051"/>
      <c r="AP310" s="1052"/>
      <c r="AQ310" s="1051"/>
      <c r="AR310" s="1051"/>
      <c r="AS310" s="1052"/>
      <c r="AT310" s="1051"/>
      <c r="AU310" s="1051"/>
      <c r="AV310" s="1052"/>
      <c r="AW310" s="1051"/>
      <c r="AX310" s="1051"/>
      <c r="AY310" s="1053"/>
      <c r="AZ310" s="1051"/>
      <c r="BA310" s="1051"/>
      <c r="BB310" s="1053"/>
      <c r="BC310" s="1051"/>
      <c r="BD310" s="1051"/>
      <c r="BE310" s="1053"/>
      <c r="BF310" s="1051"/>
      <c r="BG310" s="1051"/>
      <c r="BH310" s="1053"/>
      <c r="BI310" s="1052"/>
      <c r="BJ310" s="1052"/>
      <c r="BK310" s="1052"/>
      <c r="BL310" s="1052"/>
      <c r="BM310" s="1052"/>
      <c r="BN310" s="1054"/>
      <c r="BO310" s="1076">
        <f t="shared" si="5"/>
        <v>0</v>
      </c>
      <c r="BP310" s="1051"/>
      <c r="BQ310" s="1052"/>
      <c r="BR310" s="1054"/>
      <c r="BS310" s="1053"/>
      <c r="BT310" s="1051"/>
      <c r="BU310" s="1051"/>
      <c r="BV310" s="1051"/>
      <c r="BW310" s="1052"/>
      <c r="BX310" s="1052"/>
      <c r="BY310" s="1052"/>
      <c r="BZ310" s="1052"/>
      <c r="CA310" s="1052"/>
      <c r="CB310" s="1053"/>
      <c r="CC310" s="1053"/>
      <c r="CD310" s="1053"/>
      <c r="CE310" s="1053"/>
      <c r="CF310" s="1053"/>
      <c r="CG310" s="1053"/>
      <c r="CH310" s="1053"/>
      <c r="CI310" s="1123"/>
      <c r="CJ310" s="1123"/>
      <c r="CK310" s="1123"/>
      <c r="CL310" s="1123"/>
      <c r="CM310" s="1123"/>
      <c r="CN310" s="1123"/>
      <c r="CO310" s="1123"/>
      <c r="CP310" s="1123"/>
      <c r="CQ310" s="1123"/>
      <c r="CR310" s="1123"/>
      <c r="CS310" s="1123"/>
      <c r="CT310" s="1123"/>
      <c r="CU310" s="1123"/>
      <c r="CV310" s="1123"/>
      <c r="CW310" s="1123"/>
      <c r="CX310" s="1123"/>
      <c r="CY310" s="1123"/>
      <c r="CZ310" s="1114"/>
      <c r="DA310" s="1114"/>
      <c r="DB310" s="1114"/>
      <c r="DC310" s="1114"/>
      <c r="DD310" s="1114"/>
      <c r="DE310" s="1114"/>
      <c r="DF310" s="1114"/>
      <c r="DG310" s="1114"/>
      <c r="DH310" s="1114"/>
      <c r="DI310" s="1114"/>
      <c r="DJ310" s="1114"/>
      <c r="DK310" s="1114"/>
      <c r="DL310" s="1114"/>
      <c r="DM310" s="1114"/>
      <c r="DN310" s="1114"/>
      <c r="DO310" s="1114"/>
      <c r="DP310" s="1114"/>
      <c r="DQ310" s="1114"/>
      <c r="DR310" s="1114"/>
      <c r="DS310" s="1114"/>
      <c r="DT310" s="1114"/>
      <c r="DU310" s="1114"/>
      <c r="DV310" s="1115"/>
      <c r="DW310" s="1116"/>
      <c r="DX310" s="1116"/>
      <c r="DY310" s="1116"/>
      <c r="DZ310" s="1116"/>
      <c r="EA310" s="1116"/>
      <c r="EB310" s="1116"/>
      <c r="EC310" s="1116"/>
      <c r="ED310" s="1116"/>
      <c r="EE310" s="1116"/>
      <c r="EF310" s="1116"/>
      <c r="EG310" s="1116"/>
      <c r="EH310" s="1116"/>
      <c r="EI310" s="1116"/>
      <c r="EJ310" s="1116"/>
      <c r="EK310" s="1116"/>
      <c r="EL310" s="1116"/>
      <c r="EM310" s="1116"/>
      <c r="EN310" s="1116"/>
      <c r="EO310" s="1116"/>
      <c r="EP310" s="1116"/>
      <c r="EQ310" s="1116"/>
      <c r="ER310" s="1116"/>
      <c r="ES310" s="1116"/>
    </row>
    <row r="311" spans="1:149" ht="15" customHeight="1">
      <c r="A311" s="1185">
        <v>301</v>
      </c>
      <c r="B311" s="1041"/>
      <c r="C311" s="1050"/>
      <c r="D311" s="1050"/>
      <c r="E311" s="1050"/>
      <c r="F311" s="1049"/>
      <c r="G311" s="1049"/>
      <c r="H311" s="1049"/>
      <c r="I311" s="1049"/>
      <c r="J311" s="1050"/>
      <c r="K311" s="1050"/>
      <c r="L311" s="1043"/>
      <c r="M311" s="1051"/>
      <c r="N311" s="1051"/>
      <c r="O311" s="1052"/>
      <c r="P311" s="1051"/>
      <c r="Q311" s="1051"/>
      <c r="R311" s="1052"/>
      <c r="S311" s="1051"/>
      <c r="T311" s="1051"/>
      <c r="U311" s="1052"/>
      <c r="V311" s="1051"/>
      <c r="W311" s="1051"/>
      <c r="X311" s="1052"/>
      <c r="Y311" s="1053"/>
      <c r="Z311" s="1051"/>
      <c r="AA311" s="1051"/>
      <c r="AB311" s="1052"/>
      <c r="AC311" s="1051"/>
      <c r="AD311" s="1051"/>
      <c r="AE311" s="1052"/>
      <c r="AF311" s="1051"/>
      <c r="AG311" s="1051"/>
      <c r="AH311" s="1051"/>
      <c r="AI311" s="1051"/>
      <c r="AJ311" s="1052"/>
      <c r="AK311" s="1051"/>
      <c r="AL311" s="1051"/>
      <c r="AM311" s="1052"/>
      <c r="AN311" s="1051"/>
      <c r="AO311" s="1051"/>
      <c r="AP311" s="1052"/>
      <c r="AQ311" s="1051"/>
      <c r="AR311" s="1051"/>
      <c r="AS311" s="1052"/>
      <c r="AT311" s="1051"/>
      <c r="AU311" s="1051"/>
      <c r="AV311" s="1052"/>
      <c r="AW311" s="1051"/>
      <c r="AX311" s="1051"/>
      <c r="AY311" s="1053"/>
      <c r="AZ311" s="1051"/>
      <c r="BA311" s="1051"/>
      <c r="BB311" s="1053"/>
      <c r="BC311" s="1051"/>
      <c r="BD311" s="1051"/>
      <c r="BE311" s="1053"/>
      <c r="BF311" s="1051"/>
      <c r="BG311" s="1051"/>
      <c r="BH311" s="1053"/>
      <c r="BI311" s="1052"/>
      <c r="BJ311" s="1052"/>
      <c r="BK311" s="1052"/>
      <c r="BL311" s="1052"/>
      <c r="BM311" s="1052"/>
      <c r="BN311" s="1054"/>
      <c r="BO311" s="1076">
        <f t="shared" si="5"/>
        <v>0</v>
      </c>
      <c r="BP311" s="1051"/>
      <c r="BQ311" s="1052"/>
      <c r="BR311" s="1054"/>
      <c r="BS311" s="1053"/>
      <c r="BT311" s="1051"/>
      <c r="BU311" s="1051"/>
      <c r="BV311" s="1051"/>
      <c r="BW311" s="1052"/>
      <c r="BX311" s="1052"/>
      <c r="BY311" s="1052"/>
      <c r="BZ311" s="1052"/>
      <c r="CA311" s="1052"/>
      <c r="CB311" s="1053"/>
      <c r="CC311" s="1053"/>
      <c r="CD311" s="1053"/>
      <c r="CE311" s="1053"/>
      <c r="CF311" s="1053"/>
      <c r="CG311" s="1053"/>
      <c r="CH311" s="1053"/>
      <c r="CI311" s="1123"/>
      <c r="CJ311" s="1123"/>
      <c r="CK311" s="1123"/>
      <c r="CL311" s="1123"/>
      <c r="CM311" s="1123"/>
      <c r="CN311" s="1123"/>
      <c r="CO311" s="1123"/>
      <c r="CP311" s="1123"/>
      <c r="CQ311" s="1123"/>
      <c r="CR311" s="1123"/>
      <c r="CS311" s="1123"/>
      <c r="CT311" s="1123"/>
      <c r="CU311" s="1123"/>
      <c r="CV311" s="1123"/>
      <c r="CW311" s="1123"/>
      <c r="CX311" s="1123"/>
      <c r="CY311" s="1123"/>
      <c r="CZ311" s="1114"/>
      <c r="DA311" s="1114"/>
      <c r="DB311" s="1114"/>
      <c r="DC311" s="1114"/>
      <c r="DD311" s="1114"/>
      <c r="DE311" s="1114"/>
      <c r="DF311" s="1114"/>
      <c r="DG311" s="1114"/>
      <c r="DH311" s="1114"/>
      <c r="DI311" s="1114"/>
      <c r="DJ311" s="1114"/>
      <c r="DK311" s="1114"/>
      <c r="DL311" s="1114"/>
      <c r="DM311" s="1114"/>
      <c r="DN311" s="1114"/>
      <c r="DO311" s="1114"/>
      <c r="DP311" s="1114"/>
      <c r="DQ311" s="1114"/>
      <c r="DR311" s="1114"/>
      <c r="DS311" s="1114"/>
      <c r="DT311" s="1114"/>
      <c r="DU311" s="1114"/>
      <c r="DV311" s="1115"/>
      <c r="DW311" s="1116"/>
      <c r="DX311" s="1116"/>
      <c r="DY311" s="1116"/>
      <c r="DZ311" s="1116"/>
      <c r="EA311" s="1116"/>
      <c r="EB311" s="1116"/>
      <c r="EC311" s="1116"/>
      <c r="ED311" s="1116"/>
      <c r="EE311" s="1116"/>
      <c r="EF311" s="1116"/>
      <c r="EG311" s="1116"/>
      <c r="EH311" s="1116"/>
      <c r="EI311" s="1116"/>
      <c r="EJ311" s="1116"/>
      <c r="EK311" s="1116"/>
      <c r="EL311" s="1116"/>
      <c r="EM311" s="1116"/>
      <c r="EN311" s="1116"/>
      <c r="EO311" s="1116"/>
      <c r="EP311" s="1116"/>
      <c r="EQ311" s="1116"/>
      <c r="ER311" s="1116"/>
      <c r="ES311" s="1116"/>
    </row>
    <row r="312" spans="1:149" ht="15" customHeight="1">
      <c r="A312" s="1185">
        <v>302</v>
      </c>
      <c r="B312" s="1041"/>
      <c r="C312" s="1050"/>
      <c r="D312" s="1050"/>
      <c r="E312" s="1050"/>
      <c r="F312" s="1049"/>
      <c r="G312" s="1049"/>
      <c r="H312" s="1049"/>
      <c r="I312" s="1049"/>
      <c r="J312" s="1050"/>
      <c r="K312" s="1050"/>
      <c r="L312" s="1043"/>
      <c r="M312" s="1051"/>
      <c r="N312" s="1051"/>
      <c r="O312" s="1052"/>
      <c r="P312" s="1051"/>
      <c r="Q312" s="1051"/>
      <c r="R312" s="1052"/>
      <c r="S312" s="1051"/>
      <c r="T312" s="1051"/>
      <c r="U312" s="1052"/>
      <c r="V312" s="1051"/>
      <c r="W312" s="1051"/>
      <c r="X312" s="1052"/>
      <c r="Y312" s="1053"/>
      <c r="Z312" s="1051"/>
      <c r="AA312" s="1051"/>
      <c r="AB312" s="1052"/>
      <c r="AC312" s="1051"/>
      <c r="AD312" s="1051"/>
      <c r="AE312" s="1052"/>
      <c r="AF312" s="1051"/>
      <c r="AG312" s="1051"/>
      <c r="AH312" s="1051"/>
      <c r="AI312" s="1051"/>
      <c r="AJ312" s="1052"/>
      <c r="AK312" s="1051"/>
      <c r="AL312" s="1051"/>
      <c r="AM312" s="1052"/>
      <c r="AN312" s="1051"/>
      <c r="AO312" s="1051"/>
      <c r="AP312" s="1052"/>
      <c r="AQ312" s="1051"/>
      <c r="AR312" s="1051"/>
      <c r="AS312" s="1052"/>
      <c r="AT312" s="1051"/>
      <c r="AU312" s="1051"/>
      <c r="AV312" s="1052"/>
      <c r="AW312" s="1051"/>
      <c r="AX312" s="1051"/>
      <c r="AY312" s="1053"/>
      <c r="AZ312" s="1051"/>
      <c r="BA312" s="1051"/>
      <c r="BB312" s="1053"/>
      <c r="BC312" s="1051"/>
      <c r="BD312" s="1051"/>
      <c r="BE312" s="1053"/>
      <c r="BF312" s="1051"/>
      <c r="BG312" s="1051"/>
      <c r="BH312" s="1053"/>
      <c r="BI312" s="1052"/>
      <c r="BJ312" s="1052"/>
      <c r="BK312" s="1052"/>
      <c r="BL312" s="1052"/>
      <c r="BM312" s="1052"/>
      <c r="BN312" s="1054"/>
      <c r="BO312" s="1076">
        <f t="shared" si="5"/>
        <v>0</v>
      </c>
      <c r="BP312" s="1051"/>
      <c r="BQ312" s="1052"/>
      <c r="BR312" s="1054"/>
      <c r="BS312" s="1053"/>
      <c r="BT312" s="1051"/>
      <c r="BU312" s="1051"/>
      <c r="BV312" s="1051"/>
      <c r="BW312" s="1052"/>
      <c r="BX312" s="1052"/>
      <c r="BY312" s="1052"/>
      <c r="BZ312" s="1052"/>
      <c r="CA312" s="1052"/>
      <c r="CB312" s="1053"/>
      <c r="CC312" s="1053"/>
      <c r="CD312" s="1053"/>
      <c r="CE312" s="1053"/>
      <c r="CF312" s="1053"/>
      <c r="CG312" s="1053"/>
      <c r="CH312" s="1053"/>
      <c r="CI312" s="1123"/>
      <c r="CJ312" s="1123"/>
      <c r="CK312" s="1123"/>
      <c r="CL312" s="1123"/>
      <c r="CM312" s="1123"/>
      <c r="CN312" s="1123"/>
      <c r="CO312" s="1123"/>
      <c r="CP312" s="1123"/>
      <c r="CQ312" s="1123"/>
      <c r="CR312" s="1123"/>
      <c r="CS312" s="1123"/>
      <c r="CT312" s="1123"/>
      <c r="CU312" s="1123"/>
      <c r="CV312" s="1123"/>
      <c r="CW312" s="1123"/>
      <c r="CX312" s="1123"/>
      <c r="CY312" s="1123"/>
      <c r="CZ312" s="1114"/>
      <c r="DA312" s="1114"/>
      <c r="DB312" s="1114"/>
      <c r="DC312" s="1114"/>
      <c r="DD312" s="1114"/>
      <c r="DE312" s="1114"/>
      <c r="DF312" s="1114"/>
      <c r="DG312" s="1114"/>
      <c r="DH312" s="1114"/>
      <c r="DI312" s="1114"/>
      <c r="DJ312" s="1114"/>
      <c r="DK312" s="1114"/>
      <c r="DL312" s="1114"/>
      <c r="DM312" s="1114"/>
      <c r="DN312" s="1114"/>
      <c r="DO312" s="1114"/>
      <c r="DP312" s="1114"/>
      <c r="DQ312" s="1114"/>
      <c r="DR312" s="1114"/>
      <c r="DS312" s="1114"/>
      <c r="DT312" s="1114"/>
      <c r="DU312" s="1114"/>
      <c r="DV312" s="1115"/>
      <c r="DW312" s="1116"/>
      <c r="DX312" s="1116"/>
      <c r="DY312" s="1116"/>
      <c r="DZ312" s="1116"/>
      <c r="EA312" s="1116"/>
      <c r="EB312" s="1116"/>
      <c r="EC312" s="1116"/>
      <c r="ED312" s="1116"/>
      <c r="EE312" s="1116"/>
      <c r="EF312" s="1116"/>
      <c r="EG312" s="1116"/>
      <c r="EH312" s="1116"/>
      <c r="EI312" s="1116"/>
      <c r="EJ312" s="1116"/>
      <c r="EK312" s="1116"/>
      <c r="EL312" s="1116"/>
      <c r="EM312" s="1116"/>
      <c r="EN312" s="1116"/>
      <c r="EO312" s="1116"/>
      <c r="EP312" s="1116"/>
      <c r="EQ312" s="1116"/>
      <c r="ER312" s="1116"/>
      <c r="ES312" s="1116"/>
    </row>
    <row r="313" spans="1:149" ht="15" customHeight="1">
      <c r="A313" s="1185">
        <v>303</v>
      </c>
      <c r="B313" s="1041"/>
      <c r="C313" s="1050"/>
      <c r="D313" s="1050"/>
      <c r="E313" s="1050"/>
      <c r="F313" s="1049"/>
      <c r="G313" s="1049"/>
      <c r="H313" s="1049"/>
      <c r="I313" s="1049"/>
      <c r="J313" s="1050"/>
      <c r="K313" s="1050"/>
      <c r="L313" s="1043"/>
      <c r="M313" s="1051"/>
      <c r="N313" s="1051"/>
      <c r="O313" s="1052"/>
      <c r="P313" s="1051"/>
      <c r="Q313" s="1051"/>
      <c r="R313" s="1052"/>
      <c r="S313" s="1051"/>
      <c r="T313" s="1051"/>
      <c r="U313" s="1052"/>
      <c r="V313" s="1051"/>
      <c r="W313" s="1051"/>
      <c r="X313" s="1052"/>
      <c r="Y313" s="1053"/>
      <c r="Z313" s="1051"/>
      <c r="AA313" s="1051"/>
      <c r="AB313" s="1052"/>
      <c r="AC313" s="1051"/>
      <c r="AD313" s="1051"/>
      <c r="AE313" s="1052"/>
      <c r="AF313" s="1051"/>
      <c r="AG313" s="1051"/>
      <c r="AH313" s="1051"/>
      <c r="AI313" s="1051"/>
      <c r="AJ313" s="1052"/>
      <c r="AK313" s="1051"/>
      <c r="AL313" s="1051"/>
      <c r="AM313" s="1052"/>
      <c r="AN313" s="1051"/>
      <c r="AO313" s="1051"/>
      <c r="AP313" s="1052"/>
      <c r="AQ313" s="1051"/>
      <c r="AR313" s="1051"/>
      <c r="AS313" s="1052"/>
      <c r="AT313" s="1051"/>
      <c r="AU313" s="1051"/>
      <c r="AV313" s="1052"/>
      <c r="AW313" s="1051"/>
      <c r="AX313" s="1051"/>
      <c r="AY313" s="1053"/>
      <c r="AZ313" s="1051"/>
      <c r="BA313" s="1051"/>
      <c r="BB313" s="1053"/>
      <c r="BC313" s="1051"/>
      <c r="BD313" s="1051"/>
      <c r="BE313" s="1053"/>
      <c r="BF313" s="1051"/>
      <c r="BG313" s="1051"/>
      <c r="BH313" s="1053"/>
      <c r="BI313" s="1052"/>
      <c r="BJ313" s="1052"/>
      <c r="BK313" s="1052"/>
      <c r="BL313" s="1052"/>
      <c r="BM313" s="1052"/>
      <c r="BN313" s="1054"/>
      <c r="BO313" s="1076">
        <f t="shared" si="5"/>
        <v>0</v>
      </c>
      <c r="BP313" s="1051"/>
      <c r="BQ313" s="1052"/>
      <c r="BR313" s="1054"/>
      <c r="BS313" s="1053"/>
      <c r="BT313" s="1051"/>
      <c r="BU313" s="1051"/>
      <c r="BV313" s="1051"/>
      <c r="BW313" s="1052"/>
      <c r="BX313" s="1052"/>
      <c r="BY313" s="1052"/>
      <c r="BZ313" s="1052"/>
      <c r="CA313" s="1052"/>
      <c r="CB313" s="1053"/>
      <c r="CC313" s="1053"/>
      <c r="CD313" s="1053"/>
      <c r="CE313" s="1053"/>
      <c r="CF313" s="1053"/>
      <c r="CG313" s="1053"/>
      <c r="CH313" s="1053"/>
      <c r="CI313" s="1123"/>
      <c r="CJ313" s="1123"/>
      <c r="CK313" s="1123"/>
      <c r="CL313" s="1123"/>
      <c r="CM313" s="1123"/>
      <c r="CN313" s="1123"/>
      <c r="CO313" s="1123"/>
      <c r="CP313" s="1123"/>
      <c r="CQ313" s="1123"/>
      <c r="CR313" s="1123"/>
      <c r="CS313" s="1123"/>
      <c r="CT313" s="1123"/>
      <c r="CU313" s="1123"/>
      <c r="CV313" s="1123"/>
      <c r="CW313" s="1123"/>
      <c r="CX313" s="1123"/>
      <c r="CY313" s="1123"/>
      <c r="CZ313" s="1114"/>
      <c r="DA313" s="1114"/>
      <c r="DB313" s="1114"/>
      <c r="DC313" s="1114"/>
      <c r="DD313" s="1114"/>
      <c r="DE313" s="1114"/>
      <c r="DF313" s="1114"/>
      <c r="DG313" s="1114"/>
      <c r="DH313" s="1114"/>
      <c r="DI313" s="1114"/>
      <c r="DJ313" s="1114"/>
      <c r="DK313" s="1114"/>
      <c r="DL313" s="1114"/>
      <c r="DM313" s="1114"/>
      <c r="DN313" s="1114"/>
      <c r="DO313" s="1114"/>
      <c r="DP313" s="1114"/>
      <c r="DQ313" s="1114"/>
      <c r="DR313" s="1114"/>
      <c r="DS313" s="1114"/>
      <c r="DT313" s="1114"/>
      <c r="DU313" s="1114"/>
      <c r="DV313" s="1115"/>
      <c r="DW313" s="1116"/>
      <c r="DX313" s="1116"/>
      <c r="DY313" s="1116"/>
      <c r="DZ313" s="1116"/>
      <c r="EA313" s="1116"/>
      <c r="EB313" s="1116"/>
      <c r="EC313" s="1116"/>
      <c r="ED313" s="1116"/>
      <c r="EE313" s="1116"/>
      <c r="EF313" s="1116"/>
      <c r="EG313" s="1116"/>
      <c r="EH313" s="1116"/>
      <c r="EI313" s="1116"/>
      <c r="EJ313" s="1116"/>
      <c r="EK313" s="1116"/>
      <c r="EL313" s="1116"/>
      <c r="EM313" s="1116"/>
      <c r="EN313" s="1116"/>
      <c r="EO313" s="1116"/>
      <c r="EP313" s="1116"/>
      <c r="EQ313" s="1116"/>
      <c r="ER313" s="1116"/>
      <c r="ES313" s="1116"/>
    </row>
    <row r="314" spans="1:149" ht="15" customHeight="1">
      <c r="A314" s="1185">
        <v>304</v>
      </c>
      <c r="B314" s="1041"/>
      <c r="C314" s="1050"/>
      <c r="D314" s="1050"/>
      <c r="E314" s="1050"/>
      <c r="F314" s="1049"/>
      <c r="G314" s="1049"/>
      <c r="H314" s="1049"/>
      <c r="I314" s="1049"/>
      <c r="J314" s="1050"/>
      <c r="K314" s="1050"/>
      <c r="L314" s="1043"/>
      <c r="M314" s="1051"/>
      <c r="N314" s="1051"/>
      <c r="O314" s="1052"/>
      <c r="P314" s="1051"/>
      <c r="Q314" s="1051"/>
      <c r="R314" s="1052"/>
      <c r="S314" s="1051"/>
      <c r="T314" s="1051"/>
      <c r="U314" s="1052"/>
      <c r="V314" s="1051"/>
      <c r="W314" s="1051"/>
      <c r="X314" s="1052"/>
      <c r="Y314" s="1053"/>
      <c r="Z314" s="1051"/>
      <c r="AA314" s="1051"/>
      <c r="AB314" s="1052"/>
      <c r="AC314" s="1051"/>
      <c r="AD314" s="1051"/>
      <c r="AE314" s="1052"/>
      <c r="AF314" s="1051"/>
      <c r="AG314" s="1051"/>
      <c r="AH314" s="1051"/>
      <c r="AI314" s="1051"/>
      <c r="AJ314" s="1052"/>
      <c r="AK314" s="1051"/>
      <c r="AL314" s="1051"/>
      <c r="AM314" s="1052"/>
      <c r="AN314" s="1051"/>
      <c r="AO314" s="1051"/>
      <c r="AP314" s="1052"/>
      <c r="AQ314" s="1051"/>
      <c r="AR314" s="1051"/>
      <c r="AS314" s="1052"/>
      <c r="AT314" s="1051"/>
      <c r="AU314" s="1051"/>
      <c r="AV314" s="1052"/>
      <c r="AW314" s="1051"/>
      <c r="AX314" s="1051"/>
      <c r="AY314" s="1053"/>
      <c r="AZ314" s="1051"/>
      <c r="BA314" s="1051"/>
      <c r="BB314" s="1053"/>
      <c r="BC314" s="1051"/>
      <c r="BD314" s="1051"/>
      <c r="BE314" s="1053"/>
      <c r="BF314" s="1051"/>
      <c r="BG314" s="1051"/>
      <c r="BH314" s="1053"/>
      <c r="BI314" s="1052"/>
      <c r="BJ314" s="1052"/>
      <c r="BK314" s="1052"/>
      <c r="BL314" s="1052"/>
      <c r="BM314" s="1052"/>
      <c r="BN314" s="1054"/>
      <c r="BO314" s="1076">
        <f t="shared" si="5"/>
        <v>0</v>
      </c>
      <c r="BP314" s="1051"/>
      <c r="BQ314" s="1052"/>
      <c r="BR314" s="1054"/>
      <c r="BS314" s="1053"/>
      <c r="BT314" s="1051"/>
      <c r="BU314" s="1051"/>
      <c r="BV314" s="1051"/>
      <c r="BW314" s="1052"/>
      <c r="BX314" s="1052"/>
      <c r="BY314" s="1052"/>
      <c r="BZ314" s="1052"/>
      <c r="CA314" s="1052"/>
      <c r="CB314" s="1053"/>
      <c r="CC314" s="1053"/>
      <c r="CD314" s="1053"/>
      <c r="CE314" s="1053"/>
      <c r="CF314" s="1053"/>
      <c r="CG314" s="1053"/>
      <c r="CH314" s="1053"/>
      <c r="CI314" s="1123"/>
      <c r="CJ314" s="1123"/>
      <c r="CK314" s="1123"/>
      <c r="CL314" s="1123"/>
      <c r="CM314" s="1123"/>
      <c r="CN314" s="1123"/>
      <c r="CO314" s="1123"/>
      <c r="CP314" s="1123"/>
      <c r="CQ314" s="1123"/>
      <c r="CR314" s="1123"/>
      <c r="CS314" s="1123"/>
      <c r="CT314" s="1123"/>
      <c r="CU314" s="1123"/>
      <c r="CV314" s="1123"/>
      <c r="CW314" s="1123"/>
      <c r="CX314" s="1123"/>
      <c r="CY314" s="1123"/>
      <c r="CZ314" s="1114"/>
      <c r="DA314" s="1114"/>
      <c r="DB314" s="1114"/>
      <c r="DC314" s="1114"/>
      <c r="DD314" s="1114"/>
      <c r="DE314" s="1114"/>
      <c r="DF314" s="1114"/>
      <c r="DG314" s="1114"/>
      <c r="DH314" s="1114"/>
      <c r="DI314" s="1114"/>
      <c r="DJ314" s="1114"/>
      <c r="DK314" s="1114"/>
      <c r="DL314" s="1114"/>
      <c r="DM314" s="1114"/>
      <c r="DN314" s="1114"/>
      <c r="DO314" s="1114"/>
      <c r="DP314" s="1114"/>
      <c r="DQ314" s="1114"/>
      <c r="DR314" s="1114"/>
      <c r="DS314" s="1114"/>
      <c r="DT314" s="1114"/>
      <c r="DU314" s="1114"/>
      <c r="DV314" s="1115"/>
      <c r="DW314" s="1116"/>
      <c r="DX314" s="1116"/>
      <c r="DY314" s="1116"/>
      <c r="DZ314" s="1116"/>
      <c r="EA314" s="1116"/>
      <c r="EB314" s="1116"/>
      <c r="EC314" s="1116"/>
      <c r="ED314" s="1116"/>
      <c r="EE314" s="1116"/>
      <c r="EF314" s="1116"/>
      <c r="EG314" s="1116"/>
      <c r="EH314" s="1116"/>
      <c r="EI314" s="1116"/>
      <c r="EJ314" s="1116"/>
      <c r="EK314" s="1116"/>
      <c r="EL314" s="1116"/>
      <c r="EM314" s="1116"/>
      <c r="EN314" s="1116"/>
      <c r="EO314" s="1116"/>
      <c r="EP314" s="1116"/>
      <c r="EQ314" s="1116"/>
      <c r="ER314" s="1116"/>
      <c r="ES314" s="1116"/>
    </row>
    <row r="315" spans="1:149" ht="15" customHeight="1">
      <c r="A315" s="1185">
        <v>305</v>
      </c>
      <c r="B315" s="1041"/>
      <c r="C315" s="1050"/>
      <c r="D315" s="1050"/>
      <c r="E315" s="1050"/>
      <c r="F315" s="1049"/>
      <c r="G315" s="1049"/>
      <c r="H315" s="1049"/>
      <c r="I315" s="1049"/>
      <c r="J315" s="1050"/>
      <c r="K315" s="1050"/>
      <c r="L315" s="1043"/>
      <c r="M315" s="1051"/>
      <c r="N315" s="1051"/>
      <c r="O315" s="1052"/>
      <c r="P315" s="1051"/>
      <c r="Q315" s="1051"/>
      <c r="R315" s="1052"/>
      <c r="S315" s="1051"/>
      <c r="T315" s="1051"/>
      <c r="U315" s="1052"/>
      <c r="V315" s="1051"/>
      <c r="W315" s="1051"/>
      <c r="X315" s="1052"/>
      <c r="Y315" s="1053"/>
      <c r="Z315" s="1051"/>
      <c r="AA315" s="1051"/>
      <c r="AB315" s="1052"/>
      <c r="AC315" s="1051"/>
      <c r="AD315" s="1051"/>
      <c r="AE315" s="1052"/>
      <c r="AF315" s="1051"/>
      <c r="AG315" s="1051"/>
      <c r="AH315" s="1051"/>
      <c r="AI315" s="1051"/>
      <c r="AJ315" s="1052"/>
      <c r="AK315" s="1051"/>
      <c r="AL315" s="1051"/>
      <c r="AM315" s="1052"/>
      <c r="AN315" s="1051"/>
      <c r="AO315" s="1051"/>
      <c r="AP315" s="1052"/>
      <c r="AQ315" s="1051"/>
      <c r="AR315" s="1051"/>
      <c r="AS315" s="1052"/>
      <c r="AT315" s="1051"/>
      <c r="AU315" s="1051"/>
      <c r="AV315" s="1052"/>
      <c r="AW315" s="1051"/>
      <c r="AX315" s="1051"/>
      <c r="AY315" s="1053"/>
      <c r="AZ315" s="1051"/>
      <c r="BA315" s="1051"/>
      <c r="BB315" s="1053"/>
      <c r="BC315" s="1051"/>
      <c r="BD315" s="1051"/>
      <c r="BE315" s="1053"/>
      <c r="BF315" s="1051"/>
      <c r="BG315" s="1051"/>
      <c r="BH315" s="1053"/>
      <c r="BI315" s="1052"/>
      <c r="BJ315" s="1052"/>
      <c r="BK315" s="1052"/>
      <c r="BL315" s="1052"/>
      <c r="BM315" s="1052"/>
      <c r="BN315" s="1054"/>
      <c r="BO315" s="1076">
        <f t="shared" si="5"/>
        <v>0</v>
      </c>
      <c r="BP315" s="1051"/>
      <c r="BQ315" s="1052"/>
      <c r="BR315" s="1054"/>
      <c r="BS315" s="1053"/>
      <c r="BT315" s="1051"/>
      <c r="BU315" s="1051"/>
      <c r="BV315" s="1051"/>
      <c r="BW315" s="1052"/>
      <c r="BX315" s="1052"/>
      <c r="BY315" s="1052"/>
      <c r="BZ315" s="1052"/>
      <c r="CA315" s="1052"/>
      <c r="CB315" s="1053"/>
      <c r="CC315" s="1053"/>
      <c r="CD315" s="1053"/>
      <c r="CE315" s="1053"/>
      <c r="CF315" s="1053"/>
      <c r="CG315" s="1053"/>
      <c r="CH315" s="1053"/>
      <c r="CI315" s="1123"/>
      <c r="CJ315" s="1123"/>
      <c r="CK315" s="1123"/>
      <c r="CL315" s="1123"/>
      <c r="CM315" s="1123"/>
      <c r="CN315" s="1123"/>
      <c r="CO315" s="1123"/>
      <c r="CP315" s="1123"/>
      <c r="CQ315" s="1123"/>
      <c r="CR315" s="1123"/>
      <c r="CS315" s="1123"/>
      <c r="CT315" s="1123"/>
      <c r="CU315" s="1123"/>
      <c r="CV315" s="1123"/>
      <c r="CW315" s="1123"/>
      <c r="CX315" s="1123"/>
      <c r="CY315" s="1123"/>
      <c r="CZ315" s="1114"/>
      <c r="DA315" s="1114"/>
      <c r="DB315" s="1114"/>
      <c r="DC315" s="1114"/>
      <c r="DD315" s="1114"/>
      <c r="DE315" s="1114"/>
      <c r="DF315" s="1114"/>
      <c r="DG315" s="1114"/>
      <c r="DH315" s="1114"/>
      <c r="DI315" s="1114"/>
      <c r="DJ315" s="1114"/>
      <c r="DK315" s="1114"/>
      <c r="DL315" s="1114"/>
      <c r="DM315" s="1114"/>
      <c r="DN315" s="1114"/>
      <c r="DO315" s="1114"/>
      <c r="DP315" s="1114"/>
      <c r="DQ315" s="1114"/>
      <c r="DR315" s="1114"/>
      <c r="DS315" s="1114"/>
      <c r="DT315" s="1114"/>
      <c r="DU315" s="1114"/>
      <c r="DV315" s="1115"/>
      <c r="DW315" s="1116"/>
      <c r="DX315" s="1116"/>
      <c r="DY315" s="1116"/>
      <c r="DZ315" s="1116"/>
      <c r="EA315" s="1116"/>
      <c r="EB315" s="1116"/>
      <c r="EC315" s="1116"/>
      <c r="ED315" s="1116"/>
      <c r="EE315" s="1116"/>
      <c r="EF315" s="1116"/>
      <c r="EG315" s="1116"/>
      <c r="EH315" s="1116"/>
      <c r="EI315" s="1116"/>
      <c r="EJ315" s="1116"/>
      <c r="EK315" s="1116"/>
      <c r="EL315" s="1116"/>
      <c r="EM315" s="1116"/>
      <c r="EN315" s="1116"/>
      <c r="EO315" s="1116"/>
      <c r="EP315" s="1116"/>
      <c r="EQ315" s="1116"/>
      <c r="ER315" s="1116"/>
      <c r="ES315" s="1116"/>
    </row>
    <row r="316" spans="1:149" ht="15" customHeight="1">
      <c r="A316" s="1185">
        <v>306</v>
      </c>
      <c r="B316" s="1041"/>
      <c r="C316" s="1050"/>
      <c r="D316" s="1050"/>
      <c r="E316" s="1050"/>
      <c r="F316" s="1049"/>
      <c r="G316" s="1049"/>
      <c r="H316" s="1049"/>
      <c r="I316" s="1049"/>
      <c r="J316" s="1050"/>
      <c r="K316" s="1050"/>
      <c r="L316" s="1043"/>
      <c r="M316" s="1051"/>
      <c r="N316" s="1051"/>
      <c r="O316" s="1052"/>
      <c r="P316" s="1051"/>
      <c r="Q316" s="1051"/>
      <c r="R316" s="1052"/>
      <c r="S316" s="1051"/>
      <c r="T316" s="1051"/>
      <c r="U316" s="1052"/>
      <c r="V316" s="1051"/>
      <c r="W316" s="1051"/>
      <c r="X316" s="1052"/>
      <c r="Y316" s="1053"/>
      <c r="Z316" s="1051"/>
      <c r="AA316" s="1051"/>
      <c r="AB316" s="1052"/>
      <c r="AC316" s="1051"/>
      <c r="AD316" s="1051"/>
      <c r="AE316" s="1052"/>
      <c r="AF316" s="1051"/>
      <c r="AG316" s="1051"/>
      <c r="AH316" s="1051"/>
      <c r="AI316" s="1051"/>
      <c r="AJ316" s="1052"/>
      <c r="AK316" s="1051"/>
      <c r="AL316" s="1051"/>
      <c r="AM316" s="1052"/>
      <c r="AN316" s="1051"/>
      <c r="AO316" s="1051"/>
      <c r="AP316" s="1052"/>
      <c r="AQ316" s="1051"/>
      <c r="AR316" s="1051"/>
      <c r="AS316" s="1052"/>
      <c r="AT316" s="1051"/>
      <c r="AU316" s="1051"/>
      <c r="AV316" s="1052"/>
      <c r="AW316" s="1051"/>
      <c r="AX316" s="1051"/>
      <c r="AY316" s="1053"/>
      <c r="AZ316" s="1051"/>
      <c r="BA316" s="1051"/>
      <c r="BB316" s="1053"/>
      <c r="BC316" s="1051"/>
      <c r="BD316" s="1051"/>
      <c r="BE316" s="1053"/>
      <c r="BF316" s="1051"/>
      <c r="BG316" s="1051"/>
      <c r="BH316" s="1053"/>
      <c r="BI316" s="1052"/>
      <c r="BJ316" s="1052"/>
      <c r="BK316" s="1052"/>
      <c r="BL316" s="1052"/>
      <c r="BM316" s="1052"/>
      <c r="BN316" s="1054"/>
      <c r="BO316" s="1076">
        <f t="shared" si="5"/>
        <v>0</v>
      </c>
      <c r="BP316" s="1051"/>
      <c r="BQ316" s="1052"/>
      <c r="BR316" s="1054"/>
      <c r="BS316" s="1053"/>
      <c r="BT316" s="1051"/>
      <c r="BU316" s="1051"/>
      <c r="BV316" s="1051"/>
      <c r="BW316" s="1052"/>
      <c r="BX316" s="1052"/>
      <c r="BY316" s="1052"/>
      <c r="BZ316" s="1052"/>
      <c r="CA316" s="1052"/>
      <c r="CB316" s="1053"/>
      <c r="CC316" s="1053"/>
      <c r="CD316" s="1053"/>
      <c r="CE316" s="1053"/>
      <c r="CF316" s="1053"/>
      <c r="CG316" s="1053"/>
      <c r="CH316" s="1053"/>
      <c r="CI316" s="1123"/>
      <c r="CJ316" s="1123"/>
      <c r="CK316" s="1123"/>
      <c r="CL316" s="1123"/>
      <c r="CM316" s="1123"/>
      <c r="CN316" s="1123"/>
      <c r="CO316" s="1123"/>
      <c r="CP316" s="1123"/>
      <c r="CQ316" s="1123"/>
      <c r="CR316" s="1123"/>
      <c r="CS316" s="1123"/>
      <c r="CT316" s="1123"/>
      <c r="CU316" s="1123"/>
      <c r="CV316" s="1123"/>
      <c r="CW316" s="1123"/>
      <c r="CX316" s="1123"/>
      <c r="CY316" s="1123"/>
      <c r="CZ316" s="1114"/>
      <c r="DA316" s="1114"/>
      <c r="DB316" s="1114"/>
      <c r="DC316" s="1114"/>
      <c r="DD316" s="1114"/>
      <c r="DE316" s="1114"/>
      <c r="DF316" s="1114"/>
      <c r="DG316" s="1114"/>
      <c r="DH316" s="1114"/>
      <c r="DI316" s="1114"/>
      <c r="DJ316" s="1114"/>
      <c r="DK316" s="1114"/>
      <c r="DL316" s="1114"/>
      <c r="DM316" s="1114"/>
      <c r="DN316" s="1114"/>
      <c r="DO316" s="1114"/>
      <c r="DP316" s="1114"/>
      <c r="DQ316" s="1114"/>
      <c r="DR316" s="1114"/>
      <c r="DS316" s="1114"/>
      <c r="DT316" s="1114"/>
      <c r="DU316" s="1114"/>
      <c r="DV316" s="1115"/>
      <c r="DW316" s="1116"/>
      <c r="DX316" s="1116"/>
      <c r="DY316" s="1116"/>
      <c r="DZ316" s="1116"/>
      <c r="EA316" s="1116"/>
      <c r="EB316" s="1116"/>
      <c r="EC316" s="1116"/>
      <c r="ED316" s="1116"/>
      <c r="EE316" s="1116"/>
      <c r="EF316" s="1116"/>
      <c r="EG316" s="1116"/>
      <c r="EH316" s="1116"/>
      <c r="EI316" s="1116"/>
      <c r="EJ316" s="1116"/>
      <c r="EK316" s="1116"/>
      <c r="EL316" s="1116"/>
      <c r="EM316" s="1116"/>
      <c r="EN316" s="1116"/>
      <c r="EO316" s="1116"/>
      <c r="EP316" s="1116"/>
      <c r="EQ316" s="1116"/>
      <c r="ER316" s="1116"/>
      <c r="ES316" s="1116"/>
    </row>
    <row r="317" spans="1:149" ht="15" customHeight="1">
      <c r="A317" s="1185">
        <v>307</v>
      </c>
      <c r="B317" s="1041"/>
      <c r="C317" s="1050"/>
      <c r="D317" s="1050"/>
      <c r="E317" s="1050"/>
      <c r="F317" s="1049"/>
      <c r="G317" s="1049"/>
      <c r="H317" s="1049"/>
      <c r="I317" s="1049"/>
      <c r="J317" s="1050"/>
      <c r="K317" s="1050"/>
      <c r="L317" s="1043"/>
      <c r="M317" s="1051"/>
      <c r="N317" s="1051"/>
      <c r="O317" s="1052"/>
      <c r="P317" s="1051"/>
      <c r="Q317" s="1051"/>
      <c r="R317" s="1052"/>
      <c r="S317" s="1051"/>
      <c r="T317" s="1051"/>
      <c r="U317" s="1052"/>
      <c r="V317" s="1051"/>
      <c r="W317" s="1051"/>
      <c r="X317" s="1052"/>
      <c r="Y317" s="1053"/>
      <c r="Z317" s="1051"/>
      <c r="AA317" s="1051"/>
      <c r="AB317" s="1052"/>
      <c r="AC317" s="1051"/>
      <c r="AD317" s="1051"/>
      <c r="AE317" s="1052"/>
      <c r="AF317" s="1051"/>
      <c r="AG317" s="1051"/>
      <c r="AH317" s="1051"/>
      <c r="AI317" s="1051"/>
      <c r="AJ317" s="1052"/>
      <c r="AK317" s="1051"/>
      <c r="AL317" s="1051"/>
      <c r="AM317" s="1052"/>
      <c r="AN317" s="1051"/>
      <c r="AO317" s="1051"/>
      <c r="AP317" s="1052"/>
      <c r="AQ317" s="1051"/>
      <c r="AR317" s="1051"/>
      <c r="AS317" s="1052"/>
      <c r="AT317" s="1051"/>
      <c r="AU317" s="1051"/>
      <c r="AV317" s="1052"/>
      <c r="AW317" s="1051"/>
      <c r="AX317" s="1051"/>
      <c r="AY317" s="1053"/>
      <c r="AZ317" s="1051"/>
      <c r="BA317" s="1051"/>
      <c r="BB317" s="1053"/>
      <c r="BC317" s="1051"/>
      <c r="BD317" s="1051"/>
      <c r="BE317" s="1053"/>
      <c r="BF317" s="1051"/>
      <c r="BG317" s="1051"/>
      <c r="BH317" s="1053"/>
      <c r="BI317" s="1052"/>
      <c r="BJ317" s="1052"/>
      <c r="BK317" s="1052"/>
      <c r="BL317" s="1052"/>
      <c r="BM317" s="1052"/>
      <c r="BN317" s="1054"/>
      <c r="BO317" s="1076">
        <f t="shared" si="5"/>
        <v>0</v>
      </c>
      <c r="BP317" s="1051"/>
      <c r="BQ317" s="1052"/>
      <c r="BR317" s="1054"/>
      <c r="BS317" s="1053"/>
      <c r="BT317" s="1051"/>
      <c r="BU317" s="1051"/>
      <c r="BV317" s="1051"/>
      <c r="BW317" s="1052"/>
      <c r="BX317" s="1052"/>
      <c r="BY317" s="1052"/>
      <c r="BZ317" s="1052"/>
      <c r="CA317" s="1052"/>
      <c r="CB317" s="1053"/>
      <c r="CC317" s="1053"/>
      <c r="CD317" s="1053"/>
      <c r="CE317" s="1053"/>
      <c r="CF317" s="1053"/>
      <c r="CG317" s="1053"/>
      <c r="CH317" s="1053"/>
      <c r="CI317" s="1123"/>
      <c r="CJ317" s="1123"/>
      <c r="CK317" s="1123"/>
      <c r="CL317" s="1123"/>
      <c r="CM317" s="1123"/>
      <c r="CN317" s="1123"/>
      <c r="CO317" s="1123"/>
      <c r="CP317" s="1123"/>
      <c r="CQ317" s="1123"/>
      <c r="CR317" s="1123"/>
      <c r="CS317" s="1123"/>
      <c r="CT317" s="1123"/>
      <c r="CU317" s="1123"/>
      <c r="CV317" s="1123"/>
      <c r="CW317" s="1123"/>
      <c r="CX317" s="1123"/>
      <c r="CY317" s="1123"/>
      <c r="CZ317" s="1114"/>
      <c r="DA317" s="1114"/>
      <c r="DB317" s="1114"/>
      <c r="DC317" s="1114"/>
      <c r="DD317" s="1114"/>
      <c r="DE317" s="1114"/>
      <c r="DF317" s="1114"/>
      <c r="DG317" s="1114"/>
      <c r="DH317" s="1114"/>
      <c r="DI317" s="1114"/>
      <c r="DJ317" s="1114"/>
      <c r="DK317" s="1114"/>
      <c r="DL317" s="1114"/>
      <c r="DM317" s="1114"/>
      <c r="DN317" s="1114"/>
      <c r="DO317" s="1114"/>
      <c r="DP317" s="1114"/>
      <c r="DQ317" s="1114"/>
      <c r="DR317" s="1114"/>
      <c r="DS317" s="1114"/>
      <c r="DT317" s="1114"/>
      <c r="DU317" s="1114"/>
      <c r="DV317" s="1115"/>
      <c r="DW317" s="1116"/>
      <c r="DX317" s="1116"/>
      <c r="DY317" s="1116"/>
      <c r="DZ317" s="1116"/>
      <c r="EA317" s="1116"/>
      <c r="EB317" s="1116"/>
      <c r="EC317" s="1116"/>
      <c r="ED317" s="1116"/>
      <c r="EE317" s="1116"/>
      <c r="EF317" s="1116"/>
      <c r="EG317" s="1116"/>
      <c r="EH317" s="1116"/>
      <c r="EI317" s="1116"/>
      <c r="EJ317" s="1116"/>
      <c r="EK317" s="1116"/>
      <c r="EL317" s="1116"/>
      <c r="EM317" s="1116"/>
      <c r="EN317" s="1116"/>
      <c r="EO317" s="1116"/>
      <c r="EP317" s="1116"/>
      <c r="EQ317" s="1116"/>
      <c r="ER317" s="1116"/>
      <c r="ES317" s="1116"/>
    </row>
    <row r="318" spans="1:149" ht="15" customHeight="1">
      <c r="A318" s="1185">
        <v>308</v>
      </c>
      <c r="B318" s="1041"/>
      <c r="C318" s="1050"/>
      <c r="D318" s="1050"/>
      <c r="E318" s="1050"/>
      <c r="F318" s="1049"/>
      <c r="G318" s="1049"/>
      <c r="H318" s="1049"/>
      <c r="I318" s="1049"/>
      <c r="J318" s="1050"/>
      <c r="K318" s="1050"/>
      <c r="L318" s="1043"/>
      <c r="M318" s="1051"/>
      <c r="N318" s="1051"/>
      <c r="O318" s="1052"/>
      <c r="P318" s="1051"/>
      <c r="Q318" s="1051"/>
      <c r="R318" s="1052"/>
      <c r="S318" s="1051"/>
      <c r="T318" s="1051"/>
      <c r="U318" s="1052"/>
      <c r="V318" s="1051"/>
      <c r="W318" s="1051"/>
      <c r="X318" s="1052"/>
      <c r="Y318" s="1053"/>
      <c r="Z318" s="1051"/>
      <c r="AA318" s="1051"/>
      <c r="AB318" s="1052"/>
      <c r="AC318" s="1051"/>
      <c r="AD318" s="1051"/>
      <c r="AE318" s="1052"/>
      <c r="AF318" s="1051"/>
      <c r="AG318" s="1051"/>
      <c r="AH318" s="1051"/>
      <c r="AI318" s="1051"/>
      <c r="AJ318" s="1052"/>
      <c r="AK318" s="1051"/>
      <c r="AL318" s="1051"/>
      <c r="AM318" s="1052"/>
      <c r="AN318" s="1051"/>
      <c r="AO318" s="1051"/>
      <c r="AP318" s="1052"/>
      <c r="AQ318" s="1051"/>
      <c r="AR318" s="1051"/>
      <c r="AS318" s="1052"/>
      <c r="AT318" s="1051"/>
      <c r="AU318" s="1051"/>
      <c r="AV318" s="1052"/>
      <c r="AW318" s="1051"/>
      <c r="AX318" s="1051"/>
      <c r="AY318" s="1053"/>
      <c r="AZ318" s="1051"/>
      <c r="BA318" s="1051"/>
      <c r="BB318" s="1053"/>
      <c r="BC318" s="1051"/>
      <c r="BD318" s="1051"/>
      <c r="BE318" s="1053"/>
      <c r="BF318" s="1051"/>
      <c r="BG318" s="1051"/>
      <c r="BH318" s="1053"/>
      <c r="BI318" s="1052"/>
      <c r="BJ318" s="1052"/>
      <c r="BK318" s="1052"/>
      <c r="BL318" s="1052"/>
      <c r="BM318" s="1052"/>
      <c r="BN318" s="1054"/>
      <c r="BO318" s="1076">
        <f t="shared" si="5"/>
        <v>0</v>
      </c>
      <c r="BP318" s="1051"/>
      <c r="BQ318" s="1052"/>
      <c r="BR318" s="1054"/>
      <c r="BS318" s="1053"/>
      <c r="BT318" s="1051"/>
      <c r="BU318" s="1051"/>
      <c r="BV318" s="1051"/>
      <c r="BW318" s="1052"/>
      <c r="BX318" s="1052"/>
      <c r="BY318" s="1052"/>
      <c r="BZ318" s="1052"/>
      <c r="CA318" s="1052"/>
      <c r="CB318" s="1053"/>
      <c r="CC318" s="1053"/>
      <c r="CD318" s="1053"/>
      <c r="CE318" s="1053"/>
      <c r="CF318" s="1053"/>
      <c r="CG318" s="1053"/>
      <c r="CH318" s="1053"/>
      <c r="CI318" s="1123"/>
      <c r="CJ318" s="1123"/>
      <c r="CK318" s="1123"/>
      <c r="CL318" s="1123"/>
      <c r="CM318" s="1123"/>
      <c r="CN318" s="1123"/>
      <c r="CO318" s="1123"/>
      <c r="CP318" s="1123"/>
      <c r="CQ318" s="1123"/>
      <c r="CR318" s="1123"/>
      <c r="CS318" s="1123"/>
      <c r="CT318" s="1123"/>
      <c r="CU318" s="1123"/>
      <c r="CV318" s="1123"/>
      <c r="CW318" s="1123"/>
      <c r="CX318" s="1123"/>
      <c r="CY318" s="1123"/>
      <c r="CZ318" s="1114"/>
      <c r="DA318" s="1114"/>
      <c r="DB318" s="1114"/>
      <c r="DC318" s="1114"/>
      <c r="DD318" s="1114"/>
      <c r="DE318" s="1114"/>
      <c r="DF318" s="1114"/>
      <c r="DG318" s="1114"/>
      <c r="DH318" s="1114"/>
      <c r="DI318" s="1114"/>
      <c r="DJ318" s="1114"/>
      <c r="DK318" s="1114"/>
      <c r="DL318" s="1114"/>
      <c r="DM318" s="1114"/>
      <c r="DN318" s="1114"/>
      <c r="DO318" s="1114"/>
      <c r="DP318" s="1114"/>
      <c r="DQ318" s="1114"/>
      <c r="DR318" s="1114"/>
      <c r="DS318" s="1114"/>
      <c r="DT318" s="1114"/>
      <c r="DU318" s="1114"/>
      <c r="DV318" s="1115"/>
      <c r="DW318" s="1116"/>
      <c r="DX318" s="1116"/>
      <c r="DY318" s="1116"/>
      <c r="DZ318" s="1116"/>
      <c r="EA318" s="1116"/>
      <c r="EB318" s="1116"/>
      <c r="EC318" s="1116"/>
      <c r="ED318" s="1116"/>
      <c r="EE318" s="1116"/>
      <c r="EF318" s="1116"/>
      <c r="EG318" s="1116"/>
      <c r="EH318" s="1116"/>
      <c r="EI318" s="1116"/>
      <c r="EJ318" s="1116"/>
      <c r="EK318" s="1116"/>
      <c r="EL318" s="1116"/>
      <c r="EM318" s="1116"/>
      <c r="EN318" s="1116"/>
      <c r="EO318" s="1116"/>
      <c r="EP318" s="1116"/>
      <c r="EQ318" s="1116"/>
      <c r="ER318" s="1116"/>
      <c r="ES318" s="1116"/>
    </row>
    <row r="319" spans="1:149" ht="15" customHeight="1">
      <c r="A319" s="1185">
        <v>309</v>
      </c>
      <c r="B319" s="1041"/>
      <c r="C319" s="1050"/>
      <c r="D319" s="1050"/>
      <c r="E319" s="1050"/>
      <c r="F319" s="1049"/>
      <c r="G319" s="1049"/>
      <c r="H319" s="1049"/>
      <c r="I319" s="1049"/>
      <c r="J319" s="1050"/>
      <c r="K319" s="1050"/>
      <c r="L319" s="1043"/>
      <c r="M319" s="1051"/>
      <c r="N319" s="1051"/>
      <c r="O319" s="1052"/>
      <c r="P319" s="1051"/>
      <c r="Q319" s="1051"/>
      <c r="R319" s="1052"/>
      <c r="S319" s="1051"/>
      <c r="T319" s="1051"/>
      <c r="U319" s="1052"/>
      <c r="V319" s="1051"/>
      <c r="W319" s="1051"/>
      <c r="X319" s="1052"/>
      <c r="Y319" s="1053"/>
      <c r="Z319" s="1051"/>
      <c r="AA319" s="1051"/>
      <c r="AB319" s="1052"/>
      <c r="AC319" s="1051"/>
      <c r="AD319" s="1051"/>
      <c r="AE319" s="1052"/>
      <c r="AF319" s="1051"/>
      <c r="AG319" s="1051"/>
      <c r="AH319" s="1051"/>
      <c r="AI319" s="1051"/>
      <c r="AJ319" s="1052"/>
      <c r="AK319" s="1051"/>
      <c r="AL319" s="1051"/>
      <c r="AM319" s="1052"/>
      <c r="AN319" s="1051"/>
      <c r="AO319" s="1051"/>
      <c r="AP319" s="1052"/>
      <c r="AQ319" s="1051"/>
      <c r="AR319" s="1051"/>
      <c r="AS319" s="1052"/>
      <c r="AT319" s="1051"/>
      <c r="AU319" s="1051"/>
      <c r="AV319" s="1052"/>
      <c r="AW319" s="1051"/>
      <c r="AX319" s="1051"/>
      <c r="AY319" s="1053"/>
      <c r="AZ319" s="1051"/>
      <c r="BA319" s="1051"/>
      <c r="BB319" s="1053"/>
      <c r="BC319" s="1051"/>
      <c r="BD319" s="1051"/>
      <c r="BE319" s="1053"/>
      <c r="BF319" s="1051"/>
      <c r="BG319" s="1051"/>
      <c r="BH319" s="1053"/>
      <c r="BI319" s="1052"/>
      <c r="BJ319" s="1052"/>
      <c r="BK319" s="1052"/>
      <c r="BL319" s="1052"/>
      <c r="BM319" s="1052"/>
      <c r="BN319" s="1054"/>
      <c r="BO319" s="1076">
        <f t="shared" si="5"/>
        <v>0</v>
      </c>
      <c r="BP319" s="1051"/>
      <c r="BQ319" s="1052"/>
      <c r="BR319" s="1054"/>
      <c r="BS319" s="1053"/>
      <c r="BT319" s="1051"/>
      <c r="BU319" s="1051"/>
      <c r="BV319" s="1051"/>
      <c r="BW319" s="1052"/>
      <c r="BX319" s="1052"/>
      <c r="BY319" s="1052"/>
      <c r="BZ319" s="1052"/>
      <c r="CA319" s="1052"/>
      <c r="CB319" s="1053"/>
      <c r="CC319" s="1053"/>
      <c r="CD319" s="1053"/>
      <c r="CE319" s="1053"/>
      <c r="CF319" s="1053"/>
      <c r="CG319" s="1053"/>
      <c r="CH319" s="1053"/>
      <c r="CI319" s="1123"/>
      <c r="CJ319" s="1123"/>
      <c r="CK319" s="1123"/>
      <c r="CL319" s="1123"/>
      <c r="CM319" s="1123"/>
      <c r="CN319" s="1123"/>
      <c r="CO319" s="1123"/>
      <c r="CP319" s="1123"/>
      <c r="CQ319" s="1123"/>
      <c r="CR319" s="1123"/>
      <c r="CS319" s="1123"/>
      <c r="CT319" s="1123"/>
      <c r="CU319" s="1123"/>
      <c r="CV319" s="1123"/>
      <c r="CW319" s="1123"/>
      <c r="CX319" s="1123"/>
      <c r="CY319" s="1123"/>
      <c r="CZ319" s="1114"/>
      <c r="DA319" s="1114"/>
      <c r="DB319" s="1114"/>
      <c r="DC319" s="1114"/>
      <c r="DD319" s="1114"/>
      <c r="DE319" s="1114"/>
      <c r="DF319" s="1114"/>
      <c r="DG319" s="1114"/>
      <c r="DH319" s="1114"/>
      <c r="DI319" s="1114"/>
      <c r="DJ319" s="1114"/>
      <c r="DK319" s="1114"/>
      <c r="DL319" s="1114"/>
      <c r="DM319" s="1114"/>
      <c r="DN319" s="1114"/>
      <c r="DO319" s="1114"/>
      <c r="DP319" s="1114"/>
      <c r="DQ319" s="1114"/>
      <c r="DR319" s="1114"/>
      <c r="DS319" s="1114"/>
      <c r="DT319" s="1114"/>
      <c r="DU319" s="1114"/>
      <c r="DV319" s="1115"/>
      <c r="DW319" s="1116"/>
      <c r="DX319" s="1116"/>
      <c r="DY319" s="1116"/>
      <c r="DZ319" s="1116"/>
      <c r="EA319" s="1116"/>
      <c r="EB319" s="1116"/>
      <c r="EC319" s="1116"/>
      <c r="ED319" s="1116"/>
      <c r="EE319" s="1116"/>
      <c r="EF319" s="1116"/>
      <c r="EG319" s="1116"/>
      <c r="EH319" s="1116"/>
      <c r="EI319" s="1116"/>
      <c r="EJ319" s="1116"/>
      <c r="EK319" s="1116"/>
      <c r="EL319" s="1116"/>
      <c r="EM319" s="1116"/>
      <c r="EN319" s="1116"/>
      <c r="EO319" s="1116"/>
      <c r="EP319" s="1116"/>
      <c r="EQ319" s="1116"/>
      <c r="ER319" s="1116"/>
      <c r="ES319" s="1116"/>
    </row>
    <row r="320" spans="1:149" ht="15" customHeight="1">
      <c r="A320" s="1185">
        <v>310</v>
      </c>
      <c r="B320" s="1041"/>
      <c r="C320" s="1050"/>
      <c r="D320" s="1050"/>
      <c r="E320" s="1050"/>
      <c r="F320" s="1049"/>
      <c r="G320" s="1049"/>
      <c r="H320" s="1049"/>
      <c r="I320" s="1049"/>
      <c r="J320" s="1050"/>
      <c r="K320" s="1050"/>
      <c r="L320" s="1043"/>
      <c r="M320" s="1051"/>
      <c r="N320" s="1051"/>
      <c r="O320" s="1052"/>
      <c r="P320" s="1051"/>
      <c r="Q320" s="1051"/>
      <c r="R320" s="1052"/>
      <c r="S320" s="1051"/>
      <c r="T320" s="1051"/>
      <c r="U320" s="1052"/>
      <c r="V320" s="1051"/>
      <c r="W320" s="1051"/>
      <c r="X320" s="1052"/>
      <c r="Y320" s="1053"/>
      <c r="Z320" s="1051"/>
      <c r="AA320" s="1051"/>
      <c r="AB320" s="1052"/>
      <c r="AC320" s="1051"/>
      <c r="AD320" s="1051"/>
      <c r="AE320" s="1052"/>
      <c r="AF320" s="1051"/>
      <c r="AG320" s="1051"/>
      <c r="AH320" s="1051"/>
      <c r="AI320" s="1051"/>
      <c r="AJ320" s="1052"/>
      <c r="AK320" s="1051"/>
      <c r="AL320" s="1051"/>
      <c r="AM320" s="1052"/>
      <c r="AN320" s="1051"/>
      <c r="AO320" s="1051"/>
      <c r="AP320" s="1052"/>
      <c r="AQ320" s="1051"/>
      <c r="AR320" s="1051"/>
      <c r="AS320" s="1052"/>
      <c r="AT320" s="1051"/>
      <c r="AU320" s="1051"/>
      <c r="AV320" s="1052"/>
      <c r="AW320" s="1051"/>
      <c r="AX320" s="1051"/>
      <c r="AY320" s="1053"/>
      <c r="AZ320" s="1051"/>
      <c r="BA320" s="1051"/>
      <c r="BB320" s="1053"/>
      <c r="BC320" s="1051"/>
      <c r="BD320" s="1051"/>
      <c r="BE320" s="1053"/>
      <c r="BF320" s="1051"/>
      <c r="BG320" s="1051"/>
      <c r="BH320" s="1053"/>
      <c r="BI320" s="1052"/>
      <c r="BJ320" s="1052"/>
      <c r="BK320" s="1052"/>
      <c r="BL320" s="1052"/>
      <c r="BM320" s="1052"/>
      <c r="BN320" s="1054"/>
      <c r="BO320" s="1076">
        <f t="shared" si="5"/>
        <v>0</v>
      </c>
      <c r="BP320" s="1051"/>
      <c r="BQ320" s="1052"/>
      <c r="BR320" s="1054"/>
      <c r="BS320" s="1053"/>
      <c r="BT320" s="1051"/>
      <c r="BU320" s="1051"/>
      <c r="BV320" s="1051"/>
      <c r="BW320" s="1052"/>
      <c r="BX320" s="1052"/>
      <c r="BY320" s="1052"/>
      <c r="BZ320" s="1052"/>
      <c r="CA320" s="1052"/>
      <c r="CB320" s="1053"/>
      <c r="CC320" s="1053"/>
      <c r="CD320" s="1053"/>
      <c r="CE320" s="1053"/>
      <c r="CF320" s="1053"/>
      <c r="CG320" s="1053"/>
      <c r="CH320" s="1053"/>
      <c r="CI320" s="1123"/>
      <c r="CJ320" s="1123"/>
      <c r="CK320" s="1123"/>
      <c r="CL320" s="1123"/>
      <c r="CM320" s="1123"/>
      <c r="CN320" s="1123"/>
      <c r="CO320" s="1123"/>
      <c r="CP320" s="1123"/>
      <c r="CQ320" s="1123"/>
      <c r="CR320" s="1123"/>
      <c r="CS320" s="1123"/>
      <c r="CT320" s="1123"/>
      <c r="CU320" s="1123"/>
      <c r="CV320" s="1123"/>
      <c r="CW320" s="1123"/>
      <c r="CX320" s="1123"/>
      <c r="CY320" s="1123"/>
      <c r="CZ320" s="1114"/>
      <c r="DA320" s="1114"/>
      <c r="DB320" s="1114"/>
      <c r="DC320" s="1114"/>
      <c r="DD320" s="1114"/>
      <c r="DE320" s="1114"/>
      <c r="DF320" s="1114"/>
      <c r="DG320" s="1114"/>
      <c r="DH320" s="1114"/>
      <c r="DI320" s="1114"/>
      <c r="DJ320" s="1114"/>
      <c r="DK320" s="1114"/>
      <c r="DL320" s="1114"/>
      <c r="DM320" s="1114"/>
      <c r="DN320" s="1114"/>
      <c r="DO320" s="1114"/>
      <c r="DP320" s="1114"/>
      <c r="DQ320" s="1114"/>
      <c r="DR320" s="1114"/>
      <c r="DS320" s="1114"/>
      <c r="DT320" s="1114"/>
      <c r="DU320" s="1114"/>
      <c r="DV320" s="1115"/>
      <c r="DW320" s="1116"/>
      <c r="DX320" s="1116"/>
      <c r="DY320" s="1116"/>
      <c r="DZ320" s="1116"/>
      <c r="EA320" s="1116"/>
      <c r="EB320" s="1116"/>
      <c r="EC320" s="1116"/>
      <c r="ED320" s="1116"/>
      <c r="EE320" s="1116"/>
      <c r="EF320" s="1116"/>
      <c r="EG320" s="1116"/>
      <c r="EH320" s="1116"/>
      <c r="EI320" s="1116"/>
      <c r="EJ320" s="1116"/>
      <c r="EK320" s="1116"/>
      <c r="EL320" s="1116"/>
      <c r="EM320" s="1116"/>
      <c r="EN320" s="1116"/>
      <c r="EO320" s="1116"/>
      <c r="EP320" s="1116"/>
      <c r="EQ320" s="1116"/>
      <c r="ER320" s="1116"/>
      <c r="ES320" s="1116"/>
    </row>
    <row r="321" spans="1:149" ht="15" customHeight="1">
      <c r="A321" s="1185">
        <v>311</v>
      </c>
      <c r="B321" s="1041"/>
      <c r="C321" s="1050"/>
      <c r="D321" s="1050"/>
      <c r="E321" s="1050"/>
      <c r="F321" s="1049"/>
      <c r="G321" s="1049"/>
      <c r="H321" s="1049"/>
      <c r="I321" s="1049"/>
      <c r="J321" s="1050"/>
      <c r="K321" s="1050"/>
      <c r="L321" s="1043"/>
      <c r="M321" s="1051"/>
      <c r="N321" s="1051"/>
      <c r="O321" s="1052"/>
      <c r="P321" s="1051"/>
      <c r="Q321" s="1051"/>
      <c r="R321" s="1052"/>
      <c r="S321" s="1051"/>
      <c r="T321" s="1051"/>
      <c r="U321" s="1052"/>
      <c r="V321" s="1051"/>
      <c r="W321" s="1051"/>
      <c r="X321" s="1052"/>
      <c r="Y321" s="1053"/>
      <c r="Z321" s="1051"/>
      <c r="AA321" s="1051"/>
      <c r="AB321" s="1052"/>
      <c r="AC321" s="1051"/>
      <c r="AD321" s="1051"/>
      <c r="AE321" s="1052"/>
      <c r="AF321" s="1051"/>
      <c r="AG321" s="1051"/>
      <c r="AH321" s="1051"/>
      <c r="AI321" s="1051"/>
      <c r="AJ321" s="1052"/>
      <c r="AK321" s="1051"/>
      <c r="AL321" s="1051"/>
      <c r="AM321" s="1052"/>
      <c r="AN321" s="1051"/>
      <c r="AO321" s="1051"/>
      <c r="AP321" s="1052"/>
      <c r="AQ321" s="1051"/>
      <c r="AR321" s="1051"/>
      <c r="AS321" s="1052"/>
      <c r="AT321" s="1051"/>
      <c r="AU321" s="1051"/>
      <c r="AV321" s="1052"/>
      <c r="AW321" s="1051"/>
      <c r="AX321" s="1051"/>
      <c r="AY321" s="1053"/>
      <c r="AZ321" s="1051"/>
      <c r="BA321" s="1051"/>
      <c r="BB321" s="1053"/>
      <c r="BC321" s="1051"/>
      <c r="BD321" s="1051"/>
      <c r="BE321" s="1053"/>
      <c r="BF321" s="1051"/>
      <c r="BG321" s="1051"/>
      <c r="BH321" s="1053"/>
      <c r="BI321" s="1052"/>
      <c r="BJ321" s="1052"/>
      <c r="BK321" s="1052"/>
      <c r="BL321" s="1052"/>
      <c r="BM321" s="1052"/>
      <c r="BN321" s="1054"/>
      <c r="BO321" s="1076">
        <f t="shared" si="5"/>
        <v>0</v>
      </c>
      <c r="BP321" s="1051"/>
      <c r="BQ321" s="1052"/>
      <c r="BR321" s="1054"/>
      <c r="BS321" s="1053"/>
      <c r="BT321" s="1051"/>
      <c r="BU321" s="1051"/>
      <c r="BV321" s="1051"/>
      <c r="BW321" s="1052"/>
      <c r="BX321" s="1052"/>
      <c r="BY321" s="1052"/>
      <c r="BZ321" s="1052"/>
      <c r="CA321" s="1052"/>
      <c r="CB321" s="1053"/>
      <c r="CC321" s="1053"/>
      <c r="CD321" s="1053"/>
      <c r="CE321" s="1053"/>
      <c r="CF321" s="1053"/>
      <c r="CG321" s="1053"/>
      <c r="CH321" s="1053"/>
      <c r="CI321" s="1123"/>
      <c r="CJ321" s="1123"/>
      <c r="CK321" s="1123"/>
      <c r="CL321" s="1123"/>
      <c r="CM321" s="1123"/>
      <c r="CN321" s="1123"/>
      <c r="CO321" s="1123"/>
      <c r="CP321" s="1123"/>
      <c r="CQ321" s="1123"/>
      <c r="CR321" s="1123"/>
      <c r="CS321" s="1123"/>
      <c r="CT321" s="1123"/>
      <c r="CU321" s="1123"/>
      <c r="CV321" s="1123"/>
      <c r="CW321" s="1123"/>
      <c r="CX321" s="1123"/>
      <c r="CY321" s="1123"/>
      <c r="CZ321" s="1114"/>
      <c r="DA321" s="1114"/>
      <c r="DB321" s="1114"/>
      <c r="DC321" s="1114"/>
      <c r="DD321" s="1114"/>
      <c r="DE321" s="1114"/>
      <c r="DF321" s="1114"/>
      <c r="DG321" s="1114"/>
      <c r="DH321" s="1114"/>
      <c r="DI321" s="1114"/>
      <c r="DJ321" s="1114"/>
      <c r="DK321" s="1114"/>
      <c r="DL321" s="1114"/>
      <c r="DM321" s="1114"/>
      <c r="DN321" s="1114"/>
      <c r="DO321" s="1114"/>
      <c r="DP321" s="1114"/>
      <c r="DQ321" s="1114"/>
      <c r="DR321" s="1114"/>
      <c r="DS321" s="1114"/>
      <c r="DT321" s="1114"/>
      <c r="DU321" s="1114"/>
      <c r="DV321" s="1115"/>
      <c r="DW321" s="1116"/>
      <c r="DX321" s="1116"/>
      <c r="DY321" s="1116"/>
      <c r="DZ321" s="1116"/>
      <c r="EA321" s="1116"/>
      <c r="EB321" s="1116"/>
      <c r="EC321" s="1116"/>
      <c r="ED321" s="1116"/>
      <c r="EE321" s="1116"/>
      <c r="EF321" s="1116"/>
      <c r="EG321" s="1116"/>
      <c r="EH321" s="1116"/>
      <c r="EI321" s="1116"/>
      <c r="EJ321" s="1116"/>
      <c r="EK321" s="1116"/>
      <c r="EL321" s="1116"/>
      <c r="EM321" s="1116"/>
      <c r="EN321" s="1116"/>
      <c r="EO321" s="1116"/>
      <c r="EP321" s="1116"/>
      <c r="EQ321" s="1116"/>
      <c r="ER321" s="1116"/>
      <c r="ES321" s="1116"/>
    </row>
    <row r="322" spans="1:149" ht="15" customHeight="1">
      <c r="A322" s="1185">
        <v>312</v>
      </c>
      <c r="B322" s="1041"/>
      <c r="C322" s="1050"/>
      <c r="D322" s="1050"/>
      <c r="E322" s="1050"/>
      <c r="F322" s="1049"/>
      <c r="G322" s="1049"/>
      <c r="H322" s="1049"/>
      <c r="I322" s="1049"/>
      <c r="J322" s="1050"/>
      <c r="K322" s="1050"/>
      <c r="L322" s="1043"/>
      <c r="M322" s="1051"/>
      <c r="N322" s="1051"/>
      <c r="O322" s="1052"/>
      <c r="P322" s="1051"/>
      <c r="Q322" s="1051"/>
      <c r="R322" s="1052"/>
      <c r="S322" s="1051"/>
      <c r="T322" s="1051"/>
      <c r="U322" s="1052"/>
      <c r="V322" s="1051"/>
      <c r="W322" s="1051"/>
      <c r="X322" s="1052"/>
      <c r="Y322" s="1053"/>
      <c r="Z322" s="1051"/>
      <c r="AA322" s="1051"/>
      <c r="AB322" s="1052"/>
      <c r="AC322" s="1051"/>
      <c r="AD322" s="1051"/>
      <c r="AE322" s="1052"/>
      <c r="AF322" s="1051"/>
      <c r="AG322" s="1051"/>
      <c r="AH322" s="1051"/>
      <c r="AI322" s="1051"/>
      <c r="AJ322" s="1052"/>
      <c r="AK322" s="1051"/>
      <c r="AL322" s="1051"/>
      <c r="AM322" s="1052"/>
      <c r="AN322" s="1051"/>
      <c r="AO322" s="1051"/>
      <c r="AP322" s="1052"/>
      <c r="AQ322" s="1051"/>
      <c r="AR322" s="1051"/>
      <c r="AS322" s="1052"/>
      <c r="AT322" s="1051"/>
      <c r="AU322" s="1051"/>
      <c r="AV322" s="1052"/>
      <c r="AW322" s="1051"/>
      <c r="AX322" s="1051"/>
      <c r="AY322" s="1053"/>
      <c r="AZ322" s="1051"/>
      <c r="BA322" s="1051"/>
      <c r="BB322" s="1053"/>
      <c r="BC322" s="1051"/>
      <c r="BD322" s="1051"/>
      <c r="BE322" s="1053"/>
      <c r="BF322" s="1051"/>
      <c r="BG322" s="1051"/>
      <c r="BH322" s="1053"/>
      <c r="BI322" s="1052"/>
      <c r="BJ322" s="1052"/>
      <c r="BK322" s="1052"/>
      <c r="BL322" s="1052"/>
      <c r="BM322" s="1052"/>
      <c r="BN322" s="1054"/>
      <c r="BO322" s="1076">
        <f t="shared" si="5"/>
        <v>0</v>
      </c>
      <c r="BP322" s="1051"/>
      <c r="BQ322" s="1052"/>
      <c r="BR322" s="1054"/>
      <c r="BS322" s="1053"/>
      <c r="BT322" s="1051"/>
      <c r="BU322" s="1051"/>
      <c r="BV322" s="1051"/>
      <c r="BW322" s="1052"/>
      <c r="BX322" s="1052"/>
      <c r="BY322" s="1052"/>
      <c r="BZ322" s="1052"/>
      <c r="CA322" s="1052"/>
      <c r="CB322" s="1053"/>
      <c r="CC322" s="1053"/>
      <c r="CD322" s="1053"/>
      <c r="CE322" s="1053"/>
      <c r="CF322" s="1053"/>
      <c r="CG322" s="1053"/>
      <c r="CH322" s="1053"/>
      <c r="CI322" s="1123"/>
      <c r="CJ322" s="1123"/>
      <c r="CK322" s="1123"/>
      <c r="CL322" s="1123"/>
      <c r="CM322" s="1123"/>
      <c r="CN322" s="1123"/>
      <c r="CO322" s="1123"/>
      <c r="CP322" s="1123"/>
      <c r="CQ322" s="1123"/>
      <c r="CR322" s="1123"/>
      <c r="CS322" s="1123"/>
      <c r="CT322" s="1123"/>
      <c r="CU322" s="1123"/>
      <c r="CV322" s="1123"/>
      <c r="CW322" s="1123"/>
      <c r="CX322" s="1123"/>
      <c r="CY322" s="1123"/>
      <c r="CZ322" s="1114"/>
      <c r="DA322" s="1114"/>
      <c r="DB322" s="1114"/>
      <c r="DC322" s="1114"/>
      <c r="DD322" s="1114"/>
      <c r="DE322" s="1114"/>
      <c r="DF322" s="1114"/>
      <c r="DG322" s="1114"/>
      <c r="DH322" s="1114"/>
      <c r="DI322" s="1114"/>
      <c r="DJ322" s="1114"/>
      <c r="DK322" s="1114"/>
      <c r="DL322" s="1114"/>
      <c r="DM322" s="1114"/>
      <c r="DN322" s="1114"/>
      <c r="DO322" s="1114"/>
      <c r="DP322" s="1114"/>
      <c r="DQ322" s="1114"/>
      <c r="DR322" s="1114"/>
      <c r="DS322" s="1114"/>
      <c r="DT322" s="1114"/>
      <c r="DU322" s="1114"/>
      <c r="DV322" s="1115"/>
      <c r="DW322" s="1116"/>
      <c r="DX322" s="1116"/>
      <c r="DY322" s="1116"/>
      <c r="DZ322" s="1116"/>
      <c r="EA322" s="1116"/>
      <c r="EB322" s="1116"/>
      <c r="EC322" s="1116"/>
      <c r="ED322" s="1116"/>
      <c r="EE322" s="1116"/>
      <c r="EF322" s="1116"/>
      <c r="EG322" s="1116"/>
      <c r="EH322" s="1116"/>
      <c r="EI322" s="1116"/>
      <c r="EJ322" s="1116"/>
      <c r="EK322" s="1116"/>
      <c r="EL322" s="1116"/>
      <c r="EM322" s="1116"/>
      <c r="EN322" s="1116"/>
      <c r="EO322" s="1116"/>
      <c r="EP322" s="1116"/>
      <c r="EQ322" s="1116"/>
      <c r="ER322" s="1116"/>
      <c r="ES322" s="1116"/>
    </row>
    <row r="323" spans="1:149" ht="15" customHeight="1">
      <c r="A323" s="1185">
        <v>313</v>
      </c>
      <c r="B323" s="1041"/>
      <c r="C323" s="1050"/>
      <c r="D323" s="1050"/>
      <c r="E323" s="1050"/>
      <c r="F323" s="1049"/>
      <c r="G323" s="1049"/>
      <c r="H323" s="1049"/>
      <c r="I323" s="1049"/>
      <c r="J323" s="1050"/>
      <c r="K323" s="1050"/>
      <c r="L323" s="1043"/>
      <c r="M323" s="1051"/>
      <c r="N323" s="1051"/>
      <c r="O323" s="1052"/>
      <c r="P323" s="1051"/>
      <c r="Q323" s="1051"/>
      <c r="R323" s="1052"/>
      <c r="S323" s="1051"/>
      <c r="T323" s="1051"/>
      <c r="U323" s="1052"/>
      <c r="V323" s="1051"/>
      <c r="W323" s="1051"/>
      <c r="X323" s="1052"/>
      <c r="Y323" s="1053"/>
      <c r="Z323" s="1051"/>
      <c r="AA323" s="1051"/>
      <c r="AB323" s="1052"/>
      <c r="AC323" s="1051"/>
      <c r="AD323" s="1051"/>
      <c r="AE323" s="1052"/>
      <c r="AF323" s="1051"/>
      <c r="AG323" s="1051"/>
      <c r="AH323" s="1051"/>
      <c r="AI323" s="1051"/>
      <c r="AJ323" s="1052"/>
      <c r="AK323" s="1051"/>
      <c r="AL323" s="1051"/>
      <c r="AM323" s="1052"/>
      <c r="AN323" s="1051"/>
      <c r="AO323" s="1051"/>
      <c r="AP323" s="1052"/>
      <c r="AQ323" s="1051"/>
      <c r="AR323" s="1051"/>
      <c r="AS323" s="1052"/>
      <c r="AT323" s="1051"/>
      <c r="AU323" s="1051"/>
      <c r="AV323" s="1052"/>
      <c r="AW323" s="1051"/>
      <c r="AX323" s="1051"/>
      <c r="AY323" s="1053"/>
      <c r="AZ323" s="1051"/>
      <c r="BA323" s="1051"/>
      <c r="BB323" s="1053"/>
      <c r="BC323" s="1051"/>
      <c r="BD323" s="1051"/>
      <c r="BE323" s="1053"/>
      <c r="BF323" s="1051"/>
      <c r="BG323" s="1051"/>
      <c r="BH323" s="1053"/>
      <c r="BI323" s="1052"/>
      <c r="BJ323" s="1052"/>
      <c r="BK323" s="1052"/>
      <c r="BL323" s="1052"/>
      <c r="BM323" s="1052"/>
      <c r="BN323" s="1054"/>
      <c r="BO323" s="1076">
        <f t="shared" si="5"/>
        <v>0</v>
      </c>
      <c r="BP323" s="1051"/>
      <c r="BQ323" s="1052"/>
      <c r="BR323" s="1054"/>
      <c r="BS323" s="1053"/>
      <c r="BT323" s="1051"/>
      <c r="BU323" s="1051"/>
      <c r="BV323" s="1051"/>
      <c r="BW323" s="1052"/>
      <c r="BX323" s="1052"/>
      <c r="BY323" s="1052"/>
      <c r="BZ323" s="1052"/>
      <c r="CA323" s="1052"/>
      <c r="CB323" s="1053"/>
      <c r="CC323" s="1053"/>
      <c r="CD323" s="1053"/>
      <c r="CE323" s="1053"/>
      <c r="CF323" s="1053"/>
      <c r="CG323" s="1053"/>
      <c r="CH323" s="1053"/>
      <c r="CI323" s="1123"/>
      <c r="CJ323" s="1123"/>
      <c r="CK323" s="1123"/>
      <c r="CL323" s="1123"/>
      <c r="CM323" s="1123"/>
      <c r="CN323" s="1123"/>
      <c r="CO323" s="1123"/>
      <c r="CP323" s="1123"/>
      <c r="CQ323" s="1123"/>
      <c r="CR323" s="1123"/>
      <c r="CS323" s="1123"/>
      <c r="CT323" s="1123"/>
      <c r="CU323" s="1123"/>
      <c r="CV323" s="1123"/>
      <c r="CW323" s="1123"/>
      <c r="CX323" s="1123"/>
      <c r="CY323" s="1123"/>
      <c r="CZ323" s="1114"/>
      <c r="DA323" s="1114"/>
      <c r="DB323" s="1114"/>
      <c r="DC323" s="1114"/>
      <c r="DD323" s="1114"/>
      <c r="DE323" s="1114"/>
      <c r="DF323" s="1114"/>
      <c r="DG323" s="1114"/>
      <c r="DH323" s="1114"/>
      <c r="DI323" s="1114"/>
      <c r="DJ323" s="1114"/>
      <c r="DK323" s="1114"/>
      <c r="DL323" s="1114"/>
      <c r="DM323" s="1114"/>
      <c r="DN323" s="1114"/>
      <c r="DO323" s="1114"/>
      <c r="DP323" s="1114"/>
      <c r="DQ323" s="1114"/>
      <c r="DR323" s="1114"/>
      <c r="DS323" s="1114"/>
      <c r="DT323" s="1114"/>
      <c r="DU323" s="1114"/>
      <c r="DV323" s="1115"/>
      <c r="DW323" s="1116"/>
      <c r="DX323" s="1116"/>
      <c r="DY323" s="1116"/>
      <c r="DZ323" s="1116"/>
      <c r="EA323" s="1116"/>
      <c r="EB323" s="1116"/>
      <c r="EC323" s="1116"/>
      <c r="ED323" s="1116"/>
      <c r="EE323" s="1116"/>
      <c r="EF323" s="1116"/>
      <c r="EG323" s="1116"/>
      <c r="EH323" s="1116"/>
      <c r="EI323" s="1116"/>
      <c r="EJ323" s="1116"/>
      <c r="EK323" s="1116"/>
      <c r="EL323" s="1116"/>
      <c r="EM323" s="1116"/>
      <c r="EN323" s="1116"/>
      <c r="EO323" s="1116"/>
      <c r="EP323" s="1116"/>
      <c r="EQ323" s="1116"/>
      <c r="ER323" s="1116"/>
      <c r="ES323" s="1116"/>
    </row>
    <row r="324" spans="1:149" ht="15" customHeight="1">
      <c r="A324" s="1185">
        <v>314</v>
      </c>
      <c r="B324" s="1041"/>
      <c r="C324" s="1050"/>
      <c r="D324" s="1050"/>
      <c r="E324" s="1050"/>
      <c r="F324" s="1049"/>
      <c r="G324" s="1049"/>
      <c r="H324" s="1049"/>
      <c r="I324" s="1049"/>
      <c r="J324" s="1050"/>
      <c r="K324" s="1050"/>
      <c r="L324" s="1043"/>
      <c r="M324" s="1051"/>
      <c r="N324" s="1051"/>
      <c r="O324" s="1052"/>
      <c r="P324" s="1051"/>
      <c r="Q324" s="1051"/>
      <c r="R324" s="1052"/>
      <c r="S324" s="1051"/>
      <c r="T324" s="1051"/>
      <c r="U324" s="1052"/>
      <c r="V324" s="1051"/>
      <c r="W324" s="1051"/>
      <c r="X324" s="1052"/>
      <c r="Y324" s="1053"/>
      <c r="Z324" s="1051"/>
      <c r="AA324" s="1051"/>
      <c r="AB324" s="1052"/>
      <c r="AC324" s="1051"/>
      <c r="AD324" s="1051"/>
      <c r="AE324" s="1052"/>
      <c r="AF324" s="1051"/>
      <c r="AG324" s="1051"/>
      <c r="AH324" s="1051"/>
      <c r="AI324" s="1051"/>
      <c r="AJ324" s="1052"/>
      <c r="AK324" s="1051"/>
      <c r="AL324" s="1051"/>
      <c r="AM324" s="1052"/>
      <c r="AN324" s="1051"/>
      <c r="AO324" s="1051"/>
      <c r="AP324" s="1052"/>
      <c r="AQ324" s="1051"/>
      <c r="AR324" s="1051"/>
      <c r="AS324" s="1052"/>
      <c r="AT324" s="1051"/>
      <c r="AU324" s="1051"/>
      <c r="AV324" s="1052"/>
      <c r="AW324" s="1051"/>
      <c r="AX324" s="1051"/>
      <c r="AY324" s="1053"/>
      <c r="AZ324" s="1051"/>
      <c r="BA324" s="1051"/>
      <c r="BB324" s="1053"/>
      <c r="BC324" s="1051"/>
      <c r="BD324" s="1051"/>
      <c r="BE324" s="1053"/>
      <c r="BF324" s="1051"/>
      <c r="BG324" s="1051"/>
      <c r="BH324" s="1053"/>
      <c r="BI324" s="1052"/>
      <c r="BJ324" s="1052"/>
      <c r="BK324" s="1052"/>
      <c r="BL324" s="1052"/>
      <c r="BM324" s="1052"/>
      <c r="BN324" s="1054"/>
      <c r="BO324" s="1076">
        <f t="shared" si="5"/>
        <v>0</v>
      </c>
      <c r="BP324" s="1051"/>
      <c r="BQ324" s="1052"/>
      <c r="BR324" s="1054"/>
      <c r="BS324" s="1053"/>
      <c r="BT324" s="1051"/>
      <c r="BU324" s="1051"/>
      <c r="BV324" s="1051"/>
      <c r="BW324" s="1052"/>
      <c r="BX324" s="1052"/>
      <c r="BY324" s="1052"/>
      <c r="BZ324" s="1052"/>
      <c r="CA324" s="1052"/>
      <c r="CB324" s="1053"/>
      <c r="CC324" s="1053"/>
      <c r="CD324" s="1053"/>
      <c r="CE324" s="1053"/>
      <c r="CF324" s="1053"/>
      <c r="CG324" s="1053"/>
      <c r="CH324" s="1053"/>
      <c r="CI324" s="1123"/>
      <c r="CJ324" s="1123"/>
      <c r="CK324" s="1123"/>
      <c r="CL324" s="1123"/>
      <c r="CM324" s="1123"/>
      <c r="CN324" s="1123"/>
      <c r="CO324" s="1123"/>
      <c r="CP324" s="1123"/>
      <c r="CQ324" s="1123"/>
      <c r="CR324" s="1123"/>
      <c r="CS324" s="1123"/>
      <c r="CT324" s="1123"/>
      <c r="CU324" s="1123"/>
      <c r="CV324" s="1123"/>
      <c r="CW324" s="1123"/>
      <c r="CX324" s="1123"/>
      <c r="CY324" s="1123"/>
      <c r="CZ324" s="1114"/>
      <c r="DA324" s="1114"/>
      <c r="DB324" s="1114"/>
      <c r="DC324" s="1114"/>
      <c r="DD324" s="1114"/>
      <c r="DE324" s="1114"/>
      <c r="DF324" s="1114"/>
      <c r="DG324" s="1114"/>
      <c r="DH324" s="1114"/>
      <c r="DI324" s="1114"/>
      <c r="DJ324" s="1114"/>
      <c r="DK324" s="1114"/>
      <c r="DL324" s="1114"/>
      <c r="DM324" s="1114"/>
      <c r="DN324" s="1114"/>
      <c r="DO324" s="1114"/>
      <c r="DP324" s="1114"/>
      <c r="DQ324" s="1114"/>
      <c r="DR324" s="1114"/>
      <c r="DS324" s="1114"/>
      <c r="DT324" s="1114"/>
      <c r="DU324" s="1114"/>
      <c r="DV324" s="1115"/>
      <c r="DW324" s="1116"/>
      <c r="DX324" s="1116"/>
      <c r="DY324" s="1116"/>
      <c r="DZ324" s="1116"/>
      <c r="EA324" s="1116"/>
      <c r="EB324" s="1116"/>
      <c r="EC324" s="1116"/>
      <c r="ED324" s="1116"/>
      <c r="EE324" s="1116"/>
      <c r="EF324" s="1116"/>
      <c r="EG324" s="1116"/>
      <c r="EH324" s="1116"/>
      <c r="EI324" s="1116"/>
      <c r="EJ324" s="1116"/>
      <c r="EK324" s="1116"/>
      <c r="EL324" s="1116"/>
      <c r="EM324" s="1116"/>
      <c r="EN324" s="1116"/>
      <c r="EO324" s="1116"/>
      <c r="EP324" s="1116"/>
      <c r="EQ324" s="1116"/>
      <c r="ER324" s="1116"/>
      <c r="ES324" s="1116"/>
    </row>
    <row r="325" spans="1:149" ht="15" customHeight="1">
      <c r="A325" s="1185">
        <v>315</v>
      </c>
      <c r="B325" s="1041"/>
      <c r="C325" s="1050"/>
      <c r="D325" s="1050"/>
      <c r="E325" s="1050"/>
      <c r="F325" s="1049"/>
      <c r="G325" s="1049"/>
      <c r="H325" s="1049"/>
      <c r="I325" s="1049"/>
      <c r="J325" s="1050"/>
      <c r="K325" s="1050"/>
      <c r="L325" s="1043"/>
      <c r="M325" s="1051"/>
      <c r="N325" s="1051"/>
      <c r="O325" s="1052"/>
      <c r="P325" s="1051"/>
      <c r="Q325" s="1051"/>
      <c r="R325" s="1052"/>
      <c r="S325" s="1051"/>
      <c r="T325" s="1051"/>
      <c r="U325" s="1052"/>
      <c r="V325" s="1051"/>
      <c r="W325" s="1051"/>
      <c r="X325" s="1052"/>
      <c r="Y325" s="1053"/>
      <c r="Z325" s="1051"/>
      <c r="AA325" s="1051"/>
      <c r="AB325" s="1052"/>
      <c r="AC325" s="1051"/>
      <c r="AD325" s="1051"/>
      <c r="AE325" s="1052"/>
      <c r="AF325" s="1051"/>
      <c r="AG325" s="1051"/>
      <c r="AH325" s="1051"/>
      <c r="AI325" s="1051"/>
      <c r="AJ325" s="1052"/>
      <c r="AK325" s="1051"/>
      <c r="AL325" s="1051"/>
      <c r="AM325" s="1052"/>
      <c r="AN325" s="1051"/>
      <c r="AO325" s="1051"/>
      <c r="AP325" s="1052"/>
      <c r="AQ325" s="1051"/>
      <c r="AR325" s="1051"/>
      <c r="AS325" s="1052"/>
      <c r="AT325" s="1051"/>
      <c r="AU325" s="1051"/>
      <c r="AV325" s="1052"/>
      <c r="AW325" s="1051"/>
      <c r="AX325" s="1051"/>
      <c r="AY325" s="1053"/>
      <c r="AZ325" s="1051"/>
      <c r="BA325" s="1051"/>
      <c r="BB325" s="1053"/>
      <c r="BC325" s="1051"/>
      <c r="BD325" s="1051"/>
      <c r="BE325" s="1053"/>
      <c r="BF325" s="1051"/>
      <c r="BG325" s="1051"/>
      <c r="BH325" s="1053"/>
      <c r="BI325" s="1052"/>
      <c r="BJ325" s="1052"/>
      <c r="BK325" s="1052"/>
      <c r="BL325" s="1052"/>
      <c r="BM325" s="1052"/>
      <c r="BN325" s="1054"/>
      <c r="BO325" s="1076">
        <f t="shared" si="5"/>
        <v>0</v>
      </c>
      <c r="BP325" s="1051"/>
      <c r="BQ325" s="1052"/>
      <c r="BR325" s="1054"/>
      <c r="BS325" s="1053"/>
      <c r="BT325" s="1051"/>
      <c r="BU325" s="1051"/>
      <c r="BV325" s="1051"/>
      <c r="BW325" s="1052"/>
      <c r="BX325" s="1052"/>
      <c r="BY325" s="1052"/>
      <c r="BZ325" s="1052"/>
      <c r="CA325" s="1052"/>
      <c r="CB325" s="1053"/>
      <c r="CC325" s="1053"/>
      <c r="CD325" s="1053"/>
      <c r="CE325" s="1053"/>
      <c r="CF325" s="1053"/>
      <c r="CG325" s="1053"/>
      <c r="CH325" s="1053"/>
      <c r="CI325" s="1123"/>
      <c r="CJ325" s="1123"/>
      <c r="CK325" s="1123"/>
      <c r="CL325" s="1123"/>
      <c r="CM325" s="1123"/>
      <c r="CN325" s="1123"/>
      <c r="CO325" s="1123"/>
      <c r="CP325" s="1123"/>
      <c r="CQ325" s="1123"/>
      <c r="CR325" s="1123"/>
      <c r="CS325" s="1123"/>
      <c r="CT325" s="1123"/>
      <c r="CU325" s="1123"/>
      <c r="CV325" s="1123"/>
      <c r="CW325" s="1123"/>
      <c r="CX325" s="1123"/>
      <c r="CY325" s="1123"/>
      <c r="CZ325" s="1114"/>
      <c r="DA325" s="1114"/>
      <c r="DB325" s="1114"/>
      <c r="DC325" s="1114"/>
      <c r="DD325" s="1114"/>
      <c r="DE325" s="1114"/>
      <c r="DF325" s="1114"/>
      <c r="DG325" s="1114"/>
      <c r="DH325" s="1114"/>
      <c r="DI325" s="1114"/>
      <c r="DJ325" s="1114"/>
      <c r="DK325" s="1114"/>
      <c r="DL325" s="1114"/>
      <c r="DM325" s="1114"/>
      <c r="DN325" s="1114"/>
      <c r="DO325" s="1114"/>
      <c r="DP325" s="1114"/>
      <c r="DQ325" s="1114"/>
      <c r="DR325" s="1114"/>
      <c r="DS325" s="1114"/>
      <c r="DT325" s="1114"/>
      <c r="DU325" s="1114"/>
      <c r="DV325" s="1115"/>
      <c r="DW325" s="1116"/>
      <c r="DX325" s="1116"/>
      <c r="DY325" s="1116"/>
      <c r="DZ325" s="1116"/>
      <c r="EA325" s="1116"/>
      <c r="EB325" s="1116"/>
      <c r="EC325" s="1116"/>
      <c r="ED325" s="1116"/>
      <c r="EE325" s="1116"/>
      <c r="EF325" s="1116"/>
      <c r="EG325" s="1116"/>
      <c r="EH325" s="1116"/>
      <c r="EI325" s="1116"/>
      <c r="EJ325" s="1116"/>
      <c r="EK325" s="1116"/>
      <c r="EL325" s="1116"/>
      <c r="EM325" s="1116"/>
      <c r="EN325" s="1116"/>
      <c r="EO325" s="1116"/>
      <c r="EP325" s="1116"/>
      <c r="EQ325" s="1116"/>
      <c r="ER325" s="1116"/>
      <c r="ES325" s="1116"/>
    </row>
    <row r="326" spans="1:149" ht="15" customHeight="1">
      <c r="A326" s="1185">
        <v>316</v>
      </c>
      <c r="B326" s="1041"/>
      <c r="C326" s="1050"/>
      <c r="D326" s="1050"/>
      <c r="E326" s="1050"/>
      <c r="F326" s="1049"/>
      <c r="G326" s="1049"/>
      <c r="H326" s="1049"/>
      <c r="I326" s="1049"/>
      <c r="J326" s="1050"/>
      <c r="K326" s="1050"/>
      <c r="L326" s="1043"/>
      <c r="M326" s="1051"/>
      <c r="N326" s="1051"/>
      <c r="O326" s="1052"/>
      <c r="P326" s="1051"/>
      <c r="Q326" s="1051"/>
      <c r="R326" s="1052"/>
      <c r="S326" s="1051"/>
      <c r="T326" s="1051"/>
      <c r="U326" s="1052"/>
      <c r="V326" s="1051"/>
      <c r="W326" s="1051"/>
      <c r="X326" s="1052"/>
      <c r="Y326" s="1053"/>
      <c r="Z326" s="1051"/>
      <c r="AA326" s="1051"/>
      <c r="AB326" s="1052"/>
      <c r="AC326" s="1051"/>
      <c r="AD326" s="1051"/>
      <c r="AE326" s="1052"/>
      <c r="AF326" s="1051"/>
      <c r="AG326" s="1051"/>
      <c r="AH326" s="1051"/>
      <c r="AI326" s="1051"/>
      <c r="AJ326" s="1052"/>
      <c r="AK326" s="1051"/>
      <c r="AL326" s="1051"/>
      <c r="AM326" s="1052"/>
      <c r="AN326" s="1051"/>
      <c r="AO326" s="1051"/>
      <c r="AP326" s="1052"/>
      <c r="AQ326" s="1051"/>
      <c r="AR326" s="1051"/>
      <c r="AS326" s="1052"/>
      <c r="AT326" s="1051"/>
      <c r="AU326" s="1051"/>
      <c r="AV326" s="1052"/>
      <c r="AW326" s="1051"/>
      <c r="AX326" s="1051"/>
      <c r="AY326" s="1053"/>
      <c r="AZ326" s="1051"/>
      <c r="BA326" s="1051"/>
      <c r="BB326" s="1053"/>
      <c r="BC326" s="1051"/>
      <c r="BD326" s="1051"/>
      <c r="BE326" s="1053"/>
      <c r="BF326" s="1051"/>
      <c r="BG326" s="1051"/>
      <c r="BH326" s="1053"/>
      <c r="BI326" s="1052"/>
      <c r="BJ326" s="1052"/>
      <c r="BK326" s="1052"/>
      <c r="BL326" s="1052"/>
      <c r="BM326" s="1052"/>
      <c r="BN326" s="1054"/>
      <c r="BO326" s="1076">
        <f t="shared" si="5"/>
        <v>0</v>
      </c>
      <c r="BP326" s="1051"/>
      <c r="BQ326" s="1052"/>
      <c r="BR326" s="1054"/>
      <c r="BS326" s="1053"/>
      <c r="BT326" s="1051"/>
      <c r="BU326" s="1051"/>
      <c r="BV326" s="1051"/>
      <c r="BW326" s="1052"/>
      <c r="BX326" s="1052"/>
      <c r="BY326" s="1052"/>
      <c r="BZ326" s="1052"/>
      <c r="CA326" s="1052"/>
      <c r="CB326" s="1053"/>
      <c r="CC326" s="1053"/>
      <c r="CD326" s="1053"/>
      <c r="CE326" s="1053"/>
      <c r="CF326" s="1053"/>
      <c r="CG326" s="1053"/>
      <c r="CH326" s="1053"/>
      <c r="CI326" s="1123"/>
      <c r="CJ326" s="1123"/>
      <c r="CK326" s="1123"/>
      <c r="CL326" s="1123"/>
      <c r="CM326" s="1123"/>
      <c r="CN326" s="1123"/>
      <c r="CO326" s="1123"/>
      <c r="CP326" s="1123"/>
      <c r="CQ326" s="1123"/>
      <c r="CR326" s="1123"/>
      <c r="CS326" s="1123"/>
      <c r="CT326" s="1123"/>
      <c r="CU326" s="1123"/>
      <c r="CV326" s="1123"/>
      <c r="CW326" s="1123"/>
      <c r="CX326" s="1123"/>
      <c r="CY326" s="1123"/>
      <c r="CZ326" s="1114"/>
      <c r="DA326" s="1114"/>
      <c r="DB326" s="1114"/>
      <c r="DC326" s="1114"/>
      <c r="DD326" s="1114"/>
      <c r="DE326" s="1114"/>
      <c r="DF326" s="1114"/>
      <c r="DG326" s="1114"/>
      <c r="DH326" s="1114"/>
      <c r="DI326" s="1114"/>
      <c r="DJ326" s="1114"/>
      <c r="DK326" s="1114"/>
      <c r="DL326" s="1114"/>
      <c r="DM326" s="1114"/>
      <c r="DN326" s="1114"/>
      <c r="DO326" s="1114"/>
      <c r="DP326" s="1114"/>
      <c r="DQ326" s="1114"/>
      <c r="DR326" s="1114"/>
      <c r="DS326" s="1114"/>
      <c r="DT326" s="1114"/>
      <c r="DU326" s="1114"/>
      <c r="DV326" s="1115"/>
      <c r="DW326" s="1116"/>
      <c r="DX326" s="1116"/>
      <c r="DY326" s="1116"/>
      <c r="DZ326" s="1116"/>
      <c r="EA326" s="1116"/>
      <c r="EB326" s="1116"/>
      <c r="EC326" s="1116"/>
      <c r="ED326" s="1116"/>
      <c r="EE326" s="1116"/>
      <c r="EF326" s="1116"/>
      <c r="EG326" s="1116"/>
      <c r="EH326" s="1116"/>
      <c r="EI326" s="1116"/>
      <c r="EJ326" s="1116"/>
      <c r="EK326" s="1116"/>
      <c r="EL326" s="1116"/>
      <c r="EM326" s="1116"/>
      <c r="EN326" s="1116"/>
      <c r="EO326" s="1116"/>
      <c r="EP326" s="1116"/>
      <c r="EQ326" s="1116"/>
      <c r="ER326" s="1116"/>
      <c r="ES326" s="1116"/>
    </row>
    <row r="327" spans="1:149" ht="15" customHeight="1">
      <c r="A327" s="1185">
        <v>317</v>
      </c>
      <c r="B327" s="1041"/>
      <c r="C327" s="1050"/>
      <c r="D327" s="1050"/>
      <c r="E327" s="1050"/>
      <c r="F327" s="1049"/>
      <c r="G327" s="1049"/>
      <c r="H327" s="1049"/>
      <c r="I327" s="1049"/>
      <c r="J327" s="1050"/>
      <c r="K327" s="1050"/>
      <c r="L327" s="1043"/>
      <c r="M327" s="1051"/>
      <c r="N327" s="1051"/>
      <c r="O327" s="1052"/>
      <c r="P327" s="1051"/>
      <c r="Q327" s="1051"/>
      <c r="R327" s="1052"/>
      <c r="S327" s="1051"/>
      <c r="T327" s="1051"/>
      <c r="U327" s="1052"/>
      <c r="V327" s="1051"/>
      <c r="W327" s="1051"/>
      <c r="X327" s="1052"/>
      <c r="Y327" s="1053"/>
      <c r="Z327" s="1051"/>
      <c r="AA327" s="1051"/>
      <c r="AB327" s="1052"/>
      <c r="AC327" s="1051"/>
      <c r="AD327" s="1051"/>
      <c r="AE327" s="1052"/>
      <c r="AF327" s="1051"/>
      <c r="AG327" s="1051"/>
      <c r="AH327" s="1051"/>
      <c r="AI327" s="1051"/>
      <c r="AJ327" s="1052"/>
      <c r="AK327" s="1051"/>
      <c r="AL327" s="1051"/>
      <c r="AM327" s="1052"/>
      <c r="AN327" s="1051"/>
      <c r="AO327" s="1051"/>
      <c r="AP327" s="1052"/>
      <c r="AQ327" s="1051"/>
      <c r="AR327" s="1051"/>
      <c r="AS327" s="1052"/>
      <c r="AT327" s="1051"/>
      <c r="AU327" s="1051"/>
      <c r="AV327" s="1052"/>
      <c r="AW327" s="1051"/>
      <c r="AX327" s="1051"/>
      <c r="AY327" s="1053"/>
      <c r="AZ327" s="1051"/>
      <c r="BA327" s="1051"/>
      <c r="BB327" s="1053"/>
      <c r="BC327" s="1051"/>
      <c r="BD327" s="1051"/>
      <c r="BE327" s="1053"/>
      <c r="BF327" s="1051"/>
      <c r="BG327" s="1051"/>
      <c r="BH327" s="1053"/>
      <c r="BI327" s="1052"/>
      <c r="BJ327" s="1052"/>
      <c r="BK327" s="1052"/>
      <c r="BL327" s="1052"/>
      <c r="BM327" s="1052"/>
      <c r="BN327" s="1054"/>
      <c r="BO327" s="1076">
        <f t="shared" si="5"/>
        <v>0</v>
      </c>
      <c r="BP327" s="1051"/>
      <c r="BQ327" s="1052"/>
      <c r="BR327" s="1054"/>
      <c r="BS327" s="1053"/>
      <c r="BT327" s="1051"/>
      <c r="BU327" s="1051"/>
      <c r="BV327" s="1051"/>
      <c r="BW327" s="1052"/>
      <c r="BX327" s="1052"/>
      <c r="BY327" s="1052"/>
      <c r="BZ327" s="1052"/>
      <c r="CA327" s="1052"/>
      <c r="CB327" s="1053"/>
      <c r="CC327" s="1053"/>
      <c r="CD327" s="1053"/>
      <c r="CE327" s="1053"/>
      <c r="CF327" s="1053"/>
      <c r="CG327" s="1053"/>
      <c r="CH327" s="1053"/>
      <c r="CI327" s="1123"/>
      <c r="CJ327" s="1123"/>
      <c r="CK327" s="1123"/>
      <c r="CL327" s="1123"/>
      <c r="CM327" s="1123"/>
      <c r="CN327" s="1123"/>
      <c r="CO327" s="1123"/>
      <c r="CP327" s="1123"/>
      <c r="CQ327" s="1123"/>
      <c r="CR327" s="1123"/>
      <c r="CS327" s="1123"/>
      <c r="CT327" s="1123"/>
      <c r="CU327" s="1123"/>
      <c r="CV327" s="1123"/>
      <c r="CW327" s="1123"/>
      <c r="CX327" s="1123"/>
      <c r="CY327" s="1123"/>
      <c r="CZ327" s="1114"/>
      <c r="DA327" s="1114"/>
      <c r="DB327" s="1114"/>
      <c r="DC327" s="1114"/>
      <c r="DD327" s="1114"/>
      <c r="DE327" s="1114"/>
      <c r="DF327" s="1114"/>
      <c r="DG327" s="1114"/>
      <c r="DH327" s="1114"/>
      <c r="DI327" s="1114"/>
      <c r="DJ327" s="1114"/>
      <c r="DK327" s="1114"/>
      <c r="DL327" s="1114"/>
      <c r="DM327" s="1114"/>
      <c r="DN327" s="1114"/>
      <c r="DO327" s="1114"/>
      <c r="DP327" s="1114"/>
      <c r="DQ327" s="1114"/>
      <c r="DR327" s="1114"/>
      <c r="DS327" s="1114"/>
      <c r="DT327" s="1114"/>
      <c r="DU327" s="1114"/>
      <c r="DV327" s="1115"/>
      <c r="DW327" s="1116"/>
      <c r="DX327" s="1116"/>
      <c r="DY327" s="1116"/>
      <c r="DZ327" s="1116"/>
      <c r="EA327" s="1116"/>
      <c r="EB327" s="1116"/>
      <c r="EC327" s="1116"/>
      <c r="ED327" s="1116"/>
      <c r="EE327" s="1116"/>
      <c r="EF327" s="1116"/>
      <c r="EG327" s="1116"/>
      <c r="EH327" s="1116"/>
      <c r="EI327" s="1116"/>
      <c r="EJ327" s="1116"/>
      <c r="EK327" s="1116"/>
      <c r="EL327" s="1116"/>
      <c r="EM327" s="1116"/>
      <c r="EN327" s="1116"/>
      <c r="EO327" s="1116"/>
      <c r="EP327" s="1116"/>
      <c r="EQ327" s="1116"/>
      <c r="ER327" s="1116"/>
      <c r="ES327" s="1116"/>
    </row>
    <row r="328" spans="1:149" ht="15" customHeight="1">
      <c r="A328" s="1185">
        <v>318</v>
      </c>
      <c r="B328" s="1041"/>
      <c r="C328" s="1050"/>
      <c r="D328" s="1050"/>
      <c r="E328" s="1050"/>
      <c r="F328" s="1049"/>
      <c r="G328" s="1049"/>
      <c r="H328" s="1049"/>
      <c r="I328" s="1049"/>
      <c r="J328" s="1050"/>
      <c r="K328" s="1050"/>
      <c r="L328" s="1043"/>
      <c r="M328" s="1051"/>
      <c r="N328" s="1051"/>
      <c r="O328" s="1052"/>
      <c r="P328" s="1051"/>
      <c r="Q328" s="1051"/>
      <c r="R328" s="1052"/>
      <c r="S328" s="1051"/>
      <c r="T328" s="1051"/>
      <c r="U328" s="1052"/>
      <c r="V328" s="1051"/>
      <c r="W328" s="1051"/>
      <c r="X328" s="1052"/>
      <c r="Y328" s="1053"/>
      <c r="Z328" s="1051"/>
      <c r="AA328" s="1051"/>
      <c r="AB328" s="1052"/>
      <c r="AC328" s="1051"/>
      <c r="AD328" s="1051"/>
      <c r="AE328" s="1052"/>
      <c r="AF328" s="1051"/>
      <c r="AG328" s="1051"/>
      <c r="AH328" s="1051"/>
      <c r="AI328" s="1051"/>
      <c r="AJ328" s="1052"/>
      <c r="AK328" s="1051"/>
      <c r="AL328" s="1051"/>
      <c r="AM328" s="1052"/>
      <c r="AN328" s="1051"/>
      <c r="AO328" s="1051"/>
      <c r="AP328" s="1052"/>
      <c r="AQ328" s="1051"/>
      <c r="AR328" s="1051"/>
      <c r="AS328" s="1052"/>
      <c r="AT328" s="1051"/>
      <c r="AU328" s="1051"/>
      <c r="AV328" s="1052"/>
      <c r="AW328" s="1051"/>
      <c r="AX328" s="1051"/>
      <c r="AY328" s="1053"/>
      <c r="AZ328" s="1051"/>
      <c r="BA328" s="1051"/>
      <c r="BB328" s="1053"/>
      <c r="BC328" s="1051"/>
      <c r="BD328" s="1051"/>
      <c r="BE328" s="1053"/>
      <c r="BF328" s="1051"/>
      <c r="BG328" s="1051"/>
      <c r="BH328" s="1053"/>
      <c r="BI328" s="1052"/>
      <c r="BJ328" s="1052"/>
      <c r="BK328" s="1052"/>
      <c r="BL328" s="1052"/>
      <c r="BM328" s="1052"/>
      <c r="BN328" s="1054"/>
      <c r="BO328" s="1076">
        <f t="shared" si="5"/>
        <v>0</v>
      </c>
      <c r="BP328" s="1051"/>
      <c r="BQ328" s="1052"/>
      <c r="BR328" s="1054"/>
      <c r="BS328" s="1053"/>
      <c r="BT328" s="1051"/>
      <c r="BU328" s="1051"/>
      <c r="BV328" s="1051"/>
      <c r="BW328" s="1052"/>
      <c r="BX328" s="1052"/>
      <c r="BY328" s="1052"/>
      <c r="BZ328" s="1052"/>
      <c r="CA328" s="1052"/>
      <c r="CB328" s="1053"/>
      <c r="CC328" s="1053"/>
      <c r="CD328" s="1053"/>
      <c r="CE328" s="1053"/>
      <c r="CF328" s="1053"/>
      <c r="CG328" s="1053"/>
      <c r="CH328" s="1053"/>
      <c r="CI328" s="1123"/>
      <c r="CJ328" s="1123"/>
      <c r="CK328" s="1123"/>
      <c r="CL328" s="1123"/>
      <c r="CM328" s="1123"/>
      <c r="CN328" s="1123"/>
      <c r="CO328" s="1123"/>
      <c r="CP328" s="1123"/>
      <c r="CQ328" s="1123"/>
      <c r="CR328" s="1123"/>
      <c r="CS328" s="1123"/>
      <c r="CT328" s="1123"/>
      <c r="CU328" s="1123"/>
      <c r="CV328" s="1123"/>
      <c r="CW328" s="1123"/>
      <c r="CX328" s="1123"/>
      <c r="CY328" s="1123"/>
      <c r="CZ328" s="1114"/>
      <c r="DA328" s="1114"/>
      <c r="DB328" s="1114"/>
      <c r="DC328" s="1114"/>
      <c r="DD328" s="1114"/>
      <c r="DE328" s="1114"/>
      <c r="DF328" s="1114"/>
      <c r="DG328" s="1114"/>
      <c r="DH328" s="1114"/>
      <c r="DI328" s="1114"/>
      <c r="DJ328" s="1114"/>
      <c r="DK328" s="1114"/>
      <c r="DL328" s="1114"/>
      <c r="DM328" s="1114"/>
      <c r="DN328" s="1114"/>
      <c r="DO328" s="1114"/>
      <c r="DP328" s="1114"/>
      <c r="DQ328" s="1114"/>
      <c r="DR328" s="1114"/>
      <c r="DS328" s="1114"/>
      <c r="DT328" s="1114"/>
      <c r="DU328" s="1114"/>
      <c r="DV328" s="1115"/>
      <c r="DW328" s="1116"/>
      <c r="DX328" s="1116"/>
      <c r="DY328" s="1116"/>
      <c r="DZ328" s="1116"/>
      <c r="EA328" s="1116"/>
      <c r="EB328" s="1116"/>
      <c r="EC328" s="1116"/>
      <c r="ED328" s="1116"/>
      <c r="EE328" s="1116"/>
      <c r="EF328" s="1116"/>
      <c r="EG328" s="1116"/>
      <c r="EH328" s="1116"/>
      <c r="EI328" s="1116"/>
      <c r="EJ328" s="1116"/>
      <c r="EK328" s="1116"/>
      <c r="EL328" s="1116"/>
      <c r="EM328" s="1116"/>
      <c r="EN328" s="1116"/>
      <c r="EO328" s="1116"/>
      <c r="EP328" s="1116"/>
      <c r="EQ328" s="1116"/>
      <c r="ER328" s="1116"/>
      <c r="ES328" s="1116"/>
    </row>
    <row r="329" spans="1:149" ht="15" customHeight="1">
      <c r="A329" s="1185">
        <v>319</v>
      </c>
      <c r="B329" s="1041"/>
      <c r="C329" s="1050"/>
      <c r="D329" s="1050"/>
      <c r="E329" s="1050"/>
      <c r="F329" s="1049"/>
      <c r="G329" s="1049"/>
      <c r="H329" s="1049"/>
      <c r="I329" s="1049"/>
      <c r="J329" s="1050"/>
      <c r="K329" s="1050"/>
      <c r="L329" s="1043"/>
      <c r="M329" s="1051"/>
      <c r="N329" s="1051"/>
      <c r="O329" s="1052"/>
      <c r="P329" s="1051"/>
      <c r="Q329" s="1051"/>
      <c r="R329" s="1052"/>
      <c r="S329" s="1051"/>
      <c r="T329" s="1051"/>
      <c r="U329" s="1052"/>
      <c r="V329" s="1051"/>
      <c r="W329" s="1051"/>
      <c r="X329" s="1052"/>
      <c r="Y329" s="1053"/>
      <c r="Z329" s="1051"/>
      <c r="AA329" s="1051"/>
      <c r="AB329" s="1052"/>
      <c r="AC329" s="1051"/>
      <c r="AD329" s="1051"/>
      <c r="AE329" s="1052"/>
      <c r="AF329" s="1051"/>
      <c r="AG329" s="1051"/>
      <c r="AH329" s="1051"/>
      <c r="AI329" s="1051"/>
      <c r="AJ329" s="1052"/>
      <c r="AK329" s="1051"/>
      <c r="AL329" s="1051"/>
      <c r="AM329" s="1052"/>
      <c r="AN329" s="1051"/>
      <c r="AO329" s="1051"/>
      <c r="AP329" s="1052"/>
      <c r="AQ329" s="1051"/>
      <c r="AR329" s="1051"/>
      <c r="AS329" s="1052"/>
      <c r="AT329" s="1051"/>
      <c r="AU329" s="1051"/>
      <c r="AV329" s="1052"/>
      <c r="AW329" s="1051"/>
      <c r="AX329" s="1051"/>
      <c r="AY329" s="1053"/>
      <c r="AZ329" s="1051"/>
      <c r="BA329" s="1051"/>
      <c r="BB329" s="1053"/>
      <c r="BC329" s="1051"/>
      <c r="BD329" s="1051"/>
      <c r="BE329" s="1053"/>
      <c r="BF329" s="1051"/>
      <c r="BG329" s="1051"/>
      <c r="BH329" s="1053"/>
      <c r="BI329" s="1052"/>
      <c r="BJ329" s="1052"/>
      <c r="BK329" s="1052"/>
      <c r="BL329" s="1052"/>
      <c r="BM329" s="1052"/>
      <c r="BN329" s="1054"/>
      <c r="BO329" s="1076">
        <f t="shared" si="5"/>
        <v>0</v>
      </c>
      <c r="BP329" s="1051"/>
      <c r="BQ329" s="1052"/>
      <c r="BR329" s="1054"/>
      <c r="BS329" s="1053"/>
      <c r="BT329" s="1051"/>
      <c r="BU329" s="1051"/>
      <c r="BV329" s="1051"/>
      <c r="BW329" s="1052"/>
      <c r="BX329" s="1052"/>
      <c r="BY329" s="1052"/>
      <c r="BZ329" s="1052"/>
      <c r="CA329" s="1052"/>
      <c r="CB329" s="1053"/>
      <c r="CC329" s="1053"/>
      <c r="CD329" s="1053"/>
      <c r="CE329" s="1053"/>
      <c r="CF329" s="1053"/>
      <c r="CG329" s="1053"/>
      <c r="CH329" s="1053"/>
      <c r="CI329" s="1123"/>
      <c r="CJ329" s="1123"/>
      <c r="CK329" s="1123"/>
      <c r="CL329" s="1123"/>
      <c r="CM329" s="1123"/>
      <c r="CN329" s="1123"/>
      <c r="CO329" s="1123"/>
      <c r="CP329" s="1123"/>
      <c r="CQ329" s="1123"/>
      <c r="CR329" s="1123"/>
      <c r="CS329" s="1123"/>
      <c r="CT329" s="1123"/>
      <c r="CU329" s="1123"/>
      <c r="CV329" s="1123"/>
      <c r="CW329" s="1123"/>
      <c r="CX329" s="1123"/>
      <c r="CY329" s="1123"/>
      <c r="CZ329" s="1114"/>
      <c r="DA329" s="1114"/>
      <c r="DB329" s="1114"/>
      <c r="DC329" s="1114"/>
      <c r="DD329" s="1114"/>
      <c r="DE329" s="1114"/>
      <c r="DF329" s="1114"/>
      <c r="DG329" s="1114"/>
      <c r="DH329" s="1114"/>
      <c r="DI329" s="1114"/>
      <c r="DJ329" s="1114"/>
      <c r="DK329" s="1114"/>
      <c r="DL329" s="1114"/>
      <c r="DM329" s="1114"/>
      <c r="DN329" s="1114"/>
      <c r="DO329" s="1114"/>
      <c r="DP329" s="1114"/>
      <c r="DQ329" s="1114"/>
      <c r="DR329" s="1114"/>
      <c r="DS329" s="1114"/>
      <c r="DT329" s="1114"/>
      <c r="DU329" s="1114"/>
      <c r="DV329" s="1115"/>
      <c r="DW329" s="1116"/>
      <c r="DX329" s="1116"/>
      <c r="DY329" s="1116"/>
      <c r="DZ329" s="1116"/>
      <c r="EA329" s="1116"/>
      <c r="EB329" s="1116"/>
      <c r="EC329" s="1116"/>
      <c r="ED329" s="1116"/>
      <c r="EE329" s="1116"/>
      <c r="EF329" s="1116"/>
      <c r="EG329" s="1116"/>
      <c r="EH329" s="1116"/>
      <c r="EI329" s="1116"/>
      <c r="EJ329" s="1116"/>
      <c r="EK329" s="1116"/>
      <c r="EL329" s="1116"/>
      <c r="EM329" s="1116"/>
      <c r="EN329" s="1116"/>
      <c r="EO329" s="1116"/>
      <c r="EP329" s="1116"/>
      <c r="EQ329" s="1116"/>
      <c r="ER329" s="1116"/>
      <c r="ES329" s="1116"/>
    </row>
    <row r="330" spans="1:149" ht="15" customHeight="1">
      <c r="A330" s="1185">
        <v>320</v>
      </c>
      <c r="B330" s="1041"/>
      <c r="C330" s="1050"/>
      <c r="D330" s="1050"/>
      <c r="E330" s="1050"/>
      <c r="F330" s="1049"/>
      <c r="G330" s="1049"/>
      <c r="H330" s="1049"/>
      <c r="I330" s="1049"/>
      <c r="J330" s="1050"/>
      <c r="K330" s="1050"/>
      <c r="L330" s="1043"/>
      <c r="M330" s="1051"/>
      <c r="N330" s="1051"/>
      <c r="O330" s="1052"/>
      <c r="P330" s="1051"/>
      <c r="Q330" s="1051"/>
      <c r="R330" s="1052"/>
      <c r="S330" s="1051"/>
      <c r="T330" s="1051"/>
      <c r="U330" s="1052"/>
      <c r="V330" s="1051"/>
      <c r="W330" s="1051"/>
      <c r="X330" s="1052"/>
      <c r="Y330" s="1053"/>
      <c r="Z330" s="1051"/>
      <c r="AA330" s="1051"/>
      <c r="AB330" s="1052"/>
      <c r="AC330" s="1051"/>
      <c r="AD330" s="1051"/>
      <c r="AE330" s="1052"/>
      <c r="AF330" s="1051"/>
      <c r="AG330" s="1051"/>
      <c r="AH330" s="1051"/>
      <c r="AI330" s="1051"/>
      <c r="AJ330" s="1052"/>
      <c r="AK330" s="1051"/>
      <c r="AL330" s="1051"/>
      <c r="AM330" s="1052"/>
      <c r="AN330" s="1051"/>
      <c r="AO330" s="1051"/>
      <c r="AP330" s="1052"/>
      <c r="AQ330" s="1051"/>
      <c r="AR330" s="1051"/>
      <c r="AS330" s="1052"/>
      <c r="AT330" s="1051"/>
      <c r="AU330" s="1051"/>
      <c r="AV330" s="1052"/>
      <c r="AW330" s="1051"/>
      <c r="AX330" s="1051"/>
      <c r="AY330" s="1053"/>
      <c r="AZ330" s="1051"/>
      <c r="BA330" s="1051"/>
      <c r="BB330" s="1053"/>
      <c r="BC330" s="1051"/>
      <c r="BD330" s="1051"/>
      <c r="BE330" s="1053"/>
      <c r="BF330" s="1051"/>
      <c r="BG330" s="1051"/>
      <c r="BH330" s="1053"/>
      <c r="BI330" s="1052"/>
      <c r="BJ330" s="1052"/>
      <c r="BK330" s="1052"/>
      <c r="BL330" s="1052"/>
      <c r="BM330" s="1052"/>
      <c r="BN330" s="1054"/>
      <c r="BO330" s="1076">
        <f t="shared" si="5"/>
        <v>0</v>
      </c>
      <c r="BP330" s="1051"/>
      <c r="BQ330" s="1052"/>
      <c r="BR330" s="1054"/>
      <c r="BS330" s="1053"/>
      <c r="BT330" s="1051"/>
      <c r="BU330" s="1051"/>
      <c r="BV330" s="1051"/>
      <c r="BW330" s="1052"/>
      <c r="BX330" s="1052"/>
      <c r="BY330" s="1052"/>
      <c r="BZ330" s="1052"/>
      <c r="CA330" s="1052"/>
      <c r="CB330" s="1053"/>
      <c r="CC330" s="1053"/>
      <c r="CD330" s="1053"/>
      <c r="CE330" s="1053"/>
      <c r="CF330" s="1053"/>
      <c r="CG330" s="1053"/>
      <c r="CH330" s="1053"/>
      <c r="CI330" s="1123"/>
      <c r="CJ330" s="1123"/>
      <c r="CK330" s="1123"/>
      <c r="CL330" s="1123"/>
      <c r="CM330" s="1123"/>
      <c r="CN330" s="1123"/>
      <c r="CO330" s="1123"/>
      <c r="CP330" s="1123"/>
      <c r="CQ330" s="1123"/>
      <c r="CR330" s="1123"/>
      <c r="CS330" s="1123"/>
      <c r="CT330" s="1123"/>
      <c r="CU330" s="1123"/>
      <c r="CV330" s="1123"/>
      <c r="CW330" s="1123"/>
      <c r="CX330" s="1123"/>
      <c r="CY330" s="1123"/>
      <c r="CZ330" s="1114"/>
      <c r="DA330" s="1114"/>
      <c r="DB330" s="1114"/>
      <c r="DC330" s="1114"/>
      <c r="DD330" s="1114"/>
      <c r="DE330" s="1114"/>
      <c r="DF330" s="1114"/>
      <c r="DG330" s="1114"/>
      <c r="DH330" s="1114"/>
      <c r="DI330" s="1114"/>
      <c r="DJ330" s="1114"/>
      <c r="DK330" s="1114"/>
      <c r="DL330" s="1114"/>
      <c r="DM330" s="1114"/>
      <c r="DN330" s="1114"/>
      <c r="DO330" s="1114"/>
      <c r="DP330" s="1114"/>
      <c r="DQ330" s="1114"/>
      <c r="DR330" s="1114"/>
      <c r="DS330" s="1114"/>
      <c r="DT330" s="1114"/>
      <c r="DU330" s="1114"/>
      <c r="DV330" s="1115"/>
      <c r="DW330" s="1116"/>
      <c r="DX330" s="1116"/>
      <c r="DY330" s="1116"/>
      <c r="DZ330" s="1116"/>
      <c r="EA330" s="1116"/>
      <c r="EB330" s="1116"/>
      <c r="EC330" s="1116"/>
      <c r="ED330" s="1116"/>
      <c r="EE330" s="1116"/>
      <c r="EF330" s="1116"/>
      <c r="EG330" s="1116"/>
      <c r="EH330" s="1116"/>
      <c r="EI330" s="1116"/>
      <c r="EJ330" s="1116"/>
      <c r="EK330" s="1116"/>
      <c r="EL330" s="1116"/>
      <c r="EM330" s="1116"/>
      <c r="EN330" s="1116"/>
      <c r="EO330" s="1116"/>
      <c r="EP330" s="1116"/>
      <c r="EQ330" s="1116"/>
      <c r="ER330" s="1116"/>
      <c r="ES330" s="1116"/>
    </row>
    <row r="331" spans="1:149" ht="15" customHeight="1">
      <c r="A331" s="1185">
        <v>321</v>
      </c>
      <c r="B331" s="1041"/>
      <c r="C331" s="1050"/>
      <c r="D331" s="1050"/>
      <c r="E331" s="1050"/>
      <c r="F331" s="1049"/>
      <c r="G331" s="1049"/>
      <c r="H331" s="1049"/>
      <c r="I331" s="1049"/>
      <c r="J331" s="1050"/>
      <c r="K331" s="1050"/>
      <c r="L331" s="1043"/>
      <c r="M331" s="1051"/>
      <c r="N331" s="1051"/>
      <c r="O331" s="1052"/>
      <c r="P331" s="1051"/>
      <c r="Q331" s="1051"/>
      <c r="R331" s="1052"/>
      <c r="S331" s="1051"/>
      <c r="T331" s="1051"/>
      <c r="U331" s="1052"/>
      <c r="V331" s="1051"/>
      <c r="W331" s="1051"/>
      <c r="X331" s="1052"/>
      <c r="Y331" s="1053"/>
      <c r="Z331" s="1051"/>
      <c r="AA331" s="1051"/>
      <c r="AB331" s="1052"/>
      <c r="AC331" s="1051"/>
      <c r="AD331" s="1051"/>
      <c r="AE331" s="1052"/>
      <c r="AF331" s="1051"/>
      <c r="AG331" s="1051"/>
      <c r="AH331" s="1051"/>
      <c r="AI331" s="1051"/>
      <c r="AJ331" s="1052"/>
      <c r="AK331" s="1051"/>
      <c r="AL331" s="1051"/>
      <c r="AM331" s="1052"/>
      <c r="AN331" s="1051"/>
      <c r="AO331" s="1051"/>
      <c r="AP331" s="1052"/>
      <c r="AQ331" s="1051"/>
      <c r="AR331" s="1051"/>
      <c r="AS331" s="1052"/>
      <c r="AT331" s="1051"/>
      <c r="AU331" s="1051"/>
      <c r="AV331" s="1052"/>
      <c r="AW331" s="1051"/>
      <c r="AX331" s="1051"/>
      <c r="AY331" s="1053"/>
      <c r="AZ331" s="1051"/>
      <c r="BA331" s="1051"/>
      <c r="BB331" s="1053"/>
      <c r="BC331" s="1051"/>
      <c r="BD331" s="1051"/>
      <c r="BE331" s="1053"/>
      <c r="BF331" s="1051"/>
      <c r="BG331" s="1051"/>
      <c r="BH331" s="1053"/>
      <c r="BI331" s="1052"/>
      <c r="BJ331" s="1052"/>
      <c r="BK331" s="1052"/>
      <c r="BL331" s="1052"/>
      <c r="BM331" s="1052"/>
      <c r="BN331" s="1054"/>
      <c r="BO331" s="1076">
        <f t="shared" si="5"/>
        <v>0</v>
      </c>
      <c r="BP331" s="1051"/>
      <c r="BQ331" s="1052"/>
      <c r="BR331" s="1054"/>
      <c r="BS331" s="1053"/>
      <c r="BT331" s="1051"/>
      <c r="BU331" s="1051"/>
      <c r="BV331" s="1051"/>
      <c r="BW331" s="1052"/>
      <c r="BX331" s="1052"/>
      <c r="BY331" s="1052"/>
      <c r="BZ331" s="1052"/>
      <c r="CA331" s="1052"/>
      <c r="CB331" s="1053"/>
      <c r="CC331" s="1053"/>
      <c r="CD331" s="1053"/>
      <c r="CE331" s="1053"/>
      <c r="CF331" s="1053"/>
      <c r="CG331" s="1053"/>
      <c r="CH331" s="1053"/>
      <c r="CI331" s="1123"/>
      <c r="CJ331" s="1123"/>
      <c r="CK331" s="1123"/>
      <c r="CL331" s="1123"/>
      <c r="CM331" s="1123"/>
      <c r="CN331" s="1123"/>
      <c r="CO331" s="1123"/>
      <c r="CP331" s="1123"/>
      <c r="CQ331" s="1123"/>
      <c r="CR331" s="1123"/>
      <c r="CS331" s="1123"/>
      <c r="CT331" s="1123"/>
      <c r="CU331" s="1123"/>
      <c r="CV331" s="1123"/>
      <c r="CW331" s="1123"/>
      <c r="CX331" s="1123"/>
      <c r="CY331" s="1123"/>
      <c r="CZ331" s="1114"/>
      <c r="DA331" s="1114"/>
      <c r="DB331" s="1114"/>
      <c r="DC331" s="1114"/>
      <c r="DD331" s="1114"/>
      <c r="DE331" s="1114"/>
      <c r="DF331" s="1114"/>
      <c r="DG331" s="1114"/>
      <c r="DH331" s="1114"/>
      <c r="DI331" s="1114"/>
      <c r="DJ331" s="1114"/>
      <c r="DK331" s="1114"/>
      <c r="DL331" s="1114"/>
      <c r="DM331" s="1114"/>
      <c r="DN331" s="1114"/>
      <c r="DO331" s="1114"/>
      <c r="DP331" s="1114"/>
      <c r="DQ331" s="1114"/>
      <c r="DR331" s="1114"/>
      <c r="DS331" s="1114"/>
      <c r="DT331" s="1114"/>
      <c r="DU331" s="1114"/>
      <c r="DV331" s="1115"/>
      <c r="DW331" s="1116"/>
      <c r="DX331" s="1116"/>
      <c r="DY331" s="1116"/>
      <c r="DZ331" s="1116"/>
      <c r="EA331" s="1116"/>
      <c r="EB331" s="1116"/>
      <c r="EC331" s="1116"/>
      <c r="ED331" s="1116"/>
      <c r="EE331" s="1116"/>
      <c r="EF331" s="1116"/>
      <c r="EG331" s="1116"/>
      <c r="EH331" s="1116"/>
      <c r="EI331" s="1116"/>
      <c r="EJ331" s="1116"/>
      <c r="EK331" s="1116"/>
      <c r="EL331" s="1116"/>
      <c r="EM331" s="1116"/>
      <c r="EN331" s="1116"/>
      <c r="EO331" s="1116"/>
      <c r="EP331" s="1116"/>
      <c r="EQ331" s="1116"/>
      <c r="ER331" s="1116"/>
      <c r="ES331" s="1116"/>
    </row>
    <row r="332" spans="1:149" ht="15" customHeight="1">
      <c r="A332" s="1185">
        <v>322</v>
      </c>
      <c r="B332" s="1041"/>
      <c r="C332" s="1050"/>
      <c r="D332" s="1050"/>
      <c r="E332" s="1050"/>
      <c r="F332" s="1049"/>
      <c r="G332" s="1049"/>
      <c r="H332" s="1049"/>
      <c r="I332" s="1049"/>
      <c r="J332" s="1050"/>
      <c r="K332" s="1050"/>
      <c r="L332" s="1043"/>
      <c r="M332" s="1051"/>
      <c r="N332" s="1051"/>
      <c r="O332" s="1052"/>
      <c r="P332" s="1051"/>
      <c r="Q332" s="1051"/>
      <c r="R332" s="1052"/>
      <c r="S332" s="1051"/>
      <c r="T332" s="1051"/>
      <c r="U332" s="1052"/>
      <c r="V332" s="1051"/>
      <c r="W332" s="1051"/>
      <c r="X332" s="1052"/>
      <c r="Y332" s="1053"/>
      <c r="Z332" s="1051"/>
      <c r="AA332" s="1051"/>
      <c r="AB332" s="1052"/>
      <c r="AC332" s="1051"/>
      <c r="AD332" s="1051"/>
      <c r="AE332" s="1052"/>
      <c r="AF332" s="1051"/>
      <c r="AG332" s="1051"/>
      <c r="AH332" s="1051"/>
      <c r="AI332" s="1051"/>
      <c r="AJ332" s="1052"/>
      <c r="AK332" s="1051"/>
      <c r="AL332" s="1051"/>
      <c r="AM332" s="1052"/>
      <c r="AN332" s="1051"/>
      <c r="AO332" s="1051"/>
      <c r="AP332" s="1052"/>
      <c r="AQ332" s="1051"/>
      <c r="AR332" s="1051"/>
      <c r="AS332" s="1052"/>
      <c r="AT332" s="1051"/>
      <c r="AU332" s="1051"/>
      <c r="AV332" s="1052"/>
      <c r="AW332" s="1051"/>
      <c r="AX332" s="1051"/>
      <c r="AY332" s="1053"/>
      <c r="AZ332" s="1051"/>
      <c r="BA332" s="1051"/>
      <c r="BB332" s="1053"/>
      <c r="BC332" s="1051"/>
      <c r="BD332" s="1051"/>
      <c r="BE332" s="1053"/>
      <c r="BF332" s="1051"/>
      <c r="BG332" s="1051"/>
      <c r="BH332" s="1053"/>
      <c r="BI332" s="1052"/>
      <c r="BJ332" s="1052"/>
      <c r="BK332" s="1052"/>
      <c r="BL332" s="1052"/>
      <c r="BM332" s="1052"/>
      <c r="BN332" s="1054"/>
      <c r="BO332" s="1076">
        <f t="shared" ref="BO332:BO395" si="6">H332</f>
        <v>0</v>
      </c>
      <c r="BP332" s="1051"/>
      <c r="BQ332" s="1052"/>
      <c r="BR332" s="1054"/>
      <c r="BS332" s="1053"/>
      <c r="BT332" s="1051"/>
      <c r="BU332" s="1051"/>
      <c r="BV332" s="1051"/>
      <c r="BW332" s="1052"/>
      <c r="BX332" s="1052"/>
      <c r="BY332" s="1052"/>
      <c r="BZ332" s="1052"/>
      <c r="CA332" s="1052"/>
      <c r="CB332" s="1053"/>
      <c r="CC332" s="1053"/>
      <c r="CD332" s="1053"/>
      <c r="CE332" s="1053"/>
      <c r="CF332" s="1053"/>
      <c r="CG332" s="1053"/>
      <c r="CH332" s="1053"/>
      <c r="CI332" s="1123"/>
      <c r="CJ332" s="1123"/>
      <c r="CK332" s="1123"/>
      <c r="CL332" s="1123"/>
      <c r="CM332" s="1123"/>
      <c r="CN332" s="1123"/>
      <c r="CO332" s="1123"/>
      <c r="CP332" s="1123"/>
      <c r="CQ332" s="1123"/>
      <c r="CR332" s="1123"/>
      <c r="CS332" s="1123"/>
      <c r="CT332" s="1123"/>
      <c r="CU332" s="1123"/>
      <c r="CV332" s="1123"/>
      <c r="CW332" s="1123"/>
      <c r="CX332" s="1123"/>
      <c r="CY332" s="1123"/>
      <c r="CZ332" s="1114"/>
      <c r="DA332" s="1114"/>
      <c r="DB332" s="1114"/>
      <c r="DC332" s="1114"/>
      <c r="DD332" s="1114"/>
      <c r="DE332" s="1114"/>
      <c r="DF332" s="1114"/>
      <c r="DG332" s="1114"/>
      <c r="DH332" s="1114"/>
      <c r="DI332" s="1114"/>
      <c r="DJ332" s="1114"/>
      <c r="DK332" s="1114"/>
      <c r="DL332" s="1114"/>
      <c r="DM332" s="1114"/>
      <c r="DN332" s="1114"/>
      <c r="DO332" s="1114"/>
      <c r="DP332" s="1114"/>
      <c r="DQ332" s="1114"/>
      <c r="DR332" s="1114"/>
      <c r="DS332" s="1114"/>
      <c r="DT332" s="1114"/>
      <c r="DU332" s="1114"/>
      <c r="DV332" s="1115"/>
      <c r="DW332" s="1116"/>
      <c r="DX332" s="1116"/>
      <c r="DY332" s="1116"/>
      <c r="DZ332" s="1116"/>
      <c r="EA332" s="1116"/>
      <c r="EB332" s="1116"/>
      <c r="EC332" s="1116"/>
      <c r="ED332" s="1116"/>
      <c r="EE332" s="1116"/>
      <c r="EF332" s="1116"/>
      <c r="EG332" s="1116"/>
      <c r="EH332" s="1116"/>
      <c r="EI332" s="1116"/>
      <c r="EJ332" s="1116"/>
      <c r="EK332" s="1116"/>
      <c r="EL332" s="1116"/>
      <c r="EM332" s="1116"/>
      <c r="EN332" s="1116"/>
      <c r="EO332" s="1116"/>
      <c r="EP332" s="1116"/>
      <c r="EQ332" s="1116"/>
      <c r="ER332" s="1116"/>
      <c r="ES332" s="1116"/>
    </row>
    <row r="333" spans="1:149" ht="15" customHeight="1">
      <c r="A333" s="1185">
        <v>323</v>
      </c>
      <c r="B333" s="1041"/>
      <c r="C333" s="1050"/>
      <c r="D333" s="1050"/>
      <c r="E333" s="1050"/>
      <c r="F333" s="1049"/>
      <c r="G333" s="1049"/>
      <c r="H333" s="1049"/>
      <c r="I333" s="1049"/>
      <c r="J333" s="1050"/>
      <c r="K333" s="1050"/>
      <c r="L333" s="1043"/>
      <c r="M333" s="1051"/>
      <c r="N333" s="1051"/>
      <c r="O333" s="1052"/>
      <c r="P333" s="1051"/>
      <c r="Q333" s="1051"/>
      <c r="R333" s="1052"/>
      <c r="S333" s="1051"/>
      <c r="T333" s="1051"/>
      <c r="U333" s="1052"/>
      <c r="V333" s="1051"/>
      <c r="W333" s="1051"/>
      <c r="X333" s="1052"/>
      <c r="Y333" s="1053"/>
      <c r="Z333" s="1051"/>
      <c r="AA333" s="1051"/>
      <c r="AB333" s="1052"/>
      <c r="AC333" s="1051"/>
      <c r="AD333" s="1051"/>
      <c r="AE333" s="1052"/>
      <c r="AF333" s="1051"/>
      <c r="AG333" s="1051"/>
      <c r="AH333" s="1051"/>
      <c r="AI333" s="1051"/>
      <c r="AJ333" s="1052"/>
      <c r="AK333" s="1051"/>
      <c r="AL333" s="1051"/>
      <c r="AM333" s="1052"/>
      <c r="AN333" s="1051"/>
      <c r="AO333" s="1051"/>
      <c r="AP333" s="1052"/>
      <c r="AQ333" s="1051"/>
      <c r="AR333" s="1051"/>
      <c r="AS333" s="1052"/>
      <c r="AT333" s="1051"/>
      <c r="AU333" s="1051"/>
      <c r="AV333" s="1052"/>
      <c r="AW333" s="1051"/>
      <c r="AX333" s="1051"/>
      <c r="AY333" s="1053"/>
      <c r="AZ333" s="1051"/>
      <c r="BA333" s="1051"/>
      <c r="BB333" s="1053"/>
      <c r="BC333" s="1051"/>
      <c r="BD333" s="1051"/>
      <c r="BE333" s="1053"/>
      <c r="BF333" s="1051"/>
      <c r="BG333" s="1051"/>
      <c r="BH333" s="1053"/>
      <c r="BI333" s="1052"/>
      <c r="BJ333" s="1052"/>
      <c r="BK333" s="1052"/>
      <c r="BL333" s="1052"/>
      <c r="BM333" s="1052"/>
      <c r="BN333" s="1054"/>
      <c r="BO333" s="1076">
        <f t="shared" si="6"/>
        <v>0</v>
      </c>
      <c r="BP333" s="1051"/>
      <c r="BQ333" s="1052"/>
      <c r="BR333" s="1054"/>
      <c r="BS333" s="1053"/>
      <c r="BT333" s="1051"/>
      <c r="BU333" s="1051"/>
      <c r="BV333" s="1051"/>
      <c r="BW333" s="1052"/>
      <c r="BX333" s="1052"/>
      <c r="BY333" s="1052"/>
      <c r="BZ333" s="1052"/>
      <c r="CA333" s="1052"/>
      <c r="CB333" s="1053"/>
      <c r="CC333" s="1053"/>
      <c r="CD333" s="1053"/>
      <c r="CE333" s="1053"/>
      <c r="CF333" s="1053"/>
      <c r="CG333" s="1053"/>
      <c r="CH333" s="1053"/>
      <c r="CI333" s="1123"/>
      <c r="CJ333" s="1123"/>
      <c r="CK333" s="1123"/>
      <c r="CL333" s="1123"/>
      <c r="CM333" s="1123"/>
      <c r="CN333" s="1123"/>
      <c r="CO333" s="1123"/>
      <c r="CP333" s="1123"/>
      <c r="CQ333" s="1123"/>
      <c r="CR333" s="1123"/>
      <c r="CS333" s="1123"/>
      <c r="CT333" s="1123"/>
      <c r="CU333" s="1123"/>
      <c r="CV333" s="1123"/>
      <c r="CW333" s="1123"/>
      <c r="CX333" s="1123"/>
      <c r="CY333" s="1123"/>
      <c r="CZ333" s="1114"/>
      <c r="DA333" s="1114"/>
      <c r="DB333" s="1114"/>
      <c r="DC333" s="1114"/>
      <c r="DD333" s="1114"/>
      <c r="DE333" s="1114"/>
      <c r="DF333" s="1114"/>
      <c r="DG333" s="1114"/>
      <c r="DH333" s="1114"/>
      <c r="DI333" s="1114"/>
      <c r="DJ333" s="1114"/>
      <c r="DK333" s="1114"/>
      <c r="DL333" s="1114"/>
      <c r="DM333" s="1114"/>
      <c r="DN333" s="1114"/>
      <c r="DO333" s="1114"/>
      <c r="DP333" s="1114"/>
      <c r="DQ333" s="1114"/>
      <c r="DR333" s="1114"/>
      <c r="DS333" s="1114"/>
      <c r="DT333" s="1114"/>
      <c r="DU333" s="1114"/>
      <c r="DV333" s="1115"/>
      <c r="DW333" s="1116"/>
      <c r="DX333" s="1116"/>
      <c r="DY333" s="1116"/>
      <c r="DZ333" s="1116"/>
      <c r="EA333" s="1116"/>
      <c r="EB333" s="1116"/>
      <c r="EC333" s="1116"/>
      <c r="ED333" s="1116"/>
      <c r="EE333" s="1116"/>
      <c r="EF333" s="1116"/>
      <c r="EG333" s="1116"/>
      <c r="EH333" s="1116"/>
      <c r="EI333" s="1116"/>
      <c r="EJ333" s="1116"/>
      <c r="EK333" s="1116"/>
      <c r="EL333" s="1116"/>
      <c r="EM333" s="1116"/>
      <c r="EN333" s="1116"/>
      <c r="EO333" s="1116"/>
      <c r="EP333" s="1116"/>
      <c r="EQ333" s="1116"/>
      <c r="ER333" s="1116"/>
      <c r="ES333" s="1116"/>
    </row>
    <row r="334" spans="1:149" ht="15" customHeight="1">
      <c r="A334" s="1185">
        <v>324</v>
      </c>
      <c r="B334" s="1041"/>
      <c r="C334" s="1050"/>
      <c r="D334" s="1050"/>
      <c r="E334" s="1050"/>
      <c r="F334" s="1049"/>
      <c r="G334" s="1049"/>
      <c r="H334" s="1049"/>
      <c r="I334" s="1049"/>
      <c r="J334" s="1050"/>
      <c r="K334" s="1050"/>
      <c r="L334" s="1043"/>
      <c r="M334" s="1051"/>
      <c r="N334" s="1051"/>
      <c r="O334" s="1052"/>
      <c r="P334" s="1051"/>
      <c r="Q334" s="1051"/>
      <c r="R334" s="1052"/>
      <c r="S334" s="1051"/>
      <c r="T334" s="1051"/>
      <c r="U334" s="1052"/>
      <c r="V334" s="1051"/>
      <c r="W334" s="1051"/>
      <c r="X334" s="1052"/>
      <c r="Y334" s="1053"/>
      <c r="Z334" s="1051"/>
      <c r="AA334" s="1051"/>
      <c r="AB334" s="1052"/>
      <c r="AC334" s="1051"/>
      <c r="AD334" s="1051"/>
      <c r="AE334" s="1052"/>
      <c r="AF334" s="1051"/>
      <c r="AG334" s="1051"/>
      <c r="AH334" s="1051"/>
      <c r="AI334" s="1051"/>
      <c r="AJ334" s="1052"/>
      <c r="AK334" s="1051"/>
      <c r="AL334" s="1051"/>
      <c r="AM334" s="1052"/>
      <c r="AN334" s="1051"/>
      <c r="AO334" s="1051"/>
      <c r="AP334" s="1052"/>
      <c r="AQ334" s="1051"/>
      <c r="AR334" s="1051"/>
      <c r="AS334" s="1052"/>
      <c r="AT334" s="1051"/>
      <c r="AU334" s="1051"/>
      <c r="AV334" s="1052"/>
      <c r="AW334" s="1051"/>
      <c r="AX334" s="1051"/>
      <c r="AY334" s="1053"/>
      <c r="AZ334" s="1051"/>
      <c r="BA334" s="1051"/>
      <c r="BB334" s="1053"/>
      <c r="BC334" s="1051"/>
      <c r="BD334" s="1051"/>
      <c r="BE334" s="1053"/>
      <c r="BF334" s="1051"/>
      <c r="BG334" s="1051"/>
      <c r="BH334" s="1053"/>
      <c r="BI334" s="1052"/>
      <c r="BJ334" s="1052"/>
      <c r="BK334" s="1052"/>
      <c r="BL334" s="1052"/>
      <c r="BM334" s="1052"/>
      <c r="BN334" s="1054"/>
      <c r="BO334" s="1076">
        <f t="shared" si="6"/>
        <v>0</v>
      </c>
      <c r="BP334" s="1051"/>
      <c r="BQ334" s="1052"/>
      <c r="BR334" s="1054"/>
      <c r="BS334" s="1053"/>
      <c r="BT334" s="1051"/>
      <c r="BU334" s="1051"/>
      <c r="BV334" s="1051"/>
      <c r="BW334" s="1052"/>
      <c r="BX334" s="1052"/>
      <c r="BY334" s="1052"/>
      <c r="BZ334" s="1052"/>
      <c r="CA334" s="1052"/>
      <c r="CB334" s="1053"/>
      <c r="CC334" s="1053"/>
      <c r="CD334" s="1053"/>
      <c r="CE334" s="1053"/>
      <c r="CF334" s="1053"/>
      <c r="CG334" s="1053"/>
      <c r="CH334" s="1053"/>
      <c r="CI334" s="1123"/>
      <c r="CJ334" s="1123"/>
      <c r="CK334" s="1123"/>
      <c r="CL334" s="1123"/>
      <c r="CM334" s="1123"/>
      <c r="CN334" s="1123"/>
      <c r="CO334" s="1123"/>
      <c r="CP334" s="1123"/>
      <c r="CQ334" s="1123"/>
      <c r="CR334" s="1123"/>
      <c r="CS334" s="1123"/>
      <c r="CT334" s="1123"/>
      <c r="CU334" s="1123"/>
      <c r="CV334" s="1123"/>
      <c r="CW334" s="1123"/>
      <c r="CX334" s="1123"/>
      <c r="CY334" s="1123"/>
      <c r="CZ334" s="1114"/>
      <c r="DA334" s="1114"/>
      <c r="DB334" s="1114"/>
      <c r="DC334" s="1114"/>
      <c r="DD334" s="1114"/>
      <c r="DE334" s="1114"/>
      <c r="DF334" s="1114"/>
      <c r="DG334" s="1114"/>
      <c r="DH334" s="1114"/>
      <c r="DI334" s="1114"/>
      <c r="DJ334" s="1114"/>
      <c r="DK334" s="1114"/>
      <c r="DL334" s="1114"/>
      <c r="DM334" s="1114"/>
      <c r="DN334" s="1114"/>
      <c r="DO334" s="1114"/>
      <c r="DP334" s="1114"/>
      <c r="DQ334" s="1114"/>
      <c r="DR334" s="1114"/>
      <c r="DS334" s="1114"/>
      <c r="DT334" s="1114"/>
      <c r="DU334" s="1114"/>
      <c r="DV334" s="1115"/>
      <c r="DW334" s="1116"/>
      <c r="DX334" s="1116"/>
      <c r="DY334" s="1116"/>
      <c r="DZ334" s="1116"/>
      <c r="EA334" s="1116"/>
      <c r="EB334" s="1116"/>
      <c r="EC334" s="1116"/>
      <c r="ED334" s="1116"/>
      <c r="EE334" s="1116"/>
      <c r="EF334" s="1116"/>
      <c r="EG334" s="1116"/>
      <c r="EH334" s="1116"/>
      <c r="EI334" s="1116"/>
      <c r="EJ334" s="1116"/>
      <c r="EK334" s="1116"/>
      <c r="EL334" s="1116"/>
      <c r="EM334" s="1116"/>
      <c r="EN334" s="1116"/>
      <c r="EO334" s="1116"/>
      <c r="EP334" s="1116"/>
      <c r="EQ334" s="1116"/>
      <c r="ER334" s="1116"/>
      <c r="ES334" s="1116"/>
    </row>
    <row r="335" spans="1:149" ht="15" customHeight="1">
      <c r="A335" s="1185">
        <v>325</v>
      </c>
      <c r="B335" s="1041"/>
      <c r="C335" s="1050"/>
      <c r="D335" s="1050"/>
      <c r="E335" s="1050"/>
      <c r="F335" s="1049"/>
      <c r="G335" s="1049"/>
      <c r="H335" s="1049"/>
      <c r="I335" s="1049"/>
      <c r="J335" s="1050"/>
      <c r="K335" s="1050"/>
      <c r="L335" s="1043"/>
      <c r="M335" s="1051"/>
      <c r="N335" s="1051"/>
      <c r="O335" s="1052"/>
      <c r="P335" s="1051"/>
      <c r="Q335" s="1051"/>
      <c r="R335" s="1052"/>
      <c r="S335" s="1051"/>
      <c r="T335" s="1051"/>
      <c r="U335" s="1052"/>
      <c r="V335" s="1051"/>
      <c r="W335" s="1051"/>
      <c r="X335" s="1052"/>
      <c r="Y335" s="1053"/>
      <c r="Z335" s="1051"/>
      <c r="AA335" s="1051"/>
      <c r="AB335" s="1052"/>
      <c r="AC335" s="1051"/>
      <c r="AD335" s="1051"/>
      <c r="AE335" s="1052"/>
      <c r="AF335" s="1051"/>
      <c r="AG335" s="1051"/>
      <c r="AH335" s="1051"/>
      <c r="AI335" s="1051"/>
      <c r="AJ335" s="1052"/>
      <c r="AK335" s="1051"/>
      <c r="AL335" s="1051"/>
      <c r="AM335" s="1052"/>
      <c r="AN335" s="1051"/>
      <c r="AO335" s="1051"/>
      <c r="AP335" s="1052"/>
      <c r="AQ335" s="1051"/>
      <c r="AR335" s="1051"/>
      <c r="AS335" s="1052"/>
      <c r="AT335" s="1051"/>
      <c r="AU335" s="1051"/>
      <c r="AV335" s="1052"/>
      <c r="AW335" s="1051"/>
      <c r="AX335" s="1051"/>
      <c r="AY335" s="1053"/>
      <c r="AZ335" s="1051"/>
      <c r="BA335" s="1051"/>
      <c r="BB335" s="1053"/>
      <c r="BC335" s="1051"/>
      <c r="BD335" s="1051"/>
      <c r="BE335" s="1053"/>
      <c r="BF335" s="1051"/>
      <c r="BG335" s="1051"/>
      <c r="BH335" s="1053"/>
      <c r="BI335" s="1052"/>
      <c r="BJ335" s="1052"/>
      <c r="BK335" s="1052"/>
      <c r="BL335" s="1052"/>
      <c r="BM335" s="1052"/>
      <c r="BN335" s="1054"/>
      <c r="BO335" s="1076">
        <f t="shared" si="6"/>
        <v>0</v>
      </c>
      <c r="BP335" s="1051"/>
      <c r="BQ335" s="1052"/>
      <c r="BR335" s="1054"/>
      <c r="BS335" s="1053"/>
      <c r="BT335" s="1051"/>
      <c r="BU335" s="1051"/>
      <c r="BV335" s="1051"/>
      <c r="BW335" s="1052"/>
      <c r="BX335" s="1052"/>
      <c r="BY335" s="1052"/>
      <c r="BZ335" s="1052"/>
      <c r="CA335" s="1052"/>
      <c r="CB335" s="1053"/>
      <c r="CC335" s="1053"/>
      <c r="CD335" s="1053"/>
      <c r="CE335" s="1053"/>
      <c r="CF335" s="1053"/>
      <c r="CG335" s="1053"/>
      <c r="CH335" s="1053"/>
      <c r="CI335" s="1123"/>
      <c r="CJ335" s="1123"/>
      <c r="CK335" s="1123"/>
      <c r="CL335" s="1123"/>
      <c r="CM335" s="1123"/>
      <c r="CN335" s="1123"/>
      <c r="CO335" s="1123"/>
      <c r="CP335" s="1123"/>
      <c r="CQ335" s="1123"/>
      <c r="CR335" s="1123"/>
      <c r="CS335" s="1123"/>
      <c r="CT335" s="1123"/>
      <c r="CU335" s="1123"/>
      <c r="CV335" s="1123"/>
      <c r="CW335" s="1123"/>
      <c r="CX335" s="1123"/>
      <c r="CY335" s="1123"/>
      <c r="CZ335" s="1114"/>
      <c r="DA335" s="1114"/>
      <c r="DB335" s="1114"/>
      <c r="DC335" s="1114"/>
      <c r="DD335" s="1114"/>
      <c r="DE335" s="1114"/>
      <c r="DF335" s="1114"/>
      <c r="DG335" s="1114"/>
      <c r="DH335" s="1114"/>
      <c r="DI335" s="1114"/>
      <c r="DJ335" s="1114"/>
      <c r="DK335" s="1114"/>
      <c r="DL335" s="1114"/>
      <c r="DM335" s="1114"/>
      <c r="DN335" s="1114"/>
      <c r="DO335" s="1114"/>
      <c r="DP335" s="1114"/>
      <c r="DQ335" s="1114"/>
      <c r="DR335" s="1114"/>
      <c r="DS335" s="1114"/>
      <c r="DT335" s="1114"/>
      <c r="DU335" s="1114"/>
      <c r="DV335" s="1115"/>
      <c r="DW335" s="1116"/>
      <c r="DX335" s="1116"/>
      <c r="DY335" s="1116"/>
      <c r="DZ335" s="1116"/>
      <c r="EA335" s="1116"/>
      <c r="EB335" s="1116"/>
      <c r="EC335" s="1116"/>
      <c r="ED335" s="1116"/>
      <c r="EE335" s="1116"/>
      <c r="EF335" s="1116"/>
      <c r="EG335" s="1116"/>
      <c r="EH335" s="1116"/>
      <c r="EI335" s="1116"/>
      <c r="EJ335" s="1116"/>
      <c r="EK335" s="1116"/>
      <c r="EL335" s="1116"/>
      <c r="EM335" s="1116"/>
      <c r="EN335" s="1116"/>
      <c r="EO335" s="1116"/>
      <c r="EP335" s="1116"/>
      <c r="EQ335" s="1116"/>
      <c r="ER335" s="1116"/>
      <c r="ES335" s="1116"/>
    </row>
    <row r="336" spans="1:149" ht="15" customHeight="1">
      <c r="A336" s="1185">
        <v>326</v>
      </c>
      <c r="B336" s="1041"/>
      <c r="C336" s="1050"/>
      <c r="D336" s="1050"/>
      <c r="E336" s="1050"/>
      <c r="F336" s="1049"/>
      <c r="G336" s="1049"/>
      <c r="H336" s="1049"/>
      <c r="I336" s="1049"/>
      <c r="J336" s="1050"/>
      <c r="K336" s="1050"/>
      <c r="L336" s="1043"/>
      <c r="M336" s="1051"/>
      <c r="N336" s="1051"/>
      <c r="O336" s="1052"/>
      <c r="P336" s="1051"/>
      <c r="Q336" s="1051"/>
      <c r="R336" s="1052"/>
      <c r="S336" s="1051"/>
      <c r="T336" s="1051"/>
      <c r="U336" s="1052"/>
      <c r="V336" s="1051"/>
      <c r="W336" s="1051"/>
      <c r="X336" s="1052"/>
      <c r="Y336" s="1053"/>
      <c r="Z336" s="1051"/>
      <c r="AA336" s="1051"/>
      <c r="AB336" s="1052"/>
      <c r="AC336" s="1051"/>
      <c r="AD336" s="1051"/>
      <c r="AE336" s="1052"/>
      <c r="AF336" s="1051"/>
      <c r="AG336" s="1051"/>
      <c r="AH336" s="1051"/>
      <c r="AI336" s="1051"/>
      <c r="AJ336" s="1052"/>
      <c r="AK336" s="1051"/>
      <c r="AL336" s="1051"/>
      <c r="AM336" s="1052"/>
      <c r="AN336" s="1051"/>
      <c r="AO336" s="1051"/>
      <c r="AP336" s="1052"/>
      <c r="AQ336" s="1051"/>
      <c r="AR336" s="1051"/>
      <c r="AS336" s="1052"/>
      <c r="AT336" s="1051"/>
      <c r="AU336" s="1051"/>
      <c r="AV336" s="1052"/>
      <c r="AW336" s="1051"/>
      <c r="AX336" s="1051"/>
      <c r="AY336" s="1053"/>
      <c r="AZ336" s="1051"/>
      <c r="BA336" s="1051"/>
      <c r="BB336" s="1053"/>
      <c r="BC336" s="1051"/>
      <c r="BD336" s="1051"/>
      <c r="BE336" s="1053"/>
      <c r="BF336" s="1051"/>
      <c r="BG336" s="1051"/>
      <c r="BH336" s="1053"/>
      <c r="BI336" s="1052"/>
      <c r="BJ336" s="1052"/>
      <c r="BK336" s="1052"/>
      <c r="BL336" s="1052"/>
      <c r="BM336" s="1052"/>
      <c r="BN336" s="1054"/>
      <c r="BO336" s="1076">
        <f t="shared" si="6"/>
        <v>0</v>
      </c>
      <c r="BP336" s="1051"/>
      <c r="BQ336" s="1052"/>
      <c r="BR336" s="1054"/>
      <c r="BS336" s="1053"/>
      <c r="BT336" s="1051"/>
      <c r="BU336" s="1051"/>
      <c r="BV336" s="1051"/>
      <c r="BW336" s="1052"/>
      <c r="BX336" s="1052"/>
      <c r="BY336" s="1052"/>
      <c r="BZ336" s="1052"/>
      <c r="CA336" s="1052"/>
      <c r="CB336" s="1053"/>
      <c r="CC336" s="1053"/>
      <c r="CD336" s="1053"/>
      <c r="CE336" s="1053"/>
      <c r="CF336" s="1053"/>
      <c r="CG336" s="1053"/>
      <c r="CH336" s="1053"/>
      <c r="CI336" s="1123"/>
      <c r="CJ336" s="1123"/>
      <c r="CK336" s="1123"/>
      <c r="CL336" s="1123"/>
      <c r="CM336" s="1123"/>
      <c r="CN336" s="1123"/>
      <c r="CO336" s="1123"/>
      <c r="CP336" s="1123"/>
      <c r="CQ336" s="1123"/>
      <c r="CR336" s="1123"/>
      <c r="CS336" s="1123"/>
      <c r="CT336" s="1123"/>
      <c r="CU336" s="1123"/>
      <c r="CV336" s="1123"/>
      <c r="CW336" s="1123"/>
      <c r="CX336" s="1123"/>
      <c r="CY336" s="1123"/>
      <c r="CZ336" s="1114"/>
      <c r="DA336" s="1114"/>
      <c r="DB336" s="1114"/>
      <c r="DC336" s="1114"/>
      <c r="DD336" s="1114"/>
      <c r="DE336" s="1114"/>
      <c r="DF336" s="1114"/>
      <c r="DG336" s="1114"/>
      <c r="DH336" s="1114"/>
      <c r="DI336" s="1114"/>
      <c r="DJ336" s="1114"/>
      <c r="DK336" s="1114"/>
      <c r="DL336" s="1114"/>
      <c r="DM336" s="1114"/>
      <c r="DN336" s="1114"/>
      <c r="DO336" s="1114"/>
      <c r="DP336" s="1114"/>
      <c r="DQ336" s="1114"/>
      <c r="DR336" s="1114"/>
      <c r="DS336" s="1114"/>
      <c r="DT336" s="1114"/>
      <c r="DU336" s="1114"/>
      <c r="DV336" s="1115"/>
      <c r="DW336" s="1116"/>
      <c r="DX336" s="1116"/>
      <c r="DY336" s="1116"/>
      <c r="DZ336" s="1116"/>
      <c r="EA336" s="1116"/>
      <c r="EB336" s="1116"/>
      <c r="EC336" s="1116"/>
      <c r="ED336" s="1116"/>
      <c r="EE336" s="1116"/>
      <c r="EF336" s="1116"/>
      <c r="EG336" s="1116"/>
      <c r="EH336" s="1116"/>
      <c r="EI336" s="1116"/>
      <c r="EJ336" s="1116"/>
      <c r="EK336" s="1116"/>
      <c r="EL336" s="1116"/>
      <c r="EM336" s="1116"/>
      <c r="EN336" s="1116"/>
      <c r="EO336" s="1116"/>
      <c r="EP336" s="1116"/>
      <c r="EQ336" s="1116"/>
      <c r="ER336" s="1116"/>
      <c r="ES336" s="1116"/>
    </row>
    <row r="337" spans="1:149" ht="15" customHeight="1">
      <c r="A337" s="1185">
        <v>327</v>
      </c>
      <c r="B337" s="1041"/>
      <c r="C337" s="1050"/>
      <c r="D337" s="1050"/>
      <c r="E337" s="1050"/>
      <c r="F337" s="1049"/>
      <c r="G337" s="1049"/>
      <c r="H337" s="1049"/>
      <c r="I337" s="1049"/>
      <c r="J337" s="1050"/>
      <c r="K337" s="1050"/>
      <c r="L337" s="1043"/>
      <c r="M337" s="1051"/>
      <c r="N337" s="1051"/>
      <c r="O337" s="1052"/>
      <c r="P337" s="1051"/>
      <c r="Q337" s="1051"/>
      <c r="R337" s="1052"/>
      <c r="S337" s="1051"/>
      <c r="T337" s="1051"/>
      <c r="U337" s="1052"/>
      <c r="V337" s="1051"/>
      <c r="W337" s="1051"/>
      <c r="X337" s="1052"/>
      <c r="Y337" s="1053"/>
      <c r="Z337" s="1051"/>
      <c r="AA337" s="1051"/>
      <c r="AB337" s="1052"/>
      <c r="AC337" s="1051"/>
      <c r="AD337" s="1051"/>
      <c r="AE337" s="1052"/>
      <c r="AF337" s="1051"/>
      <c r="AG337" s="1051"/>
      <c r="AH337" s="1051"/>
      <c r="AI337" s="1051"/>
      <c r="AJ337" s="1052"/>
      <c r="AK337" s="1051"/>
      <c r="AL337" s="1051"/>
      <c r="AM337" s="1052"/>
      <c r="AN337" s="1051"/>
      <c r="AO337" s="1051"/>
      <c r="AP337" s="1052"/>
      <c r="AQ337" s="1051"/>
      <c r="AR337" s="1051"/>
      <c r="AS337" s="1052"/>
      <c r="AT337" s="1051"/>
      <c r="AU337" s="1051"/>
      <c r="AV337" s="1052"/>
      <c r="AW337" s="1051"/>
      <c r="AX337" s="1051"/>
      <c r="AY337" s="1053"/>
      <c r="AZ337" s="1051"/>
      <c r="BA337" s="1051"/>
      <c r="BB337" s="1053"/>
      <c r="BC337" s="1051"/>
      <c r="BD337" s="1051"/>
      <c r="BE337" s="1053"/>
      <c r="BF337" s="1051"/>
      <c r="BG337" s="1051"/>
      <c r="BH337" s="1053"/>
      <c r="BI337" s="1052"/>
      <c r="BJ337" s="1052"/>
      <c r="BK337" s="1052"/>
      <c r="BL337" s="1052"/>
      <c r="BM337" s="1052"/>
      <c r="BN337" s="1054"/>
      <c r="BO337" s="1076">
        <f t="shared" si="6"/>
        <v>0</v>
      </c>
      <c r="BP337" s="1051"/>
      <c r="BQ337" s="1052"/>
      <c r="BR337" s="1054"/>
      <c r="BS337" s="1053"/>
      <c r="BT337" s="1051"/>
      <c r="BU337" s="1051"/>
      <c r="BV337" s="1051"/>
      <c r="BW337" s="1052"/>
      <c r="BX337" s="1052"/>
      <c r="BY337" s="1052"/>
      <c r="BZ337" s="1052"/>
      <c r="CA337" s="1052"/>
      <c r="CB337" s="1053"/>
      <c r="CC337" s="1053"/>
      <c r="CD337" s="1053"/>
      <c r="CE337" s="1053"/>
      <c r="CF337" s="1053"/>
      <c r="CG337" s="1053"/>
      <c r="CH337" s="1053"/>
      <c r="CI337" s="1123"/>
      <c r="CJ337" s="1123"/>
      <c r="CK337" s="1123"/>
      <c r="CL337" s="1123"/>
      <c r="CM337" s="1123"/>
      <c r="CN337" s="1123"/>
      <c r="CO337" s="1123"/>
      <c r="CP337" s="1123"/>
      <c r="CQ337" s="1123"/>
      <c r="CR337" s="1123"/>
      <c r="CS337" s="1123"/>
      <c r="CT337" s="1123"/>
      <c r="CU337" s="1123"/>
      <c r="CV337" s="1123"/>
      <c r="CW337" s="1123"/>
      <c r="CX337" s="1123"/>
      <c r="CY337" s="1123"/>
      <c r="CZ337" s="1114"/>
      <c r="DA337" s="1114"/>
      <c r="DB337" s="1114"/>
      <c r="DC337" s="1114"/>
      <c r="DD337" s="1114"/>
      <c r="DE337" s="1114"/>
      <c r="DF337" s="1114"/>
      <c r="DG337" s="1114"/>
      <c r="DH337" s="1114"/>
      <c r="DI337" s="1114"/>
      <c r="DJ337" s="1114"/>
      <c r="DK337" s="1114"/>
      <c r="DL337" s="1114"/>
      <c r="DM337" s="1114"/>
      <c r="DN337" s="1114"/>
      <c r="DO337" s="1114"/>
      <c r="DP337" s="1114"/>
      <c r="DQ337" s="1114"/>
      <c r="DR337" s="1114"/>
      <c r="DS337" s="1114"/>
      <c r="DT337" s="1114"/>
      <c r="DU337" s="1114"/>
      <c r="DV337" s="1115"/>
      <c r="DW337" s="1116"/>
      <c r="DX337" s="1116"/>
      <c r="DY337" s="1116"/>
      <c r="DZ337" s="1116"/>
      <c r="EA337" s="1116"/>
      <c r="EB337" s="1116"/>
      <c r="EC337" s="1116"/>
      <c r="ED337" s="1116"/>
      <c r="EE337" s="1116"/>
      <c r="EF337" s="1116"/>
      <c r="EG337" s="1116"/>
      <c r="EH337" s="1116"/>
      <c r="EI337" s="1116"/>
      <c r="EJ337" s="1116"/>
      <c r="EK337" s="1116"/>
      <c r="EL337" s="1116"/>
      <c r="EM337" s="1116"/>
      <c r="EN337" s="1116"/>
      <c r="EO337" s="1116"/>
      <c r="EP337" s="1116"/>
      <c r="EQ337" s="1116"/>
      <c r="ER337" s="1116"/>
      <c r="ES337" s="1116"/>
    </row>
    <row r="338" spans="1:149" ht="15" customHeight="1">
      <c r="A338" s="1185">
        <v>328</v>
      </c>
      <c r="B338" s="1041"/>
      <c r="C338" s="1050"/>
      <c r="D338" s="1050"/>
      <c r="E338" s="1050"/>
      <c r="F338" s="1049"/>
      <c r="G338" s="1049"/>
      <c r="H338" s="1049"/>
      <c r="I338" s="1049"/>
      <c r="J338" s="1050"/>
      <c r="K338" s="1050"/>
      <c r="L338" s="1043"/>
      <c r="M338" s="1051"/>
      <c r="N338" s="1051"/>
      <c r="O338" s="1052"/>
      <c r="P338" s="1051"/>
      <c r="Q338" s="1051"/>
      <c r="R338" s="1052"/>
      <c r="S338" s="1051"/>
      <c r="T338" s="1051"/>
      <c r="U338" s="1052"/>
      <c r="V338" s="1051"/>
      <c r="W338" s="1051"/>
      <c r="X338" s="1052"/>
      <c r="Y338" s="1053"/>
      <c r="Z338" s="1051"/>
      <c r="AA338" s="1051"/>
      <c r="AB338" s="1052"/>
      <c r="AC338" s="1051"/>
      <c r="AD338" s="1051"/>
      <c r="AE338" s="1052"/>
      <c r="AF338" s="1051"/>
      <c r="AG338" s="1051"/>
      <c r="AH338" s="1051"/>
      <c r="AI338" s="1051"/>
      <c r="AJ338" s="1052"/>
      <c r="AK338" s="1051"/>
      <c r="AL338" s="1051"/>
      <c r="AM338" s="1052"/>
      <c r="AN338" s="1051"/>
      <c r="AO338" s="1051"/>
      <c r="AP338" s="1052"/>
      <c r="AQ338" s="1051"/>
      <c r="AR338" s="1051"/>
      <c r="AS338" s="1052"/>
      <c r="AT338" s="1051"/>
      <c r="AU338" s="1051"/>
      <c r="AV338" s="1052"/>
      <c r="AW338" s="1051"/>
      <c r="AX338" s="1051"/>
      <c r="AY338" s="1053"/>
      <c r="AZ338" s="1051"/>
      <c r="BA338" s="1051"/>
      <c r="BB338" s="1053"/>
      <c r="BC338" s="1051"/>
      <c r="BD338" s="1051"/>
      <c r="BE338" s="1053"/>
      <c r="BF338" s="1051"/>
      <c r="BG338" s="1051"/>
      <c r="BH338" s="1053"/>
      <c r="BI338" s="1052"/>
      <c r="BJ338" s="1052"/>
      <c r="BK338" s="1052"/>
      <c r="BL338" s="1052"/>
      <c r="BM338" s="1052"/>
      <c r="BN338" s="1054"/>
      <c r="BO338" s="1076">
        <f t="shared" si="6"/>
        <v>0</v>
      </c>
      <c r="BP338" s="1051"/>
      <c r="BQ338" s="1052"/>
      <c r="BR338" s="1054"/>
      <c r="BS338" s="1053"/>
      <c r="BT338" s="1051"/>
      <c r="BU338" s="1051"/>
      <c r="BV338" s="1051"/>
      <c r="BW338" s="1052"/>
      <c r="BX338" s="1052"/>
      <c r="BY338" s="1052"/>
      <c r="BZ338" s="1052"/>
      <c r="CA338" s="1052"/>
      <c r="CB338" s="1053"/>
      <c r="CC338" s="1053"/>
      <c r="CD338" s="1053"/>
      <c r="CE338" s="1053"/>
      <c r="CF338" s="1053"/>
      <c r="CG338" s="1053"/>
      <c r="CH338" s="1053"/>
      <c r="CI338" s="1123"/>
      <c r="CJ338" s="1123"/>
      <c r="CK338" s="1123"/>
      <c r="CL338" s="1123"/>
      <c r="CM338" s="1123"/>
      <c r="CN338" s="1123"/>
      <c r="CO338" s="1123"/>
      <c r="CP338" s="1123"/>
      <c r="CQ338" s="1123"/>
      <c r="CR338" s="1123"/>
      <c r="CS338" s="1123"/>
      <c r="CT338" s="1123"/>
      <c r="CU338" s="1123"/>
      <c r="CV338" s="1123"/>
      <c r="CW338" s="1123"/>
      <c r="CX338" s="1123"/>
      <c r="CY338" s="1123"/>
      <c r="CZ338" s="1114"/>
      <c r="DA338" s="1114"/>
      <c r="DB338" s="1114"/>
      <c r="DC338" s="1114"/>
      <c r="DD338" s="1114"/>
      <c r="DE338" s="1114"/>
      <c r="DF338" s="1114"/>
      <c r="DG338" s="1114"/>
      <c r="DH338" s="1114"/>
      <c r="DI338" s="1114"/>
      <c r="DJ338" s="1114"/>
      <c r="DK338" s="1114"/>
      <c r="DL338" s="1114"/>
      <c r="DM338" s="1114"/>
      <c r="DN338" s="1114"/>
      <c r="DO338" s="1114"/>
      <c r="DP338" s="1114"/>
      <c r="DQ338" s="1114"/>
      <c r="DR338" s="1114"/>
      <c r="DS338" s="1114"/>
      <c r="DT338" s="1114"/>
      <c r="DU338" s="1114"/>
      <c r="DV338" s="1115"/>
      <c r="DW338" s="1116"/>
      <c r="DX338" s="1116"/>
      <c r="DY338" s="1116"/>
      <c r="DZ338" s="1116"/>
      <c r="EA338" s="1116"/>
      <c r="EB338" s="1116"/>
      <c r="EC338" s="1116"/>
      <c r="ED338" s="1116"/>
      <c r="EE338" s="1116"/>
      <c r="EF338" s="1116"/>
      <c r="EG338" s="1116"/>
      <c r="EH338" s="1116"/>
      <c r="EI338" s="1116"/>
      <c r="EJ338" s="1116"/>
      <c r="EK338" s="1116"/>
      <c r="EL338" s="1116"/>
      <c r="EM338" s="1116"/>
      <c r="EN338" s="1116"/>
      <c r="EO338" s="1116"/>
      <c r="EP338" s="1116"/>
      <c r="EQ338" s="1116"/>
      <c r="ER338" s="1116"/>
      <c r="ES338" s="1116"/>
    </row>
    <row r="339" spans="1:149" ht="15" customHeight="1">
      <c r="A339" s="1185">
        <v>329</v>
      </c>
      <c r="B339" s="1041"/>
      <c r="C339" s="1050"/>
      <c r="D339" s="1050"/>
      <c r="E339" s="1050"/>
      <c r="F339" s="1049"/>
      <c r="G339" s="1049"/>
      <c r="H339" s="1049"/>
      <c r="I339" s="1049"/>
      <c r="J339" s="1050"/>
      <c r="K339" s="1050"/>
      <c r="L339" s="1043"/>
      <c r="M339" s="1051"/>
      <c r="N339" s="1051"/>
      <c r="O339" s="1052"/>
      <c r="P339" s="1051"/>
      <c r="Q339" s="1051"/>
      <c r="R339" s="1052"/>
      <c r="S339" s="1051"/>
      <c r="T339" s="1051"/>
      <c r="U339" s="1052"/>
      <c r="V339" s="1051"/>
      <c r="W339" s="1051"/>
      <c r="X339" s="1052"/>
      <c r="Y339" s="1053"/>
      <c r="Z339" s="1051"/>
      <c r="AA339" s="1051"/>
      <c r="AB339" s="1052"/>
      <c r="AC339" s="1051"/>
      <c r="AD339" s="1051"/>
      <c r="AE339" s="1052"/>
      <c r="AF339" s="1051"/>
      <c r="AG339" s="1051"/>
      <c r="AH339" s="1051"/>
      <c r="AI339" s="1051"/>
      <c r="AJ339" s="1052"/>
      <c r="AK339" s="1051"/>
      <c r="AL339" s="1051"/>
      <c r="AM339" s="1052"/>
      <c r="AN339" s="1051"/>
      <c r="AO339" s="1051"/>
      <c r="AP339" s="1052"/>
      <c r="AQ339" s="1051"/>
      <c r="AR339" s="1051"/>
      <c r="AS339" s="1052"/>
      <c r="AT339" s="1051"/>
      <c r="AU339" s="1051"/>
      <c r="AV339" s="1052"/>
      <c r="AW339" s="1051"/>
      <c r="AX339" s="1051"/>
      <c r="AY339" s="1053"/>
      <c r="AZ339" s="1051"/>
      <c r="BA339" s="1051"/>
      <c r="BB339" s="1053"/>
      <c r="BC339" s="1051"/>
      <c r="BD339" s="1051"/>
      <c r="BE339" s="1053"/>
      <c r="BF339" s="1051"/>
      <c r="BG339" s="1051"/>
      <c r="BH339" s="1053"/>
      <c r="BI339" s="1052"/>
      <c r="BJ339" s="1052"/>
      <c r="BK339" s="1052"/>
      <c r="BL339" s="1052"/>
      <c r="BM339" s="1052"/>
      <c r="BN339" s="1054"/>
      <c r="BO339" s="1076">
        <f t="shared" si="6"/>
        <v>0</v>
      </c>
      <c r="BP339" s="1051"/>
      <c r="BQ339" s="1052"/>
      <c r="BR339" s="1054"/>
      <c r="BS339" s="1053"/>
      <c r="BT339" s="1051"/>
      <c r="BU339" s="1051"/>
      <c r="BV339" s="1051"/>
      <c r="BW339" s="1052"/>
      <c r="BX339" s="1052"/>
      <c r="BY339" s="1052"/>
      <c r="BZ339" s="1052"/>
      <c r="CA339" s="1052"/>
      <c r="CB339" s="1053"/>
      <c r="CC339" s="1053"/>
      <c r="CD339" s="1053"/>
      <c r="CE339" s="1053"/>
      <c r="CF339" s="1053"/>
      <c r="CG339" s="1053"/>
      <c r="CH339" s="1053"/>
      <c r="CI339" s="1123"/>
      <c r="CJ339" s="1123"/>
      <c r="CK339" s="1123"/>
      <c r="CL339" s="1123"/>
      <c r="CM339" s="1123"/>
      <c r="CN339" s="1123"/>
      <c r="CO339" s="1123"/>
      <c r="CP339" s="1123"/>
      <c r="CQ339" s="1123"/>
      <c r="CR339" s="1123"/>
      <c r="CS339" s="1123"/>
      <c r="CT339" s="1123"/>
      <c r="CU339" s="1123"/>
      <c r="CV339" s="1123"/>
      <c r="CW339" s="1123"/>
      <c r="CX339" s="1123"/>
      <c r="CY339" s="1123"/>
      <c r="CZ339" s="1114"/>
      <c r="DA339" s="1114"/>
      <c r="DB339" s="1114"/>
      <c r="DC339" s="1114"/>
      <c r="DD339" s="1114"/>
      <c r="DE339" s="1114"/>
      <c r="DF339" s="1114"/>
      <c r="DG339" s="1114"/>
      <c r="DH339" s="1114"/>
      <c r="DI339" s="1114"/>
      <c r="DJ339" s="1114"/>
      <c r="DK339" s="1114"/>
      <c r="DL339" s="1114"/>
      <c r="DM339" s="1114"/>
      <c r="DN339" s="1114"/>
      <c r="DO339" s="1114"/>
      <c r="DP339" s="1114"/>
      <c r="DQ339" s="1114"/>
      <c r="DR339" s="1114"/>
      <c r="DS339" s="1114"/>
      <c r="DT339" s="1114"/>
      <c r="DU339" s="1114"/>
      <c r="DV339" s="1115"/>
      <c r="DW339" s="1116"/>
      <c r="DX339" s="1116"/>
      <c r="DY339" s="1116"/>
      <c r="DZ339" s="1116"/>
      <c r="EA339" s="1116"/>
      <c r="EB339" s="1116"/>
      <c r="EC339" s="1116"/>
      <c r="ED339" s="1116"/>
      <c r="EE339" s="1116"/>
      <c r="EF339" s="1116"/>
      <c r="EG339" s="1116"/>
      <c r="EH339" s="1116"/>
      <c r="EI339" s="1116"/>
      <c r="EJ339" s="1116"/>
      <c r="EK339" s="1116"/>
      <c r="EL339" s="1116"/>
      <c r="EM339" s="1116"/>
      <c r="EN339" s="1116"/>
      <c r="EO339" s="1116"/>
      <c r="EP339" s="1116"/>
      <c r="EQ339" s="1116"/>
      <c r="ER339" s="1116"/>
      <c r="ES339" s="1116"/>
    </row>
    <row r="340" spans="1:149" ht="15" customHeight="1">
      <c r="A340" s="1185">
        <v>330</v>
      </c>
      <c r="B340" s="1041"/>
      <c r="C340" s="1050"/>
      <c r="D340" s="1050"/>
      <c r="E340" s="1050"/>
      <c r="F340" s="1049"/>
      <c r="G340" s="1049"/>
      <c r="H340" s="1049"/>
      <c r="I340" s="1049"/>
      <c r="J340" s="1050"/>
      <c r="K340" s="1050"/>
      <c r="L340" s="1043"/>
      <c r="M340" s="1051"/>
      <c r="N340" s="1051"/>
      <c r="O340" s="1052"/>
      <c r="P340" s="1051"/>
      <c r="Q340" s="1051"/>
      <c r="R340" s="1052"/>
      <c r="S340" s="1051"/>
      <c r="T340" s="1051"/>
      <c r="U340" s="1052"/>
      <c r="V340" s="1051"/>
      <c r="W340" s="1051"/>
      <c r="X340" s="1052"/>
      <c r="Y340" s="1053"/>
      <c r="Z340" s="1051"/>
      <c r="AA340" s="1051"/>
      <c r="AB340" s="1052"/>
      <c r="AC340" s="1051"/>
      <c r="AD340" s="1051"/>
      <c r="AE340" s="1052"/>
      <c r="AF340" s="1051"/>
      <c r="AG340" s="1051"/>
      <c r="AH340" s="1051"/>
      <c r="AI340" s="1051"/>
      <c r="AJ340" s="1052"/>
      <c r="AK340" s="1051"/>
      <c r="AL340" s="1051"/>
      <c r="AM340" s="1052"/>
      <c r="AN340" s="1051"/>
      <c r="AO340" s="1051"/>
      <c r="AP340" s="1052"/>
      <c r="AQ340" s="1051"/>
      <c r="AR340" s="1051"/>
      <c r="AS340" s="1052"/>
      <c r="AT340" s="1051"/>
      <c r="AU340" s="1051"/>
      <c r="AV340" s="1052"/>
      <c r="AW340" s="1051"/>
      <c r="AX340" s="1051"/>
      <c r="AY340" s="1053"/>
      <c r="AZ340" s="1051"/>
      <c r="BA340" s="1051"/>
      <c r="BB340" s="1053"/>
      <c r="BC340" s="1051"/>
      <c r="BD340" s="1051"/>
      <c r="BE340" s="1053"/>
      <c r="BF340" s="1051"/>
      <c r="BG340" s="1051"/>
      <c r="BH340" s="1053"/>
      <c r="BI340" s="1052"/>
      <c r="BJ340" s="1052"/>
      <c r="BK340" s="1052"/>
      <c r="BL340" s="1052"/>
      <c r="BM340" s="1052"/>
      <c r="BN340" s="1054"/>
      <c r="BO340" s="1076">
        <f t="shared" si="6"/>
        <v>0</v>
      </c>
      <c r="BP340" s="1051"/>
      <c r="BQ340" s="1052"/>
      <c r="BR340" s="1054"/>
      <c r="BS340" s="1053"/>
      <c r="BT340" s="1051"/>
      <c r="BU340" s="1051"/>
      <c r="BV340" s="1051"/>
      <c r="BW340" s="1052"/>
      <c r="BX340" s="1052"/>
      <c r="BY340" s="1052"/>
      <c r="BZ340" s="1052"/>
      <c r="CA340" s="1052"/>
      <c r="CB340" s="1053"/>
      <c r="CC340" s="1053"/>
      <c r="CD340" s="1053"/>
      <c r="CE340" s="1053"/>
      <c r="CF340" s="1053"/>
      <c r="CG340" s="1053"/>
      <c r="CH340" s="1053"/>
      <c r="CI340" s="1123"/>
      <c r="CJ340" s="1123"/>
      <c r="CK340" s="1123"/>
      <c r="CL340" s="1123"/>
      <c r="CM340" s="1123"/>
      <c r="CN340" s="1123"/>
      <c r="CO340" s="1123"/>
      <c r="CP340" s="1123"/>
      <c r="CQ340" s="1123"/>
      <c r="CR340" s="1123"/>
      <c r="CS340" s="1123"/>
      <c r="CT340" s="1123"/>
      <c r="CU340" s="1123"/>
      <c r="CV340" s="1123"/>
      <c r="CW340" s="1123"/>
      <c r="CX340" s="1123"/>
      <c r="CY340" s="1123"/>
      <c r="CZ340" s="1114"/>
      <c r="DA340" s="1114"/>
      <c r="DB340" s="1114"/>
      <c r="DC340" s="1114"/>
      <c r="DD340" s="1114"/>
      <c r="DE340" s="1114"/>
      <c r="DF340" s="1114"/>
      <c r="DG340" s="1114"/>
      <c r="DH340" s="1114"/>
      <c r="DI340" s="1114"/>
      <c r="DJ340" s="1114"/>
      <c r="DK340" s="1114"/>
      <c r="DL340" s="1114"/>
      <c r="DM340" s="1114"/>
      <c r="DN340" s="1114"/>
      <c r="DO340" s="1114"/>
      <c r="DP340" s="1114"/>
      <c r="DQ340" s="1114"/>
      <c r="DR340" s="1114"/>
      <c r="DS340" s="1114"/>
      <c r="DT340" s="1114"/>
      <c r="DU340" s="1114"/>
      <c r="DV340" s="1115"/>
      <c r="DW340" s="1116"/>
      <c r="DX340" s="1116"/>
      <c r="DY340" s="1116"/>
      <c r="DZ340" s="1116"/>
      <c r="EA340" s="1116"/>
      <c r="EB340" s="1116"/>
      <c r="EC340" s="1116"/>
      <c r="ED340" s="1116"/>
      <c r="EE340" s="1116"/>
      <c r="EF340" s="1116"/>
      <c r="EG340" s="1116"/>
      <c r="EH340" s="1116"/>
      <c r="EI340" s="1116"/>
      <c r="EJ340" s="1116"/>
      <c r="EK340" s="1116"/>
      <c r="EL340" s="1116"/>
      <c r="EM340" s="1116"/>
      <c r="EN340" s="1116"/>
      <c r="EO340" s="1116"/>
      <c r="EP340" s="1116"/>
      <c r="EQ340" s="1116"/>
      <c r="ER340" s="1116"/>
      <c r="ES340" s="1116"/>
    </row>
    <row r="341" spans="1:149" ht="15" customHeight="1">
      <c r="A341" s="1185">
        <v>331</v>
      </c>
      <c r="B341" s="1041"/>
      <c r="C341" s="1050"/>
      <c r="D341" s="1050"/>
      <c r="E341" s="1050"/>
      <c r="F341" s="1049"/>
      <c r="G341" s="1049"/>
      <c r="H341" s="1049"/>
      <c r="I341" s="1049"/>
      <c r="J341" s="1050"/>
      <c r="K341" s="1050"/>
      <c r="L341" s="1043"/>
      <c r="M341" s="1051"/>
      <c r="N341" s="1051"/>
      <c r="O341" s="1052"/>
      <c r="P341" s="1051"/>
      <c r="Q341" s="1051"/>
      <c r="R341" s="1052"/>
      <c r="S341" s="1051"/>
      <c r="T341" s="1051"/>
      <c r="U341" s="1052"/>
      <c r="V341" s="1051"/>
      <c r="W341" s="1051"/>
      <c r="X341" s="1052"/>
      <c r="Y341" s="1053"/>
      <c r="Z341" s="1051"/>
      <c r="AA341" s="1051"/>
      <c r="AB341" s="1052"/>
      <c r="AC341" s="1051"/>
      <c r="AD341" s="1051"/>
      <c r="AE341" s="1052"/>
      <c r="AF341" s="1051"/>
      <c r="AG341" s="1051"/>
      <c r="AH341" s="1051"/>
      <c r="AI341" s="1051"/>
      <c r="AJ341" s="1052"/>
      <c r="AK341" s="1051"/>
      <c r="AL341" s="1051"/>
      <c r="AM341" s="1052"/>
      <c r="AN341" s="1051"/>
      <c r="AO341" s="1051"/>
      <c r="AP341" s="1052"/>
      <c r="AQ341" s="1051"/>
      <c r="AR341" s="1051"/>
      <c r="AS341" s="1052"/>
      <c r="AT341" s="1051"/>
      <c r="AU341" s="1051"/>
      <c r="AV341" s="1052"/>
      <c r="AW341" s="1051"/>
      <c r="AX341" s="1051"/>
      <c r="AY341" s="1053"/>
      <c r="AZ341" s="1051"/>
      <c r="BA341" s="1051"/>
      <c r="BB341" s="1053"/>
      <c r="BC341" s="1051"/>
      <c r="BD341" s="1051"/>
      <c r="BE341" s="1053"/>
      <c r="BF341" s="1051"/>
      <c r="BG341" s="1051"/>
      <c r="BH341" s="1053"/>
      <c r="BI341" s="1052"/>
      <c r="BJ341" s="1052"/>
      <c r="BK341" s="1052"/>
      <c r="BL341" s="1052"/>
      <c r="BM341" s="1052"/>
      <c r="BN341" s="1054"/>
      <c r="BO341" s="1076">
        <f t="shared" si="6"/>
        <v>0</v>
      </c>
      <c r="BP341" s="1051"/>
      <c r="BQ341" s="1052"/>
      <c r="BR341" s="1054"/>
      <c r="BS341" s="1053"/>
      <c r="BT341" s="1051"/>
      <c r="BU341" s="1051"/>
      <c r="BV341" s="1051"/>
      <c r="BW341" s="1052"/>
      <c r="BX341" s="1052"/>
      <c r="BY341" s="1052"/>
      <c r="BZ341" s="1052"/>
      <c r="CA341" s="1052"/>
      <c r="CB341" s="1053"/>
      <c r="CC341" s="1053"/>
      <c r="CD341" s="1053"/>
      <c r="CE341" s="1053"/>
      <c r="CF341" s="1053"/>
      <c r="CG341" s="1053"/>
      <c r="CH341" s="1053"/>
      <c r="CI341" s="1123"/>
      <c r="CJ341" s="1123"/>
      <c r="CK341" s="1123"/>
      <c r="CL341" s="1123"/>
      <c r="CM341" s="1123"/>
      <c r="CN341" s="1123"/>
      <c r="CO341" s="1123"/>
      <c r="CP341" s="1123"/>
      <c r="CQ341" s="1123"/>
      <c r="CR341" s="1123"/>
      <c r="CS341" s="1123"/>
      <c r="CT341" s="1123"/>
      <c r="CU341" s="1123"/>
      <c r="CV341" s="1123"/>
      <c r="CW341" s="1123"/>
      <c r="CX341" s="1123"/>
      <c r="CY341" s="1123"/>
      <c r="CZ341" s="1114"/>
      <c r="DA341" s="1114"/>
      <c r="DB341" s="1114"/>
      <c r="DC341" s="1114"/>
      <c r="DD341" s="1114"/>
      <c r="DE341" s="1114"/>
      <c r="DF341" s="1114"/>
      <c r="DG341" s="1114"/>
      <c r="DH341" s="1114"/>
      <c r="DI341" s="1114"/>
      <c r="DJ341" s="1114"/>
      <c r="DK341" s="1114"/>
      <c r="DL341" s="1114"/>
      <c r="DM341" s="1114"/>
      <c r="DN341" s="1114"/>
      <c r="DO341" s="1114"/>
      <c r="DP341" s="1114"/>
      <c r="DQ341" s="1114"/>
      <c r="DR341" s="1114"/>
      <c r="DS341" s="1114"/>
      <c r="DT341" s="1114"/>
      <c r="DU341" s="1114"/>
      <c r="DV341" s="1115"/>
      <c r="DW341" s="1116"/>
      <c r="DX341" s="1116"/>
      <c r="DY341" s="1116"/>
      <c r="DZ341" s="1116"/>
      <c r="EA341" s="1116"/>
      <c r="EB341" s="1116"/>
      <c r="EC341" s="1116"/>
      <c r="ED341" s="1116"/>
      <c r="EE341" s="1116"/>
      <c r="EF341" s="1116"/>
      <c r="EG341" s="1116"/>
      <c r="EH341" s="1116"/>
      <c r="EI341" s="1116"/>
      <c r="EJ341" s="1116"/>
      <c r="EK341" s="1116"/>
      <c r="EL341" s="1116"/>
      <c r="EM341" s="1116"/>
      <c r="EN341" s="1116"/>
      <c r="EO341" s="1116"/>
      <c r="EP341" s="1116"/>
      <c r="EQ341" s="1116"/>
      <c r="ER341" s="1116"/>
      <c r="ES341" s="1116"/>
    </row>
    <row r="342" spans="1:149" ht="15" customHeight="1">
      <c r="A342" s="1185">
        <v>332</v>
      </c>
      <c r="B342" s="1041"/>
      <c r="C342" s="1050"/>
      <c r="D342" s="1050"/>
      <c r="E342" s="1050"/>
      <c r="F342" s="1049"/>
      <c r="G342" s="1049"/>
      <c r="H342" s="1049"/>
      <c r="I342" s="1049"/>
      <c r="J342" s="1050"/>
      <c r="K342" s="1050"/>
      <c r="L342" s="1043"/>
      <c r="M342" s="1051"/>
      <c r="N342" s="1051"/>
      <c r="O342" s="1052"/>
      <c r="P342" s="1051"/>
      <c r="Q342" s="1051"/>
      <c r="R342" s="1052"/>
      <c r="S342" s="1051"/>
      <c r="T342" s="1051"/>
      <c r="U342" s="1052"/>
      <c r="V342" s="1051"/>
      <c r="W342" s="1051"/>
      <c r="X342" s="1052"/>
      <c r="Y342" s="1053"/>
      <c r="Z342" s="1051"/>
      <c r="AA342" s="1051"/>
      <c r="AB342" s="1052"/>
      <c r="AC342" s="1051"/>
      <c r="AD342" s="1051"/>
      <c r="AE342" s="1052"/>
      <c r="AF342" s="1051"/>
      <c r="AG342" s="1051"/>
      <c r="AH342" s="1051"/>
      <c r="AI342" s="1051"/>
      <c r="AJ342" s="1052"/>
      <c r="AK342" s="1051"/>
      <c r="AL342" s="1051"/>
      <c r="AM342" s="1052"/>
      <c r="AN342" s="1051"/>
      <c r="AO342" s="1051"/>
      <c r="AP342" s="1052"/>
      <c r="AQ342" s="1051"/>
      <c r="AR342" s="1051"/>
      <c r="AS342" s="1052"/>
      <c r="AT342" s="1051"/>
      <c r="AU342" s="1051"/>
      <c r="AV342" s="1052"/>
      <c r="AW342" s="1051"/>
      <c r="AX342" s="1051"/>
      <c r="AY342" s="1053"/>
      <c r="AZ342" s="1051"/>
      <c r="BA342" s="1051"/>
      <c r="BB342" s="1053"/>
      <c r="BC342" s="1051"/>
      <c r="BD342" s="1051"/>
      <c r="BE342" s="1053"/>
      <c r="BF342" s="1051"/>
      <c r="BG342" s="1051"/>
      <c r="BH342" s="1053"/>
      <c r="BI342" s="1052"/>
      <c r="BJ342" s="1052"/>
      <c r="BK342" s="1052"/>
      <c r="BL342" s="1052"/>
      <c r="BM342" s="1052"/>
      <c r="BN342" s="1054"/>
      <c r="BO342" s="1076">
        <f t="shared" si="6"/>
        <v>0</v>
      </c>
      <c r="BP342" s="1051"/>
      <c r="BQ342" s="1052"/>
      <c r="BR342" s="1054"/>
      <c r="BS342" s="1053"/>
      <c r="BT342" s="1051"/>
      <c r="BU342" s="1051"/>
      <c r="BV342" s="1051"/>
      <c r="BW342" s="1052"/>
      <c r="BX342" s="1052"/>
      <c r="BY342" s="1052"/>
      <c r="BZ342" s="1052"/>
      <c r="CA342" s="1052"/>
      <c r="CB342" s="1053"/>
      <c r="CC342" s="1053"/>
      <c r="CD342" s="1053"/>
      <c r="CE342" s="1053"/>
      <c r="CF342" s="1053"/>
      <c r="CG342" s="1053"/>
      <c r="CH342" s="1053"/>
      <c r="CI342" s="1123"/>
      <c r="CJ342" s="1123"/>
      <c r="CK342" s="1123"/>
      <c r="CL342" s="1123"/>
      <c r="CM342" s="1123"/>
      <c r="CN342" s="1123"/>
      <c r="CO342" s="1123"/>
      <c r="CP342" s="1123"/>
      <c r="CQ342" s="1123"/>
      <c r="CR342" s="1123"/>
      <c r="CS342" s="1123"/>
      <c r="CT342" s="1123"/>
      <c r="CU342" s="1123"/>
      <c r="CV342" s="1123"/>
      <c r="CW342" s="1123"/>
      <c r="CX342" s="1123"/>
      <c r="CY342" s="1123"/>
      <c r="CZ342" s="1114"/>
      <c r="DA342" s="1114"/>
      <c r="DB342" s="1114"/>
      <c r="DC342" s="1114"/>
      <c r="DD342" s="1114"/>
      <c r="DE342" s="1114"/>
      <c r="DF342" s="1114"/>
      <c r="DG342" s="1114"/>
      <c r="DH342" s="1114"/>
      <c r="DI342" s="1114"/>
      <c r="DJ342" s="1114"/>
      <c r="DK342" s="1114"/>
      <c r="DL342" s="1114"/>
      <c r="DM342" s="1114"/>
      <c r="DN342" s="1114"/>
      <c r="DO342" s="1114"/>
      <c r="DP342" s="1114"/>
      <c r="DQ342" s="1114"/>
      <c r="DR342" s="1114"/>
      <c r="DS342" s="1114"/>
      <c r="DT342" s="1114"/>
      <c r="DU342" s="1114"/>
      <c r="DV342" s="1115"/>
      <c r="DW342" s="1116"/>
      <c r="DX342" s="1116"/>
      <c r="DY342" s="1116"/>
      <c r="DZ342" s="1116"/>
      <c r="EA342" s="1116"/>
      <c r="EB342" s="1116"/>
      <c r="EC342" s="1116"/>
      <c r="ED342" s="1116"/>
      <c r="EE342" s="1116"/>
      <c r="EF342" s="1116"/>
      <c r="EG342" s="1116"/>
      <c r="EH342" s="1116"/>
      <c r="EI342" s="1116"/>
      <c r="EJ342" s="1116"/>
      <c r="EK342" s="1116"/>
      <c r="EL342" s="1116"/>
      <c r="EM342" s="1116"/>
      <c r="EN342" s="1116"/>
      <c r="EO342" s="1116"/>
      <c r="EP342" s="1116"/>
      <c r="EQ342" s="1116"/>
      <c r="ER342" s="1116"/>
      <c r="ES342" s="1116"/>
    </row>
    <row r="343" spans="1:149" ht="15" customHeight="1">
      <c r="A343" s="1185">
        <v>333</v>
      </c>
      <c r="B343" s="1041"/>
      <c r="C343" s="1050"/>
      <c r="D343" s="1050"/>
      <c r="E343" s="1050"/>
      <c r="F343" s="1049"/>
      <c r="G343" s="1049"/>
      <c r="H343" s="1049"/>
      <c r="I343" s="1049"/>
      <c r="J343" s="1050"/>
      <c r="K343" s="1050"/>
      <c r="L343" s="1043"/>
      <c r="M343" s="1051"/>
      <c r="N343" s="1051"/>
      <c r="O343" s="1052"/>
      <c r="P343" s="1051"/>
      <c r="Q343" s="1051"/>
      <c r="R343" s="1052"/>
      <c r="S343" s="1051"/>
      <c r="T343" s="1051"/>
      <c r="U343" s="1052"/>
      <c r="V343" s="1051"/>
      <c r="W343" s="1051"/>
      <c r="X343" s="1052"/>
      <c r="Y343" s="1053"/>
      <c r="Z343" s="1051"/>
      <c r="AA343" s="1051"/>
      <c r="AB343" s="1052"/>
      <c r="AC343" s="1051"/>
      <c r="AD343" s="1051"/>
      <c r="AE343" s="1052"/>
      <c r="AF343" s="1051"/>
      <c r="AG343" s="1051"/>
      <c r="AH343" s="1051"/>
      <c r="AI343" s="1051"/>
      <c r="AJ343" s="1052"/>
      <c r="AK343" s="1051"/>
      <c r="AL343" s="1051"/>
      <c r="AM343" s="1052"/>
      <c r="AN343" s="1051"/>
      <c r="AO343" s="1051"/>
      <c r="AP343" s="1052"/>
      <c r="AQ343" s="1051"/>
      <c r="AR343" s="1051"/>
      <c r="AS343" s="1052"/>
      <c r="AT343" s="1051"/>
      <c r="AU343" s="1051"/>
      <c r="AV343" s="1052"/>
      <c r="AW343" s="1051"/>
      <c r="AX343" s="1051"/>
      <c r="AY343" s="1053"/>
      <c r="AZ343" s="1051"/>
      <c r="BA343" s="1051"/>
      <c r="BB343" s="1053"/>
      <c r="BC343" s="1051"/>
      <c r="BD343" s="1051"/>
      <c r="BE343" s="1053"/>
      <c r="BF343" s="1051"/>
      <c r="BG343" s="1051"/>
      <c r="BH343" s="1053"/>
      <c r="BI343" s="1052"/>
      <c r="BJ343" s="1052"/>
      <c r="BK343" s="1052"/>
      <c r="BL343" s="1052"/>
      <c r="BM343" s="1052"/>
      <c r="BN343" s="1054"/>
      <c r="BO343" s="1076">
        <f t="shared" si="6"/>
        <v>0</v>
      </c>
      <c r="BP343" s="1051"/>
      <c r="BQ343" s="1052"/>
      <c r="BR343" s="1054"/>
      <c r="BS343" s="1053"/>
      <c r="BT343" s="1051"/>
      <c r="BU343" s="1051"/>
      <c r="BV343" s="1051"/>
      <c r="BW343" s="1052"/>
      <c r="BX343" s="1052"/>
      <c r="BY343" s="1052"/>
      <c r="BZ343" s="1052"/>
      <c r="CA343" s="1052"/>
      <c r="CB343" s="1053"/>
      <c r="CC343" s="1053"/>
      <c r="CD343" s="1053"/>
      <c r="CE343" s="1053"/>
      <c r="CF343" s="1053"/>
      <c r="CG343" s="1053"/>
      <c r="CH343" s="1053"/>
      <c r="CI343" s="1123"/>
      <c r="CJ343" s="1123"/>
      <c r="CK343" s="1123"/>
      <c r="CL343" s="1123"/>
      <c r="CM343" s="1123"/>
      <c r="CN343" s="1123"/>
      <c r="CO343" s="1123"/>
      <c r="CP343" s="1123"/>
      <c r="CQ343" s="1123"/>
      <c r="CR343" s="1123"/>
      <c r="CS343" s="1123"/>
      <c r="CT343" s="1123"/>
      <c r="CU343" s="1123"/>
      <c r="CV343" s="1123"/>
      <c r="CW343" s="1123"/>
      <c r="CX343" s="1123"/>
      <c r="CY343" s="1123"/>
      <c r="CZ343" s="1114"/>
      <c r="DA343" s="1114"/>
      <c r="DB343" s="1114"/>
      <c r="DC343" s="1114"/>
      <c r="DD343" s="1114"/>
      <c r="DE343" s="1114"/>
      <c r="DF343" s="1114"/>
      <c r="DG343" s="1114"/>
      <c r="DH343" s="1114"/>
      <c r="DI343" s="1114"/>
      <c r="DJ343" s="1114"/>
      <c r="DK343" s="1114"/>
      <c r="DL343" s="1114"/>
      <c r="DM343" s="1114"/>
      <c r="DN343" s="1114"/>
      <c r="DO343" s="1114"/>
      <c r="DP343" s="1114"/>
      <c r="DQ343" s="1114"/>
      <c r="DR343" s="1114"/>
      <c r="DS343" s="1114"/>
      <c r="DT343" s="1114"/>
      <c r="DU343" s="1114"/>
      <c r="DV343" s="1115"/>
      <c r="DW343" s="1116"/>
      <c r="DX343" s="1116"/>
      <c r="DY343" s="1116"/>
      <c r="DZ343" s="1116"/>
      <c r="EA343" s="1116"/>
      <c r="EB343" s="1116"/>
      <c r="EC343" s="1116"/>
      <c r="ED343" s="1116"/>
      <c r="EE343" s="1116"/>
      <c r="EF343" s="1116"/>
      <c r="EG343" s="1116"/>
      <c r="EH343" s="1116"/>
      <c r="EI343" s="1116"/>
      <c r="EJ343" s="1116"/>
      <c r="EK343" s="1116"/>
      <c r="EL343" s="1116"/>
      <c r="EM343" s="1116"/>
      <c r="EN343" s="1116"/>
      <c r="EO343" s="1116"/>
      <c r="EP343" s="1116"/>
      <c r="EQ343" s="1116"/>
      <c r="ER343" s="1116"/>
      <c r="ES343" s="1116"/>
    </row>
    <row r="344" spans="1:149" ht="15" customHeight="1">
      <c r="A344" s="1185">
        <v>334</v>
      </c>
      <c r="B344" s="1041"/>
      <c r="C344" s="1050"/>
      <c r="D344" s="1050"/>
      <c r="E344" s="1050"/>
      <c r="F344" s="1049"/>
      <c r="G344" s="1049"/>
      <c r="H344" s="1049"/>
      <c r="I344" s="1049"/>
      <c r="J344" s="1050"/>
      <c r="K344" s="1050"/>
      <c r="L344" s="1043"/>
      <c r="M344" s="1051"/>
      <c r="N344" s="1051"/>
      <c r="O344" s="1052"/>
      <c r="P344" s="1051"/>
      <c r="Q344" s="1051"/>
      <c r="R344" s="1052"/>
      <c r="S344" s="1051"/>
      <c r="T344" s="1051"/>
      <c r="U344" s="1052"/>
      <c r="V344" s="1051"/>
      <c r="W344" s="1051"/>
      <c r="X344" s="1052"/>
      <c r="Y344" s="1053"/>
      <c r="Z344" s="1051"/>
      <c r="AA344" s="1051"/>
      <c r="AB344" s="1052"/>
      <c r="AC344" s="1051"/>
      <c r="AD344" s="1051"/>
      <c r="AE344" s="1052"/>
      <c r="AF344" s="1051"/>
      <c r="AG344" s="1051"/>
      <c r="AH344" s="1051"/>
      <c r="AI344" s="1051"/>
      <c r="AJ344" s="1052"/>
      <c r="AK344" s="1051"/>
      <c r="AL344" s="1051"/>
      <c r="AM344" s="1052"/>
      <c r="AN344" s="1051"/>
      <c r="AO344" s="1051"/>
      <c r="AP344" s="1052"/>
      <c r="AQ344" s="1051"/>
      <c r="AR344" s="1051"/>
      <c r="AS344" s="1052"/>
      <c r="AT344" s="1051"/>
      <c r="AU344" s="1051"/>
      <c r="AV344" s="1052"/>
      <c r="AW344" s="1051"/>
      <c r="AX344" s="1051"/>
      <c r="AY344" s="1053"/>
      <c r="AZ344" s="1051"/>
      <c r="BA344" s="1051"/>
      <c r="BB344" s="1053"/>
      <c r="BC344" s="1051"/>
      <c r="BD344" s="1051"/>
      <c r="BE344" s="1053"/>
      <c r="BF344" s="1051"/>
      <c r="BG344" s="1051"/>
      <c r="BH344" s="1053"/>
      <c r="BI344" s="1052"/>
      <c r="BJ344" s="1052"/>
      <c r="BK344" s="1052"/>
      <c r="BL344" s="1052"/>
      <c r="BM344" s="1052"/>
      <c r="BN344" s="1054"/>
      <c r="BO344" s="1076">
        <f t="shared" si="6"/>
        <v>0</v>
      </c>
      <c r="BP344" s="1051"/>
      <c r="BQ344" s="1052"/>
      <c r="BR344" s="1054"/>
      <c r="BS344" s="1053"/>
      <c r="BT344" s="1051"/>
      <c r="BU344" s="1051"/>
      <c r="BV344" s="1051"/>
      <c r="BW344" s="1052"/>
      <c r="BX344" s="1052"/>
      <c r="BY344" s="1052"/>
      <c r="BZ344" s="1052"/>
      <c r="CA344" s="1052"/>
      <c r="CB344" s="1053"/>
      <c r="CC344" s="1053"/>
      <c r="CD344" s="1053"/>
      <c r="CE344" s="1053"/>
      <c r="CF344" s="1053"/>
      <c r="CG344" s="1053"/>
      <c r="CH344" s="1053"/>
      <c r="CI344" s="1123"/>
      <c r="CJ344" s="1123"/>
      <c r="CK344" s="1123"/>
      <c r="CL344" s="1123"/>
      <c r="CM344" s="1123"/>
      <c r="CN344" s="1123"/>
      <c r="CO344" s="1123"/>
      <c r="CP344" s="1123"/>
      <c r="CQ344" s="1123"/>
      <c r="CR344" s="1123"/>
      <c r="CS344" s="1123"/>
      <c r="CT344" s="1123"/>
      <c r="CU344" s="1123"/>
      <c r="CV344" s="1123"/>
      <c r="CW344" s="1123"/>
      <c r="CX344" s="1123"/>
      <c r="CY344" s="1123"/>
      <c r="CZ344" s="1114"/>
      <c r="DA344" s="1114"/>
      <c r="DB344" s="1114"/>
      <c r="DC344" s="1114"/>
      <c r="DD344" s="1114"/>
      <c r="DE344" s="1114"/>
      <c r="DF344" s="1114"/>
      <c r="DG344" s="1114"/>
      <c r="DH344" s="1114"/>
      <c r="DI344" s="1114"/>
      <c r="DJ344" s="1114"/>
      <c r="DK344" s="1114"/>
      <c r="DL344" s="1114"/>
      <c r="DM344" s="1114"/>
      <c r="DN344" s="1114"/>
      <c r="DO344" s="1114"/>
      <c r="DP344" s="1114"/>
      <c r="DQ344" s="1114"/>
      <c r="DR344" s="1114"/>
      <c r="DS344" s="1114"/>
      <c r="DT344" s="1114"/>
      <c r="DU344" s="1114"/>
      <c r="DV344" s="1115"/>
      <c r="DW344" s="1116"/>
      <c r="DX344" s="1116"/>
      <c r="DY344" s="1116"/>
      <c r="DZ344" s="1116"/>
      <c r="EA344" s="1116"/>
      <c r="EB344" s="1116"/>
      <c r="EC344" s="1116"/>
      <c r="ED344" s="1116"/>
      <c r="EE344" s="1116"/>
      <c r="EF344" s="1116"/>
      <c r="EG344" s="1116"/>
      <c r="EH344" s="1116"/>
      <c r="EI344" s="1116"/>
      <c r="EJ344" s="1116"/>
      <c r="EK344" s="1116"/>
      <c r="EL344" s="1116"/>
      <c r="EM344" s="1116"/>
      <c r="EN344" s="1116"/>
      <c r="EO344" s="1116"/>
      <c r="EP344" s="1116"/>
      <c r="EQ344" s="1116"/>
      <c r="ER344" s="1116"/>
      <c r="ES344" s="1116"/>
    </row>
    <row r="345" spans="1:149" ht="15" customHeight="1">
      <c r="A345" s="1185">
        <v>335</v>
      </c>
      <c r="B345" s="1041"/>
      <c r="C345" s="1050"/>
      <c r="D345" s="1050"/>
      <c r="E345" s="1050"/>
      <c r="F345" s="1049"/>
      <c r="G345" s="1049"/>
      <c r="H345" s="1049"/>
      <c r="I345" s="1049"/>
      <c r="J345" s="1050"/>
      <c r="K345" s="1050"/>
      <c r="L345" s="1043"/>
      <c r="M345" s="1051"/>
      <c r="N345" s="1051"/>
      <c r="O345" s="1052"/>
      <c r="P345" s="1051"/>
      <c r="Q345" s="1051"/>
      <c r="R345" s="1052"/>
      <c r="S345" s="1051"/>
      <c r="T345" s="1051"/>
      <c r="U345" s="1052"/>
      <c r="V345" s="1051"/>
      <c r="W345" s="1051"/>
      <c r="X345" s="1052"/>
      <c r="Y345" s="1053"/>
      <c r="Z345" s="1051"/>
      <c r="AA345" s="1051"/>
      <c r="AB345" s="1052"/>
      <c r="AC345" s="1051"/>
      <c r="AD345" s="1051"/>
      <c r="AE345" s="1052"/>
      <c r="AF345" s="1051"/>
      <c r="AG345" s="1051"/>
      <c r="AH345" s="1051"/>
      <c r="AI345" s="1051"/>
      <c r="AJ345" s="1052"/>
      <c r="AK345" s="1051"/>
      <c r="AL345" s="1051"/>
      <c r="AM345" s="1052"/>
      <c r="AN345" s="1051"/>
      <c r="AO345" s="1051"/>
      <c r="AP345" s="1052"/>
      <c r="AQ345" s="1051"/>
      <c r="AR345" s="1051"/>
      <c r="AS345" s="1052"/>
      <c r="AT345" s="1051"/>
      <c r="AU345" s="1051"/>
      <c r="AV345" s="1052"/>
      <c r="AW345" s="1051"/>
      <c r="AX345" s="1051"/>
      <c r="AY345" s="1053"/>
      <c r="AZ345" s="1051"/>
      <c r="BA345" s="1051"/>
      <c r="BB345" s="1053"/>
      <c r="BC345" s="1051"/>
      <c r="BD345" s="1051"/>
      <c r="BE345" s="1053"/>
      <c r="BF345" s="1051"/>
      <c r="BG345" s="1051"/>
      <c r="BH345" s="1053"/>
      <c r="BI345" s="1052"/>
      <c r="BJ345" s="1052"/>
      <c r="BK345" s="1052"/>
      <c r="BL345" s="1052"/>
      <c r="BM345" s="1052"/>
      <c r="BN345" s="1054"/>
      <c r="BO345" s="1076">
        <f t="shared" si="6"/>
        <v>0</v>
      </c>
      <c r="BP345" s="1051"/>
      <c r="BQ345" s="1052"/>
      <c r="BR345" s="1054"/>
      <c r="BS345" s="1053"/>
      <c r="BT345" s="1051"/>
      <c r="BU345" s="1051"/>
      <c r="BV345" s="1051"/>
      <c r="BW345" s="1052"/>
      <c r="BX345" s="1052"/>
      <c r="BY345" s="1052"/>
      <c r="BZ345" s="1052"/>
      <c r="CA345" s="1052"/>
      <c r="CB345" s="1053"/>
      <c r="CC345" s="1053"/>
      <c r="CD345" s="1053"/>
      <c r="CE345" s="1053"/>
      <c r="CF345" s="1053"/>
      <c r="CG345" s="1053"/>
      <c r="CH345" s="1053"/>
      <c r="CI345" s="1123"/>
      <c r="CJ345" s="1123"/>
      <c r="CK345" s="1123"/>
      <c r="CL345" s="1123"/>
      <c r="CM345" s="1123"/>
      <c r="CN345" s="1123"/>
      <c r="CO345" s="1123"/>
      <c r="CP345" s="1123"/>
      <c r="CQ345" s="1123"/>
      <c r="CR345" s="1123"/>
      <c r="CS345" s="1123"/>
      <c r="CT345" s="1123"/>
      <c r="CU345" s="1123"/>
      <c r="CV345" s="1123"/>
      <c r="CW345" s="1123"/>
      <c r="CX345" s="1123"/>
      <c r="CY345" s="1123"/>
      <c r="CZ345" s="1114"/>
      <c r="DA345" s="1114"/>
      <c r="DB345" s="1114"/>
      <c r="DC345" s="1114"/>
      <c r="DD345" s="1114"/>
      <c r="DE345" s="1114"/>
      <c r="DF345" s="1114"/>
      <c r="DG345" s="1114"/>
      <c r="DH345" s="1114"/>
      <c r="DI345" s="1114"/>
      <c r="DJ345" s="1114"/>
      <c r="DK345" s="1114"/>
      <c r="DL345" s="1114"/>
      <c r="DM345" s="1114"/>
      <c r="DN345" s="1114"/>
      <c r="DO345" s="1114"/>
      <c r="DP345" s="1114"/>
      <c r="DQ345" s="1114"/>
      <c r="DR345" s="1114"/>
      <c r="DS345" s="1114"/>
      <c r="DT345" s="1114"/>
      <c r="DU345" s="1114"/>
      <c r="DV345" s="1115"/>
      <c r="DW345" s="1116"/>
      <c r="DX345" s="1116"/>
      <c r="DY345" s="1116"/>
      <c r="DZ345" s="1116"/>
      <c r="EA345" s="1116"/>
      <c r="EB345" s="1116"/>
      <c r="EC345" s="1116"/>
      <c r="ED345" s="1116"/>
      <c r="EE345" s="1116"/>
      <c r="EF345" s="1116"/>
      <c r="EG345" s="1116"/>
      <c r="EH345" s="1116"/>
      <c r="EI345" s="1116"/>
      <c r="EJ345" s="1116"/>
      <c r="EK345" s="1116"/>
      <c r="EL345" s="1116"/>
      <c r="EM345" s="1116"/>
      <c r="EN345" s="1116"/>
      <c r="EO345" s="1116"/>
      <c r="EP345" s="1116"/>
      <c r="EQ345" s="1116"/>
      <c r="ER345" s="1116"/>
      <c r="ES345" s="1116"/>
    </row>
    <row r="346" spans="1:149" ht="15" customHeight="1">
      <c r="A346" s="1185">
        <v>336</v>
      </c>
      <c r="B346" s="1041"/>
      <c r="C346" s="1050"/>
      <c r="D346" s="1050"/>
      <c r="E346" s="1050"/>
      <c r="F346" s="1049"/>
      <c r="G346" s="1049"/>
      <c r="H346" s="1049"/>
      <c r="I346" s="1049"/>
      <c r="J346" s="1050"/>
      <c r="K346" s="1050"/>
      <c r="L346" s="1043"/>
      <c r="M346" s="1051"/>
      <c r="N346" s="1051"/>
      <c r="O346" s="1052"/>
      <c r="P346" s="1051"/>
      <c r="Q346" s="1051"/>
      <c r="R346" s="1052"/>
      <c r="S346" s="1051"/>
      <c r="T346" s="1051"/>
      <c r="U346" s="1052"/>
      <c r="V346" s="1051"/>
      <c r="W346" s="1051"/>
      <c r="X346" s="1052"/>
      <c r="Y346" s="1053"/>
      <c r="Z346" s="1051"/>
      <c r="AA346" s="1051"/>
      <c r="AB346" s="1052"/>
      <c r="AC346" s="1051"/>
      <c r="AD346" s="1051"/>
      <c r="AE346" s="1052"/>
      <c r="AF346" s="1051"/>
      <c r="AG346" s="1051"/>
      <c r="AH346" s="1051"/>
      <c r="AI346" s="1051"/>
      <c r="AJ346" s="1052"/>
      <c r="AK346" s="1051"/>
      <c r="AL346" s="1051"/>
      <c r="AM346" s="1052"/>
      <c r="AN346" s="1051"/>
      <c r="AO346" s="1051"/>
      <c r="AP346" s="1052"/>
      <c r="AQ346" s="1051"/>
      <c r="AR346" s="1051"/>
      <c r="AS346" s="1052"/>
      <c r="AT346" s="1051"/>
      <c r="AU346" s="1051"/>
      <c r="AV346" s="1052"/>
      <c r="AW346" s="1051"/>
      <c r="AX346" s="1051"/>
      <c r="AY346" s="1053"/>
      <c r="AZ346" s="1051"/>
      <c r="BA346" s="1051"/>
      <c r="BB346" s="1053"/>
      <c r="BC346" s="1051"/>
      <c r="BD346" s="1051"/>
      <c r="BE346" s="1053"/>
      <c r="BF346" s="1051"/>
      <c r="BG346" s="1051"/>
      <c r="BH346" s="1053"/>
      <c r="BI346" s="1052"/>
      <c r="BJ346" s="1052"/>
      <c r="BK346" s="1052"/>
      <c r="BL346" s="1052"/>
      <c r="BM346" s="1052"/>
      <c r="BN346" s="1054"/>
      <c r="BO346" s="1076">
        <f t="shared" si="6"/>
        <v>0</v>
      </c>
      <c r="BP346" s="1051"/>
      <c r="BQ346" s="1052"/>
      <c r="BR346" s="1054"/>
      <c r="BS346" s="1053"/>
      <c r="BT346" s="1051"/>
      <c r="BU346" s="1051"/>
      <c r="BV346" s="1051"/>
      <c r="BW346" s="1052"/>
      <c r="BX346" s="1052"/>
      <c r="BY346" s="1052"/>
      <c r="BZ346" s="1052"/>
      <c r="CA346" s="1052"/>
      <c r="CB346" s="1053"/>
      <c r="CC346" s="1053"/>
      <c r="CD346" s="1053"/>
      <c r="CE346" s="1053"/>
      <c r="CF346" s="1053"/>
      <c r="CG346" s="1053"/>
      <c r="CH346" s="1053"/>
      <c r="CI346" s="1123"/>
      <c r="CJ346" s="1123"/>
      <c r="CK346" s="1123"/>
      <c r="CL346" s="1123"/>
      <c r="CM346" s="1123"/>
      <c r="CN346" s="1123"/>
      <c r="CO346" s="1123"/>
      <c r="CP346" s="1123"/>
      <c r="CQ346" s="1123"/>
      <c r="CR346" s="1123"/>
      <c r="CS346" s="1123"/>
      <c r="CT346" s="1123"/>
      <c r="CU346" s="1123"/>
      <c r="CV346" s="1123"/>
      <c r="CW346" s="1123"/>
      <c r="CX346" s="1123"/>
      <c r="CY346" s="1123"/>
      <c r="CZ346" s="1114"/>
      <c r="DA346" s="1114"/>
      <c r="DB346" s="1114"/>
      <c r="DC346" s="1114"/>
      <c r="DD346" s="1114"/>
      <c r="DE346" s="1114"/>
      <c r="DF346" s="1114"/>
      <c r="DG346" s="1114"/>
      <c r="DH346" s="1114"/>
      <c r="DI346" s="1114"/>
      <c r="DJ346" s="1114"/>
      <c r="DK346" s="1114"/>
      <c r="DL346" s="1114"/>
      <c r="DM346" s="1114"/>
      <c r="DN346" s="1114"/>
      <c r="DO346" s="1114"/>
      <c r="DP346" s="1114"/>
      <c r="DQ346" s="1114"/>
      <c r="DR346" s="1114"/>
      <c r="DS346" s="1114"/>
      <c r="DT346" s="1114"/>
      <c r="DU346" s="1114"/>
      <c r="DV346" s="1115"/>
      <c r="DW346" s="1116"/>
      <c r="DX346" s="1116"/>
      <c r="DY346" s="1116"/>
      <c r="DZ346" s="1116"/>
      <c r="EA346" s="1116"/>
      <c r="EB346" s="1116"/>
      <c r="EC346" s="1116"/>
      <c r="ED346" s="1116"/>
      <c r="EE346" s="1116"/>
      <c r="EF346" s="1116"/>
      <c r="EG346" s="1116"/>
      <c r="EH346" s="1116"/>
      <c r="EI346" s="1116"/>
      <c r="EJ346" s="1116"/>
      <c r="EK346" s="1116"/>
      <c r="EL346" s="1116"/>
      <c r="EM346" s="1116"/>
      <c r="EN346" s="1116"/>
      <c r="EO346" s="1116"/>
      <c r="EP346" s="1116"/>
      <c r="EQ346" s="1116"/>
      <c r="ER346" s="1116"/>
      <c r="ES346" s="1116"/>
    </row>
    <row r="347" spans="1:149" ht="15" customHeight="1">
      <c r="A347" s="1185">
        <v>337</v>
      </c>
      <c r="B347" s="1041"/>
      <c r="C347" s="1050"/>
      <c r="D347" s="1050"/>
      <c r="E347" s="1050"/>
      <c r="F347" s="1049"/>
      <c r="G347" s="1049"/>
      <c r="H347" s="1049"/>
      <c r="I347" s="1049"/>
      <c r="J347" s="1050"/>
      <c r="K347" s="1050"/>
      <c r="L347" s="1043"/>
      <c r="M347" s="1051"/>
      <c r="N347" s="1051"/>
      <c r="O347" s="1052"/>
      <c r="P347" s="1051"/>
      <c r="Q347" s="1051"/>
      <c r="R347" s="1052"/>
      <c r="S347" s="1051"/>
      <c r="T347" s="1051"/>
      <c r="U347" s="1052"/>
      <c r="V347" s="1051"/>
      <c r="W347" s="1051"/>
      <c r="X347" s="1052"/>
      <c r="Y347" s="1053"/>
      <c r="Z347" s="1051"/>
      <c r="AA347" s="1051"/>
      <c r="AB347" s="1052"/>
      <c r="AC347" s="1051"/>
      <c r="AD347" s="1051"/>
      <c r="AE347" s="1052"/>
      <c r="AF347" s="1051"/>
      <c r="AG347" s="1051"/>
      <c r="AH347" s="1051"/>
      <c r="AI347" s="1051"/>
      <c r="AJ347" s="1052"/>
      <c r="AK347" s="1051"/>
      <c r="AL347" s="1051"/>
      <c r="AM347" s="1052"/>
      <c r="AN347" s="1051"/>
      <c r="AO347" s="1051"/>
      <c r="AP347" s="1052"/>
      <c r="AQ347" s="1051"/>
      <c r="AR347" s="1051"/>
      <c r="AS347" s="1052"/>
      <c r="AT347" s="1051"/>
      <c r="AU347" s="1051"/>
      <c r="AV347" s="1052"/>
      <c r="AW347" s="1051"/>
      <c r="AX347" s="1051"/>
      <c r="AY347" s="1053"/>
      <c r="AZ347" s="1051"/>
      <c r="BA347" s="1051"/>
      <c r="BB347" s="1053"/>
      <c r="BC347" s="1051"/>
      <c r="BD347" s="1051"/>
      <c r="BE347" s="1053"/>
      <c r="BF347" s="1051"/>
      <c r="BG347" s="1051"/>
      <c r="BH347" s="1053"/>
      <c r="BI347" s="1052"/>
      <c r="BJ347" s="1052"/>
      <c r="BK347" s="1052"/>
      <c r="BL347" s="1052"/>
      <c r="BM347" s="1052"/>
      <c r="BN347" s="1054"/>
      <c r="BO347" s="1076">
        <f t="shared" si="6"/>
        <v>0</v>
      </c>
      <c r="BP347" s="1051"/>
      <c r="BQ347" s="1052"/>
      <c r="BR347" s="1054"/>
      <c r="BS347" s="1053"/>
      <c r="BT347" s="1051"/>
      <c r="BU347" s="1051"/>
      <c r="BV347" s="1051"/>
      <c r="BW347" s="1052"/>
      <c r="BX347" s="1052"/>
      <c r="BY347" s="1052"/>
      <c r="BZ347" s="1052"/>
      <c r="CA347" s="1052"/>
      <c r="CB347" s="1053"/>
      <c r="CC347" s="1053"/>
      <c r="CD347" s="1053"/>
      <c r="CE347" s="1053"/>
      <c r="CF347" s="1053"/>
      <c r="CG347" s="1053"/>
      <c r="CH347" s="1053"/>
      <c r="CI347" s="1123"/>
      <c r="CJ347" s="1123"/>
      <c r="CK347" s="1123"/>
      <c r="CL347" s="1123"/>
      <c r="CM347" s="1123"/>
      <c r="CN347" s="1123"/>
      <c r="CO347" s="1123"/>
      <c r="CP347" s="1123"/>
      <c r="CQ347" s="1123"/>
      <c r="CR347" s="1123"/>
      <c r="CS347" s="1123"/>
      <c r="CT347" s="1123"/>
      <c r="CU347" s="1123"/>
      <c r="CV347" s="1123"/>
      <c r="CW347" s="1123"/>
      <c r="CX347" s="1123"/>
      <c r="CY347" s="1123"/>
      <c r="CZ347" s="1114"/>
      <c r="DA347" s="1114"/>
      <c r="DB347" s="1114"/>
      <c r="DC347" s="1114"/>
      <c r="DD347" s="1114"/>
      <c r="DE347" s="1114"/>
      <c r="DF347" s="1114"/>
      <c r="DG347" s="1114"/>
      <c r="DH347" s="1114"/>
      <c r="DI347" s="1114"/>
      <c r="DJ347" s="1114"/>
      <c r="DK347" s="1114"/>
      <c r="DL347" s="1114"/>
      <c r="DM347" s="1114"/>
      <c r="DN347" s="1114"/>
      <c r="DO347" s="1114"/>
      <c r="DP347" s="1114"/>
      <c r="DQ347" s="1114"/>
      <c r="DR347" s="1114"/>
      <c r="DS347" s="1114"/>
      <c r="DT347" s="1114"/>
      <c r="DU347" s="1114"/>
      <c r="DV347" s="1115"/>
      <c r="DW347" s="1116"/>
      <c r="DX347" s="1116"/>
      <c r="DY347" s="1116"/>
      <c r="DZ347" s="1116"/>
      <c r="EA347" s="1116"/>
      <c r="EB347" s="1116"/>
      <c r="EC347" s="1116"/>
      <c r="ED347" s="1116"/>
      <c r="EE347" s="1116"/>
      <c r="EF347" s="1116"/>
      <c r="EG347" s="1116"/>
      <c r="EH347" s="1116"/>
      <c r="EI347" s="1116"/>
      <c r="EJ347" s="1116"/>
      <c r="EK347" s="1116"/>
      <c r="EL347" s="1116"/>
      <c r="EM347" s="1116"/>
      <c r="EN347" s="1116"/>
      <c r="EO347" s="1116"/>
      <c r="EP347" s="1116"/>
      <c r="EQ347" s="1116"/>
      <c r="ER347" s="1116"/>
      <c r="ES347" s="1116"/>
    </row>
    <row r="348" spans="1:149" ht="15" customHeight="1">
      <c r="A348" s="1185">
        <v>338</v>
      </c>
      <c r="B348" s="1041"/>
      <c r="C348" s="1050"/>
      <c r="D348" s="1050"/>
      <c r="E348" s="1050"/>
      <c r="F348" s="1049"/>
      <c r="G348" s="1049"/>
      <c r="H348" s="1049"/>
      <c r="I348" s="1049"/>
      <c r="J348" s="1050"/>
      <c r="K348" s="1050"/>
      <c r="L348" s="1043"/>
      <c r="M348" s="1051"/>
      <c r="N348" s="1051"/>
      <c r="O348" s="1052"/>
      <c r="P348" s="1051"/>
      <c r="Q348" s="1051"/>
      <c r="R348" s="1052"/>
      <c r="S348" s="1051"/>
      <c r="T348" s="1051"/>
      <c r="U348" s="1052"/>
      <c r="V348" s="1051"/>
      <c r="W348" s="1051"/>
      <c r="X348" s="1052"/>
      <c r="Y348" s="1053"/>
      <c r="Z348" s="1051"/>
      <c r="AA348" s="1051"/>
      <c r="AB348" s="1052"/>
      <c r="AC348" s="1051"/>
      <c r="AD348" s="1051"/>
      <c r="AE348" s="1052"/>
      <c r="AF348" s="1051"/>
      <c r="AG348" s="1051"/>
      <c r="AH348" s="1051"/>
      <c r="AI348" s="1051"/>
      <c r="AJ348" s="1052"/>
      <c r="AK348" s="1051"/>
      <c r="AL348" s="1051"/>
      <c r="AM348" s="1052"/>
      <c r="AN348" s="1051"/>
      <c r="AO348" s="1051"/>
      <c r="AP348" s="1052"/>
      <c r="AQ348" s="1051"/>
      <c r="AR348" s="1051"/>
      <c r="AS348" s="1052"/>
      <c r="AT348" s="1051"/>
      <c r="AU348" s="1051"/>
      <c r="AV348" s="1052"/>
      <c r="AW348" s="1051"/>
      <c r="AX348" s="1051"/>
      <c r="AY348" s="1053"/>
      <c r="AZ348" s="1051"/>
      <c r="BA348" s="1051"/>
      <c r="BB348" s="1053"/>
      <c r="BC348" s="1051"/>
      <c r="BD348" s="1051"/>
      <c r="BE348" s="1053"/>
      <c r="BF348" s="1051"/>
      <c r="BG348" s="1051"/>
      <c r="BH348" s="1053"/>
      <c r="BI348" s="1052"/>
      <c r="BJ348" s="1052"/>
      <c r="BK348" s="1052"/>
      <c r="BL348" s="1052"/>
      <c r="BM348" s="1052"/>
      <c r="BN348" s="1054"/>
      <c r="BO348" s="1076">
        <f t="shared" si="6"/>
        <v>0</v>
      </c>
      <c r="BP348" s="1051"/>
      <c r="BQ348" s="1052"/>
      <c r="BR348" s="1054"/>
      <c r="BS348" s="1053"/>
      <c r="BT348" s="1051"/>
      <c r="BU348" s="1051"/>
      <c r="BV348" s="1051"/>
      <c r="BW348" s="1052"/>
      <c r="BX348" s="1052"/>
      <c r="BY348" s="1052"/>
      <c r="BZ348" s="1052"/>
      <c r="CA348" s="1052"/>
      <c r="CB348" s="1053"/>
      <c r="CC348" s="1053"/>
      <c r="CD348" s="1053"/>
      <c r="CE348" s="1053"/>
      <c r="CF348" s="1053"/>
      <c r="CG348" s="1053"/>
      <c r="CH348" s="1053"/>
      <c r="CI348" s="1123"/>
      <c r="CJ348" s="1123"/>
      <c r="CK348" s="1123"/>
      <c r="CL348" s="1123"/>
      <c r="CM348" s="1123"/>
      <c r="CN348" s="1123"/>
      <c r="CO348" s="1123"/>
      <c r="CP348" s="1123"/>
      <c r="CQ348" s="1123"/>
      <c r="CR348" s="1123"/>
      <c r="CS348" s="1123"/>
      <c r="CT348" s="1123"/>
      <c r="CU348" s="1123"/>
      <c r="CV348" s="1123"/>
      <c r="CW348" s="1123"/>
      <c r="CX348" s="1123"/>
      <c r="CY348" s="1123"/>
      <c r="CZ348" s="1114"/>
      <c r="DA348" s="1114"/>
      <c r="DB348" s="1114"/>
      <c r="DC348" s="1114"/>
      <c r="DD348" s="1114"/>
      <c r="DE348" s="1114"/>
      <c r="DF348" s="1114"/>
      <c r="DG348" s="1114"/>
      <c r="DH348" s="1114"/>
      <c r="DI348" s="1114"/>
      <c r="DJ348" s="1114"/>
      <c r="DK348" s="1114"/>
      <c r="DL348" s="1114"/>
      <c r="DM348" s="1114"/>
      <c r="DN348" s="1114"/>
      <c r="DO348" s="1114"/>
      <c r="DP348" s="1114"/>
      <c r="DQ348" s="1114"/>
      <c r="DR348" s="1114"/>
      <c r="DS348" s="1114"/>
      <c r="DT348" s="1114"/>
      <c r="DU348" s="1114"/>
      <c r="DV348" s="1115"/>
      <c r="DW348" s="1116"/>
      <c r="DX348" s="1116"/>
      <c r="DY348" s="1116"/>
      <c r="DZ348" s="1116"/>
      <c r="EA348" s="1116"/>
      <c r="EB348" s="1116"/>
      <c r="EC348" s="1116"/>
      <c r="ED348" s="1116"/>
      <c r="EE348" s="1116"/>
      <c r="EF348" s="1116"/>
      <c r="EG348" s="1116"/>
      <c r="EH348" s="1116"/>
      <c r="EI348" s="1116"/>
      <c r="EJ348" s="1116"/>
      <c r="EK348" s="1116"/>
      <c r="EL348" s="1116"/>
      <c r="EM348" s="1116"/>
      <c r="EN348" s="1116"/>
      <c r="EO348" s="1116"/>
      <c r="EP348" s="1116"/>
      <c r="EQ348" s="1116"/>
      <c r="ER348" s="1116"/>
      <c r="ES348" s="1116"/>
    </row>
    <row r="349" spans="1:149" ht="15" customHeight="1">
      <c r="A349" s="1185">
        <v>339</v>
      </c>
      <c r="B349" s="1041"/>
      <c r="C349" s="1050"/>
      <c r="D349" s="1050"/>
      <c r="E349" s="1050"/>
      <c r="F349" s="1049"/>
      <c r="G349" s="1049"/>
      <c r="H349" s="1049"/>
      <c r="I349" s="1049"/>
      <c r="J349" s="1050"/>
      <c r="K349" s="1050"/>
      <c r="L349" s="1043"/>
      <c r="M349" s="1051"/>
      <c r="N349" s="1051"/>
      <c r="O349" s="1052"/>
      <c r="P349" s="1051"/>
      <c r="Q349" s="1051"/>
      <c r="R349" s="1052"/>
      <c r="S349" s="1051"/>
      <c r="T349" s="1051"/>
      <c r="U349" s="1052"/>
      <c r="V349" s="1051"/>
      <c r="W349" s="1051"/>
      <c r="X349" s="1052"/>
      <c r="Y349" s="1053"/>
      <c r="Z349" s="1051"/>
      <c r="AA349" s="1051"/>
      <c r="AB349" s="1052"/>
      <c r="AC349" s="1051"/>
      <c r="AD349" s="1051"/>
      <c r="AE349" s="1052"/>
      <c r="AF349" s="1051"/>
      <c r="AG349" s="1051"/>
      <c r="AH349" s="1051"/>
      <c r="AI349" s="1051"/>
      <c r="AJ349" s="1052"/>
      <c r="AK349" s="1051"/>
      <c r="AL349" s="1051"/>
      <c r="AM349" s="1052"/>
      <c r="AN349" s="1051"/>
      <c r="AO349" s="1051"/>
      <c r="AP349" s="1052"/>
      <c r="AQ349" s="1051"/>
      <c r="AR349" s="1051"/>
      <c r="AS349" s="1052"/>
      <c r="AT349" s="1051"/>
      <c r="AU349" s="1051"/>
      <c r="AV349" s="1052"/>
      <c r="AW349" s="1051"/>
      <c r="AX349" s="1051"/>
      <c r="AY349" s="1053"/>
      <c r="AZ349" s="1051"/>
      <c r="BA349" s="1051"/>
      <c r="BB349" s="1053"/>
      <c r="BC349" s="1051"/>
      <c r="BD349" s="1051"/>
      <c r="BE349" s="1053"/>
      <c r="BF349" s="1051"/>
      <c r="BG349" s="1051"/>
      <c r="BH349" s="1053"/>
      <c r="BI349" s="1052"/>
      <c r="BJ349" s="1052"/>
      <c r="BK349" s="1052"/>
      <c r="BL349" s="1052"/>
      <c r="BM349" s="1052"/>
      <c r="BN349" s="1054"/>
      <c r="BO349" s="1076">
        <f t="shared" si="6"/>
        <v>0</v>
      </c>
      <c r="BP349" s="1051"/>
      <c r="BQ349" s="1052"/>
      <c r="BR349" s="1054"/>
      <c r="BS349" s="1053"/>
      <c r="BT349" s="1051"/>
      <c r="BU349" s="1051"/>
      <c r="BV349" s="1051"/>
      <c r="BW349" s="1052"/>
      <c r="BX349" s="1052"/>
      <c r="BY349" s="1052"/>
      <c r="BZ349" s="1052"/>
      <c r="CA349" s="1052"/>
      <c r="CB349" s="1053"/>
      <c r="CC349" s="1053"/>
      <c r="CD349" s="1053"/>
      <c r="CE349" s="1053"/>
      <c r="CF349" s="1053"/>
      <c r="CG349" s="1053"/>
      <c r="CH349" s="1053"/>
      <c r="CI349" s="1123"/>
      <c r="CJ349" s="1123"/>
      <c r="CK349" s="1123"/>
      <c r="CL349" s="1123"/>
      <c r="CM349" s="1123"/>
      <c r="CN349" s="1123"/>
      <c r="CO349" s="1123"/>
      <c r="CP349" s="1123"/>
      <c r="CQ349" s="1123"/>
      <c r="CR349" s="1123"/>
      <c r="CS349" s="1123"/>
      <c r="CT349" s="1123"/>
      <c r="CU349" s="1123"/>
      <c r="CV349" s="1123"/>
      <c r="CW349" s="1123"/>
      <c r="CX349" s="1123"/>
      <c r="CY349" s="1123"/>
      <c r="CZ349" s="1114"/>
      <c r="DA349" s="1114"/>
      <c r="DB349" s="1114"/>
      <c r="DC349" s="1114"/>
      <c r="DD349" s="1114"/>
      <c r="DE349" s="1114"/>
      <c r="DF349" s="1114"/>
      <c r="DG349" s="1114"/>
      <c r="DH349" s="1114"/>
      <c r="DI349" s="1114"/>
      <c r="DJ349" s="1114"/>
      <c r="DK349" s="1114"/>
      <c r="DL349" s="1114"/>
      <c r="DM349" s="1114"/>
      <c r="DN349" s="1114"/>
      <c r="DO349" s="1114"/>
      <c r="DP349" s="1114"/>
      <c r="DQ349" s="1114"/>
      <c r="DR349" s="1114"/>
      <c r="DS349" s="1114"/>
      <c r="DT349" s="1114"/>
      <c r="DU349" s="1114"/>
      <c r="DV349" s="1115"/>
      <c r="DW349" s="1116"/>
      <c r="DX349" s="1116"/>
      <c r="DY349" s="1116"/>
      <c r="DZ349" s="1116"/>
      <c r="EA349" s="1116"/>
      <c r="EB349" s="1116"/>
      <c r="EC349" s="1116"/>
      <c r="ED349" s="1116"/>
      <c r="EE349" s="1116"/>
      <c r="EF349" s="1116"/>
      <c r="EG349" s="1116"/>
      <c r="EH349" s="1116"/>
      <c r="EI349" s="1116"/>
      <c r="EJ349" s="1116"/>
      <c r="EK349" s="1116"/>
      <c r="EL349" s="1116"/>
      <c r="EM349" s="1116"/>
      <c r="EN349" s="1116"/>
      <c r="EO349" s="1116"/>
      <c r="EP349" s="1116"/>
      <c r="EQ349" s="1116"/>
      <c r="ER349" s="1116"/>
      <c r="ES349" s="1116"/>
    </row>
    <row r="350" spans="1:149" ht="15" customHeight="1">
      <c r="A350" s="1185">
        <v>340</v>
      </c>
      <c r="B350" s="1041"/>
      <c r="C350" s="1050"/>
      <c r="D350" s="1050"/>
      <c r="E350" s="1050"/>
      <c r="F350" s="1049"/>
      <c r="G350" s="1049"/>
      <c r="H350" s="1049"/>
      <c r="I350" s="1049"/>
      <c r="J350" s="1050"/>
      <c r="K350" s="1050"/>
      <c r="L350" s="1043"/>
      <c r="M350" s="1051"/>
      <c r="N350" s="1051"/>
      <c r="O350" s="1052"/>
      <c r="P350" s="1051"/>
      <c r="Q350" s="1051"/>
      <c r="R350" s="1052"/>
      <c r="S350" s="1051"/>
      <c r="T350" s="1051"/>
      <c r="U350" s="1052"/>
      <c r="V350" s="1051"/>
      <c r="W350" s="1051"/>
      <c r="X350" s="1052"/>
      <c r="Y350" s="1053"/>
      <c r="Z350" s="1051"/>
      <c r="AA350" s="1051"/>
      <c r="AB350" s="1052"/>
      <c r="AC350" s="1051"/>
      <c r="AD350" s="1051"/>
      <c r="AE350" s="1052"/>
      <c r="AF350" s="1051"/>
      <c r="AG350" s="1051"/>
      <c r="AH350" s="1051"/>
      <c r="AI350" s="1051"/>
      <c r="AJ350" s="1052"/>
      <c r="AK350" s="1051"/>
      <c r="AL350" s="1051"/>
      <c r="AM350" s="1052"/>
      <c r="AN350" s="1051"/>
      <c r="AO350" s="1051"/>
      <c r="AP350" s="1052"/>
      <c r="AQ350" s="1051"/>
      <c r="AR350" s="1051"/>
      <c r="AS350" s="1052"/>
      <c r="AT350" s="1051"/>
      <c r="AU350" s="1051"/>
      <c r="AV350" s="1052"/>
      <c r="AW350" s="1051"/>
      <c r="AX350" s="1051"/>
      <c r="AY350" s="1053"/>
      <c r="AZ350" s="1051"/>
      <c r="BA350" s="1051"/>
      <c r="BB350" s="1053"/>
      <c r="BC350" s="1051"/>
      <c r="BD350" s="1051"/>
      <c r="BE350" s="1053"/>
      <c r="BF350" s="1051"/>
      <c r="BG350" s="1051"/>
      <c r="BH350" s="1053"/>
      <c r="BI350" s="1052"/>
      <c r="BJ350" s="1052"/>
      <c r="BK350" s="1052"/>
      <c r="BL350" s="1052"/>
      <c r="BM350" s="1052"/>
      <c r="BN350" s="1054"/>
      <c r="BO350" s="1076">
        <f t="shared" si="6"/>
        <v>0</v>
      </c>
      <c r="BP350" s="1051"/>
      <c r="BQ350" s="1052"/>
      <c r="BR350" s="1054"/>
      <c r="BS350" s="1053"/>
      <c r="BT350" s="1051"/>
      <c r="BU350" s="1051"/>
      <c r="BV350" s="1051"/>
      <c r="BW350" s="1052"/>
      <c r="BX350" s="1052"/>
      <c r="BY350" s="1052"/>
      <c r="BZ350" s="1052"/>
      <c r="CA350" s="1052"/>
      <c r="CB350" s="1053"/>
      <c r="CC350" s="1053"/>
      <c r="CD350" s="1053"/>
      <c r="CE350" s="1053"/>
      <c r="CF350" s="1053"/>
      <c r="CG350" s="1053"/>
      <c r="CH350" s="1053"/>
      <c r="CI350" s="1123"/>
      <c r="CJ350" s="1123"/>
      <c r="CK350" s="1123"/>
      <c r="CL350" s="1123"/>
      <c r="CM350" s="1123"/>
      <c r="CN350" s="1123"/>
      <c r="CO350" s="1123"/>
      <c r="CP350" s="1123"/>
      <c r="CQ350" s="1123"/>
      <c r="CR350" s="1123"/>
      <c r="CS350" s="1123"/>
      <c r="CT350" s="1123"/>
      <c r="CU350" s="1123"/>
      <c r="CV350" s="1123"/>
      <c r="CW350" s="1123"/>
      <c r="CX350" s="1123"/>
      <c r="CY350" s="1123"/>
      <c r="CZ350" s="1114"/>
      <c r="DA350" s="1114"/>
      <c r="DB350" s="1114"/>
      <c r="DC350" s="1114"/>
      <c r="DD350" s="1114"/>
      <c r="DE350" s="1114"/>
      <c r="DF350" s="1114"/>
      <c r="DG350" s="1114"/>
      <c r="DH350" s="1114"/>
      <c r="DI350" s="1114"/>
      <c r="DJ350" s="1114"/>
      <c r="DK350" s="1114"/>
      <c r="DL350" s="1114"/>
      <c r="DM350" s="1114"/>
      <c r="DN350" s="1114"/>
      <c r="DO350" s="1114"/>
      <c r="DP350" s="1114"/>
      <c r="DQ350" s="1114"/>
      <c r="DR350" s="1114"/>
      <c r="DS350" s="1114"/>
      <c r="DT350" s="1114"/>
      <c r="DU350" s="1114"/>
      <c r="DV350" s="1115"/>
      <c r="DW350" s="1116"/>
      <c r="DX350" s="1116"/>
      <c r="DY350" s="1116"/>
      <c r="DZ350" s="1116"/>
      <c r="EA350" s="1116"/>
      <c r="EB350" s="1116"/>
      <c r="EC350" s="1116"/>
      <c r="ED350" s="1116"/>
      <c r="EE350" s="1116"/>
      <c r="EF350" s="1116"/>
      <c r="EG350" s="1116"/>
      <c r="EH350" s="1116"/>
      <c r="EI350" s="1116"/>
      <c r="EJ350" s="1116"/>
      <c r="EK350" s="1116"/>
      <c r="EL350" s="1116"/>
      <c r="EM350" s="1116"/>
      <c r="EN350" s="1116"/>
      <c r="EO350" s="1116"/>
      <c r="EP350" s="1116"/>
      <c r="EQ350" s="1116"/>
      <c r="ER350" s="1116"/>
      <c r="ES350" s="1116"/>
    </row>
    <row r="351" spans="1:149" ht="15" customHeight="1">
      <c r="A351" s="1185">
        <v>341</v>
      </c>
      <c r="B351" s="1041"/>
      <c r="C351" s="1050"/>
      <c r="D351" s="1050"/>
      <c r="E351" s="1050"/>
      <c r="F351" s="1049"/>
      <c r="G351" s="1049"/>
      <c r="H351" s="1049"/>
      <c r="I351" s="1049"/>
      <c r="J351" s="1050"/>
      <c r="K351" s="1050"/>
      <c r="L351" s="1043"/>
      <c r="M351" s="1051"/>
      <c r="N351" s="1051"/>
      <c r="O351" s="1052"/>
      <c r="P351" s="1051"/>
      <c r="Q351" s="1051"/>
      <c r="R351" s="1052"/>
      <c r="S351" s="1051"/>
      <c r="T351" s="1051"/>
      <c r="U351" s="1052"/>
      <c r="V351" s="1051"/>
      <c r="W351" s="1051"/>
      <c r="X351" s="1052"/>
      <c r="Y351" s="1053"/>
      <c r="Z351" s="1051"/>
      <c r="AA351" s="1051"/>
      <c r="AB351" s="1052"/>
      <c r="AC351" s="1051"/>
      <c r="AD351" s="1051"/>
      <c r="AE351" s="1052"/>
      <c r="AF351" s="1051"/>
      <c r="AG351" s="1051"/>
      <c r="AH351" s="1051"/>
      <c r="AI351" s="1051"/>
      <c r="AJ351" s="1052"/>
      <c r="AK351" s="1051"/>
      <c r="AL351" s="1051"/>
      <c r="AM351" s="1052"/>
      <c r="AN351" s="1051"/>
      <c r="AO351" s="1051"/>
      <c r="AP351" s="1052"/>
      <c r="AQ351" s="1051"/>
      <c r="AR351" s="1051"/>
      <c r="AS351" s="1052"/>
      <c r="AT351" s="1051"/>
      <c r="AU351" s="1051"/>
      <c r="AV351" s="1052"/>
      <c r="AW351" s="1051"/>
      <c r="AX351" s="1051"/>
      <c r="AY351" s="1053"/>
      <c r="AZ351" s="1051"/>
      <c r="BA351" s="1051"/>
      <c r="BB351" s="1053"/>
      <c r="BC351" s="1051"/>
      <c r="BD351" s="1051"/>
      <c r="BE351" s="1053"/>
      <c r="BF351" s="1051"/>
      <c r="BG351" s="1051"/>
      <c r="BH351" s="1053"/>
      <c r="BI351" s="1052"/>
      <c r="BJ351" s="1052"/>
      <c r="BK351" s="1052"/>
      <c r="BL351" s="1052"/>
      <c r="BM351" s="1052"/>
      <c r="BN351" s="1054"/>
      <c r="BO351" s="1076">
        <f t="shared" si="6"/>
        <v>0</v>
      </c>
      <c r="BP351" s="1051"/>
      <c r="BQ351" s="1052"/>
      <c r="BR351" s="1054"/>
      <c r="BS351" s="1053"/>
      <c r="BT351" s="1051"/>
      <c r="BU351" s="1051"/>
      <c r="BV351" s="1051"/>
      <c r="BW351" s="1052"/>
      <c r="BX351" s="1052"/>
      <c r="BY351" s="1052"/>
      <c r="BZ351" s="1052"/>
      <c r="CA351" s="1052"/>
      <c r="CB351" s="1053"/>
      <c r="CC351" s="1053"/>
      <c r="CD351" s="1053"/>
      <c r="CE351" s="1053"/>
      <c r="CF351" s="1053"/>
      <c r="CG351" s="1053"/>
      <c r="CH351" s="1053"/>
      <c r="CI351" s="1123"/>
      <c r="CJ351" s="1123"/>
      <c r="CK351" s="1123"/>
      <c r="CL351" s="1123"/>
      <c r="CM351" s="1123"/>
      <c r="CN351" s="1123"/>
      <c r="CO351" s="1123"/>
      <c r="CP351" s="1123"/>
      <c r="CQ351" s="1123"/>
      <c r="CR351" s="1123"/>
      <c r="CS351" s="1123"/>
      <c r="CT351" s="1123"/>
      <c r="CU351" s="1123"/>
      <c r="CV351" s="1123"/>
      <c r="CW351" s="1123"/>
      <c r="CX351" s="1123"/>
      <c r="CY351" s="1123"/>
      <c r="CZ351" s="1114"/>
      <c r="DA351" s="1114"/>
      <c r="DB351" s="1114"/>
      <c r="DC351" s="1114"/>
      <c r="DD351" s="1114"/>
      <c r="DE351" s="1114"/>
      <c r="DF351" s="1114"/>
      <c r="DG351" s="1114"/>
      <c r="DH351" s="1114"/>
      <c r="DI351" s="1114"/>
      <c r="DJ351" s="1114"/>
      <c r="DK351" s="1114"/>
      <c r="DL351" s="1114"/>
      <c r="DM351" s="1114"/>
      <c r="DN351" s="1114"/>
      <c r="DO351" s="1114"/>
      <c r="DP351" s="1114"/>
      <c r="DQ351" s="1114"/>
      <c r="DR351" s="1114"/>
      <c r="DS351" s="1114"/>
      <c r="DT351" s="1114"/>
      <c r="DU351" s="1114"/>
      <c r="DV351" s="1115"/>
      <c r="DW351" s="1116"/>
      <c r="DX351" s="1116"/>
      <c r="DY351" s="1116"/>
      <c r="DZ351" s="1116"/>
      <c r="EA351" s="1116"/>
      <c r="EB351" s="1116"/>
      <c r="EC351" s="1116"/>
      <c r="ED351" s="1116"/>
      <c r="EE351" s="1116"/>
      <c r="EF351" s="1116"/>
      <c r="EG351" s="1116"/>
      <c r="EH351" s="1116"/>
      <c r="EI351" s="1116"/>
      <c r="EJ351" s="1116"/>
      <c r="EK351" s="1116"/>
      <c r="EL351" s="1116"/>
      <c r="EM351" s="1116"/>
      <c r="EN351" s="1116"/>
      <c r="EO351" s="1116"/>
      <c r="EP351" s="1116"/>
      <c r="EQ351" s="1116"/>
      <c r="ER351" s="1116"/>
      <c r="ES351" s="1116"/>
    </row>
    <row r="352" spans="1:149" ht="15" customHeight="1">
      <c r="A352" s="1185">
        <v>342</v>
      </c>
      <c r="B352" s="1041"/>
      <c r="C352" s="1050"/>
      <c r="D352" s="1050"/>
      <c r="E352" s="1050"/>
      <c r="F352" s="1049"/>
      <c r="G352" s="1049"/>
      <c r="H352" s="1049"/>
      <c r="I352" s="1049"/>
      <c r="J352" s="1050"/>
      <c r="K352" s="1050"/>
      <c r="L352" s="1043"/>
      <c r="M352" s="1051"/>
      <c r="N352" s="1051"/>
      <c r="O352" s="1052"/>
      <c r="P352" s="1051"/>
      <c r="Q352" s="1051"/>
      <c r="R352" s="1052"/>
      <c r="S352" s="1051"/>
      <c r="T352" s="1051"/>
      <c r="U352" s="1052"/>
      <c r="V352" s="1051"/>
      <c r="W352" s="1051"/>
      <c r="X352" s="1052"/>
      <c r="Y352" s="1053"/>
      <c r="Z352" s="1051"/>
      <c r="AA352" s="1051"/>
      <c r="AB352" s="1052"/>
      <c r="AC352" s="1051"/>
      <c r="AD352" s="1051"/>
      <c r="AE352" s="1052"/>
      <c r="AF352" s="1051"/>
      <c r="AG352" s="1051"/>
      <c r="AH352" s="1051"/>
      <c r="AI352" s="1051"/>
      <c r="AJ352" s="1052"/>
      <c r="AK352" s="1051"/>
      <c r="AL352" s="1051"/>
      <c r="AM352" s="1052"/>
      <c r="AN352" s="1051"/>
      <c r="AO352" s="1051"/>
      <c r="AP352" s="1052"/>
      <c r="AQ352" s="1051"/>
      <c r="AR352" s="1051"/>
      <c r="AS352" s="1052"/>
      <c r="AT352" s="1051"/>
      <c r="AU352" s="1051"/>
      <c r="AV352" s="1052"/>
      <c r="AW352" s="1051"/>
      <c r="AX352" s="1051"/>
      <c r="AY352" s="1053"/>
      <c r="AZ352" s="1051"/>
      <c r="BA352" s="1051"/>
      <c r="BB352" s="1053"/>
      <c r="BC352" s="1051"/>
      <c r="BD352" s="1051"/>
      <c r="BE352" s="1053"/>
      <c r="BF352" s="1051"/>
      <c r="BG352" s="1051"/>
      <c r="BH352" s="1053"/>
      <c r="BI352" s="1052"/>
      <c r="BJ352" s="1052"/>
      <c r="BK352" s="1052"/>
      <c r="BL352" s="1052"/>
      <c r="BM352" s="1052"/>
      <c r="BN352" s="1054"/>
      <c r="BO352" s="1076">
        <f t="shared" si="6"/>
        <v>0</v>
      </c>
      <c r="BP352" s="1051"/>
      <c r="BQ352" s="1052"/>
      <c r="BR352" s="1054"/>
      <c r="BS352" s="1053"/>
      <c r="BT352" s="1051"/>
      <c r="BU352" s="1051"/>
      <c r="BV352" s="1051"/>
      <c r="BW352" s="1052"/>
      <c r="BX352" s="1052"/>
      <c r="BY352" s="1052"/>
      <c r="BZ352" s="1052"/>
      <c r="CA352" s="1052"/>
      <c r="CB352" s="1053"/>
      <c r="CC352" s="1053"/>
      <c r="CD352" s="1053"/>
      <c r="CE352" s="1053"/>
      <c r="CF352" s="1053"/>
      <c r="CG352" s="1053"/>
      <c r="CH352" s="1053"/>
      <c r="CI352" s="1123"/>
      <c r="CJ352" s="1123"/>
      <c r="CK352" s="1123"/>
      <c r="CL352" s="1123"/>
      <c r="CM352" s="1123"/>
      <c r="CN352" s="1123"/>
      <c r="CO352" s="1123"/>
      <c r="CP352" s="1123"/>
      <c r="CQ352" s="1123"/>
      <c r="CR352" s="1123"/>
      <c r="CS352" s="1123"/>
      <c r="CT352" s="1123"/>
      <c r="CU352" s="1123"/>
      <c r="CV352" s="1123"/>
      <c r="CW352" s="1123"/>
      <c r="CX352" s="1123"/>
      <c r="CY352" s="1123"/>
      <c r="CZ352" s="1114"/>
      <c r="DA352" s="1114"/>
      <c r="DB352" s="1114"/>
      <c r="DC352" s="1114"/>
      <c r="DD352" s="1114"/>
      <c r="DE352" s="1114"/>
      <c r="DF352" s="1114"/>
      <c r="DG352" s="1114"/>
      <c r="DH352" s="1114"/>
      <c r="DI352" s="1114"/>
      <c r="DJ352" s="1114"/>
      <c r="DK352" s="1114"/>
      <c r="DL352" s="1114"/>
      <c r="DM352" s="1114"/>
      <c r="DN352" s="1114"/>
      <c r="DO352" s="1114"/>
      <c r="DP352" s="1114"/>
      <c r="DQ352" s="1114"/>
      <c r="DR352" s="1114"/>
      <c r="DS352" s="1114"/>
      <c r="DT352" s="1114"/>
      <c r="DU352" s="1114"/>
      <c r="DV352" s="1115"/>
      <c r="DW352" s="1116"/>
      <c r="DX352" s="1116"/>
      <c r="DY352" s="1116"/>
      <c r="DZ352" s="1116"/>
      <c r="EA352" s="1116"/>
      <c r="EB352" s="1116"/>
      <c r="EC352" s="1116"/>
      <c r="ED352" s="1116"/>
      <c r="EE352" s="1116"/>
      <c r="EF352" s="1116"/>
      <c r="EG352" s="1116"/>
      <c r="EH352" s="1116"/>
      <c r="EI352" s="1116"/>
      <c r="EJ352" s="1116"/>
      <c r="EK352" s="1116"/>
      <c r="EL352" s="1116"/>
      <c r="EM352" s="1116"/>
      <c r="EN352" s="1116"/>
      <c r="EO352" s="1116"/>
      <c r="EP352" s="1116"/>
      <c r="EQ352" s="1116"/>
      <c r="ER352" s="1116"/>
      <c r="ES352" s="1116"/>
    </row>
    <row r="353" spans="1:149" ht="15" customHeight="1">
      <c r="A353" s="1185">
        <v>343</v>
      </c>
      <c r="B353" s="1041"/>
      <c r="C353" s="1050"/>
      <c r="D353" s="1050"/>
      <c r="E353" s="1050"/>
      <c r="F353" s="1049"/>
      <c r="G353" s="1049"/>
      <c r="H353" s="1049"/>
      <c r="I353" s="1049"/>
      <c r="J353" s="1050"/>
      <c r="K353" s="1050"/>
      <c r="L353" s="1043"/>
      <c r="M353" s="1051"/>
      <c r="N353" s="1051"/>
      <c r="O353" s="1052"/>
      <c r="P353" s="1051"/>
      <c r="Q353" s="1051"/>
      <c r="R353" s="1052"/>
      <c r="S353" s="1051"/>
      <c r="T353" s="1051"/>
      <c r="U353" s="1052"/>
      <c r="V353" s="1051"/>
      <c r="W353" s="1051"/>
      <c r="X353" s="1052"/>
      <c r="Y353" s="1053"/>
      <c r="Z353" s="1051"/>
      <c r="AA353" s="1051"/>
      <c r="AB353" s="1052"/>
      <c r="AC353" s="1051"/>
      <c r="AD353" s="1051"/>
      <c r="AE353" s="1052"/>
      <c r="AF353" s="1051"/>
      <c r="AG353" s="1051"/>
      <c r="AH353" s="1051"/>
      <c r="AI353" s="1051"/>
      <c r="AJ353" s="1052"/>
      <c r="AK353" s="1051"/>
      <c r="AL353" s="1051"/>
      <c r="AM353" s="1052"/>
      <c r="AN353" s="1051"/>
      <c r="AO353" s="1051"/>
      <c r="AP353" s="1052"/>
      <c r="AQ353" s="1051"/>
      <c r="AR353" s="1051"/>
      <c r="AS353" s="1052"/>
      <c r="AT353" s="1051"/>
      <c r="AU353" s="1051"/>
      <c r="AV353" s="1052"/>
      <c r="AW353" s="1051"/>
      <c r="AX353" s="1051"/>
      <c r="AY353" s="1053"/>
      <c r="AZ353" s="1051"/>
      <c r="BA353" s="1051"/>
      <c r="BB353" s="1053"/>
      <c r="BC353" s="1051"/>
      <c r="BD353" s="1051"/>
      <c r="BE353" s="1053"/>
      <c r="BF353" s="1051"/>
      <c r="BG353" s="1051"/>
      <c r="BH353" s="1053"/>
      <c r="BI353" s="1052"/>
      <c r="BJ353" s="1052"/>
      <c r="BK353" s="1052"/>
      <c r="BL353" s="1052"/>
      <c r="BM353" s="1052"/>
      <c r="BN353" s="1054"/>
      <c r="BO353" s="1076">
        <f t="shared" si="6"/>
        <v>0</v>
      </c>
      <c r="BP353" s="1051"/>
      <c r="BQ353" s="1052"/>
      <c r="BR353" s="1054"/>
      <c r="BS353" s="1053"/>
      <c r="BT353" s="1051"/>
      <c r="BU353" s="1051"/>
      <c r="BV353" s="1051"/>
      <c r="BW353" s="1052"/>
      <c r="BX353" s="1052"/>
      <c r="BY353" s="1052"/>
      <c r="BZ353" s="1052"/>
      <c r="CA353" s="1052"/>
      <c r="CB353" s="1053"/>
      <c r="CC353" s="1053"/>
      <c r="CD353" s="1053"/>
      <c r="CE353" s="1053"/>
      <c r="CF353" s="1053"/>
      <c r="CG353" s="1053"/>
      <c r="CH353" s="1053"/>
      <c r="CI353" s="1123"/>
      <c r="CJ353" s="1123"/>
      <c r="CK353" s="1123"/>
      <c r="CL353" s="1123"/>
      <c r="CM353" s="1123"/>
      <c r="CN353" s="1123"/>
      <c r="CO353" s="1123"/>
      <c r="CP353" s="1123"/>
      <c r="CQ353" s="1123"/>
      <c r="CR353" s="1123"/>
      <c r="CS353" s="1123"/>
      <c r="CT353" s="1123"/>
      <c r="CU353" s="1123"/>
      <c r="CV353" s="1123"/>
      <c r="CW353" s="1123"/>
      <c r="CX353" s="1123"/>
      <c r="CY353" s="1123"/>
      <c r="CZ353" s="1114"/>
      <c r="DA353" s="1114"/>
      <c r="DB353" s="1114"/>
      <c r="DC353" s="1114"/>
      <c r="DD353" s="1114"/>
      <c r="DE353" s="1114"/>
      <c r="DF353" s="1114"/>
      <c r="DG353" s="1114"/>
      <c r="DH353" s="1114"/>
      <c r="DI353" s="1114"/>
      <c r="DJ353" s="1114"/>
      <c r="DK353" s="1114"/>
      <c r="DL353" s="1114"/>
      <c r="DM353" s="1114"/>
      <c r="DN353" s="1114"/>
      <c r="DO353" s="1114"/>
      <c r="DP353" s="1114"/>
      <c r="DQ353" s="1114"/>
      <c r="DR353" s="1114"/>
      <c r="DS353" s="1114"/>
      <c r="DT353" s="1114"/>
      <c r="DU353" s="1114"/>
      <c r="DV353" s="1115"/>
      <c r="DW353" s="1116"/>
      <c r="DX353" s="1116"/>
      <c r="DY353" s="1116"/>
      <c r="DZ353" s="1116"/>
      <c r="EA353" s="1116"/>
      <c r="EB353" s="1116"/>
      <c r="EC353" s="1116"/>
      <c r="ED353" s="1116"/>
      <c r="EE353" s="1116"/>
      <c r="EF353" s="1116"/>
      <c r="EG353" s="1116"/>
      <c r="EH353" s="1116"/>
      <c r="EI353" s="1116"/>
      <c r="EJ353" s="1116"/>
      <c r="EK353" s="1116"/>
      <c r="EL353" s="1116"/>
      <c r="EM353" s="1116"/>
      <c r="EN353" s="1116"/>
      <c r="EO353" s="1116"/>
      <c r="EP353" s="1116"/>
      <c r="EQ353" s="1116"/>
      <c r="ER353" s="1116"/>
      <c r="ES353" s="1116"/>
    </row>
    <row r="354" spans="1:149" ht="15" customHeight="1">
      <c r="A354" s="1185">
        <v>344</v>
      </c>
      <c r="B354" s="1041"/>
      <c r="C354" s="1050"/>
      <c r="D354" s="1050"/>
      <c r="E354" s="1050"/>
      <c r="F354" s="1049"/>
      <c r="G354" s="1049"/>
      <c r="H354" s="1049"/>
      <c r="I354" s="1049"/>
      <c r="J354" s="1050"/>
      <c r="K354" s="1050"/>
      <c r="L354" s="1043"/>
      <c r="M354" s="1051"/>
      <c r="N354" s="1051"/>
      <c r="O354" s="1052"/>
      <c r="P354" s="1051"/>
      <c r="Q354" s="1051"/>
      <c r="R354" s="1052"/>
      <c r="S354" s="1051"/>
      <c r="T354" s="1051"/>
      <c r="U354" s="1052"/>
      <c r="V354" s="1051"/>
      <c r="W354" s="1051"/>
      <c r="X354" s="1052"/>
      <c r="Y354" s="1053"/>
      <c r="Z354" s="1051"/>
      <c r="AA354" s="1051"/>
      <c r="AB354" s="1052"/>
      <c r="AC354" s="1051"/>
      <c r="AD354" s="1051"/>
      <c r="AE354" s="1052"/>
      <c r="AF354" s="1051"/>
      <c r="AG354" s="1051"/>
      <c r="AH354" s="1051"/>
      <c r="AI354" s="1051"/>
      <c r="AJ354" s="1052"/>
      <c r="AK354" s="1051"/>
      <c r="AL354" s="1051"/>
      <c r="AM354" s="1052"/>
      <c r="AN354" s="1051"/>
      <c r="AO354" s="1051"/>
      <c r="AP354" s="1052"/>
      <c r="AQ354" s="1051"/>
      <c r="AR354" s="1051"/>
      <c r="AS354" s="1052"/>
      <c r="AT354" s="1051"/>
      <c r="AU354" s="1051"/>
      <c r="AV354" s="1052"/>
      <c r="AW354" s="1051"/>
      <c r="AX354" s="1051"/>
      <c r="AY354" s="1053"/>
      <c r="AZ354" s="1051"/>
      <c r="BA354" s="1051"/>
      <c r="BB354" s="1053"/>
      <c r="BC354" s="1051"/>
      <c r="BD354" s="1051"/>
      <c r="BE354" s="1053"/>
      <c r="BF354" s="1051"/>
      <c r="BG354" s="1051"/>
      <c r="BH354" s="1053"/>
      <c r="BI354" s="1052"/>
      <c r="BJ354" s="1052"/>
      <c r="BK354" s="1052"/>
      <c r="BL354" s="1052"/>
      <c r="BM354" s="1052"/>
      <c r="BN354" s="1054"/>
      <c r="BO354" s="1076">
        <f t="shared" si="6"/>
        <v>0</v>
      </c>
      <c r="BP354" s="1051"/>
      <c r="BQ354" s="1052"/>
      <c r="BR354" s="1054"/>
      <c r="BS354" s="1053"/>
      <c r="BT354" s="1051"/>
      <c r="BU354" s="1051"/>
      <c r="BV354" s="1051"/>
      <c r="BW354" s="1052"/>
      <c r="BX354" s="1052"/>
      <c r="BY354" s="1052"/>
      <c r="BZ354" s="1052"/>
      <c r="CA354" s="1052"/>
      <c r="CB354" s="1053"/>
      <c r="CC354" s="1053"/>
      <c r="CD354" s="1053"/>
      <c r="CE354" s="1053"/>
      <c r="CF354" s="1053"/>
      <c r="CG354" s="1053"/>
      <c r="CH354" s="1053"/>
      <c r="CI354" s="1123"/>
      <c r="CJ354" s="1123"/>
      <c r="CK354" s="1123"/>
      <c r="CL354" s="1123"/>
      <c r="CM354" s="1123"/>
      <c r="CN354" s="1123"/>
      <c r="CO354" s="1123"/>
      <c r="CP354" s="1123"/>
      <c r="CQ354" s="1123"/>
      <c r="CR354" s="1123"/>
      <c r="CS354" s="1123"/>
      <c r="CT354" s="1123"/>
      <c r="CU354" s="1123"/>
      <c r="CV354" s="1123"/>
      <c r="CW354" s="1123"/>
      <c r="CX354" s="1123"/>
      <c r="CY354" s="1123"/>
      <c r="CZ354" s="1114"/>
      <c r="DA354" s="1114"/>
      <c r="DB354" s="1114"/>
      <c r="DC354" s="1114"/>
      <c r="DD354" s="1114"/>
      <c r="DE354" s="1114"/>
      <c r="DF354" s="1114"/>
      <c r="DG354" s="1114"/>
      <c r="DH354" s="1114"/>
      <c r="DI354" s="1114"/>
      <c r="DJ354" s="1114"/>
      <c r="DK354" s="1114"/>
      <c r="DL354" s="1114"/>
      <c r="DM354" s="1114"/>
      <c r="DN354" s="1114"/>
      <c r="DO354" s="1114"/>
      <c r="DP354" s="1114"/>
      <c r="DQ354" s="1114"/>
      <c r="DR354" s="1114"/>
      <c r="DS354" s="1114"/>
      <c r="DT354" s="1114"/>
      <c r="DU354" s="1114"/>
      <c r="DV354" s="1115"/>
      <c r="DW354" s="1116"/>
      <c r="DX354" s="1116"/>
      <c r="DY354" s="1116"/>
      <c r="DZ354" s="1116"/>
      <c r="EA354" s="1116"/>
      <c r="EB354" s="1116"/>
      <c r="EC354" s="1116"/>
      <c r="ED354" s="1116"/>
      <c r="EE354" s="1116"/>
      <c r="EF354" s="1116"/>
      <c r="EG354" s="1116"/>
      <c r="EH354" s="1116"/>
      <c r="EI354" s="1116"/>
      <c r="EJ354" s="1116"/>
      <c r="EK354" s="1116"/>
      <c r="EL354" s="1116"/>
      <c r="EM354" s="1116"/>
      <c r="EN354" s="1116"/>
      <c r="EO354" s="1116"/>
      <c r="EP354" s="1116"/>
      <c r="EQ354" s="1116"/>
      <c r="ER354" s="1116"/>
      <c r="ES354" s="1116"/>
    </row>
    <row r="355" spans="1:149" ht="15" customHeight="1">
      <c r="A355" s="1185">
        <v>345</v>
      </c>
      <c r="B355" s="1041"/>
      <c r="C355" s="1050"/>
      <c r="D355" s="1050"/>
      <c r="E355" s="1050"/>
      <c r="F355" s="1049"/>
      <c r="G355" s="1049"/>
      <c r="H355" s="1049"/>
      <c r="I355" s="1049"/>
      <c r="J355" s="1050"/>
      <c r="K355" s="1050"/>
      <c r="L355" s="1043"/>
      <c r="M355" s="1051"/>
      <c r="N355" s="1051"/>
      <c r="O355" s="1052"/>
      <c r="P355" s="1051"/>
      <c r="Q355" s="1051"/>
      <c r="R355" s="1052"/>
      <c r="S355" s="1051"/>
      <c r="T355" s="1051"/>
      <c r="U355" s="1052"/>
      <c r="V355" s="1051"/>
      <c r="W355" s="1051"/>
      <c r="X355" s="1052"/>
      <c r="Y355" s="1053"/>
      <c r="Z355" s="1051"/>
      <c r="AA355" s="1051"/>
      <c r="AB355" s="1052"/>
      <c r="AC355" s="1051"/>
      <c r="AD355" s="1051"/>
      <c r="AE355" s="1052"/>
      <c r="AF355" s="1051"/>
      <c r="AG355" s="1051"/>
      <c r="AH355" s="1051"/>
      <c r="AI355" s="1051"/>
      <c r="AJ355" s="1052"/>
      <c r="AK355" s="1051"/>
      <c r="AL355" s="1051"/>
      <c r="AM355" s="1052"/>
      <c r="AN355" s="1051"/>
      <c r="AO355" s="1051"/>
      <c r="AP355" s="1052"/>
      <c r="AQ355" s="1051"/>
      <c r="AR355" s="1051"/>
      <c r="AS355" s="1052"/>
      <c r="AT355" s="1051"/>
      <c r="AU355" s="1051"/>
      <c r="AV355" s="1052"/>
      <c r="AW355" s="1051"/>
      <c r="AX355" s="1051"/>
      <c r="AY355" s="1053"/>
      <c r="AZ355" s="1051"/>
      <c r="BA355" s="1051"/>
      <c r="BB355" s="1053"/>
      <c r="BC355" s="1051"/>
      <c r="BD355" s="1051"/>
      <c r="BE355" s="1053"/>
      <c r="BF355" s="1051"/>
      <c r="BG355" s="1051"/>
      <c r="BH355" s="1053"/>
      <c r="BI355" s="1052"/>
      <c r="BJ355" s="1052"/>
      <c r="BK355" s="1052"/>
      <c r="BL355" s="1052"/>
      <c r="BM355" s="1052"/>
      <c r="BN355" s="1054"/>
      <c r="BO355" s="1076">
        <f t="shared" si="6"/>
        <v>0</v>
      </c>
      <c r="BP355" s="1051"/>
      <c r="BQ355" s="1052"/>
      <c r="BR355" s="1054"/>
      <c r="BS355" s="1053"/>
      <c r="BT355" s="1051"/>
      <c r="BU355" s="1051"/>
      <c r="BV355" s="1051"/>
      <c r="BW355" s="1052"/>
      <c r="BX355" s="1052"/>
      <c r="BY355" s="1052"/>
      <c r="BZ355" s="1052"/>
      <c r="CA355" s="1052"/>
      <c r="CB355" s="1053"/>
      <c r="CC355" s="1053"/>
      <c r="CD355" s="1053"/>
      <c r="CE355" s="1053"/>
      <c r="CF355" s="1053"/>
      <c r="CG355" s="1053"/>
      <c r="CH355" s="1053"/>
      <c r="CI355" s="1123"/>
      <c r="CJ355" s="1123"/>
      <c r="CK355" s="1123"/>
      <c r="CL355" s="1123"/>
      <c r="CM355" s="1123"/>
      <c r="CN355" s="1123"/>
      <c r="CO355" s="1123"/>
      <c r="CP355" s="1123"/>
      <c r="CQ355" s="1123"/>
      <c r="CR355" s="1123"/>
      <c r="CS355" s="1123"/>
      <c r="CT355" s="1123"/>
      <c r="CU355" s="1123"/>
      <c r="CV355" s="1123"/>
      <c r="CW355" s="1123"/>
      <c r="CX355" s="1123"/>
      <c r="CY355" s="1123"/>
      <c r="CZ355" s="1114"/>
      <c r="DA355" s="1114"/>
      <c r="DB355" s="1114"/>
      <c r="DC355" s="1114"/>
      <c r="DD355" s="1114"/>
      <c r="DE355" s="1114"/>
      <c r="DF355" s="1114"/>
      <c r="DG355" s="1114"/>
      <c r="DH355" s="1114"/>
      <c r="DI355" s="1114"/>
      <c r="DJ355" s="1114"/>
      <c r="DK355" s="1114"/>
      <c r="DL355" s="1114"/>
      <c r="DM355" s="1114"/>
      <c r="DN355" s="1114"/>
      <c r="DO355" s="1114"/>
      <c r="DP355" s="1114"/>
      <c r="DQ355" s="1114"/>
      <c r="DR355" s="1114"/>
      <c r="DS355" s="1114"/>
      <c r="DT355" s="1114"/>
      <c r="DU355" s="1114"/>
      <c r="DV355" s="1115"/>
      <c r="DW355" s="1116"/>
      <c r="DX355" s="1116"/>
      <c r="DY355" s="1116"/>
      <c r="DZ355" s="1116"/>
      <c r="EA355" s="1116"/>
      <c r="EB355" s="1116"/>
      <c r="EC355" s="1116"/>
      <c r="ED355" s="1116"/>
      <c r="EE355" s="1116"/>
      <c r="EF355" s="1116"/>
      <c r="EG355" s="1116"/>
      <c r="EH355" s="1116"/>
      <c r="EI355" s="1116"/>
      <c r="EJ355" s="1116"/>
      <c r="EK355" s="1116"/>
      <c r="EL355" s="1116"/>
      <c r="EM355" s="1116"/>
      <c r="EN355" s="1116"/>
      <c r="EO355" s="1116"/>
      <c r="EP355" s="1116"/>
      <c r="EQ355" s="1116"/>
      <c r="ER355" s="1116"/>
      <c r="ES355" s="1116"/>
    </row>
    <row r="356" spans="1:149" ht="15" customHeight="1">
      <c r="A356" s="1185">
        <v>346</v>
      </c>
      <c r="B356" s="1041"/>
      <c r="C356" s="1050"/>
      <c r="D356" s="1050"/>
      <c r="E356" s="1050"/>
      <c r="F356" s="1049"/>
      <c r="G356" s="1049"/>
      <c r="H356" s="1049"/>
      <c r="I356" s="1049"/>
      <c r="J356" s="1050"/>
      <c r="K356" s="1050"/>
      <c r="L356" s="1043"/>
      <c r="M356" s="1051"/>
      <c r="N356" s="1051"/>
      <c r="O356" s="1052"/>
      <c r="P356" s="1051"/>
      <c r="Q356" s="1051"/>
      <c r="R356" s="1052"/>
      <c r="S356" s="1051"/>
      <c r="T356" s="1051"/>
      <c r="U356" s="1052"/>
      <c r="V356" s="1051"/>
      <c r="W356" s="1051"/>
      <c r="X356" s="1052"/>
      <c r="Y356" s="1053"/>
      <c r="Z356" s="1051"/>
      <c r="AA356" s="1051"/>
      <c r="AB356" s="1052"/>
      <c r="AC356" s="1051"/>
      <c r="AD356" s="1051"/>
      <c r="AE356" s="1052"/>
      <c r="AF356" s="1051"/>
      <c r="AG356" s="1051"/>
      <c r="AH356" s="1051"/>
      <c r="AI356" s="1051"/>
      <c r="AJ356" s="1052"/>
      <c r="AK356" s="1051"/>
      <c r="AL356" s="1051"/>
      <c r="AM356" s="1052"/>
      <c r="AN356" s="1051"/>
      <c r="AO356" s="1051"/>
      <c r="AP356" s="1052"/>
      <c r="AQ356" s="1051"/>
      <c r="AR356" s="1051"/>
      <c r="AS356" s="1052"/>
      <c r="AT356" s="1051"/>
      <c r="AU356" s="1051"/>
      <c r="AV356" s="1052"/>
      <c r="AW356" s="1051"/>
      <c r="AX356" s="1051"/>
      <c r="AY356" s="1053"/>
      <c r="AZ356" s="1051"/>
      <c r="BA356" s="1051"/>
      <c r="BB356" s="1053"/>
      <c r="BC356" s="1051"/>
      <c r="BD356" s="1051"/>
      <c r="BE356" s="1053"/>
      <c r="BF356" s="1051"/>
      <c r="BG356" s="1051"/>
      <c r="BH356" s="1053"/>
      <c r="BI356" s="1052"/>
      <c r="BJ356" s="1052"/>
      <c r="BK356" s="1052"/>
      <c r="BL356" s="1052"/>
      <c r="BM356" s="1052"/>
      <c r="BN356" s="1054"/>
      <c r="BO356" s="1076">
        <f t="shared" si="6"/>
        <v>0</v>
      </c>
      <c r="BP356" s="1051"/>
      <c r="BQ356" s="1052"/>
      <c r="BR356" s="1054"/>
      <c r="BS356" s="1053"/>
      <c r="BT356" s="1051"/>
      <c r="BU356" s="1051"/>
      <c r="BV356" s="1051"/>
      <c r="BW356" s="1052"/>
      <c r="BX356" s="1052"/>
      <c r="BY356" s="1052"/>
      <c r="BZ356" s="1052"/>
      <c r="CA356" s="1052"/>
      <c r="CB356" s="1053"/>
      <c r="CC356" s="1053"/>
      <c r="CD356" s="1053"/>
      <c r="CE356" s="1053"/>
      <c r="CF356" s="1053"/>
      <c r="CG356" s="1053"/>
      <c r="CH356" s="1053"/>
      <c r="CI356" s="1123"/>
      <c r="CJ356" s="1123"/>
      <c r="CK356" s="1123"/>
      <c r="CL356" s="1123"/>
      <c r="CM356" s="1123"/>
      <c r="CN356" s="1123"/>
      <c r="CO356" s="1123"/>
      <c r="CP356" s="1123"/>
      <c r="CQ356" s="1123"/>
      <c r="CR356" s="1123"/>
      <c r="CS356" s="1123"/>
      <c r="CT356" s="1123"/>
      <c r="CU356" s="1123"/>
      <c r="CV356" s="1123"/>
      <c r="CW356" s="1123"/>
      <c r="CX356" s="1123"/>
      <c r="CY356" s="1123"/>
      <c r="CZ356" s="1114"/>
      <c r="DA356" s="1114"/>
      <c r="DB356" s="1114"/>
      <c r="DC356" s="1114"/>
      <c r="DD356" s="1114"/>
      <c r="DE356" s="1114"/>
      <c r="DF356" s="1114"/>
      <c r="DG356" s="1114"/>
      <c r="DH356" s="1114"/>
      <c r="DI356" s="1114"/>
      <c r="DJ356" s="1114"/>
      <c r="DK356" s="1114"/>
      <c r="DL356" s="1114"/>
      <c r="DM356" s="1114"/>
      <c r="DN356" s="1114"/>
      <c r="DO356" s="1114"/>
      <c r="DP356" s="1114"/>
      <c r="DQ356" s="1114"/>
      <c r="DR356" s="1114"/>
      <c r="DS356" s="1114"/>
      <c r="DT356" s="1114"/>
      <c r="DU356" s="1114"/>
      <c r="DV356" s="1115"/>
      <c r="DW356" s="1116"/>
      <c r="DX356" s="1116"/>
      <c r="DY356" s="1116"/>
      <c r="DZ356" s="1116"/>
      <c r="EA356" s="1116"/>
      <c r="EB356" s="1116"/>
      <c r="EC356" s="1116"/>
      <c r="ED356" s="1116"/>
      <c r="EE356" s="1116"/>
      <c r="EF356" s="1116"/>
      <c r="EG356" s="1116"/>
      <c r="EH356" s="1116"/>
      <c r="EI356" s="1116"/>
      <c r="EJ356" s="1116"/>
      <c r="EK356" s="1116"/>
      <c r="EL356" s="1116"/>
      <c r="EM356" s="1116"/>
      <c r="EN356" s="1116"/>
      <c r="EO356" s="1116"/>
      <c r="EP356" s="1116"/>
      <c r="EQ356" s="1116"/>
      <c r="ER356" s="1116"/>
      <c r="ES356" s="1116"/>
    </row>
    <row r="357" spans="1:149" ht="15" customHeight="1">
      <c r="A357" s="1185">
        <v>347</v>
      </c>
      <c r="B357" s="1041"/>
      <c r="C357" s="1050"/>
      <c r="D357" s="1050"/>
      <c r="E357" s="1050"/>
      <c r="F357" s="1049"/>
      <c r="G357" s="1049"/>
      <c r="H357" s="1049"/>
      <c r="I357" s="1049"/>
      <c r="J357" s="1050"/>
      <c r="K357" s="1050"/>
      <c r="L357" s="1043"/>
      <c r="M357" s="1051"/>
      <c r="N357" s="1051"/>
      <c r="O357" s="1052"/>
      <c r="P357" s="1051"/>
      <c r="Q357" s="1051"/>
      <c r="R357" s="1052"/>
      <c r="S357" s="1051"/>
      <c r="T357" s="1051"/>
      <c r="U357" s="1052"/>
      <c r="V357" s="1051"/>
      <c r="W357" s="1051"/>
      <c r="X357" s="1052"/>
      <c r="Y357" s="1053"/>
      <c r="Z357" s="1051"/>
      <c r="AA357" s="1051"/>
      <c r="AB357" s="1052"/>
      <c r="AC357" s="1051"/>
      <c r="AD357" s="1051"/>
      <c r="AE357" s="1052"/>
      <c r="AF357" s="1051"/>
      <c r="AG357" s="1051"/>
      <c r="AH357" s="1051"/>
      <c r="AI357" s="1051"/>
      <c r="AJ357" s="1052"/>
      <c r="AK357" s="1051"/>
      <c r="AL357" s="1051"/>
      <c r="AM357" s="1052"/>
      <c r="AN357" s="1051"/>
      <c r="AO357" s="1051"/>
      <c r="AP357" s="1052"/>
      <c r="AQ357" s="1051"/>
      <c r="AR357" s="1051"/>
      <c r="AS357" s="1052"/>
      <c r="AT357" s="1051"/>
      <c r="AU357" s="1051"/>
      <c r="AV357" s="1052"/>
      <c r="AW357" s="1051"/>
      <c r="AX357" s="1051"/>
      <c r="AY357" s="1053"/>
      <c r="AZ357" s="1051"/>
      <c r="BA357" s="1051"/>
      <c r="BB357" s="1053"/>
      <c r="BC357" s="1051"/>
      <c r="BD357" s="1051"/>
      <c r="BE357" s="1053"/>
      <c r="BF357" s="1051"/>
      <c r="BG357" s="1051"/>
      <c r="BH357" s="1053"/>
      <c r="BI357" s="1052"/>
      <c r="BJ357" s="1052"/>
      <c r="BK357" s="1052"/>
      <c r="BL357" s="1052"/>
      <c r="BM357" s="1052"/>
      <c r="BN357" s="1054"/>
      <c r="BO357" s="1076">
        <f t="shared" si="6"/>
        <v>0</v>
      </c>
      <c r="BP357" s="1051"/>
      <c r="BQ357" s="1052"/>
      <c r="BR357" s="1054"/>
      <c r="BS357" s="1053"/>
      <c r="BT357" s="1051"/>
      <c r="BU357" s="1051"/>
      <c r="BV357" s="1051"/>
      <c r="BW357" s="1052"/>
      <c r="BX357" s="1052"/>
      <c r="BY357" s="1052"/>
      <c r="BZ357" s="1052"/>
      <c r="CA357" s="1052"/>
      <c r="CB357" s="1053"/>
      <c r="CC357" s="1053"/>
      <c r="CD357" s="1053"/>
      <c r="CE357" s="1053"/>
      <c r="CF357" s="1053"/>
      <c r="CG357" s="1053"/>
      <c r="CH357" s="1053"/>
      <c r="CI357" s="1123"/>
      <c r="CJ357" s="1123"/>
      <c r="CK357" s="1123"/>
      <c r="CL357" s="1123"/>
      <c r="CM357" s="1123"/>
      <c r="CN357" s="1123"/>
      <c r="CO357" s="1123"/>
      <c r="CP357" s="1123"/>
      <c r="CQ357" s="1123"/>
      <c r="CR357" s="1123"/>
      <c r="CS357" s="1123"/>
      <c r="CT357" s="1123"/>
      <c r="CU357" s="1123"/>
      <c r="CV357" s="1123"/>
      <c r="CW357" s="1123"/>
      <c r="CX357" s="1123"/>
      <c r="CY357" s="1123"/>
      <c r="CZ357" s="1114"/>
      <c r="DA357" s="1114"/>
      <c r="DB357" s="1114"/>
      <c r="DC357" s="1114"/>
      <c r="DD357" s="1114"/>
      <c r="DE357" s="1114"/>
      <c r="DF357" s="1114"/>
      <c r="DG357" s="1114"/>
      <c r="DH357" s="1114"/>
      <c r="DI357" s="1114"/>
      <c r="DJ357" s="1114"/>
      <c r="DK357" s="1114"/>
      <c r="DL357" s="1114"/>
      <c r="DM357" s="1114"/>
      <c r="DN357" s="1114"/>
      <c r="DO357" s="1114"/>
      <c r="DP357" s="1114"/>
      <c r="DQ357" s="1114"/>
      <c r="DR357" s="1114"/>
      <c r="DS357" s="1114"/>
      <c r="DT357" s="1114"/>
      <c r="DU357" s="1114"/>
      <c r="DV357" s="1115"/>
      <c r="DW357" s="1116"/>
      <c r="DX357" s="1116"/>
      <c r="DY357" s="1116"/>
      <c r="DZ357" s="1116"/>
      <c r="EA357" s="1116"/>
      <c r="EB357" s="1116"/>
      <c r="EC357" s="1116"/>
      <c r="ED357" s="1116"/>
      <c r="EE357" s="1116"/>
      <c r="EF357" s="1116"/>
      <c r="EG357" s="1116"/>
      <c r="EH357" s="1116"/>
      <c r="EI357" s="1116"/>
      <c r="EJ357" s="1116"/>
      <c r="EK357" s="1116"/>
      <c r="EL357" s="1116"/>
      <c r="EM357" s="1116"/>
      <c r="EN357" s="1116"/>
      <c r="EO357" s="1116"/>
      <c r="EP357" s="1116"/>
      <c r="EQ357" s="1116"/>
      <c r="ER357" s="1116"/>
      <c r="ES357" s="1116"/>
    </row>
    <row r="358" spans="1:149" ht="15" customHeight="1">
      <c r="A358" s="1185">
        <v>348</v>
      </c>
      <c r="B358" s="1041"/>
      <c r="C358" s="1050"/>
      <c r="D358" s="1050"/>
      <c r="E358" s="1050"/>
      <c r="F358" s="1049"/>
      <c r="G358" s="1049"/>
      <c r="H358" s="1049"/>
      <c r="I358" s="1049"/>
      <c r="J358" s="1050"/>
      <c r="K358" s="1050"/>
      <c r="L358" s="1043"/>
      <c r="M358" s="1051"/>
      <c r="N358" s="1051"/>
      <c r="O358" s="1052"/>
      <c r="P358" s="1051"/>
      <c r="Q358" s="1051"/>
      <c r="R358" s="1052"/>
      <c r="S358" s="1051"/>
      <c r="T358" s="1051"/>
      <c r="U358" s="1052"/>
      <c r="V358" s="1051"/>
      <c r="W358" s="1051"/>
      <c r="X358" s="1052"/>
      <c r="Y358" s="1053"/>
      <c r="Z358" s="1051"/>
      <c r="AA358" s="1051"/>
      <c r="AB358" s="1052"/>
      <c r="AC358" s="1051"/>
      <c r="AD358" s="1051"/>
      <c r="AE358" s="1052"/>
      <c r="AF358" s="1051"/>
      <c r="AG358" s="1051"/>
      <c r="AH358" s="1051"/>
      <c r="AI358" s="1051"/>
      <c r="AJ358" s="1052"/>
      <c r="AK358" s="1051"/>
      <c r="AL358" s="1051"/>
      <c r="AM358" s="1052"/>
      <c r="AN358" s="1051"/>
      <c r="AO358" s="1051"/>
      <c r="AP358" s="1052"/>
      <c r="AQ358" s="1051"/>
      <c r="AR358" s="1051"/>
      <c r="AS358" s="1052"/>
      <c r="AT358" s="1051"/>
      <c r="AU358" s="1051"/>
      <c r="AV358" s="1052"/>
      <c r="AW358" s="1051"/>
      <c r="AX358" s="1051"/>
      <c r="AY358" s="1053"/>
      <c r="AZ358" s="1051"/>
      <c r="BA358" s="1051"/>
      <c r="BB358" s="1053"/>
      <c r="BC358" s="1051"/>
      <c r="BD358" s="1051"/>
      <c r="BE358" s="1053"/>
      <c r="BF358" s="1051"/>
      <c r="BG358" s="1051"/>
      <c r="BH358" s="1053"/>
      <c r="BI358" s="1052"/>
      <c r="BJ358" s="1052"/>
      <c r="BK358" s="1052"/>
      <c r="BL358" s="1052"/>
      <c r="BM358" s="1052"/>
      <c r="BN358" s="1054"/>
      <c r="BO358" s="1076">
        <f t="shared" si="6"/>
        <v>0</v>
      </c>
      <c r="BP358" s="1051"/>
      <c r="BQ358" s="1052"/>
      <c r="BR358" s="1054"/>
      <c r="BS358" s="1053"/>
      <c r="BT358" s="1051"/>
      <c r="BU358" s="1051"/>
      <c r="BV358" s="1051"/>
      <c r="BW358" s="1052"/>
      <c r="BX358" s="1052"/>
      <c r="BY358" s="1052"/>
      <c r="BZ358" s="1052"/>
      <c r="CA358" s="1052"/>
      <c r="CB358" s="1053"/>
      <c r="CC358" s="1053"/>
      <c r="CD358" s="1053"/>
      <c r="CE358" s="1053"/>
      <c r="CF358" s="1053"/>
      <c r="CG358" s="1053"/>
      <c r="CH358" s="1053"/>
      <c r="CI358" s="1123"/>
      <c r="CJ358" s="1123"/>
      <c r="CK358" s="1123"/>
      <c r="CL358" s="1123"/>
      <c r="CM358" s="1123"/>
      <c r="CN358" s="1123"/>
      <c r="CO358" s="1123"/>
      <c r="CP358" s="1123"/>
      <c r="CQ358" s="1123"/>
      <c r="CR358" s="1123"/>
      <c r="CS358" s="1123"/>
      <c r="CT358" s="1123"/>
      <c r="CU358" s="1123"/>
      <c r="CV358" s="1123"/>
      <c r="CW358" s="1123"/>
      <c r="CX358" s="1123"/>
      <c r="CY358" s="1123"/>
      <c r="CZ358" s="1114"/>
      <c r="DA358" s="1114"/>
      <c r="DB358" s="1114"/>
      <c r="DC358" s="1114"/>
      <c r="DD358" s="1114"/>
      <c r="DE358" s="1114"/>
      <c r="DF358" s="1114"/>
      <c r="DG358" s="1114"/>
      <c r="DH358" s="1114"/>
      <c r="DI358" s="1114"/>
      <c r="DJ358" s="1114"/>
      <c r="DK358" s="1114"/>
      <c r="DL358" s="1114"/>
      <c r="DM358" s="1114"/>
      <c r="DN358" s="1114"/>
      <c r="DO358" s="1114"/>
      <c r="DP358" s="1114"/>
      <c r="DQ358" s="1114"/>
      <c r="DR358" s="1114"/>
      <c r="DS358" s="1114"/>
      <c r="DT358" s="1114"/>
      <c r="DU358" s="1114"/>
      <c r="DV358" s="1115"/>
      <c r="DW358" s="1116"/>
      <c r="DX358" s="1116"/>
      <c r="DY358" s="1116"/>
      <c r="DZ358" s="1116"/>
      <c r="EA358" s="1116"/>
      <c r="EB358" s="1116"/>
      <c r="EC358" s="1116"/>
      <c r="ED358" s="1116"/>
      <c r="EE358" s="1116"/>
      <c r="EF358" s="1116"/>
      <c r="EG358" s="1116"/>
      <c r="EH358" s="1116"/>
      <c r="EI358" s="1116"/>
      <c r="EJ358" s="1116"/>
      <c r="EK358" s="1116"/>
      <c r="EL358" s="1116"/>
      <c r="EM358" s="1116"/>
      <c r="EN358" s="1116"/>
      <c r="EO358" s="1116"/>
      <c r="EP358" s="1116"/>
      <c r="EQ358" s="1116"/>
      <c r="ER358" s="1116"/>
      <c r="ES358" s="1116"/>
    </row>
    <row r="359" spans="1:149" ht="15" customHeight="1">
      <c r="A359" s="1185">
        <v>349</v>
      </c>
      <c r="B359" s="1041"/>
      <c r="C359" s="1050"/>
      <c r="D359" s="1050"/>
      <c r="E359" s="1050"/>
      <c r="F359" s="1049"/>
      <c r="G359" s="1049"/>
      <c r="H359" s="1049"/>
      <c r="I359" s="1049"/>
      <c r="J359" s="1050"/>
      <c r="K359" s="1050"/>
      <c r="L359" s="1043"/>
      <c r="M359" s="1051"/>
      <c r="N359" s="1051"/>
      <c r="O359" s="1052"/>
      <c r="P359" s="1051"/>
      <c r="Q359" s="1051"/>
      <c r="R359" s="1052"/>
      <c r="S359" s="1051"/>
      <c r="T359" s="1051"/>
      <c r="U359" s="1052"/>
      <c r="V359" s="1051"/>
      <c r="W359" s="1051"/>
      <c r="X359" s="1052"/>
      <c r="Y359" s="1053"/>
      <c r="Z359" s="1051"/>
      <c r="AA359" s="1051"/>
      <c r="AB359" s="1052"/>
      <c r="AC359" s="1051"/>
      <c r="AD359" s="1051"/>
      <c r="AE359" s="1052"/>
      <c r="AF359" s="1051"/>
      <c r="AG359" s="1051"/>
      <c r="AH359" s="1051"/>
      <c r="AI359" s="1051"/>
      <c r="AJ359" s="1052"/>
      <c r="AK359" s="1051"/>
      <c r="AL359" s="1051"/>
      <c r="AM359" s="1052"/>
      <c r="AN359" s="1051"/>
      <c r="AO359" s="1051"/>
      <c r="AP359" s="1052"/>
      <c r="AQ359" s="1051"/>
      <c r="AR359" s="1051"/>
      <c r="AS359" s="1052"/>
      <c r="AT359" s="1051"/>
      <c r="AU359" s="1051"/>
      <c r="AV359" s="1052"/>
      <c r="AW359" s="1051"/>
      <c r="AX359" s="1051"/>
      <c r="AY359" s="1053"/>
      <c r="AZ359" s="1051"/>
      <c r="BA359" s="1051"/>
      <c r="BB359" s="1053"/>
      <c r="BC359" s="1051"/>
      <c r="BD359" s="1051"/>
      <c r="BE359" s="1053"/>
      <c r="BF359" s="1051"/>
      <c r="BG359" s="1051"/>
      <c r="BH359" s="1053"/>
      <c r="BI359" s="1052"/>
      <c r="BJ359" s="1052"/>
      <c r="BK359" s="1052"/>
      <c r="BL359" s="1052"/>
      <c r="BM359" s="1052"/>
      <c r="BN359" s="1054"/>
      <c r="BO359" s="1076">
        <f t="shared" si="6"/>
        <v>0</v>
      </c>
      <c r="BP359" s="1051"/>
      <c r="BQ359" s="1052"/>
      <c r="BR359" s="1054"/>
      <c r="BS359" s="1053"/>
      <c r="BT359" s="1051"/>
      <c r="BU359" s="1051"/>
      <c r="BV359" s="1051"/>
      <c r="BW359" s="1052"/>
      <c r="BX359" s="1052"/>
      <c r="BY359" s="1052"/>
      <c r="BZ359" s="1052"/>
      <c r="CA359" s="1052"/>
      <c r="CB359" s="1053"/>
      <c r="CC359" s="1053"/>
      <c r="CD359" s="1053"/>
      <c r="CE359" s="1053"/>
      <c r="CF359" s="1053"/>
      <c r="CG359" s="1053"/>
      <c r="CH359" s="1053"/>
      <c r="CI359" s="1123"/>
      <c r="CJ359" s="1123"/>
      <c r="CK359" s="1123"/>
      <c r="CL359" s="1123"/>
      <c r="CM359" s="1123"/>
      <c r="CN359" s="1123"/>
      <c r="CO359" s="1123"/>
      <c r="CP359" s="1123"/>
      <c r="CQ359" s="1123"/>
      <c r="CR359" s="1123"/>
      <c r="CS359" s="1123"/>
      <c r="CT359" s="1123"/>
      <c r="CU359" s="1123"/>
      <c r="CV359" s="1123"/>
      <c r="CW359" s="1123"/>
      <c r="CX359" s="1123"/>
      <c r="CY359" s="1123"/>
      <c r="CZ359" s="1114"/>
      <c r="DA359" s="1114"/>
      <c r="DB359" s="1114"/>
      <c r="DC359" s="1114"/>
      <c r="DD359" s="1114"/>
      <c r="DE359" s="1114"/>
      <c r="DF359" s="1114"/>
      <c r="DG359" s="1114"/>
      <c r="DH359" s="1114"/>
      <c r="DI359" s="1114"/>
      <c r="DJ359" s="1114"/>
      <c r="DK359" s="1114"/>
      <c r="DL359" s="1114"/>
      <c r="DM359" s="1114"/>
      <c r="DN359" s="1114"/>
      <c r="DO359" s="1114"/>
      <c r="DP359" s="1114"/>
      <c r="DQ359" s="1114"/>
      <c r="DR359" s="1114"/>
      <c r="DS359" s="1114"/>
      <c r="DT359" s="1114"/>
      <c r="DU359" s="1114"/>
      <c r="DV359" s="1115"/>
      <c r="DW359" s="1116"/>
      <c r="DX359" s="1116"/>
      <c r="DY359" s="1116"/>
      <c r="DZ359" s="1116"/>
      <c r="EA359" s="1116"/>
      <c r="EB359" s="1116"/>
      <c r="EC359" s="1116"/>
      <c r="ED359" s="1116"/>
      <c r="EE359" s="1116"/>
      <c r="EF359" s="1116"/>
      <c r="EG359" s="1116"/>
      <c r="EH359" s="1116"/>
      <c r="EI359" s="1116"/>
      <c r="EJ359" s="1116"/>
      <c r="EK359" s="1116"/>
      <c r="EL359" s="1116"/>
      <c r="EM359" s="1116"/>
      <c r="EN359" s="1116"/>
      <c r="EO359" s="1116"/>
      <c r="EP359" s="1116"/>
      <c r="EQ359" s="1116"/>
      <c r="ER359" s="1116"/>
      <c r="ES359" s="1116"/>
    </row>
    <row r="360" spans="1:149" ht="15" customHeight="1">
      <c r="A360" s="1185">
        <v>350</v>
      </c>
      <c r="B360" s="1041"/>
      <c r="C360" s="1050"/>
      <c r="D360" s="1050"/>
      <c r="E360" s="1050"/>
      <c r="F360" s="1049"/>
      <c r="G360" s="1049"/>
      <c r="H360" s="1049"/>
      <c r="I360" s="1049"/>
      <c r="J360" s="1050"/>
      <c r="K360" s="1050"/>
      <c r="L360" s="1043"/>
      <c r="M360" s="1051"/>
      <c r="N360" s="1051"/>
      <c r="O360" s="1052"/>
      <c r="P360" s="1051"/>
      <c r="Q360" s="1051"/>
      <c r="R360" s="1052"/>
      <c r="S360" s="1051"/>
      <c r="T360" s="1051"/>
      <c r="U360" s="1052"/>
      <c r="V360" s="1051"/>
      <c r="W360" s="1051"/>
      <c r="X360" s="1052"/>
      <c r="Y360" s="1053"/>
      <c r="Z360" s="1051"/>
      <c r="AA360" s="1051"/>
      <c r="AB360" s="1052"/>
      <c r="AC360" s="1051"/>
      <c r="AD360" s="1051"/>
      <c r="AE360" s="1052"/>
      <c r="AF360" s="1051"/>
      <c r="AG360" s="1051"/>
      <c r="AH360" s="1051"/>
      <c r="AI360" s="1051"/>
      <c r="AJ360" s="1052"/>
      <c r="AK360" s="1051"/>
      <c r="AL360" s="1051"/>
      <c r="AM360" s="1052"/>
      <c r="AN360" s="1051"/>
      <c r="AO360" s="1051"/>
      <c r="AP360" s="1052"/>
      <c r="AQ360" s="1051"/>
      <c r="AR360" s="1051"/>
      <c r="AS360" s="1052"/>
      <c r="AT360" s="1051"/>
      <c r="AU360" s="1051"/>
      <c r="AV360" s="1052"/>
      <c r="AW360" s="1051"/>
      <c r="AX360" s="1051"/>
      <c r="AY360" s="1053"/>
      <c r="AZ360" s="1051"/>
      <c r="BA360" s="1051"/>
      <c r="BB360" s="1053"/>
      <c r="BC360" s="1051"/>
      <c r="BD360" s="1051"/>
      <c r="BE360" s="1053"/>
      <c r="BF360" s="1051"/>
      <c r="BG360" s="1051"/>
      <c r="BH360" s="1053"/>
      <c r="BI360" s="1052"/>
      <c r="BJ360" s="1052"/>
      <c r="BK360" s="1052"/>
      <c r="BL360" s="1052"/>
      <c r="BM360" s="1052"/>
      <c r="BN360" s="1054"/>
      <c r="BO360" s="1076">
        <f t="shared" si="6"/>
        <v>0</v>
      </c>
      <c r="BP360" s="1051"/>
      <c r="BQ360" s="1052"/>
      <c r="BR360" s="1054"/>
      <c r="BS360" s="1053"/>
      <c r="BT360" s="1051"/>
      <c r="BU360" s="1051"/>
      <c r="BV360" s="1051"/>
      <c r="BW360" s="1052"/>
      <c r="BX360" s="1052"/>
      <c r="BY360" s="1052"/>
      <c r="BZ360" s="1052"/>
      <c r="CA360" s="1052"/>
      <c r="CB360" s="1053"/>
      <c r="CC360" s="1053"/>
      <c r="CD360" s="1053"/>
      <c r="CE360" s="1053"/>
      <c r="CF360" s="1053"/>
      <c r="CG360" s="1053"/>
      <c r="CH360" s="1053"/>
      <c r="CI360" s="1123"/>
      <c r="CJ360" s="1123"/>
      <c r="CK360" s="1123"/>
      <c r="CL360" s="1123"/>
      <c r="CM360" s="1123"/>
      <c r="CN360" s="1123"/>
      <c r="CO360" s="1123"/>
      <c r="CP360" s="1123"/>
      <c r="CQ360" s="1123"/>
      <c r="CR360" s="1123"/>
      <c r="CS360" s="1123"/>
      <c r="CT360" s="1123"/>
      <c r="CU360" s="1123"/>
      <c r="CV360" s="1123"/>
      <c r="CW360" s="1123"/>
      <c r="CX360" s="1123"/>
      <c r="CY360" s="1123"/>
      <c r="CZ360" s="1114"/>
      <c r="DA360" s="1114"/>
      <c r="DB360" s="1114"/>
      <c r="DC360" s="1114"/>
      <c r="DD360" s="1114"/>
      <c r="DE360" s="1114"/>
      <c r="DF360" s="1114"/>
      <c r="DG360" s="1114"/>
      <c r="DH360" s="1114"/>
      <c r="DI360" s="1114"/>
      <c r="DJ360" s="1114"/>
      <c r="DK360" s="1114"/>
      <c r="DL360" s="1114"/>
      <c r="DM360" s="1114"/>
      <c r="DN360" s="1114"/>
      <c r="DO360" s="1114"/>
      <c r="DP360" s="1114"/>
      <c r="DQ360" s="1114"/>
      <c r="DR360" s="1114"/>
      <c r="DS360" s="1114"/>
      <c r="DT360" s="1114"/>
      <c r="DU360" s="1114"/>
      <c r="DV360" s="1115"/>
      <c r="DW360" s="1116"/>
      <c r="DX360" s="1116"/>
      <c r="DY360" s="1116"/>
      <c r="DZ360" s="1116"/>
      <c r="EA360" s="1116"/>
      <c r="EB360" s="1116"/>
      <c r="EC360" s="1116"/>
      <c r="ED360" s="1116"/>
      <c r="EE360" s="1116"/>
      <c r="EF360" s="1116"/>
      <c r="EG360" s="1116"/>
      <c r="EH360" s="1116"/>
      <c r="EI360" s="1116"/>
      <c r="EJ360" s="1116"/>
      <c r="EK360" s="1116"/>
      <c r="EL360" s="1116"/>
      <c r="EM360" s="1116"/>
      <c r="EN360" s="1116"/>
      <c r="EO360" s="1116"/>
      <c r="EP360" s="1116"/>
      <c r="EQ360" s="1116"/>
      <c r="ER360" s="1116"/>
      <c r="ES360" s="1116"/>
    </row>
    <row r="361" spans="1:149" ht="15" customHeight="1">
      <c r="A361" s="1185">
        <v>351</v>
      </c>
      <c r="B361" s="1041"/>
      <c r="C361" s="1050"/>
      <c r="D361" s="1050"/>
      <c r="E361" s="1050"/>
      <c r="F361" s="1049"/>
      <c r="G361" s="1049"/>
      <c r="H361" s="1049"/>
      <c r="I361" s="1049"/>
      <c r="J361" s="1050"/>
      <c r="K361" s="1050"/>
      <c r="L361" s="1043"/>
      <c r="M361" s="1051"/>
      <c r="N361" s="1051"/>
      <c r="O361" s="1052"/>
      <c r="P361" s="1051"/>
      <c r="Q361" s="1051"/>
      <c r="R361" s="1052"/>
      <c r="S361" s="1051"/>
      <c r="T361" s="1051"/>
      <c r="U361" s="1052"/>
      <c r="V361" s="1051"/>
      <c r="W361" s="1051"/>
      <c r="X361" s="1052"/>
      <c r="Y361" s="1053"/>
      <c r="Z361" s="1051"/>
      <c r="AA361" s="1051"/>
      <c r="AB361" s="1052"/>
      <c r="AC361" s="1051"/>
      <c r="AD361" s="1051"/>
      <c r="AE361" s="1052"/>
      <c r="AF361" s="1051"/>
      <c r="AG361" s="1051"/>
      <c r="AH361" s="1051"/>
      <c r="AI361" s="1051"/>
      <c r="AJ361" s="1052"/>
      <c r="AK361" s="1051"/>
      <c r="AL361" s="1051"/>
      <c r="AM361" s="1052"/>
      <c r="AN361" s="1051"/>
      <c r="AO361" s="1051"/>
      <c r="AP361" s="1052"/>
      <c r="AQ361" s="1051"/>
      <c r="AR361" s="1051"/>
      <c r="AS361" s="1052"/>
      <c r="AT361" s="1051"/>
      <c r="AU361" s="1051"/>
      <c r="AV361" s="1052"/>
      <c r="AW361" s="1051"/>
      <c r="AX361" s="1051"/>
      <c r="AY361" s="1053"/>
      <c r="AZ361" s="1051"/>
      <c r="BA361" s="1051"/>
      <c r="BB361" s="1053"/>
      <c r="BC361" s="1051"/>
      <c r="BD361" s="1051"/>
      <c r="BE361" s="1053"/>
      <c r="BF361" s="1051"/>
      <c r="BG361" s="1051"/>
      <c r="BH361" s="1053"/>
      <c r="BI361" s="1052"/>
      <c r="BJ361" s="1052"/>
      <c r="BK361" s="1052"/>
      <c r="BL361" s="1052"/>
      <c r="BM361" s="1052"/>
      <c r="BN361" s="1054"/>
      <c r="BO361" s="1076">
        <f t="shared" si="6"/>
        <v>0</v>
      </c>
      <c r="BP361" s="1051"/>
      <c r="BQ361" s="1052"/>
      <c r="BR361" s="1054"/>
      <c r="BS361" s="1053"/>
      <c r="BT361" s="1051"/>
      <c r="BU361" s="1051"/>
      <c r="BV361" s="1051"/>
      <c r="BW361" s="1052"/>
      <c r="BX361" s="1052"/>
      <c r="BY361" s="1052"/>
      <c r="BZ361" s="1052"/>
      <c r="CA361" s="1052"/>
      <c r="CB361" s="1053"/>
      <c r="CC361" s="1053"/>
      <c r="CD361" s="1053"/>
      <c r="CE361" s="1053"/>
      <c r="CF361" s="1053"/>
      <c r="CG361" s="1053"/>
      <c r="CH361" s="1053"/>
      <c r="CI361" s="1123"/>
      <c r="CJ361" s="1123"/>
      <c r="CK361" s="1123"/>
      <c r="CL361" s="1123"/>
      <c r="CM361" s="1123"/>
      <c r="CN361" s="1123"/>
      <c r="CO361" s="1123"/>
      <c r="CP361" s="1123"/>
      <c r="CQ361" s="1123"/>
      <c r="CR361" s="1123"/>
      <c r="CS361" s="1123"/>
      <c r="CT361" s="1123"/>
      <c r="CU361" s="1123"/>
      <c r="CV361" s="1123"/>
      <c r="CW361" s="1123"/>
      <c r="CX361" s="1123"/>
      <c r="CY361" s="1123"/>
      <c r="CZ361" s="1114"/>
      <c r="DA361" s="1114"/>
      <c r="DB361" s="1114"/>
      <c r="DC361" s="1114"/>
      <c r="DD361" s="1114"/>
      <c r="DE361" s="1114"/>
      <c r="DF361" s="1114"/>
      <c r="DG361" s="1114"/>
      <c r="DH361" s="1114"/>
      <c r="DI361" s="1114"/>
      <c r="DJ361" s="1114"/>
      <c r="DK361" s="1114"/>
      <c r="DL361" s="1114"/>
      <c r="DM361" s="1114"/>
      <c r="DN361" s="1114"/>
      <c r="DO361" s="1114"/>
      <c r="DP361" s="1114"/>
      <c r="DQ361" s="1114"/>
      <c r="DR361" s="1114"/>
      <c r="DS361" s="1114"/>
      <c r="DT361" s="1114"/>
      <c r="DU361" s="1114"/>
      <c r="DV361" s="1115"/>
      <c r="DW361" s="1116"/>
      <c r="DX361" s="1116"/>
      <c r="DY361" s="1116"/>
      <c r="DZ361" s="1116"/>
      <c r="EA361" s="1116"/>
      <c r="EB361" s="1116"/>
      <c r="EC361" s="1116"/>
      <c r="ED361" s="1116"/>
      <c r="EE361" s="1116"/>
      <c r="EF361" s="1116"/>
      <c r="EG361" s="1116"/>
      <c r="EH361" s="1116"/>
      <c r="EI361" s="1116"/>
      <c r="EJ361" s="1116"/>
      <c r="EK361" s="1116"/>
      <c r="EL361" s="1116"/>
      <c r="EM361" s="1116"/>
      <c r="EN361" s="1116"/>
      <c r="EO361" s="1116"/>
      <c r="EP361" s="1116"/>
      <c r="EQ361" s="1116"/>
      <c r="ER361" s="1116"/>
      <c r="ES361" s="1116"/>
    </row>
    <row r="362" spans="1:149" ht="15" customHeight="1">
      <c r="A362" s="1185">
        <v>352</v>
      </c>
      <c r="B362" s="1041"/>
      <c r="C362" s="1050"/>
      <c r="D362" s="1050"/>
      <c r="E362" s="1050"/>
      <c r="F362" s="1049"/>
      <c r="G362" s="1049"/>
      <c r="H362" s="1049"/>
      <c r="I362" s="1049"/>
      <c r="J362" s="1050"/>
      <c r="K362" s="1050"/>
      <c r="L362" s="1043"/>
      <c r="M362" s="1051"/>
      <c r="N362" s="1051"/>
      <c r="O362" s="1052"/>
      <c r="P362" s="1051"/>
      <c r="Q362" s="1051"/>
      <c r="R362" s="1052"/>
      <c r="S362" s="1051"/>
      <c r="T362" s="1051"/>
      <c r="U362" s="1052"/>
      <c r="V362" s="1051"/>
      <c r="W362" s="1051"/>
      <c r="X362" s="1052"/>
      <c r="Y362" s="1053"/>
      <c r="Z362" s="1051"/>
      <c r="AA362" s="1051"/>
      <c r="AB362" s="1052"/>
      <c r="AC362" s="1051"/>
      <c r="AD362" s="1051"/>
      <c r="AE362" s="1052"/>
      <c r="AF362" s="1051"/>
      <c r="AG362" s="1051"/>
      <c r="AH362" s="1051"/>
      <c r="AI362" s="1051"/>
      <c r="AJ362" s="1052"/>
      <c r="AK362" s="1051"/>
      <c r="AL362" s="1051"/>
      <c r="AM362" s="1052"/>
      <c r="AN362" s="1051"/>
      <c r="AO362" s="1051"/>
      <c r="AP362" s="1052"/>
      <c r="AQ362" s="1051"/>
      <c r="AR362" s="1051"/>
      <c r="AS362" s="1052"/>
      <c r="AT362" s="1051"/>
      <c r="AU362" s="1051"/>
      <c r="AV362" s="1052"/>
      <c r="AW362" s="1051"/>
      <c r="AX362" s="1051"/>
      <c r="AY362" s="1053"/>
      <c r="AZ362" s="1051"/>
      <c r="BA362" s="1051"/>
      <c r="BB362" s="1053"/>
      <c r="BC362" s="1051"/>
      <c r="BD362" s="1051"/>
      <c r="BE362" s="1053"/>
      <c r="BF362" s="1051"/>
      <c r="BG362" s="1051"/>
      <c r="BH362" s="1053"/>
      <c r="BI362" s="1052"/>
      <c r="BJ362" s="1052"/>
      <c r="BK362" s="1052"/>
      <c r="BL362" s="1052"/>
      <c r="BM362" s="1052"/>
      <c r="BN362" s="1054"/>
      <c r="BO362" s="1076">
        <f t="shared" si="6"/>
        <v>0</v>
      </c>
      <c r="BP362" s="1051"/>
      <c r="BQ362" s="1052"/>
      <c r="BR362" s="1054"/>
      <c r="BS362" s="1053"/>
      <c r="BT362" s="1051"/>
      <c r="BU362" s="1051"/>
      <c r="BV362" s="1051"/>
      <c r="BW362" s="1052"/>
      <c r="BX362" s="1052"/>
      <c r="BY362" s="1052"/>
      <c r="BZ362" s="1052"/>
      <c r="CA362" s="1052"/>
      <c r="CB362" s="1053"/>
      <c r="CC362" s="1053"/>
      <c r="CD362" s="1053"/>
      <c r="CE362" s="1053"/>
      <c r="CF362" s="1053"/>
      <c r="CG362" s="1053"/>
      <c r="CH362" s="1053"/>
      <c r="CI362" s="1123"/>
      <c r="CJ362" s="1123"/>
      <c r="CK362" s="1123"/>
      <c r="CL362" s="1123"/>
      <c r="CM362" s="1123"/>
      <c r="CN362" s="1123"/>
      <c r="CO362" s="1123"/>
      <c r="CP362" s="1123"/>
      <c r="CQ362" s="1123"/>
      <c r="CR362" s="1123"/>
      <c r="CS362" s="1123"/>
      <c r="CT362" s="1123"/>
      <c r="CU362" s="1123"/>
      <c r="CV362" s="1123"/>
      <c r="CW362" s="1123"/>
      <c r="CX362" s="1123"/>
      <c r="CY362" s="1123"/>
      <c r="CZ362" s="1114"/>
      <c r="DA362" s="1114"/>
      <c r="DB362" s="1114"/>
      <c r="DC362" s="1114"/>
      <c r="DD362" s="1114"/>
      <c r="DE362" s="1114"/>
      <c r="DF362" s="1114"/>
      <c r="DG362" s="1114"/>
      <c r="DH362" s="1114"/>
      <c r="DI362" s="1114"/>
      <c r="DJ362" s="1114"/>
      <c r="DK362" s="1114"/>
      <c r="DL362" s="1114"/>
      <c r="DM362" s="1114"/>
      <c r="DN362" s="1114"/>
      <c r="DO362" s="1114"/>
      <c r="DP362" s="1114"/>
      <c r="DQ362" s="1114"/>
      <c r="DR362" s="1114"/>
      <c r="DS362" s="1114"/>
      <c r="DT362" s="1114"/>
      <c r="DU362" s="1114"/>
      <c r="DV362" s="1115"/>
      <c r="DW362" s="1116"/>
      <c r="DX362" s="1116"/>
      <c r="DY362" s="1116"/>
      <c r="DZ362" s="1116"/>
      <c r="EA362" s="1116"/>
      <c r="EB362" s="1116"/>
      <c r="EC362" s="1116"/>
      <c r="ED362" s="1116"/>
      <c r="EE362" s="1116"/>
      <c r="EF362" s="1116"/>
      <c r="EG362" s="1116"/>
      <c r="EH362" s="1116"/>
      <c r="EI362" s="1116"/>
      <c r="EJ362" s="1116"/>
      <c r="EK362" s="1116"/>
      <c r="EL362" s="1116"/>
      <c r="EM362" s="1116"/>
      <c r="EN362" s="1116"/>
      <c r="EO362" s="1116"/>
      <c r="EP362" s="1116"/>
      <c r="EQ362" s="1116"/>
      <c r="ER362" s="1116"/>
      <c r="ES362" s="1116"/>
    </row>
    <row r="363" spans="1:149" ht="15" customHeight="1">
      <c r="A363" s="1185">
        <v>353</v>
      </c>
      <c r="B363" s="1041"/>
      <c r="C363" s="1050"/>
      <c r="D363" s="1050"/>
      <c r="E363" s="1050"/>
      <c r="F363" s="1049"/>
      <c r="G363" s="1049"/>
      <c r="H363" s="1049"/>
      <c r="I363" s="1049"/>
      <c r="J363" s="1050"/>
      <c r="K363" s="1050"/>
      <c r="L363" s="1043"/>
      <c r="M363" s="1051"/>
      <c r="N363" s="1051"/>
      <c r="O363" s="1052"/>
      <c r="P363" s="1051"/>
      <c r="Q363" s="1051"/>
      <c r="R363" s="1052"/>
      <c r="S363" s="1051"/>
      <c r="T363" s="1051"/>
      <c r="U363" s="1052"/>
      <c r="V363" s="1051"/>
      <c r="W363" s="1051"/>
      <c r="X363" s="1052"/>
      <c r="Y363" s="1053"/>
      <c r="Z363" s="1051"/>
      <c r="AA363" s="1051"/>
      <c r="AB363" s="1052"/>
      <c r="AC363" s="1051"/>
      <c r="AD363" s="1051"/>
      <c r="AE363" s="1052"/>
      <c r="AF363" s="1051"/>
      <c r="AG363" s="1051"/>
      <c r="AH363" s="1051"/>
      <c r="AI363" s="1051"/>
      <c r="AJ363" s="1052"/>
      <c r="AK363" s="1051"/>
      <c r="AL363" s="1051"/>
      <c r="AM363" s="1052"/>
      <c r="AN363" s="1051"/>
      <c r="AO363" s="1051"/>
      <c r="AP363" s="1052"/>
      <c r="AQ363" s="1051"/>
      <c r="AR363" s="1051"/>
      <c r="AS363" s="1052"/>
      <c r="AT363" s="1051"/>
      <c r="AU363" s="1051"/>
      <c r="AV363" s="1052"/>
      <c r="AW363" s="1051"/>
      <c r="AX363" s="1051"/>
      <c r="AY363" s="1053"/>
      <c r="AZ363" s="1051"/>
      <c r="BA363" s="1051"/>
      <c r="BB363" s="1053"/>
      <c r="BC363" s="1051"/>
      <c r="BD363" s="1051"/>
      <c r="BE363" s="1053"/>
      <c r="BF363" s="1051"/>
      <c r="BG363" s="1051"/>
      <c r="BH363" s="1053"/>
      <c r="BI363" s="1052"/>
      <c r="BJ363" s="1052"/>
      <c r="BK363" s="1052"/>
      <c r="BL363" s="1052"/>
      <c r="BM363" s="1052"/>
      <c r="BN363" s="1054"/>
      <c r="BO363" s="1076">
        <f t="shared" si="6"/>
        <v>0</v>
      </c>
      <c r="BP363" s="1051"/>
      <c r="BQ363" s="1052"/>
      <c r="BR363" s="1054"/>
      <c r="BS363" s="1053"/>
      <c r="BT363" s="1051"/>
      <c r="BU363" s="1051"/>
      <c r="BV363" s="1051"/>
      <c r="BW363" s="1052"/>
      <c r="BX363" s="1052"/>
      <c r="BY363" s="1052"/>
      <c r="BZ363" s="1052"/>
      <c r="CA363" s="1052"/>
      <c r="CB363" s="1053"/>
      <c r="CC363" s="1053"/>
      <c r="CD363" s="1053"/>
      <c r="CE363" s="1053"/>
      <c r="CF363" s="1053"/>
      <c r="CG363" s="1053"/>
      <c r="CH363" s="1053"/>
      <c r="CI363" s="1123"/>
      <c r="CJ363" s="1123"/>
      <c r="CK363" s="1123"/>
      <c r="CL363" s="1123"/>
      <c r="CM363" s="1123"/>
      <c r="CN363" s="1123"/>
      <c r="CO363" s="1123"/>
      <c r="CP363" s="1123"/>
      <c r="CQ363" s="1123"/>
      <c r="CR363" s="1123"/>
      <c r="CS363" s="1123"/>
      <c r="CT363" s="1123"/>
      <c r="CU363" s="1123"/>
      <c r="CV363" s="1123"/>
      <c r="CW363" s="1123"/>
      <c r="CX363" s="1123"/>
      <c r="CY363" s="1123"/>
      <c r="CZ363" s="1114"/>
      <c r="DA363" s="1114"/>
      <c r="DB363" s="1114"/>
      <c r="DC363" s="1114"/>
      <c r="DD363" s="1114"/>
      <c r="DE363" s="1114"/>
      <c r="DF363" s="1114"/>
      <c r="DG363" s="1114"/>
      <c r="DH363" s="1114"/>
      <c r="DI363" s="1114"/>
      <c r="DJ363" s="1114"/>
      <c r="DK363" s="1114"/>
      <c r="DL363" s="1114"/>
      <c r="DM363" s="1114"/>
      <c r="DN363" s="1114"/>
      <c r="DO363" s="1114"/>
      <c r="DP363" s="1114"/>
      <c r="DQ363" s="1114"/>
      <c r="DR363" s="1114"/>
      <c r="DS363" s="1114"/>
      <c r="DT363" s="1114"/>
      <c r="DU363" s="1114"/>
      <c r="DV363" s="1115"/>
      <c r="DW363" s="1116"/>
      <c r="DX363" s="1116"/>
      <c r="DY363" s="1116"/>
      <c r="DZ363" s="1116"/>
      <c r="EA363" s="1116"/>
      <c r="EB363" s="1116"/>
      <c r="EC363" s="1116"/>
      <c r="ED363" s="1116"/>
      <c r="EE363" s="1116"/>
      <c r="EF363" s="1116"/>
      <c r="EG363" s="1116"/>
      <c r="EH363" s="1116"/>
      <c r="EI363" s="1116"/>
      <c r="EJ363" s="1116"/>
      <c r="EK363" s="1116"/>
      <c r="EL363" s="1116"/>
      <c r="EM363" s="1116"/>
      <c r="EN363" s="1116"/>
      <c r="EO363" s="1116"/>
      <c r="EP363" s="1116"/>
      <c r="EQ363" s="1116"/>
      <c r="ER363" s="1116"/>
      <c r="ES363" s="1116"/>
    </row>
    <row r="364" spans="1:149" ht="15" customHeight="1">
      <c r="A364" s="1185">
        <v>354</v>
      </c>
      <c r="B364" s="1041"/>
      <c r="C364" s="1050"/>
      <c r="D364" s="1050"/>
      <c r="E364" s="1050"/>
      <c r="F364" s="1049"/>
      <c r="G364" s="1049"/>
      <c r="H364" s="1049"/>
      <c r="I364" s="1049"/>
      <c r="J364" s="1050"/>
      <c r="K364" s="1050"/>
      <c r="L364" s="1043"/>
      <c r="M364" s="1051"/>
      <c r="N364" s="1051"/>
      <c r="O364" s="1052"/>
      <c r="P364" s="1051"/>
      <c r="Q364" s="1051"/>
      <c r="R364" s="1052"/>
      <c r="S364" s="1051"/>
      <c r="T364" s="1051"/>
      <c r="U364" s="1052"/>
      <c r="V364" s="1051"/>
      <c r="W364" s="1051"/>
      <c r="X364" s="1052"/>
      <c r="Y364" s="1053"/>
      <c r="Z364" s="1051"/>
      <c r="AA364" s="1051"/>
      <c r="AB364" s="1052"/>
      <c r="AC364" s="1051"/>
      <c r="AD364" s="1051"/>
      <c r="AE364" s="1052"/>
      <c r="AF364" s="1051"/>
      <c r="AG364" s="1051"/>
      <c r="AH364" s="1051"/>
      <c r="AI364" s="1051"/>
      <c r="AJ364" s="1052"/>
      <c r="AK364" s="1051"/>
      <c r="AL364" s="1051"/>
      <c r="AM364" s="1052"/>
      <c r="AN364" s="1051"/>
      <c r="AO364" s="1051"/>
      <c r="AP364" s="1052"/>
      <c r="AQ364" s="1051"/>
      <c r="AR364" s="1051"/>
      <c r="AS364" s="1052"/>
      <c r="AT364" s="1051"/>
      <c r="AU364" s="1051"/>
      <c r="AV364" s="1052"/>
      <c r="AW364" s="1051"/>
      <c r="AX364" s="1051"/>
      <c r="AY364" s="1053"/>
      <c r="AZ364" s="1051"/>
      <c r="BA364" s="1051"/>
      <c r="BB364" s="1053"/>
      <c r="BC364" s="1051"/>
      <c r="BD364" s="1051"/>
      <c r="BE364" s="1053"/>
      <c r="BF364" s="1051"/>
      <c r="BG364" s="1051"/>
      <c r="BH364" s="1053"/>
      <c r="BI364" s="1052"/>
      <c r="BJ364" s="1052"/>
      <c r="BK364" s="1052"/>
      <c r="BL364" s="1052"/>
      <c r="BM364" s="1052"/>
      <c r="BN364" s="1054"/>
      <c r="BO364" s="1076">
        <f t="shared" si="6"/>
        <v>0</v>
      </c>
      <c r="BP364" s="1051"/>
      <c r="BQ364" s="1052"/>
      <c r="BR364" s="1054"/>
      <c r="BS364" s="1053"/>
      <c r="BT364" s="1051"/>
      <c r="BU364" s="1051"/>
      <c r="BV364" s="1051"/>
      <c r="BW364" s="1052"/>
      <c r="BX364" s="1052"/>
      <c r="BY364" s="1052"/>
      <c r="BZ364" s="1052"/>
      <c r="CA364" s="1052"/>
      <c r="CB364" s="1053"/>
      <c r="CC364" s="1053"/>
      <c r="CD364" s="1053"/>
      <c r="CE364" s="1053"/>
      <c r="CF364" s="1053"/>
      <c r="CG364" s="1053"/>
      <c r="CH364" s="1053"/>
      <c r="CI364" s="1123"/>
      <c r="CJ364" s="1123"/>
      <c r="CK364" s="1123"/>
      <c r="CL364" s="1123"/>
      <c r="CM364" s="1123"/>
      <c r="CN364" s="1123"/>
      <c r="CO364" s="1123"/>
      <c r="CP364" s="1123"/>
      <c r="CQ364" s="1123"/>
      <c r="CR364" s="1123"/>
      <c r="CS364" s="1123"/>
      <c r="CT364" s="1123"/>
      <c r="CU364" s="1123"/>
      <c r="CV364" s="1123"/>
      <c r="CW364" s="1123"/>
      <c r="CX364" s="1123"/>
      <c r="CY364" s="1123"/>
      <c r="CZ364" s="1114"/>
      <c r="DA364" s="1114"/>
      <c r="DB364" s="1114"/>
      <c r="DC364" s="1114"/>
      <c r="DD364" s="1114"/>
      <c r="DE364" s="1114"/>
      <c r="DF364" s="1114"/>
      <c r="DG364" s="1114"/>
      <c r="DH364" s="1114"/>
      <c r="DI364" s="1114"/>
      <c r="DJ364" s="1114"/>
      <c r="DK364" s="1114"/>
      <c r="DL364" s="1114"/>
      <c r="DM364" s="1114"/>
      <c r="DN364" s="1114"/>
      <c r="DO364" s="1114"/>
      <c r="DP364" s="1114"/>
      <c r="DQ364" s="1114"/>
      <c r="DR364" s="1114"/>
      <c r="DS364" s="1114"/>
      <c r="DT364" s="1114"/>
      <c r="DU364" s="1114"/>
      <c r="DV364" s="1115"/>
      <c r="DW364" s="1116"/>
      <c r="DX364" s="1116"/>
      <c r="DY364" s="1116"/>
      <c r="DZ364" s="1116"/>
      <c r="EA364" s="1116"/>
      <c r="EB364" s="1116"/>
      <c r="EC364" s="1116"/>
      <c r="ED364" s="1116"/>
      <c r="EE364" s="1116"/>
      <c r="EF364" s="1116"/>
      <c r="EG364" s="1116"/>
      <c r="EH364" s="1116"/>
      <c r="EI364" s="1116"/>
      <c r="EJ364" s="1116"/>
      <c r="EK364" s="1116"/>
      <c r="EL364" s="1116"/>
      <c r="EM364" s="1116"/>
      <c r="EN364" s="1116"/>
      <c r="EO364" s="1116"/>
      <c r="EP364" s="1116"/>
      <c r="EQ364" s="1116"/>
      <c r="ER364" s="1116"/>
      <c r="ES364" s="1116"/>
    </row>
    <row r="365" spans="1:149" ht="15" customHeight="1">
      <c r="A365" s="1185">
        <v>355</v>
      </c>
      <c r="B365" s="1041"/>
      <c r="C365" s="1050"/>
      <c r="D365" s="1050"/>
      <c r="E365" s="1050"/>
      <c r="F365" s="1049"/>
      <c r="G365" s="1049"/>
      <c r="H365" s="1049"/>
      <c r="I365" s="1049"/>
      <c r="J365" s="1050"/>
      <c r="K365" s="1050"/>
      <c r="L365" s="1043"/>
      <c r="M365" s="1051"/>
      <c r="N365" s="1051"/>
      <c r="O365" s="1052"/>
      <c r="P365" s="1051"/>
      <c r="Q365" s="1051"/>
      <c r="R365" s="1052"/>
      <c r="S365" s="1051"/>
      <c r="T365" s="1051"/>
      <c r="U365" s="1052"/>
      <c r="V365" s="1051"/>
      <c r="W365" s="1051"/>
      <c r="X365" s="1052"/>
      <c r="Y365" s="1053"/>
      <c r="Z365" s="1051"/>
      <c r="AA365" s="1051"/>
      <c r="AB365" s="1052"/>
      <c r="AC365" s="1051"/>
      <c r="AD365" s="1051"/>
      <c r="AE365" s="1052"/>
      <c r="AF365" s="1051"/>
      <c r="AG365" s="1051"/>
      <c r="AH365" s="1051"/>
      <c r="AI365" s="1051"/>
      <c r="AJ365" s="1052"/>
      <c r="AK365" s="1051"/>
      <c r="AL365" s="1051"/>
      <c r="AM365" s="1052"/>
      <c r="AN365" s="1051"/>
      <c r="AO365" s="1051"/>
      <c r="AP365" s="1052"/>
      <c r="AQ365" s="1051"/>
      <c r="AR365" s="1051"/>
      <c r="AS365" s="1052"/>
      <c r="AT365" s="1051"/>
      <c r="AU365" s="1051"/>
      <c r="AV365" s="1052"/>
      <c r="AW365" s="1051"/>
      <c r="AX365" s="1051"/>
      <c r="AY365" s="1053"/>
      <c r="AZ365" s="1051"/>
      <c r="BA365" s="1051"/>
      <c r="BB365" s="1053"/>
      <c r="BC365" s="1051"/>
      <c r="BD365" s="1051"/>
      <c r="BE365" s="1053"/>
      <c r="BF365" s="1051"/>
      <c r="BG365" s="1051"/>
      <c r="BH365" s="1053"/>
      <c r="BI365" s="1052"/>
      <c r="BJ365" s="1052"/>
      <c r="BK365" s="1052"/>
      <c r="BL365" s="1052"/>
      <c r="BM365" s="1052"/>
      <c r="BN365" s="1054"/>
      <c r="BO365" s="1076">
        <f t="shared" si="6"/>
        <v>0</v>
      </c>
      <c r="BP365" s="1051"/>
      <c r="BQ365" s="1052"/>
      <c r="BR365" s="1054"/>
      <c r="BS365" s="1053"/>
      <c r="BT365" s="1051"/>
      <c r="BU365" s="1051"/>
      <c r="BV365" s="1051"/>
      <c r="BW365" s="1052"/>
      <c r="BX365" s="1052"/>
      <c r="BY365" s="1052"/>
      <c r="BZ365" s="1052"/>
      <c r="CA365" s="1052"/>
      <c r="CB365" s="1053"/>
      <c r="CC365" s="1053"/>
      <c r="CD365" s="1053"/>
      <c r="CE365" s="1053"/>
      <c r="CF365" s="1053"/>
      <c r="CG365" s="1053"/>
      <c r="CH365" s="1053"/>
      <c r="CI365" s="1123"/>
      <c r="CJ365" s="1123"/>
      <c r="CK365" s="1123"/>
      <c r="CL365" s="1123"/>
      <c r="CM365" s="1123"/>
      <c r="CN365" s="1123"/>
      <c r="CO365" s="1123"/>
      <c r="CP365" s="1123"/>
      <c r="CQ365" s="1123"/>
      <c r="CR365" s="1123"/>
      <c r="CS365" s="1123"/>
      <c r="CT365" s="1123"/>
      <c r="CU365" s="1123"/>
      <c r="CV365" s="1123"/>
      <c r="CW365" s="1123"/>
      <c r="CX365" s="1123"/>
      <c r="CY365" s="1123"/>
      <c r="CZ365" s="1114"/>
      <c r="DA365" s="1114"/>
      <c r="DB365" s="1114"/>
      <c r="DC365" s="1114"/>
      <c r="DD365" s="1114"/>
      <c r="DE365" s="1114"/>
      <c r="DF365" s="1114"/>
      <c r="DG365" s="1114"/>
      <c r="DH365" s="1114"/>
      <c r="DI365" s="1114"/>
      <c r="DJ365" s="1114"/>
      <c r="DK365" s="1114"/>
      <c r="DL365" s="1114"/>
      <c r="DM365" s="1114"/>
      <c r="DN365" s="1114"/>
      <c r="DO365" s="1114"/>
      <c r="DP365" s="1114"/>
      <c r="DQ365" s="1114"/>
      <c r="DR365" s="1114"/>
      <c r="DS365" s="1114"/>
      <c r="DT365" s="1114"/>
      <c r="DU365" s="1114"/>
      <c r="DV365" s="1115"/>
      <c r="DW365" s="1116"/>
      <c r="DX365" s="1116"/>
      <c r="DY365" s="1116"/>
      <c r="DZ365" s="1116"/>
      <c r="EA365" s="1116"/>
      <c r="EB365" s="1116"/>
      <c r="EC365" s="1116"/>
      <c r="ED365" s="1116"/>
      <c r="EE365" s="1116"/>
      <c r="EF365" s="1116"/>
      <c r="EG365" s="1116"/>
      <c r="EH365" s="1116"/>
      <c r="EI365" s="1116"/>
      <c r="EJ365" s="1116"/>
      <c r="EK365" s="1116"/>
      <c r="EL365" s="1116"/>
      <c r="EM365" s="1116"/>
      <c r="EN365" s="1116"/>
      <c r="EO365" s="1116"/>
      <c r="EP365" s="1116"/>
      <c r="EQ365" s="1116"/>
      <c r="ER365" s="1116"/>
      <c r="ES365" s="1116"/>
    </row>
    <row r="366" spans="1:149" ht="15" customHeight="1">
      <c r="A366" s="1185">
        <v>356</v>
      </c>
      <c r="B366" s="1041"/>
      <c r="C366" s="1050"/>
      <c r="D366" s="1050"/>
      <c r="E366" s="1050"/>
      <c r="F366" s="1049"/>
      <c r="G366" s="1049"/>
      <c r="H366" s="1049"/>
      <c r="I366" s="1049"/>
      <c r="J366" s="1050"/>
      <c r="K366" s="1050"/>
      <c r="L366" s="1043"/>
      <c r="M366" s="1051"/>
      <c r="N366" s="1051"/>
      <c r="O366" s="1052"/>
      <c r="P366" s="1051"/>
      <c r="Q366" s="1051"/>
      <c r="R366" s="1052"/>
      <c r="S366" s="1051"/>
      <c r="T366" s="1051"/>
      <c r="U366" s="1052"/>
      <c r="V366" s="1051"/>
      <c r="W366" s="1051"/>
      <c r="X366" s="1052"/>
      <c r="Y366" s="1053"/>
      <c r="Z366" s="1051"/>
      <c r="AA366" s="1051"/>
      <c r="AB366" s="1052"/>
      <c r="AC366" s="1051"/>
      <c r="AD366" s="1051"/>
      <c r="AE366" s="1052"/>
      <c r="AF366" s="1051"/>
      <c r="AG366" s="1051"/>
      <c r="AH366" s="1051"/>
      <c r="AI366" s="1051"/>
      <c r="AJ366" s="1052"/>
      <c r="AK366" s="1051"/>
      <c r="AL366" s="1051"/>
      <c r="AM366" s="1052"/>
      <c r="AN366" s="1051"/>
      <c r="AO366" s="1051"/>
      <c r="AP366" s="1052"/>
      <c r="AQ366" s="1051"/>
      <c r="AR366" s="1051"/>
      <c r="AS366" s="1052"/>
      <c r="AT366" s="1051"/>
      <c r="AU366" s="1051"/>
      <c r="AV366" s="1052"/>
      <c r="AW366" s="1051"/>
      <c r="AX366" s="1051"/>
      <c r="AY366" s="1053"/>
      <c r="AZ366" s="1051"/>
      <c r="BA366" s="1051"/>
      <c r="BB366" s="1053"/>
      <c r="BC366" s="1051"/>
      <c r="BD366" s="1051"/>
      <c r="BE366" s="1053"/>
      <c r="BF366" s="1051"/>
      <c r="BG366" s="1051"/>
      <c r="BH366" s="1053"/>
      <c r="BI366" s="1052"/>
      <c r="BJ366" s="1052"/>
      <c r="BK366" s="1052"/>
      <c r="BL366" s="1052"/>
      <c r="BM366" s="1052"/>
      <c r="BN366" s="1054"/>
      <c r="BO366" s="1076">
        <f t="shared" si="6"/>
        <v>0</v>
      </c>
      <c r="BP366" s="1051"/>
      <c r="BQ366" s="1052"/>
      <c r="BR366" s="1054"/>
      <c r="BS366" s="1053"/>
      <c r="BT366" s="1051"/>
      <c r="BU366" s="1051"/>
      <c r="BV366" s="1051"/>
      <c r="BW366" s="1052"/>
      <c r="BX366" s="1052"/>
      <c r="BY366" s="1052"/>
      <c r="BZ366" s="1052"/>
      <c r="CA366" s="1052"/>
      <c r="CB366" s="1053"/>
      <c r="CC366" s="1053"/>
      <c r="CD366" s="1053"/>
      <c r="CE366" s="1053"/>
      <c r="CF366" s="1053"/>
      <c r="CG366" s="1053"/>
      <c r="CH366" s="1053"/>
      <c r="CI366" s="1123"/>
      <c r="CJ366" s="1123"/>
      <c r="CK366" s="1123"/>
      <c r="CL366" s="1123"/>
      <c r="CM366" s="1123"/>
      <c r="CN366" s="1123"/>
      <c r="CO366" s="1123"/>
      <c r="CP366" s="1123"/>
      <c r="CQ366" s="1123"/>
      <c r="CR366" s="1123"/>
      <c r="CS366" s="1123"/>
      <c r="CT366" s="1123"/>
      <c r="CU366" s="1123"/>
      <c r="CV366" s="1123"/>
      <c r="CW366" s="1123"/>
      <c r="CX366" s="1123"/>
      <c r="CY366" s="1123"/>
      <c r="CZ366" s="1114"/>
      <c r="DA366" s="1114"/>
      <c r="DB366" s="1114"/>
      <c r="DC366" s="1114"/>
      <c r="DD366" s="1114"/>
      <c r="DE366" s="1114"/>
      <c r="DF366" s="1114"/>
      <c r="DG366" s="1114"/>
      <c r="DH366" s="1114"/>
      <c r="DI366" s="1114"/>
      <c r="DJ366" s="1114"/>
      <c r="DK366" s="1114"/>
      <c r="DL366" s="1114"/>
      <c r="DM366" s="1114"/>
      <c r="DN366" s="1114"/>
      <c r="DO366" s="1114"/>
      <c r="DP366" s="1114"/>
      <c r="DQ366" s="1114"/>
      <c r="DR366" s="1114"/>
      <c r="DS366" s="1114"/>
      <c r="DT366" s="1114"/>
      <c r="DU366" s="1114"/>
      <c r="DV366" s="1115"/>
      <c r="DW366" s="1116"/>
      <c r="DX366" s="1116"/>
      <c r="DY366" s="1116"/>
      <c r="DZ366" s="1116"/>
      <c r="EA366" s="1116"/>
      <c r="EB366" s="1116"/>
      <c r="EC366" s="1116"/>
      <c r="ED366" s="1116"/>
      <c r="EE366" s="1116"/>
      <c r="EF366" s="1116"/>
      <c r="EG366" s="1116"/>
      <c r="EH366" s="1116"/>
      <c r="EI366" s="1116"/>
      <c r="EJ366" s="1116"/>
      <c r="EK366" s="1116"/>
      <c r="EL366" s="1116"/>
      <c r="EM366" s="1116"/>
      <c r="EN366" s="1116"/>
      <c r="EO366" s="1116"/>
      <c r="EP366" s="1116"/>
      <c r="EQ366" s="1116"/>
      <c r="ER366" s="1116"/>
      <c r="ES366" s="1116"/>
    </row>
    <row r="367" spans="1:149" ht="15" customHeight="1">
      <c r="A367" s="1185">
        <v>357</v>
      </c>
      <c r="B367" s="1041"/>
      <c r="C367" s="1050"/>
      <c r="D367" s="1050"/>
      <c r="E367" s="1050"/>
      <c r="F367" s="1049"/>
      <c r="G367" s="1049"/>
      <c r="H367" s="1049"/>
      <c r="I367" s="1049"/>
      <c r="J367" s="1050"/>
      <c r="K367" s="1050"/>
      <c r="L367" s="1043"/>
      <c r="M367" s="1051"/>
      <c r="N367" s="1051"/>
      <c r="O367" s="1052"/>
      <c r="P367" s="1051"/>
      <c r="Q367" s="1051"/>
      <c r="R367" s="1052"/>
      <c r="S367" s="1051"/>
      <c r="T367" s="1051"/>
      <c r="U367" s="1052"/>
      <c r="V367" s="1051"/>
      <c r="W367" s="1051"/>
      <c r="X367" s="1052"/>
      <c r="Y367" s="1053"/>
      <c r="Z367" s="1051"/>
      <c r="AA367" s="1051"/>
      <c r="AB367" s="1052"/>
      <c r="AC367" s="1051"/>
      <c r="AD367" s="1051"/>
      <c r="AE367" s="1052"/>
      <c r="AF367" s="1051"/>
      <c r="AG367" s="1051"/>
      <c r="AH367" s="1051"/>
      <c r="AI367" s="1051"/>
      <c r="AJ367" s="1052"/>
      <c r="AK367" s="1051"/>
      <c r="AL367" s="1051"/>
      <c r="AM367" s="1052"/>
      <c r="AN367" s="1051"/>
      <c r="AO367" s="1051"/>
      <c r="AP367" s="1052"/>
      <c r="AQ367" s="1051"/>
      <c r="AR367" s="1051"/>
      <c r="AS367" s="1052"/>
      <c r="AT367" s="1051"/>
      <c r="AU367" s="1051"/>
      <c r="AV367" s="1052"/>
      <c r="AW367" s="1051"/>
      <c r="AX367" s="1051"/>
      <c r="AY367" s="1053"/>
      <c r="AZ367" s="1051"/>
      <c r="BA367" s="1051"/>
      <c r="BB367" s="1053"/>
      <c r="BC367" s="1051"/>
      <c r="BD367" s="1051"/>
      <c r="BE367" s="1053"/>
      <c r="BF367" s="1051"/>
      <c r="BG367" s="1051"/>
      <c r="BH367" s="1053"/>
      <c r="BI367" s="1052"/>
      <c r="BJ367" s="1052"/>
      <c r="BK367" s="1052"/>
      <c r="BL367" s="1052"/>
      <c r="BM367" s="1052"/>
      <c r="BN367" s="1054"/>
      <c r="BO367" s="1076">
        <f t="shared" si="6"/>
        <v>0</v>
      </c>
      <c r="BP367" s="1051"/>
      <c r="BQ367" s="1052"/>
      <c r="BR367" s="1054"/>
      <c r="BS367" s="1053"/>
      <c r="BT367" s="1051"/>
      <c r="BU367" s="1051"/>
      <c r="BV367" s="1051"/>
      <c r="BW367" s="1052"/>
      <c r="BX367" s="1052"/>
      <c r="BY367" s="1052"/>
      <c r="BZ367" s="1052"/>
      <c r="CA367" s="1052"/>
      <c r="CB367" s="1053"/>
      <c r="CC367" s="1053"/>
      <c r="CD367" s="1053"/>
      <c r="CE367" s="1053"/>
      <c r="CF367" s="1053"/>
      <c r="CG367" s="1053"/>
      <c r="CH367" s="1053"/>
      <c r="CI367" s="1123"/>
      <c r="CJ367" s="1123"/>
      <c r="CK367" s="1123"/>
      <c r="CL367" s="1123"/>
      <c r="CM367" s="1123"/>
      <c r="CN367" s="1123"/>
      <c r="CO367" s="1123"/>
      <c r="CP367" s="1123"/>
      <c r="CQ367" s="1123"/>
      <c r="CR367" s="1123"/>
      <c r="CS367" s="1123"/>
      <c r="CT367" s="1123"/>
      <c r="CU367" s="1123"/>
      <c r="CV367" s="1123"/>
      <c r="CW367" s="1123"/>
      <c r="CX367" s="1123"/>
      <c r="CY367" s="1123"/>
      <c r="CZ367" s="1114"/>
      <c r="DA367" s="1114"/>
      <c r="DB367" s="1114"/>
      <c r="DC367" s="1114"/>
      <c r="DD367" s="1114"/>
      <c r="DE367" s="1114"/>
      <c r="DF367" s="1114"/>
      <c r="DG367" s="1114"/>
      <c r="DH367" s="1114"/>
      <c r="DI367" s="1114"/>
      <c r="DJ367" s="1114"/>
      <c r="DK367" s="1114"/>
      <c r="DL367" s="1114"/>
      <c r="DM367" s="1114"/>
      <c r="DN367" s="1114"/>
      <c r="DO367" s="1114"/>
      <c r="DP367" s="1114"/>
      <c r="DQ367" s="1114"/>
      <c r="DR367" s="1114"/>
      <c r="DS367" s="1114"/>
      <c r="DT367" s="1114"/>
      <c r="DU367" s="1114"/>
      <c r="DV367" s="1115"/>
      <c r="DW367" s="1116"/>
      <c r="DX367" s="1116"/>
      <c r="DY367" s="1116"/>
      <c r="DZ367" s="1116"/>
      <c r="EA367" s="1116"/>
      <c r="EB367" s="1116"/>
      <c r="EC367" s="1116"/>
      <c r="ED367" s="1116"/>
      <c r="EE367" s="1116"/>
      <c r="EF367" s="1116"/>
      <c r="EG367" s="1116"/>
      <c r="EH367" s="1116"/>
      <c r="EI367" s="1116"/>
      <c r="EJ367" s="1116"/>
      <c r="EK367" s="1116"/>
      <c r="EL367" s="1116"/>
      <c r="EM367" s="1116"/>
      <c r="EN367" s="1116"/>
      <c r="EO367" s="1116"/>
      <c r="EP367" s="1116"/>
      <c r="EQ367" s="1116"/>
      <c r="ER367" s="1116"/>
      <c r="ES367" s="1116"/>
    </row>
    <row r="368" spans="1:149" ht="15" customHeight="1">
      <c r="A368" s="1185">
        <v>358</v>
      </c>
      <c r="B368" s="1041"/>
      <c r="C368" s="1050"/>
      <c r="D368" s="1050"/>
      <c r="E368" s="1050"/>
      <c r="F368" s="1049"/>
      <c r="G368" s="1049"/>
      <c r="H368" s="1049"/>
      <c r="I368" s="1049"/>
      <c r="J368" s="1050"/>
      <c r="K368" s="1050"/>
      <c r="L368" s="1043"/>
      <c r="M368" s="1051"/>
      <c r="N368" s="1051"/>
      <c r="O368" s="1052"/>
      <c r="P368" s="1051"/>
      <c r="Q368" s="1051"/>
      <c r="R368" s="1052"/>
      <c r="S368" s="1051"/>
      <c r="T368" s="1051"/>
      <c r="U368" s="1052"/>
      <c r="V368" s="1051"/>
      <c r="W368" s="1051"/>
      <c r="X368" s="1052"/>
      <c r="Y368" s="1053"/>
      <c r="Z368" s="1051"/>
      <c r="AA368" s="1051"/>
      <c r="AB368" s="1052"/>
      <c r="AC368" s="1051"/>
      <c r="AD368" s="1051"/>
      <c r="AE368" s="1052"/>
      <c r="AF368" s="1051"/>
      <c r="AG368" s="1051"/>
      <c r="AH368" s="1051"/>
      <c r="AI368" s="1051"/>
      <c r="AJ368" s="1052"/>
      <c r="AK368" s="1051"/>
      <c r="AL368" s="1051"/>
      <c r="AM368" s="1052"/>
      <c r="AN368" s="1051"/>
      <c r="AO368" s="1051"/>
      <c r="AP368" s="1052"/>
      <c r="AQ368" s="1051"/>
      <c r="AR368" s="1051"/>
      <c r="AS368" s="1052"/>
      <c r="AT368" s="1051"/>
      <c r="AU368" s="1051"/>
      <c r="AV368" s="1052"/>
      <c r="AW368" s="1051"/>
      <c r="AX368" s="1051"/>
      <c r="AY368" s="1053"/>
      <c r="AZ368" s="1051"/>
      <c r="BA368" s="1051"/>
      <c r="BB368" s="1053"/>
      <c r="BC368" s="1051"/>
      <c r="BD368" s="1051"/>
      <c r="BE368" s="1053"/>
      <c r="BF368" s="1051"/>
      <c r="BG368" s="1051"/>
      <c r="BH368" s="1053"/>
      <c r="BI368" s="1052"/>
      <c r="BJ368" s="1052"/>
      <c r="BK368" s="1052"/>
      <c r="BL368" s="1052"/>
      <c r="BM368" s="1052"/>
      <c r="BN368" s="1054"/>
      <c r="BO368" s="1076">
        <f t="shared" si="6"/>
        <v>0</v>
      </c>
      <c r="BP368" s="1051"/>
      <c r="BQ368" s="1052"/>
      <c r="BR368" s="1054"/>
      <c r="BS368" s="1053"/>
      <c r="BT368" s="1051"/>
      <c r="BU368" s="1051"/>
      <c r="BV368" s="1051"/>
      <c r="BW368" s="1052"/>
      <c r="BX368" s="1052"/>
      <c r="BY368" s="1052"/>
      <c r="BZ368" s="1052"/>
      <c r="CA368" s="1052"/>
      <c r="CB368" s="1053"/>
      <c r="CC368" s="1053"/>
      <c r="CD368" s="1053"/>
      <c r="CE368" s="1053"/>
      <c r="CF368" s="1053"/>
      <c r="CG368" s="1053"/>
      <c r="CH368" s="1053"/>
      <c r="CI368" s="1123"/>
      <c r="CJ368" s="1123"/>
      <c r="CK368" s="1123"/>
      <c r="CL368" s="1123"/>
      <c r="CM368" s="1123"/>
      <c r="CN368" s="1123"/>
      <c r="CO368" s="1123"/>
      <c r="CP368" s="1123"/>
      <c r="CQ368" s="1123"/>
      <c r="CR368" s="1123"/>
      <c r="CS368" s="1123"/>
      <c r="CT368" s="1123"/>
      <c r="CU368" s="1123"/>
      <c r="CV368" s="1123"/>
      <c r="CW368" s="1123"/>
      <c r="CX368" s="1123"/>
      <c r="CY368" s="1123"/>
      <c r="CZ368" s="1114"/>
      <c r="DA368" s="1114"/>
      <c r="DB368" s="1114"/>
      <c r="DC368" s="1114"/>
      <c r="DD368" s="1114"/>
      <c r="DE368" s="1114"/>
      <c r="DF368" s="1114"/>
      <c r="DG368" s="1114"/>
      <c r="DH368" s="1114"/>
      <c r="DI368" s="1114"/>
      <c r="DJ368" s="1114"/>
      <c r="DK368" s="1114"/>
      <c r="DL368" s="1114"/>
      <c r="DM368" s="1114"/>
      <c r="DN368" s="1114"/>
      <c r="DO368" s="1114"/>
      <c r="DP368" s="1114"/>
      <c r="DQ368" s="1114"/>
      <c r="DR368" s="1114"/>
      <c r="DS368" s="1114"/>
      <c r="DT368" s="1114"/>
      <c r="DU368" s="1114"/>
      <c r="DV368" s="1115"/>
      <c r="DW368" s="1116"/>
      <c r="DX368" s="1116"/>
      <c r="DY368" s="1116"/>
      <c r="DZ368" s="1116"/>
      <c r="EA368" s="1116"/>
      <c r="EB368" s="1116"/>
      <c r="EC368" s="1116"/>
      <c r="ED368" s="1116"/>
      <c r="EE368" s="1116"/>
      <c r="EF368" s="1116"/>
      <c r="EG368" s="1116"/>
      <c r="EH368" s="1116"/>
      <c r="EI368" s="1116"/>
      <c r="EJ368" s="1116"/>
      <c r="EK368" s="1116"/>
      <c r="EL368" s="1116"/>
      <c r="EM368" s="1116"/>
      <c r="EN368" s="1116"/>
      <c r="EO368" s="1116"/>
      <c r="EP368" s="1116"/>
      <c r="EQ368" s="1116"/>
      <c r="ER368" s="1116"/>
      <c r="ES368" s="1116"/>
    </row>
    <row r="369" spans="1:149" ht="15" customHeight="1">
      <c r="A369" s="1185">
        <v>359</v>
      </c>
      <c r="B369" s="1041"/>
      <c r="C369" s="1050"/>
      <c r="D369" s="1050"/>
      <c r="E369" s="1050"/>
      <c r="F369" s="1049"/>
      <c r="G369" s="1049"/>
      <c r="H369" s="1049"/>
      <c r="I369" s="1049"/>
      <c r="J369" s="1050"/>
      <c r="K369" s="1050"/>
      <c r="L369" s="1043"/>
      <c r="M369" s="1051"/>
      <c r="N369" s="1051"/>
      <c r="O369" s="1052"/>
      <c r="P369" s="1051"/>
      <c r="Q369" s="1051"/>
      <c r="R369" s="1052"/>
      <c r="S369" s="1051"/>
      <c r="T369" s="1051"/>
      <c r="U369" s="1052"/>
      <c r="V369" s="1051"/>
      <c r="W369" s="1051"/>
      <c r="X369" s="1052"/>
      <c r="Y369" s="1053"/>
      <c r="Z369" s="1051"/>
      <c r="AA369" s="1051"/>
      <c r="AB369" s="1052"/>
      <c r="AC369" s="1051"/>
      <c r="AD369" s="1051"/>
      <c r="AE369" s="1052"/>
      <c r="AF369" s="1051"/>
      <c r="AG369" s="1051"/>
      <c r="AH369" s="1051"/>
      <c r="AI369" s="1051"/>
      <c r="AJ369" s="1052"/>
      <c r="AK369" s="1051"/>
      <c r="AL369" s="1051"/>
      <c r="AM369" s="1052"/>
      <c r="AN369" s="1051"/>
      <c r="AO369" s="1051"/>
      <c r="AP369" s="1052"/>
      <c r="AQ369" s="1051"/>
      <c r="AR369" s="1051"/>
      <c r="AS369" s="1052"/>
      <c r="AT369" s="1051"/>
      <c r="AU369" s="1051"/>
      <c r="AV369" s="1052"/>
      <c r="AW369" s="1051"/>
      <c r="AX369" s="1051"/>
      <c r="AY369" s="1053"/>
      <c r="AZ369" s="1051"/>
      <c r="BA369" s="1051"/>
      <c r="BB369" s="1053"/>
      <c r="BC369" s="1051"/>
      <c r="BD369" s="1051"/>
      <c r="BE369" s="1053"/>
      <c r="BF369" s="1051"/>
      <c r="BG369" s="1051"/>
      <c r="BH369" s="1053"/>
      <c r="BI369" s="1052"/>
      <c r="BJ369" s="1052"/>
      <c r="BK369" s="1052"/>
      <c r="BL369" s="1052"/>
      <c r="BM369" s="1052"/>
      <c r="BN369" s="1054"/>
      <c r="BO369" s="1076">
        <f t="shared" si="6"/>
        <v>0</v>
      </c>
      <c r="BP369" s="1051"/>
      <c r="BQ369" s="1052"/>
      <c r="BR369" s="1054"/>
      <c r="BS369" s="1053"/>
      <c r="BT369" s="1051"/>
      <c r="BU369" s="1051"/>
      <c r="BV369" s="1051"/>
      <c r="BW369" s="1052"/>
      <c r="BX369" s="1052"/>
      <c r="BY369" s="1052"/>
      <c r="BZ369" s="1052"/>
      <c r="CA369" s="1052"/>
      <c r="CB369" s="1053"/>
      <c r="CC369" s="1053"/>
      <c r="CD369" s="1053"/>
      <c r="CE369" s="1053"/>
      <c r="CF369" s="1053"/>
      <c r="CG369" s="1053"/>
      <c r="CH369" s="1053"/>
      <c r="CI369" s="1123"/>
      <c r="CJ369" s="1123"/>
      <c r="CK369" s="1123"/>
      <c r="CL369" s="1123"/>
      <c r="CM369" s="1123"/>
      <c r="CN369" s="1123"/>
      <c r="CO369" s="1123"/>
      <c r="CP369" s="1123"/>
      <c r="CQ369" s="1123"/>
      <c r="CR369" s="1123"/>
      <c r="CS369" s="1123"/>
      <c r="CT369" s="1123"/>
      <c r="CU369" s="1123"/>
      <c r="CV369" s="1123"/>
      <c r="CW369" s="1123"/>
      <c r="CX369" s="1123"/>
      <c r="CY369" s="1123"/>
      <c r="CZ369" s="1114"/>
      <c r="DA369" s="1114"/>
      <c r="DB369" s="1114"/>
      <c r="DC369" s="1114"/>
      <c r="DD369" s="1114"/>
      <c r="DE369" s="1114"/>
      <c r="DF369" s="1114"/>
      <c r="DG369" s="1114"/>
      <c r="DH369" s="1114"/>
      <c r="DI369" s="1114"/>
      <c r="DJ369" s="1114"/>
      <c r="DK369" s="1114"/>
      <c r="DL369" s="1114"/>
      <c r="DM369" s="1114"/>
      <c r="DN369" s="1114"/>
      <c r="DO369" s="1114"/>
      <c r="DP369" s="1114"/>
      <c r="DQ369" s="1114"/>
      <c r="DR369" s="1114"/>
      <c r="DS369" s="1114"/>
      <c r="DT369" s="1114"/>
      <c r="DU369" s="1114"/>
      <c r="DV369" s="1115"/>
      <c r="DW369" s="1116"/>
      <c r="DX369" s="1116"/>
      <c r="DY369" s="1116"/>
      <c r="DZ369" s="1116"/>
      <c r="EA369" s="1116"/>
      <c r="EB369" s="1116"/>
      <c r="EC369" s="1116"/>
      <c r="ED369" s="1116"/>
      <c r="EE369" s="1116"/>
      <c r="EF369" s="1116"/>
      <c r="EG369" s="1116"/>
      <c r="EH369" s="1116"/>
      <c r="EI369" s="1116"/>
      <c r="EJ369" s="1116"/>
      <c r="EK369" s="1116"/>
      <c r="EL369" s="1116"/>
      <c r="EM369" s="1116"/>
      <c r="EN369" s="1116"/>
      <c r="EO369" s="1116"/>
      <c r="EP369" s="1116"/>
      <c r="EQ369" s="1116"/>
      <c r="ER369" s="1116"/>
      <c r="ES369" s="1116"/>
    </row>
    <row r="370" spans="1:149" ht="15" customHeight="1">
      <c r="A370" s="1185">
        <v>360</v>
      </c>
      <c r="B370" s="1041"/>
      <c r="C370" s="1050"/>
      <c r="D370" s="1050"/>
      <c r="E370" s="1050"/>
      <c r="F370" s="1049"/>
      <c r="G370" s="1049"/>
      <c r="H370" s="1049"/>
      <c r="I370" s="1049"/>
      <c r="J370" s="1050"/>
      <c r="K370" s="1050"/>
      <c r="L370" s="1043"/>
      <c r="M370" s="1051"/>
      <c r="N370" s="1051"/>
      <c r="O370" s="1052"/>
      <c r="P370" s="1051"/>
      <c r="Q370" s="1051"/>
      <c r="R370" s="1052"/>
      <c r="S370" s="1051"/>
      <c r="T370" s="1051"/>
      <c r="U370" s="1052"/>
      <c r="V370" s="1051"/>
      <c r="W370" s="1051"/>
      <c r="X370" s="1052"/>
      <c r="Y370" s="1053"/>
      <c r="Z370" s="1051"/>
      <c r="AA370" s="1051"/>
      <c r="AB370" s="1052"/>
      <c r="AC370" s="1051"/>
      <c r="AD370" s="1051"/>
      <c r="AE370" s="1052"/>
      <c r="AF370" s="1051"/>
      <c r="AG370" s="1051"/>
      <c r="AH370" s="1051"/>
      <c r="AI370" s="1051"/>
      <c r="AJ370" s="1052"/>
      <c r="AK370" s="1051"/>
      <c r="AL370" s="1051"/>
      <c r="AM370" s="1052"/>
      <c r="AN370" s="1051"/>
      <c r="AO370" s="1051"/>
      <c r="AP370" s="1052"/>
      <c r="AQ370" s="1051"/>
      <c r="AR370" s="1051"/>
      <c r="AS370" s="1052"/>
      <c r="AT370" s="1051"/>
      <c r="AU370" s="1051"/>
      <c r="AV370" s="1052"/>
      <c r="AW370" s="1051"/>
      <c r="AX370" s="1051"/>
      <c r="AY370" s="1053"/>
      <c r="AZ370" s="1051"/>
      <c r="BA370" s="1051"/>
      <c r="BB370" s="1053"/>
      <c r="BC370" s="1051"/>
      <c r="BD370" s="1051"/>
      <c r="BE370" s="1053"/>
      <c r="BF370" s="1051"/>
      <c r="BG370" s="1051"/>
      <c r="BH370" s="1053"/>
      <c r="BI370" s="1052"/>
      <c r="BJ370" s="1052"/>
      <c r="BK370" s="1052"/>
      <c r="BL370" s="1052"/>
      <c r="BM370" s="1052"/>
      <c r="BN370" s="1054"/>
      <c r="BO370" s="1076">
        <f t="shared" si="6"/>
        <v>0</v>
      </c>
      <c r="BP370" s="1051"/>
      <c r="BQ370" s="1052"/>
      <c r="BR370" s="1054"/>
      <c r="BS370" s="1053"/>
      <c r="BT370" s="1051"/>
      <c r="BU370" s="1051"/>
      <c r="BV370" s="1051"/>
      <c r="BW370" s="1052"/>
      <c r="BX370" s="1052"/>
      <c r="BY370" s="1052"/>
      <c r="BZ370" s="1052"/>
      <c r="CA370" s="1052"/>
      <c r="CB370" s="1053"/>
      <c r="CC370" s="1053"/>
      <c r="CD370" s="1053"/>
      <c r="CE370" s="1053"/>
      <c r="CF370" s="1053"/>
      <c r="CG370" s="1053"/>
      <c r="CH370" s="1053"/>
      <c r="CI370" s="1123"/>
      <c r="CJ370" s="1123"/>
      <c r="CK370" s="1123"/>
      <c r="CL370" s="1123"/>
      <c r="CM370" s="1123"/>
      <c r="CN370" s="1123"/>
      <c r="CO370" s="1123"/>
      <c r="CP370" s="1123"/>
      <c r="CQ370" s="1123"/>
      <c r="CR370" s="1123"/>
      <c r="CS370" s="1123"/>
      <c r="CT370" s="1123"/>
      <c r="CU370" s="1123"/>
      <c r="CV370" s="1123"/>
      <c r="CW370" s="1123"/>
      <c r="CX370" s="1123"/>
      <c r="CY370" s="1123"/>
      <c r="CZ370" s="1114"/>
      <c r="DA370" s="1114"/>
      <c r="DB370" s="1114"/>
      <c r="DC370" s="1114"/>
      <c r="DD370" s="1114"/>
      <c r="DE370" s="1114"/>
      <c r="DF370" s="1114"/>
      <c r="DG370" s="1114"/>
      <c r="DH370" s="1114"/>
      <c r="DI370" s="1114"/>
      <c r="DJ370" s="1114"/>
      <c r="DK370" s="1114"/>
      <c r="DL370" s="1114"/>
      <c r="DM370" s="1114"/>
      <c r="DN370" s="1114"/>
      <c r="DO370" s="1114"/>
      <c r="DP370" s="1114"/>
      <c r="DQ370" s="1114"/>
      <c r="DR370" s="1114"/>
      <c r="DS370" s="1114"/>
      <c r="DT370" s="1114"/>
      <c r="DU370" s="1114"/>
      <c r="DV370" s="1115"/>
      <c r="DW370" s="1116"/>
      <c r="DX370" s="1116"/>
      <c r="DY370" s="1116"/>
      <c r="DZ370" s="1116"/>
      <c r="EA370" s="1116"/>
      <c r="EB370" s="1116"/>
      <c r="EC370" s="1116"/>
      <c r="ED370" s="1116"/>
      <c r="EE370" s="1116"/>
      <c r="EF370" s="1116"/>
      <c r="EG370" s="1116"/>
      <c r="EH370" s="1116"/>
      <c r="EI370" s="1116"/>
      <c r="EJ370" s="1116"/>
      <c r="EK370" s="1116"/>
      <c r="EL370" s="1116"/>
      <c r="EM370" s="1116"/>
      <c r="EN370" s="1116"/>
      <c r="EO370" s="1116"/>
      <c r="EP370" s="1116"/>
      <c r="EQ370" s="1116"/>
      <c r="ER370" s="1116"/>
      <c r="ES370" s="1116"/>
    </row>
    <row r="371" spans="1:149" ht="15" customHeight="1">
      <c r="A371" s="1185">
        <v>361</v>
      </c>
      <c r="B371" s="1041"/>
      <c r="C371" s="1050"/>
      <c r="D371" s="1050"/>
      <c r="E371" s="1050"/>
      <c r="F371" s="1049"/>
      <c r="G371" s="1049"/>
      <c r="H371" s="1049"/>
      <c r="I371" s="1049"/>
      <c r="J371" s="1050"/>
      <c r="K371" s="1050"/>
      <c r="L371" s="1043"/>
      <c r="M371" s="1051"/>
      <c r="N371" s="1051"/>
      <c r="O371" s="1052"/>
      <c r="P371" s="1051"/>
      <c r="Q371" s="1051"/>
      <c r="R371" s="1052"/>
      <c r="S371" s="1051"/>
      <c r="T371" s="1051"/>
      <c r="U371" s="1052"/>
      <c r="V371" s="1051"/>
      <c r="W371" s="1051"/>
      <c r="X371" s="1052"/>
      <c r="Y371" s="1053"/>
      <c r="Z371" s="1051"/>
      <c r="AA371" s="1051"/>
      <c r="AB371" s="1052"/>
      <c r="AC371" s="1051"/>
      <c r="AD371" s="1051"/>
      <c r="AE371" s="1052"/>
      <c r="AF371" s="1051"/>
      <c r="AG371" s="1051"/>
      <c r="AH371" s="1051"/>
      <c r="AI371" s="1051"/>
      <c r="AJ371" s="1052"/>
      <c r="AK371" s="1051"/>
      <c r="AL371" s="1051"/>
      <c r="AM371" s="1052"/>
      <c r="AN371" s="1051"/>
      <c r="AO371" s="1051"/>
      <c r="AP371" s="1052"/>
      <c r="AQ371" s="1051"/>
      <c r="AR371" s="1051"/>
      <c r="AS371" s="1052"/>
      <c r="AT371" s="1051"/>
      <c r="AU371" s="1051"/>
      <c r="AV371" s="1052"/>
      <c r="AW371" s="1051"/>
      <c r="AX371" s="1051"/>
      <c r="AY371" s="1053"/>
      <c r="AZ371" s="1051"/>
      <c r="BA371" s="1051"/>
      <c r="BB371" s="1053"/>
      <c r="BC371" s="1051"/>
      <c r="BD371" s="1051"/>
      <c r="BE371" s="1053"/>
      <c r="BF371" s="1051"/>
      <c r="BG371" s="1051"/>
      <c r="BH371" s="1053"/>
      <c r="BI371" s="1052"/>
      <c r="BJ371" s="1052"/>
      <c r="BK371" s="1052"/>
      <c r="BL371" s="1052"/>
      <c r="BM371" s="1052"/>
      <c r="BN371" s="1054"/>
      <c r="BO371" s="1076">
        <f t="shared" si="6"/>
        <v>0</v>
      </c>
      <c r="BP371" s="1051"/>
      <c r="BQ371" s="1052"/>
      <c r="BR371" s="1054"/>
      <c r="BS371" s="1053"/>
      <c r="BT371" s="1051"/>
      <c r="BU371" s="1051"/>
      <c r="BV371" s="1051"/>
      <c r="BW371" s="1052"/>
      <c r="BX371" s="1052"/>
      <c r="BY371" s="1052"/>
      <c r="BZ371" s="1052"/>
      <c r="CA371" s="1052"/>
      <c r="CB371" s="1053"/>
      <c r="CC371" s="1053"/>
      <c r="CD371" s="1053"/>
      <c r="CE371" s="1053"/>
      <c r="CF371" s="1053"/>
      <c r="CG371" s="1053"/>
      <c r="CH371" s="1053"/>
      <c r="CI371" s="1123"/>
      <c r="CJ371" s="1123"/>
      <c r="CK371" s="1123"/>
      <c r="CL371" s="1123"/>
      <c r="CM371" s="1123"/>
      <c r="CN371" s="1123"/>
      <c r="CO371" s="1123"/>
      <c r="CP371" s="1123"/>
      <c r="CQ371" s="1123"/>
      <c r="CR371" s="1123"/>
      <c r="CS371" s="1123"/>
      <c r="CT371" s="1123"/>
      <c r="CU371" s="1123"/>
      <c r="CV371" s="1123"/>
      <c r="CW371" s="1123"/>
      <c r="CX371" s="1123"/>
      <c r="CY371" s="1123"/>
      <c r="CZ371" s="1114"/>
      <c r="DA371" s="1114"/>
      <c r="DB371" s="1114"/>
      <c r="DC371" s="1114"/>
      <c r="DD371" s="1114"/>
      <c r="DE371" s="1114"/>
      <c r="DF371" s="1114"/>
      <c r="DG371" s="1114"/>
      <c r="DH371" s="1114"/>
      <c r="DI371" s="1114"/>
      <c r="DJ371" s="1114"/>
      <c r="DK371" s="1114"/>
      <c r="DL371" s="1114"/>
      <c r="DM371" s="1114"/>
      <c r="DN371" s="1114"/>
      <c r="DO371" s="1114"/>
      <c r="DP371" s="1114"/>
      <c r="DQ371" s="1114"/>
      <c r="DR371" s="1114"/>
      <c r="DS371" s="1114"/>
      <c r="DT371" s="1114"/>
      <c r="DU371" s="1114"/>
      <c r="DV371" s="1115"/>
      <c r="DW371" s="1116"/>
      <c r="DX371" s="1116"/>
      <c r="DY371" s="1116"/>
      <c r="DZ371" s="1116"/>
      <c r="EA371" s="1116"/>
      <c r="EB371" s="1116"/>
      <c r="EC371" s="1116"/>
      <c r="ED371" s="1116"/>
      <c r="EE371" s="1116"/>
      <c r="EF371" s="1116"/>
      <c r="EG371" s="1116"/>
      <c r="EH371" s="1116"/>
      <c r="EI371" s="1116"/>
      <c r="EJ371" s="1116"/>
      <c r="EK371" s="1116"/>
      <c r="EL371" s="1116"/>
      <c r="EM371" s="1116"/>
      <c r="EN371" s="1116"/>
      <c r="EO371" s="1116"/>
      <c r="EP371" s="1116"/>
      <c r="EQ371" s="1116"/>
      <c r="ER371" s="1116"/>
      <c r="ES371" s="1116"/>
    </row>
    <row r="372" spans="1:149" ht="15" customHeight="1">
      <c r="A372" s="1185">
        <v>362</v>
      </c>
      <c r="B372" s="1041"/>
      <c r="C372" s="1050"/>
      <c r="D372" s="1050"/>
      <c r="E372" s="1050"/>
      <c r="F372" s="1049"/>
      <c r="G372" s="1049"/>
      <c r="H372" s="1049"/>
      <c r="I372" s="1049"/>
      <c r="J372" s="1050"/>
      <c r="K372" s="1050"/>
      <c r="L372" s="1043"/>
      <c r="M372" s="1051"/>
      <c r="N372" s="1051"/>
      <c r="O372" s="1052"/>
      <c r="P372" s="1051"/>
      <c r="Q372" s="1051"/>
      <c r="R372" s="1052"/>
      <c r="S372" s="1051"/>
      <c r="T372" s="1051"/>
      <c r="U372" s="1052"/>
      <c r="V372" s="1051"/>
      <c r="W372" s="1051"/>
      <c r="X372" s="1052"/>
      <c r="Y372" s="1053"/>
      <c r="Z372" s="1051"/>
      <c r="AA372" s="1051"/>
      <c r="AB372" s="1052"/>
      <c r="AC372" s="1051"/>
      <c r="AD372" s="1051"/>
      <c r="AE372" s="1052"/>
      <c r="AF372" s="1051"/>
      <c r="AG372" s="1051"/>
      <c r="AH372" s="1051"/>
      <c r="AI372" s="1051"/>
      <c r="AJ372" s="1052"/>
      <c r="AK372" s="1051"/>
      <c r="AL372" s="1051"/>
      <c r="AM372" s="1052"/>
      <c r="AN372" s="1051"/>
      <c r="AO372" s="1051"/>
      <c r="AP372" s="1052"/>
      <c r="AQ372" s="1051"/>
      <c r="AR372" s="1051"/>
      <c r="AS372" s="1052"/>
      <c r="AT372" s="1051"/>
      <c r="AU372" s="1051"/>
      <c r="AV372" s="1052"/>
      <c r="AW372" s="1051"/>
      <c r="AX372" s="1051"/>
      <c r="AY372" s="1053"/>
      <c r="AZ372" s="1051"/>
      <c r="BA372" s="1051"/>
      <c r="BB372" s="1053"/>
      <c r="BC372" s="1051"/>
      <c r="BD372" s="1051"/>
      <c r="BE372" s="1053"/>
      <c r="BF372" s="1051"/>
      <c r="BG372" s="1051"/>
      <c r="BH372" s="1053"/>
      <c r="BI372" s="1052"/>
      <c r="BJ372" s="1052"/>
      <c r="BK372" s="1052"/>
      <c r="BL372" s="1052"/>
      <c r="BM372" s="1052"/>
      <c r="BN372" s="1054"/>
      <c r="BO372" s="1076">
        <f t="shared" si="6"/>
        <v>0</v>
      </c>
      <c r="BP372" s="1051"/>
      <c r="BQ372" s="1052"/>
      <c r="BR372" s="1054"/>
      <c r="BS372" s="1053"/>
      <c r="BT372" s="1051"/>
      <c r="BU372" s="1051"/>
      <c r="BV372" s="1051"/>
      <c r="BW372" s="1052"/>
      <c r="BX372" s="1052"/>
      <c r="BY372" s="1052"/>
      <c r="BZ372" s="1052"/>
      <c r="CA372" s="1052"/>
      <c r="CB372" s="1053"/>
      <c r="CC372" s="1053"/>
      <c r="CD372" s="1053"/>
      <c r="CE372" s="1053"/>
      <c r="CF372" s="1053"/>
      <c r="CG372" s="1053"/>
      <c r="CH372" s="1053"/>
      <c r="CI372" s="1123"/>
      <c r="CJ372" s="1123"/>
      <c r="CK372" s="1123"/>
      <c r="CL372" s="1123"/>
      <c r="CM372" s="1123"/>
      <c r="CN372" s="1123"/>
      <c r="CO372" s="1123"/>
      <c r="CP372" s="1123"/>
      <c r="CQ372" s="1123"/>
      <c r="CR372" s="1123"/>
      <c r="CS372" s="1123"/>
      <c r="CT372" s="1123"/>
      <c r="CU372" s="1123"/>
      <c r="CV372" s="1123"/>
      <c r="CW372" s="1123"/>
      <c r="CX372" s="1123"/>
      <c r="CY372" s="1123"/>
      <c r="CZ372" s="1114"/>
      <c r="DA372" s="1114"/>
      <c r="DB372" s="1114"/>
      <c r="DC372" s="1114"/>
      <c r="DD372" s="1114"/>
      <c r="DE372" s="1114"/>
      <c r="DF372" s="1114"/>
      <c r="DG372" s="1114"/>
      <c r="DH372" s="1114"/>
      <c r="DI372" s="1114"/>
      <c r="DJ372" s="1114"/>
      <c r="DK372" s="1114"/>
      <c r="DL372" s="1114"/>
      <c r="DM372" s="1114"/>
      <c r="DN372" s="1114"/>
      <c r="DO372" s="1114"/>
      <c r="DP372" s="1114"/>
      <c r="DQ372" s="1114"/>
      <c r="DR372" s="1114"/>
      <c r="DS372" s="1114"/>
      <c r="DT372" s="1114"/>
      <c r="DU372" s="1114"/>
      <c r="DV372" s="1115"/>
      <c r="DW372" s="1116"/>
      <c r="DX372" s="1116"/>
      <c r="DY372" s="1116"/>
      <c r="DZ372" s="1116"/>
      <c r="EA372" s="1116"/>
      <c r="EB372" s="1116"/>
      <c r="EC372" s="1116"/>
      <c r="ED372" s="1116"/>
      <c r="EE372" s="1116"/>
      <c r="EF372" s="1116"/>
      <c r="EG372" s="1116"/>
      <c r="EH372" s="1116"/>
      <c r="EI372" s="1116"/>
      <c r="EJ372" s="1116"/>
      <c r="EK372" s="1116"/>
      <c r="EL372" s="1116"/>
      <c r="EM372" s="1116"/>
      <c r="EN372" s="1116"/>
      <c r="EO372" s="1116"/>
      <c r="EP372" s="1116"/>
      <c r="EQ372" s="1116"/>
      <c r="ER372" s="1116"/>
      <c r="ES372" s="1116"/>
    </row>
    <row r="373" spans="1:149" ht="15" customHeight="1">
      <c r="A373" s="1185">
        <v>363</v>
      </c>
      <c r="B373" s="1041"/>
      <c r="C373" s="1050"/>
      <c r="D373" s="1050"/>
      <c r="E373" s="1050"/>
      <c r="F373" s="1049"/>
      <c r="G373" s="1049"/>
      <c r="H373" s="1049"/>
      <c r="I373" s="1049"/>
      <c r="J373" s="1050"/>
      <c r="K373" s="1050"/>
      <c r="L373" s="1043"/>
      <c r="M373" s="1051"/>
      <c r="N373" s="1051"/>
      <c r="O373" s="1052"/>
      <c r="P373" s="1051"/>
      <c r="Q373" s="1051"/>
      <c r="R373" s="1052"/>
      <c r="S373" s="1051"/>
      <c r="T373" s="1051"/>
      <c r="U373" s="1052"/>
      <c r="V373" s="1051"/>
      <c r="W373" s="1051"/>
      <c r="X373" s="1052"/>
      <c r="Y373" s="1053"/>
      <c r="Z373" s="1051"/>
      <c r="AA373" s="1051"/>
      <c r="AB373" s="1052"/>
      <c r="AC373" s="1051"/>
      <c r="AD373" s="1051"/>
      <c r="AE373" s="1052"/>
      <c r="AF373" s="1051"/>
      <c r="AG373" s="1051"/>
      <c r="AH373" s="1051"/>
      <c r="AI373" s="1051"/>
      <c r="AJ373" s="1052"/>
      <c r="AK373" s="1051"/>
      <c r="AL373" s="1051"/>
      <c r="AM373" s="1052"/>
      <c r="AN373" s="1051"/>
      <c r="AO373" s="1051"/>
      <c r="AP373" s="1052"/>
      <c r="AQ373" s="1051"/>
      <c r="AR373" s="1051"/>
      <c r="AS373" s="1052"/>
      <c r="AT373" s="1051"/>
      <c r="AU373" s="1051"/>
      <c r="AV373" s="1052"/>
      <c r="AW373" s="1051"/>
      <c r="AX373" s="1051"/>
      <c r="AY373" s="1053"/>
      <c r="AZ373" s="1051"/>
      <c r="BA373" s="1051"/>
      <c r="BB373" s="1053"/>
      <c r="BC373" s="1051"/>
      <c r="BD373" s="1051"/>
      <c r="BE373" s="1053"/>
      <c r="BF373" s="1051"/>
      <c r="BG373" s="1051"/>
      <c r="BH373" s="1053"/>
      <c r="BI373" s="1052"/>
      <c r="BJ373" s="1052"/>
      <c r="BK373" s="1052"/>
      <c r="BL373" s="1052"/>
      <c r="BM373" s="1052"/>
      <c r="BN373" s="1054"/>
      <c r="BO373" s="1076">
        <f t="shared" si="6"/>
        <v>0</v>
      </c>
      <c r="BP373" s="1051"/>
      <c r="BQ373" s="1052"/>
      <c r="BR373" s="1054"/>
      <c r="BS373" s="1053"/>
      <c r="BT373" s="1051"/>
      <c r="BU373" s="1051"/>
      <c r="BV373" s="1051"/>
      <c r="BW373" s="1052"/>
      <c r="BX373" s="1052"/>
      <c r="BY373" s="1052"/>
      <c r="BZ373" s="1052"/>
      <c r="CA373" s="1052"/>
      <c r="CB373" s="1053"/>
      <c r="CC373" s="1053"/>
      <c r="CD373" s="1053"/>
      <c r="CE373" s="1053"/>
      <c r="CF373" s="1053"/>
      <c r="CG373" s="1053"/>
      <c r="CH373" s="1053"/>
      <c r="CI373" s="1123"/>
      <c r="CJ373" s="1123"/>
      <c r="CK373" s="1123"/>
      <c r="CL373" s="1123"/>
      <c r="CM373" s="1123"/>
      <c r="CN373" s="1123"/>
      <c r="CO373" s="1123"/>
      <c r="CP373" s="1123"/>
      <c r="CQ373" s="1123"/>
      <c r="CR373" s="1123"/>
      <c r="CS373" s="1123"/>
      <c r="CT373" s="1123"/>
      <c r="CU373" s="1123"/>
      <c r="CV373" s="1123"/>
      <c r="CW373" s="1123"/>
      <c r="CX373" s="1123"/>
      <c r="CY373" s="1123"/>
      <c r="CZ373" s="1114"/>
      <c r="DA373" s="1114"/>
      <c r="DB373" s="1114"/>
      <c r="DC373" s="1114"/>
      <c r="DD373" s="1114"/>
      <c r="DE373" s="1114"/>
      <c r="DF373" s="1114"/>
      <c r="DG373" s="1114"/>
      <c r="DH373" s="1114"/>
      <c r="DI373" s="1114"/>
      <c r="DJ373" s="1114"/>
      <c r="DK373" s="1114"/>
      <c r="DL373" s="1114"/>
      <c r="DM373" s="1114"/>
      <c r="DN373" s="1114"/>
      <c r="DO373" s="1114"/>
      <c r="DP373" s="1114"/>
      <c r="DQ373" s="1114"/>
      <c r="DR373" s="1114"/>
      <c r="DS373" s="1114"/>
      <c r="DT373" s="1114"/>
      <c r="DU373" s="1114"/>
      <c r="DV373" s="1115"/>
      <c r="DW373" s="1116"/>
      <c r="DX373" s="1116"/>
      <c r="DY373" s="1116"/>
      <c r="DZ373" s="1116"/>
      <c r="EA373" s="1116"/>
      <c r="EB373" s="1116"/>
      <c r="EC373" s="1116"/>
      <c r="ED373" s="1116"/>
      <c r="EE373" s="1116"/>
      <c r="EF373" s="1116"/>
      <c r="EG373" s="1116"/>
      <c r="EH373" s="1116"/>
      <c r="EI373" s="1116"/>
      <c r="EJ373" s="1116"/>
      <c r="EK373" s="1116"/>
      <c r="EL373" s="1116"/>
      <c r="EM373" s="1116"/>
      <c r="EN373" s="1116"/>
      <c r="EO373" s="1116"/>
      <c r="EP373" s="1116"/>
      <c r="EQ373" s="1116"/>
      <c r="ER373" s="1116"/>
      <c r="ES373" s="1116"/>
    </row>
    <row r="374" spans="1:149" ht="15" customHeight="1">
      <c r="A374" s="1185">
        <v>364</v>
      </c>
      <c r="B374" s="1041"/>
      <c r="C374" s="1050"/>
      <c r="D374" s="1050"/>
      <c r="E374" s="1050"/>
      <c r="F374" s="1049"/>
      <c r="G374" s="1049"/>
      <c r="H374" s="1049"/>
      <c r="I374" s="1049"/>
      <c r="J374" s="1050"/>
      <c r="K374" s="1050"/>
      <c r="L374" s="1043"/>
      <c r="M374" s="1051"/>
      <c r="N374" s="1051"/>
      <c r="O374" s="1052"/>
      <c r="P374" s="1051"/>
      <c r="Q374" s="1051"/>
      <c r="R374" s="1052"/>
      <c r="S374" s="1051"/>
      <c r="T374" s="1051"/>
      <c r="U374" s="1052"/>
      <c r="V374" s="1051"/>
      <c r="W374" s="1051"/>
      <c r="X374" s="1052"/>
      <c r="Y374" s="1053"/>
      <c r="Z374" s="1051"/>
      <c r="AA374" s="1051"/>
      <c r="AB374" s="1052"/>
      <c r="AC374" s="1051"/>
      <c r="AD374" s="1051"/>
      <c r="AE374" s="1052"/>
      <c r="AF374" s="1051"/>
      <c r="AG374" s="1051"/>
      <c r="AH374" s="1051"/>
      <c r="AI374" s="1051"/>
      <c r="AJ374" s="1052"/>
      <c r="AK374" s="1051"/>
      <c r="AL374" s="1051"/>
      <c r="AM374" s="1052"/>
      <c r="AN374" s="1051"/>
      <c r="AO374" s="1051"/>
      <c r="AP374" s="1052"/>
      <c r="AQ374" s="1051"/>
      <c r="AR374" s="1051"/>
      <c r="AS374" s="1052"/>
      <c r="AT374" s="1051"/>
      <c r="AU374" s="1051"/>
      <c r="AV374" s="1052"/>
      <c r="AW374" s="1051"/>
      <c r="AX374" s="1051"/>
      <c r="AY374" s="1053"/>
      <c r="AZ374" s="1051"/>
      <c r="BA374" s="1051"/>
      <c r="BB374" s="1053"/>
      <c r="BC374" s="1051"/>
      <c r="BD374" s="1051"/>
      <c r="BE374" s="1053"/>
      <c r="BF374" s="1051"/>
      <c r="BG374" s="1051"/>
      <c r="BH374" s="1053"/>
      <c r="BI374" s="1052"/>
      <c r="BJ374" s="1052"/>
      <c r="BK374" s="1052"/>
      <c r="BL374" s="1052"/>
      <c r="BM374" s="1052"/>
      <c r="BN374" s="1054"/>
      <c r="BO374" s="1076">
        <f t="shared" si="6"/>
        <v>0</v>
      </c>
      <c r="BP374" s="1051"/>
      <c r="BQ374" s="1052"/>
      <c r="BR374" s="1054"/>
      <c r="BS374" s="1053"/>
      <c r="BT374" s="1051"/>
      <c r="BU374" s="1051"/>
      <c r="BV374" s="1051"/>
      <c r="BW374" s="1052"/>
      <c r="BX374" s="1052"/>
      <c r="BY374" s="1052"/>
      <c r="BZ374" s="1052"/>
      <c r="CA374" s="1052"/>
      <c r="CB374" s="1053"/>
      <c r="CC374" s="1053"/>
      <c r="CD374" s="1053"/>
      <c r="CE374" s="1053"/>
      <c r="CF374" s="1053"/>
      <c r="CG374" s="1053"/>
      <c r="CH374" s="1053"/>
      <c r="CI374" s="1123"/>
      <c r="CJ374" s="1123"/>
      <c r="CK374" s="1123"/>
      <c r="CL374" s="1123"/>
      <c r="CM374" s="1123"/>
      <c r="CN374" s="1123"/>
      <c r="CO374" s="1123"/>
      <c r="CP374" s="1123"/>
      <c r="CQ374" s="1123"/>
      <c r="CR374" s="1123"/>
      <c r="CS374" s="1123"/>
      <c r="CT374" s="1123"/>
      <c r="CU374" s="1123"/>
      <c r="CV374" s="1123"/>
      <c r="CW374" s="1123"/>
      <c r="CX374" s="1123"/>
      <c r="CY374" s="1123"/>
      <c r="CZ374" s="1114"/>
      <c r="DA374" s="1114"/>
      <c r="DB374" s="1114"/>
      <c r="DC374" s="1114"/>
      <c r="DD374" s="1114"/>
      <c r="DE374" s="1114"/>
      <c r="DF374" s="1114"/>
      <c r="DG374" s="1114"/>
      <c r="DH374" s="1114"/>
      <c r="DI374" s="1114"/>
      <c r="DJ374" s="1114"/>
      <c r="DK374" s="1114"/>
      <c r="DL374" s="1114"/>
      <c r="DM374" s="1114"/>
      <c r="DN374" s="1114"/>
      <c r="DO374" s="1114"/>
      <c r="DP374" s="1114"/>
      <c r="DQ374" s="1114"/>
      <c r="DR374" s="1114"/>
      <c r="DS374" s="1114"/>
      <c r="DT374" s="1114"/>
      <c r="DU374" s="1114"/>
      <c r="DV374" s="1115"/>
      <c r="DW374" s="1116"/>
      <c r="DX374" s="1116"/>
      <c r="DY374" s="1116"/>
      <c r="DZ374" s="1116"/>
      <c r="EA374" s="1116"/>
      <c r="EB374" s="1116"/>
      <c r="EC374" s="1116"/>
      <c r="ED374" s="1116"/>
      <c r="EE374" s="1116"/>
      <c r="EF374" s="1116"/>
      <c r="EG374" s="1116"/>
      <c r="EH374" s="1116"/>
      <c r="EI374" s="1116"/>
      <c r="EJ374" s="1116"/>
      <c r="EK374" s="1116"/>
      <c r="EL374" s="1116"/>
      <c r="EM374" s="1116"/>
      <c r="EN374" s="1116"/>
      <c r="EO374" s="1116"/>
      <c r="EP374" s="1116"/>
      <c r="EQ374" s="1116"/>
      <c r="ER374" s="1116"/>
      <c r="ES374" s="1116"/>
    </row>
    <row r="375" spans="1:149" ht="15" customHeight="1">
      <c r="A375" s="1185">
        <v>365</v>
      </c>
      <c r="B375" s="1041"/>
      <c r="C375" s="1050"/>
      <c r="D375" s="1050"/>
      <c r="E375" s="1050"/>
      <c r="F375" s="1049"/>
      <c r="G375" s="1049"/>
      <c r="H375" s="1049"/>
      <c r="I375" s="1049"/>
      <c r="J375" s="1050"/>
      <c r="K375" s="1050"/>
      <c r="L375" s="1043"/>
      <c r="M375" s="1051"/>
      <c r="N375" s="1051"/>
      <c r="O375" s="1052"/>
      <c r="P375" s="1051"/>
      <c r="Q375" s="1051"/>
      <c r="R375" s="1052"/>
      <c r="S375" s="1051"/>
      <c r="T375" s="1051"/>
      <c r="U375" s="1052"/>
      <c r="V375" s="1051"/>
      <c r="W375" s="1051"/>
      <c r="X375" s="1052"/>
      <c r="Y375" s="1053"/>
      <c r="Z375" s="1051"/>
      <c r="AA375" s="1051"/>
      <c r="AB375" s="1052"/>
      <c r="AC375" s="1051"/>
      <c r="AD375" s="1051"/>
      <c r="AE375" s="1052"/>
      <c r="AF375" s="1051"/>
      <c r="AG375" s="1051"/>
      <c r="AH375" s="1051"/>
      <c r="AI375" s="1051"/>
      <c r="AJ375" s="1052"/>
      <c r="AK375" s="1051"/>
      <c r="AL375" s="1051"/>
      <c r="AM375" s="1052"/>
      <c r="AN375" s="1051"/>
      <c r="AO375" s="1051"/>
      <c r="AP375" s="1052"/>
      <c r="AQ375" s="1051"/>
      <c r="AR375" s="1051"/>
      <c r="AS375" s="1052"/>
      <c r="AT375" s="1051"/>
      <c r="AU375" s="1051"/>
      <c r="AV375" s="1052"/>
      <c r="AW375" s="1051"/>
      <c r="AX375" s="1051"/>
      <c r="AY375" s="1053"/>
      <c r="AZ375" s="1051"/>
      <c r="BA375" s="1051"/>
      <c r="BB375" s="1053"/>
      <c r="BC375" s="1051"/>
      <c r="BD375" s="1051"/>
      <c r="BE375" s="1053"/>
      <c r="BF375" s="1051"/>
      <c r="BG375" s="1051"/>
      <c r="BH375" s="1053"/>
      <c r="BI375" s="1052"/>
      <c r="BJ375" s="1052"/>
      <c r="BK375" s="1052"/>
      <c r="BL375" s="1052"/>
      <c r="BM375" s="1052"/>
      <c r="BN375" s="1054"/>
      <c r="BO375" s="1076">
        <f t="shared" si="6"/>
        <v>0</v>
      </c>
      <c r="BP375" s="1051"/>
      <c r="BQ375" s="1052"/>
      <c r="BR375" s="1054"/>
      <c r="BS375" s="1053"/>
      <c r="BT375" s="1051"/>
      <c r="BU375" s="1051"/>
      <c r="BV375" s="1051"/>
      <c r="BW375" s="1052"/>
      <c r="BX375" s="1052"/>
      <c r="BY375" s="1052"/>
      <c r="BZ375" s="1052"/>
      <c r="CA375" s="1052"/>
      <c r="CB375" s="1053"/>
      <c r="CC375" s="1053"/>
      <c r="CD375" s="1053"/>
      <c r="CE375" s="1053"/>
      <c r="CF375" s="1053"/>
      <c r="CG375" s="1053"/>
      <c r="CH375" s="1053"/>
      <c r="CI375" s="1123"/>
      <c r="CJ375" s="1123"/>
      <c r="CK375" s="1123"/>
      <c r="CL375" s="1123"/>
      <c r="CM375" s="1123"/>
      <c r="CN375" s="1123"/>
      <c r="CO375" s="1123"/>
      <c r="CP375" s="1123"/>
      <c r="CQ375" s="1123"/>
      <c r="CR375" s="1123"/>
      <c r="CS375" s="1123"/>
      <c r="CT375" s="1123"/>
      <c r="CU375" s="1123"/>
      <c r="CV375" s="1123"/>
      <c r="CW375" s="1123"/>
      <c r="CX375" s="1123"/>
      <c r="CY375" s="1123"/>
      <c r="CZ375" s="1114"/>
      <c r="DA375" s="1114"/>
      <c r="DB375" s="1114"/>
      <c r="DC375" s="1114"/>
      <c r="DD375" s="1114"/>
      <c r="DE375" s="1114"/>
      <c r="DF375" s="1114"/>
      <c r="DG375" s="1114"/>
      <c r="DH375" s="1114"/>
      <c r="DI375" s="1114"/>
      <c r="DJ375" s="1114"/>
      <c r="DK375" s="1114"/>
      <c r="DL375" s="1114"/>
      <c r="DM375" s="1114"/>
      <c r="DN375" s="1114"/>
      <c r="DO375" s="1114"/>
      <c r="DP375" s="1114"/>
      <c r="DQ375" s="1114"/>
      <c r="DR375" s="1114"/>
      <c r="DS375" s="1114"/>
      <c r="DT375" s="1114"/>
      <c r="DU375" s="1114"/>
      <c r="DV375" s="1115"/>
      <c r="DW375" s="1116"/>
      <c r="DX375" s="1116"/>
      <c r="DY375" s="1116"/>
      <c r="DZ375" s="1116"/>
      <c r="EA375" s="1116"/>
      <c r="EB375" s="1116"/>
      <c r="EC375" s="1116"/>
      <c r="ED375" s="1116"/>
      <c r="EE375" s="1116"/>
      <c r="EF375" s="1116"/>
      <c r="EG375" s="1116"/>
      <c r="EH375" s="1116"/>
      <c r="EI375" s="1116"/>
      <c r="EJ375" s="1116"/>
      <c r="EK375" s="1116"/>
      <c r="EL375" s="1116"/>
      <c r="EM375" s="1116"/>
      <c r="EN375" s="1116"/>
      <c r="EO375" s="1116"/>
      <c r="EP375" s="1116"/>
      <c r="EQ375" s="1116"/>
      <c r="ER375" s="1116"/>
      <c r="ES375" s="1116"/>
    </row>
    <row r="376" spans="1:149" ht="15" customHeight="1">
      <c r="A376" s="1185">
        <v>366</v>
      </c>
      <c r="B376" s="1041"/>
      <c r="C376" s="1050"/>
      <c r="D376" s="1050"/>
      <c r="E376" s="1050"/>
      <c r="F376" s="1049"/>
      <c r="G376" s="1049"/>
      <c r="H376" s="1049"/>
      <c r="I376" s="1049"/>
      <c r="J376" s="1050"/>
      <c r="K376" s="1050"/>
      <c r="L376" s="1043"/>
      <c r="M376" s="1051"/>
      <c r="N376" s="1051"/>
      <c r="O376" s="1052"/>
      <c r="P376" s="1051"/>
      <c r="Q376" s="1051"/>
      <c r="R376" s="1052"/>
      <c r="S376" s="1051"/>
      <c r="T376" s="1051"/>
      <c r="U376" s="1052"/>
      <c r="V376" s="1051"/>
      <c r="W376" s="1051"/>
      <c r="X376" s="1052"/>
      <c r="Y376" s="1053"/>
      <c r="Z376" s="1051"/>
      <c r="AA376" s="1051"/>
      <c r="AB376" s="1052"/>
      <c r="AC376" s="1051"/>
      <c r="AD376" s="1051"/>
      <c r="AE376" s="1052"/>
      <c r="AF376" s="1051"/>
      <c r="AG376" s="1051"/>
      <c r="AH376" s="1051"/>
      <c r="AI376" s="1051"/>
      <c r="AJ376" s="1052"/>
      <c r="AK376" s="1051"/>
      <c r="AL376" s="1051"/>
      <c r="AM376" s="1052"/>
      <c r="AN376" s="1051"/>
      <c r="AO376" s="1051"/>
      <c r="AP376" s="1052"/>
      <c r="AQ376" s="1051"/>
      <c r="AR376" s="1051"/>
      <c r="AS376" s="1052"/>
      <c r="AT376" s="1051"/>
      <c r="AU376" s="1051"/>
      <c r="AV376" s="1052"/>
      <c r="AW376" s="1051"/>
      <c r="AX376" s="1051"/>
      <c r="AY376" s="1053"/>
      <c r="AZ376" s="1051"/>
      <c r="BA376" s="1051"/>
      <c r="BB376" s="1053"/>
      <c r="BC376" s="1051"/>
      <c r="BD376" s="1051"/>
      <c r="BE376" s="1053"/>
      <c r="BF376" s="1051"/>
      <c r="BG376" s="1051"/>
      <c r="BH376" s="1053"/>
      <c r="BI376" s="1052"/>
      <c r="BJ376" s="1052"/>
      <c r="BK376" s="1052"/>
      <c r="BL376" s="1052"/>
      <c r="BM376" s="1052"/>
      <c r="BN376" s="1054"/>
      <c r="BO376" s="1076">
        <f t="shared" si="6"/>
        <v>0</v>
      </c>
      <c r="BP376" s="1051"/>
      <c r="BQ376" s="1052"/>
      <c r="BR376" s="1054"/>
      <c r="BS376" s="1053"/>
      <c r="BT376" s="1051"/>
      <c r="BU376" s="1051"/>
      <c r="BV376" s="1051"/>
      <c r="BW376" s="1052"/>
      <c r="BX376" s="1052"/>
      <c r="BY376" s="1052"/>
      <c r="BZ376" s="1052"/>
      <c r="CA376" s="1052"/>
      <c r="CB376" s="1053"/>
      <c r="CC376" s="1053"/>
      <c r="CD376" s="1053"/>
      <c r="CE376" s="1053"/>
      <c r="CF376" s="1053"/>
      <c r="CG376" s="1053"/>
      <c r="CH376" s="1053"/>
      <c r="CI376" s="1123"/>
      <c r="CJ376" s="1123"/>
      <c r="CK376" s="1123"/>
      <c r="CL376" s="1123"/>
      <c r="CM376" s="1123"/>
      <c r="CN376" s="1123"/>
      <c r="CO376" s="1123"/>
      <c r="CP376" s="1123"/>
      <c r="CQ376" s="1123"/>
      <c r="CR376" s="1123"/>
      <c r="CS376" s="1123"/>
      <c r="CT376" s="1123"/>
      <c r="CU376" s="1123"/>
      <c r="CV376" s="1123"/>
      <c r="CW376" s="1123"/>
      <c r="CX376" s="1123"/>
      <c r="CY376" s="1123"/>
      <c r="CZ376" s="1114"/>
      <c r="DA376" s="1114"/>
      <c r="DB376" s="1114"/>
      <c r="DC376" s="1114"/>
      <c r="DD376" s="1114"/>
      <c r="DE376" s="1114"/>
      <c r="DF376" s="1114"/>
      <c r="DG376" s="1114"/>
      <c r="DH376" s="1114"/>
      <c r="DI376" s="1114"/>
      <c r="DJ376" s="1114"/>
      <c r="DK376" s="1114"/>
      <c r="DL376" s="1114"/>
      <c r="DM376" s="1114"/>
      <c r="DN376" s="1114"/>
      <c r="DO376" s="1114"/>
      <c r="DP376" s="1114"/>
      <c r="DQ376" s="1114"/>
      <c r="DR376" s="1114"/>
      <c r="DS376" s="1114"/>
      <c r="DT376" s="1114"/>
      <c r="DU376" s="1114"/>
      <c r="DV376" s="1115"/>
      <c r="DW376" s="1116"/>
      <c r="DX376" s="1116"/>
      <c r="DY376" s="1116"/>
      <c r="DZ376" s="1116"/>
      <c r="EA376" s="1116"/>
      <c r="EB376" s="1116"/>
      <c r="EC376" s="1116"/>
      <c r="ED376" s="1116"/>
      <c r="EE376" s="1116"/>
      <c r="EF376" s="1116"/>
      <c r="EG376" s="1116"/>
      <c r="EH376" s="1116"/>
      <c r="EI376" s="1116"/>
      <c r="EJ376" s="1116"/>
      <c r="EK376" s="1116"/>
      <c r="EL376" s="1116"/>
      <c r="EM376" s="1116"/>
      <c r="EN376" s="1116"/>
      <c r="EO376" s="1116"/>
      <c r="EP376" s="1116"/>
      <c r="EQ376" s="1116"/>
      <c r="ER376" s="1116"/>
      <c r="ES376" s="1116"/>
    </row>
    <row r="377" spans="1:149" ht="15" customHeight="1">
      <c r="A377" s="1185">
        <v>367</v>
      </c>
      <c r="B377" s="1041"/>
      <c r="C377" s="1050"/>
      <c r="D377" s="1050"/>
      <c r="E377" s="1050"/>
      <c r="F377" s="1049"/>
      <c r="G377" s="1049"/>
      <c r="H377" s="1049"/>
      <c r="I377" s="1049"/>
      <c r="J377" s="1050"/>
      <c r="K377" s="1050"/>
      <c r="L377" s="1043"/>
      <c r="M377" s="1051"/>
      <c r="N377" s="1051"/>
      <c r="O377" s="1052"/>
      <c r="P377" s="1051"/>
      <c r="Q377" s="1051"/>
      <c r="R377" s="1052"/>
      <c r="S377" s="1051"/>
      <c r="T377" s="1051"/>
      <c r="U377" s="1052"/>
      <c r="V377" s="1051"/>
      <c r="W377" s="1051"/>
      <c r="X377" s="1052"/>
      <c r="Y377" s="1053"/>
      <c r="Z377" s="1051"/>
      <c r="AA377" s="1051"/>
      <c r="AB377" s="1052"/>
      <c r="AC377" s="1051"/>
      <c r="AD377" s="1051"/>
      <c r="AE377" s="1052"/>
      <c r="AF377" s="1051"/>
      <c r="AG377" s="1051"/>
      <c r="AH377" s="1051"/>
      <c r="AI377" s="1051"/>
      <c r="AJ377" s="1052"/>
      <c r="AK377" s="1051"/>
      <c r="AL377" s="1051"/>
      <c r="AM377" s="1052"/>
      <c r="AN377" s="1051"/>
      <c r="AO377" s="1051"/>
      <c r="AP377" s="1052"/>
      <c r="AQ377" s="1051"/>
      <c r="AR377" s="1051"/>
      <c r="AS377" s="1052"/>
      <c r="AT377" s="1051"/>
      <c r="AU377" s="1051"/>
      <c r="AV377" s="1052"/>
      <c r="AW377" s="1051"/>
      <c r="AX377" s="1051"/>
      <c r="AY377" s="1053"/>
      <c r="AZ377" s="1051"/>
      <c r="BA377" s="1051"/>
      <c r="BB377" s="1053"/>
      <c r="BC377" s="1051"/>
      <c r="BD377" s="1051"/>
      <c r="BE377" s="1053"/>
      <c r="BF377" s="1051"/>
      <c r="BG377" s="1051"/>
      <c r="BH377" s="1053"/>
      <c r="BI377" s="1052"/>
      <c r="BJ377" s="1052"/>
      <c r="BK377" s="1052"/>
      <c r="BL377" s="1052"/>
      <c r="BM377" s="1052"/>
      <c r="BN377" s="1054"/>
      <c r="BO377" s="1076">
        <f t="shared" si="6"/>
        <v>0</v>
      </c>
      <c r="BP377" s="1051"/>
      <c r="BQ377" s="1052"/>
      <c r="BR377" s="1054"/>
      <c r="BS377" s="1053"/>
      <c r="BT377" s="1051"/>
      <c r="BU377" s="1051"/>
      <c r="BV377" s="1051"/>
      <c r="BW377" s="1052"/>
      <c r="BX377" s="1052"/>
      <c r="BY377" s="1052"/>
      <c r="BZ377" s="1052"/>
      <c r="CA377" s="1052"/>
      <c r="CB377" s="1053"/>
      <c r="CC377" s="1053"/>
      <c r="CD377" s="1053"/>
      <c r="CE377" s="1053"/>
      <c r="CF377" s="1053"/>
      <c r="CG377" s="1053"/>
      <c r="CH377" s="1053"/>
      <c r="CI377" s="1123"/>
      <c r="CJ377" s="1123"/>
      <c r="CK377" s="1123"/>
      <c r="CL377" s="1123"/>
      <c r="CM377" s="1123"/>
      <c r="CN377" s="1123"/>
      <c r="CO377" s="1123"/>
      <c r="CP377" s="1123"/>
      <c r="CQ377" s="1123"/>
      <c r="CR377" s="1123"/>
      <c r="CS377" s="1123"/>
      <c r="CT377" s="1123"/>
      <c r="CU377" s="1123"/>
      <c r="CV377" s="1123"/>
      <c r="CW377" s="1123"/>
      <c r="CX377" s="1123"/>
      <c r="CY377" s="1123"/>
      <c r="CZ377" s="1114"/>
      <c r="DA377" s="1114"/>
      <c r="DB377" s="1114"/>
      <c r="DC377" s="1114"/>
      <c r="DD377" s="1114"/>
      <c r="DE377" s="1114"/>
      <c r="DF377" s="1114"/>
      <c r="DG377" s="1114"/>
      <c r="DH377" s="1114"/>
      <c r="DI377" s="1114"/>
      <c r="DJ377" s="1114"/>
      <c r="DK377" s="1114"/>
      <c r="DL377" s="1114"/>
      <c r="DM377" s="1114"/>
      <c r="DN377" s="1114"/>
      <c r="DO377" s="1114"/>
      <c r="DP377" s="1114"/>
      <c r="DQ377" s="1114"/>
      <c r="DR377" s="1114"/>
      <c r="DS377" s="1114"/>
      <c r="DT377" s="1114"/>
      <c r="DU377" s="1114"/>
      <c r="DV377" s="1115"/>
      <c r="DW377" s="1116"/>
      <c r="DX377" s="1116"/>
      <c r="DY377" s="1116"/>
      <c r="DZ377" s="1116"/>
      <c r="EA377" s="1116"/>
      <c r="EB377" s="1116"/>
      <c r="EC377" s="1116"/>
      <c r="ED377" s="1116"/>
      <c r="EE377" s="1116"/>
      <c r="EF377" s="1116"/>
      <c r="EG377" s="1116"/>
      <c r="EH377" s="1116"/>
      <c r="EI377" s="1116"/>
      <c r="EJ377" s="1116"/>
      <c r="EK377" s="1116"/>
      <c r="EL377" s="1116"/>
      <c r="EM377" s="1116"/>
      <c r="EN377" s="1116"/>
      <c r="EO377" s="1116"/>
      <c r="EP377" s="1116"/>
      <c r="EQ377" s="1116"/>
      <c r="ER377" s="1116"/>
      <c r="ES377" s="1116"/>
    </row>
    <row r="378" spans="1:149" ht="15" customHeight="1">
      <c r="A378" s="1185">
        <v>368</v>
      </c>
      <c r="B378" s="1041"/>
      <c r="C378" s="1050"/>
      <c r="D378" s="1050"/>
      <c r="E378" s="1050"/>
      <c r="F378" s="1049"/>
      <c r="G378" s="1049"/>
      <c r="H378" s="1049"/>
      <c r="I378" s="1049"/>
      <c r="J378" s="1050"/>
      <c r="K378" s="1050"/>
      <c r="L378" s="1043"/>
      <c r="M378" s="1051"/>
      <c r="N378" s="1051"/>
      <c r="O378" s="1052"/>
      <c r="P378" s="1051"/>
      <c r="Q378" s="1051"/>
      <c r="R378" s="1052"/>
      <c r="S378" s="1051"/>
      <c r="T378" s="1051"/>
      <c r="U378" s="1052"/>
      <c r="V378" s="1051"/>
      <c r="W378" s="1051"/>
      <c r="X378" s="1052"/>
      <c r="Y378" s="1053"/>
      <c r="Z378" s="1051"/>
      <c r="AA378" s="1051"/>
      <c r="AB378" s="1052"/>
      <c r="AC378" s="1051"/>
      <c r="AD378" s="1051"/>
      <c r="AE378" s="1052"/>
      <c r="AF378" s="1051"/>
      <c r="AG378" s="1051"/>
      <c r="AH378" s="1051"/>
      <c r="AI378" s="1051"/>
      <c r="AJ378" s="1052"/>
      <c r="AK378" s="1051"/>
      <c r="AL378" s="1051"/>
      <c r="AM378" s="1052"/>
      <c r="AN378" s="1051"/>
      <c r="AO378" s="1051"/>
      <c r="AP378" s="1052"/>
      <c r="AQ378" s="1051"/>
      <c r="AR378" s="1051"/>
      <c r="AS378" s="1052"/>
      <c r="AT378" s="1051"/>
      <c r="AU378" s="1051"/>
      <c r="AV378" s="1052"/>
      <c r="AW378" s="1051"/>
      <c r="AX378" s="1051"/>
      <c r="AY378" s="1053"/>
      <c r="AZ378" s="1051"/>
      <c r="BA378" s="1051"/>
      <c r="BB378" s="1053"/>
      <c r="BC378" s="1051"/>
      <c r="BD378" s="1051"/>
      <c r="BE378" s="1053"/>
      <c r="BF378" s="1051"/>
      <c r="BG378" s="1051"/>
      <c r="BH378" s="1053"/>
      <c r="BI378" s="1052"/>
      <c r="BJ378" s="1052"/>
      <c r="BK378" s="1052"/>
      <c r="BL378" s="1052"/>
      <c r="BM378" s="1052"/>
      <c r="BN378" s="1054"/>
      <c r="BO378" s="1076">
        <f t="shared" si="6"/>
        <v>0</v>
      </c>
      <c r="BP378" s="1051"/>
      <c r="BQ378" s="1052"/>
      <c r="BR378" s="1054"/>
      <c r="BS378" s="1053"/>
      <c r="BT378" s="1051"/>
      <c r="BU378" s="1051"/>
      <c r="BV378" s="1051"/>
      <c r="BW378" s="1052"/>
      <c r="BX378" s="1052"/>
      <c r="BY378" s="1052"/>
      <c r="BZ378" s="1052"/>
      <c r="CA378" s="1052"/>
      <c r="CB378" s="1053"/>
      <c r="CC378" s="1053"/>
      <c r="CD378" s="1053"/>
      <c r="CE378" s="1053"/>
      <c r="CF378" s="1053"/>
      <c r="CG378" s="1053"/>
      <c r="CH378" s="1053"/>
      <c r="CI378" s="1123"/>
      <c r="CJ378" s="1123"/>
      <c r="CK378" s="1123"/>
      <c r="CL378" s="1123"/>
      <c r="CM378" s="1123"/>
      <c r="CN378" s="1123"/>
      <c r="CO378" s="1123"/>
      <c r="CP378" s="1123"/>
      <c r="CQ378" s="1123"/>
      <c r="CR378" s="1123"/>
      <c r="CS378" s="1123"/>
      <c r="CT378" s="1123"/>
      <c r="CU378" s="1123"/>
      <c r="CV378" s="1123"/>
      <c r="CW378" s="1123"/>
      <c r="CX378" s="1123"/>
      <c r="CY378" s="1123"/>
      <c r="CZ378" s="1114"/>
      <c r="DA378" s="1114"/>
      <c r="DB378" s="1114"/>
      <c r="DC378" s="1114"/>
      <c r="DD378" s="1114"/>
      <c r="DE378" s="1114"/>
      <c r="DF378" s="1114"/>
      <c r="DG378" s="1114"/>
      <c r="DH378" s="1114"/>
      <c r="DI378" s="1114"/>
      <c r="DJ378" s="1114"/>
      <c r="DK378" s="1114"/>
      <c r="DL378" s="1114"/>
      <c r="DM378" s="1114"/>
      <c r="DN378" s="1114"/>
      <c r="DO378" s="1114"/>
      <c r="DP378" s="1114"/>
      <c r="DQ378" s="1114"/>
      <c r="DR378" s="1114"/>
      <c r="DS378" s="1114"/>
      <c r="DT378" s="1114"/>
      <c r="DU378" s="1114"/>
      <c r="DV378" s="1115"/>
      <c r="DW378" s="1116"/>
      <c r="DX378" s="1116"/>
      <c r="DY378" s="1116"/>
      <c r="DZ378" s="1116"/>
      <c r="EA378" s="1116"/>
      <c r="EB378" s="1116"/>
      <c r="EC378" s="1116"/>
      <c r="ED378" s="1116"/>
      <c r="EE378" s="1116"/>
      <c r="EF378" s="1116"/>
      <c r="EG378" s="1116"/>
      <c r="EH378" s="1116"/>
      <c r="EI378" s="1116"/>
      <c r="EJ378" s="1116"/>
      <c r="EK378" s="1116"/>
      <c r="EL378" s="1116"/>
      <c r="EM378" s="1116"/>
      <c r="EN378" s="1116"/>
      <c r="EO378" s="1116"/>
      <c r="EP378" s="1116"/>
      <c r="EQ378" s="1116"/>
      <c r="ER378" s="1116"/>
      <c r="ES378" s="1116"/>
    </row>
    <row r="379" spans="1:149" ht="15" customHeight="1">
      <c r="A379" s="1185">
        <v>369</v>
      </c>
      <c r="B379" s="1041"/>
      <c r="C379" s="1050"/>
      <c r="D379" s="1050"/>
      <c r="E379" s="1050"/>
      <c r="F379" s="1049"/>
      <c r="G379" s="1049"/>
      <c r="H379" s="1049"/>
      <c r="I379" s="1049"/>
      <c r="J379" s="1050"/>
      <c r="K379" s="1050"/>
      <c r="L379" s="1043"/>
      <c r="M379" s="1051"/>
      <c r="N379" s="1051"/>
      <c r="O379" s="1052"/>
      <c r="P379" s="1051"/>
      <c r="Q379" s="1051"/>
      <c r="R379" s="1052"/>
      <c r="S379" s="1051"/>
      <c r="T379" s="1051"/>
      <c r="U379" s="1052"/>
      <c r="V379" s="1051"/>
      <c r="W379" s="1051"/>
      <c r="X379" s="1052"/>
      <c r="Y379" s="1053"/>
      <c r="Z379" s="1051"/>
      <c r="AA379" s="1051"/>
      <c r="AB379" s="1052"/>
      <c r="AC379" s="1051"/>
      <c r="AD379" s="1051"/>
      <c r="AE379" s="1052"/>
      <c r="AF379" s="1051"/>
      <c r="AG379" s="1051"/>
      <c r="AH379" s="1051"/>
      <c r="AI379" s="1051"/>
      <c r="AJ379" s="1052"/>
      <c r="AK379" s="1051"/>
      <c r="AL379" s="1051"/>
      <c r="AM379" s="1052"/>
      <c r="AN379" s="1051"/>
      <c r="AO379" s="1051"/>
      <c r="AP379" s="1052"/>
      <c r="AQ379" s="1051"/>
      <c r="AR379" s="1051"/>
      <c r="AS379" s="1052"/>
      <c r="AT379" s="1051"/>
      <c r="AU379" s="1051"/>
      <c r="AV379" s="1052"/>
      <c r="AW379" s="1051"/>
      <c r="AX379" s="1051"/>
      <c r="AY379" s="1053"/>
      <c r="AZ379" s="1051"/>
      <c r="BA379" s="1051"/>
      <c r="BB379" s="1053"/>
      <c r="BC379" s="1051"/>
      <c r="BD379" s="1051"/>
      <c r="BE379" s="1053"/>
      <c r="BF379" s="1051"/>
      <c r="BG379" s="1051"/>
      <c r="BH379" s="1053"/>
      <c r="BI379" s="1052"/>
      <c r="BJ379" s="1052"/>
      <c r="BK379" s="1052"/>
      <c r="BL379" s="1052"/>
      <c r="BM379" s="1052"/>
      <c r="BN379" s="1054"/>
      <c r="BO379" s="1076">
        <f t="shared" si="6"/>
        <v>0</v>
      </c>
      <c r="BP379" s="1051"/>
      <c r="BQ379" s="1052"/>
      <c r="BR379" s="1054"/>
      <c r="BS379" s="1053"/>
      <c r="BT379" s="1051"/>
      <c r="BU379" s="1051"/>
      <c r="BV379" s="1051"/>
      <c r="BW379" s="1052"/>
      <c r="BX379" s="1052"/>
      <c r="BY379" s="1052"/>
      <c r="BZ379" s="1052"/>
      <c r="CA379" s="1052"/>
      <c r="CB379" s="1053"/>
      <c r="CC379" s="1053"/>
      <c r="CD379" s="1053"/>
      <c r="CE379" s="1053"/>
      <c r="CF379" s="1053"/>
      <c r="CG379" s="1053"/>
      <c r="CH379" s="1053"/>
      <c r="CI379" s="1123"/>
      <c r="CJ379" s="1123"/>
      <c r="CK379" s="1123"/>
      <c r="CL379" s="1123"/>
      <c r="CM379" s="1123"/>
      <c r="CN379" s="1123"/>
      <c r="CO379" s="1123"/>
      <c r="CP379" s="1123"/>
      <c r="CQ379" s="1123"/>
      <c r="CR379" s="1123"/>
      <c r="CS379" s="1123"/>
      <c r="CT379" s="1123"/>
      <c r="CU379" s="1123"/>
      <c r="CV379" s="1123"/>
      <c r="CW379" s="1123"/>
      <c r="CX379" s="1123"/>
      <c r="CY379" s="1123"/>
      <c r="CZ379" s="1114"/>
      <c r="DA379" s="1114"/>
      <c r="DB379" s="1114"/>
      <c r="DC379" s="1114"/>
      <c r="DD379" s="1114"/>
      <c r="DE379" s="1114"/>
      <c r="DF379" s="1114"/>
      <c r="DG379" s="1114"/>
      <c r="DH379" s="1114"/>
      <c r="DI379" s="1114"/>
      <c r="DJ379" s="1114"/>
      <c r="DK379" s="1114"/>
      <c r="DL379" s="1114"/>
      <c r="DM379" s="1114"/>
      <c r="DN379" s="1114"/>
      <c r="DO379" s="1114"/>
      <c r="DP379" s="1114"/>
      <c r="DQ379" s="1114"/>
      <c r="DR379" s="1114"/>
      <c r="DS379" s="1114"/>
      <c r="DT379" s="1114"/>
      <c r="DU379" s="1114"/>
      <c r="DV379" s="1115"/>
      <c r="DW379" s="1116"/>
      <c r="DX379" s="1116"/>
      <c r="DY379" s="1116"/>
      <c r="DZ379" s="1116"/>
      <c r="EA379" s="1116"/>
      <c r="EB379" s="1116"/>
      <c r="EC379" s="1116"/>
      <c r="ED379" s="1116"/>
      <c r="EE379" s="1116"/>
      <c r="EF379" s="1116"/>
      <c r="EG379" s="1116"/>
      <c r="EH379" s="1116"/>
      <c r="EI379" s="1116"/>
      <c r="EJ379" s="1116"/>
      <c r="EK379" s="1116"/>
      <c r="EL379" s="1116"/>
      <c r="EM379" s="1116"/>
      <c r="EN379" s="1116"/>
      <c r="EO379" s="1116"/>
      <c r="EP379" s="1116"/>
      <c r="EQ379" s="1116"/>
      <c r="ER379" s="1116"/>
      <c r="ES379" s="1116"/>
    </row>
    <row r="380" spans="1:149" ht="15" customHeight="1">
      <c r="A380" s="1185">
        <v>370</v>
      </c>
      <c r="B380" s="1041"/>
      <c r="C380" s="1050"/>
      <c r="D380" s="1050"/>
      <c r="E380" s="1050"/>
      <c r="F380" s="1049"/>
      <c r="G380" s="1049"/>
      <c r="H380" s="1049"/>
      <c r="I380" s="1049"/>
      <c r="J380" s="1050"/>
      <c r="K380" s="1050"/>
      <c r="L380" s="1043"/>
      <c r="M380" s="1051"/>
      <c r="N380" s="1051"/>
      <c r="O380" s="1052"/>
      <c r="P380" s="1051"/>
      <c r="Q380" s="1051"/>
      <c r="R380" s="1052"/>
      <c r="S380" s="1051"/>
      <c r="T380" s="1051"/>
      <c r="U380" s="1052"/>
      <c r="V380" s="1051"/>
      <c r="W380" s="1051"/>
      <c r="X380" s="1052"/>
      <c r="Y380" s="1053"/>
      <c r="Z380" s="1051"/>
      <c r="AA380" s="1051"/>
      <c r="AB380" s="1052"/>
      <c r="AC380" s="1051"/>
      <c r="AD380" s="1051"/>
      <c r="AE380" s="1052"/>
      <c r="AF380" s="1051"/>
      <c r="AG380" s="1051"/>
      <c r="AH380" s="1051"/>
      <c r="AI380" s="1051"/>
      <c r="AJ380" s="1052"/>
      <c r="AK380" s="1051"/>
      <c r="AL380" s="1051"/>
      <c r="AM380" s="1052"/>
      <c r="AN380" s="1051"/>
      <c r="AO380" s="1051"/>
      <c r="AP380" s="1052"/>
      <c r="AQ380" s="1051"/>
      <c r="AR380" s="1051"/>
      <c r="AS380" s="1052"/>
      <c r="AT380" s="1051"/>
      <c r="AU380" s="1051"/>
      <c r="AV380" s="1052"/>
      <c r="AW380" s="1051"/>
      <c r="AX380" s="1051"/>
      <c r="AY380" s="1053"/>
      <c r="AZ380" s="1051"/>
      <c r="BA380" s="1051"/>
      <c r="BB380" s="1053"/>
      <c r="BC380" s="1051"/>
      <c r="BD380" s="1051"/>
      <c r="BE380" s="1053"/>
      <c r="BF380" s="1051"/>
      <c r="BG380" s="1051"/>
      <c r="BH380" s="1053"/>
      <c r="BI380" s="1052"/>
      <c r="BJ380" s="1052"/>
      <c r="BK380" s="1052"/>
      <c r="BL380" s="1052"/>
      <c r="BM380" s="1052"/>
      <c r="BN380" s="1054"/>
      <c r="BO380" s="1076">
        <f t="shared" si="6"/>
        <v>0</v>
      </c>
      <c r="BP380" s="1051"/>
      <c r="BQ380" s="1052"/>
      <c r="BR380" s="1054"/>
      <c r="BS380" s="1053"/>
      <c r="BT380" s="1051"/>
      <c r="BU380" s="1051"/>
      <c r="BV380" s="1051"/>
      <c r="BW380" s="1052"/>
      <c r="BX380" s="1052"/>
      <c r="BY380" s="1052"/>
      <c r="BZ380" s="1052"/>
      <c r="CA380" s="1052"/>
      <c r="CB380" s="1053"/>
      <c r="CC380" s="1053"/>
      <c r="CD380" s="1053"/>
      <c r="CE380" s="1053"/>
      <c r="CF380" s="1053"/>
      <c r="CG380" s="1053"/>
      <c r="CH380" s="1053"/>
      <c r="CI380" s="1123"/>
      <c r="CJ380" s="1123"/>
      <c r="CK380" s="1123"/>
      <c r="CL380" s="1123"/>
      <c r="CM380" s="1123"/>
      <c r="CN380" s="1123"/>
      <c r="CO380" s="1123"/>
      <c r="CP380" s="1123"/>
      <c r="CQ380" s="1123"/>
      <c r="CR380" s="1123"/>
      <c r="CS380" s="1123"/>
      <c r="CT380" s="1123"/>
      <c r="CU380" s="1123"/>
      <c r="CV380" s="1123"/>
      <c r="CW380" s="1123"/>
      <c r="CX380" s="1123"/>
      <c r="CY380" s="1123"/>
      <c r="CZ380" s="1114"/>
      <c r="DA380" s="1114"/>
      <c r="DB380" s="1114"/>
      <c r="DC380" s="1114"/>
      <c r="DD380" s="1114"/>
      <c r="DE380" s="1114"/>
      <c r="DF380" s="1114"/>
      <c r="DG380" s="1114"/>
      <c r="DH380" s="1114"/>
      <c r="DI380" s="1114"/>
      <c r="DJ380" s="1114"/>
      <c r="DK380" s="1114"/>
      <c r="DL380" s="1114"/>
      <c r="DM380" s="1114"/>
      <c r="DN380" s="1114"/>
      <c r="DO380" s="1114"/>
      <c r="DP380" s="1114"/>
      <c r="DQ380" s="1114"/>
      <c r="DR380" s="1114"/>
      <c r="DS380" s="1114"/>
      <c r="DT380" s="1114"/>
      <c r="DU380" s="1114"/>
      <c r="DV380" s="1115"/>
      <c r="DW380" s="1116"/>
      <c r="DX380" s="1116"/>
      <c r="DY380" s="1116"/>
      <c r="DZ380" s="1116"/>
      <c r="EA380" s="1116"/>
      <c r="EB380" s="1116"/>
      <c r="EC380" s="1116"/>
      <c r="ED380" s="1116"/>
      <c r="EE380" s="1116"/>
      <c r="EF380" s="1116"/>
      <c r="EG380" s="1116"/>
      <c r="EH380" s="1116"/>
      <c r="EI380" s="1116"/>
      <c r="EJ380" s="1116"/>
      <c r="EK380" s="1116"/>
      <c r="EL380" s="1116"/>
      <c r="EM380" s="1116"/>
      <c r="EN380" s="1116"/>
      <c r="EO380" s="1116"/>
      <c r="EP380" s="1116"/>
      <c r="EQ380" s="1116"/>
      <c r="ER380" s="1116"/>
      <c r="ES380" s="1116"/>
    </row>
    <row r="381" spans="1:149" ht="15" customHeight="1">
      <c r="A381" s="1185">
        <v>371</v>
      </c>
      <c r="B381" s="1041"/>
      <c r="C381" s="1050"/>
      <c r="D381" s="1050"/>
      <c r="E381" s="1050"/>
      <c r="F381" s="1049"/>
      <c r="G381" s="1049"/>
      <c r="H381" s="1049"/>
      <c r="I381" s="1049"/>
      <c r="J381" s="1050"/>
      <c r="K381" s="1050"/>
      <c r="L381" s="1043"/>
      <c r="M381" s="1051"/>
      <c r="N381" s="1051"/>
      <c r="O381" s="1052"/>
      <c r="P381" s="1051"/>
      <c r="Q381" s="1051"/>
      <c r="R381" s="1052"/>
      <c r="S381" s="1051"/>
      <c r="T381" s="1051"/>
      <c r="U381" s="1052"/>
      <c r="V381" s="1051"/>
      <c r="W381" s="1051"/>
      <c r="X381" s="1052"/>
      <c r="Y381" s="1053"/>
      <c r="Z381" s="1051"/>
      <c r="AA381" s="1051"/>
      <c r="AB381" s="1052"/>
      <c r="AC381" s="1051"/>
      <c r="AD381" s="1051"/>
      <c r="AE381" s="1052"/>
      <c r="AF381" s="1051"/>
      <c r="AG381" s="1051"/>
      <c r="AH381" s="1051"/>
      <c r="AI381" s="1051"/>
      <c r="AJ381" s="1052"/>
      <c r="AK381" s="1051"/>
      <c r="AL381" s="1051"/>
      <c r="AM381" s="1052"/>
      <c r="AN381" s="1051"/>
      <c r="AO381" s="1051"/>
      <c r="AP381" s="1052"/>
      <c r="AQ381" s="1051"/>
      <c r="AR381" s="1051"/>
      <c r="AS381" s="1052"/>
      <c r="AT381" s="1051"/>
      <c r="AU381" s="1051"/>
      <c r="AV381" s="1052"/>
      <c r="AW381" s="1051"/>
      <c r="AX381" s="1051"/>
      <c r="AY381" s="1053"/>
      <c r="AZ381" s="1051"/>
      <c r="BA381" s="1051"/>
      <c r="BB381" s="1053"/>
      <c r="BC381" s="1051"/>
      <c r="BD381" s="1051"/>
      <c r="BE381" s="1053"/>
      <c r="BF381" s="1051"/>
      <c r="BG381" s="1051"/>
      <c r="BH381" s="1053"/>
      <c r="BI381" s="1052"/>
      <c r="BJ381" s="1052"/>
      <c r="BK381" s="1052"/>
      <c r="BL381" s="1052"/>
      <c r="BM381" s="1052"/>
      <c r="BN381" s="1054"/>
      <c r="BO381" s="1076">
        <f t="shared" si="6"/>
        <v>0</v>
      </c>
      <c r="BP381" s="1051"/>
      <c r="BQ381" s="1052"/>
      <c r="BR381" s="1054"/>
      <c r="BS381" s="1053"/>
      <c r="BT381" s="1051"/>
      <c r="BU381" s="1051"/>
      <c r="BV381" s="1051"/>
      <c r="BW381" s="1052"/>
      <c r="BX381" s="1052"/>
      <c r="BY381" s="1052"/>
      <c r="BZ381" s="1052"/>
      <c r="CA381" s="1052"/>
      <c r="CB381" s="1053"/>
      <c r="CC381" s="1053"/>
      <c r="CD381" s="1053"/>
      <c r="CE381" s="1053"/>
      <c r="CF381" s="1053"/>
      <c r="CG381" s="1053"/>
      <c r="CH381" s="1053"/>
      <c r="CI381" s="1123"/>
      <c r="CJ381" s="1123"/>
      <c r="CK381" s="1123"/>
      <c r="CL381" s="1123"/>
      <c r="CM381" s="1123"/>
      <c r="CN381" s="1123"/>
      <c r="CO381" s="1123"/>
      <c r="CP381" s="1123"/>
      <c r="CQ381" s="1123"/>
      <c r="CR381" s="1123"/>
      <c r="CS381" s="1123"/>
      <c r="CT381" s="1123"/>
      <c r="CU381" s="1123"/>
      <c r="CV381" s="1123"/>
      <c r="CW381" s="1123"/>
      <c r="CX381" s="1123"/>
      <c r="CY381" s="1123"/>
      <c r="CZ381" s="1114"/>
      <c r="DA381" s="1114"/>
      <c r="DB381" s="1114"/>
      <c r="DC381" s="1114"/>
      <c r="DD381" s="1114"/>
      <c r="DE381" s="1114"/>
      <c r="DF381" s="1114"/>
      <c r="DG381" s="1114"/>
      <c r="DH381" s="1114"/>
      <c r="DI381" s="1114"/>
      <c r="DJ381" s="1114"/>
      <c r="DK381" s="1114"/>
      <c r="DL381" s="1114"/>
      <c r="DM381" s="1114"/>
      <c r="DN381" s="1114"/>
      <c r="DO381" s="1114"/>
      <c r="DP381" s="1114"/>
      <c r="DQ381" s="1114"/>
      <c r="DR381" s="1114"/>
      <c r="DS381" s="1114"/>
      <c r="DT381" s="1114"/>
      <c r="DU381" s="1114"/>
      <c r="DV381" s="1115"/>
      <c r="DW381" s="1116"/>
      <c r="DX381" s="1116"/>
      <c r="DY381" s="1116"/>
      <c r="DZ381" s="1116"/>
      <c r="EA381" s="1116"/>
      <c r="EB381" s="1116"/>
      <c r="EC381" s="1116"/>
      <c r="ED381" s="1116"/>
      <c r="EE381" s="1116"/>
      <c r="EF381" s="1116"/>
      <c r="EG381" s="1116"/>
      <c r="EH381" s="1116"/>
      <c r="EI381" s="1116"/>
      <c r="EJ381" s="1116"/>
      <c r="EK381" s="1116"/>
      <c r="EL381" s="1116"/>
      <c r="EM381" s="1116"/>
      <c r="EN381" s="1116"/>
      <c r="EO381" s="1116"/>
      <c r="EP381" s="1116"/>
      <c r="EQ381" s="1116"/>
      <c r="ER381" s="1116"/>
      <c r="ES381" s="1116"/>
    </row>
    <row r="382" spans="1:149" ht="15" customHeight="1">
      <c r="A382" s="1185">
        <v>372</v>
      </c>
      <c r="B382" s="1041"/>
      <c r="C382" s="1050"/>
      <c r="D382" s="1050"/>
      <c r="E382" s="1050"/>
      <c r="F382" s="1049"/>
      <c r="G382" s="1049"/>
      <c r="H382" s="1049"/>
      <c r="I382" s="1049"/>
      <c r="J382" s="1050"/>
      <c r="K382" s="1050"/>
      <c r="L382" s="1043"/>
      <c r="M382" s="1051"/>
      <c r="N382" s="1051"/>
      <c r="O382" s="1052"/>
      <c r="P382" s="1051"/>
      <c r="Q382" s="1051"/>
      <c r="R382" s="1052"/>
      <c r="S382" s="1051"/>
      <c r="T382" s="1051"/>
      <c r="U382" s="1052"/>
      <c r="V382" s="1051"/>
      <c r="W382" s="1051"/>
      <c r="X382" s="1052"/>
      <c r="Y382" s="1053"/>
      <c r="Z382" s="1051"/>
      <c r="AA382" s="1051"/>
      <c r="AB382" s="1052"/>
      <c r="AC382" s="1051"/>
      <c r="AD382" s="1051"/>
      <c r="AE382" s="1052"/>
      <c r="AF382" s="1051"/>
      <c r="AG382" s="1051"/>
      <c r="AH382" s="1051"/>
      <c r="AI382" s="1051"/>
      <c r="AJ382" s="1052"/>
      <c r="AK382" s="1051"/>
      <c r="AL382" s="1051"/>
      <c r="AM382" s="1052"/>
      <c r="AN382" s="1051"/>
      <c r="AO382" s="1051"/>
      <c r="AP382" s="1052"/>
      <c r="AQ382" s="1051"/>
      <c r="AR382" s="1051"/>
      <c r="AS382" s="1052"/>
      <c r="AT382" s="1051"/>
      <c r="AU382" s="1051"/>
      <c r="AV382" s="1052"/>
      <c r="AW382" s="1051"/>
      <c r="AX382" s="1051"/>
      <c r="AY382" s="1053"/>
      <c r="AZ382" s="1051"/>
      <c r="BA382" s="1051"/>
      <c r="BB382" s="1053"/>
      <c r="BC382" s="1051"/>
      <c r="BD382" s="1051"/>
      <c r="BE382" s="1053"/>
      <c r="BF382" s="1051"/>
      <c r="BG382" s="1051"/>
      <c r="BH382" s="1053"/>
      <c r="BI382" s="1052"/>
      <c r="BJ382" s="1052"/>
      <c r="BK382" s="1052"/>
      <c r="BL382" s="1052"/>
      <c r="BM382" s="1052"/>
      <c r="BN382" s="1054"/>
      <c r="BO382" s="1076">
        <f t="shared" si="6"/>
        <v>0</v>
      </c>
      <c r="BP382" s="1051"/>
      <c r="BQ382" s="1052"/>
      <c r="BR382" s="1054"/>
      <c r="BS382" s="1053"/>
      <c r="BT382" s="1051"/>
      <c r="BU382" s="1051"/>
      <c r="BV382" s="1051"/>
      <c r="BW382" s="1052"/>
      <c r="BX382" s="1052"/>
      <c r="BY382" s="1052"/>
      <c r="BZ382" s="1052"/>
      <c r="CA382" s="1052"/>
      <c r="CB382" s="1053"/>
      <c r="CC382" s="1053"/>
      <c r="CD382" s="1053"/>
      <c r="CE382" s="1053"/>
      <c r="CF382" s="1053"/>
      <c r="CG382" s="1053"/>
      <c r="CH382" s="1053"/>
      <c r="CI382" s="1123"/>
      <c r="CJ382" s="1123"/>
      <c r="CK382" s="1123"/>
      <c r="CL382" s="1123"/>
      <c r="CM382" s="1123"/>
      <c r="CN382" s="1123"/>
      <c r="CO382" s="1123"/>
      <c r="CP382" s="1123"/>
      <c r="CQ382" s="1123"/>
      <c r="CR382" s="1123"/>
      <c r="CS382" s="1123"/>
      <c r="CT382" s="1123"/>
      <c r="CU382" s="1123"/>
      <c r="CV382" s="1123"/>
      <c r="CW382" s="1123"/>
      <c r="CX382" s="1123"/>
      <c r="CY382" s="1123"/>
      <c r="CZ382" s="1114"/>
      <c r="DA382" s="1114"/>
      <c r="DB382" s="1114"/>
      <c r="DC382" s="1114"/>
      <c r="DD382" s="1114"/>
      <c r="DE382" s="1114"/>
      <c r="DF382" s="1114"/>
      <c r="DG382" s="1114"/>
      <c r="DH382" s="1114"/>
      <c r="DI382" s="1114"/>
      <c r="DJ382" s="1114"/>
      <c r="DK382" s="1114"/>
      <c r="DL382" s="1114"/>
      <c r="DM382" s="1114"/>
      <c r="DN382" s="1114"/>
      <c r="DO382" s="1114"/>
      <c r="DP382" s="1114"/>
      <c r="DQ382" s="1114"/>
      <c r="DR382" s="1114"/>
      <c r="DS382" s="1114"/>
      <c r="DT382" s="1114"/>
      <c r="DU382" s="1114"/>
      <c r="DV382" s="1115"/>
      <c r="DW382" s="1116"/>
      <c r="DX382" s="1116"/>
      <c r="DY382" s="1116"/>
      <c r="DZ382" s="1116"/>
      <c r="EA382" s="1116"/>
      <c r="EB382" s="1116"/>
      <c r="EC382" s="1116"/>
      <c r="ED382" s="1116"/>
      <c r="EE382" s="1116"/>
      <c r="EF382" s="1116"/>
      <c r="EG382" s="1116"/>
      <c r="EH382" s="1116"/>
      <c r="EI382" s="1116"/>
      <c r="EJ382" s="1116"/>
      <c r="EK382" s="1116"/>
      <c r="EL382" s="1116"/>
      <c r="EM382" s="1116"/>
      <c r="EN382" s="1116"/>
      <c r="EO382" s="1116"/>
      <c r="EP382" s="1116"/>
      <c r="EQ382" s="1116"/>
      <c r="ER382" s="1116"/>
      <c r="ES382" s="1116"/>
    </row>
    <row r="383" spans="1:149" ht="15" customHeight="1">
      <c r="A383" s="1185">
        <v>373</v>
      </c>
      <c r="B383" s="1041"/>
      <c r="C383" s="1050"/>
      <c r="D383" s="1050"/>
      <c r="E383" s="1050"/>
      <c r="F383" s="1049"/>
      <c r="G383" s="1049"/>
      <c r="H383" s="1049"/>
      <c r="I383" s="1049"/>
      <c r="J383" s="1050"/>
      <c r="K383" s="1050"/>
      <c r="L383" s="1043"/>
      <c r="M383" s="1051"/>
      <c r="N383" s="1051"/>
      <c r="O383" s="1052"/>
      <c r="P383" s="1051"/>
      <c r="Q383" s="1051"/>
      <c r="R383" s="1052"/>
      <c r="S383" s="1051"/>
      <c r="T383" s="1051"/>
      <c r="U383" s="1052"/>
      <c r="V383" s="1051"/>
      <c r="W383" s="1051"/>
      <c r="X383" s="1052"/>
      <c r="Y383" s="1053"/>
      <c r="Z383" s="1051"/>
      <c r="AA383" s="1051"/>
      <c r="AB383" s="1052"/>
      <c r="AC383" s="1051"/>
      <c r="AD383" s="1051"/>
      <c r="AE383" s="1052"/>
      <c r="AF383" s="1051"/>
      <c r="AG383" s="1051"/>
      <c r="AH383" s="1051"/>
      <c r="AI383" s="1051"/>
      <c r="AJ383" s="1052"/>
      <c r="AK383" s="1051"/>
      <c r="AL383" s="1051"/>
      <c r="AM383" s="1052"/>
      <c r="AN383" s="1051"/>
      <c r="AO383" s="1051"/>
      <c r="AP383" s="1052"/>
      <c r="AQ383" s="1051"/>
      <c r="AR383" s="1051"/>
      <c r="AS383" s="1052"/>
      <c r="AT383" s="1051"/>
      <c r="AU383" s="1051"/>
      <c r="AV383" s="1052"/>
      <c r="AW383" s="1051"/>
      <c r="AX383" s="1051"/>
      <c r="AY383" s="1053"/>
      <c r="AZ383" s="1051"/>
      <c r="BA383" s="1051"/>
      <c r="BB383" s="1053"/>
      <c r="BC383" s="1051"/>
      <c r="BD383" s="1051"/>
      <c r="BE383" s="1053"/>
      <c r="BF383" s="1051"/>
      <c r="BG383" s="1051"/>
      <c r="BH383" s="1053"/>
      <c r="BI383" s="1052"/>
      <c r="BJ383" s="1052"/>
      <c r="BK383" s="1052"/>
      <c r="BL383" s="1052"/>
      <c r="BM383" s="1052"/>
      <c r="BN383" s="1054"/>
      <c r="BO383" s="1076">
        <f t="shared" si="6"/>
        <v>0</v>
      </c>
      <c r="BP383" s="1051"/>
      <c r="BQ383" s="1052"/>
      <c r="BR383" s="1054"/>
      <c r="BS383" s="1053"/>
      <c r="BT383" s="1051"/>
      <c r="BU383" s="1051"/>
      <c r="BV383" s="1051"/>
      <c r="BW383" s="1052"/>
      <c r="BX383" s="1052"/>
      <c r="BY383" s="1052"/>
      <c r="BZ383" s="1052"/>
      <c r="CA383" s="1052"/>
      <c r="CB383" s="1053"/>
      <c r="CC383" s="1053"/>
      <c r="CD383" s="1053"/>
      <c r="CE383" s="1053"/>
      <c r="CF383" s="1053"/>
      <c r="CG383" s="1053"/>
      <c r="CH383" s="1053"/>
      <c r="CI383" s="1123"/>
      <c r="CJ383" s="1123"/>
      <c r="CK383" s="1123"/>
      <c r="CL383" s="1123"/>
      <c r="CM383" s="1123"/>
      <c r="CN383" s="1123"/>
      <c r="CO383" s="1123"/>
      <c r="CP383" s="1123"/>
      <c r="CQ383" s="1123"/>
      <c r="CR383" s="1123"/>
      <c r="CS383" s="1123"/>
      <c r="CT383" s="1123"/>
      <c r="CU383" s="1123"/>
      <c r="CV383" s="1123"/>
      <c r="CW383" s="1123"/>
      <c r="CX383" s="1123"/>
      <c r="CY383" s="1123"/>
      <c r="CZ383" s="1114"/>
      <c r="DA383" s="1114"/>
      <c r="DB383" s="1114"/>
      <c r="DC383" s="1114"/>
      <c r="DD383" s="1114"/>
      <c r="DE383" s="1114"/>
      <c r="DF383" s="1114"/>
      <c r="DG383" s="1114"/>
      <c r="DH383" s="1114"/>
      <c r="DI383" s="1114"/>
      <c r="DJ383" s="1114"/>
      <c r="DK383" s="1114"/>
      <c r="DL383" s="1114"/>
      <c r="DM383" s="1114"/>
      <c r="DN383" s="1114"/>
      <c r="DO383" s="1114"/>
      <c r="DP383" s="1114"/>
      <c r="DQ383" s="1114"/>
      <c r="DR383" s="1114"/>
      <c r="DS383" s="1114"/>
      <c r="DT383" s="1114"/>
      <c r="DU383" s="1114"/>
      <c r="DV383" s="1115"/>
      <c r="DW383" s="1116"/>
      <c r="DX383" s="1116"/>
      <c r="DY383" s="1116"/>
      <c r="DZ383" s="1116"/>
      <c r="EA383" s="1116"/>
      <c r="EB383" s="1116"/>
      <c r="EC383" s="1116"/>
      <c r="ED383" s="1116"/>
      <c r="EE383" s="1116"/>
      <c r="EF383" s="1116"/>
      <c r="EG383" s="1116"/>
      <c r="EH383" s="1116"/>
      <c r="EI383" s="1116"/>
      <c r="EJ383" s="1116"/>
      <c r="EK383" s="1116"/>
      <c r="EL383" s="1116"/>
      <c r="EM383" s="1116"/>
      <c r="EN383" s="1116"/>
      <c r="EO383" s="1116"/>
      <c r="EP383" s="1116"/>
      <c r="EQ383" s="1116"/>
      <c r="ER383" s="1116"/>
      <c r="ES383" s="1116"/>
    </row>
    <row r="384" spans="1:149" ht="15" customHeight="1">
      <c r="A384" s="1185">
        <v>374</v>
      </c>
      <c r="B384" s="1041"/>
      <c r="C384" s="1050"/>
      <c r="D384" s="1050"/>
      <c r="E384" s="1050"/>
      <c r="F384" s="1049"/>
      <c r="G384" s="1049"/>
      <c r="H384" s="1049"/>
      <c r="I384" s="1049"/>
      <c r="J384" s="1050"/>
      <c r="K384" s="1050"/>
      <c r="L384" s="1043"/>
      <c r="M384" s="1051"/>
      <c r="N384" s="1051"/>
      <c r="O384" s="1052"/>
      <c r="P384" s="1051"/>
      <c r="Q384" s="1051"/>
      <c r="R384" s="1052"/>
      <c r="S384" s="1051"/>
      <c r="T384" s="1051"/>
      <c r="U384" s="1052"/>
      <c r="V384" s="1051"/>
      <c r="W384" s="1051"/>
      <c r="X384" s="1052"/>
      <c r="Y384" s="1053"/>
      <c r="Z384" s="1051"/>
      <c r="AA384" s="1051"/>
      <c r="AB384" s="1052"/>
      <c r="AC384" s="1051"/>
      <c r="AD384" s="1051"/>
      <c r="AE384" s="1052"/>
      <c r="AF384" s="1051"/>
      <c r="AG384" s="1051"/>
      <c r="AH384" s="1051"/>
      <c r="AI384" s="1051"/>
      <c r="AJ384" s="1052"/>
      <c r="AK384" s="1051"/>
      <c r="AL384" s="1051"/>
      <c r="AM384" s="1052"/>
      <c r="AN384" s="1051"/>
      <c r="AO384" s="1051"/>
      <c r="AP384" s="1052"/>
      <c r="AQ384" s="1051"/>
      <c r="AR384" s="1051"/>
      <c r="AS384" s="1052"/>
      <c r="AT384" s="1051"/>
      <c r="AU384" s="1051"/>
      <c r="AV384" s="1052"/>
      <c r="AW384" s="1051"/>
      <c r="AX384" s="1051"/>
      <c r="AY384" s="1053"/>
      <c r="AZ384" s="1051"/>
      <c r="BA384" s="1051"/>
      <c r="BB384" s="1053"/>
      <c r="BC384" s="1051"/>
      <c r="BD384" s="1051"/>
      <c r="BE384" s="1053"/>
      <c r="BF384" s="1051"/>
      <c r="BG384" s="1051"/>
      <c r="BH384" s="1053"/>
      <c r="BI384" s="1052"/>
      <c r="BJ384" s="1052"/>
      <c r="BK384" s="1052"/>
      <c r="BL384" s="1052"/>
      <c r="BM384" s="1052"/>
      <c r="BN384" s="1054"/>
      <c r="BO384" s="1076">
        <f t="shared" si="6"/>
        <v>0</v>
      </c>
      <c r="BP384" s="1051"/>
      <c r="BQ384" s="1052"/>
      <c r="BR384" s="1054"/>
      <c r="BS384" s="1053"/>
      <c r="BT384" s="1051"/>
      <c r="BU384" s="1051"/>
      <c r="BV384" s="1051"/>
      <c r="BW384" s="1052"/>
      <c r="BX384" s="1052"/>
      <c r="BY384" s="1052"/>
      <c r="BZ384" s="1052"/>
      <c r="CA384" s="1052"/>
      <c r="CB384" s="1053"/>
      <c r="CC384" s="1053"/>
      <c r="CD384" s="1053"/>
      <c r="CE384" s="1053"/>
      <c r="CF384" s="1053"/>
      <c r="CG384" s="1053"/>
      <c r="CH384" s="1053"/>
      <c r="CI384" s="1123"/>
      <c r="CJ384" s="1123"/>
      <c r="CK384" s="1123"/>
      <c r="CL384" s="1123"/>
      <c r="CM384" s="1123"/>
      <c r="CN384" s="1123"/>
      <c r="CO384" s="1123"/>
      <c r="CP384" s="1123"/>
      <c r="CQ384" s="1123"/>
      <c r="CR384" s="1123"/>
      <c r="CS384" s="1123"/>
      <c r="CT384" s="1123"/>
      <c r="CU384" s="1123"/>
      <c r="CV384" s="1123"/>
      <c r="CW384" s="1123"/>
      <c r="CX384" s="1123"/>
      <c r="CY384" s="1123"/>
      <c r="CZ384" s="1114"/>
      <c r="DA384" s="1114"/>
      <c r="DB384" s="1114"/>
      <c r="DC384" s="1114"/>
      <c r="DD384" s="1114"/>
      <c r="DE384" s="1114"/>
      <c r="DF384" s="1114"/>
      <c r="DG384" s="1114"/>
      <c r="DH384" s="1114"/>
      <c r="DI384" s="1114"/>
      <c r="DJ384" s="1114"/>
      <c r="DK384" s="1114"/>
      <c r="DL384" s="1114"/>
      <c r="DM384" s="1114"/>
      <c r="DN384" s="1114"/>
      <c r="DO384" s="1114"/>
      <c r="DP384" s="1114"/>
      <c r="DQ384" s="1114"/>
      <c r="DR384" s="1114"/>
      <c r="DS384" s="1114"/>
      <c r="DT384" s="1114"/>
      <c r="DU384" s="1114"/>
      <c r="DV384" s="1115"/>
      <c r="DW384" s="1116"/>
      <c r="DX384" s="1116"/>
      <c r="DY384" s="1116"/>
      <c r="DZ384" s="1116"/>
      <c r="EA384" s="1116"/>
      <c r="EB384" s="1116"/>
      <c r="EC384" s="1116"/>
      <c r="ED384" s="1116"/>
      <c r="EE384" s="1116"/>
      <c r="EF384" s="1116"/>
      <c r="EG384" s="1116"/>
      <c r="EH384" s="1116"/>
      <c r="EI384" s="1116"/>
      <c r="EJ384" s="1116"/>
      <c r="EK384" s="1116"/>
      <c r="EL384" s="1116"/>
      <c r="EM384" s="1116"/>
      <c r="EN384" s="1116"/>
      <c r="EO384" s="1116"/>
      <c r="EP384" s="1116"/>
      <c r="EQ384" s="1116"/>
      <c r="ER384" s="1116"/>
      <c r="ES384" s="1116"/>
    </row>
    <row r="385" spans="1:149" ht="15" customHeight="1">
      <c r="A385" s="1185">
        <v>375</v>
      </c>
      <c r="B385" s="1041"/>
      <c r="C385" s="1050"/>
      <c r="D385" s="1050"/>
      <c r="E385" s="1050"/>
      <c r="F385" s="1049"/>
      <c r="G385" s="1049"/>
      <c r="H385" s="1049"/>
      <c r="I385" s="1049"/>
      <c r="J385" s="1050"/>
      <c r="K385" s="1050"/>
      <c r="L385" s="1043"/>
      <c r="M385" s="1051"/>
      <c r="N385" s="1051"/>
      <c r="O385" s="1052"/>
      <c r="P385" s="1051"/>
      <c r="Q385" s="1051"/>
      <c r="R385" s="1052"/>
      <c r="S385" s="1051"/>
      <c r="T385" s="1051"/>
      <c r="U385" s="1052"/>
      <c r="V385" s="1051"/>
      <c r="W385" s="1051"/>
      <c r="X385" s="1052"/>
      <c r="Y385" s="1053"/>
      <c r="Z385" s="1051"/>
      <c r="AA385" s="1051"/>
      <c r="AB385" s="1052"/>
      <c r="AC385" s="1051"/>
      <c r="AD385" s="1051"/>
      <c r="AE385" s="1052"/>
      <c r="AF385" s="1051"/>
      <c r="AG385" s="1051"/>
      <c r="AH385" s="1051"/>
      <c r="AI385" s="1051"/>
      <c r="AJ385" s="1052"/>
      <c r="AK385" s="1051"/>
      <c r="AL385" s="1051"/>
      <c r="AM385" s="1052"/>
      <c r="AN385" s="1051"/>
      <c r="AO385" s="1051"/>
      <c r="AP385" s="1052"/>
      <c r="AQ385" s="1051"/>
      <c r="AR385" s="1051"/>
      <c r="AS385" s="1052"/>
      <c r="AT385" s="1051"/>
      <c r="AU385" s="1051"/>
      <c r="AV385" s="1052"/>
      <c r="AW385" s="1051"/>
      <c r="AX385" s="1051"/>
      <c r="AY385" s="1053"/>
      <c r="AZ385" s="1051"/>
      <c r="BA385" s="1051"/>
      <c r="BB385" s="1053"/>
      <c r="BC385" s="1051"/>
      <c r="BD385" s="1051"/>
      <c r="BE385" s="1053"/>
      <c r="BF385" s="1051"/>
      <c r="BG385" s="1051"/>
      <c r="BH385" s="1053"/>
      <c r="BI385" s="1052"/>
      <c r="BJ385" s="1052"/>
      <c r="BK385" s="1052"/>
      <c r="BL385" s="1052"/>
      <c r="BM385" s="1052"/>
      <c r="BN385" s="1054"/>
      <c r="BO385" s="1076">
        <f t="shared" si="6"/>
        <v>0</v>
      </c>
      <c r="BP385" s="1051"/>
      <c r="BQ385" s="1052"/>
      <c r="BR385" s="1054"/>
      <c r="BS385" s="1053"/>
      <c r="BT385" s="1051"/>
      <c r="BU385" s="1051"/>
      <c r="BV385" s="1051"/>
      <c r="BW385" s="1052"/>
      <c r="BX385" s="1052"/>
      <c r="BY385" s="1052"/>
      <c r="BZ385" s="1052"/>
      <c r="CA385" s="1052"/>
      <c r="CB385" s="1053"/>
      <c r="CC385" s="1053"/>
      <c r="CD385" s="1053"/>
      <c r="CE385" s="1053"/>
      <c r="CF385" s="1053"/>
      <c r="CG385" s="1053"/>
      <c r="CH385" s="1053"/>
      <c r="CI385" s="1123"/>
      <c r="CJ385" s="1123"/>
      <c r="CK385" s="1123"/>
      <c r="CL385" s="1123"/>
      <c r="CM385" s="1123"/>
      <c r="CN385" s="1123"/>
      <c r="CO385" s="1123"/>
      <c r="CP385" s="1123"/>
      <c r="CQ385" s="1123"/>
      <c r="CR385" s="1123"/>
      <c r="CS385" s="1123"/>
      <c r="CT385" s="1123"/>
      <c r="CU385" s="1123"/>
      <c r="CV385" s="1123"/>
      <c r="CW385" s="1123"/>
      <c r="CX385" s="1123"/>
      <c r="CY385" s="1123"/>
      <c r="CZ385" s="1114"/>
      <c r="DA385" s="1114"/>
      <c r="DB385" s="1114"/>
      <c r="DC385" s="1114"/>
      <c r="DD385" s="1114"/>
      <c r="DE385" s="1114"/>
      <c r="DF385" s="1114"/>
      <c r="DG385" s="1114"/>
      <c r="DH385" s="1114"/>
      <c r="DI385" s="1114"/>
      <c r="DJ385" s="1114"/>
      <c r="DK385" s="1114"/>
      <c r="DL385" s="1114"/>
      <c r="DM385" s="1114"/>
      <c r="DN385" s="1114"/>
      <c r="DO385" s="1114"/>
      <c r="DP385" s="1114"/>
      <c r="DQ385" s="1114"/>
      <c r="DR385" s="1114"/>
      <c r="DS385" s="1114"/>
      <c r="DT385" s="1114"/>
      <c r="DU385" s="1114"/>
      <c r="DV385" s="1115"/>
      <c r="DW385" s="1116"/>
      <c r="DX385" s="1116"/>
      <c r="DY385" s="1116"/>
      <c r="DZ385" s="1116"/>
      <c r="EA385" s="1116"/>
      <c r="EB385" s="1116"/>
      <c r="EC385" s="1116"/>
      <c r="ED385" s="1116"/>
      <c r="EE385" s="1116"/>
      <c r="EF385" s="1116"/>
      <c r="EG385" s="1116"/>
      <c r="EH385" s="1116"/>
      <c r="EI385" s="1116"/>
      <c r="EJ385" s="1116"/>
      <c r="EK385" s="1116"/>
      <c r="EL385" s="1116"/>
      <c r="EM385" s="1116"/>
      <c r="EN385" s="1116"/>
      <c r="EO385" s="1116"/>
      <c r="EP385" s="1116"/>
      <c r="EQ385" s="1116"/>
      <c r="ER385" s="1116"/>
      <c r="ES385" s="1116"/>
    </row>
    <row r="386" spans="1:149" ht="15" customHeight="1">
      <c r="A386" s="1185">
        <v>376</v>
      </c>
      <c r="B386" s="1041"/>
      <c r="C386" s="1050"/>
      <c r="D386" s="1050"/>
      <c r="E386" s="1050"/>
      <c r="F386" s="1049"/>
      <c r="G386" s="1049"/>
      <c r="H386" s="1049"/>
      <c r="I386" s="1049"/>
      <c r="J386" s="1050"/>
      <c r="K386" s="1050"/>
      <c r="L386" s="1043"/>
      <c r="M386" s="1051"/>
      <c r="N386" s="1051"/>
      <c r="O386" s="1052"/>
      <c r="P386" s="1051"/>
      <c r="Q386" s="1051"/>
      <c r="R386" s="1052"/>
      <c r="S386" s="1051"/>
      <c r="T386" s="1051"/>
      <c r="U386" s="1052"/>
      <c r="V386" s="1051"/>
      <c r="W386" s="1051"/>
      <c r="X386" s="1052"/>
      <c r="Y386" s="1053"/>
      <c r="Z386" s="1051"/>
      <c r="AA386" s="1051"/>
      <c r="AB386" s="1052"/>
      <c r="AC386" s="1051"/>
      <c r="AD386" s="1051"/>
      <c r="AE386" s="1052"/>
      <c r="AF386" s="1051"/>
      <c r="AG386" s="1051"/>
      <c r="AH386" s="1051"/>
      <c r="AI386" s="1051"/>
      <c r="AJ386" s="1052"/>
      <c r="AK386" s="1051"/>
      <c r="AL386" s="1051"/>
      <c r="AM386" s="1052"/>
      <c r="AN386" s="1051"/>
      <c r="AO386" s="1051"/>
      <c r="AP386" s="1052"/>
      <c r="AQ386" s="1051"/>
      <c r="AR386" s="1051"/>
      <c r="AS386" s="1052"/>
      <c r="AT386" s="1051"/>
      <c r="AU386" s="1051"/>
      <c r="AV386" s="1052"/>
      <c r="AW386" s="1051"/>
      <c r="AX386" s="1051"/>
      <c r="AY386" s="1053"/>
      <c r="AZ386" s="1051"/>
      <c r="BA386" s="1051"/>
      <c r="BB386" s="1053"/>
      <c r="BC386" s="1051"/>
      <c r="BD386" s="1051"/>
      <c r="BE386" s="1053"/>
      <c r="BF386" s="1051"/>
      <c r="BG386" s="1051"/>
      <c r="BH386" s="1053"/>
      <c r="BI386" s="1052"/>
      <c r="BJ386" s="1052"/>
      <c r="BK386" s="1052"/>
      <c r="BL386" s="1052"/>
      <c r="BM386" s="1052"/>
      <c r="BN386" s="1054"/>
      <c r="BO386" s="1076">
        <f t="shared" si="6"/>
        <v>0</v>
      </c>
      <c r="BP386" s="1051"/>
      <c r="BQ386" s="1052"/>
      <c r="BR386" s="1054"/>
      <c r="BS386" s="1053"/>
      <c r="BT386" s="1051"/>
      <c r="BU386" s="1051"/>
      <c r="BV386" s="1051"/>
      <c r="BW386" s="1052"/>
      <c r="BX386" s="1052"/>
      <c r="BY386" s="1052"/>
      <c r="BZ386" s="1052"/>
      <c r="CA386" s="1052"/>
      <c r="CB386" s="1053"/>
      <c r="CC386" s="1053"/>
      <c r="CD386" s="1053"/>
      <c r="CE386" s="1053"/>
      <c r="CF386" s="1053"/>
      <c r="CG386" s="1053"/>
      <c r="CH386" s="1053"/>
      <c r="CI386" s="1123"/>
      <c r="CJ386" s="1123"/>
      <c r="CK386" s="1123"/>
      <c r="CL386" s="1123"/>
      <c r="CM386" s="1123"/>
      <c r="CN386" s="1123"/>
      <c r="CO386" s="1123"/>
      <c r="CP386" s="1123"/>
      <c r="CQ386" s="1123"/>
      <c r="CR386" s="1123"/>
      <c r="CS386" s="1123"/>
      <c r="CT386" s="1123"/>
      <c r="CU386" s="1123"/>
      <c r="CV386" s="1123"/>
      <c r="CW386" s="1123"/>
      <c r="CX386" s="1123"/>
      <c r="CY386" s="1123"/>
      <c r="CZ386" s="1114"/>
      <c r="DA386" s="1114"/>
      <c r="DB386" s="1114"/>
      <c r="DC386" s="1114"/>
      <c r="DD386" s="1114"/>
      <c r="DE386" s="1114"/>
      <c r="DF386" s="1114"/>
      <c r="DG386" s="1114"/>
      <c r="DH386" s="1114"/>
      <c r="DI386" s="1114"/>
      <c r="DJ386" s="1114"/>
      <c r="DK386" s="1114"/>
      <c r="DL386" s="1114"/>
      <c r="DM386" s="1114"/>
      <c r="DN386" s="1114"/>
      <c r="DO386" s="1114"/>
      <c r="DP386" s="1114"/>
      <c r="DQ386" s="1114"/>
      <c r="DR386" s="1114"/>
      <c r="DS386" s="1114"/>
      <c r="DT386" s="1114"/>
      <c r="DU386" s="1114"/>
      <c r="DV386" s="1115"/>
      <c r="DW386" s="1116"/>
      <c r="DX386" s="1116"/>
      <c r="DY386" s="1116"/>
      <c r="DZ386" s="1116"/>
      <c r="EA386" s="1116"/>
      <c r="EB386" s="1116"/>
      <c r="EC386" s="1116"/>
      <c r="ED386" s="1116"/>
      <c r="EE386" s="1116"/>
      <c r="EF386" s="1116"/>
      <c r="EG386" s="1116"/>
      <c r="EH386" s="1116"/>
      <c r="EI386" s="1116"/>
      <c r="EJ386" s="1116"/>
      <c r="EK386" s="1116"/>
      <c r="EL386" s="1116"/>
      <c r="EM386" s="1116"/>
      <c r="EN386" s="1116"/>
      <c r="EO386" s="1116"/>
      <c r="EP386" s="1116"/>
      <c r="EQ386" s="1116"/>
      <c r="ER386" s="1116"/>
      <c r="ES386" s="1116"/>
    </row>
    <row r="387" spans="1:149" ht="15" customHeight="1">
      <c r="A387" s="1185">
        <v>377</v>
      </c>
      <c r="B387" s="1041"/>
      <c r="C387" s="1050"/>
      <c r="D387" s="1050"/>
      <c r="E387" s="1050"/>
      <c r="F387" s="1049"/>
      <c r="G387" s="1049"/>
      <c r="H387" s="1049"/>
      <c r="I387" s="1049"/>
      <c r="J387" s="1050"/>
      <c r="K387" s="1050"/>
      <c r="L387" s="1043"/>
      <c r="M387" s="1051"/>
      <c r="N387" s="1051"/>
      <c r="O387" s="1052"/>
      <c r="P387" s="1051"/>
      <c r="Q387" s="1051"/>
      <c r="R387" s="1052"/>
      <c r="S387" s="1051"/>
      <c r="T387" s="1051"/>
      <c r="U387" s="1052"/>
      <c r="V387" s="1051"/>
      <c r="W387" s="1051"/>
      <c r="X387" s="1052"/>
      <c r="Y387" s="1053"/>
      <c r="Z387" s="1051"/>
      <c r="AA387" s="1051"/>
      <c r="AB387" s="1052"/>
      <c r="AC387" s="1051"/>
      <c r="AD387" s="1051"/>
      <c r="AE387" s="1052"/>
      <c r="AF387" s="1051"/>
      <c r="AG387" s="1051"/>
      <c r="AH387" s="1051"/>
      <c r="AI387" s="1051"/>
      <c r="AJ387" s="1052"/>
      <c r="AK387" s="1051"/>
      <c r="AL387" s="1051"/>
      <c r="AM387" s="1052"/>
      <c r="AN387" s="1051"/>
      <c r="AO387" s="1051"/>
      <c r="AP387" s="1052"/>
      <c r="AQ387" s="1051"/>
      <c r="AR387" s="1051"/>
      <c r="AS387" s="1052"/>
      <c r="AT387" s="1051"/>
      <c r="AU387" s="1051"/>
      <c r="AV387" s="1052"/>
      <c r="AW387" s="1051"/>
      <c r="AX387" s="1051"/>
      <c r="AY387" s="1053"/>
      <c r="AZ387" s="1051"/>
      <c r="BA387" s="1051"/>
      <c r="BB387" s="1053"/>
      <c r="BC387" s="1051"/>
      <c r="BD387" s="1051"/>
      <c r="BE387" s="1053"/>
      <c r="BF387" s="1051"/>
      <c r="BG387" s="1051"/>
      <c r="BH387" s="1053"/>
      <c r="BI387" s="1052"/>
      <c r="BJ387" s="1052"/>
      <c r="BK387" s="1052"/>
      <c r="BL387" s="1052"/>
      <c r="BM387" s="1052"/>
      <c r="BN387" s="1054"/>
      <c r="BO387" s="1076">
        <f t="shared" si="6"/>
        <v>0</v>
      </c>
      <c r="BP387" s="1051"/>
      <c r="BQ387" s="1052"/>
      <c r="BR387" s="1054"/>
      <c r="BS387" s="1053"/>
      <c r="BT387" s="1051"/>
      <c r="BU387" s="1051"/>
      <c r="BV387" s="1051"/>
      <c r="BW387" s="1052"/>
      <c r="BX387" s="1052"/>
      <c r="BY387" s="1052"/>
      <c r="BZ387" s="1052"/>
      <c r="CA387" s="1052"/>
      <c r="CB387" s="1053"/>
      <c r="CC387" s="1053"/>
      <c r="CD387" s="1053"/>
      <c r="CE387" s="1053"/>
      <c r="CF387" s="1053"/>
      <c r="CG387" s="1053"/>
      <c r="CH387" s="1053"/>
      <c r="CI387" s="1123"/>
      <c r="CJ387" s="1123"/>
      <c r="CK387" s="1123"/>
      <c r="CL387" s="1123"/>
      <c r="CM387" s="1123"/>
      <c r="CN387" s="1123"/>
      <c r="CO387" s="1123"/>
      <c r="CP387" s="1123"/>
      <c r="CQ387" s="1123"/>
      <c r="CR387" s="1123"/>
      <c r="CS387" s="1123"/>
      <c r="CT387" s="1123"/>
      <c r="CU387" s="1123"/>
      <c r="CV387" s="1123"/>
      <c r="CW387" s="1123"/>
      <c r="CX387" s="1123"/>
      <c r="CY387" s="1123"/>
      <c r="CZ387" s="1114"/>
      <c r="DA387" s="1114"/>
      <c r="DB387" s="1114"/>
      <c r="DC387" s="1114"/>
      <c r="DD387" s="1114"/>
      <c r="DE387" s="1114"/>
      <c r="DF387" s="1114"/>
      <c r="DG387" s="1114"/>
      <c r="DH387" s="1114"/>
      <c r="DI387" s="1114"/>
      <c r="DJ387" s="1114"/>
      <c r="DK387" s="1114"/>
      <c r="DL387" s="1114"/>
      <c r="DM387" s="1114"/>
      <c r="DN387" s="1114"/>
      <c r="DO387" s="1114"/>
      <c r="DP387" s="1114"/>
      <c r="DQ387" s="1114"/>
      <c r="DR387" s="1114"/>
      <c r="DS387" s="1114"/>
      <c r="DT387" s="1114"/>
      <c r="DU387" s="1114"/>
      <c r="DV387" s="1115"/>
      <c r="DW387" s="1116"/>
      <c r="DX387" s="1116"/>
      <c r="DY387" s="1116"/>
      <c r="DZ387" s="1116"/>
      <c r="EA387" s="1116"/>
      <c r="EB387" s="1116"/>
      <c r="EC387" s="1116"/>
      <c r="ED387" s="1116"/>
      <c r="EE387" s="1116"/>
      <c r="EF387" s="1116"/>
      <c r="EG387" s="1116"/>
      <c r="EH387" s="1116"/>
      <c r="EI387" s="1116"/>
      <c r="EJ387" s="1116"/>
      <c r="EK387" s="1116"/>
      <c r="EL387" s="1116"/>
      <c r="EM387" s="1116"/>
      <c r="EN387" s="1116"/>
      <c r="EO387" s="1116"/>
      <c r="EP387" s="1116"/>
      <c r="EQ387" s="1116"/>
      <c r="ER387" s="1116"/>
      <c r="ES387" s="1116"/>
    </row>
    <row r="388" spans="1:149" ht="15" customHeight="1">
      <c r="A388" s="1185">
        <v>378</v>
      </c>
      <c r="B388" s="1041"/>
      <c r="C388" s="1050"/>
      <c r="D388" s="1050"/>
      <c r="E388" s="1050"/>
      <c r="F388" s="1049"/>
      <c r="G388" s="1049"/>
      <c r="H388" s="1049"/>
      <c r="I388" s="1049"/>
      <c r="J388" s="1050"/>
      <c r="K388" s="1050"/>
      <c r="L388" s="1043"/>
      <c r="M388" s="1051"/>
      <c r="N388" s="1051"/>
      <c r="O388" s="1052"/>
      <c r="P388" s="1051"/>
      <c r="Q388" s="1051"/>
      <c r="R388" s="1052"/>
      <c r="S388" s="1051"/>
      <c r="T388" s="1051"/>
      <c r="U388" s="1052"/>
      <c r="V388" s="1051"/>
      <c r="W388" s="1051"/>
      <c r="X388" s="1052"/>
      <c r="Y388" s="1053"/>
      <c r="Z388" s="1051"/>
      <c r="AA388" s="1051"/>
      <c r="AB388" s="1052"/>
      <c r="AC388" s="1051"/>
      <c r="AD388" s="1051"/>
      <c r="AE388" s="1052"/>
      <c r="AF388" s="1051"/>
      <c r="AG388" s="1051"/>
      <c r="AH388" s="1051"/>
      <c r="AI388" s="1051"/>
      <c r="AJ388" s="1052"/>
      <c r="AK388" s="1051"/>
      <c r="AL388" s="1051"/>
      <c r="AM388" s="1052"/>
      <c r="AN388" s="1051"/>
      <c r="AO388" s="1051"/>
      <c r="AP388" s="1052"/>
      <c r="AQ388" s="1051"/>
      <c r="AR388" s="1051"/>
      <c r="AS388" s="1052"/>
      <c r="AT388" s="1051"/>
      <c r="AU388" s="1051"/>
      <c r="AV388" s="1052"/>
      <c r="AW388" s="1051"/>
      <c r="AX388" s="1051"/>
      <c r="AY388" s="1053"/>
      <c r="AZ388" s="1051"/>
      <c r="BA388" s="1051"/>
      <c r="BB388" s="1053"/>
      <c r="BC388" s="1051"/>
      <c r="BD388" s="1051"/>
      <c r="BE388" s="1053"/>
      <c r="BF388" s="1051"/>
      <c r="BG388" s="1051"/>
      <c r="BH388" s="1053"/>
      <c r="BI388" s="1052"/>
      <c r="BJ388" s="1052"/>
      <c r="BK388" s="1052"/>
      <c r="BL388" s="1052"/>
      <c r="BM388" s="1052"/>
      <c r="BN388" s="1054"/>
      <c r="BO388" s="1076">
        <f t="shared" si="6"/>
        <v>0</v>
      </c>
      <c r="BP388" s="1051"/>
      <c r="BQ388" s="1052"/>
      <c r="BR388" s="1054"/>
      <c r="BS388" s="1053"/>
      <c r="BT388" s="1051"/>
      <c r="BU388" s="1051"/>
      <c r="BV388" s="1051"/>
      <c r="BW388" s="1052"/>
      <c r="BX388" s="1052"/>
      <c r="BY388" s="1052"/>
      <c r="BZ388" s="1052"/>
      <c r="CA388" s="1052"/>
      <c r="CB388" s="1053"/>
      <c r="CC388" s="1053"/>
      <c r="CD388" s="1053"/>
      <c r="CE388" s="1053"/>
      <c r="CF388" s="1053"/>
      <c r="CG388" s="1053"/>
      <c r="CH388" s="1053"/>
      <c r="CI388" s="1123"/>
      <c r="CJ388" s="1123"/>
      <c r="CK388" s="1123"/>
      <c r="CL388" s="1123"/>
      <c r="CM388" s="1123"/>
      <c r="CN388" s="1123"/>
      <c r="CO388" s="1123"/>
      <c r="CP388" s="1123"/>
      <c r="CQ388" s="1123"/>
      <c r="CR388" s="1123"/>
      <c r="CS388" s="1123"/>
      <c r="CT388" s="1123"/>
      <c r="CU388" s="1123"/>
      <c r="CV388" s="1123"/>
      <c r="CW388" s="1123"/>
      <c r="CX388" s="1123"/>
      <c r="CY388" s="1123"/>
      <c r="CZ388" s="1114"/>
      <c r="DA388" s="1114"/>
      <c r="DB388" s="1114"/>
      <c r="DC388" s="1114"/>
      <c r="DD388" s="1114"/>
      <c r="DE388" s="1114"/>
      <c r="DF388" s="1114"/>
      <c r="DG388" s="1114"/>
      <c r="DH388" s="1114"/>
      <c r="DI388" s="1114"/>
      <c r="DJ388" s="1114"/>
      <c r="DK388" s="1114"/>
      <c r="DL388" s="1114"/>
      <c r="DM388" s="1114"/>
      <c r="DN388" s="1114"/>
      <c r="DO388" s="1114"/>
      <c r="DP388" s="1114"/>
      <c r="DQ388" s="1114"/>
      <c r="DR388" s="1114"/>
      <c r="DS388" s="1114"/>
      <c r="DT388" s="1114"/>
      <c r="DU388" s="1114"/>
      <c r="DV388" s="1115"/>
      <c r="DW388" s="1116"/>
      <c r="DX388" s="1116"/>
      <c r="DY388" s="1116"/>
      <c r="DZ388" s="1116"/>
      <c r="EA388" s="1116"/>
      <c r="EB388" s="1116"/>
      <c r="EC388" s="1116"/>
      <c r="ED388" s="1116"/>
      <c r="EE388" s="1116"/>
      <c r="EF388" s="1116"/>
      <c r="EG388" s="1116"/>
      <c r="EH388" s="1116"/>
      <c r="EI388" s="1116"/>
      <c r="EJ388" s="1116"/>
      <c r="EK388" s="1116"/>
      <c r="EL388" s="1116"/>
      <c r="EM388" s="1116"/>
      <c r="EN388" s="1116"/>
      <c r="EO388" s="1116"/>
      <c r="EP388" s="1116"/>
      <c r="EQ388" s="1116"/>
      <c r="ER388" s="1116"/>
      <c r="ES388" s="1116"/>
    </row>
    <row r="389" spans="1:149" ht="15" customHeight="1">
      <c r="A389" s="1185">
        <v>379</v>
      </c>
      <c r="B389" s="1041"/>
      <c r="C389" s="1050"/>
      <c r="D389" s="1050"/>
      <c r="E389" s="1050"/>
      <c r="F389" s="1049"/>
      <c r="G389" s="1049"/>
      <c r="H389" s="1049"/>
      <c r="I389" s="1049"/>
      <c r="J389" s="1050"/>
      <c r="K389" s="1050"/>
      <c r="L389" s="1043"/>
      <c r="M389" s="1051"/>
      <c r="N389" s="1051"/>
      <c r="O389" s="1052"/>
      <c r="P389" s="1051"/>
      <c r="Q389" s="1051"/>
      <c r="R389" s="1052"/>
      <c r="S389" s="1051"/>
      <c r="T389" s="1051"/>
      <c r="U389" s="1052"/>
      <c r="V389" s="1051"/>
      <c r="W389" s="1051"/>
      <c r="X389" s="1052"/>
      <c r="Y389" s="1053"/>
      <c r="Z389" s="1051"/>
      <c r="AA389" s="1051"/>
      <c r="AB389" s="1052"/>
      <c r="AC389" s="1051"/>
      <c r="AD389" s="1051"/>
      <c r="AE389" s="1052"/>
      <c r="AF389" s="1051"/>
      <c r="AG389" s="1051"/>
      <c r="AH389" s="1051"/>
      <c r="AI389" s="1051"/>
      <c r="AJ389" s="1052"/>
      <c r="AK389" s="1051"/>
      <c r="AL389" s="1051"/>
      <c r="AM389" s="1052"/>
      <c r="AN389" s="1051"/>
      <c r="AO389" s="1051"/>
      <c r="AP389" s="1052"/>
      <c r="AQ389" s="1051"/>
      <c r="AR389" s="1051"/>
      <c r="AS389" s="1052"/>
      <c r="AT389" s="1051"/>
      <c r="AU389" s="1051"/>
      <c r="AV389" s="1052"/>
      <c r="AW389" s="1051"/>
      <c r="AX389" s="1051"/>
      <c r="AY389" s="1053"/>
      <c r="AZ389" s="1051"/>
      <c r="BA389" s="1051"/>
      <c r="BB389" s="1053"/>
      <c r="BC389" s="1051"/>
      <c r="BD389" s="1051"/>
      <c r="BE389" s="1053"/>
      <c r="BF389" s="1051"/>
      <c r="BG389" s="1051"/>
      <c r="BH389" s="1053"/>
      <c r="BI389" s="1052"/>
      <c r="BJ389" s="1052"/>
      <c r="BK389" s="1052"/>
      <c r="BL389" s="1052"/>
      <c r="BM389" s="1052"/>
      <c r="BN389" s="1054"/>
      <c r="BO389" s="1076">
        <f t="shared" si="6"/>
        <v>0</v>
      </c>
      <c r="BP389" s="1051"/>
      <c r="BQ389" s="1052"/>
      <c r="BR389" s="1054"/>
      <c r="BS389" s="1053"/>
      <c r="BT389" s="1051"/>
      <c r="BU389" s="1051"/>
      <c r="BV389" s="1051"/>
      <c r="BW389" s="1052"/>
      <c r="BX389" s="1052"/>
      <c r="BY389" s="1052"/>
      <c r="BZ389" s="1052"/>
      <c r="CA389" s="1052"/>
      <c r="CB389" s="1053"/>
      <c r="CC389" s="1053"/>
      <c r="CD389" s="1053"/>
      <c r="CE389" s="1053"/>
      <c r="CF389" s="1053"/>
      <c r="CG389" s="1053"/>
      <c r="CH389" s="1053"/>
      <c r="CI389" s="1123"/>
      <c r="CJ389" s="1123"/>
      <c r="CK389" s="1123"/>
      <c r="CL389" s="1123"/>
      <c r="CM389" s="1123"/>
      <c r="CN389" s="1123"/>
      <c r="CO389" s="1123"/>
      <c r="CP389" s="1123"/>
      <c r="CQ389" s="1123"/>
      <c r="CR389" s="1123"/>
      <c r="CS389" s="1123"/>
      <c r="CT389" s="1123"/>
      <c r="CU389" s="1123"/>
      <c r="CV389" s="1123"/>
      <c r="CW389" s="1123"/>
      <c r="CX389" s="1123"/>
      <c r="CY389" s="1123"/>
      <c r="CZ389" s="1114"/>
      <c r="DA389" s="1114"/>
      <c r="DB389" s="1114"/>
      <c r="DC389" s="1114"/>
      <c r="DD389" s="1114"/>
      <c r="DE389" s="1114"/>
      <c r="DF389" s="1114"/>
      <c r="DG389" s="1114"/>
      <c r="DH389" s="1114"/>
      <c r="DI389" s="1114"/>
      <c r="DJ389" s="1114"/>
      <c r="DK389" s="1114"/>
      <c r="DL389" s="1114"/>
      <c r="DM389" s="1114"/>
      <c r="DN389" s="1114"/>
      <c r="DO389" s="1114"/>
      <c r="DP389" s="1114"/>
      <c r="DQ389" s="1114"/>
      <c r="DR389" s="1114"/>
      <c r="DS389" s="1114"/>
      <c r="DT389" s="1114"/>
      <c r="DU389" s="1114"/>
      <c r="DV389" s="1115"/>
      <c r="DW389" s="1116"/>
      <c r="DX389" s="1116"/>
      <c r="DY389" s="1116"/>
      <c r="DZ389" s="1116"/>
      <c r="EA389" s="1116"/>
      <c r="EB389" s="1116"/>
      <c r="EC389" s="1116"/>
      <c r="ED389" s="1116"/>
      <c r="EE389" s="1116"/>
      <c r="EF389" s="1116"/>
      <c r="EG389" s="1116"/>
      <c r="EH389" s="1116"/>
      <c r="EI389" s="1116"/>
      <c r="EJ389" s="1116"/>
      <c r="EK389" s="1116"/>
      <c r="EL389" s="1116"/>
      <c r="EM389" s="1116"/>
      <c r="EN389" s="1116"/>
      <c r="EO389" s="1116"/>
      <c r="EP389" s="1116"/>
      <c r="EQ389" s="1116"/>
      <c r="ER389" s="1116"/>
      <c r="ES389" s="1116"/>
    </row>
    <row r="390" spans="1:149" ht="15" customHeight="1">
      <c r="A390" s="1185">
        <v>380</v>
      </c>
      <c r="B390" s="1041"/>
      <c r="C390" s="1050"/>
      <c r="D390" s="1050"/>
      <c r="E390" s="1050"/>
      <c r="F390" s="1049"/>
      <c r="G390" s="1049"/>
      <c r="H390" s="1049"/>
      <c r="I390" s="1049"/>
      <c r="J390" s="1050"/>
      <c r="K390" s="1050"/>
      <c r="L390" s="1043"/>
      <c r="M390" s="1051"/>
      <c r="N390" s="1051"/>
      <c r="O390" s="1052"/>
      <c r="P390" s="1051"/>
      <c r="Q390" s="1051"/>
      <c r="R390" s="1052"/>
      <c r="S390" s="1051"/>
      <c r="T390" s="1051"/>
      <c r="U390" s="1052"/>
      <c r="V390" s="1051"/>
      <c r="W390" s="1051"/>
      <c r="X390" s="1052"/>
      <c r="Y390" s="1053"/>
      <c r="Z390" s="1051"/>
      <c r="AA390" s="1051"/>
      <c r="AB390" s="1052"/>
      <c r="AC390" s="1051"/>
      <c r="AD390" s="1051"/>
      <c r="AE390" s="1052"/>
      <c r="AF390" s="1051"/>
      <c r="AG390" s="1051"/>
      <c r="AH390" s="1051"/>
      <c r="AI390" s="1051"/>
      <c r="AJ390" s="1052"/>
      <c r="AK390" s="1051"/>
      <c r="AL390" s="1051"/>
      <c r="AM390" s="1052"/>
      <c r="AN390" s="1051"/>
      <c r="AO390" s="1051"/>
      <c r="AP390" s="1052"/>
      <c r="AQ390" s="1051"/>
      <c r="AR390" s="1051"/>
      <c r="AS390" s="1052"/>
      <c r="AT390" s="1051"/>
      <c r="AU390" s="1051"/>
      <c r="AV390" s="1052"/>
      <c r="AW390" s="1051"/>
      <c r="AX390" s="1051"/>
      <c r="AY390" s="1053"/>
      <c r="AZ390" s="1051"/>
      <c r="BA390" s="1051"/>
      <c r="BB390" s="1053"/>
      <c r="BC390" s="1051"/>
      <c r="BD390" s="1051"/>
      <c r="BE390" s="1053"/>
      <c r="BF390" s="1051"/>
      <c r="BG390" s="1051"/>
      <c r="BH390" s="1053"/>
      <c r="BI390" s="1052"/>
      <c r="BJ390" s="1052"/>
      <c r="BK390" s="1052"/>
      <c r="BL390" s="1052"/>
      <c r="BM390" s="1052"/>
      <c r="BN390" s="1054"/>
      <c r="BO390" s="1076">
        <f t="shared" si="6"/>
        <v>0</v>
      </c>
      <c r="BP390" s="1051"/>
      <c r="BQ390" s="1052"/>
      <c r="BR390" s="1054"/>
      <c r="BS390" s="1053"/>
      <c r="BT390" s="1051"/>
      <c r="BU390" s="1051"/>
      <c r="BV390" s="1051"/>
      <c r="BW390" s="1052"/>
      <c r="BX390" s="1052"/>
      <c r="BY390" s="1052"/>
      <c r="BZ390" s="1052"/>
      <c r="CA390" s="1052"/>
      <c r="CB390" s="1053"/>
      <c r="CC390" s="1053"/>
      <c r="CD390" s="1053"/>
      <c r="CE390" s="1053"/>
      <c r="CF390" s="1053"/>
      <c r="CG390" s="1053"/>
      <c r="CH390" s="1053"/>
      <c r="CI390" s="1123"/>
      <c r="CJ390" s="1123"/>
      <c r="CK390" s="1123"/>
      <c r="CL390" s="1123"/>
      <c r="CM390" s="1123"/>
      <c r="CN390" s="1123"/>
      <c r="CO390" s="1123"/>
      <c r="CP390" s="1123"/>
      <c r="CQ390" s="1123"/>
      <c r="CR390" s="1123"/>
      <c r="CS390" s="1123"/>
      <c r="CT390" s="1123"/>
      <c r="CU390" s="1123"/>
      <c r="CV390" s="1123"/>
      <c r="CW390" s="1123"/>
      <c r="CX390" s="1123"/>
      <c r="CY390" s="1123"/>
      <c r="CZ390" s="1114"/>
      <c r="DA390" s="1114"/>
      <c r="DB390" s="1114"/>
      <c r="DC390" s="1114"/>
      <c r="DD390" s="1114"/>
      <c r="DE390" s="1114"/>
      <c r="DF390" s="1114"/>
      <c r="DG390" s="1114"/>
      <c r="DH390" s="1114"/>
      <c r="DI390" s="1114"/>
      <c r="DJ390" s="1114"/>
      <c r="DK390" s="1114"/>
      <c r="DL390" s="1114"/>
      <c r="DM390" s="1114"/>
      <c r="DN390" s="1114"/>
      <c r="DO390" s="1114"/>
      <c r="DP390" s="1114"/>
      <c r="DQ390" s="1114"/>
      <c r="DR390" s="1114"/>
      <c r="DS390" s="1114"/>
      <c r="DT390" s="1114"/>
      <c r="DU390" s="1114"/>
      <c r="DV390" s="1115"/>
      <c r="DW390" s="1116"/>
      <c r="DX390" s="1116"/>
      <c r="DY390" s="1116"/>
      <c r="DZ390" s="1116"/>
      <c r="EA390" s="1116"/>
      <c r="EB390" s="1116"/>
      <c r="EC390" s="1116"/>
      <c r="ED390" s="1116"/>
      <c r="EE390" s="1116"/>
      <c r="EF390" s="1116"/>
      <c r="EG390" s="1116"/>
      <c r="EH390" s="1116"/>
      <c r="EI390" s="1116"/>
      <c r="EJ390" s="1116"/>
      <c r="EK390" s="1116"/>
      <c r="EL390" s="1116"/>
      <c r="EM390" s="1116"/>
      <c r="EN390" s="1116"/>
      <c r="EO390" s="1116"/>
      <c r="EP390" s="1116"/>
      <c r="EQ390" s="1116"/>
      <c r="ER390" s="1116"/>
      <c r="ES390" s="1116"/>
    </row>
    <row r="391" spans="1:149" ht="15" customHeight="1">
      <c r="A391" s="1185">
        <v>381</v>
      </c>
      <c r="B391" s="1041"/>
      <c r="C391" s="1050"/>
      <c r="D391" s="1050"/>
      <c r="E391" s="1050"/>
      <c r="F391" s="1049"/>
      <c r="G391" s="1049"/>
      <c r="H391" s="1049"/>
      <c r="I391" s="1049"/>
      <c r="J391" s="1050"/>
      <c r="K391" s="1050"/>
      <c r="L391" s="1043"/>
      <c r="M391" s="1051"/>
      <c r="N391" s="1051"/>
      <c r="O391" s="1052"/>
      <c r="P391" s="1051"/>
      <c r="Q391" s="1051"/>
      <c r="R391" s="1052"/>
      <c r="S391" s="1051"/>
      <c r="T391" s="1051"/>
      <c r="U391" s="1052"/>
      <c r="V391" s="1051"/>
      <c r="W391" s="1051"/>
      <c r="X391" s="1052"/>
      <c r="Y391" s="1053"/>
      <c r="Z391" s="1051"/>
      <c r="AA391" s="1051"/>
      <c r="AB391" s="1052"/>
      <c r="AC391" s="1051"/>
      <c r="AD391" s="1051"/>
      <c r="AE391" s="1052"/>
      <c r="AF391" s="1051"/>
      <c r="AG391" s="1051"/>
      <c r="AH391" s="1051"/>
      <c r="AI391" s="1051"/>
      <c r="AJ391" s="1052"/>
      <c r="AK391" s="1051"/>
      <c r="AL391" s="1051"/>
      <c r="AM391" s="1052"/>
      <c r="AN391" s="1051"/>
      <c r="AO391" s="1051"/>
      <c r="AP391" s="1052"/>
      <c r="AQ391" s="1051"/>
      <c r="AR391" s="1051"/>
      <c r="AS391" s="1052"/>
      <c r="AT391" s="1051"/>
      <c r="AU391" s="1051"/>
      <c r="AV391" s="1052"/>
      <c r="AW391" s="1051"/>
      <c r="AX391" s="1051"/>
      <c r="AY391" s="1053"/>
      <c r="AZ391" s="1051"/>
      <c r="BA391" s="1051"/>
      <c r="BB391" s="1053"/>
      <c r="BC391" s="1051"/>
      <c r="BD391" s="1051"/>
      <c r="BE391" s="1053"/>
      <c r="BF391" s="1051"/>
      <c r="BG391" s="1051"/>
      <c r="BH391" s="1053"/>
      <c r="BI391" s="1052"/>
      <c r="BJ391" s="1052"/>
      <c r="BK391" s="1052"/>
      <c r="BL391" s="1052"/>
      <c r="BM391" s="1052"/>
      <c r="BN391" s="1054"/>
      <c r="BO391" s="1076">
        <f t="shared" si="6"/>
        <v>0</v>
      </c>
      <c r="BP391" s="1051"/>
      <c r="BQ391" s="1052"/>
      <c r="BR391" s="1054"/>
      <c r="BS391" s="1053"/>
      <c r="BT391" s="1051"/>
      <c r="BU391" s="1051"/>
      <c r="BV391" s="1051"/>
      <c r="BW391" s="1052"/>
      <c r="BX391" s="1052"/>
      <c r="BY391" s="1052"/>
      <c r="BZ391" s="1052"/>
      <c r="CA391" s="1052"/>
      <c r="CB391" s="1053"/>
      <c r="CC391" s="1053"/>
      <c r="CD391" s="1053"/>
      <c r="CE391" s="1053"/>
      <c r="CF391" s="1053"/>
      <c r="CG391" s="1053"/>
      <c r="CH391" s="1053"/>
      <c r="CI391" s="1123"/>
      <c r="CJ391" s="1123"/>
      <c r="CK391" s="1123"/>
      <c r="CL391" s="1123"/>
      <c r="CM391" s="1123"/>
      <c r="CN391" s="1123"/>
      <c r="CO391" s="1123"/>
      <c r="CP391" s="1123"/>
      <c r="CQ391" s="1123"/>
      <c r="CR391" s="1123"/>
      <c r="CS391" s="1123"/>
      <c r="CT391" s="1123"/>
      <c r="CU391" s="1123"/>
      <c r="CV391" s="1123"/>
      <c r="CW391" s="1123"/>
      <c r="CX391" s="1123"/>
      <c r="CY391" s="1123"/>
      <c r="CZ391" s="1114"/>
      <c r="DA391" s="1114"/>
      <c r="DB391" s="1114"/>
      <c r="DC391" s="1114"/>
      <c r="DD391" s="1114"/>
      <c r="DE391" s="1114"/>
      <c r="DF391" s="1114"/>
      <c r="DG391" s="1114"/>
      <c r="DH391" s="1114"/>
      <c r="DI391" s="1114"/>
      <c r="DJ391" s="1114"/>
      <c r="DK391" s="1114"/>
      <c r="DL391" s="1114"/>
      <c r="DM391" s="1114"/>
      <c r="DN391" s="1114"/>
      <c r="DO391" s="1114"/>
      <c r="DP391" s="1114"/>
      <c r="DQ391" s="1114"/>
      <c r="DR391" s="1114"/>
      <c r="DS391" s="1114"/>
      <c r="DT391" s="1114"/>
      <c r="DU391" s="1114"/>
      <c r="DV391" s="1115"/>
      <c r="DW391" s="1116"/>
      <c r="DX391" s="1116"/>
      <c r="DY391" s="1116"/>
      <c r="DZ391" s="1116"/>
      <c r="EA391" s="1116"/>
      <c r="EB391" s="1116"/>
      <c r="EC391" s="1116"/>
      <c r="ED391" s="1116"/>
      <c r="EE391" s="1116"/>
      <c r="EF391" s="1116"/>
      <c r="EG391" s="1116"/>
      <c r="EH391" s="1116"/>
      <c r="EI391" s="1116"/>
      <c r="EJ391" s="1116"/>
      <c r="EK391" s="1116"/>
      <c r="EL391" s="1116"/>
      <c r="EM391" s="1116"/>
      <c r="EN391" s="1116"/>
      <c r="EO391" s="1116"/>
      <c r="EP391" s="1116"/>
      <c r="EQ391" s="1116"/>
      <c r="ER391" s="1116"/>
      <c r="ES391" s="1116"/>
    </row>
    <row r="392" spans="1:149" ht="15" customHeight="1">
      <c r="A392" s="1185">
        <v>382</v>
      </c>
      <c r="B392" s="1041"/>
      <c r="C392" s="1050"/>
      <c r="D392" s="1050"/>
      <c r="E392" s="1050"/>
      <c r="F392" s="1049"/>
      <c r="G392" s="1049"/>
      <c r="H392" s="1049"/>
      <c r="I392" s="1049"/>
      <c r="J392" s="1050"/>
      <c r="K392" s="1050"/>
      <c r="L392" s="1043"/>
      <c r="M392" s="1051"/>
      <c r="N392" s="1051"/>
      <c r="O392" s="1052"/>
      <c r="P392" s="1051"/>
      <c r="Q392" s="1051"/>
      <c r="R392" s="1052"/>
      <c r="S392" s="1051"/>
      <c r="T392" s="1051"/>
      <c r="U392" s="1052"/>
      <c r="V392" s="1051"/>
      <c r="W392" s="1051"/>
      <c r="X392" s="1052"/>
      <c r="Y392" s="1053"/>
      <c r="Z392" s="1051"/>
      <c r="AA392" s="1051"/>
      <c r="AB392" s="1052"/>
      <c r="AC392" s="1051"/>
      <c r="AD392" s="1051"/>
      <c r="AE392" s="1052"/>
      <c r="AF392" s="1051"/>
      <c r="AG392" s="1051"/>
      <c r="AH392" s="1051"/>
      <c r="AI392" s="1051"/>
      <c r="AJ392" s="1052"/>
      <c r="AK392" s="1051"/>
      <c r="AL392" s="1051"/>
      <c r="AM392" s="1052"/>
      <c r="AN392" s="1051"/>
      <c r="AO392" s="1051"/>
      <c r="AP392" s="1052"/>
      <c r="AQ392" s="1051"/>
      <c r="AR392" s="1051"/>
      <c r="AS392" s="1052"/>
      <c r="AT392" s="1051"/>
      <c r="AU392" s="1051"/>
      <c r="AV392" s="1052"/>
      <c r="AW392" s="1051"/>
      <c r="AX392" s="1051"/>
      <c r="AY392" s="1053"/>
      <c r="AZ392" s="1051"/>
      <c r="BA392" s="1051"/>
      <c r="BB392" s="1053"/>
      <c r="BC392" s="1051"/>
      <c r="BD392" s="1051"/>
      <c r="BE392" s="1053"/>
      <c r="BF392" s="1051"/>
      <c r="BG392" s="1051"/>
      <c r="BH392" s="1053"/>
      <c r="BI392" s="1052"/>
      <c r="BJ392" s="1052"/>
      <c r="BK392" s="1052"/>
      <c r="BL392" s="1052"/>
      <c r="BM392" s="1052"/>
      <c r="BN392" s="1054"/>
      <c r="BO392" s="1076">
        <f t="shared" si="6"/>
        <v>0</v>
      </c>
      <c r="BP392" s="1051"/>
      <c r="BQ392" s="1052"/>
      <c r="BR392" s="1054"/>
      <c r="BS392" s="1053"/>
      <c r="BT392" s="1051"/>
      <c r="BU392" s="1051"/>
      <c r="BV392" s="1051"/>
      <c r="BW392" s="1052"/>
      <c r="BX392" s="1052"/>
      <c r="BY392" s="1052"/>
      <c r="BZ392" s="1052"/>
      <c r="CA392" s="1052"/>
      <c r="CB392" s="1053"/>
      <c r="CC392" s="1053"/>
      <c r="CD392" s="1053"/>
      <c r="CE392" s="1053"/>
      <c r="CF392" s="1053"/>
      <c r="CG392" s="1053"/>
      <c r="CH392" s="1053"/>
      <c r="CI392" s="1123"/>
      <c r="CJ392" s="1123"/>
      <c r="CK392" s="1123"/>
      <c r="CL392" s="1123"/>
      <c r="CM392" s="1123"/>
      <c r="CN392" s="1123"/>
      <c r="CO392" s="1123"/>
      <c r="CP392" s="1123"/>
      <c r="CQ392" s="1123"/>
      <c r="CR392" s="1123"/>
      <c r="CS392" s="1123"/>
      <c r="CT392" s="1123"/>
      <c r="CU392" s="1123"/>
      <c r="CV392" s="1123"/>
      <c r="CW392" s="1123"/>
      <c r="CX392" s="1123"/>
      <c r="CY392" s="1123"/>
      <c r="CZ392" s="1114"/>
      <c r="DA392" s="1114"/>
      <c r="DB392" s="1114"/>
      <c r="DC392" s="1114"/>
      <c r="DD392" s="1114"/>
      <c r="DE392" s="1114"/>
      <c r="DF392" s="1114"/>
      <c r="DG392" s="1114"/>
      <c r="DH392" s="1114"/>
      <c r="DI392" s="1114"/>
      <c r="DJ392" s="1114"/>
      <c r="DK392" s="1114"/>
      <c r="DL392" s="1114"/>
      <c r="DM392" s="1114"/>
      <c r="DN392" s="1114"/>
      <c r="DO392" s="1114"/>
      <c r="DP392" s="1114"/>
      <c r="DQ392" s="1114"/>
      <c r="DR392" s="1114"/>
      <c r="DS392" s="1114"/>
      <c r="DT392" s="1114"/>
      <c r="DU392" s="1114"/>
      <c r="DV392" s="1115"/>
      <c r="DW392" s="1116"/>
      <c r="DX392" s="1116"/>
      <c r="DY392" s="1116"/>
      <c r="DZ392" s="1116"/>
      <c r="EA392" s="1116"/>
      <c r="EB392" s="1116"/>
      <c r="EC392" s="1116"/>
      <c r="ED392" s="1116"/>
      <c r="EE392" s="1116"/>
      <c r="EF392" s="1116"/>
      <c r="EG392" s="1116"/>
      <c r="EH392" s="1116"/>
      <c r="EI392" s="1116"/>
      <c r="EJ392" s="1116"/>
      <c r="EK392" s="1116"/>
      <c r="EL392" s="1116"/>
      <c r="EM392" s="1116"/>
      <c r="EN392" s="1116"/>
      <c r="EO392" s="1116"/>
      <c r="EP392" s="1116"/>
      <c r="EQ392" s="1116"/>
      <c r="ER392" s="1116"/>
      <c r="ES392" s="1116"/>
    </row>
    <row r="393" spans="1:149" ht="15" customHeight="1">
      <c r="A393" s="1185">
        <v>383</v>
      </c>
      <c r="B393" s="1041"/>
      <c r="C393" s="1050"/>
      <c r="D393" s="1050"/>
      <c r="E393" s="1050"/>
      <c r="F393" s="1049"/>
      <c r="G393" s="1049"/>
      <c r="H393" s="1049"/>
      <c r="I393" s="1049"/>
      <c r="J393" s="1050"/>
      <c r="K393" s="1050"/>
      <c r="L393" s="1043"/>
      <c r="M393" s="1051"/>
      <c r="N393" s="1051"/>
      <c r="O393" s="1052"/>
      <c r="P393" s="1051"/>
      <c r="Q393" s="1051"/>
      <c r="R393" s="1052"/>
      <c r="S393" s="1051"/>
      <c r="T393" s="1051"/>
      <c r="U393" s="1052"/>
      <c r="V393" s="1051"/>
      <c r="W393" s="1051"/>
      <c r="X393" s="1052"/>
      <c r="Y393" s="1053"/>
      <c r="Z393" s="1051"/>
      <c r="AA393" s="1051"/>
      <c r="AB393" s="1052"/>
      <c r="AC393" s="1051"/>
      <c r="AD393" s="1051"/>
      <c r="AE393" s="1052"/>
      <c r="AF393" s="1051"/>
      <c r="AG393" s="1051"/>
      <c r="AH393" s="1051"/>
      <c r="AI393" s="1051"/>
      <c r="AJ393" s="1052"/>
      <c r="AK393" s="1051"/>
      <c r="AL393" s="1051"/>
      <c r="AM393" s="1052"/>
      <c r="AN393" s="1051"/>
      <c r="AO393" s="1051"/>
      <c r="AP393" s="1052"/>
      <c r="AQ393" s="1051"/>
      <c r="AR393" s="1051"/>
      <c r="AS393" s="1052"/>
      <c r="AT393" s="1051"/>
      <c r="AU393" s="1051"/>
      <c r="AV393" s="1052"/>
      <c r="AW393" s="1051"/>
      <c r="AX393" s="1051"/>
      <c r="AY393" s="1053"/>
      <c r="AZ393" s="1051"/>
      <c r="BA393" s="1051"/>
      <c r="BB393" s="1053"/>
      <c r="BC393" s="1051"/>
      <c r="BD393" s="1051"/>
      <c r="BE393" s="1053"/>
      <c r="BF393" s="1051"/>
      <c r="BG393" s="1051"/>
      <c r="BH393" s="1053"/>
      <c r="BI393" s="1052"/>
      <c r="BJ393" s="1052"/>
      <c r="BK393" s="1052"/>
      <c r="BL393" s="1052"/>
      <c r="BM393" s="1052"/>
      <c r="BN393" s="1054"/>
      <c r="BO393" s="1076">
        <f t="shared" si="6"/>
        <v>0</v>
      </c>
      <c r="BP393" s="1051"/>
      <c r="BQ393" s="1052"/>
      <c r="BR393" s="1054"/>
      <c r="BS393" s="1053"/>
      <c r="BT393" s="1051"/>
      <c r="BU393" s="1051"/>
      <c r="BV393" s="1051"/>
      <c r="BW393" s="1052"/>
      <c r="BX393" s="1052"/>
      <c r="BY393" s="1052"/>
      <c r="BZ393" s="1052"/>
      <c r="CA393" s="1052"/>
      <c r="CB393" s="1053"/>
      <c r="CC393" s="1053"/>
      <c r="CD393" s="1053"/>
      <c r="CE393" s="1053"/>
      <c r="CF393" s="1053"/>
      <c r="CG393" s="1053"/>
      <c r="CH393" s="1053"/>
      <c r="CI393" s="1123"/>
      <c r="CJ393" s="1123"/>
      <c r="CK393" s="1123"/>
      <c r="CL393" s="1123"/>
      <c r="CM393" s="1123"/>
      <c r="CN393" s="1123"/>
      <c r="CO393" s="1123"/>
      <c r="CP393" s="1123"/>
      <c r="CQ393" s="1123"/>
      <c r="CR393" s="1123"/>
      <c r="CS393" s="1123"/>
      <c r="CT393" s="1123"/>
      <c r="CU393" s="1123"/>
      <c r="CV393" s="1123"/>
      <c r="CW393" s="1123"/>
      <c r="CX393" s="1123"/>
      <c r="CY393" s="1123"/>
      <c r="CZ393" s="1114"/>
      <c r="DA393" s="1114"/>
      <c r="DB393" s="1114"/>
      <c r="DC393" s="1114"/>
      <c r="DD393" s="1114"/>
      <c r="DE393" s="1114"/>
      <c r="DF393" s="1114"/>
      <c r="DG393" s="1114"/>
      <c r="DH393" s="1114"/>
      <c r="DI393" s="1114"/>
      <c r="DJ393" s="1114"/>
      <c r="DK393" s="1114"/>
      <c r="DL393" s="1114"/>
      <c r="DM393" s="1114"/>
      <c r="DN393" s="1114"/>
      <c r="DO393" s="1114"/>
      <c r="DP393" s="1114"/>
      <c r="DQ393" s="1114"/>
      <c r="DR393" s="1114"/>
      <c r="DS393" s="1114"/>
      <c r="DT393" s="1114"/>
      <c r="DU393" s="1114"/>
      <c r="DV393" s="1115"/>
      <c r="DW393" s="1116"/>
      <c r="DX393" s="1116"/>
      <c r="DY393" s="1116"/>
      <c r="DZ393" s="1116"/>
      <c r="EA393" s="1116"/>
      <c r="EB393" s="1116"/>
      <c r="EC393" s="1116"/>
      <c r="ED393" s="1116"/>
      <c r="EE393" s="1116"/>
      <c r="EF393" s="1116"/>
      <c r="EG393" s="1116"/>
      <c r="EH393" s="1116"/>
      <c r="EI393" s="1116"/>
      <c r="EJ393" s="1116"/>
      <c r="EK393" s="1116"/>
      <c r="EL393" s="1116"/>
      <c r="EM393" s="1116"/>
      <c r="EN393" s="1116"/>
      <c r="EO393" s="1116"/>
      <c r="EP393" s="1116"/>
      <c r="EQ393" s="1116"/>
      <c r="ER393" s="1116"/>
      <c r="ES393" s="1116"/>
    </row>
    <row r="394" spans="1:149" ht="15" customHeight="1">
      <c r="A394" s="1185">
        <v>384</v>
      </c>
      <c r="B394" s="1041"/>
      <c r="C394" s="1050"/>
      <c r="D394" s="1050"/>
      <c r="E394" s="1050"/>
      <c r="F394" s="1049"/>
      <c r="G394" s="1049"/>
      <c r="H394" s="1049"/>
      <c r="I394" s="1049"/>
      <c r="J394" s="1050"/>
      <c r="K394" s="1050"/>
      <c r="L394" s="1043"/>
      <c r="M394" s="1051"/>
      <c r="N394" s="1051"/>
      <c r="O394" s="1052"/>
      <c r="P394" s="1051"/>
      <c r="Q394" s="1051"/>
      <c r="R394" s="1052"/>
      <c r="S394" s="1051"/>
      <c r="T394" s="1051"/>
      <c r="U394" s="1052"/>
      <c r="V394" s="1051"/>
      <c r="W394" s="1051"/>
      <c r="X394" s="1052"/>
      <c r="Y394" s="1053"/>
      <c r="Z394" s="1051"/>
      <c r="AA394" s="1051"/>
      <c r="AB394" s="1052"/>
      <c r="AC394" s="1051"/>
      <c r="AD394" s="1051"/>
      <c r="AE394" s="1052"/>
      <c r="AF394" s="1051"/>
      <c r="AG394" s="1051"/>
      <c r="AH394" s="1051"/>
      <c r="AI394" s="1051"/>
      <c r="AJ394" s="1052"/>
      <c r="AK394" s="1051"/>
      <c r="AL394" s="1051"/>
      <c r="AM394" s="1052"/>
      <c r="AN394" s="1051"/>
      <c r="AO394" s="1051"/>
      <c r="AP394" s="1052"/>
      <c r="AQ394" s="1051"/>
      <c r="AR394" s="1051"/>
      <c r="AS394" s="1052"/>
      <c r="AT394" s="1051"/>
      <c r="AU394" s="1051"/>
      <c r="AV394" s="1052"/>
      <c r="AW394" s="1051"/>
      <c r="AX394" s="1051"/>
      <c r="AY394" s="1053"/>
      <c r="AZ394" s="1051"/>
      <c r="BA394" s="1051"/>
      <c r="BB394" s="1053"/>
      <c r="BC394" s="1051"/>
      <c r="BD394" s="1051"/>
      <c r="BE394" s="1053"/>
      <c r="BF394" s="1051"/>
      <c r="BG394" s="1051"/>
      <c r="BH394" s="1053"/>
      <c r="BI394" s="1052"/>
      <c r="BJ394" s="1052"/>
      <c r="BK394" s="1052"/>
      <c r="BL394" s="1052"/>
      <c r="BM394" s="1052"/>
      <c r="BN394" s="1054"/>
      <c r="BO394" s="1076">
        <f t="shared" si="6"/>
        <v>0</v>
      </c>
      <c r="BP394" s="1051"/>
      <c r="BQ394" s="1052"/>
      <c r="BR394" s="1054"/>
      <c r="BS394" s="1053"/>
      <c r="BT394" s="1051"/>
      <c r="BU394" s="1051"/>
      <c r="BV394" s="1051"/>
      <c r="BW394" s="1052"/>
      <c r="BX394" s="1052"/>
      <c r="BY394" s="1052"/>
      <c r="BZ394" s="1052"/>
      <c r="CA394" s="1052"/>
      <c r="CB394" s="1053"/>
      <c r="CC394" s="1053"/>
      <c r="CD394" s="1053"/>
      <c r="CE394" s="1053"/>
      <c r="CF394" s="1053"/>
      <c r="CG394" s="1053"/>
      <c r="CH394" s="1053"/>
      <c r="CI394" s="1123"/>
      <c r="CJ394" s="1123"/>
      <c r="CK394" s="1123"/>
      <c r="CL394" s="1123"/>
      <c r="CM394" s="1123"/>
      <c r="CN394" s="1123"/>
      <c r="CO394" s="1123"/>
      <c r="CP394" s="1123"/>
      <c r="CQ394" s="1123"/>
      <c r="CR394" s="1123"/>
      <c r="CS394" s="1123"/>
      <c r="CT394" s="1123"/>
      <c r="CU394" s="1123"/>
      <c r="CV394" s="1123"/>
      <c r="CW394" s="1123"/>
      <c r="CX394" s="1123"/>
      <c r="CY394" s="1123"/>
      <c r="CZ394" s="1114"/>
      <c r="DA394" s="1114"/>
      <c r="DB394" s="1114"/>
      <c r="DC394" s="1114"/>
      <c r="DD394" s="1114"/>
      <c r="DE394" s="1114"/>
      <c r="DF394" s="1114"/>
      <c r="DG394" s="1114"/>
      <c r="DH394" s="1114"/>
      <c r="DI394" s="1114"/>
      <c r="DJ394" s="1114"/>
      <c r="DK394" s="1114"/>
      <c r="DL394" s="1114"/>
      <c r="DM394" s="1114"/>
      <c r="DN394" s="1114"/>
      <c r="DO394" s="1114"/>
      <c r="DP394" s="1114"/>
      <c r="DQ394" s="1114"/>
      <c r="DR394" s="1114"/>
      <c r="DS394" s="1114"/>
      <c r="DT394" s="1114"/>
      <c r="DU394" s="1114"/>
      <c r="DV394" s="1115"/>
      <c r="DW394" s="1116"/>
      <c r="DX394" s="1116"/>
      <c r="DY394" s="1116"/>
      <c r="DZ394" s="1116"/>
      <c r="EA394" s="1116"/>
      <c r="EB394" s="1116"/>
      <c r="EC394" s="1116"/>
      <c r="ED394" s="1116"/>
      <c r="EE394" s="1116"/>
      <c r="EF394" s="1116"/>
      <c r="EG394" s="1116"/>
      <c r="EH394" s="1116"/>
      <c r="EI394" s="1116"/>
      <c r="EJ394" s="1116"/>
      <c r="EK394" s="1116"/>
      <c r="EL394" s="1116"/>
      <c r="EM394" s="1116"/>
      <c r="EN394" s="1116"/>
      <c r="EO394" s="1116"/>
      <c r="EP394" s="1116"/>
      <c r="EQ394" s="1116"/>
      <c r="ER394" s="1116"/>
      <c r="ES394" s="1116"/>
    </row>
    <row r="395" spans="1:149" ht="15" customHeight="1">
      <c r="A395" s="1185">
        <v>385</v>
      </c>
      <c r="B395" s="1041"/>
      <c r="C395" s="1050"/>
      <c r="D395" s="1050"/>
      <c r="E395" s="1050"/>
      <c r="F395" s="1049"/>
      <c r="G395" s="1049"/>
      <c r="H395" s="1049"/>
      <c r="I395" s="1049"/>
      <c r="J395" s="1050"/>
      <c r="K395" s="1050"/>
      <c r="L395" s="1043"/>
      <c r="M395" s="1051"/>
      <c r="N395" s="1051"/>
      <c r="O395" s="1052"/>
      <c r="P395" s="1051"/>
      <c r="Q395" s="1051"/>
      <c r="R395" s="1052"/>
      <c r="S395" s="1051"/>
      <c r="T395" s="1051"/>
      <c r="U395" s="1052"/>
      <c r="V395" s="1051"/>
      <c r="W395" s="1051"/>
      <c r="X395" s="1052"/>
      <c r="Y395" s="1053"/>
      <c r="Z395" s="1051"/>
      <c r="AA395" s="1051"/>
      <c r="AB395" s="1052"/>
      <c r="AC395" s="1051"/>
      <c r="AD395" s="1051"/>
      <c r="AE395" s="1052"/>
      <c r="AF395" s="1051"/>
      <c r="AG395" s="1051"/>
      <c r="AH395" s="1051"/>
      <c r="AI395" s="1051"/>
      <c r="AJ395" s="1052"/>
      <c r="AK395" s="1051"/>
      <c r="AL395" s="1051"/>
      <c r="AM395" s="1052"/>
      <c r="AN395" s="1051"/>
      <c r="AO395" s="1051"/>
      <c r="AP395" s="1052"/>
      <c r="AQ395" s="1051"/>
      <c r="AR395" s="1051"/>
      <c r="AS395" s="1052"/>
      <c r="AT395" s="1051"/>
      <c r="AU395" s="1051"/>
      <c r="AV395" s="1052"/>
      <c r="AW395" s="1051"/>
      <c r="AX395" s="1051"/>
      <c r="AY395" s="1053"/>
      <c r="AZ395" s="1051"/>
      <c r="BA395" s="1051"/>
      <c r="BB395" s="1053"/>
      <c r="BC395" s="1051"/>
      <c r="BD395" s="1051"/>
      <c r="BE395" s="1053"/>
      <c r="BF395" s="1051"/>
      <c r="BG395" s="1051"/>
      <c r="BH395" s="1053"/>
      <c r="BI395" s="1052"/>
      <c r="BJ395" s="1052"/>
      <c r="BK395" s="1052"/>
      <c r="BL395" s="1052"/>
      <c r="BM395" s="1052"/>
      <c r="BN395" s="1054"/>
      <c r="BO395" s="1076">
        <f t="shared" si="6"/>
        <v>0</v>
      </c>
      <c r="BP395" s="1051"/>
      <c r="BQ395" s="1052"/>
      <c r="BR395" s="1054"/>
      <c r="BS395" s="1053"/>
      <c r="BT395" s="1051"/>
      <c r="BU395" s="1051"/>
      <c r="BV395" s="1051"/>
      <c r="BW395" s="1052"/>
      <c r="BX395" s="1052"/>
      <c r="BY395" s="1052"/>
      <c r="BZ395" s="1052"/>
      <c r="CA395" s="1052"/>
      <c r="CB395" s="1053"/>
      <c r="CC395" s="1053"/>
      <c r="CD395" s="1053"/>
      <c r="CE395" s="1053"/>
      <c r="CF395" s="1053"/>
      <c r="CG395" s="1053"/>
      <c r="CH395" s="1053"/>
      <c r="CI395" s="1123"/>
      <c r="CJ395" s="1123"/>
      <c r="CK395" s="1123"/>
      <c r="CL395" s="1123"/>
      <c r="CM395" s="1123"/>
      <c r="CN395" s="1123"/>
      <c r="CO395" s="1123"/>
      <c r="CP395" s="1123"/>
      <c r="CQ395" s="1123"/>
      <c r="CR395" s="1123"/>
      <c r="CS395" s="1123"/>
      <c r="CT395" s="1123"/>
      <c r="CU395" s="1123"/>
      <c r="CV395" s="1123"/>
      <c r="CW395" s="1123"/>
      <c r="CX395" s="1123"/>
      <c r="CY395" s="1123"/>
      <c r="CZ395" s="1114"/>
      <c r="DA395" s="1114"/>
      <c r="DB395" s="1114"/>
      <c r="DC395" s="1114"/>
      <c r="DD395" s="1114"/>
      <c r="DE395" s="1114"/>
      <c r="DF395" s="1114"/>
      <c r="DG395" s="1114"/>
      <c r="DH395" s="1114"/>
      <c r="DI395" s="1114"/>
      <c r="DJ395" s="1114"/>
      <c r="DK395" s="1114"/>
      <c r="DL395" s="1114"/>
      <c r="DM395" s="1114"/>
      <c r="DN395" s="1114"/>
      <c r="DO395" s="1114"/>
      <c r="DP395" s="1114"/>
      <c r="DQ395" s="1114"/>
      <c r="DR395" s="1114"/>
      <c r="DS395" s="1114"/>
      <c r="DT395" s="1114"/>
      <c r="DU395" s="1114"/>
      <c r="DV395" s="1115"/>
      <c r="DW395" s="1116"/>
      <c r="DX395" s="1116"/>
      <c r="DY395" s="1116"/>
      <c r="DZ395" s="1116"/>
      <c r="EA395" s="1116"/>
      <c r="EB395" s="1116"/>
      <c r="EC395" s="1116"/>
      <c r="ED395" s="1116"/>
      <c r="EE395" s="1116"/>
      <c r="EF395" s="1116"/>
      <c r="EG395" s="1116"/>
      <c r="EH395" s="1116"/>
      <c r="EI395" s="1116"/>
      <c r="EJ395" s="1116"/>
      <c r="EK395" s="1116"/>
      <c r="EL395" s="1116"/>
      <c r="EM395" s="1116"/>
      <c r="EN395" s="1116"/>
      <c r="EO395" s="1116"/>
      <c r="EP395" s="1116"/>
      <c r="EQ395" s="1116"/>
      <c r="ER395" s="1116"/>
      <c r="ES395" s="1116"/>
    </row>
    <row r="396" spans="1:149" ht="15" customHeight="1">
      <c r="A396" s="1185">
        <v>386</v>
      </c>
      <c r="B396" s="1041"/>
      <c r="C396" s="1050"/>
      <c r="D396" s="1050"/>
      <c r="E396" s="1050"/>
      <c r="F396" s="1049"/>
      <c r="G396" s="1049"/>
      <c r="H396" s="1049"/>
      <c r="I396" s="1049"/>
      <c r="J396" s="1050"/>
      <c r="K396" s="1050"/>
      <c r="L396" s="1043"/>
      <c r="M396" s="1051"/>
      <c r="N396" s="1051"/>
      <c r="O396" s="1052"/>
      <c r="P396" s="1051"/>
      <c r="Q396" s="1051"/>
      <c r="R396" s="1052"/>
      <c r="S396" s="1051"/>
      <c r="T396" s="1051"/>
      <c r="U396" s="1052"/>
      <c r="V396" s="1051"/>
      <c r="W396" s="1051"/>
      <c r="X396" s="1052"/>
      <c r="Y396" s="1053"/>
      <c r="Z396" s="1051"/>
      <c r="AA396" s="1051"/>
      <c r="AB396" s="1052"/>
      <c r="AC396" s="1051"/>
      <c r="AD396" s="1051"/>
      <c r="AE396" s="1052"/>
      <c r="AF396" s="1051"/>
      <c r="AG396" s="1051"/>
      <c r="AH396" s="1051"/>
      <c r="AI396" s="1051"/>
      <c r="AJ396" s="1052"/>
      <c r="AK396" s="1051"/>
      <c r="AL396" s="1051"/>
      <c r="AM396" s="1052"/>
      <c r="AN396" s="1051"/>
      <c r="AO396" s="1051"/>
      <c r="AP396" s="1052"/>
      <c r="AQ396" s="1051"/>
      <c r="AR396" s="1051"/>
      <c r="AS396" s="1052"/>
      <c r="AT396" s="1051"/>
      <c r="AU396" s="1051"/>
      <c r="AV396" s="1052"/>
      <c r="AW396" s="1051"/>
      <c r="AX396" s="1051"/>
      <c r="AY396" s="1053"/>
      <c r="AZ396" s="1051"/>
      <c r="BA396" s="1051"/>
      <c r="BB396" s="1053"/>
      <c r="BC396" s="1051"/>
      <c r="BD396" s="1051"/>
      <c r="BE396" s="1053"/>
      <c r="BF396" s="1051"/>
      <c r="BG396" s="1051"/>
      <c r="BH396" s="1053"/>
      <c r="BI396" s="1052"/>
      <c r="BJ396" s="1052"/>
      <c r="BK396" s="1052"/>
      <c r="BL396" s="1052"/>
      <c r="BM396" s="1052"/>
      <c r="BN396" s="1054"/>
      <c r="BO396" s="1076">
        <f t="shared" ref="BO396:BO459" si="7">H396</f>
        <v>0</v>
      </c>
      <c r="BP396" s="1051"/>
      <c r="BQ396" s="1052"/>
      <c r="BR396" s="1054"/>
      <c r="BS396" s="1053"/>
      <c r="BT396" s="1051"/>
      <c r="BU396" s="1051"/>
      <c r="BV396" s="1051"/>
      <c r="BW396" s="1052"/>
      <c r="BX396" s="1052"/>
      <c r="BY396" s="1052"/>
      <c r="BZ396" s="1052"/>
      <c r="CA396" s="1052"/>
      <c r="CB396" s="1053"/>
      <c r="CC396" s="1053"/>
      <c r="CD396" s="1053"/>
      <c r="CE396" s="1053"/>
      <c r="CF396" s="1053"/>
      <c r="CG396" s="1053"/>
      <c r="CH396" s="1053"/>
      <c r="CI396" s="1123"/>
      <c r="CJ396" s="1123"/>
      <c r="CK396" s="1123"/>
      <c r="CL396" s="1123"/>
      <c r="CM396" s="1123"/>
      <c r="CN396" s="1123"/>
      <c r="CO396" s="1123"/>
      <c r="CP396" s="1123"/>
      <c r="CQ396" s="1123"/>
      <c r="CR396" s="1123"/>
      <c r="CS396" s="1123"/>
      <c r="CT396" s="1123"/>
      <c r="CU396" s="1123"/>
      <c r="CV396" s="1123"/>
      <c r="CW396" s="1123"/>
      <c r="CX396" s="1123"/>
      <c r="CY396" s="1123"/>
      <c r="CZ396" s="1114"/>
      <c r="DA396" s="1114"/>
      <c r="DB396" s="1114"/>
      <c r="DC396" s="1114"/>
      <c r="DD396" s="1114"/>
      <c r="DE396" s="1114"/>
      <c r="DF396" s="1114"/>
      <c r="DG396" s="1114"/>
      <c r="DH396" s="1114"/>
      <c r="DI396" s="1114"/>
      <c r="DJ396" s="1114"/>
      <c r="DK396" s="1114"/>
      <c r="DL396" s="1114"/>
      <c r="DM396" s="1114"/>
      <c r="DN396" s="1114"/>
      <c r="DO396" s="1114"/>
      <c r="DP396" s="1114"/>
      <c r="DQ396" s="1114"/>
      <c r="DR396" s="1114"/>
      <c r="DS396" s="1114"/>
      <c r="DT396" s="1114"/>
      <c r="DU396" s="1114"/>
      <c r="DV396" s="1115"/>
      <c r="DW396" s="1116"/>
      <c r="DX396" s="1116"/>
      <c r="DY396" s="1116"/>
      <c r="DZ396" s="1116"/>
      <c r="EA396" s="1116"/>
      <c r="EB396" s="1116"/>
      <c r="EC396" s="1116"/>
      <c r="ED396" s="1116"/>
      <c r="EE396" s="1116"/>
      <c r="EF396" s="1116"/>
      <c r="EG396" s="1116"/>
      <c r="EH396" s="1116"/>
      <c r="EI396" s="1116"/>
      <c r="EJ396" s="1116"/>
      <c r="EK396" s="1116"/>
      <c r="EL396" s="1116"/>
      <c r="EM396" s="1116"/>
      <c r="EN396" s="1116"/>
      <c r="EO396" s="1116"/>
      <c r="EP396" s="1116"/>
      <c r="EQ396" s="1116"/>
      <c r="ER396" s="1116"/>
      <c r="ES396" s="1116"/>
    </row>
    <row r="397" spans="1:149" ht="15" customHeight="1">
      <c r="A397" s="1185">
        <v>387</v>
      </c>
      <c r="B397" s="1041"/>
      <c r="C397" s="1050"/>
      <c r="D397" s="1050"/>
      <c r="E397" s="1050"/>
      <c r="F397" s="1049"/>
      <c r="G397" s="1049"/>
      <c r="H397" s="1049"/>
      <c r="I397" s="1049"/>
      <c r="J397" s="1050"/>
      <c r="K397" s="1050"/>
      <c r="L397" s="1043"/>
      <c r="M397" s="1051"/>
      <c r="N397" s="1051"/>
      <c r="O397" s="1052"/>
      <c r="P397" s="1051"/>
      <c r="Q397" s="1051"/>
      <c r="R397" s="1052"/>
      <c r="S397" s="1051"/>
      <c r="T397" s="1051"/>
      <c r="U397" s="1052"/>
      <c r="V397" s="1051"/>
      <c r="W397" s="1051"/>
      <c r="X397" s="1052"/>
      <c r="Y397" s="1053"/>
      <c r="Z397" s="1051"/>
      <c r="AA397" s="1051"/>
      <c r="AB397" s="1052"/>
      <c r="AC397" s="1051"/>
      <c r="AD397" s="1051"/>
      <c r="AE397" s="1052"/>
      <c r="AF397" s="1051"/>
      <c r="AG397" s="1051"/>
      <c r="AH397" s="1051"/>
      <c r="AI397" s="1051"/>
      <c r="AJ397" s="1052"/>
      <c r="AK397" s="1051"/>
      <c r="AL397" s="1051"/>
      <c r="AM397" s="1052"/>
      <c r="AN397" s="1051"/>
      <c r="AO397" s="1051"/>
      <c r="AP397" s="1052"/>
      <c r="AQ397" s="1051"/>
      <c r="AR397" s="1051"/>
      <c r="AS397" s="1052"/>
      <c r="AT397" s="1051"/>
      <c r="AU397" s="1051"/>
      <c r="AV397" s="1052"/>
      <c r="AW397" s="1051"/>
      <c r="AX397" s="1051"/>
      <c r="AY397" s="1053"/>
      <c r="AZ397" s="1051"/>
      <c r="BA397" s="1051"/>
      <c r="BB397" s="1053"/>
      <c r="BC397" s="1051"/>
      <c r="BD397" s="1051"/>
      <c r="BE397" s="1053"/>
      <c r="BF397" s="1051"/>
      <c r="BG397" s="1051"/>
      <c r="BH397" s="1053"/>
      <c r="BI397" s="1052"/>
      <c r="BJ397" s="1052"/>
      <c r="BK397" s="1052"/>
      <c r="BL397" s="1052"/>
      <c r="BM397" s="1052"/>
      <c r="BN397" s="1054"/>
      <c r="BO397" s="1076">
        <f t="shared" si="7"/>
        <v>0</v>
      </c>
      <c r="BP397" s="1051"/>
      <c r="BQ397" s="1052"/>
      <c r="BR397" s="1054"/>
      <c r="BS397" s="1053"/>
      <c r="BT397" s="1051"/>
      <c r="BU397" s="1051"/>
      <c r="BV397" s="1051"/>
      <c r="BW397" s="1052"/>
      <c r="BX397" s="1052"/>
      <c r="BY397" s="1052"/>
      <c r="BZ397" s="1052"/>
      <c r="CA397" s="1052"/>
      <c r="CB397" s="1053"/>
      <c r="CC397" s="1053"/>
      <c r="CD397" s="1053"/>
      <c r="CE397" s="1053"/>
      <c r="CF397" s="1053"/>
      <c r="CG397" s="1053"/>
      <c r="CH397" s="1053"/>
      <c r="CI397" s="1123"/>
      <c r="CJ397" s="1123"/>
      <c r="CK397" s="1123"/>
      <c r="CL397" s="1123"/>
      <c r="CM397" s="1123"/>
      <c r="CN397" s="1123"/>
      <c r="CO397" s="1123"/>
      <c r="CP397" s="1123"/>
      <c r="CQ397" s="1123"/>
      <c r="CR397" s="1123"/>
      <c r="CS397" s="1123"/>
      <c r="CT397" s="1123"/>
      <c r="CU397" s="1123"/>
      <c r="CV397" s="1123"/>
      <c r="CW397" s="1123"/>
      <c r="CX397" s="1123"/>
      <c r="CY397" s="1123"/>
      <c r="CZ397" s="1114"/>
      <c r="DA397" s="1114"/>
      <c r="DB397" s="1114"/>
      <c r="DC397" s="1114"/>
      <c r="DD397" s="1114"/>
      <c r="DE397" s="1114"/>
      <c r="DF397" s="1114"/>
      <c r="DG397" s="1114"/>
      <c r="DH397" s="1114"/>
      <c r="DI397" s="1114"/>
      <c r="DJ397" s="1114"/>
      <c r="DK397" s="1114"/>
      <c r="DL397" s="1114"/>
      <c r="DM397" s="1114"/>
      <c r="DN397" s="1114"/>
      <c r="DO397" s="1114"/>
      <c r="DP397" s="1114"/>
      <c r="DQ397" s="1114"/>
      <c r="DR397" s="1114"/>
      <c r="DS397" s="1114"/>
      <c r="DT397" s="1114"/>
      <c r="DU397" s="1114"/>
      <c r="DV397" s="1115"/>
      <c r="DW397" s="1116"/>
      <c r="DX397" s="1116"/>
      <c r="DY397" s="1116"/>
      <c r="DZ397" s="1116"/>
      <c r="EA397" s="1116"/>
      <c r="EB397" s="1116"/>
      <c r="EC397" s="1116"/>
      <c r="ED397" s="1116"/>
      <c r="EE397" s="1116"/>
      <c r="EF397" s="1116"/>
      <c r="EG397" s="1116"/>
      <c r="EH397" s="1116"/>
      <c r="EI397" s="1116"/>
      <c r="EJ397" s="1116"/>
      <c r="EK397" s="1116"/>
      <c r="EL397" s="1116"/>
      <c r="EM397" s="1116"/>
      <c r="EN397" s="1116"/>
      <c r="EO397" s="1116"/>
      <c r="EP397" s="1116"/>
      <c r="EQ397" s="1116"/>
      <c r="ER397" s="1116"/>
      <c r="ES397" s="1116"/>
    </row>
    <row r="398" spans="1:149" ht="15" customHeight="1">
      <c r="A398" s="1185">
        <v>388</v>
      </c>
      <c r="B398" s="1041"/>
      <c r="C398" s="1050"/>
      <c r="D398" s="1050"/>
      <c r="E398" s="1050"/>
      <c r="F398" s="1049"/>
      <c r="G398" s="1049"/>
      <c r="H398" s="1049"/>
      <c r="I398" s="1049"/>
      <c r="J398" s="1050"/>
      <c r="K398" s="1050"/>
      <c r="L398" s="1043"/>
      <c r="M398" s="1051"/>
      <c r="N398" s="1051"/>
      <c r="O398" s="1052"/>
      <c r="P398" s="1051"/>
      <c r="Q398" s="1051"/>
      <c r="R398" s="1052"/>
      <c r="S398" s="1051"/>
      <c r="T398" s="1051"/>
      <c r="U398" s="1052"/>
      <c r="V398" s="1051"/>
      <c r="W398" s="1051"/>
      <c r="X398" s="1052"/>
      <c r="Y398" s="1053"/>
      <c r="Z398" s="1051"/>
      <c r="AA398" s="1051"/>
      <c r="AB398" s="1052"/>
      <c r="AC398" s="1051"/>
      <c r="AD398" s="1051"/>
      <c r="AE398" s="1052"/>
      <c r="AF398" s="1051"/>
      <c r="AG398" s="1051"/>
      <c r="AH398" s="1051"/>
      <c r="AI398" s="1051"/>
      <c r="AJ398" s="1052"/>
      <c r="AK398" s="1051"/>
      <c r="AL398" s="1051"/>
      <c r="AM398" s="1052"/>
      <c r="AN398" s="1051"/>
      <c r="AO398" s="1051"/>
      <c r="AP398" s="1052"/>
      <c r="AQ398" s="1051"/>
      <c r="AR398" s="1051"/>
      <c r="AS398" s="1052"/>
      <c r="AT398" s="1051"/>
      <c r="AU398" s="1051"/>
      <c r="AV398" s="1052"/>
      <c r="AW398" s="1051"/>
      <c r="AX398" s="1051"/>
      <c r="AY398" s="1053"/>
      <c r="AZ398" s="1051"/>
      <c r="BA398" s="1051"/>
      <c r="BB398" s="1053"/>
      <c r="BC398" s="1051"/>
      <c r="BD398" s="1051"/>
      <c r="BE398" s="1053"/>
      <c r="BF398" s="1051"/>
      <c r="BG398" s="1051"/>
      <c r="BH398" s="1053"/>
      <c r="BI398" s="1052"/>
      <c r="BJ398" s="1052"/>
      <c r="BK398" s="1052"/>
      <c r="BL398" s="1052"/>
      <c r="BM398" s="1052"/>
      <c r="BN398" s="1054"/>
      <c r="BO398" s="1076">
        <f t="shared" si="7"/>
        <v>0</v>
      </c>
      <c r="BP398" s="1051"/>
      <c r="BQ398" s="1052"/>
      <c r="BR398" s="1054"/>
      <c r="BS398" s="1053"/>
      <c r="BT398" s="1051"/>
      <c r="BU398" s="1051"/>
      <c r="BV398" s="1051"/>
      <c r="BW398" s="1052"/>
      <c r="BX398" s="1052"/>
      <c r="BY398" s="1052"/>
      <c r="BZ398" s="1052"/>
      <c r="CA398" s="1052"/>
      <c r="CB398" s="1053"/>
      <c r="CC398" s="1053"/>
      <c r="CD398" s="1053"/>
      <c r="CE398" s="1053"/>
      <c r="CF398" s="1053"/>
      <c r="CG398" s="1053"/>
      <c r="CH398" s="1053"/>
      <c r="CI398" s="1123"/>
      <c r="CJ398" s="1123"/>
      <c r="CK398" s="1123"/>
      <c r="CL398" s="1123"/>
      <c r="CM398" s="1123"/>
      <c r="CN398" s="1123"/>
      <c r="CO398" s="1123"/>
      <c r="CP398" s="1123"/>
      <c r="CQ398" s="1123"/>
      <c r="CR398" s="1123"/>
      <c r="CS398" s="1123"/>
      <c r="CT398" s="1123"/>
      <c r="CU398" s="1123"/>
      <c r="CV398" s="1123"/>
      <c r="CW398" s="1123"/>
      <c r="CX398" s="1123"/>
      <c r="CY398" s="1123"/>
      <c r="CZ398" s="1114"/>
      <c r="DA398" s="1114"/>
      <c r="DB398" s="1114"/>
      <c r="DC398" s="1114"/>
      <c r="DD398" s="1114"/>
      <c r="DE398" s="1114"/>
      <c r="DF398" s="1114"/>
      <c r="DG398" s="1114"/>
      <c r="DH398" s="1114"/>
      <c r="DI398" s="1114"/>
      <c r="DJ398" s="1114"/>
      <c r="DK398" s="1114"/>
      <c r="DL398" s="1114"/>
      <c r="DM398" s="1114"/>
      <c r="DN398" s="1114"/>
      <c r="DO398" s="1114"/>
      <c r="DP398" s="1114"/>
      <c r="DQ398" s="1114"/>
      <c r="DR398" s="1114"/>
      <c r="DS398" s="1114"/>
      <c r="DT398" s="1114"/>
      <c r="DU398" s="1114"/>
      <c r="DV398" s="1115"/>
      <c r="DW398" s="1116"/>
      <c r="DX398" s="1116"/>
      <c r="DY398" s="1116"/>
      <c r="DZ398" s="1116"/>
      <c r="EA398" s="1116"/>
      <c r="EB398" s="1116"/>
      <c r="EC398" s="1116"/>
      <c r="ED398" s="1116"/>
      <c r="EE398" s="1116"/>
      <c r="EF398" s="1116"/>
      <c r="EG398" s="1116"/>
      <c r="EH398" s="1116"/>
      <c r="EI398" s="1116"/>
      <c r="EJ398" s="1116"/>
      <c r="EK398" s="1116"/>
      <c r="EL398" s="1116"/>
      <c r="EM398" s="1116"/>
      <c r="EN398" s="1116"/>
      <c r="EO398" s="1116"/>
      <c r="EP398" s="1116"/>
      <c r="EQ398" s="1116"/>
      <c r="ER398" s="1116"/>
      <c r="ES398" s="1116"/>
    </row>
    <row r="399" spans="1:149" ht="15" customHeight="1">
      <c r="A399" s="1185">
        <v>389</v>
      </c>
      <c r="B399" s="1041"/>
      <c r="C399" s="1050"/>
      <c r="D399" s="1050"/>
      <c r="E399" s="1050"/>
      <c r="F399" s="1049"/>
      <c r="G399" s="1049"/>
      <c r="H399" s="1049"/>
      <c r="I399" s="1049"/>
      <c r="J399" s="1050"/>
      <c r="K399" s="1050"/>
      <c r="L399" s="1043"/>
      <c r="M399" s="1051"/>
      <c r="N399" s="1051"/>
      <c r="O399" s="1052"/>
      <c r="P399" s="1051"/>
      <c r="Q399" s="1051"/>
      <c r="R399" s="1052"/>
      <c r="S399" s="1051"/>
      <c r="T399" s="1051"/>
      <c r="U399" s="1052"/>
      <c r="V399" s="1051"/>
      <c r="W399" s="1051"/>
      <c r="X399" s="1052"/>
      <c r="Y399" s="1053"/>
      <c r="Z399" s="1051"/>
      <c r="AA399" s="1051"/>
      <c r="AB399" s="1052"/>
      <c r="AC399" s="1051"/>
      <c r="AD399" s="1051"/>
      <c r="AE399" s="1052"/>
      <c r="AF399" s="1051"/>
      <c r="AG399" s="1051"/>
      <c r="AH399" s="1051"/>
      <c r="AI399" s="1051"/>
      <c r="AJ399" s="1052"/>
      <c r="AK399" s="1051"/>
      <c r="AL399" s="1051"/>
      <c r="AM399" s="1052"/>
      <c r="AN399" s="1051"/>
      <c r="AO399" s="1051"/>
      <c r="AP399" s="1052"/>
      <c r="AQ399" s="1051"/>
      <c r="AR399" s="1051"/>
      <c r="AS399" s="1052"/>
      <c r="AT399" s="1051"/>
      <c r="AU399" s="1051"/>
      <c r="AV399" s="1052"/>
      <c r="AW399" s="1051"/>
      <c r="AX399" s="1051"/>
      <c r="AY399" s="1053"/>
      <c r="AZ399" s="1051"/>
      <c r="BA399" s="1051"/>
      <c r="BB399" s="1053"/>
      <c r="BC399" s="1051"/>
      <c r="BD399" s="1051"/>
      <c r="BE399" s="1053"/>
      <c r="BF399" s="1051"/>
      <c r="BG399" s="1051"/>
      <c r="BH399" s="1053"/>
      <c r="BI399" s="1052"/>
      <c r="BJ399" s="1052"/>
      <c r="BK399" s="1052"/>
      <c r="BL399" s="1052"/>
      <c r="BM399" s="1052"/>
      <c r="BN399" s="1054"/>
      <c r="BO399" s="1076">
        <f t="shared" si="7"/>
        <v>0</v>
      </c>
      <c r="BP399" s="1051"/>
      <c r="BQ399" s="1052"/>
      <c r="BR399" s="1054"/>
      <c r="BS399" s="1053"/>
      <c r="BT399" s="1051"/>
      <c r="BU399" s="1051"/>
      <c r="BV399" s="1051"/>
      <c r="BW399" s="1052"/>
      <c r="BX399" s="1052"/>
      <c r="BY399" s="1052"/>
      <c r="BZ399" s="1052"/>
      <c r="CA399" s="1052"/>
      <c r="CB399" s="1053"/>
      <c r="CC399" s="1053"/>
      <c r="CD399" s="1053"/>
      <c r="CE399" s="1053"/>
      <c r="CF399" s="1053"/>
      <c r="CG399" s="1053"/>
      <c r="CH399" s="1053"/>
      <c r="CI399" s="1123"/>
      <c r="CJ399" s="1123"/>
      <c r="CK399" s="1123"/>
      <c r="CL399" s="1123"/>
      <c r="CM399" s="1123"/>
      <c r="CN399" s="1123"/>
      <c r="CO399" s="1123"/>
      <c r="CP399" s="1123"/>
      <c r="CQ399" s="1123"/>
      <c r="CR399" s="1123"/>
      <c r="CS399" s="1123"/>
      <c r="CT399" s="1123"/>
      <c r="CU399" s="1123"/>
      <c r="CV399" s="1123"/>
      <c r="CW399" s="1123"/>
      <c r="CX399" s="1123"/>
      <c r="CY399" s="1123"/>
      <c r="CZ399" s="1114"/>
      <c r="DA399" s="1114"/>
      <c r="DB399" s="1114"/>
      <c r="DC399" s="1114"/>
      <c r="DD399" s="1114"/>
      <c r="DE399" s="1114"/>
      <c r="DF399" s="1114"/>
      <c r="DG399" s="1114"/>
      <c r="DH399" s="1114"/>
      <c r="DI399" s="1114"/>
      <c r="DJ399" s="1114"/>
      <c r="DK399" s="1114"/>
      <c r="DL399" s="1114"/>
      <c r="DM399" s="1114"/>
      <c r="DN399" s="1114"/>
      <c r="DO399" s="1114"/>
      <c r="DP399" s="1114"/>
      <c r="DQ399" s="1114"/>
      <c r="DR399" s="1114"/>
      <c r="DS399" s="1114"/>
      <c r="DT399" s="1114"/>
      <c r="DU399" s="1114"/>
      <c r="DV399" s="1115"/>
      <c r="DW399" s="1116"/>
      <c r="DX399" s="1116"/>
      <c r="DY399" s="1116"/>
      <c r="DZ399" s="1116"/>
      <c r="EA399" s="1116"/>
      <c r="EB399" s="1116"/>
      <c r="EC399" s="1116"/>
      <c r="ED399" s="1116"/>
      <c r="EE399" s="1116"/>
      <c r="EF399" s="1116"/>
      <c r="EG399" s="1116"/>
      <c r="EH399" s="1116"/>
      <c r="EI399" s="1116"/>
      <c r="EJ399" s="1116"/>
      <c r="EK399" s="1116"/>
      <c r="EL399" s="1116"/>
      <c r="EM399" s="1116"/>
      <c r="EN399" s="1116"/>
      <c r="EO399" s="1116"/>
      <c r="EP399" s="1116"/>
      <c r="EQ399" s="1116"/>
      <c r="ER399" s="1116"/>
      <c r="ES399" s="1116"/>
    </row>
    <row r="400" spans="1:149" ht="15" customHeight="1">
      <c r="A400" s="1185">
        <v>390</v>
      </c>
      <c r="B400" s="1041"/>
      <c r="C400" s="1050"/>
      <c r="D400" s="1050"/>
      <c r="E400" s="1050"/>
      <c r="F400" s="1049"/>
      <c r="G400" s="1049"/>
      <c r="H400" s="1049"/>
      <c r="I400" s="1049"/>
      <c r="J400" s="1050"/>
      <c r="K400" s="1050"/>
      <c r="L400" s="1043"/>
      <c r="M400" s="1051"/>
      <c r="N400" s="1051"/>
      <c r="O400" s="1052"/>
      <c r="P400" s="1051"/>
      <c r="Q400" s="1051"/>
      <c r="R400" s="1052"/>
      <c r="S400" s="1051"/>
      <c r="T400" s="1051"/>
      <c r="U400" s="1052"/>
      <c r="V400" s="1051"/>
      <c r="W400" s="1051"/>
      <c r="X400" s="1052"/>
      <c r="Y400" s="1053"/>
      <c r="Z400" s="1051"/>
      <c r="AA400" s="1051"/>
      <c r="AB400" s="1052"/>
      <c r="AC400" s="1051"/>
      <c r="AD400" s="1051"/>
      <c r="AE400" s="1052"/>
      <c r="AF400" s="1051"/>
      <c r="AG400" s="1051"/>
      <c r="AH400" s="1051"/>
      <c r="AI400" s="1051"/>
      <c r="AJ400" s="1052"/>
      <c r="AK400" s="1051"/>
      <c r="AL400" s="1051"/>
      <c r="AM400" s="1052"/>
      <c r="AN400" s="1051"/>
      <c r="AO400" s="1051"/>
      <c r="AP400" s="1052"/>
      <c r="AQ400" s="1051"/>
      <c r="AR400" s="1051"/>
      <c r="AS400" s="1052"/>
      <c r="AT400" s="1051"/>
      <c r="AU400" s="1051"/>
      <c r="AV400" s="1052"/>
      <c r="AW400" s="1051"/>
      <c r="AX400" s="1051"/>
      <c r="AY400" s="1053"/>
      <c r="AZ400" s="1051"/>
      <c r="BA400" s="1051"/>
      <c r="BB400" s="1053"/>
      <c r="BC400" s="1051"/>
      <c r="BD400" s="1051"/>
      <c r="BE400" s="1053"/>
      <c r="BF400" s="1051"/>
      <c r="BG400" s="1051"/>
      <c r="BH400" s="1053"/>
      <c r="BI400" s="1052"/>
      <c r="BJ400" s="1052"/>
      <c r="BK400" s="1052"/>
      <c r="BL400" s="1052"/>
      <c r="BM400" s="1052"/>
      <c r="BN400" s="1054"/>
      <c r="BO400" s="1076">
        <f t="shared" si="7"/>
        <v>0</v>
      </c>
      <c r="BP400" s="1051"/>
      <c r="BQ400" s="1052"/>
      <c r="BR400" s="1054"/>
      <c r="BS400" s="1053"/>
      <c r="BT400" s="1051"/>
      <c r="BU400" s="1051"/>
      <c r="BV400" s="1051"/>
      <c r="BW400" s="1052"/>
      <c r="BX400" s="1052"/>
      <c r="BY400" s="1052"/>
      <c r="BZ400" s="1052"/>
      <c r="CA400" s="1052"/>
      <c r="CB400" s="1053"/>
      <c r="CC400" s="1053"/>
      <c r="CD400" s="1053"/>
      <c r="CE400" s="1053"/>
      <c r="CF400" s="1053"/>
      <c r="CG400" s="1053"/>
      <c r="CH400" s="1053"/>
      <c r="CI400" s="1123"/>
      <c r="CJ400" s="1123"/>
      <c r="CK400" s="1123"/>
      <c r="CL400" s="1123"/>
      <c r="CM400" s="1123"/>
      <c r="CN400" s="1123"/>
      <c r="CO400" s="1123"/>
      <c r="CP400" s="1123"/>
      <c r="CQ400" s="1123"/>
      <c r="CR400" s="1123"/>
      <c r="CS400" s="1123"/>
      <c r="CT400" s="1123"/>
      <c r="CU400" s="1123"/>
      <c r="CV400" s="1123"/>
      <c r="CW400" s="1123"/>
      <c r="CX400" s="1123"/>
      <c r="CY400" s="1123"/>
      <c r="CZ400" s="1114"/>
      <c r="DA400" s="1114"/>
      <c r="DB400" s="1114"/>
      <c r="DC400" s="1114"/>
      <c r="DD400" s="1114"/>
      <c r="DE400" s="1114"/>
      <c r="DF400" s="1114"/>
      <c r="DG400" s="1114"/>
      <c r="DH400" s="1114"/>
      <c r="DI400" s="1114"/>
      <c r="DJ400" s="1114"/>
      <c r="DK400" s="1114"/>
      <c r="DL400" s="1114"/>
      <c r="DM400" s="1114"/>
      <c r="DN400" s="1114"/>
      <c r="DO400" s="1114"/>
      <c r="DP400" s="1114"/>
      <c r="DQ400" s="1114"/>
      <c r="DR400" s="1114"/>
      <c r="DS400" s="1114"/>
      <c r="DT400" s="1114"/>
      <c r="DU400" s="1114"/>
      <c r="DV400" s="1115"/>
      <c r="DW400" s="1116"/>
      <c r="DX400" s="1116"/>
      <c r="DY400" s="1116"/>
      <c r="DZ400" s="1116"/>
      <c r="EA400" s="1116"/>
      <c r="EB400" s="1116"/>
      <c r="EC400" s="1116"/>
      <c r="ED400" s="1116"/>
      <c r="EE400" s="1116"/>
      <c r="EF400" s="1116"/>
      <c r="EG400" s="1116"/>
      <c r="EH400" s="1116"/>
      <c r="EI400" s="1116"/>
      <c r="EJ400" s="1116"/>
      <c r="EK400" s="1116"/>
      <c r="EL400" s="1116"/>
      <c r="EM400" s="1116"/>
      <c r="EN400" s="1116"/>
      <c r="EO400" s="1116"/>
      <c r="EP400" s="1116"/>
      <c r="EQ400" s="1116"/>
      <c r="ER400" s="1116"/>
      <c r="ES400" s="1116"/>
    </row>
    <row r="401" spans="1:149" ht="15" customHeight="1">
      <c r="A401" s="1185">
        <v>391</v>
      </c>
      <c r="B401" s="1041"/>
      <c r="C401" s="1050"/>
      <c r="D401" s="1050"/>
      <c r="E401" s="1050"/>
      <c r="F401" s="1049"/>
      <c r="G401" s="1049"/>
      <c r="H401" s="1049"/>
      <c r="I401" s="1049"/>
      <c r="J401" s="1050"/>
      <c r="K401" s="1050"/>
      <c r="L401" s="1043"/>
      <c r="M401" s="1051"/>
      <c r="N401" s="1051"/>
      <c r="O401" s="1052"/>
      <c r="P401" s="1051"/>
      <c r="Q401" s="1051"/>
      <c r="R401" s="1052"/>
      <c r="S401" s="1051"/>
      <c r="T401" s="1051"/>
      <c r="U401" s="1052"/>
      <c r="V401" s="1051"/>
      <c r="W401" s="1051"/>
      <c r="X401" s="1052"/>
      <c r="Y401" s="1053"/>
      <c r="Z401" s="1051"/>
      <c r="AA401" s="1051"/>
      <c r="AB401" s="1052"/>
      <c r="AC401" s="1051"/>
      <c r="AD401" s="1051"/>
      <c r="AE401" s="1052"/>
      <c r="AF401" s="1051"/>
      <c r="AG401" s="1051"/>
      <c r="AH401" s="1051"/>
      <c r="AI401" s="1051"/>
      <c r="AJ401" s="1052"/>
      <c r="AK401" s="1051"/>
      <c r="AL401" s="1051"/>
      <c r="AM401" s="1052"/>
      <c r="AN401" s="1051"/>
      <c r="AO401" s="1051"/>
      <c r="AP401" s="1052"/>
      <c r="AQ401" s="1051"/>
      <c r="AR401" s="1051"/>
      <c r="AS401" s="1052"/>
      <c r="AT401" s="1051"/>
      <c r="AU401" s="1051"/>
      <c r="AV401" s="1052"/>
      <c r="AW401" s="1051"/>
      <c r="AX401" s="1051"/>
      <c r="AY401" s="1053"/>
      <c r="AZ401" s="1051"/>
      <c r="BA401" s="1051"/>
      <c r="BB401" s="1053"/>
      <c r="BC401" s="1051"/>
      <c r="BD401" s="1051"/>
      <c r="BE401" s="1053"/>
      <c r="BF401" s="1051"/>
      <c r="BG401" s="1051"/>
      <c r="BH401" s="1053"/>
      <c r="BI401" s="1052"/>
      <c r="BJ401" s="1052"/>
      <c r="BK401" s="1052"/>
      <c r="BL401" s="1052"/>
      <c r="BM401" s="1052"/>
      <c r="BN401" s="1054"/>
      <c r="BO401" s="1076">
        <f t="shared" si="7"/>
        <v>0</v>
      </c>
      <c r="BP401" s="1051"/>
      <c r="BQ401" s="1052"/>
      <c r="BR401" s="1054"/>
      <c r="BS401" s="1053"/>
      <c r="BT401" s="1051"/>
      <c r="BU401" s="1051"/>
      <c r="BV401" s="1051"/>
      <c r="BW401" s="1052"/>
      <c r="BX401" s="1052"/>
      <c r="BY401" s="1052"/>
      <c r="BZ401" s="1052"/>
      <c r="CA401" s="1052"/>
      <c r="CB401" s="1053"/>
      <c r="CC401" s="1053"/>
      <c r="CD401" s="1053"/>
      <c r="CE401" s="1053"/>
      <c r="CF401" s="1053"/>
      <c r="CG401" s="1053"/>
      <c r="CH401" s="1053"/>
      <c r="CI401" s="1123"/>
      <c r="CJ401" s="1123"/>
      <c r="CK401" s="1123"/>
      <c r="CL401" s="1123"/>
      <c r="CM401" s="1123"/>
      <c r="CN401" s="1123"/>
      <c r="CO401" s="1123"/>
      <c r="CP401" s="1123"/>
      <c r="CQ401" s="1123"/>
      <c r="CR401" s="1123"/>
      <c r="CS401" s="1123"/>
      <c r="CT401" s="1123"/>
      <c r="CU401" s="1123"/>
      <c r="CV401" s="1123"/>
      <c r="CW401" s="1123"/>
      <c r="CX401" s="1123"/>
      <c r="CY401" s="1123"/>
      <c r="CZ401" s="1114"/>
      <c r="DA401" s="1114"/>
      <c r="DB401" s="1114"/>
      <c r="DC401" s="1114"/>
      <c r="DD401" s="1114"/>
      <c r="DE401" s="1114"/>
      <c r="DF401" s="1114"/>
      <c r="DG401" s="1114"/>
      <c r="DH401" s="1114"/>
      <c r="DI401" s="1114"/>
      <c r="DJ401" s="1114"/>
      <c r="DK401" s="1114"/>
      <c r="DL401" s="1114"/>
      <c r="DM401" s="1114"/>
      <c r="DN401" s="1114"/>
      <c r="DO401" s="1114"/>
      <c r="DP401" s="1114"/>
      <c r="DQ401" s="1114"/>
      <c r="DR401" s="1114"/>
      <c r="DS401" s="1114"/>
      <c r="DT401" s="1114"/>
      <c r="DU401" s="1114"/>
      <c r="DV401" s="1115"/>
      <c r="DW401" s="1116"/>
      <c r="DX401" s="1116"/>
      <c r="DY401" s="1116"/>
      <c r="DZ401" s="1116"/>
      <c r="EA401" s="1116"/>
      <c r="EB401" s="1116"/>
      <c r="EC401" s="1116"/>
      <c r="ED401" s="1116"/>
      <c r="EE401" s="1116"/>
      <c r="EF401" s="1116"/>
      <c r="EG401" s="1116"/>
      <c r="EH401" s="1116"/>
      <c r="EI401" s="1116"/>
      <c r="EJ401" s="1116"/>
      <c r="EK401" s="1116"/>
      <c r="EL401" s="1116"/>
      <c r="EM401" s="1116"/>
      <c r="EN401" s="1116"/>
      <c r="EO401" s="1116"/>
      <c r="EP401" s="1116"/>
      <c r="EQ401" s="1116"/>
      <c r="ER401" s="1116"/>
      <c r="ES401" s="1116"/>
    </row>
    <row r="402" spans="1:149" ht="15" customHeight="1">
      <c r="A402" s="1185">
        <v>392</v>
      </c>
      <c r="B402" s="1041"/>
      <c r="C402" s="1050"/>
      <c r="D402" s="1050"/>
      <c r="E402" s="1050"/>
      <c r="F402" s="1049"/>
      <c r="G402" s="1049"/>
      <c r="H402" s="1049"/>
      <c r="I402" s="1049"/>
      <c r="J402" s="1050"/>
      <c r="K402" s="1050"/>
      <c r="L402" s="1043"/>
      <c r="M402" s="1051"/>
      <c r="N402" s="1051"/>
      <c r="O402" s="1052"/>
      <c r="P402" s="1051"/>
      <c r="Q402" s="1051"/>
      <c r="R402" s="1052"/>
      <c r="S402" s="1051"/>
      <c r="T402" s="1051"/>
      <c r="U402" s="1052"/>
      <c r="V402" s="1051"/>
      <c r="W402" s="1051"/>
      <c r="X402" s="1052"/>
      <c r="Y402" s="1053"/>
      <c r="Z402" s="1051"/>
      <c r="AA402" s="1051"/>
      <c r="AB402" s="1052"/>
      <c r="AC402" s="1051"/>
      <c r="AD402" s="1051"/>
      <c r="AE402" s="1052"/>
      <c r="AF402" s="1051"/>
      <c r="AG402" s="1051"/>
      <c r="AH402" s="1051"/>
      <c r="AI402" s="1051"/>
      <c r="AJ402" s="1052"/>
      <c r="AK402" s="1051"/>
      <c r="AL402" s="1051"/>
      <c r="AM402" s="1052"/>
      <c r="AN402" s="1051"/>
      <c r="AO402" s="1051"/>
      <c r="AP402" s="1052"/>
      <c r="AQ402" s="1051"/>
      <c r="AR402" s="1051"/>
      <c r="AS402" s="1052"/>
      <c r="AT402" s="1051"/>
      <c r="AU402" s="1051"/>
      <c r="AV402" s="1052"/>
      <c r="AW402" s="1051"/>
      <c r="AX402" s="1051"/>
      <c r="AY402" s="1053"/>
      <c r="AZ402" s="1051"/>
      <c r="BA402" s="1051"/>
      <c r="BB402" s="1053"/>
      <c r="BC402" s="1051"/>
      <c r="BD402" s="1051"/>
      <c r="BE402" s="1053"/>
      <c r="BF402" s="1051"/>
      <c r="BG402" s="1051"/>
      <c r="BH402" s="1053"/>
      <c r="BI402" s="1052"/>
      <c r="BJ402" s="1052"/>
      <c r="BK402" s="1052"/>
      <c r="BL402" s="1052"/>
      <c r="BM402" s="1052"/>
      <c r="BN402" s="1054"/>
      <c r="BO402" s="1076">
        <f t="shared" si="7"/>
        <v>0</v>
      </c>
      <c r="BP402" s="1051"/>
      <c r="BQ402" s="1052"/>
      <c r="BR402" s="1054"/>
      <c r="BS402" s="1053"/>
      <c r="BT402" s="1051"/>
      <c r="BU402" s="1051"/>
      <c r="BV402" s="1051"/>
      <c r="BW402" s="1052"/>
      <c r="BX402" s="1052"/>
      <c r="BY402" s="1052"/>
      <c r="BZ402" s="1052"/>
      <c r="CA402" s="1052"/>
      <c r="CB402" s="1053"/>
      <c r="CC402" s="1053"/>
      <c r="CD402" s="1053"/>
      <c r="CE402" s="1053"/>
      <c r="CF402" s="1053"/>
      <c r="CG402" s="1053"/>
      <c r="CH402" s="1053"/>
      <c r="CI402" s="1123"/>
      <c r="CJ402" s="1123"/>
      <c r="CK402" s="1123"/>
      <c r="CL402" s="1123"/>
      <c r="CM402" s="1123"/>
      <c r="CN402" s="1123"/>
      <c r="CO402" s="1123"/>
      <c r="CP402" s="1123"/>
      <c r="CQ402" s="1123"/>
      <c r="CR402" s="1123"/>
      <c r="CS402" s="1123"/>
      <c r="CT402" s="1123"/>
      <c r="CU402" s="1123"/>
      <c r="CV402" s="1123"/>
      <c r="CW402" s="1123"/>
      <c r="CX402" s="1123"/>
      <c r="CY402" s="1123"/>
      <c r="CZ402" s="1114"/>
      <c r="DA402" s="1114"/>
      <c r="DB402" s="1114"/>
      <c r="DC402" s="1114"/>
      <c r="DD402" s="1114"/>
      <c r="DE402" s="1114"/>
      <c r="DF402" s="1114"/>
      <c r="DG402" s="1114"/>
      <c r="DH402" s="1114"/>
      <c r="DI402" s="1114"/>
      <c r="DJ402" s="1114"/>
      <c r="DK402" s="1114"/>
      <c r="DL402" s="1114"/>
      <c r="DM402" s="1114"/>
      <c r="DN402" s="1114"/>
      <c r="DO402" s="1114"/>
      <c r="DP402" s="1114"/>
      <c r="DQ402" s="1114"/>
      <c r="DR402" s="1114"/>
      <c r="DS402" s="1114"/>
      <c r="DT402" s="1114"/>
      <c r="DU402" s="1114"/>
      <c r="DV402" s="1115"/>
      <c r="DW402" s="1116"/>
      <c r="DX402" s="1116"/>
      <c r="DY402" s="1116"/>
      <c r="DZ402" s="1116"/>
      <c r="EA402" s="1116"/>
      <c r="EB402" s="1116"/>
      <c r="EC402" s="1116"/>
      <c r="ED402" s="1116"/>
      <c r="EE402" s="1116"/>
      <c r="EF402" s="1116"/>
      <c r="EG402" s="1116"/>
      <c r="EH402" s="1116"/>
      <c r="EI402" s="1116"/>
      <c r="EJ402" s="1116"/>
      <c r="EK402" s="1116"/>
      <c r="EL402" s="1116"/>
      <c r="EM402" s="1116"/>
      <c r="EN402" s="1116"/>
      <c r="EO402" s="1116"/>
      <c r="EP402" s="1116"/>
      <c r="EQ402" s="1116"/>
      <c r="ER402" s="1116"/>
      <c r="ES402" s="1116"/>
    </row>
    <row r="403" spans="1:149" ht="15" customHeight="1">
      <c r="A403" s="1185">
        <v>393</v>
      </c>
      <c r="B403" s="1041"/>
      <c r="C403" s="1050"/>
      <c r="D403" s="1050"/>
      <c r="E403" s="1050"/>
      <c r="F403" s="1049"/>
      <c r="G403" s="1049"/>
      <c r="H403" s="1049"/>
      <c r="I403" s="1049"/>
      <c r="J403" s="1050"/>
      <c r="K403" s="1050"/>
      <c r="L403" s="1043"/>
      <c r="M403" s="1051"/>
      <c r="N403" s="1051"/>
      <c r="O403" s="1052"/>
      <c r="P403" s="1051"/>
      <c r="Q403" s="1051"/>
      <c r="R403" s="1052"/>
      <c r="S403" s="1051"/>
      <c r="T403" s="1051"/>
      <c r="U403" s="1052"/>
      <c r="V403" s="1051"/>
      <c r="W403" s="1051"/>
      <c r="X403" s="1052"/>
      <c r="Y403" s="1053"/>
      <c r="Z403" s="1051"/>
      <c r="AA403" s="1051"/>
      <c r="AB403" s="1052"/>
      <c r="AC403" s="1051"/>
      <c r="AD403" s="1051"/>
      <c r="AE403" s="1052"/>
      <c r="AF403" s="1051"/>
      <c r="AG403" s="1051"/>
      <c r="AH403" s="1051"/>
      <c r="AI403" s="1051"/>
      <c r="AJ403" s="1052"/>
      <c r="AK403" s="1051"/>
      <c r="AL403" s="1051"/>
      <c r="AM403" s="1052"/>
      <c r="AN403" s="1051"/>
      <c r="AO403" s="1051"/>
      <c r="AP403" s="1052"/>
      <c r="AQ403" s="1051"/>
      <c r="AR403" s="1051"/>
      <c r="AS403" s="1052"/>
      <c r="AT403" s="1051"/>
      <c r="AU403" s="1051"/>
      <c r="AV403" s="1052"/>
      <c r="AW403" s="1051"/>
      <c r="AX403" s="1051"/>
      <c r="AY403" s="1053"/>
      <c r="AZ403" s="1051"/>
      <c r="BA403" s="1051"/>
      <c r="BB403" s="1053"/>
      <c r="BC403" s="1051"/>
      <c r="BD403" s="1051"/>
      <c r="BE403" s="1053"/>
      <c r="BF403" s="1051"/>
      <c r="BG403" s="1051"/>
      <c r="BH403" s="1053"/>
      <c r="BI403" s="1052"/>
      <c r="BJ403" s="1052"/>
      <c r="BK403" s="1052"/>
      <c r="BL403" s="1052"/>
      <c r="BM403" s="1052"/>
      <c r="BN403" s="1054"/>
      <c r="BO403" s="1076">
        <f t="shared" si="7"/>
        <v>0</v>
      </c>
      <c r="BP403" s="1051"/>
      <c r="BQ403" s="1052"/>
      <c r="BR403" s="1054"/>
      <c r="BS403" s="1053"/>
      <c r="BT403" s="1051"/>
      <c r="BU403" s="1051"/>
      <c r="BV403" s="1051"/>
      <c r="BW403" s="1052"/>
      <c r="BX403" s="1052"/>
      <c r="BY403" s="1052"/>
      <c r="BZ403" s="1052"/>
      <c r="CA403" s="1052"/>
      <c r="CB403" s="1053"/>
      <c r="CC403" s="1053"/>
      <c r="CD403" s="1053"/>
      <c r="CE403" s="1053"/>
      <c r="CF403" s="1053"/>
      <c r="CG403" s="1053"/>
      <c r="CH403" s="1053"/>
      <c r="CI403" s="1123"/>
      <c r="CJ403" s="1123"/>
      <c r="CK403" s="1123"/>
      <c r="CL403" s="1123"/>
      <c r="CM403" s="1123"/>
      <c r="CN403" s="1123"/>
      <c r="CO403" s="1123"/>
      <c r="CP403" s="1123"/>
      <c r="CQ403" s="1123"/>
      <c r="CR403" s="1123"/>
      <c r="CS403" s="1123"/>
      <c r="CT403" s="1123"/>
      <c r="CU403" s="1123"/>
      <c r="CV403" s="1123"/>
      <c r="CW403" s="1123"/>
      <c r="CX403" s="1123"/>
      <c r="CY403" s="1123"/>
      <c r="CZ403" s="1114"/>
      <c r="DA403" s="1114"/>
      <c r="DB403" s="1114"/>
      <c r="DC403" s="1114"/>
      <c r="DD403" s="1114"/>
      <c r="DE403" s="1114"/>
      <c r="DF403" s="1114"/>
      <c r="DG403" s="1114"/>
      <c r="DH403" s="1114"/>
      <c r="DI403" s="1114"/>
      <c r="DJ403" s="1114"/>
      <c r="DK403" s="1114"/>
      <c r="DL403" s="1114"/>
      <c r="DM403" s="1114"/>
      <c r="DN403" s="1114"/>
      <c r="DO403" s="1114"/>
      <c r="DP403" s="1114"/>
      <c r="DQ403" s="1114"/>
      <c r="DR403" s="1114"/>
      <c r="DS403" s="1114"/>
      <c r="DT403" s="1114"/>
      <c r="DU403" s="1114"/>
      <c r="DV403" s="1115"/>
      <c r="DW403" s="1116"/>
      <c r="DX403" s="1116"/>
      <c r="DY403" s="1116"/>
      <c r="DZ403" s="1116"/>
      <c r="EA403" s="1116"/>
      <c r="EB403" s="1116"/>
      <c r="EC403" s="1116"/>
      <c r="ED403" s="1116"/>
      <c r="EE403" s="1116"/>
      <c r="EF403" s="1116"/>
      <c r="EG403" s="1116"/>
      <c r="EH403" s="1116"/>
      <c r="EI403" s="1116"/>
      <c r="EJ403" s="1116"/>
      <c r="EK403" s="1116"/>
      <c r="EL403" s="1116"/>
      <c r="EM403" s="1116"/>
      <c r="EN403" s="1116"/>
      <c r="EO403" s="1116"/>
      <c r="EP403" s="1116"/>
      <c r="EQ403" s="1116"/>
      <c r="ER403" s="1116"/>
      <c r="ES403" s="1116"/>
    </row>
    <row r="404" spans="1:149" ht="15" customHeight="1">
      <c r="A404" s="1185">
        <v>394</v>
      </c>
      <c r="B404" s="1041"/>
      <c r="C404" s="1050"/>
      <c r="D404" s="1050"/>
      <c r="E404" s="1050"/>
      <c r="F404" s="1049"/>
      <c r="G404" s="1049"/>
      <c r="H404" s="1049"/>
      <c r="I404" s="1049"/>
      <c r="J404" s="1050"/>
      <c r="K404" s="1050"/>
      <c r="L404" s="1043"/>
      <c r="M404" s="1051"/>
      <c r="N404" s="1051"/>
      <c r="O404" s="1052"/>
      <c r="P404" s="1051"/>
      <c r="Q404" s="1051"/>
      <c r="R404" s="1052"/>
      <c r="S404" s="1051"/>
      <c r="T404" s="1051"/>
      <c r="U404" s="1052"/>
      <c r="V404" s="1051"/>
      <c r="W404" s="1051"/>
      <c r="X404" s="1052"/>
      <c r="Y404" s="1053"/>
      <c r="Z404" s="1051"/>
      <c r="AA404" s="1051"/>
      <c r="AB404" s="1052"/>
      <c r="AC404" s="1051"/>
      <c r="AD404" s="1051"/>
      <c r="AE404" s="1052"/>
      <c r="AF404" s="1051"/>
      <c r="AG404" s="1051"/>
      <c r="AH404" s="1051"/>
      <c r="AI404" s="1051"/>
      <c r="AJ404" s="1052"/>
      <c r="AK404" s="1051"/>
      <c r="AL404" s="1051"/>
      <c r="AM404" s="1052"/>
      <c r="AN404" s="1051"/>
      <c r="AO404" s="1051"/>
      <c r="AP404" s="1052"/>
      <c r="AQ404" s="1051"/>
      <c r="AR404" s="1051"/>
      <c r="AS404" s="1052"/>
      <c r="AT404" s="1051"/>
      <c r="AU404" s="1051"/>
      <c r="AV404" s="1052"/>
      <c r="AW404" s="1051"/>
      <c r="AX404" s="1051"/>
      <c r="AY404" s="1053"/>
      <c r="AZ404" s="1051"/>
      <c r="BA404" s="1051"/>
      <c r="BB404" s="1053"/>
      <c r="BC404" s="1051"/>
      <c r="BD404" s="1051"/>
      <c r="BE404" s="1053"/>
      <c r="BF404" s="1051"/>
      <c r="BG404" s="1051"/>
      <c r="BH404" s="1053"/>
      <c r="BI404" s="1052"/>
      <c r="BJ404" s="1052"/>
      <c r="BK404" s="1052"/>
      <c r="BL404" s="1052"/>
      <c r="BM404" s="1052"/>
      <c r="BN404" s="1054"/>
      <c r="BO404" s="1076">
        <f t="shared" si="7"/>
        <v>0</v>
      </c>
      <c r="BP404" s="1051"/>
      <c r="BQ404" s="1052"/>
      <c r="BR404" s="1054"/>
      <c r="BS404" s="1053"/>
      <c r="BT404" s="1051"/>
      <c r="BU404" s="1051"/>
      <c r="BV404" s="1051"/>
      <c r="BW404" s="1052"/>
      <c r="BX404" s="1052"/>
      <c r="BY404" s="1052"/>
      <c r="BZ404" s="1052"/>
      <c r="CA404" s="1052"/>
      <c r="CB404" s="1053"/>
      <c r="CC404" s="1053"/>
      <c r="CD404" s="1053"/>
      <c r="CE404" s="1053"/>
      <c r="CF404" s="1053"/>
      <c r="CG404" s="1053"/>
      <c r="CH404" s="1053"/>
      <c r="CI404" s="1123"/>
      <c r="CJ404" s="1123"/>
      <c r="CK404" s="1123"/>
      <c r="CL404" s="1123"/>
      <c r="CM404" s="1123"/>
      <c r="CN404" s="1123"/>
      <c r="CO404" s="1123"/>
      <c r="CP404" s="1123"/>
      <c r="CQ404" s="1123"/>
      <c r="CR404" s="1123"/>
      <c r="CS404" s="1123"/>
      <c r="CT404" s="1123"/>
      <c r="CU404" s="1123"/>
      <c r="CV404" s="1123"/>
      <c r="CW404" s="1123"/>
      <c r="CX404" s="1123"/>
      <c r="CY404" s="1123"/>
      <c r="CZ404" s="1114"/>
      <c r="DA404" s="1114"/>
      <c r="DB404" s="1114"/>
      <c r="DC404" s="1114"/>
      <c r="DD404" s="1114"/>
      <c r="DE404" s="1114"/>
      <c r="DF404" s="1114"/>
      <c r="DG404" s="1114"/>
      <c r="DH404" s="1114"/>
      <c r="DI404" s="1114"/>
      <c r="DJ404" s="1114"/>
      <c r="DK404" s="1114"/>
      <c r="DL404" s="1114"/>
      <c r="DM404" s="1114"/>
      <c r="DN404" s="1114"/>
      <c r="DO404" s="1114"/>
      <c r="DP404" s="1114"/>
      <c r="DQ404" s="1114"/>
      <c r="DR404" s="1114"/>
      <c r="DS404" s="1114"/>
      <c r="DT404" s="1114"/>
      <c r="DU404" s="1114"/>
      <c r="DV404" s="1115"/>
      <c r="DW404" s="1116"/>
      <c r="DX404" s="1116"/>
      <c r="DY404" s="1116"/>
      <c r="DZ404" s="1116"/>
      <c r="EA404" s="1116"/>
      <c r="EB404" s="1116"/>
      <c r="EC404" s="1116"/>
      <c r="ED404" s="1116"/>
      <c r="EE404" s="1116"/>
      <c r="EF404" s="1116"/>
      <c r="EG404" s="1116"/>
      <c r="EH404" s="1116"/>
      <c r="EI404" s="1116"/>
      <c r="EJ404" s="1116"/>
      <c r="EK404" s="1116"/>
      <c r="EL404" s="1116"/>
      <c r="EM404" s="1116"/>
      <c r="EN404" s="1116"/>
      <c r="EO404" s="1116"/>
      <c r="EP404" s="1116"/>
      <c r="EQ404" s="1116"/>
      <c r="ER404" s="1116"/>
      <c r="ES404" s="1116"/>
    </row>
    <row r="405" spans="1:149" ht="15" customHeight="1">
      <c r="A405" s="1185">
        <v>395</v>
      </c>
      <c r="B405" s="1041"/>
      <c r="C405" s="1050"/>
      <c r="D405" s="1050"/>
      <c r="E405" s="1050"/>
      <c r="F405" s="1049"/>
      <c r="G405" s="1049"/>
      <c r="H405" s="1049"/>
      <c r="I405" s="1049"/>
      <c r="J405" s="1050"/>
      <c r="K405" s="1050"/>
      <c r="L405" s="1043"/>
      <c r="M405" s="1051"/>
      <c r="N405" s="1051"/>
      <c r="O405" s="1052"/>
      <c r="P405" s="1051"/>
      <c r="Q405" s="1051"/>
      <c r="R405" s="1052"/>
      <c r="S405" s="1051"/>
      <c r="T405" s="1051"/>
      <c r="U405" s="1052"/>
      <c r="V405" s="1051"/>
      <c r="W405" s="1051"/>
      <c r="X405" s="1052"/>
      <c r="Y405" s="1053"/>
      <c r="Z405" s="1051"/>
      <c r="AA405" s="1051"/>
      <c r="AB405" s="1052"/>
      <c r="AC405" s="1051"/>
      <c r="AD405" s="1051"/>
      <c r="AE405" s="1052"/>
      <c r="AF405" s="1051"/>
      <c r="AG405" s="1051"/>
      <c r="AH405" s="1051"/>
      <c r="AI405" s="1051"/>
      <c r="AJ405" s="1052"/>
      <c r="AK405" s="1051"/>
      <c r="AL405" s="1051"/>
      <c r="AM405" s="1052"/>
      <c r="AN405" s="1051"/>
      <c r="AO405" s="1051"/>
      <c r="AP405" s="1052"/>
      <c r="AQ405" s="1051"/>
      <c r="AR405" s="1051"/>
      <c r="AS405" s="1052"/>
      <c r="AT405" s="1051"/>
      <c r="AU405" s="1051"/>
      <c r="AV405" s="1052"/>
      <c r="AW405" s="1051"/>
      <c r="AX405" s="1051"/>
      <c r="AY405" s="1053"/>
      <c r="AZ405" s="1051"/>
      <c r="BA405" s="1051"/>
      <c r="BB405" s="1053"/>
      <c r="BC405" s="1051"/>
      <c r="BD405" s="1051"/>
      <c r="BE405" s="1053"/>
      <c r="BF405" s="1051"/>
      <c r="BG405" s="1051"/>
      <c r="BH405" s="1053"/>
      <c r="BI405" s="1052"/>
      <c r="BJ405" s="1052"/>
      <c r="BK405" s="1052"/>
      <c r="BL405" s="1052"/>
      <c r="BM405" s="1052"/>
      <c r="BN405" s="1054"/>
      <c r="BO405" s="1076">
        <f t="shared" si="7"/>
        <v>0</v>
      </c>
      <c r="BP405" s="1051"/>
      <c r="BQ405" s="1052"/>
      <c r="BR405" s="1054"/>
      <c r="BS405" s="1053"/>
      <c r="BT405" s="1051"/>
      <c r="BU405" s="1051"/>
      <c r="BV405" s="1051"/>
      <c r="BW405" s="1052"/>
      <c r="BX405" s="1052"/>
      <c r="BY405" s="1052"/>
      <c r="BZ405" s="1052"/>
      <c r="CA405" s="1052"/>
      <c r="CB405" s="1053"/>
      <c r="CC405" s="1053"/>
      <c r="CD405" s="1053"/>
      <c r="CE405" s="1053"/>
      <c r="CF405" s="1053"/>
      <c r="CG405" s="1053"/>
      <c r="CH405" s="1053"/>
      <c r="CI405" s="1123"/>
      <c r="CJ405" s="1123"/>
      <c r="CK405" s="1123"/>
      <c r="CL405" s="1123"/>
      <c r="CM405" s="1123"/>
      <c r="CN405" s="1123"/>
      <c r="CO405" s="1123"/>
      <c r="CP405" s="1123"/>
      <c r="CQ405" s="1123"/>
      <c r="CR405" s="1123"/>
      <c r="CS405" s="1123"/>
      <c r="CT405" s="1123"/>
      <c r="CU405" s="1123"/>
      <c r="CV405" s="1123"/>
      <c r="CW405" s="1123"/>
      <c r="CX405" s="1123"/>
      <c r="CY405" s="1123"/>
      <c r="CZ405" s="1114"/>
      <c r="DA405" s="1114"/>
      <c r="DB405" s="1114"/>
      <c r="DC405" s="1114"/>
      <c r="DD405" s="1114"/>
      <c r="DE405" s="1114"/>
      <c r="DF405" s="1114"/>
      <c r="DG405" s="1114"/>
      <c r="DH405" s="1114"/>
      <c r="DI405" s="1114"/>
      <c r="DJ405" s="1114"/>
      <c r="DK405" s="1114"/>
      <c r="DL405" s="1114"/>
      <c r="DM405" s="1114"/>
      <c r="DN405" s="1114"/>
      <c r="DO405" s="1114"/>
      <c r="DP405" s="1114"/>
      <c r="DQ405" s="1114"/>
      <c r="DR405" s="1114"/>
      <c r="DS405" s="1114"/>
      <c r="DT405" s="1114"/>
      <c r="DU405" s="1114"/>
      <c r="DV405" s="1115"/>
      <c r="DW405" s="1116"/>
      <c r="DX405" s="1116"/>
      <c r="DY405" s="1116"/>
      <c r="DZ405" s="1116"/>
      <c r="EA405" s="1116"/>
      <c r="EB405" s="1116"/>
      <c r="EC405" s="1116"/>
      <c r="ED405" s="1116"/>
      <c r="EE405" s="1116"/>
      <c r="EF405" s="1116"/>
      <c r="EG405" s="1116"/>
      <c r="EH405" s="1116"/>
      <c r="EI405" s="1116"/>
      <c r="EJ405" s="1116"/>
      <c r="EK405" s="1116"/>
      <c r="EL405" s="1116"/>
      <c r="EM405" s="1116"/>
      <c r="EN405" s="1116"/>
      <c r="EO405" s="1116"/>
      <c r="EP405" s="1116"/>
      <c r="EQ405" s="1116"/>
      <c r="ER405" s="1116"/>
      <c r="ES405" s="1116"/>
    </row>
    <row r="406" spans="1:149" ht="15" customHeight="1">
      <c r="A406" s="1185">
        <v>396</v>
      </c>
      <c r="B406" s="1041"/>
      <c r="C406" s="1050"/>
      <c r="D406" s="1050"/>
      <c r="E406" s="1050"/>
      <c r="F406" s="1049"/>
      <c r="G406" s="1049"/>
      <c r="H406" s="1049"/>
      <c r="I406" s="1049"/>
      <c r="J406" s="1050"/>
      <c r="K406" s="1050"/>
      <c r="L406" s="1043"/>
      <c r="M406" s="1051"/>
      <c r="N406" s="1051"/>
      <c r="O406" s="1052"/>
      <c r="P406" s="1051"/>
      <c r="Q406" s="1051"/>
      <c r="R406" s="1052"/>
      <c r="S406" s="1051"/>
      <c r="T406" s="1051"/>
      <c r="U406" s="1052"/>
      <c r="V406" s="1051"/>
      <c r="W406" s="1051"/>
      <c r="X406" s="1052"/>
      <c r="Y406" s="1053"/>
      <c r="Z406" s="1051"/>
      <c r="AA406" s="1051"/>
      <c r="AB406" s="1052"/>
      <c r="AC406" s="1051"/>
      <c r="AD406" s="1051"/>
      <c r="AE406" s="1052"/>
      <c r="AF406" s="1051"/>
      <c r="AG406" s="1051"/>
      <c r="AH406" s="1051"/>
      <c r="AI406" s="1051"/>
      <c r="AJ406" s="1052"/>
      <c r="AK406" s="1051"/>
      <c r="AL406" s="1051"/>
      <c r="AM406" s="1052"/>
      <c r="AN406" s="1051"/>
      <c r="AO406" s="1051"/>
      <c r="AP406" s="1052"/>
      <c r="AQ406" s="1051"/>
      <c r="AR406" s="1051"/>
      <c r="AS406" s="1052"/>
      <c r="AT406" s="1051"/>
      <c r="AU406" s="1051"/>
      <c r="AV406" s="1052"/>
      <c r="AW406" s="1051"/>
      <c r="AX406" s="1051"/>
      <c r="AY406" s="1053"/>
      <c r="AZ406" s="1051"/>
      <c r="BA406" s="1051"/>
      <c r="BB406" s="1053"/>
      <c r="BC406" s="1051"/>
      <c r="BD406" s="1051"/>
      <c r="BE406" s="1053"/>
      <c r="BF406" s="1051"/>
      <c r="BG406" s="1051"/>
      <c r="BH406" s="1053"/>
      <c r="BI406" s="1052"/>
      <c r="BJ406" s="1052"/>
      <c r="BK406" s="1052"/>
      <c r="BL406" s="1052"/>
      <c r="BM406" s="1052"/>
      <c r="BN406" s="1054"/>
      <c r="BO406" s="1076">
        <f t="shared" si="7"/>
        <v>0</v>
      </c>
      <c r="BP406" s="1051"/>
      <c r="BQ406" s="1052"/>
      <c r="BR406" s="1054"/>
      <c r="BS406" s="1053"/>
      <c r="BT406" s="1051"/>
      <c r="BU406" s="1051"/>
      <c r="BV406" s="1051"/>
      <c r="BW406" s="1052"/>
      <c r="BX406" s="1052"/>
      <c r="BY406" s="1052"/>
      <c r="BZ406" s="1052"/>
      <c r="CA406" s="1052"/>
      <c r="CB406" s="1053"/>
      <c r="CC406" s="1053"/>
      <c r="CD406" s="1053"/>
      <c r="CE406" s="1053"/>
      <c r="CF406" s="1053"/>
      <c r="CG406" s="1053"/>
      <c r="CH406" s="1053"/>
      <c r="CI406" s="1123"/>
      <c r="CJ406" s="1123"/>
      <c r="CK406" s="1123"/>
      <c r="CL406" s="1123"/>
      <c r="CM406" s="1123"/>
      <c r="CN406" s="1123"/>
      <c r="CO406" s="1123"/>
      <c r="CP406" s="1123"/>
      <c r="CQ406" s="1123"/>
      <c r="CR406" s="1123"/>
      <c r="CS406" s="1123"/>
      <c r="CT406" s="1123"/>
      <c r="CU406" s="1123"/>
      <c r="CV406" s="1123"/>
      <c r="CW406" s="1123"/>
      <c r="CX406" s="1123"/>
      <c r="CY406" s="1123"/>
      <c r="CZ406" s="1114"/>
      <c r="DA406" s="1114"/>
      <c r="DB406" s="1114"/>
      <c r="DC406" s="1114"/>
      <c r="DD406" s="1114"/>
      <c r="DE406" s="1114"/>
      <c r="DF406" s="1114"/>
      <c r="DG406" s="1114"/>
      <c r="DH406" s="1114"/>
      <c r="DI406" s="1114"/>
      <c r="DJ406" s="1114"/>
      <c r="DK406" s="1114"/>
      <c r="DL406" s="1114"/>
      <c r="DM406" s="1114"/>
      <c r="DN406" s="1114"/>
      <c r="DO406" s="1114"/>
      <c r="DP406" s="1114"/>
      <c r="DQ406" s="1114"/>
      <c r="DR406" s="1114"/>
      <c r="DS406" s="1114"/>
      <c r="DT406" s="1114"/>
      <c r="DU406" s="1114"/>
      <c r="DV406" s="1115"/>
      <c r="DW406" s="1116"/>
      <c r="DX406" s="1116"/>
      <c r="DY406" s="1116"/>
      <c r="DZ406" s="1116"/>
      <c r="EA406" s="1116"/>
      <c r="EB406" s="1116"/>
      <c r="EC406" s="1116"/>
      <c r="ED406" s="1116"/>
      <c r="EE406" s="1116"/>
      <c r="EF406" s="1116"/>
      <c r="EG406" s="1116"/>
      <c r="EH406" s="1116"/>
      <c r="EI406" s="1116"/>
      <c r="EJ406" s="1116"/>
      <c r="EK406" s="1116"/>
      <c r="EL406" s="1116"/>
      <c r="EM406" s="1116"/>
      <c r="EN406" s="1116"/>
      <c r="EO406" s="1116"/>
      <c r="EP406" s="1116"/>
      <c r="EQ406" s="1116"/>
      <c r="ER406" s="1116"/>
      <c r="ES406" s="1116"/>
    </row>
    <row r="407" spans="1:149" ht="15" customHeight="1">
      <c r="A407" s="1185">
        <v>397</v>
      </c>
      <c r="B407" s="1041"/>
      <c r="C407" s="1050"/>
      <c r="D407" s="1050"/>
      <c r="E407" s="1050"/>
      <c r="F407" s="1049"/>
      <c r="G407" s="1049"/>
      <c r="H407" s="1049"/>
      <c r="I407" s="1049"/>
      <c r="J407" s="1050"/>
      <c r="K407" s="1050"/>
      <c r="L407" s="1043"/>
      <c r="M407" s="1051"/>
      <c r="N407" s="1051"/>
      <c r="O407" s="1052"/>
      <c r="P407" s="1051"/>
      <c r="Q407" s="1051"/>
      <c r="R407" s="1052"/>
      <c r="S407" s="1051"/>
      <c r="T407" s="1051"/>
      <c r="U407" s="1052"/>
      <c r="V407" s="1051"/>
      <c r="W407" s="1051"/>
      <c r="X407" s="1052"/>
      <c r="Y407" s="1053"/>
      <c r="Z407" s="1051"/>
      <c r="AA407" s="1051"/>
      <c r="AB407" s="1052"/>
      <c r="AC407" s="1051"/>
      <c r="AD407" s="1051"/>
      <c r="AE407" s="1052"/>
      <c r="AF407" s="1051"/>
      <c r="AG407" s="1051"/>
      <c r="AH407" s="1051"/>
      <c r="AI407" s="1051"/>
      <c r="AJ407" s="1052"/>
      <c r="AK407" s="1051"/>
      <c r="AL407" s="1051"/>
      <c r="AM407" s="1052"/>
      <c r="AN407" s="1051"/>
      <c r="AO407" s="1051"/>
      <c r="AP407" s="1052"/>
      <c r="AQ407" s="1051"/>
      <c r="AR407" s="1051"/>
      <c r="AS407" s="1052"/>
      <c r="AT407" s="1051"/>
      <c r="AU407" s="1051"/>
      <c r="AV407" s="1052"/>
      <c r="AW407" s="1051"/>
      <c r="AX407" s="1051"/>
      <c r="AY407" s="1053"/>
      <c r="AZ407" s="1051"/>
      <c r="BA407" s="1051"/>
      <c r="BB407" s="1053"/>
      <c r="BC407" s="1051"/>
      <c r="BD407" s="1051"/>
      <c r="BE407" s="1053"/>
      <c r="BF407" s="1051"/>
      <c r="BG407" s="1051"/>
      <c r="BH407" s="1053"/>
      <c r="BI407" s="1052"/>
      <c r="BJ407" s="1052"/>
      <c r="BK407" s="1052"/>
      <c r="BL407" s="1052"/>
      <c r="BM407" s="1052"/>
      <c r="BN407" s="1054"/>
      <c r="BO407" s="1076">
        <f t="shared" si="7"/>
        <v>0</v>
      </c>
      <c r="BP407" s="1051"/>
      <c r="BQ407" s="1052"/>
      <c r="BR407" s="1054"/>
      <c r="BS407" s="1053"/>
      <c r="BT407" s="1051"/>
      <c r="BU407" s="1051"/>
      <c r="BV407" s="1051"/>
      <c r="BW407" s="1052"/>
      <c r="BX407" s="1052"/>
      <c r="BY407" s="1052"/>
      <c r="BZ407" s="1052"/>
      <c r="CA407" s="1052"/>
      <c r="CB407" s="1053"/>
      <c r="CC407" s="1053"/>
      <c r="CD407" s="1053"/>
      <c r="CE407" s="1053"/>
      <c r="CF407" s="1053"/>
      <c r="CG407" s="1053"/>
      <c r="CH407" s="1053"/>
      <c r="CI407" s="1123"/>
      <c r="CJ407" s="1123"/>
      <c r="CK407" s="1123"/>
      <c r="CL407" s="1123"/>
      <c r="CM407" s="1123"/>
      <c r="CN407" s="1123"/>
      <c r="CO407" s="1123"/>
      <c r="CP407" s="1123"/>
      <c r="CQ407" s="1123"/>
      <c r="CR407" s="1123"/>
      <c r="CS407" s="1123"/>
      <c r="CT407" s="1123"/>
      <c r="CU407" s="1123"/>
      <c r="CV407" s="1123"/>
      <c r="CW407" s="1123"/>
      <c r="CX407" s="1123"/>
      <c r="CY407" s="1123"/>
      <c r="CZ407" s="1114"/>
      <c r="DA407" s="1114"/>
      <c r="DB407" s="1114"/>
      <c r="DC407" s="1114"/>
      <c r="DD407" s="1114"/>
      <c r="DE407" s="1114"/>
      <c r="DF407" s="1114"/>
      <c r="DG407" s="1114"/>
      <c r="DH407" s="1114"/>
      <c r="DI407" s="1114"/>
      <c r="DJ407" s="1114"/>
      <c r="DK407" s="1114"/>
      <c r="DL407" s="1114"/>
      <c r="DM407" s="1114"/>
      <c r="DN407" s="1114"/>
      <c r="DO407" s="1114"/>
      <c r="DP407" s="1114"/>
      <c r="DQ407" s="1114"/>
      <c r="DR407" s="1114"/>
      <c r="DS407" s="1114"/>
      <c r="DT407" s="1114"/>
      <c r="DU407" s="1114"/>
      <c r="DV407" s="1115"/>
      <c r="DW407" s="1116"/>
      <c r="DX407" s="1116"/>
      <c r="DY407" s="1116"/>
      <c r="DZ407" s="1116"/>
      <c r="EA407" s="1116"/>
      <c r="EB407" s="1116"/>
      <c r="EC407" s="1116"/>
      <c r="ED407" s="1116"/>
      <c r="EE407" s="1116"/>
      <c r="EF407" s="1116"/>
      <c r="EG407" s="1116"/>
      <c r="EH407" s="1116"/>
      <c r="EI407" s="1116"/>
      <c r="EJ407" s="1116"/>
      <c r="EK407" s="1116"/>
      <c r="EL407" s="1116"/>
      <c r="EM407" s="1116"/>
      <c r="EN407" s="1116"/>
      <c r="EO407" s="1116"/>
      <c r="EP407" s="1116"/>
      <c r="EQ407" s="1116"/>
      <c r="ER407" s="1116"/>
      <c r="ES407" s="1116"/>
    </row>
    <row r="408" spans="1:149" ht="15" customHeight="1">
      <c r="A408" s="1185">
        <v>398</v>
      </c>
      <c r="B408" s="1041"/>
      <c r="C408" s="1050"/>
      <c r="D408" s="1050"/>
      <c r="E408" s="1050"/>
      <c r="F408" s="1049"/>
      <c r="G408" s="1049"/>
      <c r="H408" s="1049"/>
      <c r="I408" s="1049"/>
      <c r="J408" s="1050"/>
      <c r="K408" s="1050"/>
      <c r="L408" s="1043"/>
      <c r="M408" s="1051"/>
      <c r="N408" s="1051"/>
      <c r="O408" s="1052"/>
      <c r="P408" s="1051"/>
      <c r="Q408" s="1051"/>
      <c r="R408" s="1052"/>
      <c r="S408" s="1051"/>
      <c r="T408" s="1051"/>
      <c r="U408" s="1052"/>
      <c r="V408" s="1051"/>
      <c r="W408" s="1051"/>
      <c r="X408" s="1052"/>
      <c r="Y408" s="1053"/>
      <c r="Z408" s="1051"/>
      <c r="AA408" s="1051"/>
      <c r="AB408" s="1052"/>
      <c r="AC408" s="1051"/>
      <c r="AD408" s="1051"/>
      <c r="AE408" s="1052"/>
      <c r="AF408" s="1051"/>
      <c r="AG408" s="1051"/>
      <c r="AH408" s="1051"/>
      <c r="AI408" s="1051"/>
      <c r="AJ408" s="1052"/>
      <c r="AK408" s="1051"/>
      <c r="AL408" s="1051"/>
      <c r="AM408" s="1052"/>
      <c r="AN408" s="1051"/>
      <c r="AO408" s="1051"/>
      <c r="AP408" s="1052"/>
      <c r="AQ408" s="1051"/>
      <c r="AR408" s="1051"/>
      <c r="AS408" s="1052"/>
      <c r="AT408" s="1051"/>
      <c r="AU408" s="1051"/>
      <c r="AV408" s="1052"/>
      <c r="AW408" s="1051"/>
      <c r="AX408" s="1051"/>
      <c r="AY408" s="1053"/>
      <c r="AZ408" s="1051"/>
      <c r="BA408" s="1051"/>
      <c r="BB408" s="1053"/>
      <c r="BC408" s="1051"/>
      <c r="BD408" s="1051"/>
      <c r="BE408" s="1053"/>
      <c r="BF408" s="1051"/>
      <c r="BG408" s="1051"/>
      <c r="BH408" s="1053"/>
      <c r="BI408" s="1052"/>
      <c r="BJ408" s="1052"/>
      <c r="BK408" s="1052"/>
      <c r="BL408" s="1052"/>
      <c r="BM408" s="1052"/>
      <c r="BN408" s="1054"/>
      <c r="BO408" s="1076">
        <f t="shared" si="7"/>
        <v>0</v>
      </c>
      <c r="BP408" s="1051"/>
      <c r="BQ408" s="1052"/>
      <c r="BR408" s="1054"/>
      <c r="BS408" s="1053"/>
      <c r="BT408" s="1051"/>
      <c r="BU408" s="1051"/>
      <c r="BV408" s="1051"/>
      <c r="BW408" s="1052"/>
      <c r="BX408" s="1052"/>
      <c r="BY408" s="1052"/>
      <c r="BZ408" s="1052"/>
      <c r="CA408" s="1052"/>
      <c r="CB408" s="1053"/>
      <c r="CC408" s="1053"/>
      <c r="CD408" s="1053"/>
      <c r="CE408" s="1053"/>
      <c r="CF408" s="1053"/>
      <c r="CG408" s="1053"/>
      <c r="CH408" s="1053"/>
      <c r="CI408" s="1123"/>
      <c r="CJ408" s="1123"/>
      <c r="CK408" s="1123"/>
      <c r="CL408" s="1123"/>
      <c r="CM408" s="1123"/>
      <c r="CN408" s="1123"/>
      <c r="CO408" s="1123"/>
      <c r="CP408" s="1123"/>
      <c r="CQ408" s="1123"/>
      <c r="CR408" s="1123"/>
      <c r="CS408" s="1123"/>
      <c r="CT408" s="1123"/>
      <c r="CU408" s="1123"/>
      <c r="CV408" s="1123"/>
      <c r="CW408" s="1123"/>
      <c r="CX408" s="1123"/>
      <c r="CY408" s="1123"/>
      <c r="CZ408" s="1114"/>
      <c r="DA408" s="1114"/>
      <c r="DB408" s="1114"/>
      <c r="DC408" s="1114"/>
      <c r="DD408" s="1114"/>
      <c r="DE408" s="1114"/>
      <c r="DF408" s="1114"/>
      <c r="DG408" s="1114"/>
      <c r="DH408" s="1114"/>
      <c r="DI408" s="1114"/>
      <c r="DJ408" s="1114"/>
      <c r="DK408" s="1114"/>
      <c r="DL408" s="1114"/>
      <c r="DM408" s="1114"/>
      <c r="DN408" s="1114"/>
      <c r="DO408" s="1114"/>
      <c r="DP408" s="1114"/>
      <c r="DQ408" s="1114"/>
      <c r="DR408" s="1114"/>
      <c r="DS408" s="1114"/>
      <c r="DT408" s="1114"/>
      <c r="DU408" s="1114"/>
      <c r="DV408" s="1115"/>
      <c r="DW408" s="1116"/>
      <c r="DX408" s="1116"/>
      <c r="DY408" s="1116"/>
      <c r="DZ408" s="1116"/>
      <c r="EA408" s="1116"/>
      <c r="EB408" s="1116"/>
      <c r="EC408" s="1116"/>
      <c r="ED408" s="1116"/>
      <c r="EE408" s="1116"/>
      <c r="EF408" s="1116"/>
      <c r="EG408" s="1116"/>
      <c r="EH408" s="1116"/>
      <c r="EI408" s="1116"/>
      <c r="EJ408" s="1116"/>
      <c r="EK408" s="1116"/>
      <c r="EL408" s="1116"/>
      <c r="EM408" s="1116"/>
      <c r="EN408" s="1116"/>
      <c r="EO408" s="1116"/>
      <c r="EP408" s="1116"/>
      <c r="EQ408" s="1116"/>
      <c r="ER408" s="1116"/>
      <c r="ES408" s="1116"/>
    </row>
    <row r="409" spans="1:149" ht="15" customHeight="1">
      <c r="A409" s="1185">
        <v>399</v>
      </c>
      <c r="B409" s="1041"/>
      <c r="C409" s="1050"/>
      <c r="D409" s="1050"/>
      <c r="E409" s="1050"/>
      <c r="F409" s="1049"/>
      <c r="G409" s="1049"/>
      <c r="H409" s="1049"/>
      <c r="I409" s="1049"/>
      <c r="J409" s="1050"/>
      <c r="K409" s="1050"/>
      <c r="L409" s="1043"/>
      <c r="M409" s="1051"/>
      <c r="N409" s="1051"/>
      <c r="O409" s="1052"/>
      <c r="P409" s="1051"/>
      <c r="Q409" s="1051"/>
      <c r="R409" s="1052"/>
      <c r="S409" s="1051"/>
      <c r="T409" s="1051"/>
      <c r="U409" s="1052"/>
      <c r="V409" s="1051"/>
      <c r="W409" s="1051"/>
      <c r="X409" s="1052"/>
      <c r="Y409" s="1053"/>
      <c r="Z409" s="1051"/>
      <c r="AA409" s="1051"/>
      <c r="AB409" s="1052"/>
      <c r="AC409" s="1051"/>
      <c r="AD409" s="1051"/>
      <c r="AE409" s="1052"/>
      <c r="AF409" s="1051"/>
      <c r="AG409" s="1051"/>
      <c r="AH409" s="1051"/>
      <c r="AI409" s="1051"/>
      <c r="AJ409" s="1052"/>
      <c r="AK409" s="1051"/>
      <c r="AL409" s="1051"/>
      <c r="AM409" s="1052"/>
      <c r="AN409" s="1051"/>
      <c r="AO409" s="1051"/>
      <c r="AP409" s="1052"/>
      <c r="AQ409" s="1051"/>
      <c r="AR409" s="1051"/>
      <c r="AS409" s="1052"/>
      <c r="AT409" s="1051"/>
      <c r="AU409" s="1051"/>
      <c r="AV409" s="1052"/>
      <c r="AW409" s="1051"/>
      <c r="AX409" s="1051"/>
      <c r="AY409" s="1053"/>
      <c r="AZ409" s="1051"/>
      <c r="BA409" s="1051"/>
      <c r="BB409" s="1053"/>
      <c r="BC409" s="1051"/>
      <c r="BD409" s="1051"/>
      <c r="BE409" s="1053"/>
      <c r="BF409" s="1051"/>
      <c r="BG409" s="1051"/>
      <c r="BH409" s="1053"/>
      <c r="BI409" s="1052"/>
      <c r="BJ409" s="1052"/>
      <c r="BK409" s="1052"/>
      <c r="BL409" s="1052"/>
      <c r="BM409" s="1052"/>
      <c r="BN409" s="1054"/>
      <c r="BO409" s="1076">
        <f t="shared" si="7"/>
        <v>0</v>
      </c>
      <c r="BP409" s="1051"/>
      <c r="BQ409" s="1052"/>
      <c r="BR409" s="1054"/>
      <c r="BS409" s="1053"/>
      <c r="BT409" s="1051"/>
      <c r="BU409" s="1051"/>
      <c r="BV409" s="1051"/>
      <c r="BW409" s="1052"/>
      <c r="BX409" s="1052"/>
      <c r="BY409" s="1052"/>
      <c r="BZ409" s="1052"/>
      <c r="CA409" s="1052"/>
      <c r="CB409" s="1053"/>
      <c r="CC409" s="1053"/>
      <c r="CD409" s="1053"/>
      <c r="CE409" s="1053"/>
      <c r="CF409" s="1053"/>
      <c r="CG409" s="1053"/>
      <c r="CH409" s="1053"/>
      <c r="CI409" s="1123"/>
      <c r="CJ409" s="1123"/>
      <c r="CK409" s="1123"/>
      <c r="CL409" s="1123"/>
      <c r="CM409" s="1123"/>
      <c r="CN409" s="1123"/>
      <c r="CO409" s="1123"/>
      <c r="CP409" s="1123"/>
      <c r="CQ409" s="1123"/>
      <c r="CR409" s="1123"/>
      <c r="CS409" s="1123"/>
      <c r="CT409" s="1123"/>
      <c r="CU409" s="1123"/>
      <c r="CV409" s="1123"/>
      <c r="CW409" s="1123"/>
      <c r="CX409" s="1123"/>
      <c r="CY409" s="1123"/>
      <c r="CZ409" s="1114"/>
      <c r="DA409" s="1114"/>
      <c r="DB409" s="1114"/>
      <c r="DC409" s="1114"/>
      <c r="DD409" s="1114"/>
      <c r="DE409" s="1114"/>
      <c r="DF409" s="1114"/>
      <c r="DG409" s="1114"/>
      <c r="DH409" s="1114"/>
      <c r="DI409" s="1114"/>
      <c r="DJ409" s="1114"/>
      <c r="DK409" s="1114"/>
      <c r="DL409" s="1114"/>
      <c r="DM409" s="1114"/>
      <c r="DN409" s="1114"/>
      <c r="DO409" s="1114"/>
      <c r="DP409" s="1114"/>
      <c r="DQ409" s="1114"/>
      <c r="DR409" s="1114"/>
      <c r="DS409" s="1114"/>
      <c r="DT409" s="1114"/>
      <c r="DU409" s="1114"/>
      <c r="DV409" s="1115"/>
      <c r="DW409" s="1116"/>
      <c r="DX409" s="1116"/>
      <c r="DY409" s="1116"/>
      <c r="DZ409" s="1116"/>
      <c r="EA409" s="1116"/>
      <c r="EB409" s="1116"/>
      <c r="EC409" s="1116"/>
      <c r="ED409" s="1116"/>
      <c r="EE409" s="1116"/>
      <c r="EF409" s="1116"/>
      <c r="EG409" s="1116"/>
      <c r="EH409" s="1116"/>
      <c r="EI409" s="1116"/>
      <c r="EJ409" s="1116"/>
      <c r="EK409" s="1116"/>
      <c r="EL409" s="1116"/>
      <c r="EM409" s="1116"/>
      <c r="EN409" s="1116"/>
      <c r="EO409" s="1116"/>
      <c r="EP409" s="1116"/>
      <c r="EQ409" s="1116"/>
      <c r="ER409" s="1116"/>
      <c r="ES409" s="1116"/>
    </row>
    <row r="410" spans="1:149" ht="15" customHeight="1">
      <c r="A410" s="1185">
        <v>400</v>
      </c>
      <c r="B410" s="1041"/>
      <c r="C410" s="1050"/>
      <c r="D410" s="1050"/>
      <c r="E410" s="1050"/>
      <c r="F410" s="1049"/>
      <c r="G410" s="1049"/>
      <c r="H410" s="1049"/>
      <c r="I410" s="1049"/>
      <c r="J410" s="1050"/>
      <c r="K410" s="1050"/>
      <c r="L410" s="1043"/>
      <c r="M410" s="1051"/>
      <c r="N410" s="1051"/>
      <c r="O410" s="1052"/>
      <c r="P410" s="1051"/>
      <c r="Q410" s="1051"/>
      <c r="R410" s="1052"/>
      <c r="S410" s="1051"/>
      <c r="T410" s="1051"/>
      <c r="U410" s="1052"/>
      <c r="V410" s="1051"/>
      <c r="W410" s="1051"/>
      <c r="X410" s="1052"/>
      <c r="Y410" s="1053"/>
      <c r="Z410" s="1051"/>
      <c r="AA410" s="1051"/>
      <c r="AB410" s="1052"/>
      <c r="AC410" s="1051"/>
      <c r="AD410" s="1051"/>
      <c r="AE410" s="1052"/>
      <c r="AF410" s="1051"/>
      <c r="AG410" s="1051"/>
      <c r="AH410" s="1051"/>
      <c r="AI410" s="1051"/>
      <c r="AJ410" s="1052"/>
      <c r="AK410" s="1051"/>
      <c r="AL410" s="1051"/>
      <c r="AM410" s="1052"/>
      <c r="AN410" s="1051"/>
      <c r="AO410" s="1051"/>
      <c r="AP410" s="1052"/>
      <c r="AQ410" s="1051"/>
      <c r="AR410" s="1051"/>
      <c r="AS410" s="1052"/>
      <c r="AT410" s="1051"/>
      <c r="AU410" s="1051"/>
      <c r="AV410" s="1052"/>
      <c r="AW410" s="1051"/>
      <c r="AX410" s="1051"/>
      <c r="AY410" s="1053"/>
      <c r="AZ410" s="1051"/>
      <c r="BA410" s="1051"/>
      <c r="BB410" s="1053"/>
      <c r="BC410" s="1051"/>
      <c r="BD410" s="1051"/>
      <c r="BE410" s="1053"/>
      <c r="BF410" s="1051"/>
      <c r="BG410" s="1051"/>
      <c r="BH410" s="1053"/>
      <c r="BI410" s="1052"/>
      <c r="BJ410" s="1052"/>
      <c r="BK410" s="1052"/>
      <c r="BL410" s="1052"/>
      <c r="BM410" s="1052"/>
      <c r="BN410" s="1054"/>
      <c r="BO410" s="1076">
        <f t="shared" si="7"/>
        <v>0</v>
      </c>
      <c r="BP410" s="1051"/>
      <c r="BQ410" s="1052"/>
      <c r="BR410" s="1054"/>
      <c r="BS410" s="1053"/>
      <c r="BT410" s="1051"/>
      <c r="BU410" s="1051"/>
      <c r="BV410" s="1051"/>
      <c r="BW410" s="1052"/>
      <c r="BX410" s="1052"/>
      <c r="BY410" s="1052"/>
      <c r="BZ410" s="1052"/>
      <c r="CA410" s="1052"/>
      <c r="CB410" s="1053"/>
      <c r="CC410" s="1053"/>
      <c r="CD410" s="1053"/>
      <c r="CE410" s="1053"/>
      <c r="CF410" s="1053"/>
      <c r="CG410" s="1053"/>
      <c r="CH410" s="1053"/>
      <c r="CI410" s="1123"/>
      <c r="CJ410" s="1123"/>
      <c r="CK410" s="1123"/>
      <c r="CL410" s="1123"/>
      <c r="CM410" s="1123"/>
      <c r="CN410" s="1123"/>
      <c r="CO410" s="1123"/>
      <c r="CP410" s="1123"/>
      <c r="CQ410" s="1123"/>
      <c r="CR410" s="1123"/>
      <c r="CS410" s="1123"/>
      <c r="CT410" s="1123"/>
      <c r="CU410" s="1123"/>
      <c r="CV410" s="1123"/>
      <c r="CW410" s="1123"/>
      <c r="CX410" s="1123"/>
      <c r="CY410" s="1123"/>
      <c r="CZ410" s="1114"/>
      <c r="DA410" s="1114"/>
      <c r="DB410" s="1114"/>
      <c r="DC410" s="1114"/>
      <c r="DD410" s="1114"/>
      <c r="DE410" s="1114"/>
      <c r="DF410" s="1114"/>
      <c r="DG410" s="1114"/>
      <c r="DH410" s="1114"/>
      <c r="DI410" s="1114"/>
      <c r="DJ410" s="1114"/>
      <c r="DK410" s="1114"/>
      <c r="DL410" s="1114"/>
      <c r="DM410" s="1114"/>
      <c r="DN410" s="1114"/>
      <c r="DO410" s="1114"/>
      <c r="DP410" s="1114"/>
      <c r="DQ410" s="1114"/>
      <c r="DR410" s="1114"/>
      <c r="DS410" s="1114"/>
      <c r="DT410" s="1114"/>
      <c r="DU410" s="1114"/>
      <c r="DV410" s="1115"/>
      <c r="DW410" s="1116"/>
      <c r="DX410" s="1116"/>
      <c r="DY410" s="1116"/>
      <c r="DZ410" s="1116"/>
      <c r="EA410" s="1116"/>
      <c r="EB410" s="1116"/>
      <c r="EC410" s="1116"/>
      <c r="ED410" s="1116"/>
      <c r="EE410" s="1116"/>
      <c r="EF410" s="1116"/>
      <c r="EG410" s="1116"/>
      <c r="EH410" s="1116"/>
      <c r="EI410" s="1116"/>
      <c r="EJ410" s="1116"/>
      <c r="EK410" s="1116"/>
      <c r="EL410" s="1116"/>
      <c r="EM410" s="1116"/>
      <c r="EN410" s="1116"/>
      <c r="EO410" s="1116"/>
      <c r="EP410" s="1116"/>
      <c r="EQ410" s="1116"/>
      <c r="ER410" s="1116"/>
      <c r="ES410" s="1116"/>
    </row>
    <row r="411" spans="1:149" ht="15" customHeight="1">
      <c r="A411" s="1185">
        <v>401</v>
      </c>
      <c r="B411" s="1041"/>
      <c r="C411" s="1050"/>
      <c r="D411" s="1050"/>
      <c r="E411" s="1050"/>
      <c r="F411" s="1049"/>
      <c r="G411" s="1049"/>
      <c r="H411" s="1049"/>
      <c r="I411" s="1049"/>
      <c r="J411" s="1050"/>
      <c r="K411" s="1050"/>
      <c r="L411" s="1043"/>
      <c r="M411" s="1051"/>
      <c r="N411" s="1051"/>
      <c r="O411" s="1052"/>
      <c r="P411" s="1051"/>
      <c r="Q411" s="1051"/>
      <c r="R411" s="1052"/>
      <c r="S411" s="1051"/>
      <c r="T411" s="1051"/>
      <c r="U411" s="1052"/>
      <c r="V411" s="1051"/>
      <c r="W411" s="1051"/>
      <c r="X411" s="1052"/>
      <c r="Y411" s="1053"/>
      <c r="Z411" s="1051"/>
      <c r="AA411" s="1051"/>
      <c r="AB411" s="1052"/>
      <c r="AC411" s="1051"/>
      <c r="AD411" s="1051"/>
      <c r="AE411" s="1052"/>
      <c r="AF411" s="1051"/>
      <c r="AG411" s="1051"/>
      <c r="AH411" s="1051"/>
      <c r="AI411" s="1051"/>
      <c r="AJ411" s="1052"/>
      <c r="AK411" s="1051"/>
      <c r="AL411" s="1051"/>
      <c r="AM411" s="1052"/>
      <c r="AN411" s="1051"/>
      <c r="AO411" s="1051"/>
      <c r="AP411" s="1052"/>
      <c r="AQ411" s="1051"/>
      <c r="AR411" s="1051"/>
      <c r="AS411" s="1052"/>
      <c r="AT411" s="1051"/>
      <c r="AU411" s="1051"/>
      <c r="AV411" s="1052"/>
      <c r="AW411" s="1051"/>
      <c r="AX411" s="1051"/>
      <c r="AY411" s="1053"/>
      <c r="AZ411" s="1051"/>
      <c r="BA411" s="1051"/>
      <c r="BB411" s="1053"/>
      <c r="BC411" s="1051"/>
      <c r="BD411" s="1051"/>
      <c r="BE411" s="1053"/>
      <c r="BF411" s="1051"/>
      <c r="BG411" s="1051"/>
      <c r="BH411" s="1053"/>
      <c r="BI411" s="1052"/>
      <c r="BJ411" s="1052"/>
      <c r="BK411" s="1052"/>
      <c r="BL411" s="1052"/>
      <c r="BM411" s="1052"/>
      <c r="BN411" s="1054"/>
      <c r="BO411" s="1076">
        <f t="shared" si="7"/>
        <v>0</v>
      </c>
      <c r="BP411" s="1051"/>
      <c r="BQ411" s="1052"/>
      <c r="BR411" s="1054"/>
      <c r="BS411" s="1053"/>
      <c r="BT411" s="1051"/>
      <c r="BU411" s="1051"/>
      <c r="BV411" s="1051"/>
      <c r="BW411" s="1052"/>
      <c r="BX411" s="1052"/>
      <c r="BY411" s="1052"/>
      <c r="BZ411" s="1052"/>
      <c r="CA411" s="1052"/>
      <c r="CB411" s="1053"/>
      <c r="CC411" s="1053"/>
      <c r="CD411" s="1053"/>
      <c r="CE411" s="1053"/>
      <c r="CF411" s="1053"/>
      <c r="CG411" s="1053"/>
      <c r="CH411" s="1053"/>
      <c r="CI411" s="1123"/>
      <c r="CJ411" s="1123"/>
      <c r="CK411" s="1123"/>
      <c r="CL411" s="1123"/>
      <c r="CM411" s="1123"/>
      <c r="CN411" s="1123"/>
      <c r="CO411" s="1123"/>
      <c r="CP411" s="1123"/>
      <c r="CQ411" s="1123"/>
      <c r="CR411" s="1123"/>
      <c r="CS411" s="1123"/>
      <c r="CT411" s="1123"/>
      <c r="CU411" s="1123"/>
      <c r="CV411" s="1123"/>
      <c r="CW411" s="1123"/>
      <c r="CX411" s="1123"/>
      <c r="CY411" s="1123"/>
      <c r="CZ411" s="1114"/>
      <c r="DA411" s="1114"/>
      <c r="DB411" s="1114"/>
      <c r="DC411" s="1114"/>
      <c r="DD411" s="1114"/>
      <c r="DE411" s="1114"/>
      <c r="DF411" s="1114"/>
      <c r="DG411" s="1114"/>
      <c r="DH411" s="1114"/>
      <c r="DI411" s="1114"/>
      <c r="DJ411" s="1114"/>
      <c r="DK411" s="1114"/>
      <c r="DL411" s="1114"/>
      <c r="DM411" s="1114"/>
      <c r="DN411" s="1114"/>
      <c r="DO411" s="1114"/>
      <c r="DP411" s="1114"/>
      <c r="DQ411" s="1114"/>
      <c r="DR411" s="1114"/>
      <c r="DS411" s="1114"/>
      <c r="DT411" s="1114"/>
      <c r="DU411" s="1114"/>
      <c r="DV411" s="1115"/>
      <c r="DW411" s="1116"/>
      <c r="DX411" s="1116"/>
      <c r="DY411" s="1116"/>
      <c r="DZ411" s="1116"/>
      <c r="EA411" s="1116"/>
      <c r="EB411" s="1116"/>
      <c r="EC411" s="1116"/>
      <c r="ED411" s="1116"/>
      <c r="EE411" s="1116"/>
      <c r="EF411" s="1116"/>
      <c r="EG411" s="1116"/>
      <c r="EH411" s="1116"/>
      <c r="EI411" s="1116"/>
      <c r="EJ411" s="1116"/>
      <c r="EK411" s="1116"/>
      <c r="EL411" s="1116"/>
      <c r="EM411" s="1116"/>
      <c r="EN411" s="1116"/>
      <c r="EO411" s="1116"/>
      <c r="EP411" s="1116"/>
      <c r="EQ411" s="1116"/>
      <c r="ER411" s="1116"/>
      <c r="ES411" s="1116"/>
    </row>
    <row r="412" spans="1:149" ht="15" customHeight="1">
      <c r="A412" s="1185">
        <v>402</v>
      </c>
      <c r="B412" s="1041"/>
      <c r="C412" s="1050"/>
      <c r="D412" s="1050"/>
      <c r="E412" s="1050"/>
      <c r="F412" s="1049"/>
      <c r="G412" s="1049"/>
      <c r="H412" s="1049"/>
      <c r="I412" s="1049"/>
      <c r="J412" s="1050"/>
      <c r="K412" s="1050"/>
      <c r="L412" s="1043"/>
      <c r="M412" s="1051"/>
      <c r="N412" s="1051"/>
      <c r="O412" s="1052"/>
      <c r="P412" s="1051"/>
      <c r="Q412" s="1051"/>
      <c r="R412" s="1052"/>
      <c r="S412" s="1051"/>
      <c r="T412" s="1051"/>
      <c r="U412" s="1052"/>
      <c r="V412" s="1051"/>
      <c r="W412" s="1051"/>
      <c r="X412" s="1052"/>
      <c r="Y412" s="1053"/>
      <c r="Z412" s="1051"/>
      <c r="AA412" s="1051"/>
      <c r="AB412" s="1052"/>
      <c r="AC412" s="1051"/>
      <c r="AD412" s="1051"/>
      <c r="AE412" s="1052"/>
      <c r="AF412" s="1051"/>
      <c r="AG412" s="1051"/>
      <c r="AH412" s="1051"/>
      <c r="AI412" s="1051"/>
      <c r="AJ412" s="1052"/>
      <c r="AK412" s="1051"/>
      <c r="AL412" s="1051"/>
      <c r="AM412" s="1052"/>
      <c r="AN412" s="1051"/>
      <c r="AO412" s="1051"/>
      <c r="AP412" s="1052"/>
      <c r="AQ412" s="1051"/>
      <c r="AR412" s="1051"/>
      <c r="AS412" s="1052"/>
      <c r="AT412" s="1051"/>
      <c r="AU412" s="1051"/>
      <c r="AV412" s="1052"/>
      <c r="AW412" s="1051"/>
      <c r="AX412" s="1051"/>
      <c r="AY412" s="1053"/>
      <c r="AZ412" s="1051"/>
      <c r="BA412" s="1051"/>
      <c r="BB412" s="1053"/>
      <c r="BC412" s="1051"/>
      <c r="BD412" s="1051"/>
      <c r="BE412" s="1053"/>
      <c r="BF412" s="1051"/>
      <c r="BG412" s="1051"/>
      <c r="BH412" s="1053"/>
      <c r="BI412" s="1052"/>
      <c r="BJ412" s="1052"/>
      <c r="BK412" s="1052"/>
      <c r="BL412" s="1052"/>
      <c r="BM412" s="1052"/>
      <c r="BN412" s="1054"/>
      <c r="BO412" s="1076">
        <f t="shared" si="7"/>
        <v>0</v>
      </c>
      <c r="BP412" s="1051"/>
      <c r="BQ412" s="1052"/>
      <c r="BR412" s="1054"/>
      <c r="BS412" s="1053"/>
      <c r="BT412" s="1051"/>
      <c r="BU412" s="1051"/>
      <c r="BV412" s="1051"/>
      <c r="BW412" s="1052"/>
      <c r="BX412" s="1052"/>
      <c r="BY412" s="1052"/>
      <c r="BZ412" s="1052"/>
      <c r="CA412" s="1052"/>
      <c r="CB412" s="1053"/>
      <c r="CC412" s="1053"/>
      <c r="CD412" s="1053"/>
      <c r="CE412" s="1053"/>
      <c r="CF412" s="1053"/>
      <c r="CG412" s="1053"/>
      <c r="CH412" s="1053"/>
      <c r="CI412" s="1123"/>
      <c r="CJ412" s="1123"/>
      <c r="CK412" s="1123"/>
      <c r="CL412" s="1123"/>
      <c r="CM412" s="1123"/>
      <c r="CN412" s="1123"/>
      <c r="CO412" s="1123"/>
      <c r="CP412" s="1123"/>
      <c r="CQ412" s="1123"/>
      <c r="CR412" s="1123"/>
      <c r="CS412" s="1123"/>
      <c r="CT412" s="1123"/>
      <c r="CU412" s="1123"/>
      <c r="CV412" s="1123"/>
      <c r="CW412" s="1123"/>
      <c r="CX412" s="1123"/>
      <c r="CY412" s="1123"/>
      <c r="CZ412" s="1114"/>
      <c r="DA412" s="1114"/>
      <c r="DB412" s="1114"/>
      <c r="DC412" s="1114"/>
      <c r="DD412" s="1114"/>
      <c r="DE412" s="1114"/>
      <c r="DF412" s="1114"/>
      <c r="DG412" s="1114"/>
      <c r="DH412" s="1114"/>
      <c r="DI412" s="1114"/>
      <c r="DJ412" s="1114"/>
      <c r="DK412" s="1114"/>
      <c r="DL412" s="1114"/>
      <c r="DM412" s="1114"/>
      <c r="DN412" s="1114"/>
      <c r="DO412" s="1114"/>
      <c r="DP412" s="1114"/>
      <c r="DQ412" s="1114"/>
      <c r="DR412" s="1114"/>
      <c r="DS412" s="1114"/>
      <c r="DT412" s="1114"/>
      <c r="DU412" s="1114"/>
      <c r="DV412" s="1115"/>
      <c r="DW412" s="1116"/>
      <c r="DX412" s="1116"/>
      <c r="DY412" s="1116"/>
      <c r="DZ412" s="1116"/>
      <c r="EA412" s="1116"/>
      <c r="EB412" s="1116"/>
      <c r="EC412" s="1116"/>
      <c r="ED412" s="1116"/>
      <c r="EE412" s="1116"/>
      <c r="EF412" s="1116"/>
      <c r="EG412" s="1116"/>
      <c r="EH412" s="1116"/>
      <c r="EI412" s="1116"/>
      <c r="EJ412" s="1116"/>
      <c r="EK412" s="1116"/>
      <c r="EL412" s="1116"/>
      <c r="EM412" s="1116"/>
      <c r="EN412" s="1116"/>
      <c r="EO412" s="1116"/>
      <c r="EP412" s="1116"/>
      <c r="EQ412" s="1116"/>
      <c r="ER412" s="1116"/>
      <c r="ES412" s="1116"/>
    </row>
    <row r="413" spans="1:149" ht="15" customHeight="1">
      <c r="A413" s="1185">
        <v>403</v>
      </c>
      <c r="B413" s="1041"/>
      <c r="C413" s="1050"/>
      <c r="D413" s="1050"/>
      <c r="E413" s="1050"/>
      <c r="F413" s="1049"/>
      <c r="G413" s="1049"/>
      <c r="H413" s="1049"/>
      <c r="I413" s="1049"/>
      <c r="J413" s="1050"/>
      <c r="K413" s="1050"/>
      <c r="L413" s="1043"/>
      <c r="M413" s="1051"/>
      <c r="N413" s="1051"/>
      <c r="O413" s="1052"/>
      <c r="P413" s="1051"/>
      <c r="Q413" s="1051"/>
      <c r="R413" s="1052"/>
      <c r="S413" s="1051"/>
      <c r="T413" s="1051"/>
      <c r="U413" s="1052"/>
      <c r="V413" s="1051"/>
      <c r="W413" s="1051"/>
      <c r="X413" s="1052"/>
      <c r="Y413" s="1053"/>
      <c r="Z413" s="1051"/>
      <c r="AA413" s="1051"/>
      <c r="AB413" s="1052"/>
      <c r="AC413" s="1051"/>
      <c r="AD413" s="1051"/>
      <c r="AE413" s="1052"/>
      <c r="AF413" s="1051"/>
      <c r="AG413" s="1051"/>
      <c r="AH413" s="1051"/>
      <c r="AI413" s="1051"/>
      <c r="AJ413" s="1052"/>
      <c r="AK413" s="1051"/>
      <c r="AL413" s="1051"/>
      <c r="AM413" s="1052"/>
      <c r="AN413" s="1051"/>
      <c r="AO413" s="1051"/>
      <c r="AP413" s="1052"/>
      <c r="AQ413" s="1051"/>
      <c r="AR413" s="1051"/>
      <c r="AS413" s="1052"/>
      <c r="AT413" s="1051"/>
      <c r="AU413" s="1051"/>
      <c r="AV413" s="1052"/>
      <c r="AW413" s="1051"/>
      <c r="AX413" s="1051"/>
      <c r="AY413" s="1053"/>
      <c r="AZ413" s="1051"/>
      <c r="BA413" s="1051"/>
      <c r="BB413" s="1053"/>
      <c r="BC413" s="1051"/>
      <c r="BD413" s="1051"/>
      <c r="BE413" s="1053"/>
      <c r="BF413" s="1051"/>
      <c r="BG413" s="1051"/>
      <c r="BH413" s="1053"/>
      <c r="BI413" s="1052"/>
      <c r="BJ413" s="1052"/>
      <c r="BK413" s="1052"/>
      <c r="BL413" s="1052"/>
      <c r="BM413" s="1052"/>
      <c r="BN413" s="1054"/>
      <c r="BO413" s="1076">
        <f t="shared" si="7"/>
        <v>0</v>
      </c>
      <c r="BP413" s="1051"/>
      <c r="BQ413" s="1052"/>
      <c r="BR413" s="1054"/>
      <c r="BS413" s="1053"/>
      <c r="BT413" s="1051"/>
      <c r="BU413" s="1051"/>
      <c r="BV413" s="1051"/>
      <c r="BW413" s="1052"/>
      <c r="BX413" s="1052"/>
      <c r="BY413" s="1052"/>
      <c r="BZ413" s="1052"/>
      <c r="CA413" s="1052"/>
      <c r="CB413" s="1053"/>
      <c r="CC413" s="1053"/>
      <c r="CD413" s="1053"/>
      <c r="CE413" s="1053"/>
      <c r="CF413" s="1053"/>
      <c r="CG413" s="1053"/>
      <c r="CH413" s="1053"/>
      <c r="CI413" s="1123"/>
      <c r="CJ413" s="1123"/>
      <c r="CK413" s="1123"/>
      <c r="CL413" s="1123"/>
      <c r="CM413" s="1123"/>
      <c r="CN413" s="1123"/>
      <c r="CO413" s="1123"/>
      <c r="CP413" s="1123"/>
      <c r="CQ413" s="1123"/>
      <c r="CR413" s="1123"/>
      <c r="CS413" s="1123"/>
      <c r="CT413" s="1123"/>
      <c r="CU413" s="1123"/>
      <c r="CV413" s="1123"/>
      <c r="CW413" s="1123"/>
      <c r="CX413" s="1123"/>
      <c r="CY413" s="1123"/>
      <c r="CZ413" s="1114"/>
      <c r="DA413" s="1114"/>
      <c r="DB413" s="1114"/>
      <c r="DC413" s="1114"/>
      <c r="DD413" s="1114"/>
      <c r="DE413" s="1114"/>
      <c r="DF413" s="1114"/>
      <c r="DG413" s="1114"/>
      <c r="DH413" s="1114"/>
      <c r="DI413" s="1114"/>
      <c r="DJ413" s="1114"/>
      <c r="DK413" s="1114"/>
      <c r="DL413" s="1114"/>
      <c r="DM413" s="1114"/>
      <c r="DN413" s="1114"/>
      <c r="DO413" s="1114"/>
      <c r="DP413" s="1114"/>
      <c r="DQ413" s="1114"/>
      <c r="DR413" s="1114"/>
      <c r="DS413" s="1114"/>
      <c r="DT413" s="1114"/>
      <c r="DU413" s="1114"/>
      <c r="DV413" s="1115"/>
      <c r="DW413" s="1116"/>
      <c r="DX413" s="1116"/>
      <c r="DY413" s="1116"/>
      <c r="DZ413" s="1116"/>
      <c r="EA413" s="1116"/>
      <c r="EB413" s="1116"/>
      <c r="EC413" s="1116"/>
      <c r="ED413" s="1116"/>
      <c r="EE413" s="1116"/>
      <c r="EF413" s="1116"/>
      <c r="EG413" s="1116"/>
      <c r="EH413" s="1116"/>
      <c r="EI413" s="1116"/>
      <c r="EJ413" s="1116"/>
      <c r="EK413" s="1116"/>
      <c r="EL413" s="1116"/>
      <c r="EM413" s="1116"/>
      <c r="EN413" s="1116"/>
      <c r="EO413" s="1116"/>
      <c r="EP413" s="1116"/>
      <c r="EQ413" s="1116"/>
      <c r="ER413" s="1116"/>
      <c r="ES413" s="1116"/>
    </row>
    <row r="414" spans="1:149" ht="15" customHeight="1">
      <c r="A414" s="1185">
        <v>404</v>
      </c>
      <c r="B414" s="1041"/>
      <c r="C414" s="1050"/>
      <c r="D414" s="1050"/>
      <c r="E414" s="1050"/>
      <c r="F414" s="1049"/>
      <c r="G414" s="1049"/>
      <c r="H414" s="1049"/>
      <c r="I414" s="1049"/>
      <c r="J414" s="1050"/>
      <c r="K414" s="1050"/>
      <c r="L414" s="1043"/>
      <c r="M414" s="1051"/>
      <c r="N414" s="1051"/>
      <c r="O414" s="1052"/>
      <c r="P414" s="1051"/>
      <c r="Q414" s="1051"/>
      <c r="R414" s="1052"/>
      <c r="S414" s="1051"/>
      <c r="T414" s="1051"/>
      <c r="U414" s="1052"/>
      <c r="V414" s="1051"/>
      <c r="W414" s="1051"/>
      <c r="X414" s="1052"/>
      <c r="Y414" s="1053"/>
      <c r="Z414" s="1051"/>
      <c r="AA414" s="1051"/>
      <c r="AB414" s="1052"/>
      <c r="AC414" s="1051"/>
      <c r="AD414" s="1051"/>
      <c r="AE414" s="1052"/>
      <c r="AF414" s="1051"/>
      <c r="AG414" s="1051"/>
      <c r="AH414" s="1051"/>
      <c r="AI414" s="1051"/>
      <c r="AJ414" s="1052"/>
      <c r="AK414" s="1051"/>
      <c r="AL414" s="1051"/>
      <c r="AM414" s="1052"/>
      <c r="AN414" s="1051"/>
      <c r="AO414" s="1051"/>
      <c r="AP414" s="1052"/>
      <c r="AQ414" s="1051"/>
      <c r="AR414" s="1051"/>
      <c r="AS414" s="1052"/>
      <c r="AT414" s="1051"/>
      <c r="AU414" s="1051"/>
      <c r="AV414" s="1052"/>
      <c r="AW414" s="1051"/>
      <c r="AX414" s="1051"/>
      <c r="AY414" s="1053"/>
      <c r="AZ414" s="1051"/>
      <c r="BA414" s="1051"/>
      <c r="BB414" s="1053"/>
      <c r="BC414" s="1051"/>
      <c r="BD414" s="1051"/>
      <c r="BE414" s="1053"/>
      <c r="BF414" s="1051"/>
      <c r="BG414" s="1051"/>
      <c r="BH414" s="1053"/>
      <c r="BI414" s="1052"/>
      <c r="BJ414" s="1052"/>
      <c r="BK414" s="1052"/>
      <c r="BL414" s="1052"/>
      <c r="BM414" s="1052"/>
      <c r="BN414" s="1054"/>
      <c r="BO414" s="1076">
        <f t="shared" si="7"/>
        <v>0</v>
      </c>
      <c r="BP414" s="1051"/>
      <c r="BQ414" s="1052"/>
      <c r="BR414" s="1054"/>
      <c r="BS414" s="1053"/>
      <c r="BT414" s="1051"/>
      <c r="BU414" s="1051"/>
      <c r="BV414" s="1051"/>
      <c r="BW414" s="1052"/>
      <c r="BX414" s="1052"/>
      <c r="BY414" s="1052"/>
      <c r="BZ414" s="1052"/>
      <c r="CA414" s="1052"/>
      <c r="CB414" s="1053"/>
      <c r="CC414" s="1053"/>
      <c r="CD414" s="1053"/>
      <c r="CE414" s="1053"/>
      <c r="CF414" s="1053"/>
      <c r="CG414" s="1053"/>
      <c r="CH414" s="1053"/>
      <c r="CI414" s="1123"/>
      <c r="CJ414" s="1123"/>
      <c r="CK414" s="1123"/>
      <c r="CL414" s="1123"/>
      <c r="CM414" s="1123"/>
      <c r="CN414" s="1123"/>
      <c r="CO414" s="1123"/>
      <c r="CP414" s="1123"/>
      <c r="CQ414" s="1123"/>
      <c r="CR414" s="1123"/>
      <c r="CS414" s="1123"/>
      <c r="CT414" s="1123"/>
      <c r="CU414" s="1123"/>
      <c r="CV414" s="1123"/>
      <c r="CW414" s="1123"/>
      <c r="CX414" s="1123"/>
      <c r="CY414" s="1123"/>
      <c r="CZ414" s="1114"/>
      <c r="DA414" s="1114"/>
      <c r="DB414" s="1114"/>
      <c r="DC414" s="1114"/>
      <c r="DD414" s="1114"/>
      <c r="DE414" s="1114"/>
      <c r="DF414" s="1114"/>
      <c r="DG414" s="1114"/>
      <c r="DH414" s="1114"/>
      <c r="DI414" s="1114"/>
      <c r="DJ414" s="1114"/>
      <c r="DK414" s="1114"/>
      <c r="DL414" s="1114"/>
      <c r="DM414" s="1114"/>
      <c r="DN414" s="1114"/>
      <c r="DO414" s="1114"/>
      <c r="DP414" s="1114"/>
      <c r="DQ414" s="1114"/>
      <c r="DR414" s="1114"/>
      <c r="DS414" s="1114"/>
      <c r="DT414" s="1114"/>
      <c r="DU414" s="1114"/>
      <c r="DV414" s="1115"/>
      <c r="DW414" s="1116"/>
      <c r="DX414" s="1116"/>
      <c r="DY414" s="1116"/>
      <c r="DZ414" s="1116"/>
      <c r="EA414" s="1116"/>
      <c r="EB414" s="1116"/>
      <c r="EC414" s="1116"/>
      <c r="ED414" s="1116"/>
      <c r="EE414" s="1116"/>
      <c r="EF414" s="1116"/>
      <c r="EG414" s="1116"/>
      <c r="EH414" s="1116"/>
      <c r="EI414" s="1116"/>
      <c r="EJ414" s="1116"/>
      <c r="EK414" s="1116"/>
      <c r="EL414" s="1116"/>
      <c r="EM414" s="1116"/>
      <c r="EN414" s="1116"/>
      <c r="EO414" s="1116"/>
      <c r="EP414" s="1116"/>
      <c r="EQ414" s="1116"/>
      <c r="ER414" s="1116"/>
      <c r="ES414" s="1116"/>
    </row>
    <row r="415" spans="1:149" ht="15" customHeight="1">
      <c r="A415" s="1185">
        <v>405</v>
      </c>
      <c r="B415" s="1041"/>
      <c r="C415" s="1050"/>
      <c r="D415" s="1050"/>
      <c r="E415" s="1050"/>
      <c r="F415" s="1049"/>
      <c r="G415" s="1049"/>
      <c r="H415" s="1049"/>
      <c r="I415" s="1049"/>
      <c r="J415" s="1050"/>
      <c r="K415" s="1050"/>
      <c r="L415" s="1043"/>
      <c r="M415" s="1051"/>
      <c r="N415" s="1051"/>
      <c r="O415" s="1052"/>
      <c r="P415" s="1051"/>
      <c r="Q415" s="1051"/>
      <c r="R415" s="1052"/>
      <c r="S415" s="1051"/>
      <c r="T415" s="1051"/>
      <c r="U415" s="1052"/>
      <c r="V415" s="1051"/>
      <c r="W415" s="1051"/>
      <c r="X415" s="1052"/>
      <c r="Y415" s="1053"/>
      <c r="Z415" s="1051"/>
      <c r="AA415" s="1051"/>
      <c r="AB415" s="1052"/>
      <c r="AC415" s="1051"/>
      <c r="AD415" s="1051"/>
      <c r="AE415" s="1052"/>
      <c r="AF415" s="1051"/>
      <c r="AG415" s="1051"/>
      <c r="AH415" s="1051"/>
      <c r="AI415" s="1051"/>
      <c r="AJ415" s="1052"/>
      <c r="AK415" s="1051"/>
      <c r="AL415" s="1051"/>
      <c r="AM415" s="1052"/>
      <c r="AN415" s="1051"/>
      <c r="AO415" s="1051"/>
      <c r="AP415" s="1052"/>
      <c r="AQ415" s="1051"/>
      <c r="AR415" s="1051"/>
      <c r="AS415" s="1052"/>
      <c r="AT415" s="1051"/>
      <c r="AU415" s="1051"/>
      <c r="AV415" s="1052"/>
      <c r="AW415" s="1051"/>
      <c r="AX415" s="1051"/>
      <c r="AY415" s="1053"/>
      <c r="AZ415" s="1051"/>
      <c r="BA415" s="1051"/>
      <c r="BB415" s="1053"/>
      <c r="BC415" s="1051"/>
      <c r="BD415" s="1051"/>
      <c r="BE415" s="1053"/>
      <c r="BF415" s="1051"/>
      <c r="BG415" s="1051"/>
      <c r="BH415" s="1053"/>
      <c r="BI415" s="1052"/>
      <c r="BJ415" s="1052"/>
      <c r="BK415" s="1052"/>
      <c r="BL415" s="1052"/>
      <c r="BM415" s="1052"/>
      <c r="BN415" s="1054"/>
      <c r="BO415" s="1076">
        <f t="shared" si="7"/>
        <v>0</v>
      </c>
      <c r="BP415" s="1051"/>
      <c r="BQ415" s="1052"/>
      <c r="BR415" s="1054"/>
      <c r="BS415" s="1053"/>
      <c r="BT415" s="1051"/>
      <c r="BU415" s="1051"/>
      <c r="BV415" s="1051"/>
      <c r="BW415" s="1052"/>
      <c r="BX415" s="1052"/>
      <c r="BY415" s="1052"/>
      <c r="BZ415" s="1052"/>
      <c r="CA415" s="1052"/>
      <c r="CB415" s="1053"/>
      <c r="CC415" s="1053"/>
      <c r="CD415" s="1053"/>
      <c r="CE415" s="1053"/>
      <c r="CF415" s="1053"/>
      <c r="CG415" s="1053"/>
      <c r="CH415" s="1053"/>
      <c r="CI415" s="1123"/>
      <c r="CJ415" s="1123"/>
      <c r="CK415" s="1123"/>
      <c r="CL415" s="1123"/>
      <c r="CM415" s="1123"/>
      <c r="CN415" s="1123"/>
      <c r="CO415" s="1123"/>
      <c r="CP415" s="1123"/>
      <c r="CQ415" s="1123"/>
      <c r="CR415" s="1123"/>
      <c r="CS415" s="1123"/>
      <c r="CT415" s="1123"/>
      <c r="CU415" s="1123"/>
      <c r="CV415" s="1123"/>
      <c r="CW415" s="1123"/>
      <c r="CX415" s="1123"/>
      <c r="CY415" s="1123"/>
      <c r="CZ415" s="1114"/>
      <c r="DA415" s="1114"/>
      <c r="DB415" s="1114"/>
      <c r="DC415" s="1114"/>
      <c r="DD415" s="1114"/>
      <c r="DE415" s="1114"/>
      <c r="DF415" s="1114"/>
      <c r="DG415" s="1114"/>
      <c r="DH415" s="1114"/>
      <c r="DI415" s="1114"/>
      <c r="DJ415" s="1114"/>
      <c r="DK415" s="1114"/>
      <c r="DL415" s="1114"/>
      <c r="DM415" s="1114"/>
      <c r="DN415" s="1114"/>
      <c r="DO415" s="1114"/>
      <c r="DP415" s="1114"/>
      <c r="DQ415" s="1114"/>
      <c r="DR415" s="1114"/>
      <c r="DS415" s="1114"/>
      <c r="DT415" s="1114"/>
      <c r="DU415" s="1114"/>
      <c r="DV415" s="1115"/>
      <c r="DW415" s="1116"/>
      <c r="DX415" s="1116"/>
      <c r="DY415" s="1116"/>
      <c r="DZ415" s="1116"/>
      <c r="EA415" s="1116"/>
      <c r="EB415" s="1116"/>
      <c r="EC415" s="1116"/>
      <c r="ED415" s="1116"/>
      <c r="EE415" s="1116"/>
      <c r="EF415" s="1116"/>
      <c r="EG415" s="1116"/>
      <c r="EH415" s="1116"/>
      <c r="EI415" s="1116"/>
      <c r="EJ415" s="1116"/>
      <c r="EK415" s="1116"/>
      <c r="EL415" s="1116"/>
      <c r="EM415" s="1116"/>
      <c r="EN415" s="1116"/>
      <c r="EO415" s="1116"/>
      <c r="EP415" s="1116"/>
      <c r="EQ415" s="1116"/>
      <c r="ER415" s="1116"/>
      <c r="ES415" s="1116"/>
    </row>
    <row r="416" spans="1:149" ht="15" customHeight="1">
      <c r="A416" s="1185">
        <v>406</v>
      </c>
      <c r="B416" s="1041"/>
      <c r="C416" s="1050"/>
      <c r="D416" s="1050"/>
      <c r="E416" s="1050"/>
      <c r="F416" s="1049"/>
      <c r="G416" s="1049"/>
      <c r="H416" s="1049"/>
      <c r="I416" s="1049"/>
      <c r="J416" s="1050"/>
      <c r="K416" s="1050"/>
      <c r="L416" s="1043"/>
      <c r="M416" s="1051"/>
      <c r="N416" s="1051"/>
      <c r="O416" s="1052"/>
      <c r="P416" s="1051"/>
      <c r="Q416" s="1051"/>
      <c r="R416" s="1052"/>
      <c r="S416" s="1051"/>
      <c r="T416" s="1051"/>
      <c r="U416" s="1052"/>
      <c r="V416" s="1051"/>
      <c r="W416" s="1051"/>
      <c r="X416" s="1052"/>
      <c r="Y416" s="1053"/>
      <c r="Z416" s="1051"/>
      <c r="AA416" s="1051"/>
      <c r="AB416" s="1052"/>
      <c r="AC416" s="1051"/>
      <c r="AD416" s="1051"/>
      <c r="AE416" s="1052"/>
      <c r="AF416" s="1051"/>
      <c r="AG416" s="1051"/>
      <c r="AH416" s="1051"/>
      <c r="AI416" s="1051"/>
      <c r="AJ416" s="1052"/>
      <c r="AK416" s="1051"/>
      <c r="AL416" s="1051"/>
      <c r="AM416" s="1052"/>
      <c r="AN416" s="1051"/>
      <c r="AO416" s="1051"/>
      <c r="AP416" s="1052"/>
      <c r="AQ416" s="1051"/>
      <c r="AR416" s="1051"/>
      <c r="AS416" s="1052"/>
      <c r="AT416" s="1051"/>
      <c r="AU416" s="1051"/>
      <c r="AV416" s="1052"/>
      <c r="AW416" s="1051"/>
      <c r="AX416" s="1051"/>
      <c r="AY416" s="1053"/>
      <c r="AZ416" s="1051"/>
      <c r="BA416" s="1051"/>
      <c r="BB416" s="1053"/>
      <c r="BC416" s="1051"/>
      <c r="BD416" s="1051"/>
      <c r="BE416" s="1053"/>
      <c r="BF416" s="1051"/>
      <c r="BG416" s="1051"/>
      <c r="BH416" s="1053"/>
      <c r="BI416" s="1052"/>
      <c r="BJ416" s="1052"/>
      <c r="BK416" s="1052"/>
      <c r="BL416" s="1052"/>
      <c r="BM416" s="1052"/>
      <c r="BN416" s="1054"/>
      <c r="BO416" s="1076">
        <f t="shared" si="7"/>
        <v>0</v>
      </c>
      <c r="BP416" s="1051"/>
      <c r="BQ416" s="1052"/>
      <c r="BR416" s="1054"/>
      <c r="BS416" s="1053"/>
      <c r="BT416" s="1051"/>
      <c r="BU416" s="1051"/>
      <c r="BV416" s="1051"/>
      <c r="BW416" s="1052"/>
      <c r="BX416" s="1052"/>
      <c r="BY416" s="1052"/>
      <c r="BZ416" s="1052"/>
      <c r="CA416" s="1052"/>
      <c r="CB416" s="1053"/>
      <c r="CC416" s="1053"/>
      <c r="CD416" s="1053"/>
      <c r="CE416" s="1053"/>
      <c r="CF416" s="1053"/>
      <c r="CG416" s="1053"/>
      <c r="CH416" s="1053"/>
      <c r="CI416" s="1123"/>
      <c r="CJ416" s="1123"/>
      <c r="CK416" s="1123"/>
      <c r="CL416" s="1123"/>
      <c r="CM416" s="1123"/>
      <c r="CN416" s="1123"/>
      <c r="CO416" s="1123"/>
      <c r="CP416" s="1123"/>
      <c r="CQ416" s="1123"/>
      <c r="CR416" s="1123"/>
      <c r="CS416" s="1123"/>
      <c r="CT416" s="1123"/>
      <c r="CU416" s="1123"/>
      <c r="CV416" s="1123"/>
      <c r="CW416" s="1123"/>
      <c r="CX416" s="1123"/>
      <c r="CY416" s="1123"/>
      <c r="CZ416" s="1114"/>
      <c r="DA416" s="1114"/>
      <c r="DB416" s="1114"/>
      <c r="DC416" s="1114"/>
      <c r="DD416" s="1114"/>
      <c r="DE416" s="1114"/>
      <c r="DF416" s="1114"/>
      <c r="DG416" s="1114"/>
      <c r="DH416" s="1114"/>
      <c r="DI416" s="1114"/>
      <c r="DJ416" s="1114"/>
      <c r="DK416" s="1114"/>
      <c r="DL416" s="1114"/>
      <c r="DM416" s="1114"/>
      <c r="DN416" s="1114"/>
      <c r="DO416" s="1114"/>
      <c r="DP416" s="1114"/>
      <c r="DQ416" s="1114"/>
      <c r="DR416" s="1114"/>
      <c r="DS416" s="1114"/>
      <c r="DT416" s="1114"/>
      <c r="DU416" s="1114"/>
      <c r="DV416" s="1115"/>
      <c r="DW416" s="1116"/>
      <c r="DX416" s="1116"/>
      <c r="DY416" s="1116"/>
      <c r="DZ416" s="1116"/>
      <c r="EA416" s="1116"/>
      <c r="EB416" s="1116"/>
      <c r="EC416" s="1116"/>
      <c r="ED416" s="1116"/>
      <c r="EE416" s="1116"/>
      <c r="EF416" s="1116"/>
      <c r="EG416" s="1116"/>
      <c r="EH416" s="1116"/>
      <c r="EI416" s="1116"/>
      <c r="EJ416" s="1116"/>
      <c r="EK416" s="1116"/>
      <c r="EL416" s="1116"/>
      <c r="EM416" s="1116"/>
      <c r="EN416" s="1116"/>
      <c r="EO416" s="1116"/>
      <c r="EP416" s="1116"/>
      <c r="EQ416" s="1116"/>
      <c r="ER416" s="1116"/>
      <c r="ES416" s="1116"/>
    </row>
    <row r="417" spans="1:149" ht="15" customHeight="1">
      <c r="A417" s="1185">
        <v>407</v>
      </c>
      <c r="B417" s="1041"/>
      <c r="C417" s="1050"/>
      <c r="D417" s="1050"/>
      <c r="E417" s="1050"/>
      <c r="F417" s="1049"/>
      <c r="G417" s="1049"/>
      <c r="H417" s="1049"/>
      <c r="I417" s="1049"/>
      <c r="J417" s="1050"/>
      <c r="K417" s="1050"/>
      <c r="L417" s="1043"/>
      <c r="M417" s="1051"/>
      <c r="N417" s="1051"/>
      <c r="O417" s="1052"/>
      <c r="P417" s="1051"/>
      <c r="Q417" s="1051"/>
      <c r="R417" s="1052"/>
      <c r="S417" s="1051"/>
      <c r="T417" s="1051"/>
      <c r="U417" s="1052"/>
      <c r="V417" s="1051"/>
      <c r="W417" s="1051"/>
      <c r="X417" s="1052"/>
      <c r="Y417" s="1053"/>
      <c r="Z417" s="1051"/>
      <c r="AA417" s="1051"/>
      <c r="AB417" s="1052"/>
      <c r="AC417" s="1051"/>
      <c r="AD417" s="1051"/>
      <c r="AE417" s="1052"/>
      <c r="AF417" s="1051"/>
      <c r="AG417" s="1051"/>
      <c r="AH417" s="1051"/>
      <c r="AI417" s="1051"/>
      <c r="AJ417" s="1052"/>
      <c r="AK417" s="1051"/>
      <c r="AL417" s="1051"/>
      <c r="AM417" s="1052"/>
      <c r="AN417" s="1051"/>
      <c r="AO417" s="1051"/>
      <c r="AP417" s="1052"/>
      <c r="AQ417" s="1051"/>
      <c r="AR417" s="1051"/>
      <c r="AS417" s="1052"/>
      <c r="AT417" s="1051"/>
      <c r="AU417" s="1051"/>
      <c r="AV417" s="1052"/>
      <c r="AW417" s="1051"/>
      <c r="AX417" s="1051"/>
      <c r="AY417" s="1053"/>
      <c r="AZ417" s="1051"/>
      <c r="BA417" s="1051"/>
      <c r="BB417" s="1053"/>
      <c r="BC417" s="1051"/>
      <c r="BD417" s="1051"/>
      <c r="BE417" s="1053"/>
      <c r="BF417" s="1051"/>
      <c r="BG417" s="1051"/>
      <c r="BH417" s="1053"/>
      <c r="BI417" s="1052"/>
      <c r="BJ417" s="1052"/>
      <c r="BK417" s="1052"/>
      <c r="BL417" s="1052"/>
      <c r="BM417" s="1052"/>
      <c r="BN417" s="1054"/>
      <c r="BO417" s="1076">
        <f t="shared" si="7"/>
        <v>0</v>
      </c>
      <c r="BP417" s="1051"/>
      <c r="BQ417" s="1052"/>
      <c r="BR417" s="1054"/>
      <c r="BS417" s="1053"/>
      <c r="BT417" s="1051"/>
      <c r="BU417" s="1051"/>
      <c r="BV417" s="1051"/>
      <c r="BW417" s="1052"/>
      <c r="BX417" s="1052"/>
      <c r="BY417" s="1052"/>
      <c r="BZ417" s="1052"/>
      <c r="CA417" s="1052"/>
      <c r="CB417" s="1053"/>
      <c r="CC417" s="1053"/>
      <c r="CD417" s="1053"/>
      <c r="CE417" s="1053"/>
      <c r="CF417" s="1053"/>
      <c r="CG417" s="1053"/>
      <c r="CH417" s="1053"/>
      <c r="CI417" s="1123"/>
      <c r="CJ417" s="1123"/>
      <c r="CK417" s="1123"/>
      <c r="CL417" s="1123"/>
      <c r="CM417" s="1123"/>
      <c r="CN417" s="1123"/>
      <c r="CO417" s="1123"/>
      <c r="CP417" s="1123"/>
      <c r="CQ417" s="1123"/>
      <c r="CR417" s="1123"/>
      <c r="CS417" s="1123"/>
      <c r="CT417" s="1123"/>
      <c r="CU417" s="1123"/>
      <c r="CV417" s="1123"/>
      <c r="CW417" s="1123"/>
      <c r="CX417" s="1123"/>
      <c r="CY417" s="1123"/>
      <c r="CZ417" s="1114"/>
      <c r="DA417" s="1114"/>
      <c r="DB417" s="1114"/>
      <c r="DC417" s="1114"/>
      <c r="DD417" s="1114"/>
      <c r="DE417" s="1114"/>
      <c r="DF417" s="1114"/>
      <c r="DG417" s="1114"/>
      <c r="DH417" s="1114"/>
      <c r="DI417" s="1114"/>
      <c r="DJ417" s="1114"/>
      <c r="DK417" s="1114"/>
      <c r="DL417" s="1114"/>
      <c r="DM417" s="1114"/>
      <c r="DN417" s="1114"/>
      <c r="DO417" s="1114"/>
      <c r="DP417" s="1114"/>
      <c r="DQ417" s="1114"/>
      <c r="DR417" s="1114"/>
      <c r="DS417" s="1114"/>
      <c r="DT417" s="1114"/>
      <c r="DU417" s="1114"/>
      <c r="DV417" s="1115"/>
      <c r="DW417" s="1116"/>
      <c r="DX417" s="1116"/>
      <c r="DY417" s="1116"/>
      <c r="DZ417" s="1116"/>
      <c r="EA417" s="1116"/>
      <c r="EB417" s="1116"/>
      <c r="EC417" s="1116"/>
      <c r="ED417" s="1116"/>
      <c r="EE417" s="1116"/>
      <c r="EF417" s="1116"/>
      <c r="EG417" s="1116"/>
      <c r="EH417" s="1116"/>
      <c r="EI417" s="1116"/>
      <c r="EJ417" s="1116"/>
      <c r="EK417" s="1116"/>
      <c r="EL417" s="1116"/>
      <c r="EM417" s="1116"/>
      <c r="EN417" s="1116"/>
      <c r="EO417" s="1116"/>
      <c r="EP417" s="1116"/>
      <c r="EQ417" s="1116"/>
      <c r="ER417" s="1116"/>
      <c r="ES417" s="1116"/>
    </row>
    <row r="418" spans="1:149" ht="15" customHeight="1">
      <c r="A418" s="1185">
        <v>408</v>
      </c>
      <c r="B418" s="1041"/>
      <c r="C418" s="1050"/>
      <c r="D418" s="1050"/>
      <c r="E418" s="1050"/>
      <c r="F418" s="1049"/>
      <c r="G418" s="1049"/>
      <c r="H418" s="1049"/>
      <c r="I418" s="1049"/>
      <c r="J418" s="1050"/>
      <c r="K418" s="1050"/>
      <c r="L418" s="1043"/>
      <c r="M418" s="1051"/>
      <c r="N418" s="1051"/>
      <c r="O418" s="1052"/>
      <c r="P418" s="1051"/>
      <c r="Q418" s="1051"/>
      <c r="R418" s="1052"/>
      <c r="S418" s="1051"/>
      <c r="T418" s="1051"/>
      <c r="U418" s="1052"/>
      <c r="V418" s="1051"/>
      <c r="W418" s="1051"/>
      <c r="X418" s="1052"/>
      <c r="Y418" s="1053"/>
      <c r="Z418" s="1051"/>
      <c r="AA418" s="1051"/>
      <c r="AB418" s="1052"/>
      <c r="AC418" s="1051"/>
      <c r="AD418" s="1051"/>
      <c r="AE418" s="1052"/>
      <c r="AF418" s="1051"/>
      <c r="AG418" s="1051"/>
      <c r="AH418" s="1051"/>
      <c r="AI418" s="1051"/>
      <c r="AJ418" s="1052"/>
      <c r="AK418" s="1051"/>
      <c r="AL418" s="1051"/>
      <c r="AM418" s="1052"/>
      <c r="AN418" s="1051"/>
      <c r="AO418" s="1051"/>
      <c r="AP418" s="1052"/>
      <c r="AQ418" s="1051"/>
      <c r="AR418" s="1051"/>
      <c r="AS418" s="1052"/>
      <c r="AT418" s="1051"/>
      <c r="AU418" s="1051"/>
      <c r="AV418" s="1052"/>
      <c r="AW418" s="1051"/>
      <c r="AX418" s="1051"/>
      <c r="AY418" s="1053"/>
      <c r="AZ418" s="1051"/>
      <c r="BA418" s="1051"/>
      <c r="BB418" s="1053"/>
      <c r="BC418" s="1051"/>
      <c r="BD418" s="1051"/>
      <c r="BE418" s="1053"/>
      <c r="BF418" s="1051"/>
      <c r="BG418" s="1051"/>
      <c r="BH418" s="1053"/>
      <c r="BI418" s="1052"/>
      <c r="BJ418" s="1052"/>
      <c r="BK418" s="1052"/>
      <c r="BL418" s="1052"/>
      <c r="BM418" s="1052"/>
      <c r="BN418" s="1054"/>
      <c r="BO418" s="1076">
        <f t="shared" si="7"/>
        <v>0</v>
      </c>
      <c r="BP418" s="1051"/>
      <c r="BQ418" s="1052"/>
      <c r="BR418" s="1054"/>
      <c r="BS418" s="1053"/>
      <c r="BT418" s="1051"/>
      <c r="BU418" s="1051"/>
      <c r="BV418" s="1051"/>
      <c r="BW418" s="1052"/>
      <c r="BX418" s="1052"/>
      <c r="BY418" s="1052"/>
      <c r="BZ418" s="1052"/>
      <c r="CA418" s="1052"/>
      <c r="CB418" s="1053"/>
      <c r="CC418" s="1053"/>
      <c r="CD418" s="1053"/>
      <c r="CE418" s="1053"/>
      <c r="CF418" s="1053"/>
      <c r="CG418" s="1053"/>
      <c r="CH418" s="1053"/>
      <c r="CI418" s="1123"/>
      <c r="CJ418" s="1123"/>
      <c r="CK418" s="1123"/>
      <c r="CL418" s="1123"/>
      <c r="CM418" s="1123"/>
      <c r="CN418" s="1123"/>
      <c r="CO418" s="1123"/>
      <c r="CP418" s="1123"/>
      <c r="CQ418" s="1123"/>
      <c r="CR418" s="1123"/>
      <c r="CS418" s="1123"/>
      <c r="CT418" s="1123"/>
      <c r="CU418" s="1123"/>
      <c r="CV418" s="1123"/>
      <c r="CW418" s="1123"/>
      <c r="CX418" s="1123"/>
      <c r="CY418" s="1123"/>
      <c r="CZ418" s="1114"/>
      <c r="DA418" s="1114"/>
      <c r="DB418" s="1114"/>
      <c r="DC418" s="1114"/>
      <c r="DD418" s="1114"/>
      <c r="DE418" s="1114"/>
      <c r="DF418" s="1114"/>
      <c r="DG418" s="1114"/>
      <c r="DH418" s="1114"/>
      <c r="DI418" s="1114"/>
      <c r="DJ418" s="1114"/>
      <c r="DK418" s="1114"/>
      <c r="DL418" s="1114"/>
      <c r="DM418" s="1114"/>
      <c r="DN418" s="1114"/>
      <c r="DO418" s="1114"/>
      <c r="DP418" s="1114"/>
      <c r="DQ418" s="1114"/>
      <c r="DR418" s="1114"/>
      <c r="DS418" s="1114"/>
      <c r="DT418" s="1114"/>
      <c r="DU418" s="1114"/>
      <c r="DV418" s="1115"/>
      <c r="DW418" s="1116"/>
      <c r="DX418" s="1116"/>
      <c r="DY418" s="1116"/>
      <c r="DZ418" s="1116"/>
      <c r="EA418" s="1116"/>
      <c r="EB418" s="1116"/>
      <c r="EC418" s="1116"/>
      <c r="ED418" s="1116"/>
      <c r="EE418" s="1116"/>
      <c r="EF418" s="1116"/>
      <c r="EG418" s="1116"/>
      <c r="EH418" s="1116"/>
      <c r="EI418" s="1116"/>
      <c r="EJ418" s="1116"/>
      <c r="EK418" s="1116"/>
      <c r="EL418" s="1116"/>
      <c r="EM418" s="1116"/>
      <c r="EN418" s="1116"/>
      <c r="EO418" s="1116"/>
      <c r="EP418" s="1116"/>
      <c r="EQ418" s="1116"/>
      <c r="ER418" s="1116"/>
      <c r="ES418" s="1116"/>
    </row>
    <row r="419" spans="1:149" ht="15" customHeight="1">
      <c r="A419" s="1185">
        <v>409</v>
      </c>
      <c r="B419" s="1041"/>
      <c r="C419" s="1050"/>
      <c r="D419" s="1050"/>
      <c r="E419" s="1050"/>
      <c r="F419" s="1049"/>
      <c r="G419" s="1049"/>
      <c r="H419" s="1049"/>
      <c r="I419" s="1049"/>
      <c r="J419" s="1050"/>
      <c r="K419" s="1050"/>
      <c r="L419" s="1043"/>
      <c r="M419" s="1051"/>
      <c r="N419" s="1051"/>
      <c r="O419" s="1052"/>
      <c r="P419" s="1051"/>
      <c r="Q419" s="1051"/>
      <c r="R419" s="1052"/>
      <c r="S419" s="1051"/>
      <c r="T419" s="1051"/>
      <c r="U419" s="1052"/>
      <c r="V419" s="1051"/>
      <c r="W419" s="1051"/>
      <c r="X419" s="1052"/>
      <c r="Y419" s="1053"/>
      <c r="Z419" s="1051"/>
      <c r="AA419" s="1051"/>
      <c r="AB419" s="1052"/>
      <c r="AC419" s="1051"/>
      <c r="AD419" s="1051"/>
      <c r="AE419" s="1052"/>
      <c r="AF419" s="1051"/>
      <c r="AG419" s="1051"/>
      <c r="AH419" s="1051"/>
      <c r="AI419" s="1051"/>
      <c r="AJ419" s="1052"/>
      <c r="AK419" s="1051"/>
      <c r="AL419" s="1051"/>
      <c r="AM419" s="1052"/>
      <c r="AN419" s="1051"/>
      <c r="AO419" s="1051"/>
      <c r="AP419" s="1052"/>
      <c r="AQ419" s="1051"/>
      <c r="AR419" s="1051"/>
      <c r="AS419" s="1052"/>
      <c r="AT419" s="1051"/>
      <c r="AU419" s="1051"/>
      <c r="AV419" s="1052"/>
      <c r="AW419" s="1051"/>
      <c r="AX419" s="1051"/>
      <c r="AY419" s="1053"/>
      <c r="AZ419" s="1051"/>
      <c r="BA419" s="1051"/>
      <c r="BB419" s="1053"/>
      <c r="BC419" s="1051"/>
      <c r="BD419" s="1051"/>
      <c r="BE419" s="1053"/>
      <c r="BF419" s="1051"/>
      <c r="BG419" s="1051"/>
      <c r="BH419" s="1053"/>
      <c r="BI419" s="1052"/>
      <c r="BJ419" s="1052"/>
      <c r="BK419" s="1052"/>
      <c r="BL419" s="1052"/>
      <c r="BM419" s="1052"/>
      <c r="BN419" s="1054"/>
      <c r="BO419" s="1076">
        <f t="shared" si="7"/>
        <v>0</v>
      </c>
      <c r="BP419" s="1051"/>
      <c r="BQ419" s="1052"/>
      <c r="BR419" s="1054"/>
      <c r="BS419" s="1053"/>
      <c r="BT419" s="1051"/>
      <c r="BU419" s="1051"/>
      <c r="BV419" s="1051"/>
      <c r="BW419" s="1052"/>
      <c r="BX419" s="1052"/>
      <c r="BY419" s="1052"/>
      <c r="BZ419" s="1052"/>
      <c r="CA419" s="1052"/>
      <c r="CB419" s="1053"/>
      <c r="CC419" s="1053"/>
      <c r="CD419" s="1053"/>
      <c r="CE419" s="1053"/>
      <c r="CF419" s="1053"/>
      <c r="CG419" s="1053"/>
      <c r="CH419" s="1053"/>
      <c r="CI419" s="1123"/>
      <c r="CJ419" s="1123"/>
      <c r="CK419" s="1123"/>
      <c r="CL419" s="1123"/>
      <c r="CM419" s="1123"/>
      <c r="CN419" s="1123"/>
      <c r="CO419" s="1123"/>
      <c r="CP419" s="1123"/>
      <c r="CQ419" s="1123"/>
      <c r="CR419" s="1123"/>
      <c r="CS419" s="1123"/>
      <c r="CT419" s="1123"/>
      <c r="CU419" s="1123"/>
      <c r="CV419" s="1123"/>
      <c r="CW419" s="1123"/>
      <c r="CX419" s="1123"/>
      <c r="CY419" s="1123"/>
      <c r="CZ419" s="1114"/>
      <c r="DA419" s="1114"/>
      <c r="DB419" s="1114"/>
      <c r="DC419" s="1114"/>
      <c r="DD419" s="1114"/>
      <c r="DE419" s="1114"/>
      <c r="DF419" s="1114"/>
      <c r="DG419" s="1114"/>
      <c r="DH419" s="1114"/>
      <c r="DI419" s="1114"/>
      <c r="DJ419" s="1114"/>
      <c r="DK419" s="1114"/>
      <c r="DL419" s="1114"/>
      <c r="DM419" s="1114"/>
      <c r="DN419" s="1114"/>
      <c r="DO419" s="1114"/>
      <c r="DP419" s="1114"/>
      <c r="DQ419" s="1114"/>
      <c r="DR419" s="1114"/>
      <c r="DS419" s="1114"/>
      <c r="DT419" s="1114"/>
      <c r="DU419" s="1114"/>
      <c r="DV419" s="1115"/>
      <c r="DW419" s="1116"/>
      <c r="DX419" s="1116"/>
      <c r="DY419" s="1116"/>
      <c r="DZ419" s="1116"/>
      <c r="EA419" s="1116"/>
      <c r="EB419" s="1116"/>
      <c r="EC419" s="1116"/>
      <c r="ED419" s="1116"/>
      <c r="EE419" s="1116"/>
      <c r="EF419" s="1116"/>
      <c r="EG419" s="1116"/>
      <c r="EH419" s="1116"/>
      <c r="EI419" s="1116"/>
      <c r="EJ419" s="1116"/>
      <c r="EK419" s="1116"/>
      <c r="EL419" s="1116"/>
      <c r="EM419" s="1116"/>
      <c r="EN419" s="1116"/>
      <c r="EO419" s="1116"/>
      <c r="EP419" s="1116"/>
      <c r="EQ419" s="1116"/>
      <c r="ER419" s="1116"/>
      <c r="ES419" s="1116"/>
    </row>
    <row r="420" spans="1:149" ht="15" customHeight="1">
      <c r="A420" s="1185">
        <v>410</v>
      </c>
      <c r="B420" s="1041"/>
      <c r="C420" s="1050"/>
      <c r="D420" s="1050"/>
      <c r="E420" s="1050"/>
      <c r="F420" s="1049"/>
      <c r="G420" s="1049"/>
      <c r="H420" s="1049"/>
      <c r="I420" s="1049"/>
      <c r="J420" s="1050"/>
      <c r="K420" s="1050"/>
      <c r="L420" s="1043"/>
      <c r="M420" s="1051"/>
      <c r="N420" s="1051"/>
      <c r="O420" s="1052"/>
      <c r="P420" s="1051"/>
      <c r="Q420" s="1051"/>
      <c r="R420" s="1052"/>
      <c r="S420" s="1051"/>
      <c r="T420" s="1051"/>
      <c r="U420" s="1052"/>
      <c r="V420" s="1051"/>
      <c r="W420" s="1051"/>
      <c r="X420" s="1052"/>
      <c r="Y420" s="1053"/>
      <c r="Z420" s="1051"/>
      <c r="AA420" s="1051"/>
      <c r="AB420" s="1052"/>
      <c r="AC420" s="1051"/>
      <c r="AD420" s="1051"/>
      <c r="AE420" s="1052"/>
      <c r="AF420" s="1051"/>
      <c r="AG420" s="1051"/>
      <c r="AH420" s="1051"/>
      <c r="AI420" s="1051"/>
      <c r="AJ420" s="1052"/>
      <c r="AK420" s="1051"/>
      <c r="AL420" s="1051"/>
      <c r="AM420" s="1052"/>
      <c r="AN420" s="1051"/>
      <c r="AO420" s="1051"/>
      <c r="AP420" s="1052"/>
      <c r="AQ420" s="1051"/>
      <c r="AR420" s="1051"/>
      <c r="AS420" s="1052"/>
      <c r="AT420" s="1051"/>
      <c r="AU420" s="1051"/>
      <c r="AV420" s="1052"/>
      <c r="AW420" s="1051"/>
      <c r="AX420" s="1051"/>
      <c r="AY420" s="1053"/>
      <c r="AZ420" s="1051"/>
      <c r="BA420" s="1051"/>
      <c r="BB420" s="1053"/>
      <c r="BC420" s="1051"/>
      <c r="BD420" s="1051"/>
      <c r="BE420" s="1053"/>
      <c r="BF420" s="1051"/>
      <c r="BG420" s="1051"/>
      <c r="BH420" s="1053"/>
      <c r="BI420" s="1052"/>
      <c r="BJ420" s="1052"/>
      <c r="BK420" s="1052"/>
      <c r="BL420" s="1052"/>
      <c r="BM420" s="1052"/>
      <c r="BN420" s="1054"/>
      <c r="BO420" s="1076">
        <f t="shared" si="7"/>
        <v>0</v>
      </c>
      <c r="BP420" s="1051"/>
      <c r="BQ420" s="1052"/>
      <c r="BR420" s="1054"/>
      <c r="BS420" s="1053"/>
      <c r="BT420" s="1051"/>
      <c r="BU420" s="1051"/>
      <c r="BV420" s="1051"/>
      <c r="BW420" s="1052"/>
      <c r="BX420" s="1052"/>
      <c r="BY420" s="1052"/>
      <c r="BZ420" s="1052"/>
      <c r="CA420" s="1052"/>
      <c r="CB420" s="1053"/>
      <c r="CC420" s="1053"/>
      <c r="CD420" s="1053"/>
      <c r="CE420" s="1053"/>
      <c r="CF420" s="1053"/>
      <c r="CG420" s="1053"/>
      <c r="CH420" s="1053"/>
      <c r="CI420" s="1123"/>
      <c r="CJ420" s="1123"/>
      <c r="CK420" s="1123"/>
      <c r="CL420" s="1123"/>
      <c r="CM420" s="1123"/>
      <c r="CN420" s="1123"/>
      <c r="CO420" s="1123"/>
      <c r="CP420" s="1123"/>
      <c r="CQ420" s="1123"/>
      <c r="CR420" s="1123"/>
      <c r="CS420" s="1123"/>
      <c r="CT420" s="1123"/>
      <c r="CU420" s="1123"/>
      <c r="CV420" s="1123"/>
      <c r="CW420" s="1123"/>
      <c r="CX420" s="1123"/>
      <c r="CY420" s="1123"/>
      <c r="CZ420" s="1114"/>
      <c r="DA420" s="1114"/>
      <c r="DB420" s="1114"/>
      <c r="DC420" s="1114"/>
      <c r="DD420" s="1114"/>
      <c r="DE420" s="1114"/>
      <c r="DF420" s="1114"/>
      <c r="DG420" s="1114"/>
      <c r="DH420" s="1114"/>
      <c r="DI420" s="1114"/>
      <c r="DJ420" s="1114"/>
      <c r="DK420" s="1114"/>
      <c r="DL420" s="1114"/>
      <c r="DM420" s="1114"/>
      <c r="DN420" s="1114"/>
      <c r="DO420" s="1114"/>
      <c r="DP420" s="1114"/>
      <c r="DQ420" s="1114"/>
      <c r="DR420" s="1114"/>
      <c r="DS420" s="1114"/>
      <c r="DT420" s="1114"/>
      <c r="DU420" s="1114"/>
      <c r="DV420" s="1115"/>
      <c r="DW420" s="1116"/>
      <c r="DX420" s="1116"/>
      <c r="DY420" s="1116"/>
      <c r="DZ420" s="1116"/>
      <c r="EA420" s="1116"/>
      <c r="EB420" s="1116"/>
      <c r="EC420" s="1116"/>
      <c r="ED420" s="1116"/>
      <c r="EE420" s="1116"/>
      <c r="EF420" s="1116"/>
      <c r="EG420" s="1116"/>
      <c r="EH420" s="1116"/>
      <c r="EI420" s="1116"/>
      <c r="EJ420" s="1116"/>
      <c r="EK420" s="1116"/>
      <c r="EL420" s="1116"/>
      <c r="EM420" s="1116"/>
      <c r="EN420" s="1116"/>
      <c r="EO420" s="1116"/>
      <c r="EP420" s="1116"/>
      <c r="EQ420" s="1116"/>
      <c r="ER420" s="1116"/>
      <c r="ES420" s="1116"/>
    </row>
    <row r="421" spans="1:149" ht="15" customHeight="1">
      <c r="A421" s="1185">
        <v>411</v>
      </c>
      <c r="B421" s="1041"/>
      <c r="C421" s="1050"/>
      <c r="D421" s="1050"/>
      <c r="E421" s="1050"/>
      <c r="F421" s="1049"/>
      <c r="G421" s="1049"/>
      <c r="H421" s="1049"/>
      <c r="I421" s="1049"/>
      <c r="J421" s="1050"/>
      <c r="K421" s="1050"/>
      <c r="L421" s="1043"/>
      <c r="M421" s="1051"/>
      <c r="N421" s="1051"/>
      <c r="O421" s="1052"/>
      <c r="P421" s="1051"/>
      <c r="Q421" s="1051"/>
      <c r="R421" s="1052"/>
      <c r="S421" s="1051"/>
      <c r="T421" s="1051"/>
      <c r="U421" s="1052"/>
      <c r="V421" s="1051"/>
      <c r="W421" s="1051"/>
      <c r="X421" s="1052"/>
      <c r="Y421" s="1053"/>
      <c r="Z421" s="1051"/>
      <c r="AA421" s="1051"/>
      <c r="AB421" s="1052"/>
      <c r="AC421" s="1051"/>
      <c r="AD421" s="1051"/>
      <c r="AE421" s="1052"/>
      <c r="AF421" s="1051"/>
      <c r="AG421" s="1051"/>
      <c r="AH421" s="1051"/>
      <c r="AI421" s="1051"/>
      <c r="AJ421" s="1052"/>
      <c r="AK421" s="1051"/>
      <c r="AL421" s="1051"/>
      <c r="AM421" s="1052"/>
      <c r="AN421" s="1051"/>
      <c r="AO421" s="1051"/>
      <c r="AP421" s="1052"/>
      <c r="AQ421" s="1051"/>
      <c r="AR421" s="1051"/>
      <c r="AS421" s="1052"/>
      <c r="AT421" s="1051"/>
      <c r="AU421" s="1051"/>
      <c r="AV421" s="1052"/>
      <c r="AW421" s="1051"/>
      <c r="AX421" s="1051"/>
      <c r="AY421" s="1053"/>
      <c r="AZ421" s="1051"/>
      <c r="BA421" s="1051"/>
      <c r="BB421" s="1053"/>
      <c r="BC421" s="1051"/>
      <c r="BD421" s="1051"/>
      <c r="BE421" s="1053"/>
      <c r="BF421" s="1051"/>
      <c r="BG421" s="1051"/>
      <c r="BH421" s="1053"/>
      <c r="BI421" s="1052"/>
      <c r="BJ421" s="1052"/>
      <c r="BK421" s="1052"/>
      <c r="BL421" s="1052"/>
      <c r="BM421" s="1052"/>
      <c r="BN421" s="1054"/>
      <c r="BO421" s="1076">
        <f t="shared" si="7"/>
        <v>0</v>
      </c>
      <c r="BP421" s="1051"/>
      <c r="BQ421" s="1052"/>
      <c r="BR421" s="1054"/>
      <c r="BS421" s="1053"/>
      <c r="BT421" s="1051"/>
      <c r="BU421" s="1051"/>
      <c r="BV421" s="1051"/>
      <c r="BW421" s="1052"/>
      <c r="BX421" s="1052"/>
      <c r="BY421" s="1052"/>
      <c r="BZ421" s="1052"/>
      <c r="CA421" s="1052"/>
      <c r="CB421" s="1053"/>
      <c r="CC421" s="1053"/>
      <c r="CD421" s="1053"/>
      <c r="CE421" s="1053"/>
      <c r="CF421" s="1053"/>
      <c r="CG421" s="1053"/>
      <c r="CH421" s="1053"/>
      <c r="CI421" s="1123"/>
      <c r="CJ421" s="1123"/>
      <c r="CK421" s="1123"/>
      <c r="CL421" s="1123"/>
      <c r="CM421" s="1123"/>
      <c r="CN421" s="1123"/>
      <c r="CO421" s="1123"/>
      <c r="CP421" s="1123"/>
      <c r="CQ421" s="1123"/>
      <c r="CR421" s="1123"/>
      <c r="CS421" s="1123"/>
      <c r="CT421" s="1123"/>
      <c r="CU421" s="1123"/>
      <c r="CV421" s="1123"/>
      <c r="CW421" s="1123"/>
      <c r="CX421" s="1123"/>
      <c r="CY421" s="1123"/>
      <c r="CZ421" s="1114"/>
      <c r="DA421" s="1114"/>
      <c r="DB421" s="1114"/>
      <c r="DC421" s="1114"/>
      <c r="DD421" s="1114"/>
      <c r="DE421" s="1114"/>
      <c r="DF421" s="1114"/>
      <c r="DG421" s="1114"/>
      <c r="DH421" s="1114"/>
      <c r="DI421" s="1114"/>
      <c r="DJ421" s="1114"/>
      <c r="DK421" s="1114"/>
      <c r="DL421" s="1114"/>
      <c r="DM421" s="1114"/>
      <c r="DN421" s="1114"/>
      <c r="DO421" s="1114"/>
      <c r="DP421" s="1114"/>
      <c r="DQ421" s="1114"/>
      <c r="DR421" s="1114"/>
      <c r="DS421" s="1114"/>
      <c r="DT421" s="1114"/>
      <c r="DU421" s="1114"/>
      <c r="DV421" s="1115"/>
      <c r="DW421" s="1116"/>
      <c r="DX421" s="1116"/>
      <c r="DY421" s="1116"/>
      <c r="DZ421" s="1116"/>
      <c r="EA421" s="1116"/>
      <c r="EB421" s="1116"/>
      <c r="EC421" s="1116"/>
      <c r="ED421" s="1116"/>
      <c r="EE421" s="1116"/>
      <c r="EF421" s="1116"/>
      <c r="EG421" s="1116"/>
      <c r="EH421" s="1116"/>
      <c r="EI421" s="1116"/>
      <c r="EJ421" s="1116"/>
      <c r="EK421" s="1116"/>
      <c r="EL421" s="1116"/>
      <c r="EM421" s="1116"/>
      <c r="EN421" s="1116"/>
      <c r="EO421" s="1116"/>
      <c r="EP421" s="1116"/>
      <c r="EQ421" s="1116"/>
      <c r="ER421" s="1116"/>
      <c r="ES421" s="1116"/>
    </row>
    <row r="422" spans="1:149" ht="15" customHeight="1">
      <c r="A422" s="1185">
        <v>412</v>
      </c>
      <c r="B422" s="1041"/>
      <c r="C422" s="1050"/>
      <c r="D422" s="1050"/>
      <c r="E422" s="1050"/>
      <c r="F422" s="1049"/>
      <c r="G422" s="1049"/>
      <c r="H422" s="1049"/>
      <c r="I422" s="1049"/>
      <c r="J422" s="1050"/>
      <c r="K422" s="1050"/>
      <c r="L422" s="1043"/>
      <c r="M422" s="1051"/>
      <c r="N422" s="1051"/>
      <c r="O422" s="1052"/>
      <c r="P422" s="1051"/>
      <c r="Q422" s="1051"/>
      <c r="R422" s="1052"/>
      <c r="S422" s="1051"/>
      <c r="T422" s="1051"/>
      <c r="U422" s="1052"/>
      <c r="V422" s="1051"/>
      <c r="W422" s="1051"/>
      <c r="X422" s="1052"/>
      <c r="Y422" s="1053"/>
      <c r="Z422" s="1051"/>
      <c r="AA422" s="1051"/>
      <c r="AB422" s="1052"/>
      <c r="AC422" s="1051"/>
      <c r="AD422" s="1051"/>
      <c r="AE422" s="1052"/>
      <c r="AF422" s="1051"/>
      <c r="AG422" s="1051"/>
      <c r="AH422" s="1051"/>
      <c r="AI422" s="1051"/>
      <c r="AJ422" s="1052"/>
      <c r="AK422" s="1051"/>
      <c r="AL422" s="1051"/>
      <c r="AM422" s="1052"/>
      <c r="AN422" s="1051"/>
      <c r="AO422" s="1051"/>
      <c r="AP422" s="1052"/>
      <c r="AQ422" s="1051"/>
      <c r="AR422" s="1051"/>
      <c r="AS422" s="1052"/>
      <c r="AT422" s="1051"/>
      <c r="AU422" s="1051"/>
      <c r="AV422" s="1052"/>
      <c r="AW422" s="1051"/>
      <c r="AX422" s="1051"/>
      <c r="AY422" s="1053"/>
      <c r="AZ422" s="1051"/>
      <c r="BA422" s="1051"/>
      <c r="BB422" s="1053"/>
      <c r="BC422" s="1051"/>
      <c r="BD422" s="1051"/>
      <c r="BE422" s="1053"/>
      <c r="BF422" s="1051"/>
      <c r="BG422" s="1051"/>
      <c r="BH422" s="1053"/>
      <c r="BI422" s="1052"/>
      <c r="BJ422" s="1052"/>
      <c r="BK422" s="1052"/>
      <c r="BL422" s="1052"/>
      <c r="BM422" s="1052"/>
      <c r="BN422" s="1054"/>
      <c r="BO422" s="1076">
        <f t="shared" si="7"/>
        <v>0</v>
      </c>
      <c r="BP422" s="1051"/>
      <c r="BQ422" s="1052"/>
      <c r="BR422" s="1054"/>
      <c r="BS422" s="1053"/>
      <c r="BT422" s="1051"/>
      <c r="BU422" s="1051"/>
      <c r="BV422" s="1051"/>
      <c r="BW422" s="1052"/>
      <c r="BX422" s="1052"/>
      <c r="BY422" s="1052"/>
      <c r="BZ422" s="1052"/>
      <c r="CA422" s="1052"/>
      <c r="CB422" s="1053"/>
      <c r="CC422" s="1053"/>
      <c r="CD422" s="1053"/>
      <c r="CE422" s="1053"/>
      <c r="CF422" s="1053"/>
      <c r="CG422" s="1053"/>
      <c r="CH422" s="1053"/>
      <c r="CI422" s="1123"/>
      <c r="CJ422" s="1123"/>
      <c r="CK422" s="1123"/>
      <c r="CL422" s="1123"/>
      <c r="CM422" s="1123"/>
      <c r="CN422" s="1123"/>
      <c r="CO422" s="1123"/>
      <c r="CP422" s="1123"/>
      <c r="CQ422" s="1123"/>
      <c r="CR422" s="1123"/>
      <c r="CS422" s="1123"/>
      <c r="CT422" s="1123"/>
      <c r="CU422" s="1123"/>
      <c r="CV422" s="1123"/>
      <c r="CW422" s="1123"/>
      <c r="CX422" s="1123"/>
      <c r="CY422" s="1123"/>
      <c r="CZ422" s="1114"/>
      <c r="DA422" s="1114"/>
      <c r="DB422" s="1114"/>
      <c r="DC422" s="1114"/>
      <c r="DD422" s="1114"/>
      <c r="DE422" s="1114"/>
      <c r="DF422" s="1114"/>
      <c r="DG422" s="1114"/>
      <c r="DH422" s="1114"/>
      <c r="DI422" s="1114"/>
      <c r="DJ422" s="1114"/>
      <c r="DK422" s="1114"/>
      <c r="DL422" s="1114"/>
      <c r="DM422" s="1114"/>
      <c r="DN422" s="1114"/>
      <c r="DO422" s="1114"/>
      <c r="DP422" s="1114"/>
      <c r="DQ422" s="1114"/>
      <c r="DR422" s="1114"/>
      <c r="DS422" s="1114"/>
      <c r="DT422" s="1114"/>
      <c r="DU422" s="1114"/>
      <c r="DV422" s="1115"/>
      <c r="DW422" s="1116"/>
      <c r="DX422" s="1116"/>
      <c r="DY422" s="1116"/>
      <c r="DZ422" s="1116"/>
      <c r="EA422" s="1116"/>
      <c r="EB422" s="1116"/>
      <c r="EC422" s="1116"/>
      <c r="ED422" s="1116"/>
      <c r="EE422" s="1116"/>
      <c r="EF422" s="1116"/>
      <c r="EG422" s="1116"/>
      <c r="EH422" s="1116"/>
      <c r="EI422" s="1116"/>
      <c r="EJ422" s="1116"/>
      <c r="EK422" s="1116"/>
      <c r="EL422" s="1116"/>
      <c r="EM422" s="1116"/>
      <c r="EN422" s="1116"/>
      <c r="EO422" s="1116"/>
      <c r="EP422" s="1116"/>
      <c r="EQ422" s="1116"/>
      <c r="ER422" s="1116"/>
      <c r="ES422" s="1116"/>
    </row>
    <row r="423" spans="1:149" ht="15" customHeight="1">
      <c r="A423" s="1185">
        <v>413</v>
      </c>
      <c r="B423" s="1041"/>
      <c r="C423" s="1050"/>
      <c r="D423" s="1050"/>
      <c r="E423" s="1050"/>
      <c r="F423" s="1049"/>
      <c r="G423" s="1049"/>
      <c r="H423" s="1049"/>
      <c r="I423" s="1049"/>
      <c r="J423" s="1050"/>
      <c r="K423" s="1050"/>
      <c r="L423" s="1043"/>
      <c r="M423" s="1051"/>
      <c r="N423" s="1051"/>
      <c r="O423" s="1052"/>
      <c r="P423" s="1051"/>
      <c r="Q423" s="1051"/>
      <c r="R423" s="1052"/>
      <c r="S423" s="1051"/>
      <c r="T423" s="1051"/>
      <c r="U423" s="1052"/>
      <c r="V423" s="1051"/>
      <c r="W423" s="1051"/>
      <c r="X423" s="1052"/>
      <c r="Y423" s="1053"/>
      <c r="Z423" s="1051"/>
      <c r="AA423" s="1051"/>
      <c r="AB423" s="1052"/>
      <c r="AC423" s="1051"/>
      <c r="AD423" s="1051"/>
      <c r="AE423" s="1052"/>
      <c r="AF423" s="1051"/>
      <c r="AG423" s="1051"/>
      <c r="AH423" s="1051"/>
      <c r="AI423" s="1051"/>
      <c r="AJ423" s="1052"/>
      <c r="AK423" s="1051"/>
      <c r="AL423" s="1051"/>
      <c r="AM423" s="1052"/>
      <c r="AN423" s="1051"/>
      <c r="AO423" s="1051"/>
      <c r="AP423" s="1052"/>
      <c r="AQ423" s="1051"/>
      <c r="AR423" s="1051"/>
      <c r="AS423" s="1052"/>
      <c r="AT423" s="1051"/>
      <c r="AU423" s="1051"/>
      <c r="AV423" s="1052"/>
      <c r="AW423" s="1051"/>
      <c r="AX423" s="1051"/>
      <c r="AY423" s="1053"/>
      <c r="AZ423" s="1051"/>
      <c r="BA423" s="1051"/>
      <c r="BB423" s="1053"/>
      <c r="BC423" s="1051"/>
      <c r="BD423" s="1051"/>
      <c r="BE423" s="1053"/>
      <c r="BF423" s="1051"/>
      <c r="BG423" s="1051"/>
      <c r="BH423" s="1053"/>
      <c r="BI423" s="1052"/>
      <c r="BJ423" s="1052"/>
      <c r="BK423" s="1052"/>
      <c r="BL423" s="1052"/>
      <c r="BM423" s="1052"/>
      <c r="BN423" s="1054"/>
      <c r="BO423" s="1076">
        <f t="shared" si="7"/>
        <v>0</v>
      </c>
      <c r="BP423" s="1051"/>
      <c r="BQ423" s="1052"/>
      <c r="BR423" s="1054"/>
      <c r="BS423" s="1053"/>
      <c r="BT423" s="1051"/>
      <c r="BU423" s="1051"/>
      <c r="BV423" s="1051"/>
      <c r="BW423" s="1052"/>
      <c r="BX423" s="1052"/>
      <c r="BY423" s="1052"/>
      <c r="BZ423" s="1052"/>
      <c r="CA423" s="1052"/>
      <c r="CB423" s="1053"/>
      <c r="CC423" s="1053"/>
      <c r="CD423" s="1053"/>
      <c r="CE423" s="1053"/>
      <c r="CF423" s="1053"/>
      <c r="CG423" s="1053"/>
      <c r="CH423" s="1053"/>
      <c r="CI423" s="1123"/>
      <c r="CJ423" s="1123"/>
      <c r="CK423" s="1123"/>
      <c r="CL423" s="1123"/>
      <c r="CM423" s="1123"/>
      <c r="CN423" s="1123"/>
      <c r="CO423" s="1123"/>
      <c r="CP423" s="1123"/>
      <c r="CQ423" s="1123"/>
      <c r="CR423" s="1123"/>
      <c r="CS423" s="1123"/>
      <c r="CT423" s="1123"/>
      <c r="CU423" s="1123"/>
      <c r="CV423" s="1123"/>
      <c r="CW423" s="1123"/>
      <c r="CX423" s="1123"/>
      <c r="CY423" s="1123"/>
      <c r="CZ423" s="1114"/>
      <c r="DA423" s="1114"/>
      <c r="DB423" s="1114"/>
      <c r="DC423" s="1114"/>
      <c r="DD423" s="1114"/>
      <c r="DE423" s="1114"/>
      <c r="DF423" s="1114"/>
      <c r="DG423" s="1114"/>
      <c r="DH423" s="1114"/>
      <c r="DI423" s="1114"/>
      <c r="DJ423" s="1114"/>
      <c r="DK423" s="1114"/>
      <c r="DL423" s="1114"/>
      <c r="DM423" s="1114"/>
      <c r="DN423" s="1114"/>
      <c r="DO423" s="1114"/>
      <c r="DP423" s="1114"/>
      <c r="DQ423" s="1114"/>
      <c r="DR423" s="1114"/>
      <c r="DS423" s="1114"/>
      <c r="DT423" s="1114"/>
      <c r="DU423" s="1114"/>
      <c r="DV423" s="1115"/>
      <c r="DW423" s="1116"/>
      <c r="DX423" s="1116"/>
      <c r="DY423" s="1116"/>
      <c r="DZ423" s="1116"/>
      <c r="EA423" s="1116"/>
      <c r="EB423" s="1116"/>
      <c r="EC423" s="1116"/>
      <c r="ED423" s="1116"/>
      <c r="EE423" s="1116"/>
      <c r="EF423" s="1116"/>
      <c r="EG423" s="1116"/>
      <c r="EH423" s="1116"/>
      <c r="EI423" s="1116"/>
      <c r="EJ423" s="1116"/>
      <c r="EK423" s="1116"/>
      <c r="EL423" s="1116"/>
      <c r="EM423" s="1116"/>
      <c r="EN423" s="1116"/>
      <c r="EO423" s="1116"/>
      <c r="EP423" s="1116"/>
      <c r="EQ423" s="1116"/>
      <c r="ER423" s="1116"/>
      <c r="ES423" s="1116"/>
    </row>
    <row r="424" spans="1:149" ht="15" customHeight="1">
      <c r="A424" s="1185">
        <v>414</v>
      </c>
      <c r="B424" s="1041"/>
      <c r="C424" s="1050"/>
      <c r="D424" s="1050"/>
      <c r="E424" s="1050"/>
      <c r="F424" s="1049"/>
      <c r="G424" s="1049"/>
      <c r="H424" s="1049"/>
      <c r="I424" s="1049"/>
      <c r="J424" s="1050"/>
      <c r="K424" s="1050"/>
      <c r="L424" s="1043"/>
      <c r="M424" s="1051"/>
      <c r="N424" s="1051"/>
      <c r="O424" s="1052"/>
      <c r="P424" s="1051"/>
      <c r="Q424" s="1051"/>
      <c r="R424" s="1052"/>
      <c r="S424" s="1051"/>
      <c r="T424" s="1051"/>
      <c r="U424" s="1052"/>
      <c r="V424" s="1051"/>
      <c r="W424" s="1051"/>
      <c r="X424" s="1052"/>
      <c r="Y424" s="1053"/>
      <c r="Z424" s="1051"/>
      <c r="AA424" s="1051"/>
      <c r="AB424" s="1052"/>
      <c r="AC424" s="1051"/>
      <c r="AD424" s="1051"/>
      <c r="AE424" s="1052"/>
      <c r="AF424" s="1051"/>
      <c r="AG424" s="1051"/>
      <c r="AH424" s="1051"/>
      <c r="AI424" s="1051"/>
      <c r="AJ424" s="1052"/>
      <c r="AK424" s="1051"/>
      <c r="AL424" s="1051"/>
      <c r="AM424" s="1052"/>
      <c r="AN424" s="1051"/>
      <c r="AO424" s="1051"/>
      <c r="AP424" s="1052"/>
      <c r="AQ424" s="1051"/>
      <c r="AR424" s="1051"/>
      <c r="AS424" s="1052"/>
      <c r="AT424" s="1051"/>
      <c r="AU424" s="1051"/>
      <c r="AV424" s="1052"/>
      <c r="AW424" s="1051"/>
      <c r="AX424" s="1051"/>
      <c r="AY424" s="1053"/>
      <c r="AZ424" s="1051"/>
      <c r="BA424" s="1051"/>
      <c r="BB424" s="1053"/>
      <c r="BC424" s="1051"/>
      <c r="BD424" s="1051"/>
      <c r="BE424" s="1053"/>
      <c r="BF424" s="1051"/>
      <c r="BG424" s="1051"/>
      <c r="BH424" s="1053"/>
      <c r="BI424" s="1052"/>
      <c r="BJ424" s="1052"/>
      <c r="BK424" s="1052"/>
      <c r="BL424" s="1052"/>
      <c r="BM424" s="1052"/>
      <c r="BN424" s="1054"/>
      <c r="BO424" s="1076">
        <f t="shared" si="7"/>
        <v>0</v>
      </c>
      <c r="BP424" s="1051"/>
      <c r="BQ424" s="1052"/>
      <c r="BR424" s="1054"/>
      <c r="BS424" s="1053"/>
      <c r="BT424" s="1051"/>
      <c r="BU424" s="1051"/>
      <c r="BV424" s="1051"/>
      <c r="BW424" s="1052"/>
      <c r="BX424" s="1052"/>
      <c r="BY424" s="1052"/>
      <c r="BZ424" s="1052"/>
      <c r="CA424" s="1052"/>
      <c r="CB424" s="1053"/>
      <c r="CC424" s="1053"/>
      <c r="CD424" s="1053"/>
      <c r="CE424" s="1053"/>
      <c r="CF424" s="1053"/>
      <c r="CG424" s="1053"/>
      <c r="CH424" s="1053"/>
      <c r="CI424" s="1123"/>
      <c r="CJ424" s="1123"/>
      <c r="CK424" s="1123"/>
      <c r="CL424" s="1123"/>
      <c r="CM424" s="1123"/>
      <c r="CN424" s="1123"/>
      <c r="CO424" s="1123"/>
      <c r="CP424" s="1123"/>
      <c r="CQ424" s="1123"/>
      <c r="CR424" s="1123"/>
      <c r="CS424" s="1123"/>
      <c r="CT424" s="1123"/>
      <c r="CU424" s="1123"/>
      <c r="CV424" s="1123"/>
      <c r="CW424" s="1123"/>
      <c r="CX424" s="1123"/>
      <c r="CY424" s="1123"/>
      <c r="CZ424" s="1114"/>
      <c r="DA424" s="1114"/>
      <c r="DB424" s="1114"/>
      <c r="DC424" s="1114"/>
      <c r="DD424" s="1114"/>
      <c r="DE424" s="1114"/>
      <c r="DF424" s="1114"/>
      <c r="DG424" s="1114"/>
      <c r="DH424" s="1114"/>
      <c r="DI424" s="1114"/>
      <c r="DJ424" s="1114"/>
      <c r="DK424" s="1114"/>
      <c r="DL424" s="1114"/>
      <c r="DM424" s="1114"/>
      <c r="DN424" s="1114"/>
      <c r="DO424" s="1114"/>
      <c r="DP424" s="1114"/>
      <c r="DQ424" s="1114"/>
      <c r="DR424" s="1114"/>
      <c r="DS424" s="1114"/>
      <c r="DT424" s="1114"/>
      <c r="DU424" s="1114"/>
      <c r="DV424" s="1115"/>
      <c r="DW424" s="1116"/>
      <c r="DX424" s="1116"/>
      <c r="DY424" s="1116"/>
      <c r="DZ424" s="1116"/>
      <c r="EA424" s="1116"/>
      <c r="EB424" s="1116"/>
      <c r="EC424" s="1116"/>
      <c r="ED424" s="1116"/>
      <c r="EE424" s="1116"/>
      <c r="EF424" s="1116"/>
      <c r="EG424" s="1116"/>
      <c r="EH424" s="1116"/>
      <c r="EI424" s="1116"/>
      <c r="EJ424" s="1116"/>
      <c r="EK424" s="1116"/>
      <c r="EL424" s="1116"/>
      <c r="EM424" s="1116"/>
      <c r="EN424" s="1116"/>
      <c r="EO424" s="1116"/>
      <c r="EP424" s="1116"/>
      <c r="EQ424" s="1116"/>
      <c r="ER424" s="1116"/>
      <c r="ES424" s="1116"/>
    </row>
    <row r="425" spans="1:149" ht="15" customHeight="1">
      <c r="A425" s="1185">
        <v>415</v>
      </c>
      <c r="B425" s="1041"/>
      <c r="C425" s="1050"/>
      <c r="D425" s="1050"/>
      <c r="E425" s="1050"/>
      <c r="F425" s="1049"/>
      <c r="G425" s="1049"/>
      <c r="H425" s="1049"/>
      <c r="I425" s="1049"/>
      <c r="J425" s="1050"/>
      <c r="K425" s="1050"/>
      <c r="L425" s="1043"/>
      <c r="M425" s="1051"/>
      <c r="N425" s="1051"/>
      <c r="O425" s="1052"/>
      <c r="P425" s="1051"/>
      <c r="Q425" s="1051"/>
      <c r="R425" s="1052"/>
      <c r="S425" s="1051"/>
      <c r="T425" s="1051"/>
      <c r="U425" s="1052"/>
      <c r="V425" s="1051"/>
      <c r="W425" s="1051"/>
      <c r="X425" s="1052"/>
      <c r="Y425" s="1053"/>
      <c r="Z425" s="1051"/>
      <c r="AA425" s="1051"/>
      <c r="AB425" s="1052"/>
      <c r="AC425" s="1051"/>
      <c r="AD425" s="1051"/>
      <c r="AE425" s="1052"/>
      <c r="AF425" s="1051"/>
      <c r="AG425" s="1051"/>
      <c r="AH425" s="1051"/>
      <c r="AI425" s="1051"/>
      <c r="AJ425" s="1052"/>
      <c r="AK425" s="1051"/>
      <c r="AL425" s="1051"/>
      <c r="AM425" s="1052"/>
      <c r="AN425" s="1051"/>
      <c r="AO425" s="1051"/>
      <c r="AP425" s="1052"/>
      <c r="AQ425" s="1051"/>
      <c r="AR425" s="1051"/>
      <c r="AS425" s="1052"/>
      <c r="AT425" s="1051"/>
      <c r="AU425" s="1051"/>
      <c r="AV425" s="1052"/>
      <c r="AW425" s="1051"/>
      <c r="AX425" s="1051"/>
      <c r="AY425" s="1053"/>
      <c r="AZ425" s="1051"/>
      <c r="BA425" s="1051"/>
      <c r="BB425" s="1053"/>
      <c r="BC425" s="1051"/>
      <c r="BD425" s="1051"/>
      <c r="BE425" s="1053"/>
      <c r="BF425" s="1051"/>
      <c r="BG425" s="1051"/>
      <c r="BH425" s="1053"/>
      <c r="BI425" s="1052"/>
      <c r="BJ425" s="1052"/>
      <c r="BK425" s="1052"/>
      <c r="BL425" s="1052"/>
      <c r="BM425" s="1052"/>
      <c r="BN425" s="1054"/>
      <c r="BO425" s="1076">
        <f t="shared" si="7"/>
        <v>0</v>
      </c>
      <c r="BP425" s="1051"/>
      <c r="BQ425" s="1052"/>
      <c r="BR425" s="1054"/>
      <c r="BS425" s="1053"/>
      <c r="BT425" s="1051"/>
      <c r="BU425" s="1051"/>
      <c r="BV425" s="1051"/>
      <c r="BW425" s="1052"/>
      <c r="BX425" s="1052"/>
      <c r="BY425" s="1052"/>
      <c r="BZ425" s="1052"/>
      <c r="CA425" s="1052"/>
      <c r="CB425" s="1053"/>
      <c r="CC425" s="1053"/>
      <c r="CD425" s="1053"/>
      <c r="CE425" s="1053"/>
      <c r="CF425" s="1053"/>
      <c r="CG425" s="1053"/>
      <c r="CH425" s="1053"/>
      <c r="CI425" s="1123"/>
      <c r="CJ425" s="1123"/>
      <c r="CK425" s="1123"/>
      <c r="CL425" s="1123"/>
      <c r="CM425" s="1123"/>
      <c r="CN425" s="1123"/>
      <c r="CO425" s="1123"/>
      <c r="CP425" s="1123"/>
      <c r="CQ425" s="1123"/>
      <c r="CR425" s="1123"/>
      <c r="CS425" s="1123"/>
      <c r="CT425" s="1123"/>
      <c r="CU425" s="1123"/>
      <c r="CV425" s="1123"/>
      <c r="CW425" s="1123"/>
      <c r="CX425" s="1123"/>
      <c r="CY425" s="1123"/>
      <c r="CZ425" s="1114"/>
      <c r="DA425" s="1114"/>
      <c r="DB425" s="1114"/>
      <c r="DC425" s="1114"/>
      <c r="DD425" s="1114"/>
      <c r="DE425" s="1114"/>
      <c r="DF425" s="1114"/>
      <c r="DG425" s="1114"/>
      <c r="DH425" s="1114"/>
      <c r="DI425" s="1114"/>
      <c r="DJ425" s="1114"/>
      <c r="DK425" s="1114"/>
      <c r="DL425" s="1114"/>
      <c r="DM425" s="1114"/>
      <c r="DN425" s="1114"/>
      <c r="DO425" s="1114"/>
      <c r="DP425" s="1114"/>
      <c r="DQ425" s="1114"/>
      <c r="DR425" s="1114"/>
      <c r="DS425" s="1114"/>
      <c r="DT425" s="1114"/>
      <c r="DU425" s="1114"/>
      <c r="DV425" s="1115"/>
      <c r="DW425" s="1116"/>
      <c r="DX425" s="1116"/>
      <c r="DY425" s="1116"/>
      <c r="DZ425" s="1116"/>
      <c r="EA425" s="1116"/>
      <c r="EB425" s="1116"/>
      <c r="EC425" s="1116"/>
      <c r="ED425" s="1116"/>
      <c r="EE425" s="1116"/>
      <c r="EF425" s="1116"/>
      <c r="EG425" s="1116"/>
      <c r="EH425" s="1116"/>
      <c r="EI425" s="1116"/>
      <c r="EJ425" s="1116"/>
      <c r="EK425" s="1116"/>
      <c r="EL425" s="1116"/>
      <c r="EM425" s="1116"/>
      <c r="EN425" s="1116"/>
      <c r="EO425" s="1116"/>
      <c r="EP425" s="1116"/>
      <c r="EQ425" s="1116"/>
      <c r="ER425" s="1116"/>
      <c r="ES425" s="1116"/>
    </row>
    <row r="426" spans="1:149" ht="15" customHeight="1">
      <c r="A426" s="1185">
        <v>416</v>
      </c>
      <c r="B426" s="1041"/>
      <c r="C426" s="1050"/>
      <c r="D426" s="1050"/>
      <c r="E426" s="1050"/>
      <c r="F426" s="1049"/>
      <c r="G426" s="1049"/>
      <c r="H426" s="1049"/>
      <c r="I426" s="1049"/>
      <c r="J426" s="1050"/>
      <c r="K426" s="1050"/>
      <c r="L426" s="1043"/>
      <c r="M426" s="1051"/>
      <c r="N426" s="1051"/>
      <c r="O426" s="1052"/>
      <c r="P426" s="1051"/>
      <c r="Q426" s="1051"/>
      <c r="R426" s="1052"/>
      <c r="S426" s="1051"/>
      <c r="T426" s="1051"/>
      <c r="U426" s="1052"/>
      <c r="V426" s="1051"/>
      <c r="W426" s="1051"/>
      <c r="X426" s="1052"/>
      <c r="Y426" s="1053"/>
      <c r="Z426" s="1051"/>
      <c r="AA426" s="1051"/>
      <c r="AB426" s="1052"/>
      <c r="AC426" s="1051"/>
      <c r="AD426" s="1051"/>
      <c r="AE426" s="1052"/>
      <c r="AF426" s="1051"/>
      <c r="AG426" s="1051"/>
      <c r="AH426" s="1051"/>
      <c r="AI426" s="1051"/>
      <c r="AJ426" s="1052"/>
      <c r="AK426" s="1051"/>
      <c r="AL426" s="1051"/>
      <c r="AM426" s="1052"/>
      <c r="AN426" s="1051"/>
      <c r="AO426" s="1051"/>
      <c r="AP426" s="1052"/>
      <c r="AQ426" s="1051"/>
      <c r="AR426" s="1051"/>
      <c r="AS426" s="1052"/>
      <c r="AT426" s="1051"/>
      <c r="AU426" s="1051"/>
      <c r="AV426" s="1052"/>
      <c r="AW426" s="1051"/>
      <c r="AX426" s="1051"/>
      <c r="AY426" s="1053"/>
      <c r="AZ426" s="1051"/>
      <c r="BA426" s="1051"/>
      <c r="BB426" s="1053"/>
      <c r="BC426" s="1051"/>
      <c r="BD426" s="1051"/>
      <c r="BE426" s="1053"/>
      <c r="BF426" s="1051"/>
      <c r="BG426" s="1051"/>
      <c r="BH426" s="1053"/>
      <c r="BI426" s="1052"/>
      <c r="BJ426" s="1052"/>
      <c r="BK426" s="1052"/>
      <c r="BL426" s="1052"/>
      <c r="BM426" s="1052"/>
      <c r="BN426" s="1054"/>
      <c r="BO426" s="1076">
        <f t="shared" si="7"/>
        <v>0</v>
      </c>
      <c r="BP426" s="1051"/>
      <c r="BQ426" s="1052"/>
      <c r="BR426" s="1054"/>
      <c r="BS426" s="1053"/>
      <c r="BT426" s="1051"/>
      <c r="BU426" s="1051"/>
      <c r="BV426" s="1051"/>
      <c r="BW426" s="1052"/>
      <c r="BX426" s="1052"/>
      <c r="BY426" s="1052"/>
      <c r="BZ426" s="1052"/>
      <c r="CA426" s="1052"/>
      <c r="CB426" s="1053"/>
      <c r="CC426" s="1053"/>
      <c r="CD426" s="1053"/>
      <c r="CE426" s="1053"/>
      <c r="CF426" s="1053"/>
      <c r="CG426" s="1053"/>
      <c r="CH426" s="1053"/>
      <c r="CI426" s="1123"/>
      <c r="CJ426" s="1123"/>
      <c r="CK426" s="1123"/>
      <c r="CL426" s="1123"/>
      <c r="CM426" s="1123"/>
      <c r="CN426" s="1123"/>
      <c r="CO426" s="1123"/>
      <c r="CP426" s="1123"/>
      <c r="CQ426" s="1123"/>
      <c r="CR426" s="1123"/>
      <c r="CS426" s="1123"/>
      <c r="CT426" s="1123"/>
      <c r="CU426" s="1123"/>
      <c r="CV426" s="1123"/>
      <c r="CW426" s="1123"/>
      <c r="CX426" s="1123"/>
      <c r="CY426" s="1123"/>
      <c r="CZ426" s="1114"/>
      <c r="DA426" s="1114"/>
      <c r="DB426" s="1114"/>
      <c r="DC426" s="1114"/>
      <c r="DD426" s="1114"/>
      <c r="DE426" s="1114"/>
      <c r="DF426" s="1114"/>
      <c r="DG426" s="1114"/>
      <c r="DH426" s="1114"/>
      <c r="DI426" s="1114"/>
      <c r="DJ426" s="1114"/>
      <c r="DK426" s="1114"/>
      <c r="DL426" s="1114"/>
      <c r="DM426" s="1114"/>
      <c r="DN426" s="1114"/>
      <c r="DO426" s="1114"/>
      <c r="DP426" s="1114"/>
      <c r="DQ426" s="1114"/>
      <c r="DR426" s="1114"/>
      <c r="DS426" s="1114"/>
      <c r="DT426" s="1114"/>
      <c r="DU426" s="1114"/>
      <c r="DV426" s="1115"/>
      <c r="DW426" s="1116"/>
      <c r="DX426" s="1116"/>
      <c r="DY426" s="1116"/>
      <c r="DZ426" s="1116"/>
      <c r="EA426" s="1116"/>
      <c r="EB426" s="1116"/>
      <c r="EC426" s="1116"/>
      <c r="ED426" s="1116"/>
      <c r="EE426" s="1116"/>
      <c r="EF426" s="1116"/>
      <c r="EG426" s="1116"/>
      <c r="EH426" s="1116"/>
      <c r="EI426" s="1116"/>
      <c r="EJ426" s="1116"/>
      <c r="EK426" s="1116"/>
      <c r="EL426" s="1116"/>
      <c r="EM426" s="1116"/>
      <c r="EN426" s="1116"/>
      <c r="EO426" s="1116"/>
      <c r="EP426" s="1116"/>
      <c r="EQ426" s="1116"/>
      <c r="ER426" s="1116"/>
      <c r="ES426" s="1116"/>
    </row>
    <row r="427" spans="1:149" ht="15" customHeight="1">
      <c r="A427" s="1185">
        <v>417</v>
      </c>
      <c r="B427" s="1041"/>
      <c r="C427" s="1050"/>
      <c r="D427" s="1050"/>
      <c r="E427" s="1050"/>
      <c r="F427" s="1049"/>
      <c r="G427" s="1049"/>
      <c r="H427" s="1049"/>
      <c r="I427" s="1049"/>
      <c r="J427" s="1050"/>
      <c r="K427" s="1050"/>
      <c r="L427" s="1043"/>
      <c r="M427" s="1051"/>
      <c r="N427" s="1051"/>
      <c r="O427" s="1052"/>
      <c r="P427" s="1051"/>
      <c r="Q427" s="1051"/>
      <c r="R427" s="1052"/>
      <c r="S427" s="1051"/>
      <c r="T427" s="1051"/>
      <c r="U427" s="1052"/>
      <c r="V427" s="1051"/>
      <c r="W427" s="1051"/>
      <c r="X427" s="1052"/>
      <c r="Y427" s="1053"/>
      <c r="Z427" s="1051"/>
      <c r="AA427" s="1051"/>
      <c r="AB427" s="1052"/>
      <c r="AC427" s="1051"/>
      <c r="AD427" s="1051"/>
      <c r="AE427" s="1052"/>
      <c r="AF427" s="1051"/>
      <c r="AG427" s="1051"/>
      <c r="AH427" s="1051"/>
      <c r="AI427" s="1051"/>
      <c r="AJ427" s="1052"/>
      <c r="AK427" s="1051"/>
      <c r="AL427" s="1051"/>
      <c r="AM427" s="1052"/>
      <c r="AN427" s="1051"/>
      <c r="AO427" s="1051"/>
      <c r="AP427" s="1052"/>
      <c r="AQ427" s="1051"/>
      <c r="AR427" s="1051"/>
      <c r="AS427" s="1052"/>
      <c r="AT427" s="1051"/>
      <c r="AU427" s="1051"/>
      <c r="AV427" s="1052"/>
      <c r="AW427" s="1051"/>
      <c r="AX427" s="1051"/>
      <c r="AY427" s="1053"/>
      <c r="AZ427" s="1051"/>
      <c r="BA427" s="1051"/>
      <c r="BB427" s="1053"/>
      <c r="BC427" s="1051"/>
      <c r="BD427" s="1051"/>
      <c r="BE427" s="1053"/>
      <c r="BF427" s="1051"/>
      <c r="BG427" s="1051"/>
      <c r="BH427" s="1053"/>
      <c r="BI427" s="1052"/>
      <c r="BJ427" s="1052"/>
      <c r="BK427" s="1052"/>
      <c r="BL427" s="1052"/>
      <c r="BM427" s="1052"/>
      <c r="BN427" s="1054"/>
      <c r="BO427" s="1076">
        <f t="shared" si="7"/>
        <v>0</v>
      </c>
      <c r="BP427" s="1051"/>
      <c r="BQ427" s="1052"/>
      <c r="BR427" s="1054"/>
      <c r="BS427" s="1053"/>
      <c r="BT427" s="1051"/>
      <c r="BU427" s="1051"/>
      <c r="BV427" s="1051"/>
      <c r="BW427" s="1052"/>
      <c r="BX427" s="1052"/>
      <c r="BY427" s="1052"/>
      <c r="BZ427" s="1052"/>
      <c r="CA427" s="1052"/>
      <c r="CB427" s="1053"/>
      <c r="CC427" s="1053"/>
      <c r="CD427" s="1053"/>
      <c r="CE427" s="1053"/>
      <c r="CF427" s="1053"/>
      <c r="CG427" s="1053"/>
      <c r="CH427" s="1053"/>
      <c r="CI427" s="1123"/>
      <c r="CJ427" s="1123"/>
      <c r="CK427" s="1123"/>
      <c r="CL427" s="1123"/>
      <c r="CM427" s="1123"/>
      <c r="CN427" s="1123"/>
      <c r="CO427" s="1123"/>
      <c r="CP427" s="1123"/>
      <c r="CQ427" s="1123"/>
      <c r="CR427" s="1123"/>
      <c r="CS427" s="1123"/>
      <c r="CT427" s="1123"/>
      <c r="CU427" s="1123"/>
      <c r="CV427" s="1123"/>
      <c r="CW427" s="1123"/>
      <c r="CX427" s="1123"/>
      <c r="CY427" s="1123"/>
      <c r="CZ427" s="1114"/>
      <c r="DA427" s="1114"/>
      <c r="DB427" s="1114"/>
      <c r="DC427" s="1114"/>
      <c r="DD427" s="1114"/>
      <c r="DE427" s="1114"/>
      <c r="DF427" s="1114"/>
      <c r="DG427" s="1114"/>
      <c r="DH427" s="1114"/>
      <c r="DI427" s="1114"/>
      <c r="DJ427" s="1114"/>
      <c r="DK427" s="1114"/>
      <c r="DL427" s="1114"/>
      <c r="DM427" s="1114"/>
      <c r="DN427" s="1114"/>
      <c r="DO427" s="1114"/>
      <c r="DP427" s="1114"/>
      <c r="DQ427" s="1114"/>
      <c r="DR427" s="1114"/>
      <c r="DS427" s="1114"/>
      <c r="DT427" s="1114"/>
      <c r="DU427" s="1114"/>
      <c r="DV427" s="1115"/>
      <c r="DW427" s="1116"/>
      <c r="DX427" s="1116"/>
      <c r="DY427" s="1116"/>
      <c r="DZ427" s="1116"/>
      <c r="EA427" s="1116"/>
      <c r="EB427" s="1116"/>
      <c r="EC427" s="1116"/>
      <c r="ED427" s="1116"/>
      <c r="EE427" s="1116"/>
      <c r="EF427" s="1116"/>
      <c r="EG427" s="1116"/>
      <c r="EH427" s="1116"/>
      <c r="EI427" s="1116"/>
      <c r="EJ427" s="1116"/>
      <c r="EK427" s="1116"/>
      <c r="EL427" s="1116"/>
      <c r="EM427" s="1116"/>
      <c r="EN427" s="1116"/>
      <c r="EO427" s="1116"/>
      <c r="EP427" s="1116"/>
      <c r="EQ427" s="1116"/>
      <c r="ER427" s="1116"/>
      <c r="ES427" s="1116"/>
    </row>
    <row r="428" spans="1:149" ht="15" customHeight="1">
      <c r="A428" s="1185">
        <v>418</v>
      </c>
      <c r="B428" s="1041"/>
      <c r="C428" s="1050"/>
      <c r="D428" s="1050"/>
      <c r="E428" s="1050"/>
      <c r="F428" s="1049"/>
      <c r="G428" s="1049"/>
      <c r="H428" s="1049"/>
      <c r="I428" s="1049"/>
      <c r="J428" s="1050"/>
      <c r="K428" s="1050"/>
      <c r="L428" s="1043"/>
      <c r="M428" s="1051"/>
      <c r="N428" s="1051"/>
      <c r="O428" s="1052"/>
      <c r="P428" s="1051"/>
      <c r="Q428" s="1051"/>
      <c r="R428" s="1052"/>
      <c r="S428" s="1051"/>
      <c r="T428" s="1051"/>
      <c r="U428" s="1052"/>
      <c r="V428" s="1051"/>
      <c r="W428" s="1051"/>
      <c r="X428" s="1052"/>
      <c r="Y428" s="1053"/>
      <c r="Z428" s="1051"/>
      <c r="AA428" s="1051"/>
      <c r="AB428" s="1052"/>
      <c r="AC428" s="1051"/>
      <c r="AD428" s="1051"/>
      <c r="AE428" s="1052"/>
      <c r="AF428" s="1051"/>
      <c r="AG428" s="1051"/>
      <c r="AH428" s="1051"/>
      <c r="AI428" s="1051"/>
      <c r="AJ428" s="1052"/>
      <c r="AK428" s="1051"/>
      <c r="AL428" s="1051"/>
      <c r="AM428" s="1052"/>
      <c r="AN428" s="1051"/>
      <c r="AO428" s="1051"/>
      <c r="AP428" s="1052"/>
      <c r="AQ428" s="1051"/>
      <c r="AR428" s="1051"/>
      <c r="AS428" s="1052"/>
      <c r="AT428" s="1051"/>
      <c r="AU428" s="1051"/>
      <c r="AV428" s="1052"/>
      <c r="AW428" s="1051"/>
      <c r="AX428" s="1051"/>
      <c r="AY428" s="1053"/>
      <c r="AZ428" s="1051"/>
      <c r="BA428" s="1051"/>
      <c r="BB428" s="1053"/>
      <c r="BC428" s="1051"/>
      <c r="BD428" s="1051"/>
      <c r="BE428" s="1053"/>
      <c r="BF428" s="1051"/>
      <c r="BG428" s="1051"/>
      <c r="BH428" s="1053"/>
      <c r="BI428" s="1052"/>
      <c r="BJ428" s="1052"/>
      <c r="BK428" s="1052"/>
      <c r="BL428" s="1052"/>
      <c r="BM428" s="1052"/>
      <c r="BN428" s="1054"/>
      <c r="BO428" s="1076">
        <f t="shared" si="7"/>
        <v>0</v>
      </c>
      <c r="BP428" s="1051"/>
      <c r="BQ428" s="1052"/>
      <c r="BR428" s="1054"/>
      <c r="BS428" s="1053"/>
      <c r="BT428" s="1051"/>
      <c r="BU428" s="1051"/>
      <c r="BV428" s="1051"/>
      <c r="BW428" s="1052"/>
      <c r="BX428" s="1052"/>
      <c r="BY428" s="1052"/>
      <c r="BZ428" s="1052"/>
      <c r="CA428" s="1052"/>
      <c r="CB428" s="1053"/>
      <c r="CC428" s="1053"/>
      <c r="CD428" s="1053"/>
      <c r="CE428" s="1053"/>
      <c r="CF428" s="1053"/>
      <c r="CG428" s="1053"/>
      <c r="CH428" s="1053"/>
      <c r="CI428" s="1123"/>
      <c r="CJ428" s="1123"/>
      <c r="CK428" s="1123"/>
      <c r="CL428" s="1123"/>
      <c r="CM428" s="1123"/>
      <c r="CN428" s="1123"/>
      <c r="CO428" s="1123"/>
      <c r="CP428" s="1123"/>
      <c r="CQ428" s="1123"/>
      <c r="CR428" s="1123"/>
      <c r="CS428" s="1123"/>
      <c r="CT428" s="1123"/>
      <c r="CU428" s="1123"/>
      <c r="CV428" s="1123"/>
      <c r="CW428" s="1123"/>
      <c r="CX428" s="1123"/>
      <c r="CY428" s="1123"/>
      <c r="CZ428" s="1114"/>
      <c r="DA428" s="1114"/>
      <c r="DB428" s="1114"/>
      <c r="DC428" s="1114"/>
      <c r="DD428" s="1114"/>
      <c r="DE428" s="1114"/>
      <c r="DF428" s="1114"/>
      <c r="DG428" s="1114"/>
      <c r="DH428" s="1114"/>
      <c r="DI428" s="1114"/>
      <c r="DJ428" s="1114"/>
      <c r="DK428" s="1114"/>
      <c r="DL428" s="1114"/>
      <c r="DM428" s="1114"/>
      <c r="DN428" s="1114"/>
      <c r="DO428" s="1114"/>
      <c r="DP428" s="1114"/>
      <c r="DQ428" s="1114"/>
      <c r="DR428" s="1114"/>
      <c r="DS428" s="1114"/>
      <c r="DT428" s="1114"/>
      <c r="DU428" s="1114"/>
      <c r="DV428" s="1115"/>
      <c r="DW428" s="1116"/>
      <c r="DX428" s="1116"/>
      <c r="DY428" s="1116"/>
      <c r="DZ428" s="1116"/>
      <c r="EA428" s="1116"/>
      <c r="EB428" s="1116"/>
      <c r="EC428" s="1116"/>
      <c r="ED428" s="1116"/>
      <c r="EE428" s="1116"/>
      <c r="EF428" s="1116"/>
      <c r="EG428" s="1116"/>
      <c r="EH428" s="1116"/>
      <c r="EI428" s="1116"/>
      <c r="EJ428" s="1116"/>
      <c r="EK428" s="1116"/>
      <c r="EL428" s="1116"/>
      <c r="EM428" s="1116"/>
      <c r="EN428" s="1116"/>
      <c r="EO428" s="1116"/>
      <c r="EP428" s="1116"/>
      <c r="EQ428" s="1116"/>
      <c r="ER428" s="1116"/>
      <c r="ES428" s="1116"/>
    </row>
    <row r="429" spans="1:149" ht="15" customHeight="1">
      <c r="A429" s="1185">
        <v>419</v>
      </c>
      <c r="B429" s="1041"/>
      <c r="C429" s="1050"/>
      <c r="D429" s="1050"/>
      <c r="E429" s="1050"/>
      <c r="F429" s="1049"/>
      <c r="G429" s="1049"/>
      <c r="H429" s="1049"/>
      <c r="I429" s="1049"/>
      <c r="J429" s="1050"/>
      <c r="K429" s="1050"/>
      <c r="L429" s="1043"/>
      <c r="M429" s="1051"/>
      <c r="N429" s="1051"/>
      <c r="O429" s="1052"/>
      <c r="P429" s="1051"/>
      <c r="Q429" s="1051"/>
      <c r="R429" s="1052"/>
      <c r="S429" s="1051"/>
      <c r="T429" s="1051"/>
      <c r="U429" s="1052"/>
      <c r="V429" s="1051"/>
      <c r="W429" s="1051"/>
      <c r="X429" s="1052"/>
      <c r="Y429" s="1053"/>
      <c r="Z429" s="1051"/>
      <c r="AA429" s="1051"/>
      <c r="AB429" s="1052"/>
      <c r="AC429" s="1051"/>
      <c r="AD429" s="1051"/>
      <c r="AE429" s="1052"/>
      <c r="AF429" s="1051"/>
      <c r="AG429" s="1051"/>
      <c r="AH429" s="1051"/>
      <c r="AI429" s="1051"/>
      <c r="AJ429" s="1052"/>
      <c r="AK429" s="1051"/>
      <c r="AL429" s="1051"/>
      <c r="AM429" s="1052"/>
      <c r="AN429" s="1051"/>
      <c r="AO429" s="1051"/>
      <c r="AP429" s="1052"/>
      <c r="AQ429" s="1051"/>
      <c r="AR429" s="1051"/>
      <c r="AS429" s="1052"/>
      <c r="AT429" s="1051"/>
      <c r="AU429" s="1051"/>
      <c r="AV429" s="1052"/>
      <c r="AW429" s="1051"/>
      <c r="AX429" s="1051"/>
      <c r="AY429" s="1053"/>
      <c r="AZ429" s="1051"/>
      <c r="BA429" s="1051"/>
      <c r="BB429" s="1053"/>
      <c r="BC429" s="1051"/>
      <c r="BD429" s="1051"/>
      <c r="BE429" s="1053"/>
      <c r="BF429" s="1051"/>
      <c r="BG429" s="1051"/>
      <c r="BH429" s="1053"/>
      <c r="BI429" s="1052"/>
      <c r="BJ429" s="1052"/>
      <c r="BK429" s="1052"/>
      <c r="BL429" s="1052"/>
      <c r="BM429" s="1052"/>
      <c r="BN429" s="1054"/>
      <c r="BO429" s="1076">
        <f t="shared" si="7"/>
        <v>0</v>
      </c>
      <c r="BP429" s="1051"/>
      <c r="BQ429" s="1052"/>
      <c r="BR429" s="1054"/>
      <c r="BS429" s="1053"/>
      <c r="BT429" s="1051"/>
      <c r="BU429" s="1051"/>
      <c r="BV429" s="1051"/>
      <c r="BW429" s="1052"/>
      <c r="BX429" s="1052"/>
      <c r="BY429" s="1052"/>
      <c r="BZ429" s="1052"/>
      <c r="CA429" s="1052"/>
      <c r="CB429" s="1053"/>
      <c r="CC429" s="1053"/>
      <c r="CD429" s="1053"/>
      <c r="CE429" s="1053"/>
      <c r="CF429" s="1053"/>
      <c r="CG429" s="1053"/>
      <c r="CH429" s="1053"/>
      <c r="CI429" s="1123"/>
      <c r="CJ429" s="1123"/>
      <c r="CK429" s="1123"/>
      <c r="CL429" s="1123"/>
      <c r="CM429" s="1123"/>
      <c r="CN429" s="1123"/>
      <c r="CO429" s="1123"/>
      <c r="CP429" s="1123"/>
      <c r="CQ429" s="1123"/>
      <c r="CR429" s="1123"/>
      <c r="CS429" s="1123"/>
      <c r="CT429" s="1123"/>
      <c r="CU429" s="1123"/>
      <c r="CV429" s="1123"/>
      <c r="CW429" s="1123"/>
      <c r="CX429" s="1123"/>
      <c r="CY429" s="1123"/>
      <c r="CZ429" s="1114"/>
      <c r="DA429" s="1114"/>
      <c r="DB429" s="1114"/>
      <c r="DC429" s="1114"/>
      <c r="DD429" s="1114"/>
      <c r="DE429" s="1114"/>
      <c r="DF429" s="1114"/>
      <c r="DG429" s="1114"/>
      <c r="DH429" s="1114"/>
      <c r="DI429" s="1114"/>
      <c r="DJ429" s="1114"/>
      <c r="DK429" s="1114"/>
      <c r="DL429" s="1114"/>
      <c r="DM429" s="1114"/>
      <c r="DN429" s="1114"/>
      <c r="DO429" s="1114"/>
      <c r="DP429" s="1114"/>
      <c r="DQ429" s="1114"/>
      <c r="DR429" s="1114"/>
      <c r="DS429" s="1114"/>
      <c r="DT429" s="1114"/>
      <c r="DU429" s="1114"/>
      <c r="DV429" s="1115"/>
      <c r="DW429" s="1116"/>
      <c r="DX429" s="1116"/>
      <c r="DY429" s="1116"/>
      <c r="DZ429" s="1116"/>
      <c r="EA429" s="1116"/>
      <c r="EB429" s="1116"/>
      <c r="EC429" s="1116"/>
      <c r="ED429" s="1116"/>
      <c r="EE429" s="1116"/>
      <c r="EF429" s="1116"/>
      <c r="EG429" s="1116"/>
      <c r="EH429" s="1116"/>
      <c r="EI429" s="1116"/>
      <c r="EJ429" s="1116"/>
      <c r="EK429" s="1116"/>
      <c r="EL429" s="1116"/>
      <c r="EM429" s="1116"/>
      <c r="EN429" s="1116"/>
      <c r="EO429" s="1116"/>
      <c r="EP429" s="1116"/>
      <c r="EQ429" s="1116"/>
      <c r="ER429" s="1116"/>
      <c r="ES429" s="1116"/>
    </row>
    <row r="430" spans="1:149" ht="15" customHeight="1">
      <c r="A430" s="1185">
        <v>420</v>
      </c>
      <c r="B430" s="1041"/>
      <c r="C430" s="1050"/>
      <c r="D430" s="1050"/>
      <c r="E430" s="1050"/>
      <c r="F430" s="1049"/>
      <c r="G430" s="1049"/>
      <c r="H430" s="1049"/>
      <c r="I430" s="1049"/>
      <c r="J430" s="1050"/>
      <c r="K430" s="1050"/>
      <c r="L430" s="1043"/>
      <c r="M430" s="1051"/>
      <c r="N430" s="1051"/>
      <c r="O430" s="1052"/>
      <c r="P430" s="1051"/>
      <c r="Q430" s="1051"/>
      <c r="R430" s="1052"/>
      <c r="S430" s="1051"/>
      <c r="T430" s="1051"/>
      <c r="U430" s="1052"/>
      <c r="V430" s="1051"/>
      <c r="W430" s="1051"/>
      <c r="X430" s="1052"/>
      <c r="Y430" s="1053"/>
      <c r="Z430" s="1051"/>
      <c r="AA430" s="1051"/>
      <c r="AB430" s="1052"/>
      <c r="AC430" s="1051"/>
      <c r="AD430" s="1051"/>
      <c r="AE430" s="1052"/>
      <c r="AF430" s="1051"/>
      <c r="AG430" s="1051"/>
      <c r="AH430" s="1051"/>
      <c r="AI430" s="1051"/>
      <c r="AJ430" s="1052"/>
      <c r="AK430" s="1051"/>
      <c r="AL430" s="1051"/>
      <c r="AM430" s="1052"/>
      <c r="AN430" s="1051"/>
      <c r="AO430" s="1051"/>
      <c r="AP430" s="1052"/>
      <c r="AQ430" s="1051"/>
      <c r="AR430" s="1051"/>
      <c r="AS430" s="1052"/>
      <c r="AT430" s="1051"/>
      <c r="AU430" s="1051"/>
      <c r="AV430" s="1052"/>
      <c r="AW430" s="1051"/>
      <c r="AX430" s="1051"/>
      <c r="AY430" s="1053"/>
      <c r="AZ430" s="1051"/>
      <c r="BA430" s="1051"/>
      <c r="BB430" s="1053"/>
      <c r="BC430" s="1051"/>
      <c r="BD430" s="1051"/>
      <c r="BE430" s="1053"/>
      <c r="BF430" s="1051"/>
      <c r="BG430" s="1051"/>
      <c r="BH430" s="1053"/>
      <c r="BI430" s="1052"/>
      <c r="BJ430" s="1052"/>
      <c r="BK430" s="1052"/>
      <c r="BL430" s="1052"/>
      <c r="BM430" s="1052"/>
      <c r="BN430" s="1054"/>
      <c r="BO430" s="1076">
        <f t="shared" si="7"/>
        <v>0</v>
      </c>
      <c r="BP430" s="1051"/>
      <c r="BQ430" s="1052"/>
      <c r="BR430" s="1054"/>
      <c r="BS430" s="1053"/>
      <c r="BT430" s="1051"/>
      <c r="BU430" s="1051"/>
      <c r="BV430" s="1051"/>
      <c r="BW430" s="1052"/>
      <c r="BX430" s="1052"/>
      <c r="BY430" s="1052"/>
      <c r="BZ430" s="1052"/>
      <c r="CA430" s="1052"/>
      <c r="CB430" s="1053"/>
      <c r="CC430" s="1053"/>
      <c r="CD430" s="1053"/>
      <c r="CE430" s="1053"/>
      <c r="CF430" s="1053"/>
      <c r="CG430" s="1053"/>
      <c r="CH430" s="1053"/>
      <c r="CI430" s="1123"/>
      <c r="CJ430" s="1123"/>
      <c r="CK430" s="1123"/>
      <c r="CL430" s="1123"/>
      <c r="CM430" s="1123"/>
      <c r="CN430" s="1123"/>
      <c r="CO430" s="1123"/>
      <c r="CP430" s="1123"/>
      <c r="CQ430" s="1123"/>
      <c r="CR430" s="1123"/>
      <c r="CS430" s="1123"/>
      <c r="CT430" s="1123"/>
      <c r="CU430" s="1123"/>
      <c r="CV430" s="1123"/>
      <c r="CW430" s="1123"/>
      <c r="CX430" s="1123"/>
      <c r="CY430" s="1123"/>
      <c r="CZ430" s="1114"/>
      <c r="DA430" s="1114"/>
      <c r="DB430" s="1114"/>
      <c r="DC430" s="1114"/>
      <c r="DD430" s="1114"/>
      <c r="DE430" s="1114"/>
      <c r="DF430" s="1114"/>
      <c r="DG430" s="1114"/>
      <c r="DH430" s="1114"/>
      <c r="DI430" s="1114"/>
      <c r="DJ430" s="1114"/>
      <c r="DK430" s="1114"/>
      <c r="DL430" s="1114"/>
      <c r="DM430" s="1114"/>
      <c r="DN430" s="1114"/>
      <c r="DO430" s="1114"/>
      <c r="DP430" s="1114"/>
      <c r="DQ430" s="1114"/>
      <c r="DR430" s="1114"/>
      <c r="DS430" s="1114"/>
      <c r="DT430" s="1114"/>
      <c r="DU430" s="1114"/>
      <c r="DV430" s="1115"/>
      <c r="DW430" s="1116"/>
      <c r="DX430" s="1116"/>
      <c r="DY430" s="1116"/>
      <c r="DZ430" s="1116"/>
      <c r="EA430" s="1116"/>
      <c r="EB430" s="1116"/>
      <c r="EC430" s="1116"/>
      <c r="ED430" s="1116"/>
      <c r="EE430" s="1116"/>
      <c r="EF430" s="1116"/>
      <c r="EG430" s="1116"/>
      <c r="EH430" s="1116"/>
      <c r="EI430" s="1116"/>
      <c r="EJ430" s="1116"/>
      <c r="EK430" s="1116"/>
      <c r="EL430" s="1116"/>
      <c r="EM430" s="1116"/>
      <c r="EN430" s="1116"/>
      <c r="EO430" s="1116"/>
      <c r="EP430" s="1116"/>
      <c r="EQ430" s="1116"/>
      <c r="ER430" s="1116"/>
      <c r="ES430" s="1116"/>
    </row>
    <row r="431" spans="1:149" ht="15" customHeight="1">
      <c r="A431" s="1185">
        <v>421</v>
      </c>
      <c r="B431" s="1041"/>
      <c r="C431" s="1050"/>
      <c r="D431" s="1050"/>
      <c r="E431" s="1050"/>
      <c r="F431" s="1049"/>
      <c r="G431" s="1049"/>
      <c r="H431" s="1049"/>
      <c r="I431" s="1049"/>
      <c r="J431" s="1050"/>
      <c r="K431" s="1050"/>
      <c r="L431" s="1043"/>
      <c r="M431" s="1051"/>
      <c r="N431" s="1051"/>
      <c r="O431" s="1052"/>
      <c r="P431" s="1051"/>
      <c r="Q431" s="1051"/>
      <c r="R431" s="1052"/>
      <c r="S431" s="1051"/>
      <c r="T431" s="1051"/>
      <c r="U431" s="1052"/>
      <c r="V431" s="1051"/>
      <c r="W431" s="1051"/>
      <c r="X431" s="1052"/>
      <c r="Y431" s="1053"/>
      <c r="Z431" s="1051"/>
      <c r="AA431" s="1051"/>
      <c r="AB431" s="1052"/>
      <c r="AC431" s="1051"/>
      <c r="AD431" s="1051"/>
      <c r="AE431" s="1052"/>
      <c r="AF431" s="1051"/>
      <c r="AG431" s="1051"/>
      <c r="AH431" s="1051"/>
      <c r="AI431" s="1051"/>
      <c r="AJ431" s="1052"/>
      <c r="AK431" s="1051"/>
      <c r="AL431" s="1051"/>
      <c r="AM431" s="1052"/>
      <c r="AN431" s="1051"/>
      <c r="AO431" s="1051"/>
      <c r="AP431" s="1052"/>
      <c r="AQ431" s="1051"/>
      <c r="AR431" s="1051"/>
      <c r="AS431" s="1052"/>
      <c r="AT431" s="1051"/>
      <c r="AU431" s="1051"/>
      <c r="AV431" s="1052"/>
      <c r="AW431" s="1051"/>
      <c r="AX431" s="1051"/>
      <c r="AY431" s="1053"/>
      <c r="AZ431" s="1051"/>
      <c r="BA431" s="1051"/>
      <c r="BB431" s="1053"/>
      <c r="BC431" s="1051"/>
      <c r="BD431" s="1051"/>
      <c r="BE431" s="1053"/>
      <c r="BF431" s="1051"/>
      <c r="BG431" s="1051"/>
      <c r="BH431" s="1053"/>
      <c r="BI431" s="1052"/>
      <c r="BJ431" s="1052"/>
      <c r="BK431" s="1052"/>
      <c r="BL431" s="1052"/>
      <c r="BM431" s="1052"/>
      <c r="BN431" s="1054"/>
      <c r="BO431" s="1076">
        <f t="shared" si="7"/>
        <v>0</v>
      </c>
      <c r="BP431" s="1051"/>
      <c r="BQ431" s="1052"/>
      <c r="BR431" s="1054"/>
      <c r="BS431" s="1053"/>
      <c r="BT431" s="1051"/>
      <c r="BU431" s="1051"/>
      <c r="BV431" s="1051"/>
      <c r="BW431" s="1052"/>
      <c r="BX431" s="1052"/>
      <c r="BY431" s="1052"/>
      <c r="BZ431" s="1052"/>
      <c r="CA431" s="1052"/>
      <c r="CB431" s="1053"/>
      <c r="CC431" s="1053"/>
      <c r="CD431" s="1053"/>
      <c r="CE431" s="1053"/>
      <c r="CF431" s="1053"/>
      <c r="CG431" s="1053"/>
      <c r="CH431" s="1053"/>
      <c r="CI431" s="1123"/>
      <c r="CJ431" s="1123"/>
      <c r="CK431" s="1123"/>
      <c r="CL431" s="1123"/>
      <c r="CM431" s="1123"/>
      <c r="CN431" s="1123"/>
      <c r="CO431" s="1123"/>
      <c r="CP431" s="1123"/>
      <c r="CQ431" s="1123"/>
      <c r="CR431" s="1123"/>
      <c r="CS431" s="1123"/>
      <c r="CT431" s="1123"/>
      <c r="CU431" s="1123"/>
      <c r="CV431" s="1123"/>
      <c r="CW431" s="1123"/>
      <c r="CX431" s="1123"/>
      <c r="CY431" s="1123"/>
      <c r="CZ431" s="1114"/>
      <c r="DA431" s="1114"/>
      <c r="DB431" s="1114"/>
      <c r="DC431" s="1114"/>
      <c r="DD431" s="1114"/>
      <c r="DE431" s="1114"/>
      <c r="DF431" s="1114"/>
      <c r="DG431" s="1114"/>
      <c r="DH431" s="1114"/>
      <c r="DI431" s="1114"/>
      <c r="DJ431" s="1114"/>
      <c r="DK431" s="1114"/>
      <c r="DL431" s="1114"/>
      <c r="DM431" s="1114"/>
      <c r="DN431" s="1114"/>
      <c r="DO431" s="1114"/>
      <c r="DP431" s="1114"/>
      <c r="DQ431" s="1114"/>
      <c r="DR431" s="1114"/>
      <c r="DS431" s="1114"/>
      <c r="DT431" s="1114"/>
      <c r="DU431" s="1114"/>
      <c r="DV431" s="1115"/>
      <c r="DW431" s="1116"/>
      <c r="DX431" s="1116"/>
      <c r="DY431" s="1116"/>
      <c r="DZ431" s="1116"/>
      <c r="EA431" s="1116"/>
      <c r="EB431" s="1116"/>
      <c r="EC431" s="1116"/>
      <c r="ED431" s="1116"/>
      <c r="EE431" s="1116"/>
      <c r="EF431" s="1116"/>
      <c r="EG431" s="1116"/>
      <c r="EH431" s="1116"/>
      <c r="EI431" s="1116"/>
      <c r="EJ431" s="1116"/>
      <c r="EK431" s="1116"/>
      <c r="EL431" s="1116"/>
      <c r="EM431" s="1116"/>
      <c r="EN431" s="1116"/>
      <c r="EO431" s="1116"/>
      <c r="EP431" s="1116"/>
      <c r="EQ431" s="1116"/>
      <c r="ER431" s="1116"/>
      <c r="ES431" s="1116"/>
    </row>
    <row r="432" spans="1:149" ht="15" customHeight="1">
      <c r="A432" s="1185">
        <v>422</v>
      </c>
      <c r="B432" s="1041"/>
      <c r="C432" s="1050"/>
      <c r="D432" s="1050"/>
      <c r="E432" s="1050"/>
      <c r="F432" s="1049"/>
      <c r="G432" s="1049"/>
      <c r="H432" s="1049"/>
      <c r="I432" s="1049"/>
      <c r="J432" s="1050"/>
      <c r="K432" s="1050"/>
      <c r="L432" s="1043"/>
      <c r="M432" s="1051"/>
      <c r="N432" s="1051"/>
      <c r="O432" s="1052"/>
      <c r="P432" s="1051"/>
      <c r="Q432" s="1051"/>
      <c r="R432" s="1052"/>
      <c r="S432" s="1051"/>
      <c r="T432" s="1051"/>
      <c r="U432" s="1052"/>
      <c r="V432" s="1051"/>
      <c r="W432" s="1051"/>
      <c r="X432" s="1052"/>
      <c r="Y432" s="1053"/>
      <c r="Z432" s="1051"/>
      <c r="AA432" s="1051"/>
      <c r="AB432" s="1052"/>
      <c r="AC432" s="1051"/>
      <c r="AD432" s="1051"/>
      <c r="AE432" s="1052"/>
      <c r="AF432" s="1051"/>
      <c r="AG432" s="1051"/>
      <c r="AH432" s="1051"/>
      <c r="AI432" s="1051"/>
      <c r="AJ432" s="1052"/>
      <c r="AK432" s="1051"/>
      <c r="AL432" s="1051"/>
      <c r="AM432" s="1052"/>
      <c r="AN432" s="1051"/>
      <c r="AO432" s="1051"/>
      <c r="AP432" s="1052"/>
      <c r="AQ432" s="1051"/>
      <c r="AR432" s="1051"/>
      <c r="AS432" s="1052"/>
      <c r="AT432" s="1051"/>
      <c r="AU432" s="1051"/>
      <c r="AV432" s="1052"/>
      <c r="AW432" s="1051"/>
      <c r="AX432" s="1051"/>
      <c r="AY432" s="1053"/>
      <c r="AZ432" s="1051"/>
      <c r="BA432" s="1051"/>
      <c r="BB432" s="1053"/>
      <c r="BC432" s="1051"/>
      <c r="BD432" s="1051"/>
      <c r="BE432" s="1053"/>
      <c r="BF432" s="1051"/>
      <c r="BG432" s="1051"/>
      <c r="BH432" s="1053"/>
      <c r="BI432" s="1052"/>
      <c r="BJ432" s="1052"/>
      <c r="BK432" s="1052"/>
      <c r="BL432" s="1052"/>
      <c r="BM432" s="1052"/>
      <c r="BN432" s="1054"/>
      <c r="BO432" s="1076">
        <f t="shared" si="7"/>
        <v>0</v>
      </c>
      <c r="BP432" s="1051"/>
      <c r="BQ432" s="1052"/>
      <c r="BR432" s="1054"/>
      <c r="BS432" s="1053"/>
      <c r="BT432" s="1051"/>
      <c r="BU432" s="1051"/>
      <c r="BV432" s="1051"/>
      <c r="BW432" s="1052"/>
      <c r="BX432" s="1052"/>
      <c r="BY432" s="1052"/>
      <c r="BZ432" s="1052"/>
      <c r="CA432" s="1052"/>
      <c r="CB432" s="1053"/>
      <c r="CC432" s="1053"/>
      <c r="CD432" s="1053"/>
      <c r="CE432" s="1053"/>
      <c r="CF432" s="1053"/>
      <c r="CG432" s="1053"/>
      <c r="CH432" s="1053"/>
      <c r="CI432" s="1123"/>
      <c r="CJ432" s="1123"/>
      <c r="CK432" s="1123"/>
      <c r="CL432" s="1123"/>
      <c r="CM432" s="1123"/>
      <c r="CN432" s="1123"/>
      <c r="CO432" s="1123"/>
      <c r="CP432" s="1123"/>
      <c r="CQ432" s="1123"/>
      <c r="CR432" s="1123"/>
      <c r="CS432" s="1123"/>
      <c r="CT432" s="1123"/>
      <c r="CU432" s="1123"/>
      <c r="CV432" s="1123"/>
      <c r="CW432" s="1123"/>
      <c r="CX432" s="1123"/>
      <c r="CY432" s="1123"/>
      <c r="CZ432" s="1114"/>
      <c r="DA432" s="1114"/>
      <c r="DB432" s="1114"/>
      <c r="DC432" s="1114"/>
      <c r="DD432" s="1114"/>
      <c r="DE432" s="1114"/>
      <c r="DF432" s="1114"/>
      <c r="DG432" s="1114"/>
      <c r="DH432" s="1114"/>
      <c r="DI432" s="1114"/>
      <c r="DJ432" s="1114"/>
      <c r="DK432" s="1114"/>
      <c r="DL432" s="1114"/>
      <c r="DM432" s="1114"/>
      <c r="DN432" s="1114"/>
      <c r="DO432" s="1114"/>
      <c r="DP432" s="1114"/>
      <c r="DQ432" s="1114"/>
      <c r="DR432" s="1114"/>
      <c r="DS432" s="1114"/>
      <c r="DT432" s="1114"/>
      <c r="DU432" s="1114"/>
      <c r="DV432" s="1115"/>
      <c r="DW432" s="1116"/>
      <c r="DX432" s="1116"/>
      <c r="DY432" s="1116"/>
      <c r="DZ432" s="1116"/>
      <c r="EA432" s="1116"/>
      <c r="EB432" s="1116"/>
      <c r="EC432" s="1116"/>
      <c r="ED432" s="1116"/>
      <c r="EE432" s="1116"/>
      <c r="EF432" s="1116"/>
      <c r="EG432" s="1116"/>
      <c r="EH432" s="1116"/>
      <c r="EI432" s="1116"/>
      <c r="EJ432" s="1116"/>
      <c r="EK432" s="1116"/>
      <c r="EL432" s="1116"/>
      <c r="EM432" s="1116"/>
      <c r="EN432" s="1116"/>
      <c r="EO432" s="1116"/>
      <c r="EP432" s="1116"/>
      <c r="EQ432" s="1116"/>
      <c r="ER432" s="1116"/>
      <c r="ES432" s="1116"/>
    </row>
    <row r="433" spans="1:149" ht="15" customHeight="1">
      <c r="A433" s="1185">
        <v>423</v>
      </c>
      <c r="B433" s="1041"/>
      <c r="C433" s="1050"/>
      <c r="D433" s="1050"/>
      <c r="E433" s="1050"/>
      <c r="F433" s="1049"/>
      <c r="G433" s="1049"/>
      <c r="H433" s="1049"/>
      <c r="I433" s="1049"/>
      <c r="J433" s="1050"/>
      <c r="K433" s="1050"/>
      <c r="L433" s="1043"/>
      <c r="M433" s="1051"/>
      <c r="N433" s="1051"/>
      <c r="O433" s="1052"/>
      <c r="P433" s="1051"/>
      <c r="Q433" s="1051"/>
      <c r="R433" s="1052"/>
      <c r="S433" s="1051"/>
      <c r="T433" s="1051"/>
      <c r="U433" s="1052"/>
      <c r="V433" s="1051"/>
      <c r="W433" s="1051"/>
      <c r="X433" s="1052"/>
      <c r="Y433" s="1053"/>
      <c r="Z433" s="1051"/>
      <c r="AA433" s="1051"/>
      <c r="AB433" s="1052"/>
      <c r="AC433" s="1051"/>
      <c r="AD433" s="1051"/>
      <c r="AE433" s="1052"/>
      <c r="AF433" s="1051"/>
      <c r="AG433" s="1051"/>
      <c r="AH433" s="1051"/>
      <c r="AI433" s="1051"/>
      <c r="AJ433" s="1052"/>
      <c r="AK433" s="1051"/>
      <c r="AL433" s="1051"/>
      <c r="AM433" s="1052"/>
      <c r="AN433" s="1051"/>
      <c r="AO433" s="1051"/>
      <c r="AP433" s="1052"/>
      <c r="AQ433" s="1051"/>
      <c r="AR433" s="1051"/>
      <c r="AS433" s="1052"/>
      <c r="AT433" s="1051"/>
      <c r="AU433" s="1051"/>
      <c r="AV433" s="1052"/>
      <c r="AW433" s="1051"/>
      <c r="AX433" s="1051"/>
      <c r="AY433" s="1053"/>
      <c r="AZ433" s="1051"/>
      <c r="BA433" s="1051"/>
      <c r="BB433" s="1053"/>
      <c r="BC433" s="1051"/>
      <c r="BD433" s="1051"/>
      <c r="BE433" s="1053"/>
      <c r="BF433" s="1051"/>
      <c r="BG433" s="1051"/>
      <c r="BH433" s="1053"/>
      <c r="BI433" s="1052"/>
      <c r="BJ433" s="1052"/>
      <c r="BK433" s="1052"/>
      <c r="BL433" s="1052"/>
      <c r="BM433" s="1052"/>
      <c r="BN433" s="1054"/>
      <c r="BO433" s="1076">
        <f t="shared" si="7"/>
        <v>0</v>
      </c>
      <c r="BP433" s="1051"/>
      <c r="BQ433" s="1052"/>
      <c r="BR433" s="1054"/>
      <c r="BS433" s="1053"/>
      <c r="BT433" s="1051"/>
      <c r="BU433" s="1051"/>
      <c r="BV433" s="1051"/>
      <c r="BW433" s="1052"/>
      <c r="BX433" s="1052"/>
      <c r="BY433" s="1052"/>
      <c r="BZ433" s="1052"/>
      <c r="CA433" s="1052"/>
      <c r="CB433" s="1053"/>
      <c r="CC433" s="1053"/>
      <c r="CD433" s="1053"/>
      <c r="CE433" s="1053"/>
      <c r="CF433" s="1053"/>
      <c r="CG433" s="1053"/>
      <c r="CH433" s="1053"/>
      <c r="CI433" s="1123"/>
      <c r="CJ433" s="1123"/>
      <c r="CK433" s="1123"/>
      <c r="CL433" s="1123"/>
      <c r="CM433" s="1123"/>
      <c r="CN433" s="1123"/>
      <c r="CO433" s="1123"/>
      <c r="CP433" s="1123"/>
      <c r="CQ433" s="1123"/>
      <c r="CR433" s="1123"/>
      <c r="CS433" s="1123"/>
      <c r="CT433" s="1123"/>
      <c r="CU433" s="1123"/>
      <c r="CV433" s="1123"/>
      <c r="CW433" s="1123"/>
      <c r="CX433" s="1123"/>
      <c r="CY433" s="1123"/>
      <c r="CZ433" s="1114"/>
      <c r="DA433" s="1114"/>
      <c r="DB433" s="1114"/>
      <c r="DC433" s="1114"/>
      <c r="DD433" s="1114"/>
      <c r="DE433" s="1114"/>
      <c r="DF433" s="1114"/>
      <c r="DG433" s="1114"/>
      <c r="DH433" s="1114"/>
      <c r="DI433" s="1114"/>
      <c r="DJ433" s="1114"/>
      <c r="DK433" s="1114"/>
      <c r="DL433" s="1114"/>
      <c r="DM433" s="1114"/>
      <c r="DN433" s="1114"/>
      <c r="DO433" s="1114"/>
      <c r="DP433" s="1114"/>
      <c r="DQ433" s="1114"/>
      <c r="DR433" s="1114"/>
      <c r="DS433" s="1114"/>
      <c r="DT433" s="1114"/>
      <c r="DU433" s="1114"/>
      <c r="DV433" s="1115"/>
      <c r="DW433" s="1116"/>
      <c r="DX433" s="1116"/>
      <c r="DY433" s="1116"/>
      <c r="DZ433" s="1116"/>
      <c r="EA433" s="1116"/>
      <c r="EB433" s="1116"/>
      <c r="EC433" s="1116"/>
      <c r="ED433" s="1116"/>
      <c r="EE433" s="1116"/>
      <c r="EF433" s="1116"/>
      <c r="EG433" s="1116"/>
      <c r="EH433" s="1116"/>
      <c r="EI433" s="1116"/>
      <c r="EJ433" s="1116"/>
      <c r="EK433" s="1116"/>
      <c r="EL433" s="1116"/>
      <c r="EM433" s="1116"/>
      <c r="EN433" s="1116"/>
      <c r="EO433" s="1116"/>
      <c r="EP433" s="1116"/>
      <c r="EQ433" s="1116"/>
      <c r="ER433" s="1116"/>
      <c r="ES433" s="1116"/>
    </row>
    <row r="434" spans="1:149" ht="15" customHeight="1">
      <c r="A434" s="1185">
        <v>424</v>
      </c>
      <c r="B434" s="1041"/>
      <c r="C434" s="1050"/>
      <c r="D434" s="1050"/>
      <c r="E434" s="1050"/>
      <c r="F434" s="1049"/>
      <c r="G434" s="1049"/>
      <c r="H434" s="1049"/>
      <c r="I434" s="1049"/>
      <c r="J434" s="1050"/>
      <c r="K434" s="1050"/>
      <c r="L434" s="1043"/>
      <c r="M434" s="1051"/>
      <c r="N434" s="1051"/>
      <c r="O434" s="1052"/>
      <c r="P434" s="1051"/>
      <c r="Q434" s="1051"/>
      <c r="R434" s="1052"/>
      <c r="S434" s="1051"/>
      <c r="T434" s="1051"/>
      <c r="U434" s="1052"/>
      <c r="V434" s="1051"/>
      <c r="W434" s="1051"/>
      <c r="X434" s="1052"/>
      <c r="Y434" s="1053"/>
      <c r="Z434" s="1051"/>
      <c r="AA434" s="1051"/>
      <c r="AB434" s="1052"/>
      <c r="AC434" s="1051"/>
      <c r="AD434" s="1051"/>
      <c r="AE434" s="1052"/>
      <c r="AF434" s="1051"/>
      <c r="AG434" s="1051"/>
      <c r="AH434" s="1051"/>
      <c r="AI434" s="1051"/>
      <c r="AJ434" s="1052"/>
      <c r="AK434" s="1051"/>
      <c r="AL434" s="1051"/>
      <c r="AM434" s="1052"/>
      <c r="AN434" s="1051"/>
      <c r="AO434" s="1051"/>
      <c r="AP434" s="1052"/>
      <c r="AQ434" s="1051"/>
      <c r="AR434" s="1051"/>
      <c r="AS434" s="1052"/>
      <c r="AT434" s="1051"/>
      <c r="AU434" s="1051"/>
      <c r="AV434" s="1052"/>
      <c r="AW434" s="1051"/>
      <c r="AX434" s="1051"/>
      <c r="AY434" s="1053"/>
      <c r="AZ434" s="1051"/>
      <c r="BA434" s="1051"/>
      <c r="BB434" s="1053"/>
      <c r="BC434" s="1051"/>
      <c r="BD434" s="1051"/>
      <c r="BE434" s="1053"/>
      <c r="BF434" s="1051"/>
      <c r="BG434" s="1051"/>
      <c r="BH434" s="1053"/>
      <c r="BI434" s="1052"/>
      <c r="BJ434" s="1052"/>
      <c r="BK434" s="1052"/>
      <c r="BL434" s="1052"/>
      <c r="BM434" s="1052"/>
      <c r="BN434" s="1054"/>
      <c r="BO434" s="1076">
        <f t="shared" si="7"/>
        <v>0</v>
      </c>
      <c r="BP434" s="1051"/>
      <c r="BQ434" s="1052"/>
      <c r="BR434" s="1054"/>
      <c r="BS434" s="1053"/>
      <c r="BT434" s="1051"/>
      <c r="BU434" s="1051"/>
      <c r="BV434" s="1051"/>
      <c r="BW434" s="1052"/>
      <c r="BX434" s="1052"/>
      <c r="BY434" s="1052"/>
      <c r="BZ434" s="1052"/>
      <c r="CA434" s="1052"/>
      <c r="CB434" s="1053"/>
      <c r="CC434" s="1053"/>
      <c r="CD434" s="1053"/>
      <c r="CE434" s="1053"/>
      <c r="CF434" s="1053"/>
      <c r="CG434" s="1053"/>
      <c r="CH434" s="1053"/>
      <c r="CI434" s="1123"/>
      <c r="CJ434" s="1123"/>
      <c r="CK434" s="1123"/>
      <c r="CL434" s="1123"/>
      <c r="CM434" s="1123"/>
      <c r="CN434" s="1123"/>
      <c r="CO434" s="1123"/>
      <c r="CP434" s="1123"/>
      <c r="CQ434" s="1123"/>
      <c r="CR434" s="1123"/>
      <c r="CS434" s="1123"/>
      <c r="CT434" s="1123"/>
      <c r="CU434" s="1123"/>
      <c r="CV434" s="1123"/>
      <c r="CW434" s="1123"/>
      <c r="CX434" s="1123"/>
      <c r="CY434" s="1123"/>
      <c r="CZ434" s="1114"/>
      <c r="DA434" s="1114"/>
      <c r="DB434" s="1114"/>
      <c r="DC434" s="1114"/>
      <c r="DD434" s="1114"/>
      <c r="DE434" s="1114"/>
      <c r="DF434" s="1114"/>
      <c r="DG434" s="1114"/>
      <c r="DH434" s="1114"/>
      <c r="DI434" s="1114"/>
      <c r="DJ434" s="1114"/>
      <c r="DK434" s="1114"/>
      <c r="DL434" s="1114"/>
      <c r="DM434" s="1114"/>
      <c r="DN434" s="1114"/>
      <c r="DO434" s="1114"/>
      <c r="DP434" s="1114"/>
      <c r="DQ434" s="1114"/>
      <c r="DR434" s="1114"/>
      <c r="DS434" s="1114"/>
      <c r="DT434" s="1114"/>
      <c r="DU434" s="1114"/>
      <c r="DV434" s="1115"/>
      <c r="DW434" s="1116"/>
      <c r="DX434" s="1116"/>
      <c r="DY434" s="1116"/>
      <c r="DZ434" s="1116"/>
      <c r="EA434" s="1116"/>
      <c r="EB434" s="1116"/>
      <c r="EC434" s="1116"/>
      <c r="ED434" s="1116"/>
      <c r="EE434" s="1116"/>
      <c r="EF434" s="1116"/>
      <c r="EG434" s="1116"/>
      <c r="EH434" s="1116"/>
      <c r="EI434" s="1116"/>
      <c r="EJ434" s="1116"/>
      <c r="EK434" s="1116"/>
      <c r="EL434" s="1116"/>
      <c r="EM434" s="1116"/>
      <c r="EN434" s="1116"/>
      <c r="EO434" s="1116"/>
      <c r="EP434" s="1116"/>
      <c r="EQ434" s="1116"/>
      <c r="ER434" s="1116"/>
      <c r="ES434" s="1116"/>
    </row>
    <row r="435" spans="1:149" ht="15" customHeight="1">
      <c r="A435" s="1185">
        <v>425</v>
      </c>
      <c r="B435" s="1041"/>
      <c r="C435" s="1050"/>
      <c r="D435" s="1050"/>
      <c r="E435" s="1050"/>
      <c r="F435" s="1049"/>
      <c r="G435" s="1049"/>
      <c r="H435" s="1049"/>
      <c r="I435" s="1049"/>
      <c r="J435" s="1050"/>
      <c r="K435" s="1050"/>
      <c r="L435" s="1043"/>
      <c r="M435" s="1051"/>
      <c r="N435" s="1051"/>
      <c r="O435" s="1052"/>
      <c r="P435" s="1051"/>
      <c r="Q435" s="1051"/>
      <c r="R435" s="1052"/>
      <c r="S435" s="1051"/>
      <c r="T435" s="1051"/>
      <c r="U435" s="1052"/>
      <c r="V435" s="1051"/>
      <c r="W435" s="1051"/>
      <c r="X435" s="1052"/>
      <c r="Y435" s="1053"/>
      <c r="Z435" s="1051"/>
      <c r="AA435" s="1051"/>
      <c r="AB435" s="1052"/>
      <c r="AC435" s="1051"/>
      <c r="AD435" s="1051"/>
      <c r="AE435" s="1052"/>
      <c r="AF435" s="1051"/>
      <c r="AG435" s="1051"/>
      <c r="AH435" s="1051"/>
      <c r="AI435" s="1051"/>
      <c r="AJ435" s="1052"/>
      <c r="AK435" s="1051"/>
      <c r="AL435" s="1051"/>
      <c r="AM435" s="1052"/>
      <c r="AN435" s="1051"/>
      <c r="AO435" s="1051"/>
      <c r="AP435" s="1052"/>
      <c r="AQ435" s="1051"/>
      <c r="AR435" s="1051"/>
      <c r="AS435" s="1052"/>
      <c r="AT435" s="1051"/>
      <c r="AU435" s="1051"/>
      <c r="AV435" s="1052"/>
      <c r="AW435" s="1051"/>
      <c r="AX435" s="1051"/>
      <c r="AY435" s="1053"/>
      <c r="AZ435" s="1051"/>
      <c r="BA435" s="1051"/>
      <c r="BB435" s="1053"/>
      <c r="BC435" s="1051"/>
      <c r="BD435" s="1051"/>
      <c r="BE435" s="1053"/>
      <c r="BF435" s="1051"/>
      <c r="BG435" s="1051"/>
      <c r="BH435" s="1053"/>
      <c r="BI435" s="1052"/>
      <c r="BJ435" s="1052"/>
      <c r="BK435" s="1052"/>
      <c r="BL435" s="1052"/>
      <c r="BM435" s="1052"/>
      <c r="BN435" s="1054"/>
      <c r="BO435" s="1076">
        <f t="shared" si="7"/>
        <v>0</v>
      </c>
      <c r="BP435" s="1051"/>
      <c r="BQ435" s="1052"/>
      <c r="BR435" s="1054"/>
      <c r="BS435" s="1053"/>
      <c r="BT435" s="1051"/>
      <c r="BU435" s="1051"/>
      <c r="BV435" s="1051"/>
      <c r="BW435" s="1052"/>
      <c r="BX435" s="1052"/>
      <c r="BY435" s="1052"/>
      <c r="BZ435" s="1052"/>
      <c r="CA435" s="1052"/>
      <c r="CB435" s="1053"/>
      <c r="CC435" s="1053"/>
      <c r="CD435" s="1053"/>
      <c r="CE435" s="1053"/>
      <c r="CF435" s="1053"/>
      <c r="CG435" s="1053"/>
      <c r="CH435" s="1053"/>
      <c r="CI435" s="1123"/>
      <c r="CJ435" s="1123"/>
      <c r="CK435" s="1123"/>
      <c r="CL435" s="1123"/>
      <c r="CM435" s="1123"/>
      <c r="CN435" s="1123"/>
      <c r="CO435" s="1123"/>
      <c r="CP435" s="1123"/>
      <c r="CQ435" s="1123"/>
      <c r="CR435" s="1123"/>
      <c r="CS435" s="1123"/>
      <c r="CT435" s="1123"/>
      <c r="CU435" s="1123"/>
      <c r="CV435" s="1123"/>
      <c r="CW435" s="1123"/>
      <c r="CX435" s="1123"/>
      <c r="CY435" s="1123"/>
      <c r="CZ435" s="1114"/>
      <c r="DA435" s="1114"/>
      <c r="DB435" s="1114"/>
      <c r="DC435" s="1114"/>
      <c r="DD435" s="1114"/>
      <c r="DE435" s="1114"/>
      <c r="DF435" s="1114"/>
      <c r="DG435" s="1114"/>
      <c r="DH435" s="1114"/>
      <c r="DI435" s="1114"/>
      <c r="DJ435" s="1114"/>
      <c r="DK435" s="1114"/>
      <c r="DL435" s="1114"/>
      <c r="DM435" s="1114"/>
      <c r="DN435" s="1114"/>
      <c r="DO435" s="1114"/>
      <c r="DP435" s="1114"/>
      <c r="DQ435" s="1114"/>
      <c r="DR435" s="1114"/>
      <c r="DS435" s="1114"/>
      <c r="DT435" s="1114"/>
      <c r="DU435" s="1114"/>
      <c r="DV435" s="1115"/>
      <c r="DW435" s="1116"/>
      <c r="DX435" s="1116"/>
      <c r="DY435" s="1116"/>
      <c r="DZ435" s="1116"/>
      <c r="EA435" s="1116"/>
      <c r="EB435" s="1116"/>
      <c r="EC435" s="1116"/>
      <c r="ED435" s="1116"/>
      <c r="EE435" s="1116"/>
      <c r="EF435" s="1116"/>
      <c r="EG435" s="1116"/>
      <c r="EH435" s="1116"/>
      <c r="EI435" s="1116"/>
      <c r="EJ435" s="1116"/>
      <c r="EK435" s="1116"/>
      <c r="EL435" s="1116"/>
      <c r="EM435" s="1116"/>
      <c r="EN435" s="1116"/>
      <c r="EO435" s="1116"/>
      <c r="EP435" s="1116"/>
      <c r="EQ435" s="1116"/>
      <c r="ER435" s="1116"/>
      <c r="ES435" s="1116"/>
    </row>
    <row r="436" spans="1:149" ht="15" customHeight="1">
      <c r="A436" s="1185">
        <v>426</v>
      </c>
      <c r="B436" s="1041"/>
      <c r="C436" s="1050"/>
      <c r="D436" s="1050"/>
      <c r="E436" s="1050"/>
      <c r="F436" s="1049"/>
      <c r="G436" s="1049"/>
      <c r="H436" s="1049"/>
      <c r="I436" s="1049"/>
      <c r="J436" s="1050"/>
      <c r="K436" s="1050"/>
      <c r="L436" s="1043"/>
      <c r="M436" s="1051"/>
      <c r="N436" s="1051"/>
      <c r="O436" s="1052"/>
      <c r="P436" s="1051"/>
      <c r="Q436" s="1051"/>
      <c r="R436" s="1052"/>
      <c r="S436" s="1051"/>
      <c r="T436" s="1051"/>
      <c r="U436" s="1052"/>
      <c r="V436" s="1051"/>
      <c r="W436" s="1051"/>
      <c r="X436" s="1052"/>
      <c r="Y436" s="1053"/>
      <c r="Z436" s="1051"/>
      <c r="AA436" s="1051"/>
      <c r="AB436" s="1052"/>
      <c r="AC436" s="1051"/>
      <c r="AD436" s="1051"/>
      <c r="AE436" s="1052"/>
      <c r="AF436" s="1051"/>
      <c r="AG436" s="1051"/>
      <c r="AH436" s="1051"/>
      <c r="AI436" s="1051"/>
      <c r="AJ436" s="1052"/>
      <c r="AK436" s="1051"/>
      <c r="AL436" s="1051"/>
      <c r="AM436" s="1052"/>
      <c r="AN436" s="1051"/>
      <c r="AO436" s="1051"/>
      <c r="AP436" s="1052"/>
      <c r="AQ436" s="1051"/>
      <c r="AR436" s="1051"/>
      <c r="AS436" s="1052"/>
      <c r="AT436" s="1051"/>
      <c r="AU436" s="1051"/>
      <c r="AV436" s="1052"/>
      <c r="AW436" s="1051"/>
      <c r="AX436" s="1051"/>
      <c r="AY436" s="1053"/>
      <c r="AZ436" s="1051"/>
      <c r="BA436" s="1051"/>
      <c r="BB436" s="1053"/>
      <c r="BC436" s="1051"/>
      <c r="BD436" s="1051"/>
      <c r="BE436" s="1053"/>
      <c r="BF436" s="1051"/>
      <c r="BG436" s="1051"/>
      <c r="BH436" s="1053"/>
      <c r="BI436" s="1052"/>
      <c r="BJ436" s="1052"/>
      <c r="BK436" s="1052"/>
      <c r="BL436" s="1052"/>
      <c r="BM436" s="1052"/>
      <c r="BN436" s="1054"/>
      <c r="BO436" s="1076">
        <f t="shared" si="7"/>
        <v>0</v>
      </c>
      <c r="BP436" s="1051"/>
      <c r="BQ436" s="1052"/>
      <c r="BR436" s="1054"/>
      <c r="BS436" s="1053"/>
      <c r="BT436" s="1051"/>
      <c r="BU436" s="1051"/>
      <c r="BV436" s="1051"/>
      <c r="BW436" s="1052"/>
      <c r="BX436" s="1052"/>
      <c r="BY436" s="1052"/>
      <c r="BZ436" s="1052"/>
      <c r="CA436" s="1052"/>
      <c r="CB436" s="1053"/>
      <c r="CC436" s="1053"/>
      <c r="CD436" s="1053"/>
      <c r="CE436" s="1053"/>
      <c r="CF436" s="1053"/>
      <c r="CG436" s="1053"/>
      <c r="CH436" s="1053"/>
      <c r="CI436" s="1123"/>
      <c r="CJ436" s="1123"/>
      <c r="CK436" s="1123"/>
      <c r="CL436" s="1123"/>
      <c r="CM436" s="1123"/>
      <c r="CN436" s="1123"/>
      <c r="CO436" s="1123"/>
      <c r="CP436" s="1123"/>
      <c r="CQ436" s="1123"/>
      <c r="CR436" s="1123"/>
      <c r="CS436" s="1123"/>
      <c r="CT436" s="1123"/>
      <c r="CU436" s="1123"/>
      <c r="CV436" s="1123"/>
      <c r="CW436" s="1123"/>
      <c r="CX436" s="1123"/>
      <c r="CY436" s="1123"/>
      <c r="CZ436" s="1114"/>
      <c r="DA436" s="1114"/>
      <c r="DB436" s="1114"/>
      <c r="DC436" s="1114"/>
      <c r="DD436" s="1114"/>
      <c r="DE436" s="1114"/>
      <c r="DF436" s="1114"/>
      <c r="DG436" s="1114"/>
      <c r="DH436" s="1114"/>
      <c r="DI436" s="1114"/>
      <c r="DJ436" s="1114"/>
      <c r="DK436" s="1114"/>
      <c r="DL436" s="1114"/>
      <c r="DM436" s="1114"/>
      <c r="DN436" s="1114"/>
      <c r="DO436" s="1114"/>
      <c r="DP436" s="1114"/>
      <c r="DQ436" s="1114"/>
      <c r="DR436" s="1114"/>
      <c r="DS436" s="1114"/>
      <c r="DT436" s="1114"/>
      <c r="DU436" s="1114"/>
      <c r="DV436" s="1115"/>
      <c r="DW436" s="1116"/>
      <c r="DX436" s="1116"/>
      <c r="DY436" s="1116"/>
      <c r="DZ436" s="1116"/>
      <c r="EA436" s="1116"/>
      <c r="EB436" s="1116"/>
      <c r="EC436" s="1116"/>
      <c r="ED436" s="1116"/>
      <c r="EE436" s="1116"/>
      <c r="EF436" s="1116"/>
      <c r="EG436" s="1116"/>
      <c r="EH436" s="1116"/>
      <c r="EI436" s="1116"/>
      <c r="EJ436" s="1116"/>
      <c r="EK436" s="1116"/>
      <c r="EL436" s="1116"/>
      <c r="EM436" s="1116"/>
      <c r="EN436" s="1116"/>
      <c r="EO436" s="1116"/>
      <c r="EP436" s="1116"/>
      <c r="EQ436" s="1116"/>
      <c r="ER436" s="1116"/>
      <c r="ES436" s="1116"/>
    </row>
    <row r="437" spans="1:149" ht="15" customHeight="1">
      <c r="A437" s="1185">
        <v>427</v>
      </c>
      <c r="B437" s="1041"/>
      <c r="C437" s="1050"/>
      <c r="D437" s="1050"/>
      <c r="E437" s="1050"/>
      <c r="F437" s="1049"/>
      <c r="G437" s="1049"/>
      <c r="H437" s="1049"/>
      <c r="I437" s="1049"/>
      <c r="J437" s="1050"/>
      <c r="K437" s="1050"/>
      <c r="L437" s="1043"/>
      <c r="M437" s="1051"/>
      <c r="N437" s="1051"/>
      <c r="O437" s="1052"/>
      <c r="P437" s="1051"/>
      <c r="Q437" s="1051"/>
      <c r="R437" s="1052"/>
      <c r="S437" s="1051"/>
      <c r="T437" s="1051"/>
      <c r="U437" s="1052"/>
      <c r="V437" s="1051"/>
      <c r="W437" s="1051"/>
      <c r="X437" s="1052"/>
      <c r="Y437" s="1053"/>
      <c r="Z437" s="1051"/>
      <c r="AA437" s="1051"/>
      <c r="AB437" s="1052"/>
      <c r="AC437" s="1051"/>
      <c r="AD437" s="1051"/>
      <c r="AE437" s="1052"/>
      <c r="AF437" s="1051"/>
      <c r="AG437" s="1051"/>
      <c r="AH437" s="1051"/>
      <c r="AI437" s="1051"/>
      <c r="AJ437" s="1052"/>
      <c r="AK437" s="1051"/>
      <c r="AL437" s="1051"/>
      <c r="AM437" s="1052"/>
      <c r="AN437" s="1051"/>
      <c r="AO437" s="1051"/>
      <c r="AP437" s="1052"/>
      <c r="AQ437" s="1051"/>
      <c r="AR437" s="1051"/>
      <c r="AS437" s="1052"/>
      <c r="AT437" s="1051"/>
      <c r="AU437" s="1051"/>
      <c r="AV437" s="1052"/>
      <c r="AW437" s="1051"/>
      <c r="AX437" s="1051"/>
      <c r="AY437" s="1053"/>
      <c r="AZ437" s="1051"/>
      <c r="BA437" s="1051"/>
      <c r="BB437" s="1053"/>
      <c r="BC437" s="1051"/>
      <c r="BD437" s="1051"/>
      <c r="BE437" s="1053"/>
      <c r="BF437" s="1051"/>
      <c r="BG437" s="1051"/>
      <c r="BH437" s="1053"/>
      <c r="BI437" s="1052"/>
      <c r="BJ437" s="1052"/>
      <c r="BK437" s="1052"/>
      <c r="BL437" s="1052"/>
      <c r="BM437" s="1052"/>
      <c r="BN437" s="1054"/>
      <c r="BO437" s="1076">
        <f t="shared" si="7"/>
        <v>0</v>
      </c>
      <c r="BP437" s="1051"/>
      <c r="BQ437" s="1052"/>
      <c r="BR437" s="1054"/>
      <c r="BS437" s="1053"/>
      <c r="BT437" s="1051"/>
      <c r="BU437" s="1051"/>
      <c r="BV437" s="1051"/>
      <c r="BW437" s="1052"/>
      <c r="BX437" s="1052"/>
      <c r="BY437" s="1052"/>
      <c r="BZ437" s="1052"/>
      <c r="CA437" s="1052"/>
      <c r="CB437" s="1053"/>
      <c r="CC437" s="1053"/>
      <c r="CD437" s="1053"/>
      <c r="CE437" s="1053"/>
      <c r="CF437" s="1053"/>
      <c r="CG437" s="1053"/>
      <c r="CH437" s="1053"/>
      <c r="CI437" s="1123"/>
      <c r="CJ437" s="1123"/>
      <c r="CK437" s="1123"/>
      <c r="CL437" s="1123"/>
      <c r="CM437" s="1123"/>
      <c r="CN437" s="1123"/>
      <c r="CO437" s="1123"/>
      <c r="CP437" s="1123"/>
      <c r="CQ437" s="1123"/>
      <c r="CR437" s="1123"/>
      <c r="CS437" s="1123"/>
      <c r="CT437" s="1123"/>
      <c r="CU437" s="1123"/>
      <c r="CV437" s="1123"/>
      <c r="CW437" s="1123"/>
      <c r="CX437" s="1123"/>
      <c r="CY437" s="1123"/>
      <c r="CZ437" s="1114"/>
      <c r="DA437" s="1114"/>
      <c r="DB437" s="1114"/>
      <c r="DC437" s="1114"/>
      <c r="DD437" s="1114"/>
      <c r="DE437" s="1114"/>
      <c r="DF437" s="1114"/>
      <c r="DG437" s="1114"/>
      <c r="DH437" s="1114"/>
      <c r="DI437" s="1114"/>
      <c r="DJ437" s="1114"/>
      <c r="DK437" s="1114"/>
      <c r="DL437" s="1114"/>
      <c r="DM437" s="1114"/>
      <c r="DN437" s="1114"/>
      <c r="DO437" s="1114"/>
      <c r="DP437" s="1114"/>
      <c r="DQ437" s="1114"/>
      <c r="DR437" s="1114"/>
      <c r="DS437" s="1114"/>
      <c r="DT437" s="1114"/>
      <c r="DU437" s="1114"/>
      <c r="DV437" s="1115"/>
      <c r="DW437" s="1116"/>
      <c r="DX437" s="1116"/>
      <c r="DY437" s="1116"/>
      <c r="DZ437" s="1116"/>
      <c r="EA437" s="1116"/>
      <c r="EB437" s="1116"/>
      <c r="EC437" s="1116"/>
      <c r="ED437" s="1116"/>
      <c r="EE437" s="1116"/>
      <c r="EF437" s="1116"/>
      <c r="EG437" s="1116"/>
      <c r="EH437" s="1116"/>
      <c r="EI437" s="1116"/>
      <c r="EJ437" s="1116"/>
      <c r="EK437" s="1116"/>
      <c r="EL437" s="1116"/>
      <c r="EM437" s="1116"/>
      <c r="EN437" s="1116"/>
      <c r="EO437" s="1116"/>
      <c r="EP437" s="1116"/>
      <c r="EQ437" s="1116"/>
      <c r="ER437" s="1116"/>
      <c r="ES437" s="1116"/>
    </row>
    <row r="438" spans="1:149" ht="15" customHeight="1">
      <c r="A438" s="1185">
        <v>428</v>
      </c>
      <c r="B438" s="1041"/>
      <c r="C438" s="1050"/>
      <c r="D438" s="1050"/>
      <c r="E438" s="1050"/>
      <c r="F438" s="1049"/>
      <c r="G438" s="1049"/>
      <c r="H438" s="1049"/>
      <c r="I438" s="1049"/>
      <c r="J438" s="1050"/>
      <c r="K438" s="1050"/>
      <c r="L438" s="1043"/>
      <c r="M438" s="1051"/>
      <c r="N438" s="1051"/>
      <c r="O438" s="1052"/>
      <c r="P438" s="1051"/>
      <c r="Q438" s="1051"/>
      <c r="R438" s="1052"/>
      <c r="S438" s="1051"/>
      <c r="T438" s="1051"/>
      <c r="U438" s="1052"/>
      <c r="V438" s="1051"/>
      <c r="W438" s="1051"/>
      <c r="X438" s="1052"/>
      <c r="Y438" s="1053"/>
      <c r="Z438" s="1051"/>
      <c r="AA438" s="1051"/>
      <c r="AB438" s="1052"/>
      <c r="AC438" s="1051"/>
      <c r="AD438" s="1051"/>
      <c r="AE438" s="1052"/>
      <c r="AF438" s="1051"/>
      <c r="AG438" s="1051"/>
      <c r="AH438" s="1051"/>
      <c r="AI438" s="1051"/>
      <c r="AJ438" s="1052"/>
      <c r="AK438" s="1051"/>
      <c r="AL438" s="1051"/>
      <c r="AM438" s="1052"/>
      <c r="AN438" s="1051"/>
      <c r="AO438" s="1051"/>
      <c r="AP438" s="1052"/>
      <c r="AQ438" s="1051"/>
      <c r="AR438" s="1051"/>
      <c r="AS438" s="1052"/>
      <c r="AT438" s="1051"/>
      <c r="AU438" s="1051"/>
      <c r="AV438" s="1052"/>
      <c r="AW438" s="1051"/>
      <c r="AX438" s="1051"/>
      <c r="AY438" s="1053"/>
      <c r="AZ438" s="1051"/>
      <c r="BA438" s="1051"/>
      <c r="BB438" s="1053"/>
      <c r="BC438" s="1051"/>
      <c r="BD438" s="1051"/>
      <c r="BE438" s="1053"/>
      <c r="BF438" s="1051"/>
      <c r="BG438" s="1051"/>
      <c r="BH438" s="1053"/>
      <c r="BI438" s="1052"/>
      <c r="BJ438" s="1052"/>
      <c r="BK438" s="1052"/>
      <c r="BL438" s="1052"/>
      <c r="BM438" s="1052"/>
      <c r="BN438" s="1054"/>
      <c r="BO438" s="1076">
        <f t="shared" si="7"/>
        <v>0</v>
      </c>
      <c r="BP438" s="1051"/>
      <c r="BQ438" s="1052"/>
      <c r="BR438" s="1054"/>
      <c r="BS438" s="1053"/>
      <c r="BT438" s="1051"/>
      <c r="BU438" s="1051"/>
      <c r="BV438" s="1051"/>
      <c r="BW438" s="1052"/>
      <c r="BX438" s="1052"/>
      <c r="BY438" s="1052"/>
      <c r="BZ438" s="1052"/>
      <c r="CA438" s="1052"/>
      <c r="CB438" s="1053"/>
      <c r="CC438" s="1053"/>
      <c r="CD438" s="1053"/>
      <c r="CE438" s="1053"/>
      <c r="CF438" s="1053"/>
      <c r="CG438" s="1053"/>
      <c r="CH438" s="1053"/>
      <c r="CI438" s="1123"/>
      <c r="CJ438" s="1123"/>
      <c r="CK438" s="1123"/>
      <c r="CL438" s="1123"/>
      <c r="CM438" s="1123"/>
      <c r="CN438" s="1123"/>
      <c r="CO438" s="1123"/>
      <c r="CP438" s="1123"/>
      <c r="CQ438" s="1123"/>
      <c r="CR438" s="1123"/>
      <c r="CS438" s="1123"/>
      <c r="CT438" s="1123"/>
      <c r="CU438" s="1123"/>
      <c r="CV438" s="1123"/>
      <c r="CW438" s="1123"/>
      <c r="CX438" s="1123"/>
      <c r="CY438" s="1123"/>
      <c r="CZ438" s="1114"/>
      <c r="DA438" s="1114"/>
      <c r="DB438" s="1114"/>
      <c r="DC438" s="1114"/>
      <c r="DD438" s="1114"/>
      <c r="DE438" s="1114"/>
      <c r="DF438" s="1114"/>
      <c r="DG438" s="1114"/>
      <c r="DH438" s="1114"/>
      <c r="DI438" s="1114"/>
      <c r="DJ438" s="1114"/>
      <c r="DK438" s="1114"/>
      <c r="DL438" s="1114"/>
      <c r="DM438" s="1114"/>
      <c r="DN438" s="1114"/>
      <c r="DO438" s="1114"/>
      <c r="DP438" s="1114"/>
      <c r="DQ438" s="1114"/>
      <c r="DR438" s="1114"/>
      <c r="DS438" s="1114"/>
      <c r="DT438" s="1114"/>
      <c r="DU438" s="1114"/>
      <c r="DV438" s="1115"/>
      <c r="DW438" s="1116"/>
      <c r="DX438" s="1116"/>
      <c r="DY438" s="1116"/>
      <c r="DZ438" s="1116"/>
      <c r="EA438" s="1116"/>
      <c r="EB438" s="1116"/>
      <c r="EC438" s="1116"/>
      <c r="ED438" s="1116"/>
      <c r="EE438" s="1116"/>
      <c r="EF438" s="1116"/>
      <c r="EG438" s="1116"/>
      <c r="EH438" s="1116"/>
      <c r="EI438" s="1116"/>
      <c r="EJ438" s="1116"/>
      <c r="EK438" s="1116"/>
      <c r="EL438" s="1116"/>
      <c r="EM438" s="1116"/>
      <c r="EN438" s="1116"/>
      <c r="EO438" s="1116"/>
      <c r="EP438" s="1116"/>
      <c r="EQ438" s="1116"/>
      <c r="ER438" s="1116"/>
      <c r="ES438" s="1116"/>
    </row>
    <row r="439" spans="1:149" ht="15" customHeight="1">
      <c r="A439" s="1185">
        <v>429</v>
      </c>
      <c r="B439" s="1041"/>
      <c r="C439" s="1050"/>
      <c r="D439" s="1050"/>
      <c r="E439" s="1050"/>
      <c r="F439" s="1049"/>
      <c r="G439" s="1049"/>
      <c r="H439" s="1049"/>
      <c r="I439" s="1049"/>
      <c r="J439" s="1050"/>
      <c r="K439" s="1050"/>
      <c r="L439" s="1043"/>
      <c r="M439" s="1051"/>
      <c r="N439" s="1051"/>
      <c r="O439" s="1052"/>
      <c r="P439" s="1051"/>
      <c r="Q439" s="1051"/>
      <c r="R439" s="1052"/>
      <c r="S439" s="1051"/>
      <c r="T439" s="1051"/>
      <c r="U439" s="1052"/>
      <c r="V439" s="1051"/>
      <c r="W439" s="1051"/>
      <c r="X439" s="1052"/>
      <c r="Y439" s="1053"/>
      <c r="Z439" s="1051"/>
      <c r="AA439" s="1051"/>
      <c r="AB439" s="1052"/>
      <c r="AC439" s="1051"/>
      <c r="AD439" s="1051"/>
      <c r="AE439" s="1052"/>
      <c r="AF439" s="1051"/>
      <c r="AG439" s="1051"/>
      <c r="AH439" s="1051"/>
      <c r="AI439" s="1051"/>
      <c r="AJ439" s="1052"/>
      <c r="AK439" s="1051"/>
      <c r="AL439" s="1051"/>
      <c r="AM439" s="1052"/>
      <c r="AN439" s="1051"/>
      <c r="AO439" s="1051"/>
      <c r="AP439" s="1052"/>
      <c r="AQ439" s="1051"/>
      <c r="AR439" s="1051"/>
      <c r="AS439" s="1052"/>
      <c r="AT439" s="1051"/>
      <c r="AU439" s="1051"/>
      <c r="AV439" s="1052"/>
      <c r="AW439" s="1051"/>
      <c r="AX439" s="1051"/>
      <c r="AY439" s="1053"/>
      <c r="AZ439" s="1051"/>
      <c r="BA439" s="1051"/>
      <c r="BB439" s="1053"/>
      <c r="BC439" s="1051"/>
      <c r="BD439" s="1051"/>
      <c r="BE439" s="1053"/>
      <c r="BF439" s="1051"/>
      <c r="BG439" s="1051"/>
      <c r="BH439" s="1053"/>
      <c r="BI439" s="1052"/>
      <c r="BJ439" s="1052"/>
      <c r="BK439" s="1052"/>
      <c r="BL439" s="1052"/>
      <c r="BM439" s="1052"/>
      <c r="BN439" s="1054"/>
      <c r="BO439" s="1076">
        <f t="shared" si="7"/>
        <v>0</v>
      </c>
      <c r="BP439" s="1051"/>
      <c r="BQ439" s="1052"/>
      <c r="BR439" s="1054"/>
      <c r="BS439" s="1053"/>
      <c r="BT439" s="1051"/>
      <c r="BU439" s="1051"/>
      <c r="BV439" s="1051"/>
      <c r="BW439" s="1052"/>
      <c r="BX439" s="1052"/>
      <c r="BY439" s="1052"/>
      <c r="BZ439" s="1052"/>
      <c r="CA439" s="1052"/>
      <c r="CB439" s="1053"/>
      <c r="CC439" s="1053"/>
      <c r="CD439" s="1053"/>
      <c r="CE439" s="1053"/>
      <c r="CF439" s="1053"/>
      <c r="CG439" s="1053"/>
      <c r="CH439" s="1053"/>
      <c r="CI439" s="1123"/>
      <c r="CJ439" s="1123"/>
      <c r="CK439" s="1123"/>
      <c r="CL439" s="1123"/>
      <c r="CM439" s="1123"/>
      <c r="CN439" s="1123"/>
      <c r="CO439" s="1123"/>
      <c r="CP439" s="1123"/>
      <c r="CQ439" s="1123"/>
      <c r="CR439" s="1123"/>
      <c r="CS439" s="1123"/>
      <c r="CT439" s="1123"/>
      <c r="CU439" s="1123"/>
      <c r="CV439" s="1123"/>
      <c r="CW439" s="1123"/>
      <c r="CX439" s="1123"/>
      <c r="CY439" s="1123"/>
      <c r="CZ439" s="1114"/>
      <c r="DA439" s="1114"/>
      <c r="DB439" s="1114"/>
      <c r="DC439" s="1114"/>
      <c r="DD439" s="1114"/>
      <c r="DE439" s="1114"/>
      <c r="DF439" s="1114"/>
      <c r="DG439" s="1114"/>
      <c r="DH439" s="1114"/>
      <c r="DI439" s="1114"/>
      <c r="DJ439" s="1114"/>
      <c r="DK439" s="1114"/>
      <c r="DL439" s="1114"/>
      <c r="DM439" s="1114"/>
      <c r="DN439" s="1114"/>
      <c r="DO439" s="1114"/>
      <c r="DP439" s="1114"/>
      <c r="DQ439" s="1114"/>
      <c r="DR439" s="1114"/>
      <c r="DS439" s="1114"/>
      <c r="DT439" s="1114"/>
      <c r="DU439" s="1114"/>
      <c r="DV439" s="1115"/>
      <c r="DW439" s="1116"/>
      <c r="DX439" s="1116"/>
      <c r="DY439" s="1116"/>
      <c r="DZ439" s="1116"/>
      <c r="EA439" s="1116"/>
      <c r="EB439" s="1116"/>
      <c r="EC439" s="1116"/>
      <c r="ED439" s="1116"/>
      <c r="EE439" s="1116"/>
      <c r="EF439" s="1116"/>
      <c r="EG439" s="1116"/>
      <c r="EH439" s="1116"/>
      <c r="EI439" s="1116"/>
      <c r="EJ439" s="1116"/>
      <c r="EK439" s="1116"/>
      <c r="EL439" s="1116"/>
      <c r="EM439" s="1116"/>
      <c r="EN439" s="1116"/>
      <c r="EO439" s="1116"/>
      <c r="EP439" s="1116"/>
      <c r="EQ439" s="1116"/>
      <c r="ER439" s="1116"/>
      <c r="ES439" s="1116"/>
    </row>
    <row r="440" spans="1:149" ht="15" customHeight="1">
      <c r="A440" s="1185">
        <v>430</v>
      </c>
      <c r="B440" s="1041"/>
      <c r="C440" s="1050"/>
      <c r="D440" s="1050"/>
      <c r="E440" s="1050"/>
      <c r="F440" s="1049"/>
      <c r="G440" s="1049"/>
      <c r="H440" s="1049"/>
      <c r="I440" s="1049"/>
      <c r="J440" s="1050"/>
      <c r="K440" s="1050"/>
      <c r="L440" s="1043"/>
      <c r="M440" s="1051"/>
      <c r="N440" s="1051"/>
      <c r="O440" s="1052"/>
      <c r="P440" s="1051"/>
      <c r="Q440" s="1051"/>
      <c r="R440" s="1052"/>
      <c r="S440" s="1051"/>
      <c r="T440" s="1051"/>
      <c r="U440" s="1052"/>
      <c r="V440" s="1051"/>
      <c r="W440" s="1051"/>
      <c r="X440" s="1052"/>
      <c r="Y440" s="1053"/>
      <c r="Z440" s="1051"/>
      <c r="AA440" s="1051"/>
      <c r="AB440" s="1052"/>
      <c r="AC440" s="1051"/>
      <c r="AD440" s="1051"/>
      <c r="AE440" s="1052"/>
      <c r="AF440" s="1051"/>
      <c r="AG440" s="1051"/>
      <c r="AH440" s="1051"/>
      <c r="AI440" s="1051"/>
      <c r="AJ440" s="1052"/>
      <c r="AK440" s="1051"/>
      <c r="AL440" s="1051"/>
      <c r="AM440" s="1052"/>
      <c r="AN440" s="1051"/>
      <c r="AO440" s="1051"/>
      <c r="AP440" s="1052"/>
      <c r="AQ440" s="1051"/>
      <c r="AR440" s="1051"/>
      <c r="AS440" s="1052"/>
      <c r="AT440" s="1051"/>
      <c r="AU440" s="1051"/>
      <c r="AV440" s="1052"/>
      <c r="AW440" s="1051"/>
      <c r="AX440" s="1051"/>
      <c r="AY440" s="1053"/>
      <c r="AZ440" s="1051"/>
      <c r="BA440" s="1051"/>
      <c r="BB440" s="1053"/>
      <c r="BC440" s="1051"/>
      <c r="BD440" s="1051"/>
      <c r="BE440" s="1053"/>
      <c r="BF440" s="1051"/>
      <c r="BG440" s="1051"/>
      <c r="BH440" s="1053"/>
      <c r="BI440" s="1052"/>
      <c r="BJ440" s="1052"/>
      <c r="BK440" s="1052"/>
      <c r="BL440" s="1052"/>
      <c r="BM440" s="1052"/>
      <c r="BN440" s="1054"/>
      <c r="BO440" s="1076">
        <f t="shared" si="7"/>
        <v>0</v>
      </c>
      <c r="BP440" s="1051"/>
      <c r="BQ440" s="1052"/>
      <c r="BR440" s="1054"/>
      <c r="BS440" s="1053"/>
      <c r="BT440" s="1051"/>
      <c r="BU440" s="1051"/>
      <c r="BV440" s="1051"/>
      <c r="BW440" s="1052"/>
      <c r="BX440" s="1052"/>
      <c r="BY440" s="1052"/>
      <c r="BZ440" s="1052"/>
      <c r="CA440" s="1052"/>
      <c r="CB440" s="1053"/>
      <c r="CC440" s="1053"/>
      <c r="CD440" s="1053"/>
      <c r="CE440" s="1053"/>
      <c r="CF440" s="1053"/>
      <c r="CG440" s="1053"/>
      <c r="CH440" s="1053"/>
      <c r="CI440" s="1123"/>
      <c r="CJ440" s="1123"/>
      <c r="CK440" s="1123"/>
      <c r="CL440" s="1123"/>
      <c r="CM440" s="1123"/>
      <c r="CN440" s="1123"/>
      <c r="CO440" s="1123"/>
      <c r="CP440" s="1123"/>
      <c r="CQ440" s="1123"/>
      <c r="CR440" s="1123"/>
      <c r="CS440" s="1123"/>
      <c r="CT440" s="1123"/>
      <c r="CU440" s="1123"/>
      <c r="CV440" s="1123"/>
      <c r="CW440" s="1123"/>
      <c r="CX440" s="1123"/>
      <c r="CY440" s="1123"/>
      <c r="CZ440" s="1114"/>
      <c r="DA440" s="1114"/>
      <c r="DB440" s="1114"/>
      <c r="DC440" s="1114"/>
      <c r="DD440" s="1114"/>
      <c r="DE440" s="1114"/>
      <c r="DF440" s="1114"/>
      <c r="DG440" s="1114"/>
      <c r="DH440" s="1114"/>
      <c r="DI440" s="1114"/>
      <c r="DJ440" s="1114"/>
      <c r="DK440" s="1114"/>
      <c r="DL440" s="1114"/>
      <c r="DM440" s="1114"/>
      <c r="DN440" s="1114"/>
      <c r="DO440" s="1114"/>
      <c r="DP440" s="1114"/>
      <c r="DQ440" s="1114"/>
      <c r="DR440" s="1114"/>
      <c r="DS440" s="1114"/>
      <c r="DT440" s="1114"/>
      <c r="DU440" s="1114"/>
      <c r="DV440" s="1115"/>
      <c r="DW440" s="1116"/>
      <c r="DX440" s="1116"/>
      <c r="DY440" s="1116"/>
      <c r="DZ440" s="1116"/>
      <c r="EA440" s="1116"/>
      <c r="EB440" s="1116"/>
      <c r="EC440" s="1116"/>
      <c r="ED440" s="1116"/>
      <c r="EE440" s="1116"/>
      <c r="EF440" s="1116"/>
      <c r="EG440" s="1116"/>
      <c r="EH440" s="1116"/>
      <c r="EI440" s="1116"/>
      <c r="EJ440" s="1116"/>
      <c r="EK440" s="1116"/>
      <c r="EL440" s="1116"/>
      <c r="EM440" s="1116"/>
      <c r="EN440" s="1116"/>
      <c r="EO440" s="1116"/>
      <c r="EP440" s="1116"/>
      <c r="EQ440" s="1116"/>
      <c r="ER440" s="1116"/>
      <c r="ES440" s="1116"/>
    </row>
    <row r="441" spans="1:149" ht="15" customHeight="1">
      <c r="A441" s="1185">
        <v>431</v>
      </c>
      <c r="B441" s="1041"/>
      <c r="C441" s="1050"/>
      <c r="D441" s="1050"/>
      <c r="E441" s="1050"/>
      <c r="F441" s="1049"/>
      <c r="G441" s="1049"/>
      <c r="H441" s="1049"/>
      <c r="I441" s="1049"/>
      <c r="J441" s="1050"/>
      <c r="K441" s="1050"/>
      <c r="L441" s="1043"/>
      <c r="M441" s="1051"/>
      <c r="N441" s="1051"/>
      <c r="O441" s="1052"/>
      <c r="P441" s="1051"/>
      <c r="Q441" s="1051"/>
      <c r="R441" s="1052"/>
      <c r="S441" s="1051"/>
      <c r="T441" s="1051"/>
      <c r="U441" s="1052"/>
      <c r="V441" s="1051"/>
      <c r="W441" s="1051"/>
      <c r="X441" s="1052"/>
      <c r="Y441" s="1053"/>
      <c r="Z441" s="1051"/>
      <c r="AA441" s="1051"/>
      <c r="AB441" s="1052"/>
      <c r="AC441" s="1051"/>
      <c r="AD441" s="1051"/>
      <c r="AE441" s="1052"/>
      <c r="AF441" s="1051"/>
      <c r="AG441" s="1051"/>
      <c r="AH441" s="1051"/>
      <c r="AI441" s="1051"/>
      <c r="AJ441" s="1052"/>
      <c r="AK441" s="1051"/>
      <c r="AL441" s="1051"/>
      <c r="AM441" s="1052"/>
      <c r="AN441" s="1051"/>
      <c r="AO441" s="1051"/>
      <c r="AP441" s="1052"/>
      <c r="AQ441" s="1051"/>
      <c r="AR441" s="1051"/>
      <c r="AS441" s="1052"/>
      <c r="AT441" s="1051"/>
      <c r="AU441" s="1051"/>
      <c r="AV441" s="1052"/>
      <c r="AW441" s="1051"/>
      <c r="AX441" s="1051"/>
      <c r="AY441" s="1053"/>
      <c r="AZ441" s="1051"/>
      <c r="BA441" s="1051"/>
      <c r="BB441" s="1053"/>
      <c r="BC441" s="1051"/>
      <c r="BD441" s="1051"/>
      <c r="BE441" s="1053"/>
      <c r="BF441" s="1051"/>
      <c r="BG441" s="1051"/>
      <c r="BH441" s="1053"/>
      <c r="BI441" s="1052"/>
      <c r="BJ441" s="1052"/>
      <c r="BK441" s="1052"/>
      <c r="BL441" s="1052"/>
      <c r="BM441" s="1052"/>
      <c r="BN441" s="1054"/>
      <c r="BO441" s="1076">
        <f t="shared" si="7"/>
        <v>0</v>
      </c>
      <c r="BP441" s="1051"/>
      <c r="BQ441" s="1052"/>
      <c r="BR441" s="1054"/>
      <c r="BS441" s="1053"/>
      <c r="BT441" s="1051"/>
      <c r="BU441" s="1051"/>
      <c r="BV441" s="1051"/>
      <c r="BW441" s="1052"/>
      <c r="BX441" s="1052"/>
      <c r="BY441" s="1052"/>
      <c r="BZ441" s="1052"/>
      <c r="CA441" s="1052"/>
      <c r="CB441" s="1053"/>
      <c r="CC441" s="1053"/>
      <c r="CD441" s="1053"/>
      <c r="CE441" s="1053"/>
      <c r="CF441" s="1053"/>
      <c r="CG441" s="1053"/>
      <c r="CH441" s="1053"/>
      <c r="CI441" s="1123"/>
      <c r="CJ441" s="1123"/>
      <c r="CK441" s="1123"/>
      <c r="CL441" s="1123"/>
      <c r="CM441" s="1123"/>
      <c r="CN441" s="1123"/>
      <c r="CO441" s="1123"/>
      <c r="CP441" s="1123"/>
      <c r="CQ441" s="1123"/>
      <c r="CR441" s="1123"/>
      <c r="CS441" s="1123"/>
      <c r="CT441" s="1123"/>
      <c r="CU441" s="1123"/>
      <c r="CV441" s="1123"/>
      <c r="CW441" s="1123"/>
      <c r="CX441" s="1123"/>
      <c r="CY441" s="1123"/>
      <c r="CZ441" s="1114"/>
      <c r="DA441" s="1114"/>
      <c r="DB441" s="1114"/>
      <c r="DC441" s="1114"/>
      <c r="DD441" s="1114"/>
      <c r="DE441" s="1114"/>
      <c r="DF441" s="1114"/>
      <c r="DG441" s="1114"/>
      <c r="DH441" s="1114"/>
      <c r="DI441" s="1114"/>
      <c r="DJ441" s="1114"/>
      <c r="DK441" s="1114"/>
      <c r="DL441" s="1114"/>
      <c r="DM441" s="1114"/>
      <c r="DN441" s="1114"/>
      <c r="DO441" s="1114"/>
      <c r="DP441" s="1114"/>
      <c r="DQ441" s="1114"/>
      <c r="DR441" s="1114"/>
      <c r="DS441" s="1114"/>
      <c r="DT441" s="1114"/>
      <c r="DU441" s="1114"/>
      <c r="DV441" s="1115"/>
      <c r="DW441" s="1116"/>
      <c r="DX441" s="1116"/>
      <c r="DY441" s="1116"/>
      <c r="DZ441" s="1116"/>
      <c r="EA441" s="1116"/>
      <c r="EB441" s="1116"/>
      <c r="EC441" s="1116"/>
      <c r="ED441" s="1116"/>
      <c r="EE441" s="1116"/>
      <c r="EF441" s="1116"/>
      <c r="EG441" s="1116"/>
      <c r="EH441" s="1116"/>
      <c r="EI441" s="1116"/>
      <c r="EJ441" s="1116"/>
      <c r="EK441" s="1116"/>
      <c r="EL441" s="1116"/>
      <c r="EM441" s="1116"/>
      <c r="EN441" s="1116"/>
      <c r="EO441" s="1116"/>
      <c r="EP441" s="1116"/>
      <c r="EQ441" s="1116"/>
      <c r="ER441" s="1116"/>
      <c r="ES441" s="1116"/>
    </row>
    <row r="442" spans="1:149" ht="15" customHeight="1">
      <c r="A442" s="1185">
        <v>432</v>
      </c>
      <c r="B442" s="1041"/>
      <c r="C442" s="1050"/>
      <c r="D442" s="1050"/>
      <c r="E442" s="1050"/>
      <c r="F442" s="1049"/>
      <c r="G442" s="1049"/>
      <c r="H442" s="1049"/>
      <c r="I442" s="1049"/>
      <c r="J442" s="1050"/>
      <c r="K442" s="1050"/>
      <c r="L442" s="1043"/>
      <c r="M442" s="1051"/>
      <c r="N442" s="1051"/>
      <c r="O442" s="1052"/>
      <c r="P442" s="1051"/>
      <c r="Q442" s="1051"/>
      <c r="R442" s="1052"/>
      <c r="S442" s="1051"/>
      <c r="T442" s="1051"/>
      <c r="U442" s="1052"/>
      <c r="V442" s="1051"/>
      <c r="W442" s="1051"/>
      <c r="X442" s="1052"/>
      <c r="Y442" s="1053"/>
      <c r="Z442" s="1051"/>
      <c r="AA442" s="1051"/>
      <c r="AB442" s="1052"/>
      <c r="AC442" s="1051"/>
      <c r="AD442" s="1051"/>
      <c r="AE442" s="1052"/>
      <c r="AF442" s="1051"/>
      <c r="AG442" s="1051"/>
      <c r="AH442" s="1051"/>
      <c r="AI442" s="1051"/>
      <c r="AJ442" s="1052"/>
      <c r="AK442" s="1051"/>
      <c r="AL442" s="1051"/>
      <c r="AM442" s="1052"/>
      <c r="AN442" s="1051"/>
      <c r="AO442" s="1051"/>
      <c r="AP442" s="1052"/>
      <c r="AQ442" s="1051"/>
      <c r="AR442" s="1051"/>
      <c r="AS442" s="1052"/>
      <c r="AT442" s="1051"/>
      <c r="AU442" s="1051"/>
      <c r="AV442" s="1052"/>
      <c r="AW442" s="1051"/>
      <c r="AX442" s="1051"/>
      <c r="AY442" s="1053"/>
      <c r="AZ442" s="1051"/>
      <c r="BA442" s="1051"/>
      <c r="BB442" s="1053"/>
      <c r="BC442" s="1051"/>
      <c r="BD442" s="1051"/>
      <c r="BE442" s="1053"/>
      <c r="BF442" s="1051"/>
      <c r="BG442" s="1051"/>
      <c r="BH442" s="1053"/>
      <c r="BI442" s="1052"/>
      <c r="BJ442" s="1052"/>
      <c r="BK442" s="1052"/>
      <c r="BL442" s="1052"/>
      <c r="BM442" s="1052"/>
      <c r="BN442" s="1054"/>
      <c r="BO442" s="1076">
        <f t="shared" si="7"/>
        <v>0</v>
      </c>
      <c r="BP442" s="1051"/>
      <c r="BQ442" s="1052"/>
      <c r="BR442" s="1054"/>
      <c r="BS442" s="1053"/>
      <c r="BT442" s="1051"/>
      <c r="BU442" s="1051"/>
      <c r="BV442" s="1051"/>
      <c r="BW442" s="1052"/>
      <c r="BX442" s="1052"/>
      <c r="BY442" s="1052"/>
      <c r="BZ442" s="1052"/>
      <c r="CA442" s="1052"/>
      <c r="CB442" s="1053"/>
      <c r="CC442" s="1053"/>
      <c r="CD442" s="1053"/>
      <c r="CE442" s="1053"/>
      <c r="CF442" s="1053"/>
      <c r="CG442" s="1053"/>
      <c r="CH442" s="1053"/>
      <c r="CI442" s="1123"/>
      <c r="CJ442" s="1123"/>
      <c r="CK442" s="1123"/>
      <c r="CL442" s="1123"/>
      <c r="CM442" s="1123"/>
      <c r="CN442" s="1123"/>
      <c r="CO442" s="1123"/>
      <c r="CP442" s="1123"/>
      <c r="CQ442" s="1123"/>
      <c r="CR442" s="1123"/>
      <c r="CS442" s="1123"/>
      <c r="CT442" s="1123"/>
      <c r="CU442" s="1123"/>
      <c r="CV442" s="1123"/>
      <c r="CW442" s="1123"/>
      <c r="CX442" s="1123"/>
      <c r="CY442" s="1123"/>
      <c r="CZ442" s="1114"/>
      <c r="DA442" s="1114"/>
      <c r="DB442" s="1114"/>
      <c r="DC442" s="1114"/>
      <c r="DD442" s="1114"/>
      <c r="DE442" s="1114"/>
      <c r="DF442" s="1114"/>
      <c r="DG442" s="1114"/>
      <c r="DH442" s="1114"/>
      <c r="DI442" s="1114"/>
      <c r="DJ442" s="1114"/>
      <c r="DK442" s="1114"/>
      <c r="DL442" s="1114"/>
      <c r="DM442" s="1114"/>
      <c r="DN442" s="1114"/>
      <c r="DO442" s="1114"/>
      <c r="DP442" s="1114"/>
      <c r="DQ442" s="1114"/>
      <c r="DR442" s="1114"/>
      <c r="DS442" s="1114"/>
      <c r="DT442" s="1114"/>
      <c r="DU442" s="1114"/>
      <c r="DV442" s="1115"/>
      <c r="DW442" s="1116"/>
      <c r="DX442" s="1116"/>
      <c r="DY442" s="1116"/>
      <c r="DZ442" s="1116"/>
      <c r="EA442" s="1116"/>
      <c r="EB442" s="1116"/>
      <c r="EC442" s="1116"/>
      <c r="ED442" s="1116"/>
      <c r="EE442" s="1116"/>
      <c r="EF442" s="1116"/>
      <c r="EG442" s="1116"/>
      <c r="EH442" s="1116"/>
      <c r="EI442" s="1116"/>
      <c r="EJ442" s="1116"/>
      <c r="EK442" s="1116"/>
      <c r="EL442" s="1116"/>
      <c r="EM442" s="1116"/>
      <c r="EN442" s="1116"/>
      <c r="EO442" s="1116"/>
      <c r="EP442" s="1116"/>
      <c r="EQ442" s="1116"/>
      <c r="ER442" s="1116"/>
      <c r="ES442" s="1116"/>
    </row>
    <row r="443" spans="1:149" ht="15" customHeight="1">
      <c r="A443" s="1185">
        <v>433</v>
      </c>
      <c r="B443" s="1041"/>
      <c r="C443" s="1050"/>
      <c r="D443" s="1050"/>
      <c r="E443" s="1050"/>
      <c r="F443" s="1049"/>
      <c r="G443" s="1049"/>
      <c r="H443" s="1049"/>
      <c r="I443" s="1049"/>
      <c r="J443" s="1050"/>
      <c r="K443" s="1050"/>
      <c r="L443" s="1043"/>
      <c r="M443" s="1051"/>
      <c r="N443" s="1051"/>
      <c r="O443" s="1052"/>
      <c r="P443" s="1051"/>
      <c r="Q443" s="1051"/>
      <c r="R443" s="1052"/>
      <c r="S443" s="1051"/>
      <c r="T443" s="1051"/>
      <c r="U443" s="1052"/>
      <c r="V443" s="1051"/>
      <c r="W443" s="1051"/>
      <c r="X443" s="1052"/>
      <c r="Y443" s="1053"/>
      <c r="Z443" s="1051"/>
      <c r="AA443" s="1051"/>
      <c r="AB443" s="1052"/>
      <c r="AC443" s="1051"/>
      <c r="AD443" s="1051"/>
      <c r="AE443" s="1052"/>
      <c r="AF443" s="1051"/>
      <c r="AG443" s="1051"/>
      <c r="AH443" s="1051"/>
      <c r="AI443" s="1051"/>
      <c r="AJ443" s="1052"/>
      <c r="AK443" s="1051"/>
      <c r="AL443" s="1051"/>
      <c r="AM443" s="1052"/>
      <c r="AN443" s="1051"/>
      <c r="AO443" s="1051"/>
      <c r="AP443" s="1052"/>
      <c r="AQ443" s="1051"/>
      <c r="AR443" s="1051"/>
      <c r="AS443" s="1052"/>
      <c r="AT443" s="1051"/>
      <c r="AU443" s="1051"/>
      <c r="AV443" s="1052"/>
      <c r="AW443" s="1051"/>
      <c r="AX443" s="1051"/>
      <c r="AY443" s="1053"/>
      <c r="AZ443" s="1051"/>
      <c r="BA443" s="1051"/>
      <c r="BB443" s="1053"/>
      <c r="BC443" s="1051"/>
      <c r="BD443" s="1051"/>
      <c r="BE443" s="1053"/>
      <c r="BF443" s="1051"/>
      <c r="BG443" s="1051"/>
      <c r="BH443" s="1053"/>
      <c r="BI443" s="1052"/>
      <c r="BJ443" s="1052"/>
      <c r="BK443" s="1052"/>
      <c r="BL443" s="1052"/>
      <c r="BM443" s="1052"/>
      <c r="BN443" s="1054"/>
      <c r="BO443" s="1076">
        <f t="shared" si="7"/>
        <v>0</v>
      </c>
      <c r="BP443" s="1051"/>
      <c r="BQ443" s="1052"/>
      <c r="BR443" s="1054"/>
      <c r="BS443" s="1053"/>
      <c r="BT443" s="1051"/>
      <c r="BU443" s="1051"/>
      <c r="BV443" s="1051"/>
      <c r="BW443" s="1052"/>
      <c r="BX443" s="1052"/>
      <c r="BY443" s="1052"/>
      <c r="BZ443" s="1052"/>
      <c r="CA443" s="1052"/>
      <c r="CB443" s="1053"/>
      <c r="CC443" s="1053"/>
      <c r="CD443" s="1053"/>
      <c r="CE443" s="1053"/>
      <c r="CF443" s="1053"/>
      <c r="CG443" s="1053"/>
      <c r="CH443" s="1053"/>
      <c r="CI443" s="1123"/>
      <c r="CJ443" s="1123"/>
      <c r="CK443" s="1123"/>
      <c r="CL443" s="1123"/>
      <c r="CM443" s="1123"/>
      <c r="CN443" s="1123"/>
      <c r="CO443" s="1123"/>
      <c r="CP443" s="1123"/>
      <c r="CQ443" s="1123"/>
      <c r="CR443" s="1123"/>
      <c r="CS443" s="1123"/>
      <c r="CT443" s="1123"/>
      <c r="CU443" s="1123"/>
      <c r="CV443" s="1123"/>
      <c r="CW443" s="1123"/>
      <c r="CX443" s="1123"/>
      <c r="CY443" s="1123"/>
      <c r="CZ443" s="1114"/>
      <c r="DA443" s="1114"/>
      <c r="DB443" s="1114"/>
      <c r="DC443" s="1114"/>
      <c r="DD443" s="1114"/>
      <c r="DE443" s="1114"/>
      <c r="DF443" s="1114"/>
      <c r="DG443" s="1114"/>
      <c r="DH443" s="1114"/>
      <c r="DI443" s="1114"/>
      <c r="DJ443" s="1114"/>
      <c r="DK443" s="1114"/>
      <c r="DL443" s="1114"/>
      <c r="DM443" s="1114"/>
      <c r="DN443" s="1114"/>
      <c r="DO443" s="1114"/>
      <c r="DP443" s="1114"/>
      <c r="DQ443" s="1114"/>
      <c r="DR443" s="1114"/>
      <c r="DS443" s="1114"/>
      <c r="DT443" s="1114"/>
      <c r="DU443" s="1114"/>
      <c r="DV443" s="1115"/>
      <c r="DW443" s="1116"/>
      <c r="DX443" s="1116"/>
      <c r="DY443" s="1116"/>
      <c r="DZ443" s="1116"/>
      <c r="EA443" s="1116"/>
      <c r="EB443" s="1116"/>
      <c r="EC443" s="1116"/>
      <c r="ED443" s="1116"/>
      <c r="EE443" s="1116"/>
      <c r="EF443" s="1116"/>
      <c r="EG443" s="1116"/>
      <c r="EH443" s="1116"/>
      <c r="EI443" s="1116"/>
      <c r="EJ443" s="1116"/>
      <c r="EK443" s="1116"/>
      <c r="EL443" s="1116"/>
      <c r="EM443" s="1116"/>
      <c r="EN443" s="1116"/>
      <c r="EO443" s="1116"/>
      <c r="EP443" s="1116"/>
      <c r="EQ443" s="1116"/>
      <c r="ER443" s="1116"/>
      <c r="ES443" s="1116"/>
    </row>
    <row r="444" spans="1:149" ht="15" customHeight="1">
      <c r="A444" s="1185">
        <v>434</v>
      </c>
      <c r="B444" s="1041"/>
      <c r="C444" s="1050"/>
      <c r="D444" s="1050"/>
      <c r="E444" s="1050"/>
      <c r="F444" s="1049"/>
      <c r="G444" s="1049"/>
      <c r="H444" s="1049"/>
      <c r="I444" s="1049"/>
      <c r="J444" s="1050"/>
      <c r="K444" s="1050"/>
      <c r="L444" s="1043"/>
      <c r="M444" s="1051"/>
      <c r="N444" s="1051"/>
      <c r="O444" s="1052"/>
      <c r="P444" s="1051"/>
      <c r="Q444" s="1051"/>
      <c r="R444" s="1052"/>
      <c r="S444" s="1051"/>
      <c r="T444" s="1051"/>
      <c r="U444" s="1052"/>
      <c r="V444" s="1051"/>
      <c r="W444" s="1051"/>
      <c r="X444" s="1052"/>
      <c r="Y444" s="1053"/>
      <c r="Z444" s="1051"/>
      <c r="AA444" s="1051"/>
      <c r="AB444" s="1052"/>
      <c r="AC444" s="1051"/>
      <c r="AD444" s="1051"/>
      <c r="AE444" s="1052"/>
      <c r="AF444" s="1051"/>
      <c r="AG444" s="1051"/>
      <c r="AH444" s="1051"/>
      <c r="AI444" s="1051"/>
      <c r="AJ444" s="1052"/>
      <c r="AK444" s="1051"/>
      <c r="AL444" s="1051"/>
      <c r="AM444" s="1052"/>
      <c r="AN444" s="1051"/>
      <c r="AO444" s="1051"/>
      <c r="AP444" s="1052"/>
      <c r="AQ444" s="1051"/>
      <c r="AR444" s="1051"/>
      <c r="AS444" s="1052"/>
      <c r="AT444" s="1051"/>
      <c r="AU444" s="1051"/>
      <c r="AV444" s="1052"/>
      <c r="AW444" s="1051"/>
      <c r="AX444" s="1051"/>
      <c r="AY444" s="1053"/>
      <c r="AZ444" s="1051"/>
      <c r="BA444" s="1051"/>
      <c r="BB444" s="1053"/>
      <c r="BC444" s="1051"/>
      <c r="BD444" s="1051"/>
      <c r="BE444" s="1053"/>
      <c r="BF444" s="1051"/>
      <c r="BG444" s="1051"/>
      <c r="BH444" s="1053"/>
      <c r="BI444" s="1052"/>
      <c r="BJ444" s="1052"/>
      <c r="BK444" s="1052"/>
      <c r="BL444" s="1052"/>
      <c r="BM444" s="1052"/>
      <c r="BN444" s="1054"/>
      <c r="BO444" s="1076">
        <f t="shared" si="7"/>
        <v>0</v>
      </c>
      <c r="BP444" s="1051"/>
      <c r="BQ444" s="1052"/>
      <c r="BR444" s="1054"/>
      <c r="BS444" s="1053"/>
      <c r="BT444" s="1051"/>
      <c r="BU444" s="1051"/>
      <c r="BV444" s="1051"/>
      <c r="BW444" s="1052"/>
      <c r="BX444" s="1052"/>
      <c r="BY444" s="1052"/>
      <c r="BZ444" s="1052"/>
      <c r="CA444" s="1052"/>
      <c r="CB444" s="1053"/>
      <c r="CC444" s="1053"/>
      <c r="CD444" s="1053"/>
      <c r="CE444" s="1053"/>
      <c r="CF444" s="1053"/>
      <c r="CG444" s="1053"/>
      <c r="CH444" s="1053"/>
      <c r="CI444" s="1123"/>
      <c r="CJ444" s="1123"/>
      <c r="CK444" s="1123"/>
      <c r="CL444" s="1123"/>
      <c r="CM444" s="1123"/>
      <c r="CN444" s="1123"/>
      <c r="CO444" s="1123"/>
      <c r="CP444" s="1123"/>
      <c r="CQ444" s="1123"/>
      <c r="CR444" s="1123"/>
      <c r="CS444" s="1123"/>
      <c r="CT444" s="1123"/>
      <c r="CU444" s="1123"/>
      <c r="CV444" s="1123"/>
      <c r="CW444" s="1123"/>
      <c r="CX444" s="1123"/>
      <c r="CY444" s="1123"/>
      <c r="CZ444" s="1114"/>
      <c r="DA444" s="1114"/>
      <c r="DB444" s="1114"/>
      <c r="DC444" s="1114"/>
      <c r="DD444" s="1114"/>
      <c r="DE444" s="1114"/>
      <c r="DF444" s="1114"/>
      <c r="DG444" s="1114"/>
      <c r="DH444" s="1114"/>
      <c r="DI444" s="1114"/>
      <c r="DJ444" s="1114"/>
      <c r="DK444" s="1114"/>
      <c r="DL444" s="1114"/>
      <c r="DM444" s="1114"/>
      <c r="DN444" s="1114"/>
      <c r="DO444" s="1114"/>
      <c r="DP444" s="1114"/>
      <c r="DQ444" s="1114"/>
      <c r="DR444" s="1114"/>
      <c r="DS444" s="1114"/>
      <c r="DT444" s="1114"/>
      <c r="DU444" s="1114"/>
      <c r="DV444" s="1115"/>
      <c r="DW444" s="1116"/>
      <c r="DX444" s="1116"/>
      <c r="DY444" s="1116"/>
      <c r="DZ444" s="1116"/>
      <c r="EA444" s="1116"/>
      <c r="EB444" s="1116"/>
      <c r="EC444" s="1116"/>
      <c r="ED444" s="1116"/>
      <c r="EE444" s="1116"/>
      <c r="EF444" s="1116"/>
      <c r="EG444" s="1116"/>
      <c r="EH444" s="1116"/>
      <c r="EI444" s="1116"/>
      <c r="EJ444" s="1116"/>
      <c r="EK444" s="1116"/>
      <c r="EL444" s="1116"/>
      <c r="EM444" s="1116"/>
      <c r="EN444" s="1116"/>
      <c r="EO444" s="1116"/>
      <c r="EP444" s="1116"/>
      <c r="EQ444" s="1116"/>
      <c r="ER444" s="1116"/>
      <c r="ES444" s="1116"/>
    </row>
    <row r="445" spans="1:149" ht="15" customHeight="1">
      <c r="A445" s="1185">
        <v>435</v>
      </c>
      <c r="B445" s="1041"/>
      <c r="C445" s="1050"/>
      <c r="D445" s="1050"/>
      <c r="E445" s="1050"/>
      <c r="F445" s="1049"/>
      <c r="G445" s="1049"/>
      <c r="H445" s="1049"/>
      <c r="I445" s="1049"/>
      <c r="J445" s="1050"/>
      <c r="K445" s="1050"/>
      <c r="L445" s="1043"/>
      <c r="M445" s="1051"/>
      <c r="N445" s="1051"/>
      <c r="O445" s="1052"/>
      <c r="P445" s="1051"/>
      <c r="Q445" s="1051"/>
      <c r="R445" s="1052"/>
      <c r="S445" s="1051"/>
      <c r="T445" s="1051"/>
      <c r="U445" s="1052"/>
      <c r="V445" s="1051"/>
      <c r="W445" s="1051"/>
      <c r="X445" s="1052"/>
      <c r="Y445" s="1053"/>
      <c r="Z445" s="1051"/>
      <c r="AA445" s="1051"/>
      <c r="AB445" s="1052"/>
      <c r="AC445" s="1051"/>
      <c r="AD445" s="1051"/>
      <c r="AE445" s="1052"/>
      <c r="AF445" s="1051"/>
      <c r="AG445" s="1051"/>
      <c r="AH445" s="1051"/>
      <c r="AI445" s="1051"/>
      <c r="AJ445" s="1052"/>
      <c r="AK445" s="1051"/>
      <c r="AL445" s="1051"/>
      <c r="AM445" s="1052"/>
      <c r="AN445" s="1051"/>
      <c r="AO445" s="1051"/>
      <c r="AP445" s="1052"/>
      <c r="AQ445" s="1051"/>
      <c r="AR445" s="1051"/>
      <c r="AS445" s="1052"/>
      <c r="AT445" s="1051"/>
      <c r="AU445" s="1051"/>
      <c r="AV445" s="1052"/>
      <c r="AW445" s="1051"/>
      <c r="AX445" s="1051"/>
      <c r="AY445" s="1053"/>
      <c r="AZ445" s="1051"/>
      <c r="BA445" s="1051"/>
      <c r="BB445" s="1053"/>
      <c r="BC445" s="1051"/>
      <c r="BD445" s="1051"/>
      <c r="BE445" s="1053"/>
      <c r="BF445" s="1051"/>
      <c r="BG445" s="1051"/>
      <c r="BH445" s="1053"/>
      <c r="BI445" s="1052"/>
      <c r="BJ445" s="1052"/>
      <c r="BK445" s="1052"/>
      <c r="BL445" s="1052"/>
      <c r="BM445" s="1052"/>
      <c r="BN445" s="1054"/>
      <c r="BO445" s="1076">
        <f t="shared" si="7"/>
        <v>0</v>
      </c>
      <c r="BP445" s="1051"/>
      <c r="BQ445" s="1052"/>
      <c r="BR445" s="1054"/>
      <c r="BS445" s="1053"/>
      <c r="BT445" s="1051"/>
      <c r="BU445" s="1051"/>
      <c r="BV445" s="1051"/>
      <c r="BW445" s="1052"/>
      <c r="BX445" s="1052"/>
      <c r="BY445" s="1052"/>
      <c r="BZ445" s="1052"/>
      <c r="CA445" s="1052"/>
      <c r="CB445" s="1053"/>
      <c r="CC445" s="1053"/>
      <c r="CD445" s="1053"/>
      <c r="CE445" s="1053"/>
      <c r="CF445" s="1053"/>
      <c r="CG445" s="1053"/>
      <c r="CH445" s="1053"/>
      <c r="CI445" s="1123"/>
      <c r="CJ445" s="1123"/>
      <c r="CK445" s="1123"/>
      <c r="CL445" s="1123"/>
      <c r="CM445" s="1123"/>
      <c r="CN445" s="1123"/>
      <c r="CO445" s="1123"/>
      <c r="CP445" s="1123"/>
      <c r="CQ445" s="1123"/>
      <c r="CR445" s="1123"/>
      <c r="CS445" s="1123"/>
      <c r="CT445" s="1123"/>
      <c r="CU445" s="1123"/>
      <c r="CV445" s="1123"/>
      <c r="CW445" s="1123"/>
      <c r="CX445" s="1123"/>
      <c r="CY445" s="1123"/>
      <c r="CZ445" s="1114"/>
      <c r="DA445" s="1114"/>
      <c r="DB445" s="1114"/>
      <c r="DC445" s="1114"/>
      <c r="DD445" s="1114"/>
      <c r="DE445" s="1114"/>
      <c r="DF445" s="1114"/>
      <c r="DG445" s="1114"/>
      <c r="DH445" s="1114"/>
      <c r="DI445" s="1114"/>
      <c r="DJ445" s="1114"/>
      <c r="DK445" s="1114"/>
      <c r="DL445" s="1114"/>
      <c r="DM445" s="1114"/>
      <c r="DN445" s="1114"/>
      <c r="DO445" s="1114"/>
      <c r="DP445" s="1114"/>
      <c r="DQ445" s="1114"/>
      <c r="DR445" s="1114"/>
      <c r="DS445" s="1114"/>
      <c r="DT445" s="1114"/>
      <c r="DU445" s="1114"/>
      <c r="DV445" s="1115"/>
      <c r="DW445" s="1116"/>
      <c r="DX445" s="1116"/>
      <c r="DY445" s="1116"/>
      <c r="DZ445" s="1116"/>
      <c r="EA445" s="1116"/>
      <c r="EB445" s="1116"/>
      <c r="EC445" s="1116"/>
      <c r="ED445" s="1116"/>
      <c r="EE445" s="1116"/>
      <c r="EF445" s="1116"/>
      <c r="EG445" s="1116"/>
      <c r="EH445" s="1116"/>
      <c r="EI445" s="1116"/>
      <c r="EJ445" s="1116"/>
      <c r="EK445" s="1116"/>
      <c r="EL445" s="1116"/>
      <c r="EM445" s="1116"/>
      <c r="EN445" s="1116"/>
      <c r="EO445" s="1116"/>
      <c r="EP445" s="1116"/>
      <c r="EQ445" s="1116"/>
      <c r="ER445" s="1116"/>
      <c r="ES445" s="1116"/>
    </row>
    <row r="446" spans="1:149" ht="15" customHeight="1">
      <c r="A446" s="1185">
        <v>436</v>
      </c>
      <c r="B446" s="1041"/>
      <c r="C446" s="1050"/>
      <c r="D446" s="1050"/>
      <c r="E446" s="1050"/>
      <c r="F446" s="1049"/>
      <c r="G446" s="1049"/>
      <c r="H446" s="1049"/>
      <c r="I446" s="1049"/>
      <c r="J446" s="1050"/>
      <c r="K446" s="1050"/>
      <c r="L446" s="1043"/>
      <c r="M446" s="1051"/>
      <c r="N446" s="1051"/>
      <c r="O446" s="1052"/>
      <c r="P446" s="1051"/>
      <c r="Q446" s="1051"/>
      <c r="R446" s="1052"/>
      <c r="S446" s="1051"/>
      <c r="T446" s="1051"/>
      <c r="U446" s="1052"/>
      <c r="V446" s="1051"/>
      <c r="W446" s="1051"/>
      <c r="X446" s="1052"/>
      <c r="Y446" s="1053"/>
      <c r="Z446" s="1051"/>
      <c r="AA446" s="1051"/>
      <c r="AB446" s="1052"/>
      <c r="AC446" s="1051"/>
      <c r="AD446" s="1051"/>
      <c r="AE446" s="1052"/>
      <c r="AF446" s="1051"/>
      <c r="AG446" s="1051"/>
      <c r="AH446" s="1051"/>
      <c r="AI446" s="1051"/>
      <c r="AJ446" s="1052"/>
      <c r="AK446" s="1051"/>
      <c r="AL446" s="1051"/>
      <c r="AM446" s="1052"/>
      <c r="AN446" s="1051"/>
      <c r="AO446" s="1051"/>
      <c r="AP446" s="1052"/>
      <c r="AQ446" s="1051"/>
      <c r="AR446" s="1051"/>
      <c r="AS446" s="1052"/>
      <c r="AT446" s="1051"/>
      <c r="AU446" s="1051"/>
      <c r="AV446" s="1052"/>
      <c r="AW446" s="1051"/>
      <c r="AX446" s="1051"/>
      <c r="AY446" s="1053"/>
      <c r="AZ446" s="1051"/>
      <c r="BA446" s="1051"/>
      <c r="BB446" s="1053"/>
      <c r="BC446" s="1051"/>
      <c r="BD446" s="1051"/>
      <c r="BE446" s="1053"/>
      <c r="BF446" s="1051"/>
      <c r="BG446" s="1051"/>
      <c r="BH446" s="1053"/>
      <c r="BI446" s="1052"/>
      <c r="BJ446" s="1052"/>
      <c r="BK446" s="1052"/>
      <c r="BL446" s="1052"/>
      <c r="BM446" s="1052"/>
      <c r="BN446" s="1054"/>
      <c r="BO446" s="1076">
        <f t="shared" si="7"/>
        <v>0</v>
      </c>
      <c r="BP446" s="1051"/>
      <c r="BQ446" s="1052"/>
      <c r="BR446" s="1054"/>
      <c r="BS446" s="1053"/>
      <c r="BT446" s="1051"/>
      <c r="BU446" s="1051"/>
      <c r="BV446" s="1051"/>
      <c r="BW446" s="1052"/>
      <c r="BX446" s="1052"/>
      <c r="BY446" s="1052"/>
      <c r="BZ446" s="1052"/>
      <c r="CA446" s="1052"/>
      <c r="CB446" s="1053"/>
      <c r="CC446" s="1053"/>
      <c r="CD446" s="1053"/>
      <c r="CE446" s="1053"/>
      <c r="CF446" s="1053"/>
      <c r="CG446" s="1053"/>
      <c r="CH446" s="1053"/>
      <c r="CI446" s="1123"/>
      <c r="CJ446" s="1123"/>
      <c r="CK446" s="1123"/>
      <c r="CL446" s="1123"/>
      <c r="CM446" s="1123"/>
      <c r="CN446" s="1123"/>
      <c r="CO446" s="1123"/>
      <c r="CP446" s="1123"/>
      <c r="CQ446" s="1123"/>
      <c r="CR446" s="1123"/>
      <c r="CS446" s="1123"/>
      <c r="CT446" s="1123"/>
      <c r="CU446" s="1123"/>
      <c r="CV446" s="1123"/>
      <c r="CW446" s="1123"/>
      <c r="CX446" s="1123"/>
      <c r="CY446" s="1123"/>
      <c r="CZ446" s="1114"/>
      <c r="DA446" s="1114"/>
      <c r="DB446" s="1114"/>
      <c r="DC446" s="1114"/>
      <c r="DD446" s="1114"/>
      <c r="DE446" s="1114"/>
      <c r="DF446" s="1114"/>
      <c r="DG446" s="1114"/>
      <c r="DH446" s="1114"/>
      <c r="DI446" s="1114"/>
      <c r="DJ446" s="1114"/>
      <c r="DK446" s="1114"/>
      <c r="DL446" s="1114"/>
      <c r="DM446" s="1114"/>
      <c r="DN446" s="1114"/>
      <c r="DO446" s="1114"/>
      <c r="DP446" s="1114"/>
      <c r="DQ446" s="1114"/>
      <c r="DR446" s="1114"/>
      <c r="DS446" s="1114"/>
      <c r="DT446" s="1114"/>
      <c r="DU446" s="1114"/>
      <c r="DV446" s="1115"/>
      <c r="DW446" s="1116"/>
      <c r="DX446" s="1116"/>
      <c r="DY446" s="1116"/>
      <c r="DZ446" s="1116"/>
      <c r="EA446" s="1116"/>
      <c r="EB446" s="1116"/>
      <c r="EC446" s="1116"/>
      <c r="ED446" s="1116"/>
      <c r="EE446" s="1116"/>
      <c r="EF446" s="1116"/>
      <c r="EG446" s="1116"/>
      <c r="EH446" s="1116"/>
      <c r="EI446" s="1116"/>
      <c r="EJ446" s="1116"/>
      <c r="EK446" s="1116"/>
      <c r="EL446" s="1116"/>
      <c r="EM446" s="1116"/>
      <c r="EN446" s="1116"/>
      <c r="EO446" s="1116"/>
      <c r="EP446" s="1116"/>
      <c r="EQ446" s="1116"/>
      <c r="ER446" s="1116"/>
      <c r="ES446" s="1116"/>
    </row>
    <row r="447" spans="1:149" ht="15" customHeight="1">
      <c r="A447" s="1185">
        <v>437</v>
      </c>
      <c r="B447" s="1041"/>
      <c r="C447" s="1050"/>
      <c r="D447" s="1050"/>
      <c r="E447" s="1050"/>
      <c r="F447" s="1049"/>
      <c r="G447" s="1049"/>
      <c r="H447" s="1049"/>
      <c r="I447" s="1049"/>
      <c r="J447" s="1050"/>
      <c r="K447" s="1050"/>
      <c r="L447" s="1043"/>
      <c r="M447" s="1051"/>
      <c r="N447" s="1051"/>
      <c r="O447" s="1052"/>
      <c r="P447" s="1051"/>
      <c r="Q447" s="1051"/>
      <c r="R447" s="1052"/>
      <c r="S447" s="1051"/>
      <c r="T447" s="1051"/>
      <c r="U447" s="1052"/>
      <c r="V447" s="1051"/>
      <c r="W447" s="1051"/>
      <c r="X447" s="1052"/>
      <c r="Y447" s="1053"/>
      <c r="Z447" s="1051"/>
      <c r="AA447" s="1051"/>
      <c r="AB447" s="1052"/>
      <c r="AC447" s="1051"/>
      <c r="AD447" s="1051"/>
      <c r="AE447" s="1052"/>
      <c r="AF447" s="1051"/>
      <c r="AG447" s="1051"/>
      <c r="AH447" s="1051"/>
      <c r="AI447" s="1051"/>
      <c r="AJ447" s="1052"/>
      <c r="AK447" s="1051"/>
      <c r="AL447" s="1051"/>
      <c r="AM447" s="1052"/>
      <c r="AN447" s="1051"/>
      <c r="AO447" s="1051"/>
      <c r="AP447" s="1052"/>
      <c r="AQ447" s="1051"/>
      <c r="AR447" s="1051"/>
      <c r="AS447" s="1052"/>
      <c r="AT447" s="1051"/>
      <c r="AU447" s="1051"/>
      <c r="AV447" s="1052"/>
      <c r="AW447" s="1051"/>
      <c r="AX447" s="1051"/>
      <c r="AY447" s="1053"/>
      <c r="AZ447" s="1051"/>
      <c r="BA447" s="1051"/>
      <c r="BB447" s="1053"/>
      <c r="BC447" s="1051"/>
      <c r="BD447" s="1051"/>
      <c r="BE447" s="1053"/>
      <c r="BF447" s="1051"/>
      <c r="BG447" s="1051"/>
      <c r="BH447" s="1053"/>
      <c r="BI447" s="1052"/>
      <c r="BJ447" s="1052"/>
      <c r="BK447" s="1052"/>
      <c r="BL447" s="1052"/>
      <c r="BM447" s="1052"/>
      <c r="BN447" s="1054"/>
      <c r="BO447" s="1076">
        <f t="shared" si="7"/>
        <v>0</v>
      </c>
      <c r="BP447" s="1051"/>
      <c r="BQ447" s="1052"/>
      <c r="BR447" s="1054"/>
      <c r="BS447" s="1053"/>
      <c r="BT447" s="1051"/>
      <c r="BU447" s="1051"/>
      <c r="BV447" s="1051"/>
      <c r="BW447" s="1052"/>
      <c r="BX447" s="1052"/>
      <c r="BY447" s="1052"/>
      <c r="BZ447" s="1052"/>
      <c r="CA447" s="1052"/>
      <c r="CB447" s="1053"/>
      <c r="CC447" s="1053"/>
      <c r="CD447" s="1053"/>
      <c r="CE447" s="1053"/>
      <c r="CF447" s="1053"/>
      <c r="CG447" s="1053"/>
      <c r="CH447" s="1053"/>
      <c r="CI447" s="1123"/>
      <c r="CJ447" s="1123"/>
      <c r="CK447" s="1123"/>
      <c r="CL447" s="1123"/>
      <c r="CM447" s="1123"/>
      <c r="CN447" s="1123"/>
      <c r="CO447" s="1123"/>
      <c r="CP447" s="1123"/>
      <c r="CQ447" s="1123"/>
      <c r="CR447" s="1123"/>
      <c r="CS447" s="1123"/>
      <c r="CT447" s="1123"/>
      <c r="CU447" s="1123"/>
      <c r="CV447" s="1123"/>
      <c r="CW447" s="1123"/>
      <c r="CX447" s="1123"/>
      <c r="CY447" s="1123"/>
      <c r="CZ447" s="1114"/>
      <c r="DA447" s="1114"/>
      <c r="DB447" s="1114"/>
      <c r="DC447" s="1114"/>
      <c r="DD447" s="1114"/>
      <c r="DE447" s="1114"/>
      <c r="DF447" s="1114"/>
      <c r="DG447" s="1114"/>
      <c r="DH447" s="1114"/>
      <c r="DI447" s="1114"/>
      <c r="DJ447" s="1114"/>
      <c r="DK447" s="1114"/>
      <c r="DL447" s="1114"/>
      <c r="DM447" s="1114"/>
      <c r="DN447" s="1114"/>
      <c r="DO447" s="1114"/>
      <c r="DP447" s="1114"/>
      <c r="DQ447" s="1114"/>
      <c r="DR447" s="1114"/>
      <c r="DS447" s="1114"/>
      <c r="DT447" s="1114"/>
      <c r="DU447" s="1114"/>
      <c r="DV447" s="1115"/>
      <c r="DW447" s="1116"/>
      <c r="DX447" s="1116"/>
      <c r="DY447" s="1116"/>
      <c r="DZ447" s="1116"/>
      <c r="EA447" s="1116"/>
      <c r="EB447" s="1116"/>
      <c r="EC447" s="1116"/>
      <c r="ED447" s="1116"/>
      <c r="EE447" s="1116"/>
      <c r="EF447" s="1116"/>
      <c r="EG447" s="1116"/>
      <c r="EH447" s="1116"/>
      <c r="EI447" s="1116"/>
      <c r="EJ447" s="1116"/>
      <c r="EK447" s="1116"/>
      <c r="EL447" s="1116"/>
      <c r="EM447" s="1116"/>
      <c r="EN447" s="1116"/>
      <c r="EO447" s="1116"/>
      <c r="EP447" s="1116"/>
      <c r="EQ447" s="1116"/>
      <c r="ER447" s="1116"/>
      <c r="ES447" s="1116"/>
    </row>
    <row r="448" spans="1:149" ht="15" customHeight="1">
      <c r="A448" s="1185">
        <v>438</v>
      </c>
      <c r="B448" s="1041"/>
      <c r="C448" s="1050"/>
      <c r="D448" s="1050"/>
      <c r="E448" s="1050"/>
      <c r="F448" s="1049"/>
      <c r="G448" s="1049"/>
      <c r="H448" s="1049"/>
      <c r="I448" s="1049"/>
      <c r="J448" s="1050"/>
      <c r="K448" s="1050"/>
      <c r="L448" s="1043"/>
      <c r="M448" s="1051"/>
      <c r="N448" s="1051"/>
      <c r="O448" s="1052"/>
      <c r="P448" s="1051"/>
      <c r="Q448" s="1051"/>
      <c r="R448" s="1052"/>
      <c r="S448" s="1051"/>
      <c r="T448" s="1051"/>
      <c r="U448" s="1052"/>
      <c r="V448" s="1051"/>
      <c r="W448" s="1051"/>
      <c r="X448" s="1052"/>
      <c r="Y448" s="1053"/>
      <c r="Z448" s="1051"/>
      <c r="AA448" s="1051"/>
      <c r="AB448" s="1052"/>
      <c r="AC448" s="1051"/>
      <c r="AD448" s="1051"/>
      <c r="AE448" s="1052"/>
      <c r="AF448" s="1051"/>
      <c r="AG448" s="1051"/>
      <c r="AH448" s="1051"/>
      <c r="AI448" s="1051"/>
      <c r="AJ448" s="1052"/>
      <c r="AK448" s="1051"/>
      <c r="AL448" s="1051"/>
      <c r="AM448" s="1052"/>
      <c r="AN448" s="1051"/>
      <c r="AO448" s="1051"/>
      <c r="AP448" s="1052"/>
      <c r="AQ448" s="1051"/>
      <c r="AR448" s="1051"/>
      <c r="AS448" s="1052"/>
      <c r="AT448" s="1051"/>
      <c r="AU448" s="1051"/>
      <c r="AV448" s="1052"/>
      <c r="AW448" s="1051"/>
      <c r="AX448" s="1051"/>
      <c r="AY448" s="1053"/>
      <c r="AZ448" s="1051"/>
      <c r="BA448" s="1051"/>
      <c r="BB448" s="1053"/>
      <c r="BC448" s="1051"/>
      <c r="BD448" s="1051"/>
      <c r="BE448" s="1053"/>
      <c r="BF448" s="1051"/>
      <c r="BG448" s="1051"/>
      <c r="BH448" s="1053"/>
      <c r="BI448" s="1052"/>
      <c r="BJ448" s="1052"/>
      <c r="BK448" s="1052"/>
      <c r="BL448" s="1052"/>
      <c r="BM448" s="1052"/>
      <c r="BN448" s="1054"/>
      <c r="BO448" s="1076">
        <f t="shared" si="7"/>
        <v>0</v>
      </c>
      <c r="BP448" s="1051"/>
      <c r="BQ448" s="1052"/>
      <c r="BR448" s="1054"/>
      <c r="BS448" s="1053"/>
      <c r="BT448" s="1051"/>
      <c r="BU448" s="1051"/>
      <c r="BV448" s="1051"/>
      <c r="BW448" s="1052"/>
      <c r="BX448" s="1052"/>
      <c r="BY448" s="1052"/>
      <c r="BZ448" s="1052"/>
      <c r="CA448" s="1052"/>
      <c r="CB448" s="1053"/>
      <c r="CC448" s="1053"/>
      <c r="CD448" s="1053"/>
      <c r="CE448" s="1053"/>
      <c r="CF448" s="1053"/>
      <c r="CG448" s="1053"/>
      <c r="CH448" s="1053"/>
      <c r="CI448" s="1123"/>
      <c r="CJ448" s="1123"/>
      <c r="CK448" s="1123"/>
      <c r="CL448" s="1123"/>
      <c r="CM448" s="1123"/>
      <c r="CN448" s="1123"/>
      <c r="CO448" s="1123"/>
      <c r="CP448" s="1123"/>
      <c r="CQ448" s="1123"/>
      <c r="CR448" s="1123"/>
      <c r="CS448" s="1123"/>
      <c r="CT448" s="1123"/>
      <c r="CU448" s="1123"/>
      <c r="CV448" s="1123"/>
      <c r="CW448" s="1123"/>
      <c r="CX448" s="1123"/>
      <c r="CY448" s="1123"/>
      <c r="CZ448" s="1114"/>
      <c r="DA448" s="1114"/>
      <c r="DB448" s="1114"/>
      <c r="DC448" s="1114"/>
      <c r="DD448" s="1114"/>
      <c r="DE448" s="1114"/>
      <c r="DF448" s="1114"/>
      <c r="DG448" s="1114"/>
      <c r="DH448" s="1114"/>
      <c r="DI448" s="1114"/>
      <c r="DJ448" s="1114"/>
      <c r="DK448" s="1114"/>
      <c r="DL448" s="1114"/>
      <c r="DM448" s="1114"/>
      <c r="DN448" s="1114"/>
      <c r="DO448" s="1114"/>
      <c r="DP448" s="1114"/>
      <c r="DQ448" s="1114"/>
      <c r="DR448" s="1114"/>
      <c r="DS448" s="1114"/>
      <c r="DT448" s="1114"/>
      <c r="DU448" s="1114"/>
      <c r="DV448" s="1115"/>
      <c r="DW448" s="1116"/>
      <c r="DX448" s="1116"/>
      <c r="DY448" s="1116"/>
      <c r="DZ448" s="1116"/>
      <c r="EA448" s="1116"/>
      <c r="EB448" s="1116"/>
      <c r="EC448" s="1116"/>
      <c r="ED448" s="1116"/>
      <c r="EE448" s="1116"/>
      <c r="EF448" s="1116"/>
      <c r="EG448" s="1116"/>
      <c r="EH448" s="1116"/>
      <c r="EI448" s="1116"/>
      <c r="EJ448" s="1116"/>
      <c r="EK448" s="1116"/>
      <c r="EL448" s="1116"/>
      <c r="EM448" s="1116"/>
      <c r="EN448" s="1116"/>
      <c r="EO448" s="1116"/>
      <c r="EP448" s="1116"/>
      <c r="EQ448" s="1116"/>
      <c r="ER448" s="1116"/>
      <c r="ES448" s="1116"/>
    </row>
    <row r="449" spans="1:149" ht="15" customHeight="1">
      <c r="A449" s="1185">
        <v>439</v>
      </c>
      <c r="B449" s="1041"/>
      <c r="C449" s="1050"/>
      <c r="D449" s="1050"/>
      <c r="E449" s="1050"/>
      <c r="F449" s="1049"/>
      <c r="G449" s="1049"/>
      <c r="H449" s="1049"/>
      <c r="I449" s="1049"/>
      <c r="J449" s="1050"/>
      <c r="K449" s="1050"/>
      <c r="L449" s="1043"/>
      <c r="M449" s="1051"/>
      <c r="N449" s="1051"/>
      <c r="O449" s="1052"/>
      <c r="P449" s="1051"/>
      <c r="Q449" s="1051"/>
      <c r="R449" s="1052"/>
      <c r="S449" s="1051"/>
      <c r="T449" s="1051"/>
      <c r="U449" s="1052"/>
      <c r="V449" s="1051"/>
      <c r="W449" s="1051"/>
      <c r="X449" s="1052"/>
      <c r="Y449" s="1053"/>
      <c r="Z449" s="1051"/>
      <c r="AA449" s="1051"/>
      <c r="AB449" s="1052"/>
      <c r="AC449" s="1051"/>
      <c r="AD449" s="1051"/>
      <c r="AE449" s="1052"/>
      <c r="AF449" s="1051"/>
      <c r="AG449" s="1051"/>
      <c r="AH449" s="1051"/>
      <c r="AI449" s="1051"/>
      <c r="AJ449" s="1052"/>
      <c r="AK449" s="1051"/>
      <c r="AL449" s="1051"/>
      <c r="AM449" s="1052"/>
      <c r="AN449" s="1051"/>
      <c r="AO449" s="1051"/>
      <c r="AP449" s="1052"/>
      <c r="AQ449" s="1051"/>
      <c r="AR449" s="1051"/>
      <c r="AS449" s="1052"/>
      <c r="AT449" s="1051"/>
      <c r="AU449" s="1051"/>
      <c r="AV449" s="1052"/>
      <c r="AW449" s="1051"/>
      <c r="AX449" s="1051"/>
      <c r="AY449" s="1053"/>
      <c r="AZ449" s="1051"/>
      <c r="BA449" s="1051"/>
      <c r="BB449" s="1053"/>
      <c r="BC449" s="1051"/>
      <c r="BD449" s="1051"/>
      <c r="BE449" s="1053"/>
      <c r="BF449" s="1051"/>
      <c r="BG449" s="1051"/>
      <c r="BH449" s="1053"/>
      <c r="BI449" s="1052"/>
      <c r="BJ449" s="1052"/>
      <c r="BK449" s="1052"/>
      <c r="BL449" s="1052"/>
      <c r="BM449" s="1052"/>
      <c r="BN449" s="1054"/>
      <c r="BO449" s="1076">
        <f t="shared" si="7"/>
        <v>0</v>
      </c>
      <c r="BP449" s="1051"/>
      <c r="BQ449" s="1052"/>
      <c r="BR449" s="1054"/>
      <c r="BS449" s="1053"/>
      <c r="BT449" s="1051"/>
      <c r="BU449" s="1051"/>
      <c r="BV449" s="1051"/>
      <c r="BW449" s="1052"/>
      <c r="BX449" s="1052"/>
      <c r="BY449" s="1052"/>
      <c r="BZ449" s="1052"/>
      <c r="CA449" s="1052"/>
      <c r="CB449" s="1053"/>
      <c r="CC449" s="1053"/>
      <c r="CD449" s="1053"/>
      <c r="CE449" s="1053"/>
      <c r="CF449" s="1053"/>
      <c r="CG449" s="1053"/>
      <c r="CH449" s="1053"/>
      <c r="CI449" s="1123"/>
      <c r="CJ449" s="1123"/>
      <c r="CK449" s="1123"/>
      <c r="CL449" s="1123"/>
      <c r="CM449" s="1123"/>
      <c r="CN449" s="1123"/>
      <c r="CO449" s="1123"/>
      <c r="CP449" s="1123"/>
      <c r="CQ449" s="1123"/>
      <c r="CR449" s="1123"/>
      <c r="CS449" s="1123"/>
      <c r="CT449" s="1123"/>
      <c r="CU449" s="1123"/>
      <c r="CV449" s="1123"/>
      <c r="CW449" s="1123"/>
      <c r="CX449" s="1123"/>
      <c r="CY449" s="1123"/>
      <c r="CZ449" s="1114"/>
      <c r="DA449" s="1114"/>
      <c r="DB449" s="1114"/>
      <c r="DC449" s="1114"/>
      <c r="DD449" s="1114"/>
      <c r="DE449" s="1114"/>
      <c r="DF449" s="1114"/>
      <c r="DG449" s="1114"/>
      <c r="DH449" s="1114"/>
      <c r="DI449" s="1114"/>
      <c r="DJ449" s="1114"/>
      <c r="DK449" s="1114"/>
      <c r="DL449" s="1114"/>
      <c r="DM449" s="1114"/>
      <c r="DN449" s="1114"/>
      <c r="DO449" s="1114"/>
      <c r="DP449" s="1114"/>
      <c r="DQ449" s="1114"/>
      <c r="DR449" s="1114"/>
      <c r="DS449" s="1114"/>
      <c r="DT449" s="1114"/>
      <c r="DU449" s="1114"/>
      <c r="DV449" s="1115"/>
      <c r="DW449" s="1116"/>
      <c r="DX449" s="1116"/>
      <c r="DY449" s="1116"/>
      <c r="DZ449" s="1116"/>
      <c r="EA449" s="1116"/>
      <c r="EB449" s="1116"/>
      <c r="EC449" s="1116"/>
      <c r="ED449" s="1116"/>
      <c r="EE449" s="1116"/>
      <c r="EF449" s="1116"/>
      <c r="EG449" s="1116"/>
      <c r="EH449" s="1116"/>
      <c r="EI449" s="1116"/>
      <c r="EJ449" s="1116"/>
      <c r="EK449" s="1116"/>
      <c r="EL449" s="1116"/>
      <c r="EM449" s="1116"/>
      <c r="EN449" s="1116"/>
      <c r="EO449" s="1116"/>
      <c r="EP449" s="1116"/>
      <c r="EQ449" s="1116"/>
      <c r="ER449" s="1116"/>
      <c r="ES449" s="1116"/>
    </row>
    <row r="450" spans="1:149" ht="15" customHeight="1">
      <c r="A450" s="1185">
        <v>440</v>
      </c>
      <c r="B450" s="1041"/>
      <c r="C450" s="1050"/>
      <c r="D450" s="1050"/>
      <c r="E450" s="1050"/>
      <c r="F450" s="1049"/>
      <c r="G450" s="1049"/>
      <c r="H450" s="1049"/>
      <c r="I450" s="1049"/>
      <c r="J450" s="1050"/>
      <c r="K450" s="1050"/>
      <c r="L450" s="1043"/>
      <c r="M450" s="1051"/>
      <c r="N450" s="1051"/>
      <c r="O450" s="1052"/>
      <c r="P450" s="1051"/>
      <c r="Q450" s="1051"/>
      <c r="R450" s="1052"/>
      <c r="S450" s="1051"/>
      <c r="T450" s="1051"/>
      <c r="U450" s="1052"/>
      <c r="V450" s="1051"/>
      <c r="W450" s="1051"/>
      <c r="X450" s="1052"/>
      <c r="Y450" s="1053"/>
      <c r="Z450" s="1051"/>
      <c r="AA450" s="1051"/>
      <c r="AB450" s="1052"/>
      <c r="AC450" s="1051"/>
      <c r="AD450" s="1051"/>
      <c r="AE450" s="1052"/>
      <c r="AF450" s="1051"/>
      <c r="AG450" s="1051"/>
      <c r="AH450" s="1051"/>
      <c r="AI450" s="1051"/>
      <c r="AJ450" s="1052"/>
      <c r="AK450" s="1051"/>
      <c r="AL450" s="1051"/>
      <c r="AM450" s="1052"/>
      <c r="AN450" s="1051"/>
      <c r="AO450" s="1051"/>
      <c r="AP450" s="1052"/>
      <c r="AQ450" s="1051"/>
      <c r="AR450" s="1051"/>
      <c r="AS450" s="1052"/>
      <c r="AT450" s="1051"/>
      <c r="AU450" s="1051"/>
      <c r="AV450" s="1052"/>
      <c r="AW450" s="1051"/>
      <c r="AX450" s="1051"/>
      <c r="AY450" s="1053"/>
      <c r="AZ450" s="1051"/>
      <c r="BA450" s="1051"/>
      <c r="BB450" s="1053"/>
      <c r="BC450" s="1051"/>
      <c r="BD450" s="1051"/>
      <c r="BE450" s="1053"/>
      <c r="BF450" s="1051"/>
      <c r="BG450" s="1051"/>
      <c r="BH450" s="1053"/>
      <c r="BI450" s="1052"/>
      <c r="BJ450" s="1052"/>
      <c r="BK450" s="1052"/>
      <c r="BL450" s="1052"/>
      <c r="BM450" s="1052"/>
      <c r="BN450" s="1054"/>
      <c r="BO450" s="1076">
        <f t="shared" si="7"/>
        <v>0</v>
      </c>
      <c r="BP450" s="1051"/>
      <c r="BQ450" s="1052"/>
      <c r="BR450" s="1054"/>
      <c r="BS450" s="1053"/>
      <c r="BT450" s="1051"/>
      <c r="BU450" s="1051"/>
      <c r="BV450" s="1051"/>
      <c r="BW450" s="1052"/>
      <c r="BX450" s="1052"/>
      <c r="BY450" s="1052"/>
      <c r="BZ450" s="1052"/>
      <c r="CA450" s="1052"/>
      <c r="CB450" s="1053"/>
      <c r="CC450" s="1053"/>
      <c r="CD450" s="1053"/>
      <c r="CE450" s="1053"/>
      <c r="CF450" s="1053"/>
      <c r="CG450" s="1053"/>
      <c r="CH450" s="1053"/>
      <c r="CI450" s="1123"/>
      <c r="CJ450" s="1123"/>
      <c r="CK450" s="1123"/>
      <c r="CL450" s="1123"/>
      <c r="CM450" s="1123"/>
      <c r="CN450" s="1123"/>
      <c r="CO450" s="1123"/>
      <c r="CP450" s="1123"/>
      <c r="CQ450" s="1123"/>
      <c r="CR450" s="1123"/>
      <c r="CS450" s="1123"/>
      <c r="CT450" s="1123"/>
      <c r="CU450" s="1123"/>
      <c r="CV450" s="1123"/>
      <c r="CW450" s="1123"/>
      <c r="CX450" s="1123"/>
      <c r="CY450" s="1123"/>
      <c r="CZ450" s="1114"/>
      <c r="DA450" s="1114"/>
      <c r="DB450" s="1114"/>
      <c r="DC450" s="1114"/>
      <c r="DD450" s="1114"/>
      <c r="DE450" s="1114"/>
      <c r="DF450" s="1114"/>
      <c r="DG450" s="1114"/>
      <c r="DH450" s="1114"/>
      <c r="DI450" s="1114"/>
      <c r="DJ450" s="1114"/>
      <c r="DK450" s="1114"/>
      <c r="DL450" s="1114"/>
      <c r="DM450" s="1114"/>
      <c r="DN450" s="1114"/>
      <c r="DO450" s="1114"/>
      <c r="DP450" s="1114"/>
      <c r="DQ450" s="1114"/>
      <c r="DR450" s="1114"/>
      <c r="DS450" s="1114"/>
      <c r="DT450" s="1114"/>
      <c r="DU450" s="1114"/>
      <c r="DV450" s="1115"/>
      <c r="DW450" s="1116"/>
      <c r="DX450" s="1116"/>
      <c r="DY450" s="1116"/>
      <c r="DZ450" s="1116"/>
      <c r="EA450" s="1116"/>
      <c r="EB450" s="1116"/>
      <c r="EC450" s="1116"/>
      <c r="ED450" s="1116"/>
      <c r="EE450" s="1116"/>
      <c r="EF450" s="1116"/>
      <c r="EG450" s="1116"/>
      <c r="EH450" s="1116"/>
      <c r="EI450" s="1116"/>
      <c r="EJ450" s="1116"/>
      <c r="EK450" s="1116"/>
      <c r="EL450" s="1116"/>
      <c r="EM450" s="1116"/>
      <c r="EN450" s="1116"/>
      <c r="EO450" s="1116"/>
      <c r="EP450" s="1116"/>
      <c r="EQ450" s="1116"/>
      <c r="ER450" s="1116"/>
      <c r="ES450" s="1116"/>
    </row>
    <row r="451" spans="1:149" ht="15" customHeight="1">
      <c r="A451" s="1185">
        <v>441</v>
      </c>
      <c r="B451" s="1041"/>
      <c r="C451" s="1050"/>
      <c r="D451" s="1050"/>
      <c r="E451" s="1050"/>
      <c r="F451" s="1049"/>
      <c r="G451" s="1049"/>
      <c r="H451" s="1049"/>
      <c r="I451" s="1049"/>
      <c r="J451" s="1050"/>
      <c r="K451" s="1050"/>
      <c r="L451" s="1043"/>
      <c r="M451" s="1051"/>
      <c r="N451" s="1051"/>
      <c r="O451" s="1052"/>
      <c r="P451" s="1051"/>
      <c r="Q451" s="1051"/>
      <c r="R451" s="1052"/>
      <c r="S451" s="1051"/>
      <c r="T451" s="1051"/>
      <c r="U451" s="1052"/>
      <c r="V451" s="1051"/>
      <c r="W451" s="1051"/>
      <c r="X451" s="1052"/>
      <c r="Y451" s="1053"/>
      <c r="Z451" s="1051"/>
      <c r="AA451" s="1051"/>
      <c r="AB451" s="1052"/>
      <c r="AC451" s="1051"/>
      <c r="AD451" s="1051"/>
      <c r="AE451" s="1052"/>
      <c r="AF451" s="1051"/>
      <c r="AG451" s="1051"/>
      <c r="AH451" s="1051"/>
      <c r="AI451" s="1051"/>
      <c r="AJ451" s="1052"/>
      <c r="AK451" s="1051"/>
      <c r="AL451" s="1051"/>
      <c r="AM451" s="1052"/>
      <c r="AN451" s="1051"/>
      <c r="AO451" s="1051"/>
      <c r="AP451" s="1052"/>
      <c r="AQ451" s="1051"/>
      <c r="AR451" s="1051"/>
      <c r="AS451" s="1052"/>
      <c r="AT451" s="1051"/>
      <c r="AU451" s="1051"/>
      <c r="AV451" s="1052"/>
      <c r="AW451" s="1051"/>
      <c r="AX451" s="1051"/>
      <c r="AY451" s="1053"/>
      <c r="AZ451" s="1051"/>
      <c r="BA451" s="1051"/>
      <c r="BB451" s="1053"/>
      <c r="BC451" s="1051"/>
      <c r="BD451" s="1051"/>
      <c r="BE451" s="1053"/>
      <c r="BF451" s="1051"/>
      <c r="BG451" s="1051"/>
      <c r="BH451" s="1053"/>
      <c r="BI451" s="1052"/>
      <c r="BJ451" s="1052"/>
      <c r="BK451" s="1052"/>
      <c r="BL451" s="1052"/>
      <c r="BM451" s="1052"/>
      <c r="BN451" s="1054"/>
      <c r="BO451" s="1076">
        <f t="shared" si="7"/>
        <v>0</v>
      </c>
      <c r="BP451" s="1051"/>
      <c r="BQ451" s="1052"/>
      <c r="BR451" s="1054"/>
      <c r="BS451" s="1053"/>
      <c r="BT451" s="1051"/>
      <c r="BU451" s="1051"/>
      <c r="BV451" s="1051"/>
      <c r="BW451" s="1052"/>
      <c r="BX451" s="1052"/>
      <c r="BY451" s="1052"/>
      <c r="BZ451" s="1052"/>
      <c r="CA451" s="1052"/>
      <c r="CB451" s="1053"/>
      <c r="CC451" s="1053"/>
      <c r="CD451" s="1053"/>
      <c r="CE451" s="1053"/>
      <c r="CF451" s="1053"/>
      <c r="CG451" s="1053"/>
      <c r="CH451" s="1053"/>
      <c r="CI451" s="1123"/>
      <c r="CJ451" s="1123"/>
      <c r="CK451" s="1123"/>
      <c r="CL451" s="1123"/>
      <c r="CM451" s="1123"/>
      <c r="CN451" s="1123"/>
      <c r="CO451" s="1123"/>
      <c r="CP451" s="1123"/>
      <c r="CQ451" s="1123"/>
      <c r="CR451" s="1123"/>
      <c r="CS451" s="1123"/>
      <c r="CT451" s="1123"/>
      <c r="CU451" s="1123"/>
      <c r="CV451" s="1123"/>
      <c r="CW451" s="1123"/>
      <c r="CX451" s="1123"/>
      <c r="CY451" s="1123"/>
      <c r="CZ451" s="1114"/>
      <c r="DA451" s="1114"/>
      <c r="DB451" s="1114"/>
      <c r="DC451" s="1114"/>
      <c r="DD451" s="1114"/>
      <c r="DE451" s="1114"/>
      <c r="DF451" s="1114"/>
      <c r="DG451" s="1114"/>
      <c r="DH451" s="1114"/>
      <c r="DI451" s="1114"/>
      <c r="DJ451" s="1114"/>
      <c r="DK451" s="1114"/>
      <c r="DL451" s="1114"/>
      <c r="DM451" s="1114"/>
      <c r="DN451" s="1114"/>
      <c r="DO451" s="1114"/>
      <c r="DP451" s="1114"/>
      <c r="DQ451" s="1114"/>
      <c r="DR451" s="1114"/>
      <c r="DS451" s="1114"/>
      <c r="DT451" s="1114"/>
      <c r="DU451" s="1114"/>
      <c r="DV451" s="1115"/>
      <c r="DW451" s="1116"/>
      <c r="DX451" s="1116"/>
      <c r="DY451" s="1116"/>
      <c r="DZ451" s="1116"/>
      <c r="EA451" s="1116"/>
      <c r="EB451" s="1116"/>
      <c r="EC451" s="1116"/>
      <c r="ED451" s="1116"/>
      <c r="EE451" s="1116"/>
      <c r="EF451" s="1116"/>
      <c r="EG451" s="1116"/>
      <c r="EH451" s="1116"/>
      <c r="EI451" s="1116"/>
      <c r="EJ451" s="1116"/>
      <c r="EK451" s="1116"/>
      <c r="EL451" s="1116"/>
      <c r="EM451" s="1116"/>
      <c r="EN451" s="1116"/>
      <c r="EO451" s="1116"/>
      <c r="EP451" s="1116"/>
      <c r="EQ451" s="1116"/>
      <c r="ER451" s="1116"/>
      <c r="ES451" s="1116"/>
    </row>
    <row r="452" spans="1:149" ht="15" customHeight="1">
      <c r="A452" s="1185">
        <v>442</v>
      </c>
      <c r="B452" s="1041"/>
      <c r="C452" s="1050"/>
      <c r="D452" s="1050"/>
      <c r="E452" s="1050"/>
      <c r="F452" s="1049"/>
      <c r="G452" s="1049"/>
      <c r="H452" s="1049"/>
      <c r="I452" s="1049"/>
      <c r="J452" s="1050"/>
      <c r="K452" s="1050"/>
      <c r="L452" s="1043"/>
      <c r="M452" s="1051"/>
      <c r="N452" s="1051"/>
      <c r="O452" s="1052"/>
      <c r="P452" s="1051"/>
      <c r="Q452" s="1051"/>
      <c r="R452" s="1052"/>
      <c r="S452" s="1051"/>
      <c r="T452" s="1051"/>
      <c r="U452" s="1052"/>
      <c r="V452" s="1051"/>
      <c r="W452" s="1051"/>
      <c r="X452" s="1052"/>
      <c r="Y452" s="1053"/>
      <c r="Z452" s="1051"/>
      <c r="AA452" s="1051"/>
      <c r="AB452" s="1052"/>
      <c r="AC452" s="1051"/>
      <c r="AD452" s="1051"/>
      <c r="AE452" s="1052"/>
      <c r="AF452" s="1051"/>
      <c r="AG452" s="1051"/>
      <c r="AH452" s="1051"/>
      <c r="AI452" s="1051"/>
      <c r="AJ452" s="1052"/>
      <c r="AK452" s="1051"/>
      <c r="AL452" s="1051"/>
      <c r="AM452" s="1052"/>
      <c r="AN452" s="1051"/>
      <c r="AO452" s="1051"/>
      <c r="AP452" s="1052"/>
      <c r="AQ452" s="1051"/>
      <c r="AR452" s="1051"/>
      <c r="AS452" s="1052"/>
      <c r="AT452" s="1051"/>
      <c r="AU452" s="1051"/>
      <c r="AV452" s="1052"/>
      <c r="AW452" s="1051"/>
      <c r="AX452" s="1051"/>
      <c r="AY452" s="1053"/>
      <c r="AZ452" s="1051"/>
      <c r="BA452" s="1051"/>
      <c r="BB452" s="1053"/>
      <c r="BC452" s="1051"/>
      <c r="BD452" s="1051"/>
      <c r="BE452" s="1053"/>
      <c r="BF452" s="1051"/>
      <c r="BG452" s="1051"/>
      <c r="BH452" s="1053"/>
      <c r="BI452" s="1052"/>
      <c r="BJ452" s="1052"/>
      <c r="BK452" s="1052"/>
      <c r="BL452" s="1052"/>
      <c r="BM452" s="1052"/>
      <c r="BN452" s="1054"/>
      <c r="BO452" s="1076">
        <f t="shared" si="7"/>
        <v>0</v>
      </c>
      <c r="BP452" s="1051"/>
      <c r="BQ452" s="1052"/>
      <c r="BR452" s="1054"/>
      <c r="BS452" s="1053"/>
      <c r="BT452" s="1051"/>
      <c r="BU452" s="1051"/>
      <c r="BV452" s="1051"/>
      <c r="BW452" s="1052"/>
      <c r="BX452" s="1052"/>
      <c r="BY452" s="1052"/>
      <c r="BZ452" s="1052"/>
      <c r="CA452" s="1052"/>
      <c r="CB452" s="1053"/>
      <c r="CC452" s="1053"/>
      <c r="CD452" s="1053"/>
      <c r="CE452" s="1053"/>
      <c r="CF452" s="1053"/>
      <c r="CG452" s="1053"/>
      <c r="CH452" s="1053"/>
      <c r="CI452" s="1123"/>
      <c r="CJ452" s="1123"/>
      <c r="CK452" s="1123"/>
      <c r="CL452" s="1123"/>
      <c r="CM452" s="1123"/>
      <c r="CN452" s="1123"/>
      <c r="CO452" s="1123"/>
      <c r="CP452" s="1123"/>
      <c r="CQ452" s="1123"/>
      <c r="CR452" s="1123"/>
      <c r="CS452" s="1123"/>
      <c r="CT452" s="1123"/>
      <c r="CU452" s="1123"/>
      <c r="CV452" s="1123"/>
      <c r="CW452" s="1123"/>
      <c r="CX452" s="1123"/>
      <c r="CY452" s="1123"/>
      <c r="CZ452" s="1114"/>
      <c r="DA452" s="1114"/>
      <c r="DB452" s="1114"/>
      <c r="DC452" s="1114"/>
      <c r="DD452" s="1114"/>
      <c r="DE452" s="1114"/>
      <c r="DF452" s="1114"/>
      <c r="DG452" s="1114"/>
      <c r="DH452" s="1114"/>
      <c r="DI452" s="1114"/>
      <c r="DJ452" s="1114"/>
      <c r="DK452" s="1114"/>
      <c r="DL452" s="1114"/>
      <c r="DM452" s="1114"/>
      <c r="DN452" s="1114"/>
      <c r="DO452" s="1114"/>
      <c r="DP452" s="1114"/>
      <c r="DQ452" s="1114"/>
      <c r="DR452" s="1114"/>
      <c r="DS452" s="1114"/>
      <c r="DT452" s="1114"/>
      <c r="DU452" s="1114"/>
      <c r="DV452" s="1115"/>
      <c r="DW452" s="1116"/>
      <c r="DX452" s="1116"/>
      <c r="DY452" s="1116"/>
      <c r="DZ452" s="1116"/>
      <c r="EA452" s="1116"/>
      <c r="EB452" s="1116"/>
      <c r="EC452" s="1116"/>
      <c r="ED452" s="1116"/>
      <c r="EE452" s="1116"/>
      <c r="EF452" s="1116"/>
      <c r="EG452" s="1116"/>
      <c r="EH452" s="1116"/>
      <c r="EI452" s="1116"/>
      <c r="EJ452" s="1116"/>
      <c r="EK452" s="1116"/>
      <c r="EL452" s="1116"/>
      <c r="EM452" s="1116"/>
      <c r="EN452" s="1116"/>
      <c r="EO452" s="1116"/>
      <c r="EP452" s="1116"/>
      <c r="EQ452" s="1116"/>
      <c r="ER452" s="1116"/>
      <c r="ES452" s="1116"/>
    </row>
    <row r="453" spans="1:149" ht="15" customHeight="1">
      <c r="A453" s="1185">
        <v>443</v>
      </c>
      <c r="B453" s="1041"/>
      <c r="C453" s="1050"/>
      <c r="D453" s="1050"/>
      <c r="E453" s="1050"/>
      <c r="F453" s="1049"/>
      <c r="G453" s="1049"/>
      <c r="H453" s="1049"/>
      <c r="I453" s="1049"/>
      <c r="J453" s="1050"/>
      <c r="K453" s="1050"/>
      <c r="L453" s="1043"/>
      <c r="M453" s="1051"/>
      <c r="N453" s="1051"/>
      <c r="O453" s="1052"/>
      <c r="P453" s="1051"/>
      <c r="Q453" s="1051"/>
      <c r="R453" s="1052"/>
      <c r="S453" s="1051"/>
      <c r="T453" s="1051"/>
      <c r="U453" s="1052"/>
      <c r="V453" s="1051"/>
      <c r="W453" s="1051"/>
      <c r="X453" s="1052"/>
      <c r="Y453" s="1053"/>
      <c r="Z453" s="1051"/>
      <c r="AA453" s="1051"/>
      <c r="AB453" s="1052"/>
      <c r="AC453" s="1051"/>
      <c r="AD453" s="1051"/>
      <c r="AE453" s="1052"/>
      <c r="AF453" s="1051"/>
      <c r="AG453" s="1051"/>
      <c r="AH453" s="1051"/>
      <c r="AI453" s="1051"/>
      <c r="AJ453" s="1052"/>
      <c r="AK453" s="1051"/>
      <c r="AL453" s="1051"/>
      <c r="AM453" s="1052"/>
      <c r="AN453" s="1051"/>
      <c r="AO453" s="1051"/>
      <c r="AP453" s="1052"/>
      <c r="AQ453" s="1051"/>
      <c r="AR453" s="1051"/>
      <c r="AS453" s="1052"/>
      <c r="AT453" s="1051"/>
      <c r="AU453" s="1051"/>
      <c r="AV453" s="1052"/>
      <c r="AW453" s="1051"/>
      <c r="AX453" s="1051"/>
      <c r="AY453" s="1053"/>
      <c r="AZ453" s="1051"/>
      <c r="BA453" s="1051"/>
      <c r="BB453" s="1053"/>
      <c r="BC453" s="1051"/>
      <c r="BD453" s="1051"/>
      <c r="BE453" s="1053"/>
      <c r="BF453" s="1051"/>
      <c r="BG453" s="1051"/>
      <c r="BH453" s="1053"/>
      <c r="BI453" s="1052"/>
      <c r="BJ453" s="1052"/>
      <c r="BK453" s="1052"/>
      <c r="BL453" s="1052"/>
      <c r="BM453" s="1052"/>
      <c r="BN453" s="1054"/>
      <c r="BO453" s="1076">
        <f t="shared" si="7"/>
        <v>0</v>
      </c>
      <c r="BP453" s="1051"/>
      <c r="BQ453" s="1052"/>
      <c r="BR453" s="1054"/>
      <c r="BS453" s="1053"/>
      <c r="BT453" s="1051"/>
      <c r="BU453" s="1051"/>
      <c r="BV453" s="1051"/>
      <c r="BW453" s="1052"/>
      <c r="BX453" s="1052"/>
      <c r="BY453" s="1052"/>
      <c r="BZ453" s="1052"/>
      <c r="CA453" s="1052"/>
      <c r="CB453" s="1053"/>
      <c r="CC453" s="1053"/>
      <c r="CD453" s="1053"/>
      <c r="CE453" s="1053"/>
      <c r="CF453" s="1053"/>
      <c r="CG453" s="1053"/>
      <c r="CH453" s="1053"/>
      <c r="CI453" s="1123"/>
      <c r="CJ453" s="1123"/>
      <c r="CK453" s="1123"/>
      <c r="CL453" s="1123"/>
      <c r="CM453" s="1123"/>
      <c r="CN453" s="1123"/>
      <c r="CO453" s="1123"/>
      <c r="CP453" s="1123"/>
      <c r="CQ453" s="1123"/>
      <c r="CR453" s="1123"/>
      <c r="CS453" s="1123"/>
      <c r="CT453" s="1123"/>
      <c r="CU453" s="1123"/>
      <c r="CV453" s="1123"/>
      <c r="CW453" s="1123"/>
      <c r="CX453" s="1123"/>
      <c r="CY453" s="1123"/>
      <c r="CZ453" s="1114"/>
      <c r="DA453" s="1114"/>
      <c r="DB453" s="1114"/>
      <c r="DC453" s="1114"/>
      <c r="DD453" s="1114"/>
      <c r="DE453" s="1114"/>
      <c r="DF453" s="1114"/>
      <c r="DG453" s="1114"/>
      <c r="DH453" s="1114"/>
      <c r="DI453" s="1114"/>
      <c r="DJ453" s="1114"/>
      <c r="DK453" s="1114"/>
      <c r="DL453" s="1114"/>
      <c r="DM453" s="1114"/>
      <c r="DN453" s="1114"/>
      <c r="DO453" s="1114"/>
      <c r="DP453" s="1114"/>
      <c r="DQ453" s="1114"/>
      <c r="DR453" s="1114"/>
      <c r="DS453" s="1114"/>
      <c r="DT453" s="1114"/>
      <c r="DU453" s="1114"/>
      <c r="DV453" s="1115"/>
      <c r="DW453" s="1116"/>
      <c r="DX453" s="1116"/>
      <c r="DY453" s="1116"/>
      <c r="DZ453" s="1116"/>
      <c r="EA453" s="1116"/>
      <c r="EB453" s="1116"/>
      <c r="EC453" s="1116"/>
      <c r="ED453" s="1116"/>
      <c r="EE453" s="1116"/>
      <c r="EF453" s="1116"/>
      <c r="EG453" s="1116"/>
      <c r="EH453" s="1116"/>
      <c r="EI453" s="1116"/>
      <c r="EJ453" s="1116"/>
      <c r="EK453" s="1116"/>
      <c r="EL453" s="1116"/>
      <c r="EM453" s="1116"/>
      <c r="EN453" s="1116"/>
      <c r="EO453" s="1116"/>
      <c r="EP453" s="1116"/>
      <c r="EQ453" s="1116"/>
      <c r="ER453" s="1116"/>
      <c r="ES453" s="1116"/>
    </row>
    <row r="454" spans="1:149" ht="15" customHeight="1">
      <c r="A454" s="1185">
        <v>444</v>
      </c>
      <c r="B454" s="1041"/>
      <c r="C454" s="1050"/>
      <c r="D454" s="1050"/>
      <c r="E454" s="1050"/>
      <c r="F454" s="1049"/>
      <c r="G454" s="1049"/>
      <c r="H454" s="1049"/>
      <c r="I454" s="1049"/>
      <c r="J454" s="1050"/>
      <c r="K454" s="1050"/>
      <c r="L454" s="1043"/>
      <c r="M454" s="1051"/>
      <c r="N454" s="1051"/>
      <c r="O454" s="1052"/>
      <c r="P454" s="1051"/>
      <c r="Q454" s="1051"/>
      <c r="R454" s="1052"/>
      <c r="S454" s="1051"/>
      <c r="T454" s="1051"/>
      <c r="U454" s="1052"/>
      <c r="V454" s="1051"/>
      <c r="W454" s="1051"/>
      <c r="X454" s="1052"/>
      <c r="Y454" s="1053"/>
      <c r="Z454" s="1051"/>
      <c r="AA454" s="1051"/>
      <c r="AB454" s="1052"/>
      <c r="AC454" s="1051"/>
      <c r="AD454" s="1051"/>
      <c r="AE454" s="1052"/>
      <c r="AF454" s="1051"/>
      <c r="AG454" s="1051"/>
      <c r="AH454" s="1051"/>
      <c r="AI454" s="1051"/>
      <c r="AJ454" s="1052"/>
      <c r="AK454" s="1051"/>
      <c r="AL454" s="1051"/>
      <c r="AM454" s="1052"/>
      <c r="AN454" s="1051"/>
      <c r="AO454" s="1051"/>
      <c r="AP454" s="1052"/>
      <c r="AQ454" s="1051"/>
      <c r="AR454" s="1051"/>
      <c r="AS454" s="1052"/>
      <c r="AT454" s="1051"/>
      <c r="AU454" s="1051"/>
      <c r="AV454" s="1052"/>
      <c r="AW454" s="1051"/>
      <c r="AX454" s="1051"/>
      <c r="AY454" s="1053"/>
      <c r="AZ454" s="1051"/>
      <c r="BA454" s="1051"/>
      <c r="BB454" s="1053"/>
      <c r="BC454" s="1051"/>
      <c r="BD454" s="1051"/>
      <c r="BE454" s="1053"/>
      <c r="BF454" s="1051"/>
      <c r="BG454" s="1051"/>
      <c r="BH454" s="1053"/>
      <c r="BI454" s="1052"/>
      <c r="BJ454" s="1052"/>
      <c r="BK454" s="1052"/>
      <c r="BL454" s="1052"/>
      <c r="BM454" s="1052"/>
      <c r="BN454" s="1054"/>
      <c r="BO454" s="1076">
        <f t="shared" si="7"/>
        <v>0</v>
      </c>
      <c r="BP454" s="1051"/>
      <c r="BQ454" s="1052"/>
      <c r="BR454" s="1054"/>
      <c r="BS454" s="1053"/>
      <c r="BT454" s="1051"/>
      <c r="BU454" s="1051"/>
      <c r="BV454" s="1051"/>
      <c r="BW454" s="1052"/>
      <c r="BX454" s="1052"/>
      <c r="BY454" s="1052"/>
      <c r="BZ454" s="1052"/>
      <c r="CA454" s="1052"/>
      <c r="CB454" s="1053"/>
      <c r="CC454" s="1053"/>
      <c r="CD454" s="1053"/>
      <c r="CE454" s="1053"/>
      <c r="CF454" s="1053"/>
      <c r="CG454" s="1053"/>
      <c r="CH454" s="1053"/>
      <c r="CI454" s="1123"/>
      <c r="CJ454" s="1123"/>
      <c r="CK454" s="1123"/>
      <c r="CL454" s="1123"/>
      <c r="CM454" s="1123"/>
      <c r="CN454" s="1123"/>
      <c r="CO454" s="1123"/>
      <c r="CP454" s="1123"/>
      <c r="CQ454" s="1123"/>
      <c r="CR454" s="1123"/>
      <c r="CS454" s="1123"/>
      <c r="CT454" s="1123"/>
      <c r="CU454" s="1123"/>
      <c r="CV454" s="1123"/>
      <c r="CW454" s="1123"/>
      <c r="CX454" s="1123"/>
      <c r="CY454" s="1123"/>
      <c r="CZ454" s="1114"/>
      <c r="DA454" s="1114"/>
      <c r="DB454" s="1114"/>
      <c r="DC454" s="1114"/>
      <c r="DD454" s="1114"/>
      <c r="DE454" s="1114"/>
      <c r="DF454" s="1114"/>
      <c r="DG454" s="1114"/>
      <c r="DH454" s="1114"/>
      <c r="DI454" s="1114"/>
      <c r="DJ454" s="1114"/>
      <c r="DK454" s="1114"/>
      <c r="DL454" s="1114"/>
      <c r="DM454" s="1114"/>
      <c r="DN454" s="1114"/>
      <c r="DO454" s="1114"/>
      <c r="DP454" s="1114"/>
      <c r="DQ454" s="1114"/>
      <c r="DR454" s="1114"/>
      <c r="DS454" s="1114"/>
      <c r="DT454" s="1114"/>
      <c r="DU454" s="1114"/>
      <c r="DV454" s="1115"/>
      <c r="DW454" s="1116"/>
      <c r="DX454" s="1116"/>
      <c r="DY454" s="1116"/>
      <c r="DZ454" s="1116"/>
      <c r="EA454" s="1116"/>
      <c r="EB454" s="1116"/>
      <c r="EC454" s="1116"/>
      <c r="ED454" s="1116"/>
      <c r="EE454" s="1116"/>
      <c r="EF454" s="1116"/>
      <c r="EG454" s="1116"/>
      <c r="EH454" s="1116"/>
      <c r="EI454" s="1116"/>
      <c r="EJ454" s="1116"/>
      <c r="EK454" s="1116"/>
      <c r="EL454" s="1116"/>
      <c r="EM454" s="1116"/>
      <c r="EN454" s="1116"/>
      <c r="EO454" s="1116"/>
      <c r="EP454" s="1116"/>
      <c r="EQ454" s="1116"/>
      <c r="ER454" s="1116"/>
      <c r="ES454" s="1116"/>
    </row>
    <row r="455" spans="1:149" ht="15" customHeight="1">
      <c r="A455" s="1185">
        <v>445</v>
      </c>
      <c r="B455" s="1041"/>
      <c r="C455" s="1050"/>
      <c r="D455" s="1050"/>
      <c r="E455" s="1050"/>
      <c r="F455" s="1049"/>
      <c r="G455" s="1049"/>
      <c r="H455" s="1049"/>
      <c r="I455" s="1049"/>
      <c r="J455" s="1050"/>
      <c r="K455" s="1050"/>
      <c r="L455" s="1043"/>
      <c r="M455" s="1051"/>
      <c r="N455" s="1051"/>
      <c r="O455" s="1052"/>
      <c r="P455" s="1051"/>
      <c r="Q455" s="1051"/>
      <c r="R455" s="1052"/>
      <c r="S455" s="1051"/>
      <c r="T455" s="1051"/>
      <c r="U455" s="1052"/>
      <c r="V455" s="1051"/>
      <c r="W455" s="1051"/>
      <c r="X455" s="1052"/>
      <c r="Y455" s="1053"/>
      <c r="Z455" s="1051"/>
      <c r="AA455" s="1051"/>
      <c r="AB455" s="1052"/>
      <c r="AC455" s="1051"/>
      <c r="AD455" s="1051"/>
      <c r="AE455" s="1052"/>
      <c r="AF455" s="1051"/>
      <c r="AG455" s="1051"/>
      <c r="AH455" s="1051"/>
      <c r="AI455" s="1051"/>
      <c r="AJ455" s="1052"/>
      <c r="AK455" s="1051"/>
      <c r="AL455" s="1051"/>
      <c r="AM455" s="1052"/>
      <c r="AN455" s="1051"/>
      <c r="AO455" s="1051"/>
      <c r="AP455" s="1052"/>
      <c r="AQ455" s="1051"/>
      <c r="AR455" s="1051"/>
      <c r="AS455" s="1052"/>
      <c r="AT455" s="1051"/>
      <c r="AU455" s="1051"/>
      <c r="AV455" s="1052"/>
      <c r="AW455" s="1051"/>
      <c r="AX455" s="1051"/>
      <c r="AY455" s="1053"/>
      <c r="AZ455" s="1051"/>
      <c r="BA455" s="1051"/>
      <c r="BB455" s="1053"/>
      <c r="BC455" s="1051"/>
      <c r="BD455" s="1051"/>
      <c r="BE455" s="1053"/>
      <c r="BF455" s="1051"/>
      <c r="BG455" s="1051"/>
      <c r="BH455" s="1053"/>
      <c r="BI455" s="1052"/>
      <c r="BJ455" s="1052"/>
      <c r="BK455" s="1052"/>
      <c r="BL455" s="1052"/>
      <c r="BM455" s="1052"/>
      <c r="BN455" s="1054"/>
      <c r="BO455" s="1076">
        <f t="shared" si="7"/>
        <v>0</v>
      </c>
      <c r="BP455" s="1051"/>
      <c r="BQ455" s="1052"/>
      <c r="BR455" s="1054"/>
      <c r="BS455" s="1053"/>
      <c r="BT455" s="1051"/>
      <c r="BU455" s="1051"/>
      <c r="BV455" s="1051"/>
      <c r="BW455" s="1052"/>
      <c r="BX455" s="1052"/>
      <c r="BY455" s="1052"/>
      <c r="BZ455" s="1052"/>
      <c r="CA455" s="1052"/>
      <c r="CB455" s="1053"/>
      <c r="CC455" s="1053"/>
      <c r="CD455" s="1053"/>
      <c r="CE455" s="1053"/>
      <c r="CF455" s="1053"/>
      <c r="CG455" s="1053"/>
      <c r="CH455" s="1053"/>
      <c r="CI455" s="1123"/>
      <c r="CJ455" s="1123"/>
      <c r="CK455" s="1123"/>
      <c r="CL455" s="1123"/>
      <c r="CM455" s="1123"/>
      <c r="CN455" s="1123"/>
      <c r="CO455" s="1123"/>
      <c r="CP455" s="1123"/>
      <c r="CQ455" s="1123"/>
      <c r="CR455" s="1123"/>
      <c r="CS455" s="1123"/>
      <c r="CT455" s="1123"/>
      <c r="CU455" s="1123"/>
      <c r="CV455" s="1123"/>
      <c r="CW455" s="1123"/>
      <c r="CX455" s="1123"/>
      <c r="CY455" s="1123"/>
      <c r="CZ455" s="1114"/>
      <c r="DA455" s="1114"/>
      <c r="DB455" s="1114"/>
      <c r="DC455" s="1114"/>
      <c r="DD455" s="1114"/>
      <c r="DE455" s="1114"/>
      <c r="DF455" s="1114"/>
      <c r="DG455" s="1114"/>
      <c r="DH455" s="1114"/>
      <c r="DI455" s="1114"/>
      <c r="DJ455" s="1114"/>
      <c r="DK455" s="1114"/>
      <c r="DL455" s="1114"/>
      <c r="DM455" s="1114"/>
      <c r="DN455" s="1114"/>
      <c r="DO455" s="1114"/>
      <c r="DP455" s="1114"/>
      <c r="DQ455" s="1114"/>
      <c r="DR455" s="1114"/>
      <c r="DS455" s="1114"/>
      <c r="DT455" s="1114"/>
      <c r="DU455" s="1114"/>
      <c r="DV455" s="1115"/>
      <c r="DW455" s="1116"/>
      <c r="DX455" s="1116"/>
      <c r="DY455" s="1116"/>
      <c r="DZ455" s="1116"/>
      <c r="EA455" s="1116"/>
      <c r="EB455" s="1116"/>
      <c r="EC455" s="1116"/>
      <c r="ED455" s="1116"/>
      <c r="EE455" s="1116"/>
      <c r="EF455" s="1116"/>
      <c r="EG455" s="1116"/>
      <c r="EH455" s="1116"/>
      <c r="EI455" s="1116"/>
      <c r="EJ455" s="1116"/>
      <c r="EK455" s="1116"/>
      <c r="EL455" s="1116"/>
      <c r="EM455" s="1116"/>
      <c r="EN455" s="1116"/>
      <c r="EO455" s="1116"/>
      <c r="EP455" s="1116"/>
      <c r="EQ455" s="1116"/>
      <c r="ER455" s="1116"/>
      <c r="ES455" s="1116"/>
    </row>
    <row r="456" spans="1:149" ht="15" customHeight="1">
      <c r="A456" s="1185">
        <v>446</v>
      </c>
      <c r="B456" s="1041"/>
      <c r="C456" s="1050"/>
      <c r="D456" s="1050"/>
      <c r="E456" s="1050"/>
      <c r="F456" s="1049"/>
      <c r="G456" s="1049"/>
      <c r="H456" s="1049"/>
      <c r="I456" s="1049"/>
      <c r="J456" s="1050"/>
      <c r="K456" s="1050"/>
      <c r="L456" s="1043"/>
      <c r="M456" s="1051"/>
      <c r="N456" s="1051"/>
      <c r="O456" s="1052"/>
      <c r="P456" s="1051"/>
      <c r="Q456" s="1051"/>
      <c r="R456" s="1052"/>
      <c r="S456" s="1051"/>
      <c r="T456" s="1051"/>
      <c r="U456" s="1052"/>
      <c r="V456" s="1051"/>
      <c r="W456" s="1051"/>
      <c r="X456" s="1052"/>
      <c r="Y456" s="1053"/>
      <c r="Z456" s="1051"/>
      <c r="AA456" s="1051"/>
      <c r="AB456" s="1052"/>
      <c r="AC456" s="1051"/>
      <c r="AD456" s="1051"/>
      <c r="AE456" s="1052"/>
      <c r="AF456" s="1051"/>
      <c r="AG456" s="1051"/>
      <c r="AH456" s="1051"/>
      <c r="AI456" s="1051"/>
      <c r="AJ456" s="1052"/>
      <c r="AK456" s="1051"/>
      <c r="AL456" s="1051"/>
      <c r="AM456" s="1052"/>
      <c r="AN456" s="1051"/>
      <c r="AO456" s="1051"/>
      <c r="AP456" s="1052"/>
      <c r="AQ456" s="1051"/>
      <c r="AR456" s="1051"/>
      <c r="AS456" s="1052"/>
      <c r="AT456" s="1051"/>
      <c r="AU456" s="1051"/>
      <c r="AV456" s="1052"/>
      <c r="AW456" s="1051"/>
      <c r="AX456" s="1051"/>
      <c r="AY456" s="1053"/>
      <c r="AZ456" s="1051"/>
      <c r="BA456" s="1051"/>
      <c r="BB456" s="1053"/>
      <c r="BC456" s="1051"/>
      <c r="BD456" s="1051"/>
      <c r="BE456" s="1053"/>
      <c r="BF456" s="1051"/>
      <c r="BG456" s="1051"/>
      <c r="BH456" s="1053"/>
      <c r="BI456" s="1052"/>
      <c r="BJ456" s="1052"/>
      <c r="BK456" s="1052"/>
      <c r="BL456" s="1052"/>
      <c r="BM456" s="1052"/>
      <c r="BN456" s="1054"/>
      <c r="BO456" s="1076">
        <f t="shared" si="7"/>
        <v>0</v>
      </c>
      <c r="BP456" s="1051"/>
      <c r="BQ456" s="1052"/>
      <c r="BR456" s="1054"/>
      <c r="BS456" s="1053"/>
      <c r="BT456" s="1051"/>
      <c r="BU456" s="1051"/>
      <c r="BV456" s="1051"/>
      <c r="BW456" s="1052"/>
      <c r="BX456" s="1052"/>
      <c r="BY456" s="1052"/>
      <c r="BZ456" s="1052"/>
      <c r="CA456" s="1052"/>
      <c r="CB456" s="1053"/>
      <c r="CC456" s="1053"/>
      <c r="CD456" s="1053"/>
      <c r="CE456" s="1053"/>
      <c r="CF456" s="1053"/>
      <c r="CG456" s="1053"/>
      <c r="CH456" s="1053"/>
      <c r="CI456" s="1123"/>
      <c r="CJ456" s="1123"/>
      <c r="CK456" s="1123"/>
      <c r="CL456" s="1123"/>
      <c r="CM456" s="1123"/>
      <c r="CN456" s="1123"/>
      <c r="CO456" s="1123"/>
      <c r="CP456" s="1123"/>
      <c r="CQ456" s="1123"/>
      <c r="CR456" s="1123"/>
      <c r="CS456" s="1123"/>
      <c r="CT456" s="1123"/>
      <c r="CU456" s="1123"/>
      <c r="CV456" s="1123"/>
      <c r="CW456" s="1123"/>
      <c r="CX456" s="1123"/>
      <c r="CY456" s="1123"/>
      <c r="CZ456" s="1114"/>
      <c r="DA456" s="1114"/>
      <c r="DB456" s="1114"/>
      <c r="DC456" s="1114"/>
      <c r="DD456" s="1114"/>
      <c r="DE456" s="1114"/>
      <c r="DF456" s="1114"/>
      <c r="DG456" s="1114"/>
      <c r="DH456" s="1114"/>
      <c r="DI456" s="1114"/>
      <c r="DJ456" s="1114"/>
      <c r="DK456" s="1114"/>
      <c r="DL456" s="1114"/>
      <c r="DM456" s="1114"/>
      <c r="DN456" s="1114"/>
      <c r="DO456" s="1114"/>
      <c r="DP456" s="1114"/>
      <c r="DQ456" s="1114"/>
      <c r="DR456" s="1114"/>
      <c r="DS456" s="1114"/>
      <c r="DT456" s="1114"/>
      <c r="DU456" s="1114"/>
      <c r="DV456" s="1115"/>
      <c r="DW456" s="1116"/>
      <c r="DX456" s="1116"/>
      <c r="DY456" s="1116"/>
      <c r="DZ456" s="1116"/>
      <c r="EA456" s="1116"/>
      <c r="EB456" s="1116"/>
      <c r="EC456" s="1116"/>
      <c r="ED456" s="1116"/>
      <c r="EE456" s="1116"/>
      <c r="EF456" s="1116"/>
      <c r="EG456" s="1116"/>
      <c r="EH456" s="1116"/>
      <c r="EI456" s="1116"/>
      <c r="EJ456" s="1116"/>
      <c r="EK456" s="1116"/>
      <c r="EL456" s="1116"/>
      <c r="EM456" s="1116"/>
      <c r="EN456" s="1116"/>
      <c r="EO456" s="1116"/>
      <c r="EP456" s="1116"/>
      <c r="EQ456" s="1116"/>
      <c r="ER456" s="1116"/>
      <c r="ES456" s="1116"/>
    </row>
    <row r="457" spans="1:149" ht="15" customHeight="1">
      <c r="A457" s="1185">
        <v>447</v>
      </c>
      <c r="B457" s="1041"/>
      <c r="C457" s="1050"/>
      <c r="D457" s="1050"/>
      <c r="E457" s="1050"/>
      <c r="F457" s="1049"/>
      <c r="G457" s="1049"/>
      <c r="H457" s="1049"/>
      <c r="I457" s="1049"/>
      <c r="J457" s="1050"/>
      <c r="K457" s="1050"/>
      <c r="L457" s="1043"/>
      <c r="M457" s="1051"/>
      <c r="N457" s="1051"/>
      <c r="O457" s="1052"/>
      <c r="P457" s="1051"/>
      <c r="Q457" s="1051"/>
      <c r="R457" s="1052"/>
      <c r="S457" s="1051"/>
      <c r="T457" s="1051"/>
      <c r="U457" s="1052"/>
      <c r="V457" s="1051"/>
      <c r="W457" s="1051"/>
      <c r="X457" s="1052"/>
      <c r="Y457" s="1053"/>
      <c r="Z457" s="1051"/>
      <c r="AA457" s="1051"/>
      <c r="AB457" s="1052"/>
      <c r="AC457" s="1051"/>
      <c r="AD457" s="1051"/>
      <c r="AE457" s="1052"/>
      <c r="AF457" s="1051"/>
      <c r="AG457" s="1051"/>
      <c r="AH457" s="1051"/>
      <c r="AI457" s="1051"/>
      <c r="AJ457" s="1052"/>
      <c r="AK457" s="1051"/>
      <c r="AL457" s="1051"/>
      <c r="AM457" s="1052"/>
      <c r="AN457" s="1051"/>
      <c r="AO457" s="1051"/>
      <c r="AP457" s="1052"/>
      <c r="AQ457" s="1051"/>
      <c r="AR457" s="1051"/>
      <c r="AS457" s="1052"/>
      <c r="AT457" s="1051"/>
      <c r="AU457" s="1051"/>
      <c r="AV457" s="1052"/>
      <c r="AW457" s="1051"/>
      <c r="AX457" s="1051"/>
      <c r="AY457" s="1053"/>
      <c r="AZ457" s="1051"/>
      <c r="BA457" s="1051"/>
      <c r="BB457" s="1053"/>
      <c r="BC457" s="1051"/>
      <c r="BD457" s="1051"/>
      <c r="BE457" s="1053"/>
      <c r="BF457" s="1051"/>
      <c r="BG457" s="1051"/>
      <c r="BH457" s="1053"/>
      <c r="BI457" s="1052"/>
      <c r="BJ457" s="1052"/>
      <c r="BK457" s="1052"/>
      <c r="BL457" s="1052"/>
      <c r="BM457" s="1052"/>
      <c r="BN457" s="1054"/>
      <c r="BO457" s="1076">
        <f t="shared" si="7"/>
        <v>0</v>
      </c>
      <c r="BP457" s="1051"/>
      <c r="BQ457" s="1052"/>
      <c r="BR457" s="1054"/>
      <c r="BS457" s="1053"/>
      <c r="BT457" s="1051"/>
      <c r="BU457" s="1051"/>
      <c r="BV457" s="1051"/>
      <c r="BW457" s="1052"/>
      <c r="BX457" s="1052"/>
      <c r="BY457" s="1052"/>
      <c r="BZ457" s="1052"/>
      <c r="CA457" s="1052"/>
      <c r="CB457" s="1053"/>
      <c r="CC457" s="1053"/>
      <c r="CD457" s="1053"/>
      <c r="CE457" s="1053"/>
      <c r="CF457" s="1053"/>
      <c r="CG457" s="1053"/>
      <c r="CH457" s="1053"/>
      <c r="CI457" s="1123"/>
      <c r="CJ457" s="1123"/>
      <c r="CK457" s="1123"/>
      <c r="CL457" s="1123"/>
      <c r="CM457" s="1123"/>
      <c r="CN457" s="1123"/>
      <c r="CO457" s="1123"/>
      <c r="CP457" s="1123"/>
      <c r="CQ457" s="1123"/>
      <c r="CR457" s="1123"/>
      <c r="CS457" s="1123"/>
      <c r="CT457" s="1123"/>
      <c r="CU457" s="1123"/>
      <c r="CV457" s="1123"/>
      <c r="CW457" s="1123"/>
      <c r="CX457" s="1123"/>
      <c r="CY457" s="1123"/>
      <c r="CZ457" s="1114"/>
      <c r="DA457" s="1114"/>
      <c r="DB457" s="1114"/>
      <c r="DC457" s="1114"/>
      <c r="DD457" s="1114"/>
      <c r="DE457" s="1114"/>
      <c r="DF457" s="1114"/>
      <c r="DG457" s="1114"/>
      <c r="DH457" s="1114"/>
      <c r="DI457" s="1114"/>
      <c r="DJ457" s="1114"/>
      <c r="DK457" s="1114"/>
      <c r="DL457" s="1114"/>
      <c r="DM457" s="1114"/>
      <c r="DN457" s="1114"/>
      <c r="DO457" s="1114"/>
      <c r="DP457" s="1114"/>
      <c r="DQ457" s="1114"/>
      <c r="DR457" s="1114"/>
      <c r="DS457" s="1114"/>
      <c r="DT457" s="1114"/>
      <c r="DU457" s="1114"/>
      <c r="DV457" s="1115"/>
      <c r="DW457" s="1116"/>
      <c r="DX457" s="1116"/>
      <c r="DY457" s="1116"/>
      <c r="DZ457" s="1116"/>
      <c r="EA457" s="1116"/>
      <c r="EB457" s="1116"/>
      <c r="EC457" s="1116"/>
      <c r="ED457" s="1116"/>
      <c r="EE457" s="1116"/>
      <c r="EF457" s="1116"/>
      <c r="EG457" s="1116"/>
      <c r="EH457" s="1116"/>
      <c r="EI457" s="1116"/>
      <c r="EJ457" s="1116"/>
      <c r="EK457" s="1116"/>
      <c r="EL457" s="1116"/>
      <c r="EM457" s="1116"/>
      <c r="EN457" s="1116"/>
      <c r="EO457" s="1116"/>
      <c r="EP457" s="1116"/>
      <c r="EQ457" s="1116"/>
      <c r="ER457" s="1116"/>
      <c r="ES457" s="1116"/>
    </row>
    <row r="458" spans="1:149" ht="15" customHeight="1">
      <c r="A458" s="1185">
        <v>448</v>
      </c>
      <c r="B458" s="1041"/>
      <c r="C458" s="1050"/>
      <c r="D458" s="1050"/>
      <c r="E458" s="1050"/>
      <c r="F458" s="1049"/>
      <c r="G458" s="1049"/>
      <c r="H458" s="1049"/>
      <c r="I458" s="1049"/>
      <c r="J458" s="1050"/>
      <c r="K458" s="1050"/>
      <c r="L458" s="1043"/>
      <c r="M458" s="1051"/>
      <c r="N458" s="1051"/>
      <c r="O458" s="1052"/>
      <c r="P458" s="1051"/>
      <c r="Q458" s="1051"/>
      <c r="R458" s="1052"/>
      <c r="S458" s="1051"/>
      <c r="T458" s="1051"/>
      <c r="U458" s="1052"/>
      <c r="V458" s="1051"/>
      <c r="W458" s="1051"/>
      <c r="X458" s="1052"/>
      <c r="Y458" s="1053"/>
      <c r="Z458" s="1051"/>
      <c r="AA458" s="1051"/>
      <c r="AB458" s="1052"/>
      <c r="AC458" s="1051"/>
      <c r="AD458" s="1051"/>
      <c r="AE458" s="1052"/>
      <c r="AF458" s="1051"/>
      <c r="AG458" s="1051"/>
      <c r="AH458" s="1051"/>
      <c r="AI458" s="1051"/>
      <c r="AJ458" s="1052"/>
      <c r="AK458" s="1051"/>
      <c r="AL458" s="1051"/>
      <c r="AM458" s="1052"/>
      <c r="AN458" s="1051"/>
      <c r="AO458" s="1051"/>
      <c r="AP458" s="1052"/>
      <c r="AQ458" s="1051"/>
      <c r="AR458" s="1051"/>
      <c r="AS458" s="1052"/>
      <c r="AT458" s="1051"/>
      <c r="AU458" s="1051"/>
      <c r="AV458" s="1052"/>
      <c r="AW458" s="1051"/>
      <c r="AX458" s="1051"/>
      <c r="AY458" s="1053"/>
      <c r="AZ458" s="1051"/>
      <c r="BA458" s="1051"/>
      <c r="BB458" s="1053"/>
      <c r="BC458" s="1051"/>
      <c r="BD458" s="1051"/>
      <c r="BE458" s="1053"/>
      <c r="BF458" s="1051"/>
      <c r="BG458" s="1051"/>
      <c r="BH458" s="1053"/>
      <c r="BI458" s="1052"/>
      <c r="BJ458" s="1052"/>
      <c r="BK458" s="1052"/>
      <c r="BL458" s="1052"/>
      <c r="BM458" s="1052"/>
      <c r="BN458" s="1054"/>
      <c r="BO458" s="1076">
        <f t="shared" si="7"/>
        <v>0</v>
      </c>
      <c r="BP458" s="1051"/>
      <c r="BQ458" s="1052"/>
      <c r="BR458" s="1054"/>
      <c r="BS458" s="1053"/>
      <c r="BT458" s="1051"/>
      <c r="BU458" s="1051"/>
      <c r="BV458" s="1051"/>
      <c r="BW458" s="1052"/>
      <c r="BX458" s="1052"/>
      <c r="BY458" s="1052"/>
      <c r="BZ458" s="1052"/>
      <c r="CA458" s="1052"/>
      <c r="CB458" s="1053"/>
      <c r="CC458" s="1053"/>
      <c r="CD458" s="1053"/>
      <c r="CE458" s="1053"/>
      <c r="CF458" s="1053"/>
      <c r="CG458" s="1053"/>
      <c r="CH458" s="1053"/>
      <c r="CI458" s="1123"/>
      <c r="CJ458" s="1123"/>
      <c r="CK458" s="1123"/>
      <c r="CL458" s="1123"/>
      <c r="CM458" s="1123"/>
      <c r="CN458" s="1123"/>
      <c r="CO458" s="1123"/>
      <c r="CP458" s="1123"/>
      <c r="CQ458" s="1123"/>
      <c r="CR458" s="1123"/>
      <c r="CS458" s="1123"/>
      <c r="CT458" s="1123"/>
      <c r="CU458" s="1123"/>
      <c r="CV458" s="1123"/>
      <c r="CW458" s="1123"/>
      <c r="CX458" s="1123"/>
      <c r="CY458" s="1123"/>
      <c r="CZ458" s="1114"/>
      <c r="DA458" s="1114"/>
      <c r="DB458" s="1114"/>
      <c r="DC458" s="1114"/>
      <c r="DD458" s="1114"/>
      <c r="DE458" s="1114"/>
      <c r="DF458" s="1114"/>
      <c r="DG458" s="1114"/>
      <c r="DH458" s="1114"/>
      <c r="DI458" s="1114"/>
      <c r="DJ458" s="1114"/>
      <c r="DK458" s="1114"/>
      <c r="DL458" s="1114"/>
      <c r="DM458" s="1114"/>
      <c r="DN458" s="1114"/>
      <c r="DO458" s="1114"/>
      <c r="DP458" s="1114"/>
      <c r="DQ458" s="1114"/>
      <c r="DR458" s="1114"/>
      <c r="DS458" s="1114"/>
      <c r="DT458" s="1114"/>
      <c r="DU458" s="1114"/>
      <c r="DV458" s="1115"/>
      <c r="DW458" s="1116"/>
      <c r="DX458" s="1116"/>
      <c r="DY458" s="1116"/>
      <c r="DZ458" s="1116"/>
      <c r="EA458" s="1116"/>
      <c r="EB458" s="1116"/>
      <c r="EC458" s="1116"/>
      <c r="ED458" s="1116"/>
      <c r="EE458" s="1116"/>
      <c r="EF458" s="1116"/>
      <c r="EG458" s="1116"/>
      <c r="EH458" s="1116"/>
      <c r="EI458" s="1116"/>
      <c r="EJ458" s="1116"/>
      <c r="EK458" s="1116"/>
      <c r="EL458" s="1116"/>
      <c r="EM458" s="1116"/>
      <c r="EN458" s="1116"/>
      <c r="EO458" s="1116"/>
      <c r="EP458" s="1116"/>
      <c r="EQ458" s="1116"/>
      <c r="ER458" s="1116"/>
      <c r="ES458" s="1116"/>
    </row>
    <row r="459" spans="1:149" ht="15" customHeight="1">
      <c r="A459" s="1185">
        <v>449</v>
      </c>
      <c r="B459" s="1041"/>
      <c r="C459" s="1050"/>
      <c r="D459" s="1050"/>
      <c r="E459" s="1050"/>
      <c r="F459" s="1049"/>
      <c r="G459" s="1049"/>
      <c r="H459" s="1049"/>
      <c r="I459" s="1049"/>
      <c r="J459" s="1050"/>
      <c r="K459" s="1050"/>
      <c r="L459" s="1043"/>
      <c r="M459" s="1051"/>
      <c r="N459" s="1051"/>
      <c r="O459" s="1052"/>
      <c r="P459" s="1051"/>
      <c r="Q459" s="1051"/>
      <c r="R459" s="1052"/>
      <c r="S459" s="1051"/>
      <c r="T459" s="1051"/>
      <c r="U459" s="1052"/>
      <c r="V459" s="1051"/>
      <c r="W459" s="1051"/>
      <c r="X459" s="1052"/>
      <c r="Y459" s="1053"/>
      <c r="Z459" s="1051"/>
      <c r="AA459" s="1051"/>
      <c r="AB459" s="1052"/>
      <c r="AC459" s="1051"/>
      <c r="AD459" s="1051"/>
      <c r="AE459" s="1052"/>
      <c r="AF459" s="1051"/>
      <c r="AG459" s="1051"/>
      <c r="AH459" s="1051"/>
      <c r="AI459" s="1051"/>
      <c r="AJ459" s="1052"/>
      <c r="AK459" s="1051"/>
      <c r="AL459" s="1051"/>
      <c r="AM459" s="1052"/>
      <c r="AN459" s="1051"/>
      <c r="AO459" s="1051"/>
      <c r="AP459" s="1052"/>
      <c r="AQ459" s="1051"/>
      <c r="AR459" s="1051"/>
      <c r="AS459" s="1052"/>
      <c r="AT459" s="1051"/>
      <c r="AU459" s="1051"/>
      <c r="AV459" s="1052"/>
      <c r="AW459" s="1051"/>
      <c r="AX459" s="1051"/>
      <c r="AY459" s="1053"/>
      <c r="AZ459" s="1051"/>
      <c r="BA459" s="1051"/>
      <c r="BB459" s="1053"/>
      <c r="BC459" s="1051"/>
      <c r="BD459" s="1051"/>
      <c r="BE459" s="1053"/>
      <c r="BF459" s="1051"/>
      <c r="BG459" s="1051"/>
      <c r="BH459" s="1053"/>
      <c r="BI459" s="1052"/>
      <c r="BJ459" s="1052"/>
      <c r="BK459" s="1052"/>
      <c r="BL459" s="1052"/>
      <c r="BM459" s="1052"/>
      <c r="BN459" s="1054"/>
      <c r="BO459" s="1076">
        <f t="shared" si="7"/>
        <v>0</v>
      </c>
      <c r="BP459" s="1051"/>
      <c r="BQ459" s="1052"/>
      <c r="BR459" s="1054"/>
      <c r="BS459" s="1053"/>
      <c r="BT459" s="1051"/>
      <c r="BU459" s="1051"/>
      <c r="BV459" s="1051"/>
      <c r="BW459" s="1052"/>
      <c r="BX459" s="1052"/>
      <c r="BY459" s="1052"/>
      <c r="BZ459" s="1052"/>
      <c r="CA459" s="1052"/>
      <c r="CB459" s="1053"/>
      <c r="CC459" s="1053"/>
      <c r="CD459" s="1053"/>
      <c r="CE459" s="1053"/>
      <c r="CF459" s="1053"/>
      <c r="CG459" s="1053"/>
      <c r="CH459" s="1053"/>
      <c r="CI459" s="1123"/>
      <c r="CJ459" s="1123"/>
      <c r="CK459" s="1123"/>
      <c r="CL459" s="1123"/>
      <c r="CM459" s="1123"/>
      <c r="CN459" s="1123"/>
      <c r="CO459" s="1123"/>
      <c r="CP459" s="1123"/>
      <c r="CQ459" s="1123"/>
      <c r="CR459" s="1123"/>
      <c r="CS459" s="1123"/>
      <c r="CT459" s="1123"/>
      <c r="CU459" s="1123"/>
      <c r="CV459" s="1123"/>
      <c r="CW459" s="1123"/>
      <c r="CX459" s="1123"/>
      <c r="CY459" s="1123"/>
      <c r="CZ459" s="1114"/>
      <c r="DA459" s="1114"/>
      <c r="DB459" s="1114"/>
      <c r="DC459" s="1114"/>
      <c r="DD459" s="1114"/>
      <c r="DE459" s="1114"/>
      <c r="DF459" s="1114"/>
      <c r="DG459" s="1114"/>
      <c r="DH459" s="1114"/>
      <c r="DI459" s="1114"/>
      <c r="DJ459" s="1114"/>
      <c r="DK459" s="1114"/>
      <c r="DL459" s="1114"/>
      <c r="DM459" s="1114"/>
      <c r="DN459" s="1114"/>
      <c r="DO459" s="1114"/>
      <c r="DP459" s="1114"/>
      <c r="DQ459" s="1114"/>
      <c r="DR459" s="1114"/>
      <c r="DS459" s="1114"/>
      <c r="DT459" s="1114"/>
      <c r="DU459" s="1114"/>
      <c r="DV459" s="1115"/>
      <c r="DW459" s="1116"/>
      <c r="DX459" s="1116"/>
      <c r="DY459" s="1116"/>
      <c r="DZ459" s="1116"/>
      <c r="EA459" s="1116"/>
      <c r="EB459" s="1116"/>
      <c r="EC459" s="1116"/>
      <c r="ED459" s="1116"/>
      <c r="EE459" s="1116"/>
      <c r="EF459" s="1116"/>
      <c r="EG459" s="1116"/>
      <c r="EH459" s="1116"/>
      <c r="EI459" s="1116"/>
      <c r="EJ459" s="1116"/>
      <c r="EK459" s="1116"/>
      <c r="EL459" s="1116"/>
      <c r="EM459" s="1116"/>
      <c r="EN459" s="1116"/>
      <c r="EO459" s="1116"/>
      <c r="EP459" s="1116"/>
      <c r="EQ459" s="1116"/>
      <c r="ER459" s="1116"/>
      <c r="ES459" s="1116"/>
    </row>
    <row r="460" spans="1:149" ht="15" customHeight="1">
      <c r="A460" s="1185">
        <v>450</v>
      </c>
      <c r="B460" s="1041"/>
      <c r="C460" s="1050"/>
      <c r="D460" s="1050"/>
      <c r="E460" s="1050"/>
      <c r="F460" s="1049"/>
      <c r="G460" s="1049"/>
      <c r="H460" s="1049"/>
      <c r="I460" s="1049"/>
      <c r="J460" s="1050"/>
      <c r="K460" s="1050"/>
      <c r="L460" s="1043"/>
      <c r="M460" s="1051"/>
      <c r="N460" s="1051"/>
      <c r="O460" s="1052"/>
      <c r="P460" s="1051"/>
      <c r="Q460" s="1051"/>
      <c r="R460" s="1052"/>
      <c r="S460" s="1051"/>
      <c r="T460" s="1051"/>
      <c r="U460" s="1052"/>
      <c r="V460" s="1051"/>
      <c r="W460" s="1051"/>
      <c r="X460" s="1052"/>
      <c r="Y460" s="1053"/>
      <c r="Z460" s="1051"/>
      <c r="AA460" s="1051"/>
      <c r="AB460" s="1052"/>
      <c r="AC460" s="1051"/>
      <c r="AD460" s="1051"/>
      <c r="AE460" s="1052"/>
      <c r="AF460" s="1051"/>
      <c r="AG460" s="1051"/>
      <c r="AH460" s="1051"/>
      <c r="AI460" s="1051"/>
      <c r="AJ460" s="1052"/>
      <c r="AK460" s="1051"/>
      <c r="AL460" s="1051"/>
      <c r="AM460" s="1052"/>
      <c r="AN460" s="1051"/>
      <c r="AO460" s="1051"/>
      <c r="AP460" s="1052"/>
      <c r="AQ460" s="1051"/>
      <c r="AR460" s="1051"/>
      <c r="AS460" s="1052"/>
      <c r="AT460" s="1051"/>
      <c r="AU460" s="1051"/>
      <c r="AV460" s="1052"/>
      <c r="AW460" s="1051"/>
      <c r="AX460" s="1051"/>
      <c r="AY460" s="1053"/>
      <c r="AZ460" s="1051"/>
      <c r="BA460" s="1051"/>
      <c r="BB460" s="1053"/>
      <c r="BC460" s="1051"/>
      <c r="BD460" s="1051"/>
      <c r="BE460" s="1053"/>
      <c r="BF460" s="1051"/>
      <c r="BG460" s="1051"/>
      <c r="BH460" s="1053"/>
      <c r="BI460" s="1052"/>
      <c r="BJ460" s="1052"/>
      <c r="BK460" s="1052"/>
      <c r="BL460" s="1052"/>
      <c r="BM460" s="1052"/>
      <c r="BN460" s="1054"/>
      <c r="BO460" s="1076">
        <f t="shared" ref="BO460:BO523" si="8">H460</f>
        <v>0</v>
      </c>
      <c r="BP460" s="1051"/>
      <c r="BQ460" s="1052"/>
      <c r="BR460" s="1054"/>
      <c r="BS460" s="1053"/>
      <c r="BT460" s="1051"/>
      <c r="BU460" s="1051"/>
      <c r="BV460" s="1051"/>
      <c r="BW460" s="1052"/>
      <c r="BX460" s="1052"/>
      <c r="BY460" s="1052"/>
      <c r="BZ460" s="1052"/>
      <c r="CA460" s="1052"/>
      <c r="CB460" s="1053"/>
      <c r="CC460" s="1053"/>
      <c r="CD460" s="1053"/>
      <c r="CE460" s="1053"/>
      <c r="CF460" s="1053"/>
      <c r="CG460" s="1053"/>
      <c r="CH460" s="1053"/>
      <c r="CI460" s="1123"/>
      <c r="CJ460" s="1123"/>
      <c r="CK460" s="1123"/>
      <c r="CL460" s="1123"/>
      <c r="CM460" s="1123"/>
      <c r="CN460" s="1123"/>
      <c r="CO460" s="1123"/>
      <c r="CP460" s="1123"/>
      <c r="CQ460" s="1123"/>
      <c r="CR460" s="1123"/>
      <c r="CS460" s="1123"/>
      <c r="CT460" s="1123"/>
      <c r="CU460" s="1123"/>
      <c r="CV460" s="1123"/>
      <c r="CW460" s="1123"/>
      <c r="CX460" s="1123"/>
      <c r="CY460" s="1123"/>
      <c r="CZ460" s="1114"/>
      <c r="DA460" s="1114"/>
      <c r="DB460" s="1114"/>
      <c r="DC460" s="1114"/>
      <c r="DD460" s="1114"/>
      <c r="DE460" s="1114"/>
      <c r="DF460" s="1114"/>
      <c r="DG460" s="1114"/>
      <c r="DH460" s="1114"/>
      <c r="DI460" s="1114"/>
      <c r="DJ460" s="1114"/>
      <c r="DK460" s="1114"/>
      <c r="DL460" s="1114"/>
      <c r="DM460" s="1114"/>
      <c r="DN460" s="1114"/>
      <c r="DO460" s="1114"/>
      <c r="DP460" s="1114"/>
      <c r="DQ460" s="1114"/>
      <c r="DR460" s="1114"/>
      <c r="DS460" s="1114"/>
      <c r="DT460" s="1114"/>
      <c r="DU460" s="1114"/>
      <c r="DV460" s="1115"/>
      <c r="DW460" s="1116"/>
      <c r="DX460" s="1116"/>
      <c r="DY460" s="1116"/>
      <c r="DZ460" s="1116"/>
      <c r="EA460" s="1116"/>
      <c r="EB460" s="1116"/>
      <c r="EC460" s="1116"/>
      <c r="ED460" s="1116"/>
      <c r="EE460" s="1116"/>
      <c r="EF460" s="1116"/>
      <c r="EG460" s="1116"/>
      <c r="EH460" s="1116"/>
      <c r="EI460" s="1116"/>
      <c r="EJ460" s="1116"/>
      <c r="EK460" s="1116"/>
      <c r="EL460" s="1116"/>
      <c r="EM460" s="1116"/>
      <c r="EN460" s="1116"/>
      <c r="EO460" s="1116"/>
      <c r="EP460" s="1116"/>
      <c r="EQ460" s="1116"/>
      <c r="ER460" s="1116"/>
      <c r="ES460" s="1116"/>
    </row>
    <row r="461" spans="1:149" ht="15" customHeight="1">
      <c r="A461" s="1185">
        <v>451</v>
      </c>
      <c r="B461" s="1041"/>
      <c r="C461" s="1050"/>
      <c r="D461" s="1050"/>
      <c r="E461" s="1050"/>
      <c r="F461" s="1049"/>
      <c r="G461" s="1049"/>
      <c r="H461" s="1049"/>
      <c r="I461" s="1049"/>
      <c r="J461" s="1050"/>
      <c r="K461" s="1050"/>
      <c r="L461" s="1043"/>
      <c r="M461" s="1051"/>
      <c r="N461" s="1051"/>
      <c r="O461" s="1052"/>
      <c r="P461" s="1051"/>
      <c r="Q461" s="1051"/>
      <c r="R461" s="1052"/>
      <c r="S461" s="1051"/>
      <c r="T461" s="1051"/>
      <c r="U461" s="1052"/>
      <c r="V461" s="1051"/>
      <c r="W461" s="1051"/>
      <c r="X461" s="1052"/>
      <c r="Y461" s="1053"/>
      <c r="Z461" s="1051"/>
      <c r="AA461" s="1051"/>
      <c r="AB461" s="1052"/>
      <c r="AC461" s="1051"/>
      <c r="AD461" s="1051"/>
      <c r="AE461" s="1052"/>
      <c r="AF461" s="1051"/>
      <c r="AG461" s="1051"/>
      <c r="AH461" s="1051"/>
      <c r="AI461" s="1051"/>
      <c r="AJ461" s="1052"/>
      <c r="AK461" s="1051"/>
      <c r="AL461" s="1051"/>
      <c r="AM461" s="1052"/>
      <c r="AN461" s="1051"/>
      <c r="AO461" s="1051"/>
      <c r="AP461" s="1052"/>
      <c r="AQ461" s="1051"/>
      <c r="AR461" s="1051"/>
      <c r="AS461" s="1052"/>
      <c r="AT461" s="1051"/>
      <c r="AU461" s="1051"/>
      <c r="AV461" s="1052"/>
      <c r="AW461" s="1051"/>
      <c r="AX461" s="1051"/>
      <c r="AY461" s="1053"/>
      <c r="AZ461" s="1051"/>
      <c r="BA461" s="1051"/>
      <c r="BB461" s="1053"/>
      <c r="BC461" s="1051"/>
      <c r="BD461" s="1051"/>
      <c r="BE461" s="1053"/>
      <c r="BF461" s="1051"/>
      <c r="BG461" s="1051"/>
      <c r="BH461" s="1053"/>
      <c r="BI461" s="1052"/>
      <c r="BJ461" s="1052"/>
      <c r="BK461" s="1052"/>
      <c r="BL461" s="1052"/>
      <c r="BM461" s="1052"/>
      <c r="BN461" s="1054"/>
      <c r="BO461" s="1076">
        <f t="shared" si="8"/>
        <v>0</v>
      </c>
      <c r="BP461" s="1051"/>
      <c r="BQ461" s="1052"/>
      <c r="BR461" s="1054"/>
      <c r="BS461" s="1053"/>
      <c r="BT461" s="1051"/>
      <c r="BU461" s="1051"/>
      <c r="BV461" s="1051"/>
      <c r="BW461" s="1052"/>
      <c r="BX461" s="1052"/>
      <c r="BY461" s="1052"/>
      <c r="BZ461" s="1052"/>
      <c r="CA461" s="1052"/>
      <c r="CB461" s="1053"/>
      <c r="CC461" s="1053"/>
      <c r="CD461" s="1053"/>
      <c r="CE461" s="1053"/>
      <c r="CF461" s="1053"/>
      <c r="CG461" s="1053"/>
      <c r="CH461" s="1053"/>
      <c r="CI461" s="1123"/>
      <c r="CJ461" s="1123"/>
      <c r="CK461" s="1123"/>
      <c r="CL461" s="1123"/>
      <c r="CM461" s="1123"/>
      <c r="CN461" s="1123"/>
      <c r="CO461" s="1123"/>
      <c r="CP461" s="1123"/>
      <c r="CQ461" s="1123"/>
      <c r="CR461" s="1123"/>
      <c r="CS461" s="1123"/>
      <c r="CT461" s="1123"/>
      <c r="CU461" s="1123"/>
      <c r="CV461" s="1123"/>
      <c r="CW461" s="1123"/>
      <c r="CX461" s="1123"/>
      <c r="CY461" s="1123"/>
      <c r="CZ461" s="1114"/>
      <c r="DA461" s="1114"/>
      <c r="DB461" s="1114"/>
      <c r="DC461" s="1114"/>
      <c r="DD461" s="1114"/>
      <c r="DE461" s="1114"/>
      <c r="DF461" s="1114"/>
      <c r="DG461" s="1114"/>
      <c r="DH461" s="1114"/>
      <c r="DI461" s="1114"/>
      <c r="DJ461" s="1114"/>
      <c r="DK461" s="1114"/>
      <c r="DL461" s="1114"/>
      <c r="DM461" s="1114"/>
      <c r="DN461" s="1114"/>
      <c r="DO461" s="1114"/>
      <c r="DP461" s="1114"/>
      <c r="DQ461" s="1114"/>
      <c r="DR461" s="1114"/>
      <c r="DS461" s="1114"/>
      <c r="DT461" s="1114"/>
      <c r="DU461" s="1114"/>
      <c r="DV461" s="1115"/>
      <c r="DW461" s="1116"/>
      <c r="DX461" s="1116"/>
      <c r="DY461" s="1116"/>
      <c r="DZ461" s="1116"/>
      <c r="EA461" s="1116"/>
      <c r="EB461" s="1116"/>
      <c r="EC461" s="1116"/>
      <c r="ED461" s="1116"/>
      <c r="EE461" s="1116"/>
      <c r="EF461" s="1116"/>
      <c r="EG461" s="1116"/>
      <c r="EH461" s="1116"/>
      <c r="EI461" s="1116"/>
      <c r="EJ461" s="1116"/>
      <c r="EK461" s="1116"/>
      <c r="EL461" s="1116"/>
      <c r="EM461" s="1116"/>
      <c r="EN461" s="1116"/>
      <c r="EO461" s="1116"/>
      <c r="EP461" s="1116"/>
      <c r="EQ461" s="1116"/>
      <c r="ER461" s="1116"/>
      <c r="ES461" s="1116"/>
    </row>
    <row r="462" spans="1:149" ht="15" customHeight="1">
      <c r="A462" s="1185">
        <v>452</v>
      </c>
      <c r="B462" s="1041"/>
      <c r="C462" s="1050"/>
      <c r="D462" s="1050"/>
      <c r="E462" s="1050"/>
      <c r="F462" s="1049"/>
      <c r="G462" s="1049"/>
      <c r="H462" s="1049"/>
      <c r="I462" s="1049"/>
      <c r="J462" s="1050"/>
      <c r="K462" s="1050"/>
      <c r="L462" s="1043"/>
      <c r="M462" s="1051"/>
      <c r="N462" s="1051"/>
      <c r="O462" s="1052"/>
      <c r="P462" s="1051"/>
      <c r="Q462" s="1051"/>
      <c r="R462" s="1052"/>
      <c r="S462" s="1051"/>
      <c r="T462" s="1051"/>
      <c r="U462" s="1052"/>
      <c r="V462" s="1051"/>
      <c r="W462" s="1051"/>
      <c r="X462" s="1052"/>
      <c r="Y462" s="1053"/>
      <c r="Z462" s="1051"/>
      <c r="AA462" s="1051"/>
      <c r="AB462" s="1052"/>
      <c r="AC462" s="1051"/>
      <c r="AD462" s="1051"/>
      <c r="AE462" s="1052"/>
      <c r="AF462" s="1051"/>
      <c r="AG462" s="1051"/>
      <c r="AH462" s="1051"/>
      <c r="AI462" s="1051"/>
      <c r="AJ462" s="1052"/>
      <c r="AK462" s="1051"/>
      <c r="AL462" s="1051"/>
      <c r="AM462" s="1052"/>
      <c r="AN462" s="1051"/>
      <c r="AO462" s="1051"/>
      <c r="AP462" s="1052"/>
      <c r="AQ462" s="1051"/>
      <c r="AR462" s="1051"/>
      <c r="AS462" s="1052"/>
      <c r="AT462" s="1051"/>
      <c r="AU462" s="1051"/>
      <c r="AV462" s="1052"/>
      <c r="AW462" s="1051"/>
      <c r="AX462" s="1051"/>
      <c r="AY462" s="1053"/>
      <c r="AZ462" s="1051"/>
      <c r="BA462" s="1051"/>
      <c r="BB462" s="1053"/>
      <c r="BC462" s="1051"/>
      <c r="BD462" s="1051"/>
      <c r="BE462" s="1053"/>
      <c r="BF462" s="1051"/>
      <c r="BG462" s="1051"/>
      <c r="BH462" s="1053"/>
      <c r="BI462" s="1052"/>
      <c r="BJ462" s="1052"/>
      <c r="BK462" s="1052"/>
      <c r="BL462" s="1052"/>
      <c r="BM462" s="1052"/>
      <c r="BN462" s="1054"/>
      <c r="BO462" s="1076">
        <f t="shared" si="8"/>
        <v>0</v>
      </c>
      <c r="BP462" s="1051"/>
      <c r="BQ462" s="1052"/>
      <c r="BR462" s="1054"/>
      <c r="BS462" s="1053"/>
      <c r="BT462" s="1051"/>
      <c r="BU462" s="1051"/>
      <c r="BV462" s="1051"/>
      <c r="BW462" s="1052"/>
      <c r="BX462" s="1052"/>
      <c r="BY462" s="1052"/>
      <c r="BZ462" s="1052"/>
      <c r="CA462" s="1052"/>
      <c r="CB462" s="1053"/>
      <c r="CC462" s="1053"/>
      <c r="CD462" s="1053"/>
      <c r="CE462" s="1053"/>
      <c r="CF462" s="1053"/>
      <c r="CG462" s="1053"/>
      <c r="CH462" s="1053"/>
      <c r="CI462" s="1123"/>
      <c r="CJ462" s="1123"/>
      <c r="CK462" s="1123"/>
      <c r="CL462" s="1123"/>
      <c r="CM462" s="1123"/>
      <c r="CN462" s="1123"/>
      <c r="CO462" s="1123"/>
      <c r="CP462" s="1123"/>
      <c r="CQ462" s="1123"/>
      <c r="CR462" s="1123"/>
      <c r="CS462" s="1123"/>
      <c r="CT462" s="1123"/>
      <c r="CU462" s="1123"/>
      <c r="CV462" s="1123"/>
      <c r="CW462" s="1123"/>
      <c r="CX462" s="1123"/>
      <c r="CY462" s="1123"/>
      <c r="CZ462" s="1114"/>
      <c r="DA462" s="1114"/>
      <c r="DB462" s="1114"/>
      <c r="DC462" s="1114"/>
      <c r="DD462" s="1114"/>
      <c r="DE462" s="1114"/>
      <c r="DF462" s="1114"/>
      <c r="DG462" s="1114"/>
      <c r="DH462" s="1114"/>
      <c r="DI462" s="1114"/>
      <c r="DJ462" s="1114"/>
      <c r="DK462" s="1114"/>
      <c r="DL462" s="1114"/>
      <c r="DM462" s="1114"/>
      <c r="DN462" s="1114"/>
      <c r="DO462" s="1114"/>
      <c r="DP462" s="1114"/>
      <c r="DQ462" s="1114"/>
      <c r="DR462" s="1114"/>
      <c r="DS462" s="1114"/>
      <c r="DT462" s="1114"/>
      <c r="DU462" s="1114"/>
      <c r="DV462" s="1115"/>
      <c r="DW462" s="1116"/>
      <c r="DX462" s="1116"/>
      <c r="DY462" s="1116"/>
      <c r="DZ462" s="1116"/>
      <c r="EA462" s="1116"/>
      <c r="EB462" s="1116"/>
      <c r="EC462" s="1116"/>
      <c r="ED462" s="1116"/>
      <c r="EE462" s="1116"/>
      <c r="EF462" s="1116"/>
      <c r="EG462" s="1116"/>
      <c r="EH462" s="1116"/>
      <c r="EI462" s="1116"/>
      <c r="EJ462" s="1116"/>
      <c r="EK462" s="1116"/>
      <c r="EL462" s="1116"/>
      <c r="EM462" s="1116"/>
      <c r="EN462" s="1116"/>
      <c r="EO462" s="1116"/>
      <c r="EP462" s="1116"/>
      <c r="EQ462" s="1116"/>
      <c r="ER462" s="1116"/>
      <c r="ES462" s="1116"/>
    </row>
    <row r="463" spans="1:149" ht="15" customHeight="1">
      <c r="A463" s="1185">
        <v>453</v>
      </c>
      <c r="B463" s="1041"/>
      <c r="C463" s="1050"/>
      <c r="D463" s="1050"/>
      <c r="E463" s="1050"/>
      <c r="F463" s="1049"/>
      <c r="G463" s="1049"/>
      <c r="H463" s="1049"/>
      <c r="I463" s="1049"/>
      <c r="J463" s="1050"/>
      <c r="K463" s="1050"/>
      <c r="L463" s="1043"/>
      <c r="M463" s="1051"/>
      <c r="N463" s="1051"/>
      <c r="O463" s="1052"/>
      <c r="P463" s="1051"/>
      <c r="Q463" s="1051"/>
      <c r="R463" s="1052"/>
      <c r="S463" s="1051"/>
      <c r="T463" s="1051"/>
      <c r="U463" s="1052"/>
      <c r="V463" s="1051"/>
      <c r="W463" s="1051"/>
      <c r="X463" s="1052"/>
      <c r="Y463" s="1053"/>
      <c r="Z463" s="1051"/>
      <c r="AA463" s="1051"/>
      <c r="AB463" s="1052"/>
      <c r="AC463" s="1051"/>
      <c r="AD463" s="1051"/>
      <c r="AE463" s="1052"/>
      <c r="AF463" s="1051"/>
      <c r="AG463" s="1051"/>
      <c r="AH463" s="1051"/>
      <c r="AI463" s="1051"/>
      <c r="AJ463" s="1052"/>
      <c r="AK463" s="1051"/>
      <c r="AL463" s="1051"/>
      <c r="AM463" s="1052"/>
      <c r="AN463" s="1051"/>
      <c r="AO463" s="1051"/>
      <c r="AP463" s="1052"/>
      <c r="AQ463" s="1051"/>
      <c r="AR463" s="1051"/>
      <c r="AS463" s="1052"/>
      <c r="AT463" s="1051"/>
      <c r="AU463" s="1051"/>
      <c r="AV463" s="1052"/>
      <c r="AW463" s="1051"/>
      <c r="AX463" s="1051"/>
      <c r="AY463" s="1053"/>
      <c r="AZ463" s="1051"/>
      <c r="BA463" s="1051"/>
      <c r="BB463" s="1053"/>
      <c r="BC463" s="1051"/>
      <c r="BD463" s="1051"/>
      <c r="BE463" s="1053"/>
      <c r="BF463" s="1051"/>
      <c r="BG463" s="1051"/>
      <c r="BH463" s="1053"/>
      <c r="BI463" s="1052"/>
      <c r="BJ463" s="1052"/>
      <c r="BK463" s="1052"/>
      <c r="BL463" s="1052"/>
      <c r="BM463" s="1052"/>
      <c r="BN463" s="1054"/>
      <c r="BO463" s="1076">
        <f t="shared" si="8"/>
        <v>0</v>
      </c>
      <c r="BP463" s="1051"/>
      <c r="BQ463" s="1052"/>
      <c r="BR463" s="1054"/>
      <c r="BS463" s="1053"/>
      <c r="BT463" s="1051"/>
      <c r="BU463" s="1051"/>
      <c r="BV463" s="1051"/>
      <c r="BW463" s="1052"/>
      <c r="BX463" s="1052"/>
      <c r="BY463" s="1052"/>
      <c r="BZ463" s="1052"/>
      <c r="CA463" s="1052"/>
      <c r="CB463" s="1053"/>
      <c r="CC463" s="1053"/>
      <c r="CD463" s="1053"/>
      <c r="CE463" s="1053"/>
      <c r="CF463" s="1053"/>
      <c r="CG463" s="1053"/>
      <c r="CH463" s="1053"/>
      <c r="CI463" s="1123"/>
      <c r="CJ463" s="1123"/>
      <c r="CK463" s="1123"/>
      <c r="CL463" s="1123"/>
      <c r="CM463" s="1123"/>
      <c r="CN463" s="1123"/>
      <c r="CO463" s="1123"/>
      <c r="CP463" s="1123"/>
      <c r="CQ463" s="1123"/>
      <c r="CR463" s="1123"/>
      <c r="CS463" s="1123"/>
      <c r="CT463" s="1123"/>
      <c r="CU463" s="1123"/>
      <c r="CV463" s="1123"/>
      <c r="CW463" s="1123"/>
      <c r="CX463" s="1123"/>
      <c r="CY463" s="1123"/>
      <c r="CZ463" s="1114"/>
      <c r="DA463" s="1114"/>
      <c r="DB463" s="1114"/>
      <c r="DC463" s="1114"/>
      <c r="DD463" s="1114"/>
      <c r="DE463" s="1114"/>
      <c r="DF463" s="1114"/>
      <c r="DG463" s="1114"/>
      <c r="DH463" s="1114"/>
      <c r="DI463" s="1114"/>
      <c r="DJ463" s="1114"/>
      <c r="DK463" s="1114"/>
      <c r="DL463" s="1114"/>
      <c r="DM463" s="1114"/>
      <c r="DN463" s="1114"/>
      <c r="DO463" s="1114"/>
      <c r="DP463" s="1114"/>
      <c r="DQ463" s="1114"/>
      <c r="DR463" s="1114"/>
      <c r="DS463" s="1114"/>
      <c r="DT463" s="1114"/>
      <c r="DU463" s="1114"/>
      <c r="DV463" s="1115"/>
      <c r="DW463" s="1116"/>
      <c r="DX463" s="1116"/>
      <c r="DY463" s="1116"/>
      <c r="DZ463" s="1116"/>
      <c r="EA463" s="1116"/>
      <c r="EB463" s="1116"/>
      <c r="EC463" s="1116"/>
      <c r="ED463" s="1116"/>
      <c r="EE463" s="1116"/>
      <c r="EF463" s="1116"/>
      <c r="EG463" s="1116"/>
      <c r="EH463" s="1116"/>
      <c r="EI463" s="1116"/>
      <c r="EJ463" s="1116"/>
      <c r="EK463" s="1116"/>
      <c r="EL463" s="1116"/>
      <c r="EM463" s="1116"/>
      <c r="EN463" s="1116"/>
      <c r="EO463" s="1116"/>
      <c r="EP463" s="1116"/>
      <c r="EQ463" s="1116"/>
      <c r="ER463" s="1116"/>
      <c r="ES463" s="1116"/>
    </row>
    <row r="464" spans="1:149" ht="15" customHeight="1">
      <c r="A464" s="1185">
        <v>454</v>
      </c>
      <c r="B464" s="1041"/>
      <c r="C464" s="1050"/>
      <c r="D464" s="1050"/>
      <c r="E464" s="1050"/>
      <c r="F464" s="1049"/>
      <c r="G464" s="1049"/>
      <c r="H464" s="1049"/>
      <c r="I464" s="1049"/>
      <c r="J464" s="1050"/>
      <c r="K464" s="1050"/>
      <c r="L464" s="1043"/>
      <c r="M464" s="1051"/>
      <c r="N464" s="1051"/>
      <c r="O464" s="1052"/>
      <c r="P464" s="1051"/>
      <c r="Q464" s="1051"/>
      <c r="R464" s="1052"/>
      <c r="S464" s="1051"/>
      <c r="T464" s="1051"/>
      <c r="U464" s="1052"/>
      <c r="V464" s="1051"/>
      <c r="W464" s="1051"/>
      <c r="X464" s="1052"/>
      <c r="Y464" s="1053"/>
      <c r="Z464" s="1051"/>
      <c r="AA464" s="1051"/>
      <c r="AB464" s="1052"/>
      <c r="AC464" s="1051"/>
      <c r="AD464" s="1051"/>
      <c r="AE464" s="1052"/>
      <c r="AF464" s="1051"/>
      <c r="AG464" s="1051"/>
      <c r="AH464" s="1051"/>
      <c r="AI464" s="1051"/>
      <c r="AJ464" s="1052"/>
      <c r="AK464" s="1051"/>
      <c r="AL464" s="1051"/>
      <c r="AM464" s="1052"/>
      <c r="AN464" s="1051"/>
      <c r="AO464" s="1051"/>
      <c r="AP464" s="1052"/>
      <c r="AQ464" s="1051"/>
      <c r="AR464" s="1051"/>
      <c r="AS464" s="1052"/>
      <c r="AT464" s="1051"/>
      <c r="AU464" s="1051"/>
      <c r="AV464" s="1052"/>
      <c r="AW464" s="1051"/>
      <c r="AX464" s="1051"/>
      <c r="AY464" s="1053"/>
      <c r="AZ464" s="1051"/>
      <c r="BA464" s="1051"/>
      <c r="BB464" s="1053"/>
      <c r="BC464" s="1051"/>
      <c r="BD464" s="1051"/>
      <c r="BE464" s="1053"/>
      <c r="BF464" s="1051"/>
      <c r="BG464" s="1051"/>
      <c r="BH464" s="1053"/>
      <c r="BI464" s="1052"/>
      <c r="BJ464" s="1052"/>
      <c r="BK464" s="1052"/>
      <c r="BL464" s="1052"/>
      <c r="BM464" s="1052"/>
      <c r="BN464" s="1054"/>
      <c r="BO464" s="1076">
        <f t="shared" si="8"/>
        <v>0</v>
      </c>
      <c r="BP464" s="1051"/>
      <c r="BQ464" s="1052"/>
      <c r="BR464" s="1054"/>
      <c r="BS464" s="1053"/>
      <c r="BT464" s="1051"/>
      <c r="BU464" s="1051"/>
      <c r="BV464" s="1051"/>
      <c r="BW464" s="1052"/>
      <c r="BX464" s="1052"/>
      <c r="BY464" s="1052"/>
      <c r="BZ464" s="1052"/>
      <c r="CA464" s="1052"/>
      <c r="CB464" s="1053"/>
      <c r="CC464" s="1053"/>
      <c r="CD464" s="1053"/>
      <c r="CE464" s="1053"/>
      <c r="CF464" s="1053"/>
      <c r="CG464" s="1053"/>
      <c r="CH464" s="1053"/>
      <c r="CI464" s="1123"/>
      <c r="CJ464" s="1123"/>
      <c r="CK464" s="1123"/>
      <c r="CL464" s="1123"/>
      <c r="CM464" s="1123"/>
      <c r="CN464" s="1123"/>
      <c r="CO464" s="1123"/>
      <c r="CP464" s="1123"/>
      <c r="CQ464" s="1123"/>
      <c r="CR464" s="1123"/>
      <c r="CS464" s="1123"/>
      <c r="CT464" s="1123"/>
      <c r="CU464" s="1123"/>
      <c r="CV464" s="1123"/>
      <c r="CW464" s="1123"/>
      <c r="CX464" s="1123"/>
      <c r="CY464" s="1123"/>
      <c r="CZ464" s="1114"/>
      <c r="DA464" s="1114"/>
      <c r="DB464" s="1114"/>
      <c r="DC464" s="1114"/>
      <c r="DD464" s="1114"/>
      <c r="DE464" s="1114"/>
      <c r="DF464" s="1114"/>
      <c r="DG464" s="1114"/>
      <c r="DH464" s="1114"/>
      <c r="DI464" s="1114"/>
      <c r="DJ464" s="1114"/>
      <c r="DK464" s="1114"/>
      <c r="DL464" s="1114"/>
      <c r="DM464" s="1114"/>
      <c r="DN464" s="1114"/>
      <c r="DO464" s="1114"/>
      <c r="DP464" s="1114"/>
      <c r="DQ464" s="1114"/>
      <c r="DR464" s="1114"/>
      <c r="DS464" s="1114"/>
      <c r="DT464" s="1114"/>
      <c r="DU464" s="1114"/>
      <c r="DV464" s="1115"/>
      <c r="DW464" s="1116"/>
      <c r="DX464" s="1116"/>
      <c r="DY464" s="1116"/>
      <c r="DZ464" s="1116"/>
      <c r="EA464" s="1116"/>
      <c r="EB464" s="1116"/>
      <c r="EC464" s="1116"/>
      <c r="ED464" s="1116"/>
      <c r="EE464" s="1116"/>
      <c r="EF464" s="1116"/>
      <c r="EG464" s="1116"/>
      <c r="EH464" s="1116"/>
      <c r="EI464" s="1116"/>
      <c r="EJ464" s="1116"/>
      <c r="EK464" s="1116"/>
      <c r="EL464" s="1116"/>
      <c r="EM464" s="1116"/>
      <c r="EN464" s="1116"/>
      <c r="EO464" s="1116"/>
      <c r="EP464" s="1116"/>
      <c r="EQ464" s="1116"/>
      <c r="ER464" s="1116"/>
      <c r="ES464" s="1116"/>
    </row>
    <row r="465" spans="1:149" ht="15" customHeight="1">
      <c r="A465" s="1185">
        <v>455</v>
      </c>
      <c r="B465" s="1041"/>
      <c r="C465" s="1050"/>
      <c r="D465" s="1050"/>
      <c r="E465" s="1050"/>
      <c r="F465" s="1049"/>
      <c r="G465" s="1049"/>
      <c r="H465" s="1049"/>
      <c r="I465" s="1049"/>
      <c r="J465" s="1050"/>
      <c r="K465" s="1050"/>
      <c r="L465" s="1043"/>
      <c r="M465" s="1051"/>
      <c r="N465" s="1051"/>
      <c r="O465" s="1052"/>
      <c r="P465" s="1051"/>
      <c r="Q465" s="1051"/>
      <c r="R465" s="1052"/>
      <c r="S465" s="1051"/>
      <c r="T465" s="1051"/>
      <c r="U465" s="1052"/>
      <c r="V465" s="1051"/>
      <c r="W465" s="1051"/>
      <c r="X465" s="1052"/>
      <c r="Y465" s="1053"/>
      <c r="Z465" s="1051"/>
      <c r="AA465" s="1051"/>
      <c r="AB465" s="1052"/>
      <c r="AC465" s="1051"/>
      <c r="AD465" s="1051"/>
      <c r="AE465" s="1052"/>
      <c r="AF465" s="1051"/>
      <c r="AG465" s="1051"/>
      <c r="AH465" s="1051"/>
      <c r="AI465" s="1051"/>
      <c r="AJ465" s="1052"/>
      <c r="AK465" s="1051"/>
      <c r="AL465" s="1051"/>
      <c r="AM465" s="1052"/>
      <c r="AN465" s="1051"/>
      <c r="AO465" s="1051"/>
      <c r="AP465" s="1052"/>
      <c r="AQ465" s="1051"/>
      <c r="AR465" s="1051"/>
      <c r="AS465" s="1052"/>
      <c r="AT465" s="1051"/>
      <c r="AU465" s="1051"/>
      <c r="AV465" s="1052"/>
      <c r="AW465" s="1051"/>
      <c r="AX465" s="1051"/>
      <c r="AY465" s="1053"/>
      <c r="AZ465" s="1051"/>
      <c r="BA465" s="1051"/>
      <c r="BB465" s="1053"/>
      <c r="BC465" s="1051"/>
      <c r="BD465" s="1051"/>
      <c r="BE465" s="1053"/>
      <c r="BF465" s="1051"/>
      <c r="BG465" s="1051"/>
      <c r="BH465" s="1053"/>
      <c r="BI465" s="1052"/>
      <c r="BJ465" s="1052"/>
      <c r="BK465" s="1052"/>
      <c r="BL465" s="1052"/>
      <c r="BM465" s="1052"/>
      <c r="BN465" s="1054"/>
      <c r="BO465" s="1076">
        <f t="shared" si="8"/>
        <v>0</v>
      </c>
      <c r="BP465" s="1051"/>
      <c r="BQ465" s="1052"/>
      <c r="BR465" s="1054"/>
      <c r="BS465" s="1053"/>
      <c r="BT465" s="1051"/>
      <c r="BU465" s="1051"/>
      <c r="BV465" s="1051"/>
      <c r="BW465" s="1052"/>
      <c r="BX465" s="1052"/>
      <c r="BY465" s="1052"/>
      <c r="BZ465" s="1052"/>
      <c r="CA465" s="1052"/>
      <c r="CB465" s="1053"/>
      <c r="CC465" s="1053"/>
      <c r="CD465" s="1053"/>
      <c r="CE465" s="1053"/>
      <c r="CF465" s="1053"/>
      <c r="CG465" s="1053"/>
      <c r="CH465" s="1053"/>
      <c r="CI465" s="1123"/>
      <c r="CJ465" s="1123"/>
      <c r="CK465" s="1123"/>
      <c r="CL465" s="1123"/>
      <c r="CM465" s="1123"/>
      <c r="CN465" s="1123"/>
      <c r="CO465" s="1123"/>
      <c r="CP465" s="1123"/>
      <c r="CQ465" s="1123"/>
      <c r="CR465" s="1123"/>
      <c r="CS465" s="1123"/>
      <c r="CT465" s="1123"/>
      <c r="CU465" s="1123"/>
      <c r="CV465" s="1123"/>
      <c r="CW465" s="1123"/>
      <c r="CX465" s="1123"/>
      <c r="CY465" s="1123"/>
      <c r="CZ465" s="1114"/>
      <c r="DA465" s="1114"/>
      <c r="DB465" s="1114"/>
      <c r="DC465" s="1114"/>
      <c r="DD465" s="1114"/>
      <c r="DE465" s="1114"/>
      <c r="DF465" s="1114"/>
      <c r="DG465" s="1114"/>
      <c r="DH465" s="1114"/>
      <c r="DI465" s="1114"/>
      <c r="DJ465" s="1114"/>
      <c r="DK465" s="1114"/>
      <c r="DL465" s="1114"/>
      <c r="DM465" s="1114"/>
      <c r="DN465" s="1114"/>
      <c r="DO465" s="1114"/>
      <c r="DP465" s="1114"/>
      <c r="DQ465" s="1114"/>
      <c r="DR465" s="1114"/>
      <c r="DS465" s="1114"/>
      <c r="DT465" s="1114"/>
      <c r="DU465" s="1114"/>
      <c r="DV465" s="1115"/>
      <c r="DW465" s="1116"/>
      <c r="DX465" s="1116"/>
      <c r="DY465" s="1116"/>
      <c r="DZ465" s="1116"/>
      <c r="EA465" s="1116"/>
      <c r="EB465" s="1116"/>
      <c r="EC465" s="1116"/>
      <c r="ED465" s="1116"/>
      <c r="EE465" s="1116"/>
      <c r="EF465" s="1116"/>
      <c r="EG465" s="1116"/>
      <c r="EH465" s="1116"/>
      <c r="EI465" s="1116"/>
      <c r="EJ465" s="1116"/>
      <c r="EK465" s="1116"/>
      <c r="EL465" s="1116"/>
      <c r="EM465" s="1116"/>
      <c r="EN465" s="1116"/>
      <c r="EO465" s="1116"/>
      <c r="EP465" s="1116"/>
      <c r="EQ465" s="1116"/>
      <c r="ER465" s="1116"/>
      <c r="ES465" s="1116"/>
    </row>
    <row r="466" spans="1:149" ht="15" customHeight="1">
      <c r="A466" s="1185">
        <v>456</v>
      </c>
      <c r="B466" s="1041"/>
      <c r="C466" s="1050"/>
      <c r="D466" s="1050"/>
      <c r="E466" s="1050"/>
      <c r="F466" s="1049"/>
      <c r="G466" s="1049"/>
      <c r="H466" s="1049"/>
      <c r="I466" s="1049"/>
      <c r="J466" s="1050"/>
      <c r="K466" s="1050"/>
      <c r="L466" s="1043"/>
      <c r="M466" s="1051"/>
      <c r="N466" s="1051"/>
      <c r="O466" s="1052"/>
      <c r="P466" s="1051"/>
      <c r="Q466" s="1051"/>
      <c r="R466" s="1052"/>
      <c r="S466" s="1051"/>
      <c r="T466" s="1051"/>
      <c r="U466" s="1052"/>
      <c r="V466" s="1051"/>
      <c r="W466" s="1051"/>
      <c r="X466" s="1052"/>
      <c r="Y466" s="1053"/>
      <c r="Z466" s="1051"/>
      <c r="AA466" s="1051"/>
      <c r="AB466" s="1052"/>
      <c r="AC466" s="1051"/>
      <c r="AD466" s="1051"/>
      <c r="AE466" s="1052"/>
      <c r="AF466" s="1051"/>
      <c r="AG466" s="1051"/>
      <c r="AH466" s="1051"/>
      <c r="AI466" s="1051"/>
      <c r="AJ466" s="1052"/>
      <c r="AK466" s="1051"/>
      <c r="AL466" s="1051"/>
      <c r="AM466" s="1052"/>
      <c r="AN466" s="1051"/>
      <c r="AO466" s="1051"/>
      <c r="AP466" s="1052"/>
      <c r="AQ466" s="1051"/>
      <c r="AR466" s="1051"/>
      <c r="AS466" s="1052"/>
      <c r="AT466" s="1051"/>
      <c r="AU466" s="1051"/>
      <c r="AV466" s="1052"/>
      <c r="AW466" s="1051"/>
      <c r="AX466" s="1051"/>
      <c r="AY466" s="1053"/>
      <c r="AZ466" s="1051"/>
      <c r="BA466" s="1051"/>
      <c r="BB466" s="1053"/>
      <c r="BC466" s="1051"/>
      <c r="BD466" s="1051"/>
      <c r="BE466" s="1053"/>
      <c r="BF466" s="1051"/>
      <c r="BG466" s="1051"/>
      <c r="BH466" s="1053"/>
      <c r="BI466" s="1052"/>
      <c r="BJ466" s="1052"/>
      <c r="BK466" s="1052"/>
      <c r="BL466" s="1052"/>
      <c r="BM466" s="1052"/>
      <c r="BN466" s="1054"/>
      <c r="BO466" s="1076">
        <f t="shared" si="8"/>
        <v>0</v>
      </c>
      <c r="BP466" s="1051"/>
      <c r="BQ466" s="1052"/>
      <c r="BR466" s="1054"/>
      <c r="BS466" s="1053"/>
      <c r="BT466" s="1051"/>
      <c r="BU466" s="1051"/>
      <c r="BV466" s="1051"/>
      <c r="BW466" s="1052"/>
      <c r="BX466" s="1052"/>
      <c r="BY466" s="1052"/>
      <c r="BZ466" s="1052"/>
      <c r="CA466" s="1052"/>
      <c r="CB466" s="1053"/>
      <c r="CC466" s="1053"/>
      <c r="CD466" s="1053"/>
      <c r="CE466" s="1053"/>
      <c r="CF466" s="1053"/>
      <c r="CG466" s="1053"/>
      <c r="CH466" s="1053"/>
      <c r="CI466" s="1123"/>
      <c r="CJ466" s="1123"/>
      <c r="CK466" s="1123"/>
      <c r="CL466" s="1123"/>
      <c r="CM466" s="1123"/>
      <c r="CN466" s="1123"/>
      <c r="CO466" s="1123"/>
      <c r="CP466" s="1123"/>
      <c r="CQ466" s="1123"/>
      <c r="CR466" s="1123"/>
      <c r="CS466" s="1123"/>
      <c r="CT466" s="1123"/>
      <c r="CU466" s="1123"/>
      <c r="CV466" s="1123"/>
      <c r="CW466" s="1123"/>
      <c r="CX466" s="1123"/>
      <c r="CY466" s="1123"/>
      <c r="CZ466" s="1114"/>
      <c r="DA466" s="1114"/>
      <c r="DB466" s="1114"/>
      <c r="DC466" s="1114"/>
      <c r="DD466" s="1114"/>
      <c r="DE466" s="1114"/>
      <c r="DF466" s="1114"/>
      <c r="DG466" s="1114"/>
      <c r="DH466" s="1114"/>
      <c r="DI466" s="1114"/>
      <c r="DJ466" s="1114"/>
      <c r="DK466" s="1114"/>
      <c r="DL466" s="1114"/>
      <c r="DM466" s="1114"/>
      <c r="DN466" s="1114"/>
      <c r="DO466" s="1114"/>
      <c r="DP466" s="1114"/>
      <c r="DQ466" s="1114"/>
      <c r="DR466" s="1114"/>
      <c r="DS466" s="1114"/>
      <c r="DT466" s="1114"/>
      <c r="DU466" s="1114"/>
      <c r="DV466" s="1115"/>
      <c r="DW466" s="1116"/>
      <c r="DX466" s="1116"/>
      <c r="DY466" s="1116"/>
      <c r="DZ466" s="1116"/>
      <c r="EA466" s="1116"/>
      <c r="EB466" s="1116"/>
      <c r="EC466" s="1116"/>
      <c r="ED466" s="1116"/>
      <c r="EE466" s="1116"/>
      <c r="EF466" s="1116"/>
      <c r="EG466" s="1116"/>
      <c r="EH466" s="1116"/>
      <c r="EI466" s="1116"/>
      <c r="EJ466" s="1116"/>
      <c r="EK466" s="1116"/>
      <c r="EL466" s="1116"/>
      <c r="EM466" s="1116"/>
      <c r="EN466" s="1116"/>
      <c r="EO466" s="1116"/>
      <c r="EP466" s="1116"/>
      <c r="EQ466" s="1116"/>
      <c r="ER466" s="1116"/>
      <c r="ES466" s="1116"/>
    </row>
    <row r="467" spans="1:149" ht="15" customHeight="1">
      <c r="A467" s="1185">
        <v>457</v>
      </c>
      <c r="B467" s="1041"/>
      <c r="C467" s="1050"/>
      <c r="D467" s="1050"/>
      <c r="E467" s="1050"/>
      <c r="F467" s="1049"/>
      <c r="G467" s="1049"/>
      <c r="H467" s="1049"/>
      <c r="I467" s="1049"/>
      <c r="J467" s="1050"/>
      <c r="K467" s="1050"/>
      <c r="L467" s="1043"/>
      <c r="M467" s="1051"/>
      <c r="N467" s="1051"/>
      <c r="O467" s="1052"/>
      <c r="P467" s="1051"/>
      <c r="Q467" s="1051"/>
      <c r="R467" s="1052"/>
      <c r="S467" s="1051"/>
      <c r="T467" s="1051"/>
      <c r="U467" s="1052"/>
      <c r="V467" s="1051"/>
      <c r="W467" s="1051"/>
      <c r="X467" s="1052"/>
      <c r="Y467" s="1053"/>
      <c r="Z467" s="1051"/>
      <c r="AA467" s="1051"/>
      <c r="AB467" s="1052"/>
      <c r="AC467" s="1051"/>
      <c r="AD467" s="1051"/>
      <c r="AE467" s="1052"/>
      <c r="AF467" s="1051"/>
      <c r="AG467" s="1051"/>
      <c r="AH467" s="1051"/>
      <c r="AI467" s="1051"/>
      <c r="AJ467" s="1052"/>
      <c r="AK467" s="1051"/>
      <c r="AL467" s="1051"/>
      <c r="AM467" s="1052"/>
      <c r="AN467" s="1051"/>
      <c r="AO467" s="1051"/>
      <c r="AP467" s="1052"/>
      <c r="AQ467" s="1051"/>
      <c r="AR467" s="1051"/>
      <c r="AS467" s="1052"/>
      <c r="AT467" s="1051"/>
      <c r="AU467" s="1051"/>
      <c r="AV467" s="1052"/>
      <c r="AW467" s="1051"/>
      <c r="AX467" s="1051"/>
      <c r="AY467" s="1053"/>
      <c r="AZ467" s="1051"/>
      <c r="BA467" s="1051"/>
      <c r="BB467" s="1053"/>
      <c r="BC467" s="1051"/>
      <c r="BD467" s="1051"/>
      <c r="BE467" s="1053"/>
      <c r="BF467" s="1051"/>
      <c r="BG467" s="1051"/>
      <c r="BH467" s="1053"/>
      <c r="BI467" s="1052"/>
      <c r="BJ467" s="1052"/>
      <c r="BK467" s="1052"/>
      <c r="BL467" s="1052"/>
      <c r="BM467" s="1052"/>
      <c r="BN467" s="1054"/>
      <c r="BO467" s="1076">
        <f t="shared" si="8"/>
        <v>0</v>
      </c>
      <c r="BP467" s="1051"/>
      <c r="BQ467" s="1052"/>
      <c r="BR467" s="1054"/>
      <c r="BS467" s="1053"/>
      <c r="BT467" s="1051"/>
      <c r="BU467" s="1051"/>
      <c r="BV467" s="1051"/>
      <c r="BW467" s="1052"/>
      <c r="BX467" s="1052"/>
      <c r="BY467" s="1052"/>
      <c r="BZ467" s="1052"/>
      <c r="CA467" s="1052"/>
      <c r="CB467" s="1053"/>
      <c r="CC467" s="1053"/>
      <c r="CD467" s="1053"/>
      <c r="CE467" s="1053"/>
      <c r="CF467" s="1053"/>
      <c r="CG467" s="1053"/>
      <c r="CH467" s="1053"/>
      <c r="CI467" s="1123"/>
      <c r="CJ467" s="1123"/>
      <c r="CK467" s="1123"/>
      <c r="CL467" s="1123"/>
      <c r="CM467" s="1123"/>
      <c r="CN467" s="1123"/>
      <c r="CO467" s="1123"/>
      <c r="CP467" s="1123"/>
      <c r="CQ467" s="1123"/>
      <c r="CR467" s="1123"/>
      <c r="CS467" s="1123"/>
      <c r="CT467" s="1123"/>
      <c r="CU467" s="1123"/>
      <c r="CV467" s="1123"/>
      <c r="CW467" s="1123"/>
      <c r="CX467" s="1123"/>
      <c r="CY467" s="1123"/>
      <c r="CZ467" s="1114"/>
      <c r="DA467" s="1114"/>
      <c r="DB467" s="1114"/>
      <c r="DC467" s="1114"/>
      <c r="DD467" s="1114"/>
      <c r="DE467" s="1114"/>
      <c r="DF467" s="1114"/>
      <c r="DG467" s="1114"/>
      <c r="DH467" s="1114"/>
      <c r="DI467" s="1114"/>
      <c r="DJ467" s="1114"/>
      <c r="DK467" s="1114"/>
      <c r="DL467" s="1114"/>
      <c r="DM467" s="1114"/>
      <c r="DN467" s="1114"/>
      <c r="DO467" s="1114"/>
      <c r="DP467" s="1114"/>
      <c r="DQ467" s="1114"/>
      <c r="DR467" s="1114"/>
      <c r="DS467" s="1114"/>
      <c r="DT467" s="1114"/>
      <c r="DU467" s="1114"/>
      <c r="DV467" s="1115"/>
      <c r="DW467" s="1116"/>
      <c r="DX467" s="1116"/>
      <c r="DY467" s="1116"/>
      <c r="DZ467" s="1116"/>
      <c r="EA467" s="1116"/>
      <c r="EB467" s="1116"/>
      <c r="EC467" s="1116"/>
      <c r="ED467" s="1116"/>
      <c r="EE467" s="1116"/>
      <c r="EF467" s="1116"/>
      <c r="EG467" s="1116"/>
      <c r="EH467" s="1116"/>
      <c r="EI467" s="1116"/>
      <c r="EJ467" s="1116"/>
      <c r="EK467" s="1116"/>
      <c r="EL467" s="1116"/>
      <c r="EM467" s="1116"/>
      <c r="EN467" s="1116"/>
      <c r="EO467" s="1116"/>
      <c r="EP467" s="1116"/>
      <c r="EQ467" s="1116"/>
      <c r="ER467" s="1116"/>
      <c r="ES467" s="1116"/>
    </row>
    <row r="468" spans="1:149" ht="15" customHeight="1">
      <c r="A468" s="1185">
        <v>458</v>
      </c>
      <c r="B468" s="1041"/>
      <c r="C468" s="1050"/>
      <c r="D468" s="1050"/>
      <c r="E468" s="1050"/>
      <c r="F468" s="1049"/>
      <c r="G468" s="1049"/>
      <c r="H468" s="1049"/>
      <c r="I468" s="1049"/>
      <c r="J468" s="1050"/>
      <c r="K468" s="1050"/>
      <c r="L468" s="1043"/>
      <c r="M468" s="1051"/>
      <c r="N468" s="1051"/>
      <c r="O468" s="1052"/>
      <c r="P468" s="1051"/>
      <c r="Q468" s="1051"/>
      <c r="R468" s="1052"/>
      <c r="S468" s="1051"/>
      <c r="T468" s="1051"/>
      <c r="U468" s="1052"/>
      <c r="V468" s="1051"/>
      <c r="W468" s="1051"/>
      <c r="X468" s="1052"/>
      <c r="Y468" s="1053"/>
      <c r="Z468" s="1051"/>
      <c r="AA468" s="1051"/>
      <c r="AB468" s="1052"/>
      <c r="AC468" s="1051"/>
      <c r="AD468" s="1051"/>
      <c r="AE468" s="1052"/>
      <c r="AF468" s="1051"/>
      <c r="AG468" s="1051"/>
      <c r="AH468" s="1051"/>
      <c r="AI468" s="1051"/>
      <c r="AJ468" s="1052"/>
      <c r="AK468" s="1051"/>
      <c r="AL468" s="1051"/>
      <c r="AM468" s="1052"/>
      <c r="AN468" s="1051"/>
      <c r="AO468" s="1051"/>
      <c r="AP468" s="1052"/>
      <c r="AQ468" s="1051"/>
      <c r="AR468" s="1051"/>
      <c r="AS468" s="1052"/>
      <c r="AT468" s="1051"/>
      <c r="AU468" s="1051"/>
      <c r="AV468" s="1052"/>
      <c r="AW468" s="1051"/>
      <c r="AX468" s="1051"/>
      <c r="AY468" s="1053"/>
      <c r="AZ468" s="1051"/>
      <c r="BA468" s="1051"/>
      <c r="BB468" s="1053"/>
      <c r="BC468" s="1051"/>
      <c r="BD468" s="1051"/>
      <c r="BE468" s="1053"/>
      <c r="BF468" s="1051"/>
      <c r="BG468" s="1051"/>
      <c r="BH468" s="1053"/>
      <c r="BI468" s="1052"/>
      <c r="BJ468" s="1052"/>
      <c r="BK468" s="1052"/>
      <c r="BL468" s="1052"/>
      <c r="BM468" s="1052"/>
      <c r="BN468" s="1054"/>
      <c r="BO468" s="1076">
        <f t="shared" si="8"/>
        <v>0</v>
      </c>
      <c r="BP468" s="1051"/>
      <c r="BQ468" s="1052"/>
      <c r="BR468" s="1054"/>
      <c r="BS468" s="1053"/>
      <c r="BT468" s="1051"/>
      <c r="BU468" s="1051"/>
      <c r="BV468" s="1051"/>
      <c r="BW468" s="1052"/>
      <c r="BX468" s="1052"/>
      <c r="BY468" s="1052"/>
      <c r="BZ468" s="1052"/>
      <c r="CA468" s="1052"/>
      <c r="CB468" s="1053"/>
      <c r="CC468" s="1053"/>
      <c r="CD468" s="1053"/>
      <c r="CE468" s="1053"/>
      <c r="CF468" s="1053"/>
      <c r="CG468" s="1053"/>
      <c r="CH468" s="1053"/>
      <c r="CI468" s="1123"/>
      <c r="CJ468" s="1123"/>
      <c r="CK468" s="1123"/>
      <c r="CL468" s="1123"/>
      <c r="CM468" s="1123"/>
      <c r="CN468" s="1123"/>
      <c r="CO468" s="1123"/>
      <c r="CP468" s="1123"/>
      <c r="CQ468" s="1123"/>
      <c r="CR468" s="1123"/>
      <c r="CS468" s="1123"/>
      <c r="CT468" s="1123"/>
      <c r="CU468" s="1123"/>
      <c r="CV468" s="1123"/>
      <c r="CW468" s="1123"/>
      <c r="CX468" s="1123"/>
      <c r="CY468" s="1123"/>
      <c r="CZ468" s="1114"/>
      <c r="DA468" s="1114"/>
      <c r="DB468" s="1114"/>
      <c r="DC468" s="1114"/>
      <c r="DD468" s="1114"/>
      <c r="DE468" s="1114"/>
      <c r="DF468" s="1114"/>
      <c r="DG468" s="1114"/>
      <c r="DH468" s="1114"/>
      <c r="DI468" s="1114"/>
      <c r="DJ468" s="1114"/>
      <c r="DK468" s="1114"/>
      <c r="DL468" s="1114"/>
      <c r="DM468" s="1114"/>
      <c r="DN468" s="1114"/>
      <c r="DO468" s="1114"/>
      <c r="DP468" s="1114"/>
      <c r="DQ468" s="1114"/>
      <c r="DR468" s="1114"/>
      <c r="DS468" s="1114"/>
      <c r="DT468" s="1114"/>
      <c r="DU468" s="1114"/>
      <c r="DV468" s="1115"/>
      <c r="DW468" s="1116"/>
      <c r="DX468" s="1116"/>
      <c r="DY468" s="1116"/>
      <c r="DZ468" s="1116"/>
      <c r="EA468" s="1116"/>
      <c r="EB468" s="1116"/>
      <c r="EC468" s="1116"/>
      <c r="ED468" s="1116"/>
      <c r="EE468" s="1116"/>
      <c r="EF468" s="1116"/>
      <c r="EG468" s="1116"/>
      <c r="EH468" s="1116"/>
      <c r="EI468" s="1116"/>
      <c r="EJ468" s="1116"/>
      <c r="EK468" s="1116"/>
      <c r="EL468" s="1116"/>
      <c r="EM468" s="1116"/>
      <c r="EN468" s="1116"/>
      <c r="EO468" s="1116"/>
      <c r="EP468" s="1116"/>
      <c r="EQ468" s="1116"/>
      <c r="ER468" s="1116"/>
      <c r="ES468" s="1116"/>
    </row>
    <row r="469" spans="1:149" ht="15" customHeight="1">
      <c r="A469" s="1185">
        <v>459</v>
      </c>
      <c r="B469" s="1041"/>
      <c r="C469" s="1050"/>
      <c r="D469" s="1050"/>
      <c r="E469" s="1050"/>
      <c r="F469" s="1049"/>
      <c r="G469" s="1049"/>
      <c r="H469" s="1049"/>
      <c r="I469" s="1049"/>
      <c r="J469" s="1050"/>
      <c r="K469" s="1050"/>
      <c r="L469" s="1043"/>
      <c r="M469" s="1051"/>
      <c r="N469" s="1051"/>
      <c r="O469" s="1052"/>
      <c r="P469" s="1051"/>
      <c r="Q469" s="1051"/>
      <c r="R469" s="1052"/>
      <c r="S469" s="1051"/>
      <c r="T469" s="1051"/>
      <c r="U469" s="1052"/>
      <c r="V469" s="1051"/>
      <c r="W469" s="1051"/>
      <c r="X469" s="1052"/>
      <c r="Y469" s="1053"/>
      <c r="Z469" s="1051"/>
      <c r="AA469" s="1051"/>
      <c r="AB469" s="1052"/>
      <c r="AC469" s="1051"/>
      <c r="AD469" s="1051"/>
      <c r="AE469" s="1052"/>
      <c r="AF469" s="1051"/>
      <c r="AG469" s="1051"/>
      <c r="AH469" s="1051"/>
      <c r="AI469" s="1051"/>
      <c r="AJ469" s="1052"/>
      <c r="AK469" s="1051"/>
      <c r="AL469" s="1051"/>
      <c r="AM469" s="1052"/>
      <c r="AN469" s="1051"/>
      <c r="AO469" s="1051"/>
      <c r="AP469" s="1052"/>
      <c r="AQ469" s="1051"/>
      <c r="AR469" s="1051"/>
      <c r="AS469" s="1052"/>
      <c r="AT469" s="1051"/>
      <c r="AU469" s="1051"/>
      <c r="AV469" s="1052"/>
      <c r="AW469" s="1051"/>
      <c r="AX469" s="1051"/>
      <c r="AY469" s="1053"/>
      <c r="AZ469" s="1051"/>
      <c r="BA469" s="1051"/>
      <c r="BB469" s="1053"/>
      <c r="BC469" s="1051"/>
      <c r="BD469" s="1051"/>
      <c r="BE469" s="1053"/>
      <c r="BF469" s="1051"/>
      <c r="BG469" s="1051"/>
      <c r="BH469" s="1053"/>
      <c r="BI469" s="1052"/>
      <c r="BJ469" s="1052"/>
      <c r="BK469" s="1052"/>
      <c r="BL469" s="1052"/>
      <c r="BM469" s="1052"/>
      <c r="BN469" s="1054"/>
      <c r="BO469" s="1076">
        <f t="shared" si="8"/>
        <v>0</v>
      </c>
      <c r="BP469" s="1051"/>
      <c r="BQ469" s="1052"/>
      <c r="BR469" s="1054"/>
      <c r="BS469" s="1053"/>
      <c r="BT469" s="1051"/>
      <c r="BU469" s="1051"/>
      <c r="BV469" s="1051"/>
      <c r="BW469" s="1052"/>
      <c r="BX469" s="1052"/>
      <c r="BY469" s="1052"/>
      <c r="BZ469" s="1052"/>
      <c r="CA469" s="1052"/>
      <c r="CB469" s="1053"/>
      <c r="CC469" s="1053"/>
      <c r="CD469" s="1053"/>
      <c r="CE469" s="1053"/>
      <c r="CF469" s="1053"/>
      <c r="CG469" s="1053"/>
      <c r="CH469" s="1053"/>
      <c r="CI469" s="1123"/>
      <c r="CJ469" s="1123"/>
      <c r="CK469" s="1123"/>
      <c r="CL469" s="1123"/>
      <c r="CM469" s="1123"/>
      <c r="CN469" s="1123"/>
      <c r="CO469" s="1123"/>
      <c r="CP469" s="1123"/>
      <c r="CQ469" s="1123"/>
      <c r="CR469" s="1123"/>
      <c r="CS469" s="1123"/>
      <c r="CT469" s="1123"/>
      <c r="CU469" s="1123"/>
      <c r="CV469" s="1123"/>
      <c r="CW469" s="1123"/>
      <c r="CX469" s="1123"/>
      <c r="CY469" s="1123"/>
      <c r="CZ469" s="1114"/>
      <c r="DA469" s="1114"/>
      <c r="DB469" s="1114"/>
      <c r="DC469" s="1114"/>
      <c r="DD469" s="1114"/>
      <c r="DE469" s="1114"/>
      <c r="DF469" s="1114"/>
      <c r="DG469" s="1114"/>
      <c r="DH469" s="1114"/>
      <c r="DI469" s="1114"/>
      <c r="DJ469" s="1114"/>
      <c r="DK469" s="1114"/>
      <c r="DL469" s="1114"/>
      <c r="DM469" s="1114"/>
      <c r="DN469" s="1114"/>
      <c r="DO469" s="1114"/>
      <c r="DP469" s="1114"/>
      <c r="DQ469" s="1114"/>
      <c r="DR469" s="1114"/>
      <c r="DS469" s="1114"/>
      <c r="DT469" s="1114"/>
      <c r="DU469" s="1114"/>
      <c r="DV469" s="1115"/>
      <c r="DW469" s="1116"/>
      <c r="DX469" s="1116"/>
      <c r="DY469" s="1116"/>
      <c r="DZ469" s="1116"/>
      <c r="EA469" s="1116"/>
      <c r="EB469" s="1116"/>
      <c r="EC469" s="1116"/>
      <c r="ED469" s="1116"/>
      <c r="EE469" s="1116"/>
      <c r="EF469" s="1116"/>
      <c r="EG469" s="1116"/>
      <c r="EH469" s="1116"/>
      <c r="EI469" s="1116"/>
      <c r="EJ469" s="1116"/>
      <c r="EK469" s="1116"/>
      <c r="EL469" s="1116"/>
      <c r="EM469" s="1116"/>
      <c r="EN469" s="1116"/>
      <c r="EO469" s="1116"/>
      <c r="EP469" s="1116"/>
      <c r="EQ469" s="1116"/>
      <c r="ER469" s="1116"/>
      <c r="ES469" s="1116"/>
    </row>
    <row r="470" spans="1:149" ht="15" customHeight="1">
      <c r="A470" s="1185">
        <v>460</v>
      </c>
      <c r="B470" s="1041"/>
      <c r="C470" s="1050"/>
      <c r="D470" s="1050"/>
      <c r="E470" s="1050"/>
      <c r="F470" s="1049"/>
      <c r="G470" s="1049"/>
      <c r="H470" s="1049"/>
      <c r="I470" s="1049"/>
      <c r="J470" s="1050"/>
      <c r="K470" s="1050"/>
      <c r="L470" s="1043"/>
      <c r="M470" s="1051"/>
      <c r="N470" s="1051"/>
      <c r="O470" s="1052"/>
      <c r="P470" s="1051"/>
      <c r="Q470" s="1051"/>
      <c r="R470" s="1052"/>
      <c r="S470" s="1051"/>
      <c r="T470" s="1051"/>
      <c r="U470" s="1052"/>
      <c r="V470" s="1051"/>
      <c r="W470" s="1051"/>
      <c r="X470" s="1052"/>
      <c r="Y470" s="1053"/>
      <c r="Z470" s="1051"/>
      <c r="AA470" s="1051"/>
      <c r="AB470" s="1052"/>
      <c r="AC470" s="1051"/>
      <c r="AD470" s="1051"/>
      <c r="AE470" s="1052"/>
      <c r="AF470" s="1051"/>
      <c r="AG470" s="1051"/>
      <c r="AH470" s="1051"/>
      <c r="AI470" s="1051"/>
      <c r="AJ470" s="1052"/>
      <c r="AK470" s="1051"/>
      <c r="AL470" s="1051"/>
      <c r="AM470" s="1052"/>
      <c r="AN470" s="1051"/>
      <c r="AO470" s="1051"/>
      <c r="AP470" s="1052"/>
      <c r="AQ470" s="1051"/>
      <c r="AR470" s="1051"/>
      <c r="AS470" s="1052"/>
      <c r="AT470" s="1051"/>
      <c r="AU470" s="1051"/>
      <c r="AV470" s="1052"/>
      <c r="AW470" s="1051"/>
      <c r="AX470" s="1051"/>
      <c r="AY470" s="1053"/>
      <c r="AZ470" s="1051"/>
      <c r="BA470" s="1051"/>
      <c r="BB470" s="1053"/>
      <c r="BC470" s="1051"/>
      <c r="BD470" s="1051"/>
      <c r="BE470" s="1053"/>
      <c r="BF470" s="1051"/>
      <c r="BG470" s="1051"/>
      <c r="BH470" s="1053"/>
      <c r="BI470" s="1052"/>
      <c r="BJ470" s="1052"/>
      <c r="BK470" s="1052"/>
      <c r="BL470" s="1052"/>
      <c r="BM470" s="1052"/>
      <c r="BN470" s="1054"/>
      <c r="BO470" s="1076">
        <f t="shared" si="8"/>
        <v>0</v>
      </c>
      <c r="BP470" s="1051"/>
      <c r="BQ470" s="1052"/>
      <c r="BR470" s="1054"/>
      <c r="BS470" s="1053"/>
      <c r="BT470" s="1051"/>
      <c r="BU470" s="1051"/>
      <c r="BV470" s="1051"/>
      <c r="BW470" s="1052"/>
      <c r="BX470" s="1052"/>
      <c r="BY470" s="1052"/>
      <c r="BZ470" s="1052"/>
      <c r="CA470" s="1052"/>
      <c r="CB470" s="1053"/>
      <c r="CC470" s="1053"/>
      <c r="CD470" s="1053"/>
      <c r="CE470" s="1053"/>
      <c r="CF470" s="1053"/>
      <c r="CG470" s="1053"/>
      <c r="CH470" s="1053"/>
      <c r="CI470" s="1123"/>
      <c r="CJ470" s="1123"/>
      <c r="CK470" s="1123"/>
      <c r="CL470" s="1123"/>
      <c r="CM470" s="1123"/>
      <c r="CN470" s="1123"/>
      <c r="CO470" s="1123"/>
      <c r="CP470" s="1123"/>
      <c r="CQ470" s="1123"/>
      <c r="CR470" s="1123"/>
      <c r="CS470" s="1123"/>
      <c r="CT470" s="1123"/>
      <c r="CU470" s="1123"/>
      <c r="CV470" s="1123"/>
      <c r="CW470" s="1123"/>
      <c r="CX470" s="1123"/>
      <c r="CY470" s="1123"/>
      <c r="CZ470" s="1114"/>
      <c r="DA470" s="1114"/>
      <c r="DB470" s="1114"/>
      <c r="DC470" s="1114"/>
      <c r="DD470" s="1114"/>
      <c r="DE470" s="1114"/>
      <c r="DF470" s="1114"/>
      <c r="DG470" s="1114"/>
      <c r="DH470" s="1114"/>
      <c r="DI470" s="1114"/>
      <c r="DJ470" s="1114"/>
      <c r="DK470" s="1114"/>
      <c r="DL470" s="1114"/>
      <c r="DM470" s="1114"/>
      <c r="DN470" s="1114"/>
      <c r="DO470" s="1114"/>
      <c r="DP470" s="1114"/>
      <c r="DQ470" s="1114"/>
      <c r="DR470" s="1114"/>
      <c r="DS470" s="1114"/>
      <c r="DT470" s="1114"/>
      <c r="DU470" s="1114"/>
      <c r="DV470" s="1115"/>
      <c r="DW470" s="1116"/>
      <c r="DX470" s="1116"/>
      <c r="DY470" s="1116"/>
      <c r="DZ470" s="1116"/>
      <c r="EA470" s="1116"/>
      <c r="EB470" s="1116"/>
      <c r="EC470" s="1116"/>
      <c r="ED470" s="1116"/>
      <c r="EE470" s="1116"/>
      <c r="EF470" s="1116"/>
      <c r="EG470" s="1116"/>
      <c r="EH470" s="1116"/>
      <c r="EI470" s="1116"/>
      <c r="EJ470" s="1116"/>
      <c r="EK470" s="1116"/>
      <c r="EL470" s="1116"/>
      <c r="EM470" s="1116"/>
      <c r="EN470" s="1116"/>
      <c r="EO470" s="1116"/>
      <c r="EP470" s="1116"/>
      <c r="EQ470" s="1116"/>
      <c r="ER470" s="1116"/>
      <c r="ES470" s="1116"/>
    </row>
    <row r="471" spans="1:149" ht="15" customHeight="1">
      <c r="A471" s="1185">
        <v>461</v>
      </c>
      <c r="B471" s="1041"/>
      <c r="C471" s="1050"/>
      <c r="D471" s="1050"/>
      <c r="E471" s="1050"/>
      <c r="F471" s="1049"/>
      <c r="G471" s="1049"/>
      <c r="H471" s="1049"/>
      <c r="I471" s="1049"/>
      <c r="J471" s="1050"/>
      <c r="K471" s="1050"/>
      <c r="L471" s="1043"/>
      <c r="M471" s="1051"/>
      <c r="N471" s="1051"/>
      <c r="O471" s="1052"/>
      <c r="P471" s="1051"/>
      <c r="Q471" s="1051"/>
      <c r="R471" s="1052"/>
      <c r="S471" s="1051"/>
      <c r="T471" s="1051"/>
      <c r="U471" s="1052"/>
      <c r="V471" s="1051"/>
      <c r="W471" s="1051"/>
      <c r="X471" s="1052"/>
      <c r="Y471" s="1053"/>
      <c r="Z471" s="1051"/>
      <c r="AA471" s="1051"/>
      <c r="AB471" s="1052"/>
      <c r="AC471" s="1051"/>
      <c r="AD471" s="1051"/>
      <c r="AE471" s="1052"/>
      <c r="AF471" s="1051"/>
      <c r="AG471" s="1051"/>
      <c r="AH471" s="1051"/>
      <c r="AI471" s="1051"/>
      <c r="AJ471" s="1052"/>
      <c r="AK471" s="1051"/>
      <c r="AL471" s="1051"/>
      <c r="AM471" s="1052"/>
      <c r="AN471" s="1051"/>
      <c r="AO471" s="1051"/>
      <c r="AP471" s="1052"/>
      <c r="AQ471" s="1051"/>
      <c r="AR471" s="1051"/>
      <c r="AS471" s="1052"/>
      <c r="AT471" s="1051"/>
      <c r="AU471" s="1051"/>
      <c r="AV471" s="1052"/>
      <c r="AW471" s="1051"/>
      <c r="AX471" s="1051"/>
      <c r="AY471" s="1053"/>
      <c r="AZ471" s="1051"/>
      <c r="BA471" s="1051"/>
      <c r="BB471" s="1053"/>
      <c r="BC471" s="1051"/>
      <c r="BD471" s="1051"/>
      <c r="BE471" s="1053"/>
      <c r="BF471" s="1051"/>
      <c r="BG471" s="1051"/>
      <c r="BH471" s="1053"/>
      <c r="BI471" s="1052"/>
      <c r="BJ471" s="1052"/>
      <c r="BK471" s="1052"/>
      <c r="BL471" s="1052"/>
      <c r="BM471" s="1052"/>
      <c r="BN471" s="1054"/>
      <c r="BO471" s="1076">
        <f t="shared" si="8"/>
        <v>0</v>
      </c>
      <c r="BP471" s="1051"/>
      <c r="BQ471" s="1052"/>
      <c r="BR471" s="1054"/>
      <c r="BS471" s="1053"/>
      <c r="BT471" s="1051"/>
      <c r="BU471" s="1051"/>
      <c r="BV471" s="1051"/>
      <c r="BW471" s="1052"/>
      <c r="BX471" s="1052"/>
      <c r="BY471" s="1052"/>
      <c r="BZ471" s="1052"/>
      <c r="CA471" s="1052"/>
      <c r="CB471" s="1053"/>
      <c r="CC471" s="1053"/>
      <c r="CD471" s="1053"/>
      <c r="CE471" s="1053"/>
      <c r="CF471" s="1053"/>
      <c r="CG471" s="1053"/>
      <c r="CH471" s="1053"/>
      <c r="CI471" s="1123"/>
      <c r="CJ471" s="1123"/>
      <c r="CK471" s="1123"/>
      <c r="CL471" s="1123"/>
      <c r="CM471" s="1123"/>
      <c r="CN471" s="1123"/>
      <c r="CO471" s="1123"/>
      <c r="CP471" s="1123"/>
      <c r="CQ471" s="1123"/>
      <c r="CR471" s="1123"/>
      <c r="CS471" s="1123"/>
      <c r="CT471" s="1123"/>
      <c r="CU471" s="1123"/>
      <c r="CV471" s="1123"/>
      <c r="CW471" s="1123"/>
      <c r="CX471" s="1123"/>
      <c r="CY471" s="1123"/>
      <c r="CZ471" s="1114"/>
      <c r="DA471" s="1114"/>
      <c r="DB471" s="1114"/>
      <c r="DC471" s="1114"/>
      <c r="DD471" s="1114"/>
      <c r="DE471" s="1114"/>
      <c r="DF471" s="1114"/>
      <c r="DG471" s="1114"/>
      <c r="DH471" s="1114"/>
      <c r="DI471" s="1114"/>
      <c r="DJ471" s="1114"/>
      <c r="DK471" s="1114"/>
      <c r="DL471" s="1114"/>
      <c r="DM471" s="1114"/>
      <c r="DN471" s="1114"/>
      <c r="DO471" s="1114"/>
      <c r="DP471" s="1114"/>
      <c r="DQ471" s="1114"/>
      <c r="DR471" s="1114"/>
      <c r="DS471" s="1114"/>
      <c r="DT471" s="1114"/>
      <c r="DU471" s="1114"/>
      <c r="DV471" s="1115"/>
      <c r="DW471" s="1116"/>
      <c r="DX471" s="1116"/>
      <c r="DY471" s="1116"/>
      <c r="DZ471" s="1116"/>
      <c r="EA471" s="1116"/>
      <c r="EB471" s="1116"/>
      <c r="EC471" s="1116"/>
      <c r="ED471" s="1116"/>
      <c r="EE471" s="1116"/>
      <c r="EF471" s="1116"/>
      <c r="EG471" s="1116"/>
      <c r="EH471" s="1116"/>
      <c r="EI471" s="1116"/>
      <c r="EJ471" s="1116"/>
      <c r="EK471" s="1116"/>
      <c r="EL471" s="1116"/>
      <c r="EM471" s="1116"/>
      <c r="EN471" s="1116"/>
      <c r="EO471" s="1116"/>
      <c r="EP471" s="1116"/>
      <c r="EQ471" s="1116"/>
      <c r="ER471" s="1116"/>
      <c r="ES471" s="1116"/>
    </row>
    <row r="472" spans="1:149" ht="15" customHeight="1">
      <c r="A472" s="1185">
        <v>462</v>
      </c>
      <c r="B472" s="1041"/>
      <c r="C472" s="1050"/>
      <c r="D472" s="1050"/>
      <c r="E472" s="1050"/>
      <c r="F472" s="1049"/>
      <c r="G472" s="1049"/>
      <c r="H472" s="1049"/>
      <c r="I472" s="1049"/>
      <c r="J472" s="1050"/>
      <c r="K472" s="1050"/>
      <c r="L472" s="1043"/>
      <c r="M472" s="1051"/>
      <c r="N472" s="1051"/>
      <c r="O472" s="1052"/>
      <c r="P472" s="1051"/>
      <c r="Q472" s="1051"/>
      <c r="R472" s="1052"/>
      <c r="S472" s="1051"/>
      <c r="T472" s="1051"/>
      <c r="U472" s="1052"/>
      <c r="V472" s="1051"/>
      <c r="W472" s="1051"/>
      <c r="X472" s="1052"/>
      <c r="Y472" s="1053"/>
      <c r="Z472" s="1051"/>
      <c r="AA472" s="1051"/>
      <c r="AB472" s="1052"/>
      <c r="AC472" s="1051"/>
      <c r="AD472" s="1051"/>
      <c r="AE472" s="1052"/>
      <c r="AF472" s="1051"/>
      <c r="AG472" s="1051"/>
      <c r="AH472" s="1051"/>
      <c r="AI472" s="1051"/>
      <c r="AJ472" s="1052"/>
      <c r="AK472" s="1051"/>
      <c r="AL472" s="1051"/>
      <c r="AM472" s="1052"/>
      <c r="AN472" s="1051"/>
      <c r="AO472" s="1051"/>
      <c r="AP472" s="1052"/>
      <c r="AQ472" s="1051"/>
      <c r="AR472" s="1051"/>
      <c r="AS472" s="1052"/>
      <c r="AT472" s="1051"/>
      <c r="AU472" s="1051"/>
      <c r="AV472" s="1052"/>
      <c r="AW472" s="1051"/>
      <c r="AX472" s="1051"/>
      <c r="AY472" s="1053"/>
      <c r="AZ472" s="1051"/>
      <c r="BA472" s="1051"/>
      <c r="BB472" s="1053"/>
      <c r="BC472" s="1051"/>
      <c r="BD472" s="1051"/>
      <c r="BE472" s="1053"/>
      <c r="BF472" s="1051"/>
      <c r="BG472" s="1051"/>
      <c r="BH472" s="1053"/>
      <c r="BI472" s="1052"/>
      <c r="BJ472" s="1052"/>
      <c r="BK472" s="1052"/>
      <c r="BL472" s="1052"/>
      <c r="BM472" s="1052"/>
      <c r="BN472" s="1054"/>
      <c r="BO472" s="1076">
        <f t="shared" si="8"/>
        <v>0</v>
      </c>
      <c r="BP472" s="1051"/>
      <c r="BQ472" s="1052"/>
      <c r="BR472" s="1054"/>
      <c r="BS472" s="1053"/>
      <c r="BT472" s="1051"/>
      <c r="BU472" s="1051"/>
      <c r="BV472" s="1051"/>
      <c r="BW472" s="1052"/>
      <c r="BX472" s="1052"/>
      <c r="BY472" s="1052"/>
      <c r="BZ472" s="1052"/>
      <c r="CA472" s="1052"/>
      <c r="CB472" s="1053"/>
      <c r="CC472" s="1053"/>
      <c r="CD472" s="1053"/>
      <c r="CE472" s="1053"/>
      <c r="CF472" s="1053"/>
      <c r="CG472" s="1053"/>
      <c r="CH472" s="1053"/>
      <c r="CI472" s="1123"/>
      <c r="CJ472" s="1123"/>
      <c r="CK472" s="1123"/>
      <c r="CL472" s="1123"/>
      <c r="CM472" s="1123"/>
      <c r="CN472" s="1123"/>
      <c r="CO472" s="1123"/>
      <c r="CP472" s="1123"/>
      <c r="CQ472" s="1123"/>
      <c r="CR472" s="1123"/>
      <c r="CS472" s="1123"/>
      <c r="CT472" s="1123"/>
      <c r="CU472" s="1123"/>
      <c r="CV472" s="1123"/>
      <c r="CW472" s="1123"/>
      <c r="CX472" s="1123"/>
      <c r="CY472" s="1123"/>
      <c r="CZ472" s="1114"/>
      <c r="DA472" s="1114"/>
      <c r="DB472" s="1114"/>
      <c r="DC472" s="1114"/>
      <c r="DD472" s="1114"/>
      <c r="DE472" s="1114"/>
      <c r="DF472" s="1114"/>
      <c r="DG472" s="1114"/>
      <c r="DH472" s="1114"/>
      <c r="DI472" s="1114"/>
      <c r="DJ472" s="1114"/>
      <c r="DK472" s="1114"/>
      <c r="DL472" s="1114"/>
      <c r="DM472" s="1114"/>
      <c r="DN472" s="1114"/>
      <c r="DO472" s="1114"/>
      <c r="DP472" s="1114"/>
      <c r="DQ472" s="1114"/>
      <c r="DR472" s="1114"/>
      <c r="DS472" s="1114"/>
      <c r="DT472" s="1114"/>
      <c r="DU472" s="1114"/>
      <c r="DV472" s="1115"/>
      <c r="DW472" s="1116"/>
      <c r="DX472" s="1116"/>
      <c r="DY472" s="1116"/>
      <c r="DZ472" s="1116"/>
      <c r="EA472" s="1116"/>
      <c r="EB472" s="1116"/>
      <c r="EC472" s="1116"/>
      <c r="ED472" s="1116"/>
      <c r="EE472" s="1116"/>
      <c r="EF472" s="1116"/>
      <c r="EG472" s="1116"/>
      <c r="EH472" s="1116"/>
      <c r="EI472" s="1116"/>
      <c r="EJ472" s="1116"/>
      <c r="EK472" s="1116"/>
      <c r="EL472" s="1116"/>
      <c r="EM472" s="1116"/>
      <c r="EN472" s="1116"/>
      <c r="EO472" s="1116"/>
      <c r="EP472" s="1116"/>
      <c r="EQ472" s="1116"/>
      <c r="ER472" s="1116"/>
      <c r="ES472" s="1116"/>
    </row>
    <row r="473" spans="1:149" ht="15" customHeight="1">
      <c r="A473" s="1185">
        <v>463</v>
      </c>
      <c r="B473" s="1041"/>
      <c r="C473" s="1050"/>
      <c r="D473" s="1050"/>
      <c r="E473" s="1050"/>
      <c r="F473" s="1049"/>
      <c r="G473" s="1049"/>
      <c r="H473" s="1049"/>
      <c r="I473" s="1049"/>
      <c r="J473" s="1050"/>
      <c r="K473" s="1050"/>
      <c r="L473" s="1043"/>
      <c r="M473" s="1051"/>
      <c r="N473" s="1051"/>
      <c r="O473" s="1052"/>
      <c r="P473" s="1051"/>
      <c r="Q473" s="1051"/>
      <c r="R473" s="1052"/>
      <c r="S473" s="1051"/>
      <c r="T473" s="1051"/>
      <c r="U473" s="1052"/>
      <c r="V473" s="1051"/>
      <c r="W473" s="1051"/>
      <c r="X473" s="1052"/>
      <c r="Y473" s="1053"/>
      <c r="Z473" s="1051"/>
      <c r="AA473" s="1051"/>
      <c r="AB473" s="1052"/>
      <c r="AC473" s="1051"/>
      <c r="AD473" s="1051"/>
      <c r="AE473" s="1052"/>
      <c r="AF473" s="1051"/>
      <c r="AG473" s="1051"/>
      <c r="AH473" s="1051"/>
      <c r="AI473" s="1051"/>
      <c r="AJ473" s="1052"/>
      <c r="AK473" s="1051"/>
      <c r="AL473" s="1051"/>
      <c r="AM473" s="1052"/>
      <c r="AN473" s="1051"/>
      <c r="AO473" s="1051"/>
      <c r="AP473" s="1052"/>
      <c r="AQ473" s="1051"/>
      <c r="AR473" s="1051"/>
      <c r="AS473" s="1052"/>
      <c r="AT473" s="1051"/>
      <c r="AU473" s="1051"/>
      <c r="AV473" s="1052"/>
      <c r="AW473" s="1051"/>
      <c r="AX473" s="1051"/>
      <c r="AY473" s="1053"/>
      <c r="AZ473" s="1051"/>
      <c r="BA473" s="1051"/>
      <c r="BB473" s="1053"/>
      <c r="BC473" s="1051"/>
      <c r="BD473" s="1051"/>
      <c r="BE473" s="1053"/>
      <c r="BF473" s="1051"/>
      <c r="BG473" s="1051"/>
      <c r="BH473" s="1053"/>
      <c r="BI473" s="1052"/>
      <c r="BJ473" s="1052"/>
      <c r="BK473" s="1052"/>
      <c r="BL473" s="1052"/>
      <c r="BM473" s="1052"/>
      <c r="BN473" s="1054"/>
      <c r="BO473" s="1076">
        <f t="shared" si="8"/>
        <v>0</v>
      </c>
      <c r="BP473" s="1051"/>
      <c r="BQ473" s="1052"/>
      <c r="BR473" s="1054"/>
      <c r="BS473" s="1053"/>
      <c r="BT473" s="1051"/>
      <c r="BU473" s="1051"/>
      <c r="BV473" s="1051"/>
      <c r="BW473" s="1052"/>
      <c r="BX473" s="1052"/>
      <c r="BY473" s="1052"/>
      <c r="BZ473" s="1052"/>
      <c r="CA473" s="1052"/>
      <c r="CB473" s="1053"/>
      <c r="CC473" s="1053"/>
      <c r="CD473" s="1053"/>
      <c r="CE473" s="1053"/>
      <c r="CF473" s="1053"/>
      <c r="CG473" s="1053"/>
      <c r="CH473" s="1053"/>
      <c r="CI473" s="1123"/>
      <c r="CJ473" s="1123"/>
      <c r="CK473" s="1123"/>
      <c r="CL473" s="1123"/>
      <c r="CM473" s="1123"/>
      <c r="CN473" s="1123"/>
      <c r="CO473" s="1123"/>
      <c r="CP473" s="1123"/>
      <c r="CQ473" s="1123"/>
      <c r="CR473" s="1123"/>
      <c r="CS473" s="1123"/>
      <c r="CT473" s="1123"/>
      <c r="CU473" s="1123"/>
      <c r="CV473" s="1123"/>
      <c r="CW473" s="1123"/>
      <c r="CX473" s="1123"/>
      <c r="CY473" s="1123"/>
      <c r="CZ473" s="1114"/>
      <c r="DA473" s="1114"/>
      <c r="DB473" s="1114"/>
      <c r="DC473" s="1114"/>
      <c r="DD473" s="1114"/>
      <c r="DE473" s="1114"/>
      <c r="DF473" s="1114"/>
      <c r="DG473" s="1114"/>
      <c r="DH473" s="1114"/>
      <c r="DI473" s="1114"/>
      <c r="DJ473" s="1114"/>
      <c r="DK473" s="1114"/>
      <c r="DL473" s="1114"/>
      <c r="DM473" s="1114"/>
      <c r="DN473" s="1114"/>
      <c r="DO473" s="1114"/>
      <c r="DP473" s="1114"/>
      <c r="DQ473" s="1114"/>
      <c r="DR473" s="1114"/>
      <c r="DS473" s="1114"/>
      <c r="DT473" s="1114"/>
      <c r="DU473" s="1114"/>
      <c r="DV473" s="1115"/>
      <c r="DW473" s="1116"/>
      <c r="DX473" s="1116"/>
      <c r="DY473" s="1116"/>
      <c r="DZ473" s="1116"/>
      <c r="EA473" s="1116"/>
      <c r="EB473" s="1116"/>
      <c r="EC473" s="1116"/>
      <c r="ED473" s="1116"/>
      <c r="EE473" s="1116"/>
      <c r="EF473" s="1116"/>
      <c r="EG473" s="1116"/>
      <c r="EH473" s="1116"/>
      <c r="EI473" s="1116"/>
      <c r="EJ473" s="1116"/>
      <c r="EK473" s="1116"/>
      <c r="EL473" s="1116"/>
      <c r="EM473" s="1116"/>
      <c r="EN473" s="1116"/>
      <c r="EO473" s="1116"/>
      <c r="EP473" s="1116"/>
      <c r="EQ473" s="1116"/>
      <c r="ER473" s="1116"/>
      <c r="ES473" s="1116"/>
    </row>
    <row r="474" spans="1:149" ht="15" customHeight="1">
      <c r="A474" s="1185">
        <v>464</v>
      </c>
      <c r="B474" s="1041"/>
      <c r="C474" s="1050"/>
      <c r="D474" s="1050"/>
      <c r="E474" s="1050"/>
      <c r="F474" s="1049"/>
      <c r="G474" s="1049"/>
      <c r="H474" s="1049"/>
      <c r="I474" s="1049"/>
      <c r="J474" s="1050"/>
      <c r="K474" s="1050"/>
      <c r="L474" s="1043"/>
      <c r="M474" s="1051"/>
      <c r="N474" s="1051"/>
      <c r="O474" s="1052"/>
      <c r="P474" s="1051"/>
      <c r="Q474" s="1051"/>
      <c r="R474" s="1052"/>
      <c r="S474" s="1051"/>
      <c r="T474" s="1051"/>
      <c r="U474" s="1052"/>
      <c r="V474" s="1051"/>
      <c r="W474" s="1051"/>
      <c r="X474" s="1052"/>
      <c r="Y474" s="1053"/>
      <c r="Z474" s="1051"/>
      <c r="AA474" s="1051"/>
      <c r="AB474" s="1052"/>
      <c r="AC474" s="1051"/>
      <c r="AD474" s="1051"/>
      <c r="AE474" s="1052"/>
      <c r="AF474" s="1051"/>
      <c r="AG474" s="1051"/>
      <c r="AH474" s="1051"/>
      <c r="AI474" s="1051"/>
      <c r="AJ474" s="1052"/>
      <c r="AK474" s="1051"/>
      <c r="AL474" s="1051"/>
      <c r="AM474" s="1052"/>
      <c r="AN474" s="1051"/>
      <c r="AO474" s="1051"/>
      <c r="AP474" s="1052"/>
      <c r="AQ474" s="1051"/>
      <c r="AR474" s="1051"/>
      <c r="AS474" s="1052"/>
      <c r="AT474" s="1051"/>
      <c r="AU474" s="1051"/>
      <c r="AV474" s="1052"/>
      <c r="AW474" s="1051"/>
      <c r="AX474" s="1051"/>
      <c r="AY474" s="1053"/>
      <c r="AZ474" s="1051"/>
      <c r="BA474" s="1051"/>
      <c r="BB474" s="1053"/>
      <c r="BC474" s="1051"/>
      <c r="BD474" s="1051"/>
      <c r="BE474" s="1053"/>
      <c r="BF474" s="1051"/>
      <c r="BG474" s="1051"/>
      <c r="BH474" s="1053"/>
      <c r="BI474" s="1052"/>
      <c r="BJ474" s="1052"/>
      <c r="BK474" s="1052"/>
      <c r="BL474" s="1052"/>
      <c r="BM474" s="1052"/>
      <c r="BN474" s="1054"/>
      <c r="BO474" s="1076">
        <f t="shared" si="8"/>
        <v>0</v>
      </c>
      <c r="BP474" s="1051"/>
      <c r="BQ474" s="1052"/>
      <c r="BR474" s="1054"/>
      <c r="BS474" s="1053"/>
      <c r="BT474" s="1051"/>
      <c r="BU474" s="1051"/>
      <c r="BV474" s="1051"/>
      <c r="BW474" s="1052"/>
      <c r="BX474" s="1052"/>
      <c r="BY474" s="1052"/>
      <c r="BZ474" s="1052"/>
      <c r="CA474" s="1052"/>
      <c r="CB474" s="1053"/>
      <c r="CC474" s="1053"/>
      <c r="CD474" s="1053"/>
      <c r="CE474" s="1053"/>
      <c r="CF474" s="1053"/>
      <c r="CG474" s="1053"/>
      <c r="CH474" s="1053"/>
      <c r="CI474" s="1123"/>
      <c r="CJ474" s="1123"/>
      <c r="CK474" s="1123"/>
      <c r="CL474" s="1123"/>
      <c r="CM474" s="1123"/>
      <c r="CN474" s="1123"/>
      <c r="CO474" s="1123"/>
      <c r="CP474" s="1123"/>
      <c r="CQ474" s="1123"/>
      <c r="CR474" s="1123"/>
      <c r="CS474" s="1123"/>
      <c r="CT474" s="1123"/>
      <c r="CU474" s="1123"/>
      <c r="CV474" s="1123"/>
      <c r="CW474" s="1123"/>
      <c r="CX474" s="1123"/>
      <c r="CY474" s="1123"/>
      <c r="CZ474" s="1114"/>
      <c r="DA474" s="1114"/>
      <c r="DB474" s="1114"/>
      <c r="DC474" s="1114"/>
      <c r="DD474" s="1114"/>
      <c r="DE474" s="1114"/>
      <c r="DF474" s="1114"/>
      <c r="DG474" s="1114"/>
      <c r="DH474" s="1114"/>
      <c r="DI474" s="1114"/>
      <c r="DJ474" s="1114"/>
      <c r="DK474" s="1114"/>
      <c r="DL474" s="1114"/>
      <c r="DM474" s="1114"/>
      <c r="DN474" s="1114"/>
      <c r="DO474" s="1114"/>
      <c r="DP474" s="1114"/>
      <c r="DQ474" s="1114"/>
      <c r="DR474" s="1114"/>
      <c r="DS474" s="1114"/>
      <c r="DT474" s="1114"/>
      <c r="DU474" s="1114"/>
      <c r="DV474" s="1115"/>
      <c r="DW474" s="1116"/>
      <c r="DX474" s="1116"/>
      <c r="DY474" s="1116"/>
      <c r="DZ474" s="1116"/>
      <c r="EA474" s="1116"/>
      <c r="EB474" s="1116"/>
      <c r="EC474" s="1116"/>
      <c r="ED474" s="1116"/>
      <c r="EE474" s="1116"/>
      <c r="EF474" s="1116"/>
      <c r="EG474" s="1116"/>
      <c r="EH474" s="1116"/>
      <c r="EI474" s="1116"/>
      <c r="EJ474" s="1116"/>
      <c r="EK474" s="1116"/>
      <c r="EL474" s="1116"/>
      <c r="EM474" s="1116"/>
      <c r="EN474" s="1116"/>
      <c r="EO474" s="1116"/>
      <c r="EP474" s="1116"/>
      <c r="EQ474" s="1116"/>
      <c r="ER474" s="1116"/>
      <c r="ES474" s="1116"/>
    </row>
    <row r="475" spans="1:149" ht="15" customHeight="1">
      <c r="A475" s="1185">
        <v>465</v>
      </c>
      <c r="B475" s="1041"/>
      <c r="C475" s="1050"/>
      <c r="D475" s="1050"/>
      <c r="E475" s="1050"/>
      <c r="F475" s="1049"/>
      <c r="G475" s="1049"/>
      <c r="H475" s="1049"/>
      <c r="I475" s="1049"/>
      <c r="J475" s="1050"/>
      <c r="K475" s="1050"/>
      <c r="L475" s="1043"/>
      <c r="M475" s="1051"/>
      <c r="N475" s="1051"/>
      <c r="O475" s="1052"/>
      <c r="P475" s="1051"/>
      <c r="Q475" s="1051"/>
      <c r="R475" s="1052"/>
      <c r="S475" s="1051"/>
      <c r="T475" s="1051"/>
      <c r="U475" s="1052"/>
      <c r="V475" s="1051"/>
      <c r="W475" s="1051"/>
      <c r="X475" s="1052"/>
      <c r="Y475" s="1053"/>
      <c r="Z475" s="1051"/>
      <c r="AA475" s="1051"/>
      <c r="AB475" s="1052"/>
      <c r="AC475" s="1051"/>
      <c r="AD475" s="1051"/>
      <c r="AE475" s="1052"/>
      <c r="AF475" s="1051"/>
      <c r="AG475" s="1051"/>
      <c r="AH475" s="1051"/>
      <c r="AI475" s="1051"/>
      <c r="AJ475" s="1052"/>
      <c r="AK475" s="1051"/>
      <c r="AL475" s="1051"/>
      <c r="AM475" s="1052"/>
      <c r="AN475" s="1051"/>
      <c r="AO475" s="1051"/>
      <c r="AP475" s="1052"/>
      <c r="AQ475" s="1051"/>
      <c r="AR475" s="1051"/>
      <c r="AS475" s="1052"/>
      <c r="AT475" s="1051"/>
      <c r="AU475" s="1051"/>
      <c r="AV475" s="1052"/>
      <c r="AW475" s="1051"/>
      <c r="AX475" s="1051"/>
      <c r="AY475" s="1053"/>
      <c r="AZ475" s="1051"/>
      <c r="BA475" s="1051"/>
      <c r="BB475" s="1053"/>
      <c r="BC475" s="1051"/>
      <c r="BD475" s="1051"/>
      <c r="BE475" s="1053"/>
      <c r="BF475" s="1051"/>
      <c r="BG475" s="1051"/>
      <c r="BH475" s="1053"/>
      <c r="BI475" s="1052"/>
      <c r="BJ475" s="1052"/>
      <c r="BK475" s="1052"/>
      <c r="BL475" s="1052"/>
      <c r="BM475" s="1052"/>
      <c r="BN475" s="1054"/>
      <c r="BO475" s="1076">
        <f t="shared" si="8"/>
        <v>0</v>
      </c>
      <c r="BP475" s="1051"/>
      <c r="BQ475" s="1052"/>
      <c r="BR475" s="1054"/>
      <c r="BS475" s="1053"/>
      <c r="BT475" s="1051"/>
      <c r="BU475" s="1051"/>
      <c r="BV475" s="1051"/>
      <c r="BW475" s="1052"/>
      <c r="BX475" s="1052"/>
      <c r="BY475" s="1052"/>
      <c r="BZ475" s="1052"/>
      <c r="CA475" s="1052"/>
      <c r="CB475" s="1053"/>
      <c r="CC475" s="1053"/>
      <c r="CD475" s="1053"/>
      <c r="CE475" s="1053"/>
      <c r="CF475" s="1053"/>
      <c r="CG475" s="1053"/>
      <c r="CH475" s="1053"/>
      <c r="CI475" s="1123"/>
      <c r="CJ475" s="1123"/>
      <c r="CK475" s="1123"/>
      <c r="CL475" s="1123"/>
      <c r="CM475" s="1123"/>
      <c r="CN475" s="1123"/>
      <c r="CO475" s="1123"/>
      <c r="CP475" s="1123"/>
      <c r="CQ475" s="1123"/>
      <c r="CR475" s="1123"/>
      <c r="CS475" s="1123"/>
      <c r="CT475" s="1123"/>
      <c r="CU475" s="1123"/>
      <c r="CV475" s="1123"/>
      <c r="CW475" s="1123"/>
      <c r="CX475" s="1123"/>
      <c r="CY475" s="1123"/>
      <c r="CZ475" s="1114"/>
      <c r="DA475" s="1114"/>
      <c r="DB475" s="1114"/>
      <c r="DC475" s="1114"/>
      <c r="DD475" s="1114"/>
      <c r="DE475" s="1114"/>
      <c r="DF475" s="1114"/>
      <c r="DG475" s="1114"/>
      <c r="DH475" s="1114"/>
      <c r="DI475" s="1114"/>
      <c r="DJ475" s="1114"/>
      <c r="DK475" s="1114"/>
      <c r="DL475" s="1114"/>
      <c r="DM475" s="1114"/>
      <c r="DN475" s="1114"/>
      <c r="DO475" s="1114"/>
      <c r="DP475" s="1114"/>
      <c r="DQ475" s="1114"/>
      <c r="DR475" s="1114"/>
      <c r="DS475" s="1114"/>
      <c r="DT475" s="1114"/>
      <c r="DU475" s="1114"/>
      <c r="DV475" s="1115"/>
      <c r="DW475" s="1116"/>
      <c r="DX475" s="1116"/>
      <c r="DY475" s="1116"/>
      <c r="DZ475" s="1116"/>
      <c r="EA475" s="1116"/>
      <c r="EB475" s="1116"/>
      <c r="EC475" s="1116"/>
      <c r="ED475" s="1116"/>
      <c r="EE475" s="1116"/>
      <c r="EF475" s="1116"/>
      <c r="EG475" s="1116"/>
      <c r="EH475" s="1116"/>
      <c r="EI475" s="1116"/>
      <c r="EJ475" s="1116"/>
      <c r="EK475" s="1116"/>
      <c r="EL475" s="1116"/>
      <c r="EM475" s="1116"/>
      <c r="EN475" s="1116"/>
      <c r="EO475" s="1116"/>
      <c r="EP475" s="1116"/>
      <c r="EQ475" s="1116"/>
      <c r="ER475" s="1116"/>
      <c r="ES475" s="1116"/>
    </row>
    <row r="476" spans="1:149" ht="15" customHeight="1">
      <c r="A476" s="1185">
        <v>466</v>
      </c>
      <c r="B476" s="1041"/>
      <c r="C476" s="1050"/>
      <c r="D476" s="1050"/>
      <c r="E476" s="1050"/>
      <c r="F476" s="1049"/>
      <c r="G476" s="1049"/>
      <c r="H476" s="1049"/>
      <c r="I476" s="1049"/>
      <c r="J476" s="1050"/>
      <c r="K476" s="1050"/>
      <c r="L476" s="1043"/>
      <c r="M476" s="1051"/>
      <c r="N476" s="1051"/>
      <c r="O476" s="1052"/>
      <c r="P476" s="1051"/>
      <c r="Q476" s="1051"/>
      <c r="R476" s="1052"/>
      <c r="S476" s="1051"/>
      <c r="T476" s="1051"/>
      <c r="U476" s="1052"/>
      <c r="V476" s="1051"/>
      <c r="W476" s="1051"/>
      <c r="X476" s="1052"/>
      <c r="Y476" s="1053"/>
      <c r="Z476" s="1051"/>
      <c r="AA476" s="1051"/>
      <c r="AB476" s="1052"/>
      <c r="AC476" s="1051"/>
      <c r="AD476" s="1051"/>
      <c r="AE476" s="1052"/>
      <c r="AF476" s="1051"/>
      <c r="AG476" s="1051"/>
      <c r="AH476" s="1051"/>
      <c r="AI476" s="1051"/>
      <c r="AJ476" s="1052"/>
      <c r="AK476" s="1051"/>
      <c r="AL476" s="1051"/>
      <c r="AM476" s="1052"/>
      <c r="AN476" s="1051"/>
      <c r="AO476" s="1051"/>
      <c r="AP476" s="1052"/>
      <c r="AQ476" s="1051"/>
      <c r="AR476" s="1051"/>
      <c r="AS476" s="1052"/>
      <c r="AT476" s="1051"/>
      <c r="AU476" s="1051"/>
      <c r="AV476" s="1052"/>
      <c r="AW476" s="1051"/>
      <c r="AX476" s="1051"/>
      <c r="AY476" s="1053"/>
      <c r="AZ476" s="1051"/>
      <c r="BA476" s="1051"/>
      <c r="BB476" s="1053"/>
      <c r="BC476" s="1051"/>
      <c r="BD476" s="1051"/>
      <c r="BE476" s="1053"/>
      <c r="BF476" s="1051"/>
      <c r="BG476" s="1051"/>
      <c r="BH476" s="1053"/>
      <c r="BI476" s="1052"/>
      <c r="BJ476" s="1052"/>
      <c r="BK476" s="1052"/>
      <c r="BL476" s="1052"/>
      <c r="BM476" s="1052"/>
      <c r="BN476" s="1054"/>
      <c r="BO476" s="1076">
        <f t="shared" si="8"/>
        <v>0</v>
      </c>
      <c r="BP476" s="1051"/>
      <c r="BQ476" s="1052"/>
      <c r="BR476" s="1054"/>
      <c r="BS476" s="1053"/>
      <c r="BT476" s="1051"/>
      <c r="BU476" s="1051"/>
      <c r="BV476" s="1051"/>
      <c r="BW476" s="1052"/>
      <c r="BX476" s="1052"/>
      <c r="BY476" s="1052"/>
      <c r="BZ476" s="1052"/>
      <c r="CA476" s="1052"/>
      <c r="CB476" s="1053"/>
      <c r="CC476" s="1053"/>
      <c r="CD476" s="1053"/>
      <c r="CE476" s="1053"/>
      <c r="CF476" s="1053"/>
      <c r="CG476" s="1053"/>
      <c r="CH476" s="1053"/>
      <c r="CI476" s="1123"/>
      <c r="CJ476" s="1123"/>
      <c r="CK476" s="1123"/>
      <c r="CL476" s="1123"/>
      <c r="CM476" s="1123"/>
      <c r="CN476" s="1123"/>
      <c r="CO476" s="1123"/>
      <c r="CP476" s="1123"/>
      <c r="CQ476" s="1123"/>
      <c r="CR476" s="1123"/>
      <c r="CS476" s="1123"/>
      <c r="CT476" s="1123"/>
      <c r="CU476" s="1123"/>
      <c r="CV476" s="1123"/>
      <c r="CW476" s="1123"/>
      <c r="CX476" s="1123"/>
      <c r="CY476" s="1123"/>
      <c r="CZ476" s="1114"/>
      <c r="DA476" s="1114"/>
      <c r="DB476" s="1114"/>
      <c r="DC476" s="1114"/>
      <c r="DD476" s="1114"/>
      <c r="DE476" s="1114"/>
      <c r="DF476" s="1114"/>
      <c r="DG476" s="1114"/>
      <c r="DH476" s="1114"/>
      <c r="DI476" s="1114"/>
      <c r="DJ476" s="1114"/>
      <c r="DK476" s="1114"/>
      <c r="DL476" s="1114"/>
      <c r="DM476" s="1114"/>
      <c r="DN476" s="1114"/>
      <c r="DO476" s="1114"/>
      <c r="DP476" s="1114"/>
      <c r="DQ476" s="1114"/>
      <c r="DR476" s="1114"/>
      <c r="DS476" s="1114"/>
      <c r="DT476" s="1114"/>
      <c r="DU476" s="1114"/>
      <c r="DV476" s="1115"/>
      <c r="DW476" s="1116"/>
      <c r="DX476" s="1116"/>
      <c r="DY476" s="1116"/>
      <c r="DZ476" s="1116"/>
      <c r="EA476" s="1116"/>
      <c r="EB476" s="1116"/>
      <c r="EC476" s="1116"/>
      <c r="ED476" s="1116"/>
      <c r="EE476" s="1116"/>
      <c r="EF476" s="1116"/>
      <c r="EG476" s="1116"/>
      <c r="EH476" s="1116"/>
      <c r="EI476" s="1116"/>
      <c r="EJ476" s="1116"/>
      <c r="EK476" s="1116"/>
      <c r="EL476" s="1116"/>
      <c r="EM476" s="1116"/>
      <c r="EN476" s="1116"/>
      <c r="EO476" s="1116"/>
      <c r="EP476" s="1116"/>
      <c r="EQ476" s="1116"/>
      <c r="ER476" s="1116"/>
      <c r="ES476" s="1116"/>
    </row>
    <row r="477" spans="1:149" ht="15" customHeight="1">
      <c r="A477" s="1185">
        <v>467</v>
      </c>
      <c r="B477" s="1041"/>
      <c r="C477" s="1050"/>
      <c r="D477" s="1050"/>
      <c r="E477" s="1050"/>
      <c r="F477" s="1049"/>
      <c r="G477" s="1049"/>
      <c r="H477" s="1049"/>
      <c r="I477" s="1049"/>
      <c r="J477" s="1050"/>
      <c r="K477" s="1050"/>
      <c r="L477" s="1043"/>
      <c r="M477" s="1051"/>
      <c r="N477" s="1051"/>
      <c r="O477" s="1052"/>
      <c r="P477" s="1051"/>
      <c r="Q477" s="1051"/>
      <c r="R477" s="1052"/>
      <c r="S477" s="1051"/>
      <c r="T477" s="1051"/>
      <c r="U477" s="1052"/>
      <c r="V477" s="1051"/>
      <c r="W477" s="1051"/>
      <c r="X477" s="1052"/>
      <c r="Y477" s="1053"/>
      <c r="Z477" s="1051"/>
      <c r="AA477" s="1051"/>
      <c r="AB477" s="1052"/>
      <c r="AC477" s="1051"/>
      <c r="AD477" s="1051"/>
      <c r="AE477" s="1052"/>
      <c r="AF477" s="1051"/>
      <c r="AG477" s="1051"/>
      <c r="AH477" s="1051"/>
      <c r="AI477" s="1051"/>
      <c r="AJ477" s="1052"/>
      <c r="AK477" s="1051"/>
      <c r="AL477" s="1051"/>
      <c r="AM477" s="1052"/>
      <c r="AN477" s="1051"/>
      <c r="AO477" s="1051"/>
      <c r="AP477" s="1052"/>
      <c r="AQ477" s="1051"/>
      <c r="AR477" s="1051"/>
      <c r="AS477" s="1052"/>
      <c r="AT477" s="1051"/>
      <c r="AU477" s="1051"/>
      <c r="AV477" s="1052"/>
      <c r="AW477" s="1051"/>
      <c r="AX477" s="1051"/>
      <c r="AY477" s="1053"/>
      <c r="AZ477" s="1051"/>
      <c r="BA477" s="1051"/>
      <c r="BB477" s="1053"/>
      <c r="BC477" s="1051"/>
      <c r="BD477" s="1051"/>
      <c r="BE477" s="1053"/>
      <c r="BF477" s="1051"/>
      <c r="BG477" s="1051"/>
      <c r="BH477" s="1053"/>
      <c r="BI477" s="1052"/>
      <c r="BJ477" s="1052"/>
      <c r="BK477" s="1052"/>
      <c r="BL477" s="1052"/>
      <c r="BM477" s="1052"/>
      <c r="BN477" s="1054"/>
      <c r="BO477" s="1076">
        <f t="shared" si="8"/>
        <v>0</v>
      </c>
      <c r="BP477" s="1051"/>
      <c r="BQ477" s="1052"/>
      <c r="BR477" s="1054"/>
      <c r="BS477" s="1053"/>
      <c r="BT477" s="1051"/>
      <c r="BU477" s="1051"/>
      <c r="BV477" s="1051"/>
      <c r="BW477" s="1052"/>
      <c r="BX477" s="1052"/>
      <c r="BY477" s="1052"/>
      <c r="BZ477" s="1052"/>
      <c r="CA477" s="1052"/>
      <c r="CB477" s="1053"/>
      <c r="CC477" s="1053"/>
      <c r="CD477" s="1053"/>
      <c r="CE477" s="1053"/>
      <c r="CF477" s="1053"/>
      <c r="CG477" s="1053"/>
      <c r="CH477" s="1053"/>
      <c r="CI477" s="1123"/>
      <c r="CJ477" s="1123"/>
      <c r="CK477" s="1123"/>
      <c r="CL477" s="1123"/>
      <c r="CM477" s="1123"/>
      <c r="CN477" s="1123"/>
      <c r="CO477" s="1123"/>
      <c r="CP477" s="1123"/>
      <c r="CQ477" s="1123"/>
      <c r="CR477" s="1123"/>
      <c r="CS477" s="1123"/>
      <c r="CT477" s="1123"/>
      <c r="CU477" s="1123"/>
      <c r="CV477" s="1123"/>
      <c r="CW477" s="1123"/>
      <c r="CX477" s="1123"/>
      <c r="CY477" s="1123"/>
      <c r="CZ477" s="1114"/>
      <c r="DA477" s="1114"/>
      <c r="DB477" s="1114"/>
      <c r="DC477" s="1114"/>
      <c r="DD477" s="1114"/>
      <c r="DE477" s="1114"/>
      <c r="DF477" s="1114"/>
      <c r="DG477" s="1114"/>
      <c r="DH477" s="1114"/>
      <c r="DI477" s="1114"/>
      <c r="DJ477" s="1114"/>
      <c r="DK477" s="1114"/>
      <c r="DL477" s="1114"/>
      <c r="DM477" s="1114"/>
      <c r="DN477" s="1114"/>
      <c r="DO477" s="1114"/>
      <c r="DP477" s="1114"/>
      <c r="DQ477" s="1114"/>
      <c r="DR477" s="1114"/>
      <c r="DS477" s="1114"/>
      <c r="DT477" s="1114"/>
      <c r="DU477" s="1114"/>
      <c r="DV477" s="1115"/>
      <c r="DW477" s="1116"/>
      <c r="DX477" s="1116"/>
      <c r="DY477" s="1116"/>
      <c r="DZ477" s="1116"/>
      <c r="EA477" s="1116"/>
      <c r="EB477" s="1116"/>
      <c r="EC477" s="1116"/>
      <c r="ED477" s="1116"/>
      <c r="EE477" s="1116"/>
      <c r="EF477" s="1116"/>
      <c r="EG477" s="1116"/>
      <c r="EH477" s="1116"/>
      <c r="EI477" s="1116"/>
      <c r="EJ477" s="1116"/>
      <c r="EK477" s="1116"/>
      <c r="EL477" s="1116"/>
      <c r="EM477" s="1116"/>
      <c r="EN477" s="1116"/>
      <c r="EO477" s="1116"/>
      <c r="EP477" s="1116"/>
      <c r="EQ477" s="1116"/>
      <c r="ER477" s="1116"/>
      <c r="ES477" s="1116"/>
    </row>
    <row r="478" spans="1:149" ht="15" customHeight="1">
      <c r="A478" s="1185">
        <v>468</v>
      </c>
      <c r="B478" s="1041"/>
      <c r="C478" s="1050"/>
      <c r="D478" s="1050"/>
      <c r="E478" s="1050"/>
      <c r="F478" s="1049"/>
      <c r="G478" s="1049"/>
      <c r="H478" s="1049"/>
      <c r="I478" s="1049"/>
      <c r="J478" s="1050"/>
      <c r="K478" s="1050"/>
      <c r="L478" s="1043"/>
      <c r="M478" s="1051"/>
      <c r="N478" s="1051"/>
      <c r="O478" s="1052"/>
      <c r="P478" s="1051"/>
      <c r="Q478" s="1051"/>
      <c r="R478" s="1052"/>
      <c r="S478" s="1051"/>
      <c r="T478" s="1051"/>
      <c r="U478" s="1052"/>
      <c r="V478" s="1051"/>
      <c r="W478" s="1051"/>
      <c r="X478" s="1052"/>
      <c r="Y478" s="1053"/>
      <c r="Z478" s="1051"/>
      <c r="AA478" s="1051"/>
      <c r="AB478" s="1052"/>
      <c r="AC478" s="1051"/>
      <c r="AD478" s="1051"/>
      <c r="AE478" s="1052"/>
      <c r="AF478" s="1051"/>
      <c r="AG478" s="1051"/>
      <c r="AH478" s="1051"/>
      <c r="AI478" s="1051"/>
      <c r="AJ478" s="1052"/>
      <c r="AK478" s="1051"/>
      <c r="AL478" s="1051"/>
      <c r="AM478" s="1052"/>
      <c r="AN478" s="1051"/>
      <c r="AO478" s="1051"/>
      <c r="AP478" s="1052"/>
      <c r="AQ478" s="1051"/>
      <c r="AR478" s="1051"/>
      <c r="AS478" s="1052"/>
      <c r="AT478" s="1051"/>
      <c r="AU478" s="1051"/>
      <c r="AV478" s="1052"/>
      <c r="AW478" s="1051"/>
      <c r="AX478" s="1051"/>
      <c r="AY478" s="1053"/>
      <c r="AZ478" s="1051"/>
      <c r="BA478" s="1051"/>
      <c r="BB478" s="1053"/>
      <c r="BC478" s="1051"/>
      <c r="BD478" s="1051"/>
      <c r="BE478" s="1053"/>
      <c r="BF478" s="1051"/>
      <c r="BG478" s="1051"/>
      <c r="BH478" s="1053"/>
      <c r="BI478" s="1052"/>
      <c r="BJ478" s="1052"/>
      <c r="BK478" s="1052"/>
      <c r="BL478" s="1052"/>
      <c r="BM478" s="1052"/>
      <c r="BN478" s="1054"/>
      <c r="BO478" s="1076">
        <f t="shared" si="8"/>
        <v>0</v>
      </c>
      <c r="BP478" s="1051"/>
      <c r="BQ478" s="1052"/>
      <c r="BR478" s="1054"/>
      <c r="BS478" s="1053"/>
      <c r="BT478" s="1051"/>
      <c r="BU478" s="1051"/>
      <c r="BV478" s="1051"/>
      <c r="BW478" s="1052"/>
      <c r="BX478" s="1052"/>
      <c r="BY478" s="1052"/>
      <c r="BZ478" s="1052"/>
      <c r="CA478" s="1052"/>
      <c r="CB478" s="1053"/>
      <c r="CC478" s="1053"/>
      <c r="CD478" s="1053"/>
      <c r="CE478" s="1053"/>
      <c r="CF478" s="1053"/>
      <c r="CG478" s="1053"/>
      <c r="CH478" s="1053"/>
      <c r="CI478" s="1123"/>
      <c r="CJ478" s="1123"/>
      <c r="CK478" s="1123"/>
      <c r="CL478" s="1123"/>
      <c r="CM478" s="1123"/>
      <c r="CN478" s="1123"/>
      <c r="CO478" s="1123"/>
      <c r="CP478" s="1123"/>
      <c r="CQ478" s="1123"/>
      <c r="CR478" s="1123"/>
      <c r="CS478" s="1123"/>
      <c r="CT478" s="1123"/>
      <c r="CU478" s="1123"/>
      <c r="CV478" s="1123"/>
      <c r="CW478" s="1123"/>
      <c r="CX478" s="1123"/>
      <c r="CY478" s="1123"/>
      <c r="CZ478" s="1114"/>
      <c r="DA478" s="1114"/>
      <c r="DB478" s="1114"/>
      <c r="DC478" s="1114"/>
      <c r="DD478" s="1114"/>
      <c r="DE478" s="1114"/>
      <c r="DF478" s="1114"/>
      <c r="DG478" s="1114"/>
      <c r="DH478" s="1114"/>
      <c r="DI478" s="1114"/>
      <c r="DJ478" s="1114"/>
      <c r="DK478" s="1114"/>
      <c r="DL478" s="1114"/>
      <c r="DM478" s="1114"/>
      <c r="DN478" s="1114"/>
      <c r="DO478" s="1114"/>
      <c r="DP478" s="1114"/>
      <c r="DQ478" s="1114"/>
      <c r="DR478" s="1114"/>
      <c r="DS478" s="1114"/>
      <c r="DT478" s="1114"/>
      <c r="DU478" s="1114"/>
      <c r="DV478" s="1115"/>
      <c r="DW478" s="1116"/>
      <c r="DX478" s="1116"/>
      <c r="DY478" s="1116"/>
      <c r="DZ478" s="1116"/>
      <c r="EA478" s="1116"/>
      <c r="EB478" s="1116"/>
      <c r="EC478" s="1116"/>
      <c r="ED478" s="1116"/>
      <c r="EE478" s="1116"/>
      <c r="EF478" s="1116"/>
      <c r="EG478" s="1116"/>
      <c r="EH478" s="1116"/>
      <c r="EI478" s="1116"/>
      <c r="EJ478" s="1116"/>
      <c r="EK478" s="1116"/>
      <c r="EL478" s="1116"/>
      <c r="EM478" s="1116"/>
      <c r="EN478" s="1116"/>
      <c r="EO478" s="1116"/>
      <c r="EP478" s="1116"/>
      <c r="EQ478" s="1116"/>
      <c r="ER478" s="1116"/>
      <c r="ES478" s="1116"/>
    </row>
    <row r="479" spans="1:149" ht="15" customHeight="1">
      <c r="A479" s="1185">
        <v>469</v>
      </c>
      <c r="B479" s="1041"/>
      <c r="C479" s="1050"/>
      <c r="D479" s="1050"/>
      <c r="E479" s="1050"/>
      <c r="F479" s="1049"/>
      <c r="G479" s="1049"/>
      <c r="H479" s="1049"/>
      <c r="I479" s="1049"/>
      <c r="J479" s="1050"/>
      <c r="K479" s="1050"/>
      <c r="L479" s="1043"/>
      <c r="M479" s="1051"/>
      <c r="N479" s="1051"/>
      <c r="O479" s="1052"/>
      <c r="P479" s="1051"/>
      <c r="Q479" s="1051"/>
      <c r="R479" s="1052"/>
      <c r="S479" s="1051"/>
      <c r="T479" s="1051"/>
      <c r="U479" s="1052"/>
      <c r="V479" s="1051"/>
      <c r="W479" s="1051"/>
      <c r="X479" s="1052"/>
      <c r="Y479" s="1053"/>
      <c r="Z479" s="1051"/>
      <c r="AA479" s="1051"/>
      <c r="AB479" s="1052"/>
      <c r="AC479" s="1051"/>
      <c r="AD479" s="1051"/>
      <c r="AE479" s="1052"/>
      <c r="AF479" s="1051"/>
      <c r="AG479" s="1051"/>
      <c r="AH479" s="1051"/>
      <c r="AI479" s="1051"/>
      <c r="AJ479" s="1052"/>
      <c r="AK479" s="1051"/>
      <c r="AL479" s="1051"/>
      <c r="AM479" s="1052"/>
      <c r="AN479" s="1051"/>
      <c r="AO479" s="1051"/>
      <c r="AP479" s="1052"/>
      <c r="AQ479" s="1051"/>
      <c r="AR479" s="1051"/>
      <c r="AS479" s="1052"/>
      <c r="AT479" s="1051"/>
      <c r="AU479" s="1051"/>
      <c r="AV479" s="1052"/>
      <c r="AW479" s="1051"/>
      <c r="AX479" s="1051"/>
      <c r="AY479" s="1053"/>
      <c r="AZ479" s="1051"/>
      <c r="BA479" s="1051"/>
      <c r="BB479" s="1053"/>
      <c r="BC479" s="1051"/>
      <c r="BD479" s="1051"/>
      <c r="BE479" s="1053"/>
      <c r="BF479" s="1051"/>
      <c r="BG479" s="1051"/>
      <c r="BH479" s="1053"/>
      <c r="BI479" s="1052"/>
      <c r="BJ479" s="1052"/>
      <c r="BK479" s="1052"/>
      <c r="BL479" s="1052"/>
      <c r="BM479" s="1052"/>
      <c r="BN479" s="1054"/>
      <c r="BO479" s="1076">
        <f t="shared" si="8"/>
        <v>0</v>
      </c>
      <c r="BP479" s="1051"/>
      <c r="BQ479" s="1052"/>
      <c r="BR479" s="1054"/>
      <c r="BS479" s="1053"/>
      <c r="BT479" s="1051"/>
      <c r="BU479" s="1051"/>
      <c r="BV479" s="1051"/>
      <c r="BW479" s="1052"/>
      <c r="BX479" s="1052"/>
      <c r="BY479" s="1052"/>
      <c r="BZ479" s="1052"/>
      <c r="CA479" s="1052"/>
      <c r="CB479" s="1053"/>
      <c r="CC479" s="1053"/>
      <c r="CD479" s="1053"/>
      <c r="CE479" s="1053"/>
      <c r="CF479" s="1053"/>
      <c r="CG479" s="1053"/>
      <c r="CH479" s="1053"/>
      <c r="CI479" s="1123"/>
      <c r="CJ479" s="1123"/>
      <c r="CK479" s="1123"/>
      <c r="CL479" s="1123"/>
      <c r="CM479" s="1123"/>
      <c r="CN479" s="1123"/>
      <c r="CO479" s="1123"/>
      <c r="CP479" s="1123"/>
      <c r="CQ479" s="1123"/>
      <c r="CR479" s="1123"/>
      <c r="CS479" s="1123"/>
      <c r="CT479" s="1123"/>
      <c r="CU479" s="1123"/>
      <c r="CV479" s="1123"/>
      <c r="CW479" s="1123"/>
      <c r="CX479" s="1123"/>
      <c r="CY479" s="1123"/>
      <c r="CZ479" s="1114"/>
      <c r="DA479" s="1114"/>
      <c r="DB479" s="1114"/>
      <c r="DC479" s="1114"/>
      <c r="DD479" s="1114"/>
      <c r="DE479" s="1114"/>
      <c r="DF479" s="1114"/>
      <c r="DG479" s="1114"/>
      <c r="DH479" s="1114"/>
      <c r="DI479" s="1114"/>
      <c r="DJ479" s="1114"/>
      <c r="DK479" s="1114"/>
      <c r="DL479" s="1114"/>
      <c r="DM479" s="1114"/>
      <c r="DN479" s="1114"/>
      <c r="DO479" s="1114"/>
      <c r="DP479" s="1114"/>
      <c r="DQ479" s="1114"/>
      <c r="DR479" s="1114"/>
      <c r="DS479" s="1114"/>
      <c r="DT479" s="1114"/>
      <c r="DU479" s="1114"/>
      <c r="DV479" s="1115"/>
      <c r="DW479" s="1116"/>
      <c r="DX479" s="1116"/>
      <c r="DY479" s="1116"/>
      <c r="DZ479" s="1116"/>
      <c r="EA479" s="1116"/>
      <c r="EB479" s="1116"/>
      <c r="EC479" s="1116"/>
      <c r="ED479" s="1116"/>
      <c r="EE479" s="1116"/>
      <c r="EF479" s="1116"/>
      <c r="EG479" s="1116"/>
      <c r="EH479" s="1116"/>
      <c r="EI479" s="1116"/>
      <c r="EJ479" s="1116"/>
      <c r="EK479" s="1116"/>
      <c r="EL479" s="1116"/>
      <c r="EM479" s="1116"/>
      <c r="EN479" s="1116"/>
      <c r="EO479" s="1116"/>
      <c r="EP479" s="1116"/>
      <c r="EQ479" s="1116"/>
      <c r="ER479" s="1116"/>
      <c r="ES479" s="1116"/>
    </row>
    <row r="480" spans="1:149" ht="15" customHeight="1">
      <c r="A480" s="1185">
        <v>470</v>
      </c>
      <c r="B480" s="1041"/>
      <c r="C480" s="1050"/>
      <c r="D480" s="1050"/>
      <c r="E480" s="1050"/>
      <c r="F480" s="1049"/>
      <c r="G480" s="1049"/>
      <c r="H480" s="1049"/>
      <c r="I480" s="1049"/>
      <c r="J480" s="1050"/>
      <c r="K480" s="1050"/>
      <c r="L480" s="1043"/>
      <c r="M480" s="1051"/>
      <c r="N480" s="1051"/>
      <c r="O480" s="1052"/>
      <c r="P480" s="1051"/>
      <c r="Q480" s="1051"/>
      <c r="R480" s="1052"/>
      <c r="S480" s="1051"/>
      <c r="T480" s="1051"/>
      <c r="U480" s="1052"/>
      <c r="V480" s="1051"/>
      <c r="W480" s="1051"/>
      <c r="X480" s="1052"/>
      <c r="Y480" s="1053"/>
      <c r="Z480" s="1051"/>
      <c r="AA480" s="1051"/>
      <c r="AB480" s="1052"/>
      <c r="AC480" s="1051"/>
      <c r="AD480" s="1051"/>
      <c r="AE480" s="1052"/>
      <c r="AF480" s="1051"/>
      <c r="AG480" s="1051"/>
      <c r="AH480" s="1051"/>
      <c r="AI480" s="1051"/>
      <c r="AJ480" s="1052"/>
      <c r="AK480" s="1051"/>
      <c r="AL480" s="1051"/>
      <c r="AM480" s="1052"/>
      <c r="AN480" s="1051"/>
      <c r="AO480" s="1051"/>
      <c r="AP480" s="1052"/>
      <c r="AQ480" s="1051"/>
      <c r="AR480" s="1051"/>
      <c r="AS480" s="1052"/>
      <c r="AT480" s="1051"/>
      <c r="AU480" s="1051"/>
      <c r="AV480" s="1052"/>
      <c r="AW480" s="1051"/>
      <c r="AX480" s="1051"/>
      <c r="AY480" s="1053"/>
      <c r="AZ480" s="1051"/>
      <c r="BA480" s="1051"/>
      <c r="BB480" s="1053"/>
      <c r="BC480" s="1051"/>
      <c r="BD480" s="1051"/>
      <c r="BE480" s="1053"/>
      <c r="BF480" s="1051"/>
      <c r="BG480" s="1051"/>
      <c r="BH480" s="1053"/>
      <c r="BI480" s="1052"/>
      <c r="BJ480" s="1052"/>
      <c r="BK480" s="1052"/>
      <c r="BL480" s="1052"/>
      <c r="BM480" s="1052"/>
      <c r="BN480" s="1054"/>
      <c r="BO480" s="1076">
        <f t="shared" si="8"/>
        <v>0</v>
      </c>
      <c r="BP480" s="1051"/>
      <c r="BQ480" s="1052"/>
      <c r="BR480" s="1054"/>
      <c r="BS480" s="1053"/>
      <c r="BT480" s="1051"/>
      <c r="BU480" s="1051"/>
      <c r="BV480" s="1051"/>
      <c r="BW480" s="1052"/>
      <c r="BX480" s="1052"/>
      <c r="BY480" s="1052"/>
      <c r="BZ480" s="1052"/>
      <c r="CA480" s="1052"/>
      <c r="CB480" s="1053"/>
      <c r="CC480" s="1053"/>
      <c r="CD480" s="1053"/>
      <c r="CE480" s="1053"/>
      <c r="CF480" s="1053"/>
      <c r="CG480" s="1053"/>
      <c r="CH480" s="1053"/>
      <c r="CI480" s="1123"/>
      <c r="CJ480" s="1123"/>
      <c r="CK480" s="1123"/>
      <c r="CL480" s="1123"/>
      <c r="CM480" s="1123"/>
      <c r="CN480" s="1123"/>
      <c r="CO480" s="1123"/>
      <c r="CP480" s="1123"/>
      <c r="CQ480" s="1123"/>
      <c r="CR480" s="1123"/>
      <c r="CS480" s="1123"/>
      <c r="CT480" s="1123"/>
      <c r="CU480" s="1123"/>
      <c r="CV480" s="1123"/>
      <c r="CW480" s="1123"/>
      <c r="CX480" s="1123"/>
      <c r="CY480" s="1123"/>
      <c r="CZ480" s="1114"/>
      <c r="DA480" s="1114"/>
      <c r="DB480" s="1114"/>
      <c r="DC480" s="1114"/>
      <c r="DD480" s="1114"/>
      <c r="DE480" s="1114"/>
      <c r="DF480" s="1114"/>
      <c r="DG480" s="1114"/>
      <c r="DH480" s="1114"/>
      <c r="DI480" s="1114"/>
      <c r="DJ480" s="1114"/>
      <c r="DK480" s="1114"/>
      <c r="DL480" s="1114"/>
      <c r="DM480" s="1114"/>
      <c r="DN480" s="1114"/>
      <c r="DO480" s="1114"/>
      <c r="DP480" s="1114"/>
      <c r="DQ480" s="1114"/>
      <c r="DR480" s="1114"/>
      <c r="DS480" s="1114"/>
      <c r="DT480" s="1114"/>
      <c r="DU480" s="1114"/>
      <c r="DV480" s="1115"/>
      <c r="DW480" s="1116"/>
      <c r="DX480" s="1116"/>
      <c r="DY480" s="1116"/>
      <c r="DZ480" s="1116"/>
      <c r="EA480" s="1116"/>
      <c r="EB480" s="1116"/>
      <c r="EC480" s="1116"/>
      <c r="ED480" s="1116"/>
      <c r="EE480" s="1116"/>
      <c r="EF480" s="1116"/>
      <c r="EG480" s="1116"/>
      <c r="EH480" s="1116"/>
      <c r="EI480" s="1116"/>
      <c r="EJ480" s="1116"/>
      <c r="EK480" s="1116"/>
      <c r="EL480" s="1116"/>
      <c r="EM480" s="1116"/>
      <c r="EN480" s="1116"/>
      <c r="EO480" s="1116"/>
      <c r="EP480" s="1116"/>
      <c r="EQ480" s="1116"/>
      <c r="ER480" s="1116"/>
      <c r="ES480" s="1116"/>
    </row>
    <row r="481" spans="1:149" ht="15" customHeight="1">
      <c r="A481" s="1185">
        <v>471</v>
      </c>
      <c r="B481" s="1041"/>
      <c r="C481" s="1050"/>
      <c r="D481" s="1050"/>
      <c r="E481" s="1050"/>
      <c r="F481" s="1049"/>
      <c r="G481" s="1049"/>
      <c r="H481" s="1049"/>
      <c r="I481" s="1049"/>
      <c r="J481" s="1050"/>
      <c r="K481" s="1050"/>
      <c r="L481" s="1043"/>
      <c r="M481" s="1051"/>
      <c r="N481" s="1051"/>
      <c r="O481" s="1052"/>
      <c r="P481" s="1051"/>
      <c r="Q481" s="1051"/>
      <c r="R481" s="1052"/>
      <c r="S481" s="1051"/>
      <c r="T481" s="1051"/>
      <c r="U481" s="1052"/>
      <c r="V481" s="1051"/>
      <c r="W481" s="1051"/>
      <c r="X481" s="1052"/>
      <c r="Y481" s="1053"/>
      <c r="Z481" s="1051"/>
      <c r="AA481" s="1051"/>
      <c r="AB481" s="1052"/>
      <c r="AC481" s="1051"/>
      <c r="AD481" s="1051"/>
      <c r="AE481" s="1052"/>
      <c r="AF481" s="1051"/>
      <c r="AG481" s="1051"/>
      <c r="AH481" s="1051"/>
      <c r="AI481" s="1051"/>
      <c r="AJ481" s="1052"/>
      <c r="AK481" s="1051"/>
      <c r="AL481" s="1051"/>
      <c r="AM481" s="1052"/>
      <c r="AN481" s="1051"/>
      <c r="AO481" s="1051"/>
      <c r="AP481" s="1052"/>
      <c r="AQ481" s="1051"/>
      <c r="AR481" s="1051"/>
      <c r="AS481" s="1052"/>
      <c r="AT481" s="1051"/>
      <c r="AU481" s="1051"/>
      <c r="AV481" s="1052"/>
      <c r="AW481" s="1051"/>
      <c r="AX481" s="1051"/>
      <c r="AY481" s="1053"/>
      <c r="AZ481" s="1051"/>
      <c r="BA481" s="1051"/>
      <c r="BB481" s="1053"/>
      <c r="BC481" s="1051"/>
      <c r="BD481" s="1051"/>
      <c r="BE481" s="1053"/>
      <c r="BF481" s="1051"/>
      <c r="BG481" s="1051"/>
      <c r="BH481" s="1053"/>
      <c r="BI481" s="1052"/>
      <c r="BJ481" s="1052"/>
      <c r="BK481" s="1052"/>
      <c r="BL481" s="1052"/>
      <c r="BM481" s="1052"/>
      <c r="BN481" s="1054"/>
      <c r="BO481" s="1076">
        <f t="shared" si="8"/>
        <v>0</v>
      </c>
      <c r="BP481" s="1051"/>
      <c r="BQ481" s="1052"/>
      <c r="BR481" s="1054"/>
      <c r="BS481" s="1053"/>
      <c r="BT481" s="1051"/>
      <c r="BU481" s="1051"/>
      <c r="BV481" s="1051"/>
      <c r="BW481" s="1052"/>
      <c r="BX481" s="1052"/>
      <c r="BY481" s="1052"/>
      <c r="BZ481" s="1052"/>
      <c r="CA481" s="1052"/>
      <c r="CB481" s="1053"/>
      <c r="CC481" s="1053"/>
      <c r="CD481" s="1053"/>
      <c r="CE481" s="1053"/>
      <c r="CF481" s="1053"/>
      <c r="CG481" s="1053"/>
      <c r="CH481" s="1053"/>
      <c r="CI481" s="1123"/>
      <c r="CJ481" s="1123"/>
      <c r="CK481" s="1123"/>
      <c r="CL481" s="1123"/>
      <c r="CM481" s="1123"/>
      <c r="CN481" s="1123"/>
      <c r="CO481" s="1123"/>
      <c r="CP481" s="1123"/>
      <c r="CQ481" s="1123"/>
      <c r="CR481" s="1123"/>
      <c r="CS481" s="1123"/>
      <c r="CT481" s="1123"/>
      <c r="CU481" s="1123"/>
      <c r="CV481" s="1123"/>
      <c r="CW481" s="1123"/>
      <c r="CX481" s="1123"/>
      <c r="CY481" s="1123"/>
      <c r="CZ481" s="1114"/>
      <c r="DA481" s="1114"/>
      <c r="DB481" s="1114"/>
      <c r="DC481" s="1114"/>
      <c r="DD481" s="1114"/>
      <c r="DE481" s="1114"/>
      <c r="DF481" s="1114"/>
      <c r="DG481" s="1114"/>
      <c r="DH481" s="1114"/>
      <c r="DI481" s="1114"/>
      <c r="DJ481" s="1114"/>
      <c r="DK481" s="1114"/>
      <c r="DL481" s="1114"/>
      <c r="DM481" s="1114"/>
      <c r="DN481" s="1114"/>
      <c r="DO481" s="1114"/>
      <c r="DP481" s="1114"/>
      <c r="DQ481" s="1114"/>
      <c r="DR481" s="1114"/>
      <c r="DS481" s="1114"/>
      <c r="DT481" s="1114"/>
      <c r="DU481" s="1114"/>
      <c r="DV481" s="1115"/>
      <c r="DW481" s="1116"/>
      <c r="DX481" s="1116"/>
      <c r="DY481" s="1116"/>
      <c r="DZ481" s="1116"/>
      <c r="EA481" s="1116"/>
      <c r="EB481" s="1116"/>
      <c r="EC481" s="1116"/>
      <c r="ED481" s="1116"/>
      <c r="EE481" s="1116"/>
      <c r="EF481" s="1116"/>
      <c r="EG481" s="1116"/>
      <c r="EH481" s="1116"/>
      <c r="EI481" s="1116"/>
      <c r="EJ481" s="1116"/>
      <c r="EK481" s="1116"/>
      <c r="EL481" s="1116"/>
      <c r="EM481" s="1116"/>
      <c r="EN481" s="1116"/>
      <c r="EO481" s="1116"/>
      <c r="EP481" s="1116"/>
      <c r="EQ481" s="1116"/>
      <c r="ER481" s="1116"/>
      <c r="ES481" s="1116"/>
    </row>
    <row r="482" spans="1:149" ht="15" customHeight="1">
      <c r="A482" s="1185">
        <v>472</v>
      </c>
      <c r="B482" s="1041"/>
      <c r="C482" s="1050"/>
      <c r="D482" s="1050"/>
      <c r="E482" s="1050"/>
      <c r="F482" s="1049"/>
      <c r="G482" s="1049"/>
      <c r="H482" s="1049"/>
      <c r="I482" s="1049"/>
      <c r="J482" s="1050"/>
      <c r="K482" s="1050"/>
      <c r="L482" s="1043"/>
      <c r="M482" s="1051"/>
      <c r="N482" s="1051"/>
      <c r="O482" s="1052"/>
      <c r="P482" s="1051"/>
      <c r="Q482" s="1051"/>
      <c r="R482" s="1052"/>
      <c r="S482" s="1051"/>
      <c r="T482" s="1051"/>
      <c r="U482" s="1052"/>
      <c r="V482" s="1051"/>
      <c r="W482" s="1051"/>
      <c r="X482" s="1052"/>
      <c r="Y482" s="1053"/>
      <c r="Z482" s="1051"/>
      <c r="AA482" s="1051"/>
      <c r="AB482" s="1052"/>
      <c r="AC482" s="1051"/>
      <c r="AD482" s="1051"/>
      <c r="AE482" s="1052"/>
      <c r="AF482" s="1051"/>
      <c r="AG482" s="1051"/>
      <c r="AH482" s="1051"/>
      <c r="AI482" s="1051"/>
      <c r="AJ482" s="1052"/>
      <c r="AK482" s="1051"/>
      <c r="AL482" s="1051"/>
      <c r="AM482" s="1052"/>
      <c r="AN482" s="1051"/>
      <c r="AO482" s="1051"/>
      <c r="AP482" s="1052"/>
      <c r="AQ482" s="1051"/>
      <c r="AR482" s="1051"/>
      <c r="AS482" s="1052"/>
      <c r="AT482" s="1051"/>
      <c r="AU482" s="1051"/>
      <c r="AV482" s="1052"/>
      <c r="AW482" s="1051"/>
      <c r="AX482" s="1051"/>
      <c r="AY482" s="1053"/>
      <c r="AZ482" s="1051"/>
      <c r="BA482" s="1051"/>
      <c r="BB482" s="1053"/>
      <c r="BC482" s="1051"/>
      <c r="BD482" s="1051"/>
      <c r="BE482" s="1053"/>
      <c r="BF482" s="1051"/>
      <c r="BG482" s="1051"/>
      <c r="BH482" s="1053"/>
      <c r="BI482" s="1052"/>
      <c r="BJ482" s="1052"/>
      <c r="BK482" s="1052"/>
      <c r="BL482" s="1052"/>
      <c r="BM482" s="1052"/>
      <c r="BN482" s="1054"/>
      <c r="BO482" s="1076">
        <f t="shared" si="8"/>
        <v>0</v>
      </c>
      <c r="BP482" s="1051"/>
      <c r="BQ482" s="1052"/>
      <c r="BR482" s="1054"/>
      <c r="BS482" s="1053"/>
      <c r="BT482" s="1051"/>
      <c r="BU482" s="1051"/>
      <c r="BV482" s="1051"/>
      <c r="BW482" s="1052"/>
      <c r="BX482" s="1052"/>
      <c r="BY482" s="1052"/>
      <c r="BZ482" s="1052"/>
      <c r="CA482" s="1052"/>
      <c r="CB482" s="1053"/>
      <c r="CC482" s="1053"/>
      <c r="CD482" s="1053"/>
      <c r="CE482" s="1053"/>
      <c r="CF482" s="1053"/>
      <c r="CG482" s="1053"/>
      <c r="CH482" s="1053"/>
      <c r="CI482" s="1123"/>
      <c r="CJ482" s="1123"/>
      <c r="CK482" s="1123"/>
      <c r="CL482" s="1123"/>
      <c r="CM482" s="1123"/>
      <c r="CN482" s="1123"/>
      <c r="CO482" s="1123"/>
      <c r="CP482" s="1123"/>
      <c r="CQ482" s="1123"/>
      <c r="CR482" s="1123"/>
      <c r="CS482" s="1123"/>
      <c r="CT482" s="1123"/>
      <c r="CU482" s="1123"/>
      <c r="CV482" s="1123"/>
      <c r="CW482" s="1123"/>
      <c r="CX482" s="1123"/>
      <c r="CY482" s="1123"/>
      <c r="CZ482" s="1114"/>
      <c r="DA482" s="1114"/>
      <c r="DB482" s="1114"/>
      <c r="DC482" s="1114"/>
      <c r="DD482" s="1114"/>
      <c r="DE482" s="1114"/>
      <c r="DF482" s="1114"/>
      <c r="DG482" s="1114"/>
      <c r="DH482" s="1114"/>
      <c r="DI482" s="1114"/>
      <c r="DJ482" s="1114"/>
      <c r="DK482" s="1114"/>
      <c r="DL482" s="1114"/>
      <c r="DM482" s="1114"/>
      <c r="DN482" s="1114"/>
      <c r="DO482" s="1114"/>
      <c r="DP482" s="1114"/>
      <c r="DQ482" s="1114"/>
      <c r="DR482" s="1114"/>
      <c r="DS482" s="1114"/>
      <c r="DT482" s="1114"/>
      <c r="DU482" s="1114"/>
      <c r="DV482" s="1115"/>
      <c r="DW482" s="1116"/>
      <c r="DX482" s="1116"/>
      <c r="DY482" s="1116"/>
      <c r="DZ482" s="1116"/>
      <c r="EA482" s="1116"/>
      <c r="EB482" s="1116"/>
      <c r="EC482" s="1116"/>
      <c r="ED482" s="1116"/>
      <c r="EE482" s="1116"/>
      <c r="EF482" s="1116"/>
      <c r="EG482" s="1116"/>
      <c r="EH482" s="1116"/>
      <c r="EI482" s="1116"/>
      <c r="EJ482" s="1116"/>
      <c r="EK482" s="1116"/>
      <c r="EL482" s="1116"/>
      <c r="EM482" s="1116"/>
      <c r="EN482" s="1116"/>
      <c r="EO482" s="1116"/>
      <c r="EP482" s="1116"/>
      <c r="EQ482" s="1116"/>
      <c r="ER482" s="1116"/>
      <c r="ES482" s="1116"/>
    </row>
    <row r="483" spans="1:149" ht="15" customHeight="1">
      <c r="A483" s="1185">
        <v>473</v>
      </c>
      <c r="B483" s="1041"/>
      <c r="C483" s="1050"/>
      <c r="D483" s="1050"/>
      <c r="E483" s="1050"/>
      <c r="F483" s="1049"/>
      <c r="G483" s="1049"/>
      <c r="H483" s="1049"/>
      <c r="I483" s="1049"/>
      <c r="J483" s="1050"/>
      <c r="K483" s="1050"/>
      <c r="L483" s="1043"/>
      <c r="M483" s="1051"/>
      <c r="N483" s="1051"/>
      <c r="O483" s="1052"/>
      <c r="P483" s="1051"/>
      <c r="Q483" s="1051"/>
      <c r="R483" s="1052"/>
      <c r="S483" s="1051"/>
      <c r="T483" s="1051"/>
      <c r="U483" s="1052"/>
      <c r="V483" s="1051"/>
      <c r="W483" s="1051"/>
      <c r="X483" s="1052"/>
      <c r="Y483" s="1053"/>
      <c r="Z483" s="1051"/>
      <c r="AA483" s="1051"/>
      <c r="AB483" s="1052"/>
      <c r="AC483" s="1051"/>
      <c r="AD483" s="1051"/>
      <c r="AE483" s="1052"/>
      <c r="AF483" s="1051"/>
      <c r="AG483" s="1051"/>
      <c r="AH483" s="1051"/>
      <c r="AI483" s="1051"/>
      <c r="AJ483" s="1052"/>
      <c r="AK483" s="1051"/>
      <c r="AL483" s="1051"/>
      <c r="AM483" s="1052"/>
      <c r="AN483" s="1051"/>
      <c r="AO483" s="1051"/>
      <c r="AP483" s="1052"/>
      <c r="AQ483" s="1051"/>
      <c r="AR483" s="1051"/>
      <c r="AS483" s="1052"/>
      <c r="AT483" s="1051"/>
      <c r="AU483" s="1051"/>
      <c r="AV483" s="1052"/>
      <c r="AW483" s="1051"/>
      <c r="AX483" s="1051"/>
      <c r="AY483" s="1053"/>
      <c r="AZ483" s="1051"/>
      <c r="BA483" s="1051"/>
      <c r="BB483" s="1053"/>
      <c r="BC483" s="1051"/>
      <c r="BD483" s="1051"/>
      <c r="BE483" s="1053"/>
      <c r="BF483" s="1051"/>
      <c r="BG483" s="1051"/>
      <c r="BH483" s="1053"/>
      <c r="BI483" s="1052"/>
      <c r="BJ483" s="1052"/>
      <c r="BK483" s="1052"/>
      <c r="BL483" s="1052"/>
      <c r="BM483" s="1052"/>
      <c r="BN483" s="1054"/>
      <c r="BO483" s="1076">
        <f t="shared" si="8"/>
        <v>0</v>
      </c>
      <c r="BP483" s="1051"/>
      <c r="BQ483" s="1052"/>
      <c r="BR483" s="1054"/>
      <c r="BS483" s="1053"/>
      <c r="BT483" s="1051"/>
      <c r="BU483" s="1051"/>
      <c r="BV483" s="1051"/>
      <c r="BW483" s="1052"/>
      <c r="BX483" s="1052"/>
      <c r="BY483" s="1052"/>
      <c r="BZ483" s="1052"/>
      <c r="CA483" s="1052"/>
      <c r="CB483" s="1053"/>
      <c r="CC483" s="1053"/>
      <c r="CD483" s="1053"/>
      <c r="CE483" s="1053"/>
      <c r="CF483" s="1053"/>
      <c r="CG483" s="1053"/>
      <c r="CH483" s="1053"/>
      <c r="CI483" s="1123"/>
      <c r="CJ483" s="1123"/>
      <c r="CK483" s="1123"/>
      <c r="CL483" s="1123"/>
      <c r="CM483" s="1123"/>
      <c r="CN483" s="1123"/>
      <c r="CO483" s="1123"/>
      <c r="CP483" s="1123"/>
      <c r="CQ483" s="1123"/>
      <c r="CR483" s="1123"/>
      <c r="CS483" s="1123"/>
      <c r="CT483" s="1123"/>
      <c r="CU483" s="1123"/>
      <c r="CV483" s="1123"/>
      <c r="CW483" s="1123"/>
      <c r="CX483" s="1123"/>
      <c r="CY483" s="1123"/>
      <c r="CZ483" s="1114"/>
      <c r="DA483" s="1114"/>
      <c r="DB483" s="1114"/>
      <c r="DC483" s="1114"/>
      <c r="DD483" s="1114"/>
      <c r="DE483" s="1114"/>
      <c r="DF483" s="1114"/>
      <c r="DG483" s="1114"/>
      <c r="DH483" s="1114"/>
      <c r="DI483" s="1114"/>
      <c r="DJ483" s="1114"/>
      <c r="DK483" s="1114"/>
      <c r="DL483" s="1114"/>
      <c r="DM483" s="1114"/>
      <c r="DN483" s="1114"/>
      <c r="DO483" s="1114"/>
      <c r="DP483" s="1114"/>
      <c r="DQ483" s="1114"/>
      <c r="DR483" s="1114"/>
      <c r="DS483" s="1114"/>
      <c r="DT483" s="1114"/>
      <c r="DU483" s="1114"/>
      <c r="DV483" s="1115"/>
      <c r="DW483" s="1116"/>
      <c r="DX483" s="1116"/>
      <c r="DY483" s="1116"/>
      <c r="DZ483" s="1116"/>
      <c r="EA483" s="1116"/>
      <c r="EB483" s="1116"/>
      <c r="EC483" s="1116"/>
      <c r="ED483" s="1116"/>
      <c r="EE483" s="1116"/>
      <c r="EF483" s="1116"/>
      <c r="EG483" s="1116"/>
      <c r="EH483" s="1116"/>
      <c r="EI483" s="1116"/>
      <c r="EJ483" s="1116"/>
      <c r="EK483" s="1116"/>
      <c r="EL483" s="1116"/>
      <c r="EM483" s="1116"/>
      <c r="EN483" s="1116"/>
      <c r="EO483" s="1116"/>
      <c r="EP483" s="1116"/>
      <c r="EQ483" s="1116"/>
      <c r="ER483" s="1116"/>
      <c r="ES483" s="1116"/>
    </row>
    <row r="484" spans="1:149" ht="15" customHeight="1">
      <c r="A484" s="1185">
        <v>474</v>
      </c>
      <c r="B484" s="1041"/>
      <c r="C484" s="1050"/>
      <c r="D484" s="1050"/>
      <c r="E484" s="1050"/>
      <c r="F484" s="1049"/>
      <c r="G484" s="1049"/>
      <c r="H484" s="1049"/>
      <c r="I484" s="1049"/>
      <c r="J484" s="1050"/>
      <c r="K484" s="1050"/>
      <c r="L484" s="1043"/>
      <c r="M484" s="1051"/>
      <c r="N484" s="1051"/>
      <c r="O484" s="1052"/>
      <c r="P484" s="1051"/>
      <c r="Q484" s="1051"/>
      <c r="R484" s="1052"/>
      <c r="S484" s="1051"/>
      <c r="T484" s="1051"/>
      <c r="U484" s="1052"/>
      <c r="V484" s="1051"/>
      <c r="W484" s="1051"/>
      <c r="X484" s="1052"/>
      <c r="Y484" s="1053"/>
      <c r="Z484" s="1051"/>
      <c r="AA484" s="1051"/>
      <c r="AB484" s="1052"/>
      <c r="AC484" s="1051"/>
      <c r="AD484" s="1051"/>
      <c r="AE484" s="1052"/>
      <c r="AF484" s="1051"/>
      <c r="AG484" s="1051"/>
      <c r="AH484" s="1051"/>
      <c r="AI484" s="1051"/>
      <c r="AJ484" s="1052"/>
      <c r="AK484" s="1051"/>
      <c r="AL484" s="1051"/>
      <c r="AM484" s="1052"/>
      <c r="AN484" s="1051"/>
      <c r="AO484" s="1051"/>
      <c r="AP484" s="1052"/>
      <c r="AQ484" s="1051"/>
      <c r="AR484" s="1051"/>
      <c r="AS484" s="1052"/>
      <c r="AT484" s="1051"/>
      <c r="AU484" s="1051"/>
      <c r="AV484" s="1052"/>
      <c r="AW484" s="1051"/>
      <c r="AX484" s="1051"/>
      <c r="AY484" s="1053"/>
      <c r="AZ484" s="1051"/>
      <c r="BA484" s="1051"/>
      <c r="BB484" s="1053"/>
      <c r="BC484" s="1051"/>
      <c r="BD484" s="1051"/>
      <c r="BE484" s="1053"/>
      <c r="BF484" s="1051"/>
      <c r="BG484" s="1051"/>
      <c r="BH484" s="1053"/>
      <c r="BI484" s="1052"/>
      <c r="BJ484" s="1052"/>
      <c r="BK484" s="1052"/>
      <c r="BL484" s="1052"/>
      <c r="BM484" s="1052"/>
      <c r="BN484" s="1054"/>
      <c r="BO484" s="1076">
        <f t="shared" si="8"/>
        <v>0</v>
      </c>
      <c r="BP484" s="1051"/>
      <c r="BQ484" s="1052"/>
      <c r="BR484" s="1054"/>
      <c r="BS484" s="1053"/>
      <c r="BT484" s="1051"/>
      <c r="BU484" s="1051"/>
      <c r="BV484" s="1051"/>
      <c r="BW484" s="1052"/>
      <c r="BX484" s="1052"/>
      <c r="BY484" s="1052"/>
      <c r="BZ484" s="1052"/>
      <c r="CA484" s="1052"/>
      <c r="CB484" s="1053"/>
      <c r="CC484" s="1053"/>
      <c r="CD484" s="1053"/>
      <c r="CE484" s="1053"/>
      <c r="CF484" s="1053"/>
      <c r="CG484" s="1053"/>
      <c r="CH484" s="1053"/>
      <c r="CI484" s="1123"/>
      <c r="CJ484" s="1123"/>
      <c r="CK484" s="1123"/>
      <c r="CL484" s="1123"/>
      <c r="CM484" s="1123"/>
      <c r="CN484" s="1123"/>
      <c r="CO484" s="1123"/>
      <c r="CP484" s="1123"/>
      <c r="CQ484" s="1123"/>
      <c r="CR484" s="1123"/>
      <c r="CS484" s="1123"/>
      <c r="CT484" s="1123"/>
      <c r="CU484" s="1123"/>
      <c r="CV484" s="1123"/>
      <c r="CW484" s="1123"/>
      <c r="CX484" s="1123"/>
      <c r="CY484" s="1123"/>
      <c r="CZ484" s="1114"/>
      <c r="DA484" s="1114"/>
      <c r="DB484" s="1114"/>
      <c r="DC484" s="1114"/>
      <c r="DD484" s="1114"/>
      <c r="DE484" s="1114"/>
      <c r="DF484" s="1114"/>
      <c r="DG484" s="1114"/>
      <c r="DH484" s="1114"/>
      <c r="DI484" s="1114"/>
      <c r="DJ484" s="1114"/>
      <c r="DK484" s="1114"/>
      <c r="DL484" s="1114"/>
      <c r="DM484" s="1114"/>
      <c r="DN484" s="1114"/>
      <c r="DO484" s="1114"/>
      <c r="DP484" s="1114"/>
      <c r="DQ484" s="1114"/>
      <c r="DR484" s="1114"/>
      <c r="DS484" s="1114"/>
      <c r="DT484" s="1114"/>
      <c r="DU484" s="1114"/>
      <c r="DV484" s="1115"/>
      <c r="DW484" s="1116"/>
      <c r="DX484" s="1116"/>
      <c r="DY484" s="1116"/>
      <c r="DZ484" s="1116"/>
      <c r="EA484" s="1116"/>
      <c r="EB484" s="1116"/>
      <c r="EC484" s="1116"/>
      <c r="ED484" s="1116"/>
      <c r="EE484" s="1116"/>
      <c r="EF484" s="1116"/>
      <c r="EG484" s="1116"/>
      <c r="EH484" s="1116"/>
      <c r="EI484" s="1116"/>
      <c r="EJ484" s="1116"/>
      <c r="EK484" s="1116"/>
      <c r="EL484" s="1116"/>
      <c r="EM484" s="1116"/>
      <c r="EN484" s="1116"/>
      <c r="EO484" s="1116"/>
      <c r="EP484" s="1116"/>
      <c r="EQ484" s="1116"/>
      <c r="ER484" s="1116"/>
      <c r="ES484" s="1116"/>
    </row>
    <row r="485" spans="1:149" ht="15" customHeight="1">
      <c r="A485" s="1185">
        <v>475</v>
      </c>
      <c r="B485" s="1041"/>
      <c r="C485" s="1050"/>
      <c r="D485" s="1050"/>
      <c r="E485" s="1050"/>
      <c r="F485" s="1049"/>
      <c r="G485" s="1049"/>
      <c r="H485" s="1049"/>
      <c r="I485" s="1049"/>
      <c r="J485" s="1050"/>
      <c r="K485" s="1050"/>
      <c r="L485" s="1043"/>
      <c r="M485" s="1051"/>
      <c r="N485" s="1051"/>
      <c r="O485" s="1052"/>
      <c r="P485" s="1051"/>
      <c r="Q485" s="1051"/>
      <c r="R485" s="1052"/>
      <c r="S485" s="1051"/>
      <c r="T485" s="1051"/>
      <c r="U485" s="1052"/>
      <c r="V485" s="1051"/>
      <c r="W485" s="1051"/>
      <c r="X485" s="1052"/>
      <c r="Y485" s="1053"/>
      <c r="Z485" s="1051"/>
      <c r="AA485" s="1051"/>
      <c r="AB485" s="1052"/>
      <c r="AC485" s="1051"/>
      <c r="AD485" s="1051"/>
      <c r="AE485" s="1052"/>
      <c r="AF485" s="1051"/>
      <c r="AG485" s="1051"/>
      <c r="AH485" s="1051"/>
      <c r="AI485" s="1051"/>
      <c r="AJ485" s="1052"/>
      <c r="AK485" s="1051"/>
      <c r="AL485" s="1051"/>
      <c r="AM485" s="1052"/>
      <c r="AN485" s="1051"/>
      <c r="AO485" s="1051"/>
      <c r="AP485" s="1052"/>
      <c r="AQ485" s="1051"/>
      <c r="AR485" s="1051"/>
      <c r="AS485" s="1052"/>
      <c r="AT485" s="1051"/>
      <c r="AU485" s="1051"/>
      <c r="AV485" s="1052"/>
      <c r="AW485" s="1051"/>
      <c r="AX485" s="1051"/>
      <c r="AY485" s="1053"/>
      <c r="AZ485" s="1051"/>
      <c r="BA485" s="1051"/>
      <c r="BB485" s="1053"/>
      <c r="BC485" s="1051"/>
      <c r="BD485" s="1051"/>
      <c r="BE485" s="1053"/>
      <c r="BF485" s="1051"/>
      <c r="BG485" s="1051"/>
      <c r="BH485" s="1053"/>
      <c r="BI485" s="1052"/>
      <c r="BJ485" s="1052"/>
      <c r="BK485" s="1052"/>
      <c r="BL485" s="1052"/>
      <c r="BM485" s="1052"/>
      <c r="BN485" s="1054"/>
      <c r="BO485" s="1076">
        <f t="shared" si="8"/>
        <v>0</v>
      </c>
      <c r="BP485" s="1051"/>
      <c r="BQ485" s="1052"/>
      <c r="BR485" s="1054"/>
      <c r="BS485" s="1053"/>
      <c r="BT485" s="1051"/>
      <c r="BU485" s="1051"/>
      <c r="BV485" s="1051"/>
      <c r="BW485" s="1052"/>
      <c r="BX485" s="1052"/>
      <c r="BY485" s="1052"/>
      <c r="BZ485" s="1052"/>
      <c r="CA485" s="1052"/>
      <c r="CB485" s="1053"/>
      <c r="CC485" s="1053"/>
      <c r="CD485" s="1053"/>
      <c r="CE485" s="1053"/>
      <c r="CF485" s="1053"/>
      <c r="CG485" s="1053"/>
      <c r="CH485" s="1053"/>
      <c r="CI485" s="1123"/>
      <c r="CJ485" s="1123"/>
      <c r="CK485" s="1123"/>
      <c r="CL485" s="1123"/>
      <c r="CM485" s="1123"/>
      <c r="CN485" s="1123"/>
      <c r="CO485" s="1123"/>
      <c r="CP485" s="1123"/>
      <c r="CQ485" s="1123"/>
      <c r="CR485" s="1123"/>
      <c r="CS485" s="1123"/>
      <c r="CT485" s="1123"/>
      <c r="CU485" s="1123"/>
      <c r="CV485" s="1123"/>
      <c r="CW485" s="1123"/>
      <c r="CX485" s="1123"/>
      <c r="CY485" s="1123"/>
      <c r="CZ485" s="1114"/>
      <c r="DA485" s="1114"/>
      <c r="DB485" s="1114"/>
      <c r="DC485" s="1114"/>
      <c r="DD485" s="1114"/>
      <c r="DE485" s="1114"/>
      <c r="DF485" s="1114"/>
      <c r="DG485" s="1114"/>
      <c r="DH485" s="1114"/>
      <c r="DI485" s="1114"/>
      <c r="DJ485" s="1114"/>
      <c r="DK485" s="1114"/>
      <c r="DL485" s="1114"/>
      <c r="DM485" s="1114"/>
      <c r="DN485" s="1114"/>
      <c r="DO485" s="1114"/>
      <c r="DP485" s="1114"/>
      <c r="DQ485" s="1114"/>
      <c r="DR485" s="1114"/>
      <c r="DS485" s="1114"/>
      <c r="DT485" s="1114"/>
      <c r="DU485" s="1114"/>
      <c r="DV485" s="1115"/>
      <c r="DW485" s="1116"/>
      <c r="DX485" s="1116"/>
      <c r="DY485" s="1116"/>
      <c r="DZ485" s="1116"/>
      <c r="EA485" s="1116"/>
      <c r="EB485" s="1116"/>
      <c r="EC485" s="1116"/>
      <c r="ED485" s="1116"/>
      <c r="EE485" s="1116"/>
      <c r="EF485" s="1116"/>
      <c r="EG485" s="1116"/>
      <c r="EH485" s="1116"/>
      <c r="EI485" s="1116"/>
      <c r="EJ485" s="1116"/>
      <c r="EK485" s="1116"/>
      <c r="EL485" s="1116"/>
      <c r="EM485" s="1116"/>
      <c r="EN485" s="1116"/>
      <c r="EO485" s="1116"/>
      <c r="EP485" s="1116"/>
      <c r="EQ485" s="1116"/>
      <c r="ER485" s="1116"/>
      <c r="ES485" s="1116"/>
    </row>
    <row r="486" spans="1:149" ht="15" customHeight="1">
      <c r="A486" s="1185">
        <v>476</v>
      </c>
      <c r="B486" s="1041"/>
      <c r="C486" s="1050"/>
      <c r="D486" s="1050"/>
      <c r="E486" s="1050"/>
      <c r="F486" s="1049"/>
      <c r="G486" s="1049"/>
      <c r="H486" s="1049"/>
      <c r="I486" s="1049"/>
      <c r="J486" s="1050"/>
      <c r="K486" s="1050"/>
      <c r="L486" s="1043"/>
      <c r="M486" s="1051"/>
      <c r="N486" s="1051"/>
      <c r="O486" s="1052"/>
      <c r="P486" s="1051"/>
      <c r="Q486" s="1051"/>
      <c r="R486" s="1052"/>
      <c r="S486" s="1051"/>
      <c r="T486" s="1051"/>
      <c r="U486" s="1052"/>
      <c r="V486" s="1051"/>
      <c r="W486" s="1051"/>
      <c r="X486" s="1052"/>
      <c r="Y486" s="1053"/>
      <c r="Z486" s="1051"/>
      <c r="AA486" s="1051"/>
      <c r="AB486" s="1052"/>
      <c r="AC486" s="1051"/>
      <c r="AD486" s="1051"/>
      <c r="AE486" s="1052"/>
      <c r="AF486" s="1051"/>
      <c r="AG486" s="1051"/>
      <c r="AH486" s="1051"/>
      <c r="AI486" s="1051"/>
      <c r="AJ486" s="1052"/>
      <c r="AK486" s="1051"/>
      <c r="AL486" s="1051"/>
      <c r="AM486" s="1052"/>
      <c r="AN486" s="1051"/>
      <c r="AO486" s="1051"/>
      <c r="AP486" s="1052"/>
      <c r="AQ486" s="1051"/>
      <c r="AR486" s="1051"/>
      <c r="AS486" s="1052"/>
      <c r="AT486" s="1051"/>
      <c r="AU486" s="1051"/>
      <c r="AV486" s="1052"/>
      <c r="AW486" s="1051"/>
      <c r="AX486" s="1051"/>
      <c r="AY486" s="1053"/>
      <c r="AZ486" s="1051"/>
      <c r="BA486" s="1051"/>
      <c r="BB486" s="1053"/>
      <c r="BC486" s="1051"/>
      <c r="BD486" s="1051"/>
      <c r="BE486" s="1053"/>
      <c r="BF486" s="1051"/>
      <c r="BG486" s="1051"/>
      <c r="BH486" s="1053"/>
      <c r="BI486" s="1052"/>
      <c r="BJ486" s="1052"/>
      <c r="BK486" s="1052"/>
      <c r="BL486" s="1052"/>
      <c r="BM486" s="1052"/>
      <c r="BN486" s="1054"/>
      <c r="BO486" s="1076">
        <f t="shared" si="8"/>
        <v>0</v>
      </c>
      <c r="BP486" s="1051"/>
      <c r="BQ486" s="1052"/>
      <c r="BR486" s="1054"/>
      <c r="BS486" s="1053"/>
      <c r="BT486" s="1051"/>
      <c r="BU486" s="1051"/>
      <c r="BV486" s="1051"/>
      <c r="BW486" s="1052"/>
      <c r="BX486" s="1052"/>
      <c r="BY486" s="1052"/>
      <c r="BZ486" s="1052"/>
      <c r="CA486" s="1052"/>
      <c r="CB486" s="1053"/>
      <c r="CC486" s="1053"/>
      <c r="CD486" s="1053"/>
      <c r="CE486" s="1053"/>
      <c r="CF486" s="1053"/>
      <c r="CG486" s="1053"/>
      <c r="CH486" s="1053"/>
      <c r="CI486" s="1123"/>
      <c r="CJ486" s="1123"/>
      <c r="CK486" s="1123"/>
      <c r="CL486" s="1123"/>
      <c r="CM486" s="1123"/>
      <c r="CN486" s="1123"/>
      <c r="CO486" s="1123"/>
      <c r="CP486" s="1123"/>
      <c r="CQ486" s="1123"/>
      <c r="CR486" s="1123"/>
      <c r="CS486" s="1123"/>
      <c r="CT486" s="1123"/>
      <c r="CU486" s="1123"/>
      <c r="CV486" s="1123"/>
      <c r="CW486" s="1123"/>
      <c r="CX486" s="1123"/>
      <c r="CY486" s="1123"/>
      <c r="CZ486" s="1114"/>
      <c r="DA486" s="1114"/>
      <c r="DB486" s="1114"/>
      <c r="DC486" s="1114"/>
      <c r="DD486" s="1114"/>
      <c r="DE486" s="1114"/>
      <c r="DF486" s="1114"/>
      <c r="DG486" s="1114"/>
      <c r="DH486" s="1114"/>
      <c r="DI486" s="1114"/>
      <c r="DJ486" s="1114"/>
      <c r="DK486" s="1114"/>
      <c r="DL486" s="1114"/>
      <c r="DM486" s="1114"/>
      <c r="DN486" s="1114"/>
      <c r="DO486" s="1114"/>
      <c r="DP486" s="1114"/>
      <c r="DQ486" s="1114"/>
      <c r="DR486" s="1114"/>
      <c r="DS486" s="1114"/>
      <c r="DT486" s="1114"/>
      <c r="DU486" s="1114"/>
      <c r="DV486" s="1115"/>
      <c r="DW486" s="1116"/>
      <c r="DX486" s="1116"/>
      <c r="DY486" s="1116"/>
      <c r="DZ486" s="1116"/>
      <c r="EA486" s="1116"/>
      <c r="EB486" s="1116"/>
      <c r="EC486" s="1116"/>
      <c r="ED486" s="1116"/>
      <c r="EE486" s="1116"/>
      <c r="EF486" s="1116"/>
      <c r="EG486" s="1116"/>
      <c r="EH486" s="1116"/>
      <c r="EI486" s="1116"/>
      <c r="EJ486" s="1116"/>
      <c r="EK486" s="1116"/>
      <c r="EL486" s="1116"/>
      <c r="EM486" s="1116"/>
      <c r="EN486" s="1116"/>
      <c r="EO486" s="1116"/>
      <c r="EP486" s="1116"/>
      <c r="EQ486" s="1116"/>
      <c r="ER486" s="1116"/>
      <c r="ES486" s="1116"/>
    </row>
    <row r="487" spans="1:149" ht="15" customHeight="1">
      <c r="A487" s="1185">
        <v>477</v>
      </c>
      <c r="B487" s="1041"/>
      <c r="C487" s="1050"/>
      <c r="D487" s="1050"/>
      <c r="E487" s="1050"/>
      <c r="F487" s="1049"/>
      <c r="G487" s="1049"/>
      <c r="H487" s="1049"/>
      <c r="I487" s="1049"/>
      <c r="J487" s="1050"/>
      <c r="K487" s="1050"/>
      <c r="L487" s="1043"/>
      <c r="M487" s="1051"/>
      <c r="N487" s="1051"/>
      <c r="O487" s="1052"/>
      <c r="P487" s="1051"/>
      <c r="Q487" s="1051"/>
      <c r="R487" s="1052"/>
      <c r="S487" s="1051"/>
      <c r="T487" s="1051"/>
      <c r="U487" s="1052"/>
      <c r="V487" s="1051"/>
      <c r="W487" s="1051"/>
      <c r="X487" s="1052"/>
      <c r="Y487" s="1053"/>
      <c r="Z487" s="1051"/>
      <c r="AA487" s="1051"/>
      <c r="AB487" s="1052"/>
      <c r="AC487" s="1051"/>
      <c r="AD487" s="1051"/>
      <c r="AE487" s="1052"/>
      <c r="AF487" s="1051"/>
      <c r="AG487" s="1051"/>
      <c r="AH487" s="1051"/>
      <c r="AI487" s="1051"/>
      <c r="AJ487" s="1052"/>
      <c r="AK487" s="1051"/>
      <c r="AL487" s="1051"/>
      <c r="AM487" s="1052"/>
      <c r="AN487" s="1051"/>
      <c r="AO487" s="1051"/>
      <c r="AP487" s="1052"/>
      <c r="AQ487" s="1051"/>
      <c r="AR487" s="1051"/>
      <c r="AS487" s="1052"/>
      <c r="AT487" s="1051"/>
      <c r="AU487" s="1051"/>
      <c r="AV487" s="1052"/>
      <c r="AW487" s="1051"/>
      <c r="AX487" s="1051"/>
      <c r="AY487" s="1053"/>
      <c r="AZ487" s="1051"/>
      <c r="BA487" s="1051"/>
      <c r="BB487" s="1053"/>
      <c r="BC487" s="1051"/>
      <c r="BD487" s="1051"/>
      <c r="BE487" s="1053"/>
      <c r="BF487" s="1051"/>
      <c r="BG487" s="1051"/>
      <c r="BH487" s="1053"/>
      <c r="BI487" s="1052"/>
      <c r="BJ487" s="1052"/>
      <c r="BK487" s="1052"/>
      <c r="BL487" s="1052"/>
      <c r="BM487" s="1052"/>
      <c r="BN487" s="1054"/>
      <c r="BO487" s="1076">
        <f t="shared" si="8"/>
        <v>0</v>
      </c>
      <c r="BP487" s="1051"/>
      <c r="BQ487" s="1052"/>
      <c r="BR487" s="1054"/>
      <c r="BS487" s="1053"/>
      <c r="BT487" s="1051"/>
      <c r="BU487" s="1051"/>
      <c r="BV487" s="1051"/>
      <c r="BW487" s="1052"/>
      <c r="BX487" s="1052"/>
      <c r="BY487" s="1052"/>
      <c r="BZ487" s="1052"/>
      <c r="CA487" s="1052"/>
      <c r="CB487" s="1053"/>
      <c r="CC487" s="1053"/>
      <c r="CD487" s="1053"/>
      <c r="CE487" s="1053"/>
      <c r="CF487" s="1053"/>
      <c r="CG487" s="1053"/>
      <c r="CH487" s="1053"/>
      <c r="CI487" s="1123"/>
      <c r="CJ487" s="1123"/>
      <c r="CK487" s="1123"/>
      <c r="CL487" s="1123"/>
      <c r="CM487" s="1123"/>
      <c r="CN487" s="1123"/>
      <c r="CO487" s="1123"/>
      <c r="CP487" s="1123"/>
      <c r="CQ487" s="1123"/>
      <c r="CR487" s="1123"/>
      <c r="CS487" s="1123"/>
      <c r="CT487" s="1123"/>
      <c r="CU487" s="1123"/>
      <c r="CV487" s="1123"/>
      <c r="CW487" s="1123"/>
      <c r="CX487" s="1123"/>
      <c r="CY487" s="1123"/>
      <c r="CZ487" s="1114"/>
      <c r="DA487" s="1114"/>
      <c r="DB487" s="1114"/>
      <c r="DC487" s="1114"/>
      <c r="DD487" s="1114"/>
      <c r="DE487" s="1114"/>
      <c r="DF487" s="1114"/>
      <c r="DG487" s="1114"/>
      <c r="DH487" s="1114"/>
      <c r="DI487" s="1114"/>
      <c r="DJ487" s="1114"/>
      <c r="DK487" s="1114"/>
      <c r="DL487" s="1114"/>
      <c r="DM487" s="1114"/>
      <c r="DN487" s="1114"/>
      <c r="DO487" s="1114"/>
      <c r="DP487" s="1114"/>
      <c r="DQ487" s="1114"/>
      <c r="DR487" s="1114"/>
      <c r="DS487" s="1114"/>
      <c r="DT487" s="1114"/>
      <c r="DU487" s="1114"/>
      <c r="DV487" s="1115"/>
      <c r="DW487" s="1116"/>
      <c r="DX487" s="1116"/>
      <c r="DY487" s="1116"/>
      <c r="DZ487" s="1116"/>
      <c r="EA487" s="1116"/>
      <c r="EB487" s="1116"/>
      <c r="EC487" s="1116"/>
      <c r="ED487" s="1116"/>
      <c r="EE487" s="1116"/>
      <c r="EF487" s="1116"/>
      <c r="EG487" s="1116"/>
      <c r="EH487" s="1116"/>
      <c r="EI487" s="1116"/>
      <c r="EJ487" s="1116"/>
      <c r="EK487" s="1116"/>
      <c r="EL487" s="1116"/>
      <c r="EM487" s="1116"/>
      <c r="EN487" s="1116"/>
      <c r="EO487" s="1116"/>
      <c r="EP487" s="1116"/>
      <c r="EQ487" s="1116"/>
      <c r="ER487" s="1116"/>
      <c r="ES487" s="1116"/>
    </row>
    <row r="488" spans="1:149" ht="15" customHeight="1">
      <c r="A488" s="1185">
        <v>478</v>
      </c>
      <c r="B488" s="1041"/>
      <c r="C488" s="1050"/>
      <c r="D488" s="1050"/>
      <c r="E488" s="1050"/>
      <c r="F488" s="1049"/>
      <c r="G488" s="1049"/>
      <c r="H488" s="1049"/>
      <c r="I488" s="1049"/>
      <c r="J488" s="1050"/>
      <c r="K488" s="1050"/>
      <c r="L488" s="1043"/>
      <c r="M488" s="1051"/>
      <c r="N488" s="1051"/>
      <c r="O488" s="1052"/>
      <c r="P488" s="1051"/>
      <c r="Q488" s="1051"/>
      <c r="R488" s="1052"/>
      <c r="S488" s="1051"/>
      <c r="T488" s="1051"/>
      <c r="U488" s="1052"/>
      <c r="V488" s="1051"/>
      <c r="W488" s="1051"/>
      <c r="X488" s="1052"/>
      <c r="Y488" s="1053"/>
      <c r="Z488" s="1051"/>
      <c r="AA488" s="1051"/>
      <c r="AB488" s="1052"/>
      <c r="AC488" s="1051"/>
      <c r="AD488" s="1051"/>
      <c r="AE488" s="1052"/>
      <c r="AF488" s="1051"/>
      <c r="AG488" s="1051"/>
      <c r="AH488" s="1051"/>
      <c r="AI488" s="1051"/>
      <c r="AJ488" s="1052"/>
      <c r="AK488" s="1051"/>
      <c r="AL488" s="1051"/>
      <c r="AM488" s="1052"/>
      <c r="AN488" s="1051"/>
      <c r="AO488" s="1051"/>
      <c r="AP488" s="1052"/>
      <c r="AQ488" s="1051"/>
      <c r="AR488" s="1051"/>
      <c r="AS488" s="1052"/>
      <c r="AT488" s="1051"/>
      <c r="AU488" s="1051"/>
      <c r="AV488" s="1052"/>
      <c r="AW488" s="1051"/>
      <c r="AX488" s="1051"/>
      <c r="AY488" s="1053"/>
      <c r="AZ488" s="1051"/>
      <c r="BA488" s="1051"/>
      <c r="BB488" s="1053"/>
      <c r="BC488" s="1051"/>
      <c r="BD488" s="1051"/>
      <c r="BE488" s="1053"/>
      <c r="BF488" s="1051"/>
      <c r="BG488" s="1051"/>
      <c r="BH488" s="1053"/>
      <c r="BI488" s="1052"/>
      <c r="BJ488" s="1052"/>
      <c r="BK488" s="1052"/>
      <c r="BL488" s="1052"/>
      <c r="BM488" s="1052"/>
      <c r="BN488" s="1054"/>
      <c r="BO488" s="1076">
        <f t="shared" si="8"/>
        <v>0</v>
      </c>
      <c r="BP488" s="1051"/>
      <c r="BQ488" s="1052"/>
      <c r="BR488" s="1054"/>
      <c r="BS488" s="1053"/>
      <c r="BT488" s="1051"/>
      <c r="BU488" s="1051"/>
      <c r="BV488" s="1051"/>
      <c r="BW488" s="1052"/>
      <c r="BX488" s="1052"/>
      <c r="BY488" s="1052"/>
      <c r="BZ488" s="1052"/>
      <c r="CA488" s="1052"/>
      <c r="CB488" s="1053"/>
      <c r="CC488" s="1053"/>
      <c r="CD488" s="1053"/>
      <c r="CE488" s="1053"/>
      <c r="CF488" s="1053"/>
      <c r="CG488" s="1053"/>
      <c r="CH488" s="1053"/>
      <c r="CI488" s="1123"/>
      <c r="CJ488" s="1123"/>
      <c r="CK488" s="1123"/>
      <c r="CL488" s="1123"/>
      <c r="CM488" s="1123"/>
      <c r="CN488" s="1123"/>
      <c r="CO488" s="1123"/>
      <c r="CP488" s="1123"/>
      <c r="CQ488" s="1123"/>
      <c r="CR488" s="1123"/>
      <c r="CS488" s="1123"/>
      <c r="CT488" s="1123"/>
      <c r="CU488" s="1123"/>
      <c r="CV488" s="1123"/>
      <c r="CW488" s="1123"/>
      <c r="CX488" s="1123"/>
      <c r="CY488" s="1123"/>
      <c r="CZ488" s="1114"/>
      <c r="DA488" s="1114"/>
      <c r="DB488" s="1114"/>
      <c r="DC488" s="1114"/>
      <c r="DD488" s="1114"/>
      <c r="DE488" s="1114"/>
      <c r="DF488" s="1114"/>
      <c r="DG488" s="1114"/>
      <c r="DH488" s="1114"/>
      <c r="DI488" s="1114"/>
      <c r="DJ488" s="1114"/>
      <c r="DK488" s="1114"/>
      <c r="DL488" s="1114"/>
      <c r="DM488" s="1114"/>
      <c r="DN488" s="1114"/>
      <c r="DO488" s="1114"/>
      <c r="DP488" s="1114"/>
      <c r="DQ488" s="1114"/>
      <c r="DR488" s="1114"/>
      <c r="DS488" s="1114"/>
      <c r="DT488" s="1114"/>
      <c r="DU488" s="1114"/>
      <c r="DV488" s="1115"/>
      <c r="DW488" s="1116"/>
      <c r="DX488" s="1116"/>
      <c r="DY488" s="1116"/>
      <c r="DZ488" s="1116"/>
      <c r="EA488" s="1116"/>
      <c r="EB488" s="1116"/>
      <c r="EC488" s="1116"/>
      <c r="ED488" s="1116"/>
      <c r="EE488" s="1116"/>
      <c r="EF488" s="1116"/>
      <c r="EG488" s="1116"/>
      <c r="EH488" s="1116"/>
      <c r="EI488" s="1116"/>
      <c r="EJ488" s="1116"/>
      <c r="EK488" s="1116"/>
      <c r="EL488" s="1116"/>
      <c r="EM488" s="1116"/>
      <c r="EN488" s="1116"/>
      <c r="EO488" s="1116"/>
      <c r="EP488" s="1116"/>
      <c r="EQ488" s="1116"/>
      <c r="ER488" s="1116"/>
      <c r="ES488" s="1116"/>
    </row>
    <row r="489" spans="1:149" ht="15" customHeight="1">
      <c r="A489" s="1185">
        <v>479</v>
      </c>
      <c r="B489" s="1041"/>
      <c r="C489" s="1050"/>
      <c r="D489" s="1050"/>
      <c r="E489" s="1050"/>
      <c r="F489" s="1049"/>
      <c r="G489" s="1049"/>
      <c r="H489" s="1049"/>
      <c r="I489" s="1049"/>
      <c r="J489" s="1050"/>
      <c r="K489" s="1050"/>
      <c r="L489" s="1043"/>
      <c r="M489" s="1051"/>
      <c r="N489" s="1051"/>
      <c r="O489" s="1052"/>
      <c r="P489" s="1051"/>
      <c r="Q489" s="1051"/>
      <c r="R489" s="1052"/>
      <c r="S489" s="1051"/>
      <c r="T489" s="1051"/>
      <c r="U489" s="1052"/>
      <c r="V489" s="1051"/>
      <c r="W489" s="1051"/>
      <c r="X489" s="1052"/>
      <c r="Y489" s="1053"/>
      <c r="Z489" s="1051"/>
      <c r="AA489" s="1051"/>
      <c r="AB489" s="1052"/>
      <c r="AC489" s="1051"/>
      <c r="AD489" s="1051"/>
      <c r="AE489" s="1052"/>
      <c r="AF489" s="1051"/>
      <c r="AG489" s="1051"/>
      <c r="AH489" s="1051"/>
      <c r="AI489" s="1051"/>
      <c r="AJ489" s="1052"/>
      <c r="AK489" s="1051"/>
      <c r="AL489" s="1051"/>
      <c r="AM489" s="1052"/>
      <c r="AN489" s="1051"/>
      <c r="AO489" s="1051"/>
      <c r="AP489" s="1052"/>
      <c r="AQ489" s="1051"/>
      <c r="AR489" s="1051"/>
      <c r="AS489" s="1052"/>
      <c r="AT489" s="1051"/>
      <c r="AU489" s="1051"/>
      <c r="AV489" s="1052"/>
      <c r="AW489" s="1051"/>
      <c r="AX489" s="1051"/>
      <c r="AY489" s="1053"/>
      <c r="AZ489" s="1051"/>
      <c r="BA489" s="1051"/>
      <c r="BB489" s="1053"/>
      <c r="BC489" s="1051"/>
      <c r="BD489" s="1051"/>
      <c r="BE489" s="1053"/>
      <c r="BF489" s="1051"/>
      <c r="BG489" s="1051"/>
      <c r="BH489" s="1053"/>
      <c r="BI489" s="1052"/>
      <c r="BJ489" s="1052"/>
      <c r="BK489" s="1052"/>
      <c r="BL489" s="1052"/>
      <c r="BM489" s="1052"/>
      <c r="BN489" s="1054"/>
      <c r="BO489" s="1076">
        <f t="shared" si="8"/>
        <v>0</v>
      </c>
      <c r="BP489" s="1051"/>
      <c r="BQ489" s="1052"/>
      <c r="BR489" s="1054"/>
      <c r="BS489" s="1053"/>
      <c r="BT489" s="1051"/>
      <c r="BU489" s="1051"/>
      <c r="BV489" s="1051"/>
      <c r="BW489" s="1052"/>
      <c r="BX489" s="1052"/>
      <c r="BY489" s="1052"/>
      <c r="BZ489" s="1052"/>
      <c r="CA489" s="1052"/>
      <c r="CB489" s="1053"/>
      <c r="CC489" s="1053"/>
      <c r="CD489" s="1053"/>
      <c r="CE489" s="1053"/>
      <c r="CF489" s="1053"/>
      <c r="CG489" s="1053"/>
      <c r="CH489" s="1053"/>
      <c r="CI489" s="1123"/>
      <c r="CJ489" s="1123"/>
      <c r="CK489" s="1123"/>
      <c r="CL489" s="1123"/>
      <c r="CM489" s="1123"/>
      <c r="CN489" s="1123"/>
      <c r="CO489" s="1123"/>
      <c r="CP489" s="1123"/>
      <c r="CQ489" s="1123"/>
      <c r="CR489" s="1123"/>
      <c r="CS489" s="1123"/>
      <c r="CT489" s="1123"/>
      <c r="CU489" s="1123"/>
      <c r="CV489" s="1123"/>
      <c r="CW489" s="1123"/>
      <c r="CX489" s="1123"/>
      <c r="CY489" s="1123"/>
      <c r="CZ489" s="1114"/>
      <c r="DA489" s="1114"/>
      <c r="DB489" s="1114"/>
      <c r="DC489" s="1114"/>
      <c r="DD489" s="1114"/>
      <c r="DE489" s="1114"/>
      <c r="DF489" s="1114"/>
      <c r="DG489" s="1114"/>
      <c r="DH489" s="1114"/>
      <c r="DI489" s="1114"/>
      <c r="DJ489" s="1114"/>
      <c r="DK489" s="1114"/>
      <c r="DL489" s="1114"/>
      <c r="DM489" s="1114"/>
      <c r="DN489" s="1114"/>
      <c r="DO489" s="1114"/>
      <c r="DP489" s="1114"/>
      <c r="DQ489" s="1114"/>
      <c r="DR489" s="1114"/>
      <c r="DS489" s="1114"/>
      <c r="DT489" s="1114"/>
      <c r="DU489" s="1114"/>
      <c r="DV489" s="1115"/>
      <c r="DW489" s="1116"/>
      <c r="DX489" s="1116"/>
      <c r="DY489" s="1116"/>
      <c r="DZ489" s="1116"/>
      <c r="EA489" s="1116"/>
      <c r="EB489" s="1116"/>
      <c r="EC489" s="1116"/>
      <c r="ED489" s="1116"/>
      <c r="EE489" s="1116"/>
      <c r="EF489" s="1116"/>
      <c r="EG489" s="1116"/>
      <c r="EH489" s="1116"/>
      <c r="EI489" s="1116"/>
      <c r="EJ489" s="1116"/>
      <c r="EK489" s="1116"/>
      <c r="EL489" s="1116"/>
      <c r="EM489" s="1116"/>
      <c r="EN489" s="1116"/>
      <c r="EO489" s="1116"/>
      <c r="EP489" s="1116"/>
      <c r="EQ489" s="1116"/>
      <c r="ER489" s="1116"/>
      <c r="ES489" s="1116"/>
    </row>
    <row r="490" spans="1:149" ht="15" customHeight="1">
      <c r="A490" s="1185">
        <v>480</v>
      </c>
      <c r="B490" s="1041"/>
      <c r="C490" s="1050"/>
      <c r="D490" s="1050"/>
      <c r="E490" s="1050"/>
      <c r="F490" s="1049"/>
      <c r="G490" s="1049"/>
      <c r="H490" s="1049"/>
      <c r="I490" s="1049"/>
      <c r="J490" s="1050"/>
      <c r="K490" s="1050"/>
      <c r="L490" s="1043"/>
      <c r="M490" s="1051"/>
      <c r="N490" s="1051"/>
      <c r="O490" s="1052"/>
      <c r="P490" s="1051"/>
      <c r="Q490" s="1051"/>
      <c r="R490" s="1052"/>
      <c r="S490" s="1051"/>
      <c r="T490" s="1051"/>
      <c r="U490" s="1052"/>
      <c r="V490" s="1051"/>
      <c r="W490" s="1051"/>
      <c r="X490" s="1052"/>
      <c r="Y490" s="1053"/>
      <c r="Z490" s="1051"/>
      <c r="AA490" s="1051"/>
      <c r="AB490" s="1052"/>
      <c r="AC490" s="1051"/>
      <c r="AD490" s="1051"/>
      <c r="AE490" s="1052"/>
      <c r="AF490" s="1051"/>
      <c r="AG490" s="1051"/>
      <c r="AH490" s="1051"/>
      <c r="AI490" s="1051"/>
      <c r="AJ490" s="1052"/>
      <c r="AK490" s="1051"/>
      <c r="AL490" s="1051"/>
      <c r="AM490" s="1052"/>
      <c r="AN490" s="1051"/>
      <c r="AO490" s="1051"/>
      <c r="AP490" s="1052"/>
      <c r="AQ490" s="1051"/>
      <c r="AR490" s="1051"/>
      <c r="AS490" s="1052"/>
      <c r="AT490" s="1051"/>
      <c r="AU490" s="1051"/>
      <c r="AV490" s="1052"/>
      <c r="AW490" s="1051"/>
      <c r="AX490" s="1051"/>
      <c r="AY490" s="1053"/>
      <c r="AZ490" s="1051"/>
      <c r="BA490" s="1051"/>
      <c r="BB490" s="1053"/>
      <c r="BC490" s="1051"/>
      <c r="BD490" s="1051"/>
      <c r="BE490" s="1053"/>
      <c r="BF490" s="1051"/>
      <c r="BG490" s="1051"/>
      <c r="BH490" s="1053"/>
      <c r="BI490" s="1052"/>
      <c r="BJ490" s="1052"/>
      <c r="BK490" s="1052"/>
      <c r="BL490" s="1052"/>
      <c r="BM490" s="1052"/>
      <c r="BN490" s="1054"/>
      <c r="BO490" s="1076">
        <f t="shared" si="8"/>
        <v>0</v>
      </c>
      <c r="BP490" s="1051"/>
      <c r="BQ490" s="1052"/>
      <c r="BR490" s="1054"/>
      <c r="BS490" s="1053"/>
      <c r="BT490" s="1051"/>
      <c r="BU490" s="1051"/>
      <c r="BV490" s="1051"/>
      <c r="BW490" s="1052"/>
      <c r="BX490" s="1052"/>
      <c r="BY490" s="1052"/>
      <c r="BZ490" s="1052"/>
      <c r="CA490" s="1052"/>
      <c r="CB490" s="1053"/>
      <c r="CC490" s="1053"/>
      <c r="CD490" s="1053"/>
      <c r="CE490" s="1053"/>
      <c r="CF490" s="1053"/>
      <c r="CG490" s="1053"/>
      <c r="CH490" s="1053"/>
      <c r="CI490" s="1123"/>
      <c r="CJ490" s="1123"/>
      <c r="CK490" s="1123"/>
      <c r="CL490" s="1123"/>
      <c r="CM490" s="1123"/>
      <c r="CN490" s="1123"/>
      <c r="CO490" s="1123"/>
      <c r="CP490" s="1123"/>
      <c r="CQ490" s="1123"/>
      <c r="CR490" s="1123"/>
      <c r="CS490" s="1123"/>
      <c r="CT490" s="1123"/>
      <c r="CU490" s="1123"/>
      <c r="CV490" s="1123"/>
      <c r="CW490" s="1123"/>
      <c r="CX490" s="1123"/>
      <c r="CY490" s="1123"/>
      <c r="CZ490" s="1114"/>
      <c r="DA490" s="1114"/>
      <c r="DB490" s="1114"/>
      <c r="DC490" s="1114"/>
      <c r="DD490" s="1114"/>
      <c r="DE490" s="1114"/>
      <c r="DF490" s="1114"/>
      <c r="DG490" s="1114"/>
      <c r="DH490" s="1114"/>
      <c r="DI490" s="1114"/>
      <c r="DJ490" s="1114"/>
      <c r="DK490" s="1114"/>
      <c r="DL490" s="1114"/>
      <c r="DM490" s="1114"/>
      <c r="DN490" s="1114"/>
      <c r="DO490" s="1114"/>
      <c r="DP490" s="1114"/>
      <c r="DQ490" s="1114"/>
      <c r="DR490" s="1114"/>
      <c r="DS490" s="1114"/>
      <c r="DT490" s="1114"/>
      <c r="DU490" s="1114"/>
      <c r="DV490" s="1115"/>
      <c r="DW490" s="1116"/>
      <c r="DX490" s="1116"/>
      <c r="DY490" s="1116"/>
      <c r="DZ490" s="1116"/>
      <c r="EA490" s="1116"/>
      <c r="EB490" s="1116"/>
      <c r="EC490" s="1116"/>
      <c r="ED490" s="1116"/>
      <c r="EE490" s="1116"/>
      <c r="EF490" s="1116"/>
      <c r="EG490" s="1116"/>
      <c r="EH490" s="1116"/>
      <c r="EI490" s="1116"/>
      <c r="EJ490" s="1116"/>
      <c r="EK490" s="1116"/>
      <c r="EL490" s="1116"/>
      <c r="EM490" s="1116"/>
      <c r="EN490" s="1116"/>
      <c r="EO490" s="1116"/>
      <c r="EP490" s="1116"/>
      <c r="EQ490" s="1116"/>
      <c r="ER490" s="1116"/>
      <c r="ES490" s="1116"/>
    </row>
    <row r="491" spans="1:149" ht="15" customHeight="1">
      <c r="A491" s="1185">
        <v>481</v>
      </c>
      <c r="B491" s="1041"/>
      <c r="C491" s="1050"/>
      <c r="D491" s="1050"/>
      <c r="E491" s="1050"/>
      <c r="F491" s="1049"/>
      <c r="G491" s="1049"/>
      <c r="H491" s="1049"/>
      <c r="I491" s="1049"/>
      <c r="J491" s="1050"/>
      <c r="K491" s="1050"/>
      <c r="L491" s="1043"/>
      <c r="M491" s="1051"/>
      <c r="N491" s="1051"/>
      <c r="O491" s="1052"/>
      <c r="P491" s="1051"/>
      <c r="Q491" s="1051"/>
      <c r="R491" s="1052"/>
      <c r="S491" s="1051"/>
      <c r="T491" s="1051"/>
      <c r="U491" s="1052"/>
      <c r="V491" s="1051"/>
      <c r="W491" s="1051"/>
      <c r="X491" s="1052"/>
      <c r="Y491" s="1053"/>
      <c r="Z491" s="1051"/>
      <c r="AA491" s="1051"/>
      <c r="AB491" s="1052"/>
      <c r="AC491" s="1051"/>
      <c r="AD491" s="1051"/>
      <c r="AE491" s="1052"/>
      <c r="AF491" s="1051"/>
      <c r="AG491" s="1051"/>
      <c r="AH491" s="1051"/>
      <c r="AI491" s="1051"/>
      <c r="AJ491" s="1052"/>
      <c r="AK491" s="1051"/>
      <c r="AL491" s="1051"/>
      <c r="AM491" s="1052"/>
      <c r="AN491" s="1051"/>
      <c r="AO491" s="1051"/>
      <c r="AP491" s="1052"/>
      <c r="AQ491" s="1051"/>
      <c r="AR491" s="1051"/>
      <c r="AS491" s="1052"/>
      <c r="AT491" s="1051"/>
      <c r="AU491" s="1051"/>
      <c r="AV491" s="1052"/>
      <c r="AW491" s="1051"/>
      <c r="AX491" s="1051"/>
      <c r="AY491" s="1053"/>
      <c r="AZ491" s="1051"/>
      <c r="BA491" s="1051"/>
      <c r="BB491" s="1053"/>
      <c r="BC491" s="1051"/>
      <c r="BD491" s="1051"/>
      <c r="BE491" s="1053"/>
      <c r="BF491" s="1051"/>
      <c r="BG491" s="1051"/>
      <c r="BH491" s="1053"/>
      <c r="BI491" s="1052"/>
      <c r="BJ491" s="1052"/>
      <c r="BK491" s="1052"/>
      <c r="BL491" s="1052"/>
      <c r="BM491" s="1052"/>
      <c r="BN491" s="1054"/>
      <c r="BO491" s="1076">
        <f t="shared" si="8"/>
        <v>0</v>
      </c>
      <c r="BP491" s="1051"/>
      <c r="BQ491" s="1052"/>
      <c r="BR491" s="1054"/>
      <c r="BS491" s="1053"/>
      <c r="BT491" s="1051"/>
      <c r="BU491" s="1051"/>
      <c r="BV491" s="1051"/>
      <c r="BW491" s="1052"/>
      <c r="BX491" s="1052"/>
      <c r="BY491" s="1052"/>
      <c r="BZ491" s="1052"/>
      <c r="CA491" s="1052"/>
      <c r="CB491" s="1053"/>
      <c r="CC491" s="1053"/>
      <c r="CD491" s="1053"/>
      <c r="CE491" s="1053"/>
      <c r="CF491" s="1053"/>
      <c r="CG491" s="1053"/>
      <c r="CH491" s="1053"/>
      <c r="CI491" s="1123"/>
      <c r="CJ491" s="1123"/>
      <c r="CK491" s="1123"/>
      <c r="CL491" s="1123"/>
      <c r="CM491" s="1123"/>
      <c r="CN491" s="1123"/>
      <c r="CO491" s="1123"/>
      <c r="CP491" s="1123"/>
      <c r="CQ491" s="1123"/>
      <c r="CR491" s="1123"/>
      <c r="CS491" s="1123"/>
      <c r="CT491" s="1123"/>
      <c r="CU491" s="1123"/>
      <c r="CV491" s="1123"/>
      <c r="CW491" s="1123"/>
      <c r="CX491" s="1123"/>
      <c r="CY491" s="1123"/>
      <c r="CZ491" s="1114"/>
      <c r="DA491" s="1114"/>
      <c r="DB491" s="1114"/>
      <c r="DC491" s="1114"/>
      <c r="DD491" s="1114"/>
      <c r="DE491" s="1114"/>
      <c r="DF491" s="1114"/>
      <c r="DG491" s="1114"/>
      <c r="DH491" s="1114"/>
      <c r="DI491" s="1114"/>
      <c r="DJ491" s="1114"/>
      <c r="DK491" s="1114"/>
      <c r="DL491" s="1114"/>
      <c r="DM491" s="1114"/>
      <c r="DN491" s="1114"/>
      <c r="DO491" s="1114"/>
      <c r="DP491" s="1114"/>
      <c r="DQ491" s="1114"/>
      <c r="DR491" s="1114"/>
      <c r="DS491" s="1114"/>
      <c r="DT491" s="1114"/>
      <c r="DU491" s="1114"/>
      <c r="DV491" s="1115"/>
      <c r="DW491" s="1116"/>
      <c r="DX491" s="1116"/>
      <c r="DY491" s="1116"/>
      <c r="DZ491" s="1116"/>
      <c r="EA491" s="1116"/>
      <c r="EB491" s="1116"/>
      <c r="EC491" s="1116"/>
      <c r="ED491" s="1116"/>
      <c r="EE491" s="1116"/>
      <c r="EF491" s="1116"/>
      <c r="EG491" s="1116"/>
      <c r="EH491" s="1116"/>
      <c r="EI491" s="1116"/>
      <c r="EJ491" s="1116"/>
      <c r="EK491" s="1116"/>
      <c r="EL491" s="1116"/>
      <c r="EM491" s="1116"/>
      <c r="EN491" s="1116"/>
      <c r="EO491" s="1116"/>
      <c r="EP491" s="1116"/>
      <c r="EQ491" s="1116"/>
      <c r="ER491" s="1116"/>
      <c r="ES491" s="1116"/>
    </row>
    <row r="492" spans="1:149" ht="15" customHeight="1">
      <c r="A492" s="1185">
        <v>482</v>
      </c>
      <c r="B492" s="1041"/>
      <c r="C492" s="1050"/>
      <c r="D492" s="1050"/>
      <c r="E492" s="1050"/>
      <c r="F492" s="1049"/>
      <c r="G492" s="1049"/>
      <c r="H492" s="1049"/>
      <c r="I492" s="1049"/>
      <c r="J492" s="1050"/>
      <c r="K492" s="1050"/>
      <c r="L492" s="1043"/>
      <c r="M492" s="1051"/>
      <c r="N492" s="1051"/>
      <c r="O492" s="1052"/>
      <c r="P492" s="1051"/>
      <c r="Q492" s="1051"/>
      <c r="R492" s="1052"/>
      <c r="S492" s="1051"/>
      <c r="T492" s="1051"/>
      <c r="U492" s="1052"/>
      <c r="V492" s="1051"/>
      <c r="W492" s="1051"/>
      <c r="X492" s="1052"/>
      <c r="Y492" s="1053"/>
      <c r="Z492" s="1051"/>
      <c r="AA492" s="1051"/>
      <c r="AB492" s="1052"/>
      <c r="AC492" s="1051"/>
      <c r="AD492" s="1051"/>
      <c r="AE492" s="1052"/>
      <c r="AF492" s="1051"/>
      <c r="AG492" s="1051"/>
      <c r="AH492" s="1051"/>
      <c r="AI492" s="1051"/>
      <c r="AJ492" s="1052"/>
      <c r="AK492" s="1051"/>
      <c r="AL492" s="1051"/>
      <c r="AM492" s="1052"/>
      <c r="AN492" s="1051"/>
      <c r="AO492" s="1051"/>
      <c r="AP492" s="1052"/>
      <c r="AQ492" s="1051"/>
      <c r="AR492" s="1051"/>
      <c r="AS492" s="1052"/>
      <c r="AT492" s="1051"/>
      <c r="AU492" s="1051"/>
      <c r="AV492" s="1052"/>
      <c r="AW492" s="1051"/>
      <c r="AX492" s="1051"/>
      <c r="AY492" s="1053"/>
      <c r="AZ492" s="1051"/>
      <c r="BA492" s="1051"/>
      <c r="BB492" s="1053"/>
      <c r="BC492" s="1051"/>
      <c r="BD492" s="1051"/>
      <c r="BE492" s="1053"/>
      <c r="BF492" s="1051"/>
      <c r="BG492" s="1051"/>
      <c r="BH492" s="1053"/>
      <c r="BI492" s="1052"/>
      <c r="BJ492" s="1052"/>
      <c r="BK492" s="1052"/>
      <c r="BL492" s="1052"/>
      <c r="BM492" s="1052"/>
      <c r="BN492" s="1054"/>
      <c r="BO492" s="1076">
        <f t="shared" si="8"/>
        <v>0</v>
      </c>
      <c r="BP492" s="1051"/>
      <c r="BQ492" s="1052"/>
      <c r="BR492" s="1054"/>
      <c r="BS492" s="1053"/>
      <c r="BT492" s="1051"/>
      <c r="BU492" s="1051"/>
      <c r="BV492" s="1051"/>
      <c r="BW492" s="1052"/>
      <c r="BX492" s="1052"/>
      <c r="BY492" s="1052"/>
      <c r="BZ492" s="1052"/>
      <c r="CA492" s="1052"/>
      <c r="CB492" s="1053"/>
      <c r="CC492" s="1053"/>
      <c r="CD492" s="1053"/>
      <c r="CE492" s="1053"/>
      <c r="CF492" s="1053"/>
      <c r="CG492" s="1053"/>
      <c r="CH492" s="1053"/>
      <c r="CI492" s="1123"/>
      <c r="CJ492" s="1123"/>
      <c r="CK492" s="1123"/>
      <c r="CL492" s="1123"/>
      <c r="CM492" s="1123"/>
      <c r="CN492" s="1123"/>
      <c r="CO492" s="1123"/>
      <c r="CP492" s="1123"/>
      <c r="CQ492" s="1123"/>
      <c r="CR492" s="1123"/>
      <c r="CS492" s="1123"/>
      <c r="CT492" s="1123"/>
      <c r="CU492" s="1123"/>
      <c r="CV492" s="1123"/>
      <c r="CW492" s="1123"/>
      <c r="CX492" s="1123"/>
      <c r="CY492" s="1123"/>
      <c r="CZ492" s="1114"/>
      <c r="DA492" s="1114"/>
      <c r="DB492" s="1114"/>
      <c r="DC492" s="1114"/>
      <c r="DD492" s="1114"/>
      <c r="DE492" s="1114"/>
      <c r="DF492" s="1114"/>
      <c r="DG492" s="1114"/>
      <c r="DH492" s="1114"/>
      <c r="DI492" s="1114"/>
      <c r="DJ492" s="1114"/>
      <c r="DK492" s="1114"/>
      <c r="DL492" s="1114"/>
      <c r="DM492" s="1114"/>
      <c r="DN492" s="1114"/>
      <c r="DO492" s="1114"/>
      <c r="DP492" s="1114"/>
      <c r="DQ492" s="1114"/>
      <c r="DR492" s="1114"/>
      <c r="DS492" s="1114"/>
      <c r="DT492" s="1114"/>
      <c r="DU492" s="1114"/>
      <c r="DV492" s="1115"/>
      <c r="DW492" s="1116"/>
      <c r="DX492" s="1116"/>
      <c r="DY492" s="1116"/>
      <c r="DZ492" s="1116"/>
      <c r="EA492" s="1116"/>
      <c r="EB492" s="1116"/>
      <c r="EC492" s="1116"/>
      <c r="ED492" s="1116"/>
      <c r="EE492" s="1116"/>
      <c r="EF492" s="1116"/>
      <c r="EG492" s="1116"/>
      <c r="EH492" s="1116"/>
      <c r="EI492" s="1116"/>
      <c r="EJ492" s="1116"/>
      <c r="EK492" s="1116"/>
      <c r="EL492" s="1116"/>
      <c r="EM492" s="1116"/>
      <c r="EN492" s="1116"/>
      <c r="EO492" s="1116"/>
      <c r="EP492" s="1116"/>
      <c r="EQ492" s="1116"/>
      <c r="ER492" s="1116"/>
      <c r="ES492" s="1116"/>
    </row>
    <row r="493" spans="1:149" ht="15" customHeight="1">
      <c r="A493" s="1185">
        <v>483</v>
      </c>
      <c r="B493" s="1041"/>
      <c r="C493" s="1050"/>
      <c r="D493" s="1050"/>
      <c r="E493" s="1050"/>
      <c r="F493" s="1049"/>
      <c r="G493" s="1049"/>
      <c r="H493" s="1049"/>
      <c r="I493" s="1049"/>
      <c r="J493" s="1050"/>
      <c r="K493" s="1050"/>
      <c r="L493" s="1043"/>
      <c r="M493" s="1051"/>
      <c r="N493" s="1051"/>
      <c r="O493" s="1052"/>
      <c r="P493" s="1051"/>
      <c r="Q493" s="1051"/>
      <c r="R493" s="1052"/>
      <c r="S493" s="1051"/>
      <c r="T493" s="1051"/>
      <c r="U493" s="1052"/>
      <c r="V493" s="1051"/>
      <c r="W493" s="1051"/>
      <c r="X493" s="1052"/>
      <c r="Y493" s="1053"/>
      <c r="Z493" s="1051"/>
      <c r="AA493" s="1051"/>
      <c r="AB493" s="1052"/>
      <c r="AC493" s="1051"/>
      <c r="AD493" s="1051"/>
      <c r="AE493" s="1052"/>
      <c r="AF493" s="1051"/>
      <c r="AG493" s="1051"/>
      <c r="AH493" s="1051"/>
      <c r="AI493" s="1051"/>
      <c r="AJ493" s="1052"/>
      <c r="AK493" s="1051"/>
      <c r="AL493" s="1051"/>
      <c r="AM493" s="1052"/>
      <c r="AN493" s="1051"/>
      <c r="AO493" s="1051"/>
      <c r="AP493" s="1052"/>
      <c r="AQ493" s="1051"/>
      <c r="AR493" s="1051"/>
      <c r="AS493" s="1052"/>
      <c r="AT493" s="1051"/>
      <c r="AU493" s="1051"/>
      <c r="AV493" s="1052"/>
      <c r="AW493" s="1051"/>
      <c r="AX493" s="1051"/>
      <c r="AY493" s="1053"/>
      <c r="AZ493" s="1051"/>
      <c r="BA493" s="1051"/>
      <c r="BB493" s="1053"/>
      <c r="BC493" s="1051"/>
      <c r="BD493" s="1051"/>
      <c r="BE493" s="1053"/>
      <c r="BF493" s="1051"/>
      <c r="BG493" s="1051"/>
      <c r="BH493" s="1053"/>
      <c r="BI493" s="1052"/>
      <c r="BJ493" s="1052"/>
      <c r="BK493" s="1052"/>
      <c r="BL493" s="1052"/>
      <c r="BM493" s="1052"/>
      <c r="BN493" s="1054"/>
      <c r="BO493" s="1076">
        <f t="shared" si="8"/>
        <v>0</v>
      </c>
      <c r="BP493" s="1051"/>
      <c r="BQ493" s="1052"/>
      <c r="BR493" s="1054"/>
      <c r="BS493" s="1053"/>
      <c r="BT493" s="1051"/>
      <c r="BU493" s="1051"/>
      <c r="BV493" s="1051"/>
      <c r="BW493" s="1052"/>
      <c r="BX493" s="1052"/>
      <c r="BY493" s="1052"/>
      <c r="BZ493" s="1052"/>
      <c r="CA493" s="1052"/>
      <c r="CB493" s="1053"/>
      <c r="CC493" s="1053"/>
      <c r="CD493" s="1053"/>
      <c r="CE493" s="1053"/>
      <c r="CF493" s="1053"/>
      <c r="CG493" s="1053"/>
      <c r="CH493" s="1053"/>
      <c r="CI493" s="1123"/>
      <c r="CJ493" s="1123"/>
      <c r="CK493" s="1123"/>
      <c r="CL493" s="1123"/>
      <c r="CM493" s="1123"/>
      <c r="CN493" s="1123"/>
      <c r="CO493" s="1123"/>
      <c r="CP493" s="1123"/>
      <c r="CQ493" s="1123"/>
      <c r="CR493" s="1123"/>
      <c r="CS493" s="1123"/>
      <c r="CT493" s="1123"/>
      <c r="CU493" s="1123"/>
      <c r="CV493" s="1123"/>
      <c r="CW493" s="1123"/>
      <c r="CX493" s="1123"/>
      <c r="CY493" s="1123"/>
      <c r="CZ493" s="1114"/>
      <c r="DA493" s="1114"/>
      <c r="DB493" s="1114"/>
      <c r="DC493" s="1114"/>
      <c r="DD493" s="1114"/>
      <c r="DE493" s="1114"/>
      <c r="DF493" s="1114"/>
      <c r="DG493" s="1114"/>
      <c r="DH493" s="1114"/>
      <c r="DI493" s="1114"/>
      <c r="DJ493" s="1114"/>
      <c r="DK493" s="1114"/>
      <c r="DL493" s="1114"/>
      <c r="DM493" s="1114"/>
      <c r="DN493" s="1114"/>
      <c r="DO493" s="1114"/>
      <c r="DP493" s="1114"/>
      <c r="DQ493" s="1114"/>
      <c r="DR493" s="1114"/>
      <c r="DS493" s="1114"/>
      <c r="DT493" s="1114"/>
      <c r="DU493" s="1114"/>
      <c r="DV493" s="1115"/>
      <c r="DW493" s="1116"/>
      <c r="DX493" s="1116"/>
      <c r="DY493" s="1116"/>
      <c r="DZ493" s="1116"/>
      <c r="EA493" s="1116"/>
      <c r="EB493" s="1116"/>
      <c r="EC493" s="1116"/>
      <c r="ED493" s="1116"/>
      <c r="EE493" s="1116"/>
      <c r="EF493" s="1116"/>
      <c r="EG493" s="1116"/>
      <c r="EH493" s="1116"/>
      <c r="EI493" s="1116"/>
      <c r="EJ493" s="1116"/>
      <c r="EK493" s="1116"/>
      <c r="EL493" s="1116"/>
      <c r="EM493" s="1116"/>
      <c r="EN493" s="1116"/>
      <c r="EO493" s="1116"/>
      <c r="EP493" s="1116"/>
      <c r="EQ493" s="1116"/>
      <c r="ER493" s="1116"/>
      <c r="ES493" s="1116"/>
    </row>
    <row r="494" spans="1:149" ht="15" customHeight="1">
      <c r="A494" s="1185">
        <v>484</v>
      </c>
      <c r="B494" s="1041"/>
      <c r="C494" s="1050"/>
      <c r="D494" s="1050"/>
      <c r="E494" s="1050"/>
      <c r="F494" s="1049"/>
      <c r="G494" s="1049"/>
      <c r="H494" s="1049"/>
      <c r="I494" s="1049"/>
      <c r="J494" s="1050"/>
      <c r="K494" s="1050"/>
      <c r="L494" s="1043"/>
      <c r="M494" s="1051"/>
      <c r="N494" s="1051"/>
      <c r="O494" s="1052"/>
      <c r="P494" s="1051"/>
      <c r="Q494" s="1051"/>
      <c r="R494" s="1052"/>
      <c r="S494" s="1051"/>
      <c r="T494" s="1051"/>
      <c r="U494" s="1052"/>
      <c r="V494" s="1051"/>
      <c r="W494" s="1051"/>
      <c r="X494" s="1052"/>
      <c r="Y494" s="1053"/>
      <c r="Z494" s="1051"/>
      <c r="AA494" s="1051"/>
      <c r="AB494" s="1052"/>
      <c r="AC494" s="1051"/>
      <c r="AD494" s="1051"/>
      <c r="AE494" s="1052"/>
      <c r="AF494" s="1051"/>
      <c r="AG494" s="1051"/>
      <c r="AH494" s="1051"/>
      <c r="AI494" s="1051"/>
      <c r="AJ494" s="1052"/>
      <c r="AK494" s="1051"/>
      <c r="AL494" s="1051"/>
      <c r="AM494" s="1052"/>
      <c r="AN494" s="1051"/>
      <c r="AO494" s="1051"/>
      <c r="AP494" s="1052"/>
      <c r="AQ494" s="1051"/>
      <c r="AR494" s="1051"/>
      <c r="AS494" s="1052"/>
      <c r="AT494" s="1051"/>
      <c r="AU494" s="1051"/>
      <c r="AV494" s="1052"/>
      <c r="AW494" s="1051"/>
      <c r="AX494" s="1051"/>
      <c r="AY494" s="1053"/>
      <c r="AZ494" s="1051"/>
      <c r="BA494" s="1051"/>
      <c r="BB494" s="1053"/>
      <c r="BC494" s="1051"/>
      <c r="BD494" s="1051"/>
      <c r="BE494" s="1053"/>
      <c r="BF494" s="1051"/>
      <c r="BG494" s="1051"/>
      <c r="BH494" s="1053"/>
      <c r="BI494" s="1052"/>
      <c r="BJ494" s="1052"/>
      <c r="BK494" s="1052"/>
      <c r="BL494" s="1052"/>
      <c r="BM494" s="1052"/>
      <c r="BN494" s="1054"/>
      <c r="BO494" s="1076">
        <f t="shared" si="8"/>
        <v>0</v>
      </c>
      <c r="BP494" s="1051"/>
      <c r="BQ494" s="1052"/>
      <c r="BR494" s="1054"/>
      <c r="BS494" s="1053"/>
      <c r="BT494" s="1051"/>
      <c r="BU494" s="1051"/>
      <c r="BV494" s="1051"/>
      <c r="BW494" s="1052"/>
      <c r="BX494" s="1052"/>
      <c r="BY494" s="1052"/>
      <c r="BZ494" s="1052"/>
      <c r="CA494" s="1052"/>
      <c r="CB494" s="1053"/>
      <c r="CC494" s="1053"/>
      <c r="CD494" s="1053"/>
      <c r="CE494" s="1053"/>
      <c r="CF494" s="1053"/>
      <c r="CG494" s="1053"/>
      <c r="CH494" s="1053"/>
      <c r="CI494" s="1123"/>
      <c r="CJ494" s="1123"/>
      <c r="CK494" s="1123"/>
      <c r="CL494" s="1123"/>
      <c r="CM494" s="1123"/>
      <c r="CN494" s="1123"/>
      <c r="CO494" s="1123"/>
      <c r="CP494" s="1123"/>
      <c r="CQ494" s="1123"/>
      <c r="CR494" s="1123"/>
      <c r="CS494" s="1123"/>
      <c r="CT494" s="1123"/>
      <c r="CU494" s="1123"/>
      <c r="CV494" s="1123"/>
      <c r="CW494" s="1123"/>
      <c r="CX494" s="1123"/>
      <c r="CY494" s="1123"/>
      <c r="CZ494" s="1114"/>
      <c r="DA494" s="1114"/>
      <c r="DB494" s="1114"/>
      <c r="DC494" s="1114"/>
      <c r="DD494" s="1114"/>
      <c r="DE494" s="1114"/>
      <c r="DF494" s="1114"/>
      <c r="DG494" s="1114"/>
      <c r="DH494" s="1114"/>
      <c r="DI494" s="1114"/>
      <c r="DJ494" s="1114"/>
      <c r="DK494" s="1114"/>
      <c r="DL494" s="1114"/>
      <c r="DM494" s="1114"/>
      <c r="DN494" s="1114"/>
      <c r="DO494" s="1114"/>
      <c r="DP494" s="1114"/>
      <c r="DQ494" s="1114"/>
      <c r="DR494" s="1114"/>
      <c r="DS494" s="1114"/>
      <c r="DT494" s="1114"/>
      <c r="DU494" s="1114"/>
      <c r="DV494" s="1115"/>
      <c r="DW494" s="1116"/>
      <c r="DX494" s="1116"/>
      <c r="DY494" s="1116"/>
      <c r="DZ494" s="1116"/>
      <c r="EA494" s="1116"/>
      <c r="EB494" s="1116"/>
      <c r="EC494" s="1116"/>
      <c r="ED494" s="1116"/>
      <c r="EE494" s="1116"/>
      <c r="EF494" s="1116"/>
      <c r="EG494" s="1116"/>
      <c r="EH494" s="1116"/>
      <c r="EI494" s="1116"/>
      <c r="EJ494" s="1116"/>
      <c r="EK494" s="1116"/>
      <c r="EL494" s="1116"/>
      <c r="EM494" s="1116"/>
      <c r="EN494" s="1116"/>
      <c r="EO494" s="1116"/>
      <c r="EP494" s="1116"/>
      <c r="EQ494" s="1116"/>
      <c r="ER494" s="1116"/>
      <c r="ES494" s="1116"/>
    </row>
    <row r="495" spans="1:149" ht="15" customHeight="1">
      <c r="A495" s="1185">
        <v>485</v>
      </c>
      <c r="B495" s="1041"/>
      <c r="C495" s="1050"/>
      <c r="D495" s="1050"/>
      <c r="E495" s="1050"/>
      <c r="F495" s="1049"/>
      <c r="G495" s="1049"/>
      <c r="H495" s="1049"/>
      <c r="I495" s="1049"/>
      <c r="J495" s="1050"/>
      <c r="K495" s="1050"/>
      <c r="L495" s="1043"/>
      <c r="M495" s="1051"/>
      <c r="N495" s="1051"/>
      <c r="O495" s="1052"/>
      <c r="P495" s="1051"/>
      <c r="Q495" s="1051"/>
      <c r="R495" s="1052"/>
      <c r="S495" s="1051"/>
      <c r="T495" s="1051"/>
      <c r="U495" s="1052"/>
      <c r="V495" s="1051"/>
      <c r="W495" s="1051"/>
      <c r="X495" s="1052"/>
      <c r="Y495" s="1053"/>
      <c r="Z495" s="1051"/>
      <c r="AA495" s="1051"/>
      <c r="AB495" s="1052"/>
      <c r="AC495" s="1051"/>
      <c r="AD495" s="1051"/>
      <c r="AE495" s="1052"/>
      <c r="AF495" s="1051"/>
      <c r="AG495" s="1051"/>
      <c r="AH495" s="1051"/>
      <c r="AI495" s="1051"/>
      <c r="AJ495" s="1052"/>
      <c r="AK495" s="1051"/>
      <c r="AL495" s="1051"/>
      <c r="AM495" s="1052"/>
      <c r="AN495" s="1051"/>
      <c r="AO495" s="1051"/>
      <c r="AP495" s="1052"/>
      <c r="AQ495" s="1051"/>
      <c r="AR495" s="1051"/>
      <c r="AS495" s="1052"/>
      <c r="AT495" s="1051"/>
      <c r="AU495" s="1051"/>
      <c r="AV495" s="1052"/>
      <c r="AW495" s="1051"/>
      <c r="AX495" s="1051"/>
      <c r="AY495" s="1053"/>
      <c r="AZ495" s="1051"/>
      <c r="BA495" s="1051"/>
      <c r="BB495" s="1053"/>
      <c r="BC495" s="1051"/>
      <c r="BD495" s="1051"/>
      <c r="BE495" s="1053"/>
      <c r="BF495" s="1051"/>
      <c r="BG495" s="1051"/>
      <c r="BH495" s="1053"/>
      <c r="BI495" s="1052"/>
      <c r="BJ495" s="1052"/>
      <c r="BK495" s="1052"/>
      <c r="BL495" s="1052"/>
      <c r="BM495" s="1052"/>
      <c r="BN495" s="1054"/>
      <c r="BO495" s="1076">
        <f t="shared" si="8"/>
        <v>0</v>
      </c>
      <c r="BP495" s="1051"/>
      <c r="BQ495" s="1052"/>
      <c r="BR495" s="1054"/>
      <c r="BS495" s="1053"/>
      <c r="BT495" s="1051"/>
      <c r="BU495" s="1051"/>
      <c r="BV495" s="1051"/>
      <c r="BW495" s="1052"/>
      <c r="BX495" s="1052"/>
      <c r="BY495" s="1052"/>
      <c r="BZ495" s="1052"/>
      <c r="CA495" s="1052"/>
      <c r="CB495" s="1053"/>
      <c r="CC495" s="1053"/>
      <c r="CD495" s="1053"/>
      <c r="CE495" s="1053"/>
      <c r="CF495" s="1053"/>
      <c r="CG495" s="1053"/>
      <c r="CH495" s="1053"/>
      <c r="CI495" s="1123"/>
      <c r="CJ495" s="1123"/>
      <c r="CK495" s="1123"/>
      <c r="CL495" s="1123"/>
      <c r="CM495" s="1123"/>
      <c r="CN495" s="1123"/>
      <c r="CO495" s="1123"/>
      <c r="CP495" s="1123"/>
      <c r="CQ495" s="1123"/>
      <c r="CR495" s="1123"/>
      <c r="CS495" s="1123"/>
      <c r="CT495" s="1123"/>
      <c r="CU495" s="1123"/>
      <c r="CV495" s="1123"/>
      <c r="CW495" s="1123"/>
      <c r="CX495" s="1123"/>
      <c r="CY495" s="1123"/>
      <c r="CZ495" s="1114"/>
      <c r="DA495" s="1114"/>
      <c r="DB495" s="1114"/>
      <c r="DC495" s="1114"/>
      <c r="DD495" s="1114"/>
      <c r="DE495" s="1114"/>
      <c r="DF495" s="1114"/>
      <c r="DG495" s="1114"/>
      <c r="DH495" s="1114"/>
      <c r="DI495" s="1114"/>
      <c r="DJ495" s="1114"/>
      <c r="DK495" s="1114"/>
      <c r="DL495" s="1114"/>
      <c r="DM495" s="1114"/>
      <c r="DN495" s="1114"/>
      <c r="DO495" s="1114"/>
      <c r="DP495" s="1114"/>
      <c r="DQ495" s="1114"/>
      <c r="DR495" s="1114"/>
      <c r="DS495" s="1114"/>
      <c r="DT495" s="1114"/>
      <c r="DU495" s="1114"/>
      <c r="DV495" s="1115"/>
      <c r="DW495" s="1116"/>
      <c r="DX495" s="1116"/>
      <c r="DY495" s="1116"/>
      <c r="DZ495" s="1116"/>
      <c r="EA495" s="1116"/>
      <c r="EB495" s="1116"/>
      <c r="EC495" s="1116"/>
      <c r="ED495" s="1116"/>
      <c r="EE495" s="1116"/>
      <c r="EF495" s="1116"/>
      <c r="EG495" s="1116"/>
      <c r="EH495" s="1116"/>
      <c r="EI495" s="1116"/>
      <c r="EJ495" s="1116"/>
      <c r="EK495" s="1116"/>
      <c r="EL495" s="1116"/>
      <c r="EM495" s="1116"/>
      <c r="EN495" s="1116"/>
      <c r="EO495" s="1116"/>
      <c r="EP495" s="1116"/>
      <c r="EQ495" s="1116"/>
      <c r="ER495" s="1116"/>
      <c r="ES495" s="1116"/>
    </row>
    <row r="496" spans="1:149" ht="15" customHeight="1">
      <c r="A496" s="1185">
        <v>486</v>
      </c>
      <c r="B496" s="1041"/>
      <c r="C496" s="1050"/>
      <c r="D496" s="1050"/>
      <c r="E496" s="1050"/>
      <c r="F496" s="1049"/>
      <c r="G496" s="1049"/>
      <c r="H496" s="1049"/>
      <c r="I496" s="1049"/>
      <c r="J496" s="1050"/>
      <c r="K496" s="1050"/>
      <c r="L496" s="1043"/>
      <c r="M496" s="1051"/>
      <c r="N496" s="1051"/>
      <c r="O496" s="1052"/>
      <c r="P496" s="1051"/>
      <c r="Q496" s="1051"/>
      <c r="R496" s="1052"/>
      <c r="S496" s="1051"/>
      <c r="T496" s="1051"/>
      <c r="U496" s="1052"/>
      <c r="V496" s="1051"/>
      <c r="W496" s="1051"/>
      <c r="X496" s="1052"/>
      <c r="Y496" s="1053"/>
      <c r="Z496" s="1051"/>
      <c r="AA496" s="1051"/>
      <c r="AB496" s="1052"/>
      <c r="AC496" s="1051"/>
      <c r="AD496" s="1051"/>
      <c r="AE496" s="1052"/>
      <c r="AF496" s="1051"/>
      <c r="AG496" s="1051"/>
      <c r="AH496" s="1051"/>
      <c r="AI496" s="1051"/>
      <c r="AJ496" s="1052"/>
      <c r="AK496" s="1051"/>
      <c r="AL496" s="1051"/>
      <c r="AM496" s="1052"/>
      <c r="AN496" s="1051"/>
      <c r="AO496" s="1051"/>
      <c r="AP496" s="1052"/>
      <c r="AQ496" s="1051"/>
      <c r="AR496" s="1051"/>
      <c r="AS496" s="1052"/>
      <c r="AT496" s="1051"/>
      <c r="AU496" s="1051"/>
      <c r="AV496" s="1052"/>
      <c r="AW496" s="1051"/>
      <c r="AX496" s="1051"/>
      <c r="AY496" s="1053"/>
      <c r="AZ496" s="1051"/>
      <c r="BA496" s="1051"/>
      <c r="BB496" s="1053"/>
      <c r="BC496" s="1051"/>
      <c r="BD496" s="1051"/>
      <c r="BE496" s="1053"/>
      <c r="BF496" s="1051"/>
      <c r="BG496" s="1051"/>
      <c r="BH496" s="1053"/>
      <c r="BI496" s="1052"/>
      <c r="BJ496" s="1052"/>
      <c r="BK496" s="1052"/>
      <c r="BL496" s="1052"/>
      <c r="BM496" s="1052"/>
      <c r="BN496" s="1054"/>
      <c r="BO496" s="1076">
        <f t="shared" si="8"/>
        <v>0</v>
      </c>
      <c r="BP496" s="1051"/>
      <c r="BQ496" s="1052"/>
      <c r="BR496" s="1054"/>
      <c r="BS496" s="1053"/>
      <c r="BT496" s="1051"/>
      <c r="BU496" s="1051"/>
      <c r="BV496" s="1051"/>
      <c r="BW496" s="1052"/>
      <c r="BX496" s="1052"/>
      <c r="BY496" s="1052"/>
      <c r="BZ496" s="1052"/>
      <c r="CA496" s="1052"/>
      <c r="CB496" s="1053"/>
      <c r="CC496" s="1053"/>
      <c r="CD496" s="1053"/>
      <c r="CE496" s="1053"/>
      <c r="CF496" s="1053"/>
      <c r="CG496" s="1053"/>
      <c r="CH496" s="1053"/>
      <c r="CI496" s="1123"/>
      <c r="CJ496" s="1123"/>
      <c r="CK496" s="1123"/>
      <c r="CL496" s="1123"/>
      <c r="CM496" s="1123"/>
      <c r="CN496" s="1123"/>
      <c r="CO496" s="1123"/>
      <c r="CP496" s="1123"/>
      <c r="CQ496" s="1123"/>
      <c r="CR496" s="1123"/>
      <c r="CS496" s="1123"/>
      <c r="CT496" s="1123"/>
      <c r="CU496" s="1123"/>
      <c r="CV496" s="1123"/>
      <c r="CW496" s="1123"/>
      <c r="CX496" s="1123"/>
      <c r="CY496" s="1123"/>
      <c r="CZ496" s="1114"/>
      <c r="DA496" s="1114"/>
      <c r="DB496" s="1114"/>
      <c r="DC496" s="1114"/>
      <c r="DD496" s="1114"/>
      <c r="DE496" s="1114"/>
      <c r="DF496" s="1114"/>
      <c r="DG496" s="1114"/>
      <c r="DH496" s="1114"/>
      <c r="DI496" s="1114"/>
      <c r="DJ496" s="1114"/>
      <c r="DK496" s="1114"/>
      <c r="DL496" s="1114"/>
      <c r="DM496" s="1114"/>
      <c r="DN496" s="1114"/>
      <c r="DO496" s="1114"/>
      <c r="DP496" s="1114"/>
      <c r="DQ496" s="1114"/>
      <c r="DR496" s="1114"/>
      <c r="DS496" s="1114"/>
      <c r="DT496" s="1114"/>
      <c r="DU496" s="1114"/>
      <c r="DV496" s="1115"/>
      <c r="DW496" s="1116"/>
      <c r="DX496" s="1116"/>
      <c r="DY496" s="1116"/>
      <c r="DZ496" s="1116"/>
      <c r="EA496" s="1116"/>
      <c r="EB496" s="1116"/>
      <c r="EC496" s="1116"/>
      <c r="ED496" s="1116"/>
      <c r="EE496" s="1116"/>
      <c r="EF496" s="1116"/>
      <c r="EG496" s="1116"/>
      <c r="EH496" s="1116"/>
      <c r="EI496" s="1116"/>
      <c r="EJ496" s="1116"/>
      <c r="EK496" s="1116"/>
      <c r="EL496" s="1116"/>
      <c r="EM496" s="1116"/>
      <c r="EN496" s="1116"/>
      <c r="EO496" s="1116"/>
      <c r="EP496" s="1116"/>
      <c r="EQ496" s="1116"/>
      <c r="ER496" s="1116"/>
      <c r="ES496" s="1116"/>
    </row>
    <row r="497" spans="1:149" ht="15" customHeight="1">
      <c r="A497" s="1185">
        <v>487</v>
      </c>
      <c r="B497" s="1041"/>
      <c r="C497" s="1050"/>
      <c r="D497" s="1050"/>
      <c r="E497" s="1050"/>
      <c r="F497" s="1049"/>
      <c r="G497" s="1049"/>
      <c r="H497" s="1049"/>
      <c r="I497" s="1049"/>
      <c r="J497" s="1050"/>
      <c r="K497" s="1050"/>
      <c r="L497" s="1043"/>
      <c r="M497" s="1051"/>
      <c r="N497" s="1051"/>
      <c r="O497" s="1052"/>
      <c r="P497" s="1051"/>
      <c r="Q497" s="1051"/>
      <c r="R497" s="1052"/>
      <c r="S497" s="1051"/>
      <c r="T497" s="1051"/>
      <c r="U497" s="1052"/>
      <c r="V497" s="1051"/>
      <c r="W497" s="1051"/>
      <c r="X497" s="1052"/>
      <c r="Y497" s="1053"/>
      <c r="Z497" s="1051"/>
      <c r="AA497" s="1051"/>
      <c r="AB497" s="1052"/>
      <c r="AC497" s="1051"/>
      <c r="AD497" s="1051"/>
      <c r="AE497" s="1052"/>
      <c r="AF497" s="1051"/>
      <c r="AG497" s="1051"/>
      <c r="AH497" s="1051"/>
      <c r="AI497" s="1051"/>
      <c r="AJ497" s="1052"/>
      <c r="AK497" s="1051"/>
      <c r="AL497" s="1051"/>
      <c r="AM497" s="1052"/>
      <c r="AN497" s="1051"/>
      <c r="AO497" s="1051"/>
      <c r="AP497" s="1052"/>
      <c r="AQ497" s="1051"/>
      <c r="AR497" s="1051"/>
      <c r="AS497" s="1052"/>
      <c r="AT497" s="1051"/>
      <c r="AU497" s="1051"/>
      <c r="AV497" s="1052"/>
      <c r="AW497" s="1051"/>
      <c r="AX497" s="1051"/>
      <c r="AY497" s="1053"/>
      <c r="AZ497" s="1051"/>
      <c r="BA497" s="1051"/>
      <c r="BB497" s="1053"/>
      <c r="BC497" s="1051"/>
      <c r="BD497" s="1051"/>
      <c r="BE497" s="1053"/>
      <c r="BF497" s="1051"/>
      <c r="BG497" s="1051"/>
      <c r="BH497" s="1053"/>
      <c r="BI497" s="1052"/>
      <c r="BJ497" s="1052"/>
      <c r="BK497" s="1052"/>
      <c r="BL497" s="1052"/>
      <c r="BM497" s="1052"/>
      <c r="BN497" s="1054"/>
      <c r="BO497" s="1076">
        <f t="shared" si="8"/>
        <v>0</v>
      </c>
      <c r="BP497" s="1051"/>
      <c r="BQ497" s="1052"/>
      <c r="BR497" s="1054"/>
      <c r="BS497" s="1053"/>
      <c r="BT497" s="1051"/>
      <c r="BU497" s="1051"/>
      <c r="BV497" s="1051"/>
      <c r="BW497" s="1052"/>
      <c r="BX497" s="1052"/>
      <c r="BY497" s="1052"/>
      <c r="BZ497" s="1052"/>
      <c r="CA497" s="1052"/>
      <c r="CB497" s="1053"/>
      <c r="CC497" s="1053"/>
      <c r="CD497" s="1053"/>
      <c r="CE497" s="1053"/>
      <c r="CF497" s="1053"/>
      <c r="CG497" s="1053"/>
      <c r="CH497" s="1053"/>
      <c r="CI497" s="1123"/>
      <c r="CJ497" s="1123"/>
      <c r="CK497" s="1123"/>
      <c r="CL497" s="1123"/>
      <c r="CM497" s="1123"/>
      <c r="CN497" s="1123"/>
      <c r="CO497" s="1123"/>
      <c r="CP497" s="1123"/>
      <c r="CQ497" s="1123"/>
      <c r="CR497" s="1123"/>
      <c r="CS497" s="1123"/>
      <c r="CT497" s="1123"/>
      <c r="CU497" s="1123"/>
      <c r="CV497" s="1123"/>
      <c r="CW497" s="1123"/>
      <c r="CX497" s="1123"/>
      <c r="CY497" s="1123"/>
      <c r="CZ497" s="1114"/>
      <c r="DA497" s="1114"/>
      <c r="DB497" s="1114"/>
      <c r="DC497" s="1114"/>
      <c r="DD497" s="1114"/>
      <c r="DE497" s="1114"/>
      <c r="DF497" s="1114"/>
      <c r="DG497" s="1114"/>
      <c r="DH497" s="1114"/>
      <c r="DI497" s="1114"/>
      <c r="DJ497" s="1114"/>
      <c r="DK497" s="1114"/>
      <c r="DL497" s="1114"/>
      <c r="DM497" s="1114"/>
      <c r="DN497" s="1114"/>
      <c r="DO497" s="1114"/>
      <c r="DP497" s="1114"/>
      <c r="DQ497" s="1114"/>
      <c r="DR497" s="1114"/>
      <c r="DS497" s="1114"/>
      <c r="DT497" s="1114"/>
      <c r="DU497" s="1114"/>
      <c r="DV497" s="1115"/>
      <c r="DW497" s="1116"/>
      <c r="DX497" s="1116"/>
      <c r="DY497" s="1116"/>
      <c r="DZ497" s="1116"/>
      <c r="EA497" s="1116"/>
      <c r="EB497" s="1116"/>
      <c r="EC497" s="1116"/>
      <c r="ED497" s="1116"/>
      <c r="EE497" s="1116"/>
      <c r="EF497" s="1116"/>
      <c r="EG497" s="1116"/>
      <c r="EH497" s="1116"/>
      <c r="EI497" s="1116"/>
      <c r="EJ497" s="1116"/>
      <c r="EK497" s="1116"/>
      <c r="EL497" s="1116"/>
      <c r="EM497" s="1116"/>
      <c r="EN497" s="1116"/>
      <c r="EO497" s="1116"/>
      <c r="EP497" s="1116"/>
      <c r="EQ497" s="1116"/>
      <c r="ER497" s="1116"/>
      <c r="ES497" s="1116"/>
    </row>
    <row r="498" spans="1:149" ht="15" customHeight="1">
      <c r="A498" s="1185">
        <v>488</v>
      </c>
      <c r="B498" s="1041"/>
      <c r="C498" s="1050"/>
      <c r="D498" s="1050"/>
      <c r="E498" s="1050"/>
      <c r="F498" s="1049"/>
      <c r="G498" s="1049"/>
      <c r="H498" s="1049"/>
      <c r="I498" s="1049"/>
      <c r="J498" s="1050"/>
      <c r="K498" s="1050"/>
      <c r="L498" s="1043"/>
      <c r="M498" s="1051"/>
      <c r="N498" s="1051"/>
      <c r="O498" s="1052"/>
      <c r="P498" s="1051"/>
      <c r="Q498" s="1051"/>
      <c r="R498" s="1052"/>
      <c r="S498" s="1051"/>
      <c r="T498" s="1051"/>
      <c r="U498" s="1052"/>
      <c r="V498" s="1051"/>
      <c r="W498" s="1051"/>
      <c r="X498" s="1052"/>
      <c r="Y498" s="1053"/>
      <c r="Z498" s="1051"/>
      <c r="AA498" s="1051"/>
      <c r="AB498" s="1052"/>
      <c r="AC498" s="1051"/>
      <c r="AD498" s="1051"/>
      <c r="AE498" s="1052"/>
      <c r="AF498" s="1051"/>
      <c r="AG498" s="1051"/>
      <c r="AH498" s="1051"/>
      <c r="AI498" s="1051"/>
      <c r="AJ498" s="1052"/>
      <c r="AK498" s="1051"/>
      <c r="AL498" s="1051"/>
      <c r="AM498" s="1052"/>
      <c r="AN498" s="1051"/>
      <c r="AO498" s="1051"/>
      <c r="AP498" s="1052"/>
      <c r="AQ498" s="1051"/>
      <c r="AR498" s="1051"/>
      <c r="AS498" s="1052"/>
      <c r="AT498" s="1051"/>
      <c r="AU498" s="1051"/>
      <c r="AV498" s="1052"/>
      <c r="AW498" s="1051"/>
      <c r="AX498" s="1051"/>
      <c r="AY498" s="1053"/>
      <c r="AZ498" s="1051"/>
      <c r="BA498" s="1051"/>
      <c r="BB498" s="1053"/>
      <c r="BC498" s="1051"/>
      <c r="BD498" s="1051"/>
      <c r="BE498" s="1053"/>
      <c r="BF498" s="1051"/>
      <c r="BG498" s="1051"/>
      <c r="BH498" s="1053"/>
      <c r="BI498" s="1052"/>
      <c r="BJ498" s="1052"/>
      <c r="BK498" s="1052"/>
      <c r="BL498" s="1052"/>
      <c r="BM498" s="1052"/>
      <c r="BN498" s="1054"/>
      <c r="BO498" s="1076">
        <f t="shared" si="8"/>
        <v>0</v>
      </c>
      <c r="BP498" s="1051"/>
      <c r="BQ498" s="1052"/>
      <c r="BR498" s="1054"/>
      <c r="BS498" s="1053"/>
      <c r="BT498" s="1051"/>
      <c r="BU498" s="1051"/>
      <c r="BV498" s="1051"/>
      <c r="BW498" s="1052"/>
      <c r="BX498" s="1052"/>
      <c r="BY498" s="1052"/>
      <c r="BZ498" s="1052"/>
      <c r="CA498" s="1052"/>
      <c r="CB498" s="1053"/>
      <c r="CC498" s="1053"/>
      <c r="CD498" s="1053"/>
      <c r="CE498" s="1053"/>
      <c r="CF498" s="1053"/>
      <c r="CG498" s="1053"/>
      <c r="CH498" s="1053"/>
      <c r="CI498" s="1123"/>
      <c r="CJ498" s="1123"/>
      <c r="CK498" s="1123"/>
      <c r="CL498" s="1123"/>
      <c r="CM498" s="1123"/>
      <c r="CN498" s="1123"/>
      <c r="CO498" s="1123"/>
      <c r="CP498" s="1123"/>
      <c r="CQ498" s="1123"/>
      <c r="CR498" s="1123"/>
      <c r="CS498" s="1123"/>
      <c r="CT498" s="1123"/>
      <c r="CU498" s="1123"/>
      <c r="CV498" s="1123"/>
      <c r="CW498" s="1123"/>
      <c r="CX498" s="1123"/>
      <c r="CY498" s="1123"/>
      <c r="CZ498" s="1114"/>
      <c r="DA498" s="1114"/>
      <c r="DB498" s="1114"/>
      <c r="DC498" s="1114"/>
      <c r="DD498" s="1114"/>
      <c r="DE498" s="1114"/>
      <c r="DF498" s="1114"/>
      <c r="DG498" s="1114"/>
      <c r="DH498" s="1114"/>
      <c r="DI498" s="1114"/>
      <c r="DJ498" s="1114"/>
      <c r="DK498" s="1114"/>
      <c r="DL498" s="1114"/>
      <c r="DM498" s="1114"/>
      <c r="DN498" s="1114"/>
      <c r="DO498" s="1114"/>
      <c r="DP498" s="1114"/>
      <c r="DQ498" s="1114"/>
      <c r="DR498" s="1114"/>
      <c r="DS498" s="1114"/>
      <c r="DT498" s="1114"/>
      <c r="DU498" s="1114"/>
      <c r="DV498" s="1115"/>
      <c r="DW498" s="1116"/>
      <c r="DX498" s="1116"/>
      <c r="DY498" s="1116"/>
      <c r="DZ498" s="1116"/>
      <c r="EA498" s="1116"/>
      <c r="EB498" s="1116"/>
      <c r="EC498" s="1116"/>
      <c r="ED498" s="1116"/>
      <c r="EE498" s="1116"/>
      <c r="EF498" s="1116"/>
      <c r="EG498" s="1116"/>
      <c r="EH498" s="1116"/>
      <c r="EI498" s="1116"/>
      <c r="EJ498" s="1116"/>
      <c r="EK498" s="1116"/>
      <c r="EL498" s="1116"/>
      <c r="EM498" s="1116"/>
      <c r="EN498" s="1116"/>
      <c r="EO498" s="1116"/>
      <c r="EP498" s="1116"/>
      <c r="EQ498" s="1116"/>
      <c r="ER498" s="1116"/>
      <c r="ES498" s="1116"/>
    </row>
    <row r="499" spans="1:149" ht="15" customHeight="1">
      <c r="A499" s="1185">
        <v>489</v>
      </c>
      <c r="B499" s="1041"/>
      <c r="C499" s="1050"/>
      <c r="D499" s="1050"/>
      <c r="E499" s="1050"/>
      <c r="F499" s="1049"/>
      <c r="G499" s="1049"/>
      <c r="H499" s="1049"/>
      <c r="I499" s="1049"/>
      <c r="J499" s="1050"/>
      <c r="K499" s="1050"/>
      <c r="L499" s="1043"/>
      <c r="M499" s="1051"/>
      <c r="N499" s="1051"/>
      <c r="O499" s="1052"/>
      <c r="P499" s="1051"/>
      <c r="Q499" s="1051"/>
      <c r="R499" s="1052"/>
      <c r="S499" s="1051"/>
      <c r="T499" s="1051"/>
      <c r="U499" s="1052"/>
      <c r="V499" s="1051"/>
      <c r="W499" s="1051"/>
      <c r="X499" s="1052"/>
      <c r="Y499" s="1053"/>
      <c r="Z499" s="1051"/>
      <c r="AA499" s="1051"/>
      <c r="AB499" s="1052"/>
      <c r="AC499" s="1051"/>
      <c r="AD499" s="1051"/>
      <c r="AE499" s="1052"/>
      <c r="AF499" s="1051"/>
      <c r="AG499" s="1051"/>
      <c r="AH499" s="1051"/>
      <c r="AI499" s="1051"/>
      <c r="AJ499" s="1052"/>
      <c r="AK499" s="1051"/>
      <c r="AL499" s="1051"/>
      <c r="AM499" s="1052"/>
      <c r="AN499" s="1051"/>
      <c r="AO499" s="1051"/>
      <c r="AP499" s="1052"/>
      <c r="AQ499" s="1051"/>
      <c r="AR499" s="1051"/>
      <c r="AS499" s="1052"/>
      <c r="AT499" s="1051"/>
      <c r="AU499" s="1051"/>
      <c r="AV499" s="1052"/>
      <c r="AW499" s="1051"/>
      <c r="AX499" s="1051"/>
      <c r="AY499" s="1053"/>
      <c r="AZ499" s="1051"/>
      <c r="BA499" s="1051"/>
      <c r="BB499" s="1053"/>
      <c r="BC499" s="1051"/>
      <c r="BD499" s="1051"/>
      <c r="BE499" s="1053"/>
      <c r="BF499" s="1051"/>
      <c r="BG499" s="1051"/>
      <c r="BH499" s="1053"/>
      <c r="BI499" s="1052"/>
      <c r="BJ499" s="1052"/>
      <c r="BK499" s="1052"/>
      <c r="BL499" s="1052"/>
      <c r="BM499" s="1052"/>
      <c r="BN499" s="1054"/>
      <c r="BO499" s="1076">
        <f t="shared" si="8"/>
        <v>0</v>
      </c>
      <c r="BP499" s="1051"/>
      <c r="BQ499" s="1052"/>
      <c r="BR499" s="1054"/>
      <c r="BS499" s="1053"/>
      <c r="BT499" s="1051"/>
      <c r="BU499" s="1051"/>
      <c r="BV499" s="1051"/>
      <c r="BW499" s="1052"/>
      <c r="BX499" s="1052"/>
      <c r="BY499" s="1052"/>
      <c r="BZ499" s="1052"/>
      <c r="CA499" s="1052"/>
      <c r="CB499" s="1053"/>
      <c r="CC499" s="1053"/>
      <c r="CD499" s="1053"/>
      <c r="CE499" s="1053"/>
      <c r="CF499" s="1053"/>
      <c r="CG499" s="1053"/>
      <c r="CH499" s="1053"/>
      <c r="CI499" s="1123"/>
      <c r="CJ499" s="1123"/>
      <c r="CK499" s="1123"/>
      <c r="CL499" s="1123"/>
      <c r="CM499" s="1123"/>
      <c r="CN499" s="1123"/>
      <c r="CO499" s="1123"/>
      <c r="CP499" s="1123"/>
      <c r="CQ499" s="1123"/>
      <c r="CR499" s="1123"/>
      <c r="CS499" s="1123"/>
      <c r="CT499" s="1123"/>
      <c r="CU499" s="1123"/>
      <c r="CV499" s="1123"/>
      <c r="CW499" s="1123"/>
      <c r="CX499" s="1123"/>
      <c r="CY499" s="1123"/>
      <c r="CZ499" s="1114"/>
      <c r="DA499" s="1114"/>
      <c r="DB499" s="1114"/>
      <c r="DC499" s="1114"/>
      <c r="DD499" s="1114"/>
      <c r="DE499" s="1114"/>
      <c r="DF499" s="1114"/>
      <c r="DG499" s="1114"/>
      <c r="DH499" s="1114"/>
      <c r="DI499" s="1114"/>
      <c r="DJ499" s="1114"/>
      <c r="DK499" s="1114"/>
      <c r="DL499" s="1114"/>
      <c r="DM499" s="1114"/>
      <c r="DN499" s="1114"/>
      <c r="DO499" s="1114"/>
      <c r="DP499" s="1114"/>
      <c r="DQ499" s="1114"/>
      <c r="DR499" s="1114"/>
      <c r="DS499" s="1114"/>
      <c r="DT499" s="1114"/>
      <c r="DU499" s="1114"/>
      <c r="DV499" s="1115"/>
      <c r="DW499" s="1116"/>
      <c r="DX499" s="1116"/>
      <c r="DY499" s="1116"/>
      <c r="DZ499" s="1116"/>
      <c r="EA499" s="1116"/>
      <c r="EB499" s="1116"/>
      <c r="EC499" s="1116"/>
      <c r="ED499" s="1116"/>
      <c r="EE499" s="1116"/>
      <c r="EF499" s="1116"/>
      <c r="EG499" s="1116"/>
      <c r="EH499" s="1116"/>
      <c r="EI499" s="1116"/>
      <c r="EJ499" s="1116"/>
      <c r="EK499" s="1116"/>
      <c r="EL499" s="1116"/>
      <c r="EM499" s="1116"/>
      <c r="EN499" s="1116"/>
      <c r="EO499" s="1116"/>
      <c r="EP499" s="1116"/>
      <c r="EQ499" s="1116"/>
      <c r="ER499" s="1116"/>
      <c r="ES499" s="1116"/>
    </row>
    <row r="500" spans="1:149" ht="15" customHeight="1">
      <c r="A500" s="1185">
        <v>490</v>
      </c>
      <c r="B500" s="1041"/>
      <c r="C500" s="1050"/>
      <c r="D500" s="1050"/>
      <c r="E500" s="1050"/>
      <c r="F500" s="1049"/>
      <c r="G500" s="1049"/>
      <c r="H500" s="1049"/>
      <c r="I500" s="1049"/>
      <c r="J500" s="1050"/>
      <c r="K500" s="1050"/>
      <c r="L500" s="1043"/>
      <c r="M500" s="1051"/>
      <c r="N500" s="1051"/>
      <c r="O500" s="1052"/>
      <c r="P500" s="1051"/>
      <c r="Q500" s="1051"/>
      <c r="R500" s="1052"/>
      <c r="S500" s="1051"/>
      <c r="T500" s="1051"/>
      <c r="U500" s="1052"/>
      <c r="V500" s="1051"/>
      <c r="W500" s="1051"/>
      <c r="X500" s="1052"/>
      <c r="Y500" s="1053"/>
      <c r="Z500" s="1051"/>
      <c r="AA500" s="1051"/>
      <c r="AB500" s="1052"/>
      <c r="AC500" s="1051"/>
      <c r="AD500" s="1051"/>
      <c r="AE500" s="1052"/>
      <c r="AF500" s="1051"/>
      <c r="AG500" s="1051"/>
      <c r="AH500" s="1051"/>
      <c r="AI500" s="1051"/>
      <c r="AJ500" s="1052"/>
      <c r="AK500" s="1051"/>
      <c r="AL500" s="1051"/>
      <c r="AM500" s="1052"/>
      <c r="AN500" s="1051"/>
      <c r="AO500" s="1051"/>
      <c r="AP500" s="1052"/>
      <c r="AQ500" s="1051"/>
      <c r="AR500" s="1051"/>
      <c r="AS500" s="1052"/>
      <c r="AT500" s="1051"/>
      <c r="AU500" s="1051"/>
      <c r="AV500" s="1052"/>
      <c r="AW500" s="1051"/>
      <c r="AX500" s="1051"/>
      <c r="AY500" s="1053"/>
      <c r="AZ500" s="1051"/>
      <c r="BA500" s="1051"/>
      <c r="BB500" s="1053"/>
      <c r="BC500" s="1051"/>
      <c r="BD500" s="1051"/>
      <c r="BE500" s="1053"/>
      <c r="BF500" s="1051"/>
      <c r="BG500" s="1051"/>
      <c r="BH500" s="1053"/>
      <c r="BI500" s="1052"/>
      <c r="BJ500" s="1052"/>
      <c r="BK500" s="1052"/>
      <c r="BL500" s="1052"/>
      <c r="BM500" s="1052"/>
      <c r="BN500" s="1054"/>
      <c r="BO500" s="1076">
        <f t="shared" si="8"/>
        <v>0</v>
      </c>
      <c r="BP500" s="1051"/>
      <c r="BQ500" s="1052"/>
      <c r="BR500" s="1054"/>
      <c r="BS500" s="1053"/>
      <c r="BT500" s="1051"/>
      <c r="BU500" s="1051"/>
      <c r="BV500" s="1051"/>
      <c r="BW500" s="1052"/>
      <c r="BX500" s="1052"/>
      <c r="BY500" s="1052"/>
      <c r="BZ500" s="1052"/>
      <c r="CA500" s="1052"/>
      <c r="CB500" s="1053"/>
      <c r="CC500" s="1053"/>
      <c r="CD500" s="1053"/>
      <c r="CE500" s="1053"/>
      <c r="CF500" s="1053"/>
      <c r="CG500" s="1053"/>
      <c r="CH500" s="1053"/>
      <c r="CI500" s="1123"/>
      <c r="CJ500" s="1123"/>
      <c r="CK500" s="1123"/>
      <c r="CL500" s="1123"/>
      <c r="CM500" s="1123"/>
      <c r="CN500" s="1123"/>
      <c r="CO500" s="1123"/>
      <c r="CP500" s="1123"/>
      <c r="CQ500" s="1123"/>
      <c r="CR500" s="1123"/>
      <c r="CS500" s="1123"/>
      <c r="CT500" s="1123"/>
      <c r="CU500" s="1123"/>
      <c r="CV500" s="1123"/>
      <c r="CW500" s="1123"/>
      <c r="CX500" s="1123"/>
      <c r="CY500" s="1123"/>
      <c r="CZ500" s="1114"/>
      <c r="DA500" s="1114"/>
      <c r="DB500" s="1114"/>
      <c r="DC500" s="1114"/>
      <c r="DD500" s="1114"/>
      <c r="DE500" s="1114"/>
      <c r="DF500" s="1114"/>
      <c r="DG500" s="1114"/>
      <c r="DH500" s="1114"/>
      <c r="DI500" s="1114"/>
      <c r="DJ500" s="1114"/>
      <c r="DK500" s="1114"/>
      <c r="DL500" s="1114"/>
      <c r="DM500" s="1114"/>
      <c r="DN500" s="1114"/>
      <c r="DO500" s="1114"/>
      <c r="DP500" s="1114"/>
      <c r="DQ500" s="1114"/>
      <c r="DR500" s="1114"/>
      <c r="DS500" s="1114"/>
      <c r="DT500" s="1114"/>
      <c r="DU500" s="1114"/>
      <c r="DV500" s="1115"/>
      <c r="DW500" s="1116"/>
      <c r="DX500" s="1116"/>
      <c r="DY500" s="1116"/>
      <c r="DZ500" s="1116"/>
      <c r="EA500" s="1116"/>
      <c r="EB500" s="1116"/>
      <c r="EC500" s="1116"/>
      <c r="ED500" s="1116"/>
      <c r="EE500" s="1116"/>
      <c r="EF500" s="1116"/>
      <c r="EG500" s="1116"/>
      <c r="EH500" s="1116"/>
      <c r="EI500" s="1116"/>
      <c r="EJ500" s="1116"/>
      <c r="EK500" s="1116"/>
      <c r="EL500" s="1116"/>
      <c r="EM500" s="1116"/>
      <c r="EN500" s="1116"/>
      <c r="EO500" s="1116"/>
      <c r="EP500" s="1116"/>
      <c r="EQ500" s="1116"/>
      <c r="ER500" s="1116"/>
      <c r="ES500" s="1116"/>
    </row>
    <row r="501" spans="1:149" ht="15" customHeight="1">
      <c r="A501" s="1185">
        <v>491</v>
      </c>
      <c r="B501" s="1041"/>
      <c r="C501" s="1050"/>
      <c r="D501" s="1050"/>
      <c r="E501" s="1050"/>
      <c r="F501" s="1049"/>
      <c r="G501" s="1049"/>
      <c r="H501" s="1049"/>
      <c r="I501" s="1049"/>
      <c r="J501" s="1050"/>
      <c r="K501" s="1050"/>
      <c r="L501" s="1043"/>
      <c r="M501" s="1051"/>
      <c r="N501" s="1051"/>
      <c r="O501" s="1052"/>
      <c r="P501" s="1051"/>
      <c r="Q501" s="1051"/>
      <c r="R501" s="1052"/>
      <c r="S501" s="1051"/>
      <c r="T501" s="1051"/>
      <c r="U501" s="1052"/>
      <c r="V501" s="1051"/>
      <c r="W501" s="1051"/>
      <c r="X501" s="1052"/>
      <c r="Y501" s="1053"/>
      <c r="Z501" s="1051"/>
      <c r="AA501" s="1051"/>
      <c r="AB501" s="1052"/>
      <c r="AC501" s="1051"/>
      <c r="AD501" s="1051"/>
      <c r="AE501" s="1052"/>
      <c r="AF501" s="1051"/>
      <c r="AG501" s="1051"/>
      <c r="AH501" s="1051"/>
      <c r="AI501" s="1051"/>
      <c r="AJ501" s="1052"/>
      <c r="AK501" s="1051"/>
      <c r="AL501" s="1051"/>
      <c r="AM501" s="1052"/>
      <c r="AN501" s="1051"/>
      <c r="AO501" s="1051"/>
      <c r="AP501" s="1052"/>
      <c r="AQ501" s="1051"/>
      <c r="AR501" s="1051"/>
      <c r="AS501" s="1052"/>
      <c r="AT501" s="1051"/>
      <c r="AU501" s="1051"/>
      <c r="AV501" s="1052"/>
      <c r="AW501" s="1051"/>
      <c r="AX501" s="1051"/>
      <c r="AY501" s="1053"/>
      <c r="AZ501" s="1051"/>
      <c r="BA501" s="1051"/>
      <c r="BB501" s="1053"/>
      <c r="BC501" s="1051"/>
      <c r="BD501" s="1051"/>
      <c r="BE501" s="1053"/>
      <c r="BF501" s="1051"/>
      <c r="BG501" s="1051"/>
      <c r="BH501" s="1053"/>
      <c r="BI501" s="1052"/>
      <c r="BJ501" s="1052"/>
      <c r="BK501" s="1052"/>
      <c r="BL501" s="1052"/>
      <c r="BM501" s="1052"/>
      <c r="BN501" s="1054"/>
      <c r="BO501" s="1076">
        <f t="shared" si="8"/>
        <v>0</v>
      </c>
      <c r="BP501" s="1051"/>
      <c r="BQ501" s="1052"/>
      <c r="BR501" s="1054"/>
      <c r="BS501" s="1053"/>
      <c r="BT501" s="1051"/>
      <c r="BU501" s="1051"/>
      <c r="BV501" s="1051"/>
      <c r="BW501" s="1052"/>
      <c r="BX501" s="1052"/>
      <c r="BY501" s="1052"/>
      <c r="BZ501" s="1052"/>
      <c r="CA501" s="1052"/>
      <c r="CB501" s="1053"/>
      <c r="CC501" s="1053"/>
      <c r="CD501" s="1053"/>
      <c r="CE501" s="1053"/>
      <c r="CF501" s="1053"/>
      <c r="CG501" s="1053"/>
      <c r="CH501" s="1053"/>
      <c r="CI501" s="1123"/>
      <c r="CJ501" s="1123"/>
      <c r="CK501" s="1123"/>
      <c r="CL501" s="1123"/>
      <c r="CM501" s="1123"/>
      <c r="CN501" s="1123"/>
      <c r="CO501" s="1123"/>
      <c r="CP501" s="1123"/>
      <c r="CQ501" s="1123"/>
      <c r="CR501" s="1123"/>
      <c r="CS501" s="1123"/>
      <c r="CT501" s="1123"/>
      <c r="CU501" s="1123"/>
      <c r="CV501" s="1123"/>
      <c r="CW501" s="1123"/>
      <c r="CX501" s="1123"/>
      <c r="CY501" s="1123"/>
      <c r="CZ501" s="1114"/>
      <c r="DA501" s="1114"/>
      <c r="DB501" s="1114"/>
      <c r="DC501" s="1114"/>
      <c r="DD501" s="1114"/>
      <c r="DE501" s="1114"/>
      <c r="DF501" s="1114"/>
      <c r="DG501" s="1114"/>
      <c r="DH501" s="1114"/>
      <c r="DI501" s="1114"/>
      <c r="DJ501" s="1114"/>
      <c r="DK501" s="1114"/>
      <c r="DL501" s="1114"/>
      <c r="DM501" s="1114"/>
      <c r="DN501" s="1114"/>
      <c r="DO501" s="1114"/>
      <c r="DP501" s="1114"/>
      <c r="DQ501" s="1114"/>
      <c r="DR501" s="1114"/>
      <c r="DS501" s="1114"/>
      <c r="DT501" s="1114"/>
      <c r="DU501" s="1114"/>
      <c r="DV501" s="1115"/>
      <c r="DW501" s="1116"/>
      <c r="DX501" s="1116"/>
      <c r="DY501" s="1116"/>
      <c r="DZ501" s="1116"/>
      <c r="EA501" s="1116"/>
      <c r="EB501" s="1116"/>
      <c r="EC501" s="1116"/>
      <c r="ED501" s="1116"/>
      <c r="EE501" s="1116"/>
      <c r="EF501" s="1116"/>
      <c r="EG501" s="1116"/>
      <c r="EH501" s="1116"/>
      <c r="EI501" s="1116"/>
      <c r="EJ501" s="1116"/>
      <c r="EK501" s="1116"/>
      <c r="EL501" s="1116"/>
      <c r="EM501" s="1116"/>
      <c r="EN501" s="1116"/>
      <c r="EO501" s="1116"/>
      <c r="EP501" s="1116"/>
      <c r="EQ501" s="1116"/>
      <c r="ER501" s="1116"/>
      <c r="ES501" s="1116"/>
    </row>
    <row r="502" spans="1:149" ht="15" customHeight="1">
      <c r="A502" s="1185">
        <v>492</v>
      </c>
      <c r="B502" s="1041"/>
      <c r="C502" s="1050"/>
      <c r="D502" s="1050"/>
      <c r="E502" s="1050"/>
      <c r="F502" s="1049"/>
      <c r="G502" s="1049"/>
      <c r="H502" s="1049"/>
      <c r="I502" s="1049"/>
      <c r="J502" s="1050"/>
      <c r="K502" s="1050"/>
      <c r="L502" s="1043"/>
      <c r="M502" s="1051"/>
      <c r="N502" s="1051"/>
      <c r="O502" s="1052"/>
      <c r="P502" s="1051"/>
      <c r="Q502" s="1051"/>
      <c r="R502" s="1052"/>
      <c r="S502" s="1051"/>
      <c r="T502" s="1051"/>
      <c r="U502" s="1052"/>
      <c r="V502" s="1051"/>
      <c r="W502" s="1051"/>
      <c r="X502" s="1052"/>
      <c r="Y502" s="1053"/>
      <c r="Z502" s="1051"/>
      <c r="AA502" s="1051"/>
      <c r="AB502" s="1052"/>
      <c r="AC502" s="1051"/>
      <c r="AD502" s="1051"/>
      <c r="AE502" s="1052"/>
      <c r="AF502" s="1051"/>
      <c r="AG502" s="1051"/>
      <c r="AH502" s="1051"/>
      <c r="AI502" s="1051"/>
      <c r="AJ502" s="1052"/>
      <c r="AK502" s="1051"/>
      <c r="AL502" s="1051"/>
      <c r="AM502" s="1052"/>
      <c r="AN502" s="1051"/>
      <c r="AO502" s="1051"/>
      <c r="AP502" s="1052"/>
      <c r="AQ502" s="1051"/>
      <c r="AR502" s="1051"/>
      <c r="AS502" s="1052"/>
      <c r="AT502" s="1051"/>
      <c r="AU502" s="1051"/>
      <c r="AV502" s="1052"/>
      <c r="AW502" s="1051"/>
      <c r="AX502" s="1051"/>
      <c r="AY502" s="1053"/>
      <c r="AZ502" s="1051"/>
      <c r="BA502" s="1051"/>
      <c r="BB502" s="1053"/>
      <c r="BC502" s="1051"/>
      <c r="BD502" s="1051"/>
      <c r="BE502" s="1053"/>
      <c r="BF502" s="1051"/>
      <c r="BG502" s="1051"/>
      <c r="BH502" s="1053"/>
      <c r="BI502" s="1052"/>
      <c r="BJ502" s="1052"/>
      <c r="BK502" s="1052"/>
      <c r="BL502" s="1052"/>
      <c r="BM502" s="1052"/>
      <c r="BN502" s="1054"/>
      <c r="BO502" s="1076">
        <f t="shared" si="8"/>
        <v>0</v>
      </c>
      <c r="BP502" s="1051"/>
      <c r="BQ502" s="1052"/>
      <c r="BR502" s="1054"/>
      <c r="BS502" s="1053"/>
      <c r="BT502" s="1051"/>
      <c r="BU502" s="1051"/>
      <c r="BV502" s="1051"/>
      <c r="BW502" s="1052"/>
      <c r="BX502" s="1052"/>
      <c r="BY502" s="1052"/>
      <c r="BZ502" s="1052"/>
      <c r="CA502" s="1052"/>
      <c r="CB502" s="1053"/>
      <c r="CC502" s="1053"/>
      <c r="CD502" s="1053"/>
      <c r="CE502" s="1053"/>
      <c r="CF502" s="1053"/>
      <c r="CG502" s="1053"/>
      <c r="CH502" s="1053"/>
      <c r="CI502" s="1123"/>
      <c r="CJ502" s="1123"/>
      <c r="CK502" s="1123"/>
      <c r="CL502" s="1123"/>
      <c r="CM502" s="1123"/>
      <c r="CN502" s="1123"/>
      <c r="CO502" s="1123"/>
      <c r="CP502" s="1123"/>
      <c r="CQ502" s="1123"/>
      <c r="CR502" s="1123"/>
      <c r="CS502" s="1123"/>
      <c r="CT502" s="1123"/>
      <c r="CU502" s="1123"/>
      <c r="CV502" s="1123"/>
      <c r="CW502" s="1123"/>
      <c r="CX502" s="1123"/>
      <c r="CY502" s="1123"/>
      <c r="CZ502" s="1114"/>
      <c r="DA502" s="1114"/>
      <c r="DB502" s="1114"/>
      <c r="DC502" s="1114"/>
      <c r="DD502" s="1114"/>
      <c r="DE502" s="1114"/>
      <c r="DF502" s="1114"/>
      <c r="DG502" s="1114"/>
      <c r="DH502" s="1114"/>
      <c r="DI502" s="1114"/>
      <c r="DJ502" s="1114"/>
      <c r="DK502" s="1114"/>
      <c r="DL502" s="1114"/>
      <c r="DM502" s="1114"/>
      <c r="DN502" s="1114"/>
      <c r="DO502" s="1114"/>
      <c r="DP502" s="1114"/>
      <c r="DQ502" s="1114"/>
      <c r="DR502" s="1114"/>
      <c r="DS502" s="1114"/>
      <c r="DT502" s="1114"/>
      <c r="DU502" s="1114"/>
      <c r="DV502" s="1115"/>
      <c r="DW502" s="1116"/>
      <c r="DX502" s="1116"/>
      <c r="DY502" s="1116"/>
      <c r="DZ502" s="1116"/>
      <c r="EA502" s="1116"/>
      <c r="EB502" s="1116"/>
      <c r="EC502" s="1116"/>
      <c r="ED502" s="1116"/>
      <c r="EE502" s="1116"/>
      <c r="EF502" s="1116"/>
      <c r="EG502" s="1116"/>
      <c r="EH502" s="1116"/>
      <c r="EI502" s="1116"/>
      <c r="EJ502" s="1116"/>
      <c r="EK502" s="1116"/>
      <c r="EL502" s="1116"/>
      <c r="EM502" s="1116"/>
      <c r="EN502" s="1116"/>
      <c r="EO502" s="1116"/>
      <c r="EP502" s="1116"/>
      <c r="EQ502" s="1116"/>
      <c r="ER502" s="1116"/>
      <c r="ES502" s="1116"/>
    </row>
    <row r="503" spans="1:149" ht="15" customHeight="1">
      <c r="A503" s="1185">
        <v>493</v>
      </c>
      <c r="B503" s="1041"/>
      <c r="C503" s="1050"/>
      <c r="D503" s="1050"/>
      <c r="E503" s="1050"/>
      <c r="F503" s="1049"/>
      <c r="G503" s="1049"/>
      <c r="H503" s="1049"/>
      <c r="I503" s="1049"/>
      <c r="J503" s="1050"/>
      <c r="K503" s="1050"/>
      <c r="L503" s="1043"/>
      <c r="M503" s="1051"/>
      <c r="N503" s="1051"/>
      <c r="O503" s="1052"/>
      <c r="P503" s="1051"/>
      <c r="Q503" s="1051"/>
      <c r="R503" s="1052"/>
      <c r="S503" s="1051"/>
      <c r="T503" s="1051"/>
      <c r="U503" s="1052"/>
      <c r="V503" s="1051"/>
      <c r="W503" s="1051"/>
      <c r="X503" s="1052"/>
      <c r="Y503" s="1053"/>
      <c r="Z503" s="1051"/>
      <c r="AA503" s="1051"/>
      <c r="AB503" s="1052"/>
      <c r="AC503" s="1051"/>
      <c r="AD503" s="1051"/>
      <c r="AE503" s="1052"/>
      <c r="AF503" s="1051"/>
      <c r="AG503" s="1051"/>
      <c r="AH503" s="1051"/>
      <c r="AI503" s="1051"/>
      <c r="AJ503" s="1052"/>
      <c r="AK503" s="1051"/>
      <c r="AL503" s="1051"/>
      <c r="AM503" s="1052"/>
      <c r="AN503" s="1051"/>
      <c r="AO503" s="1051"/>
      <c r="AP503" s="1052"/>
      <c r="AQ503" s="1051"/>
      <c r="AR503" s="1051"/>
      <c r="AS503" s="1052"/>
      <c r="AT503" s="1051"/>
      <c r="AU503" s="1051"/>
      <c r="AV503" s="1052"/>
      <c r="AW503" s="1051"/>
      <c r="AX503" s="1051"/>
      <c r="AY503" s="1053"/>
      <c r="AZ503" s="1051"/>
      <c r="BA503" s="1051"/>
      <c r="BB503" s="1053"/>
      <c r="BC503" s="1051"/>
      <c r="BD503" s="1051"/>
      <c r="BE503" s="1053"/>
      <c r="BF503" s="1051"/>
      <c r="BG503" s="1051"/>
      <c r="BH503" s="1053"/>
      <c r="BI503" s="1052"/>
      <c r="BJ503" s="1052"/>
      <c r="BK503" s="1052"/>
      <c r="BL503" s="1052"/>
      <c r="BM503" s="1052"/>
      <c r="BN503" s="1054"/>
      <c r="BO503" s="1076">
        <f t="shared" si="8"/>
        <v>0</v>
      </c>
      <c r="BP503" s="1051"/>
      <c r="BQ503" s="1052"/>
      <c r="BR503" s="1054"/>
      <c r="BS503" s="1053"/>
      <c r="BT503" s="1051"/>
      <c r="BU503" s="1051"/>
      <c r="BV503" s="1051"/>
      <c r="BW503" s="1052"/>
      <c r="BX503" s="1052"/>
      <c r="BY503" s="1052"/>
      <c r="BZ503" s="1052"/>
      <c r="CA503" s="1052"/>
      <c r="CB503" s="1053"/>
      <c r="CC503" s="1053"/>
      <c r="CD503" s="1053"/>
      <c r="CE503" s="1053"/>
      <c r="CF503" s="1053"/>
      <c r="CG503" s="1053"/>
      <c r="CH503" s="1053"/>
      <c r="CI503" s="1123"/>
      <c r="CJ503" s="1123"/>
      <c r="CK503" s="1123"/>
      <c r="CL503" s="1123"/>
      <c r="CM503" s="1123"/>
      <c r="CN503" s="1123"/>
      <c r="CO503" s="1123"/>
      <c r="CP503" s="1123"/>
      <c r="CQ503" s="1123"/>
      <c r="CR503" s="1123"/>
      <c r="CS503" s="1123"/>
      <c r="CT503" s="1123"/>
      <c r="CU503" s="1123"/>
      <c r="CV503" s="1123"/>
      <c r="CW503" s="1123"/>
      <c r="CX503" s="1123"/>
      <c r="CY503" s="1123"/>
      <c r="CZ503" s="1114"/>
      <c r="DA503" s="1114"/>
      <c r="DB503" s="1114"/>
      <c r="DC503" s="1114"/>
      <c r="DD503" s="1114"/>
      <c r="DE503" s="1114"/>
      <c r="DF503" s="1114"/>
      <c r="DG503" s="1114"/>
      <c r="DH503" s="1114"/>
      <c r="DI503" s="1114"/>
      <c r="DJ503" s="1114"/>
      <c r="DK503" s="1114"/>
      <c r="DL503" s="1114"/>
      <c r="DM503" s="1114"/>
      <c r="DN503" s="1114"/>
      <c r="DO503" s="1114"/>
      <c r="DP503" s="1114"/>
      <c r="DQ503" s="1114"/>
      <c r="DR503" s="1114"/>
      <c r="DS503" s="1114"/>
      <c r="DT503" s="1114"/>
      <c r="DU503" s="1114"/>
      <c r="DV503" s="1115"/>
      <c r="DW503" s="1116"/>
      <c r="DX503" s="1116"/>
      <c r="DY503" s="1116"/>
      <c r="DZ503" s="1116"/>
      <c r="EA503" s="1116"/>
      <c r="EB503" s="1116"/>
      <c r="EC503" s="1116"/>
      <c r="ED503" s="1116"/>
      <c r="EE503" s="1116"/>
      <c r="EF503" s="1116"/>
      <c r="EG503" s="1116"/>
      <c r="EH503" s="1116"/>
      <c r="EI503" s="1116"/>
      <c r="EJ503" s="1116"/>
      <c r="EK503" s="1116"/>
      <c r="EL503" s="1116"/>
      <c r="EM503" s="1116"/>
      <c r="EN503" s="1116"/>
      <c r="EO503" s="1116"/>
      <c r="EP503" s="1116"/>
      <c r="EQ503" s="1116"/>
      <c r="ER503" s="1116"/>
      <c r="ES503" s="1116"/>
    </row>
    <row r="504" spans="1:149" ht="15" customHeight="1">
      <c r="A504" s="1185">
        <v>494</v>
      </c>
      <c r="B504" s="1041"/>
      <c r="C504" s="1050"/>
      <c r="D504" s="1050"/>
      <c r="E504" s="1050"/>
      <c r="F504" s="1049"/>
      <c r="G504" s="1049"/>
      <c r="H504" s="1049"/>
      <c r="I504" s="1049"/>
      <c r="J504" s="1050"/>
      <c r="K504" s="1050"/>
      <c r="L504" s="1043"/>
      <c r="M504" s="1051"/>
      <c r="N504" s="1051"/>
      <c r="O504" s="1052"/>
      <c r="P504" s="1051"/>
      <c r="Q504" s="1051"/>
      <c r="R504" s="1052"/>
      <c r="S504" s="1051"/>
      <c r="T504" s="1051"/>
      <c r="U504" s="1052"/>
      <c r="V504" s="1051"/>
      <c r="W504" s="1051"/>
      <c r="X504" s="1052"/>
      <c r="Y504" s="1053"/>
      <c r="Z504" s="1051"/>
      <c r="AA504" s="1051"/>
      <c r="AB504" s="1052"/>
      <c r="AC504" s="1051"/>
      <c r="AD504" s="1051"/>
      <c r="AE504" s="1052"/>
      <c r="AF504" s="1051"/>
      <c r="AG504" s="1051"/>
      <c r="AH504" s="1051"/>
      <c r="AI504" s="1051"/>
      <c r="AJ504" s="1052"/>
      <c r="AK504" s="1051"/>
      <c r="AL504" s="1051"/>
      <c r="AM504" s="1052"/>
      <c r="AN504" s="1051"/>
      <c r="AO504" s="1051"/>
      <c r="AP504" s="1052"/>
      <c r="AQ504" s="1051"/>
      <c r="AR504" s="1051"/>
      <c r="AS504" s="1052"/>
      <c r="AT504" s="1051"/>
      <c r="AU504" s="1051"/>
      <c r="AV504" s="1052"/>
      <c r="AW504" s="1051"/>
      <c r="AX504" s="1051"/>
      <c r="AY504" s="1053"/>
      <c r="AZ504" s="1051"/>
      <c r="BA504" s="1051"/>
      <c r="BB504" s="1053"/>
      <c r="BC504" s="1051"/>
      <c r="BD504" s="1051"/>
      <c r="BE504" s="1053"/>
      <c r="BF504" s="1051"/>
      <c r="BG504" s="1051"/>
      <c r="BH504" s="1053"/>
      <c r="BI504" s="1052"/>
      <c r="BJ504" s="1052"/>
      <c r="BK504" s="1052"/>
      <c r="BL504" s="1052"/>
      <c r="BM504" s="1052"/>
      <c r="BN504" s="1054"/>
      <c r="BO504" s="1076">
        <f t="shared" si="8"/>
        <v>0</v>
      </c>
      <c r="BP504" s="1051"/>
      <c r="BQ504" s="1052"/>
      <c r="BR504" s="1054"/>
      <c r="BS504" s="1053"/>
      <c r="BT504" s="1051"/>
      <c r="BU504" s="1051"/>
      <c r="BV504" s="1051"/>
      <c r="BW504" s="1052"/>
      <c r="BX504" s="1052"/>
      <c r="BY504" s="1052"/>
      <c r="BZ504" s="1052"/>
      <c r="CA504" s="1052"/>
      <c r="CB504" s="1053"/>
      <c r="CC504" s="1053"/>
      <c r="CD504" s="1053"/>
      <c r="CE504" s="1053"/>
      <c r="CF504" s="1053"/>
      <c r="CG504" s="1053"/>
      <c r="CH504" s="1053"/>
      <c r="CI504" s="1123"/>
      <c r="CJ504" s="1123"/>
      <c r="CK504" s="1123"/>
      <c r="CL504" s="1123"/>
      <c r="CM504" s="1123"/>
      <c r="CN504" s="1123"/>
      <c r="CO504" s="1123"/>
      <c r="CP504" s="1123"/>
      <c r="CQ504" s="1123"/>
      <c r="CR504" s="1123"/>
      <c r="CS504" s="1123"/>
      <c r="CT504" s="1123"/>
      <c r="CU504" s="1123"/>
      <c r="CV504" s="1123"/>
      <c r="CW504" s="1123"/>
      <c r="CX504" s="1123"/>
      <c r="CY504" s="1123"/>
      <c r="CZ504" s="1114"/>
      <c r="DA504" s="1114"/>
      <c r="DB504" s="1114"/>
      <c r="DC504" s="1114"/>
      <c r="DD504" s="1114"/>
      <c r="DE504" s="1114"/>
      <c r="DF504" s="1114"/>
      <c r="DG504" s="1114"/>
      <c r="DH504" s="1114"/>
      <c r="DI504" s="1114"/>
      <c r="DJ504" s="1114"/>
      <c r="DK504" s="1114"/>
      <c r="DL504" s="1114"/>
      <c r="DM504" s="1114"/>
      <c r="DN504" s="1114"/>
      <c r="DO504" s="1114"/>
      <c r="DP504" s="1114"/>
      <c r="DQ504" s="1114"/>
      <c r="DR504" s="1114"/>
      <c r="DS504" s="1114"/>
      <c r="DT504" s="1114"/>
      <c r="DU504" s="1114"/>
      <c r="DV504" s="1115"/>
      <c r="DW504" s="1116"/>
      <c r="DX504" s="1116"/>
      <c r="DY504" s="1116"/>
      <c r="DZ504" s="1116"/>
      <c r="EA504" s="1116"/>
      <c r="EB504" s="1116"/>
      <c r="EC504" s="1116"/>
      <c r="ED504" s="1116"/>
      <c r="EE504" s="1116"/>
      <c r="EF504" s="1116"/>
      <c r="EG504" s="1116"/>
      <c r="EH504" s="1116"/>
      <c r="EI504" s="1116"/>
      <c r="EJ504" s="1116"/>
      <c r="EK504" s="1116"/>
      <c r="EL504" s="1116"/>
      <c r="EM504" s="1116"/>
      <c r="EN504" s="1116"/>
      <c r="EO504" s="1116"/>
      <c r="EP504" s="1116"/>
      <c r="EQ504" s="1116"/>
      <c r="ER504" s="1116"/>
      <c r="ES504" s="1116"/>
    </row>
    <row r="505" spans="1:149" ht="15" customHeight="1">
      <c r="A505" s="1185">
        <v>495</v>
      </c>
      <c r="B505" s="1041"/>
      <c r="C505" s="1050"/>
      <c r="D505" s="1050"/>
      <c r="E505" s="1050"/>
      <c r="F505" s="1049"/>
      <c r="G505" s="1049"/>
      <c r="H505" s="1049"/>
      <c r="I505" s="1049"/>
      <c r="J505" s="1050"/>
      <c r="K505" s="1050"/>
      <c r="L505" s="1043"/>
      <c r="M505" s="1051"/>
      <c r="N505" s="1051"/>
      <c r="O505" s="1052"/>
      <c r="P505" s="1051"/>
      <c r="Q505" s="1051"/>
      <c r="R505" s="1052"/>
      <c r="S505" s="1051"/>
      <c r="T505" s="1051"/>
      <c r="U505" s="1052"/>
      <c r="V505" s="1051"/>
      <c r="W505" s="1051"/>
      <c r="X505" s="1052"/>
      <c r="Y505" s="1053"/>
      <c r="Z505" s="1051"/>
      <c r="AA505" s="1051"/>
      <c r="AB505" s="1052"/>
      <c r="AC505" s="1051"/>
      <c r="AD505" s="1051"/>
      <c r="AE505" s="1052"/>
      <c r="AF505" s="1051"/>
      <c r="AG505" s="1051"/>
      <c r="AH505" s="1051"/>
      <c r="AI505" s="1051"/>
      <c r="AJ505" s="1052"/>
      <c r="AK505" s="1051"/>
      <c r="AL505" s="1051"/>
      <c r="AM505" s="1052"/>
      <c r="AN505" s="1051"/>
      <c r="AO505" s="1051"/>
      <c r="AP505" s="1052"/>
      <c r="AQ505" s="1051"/>
      <c r="AR505" s="1051"/>
      <c r="AS505" s="1052"/>
      <c r="AT505" s="1051"/>
      <c r="AU505" s="1051"/>
      <c r="AV505" s="1052"/>
      <c r="AW505" s="1051"/>
      <c r="AX505" s="1051"/>
      <c r="AY505" s="1053"/>
      <c r="AZ505" s="1051"/>
      <c r="BA505" s="1051"/>
      <c r="BB505" s="1053"/>
      <c r="BC505" s="1051"/>
      <c r="BD505" s="1051"/>
      <c r="BE505" s="1053"/>
      <c r="BF505" s="1051"/>
      <c r="BG505" s="1051"/>
      <c r="BH505" s="1053"/>
      <c r="BI505" s="1052"/>
      <c r="BJ505" s="1052"/>
      <c r="BK505" s="1052"/>
      <c r="BL505" s="1052"/>
      <c r="BM505" s="1052"/>
      <c r="BN505" s="1054"/>
      <c r="BO505" s="1076">
        <f t="shared" si="8"/>
        <v>0</v>
      </c>
      <c r="BP505" s="1051"/>
      <c r="BQ505" s="1052"/>
      <c r="BR505" s="1054"/>
      <c r="BS505" s="1053"/>
      <c r="BT505" s="1051"/>
      <c r="BU505" s="1051"/>
      <c r="BV505" s="1051"/>
      <c r="BW505" s="1052"/>
      <c r="BX505" s="1052"/>
      <c r="BY505" s="1052"/>
      <c r="BZ505" s="1052"/>
      <c r="CA505" s="1052"/>
      <c r="CB505" s="1053"/>
      <c r="CC505" s="1053"/>
      <c r="CD505" s="1053"/>
      <c r="CE505" s="1053"/>
      <c r="CF505" s="1053"/>
      <c r="CG505" s="1053"/>
      <c r="CH505" s="1053"/>
      <c r="CI505" s="1123"/>
      <c r="CJ505" s="1123"/>
      <c r="CK505" s="1123"/>
      <c r="CL505" s="1123"/>
      <c r="CM505" s="1123"/>
      <c r="CN505" s="1123"/>
      <c r="CO505" s="1123"/>
      <c r="CP505" s="1123"/>
      <c r="CQ505" s="1123"/>
      <c r="CR505" s="1123"/>
      <c r="CS505" s="1123"/>
      <c r="CT505" s="1123"/>
      <c r="CU505" s="1123"/>
      <c r="CV505" s="1123"/>
      <c r="CW505" s="1123"/>
      <c r="CX505" s="1123"/>
      <c r="CY505" s="1123"/>
      <c r="CZ505" s="1114"/>
      <c r="DA505" s="1114"/>
      <c r="DB505" s="1114"/>
      <c r="DC505" s="1114"/>
      <c r="DD505" s="1114"/>
      <c r="DE505" s="1114"/>
      <c r="DF505" s="1114"/>
      <c r="DG505" s="1114"/>
      <c r="DH505" s="1114"/>
      <c r="DI505" s="1114"/>
      <c r="DJ505" s="1114"/>
      <c r="DK505" s="1114"/>
      <c r="DL505" s="1114"/>
      <c r="DM505" s="1114"/>
      <c r="DN505" s="1114"/>
      <c r="DO505" s="1114"/>
      <c r="DP505" s="1114"/>
      <c r="DQ505" s="1114"/>
      <c r="DR505" s="1114"/>
      <c r="DS505" s="1114"/>
      <c r="DT505" s="1114"/>
      <c r="DU505" s="1114"/>
      <c r="DV505" s="1115"/>
      <c r="DW505" s="1116"/>
      <c r="DX505" s="1116"/>
      <c r="DY505" s="1116"/>
      <c r="DZ505" s="1116"/>
      <c r="EA505" s="1116"/>
      <c r="EB505" s="1116"/>
      <c r="EC505" s="1116"/>
      <c r="ED505" s="1116"/>
      <c r="EE505" s="1116"/>
      <c r="EF505" s="1116"/>
      <c r="EG505" s="1116"/>
      <c r="EH505" s="1116"/>
      <c r="EI505" s="1116"/>
      <c r="EJ505" s="1116"/>
      <c r="EK505" s="1116"/>
      <c r="EL505" s="1116"/>
      <c r="EM505" s="1116"/>
      <c r="EN505" s="1116"/>
      <c r="EO505" s="1116"/>
      <c r="EP505" s="1116"/>
      <c r="EQ505" s="1116"/>
      <c r="ER505" s="1116"/>
      <c r="ES505" s="1116"/>
    </row>
    <row r="506" spans="1:149" ht="15" customHeight="1">
      <c r="A506" s="1185">
        <v>496</v>
      </c>
      <c r="B506" s="1041"/>
      <c r="C506" s="1050"/>
      <c r="D506" s="1050"/>
      <c r="E506" s="1050"/>
      <c r="F506" s="1049"/>
      <c r="G506" s="1049"/>
      <c r="H506" s="1049"/>
      <c r="I506" s="1049"/>
      <c r="J506" s="1050"/>
      <c r="K506" s="1050"/>
      <c r="L506" s="1043"/>
      <c r="M506" s="1051"/>
      <c r="N506" s="1051"/>
      <c r="O506" s="1052"/>
      <c r="P506" s="1051"/>
      <c r="Q506" s="1051"/>
      <c r="R506" s="1052"/>
      <c r="S506" s="1051"/>
      <c r="T506" s="1051"/>
      <c r="U506" s="1052"/>
      <c r="V506" s="1051"/>
      <c r="W506" s="1051"/>
      <c r="X506" s="1052"/>
      <c r="Y506" s="1053"/>
      <c r="Z506" s="1051"/>
      <c r="AA506" s="1051"/>
      <c r="AB506" s="1052"/>
      <c r="AC506" s="1051"/>
      <c r="AD506" s="1051"/>
      <c r="AE506" s="1052"/>
      <c r="AF506" s="1051"/>
      <c r="AG506" s="1051"/>
      <c r="AH506" s="1051"/>
      <c r="AI506" s="1051"/>
      <c r="AJ506" s="1052"/>
      <c r="AK506" s="1051"/>
      <c r="AL506" s="1051"/>
      <c r="AM506" s="1052"/>
      <c r="AN506" s="1051"/>
      <c r="AO506" s="1051"/>
      <c r="AP506" s="1052"/>
      <c r="AQ506" s="1051"/>
      <c r="AR506" s="1051"/>
      <c r="AS506" s="1052"/>
      <c r="AT506" s="1051"/>
      <c r="AU506" s="1051"/>
      <c r="AV506" s="1052"/>
      <c r="AW506" s="1051"/>
      <c r="AX506" s="1051"/>
      <c r="AY506" s="1053"/>
      <c r="AZ506" s="1051"/>
      <c r="BA506" s="1051"/>
      <c r="BB506" s="1053"/>
      <c r="BC506" s="1051"/>
      <c r="BD506" s="1051"/>
      <c r="BE506" s="1053"/>
      <c r="BF506" s="1051"/>
      <c r="BG506" s="1051"/>
      <c r="BH506" s="1053"/>
      <c r="BI506" s="1052"/>
      <c r="BJ506" s="1052"/>
      <c r="BK506" s="1052"/>
      <c r="BL506" s="1052"/>
      <c r="BM506" s="1052"/>
      <c r="BN506" s="1054"/>
      <c r="BO506" s="1076">
        <f t="shared" si="8"/>
        <v>0</v>
      </c>
      <c r="BP506" s="1051"/>
      <c r="BQ506" s="1052"/>
      <c r="BR506" s="1054"/>
      <c r="BS506" s="1053"/>
      <c r="BT506" s="1051"/>
      <c r="BU506" s="1051"/>
      <c r="BV506" s="1051"/>
      <c r="BW506" s="1052"/>
      <c r="BX506" s="1052"/>
      <c r="BY506" s="1052"/>
      <c r="BZ506" s="1052"/>
      <c r="CA506" s="1052"/>
      <c r="CB506" s="1053"/>
      <c r="CC506" s="1053"/>
      <c r="CD506" s="1053"/>
      <c r="CE506" s="1053"/>
      <c r="CF506" s="1053"/>
      <c r="CG506" s="1053"/>
      <c r="CH506" s="1053"/>
      <c r="CI506" s="1123"/>
      <c r="CJ506" s="1123"/>
      <c r="CK506" s="1123"/>
      <c r="CL506" s="1123"/>
      <c r="CM506" s="1123"/>
      <c r="CN506" s="1123"/>
      <c r="CO506" s="1123"/>
      <c r="CP506" s="1123"/>
      <c r="CQ506" s="1123"/>
      <c r="CR506" s="1123"/>
      <c r="CS506" s="1123"/>
      <c r="CT506" s="1123"/>
      <c r="CU506" s="1123"/>
      <c r="CV506" s="1123"/>
      <c r="CW506" s="1123"/>
      <c r="CX506" s="1123"/>
      <c r="CY506" s="1123"/>
      <c r="CZ506" s="1114"/>
      <c r="DA506" s="1114"/>
      <c r="DB506" s="1114"/>
      <c r="DC506" s="1114"/>
      <c r="DD506" s="1114"/>
      <c r="DE506" s="1114"/>
      <c r="DF506" s="1114"/>
      <c r="DG506" s="1114"/>
      <c r="DH506" s="1114"/>
      <c r="DI506" s="1114"/>
      <c r="DJ506" s="1114"/>
      <c r="DK506" s="1114"/>
      <c r="DL506" s="1114"/>
      <c r="DM506" s="1114"/>
      <c r="DN506" s="1114"/>
      <c r="DO506" s="1114"/>
      <c r="DP506" s="1114"/>
      <c r="DQ506" s="1114"/>
      <c r="DR506" s="1114"/>
      <c r="DS506" s="1114"/>
      <c r="DT506" s="1114"/>
      <c r="DU506" s="1114"/>
      <c r="DV506" s="1115"/>
      <c r="DW506" s="1116"/>
      <c r="DX506" s="1116"/>
      <c r="DY506" s="1116"/>
      <c r="DZ506" s="1116"/>
      <c r="EA506" s="1116"/>
      <c r="EB506" s="1116"/>
      <c r="EC506" s="1116"/>
      <c r="ED506" s="1116"/>
      <c r="EE506" s="1116"/>
      <c r="EF506" s="1116"/>
      <c r="EG506" s="1116"/>
      <c r="EH506" s="1116"/>
      <c r="EI506" s="1116"/>
      <c r="EJ506" s="1116"/>
      <c r="EK506" s="1116"/>
      <c r="EL506" s="1116"/>
      <c r="EM506" s="1116"/>
      <c r="EN506" s="1116"/>
      <c r="EO506" s="1116"/>
      <c r="EP506" s="1116"/>
      <c r="EQ506" s="1116"/>
      <c r="ER506" s="1116"/>
      <c r="ES506" s="1116"/>
    </row>
    <row r="507" spans="1:149" ht="15" customHeight="1">
      <c r="A507" s="1185">
        <v>497</v>
      </c>
      <c r="B507" s="1041"/>
      <c r="C507" s="1050"/>
      <c r="D507" s="1050"/>
      <c r="E507" s="1050"/>
      <c r="F507" s="1049"/>
      <c r="G507" s="1049"/>
      <c r="H507" s="1049"/>
      <c r="I507" s="1049"/>
      <c r="J507" s="1050"/>
      <c r="K507" s="1050"/>
      <c r="L507" s="1043"/>
      <c r="M507" s="1051"/>
      <c r="N507" s="1051"/>
      <c r="O507" s="1052"/>
      <c r="P507" s="1051"/>
      <c r="Q507" s="1051"/>
      <c r="R507" s="1052"/>
      <c r="S507" s="1051"/>
      <c r="T507" s="1051"/>
      <c r="U507" s="1052"/>
      <c r="V507" s="1051"/>
      <c r="W507" s="1051"/>
      <c r="X507" s="1052"/>
      <c r="Y507" s="1053"/>
      <c r="Z507" s="1051"/>
      <c r="AA507" s="1051"/>
      <c r="AB507" s="1052"/>
      <c r="AC507" s="1051"/>
      <c r="AD507" s="1051"/>
      <c r="AE507" s="1052"/>
      <c r="AF507" s="1051"/>
      <c r="AG507" s="1051"/>
      <c r="AH507" s="1051"/>
      <c r="AI507" s="1051"/>
      <c r="AJ507" s="1052"/>
      <c r="AK507" s="1051"/>
      <c r="AL507" s="1051"/>
      <c r="AM507" s="1052"/>
      <c r="AN507" s="1051"/>
      <c r="AO507" s="1051"/>
      <c r="AP507" s="1052"/>
      <c r="AQ507" s="1051"/>
      <c r="AR507" s="1051"/>
      <c r="AS507" s="1052"/>
      <c r="AT507" s="1051"/>
      <c r="AU507" s="1051"/>
      <c r="AV507" s="1052"/>
      <c r="AW507" s="1051"/>
      <c r="AX507" s="1051"/>
      <c r="AY507" s="1053"/>
      <c r="AZ507" s="1051"/>
      <c r="BA507" s="1051"/>
      <c r="BB507" s="1053"/>
      <c r="BC507" s="1051"/>
      <c r="BD507" s="1051"/>
      <c r="BE507" s="1053"/>
      <c r="BF507" s="1051"/>
      <c r="BG507" s="1051"/>
      <c r="BH507" s="1053"/>
      <c r="BI507" s="1052"/>
      <c r="BJ507" s="1052"/>
      <c r="BK507" s="1052"/>
      <c r="BL507" s="1052"/>
      <c r="BM507" s="1052"/>
      <c r="BN507" s="1054"/>
      <c r="BO507" s="1076">
        <f t="shared" si="8"/>
        <v>0</v>
      </c>
      <c r="BP507" s="1051"/>
      <c r="BQ507" s="1052"/>
      <c r="BR507" s="1054"/>
      <c r="BS507" s="1053"/>
      <c r="BT507" s="1051"/>
      <c r="BU507" s="1051"/>
      <c r="BV507" s="1051"/>
      <c r="BW507" s="1052"/>
      <c r="BX507" s="1052"/>
      <c r="BY507" s="1052"/>
      <c r="BZ507" s="1052"/>
      <c r="CA507" s="1052"/>
      <c r="CB507" s="1053"/>
      <c r="CC507" s="1053"/>
      <c r="CD507" s="1053"/>
      <c r="CE507" s="1053"/>
      <c r="CF507" s="1053"/>
      <c r="CG507" s="1053"/>
      <c r="CH507" s="1053"/>
      <c r="CI507" s="1123"/>
      <c r="CJ507" s="1123"/>
      <c r="CK507" s="1123"/>
      <c r="CL507" s="1123"/>
      <c r="CM507" s="1123"/>
      <c r="CN507" s="1123"/>
      <c r="CO507" s="1123"/>
      <c r="CP507" s="1123"/>
      <c r="CQ507" s="1123"/>
      <c r="CR507" s="1123"/>
      <c r="CS507" s="1123"/>
      <c r="CT507" s="1123"/>
      <c r="CU507" s="1123"/>
      <c r="CV507" s="1123"/>
      <c r="CW507" s="1123"/>
      <c r="CX507" s="1123"/>
      <c r="CY507" s="1123"/>
      <c r="CZ507" s="1114"/>
      <c r="DA507" s="1114"/>
      <c r="DB507" s="1114"/>
      <c r="DC507" s="1114"/>
      <c r="DD507" s="1114"/>
      <c r="DE507" s="1114"/>
      <c r="DF507" s="1114"/>
      <c r="DG507" s="1114"/>
      <c r="DH507" s="1114"/>
      <c r="DI507" s="1114"/>
      <c r="DJ507" s="1114"/>
      <c r="DK507" s="1114"/>
      <c r="DL507" s="1114"/>
      <c r="DM507" s="1114"/>
      <c r="DN507" s="1114"/>
      <c r="DO507" s="1114"/>
      <c r="DP507" s="1114"/>
      <c r="DQ507" s="1114"/>
      <c r="DR507" s="1114"/>
      <c r="DS507" s="1114"/>
      <c r="DT507" s="1114"/>
      <c r="DU507" s="1114"/>
      <c r="DV507" s="1115"/>
      <c r="DW507" s="1116"/>
      <c r="DX507" s="1116"/>
      <c r="DY507" s="1116"/>
      <c r="DZ507" s="1116"/>
      <c r="EA507" s="1116"/>
      <c r="EB507" s="1116"/>
      <c r="EC507" s="1116"/>
      <c r="ED507" s="1116"/>
      <c r="EE507" s="1116"/>
      <c r="EF507" s="1116"/>
      <c r="EG507" s="1116"/>
      <c r="EH507" s="1116"/>
      <c r="EI507" s="1116"/>
      <c r="EJ507" s="1116"/>
      <c r="EK507" s="1116"/>
      <c r="EL507" s="1116"/>
      <c r="EM507" s="1116"/>
      <c r="EN507" s="1116"/>
      <c r="EO507" s="1116"/>
      <c r="EP507" s="1116"/>
      <c r="EQ507" s="1116"/>
      <c r="ER507" s="1116"/>
      <c r="ES507" s="1116"/>
    </row>
    <row r="508" spans="1:149" ht="15" customHeight="1">
      <c r="A508" s="1185">
        <v>498</v>
      </c>
      <c r="B508" s="1041"/>
      <c r="C508" s="1050"/>
      <c r="D508" s="1050"/>
      <c r="E508" s="1050"/>
      <c r="F508" s="1049"/>
      <c r="G508" s="1049"/>
      <c r="H508" s="1049"/>
      <c r="I508" s="1049"/>
      <c r="J508" s="1050"/>
      <c r="K508" s="1050"/>
      <c r="L508" s="1043"/>
      <c r="M508" s="1051"/>
      <c r="N508" s="1051"/>
      <c r="O508" s="1052"/>
      <c r="P508" s="1051"/>
      <c r="Q508" s="1051"/>
      <c r="R508" s="1052"/>
      <c r="S508" s="1051"/>
      <c r="T508" s="1051"/>
      <c r="U508" s="1052"/>
      <c r="V508" s="1051"/>
      <c r="W508" s="1051"/>
      <c r="X508" s="1052"/>
      <c r="Y508" s="1053"/>
      <c r="Z508" s="1051"/>
      <c r="AA508" s="1051"/>
      <c r="AB508" s="1052"/>
      <c r="AC508" s="1051"/>
      <c r="AD508" s="1051"/>
      <c r="AE508" s="1052"/>
      <c r="AF508" s="1051"/>
      <c r="AG508" s="1051"/>
      <c r="AH508" s="1051"/>
      <c r="AI508" s="1051"/>
      <c r="AJ508" s="1052"/>
      <c r="AK508" s="1051"/>
      <c r="AL508" s="1051"/>
      <c r="AM508" s="1052"/>
      <c r="AN508" s="1051"/>
      <c r="AO508" s="1051"/>
      <c r="AP508" s="1052"/>
      <c r="AQ508" s="1051"/>
      <c r="AR508" s="1051"/>
      <c r="AS508" s="1052"/>
      <c r="AT508" s="1051"/>
      <c r="AU508" s="1051"/>
      <c r="AV508" s="1052"/>
      <c r="AW508" s="1051"/>
      <c r="AX508" s="1051"/>
      <c r="AY508" s="1053"/>
      <c r="AZ508" s="1051"/>
      <c r="BA508" s="1051"/>
      <c r="BB508" s="1053"/>
      <c r="BC508" s="1051"/>
      <c r="BD508" s="1051"/>
      <c r="BE508" s="1053"/>
      <c r="BF508" s="1051"/>
      <c r="BG508" s="1051"/>
      <c r="BH508" s="1053"/>
      <c r="BI508" s="1052"/>
      <c r="BJ508" s="1052"/>
      <c r="BK508" s="1052"/>
      <c r="BL508" s="1052"/>
      <c r="BM508" s="1052"/>
      <c r="BN508" s="1054"/>
      <c r="BO508" s="1076">
        <f t="shared" si="8"/>
        <v>0</v>
      </c>
      <c r="BP508" s="1051"/>
      <c r="BQ508" s="1052"/>
      <c r="BR508" s="1054"/>
      <c r="BS508" s="1053"/>
      <c r="BT508" s="1051"/>
      <c r="BU508" s="1051"/>
      <c r="BV508" s="1051"/>
      <c r="BW508" s="1052"/>
      <c r="BX508" s="1052"/>
      <c r="BY508" s="1052"/>
      <c r="BZ508" s="1052"/>
      <c r="CA508" s="1052"/>
      <c r="CB508" s="1053"/>
      <c r="CC508" s="1053"/>
      <c r="CD508" s="1053"/>
      <c r="CE508" s="1053"/>
      <c r="CF508" s="1053"/>
      <c r="CG508" s="1053"/>
      <c r="CH508" s="1053"/>
      <c r="CI508" s="1123"/>
      <c r="CJ508" s="1123"/>
      <c r="CK508" s="1123"/>
      <c r="CL508" s="1123"/>
      <c r="CM508" s="1123"/>
      <c r="CN508" s="1123"/>
      <c r="CO508" s="1123"/>
      <c r="CP508" s="1123"/>
      <c r="CQ508" s="1123"/>
      <c r="CR508" s="1123"/>
      <c r="CS508" s="1123"/>
      <c r="CT508" s="1123"/>
      <c r="CU508" s="1123"/>
      <c r="CV508" s="1123"/>
      <c r="CW508" s="1123"/>
      <c r="CX508" s="1123"/>
      <c r="CY508" s="1123"/>
      <c r="CZ508" s="1114"/>
      <c r="DA508" s="1114"/>
      <c r="DB508" s="1114"/>
      <c r="DC508" s="1114"/>
      <c r="DD508" s="1114"/>
      <c r="DE508" s="1114"/>
      <c r="DF508" s="1114"/>
      <c r="DG508" s="1114"/>
      <c r="DH508" s="1114"/>
      <c r="DI508" s="1114"/>
      <c r="DJ508" s="1114"/>
      <c r="DK508" s="1114"/>
      <c r="DL508" s="1114"/>
      <c r="DM508" s="1114"/>
      <c r="DN508" s="1114"/>
      <c r="DO508" s="1114"/>
      <c r="DP508" s="1114"/>
      <c r="DQ508" s="1114"/>
      <c r="DR508" s="1114"/>
      <c r="DS508" s="1114"/>
      <c r="DT508" s="1114"/>
      <c r="DU508" s="1114"/>
      <c r="DV508" s="1115"/>
      <c r="DW508" s="1116"/>
      <c r="DX508" s="1116"/>
      <c r="DY508" s="1116"/>
      <c r="DZ508" s="1116"/>
      <c r="EA508" s="1116"/>
      <c r="EB508" s="1116"/>
      <c r="EC508" s="1116"/>
      <c r="ED508" s="1116"/>
      <c r="EE508" s="1116"/>
      <c r="EF508" s="1116"/>
      <c r="EG508" s="1116"/>
      <c r="EH508" s="1116"/>
      <c r="EI508" s="1116"/>
      <c r="EJ508" s="1116"/>
      <c r="EK508" s="1116"/>
      <c r="EL508" s="1116"/>
      <c r="EM508" s="1116"/>
      <c r="EN508" s="1116"/>
      <c r="EO508" s="1116"/>
      <c r="EP508" s="1116"/>
      <c r="EQ508" s="1116"/>
      <c r="ER508" s="1116"/>
      <c r="ES508" s="1116"/>
    </row>
    <row r="509" spans="1:149" ht="15" customHeight="1">
      <c r="A509" s="1185">
        <v>499</v>
      </c>
      <c r="B509" s="1041"/>
      <c r="C509" s="1050"/>
      <c r="D509" s="1050"/>
      <c r="E509" s="1050"/>
      <c r="F509" s="1049"/>
      <c r="G509" s="1049"/>
      <c r="H509" s="1049"/>
      <c r="I509" s="1049"/>
      <c r="J509" s="1050"/>
      <c r="K509" s="1050"/>
      <c r="L509" s="1043"/>
      <c r="M509" s="1051"/>
      <c r="N509" s="1051"/>
      <c r="O509" s="1052"/>
      <c r="P509" s="1051"/>
      <c r="Q509" s="1051"/>
      <c r="R509" s="1052"/>
      <c r="S509" s="1051"/>
      <c r="T509" s="1051"/>
      <c r="U509" s="1052"/>
      <c r="V509" s="1051"/>
      <c r="W509" s="1051"/>
      <c r="X509" s="1052"/>
      <c r="Y509" s="1053"/>
      <c r="Z509" s="1051"/>
      <c r="AA509" s="1051"/>
      <c r="AB509" s="1052"/>
      <c r="AC509" s="1051"/>
      <c r="AD509" s="1051"/>
      <c r="AE509" s="1052"/>
      <c r="AF509" s="1051"/>
      <c r="AG509" s="1051"/>
      <c r="AH509" s="1051"/>
      <c r="AI509" s="1051"/>
      <c r="AJ509" s="1052"/>
      <c r="AK509" s="1051"/>
      <c r="AL509" s="1051"/>
      <c r="AM509" s="1052"/>
      <c r="AN509" s="1051"/>
      <c r="AO509" s="1051"/>
      <c r="AP509" s="1052"/>
      <c r="AQ509" s="1051"/>
      <c r="AR509" s="1051"/>
      <c r="AS509" s="1052"/>
      <c r="AT509" s="1051"/>
      <c r="AU509" s="1051"/>
      <c r="AV509" s="1052"/>
      <c r="AW509" s="1051"/>
      <c r="AX509" s="1051"/>
      <c r="AY509" s="1053"/>
      <c r="AZ509" s="1051"/>
      <c r="BA509" s="1051"/>
      <c r="BB509" s="1053"/>
      <c r="BC509" s="1051"/>
      <c r="BD509" s="1051"/>
      <c r="BE509" s="1053"/>
      <c r="BF509" s="1051"/>
      <c r="BG509" s="1051"/>
      <c r="BH509" s="1053"/>
      <c r="BI509" s="1052"/>
      <c r="BJ509" s="1052"/>
      <c r="BK509" s="1052"/>
      <c r="BL509" s="1052"/>
      <c r="BM509" s="1052"/>
      <c r="BN509" s="1054"/>
      <c r="BO509" s="1076">
        <f t="shared" si="8"/>
        <v>0</v>
      </c>
      <c r="BP509" s="1051"/>
      <c r="BQ509" s="1052"/>
      <c r="BR509" s="1054"/>
      <c r="BS509" s="1053"/>
      <c r="BT509" s="1051"/>
      <c r="BU509" s="1051"/>
      <c r="BV509" s="1051"/>
      <c r="BW509" s="1052"/>
      <c r="BX509" s="1052"/>
      <c r="BY509" s="1052"/>
      <c r="BZ509" s="1052"/>
      <c r="CA509" s="1052"/>
      <c r="CB509" s="1053"/>
      <c r="CC509" s="1053"/>
      <c r="CD509" s="1053"/>
      <c r="CE509" s="1053"/>
      <c r="CF509" s="1053"/>
      <c r="CG509" s="1053"/>
      <c r="CH509" s="1053"/>
      <c r="CI509" s="1123"/>
      <c r="CJ509" s="1123"/>
      <c r="CK509" s="1123"/>
      <c r="CL509" s="1123"/>
      <c r="CM509" s="1123"/>
      <c r="CN509" s="1123"/>
      <c r="CO509" s="1123"/>
      <c r="CP509" s="1123"/>
      <c r="CQ509" s="1123"/>
      <c r="CR509" s="1123"/>
      <c r="CS509" s="1123"/>
      <c r="CT509" s="1123"/>
      <c r="CU509" s="1123"/>
      <c r="CV509" s="1123"/>
      <c r="CW509" s="1123"/>
      <c r="CX509" s="1123"/>
      <c r="CY509" s="1123"/>
      <c r="CZ509" s="1114"/>
      <c r="DA509" s="1114"/>
      <c r="DB509" s="1114"/>
      <c r="DC509" s="1114"/>
      <c r="DD509" s="1114"/>
      <c r="DE509" s="1114"/>
      <c r="DF509" s="1114"/>
      <c r="DG509" s="1114"/>
      <c r="DH509" s="1114"/>
      <c r="DI509" s="1114"/>
      <c r="DJ509" s="1114"/>
      <c r="DK509" s="1114"/>
      <c r="DL509" s="1114"/>
      <c r="DM509" s="1114"/>
      <c r="DN509" s="1114"/>
      <c r="DO509" s="1114"/>
      <c r="DP509" s="1114"/>
      <c r="DQ509" s="1114"/>
      <c r="DR509" s="1114"/>
      <c r="DS509" s="1114"/>
      <c r="DT509" s="1114"/>
      <c r="DU509" s="1114"/>
      <c r="DV509" s="1115"/>
      <c r="DW509" s="1116"/>
      <c r="DX509" s="1116"/>
      <c r="DY509" s="1116"/>
      <c r="DZ509" s="1116"/>
      <c r="EA509" s="1116"/>
      <c r="EB509" s="1116"/>
      <c r="EC509" s="1116"/>
      <c r="ED509" s="1116"/>
      <c r="EE509" s="1116"/>
      <c r="EF509" s="1116"/>
      <c r="EG509" s="1116"/>
      <c r="EH509" s="1116"/>
      <c r="EI509" s="1116"/>
      <c r="EJ509" s="1116"/>
      <c r="EK509" s="1116"/>
      <c r="EL509" s="1116"/>
      <c r="EM509" s="1116"/>
      <c r="EN509" s="1116"/>
      <c r="EO509" s="1116"/>
      <c r="EP509" s="1116"/>
      <c r="EQ509" s="1116"/>
      <c r="ER509" s="1116"/>
      <c r="ES509" s="1116"/>
    </row>
    <row r="510" spans="1:149" ht="15" customHeight="1">
      <c r="A510" s="1185">
        <v>500</v>
      </c>
      <c r="B510" s="1041"/>
      <c r="C510" s="1050"/>
      <c r="D510" s="1050"/>
      <c r="E510" s="1050"/>
      <c r="F510" s="1049"/>
      <c r="G510" s="1049"/>
      <c r="H510" s="1049"/>
      <c r="I510" s="1049"/>
      <c r="J510" s="1050"/>
      <c r="K510" s="1050"/>
      <c r="L510" s="1043"/>
      <c r="M510" s="1051"/>
      <c r="N510" s="1051"/>
      <c r="O510" s="1052"/>
      <c r="P510" s="1051"/>
      <c r="Q510" s="1051"/>
      <c r="R510" s="1052"/>
      <c r="S510" s="1051"/>
      <c r="T510" s="1051"/>
      <c r="U510" s="1052"/>
      <c r="V510" s="1051"/>
      <c r="W510" s="1051"/>
      <c r="X510" s="1052"/>
      <c r="Y510" s="1053"/>
      <c r="Z510" s="1051"/>
      <c r="AA510" s="1051"/>
      <c r="AB510" s="1052"/>
      <c r="AC510" s="1051"/>
      <c r="AD510" s="1051"/>
      <c r="AE510" s="1052"/>
      <c r="AF510" s="1051"/>
      <c r="AG510" s="1051"/>
      <c r="AH510" s="1051"/>
      <c r="AI510" s="1051"/>
      <c r="AJ510" s="1052"/>
      <c r="AK510" s="1051"/>
      <c r="AL510" s="1051"/>
      <c r="AM510" s="1052"/>
      <c r="AN510" s="1051"/>
      <c r="AO510" s="1051"/>
      <c r="AP510" s="1052"/>
      <c r="AQ510" s="1051"/>
      <c r="AR510" s="1051"/>
      <c r="AS510" s="1052"/>
      <c r="AT510" s="1051"/>
      <c r="AU510" s="1051"/>
      <c r="AV510" s="1052"/>
      <c r="AW510" s="1051"/>
      <c r="AX510" s="1051"/>
      <c r="AY510" s="1053"/>
      <c r="AZ510" s="1051"/>
      <c r="BA510" s="1051"/>
      <c r="BB510" s="1053"/>
      <c r="BC510" s="1051"/>
      <c r="BD510" s="1051"/>
      <c r="BE510" s="1053"/>
      <c r="BF510" s="1051"/>
      <c r="BG510" s="1051"/>
      <c r="BH510" s="1053"/>
      <c r="BI510" s="1052"/>
      <c r="BJ510" s="1052"/>
      <c r="BK510" s="1052"/>
      <c r="BL510" s="1052"/>
      <c r="BM510" s="1052"/>
      <c r="BN510" s="1054"/>
      <c r="BO510" s="1076">
        <f t="shared" si="8"/>
        <v>0</v>
      </c>
      <c r="BP510" s="1051"/>
      <c r="BQ510" s="1052"/>
      <c r="BR510" s="1054"/>
      <c r="BS510" s="1053"/>
      <c r="BT510" s="1051"/>
      <c r="BU510" s="1051"/>
      <c r="BV510" s="1051"/>
      <c r="BW510" s="1052"/>
      <c r="BX510" s="1052"/>
      <c r="BY510" s="1052"/>
      <c r="BZ510" s="1052"/>
      <c r="CA510" s="1052"/>
      <c r="CB510" s="1053"/>
      <c r="CC510" s="1053"/>
      <c r="CD510" s="1053"/>
      <c r="CE510" s="1053"/>
      <c r="CF510" s="1053"/>
      <c r="CG510" s="1053"/>
      <c r="CH510" s="1053"/>
      <c r="CI510" s="1123"/>
      <c r="CJ510" s="1123"/>
      <c r="CK510" s="1123"/>
      <c r="CL510" s="1123"/>
      <c r="CM510" s="1123"/>
      <c r="CN510" s="1123"/>
      <c r="CO510" s="1123"/>
      <c r="CP510" s="1123"/>
      <c r="CQ510" s="1123"/>
      <c r="CR510" s="1123"/>
      <c r="CS510" s="1123"/>
      <c r="CT510" s="1123"/>
      <c r="CU510" s="1123"/>
      <c r="CV510" s="1123"/>
      <c r="CW510" s="1123"/>
      <c r="CX510" s="1123"/>
      <c r="CY510" s="1123"/>
      <c r="CZ510" s="1114"/>
      <c r="DA510" s="1114"/>
      <c r="DB510" s="1114"/>
      <c r="DC510" s="1114"/>
      <c r="DD510" s="1114"/>
      <c r="DE510" s="1114"/>
      <c r="DF510" s="1114"/>
      <c r="DG510" s="1114"/>
      <c r="DH510" s="1114"/>
      <c r="DI510" s="1114"/>
      <c r="DJ510" s="1114"/>
      <c r="DK510" s="1114"/>
      <c r="DL510" s="1114"/>
      <c r="DM510" s="1114"/>
      <c r="DN510" s="1114"/>
      <c r="DO510" s="1114"/>
      <c r="DP510" s="1114"/>
      <c r="DQ510" s="1114"/>
      <c r="DR510" s="1114"/>
      <c r="DS510" s="1114"/>
      <c r="DT510" s="1114"/>
      <c r="DU510" s="1114"/>
      <c r="DV510" s="1115"/>
      <c r="DW510" s="1116"/>
      <c r="DX510" s="1116"/>
      <c r="DY510" s="1116"/>
      <c r="DZ510" s="1116"/>
      <c r="EA510" s="1116"/>
      <c r="EB510" s="1116"/>
      <c r="EC510" s="1116"/>
      <c r="ED510" s="1116"/>
      <c r="EE510" s="1116"/>
      <c r="EF510" s="1116"/>
      <c r="EG510" s="1116"/>
      <c r="EH510" s="1116"/>
      <c r="EI510" s="1116"/>
      <c r="EJ510" s="1116"/>
      <c r="EK510" s="1116"/>
      <c r="EL510" s="1116"/>
      <c r="EM510" s="1116"/>
      <c r="EN510" s="1116"/>
      <c r="EO510" s="1116"/>
      <c r="EP510" s="1116"/>
      <c r="EQ510" s="1116"/>
      <c r="ER510" s="1116"/>
      <c r="ES510" s="1116"/>
    </row>
    <row r="511" spans="1:149" ht="15" customHeight="1">
      <c r="A511" s="1185">
        <v>501</v>
      </c>
      <c r="B511" s="1041"/>
      <c r="C511" s="1050"/>
      <c r="D511" s="1050"/>
      <c r="E511" s="1050"/>
      <c r="F511" s="1049"/>
      <c r="G511" s="1049"/>
      <c r="H511" s="1049"/>
      <c r="I511" s="1049"/>
      <c r="J511" s="1050"/>
      <c r="K511" s="1050"/>
      <c r="L511" s="1043"/>
      <c r="M511" s="1051"/>
      <c r="N511" s="1051"/>
      <c r="O511" s="1052"/>
      <c r="P511" s="1051"/>
      <c r="Q511" s="1051"/>
      <c r="R511" s="1052"/>
      <c r="S511" s="1051"/>
      <c r="T511" s="1051"/>
      <c r="U511" s="1052"/>
      <c r="V511" s="1051"/>
      <c r="W511" s="1051"/>
      <c r="X511" s="1052"/>
      <c r="Y511" s="1053"/>
      <c r="Z511" s="1051"/>
      <c r="AA511" s="1051"/>
      <c r="AB511" s="1052"/>
      <c r="AC511" s="1051"/>
      <c r="AD511" s="1051"/>
      <c r="AE511" s="1052"/>
      <c r="AF511" s="1051"/>
      <c r="AG511" s="1051"/>
      <c r="AH511" s="1051"/>
      <c r="AI511" s="1051"/>
      <c r="AJ511" s="1052"/>
      <c r="AK511" s="1051"/>
      <c r="AL511" s="1051"/>
      <c r="AM511" s="1052"/>
      <c r="AN511" s="1051"/>
      <c r="AO511" s="1051"/>
      <c r="AP511" s="1052"/>
      <c r="AQ511" s="1051"/>
      <c r="AR511" s="1051"/>
      <c r="AS511" s="1052"/>
      <c r="AT511" s="1051"/>
      <c r="AU511" s="1051"/>
      <c r="AV511" s="1052"/>
      <c r="AW511" s="1051"/>
      <c r="AX511" s="1051"/>
      <c r="AY511" s="1053"/>
      <c r="AZ511" s="1051"/>
      <c r="BA511" s="1051"/>
      <c r="BB511" s="1053"/>
      <c r="BC511" s="1051"/>
      <c r="BD511" s="1051"/>
      <c r="BE511" s="1053"/>
      <c r="BF511" s="1051"/>
      <c r="BG511" s="1051"/>
      <c r="BH511" s="1053"/>
      <c r="BI511" s="1052"/>
      <c r="BJ511" s="1052"/>
      <c r="BK511" s="1052"/>
      <c r="BL511" s="1052"/>
      <c r="BM511" s="1052"/>
      <c r="BN511" s="1054"/>
      <c r="BO511" s="1076">
        <f t="shared" si="8"/>
        <v>0</v>
      </c>
      <c r="BP511" s="1051"/>
      <c r="BQ511" s="1052"/>
      <c r="BR511" s="1054"/>
      <c r="BS511" s="1053"/>
      <c r="BT511" s="1051"/>
      <c r="BU511" s="1051"/>
      <c r="BV511" s="1051"/>
      <c r="BW511" s="1052"/>
      <c r="BX511" s="1052"/>
      <c r="BY511" s="1052"/>
      <c r="BZ511" s="1052"/>
      <c r="CA511" s="1052"/>
      <c r="CB511" s="1053"/>
      <c r="CC511" s="1053"/>
      <c r="CD511" s="1053"/>
      <c r="CE511" s="1053"/>
      <c r="CF511" s="1053"/>
      <c r="CG511" s="1053"/>
      <c r="CH511" s="1053"/>
      <c r="CI511" s="1123"/>
      <c r="CJ511" s="1123"/>
      <c r="CK511" s="1123"/>
      <c r="CL511" s="1123"/>
      <c r="CM511" s="1123"/>
      <c r="CN511" s="1123"/>
      <c r="CO511" s="1123"/>
      <c r="CP511" s="1123"/>
      <c r="CQ511" s="1123"/>
      <c r="CR511" s="1123"/>
      <c r="CS511" s="1123"/>
      <c r="CT511" s="1123"/>
      <c r="CU511" s="1123"/>
      <c r="CV511" s="1123"/>
      <c r="CW511" s="1123"/>
      <c r="CX511" s="1123"/>
      <c r="CY511" s="1123"/>
      <c r="CZ511" s="1114"/>
      <c r="DA511" s="1114"/>
      <c r="DB511" s="1114"/>
      <c r="DC511" s="1114"/>
      <c r="DD511" s="1114"/>
      <c r="DE511" s="1114"/>
      <c r="DF511" s="1114"/>
      <c r="DG511" s="1114"/>
      <c r="DH511" s="1114"/>
      <c r="DI511" s="1114"/>
      <c r="DJ511" s="1114"/>
      <c r="DK511" s="1114"/>
      <c r="DL511" s="1114"/>
      <c r="DM511" s="1114"/>
      <c r="DN511" s="1114"/>
      <c r="DO511" s="1114"/>
      <c r="DP511" s="1114"/>
      <c r="DQ511" s="1114"/>
      <c r="DR511" s="1114"/>
      <c r="DS511" s="1114"/>
      <c r="DT511" s="1114"/>
      <c r="DU511" s="1114"/>
      <c r="DV511" s="1115"/>
      <c r="DW511" s="1116"/>
      <c r="DX511" s="1116"/>
      <c r="DY511" s="1116"/>
      <c r="DZ511" s="1116"/>
      <c r="EA511" s="1116"/>
      <c r="EB511" s="1116"/>
      <c r="EC511" s="1116"/>
      <c r="ED511" s="1116"/>
      <c r="EE511" s="1116"/>
      <c r="EF511" s="1116"/>
      <c r="EG511" s="1116"/>
      <c r="EH511" s="1116"/>
      <c r="EI511" s="1116"/>
      <c r="EJ511" s="1116"/>
      <c r="EK511" s="1116"/>
      <c r="EL511" s="1116"/>
      <c r="EM511" s="1116"/>
      <c r="EN511" s="1116"/>
      <c r="EO511" s="1116"/>
      <c r="EP511" s="1116"/>
      <c r="EQ511" s="1116"/>
      <c r="ER511" s="1116"/>
      <c r="ES511" s="1116"/>
    </row>
    <row r="512" spans="1:149" ht="15" customHeight="1">
      <c r="A512" s="1185">
        <v>502</v>
      </c>
      <c r="B512" s="1041"/>
      <c r="C512" s="1050"/>
      <c r="D512" s="1050"/>
      <c r="E512" s="1050"/>
      <c r="F512" s="1049"/>
      <c r="G512" s="1049"/>
      <c r="H512" s="1049"/>
      <c r="I512" s="1049"/>
      <c r="J512" s="1050"/>
      <c r="K512" s="1050"/>
      <c r="L512" s="1043"/>
      <c r="M512" s="1051"/>
      <c r="N512" s="1051"/>
      <c r="O512" s="1052"/>
      <c r="P512" s="1051"/>
      <c r="Q512" s="1051"/>
      <c r="R512" s="1052"/>
      <c r="S512" s="1051"/>
      <c r="T512" s="1051"/>
      <c r="U512" s="1052"/>
      <c r="V512" s="1051"/>
      <c r="W512" s="1051"/>
      <c r="X512" s="1052"/>
      <c r="Y512" s="1053"/>
      <c r="Z512" s="1051"/>
      <c r="AA512" s="1051"/>
      <c r="AB512" s="1052"/>
      <c r="AC512" s="1051"/>
      <c r="AD512" s="1051"/>
      <c r="AE512" s="1052"/>
      <c r="AF512" s="1051"/>
      <c r="AG512" s="1051"/>
      <c r="AH512" s="1051"/>
      <c r="AI512" s="1051"/>
      <c r="AJ512" s="1052"/>
      <c r="AK512" s="1051"/>
      <c r="AL512" s="1051"/>
      <c r="AM512" s="1052"/>
      <c r="AN512" s="1051"/>
      <c r="AO512" s="1051"/>
      <c r="AP512" s="1052"/>
      <c r="AQ512" s="1051"/>
      <c r="AR512" s="1051"/>
      <c r="AS512" s="1052"/>
      <c r="AT512" s="1051"/>
      <c r="AU512" s="1051"/>
      <c r="AV512" s="1052"/>
      <c r="AW512" s="1051"/>
      <c r="AX512" s="1051"/>
      <c r="AY512" s="1053"/>
      <c r="AZ512" s="1051"/>
      <c r="BA512" s="1051"/>
      <c r="BB512" s="1053"/>
      <c r="BC512" s="1051"/>
      <c r="BD512" s="1051"/>
      <c r="BE512" s="1053"/>
      <c r="BF512" s="1051"/>
      <c r="BG512" s="1051"/>
      <c r="BH512" s="1053"/>
      <c r="BI512" s="1052"/>
      <c r="BJ512" s="1052"/>
      <c r="BK512" s="1052"/>
      <c r="BL512" s="1052"/>
      <c r="BM512" s="1052"/>
      <c r="BN512" s="1054"/>
      <c r="BO512" s="1076">
        <f t="shared" si="8"/>
        <v>0</v>
      </c>
      <c r="BP512" s="1051"/>
      <c r="BQ512" s="1052"/>
      <c r="BR512" s="1054"/>
      <c r="BS512" s="1053"/>
      <c r="BT512" s="1051"/>
      <c r="BU512" s="1051"/>
      <c r="BV512" s="1051"/>
      <c r="BW512" s="1052"/>
      <c r="BX512" s="1052"/>
      <c r="BY512" s="1052"/>
      <c r="BZ512" s="1052"/>
      <c r="CA512" s="1052"/>
      <c r="CB512" s="1053"/>
      <c r="CC512" s="1053"/>
      <c r="CD512" s="1053"/>
      <c r="CE512" s="1053"/>
      <c r="CF512" s="1053"/>
      <c r="CG512" s="1053"/>
      <c r="CH512" s="1053"/>
      <c r="CI512" s="1123"/>
      <c r="CJ512" s="1123"/>
      <c r="CK512" s="1123"/>
      <c r="CL512" s="1123"/>
      <c r="CM512" s="1123"/>
      <c r="CN512" s="1123"/>
      <c r="CO512" s="1123"/>
      <c r="CP512" s="1123"/>
      <c r="CQ512" s="1123"/>
      <c r="CR512" s="1123"/>
      <c r="CS512" s="1123"/>
      <c r="CT512" s="1123"/>
      <c r="CU512" s="1123"/>
      <c r="CV512" s="1123"/>
      <c r="CW512" s="1123"/>
      <c r="CX512" s="1123"/>
      <c r="CY512" s="1123"/>
      <c r="CZ512" s="1114"/>
      <c r="DA512" s="1114"/>
      <c r="DB512" s="1114"/>
      <c r="DC512" s="1114"/>
      <c r="DD512" s="1114"/>
      <c r="DE512" s="1114"/>
      <c r="DF512" s="1114"/>
      <c r="DG512" s="1114"/>
      <c r="DH512" s="1114"/>
      <c r="DI512" s="1114"/>
      <c r="DJ512" s="1114"/>
      <c r="DK512" s="1114"/>
      <c r="DL512" s="1114"/>
      <c r="DM512" s="1114"/>
      <c r="DN512" s="1114"/>
      <c r="DO512" s="1114"/>
      <c r="DP512" s="1114"/>
      <c r="DQ512" s="1114"/>
      <c r="DR512" s="1114"/>
      <c r="DS512" s="1114"/>
      <c r="DT512" s="1114"/>
      <c r="DU512" s="1114"/>
      <c r="DV512" s="1115"/>
      <c r="DW512" s="1116"/>
      <c r="DX512" s="1116"/>
      <c r="DY512" s="1116"/>
      <c r="DZ512" s="1116"/>
      <c r="EA512" s="1116"/>
      <c r="EB512" s="1116"/>
      <c r="EC512" s="1116"/>
      <c r="ED512" s="1116"/>
      <c r="EE512" s="1116"/>
      <c r="EF512" s="1116"/>
      <c r="EG512" s="1116"/>
      <c r="EH512" s="1116"/>
      <c r="EI512" s="1116"/>
      <c r="EJ512" s="1116"/>
      <c r="EK512" s="1116"/>
      <c r="EL512" s="1116"/>
      <c r="EM512" s="1116"/>
      <c r="EN512" s="1116"/>
      <c r="EO512" s="1116"/>
      <c r="EP512" s="1116"/>
      <c r="EQ512" s="1116"/>
      <c r="ER512" s="1116"/>
      <c r="ES512" s="1116"/>
    </row>
    <row r="513" spans="1:149" ht="15" customHeight="1">
      <c r="A513" s="1185">
        <v>503</v>
      </c>
      <c r="B513" s="1041"/>
      <c r="C513" s="1050"/>
      <c r="D513" s="1050"/>
      <c r="E513" s="1050"/>
      <c r="F513" s="1049"/>
      <c r="G513" s="1049"/>
      <c r="H513" s="1049"/>
      <c r="I513" s="1049"/>
      <c r="J513" s="1050"/>
      <c r="K513" s="1050"/>
      <c r="L513" s="1043"/>
      <c r="M513" s="1051"/>
      <c r="N513" s="1051"/>
      <c r="O513" s="1052"/>
      <c r="P513" s="1051"/>
      <c r="Q513" s="1051"/>
      <c r="R513" s="1052"/>
      <c r="S513" s="1051"/>
      <c r="T513" s="1051"/>
      <c r="U513" s="1052"/>
      <c r="V513" s="1051"/>
      <c r="W513" s="1051"/>
      <c r="X513" s="1052"/>
      <c r="Y513" s="1053"/>
      <c r="Z513" s="1051"/>
      <c r="AA513" s="1051"/>
      <c r="AB513" s="1052"/>
      <c r="AC513" s="1051"/>
      <c r="AD513" s="1051"/>
      <c r="AE513" s="1052"/>
      <c r="AF513" s="1051"/>
      <c r="AG513" s="1051"/>
      <c r="AH513" s="1051"/>
      <c r="AI513" s="1051"/>
      <c r="AJ513" s="1052"/>
      <c r="AK513" s="1051"/>
      <c r="AL513" s="1051"/>
      <c r="AM513" s="1052"/>
      <c r="AN513" s="1051"/>
      <c r="AO513" s="1051"/>
      <c r="AP513" s="1052"/>
      <c r="AQ513" s="1051"/>
      <c r="AR513" s="1051"/>
      <c r="AS513" s="1052"/>
      <c r="AT513" s="1051"/>
      <c r="AU513" s="1051"/>
      <c r="AV513" s="1052"/>
      <c r="AW513" s="1051"/>
      <c r="AX513" s="1051"/>
      <c r="AY513" s="1053"/>
      <c r="AZ513" s="1051"/>
      <c r="BA513" s="1051"/>
      <c r="BB513" s="1053"/>
      <c r="BC513" s="1051"/>
      <c r="BD513" s="1051"/>
      <c r="BE513" s="1053"/>
      <c r="BF513" s="1051"/>
      <c r="BG513" s="1051"/>
      <c r="BH513" s="1053"/>
      <c r="BI513" s="1052"/>
      <c r="BJ513" s="1052"/>
      <c r="BK513" s="1052"/>
      <c r="BL513" s="1052"/>
      <c r="BM513" s="1052"/>
      <c r="BN513" s="1054"/>
      <c r="BO513" s="1076">
        <f t="shared" si="8"/>
        <v>0</v>
      </c>
      <c r="BP513" s="1051"/>
      <c r="BQ513" s="1052"/>
      <c r="BR513" s="1054"/>
      <c r="BS513" s="1053"/>
      <c r="BT513" s="1051"/>
      <c r="BU513" s="1051"/>
      <c r="BV513" s="1051"/>
      <c r="BW513" s="1052"/>
      <c r="BX513" s="1052"/>
      <c r="BY513" s="1052"/>
      <c r="BZ513" s="1052"/>
      <c r="CA513" s="1052"/>
      <c r="CB513" s="1053"/>
      <c r="CC513" s="1053"/>
      <c r="CD513" s="1053"/>
      <c r="CE513" s="1053"/>
      <c r="CF513" s="1053"/>
      <c r="CG513" s="1053"/>
      <c r="CH513" s="1053"/>
      <c r="CI513" s="1123"/>
      <c r="CJ513" s="1123"/>
      <c r="CK513" s="1123"/>
      <c r="CL513" s="1123"/>
      <c r="CM513" s="1123"/>
      <c r="CN513" s="1123"/>
      <c r="CO513" s="1123"/>
      <c r="CP513" s="1123"/>
      <c r="CQ513" s="1123"/>
      <c r="CR513" s="1123"/>
      <c r="CS513" s="1123"/>
      <c r="CT513" s="1123"/>
      <c r="CU513" s="1123"/>
      <c r="CV513" s="1123"/>
      <c r="CW513" s="1123"/>
      <c r="CX513" s="1123"/>
      <c r="CY513" s="1123"/>
      <c r="CZ513" s="1114"/>
      <c r="DA513" s="1114"/>
      <c r="DB513" s="1114"/>
      <c r="DC513" s="1114"/>
      <c r="DD513" s="1114"/>
      <c r="DE513" s="1114"/>
      <c r="DF513" s="1114"/>
      <c r="DG513" s="1114"/>
      <c r="DH513" s="1114"/>
      <c r="DI513" s="1114"/>
      <c r="DJ513" s="1114"/>
      <c r="DK513" s="1114"/>
      <c r="DL513" s="1114"/>
      <c r="DM513" s="1114"/>
      <c r="DN513" s="1114"/>
      <c r="DO513" s="1114"/>
      <c r="DP513" s="1114"/>
      <c r="DQ513" s="1114"/>
      <c r="DR513" s="1114"/>
      <c r="DS513" s="1114"/>
      <c r="DT513" s="1114"/>
      <c r="DU513" s="1114"/>
      <c r="DV513" s="1115"/>
      <c r="DW513" s="1116"/>
      <c r="DX513" s="1116"/>
      <c r="DY513" s="1116"/>
      <c r="DZ513" s="1116"/>
      <c r="EA513" s="1116"/>
      <c r="EB513" s="1116"/>
      <c r="EC513" s="1116"/>
      <c r="ED513" s="1116"/>
      <c r="EE513" s="1116"/>
      <c r="EF513" s="1116"/>
      <c r="EG513" s="1116"/>
      <c r="EH513" s="1116"/>
      <c r="EI513" s="1116"/>
      <c r="EJ513" s="1116"/>
      <c r="EK513" s="1116"/>
      <c r="EL513" s="1116"/>
      <c r="EM513" s="1116"/>
      <c r="EN513" s="1116"/>
      <c r="EO513" s="1116"/>
      <c r="EP513" s="1116"/>
      <c r="EQ513" s="1116"/>
      <c r="ER513" s="1116"/>
      <c r="ES513" s="1116"/>
    </row>
    <row r="514" spans="1:149" ht="15" customHeight="1">
      <c r="A514" s="1185">
        <v>504</v>
      </c>
      <c r="B514" s="1041"/>
      <c r="C514" s="1050"/>
      <c r="D514" s="1050"/>
      <c r="E514" s="1050"/>
      <c r="F514" s="1049"/>
      <c r="G514" s="1049"/>
      <c r="H514" s="1049"/>
      <c r="I514" s="1049"/>
      <c r="J514" s="1050"/>
      <c r="K514" s="1050"/>
      <c r="L514" s="1043"/>
      <c r="M514" s="1051"/>
      <c r="N514" s="1051"/>
      <c r="O514" s="1052"/>
      <c r="P514" s="1051"/>
      <c r="Q514" s="1051"/>
      <c r="R514" s="1052"/>
      <c r="S514" s="1051"/>
      <c r="T514" s="1051"/>
      <c r="U514" s="1052"/>
      <c r="V514" s="1051"/>
      <c r="W514" s="1051"/>
      <c r="X514" s="1052"/>
      <c r="Y514" s="1053"/>
      <c r="Z514" s="1051"/>
      <c r="AA514" s="1051"/>
      <c r="AB514" s="1052"/>
      <c r="AC514" s="1051"/>
      <c r="AD514" s="1051"/>
      <c r="AE514" s="1052"/>
      <c r="AF514" s="1051"/>
      <c r="AG514" s="1051"/>
      <c r="AH514" s="1051"/>
      <c r="AI514" s="1051"/>
      <c r="AJ514" s="1052"/>
      <c r="AK514" s="1051"/>
      <c r="AL514" s="1051"/>
      <c r="AM514" s="1052"/>
      <c r="AN514" s="1051"/>
      <c r="AO514" s="1051"/>
      <c r="AP514" s="1052"/>
      <c r="AQ514" s="1051"/>
      <c r="AR514" s="1051"/>
      <c r="AS514" s="1052"/>
      <c r="AT514" s="1051"/>
      <c r="AU514" s="1051"/>
      <c r="AV514" s="1052"/>
      <c r="AW514" s="1051"/>
      <c r="AX514" s="1051"/>
      <c r="AY514" s="1053"/>
      <c r="AZ514" s="1051"/>
      <c r="BA514" s="1051"/>
      <c r="BB514" s="1053"/>
      <c r="BC514" s="1051"/>
      <c r="BD514" s="1051"/>
      <c r="BE514" s="1053"/>
      <c r="BF514" s="1051"/>
      <c r="BG514" s="1051"/>
      <c r="BH514" s="1053"/>
      <c r="BI514" s="1052"/>
      <c r="BJ514" s="1052"/>
      <c r="BK514" s="1052"/>
      <c r="BL514" s="1052"/>
      <c r="BM514" s="1052"/>
      <c r="BN514" s="1054"/>
      <c r="BO514" s="1076">
        <f t="shared" si="8"/>
        <v>0</v>
      </c>
      <c r="BP514" s="1051"/>
      <c r="BQ514" s="1052"/>
      <c r="BR514" s="1054"/>
      <c r="BS514" s="1053"/>
      <c r="BT514" s="1051"/>
      <c r="BU514" s="1051"/>
      <c r="BV514" s="1051"/>
      <c r="BW514" s="1052"/>
      <c r="BX514" s="1052"/>
      <c r="BY514" s="1052"/>
      <c r="BZ514" s="1052"/>
      <c r="CA514" s="1052"/>
      <c r="CB514" s="1053"/>
      <c r="CC514" s="1053"/>
      <c r="CD514" s="1053"/>
      <c r="CE514" s="1053"/>
      <c r="CF514" s="1053"/>
      <c r="CG514" s="1053"/>
      <c r="CH514" s="1053"/>
      <c r="CI514" s="1123"/>
      <c r="CJ514" s="1123"/>
      <c r="CK514" s="1123"/>
      <c r="CL514" s="1123"/>
      <c r="CM514" s="1123"/>
      <c r="CN514" s="1123"/>
      <c r="CO514" s="1123"/>
      <c r="CP514" s="1123"/>
      <c r="CQ514" s="1123"/>
      <c r="CR514" s="1123"/>
      <c r="CS514" s="1123"/>
      <c r="CT514" s="1123"/>
      <c r="CU514" s="1123"/>
      <c r="CV514" s="1123"/>
      <c r="CW514" s="1123"/>
      <c r="CX514" s="1123"/>
      <c r="CY514" s="1123"/>
      <c r="CZ514" s="1114"/>
      <c r="DA514" s="1114"/>
      <c r="DB514" s="1114"/>
      <c r="DC514" s="1114"/>
      <c r="DD514" s="1114"/>
      <c r="DE514" s="1114"/>
      <c r="DF514" s="1114"/>
      <c r="DG514" s="1114"/>
      <c r="DH514" s="1114"/>
      <c r="DI514" s="1114"/>
      <c r="DJ514" s="1114"/>
      <c r="DK514" s="1114"/>
      <c r="DL514" s="1114"/>
      <c r="DM514" s="1114"/>
      <c r="DN514" s="1114"/>
      <c r="DO514" s="1114"/>
      <c r="DP514" s="1114"/>
      <c r="DQ514" s="1114"/>
      <c r="DR514" s="1114"/>
      <c r="DS514" s="1114"/>
      <c r="DT514" s="1114"/>
      <c r="DU514" s="1114"/>
      <c r="DV514" s="1115"/>
      <c r="DW514" s="1116"/>
      <c r="DX514" s="1116"/>
      <c r="DY514" s="1116"/>
      <c r="DZ514" s="1116"/>
      <c r="EA514" s="1116"/>
      <c r="EB514" s="1116"/>
      <c r="EC514" s="1116"/>
      <c r="ED514" s="1116"/>
      <c r="EE514" s="1116"/>
      <c r="EF514" s="1116"/>
      <c r="EG514" s="1116"/>
      <c r="EH514" s="1116"/>
      <c r="EI514" s="1116"/>
      <c r="EJ514" s="1116"/>
      <c r="EK514" s="1116"/>
      <c r="EL514" s="1116"/>
      <c r="EM514" s="1116"/>
      <c r="EN514" s="1116"/>
      <c r="EO514" s="1116"/>
      <c r="EP514" s="1116"/>
      <c r="EQ514" s="1116"/>
      <c r="ER514" s="1116"/>
      <c r="ES514" s="1116"/>
    </row>
    <row r="515" spans="1:149" ht="15" customHeight="1">
      <c r="A515" s="1185">
        <v>505</v>
      </c>
      <c r="B515" s="1041"/>
      <c r="C515" s="1050"/>
      <c r="D515" s="1050"/>
      <c r="E515" s="1050"/>
      <c r="F515" s="1049"/>
      <c r="G515" s="1049"/>
      <c r="H515" s="1049"/>
      <c r="I515" s="1049"/>
      <c r="J515" s="1050"/>
      <c r="K515" s="1050"/>
      <c r="L515" s="1043"/>
      <c r="M515" s="1051"/>
      <c r="N515" s="1051"/>
      <c r="O515" s="1052"/>
      <c r="P515" s="1051"/>
      <c r="Q515" s="1051"/>
      <c r="R515" s="1052"/>
      <c r="S515" s="1051"/>
      <c r="T515" s="1051"/>
      <c r="U515" s="1052"/>
      <c r="V515" s="1051"/>
      <c r="W515" s="1051"/>
      <c r="X515" s="1052"/>
      <c r="Y515" s="1053"/>
      <c r="Z515" s="1051"/>
      <c r="AA515" s="1051"/>
      <c r="AB515" s="1052"/>
      <c r="AC515" s="1051"/>
      <c r="AD515" s="1051"/>
      <c r="AE515" s="1052"/>
      <c r="AF515" s="1051"/>
      <c r="AG515" s="1051"/>
      <c r="AH515" s="1051"/>
      <c r="AI515" s="1051"/>
      <c r="AJ515" s="1052"/>
      <c r="AK515" s="1051"/>
      <c r="AL515" s="1051"/>
      <c r="AM515" s="1052"/>
      <c r="AN515" s="1051"/>
      <c r="AO515" s="1051"/>
      <c r="AP515" s="1052"/>
      <c r="AQ515" s="1051"/>
      <c r="AR515" s="1051"/>
      <c r="AS515" s="1052"/>
      <c r="AT515" s="1051"/>
      <c r="AU515" s="1051"/>
      <c r="AV515" s="1052"/>
      <c r="AW515" s="1051"/>
      <c r="AX515" s="1051"/>
      <c r="AY515" s="1053"/>
      <c r="AZ515" s="1051"/>
      <c r="BA515" s="1051"/>
      <c r="BB515" s="1053"/>
      <c r="BC515" s="1051"/>
      <c r="BD515" s="1051"/>
      <c r="BE515" s="1053"/>
      <c r="BF515" s="1051"/>
      <c r="BG515" s="1051"/>
      <c r="BH515" s="1053"/>
      <c r="BI515" s="1052"/>
      <c r="BJ515" s="1052"/>
      <c r="BK515" s="1052"/>
      <c r="BL515" s="1052"/>
      <c r="BM515" s="1052"/>
      <c r="BN515" s="1054"/>
      <c r="BO515" s="1076">
        <f t="shared" si="8"/>
        <v>0</v>
      </c>
      <c r="BP515" s="1051"/>
      <c r="BQ515" s="1052"/>
      <c r="BR515" s="1054"/>
      <c r="BS515" s="1053"/>
      <c r="BT515" s="1051"/>
      <c r="BU515" s="1051"/>
      <c r="BV515" s="1051"/>
      <c r="BW515" s="1052"/>
      <c r="BX515" s="1052"/>
      <c r="BY515" s="1052"/>
      <c r="BZ515" s="1052"/>
      <c r="CA515" s="1052"/>
      <c r="CB515" s="1053"/>
      <c r="CC515" s="1053"/>
      <c r="CD515" s="1053"/>
      <c r="CE515" s="1053"/>
      <c r="CF515" s="1053"/>
      <c r="CG515" s="1053"/>
      <c r="CH515" s="1053"/>
      <c r="CI515" s="1123"/>
      <c r="CJ515" s="1123"/>
      <c r="CK515" s="1123"/>
      <c r="CL515" s="1123"/>
      <c r="CM515" s="1123"/>
      <c r="CN515" s="1123"/>
      <c r="CO515" s="1123"/>
      <c r="CP515" s="1123"/>
      <c r="CQ515" s="1123"/>
      <c r="CR515" s="1123"/>
      <c r="CS515" s="1123"/>
      <c r="CT515" s="1123"/>
      <c r="CU515" s="1123"/>
      <c r="CV515" s="1123"/>
      <c r="CW515" s="1123"/>
      <c r="CX515" s="1123"/>
      <c r="CY515" s="1123"/>
      <c r="CZ515" s="1114"/>
      <c r="DA515" s="1114"/>
      <c r="DB515" s="1114"/>
      <c r="DC515" s="1114"/>
      <c r="DD515" s="1114"/>
      <c r="DE515" s="1114"/>
      <c r="DF515" s="1114"/>
      <c r="DG515" s="1114"/>
      <c r="DH515" s="1114"/>
      <c r="DI515" s="1114"/>
      <c r="DJ515" s="1114"/>
      <c r="DK515" s="1114"/>
      <c r="DL515" s="1114"/>
      <c r="DM515" s="1114"/>
      <c r="DN515" s="1114"/>
      <c r="DO515" s="1114"/>
      <c r="DP515" s="1114"/>
      <c r="DQ515" s="1114"/>
      <c r="DR515" s="1114"/>
      <c r="DS515" s="1114"/>
      <c r="DT515" s="1114"/>
      <c r="DU515" s="1114"/>
      <c r="DV515" s="1115"/>
      <c r="DW515" s="1116"/>
      <c r="DX515" s="1116"/>
      <c r="DY515" s="1116"/>
      <c r="DZ515" s="1116"/>
      <c r="EA515" s="1116"/>
      <c r="EB515" s="1116"/>
      <c r="EC515" s="1116"/>
      <c r="ED515" s="1116"/>
      <c r="EE515" s="1116"/>
      <c r="EF515" s="1116"/>
      <c r="EG515" s="1116"/>
      <c r="EH515" s="1116"/>
      <c r="EI515" s="1116"/>
      <c r="EJ515" s="1116"/>
      <c r="EK515" s="1116"/>
      <c r="EL515" s="1116"/>
      <c r="EM515" s="1116"/>
      <c r="EN515" s="1116"/>
      <c r="EO515" s="1116"/>
      <c r="EP515" s="1116"/>
      <c r="EQ515" s="1116"/>
      <c r="ER515" s="1116"/>
      <c r="ES515" s="1116"/>
    </row>
    <row r="516" spans="1:149" ht="15" customHeight="1">
      <c r="A516" s="1185">
        <v>506</v>
      </c>
      <c r="B516" s="1041"/>
      <c r="C516" s="1050"/>
      <c r="D516" s="1050"/>
      <c r="E516" s="1050"/>
      <c r="F516" s="1049"/>
      <c r="G516" s="1049"/>
      <c r="H516" s="1049"/>
      <c r="I516" s="1049"/>
      <c r="J516" s="1050"/>
      <c r="K516" s="1050"/>
      <c r="L516" s="1043"/>
      <c r="M516" s="1051"/>
      <c r="N516" s="1051"/>
      <c r="O516" s="1052"/>
      <c r="P516" s="1051"/>
      <c r="Q516" s="1051"/>
      <c r="R516" s="1052"/>
      <c r="S516" s="1051"/>
      <c r="T516" s="1051"/>
      <c r="U516" s="1052"/>
      <c r="V516" s="1051"/>
      <c r="W516" s="1051"/>
      <c r="X516" s="1052"/>
      <c r="Y516" s="1053"/>
      <c r="Z516" s="1051"/>
      <c r="AA516" s="1051"/>
      <c r="AB516" s="1052"/>
      <c r="AC516" s="1051"/>
      <c r="AD516" s="1051"/>
      <c r="AE516" s="1052"/>
      <c r="AF516" s="1051"/>
      <c r="AG516" s="1051"/>
      <c r="AH516" s="1051"/>
      <c r="AI516" s="1051"/>
      <c r="AJ516" s="1052"/>
      <c r="AK516" s="1051"/>
      <c r="AL516" s="1051"/>
      <c r="AM516" s="1052"/>
      <c r="AN516" s="1051"/>
      <c r="AO516" s="1051"/>
      <c r="AP516" s="1052"/>
      <c r="AQ516" s="1051"/>
      <c r="AR516" s="1051"/>
      <c r="AS516" s="1052"/>
      <c r="AT516" s="1051"/>
      <c r="AU516" s="1051"/>
      <c r="AV516" s="1052"/>
      <c r="AW516" s="1051"/>
      <c r="AX516" s="1051"/>
      <c r="AY516" s="1053"/>
      <c r="AZ516" s="1051"/>
      <c r="BA516" s="1051"/>
      <c r="BB516" s="1053"/>
      <c r="BC516" s="1051"/>
      <c r="BD516" s="1051"/>
      <c r="BE516" s="1053"/>
      <c r="BF516" s="1051"/>
      <c r="BG516" s="1051"/>
      <c r="BH516" s="1053"/>
      <c r="BI516" s="1052"/>
      <c r="BJ516" s="1052"/>
      <c r="BK516" s="1052"/>
      <c r="BL516" s="1052"/>
      <c r="BM516" s="1052"/>
      <c r="BN516" s="1054"/>
      <c r="BO516" s="1076">
        <f t="shared" si="8"/>
        <v>0</v>
      </c>
      <c r="BP516" s="1051"/>
      <c r="BQ516" s="1052"/>
      <c r="BR516" s="1054"/>
      <c r="BS516" s="1053"/>
      <c r="BT516" s="1051"/>
      <c r="BU516" s="1051"/>
      <c r="BV516" s="1051"/>
      <c r="BW516" s="1052"/>
      <c r="BX516" s="1052"/>
      <c r="BY516" s="1052"/>
      <c r="BZ516" s="1052"/>
      <c r="CA516" s="1052"/>
      <c r="CB516" s="1053"/>
      <c r="CC516" s="1053"/>
      <c r="CD516" s="1053"/>
      <c r="CE516" s="1053"/>
      <c r="CF516" s="1053"/>
      <c r="CG516" s="1053"/>
      <c r="CH516" s="1053"/>
      <c r="CI516" s="1123"/>
      <c r="CJ516" s="1123"/>
      <c r="CK516" s="1123"/>
      <c r="CL516" s="1123"/>
      <c r="CM516" s="1123"/>
      <c r="CN516" s="1123"/>
      <c r="CO516" s="1123"/>
      <c r="CP516" s="1123"/>
      <c r="CQ516" s="1123"/>
      <c r="CR516" s="1123"/>
      <c r="CS516" s="1123"/>
      <c r="CT516" s="1123"/>
      <c r="CU516" s="1123"/>
      <c r="CV516" s="1123"/>
      <c r="CW516" s="1123"/>
      <c r="CX516" s="1123"/>
      <c r="CY516" s="1123"/>
      <c r="CZ516" s="1114"/>
      <c r="DA516" s="1114"/>
      <c r="DB516" s="1114"/>
      <c r="DC516" s="1114"/>
      <c r="DD516" s="1114"/>
      <c r="DE516" s="1114"/>
      <c r="DF516" s="1114"/>
      <c r="DG516" s="1114"/>
      <c r="DH516" s="1114"/>
      <c r="DI516" s="1114"/>
      <c r="DJ516" s="1114"/>
      <c r="DK516" s="1114"/>
      <c r="DL516" s="1114"/>
      <c r="DM516" s="1114"/>
      <c r="DN516" s="1114"/>
      <c r="DO516" s="1114"/>
      <c r="DP516" s="1114"/>
      <c r="DQ516" s="1114"/>
      <c r="DR516" s="1114"/>
      <c r="DS516" s="1114"/>
      <c r="DT516" s="1114"/>
      <c r="DU516" s="1114"/>
      <c r="DV516" s="1115"/>
      <c r="DW516" s="1116"/>
      <c r="DX516" s="1116"/>
      <c r="DY516" s="1116"/>
      <c r="DZ516" s="1116"/>
      <c r="EA516" s="1116"/>
      <c r="EB516" s="1116"/>
      <c r="EC516" s="1116"/>
      <c r="ED516" s="1116"/>
      <c r="EE516" s="1116"/>
      <c r="EF516" s="1116"/>
      <c r="EG516" s="1116"/>
      <c r="EH516" s="1116"/>
      <c r="EI516" s="1116"/>
      <c r="EJ516" s="1116"/>
      <c r="EK516" s="1116"/>
      <c r="EL516" s="1116"/>
      <c r="EM516" s="1116"/>
      <c r="EN516" s="1116"/>
      <c r="EO516" s="1116"/>
      <c r="EP516" s="1116"/>
      <c r="EQ516" s="1116"/>
      <c r="ER516" s="1116"/>
      <c r="ES516" s="1116"/>
    </row>
    <row r="517" spans="1:149" ht="15" customHeight="1">
      <c r="A517" s="1185">
        <v>507</v>
      </c>
      <c r="B517" s="1041"/>
      <c r="C517" s="1050"/>
      <c r="D517" s="1050"/>
      <c r="E517" s="1050"/>
      <c r="F517" s="1049"/>
      <c r="G517" s="1049"/>
      <c r="H517" s="1049"/>
      <c r="I517" s="1049"/>
      <c r="J517" s="1050"/>
      <c r="K517" s="1050"/>
      <c r="L517" s="1043"/>
      <c r="M517" s="1051"/>
      <c r="N517" s="1051"/>
      <c r="O517" s="1052"/>
      <c r="P517" s="1051"/>
      <c r="Q517" s="1051"/>
      <c r="R517" s="1052"/>
      <c r="S517" s="1051"/>
      <c r="T517" s="1051"/>
      <c r="U517" s="1052"/>
      <c r="V517" s="1051"/>
      <c r="W517" s="1051"/>
      <c r="X517" s="1052"/>
      <c r="Y517" s="1053"/>
      <c r="Z517" s="1051"/>
      <c r="AA517" s="1051"/>
      <c r="AB517" s="1052"/>
      <c r="AC517" s="1051"/>
      <c r="AD517" s="1051"/>
      <c r="AE517" s="1052"/>
      <c r="AF517" s="1051"/>
      <c r="AG517" s="1051"/>
      <c r="AH517" s="1051"/>
      <c r="AI517" s="1051"/>
      <c r="AJ517" s="1052"/>
      <c r="AK517" s="1051"/>
      <c r="AL517" s="1051"/>
      <c r="AM517" s="1052"/>
      <c r="AN517" s="1051"/>
      <c r="AO517" s="1051"/>
      <c r="AP517" s="1052"/>
      <c r="AQ517" s="1051"/>
      <c r="AR517" s="1051"/>
      <c r="AS517" s="1052"/>
      <c r="AT517" s="1051"/>
      <c r="AU517" s="1051"/>
      <c r="AV517" s="1052"/>
      <c r="AW517" s="1051"/>
      <c r="AX517" s="1051"/>
      <c r="AY517" s="1053"/>
      <c r="AZ517" s="1051"/>
      <c r="BA517" s="1051"/>
      <c r="BB517" s="1053"/>
      <c r="BC517" s="1051"/>
      <c r="BD517" s="1051"/>
      <c r="BE517" s="1053"/>
      <c r="BF517" s="1051"/>
      <c r="BG517" s="1051"/>
      <c r="BH517" s="1053"/>
      <c r="BI517" s="1052"/>
      <c r="BJ517" s="1052"/>
      <c r="BK517" s="1052"/>
      <c r="BL517" s="1052"/>
      <c r="BM517" s="1052"/>
      <c r="BN517" s="1054"/>
      <c r="BO517" s="1076">
        <f t="shared" si="8"/>
        <v>0</v>
      </c>
      <c r="BP517" s="1051"/>
      <c r="BQ517" s="1052"/>
      <c r="BR517" s="1054"/>
      <c r="BS517" s="1053"/>
      <c r="BT517" s="1051"/>
      <c r="BU517" s="1051"/>
      <c r="BV517" s="1051"/>
      <c r="BW517" s="1052"/>
      <c r="BX517" s="1052"/>
      <c r="BY517" s="1052"/>
      <c r="BZ517" s="1052"/>
      <c r="CA517" s="1052"/>
      <c r="CB517" s="1053"/>
      <c r="CC517" s="1053"/>
      <c r="CD517" s="1053"/>
      <c r="CE517" s="1053"/>
      <c r="CF517" s="1053"/>
      <c r="CG517" s="1053"/>
      <c r="CH517" s="1053"/>
      <c r="CI517" s="1123"/>
      <c r="CJ517" s="1123"/>
      <c r="CK517" s="1123"/>
      <c r="CL517" s="1123"/>
      <c r="CM517" s="1123"/>
      <c r="CN517" s="1123"/>
      <c r="CO517" s="1123"/>
      <c r="CP517" s="1123"/>
      <c r="CQ517" s="1123"/>
      <c r="CR517" s="1123"/>
      <c r="CS517" s="1123"/>
      <c r="CT517" s="1123"/>
      <c r="CU517" s="1123"/>
      <c r="CV517" s="1123"/>
      <c r="CW517" s="1123"/>
      <c r="CX517" s="1123"/>
      <c r="CY517" s="1123"/>
      <c r="CZ517" s="1114"/>
      <c r="DA517" s="1114"/>
      <c r="DB517" s="1114"/>
      <c r="DC517" s="1114"/>
      <c r="DD517" s="1114"/>
      <c r="DE517" s="1114"/>
      <c r="DF517" s="1114"/>
      <c r="DG517" s="1114"/>
      <c r="DH517" s="1114"/>
      <c r="DI517" s="1114"/>
      <c r="DJ517" s="1114"/>
      <c r="DK517" s="1114"/>
      <c r="DL517" s="1114"/>
      <c r="DM517" s="1114"/>
      <c r="DN517" s="1114"/>
      <c r="DO517" s="1114"/>
      <c r="DP517" s="1114"/>
      <c r="DQ517" s="1114"/>
      <c r="DR517" s="1114"/>
      <c r="DS517" s="1114"/>
      <c r="DT517" s="1114"/>
      <c r="DU517" s="1114"/>
      <c r="DV517" s="1115"/>
      <c r="DW517" s="1116"/>
      <c r="DX517" s="1116"/>
      <c r="DY517" s="1116"/>
      <c r="DZ517" s="1116"/>
      <c r="EA517" s="1116"/>
      <c r="EB517" s="1116"/>
      <c r="EC517" s="1116"/>
      <c r="ED517" s="1116"/>
      <c r="EE517" s="1116"/>
      <c r="EF517" s="1116"/>
      <c r="EG517" s="1116"/>
      <c r="EH517" s="1116"/>
      <c r="EI517" s="1116"/>
      <c r="EJ517" s="1116"/>
      <c r="EK517" s="1116"/>
      <c r="EL517" s="1116"/>
      <c r="EM517" s="1116"/>
      <c r="EN517" s="1116"/>
      <c r="EO517" s="1116"/>
      <c r="EP517" s="1116"/>
      <c r="EQ517" s="1116"/>
      <c r="ER517" s="1116"/>
      <c r="ES517" s="1116"/>
    </row>
    <row r="518" spans="1:149" ht="15" customHeight="1">
      <c r="A518" s="1185">
        <v>508</v>
      </c>
      <c r="B518" s="1041"/>
      <c r="C518" s="1050"/>
      <c r="D518" s="1050"/>
      <c r="E518" s="1050"/>
      <c r="F518" s="1049"/>
      <c r="G518" s="1049"/>
      <c r="H518" s="1049"/>
      <c r="I518" s="1049"/>
      <c r="J518" s="1050"/>
      <c r="K518" s="1050"/>
      <c r="L518" s="1043"/>
      <c r="M518" s="1051"/>
      <c r="N518" s="1051"/>
      <c r="O518" s="1052"/>
      <c r="P518" s="1051"/>
      <c r="Q518" s="1051"/>
      <c r="R518" s="1052"/>
      <c r="S518" s="1051"/>
      <c r="T518" s="1051"/>
      <c r="U518" s="1052"/>
      <c r="V518" s="1051"/>
      <c r="W518" s="1051"/>
      <c r="X518" s="1052"/>
      <c r="Y518" s="1053"/>
      <c r="Z518" s="1051"/>
      <c r="AA518" s="1051"/>
      <c r="AB518" s="1052"/>
      <c r="AC518" s="1051"/>
      <c r="AD518" s="1051"/>
      <c r="AE518" s="1052"/>
      <c r="AF518" s="1051"/>
      <c r="AG518" s="1051"/>
      <c r="AH518" s="1051"/>
      <c r="AI518" s="1051"/>
      <c r="AJ518" s="1052"/>
      <c r="AK518" s="1051"/>
      <c r="AL518" s="1051"/>
      <c r="AM518" s="1052"/>
      <c r="AN518" s="1051"/>
      <c r="AO518" s="1051"/>
      <c r="AP518" s="1052"/>
      <c r="AQ518" s="1051"/>
      <c r="AR518" s="1051"/>
      <c r="AS518" s="1052"/>
      <c r="AT518" s="1051"/>
      <c r="AU518" s="1051"/>
      <c r="AV518" s="1052"/>
      <c r="AW518" s="1051"/>
      <c r="AX518" s="1051"/>
      <c r="AY518" s="1053"/>
      <c r="AZ518" s="1051"/>
      <c r="BA518" s="1051"/>
      <c r="BB518" s="1053"/>
      <c r="BC518" s="1051"/>
      <c r="BD518" s="1051"/>
      <c r="BE518" s="1053"/>
      <c r="BF518" s="1051"/>
      <c r="BG518" s="1051"/>
      <c r="BH518" s="1053"/>
      <c r="BI518" s="1052"/>
      <c r="BJ518" s="1052"/>
      <c r="BK518" s="1052"/>
      <c r="BL518" s="1052"/>
      <c r="BM518" s="1052"/>
      <c r="BN518" s="1054"/>
      <c r="BO518" s="1076">
        <f t="shared" si="8"/>
        <v>0</v>
      </c>
      <c r="BP518" s="1051"/>
      <c r="BQ518" s="1052"/>
      <c r="BR518" s="1054"/>
      <c r="BS518" s="1053"/>
      <c r="BT518" s="1051"/>
      <c r="BU518" s="1051"/>
      <c r="BV518" s="1051"/>
      <c r="BW518" s="1052"/>
      <c r="BX518" s="1052"/>
      <c r="BY518" s="1052"/>
      <c r="BZ518" s="1052"/>
      <c r="CA518" s="1052"/>
      <c r="CB518" s="1053"/>
      <c r="CC518" s="1053"/>
      <c r="CD518" s="1053"/>
      <c r="CE518" s="1053"/>
      <c r="CF518" s="1053"/>
      <c r="CG518" s="1053"/>
      <c r="CH518" s="1053"/>
      <c r="CI518" s="1123"/>
      <c r="CJ518" s="1123"/>
      <c r="CK518" s="1123"/>
      <c r="CL518" s="1123"/>
      <c r="CM518" s="1123"/>
      <c r="CN518" s="1123"/>
      <c r="CO518" s="1123"/>
      <c r="CP518" s="1123"/>
      <c r="CQ518" s="1123"/>
      <c r="CR518" s="1123"/>
      <c r="CS518" s="1123"/>
      <c r="CT518" s="1123"/>
      <c r="CU518" s="1123"/>
      <c r="CV518" s="1123"/>
      <c r="CW518" s="1123"/>
      <c r="CX518" s="1123"/>
      <c r="CY518" s="1123"/>
      <c r="CZ518" s="1114"/>
      <c r="DA518" s="1114"/>
      <c r="DB518" s="1114"/>
      <c r="DC518" s="1114"/>
      <c r="DD518" s="1114"/>
      <c r="DE518" s="1114"/>
      <c r="DF518" s="1114"/>
      <c r="DG518" s="1114"/>
      <c r="DH518" s="1114"/>
      <c r="DI518" s="1114"/>
      <c r="DJ518" s="1114"/>
      <c r="DK518" s="1114"/>
      <c r="DL518" s="1114"/>
      <c r="DM518" s="1114"/>
      <c r="DN518" s="1114"/>
      <c r="DO518" s="1114"/>
      <c r="DP518" s="1114"/>
      <c r="DQ518" s="1114"/>
      <c r="DR518" s="1114"/>
      <c r="DS518" s="1114"/>
      <c r="DT518" s="1114"/>
      <c r="DU518" s="1114"/>
      <c r="DV518" s="1115"/>
      <c r="DW518" s="1116"/>
      <c r="DX518" s="1116"/>
      <c r="DY518" s="1116"/>
      <c r="DZ518" s="1116"/>
      <c r="EA518" s="1116"/>
      <c r="EB518" s="1116"/>
      <c r="EC518" s="1116"/>
      <c r="ED518" s="1116"/>
      <c r="EE518" s="1116"/>
      <c r="EF518" s="1116"/>
      <c r="EG518" s="1116"/>
      <c r="EH518" s="1116"/>
      <c r="EI518" s="1116"/>
      <c r="EJ518" s="1116"/>
      <c r="EK518" s="1116"/>
      <c r="EL518" s="1116"/>
      <c r="EM518" s="1116"/>
      <c r="EN518" s="1116"/>
      <c r="EO518" s="1116"/>
      <c r="EP518" s="1116"/>
      <c r="EQ518" s="1116"/>
      <c r="ER518" s="1116"/>
      <c r="ES518" s="1116"/>
    </row>
    <row r="519" spans="1:149" ht="15" customHeight="1">
      <c r="A519" s="1185">
        <v>509</v>
      </c>
      <c r="B519" s="1041"/>
      <c r="C519" s="1050"/>
      <c r="D519" s="1050"/>
      <c r="E519" s="1050"/>
      <c r="F519" s="1049"/>
      <c r="G519" s="1049"/>
      <c r="H519" s="1049"/>
      <c r="I519" s="1049"/>
      <c r="J519" s="1050"/>
      <c r="K519" s="1050"/>
      <c r="L519" s="1043"/>
      <c r="M519" s="1051"/>
      <c r="N519" s="1051"/>
      <c r="O519" s="1052"/>
      <c r="P519" s="1051"/>
      <c r="Q519" s="1051"/>
      <c r="R519" s="1052"/>
      <c r="S519" s="1051"/>
      <c r="T519" s="1051"/>
      <c r="U519" s="1052"/>
      <c r="V519" s="1051"/>
      <c r="W519" s="1051"/>
      <c r="X519" s="1052"/>
      <c r="Y519" s="1053"/>
      <c r="Z519" s="1051"/>
      <c r="AA519" s="1051"/>
      <c r="AB519" s="1052"/>
      <c r="AC519" s="1051"/>
      <c r="AD519" s="1051"/>
      <c r="AE519" s="1052"/>
      <c r="AF519" s="1051"/>
      <c r="AG519" s="1051"/>
      <c r="AH519" s="1051"/>
      <c r="AI519" s="1051"/>
      <c r="AJ519" s="1052"/>
      <c r="AK519" s="1051"/>
      <c r="AL519" s="1051"/>
      <c r="AM519" s="1052"/>
      <c r="AN519" s="1051"/>
      <c r="AO519" s="1051"/>
      <c r="AP519" s="1052"/>
      <c r="AQ519" s="1051"/>
      <c r="AR519" s="1051"/>
      <c r="AS519" s="1052"/>
      <c r="AT519" s="1051"/>
      <c r="AU519" s="1051"/>
      <c r="AV519" s="1052"/>
      <c r="AW519" s="1051"/>
      <c r="AX519" s="1051"/>
      <c r="AY519" s="1053"/>
      <c r="AZ519" s="1051"/>
      <c r="BA519" s="1051"/>
      <c r="BB519" s="1053"/>
      <c r="BC519" s="1051"/>
      <c r="BD519" s="1051"/>
      <c r="BE519" s="1053"/>
      <c r="BF519" s="1051"/>
      <c r="BG519" s="1051"/>
      <c r="BH519" s="1053"/>
      <c r="BI519" s="1052"/>
      <c r="BJ519" s="1052"/>
      <c r="BK519" s="1052"/>
      <c r="BL519" s="1052"/>
      <c r="BM519" s="1052"/>
      <c r="BN519" s="1054"/>
      <c r="BO519" s="1076">
        <f t="shared" si="8"/>
        <v>0</v>
      </c>
      <c r="BP519" s="1051"/>
      <c r="BQ519" s="1052"/>
      <c r="BR519" s="1054"/>
      <c r="BS519" s="1053"/>
      <c r="BT519" s="1051"/>
      <c r="BU519" s="1051"/>
      <c r="BV519" s="1051"/>
      <c r="BW519" s="1052"/>
      <c r="BX519" s="1052"/>
      <c r="BY519" s="1052"/>
      <c r="BZ519" s="1052"/>
      <c r="CA519" s="1052"/>
      <c r="CB519" s="1053"/>
      <c r="CC519" s="1053"/>
      <c r="CD519" s="1053"/>
      <c r="CE519" s="1053"/>
      <c r="CF519" s="1053"/>
      <c r="CG519" s="1053"/>
      <c r="CH519" s="1053"/>
      <c r="CI519" s="1123"/>
      <c r="CJ519" s="1123"/>
      <c r="CK519" s="1123"/>
      <c r="CL519" s="1123"/>
      <c r="CM519" s="1123"/>
      <c r="CN519" s="1123"/>
      <c r="CO519" s="1123"/>
      <c r="CP519" s="1123"/>
      <c r="CQ519" s="1123"/>
      <c r="CR519" s="1123"/>
      <c r="CS519" s="1123"/>
      <c r="CT519" s="1123"/>
      <c r="CU519" s="1123"/>
      <c r="CV519" s="1123"/>
      <c r="CW519" s="1123"/>
      <c r="CX519" s="1123"/>
      <c r="CY519" s="1123"/>
      <c r="CZ519" s="1114"/>
      <c r="DA519" s="1114"/>
      <c r="DB519" s="1114"/>
      <c r="DC519" s="1114"/>
      <c r="DD519" s="1114"/>
      <c r="DE519" s="1114"/>
      <c r="DF519" s="1114"/>
      <c r="DG519" s="1114"/>
      <c r="DH519" s="1114"/>
      <c r="DI519" s="1114"/>
      <c r="DJ519" s="1114"/>
      <c r="DK519" s="1114"/>
      <c r="DL519" s="1114"/>
      <c r="DM519" s="1114"/>
      <c r="DN519" s="1114"/>
      <c r="DO519" s="1114"/>
      <c r="DP519" s="1114"/>
      <c r="DQ519" s="1114"/>
      <c r="DR519" s="1114"/>
      <c r="DS519" s="1114"/>
      <c r="DT519" s="1114"/>
      <c r="DU519" s="1114"/>
      <c r="DV519" s="1115"/>
      <c r="DW519" s="1116"/>
      <c r="DX519" s="1116"/>
      <c r="DY519" s="1116"/>
      <c r="DZ519" s="1116"/>
      <c r="EA519" s="1116"/>
      <c r="EB519" s="1116"/>
      <c r="EC519" s="1116"/>
      <c r="ED519" s="1116"/>
      <c r="EE519" s="1116"/>
      <c r="EF519" s="1116"/>
      <c r="EG519" s="1116"/>
      <c r="EH519" s="1116"/>
      <c r="EI519" s="1116"/>
      <c r="EJ519" s="1116"/>
      <c r="EK519" s="1116"/>
      <c r="EL519" s="1116"/>
      <c r="EM519" s="1116"/>
      <c r="EN519" s="1116"/>
      <c r="EO519" s="1116"/>
      <c r="EP519" s="1116"/>
      <c r="EQ519" s="1116"/>
      <c r="ER519" s="1116"/>
      <c r="ES519" s="1116"/>
    </row>
    <row r="520" spans="1:149" ht="15" customHeight="1">
      <c r="A520" s="1185">
        <v>510</v>
      </c>
      <c r="B520" s="1041"/>
      <c r="C520" s="1050"/>
      <c r="D520" s="1050"/>
      <c r="E520" s="1050"/>
      <c r="F520" s="1049"/>
      <c r="G520" s="1049"/>
      <c r="H520" s="1049"/>
      <c r="I520" s="1049"/>
      <c r="J520" s="1050"/>
      <c r="K520" s="1050"/>
      <c r="L520" s="1043"/>
      <c r="M520" s="1051"/>
      <c r="N520" s="1051"/>
      <c r="O520" s="1052"/>
      <c r="P520" s="1051"/>
      <c r="Q520" s="1051"/>
      <c r="R520" s="1052"/>
      <c r="S520" s="1051"/>
      <c r="T520" s="1051"/>
      <c r="U520" s="1052"/>
      <c r="V520" s="1051"/>
      <c r="W520" s="1051"/>
      <c r="X520" s="1052"/>
      <c r="Y520" s="1053"/>
      <c r="Z520" s="1051"/>
      <c r="AA520" s="1051"/>
      <c r="AB520" s="1052"/>
      <c r="AC520" s="1051"/>
      <c r="AD520" s="1051"/>
      <c r="AE520" s="1052"/>
      <c r="AF520" s="1051"/>
      <c r="AG520" s="1051"/>
      <c r="AH520" s="1051"/>
      <c r="AI520" s="1051"/>
      <c r="AJ520" s="1052"/>
      <c r="AK520" s="1051"/>
      <c r="AL520" s="1051"/>
      <c r="AM520" s="1052"/>
      <c r="AN520" s="1051"/>
      <c r="AO520" s="1051"/>
      <c r="AP520" s="1052"/>
      <c r="AQ520" s="1051"/>
      <c r="AR520" s="1051"/>
      <c r="AS520" s="1052"/>
      <c r="AT520" s="1051"/>
      <c r="AU520" s="1051"/>
      <c r="AV520" s="1052"/>
      <c r="AW520" s="1051"/>
      <c r="AX520" s="1051"/>
      <c r="AY520" s="1053"/>
      <c r="AZ520" s="1051"/>
      <c r="BA520" s="1051"/>
      <c r="BB520" s="1053"/>
      <c r="BC520" s="1051"/>
      <c r="BD520" s="1051"/>
      <c r="BE520" s="1053"/>
      <c r="BF520" s="1051"/>
      <c r="BG520" s="1051"/>
      <c r="BH520" s="1053"/>
      <c r="BI520" s="1052"/>
      <c r="BJ520" s="1052"/>
      <c r="BK520" s="1052"/>
      <c r="BL520" s="1052"/>
      <c r="BM520" s="1052"/>
      <c r="BN520" s="1054"/>
      <c r="BO520" s="1076">
        <f t="shared" si="8"/>
        <v>0</v>
      </c>
      <c r="BP520" s="1051"/>
      <c r="BQ520" s="1052"/>
      <c r="BR520" s="1054"/>
      <c r="BS520" s="1053"/>
      <c r="BT520" s="1051"/>
      <c r="BU520" s="1051"/>
      <c r="BV520" s="1051"/>
      <c r="BW520" s="1052"/>
      <c r="BX520" s="1052"/>
      <c r="BY520" s="1052"/>
      <c r="BZ520" s="1052"/>
      <c r="CA520" s="1052"/>
      <c r="CB520" s="1053"/>
      <c r="CC520" s="1053"/>
      <c r="CD520" s="1053"/>
      <c r="CE520" s="1053"/>
      <c r="CF520" s="1053"/>
      <c r="CG520" s="1053"/>
      <c r="CH520" s="1053"/>
      <c r="CI520" s="1123"/>
      <c r="CJ520" s="1123"/>
      <c r="CK520" s="1123"/>
      <c r="CL520" s="1123"/>
      <c r="CM520" s="1123"/>
      <c r="CN520" s="1123"/>
      <c r="CO520" s="1123"/>
      <c r="CP520" s="1123"/>
      <c r="CQ520" s="1123"/>
      <c r="CR520" s="1123"/>
      <c r="CS520" s="1123"/>
      <c r="CT520" s="1123"/>
      <c r="CU520" s="1123"/>
      <c r="CV520" s="1123"/>
      <c r="CW520" s="1123"/>
      <c r="CX520" s="1123"/>
      <c r="CY520" s="1123"/>
      <c r="CZ520" s="1114"/>
      <c r="DA520" s="1114"/>
      <c r="DB520" s="1114"/>
      <c r="DC520" s="1114"/>
      <c r="DD520" s="1114"/>
      <c r="DE520" s="1114"/>
      <c r="DF520" s="1114"/>
      <c r="DG520" s="1114"/>
      <c r="DH520" s="1114"/>
      <c r="DI520" s="1114"/>
      <c r="DJ520" s="1114"/>
      <c r="DK520" s="1114"/>
      <c r="DL520" s="1114"/>
      <c r="DM520" s="1114"/>
      <c r="DN520" s="1114"/>
      <c r="DO520" s="1114"/>
      <c r="DP520" s="1114"/>
      <c r="DQ520" s="1114"/>
      <c r="DR520" s="1114"/>
      <c r="DS520" s="1114"/>
      <c r="DT520" s="1114"/>
      <c r="DU520" s="1114"/>
      <c r="DV520" s="1115"/>
      <c r="DW520" s="1116"/>
      <c r="DX520" s="1116"/>
      <c r="DY520" s="1116"/>
      <c r="DZ520" s="1116"/>
      <c r="EA520" s="1116"/>
      <c r="EB520" s="1116"/>
      <c r="EC520" s="1116"/>
      <c r="ED520" s="1116"/>
      <c r="EE520" s="1116"/>
      <c r="EF520" s="1116"/>
      <c r="EG520" s="1116"/>
      <c r="EH520" s="1116"/>
      <c r="EI520" s="1116"/>
      <c r="EJ520" s="1116"/>
      <c r="EK520" s="1116"/>
      <c r="EL520" s="1116"/>
      <c r="EM520" s="1116"/>
      <c r="EN520" s="1116"/>
      <c r="EO520" s="1116"/>
      <c r="EP520" s="1116"/>
      <c r="EQ520" s="1116"/>
      <c r="ER520" s="1116"/>
      <c r="ES520" s="1116"/>
    </row>
    <row r="521" spans="1:149" ht="15" customHeight="1">
      <c r="A521" s="1185">
        <v>511</v>
      </c>
      <c r="B521" s="1041"/>
      <c r="C521" s="1050"/>
      <c r="D521" s="1050"/>
      <c r="E521" s="1050"/>
      <c r="F521" s="1049"/>
      <c r="G521" s="1049"/>
      <c r="H521" s="1049"/>
      <c r="I521" s="1049"/>
      <c r="J521" s="1050"/>
      <c r="K521" s="1050"/>
      <c r="L521" s="1043"/>
      <c r="M521" s="1051"/>
      <c r="N521" s="1051"/>
      <c r="O521" s="1052"/>
      <c r="P521" s="1051"/>
      <c r="Q521" s="1051"/>
      <c r="R521" s="1052"/>
      <c r="S521" s="1051"/>
      <c r="T521" s="1051"/>
      <c r="U521" s="1052"/>
      <c r="V521" s="1051"/>
      <c r="W521" s="1051"/>
      <c r="X521" s="1052"/>
      <c r="Y521" s="1053"/>
      <c r="Z521" s="1051"/>
      <c r="AA521" s="1051"/>
      <c r="AB521" s="1052"/>
      <c r="AC521" s="1051"/>
      <c r="AD521" s="1051"/>
      <c r="AE521" s="1052"/>
      <c r="AF521" s="1051"/>
      <c r="AG521" s="1051"/>
      <c r="AH521" s="1051"/>
      <c r="AI521" s="1051"/>
      <c r="AJ521" s="1052"/>
      <c r="AK521" s="1051"/>
      <c r="AL521" s="1051"/>
      <c r="AM521" s="1052"/>
      <c r="AN521" s="1051"/>
      <c r="AO521" s="1051"/>
      <c r="AP521" s="1052"/>
      <c r="AQ521" s="1051"/>
      <c r="AR521" s="1051"/>
      <c r="AS521" s="1052"/>
      <c r="AT521" s="1051"/>
      <c r="AU521" s="1051"/>
      <c r="AV521" s="1052"/>
      <c r="AW521" s="1051"/>
      <c r="AX521" s="1051"/>
      <c r="AY521" s="1053"/>
      <c r="AZ521" s="1051"/>
      <c r="BA521" s="1051"/>
      <c r="BB521" s="1053"/>
      <c r="BC521" s="1051"/>
      <c r="BD521" s="1051"/>
      <c r="BE521" s="1053"/>
      <c r="BF521" s="1051"/>
      <c r="BG521" s="1051"/>
      <c r="BH521" s="1053"/>
      <c r="BI521" s="1052"/>
      <c r="BJ521" s="1052"/>
      <c r="BK521" s="1052"/>
      <c r="BL521" s="1052"/>
      <c r="BM521" s="1052"/>
      <c r="BN521" s="1054"/>
      <c r="BO521" s="1076">
        <f t="shared" si="8"/>
        <v>0</v>
      </c>
      <c r="BP521" s="1051"/>
      <c r="BQ521" s="1052"/>
      <c r="BR521" s="1054"/>
      <c r="BS521" s="1053"/>
      <c r="BT521" s="1051"/>
      <c r="BU521" s="1051"/>
      <c r="BV521" s="1051"/>
      <c r="BW521" s="1052"/>
      <c r="BX521" s="1052"/>
      <c r="BY521" s="1052"/>
      <c r="BZ521" s="1052"/>
      <c r="CA521" s="1052"/>
      <c r="CB521" s="1053"/>
      <c r="CC521" s="1053"/>
      <c r="CD521" s="1053"/>
      <c r="CE521" s="1053"/>
      <c r="CF521" s="1053"/>
      <c r="CG521" s="1053"/>
      <c r="CH521" s="1053"/>
      <c r="CI521" s="1123"/>
      <c r="CJ521" s="1123"/>
      <c r="CK521" s="1123"/>
      <c r="CL521" s="1123"/>
      <c r="CM521" s="1123"/>
      <c r="CN521" s="1123"/>
      <c r="CO521" s="1123"/>
      <c r="CP521" s="1123"/>
      <c r="CQ521" s="1123"/>
      <c r="CR521" s="1123"/>
      <c r="CS521" s="1123"/>
      <c r="CT521" s="1123"/>
      <c r="CU521" s="1123"/>
      <c r="CV521" s="1123"/>
      <c r="CW521" s="1123"/>
      <c r="CX521" s="1123"/>
      <c r="CY521" s="1123"/>
      <c r="CZ521" s="1114"/>
      <c r="DA521" s="1114"/>
      <c r="DB521" s="1114"/>
      <c r="DC521" s="1114"/>
      <c r="DD521" s="1114"/>
      <c r="DE521" s="1114"/>
      <c r="DF521" s="1114"/>
      <c r="DG521" s="1114"/>
      <c r="DH521" s="1114"/>
      <c r="DI521" s="1114"/>
      <c r="DJ521" s="1114"/>
      <c r="DK521" s="1114"/>
      <c r="DL521" s="1114"/>
      <c r="DM521" s="1114"/>
      <c r="DN521" s="1114"/>
      <c r="DO521" s="1114"/>
      <c r="DP521" s="1114"/>
      <c r="DQ521" s="1114"/>
      <c r="DR521" s="1114"/>
      <c r="DS521" s="1114"/>
      <c r="DT521" s="1114"/>
      <c r="DU521" s="1114"/>
      <c r="DV521" s="1115"/>
      <c r="DW521" s="1116"/>
      <c r="DX521" s="1116"/>
      <c r="DY521" s="1116"/>
      <c r="DZ521" s="1116"/>
      <c r="EA521" s="1116"/>
      <c r="EB521" s="1116"/>
      <c r="EC521" s="1116"/>
      <c r="ED521" s="1116"/>
      <c r="EE521" s="1116"/>
      <c r="EF521" s="1116"/>
      <c r="EG521" s="1116"/>
      <c r="EH521" s="1116"/>
      <c r="EI521" s="1116"/>
      <c r="EJ521" s="1116"/>
      <c r="EK521" s="1116"/>
      <c r="EL521" s="1116"/>
      <c r="EM521" s="1116"/>
      <c r="EN521" s="1116"/>
      <c r="EO521" s="1116"/>
      <c r="EP521" s="1116"/>
      <c r="EQ521" s="1116"/>
      <c r="ER521" s="1116"/>
      <c r="ES521" s="1116"/>
    </row>
    <row r="522" spans="1:149" ht="15" customHeight="1">
      <c r="A522" s="1185">
        <v>512</v>
      </c>
      <c r="B522" s="1041"/>
      <c r="C522" s="1050"/>
      <c r="D522" s="1050"/>
      <c r="E522" s="1050"/>
      <c r="F522" s="1049"/>
      <c r="G522" s="1049"/>
      <c r="H522" s="1049"/>
      <c r="I522" s="1049"/>
      <c r="J522" s="1050"/>
      <c r="K522" s="1050"/>
      <c r="L522" s="1043"/>
      <c r="M522" s="1051"/>
      <c r="N522" s="1051"/>
      <c r="O522" s="1052"/>
      <c r="P522" s="1051"/>
      <c r="Q522" s="1051"/>
      <c r="R522" s="1052"/>
      <c r="S522" s="1051"/>
      <c r="T522" s="1051"/>
      <c r="U522" s="1052"/>
      <c r="V522" s="1051"/>
      <c r="W522" s="1051"/>
      <c r="X522" s="1052"/>
      <c r="Y522" s="1053"/>
      <c r="Z522" s="1051"/>
      <c r="AA522" s="1051"/>
      <c r="AB522" s="1052"/>
      <c r="AC522" s="1051"/>
      <c r="AD522" s="1051"/>
      <c r="AE522" s="1052"/>
      <c r="AF522" s="1051"/>
      <c r="AG522" s="1051"/>
      <c r="AH522" s="1051"/>
      <c r="AI522" s="1051"/>
      <c r="AJ522" s="1052"/>
      <c r="AK522" s="1051"/>
      <c r="AL522" s="1051"/>
      <c r="AM522" s="1052"/>
      <c r="AN522" s="1051"/>
      <c r="AO522" s="1051"/>
      <c r="AP522" s="1052"/>
      <c r="AQ522" s="1051"/>
      <c r="AR522" s="1051"/>
      <c r="AS522" s="1052"/>
      <c r="AT522" s="1051"/>
      <c r="AU522" s="1051"/>
      <c r="AV522" s="1052"/>
      <c r="AW522" s="1051"/>
      <c r="AX522" s="1051"/>
      <c r="AY522" s="1053"/>
      <c r="AZ522" s="1051"/>
      <c r="BA522" s="1051"/>
      <c r="BB522" s="1053"/>
      <c r="BC522" s="1051"/>
      <c r="BD522" s="1051"/>
      <c r="BE522" s="1053"/>
      <c r="BF522" s="1051"/>
      <c r="BG522" s="1051"/>
      <c r="BH522" s="1053"/>
      <c r="BI522" s="1052"/>
      <c r="BJ522" s="1052"/>
      <c r="BK522" s="1052"/>
      <c r="BL522" s="1052"/>
      <c r="BM522" s="1052"/>
      <c r="BN522" s="1054"/>
      <c r="BO522" s="1076">
        <f t="shared" si="8"/>
        <v>0</v>
      </c>
      <c r="BP522" s="1051"/>
      <c r="BQ522" s="1052"/>
      <c r="BR522" s="1054"/>
      <c r="BS522" s="1053"/>
      <c r="BT522" s="1051"/>
      <c r="BU522" s="1051"/>
      <c r="BV522" s="1051"/>
      <c r="BW522" s="1052"/>
      <c r="BX522" s="1052"/>
      <c r="BY522" s="1052"/>
      <c r="BZ522" s="1052"/>
      <c r="CA522" s="1052"/>
      <c r="CB522" s="1053"/>
      <c r="CC522" s="1053"/>
      <c r="CD522" s="1053"/>
      <c r="CE522" s="1053"/>
      <c r="CF522" s="1053"/>
      <c r="CG522" s="1053"/>
      <c r="CH522" s="1053"/>
      <c r="CI522" s="1123"/>
      <c r="CJ522" s="1123"/>
      <c r="CK522" s="1123"/>
      <c r="CL522" s="1123"/>
      <c r="CM522" s="1123"/>
      <c r="CN522" s="1123"/>
      <c r="CO522" s="1123"/>
      <c r="CP522" s="1123"/>
      <c r="CQ522" s="1123"/>
      <c r="CR522" s="1123"/>
      <c r="CS522" s="1123"/>
      <c r="CT522" s="1123"/>
      <c r="CU522" s="1123"/>
      <c r="CV522" s="1123"/>
      <c r="CW522" s="1123"/>
      <c r="CX522" s="1123"/>
      <c r="CY522" s="1123"/>
      <c r="CZ522" s="1114"/>
      <c r="DA522" s="1114"/>
      <c r="DB522" s="1114"/>
      <c r="DC522" s="1114"/>
      <c r="DD522" s="1114"/>
      <c r="DE522" s="1114"/>
      <c r="DF522" s="1114"/>
      <c r="DG522" s="1114"/>
      <c r="DH522" s="1114"/>
      <c r="DI522" s="1114"/>
      <c r="DJ522" s="1114"/>
      <c r="DK522" s="1114"/>
      <c r="DL522" s="1114"/>
      <c r="DM522" s="1114"/>
      <c r="DN522" s="1114"/>
      <c r="DO522" s="1114"/>
      <c r="DP522" s="1114"/>
      <c r="DQ522" s="1114"/>
      <c r="DR522" s="1114"/>
      <c r="DS522" s="1114"/>
      <c r="DT522" s="1114"/>
      <c r="DU522" s="1114"/>
      <c r="DV522" s="1115"/>
      <c r="DW522" s="1116"/>
      <c r="DX522" s="1116"/>
      <c r="DY522" s="1116"/>
      <c r="DZ522" s="1116"/>
      <c r="EA522" s="1116"/>
      <c r="EB522" s="1116"/>
      <c r="EC522" s="1116"/>
      <c r="ED522" s="1116"/>
      <c r="EE522" s="1116"/>
      <c r="EF522" s="1116"/>
      <c r="EG522" s="1116"/>
      <c r="EH522" s="1116"/>
      <c r="EI522" s="1116"/>
      <c r="EJ522" s="1116"/>
      <c r="EK522" s="1116"/>
      <c r="EL522" s="1116"/>
      <c r="EM522" s="1116"/>
      <c r="EN522" s="1116"/>
      <c r="EO522" s="1116"/>
      <c r="EP522" s="1116"/>
      <c r="EQ522" s="1116"/>
      <c r="ER522" s="1116"/>
      <c r="ES522" s="1116"/>
    </row>
    <row r="523" spans="1:149" ht="15" customHeight="1">
      <c r="A523" s="1185">
        <v>513</v>
      </c>
      <c r="B523" s="1041"/>
      <c r="C523" s="1050"/>
      <c r="D523" s="1050"/>
      <c r="E523" s="1050"/>
      <c r="F523" s="1049"/>
      <c r="G523" s="1049"/>
      <c r="H523" s="1049"/>
      <c r="I523" s="1049"/>
      <c r="J523" s="1050"/>
      <c r="K523" s="1050"/>
      <c r="L523" s="1043"/>
      <c r="M523" s="1051"/>
      <c r="N523" s="1051"/>
      <c r="O523" s="1052"/>
      <c r="P523" s="1051"/>
      <c r="Q523" s="1051"/>
      <c r="R523" s="1052"/>
      <c r="S523" s="1051"/>
      <c r="T523" s="1051"/>
      <c r="U523" s="1052"/>
      <c r="V523" s="1051"/>
      <c r="W523" s="1051"/>
      <c r="X523" s="1052"/>
      <c r="Y523" s="1053"/>
      <c r="Z523" s="1051"/>
      <c r="AA523" s="1051"/>
      <c r="AB523" s="1052"/>
      <c r="AC523" s="1051"/>
      <c r="AD523" s="1051"/>
      <c r="AE523" s="1052"/>
      <c r="AF523" s="1051"/>
      <c r="AG523" s="1051"/>
      <c r="AH523" s="1051"/>
      <c r="AI523" s="1051"/>
      <c r="AJ523" s="1052"/>
      <c r="AK523" s="1051"/>
      <c r="AL523" s="1051"/>
      <c r="AM523" s="1052"/>
      <c r="AN523" s="1051"/>
      <c r="AO523" s="1051"/>
      <c r="AP523" s="1052"/>
      <c r="AQ523" s="1051"/>
      <c r="AR523" s="1051"/>
      <c r="AS523" s="1052"/>
      <c r="AT523" s="1051"/>
      <c r="AU523" s="1051"/>
      <c r="AV523" s="1052"/>
      <c r="AW523" s="1051"/>
      <c r="AX523" s="1051"/>
      <c r="AY523" s="1053"/>
      <c r="AZ523" s="1051"/>
      <c r="BA523" s="1051"/>
      <c r="BB523" s="1053"/>
      <c r="BC523" s="1051"/>
      <c r="BD523" s="1051"/>
      <c r="BE523" s="1053"/>
      <c r="BF523" s="1051"/>
      <c r="BG523" s="1051"/>
      <c r="BH523" s="1053"/>
      <c r="BI523" s="1052"/>
      <c r="BJ523" s="1052"/>
      <c r="BK523" s="1052"/>
      <c r="BL523" s="1052"/>
      <c r="BM523" s="1052"/>
      <c r="BN523" s="1054"/>
      <c r="BO523" s="1076">
        <f t="shared" si="8"/>
        <v>0</v>
      </c>
      <c r="BP523" s="1051"/>
      <c r="BQ523" s="1052"/>
      <c r="BR523" s="1054"/>
      <c r="BS523" s="1053"/>
      <c r="BT523" s="1051"/>
      <c r="BU523" s="1051"/>
      <c r="BV523" s="1051"/>
      <c r="BW523" s="1052"/>
      <c r="BX523" s="1052"/>
      <c r="BY523" s="1052"/>
      <c r="BZ523" s="1052"/>
      <c r="CA523" s="1052"/>
      <c r="CB523" s="1053"/>
      <c r="CC523" s="1053"/>
      <c r="CD523" s="1053"/>
      <c r="CE523" s="1053"/>
      <c r="CF523" s="1053"/>
      <c r="CG523" s="1053"/>
      <c r="CH523" s="1053"/>
      <c r="CI523" s="1123"/>
      <c r="CJ523" s="1123"/>
      <c r="CK523" s="1123"/>
      <c r="CL523" s="1123"/>
      <c r="CM523" s="1123"/>
      <c r="CN523" s="1123"/>
      <c r="CO523" s="1123"/>
      <c r="CP523" s="1123"/>
      <c r="CQ523" s="1123"/>
      <c r="CR523" s="1123"/>
      <c r="CS523" s="1123"/>
      <c r="CT523" s="1123"/>
      <c r="CU523" s="1123"/>
      <c r="CV523" s="1123"/>
      <c r="CW523" s="1123"/>
      <c r="CX523" s="1123"/>
      <c r="CY523" s="1123"/>
      <c r="CZ523" s="1114"/>
      <c r="DA523" s="1114"/>
      <c r="DB523" s="1114"/>
      <c r="DC523" s="1114"/>
      <c r="DD523" s="1114"/>
      <c r="DE523" s="1114"/>
      <c r="DF523" s="1114"/>
      <c r="DG523" s="1114"/>
      <c r="DH523" s="1114"/>
      <c r="DI523" s="1114"/>
      <c r="DJ523" s="1114"/>
      <c r="DK523" s="1114"/>
      <c r="DL523" s="1114"/>
      <c r="DM523" s="1114"/>
      <c r="DN523" s="1114"/>
      <c r="DO523" s="1114"/>
      <c r="DP523" s="1114"/>
      <c r="DQ523" s="1114"/>
      <c r="DR523" s="1114"/>
      <c r="DS523" s="1114"/>
      <c r="DT523" s="1114"/>
      <c r="DU523" s="1114"/>
      <c r="DV523" s="1115"/>
      <c r="DW523" s="1116"/>
      <c r="DX523" s="1116"/>
      <c r="DY523" s="1116"/>
      <c r="DZ523" s="1116"/>
      <c r="EA523" s="1116"/>
      <c r="EB523" s="1116"/>
      <c r="EC523" s="1116"/>
      <c r="ED523" s="1116"/>
      <c r="EE523" s="1116"/>
      <c r="EF523" s="1116"/>
      <c r="EG523" s="1116"/>
      <c r="EH523" s="1116"/>
      <c r="EI523" s="1116"/>
      <c r="EJ523" s="1116"/>
      <c r="EK523" s="1116"/>
      <c r="EL523" s="1116"/>
      <c r="EM523" s="1116"/>
      <c r="EN523" s="1116"/>
      <c r="EO523" s="1116"/>
      <c r="EP523" s="1116"/>
      <c r="EQ523" s="1116"/>
      <c r="ER523" s="1116"/>
      <c r="ES523" s="1116"/>
    </row>
    <row r="524" spans="1:149" ht="15" customHeight="1">
      <c r="A524" s="1185">
        <v>514</v>
      </c>
      <c r="B524" s="1041"/>
      <c r="C524" s="1050"/>
      <c r="D524" s="1050"/>
      <c r="E524" s="1050"/>
      <c r="F524" s="1049"/>
      <c r="G524" s="1049"/>
      <c r="H524" s="1049"/>
      <c r="I524" s="1049"/>
      <c r="J524" s="1050"/>
      <c r="K524" s="1050"/>
      <c r="L524" s="1043"/>
      <c r="M524" s="1051"/>
      <c r="N524" s="1051"/>
      <c r="O524" s="1052"/>
      <c r="P524" s="1051"/>
      <c r="Q524" s="1051"/>
      <c r="R524" s="1052"/>
      <c r="S524" s="1051"/>
      <c r="T524" s="1051"/>
      <c r="U524" s="1052"/>
      <c r="V524" s="1051"/>
      <c r="W524" s="1051"/>
      <c r="X524" s="1052"/>
      <c r="Y524" s="1053"/>
      <c r="Z524" s="1051"/>
      <c r="AA524" s="1051"/>
      <c r="AB524" s="1052"/>
      <c r="AC524" s="1051"/>
      <c r="AD524" s="1051"/>
      <c r="AE524" s="1052"/>
      <c r="AF524" s="1051"/>
      <c r="AG524" s="1051"/>
      <c r="AH524" s="1051"/>
      <c r="AI524" s="1051"/>
      <c r="AJ524" s="1052"/>
      <c r="AK524" s="1051"/>
      <c r="AL524" s="1051"/>
      <c r="AM524" s="1052"/>
      <c r="AN524" s="1051"/>
      <c r="AO524" s="1051"/>
      <c r="AP524" s="1052"/>
      <c r="AQ524" s="1051"/>
      <c r="AR524" s="1051"/>
      <c r="AS524" s="1052"/>
      <c r="AT524" s="1051"/>
      <c r="AU524" s="1051"/>
      <c r="AV524" s="1052"/>
      <c r="AW524" s="1051"/>
      <c r="AX524" s="1051"/>
      <c r="AY524" s="1053"/>
      <c r="AZ524" s="1051"/>
      <c r="BA524" s="1051"/>
      <c r="BB524" s="1053"/>
      <c r="BC524" s="1051"/>
      <c r="BD524" s="1051"/>
      <c r="BE524" s="1053"/>
      <c r="BF524" s="1051"/>
      <c r="BG524" s="1051"/>
      <c r="BH524" s="1053"/>
      <c r="BI524" s="1052"/>
      <c r="BJ524" s="1052"/>
      <c r="BK524" s="1052"/>
      <c r="BL524" s="1052"/>
      <c r="BM524" s="1052"/>
      <c r="BN524" s="1054"/>
      <c r="BO524" s="1076">
        <f t="shared" ref="BO524:BO559" si="9">H524</f>
        <v>0</v>
      </c>
      <c r="BP524" s="1051"/>
      <c r="BQ524" s="1052"/>
      <c r="BR524" s="1054"/>
      <c r="BS524" s="1053"/>
      <c r="BT524" s="1051"/>
      <c r="BU524" s="1051"/>
      <c r="BV524" s="1051"/>
      <c r="BW524" s="1052"/>
      <c r="BX524" s="1052"/>
      <c r="BY524" s="1052"/>
      <c r="BZ524" s="1052"/>
      <c r="CA524" s="1052"/>
      <c r="CB524" s="1053"/>
      <c r="CC524" s="1053"/>
      <c r="CD524" s="1053"/>
      <c r="CE524" s="1053"/>
      <c r="CF524" s="1053"/>
      <c r="CG524" s="1053"/>
      <c r="CH524" s="1053"/>
      <c r="CI524" s="1123"/>
      <c r="CJ524" s="1123"/>
      <c r="CK524" s="1123"/>
      <c r="CL524" s="1123"/>
      <c r="CM524" s="1123"/>
      <c r="CN524" s="1123"/>
      <c r="CO524" s="1123"/>
      <c r="CP524" s="1123"/>
      <c r="CQ524" s="1123"/>
      <c r="CR524" s="1123"/>
      <c r="CS524" s="1123"/>
      <c r="CT524" s="1123"/>
      <c r="CU524" s="1123"/>
      <c r="CV524" s="1123"/>
      <c r="CW524" s="1123"/>
      <c r="CX524" s="1123"/>
      <c r="CY524" s="1123"/>
      <c r="CZ524" s="1114"/>
      <c r="DA524" s="1114"/>
      <c r="DB524" s="1114"/>
      <c r="DC524" s="1114"/>
      <c r="DD524" s="1114"/>
      <c r="DE524" s="1114"/>
      <c r="DF524" s="1114"/>
      <c r="DG524" s="1114"/>
      <c r="DH524" s="1114"/>
      <c r="DI524" s="1114"/>
      <c r="DJ524" s="1114"/>
      <c r="DK524" s="1114"/>
      <c r="DL524" s="1114"/>
      <c r="DM524" s="1114"/>
      <c r="DN524" s="1114"/>
      <c r="DO524" s="1114"/>
      <c r="DP524" s="1114"/>
      <c r="DQ524" s="1114"/>
      <c r="DR524" s="1114"/>
      <c r="DS524" s="1114"/>
      <c r="DT524" s="1114"/>
      <c r="DU524" s="1114"/>
      <c r="DV524" s="1115"/>
      <c r="DW524" s="1116"/>
      <c r="DX524" s="1116"/>
      <c r="DY524" s="1116"/>
      <c r="DZ524" s="1116"/>
      <c r="EA524" s="1116"/>
      <c r="EB524" s="1116"/>
      <c r="EC524" s="1116"/>
      <c r="ED524" s="1116"/>
      <c r="EE524" s="1116"/>
      <c r="EF524" s="1116"/>
      <c r="EG524" s="1116"/>
      <c r="EH524" s="1116"/>
      <c r="EI524" s="1116"/>
      <c r="EJ524" s="1116"/>
      <c r="EK524" s="1116"/>
      <c r="EL524" s="1116"/>
      <c r="EM524" s="1116"/>
      <c r="EN524" s="1116"/>
      <c r="EO524" s="1116"/>
      <c r="EP524" s="1116"/>
      <c r="EQ524" s="1116"/>
      <c r="ER524" s="1116"/>
      <c r="ES524" s="1116"/>
    </row>
    <row r="525" spans="1:149" ht="15" customHeight="1">
      <c r="A525" s="1185">
        <v>515</v>
      </c>
      <c r="B525" s="1041"/>
      <c r="C525" s="1050"/>
      <c r="D525" s="1050"/>
      <c r="E525" s="1050"/>
      <c r="F525" s="1049"/>
      <c r="G525" s="1049"/>
      <c r="H525" s="1049"/>
      <c r="I525" s="1049"/>
      <c r="J525" s="1050"/>
      <c r="K525" s="1050"/>
      <c r="L525" s="1043"/>
      <c r="M525" s="1051"/>
      <c r="N525" s="1051"/>
      <c r="O525" s="1052"/>
      <c r="P525" s="1051"/>
      <c r="Q525" s="1051"/>
      <c r="R525" s="1052"/>
      <c r="S525" s="1051"/>
      <c r="T525" s="1051"/>
      <c r="U525" s="1052"/>
      <c r="V525" s="1051"/>
      <c r="W525" s="1051"/>
      <c r="X525" s="1052"/>
      <c r="Y525" s="1053"/>
      <c r="Z525" s="1051"/>
      <c r="AA525" s="1051"/>
      <c r="AB525" s="1052"/>
      <c r="AC525" s="1051"/>
      <c r="AD525" s="1051"/>
      <c r="AE525" s="1052"/>
      <c r="AF525" s="1051"/>
      <c r="AG525" s="1051"/>
      <c r="AH525" s="1051"/>
      <c r="AI525" s="1051"/>
      <c r="AJ525" s="1052"/>
      <c r="AK525" s="1051"/>
      <c r="AL525" s="1051"/>
      <c r="AM525" s="1052"/>
      <c r="AN525" s="1051"/>
      <c r="AO525" s="1051"/>
      <c r="AP525" s="1052"/>
      <c r="AQ525" s="1051"/>
      <c r="AR525" s="1051"/>
      <c r="AS525" s="1052"/>
      <c r="AT525" s="1051"/>
      <c r="AU525" s="1051"/>
      <c r="AV525" s="1052"/>
      <c r="AW525" s="1051"/>
      <c r="AX525" s="1051"/>
      <c r="AY525" s="1053"/>
      <c r="AZ525" s="1051"/>
      <c r="BA525" s="1051"/>
      <c r="BB525" s="1053"/>
      <c r="BC525" s="1051"/>
      <c r="BD525" s="1051"/>
      <c r="BE525" s="1053"/>
      <c r="BF525" s="1051"/>
      <c r="BG525" s="1051"/>
      <c r="BH525" s="1053"/>
      <c r="BI525" s="1052"/>
      <c r="BJ525" s="1052"/>
      <c r="BK525" s="1052"/>
      <c r="BL525" s="1052"/>
      <c r="BM525" s="1052"/>
      <c r="BN525" s="1054"/>
      <c r="BO525" s="1076">
        <f t="shared" si="9"/>
        <v>0</v>
      </c>
      <c r="BP525" s="1051"/>
      <c r="BQ525" s="1052"/>
      <c r="BR525" s="1054"/>
      <c r="BS525" s="1053"/>
      <c r="BT525" s="1051"/>
      <c r="BU525" s="1051"/>
      <c r="BV525" s="1051"/>
      <c r="BW525" s="1052"/>
      <c r="BX525" s="1052"/>
      <c r="BY525" s="1052"/>
      <c r="BZ525" s="1052"/>
      <c r="CA525" s="1052"/>
      <c r="CB525" s="1053"/>
      <c r="CC525" s="1053"/>
      <c r="CD525" s="1053"/>
      <c r="CE525" s="1053"/>
      <c r="CF525" s="1053"/>
      <c r="CG525" s="1053"/>
      <c r="CH525" s="1053"/>
      <c r="CI525" s="1123"/>
      <c r="CJ525" s="1123"/>
      <c r="CK525" s="1123"/>
      <c r="CL525" s="1123"/>
      <c r="CM525" s="1123"/>
      <c r="CN525" s="1123"/>
      <c r="CO525" s="1123"/>
      <c r="CP525" s="1123"/>
      <c r="CQ525" s="1123"/>
      <c r="CR525" s="1123"/>
      <c r="CS525" s="1123"/>
      <c r="CT525" s="1123"/>
      <c r="CU525" s="1123"/>
      <c r="CV525" s="1123"/>
      <c r="CW525" s="1123"/>
      <c r="CX525" s="1123"/>
      <c r="CY525" s="1123"/>
      <c r="CZ525" s="1114"/>
      <c r="DA525" s="1114"/>
      <c r="DB525" s="1114"/>
      <c r="DC525" s="1114"/>
      <c r="DD525" s="1114"/>
      <c r="DE525" s="1114"/>
      <c r="DF525" s="1114"/>
      <c r="DG525" s="1114"/>
      <c r="DH525" s="1114"/>
      <c r="DI525" s="1114"/>
      <c r="DJ525" s="1114"/>
      <c r="DK525" s="1114"/>
      <c r="DL525" s="1114"/>
      <c r="DM525" s="1114"/>
      <c r="DN525" s="1114"/>
      <c r="DO525" s="1114"/>
      <c r="DP525" s="1114"/>
      <c r="DQ525" s="1114"/>
      <c r="DR525" s="1114"/>
      <c r="DS525" s="1114"/>
      <c r="DT525" s="1114"/>
      <c r="DU525" s="1114"/>
      <c r="DV525" s="1115"/>
      <c r="DW525" s="1116"/>
      <c r="DX525" s="1116"/>
      <c r="DY525" s="1116"/>
      <c r="DZ525" s="1116"/>
      <c r="EA525" s="1116"/>
      <c r="EB525" s="1116"/>
      <c r="EC525" s="1116"/>
      <c r="ED525" s="1116"/>
      <c r="EE525" s="1116"/>
      <c r="EF525" s="1116"/>
      <c r="EG525" s="1116"/>
      <c r="EH525" s="1116"/>
      <c r="EI525" s="1116"/>
      <c r="EJ525" s="1116"/>
      <c r="EK525" s="1116"/>
      <c r="EL525" s="1116"/>
      <c r="EM525" s="1116"/>
      <c r="EN525" s="1116"/>
      <c r="EO525" s="1116"/>
      <c r="EP525" s="1116"/>
      <c r="EQ525" s="1116"/>
      <c r="ER525" s="1116"/>
      <c r="ES525" s="1116"/>
    </row>
    <row r="526" spans="1:149" ht="15" customHeight="1">
      <c r="A526" s="1185">
        <v>516</v>
      </c>
      <c r="B526" s="1041"/>
      <c r="C526" s="1050"/>
      <c r="D526" s="1050"/>
      <c r="E526" s="1050"/>
      <c r="F526" s="1049"/>
      <c r="G526" s="1049"/>
      <c r="H526" s="1049"/>
      <c r="I526" s="1049"/>
      <c r="J526" s="1050"/>
      <c r="K526" s="1050"/>
      <c r="L526" s="1043"/>
      <c r="M526" s="1051"/>
      <c r="N526" s="1051"/>
      <c r="O526" s="1052"/>
      <c r="P526" s="1051"/>
      <c r="Q526" s="1051"/>
      <c r="R526" s="1052"/>
      <c r="S526" s="1051"/>
      <c r="T526" s="1051"/>
      <c r="U526" s="1052"/>
      <c r="V526" s="1051"/>
      <c r="W526" s="1051"/>
      <c r="X526" s="1052"/>
      <c r="Y526" s="1053"/>
      <c r="Z526" s="1051"/>
      <c r="AA526" s="1051"/>
      <c r="AB526" s="1052"/>
      <c r="AC526" s="1051"/>
      <c r="AD526" s="1051"/>
      <c r="AE526" s="1052"/>
      <c r="AF526" s="1051"/>
      <c r="AG526" s="1051"/>
      <c r="AH526" s="1051"/>
      <c r="AI526" s="1051"/>
      <c r="AJ526" s="1052"/>
      <c r="AK526" s="1051"/>
      <c r="AL526" s="1051"/>
      <c r="AM526" s="1052"/>
      <c r="AN526" s="1051"/>
      <c r="AO526" s="1051"/>
      <c r="AP526" s="1052"/>
      <c r="AQ526" s="1051"/>
      <c r="AR526" s="1051"/>
      <c r="AS526" s="1052"/>
      <c r="AT526" s="1051"/>
      <c r="AU526" s="1051"/>
      <c r="AV526" s="1052"/>
      <c r="AW526" s="1051"/>
      <c r="AX526" s="1051"/>
      <c r="AY526" s="1053"/>
      <c r="AZ526" s="1051"/>
      <c r="BA526" s="1051"/>
      <c r="BB526" s="1053"/>
      <c r="BC526" s="1051"/>
      <c r="BD526" s="1051"/>
      <c r="BE526" s="1053"/>
      <c r="BF526" s="1051"/>
      <c r="BG526" s="1051"/>
      <c r="BH526" s="1053"/>
      <c r="BI526" s="1052"/>
      <c r="BJ526" s="1052"/>
      <c r="BK526" s="1052"/>
      <c r="BL526" s="1052"/>
      <c r="BM526" s="1052"/>
      <c r="BN526" s="1054"/>
      <c r="BO526" s="1076">
        <f t="shared" si="9"/>
        <v>0</v>
      </c>
      <c r="BP526" s="1051"/>
      <c r="BQ526" s="1052"/>
      <c r="BR526" s="1054"/>
      <c r="BS526" s="1053"/>
      <c r="BT526" s="1051"/>
      <c r="BU526" s="1051"/>
      <c r="BV526" s="1051"/>
      <c r="BW526" s="1052"/>
      <c r="BX526" s="1052"/>
      <c r="BY526" s="1052"/>
      <c r="BZ526" s="1052"/>
      <c r="CA526" s="1052"/>
      <c r="CB526" s="1053"/>
      <c r="CC526" s="1053"/>
      <c r="CD526" s="1053"/>
      <c r="CE526" s="1053"/>
      <c r="CF526" s="1053"/>
      <c r="CG526" s="1053"/>
      <c r="CH526" s="1053"/>
      <c r="CI526" s="1123"/>
      <c r="CJ526" s="1123"/>
      <c r="CK526" s="1123"/>
      <c r="CL526" s="1123"/>
      <c r="CM526" s="1123"/>
      <c r="CN526" s="1123"/>
      <c r="CO526" s="1123"/>
      <c r="CP526" s="1123"/>
      <c r="CQ526" s="1123"/>
      <c r="CR526" s="1123"/>
      <c r="CS526" s="1123"/>
      <c r="CT526" s="1123"/>
      <c r="CU526" s="1123"/>
      <c r="CV526" s="1123"/>
      <c r="CW526" s="1123"/>
      <c r="CX526" s="1123"/>
      <c r="CY526" s="1123"/>
      <c r="CZ526" s="1114"/>
      <c r="DA526" s="1114"/>
      <c r="DB526" s="1114"/>
      <c r="DC526" s="1114"/>
      <c r="DD526" s="1114"/>
      <c r="DE526" s="1114"/>
      <c r="DF526" s="1114"/>
      <c r="DG526" s="1114"/>
      <c r="DH526" s="1114"/>
      <c r="DI526" s="1114"/>
      <c r="DJ526" s="1114"/>
      <c r="DK526" s="1114"/>
      <c r="DL526" s="1114"/>
      <c r="DM526" s="1114"/>
      <c r="DN526" s="1114"/>
      <c r="DO526" s="1114"/>
      <c r="DP526" s="1114"/>
      <c r="DQ526" s="1114"/>
      <c r="DR526" s="1114"/>
      <c r="DS526" s="1114"/>
      <c r="DT526" s="1114"/>
      <c r="DU526" s="1114"/>
      <c r="DV526" s="1115"/>
      <c r="DW526" s="1116"/>
      <c r="DX526" s="1116"/>
      <c r="DY526" s="1116"/>
      <c r="DZ526" s="1116"/>
      <c r="EA526" s="1116"/>
      <c r="EB526" s="1116"/>
      <c r="EC526" s="1116"/>
      <c r="ED526" s="1116"/>
      <c r="EE526" s="1116"/>
      <c r="EF526" s="1116"/>
      <c r="EG526" s="1116"/>
      <c r="EH526" s="1116"/>
      <c r="EI526" s="1116"/>
      <c r="EJ526" s="1116"/>
      <c r="EK526" s="1116"/>
      <c r="EL526" s="1116"/>
      <c r="EM526" s="1116"/>
      <c r="EN526" s="1116"/>
      <c r="EO526" s="1116"/>
      <c r="EP526" s="1116"/>
      <c r="EQ526" s="1116"/>
      <c r="ER526" s="1116"/>
      <c r="ES526" s="1116"/>
    </row>
    <row r="527" spans="1:149" ht="15" customHeight="1">
      <c r="A527" s="1185">
        <v>517</v>
      </c>
      <c r="B527" s="1041"/>
      <c r="C527" s="1050"/>
      <c r="D527" s="1050"/>
      <c r="E527" s="1050"/>
      <c r="F527" s="1049"/>
      <c r="G527" s="1049"/>
      <c r="H527" s="1049"/>
      <c r="I527" s="1049"/>
      <c r="J527" s="1050"/>
      <c r="K527" s="1050"/>
      <c r="L527" s="1043"/>
      <c r="M527" s="1051"/>
      <c r="N527" s="1051"/>
      <c r="O527" s="1052"/>
      <c r="P527" s="1051"/>
      <c r="Q527" s="1051"/>
      <c r="R527" s="1052"/>
      <c r="S527" s="1051"/>
      <c r="T527" s="1051"/>
      <c r="U527" s="1052"/>
      <c r="V527" s="1051"/>
      <c r="W527" s="1051"/>
      <c r="X527" s="1052"/>
      <c r="Y527" s="1053"/>
      <c r="Z527" s="1051"/>
      <c r="AA527" s="1051"/>
      <c r="AB527" s="1052"/>
      <c r="AC527" s="1051"/>
      <c r="AD527" s="1051"/>
      <c r="AE527" s="1052"/>
      <c r="AF527" s="1051"/>
      <c r="AG527" s="1051"/>
      <c r="AH527" s="1051"/>
      <c r="AI527" s="1051"/>
      <c r="AJ527" s="1052"/>
      <c r="AK527" s="1051"/>
      <c r="AL527" s="1051"/>
      <c r="AM527" s="1052"/>
      <c r="AN527" s="1051"/>
      <c r="AO527" s="1051"/>
      <c r="AP527" s="1052"/>
      <c r="AQ527" s="1051"/>
      <c r="AR527" s="1051"/>
      <c r="AS527" s="1052"/>
      <c r="AT527" s="1051"/>
      <c r="AU527" s="1051"/>
      <c r="AV527" s="1052"/>
      <c r="AW527" s="1051"/>
      <c r="AX527" s="1051"/>
      <c r="AY527" s="1053"/>
      <c r="AZ527" s="1051"/>
      <c r="BA527" s="1051"/>
      <c r="BB527" s="1053"/>
      <c r="BC527" s="1051"/>
      <c r="BD527" s="1051"/>
      <c r="BE527" s="1053"/>
      <c r="BF527" s="1051"/>
      <c r="BG527" s="1051"/>
      <c r="BH527" s="1053"/>
      <c r="BI527" s="1052"/>
      <c r="BJ527" s="1052"/>
      <c r="BK527" s="1052"/>
      <c r="BL527" s="1052"/>
      <c r="BM527" s="1052"/>
      <c r="BN527" s="1054"/>
      <c r="BO527" s="1076">
        <f t="shared" si="9"/>
        <v>0</v>
      </c>
      <c r="BP527" s="1051"/>
      <c r="BQ527" s="1052"/>
      <c r="BR527" s="1054"/>
      <c r="BS527" s="1053"/>
      <c r="BT527" s="1051"/>
      <c r="BU527" s="1051"/>
      <c r="BV527" s="1051"/>
      <c r="BW527" s="1052"/>
      <c r="BX527" s="1052"/>
      <c r="BY527" s="1052"/>
      <c r="BZ527" s="1052"/>
      <c r="CA527" s="1052"/>
      <c r="CB527" s="1053"/>
      <c r="CC527" s="1053"/>
      <c r="CD527" s="1053"/>
      <c r="CE527" s="1053"/>
      <c r="CF527" s="1053"/>
      <c r="CG527" s="1053"/>
      <c r="CH527" s="1053"/>
      <c r="CI527" s="1123"/>
      <c r="CJ527" s="1123"/>
      <c r="CK527" s="1123"/>
      <c r="CL527" s="1123"/>
      <c r="CM527" s="1123"/>
      <c r="CN527" s="1123"/>
      <c r="CO527" s="1123"/>
      <c r="CP527" s="1123"/>
      <c r="CQ527" s="1123"/>
      <c r="CR527" s="1123"/>
      <c r="CS527" s="1123"/>
      <c r="CT527" s="1123"/>
      <c r="CU527" s="1123"/>
      <c r="CV527" s="1123"/>
      <c r="CW527" s="1123"/>
      <c r="CX527" s="1123"/>
      <c r="CY527" s="1123"/>
      <c r="CZ527" s="1114"/>
      <c r="DA527" s="1114"/>
      <c r="DB527" s="1114"/>
      <c r="DC527" s="1114"/>
      <c r="DD527" s="1114"/>
      <c r="DE527" s="1114"/>
      <c r="DF527" s="1114"/>
      <c r="DG527" s="1114"/>
      <c r="DH527" s="1114"/>
      <c r="DI527" s="1114"/>
      <c r="DJ527" s="1114"/>
      <c r="DK527" s="1114"/>
      <c r="DL527" s="1114"/>
      <c r="DM527" s="1114"/>
      <c r="DN527" s="1114"/>
      <c r="DO527" s="1114"/>
      <c r="DP527" s="1114"/>
      <c r="DQ527" s="1114"/>
      <c r="DR527" s="1114"/>
      <c r="DS527" s="1114"/>
      <c r="DT527" s="1114"/>
      <c r="DU527" s="1114"/>
      <c r="DV527" s="1115"/>
      <c r="DW527" s="1116"/>
      <c r="DX527" s="1116"/>
      <c r="DY527" s="1116"/>
      <c r="DZ527" s="1116"/>
      <c r="EA527" s="1116"/>
      <c r="EB527" s="1116"/>
      <c r="EC527" s="1116"/>
      <c r="ED527" s="1116"/>
      <c r="EE527" s="1116"/>
      <c r="EF527" s="1116"/>
      <c r="EG527" s="1116"/>
      <c r="EH527" s="1116"/>
      <c r="EI527" s="1116"/>
      <c r="EJ527" s="1116"/>
      <c r="EK527" s="1116"/>
      <c r="EL527" s="1116"/>
      <c r="EM527" s="1116"/>
      <c r="EN527" s="1116"/>
      <c r="EO527" s="1116"/>
      <c r="EP527" s="1116"/>
      <c r="EQ527" s="1116"/>
      <c r="ER527" s="1116"/>
      <c r="ES527" s="1116"/>
    </row>
    <row r="528" spans="1:149" ht="15" customHeight="1">
      <c r="A528" s="1185">
        <v>518</v>
      </c>
      <c r="B528" s="1041"/>
      <c r="C528" s="1050"/>
      <c r="D528" s="1050"/>
      <c r="E528" s="1050"/>
      <c r="F528" s="1049"/>
      <c r="G528" s="1049"/>
      <c r="H528" s="1049"/>
      <c r="I528" s="1049"/>
      <c r="J528" s="1050"/>
      <c r="K528" s="1050"/>
      <c r="L528" s="1043"/>
      <c r="M528" s="1051"/>
      <c r="N528" s="1051"/>
      <c r="O528" s="1052"/>
      <c r="P528" s="1051"/>
      <c r="Q528" s="1051"/>
      <c r="R528" s="1052"/>
      <c r="S528" s="1051"/>
      <c r="T528" s="1051"/>
      <c r="U528" s="1052"/>
      <c r="V528" s="1051"/>
      <c r="W528" s="1051"/>
      <c r="X528" s="1052"/>
      <c r="Y528" s="1053"/>
      <c r="Z528" s="1051"/>
      <c r="AA528" s="1051"/>
      <c r="AB528" s="1052"/>
      <c r="AC528" s="1051"/>
      <c r="AD528" s="1051"/>
      <c r="AE528" s="1052"/>
      <c r="AF528" s="1051"/>
      <c r="AG528" s="1051"/>
      <c r="AH528" s="1051"/>
      <c r="AI528" s="1051"/>
      <c r="AJ528" s="1052"/>
      <c r="AK528" s="1051"/>
      <c r="AL528" s="1051"/>
      <c r="AM528" s="1052"/>
      <c r="AN528" s="1051"/>
      <c r="AO528" s="1051"/>
      <c r="AP528" s="1052"/>
      <c r="AQ528" s="1051"/>
      <c r="AR528" s="1051"/>
      <c r="AS528" s="1052"/>
      <c r="AT528" s="1051"/>
      <c r="AU528" s="1051"/>
      <c r="AV528" s="1052"/>
      <c r="AW528" s="1051"/>
      <c r="AX528" s="1051"/>
      <c r="AY528" s="1053"/>
      <c r="AZ528" s="1051"/>
      <c r="BA528" s="1051"/>
      <c r="BB528" s="1053"/>
      <c r="BC528" s="1051"/>
      <c r="BD528" s="1051"/>
      <c r="BE528" s="1053"/>
      <c r="BF528" s="1051"/>
      <c r="BG528" s="1051"/>
      <c r="BH528" s="1053"/>
      <c r="BI528" s="1052"/>
      <c r="BJ528" s="1052"/>
      <c r="BK528" s="1052"/>
      <c r="BL528" s="1052"/>
      <c r="BM528" s="1052"/>
      <c r="BN528" s="1054"/>
      <c r="BO528" s="1076">
        <f t="shared" si="9"/>
        <v>0</v>
      </c>
      <c r="BP528" s="1051"/>
      <c r="BQ528" s="1052"/>
      <c r="BR528" s="1054"/>
      <c r="BS528" s="1053"/>
      <c r="BT528" s="1051"/>
      <c r="BU528" s="1051"/>
      <c r="BV528" s="1051"/>
      <c r="BW528" s="1052"/>
      <c r="BX528" s="1052"/>
      <c r="BY528" s="1052"/>
      <c r="BZ528" s="1052"/>
      <c r="CA528" s="1052"/>
      <c r="CB528" s="1053"/>
      <c r="CC528" s="1053"/>
      <c r="CD528" s="1053"/>
      <c r="CE528" s="1053"/>
      <c r="CF528" s="1053"/>
      <c r="CG528" s="1053"/>
      <c r="CH528" s="1053"/>
      <c r="CI528" s="1123"/>
      <c r="CJ528" s="1123"/>
      <c r="CK528" s="1123"/>
      <c r="CL528" s="1123"/>
      <c r="CM528" s="1123"/>
      <c r="CN528" s="1123"/>
      <c r="CO528" s="1123"/>
      <c r="CP528" s="1123"/>
      <c r="CQ528" s="1123"/>
      <c r="CR528" s="1123"/>
      <c r="CS528" s="1123"/>
      <c r="CT528" s="1123"/>
      <c r="CU528" s="1123"/>
      <c r="CV528" s="1123"/>
      <c r="CW528" s="1123"/>
      <c r="CX528" s="1123"/>
      <c r="CY528" s="1123"/>
      <c r="CZ528" s="1114"/>
      <c r="DA528" s="1114"/>
      <c r="DB528" s="1114"/>
      <c r="DC528" s="1114"/>
      <c r="DD528" s="1114"/>
      <c r="DE528" s="1114"/>
      <c r="DF528" s="1114"/>
      <c r="DG528" s="1114"/>
      <c r="DH528" s="1114"/>
      <c r="DI528" s="1114"/>
      <c r="DJ528" s="1114"/>
      <c r="DK528" s="1114"/>
      <c r="DL528" s="1114"/>
      <c r="DM528" s="1114"/>
      <c r="DN528" s="1114"/>
      <c r="DO528" s="1114"/>
      <c r="DP528" s="1114"/>
      <c r="DQ528" s="1114"/>
      <c r="DR528" s="1114"/>
      <c r="DS528" s="1114"/>
      <c r="DT528" s="1114"/>
      <c r="DU528" s="1114"/>
      <c r="DV528" s="1115"/>
      <c r="DW528" s="1116"/>
      <c r="DX528" s="1116"/>
      <c r="DY528" s="1116"/>
      <c r="DZ528" s="1116"/>
      <c r="EA528" s="1116"/>
      <c r="EB528" s="1116"/>
      <c r="EC528" s="1116"/>
      <c r="ED528" s="1116"/>
      <c r="EE528" s="1116"/>
      <c r="EF528" s="1116"/>
      <c r="EG528" s="1116"/>
      <c r="EH528" s="1116"/>
      <c r="EI528" s="1116"/>
      <c r="EJ528" s="1116"/>
      <c r="EK528" s="1116"/>
      <c r="EL528" s="1116"/>
      <c r="EM528" s="1116"/>
      <c r="EN528" s="1116"/>
      <c r="EO528" s="1116"/>
      <c r="EP528" s="1116"/>
      <c r="EQ528" s="1116"/>
      <c r="ER528" s="1116"/>
      <c r="ES528" s="1116"/>
    </row>
    <row r="529" spans="1:149" ht="15" customHeight="1">
      <c r="A529" s="1185">
        <v>519</v>
      </c>
      <c r="B529" s="1041"/>
      <c r="C529" s="1050"/>
      <c r="D529" s="1050"/>
      <c r="E529" s="1050"/>
      <c r="F529" s="1049"/>
      <c r="G529" s="1049"/>
      <c r="H529" s="1049"/>
      <c r="I529" s="1049"/>
      <c r="J529" s="1050"/>
      <c r="K529" s="1050"/>
      <c r="L529" s="1043"/>
      <c r="M529" s="1051"/>
      <c r="N529" s="1051"/>
      <c r="O529" s="1052"/>
      <c r="P529" s="1051"/>
      <c r="Q529" s="1051"/>
      <c r="R529" s="1052"/>
      <c r="S529" s="1051"/>
      <c r="T529" s="1051"/>
      <c r="U529" s="1052"/>
      <c r="V529" s="1051"/>
      <c r="W529" s="1051"/>
      <c r="X529" s="1052"/>
      <c r="Y529" s="1053"/>
      <c r="Z529" s="1051"/>
      <c r="AA529" s="1051"/>
      <c r="AB529" s="1052"/>
      <c r="AC529" s="1051"/>
      <c r="AD529" s="1051"/>
      <c r="AE529" s="1052"/>
      <c r="AF529" s="1051"/>
      <c r="AG529" s="1051"/>
      <c r="AH529" s="1051"/>
      <c r="AI529" s="1051"/>
      <c r="AJ529" s="1052"/>
      <c r="AK529" s="1051"/>
      <c r="AL529" s="1051"/>
      <c r="AM529" s="1052"/>
      <c r="AN529" s="1051"/>
      <c r="AO529" s="1051"/>
      <c r="AP529" s="1052"/>
      <c r="AQ529" s="1051"/>
      <c r="AR529" s="1051"/>
      <c r="AS529" s="1052"/>
      <c r="AT529" s="1051"/>
      <c r="AU529" s="1051"/>
      <c r="AV529" s="1052"/>
      <c r="AW529" s="1051"/>
      <c r="AX529" s="1051"/>
      <c r="AY529" s="1053"/>
      <c r="AZ529" s="1051"/>
      <c r="BA529" s="1051"/>
      <c r="BB529" s="1053"/>
      <c r="BC529" s="1051"/>
      <c r="BD529" s="1051"/>
      <c r="BE529" s="1053"/>
      <c r="BF529" s="1051"/>
      <c r="BG529" s="1051"/>
      <c r="BH529" s="1053"/>
      <c r="BI529" s="1052"/>
      <c r="BJ529" s="1052"/>
      <c r="BK529" s="1052"/>
      <c r="BL529" s="1052"/>
      <c r="BM529" s="1052"/>
      <c r="BN529" s="1054"/>
      <c r="BO529" s="1076">
        <f t="shared" si="9"/>
        <v>0</v>
      </c>
      <c r="BP529" s="1051"/>
      <c r="BQ529" s="1052"/>
      <c r="BR529" s="1054"/>
      <c r="BS529" s="1053"/>
      <c r="BT529" s="1051"/>
      <c r="BU529" s="1051"/>
      <c r="BV529" s="1051"/>
      <c r="BW529" s="1052"/>
      <c r="BX529" s="1052"/>
      <c r="BY529" s="1052"/>
      <c r="BZ529" s="1052"/>
      <c r="CA529" s="1052"/>
      <c r="CB529" s="1053"/>
      <c r="CC529" s="1053"/>
      <c r="CD529" s="1053"/>
      <c r="CE529" s="1053"/>
      <c r="CF529" s="1053"/>
      <c r="CG529" s="1053"/>
      <c r="CH529" s="1053"/>
      <c r="CI529" s="1123"/>
      <c r="CJ529" s="1123"/>
      <c r="CK529" s="1123"/>
      <c r="CL529" s="1123"/>
      <c r="CM529" s="1123"/>
      <c r="CN529" s="1123"/>
      <c r="CO529" s="1123"/>
      <c r="CP529" s="1123"/>
      <c r="CQ529" s="1123"/>
      <c r="CR529" s="1123"/>
      <c r="CS529" s="1123"/>
      <c r="CT529" s="1123"/>
      <c r="CU529" s="1123"/>
      <c r="CV529" s="1123"/>
      <c r="CW529" s="1123"/>
      <c r="CX529" s="1123"/>
      <c r="CY529" s="1123"/>
      <c r="CZ529" s="1114"/>
      <c r="DA529" s="1114"/>
      <c r="DB529" s="1114"/>
      <c r="DC529" s="1114"/>
      <c r="DD529" s="1114"/>
      <c r="DE529" s="1114"/>
      <c r="DF529" s="1114"/>
      <c r="DG529" s="1114"/>
      <c r="DH529" s="1114"/>
      <c r="DI529" s="1114"/>
      <c r="DJ529" s="1114"/>
      <c r="DK529" s="1114"/>
      <c r="DL529" s="1114"/>
      <c r="DM529" s="1114"/>
      <c r="DN529" s="1114"/>
      <c r="DO529" s="1114"/>
      <c r="DP529" s="1114"/>
      <c r="DQ529" s="1114"/>
      <c r="DR529" s="1114"/>
      <c r="DS529" s="1114"/>
      <c r="DT529" s="1114"/>
      <c r="DU529" s="1114"/>
      <c r="DV529" s="1115"/>
      <c r="DW529" s="1116"/>
      <c r="DX529" s="1116"/>
      <c r="DY529" s="1116"/>
      <c r="DZ529" s="1116"/>
      <c r="EA529" s="1116"/>
      <c r="EB529" s="1116"/>
      <c r="EC529" s="1116"/>
      <c r="ED529" s="1116"/>
      <c r="EE529" s="1116"/>
      <c r="EF529" s="1116"/>
      <c r="EG529" s="1116"/>
      <c r="EH529" s="1116"/>
      <c r="EI529" s="1116"/>
      <c r="EJ529" s="1116"/>
      <c r="EK529" s="1116"/>
      <c r="EL529" s="1116"/>
      <c r="EM529" s="1116"/>
      <c r="EN529" s="1116"/>
      <c r="EO529" s="1116"/>
      <c r="EP529" s="1116"/>
      <c r="EQ529" s="1116"/>
      <c r="ER529" s="1116"/>
      <c r="ES529" s="1116"/>
    </row>
    <row r="530" spans="1:149" ht="15" customHeight="1">
      <c r="A530" s="1185">
        <v>520</v>
      </c>
      <c r="B530" s="1041"/>
      <c r="C530" s="1050"/>
      <c r="D530" s="1050"/>
      <c r="E530" s="1050"/>
      <c r="F530" s="1049"/>
      <c r="G530" s="1049"/>
      <c r="H530" s="1049"/>
      <c r="I530" s="1049"/>
      <c r="J530" s="1050"/>
      <c r="K530" s="1050"/>
      <c r="L530" s="1043"/>
      <c r="M530" s="1051"/>
      <c r="N530" s="1051"/>
      <c r="O530" s="1052"/>
      <c r="P530" s="1051"/>
      <c r="Q530" s="1051"/>
      <c r="R530" s="1052"/>
      <c r="S530" s="1051"/>
      <c r="T530" s="1051"/>
      <c r="U530" s="1052"/>
      <c r="V530" s="1051"/>
      <c r="W530" s="1051"/>
      <c r="X530" s="1052"/>
      <c r="Y530" s="1053"/>
      <c r="Z530" s="1051"/>
      <c r="AA530" s="1051"/>
      <c r="AB530" s="1052"/>
      <c r="AC530" s="1051"/>
      <c r="AD530" s="1051"/>
      <c r="AE530" s="1052"/>
      <c r="AF530" s="1051"/>
      <c r="AG530" s="1051"/>
      <c r="AH530" s="1051"/>
      <c r="AI530" s="1051"/>
      <c r="AJ530" s="1052"/>
      <c r="AK530" s="1051"/>
      <c r="AL530" s="1051"/>
      <c r="AM530" s="1052"/>
      <c r="AN530" s="1051"/>
      <c r="AO530" s="1051"/>
      <c r="AP530" s="1052"/>
      <c r="AQ530" s="1051"/>
      <c r="AR530" s="1051"/>
      <c r="AS530" s="1052"/>
      <c r="AT530" s="1051"/>
      <c r="AU530" s="1051"/>
      <c r="AV530" s="1052"/>
      <c r="AW530" s="1051"/>
      <c r="AX530" s="1051"/>
      <c r="AY530" s="1053"/>
      <c r="AZ530" s="1051"/>
      <c r="BA530" s="1051"/>
      <c r="BB530" s="1053"/>
      <c r="BC530" s="1051"/>
      <c r="BD530" s="1051"/>
      <c r="BE530" s="1053"/>
      <c r="BF530" s="1051"/>
      <c r="BG530" s="1051"/>
      <c r="BH530" s="1053"/>
      <c r="BI530" s="1052"/>
      <c r="BJ530" s="1052"/>
      <c r="BK530" s="1052"/>
      <c r="BL530" s="1052"/>
      <c r="BM530" s="1052"/>
      <c r="BN530" s="1054"/>
      <c r="BO530" s="1076">
        <f t="shared" si="9"/>
        <v>0</v>
      </c>
      <c r="BP530" s="1051"/>
      <c r="BQ530" s="1052"/>
      <c r="BR530" s="1054"/>
      <c r="BS530" s="1053"/>
      <c r="BT530" s="1051"/>
      <c r="BU530" s="1051"/>
      <c r="BV530" s="1051"/>
      <c r="BW530" s="1052"/>
      <c r="BX530" s="1052"/>
      <c r="BY530" s="1052"/>
      <c r="BZ530" s="1052"/>
      <c r="CA530" s="1052"/>
      <c r="CB530" s="1053"/>
      <c r="CC530" s="1053"/>
      <c r="CD530" s="1053"/>
      <c r="CE530" s="1053"/>
      <c r="CF530" s="1053"/>
      <c r="CG530" s="1053"/>
      <c r="CH530" s="1053"/>
      <c r="CI530" s="1123"/>
      <c r="CJ530" s="1123"/>
      <c r="CK530" s="1123"/>
      <c r="CL530" s="1123"/>
      <c r="CM530" s="1123"/>
      <c r="CN530" s="1123"/>
      <c r="CO530" s="1123"/>
      <c r="CP530" s="1123"/>
      <c r="CQ530" s="1123"/>
      <c r="CR530" s="1123"/>
      <c r="CS530" s="1123"/>
      <c r="CT530" s="1123"/>
      <c r="CU530" s="1123"/>
      <c r="CV530" s="1123"/>
      <c r="CW530" s="1123"/>
      <c r="CX530" s="1123"/>
      <c r="CY530" s="1123"/>
      <c r="CZ530" s="1114"/>
      <c r="DA530" s="1114"/>
      <c r="DB530" s="1114"/>
      <c r="DC530" s="1114"/>
      <c r="DD530" s="1114"/>
      <c r="DE530" s="1114"/>
      <c r="DF530" s="1114"/>
      <c r="DG530" s="1114"/>
      <c r="DH530" s="1114"/>
      <c r="DI530" s="1114"/>
      <c r="DJ530" s="1114"/>
      <c r="DK530" s="1114"/>
      <c r="DL530" s="1114"/>
      <c r="DM530" s="1114"/>
      <c r="DN530" s="1114"/>
      <c r="DO530" s="1114"/>
      <c r="DP530" s="1114"/>
      <c r="DQ530" s="1114"/>
      <c r="DR530" s="1114"/>
      <c r="DS530" s="1114"/>
      <c r="DT530" s="1114"/>
      <c r="DU530" s="1114"/>
      <c r="DV530" s="1115"/>
      <c r="DW530" s="1116"/>
      <c r="DX530" s="1116"/>
      <c r="DY530" s="1116"/>
      <c r="DZ530" s="1116"/>
      <c r="EA530" s="1116"/>
      <c r="EB530" s="1116"/>
      <c r="EC530" s="1116"/>
      <c r="ED530" s="1116"/>
      <c r="EE530" s="1116"/>
      <c r="EF530" s="1116"/>
      <c r="EG530" s="1116"/>
      <c r="EH530" s="1116"/>
      <c r="EI530" s="1116"/>
      <c r="EJ530" s="1116"/>
      <c r="EK530" s="1116"/>
      <c r="EL530" s="1116"/>
      <c r="EM530" s="1116"/>
      <c r="EN530" s="1116"/>
      <c r="EO530" s="1116"/>
      <c r="EP530" s="1116"/>
      <c r="EQ530" s="1116"/>
      <c r="ER530" s="1116"/>
      <c r="ES530" s="1116"/>
    </row>
    <row r="531" spans="1:149" ht="15" customHeight="1">
      <c r="A531" s="1185">
        <v>521</v>
      </c>
      <c r="B531" s="1041"/>
      <c r="C531" s="1050"/>
      <c r="D531" s="1050"/>
      <c r="E531" s="1050"/>
      <c r="F531" s="1049"/>
      <c r="G531" s="1049"/>
      <c r="H531" s="1049"/>
      <c r="I531" s="1049"/>
      <c r="J531" s="1050"/>
      <c r="K531" s="1050"/>
      <c r="L531" s="1043"/>
      <c r="M531" s="1051"/>
      <c r="N531" s="1051"/>
      <c r="O531" s="1052"/>
      <c r="P531" s="1051"/>
      <c r="Q531" s="1051"/>
      <c r="R531" s="1052"/>
      <c r="S531" s="1051"/>
      <c r="T531" s="1051"/>
      <c r="U531" s="1052"/>
      <c r="V531" s="1051"/>
      <c r="W531" s="1051"/>
      <c r="X531" s="1052"/>
      <c r="Y531" s="1053"/>
      <c r="Z531" s="1051"/>
      <c r="AA531" s="1051"/>
      <c r="AB531" s="1052"/>
      <c r="AC531" s="1051"/>
      <c r="AD531" s="1051"/>
      <c r="AE531" s="1052"/>
      <c r="AF531" s="1051"/>
      <c r="AG531" s="1051"/>
      <c r="AH531" s="1051"/>
      <c r="AI531" s="1051"/>
      <c r="AJ531" s="1052"/>
      <c r="AK531" s="1051"/>
      <c r="AL531" s="1051"/>
      <c r="AM531" s="1052"/>
      <c r="AN531" s="1051"/>
      <c r="AO531" s="1051"/>
      <c r="AP531" s="1052"/>
      <c r="AQ531" s="1051"/>
      <c r="AR531" s="1051"/>
      <c r="AS531" s="1052"/>
      <c r="AT531" s="1051"/>
      <c r="AU531" s="1051"/>
      <c r="AV531" s="1052"/>
      <c r="AW531" s="1051"/>
      <c r="AX531" s="1051"/>
      <c r="AY531" s="1053"/>
      <c r="AZ531" s="1051"/>
      <c r="BA531" s="1051"/>
      <c r="BB531" s="1053"/>
      <c r="BC531" s="1051"/>
      <c r="BD531" s="1051"/>
      <c r="BE531" s="1053"/>
      <c r="BF531" s="1051"/>
      <c r="BG531" s="1051"/>
      <c r="BH531" s="1053"/>
      <c r="BI531" s="1052"/>
      <c r="BJ531" s="1052"/>
      <c r="BK531" s="1052"/>
      <c r="BL531" s="1052"/>
      <c r="BM531" s="1052"/>
      <c r="BN531" s="1054"/>
      <c r="BO531" s="1076">
        <f t="shared" si="9"/>
        <v>0</v>
      </c>
      <c r="BP531" s="1051"/>
      <c r="BQ531" s="1052"/>
      <c r="BR531" s="1054"/>
      <c r="BS531" s="1053"/>
      <c r="BT531" s="1051"/>
      <c r="BU531" s="1051"/>
      <c r="BV531" s="1051"/>
      <c r="BW531" s="1052"/>
      <c r="BX531" s="1052"/>
      <c r="BY531" s="1052"/>
      <c r="BZ531" s="1052"/>
      <c r="CA531" s="1052"/>
      <c r="CB531" s="1053"/>
      <c r="CC531" s="1053"/>
      <c r="CD531" s="1053"/>
      <c r="CE531" s="1053"/>
      <c r="CF531" s="1053"/>
      <c r="CG531" s="1053"/>
      <c r="CH531" s="1053"/>
      <c r="CI531" s="1123"/>
      <c r="CJ531" s="1123"/>
      <c r="CK531" s="1123"/>
      <c r="CL531" s="1123"/>
      <c r="CM531" s="1123"/>
      <c r="CN531" s="1123"/>
      <c r="CO531" s="1123"/>
      <c r="CP531" s="1123"/>
      <c r="CQ531" s="1123"/>
      <c r="CR531" s="1123"/>
      <c r="CS531" s="1123"/>
      <c r="CT531" s="1123"/>
      <c r="CU531" s="1123"/>
      <c r="CV531" s="1123"/>
      <c r="CW531" s="1123"/>
      <c r="CX531" s="1123"/>
      <c r="CY531" s="1123"/>
      <c r="CZ531" s="1114"/>
      <c r="DA531" s="1114"/>
      <c r="DB531" s="1114"/>
      <c r="DC531" s="1114"/>
      <c r="DD531" s="1114"/>
      <c r="DE531" s="1114"/>
      <c r="DF531" s="1114"/>
      <c r="DG531" s="1114"/>
      <c r="DH531" s="1114"/>
      <c r="DI531" s="1114"/>
      <c r="DJ531" s="1114"/>
      <c r="DK531" s="1114"/>
      <c r="DL531" s="1114"/>
      <c r="DM531" s="1114"/>
      <c r="DN531" s="1114"/>
      <c r="DO531" s="1114"/>
      <c r="DP531" s="1114"/>
      <c r="DQ531" s="1114"/>
      <c r="DR531" s="1114"/>
      <c r="DS531" s="1114"/>
      <c r="DT531" s="1114"/>
      <c r="DU531" s="1114"/>
      <c r="DV531" s="1115"/>
      <c r="DW531" s="1116"/>
      <c r="DX531" s="1116"/>
      <c r="DY531" s="1116"/>
      <c r="DZ531" s="1116"/>
      <c r="EA531" s="1116"/>
      <c r="EB531" s="1116"/>
      <c r="EC531" s="1116"/>
      <c r="ED531" s="1116"/>
      <c r="EE531" s="1116"/>
      <c r="EF531" s="1116"/>
      <c r="EG531" s="1116"/>
      <c r="EH531" s="1116"/>
      <c r="EI531" s="1116"/>
      <c r="EJ531" s="1116"/>
      <c r="EK531" s="1116"/>
      <c r="EL531" s="1116"/>
      <c r="EM531" s="1116"/>
      <c r="EN531" s="1116"/>
      <c r="EO531" s="1116"/>
      <c r="EP531" s="1116"/>
      <c r="EQ531" s="1116"/>
      <c r="ER531" s="1116"/>
      <c r="ES531" s="1116"/>
    </row>
    <row r="532" spans="1:149" ht="15" customHeight="1">
      <c r="A532" s="1185">
        <v>522</v>
      </c>
      <c r="B532" s="1041"/>
      <c r="C532" s="1050"/>
      <c r="D532" s="1050"/>
      <c r="E532" s="1050"/>
      <c r="F532" s="1049"/>
      <c r="G532" s="1049"/>
      <c r="H532" s="1049"/>
      <c r="I532" s="1049"/>
      <c r="J532" s="1050"/>
      <c r="K532" s="1050"/>
      <c r="L532" s="1043"/>
      <c r="M532" s="1051"/>
      <c r="N532" s="1051"/>
      <c r="O532" s="1052"/>
      <c r="P532" s="1051"/>
      <c r="Q532" s="1051"/>
      <c r="R532" s="1052"/>
      <c r="S532" s="1051"/>
      <c r="T532" s="1051"/>
      <c r="U532" s="1052"/>
      <c r="V532" s="1051"/>
      <c r="W532" s="1051"/>
      <c r="X532" s="1052"/>
      <c r="Y532" s="1053"/>
      <c r="Z532" s="1051"/>
      <c r="AA532" s="1051"/>
      <c r="AB532" s="1052"/>
      <c r="AC532" s="1051"/>
      <c r="AD532" s="1051"/>
      <c r="AE532" s="1052"/>
      <c r="AF532" s="1051"/>
      <c r="AG532" s="1051"/>
      <c r="AH532" s="1051"/>
      <c r="AI532" s="1051"/>
      <c r="AJ532" s="1052"/>
      <c r="AK532" s="1051"/>
      <c r="AL532" s="1051"/>
      <c r="AM532" s="1052"/>
      <c r="AN532" s="1051"/>
      <c r="AO532" s="1051"/>
      <c r="AP532" s="1052"/>
      <c r="AQ532" s="1051"/>
      <c r="AR532" s="1051"/>
      <c r="AS532" s="1052"/>
      <c r="AT532" s="1051"/>
      <c r="AU532" s="1051"/>
      <c r="AV532" s="1052"/>
      <c r="AW532" s="1051"/>
      <c r="AX532" s="1051"/>
      <c r="AY532" s="1053"/>
      <c r="AZ532" s="1051"/>
      <c r="BA532" s="1051"/>
      <c r="BB532" s="1053"/>
      <c r="BC532" s="1051"/>
      <c r="BD532" s="1051"/>
      <c r="BE532" s="1053"/>
      <c r="BF532" s="1051"/>
      <c r="BG532" s="1051"/>
      <c r="BH532" s="1053"/>
      <c r="BI532" s="1052"/>
      <c r="BJ532" s="1052"/>
      <c r="BK532" s="1052"/>
      <c r="BL532" s="1052"/>
      <c r="BM532" s="1052"/>
      <c r="BN532" s="1054"/>
      <c r="BO532" s="1076">
        <f t="shared" si="9"/>
        <v>0</v>
      </c>
      <c r="BP532" s="1051"/>
      <c r="BQ532" s="1052"/>
      <c r="BR532" s="1054"/>
      <c r="BS532" s="1053"/>
      <c r="BT532" s="1051"/>
      <c r="BU532" s="1051"/>
      <c r="BV532" s="1051"/>
      <c r="BW532" s="1052"/>
      <c r="BX532" s="1052"/>
      <c r="BY532" s="1052"/>
      <c r="BZ532" s="1052"/>
      <c r="CA532" s="1052"/>
      <c r="CB532" s="1053"/>
      <c r="CC532" s="1053"/>
      <c r="CD532" s="1053"/>
      <c r="CE532" s="1053"/>
      <c r="CF532" s="1053"/>
      <c r="CG532" s="1053"/>
      <c r="CH532" s="1053"/>
      <c r="CI532" s="1123"/>
      <c r="CJ532" s="1123"/>
      <c r="CK532" s="1123"/>
      <c r="CL532" s="1123"/>
      <c r="CM532" s="1123"/>
      <c r="CN532" s="1123"/>
      <c r="CO532" s="1123"/>
      <c r="CP532" s="1123"/>
      <c r="CQ532" s="1123"/>
      <c r="CR532" s="1123"/>
      <c r="CS532" s="1123"/>
      <c r="CT532" s="1123"/>
      <c r="CU532" s="1123"/>
      <c r="CV532" s="1123"/>
      <c r="CW532" s="1123"/>
      <c r="CX532" s="1123"/>
      <c r="CY532" s="1123"/>
      <c r="CZ532" s="1114"/>
      <c r="DA532" s="1114"/>
      <c r="DB532" s="1114"/>
      <c r="DC532" s="1114"/>
      <c r="DD532" s="1114"/>
      <c r="DE532" s="1114"/>
      <c r="DF532" s="1114"/>
      <c r="DG532" s="1114"/>
      <c r="DH532" s="1114"/>
      <c r="DI532" s="1114"/>
      <c r="DJ532" s="1114"/>
      <c r="DK532" s="1114"/>
      <c r="DL532" s="1114"/>
      <c r="DM532" s="1114"/>
      <c r="DN532" s="1114"/>
      <c r="DO532" s="1114"/>
      <c r="DP532" s="1114"/>
      <c r="DQ532" s="1114"/>
      <c r="DR532" s="1114"/>
      <c r="DS532" s="1114"/>
      <c r="DT532" s="1114"/>
      <c r="DU532" s="1114"/>
      <c r="DV532" s="1115"/>
      <c r="DW532" s="1116"/>
      <c r="DX532" s="1116"/>
      <c r="DY532" s="1116"/>
      <c r="DZ532" s="1116"/>
      <c r="EA532" s="1116"/>
      <c r="EB532" s="1116"/>
      <c r="EC532" s="1116"/>
      <c r="ED532" s="1116"/>
      <c r="EE532" s="1116"/>
      <c r="EF532" s="1116"/>
      <c r="EG532" s="1116"/>
      <c r="EH532" s="1116"/>
      <c r="EI532" s="1116"/>
      <c r="EJ532" s="1116"/>
      <c r="EK532" s="1116"/>
      <c r="EL532" s="1116"/>
      <c r="EM532" s="1116"/>
      <c r="EN532" s="1116"/>
      <c r="EO532" s="1116"/>
      <c r="EP532" s="1116"/>
      <c r="EQ532" s="1116"/>
      <c r="ER532" s="1116"/>
      <c r="ES532" s="1116"/>
    </row>
    <row r="533" spans="1:149" ht="15" customHeight="1">
      <c r="A533" s="1185">
        <v>523</v>
      </c>
      <c r="B533" s="1041"/>
      <c r="C533" s="1050"/>
      <c r="D533" s="1050"/>
      <c r="E533" s="1050"/>
      <c r="F533" s="1049"/>
      <c r="G533" s="1049"/>
      <c r="H533" s="1049"/>
      <c r="I533" s="1049"/>
      <c r="J533" s="1050"/>
      <c r="K533" s="1050"/>
      <c r="L533" s="1043"/>
      <c r="M533" s="1051"/>
      <c r="N533" s="1051"/>
      <c r="O533" s="1052"/>
      <c r="P533" s="1051"/>
      <c r="Q533" s="1051"/>
      <c r="R533" s="1052"/>
      <c r="S533" s="1051"/>
      <c r="T533" s="1051"/>
      <c r="U533" s="1052"/>
      <c r="V533" s="1051"/>
      <c r="W533" s="1051"/>
      <c r="X533" s="1052"/>
      <c r="Y533" s="1053"/>
      <c r="Z533" s="1051"/>
      <c r="AA533" s="1051"/>
      <c r="AB533" s="1052"/>
      <c r="AC533" s="1051"/>
      <c r="AD533" s="1051"/>
      <c r="AE533" s="1052"/>
      <c r="AF533" s="1051"/>
      <c r="AG533" s="1051"/>
      <c r="AH533" s="1051"/>
      <c r="AI533" s="1051"/>
      <c r="AJ533" s="1052"/>
      <c r="AK533" s="1051"/>
      <c r="AL533" s="1051"/>
      <c r="AM533" s="1052"/>
      <c r="AN533" s="1051"/>
      <c r="AO533" s="1051"/>
      <c r="AP533" s="1052"/>
      <c r="AQ533" s="1051"/>
      <c r="AR533" s="1051"/>
      <c r="AS533" s="1052"/>
      <c r="AT533" s="1051"/>
      <c r="AU533" s="1051"/>
      <c r="AV533" s="1052"/>
      <c r="AW533" s="1051"/>
      <c r="AX533" s="1051"/>
      <c r="AY533" s="1053"/>
      <c r="AZ533" s="1051"/>
      <c r="BA533" s="1051"/>
      <c r="BB533" s="1053"/>
      <c r="BC533" s="1051"/>
      <c r="BD533" s="1051"/>
      <c r="BE533" s="1053"/>
      <c r="BF533" s="1051"/>
      <c r="BG533" s="1051"/>
      <c r="BH533" s="1053"/>
      <c r="BI533" s="1052"/>
      <c r="BJ533" s="1052"/>
      <c r="BK533" s="1052"/>
      <c r="BL533" s="1052"/>
      <c r="BM533" s="1052"/>
      <c r="BN533" s="1054"/>
      <c r="BO533" s="1076">
        <f t="shared" si="9"/>
        <v>0</v>
      </c>
      <c r="BP533" s="1051"/>
      <c r="BQ533" s="1052"/>
      <c r="BR533" s="1054"/>
      <c r="BS533" s="1053"/>
      <c r="BT533" s="1051"/>
      <c r="BU533" s="1051"/>
      <c r="BV533" s="1051"/>
      <c r="BW533" s="1052"/>
      <c r="BX533" s="1052"/>
      <c r="BY533" s="1052"/>
      <c r="BZ533" s="1052"/>
      <c r="CA533" s="1052"/>
      <c r="CB533" s="1053"/>
      <c r="CC533" s="1053"/>
      <c r="CD533" s="1053"/>
      <c r="CE533" s="1053"/>
      <c r="CF533" s="1053"/>
      <c r="CG533" s="1053"/>
      <c r="CH533" s="1053"/>
      <c r="CI533" s="1123"/>
      <c r="CJ533" s="1123"/>
      <c r="CK533" s="1123"/>
      <c r="CL533" s="1123"/>
      <c r="CM533" s="1123"/>
      <c r="CN533" s="1123"/>
      <c r="CO533" s="1123"/>
      <c r="CP533" s="1123"/>
      <c r="CQ533" s="1123"/>
      <c r="CR533" s="1123"/>
      <c r="CS533" s="1123"/>
      <c r="CT533" s="1123"/>
      <c r="CU533" s="1123"/>
      <c r="CV533" s="1123"/>
      <c r="CW533" s="1123"/>
      <c r="CX533" s="1123"/>
      <c r="CY533" s="1123"/>
      <c r="CZ533" s="1114"/>
      <c r="DA533" s="1114"/>
      <c r="DB533" s="1114"/>
      <c r="DC533" s="1114"/>
      <c r="DD533" s="1114"/>
      <c r="DE533" s="1114"/>
      <c r="DF533" s="1114"/>
      <c r="DG533" s="1114"/>
      <c r="DH533" s="1114"/>
      <c r="DI533" s="1114"/>
      <c r="DJ533" s="1114"/>
      <c r="DK533" s="1114"/>
      <c r="DL533" s="1114"/>
      <c r="DM533" s="1114"/>
      <c r="DN533" s="1114"/>
      <c r="DO533" s="1114"/>
      <c r="DP533" s="1114"/>
      <c r="DQ533" s="1114"/>
      <c r="DR533" s="1114"/>
      <c r="DS533" s="1114"/>
      <c r="DT533" s="1114"/>
      <c r="DU533" s="1114"/>
      <c r="DV533" s="1115"/>
      <c r="DW533" s="1116"/>
      <c r="DX533" s="1116"/>
      <c r="DY533" s="1116"/>
      <c r="DZ533" s="1116"/>
      <c r="EA533" s="1116"/>
      <c r="EB533" s="1116"/>
      <c r="EC533" s="1116"/>
      <c r="ED533" s="1116"/>
      <c r="EE533" s="1116"/>
      <c r="EF533" s="1116"/>
      <c r="EG533" s="1116"/>
      <c r="EH533" s="1116"/>
      <c r="EI533" s="1116"/>
      <c r="EJ533" s="1116"/>
      <c r="EK533" s="1116"/>
      <c r="EL533" s="1116"/>
      <c r="EM533" s="1116"/>
      <c r="EN533" s="1116"/>
      <c r="EO533" s="1116"/>
      <c r="EP533" s="1116"/>
      <c r="EQ533" s="1116"/>
      <c r="ER533" s="1116"/>
      <c r="ES533" s="1116"/>
    </row>
    <row r="534" spans="1:149" ht="15" customHeight="1">
      <c r="A534" s="1185">
        <v>524</v>
      </c>
      <c r="B534" s="1041"/>
      <c r="C534" s="1050"/>
      <c r="D534" s="1050"/>
      <c r="E534" s="1050"/>
      <c r="F534" s="1049"/>
      <c r="G534" s="1049"/>
      <c r="H534" s="1049"/>
      <c r="I534" s="1049"/>
      <c r="J534" s="1050"/>
      <c r="K534" s="1050"/>
      <c r="L534" s="1043"/>
      <c r="M534" s="1051"/>
      <c r="N534" s="1051"/>
      <c r="O534" s="1052"/>
      <c r="P534" s="1051"/>
      <c r="Q534" s="1051"/>
      <c r="R534" s="1052"/>
      <c r="S534" s="1051"/>
      <c r="T534" s="1051"/>
      <c r="U534" s="1052"/>
      <c r="V534" s="1051"/>
      <c r="W534" s="1051"/>
      <c r="X534" s="1052"/>
      <c r="Y534" s="1053"/>
      <c r="Z534" s="1051"/>
      <c r="AA534" s="1051"/>
      <c r="AB534" s="1052"/>
      <c r="AC534" s="1051"/>
      <c r="AD534" s="1051"/>
      <c r="AE534" s="1052"/>
      <c r="AF534" s="1051"/>
      <c r="AG534" s="1051"/>
      <c r="AH534" s="1051"/>
      <c r="AI534" s="1051"/>
      <c r="AJ534" s="1052"/>
      <c r="AK534" s="1051"/>
      <c r="AL534" s="1051"/>
      <c r="AM534" s="1052"/>
      <c r="AN534" s="1051"/>
      <c r="AO534" s="1051"/>
      <c r="AP534" s="1052"/>
      <c r="AQ534" s="1051"/>
      <c r="AR534" s="1051"/>
      <c r="AS534" s="1052"/>
      <c r="AT534" s="1051"/>
      <c r="AU534" s="1051"/>
      <c r="AV534" s="1052"/>
      <c r="AW534" s="1051"/>
      <c r="AX534" s="1051"/>
      <c r="AY534" s="1053"/>
      <c r="AZ534" s="1051"/>
      <c r="BA534" s="1051"/>
      <c r="BB534" s="1053"/>
      <c r="BC534" s="1051"/>
      <c r="BD534" s="1051"/>
      <c r="BE534" s="1053"/>
      <c r="BF534" s="1051"/>
      <c r="BG534" s="1051"/>
      <c r="BH534" s="1053"/>
      <c r="BI534" s="1052"/>
      <c r="BJ534" s="1052"/>
      <c r="BK534" s="1052"/>
      <c r="BL534" s="1052"/>
      <c r="BM534" s="1052"/>
      <c r="BN534" s="1054"/>
      <c r="BO534" s="1076">
        <f t="shared" si="9"/>
        <v>0</v>
      </c>
      <c r="BP534" s="1051"/>
      <c r="BQ534" s="1052"/>
      <c r="BR534" s="1054"/>
      <c r="BS534" s="1053"/>
      <c r="BT534" s="1051"/>
      <c r="BU534" s="1051"/>
      <c r="BV534" s="1051"/>
      <c r="BW534" s="1052"/>
      <c r="BX534" s="1052"/>
      <c r="BY534" s="1052"/>
      <c r="BZ534" s="1052"/>
      <c r="CA534" s="1052"/>
      <c r="CB534" s="1053"/>
      <c r="CC534" s="1053"/>
      <c r="CD534" s="1053"/>
      <c r="CE534" s="1053"/>
      <c r="CF534" s="1053"/>
      <c r="CG534" s="1053"/>
      <c r="CH534" s="1053"/>
      <c r="CI534" s="1123"/>
      <c r="CJ534" s="1123"/>
      <c r="CK534" s="1123"/>
      <c r="CL534" s="1123"/>
      <c r="CM534" s="1123"/>
      <c r="CN534" s="1123"/>
      <c r="CO534" s="1123"/>
      <c r="CP534" s="1123"/>
      <c r="CQ534" s="1123"/>
      <c r="CR534" s="1123"/>
      <c r="CS534" s="1123"/>
      <c r="CT534" s="1123"/>
      <c r="CU534" s="1123"/>
      <c r="CV534" s="1123"/>
      <c r="CW534" s="1123"/>
      <c r="CX534" s="1123"/>
      <c r="CY534" s="1123"/>
      <c r="CZ534" s="1114"/>
      <c r="DA534" s="1114"/>
      <c r="DB534" s="1114"/>
      <c r="DC534" s="1114"/>
      <c r="DD534" s="1114"/>
      <c r="DE534" s="1114"/>
      <c r="DF534" s="1114"/>
      <c r="DG534" s="1114"/>
      <c r="DH534" s="1114"/>
      <c r="DI534" s="1114"/>
      <c r="DJ534" s="1114"/>
      <c r="DK534" s="1114"/>
      <c r="DL534" s="1114"/>
      <c r="DM534" s="1114"/>
      <c r="DN534" s="1114"/>
      <c r="DO534" s="1114"/>
      <c r="DP534" s="1114"/>
      <c r="DQ534" s="1114"/>
      <c r="DR534" s="1114"/>
      <c r="DS534" s="1114"/>
      <c r="DT534" s="1114"/>
      <c r="DU534" s="1114"/>
      <c r="DV534" s="1115"/>
      <c r="DW534" s="1116"/>
      <c r="DX534" s="1116"/>
      <c r="DY534" s="1116"/>
      <c r="DZ534" s="1116"/>
      <c r="EA534" s="1116"/>
      <c r="EB534" s="1116"/>
      <c r="EC534" s="1116"/>
      <c r="ED534" s="1116"/>
      <c r="EE534" s="1116"/>
      <c r="EF534" s="1116"/>
      <c r="EG534" s="1116"/>
      <c r="EH534" s="1116"/>
      <c r="EI534" s="1116"/>
      <c r="EJ534" s="1116"/>
      <c r="EK534" s="1116"/>
      <c r="EL534" s="1116"/>
      <c r="EM534" s="1116"/>
      <c r="EN534" s="1116"/>
      <c r="EO534" s="1116"/>
      <c r="EP534" s="1116"/>
      <c r="EQ534" s="1116"/>
      <c r="ER534" s="1116"/>
      <c r="ES534" s="1116"/>
    </row>
    <row r="535" spans="1:149" ht="15" customHeight="1">
      <c r="A535" s="1185">
        <v>525</v>
      </c>
      <c r="B535" s="1041"/>
      <c r="C535" s="1050"/>
      <c r="D535" s="1050"/>
      <c r="E535" s="1050"/>
      <c r="F535" s="1049"/>
      <c r="G535" s="1049"/>
      <c r="H535" s="1049"/>
      <c r="I535" s="1049"/>
      <c r="J535" s="1050"/>
      <c r="K535" s="1050"/>
      <c r="L535" s="1043"/>
      <c r="M535" s="1051"/>
      <c r="N535" s="1051"/>
      <c r="O535" s="1052"/>
      <c r="P535" s="1051"/>
      <c r="Q535" s="1051"/>
      <c r="R535" s="1052"/>
      <c r="S535" s="1051"/>
      <c r="T535" s="1051"/>
      <c r="U535" s="1052"/>
      <c r="V535" s="1051"/>
      <c r="W535" s="1051"/>
      <c r="X535" s="1052"/>
      <c r="Y535" s="1053"/>
      <c r="Z535" s="1051"/>
      <c r="AA535" s="1051"/>
      <c r="AB535" s="1052"/>
      <c r="AC535" s="1051"/>
      <c r="AD535" s="1051"/>
      <c r="AE535" s="1052"/>
      <c r="AF535" s="1051"/>
      <c r="AG535" s="1051"/>
      <c r="AH535" s="1051"/>
      <c r="AI535" s="1051"/>
      <c r="AJ535" s="1052"/>
      <c r="AK535" s="1051"/>
      <c r="AL535" s="1051"/>
      <c r="AM535" s="1052"/>
      <c r="AN535" s="1051"/>
      <c r="AO535" s="1051"/>
      <c r="AP535" s="1052"/>
      <c r="AQ535" s="1051"/>
      <c r="AR535" s="1051"/>
      <c r="AS535" s="1052"/>
      <c r="AT535" s="1051"/>
      <c r="AU535" s="1051"/>
      <c r="AV535" s="1052"/>
      <c r="AW535" s="1051"/>
      <c r="AX535" s="1051"/>
      <c r="AY535" s="1053"/>
      <c r="AZ535" s="1051"/>
      <c r="BA535" s="1051"/>
      <c r="BB535" s="1053"/>
      <c r="BC535" s="1051"/>
      <c r="BD535" s="1051"/>
      <c r="BE535" s="1053"/>
      <c r="BF535" s="1051"/>
      <c r="BG535" s="1051"/>
      <c r="BH535" s="1053"/>
      <c r="BI535" s="1052"/>
      <c r="BJ535" s="1052"/>
      <c r="BK535" s="1052"/>
      <c r="BL535" s="1052"/>
      <c r="BM535" s="1052"/>
      <c r="BN535" s="1054"/>
      <c r="BO535" s="1076">
        <f t="shared" si="9"/>
        <v>0</v>
      </c>
      <c r="BP535" s="1051"/>
      <c r="BQ535" s="1052"/>
      <c r="BR535" s="1054"/>
      <c r="BS535" s="1053"/>
      <c r="BT535" s="1051"/>
      <c r="BU535" s="1051"/>
      <c r="BV535" s="1051"/>
      <c r="BW535" s="1052"/>
      <c r="BX535" s="1052"/>
      <c r="BY535" s="1052"/>
      <c r="BZ535" s="1052"/>
      <c r="CA535" s="1052"/>
      <c r="CB535" s="1053"/>
      <c r="CC535" s="1053"/>
      <c r="CD535" s="1053"/>
      <c r="CE535" s="1053"/>
      <c r="CF535" s="1053"/>
      <c r="CG535" s="1053"/>
      <c r="CH535" s="1053"/>
      <c r="CI535" s="1123"/>
      <c r="CJ535" s="1123"/>
      <c r="CK535" s="1123"/>
      <c r="CL535" s="1123"/>
      <c r="CM535" s="1123"/>
      <c r="CN535" s="1123"/>
      <c r="CO535" s="1123"/>
      <c r="CP535" s="1123"/>
      <c r="CQ535" s="1123"/>
      <c r="CR535" s="1123"/>
      <c r="CS535" s="1123"/>
      <c r="CT535" s="1123"/>
      <c r="CU535" s="1123"/>
      <c r="CV535" s="1123"/>
      <c r="CW535" s="1123"/>
      <c r="CX535" s="1123"/>
      <c r="CY535" s="1123"/>
      <c r="CZ535" s="1114"/>
      <c r="DA535" s="1114"/>
      <c r="DB535" s="1114"/>
      <c r="DC535" s="1114"/>
      <c r="DD535" s="1114"/>
      <c r="DE535" s="1114"/>
      <c r="DF535" s="1114"/>
      <c r="DG535" s="1114"/>
      <c r="DH535" s="1114"/>
      <c r="DI535" s="1114"/>
      <c r="DJ535" s="1114"/>
      <c r="DK535" s="1114"/>
      <c r="DL535" s="1114"/>
      <c r="DM535" s="1114"/>
      <c r="DN535" s="1114"/>
      <c r="DO535" s="1114"/>
      <c r="DP535" s="1114"/>
      <c r="DQ535" s="1114"/>
      <c r="DR535" s="1114"/>
      <c r="DS535" s="1114"/>
      <c r="DT535" s="1114"/>
      <c r="DU535" s="1114"/>
      <c r="DV535" s="1115"/>
      <c r="DW535" s="1116"/>
      <c r="DX535" s="1116"/>
      <c r="DY535" s="1116"/>
      <c r="DZ535" s="1116"/>
      <c r="EA535" s="1116"/>
      <c r="EB535" s="1116"/>
      <c r="EC535" s="1116"/>
      <c r="ED535" s="1116"/>
      <c r="EE535" s="1116"/>
      <c r="EF535" s="1116"/>
      <c r="EG535" s="1116"/>
      <c r="EH535" s="1116"/>
      <c r="EI535" s="1116"/>
      <c r="EJ535" s="1116"/>
      <c r="EK535" s="1116"/>
      <c r="EL535" s="1116"/>
      <c r="EM535" s="1116"/>
      <c r="EN535" s="1116"/>
      <c r="EO535" s="1116"/>
      <c r="EP535" s="1116"/>
      <c r="EQ535" s="1116"/>
      <c r="ER535" s="1116"/>
      <c r="ES535" s="1116"/>
    </row>
    <row r="536" spans="1:149" ht="15" customHeight="1">
      <c r="A536" s="1185">
        <v>526</v>
      </c>
      <c r="B536" s="1041"/>
      <c r="C536" s="1050"/>
      <c r="D536" s="1050"/>
      <c r="E536" s="1050"/>
      <c r="F536" s="1049"/>
      <c r="G536" s="1049"/>
      <c r="H536" s="1049"/>
      <c r="I536" s="1049"/>
      <c r="J536" s="1050"/>
      <c r="K536" s="1050"/>
      <c r="L536" s="1043"/>
      <c r="M536" s="1051"/>
      <c r="N536" s="1051"/>
      <c r="O536" s="1052"/>
      <c r="P536" s="1051"/>
      <c r="Q536" s="1051"/>
      <c r="R536" s="1052"/>
      <c r="S536" s="1051"/>
      <c r="T536" s="1051"/>
      <c r="U536" s="1052"/>
      <c r="V536" s="1051"/>
      <c r="W536" s="1051"/>
      <c r="X536" s="1052"/>
      <c r="Y536" s="1053"/>
      <c r="Z536" s="1051"/>
      <c r="AA536" s="1051"/>
      <c r="AB536" s="1052"/>
      <c r="AC536" s="1051"/>
      <c r="AD536" s="1051"/>
      <c r="AE536" s="1052"/>
      <c r="AF536" s="1051"/>
      <c r="AG536" s="1051"/>
      <c r="AH536" s="1051"/>
      <c r="AI536" s="1051"/>
      <c r="AJ536" s="1052"/>
      <c r="AK536" s="1051"/>
      <c r="AL536" s="1051"/>
      <c r="AM536" s="1052"/>
      <c r="AN536" s="1051"/>
      <c r="AO536" s="1051"/>
      <c r="AP536" s="1052"/>
      <c r="AQ536" s="1051"/>
      <c r="AR536" s="1051"/>
      <c r="AS536" s="1052"/>
      <c r="AT536" s="1051"/>
      <c r="AU536" s="1051"/>
      <c r="AV536" s="1052"/>
      <c r="AW536" s="1051"/>
      <c r="AX536" s="1051"/>
      <c r="AY536" s="1053"/>
      <c r="AZ536" s="1051"/>
      <c r="BA536" s="1051"/>
      <c r="BB536" s="1053"/>
      <c r="BC536" s="1051"/>
      <c r="BD536" s="1051"/>
      <c r="BE536" s="1053"/>
      <c r="BF536" s="1051"/>
      <c r="BG536" s="1051"/>
      <c r="BH536" s="1053"/>
      <c r="BI536" s="1052"/>
      <c r="BJ536" s="1052"/>
      <c r="BK536" s="1052"/>
      <c r="BL536" s="1052"/>
      <c r="BM536" s="1052"/>
      <c r="BN536" s="1054"/>
      <c r="BO536" s="1076">
        <f t="shared" si="9"/>
        <v>0</v>
      </c>
      <c r="BP536" s="1051"/>
      <c r="BQ536" s="1052"/>
      <c r="BR536" s="1054"/>
      <c r="BS536" s="1053"/>
      <c r="BT536" s="1051"/>
      <c r="BU536" s="1051"/>
      <c r="BV536" s="1051"/>
      <c r="BW536" s="1052"/>
      <c r="BX536" s="1052"/>
      <c r="BY536" s="1052"/>
      <c r="BZ536" s="1052"/>
      <c r="CA536" s="1052"/>
      <c r="CB536" s="1053"/>
      <c r="CC536" s="1053"/>
      <c r="CD536" s="1053"/>
      <c r="CE536" s="1053"/>
      <c r="CF536" s="1053"/>
      <c r="CG536" s="1053"/>
      <c r="CH536" s="1053"/>
      <c r="CI536" s="1123"/>
      <c r="CJ536" s="1123"/>
      <c r="CK536" s="1123"/>
      <c r="CL536" s="1123"/>
      <c r="CM536" s="1123"/>
      <c r="CN536" s="1123"/>
      <c r="CO536" s="1123"/>
      <c r="CP536" s="1123"/>
      <c r="CQ536" s="1123"/>
      <c r="CR536" s="1123"/>
      <c r="CS536" s="1123"/>
      <c r="CT536" s="1123"/>
      <c r="CU536" s="1123"/>
      <c r="CV536" s="1123"/>
      <c r="CW536" s="1123"/>
      <c r="CX536" s="1123"/>
      <c r="CY536" s="1123"/>
      <c r="CZ536" s="1114"/>
      <c r="DA536" s="1114"/>
      <c r="DB536" s="1114"/>
      <c r="DC536" s="1114"/>
      <c r="DD536" s="1114"/>
      <c r="DE536" s="1114"/>
      <c r="DF536" s="1114"/>
      <c r="DG536" s="1114"/>
      <c r="DH536" s="1114"/>
      <c r="DI536" s="1114"/>
      <c r="DJ536" s="1114"/>
      <c r="DK536" s="1114"/>
      <c r="DL536" s="1114"/>
      <c r="DM536" s="1114"/>
      <c r="DN536" s="1114"/>
      <c r="DO536" s="1114"/>
      <c r="DP536" s="1114"/>
      <c r="DQ536" s="1114"/>
      <c r="DR536" s="1114"/>
      <c r="DS536" s="1114"/>
      <c r="DT536" s="1114"/>
      <c r="DU536" s="1114"/>
      <c r="DV536" s="1115"/>
      <c r="DW536" s="1116"/>
      <c r="DX536" s="1116"/>
      <c r="DY536" s="1116"/>
      <c r="DZ536" s="1116"/>
      <c r="EA536" s="1116"/>
      <c r="EB536" s="1116"/>
      <c r="EC536" s="1116"/>
      <c r="ED536" s="1116"/>
      <c r="EE536" s="1116"/>
      <c r="EF536" s="1116"/>
      <c r="EG536" s="1116"/>
      <c r="EH536" s="1116"/>
      <c r="EI536" s="1116"/>
      <c r="EJ536" s="1116"/>
      <c r="EK536" s="1116"/>
      <c r="EL536" s="1116"/>
      <c r="EM536" s="1116"/>
      <c r="EN536" s="1116"/>
      <c r="EO536" s="1116"/>
      <c r="EP536" s="1116"/>
      <c r="EQ536" s="1116"/>
      <c r="ER536" s="1116"/>
      <c r="ES536" s="1116"/>
    </row>
    <row r="537" spans="1:149" ht="15" customHeight="1">
      <c r="A537" s="1185">
        <v>527</v>
      </c>
      <c r="B537" s="1041"/>
      <c r="C537" s="1050"/>
      <c r="D537" s="1050"/>
      <c r="E537" s="1050"/>
      <c r="F537" s="1049"/>
      <c r="G537" s="1049"/>
      <c r="H537" s="1049"/>
      <c r="I537" s="1049"/>
      <c r="J537" s="1050"/>
      <c r="K537" s="1050"/>
      <c r="L537" s="1043"/>
      <c r="M537" s="1051"/>
      <c r="N537" s="1051"/>
      <c r="O537" s="1052"/>
      <c r="P537" s="1051"/>
      <c r="Q537" s="1051"/>
      <c r="R537" s="1052"/>
      <c r="S537" s="1051"/>
      <c r="T537" s="1051"/>
      <c r="U537" s="1052"/>
      <c r="V537" s="1051"/>
      <c r="W537" s="1051"/>
      <c r="X537" s="1052"/>
      <c r="Y537" s="1053"/>
      <c r="Z537" s="1051"/>
      <c r="AA537" s="1051"/>
      <c r="AB537" s="1052"/>
      <c r="AC537" s="1051"/>
      <c r="AD537" s="1051"/>
      <c r="AE537" s="1052"/>
      <c r="AF537" s="1051"/>
      <c r="AG537" s="1051"/>
      <c r="AH537" s="1051"/>
      <c r="AI537" s="1051"/>
      <c r="AJ537" s="1052"/>
      <c r="AK537" s="1051"/>
      <c r="AL537" s="1051"/>
      <c r="AM537" s="1052"/>
      <c r="AN537" s="1051"/>
      <c r="AO537" s="1051"/>
      <c r="AP537" s="1052"/>
      <c r="AQ537" s="1051"/>
      <c r="AR537" s="1051"/>
      <c r="AS537" s="1052"/>
      <c r="AT537" s="1051"/>
      <c r="AU537" s="1051"/>
      <c r="AV537" s="1052"/>
      <c r="AW537" s="1051"/>
      <c r="AX537" s="1051"/>
      <c r="AY537" s="1053"/>
      <c r="AZ537" s="1051"/>
      <c r="BA537" s="1051"/>
      <c r="BB537" s="1053"/>
      <c r="BC537" s="1051"/>
      <c r="BD537" s="1051"/>
      <c r="BE537" s="1053"/>
      <c r="BF537" s="1051"/>
      <c r="BG537" s="1051"/>
      <c r="BH537" s="1053"/>
      <c r="BI537" s="1052"/>
      <c r="BJ537" s="1052"/>
      <c r="BK537" s="1052"/>
      <c r="BL537" s="1052"/>
      <c r="BM537" s="1052"/>
      <c r="BN537" s="1054"/>
      <c r="BO537" s="1076">
        <f t="shared" si="9"/>
        <v>0</v>
      </c>
      <c r="BP537" s="1051"/>
      <c r="BQ537" s="1052"/>
      <c r="BR537" s="1054"/>
      <c r="BS537" s="1053"/>
      <c r="BT537" s="1051"/>
      <c r="BU537" s="1051"/>
      <c r="BV537" s="1051"/>
      <c r="BW537" s="1052"/>
      <c r="BX537" s="1052"/>
      <c r="BY537" s="1052"/>
      <c r="BZ537" s="1052"/>
      <c r="CA537" s="1052"/>
      <c r="CB537" s="1053"/>
      <c r="CC537" s="1053"/>
      <c r="CD537" s="1053"/>
      <c r="CE537" s="1053"/>
      <c r="CF537" s="1053"/>
      <c r="CG537" s="1053"/>
      <c r="CH537" s="1053"/>
      <c r="CI537" s="1123"/>
      <c r="CJ537" s="1123"/>
      <c r="CK537" s="1123"/>
      <c r="CL537" s="1123"/>
      <c r="CM537" s="1123"/>
      <c r="CN537" s="1123"/>
      <c r="CO537" s="1123"/>
      <c r="CP537" s="1123"/>
      <c r="CQ537" s="1123"/>
      <c r="CR537" s="1123"/>
      <c r="CS537" s="1123"/>
      <c r="CT537" s="1123"/>
      <c r="CU537" s="1123"/>
      <c r="CV537" s="1123"/>
      <c r="CW537" s="1123"/>
      <c r="CX537" s="1123"/>
      <c r="CY537" s="1123"/>
      <c r="CZ537" s="1114"/>
      <c r="DA537" s="1114"/>
      <c r="DB537" s="1114"/>
      <c r="DC537" s="1114"/>
      <c r="DD537" s="1114"/>
      <c r="DE537" s="1114"/>
      <c r="DF537" s="1114"/>
      <c r="DG537" s="1114"/>
      <c r="DH537" s="1114"/>
      <c r="DI537" s="1114"/>
      <c r="DJ537" s="1114"/>
      <c r="DK537" s="1114"/>
      <c r="DL537" s="1114"/>
      <c r="DM537" s="1114"/>
      <c r="DN537" s="1114"/>
      <c r="DO537" s="1114"/>
      <c r="DP537" s="1114"/>
      <c r="DQ537" s="1114"/>
      <c r="DR537" s="1114"/>
      <c r="DS537" s="1114"/>
      <c r="DT537" s="1114"/>
      <c r="DU537" s="1114"/>
      <c r="DV537" s="1115"/>
      <c r="DW537" s="1116"/>
      <c r="DX537" s="1116"/>
      <c r="DY537" s="1116"/>
      <c r="DZ537" s="1116"/>
      <c r="EA537" s="1116"/>
      <c r="EB537" s="1116"/>
      <c r="EC537" s="1116"/>
      <c r="ED537" s="1116"/>
      <c r="EE537" s="1116"/>
      <c r="EF537" s="1116"/>
      <c r="EG537" s="1116"/>
      <c r="EH537" s="1116"/>
      <c r="EI537" s="1116"/>
      <c r="EJ537" s="1116"/>
      <c r="EK537" s="1116"/>
      <c r="EL537" s="1116"/>
      <c r="EM537" s="1116"/>
      <c r="EN537" s="1116"/>
      <c r="EO537" s="1116"/>
      <c r="EP537" s="1116"/>
      <c r="EQ537" s="1116"/>
      <c r="ER537" s="1116"/>
      <c r="ES537" s="1116"/>
    </row>
    <row r="538" spans="1:149" ht="15" customHeight="1">
      <c r="A538" s="1185">
        <v>528</v>
      </c>
      <c r="B538" s="1041"/>
      <c r="C538" s="1050"/>
      <c r="D538" s="1050"/>
      <c r="E538" s="1050"/>
      <c r="F538" s="1049"/>
      <c r="G538" s="1049"/>
      <c r="H538" s="1049"/>
      <c r="I538" s="1049"/>
      <c r="J538" s="1050"/>
      <c r="K538" s="1050"/>
      <c r="L538" s="1043"/>
      <c r="M538" s="1051"/>
      <c r="N538" s="1051"/>
      <c r="O538" s="1052"/>
      <c r="P538" s="1051"/>
      <c r="Q538" s="1051"/>
      <c r="R538" s="1052"/>
      <c r="S538" s="1051"/>
      <c r="T538" s="1051"/>
      <c r="U538" s="1052"/>
      <c r="V538" s="1051"/>
      <c r="W538" s="1051"/>
      <c r="X538" s="1052"/>
      <c r="Y538" s="1053"/>
      <c r="Z538" s="1051"/>
      <c r="AA538" s="1051"/>
      <c r="AB538" s="1052"/>
      <c r="AC538" s="1051"/>
      <c r="AD538" s="1051"/>
      <c r="AE538" s="1052"/>
      <c r="AF538" s="1051"/>
      <c r="AG538" s="1051"/>
      <c r="AH538" s="1051"/>
      <c r="AI538" s="1051"/>
      <c r="AJ538" s="1052"/>
      <c r="AK538" s="1051"/>
      <c r="AL538" s="1051"/>
      <c r="AM538" s="1052"/>
      <c r="AN538" s="1051"/>
      <c r="AO538" s="1051"/>
      <c r="AP538" s="1052"/>
      <c r="AQ538" s="1051"/>
      <c r="AR538" s="1051"/>
      <c r="AS538" s="1052"/>
      <c r="AT538" s="1051"/>
      <c r="AU538" s="1051"/>
      <c r="AV538" s="1052"/>
      <c r="AW538" s="1051"/>
      <c r="AX538" s="1051"/>
      <c r="AY538" s="1053"/>
      <c r="AZ538" s="1051"/>
      <c r="BA538" s="1051"/>
      <c r="BB538" s="1053"/>
      <c r="BC538" s="1051"/>
      <c r="BD538" s="1051"/>
      <c r="BE538" s="1053"/>
      <c r="BF538" s="1051"/>
      <c r="BG538" s="1051"/>
      <c r="BH538" s="1053"/>
      <c r="BI538" s="1052"/>
      <c r="BJ538" s="1052"/>
      <c r="BK538" s="1052"/>
      <c r="BL538" s="1052"/>
      <c r="BM538" s="1052"/>
      <c r="BN538" s="1054"/>
      <c r="BO538" s="1076">
        <f t="shared" si="9"/>
        <v>0</v>
      </c>
      <c r="BP538" s="1051"/>
      <c r="BQ538" s="1052"/>
      <c r="BR538" s="1054"/>
      <c r="BS538" s="1053"/>
      <c r="BT538" s="1051"/>
      <c r="BU538" s="1051"/>
      <c r="BV538" s="1051"/>
      <c r="BW538" s="1052"/>
      <c r="BX538" s="1052"/>
      <c r="BY538" s="1052"/>
      <c r="BZ538" s="1052"/>
      <c r="CA538" s="1052"/>
      <c r="CB538" s="1053"/>
      <c r="CC538" s="1053"/>
      <c r="CD538" s="1053"/>
      <c r="CE538" s="1053"/>
      <c r="CF538" s="1053"/>
      <c r="CG538" s="1053"/>
      <c r="CH538" s="1053"/>
      <c r="CI538" s="1123"/>
      <c r="CJ538" s="1123"/>
      <c r="CK538" s="1123"/>
      <c r="CL538" s="1123"/>
      <c r="CM538" s="1123"/>
      <c r="CN538" s="1123"/>
      <c r="CO538" s="1123"/>
      <c r="CP538" s="1123"/>
      <c r="CQ538" s="1123"/>
      <c r="CR538" s="1123"/>
      <c r="CS538" s="1123"/>
      <c r="CT538" s="1123"/>
      <c r="CU538" s="1123"/>
      <c r="CV538" s="1123"/>
      <c r="CW538" s="1123"/>
      <c r="CX538" s="1123"/>
      <c r="CY538" s="1123"/>
      <c r="CZ538" s="1114"/>
      <c r="DA538" s="1114"/>
      <c r="DB538" s="1114"/>
      <c r="DC538" s="1114"/>
      <c r="DD538" s="1114"/>
      <c r="DE538" s="1114"/>
      <c r="DF538" s="1114"/>
      <c r="DG538" s="1114"/>
      <c r="DH538" s="1114"/>
      <c r="DI538" s="1114"/>
      <c r="DJ538" s="1114"/>
      <c r="DK538" s="1114"/>
      <c r="DL538" s="1114"/>
      <c r="DM538" s="1114"/>
      <c r="DN538" s="1114"/>
      <c r="DO538" s="1114"/>
      <c r="DP538" s="1114"/>
      <c r="DQ538" s="1114"/>
      <c r="DR538" s="1114"/>
      <c r="DS538" s="1114"/>
      <c r="DT538" s="1114"/>
      <c r="DU538" s="1114"/>
      <c r="DV538" s="1115"/>
      <c r="DW538" s="1116"/>
      <c r="DX538" s="1116"/>
      <c r="DY538" s="1116"/>
      <c r="DZ538" s="1116"/>
      <c r="EA538" s="1116"/>
      <c r="EB538" s="1116"/>
      <c r="EC538" s="1116"/>
      <c r="ED538" s="1116"/>
      <c r="EE538" s="1116"/>
      <c r="EF538" s="1116"/>
      <c r="EG538" s="1116"/>
      <c r="EH538" s="1116"/>
      <c r="EI538" s="1116"/>
      <c r="EJ538" s="1116"/>
      <c r="EK538" s="1116"/>
      <c r="EL538" s="1116"/>
      <c r="EM538" s="1116"/>
      <c r="EN538" s="1116"/>
      <c r="EO538" s="1116"/>
      <c r="EP538" s="1116"/>
      <c r="EQ538" s="1116"/>
      <c r="ER538" s="1116"/>
      <c r="ES538" s="1116"/>
    </row>
    <row r="539" spans="1:149" ht="15" customHeight="1">
      <c r="A539" s="1185">
        <v>529</v>
      </c>
      <c r="B539" s="1041"/>
      <c r="C539" s="1050"/>
      <c r="D539" s="1050"/>
      <c r="E539" s="1050"/>
      <c r="F539" s="1049"/>
      <c r="G539" s="1049"/>
      <c r="H539" s="1049"/>
      <c r="I539" s="1049"/>
      <c r="J539" s="1050"/>
      <c r="K539" s="1050"/>
      <c r="L539" s="1043"/>
      <c r="M539" s="1051"/>
      <c r="N539" s="1051"/>
      <c r="O539" s="1052"/>
      <c r="P539" s="1051"/>
      <c r="Q539" s="1051"/>
      <c r="R539" s="1052"/>
      <c r="S539" s="1051"/>
      <c r="T539" s="1051"/>
      <c r="U539" s="1052"/>
      <c r="V539" s="1051"/>
      <c r="W539" s="1051"/>
      <c r="X539" s="1052"/>
      <c r="Y539" s="1053"/>
      <c r="Z539" s="1051"/>
      <c r="AA539" s="1051"/>
      <c r="AB539" s="1052"/>
      <c r="AC539" s="1051"/>
      <c r="AD539" s="1051"/>
      <c r="AE539" s="1052"/>
      <c r="AF539" s="1051"/>
      <c r="AG539" s="1051"/>
      <c r="AH539" s="1051"/>
      <c r="AI539" s="1051"/>
      <c r="AJ539" s="1052"/>
      <c r="AK539" s="1051"/>
      <c r="AL539" s="1051"/>
      <c r="AM539" s="1052"/>
      <c r="AN539" s="1051"/>
      <c r="AO539" s="1051"/>
      <c r="AP539" s="1052"/>
      <c r="AQ539" s="1051"/>
      <c r="AR539" s="1051"/>
      <c r="AS539" s="1052"/>
      <c r="AT539" s="1051"/>
      <c r="AU539" s="1051"/>
      <c r="AV539" s="1052"/>
      <c r="AW539" s="1051"/>
      <c r="AX539" s="1051"/>
      <c r="AY539" s="1053"/>
      <c r="AZ539" s="1051"/>
      <c r="BA539" s="1051"/>
      <c r="BB539" s="1053"/>
      <c r="BC539" s="1051"/>
      <c r="BD539" s="1051"/>
      <c r="BE539" s="1053"/>
      <c r="BF539" s="1051"/>
      <c r="BG539" s="1051"/>
      <c r="BH539" s="1053"/>
      <c r="BI539" s="1052"/>
      <c r="BJ539" s="1052"/>
      <c r="BK539" s="1052"/>
      <c r="BL539" s="1052"/>
      <c r="BM539" s="1052"/>
      <c r="BN539" s="1054"/>
      <c r="BO539" s="1076">
        <f t="shared" si="9"/>
        <v>0</v>
      </c>
      <c r="BP539" s="1051"/>
      <c r="BQ539" s="1052"/>
      <c r="BR539" s="1054"/>
      <c r="BS539" s="1053"/>
      <c r="BT539" s="1051"/>
      <c r="BU539" s="1051"/>
      <c r="BV539" s="1051"/>
      <c r="BW539" s="1052"/>
      <c r="BX539" s="1052"/>
      <c r="BY539" s="1052"/>
      <c r="BZ539" s="1052"/>
      <c r="CA539" s="1052"/>
      <c r="CB539" s="1053"/>
      <c r="CC539" s="1053"/>
      <c r="CD539" s="1053"/>
      <c r="CE539" s="1053"/>
      <c r="CF539" s="1053"/>
      <c r="CG539" s="1053"/>
      <c r="CH539" s="1053"/>
      <c r="CI539" s="1123"/>
      <c r="CJ539" s="1123"/>
      <c r="CK539" s="1123"/>
      <c r="CL539" s="1123"/>
      <c r="CM539" s="1123"/>
      <c r="CN539" s="1123"/>
      <c r="CO539" s="1123"/>
      <c r="CP539" s="1123"/>
      <c r="CQ539" s="1123"/>
      <c r="CR539" s="1123"/>
      <c r="CS539" s="1123"/>
      <c r="CT539" s="1123"/>
      <c r="CU539" s="1123"/>
      <c r="CV539" s="1123"/>
      <c r="CW539" s="1123"/>
      <c r="CX539" s="1123"/>
      <c r="CY539" s="1123"/>
      <c r="CZ539" s="1114"/>
      <c r="DA539" s="1114"/>
      <c r="DB539" s="1114"/>
      <c r="DC539" s="1114"/>
      <c r="DD539" s="1114"/>
      <c r="DE539" s="1114"/>
      <c r="DF539" s="1114"/>
      <c r="DG539" s="1114"/>
      <c r="DH539" s="1114"/>
      <c r="DI539" s="1114"/>
      <c r="DJ539" s="1114"/>
      <c r="DK539" s="1114"/>
      <c r="DL539" s="1114"/>
      <c r="DM539" s="1114"/>
      <c r="DN539" s="1114"/>
      <c r="DO539" s="1114"/>
      <c r="DP539" s="1114"/>
      <c r="DQ539" s="1114"/>
      <c r="DR539" s="1114"/>
      <c r="DS539" s="1114"/>
      <c r="DT539" s="1114"/>
      <c r="DU539" s="1114"/>
      <c r="DV539" s="1115"/>
      <c r="DW539" s="1116"/>
      <c r="DX539" s="1116"/>
      <c r="DY539" s="1116"/>
      <c r="DZ539" s="1116"/>
      <c r="EA539" s="1116"/>
      <c r="EB539" s="1116"/>
      <c r="EC539" s="1116"/>
      <c r="ED539" s="1116"/>
      <c r="EE539" s="1116"/>
      <c r="EF539" s="1116"/>
      <c r="EG539" s="1116"/>
      <c r="EH539" s="1116"/>
      <c r="EI539" s="1116"/>
      <c r="EJ539" s="1116"/>
      <c r="EK539" s="1116"/>
      <c r="EL539" s="1116"/>
      <c r="EM539" s="1116"/>
      <c r="EN539" s="1116"/>
      <c r="EO539" s="1116"/>
      <c r="EP539" s="1116"/>
      <c r="EQ539" s="1116"/>
      <c r="ER539" s="1116"/>
      <c r="ES539" s="1116"/>
    </row>
    <row r="540" spans="1:149" ht="15" customHeight="1">
      <c r="A540" s="1185">
        <v>530</v>
      </c>
      <c r="B540" s="1041"/>
      <c r="C540" s="1050"/>
      <c r="D540" s="1050"/>
      <c r="E540" s="1050"/>
      <c r="F540" s="1049"/>
      <c r="G540" s="1049"/>
      <c r="H540" s="1049"/>
      <c r="I540" s="1049"/>
      <c r="J540" s="1050"/>
      <c r="K540" s="1050"/>
      <c r="L540" s="1043"/>
      <c r="M540" s="1051"/>
      <c r="N540" s="1051"/>
      <c r="O540" s="1052"/>
      <c r="P540" s="1051"/>
      <c r="Q540" s="1051"/>
      <c r="R540" s="1052"/>
      <c r="S540" s="1051"/>
      <c r="T540" s="1051"/>
      <c r="U540" s="1052"/>
      <c r="V540" s="1051"/>
      <c r="W540" s="1051"/>
      <c r="X540" s="1052"/>
      <c r="Y540" s="1053"/>
      <c r="Z540" s="1051"/>
      <c r="AA540" s="1051"/>
      <c r="AB540" s="1052"/>
      <c r="AC540" s="1051"/>
      <c r="AD540" s="1051"/>
      <c r="AE540" s="1052"/>
      <c r="AF540" s="1051"/>
      <c r="AG540" s="1051"/>
      <c r="AH540" s="1051"/>
      <c r="AI540" s="1051"/>
      <c r="AJ540" s="1052"/>
      <c r="AK540" s="1051"/>
      <c r="AL540" s="1051"/>
      <c r="AM540" s="1052"/>
      <c r="AN540" s="1051"/>
      <c r="AO540" s="1051"/>
      <c r="AP540" s="1052"/>
      <c r="AQ540" s="1051"/>
      <c r="AR540" s="1051"/>
      <c r="AS540" s="1052"/>
      <c r="AT540" s="1051"/>
      <c r="AU540" s="1051"/>
      <c r="AV540" s="1052"/>
      <c r="AW540" s="1051"/>
      <c r="AX540" s="1051"/>
      <c r="AY540" s="1053"/>
      <c r="AZ540" s="1051"/>
      <c r="BA540" s="1051"/>
      <c r="BB540" s="1053"/>
      <c r="BC540" s="1051"/>
      <c r="BD540" s="1051"/>
      <c r="BE540" s="1053"/>
      <c r="BF540" s="1051"/>
      <c r="BG540" s="1051"/>
      <c r="BH540" s="1053"/>
      <c r="BI540" s="1052"/>
      <c r="BJ540" s="1052"/>
      <c r="BK540" s="1052"/>
      <c r="BL540" s="1052"/>
      <c r="BM540" s="1052"/>
      <c r="BN540" s="1054"/>
      <c r="BO540" s="1076">
        <f t="shared" si="9"/>
        <v>0</v>
      </c>
      <c r="BP540" s="1051"/>
      <c r="BQ540" s="1052"/>
      <c r="BR540" s="1054"/>
      <c r="BS540" s="1053"/>
      <c r="BT540" s="1051"/>
      <c r="BU540" s="1051"/>
      <c r="BV540" s="1051"/>
      <c r="BW540" s="1052"/>
      <c r="BX540" s="1052"/>
      <c r="BY540" s="1052"/>
      <c r="BZ540" s="1052"/>
      <c r="CA540" s="1052"/>
      <c r="CB540" s="1053"/>
      <c r="CC540" s="1053"/>
      <c r="CD540" s="1053"/>
      <c r="CE540" s="1053"/>
      <c r="CF540" s="1053"/>
      <c r="CG540" s="1053"/>
      <c r="CH540" s="1053"/>
      <c r="CI540" s="1123"/>
      <c r="CJ540" s="1123"/>
      <c r="CK540" s="1123"/>
      <c r="CL540" s="1123"/>
      <c r="CM540" s="1123"/>
      <c r="CN540" s="1123"/>
      <c r="CO540" s="1123"/>
      <c r="CP540" s="1123"/>
      <c r="CQ540" s="1123"/>
      <c r="CR540" s="1123"/>
      <c r="CS540" s="1123"/>
      <c r="CT540" s="1123"/>
      <c r="CU540" s="1123"/>
      <c r="CV540" s="1123"/>
      <c r="CW540" s="1123"/>
      <c r="CX540" s="1123"/>
      <c r="CY540" s="1123"/>
      <c r="CZ540" s="1114"/>
      <c r="DA540" s="1114"/>
      <c r="DB540" s="1114"/>
      <c r="DC540" s="1114"/>
      <c r="DD540" s="1114"/>
      <c r="DE540" s="1114"/>
      <c r="DF540" s="1114"/>
      <c r="DG540" s="1114"/>
      <c r="DH540" s="1114"/>
      <c r="DI540" s="1114"/>
      <c r="DJ540" s="1114"/>
      <c r="DK540" s="1114"/>
      <c r="DL540" s="1114"/>
      <c r="DM540" s="1114"/>
      <c r="DN540" s="1114"/>
      <c r="DO540" s="1114"/>
      <c r="DP540" s="1114"/>
      <c r="DQ540" s="1114"/>
      <c r="DR540" s="1114"/>
      <c r="DS540" s="1114"/>
      <c r="DT540" s="1114"/>
      <c r="DU540" s="1114"/>
      <c r="DV540" s="1115"/>
      <c r="DW540" s="1116"/>
      <c r="DX540" s="1116"/>
      <c r="DY540" s="1116"/>
      <c r="DZ540" s="1116"/>
      <c r="EA540" s="1116"/>
      <c r="EB540" s="1116"/>
      <c r="EC540" s="1116"/>
      <c r="ED540" s="1116"/>
      <c r="EE540" s="1116"/>
      <c r="EF540" s="1116"/>
      <c r="EG540" s="1116"/>
      <c r="EH540" s="1116"/>
      <c r="EI540" s="1116"/>
      <c r="EJ540" s="1116"/>
      <c r="EK540" s="1116"/>
      <c r="EL540" s="1116"/>
      <c r="EM540" s="1116"/>
      <c r="EN540" s="1116"/>
      <c r="EO540" s="1116"/>
      <c r="EP540" s="1116"/>
      <c r="EQ540" s="1116"/>
      <c r="ER540" s="1116"/>
      <c r="ES540" s="1116"/>
    </row>
    <row r="541" spans="1:149" ht="15" customHeight="1">
      <c r="A541" s="1185">
        <v>531</v>
      </c>
      <c r="B541" s="1041"/>
      <c r="C541" s="1050"/>
      <c r="D541" s="1050"/>
      <c r="E541" s="1050"/>
      <c r="F541" s="1049"/>
      <c r="G541" s="1049"/>
      <c r="H541" s="1049"/>
      <c r="I541" s="1049"/>
      <c r="J541" s="1050"/>
      <c r="K541" s="1050"/>
      <c r="L541" s="1043"/>
      <c r="M541" s="1051"/>
      <c r="N541" s="1051"/>
      <c r="O541" s="1052"/>
      <c r="P541" s="1051"/>
      <c r="Q541" s="1051"/>
      <c r="R541" s="1052"/>
      <c r="S541" s="1051"/>
      <c r="T541" s="1051"/>
      <c r="U541" s="1052"/>
      <c r="V541" s="1051"/>
      <c r="W541" s="1051"/>
      <c r="X541" s="1052"/>
      <c r="Y541" s="1053"/>
      <c r="Z541" s="1051"/>
      <c r="AA541" s="1051"/>
      <c r="AB541" s="1052"/>
      <c r="AC541" s="1051"/>
      <c r="AD541" s="1051"/>
      <c r="AE541" s="1052"/>
      <c r="AF541" s="1051"/>
      <c r="AG541" s="1051"/>
      <c r="AH541" s="1051"/>
      <c r="AI541" s="1051"/>
      <c r="AJ541" s="1052"/>
      <c r="AK541" s="1051"/>
      <c r="AL541" s="1051"/>
      <c r="AM541" s="1052"/>
      <c r="AN541" s="1051"/>
      <c r="AO541" s="1051"/>
      <c r="AP541" s="1052"/>
      <c r="AQ541" s="1051"/>
      <c r="AR541" s="1051"/>
      <c r="AS541" s="1052"/>
      <c r="AT541" s="1051"/>
      <c r="AU541" s="1051"/>
      <c r="AV541" s="1052"/>
      <c r="AW541" s="1051"/>
      <c r="AX541" s="1051"/>
      <c r="AY541" s="1053"/>
      <c r="AZ541" s="1051"/>
      <c r="BA541" s="1051"/>
      <c r="BB541" s="1053"/>
      <c r="BC541" s="1051"/>
      <c r="BD541" s="1051"/>
      <c r="BE541" s="1053"/>
      <c r="BF541" s="1051"/>
      <c r="BG541" s="1051"/>
      <c r="BH541" s="1053"/>
      <c r="BI541" s="1052"/>
      <c r="BJ541" s="1052"/>
      <c r="BK541" s="1052"/>
      <c r="BL541" s="1052"/>
      <c r="BM541" s="1052"/>
      <c r="BN541" s="1054"/>
      <c r="BO541" s="1076">
        <f t="shared" si="9"/>
        <v>0</v>
      </c>
      <c r="BP541" s="1051"/>
      <c r="BQ541" s="1052"/>
      <c r="BR541" s="1054"/>
      <c r="BS541" s="1053"/>
      <c r="BT541" s="1051"/>
      <c r="BU541" s="1051"/>
      <c r="BV541" s="1051"/>
      <c r="BW541" s="1052"/>
      <c r="BX541" s="1052"/>
      <c r="BY541" s="1052"/>
      <c r="BZ541" s="1052"/>
      <c r="CA541" s="1052"/>
      <c r="CB541" s="1053"/>
      <c r="CC541" s="1053"/>
      <c r="CD541" s="1053"/>
      <c r="CE541" s="1053"/>
      <c r="CF541" s="1053"/>
      <c r="CG541" s="1053"/>
      <c r="CH541" s="1053"/>
      <c r="CI541" s="1123"/>
      <c r="CJ541" s="1123"/>
      <c r="CK541" s="1123"/>
      <c r="CL541" s="1123"/>
      <c r="CM541" s="1123"/>
      <c r="CN541" s="1123"/>
      <c r="CO541" s="1123"/>
      <c r="CP541" s="1123"/>
      <c r="CQ541" s="1123"/>
      <c r="CR541" s="1123"/>
      <c r="CS541" s="1123"/>
      <c r="CT541" s="1123"/>
      <c r="CU541" s="1123"/>
      <c r="CV541" s="1123"/>
      <c r="CW541" s="1123"/>
      <c r="CX541" s="1123"/>
      <c r="CY541" s="1123"/>
      <c r="CZ541" s="1114"/>
      <c r="DA541" s="1114"/>
      <c r="DB541" s="1114"/>
      <c r="DC541" s="1114"/>
      <c r="DD541" s="1114"/>
      <c r="DE541" s="1114"/>
      <c r="DF541" s="1114"/>
      <c r="DG541" s="1114"/>
      <c r="DH541" s="1114"/>
      <c r="DI541" s="1114"/>
      <c r="DJ541" s="1114"/>
      <c r="DK541" s="1114"/>
      <c r="DL541" s="1114"/>
      <c r="DM541" s="1114"/>
      <c r="DN541" s="1114"/>
      <c r="DO541" s="1114"/>
      <c r="DP541" s="1114"/>
      <c r="DQ541" s="1114"/>
      <c r="DR541" s="1114"/>
      <c r="DS541" s="1114"/>
      <c r="DT541" s="1114"/>
      <c r="DU541" s="1114"/>
      <c r="DV541" s="1115"/>
      <c r="DW541" s="1116"/>
      <c r="DX541" s="1116"/>
      <c r="DY541" s="1116"/>
      <c r="DZ541" s="1116"/>
      <c r="EA541" s="1116"/>
      <c r="EB541" s="1116"/>
      <c r="EC541" s="1116"/>
      <c r="ED541" s="1116"/>
      <c r="EE541" s="1116"/>
      <c r="EF541" s="1116"/>
      <c r="EG541" s="1116"/>
      <c r="EH541" s="1116"/>
      <c r="EI541" s="1116"/>
      <c r="EJ541" s="1116"/>
      <c r="EK541" s="1116"/>
      <c r="EL541" s="1116"/>
      <c r="EM541" s="1116"/>
      <c r="EN541" s="1116"/>
      <c r="EO541" s="1116"/>
      <c r="EP541" s="1116"/>
      <c r="EQ541" s="1116"/>
      <c r="ER541" s="1116"/>
      <c r="ES541" s="1116"/>
    </row>
    <row r="542" spans="1:149" ht="15" customHeight="1">
      <c r="A542" s="1185">
        <v>532</v>
      </c>
      <c r="B542" s="1041"/>
      <c r="C542" s="1050"/>
      <c r="D542" s="1050"/>
      <c r="E542" s="1050"/>
      <c r="F542" s="1049"/>
      <c r="G542" s="1049"/>
      <c r="H542" s="1049"/>
      <c r="I542" s="1049"/>
      <c r="J542" s="1050"/>
      <c r="K542" s="1050"/>
      <c r="L542" s="1043"/>
      <c r="M542" s="1051"/>
      <c r="N542" s="1051"/>
      <c r="O542" s="1052"/>
      <c r="P542" s="1051"/>
      <c r="Q542" s="1051"/>
      <c r="R542" s="1052"/>
      <c r="S542" s="1051"/>
      <c r="T542" s="1051"/>
      <c r="U542" s="1052"/>
      <c r="V542" s="1051"/>
      <c r="W542" s="1051"/>
      <c r="X542" s="1052"/>
      <c r="Y542" s="1053"/>
      <c r="Z542" s="1051"/>
      <c r="AA542" s="1051"/>
      <c r="AB542" s="1052"/>
      <c r="AC542" s="1051"/>
      <c r="AD542" s="1051"/>
      <c r="AE542" s="1052"/>
      <c r="AF542" s="1051"/>
      <c r="AG542" s="1051"/>
      <c r="AH542" s="1051"/>
      <c r="AI542" s="1051"/>
      <c r="AJ542" s="1052"/>
      <c r="AK542" s="1051"/>
      <c r="AL542" s="1051"/>
      <c r="AM542" s="1052"/>
      <c r="AN542" s="1051"/>
      <c r="AO542" s="1051"/>
      <c r="AP542" s="1052"/>
      <c r="AQ542" s="1051"/>
      <c r="AR542" s="1051"/>
      <c r="AS542" s="1052"/>
      <c r="AT542" s="1051"/>
      <c r="AU542" s="1051"/>
      <c r="AV542" s="1052"/>
      <c r="AW542" s="1051"/>
      <c r="AX542" s="1051"/>
      <c r="AY542" s="1053"/>
      <c r="AZ542" s="1051"/>
      <c r="BA542" s="1051"/>
      <c r="BB542" s="1053"/>
      <c r="BC542" s="1051"/>
      <c r="BD542" s="1051"/>
      <c r="BE542" s="1053"/>
      <c r="BF542" s="1051"/>
      <c r="BG542" s="1051"/>
      <c r="BH542" s="1053"/>
      <c r="BI542" s="1052"/>
      <c r="BJ542" s="1052"/>
      <c r="BK542" s="1052"/>
      <c r="BL542" s="1052"/>
      <c r="BM542" s="1052"/>
      <c r="BN542" s="1054"/>
      <c r="BO542" s="1076">
        <f t="shared" si="9"/>
        <v>0</v>
      </c>
      <c r="BP542" s="1051"/>
      <c r="BQ542" s="1052"/>
      <c r="BR542" s="1054"/>
      <c r="BS542" s="1053"/>
      <c r="BT542" s="1051"/>
      <c r="BU542" s="1051"/>
      <c r="BV542" s="1051"/>
      <c r="BW542" s="1052"/>
      <c r="BX542" s="1052"/>
      <c r="BY542" s="1052"/>
      <c r="BZ542" s="1052"/>
      <c r="CA542" s="1052"/>
      <c r="CB542" s="1053"/>
      <c r="CC542" s="1053"/>
      <c r="CD542" s="1053"/>
      <c r="CE542" s="1053"/>
      <c r="CF542" s="1053"/>
      <c r="CG542" s="1053"/>
      <c r="CH542" s="1053"/>
      <c r="CI542" s="1123"/>
      <c r="CJ542" s="1123"/>
      <c r="CK542" s="1123"/>
      <c r="CL542" s="1123"/>
      <c r="CM542" s="1123"/>
      <c r="CN542" s="1123"/>
      <c r="CO542" s="1123"/>
      <c r="CP542" s="1123"/>
      <c r="CQ542" s="1123"/>
      <c r="CR542" s="1123"/>
      <c r="CS542" s="1123"/>
      <c r="CT542" s="1123"/>
      <c r="CU542" s="1123"/>
      <c r="CV542" s="1123"/>
      <c r="CW542" s="1123"/>
      <c r="CX542" s="1123"/>
      <c r="CY542" s="1123"/>
      <c r="CZ542" s="1114"/>
      <c r="DA542" s="1114"/>
      <c r="DB542" s="1114"/>
      <c r="DC542" s="1114"/>
      <c r="DD542" s="1114"/>
      <c r="DE542" s="1114"/>
      <c r="DF542" s="1114"/>
      <c r="DG542" s="1114"/>
      <c r="DH542" s="1114"/>
      <c r="DI542" s="1114"/>
      <c r="DJ542" s="1114"/>
      <c r="DK542" s="1114"/>
      <c r="DL542" s="1114"/>
      <c r="DM542" s="1114"/>
      <c r="DN542" s="1114"/>
      <c r="DO542" s="1114"/>
      <c r="DP542" s="1114"/>
      <c r="DQ542" s="1114"/>
      <c r="DR542" s="1114"/>
      <c r="DS542" s="1114"/>
      <c r="DT542" s="1114"/>
      <c r="DU542" s="1114"/>
      <c r="DV542" s="1115"/>
      <c r="DW542" s="1116"/>
      <c r="DX542" s="1116"/>
      <c r="DY542" s="1116"/>
      <c r="DZ542" s="1116"/>
      <c r="EA542" s="1116"/>
      <c r="EB542" s="1116"/>
      <c r="EC542" s="1116"/>
      <c r="ED542" s="1116"/>
      <c r="EE542" s="1116"/>
      <c r="EF542" s="1116"/>
      <c r="EG542" s="1116"/>
      <c r="EH542" s="1116"/>
      <c r="EI542" s="1116"/>
      <c r="EJ542" s="1116"/>
      <c r="EK542" s="1116"/>
      <c r="EL542" s="1116"/>
      <c r="EM542" s="1116"/>
      <c r="EN542" s="1116"/>
      <c r="EO542" s="1116"/>
      <c r="EP542" s="1116"/>
      <c r="EQ542" s="1116"/>
      <c r="ER542" s="1116"/>
      <c r="ES542" s="1116"/>
    </row>
    <row r="543" spans="1:149" ht="15" customHeight="1">
      <c r="A543" s="1185">
        <v>533</v>
      </c>
      <c r="B543" s="1041"/>
      <c r="C543" s="1050"/>
      <c r="D543" s="1050"/>
      <c r="E543" s="1050"/>
      <c r="F543" s="1049"/>
      <c r="G543" s="1049"/>
      <c r="H543" s="1049"/>
      <c r="I543" s="1049"/>
      <c r="J543" s="1050"/>
      <c r="K543" s="1050"/>
      <c r="L543" s="1043"/>
      <c r="M543" s="1051"/>
      <c r="N543" s="1051"/>
      <c r="O543" s="1052"/>
      <c r="P543" s="1051"/>
      <c r="Q543" s="1051"/>
      <c r="R543" s="1052"/>
      <c r="S543" s="1051"/>
      <c r="T543" s="1051"/>
      <c r="U543" s="1052"/>
      <c r="V543" s="1051"/>
      <c r="W543" s="1051"/>
      <c r="X543" s="1052"/>
      <c r="Y543" s="1053"/>
      <c r="Z543" s="1051"/>
      <c r="AA543" s="1051"/>
      <c r="AB543" s="1052"/>
      <c r="AC543" s="1051"/>
      <c r="AD543" s="1051"/>
      <c r="AE543" s="1052"/>
      <c r="AF543" s="1051"/>
      <c r="AG543" s="1051"/>
      <c r="AH543" s="1051"/>
      <c r="AI543" s="1051"/>
      <c r="AJ543" s="1052"/>
      <c r="AK543" s="1051"/>
      <c r="AL543" s="1051"/>
      <c r="AM543" s="1052"/>
      <c r="AN543" s="1051"/>
      <c r="AO543" s="1051"/>
      <c r="AP543" s="1052"/>
      <c r="AQ543" s="1051"/>
      <c r="AR543" s="1051"/>
      <c r="AS543" s="1052"/>
      <c r="AT543" s="1051"/>
      <c r="AU543" s="1051"/>
      <c r="AV543" s="1052"/>
      <c r="AW543" s="1051"/>
      <c r="AX543" s="1051"/>
      <c r="AY543" s="1053"/>
      <c r="AZ543" s="1051"/>
      <c r="BA543" s="1051"/>
      <c r="BB543" s="1053"/>
      <c r="BC543" s="1051"/>
      <c r="BD543" s="1051"/>
      <c r="BE543" s="1053"/>
      <c r="BF543" s="1051"/>
      <c r="BG543" s="1051"/>
      <c r="BH543" s="1053"/>
      <c r="BI543" s="1052"/>
      <c r="BJ543" s="1052"/>
      <c r="BK543" s="1052"/>
      <c r="BL543" s="1052"/>
      <c r="BM543" s="1052"/>
      <c r="BN543" s="1054"/>
      <c r="BO543" s="1076">
        <f t="shared" si="9"/>
        <v>0</v>
      </c>
      <c r="BP543" s="1051"/>
      <c r="BQ543" s="1052"/>
      <c r="BR543" s="1054"/>
      <c r="BS543" s="1053"/>
      <c r="BT543" s="1051"/>
      <c r="BU543" s="1051"/>
      <c r="BV543" s="1051"/>
      <c r="BW543" s="1052"/>
      <c r="BX543" s="1052"/>
      <c r="BY543" s="1052"/>
      <c r="BZ543" s="1052"/>
      <c r="CA543" s="1052"/>
      <c r="CB543" s="1053"/>
      <c r="CC543" s="1053"/>
      <c r="CD543" s="1053"/>
      <c r="CE543" s="1053"/>
      <c r="CF543" s="1053"/>
      <c r="CG543" s="1053"/>
      <c r="CH543" s="1053"/>
      <c r="CI543" s="1123"/>
      <c r="CJ543" s="1123"/>
      <c r="CK543" s="1123"/>
      <c r="CL543" s="1123"/>
      <c r="CM543" s="1123"/>
      <c r="CN543" s="1123"/>
      <c r="CO543" s="1123"/>
      <c r="CP543" s="1123"/>
      <c r="CQ543" s="1123"/>
      <c r="CR543" s="1123"/>
      <c r="CS543" s="1123"/>
      <c r="CT543" s="1123"/>
      <c r="CU543" s="1123"/>
      <c r="CV543" s="1123"/>
      <c r="CW543" s="1123"/>
      <c r="CX543" s="1123"/>
      <c r="CY543" s="1123"/>
      <c r="CZ543" s="1114"/>
      <c r="DA543" s="1114"/>
      <c r="DB543" s="1114"/>
      <c r="DC543" s="1114"/>
      <c r="DD543" s="1114"/>
      <c r="DE543" s="1114"/>
      <c r="DF543" s="1114"/>
      <c r="DG543" s="1114"/>
      <c r="DH543" s="1114"/>
      <c r="DI543" s="1114"/>
      <c r="DJ543" s="1114"/>
      <c r="DK543" s="1114"/>
      <c r="DL543" s="1114"/>
      <c r="DM543" s="1114"/>
      <c r="DN543" s="1114"/>
      <c r="DO543" s="1114"/>
      <c r="DP543" s="1114"/>
      <c r="DQ543" s="1114"/>
      <c r="DR543" s="1114"/>
      <c r="DS543" s="1114"/>
      <c r="DT543" s="1114"/>
      <c r="DU543" s="1114"/>
      <c r="DV543" s="1115"/>
      <c r="DW543" s="1116"/>
      <c r="DX543" s="1116"/>
      <c r="DY543" s="1116"/>
      <c r="DZ543" s="1116"/>
      <c r="EA543" s="1116"/>
      <c r="EB543" s="1116"/>
      <c r="EC543" s="1116"/>
      <c r="ED543" s="1116"/>
      <c r="EE543" s="1116"/>
      <c r="EF543" s="1116"/>
      <c r="EG543" s="1116"/>
      <c r="EH543" s="1116"/>
      <c r="EI543" s="1116"/>
      <c r="EJ543" s="1116"/>
      <c r="EK543" s="1116"/>
      <c r="EL543" s="1116"/>
      <c r="EM543" s="1116"/>
      <c r="EN543" s="1116"/>
      <c r="EO543" s="1116"/>
      <c r="EP543" s="1116"/>
      <c r="EQ543" s="1116"/>
      <c r="ER543" s="1116"/>
      <c r="ES543" s="1116"/>
    </row>
    <row r="544" spans="1:149" ht="15" customHeight="1">
      <c r="A544" s="1185">
        <v>534</v>
      </c>
      <c r="B544" s="1041"/>
      <c r="C544" s="1050"/>
      <c r="D544" s="1050"/>
      <c r="E544" s="1050"/>
      <c r="F544" s="1049"/>
      <c r="G544" s="1049"/>
      <c r="H544" s="1049"/>
      <c r="I544" s="1049"/>
      <c r="J544" s="1050"/>
      <c r="K544" s="1050"/>
      <c r="L544" s="1043"/>
      <c r="M544" s="1051"/>
      <c r="N544" s="1051"/>
      <c r="O544" s="1052"/>
      <c r="P544" s="1051"/>
      <c r="Q544" s="1051"/>
      <c r="R544" s="1052"/>
      <c r="S544" s="1051"/>
      <c r="T544" s="1051"/>
      <c r="U544" s="1052"/>
      <c r="V544" s="1051"/>
      <c r="W544" s="1051"/>
      <c r="X544" s="1052"/>
      <c r="Y544" s="1053"/>
      <c r="Z544" s="1051"/>
      <c r="AA544" s="1051"/>
      <c r="AB544" s="1052"/>
      <c r="AC544" s="1051"/>
      <c r="AD544" s="1051"/>
      <c r="AE544" s="1052"/>
      <c r="AF544" s="1051"/>
      <c r="AG544" s="1051"/>
      <c r="AH544" s="1051"/>
      <c r="AI544" s="1051"/>
      <c r="AJ544" s="1052"/>
      <c r="AK544" s="1051"/>
      <c r="AL544" s="1051"/>
      <c r="AM544" s="1052"/>
      <c r="AN544" s="1051"/>
      <c r="AO544" s="1051"/>
      <c r="AP544" s="1052"/>
      <c r="AQ544" s="1051"/>
      <c r="AR544" s="1051"/>
      <c r="AS544" s="1052"/>
      <c r="AT544" s="1051"/>
      <c r="AU544" s="1051"/>
      <c r="AV544" s="1052"/>
      <c r="AW544" s="1051"/>
      <c r="AX544" s="1051"/>
      <c r="AY544" s="1053"/>
      <c r="AZ544" s="1051"/>
      <c r="BA544" s="1051"/>
      <c r="BB544" s="1053"/>
      <c r="BC544" s="1051"/>
      <c r="BD544" s="1051"/>
      <c r="BE544" s="1053"/>
      <c r="BF544" s="1051"/>
      <c r="BG544" s="1051"/>
      <c r="BH544" s="1053"/>
      <c r="BI544" s="1052"/>
      <c r="BJ544" s="1052"/>
      <c r="BK544" s="1052"/>
      <c r="BL544" s="1052"/>
      <c r="BM544" s="1052"/>
      <c r="BN544" s="1054"/>
      <c r="BO544" s="1076">
        <f t="shared" si="9"/>
        <v>0</v>
      </c>
      <c r="BP544" s="1051"/>
      <c r="BQ544" s="1052"/>
      <c r="BR544" s="1054"/>
      <c r="BS544" s="1053"/>
      <c r="BT544" s="1051"/>
      <c r="BU544" s="1051"/>
      <c r="BV544" s="1051"/>
      <c r="BW544" s="1052"/>
      <c r="BX544" s="1052"/>
      <c r="BY544" s="1052"/>
      <c r="BZ544" s="1052"/>
      <c r="CA544" s="1052"/>
      <c r="CB544" s="1053"/>
      <c r="CC544" s="1053"/>
      <c r="CD544" s="1053"/>
      <c r="CE544" s="1053"/>
      <c r="CF544" s="1053"/>
      <c r="CG544" s="1053"/>
      <c r="CH544" s="1053"/>
      <c r="CI544" s="1123"/>
      <c r="CJ544" s="1123"/>
      <c r="CK544" s="1123"/>
      <c r="CL544" s="1123"/>
      <c r="CM544" s="1123"/>
      <c r="CN544" s="1123"/>
      <c r="CO544" s="1123"/>
      <c r="CP544" s="1123"/>
      <c r="CQ544" s="1123"/>
      <c r="CR544" s="1123"/>
      <c r="CS544" s="1123"/>
      <c r="CT544" s="1123"/>
      <c r="CU544" s="1123"/>
      <c r="CV544" s="1123"/>
      <c r="CW544" s="1123"/>
      <c r="CX544" s="1123"/>
      <c r="CY544" s="1123"/>
      <c r="CZ544" s="1114"/>
      <c r="DA544" s="1114"/>
      <c r="DB544" s="1114"/>
      <c r="DC544" s="1114"/>
      <c r="DD544" s="1114"/>
      <c r="DE544" s="1114"/>
      <c r="DF544" s="1114"/>
      <c r="DG544" s="1114"/>
      <c r="DH544" s="1114"/>
      <c r="DI544" s="1114"/>
      <c r="DJ544" s="1114"/>
      <c r="DK544" s="1114"/>
      <c r="DL544" s="1114"/>
      <c r="DM544" s="1114"/>
      <c r="DN544" s="1114"/>
      <c r="DO544" s="1114"/>
      <c r="DP544" s="1114"/>
      <c r="DQ544" s="1114"/>
      <c r="DR544" s="1114"/>
      <c r="DS544" s="1114"/>
      <c r="DT544" s="1114"/>
      <c r="DU544" s="1114"/>
      <c r="DV544" s="1115"/>
      <c r="DW544" s="1116"/>
      <c r="DX544" s="1116"/>
      <c r="DY544" s="1116"/>
      <c r="DZ544" s="1116"/>
      <c r="EA544" s="1116"/>
      <c r="EB544" s="1116"/>
      <c r="EC544" s="1116"/>
      <c r="ED544" s="1116"/>
      <c r="EE544" s="1116"/>
      <c r="EF544" s="1116"/>
      <c r="EG544" s="1116"/>
      <c r="EH544" s="1116"/>
      <c r="EI544" s="1116"/>
      <c r="EJ544" s="1116"/>
      <c r="EK544" s="1116"/>
      <c r="EL544" s="1116"/>
      <c r="EM544" s="1116"/>
      <c r="EN544" s="1116"/>
      <c r="EO544" s="1116"/>
      <c r="EP544" s="1116"/>
      <c r="EQ544" s="1116"/>
      <c r="ER544" s="1116"/>
      <c r="ES544" s="1116"/>
    </row>
    <row r="545" spans="1:149" ht="15" customHeight="1">
      <c r="A545" s="1185">
        <v>535</v>
      </c>
      <c r="B545" s="1041"/>
      <c r="C545" s="1050"/>
      <c r="D545" s="1050"/>
      <c r="E545" s="1050"/>
      <c r="F545" s="1049"/>
      <c r="G545" s="1049"/>
      <c r="H545" s="1049"/>
      <c r="I545" s="1049"/>
      <c r="J545" s="1050"/>
      <c r="K545" s="1050"/>
      <c r="L545" s="1043"/>
      <c r="M545" s="1051"/>
      <c r="N545" s="1051"/>
      <c r="O545" s="1052"/>
      <c r="P545" s="1051"/>
      <c r="Q545" s="1051"/>
      <c r="R545" s="1052"/>
      <c r="S545" s="1051"/>
      <c r="T545" s="1051"/>
      <c r="U545" s="1052"/>
      <c r="V545" s="1051"/>
      <c r="W545" s="1051"/>
      <c r="X545" s="1052"/>
      <c r="Y545" s="1053"/>
      <c r="Z545" s="1051"/>
      <c r="AA545" s="1051"/>
      <c r="AB545" s="1052"/>
      <c r="AC545" s="1051"/>
      <c r="AD545" s="1051"/>
      <c r="AE545" s="1052"/>
      <c r="AF545" s="1051"/>
      <c r="AG545" s="1051"/>
      <c r="AH545" s="1051"/>
      <c r="AI545" s="1051"/>
      <c r="AJ545" s="1052"/>
      <c r="AK545" s="1051"/>
      <c r="AL545" s="1051"/>
      <c r="AM545" s="1052"/>
      <c r="AN545" s="1051"/>
      <c r="AO545" s="1051"/>
      <c r="AP545" s="1052"/>
      <c r="AQ545" s="1051"/>
      <c r="AR545" s="1051"/>
      <c r="AS545" s="1052"/>
      <c r="AT545" s="1051"/>
      <c r="AU545" s="1051"/>
      <c r="AV545" s="1052"/>
      <c r="AW545" s="1051"/>
      <c r="AX545" s="1051"/>
      <c r="AY545" s="1053"/>
      <c r="AZ545" s="1051"/>
      <c r="BA545" s="1051"/>
      <c r="BB545" s="1053"/>
      <c r="BC545" s="1051"/>
      <c r="BD545" s="1051"/>
      <c r="BE545" s="1053"/>
      <c r="BF545" s="1051"/>
      <c r="BG545" s="1051"/>
      <c r="BH545" s="1053"/>
      <c r="BI545" s="1052"/>
      <c r="BJ545" s="1052"/>
      <c r="BK545" s="1052"/>
      <c r="BL545" s="1052"/>
      <c r="BM545" s="1052"/>
      <c r="BN545" s="1054"/>
      <c r="BO545" s="1076">
        <f t="shared" si="9"/>
        <v>0</v>
      </c>
      <c r="BP545" s="1051"/>
      <c r="BQ545" s="1052"/>
      <c r="BR545" s="1054"/>
      <c r="BS545" s="1053"/>
      <c r="BT545" s="1051"/>
      <c r="BU545" s="1051"/>
      <c r="BV545" s="1051"/>
      <c r="BW545" s="1052"/>
      <c r="BX545" s="1052"/>
      <c r="BY545" s="1052"/>
      <c r="BZ545" s="1052"/>
      <c r="CA545" s="1052"/>
      <c r="CB545" s="1053"/>
      <c r="CC545" s="1053"/>
      <c r="CD545" s="1053"/>
      <c r="CE545" s="1053"/>
      <c r="CF545" s="1053"/>
      <c r="CG545" s="1053"/>
      <c r="CH545" s="1053"/>
      <c r="CI545" s="1123"/>
      <c r="CJ545" s="1123"/>
      <c r="CK545" s="1123"/>
      <c r="CL545" s="1123"/>
      <c r="CM545" s="1123"/>
      <c r="CN545" s="1123"/>
      <c r="CO545" s="1123"/>
      <c r="CP545" s="1123"/>
      <c r="CQ545" s="1123"/>
      <c r="CR545" s="1123"/>
      <c r="CS545" s="1123"/>
      <c r="CT545" s="1123"/>
      <c r="CU545" s="1123"/>
      <c r="CV545" s="1123"/>
      <c r="CW545" s="1123"/>
      <c r="CX545" s="1123"/>
      <c r="CY545" s="1123"/>
      <c r="CZ545" s="1114"/>
      <c r="DA545" s="1114"/>
      <c r="DB545" s="1114"/>
      <c r="DC545" s="1114"/>
      <c r="DD545" s="1114"/>
      <c r="DE545" s="1114"/>
      <c r="DF545" s="1114"/>
      <c r="DG545" s="1114"/>
      <c r="DH545" s="1114"/>
      <c r="DI545" s="1114"/>
      <c r="DJ545" s="1114"/>
      <c r="DK545" s="1114"/>
      <c r="DL545" s="1114"/>
      <c r="DM545" s="1114"/>
      <c r="DN545" s="1114"/>
      <c r="DO545" s="1114"/>
      <c r="DP545" s="1114"/>
      <c r="DQ545" s="1114"/>
      <c r="DR545" s="1114"/>
      <c r="DS545" s="1114"/>
      <c r="DT545" s="1114"/>
      <c r="DU545" s="1114"/>
      <c r="DV545" s="1115"/>
      <c r="DW545" s="1116"/>
      <c r="DX545" s="1116"/>
      <c r="DY545" s="1116"/>
      <c r="DZ545" s="1116"/>
      <c r="EA545" s="1116"/>
      <c r="EB545" s="1116"/>
      <c r="EC545" s="1116"/>
      <c r="ED545" s="1116"/>
      <c r="EE545" s="1116"/>
      <c r="EF545" s="1116"/>
      <c r="EG545" s="1116"/>
      <c r="EH545" s="1116"/>
      <c r="EI545" s="1116"/>
      <c r="EJ545" s="1116"/>
      <c r="EK545" s="1116"/>
      <c r="EL545" s="1116"/>
      <c r="EM545" s="1116"/>
      <c r="EN545" s="1116"/>
      <c r="EO545" s="1116"/>
      <c r="EP545" s="1116"/>
      <c r="EQ545" s="1116"/>
      <c r="ER545" s="1116"/>
      <c r="ES545" s="1116"/>
    </row>
    <row r="546" spans="1:149" ht="15" customHeight="1">
      <c r="A546" s="1185">
        <v>536</v>
      </c>
      <c r="B546" s="1041"/>
      <c r="C546" s="1050"/>
      <c r="D546" s="1050"/>
      <c r="E546" s="1050"/>
      <c r="F546" s="1049"/>
      <c r="G546" s="1049"/>
      <c r="H546" s="1049"/>
      <c r="I546" s="1049"/>
      <c r="J546" s="1050"/>
      <c r="K546" s="1050"/>
      <c r="L546" s="1043"/>
      <c r="M546" s="1051"/>
      <c r="N546" s="1051"/>
      <c r="O546" s="1052"/>
      <c r="P546" s="1051"/>
      <c r="Q546" s="1051"/>
      <c r="R546" s="1052"/>
      <c r="S546" s="1051"/>
      <c r="T546" s="1051"/>
      <c r="U546" s="1052"/>
      <c r="V546" s="1051"/>
      <c r="W546" s="1051"/>
      <c r="X546" s="1052"/>
      <c r="Y546" s="1053"/>
      <c r="Z546" s="1051"/>
      <c r="AA546" s="1051"/>
      <c r="AB546" s="1052"/>
      <c r="AC546" s="1051"/>
      <c r="AD546" s="1051"/>
      <c r="AE546" s="1052"/>
      <c r="AF546" s="1051"/>
      <c r="AG546" s="1051"/>
      <c r="AH546" s="1051"/>
      <c r="AI546" s="1051"/>
      <c r="AJ546" s="1052"/>
      <c r="AK546" s="1051"/>
      <c r="AL546" s="1051"/>
      <c r="AM546" s="1052"/>
      <c r="AN546" s="1051"/>
      <c r="AO546" s="1051"/>
      <c r="AP546" s="1052"/>
      <c r="AQ546" s="1051"/>
      <c r="AR546" s="1051"/>
      <c r="AS546" s="1052"/>
      <c r="AT546" s="1051"/>
      <c r="AU546" s="1051"/>
      <c r="AV546" s="1052"/>
      <c r="AW546" s="1051"/>
      <c r="AX546" s="1051"/>
      <c r="AY546" s="1053"/>
      <c r="AZ546" s="1051"/>
      <c r="BA546" s="1051"/>
      <c r="BB546" s="1053"/>
      <c r="BC546" s="1051"/>
      <c r="BD546" s="1051"/>
      <c r="BE546" s="1053"/>
      <c r="BF546" s="1051"/>
      <c r="BG546" s="1051"/>
      <c r="BH546" s="1053"/>
      <c r="BI546" s="1052"/>
      <c r="BJ546" s="1052"/>
      <c r="BK546" s="1052"/>
      <c r="BL546" s="1052"/>
      <c r="BM546" s="1052"/>
      <c r="BN546" s="1054"/>
      <c r="BO546" s="1076">
        <f t="shared" si="9"/>
        <v>0</v>
      </c>
      <c r="BP546" s="1051"/>
      <c r="BQ546" s="1052"/>
      <c r="BR546" s="1054"/>
      <c r="BS546" s="1053"/>
      <c r="BT546" s="1051"/>
      <c r="BU546" s="1051"/>
      <c r="BV546" s="1051"/>
      <c r="BW546" s="1052"/>
      <c r="BX546" s="1052"/>
      <c r="BY546" s="1052"/>
      <c r="BZ546" s="1052"/>
      <c r="CA546" s="1052"/>
      <c r="CB546" s="1053"/>
      <c r="CC546" s="1053"/>
      <c r="CD546" s="1053"/>
      <c r="CE546" s="1053"/>
      <c r="CF546" s="1053"/>
      <c r="CG546" s="1053"/>
      <c r="CH546" s="1053"/>
      <c r="CI546" s="1123"/>
      <c r="CJ546" s="1123"/>
      <c r="CK546" s="1123"/>
      <c r="CL546" s="1123"/>
      <c r="CM546" s="1123"/>
      <c r="CN546" s="1123"/>
      <c r="CO546" s="1123"/>
      <c r="CP546" s="1123"/>
      <c r="CQ546" s="1123"/>
      <c r="CR546" s="1123"/>
      <c r="CS546" s="1123"/>
      <c r="CT546" s="1123"/>
      <c r="CU546" s="1123"/>
      <c r="CV546" s="1123"/>
      <c r="CW546" s="1123"/>
      <c r="CX546" s="1123"/>
      <c r="CY546" s="1123"/>
      <c r="CZ546" s="1114"/>
      <c r="DA546" s="1114"/>
      <c r="DB546" s="1114"/>
      <c r="DC546" s="1114"/>
      <c r="DD546" s="1114"/>
      <c r="DE546" s="1114"/>
      <c r="DF546" s="1114"/>
      <c r="DG546" s="1114"/>
      <c r="DH546" s="1114"/>
      <c r="DI546" s="1114"/>
      <c r="DJ546" s="1114"/>
      <c r="DK546" s="1114"/>
      <c r="DL546" s="1114"/>
      <c r="DM546" s="1114"/>
      <c r="DN546" s="1114"/>
      <c r="DO546" s="1114"/>
      <c r="DP546" s="1114"/>
      <c r="DQ546" s="1114"/>
      <c r="DR546" s="1114"/>
      <c r="DS546" s="1114"/>
      <c r="DT546" s="1114"/>
      <c r="DU546" s="1114"/>
      <c r="DV546" s="1115"/>
      <c r="DW546" s="1116"/>
      <c r="DX546" s="1116"/>
      <c r="DY546" s="1116"/>
      <c r="DZ546" s="1116"/>
      <c r="EA546" s="1116"/>
      <c r="EB546" s="1116"/>
      <c r="EC546" s="1116"/>
      <c r="ED546" s="1116"/>
      <c r="EE546" s="1116"/>
      <c r="EF546" s="1116"/>
      <c r="EG546" s="1116"/>
      <c r="EH546" s="1116"/>
      <c r="EI546" s="1116"/>
      <c r="EJ546" s="1116"/>
      <c r="EK546" s="1116"/>
      <c r="EL546" s="1116"/>
      <c r="EM546" s="1116"/>
      <c r="EN546" s="1116"/>
      <c r="EO546" s="1116"/>
      <c r="EP546" s="1116"/>
      <c r="EQ546" s="1116"/>
      <c r="ER546" s="1116"/>
      <c r="ES546" s="1116"/>
    </row>
    <row r="547" spans="1:149" ht="15" customHeight="1">
      <c r="A547" s="1185">
        <v>537</v>
      </c>
      <c r="B547" s="1041"/>
      <c r="C547" s="1050"/>
      <c r="D547" s="1050"/>
      <c r="E547" s="1050"/>
      <c r="F547" s="1049"/>
      <c r="G547" s="1049"/>
      <c r="H547" s="1049"/>
      <c r="I547" s="1049"/>
      <c r="J547" s="1050"/>
      <c r="K547" s="1050"/>
      <c r="L547" s="1043"/>
      <c r="M547" s="1051"/>
      <c r="N547" s="1051"/>
      <c r="O547" s="1052"/>
      <c r="P547" s="1051"/>
      <c r="Q547" s="1051"/>
      <c r="R547" s="1052"/>
      <c r="S547" s="1051"/>
      <c r="T547" s="1051"/>
      <c r="U547" s="1052"/>
      <c r="V547" s="1051"/>
      <c r="W547" s="1051"/>
      <c r="X547" s="1052"/>
      <c r="Y547" s="1053"/>
      <c r="Z547" s="1051"/>
      <c r="AA547" s="1051"/>
      <c r="AB547" s="1052"/>
      <c r="AC547" s="1051"/>
      <c r="AD547" s="1051"/>
      <c r="AE547" s="1052"/>
      <c r="AF547" s="1051"/>
      <c r="AG547" s="1051"/>
      <c r="AH547" s="1051"/>
      <c r="AI547" s="1051"/>
      <c r="AJ547" s="1052"/>
      <c r="AK547" s="1051"/>
      <c r="AL547" s="1051"/>
      <c r="AM547" s="1052"/>
      <c r="AN547" s="1051"/>
      <c r="AO547" s="1051"/>
      <c r="AP547" s="1052"/>
      <c r="AQ547" s="1051"/>
      <c r="AR547" s="1051"/>
      <c r="AS547" s="1052"/>
      <c r="AT547" s="1051"/>
      <c r="AU547" s="1051"/>
      <c r="AV547" s="1052"/>
      <c r="AW547" s="1051"/>
      <c r="AX547" s="1051"/>
      <c r="AY547" s="1053"/>
      <c r="AZ547" s="1051"/>
      <c r="BA547" s="1051"/>
      <c r="BB547" s="1053"/>
      <c r="BC547" s="1051"/>
      <c r="BD547" s="1051"/>
      <c r="BE547" s="1053"/>
      <c r="BF547" s="1051"/>
      <c r="BG547" s="1051"/>
      <c r="BH547" s="1053"/>
      <c r="BI547" s="1052"/>
      <c r="BJ547" s="1052"/>
      <c r="BK547" s="1052"/>
      <c r="BL547" s="1052"/>
      <c r="BM547" s="1052"/>
      <c r="BN547" s="1054"/>
      <c r="BO547" s="1076">
        <f t="shared" si="9"/>
        <v>0</v>
      </c>
      <c r="BP547" s="1051"/>
      <c r="BQ547" s="1052"/>
      <c r="BR547" s="1054"/>
      <c r="BS547" s="1053"/>
      <c r="BT547" s="1051"/>
      <c r="BU547" s="1051"/>
      <c r="BV547" s="1051"/>
      <c r="BW547" s="1052"/>
      <c r="BX547" s="1052"/>
      <c r="BY547" s="1052"/>
      <c r="BZ547" s="1052"/>
      <c r="CA547" s="1052"/>
      <c r="CB547" s="1053"/>
      <c r="CC547" s="1053"/>
      <c r="CD547" s="1053"/>
      <c r="CE547" s="1053"/>
      <c r="CF547" s="1053"/>
      <c r="CG547" s="1053"/>
      <c r="CH547" s="1053"/>
      <c r="CI547" s="1123"/>
      <c r="CJ547" s="1123"/>
      <c r="CK547" s="1123"/>
      <c r="CL547" s="1123"/>
      <c r="CM547" s="1123"/>
      <c r="CN547" s="1123"/>
      <c r="CO547" s="1123"/>
      <c r="CP547" s="1123"/>
      <c r="CQ547" s="1123"/>
      <c r="CR547" s="1123"/>
      <c r="CS547" s="1123"/>
      <c r="CT547" s="1123"/>
      <c r="CU547" s="1123"/>
      <c r="CV547" s="1123"/>
      <c r="CW547" s="1123"/>
      <c r="CX547" s="1123"/>
      <c r="CY547" s="1123"/>
      <c r="CZ547" s="1114"/>
      <c r="DA547" s="1114"/>
      <c r="DB547" s="1114"/>
      <c r="DC547" s="1114"/>
      <c r="DD547" s="1114"/>
      <c r="DE547" s="1114"/>
      <c r="DF547" s="1114"/>
      <c r="DG547" s="1114"/>
      <c r="DH547" s="1114"/>
      <c r="DI547" s="1114"/>
      <c r="DJ547" s="1114"/>
      <c r="DK547" s="1114"/>
      <c r="DL547" s="1114"/>
      <c r="DM547" s="1114"/>
      <c r="DN547" s="1114"/>
      <c r="DO547" s="1114"/>
      <c r="DP547" s="1114"/>
      <c r="DQ547" s="1114"/>
      <c r="DR547" s="1114"/>
      <c r="DS547" s="1114"/>
      <c r="DT547" s="1114"/>
      <c r="DU547" s="1114"/>
      <c r="DV547" s="1115"/>
      <c r="DW547" s="1116"/>
      <c r="DX547" s="1116"/>
      <c r="DY547" s="1116"/>
      <c r="DZ547" s="1116"/>
      <c r="EA547" s="1116"/>
      <c r="EB547" s="1116"/>
      <c r="EC547" s="1116"/>
      <c r="ED547" s="1116"/>
      <c r="EE547" s="1116"/>
      <c r="EF547" s="1116"/>
      <c r="EG547" s="1116"/>
      <c r="EH547" s="1116"/>
      <c r="EI547" s="1116"/>
      <c r="EJ547" s="1116"/>
      <c r="EK547" s="1116"/>
      <c r="EL547" s="1116"/>
      <c r="EM547" s="1116"/>
      <c r="EN547" s="1116"/>
      <c r="EO547" s="1116"/>
      <c r="EP547" s="1116"/>
      <c r="EQ547" s="1116"/>
      <c r="ER547" s="1116"/>
      <c r="ES547" s="1116"/>
    </row>
    <row r="548" spans="1:149" ht="15" customHeight="1">
      <c r="A548" s="1185">
        <v>538</v>
      </c>
      <c r="B548" s="1041"/>
      <c r="C548" s="1050"/>
      <c r="D548" s="1050"/>
      <c r="E548" s="1050"/>
      <c r="F548" s="1049"/>
      <c r="G548" s="1049"/>
      <c r="H548" s="1049"/>
      <c r="I548" s="1049"/>
      <c r="J548" s="1050"/>
      <c r="K548" s="1050"/>
      <c r="L548" s="1043"/>
      <c r="M548" s="1051"/>
      <c r="N548" s="1051"/>
      <c r="O548" s="1052"/>
      <c r="P548" s="1051"/>
      <c r="Q548" s="1051"/>
      <c r="R548" s="1052"/>
      <c r="S548" s="1051"/>
      <c r="T548" s="1051"/>
      <c r="U548" s="1052"/>
      <c r="V548" s="1051"/>
      <c r="W548" s="1051"/>
      <c r="X548" s="1052"/>
      <c r="Y548" s="1053"/>
      <c r="Z548" s="1051"/>
      <c r="AA548" s="1051"/>
      <c r="AB548" s="1052"/>
      <c r="AC548" s="1051"/>
      <c r="AD548" s="1051"/>
      <c r="AE548" s="1052"/>
      <c r="AF548" s="1051"/>
      <c r="AG548" s="1051"/>
      <c r="AH548" s="1051"/>
      <c r="AI548" s="1051"/>
      <c r="AJ548" s="1052"/>
      <c r="AK548" s="1051"/>
      <c r="AL548" s="1051"/>
      <c r="AM548" s="1052"/>
      <c r="AN548" s="1051"/>
      <c r="AO548" s="1051"/>
      <c r="AP548" s="1052"/>
      <c r="AQ548" s="1051"/>
      <c r="AR548" s="1051"/>
      <c r="AS548" s="1052"/>
      <c r="AT548" s="1051"/>
      <c r="AU548" s="1051"/>
      <c r="AV548" s="1052"/>
      <c r="AW548" s="1051"/>
      <c r="AX548" s="1051"/>
      <c r="AY548" s="1053"/>
      <c r="AZ548" s="1051"/>
      <c r="BA548" s="1051"/>
      <c r="BB548" s="1053"/>
      <c r="BC548" s="1051"/>
      <c r="BD548" s="1051"/>
      <c r="BE548" s="1053"/>
      <c r="BF548" s="1051"/>
      <c r="BG548" s="1051"/>
      <c r="BH548" s="1053"/>
      <c r="BI548" s="1052"/>
      <c r="BJ548" s="1052"/>
      <c r="BK548" s="1052"/>
      <c r="BL548" s="1052"/>
      <c r="BM548" s="1052"/>
      <c r="BN548" s="1054"/>
      <c r="BO548" s="1076">
        <f t="shared" si="9"/>
        <v>0</v>
      </c>
      <c r="BP548" s="1051"/>
      <c r="BQ548" s="1052"/>
      <c r="BR548" s="1054"/>
      <c r="BS548" s="1053"/>
      <c r="BT548" s="1051"/>
      <c r="BU548" s="1051"/>
      <c r="BV548" s="1051"/>
      <c r="BW548" s="1052"/>
      <c r="BX548" s="1052"/>
      <c r="BY548" s="1052"/>
      <c r="BZ548" s="1052"/>
      <c r="CA548" s="1052"/>
      <c r="CB548" s="1053"/>
      <c r="CC548" s="1053"/>
      <c r="CD548" s="1053"/>
      <c r="CE548" s="1053"/>
      <c r="CF548" s="1053"/>
      <c r="CG548" s="1053"/>
      <c r="CH548" s="1053"/>
      <c r="CI548" s="1123"/>
      <c r="CJ548" s="1123"/>
      <c r="CK548" s="1123"/>
      <c r="CL548" s="1123"/>
      <c r="CM548" s="1123"/>
      <c r="CN548" s="1123"/>
      <c r="CO548" s="1123"/>
      <c r="CP548" s="1123"/>
      <c r="CQ548" s="1123"/>
      <c r="CR548" s="1123"/>
      <c r="CS548" s="1123"/>
      <c r="CT548" s="1123"/>
      <c r="CU548" s="1123"/>
      <c r="CV548" s="1123"/>
      <c r="CW548" s="1123"/>
      <c r="CX548" s="1123"/>
      <c r="CY548" s="1123"/>
      <c r="CZ548" s="1114"/>
      <c r="DA548" s="1114"/>
      <c r="DB548" s="1114"/>
      <c r="DC548" s="1114"/>
      <c r="DD548" s="1114"/>
      <c r="DE548" s="1114"/>
      <c r="DF548" s="1114"/>
      <c r="DG548" s="1114"/>
      <c r="DH548" s="1114"/>
      <c r="DI548" s="1114"/>
      <c r="DJ548" s="1114"/>
      <c r="DK548" s="1114"/>
      <c r="DL548" s="1114"/>
      <c r="DM548" s="1114"/>
      <c r="DN548" s="1114"/>
      <c r="DO548" s="1114"/>
      <c r="DP548" s="1114"/>
      <c r="DQ548" s="1114"/>
      <c r="DR548" s="1114"/>
      <c r="DS548" s="1114"/>
      <c r="DT548" s="1114"/>
      <c r="DU548" s="1114"/>
      <c r="DV548" s="1115"/>
      <c r="DW548" s="1116"/>
      <c r="DX548" s="1116"/>
      <c r="DY548" s="1116"/>
      <c r="DZ548" s="1116"/>
      <c r="EA548" s="1116"/>
      <c r="EB548" s="1116"/>
      <c r="EC548" s="1116"/>
      <c r="ED548" s="1116"/>
      <c r="EE548" s="1116"/>
      <c r="EF548" s="1116"/>
      <c r="EG548" s="1116"/>
      <c r="EH548" s="1116"/>
      <c r="EI548" s="1116"/>
      <c r="EJ548" s="1116"/>
      <c r="EK548" s="1116"/>
      <c r="EL548" s="1116"/>
      <c r="EM548" s="1116"/>
      <c r="EN548" s="1116"/>
      <c r="EO548" s="1116"/>
      <c r="EP548" s="1116"/>
      <c r="EQ548" s="1116"/>
      <c r="ER548" s="1116"/>
      <c r="ES548" s="1116"/>
    </row>
    <row r="549" spans="1:149" ht="15" customHeight="1">
      <c r="A549" s="1185">
        <v>539</v>
      </c>
      <c r="B549" s="1041"/>
      <c r="C549" s="1050"/>
      <c r="D549" s="1050"/>
      <c r="E549" s="1050"/>
      <c r="F549" s="1049"/>
      <c r="G549" s="1049"/>
      <c r="H549" s="1049"/>
      <c r="I549" s="1049"/>
      <c r="J549" s="1050"/>
      <c r="K549" s="1050"/>
      <c r="L549" s="1043"/>
      <c r="M549" s="1051"/>
      <c r="N549" s="1051"/>
      <c r="O549" s="1052"/>
      <c r="P549" s="1051"/>
      <c r="Q549" s="1051"/>
      <c r="R549" s="1052"/>
      <c r="S549" s="1051"/>
      <c r="T549" s="1051"/>
      <c r="U549" s="1052"/>
      <c r="V549" s="1051"/>
      <c r="W549" s="1051"/>
      <c r="X549" s="1052"/>
      <c r="Y549" s="1053"/>
      <c r="Z549" s="1051"/>
      <c r="AA549" s="1051"/>
      <c r="AB549" s="1052"/>
      <c r="AC549" s="1051"/>
      <c r="AD549" s="1051"/>
      <c r="AE549" s="1052"/>
      <c r="AF549" s="1051"/>
      <c r="AG549" s="1051"/>
      <c r="AH549" s="1051"/>
      <c r="AI549" s="1051"/>
      <c r="AJ549" s="1052"/>
      <c r="AK549" s="1051"/>
      <c r="AL549" s="1051"/>
      <c r="AM549" s="1052"/>
      <c r="AN549" s="1051"/>
      <c r="AO549" s="1051"/>
      <c r="AP549" s="1052"/>
      <c r="AQ549" s="1051"/>
      <c r="AR549" s="1051"/>
      <c r="AS549" s="1052"/>
      <c r="AT549" s="1051"/>
      <c r="AU549" s="1051"/>
      <c r="AV549" s="1052"/>
      <c r="AW549" s="1051"/>
      <c r="AX549" s="1051"/>
      <c r="AY549" s="1053"/>
      <c r="AZ549" s="1051"/>
      <c r="BA549" s="1051"/>
      <c r="BB549" s="1053"/>
      <c r="BC549" s="1051"/>
      <c r="BD549" s="1051"/>
      <c r="BE549" s="1053"/>
      <c r="BF549" s="1051"/>
      <c r="BG549" s="1051"/>
      <c r="BH549" s="1053"/>
      <c r="BI549" s="1052"/>
      <c r="BJ549" s="1052"/>
      <c r="BK549" s="1052"/>
      <c r="BL549" s="1052"/>
      <c r="BM549" s="1052"/>
      <c r="BN549" s="1054"/>
      <c r="BO549" s="1076">
        <f t="shared" si="9"/>
        <v>0</v>
      </c>
      <c r="BP549" s="1051"/>
      <c r="BQ549" s="1052"/>
      <c r="BR549" s="1054"/>
      <c r="BS549" s="1053"/>
      <c r="BT549" s="1051"/>
      <c r="BU549" s="1051"/>
      <c r="BV549" s="1051"/>
      <c r="BW549" s="1052"/>
      <c r="BX549" s="1052"/>
      <c r="BY549" s="1052"/>
      <c r="BZ549" s="1052"/>
      <c r="CA549" s="1052"/>
      <c r="CB549" s="1053"/>
      <c r="CC549" s="1053"/>
      <c r="CD549" s="1053"/>
      <c r="CE549" s="1053"/>
      <c r="CF549" s="1053"/>
      <c r="CG549" s="1053"/>
      <c r="CH549" s="1053"/>
      <c r="CI549" s="1123"/>
      <c r="CJ549" s="1123"/>
      <c r="CK549" s="1123"/>
      <c r="CL549" s="1123"/>
      <c r="CM549" s="1123"/>
      <c r="CN549" s="1123"/>
      <c r="CO549" s="1123"/>
      <c r="CP549" s="1123"/>
      <c r="CQ549" s="1123"/>
      <c r="CR549" s="1123"/>
      <c r="CS549" s="1123"/>
      <c r="CT549" s="1123"/>
      <c r="CU549" s="1123"/>
      <c r="CV549" s="1123"/>
      <c r="CW549" s="1123"/>
      <c r="CX549" s="1123"/>
      <c r="CY549" s="1123"/>
      <c r="CZ549" s="1114"/>
      <c r="DA549" s="1114"/>
      <c r="DB549" s="1114"/>
      <c r="DC549" s="1114"/>
      <c r="DD549" s="1114"/>
      <c r="DE549" s="1114"/>
      <c r="DF549" s="1114"/>
      <c r="DG549" s="1114"/>
      <c r="DH549" s="1114"/>
      <c r="DI549" s="1114"/>
      <c r="DJ549" s="1114"/>
      <c r="DK549" s="1114"/>
      <c r="DL549" s="1114"/>
      <c r="DM549" s="1114"/>
      <c r="DN549" s="1114"/>
      <c r="DO549" s="1114"/>
      <c r="DP549" s="1114"/>
      <c r="DQ549" s="1114"/>
      <c r="DR549" s="1114"/>
      <c r="DS549" s="1114"/>
      <c r="DT549" s="1114"/>
      <c r="DU549" s="1114"/>
      <c r="DV549" s="1115"/>
      <c r="DW549" s="1116"/>
      <c r="DX549" s="1116"/>
      <c r="DY549" s="1116"/>
      <c r="DZ549" s="1116"/>
      <c r="EA549" s="1116"/>
      <c r="EB549" s="1116"/>
      <c r="EC549" s="1116"/>
      <c r="ED549" s="1116"/>
      <c r="EE549" s="1116"/>
      <c r="EF549" s="1116"/>
      <c r="EG549" s="1116"/>
      <c r="EH549" s="1116"/>
      <c r="EI549" s="1116"/>
      <c r="EJ549" s="1116"/>
      <c r="EK549" s="1116"/>
      <c r="EL549" s="1116"/>
      <c r="EM549" s="1116"/>
      <c r="EN549" s="1116"/>
      <c r="EO549" s="1116"/>
      <c r="EP549" s="1116"/>
      <c r="EQ549" s="1116"/>
      <c r="ER549" s="1116"/>
      <c r="ES549" s="1116"/>
    </row>
    <row r="550" spans="1:149" ht="15" customHeight="1">
      <c r="A550" s="1185">
        <v>540</v>
      </c>
      <c r="B550" s="1041"/>
      <c r="C550" s="1050"/>
      <c r="D550" s="1050"/>
      <c r="E550" s="1050"/>
      <c r="F550" s="1049"/>
      <c r="G550" s="1049"/>
      <c r="H550" s="1049"/>
      <c r="I550" s="1049"/>
      <c r="J550" s="1050"/>
      <c r="K550" s="1050"/>
      <c r="L550" s="1043"/>
      <c r="M550" s="1051"/>
      <c r="N550" s="1051"/>
      <c r="O550" s="1052"/>
      <c r="P550" s="1051"/>
      <c r="Q550" s="1051"/>
      <c r="R550" s="1052"/>
      <c r="S550" s="1051"/>
      <c r="T550" s="1051"/>
      <c r="U550" s="1052"/>
      <c r="V550" s="1051"/>
      <c r="W550" s="1051"/>
      <c r="X550" s="1052"/>
      <c r="Y550" s="1053"/>
      <c r="Z550" s="1051"/>
      <c r="AA550" s="1051"/>
      <c r="AB550" s="1052"/>
      <c r="AC550" s="1051"/>
      <c r="AD550" s="1051"/>
      <c r="AE550" s="1052"/>
      <c r="AF550" s="1051"/>
      <c r="AG550" s="1051"/>
      <c r="AH550" s="1051"/>
      <c r="AI550" s="1051"/>
      <c r="AJ550" s="1052"/>
      <c r="AK550" s="1051"/>
      <c r="AL550" s="1051"/>
      <c r="AM550" s="1052"/>
      <c r="AN550" s="1051"/>
      <c r="AO550" s="1051"/>
      <c r="AP550" s="1052"/>
      <c r="AQ550" s="1051"/>
      <c r="AR550" s="1051"/>
      <c r="AS550" s="1052"/>
      <c r="AT550" s="1051"/>
      <c r="AU550" s="1051"/>
      <c r="AV550" s="1052"/>
      <c r="AW550" s="1051"/>
      <c r="AX550" s="1051"/>
      <c r="AY550" s="1053"/>
      <c r="AZ550" s="1051"/>
      <c r="BA550" s="1051"/>
      <c r="BB550" s="1053"/>
      <c r="BC550" s="1051"/>
      <c r="BD550" s="1051"/>
      <c r="BE550" s="1053"/>
      <c r="BF550" s="1051"/>
      <c r="BG550" s="1051"/>
      <c r="BH550" s="1053"/>
      <c r="BI550" s="1052"/>
      <c r="BJ550" s="1052"/>
      <c r="BK550" s="1052"/>
      <c r="BL550" s="1052"/>
      <c r="BM550" s="1052"/>
      <c r="BN550" s="1054"/>
      <c r="BO550" s="1076">
        <f t="shared" si="9"/>
        <v>0</v>
      </c>
      <c r="BP550" s="1051"/>
      <c r="BQ550" s="1052"/>
      <c r="BR550" s="1054"/>
      <c r="BS550" s="1053"/>
      <c r="BT550" s="1051"/>
      <c r="BU550" s="1051"/>
      <c r="BV550" s="1051"/>
      <c r="BW550" s="1052"/>
      <c r="BX550" s="1052"/>
      <c r="BY550" s="1052"/>
      <c r="BZ550" s="1052"/>
      <c r="CA550" s="1052"/>
      <c r="CB550" s="1053"/>
      <c r="CC550" s="1053"/>
      <c r="CD550" s="1053"/>
      <c r="CE550" s="1053"/>
      <c r="CF550" s="1053"/>
      <c r="CG550" s="1053"/>
      <c r="CH550" s="1053"/>
      <c r="CI550" s="1123"/>
      <c r="CJ550" s="1123"/>
      <c r="CK550" s="1123"/>
      <c r="CL550" s="1123"/>
      <c r="CM550" s="1123"/>
      <c r="CN550" s="1123"/>
      <c r="CO550" s="1123"/>
      <c r="CP550" s="1123"/>
      <c r="CQ550" s="1123"/>
      <c r="CR550" s="1123"/>
      <c r="CS550" s="1123"/>
      <c r="CT550" s="1123"/>
      <c r="CU550" s="1123"/>
      <c r="CV550" s="1123"/>
      <c r="CW550" s="1123"/>
      <c r="CX550" s="1123"/>
      <c r="CY550" s="1123"/>
      <c r="CZ550" s="1114"/>
      <c r="DA550" s="1114"/>
      <c r="DB550" s="1114"/>
      <c r="DC550" s="1114"/>
      <c r="DD550" s="1114"/>
      <c r="DE550" s="1114"/>
      <c r="DF550" s="1114"/>
      <c r="DG550" s="1114"/>
      <c r="DH550" s="1114"/>
      <c r="DI550" s="1114"/>
      <c r="DJ550" s="1114"/>
      <c r="DK550" s="1114"/>
      <c r="DL550" s="1114"/>
      <c r="DM550" s="1114"/>
      <c r="DN550" s="1114"/>
      <c r="DO550" s="1114"/>
      <c r="DP550" s="1114"/>
      <c r="DQ550" s="1114"/>
      <c r="DR550" s="1114"/>
      <c r="DS550" s="1114"/>
      <c r="DT550" s="1114"/>
      <c r="DU550" s="1114"/>
      <c r="DV550" s="1115"/>
      <c r="DW550" s="1116"/>
      <c r="DX550" s="1116"/>
      <c r="DY550" s="1116"/>
      <c r="DZ550" s="1116"/>
      <c r="EA550" s="1116"/>
      <c r="EB550" s="1116"/>
      <c r="EC550" s="1116"/>
      <c r="ED550" s="1116"/>
      <c r="EE550" s="1116"/>
      <c r="EF550" s="1116"/>
      <c r="EG550" s="1116"/>
      <c r="EH550" s="1116"/>
      <c r="EI550" s="1116"/>
      <c r="EJ550" s="1116"/>
      <c r="EK550" s="1116"/>
      <c r="EL550" s="1116"/>
      <c r="EM550" s="1116"/>
      <c r="EN550" s="1116"/>
      <c r="EO550" s="1116"/>
      <c r="EP550" s="1116"/>
      <c r="EQ550" s="1116"/>
      <c r="ER550" s="1116"/>
      <c r="ES550" s="1116"/>
    </row>
    <row r="551" spans="1:149" ht="15" customHeight="1">
      <c r="A551" s="1185">
        <v>541</v>
      </c>
      <c r="B551" s="1041"/>
      <c r="C551" s="1050"/>
      <c r="D551" s="1050"/>
      <c r="E551" s="1050"/>
      <c r="F551" s="1049"/>
      <c r="G551" s="1049"/>
      <c r="H551" s="1049"/>
      <c r="I551" s="1049"/>
      <c r="J551" s="1050"/>
      <c r="K551" s="1050"/>
      <c r="L551" s="1043"/>
      <c r="M551" s="1051"/>
      <c r="N551" s="1051"/>
      <c r="O551" s="1052"/>
      <c r="P551" s="1051"/>
      <c r="Q551" s="1051"/>
      <c r="R551" s="1052"/>
      <c r="S551" s="1051"/>
      <c r="T551" s="1051"/>
      <c r="U551" s="1052"/>
      <c r="V551" s="1051"/>
      <c r="W551" s="1051"/>
      <c r="X551" s="1052"/>
      <c r="Y551" s="1053"/>
      <c r="Z551" s="1051"/>
      <c r="AA551" s="1051"/>
      <c r="AB551" s="1052"/>
      <c r="AC551" s="1051"/>
      <c r="AD551" s="1051"/>
      <c r="AE551" s="1052"/>
      <c r="AF551" s="1051"/>
      <c r="AG551" s="1051"/>
      <c r="AH551" s="1051"/>
      <c r="AI551" s="1051"/>
      <c r="AJ551" s="1052"/>
      <c r="AK551" s="1051"/>
      <c r="AL551" s="1051"/>
      <c r="AM551" s="1052"/>
      <c r="AN551" s="1051"/>
      <c r="AO551" s="1051"/>
      <c r="AP551" s="1052"/>
      <c r="AQ551" s="1051"/>
      <c r="AR551" s="1051"/>
      <c r="AS551" s="1052"/>
      <c r="AT551" s="1051"/>
      <c r="AU551" s="1051"/>
      <c r="AV551" s="1052"/>
      <c r="AW551" s="1051"/>
      <c r="AX551" s="1051"/>
      <c r="AY551" s="1053"/>
      <c r="AZ551" s="1051"/>
      <c r="BA551" s="1051"/>
      <c r="BB551" s="1053"/>
      <c r="BC551" s="1051"/>
      <c r="BD551" s="1051"/>
      <c r="BE551" s="1053"/>
      <c r="BF551" s="1051"/>
      <c r="BG551" s="1051"/>
      <c r="BH551" s="1053"/>
      <c r="BI551" s="1052"/>
      <c r="BJ551" s="1052"/>
      <c r="BK551" s="1052"/>
      <c r="BL551" s="1052"/>
      <c r="BM551" s="1052"/>
      <c r="BN551" s="1054"/>
      <c r="BO551" s="1076">
        <f t="shared" si="9"/>
        <v>0</v>
      </c>
      <c r="BP551" s="1051"/>
      <c r="BQ551" s="1052"/>
      <c r="BR551" s="1054"/>
      <c r="BS551" s="1053"/>
      <c r="BT551" s="1051"/>
      <c r="BU551" s="1051"/>
      <c r="BV551" s="1051"/>
      <c r="BW551" s="1052"/>
      <c r="BX551" s="1052"/>
      <c r="BY551" s="1052"/>
      <c r="BZ551" s="1052"/>
      <c r="CA551" s="1052"/>
      <c r="CB551" s="1053"/>
      <c r="CC551" s="1053"/>
      <c r="CD551" s="1053"/>
      <c r="CE551" s="1053"/>
      <c r="CF551" s="1053"/>
      <c r="CG551" s="1053"/>
      <c r="CH551" s="1053"/>
      <c r="CI551" s="1123"/>
      <c r="CJ551" s="1123"/>
      <c r="CK551" s="1123"/>
      <c r="CL551" s="1123"/>
      <c r="CM551" s="1123"/>
      <c r="CN551" s="1123"/>
      <c r="CO551" s="1123"/>
      <c r="CP551" s="1123"/>
      <c r="CQ551" s="1123"/>
      <c r="CR551" s="1123"/>
      <c r="CS551" s="1123"/>
      <c r="CT551" s="1123"/>
      <c r="CU551" s="1123"/>
      <c r="CV551" s="1123"/>
      <c r="CW551" s="1123"/>
      <c r="CX551" s="1123"/>
      <c r="CY551" s="1123"/>
      <c r="CZ551" s="1114"/>
      <c r="DA551" s="1114"/>
      <c r="DB551" s="1114"/>
      <c r="DC551" s="1114"/>
      <c r="DD551" s="1114"/>
      <c r="DE551" s="1114"/>
      <c r="DF551" s="1114"/>
      <c r="DG551" s="1114"/>
      <c r="DH551" s="1114"/>
      <c r="DI551" s="1114"/>
      <c r="DJ551" s="1114"/>
      <c r="DK551" s="1114"/>
      <c r="DL551" s="1114"/>
      <c r="DM551" s="1114"/>
      <c r="DN551" s="1114"/>
      <c r="DO551" s="1114"/>
      <c r="DP551" s="1114"/>
      <c r="DQ551" s="1114"/>
      <c r="DR551" s="1114"/>
      <c r="DS551" s="1114"/>
      <c r="DT551" s="1114"/>
      <c r="DU551" s="1114"/>
      <c r="DV551" s="1115"/>
      <c r="DW551" s="1116"/>
      <c r="DX551" s="1116"/>
      <c r="DY551" s="1116"/>
      <c r="DZ551" s="1116"/>
      <c r="EA551" s="1116"/>
      <c r="EB551" s="1116"/>
      <c r="EC551" s="1116"/>
      <c r="ED551" s="1116"/>
      <c r="EE551" s="1116"/>
      <c r="EF551" s="1116"/>
      <c r="EG551" s="1116"/>
      <c r="EH551" s="1116"/>
      <c r="EI551" s="1116"/>
      <c r="EJ551" s="1116"/>
      <c r="EK551" s="1116"/>
      <c r="EL551" s="1116"/>
      <c r="EM551" s="1116"/>
      <c r="EN551" s="1116"/>
      <c r="EO551" s="1116"/>
      <c r="EP551" s="1116"/>
      <c r="EQ551" s="1116"/>
      <c r="ER551" s="1116"/>
      <c r="ES551" s="1116"/>
    </row>
    <row r="552" spans="1:149" ht="15" customHeight="1">
      <c r="A552" s="1185">
        <v>542</v>
      </c>
      <c r="B552" s="1041"/>
      <c r="C552" s="1050"/>
      <c r="D552" s="1050"/>
      <c r="E552" s="1050"/>
      <c r="F552" s="1049"/>
      <c r="G552" s="1049"/>
      <c r="H552" s="1049"/>
      <c r="I552" s="1049"/>
      <c r="J552" s="1050"/>
      <c r="K552" s="1050"/>
      <c r="L552" s="1043"/>
      <c r="M552" s="1051"/>
      <c r="N552" s="1051"/>
      <c r="O552" s="1052"/>
      <c r="P552" s="1051"/>
      <c r="Q552" s="1051"/>
      <c r="R552" s="1052"/>
      <c r="S552" s="1051"/>
      <c r="T552" s="1051"/>
      <c r="U552" s="1052"/>
      <c r="V552" s="1051"/>
      <c r="W552" s="1051"/>
      <c r="X552" s="1052"/>
      <c r="Y552" s="1053"/>
      <c r="Z552" s="1051"/>
      <c r="AA552" s="1051"/>
      <c r="AB552" s="1052"/>
      <c r="AC552" s="1051"/>
      <c r="AD552" s="1051"/>
      <c r="AE552" s="1052"/>
      <c r="AF552" s="1051"/>
      <c r="AG552" s="1051"/>
      <c r="AH552" s="1051"/>
      <c r="AI552" s="1051"/>
      <c r="AJ552" s="1052"/>
      <c r="AK552" s="1051"/>
      <c r="AL552" s="1051"/>
      <c r="AM552" s="1052"/>
      <c r="AN552" s="1051"/>
      <c r="AO552" s="1051"/>
      <c r="AP552" s="1052"/>
      <c r="AQ552" s="1051"/>
      <c r="AR552" s="1051"/>
      <c r="AS552" s="1052"/>
      <c r="AT552" s="1051"/>
      <c r="AU552" s="1051"/>
      <c r="AV552" s="1052"/>
      <c r="AW552" s="1051"/>
      <c r="AX552" s="1051"/>
      <c r="AY552" s="1053"/>
      <c r="AZ552" s="1051"/>
      <c r="BA552" s="1051"/>
      <c r="BB552" s="1053"/>
      <c r="BC552" s="1051"/>
      <c r="BD552" s="1051"/>
      <c r="BE552" s="1053"/>
      <c r="BF552" s="1051"/>
      <c r="BG552" s="1051"/>
      <c r="BH552" s="1053"/>
      <c r="BI552" s="1052"/>
      <c r="BJ552" s="1052"/>
      <c r="BK552" s="1052"/>
      <c r="BL552" s="1052"/>
      <c r="BM552" s="1052"/>
      <c r="BN552" s="1054"/>
      <c r="BO552" s="1076">
        <f t="shared" si="9"/>
        <v>0</v>
      </c>
      <c r="BP552" s="1051"/>
      <c r="BQ552" s="1052"/>
      <c r="BR552" s="1054"/>
      <c r="BS552" s="1053"/>
      <c r="BT552" s="1051"/>
      <c r="BU552" s="1051"/>
      <c r="BV552" s="1051"/>
      <c r="BW552" s="1052"/>
      <c r="BX552" s="1052"/>
      <c r="BY552" s="1052"/>
      <c r="BZ552" s="1052"/>
      <c r="CA552" s="1052"/>
      <c r="CB552" s="1053"/>
      <c r="CC552" s="1053"/>
      <c r="CD552" s="1053"/>
      <c r="CE552" s="1053"/>
      <c r="CF552" s="1053"/>
      <c r="CG552" s="1053"/>
      <c r="CH552" s="1053"/>
      <c r="CI552" s="1123"/>
      <c r="CJ552" s="1123"/>
      <c r="CK552" s="1123"/>
      <c r="CL552" s="1123"/>
      <c r="CM552" s="1123"/>
      <c r="CN552" s="1123"/>
      <c r="CO552" s="1123"/>
      <c r="CP552" s="1123"/>
      <c r="CQ552" s="1123"/>
      <c r="CR552" s="1123"/>
      <c r="CS552" s="1123"/>
      <c r="CT552" s="1123"/>
      <c r="CU552" s="1123"/>
      <c r="CV552" s="1123"/>
      <c r="CW552" s="1123"/>
      <c r="CX552" s="1123"/>
      <c r="CY552" s="1123"/>
      <c r="CZ552" s="1114"/>
      <c r="DA552" s="1114"/>
      <c r="DB552" s="1114"/>
      <c r="DC552" s="1114"/>
      <c r="DD552" s="1114"/>
      <c r="DE552" s="1114"/>
      <c r="DF552" s="1114"/>
      <c r="DG552" s="1114"/>
      <c r="DH552" s="1114"/>
      <c r="DI552" s="1114"/>
      <c r="DJ552" s="1114"/>
      <c r="DK552" s="1114"/>
      <c r="DL552" s="1114"/>
      <c r="DM552" s="1114"/>
      <c r="DN552" s="1114"/>
      <c r="DO552" s="1114"/>
      <c r="DP552" s="1114"/>
      <c r="DQ552" s="1114"/>
      <c r="DR552" s="1114"/>
      <c r="DS552" s="1114"/>
      <c r="DT552" s="1114"/>
      <c r="DU552" s="1114"/>
      <c r="DV552" s="1115"/>
      <c r="DW552" s="1116"/>
      <c r="DX552" s="1116"/>
      <c r="DY552" s="1116"/>
      <c r="DZ552" s="1116"/>
      <c r="EA552" s="1116"/>
      <c r="EB552" s="1116"/>
      <c r="EC552" s="1116"/>
      <c r="ED552" s="1116"/>
      <c r="EE552" s="1116"/>
      <c r="EF552" s="1116"/>
      <c r="EG552" s="1116"/>
      <c r="EH552" s="1116"/>
      <c r="EI552" s="1116"/>
      <c r="EJ552" s="1116"/>
      <c r="EK552" s="1116"/>
      <c r="EL552" s="1116"/>
      <c r="EM552" s="1116"/>
      <c r="EN552" s="1116"/>
      <c r="EO552" s="1116"/>
      <c r="EP552" s="1116"/>
      <c r="EQ552" s="1116"/>
      <c r="ER552" s="1116"/>
      <c r="ES552" s="1116"/>
    </row>
    <row r="553" spans="1:149" ht="15" customHeight="1">
      <c r="A553" s="1185">
        <v>543</v>
      </c>
      <c r="B553" s="1041"/>
      <c r="C553" s="1050"/>
      <c r="D553" s="1050"/>
      <c r="E553" s="1050"/>
      <c r="F553" s="1049"/>
      <c r="G553" s="1049"/>
      <c r="H553" s="1049"/>
      <c r="I553" s="1049"/>
      <c r="J553" s="1050"/>
      <c r="K553" s="1050"/>
      <c r="L553" s="1043"/>
      <c r="M553" s="1051"/>
      <c r="N553" s="1051"/>
      <c r="O553" s="1052"/>
      <c r="P553" s="1051"/>
      <c r="Q553" s="1051"/>
      <c r="R553" s="1052"/>
      <c r="S553" s="1051"/>
      <c r="T553" s="1051"/>
      <c r="U553" s="1052"/>
      <c r="V553" s="1051"/>
      <c r="W553" s="1051"/>
      <c r="X553" s="1052"/>
      <c r="Y553" s="1053"/>
      <c r="Z553" s="1051"/>
      <c r="AA553" s="1051"/>
      <c r="AB553" s="1052"/>
      <c r="AC553" s="1051"/>
      <c r="AD553" s="1051"/>
      <c r="AE553" s="1052"/>
      <c r="AF553" s="1051"/>
      <c r="AG553" s="1051"/>
      <c r="AH553" s="1051"/>
      <c r="AI553" s="1051"/>
      <c r="AJ553" s="1052"/>
      <c r="AK553" s="1051"/>
      <c r="AL553" s="1051"/>
      <c r="AM553" s="1052"/>
      <c r="AN553" s="1051"/>
      <c r="AO553" s="1051"/>
      <c r="AP553" s="1052"/>
      <c r="AQ553" s="1051"/>
      <c r="AR553" s="1051"/>
      <c r="AS553" s="1052"/>
      <c r="AT553" s="1051"/>
      <c r="AU553" s="1051"/>
      <c r="AV553" s="1052"/>
      <c r="AW553" s="1051"/>
      <c r="AX553" s="1051"/>
      <c r="AY553" s="1053"/>
      <c r="AZ553" s="1051"/>
      <c r="BA553" s="1051"/>
      <c r="BB553" s="1053"/>
      <c r="BC553" s="1051"/>
      <c r="BD553" s="1051"/>
      <c r="BE553" s="1053"/>
      <c r="BF553" s="1051"/>
      <c r="BG553" s="1051"/>
      <c r="BH553" s="1053"/>
      <c r="BI553" s="1052"/>
      <c r="BJ553" s="1052"/>
      <c r="BK553" s="1052"/>
      <c r="BL553" s="1052"/>
      <c r="BM553" s="1052"/>
      <c r="BN553" s="1054"/>
      <c r="BO553" s="1076">
        <f t="shared" si="9"/>
        <v>0</v>
      </c>
      <c r="BP553" s="1051"/>
      <c r="BQ553" s="1052"/>
      <c r="BR553" s="1054"/>
      <c r="BS553" s="1053"/>
      <c r="BT553" s="1051"/>
      <c r="BU553" s="1051"/>
      <c r="BV553" s="1051"/>
      <c r="BW553" s="1052"/>
      <c r="BX553" s="1052"/>
      <c r="BY553" s="1052"/>
      <c r="BZ553" s="1052"/>
      <c r="CA553" s="1052"/>
      <c r="CB553" s="1053"/>
      <c r="CC553" s="1053"/>
      <c r="CD553" s="1053"/>
      <c r="CE553" s="1053"/>
      <c r="CF553" s="1053"/>
      <c r="CG553" s="1053"/>
      <c r="CH553" s="1053"/>
      <c r="CI553" s="1123"/>
      <c r="CJ553" s="1123"/>
      <c r="CK553" s="1123"/>
      <c r="CL553" s="1123"/>
      <c r="CM553" s="1123"/>
      <c r="CN553" s="1123"/>
      <c r="CO553" s="1123"/>
      <c r="CP553" s="1123"/>
      <c r="CQ553" s="1123"/>
      <c r="CR553" s="1123"/>
      <c r="CS553" s="1123"/>
      <c r="CT553" s="1123"/>
      <c r="CU553" s="1123"/>
      <c r="CV553" s="1123"/>
      <c r="CW553" s="1123"/>
      <c r="CX553" s="1123"/>
      <c r="CY553" s="1123"/>
      <c r="CZ553" s="1114"/>
      <c r="DA553" s="1114"/>
      <c r="DB553" s="1114"/>
      <c r="DC553" s="1114"/>
      <c r="DD553" s="1114"/>
      <c r="DE553" s="1114"/>
      <c r="DF553" s="1114"/>
      <c r="DG553" s="1114"/>
      <c r="DH553" s="1114"/>
      <c r="DI553" s="1114"/>
      <c r="DJ553" s="1114"/>
      <c r="DK553" s="1114"/>
      <c r="DL553" s="1114"/>
      <c r="DM553" s="1114"/>
      <c r="DN553" s="1114"/>
      <c r="DO553" s="1114"/>
      <c r="DP553" s="1114"/>
      <c r="DQ553" s="1114"/>
      <c r="DR553" s="1114"/>
      <c r="DS553" s="1114"/>
      <c r="DT553" s="1114"/>
      <c r="DU553" s="1114"/>
      <c r="DV553" s="1115"/>
      <c r="DW553" s="1116"/>
      <c r="DX553" s="1116"/>
      <c r="DY553" s="1116"/>
      <c r="DZ553" s="1116"/>
      <c r="EA553" s="1116"/>
      <c r="EB553" s="1116"/>
      <c r="EC553" s="1116"/>
      <c r="ED553" s="1116"/>
      <c r="EE553" s="1116"/>
      <c r="EF553" s="1116"/>
      <c r="EG553" s="1116"/>
      <c r="EH553" s="1116"/>
      <c r="EI553" s="1116"/>
      <c r="EJ553" s="1116"/>
      <c r="EK553" s="1116"/>
      <c r="EL553" s="1116"/>
      <c r="EM553" s="1116"/>
      <c r="EN553" s="1116"/>
      <c r="EO553" s="1116"/>
      <c r="EP553" s="1116"/>
      <c r="EQ553" s="1116"/>
      <c r="ER553" s="1116"/>
      <c r="ES553" s="1116"/>
    </row>
    <row r="554" spans="1:149" ht="15" customHeight="1">
      <c r="A554" s="1185">
        <v>544</v>
      </c>
      <c r="B554" s="1041"/>
      <c r="C554" s="1050"/>
      <c r="D554" s="1050"/>
      <c r="E554" s="1050"/>
      <c r="F554" s="1049"/>
      <c r="G554" s="1049"/>
      <c r="H554" s="1049"/>
      <c r="I554" s="1049"/>
      <c r="J554" s="1050"/>
      <c r="K554" s="1050"/>
      <c r="L554" s="1043"/>
      <c r="M554" s="1051"/>
      <c r="N554" s="1051"/>
      <c r="O554" s="1052"/>
      <c r="P554" s="1051"/>
      <c r="Q554" s="1051"/>
      <c r="R554" s="1052"/>
      <c r="S554" s="1051"/>
      <c r="T554" s="1051"/>
      <c r="U554" s="1052"/>
      <c r="V554" s="1051"/>
      <c r="W554" s="1051"/>
      <c r="X554" s="1052"/>
      <c r="Y554" s="1053"/>
      <c r="Z554" s="1051"/>
      <c r="AA554" s="1051"/>
      <c r="AB554" s="1052"/>
      <c r="AC554" s="1051"/>
      <c r="AD554" s="1051"/>
      <c r="AE554" s="1052"/>
      <c r="AF554" s="1051"/>
      <c r="AG554" s="1051"/>
      <c r="AH554" s="1051"/>
      <c r="AI554" s="1051"/>
      <c r="AJ554" s="1052"/>
      <c r="AK554" s="1051"/>
      <c r="AL554" s="1051"/>
      <c r="AM554" s="1052"/>
      <c r="AN554" s="1051"/>
      <c r="AO554" s="1051"/>
      <c r="AP554" s="1052"/>
      <c r="AQ554" s="1051"/>
      <c r="AR554" s="1051"/>
      <c r="AS554" s="1052"/>
      <c r="AT554" s="1051"/>
      <c r="AU554" s="1051"/>
      <c r="AV554" s="1052"/>
      <c r="AW554" s="1051"/>
      <c r="AX554" s="1051"/>
      <c r="AY554" s="1053"/>
      <c r="AZ554" s="1051"/>
      <c r="BA554" s="1051"/>
      <c r="BB554" s="1053"/>
      <c r="BC554" s="1051"/>
      <c r="BD554" s="1051"/>
      <c r="BE554" s="1053"/>
      <c r="BF554" s="1051"/>
      <c r="BG554" s="1051"/>
      <c r="BH554" s="1053"/>
      <c r="BI554" s="1052"/>
      <c r="BJ554" s="1052"/>
      <c r="BK554" s="1052"/>
      <c r="BL554" s="1052"/>
      <c r="BM554" s="1052"/>
      <c r="BN554" s="1054"/>
      <c r="BO554" s="1076">
        <f t="shared" si="9"/>
        <v>0</v>
      </c>
      <c r="BP554" s="1051"/>
      <c r="BQ554" s="1052"/>
      <c r="BR554" s="1054"/>
      <c r="BS554" s="1053"/>
      <c r="BT554" s="1051"/>
      <c r="BU554" s="1051"/>
      <c r="BV554" s="1051"/>
      <c r="BW554" s="1052"/>
      <c r="BX554" s="1052"/>
      <c r="BY554" s="1052"/>
      <c r="BZ554" s="1052"/>
      <c r="CA554" s="1052"/>
      <c r="CB554" s="1053"/>
      <c r="CC554" s="1053"/>
      <c r="CD554" s="1053"/>
      <c r="CE554" s="1053"/>
      <c r="CF554" s="1053"/>
      <c r="CG554" s="1053"/>
      <c r="CH554" s="1053"/>
      <c r="CI554" s="1123"/>
      <c r="CJ554" s="1123"/>
      <c r="CK554" s="1123"/>
      <c r="CL554" s="1123"/>
      <c r="CM554" s="1123"/>
      <c r="CN554" s="1123"/>
      <c r="CO554" s="1123"/>
      <c r="CP554" s="1123"/>
      <c r="CQ554" s="1123"/>
      <c r="CR554" s="1123"/>
      <c r="CS554" s="1123"/>
      <c r="CT554" s="1123"/>
      <c r="CU554" s="1123"/>
      <c r="CV554" s="1123"/>
      <c r="CW554" s="1123"/>
      <c r="CX554" s="1123"/>
      <c r="CY554" s="1123"/>
      <c r="CZ554" s="1114"/>
      <c r="DA554" s="1114"/>
      <c r="DB554" s="1114"/>
      <c r="DC554" s="1114"/>
      <c r="DD554" s="1114"/>
      <c r="DE554" s="1114"/>
      <c r="DF554" s="1114"/>
      <c r="DG554" s="1114"/>
      <c r="DH554" s="1114"/>
      <c r="DI554" s="1114"/>
      <c r="DJ554" s="1114"/>
      <c r="DK554" s="1114"/>
      <c r="DL554" s="1114"/>
      <c r="DM554" s="1114"/>
      <c r="DN554" s="1114"/>
      <c r="DO554" s="1114"/>
      <c r="DP554" s="1114"/>
      <c r="DQ554" s="1114"/>
      <c r="DR554" s="1114"/>
      <c r="DS554" s="1114"/>
      <c r="DT554" s="1114"/>
      <c r="DU554" s="1114"/>
      <c r="DV554" s="1115"/>
      <c r="DW554" s="1116"/>
      <c r="DX554" s="1116"/>
      <c r="DY554" s="1116"/>
      <c r="DZ554" s="1116"/>
      <c r="EA554" s="1116"/>
      <c r="EB554" s="1116"/>
      <c r="EC554" s="1116"/>
      <c r="ED554" s="1116"/>
      <c r="EE554" s="1116"/>
      <c r="EF554" s="1116"/>
      <c r="EG554" s="1116"/>
      <c r="EH554" s="1116"/>
      <c r="EI554" s="1116"/>
      <c r="EJ554" s="1116"/>
      <c r="EK554" s="1116"/>
      <c r="EL554" s="1116"/>
      <c r="EM554" s="1116"/>
      <c r="EN554" s="1116"/>
      <c r="EO554" s="1116"/>
      <c r="EP554" s="1116"/>
      <c r="EQ554" s="1116"/>
      <c r="ER554" s="1116"/>
      <c r="ES554" s="1116"/>
    </row>
    <row r="555" spans="1:149" ht="15" customHeight="1">
      <c r="A555" s="1185">
        <v>545</v>
      </c>
      <c r="B555" s="1041"/>
      <c r="C555" s="1050"/>
      <c r="D555" s="1050"/>
      <c r="E555" s="1050"/>
      <c r="F555" s="1049"/>
      <c r="G555" s="1049"/>
      <c r="H555" s="1049"/>
      <c r="I555" s="1049"/>
      <c r="J555" s="1050"/>
      <c r="K555" s="1050"/>
      <c r="L555" s="1043"/>
      <c r="M555" s="1051"/>
      <c r="N555" s="1051"/>
      <c r="O555" s="1052"/>
      <c r="P555" s="1051"/>
      <c r="Q555" s="1051"/>
      <c r="R555" s="1052"/>
      <c r="S555" s="1051"/>
      <c r="T555" s="1051"/>
      <c r="U555" s="1052"/>
      <c r="V555" s="1051"/>
      <c r="W555" s="1051"/>
      <c r="X555" s="1052"/>
      <c r="Y555" s="1053"/>
      <c r="Z555" s="1051"/>
      <c r="AA555" s="1051"/>
      <c r="AB555" s="1052"/>
      <c r="AC555" s="1051"/>
      <c r="AD555" s="1051"/>
      <c r="AE555" s="1052"/>
      <c r="AF555" s="1051"/>
      <c r="AG555" s="1051"/>
      <c r="AH555" s="1051"/>
      <c r="AI555" s="1051"/>
      <c r="AJ555" s="1052"/>
      <c r="AK555" s="1051"/>
      <c r="AL555" s="1051"/>
      <c r="AM555" s="1052"/>
      <c r="AN555" s="1051"/>
      <c r="AO555" s="1051"/>
      <c r="AP555" s="1052"/>
      <c r="AQ555" s="1051"/>
      <c r="AR555" s="1051"/>
      <c r="AS555" s="1052"/>
      <c r="AT555" s="1051"/>
      <c r="AU555" s="1051"/>
      <c r="AV555" s="1052"/>
      <c r="AW555" s="1051"/>
      <c r="AX555" s="1051"/>
      <c r="AY555" s="1053"/>
      <c r="AZ555" s="1051"/>
      <c r="BA555" s="1051"/>
      <c r="BB555" s="1053"/>
      <c r="BC555" s="1051"/>
      <c r="BD555" s="1051"/>
      <c r="BE555" s="1053"/>
      <c r="BF555" s="1051"/>
      <c r="BG555" s="1051"/>
      <c r="BH555" s="1053"/>
      <c r="BI555" s="1052"/>
      <c r="BJ555" s="1052"/>
      <c r="BK555" s="1052"/>
      <c r="BL555" s="1052"/>
      <c r="BM555" s="1052"/>
      <c r="BN555" s="1054"/>
      <c r="BO555" s="1076">
        <f t="shared" si="9"/>
        <v>0</v>
      </c>
      <c r="BP555" s="1051"/>
      <c r="BQ555" s="1052"/>
      <c r="BR555" s="1054"/>
      <c r="BS555" s="1053"/>
      <c r="BT555" s="1051"/>
      <c r="BU555" s="1051"/>
      <c r="BV555" s="1051"/>
      <c r="BW555" s="1052"/>
      <c r="BX555" s="1052"/>
      <c r="BY555" s="1052"/>
      <c r="BZ555" s="1052"/>
      <c r="CA555" s="1052"/>
      <c r="CB555" s="1053"/>
      <c r="CC555" s="1053"/>
      <c r="CD555" s="1053"/>
      <c r="CE555" s="1053"/>
      <c r="CF555" s="1053"/>
      <c r="CG555" s="1053"/>
      <c r="CH555" s="1053"/>
      <c r="CI555" s="1123"/>
      <c r="CJ555" s="1123"/>
      <c r="CK555" s="1123"/>
      <c r="CL555" s="1123"/>
      <c r="CM555" s="1123"/>
      <c r="CN555" s="1123"/>
      <c r="CO555" s="1123"/>
      <c r="CP555" s="1123"/>
      <c r="CQ555" s="1123"/>
      <c r="CR555" s="1123"/>
      <c r="CS555" s="1123"/>
      <c r="CT555" s="1123"/>
      <c r="CU555" s="1123"/>
      <c r="CV555" s="1123"/>
      <c r="CW555" s="1123"/>
      <c r="CX555" s="1123"/>
      <c r="CY555" s="1123"/>
      <c r="CZ555" s="1114"/>
      <c r="DA555" s="1114"/>
      <c r="DB555" s="1114"/>
      <c r="DC555" s="1114"/>
      <c r="DD555" s="1114"/>
      <c r="DE555" s="1114"/>
      <c r="DF555" s="1114"/>
      <c r="DG555" s="1114"/>
      <c r="DH555" s="1114"/>
      <c r="DI555" s="1114"/>
      <c r="DJ555" s="1114"/>
      <c r="DK555" s="1114"/>
      <c r="DL555" s="1114"/>
      <c r="DM555" s="1114"/>
      <c r="DN555" s="1114"/>
      <c r="DO555" s="1114"/>
      <c r="DP555" s="1114"/>
      <c r="DQ555" s="1114"/>
      <c r="DR555" s="1114"/>
      <c r="DS555" s="1114"/>
      <c r="DT555" s="1114"/>
      <c r="DU555" s="1114"/>
      <c r="DV555" s="1115"/>
      <c r="DW555" s="1116"/>
      <c r="DX555" s="1116"/>
      <c r="DY555" s="1116"/>
      <c r="DZ555" s="1116"/>
      <c r="EA555" s="1116"/>
      <c r="EB555" s="1116"/>
      <c r="EC555" s="1116"/>
      <c r="ED555" s="1116"/>
      <c r="EE555" s="1116"/>
      <c r="EF555" s="1116"/>
      <c r="EG555" s="1116"/>
      <c r="EH555" s="1116"/>
      <c r="EI555" s="1116"/>
      <c r="EJ555" s="1116"/>
      <c r="EK555" s="1116"/>
      <c r="EL555" s="1116"/>
      <c r="EM555" s="1116"/>
      <c r="EN555" s="1116"/>
      <c r="EO555" s="1116"/>
      <c r="EP555" s="1116"/>
      <c r="EQ555" s="1116"/>
      <c r="ER555" s="1116"/>
      <c r="ES555" s="1116"/>
    </row>
    <row r="556" spans="1:149" ht="15" customHeight="1">
      <c r="A556" s="1185">
        <v>546</v>
      </c>
      <c r="B556" s="1041"/>
      <c r="C556" s="1050"/>
      <c r="D556" s="1050"/>
      <c r="E556" s="1050"/>
      <c r="F556" s="1049"/>
      <c r="G556" s="1049"/>
      <c r="H556" s="1049"/>
      <c r="I556" s="1049"/>
      <c r="J556" s="1050"/>
      <c r="K556" s="1050"/>
      <c r="L556" s="1043"/>
      <c r="M556" s="1051"/>
      <c r="N556" s="1051"/>
      <c r="O556" s="1052"/>
      <c r="P556" s="1051"/>
      <c r="Q556" s="1051"/>
      <c r="R556" s="1052"/>
      <c r="S556" s="1051"/>
      <c r="T556" s="1051"/>
      <c r="U556" s="1052"/>
      <c r="V556" s="1051"/>
      <c r="W556" s="1051"/>
      <c r="X556" s="1052"/>
      <c r="Y556" s="1053"/>
      <c r="Z556" s="1051"/>
      <c r="AA556" s="1051"/>
      <c r="AB556" s="1052"/>
      <c r="AC556" s="1051"/>
      <c r="AD556" s="1051"/>
      <c r="AE556" s="1052"/>
      <c r="AF556" s="1051"/>
      <c r="AG556" s="1051"/>
      <c r="AH556" s="1051"/>
      <c r="AI556" s="1051"/>
      <c r="AJ556" s="1052"/>
      <c r="AK556" s="1051"/>
      <c r="AL556" s="1051"/>
      <c r="AM556" s="1052"/>
      <c r="AN556" s="1051"/>
      <c r="AO556" s="1051"/>
      <c r="AP556" s="1052"/>
      <c r="AQ556" s="1051"/>
      <c r="AR556" s="1051"/>
      <c r="AS556" s="1052"/>
      <c r="AT556" s="1051"/>
      <c r="AU556" s="1051"/>
      <c r="AV556" s="1052"/>
      <c r="AW556" s="1051"/>
      <c r="AX556" s="1051"/>
      <c r="AY556" s="1053"/>
      <c r="AZ556" s="1051"/>
      <c r="BA556" s="1051"/>
      <c r="BB556" s="1053"/>
      <c r="BC556" s="1051"/>
      <c r="BD556" s="1051"/>
      <c r="BE556" s="1053"/>
      <c r="BF556" s="1051"/>
      <c r="BG556" s="1051"/>
      <c r="BH556" s="1053"/>
      <c r="BI556" s="1052"/>
      <c r="BJ556" s="1052"/>
      <c r="BK556" s="1052"/>
      <c r="BL556" s="1052"/>
      <c r="BM556" s="1052"/>
      <c r="BN556" s="1054"/>
      <c r="BO556" s="1076">
        <f t="shared" si="9"/>
        <v>0</v>
      </c>
      <c r="BP556" s="1051"/>
      <c r="BQ556" s="1052"/>
      <c r="BR556" s="1054"/>
      <c r="BS556" s="1053"/>
      <c r="BT556" s="1051"/>
      <c r="BU556" s="1051"/>
      <c r="BV556" s="1051"/>
      <c r="BW556" s="1052"/>
      <c r="BX556" s="1052"/>
      <c r="BY556" s="1052"/>
      <c r="BZ556" s="1052"/>
      <c r="CA556" s="1052"/>
      <c r="CB556" s="1053"/>
      <c r="CC556" s="1053"/>
      <c r="CD556" s="1053"/>
      <c r="CE556" s="1053"/>
      <c r="CF556" s="1053"/>
      <c r="CG556" s="1053"/>
      <c r="CH556" s="1053"/>
      <c r="CI556" s="1123"/>
      <c r="CJ556" s="1123"/>
      <c r="CK556" s="1123"/>
      <c r="CL556" s="1123"/>
      <c r="CM556" s="1123"/>
      <c r="CN556" s="1123"/>
      <c r="CO556" s="1123"/>
      <c r="CP556" s="1123"/>
      <c r="CQ556" s="1123"/>
      <c r="CR556" s="1123"/>
      <c r="CS556" s="1123"/>
      <c r="CT556" s="1123"/>
      <c r="CU556" s="1123"/>
      <c r="CV556" s="1123"/>
      <c r="CW556" s="1123"/>
      <c r="CX556" s="1123"/>
      <c r="CY556" s="1123"/>
      <c r="CZ556" s="1114"/>
      <c r="DA556" s="1114"/>
      <c r="DB556" s="1114"/>
      <c r="DC556" s="1114"/>
      <c r="DD556" s="1114"/>
      <c r="DE556" s="1114"/>
      <c r="DF556" s="1114"/>
      <c r="DG556" s="1114"/>
      <c r="DH556" s="1114"/>
      <c r="DI556" s="1114"/>
      <c r="DJ556" s="1114"/>
      <c r="DK556" s="1114"/>
      <c r="DL556" s="1114"/>
      <c r="DM556" s="1114"/>
      <c r="DN556" s="1114"/>
      <c r="DO556" s="1114"/>
      <c r="DP556" s="1114"/>
      <c r="DQ556" s="1114"/>
      <c r="DR556" s="1114"/>
      <c r="DS556" s="1114"/>
      <c r="DT556" s="1114"/>
      <c r="DU556" s="1114"/>
      <c r="DV556" s="1115"/>
      <c r="DW556" s="1116"/>
      <c r="DX556" s="1116"/>
      <c r="DY556" s="1116"/>
      <c r="DZ556" s="1116"/>
      <c r="EA556" s="1116"/>
      <c r="EB556" s="1116"/>
      <c r="EC556" s="1116"/>
      <c r="ED556" s="1116"/>
      <c r="EE556" s="1116"/>
      <c r="EF556" s="1116"/>
      <c r="EG556" s="1116"/>
      <c r="EH556" s="1116"/>
      <c r="EI556" s="1116"/>
      <c r="EJ556" s="1116"/>
      <c r="EK556" s="1116"/>
      <c r="EL556" s="1116"/>
      <c r="EM556" s="1116"/>
      <c r="EN556" s="1116"/>
      <c r="EO556" s="1116"/>
      <c r="EP556" s="1116"/>
      <c r="EQ556" s="1116"/>
      <c r="ER556" s="1116"/>
      <c r="ES556" s="1116"/>
    </row>
    <row r="557" spans="1:149" ht="15" customHeight="1">
      <c r="A557" s="1185">
        <v>547</v>
      </c>
      <c r="B557" s="1041"/>
      <c r="C557" s="1050"/>
      <c r="D557" s="1050"/>
      <c r="E557" s="1050"/>
      <c r="F557" s="1049"/>
      <c r="G557" s="1049"/>
      <c r="H557" s="1049"/>
      <c r="I557" s="1049"/>
      <c r="J557" s="1050"/>
      <c r="K557" s="1050"/>
      <c r="L557" s="1043"/>
      <c r="M557" s="1051"/>
      <c r="N557" s="1051"/>
      <c r="O557" s="1052"/>
      <c r="P557" s="1051"/>
      <c r="Q557" s="1051"/>
      <c r="R557" s="1052"/>
      <c r="S557" s="1051"/>
      <c r="T557" s="1051"/>
      <c r="U557" s="1052"/>
      <c r="V557" s="1051"/>
      <c r="W557" s="1051"/>
      <c r="X557" s="1052"/>
      <c r="Y557" s="1053"/>
      <c r="Z557" s="1051"/>
      <c r="AA557" s="1051"/>
      <c r="AB557" s="1052"/>
      <c r="AC557" s="1051"/>
      <c r="AD557" s="1051"/>
      <c r="AE557" s="1052"/>
      <c r="AF557" s="1051"/>
      <c r="AG557" s="1051"/>
      <c r="AH557" s="1051"/>
      <c r="AI557" s="1051"/>
      <c r="AJ557" s="1052"/>
      <c r="AK557" s="1051"/>
      <c r="AL557" s="1051"/>
      <c r="AM557" s="1052"/>
      <c r="AN557" s="1051"/>
      <c r="AO557" s="1051"/>
      <c r="AP557" s="1052"/>
      <c r="AQ557" s="1051"/>
      <c r="AR557" s="1051"/>
      <c r="AS557" s="1052"/>
      <c r="AT557" s="1051"/>
      <c r="AU557" s="1051"/>
      <c r="AV557" s="1052"/>
      <c r="AW557" s="1051"/>
      <c r="AX557" s="1051"/>
      <c r="AY557" s="1053"/>
      <c r="AZ557" s="1051"/>
      <c r="BA557" s="1051"/>
      <c r="BB557" s="1053"/>
      <c r="BC557" s="1051"/>
      <c r="BD557" s="1051"/>
      <c r="BE557" s="1053"/>
      <c r="BF557" s="1051"/>
      <c r="BG557" s="1051"/>
      <c r="BH557" s="1053"/>
      <c r="BI557" s="1052"/>
      <c r="BJ557" s="1052"/>
      <c r="BK557" s="1052"/>
      <c r="BL557" s="1052"/>
      <c r="BM557" s="1052"/>
      <c r="BN557" s="1054"/>
      <c r="BO557" s="1076">
        <f t="shared" si="9"/>
        <v>0</v>
      </c>
      <c r="BP557" s="1051"/>
      <c r="BQ557" s="1052"/>
      <c r="BR557" s="1054"/>
      <c r="BS557" s="1053"/>
      <c r="BT557" s="1051"/>
      <c r="BU557" s="1051"/>
      <c r="BV557" s="1051"/>
      <c r="BW557" s="1052"/>
      <c r="BX557" s="1052"/>
      <c r="BY557" s="1052"/>
      <c r="BZ557" s="1052"/>
      <c r="CA557" s="1052"/>
      <c r="CB557" s="1053"/>
      <c r="CC557" s="1053"/>
      <c r="CD557" s="1053"/>
      <c r="CE557" s="1053"/>
      <c r="CF557" s="1053"/>
      <c r="CG557" s="1053"/>
      <c r="CH557" s="1053"/>
      <c r="CI557" s="1123"/>
      <c r="CJ557" s="1123"/>
      <c r="CK557" s="1123"/>
      <c r="CL557" s="1123"/>
      <c r="CM557" s="1123"/>
      <c r="CN557" s="1123"/>
      <c r="CO557" s="1123"/>
      <c r="CP557" s="1123"/>
      <c r="CQ557" s="1123"/>
      <c r="CR557" s="1123"/>
      <c r="CS557" s="1123"/>
      <c r="CT557" s="1123"/>
      <c r="CU557" s="1123"/>
      <c r="CV557" s="1123"/>
      <c r="CW557" s="1123"/>
      <c r="CX557" s="1123"/>
      <c r="CY557" s="1123"/>
      <c r="CZ557" s="1114"/>
      <c r="DA557" s="1114"/>
      <c r="DB557" s="1114"/>
      <c r="DC557" s="1114"/>
      <c r="DD557" s="1114"/>
      <c r="DE557" s="1114"/>
      <c r="DF557" s="1114"/>
      <c r="DG557" s="1114"/>
      <c r="DH557" s="1114"/>
      <c r="DI557" s="1114"/>
      <c r="DJ557" s="1114"/>
      <c r="DK557" s="1114"/>
      <c r="DL557" s="1114"/>
      <c r="DM557" s="1114"/>
      <c r="DN557" s="1114"/>
      <c r="DO557" s="1114"/>
      <c r="DP557" s="1114"/>
      <c r="DQ557" s="1114"/>
      <c r="DR557" s="1114"/>
      <c r="DS557" s="1114"/>
      <c r="DT557" s="1114"/>
      <c r="DU557" s="1114"/>
      <c r="DV557" s="1115"/>
      <c r="DW557" s="1116"/>
      <c r="DX557" s="1116"/>
      <c r="DY557" s="1116"/>
      <c r="DZ557" s="1116"/>
      <c r="EA557" s="1116"/>
      <c r="EB557" s="1116"/>
      <c r="EC557" s="1116"/>
      <c r="ED557" s="1116"/>
      <c r="EE557" s="1116"/>
      <c r="EF557" s="1116"/>
      <c r="EG557" s="1116"/>
      <c r="EH557" s="1116"/>
      <c r="EI557" s="1116"/>
      <c r="EJ557" s="1116"/>
      <c r="EK557" s="1116"/>
      <c r="EL557" s="1116"/>
      <c r="EM557" s="1116"/>
      <c r="EN557" s="1116"/>
      <c r="EO557" s="1116"/>
      <c r="EP557" s="1116"/>
      <c r="EQ557" s="1116"/>
      <c r="ER557" s="1116"/>
      <c r="ES557" s="1116"/>
    </row>
    <row r="558" spans="1:149" ht="15" customHeight="1">
      <c r="A558" s="1185">
        <v>548</v>
      </c>
      <c r="B558" s="1041"/>
      <c r="C558" s="1050"/>
      <c r="D558" s="1050"/>
      <c r="E558" s="1050"/>
      <c r="F558" s="1049"/>
      <c r="G558" s="1049"/>
      <c r="H558" s="1049"/>
      <c r="I558" s="1049"/>
      <c r="J558" s="1050"/>
      <c r="K558" s="1050"/>
      <c r="L558" s="1043"/>
      <c r="M558" s="1051"/>
      <c r="N558" s="1051"/>
      <c r="O558" s="1052"/>
      <c r="P558" s="1051"/>
      <c r="Q558" s="1051"/>
      <c r="R558" s="1052"/>
      <c r="S558" s="1051"/>
      <c r="T558" s="1051"/>
      <c r="U558" s="1052"/>
      <c r="V558" s="1051"/>
      <c r="W558" s="1051"/>
      <c r="X558" s="1052"/>
      <c r="Y558" s="1053"/>
      <c r="Z558" s="1051"/>
      <c r="AA558" s="1051"/>
      <c r="AB558" s="1052"/>
      <c r="AC558" s="1051"/>
      <c r="AD558" s="1051"/>
      <c r="AE558" s="1052"/>
      <c r="AF558" s="1051"/>
      <c r="AG558" s="1051"/>
      <c r="AH558" s="1051"/>
      <c r="AI558" s="1051"/>
      <c r="AJ558" s="1052"/>
      <c r="AK558" s="1051"/>
      <c r="AL558" s="1051"/>
      <c r="AM558" s="1052"/>
      <c r="AN558" s="1051"/>
      <c r="AO558" s="1051"/>
      <c r="AP558" s="1052"/>
      <c r="AQ558" s="1051"/>
      <c r="AR558" s="1051"/>
      <c r="AS558" s="1052"/>
      <c r="AT558" s="1051"/>
      <c r="AU558" s="1051"/>
      <c r="AV558" s="1052"/>
      <c r="AW558" s="1051"/>
      <c r="AX558" s="1051"/>
      <c r="AY558" s="1053"/>
      <c r="AZ558" s="1051"/>
      <c r="BA558" s="1051"/>
      <c r="BB558" s="1053"/>
      <c r="BC558" s="1051"/>
      <c r="BD558" s="1051"/>
      <c r="BE558" s="1053"/>
      <c r="BF558" s="1051"/>
      <c r="BG558" s="1051"/>
      <c r="BH558" s="1053"/>
      <c r="BI558" s="1052"/>
      <c r="BJ558" s="1052"/>
      <c r="BK558" s="1052"/>
      <c r="BL558" s="1052"/>
      <c r="BM558" s="1052"/>
      <c r="BN558" s="1054"/>
      <c r="BO558" s="1076">
        <f t="shared" si="9"/>
        <v>0</v>
      </c>
      <c r="BP558" s="1051"/>
      <c r="BQ558" s="1052"/>
      <c r="BR558" s="1054"/>
      <c r="BS558" s="1053"/>
      <c r="BT558" s="1051"/>
      <c r="BU558" s="1051"/>
      <c r="BV558" s="1051"/>
      <c r="BW558" s="1052"/>
      <c r="BX558" s="1052"/>
      <c r="BY558" s="1052"/>
      <c r="BZ558" s="1052"/>
      <c r="CA558" s="1052"/>
      <c r="CB558" s="1053"/>
      <c r="CC558" s="1053"/>
      <c r="CD558" s="1053"/>
      <c r="CE558" s="1053"/>
      <c r="CF558" s="1053"/>
      <c r="CG558" s="1053"/>
      <c r="CH558" s="1053"/>
      <c r="CI558" s="1123"/>
      <c r="CJ558" s="1123"/>
      <c r="CK558" s="1123"/>
      <c r="CL558" s="1123"/>
      <c r="CM558" s="1123"/>
      <c r="CN558" s="1123"/>
      <c r="CO558" s="1123"/>
      <c r="CP558" s="1123"/>
      <c r="CQ558" s="1123"/>
      <c r="CR558" s="1123"/>
      <c r="CS558" s="1123"/>
      <c r="CT558" s="1123"/>
      <c r="CU558" s="1123"/>
      <c r="CV558" s="1123"/>
      <c r="CW558" s="1123"/>
      <c r="CX558" s="1123"/>
      <c r="CY558" s="1123"/>
      <c r="CZ558" s="1114"/>
      <c r="DA558" s="1114"/>
      <c r="DB558" s="1114"/>
      <c r="DC558" s="1114"/>
      <c r="DD558" s="1114"/>
      <c r="DE558" s="1114"/>
      <c r="DF558" s="1114"/>
      <c r="DG558" s="1114"/>
      <c r="DH558" s="1114"/>
      <c r="DI558" s="1114"/>
      <c r="DJ558" s="1114"/>
      <c r="DK558" s="1114"/>
      <c r="DL558" s="1114"/>
      <c r="DM558" s="1114"/>
      <c r="DN558" s="1114"/>
      <c r="DO558" s="1114"/>
      <c r="DP558" s="1114"/>
      <c r="DQ558" s="1114"/>
      <c r="DR558" s="1114"/>
      <c r="DS558" s="1114"/>
      <c r="DT558" s="1114"/>
      <c r="DU558" s="1114"/>
      <c r="DV558" s="1115"/>
      <c r="DW558" s="1116"/>
      <c r="DX558" s="1116"/>
      <c r="DY558" s="1116"/>
      <c r="DZ558" s="1116"/>
      <c r="EA558" s="1116"/>
      <c r="EB558" s="1116"/>
      <c r="EC558" s="1116"/>
      <c r="ED558" s="1116"/>
      <c r="EE558" s="1116"/>
      <c r="EF558" s="1116"/>
      <c r="EG558" s="1116"/>
      <c r="EH558" s="1116"/>
      <c r="EI558" s="1116"/>
      <c r="EJ558" s="1116"/>
      <c r="EK558" s="1116"/>
      <c r="EL558" s="1116"/>
      <c r="EM558" s="1116"/>
      <c r="EN558" s="1116"/>
      <c r="EO558" s="1116"/>
      <c r="EP558" s="1116"/>
      <c r="EQ558" s="1116"/>
      <c r="ER558" s="1116"/>
      <c r="ES558" s="1116"/>
    </row>
    <row r="559" spans="1:149" ht="15" customHeight="1">
      <c r="A559" s="1185">
        <v>549</v>
      </c>
      <c r="B559" s="1041"/>
      <c r="C559" s="1050"/>
      <c r="D559" s="1050"/>
      <c r="E559" s="1050"/>
      <c r="F559" s="1049"/>
      <c r="G559" s="1049"/>
      <c r="H559" s="1049"/>
      <c r="I559" s="1049"/>
      <c r="J559" s="1050"/>
      <c r="K559" s="1050"/>
      <c r="L559" s="1043"/>
      <c r="M559" s="1051"/>
      <c r="N559" s="1051"/>
      <c r="O559" s="1052"/>
      <c r="P559" s="1051"/>
      <c r="Q559" s="1051"/>
      <c r="R559" s="1052"/>
      <c r="S559" s="1051"/>
      <c r="T559" s="1051"/>
      <c r="U559" s="1052"/>
      <c r="V559" s="1051"/>
      <c r="W559" s="1051"/>
      <c r="X559" s="1052"/>
      <c r="Y559" s="1053"/>
      <c r="Z559" s="1051"/>
      <c r="AA559" s="1051"/>
      <c r="AB559" s="1052"/>
      <c r="AC559" s="1051"/>
      <c r="AD559" s="1051"/>
      <c r="AE559" s="1052"/>
      <c r="AF559" s="1051"/>
      <c r="AG559" s="1051"/>
      <c r="AH559" s="1051"/>
      <c r="AI559" s="1051"/>
      <c r="AJ559" s="1052"/>
      <c r="AK559" s="1051"/>
      <c r="AL559" s="1051"/>
      <c r="AM559" s="1052"/>
      <c r="AN559" s="1051"/>
      <c r="AO559" s="1051"/>
      <c r="AP559" s="1052"/>
      <c r="AQ559" s="1051"/>
      <c r="AR559" s="1051"/>
      <c r="AS559" s="1052"/>
      <c r="AT559" s="1051"/>
      <c r="AU559" s="1051"/>
      <c r="AV559" s="1052"/>
      <c r="AW559" s="1051"/>
      <c r="AX559" s="1051"/>
      <c r="AY559" s="1053"/>
      <c r="AZ559" s="1051"/>
      <c r="BA559" s="1051"/>
      <c r="BB559" s="1053"/>
      <c r="BC559" s="1051"/>
      <c r="BD559" s="1051"/>
      <c r="BE559" s="1053"/>
      <c r="BF559" s="1051"/>
      <c r="BG559" s="1051"/>
      <c r="BH559" s="1053"/>
      <c r="BI559" s="1052"/>
      <c r="BJ559" s="1052"/>
      <c r="BK559" s="1052"/>
      <c r="BL559" s="1052"/>
      <c r="BM559" s="1052"/>
      <c r="BN559" s="1054"/>
      <c r="BO559" s="1076">
        <f t="shared" si="9"/>
        <v>0</v>
      </c>
      <c r="BP559" s="1051"/>
      <c r="BQ559" s="1052"/>
      <c r="BR559" s="1054"/>
      <c r="BS559" s="1053"/>
      <c r="BT559" s="1051"/>
      <c r="BU559" s="1051"/>
      <c r="BV559" s="1051"/>
      <c r="BW559" s="1052"/>
      <c r="BX559" s="1052"/>
      <c r="BY559" s="1052"/>
      <c r="BZ559" s="1052"/>
      <c r="CA559" s="1052"/>
      <c r="CB559" s="1053"/>
      <c r="CC559" s="1053"/>
      <c r="CD559" s="1053"/>
      <c r="CE559" s="1053"/>
      <c r="CF559" s="1053"/>
      <c r="CG559" s="1053"/>
      <c r="CH559" s="1053"/>
      <c r="CI559" s="1123"/>
      <c r="CJ559" s="1123"/>
      <c r="CK559" s="1123"/>
      <c r="CL559" s="1123"/>
      <c r="CM559" s="1123"/>
      <c r="CN559" s="1123"/>
      <c r="CO559" s="1123"/>
      <c r="CP559" s="1123"/>
      <c r="CQ559" s="1123"/>
      <c r="CR559" s="1123"/>
      <c r="CS559" s="1123"/>
      <c r="CT559" s="1123"/>
      <c r="CU559" s="1123"/>
      <c r="CV559" s="1123"/>
      <c r="CW559" s="1123"/>
      <c r="CX559" s="1123"/>
      <c r="CY559" s="1123"/>
      <c r="CZ559" s="1114"/>
      <c r="DA559" s="1114"/>
      <c r="DB559" s="1114"/>
      <c r="DC559" s="1114"/>
      <c r="DD559" s="1114"/>
      <c r="DE559" s="1114"/>
      <c r="DF559" s="1114"/>
      <c r="DG559" s="1114"/>
      <c r="DH559" s="1114"/>
      <c r="DI559" s="1114"/>
      <c r="DJ559" s="1114"/>
      <c r="DK559" s="1114"/>
      <c r="DL559" s="1114"/>
      <c r="DM559" s="1114"/>
      <c r="DN559" s="1114"/>
      <c r="DO559" s="1114"/>
      <c r="DP559" s="1114"/>
      <c r="DQ559" s="1114"/>
      <c r="DR559" s="1114"/>
      <c r="DS559" s="1114"/>
      <c r="DT559" s="1114"/>
      <c r="DU559" s="1114"/>
      <c r="DV559" s="1115"/>
      <c r="DW559" s="1116"/>
      <c r="DX559" s="1116"/>
      <c r="DY559" s="1116"/>
      <c r="DZ559" s="1116"/>
      <c r="EA559" s="1116"/>
      <c r="EB559" s="1116"/>
      <c r="EC559" s="1116"/>
      <c r="ED559" s="1116"/>
      <c r="EE559" s="1116"/>
      <c r="EF559" s="1116"/>
      <c r="EG559" s="1116"/>
      <c r="EH559" s="1116"/>
      <c r="EI559" s="1116"/>
      <c r="EJ559" s="1116"/>
      <c r="EK559" s="1116"/>
      <c r="EL559" s="1116"/>
      <c r="EM559" s="1116"/>
      <c r="EN559" s="1116"/>
      <c r="EO559" s="1116"/>
      <c r="EP559" s="1116"/>
      <c r="EQ559" s="1116"/>
      <c r="ER559" s="1116"/>
      <c r="ES559" s="1116"/>
    </row>
    <row r="560" spans="1:149" ht="15" customHeight="1">
      <c r="A560" s="1185">
        <v>550</v>
      </c>
      <c r="B560" s="1041"/>
      <c r="C560" s="1050"/>
      <c r="D560" s="1050"/>
      <c r="E560" s="1050"/>
      <c r="F560" s="1049"/>
      <c r="G560" s="1049"/>
      <c r="H560" s="1049"/>
      <c r="I560" s="1049"/>
      <c r="J560" s="1050"/>
      <c r="K560" s="1050"/>
      <c r="L560" s="1043"/>
      <c r="M560" s="1051"/>
      <c r="N560" s="1051"/>
      <c r="O560" s="1052"/>
      <c r="P560" s="1051"/>
      <c r="Q560" s="1051"/>
      <c r="R560" s="1052"/>
      <c r="S560" s="1051"/>
      <c r="T560" s="1051"/>
      <c r="U560" s="1052"/>
      <c r="V560" s="1051"/>
      <c r="W560" s="1051"/>
      <c r="X560" s="1052"/>
      <c r="Y560" s="1053"/>
      <c r="Z560" s="1051"/>
      <c r="AA560" s="1051"/>
      <c r="AB560" s="1052"/>
      <c r="AC560" s="1051"/>
      <c r="AD560" s="1051"/>
      <c r="AE560" s="1052"/>
      <c r="AF560" s="1051"/>
      <c r="AG560" s="1051"/>
      <c r="AH560" s="1051"/>
      <c r="AI560" s="1051"/>
      <c r="AJ560" s="1052"/>
      <c r="AK560" s="1051"/>
      <c r="AL560" s="1051"/>
      <c r="AM560" s="1052"/>
      <c r="AN560" s="1051"/>
      <c r="AO560" s="1051"/>
      <c r="AP560" s="1052"/>
      <c r="AQ560" s="1051"/>
      <c r="AR560" s="1051"/>
      <c r="AS560" s="1052"/>
      <c r="AT560" s="1051"/>
      <c r="AU560" s="1051"/>
      <c r="AV560" s="1052"/>
      <c r="AW560" s="1051"/>
      <c r="AX560" s="1051"/>
      <c r="AY560" s="1053"/>
      <c r="AZ560" s="1051"/>
      <c r="BA560" s="1051"/>
      <c r="BB560" s="1053"/>
      <c r="BC560" s="1051"/>
      <c r="BD560" s="1051"/>
      <c r="BE560" s="1053"/>
      <c r="BF560" s="1051"/>
      <c r="BG560" s="1051"/>
      <c r="BH560" s="1053"/>
      <c r="BI560" s="1052"/>
      <c r="BJ560" s="1052"/>
      <c r="BK560" s="1052"/>
      <c r="BL560" s="1052"/>
      <c r="BM560" s="1052"/>
      <c r="BN560" s="1054"/>
      <c r="BO560" s="1076">
        <f>H560</f>
        <v>0</v>
      </c>
      <c r="BP560" s="1051"/>
      <c r="BQ560" s="1052"/>
      <c r="BR560" s="1054"/>
      <c r="BS560" s="1053"/>
      <c r="BT560" s="1051"/>
      <c r="BU560" s="1051"/>
      <c r="BV560" s="1051"/>
      <c r="BW560" s="1052"/>
      <c r="BX560" s="1052"/>
      <c r="BY560" s="1052"/>
      <c r="BZ560" s="1052"/>
      <c r="CA560" s="1052"/>
      <c r="CB560" s="1053"/>
      <c r="CC560" s="1053"/>
      <c r="CD560" s="1053"/>
      <c r="CE560" s="1053"/>
      <c r="CF560" s="1053"/>
      <c r="CG560" s="1053"/>
      <c r="CH560" s="1053"/>
      <c r="CI560" s="1123"/>
      <c r="CJ560" s="1123"/>
      <c r="CK560" s="1123"/>
      <c r="CL560" s="1123"/>
      <c r="CM560" s="1123"/>
      <c r="CN560" s="1123"/>
      <c r="CO560" s="1123"/>
      <c r="CP560" s="1123"/>
      <c r="CQ560" s="1123"/>
      <c r="CR560" s="1123"/>
      <c r="CS560" s="1123"/>
      <c r="CT560" s="1123"/>
      <c r="CU560" s="1123"/>
      <c r="CV560" s="1123"/>
      <c r="CW560" s="1123"/>
      <c r="CX560" s="1123"/>
      <c r="CY560" s="1123"/>
      <c r="CZ560" s="1114"/>
      <c r="DA560" s="1114"/>
      <c r="DB560" s="1114"/>
      <c r="DC560" s="1114"/>
      <c r="DD560" s="1114"/>
      <c r="DE560" s="1114"/>
      <c r="DF560" s="1114"/>
      <c r="DG560" s="1114"/>
      <c r="DH560" s="1114"/>
      <c r="DI560" s="1114"/>
      <c r="DJ560" s="1114"/>
      <c r="DK560" s="1114"/>
      <c r="DL560" s="1114"/>
      <c r="DM560" s="1114"/>
      <c r="DN560" s="1114"/>
      <c r="DO560" s="1114"/>
      <c r="DP560" s="1114"/>
      <c r="DQ560" s="1114"/>
      <c r="DR560" s="1114"/>
      <c r="DS560" s="1114"/>
      <c r="DT560" s="1114"/>
      <c r="DU560" s="1114"/>
      <c r="DV560" s="1115"/>
      <c r="DW560" s="1116"/>
      <c r="DX560" s="1116"/>
      <c r="DY560" s="1116"/>
      <c r="DZ560" s="1116"/>
      <c r="EA560" s="1116"/>
      <c r="EB560" s="1116"/>
      <c r="EC560" s="1116"/>
      <c r="ED560" s="1116"/>
      <c r="EE560" s="1116"/>
      <c r="EF560" s="1116"/>
      <c r="EG560" s="1116"/>
      <c r="EH560" s="1116"/>
      <c r="EI560" s="1116"/>
      <c r="EJ560" s="1116"/>
      <c r="EK560" s="1116"/>
      <c r="EL560" s="1116"/>
      <c r="EM560" s="1116"/>
      <c r="EN560" s="1116"/>
      <c r="EO560" s="1116"/>
      <c r="EP560" s="1116"/>
      <c r="EQ560" s="1116"/>
      <c r="ER560" s="1116"/>
      <c r="ES560" s="1116"/>
    </row>
    <row r="561" spans="1:149" ht="15" customHeight="1">
      <c r="A561" s="1185">
        <v>551</v>
      </c>
      <c r="B561" s="1041"/>
      <c r="C561" s="1050"/>
      <c r="D561" s="1050"/>
      <c r="E561" s="1050"/>
      <c r="F561" s="1049"/>
      <c r="G561" s="1049"/>
      <c r="H561" s="1049"/>
      <c r="I561" s="1049"/>
      <c r="J561" s="1050"/>
      <c r="K561" s="1050"/>
      <c r="L561" s="1043"/>
      <c r="M561" s="1051"/>
      <c r="N561" s="1051"/>
      <c r="O561" s="1052"/>
      <c r="P561" s="1051"/>
      <c r="Q561" s="1051"/>
      <c r="R561" s="1052"/>
      <c r="S561" s="1051"/>
      <c r="T561" s="1051"/>
      <c r="U561" s="1052"/>
      <c r="V561" s="1051"/>
      <c r="W561" s="1051"/>
      <c r="X561" s="1052"/>
      <c r="Y561" s="1053"/>
      <c r="Z561" s="1051"/>
      <c r="AA561" s="1051"/>
      <c r="AB561" s="1052"/>
      <c r="AC561" s="1051"/>
      <c r="AD561" s="1051"/>
      <c r="AE561" s="1052"/>
      <c r="AF561" s="1051"/>
      <c r="AG561" s="1051"/>
      <c r="AH561" s="1051"/>
      <c r="AI561" s="1051"/>
      <c r="AJ561" s="1052"/>
      <c r="AK561" s="1051"/>
      <c r="AL561" s="1051"/>
      <c r="AM561" s="1052"/>
      <c r="AN561" s="1051"/>
      <c r="AO561" s="1051"/>
      <c r="AP561" s="1052"/>
      <c r="AQ561" s="1051"/>
      <c r="AR561" s="1051"/>
      <c r="AS561" s="1052"/>
      <c r="AT561" s="1051"/>
      <c r="AU561" s="1051"/>
      <c r="AV561" s="1052"/>
      <c r="AW561" s="1051"/>
      <c r="AX561" s="1051"/>
      <c r="AY561" s="1053"/>
      <c r="AZ561" s="1051"/>
      <c r="BA561" s="1051"/>
      <c r="BB561" s="1053"/>
      <c r="BC561" s="1051"/>
      <c r="BD561" s="1051"/>
      <c r="BE561" s="1053"/>
      <c r="BF561" s="1051"/>
      <c r="BG561" s="1051"/>
      <c r="BH561" s="1053"/>
      <c r="BI561" s="1052"/>
      <c r="BJ561" s="1052"/>
      <c r="BK561" s="1052"/>
      <c r="BL561" s="1052"/>
      <c r="BM561" s="1052"/>
      <c r="BN561" s="1054"/>
      <c r="BO561" s="1076">
        <f t="shared" ref="BO561:BO624" si="10">H561</f>
        <v>0</v>
      </c>
      <c r="BP561" s="1051"/>
      <c r="BQ561" s="1052"/>
      <c r="BR561" s="1054"/>
      <c r="BS561" s="1053"/>
      <c r="BT561" s="1051"/>
      <c r="BU561" s="1051"/>
      <c r="BV561" s="1051"/>
      <c r="BW561" s="1052"/>
      <c r="BX561" s="1052"/>
      <c r="BY561" s="1052"/>
      <c r="BZ561" s="1052"/>
      <c r="CA561" s="1052"/>
      <c r="CB561" s="1053"/>
      <c r="CC561" s="1053"/>
      <c r="CD561" s="1053"/>
      <c r="CE561" s="1053"/>
      <c r="CF561" s="1053"/>
      <c r="CG561" s="1053"/>
      <c r="CH561" s="1053"/>
      <c r="CI561" s="1123"/>
      <c r="CJ561" s="1123"/>
      <c r="CK561" s="1123"/>
      <c r="CL561" s="1123"/>
      <c r="CM561" s="1123"/>
      <c r="CN561" s="1123"/>
      <c r="CO561" s="1123"/>
      <c r="CP561" s="1123"/>
      <c r="CQ561" s="1123"/>
      <c r="CR561" s="1123"/>
      <c r="CS561" s="1123"/>
      <c r="CT561" s="1123"/>
      <c r="CU561" s="1123"/>
      <c r="CV561" s="1123"/>
      <c r="CW561" s="1123"/>
      <c r="CX561" s="1123"/>
      <c r="CY561" s="1123"/>
      <c r="CZ561" s="1114"/>
      <c r="DA561" s="1114"/>
      <c r="DB561" s="1114"/>
      <c r="DC561" s="1114"/>
      <c r="DD561" s="1114"/>
      <c r="DE561" s="1114"/>
      <c r="DF561" s="1114"/>
      <c r="DG561" s="1114"/>
      <c r="DH561" s="1114"/>
      <c r="DI561" s="1114"/>
      <c r="DJ561" s="1114"/>
      <c r="DK561" s="1114"/>
      <c r="DL561" s="1114"/>
      <c r="DM561" s="1114"/>
      <c r="DN561" s="1114"/>
      <c r="DO561" s="1114"/>
      <c r="DP561" s="1114"/>
      <c r="DQ561" s="1114"/>
      <c r="DR561" s="1114"/>
      <c r="DS561" s="1114"/>
      <c r="DT561" s="1114"/>
      <c r="DU561" s="1114"/>
      <c r="DV561" s="1115"/>
      <c r="DW561" s="1116"/>
      <c r="DX561" s="1116"/>
      <c r="DY561" s="1116"/>
      <c r="DZ561" s="1116"/>
      <c r="EA561" s="1116"/>
      <c r="EB561" s="1116"/>
      <c r="EC561" s="1116"/>
      <c r="ED561" s="1116"/>
      <c r="EE561" s="1116"/>
      <c r="EF561" s="1116"/>
      <c r="EG561" s="1116"/>
      <c r="EH561" s="1116"/>
      <c r="EI561" s="1116"/>
      <c r="EJ561" s="1116"/>
      <c r="EK561" s="1116"/>
      <c r="EL561" s="1116"/>
      <c r="EM561" s="1116"/>
      <c r="EN561" s="1116"/>
      <c r="EO561" s="1116"/>
      <c r="EP561" s="1116"/>
      <c r="EQ561" s="1116"/>
      <c r="ER561" s="1116"/>
      <c r="ES561" s="1116"/>
    </row>
    <row r="562" spans="1:149" ht="15" customHeight="1">
      <c r="A562" s="1185">
        <v>552</v>
      </c>
      <c r="B562" s="1041"/>
      <c r="C562" s="1050"/>
      <c r="D562" s="1050"/>
      <c r="E562" s="1050"/>
      <c r="F562" s="1049"/>
      <c r="G562" s="1049"/>
      <c r="H562" s="1049"/>
      <c r="I562" s="1049"/>
      <c r="J562" s="1050"/>
      <c r="K562" s="1050"/>
      <c r="L562" s="1043"/>
      <c r="M562" s="1051"/>
      <c r="N562" s="1051"/>
      <c r="O562" s="1052"/>
      <c r="P562" s="1051"/>
      <c r="Q562" s="1051"/>
      <c r="R562" s="1052"/>
      <c r="S562" s="1051"/>
      <c r="T562" s="1051"/>
      <c r="U562" s="1052"/>
      <c r="V562" s="1051"/>
      <c r="W562" s="1051"/>
      <c r="X562" s="1052"/>
      <c r="Y562" s="1053"/>
      <c r="Z562" s="1051"/>
      <c r="AA562" s="1051"/>
      <c r="AB562" s="1052"/>
      <c r="AC562" s="1051"/>
      <c r="AD562" s="1051"/>
      <c r="AE562" s="1052"/>
      <c r="AF562" s="1051"/>
      <c r="AG562" s="1051"/>
      <c r="AH562" s="1051"/>
      <c r="AI562" s="1051"/>
      <c r="AJ562" s="1052"/>
      <c r="AK562" s="1051"/>
      <c r="AL562" s="1051"/>
      <c r="AM562" s="1052"/>
      <c r="AN562" s="1051"/>
      <c r="AO562" s="1051"/>
      <c r="AP562" s="1052"/>
      <c r="AQ562" s="1051"/>
      <c r="AR562" s="1051"/>
      <c r="AS562" s="1052"/>
      <c r="AT562" s="1051"/>
      <c r="AU562" s="1051"/>
      <c r="AV562" s="1052"/>
      <c r="AW562" s="1051"/>
      <c r="AX562" s="1051"/>
      <c r="AY562" s="1053"/>
      <c r="AZ562" s="1051"/>
      <c r="BA562" s="1051"/>
      <c r="BB562" s="1053"/>
      <c r="BC562" s="1051"/>
      <c r="BD562" s="1051"/>
      <c r="BE562" s="1053"/>
      <c r="BF562" s="1051"/>
      <c r="BG562" s="1051"/>
      <c r="BH562" s="1053"/>
      <c r="BI562" s="1052"/>
      <c r="BJ562" s="1052"/>
      <c r="BK562" s="1052"/>
      <c r="BL562" s="1052"/>
      <c r="BM562" s="1052"/>
      <c r="BN562" s="1054"/>
      <c r="BO562" s="1076">
        <f t="shared" si="10"/>
        <v>0</v>
      </c>
      <c r="BP562" s="1051"/>
      <c r="BQ562" s="1052"/>
      <c r="BR562" s="1054"/>
      <c r="BS562" s="1053"/>
      <c r="BT562" s="1051"/>
      <c r="BU562" s="1051"/>
      <c r="BV562" s="1051"/>
      <c r="BW562" s="1052"/>
      <c r="BX562" s="1052"/>
      <c r="BY562" s="1052"/>
      <c r="BZ562" s="1052"/>
      <c r="CA562" s="1052"/>
      <c r="CB562" s="1053"/>
      <c r="CC562" s="1053"/>
      <c r="CD562" s="1053"/>
      <c r="CE562" s="1053"/>
      <c r="CF562" s="1053"/>
      <c r="CG562" s="1053"/>
      <c r="CH562" s="1053"/>
      <c r="CI562" s="1123"/>
      <c r="CJ562" s="1123"/>
      <c r="CK562" s="1123"/>
      <c r="CL562" s="1123"/>
      <c r="CM562" s="1123"/>
      <c r="CN562" s="1123"/>
      <c r="CO562" s="1123"/>
      <c r="CP562" s="1123"/>
      <c r="CQ562" s="1123"/>
      <c r="CR562" s="1123"/>
      <c r="CS562" s="1123"/>
      <c r="CT562" s="1123"/>
      <c r="CU562" s="1123"/>
      <c r="CV562" s="1123"/>
      <c r="CW562" s="1123"/>
      <c r="CX562" s="1123"/>
      <c r="CY562" s="1123"/>
      <c r="CZ562" s="1114"/>
      <c r="DA562" s="1114"/>
      <c r="DB562" s="1114"/>
      <c r="DC562" s="1114"/>
      <c r="DD562" s="1114"/>
      <c r="DE562" s="1114"/>
      <c r="DF562" s="1114"/>
      <c r="DG562" s="1114"/>
      <c r="DH562" s="1114"/>
      <c r="DI562" s="1114"/>
      <c r="DJ562" s="1114"/>
      <c r="DK562" s="1114"/>
      <c r="DL562" s="1114"/>
      <c r="DM562" s="1114"/>
      <c r="DN562" s="1114"/>
      <c r="DO562" s="1114"/>
      <c r="DP562" s="1114"/>
      <c r="DQ562" s="1114"/>
      <c r="DR562" s="1114"/>
      <c r="DS562" s="1114"/>
      <c r="DT562" s="1114"/>
      <c r="DU562" s="1114"/>
      <c r="DV562" s="1115"/>
      <c r="DW562" s="1116"/>
      <c r="DX562" s="1116"/>
      <c r="DY562" s="1116"/>
      <c r="DZ562" s="1116"/>
      <c r="EA562" s="1116"/>
      <c r="EB562" s="1116"/>
      <c r="EC562" s="1116"/>
      <c r="ED562" s="1116"/>
      <c r="EE562" s="1116"/>
      <c r="EF562" s="1116"/>
      <c r="EG562" s="1116"/>
      <c r="EH562" s="1116"/>
      <c r="EI562" s="1116"/>
      <c r="EJ562" s="1116"/>
      <c r="EK562" s="1116"/>
      <c r="EL562" s="1116"/>
      <c r="EM562" s="1116"/>
      <c r="EN562" s="1116"/>
      <c r="EO562" s="1116"/>
      <c r="EP562" s="1116"/>
      <c r="EQ562" s="1116"/>
      <c r="ER562" s="1116"/>
      <c r="ES562" s="1116"/>
    </row>
    <row r="563" spans="1:149" ht="15" customHeight="1">
      <c r="A563" s="1185">
        <v>553</v>
      </c>
      <c r="B563" s="1041"/>
      <c r="C563" s="1050"/>
      <c r="D563" s="1050"/>
      <c r="E563" s="1050"/>
      <c r="F563" s="1049"/>
      <c r="G563" s="1049"/>
      <c r="H563" s="1049"/>
      <c r="I563" s="1049"/>
      <c r="J563" s="1050"/>
      <c r="K563" s="1050"/>
      <c r="L563" s="1043"/>
      <c r="M563" s="1051"/>
      <c r="N563" s="1051"/>
      <c r="O563" s="1052"/>
      <c r="P563" s="1051"/>
      <c r="Q563" s="1051"/>
      <c r="R563" s="1052"/>
      <c r="S563" s="1051"/>
      <c r="T563" s="1051"/>
      <c r="U563" s="1052"/>
      <c r="V563" s="1051"/>
      <c r="W563" s="1051"/>
      <c r="X563" s="1052"/>
      <c r="Y563" s="1053"/>
      <c r="Z563" s="1051"/>
      <c r="AA563" s="1051"/>
      <c r="AB563" s="1052"/>
      <c r="AC563" s="1051"/>
      <c r="AD563" s="1051"/>
      <c r="AE563" s="1052"/>
      <c r="AF563" s="1051"/>
      <c r="AG563" s="1051"/>
      <c r="AH563" s="1051"/>
      <c r="AI563" s="1051"/>
      <c r="AJ563" s="1052"/>
      <c r="AK563" s="1051"/>
      <c r="AL563" s="1051"/>
      <c r="AM563" s="1052"/>
      <c r="AN563" s="1051"/>
      <c r="AO563" s="1051"/>
      <c r="AP563" s="1052"/>
      <c r="AQ563" s="1051"/>
      <c r="AR563" s="1051"/>
      <c r="AS563" s="1052"/>
      <c r="AT563" s="1051"/>
      <c r="AU563" s="1051"/>
      <c r="AV563" s="1052"/>
      <c r="AW563" s="1051"/>
      <c r="AX563" s="1051"/>
      <c r="AY563" s="1053"/>
      <c r="AZ563" s="1051"/>
      <c r="BA563" s="1051"/>
      <c r="BB563" s="1053"/>
      <c r="BC563" s="1051"/>
      <c r="BD563" s="1051"/>
      <c r="BE563" s="1053"/>
      <c r="BF563" s="1051"/>
      <c r="BG563" s="1051"/>
      <c r="BH563" s="1053"/>
      <c r="BI563" s="1052"/>
      <c r="BJ563" s="1052"/>
      <c r="BK563" s="1052"/>
      <c r="BL563" s="1052"/>
      <c r="BM563" s="1052"/>
      <c r="BN563" s="1054"/>
      <c r="BO563" s="1076">
        <f t="shared" si="10"/>
        <v>0</v>
      </c>
      <c r="BP563" s="1051"/>
      <c r="BQ563" s="1052"/>
      <c r="BR563" s="1054"/>
      <c r="BS563" s="1053"/>
      <c r="BT563" s="1051"/>
      <c r="BU563" s="1051"/>
      <c r="BV563" s="1051"/>
      <c r="BW563" s="1052"/>
      <c r="BX563" s="1052"/>
      <c r="BY563" s="1052"/>
      <c r="BZ563" s="1052"/>
      <c r="CA563" s="1052"/>
      <c r="CB563" s="1053"/>
      <c r="CC563" s="1053"/>
      <c r="CD563" s="1053"/>
      <c r="CE563" s="1053"/>
      <c r="CF563" s="1053"/>
      <c r="CG563" s="1053"/>
      <c r="CH563" s="1053"/>
      <c r="CI563" s="1123"/>
      <c r="CJ563" s="1123"/>
      <c r="CK563" s="1123"/>
      <c r="CL563" s="1123"/>
      <c r="CM563" s="1123"/>
      <c r="CN563" s="1123"/>
      <c r="CO563" s="1123"/>
      <c r="CP563" s="1123"/>
      <c r="CQ563" s="1123"/>
      <c r="CR563" s="1123"/>
      <c r="CS563" s="1123"/>
      <c r="CT563" s="1123"/>
      <c r="CU563" s="1123"/>
      <c r="CV563" s="1123"/>
      <c r="CW563" s="1123"/>
      <c r="CX563" s="1123"/>
      <c r="CY563" s="1123"/>
      <c r="CZ563" s="1114"/>
      <c r="DA563" s="1114"/>
      <c r="DB563" s="1114"/>
      <c r="DC563" s="1114"/>
      <c r="DD563" s="1114"/>
      <c r="DE563" s="1114"/>
      <c r="DF563" s="1114"/>
      <c r="DG563" s="1114"/>
      <c r="DH563" s="1114"/>
      <c r="DI563" s="1114"/>
      <c r="DJ563" s="1114"/>
      <c r="DK563" s="1114"/>
      <c r="DL563" s="1114"/>
      <c r="DM563" s="1114"/>
      <c r="DN563" s="1114"/>
      <c r="DO563" s="1114"/>
      <c r="DP563" s="1114"/>
      <c r="DQ563" s="1114"/>
      <c r="DR563" s="1114"/>
      <c r="DS563" s="1114"/>
      <c r="DT563" s="1114"/>
      <c r="DU563" s="1114"/>
      <c r="DV563" s="1115"/>
      <c r="DW563" s="1116"/>
      <c r="DX563" s="1116"/>
      <c r="DY563" s="1116"/>
      <c r="DZ563" s="1116"/>
      <c r="EA563" s="1116"/>
      <c r="EB563" s="1116"/>
      <c r="EC563" s="1116"/>
      <c r="ED563" s="1116"/>
      <c r="EE563" s="1116"/>
      <c r="EF563" s="1116"/>
      <c r="EG563" s="1116"/>
      <c r="EH563" s="1116"/>
      <c r="EI563" s="1116"/>
      <c r="EJ563" s="1116"/>
      <c r="EK563" s="1116"/>
      <c r="EL563" s="1116"/>
      <c r="EM563" s="1116"/>
      <c r="EN563" s="1116"/>
      <c r="EO563" s="1116"/>
      <c r="EP563" s="1116"/>
      <c r="EQ563" s="1116"/>
      <c r="ER563" s="1116"/>
      <c r="ES563" s="1116"/>
    </row>
    <row r="564" spans="1:149" ht="15" customHeight="1">
      <c r="A564" s="1185">
        <v>554</v>
      </c>
      <c r="B564" s="1041"/>
      <c r="C564" s="1050"/>
      <c r="D564" s="1050"/>
      <c r="E564" s="1050"/>
      <c r="F564" s="1049"/>
      <c r="G564" s="1049"/>
      <c r="H564" s="1049"/>
      <c r="I564" s="1049"/>
      <c r="J564" s="1050"/>
      <c r="K564" s="1050"/>
      <c r="L564" s="1043"/>
      <c r="M564" s="1051"/>
      <c r="N564" s="1051"/>
      <c r="O564" s="1052"/>
      <c r="P564" s="1051"/>
      <c r="Q564" s="1051"/>
      <c r="R564" s="1052"/>
      <c r="S564" s="1051"/>
      <c r="T564" s="1051"/>
      <c r="U564" s="1052"/>
      <c r="V564" s="1051"/>
      <c r="W564" s="1051"/>
      <c r="X564" s="1052"/>
      <c r="Y564" s="1053"/>
      <c r="Z564" s="1051"/>
      <c r="AA564" s="1051"/>
      <c r="AB564" s="1052"/>
      <c r="AC564" s="1051"/>
      <c r="AD564" s="1051"/>
      <c r="AE564" s="1052"/>
      <c r="AF564" s="1051"/>
      <c r="AG564" s="1051"/>
      <c r="AH564" s="1051"/>
      <c r="AI564" s="1051"/>
      <c r="AJ564" s="1052"/>
      <c r="AK564" s="1051"/>
      <c r="AL564" s="1051"/>
      <c r="AM564" s="1052"/>
      <c r="AN564" s="1051"/>
      <c r="AO564" s="1051"/>
      <c r="AP564" s="1052"/>
      <c r="AQ564" s="1051"/>
      <c r="AR564" s="1051"/>
      <c r="AS564" s="1052"/>
      <c r="AT564" s="1051"/>
      <c r="AU564" s="1051"/>
      <c r="AV564" s="1052"/>
      <c r="AW564" s="1051"/>
      <c r="AX564" s="1051"/>
      <c r="AY564" s="1053"/>
      <c r="AZ564" s="1051"/>
      <c r="BA564" s="1051"/>
      <c r="BB564" s="1053"/>
      <c r="BC564" s="1051"/>
      <c r="BD564" s="1051"/>
      <c r="BE564" s="1053"/>
      <c r="BF564" s="1051"/>
      <c r="BG564" s="1051"/>
      <c r="BH564" s="1053"/>
      <c r="BI564" s="1052"/>
      <c r="BJ564" s="1052"/>
      <c r="BK564" s="1052"/>
      <c r="BL564" s="1052"/>
      <c r="BM564" s="1052"/>
      <c r="BN564" s="1054"/>
      <c r="BO564" s="1076">
        <f t="shared" si="10"/>
        <v>0</v>
      </c>
      <c r="BP564" s="1051"/>
      <c r="BQ564" s="1052"/>
      <c r="BR564" s="1054"/>
      <c r="BS564" s="1053"/>
      <c r="BT564" s="1051"/>
      <c r="BU564" s="1051"/>
      <c r="BV564" s="1051"/>
      <c r="BW564" s="1052"/>
      <c r="BX564" s="1052"/>
      <c r="BY564" s="1052"/>
      <c r="BZ564" s="1052"/>
      <c r="CA564" s="1052"/>
      <c r="CB564" s="1053"/>
      <c r="CC564" s="1053"/>
      <c r="CD564" s="1053"/>
      <c r="CE564" s="1053"/>
      <c r="CF564" s="1053"/>
      <c r="CG564" s="1053"/>
      <c r="CH564" s="1053"/>
      <c r="CI564" s="1123"/>
      <c r="CJ564" s="1123"/>
      <c r="CK564" s="1123"/>
      <c r="CL564" s="1123"/>
      <c r="CM564" s="1123"/>
      <c r="CN564" s="1123"/>
      <c r="CO564" s="1123"/>
      <c r="CP564" s="1123"/>
      <c r="CQ564" s="1123"/>
      <c r="CR564" s="1123"/>
      <c r="CS564" s="1123"/>
      <c r="CT564" s="1123"/>
      <c r="CU564" s="1123"/>
      <c r="CV564" s="1123"/>
      <c r="CW564" s="1123"/>
      <c r="CX564" s="1123"/>
      <c r="CY564" s="1123"/>
      <c r="CZ564" s="1114"/>
      <c r="DA564" s="1114"/>
      <c r="DB564" s="1114"/>
      <c r="DC564" s="1114"/>
      <c r="DD564" s="1114"/>
      <c r="DE564" s="1114"/>
      <c r="DF564" s="1114"/>
      <c r="DG564" s="1114"/>
      <c r="DH564" s="1114"/>
      <c r="DI564" s="1114"/>
      <c r="DJ564" s="1114"/>
      <c r="DK564" s="1114"/>
      <c r="DL564" s="1114"/>
      <c r="DM564" s="1114"/>
      <c r="DN564" s="1114"/>
      <c r="DO564" s="1114"/>
      <c r="DP564" s="1114"/>
      <c r="DQ564" s="1114"/>
      <c r="DR564" s="1114"/>
      <c r="DS564" s="1114"/>
      <c r="DT564" s="1114"/>
      <c r="DU564" s="1114"/>
      <c r="DV564" s="1115"/>
      <c r="DW564" s="1116"/>
      <c r="DX564" s="1116"/>
      <c r="DY564" s="1116"/>
      <c r="DZ564" s="1116"/>
      <c r="EA564" s="1116"/>
      <c r="EB564" s="1116"/>
      <c r="EC564" s="1116"/>
      <c r="ED564" s="1116"/>
      <c r="EE564" s="1116"/>
      <c r="EF564" s="1116"/>
      <c r="EG564" s="1116"/>
      <c r="EH564" s="1116"/>
      <c r="EI564" s="1116"/>
      <c r="EJ564" s="1116"/>
      <c r="EK564" s="1116"/>
      <c r="EL564" s="1116"/>
      <c r="EM564" s="1116"/>
      <c r="EN564" s="1116"/>
      <c r="EO564" s="1116"/>
      <c r="EP564" s="1116"/>
      <c r="EQ564" s="1116"/>
      <c r="ER564" s="1116"/>
      <c r="ES564" s="1116"/>
    </row>
    <row r="565" spans="1:149" ht="15" customHeight="1">
      <c r="A565" s="1185">
        <v>555</v>
      </c>
      <c r="B565" s="1041"/>
      <c r="C565" s="1050"/>
      <c r="D565" s="1050"/>
      <c r="E565" s="1050"/>
      <c r="F565" s="1049"/>
      <c r="G565" s="1049"/>
      <c r="H565" s="1049"/>
      <c r="I565" s="1049"/>
      <c r="J565" s="1050"/>
      <c r="K565" s="1050"/>
      <c r="L565" s="1043"/>
      <c r="M565" s="1051"/>
      <c r="N565" s="1051"/>
      <c r="O565" s="1052"/>
      <c r="P565" s="1051"/>
      <c r="Q565" s="1051"/>
      <c r="R565" s="1052"/>
      <c r="S565" s="1051"/>
      <c r="T565" s="1051"/>
      <c r="U565" s="1052"/>
      <c r="V565" s="1051"/>
      <c r="W565" s="1051"/>
      <c r="X565" s="1052"/>
      <c r="Y565" s="1053"/>
      <c r="Z565" s="1051"/>
      <c r="AA565" s="1051"/>
      <c r="AB565" s="1052"/>
      <c r="AC565" s="1051"/>
      <c r="AD565" s="1051"/>
      <c r="AE565" s="1052"/>
      <c r="AF565" s="1051"/>
      <c r="AG565" s="1051"/>
      <c r="AH565" s="1051"/>
      <c r="AI565" s="1051"/>
      <c r="AJ565" s="1052"/>
      <c r="AK565" s="1051"/>
      <c r="AL565" s="1051"/>
      <c r="AM565" s="1052"/>
      <c r="AN565" s="1051"/>
      <c r="AO565" s="1051"/>
      <c r="AP565" s="1052"/>
      <c r="AQ565" s="1051"/>
      <c r="AR565" s="1051"/>
      <c r="AS565" s="1052"/>
      <c r="AT565" s="1051"/>
      <c r="AU565" s="1051"/>
      <c r="AV565" s="1052"/>
      <c r="AW565" s="1051"/>
      <c r="AX565" s="1051"/>
      <c r="AY565" s="1053"/>
      <c r="AZ565" s="1051"/>
      <c r="BA565" s="1051"/>
      <c r="BB565" s="1053"/>
      <c r="BC565" s="1051"/>
      <c r="BD565" s="1051"/>
      <c r="BE565" s="1053"/>
      <c r="BF565" s="1051"/>
      <c r="BG565" s="1051"/>
      <c r="BH565" s="1053"/>
      <c r="BI565" s="1052"/>
      <c r="BJ565" s="1052"/>
      <c r="BK565" s="1052"/>
      <c r="BL565" s="1052"/>
      <c r="BM565" s="1052"/>
      <c r="BN565" s="1054"/>
      <c r="BO565" s="1076">
        <f t="shared" si="10"/>
        <v>0</v>
      </c>
      <c r="BP565" s="1051"/>
      <c r="BQ565" s="1052"/>
      <c r="BR565" s="1054"/>
      <c r="BS565" s="1053"/>
      <c r="BT565" s="1051"/>
      <c r="BU565" s="1051"/>
      <c r="BV565" s="1051"/>
      <c r="BW565" s="1052"/>
      <c r="BX565" s="1052"/>
      <c r="BY565" s="1052"/>
      <c r="BZ565" s="1052"/>
      <c r="CA565" s="1052"/>
      <c r="CB565" s="1053"/>
      <c r="CC565" s="1053"/>
      <c r="CD565" s="1053"/>
      <c r="CE565" s="1053"/>
      <c r="CF565" s="1053"/>
      <c r="CG565" s="1053"/>
      <c r="CH565" s="1053"/>
      <c r="CI565" s="1123"/>
      <c r="CJ565" s="1123"/>
      <c r="CK565" s="1123"/>
      <c r="CL565" s="1123"/>
      <c r="CM565" s="1123"/>
      <c r="CN565" s="1123"/>
      <c r="CO565" s="1123"/>
      <c r="CP565" s="1123"/>
      <c r="CQ565" s="1123"/>
      <c r="CR565" s="1123"/>
      <c r="CS565" s="1123"/>
      <c r="CT565" s="1123"/>
      <c r="CU565" s="1123"/>
      <c r="CV565" s="1123"/>
      <c r="CW565" s="1123"/>
      <c r="CX565" s="1123"/>
      <c r="CY565" s="1123"/>
      <c r="CZ565" s="1114"/>
      <c r="DA565" s="1114"/>
      <c r="DB565" s="1114"/>
      <c r="DC565" s="1114"/>
      <c r="DD565" s="1114"/>
      <c r="DE565" s="1114"/>
      <c r="DF565" s="1114"/>
      <c r="DG565" s="1114"/>
      <c r="DH565" s="1114"/>
      <c r="DI565" s="1114"/>
      <c r="DJ565" s="1114"/>
      <c r="DK565" s="1114"/>
      <c r="DL565" s="1114"/>
      <c r="DM565" s="1114"/>
      <c r="DN565" s="1114"/>
      <c r="DO565" s="1114"/>
      <c r="DP565" s="1114"/>
      <c r="DQ565" s="1114"/>
      <c r="DR565" s="1114"/>
      <c r="DS565" s="1114"/>
      <c r="DT565" s="1114"/>
      <c r="DU565" s="1114"/>
      <c r="DV565" s="1115"/>
      <c r="DW565" s="1116"/>
      <c r="DX565" s="1116"/>
      <c r="DY565" s="1116"/>
      <c r="DZ565" s="1116"/>
      <c r="EA565" s="1116"/>
      <c r="EB565" s="1116"/>
      <c r="EC565" s="1116"/>
      <c r="ED565" s="1116"/>
      <c r="EE565" s="1116"/>
      <c r="EF565" s="1116"/>
      <c r="EG565" s="1116"/>
      <c r="EH565" s="1116"/>
      <c r="EI565" s="1116"/>
      <c r="EJ565" s="1116"/>
      <c r="EK565" s="1116"/>
      <c r="EL565" s="1116"/>
      <c r="EM565" s="1116"/>
      <c r="EN565" s="1116"/>
      <c r="EO565" s="1116"/>
      <c r="EP565" s="1116"/>
      <c r="EQ565" s="1116"/>
      <c r="ER565" s="1116"/>
      <c r="ES565" s="1116"/>
    </row>
    <row r="566" spans="1:149" ht="15" customHeight="1">
      <c r="A566" s="1185">
        <v>556</v>
      </c>
      <c r="B566" s="1041"/>
      <c r="C566" s="1050"/>
      <c r="D566" s="1050"/>
      <c r="E566" s="1050"/>
      <c r="F566" s="1049"/>
      <c r="G566" s="1049"/>
      <c r="H566" s="1049"/>
      <c r="I566" s="1049"/>
      <c r="J566" s="1050"/>
      <c r="K566" s="1050"/>
      <c r="L566" s="1043"/>
      <c r="M566" s="1051"/>
      <c r="N566" s="1051"/>
      <c r="O566" s="1052"/>
      <c r="P566" s="1051"/>
      <c r="Q566" s="1051"/>
      <c r="R566" s="1052"/>
      <c r="S566" s="1051"/>
      <c r="T566" s="1051"/>
      <c r="U566" s="1052"/>
      <c r="V566" s="1051"/>
      <c r="W566" s="1051"/>
      <c r="X566" s="1052"/>
      <c r="Y566" s="1053"/>
      <c r="Z566" s="1051"/>
      <c r="AA566" s="1051"/>
      <c r="AB566" s="1052"/>
      <c r="AC566" s="1051"/>
      <c r="AD566" s="1051"/>
      <c r="AE566" s="1052"/>
      <c r="AF566" s="1051"/>
      <c r="AG566" s="1051"/>
      <c r="AH566" s="1051"/>
      <c r="AI566" s="1051"/>
      <c r="AJ566" s="1052"/>
      <c r="AK566" s="1051"/>
      <c r="AL566" s="1051"/>
      <c r="AM566" s="1052"/>
      <c r="AN566" s="1051"/>
      <c r="AO566" s="1051"/>
      <c r="AP566" s="1052"/>
      <c r="AQ566" s="1051"/>
      <c r="AR566" s="1051"/>
      <c r="AS566" s="1052"/>
      <c r="AT566" s="1051"/>
      <c r="AU566" s="1051"/>
      <c r="AV566" s="1052"/>
      <c r="AW566" s="1051"/>
      <c r="AX566" s="1051"/>
      <c r="AY566" s="1053"/>
      <c r="AZ566" s="1051"/>
      <c r="BA566" s="1051"/>
      <c r="BB566" s="1053"/>
      <c r="BC566" s="1051"/>
      <c r="BD566" s="1051"/>
      <c r="BE566" s="1053"/>
      <c r="BF566" s="1051"/>
      <c r="BG566" s="1051"/>
      <c r="BH566" s="1053"/>
      <c r="BI566" s="1052"/>
      <c r="BJ566" s="1052"/>
      <c r="BK566" s="1052"/>
      <c r="BL566" s="1052"/>
      <c r="BM566" s="1052"/>
      <c r="BN566" s="1054"/>
      <c r="BO566" s="1076">
        <f t="shared" si="10"/>
        <v>0</v>
      </c>
      <c r="BP566" s="1051"/>
      <c r="BQ566" s="1052"/>
      <c r="BR566" s="1054"/>
      <c r="BS566" s="1053"/>
      <c r="BT566" s="1051"/>
      <c r="BU566" s="1051"/>
      <c r="BV566" s="1051"/>
      <c r="BW566" s="1052"/>
      <c r="BX566" s="1052"/>
      <c r="BY566" s="1052"/>
      <c r="BZ566" s="1052"/>
      <c r="CA566" s="1052"/>
      <c r="CB566" s="1053"/>
      <c r="CC566" s="1053"/>
      <c r="CD566" s="1053"/>
      <c r="CE566" s="1053"/>
      <c r="CF566" s="1053"/>
      <c r="CG566" s="1053"/>
      <c r="CH566" s="1053"/>
      <c r="CI566" s="1123"/>
      <c r="CJ566" s="1123"/>
      <c r="CK566" s="1123"/>
      <c r="CL566" s="1123"/>
      <c r="CM566" s="1123"/>
      <c r="CN566" s="1123"/>
      <c r="CO566" s="1123"/>
      <c r="CP566" s="1123"/>
      <c r="CQ566" s="1123"/>
      <c r="CR566" s="1123"/>
      <c r="CS566" s="1123"/>
      <c r="CT566" s="1123"/>
      <c r="CU566" s="1123"/>
      <c r="CV566" s="1123"/>
      <c r="CW566" s="1123"/>
      <c r="CX566" s="1123"/>
      <c r="CY566" s="1123"/>
      <c r="CZ566" s="1114"/>
      <c r="DA566" s="1114"/>
      <c r="DB566" s="1114"/>
      <c r="DC566" s="1114"/>
      <c r="DD566" s="1114"/>
      <c r="DE566" s="1114"/>
      <c r="DF566" s="1114"/>
      <c r="DG566" s="1114"/>
      <c r="DH566" s="1114"/>
      <c r="DI566" s="1114"/>
      <c r="DJ566" s="1114"/>
      <c r="DK566" s="1114"/>
      <c r="DL566" s="1114"/>
      <c r="DM566" s="1114"/>
      <c r="DN566" s="1114"/>
      <c r="DO566" s="1114"/>
      <c r="DP566" s="1114"/>
      <c r="DQ566" s="1114"/>
      <c r="DR566" s="1114"/>
      <c r="DS566" s="1114"/>
      <c r="DT566" s="1114"/>
      <c r="DU566" s="1114"/>
      <c r="DV566" s="1115"/>
      <c r="DW566" s="1116"/>
      <c r="DX566" s="1116"/>
      <c r="DY566" s="1116"/>
      <c r="DZ566" s="1116"/>
      <c r="EA566" s="1116"/>
      <c r="EB566" s="1116"/>
      <c r="EC566" s="1116"/>
      <c r="ED566" s="1116"/>
      <c r="EE566" s="1116"/>
      <c r="EF566" s="1116"/>
      <c r="EG566" s="1116"/>
      <c r="EH566" s="1116"/>
      <c r="EI566" s="1116"/>
      <c r="EJ566" s="1116"/>
      <c r="EK566" s="1116"/>
      <c r="EL566" s="1116"/>
      <c r="EM566" s="1116"/>
      <c r="EN566" s="1116"/>
      <c r="EO566" s="1116"/>
      <c r="EP566" s="1116"/>
      <c r="EQ566" s="1116"/>
      <c r="ER566" s="1116"/>
      <c r="ES566" s="1116"/>
    </row>
    <row r="567" spans="1:149" ht="15" customHeight="1">
      <c r="A567" s="1185">
        <v>557</v>
      </c>
      <c r="B567" s="1041"/>
      <c r="C567" s="1050"/>
      <c r="D567" s="1050"/>
      <c r="E567" s="1050"/>
      <c r="F567" s="1049"/>
      <c r="G567" s="1049"/>
      <c r="H567" s="1049"/>
      <c r="I567" s="1049"/>
      <c r="J567" s="1050"/>
      <c r="K567" s="1050"/>
      <c r="L567" s="1043"/>
      <c r="M567" s="1051"/>
      <c r="N567" s="1051"/>
      <c r="O567" s="1052"/>
      <c r="P567" s="1051"/>
      <c r="Q567" s="1051"/>
      <c r="R567" s="1052"/>
      <c r="S567" s="1051"/>
      <c r="T567" s="1051"/>
      <c r="U567" s="1052"/>
      <c r="V567" s="1051"/>
      <c r="W567" s="1051"/>
      <c r="X567" s="1052"/>
      <c r="Y567" s="1053"/>
      <c r="Z567" s="1051"/>
      <c r="AA567" s="1051"/>
      <c r="AB567" s="1052"/>
      <c r="AC567" s="1051"/>
      <c r="AD567" s="1051"/>
      <c r="AE567" s="1052"/>
      <c r="AF567" s="1051"/>
      <c r="AG567" s="1051"/>
      <c r="AH567" s="1051"/>
      <c r="AI567" s="1051"/>
      <c r="AJ567" s="1052"/>
      <c r="AK567" s="1051"/>
      <c r="AL567" s="1051"/>
      <c r="AM567" s="1052"/>
      <c r="AN567" s="1051"/>
      <c r="AO567" s="1051"/>
      <c r="AP567" s="1052"/>
      <c r="AQ567" s="1051"/>
      <c r="AR567" s="1051"/>
      <c r="AS567" s="1052"/>
      <c r="AT567" s="1051"/>
      <c r="AU567" s="1051"/>
      <c r="AV567" s="1052"/>
      <c r="AW567" s="1051"/>
      <c r="AX567" s="1051"/>
      <c r="AY567" s="1053"/>
      <c r="AZ567" s="1051"/>
      <c r="BA567" s="1051"/>
      <c r="BB567" s="1053"/>
      <c r="BC567" s="1051"/>
      <c r="BD567" s="1051"/>
      <c r="BE567" s="1053"/>
      <c r="BF567" s="1051"/>
      <c r="BG567" s="1051"/>
      <c r="BH567" s="1053"/>
      <c r="BI567" s="1052"/>
      <c r="BJ567" s="1052"/>
      <c r="BK567" s="1052"/>
      <c r="BL567" s="1052"/>
      <c r="BM567" s="1052"/>
      <c r="BN567" s="1054"/>
      <c r="BO567" s="1076">
        <f t="shared" si="10"/>
        <v>0</v>
      </c>
      <c r="BP567" s="1051"/>
      <c r="BQ567" s="1052"/>
      <c r="BR567" s="1054"/>
      <c r="BS567" s="1053"/>
      <c r="BT567" s="1051"/>
      <c r="BU567" s="1051"/>
      <c r="BV567" s="1051"/>
      <c r="BW567" s="1052"/>
      <c r="BX567" s="1052"/>
      <c r="BY567" s="1052"/>
      <c r="BZ567" s="1052"/>
      <c r="CA567" s="1052"/>
      <c r="CB567" s="1053"/>
      <c r="CC567" s="1053"/>
      <c r="CD567" s="1053"/>
      <c r="CE567" s="1053"/>
      <c r="CF567" s="1053"/>
      <c r="CG567" s="1053"/>
      <c r="CH567" s="1053"/>
      <c r="CI567" s="1123"/>
      <c r="CJ567" s="1123"/>
      <c r="CK567" s="1123"/>
      <c r="CL567" s="1123"/>
      <c r="CM567" s="1123"/>
      <c r="CN567" s="1123"/>
      <c r="CO567" s="1123"/>
      <c r="CP567" s="1123"/>
      <c r="CQ567" s="1123"/>
      <c r="CR567" s="1123"/>
      <c r="CS567" s="1123"/>
      <c r="CT567" s="1123"/>
      <c r="CU567" s="1123"/>
      <c r="CV567" s="1123"/>
      <c r="CW567" s="1123"/>
      <c r="CX567" s="1123"/>
      <c r="CY567" s="1123"/>
      <c r="CZ567" s="1114"/>
      <c r="DA567" s="1114"/>
      <c r="DB567" s="1114"/>
      <c r="DC567" s="1114"/>
      <c r="DD567" s="1114"/>
      <c r="DE567" s="1114"/>
      <c r="DF567" s="1114"/>
      <c r="DG567" s="1114"/>
      <c r="DH567" s="1114"/>
      <c r="DI567" s="1114"/>
      <c r="DJ567" s="1114"/>
      <c r="DK567" s="1114"/>
      <c r="DL567" s="1114"/>
      <c r="DM567" s="1114"/>
      <c r="DN567" s="1114"/>
      <c r="DO567" s="1114"/>
      <c r="DP567" s="1114"/>
      <c r="DQ567" s="1114"/>
      <c r="DR567" s="1114"/>
      <c r="DS567" s="1114"/>
      <c r="DT567" s="1114"/>
      <c r="DU567" s="1114"/>
      <c r="DV567" s="1115"/>
      <c r="DW567" s="1116"/>
      <c r="DX567" s="1116"/>
      <c r="DY567" s="1116"/>
      <c r="DZ567" s="1116"/>
      <c r="EA567" s="1116"/>
      <c r="EB567" s="1116"/>
      <c r="EC567" s="1116"/>
      <c r="ED567" s="1116"/>
      <c r="EE567" s="1116"/>
      <c r="EF567" s="1116"/>
      <c r="EG567" s="1116"/>
      <c r="EH567" s="1116"/>
      <c r="EI567" s="1116"/>
      <c r="EJ567" s="1116"/>
      <c r="EK567" s="1116"/>
      <c r="EL567" s="1116"/>
      <c r="EM567" s="1116"/>
      <c r="EN567" s="1116"/>
      <c r="EO567" s="1116"/>
      <c r="EP567" s="1116"/>
      <c r="EQ567" s="1116"/>
      <c r="ER567" s="1116"/>
      <c r="ES567" s="1116"/>
    </row>
    <row r="568" spans="1:149" ht="15" customHeight="1">
      <c r="A568" s="1185">
        <v>558</v>
      </c>
      <c r="B568" s="1041"/>
      <c r="C568" s="1050"/>
      <c r="D568" s="1050"/>
      <c r="E568" s="1050"/>
      <c r="F568" s="1049"/>
      <c r="G568" s="1049"/>
      <c r="H568" s="1049"/>
      <c r="I568" s="1049"/>
      <c r="J568" s="1050"/>
      <c r="K568" s="1050"/>
      <c r="L568" s="1043"/>
      <c r="M568" s="1051"/>
      <c r="N568" s="1051"/>
      <c r="O568" s="1052"/>
      <c r="P568" s="1051"/>
      <c r="Q568" s="1051"/>
      <c r="R568" s="1052"/>
      <c r="S568" s="1051"/>
      <c r="T568" s="1051"/>
      <c r="U568" s="1052"/>
      <c r="V568" s="1051"/>
      <c r="W568" s="1051"/>
      <c r="X568" s="1052"/>
      <c r="Y568" s="1053"/>
      <c r="Z568" s="1051"/>
      <c r="AA568" s="1051"/>
      <c r="AB568" s="1052"/>
      <c r="AC568" s="1051"/>
      <c r="AD568" s="1051"/>
      <c r="AE568" s="1052"/>
      <c r="AF568" s="1051"/>
      <c r="AG568" s="1051"/>
      <c r="AH568" s="1051"/>
      <c r="AI568" s="1051"/>
      <c r="AJ568" s="1052"/>
      <c r="AK568" s="1051"/>
      <c r="AL568" s="1051"/>
      <c r="AM568" s="1052"/>
      <c r="AN568" s="1051"/>
      <c r="AO568" s="1051"/>
      <c r="AP568" s="1052"/>
      <c r="AQ568" s="1051"/>
      <c r="AR568" s="1051"/>
      <c r="AS568" s="1052"/>
      <c r="AT568" s="1051"/>
      <c r="AU568" s="1051"/>
      <c r="AV568" s="1052"/>
      <c r="AW568" s="1051"/>
      <c r="AX568" s="1051"/>
      <c r="AY568" s="1053"/>
      <c r="AZ568" s="1051"/>
      <c r="BA568" s="1051"/>
      <c r="BB568" s="1053"/>
      <c r="BC568" s="1051"/>
      <c r="BD568" s="1051"/>
      <c r="BE568" s="1053"/>
      <c r="BF568" s="1051"/>
      <c r="BG568" s="1051"/>
      <c r="BH568" s="1053"/>
      <c r="BI568" s="1052"/>
      <c r="BJ568" s="1052"/>
      <c r="BK568" s="1052"/>
      <c r="BL568" s="1052"/>
      <c r="BM568" s="1052"/>
      <c r="BN568" s="1054"/>
      <c r="BO568" s="1076">
        <f t="shared" si="10"/>
        <v>0</v>
      </c>
      <c r="BP568" s="1051"/>
      <c r="BQ568" s="1052"/>
      <c r="BR568" s="1054"/>
      <c r="BS568" s="1053"/>
      <c r="BT568" s="1051"/>
      <c r="BU568" s="1051"/>
      <c r="BV568" s="1051"/>
      <c r="BW568" s="1052"/>
      <c r="BX568" s="1052"/>
      <c r="BY568" s="1052"/>
      <c r="BZ568" s="1052"/>
      <c r="CA568" s="1052"/>
      <c r="CB568" s="1053"/>
      <c r="CC568" s="1053"/>
      <c r="CD568" s="1053"/>
      <c r="CE568" s="1053"/>
      <c r="CF568" s="1053"/>
      <c r="CG568" s="1053"/>
      <c r="CH568" s="1053"/>
      <c r="CI568" s="1123"/>
      <c r="CJ568" s="1123"/>
      <c r="CK568" s="1123"/>
      <c r="CL568" s="1123"/>
      <c r="CM568" s="1123"/>
      <c r="CN568" s="1123"/>
      <c r="CO568" s="1123"/>
      <c r="CP568" s="1123"/>
      <c r="CQ568" s="1123"/>
      <c r="CR568" s="1123"/>
      <c r="CS568" s="1123"/>
      <c r="CT568" s="1123"/>
      <c r="CU568" s="1123"/>
      <c r="CV568" s="1123"/>
      <c r="CW568" s="1123"/>
      <c r="CX568" s="1123"/>
      <c r="CY568" s="1123"/>
      <c r="CZ568" s="1114"/>
      <c r="DA568" s="1114"/>
      <c r="DB568" s="1114"/>
      <c r="DC568" s="1114"/>
      <c r="DD568" s="1114"/>
      <c r="DE568" s="1114"/>
      <c r="DF568" s="1114"/>
      <c r="DG568" s="1114"/>
      <c r="DH568" s="1114"/>
      <c r="DI568" s="1114"/>
      <c r="DJ568" s="1114"/>
      <c r="DK568" s="1114"/>
      <c r="DL568" s="1114"/>
      <c r="DM568" s="1114"/>
      <c r="DN568" s="1114"/>
      <c r="DO568" s="1114"/>
      <c r="DP568" s="1114"/>
      <c r="DQ568" s="1114"/>
      <c r="DR568" s="1114"/>
      <c r="DS568" s="1114"/>
      <c r="DT568" s="1114"/>
      <c r="DU568" s="1114"/>
      <c r="DV568" s="1115"/>
      <c r="DW568" s="1116"/>
      <c r="DX568" s="1116"/>
      <c r="DY568" s="1116"/>
      <c r="DZ568" s="1116"/>
      <c r="EA568" s="1116"/>
      <c r="EB568" s="1116"/>
      <c r="EC568" s="1116"/>
      <c r="ED568" s="1116"/>
      <c r="EE568" s="1116"/>
      <c r="EF568" s="1116"/>
      <c r="EG568" s="1116"/>
      <c r="EH568" s="1116"/>
      <c r="EI568" s="1116"/>
      <c r="EJ568" s="1116"/>
      <c r="EK568" s="1116"/>
      <c r="EL568" s="1116"/>
      <c r="EM568" s="1116"/>
      <c r="EN568" s="1116"/>
      <c r="EO568" s="1116"/>
      <c r="EP568" s="1116"/>
      <c r="EQ568" s="1116"/>
      <c r="ER568" s="1116"/>
      <c r="ES568" s="1116"/>
    </row>
    <row r="569" spans="1:149" ht="15" customHeight="1">
      <c r="A569" s="1185">
        <v>559</v>
      </c>
      <c r="B569" s="1041"/>
      <c r="C569" s="1050"/>
      <c r="D569" s="1050"/>
      <c r="E569" s="1050"/>
      <c r="F569" s="1049"/>
      <c r="G569" s="1049"/>
      <c r="H569" s="1049"/>
      <c r="I569" s="1049"/>
      <c r="J569" s="1050"/>
      <c r="K569" s="1050"/>
      <c r="L569" s="1043"/>
      <c r="M569" s="1051"/>
      <c r="N569" s="1051"/>
      <c r="O569" s="1052"/>
      <c r="P569" s="1051"/>
      <c r="Q569" s="1051"/>
      <c r="R569" s="1052"/>
      <c r="S569" s="1051"/>
      <c r="T569" s="1051"/>
      <c r="U569" s="1052"/>
      <c r="V569" s="1051"/>
      <c r="W569" s="1051"/>
      <c r="X569" s="1052"/>
      <c r="Y569" s="1053"/>
      <c r="Z569" s="1051"/>
      <c r="AA569" s="1051"/>
      <c r="AB569" s="1052"/>
      <c r="AC569" s="1051"/>
      <c r="AD569" s="1051"/>
      <c r="AE569" s="1052"/>
      <c r="AF569" s="1051"/>
      <c r="AG569" s="1051"/>
      <c r="AH569" s="1051"/>
      <c r="AI569" s="1051"/>
      <c r="AJ569" s="1052"/>
      <c r="AK569" s="1051"/>
      <c r="AL569" s="1051"/>
      <c r="AM569" s="1052"/>
      <c r="AN569" s="1051"/>
      <c r="AO569" s="1051"/>
      <c r="AP569" s="1052"/>
      <c r="AQ569" s="1051"/>
      <c r="AR569" s="1051"/>
      <c r="AS569" s="1052"/>
      <c r="AT569" s="1051"/>
      <c r="AU569" s="1051"/>
      <c r="AV569" s="1052"/>
      <c r="AW569" s="1051"/>
      <c r="AX569" s="1051"/>
      <c r="AY569" s="1053"/>
      <c r="AZ569" s="1051"/>
      <c r="BA569" s="1051"/>
      <c r="BB569" s="1053"/>
      <c r="BC569" s="1051"/>
      <c r="BD569" s="1051"/>
      <c r="BE569" s="1053"/>
      <c r="BF569" s="1051"/>
      <c r="BG569" s="1051"/>
      <c r="BH569" s="1053"/>
      <c r="BI569" s="1052"/>
      <c r="BJ569" s="1052"/>
      <c r="BK569" s="1052"/>
      <c r="BL569" s="1052"/>
      <c r="BM569" s="1052"/>
      <c r="BN569" s="1054"/>
      <c r="BO569" s="1076">
        <f t="shared" si="10"/>
        <v>0</v>
      </c>
      <c r="BP569" s="1051"/>
      <c r="BQ569" s="1052"/>
      <c r="BR569" s="1054"/>
      <c r="BS569" s="1053"/>
      <c r="BT569" s="1051"/>
      <c r="BU569" s="1051"/>
      <c r="BV569" s="1051"/>
      <c r="BW569" s="1052"/>
      <c r="BX569" s="1052"/>
      <c r="BY569" s="1052"/>
      <c r="BZ569" s="1052"/>
      <c r="CA569" s="1052"/>
      <c r="CB569" s="1053"/>
      <c r="CC569" s="1053"/>
      <c r="CD569" s="1053"/>
      <c r="CE569" s="1053"/>
      <c r="CF569" s="1053"/>
      <c r="CG569" s="1053"/>
      <c r="CH569" s="1053"/>
      <c r="CI569" s="1123"/>
      <c r="CJ569" s="1123"/>
      <c r="CK569" s="1123"/>
      <c r="CL569" s="1123"/>
      <c r="CM569" s="1123"/>
      <c r="CN569" s="1123"/>
      <c r="CO569" s="1123"/>
      <c r="CP569" s="1123"/>
      <c r="CQ569" s="1123"/>
      <c r="CR569" s="1123"/>
      <c r="CS569" s="1123"/>
      <c r="CT569" s="1123"/>
      <c r="CU569" s="1123"/>
      <c r="CV569" s="1123"/>
      <c r="CW569" s="1123"/>
      <c r="CX569" s="1123"/>
      <c r="CY569" s="1123"/>
      <c r="CZ569" s="1114"/>
      <c r="DA569" s="1114"/>
      <c r="DB569" s="1114"/>
      <c r="DC569" s="1114"/>
      <c r="DD569" s="1114"/>
      <c r="DE569" s="1114"/>
      <c r="DF569" s="1114"/>
      <c r="DG569" s="1114"/>
      <c r="DH569" s="1114"/>
      <c r="DI569" s="1114"/>
      <c r="DJ569" s="1114"/>
      <c r="DK569" s="1114"/>
      <c r="DL569" s="1114"/>
      <c r="DM569" s="1114"/>
      <c r="DN569" s="1114"/>
      <c r="DO569" s="1114"/>
      <c r="DP569" s="1114"/>
      <c r="DQ569" s="1114"/>
      <c r="DR569" s="1114"/>
      <c r="DS569" s="1114"/>
      <c r="DT569" s="1114"/>
      <c r="DU569" s="1114"/>
      <c r="DV569" s="1115"/>
      <c r="DW569" s="1116"/>
      <c r="DX569" s="1116"/>
      <c r="DY569" s="1116"/>
      <c r="DZ569" s="1116"/>
      <c r="EA569" s="1116"/>
      <c r="EB569" s="1116"/>
      <c r="EC569" s="1116"/>
      <c r="ED569" s="1116"/>
      <c r="EE569" s="1116"/>
      <c r="EF569" s="1116"/>
      <c r="EG569" s="1116"/>
      <c r="EH569" s="1116"/>
      <c r="EI569" s="1116"/>
      <c r="EJ569" s="1116"/>
      <c r="EK569" s="1116"/>
      <c r="EL569" s="1116"/>
      <c r="EM569" s="1116"/>
      <c r="EN569" s="1116"/>
      <c r="EO569" s="1116"/>
      <c r="EP569" s="1116"/>
      <c r="EQ569" s="1116"/>
      <c r="ER569" s="1116"/>
      <c r="ES569" s="1116"/>
    </row>
    <row r="570" spans="1:149" ht="15" customHeight="1">
      <c r="A570" s="1185">
        <v>560</v>
      </c>
      <c r="B570" s="1041"/>
      <c r="C570" s="1050"/>
      <c r="D570" s="1050"/>
      <c r="E570" s="1050"/>
      <c r="F570" s="1049"/>
      <c r="G570" s="1049"/>
      <c r="H570" s="1049"/>
      <c r="I570" s="1049"/>
      <c r="J570" s="1050"/>
      <c r="K570" s="1050"/>
      <c r="L570" s="1043"/>
      <c r="M570" s="1051"/>
      <c r="N570" s="1051"/>
      <c r="O570" s="1052"/>
      <c r="P570" s="1051"/>
      <c r="Q570" s="1051"/>
      <c r="R570" s="1052"/>
      <c r="S570" s="1051"/>
      <c r="T570" s="1051"/>
      <c r="U570" s="1052"/>
      <c r="V570" s="1051"/>
      <c r="W570" s="1051"/>
      <c r="X570" s="1052"/>
      <c r="Y570" s="1053"/>
      <c r="Z570" s="1051"/>
      <c r="AA570" s="1051"/>
      <c r="AB570" s="1052"/>
      <c r="AC570" s="1051"/>
      <c r="AD570" s="1051"/>
      <c r="AE570" s="1052"/>
      <c r="AF570" s="1051"/>
      <c r="AG570" s="1051"/>
      <c r="AH570" s="1051"/>
      <c r="AI570" s="1051"/>
      <c r="AJ570" s="1052"/>
      <c r="AK570" s="1051"/>
      <c r="AL570" s="1051"/>
      <c r="AM570" s="1052"/>
      <c r="AN570" s="1051"/>
      <c r="AO570" s="1051"/>
      <c r="AP570" s="1052"/>
      <c r="AQ570" s="1051"/>
      <c r="AR570" s="1051"/>
      <c r="AS570" s="1052"/>
      <c r="AT570" s="1051"/>
      <c r="AU570" s="1051"/>
      <c r="AV570" s="1052"/>
      <c r="AW570" s="1051"/>
      <c r="AX570" s="1051"/>
      <c r="AY570" s="1053"/>
      <c r="AZ570" s="1051"/>
      <c r="BA570" s="1051"/>
      <c r="BB570" s="1053"/>
      <c r="BC570" s="1051"/>
      <c r="BD570" s="1051"/>
      <c r="BE570" s="1053"/>
      <c r="BF570" s="1051"/>
      <c r="BG570" s="1051"/>
      <c r="BH570" s="1053"/>
      <c r="BI570" s="1052"/>
      <c r="BJ570" s="1052"/>
      <c r="BK570" s="1052"/>
      <c r="BL570" s="1052"/>
      <c r="BM570" s="1052"/>
      <c r="BN570" s="1054"/>
      <c r="BO570" s="1076">
        <f t="shared" si="10"/>
        <v>0</v>
      </c>
      <c r="BP570" s="1051"/>
      <c r="BQ570" s="1052"/>
      <c r="BR570" s="1054"/>
      <c r="BS570" s="1053"/>
      <c r="BT570" s="1051"/>
      <c r="BU570" s="1051"/>
      <c r="BV570" s="1051"/>
      <c r="BW570" s="1052"/>
      <c r="BX570" s="1052"/>
      <c r="BY570" s="1052"/>
      <c r="BZ570" s="1052"/>
      <c r="CA570" s="1052"/>
      <c r="CB570" s="1053"/>
      <c r="CC570" s="1053"/>
      <c r="CD570" s="1053"/>
      <c r="CE570" s="1053"/>
      <c r="CF570" s="1053"/>
      <c r="CG570" s="1053"/>
      <c r="CH570" s="1053"/>
      <c r="CI570" s="1123"/>
      <c r="CJ570" s="1123"/>
      <c r="CK570" s="1123"/>
      <c r="CL570" s="1123"/>
      <c r="CM570" s="1123"/>
      <c r="CN570" s="1123"/>
      <c r="CO570" s="1123"/>
      <c r="CP570" s="1123"/>
      <c r="CQ570" s="1123"/>
      <c r="CR570" s="1123"/>
      <c r="CS570" s="1123"/>
      <c r="CT570" s="1123"/>
      <c r="CU570" s="1123"/>
      <c r="CV570" s="1123"/>
      <c r="CW570" s="1123"/>
      <c r="CX570" s="1123"/>
      <c r="CY570" s="1123"/>
      <c r="CZ570" s="1114"/>
      <c r="DA570" s="1114"/>
      <c r="DB570" s="1114"/>
      <c r="DC570" s="1114"/>
      <c r="DD570" s="1114"/>
      <c r="DE570" s="1114"/>
      <c r="DF570" s="1114"/>
      <c r="DG570" s="1114"/>
      <c r="DH570" s="1114"/>
      <c r="DI570" s="1114"/>
      <c r="DJ570" s="1114"/>
      <c r="DK570" s="1114"/>
      <c r="DL570" s="1114"/>
      <c r="DM570" s="1114"/>
      <c r="DN570" s="1114"/>
      <c r="DO570" s="1114"/>
      <c r="DP570" s="1114"/>
      <c r="DQ570" s="1114"/>
      <c r="DR570" s="1114"/>
      <c r="DS570" s="1114"/>
      <c r="DT570" s="1114"/>
      <c r="DU570" s="1114"/>
      <c r="DV570" s="1115"/>
      <c r="DW570" s="1116"/>
      <c r="DX570" s="1116"/>
      <c r="DY570" s="1116"/>
      <c r="DZ570" s="1116"/>
      <c r="EA570" s="1116"/>
      <c r="EB570" s="1116"/>
      <c r="EC570" s="1116"/>
      <c r="ED570" s="1116"/>
      <c r="EE570" s="1116"/>
      <c r="EF570" s="1116"/>
      <c r="EG570" s="1116"/>
      <c r="EH570" s="1116"/>
      <c r="EI570" s="1116"/>
      <c r="EJ570" s="1116"/>
      <c r="EK570" s="1116"/>
      <c r="EL570" s="1116"/>
      <c r="EM570" s="1116"/>
      <c r="EN570" s="1116"/>
      <c r="EO570" s="1116"/>
      <c r="EP570" s="1116"/>
      <c r="EQ570" s="1116"/>
      <c r="ER570" s="1116"/>
      <c r="ES570" s="1116"/>
    </row>
    <row r="571" spans="1:149" ht="15" customHeight="1">
      <c r="A571" s="1185">
        <v>561</v>
      </c>
      <c r="B571" s="1041"/>
      <c r="C571" s="1050"/>
      <c r="D571" s="1050"/>
      <c r="E571" s="1050"/>
      <c r="F571" s="1049"/>
      <c r="G571" s="1049"/>
      <c r="H571" s="1049"/>
      <c r="I571" s="1049"/>
      <c r="J571" s="1050"/>
      <c r="K571" s="1050"/>
      <c r="L571" s="1043"/>
      <c r="M571" s="1051"/>
      <c r="N571" s="1051"/>
      <c r="O571" s="1052"/>
      <c r="P571" s="1051"/>
      <c r="Q571" s="1051"/>
      <c r="R571" s="1052"/>
      <c r="S571" s="1051"/>
      <c r="T571" s="1051"/>
      <c r="U571" s="1052"/>
      <c r="V571" s="1051"/>
      <c r="W571" s="1051"/>
      <c r="X571" s="1052"/>
      <c r="Y571" s="1053"/>
      <c r="Z571" s="1051"/>
      <c r="AA571" s="1051"/>
      <c r="AB571" s="1052"/>
      <c r="AC571" s="1051"/>
      <c r="AD571" s="1051"/>
      <c r="AE571" s="1052"/>
      <c r="AF571" s="1051"/>
      <c r="AG571" s="1051"/>
      <c r="AH571" s="1051"/>
      <c r="AI571" s="1051"/>
      <c r="AJ571" s="1052"/>
      <c r="AK571" s="1051"/>
      <c r="AL571" s="1051"/>
      <c r="AM571" s="1052"/>
      <c r="AN571" s="1051"/>
      <c r="AO571" s="1051"/>
      <c r="AP571" s="1052"/>
      <c r="AQ571" s="1051"/>
      <c r="AR571" s="1051"/>
      <c r="AS571" s="1052"/>
      <c r="AT571" s="1051"/>
      <c r="AU571" s="1051"/>
      <c r="AV571" s="1052"/>
      <c r="AW571" s="1051"/>
      <c r="AX571" s="1051"/>
      <c r="AY571" s="1053"/>
      <c r="AZ571" s="1051"/>
      <c r="BA571" s="1051"/>
      <c r="BB571" s="1053"/>
      <c r="BC571" s="1051"/>
      <c r="BD571" s="1051"/>
      <c r="BE571" s="1053"/>
      <c r="BF571" s="1051"/>
      <c r="BG571" s="1051"/>
      <c r="BH571" s="1053"/>
      <c r="BI571" s="1052"/>
      <c r="BJ571" s="1052"/>
      <c r="BK571" s="1052"/>
      <c r="BL571" s="1052"/>
      <c r="BM571" s="1052"/>
      <c r="BN571" s="1054"/>
      <c r="BO571" s="1076">
        <f t="shared" si="10"/>
        <v>0</v>
      </c>
      <c r="BP571" s="1051"/>
      <c r="BQ571" s="1052"/>
      <c r="BR571" s="1054"/>
      <c r="BS571" s="1053"/>
      <c r="BT571" s="1051"/>
      <c r="BU571" s="1051"/>
      <c r="BV571" s="1051"/>
      <c r="BW571" s="1052"/>
      <c r="BX571" s="1052"/>
      <c r="BY571" s="1052"/>
      <c r="BZ571" s="1052"/>
      <c r="CA571" s="1052"/>
      <c r="CB571" s="1053"/>
      <c r="CC571" s="1053"/>
      <c r="CD571" s="1053"/>
      <c r="CE571" s="1053"/>
      <c r="CF571" s="1053"/>
      <c r="CG571" s="1053"/>
      <c r="CH571" s="1053"/>
      <c r="CI571" s="1123"/>
      <c r="CJ571" s="1123"/>
      <c r="CK571" s="1123"/>
      <c r="CL571" s="1123"/>
      <c r="CM571" s="1123"/>
      <c r="CN571" s="1123"/>
      <c r="CO571" s="1123"/>
      <c r="CP571" s="1123"/>
      <c r="CQ571" s="1123"/>
      <c r="CR571" s="1123"/>
      <c r="CS571" s="1123"/>
      <c r="CT571" s="1123"/>
      <c r="CU571" s="1123"/>
      <c r="CV571" s="1123"/>
      <c r="CW571" s="1123"/>
      <c r="CX571" s="1123"/>
      <c r="CY571" s="1123"/>
      <c r="CZ571" s="1114"/>
      <c r="DA571" s="1114"/>
      <c r="DB571" s="1114"/>
      <c r="DC571" s="1114"/>
      <c r="DD571" s="1114"/>
      <c r="DE571" s="1114"/>
      <c r="DF571" s="1114"/>
      <c r="DG571" s="1114"/>
      <c r="DH571" s="1114"/>
      <c r="DI571" s="1114"/>
      <c r="DJ571" s="1114"/>
      <c r="DK571" s="1114"/>
      <c r="DL571" s="1114"/>
      <c r="DM571" s="1114"/>
      <c r="DN571" s="1114"/>
      <c r="DO571" s="1114"/>
      <c r="DP571" s="1114"/>
      <c r="DQ571" s="1114"/>
      <c r="DR571" s="1114"/>
      <c r="DS571" s="1114"/>
      <c r="DT571" s="1114"/>
      <c r="DU571" s="1114"/>
      <c r="DV571" s="1115"/>
      <c r="DW571" s="1116"/>
      <c r="DX571" s="1116"/>
      <c r="DY571" s="1116"/>
      <c r="DZ571" s="1116"/>
      <c r="EA571" s="1116"/>
      <c r="EB571" s="1116"/>
      <c r="EC571" s="1116"/>
      <c r="ED571" s="1116"/>
      <c r="EE571" s="1116"/>
      <c r="EF571" s="1116"/>
      <c r="EG571" s="1116"/>
      <c r="EH571" s="1116"/>
      <c r="EI571" s="1116"/>
      <c r="EJ571" s="1116"/>
      <c r="EK571" s="1116"/>
      <c r="EL571" s="1116"/>
      <c r="EM571" s="1116"/>
      <c r="EN571" s="1116"/>
      <c r="EO571" s="1116"/>
      <c r="EP571" s="1116"/>
      <c r="EQ571" s="1116"/>
      <c r="ER571" s="1116"/>
      <c r="ES571" s="1116"/>
    </row>
    <row r="572" spans="1:149" ht="15" customHeight="1">
      <c r="A572" s="1185">
        <v>562</v>
      </c>
      <c r="B572" s="1041"/>
      <c r="C572" s="1050"/>
      <c r="D572" s="1050"/>
      <c r="E572" s="1050"/>
      <c r="F572" s="1049"/>
      <c r="G572" s="1049"/>
      <c r="H572" s="1049"/>
      <c r="I572" s="1049"/>
      <c r="J572" s="1050"/>
      <c r="K572" s="1050"/>
      <c r="L572" s="1043"/>
      <c r="M572" s="1051"/>
      <c r="N572" s="1051"/>
      <c r="O572" s="1052"/>
      <c r="P572" s="1051"/>
      <c r="Q572" s="1051"/>
      <c r="R572" s="1052"/>
      <c r="S572" s="1051"/>
      <c r="T572" s="1051"/>
      <c r="U572" s="1052"/>
      <c r="V572" s="1051"/>
      <c r="W572" s="1051"/>
      <c r="X572" s="1052"/>
      <c r="Y572" s="1053"/>
      <c r="Z572" s="1051"/>
      <c r="AA572" s="1051"/>
      <c r="AB572" s="1052"/>
      <c r="AC572" s="1051"/>
      <c r="AD572" s="1051"/>
      <c r="AE572" s="1052"/>
      <c r="AF572" s="1051"/>
      <c r="AG572" s="1051"/>
      <c r="AH572" s="1051"/>
      <c r="AI572" s="1051"/>
      <c r="AJ572" s="1052"/>
      <c r="AK572" s="1051"/>
      <c r="AL572" s="1051"/>
      <c r="AM572" s="1052"/>
      <c r="AN572" s="1051"/>
      <c r="AO572" s="1051"/>
      <c r="AP572" s="1052"/>
      <c r="AQ572" s="1051"/>
      <c r="AR572" s="1051"/>
      <c r="AS572" s="1052"/>
      <c r="AT572" s="1051"/>
      <c r="AU572" s="1051"/>
      <c r="AV572" s="1052"/>
      <c r="AW572" s="1051"/>
      <c r="AX572" s="1051"/>
      <c r="AY572" s="1053"/>
      <c r="AZ572" s="1051"/>
      <c r="BA572" s="1051"/>
      <c r="BB572" s="1053"/>
      <c r="BC572" s="1051"/>
      <c r="BD572" s="1051"/>
      <c r="BE572" s="1053"/>
      <c r="BF572" s="1051"/>
      <c r="BG572" s="1051"/>
      <c r="BH572" s="1053"/>
      <c r="BI572" s="1052"/>
      <c r="BJ572" s="1052"/>
      <c r="BK572" s="1052"/>
      <c r="BL572" s="1052"/>
      <c r="BM572" s="1052"/>
      <c r="BN572" s="1054"/>
      <c r="BO572" s="1076">
        <f t="shared" si="10"/>
        <v>0</v>
      </c>
      <c r="BP572" s="1051"/>
      <c r="BQ572" s="1052"/>
      <c r="BR572" s="1054"/>
      <c r="BS572" s="1053"/>
      <c r="BT572" s="1051"/>
      <c r="BU572" s="1051"/>
      <c r="BV572" s="1051"/>
      <c r="BW572" s="1052"/>
      <c r="BX572" s="1052"/>
      <c r="BY572" s="1052"/>
      <c r="BZ572" s="1052"/>
      <c r="CA572" s="1052"/>
      <c r="CB572" s="1053"/>
      <c r="CC572" s="1053"/>
      <c r="CD572" s="1053"/>
      <c r="CE572" s="1053"/>
      <c r="CF572" s="1053"/>
      <c r="CG572" s="1053"/>
      <c r="CH572" s="1053"/>
      <c r="CI572" s="1123"/>
      <c r="CJ572" s="1123"/>
      <c r="CK572" s="1123"/>
      <c r="CL572" s="1123"/>
      <c r="CM572" s="1123"/>
      <c r="CN572" s="1123"/>
      <c r="CO572" s="1123"/>
      <c r="CP572" s="1123"/>
      <c r="CQ572" s="1123"/>
      <c r="CR572" s="1123"/>
      <c r="CS572" s="1123"/>
      <c r="CT572" s="1123"/>
      <c r="CU572" s="1123"/>
      <c r="CV572" s="1123"/>
      <c r="CW572" s="1123"/>
      <c r="CX572" s="1123"/>
      <c r="CY572" s="1123"/>
      <c r="CZ572" s="1114"/>
      <c r="DA572" s="1114"/>
      <c r="DB572" s="1114"/>
      <c r="DC572" s="1114"/>
      <c r="DD572" s="1114"/>
      <c r="DE572" s="1114"/>
      <c r="DF572" s="1114"/>
      <c r="DG572" s="1114"/>
      <c r="DH572" s="1114"/>
      <c r="DI572" s="1114"/>
      <c r="DJ572" s="1114"/>
      <c r="DK572" s="1114"/>
      <c r="DL572" s="1114"/>
      <c r="DM572" s="1114"/>
      <c r="DN572" s="1114"/>
      <c r="DO572" s="1114"/>
      <c r="DP572" s="1114"/>
      <c r="DQ572" s="1114"/>
      <c r="DR572" s="1114"/>
      <c r="DS572" s="1114"/>
      <c r="DT572" s="1114"/>
      <c r="DU572" s="1114"/>
      <c r="DV572" s="1115"/>
      <c r="DW572" s="1116"/>
      <c r="DX572" s="1116"/>
      <c r="DY572" s="1116"/>
      <c r="DZ572" s="1116"/>
      <c r="EA572" s="1116"/>
      <c r="EB572" s="1116"/>
      <c r="EC572" s="1116"/>
      <c r="ED572" s="1116"/>
      <c r="EE572" s="1116"/>
      <c r="EF572" s="1116"/>
      <c r="EG572" s="1116"/>
      <c r="EH572" s="1116"/>
      <c r="EI572" s="1116"/>
      <c r="EJ572" s="1116"/>
      <c r="EK572" s="1116"/>
      <c r="EL572" s="1116"/>
      <c r="EM572" s="1116"/>
      <c r="EN572" s="1116"/>
      <c r="EO572" s="1116"/>
      <c r="EP572" s="1116"/>
      <c r="EQ572" s="1116"/>
      <c r="ER572" s="1116"/>
      <c r="ES572" s="1116"/>
    </row>
    <row r="573" spans="1:149" ht="15" customHeight="1">
      <c r="A573" s="1185">
        <v>563</v>
      </c>
      <c r="B573" s="1041"/>
      <c r="C573" s="1050"/>
      <c r="D573" s="1050"/>
      <c r="E573" s="1050"/>
      <c r="F573" s="1049"/>
      <c r="G573" s="1049"/>
      <c r="H573" s="1049"/>
      <c r="I573" s="1049"/>
      <c r="J573" s="1050"/>
      <c r="K573" s="1050"/>
      <c r="L573" s="1043"/>
      <c r="M573" s="1051"/>
      <c r="N573" s="1051"/>
      <c r="O573" s="1052"/>
      <c r="P573" s="1051"/>
      <c r="Q573" s="1051"/>
      <c r="R573" s="1052"/>
      <c r="S573" s="1051"/>
      <c r="T573" s="1051"/>
      <c r="U573" s="1052"/>
      <c r="V573" s="1051"/>
      <c r="W573" s="1051"/>
      <c r="X573" s="1052"/>
      <c r="Y573" s="1053"/>
      <c r="Z573" s="1051"/>
      <c r="AA573" s="1051"/>
      <c r="AB573" s="1052"/>
      <c r="AC573" s="1051"/>
      <c r="AD573" s="1051"/>
      <c r="AE573" s="1052"/>
      <c r="AF573" s="1051"/>
      <c r="AG573" s="1051"/>
      <c r="AH573" s="1051"/>
      <c r="AI573" s="1051"/>
      <c r="AJ573" s="1052"/>
      <c r="AK573" s="1051"/>
      <c r="AL573" s="1051"/>
      <c r="AM573" s="1052"/>
      <c r="AN573" s="1051"/>
      <c r="AO573" s="1051"/>
      <c r="AP573" s="1052"/>
      <c r="AQ573" s="1051"/>
      <c r="AR573" s="1051"/>
      <c r="AS573" s="1052"/>
      <c r="AT573" s="1051"/>
      <c r="AU573" s="1051"/>
      <c r="AV573" s="1052"/>
      <c r="AW573" s="1051"/>
      <c r="AX573" s="1051"/>
      <c r="AY573" s="1053"/>
      <c r="AZ573" s="1051"/>
      <c r="BA573" s="1051"/>
      <c r="BB573" s="1053"/>
      <c r="BC573" s="1051"/>
      <c r="BD573" s="1051"/>
      <c r="BE573" s="1053"/>
      <c r="BF573" s="1051"/>
      <c r="BG573" s="1051"/>
      <c r="BH573" s="1053"/>
      <c r="BI573" s="1052"/>
      <c r="BJ573" s="1052"/>
      <c r="BK573" s="1052"/>
      <c r="BL573" s="1052"/>
      <c r="BM573" s="1052"/>
      <c r="BN573" s="1054"/>
      <c r="BO573" s="1076">
        <f t="shared" si="10"/>
        <v>0</v>
      </c>
      <c r="BP573" s="1051"/>
      <c r="BQ573" s="1052"/>
      <c r="BR573" s="1054"/>
      <c r="BS573" s="1053"/>
      <c r="BT573" s="1051"/>
      <c r="BU573" s="1051"/>
      <c r="BV573" s="1051"/>
      <c r="BW573" s="1052"/>
      <c r="BX573" s="1052"/>
      <c r="BY573" s="1052"/>
      <c r="BZ573" s="1052"/>
      <c r="CA573" s="1052"/>
      <c r="CB573" s="1053"/>
      <c r="CC573" s="1053"/>
      <c r="CD573" s="1053"/>
      <c r="CE573" s="1053"/>
      <c r="CF573" s="1053"/>
      <c r="CG573" s="1053"/>
      <c r="CH573" s="1053"/>
      <c r="CI573" s="1123"/>
      <c r="CJ573" s="1123"/>
      <c r="CK573" s="1123"/>
      <c r="CL573" s="1123"/>
      <c r="CM573" s="1123"/>
      <c r="CN573" s="1123"/>
      <c r="CO573" s="1123"/>
      <c r="CP573" s="1123"/>
      <c r="CQ573" s="1123"/>
      <c r="CR573" s="1123"/>
      <c r="CS573" s="1123"/>
      <c r="CT573" s="1123"/>
      <c r="CU573" s="1123"/>
      <c r="CV573" s="1123"/>
      <c r="CW573" s="1123"/>
      <c r="CX573" s="1123"/>
      <c r="CY573" s="1123"/>
      <c r="CZ573" s="1114"/>
      <c r="DA573" s="1114"/>
      <c r="DB573" s="1114"/>
      <c r="DC573" s="1114"/>
      <c r="DD573" s="1114"/>
      <c r="DE573" s="1114"/>
      <c r="DF573" s="1114"/>
      <c r="DG573" s="1114"/>
      <c r="DH573" s="1114"/>
      <c r="DI573" s="1114"/>
      <c r="DJ573" s="1114"/>
      <c r="DK573" s="1114"/>
      <c r="DL573" s="1114"/>
      <c r="DM573" s="1114"/>
      <c r="DN573" s="1114"/>
      <c r="DO573" s="1114"/>
      <c r="DP573" s="1114"/>
      <c r="DQ573" s="1114"/>
      <c r="DR573" s="1114"/>
      <c r="DS573" s="1114"/>
      <c r="DT573" s="1114"/>
      <c r="DU573" s="1114"/>
      <c r="DV573" s="1115"/>
      <c r="DW573" s="1116"/>
      <c r="DX573" s="1116"/>
      <c r="DY573" s="1116"/>
      <c r="DZ573" s="1116"/>
      <c r="EA573" s="1116"/>
      <c r="EB573" s="1116"/>
      <c r="EC573" s="1116"/>
      <c r="ED573" s="1116"/>
      <c r="EE573" s="1116"/>
      <c r="EF573" s="1116"/>
      <c r="EG573" s="1116"/>
      <c r="EH573" s="1116"/>
      <c r="EI573" s="1116"/>
      <c r="EJ573" s="1116"/>
      <c r="EK573" s="1116"/>
      <c r="EL573" s="1116"/>
      <c r="EM573" s="1116"/>
      <c r="EN573" s="1116"/>
      <c r="EO573" s="1116"/>
      <c r="EP573" s="1116"/>
      <c r="EQ573" s="1116"/>
      <c r="ER573" s="1116"/>
      <c r="ES573" s="1116"/>
    </row>
    <row r="574" spans="1:149" ht="15" customHeight="1">
      <c r="A574" s="1185">
        <v>564</v>
      </c>
      <c r="B574" s="1041"/>
      <c r="C574" s="1050"/>
      <c r="D574" s="1050"/>
      <c r="E574" s="1050"/>
      <c r="F574" s="1049"/>
      <c r="G574" s="1049"/>
      <c r="H574" s="1049"/>
      <c r="I574" s="1049"/>
      <c r="J574" s="1050"/>
      <c r="K574" s="1050"/>
      <c r="L574" s="1043"/>
      <c r="M574" s="1051"/>
      <c r="N574" s="1051"/>
      <c r="O574" s="1052"/>
      <c r="P574" s="1051"/>
      <c r="Q574" s="1051"/>
      <c r="R574" s="1052"/>
      <c r="S574" s="1051"/>
      <c r="T574" s="1051"/>
      <c r="U574" s="1052"/>
      <c r="V574" s="1051"/>
      <c r="W574" s="1051"/>
      <c r="X574" s="1052"/>
      <c r="Y574" s="1053"/>
      <c r="Z574" s="1051"/>
      <c r="AA574" s="1051"/>
      <c r="AB574" s="1052"/>
      <c r="AC574" s="1051"/>
      <c r="AD574" s="1051"/>
      <c r="AE574" s="1052"/>
      <c r="AF574" s="1051"/>
      <c r="AG574" s="1051"/>
      <c r="AH574" s="1051"/>
      <c r="AI574" s="1051"/>
      <c r="AJ574" s="1052"/>
      <c r="AK574" s="1051"/>
      <c r="AL574" s="1051"/>
      <c r="AM574" s="1052"/>
      <c r="AN574" s="1051"/>
      <c r="AO574" s="1051"/>
      <c r="AP574" s="1052"/>
      <c r="AQ574" s="1051"/>
      <c r="AR574" s="1051"/>
      <c r="AS574" s="1052"/>
      <c r="AT574" s="1051"/>
      <c r="AU574" s="1051"/>
      <c r="AV574" s="1052"/>
      <c r="AW574" s="1051"/>
      <c r="AX574" s="1051"/>
      <c r="AY574" s="1053"/>
      <c r="AZ574" s="1051"/>
      <c r="BA574" s="1051"/>
      <c r="BB574" s="1053"/>
      <c r="BC574" s="1051"/>
      <c r="BD574" s="1051"/>
      <c r="BE574" s="1053"/>
      <c r="BF574" s="1051"/>
      <c r="BG574" s="1051"/>
      <c r="BH574" s="1053"/>
      <c r="BI574" s="1052"/>
      <c r="BJ574" s="1052"/>
      <c r="BK574" s="1052"/>
      <c r="BL574" s="1052"/>
      <c r="BM574" s="1052"/>
      <c r="BN574" s="1054"/>
      <c r="BO574" s="1076">
        <f t="shared" si="10"/>
        <v>0</v>
      </c>
      <c r="BP574" s="1051"/>
      <c r="BQ574" s="1052"/>
      <c r="BR574" s="1054"/>
      <c r="BS574" s="1053"/>
      <c r="BT574" s="1051"/>
      <c r="BU574" s="1051"/>
      <c r="BV574" s="1051"/>
      <c r="BW574" s="1052"/>
      <c r="BX574" s="1052"/>
      <c r="BY574" s="1052"/>
      <c r="BZ574" s="1052"/>
      <c r="CA574" s="1052"/>
      <c r="CB574" s="1053"/>
      <c r="CC574" s="1053"/>
      <c r="CD574" s="1053"/>
      <c r="CE574" s="1053"/>
      <c r="CF574" s="1053"/>
      <c r="CG574" s="1053"/>
      <c r="CH574" s="1053"/>
      <c r="CI574" s="1123"/>
      <c r="CJ574" s="1123"/>
      <c r="CK574" s="1123"/>
      <c r="CL574" s="1123"/>
      <c r="CM574" s="1123"/>
      <c r="CN574" s="1123"/>
      <c r="CO574" s="1123"/>
      <c r="CP574" s="1123"/>
      <c r="CQ574" s="1123"/>
      <c r="CR574" s="1123"/>
      <c r="CS574" s="1123"/>
      <c r="CT574" s="1123"/>
      <c r="CU574" s="1123"/>
      <c r="CV574" s="1123"/>
      <c r="CW574" s="1123"/>
      <c r="CX574" s="1123"/>
      <c r="CY574" s="1123"/>
      <c r="CZ574" s="1114"/>
      <c r="DA574" s="1114"/>
      <c r="DB574" s="1114"/>
      <c r="DC574" s="1114"/>
      <c r="DD574" s="1114"/>
      <c r="DE574" s="1114"/>
      <c r="DF574" s="1114"/>
      <c r="DG574" s="1114"/>
      <c r="DH574" s="1114"/>
      <c r="DI574" s="1114"/>
      <c r="DJ574" s="1114"/>
      <c r="DK574" s="1114"/>
      <c r="DL574" s="1114"/>
      <c r="DM574" s="1114"/>
      <c r="DN574" s="1114"/>
      <c r="DO574" s="1114"/>
      <c r="DP574" s="1114"/>
      <c r="DQ574" s="1114"/>
      <c r="DR574" s="1114"/>
      <c r="DS574" s="1114"/>
      <c r="DT574" s="1114"/>
      <c r="DU574" s="1114"/>
      <c r="DV574" s="1115"/>
      <c r="DW574" s="1116"/>
      <c r="DX574" s="1116"/>
      <c r="DY574" s="1116"/>
      <c r="DZ574" s="1116"/>
      <c r="EA574" s="1116"/>
      <c r="EB574" s="1116"/>
      <c r="EC574" s="1116"/>
      <c r="ED574" s="1116"/>
      <c r="EE574" s="1116"/>
      <c r="EF574" s="1116"/>
      <c r="EG574" s="1116"/>
      <c r="EH574" s="1116"/>
      <c r="EI574" s="1116"/>
      <c r="EJ574" s="1116"/>
      <c r="EK574" s="1116"/>
      <c r="EL574" s="1116"/>
      <c r="EM574" s="1116"/>
      <c r="EN574" s="1116"/>
      <c r="EO574" s="1116"/>
      <c r="EP574" s="1116"/>
      <c r="EQ574" s="1116"/>
      <c r="ER574" s="1116"/>
      <c r="ES574" s="1116"/>
    </row>
    <row r="575" spans="1:149" ht="15" customHeight="1">
      <c r="A575" s="1185">
        <v>565</v>
      </c>
      <c r="B575" s="1041"/>
      <c r="C575" s="1050"/>
      <c r="D575" s="1050"/>
      <c r="E575" s="1050"/>
      <c r="F575" s="1049"/>
      <c r="G575" s="1049"/>
      <c r="H575" s="1049"/>
      <c r="I575" s="1049"/>
      <c r="J575" s="1050"/>
      <c r="K575" s="1050"/>
      <c r="L575" s="1043"/>
      <c r="M575" s="1051"/>
      <c r="N575" s="1051"/>
      <c r="O575" s="1052"/>
      <c r="P575" s="1051"/>
      <c r="Q575" s="1051"/>
      <c r="R575" s="1052"/>
      <c r="S575" s="1051"/>
      <c r="T575" s="1051"/>
      <c r="U575" s="1052"/>
      <c r="V575" s="1051"/>
      <c r="W575" s="1051"/>
      <c r="X575" s="1052"/>
      <c r="Y575" s="1053"/>
      <c r="Z575" s="1051"/>
      <c r="AA575" s="1051"/>
      <c r="AB575" s="1052"/>
      <c r="AC575" s="1051"/>
      <c r="AD575" s="1051"/>
      <c r="AE575" s="1052"/>
      <c r="AF575" s="1051"/>
      <c r="AG575" s="1051"/>
      <c r="AH575" s="1051"/>
      <c r="AI575" s="1051"/>
      <c r="AJ575" s="1052"/>
      <c r="AK575" s="1051"/>
      <c r="AL575" s="1051"/>
      <c r="AM575" s="1052"/>
      <c r="AN575" s="1051"/>
      <c r="AO575" s="1051"/>
      <c r="AP575" s="1052"/>
      <c r="AQ575" s="1051"/>
      <c r="AR575" s="1051"/>
      <c r="AS575" s="1052"/>
      <c r="AT575" s="1051"/>
      <c r="AU575" s="1051"/>
      <c r="AV575" s="1052"/>
      <c r="AW575" s="1051"/>
      <c r="AX575" s="1051"/>
      <c r="AY575" s="1053"/>
      <c r="AZ575" s="1051"/>
      <c r="BA575" s="1051"/>
      <c r="BB575" s="1053"/>
      <c r="BC575" s="1051"/>
      <c r="BD575" s="1051"/>
      <c r="BE575" s="1053"/>
      <c r="BF575" s="1051"/>
      <c r="BG575" s="1051"/>
      <c r="BH575" s="1053"/>
      <c r="BI575" s="1052"/>
      <c r="BJ575" s="1052"/>
      <c r="BK575" s="1052"/>
      <c r="BL575" s="1052"/>
      <c r="BM575" s="1052"/>
      <c r="BN575" s="1054"/>
      <c r="BO575" s="1076">
        <f t="shared" si="10"/>
        <v>0</v>
      </c>
      <c r="BP575" s="1051"/>
      <c r="BQ575" s="1052"/>
      <c r="BR575" s="1054"/>
      <c r="BS575" s="1053"/>
      <c r="BT575" s="1051"/>
      <c r="BU575" s="1051"/>
      <c r="BV575" s="1051"/>
      <c r="BW575" s="1052"/>
      <c r="BX575" s="1052"/>
      <c r="BY575" s="1052"/>
      <c r="BZ575" s="1052"/>
      <c r="CA575" s="1052"/>
      <c r="CB575" s="1053"/>
      <c r="CC575" s="1053"/>
      <c r="CD575" s="1053"/>
      <c r="CE575" s="1053"/>
      <c r="CF575" s="1053"/>
      <c r="CG575" s="1053"/>
      <c r="CH575" s="1053"/>
      <c r="CI575" s="1123"/>
      <c r="CJ575" s="1123"/>
      <c r="CK575" s="1123"/>
      <c r="CL575" s="1123"/>
      <c r="CM575" s="1123"/>
      <c r="CN575" s="1123"/>
      <c r="CO575" s="1123"/>
      <c r="CP575" s="1123"/>
      <c r="CQ575" s="1123"/>
      <c r="CR575" s="1123"/>
      <c r="CS575" s="1123"/>
      <c r="CT575" s="1123"/>
      <c r="CU575" s="1123"/>
      <c r="CV575" s="1123"/>
      <c r="CW575" s="1123"/>
      <c r="CX575" s="1123"/>
      <c r="CY575" s="1123"/>
      <c r="CZ575" s="1114"/>
      <c r="DA575" s="1114"/>
      <c r="DB575" s="1114"/>
      <c r="DC575" s="1114"/>
      <c r="DD575" s="1114"/>
      <c r="DE575" s="1114"/>
      <c r="DF575" s="1114"/>
      <c r="DG575" s="1114"/>
      <c r="DH575" s="1114"/>
      <c r="DI575" s="1114"/>
      <c r="DJ575" s="1114"/>
      <c r="DK575" s="1114"/>
      <c r="DL575" s="1114"/>
      <c r="DM575" s="1114"/>
      <c r="DN575" s="1114"/>
      <c r="DO575" s="1114"/>
      <c r="DP575" s="1114"/>
      <c r="DQ575" s="1114"/>
      <c r="DR575" s="1114"/>
      <c r="DS575" s="1114"/>
      <c r="DT575" s="1114"/>
      <c r="DU575" s="1114"/>
      <c r="DV575" s="1115"/>
      <c r="DW575" s="1116"/>
      <c r="DX575" s="1116"/>
      <c r="DY575" s="1116"/>
      <c r="DZ575" s="1116"/>
      <c r="EA575" s="1116"/>
      <c r="EB575" s="1116"/>
      <c r="EC575" s="1116"/>
      <c r="ED575" s="1116"/>
      <c r="EE575" s="1116"/>
      <c r="EF575" s="1116"/>
      <c r="EG575" s="1116"/>
      <c r="EH575" s="1116"/>
      <c r="EI575" s="1116"/>
      <c r="EJ575" s="1116"/>
      <c r="EK575" s="1116"/>
      <c r="EL575" s="1116"/>
      <c r="EM575" s="1116"/>
      <c r="EN575" s="1116"/>
      <c r="EO575" s="1116"/>
      <c r="EP575" s="1116"/>
      <c r="EQ575" s="1116"/>
      <c r="ER575" s="1116"/>
      <c r="ES575" s="1116"/>
    </row>
    <row r="576" spans="1:149" ht="15" customHeight="1">
      <c r="A576" s="1185">
        <v>566</v>
      </c>
      <c r="B576" s="1041"/>
      <c r="C576" s="1050"/>
      <c r="D576" s="1050"/>
      <c r="E576" s="1050"/>
      <c r="F576" s="1049"/>
      <c r="G576" s="1049"/>
      <c r="H576" s="1049"/>
      <c r="I576" s="1049"/>
      <c r="J576" s="1050"/>
      <c r="K576" s="1050"/>
      <c r="L576" s="1043"/>
      <c r="M576" s="1051"/>
      <c r="N576" s="1051"/>
      <c r="O576" s="1052"/>
      <c r="P576" s="1051"/>
      <c r="Q576" s="1051"/>
      <c r="R576" s="1052"/>
      <c r="S576" s="1051"/>
      <c r="T576" s="1051"/>
      <c r="U576" s="1052"/>
      <c r="V576" s="1051"/>
      <c r="W576" s="1051"/>
      <c r="X576" s="1052"/>
      <c r="Y576" s="1053"/>
      <c r="Z576" s="1051"/>
      <c r="AA576" s="1051"/>
      <c r="AB576" s="1052"/>
      <c r="AC576" s="1051"/>
      <c r="AD576" s="1051"/>
      <c r="AE576" s="1052"/>
      <c r="AF576" s="1051"/>
      <c r="AG576" s="1051"/>
      <c r="AH576" s="1051"/>
      <c r="AI576" s="1051"/>
      <c r="AJ576" s="1052"/>
      <c r="AK576" s="1051"/>
      <c r="AL576" s="1051"/>
      <c r="AM576" s="1052"/>
      <c r="AN576" s="1051"/>
      <c r="AO576" s="1051"/>
      <c r="AP576" s="1052"/>
      <c r="AQ576" s="1051"/>
      <c r="AR576" s="1051"/>
      <c r="AS576" s="1052"/>
      <c r="AT576" s="1051"/>
      <c r="AU576" s="1051"/>
      <c r="AV576" s="1052"/>
      <c r="AW576" s="1051"/>
      <c r="AX576" s="1051"/>
      <c r="AY576" s="1053"/>
      <c r="AZ576" s="1051"/>
      <c r="BA576" s="1051"/>
      <c r="BB576" s="1053"/>
      <c r="BC576" s="1051"/>
      <c r="BD576" s="1051"/>
      <c r="BE576" s="1053"/>
      <c r="BF576" s="1051"/>
      <c r="BG576" s="1051"/>
      <c r="BH576" s="1053"/>
      <c r="BI576" s="1052"/>
      <c r="BJ576" s="1052"/>
      <c r="BK576" s="1052"/>
      <c r="BL576" s="1052"/>
      <c r="BM576" s="1052"/>
      <c r="BN576" s="1054"/>
      <c r="BO576" s="1076">
        <f t="shared" si="10"/>
        <v>0</v>
      </c>
      <c r="BP576" s="1051"/>
      <c r="BQ576" s="1052"/>
      <c r="BR576" s="1054"/>
      <c r="BS576" s="1053"/>
      <c r="BT576" s="1051"/>
      <c r="BU576" s="1051"/>
      <c r="BV576" s="1051"/>
      <c r="BW576" s="1052"/>
      <c r="BX576" s="1052"/>
      <c r="BY576" s="1052"/>
      <c r="BZ576" s="1052"/>
      <c r="CA576" s="1052"/>
      <c r="CB576" s="1053"/>
      <c r="CC576" s="1053"/>
      <c r="CD576" s="1053"/>
      <c r="CE576" s="1053"/>
      <c r="CF576" s="1053"/>
      <c r="CG576" s="1053"/>
      <c r="CH576" s="1053"/>
      <c r="CI576" s="1123"/>
      <c r="CJ576" s="1123"/>
      <c r="CK576" s="1123"/>
      <c r="CL576" s="1123"/>
      <c r="CM576" s="1123"/>
      <c r="CN576" s="1123"/>
      <c r="CO576" s="1123"/>
      <c r="CP576" s="1123"/>
      <c r="CQ576" s="1123"/>
      <c r="CR576" s="1123"/>
      <c r="CS576" s="1123"/>
      <c r="CT576" s="1123"/>
      <c r="CU576" s="1123"/>
      <c r="CV576" s="1123"/>
      <c r="CW576" s="1123"/>
      <c r="CX576" s="1123"/>
      <c r="CY576" s="1123"/>
      <c r="CZ576" s="1114"/>
      <c r="DA576" s="1114"/>
      <c r="DB576" s="1114"/>
      <c r="DC576" s="1114"/>
      <c r="DD576" s="1114"/>
      <c r="DE576" s="1114"/>
      <c r="DF576" s="1114"/>
      <c r="DG576" s="1114"/>
      <c r="DH576" s="1114"/>
      <c r="DI576" s="1114"/>
      <c r="DJ576" s="1114"/>
      <c r="DK576" s="1114"/>
      <c r="DL576" s="1114"/>
      <c r="DM576" s="1114"/>
      <c r="DN576" s="1114"/>
      <c r="DO576" s="1114"/>
      <c r="DP576" s="1114"/>
      <c r="DQ576" s="1114"/>
      <c r="DR576" s="1114"/>
      <c r="DS576" s="1114"/>
      <c r="DT576" s="1114"/>
      <c r="DU576" s="1114"/>
      <c r="DV576" s="1115"/>
      <c r="DW576" s="1116"/>
      <c r="DX576" s="1116"/>
      <c r="DY576" s="1116"/>
      <c r="DZ576" s="1116"/>
      <c r="EA576" s="1116"/>
      <c r="EB576" s="1116"/>
      <c r="EC576" s="1116"/>
      <c r="ED576" s="1116"/>
      <c r="EE576" s="1116"/>
      <c r="EF576" s="1116"/>
      <c r="EG576" s="1116"/>
      <c r="EH576" s="1116"/>
      <c r="EI576" s="1116"/>
      <c r="EJ576" s="1116"/>
      <c r="EK576" s="1116"/>
      <c r="EL576" s="1116"/>
      <c r="EM576" s="1116"/>
      <c r="EN576" s="1116"/>
      <c r="EO576" s="1116"/>
      <c r="EP576" s="1116"/>
      <c r="EQ576" s="1116"/>
      <c r="ER576" s="1116"/>
      <c r="ES576" s="1116"/>
    </row>
    <row r="577" spans="1:149" ht="15" customHeight="1">
      <c r="A577" s="1185">
        <v>567</v>
      </c>
      <c r="B577" s="1041"/>
      <c r="C577" s="1050"/>
      <c r="D577" s="1050"/>
      <c r="E577" s="1050"/>
      <c r="F577" s="1049"/>
      <c r="G577" s="1049"/>
      <c r="H577" s="1049"/>
      <c r="I577" s="1049"/>
      <c r="J577" s="1050"/>
      <c r="K577" s="1050"/>
      <c r="L577" s="1043"/>
      <c r="M577" s="1051"/>
      <c r="N577" s="1051"/>
      <c r="O577" s="1052"/>
      <c r="P577" s="1051"/>
      <c r="Q577" s="1051"/>
      <c r="R577" s="1052"/>
      <c r="S577" s="1051"/>
      <c r="T577" s="1051"/>
      <c r="U577" s="1052"/>
      <c r="V577" s="1051"/>
      <c r="W577" s="1051"/>
      <c r="X577" s="1052"/>
      <c r="Y577" s="1053"/>
      <c r="Z577" s="1051"/>
      <c r="AA577" s="1051"/>
      <c r="AB577" s="1052"/>
      <c r="AC577" s="1051"/>
      <c r="AD577" s="1051"/>
      <c r="AE577" s="1052"/>
      <c r="AF577" s="1051"/>
      <c r="AG577" s="1051"/>
      <c r="AH577" s="1051"/>
      <c r="AI577" s="1051"/>
      <c r="AJ577" s="1052"/>
      <c r="AK577" s="1051"/>
      <c r="AL577" s="1051"/>
      <c r="AM577" s="1052"/>
      <c r="AN577" s="1051"/>
      <c r="AO577" s="1051"/>
      <c r="AP577" s="1052"/>
      <c r="AQ577" s="1051"/>
      <c r="AR577" s="1051"/>
      <c r="AS577" s="1052"/>
      <c r="AT577" s="1051"/>
      <c r="AU577" s="1051"/>
      <c r="AV577" s="1052"/>
      <c r="AW577" s="1051"/>
      <c r="AX577" s="1051"/>
      <c r="AY577" s="1053"/>
      <c r="AZ577" s="1051"/>
      <c r="BA577" s="1051"/>
      <c r="BB577" s="1053"/>
      <c r="BC577" s="1051"/>
      <c r="BD577" s="1051"/>
      <c r="BE577" s="1053"/>
      <c r="BF577" s="1051"/>
      <c r="BG577" s="1051"/>
      <c r="BH577" s="1053"/>
      <c r="BI577" s="1052"/>
      <c r="BJ577" s="1052"/>
      <c r="BK577" s="1052"/>
      <c r="BL577" s="1052"/>
      <c r="BM577" s="1052"/>
      <c r="BN577" s="1054"/>
      <c r="BO577" s="1076">
        <f t="shared" si="10"/>
        <v>0</v>
      </c>
      <c r="BP577" s="1051"/>
      <c r="BQ577" s="1052"/>
      <c r="BR577" s="1054"/>
      <c r="BS577" s="1053"/>
      <c r="BT577" s="1051"/>
      <c r="BU577" s="1051"/>
      <c r="BV577" s="1051"/>
      <c r="BW577" s="1052"/>
      <c r="BX577" s="1052"/>
      <c r="BY577" s="1052"/>
      <c r="BZ577" s="1052"/>
      <c r="CA577" s="1052"/>
      <c r="CB577" s="1053"/>
      <c r="CC577" s="1053"/>
      <c r="CD577" s="1053"/>
      <c r="CE577" s="1053"/>
      <c r="CF577" s="1053"/>
      <c r="CG577" s="1053"/>
      <c r="CH577" s="1053"/>
      <c r="CI577" s="1123"/>
      <c r="CJ577" s="1123"/>
      <c r="CK577" s="1123"/>
      <c r="CL577" s="1123"/>
      <c r="CM577" s="1123"/>
      <c r="CN577" s="1123"/>
      <c r="CO577" s="1123"/>
      <c r="CP577" s="1123"/>
      <c r="CQ577" s="1123"/>
      <c r="CR577" s="1123"/>
      <c r="CS577" s="1123"/>
      <c r="CT577" s="1123"/>
      <c r="CU577" s="1123"/>
      <c r="CV577" s="1123"/>
      <c r="CW577" s="1123"/>
      <c r="CX577" s="1123"/>
      <c r="CY577" s="1123"/>
      <c r="CZ577" s="1114"/>
      <c r="DA577" s="1114"/>
      <c r="DB577" s="1114"/>
      <c r="DC577" s="1114"/>
      <c r="DD577" s="1114"/>
      <c r="DE577" s="1114"/>
      <c r="DF577" s="1114"/>
      <c r="DG577" s="1114"/>
      <c r="DH577" s="1114"/>
      <c r="DI577" s="1114"/>
      <c r="DJ577" s="1114"/>
      <c r="DK577" s="1114"/>
      <c r="DL577" s="1114"/>
      <c r="DM577" s="1114"/>
      <c r="DN577" s="1114"/>
      <c r="DO577" s="1114"/>
      <c r="DP577" s="1114"/>
      <c r="DQ577" s="1114"/>
      <c r="DR577" s="1114"/>
      <c r="DS577" s="1114"/>
      <c r="DT577" s="1114"/>
      <c r="DU577" s="1114"/>
      <c r="DV577" s="1115"/>
      <c r="DW577" s="1116"/>
      <c r="DX577" s="1116"/>
      <c r="DY577" s="1116"/>
      <c r="DZ577" s="1116"/>
      <c r="EA577" s="1116"/>
      <c r="EB577" s="1116"/>
      <c r="EC577" s="1116"/>
      <c r="ED577" s="1116"/>
      <c r="EE577" s="1116"/>
      <c r="EF577" s="1116"/>
      <c r="EG577" s="1116"/>
      <c r="EH577" s="1116"/>
      <c r="EI577" s="1116"/>
      <c r="EJ577" s="1116"/>
      <c r="EK577" s="1116"/>
      <c r="EL577" s="1116"/>
      <c r="EM577" s="1116"/>
      <c r="EN577" s="1116"/>
      <c r="EO577" s="1116"/>
      <c r="EP577" s="1116"/>
      <c r="EQ577" s="1116"/>
      <c r="ER577" s="1116"/>
      <c r="ES577" s="1116"/>
    </row>
    <row r="578" spans="1:149" ht="15" customHeight="1">
      <c r="A578" s="1185">
        <v>568</v>
      </c>
      <c r="B578" s="1041"/>
      <c r="C578" s="1050"/>
      <c r="D578" s="1050"/>
      <c r="E578" s="1050"/>
      <c r="F578" s="1049"/>
      <c r="G578" s="1049"/>
      <c r="H578" s="1049"/>
      <c r="I578" s="1049"/>
      <c r="J578" s="1050"/>
      <c r="K578" s="1050"/>
      <c r="L578" s="1043"/>
      <c r="M578" s="1051"/>
      <c r="N578" s="1051"/>
      <c r="O578" s="1052"/>
      <c r="P578" s="1051"/>
      <c r="Q578" s="1051"/>
      <c r="R578" s="1052"/>
      <c r="S578" s="1051"/>
      <c r="T578" s="1051"/>
      <c r="U578" s="1052"/>
      <c r="V578" s="1051"/>
      <c r="W578" s="1051"/>
      <c r="X578" s="1052"/>
      <c r="Y578" s="1053"/>
      <c r="Z578" s="1051"/>
      <c r="AA578" s="1051"/>
      <c r="AB578" s="1052"/>
      <c r="AC578" s="1051"/>
      <c r="AD578" s="1051"/>
      <c r="AE578" s="1052"/>
      <c r="AF578" s="1051"/>
      <c r="AG578" s="1051"/>
      <c r="AH578" s="1051"/>
      <c r="AI578" s="1051"/>
      <c r="AJ578" s="1052"/>
      <c r="AK578" s="1051"/>
      <c r="AL578" s="1051"/>
      <c r="AM578" s="1052"/>
      <c r="AN578" s="1051"/>
      <c r="AO578" s="1051"/>
      <c r="AP578" s="1052"/>
      <c r="AQ578" s="1051"/>
      <c r="AR578" s="1051"/>
      <c r="AS578" s="1052"/>
      <c r="AT578" s="1051"/>
      <c r="AU578" s="1051"/>
      <c r="AV578" s="1052"/>
      <c r="AW578" s="1051"/>
      <c r="AX578" s="1051"/>
      <c r="AY578" s="1053"/>
      <c r="AZ578" s="1051"/>
      <c r="BA578" s="1051"/>
      <c r="BB578" s="1053"/>
      <c r="BC578" s="1051"/>
      <c r="BD578" s="1051"/>
      <c r="BE578" s="1053"/>
      <c r="BF578" s="1051"/>
      <c r="BG578" s="1051"/>
      <c r="BH578" s="1053"/>
      <c r="BI578" s="1052"/>
      <c r="BJ578" s="1052"/>
      <c r="BK578" s="1052"/>
      <c r="BL578" s="1052"/>
      <c r="BM578" s="1052"/>
      <c r="BN578" s="1054"/>
      <c r="BO578" s="1076">
        <f t="shared" si="10"/>
        <v>0</v>
      </c>
      <c r="BP578" s="1051"/>
      <c r="BQ578" s="1052"/>
      <c r="BR578" s="1054"/>
      <c r="BS578" s="1053"/>
      <c r="BT578" s="1051"/>
      <c r="BU578" s="1051"/>
      <c r="BV578" s="1051"/>
      <c r="BW578" s="1052"/>
      <c r="BX578" s="1052"/>
      <c r="BY578" s="1052"/>
      <c r="BZ578" s="1052"/>
      <c r="CA578" s="1052"/>
      <c r="CB578" s="1053"/>
      <c r="CC578" s="1053"/>
      <c r="CD578" s="1053"/>
      <c r="CE578" s="1053"/>
      <c r="CF578" s="1053"/>
      <c r="CG578" s="1053"/>
      <c r="CH578" s="1053"/>
      <c r="CI578" s="1123"/>
      <c r="CJ578" s="1123"/>
      <c r="CK578" s="1123"/>
      <c r="CL578" s="1123"/>
      <c r="CM578" s="1123"/>
      <c r="CN578" s="1123"/>
      <c r="CO578" s="1123"/>
      <c r="CP578" s="1123"/>
      <c r="CQ578" s="1123"/>
      <c r="CR578" s="1123"/>
      <c r="CS578" s="1123"/>
      <c r="CT578" s="1123"/>
      <c r="CU578" s="1123"/>
      <c r="CV578" s="1123"/>
      <c r="CW578" s="1123"/>
      <c r="CX578" s="1123"/>
      <c r="CY578" s="1123"/>
      <c r="CZ578" s="1114"/>
      <c r="DA578" s="1114"/>
      <c r="DB578" s="1114"/>
      <c r="DC578" s="1114"/>
      <c r="DD578" s="1114"/>
      <c r="DE578" s="1114"/>
      <c r="DF578" s="1114"/>
      <c r="DG578" s="1114"/>
      <c r="DH578" s="1114"/>
      <c r="DI578" s="1114"/>
      <c r="DJ578" s="1114"/>
      <c r="DK578" s="1114"/>
      <c r="DL578" s="1114"/>
      <c r="DM578" s="1114"/>
      <c r="DN578" s="1114"/>
      <c r="DO578" s="1114"/>
      <c r="DP578" s="1114"/>
      <c r="DQ578" s="1114"/>
      <c r="DR578" s="1114"/>
      <c r="DS578" s="1114"/>
      <c r="DT578" s="1114"/>
      <c r="DU578" s="1114"/>
      <c r="DV578" s="1115"/>
      <c r="DW578" s="1116"/>
      <c r="DX578" s="1116"/>
      <c r="DY578" s="1116"/>
      <c r="DZ578" s="1116"/>
      <c r="EA578" s="1116"/>
      <c r="EB578" s="1116"/>
      <c r="EC578" s="1116"/>
      <c r="ED578" s="1116"/>
      <c r="EE578" s="1116"/>
      <c r="EF578" s="1116"/>
      <c r="EG578" s="1116"/>
      <c r="EH578" s="1116"/>
      <c r="EI578" s="1116"/>
      <c r="EJ578" s="1116"/>
      <c r="EK578" s="1116"/>
      <c r="EL578" s="1116"/>
      <c r="EM578" s="1116"/>
      <c r="EN578" s="1116"/>
      <c r="EO578" s="1116"/>
      <c r="EP578" s="1116"/>
      <c r="EQ578" s="1116"/>
      <c r="ER578" s="1116"/>
      <c r="ES578" s="1116"/>
    </row>
    <row r="579" spans="1:149" ht="15" customHeight="1">
      <c r="A579" s="1185">
        <v>569</v>
      </c>
      <c r="B579" s="1041"/>
      <c r="C579" s="1050"/>
      <c r="D579" s="1050"/>
      <c r="E579" s="1050"/>
      <c r="F579" s="1049"/>
      <c r="G579" s="1049"/>
      <c r="H579" s="1049"/>
      <c r="I579" s="1049"/>
      <c r="J579" s="1050"/>
      <c r="K579" s="1050"/>
      <c r="L579" s="1043"/>
      <c r="M579" s="1051"/>
      <c r="N579" s="1051"/>
      <c r="O579" s="1052"/>
      <c r="P579" s="1051"/>
      <c r="Q579" s="1051"/>
      <c r="R579" s="1052"/>
      <c r="S579" s="1051"/>
      <c r="T579" s="1051"/>
      <c r="U579" s="1052"/>
      <c r="V579" s="1051"/>
      <c r="W579" s="1051"/>
      <c r="X579" s="1052"/>
      <c r="Y579" s="1053"/>
      <c r="Z579" s="1051"/>
      <c r="AA579" s="1051"/>
      <c r="AB579" s="1052"/>
      <c r="AC579" s="1051"/>
      <c r="AD579" s="1051"/>
      <c r="AE579" s="1052"/>
      <c r="AF579" s="1051"/>
      <c r="AG579" s="1051"/>
      <c r="AH579" s="1051"/>
      <c r="AI579" s="1051"/>
      <c r="AJ579" s="1052"/>
      <c r="AK579" s="1051"/>
      <c r="AL579" s="1051"/>
      <c r="AM579" s="1052"/>
      <c r="AN579" s="1051"/>
      <c r="AO579" s="1051"/>
      <c r="AP579" s="1052"/>
      <c r="AQ579" s="1051"/>
      <c r="AR579" s="1051"/>
      <c r="AS579" s="1052"/>
      <c r="AT579" s="1051"/>
      <c r="AU579" s="1051"/>
      <c r="AV579" s="1052"/>
      <c r="AW579" s="1051"/>
      <c r="AX579" s="1051"/>
      <c r="AY579" s="1053"/>
      <c r="AZ579" s="1051"/>
      <c r="BA579" s="1051"/>
      <c r="BB579" s="1053"/>
      <c r="BC579" s="1051"/>
      <c r="BD579" s="1051"/>
      <c r="BE579" s="1053"/>
      <c r="BF579" s="1051"/>
      <c r="BG579" s="1051"/>
      <c r="BH579" s="1053"/>
      <c r="BI579" s="1052"/>
      <c r="BJ579" s="1052"/>
      <c r="BK579" s="1052"/>
      <c r="BL579" s="1052"/>
      <c r="BM579" s="1052"/>
      <c r="BN579" s="1054"/>
      <c r="BO579" s="1076">
        <f t="shared" si="10"/>
        <v>0</v>
      </c>
      <c r="BP579" s="1051"/>
      <c r="BQ579" s="1052"/>
      <c r="BR579" s="1054"/>
      <c r="BS579" s="1053"/>
      <c r="BT579" s="1051"/>
      <c r="BU579" s="1051"/>
      <c r="BV579" s="1051"/>
      <c r="BW579" s="1052"/>
      <c r="BX579" s="1052"/>
      <c r="BY579" s="1052"/>
      <c r="BZ579" s="1052"/>
      <c r="CA579" s="1052"/>
      <c r="CB579" s="1053"/>
      <c r="CC579" s="1053"/>
      <c r="CD579" s="1053"/>
      <c r="CE579" s="1053"/>
      <c r="CF579" s="1053"/>
      <c r="CG579" s="1053"/>
      <c r="CH579" s="1053"/>
      <c r="CI579" s="1123"/>
      <c r="CJ579" s="1123"/>
      <c r="CK579" s="1123"/>
      <c r="CL579" s="1123"/>
      <c r="CM579" s="1123"/>
      <c r="CN579" s="1123"/>
      <c r="CO579" s="1123"/>
      <c r="CP579" s="1123"/>
      <c r="CQ579" s="1123"/>
      <c r="CR579" s="1123"/>
      <c r="CS579" s="1123"/>
      <c r="CT579" s="1123"/>
      <c r="CU579" s="1123"/>
      <c r="CV579" s="1123"/>
      <c r="CW579" s="1123"/>
      <c r="CX579" s="1123"/>
      <c r="CY579" s="1123"/>
      <c r="CZ579" s="1114"/>
      <c r="DA579" s="1114"/>
      <c r="DB579" s="1114"/>
      <c r="DC579" s="1114"/>
      <c r="DD579" s="1114"/>
      <c r="DE579" s="1114"/>
      <c r="DF579" s="1114"/>
      <c r="DG579" s="1114"/>
      <c r="DH579" s="1114"/>
      <c r="DI579" s="1114"/>
      <c r="DJ579" s="1114"/>
      <c r="DK579" s="1114"/>
      <c r="DL579" s="1114"/>
      <c r="DM579" s="1114"/>
      <c r="DN579" s="1114"/>
      <c r="DO579" s="1114"/>
      <c r="DP579" s="1114"/>
      <c r="DQ579" s="1114"/>
      <c r="DR579" s="1114"/>
      <c r="DS579" s="1114"/>
      <c r="DT579" s="1114"/>
      <c r="DU579" s="1114"/>
      <c r="DV579" s="1115"/>
      <c r="DW579" s="1116"/>
      <c r="DX579" s="1116"/>
      <c r="DY579" s="1116"/>
      <c r="DZ579" s="1116"/>
      <c r="EA579" s="1116"/>
      <c r="EB579" s="1116"/>
      <c r="EC579" s="1116"/>
      <c r="ED579" s="1116"/>
      <c r="EE579" s="1116"/>
      <c r="EF579" s="1116"/>
      <c r="EG579" s="1116"/>
      <c r="EH579" s="1116"/>
      <c r="EI579" s="1116"/>
      <c r="EJ579" s="1116"/>
      <c r="EK579" s="1116"/>
      <c r="EL579" s="1116"/>
      <c r="EM579" s="1116"/>
      <c r="EN579" s="1116"/>
      <c r="EO579" s="1116"/>
      <c r="EP579" s="1116"/>
      <c r="EQ579" s="1116"/>
      <c r="ER579" s="1116"/>
      <c r="ES579" s="1116"/>
    </row>
    <row r="580" spans="1:149" ht="15" customHeight="1">
      <c r="A580" s="1185">
        <v>570</v>
      </c>
      <c r="B580" s="1041"/>
      <c r="C580" s="1050"/>
      <c r="D580" s="1050"/>
      <c r="E580" s="1050"/>
      <c r="F580" s="1049"/>
      <c r="G580" s="1049"/>
      <c r="H580" s="1049"/>
      <c r="I580" s="1049"/>
      <c r="J580" s="1050"/>
      <c r="K580" s="1050"/>
      <c r="L580" s="1043"/>
      <c r="M580" s="1051"/>
      <c r="N580" s="1051"/>
      <c r="O580" s="1052"/>
      <c r="P580" s="1051"/>
      <c r="Q580" s="1051"/>
      <c r="R580" s="1052"/>
      <c r="S580" s="1051"/>
      <c r="T580" s="1051"/>
      <c r="U580" s="1052"/>
      <c r="V580" s="1051"/>
      <c r="W580" s="1051"/>
      <c r="X580" s="1052"/>
      <c r="Y580" s="1053"/>
      <c r="Z580" s="1051"/>
      <c r="AA580" s="1051"/>
      <c r="AB580" s="1052"/>
      <c r="AC580" s="1051"/>
      <c r="AD580" s="1051"/>
      <c r="AE580" s="1052"/>
      <c r="AF580" s="1051"/>
      <c r="AG580" s="1051"/>
      <c r="AH580" s="1051"/>
      <c r="AI580" s="1051"/>
      <c r="AJ580" s="1052"/>
      <c r="AK580" s="1051"/>
      <c r="AL580" s="1051"/>
      <c r="AM580" s="1052"/>
      <c r="AN580" s="1051"/>
      <c r="AO580" s="1051"/>
      <c r="AP580" s="1052"/>
      <c r="AQ580" s="1051"/>
      <c r="AR580" s="1051"/>
      <c r="AS580" s="1052"/>
      <c r="AT580" s="1051"/>
      <c r="AU580" s="1051"/>
      <c r="AV580" s="1052"/>
      <c r="AW580" s="1051"/>
      <c r="AX580" s="1051"/>
      <c r="AY580" s="1053"/>
      <c r="AZ580" s="1051"/>
      <c r="BA580" s="1051"/>
      <c r="BB580" s="1053"/>
      <c r="BC580" s="1051"/>
      <c r="BD580" s="1051"/>
      <c r="BE580" s="1053"/>
      <c r="BF580" s="1051"/>
      <c r="BG580" s="1051"/>
      <c r="BH580" s="1053"/>
      <c r="BI580" s="1052"/>
      <c r="BJ580" s="1052"/>
      <c r="BK580" s="1052"/>
      <c r="BL580" s="1052"/>
      <c r="BM580" s="1052"/>
      <c r="BN580" s="1054"/>
      <c r="BO580" s="1076">
        <f t="shared" si="10"/>
        <v>0</v>
      </c>
      <c r="BP580" s="1051"/>
      <c r="BQ580" s="1052"/>
      <c r="BR580" s="1054"/>
      <c r="BS580" s="1053"/>
      <c r="BT580" s="1051"/>
      <c r="BU580" s="1051"/>
      <c r="BV580" s="1051"/>
      <c r="BW580" s="1052"/>
      <c r="BX580" s="1052"/>
      <c r="BY580" s="1052"/>
      <c r="BZ580" s="1052"/>
      <c r="CA580" s="1052"/>
      <c r="CB580" s="1053"/>
      <c r="CC580" s="1053"/>
      <c r="CD580" s="1053"/>
      <c r="CE580" s="1053"/>
      <c r="CF580" s="1053"/>
      <c r="CG580" s="1053"/>
      <c r="CH580" s="1053"/>
      <c r="CI580" s="1123"/>
      <c r="CJ580" s="1123"/>
      <c r="CK580" s="1123"/>
      <c r="CL580" s="1123"/>
      <c r="CM580" s="1123"/>
      <c r="CN580" s="1123"/>
      <c r="CO580" s="1123"/>
      <c r="CP580" s="1123"/>
      <c r="CQ580" s="1123"/>
      <c r="CR580" s="1123"/>
      <c r="CS580" s="1123"/>
      <c r="CT580" s="1123"/>
      <c r="CU580" s="1123"/>
      <c r="CV580" s="1123"/>
      <c r="CW580" s="1123"/>
      <c r="CX580" s="1123"/>
      <c r="CY580" s="1123"/>
      <c r="CZ580" s="1114"/>
      <c r="DA580" s="1114"/>
      <c r="DB580" s="1114"/>
      <c r="DC580" s="1114"/>
      <c r="DD580" s="1114"/>
      <c r="DE580" s="1114"/>
      <c r="DF580" s="1114"/>
      <c r="DG580" s="1114"/>
      <c r="DH580" s="1114"/>
      <c r="DI580" s="1114"/>
      <c r="DJ580" s="1114"/>
      <c r="DK580" s="1114"/>
      <c r="DL580" s="1114"/>
      <c r="DM580" s="1114"/>
      <c r="DN580" s="1114"/>
      <c r="DO580" s="1114"/>
      <c r="DP580" s="1114"/>
      <c r="DQ580" s="1114"/>
      <c r="DR580" s="1114"/>
      <c r="DS580" s="1114"/>
      <c r="DT580" s="1114"/>
      <c r="DU580" s="1114"/>
      <c r="DV580" s="1115"/>
      <c r="DW580" s="1116"/>
      <c r="DX580" s="1116"/>
      <c r="DY580" s="1116"/>
      <c r="DZ580" s="1116"/>
      <c r="EA580" s="1116"/>
      <c r="EB580" s="1116"/>
      <c r="EC580" s="1116"/>
      <c r="ED580" s="1116"/>
      <c r="EE580" s="1116"/>
      <c r="EF580" s="1116"/>
      <c r="EG580" s="1116"/>
      <c r="EH580" s="1116"/>
      <c r="EI580" s="1116"/>
      <c r="EJ580" s="1116"/>
      <c r="EK580" s="1116"/>
      <c r="EL580" s="1116"/>
      <c r="EM580" s="1116"/>
      <c r="EN580" s="1116"/>
      <c r="EO580" s="1116"/>
      <c r="EP580" s="1116"/>
      <c r="EQ580" s="1116"/>
      <c r="ER580" s="1116"/>
      <c r="ES580" s="1116"/>
    </row>
    <row r="581" spans="1:149" ht="15" customHeight="1">
      <c r="A581" s="1185">
        <v>571</v>
      </c>
      <c r="B581" s="1041"/>
      <c r="C581" s="1050"/>
      <c r="D581" s="1050"/>
      <c r="E581" s="1050"/>
      <c r="F581" s="1049"/>
      <c r="G581" s="1049"/>
      <c r="H581" s="1049"/>
      <c r="I581" s="1049"/>
      <c r="J581" s="1050"/>
      <c r="K581" s="1050"/>
      <c r="L581" s="1043"/>
      <c r="M581" s="1051"/>
      <c r="N581" s="1051"/>
      <c r="O581" s="1052"/>
      <c r="P581" s="1051"/>
      <c r="Q581" s="1051"/>
      <c r="R581" s="1052"/>
      <c r="S581" s="1051"/>
      <c r="T581" s="1051"/>
      <c r="U581" s="1052"/>
      <c r="V581" s="1051"/>
      <c r="W581" s="1051"/>
      <c r="X581" s="1052"/>
      <c r="Y581" s="1053"/>
      <c r="Z581" s="1051"/>
      <c r="AA581" s="1051"/>
      <c r="AB581" s="1052"/>
      <c r="AC581" s="1051"/>
      <c r="AD581" s="1051"/>
      <c r="AE581" s="1052"/>
      <c r="AF581" s="1051"/>
      <c r="AG581" s="1051"/>
      <c r="AH581" s="1051"/>
      <c r="AI581" s="1051"/>
      <c r="AJ581" s="1052"/>
      <c r="AK581" s="1051"/>
      <c r="AL581" s="1051"/>
      <c r="AM581" s="1052"/>
      <c r="AN581" s="1051"/>
      <c r="AO581" s="1051"/>
      <c r="AP581" s="1052"/>
      <c r="AQ581" s="1051"/>
      <c r="AR581" s="1051"/>
      <c r="AS581" s="1052"/>
      <c r="AT581" s="1051"/>
      <c r="AU581" s="1051"/>
      <c r="AV581" s="1052"/>
      <c r="AW581" s="1051"/>
      <c r="AX581" s="1051"/>
      <c r="AY581" s="1053"/>
      <c r="AZ581" s="1051"/>
      <c r="BA581" s="1051"/>
      <c r="BB581" s="1053"/>
      <c r="BC581" s="1051"/>
      <c r="BD581" s="1051"/>
      <c r="BE581" s="1053"/>
      <c r="BF581" s="1051"/>
      <c r="BG581" s="1051"/>
      <c r="BH581" s="1053"/>
      <c r="BI581" s="1052"/>
      <c r="BJ581" s="1052"/>
      <c r="BK581" s="1052"/>
      <c r="BL581" s="1052"/>
      <c r="BM581" s="1052"/>
      <c r="BN581" s="1054"/>
      <c r="BO581" s="1076">
        <f t="shared" si="10"/>
        <v>0</v>
      </c>
      <c r="BP581" s="1051"/>
      <c r="BQ581" s="1052"/>
      <c r="BR581" s="1054"/>
      <c r="BS581" s="1053"/>
      <c r="BT581" s="1051"/>
      <c r="BU581" s="1051"/>
      <c r="BV581" s="1051"/>
      <c r="BW581" s="1052"/>
      <c r="BX581" s="1052"/>
      <c r="BY581" s="1052"/>
      <c r="BZ581" s="1052"/>
      <c r="CA581" s="1052"/>
      <c r="CB581" s="1053"/>
      <c r="CC581" s="1053"/>
      <c r="CD581" s="1053"/>
      <c r="CE581" s="1053"/>
      <c r="CF581" s="1053"/>
      <c r="CG581" s="1053"/>
      <c r="CH581" s="1053"/>
      <c r="CI581" s="1123"/>
      <c r="CJ581" s="1123"/>
      <c r="CK581" s="1123"/>
      <c r="CL581" s="1123"/>
      <c r="CM581" s="1123"/>
      <c r="CN581" s="1123"/>
      <c r="CO581" s="1123"/>
      <c r="CP581" s="1123"/>
      <c r="CQ581" s="1123"/>
      <c r="CR581" s="1123"/>
      <c r="CS581" s="1123"/>
      <c r="CT581" s="1123"/>
      <c r="CU581" s="1123"/>
      <c r="CV581" s="1123"/>
      <c r="CW581" s="1123"/>
      <c r="CX581" s="1123"/>
      <c r="CY581" s="1123"/>
      <c r="CZ581" s="1114"/>
      <c r="DA581" s="1114"/>
      <c r="DB581" s="1114"/>
      <c r="DC581" s="1114"/>
      <c r="DD581" s="1114"/>
      <c r="DE581" s="1114"/>
      <c r="DF581" s="1114"/>
      <c r="DG581" s="1114"/>
      <c r="DH581" s="1114"/>
      <c r="DI581" s="1114"/>
      <c r="DJ581" s="1114"/>
      <c r="DK581" s="1114"/>
      <c r="DL581" s="1114"/>
      <c r="DM581" s="1114"/>
      <c r="DN581" s="1114"/>
      <c r="DO581" s="1114"/>
      <c r="DP581" s="1114"/>
      <c r="DQ581" s="1114"/>
      <c r="DR581" s="1114"/>
      <c r="DS581" s="1114"/>
      <c r="DT581" s="1114"/>
      <c r="DU581" s="1114"/>
      <c r="DV581" s="1115"/>
      <c r="DW581" s="1116"/>
      <c r="DX581" s="1116"/>
      <c r="DY581" s="1116"/>
      <c r="DZ581" s="1116"/>
      <c r="EA581" s="1116"/>
      <c r="EB581" s="1116"/>
      <c r="EC581" s="1116"/>
      <c r="ED581" s="1116"/>
      <c r="EE581" s="1116"/>
      <c r="EF581" s="1116"/>
      <c r="EG581" s="1116"/>
      <c r="EH581" s="1116"/>
      <c r="EI581" s="1116"/>
      <c r="EJ581" s="1116"/>
      <c r="EK581" s="1116"/>
      <c r="EL581" s="1116"/>
      <c r="EM581" s="1116"/>
      <c r="EN581" s="1116"/>
      <c r="EO581" s="1116"/>
      <c r="EP581" s="1116"/>
      <c r="EQ581" s="1116"/>
      <c r="ER581" s="1116"/>
      <c r="ES581" s="1116"/>
    </row>
    <row r="582" spans="1:149" ht="15" customHeight="1">
      <c r="A582" s="1185">
        <v>572</v>
      </c>
      <c r="B582" s="1041"/>
      <c r="C582" s="1050"/>
      <c r="D582" s="1050"/>
      <c r="E582" s="1050"/>
      <c r="F582" s="1049"/>
      <c r="G582" s="1049"/>
      <c r="H582" s="1049"/>
      <c r="I582" s="1049"/>
      <c r="J582" s="1050"/>
      <c r="K582" s="1050"/>
      <c r="L582" s="1043"/>
      <c r="M582" s="1051"/>
      <c r="N582" s="1051"/>
      <c r="O582" s="1052"/>
      <c r="P582" s="1051"/>
      <c r="Q582" s="1051"/>
      <c r="R582" s="1052"/>
      <c r="S582" s="1051"/>
      <c r="T582" s="1051"/>
      <c r="U582" s="1052"/>
      <c r="V582" s="1051"/>
      <c r="W582" s="1051"/>
      <c r="X582" s="1052"/>
      <c r="Y582" s="1053"/>
      <c r="Z582" s="1051"/>
      <c r="AA582" s="1051"/>
      <c r="AB582" s="1052"/>
      <c r="AC582" s="1051"/>
      <c r="AD582" s="1051"/>
      <c r="AE582" s="1052"/>
      <c r="AF582" s="1051"/>
      <c r="AG582" s="1051"/>
      <c r="AH582" s="1051"/>
      <c r="AI582" s="1051"/>
      <c r="AJ582" s="1052"/>
      <c r="AK582" s="1051"/>
      <c r="AL582" s="1051"/>
      <c r="AM582" s="1052"/>
      <c r="AN582" s="1051"/>
      <c r="AO582" s="1051"/>
      <c r="AP582" s="1052"/>
      <c r="AQ582" s="1051"/>
      <c r="AR582" s="1051"/>
      <c r="AS582" s="1052"/>
      <c r="AT582" s="1051"/>
      <c r="AU582" s="1051"/>
      <c r="AV582" s="1052"/>
      <c r="AW582" s="1051"/>
      <c r="AX582" s="1051"/>
      <c r="AY582" s="1053"/>
      <c r="AZ582" s="1051"/>
      <c r="BA582" s="1051"/>
      <c r="BB582" s="1053"/>
      <c r="BC582" s="1051"/>
      <c r="BD582" s="1051"/>
      <c r="BE582" s="1053"/>
      <c r="BF582" s="1051"/>
      <c r="BG582" s="1051"/>
      <c r="BH582" s="1053"/>
      <c r="BI582" s="1052"/>
      <c r="BJ582" s="1052"/>
      <c r="BK582" s="1052"/>
      <c r="BL582" s="1052"/>
      <c r="BM582" s="1052"/>
      <c r="BN582" s="1054"/>
      <c r="BO582" s="1076">
        <f t="shared" si="10"/>
        <v>0</v>
      </c>
      <c r="BP582" s="1051"/>
      <c r="BQ582" s="1052"/>
      <c r="BR582" s="1054"/>
      <c r="BS582" s="1053"/>
      <c r="BT582" s="1051"/>
      <c r="BU582" s="1051"/>
      <c r="BV582" s="1051"/>
      <c r="BW582" s="1052"/>
      <c r="BX582" s="1052"/>
      <c r="BY582" s="1052"/>
      <c r="BZ582" s="1052"/>
      <c r="CA582" s="1052"/>
      <c r="CB582" s="1053"/>
      <c r="CC582" s="1053"/>
      <c r="CD582" s="1053"/>
      <c r="CE582" s="1053"/>
      <c r="CF582" s="1053"/>
      <c r="CG582" s="1053"/>
      <c r="CH582" s="1053"/>
      <c r="CI582" s="1123"/>
      <c r="CJ582" s="1123"/>
      <c r="CK582" s="1123"/>
      <c r="CL582" s="1123"/>
      <c r="CM582" s="1123"/>
      <c r="CN582" s="1123"/>
      <c r="CO582" s="1123"/>
      <c r="CP582" s="1123"/>
      <c r="CQ582" s="1123"/>
      <c r="CR582" s="1123"/>
      <c r="CS582" s="1123"/>
      <c r="CT582" s="1123"/>
      <c r="CU582" s="1123"/>
      <c r="CV582" s="1123"/>
      <c r="CW582" s="1123"/>
      <c r="CX582" s="1123"/>
      <c r="CY582" s="1123"/>
      <c r="CZ582" s="1114"/>
      <c r="DA582" s="1114"/>
      <c r="DB582" s="1114"/>
      <c r="DC582" s="1114"/>
      <c r="DD582" s="1114"/>
      <c r="DE582" s="1114"/>
      <c r="DF582" s="1114"/>
      <c r="DG582" s="1114"/>
      <c r="DH582" s="1114"/>
      <c r="DI582" s="1114"/>
      <c r="DJ582" s="1114"/>
      <c r="DK582" s="1114"/>
      <c r="DL582" s="1114"/>
      <c r="DM582" s="1114"/>
      <c r="DN582" s="1114"/>
      <c r="DO582" s="1114"/>
      <c r="DP582" s="1114"/>
      <c r="DQ582" s="1114"/>
      <c r="DR582" s="1114"/>
      <c r="DS582" s="1114"/>
      <c r="DT582" s="1114"/>
      <c r="DU582" s="1114"/>
      <c r="DV582" s="1115"/>
      <c r="DW582" s="1116"/>
      <c r="DX582" s="1116"/>
      <c r="DY582" s="1116"/>
      <c r="DZ582" s="1116"/>
      <c r="EA582" s="1116"/>
      <c r="EB582" s="1116"/>
      <c r="EC582" s="1116"/>
      <c r="ED582" s="1116"/>
      <c r="EE582" s="1116"/>
      <c r="EF582" s="1116"/>
      <c r="EG582" s="1116"/>
      <c r="EH582" s="1116"/>
      <c r="EI582" s="1116"/>
      <c r="EJ582" s="1116"/>
      <c r="EK582" s="1116"/>
      <c r="EL582" s="1116"/>
      <c r="EM582" s="1116"/>
      <c r="EN582" s="1116"/>
      <c r="EO582" s="1116"/>
      <c r="EP582" s="1116"/>
      <c r="EQ582" s="1116"/>
      <c r="ER582" s="1116"/>
      <c r="ES582" s="1116"/>
    </row>
    <row r="583" spans="1:149" ht="15" customHeight="1">
      <c r="A583" s="1185">
        <v>573</v>
      </c>
      <c r="B583" s="1041"/>
      <c r="C583" s="1050"/>
      <c r="D583" s="1050"/>
      <c r="E583" s="1050"/>
      <c r="F583" s="1049"/>
      <c r="G583" s="1049"/>
      <c r="H583" s="1049"/>
      <c r="I583" s="1049"/>
      <c r="J583" s="1050"/>
      <c r="K583" s="1050"/>
      <c r="L583" s="1043"/>
      <c r="M583" s="1051"/>
      <c r="N583" s="1051"/>
      <c r="O583" s="1052"/>
      <c r="P583" s="1051"/>
      <c r="Q583" s="1051"/>
      <c r="R583" s="1052"/>
      <c r="S583" s="1051"/>
      <c r="T583" s="1051"/>
      <c r="U583" s="1052"/>
      <c r="V583" s="1051"/>
      <c r="W583" s="1051"/>
      <c r="X583" s="1052"/>
      <c r="Y583" s="1053"/>
      <c r="Z583" s="1051"/>
      <c r="AA583" s="1051"/>
      <c r="AB583" s="1052"/>
      <c r="AC583" s="1051"/>
      <c r="AD583" s="1051"/>
      <c r="AE583" s="1052"/>
      <c r="AF583" s="1051"/>
      <c r="AG583" s="1051"/>
      <c r="AH583" s="1051"/>
      <c r="AI583" s="1051"/>
      <c r="AJ583" s="1052"/>
      <c r="AK583" s="1051"/>
      <c r="AL583" s="1051"/>
      <c r="AM583" s="1052"/>
      <c r="AN583" s="1051"/>
      <c r="AO583" s="1051"/>
      <c r="AP583" s="1052"/>
      <c r="AQ583" s="1051"/>
      <c r="AR583" s="1051"/>
      <c r="AS583" s="1052"/>
      <c r="AT583" s="1051"/>
      <c r="AU583" s="1051"/>
      <c r="AV583" s="1052"/>
      <c r="AW583" s="1051"/>
      <c r="AX583" s="1051"/>
      <c r="AY583" s="1053"/>
      <c r="AZ583" s="1051"/>
      <c r="BA583" s="1051"/>
      <c r="BB583" s="1053"/>
      <c r="BC583" s="1051"/>
      <c r="BD583" s="1051"/>
      <c r="BE583" s="1053"/>
      <c r="BF583" s="1051"/>
      <c r="BG583" s="1051"/>
      <c r="BH583" s="1053"/>
      <c r="BI583" s="1052"/>
      <c r="BJ583" s="1052"/>
      <c r="BK583" s="1052"/>
      <c r="BL583" s="1052"/>
      <c r="BM583" s="1052"/>
      <c r="BN583" s="1054"/>
      <c r="BO583" s="1076">
        <f t="shared" si="10"/>
        <v>0</v>
      </c>
      <c r="BP583" s="1051"/>
      <c r="BQ583" s="1052"/>
      <c r="BR583" s="1054"/>
      <c r="BS583" s="1053"/>
      <c r="BT583" s="1051"/>
      <c r="BU583" s="1051"/>
      <c r="BV583" s="1051"/>
      <c r="BW583" s="1052"/>
      <c r="BX583" s="1052"/>
      <c r="BY583" s="1052"/>
      <c r="BZ583" s="1052"/>
      <c r="CA583" s="1052"/>
      <c r="CB583" s="1053"/>
      <c r="CC583" s="1053"/>
      <c r="CD583" s="1053"/>
      <c r="CE583" s="1053"/>
      <c r="CF583" s="1053"/>
      <c r="CG583" s="1053"/>
      <c r="CH583" s="1053"/>
      <c r="CI583" s="1123"/>
      <c r="CJ583" s="1123"/>
      <c r="CK583" s="1123"/>
      <c r="CL583" s="1123"/>
      <c r="CM583" s="1123"/>
      <c r="CN583" s="1123"/>
      <c r="CO583" s="1123"/>
      <c r="CP583" s="1123"/>
      <c r="CQ583" s="1123"/>
      <c r="CR583" s="1123"/>
      <c r="CS583" s="1123"/>
      <c r="CT583" s="1123"/>
      <c r="CU583" s="1123"/>
      <c r="CV583" s="1123"/>
      <c r="CW583" s="1123"/>
      <c r="CX583" s="1123"/>
      <c r="CY583" s="1123"/>
      <c r="CZ583" s="1114"/>
      <c r="DA583" s="1114"/>
      <c r="DB583" s="1114"/>
      <c r="DC583" s="1114"/>
      <c r="DD583" s="1114"/>
      <c r="DE583" s="1114"/>
      <c r="DF583" s="1114"/>
      <c r="DG583" s="1114"/>
      <c r="DH583" s="1114"/>
      <c r="DI583" s="1114"/>
      <c r="DJ583" s="1114"/>
      <c r="DK583" s="1114"/>
      <c r="DL583" s="1114"/>
      <c r="DM583" s="1114"/>
      <c r="DN583" s="1114"/>
      <c r="DO583" s="1114"/>
      <c r="DP583" s="1114"/>
      <c r="DQ583" s="1114"/>
      <c r="DR583" s="1114"/>
      <c r="DS583" s="1114"/>
      <c r="DT583" s="1114"/>
      <c r="DU583" s="1114"/>
      <c r="DV583" s="1115"/>
      <c r="DW583" s="1116"/>
      <c r="DX583" s="1116"/>
      <c r="DY583" s="1116"/>
      <c r="DZ583" s="1116"/>
      <c r="EA583" s="1116"/>
      <c r="EB583" s="1116"/>
      <c r="EC583" s="1116"/>
      <c r="ED583" s="1116"/>
      <c r="EE583" s="1116"/>
      <c r="EF583" s="1116"/>
      <c r="EG583" s="1116"/>
      <c r="EH583" s="1116"/>
      <c r="EI583" s="1116"/>
      <c r="EJ583" s="1116"/>
      <c r="EK583" s="1116"/>
      <c r="EL583" s="1116"/>
      <c r="EM583" s="1116"/>
      <c r="EN583" s="1116"/>
      <c r="EO583" s="1116"/>
      <c r="EP583" s="1116"/>
      <c r="EQ583" s="1116"/>
      <c r="ER583" s="1116"/>
      <c r="ES583" s="1116"/>
    </row>
    <row r="584" spans="1:149" ht="15" customHeight="1">
      <c r="A584" s="1185">
        <v>574</v>
      </c>
      <c r="B584" s="1041"/>
      <c r="C584" s="1050"/>
      <c r="D584" s="1050"/>
      <c r="E584" s="1050"/>
      <c r="F584" s="1049"/>
      <c r="G584" s="1049"/>
      <c r="H584" s="1049"/>
      <c r="I584" s="1049"/>
      <c r="J584" s="1050"/>
      <c r="K584" s="1050"/>
      <c r="L584" s="1043"/>
      <c r="M584" s="1051"/>
      <c r="N584" s="1051"/>
      <c r="O584" s="1052"/>
      <c r="P584" s="1051"/>
      <c r="Q584" s="1051"/>
      <c r="R584" s="1052"/>
      <c r="S584" s="1051"/>
      <c r="T584" s="1051"/>
      <c r="U584" s="1052"/>
      <c r="V584" s="1051"/>
      <c r="W584" s="1051"/>
      <c r="X584" s="1052"/>
      <c r="Y584" s="1053"/>
      <c r="Z584" s="1051"/>
      <c r="AA584" s="1051"/>
      <c r="AB584" s="1052"/>
      <c r="AC584" s="1051"/>
      <c r="AD584" s="1051"/>
      <c r="AE584" s="1052"/>
      <c r="AF584" s="1051"/>
      <c r="AG584" s="1051"/>
      <c r="AH584" s="1051"/>
      <c r="AI584" s="1051"/>
      <c r="AJ584" s="1052"/>
      <c r="AK584" s="1051"/>
      <c r="AL584" s="1051"/>
      <c r="AM584" s="1052"/>
      <c r="AN584" s="1051"/>
      <c r="AO584" s="1051"/>
      <c r="AP584" s="1052"/>
      <c r="AQ584" s="1051"/>
      <c r="AR584" s="1051"/>
      <c r="AS584" s="1052"/>
      <c r="AT584" s="1051"/>
      <c r="AU584" s="1051"/>
      <c r="AV584" s="1052"/>
      <c r="AW584" s="1051"/>
      <c r="AX584" s="1051"/>
      <c r="AY584" s="1053"/>
      <c r="AZ584" s="1051"/>
      <c r="BA584" s="1051"/>
      <c r="BB584" s="1053"/>
      <c r="BC584" s="1051"/>
      <c r="BD584" s="1051"/>
      <c r="BE584" s="1053"/>
      <c r="BF584" s="1051"/>
      <c r="BG584" s="1051"/>
      <c r="BH584" s="1053"/>
      <c r="BI584" s="1052"/>
      <c r="BJ584" s="1052"/>
      <c r="BK584" s="1052"/>
      <c r="BL584" s="1052"/>
      <c r="BM584" s="1052"/>
      <c r="BN584" s="1054"/>
      <c r="BO584" s="1076">
        <f t="shared" si="10"/>
        <v>0</v>
      </c>
      <c r="BP584" s="1051"/>
      <c r="BQ584" s="1052"/>
      <c r="BR584" s="1054"/>
      <c r="BS584" s="1053"/>
      <c r="BT584" s="1051"/>
      <c r="BU584" s="1051"/>
      <c r="BV584" s="1051"/>
      <c r="BW584" s="1052"/>
      <c r="BX584" s="1052"/>
      <c r="BY584" s="1052"/>
      <c r="BZ584" s="1052"/>
      <c r="CA584" s="1052"/>
      <c r="CB584" s="1053"/>
      <c r="CC584" s="1053"/>
      <c r="CD584" s="1053"/>
      <c r="CE584" s="1053"/>
      <c r="CF584" s="1053"/>
      <c r="CG584" s="1053"/>
      <c r="CH584" s="1053"/>
      <c r="CI584" s="1123"/>
      <c r="CJ584" s="1123"/>
      <c r="CK584" s="1123"/>
      <c r="CL584" s="1123"/>
      <c r="CM584" s="1123"/>
      <c r="CN584" s="1123"/>
      <c r="CO584" s="1123"/>
      <c r="CP584" s="1123"/>
      <c r="CQ584" s="1123"/>
      <c r="CR584" s="1123"/>
      <c r="CS584" s="1123"/>
      <c r="CT584" s="1123"/>
      <c r="CU584" s="1123"/>
      <c r="CV584" s="1123"/>
      <c r="CW584" s="1123"/>
      <c r="CX584" s="1123"/>
      <c r="CY584" s="1123"/>
      <c r="CZ584" s="1114"/>
      <c r="DA584" s="1114"/>
      <c r="DB584" s="1114"/>
      <c r="DC584" s="1114"/>
      <c r="DD584" s="1114"/>
      <c r="DE584" s="1114"/>
      <c r="DF584" s="1114"/>
      <c r="DG584" s="1114"/>
      <c r="DH584" s="1114"/>
      <c r="DI584" s="1114"/>
      <c r="DJ584" s="1114"/>
      <c r="DK584" s="1114"/>
      <c r="DL584" s="1114"/>
      <c r="DM584" s="1114"/>
      <c r="DN584" s="1114"/>
      <c r="DO584" s="1114"/>
      <c r="DP584" s="1114"/>
      <c r="DQ584" s="1114"/>
      <c r="DR584" s="1114"/>
      <c r="DS584" s="1114"/>
      <c r="DT584" s="1114"/>
      <c r="DU584" s="1114"/>
      <c r="DV584" s="1115"/>
      <c r="DW584" s="1116"/>
      <c r="DX584" s="1116"/>
      <c r="DY584" s="1116"/>
      <c r="DZ584" s="1116"/>
      <c r="EA584" s="1116"/>
      <c r="EB584" s="1116"/>
      <c r="EC584" s="1116"/>
      <c r="ED584" s="1116"/>
      <c r="EE584" s="1116"/>
      <c r="EF584" s="1116"/>
      <c r="EG584" s="1116"/>
      <c r="EH584" s="1116"/>
      <c r="EI584" s="1116"/>
      <c r="EJ584" s="1116"/>
      <c r="EK584" s="1116"/>
      <c r="EL584" s="1116"/>
      <c r="EM584" s="1116"/>
      <c r="EN584" s="1116"/>
      <c r="EO584" s="1116"/>
      <c r="EP584" s="1116"/>
      <c r="EQ584" s="1116"/>
      <c r="ER584" s="1116"/>
      <c r="ES584" s="1116"/>
    </row>
    <row r="585" spans="1:149" ht="15" customHeight="1">
      <c r="A585" s="1185">
        <v>575</v>
      </c>
      <c r="B585" s="1041"/>
      <c r="C585" s="1050"/>
      <c r="D585" s="1050"/>
      <c r="E585" s="1050"/>
      <c r="F585" s="1049"/>
      <c r="G585" s="1049"/>
      <c r="H585" s="1049"/>
      <c r="I585" s="1049"/>
      <c r="J585" s="1050"/>
      <c r="K585" s="1050"/>
      <c r="L585" s="1043"/>
      <c r="M585" s="1051"/>
      <c r="N585" s="1051"/>
      <c r="O585" s="1052"/>
      <c r="P585" s="1051"/>
      <c r="Q585" s="1051"/>
      <c r="R585" s="1052"/>
      <c r="S585" s="1051"/>
      <c r="T585" s="1051"/>
      <c r="U585" s="1052"/>
      <c r="V585" s="1051"/>
      <c r="W585" s="1051"/>
      <c r="X585" s="1052"/>
      <c r="Y585" s="1053"/>
      <c r="Z585" s="1051"/>
      <c r="AA585" s="1051"/>
      <c r="AB585" s="1052"/>
      <c r="AC585" s="1051"/>
      <c r="AD585" s="1051"/>
      <c r="AE585" s="1052"/>
      <c r="AF585" s="1051"/>
      <c r="AG585" s="1051"/>
      <c r="AH585" s="1051"/>
      <c r="AI585" s="1051"/>
      <c r="AJ585" s="1052"/>
      <c r="AK585" s="1051"/>
      <c r="AL585" s="1051"/>
      <c r="AM585" s="1052"/>
      <c r="AN585" s="1051"/>
      <c r="AO585" s="1051"/>
      <c r="AP585" s="1052"/>
      <c r="AQ585" s="1051"/>
      <c r="AR585" s="1051"/>
      <c r="AS585" s="1052"/>
      <c r="AT585" s="1051"/>
      <c r="AU585" s="1051"/>
      <c r="AV585" s="1052"/>
      <c r="AW585" s="1051"/>
      <c r="AX585" s="1051"/>
      <c r="AY585" s="1053"/>
      <c r="AZ585" s="1051"/>
      <c r="BA585" s="1051"/>
      <c r="BB585" s="1053"/>
      <c r="BC585" s="1051"/>
      <c r="BD585" s="1051"/>
      <c r="BE585" s="1053"/>
      <c r="BF585" s="1051"/>
      <c r="BG585" s="1051"/>
      <c r="BH585" s="1053"/>
      <c r="BI585" s="1052"/>
      <c r="BJ585" s="1052"/>
      <c r="BK585" s="1052"/>
      <c r="BL585" s="1052"/>
      <c r="BM585" s="1052"/>
      <c r="BN585" s="1054"/>
      <c r="BO585" s="1076">
        <f t="shared" si="10"/>
        <v>0</v>
      </c>
      <c r="BP585" s="1051"/>
      <c r="BQ585" s="1052"/>
      <c r="BR585" s="1054"/>
      <c r="BS585" s="1053"/>
      <c r="BT585" s="1051"/>
      <c r="BU585" s="1051"/>
      <c r="BV585" s="1051"/>
      <c r="BW585" s="1052"/>
      <c r="BX585" s="1052"/>
      <c r="BY585" s="1052"/>
      <c r="BZ585" s="1052"/>
      <c r="CA585" s="1052"/>
      <c r="CB585" s="1053"/>
      <c r="CC585" s="1053"/>
      <c r="CD585" s="1053"/>
      <c r="CE585" s="1053"/>
      <c r="CF585" s="1053"/>
      <c r="CG585" s="1053"/>
      <c r="CH585" s="1053"/>
      <c r="CI585" s="1123"/>
      <c r="CJ585" s="1123"/>
      <c r="CK585" s="1123"/>
      <c r="CL585" s="1123"/>
      <c r="CM585" s="1123"/>
      <c r="CN585" s="1123"/>
      <c r="CO585" s="1123"/>
      <c r="CP585" s="1123"/>
      <c r="CQ585" s="1123"/>
      <c r="CR585" s="1123"/>
      <c r="CS585" s="1123"/>
      <c r="CT585" s="1123"/>
      <c r="CU585" s="1123"/>
      <c r="CV585" s="1123"/>
      <c r="CW585" s="1123"/>
      <c r="CX585" s="1123"/>
      <c r="CY585" s="1123"/>
      <c r="CZ585" s="1114"/>
      <c r="DA585" s="1114"/>
      <c r="DB585" s="1114"/>
      <c r="DC585" s="1114"/>
      <c r="DD585" s="1114"/>
      <c r="DE585" s="1114"/>
      <c r="DF585" s="1114"/>
      <c r="DG585" s="1114"/>
      <c r="DH585" s="1114"/>
      <c r="DI585" s="1114"/>
      <c r="DJ585" s="1114"/>
      <c r="DK585" s="1114"/>
      <c r="DL585" s="1114"/>
      <c r="DM585" s="1114"/>
      <c r="DN585" s="1114"/>
      <c r="DO585" s="1114"/>
      <c r="DP585" s="1114"/>
      <c r="DQ585" s="1114"/>
      <c r="DR585" s="1114"/>
      <c r="DS585" s="1114"/>
      <c r="DT585" s="1114"/>
      <c r="DU585" s="1114"/>
      <c r="DV585" s="1115"/>
      <c r="DW585" s="1116"/>
      <c r="DX585" s="1116"/>
      <c r="DY585" s="1116"/>
      <c r="DZ585" s="1116"/>
      <c r="EA585" s="1116"/>
      <c r="EB585" s="1116"/>
      <c r="EC585" s="1116"/>
      <c r="ED585" s="1116"/>
      <c r="EE585" s="1116"/>
      <c r="EF585" s="1116"/>
      <c r="EG585" s="1116"/>
      <c r="EH585" s="1116"/>
      <c r="EI585" s="1116"/>
      <c r="EJ585" s="1116"/>
      <c r="EK585" s="1116"/>
      <c r="EL585" s="1116"/>
      <c r="EM585" s="1116"/>
      <c r="EN585" s="1116"/>
      <c r="EO585" s="1116"/>
      <c r="EP585" s="1116"/>
      <c r="EQ585" s="1116"/>
      <c r="ER585" s="1116"/>
      <c r="ES585" s="1116"/>
    </row>
    <row r="586" spans="1:149" ht="15" customHeight="1">
      <c r="A586" s="1185">
        <v>576</v>
      </c>
      <c r="B586" s="1041"/>
      <c r="C586" s="1050"/>
      <c r="D586" s="1050"/>
      <c r="E586" s="1050"/>
      <c r="F586" s="1049"/>
      <c r="G586" s="1049"/>
      <c r="H586" s="1049"/>
      <c r="I586" s="1049"/>
      <c r="J586" s="1050"/>
      <c r="K586" s="1050"/>
      <c r="L586" s="1043"/>
      <c r="M586" s="1051"/>
      <c r="N586" s="1051"/>
      <c r="O586" s="1052"/>
      <c r="P586" s="1051"/>
      <c r="Q586" s="1051"/>
      <c r="R586" s="1052"/>
      <c r="S586" s="1051"/>
      <c r="T586" s="1051"/>
      <c r="U586" s="1052"/>
      <c r="V586" s="1051"/>
      <c r="W586" s="1051"/>
      <c r="X586" s="1052"/>
      <c r="Y586" s="1053"/>
      <c r="Z586" s="1051"/>
      <c r="AA586" s="1051"/>
      <c r="AB586" s="1052"/>
      <c r="AC586" s="1051"/>
      <c r="AD586" s="1051"/>
      <c r="AE586" s="1052"/>
      <c r="AF586" s="1051"/>
      <c r="AG586" s="1051"/>
      <c r="AH586" s="1051"/>
      <c r="AI586" s="1051"/>
      <c r="AJ586" s="1052"/>
      <c r="AK586" s="1051"/>
      <c r="AL586" s="1051"/>
      <c r="AM586" s="1052"/>
      <c r="AN586" s="1051"/>
      <c r="AO586" s="1051"/>
      <c r="AP586" s="1052"/>
      <c r="AQ586" s="1051"/>
      <c r="AR586" s="1051"/>
      <c r="AS586" s="1052"/>
      <c r="AT586" s="1051"/>
      <c r="AU586" s="1051"/>
      <c r="AV586" s="1052"/>
      <c r="AW586" s="1051"/>
      <c r="AX586" s="1051"/>
      <c r="AY586" s="1053"/>
      <c r="AZ586" s="1051"/>
      <c r="BA586" s="1051"/>
      <c r="BB586" s="1053"/>
      <c r="BC586" s="1051"/>
      <c r="BD586" s="1051"/>
      <c r="BE586" s="1053"/>
      <c r="BF586" s="1051"/>
      <c r="BG586" s="1051"/>
      <c r="BH586" s="1053"/>
      <c r="BI586" s="1052"/>
      <c r="BJ586" s="1052"/>
      <c r="BK586" s="1052"/>
      <c r="BL586" s="1052"/>
      <c r="BM586" s="1052"/>
      <c r="BN586" s="1054"/>
      <c r="BO586" s="1076">
        <f t="shared" si="10"/>
        <v>0</v>
      </c>
      <c r="BP586" s="1051"/>
      <c r="BQ586" s="1052"/>
      <c r="BR586" s="1054"/>
      <c r="BS586" s="1053"/>
      <c r="BT586" s="1051"/>
      <c r="BU586" s="1051"/>
      <c r="BV586" s="1051"/>
      <c r="BW586" s="1052"/>
      <c r="BX586" s="1052"/>
      <c r="BY586" s="1052"/>
      <c r="BZ586" s="1052"/>
      <c r="CA586" s="1052"/>
      <c r="CB586" s="1053"/>
      <c r="CC586" s="1053"/>
      <c r="CD586" s="1053"/>
      <c r="CE586" s="1053"/>
      <c r="CF586" s="1053"/>
      <c r="CG586" s="1053"/>
      <c r="CH586" s="1053"/>
      <c r="CI586" s="1123"/>
      <c r="CJ586" s="1123"/>
      <c r="CK586" s="1123"/>
      <c r="CL586" s="1123"/>
      <c r="CM586" s="1123"/>
      <c r="CN586" s="1123"/>
      <c r="CO586" s="1123"/>
      <c r="CP586" s="1123"/>
      <c r="CQ586" s="1123"/>
      <c r="CR586" s="1123"/>
      <c r="CS586" s="1123"/>
      <c r="CT586" s="1123"/>
      <c r="CU586" s="1123"/>
      <c r="CV586" s="1123"/>
      <c r="CW586" s="1123"/>
      <c r="CX586" s="1123"/>
      <c r="CY586" s="1123"/>
      <c r="CZ586" s="1114"/>
      <c r="DA586" s="1114"/>
      <c r="DB586" s="1114"/>
      <c r="DC586" s="1114"/>
      <c r="DD586" s="1114"/>
      <c r="DE586" s="1114"/>
      <c r="DF586" s="1114"/>
      <c r="DG586" s="1114"/>
      <c r="DH586" s="1114"/>
      <c r="DI586" s="1114"/>
      <c r="DJ586" s="1114"/>
      <c r="DK586" s="1114"/>
      <c r="DL586" s="1114"/>
      <c r="DM586" s="1114"/>
      <c r="DN586" s="1114"/>
      <c r="DO586" s="1114"/>
      <c r="DP586" s="1114"/>
      <c r="DQ586" s="1114"/>
      <c r="DR586" s="1114"/>
      <c r="DS586" s="1114"/>
      <c r="DT586" s="1114"/>
      <c r="DU586" s="1114"/>
      <c r="DV586" s="1115"/>
      <c r="DW586" s="1116"/>
      <c r="DX586" s="1116"/>
      <c r="DY586" s="1116"/>
      <c r="DZ586" s="1116"/>
      <c r="EA586" s="1116"/>
      <c r="EB586" s="1116"/>
      <c r="EC586" s="1116"/>
      <c r="ED586" s="1116"/>
      <c r="EE586" s="1116"/>
      <c r="EF586" s="1116"/>
      <c r="EG586" s="1116"/>
      <c r="EH586" s="1116"/>
      <c r="EI586" s="1116"/>
      <c r="EJ586" s="1116"/>
      <c r="EK586" s="1116"/>
      <c r="EL586" s="1116"/>
      <c r="EM586" s="1116"/>
      <c r="EN586" s="1116"/>
      <c r="EO586" s="1116"/>
      <c r="EP586" s="1116"/>
      <c r="EQ586" s="1116"/>
      <c r="ER586" s="1116"/>
      <c r="ES586" s="1116"/>
    </row>
    <row r="587" spans="1:149" ht="15" customHeight="1">
      <c r="A587" s="1185">
        <v>577</v>
      </c>
      <c r="B587" s="1041"/>
      <c r="C587" s="1050"/>
      <c r="D587" s="1050"/>
      <c r="E587" s="1050"/>
      <c r="F587" s="1049"/>
      <c r="G587" s="1049"/>
      <c r="H587" s="1049"/>
      <c r="I587" s="1049"/>
      <c r="J587" s="1050"/>
      <c r="K587" s="1050"/>
      <c r="L587" s="1043"/>
      <c r="M587" s="1051"/>
      <c r="N587" s="1051"/>
      <c r="O587" s="1052"/>
      <c r="P587" s="1051"/>
      <c r="Q587" s="1051"/>
      <c r="R587" s="1052"/>
      <c r="S587" s="1051"/>
      <c r="T587" s="1051"/>
      <c r="U587" s="1052"/>
      <c r="V587" s="1051"/>
      <c r="W587" s="1051"/>
      <c r="X587" s="1052"/>
      <c r="Y587" s="1053"/>
      <c r="Z587" s="1051"/>
      <c r="AA587" s="1051"/>
      <c r="AB587" s="1052"/>
      <c r="AC587" s="1051"/>
      <c r="AD587" s="1051"/>
      <c r="AE587" s="1052"/>
      <c r="AF587" s="1051"/>
      <c r="AG587" s="1051"/>
      <c r="AH587" s="1051"/>
      <c r="AI587" s="1051"/>
      <c r="AJ587" s="1052"/>
      <c r="AK587" s="1051"/>
      <c r="AL587" s="1051"/>
      <c r="AM587" s="1052"/>
      <c r="AN587" s="1051"/>
      <c r="AO587" s="1051"/>
      <c r="AP587" s="1052"/>
      <c r="AQ587" s="1051"/>
      <c r="AR587" s="1051"/>
      <c r="AS587" s="1052"/>
      <c r="AT587" s="1051"/>
      <c r="AU587" s="1051"/>
      <c r="AV587" s="1052"/>
      <c r="AW587" s="1051"/>
      <c r="AX587" s="1051"/>
      <c r="AY587" s="1053"/>
      <c r="AZ587" s="1051"/>
      <c r="BA587" s="1051"/>
      <c r="BB587" s="1053"/>
      <c r="BC587" s="1051"/>
      <c r="BD587" s="1051"/>
      <c r="BE587" s="1053"/>
      <c r="BF587" s="1051"/>
      <c r="BG587" s="1051"/>
      <c r="BH587" s="1053"/>
      <c r="BI587" s="1052"/>
      <c r="BJ587" s="1052"/>
      <c r="BK587" s="1052"/>
      <c r="BL587" s="1052"/>
      <c r="BM587" s="1052"/>
      <c r="BN587" s="1054"/>
      <c r="BO587" s="1076">
        <f t="shared" si="10"/>
        <v>0</v>
      </c>
      <c r="BP587" s="1051"/>
      <c r="BQ587" s="1052"/>
      <c r="BR587" s="1054"/>
      <c r="BS587" s="1053"/>
      <c r="BT587" s="1051"/>
      <c r="BU587" s="1051"/>
      <c r="BV587" s="1051"/>
      <c r="BW587" s="1052"/>
      <c r="BX587" s="1052"/>
      <c r="BY587" s="1052"/>
      <c r="BZ587" s="1052"/>
      <c r="CA587" s="1052"/>
      <c r="CB587" s="1053"/>
      <c r="CC587" s="1053"/>
      <c r="CD587" s="1053"/>
      <c r="CE587" s="1053"/>
      <c r="CF587" s="1053"/>
      <c r="CG587" s="1053"/>
      <c r="CH587" s="1053"/>
      <c r="CI587" s="1123"/>
      <c r="CJ587" s="1123"/>
      <c r="CK587" s="1123"/>
      <c r="CL587" s="1123"/>
      <c r="CM587" s="1123"/>
      <c r="CN587" s="1123"/>
      <c r="CO587" s="1123"/>
      <c r="CP587" s="1123"/>
      <c r="CQ587" s="1123"/>
      <c r="CR587" s="1123"/>
      <c r="CS587" s="1123"/>
      <c r="CT587" s="1123"/>
      <c r="CU587" s="1123"/>
      <c r="CV587" s="1123"/>
      <c r="CW587" s="1123"/>
      <c r="CX587" s="1123"/>
      <c r="CY587" s="1123"/>
      <c r="CZ587" s="1114"/>
      <c r="DA587" s="1114"/>
      <c r="DB587" s="1114"/>
      <c r="DC587" s="1114"/>
      <c r="DD587" s="1114"/>
      <c r="DE587" s="1114"/>
      <c r="DF587" s="1114"/>
      <c r="DG587" s="1114"/>
      <c r="DH587" s="1114"/>
      <c r="DI587" s="1114"/>
      <c r="DJ587" s="1114"/>
      <c r="DK587" s="1114"/>
      <c r="DL587" s="1114"/>
      <c r="DM587" s="1114"/>
      <c r="DN587" s="1114"/>
      <c r="DO587" s="1114"/>
      <c r="DP587" s="1114"/>
      <c r="DQ587" s="1114"/>
      <c r="DR587" s="1114"/>
      <c r="DS587" s="1114"/>
      <c r="DT587" s="1114"/>
      <c r="DU587" s="1114"/>
      <c r="DV587" s="1115"/>
      <c r="DW587" s="1116"/>
      <c r="DX587" s="1116"/>
      <c r="DY587" s="1116"/>
      <c r="DZ587" s="1116"/>
      <c r="EA587" s="1116"/>
      <c r="EB587" s="1116"/>
      <c r="EC587" s="1116"/>
      <c r="ED587" s="1116"/>
      <c r="EE587" s="1116"/>
      <c r="EF587" s="1116"/>
      <c r="EG587" s="1116"/>
      <c r="EH587" s="1116"/>
      <c r="EI587" s="1116"/>
      <c r="EJ587" s="1116"/>
      <c r="EK587" s="1116"/>
      <c r="EL587" s="1116"/>
      <c r="EM587" s="1116"/>
      <c r="EN587" s="1116"/>
      <c r="EO587" s="1116"/>
      <c r="EP587" s="1116"/>
      <c r="EQ587" s="1116"/>
      <c r="ER587" s="1116"/>
      <c r="ES587" s="1116"/>
    </row>
    <row r="588" spans="1:149" ht="15" customHeight="1">
      <c r="A588" s="1185">
        <v>578</v>
      </c>
      <c r="B588" s="1041"/>
      <c r="C588" s="1050"/>
      <c r="D588" s="1050"/>
      <c r="E588" s="1050"/>
      <c r="F588" s="1049"/>
      <c r="G588" s="1049"/>
      <c r="H588" s="1049"/>
      <c r="I588" s="1049"/>
      <c r="J588" s="1050"/>
      <c r="K588" s="1050"/>
      <c r="L588" s="1043"/>
      <c r="M588" s="1051"/>
      <c r="N588" s="1051"/>
      <c r="O588" s="1052"/>
      <c r="P588" s="1051"/>
      <c r="Q588" s="1051"/>
      <c r="R588" s="1052"/>
      <c r="S588" s="1051"/>
      <c r="T588" s="1051"/>
      <c r="U588" s="1052"/>
      <c r="V588" s="1051"/>
      <c r="W588" s="1051"/>
      <c r="X588" s="1052"/>
      <c r="Y588" s="1053"/>
      <c r="Z588" s="1051"/>
      <c r="AA588" s="1051"/>
      <c r="AB588" s="1052"/>
      <c r="AC588" s="1051"/>
      <c r="AD588" s="1051"/>
      <c r="AE588" s="1052"/>
      <c r="AF588" s="1051"/>
      <c r="AG588" s="1051"/>
      <c r="AH588" s="1051"/>
      <c r="AI588" s="1051"/>
      <c r="AJ588" s="1052"/>
      <c r="AK588" s="1051"/>
      <c r="AL588" s="1051"/>
      <c r="AM588" s="1052"/>
      <c r="AN588" s="1051"/>
      <c r="AO588" s="1051"/>
      <c r="AP588" s="1052"/>
      <c r="AQ588" s="1051"/>
      <c r="AR588" s="1051"/>
      <c r="AS588" s="1052"/>
      <c r="AT588" s="1051"/>
      <c r="AU588" s="1051"/>
      <c r="AV588" s="1052"/>
      <c r="AW588" s="1051"/>
      <c r="AX588" s="1051"/>
      <c r="AY588" s="1053"/>
      <c r="AZ588" s="1051"/>
      <c r="BA588" s="1051"/>
      <c r="BB588" s="1053"/>
      <c r="BC588" s="1051"/>
      <c r="BD588" s="1051"/>
      <c r="BE588" s="1053"/>
      <c r="BF588" s="1051"/>
      <c r="BG588" s="1051"/>
      <c r="BH588" s="1053"/>
      <c r="BI588" s="1052"/>
      <c r="BJ588" s="1052"/>
      <c r="BK588" s="1052"/>
      <c r="BL588" s="1052"/>
      <c r="BM588" s="1052"/>
      <c r="BN588" s="1054"/>
      <c r="BO588" s="1076">
        <f t="shared" si="10"/>
        <v>0</v>
      </c>
      <c r="BP588" s="1051"/>
      <c r="BQ588" s="1052"/>
      <c r="BR588" s="1054"/>
      <c r="BS588" s="1053"/>
      <c r="BT588" s="1051"/>
      <c r="BU588" s="1051"/>
      <c r="BV588" s="1051"/>
      <c r="BW588" s="1052"/>
      <c r="BX588" s="1052"/>
      <c r="BY588" s="1052"/>
      <c r="BZ588" s="1052"/>
      <c r="CA588" s="1052"/>
      <c r="CB588" s="1053"/>
      <c r="CC588" s="1053"/>
      <c r="CD588" s="1053"/>
      <c r="CE588" s="1053"/>
      <c r="CF588" s="1053"/>
      <c r="CG588" s="1053"/>
      <c r="CH588" s="1053"/>
      <c r="CI588" s="1123"/>
      <c r="CJ588" s="1123"/>
      <c r="CK588" s="1123"/>
      <c r="CL588" s="1123"/>
      <c r="CM588" s="1123"/>
      <c r="CN588" s="1123"/>
      <c r="CO588" s="1123"/>
      <c r="CP588" s="1123"/>
      <c r="CQ588" s="1123"/>
      <c r="CR588" s="1123"/>
      <c r="CS588" s="1123"/>
      <c r="CT588" s="1123"/>
      <c r="CU588" s="1123"/>
      <c r="CV588" s="1123"/>
      <c r="CW588" s="1123"/>
      <c r="CX588" s="1123"/>
      <c r="CY588" s="1123"/>
      <c r="CZ588" s="1114"/>
      <c r="DA588" s="1114"/>
      <c r="DB588" s="1114"/>
      <c r="DC588" s="1114"/>
      <c r="DD588" s="1114"/>
      <c r="DE588" s="1114"/>
      <c r="DF588" s="1114"/>
      <c r="DG588" s="1114"/>
      <c r="DH588" s="1114"/>
      <c r="DI588" s="1114"/>
      <c r="DJ588" s="1114"/>
      <c r="DK588" s="1114"/>
      <c r="DL588" s="1114"/>
      <c r="DM588" s="1114"/>
      <c r="DN588" s="1114"/>
      <c r="DO588" s="1114"/>
      <c r="DP588" s="1114"/>
      <c r="DQ588" s="1114"/>
      <c r="DR588" s="1114"/>
      <c r="DS588" s="1114"/>
      <c r="DT588" s="1114"/>
      <c r="DU588" s="1114"/>
      <c r="DV588" s="1115"/>
      <c r="DW588" s="1116"/>
      <c r="DX588" s="1116"/>
      <c r="DY588" s="1116"/>
      <c r="DZ588" s="1116"/>
      <c r="EA588" s="1116"/>
      <c r="EB588" s="1116"/>
      <c r="EC588" s="1116"/>
      <c r="ED588" s="1116"/>
      <c r="EE588" s="1116"/>
      <c r="EF588" s="1116"/>
      <c r="EG588" s="1116"/>
      <c r="EH588" s="1116"/>
      <c r="EI588" s="1116"/>
      <c r="EJ588" s="1116"/>
      <c r="EK588" s="1116"/>
      <c r="EL588" s="1116"/>
      <c r="EM588" s="1116"/>
      <c r="EN588" s="1116"/>
      <c r="EO588" s="1116"/>
      <c r="EP588" s="1116"/>
      <c r="EQ588" s="1116"/>
      <c r="ER588" s="1116"/>
      <c r="ES588" s="1116"/>
    </row>
    <row r="589" spans="1:149" ht="15" customHeight="1">
      <c r="A589" s="1185">
        <v>579</v>
      </c>
      <c r="B589" s="1041"/>
      <c r="C589" s="1050"/>
      <c r="D589" s="1050"/>
      <c r="E589" s="1050"/>
      <c r="F589" s="1049"/>
      <c r="G589" s="1049"/>
      <c r="H589" s="1049"/>
      <c r="I589" s="1049"/>
      <c r="J589" s="1050"/>
      <c r="K589" s="1050"/>
      <c r="L589" s="1043"/>
      <c r="M589" s="1051"/>
      <c r="N589" s="1051"/>
      <c r="O589" s="1052"/>
      <c r="P589" s="1051"/>
      <c r="Q589" s="1051"/>
      <c r="R589" s="1052"/>
      <c r="S589" s="1051"/>
      <c r="T589" s="1051"/>
      <c r="U589" s="1052"/>
      <c r="V589" s="1051"/>
      <c r="W589" s="1051"/>
      <c r="X589" s="1052"/>
      <c r="Y589" s="1053"/>
      <c r="Z589" s="1051"/>
      <c r="AA589" s="1051"/>
      <c r="AB589" s="1052"/>
      <c r="AC589" s="1051"/>
      <c r="AD589" s="1051"/>
      <c r="AE589" s="1052"/>
      <c r="AF589" s="1051"/>
      <c r="AG589" s="1051"/>
      <c r="AH589" s="1051"/>
      <c r="AI589" s="1051"/>
      <c r="AJ589" s="1052"/>
      <c r="AK589" s="1051"/>
      <c r="AL589" s="1051"/>
      <c r="AM589" s="1052"/>
      <c r="AN589" s="1051"/>
      <c r="AO589" s="1051"/>
      <c r="AP589" s="1052"/>
      <c r="AQ589" s="1051"/>
      <c r="AR589" s="1051"/>
      <c r="AS589" s="1052"/>
      <c r="AT589" s="1051"/>
      <c r="AU589" s="1051"/>
      <c r="AV589" s="1052"/>
      <c r="AW589" s="1051"/>
      <c r="AX589" s="1051"/>
      <c r="AY589" s="1053"/>
      <c r="AZ589" s="1051"/>
      <c r="BA589" s="1051"/>
      <c r="BB589" s="1053"/>
      <c r="BC589" s="1051"/>
      <c r="BD589" s="1051"/>
      <c r="BE589" s="1053"/>
      <c r="BF589" s="1051"/>
      <c r="BG589" s="1051"/>
      <c r="BH589" s="1053"/>
      <c r="BI589" s="1052"/>
      <c r="BJ589" s="1052"/>
      <c r="BK589" s="1052"/>
      <c r="BL589" s="1052"/>
      <c r="BM589" s="1052"/>
      <c r="BN589" s="1054"/>
      <c r="BO589" s="1076">
        <f t="shared" si="10"/>
        <v>0</v>
      </c>
      <c r="BP589" s="1051"/>
      <c r="BQ589" s="1052"/>
      <c r="BR589" s="1054"/>
      <c r="BS589" s="1053"/>
      <c r="BT589" s="1051"/>
      <c r="BU589" s="1051"/>
      <c r="BV589" s="1051"/>
      <c r="BW589" s="1052"/>
      <c r="BX589" s="1052"/>
      <c r="BY589" s="1052"/>
      <c r="BZ589" s="1052"/>
      <c r="CA589" s="1052"/>
      <c r="CB589" s="1053"/>
      <c r="CC589" s="1053"/>
      <c r="CD589" s="1053"/>
      <c r="CE589" s="1053"/>
      <c r="CF589" s="1053"/>
      <c r="CG589" s="1053"/>
      <c r="CH589" s="1053"/>
      <c r="CI589" s="1123"/>
      <c r="CJ589" s="1123"/>
      <c r="CK589" s="1123"/>
      <c r="CL589" s="1123"/>
      <c r="CM589" s="1123"/>
      <c r="CN589" s="1123"/>
      <c r="CO589" s="1123"/>
      <c r="CP589" s="1123"/>
      <c r="CQ589" s="1123"/>
      <c r="CR589" s="1123"/>
      <c r="CS589" s="1123"/>
      <c r="CT589" s="1123"/>
      <c r="CU589" s="1123"/>
      <c r="CV589" s="1123"/>
      <c r="CW589" s="1123"/>
      <c r="CX589" s="1123"/>
      <c r="CY589" s="1123"/>
      <c r="CZ589" s="1114"/>
      <c r="DA589" s="1114"/>
      <c r="DB589" s="1114"/>
      <c r="DC589" s="1114"/>
      <c r="DD589" s="1114"/>
      <c r="DE589" s="1114"/>
      <c r="DF589" s="1114"/>
      <c r="DG589" s="1114"/>
      <c r="DH589" s="1114"/>
      <c r="DI589" s="1114"/>
      <c r="DJ589" s="1114"/>
      <c r="DK589" s="1114"/>
      <c r="DL589" s="1114"/>
      <c r="DM589" s="1114"/>
      <c r="DN589" s="1114"/>
      <c r="DO589" s="1114"/>
      <c r="DP589" s="1114"/>
      <c r="DQ589" s="1114"/>
      <c r="DR589" s="1114"/>
      <c r="DS589" s="1114"/>
      <c r="DT589" s="1114"/>
      <c r="DU589" s="1114"/>
      <c r="DV589" s="1115"/>
      <c r="DW589" s="1116"/>
      <c r="DX589" s="1116"/>
      <c r="DY589" s="1116"/>
      <c r="DZ589" s="1116"/>
      <c r="EA589" s="1116"/>
      <c r="EB589" s="1116"/>
      <c r="EC589" s="1116"/>
      <c r="ED589" s="1116"/>
      <c r="EE589" s="1116"/>
      <c r="EF589" s="1116"/>
      <c r="EG589" s="1116"/>
      <c r="EH589" s="1116"/>
      <c r="EI589" s="1116"/>
      <c r="EJ589" s="1116"/>
      <c r="EK589" s="1116"/>
      <c r="EL589" s="1116"/>
      <c r="EM589" s="1116"/>
      <c r="EN589" s="1116"/>
      <c r="EO589" s="1116"/>
      <c r="EP589" s="1116"/>
      <c r="EQ589" s="1116"/>
      <c r="ER589" s="1116"/>
      <c r="ES589" s="1116"/>
    </row>
    <row r="590" spans="1:149" ht="15" customHeight="1">
      <c r="A590" s="1185">
        <v>580</v>
      </c>
      <c r="B590" s="1041"/>
      <c r="C590" s="1050"/>
      <c r="D590" s="1050"/>
      <c r="E590" s="1050"/>
      <c r="F590" s="1049"/>
      <c r="G590" s="1049"/>
      <c r="H590" s="1049"/>
      <c r="I590" s="1049"/>
      <c r="J590" s="1050"/>
      <c r="K590" s="1050"/>
      <c r="L590" s="1043"/>
      <c r="M590" s="1051"/>
      <c r="N590" s="1051"/>
      <c r="O590" s="1052"/>
      <c r="P590" s="1051"/>
      <c r="Q590" s="1051"/>
      <c r="R590" s="1052"/>
      <c r="S590" s="1051"/>
      <c r="T590" s="1051"/>
      <c r="U590" s="1052"/>
      <c r="V590" s="1051"/>
      <c r="W590" s="1051"/>
      <c r="X590" s="1052"/>
      <c r="Y590" s="1053"/>
      <c r="Z590" s="1051"/>
      <c r="AA590" s="1051"/>
      <c r="AB590" s="1052"/>
      <c r="AC590" s="1051"/>
      <c r="AD590" s="1051"/>
      <c r="AE590" s="1052"/>
      <c r="AF590" s="1051"/>
      <c r="AG590" s="1051"/>
      <c r="AH590" s="1051"/>
      <c r="AI590" s="1051"/>
      <c r="AJ590" s="1052"/>
      <c r="AK590" s="1051"/>
      <c r="AL590" s="1051"/>
      <c r="AM590" s="1052"/>
      <c r="AN590" s="1051"/>
      <c r="AO590" s="1051"/>
      <c r="AP590" s="1052"/>
      <c r="AQ590" s="1051"/>
      <c r="AR590" s="1051"/>
      <c r="AS590" s="1052"/>
      <c r="AT590" s="1051"/>
      <c r="AU590" s="1051"/>
      <c r="AV590" s="1052"/>
      <c r="AW590" s="1051"/>
      <c r="AX590" s="1051"/>
      <c r="AY590" s="1053"/>
      <c r="AZ590" s="1051"/>
      <c r="BA590" s="1051"/>
      <c r="BB590" s="1053"/>
      <c r="BC590" s="1051"/>
      <c r="BD590" s="1051"/>
      <c r="BE590" s="1053"/>
      <c r="BF590" s="1051"/>
      <c r="BG590" s="1051"/>
      <c r="BH590" s="1053"/>
      <c r="BI590" s="1052"/>
      <c r="BJ590" s="1052"/>
      <c r="BK590" s="1052"/>
      <c r="BL590" s="1052"/>
      <c r="BM590" s="1052"/>
      <c r="BN590" s="1054"/>
      <c r="BO590" s="1076">
        <f t="shared" si="10"/>
        <v>0</v>
      </c>
      <c r="BP590" s="1051"/>
      <c r="BQ590" s="1052"/>
      <c r="BR590" s="1054"/>
      <c r="BS590" s="1053"/>
      <c r="BT590" s="1051"/>
      <c r="BU590" s="1051"/>
      <c r="BV590" s="1051"/>
      <c r="BW590" s="1052"/>
      <c r="BX590" s="1052"/>
      <c r="BY590" s="1052"/>
      <c r="BZ590" s="1052"/>
      <c r="CA590" s="1052"/>
      <c r="CB590" s="1053"/>
      <c r="CC590" s="1053"/>
      <c r="CD590" s="1053"/>
      <c r="CE590" s="1053"/>
      <c r="CF590" s="1053"/>
      <c r="CG590" s="1053"/>
      <c r="CH590" s="1053"/>
      <c r="CI590" s="1123"/>
      <c r="CJ590" s="1123"/>
      <c r="CK590" s="1123"/>
      <c r="CL590" s="1123"/>
      <c r="CM590" s="1123"/>
      <c r="CN590" s="1123"/>
      <c r="CO590" s="1123"/>
      <c r="CP590" s="1123"/>
      <c r="CQ590" s="1123"/>
      <c r="CR590" s="1123"/>
      <c r="CS590" s="1123"/>
      <c r="CT590" s="1123"/>
      <c r="CU590" s="1123"/>
      <c r="CV590" s="1123"/>
      <c r="CW590" s="1123"/>
      <c r="CX590" s="1123"/>
      <c r="CY590" s="1123"/>
      <c r="CZ590" s="1114"/>
      <c r="DA590" s="1114"/>
      <c r="DB590" s="1114"/>
      <c r="DC590" s="1114"/>
      <c r="DD590" s="1114"/>
      <c r="DE590" s="1114"/>
      <c r="DF590" s="1114"/>
      <c r="DG590" s="1114"/>
      <c r="DH590" s="1114"/>
      <c r="DI590" s="1114"/>
      <c r="DJ590" s="1114"/>
      <c r="DK590" s="1114"/>
      <c r="DL590" s="1114"/>
      <c r="DM590" s="1114"/>
      <c r="DN590" s="1114"/>
      <c r="DO590" s="1114"/>
      <c r="DP590" s="1114"/>
      <c r="DQ590" s="1114"/>
      <c r="DR590" s="1114"/>
      <c r="DS590" s="1114"/>
      <c r="DT590" s="1114"/>
      <c r="DU590" s="1114"/>
      <c r="DV590" s="1115"/>
      <c r="DW590" s="1116"/>
      <c r="DX590" s="1116"/>
      <c r="DY590" s="1116"/>
      <c r="DZ590" s="1116"/>
      <c r="EA590" s="1116"/>
      <c r="EB590" s="1116"/>
      <c r="EC590" s="1116"/>
      <c r="ED590" s="1116"/>
      <c r="EE590" s="1116"/>
      <c r="EF590" s="1116"/>
      <c r="EG590" s="1116"/>
      <c r="EH590" s="1116"/>
      <c r="EI590" s="1116"/>
      <c r="EJ590" s="1116"/>
      <c r="EK590" s="1116"/>
      <c r="EL590" s="1116"/>
      <c r="EM590" s="1116"/>
      <c r="EN590" s="1116"/>
      <c r="EO590" s="1116"/>
      <c r="EP590" s="1116"/>
      <c r="EQ590" s="1116"/>
      <c r="ER590" s="1116"/>
      <c r="ES590" s="1116"/>
    </row>
    <row r="591" spans="1:149" ht="15" customHeight="1">
      <c r="A591" s="1185">
        <v>581</v>
      </c>
      <c r="B591" s="1041"/>
      <c r="C591" s="1050"/>
      <c r="D591" s="1050"/>
      <c r="E591" s="1050"/>
      <c r="F591" s="1049"/>
      <c r="G591" s="1049"/>
      <c r="H591" s="1049"/>
      <c r="I591" s="1049"/>
      <c r="J591" s="1050"/>
      <c r="K591" s="1050"/>
      <c r="L591" s="1043"/>
      <c r="M591" s="1051"/>
      <c r="N591" s="1051"/>
      <c r="O591" s="1052"/>
      <c r="P591" s="1051"/>
      <c r="Q591" s="1051"/>
      <c r="R591" s="1052"/>
      <c r="S591" s="1051"/>
      <c r="T591" s="1051"/>
      <c r="U591" s="1052"/>
      <c r="V591" s="1051"/>
      <c r="W591" s="1051"/>
      <c r="X591" s="1052"/>
      <c r="Y591" s="1053"/>
      <c r="Z591" s="1051"/>
      <c r="AA591" s="1051"/>
      <c r="AB591" s="1052"/>
      <c r="AC591" s="1051"/>
      <c r="AD591" s="1051"/>
      <c r="AE591" s="1052"/>
      <c r="AF591" s="1051"/>
      <c r="AG591" s="1051"/>
      <c r="AH591" s="1051"/>
      <c r="AI591" s="1051"/>
      <c r="AJ591" s="1052"/>
      <c r="AK591" s="1051"/>
      <c r="AL591" s="1051"/>
      <c r="AM591" s="1052"/>
      <c r="AN591" s="1051"/>
      <c r="AO591" s="1051"/>
      <c r="AP591" s="1052"/>
      <c r="AQ591" s="1051"/>
      <c r="AR591" s="1051"/>
      <c r="AS591" s="1052"/>
      <c r="AT591" s="1051"/>
      <c r="AU591" s="1051"/>
      <c r="AV591" s="1052"/>
      <c r="AW591" s="1051"/>
      <c r="AX591" s="1051"/>
      <c r="AY591" s="1053"/>
      <c r="AZ591" s="1051"/>
      <c r="BA591" s="1051"/>
      <c r="BB591" s="1053"/>
      <c r="BC591" s="1051"/>
      <c r="BD591" s="1051"/>
      <c r="BE591" s="1053"/>
      <c r="BF591" s="1051"/>
      <c r="BG591" s="1051"/>
      <c r="BH591" s="1053"/>
      <c r="BI591" s="1052"/>
      <c r="BJ591" s="1052"/>
      <c r="BK591" s="1052"/>
      <c r="BL591" s="1052"/>
      <c r="BM591" s="1052"/>
      <c r="BN591" s="1054"/>
      <c r="BO591" s="1076">
        <f t="shared" si="10"/>
        <v>0</v>
      </c>
      <c r="BP591" s="1051"/>
      <c r="BQ591" s="1052"/>
      <c r="BR591" s="1054"/>
      <c r="BS591" s="1053"/>
      <c r="BT591" s="1051"/>
      <c r="BU591" s="1051"/>
      <c r="BV591" s="1051"/>
      <c r="BW591" s="1052"/>
      <c r="BX591" s="1052"/>
      <c r="BY591" s="1052"/>
      <c r="BZ591" s="1052"/>
      <c r="CA591" s="1052"/>
      <c r="CB591" s="1053"/>
      <c r="CC591" s="1053"/>
      <c r="CD591" s="1053"/>
      <c r="CE591" s="1053"/>
      <c r="CF591" s="1053"/>
      <c r="CG591" s="1053"/>
      <c r="CH591" s="1053"/>
      <c r="CI591" s="1123"/>
      <c r="CJ591" s="1123"/>
      <c r="CK591" s="1123"/>
      <c r="CL591" s="1123"/>
      <c r="CM591" s="1123"/>
      <c r="CN591" s="1123"/>
      <c r="CO591" s="1123"/>
      <c r="CP591" s="1123"/>
      <c r="CQ591" s="1123"/>
      <c r="CR591" s="1123"/>
      <c r="CS591" s="1123"/>
      <c r="CT591" s="1123"/>
      <c r="CU591" s="1123"/>
      <c r="CV591" s="1123"/>
      <c r="CW591" s="1123"/>
      <c r="CX591" s="1123"/>
      <c r="CY591" s="1123"/>
      <c r="CZ591" s="1114"/>
      <c r="DA591" s="1114"/>
      <c r="DB591" s="1114"/>
      <c r="DC591" s="1114"/>
      <c r="DD591" s="1114"/>
      <c r="DE591" s="1114"/>
      <c r="DF591" s="1114"/>
      <c r="DG591" s="1114"/>
      <c r="DH591" s="1114"/>
      <c r="DI591" s="1114"/>
      <c r="DJ591" s="1114"/>
      <c r="DK591" s="1114"/>
      <c r="DL591" s="1114"/>
      <c r="DM591" s="1114"/>
      <c r="DN591" s="1114"/>
      <c r="DO591" s="1114"/>
      <c r="DP591" s="1114"/>
      <c r="DQ591" s="1114"/>
      <c r="DR591" s="1114"/>
      <c r="DS591" s="1114"/>
      <c r="DT591" s="1114"/>
      <c r="DU591" s="1114"/>
      <c r="DV591" s="1115"/>
      <c r="DW591" s="1116"/>
      <c r="DX591" s="1116"/>
      <c r="DY591" s="1116"/>
      <c r="DZ591" s="1116"/>
      <c r="EA591" s="1116"/>
      <c r="EB591" s="1116"/>
      <c r="EC591" s="1116"/>
      <c r="ED591" s="1116"/>
      <c r="EE591" s="1116"/>
      <c r="EF591" s="1116"/>
      <c r="EG591" s="1116"/>
      <c r="EH591" s="1116"/>
      <c r="EI591" s="1116"/>
      <c r="EJ591" s="1116"/>
      <c r="EK591" s="1116"/>
      <c r="EL591" s="1116"/>
      <c r="EM591" s="1116"/>
      <c r="EN591" s="1116"/>
      <c r="EO591" s="1116"/>
      <c r="EP591" s="1116"/>
      <c r="EQ591" s="1116"/>
      <c r="ER591" s="1116"/>
      <c r="ES591" s="1116"/>
    </row>
    <row r="592" spans="1:149" ht="15" customHeight="1">
      <c r="A592" s="1185">
        <v>582</v>
      </c>
      <c r="B592" s="1041"/>
      <c r="C592" s="1050"/>
      <c r="D592" s="1050"/>
      <c r="E592" s="1050"/>
      <c r="F592" s="1049"/>
      <c r="G592" s="1049"/>
      <c r="H592" s="1049"/>
      <c r="I592" s="1049"/>
      <c r="J592" s="1050"/>
      <c r="K592" s="1050"/>
      <c r="L592" s="1043"/>
      <c r="M592" s="1051"/>
      <c r="N592" s="1051"/>
      <c r="O592" s="1052"/>
      <c r="P592" s="1051"/>
      <c r="Q592" s="1051"/>
      <c r="R592" s="1052"/>
      <c r="S592" s="1051"/>
      <c r="T592" s="1051"/>
      <c r="U592" s="1052"/>
      <c r="V592" s="1051"/>
      <c r="W592" s="1051"/>
      <c r="X592" s="1052"/>
      <c r="Y592" s="1053"/>
      <c r="Z592" s="1051"/>
      <c r="AA592" s="1051"/>
      <c r="AB592" s="1052"/>
      <c r="AC592" s="1051"/>
      <c r="AD592" s="1051"/>
      <c r="AE592" s="1052"/>
      <c r="AF592" s="1051"/>
      <c r="AG592" s="1051"/>
      <c r="AH592" s="1051"/>
      <c r="AI592" s="1051"/>
      <c r="AJ592" s="1052"/>
      <c r="AK592" s="1051"/>
      <c r="AL592" s="1051"/>
      <c r="AM592" s="1052"/>
      <c r="AN592" s="1051"/>
      <c r="AO592" s="1051"/>
      <c r="AP592" s="1052"/>
      <c r="AQ592" s="1051"/>
      <c r="AR592" s="1051"/>
      <c r="AS592" s="1052"/>
      <c r="AT592" s="1051"/>
      <c r="AU592" s="1051"/>
      <c r="AV592" s="1052"/>
      <c r="AW592" s="1051"/>
      <c r="AX592" s="1051"/>
      <c r="AY592" s="1053"/>
      <c r="AZ592" s="1051"/>
      <c r="BA592" s="1051"/>
      <c r="BB592" s="1053"/>
      <c r="BC592" s="1051"/>
      <c r="BD592" s="1051"/>
      <c r="BE592" s="1053"/>
      <c r="BF592" s="1051"/>
      <c r="BG592" s="1051"/>
      <c r="BH592" s="1053"/>
      <c r="BI592" s="1052"/>
      <c r="BJ592" s="1052"/>
      <c r="BK592" s="1052"/>
      <c r="BL592" s="1052"/>
      <c r="BM592" s="1052"/>
      <c r="BN592" s="1054"/>
      <c r="BO592" s="1076">
        <f t="shared" si="10"/>
        <v>0</v>
      </c>
      <c r="BP592" s="1051"/>
      <c r="BQ592" s="1052"/>
      <c r="BR592" s="1054"/>
      <c r="BS592" s="1053"/>
      <c r="BT592" s="1051"/>
      <c r="BU592" s="1051"/>
      <c r="BV592" s="1051"/>
      <c r="BW592" s="1052"/>
      <c r="BX592" s="1052"/>
      <c r="BY592" s="1052"/>
      <c r="BZ592" s="1052"/>
      <c r="CA592" s="1052"/>
      <c r="CB592" s="1053"/>
      <c r="CC592" s="1053"/>
      <c r="CD592" s="1053"/>
      <c r="CE592" s="1053"/>
      <c r="CF592" s="1053"/>
      <c r="CG592" s="1053"/>
      <c r="CH592" s="1053"/>
      <c r="CI592" s="1123"/>
      <c r="CJ592" s="1123"/>
      <c r="CK592" s="1123"/>
      <c r="CL592" s="1123"/>
      <c r="CM592" s="1123"/>
      <c r="CN592" s="1123"/>
      <c r="CO592" s="1123"/>
      <c r="CP592" s="1123"/>
      <c r="CQ592" s="1123"/>
      <c r="CR592" s="1123"/>
      <c r="CS592" s="1123"/>
      <c r="CT592" s="1123"/>
      <c r="CU592" s="1123"/>
      <c r="CV592" s="1123"/>
      <c r="CW592" s="1123"/>
      <c r="CX592" s="1123"/>
      <c r="CY592" s="1123"/>
      <c r="CZ592" s="1114"/>
      <c r="DA592" s="1114"/>
      <c r="DB592" s="1114"/>
      <c r="DC592" s="1114"/>
      <c r="DD592" s="1114"/>
      <c r="DE592" s="1114"/>
      <c r="DF592" s="1114"/>
      <c r="DG592" s="1114"/>
      <c r="DH592" s="1114"/>
      <c r="DI592" s="1114"/>
      <c r="DJ592" s="1114"/>
      <c r="DK592" s="1114"/>
      <c r="DL592" s="1114"/>
      <c r="DM592" s="1114"/>
      <c r="DN592" s="1114"/>
      <c r="DO592" s="1114"/>
      <c r="DP592" s="1114"/>
      <c r="DQ592" s="1114"/>
      <c r="DR592" s="1114"/>
      <c r="DS592" s="1114"/>
      <c r="DT592" s="1114"/>
      <c r="DU592" s="1114"/>
      <c r="DV592" s="1115"/>
      <c r="DW592" s="1116"/>
      <c r="DX592" s="1116"/>
      <c r="DY592" s="1116"/>
      <c r="DZ592" s="1116"/>
      <c r="EA592" s="1116"/>
      <c r="EB592" s="1116"/>
      <c r="EC592" s="1116"/>
      <c r="ED592" s="1116"/>
      <c r="EE592" s="1116"/>
      <c r="EF592" s="1116"/>
      <c r="EG592" s="1116"/>
      <c r="EH592" s="1116"/>
      <c r="EI592" s="1116"/>
      <c r="EJ592" s="1116"/>
      <c r="EK592" s="1116"/>
      <c r="EL592" s="1116"/>
      <c r="EM592" s="1116"/>
      <c r="EN592" s="1116"/>
      <c r="EO592" s="1116"/>
      <c r="EP592" s="1116"/>
      <c r="EQ592" s="1116"/>
      <c r="ER592" s="1116"/>
      <c r="ES592" s="1116"/>
    </row>
    <row r="593" spans="1:149" ht="15" customHeight="1">
      <c r="A593" s="1185">
        <v>583</v>
      </c>
      <c r="B593" s="1041"/>
      <c r="C593" s="1050"/>
      <c r="D593" s="1050"/>
      <c r="E593" s="1050"/>
      <c r="F593" s="1049"/>
      <c r="G593" s="1049"/>
      <c r="H593" s="1049"/>
      <c r="I593" s="1049"/>
      <c r="J593" s="1050"/>
      <c r="K593" s="1050"/>
      <c r="L593" s="1043"/>
      <c r="M593" s="1051"/>
      <c r="N593" s="1051"/>
      <c r="O593" s="1052"/>
      <c r="P593" s="1051"/>
      <c r="Q593" s="1051"/>
      <c r="R593" s="1052"/>
      <c r="S593" s="1051"/>
      <c r="T593" s="1051"/>
      <c r="U593" s="1052"/>
      <c r="V593" s="1051"/>
      <c r="W593" s="1051"/>
      <c r="X593" s="1052"/>
      <c r="Y593" s="1053"/>
      <c r="Z593" s="1051"/>
      <c r="AA593" s="1051"/>
      <c r="AB593" s="1052"/>
      <c r="AC593" s="1051"/>
      <c r="AD593" s="1051"/>
      <c r="AE593" s="1052"/>
      <c r="AF593" s="1051"/>
      <c r="AG593" s="1051"/>
      <c r="AH593" s="1051"/>
      <c r="AI593" s="1051"/>
      <c r="AJ593" s="1052"/>
      <c r="AK593" s="1051"/>
      <c r="AL593" s="1051"/>
      <c r="AM593" s="1052"/>
      <c r="AN593" s="1051"/>
      <c r="AO593" s="1051"/>
      <c r="AP593" s="1052"/>
      <c r="AQ593" s="1051"/>
      <c r="AR593" s="1051"/>
      <c r="AS593" s="1052"/>
      <c r="AT593" s="1051"/>
      <c r="AU593" s="1051"/>
      <c r="AV593" s="1052"/>
      <c r="AW593" s="1051"/>
      <c r="AX593" s="1051"/>
      <c r="AY593" s="1053"/>
      <c r="AZ593" s="1051"/>
      <c r="BA593" s="1051"/>
      <c r="BB593" s="1053"/>
      <c r="BC593" s="1051"/>
      <c r="BD593" s="1051"/>
      <c r="BE593" s="1053"/>
      <c r="BF593" s="1051"/>
      <c r="BG593" s="1051"/>
      <c r="BH593" s="1053"/>
      <c r="BI593" s="1052"/>
      <c r="BJ593" s="1052"/>
      <c r="BK593" s="1052"/>
      <c r="BL593" s="1052"/>
      <c r="BM593" s="1052"/>
      <c r="BN593" s="1054"/>
      <c r="BO593" s="1076">
        <f t="shared" si="10"/>
        <v>0</v>
      </c>
      <c r="BP593" s="1051"/>
      <c r="BQ593" s="1052"/>
      <c r="BR593" s="1054"/>
      <c r="BS593" s="1053"/>
      <c r="BT593" s="1051"/>
      <c r="BU593" s="1051"/>
      <c r="BV593" s="1051"/>
      <c r="BW593" s="1052"/>
      <c r="BX593" s="1052"/>
      <c r="BY593" s="1052"/>
      <c r="BZ593" s="1052"/>
      <c r="CA593" s="1052"/>
      <c r="CB593" s="1053"/>
      <c r="CC593" s="1053"/>
      <c r="CD593" s="1053"/>
      <c r="CE593" s="1053"/>
      <c r="CF593" s="1053"/>
      <c r="CG593" s="1053"/>
      <c r="CH593" s="1053"/>
      <c r="CI593" s="1123"/>
      <c r="CJ593" s="1123"/>
      <c r="CK593" s="1123"/>
      <c r="CL593" s="1123"/>
      <c r="CM593" s="1123"/>
      <c r="CN593" s="1123"/>
      <c r="CO593" s="1123"/>
      <c r="CP593" s="1123"/>
      <c r="CQ593" s="1123"/>
      <c r="CR593" s="1123"/>
      <c r="CS593" s="1123"/>
      <c r="CT593" s="1123"/>
      <c r="CU593" s="1123"/>
      <c r="CV593" s="1123"/>
      <c r="CW593" s="1123"/>
      <c r="CX593" s="1123"/>
      <c r="CY593" s="1123"/>
      <c r="CZ593" s="1114"/>
      <c r="DA593" s="1114"/>
      <c r="DB593" s="1114"/>
      <c r="DC593" s="1114"/>
      <c r="DD593" s="1114"/>
      <c r="DE593" s="1114"/>
      <c r="DF593" s="1114"/>
      <c r="DG593" s="1114"/>
      <c r="DH593" s="1114"/>
      <c r="DI593" s="1114"/>
      <c r="DJ593" s="1114"/>
      <c r="DK593" s="1114"/>
      <c r="DL593" s="1114"/>
      <c r="DM593" s="1114"/>
      <c r="DN593" s="1114"/>
      <c r="DO593" s="1114"/>
      <c r="DP593" s="1114"/>
      <c r="DQ593" s="1114"/>
      <c r="DR593" s="1114"/>
      <c r="DS593" s="1114"/>
      <c r="DT593" s="1114"/>
      <c r="DU593" s="1114"/>
      <c r="DV593" s="1115"/>
      <c r="DW593" s="1116"/>
      <c r="DX593" s="1116"/>
      <c r="DY593" s="1116"/>
      <c r="DZ593" s="1116"/>
      <c r="EA593" s="1116"/>
      <c r="EB593" s="1116"/>
      <c r="EC593" s="1116"/>
      <c r="ED593" s="1116"/>
      <c r="EE593" s="1116"/>
      <c r="EF593" s="1116"/>
      <c r="EG593" s="1116"/>
      <c r="EH593" s="1116"/>
      <c r="EI593" s="1116"/>
      <c r="EJ593" s="1116"/>
      <c r="EK593" s="1116"/>
      <c r="EL593" s="1116"/>
      <c r="EM593" s="1116"/>
      <c r="EN593" s="1116"/>
      <c r="EO593" s="1116"/>
      <c r="EP593" s="1116"/>
      <c r="EQ593" s="1116"/>
      <c r="ER593" s="1116"/>
      <c r="ES593" s="1116"/>
    </row>
    <row r="594" spans="1:149" ht="15" customHeight="1">
      <c r="A594" s="1185">
        <v>584</v>
      </c>
      <c r="B594" s="1041"/>
      <c r="C594" s="1050"/>
      <c r="D594" s="1050"/>
      <c r="E594" s="1050"/>
      <c r="F594" s="1049"/>
      <c r="G594" s="1049"/>
      <c r="H594" s="1049"/>
      <c r="I594" s="1049"/>
      <c r="J594" s="1050"/>
      <c r="K594" s="1050"/>
      <c r="L594" s="1043"/>
      <c r="M594" s="1051"/>
      <c r="N594" s="1051"/>
      <c r="O594" s="1052"/>
      <c r="P594" s="1051"/>
      <c r="Q594" s="1051"/>
      <c r="R594" s="1052"/>
      <c r="S594" s="1051"/>
      <c r="T594" s="1051"/>
      <c r="U594" s="1052"/>
      <c r="V594" s="1051"/>
      <c r="W594" s="1051"/>
      <c r="X594" s="1052"/>
      <c r="Y594" s="1053"/>
      <c r="Z594" s="1051"/>
      <c r="AA594" s="1051"/>
      <c r="AB594" s="1052"/>
      <c r="AC594" s="1051"/>
      <c r="AD594" s="1051"/>
      <c r="AE594" s="1052"/>
      <c r="AF594" s="1051"/>
      <c r="AG594" s="1051"/>
      <c r="AH594" s="1051"/>
      <c r="AI594" s="1051"/>
      <c r="AJ594" s="1052"/>
      <c r="AK594" s="1051"/>
      <c r="AL594" s="1051"/>
      <c r="AM594" s="1052"/>
      <c r="AN594" s="1051"/>
      <c r="AO594" s="1051"/>
      <c r="AP594" s="1052"/>
      <c r="AQ594" s="1051"/>
      <c r="AR594" s="1051"/>
      <c r="AS594" s="1052"/>
      <c r="AT594" s="1051"/>
      <c r="AU594" s="1051"/>
      <c r="AV594" s="1052"/>
      <c r="AW594" s="1051"/>
      <c r="AX594" s="1051"/>
      <c r="AY594" s="1053"/>
      <c r="AZ594" s="1051"/>
      <c r="BA594" s="1051"/>
      <c r="BB594" s="1053"/>
      <c r="BC594" s="1051"/>
      <c r="BD594" s="1051"/>
      <c r="BE594" s="1053"/>
      <c r="BF594" s="1051"/>
      <c r="BG594" s="1051"/>
      <c r="BH594" s="1053"/>
      <c r="BI594" s="1052"/>
      <c r="BJ594" s="1052"/>
      <c r="BK594" s="1052"/>
      <c r="BL594" s="1052"/>
      <c r="BM594" s="1052"/>
      <c r="BN594" s="1054"/>
      <c r="BO594" s="1076">
        <f t="shared" si="10"/>
        <v>0</v>
      </c>
      <c r="BP594" s="1051"/>
      <c r="BQ594" s="1052"/>
      <c r="BR594" s="1054"/>
      <c r="BS594" s="1053"/>
      <c r="BT594" s="1051"/>
      <c r="BU594" s="1051"/>
      <c r="BV594" s="1051"/>
      <c r="BW594" s="1052"/>
      <c r="BX594" s="1052"/>
      <c r="BY594" s="1052"/>
      <c r="BZ594" s="1052"/>
      <c r="CA594" s="1052"/>
      <c r="CB594" s="1053"/>
      <c r="CC594" s="1053"/>
      <c r="CD594" s="1053"/>
      <c r="CE594" s="1053"/>
      <c r="CF594" s="1053"/>
      <c r="CG594" s="1053"/>
      <c r="CH594" s="1053"/>
      <c r="CI594" s="1123"/>
      <c r="CJ594" s="1123"/>
      <c r="CK594" s="1123"/>
      <c r="CL594" s="1123"/>
      <c r="CM594" s="1123"/>
      <c r="CN594" s="1123"/>
      <c r="CO594" s="1123"/>
      <c r="CP594" s="1123"/>
      <c r="CQ594" s="1123"/>
      <c r="CR594" s="1123"/>
      <c r="CS594" s="1123"/>
      <c r="CT594" s="1123"/>
      <c r="CU594" s="1123"/>
      <c r="CV594" s="1123"/>
      <c r="CW594" s="1123"/>
      <c r="CX594" s="1123"/>
      <c r="CY594" s="1123"/>
      <c r="CZ594" s="1114"/>
      <c r="DA594" s="1114"/>
      <c r="DB594" s="1114"/>
      <c r="DC594" s="1114"/>
      <c r="DD594" s="1114"/>
      <c r="DE594" s="1114"/>
      <c r="DF594" s="1114"/>
      <c r="DG594" s="1114"/>
      <c r="DH594" s="1114"/>
      <c r="DI594" s="1114"/>
      <c r="DJ594" s="1114"/>
      <c r="DK594" s="1114"/>
      <c r="DL594" s="1114"/>
      <c r="DM594" s="1114"/>
      <c r="DN594" s="1114"/>
      <c r="DO594" s="1114"/>
      <c r="DP594" s="1114"/>
      <c r="DQ594" s="1114"/>
      <c r="DR594" s="1114"/>
      <c r="DS594" s="1114"/>
      <c r="DT594" s="1114"/>
      <c r="DU594" s="1114"/>
      <c r="DV594" s="1115"/>
      <c r="DW594" s="1116"/>
      <c r="DX594" s="1116"/>
      <c r="DY594" s="1116"/>
      <c r="DZ594" s="1116"/>
      <c r="EA594" s="1116"/>
      <c r="EB594" s="1116"/>
      <c r="EC594" s="1116"/>
      <c r="ED594" s="1116"/>
      <c r="EE594" s="1116"/>
      <c r="EF594" s="1116"/>
      <c r="EG594" s="1116"/>
      <c r="EH594" s="1116"/>
      <c r="EI594" s="1116"/>
      <c r="EJ594" s="1116"/>
      <c r="EK594" s="1116"/>
      <c r="EL594" s="1116"/>
      <c r="EM594" s="1116"/>
      <c r="EN594" s="1116"/>
      <c r="EO594" s="1116"/>
      <c r="EP594" s="1116"/>
      <c r="EQ594" s="1116"/>
      <c r="ER594" s="1116"/>
      <c r="ES594" s="1116"/>
    </row>
    <row r="595" spans="1:149" ht="15" customHeight="1">
      <c r="A595" s="1185">
        <v>585</v>
      </c>
      <c r="B595" s="1041"/>
      <c r="C595" s="1050"/>
      <c r="D595" s="1050"/>
      <c r="E595" s="1050"/>
      <c r="F595" s="1049"/>
      <c r="G595" s="1049"/>
      <c r="H595" s="1049"/>
      <c r="I595" s="1049"/>
      <c r="J595" s="1050"/>
      <c r="K595" s="1050"/>
      <c r="L595" s="1043"/>
      <c r="M595" s="1051"/>
      <c r="N595" s="1051"/>
      <c r="O595" s="1052"/>
      <c r="P595" s="1051"/>
      <c r="Q595" s="1051"/>
      <c r="R595" s="1052"/>
      <c r="S595" s="1051"/>
      <c r="T595" s="1051"/>
      <c r="U595" s="1052"/>
      <c r="V595" s="1051"/>
      <c r="W595" s="1051"/>
      <c r="X595" s="1052"/>
      <c r="Y595" s="1053"/>
      <c r="Z595" s="1051"/>
      <c r="AA595" s="1051"/>
      <c r="AB595" s="1052"/>
      <c r="AC595" s="1051"/>
      <c r="AD595" s="1051"/>
      <c r="AE595" s="1052"/>
      <c r="AF595" s="1051"/>
      <c r="AG595" s="1051"/>
      <c r="AH595" s="1051"/>
      <c r="AI595" s="1051"/>
      <c r="AJ595" s="1052"/>
      <c r="AK595" s="1051"/>
      <c r="AL595" s="1051"/>
      <c r="AM595" s="1052"/>
      <c r="AN595" s="1051"/>
      <c r="AO595" s="1051"/>
      <c r="AP595" s="1052"/>
      <c r="AQ595" s="1051"/>
      <c r="AR595" s="1051"/>
      <c r="AS595" s="1052"/>
      <c r="AT595" s="1051"/>
      <c r="AU595" s="1051"/>
      <c r="AV595" s="1052"/>
      <c r="AW595" s="1051"/>
      <c r="AX595" s="1051"/>
      <c r="AY595" s="1053"/>
      <c r="AZ595" s="1051"/>
      <c r="BA595" s="1051"/>
      <c r="BB595" s="1053"/>
      <c r="BC595" s="1051"/>
      <c r="BD595" s="1051"/>
      <c r="BE595" s="1053"/>
      <c r="BF595" s="1051"/>
      <c r="BG595" s="1051"/>
      <c r="BH595" s="1053"/>
      <c r="BI595" s="1052"/>
      <c r="BJ595" s="1052"/>
      <c r="BK595" s="1052"/>
      <c r="BL595" s="1052"/>
      <c r="BM595" s="1052"/>
      <c r="BN595" s="1054"/>
      <c r="BO595" s="1076">
        <f t="shared" si="10"/>
        <v>0</v>
      </c>
      <c r="BP595" s="1051"/>
      <c r="BQ595" s="1052"/>
      <c r="BR595" s="1054"/>
      <c r="BS595" s="1053"/>
      <c r="BT595" s="1051"/>
      <c r="BU595" s="1051"/>
      <c r="BV595" s="1051"/>
      <c r="BW595" s="1052"/>
      <c r="BX595" s="1052"/>
      <c r="BY595" s="1052"/>
      <c r="BZ595" s="1052"/>
      <c r="CA595" s="1052"/>
      <c r="CB595" s="1053"/>
      <c r="CC595" s="1053"/>
      <c r="CD595" s="1053"/>
      <c r="CE595" s="1053"/>
      <c r="CF595" s="1053"/>
      <c r="CG595" s="1053"/>
      <c r="CH595" s="1053"/>
      <c r="CI595" s="1123"/>
      <c r="CJ595" s="1123"/>
      <c r="CK595" s="1123"/>
      <c r="CL595" s="1123"/>
      <c r="CM595" s="1123"/>
      <c r="CN595" s="1123"/>
      <c r="CO595" s="1123"/>
      <c r="CP595" s="1123"/>
      <c r="CQ595" s="1123"/>
      <c r="CR595" s="1123"/>
      <c r="CS595" s="1123"/>
      <c r="CT595" s="1123"/>
      <c r="CU595" s="1123"/>
      <c r="CV595" s="1123"/>
      <c r="CW595" s="1123"/>
      <c r="CX595" s="1123"/>
      <c r="CY595" s="1123"/>
      <c r="CZ595" s="1114"/>
      <c r="DA595" s="1114"/>
      <c r="DB595" s="1114"/>
      <c r="DC595" s="1114"/>
      <c r="DD595" s="1114"/>
      <c r="DE595" s="1114"/>
      <c r="DF595" s="1114"/>
      <c r="DG595" s="1114"/>
      <c r="DH595" s="1114"/>
      <c r="DI595" s="1114"/>
      <c r="DJ595" s="1114"/>
      <c r="DK595" s="1114"/>
      <c r="DL595" s="1114"/>
      <c r="DM595" s="1114"/>
      <c r="DN595" s="1114"/>
      <c r="DO595" s="1114"/>
      <c r="DP595" s="1114"/>
      <c r="DQ595" s="1114"/>
      <c r="DR595" s="1114"/>
      <c r="DS595" s="1114"/>
      <c r="DT595" s="1114"/>
      <c r="DU595" s="1114"/>
      <c r="DV595" s="1115"/>
      <c r="DW595" s="1116"/>
      <c r="DX595" s="1116"/>
      <c r="DY595" s="1116"/>
      <c r="DZ595" s="1116"/>
      <c r="EA595" s="1116"/>
      <c r="EB595" s="1116"/>
      <c r="EC595" s="1116"/>
      <c r="ED595" s="1116"/>
      <c r="EE595" s="1116"/>
      <c r="EF595" s="1116"/>
      <c r="EG595" s="1116"/>
      <c r="EH595" s="1116"/>
      <c r="EI595" s="1116"/>
      <c r="EJ595" s="1116"/>
      <c r="EK595" s="1116"/>
      <c r="EL595" s="1116"/>
      <c r="EM595" s="1116"/>
      <c r="EN595" s="1116"/>
      <c r="EO595" s="1116"/>
      <c r="EP595" s="1116"/>
      <c r="EQ595" s="1116"/>
      <c r="ER595" s="1116"/>
      <c r="ES595" s="1116"/>
    </row>
    <row r="596" spans="1:149" ht="15" customHeight="1">
      <c r="A596" s="1185">
        <v>586</v>
      </c>
      <c r="B596" s="1041"/>
      <c r="C596" s="1050"/>
      <c r="D596" s="1050"/>
      <c r="E596" s="1050"/>
      <c r="F596" s="1049"/>
      <c r="G596" s="1049"/>
      <c r="H596" s="1049"/>
      <c r="I596" s="1049"/>
      <c r="J596" s="1050"/>
      <c r="K596" s="1050"/>
      <c r="L596" s="1043"/>
      <c r="M596" s="1051"/>
      <c r="N596" s="1051"/>
      <c r="O596" s="1052"/>
      <c r="P596" s="1051"/>
      <c r="Q596" s="1051"/>
      <c r="R596" s="1052"/>
      <c r="S596" s="1051"/>
      <c r="T596" s="1051"/>
      <c r="U596" s="1052"/>
      <c r="V596" s="1051"/>
      <c r="W596" s="1051"/>
      <c r="X596" s="1052"/>
      <c r="Y596" s="1053"/>
      <c r="Z596" s="1051"/>
      <c r="AA596" s="1051"/>
      <c r="AB596" s="1052"/>
      <c r="AC596" s="1051"/>
      <c r="AD596" s="1051"/>
      <c r="AE596" s="1052"/>
      <c r="AF596" s="1051"/>
      <c r="AG596" s="1051"/>
      <c r="AH596" s="1051"/>
      <c r="AI596" s="1051"/>
      <c r="AJ596" s="1052"/>
      <c r="AK596" s="1051"/>
      <c r="AL596" s="1051"/>
      <c r="AM596" s="1052"/>
      <c r="AN596" s="1051"/>
      <c r="AO596" s="1051"/>
      <c r="AP596" s="1052"/>
      <c r="AQ596" s="1051"/>
      <c r="AR596" s="1051"/>
      <c r="AS596" s="1052"/>
      <c r="AT596" s="1051"/>
      <c r="AU596" s="1051"/>
      <c r="AV596" s="1052"/>
      <c r="AW596" s="1051"/>
      <c r="AX596" s="1051"/>
      <c r="AY596" s="1053"/>
      <c r="AZ596" s="1051"/>
      <c r="BA596" s="1051"/>
      <c r="BB596" s="1053"/>
      <c r="BC596" s="1051"/>
      <c r="BD596" s="1051"/>
      <c r="BE596" s="1053"/>
      <c r="BF596" s="1051"/>
      <c r="BG596" s="1051"/>
      <c r="BH596" s="1053"/>
      <c r="BI596" s="1052"/>
      <c r="BJ596" s="1052"/>
      <c r="BK596" s="1052"/>
      <c r="BL596" s="1052"/>
      <c r="BM596" s="1052"/>
      <c r="BN596" s="1054"/>
      <c r="BO596" s="1076">
        <f t="shared" si="10"/>
        <v>0</v>
      </c>
      <c r="BP596" s="1051"/>
      <c r="BQ596" s="1052"/>
      <c r="BR596" s="1054"/>
      <c r="BS596" s="1053"/>
      <c r="BT596" s="1051"/>
      <c r="BU596" s="1051"/>
      <c r="BV596" s="1051"/>
      <c r="BW596" s="1052"/>
      <c r="BX596" s="1052"/>
      <c r="BY596" s="1052"/>
      <c r="BZ596" s="1052"/>
      <c r="CA596" s="1052"/>
      <c r="CB596" s="1053"/>
      <c r="CC596" s="1053"/>
      <c r="CD596" s="1053"/>
      <c r="CE596" s="1053"/>
      <c r="CF596" s="1053"/>
      <c r="CG596" s="1053"/>
      <c r="CH596" s="1053"/>
      <c r="CI596" s="1123"/>
      <c r="CJ596" s="1123"/>
      <c r="CK596" s="1123"/>
      <c r="CL596" s="1123"/>
      <c r="CM596" s="1123"/>
      <c r="CN596" s="1123"/>
      <c r="CO596" s="1123"/>
      <c r="CP596" s="1123"/>
      <c r="CQ596" s="1123"/>
      <c r="CR596" s="1123"/>
      <c r="CS596" s="1123"/>
      <c r="CT596" s="1123"/>
      <c r="CU596" s="1123"/>
      <c r="CV596" s="1123"/>
      <c r="CW596" s="1123"/>
      <c r="CX596" s="1123"/>
      <c r="CY596" s="1123"/>
      <c r="CZ596" s="1114"/>
      <c r="DA596" s="1114"/>
      <c r="DB596" s="1114"/>
      <c r="DC596" s="1114"/>
      <c r="DD596" s="1114"/>
      <c r="DE596" s="1114"/>
      <c r="DF596" s="1114"/>
      <c r="DG596" s="1114"/>
      <c r="DH596" s="1114"/>
      <c r="DI596" s="1114"/>
      <c r="DJ596" s="1114"/>
      <c r="DK596" s="1114"/>
      <c r="DL596" s="1114"/>
      <c r="DM596" s="1114"/>
      <c r="DN596" s="1114"/>
      <c r="DO596" s="1114"/>
      <c r="DP596" s="1114"/>
      <c r="DQ596" s="1114"/>
      <c r="DR596" s="1114"/>
      <c r="DS596" s="1114"/>
      <c r="DT596" s="1114"/>
      <c r="DU596" s="1114"/>
      <c r="DV596" s="1115"/>
      <c r="DW596" s="1116"/>
      <c r="DX596" s="1116"/>
      <c r="DY596" s="1116"/>
      <c r="DZ596" s="1116"/>
      <c r="EA596" s="1116"/>
      <c r="EB596" s="1116"/>
      <c r="EC596" s="1116"/>
      <c r="ED596" s="1116"/>
      <c r="EE596" s="1116"/>
      <c r="EF596" s="1116"/>
      <c r="EG596" s="1116"/>
      <c r="EH596" s="1116"/>
      <c r="EI596" s="1116"/>
      <c r="EJ596" s="1116"/>
      <c r="EK596" s="1116"/>
      <c r="EL596" s="1116"/>
      <c r="EM596" s="1116"/>
      <c r="EN596" s="1116"/>
      <c r="EO596" s="1116"/>
      <c r="EP596" s="1116"/>
      <c r="EQ596" s="1116"/>
      <c r="ER596" s="1116"/>
      <c r="ES596" s="1116"/>
    </row>
    <row r="597" spans="1:149" ht="15" customHeight="1">
      <c r="A597" s="1185">
        <v>587</v>
      </c>
      <c r="B597" s="1041"/>
      <c r="C597" s="1050"/>
      <c r="D597" s="1050"/>
      <c r="E597" s="1050"/>
      <c r="F597" s="1049"/>
      <c r="G597" s="1049"/>
      <c r="H597" s="1049"/>
      <c r="I597" s="1049"/>
      <c r="J597" s="1050"/>
      <c r="K597" s="1050"/>
      <c r="L597" s="1043"/>
      <c r="M597" s="1051"/>
      <c r="N597" s="1051"/>
      <c r="O597" s="1052"/>
      <c r="P597" s="1051"/>
      <c r="Q597" s="1051"/>
      <c r="R597" s="1052"/>
      <c r="S597" s="1051"/>
      <c r="T597" s="1051"/>
      <c r="U597" s="1052"/>
      <c r="V597" s="1051"/>
      <c r="W597" s="1051"/>
      <c r="X597" s="1052"/>
      <c r="Y597" s="1053"/>
      <c r="Z597" s="1051"/>
      <c r="AA597" s="1051"/>
      <c r="AB597" s="1052"/>
      <c r="AC597" s="1051"/>
      <c r="AD597" s="1051"/>
      <c r="AE597" s="1052"/>
      <c r="AF597" s="1051"/>
      <c r="AG597" s="1051"/>
      <c r="AH597" s="1051"/>
      <c r="AI597" s="1051"/>
      <c r="AJ597" s="1052"/>
      <c r="AK597" s="1051"/>
      <c r="AL597" s="1051"/>
      <c r="AM597" s="1052"/>
      <c r="AN597" s="1051"/>
      <c r="AO597" s="1051"/>
      <c r="AP597" s="1052"/>
      <c r="AQ597" s="1051"/>
      <c r="AR597" s="1051"/>
      <c r="AS597" s="1052"/>
      <c r="AT597" s="1051"/>
      <c r="AU597" s="1051"/>
      <c r="AV597" s="1052"/>
      <c r="AW597" s="1051"/>
      <c r="AX597" s="1051"/>
      <c r="AY597" s="1053"/>
      <c r="AZ597" s="1051"/>
      <c r="BA597" s="1051"/>
      <c r="BB597" s="1053"/>
      <c r="BC597" s="1051"/>
      <c r="BD597" s="1051"/>
      <c r="BE597" s="1053"/>
      <c r="BF597" s="1051"/>
      <c r="BG597" s="1051"/>
      <c r="BH597" s="1053"/>
      <c r="BI597" s="1052"/>
      <c r="BJ597" s="1052"/>
      <c r="BK597" s="1052"/>
      <c r="BL597" s="1052"/>
      <c r="BM597" s="1052"/>
      <c r="BN597" s="1054"/>
      <c r="BO597" s="1076">
        <f t="shared" si="10"/>
        <v>0</v>
      </c>
      <c r="BP597" s="1051"/>
      <c r="BQ597" s="1052"/>
      <c r="BR597" s="1054"/>
      <c r="BS597" s="1053"/>
      <c r="BT597" s="1051"/>
      <c r="BU597" s="1051"/>
      <c r="BV597" s="1051"/>
      <c r="BW597" s="1052"/>
      <c r="BX597" s="1052"/>
      <c r="BY597" s="1052"/>
      <c r="BZ597" s="1052"/>
      <c r="CA597" s="1052"/>
      <c r="CB597" s="1053"/>
      <c r="CC597" s="1053"/>
      <c r="CD597" s="1053"/>
      <c r="CE597" s="1053"/>
      <c r="CF597" s="1053"/>
      <c r="CG597" s="1053"/>
      <c r="CH597" s="1053"/>
      <c r="CI597" s="1123"/>
      <c r="CJ597" s="1123"/>
      <c r="CK597" s="1123"/>
      <c r="CL597" s="1123"/>
      <c r="CM597" s="1123"/>
      <c r="CN597" s="1123"/>
      <c r="CO597" s="1123"/>
      <c r="CP597" s="1123"/>
      <c r="CQ597" s="1123"/>
      <c r="CR597" s="1123"/>
      <c r="CS597" s="1123"/>
      <c r="CT597" s="1123"/>
      <c r="CU597" s="1123"/>
      <c r="CV597" s="1123"/>
      <c r="CW597" s="1123"/>
      <c r="CX597" s="1123"/>
      <c r="CY597" s="1123"/>
      <c r="CZ597" s="1114"/>
      <c r="DA597" s="1114"/>
      <c r="DB597" s="1114"/>
      <c r="DC597" s="1114"/>
      <c r="DD597" s="1114"/>
      <c r="DE597" s="1114"/>
      <c r="DF597" s="1114"/>
      <c r="DG597" s="1114"/>
      <c r="DH597" s="1114"/>
      <c r="DI597" s="1114"/>
      <c r="DJ597" s="1114"/>
      <c r="DK597" s="1114"/>
      <c r="DL597" s="1114"/>
      <c r="DM597" s="1114"/>
      <c r="DN597" s="1114"/>
      <c r="DO597" s="1114"/>
      <c r="DP597" s="1114"/>
      <c r="DQ597" s="1114"/>
      <c r="DR597" s="1114"/>
      <c r="DS597" s="1114"/>
      <c r="DT597" s="1114"/>
      <c r="DU597" s="1114"/>
      <c r="DV597" s="1115"/>
      <c r="DW597" s="1116"/>
      <c r="DX597" s="1116"/>
      <c r="DY597" s="1116"/>
      <c r="DZ597" s="1116"/>
      <c r="EA597" s="1116"/>
      <c r="EB597" s="1116"/>
      <c r="EC597" s="1116"/>
      <c r="ED597" s="1116"/>
      <c r="EE597" s="1116"/>
      <c r="EF597" s="1116"/>
      <c r="EG597" s="1116"/>
      <c r="EH597" s="1116"/>
      <c r="EI597" s="1116"/>
      <c r="EJ597" s="1116"/>
      <c r="EK597" s="1116"/>
      <c r="EL597" s="1116"/>
      <c r="EM597" s="1116"/>
      <c r="EN597" s="1116"/>
      <c r="EO597" s="1116"/>
      <c r="EP597" s="1116"/>
      <c r="EQ597" s="1116"/>
      <c r="ER597" s="1116"/>
      <c r="ES597" s="1116"/>
    </row>
    <row r="598" spans="1:149" ht="15" customHeight="1">
      <c r="A598" s="1185">
        <v>588</v>
      </c>
      <c r="B598" s="1041"/>
      <c r="C598" s="1050"/>
      <c r="D598" s="1050"/>
      <c r="E598" s="1050"/>
      <c r="F598" s="1049"/>
      <c r="G598" s="1049"/>
      <c r="H598" s="1049"/>
      <c r="I598" s="1049"/>
      <c r="J598" s="1050"/>
      <c r="K598" s="1050"/>
      <c r="L598" s="1043"/>
      <c r="M598" s="1051"/>
      <c r="N598" s="1051"/>
      <c r="O598" s="1052"/>
      <c r="P598" s="1051"/>
      <c r="Q598" s="1051"/>
      <c r="R598" s="1052"/>
      <c r="S598" s="1051"/>
      <c r="T598" s="1051"/>
      <c r="U598" s="1052"/>
      <c r="V598" s="1051"/>
      <c r="W598" s="1051"/>
      <c r="X598" s="1052"/>
      <c r="Y598" s="1053"/>
      <c r="Z598" s="1051"/>
      <c r="AA598" s="1051"/>
      <c r="AB598" s="1052"/>
      <c r="AC598" s="1051"/>
      <c r="AD598" s="1051"/>
      <c r="AE598" s="1052"/>
      <c r="AF598" s="1051"/>
      <c r="AG598" s="1051"/>
      <c r="AH598" s="1051"/>
      <c r="AI598" s="1051"/>
      <c r="AJ598" s="1052"/>
      <c r="AK598" s="1051"/>
      <c r="AL598" s="1051"/>
      <c r="AM598" s="1052"/>
      <c r="AN598" s="1051"/>
      <c r="AO598" s="1051"/>
      <c r="AP598" s="1052"/>
      <c r="AQ598" s="1051"/>
      <c r="AR598" s="1051"/>
      <c r="AS598" s="1052"/>
      <c r="AT598" s="1051"/>
      <c r="AU598" s="1051"/>
      <c r="AV598" s="1052"/>
      <c r="AW598" s="1051"/>
      <c r="AX598" s="1051"/>
      <c r="AY598" s="1053"/>
      <c r="AZ598" s="1051"/>
      <c r="BA598" s="1051"/>
      <c r="BB598" s="1053"/>
      <c r="BC598" s="1051"/>
      <c r="BD598" s="1051"/>
      <c r="BE598" s="1053"/>
      <c r="BF598" s="1051"/>
      <c r="BG598" s="1051"/>
      <c r="BH598" s="1053"/>
      <c r="BI598" s="1052"/>
      <c r="BJ598" s="1052"/>
      <c r="BK598" s="1052"/>
      <c r="BL598" s="1052"/>
      <c r="BM598" s="1052"/>
      <c r="BN598" s="1054"/>
      <c r="BO598" s="1076">
        <f t="shared" si="10"/>
        <v>0</v>
      </c>
      <c r="BP598" s="1051"/>
      <c r="BQ598" s="1052"/>
      <c r="BR598" s="1054"/>
      <c r="BS598" s="1053"/>
      <c r="BT598" s="1051"/>
      <c r="BU598" s="1051"/>
      <c r="BV598" s="1051"/>
      <c r="BW598" s="1052"/>
      <c r="BX598" s="1052"/>
      <c r="BY598" s="1052"/>
      <c r="BZ598" s="1052"/>
      <c r="CA598" s="1052"/>
      <c r="CB598" s="1053"/>
      <c r="CC598" s="1053"/>
      <c r="CD598" s="1053"/>
      <c r="CE598" s="1053"/>
      <c r="CF598" s="1053"/>
      <c r="CG598" s="1053"/>
      <c r="CH598" s="1053"/>
      <c r="CI598" s="1123"/>
      <c r="CJ598" s="1123"/>
      <c r="CK598" s="1123"/>
      <c r="CL598" s="1123"/>
      <c r="CM598" s="1123"/>
      <c r="CN598" s="1123"/>
      <c r="CO598" s="1123"/>
      <c r="CP598" s="1123"/>
      <c r="CQ598" s="1123"/>
      <c r="CR598" s="1123"/>
      <c r="CS598" s="1123"/>
      <c r="CT598" s="1123"/>
      <c r="CU598" s="1123"/>
      <c r="CV598" s="1123"/>
      <c r="CW598" s="1123"/>
      <c r="CX598" s="1123"/>
      <c r="CY598" s="1123"/>
      <c r="CZ598" s="1114"/>
      <c r="DA598" s="1114"/>
      <c r="DB598" s="1114"/>
      <c r="DC598" s="1114"/>
      <c r="DD598" s="1114"/>
      <c r="DE598" s="1114"/>
      <c r="DF598" s="1114"/>
      <c r="DG598" s="1114"/>
      <c r="DH598" s="1114"/>
      <c r="DI598" s="1114"/>
      <c r="DJ598" s="1114"/>
      <c r="DK598" s="1114"/>
      <c r="DL598" s="1114"/>
      <c r="DM598" s="1114"/>
      <c r="DN598" s="1114"/>
      <c r="DO598" s="1114"/>
      <c r="DP598" s="1114"/>
      <c r="DQ598" s="1114"/>
      <c r="DR598" s="1114"/>
      <c r="DS598" s="1114"/>
      <c r="DT598" s="1114"/>
      <c r="DU598" s="1114"/>
      <c r="DV598" s="1115"/>
      <c r="DW598" s="1116"/>
      <c r="DX598" s="1116"/>
      <c r="DY598" s="1116"/>
      <c r="DZ598" s="1116"/>
      <c r="EA598" s="1116"/>
      <c r="EB598" s="1116"/>
      <c r="EC598" s="1116"/>
      <c r="ED598" s="1116"/>
      <c r="EE598" s="1116"/>
      <c r="EF598" s="1116"/>
      <c r="EG598" s="1116"/>
      <c r="EH598" s="1116"/>
      <c r="EI598" s="1116"/>
      <c r="EJ598" s="1116"/>
      <c r="EK598" s="1116"/>
      <c r="EL598" s="1116"/>
      <c r="EM598" s="1116"/>
      <c r="EN598" s="1116"/>
      <c r="EO598" s="1116"/>
      <c r="EP598" s="1116"/>
      <c r="EQ598" s="1116"/>
      <c r="ER598" s="1116"/>
      <c r="ES598" s="1116"/>
    </row>
    <row r="599" spans="1:149" ht="15" customHeight="1">
      <c r="A599" s="1185">
        <v>589</v>
      </c>
      <c r="B599" s="1041"/>
      <c r="C599" s="1050"/>
      <c r="D599" s="1050"/>
      <c r="E599" s="1050"/>
      <c r="F599" s="1049"/>
      <c r="G599" s="1049"/>
      <c r="H599" s="1049"/>
      <c r="I599" s="1049"/>
      <c r="J599" s="1050"/>
      <c r="K599" s="1050"/>
      <c r="L599" s="1043"/>
      <c r="M599" s="1051"/>
      <c r="N599" s="1051"/>
      <c r="O599" s="1052"/>
      <c r="P599" s="1051"/>
      <c r="Q599" s="1051"/>
      <c r="R599" s="1052"/>
      <c r="S599" s="1051"/>
      <c r="T599" s="1051"/>
      <c r="U599" s="1052"/>
      <c r="V599" s="1051"/>
      <c r="W599" s="1051"/>
      <c r="X599" s="1052"/>
      <c r="Y599" s="1053"/>
      <c r="Z599" s="1051"/>
      <c r="AA599" s="1051"/>
      <c r="AB599" s="1052"/>
      <c r="AC599" s="1051"/>
      <c r="AD599" s="1051"/>
      <c r="AE599" s="1052"/>
      <c r="AF599" s="1051"/>
      <c r="AG599" s="1051"/>
      <c r="AH599" s="1051"/>
      <c r="AI599" s="1051"/>
      <c r="AJ599" s="1052"/>
      <c r="AK599" s="1051"/>
      <c r="AL599" s="1051"/>
      <c r="AM599" s="1052"/>
      <c r="AN599" s="1051"/>
      <c r="AO599" s="1051"/>
      <c r="AP599" s="1052"/>
      <c r="AQ599" s="1051"/>
      <c r="AR599" s="1051"/>
      <c r="AS599" s="1052"/>
      <c r="AT599" s="1051"/>
      <c r="AU599" s="1051"/>
      <c r="AV599" s="1052"/>
      <c r="AW599" s="1051"/>
      <c r="AX599" s="1051"/>
      <c r="AY599" s="1053"/>
      <c r="AZ599" s="1051"/>
      <c r="BA599" s="1051"/>
      <c r="BB599" s="1053"/>
      <c r="BC599" s="1051"/>
      <c r="BD599" s="1051"/>
      <c r="BE599" s="1053"/>
      <c r="BF599" s="1051"/>
      <c r="BG599" s="1051"/>
      <c r="BH599" s="1053"/>
      <c r="BI599" s="1052"/>
      <c r="BJ599" s="1052"/>
      <c r="BK599" s="1052"/>
      <c r="BL599" s="1052"/>
      <c r="BM599" s="1052"/>
      <c r="BN599" s="1054"/>
      <c r="BO599" s="1076">
        <f t="shared" si="10"/>
        <v>0</v>
      </c>
      <c r="BP599" s="1051"/>
      <c r="BQ599" s="1052"/>
      <c r="BR599" s="1054"/>
      <c r="BS599" s="1053"/>
      <c r="BT599" s="1051"/>
      <c r="BU599" s="1051"/>
      <c r="BV599" s="1051"/>
      <c r="BW599" s="1052"/>
      <c r="BX599" s="1052"/>
      <c r="BY599" s="1052"/>
      <c r="BZ599" s="1052"/>
      <c r="CA599" s="1052"/>
      <c r="CB599" s="1053"/>
      <c r="CC599" s="1053"/>
      <c r="CD599" s="1053"/>
      <c r="CE599" s="1053"/>
      <c r="CF599" s="1053"/>
      <c r="CG599" s="1053"/>
      <c r="CH599" s="1053"/>
      <c r="CI599" s="1123"/>
      <c r="CJ599" s="1123"/>
      <c r="CK599" s="1123"/>
      <c r="CL599" s="1123"/>
      <c r="CM599" s="1123"/>
      <c r="CN599" s="1123"/>
      <c r="CO599" s="1123"/>
      <c r="CP599" s="1123"/>
      <c r="CQ599" s="1123"/>
      <c r="CR599" s="1123"/>
      <c r="CS599" s="1123"/>
      <c r="CT599" s="1123"/>
      <c r="CU599" s="1123"/>
      <c r="CV599" s="1123"/>
      <c r="CW599" s="1123"/>
      <c r="CX599" s="1123"/>
      <c r="CY599" s="1123"/>
      <c r="CZ599" s="1114"/>
      <c r="DA599" s="1114"/>
      <c r="DB599" s="1114"/>
      <c r="DC599" s="1114"/>
      <c r="DD599" s="1114"/>
      <c r="DE599" s="1114"/>
      <c r="DF599" s="1114"/>
      <c r="DG599" s="1114"/>
      <c r="DH599" s="1114"/>
      <c r="DI599" s="1114"/>
      <c r="DJ599" s="1114"/>
      <c r="DK599" s="1114"/>
      <c r="DL599" s="1114"/>
      <c r="DM599" s="1114"/>
      <c r="DN599" s="1114"/>
      <c r="DO599" s="1114"/>
      <c r="DP599" s="1114"/>
      <c r="DQ599" s="1114"/>
      <c r="DR599" s="1114"/>
      <c r="DS599" s="1114"/>
      <c r="DT599" s="1114"/>
      <c r="DU599" s="1114"/>
      <c r="DV599" s="1115"/>
      <c r="DW599" s="1116"/>
      <c r="DX599" s="1116"/>
      <c r="DY599" s="1116"/>
      <c r="DZ599" s="1116"/>
      <c r="EA599" s="1116"/>
      <c r="EB599" s="1116"/>
      <c r="EC599" s="1116"/>
      <c r="ED599" s="1116"/>
      <c r="EE599" s="1116"/>
      <c r="EF599" s="1116"/>
      <c r="EG599" s="1116"/>
      <c r="EH599" s="1116"/>
      <c r="EI599" s="1116"/>
      <c r="EJ599" s="1116"/>
      <c r="EK599" s="1116"/>
      <c r="EL599" s="1116"/>
      <c r="EM599" s="1116"/>
      <c r="EN599" s="1116"/>
      <c r="EO599" s="1116"/>
      <c r="EP599" s="1116"/>
      <c r="EQ599" s="1116"/>
      <c r="ER599" s="1116"/>
      <c r="ES599" s="1116"/>
    </row>
    <row r="600" spans="1:149" ht="15" customHeight="1">
      <c r="A600" s="1185">
        <v>590</v>
      </c>
      <c r="B600" s="1041"/>
      <c r="C600" s="1050"/>
      <c r="D600" s="1050"/>
      <c r="E600" s="1050"/>
      <c r="F600" s="1049"/>
      <c r="G600" s="1049"/>
      <c r="H600" s="1049"/>
      <c r="I600" s="1049"/>
      <c r="J600" s="1050"/>
      <c r="K600" s="1050"/>
      <c r="L600" s="1043"/>
      <c r="M600" s="1051"/>
      <c r="N600" s="1051"/>
      <c r="O600" s="1052"/>
      <c r="P600" s="1051"/>
      <c r="Q600" s="1051"/>
      <c r="R600" s="1052"/>
      <c r="S600" s="1051"/>
      <c r="T600" s="1051"/>
      <c r="U600" s="1052"/>
      <c r="V600" s="1051"/>
      <c r="W600" s="1051"/>
      <c r="X600" s="1052"/>
      <c r="Y600" s="1053"/>
      <c r="Z600" s="1051"/>
      <c r="AA600" s="1051"/>
      <c r="AB600" s="1052"/>
      <c r="AC600" s="1051"/>
      <c r="AD600" s="1051"/>
      <c r="AE600" s="1052"/>
      <c r="AF600" s="1051"/>
      <c r="AG600" s="1051"/>
      <c r="AH600" s="1051"/>
      <c r="AI600" s="1051"/>
      <c r="AJ600" s="1052"/>
      <c r="AK600" s="1051"/>
      <c r="AL600" s="1051"/>
      <c r="AM600" s="1052"/>
      <c r="AN600" s="1051"/>
      <c r="AO600" s="1051"/>
      <c r="AP600" s="1052"/>
      <c r="AQ600" s="1051"/>
      <c r="AR600" s="1051"/>
      <c r="AS600" s="1052"/>
      <c r="AT600" s="1051"/>
      <c r="AU600" s="1051"/>
      <c r="AV600" s="1052"/>
      <c r="AW600" s="1051"/>
      <c r="AX600" s="1051"/>
      <c r="AY600" s="1053"/>
      <c r="AZ600" s="1051"/>
      <c r="BA600" s="1051"/>
      <c r="BB600" s="1053"/>
      <c r="BC600" s="1051"/>
      <c r="BD600" s="1051"/>
      <c r="BE600" s="1053"/>
      <c r="BF600" s="1051"/>
      <c r="BG600" s="1051"/>
      <c r="BH600" s="1053"/>
      <c r="BI600" s="1052"/>
      <c r="BJ600" s="1052"/>
      <c r="BK600" s="1052"/>
      <c r="BL600" s="1052"/>
      <c r="BM600" s="1052"/>
      <c r="BN600" s="1054"/>
      <c r="BO600" s="1076">
        <f t="shared" si="10"/>
        <v>0</v>
      </c>
      <c r="BP600" s="1051"/>
      <c r="BQ600" s="1052"/>
      <c r="BR600" s="1054"/>
      <c r="BS600" s="1053"/>
      <c r="BT600" s="1051"/>
      <c r="BU600" s="1051"/>
      <c r="BV600" s="1051"/>
      <c r="BW600" s="1052"/>
      <c r="BX600" s="1052"/>
      <c r="BY600" s="1052"/>
      <c r="BZ600" s="1052"/>
      <c r="CA600" s="1052"/>
      <c r="CB600" s="1053"/>
      <c r="CC600" s="1053"/>
      <c r="CD600" s="1053"/>
      <c r="CE600" s="1053"/>
      <c r="CF600" s="1053"/>
      <c r="CG600" s="1053"/>
      <c r="CH600" s="1053"/>
      <c r="CI600" s="1123"/>
      <c r="CJ600" s="1123"/>
      <c r="CK600" s="1123"/>
      <c r="CL600" s="1123"/>
      <c r="CM600" s="1123"/>
      <c r="CN600" s="1123"/>
      <c r="CO600" s="1123"/>
      <c r="CP600" s="1123"/>
      <c r="CQ600" s="1123"/>
      <c r="CR600" s="1123"/>
      <c r="CS600" s="1123"/>
      <c r="CT600" s="1123"/>
      <c r="CU600" s="1123"/>
      <c r="CV600" s="1123"/>
      <c r="CW600" s="1123"/>
      <c r="CX600" s="1123"/>
      <c r="CY600" s="1123"/>
      <c r="CZ600" s="1114"/>
      <c r="DA600" s="1114"/>
      <c r="DB600" s="1114"/>
      <c r="DC600" s="1114"/>
      <c r="DD600" s="1114"/>
      <c r="DE600" s="1114"/>
      <c r="DF600" s="1114"/>
      <c r="DG600" s="1114"/>
      <c r="DH600" s="1114"/>
      <c r="DI600" s="1114"/>
      <c r="DJ600" s="1114"/>
      <c r="DK600" s="1114"/>
      <c r="DL600" s="1114"/>
      <c r="DM600" s="1114"/>
      <c r="DN600" s="1114"/>
      <c r="DO600" s="1114"/>
      <c r="DP600" s="1114"/>
      <c r="DQ600" s="1114"/>
      <c r="DR600" s="1114"/>
      <c r="DS600" s="1114"/>
      <c r="DT600" s="1114"/>
      <c r="DU600" s="1114"/>
      <c r="DV600" s="1115"/>
      <c r="DW600" s="1116"/>
      <c r="DX600" s="1116"/>
      <c r="DY600" s="1116"/>
      <c r="DZ600" s="1116"/>
      <c r="EA600" s="1116"/>
      <c r="EB600" s="1116"/>
      <c r="EC600" s="1116"/>
      <c r="ED600" s="1116"/>
      <c r="EE600" s="1116"/>
      <c r="EF600" s="1116"/>
      <c r="EG600" s="1116"/>
      <c r="EH600" s="1116"/>
      <c r="EI600" s="1116"/>
      <c r="EJ600" s="1116"/>
      <c r="EK600" s="1116"/>
      <c r="EL600" s="1116"/>
      <c r="EM600" s="1116"/>
      <c r="EN600" s="1116"/>
      <c r="EO600" s="1116"/>
      <c r="EP600" s="1116"/>
      <c r="EQ600" s="1116"/>
      <c r="ER600" s="1116"/>
      <c r="ES600" s="1116"/>
    </row>
    <row r="601" spans="1:149" ht="15" customHeight="1">
      <c r="A601" s="1185">
        <v>591</v>
      </c>
      <c r="B601" s="1041"/>
      <c r="C601" s="1050"/>
      <c r="D601" s="1050"/>
      <c r="E601" s="1050"/>
      <c r="F601" s="1049"/>
      <c r="G601" s="1049"/>
      <c r="H601" s="1049"/>
      <c r="I601" s="1049"/>
      <c r="J601" s="1050"/>
      <c r="K601" s="1050"/>
      <c r="L601" s="1043"/>
      <c r="M601" s="1051"/>
      <c r="N601" s="1051"/>
      <c r="O601" s="1052"/>
      <c r="P601" s="1051"/>
      <c r="Q601" s="1051"/>
      <c r="R601" s="1052"/>
      <c r="S601" s="1051"/>
      <c r="T601" s="1051"/>
      <c r="U601" s="1052"/>
      <c r="V601" s="1051"/>
      <c r="W601" s="1051"/>
      <c r="X601" s="1052"/>
      <c r="Y601" s="1053"/>
      <c r="Z601" s="1051"/>
      <c r="AA601" s="1051"/>
      <c r="AB601" s="1052"/>
      <c r="AC601" s="1051"/>
      <c r="AD601" s="1051"/>
      <c r="AE601" s="1052"/>
      <c r="AF601" s="1051"/>
      <c r="AG601" s="1051"/>
      <c r="AH601" s="1051"/>
      <c r="AI601" s="1051"/>
      <c r="AJ601" s="1052"/>
      <c r="AK601" s="1051"/>
      <c r="AL601" s="1051"/>
      <c r="AM601" s="1052"/>
      <c r="AN601" s="1051"/>
      <c r="AO601" s="1051"/>
      <c r="AP601" s="1052"/>
      <c r="AQ601" s="1051"/>
      <c r="AR601" s="1051"/>
      <c r="AS601" s="1052"/>
      <c r="AT601" s="1051"/>
      <c r="AU601" s="1051"/>
      <c r="AV601" s="1052"/>
      <c r="AW601" s="1051"/>
      <c r="AX601" s="1051"/>
      <c r="AY601" s="1053"/>
      <c r="AZ601" s="1051"/>
      <c r="BA601" s="1051"/>
      <c r="BB601" s="1053"/>
      <c r="BC601" s="1051"/>
      <c r="BD601" s="1051"/>
      <c r="BE601" s="1053"/>
      <c r="BF601" s="1051"/>
      <c r="BG601" s="1051"/>
      <c r="BH601" s="1053"/>
      <c r="BI601" s="1052"/>
      <c r="BJ601" s="1052"/>
      <c r="BK601" s="1052"/>
      <c r="BL601" s="1052"/>
      <c r="BM601" s="1052"/>
      <c r="BN601" s="1054"/>
      <c r="BO601" s="1076">
        <f t="shared" si="10"/>
        <v>0</v>
      </c>
      <c r="BP601" s="1051"/>
      <c r="BQ601" s="1052"/>
      <c r="BR601" s="1054"/>
      <c r="BS601" s="1053"/>
      <c r="BT601" s="1051"/>
      <c r="BU601" s="1051"/>
      <c r="BV601" s="1051"/>
      <c r="BW601" s="1052"/>
      <c r="BX601" s="1052"/>
      <c r="BY601" s="1052"/>
      <c r="BZ601" s="1052"/>
      <c r="CA601" s="1052"/>
      <c r="CB601" s="1053"/>
      <c r="CC601" s="1053"/>
      <c r="CD601" s="1053"/>
      <c r="CE601" s="1053"/>
      <c r="CF601" s="1053"/>
      <c r="CG601" s="1053"/>
      <c r="CH601" s="1053"/>
      <c r="CI601" s="1123"/>
      <c r="CJ601" s="1123"/>
      <c r="CK601" s="1123"/>
      <c r="CL601" s="1123"/>
      <c r="CM601" s="1123"/>
      <c r="CN601" s="1123"/>
      <c r="CO601" s="1123"/>
      <c r="CP601" s="1123"/>
      <c r="CQ601" s="1123"/>
      <c r="CR601" s="1123"/>
      <c r="CS601" s="1123"/>
      <c r="CT601" s="1123"/>
      <c r="CU601" s="1123"/>
      <c r="CV601" s="1123"/>
      <c r="CW601" s="1123"/>
      <c r="CX601" s="1123"/>
      <c r="CY601" s="1123"/>
      <c r="CZ601" s="1114"/>
      <c r="DA601" s="1114"/>
      <c r="DB601" s="1114"/>
      <c r="DC601" s="1114"/>
      <c r="DD601" s="1114"/>
      <c r="DE601" s="1114"/>
      <c r="DF601" s="1114"/>
      <c r="DG601" s="1114"/>
      <c r="DH601" s="1114"/>
      <c r="DI601" s="1114"/>
      <c r="DJ601" s="1114"/>
      <c r="DK601" s="1114"/>
      <c r="DL601" s="1114"/>
      <c r="DM601" s="1114"/>
      <c r="DN601" s="1114"/>
      <c r="DO601" s="1114"/>
      <c r="DP601" s="1114"/>
      <c r="DQ601" s="1114"/>
      <c r="DR601" s="1114"/>
      <c r="DS601" s="1114"/>
      <c r="DT601" s="1114"/>
      <c r="DU601" s="1114"/>
      <c r="DV601" s="1115"/>
      <c r="DW601" s="1116"/>
      <c r="DX601" s="1116"/>
      <c r="DY601" s="1116"/>
      <c r="DZ601" s="1116"/>
      <c r="EA601" s="1116"/>
      <c r="EB601" s="1116"/>
      <c r="EC601" s="1116"/>
      <c r="ED601" s="1116"/>
      <c r="EE601" s="1116"/>
      <c r="EF601" s="1116"/>
      <c r="EG601" s="1116"/>
      <c r="EH601" s="1116"/>
      <c r="EI601" s="1116"/>
      <c r="EJ601" s="1116"/>
      <c r="EK601" s="1116"/>
      <c r="EL601" s="1116"/>
      <c r="EM601" s="1116"/>
      <c r="EN601" s="1116"/>
      <c r="EO601" s="1116"/>
      <c r="EP601" s="1116"/>
      <c r="EQ601" s="1116"/>
      <c r="ER601" s="1116"/>
      <c r="ES601" s="1116"/>
    </row>
    <row r="602" spans="1:149" ht="15" customHeight="1">
      <c r="A602" s="1185">
        <v>592</v>
      </c>
      <c r="B602" s="1041"/>
      <c r="C602" s="1050"/>
      <c r="D602" s="1050"/>
      <c r="E602" s="1050"/>
      <c r="F602" s="1049"/>
      <c r="G602" s="1049"/>
      <c r="H602" s="1049"/>
      <c r="I602" s="1049"/>
      <c r="J602" s="1050"/>
      <c r="K602" s="1050"/>
      <c r="L602" s="1043"/>
      <c r="M602" s="1051"/>
      <c r="N602" s="1051"/>
      <c r="O602" s="1052"/>
      <c r="P602" s="1051"/>
      <c r="Q602" s="1051"/>
      <c r="R602" s="1052"/>
      <c r="S602" s="1051"/>
      <c r="T602" s="1051"/>
      <c r="U602" s="1052"/>
      <c r="V602" s="1051"/>
      <c r="W602" s="1051"/>
      <c r="X602" s="1052"/>
      <c r="Y602" s="1053"/>
      <c r="Z602" s="1051"/>
      <c r="AA602" s="1051"/>
      <c r="AB602" s="1052"/>
      <c r="AC602" s="1051"/>
      <c r="AD602" s="1051"/>
      <c r="AE602" s="1052"/>
      <c r="AF602" s="1051"/>
      <c r="AG602" s="1051"/>
      <c r="AH602" s="1051"/>
      <c r="AI602" s="1051"/>
      <c r="AJ602" s="1052"/>
      <c r="AK602" s="1051"/>
      <c r="AL602" s="1051"/>
      <c r="AM602" s="1052"/>
      <c r="AN602" s="1051"/>
      <c r="AO602" s="1051"/>
      <c r="AP602" s="1052"/>
      <c r="AQ602" s="1051"/>
      <c r="AR602" s="1051"/>
      <c r="AS602" s="1052"/>
      <c r="AT602" s="1051"/>
      <c r="AU602" s="1051"/>
      <c r="AV602" s="1052"/>
      <c r="AW602" s="1051"/>
      <c r="AX602" s="1051"/>
      <c r="AY602" s="1053"/>
      <c r="AZ602" s="1051"/>
      <c r="BA602" s="1051"/>
      <c r="BB602" s="1053"/>
      <c r="BC602" s="1051"/>
      <c r="BD602" s="1051"/>
      <c r="BE602" s="1053"/>
      <c r="BF602" s="1051"/>
      <c r="BG602" s="1051"/>
      <c r="BH602" s="1053"/>
      <c r="BI602" s="1052"/>
      <c r="BJ602" s="1052"/>
      <c r="BK602" s="1052"/>
      <c r="BL602" s="1052"/>
      <c r="BM602" s="1052"/>
      <c r="BN602" s="1054"/>
      <c r="BO602" s="1076">
        <f t="shared" si="10"/>
        <v>0</v>
      </c>
      <c r="BP602" s="1051"/>
      <c r="BQ602" s="1052"/>
      <c r="BR602" s="1054"/>
      <c r="BS602" s="1053"/>
      <c r="BT602" s="1051"/>
      <c r="BU602" s="1051"/>
      <c r="BV602" s="1051"/>
      <c r="BW602" s="1052"/>
      <c r="BX602" s="1052"/>
      <c r="BY602" s="1052"/>
      <c r="BZ602" s="1052"/>
      <c r="CA602" s="1052"/>
      <c r="CB602" s="1053"/>
      <c r="CC602" s="1053"/>
      <c r="CD602" s="1053"/>
      <c r="CE602" s="1053"/>
      <c r="CF602" s="1053"/>
      <c r="CG602" s="1053"/>
      <c r="CH602" s="1053"/>
      <c r="CI602" s="1123"/>
      <c r="CJ602" s="1123"/>
      <c r="CK602" s="1123"/>
      <c r="CL602" s="1123"/>
      <c r="CM602" s="1123"/>
      <c r="CN602" s="1123"/>
      <c r="CO602" s="1123"/>
      <c r="CP602" s="1123"/>
      <c r="CQ602" s="1123"/>
      <c r="CR602" s="1123"/>
      <c r="CS602" s="1123"/>
      <c r="CT602" s="1123"/>
      <c r="CU602" s="1123"/>
      <c r="CV602" s="1123"/>
      <c r="CW602" s="1123"/>
      <c r="CX602" s="1123"/>
      <c r="CY602" s="1123"/>
      <c r="CZ602" s="1114"/>
      <c r="DA602" s="1114"/>
      <c r="DB602" s="1114"/>
      <c r="DC602" s="1114"/>
      <c r="DD602" s="1114"/>
      <c r="DE602" s="1114"/>
      <c r="DF602" s="1114"/>
      <c r="DG602" s="1114"/>
      <c r="DH602" s="1114"/>
      <c r="DI602" s="1114"/>
      <c r="DJ602" s="1114"/>
      <c r="DK602" s="1114"/>
      <c r="DL602" s="1114"/>
      <c r="DM602" s="1114"/>
      <c r="DN602" s="1114"/>
      <c r="DO602" s="1114"/>
      <c r="DP602" s="1114"/>
      <c r="DQ602" s="1114"/>
      <c r="DR602" s="1114"/>
      <c r="DS602" s="1114"/>
      <c r="DT602" s="1114"/>
      <c r="DU602" s="1114"/>
      <c r="DV602" s="1115"/>
      <c r="DW602" s="1116"/>
      <c r="DX602" s="1116"/>
      <c r="DY602" s="1116"/>
      <c r="DZ602" s="1116"/>
      <c r="EA602" s="1116"/>
      <c r="EB602" s="1116"/>
      <c r="EC602" s="1116"/>
      <c r="ED602" s="1116"/>
      <c r="EE602" s="1116"/>
      <c r="EF602" s="1116"/>
      <c r="EG602" s="1116"/>
      <c r="EH602" s="1116"/>
      <c r="EI602" s="1116"/>
      <c r="EJ602" s="1116"/>
      <c r="EK602" s="1116"/>
      <c r="EL602" s="1116"/>
      <c r="EM602" s="1116"/>
      <c r="EN602" s="1116"/>
      <c r="EO602" s="1116"/>
      <c r="EP602" s="1116"/>
      <c r="EQ602" s="1116"/>
      <c r="ER602" s="1116"/>
      <c r="ES602" s="1116"/>
    </row>
    <row r="603" spans="1:149" ht="15" customHeight="1">
      <c r="A603" s="1185">
        <v>593</v>
      </c>
      <c r="B603" s="1041"/>
      <c r="C603" s="1050"/>
      <c r="D603" s="1050"/>
      <c r="E603" s="1050"/>
      <c r="F603" s="1049"/>
      <c r="G603" s="1049"/>
      <c r="H603" s="1049"/>
      <c r="I603" s="1049"/>
      <c r="J603" s="1050"/>
      <c r="K603" s="1050"/>
      <c r="L603" s="1043"/>
      <c r="M603" s="1051"/>
      <c r="N603" s="1051"/>
      <c r="O603" s="1052"/>
      <c r="P603" s="1051"/>
      <c r="Q603" s="1051"/>
      <c r="R603" s="1052"/>
      <c r="S603" s="1051"/>
      <c r="T603" s="1051"/>
      <c r="U603" s="1052"/>
      <c r="V603" s="1051"/>
      <c r="W603" s="1051"/>
      <c r="X603" s="1052"/>
      <c r="Y603" s="1053"/>
      <c r="Z603" s="1051"/>
      <c r="AA603" s="1051"/>
      <c r="AB603" s="1052"/>
      <c r="AC603" s="1051"/>
      <c r="AD603" s="1051"/>
      <c r="AE603" s="1052"/>
      <c r="AF603" s="1051"/>
      <c r="AG603" s="1051"/>
      <c r="AH603" s="1051"/>
      <c r="AI603" s="1051"/>
      <c r="AJ603" s="1052"/>
      <c r="AK603" s="1051"/>
      <c r="AL603" s="1051"/>
      <c r="AM603" s="1052"/>
      <c r="AN603" s="1051"/>
      <c r="AO603" s="1051"/>
      <c r="AP603" s="1052"/>
      <c r="AQ603" s="1051"/>
      <c r="AR603" s="1051"/>
      <c r="AS603" s="1052"/>
      <c r="AT603" s="1051"/>
      <c r="AU603" s="1051"/>
      <c r="AV603" s="1052"/>
      <c r="AW603" s="1051"/>
      <c r="AX603" s="1051"/>
      <c r="AY603" s="1053"/>
      <c r="AZ603" s="1051"/>
      <c r="BA603" s="1051"/>
      <c r="BB603" s="1053"/>
      <c r="BC603" s="1051"/>
      <c r="BD603" s="1051"/>
      <c r="BE603" s="1053"/>
      <c r="BF603" s="1051"/>
      <c r="BG603" s="1051"/>
      <c r="BH603" s="1053"/>
      <c r="BI603" s="1052"/>
      <c r="BJ603" s="1052"/>
      <c r="BK603" s="1052"/>
      <c r="BL603" s="1052"/>
      <c r="BM603" s="1052"/>
      <c r="BN603" s="1054"/>
      <c r="BO603" s="1076">
        <f t="shared" si="10"/>
        <v>0</v>
      </c>
      <c r="BP603" s="1051"/>
      <c r="BQ603" s="1052"/>
      <c r="BR603" s="1054"/>
      <c r="BS603" s="1053"/>
      <c r="BT603" s="1051"/>
      <c r="BU603" s="1051"/>
      <c r="BV603" s="1051"/>
      <c r="BW603" s="1052"/>
      <c r="BX603" s="1052"/>
      <c r="BY603" s="1052"/>
      <c r="BZ603" s="1052"/>
      <c r="CA603" s="1052"/>
      <c r="CB603" s="1053"/>
      <c r="CC603" s="1053"/>
      <c r="CD603" s="1053"/>
      <c r="CE603" s="1053"/>
      <c r="CF603" s="1053"/>
      <c r="CG603" s="1053"/>
      <c r="CH603" s="1053"/>
      <c r="CI603" s="1123"/>
      <c r="CJ603" s="1123"/>
      <c r="CK603" s="1123"/>
      <c r="CL603" s="1123"/>
      <c r="CM603" s="1123"/>
      <c r="CN603" s="1123"/>
      <c r="CO603" s="1123"/>
      <c r="CP603" s="1123"/>
      <c r="CQ603" s="1123"/>
      <c r="CR603" s="1123"/>
      <c r="CS603" s="1123"/>
      <c r="CT603" s="1123"/>
      <c r="CU603" s="1123"/>
      <c r="CV603" s="1123"/>
      <c r="CW603" s="1123"/>
      <c r="CX603" s="1123"/>
      <c r="CY603" s="1123"/>
      <c r="CZ603" s="1114"/>
      <c r="DA603" s="1114"/>
      <c r="DB603" s="1114"/>
      <c r="DC603" s="1114"/>
      <c r="DD603" s="1114"/>
      <c r="DE603" s="1114"/>
      <c r="DF603" s="1114"/>
      <c r="DG603" s="1114"/>
      <c r="DH603" s="1114"/>
      <c r="DI603" s="1114"/>
      <c r="DJ603" s="1114"/>
      <c r="DK603" s="1114"/>
      <c r="DL603" s="1114"/>
      <c r="DM603" s="1114"/>
      <c r="DN603" s="1114"/>
      <c r="DO603" s="1114"/>
      <c r="DP603" s="1114"/>
      <c r="DQ603" s="1114"/>
      <c r="DR603" s="1114"/>
      <c r="DS603" s="1114"/>
      <c r="DT603" s="1114"/>
      <c r="DU603" s="1114"/>
      <c r="DV603" s="1115"/>
      <c r="DW603" s="1116"/>
      <c r="DX603" s="1116"/>
      <c r="DY603" s="1116"/>
      <c r="DZ603" s="1116"/>
      <c r="EA603" s="1116"/>
      <c r="EB603" s="1116"/>
      <c r="EC603" s="1116"/>
      <c r="ED603" s="1116"/>
      <c r="EE603" s="1116"/>
      <c r="EF603" s="1116"/>
      <c r="EG603" s="1116"/>
      <c r="EH603" s="1116"/>
      <c r="EI603" s="1116"/>
      <c r="EJ603" s="1116"/>
      <c r="EK603" s="1116"/>
      <c r="EL603" s="1116"/>
      <c r="EM603" s="1116"/>
      <c r="EN603" s="1116"/>
      <c r="EO603" s="1116"/>
      <c r="EP603" s="1116"/>
      <c r="EQ603" s="1116"/>
      <c r="ER603" s="1116"/>
      <c r="ES603" s="1116"/>
    </row>
    <row r="604" spans="1:149" ht="15" customHeight="1">
      <c r="A604" s="1185">
        <v>594</v>
      </c>
      <c r="B604" s="1041"/>
      <c r="C604" s="1050"/>
      <c r="D604" s="1050"/>
      <c r="E604" s="1050"/>
      <c r="F604" s="1049"/>
      <c r="G604" s="1049"/>
      <c r="H604" s="1049"/>
      <c r="I604" s="1049"/>
      <c r="J604" s="1050"/>
      <c r="K604" s="1050"/>
      <c r="L604" s="1043"/>
      <c r="M604" s="1051"/>
      <c r="N604" s="1051"/>
      <c r="O604" s="1052"/>
      <c r="P604" s="1051"/>
      <c r="Q604" s="1051"/>
      <c r="R604" s="1052"/>
      <c r="S604" s="1051"/>
      <c r="T604" s="1051"/>
      <c r="U604" s="1052"/>
      <c r="V604" s="1051"/>
      <c r="W604" s="1051"/>
      <c r="X604" s="1052"/>
      <c r="Y604" s="1053"/>
      <c r="Z604" s="1051"/>
      <c r="AA604" s="1051"/>
      <c r="AB604" s="1052"/>
      <c r="AC604" s="1051"/>
      <c r="AD604" s="1051"/>
      <c r="AE604" s="1052"/>
      <c r="AF604" s="1051"/>
      <c r="AG604" s="1051"/>
      <c r="AH604" s="1051"/>
      <c r="AI604" s="1051"/>
      <c r="AJ604" s="1052"/>
      <c r="AK604" s="1051"/>
      <c r="AL604" s="1051"/>
      <c r="AM604" s="1052"/>
      <c r="AN604" s="1051"/>
      <c r="AO604" s="1051"/>
      <c r="AP604" s="1052"/>
      <c r="AQ604" s="1051"/>
      <c r="AR604" s="1051"/>
      <c r="AS604" s="1052"/>
      <c r="AT604" s="1051"/>
      <c r="AU604" s="1051"/>
      <c r="AV604" s="1052"/>
      <c r="AW604" s="1051"/>
      <c r="AX604" s="1051"/>
      <c r="AY604" s="1053"/>
      <c r="AZ604" s="1051"/>
      <c r="BA604" s="1051"/>
      <c r="BB604" s="1053"/>
      <c r="BC604" s="1051"/>
      <c r="BD604" s="1051"/>
      <c r="BE604" s="1053"/>
      <c r="BF604" s="1051"/>
      <c r="BG604" s="1051"/>
      <c r="BH604" s="1053"/>
      <c r="BI604" s="1052"/>
      <c r="BJ604" s="1052"/>
      <c r="BK604" s="1052"/>
      <c r="BL604" s="1052"/>
      <c r="BM604" s="1052"/>
      <c r="BN604" s="1054"/>
      <c r="BO604" s="1076">
        <f t="shared" si="10"/>
        <v>0</v>
      </c>
      <c r="BP604" s="1051"/>
      <c r="BQ604" s="1052"/>
      <c r="BR604" s="1054"/>
      <c r="BS604" s="1053"/>
      <c r="BT604" s="1051"/>
      <c r="BU604" s="1051"/>
      <c r="BV604" s="1051"/>
      <c r="BW604" s="1052"/>
      <c r="BX604" s="1052"/>
      <c r="BY604" s="1052"/>
      <c r="BZ604" s="1052"/>
      <c r="CA604" s="1052"/>
      <c r="CB604" s="1053"/>
      <c r="CC604" s="1053"/>
      <c r="CD604" s="1053"/>
      <c r="CE604" s="1053"/>
      <c r="CF604" s="1053"/>
      <c r="CG604" s="1053"/>
      <c r="CH604" s="1053"/>
      <c r="CI604" s="1123"/>
      <c r="CJ604" s="1123"/>
      <c r="CK604" s="1123"/>
      <c r="CL604" s="1123"/>
      <c r="CM604" s="1123"/>
      <c r="CN604" s="1123"/>
      <c r="CO604" s="1123"/>
      <c r="CP604" s="1123"/>
      <c r="CQ604" s="1123"/>
      <c r="CR604" s="1123"/>
      <c r="CS604" s="1123"/>
      <c r="CT604" s="1123"/>
      <c r="CU604" s="1123"/>
      <c r="CV604" s="1123"/>
      <c r="CW604" s="1123"/>
      <c r="CX604" s="1123"/>
      <c r="CY604" s="1123"/>
      <c r="CZ604" s="1114"/>
      <c r="DA604" s="1114"/>
      <c r="DB604" s="1114"/>
      <c r="DC604" s="1114"/>
      <c r="DD604" s="1114"/>
      <c r="DE604" s="1114"/>
      <c r="DF604" s="1114"/>
      <c r="DG604" s="1114"/>
      <c r="DH604" s="1114"/>
      <c r="DI604" s="1114"/>
      <c r="DJ604" s="1114"/>
      <c r="DK604" s="1114"/>
      <c r="DL604" s="1114"/>
      <c r="DM604" s="1114"/>
      <c r="DN604" s="1114"/>
      <c r="DO604" s="1114"/>
      <c r="DP604" s="1114"/>
      <c r="DQ604" s="1114"/>
      <c r="DR604" s="1114"/>
      <c r="DS604" s="1114"/>
      <c r="DT604" s="1114"/>
      <c r="DU604" s="1114"/>
      <c r="DV604" s="1115"/>
      <c r="DW604" s="1116"/>
      <c r="DX604" s="1116"/>
      <c r="DY604" s="1116"/>
      <c r="DZ604" s="1116"/>
      <c r="EA604" s="1116"/>
      <c r="EB604" s="1116"/>
      <c r="EC604" s="1116"/>
      <c r="ED604" s="1116"/>
      <c r="EE604" s="1116"/>
      <c r="EF604" s="1116"/>
      <c r="EG604" s="1116"/>
      <c r="EH604" s="1116"/>
      <c r="EI604" s="1116"/>
      <c r="EJ604" s="1116"/>
      <c r="EK604" s="1116"/>
      <c r="EL604" s="1116"/>
      <c r="EM604" s="1116"/>
      <c r="EN604" s="1116"/>
      <c r="EO604" s="1116"/>
      <c r="EP604" s="1116"/>
      <c r="EQ604" s="1116"/>
      <c r="ER604" s="1116"/>
      <c r="ES604" s="1116"/>
    </row>
    <row r="605" spans="1:149" ht="15" customHeight="1">
      <c r="A605" s="1185">
        <v>595</v>
      </c>
      <c r="B605" s="1041"/>
      <c r="C605" s="1050"/>
      <c r="D605" s="1050"/>
      <c r="E605" s="1050"/>
      <c r="F605" s="1049"/>
      <c r="G605" s="1049"/>
      <c r="H605" s="1049"/>
      <c r="I605" s="1049"/>
      <c r="J605" s="1050"/>
      <c r="K605" s="1050"/>
      <c r="L605" s="1043"/>
      <c r="M605" s="1051"/>
      <c r="N605" s="1051"/>
      <c r="O605" s="1052"/>
      <c r="P605" s="1051"/>
      <c r="Q605" s="1051"/>
      <c r="R605" s="1052"/>
      <c r="S605" s="1051"/>
      <c r="T605" s="1051"/>
      <c r="U605" s="1052"/>
      <c r="V605" s="1051"/>
      <c r="W605" s="1051"/>
      <c r="X605" s="1052"/>
      <c r="Y605" s="1053"/>
      <c r="Z605" s="1051"/>
      <c r="AA605" s="1051"/>
      <c r="AB605" s="1052"/>
      <c r="AC605" s="1051"/>
      <c r="AD605" s="1051"/>
      <c r="AE605" s="1052"/>
      <c r="AF605" s="1051"/>
      <c r="AG605" s="1051"/>
      <c r="AH605" s="1051"/>
      <c r="AI605" s="1051"/>
      <c r="AJ605" s="1052"/>
      <c r="AK605" s="1051"/>
      <c r="AL605" s="1051"/>
      <c r="AM605" s="1052"/>
      <c r="AN605" s="1051"/>
      <c r="AO605" s="1051"/>
      <c r="AP605" s="1052"/>
      <c r="AQ605" s="1051"/>
      <c r="AR605" s="1051"/>
      <c r="AS605" s="1052"/>
      <c r="AT605" s="1051"/>
      <c r="AU605" s="1051"/>
      <c r="AV605" s="1052"/>
      <c r="AW605" s="1051"/>
      <c r="AX605" s="1051"/>
      <c r="AY605" s="1053"/>
      <c r="AZ605" s="1051"/>
      <c r="BA605" s="1051"/>
      <c r="BB605" s="1053"/>
      <c r="BC605" s="1051"/>
      <c r="BD605" s="1051"/>
      <c r="BE605" s="1053"/>
      <c r="BF605" s="1051"/>
      <c r="BG605" s="1051"/>
      <c r="BH605" s="1053"/>
      <c r="BI605" s="1052"/>
      <c r="BJ605" s="1052"/>
      <c r="BK605" s="1052"/>
      <c r="BL605" s="1052"/>
      <c r="BM605" s="1052"/>
      <c r="BN605" s="1054"/>
      <c r="BO605" s="1076">
        <f t="shared" si="10"/>
        <v>0</v>
      </c>
      <c r="BP605" s="1051"/>
      <c r="BQ605" s="1052"/>
      <c r="BR605" s="1054"/>
      <c r="BS605" s="1053"/>
      <c r="BT605" s="1051"/>
      <c r="BU605" s="1051"/>
      <c r="BV605" s="1051"/>
      <c r="BW605" s="1052"/>
      <c r="BX605" s="1052"/>
      <c r="BY605" s="1052"/>
      <c r="BZ605" s="1052"/>
      <c r="CA605" s="1052"/>
      <c r="CB605" s="1053"/>
      <c r="CC605" s="1053"/>
      <c r="CD605" s="1053"/>
      <c r="CE605" s="1053"/>
      <c r="CF605" s="1053"/>
      <c r="CG605" s="1053"/>
      <c r="CH605" s="1053"/>
      <c r="CI605" s="1123"/>
      <c r="CJ605" s="1123"/>
      <c r="CK605" s="1123"/>
      <c r="CL605" s="1123"/>
      <c r="CM605" s="1123"/>
      <c r="CN605" s="1123"/>
      <c r="CO605" s="1123"/>
      <c r="CP605" s="1123"/>
      <c r="CQ605" s="1123"/>
      <c r="CR605" s="1123"/>
      <c r="CS605" s="1123"/>
      <c r="CT605" s="1123"/>
      <c r="CU605" s="1123"/>
      <c r="CV605" s="1123"/>
      <c r="CW605" s="1123"/>
      <c r="CX605" s="1123"/>
      <c r="CY605" s="1123"/>
      <c r="CZ605" s="1114"/>
      <c r="DA605" s="1114"/>
      <c r="DB605" s="1114"/>
      <c r="DC605" s="1114"/>
      <c r="DD605" s="1114"/>
      <c r="DE605" s="1114"/>
      <c r="DF605" s="1114"/>
      <c r="DG605" s="1114"/>
      <c r="DH605" s="1114"/>
      <c r="DI605" s="1114"/>
      <c r="DJ605" s="1114"/>
      <c r="DK605" s="1114"/>
      <c r="DL605" s="1114"/>
      <c r="DM605" s="1114"/>
      <c r="DN605" s="1114"/>
      <c r="DO605" s="1114"/>
      <c r="DP605" s="1114"/>
      <c r="DQ605" s="1114"/>
      <c r="DR605" s="1114"/>
      <c r="DS605" s="1114"/>
      <c r="DT605" s="1114"/>
      <c r="DU605" s="1114"/>
      <c r="DV605" s="1115"/>
      <c r="DW605" s="1116"/>
      <c r="DX605" s="1116"/>
      <c r="DY605" s="1116"/>
      <c r="DZ605" s="1116"/>
      <c r="EA605" s="1116"/>
      <c r="EB605" s="1116"/>
      <c r="EC605" s="1116"/>
      <c r="ED605" s="1116"/>
      <c r="EE605" s="1116"/>
      <c r="EF605" s="1116"/>
      <c r="EG605" s="1116"/>
      <c r="EH605" s="1116"/>
      <c r="EI605" s="1116"/>
      <c r="EJ605" s="1116"/>
      <c r="EK605" s="1116"/>
      <c r="EL605" s="1116"/>
      <c r="EM605" s="1116"/>
      <c r="EN605" s="1116"/>
      <c r="EO605" s="1116"/>
      <c r="EP605" s="1116"/>
      <c r="EQ605" s="1116"/>
      <c r="ER605" s="1116"/>
      <c r="ES605" s="1116"/>
    </row>
    <row r="606" spans="1:149" ht="15" customHeight="1">
      <c r="A606" s="1185">
        <v>596</v>
      </c>
      <c r="B606" s="1041"/>
      <c r="C606" s="1050"/>
      <c r="D606" s="1050"/>
      <c r="E606" s="1050"/>
      <c r="F606" s="1049"/>
      <c r="G606" s="1049"/>
      <c r="H606" s="1049"/>
      <c r="I606" s="1049"/>
      <c r="J606" s="1050"/>
      <c r="K606" s="1050"/>
      <c r="L606" s="1043"/>
      <c r="M606" s="1051"/>
      <c r="N606" s="1051"/>
      <c r="O606" s="1052"/>
      <c r="P606" s="1051"/>
      <c r="Q606" s="1051"/>
      <c r="R606" s="1052"/>
      <c r="S606" s="1051"/>
      <c r="T606" s="1051"/>
      <c r="U606" s="1052"/>
      <c r="V606" s="1051"/>
      <c r="W606" s="1051"/>
      <c r="X606" s="1052"/>
      <c r="Y606" s="1053"/>
      <c r="Z606" s="1051"/>
      <c r="AA606" s="1051"/>
      <c r="AB606" s="1052"/>
      <c r="AC606" s="1051"/>
      <c r="AD606" s="1051"/>
      <c r="AE606" s="1052"/>
      <c r="AF606" s="1051"/>
      <c r="AG606" s="1051"/>
      <c r="AH606" s="1051"/>
      <c r="AI606" s="1051"/>
      <c r="AJ606" s="1052"/>
      <c r="AK606" s="1051"/>
      <c r="AL606" s="1051"/>
      <c r="AM606" s="1052"/>
      <c r="AN606" s="1051"/>
      <c r="AO606" s="1051"/>
      <c r="AP606" s="1052"/>
      <c r="AQ606" s="1051"/>
      <c r="AR606" s="1051"/>
      <c r="AS606" s="1052"/>
      <c r="AT606" s="1051"/>
      <c r="AU606" s="1051"/>
      <c r="AV606" s="1052"/>
      <c r="AW606" s="1051"/>
      <c r="AX606" s="1051"/>
      <c r="AY606" s="1053"/>
      <c r="AZ606" s="1051"/>
      <c r="BA606" s="1051"/>
      <c r="BB606" s="1053"/>
      <c r="BC606" s="1051"/>
      <c r="BD606" s="1051"/>
      <c r="BE606" s="1053"/>
      <c r="BF606" s="1051"/>
      <c r="BG606" s="1051"/>
      <c r="BH606" s="1053"/>
      <c r="BI606" s="1052"/>
      <c r="BJ606" s="1052"/>
      <c r="BK606" s="1052"/>
      <c r="BL606" s="1052"/>
      <c r="BM606" s="1052"/>
      <c r="BN606" s="1054"/>
      <c r="BO606" s="1076">
        <f t="shared" si="10"/>
        <v>0</v>
      </c>
      <c r="BP606" s="1051"/>
      <c r="BQ606" s="1052"/>
      <c r="BR606" s="1054"/>
      <c r="BS606" s="1053"/>
      <c r="BT606" s="1051"/>
      <c r="BU606" s="1051"/>
      <c r="BV606" s="1051"/>
      <c r="BW606" s="1052"/>
      <c r="BX606" s="1052"/>
      <c r="BY606" s="1052"/>
      <c r="BZ606" s="1052"/>
      <c r="CA606" s="1052"/>
      <c r="CB606" s="1053"/>
      <c r="CC606" s="1053"/>
      <c r="CD606" s="1053"/>
      <c r="CE606" s="1053"/>
      <c r="CF606" s="1053"/>
      <c r="CG606" s="1053"/>
      <c r="CH606" s="1053"/>
      <c r="CI606" s="1123"/>
      <c r="CJ606" s="1123"/>
      <c r="CK606" s="1123"/>
      <c r="CL606" s="1123"/>
      <c r="CM606" s="1123"/>
      <c r="CN606" s="1123"/>
      <c r="CO606" s="1123"/>
      <c r="CP606" s="1123"/>
      <c r="CQ606" s="1123"/>
      <c r="CR606" s="1123"/>
      <c r="CS606" s="1123"/>
      <c r="CT606" s="1123"/>
      <c r="CU606" s="1123"/>
      <c r="CV606" s="1123"/>
      <c r="CW606" s="1123"/>
      <c r="CX606" s="1123"/>
      <c r="CY606" s="1123"/>
      <c r="CZ606" s="1114"/>
      <c r="DA606" s="1114"/>
      <c r="DB606" s="1114"/>
      <c r="DC606" s="1114"/>
      <c r="DD606" s="1114"/>
      <c r="DE606" s="1114"/>
      <c r="DF606" s="1114"/>
      <c r="DG606" s="1114"/>
      <c r="DH606" s="1114"/>
      <c r="DI606" s="1114"/>
      <c r="DJ606" s="1114"/>
      <c r="DK606" s="1114"/>
      <c r="DL606" s="1114"/>
      <c r="DM606" s="1114"/>
      <c r="DN606" s="1114"/>
      <c r="DO606" s="1114"/>
      <c r="DP606" s="1114"/>
      <c r="DQ606" s="1114"/>
      <c r="DR606" s="1114"/>
      <c r="DS606" s="1114"/>
      <c r="DT606" s="1114"/>
      <c r="DU606" s="1114"/>
      <c r="DV606" s="1115"/>
      <c r="DW606" s="1116"/>
      <c r="DX606" s="1116"/>
      <c r="DY606" s="1116"/>
      <c r="DZ606" s="1116"/>
      <c r="EA606" s="1116"/>
      <c r="EB606" s="1116"/>
      <c r="EC606" s="1116"/>
      <c r="ED606" s="1116"/>
      <c r="EE606" s="1116"/>
      <c r="EF606" s="1116"/>
      <c r="EG606" s="1116"/>
      <c r="EH606" s="1116"/>
      <c r="EI606" s="1116"/>
      <c r="EJ606" s="1116"/>
      <c r="EK606" s="1116"/>
      <c r="EL606" s="1116"/>
      <c r="EM606" s="1116"/>
      <c r="EN606" s="1116"/>
      <c r="EO606" s="1116"/>
      <c r="EP606" s="1116"/>
      <c r="EQ606" s="1116"/>
      <c r="ER606" s="1116"/>
      <c r="ES606" s="1116"/>
    </row>
    <row r="607" spans="1:149" ht="15" customHeight="1">
      <c r="A607" s="1185">
        <v>597</v>
      </c>
      <c r="B607" s="1041"/>
      <c r="C607" s="1050"/>
      <c r="D607" s="1050"/>
      <c r="E607" s="1050"/>
      <c r="F607" s="1049"/>
      <c r="G607" s="1049"/>
      <c r="H607" s="1049"/>
      <c r="I607" s="1049"/>
      <c r="J607" s="1050"/>
      <c r="K607" s="1050"/>
      <c r="L607" s="1043"/>
      <c r="M607" s="1051"/>
      <c r="N607" s="1051"/>
      <c r="O607" s="1052"/>
      <c r="P607" s="1051"/>
      <c r="Q607" s="1051"/>
      <c r="R607" s="1052"/>
      <c r="S607" s="1051"/>
      <c r="T607" s="1051"/>
      <c r="U607" s="1052"/>
      <c r="V607" s="1051"/>
      <c r="W607" s="1051"/>
      <c r="X607" s="1052"/>
      <c r="Y607" s="1053"/>
      <c r="Z607" s="1051"/>
      <c r="AA607" s="1051"/>
      <c r="AB607" s="1052"/>
      <c r="AC607" s="1051"/>
      <c r="AD607" s="1051"/>
      <c r="AE607" s="1052"/>
      <c r="AF607" s="1051"/>
      <c r="AG607" s="1051"/>
      <c r="AH607" s="1051"/>
      <c r="AI607" s="1051"/>
      <c r="AJ607" s="1052"/>
      <c r="AK607" s="1051"/>
      <c r="AL607" s="1051"/>
      <c r="AM607" s="1052"/>
      <c r="AN607" s="1051"/>
      <c r="AO607" s="1051"/>
      <c r="AP607" s="1052"/>
      <c r="AQ607" s="1051"/>
      <c r="AR607" s="1051"/>
      <c r="AS607" s="1052"/>
      <c r="AT607" s="1051"/>
      <c r="AU607" s="1051"/>
      <c r="AV607" s="1052"/>
      <c r="AW607" s="1051"/>
      <c r="AX607" s="1051"/>
      <c r="AY607" s="1053"/>
      <c r="AZ607" s="1051"/>
      <c r="BA607" s="1051"/>
      <c r="BB607" s="1053"/>
      <c r="BC607" s="1051"/>
      <c r="BD607" s="1051"/>
      <c r="BE607" s="1053"/>
      <c r="BF607" s="1051"/>
      <c r="BG607" s="1051"/>
      <c r="BH607" s="1053"/>
      <c r="BI607" s="1052"/>
      <c r="BJ607" s="1052"/>
      <c r="BK607" s="1052"/>
      <c r="BL607" s="1052"/>
      <c r="BM607" s="1052"/>
      <c r="BN607" s="1054"/>
      <c r="BO607" s="1076">
        <f t="shared" si="10"/>
        <v>0</v>
      </c>
      <c r="BP607" s="1051"/>
      <c r="BQ607" s="1052"/>
      <c r="BR607" s="1054"/>
      <c r="BS607" s="1053"/>
      <c r="BT607" s="1051"/>
      <c r="BU607" s="1051"/>
      <c r="BV607" s="1051"/>
      <c r="BW607" s="1052"/>
      <c r="BX607" s="1052"/>
      <c r="BY607" s="1052"/>
      <c r="BZ607" s="1052"/>
      <c r="CA607" s="1052"/>
      <c r="CB607" s="1053"/>
      <c r="CC607" s="1053"/>
      <c r="CD607" s="1053"/>
      <c r="CE607" s="1053"/>
      <c r="CF607" s="1053"/>
      <c r="CG607" s="1053"/>
      <c r="CH607" s="1053"/>
      <c r="CI607" s="1123"/>
      <c r="CJ607" s="1123"/>
      <c r="CK607" s="1123"/>
      <c r="CL607" s="1123"/>
      <c r="CM607" s="1123"/>
      <c r="CN607" s="1123"/>
      <c r="CO607" s="1123"/>
      <c r="CP607" s="1123"/>
      <c r="CQ607" s="1123"/>
      <c r="CR607" s="1123"/>
      <c r="CS607" s="1123"/>
      <c r="CT607" s="1123"/>
      <c r="CU607" s="1123"/>
      <c r="CV607" s="1123"/>
      <c r="CW607" s="1123"/>
      <c r="CX607" s="1123"/>
      <c r="CY607" s="1123"/>
      <c r="CZ607" s="1114"/>
      <c r="DA607" s="1114"/>
      <c r="DB607" s="1114"/>
      <c r="DC607" s="1114"/>
      <c r="DD607" s="1114"/>
      <c r="DE607" s="1114"/>
      <c r="DF607" s="1114"/>
      <c r="DG607" s="1114"/>
      <c r="DH607" s="1114"/>
      <c r="DI607" s="1114"/>
      <c r="DJ607" s="1114"/>
      <c r="DK607" s="1114"/>
      <c r="DL607" s="1114"/>
      <c r="DM607" s="1114"/>
      <c r="DN607" s="1114"/>
      <c r="DO607" s="1114"/>
      <c r="DP607" s="1114"/>
      <c r="DQ607" s="1114"/>
      <c r="DR607" s="1114"/>
      <c r="DS607" s="1114"/>
      <c r="DT607" s="1114"/>
      <c r="DU607" s="1114"/>
      <c r="DV607" s="1115"/>
      <c r="DW607" s="1116"/>
      <c r="DX607" s="1116"/>
      <c r="DY607" s="1116"/>
      <c r="DZ607" s="1116"/>
      <c r="EA607" s="1116"/>
      <c r="EB607" s="1116"/>
      <c r="EC607" s="1116"/>
      <c r="ED607" s="1116"/>
      <c r="EE607" s="1116"/>
      <c r="EF607" s="1116"/>
      <c r="EG607" s="1116"/>
      <c r="EH607" s="1116"/>
      <c r="EI607" s="1116"/>
      <c r="EJ607" s="1116"/>
      <c r="EK607" s="1116"/>
      <c r="EL607" s="1116"/>
      <c r="EM607" s="1116"/>
      <c r="EN607" s="1116"/>
      <c r="EO607" s="1116"/>
      <c r="EP607" s="1116"/>
      <c r="EQ607" s="1116"/>
      <c r="ER607" s="1116"/>
      <c r="ES607" s="1116"/>
    </row>
    <row r="608" spans="1:149" ht="15" customHeight="1">
      <c r="A608" s="1185">
        <v>598</v>
      </c>
      <c r="B608" s="1041"/>
      <c r="C608" s="1050"/>
      <c r="D608" s="1050"/>
      <c r="E608" s="1050"/>
      <c r="F608" s="1049"/>
      <c r="G608" s="1049"/>
      <c r="H608" s="1049"/>
      <c r="I608" s="1049"/>
      <c r="J608" s="1050"/>
      <c r="K608" s="1050"/>
      <c r="L608" s="1043"/>
      <c r="M608" s="1051"/>
      <c r="N608" s="1051"/>
      <c r="O608" s="1052"/>
      <c r="P608" s="1051"/>
      <c r="Q608" s="1051"/>
      <c r="R608" s="1052"/>
      <c r="S608" s="1051"/>
      <c r="T608" s="1051"/>
      <c r="U608" s="1052"/>
      <c r="V608" s="1051"/>
      <c r="W608" s="1051"/>
      <c r="X608" s="1052"/>
      <c r="Y608" s="1053"/>
      <c r="Z608" s="1051"/>
      <c r="AA608" s="1051"/>
      <c r="AB608" s="1052"/>
      <c r="AC608" s="1051"/>
      <c r="AD608" s="1051"/>
      <c r="AE608" s="1052"/>
      <c r="AF608" s="1051"/>
      <c r="AG608" s="1051"/>
      <c r="AH608" s="1051"/>
      <c r="AI608" s="1051"/>
      <c r="AJ608" s="1052"/>
      <c r="AK608" s="1051"/>
      <c r="AL608" s="1051"/>
      <c r="AM608" s="1052"/>
      <c r="AN608" s="1051"/>
      <c r="AO608" s="1051"/>
      <c r="AP608" s="1052"/>
      <c r="AQ608" s="1051"/>
      <c r="AR608" s="1051"/>
      <c r="AS608" s="1052"/>
      <c r="AT608" s="1051"/>
      <c r="AU608" s="1051"/>
      <c r="AV608" s="1052"/>
      <c r="AW608" s="1051"/>
      <c r="AX608" s="1051"/>
      <c r="AY608" s="1053"/>
      <c r="AZ608" s="1051"/>
      <c r="BA608" s="1051"/>
      <c r="BB608" s="1053"/>
      <c r="BC608" s="1051"/>
      <c r="BD608" s="1051"/>
      <c r="BE608" s="1053"/>
      <c r="BF608" s="1051"/>
      <c r="BG608" s="1051"/>
      <c r="BH608" s="1053"/>
      <c r="BI608" s="1052"/>
      <c r="BJ608" s="1052"/>
      <c r="BK608" s="1052"/>
      <c r="BL608" s="1052"/>
      <c r="BM608" s="1052"/>
      <c r="BN608" s="1054"/>
      <c r="BO608" s="1076">
        <f t="shared" si="10"/>
        <v>0</v>
      </c>
      <c r="BP608" s="1051"/>
      <c r="BQ608" s="1052"/>
      <c r="BR608" s="1054"/>
      <c r="BS608" s="1053"/>
      <c r="BT608" s="1051"/>
      <c r="BU608" s="1051"/>
      <c r="BV608" s="1051"/>
      <c r="BW608" s="1052"/>
      <c r="BX608" s="1052"/>
      <c r="BY608" s="1052"/>
      <c r="BZ608" s="1052"/>
      <c r="CA608" s="1052"/>
      <c r="CB608" s="1053"/>
      <c r="CC608" s="1053"/>
      <c r="CD608" s="1053"/>
      <c r="CE608" s="1053"/>
      <c r="CF608" s="1053"/>
      <c r="CG608" s="1053"/>
      <c r="CH608" s="1053"/>
      <c r="CI608" s="1123"/>
      <c r="CJ608" s="1123"/>
      <c r="CK608" s="1123"/>
      <c r="CL608" s="1123"/>
      <c r="CM608" s="1123"/>
      <c r="CN608" s="1123"/>
      <c r="CO608" s="1123"/>
      <c r="CP608" s="1123"/>
      <c r="CQ608" s="1123"/>
      <c r="CR608" s="1123"/>
      <c r="CS608" s="1123"/>
      <c r="CT608" s="1123"/>
      <c r="CU608" s="1123"/>
      <c r="CV608" s="1123"/>
      <c r="CW608" s="1123"/>
      <c r="CX608" s="1123"/>
      <c r="CY608" s="1123"/>
      <c r="CZ608" s="1114"/>
      <c r="DA608" s="1114"/>
      <c r="DB608" s="1114"/>
      <c r="DC608" s="1114"/>
      <c r="DD608" s="1114"/>
      <c r="DE608" s="1114"/>
      <c r="DF608" s="1114"/>
      <c r="DG608" s="1114"/>
      <c r="DH608" s="1114"/>
      <c r="DI608" s="1114"/>
      <c r="DJ608" s="1114"/>
      <c r="DK608" s="1114"/>
      <c r="DL608" s="1114"/>
      <c r="DM608" s="1114"/>
      <c r="DN608" s="1114"/>
      <c r="DO608" s="1114"/>
      <c r="DP608" s="1114"/>
      <c r="DQ608" s="1114"/>
      <c r="DR608" s="1114"/>
      <c r="DS608" s="1114"/>
      <c r="DT608" s="1114"/>
      <c r="DU608" s="1114"/>
      <c r="DV608" s="1115"/>
      <c r="DW608" s="1116"/>
      <c r="DX608" s="1116"/>
      <c r="DY608" s="1116"/>
      <c r="DZ608" s="1116"/>
      <c r="EA608" s="1116"/>
      <c r="EB608" s="1116"/>
      <c r="EC608" s="1116"/>
      <c r="ED608" s="1116"/>
      <c r="EE608" s="1116"/>
      <c r="EF608" s="1116"/>
      <c r="EG608" s="1116"/>
      <c r="EH608" s="1116"/>
      <c r="EI608" s="1116"/>
      <c r="EJ608" s="1116"/>
      <c r="EK608" s="1116"/>
      <c r="EL608" s="1116"/>
      <c r="EM608" s="1116"/>
      <c r="EN608" s="1116"/>
      <c r="EO608" s="1116"/>
      <c r="EP608" s="1116"/>
      <c r="EQ608" s="1116"/>
      <c r="ER608" s="1116"/>
      <c r="ES608" s="1116"/>
    </row>
    <row r="609" spans="1:149" ht="15" customHeight="1">
      <c r="A609" s="1185">
        <v>599</v>
      </c>
      <c r="B609" s="1041"/>
      <c r="C609" s="1050"/>
      <c r="D609" s="1050"/>
      <c r="E609" s="1050"/>
      <c r="F609" s="1049"/>
      <c r="G609" s="1049"/>
      <c r="H609" s="1049"/>
      <c r="I609" s="1049"/>
      <c r="J609" s="1050"/>
      <c r="K609" s="1050"/>
      <c r="L609" s="1043"/>
      <c r="M609" s="1051"/>
      <c r="N609" s="1051"/>
      <c r="O609" s="1052"/>
      <c r="P609" s="1051"/>
      <c r="Q609" s="1051"/>
      <c r="R609" s="1052"/>
      <c r="S609" s="1051"/>
      <c r="T609" s="1051"/>
      <c r="U609" s="1052"/>
      <c r="V609" s="1051"/>
      <c r="W609" s="1051"/>
      <c r="X609" s="1052"/>
      <c r="Y609" s="1053"/>
      <c r="Z609" s="1051"/>
      <c r="AA609" s="1051"/>
      <c r="AB609" s="1052"/>
      <c r="AC609" s="1051"/>
      <c r="AD609" s="1051"/>
      <c r="AE609" s="1052"/>
      <c r="AF609" s="1051"/>
      <c r="AG609" s="1051"/>
      <c r="AH609" s="1051"/>
      <c r="AI609" s="1051"/>
      <c r="AJ609" s="1052"/>
      <c r="AK609" s="1051"/>
      <c r="AL609" s="1051"/>
      <c r="AM609" s="1052"/>
      <c r="AN609" s="1051"/>
      <c r="AO609" s="1051"/>
      <c r="AP609" s="1052"/>
      <c r="AQ609" s="1051"/>
      <c r="AR609" s="1051"/>
      <c r="AS609" s="1052"/>
      <c r="AT609" s="1051"/>
      <c r="AU609" s="1051"/>
      <c r="AV609" s="1052"/>
      <c r="AW609" s="1051"/>
      <c r="AX609" s="1051"/>
      <c r="AY609" s="1053"/>
      <c r="AZ609" s="1051"/>
      <c r="BA609" s="1051"/>
      <c r="BB609" s="1053"/>
      <c r="BC609" s="1051"/>
      <c r="BD609" s="1051"/>
      <c r="BE609" s="1053"/>
      <c r="BF609" s="1051"/>
      <c r="BG609" s="1051"/>
      <c r="BH609" s="1053"/>
      <c r="BI609" s="1052"/>
      <c r="BJ609" s="1052"/>
      <c r="BK609" s="1052"/>
      <c r="BL609" s="1052"/>
      <c r="BM609" s="1052"/>
      <c r="BN609" s="1054"/>
      <c r="BO609" s="1076">
        <f t="shared" si="10"/>
        <v>0</v>
      </c>
      <c r="BP609" s="1051"/>
      <c r="BQ609" s="1052"/>
      <c r="BR609" s="1054"/>
      <c r="BS609" s="1053"/>
      <c r="BT609" s="1051"/>
      <c r="BU609" s="1051"/>
      <c r="BV609" s="1051"/>
      <c r="BW609" s="1052"/>
      <c r="BX609" s="1052"/>
      <c r="BY609" s="1052"/>
      <c r="BZ609" s="1052"/>
      <c r="CA609" s="1052"/>
      <c r="CB609" s="1053"/>
      <c r="CC609" s="1053"/>
      <c r="CD609" s="1053"/>
      <c r="CE609" s="1053"/>
      <c r="CF609" s="1053"/>
      <c r="CG609" s="1053"/>
      <c r="CH609" s="1053"/>
      <c r="CI609" s="1123"/>
      <c r="CJ609" s="1123"/>
      <c r="CK609" s="1123"/>
      <c r="CL609" s="1123"/>
      <c r="CM609" s="1123"/>
      <c r="CN609" s="1123"/>
      <c r="CO609" s="1123"/>
      <c r="CP609" s="1123"/>
      <c r="CQ609" s="1123"/>
      <c r="CR609" s="1123"/>
      <c r="CS609" s="1123"/>
      <c r="CT609" s="1123"/>
      <c r="CU609" s="1123"/>
      <c r="CV609" s="1123"/>
      <c r="CW609" s="1123"/>
      <c r="CX609" s="1123"/>
      <c r="CY609" s="1123"/>
      <c r="CZ609" s="1114"/>
      <c r="DA609" s="1114"/>
      <c r="DB609" s="1114"/>
      <c r="DC609" s="1114"/>
      <c r="DD609" s="1114"/>
      <c r="DE609" s="1114"/>
      <c r="DF609" s="1114"/>
      <c r="DG609" s="1114"/>
      <c r="DH609" s="1114"/>
      <c r="DI609" s="1114"/>
      <c r="DJ609" s="1114"/>
      <c r="DK609" s="1114"/>
      <c r="DL609" s="1114"/>
      <c r="DM609" s="1114"/>
      <c r="DN609" s="1114"/>
      <c r="DO609" s="1114"/>
      <c r="DP609" s="1114"/>
      <c r="DQ609" s="1114"/>
      <c r="DR609" s="1114"/>
      <c r="DS609" s="1114"/>
      <c r="DT609" s="1114"/>
      <c r="DU609" s="1114"/>
      <c r="DV609" s="1115"/>
      <c r="DW609" s="1116"/>
      <c r="DX609" s="1116"/>
      <c r="DY609" s="1116"/>
      <c r="DZ609" s="1116"/>
      <c r="EA609" s="1116"/>
      <c r="EB609" s="1116"/>
      <c r="EC609" s="1116"/>
      <c r="ED609" s="1116"/>
      <c r="EE609" s="1116"/>
      <c r="EF609" s="1116"/>
      <c r="EG609" s="1116"/>
      <c r="EH609" s="1116"/>
      <c r="EI609" s="1116"/>
      <c r="EJ609" s="1116"/>
      <c r="EK609" s="1116"/>
      <c r="EL609" s="1116"/>
      <c r="EM609" s="1116"/>
      <c r="EN609" s="1116"/>
      <c r="EO609" s="1116"/>
      <c r="EP609" s="1116"/>
      <c r="EQ609" s="1116"/>
      <c r="ER609" s="1116"/>
      <c r="ES609" s="1116"/>
    </row>
    <row r="610" spans="1:149" ht="15" customHeight="1">
      <c r="A610" s="1185">
        <v>600</v>
      </c>
      <c r="B610" s="1041"/>
      <c r="C610" s="1050"/>
      <c r="D610" s="1050"/>
      <c r="E610" s="1050"/>
      <c r="F610" s="1049"/>
      <c r="G610" s="1049"/>
      <c r="H610" s="1049"/>
      <c r="I610" s="1049"/>
      <c r="J610" s="1050"/>
      <c r="K610" s="1050"/>
      <c r="L610" s="1043"/>
      <c r="M610" s="1051"/>
      <c r="N610" s="1051"/>
      <c r="O610" s="1052"/>
      <c r="P610" s="1051"/>
      <c r="Q610" s="1051"/>
      <c r="R610" s="1052"/>
      <c r="S610" s="1051"/>
      <c r="T610" s="1051"/>
      <c r="U610" s="1052"/>
      <c r="V610" s="1051"/>
      <c r="W610" s="1051"/>
      <c r="X610" s="1052"/>
      <c r="Y610" s="1053"/>
      <c r="Z610" s="1051"/>
      <c r="AA610" s="1051"/>
      <c r="AB610" s="1052"/>
      <c r="AC610" s="1051"/>
      <c r="AD610" s="1051"/>
      <c r="AE610" s="1052"/>
      <c r="AF610" s="1051"/>
      <c r="AG610" s="1051"/>
      <c r="AH610" s="1051"/>
      <c r="AI610" s="1051"/>
      <c r="AJ610" s="1052"/>
      <c r="AK610" s="1051"/>
      <c r="AL610" s="1051"/>
      <c r="AM610" s="1052"/>
      <c r="AN610" s="1051"/>
      <c r="AO610" s="1051"/>
      <c r="AP610" s="1052"/>
      <c r="AQ610" s="1051"/>
      <c r="AR610" s="1051"/>
      <c r="AS610" s="1052"/>
      <c r="AT610" s="1051"/>
      <c r="AU610" s="1051"/>
      <c r="AV610" s="1052"/>
      <c r="AW610" s="1051"/>
      <c r="AX610" s="1051"/>
      <c r="AY610" s="1053"/>
      <c r="AZ610" s="1051"/>
      <c r="BA610" s="1051"/>
      <c r="BB610" s="1053"/>
      <c r="BC610" s="1051"/>
      <c r="BD610" s="1051"/>
      <c r="BE610" s="1053"/>
      <c r="BF610" s="1051"/>
      <c r="BG610" s="1051"/>
      <c r="BH610" s="1053"/>
      <c r="BI610" s="1052"/>
      <c r="BJ610" s="1052"/>
      <c r="BK610" s="1052"/>
      <c r="BL610" s="1052"/>
      <c r="BM610" s="1052"/>
      <c r="BN610" s="1054"/>
      <c r="BO610" s="1076">
        <f t="shared" si="10"/>
        <v>0</v>
      </c>
      <c r="BP610" s="1051"/>
      <c r="BQ610" s="1052"/>
      <c r="BR610" s="1054"/>
      <c r="BS610" s="1053"/>
      <c r="BT610" s="1051"/>
      <c r="BU610" s="1051"/>
      <c r="BV610" s="1051"/>
      <c r="BW610" s="1052"/>
      <c r="BX610" s="1052"/>
      <c r="BY610" s="1052"/>
      <c r="BZ610" s="1052"/>
      <c r="CA610" s="1052"/>
      <c r="CB610" s="1053"/>
      <c r="CC610" s="1053"/>
      <c r="CD610" s="1053"/>
      <c r="CE610" s="1053"/>
      <c r="CF610" s="1053"/>
      <c r="CG610" s="1053"/>
      <c r="CH610" s="1053"/>
      <c r="CI610" s="1123"/>
      <c r="CJ610" s="1123"/>
      <c r="CK610" s="1123"/>
      <c r="CL610" s="1123"/>
      <c r="CM610" s="1123"/>
      <c r="CN610" s="1123"/>
      <c r="CO610" s="1123"/>
      <c r="CP610" s="1123"/>
      <c r="CQ610" s="1123"/>
      <c r="CR610" s="1123"/>
      <c r="CS610" s="1123"/>
      <c r="CT610" s="1123"/>
      <c r="CU610" s="1123"/>
      <c r="CV610" s="1123"/>
      <c r="CW610" s="1123"/>
      <c r="CX610" s="1123"/>
      <c r="CY610" s="1123"/>
      <c r="CZ610" s="1114"/>
      <c r="DA610" s="1114"/>
      <c r="DB610" s="1114"/>
      <c r="DC610" s="1114"/>
      <c r="DD610" s="1114"/>
      <c r="DE610" s="1114"/>
      <c r="DF610" s="1114"/>
      <c r="DG610" s="1114"/>
      <c r="DH610" s="1114"/>
      <c r="DI610" s="1114"/>
      <c r="DJ610" s="1114"/>
      <c r="DK610" s="1114"/>
      <c r="DL610" s="1114"/>
      <c r="DM610" s="1114"/>
      <c r="DN610" s="1114"/>
      <c r="DO610" s="1114"/>
      <c r="DP610" s="1114"/>
      <c r="DQ610" s="1114"/>
      <c r="DR610" s="1114"/>
      <c r="DS610" s="1114"/>
      <c r="DT610" s="1114"/>
      <c r="DU610" s="1114"/>
      <c r="DV610" s="1115"/>
      <c r="DW610" s="1116"/>
      <c r="DX610" s="1116"/>
      <c r="DY610" s="1116"/>
      <c r="DZ610" s="1116"/>
      <c r="EA610" s="1116"/>
      <c r="EB610" s="1116"/>
      <c r="EC610" s="1116"/>
      <c r="ED610" s="1116"/>
      <c r="EE610" s="1116"/>
      <c r="EF610" s="1116"/>
      <c r="EG610" s="1116"/>
      <c r="EH610" s="1116"/>
      <c r="EI610" s="1116"/>
      <c r="EJ610" s="1116"/>
      <c r="EK610" s="1116"/>
      <c r="EL610" s="1116"/>
      <c r="EM610" s="1116"/>
      <c r="EN610" s="1116"/>
      <c r="EO610" s="1116"/>
      <c r="EP610" s="1116"/>
      <c r="EQ610" s="1116"/>
      <c r="ER610" s="1116"/>
      <c r="ES610" s="1116"/>
    </row>
    <row r="611" spans="1:149" ht="15" customHeight="1">
      <c r="A611" s="1185">
        <v>601</v>
      </c>
      <c r="B611" s="1041"/>
      <c r="C611" s="1050"/>
      <c r="D611" s="1050"/>
      <c r="E611" s="1050"/>
      <c r="F611" s="1049"/>
      <c r="G611" s="1049"/>
      <c r="H611" s="1049"/>
      <c r="I611" s="1049"/>
      <c r="J611" s="1050"/>
      <c r="K611" s="1050"/>
      <c r="L611" s="1043"/>
      <c r="M611" s="1051"/>
      <c r="N611" s="1051"/>
      <c r="O611" s="1052"/>
      <c r="P611" s="1051"/>
      <c r="Q611" s="1051"/>
      <c r="R611" s="1052"/>
      <c r="S611" s="1051"/>
      <c r="T611" s="1051"/>
      <c r="U611" s="1052"/>
      <c r="V611" s="1051"/>
      <c r="W611" s="1051"/>
      <c r="X611" s="1052"/>
      <c r="Y611" s="1053"/>
      <c r="Z611" s="1051"/>
      <c r="AA611" s="1051"/>
      <c r="AB611" s="1052"/>
      <c r="AC611" s="1051"/>
      <c r="AD611" s="1051"/>
      <c r="AE611" s="1052"/>
      <c r="AF611" s="1051"/>
      <c r="AG611" s="1051"/>
      <c r="AH611" s="1051"/>
      <c r="AI611" s="1051"/>
      <c r="AJ611" s="1052"/>
      <c r="AK611" s="1051"/>
      <c r="AL611" s="1051"/>
      <c r="AM611" s="1052"/>
      <c r="AN611" s="1051"/>
      <c r="AO611" s="1051"/>
      <c r="AP611" s="1052"/>
      <c r="AQ611" s="1051"/>
      <c r="AR611" s="1051"/>
      <c r="AS611" s="1052"/>
      <c r="AT611" s="1051"/>
      <c r="AU611" s="1051"/>
      <c r="AV611" s="1052"/>
      <c r="AW611" s="1051"/>
      <c r="AX611" s="1051"/>
      <c r="AY611" s="1053"/>
      <c r="AZ611" s="1051"/>
      <c r="BA611" s="1051"/>
      <c r="BB611" s="1053"/>
      <c r="BC611" s="1051"/>
      <c r="BD611" s="1051"/>
      <c r="BE611" s="1053"/>
      <c r="BF611" s="1051"/>
      <c r="BG611" s="1051"/>
      <c r="BH611" s="1053"/>
      <c r="BI611" s="1052"/>
      <c r="BJ611" s="1052"/>
      <c r="BK611" s="1052"/>
      <c r="BL611" s="1052"/>
      <c r="BM611" s="1052"/>
      <c r="BN611" s="1054"/>
      <c r="BO611" s="1076">
        <f t="shared" si="10"/>
        <v>0</v>
      </c>
      <c r="BP611" s="1051"/>
      <c r="BQ611" s="1052"/>
      <c r="BR611" s="1054"/>
      <c r="BS611" s="1053"/>
      <c r="BT611" s="1051"/>
      <c r="BU611" s="1051"/>
      <c r="BV611" s="1051"/>
      <c r="BW611" s="1052"/>
      <c r="BX611" s="1052"/>
      <c r="BY611" s="1052"/>
      <c r="BZ611" s="1052"/>
      <c r="CA611" s="1052"/>
      <c r="CB611" s="1053"/>
      <c r="CC611" s="1053"/>
      <c r="CD611" s="1053"/>
      <c r="CE611" s="1053"/>
      <c r="CF611" s="1053"/>
      <c r="CG611" s="1053"/>
      <c r="CH611" s="1053"/>
      <c r="CI611" s="1123"/>
      <c r="CJ611" s="1123"/>
      <c r="CK611" s="1123"/>
      <c r="CL611" s="1123"/>
      <c r="CM611" s="1123"/>
      <c r="CN611" s="1123"/>
      <c r="CO611" s="1123"/>
      <c r="CP611" s="1123"/>
      <c r="CQ611" s="1123"/>
      <c r="CR611" s="1123"/>
      <c r="CS611" s="1123"/>
      <c r="CT611" s="1123"/>
      <c r="CU611" s="1123"/>
      <c r="CV611" s="1123"/>
      <c r="CW611" s="1123"/>
      <c r="CX611" s="1123"/>
      <c r="CY611" s="1123"/>
      <c r="CZ611" s="1114"/>
      <c r="DA611" s="1114"/>
      <c r="DB611" s="1114"/>
      <c r="DC611" s="1114"/>
      <c r="DD611" s="1114"/>
      <c r="DE611" s="1114"/>
      <c r="DF611" s="1114"/>
      <c r="DG611" s="1114"/>
      <c r="DH611" s="1114"/>
      <c r="DI611" s="1114"/>
      <c r="DJ611" s="1114"/>
      <c r="DK611" s="1114"/>
      <c r="DL611" s="1114"/>
      <c r="DM611" s="1114"/>
      <c r="DN611" s="1114"/>
      <c r="DO611" s="1114"/>
      <c r="DP611" s="1114"/>
      <c r="DQ611" s="1114"/>
      <c r="DR611" s="1114"/>
      <c r="DS611" s="1114"/>
      <c r="DT611" s="1114"/>
      <c r="DU611" s="1114"/>
      <c r="DV611" s="1115"/>
      <c r="DW611" s="1116"/>
      <c r="DX611" s="1116"/>
      <c r="DY611" s="1116"/>
      <c r="DZ611" s="1116"/>
      <c r="EA611" s="1116"/>
      <c r="EB611" s="1116"/>
      <c r="EC611" s="1116"/>
      <c r="ED611" s="1116"/>
      <c r="EE611" s="1116"/>
      <c r="EF611" s="1116"/>
      <c r="EG611" s="1116"/>
      <c r="EH611" s="1116"/>
      <c r="EI611" s="1116"/>
      <c r="EJ611" s="1116"/>
      <c r="EK611" s="1116"/>
      <c r="EL611" s="1116"/>
      <c r="EM611" s="1116"/>
      <c r="EN611" s="1116"/>
      <c r="EO611" s="1116"/>
      <c r="EP611" s="1116"/>
      <c r="EQ611" s="1116"/>
      <c r="ER611" s="1116"/>
      <c r="ES611" s="1116"/>
    </row>
    <row r="612" spans="1:149" ht="15" customHeight="1">
      <c r="A612" s="1185">
        <v>602</v>
      </c>
      <c r="B612" s="1041"/>
      <c r="C612" s="1050"/>
      <c r="D612" s="1050"/>
      <c r="E612" s="1050"/>
      <c r="F612" s="1049"/>
      <c r="G612" s="1049"/>
      <c r="H612" s="1049"/>
      <c r="I612" s="1049"/>
      <c r="J612" s="1050"/>
      <c r="K612" s="1050"/>
      <c r="L612" s="1043"/>
      <c r="M612" s="1051"/>
      <c r="N612" s="1051"/>
      <c r="O612" s="1052"/>
      <c r="P612" s="1051"/>
      <c r="Q612" s="1051"/>
      <c r="R612" s="1052"/>
      <c r="S612" s="1051"/>
      <c r="T612" s="1051"/>
      <c r="U612" s="1052"/>
      <c r="V612" s="1051"/>
      <c r="W612" s="1051"/>
      <c r="X612" s="1052"/>
      <c r="Y612" s="1053"/>
      <c r="Z612" s="1051"/>
      <c r="AA612" s="1051"/>
      <c r="AB612" s="1052"/>
      <c r="AC612" s="1051"/>
      <c r="AD612" s="1051"/>
      <c r="AE612" s="1052"/>
      <c r="AF612" s="1051"/>
      <c r="AG612" s="1051"/>
      <c r="AH612" s="1051"/>
      <c r="AI612" s="1051"/>
      <c r="AJ612" s="1052"/>
      <c r="AK612" s="1051"/>
      <c r="AL612" s="1051"/>
      <c r="AM612" s="1052"/>
      <c r="AN612" s="1051"/>
      <c r="AO612" s="1051"/>
      <c r="AP612" s="1052"/>
      <c r="AQ612" s="1051"/>
      <c r="AR612" s="1051"/>
      <c r="AS612" s="1052"/>
      <c r="AT612" s="1051"/>
      <c r="AU612" s="1051"/>
      <c r="AV612" s="1052"/>
      <c r="AW612" s="1051"/>
      <c r="AX612" s="1051"/>
      <c r="AY612" s="1053"/>
      <c r="AZ612" s="1051"/>
      <c r="BA612" s="1051"/>
      <c r="BB612" s="1053"/>
      <c r="BC612" s="1051"/>
      <c r="BD612" s="1051"/>
      <c r="BE612" s="1053"/>
      <c r="BF612" s="1051"/>
      <c r="BG612" s="1051"/>
      <c r="BH612" s="1053"/>
      <c r="BI612" s="1052"/>
      <c r="BJ612" s="1052"/>
      <c r="BK612" s="1052"/>
      <c r="BL612" s="1052"/>
      <c r="BM612" s="1052"/>
      <c r="BN612" s="1054"/>
      <c r="BO612" s="1076">
        <f t="shared" si="10"/>
        <v>0</v>
      </c>
      <c r="BP612" s="1051"/>
      <c r="BQ612" s="1052"/>
      <c r="BR612" s="1054"/>
      <c r="BS612" s="1053"/>
      <c r="BT612" s="1051"/>
      <c r="BU612" s="1051"/>
      <c r="BV612" s="1051"/>
      <c r="BW612" s="1052"/>
      <c r="BX612" s="1052"/>
      <c r="BY612" s="1052"/>
      <c r="BZ612" s="1052"/>
      <c r="CA612" s="1052"/>
      <c r="CB612" s="1053"/>
      <c r="CC612" s="1053"/>
      <c r="CD612" s="1053"/>
      <c r="CE612" s="1053"/>
      <c r="CF612" s="1053"/>
      <c r="CG612" s="1053"/>
      <c r="CH612" s="1053"/>
      <c r="CI612" s="1123"/>
      <c r="CJ612" s="1123"/>
      <c r="CK612" s="1123"/>
      <c r="CL612" s="1123"/>
      <c r="CM612" s="1123"/>
      <c r="CN612" s="1123"/>
      <c r="CO612" s="1123"/>
      <c r="CP612" s="1123"/>
      <c r="CQ612" s="1123"/>
      <c r="CR612" s="1123"/>
      <c r="CS612" s="1123"/>
      <c r="CT612" s="1123"/>
      <c r="CU612" s="1123"/>
      <c r="CV612" s="1123"/>
      <c r="CW612" s="1123"/>
      <c r="CX612" s="1123"/>
      <c r="CY612" s="1123"/>
      <c r="CZ612" s="1114"/>
      <c r="DA612" s="1114"/>
      <c r="DB612" s="1114"/>
      <c r="DC612" s="1114"/>
      <c r="DD612" s="1114"/>
      <c r="DE612" s="1114"/>
      <c r="DF612" s="1114"/>
      <c r="DG612" s="1114"/>
      <c r="DH612" s="1114"/>
      <c r="DI612" s="1114"/>
      <c r="DJ612" s="1114"/>
      <c r="DK612" s="1114"/>
      <c r="DL612" s="1114"/>
      <c r="DM612" s="1114"/>
      <c r="DN612" s="1114"/>
      <c r="DO612" s="1114"/>
      <c r="DP612" s="1114"/>
      <c r="DQ612" s="1114"/>
      <c r="DR612" s="1114"/>
      <c r="DS612" s="1114"/>
      <c r="DT612" s="1114"/>
      <c r="DU612" s="1114"/>
      <c r="DV612" s="1115"/>
      <c r="DW612" s="1116"/>
      <c r="DX612" s="1116"/>
      <c r="DY612" s="1116"/>
      <c r="DZ612" s="1116"/>
      <c r="EA612" s="1116"/>
      <c r="EB612" s="1116"/>
      <c r="EC612" s="1116"/>
      <c r="ED612" s="1116"/>
      <c r="EE612" s="1116"/>
      <c r="EF612" s="1116"/>
      <c r="EG612" s="1116"/>
      <c r="EH612" s="1116"/>
      <c r="EI612" s="1116"/>
      <c r="EJ612" s="1116"/>
      <c r="EK612" s="1116"/>
      <c r="EL612" s="1116"/>
      <c r="EM612" s="1116"/>
      <c r="EN612" s="1116"/>
      <c r="EO612" s="1116"/>
      <c r="EP612" s="1116"/>
      <c r="EQ612" s="1116"/>
      <c r="ER612" s="1116"/>
      <c r="ES612" s="1116"/>
    </row>
    <row r="613" spans="1:149" ht="15" customHeight="1">
      <c r="A613" s="1185">
        <v>603</v>
      </c>
      <c r="B613" s="1041"/>
      <c r="C613" s="1050"/>
      <c r="D613" s="1050"/>
      <c r="E613" s="1050"/>
      <c r="F613" s="1049"/>
      <c r="G613" s="1049"/>
      <c r="H613" s="1049"/>
      <c r="I613" s="1049"/>
      <c r="J613" s="1050"/>
      <c r="K613" s="1050"/>
      <c r="L613" s="1043"/>
      <c r="M613" s="1051"/>
      <c r="N613" s="1051"/>
      <c r="O613" s="1052"/>
      <c r="P613" s="1051"/>
      <c r="Q613" s="1051"/>
      <c r="R613" s="1052"/>
      <c r="S613" s="1051"/>
      <c r="T613" s="1051"/>
      <c r="U613" s="1052"/>
      <c r="V613" s="1051"/>
      <c r="W613" s="1051"/>
      <c r="X613" s="1052"/>
      <c r="Y613" s="1053"/>
      <c r="Z613" s="1051"/>
      <c r="AA613" s="1051"/>
      <c r="AB613" s="1052"/>
      <c r="AC613" s="1051"/>
      <c r="AD613" s="1051"/>
      <c r="AE613" s="1052"/>
      <c r="AF613" s="1051"/>
      <c r="AG613" s="1051"/>
      <c r="AH613" s="1051"/>
      <c r="AI613" s="1051"/>
      <c r="AJ613" s="1052"/>
      <c r="AK613" s="1051"/>
      <c r="AL613" s="1051"/>
      <c r="AM613" s="1052"/>
      <c r="AN613" s="1051"/>
      <c r="AO613" s="1051"/>
      <c r="AP613" s="1052"/>
      <c r="AQ613" s="1051"/>
      <c r="AR613" s="1051"/>
      <c r="AS613" s="1052"/>
      <c r="AT613" s="1051"/>
      <c r="AU613" s="1051"/>
      <c r="AV613" s="1052"/>
      <c r="AW613" s="1051"/>
      <c r="AX613" s="1051"/>
      <c r="AY613" s="1053"/>
      <c r="AZ613" s="1051"/>
      <c r="BA613" s="1051"/>
      <c r="BB613" s="1053"/>
      <c r="BC613" s="1051"/>
      <c r="BD613" s="1051"/>
      <c r="BE613" s="1053"/>
      <c r="BF613" s="1051"/>
      <c r="BG613" s="1051"/>
      <c r="BH613" s="1053"/>
      <c r="BI613" s="1052"/>
      <c r="BJ613" s="1052"/>
      <c r="BK613" s="1052"/>
      <c r="BL613" s="1052"/>
      <c r="BM613" s="1052"/>
      <c r="BN613" s="1054"/>
      <c r="BO613" s="1076">
        <f t="shared" si="10"/>
        <v>0</v>
      </c>
      <c r="BP613" s="1051"/>
      <c r="BQ613" s="1052"/>
      <c r="BR613" s="1054"/>
      <c r="BS613" s="1053"/>
      <c r="BT613" s="1051"/>
      <c r="BU613" s="1051"/>
      <c r="BV613" s="1051"/>
      <c r="BW613" s="1052"/>
      <c r="BX613" s="1052"/>
      <c r="BY613" s="1052"/>
      <c r="BZ613" s="1052"/>
      <c r="CA613" s="1052"/>
      <c r="CB613" s="1053"/>
      <c r="CC613" s="1053"/>
      <c r="CD613" s="1053"/>
      <c r="CE613" s="1053"/>
      <c r="CF613" s="1053"/>
      <c r="CG613" s="1053"/>
      <c r="CH613" s="1053"/>
      <c r="CI613" s="1123"/>
      <c r="CJ613" s="1123"/>
      <c r="CK613" s="1123"/>
      <c r="CL613" s="1123"/>
      <c r="CM613" s="1123"/>
      <c r="CN613" s="1123"/>
      <c r="CO613" s="1123"/>
      <c r="CP613" s="1123"/>
      <c r="CQ613" s="1123"/>
      <c r="CR613" s="1123"/>
      <c r="CS613" s="1123"/>
      <c r="CT613" s="1123"/>
      <c r="CU613" s="1123"/>
      <c r="CV613" s="1123"/>
      <c r="CW613" s="1123"/>
      <c r="CX613" s="1123"/>
      <c r="CY613" s="1123"/>
      <c r="CZ613" s="1114"/>
      <c r="DA613" s="1114"/>
      <c r="DB613" s="1114"/>
      <c r="DC613" s="1114"/>
      <c r="DD613" s="1114"/>
      <c r="DE613" s="1114"/>
      <c r="DF613" s="1114"/>
      <c r="DG613" s="1114"/>
      <c r="DH613" s="1114"/>
      <c r="DI613" s="1114"/>
      <c r="DJ613" s="1114"/>
      <c r="DK613" s="1114"/>
      <c r="DL613" s="1114"/>
      <c r="DM613" s="1114"/>
      <c r="DN613" s="1114"/>
      <c r="DO613" s="1114"/>
      <c r="DP613" s="1114"/>
      <c r="DQ613" s="1114"/>
      <c r="DR613" s="1114"/>
      <c r="DS613" s="1114"/>
      <c r="DT613" s="1114"/>
      <c r="DU613" s="1114"/>
      <c r="DV613" s="1115"/>
      <c r="DW613" s="1116"/>
      <c r="DX613" s="1116"/>
      <c r="DY613" s="1116"/>
      <c r="DZ613" s="1116"/>
      <c r="EA613" s="1116"/>
      <c r="EB613" s="1116"/>
      <c r="EC613" s="1116"/>
      <c r="ED613" s="1116"/>
      <c r="EE613" s="1116"/>
      <c r="EF613" s="1116"/>
      <c r="EG613" s="1116"/>
      <c r="EH613" s="1116"/>
      <c r="EI613" s="1116"/>
      <c r="EJ613" s="1116"/>
      <c r="EK613" s="1116"/>
      <c r="EL613" s="1116"/>
      <c r="EM613" s="1116"/>
      <c r="EN613" s="1116"/>
      <c r="EO613" s="1116"/>
      <c r="EP613" s="1116"/>
      <c r="EQ613" s="1116"/>
      <c r="ER613" s="1116"/>
      <c r="ES613" s="1116"/>
    </row>
    <row r="614" spans="1:149" ht="15" customHeight="1">
      <c r="A614" s="1185">
        <v>604</v>
      </c>
      <c r="B614" s="1041"/>
      <c r="C614" s="1050"/>
      <c r="D614" s="1050"/>
      <c r="E614" s="1050"/>
      <c r="F614" s="1049"/>
      <c r="G614" s="1049"/>
      <c r="H614" s="1049"/>
      <c r="I614" s="1049"/>
      <c r="J614" s="1050"/>
      <c r="K614" s="1050"/>
      <c r="L614" s="1043"/>
      <c r="M614" s="1051"/>
      <c r="N614" s="1051"/>
      <c r="O614" s="1052"/>
      <c r="P614" s="1051"/>
      <c r="Q614" s="1051"/>
      <c r="R614" s="1052"/>
      <c r="S614" s="1051"/>
      <c r="T614" s="1051"/>
      <c r="U614" s="1052"/>
      <c r="V614" s="1051"/>
      <c r="W614" s="1051"/>
      <c r="X614" s="1052"/>
      <c r="Y614" s="1053"/>
      <c r="Z614" s="1051"/>
      <c r="AA614" s="1051"/>
      <c r="AB614" s="1052"/>
      <c r="AC614" s="1051"/>
      <c r="AD614" s="1051"/>
      <c r="AE614" s="1052"/>
      <c r="AF614" s="1051"/>
      <c r="AG614" s="1051"/>
      <c r="AH614" s="1051"/>
      <c r="AI614" s="1051"/>
      <c r="AJ614" s="1052"/>
      <c r="AK614" s="1051"/>
      <c r="AL614" s="1051"/>
      <c r="AM614" s="1052"/>
      <c r="AN614" s="1051"/>
      <c r="AO614" s="1051"/>
      <c r="AP614" s="1052"/>
      <c r="AQ614" s="1051"/>
      <c r="AR614" s="1051"/>
      <c r="AS614" s="1052"/>
      <c r="AT614" s="1051"/>
      <c r="AU614" s="1051"/>
      <c r="AV614" s="1052"/>
      <c r="AW614" s="1051"/>
      <c r="AX614" s="1051"/>
      <c r="AY614" s="1053"/>
      <c r="AZ614" s="1051"/>
      <c r="BA614" s="1051"/>
      <c r="BB614" s="1053"/>
      <c r="BC614" s="1051"/>
      <c r="BD614" s="1051"/>
      <c r="BE614" s="1053"/>
      <c r="BF614" s="1051"/>
      <c r="BG614" s="1051"/>
      <c r="BH614" s="1053"/>
      <c r="BI614" s="1052"/>
      <c r="BJ614" s="1052"/>
      <c r="BK614" s="1052"/>
      <c r="BL614" s="1052"/>
      <c r="BM614" s="1052"/>
      <c r="BN614" s="1054"/>
      <c r="BO614" s="1076">
        <f t="shared" si="10"/>
        <v>0</v>
      </c>
      <c r="BP614" s="1051"/>
      <c r="BQ614" s="1052"/>
      <c r="BR614" s="1054"/>
      <c r="BS614" s="1053"/>
      <c r="BT614" s="1051"/>
      <c r="BU614" s="1051"/>
      <c r="BV614" s="1051"/>
      <c r="BW614" s="1052"/>
      <c r="BX614" s="1052"/>
      <c r="BY614" s="1052"/>
      <c r="BZ614" s="1052"/>
      <c r="CA614" s="1052"/>
      <c r="CB614" s="1053"/>
      <c r="CC614" s="1053"/>
      <c r="CD614" s="1053"/>
      <c r="CE614" s="1053"/>
      <c r="CF614" s="1053"/>
      <c r="CG614" s="1053"/>
      <c r="CH614" s="1053"/>
      <c r="CI614" s="1123"/>
      <c r="CJ614" s="1123"/>
      <c r="CK614" s="1123"/>
      <c r="CL614" s="1123"/>
      <c r="CM614" s="1123"/>
      <c r="CN614" s="1123"/>
      <c r="CO614" s="1123"/>
      <c r="CP614" s="1123"/>
      <c r="CQ614" s="1123"/>
      <c r="CR614" s="1123"/>
      <c r="CS614" s="1123"/>
      <c r="CT614" s="1123"/>
      <c r="CU614" s="1123"/>
      <c r="CV614" s="1123"/>
      <c r="CW614" s="1123"/>
      <c r="CX614" s="1123"/>
      <c r="CY614" s="1123"/>
      <c r="CZ614" s="1114"/>
      <c r="DA614" s="1114"/>
      <c r="DB614" s="1114"/>
      <c r="DC614" s="1114"/>
      <c r="DD614" s="1114"/>
      <c r="DE614" s="1114"/>
      <c r="DF614" s="1114"/>
      <c r="DG614" s="1114"/>
      <c r="DH614" s="1114"/>
      <c r="DI614" s="1114"/>
      <c r="DJ614" s="1114"/>
      <c r="DK614" s="1114"/>
      <c r="DL614" s="1114"/>
      <c r="DM614" s="1114"/>
      <c r="DN614" s="1114"/>
      <c r="DO614" s="1114"/>
      <c r="DP614" s="1114"/>
      <c r="DQ614" s="1114"/>
      <c r="DR614" s="1114"/>
      <c r="DS614" s="1114"/>
      <c r="DT614" s="1114"/>
      <c r="DU614" s="1114"/>
      <c r="DV614" s="1115"/>
      <c r="DW614" s="1116"/>
      <c r="DX614" s="1116"/>
      <c r="DY614" s="1116"/>
      <c r="DZ614" s="1116"/>
      <c r="EA614" s="1116"/>
      <c r="EB614" s="1116"/>
      <c r="EC614" s="1116"/>
      <c r="ED614" s="1116"/>
      <c r="EE614" s="1116"/>
      <c r="EF614" s="1116"/>
      <c r="EG614" s="1116"/>
      <c r="EH614" s="1116"/>
      <c r="EI614" s="1116"/>
      <c r="EJ614" s="1116"/>
      <c r="EK614" s="1116"/>
      <c r="EL614" s="1116"/>
      <c r="EM614" s="1116"/>
      <c r="EN614" s="1116"/>
      <c r="EO614" s="1116"/>
      <c r="EP614" s="1116"/>
      <c r="EQ614" s="1116"/>
      <c r="ER614" s="1116"/>
      <c r="ES614" s="1116"/>
    </row>
    <row r="615" spans="1:149" ht="15" customHeight="1">
      <c r="A615" s="1185">
        <v>605</v>
      </c>
      <c r="B615" s="1041"/>
      <c r="C615" s="1050"/>
      <c r="D615" s="1050"/>
      <c r="E615" s="1050"/>
      <c r="F615" s="1049"/>
      <c r="G615" s="1049"/>
      <c r="H615" s="1049"/>
      <c r="I615" s="1049"/>
      <c r="J615" s="1050"/>
      <c r="K615" s="1050"/>
      <c r="L615" s="1043"/>
      <c r="M615" s="1051"/>
      <c r="N615" s="1051"/>
      <c r="O615" s="1052"/>
      <c r="P615" s="1051"/>
      <c r="Q615" s="1051"/>
      <c r="R615" s="1052"/>
      <c r="S615" s="1051"/>
      <c r="T615" s="1051"/>
      <c r="U615" s="1052"/>
      <c r="V615" s="1051"/>
      <c r="W615" s="1051"/>
      <c r="X615" s="1052"/>
      <c r="Y615" s="1053"/>
      <c r="Z615" s="1051"/>
      <c r="AA615" s="1051"/>
      <c r="AB615" s="1052"/>
      <c r="AC615" s="1051"/>
      <c r="AD615" s="1051"/>
      <c r="AE615" s="1052"/>
      <c r="AF615" s="1051"/>
      <c r="AG615" s="1051"/>
      <c r="AH615" s="1051"/>
      <c r="AI615" s="1051"/>
      <c r="AJ615" s="1052"/>
      <c r="AK615" s="1051"/>
      <c r="AL615" s="1051"/>
      <c r="AM615" s="1052"/>
      <c r="AN615" s="1051"/>
      <c r="AO615" s="1051"/>
      <c r="AP615" s="1052"/>
      <c r="AQ615" s="1051"/>
      <c r="AR615" s="1051"/>
      <c r="AS615" s="1052"/>
      <c r="AT615" s="1051"/>
      <c r="AU615" s="1051"/>
      <c r="AV615" s="1052"/>
      <c r="AW615" s="1051"/>
      <c r="AX615" s="1051"/>
      <c r="AY615" s="1053"/>
      <c r="AZ615" s="1051"/>
      <c r="BA615" s="1051"/>
      <c r="BB615" s="1053"/>
      <c r="BC615" s="1051"/>
      <c r="BD615" s="1051"/>
      <c r="BE615" s="1053"/>
      <c r="BF615" s="1051"/>
      <c r="BG615" s="1051"/>
      <c r="BH615" s="1053"/>
      <c r="BI615" s="1052"/>
      <c r="BJ615" s="1052"/>
      <c r="BK615" s="1052"/>
      <c r="BL615" s="1052"/>
      <c r="BM615" s="1052"/>
      <c r="BN615" s="1054"/>
      <c r="BO615" s="1076">
        <f t="shared" si="10"/>
        <v>0</v>
      </c>
      <c r="BP615" s="1051"/>
      <c r="BQ615" s="1052"/>
      <c r="BR615" s="1054"/>
      <c r="BS615" s="1053"/>
      <c r="BT615" s="1051"/>
      <c r="BU615" s="1051"/>
      <c r="BV615" s="1051"/>
      <c r="BW615" s="1052"/>
      <c r="BX615" s="1052"/>
      <c r="BY615" s="1052"/>
      <c r="BZ615" s="1052"/>
      <c r="CA615" s="1052"/>
      <c r="CB615" s="1053"/>
      <c r="CC615" s="1053"/>
      <c r="CD615" s="1053"/>
      <c r="CE615" s="1053"/>
      <c r="CF615" s="1053"/>
      <c r="CG615" s="1053"/>
      <c r="CH615" s="1053"/>
      <c r="CI615" s="1123"/>
      <c r="CJ615" s="1123"/>
      <c r="CK615" s="1123"/>
      <c r="CL615" s="1123"/>
      <c r="CM615" s="1123"/>
      <c r="CN615" s="1123"/>
      <c r="CO615" s="1123"/>
      <c r="CP615" s="1123"/>
      <c r="CQ615" s="1123"/>
      <c r="CR615" s="1123"/>
      <c r="CS615" s="1123"/>
      <c r="CT615" s="1123"/>
      <c r="CU615" s="1123"/>
      <c r="CV615" s="1123"/>
      <c r="CW615" s="1123"/>
      <c r="CX615" s="1123"/>
      <c r="CY615" s="1123"/>
      <c r="CZ615" s="1114"/>
      <c r="DA615" s="1114"/>
      <c r="DB615" s="1114"/>
      <c r="DC615" s="1114"/>
      <c r="DD615" s="1114"/>
      <c r="DE615" s="1114"/>
      <c r="DF615" s="1114"/>
      <c r="DG615" s="1114"/>
      <c r="DH615" s="1114"/>
      <c r="DI615" s="1114"/>
      <c r="DJ615" s="1114"/>
      <c r="DK615" s="1114"/>
      <c r="DL615" s="1114"/>
      <c r="DM615" s="1114"/>
      <c r="DN615" s="1114"/>
      <c r="DO615" s="1114"/>
      <c r="DP615" s="1114"/>
      <c r="DQ615" s="1114"/>
      <c r="DR615" s="1114"/>
      <c r="DS615" s="1114"/>
      <c r="DT615" s="1114"/>
      <c r="DU615" s="1114"/>
      <c r="DV615" s="1115"/>
      <c r="DW615" s="1116"/>
      <c r="DX615" s="1116"/>
      <c r="DY615" s="1116"/>
      <c r="DZ615" s="1116"/>
      <c r="EA615" s="1116"/>
      <c r="EB615" s="1116"/>
      <c r="EC615" s="1116"/>
      <c r="ED615" s="1116"/>
      <c r="EE615" s="1116"/>
      <c r="EF615" s="1116"/>
      <c r="EG615" s="1116"/>
      <c r="EH615" s="1116"/>
      <c r="EI615" s="1116"/>
      <c r="EJ615" s="1116"/>
      <c r="EK615" s="1116"/>
      <c r="EL615" s="1116"/>
      <c r="EM615" s="1116"/>
      <c r="EN615" s="1116"/>
      <c r="EO615" s="1116"/>
      <c r="EP615" s="1116"/>
      <c r="EQ615" s="1116"/>
      <c r="ER615" s="1116"/>
      <c r="ES615" s="1116"/>
    </row>
    <row r="616" spans="1:149" ht="15" customHeight="1">
      <c r="A616" s="1185">
        <v>606</v>
      </c>
      <c r="B616" s="1041"/>
      <c r="C616" s="1050"/>
      <c r="D616" s="1050"/>
      <c r="E616" s="1050"/>
      <c r="F616" s="1049"/>
      <c r="G616" s="1049"/>
      <c r="H616" s="1049"/>
      <c r="I616" s="1049"/>
      <c r="J616" s="1050"/>
      <c r="K616" s="1050"/>
      <c r="L616" s="1043"/>
      <c r="M616" s="1051"/>
      <c r="N616" s="1051"/>
      <c r="O616" s="1052"/>
      <c r="P616" s="1051"/>
      <c r="Q616" s="1051"/>
      <c r="R616" s="1052"/>
      <c r="S616" s="1051"/>
      <c r="T616" s="1051"/>
      <c r="U616" s="1052"/>
      <c r="V616" s="1051"/>
      <c r="W616" s="1051"/>
      <c r="X616" s="1052"/>
      <c r="Y616" s="1053"/>
      <c r="Z616" s="1051"/>
      <c r="AA616" s="1051"/>
      <c r="AB616" s="1052"/>
      <c r="AC616" s="1051"/>
      <c r="AD616" s="1051"/>
      <c r="AE616" s="1052"/>
      <c r="AF616" s="1051"/>
      <c r="AG616" s="1051"/>
      <c r="AH616" s="1051"/>
      <c r="AI616" s="1051"/>
      <c r="AJ616" s="1052"/>
      <c r="AK616" s="1051"/>
      <c r="AL616" s="1051"/>
      <c r="AM616" s="1052"/>
      <c r="AN616" s="1051"/>
      <c r="AO616" s="1051"/>
      <c r="AP616" s="1052"/>
      <c r="AQ616" s="1051"/>
      <c r="AR616" s="1051"/>
      <c r="AS616" s="1052"/>
      <c r="AT616" s="1051"/>
      <c r="AU616" s="1051"/>
      <c r="AV616" s="1052"/>
      <c r="AW616" s="1051"/>
      <c r="AX616" s="1051"/>
      <c r="AY616" s="1053"/>
      <c r="AZ616" s="1051"/>
      <c r="BA616" s="1051"/>
      <c r="BB616" s="1053"/>
      <c r="BC616" s="1051"/>
      <c r="BD616" s="1051"/>
      <c r="BE616" s="1053"/>
      <c r="BF616" s="1051"/>
      <c r="BG616" s="1051"/>
      <c r="BH616" s="1053"/>
      <c r="BI616" s="1052"/>
      <c r="BJ616" s="1052"/>
      <c r="BK616" s="1052"/>
      <c r="BL616" s="1052"/>
      <c r="BM616" s="1052"/>
      <c r="BN616" s="1054"/>
      <c r="BO616" s="1076">
        <f t="shared" si="10"/>
        <v>0</v>
      </c>
      <c r="BP616" s="1051"/>
      <c r="BQ616" s="1052"/>
      <c r="BR616" s="1054"/>
      <c r="BS616" s="1053"/>
      <c r="BT616" s="1051"/>
      <c r="BU616" s="1051"/>
      <c r="BV616" s="1051"/>
      <c r="BW616" s="1052"/>
      <c r="BX616" s="1052"/>
      <c r="BY616" s="1052"/>
      <c r="BZ616" s="1052"/>
      <c r="CA616" s="1052"/>
      <c r="CB616" s="1053"/>
      <c r="CC616" s="1053"/>
      <c r="CD616" s="1053"/>
      <c r="CE616" s="1053"/>
      <c r="CF616" s="1053"/>
      <c r="CG616" s="1053"/>
      <c r="CH616" s="1053"/>
      <c r="CI616" s="1123"/>
      <c r="CJ616" s="1123"/>
      <c r="CK616" s="1123"/>
      <c r="CL616" s="1123"/>
      <c r="CM616" s="1123"/>
      <c r="CN616" s="1123"/>
      <c r="CO616" s="1123"/>
      <c r="CP616" s="1123"/>
      <c r="CQ616" s="1123"/>
      <c r="CR616" s="1123"/>
      <c r="CS616" s="1123"/>
      <c r="CT616" s="1123"/>
      <c r="CU616" s="1123"/>
      <c r="CV616" s="1123"/>
      <c r="CW616" s="1123"/>
      <c r="CX616" s="1123"/>
      <c r="CY616" s="1123"/>
      <c r="CZ616" s="1114"/>
      <c r="DA616" s="1114"/>
      <c r="DB616" s="1114"/>
      <c r="DC616" s="1114"/>
      <c r="DD616" s="1114"/>
      <c r="DE616" s="1114"/>
      <c r="DF616" s="1114"/>
      <c r="DG616" s="1114"/>
      <c r="DH616" s="1114"/>
      <c r="DI616" s="1114"/>
      <c r="DJ616" s="1114"/>
      <c r="DK616" s="1114"/>
      <c r="DL616" s="1114"/>
      <c r="DM616" s="1114"/>
      <c r="DN616" s="1114"/>
      <c r="DO616" s="1114"/>
      <c r="DP616" s="1114"/>
      <c r="DQ616" s="1114"/>
      <c r="DR616" s="1114"/>
      <c r="DS616" s="1114"/>
      <c r="DT616" s="1114"/>
      <c r="DU616" s="1114"/>
      <c r="DV616" s="1115"/>
      <c r="DW616" s="1116"/>
      <c r="DX616" s="1116"/>
      <c r="DY616" s="1116"/>
      <c r="DZ616" s="1116"/>
      <c r="EA616" s="1116"/>
      <c r="EB616" s="1116"/>
      <c r="EC616" s="1116"/>
      <c r="ED616" s="1116"/>
      <c r="EE616" s="1116"/>
      <c r="EF616" s="1116"/>
      <c r="EG616" s="1116"/>
      <c r="EH616" s="1116"/>
      <c r="EI616" s="1116"/>
      <c r="EJ616" s="1116"/>
      <c r="EK616" s="1116"/>
      <c r="EL616" s="1116"/>
      <c r="EM616" s="1116"/>
      <c r="EN616" s="1116"/>
      <c r="EO616" s="1116"/>
      <c r="EP616" s="1116"/>
      <c r="EQ616" s="1116"/>
      <c r="ER616" s="1116"/>
      <c r="ES616" s="1116"/>
    </row>
    <row r="617" spans="1:149" ht="15" customHeight="1">
      <c r="A617" s="1185">
        <v>607</v>
      </c>
      <c r="B617" s="1041"/>
      <c r="C617" s="1050"/>
      <c r="D617" s="1050"/>
      <c r="E617" s="1050"/>
      <c r="F617" s="1049"/>
      <c r="G617" s="1049"/>
      <c r="H617" s="1049"/>
      <c r="I617" s="1049"/>
      <c r="J617" s="1050"/>
      <c r="K617" s="1050"/>
      <c r="L617" s="1043"/>
      <c r="M617" s="1051"/>
      <c r="N617" s="1051"/>
      <c r="O617" s="1052"/>
      <c r="P617" s="1051"/>
      <c r="Q617" s="1051"/>
      <c r="R617" s="1052"/>
      <c r="S617" s="1051"/>
      <c r="T617" s="1051"/>
      <c r="U617" s="1052"/>
      <c r="V617" s="1051"/>
      <c r="W617" s="1051"/>
      <c r="X617" s="1052"/>
      <c r="Y617" s="1053"/>
      <c r="Z617" s="1051"/>
      <c r="AA617" s="1051"/>
      <c r="AB617" s="1052"/>
      <c r="AC617" s="1051"/>
      <c r="AD617" s="1051"/>
      <c r="AE617" s="1052"/>
      <c r="AF617" s="1051"/>
      <c r="AG617" s="1051"/>
      <c r="AH617" s="1051"/>
      <c r="AI617" s="1051"/>
      <c r="AJ617" s="1052"/>
      <c r="AK617" s="1051"/>
      <c r="AL617" s="1051"/>
      <c r="AM617" s="1052"/>
      <c r="AN617" s="1051"/>
      <c r="AO617" s="1051"/>
      <c r="AP617" s="1052"/>
      <c r="AQ617" s="1051"/>
      <c r="AR617" s="1051"/>
      <c r="AS617" s="1052"/>
      <c r="AT617" s="1051"/>
      <c r="AU617" s="1051"/>
      <c r="AV617" s="1052"/>
      <c r="AW617" s="1051"/>
      <c r="AX617" s="1051"/>
      <c r="AY617" s="1053"/>
      <c r="AZ617" s="1051"/>
      <c r="BA617" s="1051"/>
      <c r="BB617" s="1053"/>
      <c r="BC617" s="1051"/>
      <c r="BD617" s="1051"/>
      <c r="BE617" s="1053"/>
      <c r="BF617" s="1051"/>
      <c r="BG617" s="1051"/>
      <c r="BH617" s="1053"/>
      <c r="BI617" s="1052"/>
      <c r="BJ617" s="1052"/>
      <c r="BK617" s="1052"/>
      <c r="BL617" s="1052"/>
      <c r="BM617" s="1052"/>
      <c r="BN617" s="1054"/>
      <c r="BO617" s="1076">
        <f t="shared" si="10"/>
        <v>0</v>
      </c>
      <c r="BP617" s="1051"/>
      <c r="BQ617" s="1052"/>
      <c r="BR617" s="1054"/>
      <c r="BS617" s="1053"/>
      <c r="BT617" s="1051"/>
      <c r="BU617" s="1051"/>
      <c r="BV617" s="1051"/>
      <c r="BW617" s="1052"/>
      <c r="BX617" s="1052"/>
      <c r="BY617" s="1052"/>
      <c r="BZ617" s="1052"/>
      <c r="CA617" s="1052"/>
      <c r="CB617" s="1053"/>
      <c r="CC617" s="1053"/>
      <c r="CD617" s="1053"/>
      <c r="CE617" s="1053"/>
      <c r="CF617" s="1053"/>
      <c r="CG617" s="1053"/>
      <c r="CH617" s="1053"/>
      <c r="CI617" s="1123"/>
      <c r="CJ617" s="1123"/>
      <c r="CK617" s="1123"/>
      <c r="CL617" s="1123"/>
      <c r="CM617" s="1123"/>
      <c r="CN617" s="1123"/>
      <c r="CO617" s="1123"/>
      <c r="CP617" s="1123"/>
      <c r="CQ617" s="1123"/>
      <c r="CR617" s="1123"/>
      <c r="CS617" s="1123"/>
      <c r="CT617" s="1123"/>
      <c r="CU617" s="1123"/>
      <c r="CV617" s="1123"/>
      <c r="CW617" s="1123"/>
      <c r="CX617" s="1123"/>
      <c r="CY617" s="1123"/>
      <c r="CZ617" s="1114"/>
      <c r="DA617" s="1114"/>
      <c r="DB617" s="1114"/>
      <c r="DC617" s="1114"/>
      <c r="DD617" s="1114"/>
      <c r="DE617" s="1114"/>
      <c r="DF617" s="1114"/>
      <c r="DG617" s="1114"/>
      <c r="DH617" s="1114"/>
      <c r="DI617" s="1114"/>
      <c r="DJ617" s="1114"/>
      <c r="DK617" s="1114"/>
      <c r="DL617" s="1114"/>
      <c r="DM617" s="1114"/>
      <c r="DN617" s="1114"/>
      <c r="DO617" s="1114"/>
      <c r="DP617" s="1114"/>
      <c r="DQ617" s="1114"/>
      <c r="DR617" s="1114"/>
      <c r="DS617" s="1114"/>
      <c r="DT617" s="1114"/>
      <c r="DU617" s="1114"/>
      <c r="DV617" s="1115"/>
      <c r="DW617" s="1116"/>
      <c r="DX617" s="1116"/>
      <c r="DY617" s="1116"/>
      <c r="DZ617" s="1116"/>
      <c r="EA617" s="1116"/>
      <c r="EB617" s="1116"/>
      <c r="EC617" s="1116"/>
      <c r="ED617" s="1116"/>
      <c r="EE617" s="1116"/>
      <c r="EF617" s="1116"/>
      <c r="EG617" s="1116"/>
      <c r="EH617" s="1116"/>
      <c r="EI617" s="1116"/>
      <c r="EJ617" s="1116"/>
      <c r="EK617" s="1116"/>
      <c r="EL617" s="1116"/>
      <c r="EM617" s="1116"/>
      <c r="EN617" s="1116"/>
      <c r="EO617" s="1116"/>
      <c r="EP617" s="1116"/>
      <c r="EQ617" s="1116"/>
      <c r="ER617" s="1116"/>
      <c r="ES617" s="1116"/>
    </row>
    <row r="618" spans="1:149" ht="15" customHeight="1">
      <c r="A618" s="1185">
        <v>608</v>
      </c>
      <c r="B618" s="1041"/>
      <c r="C618" s="1050"/>
      <c r="D618" s="1050"/>
      <c r="E618" s="1050"/>
      <c r="F618" s="1049"/>
      <c r="G618" s="1049"/>
      <c r="H618" s="1049"/>
      <c r="I618" s="1049"/>
      <c r="J618" s="1050"/>
      <c r="K618" s="1050"/>
      <c r="L618" s="1043"/>
      <c r="M618" s="1051"/>
      <c r="N618" s="1051"/>
      <c r="O618" s="1052"/>
      <c r="P618" s="1051"/>
      <c r="Q618" s="1051"/>
      <c r="R618" s="1052"/>
      <c r="S618" s="1051"/>
      <c r="T618" s="1051"/>
      <c r="U618" s="1052"/>
      <c r="V618" s="1051"/>
      <c r="W618" s="1051"/>
      <c r="X618" s="1052"/>
      <c r="Y618" s="1053"/>
      <c r="Z618" s="1051"/>
      <c r="AA618" s="1051"/>
      <c r="AB618" s="1052"/>
      <c r="AC618" s="1051"/>
      <c r="AD618" s="1051"/>
      <c r="AE618" s="1052"/>
      <c r="AF618" s="1051"/>
      <c r="AG618" s="1051"/>
      <c r="AH618" s="1051"/>
      <c r="AI618" s="1051"/>
      <c r="AJ618" s="1052"/>
      <c r="AK618" s="1051"/>
      <c r="AL618" s="1051"/>
      <c r="AM618" s="1052"/>
      <c r="AN618" s="1051"/>
      <c r="AO618" s="1051"/>
      <c r="AP618" s="1052"/>
      <c r="AQ618" s="1051"/>
      <c r="AR618" s="1051"/>
      <c r="AS618" s="1052"/>
      <c r="AT618" s="1051"/>
      <c r="AU618" s="1051"/>
      <c r="AV618" s="1052"/>
      <c r="AW618" s="1051"/>
      <c r="AX618" s="1051"/>
      <c r="AY618" s="1053"/>
      <c r="AZ618" s="1051"/>
      <c r="BA618" s="1051"/>
      <c r="BB618" s="1053"/>
      <c r="BC618" s="1051"/>
      <c r="BD618" s="1051"/>
      <c r="BE618" s="1053"/>
      <c r="BF618" s="1051"/>
      <c r="BG618" s="1051"/>
      <c r="BH618" s="1053"/>
      <c r="BI618" s="1052"/>
      <c r="BJ618" s="1052"/>
      <c r="BK618" s="1052"/>
      <c r="BL618" s="1052"/>
      <c r="BM618" s="1052"/>
      <c r="BN618" s="1054"/>
      <c r="BO618" s="1076">
        <f t="shared" si="10"/>
        <v>0</v>
      </c>
      <c r="BP618" s="1051"/>
      <c r="BQ618" s="1052"/>
      <c r="BR618" s="1054"/>
      <c r="BS618" s="1053"/>
      <c r="BT618" s="1051"/>
      <c r="BU618" s="1051"/>
      <c r="BV618" s="1051"/>
      <c r="BW618" s="1052"/>
      <c r="BX618" s="1052"/>
      <c r="BY618" s="1052"/>
      <c r="BZ618" s="1052"/>
      <c r="CA618" s="1052"/>
      <c r="CB618" s="1053"/>
      <c r="CC618" s="1053"/>
      <c r="CD618" s="1053"/>
      <c r="CE618" s="1053"/>
      <c r="CF618" s="1053"/>
      <c r="CG618" s="1053"/>
      <c r="CH618" s="1053"/>
      <c r="CI618" s="1123"/>
      <c r="CJ618" s="1123"/>
      <c r="CK618" s="1123"/>
      <c r="CL618" s="1123"/>
      <c r="CM618" s="1123"/>
      <c r="CN618" s="1123"/>
      <c r="CO618" s="1123"/>
      <c r="CP618" s="1123"/>
      <c r="CQ618" s="1123"/>
      <c r="CR618" s="1123"/>
      <c r="CS618" s="1123"/>
      <c r="CT618" s="1123"/>
      <c r="CU618" s="1123"/>
      <c r="CV618" s="1123"/>
      <c r="CW618" s="1123"/>
      <c r="CX618" s="1123"/>
      <c r="CY618" s="1123"/>
      <c r="CZ618" s="1114"/>
      <c r="DA618" s="1114"/>
      <c r="DB618" s="1114"/>
      <c r="DC618" s="1114"/>
      <c r="DD618" s="1114"/>
      <c r="DE618" s="1114"/>
      <c r="DF618" s="1114"/>
      <c r="DG618" s="1114"/>
      <c r="DH618" s="1114"/>
      <c r="DI618" s="1114"/>
      <c r="DJ618" s="1114"/>
      <c r="DK618" s="1114"/>
      <c r="DL618" s="1114"/>
      <c r="DM618" s="1114"/>
      <c r="DN618" s="1114"/>
      <c r="DO618" s="1114"/>
      <c r="DP618" s="1114"/>
      <c r="DQ618" s="1114"/>
      <c r="DR618" s="1114"/>
      <c r="DS618" s="1114"/>
      <c r="DT618" s="1114"/>
      <c r="DU618" s="1114"/>
      <c r="DV618" s="1115"/>
      <c r="DW618" s="1116"/>
      <c r="DX618" s="1116"/>
      <c r="DY618" s="1116"/>
      <c r="DZ618" s="1116"/>
      <c r="EA618" s="1116"/>
      <c r="EB618" s="1116"/>
      <c r="EC618" s="1116"/>
      <c r="ED618" s="1116"/>
      <c r="EE618" s="1116"/>
      <c r="EF618" s="1116"/>
      <c r="EG618" s="1116"/>
      <c r="EH618" s="1116"/>
      <c r="EI618" s="1116"/>
      <c r="EJ618" s="1116"/>
      <c r="EK618" s="1116"/>
      <c r="EL618" s="1116"/>
      <c r="EM618" s="1116"/>
      <c r="EN618" s="1116"/>
      <c r="EO618" s="1116"/>
      <c r="EP618" s="1116"/>
      <c r="EQ618" s="1116"/>
      <c r="ER618" s="1116"/>
      <c r="ES618" s="1116"/>
    </row>
    <row r="619" spans="1:149" ht="15" customHeight="1">
      <c r="A619" s="1185">
        <v>609</v>
      </c>
      <c r="B619" s="1041"/>
      <c r="C619" s="1050"/>
      <c r="D619" s="1050"/>
      <c r="E619" s="1050"/>
      <c r="F619" s="1049"/>
      <c r="G619" s="1049"/>
      <c r="H619" s="1049"/>
      <c r="I619" s="1049"/>
      <c r="J619" s="1050"/>
      <c r="K619" s="1050"/>
      <c r="L619" s="1043"/>
      <c r="M619" s="1051"/>
      <c r="N619" s="1051"/>
      <c r="O619" s="1052"/>
      <c r="P619" s="1051"/>
      <c r="Q619" s="1051"/>
      <c r="R619" s="1052"/>
      <c r="S619" s="1051"/>
      <c r="T619" s="1051"/>
      <c r="U619" s="1052"/>
      <c r="V619" s="1051"/>
      <c r="W619" s="1051"/>
      <c r="X619" s="1052"/>
      <c r="Y619" s="1053"/>
      <c r="Z619" s="1051"/>
      <c r="AA619" s="1051"/>
      <c r="AB619" s="1052"/>
      <c r="AC619" s="1051"/>
      <c r="AD619" s="1051"/>
      <c r="AE619" s="1052"/>
      <c r="AF619" s="1051"/>
      <c r="AG619" s="1051"/>
      <c r="AH619" s="1051"/>
      <c r="AI619" s="1051"/>
      <c r="AJ619" s="1052"/>
      <c r="AK619" s="1051"/>
      <c r="AL619" s="1051"/>
      <c r="AM619" s="1052"/>
      <c r="AN619" s="1051"/>
      <c r="AO619" s="1051"/>
      <c r="AP619" s="1052"/>
      <c r="AQ619" s="1051"/>
      <c r="AR619" s="1051"/>
      <c r="AS619" s="1052"/>
      <c r="AT619" s="1051"/>
      <c r="AU619" s="1051"/>
      <c r="AV619" s="1052"/>
      <c r="AW619" s="1051"/>
      <c r="AX619" s="1051"/>
      <c r="AY619" s="1053"/>
      <c r="AZ619" s="1051"/>
      <c r="BA619" s="1051"/>
      <c r="BB619" s="1053"/>
      <c r="BC619" s="1051"/>
      <c r="BD619" s="1051"/>
      <c r="BE619" s="1053"/>
      <c r="BF619" s="1051"/>
      <c r="BG619" s="1051"/>
      <c r="BH619" s="1053"/>
      <c r="BI619" s="1052"/>
      <c r="BJ619" s="1052"/>
      <c r="BK619" s="1052"/>
      <c r="BL619" s="1052"/>
      <c r="BM619" s="1052"/>
      <c r="BN619" s="1054"/>
      <c r="BO619" s="1076">
        <f t="shared" si="10"/>
        <v>0</v>
      </c>
      <c r="BP619" s="1051"/>
      <c r="BQ619" s="1052"/>
      <c r="BR619" s="1054"/>
      <c r="BS619" s="1053"/>
      <c r="BT619" s="1051"/>
      <c r="BU619" s="1051"/>
      <c r="BV619" s="1051"/>
      <c r="BW619" s="1052"/>
      <c r="BX619" s="1052"/>
      <c r="BY619" s="1052"/>
      <c r="BZ619" s="1052"/>
      <c r="CA619" s="1052"/>
      <c r="CB619" s="1053"/>
      <c r="CC619" s="1053"/>
      <c r="CD619" s="1053"/>
      <c r="CE619" s="1053"/>
      <c r="CF619" s="1053"/>
      <c r="CG619" s="1053"/>
      <c r="CH619" s="1053"/>
      <c r="CI619" s="1123"/>
      <c r="CJ619" s="1123"/>
      <c r="CK619" s="1123"/>
      <c r="CL619" s="1123"/>
      <c r="CM619" s="1123"/>
      <c r="CN619" s="1123"/>
      <c r="CO619" s="1123"/>
      <c r="CP619" s="1123"/>
      <c r="CQ619" s="1123"/>
      <c r="CR619" s="1123"/>
      <c r="CS619" s="1123"/>
      <c r="CT619" s="1123"/>
      <c r="CU619" s="1123"/>
      <c r="CV619" s="1123"/>
      <c r="CW619" s="1123"/>
      <c r="CX619" s="1123"/>
      <c r="CY619" s="1123"/>
      <c r="CZ619" s="1114"/>
      <c r="DA619" s="1114"/>
      <c r="DB619" s="1114"/>
      <c r="DC619" s="1114"/>
      <c r="DD619" s="1114"/>
      <c r="DE619" s="1114"/>
      <c r="DF619" s="1114"/>
      <c r="DG619" s="1114"/>
      <c r="DH619" s="1114"/>
      <c r="DI619" s="1114"/>
      <c r="DJ619" s="1114"/>
      <c r="DK619" s="1114"/>
      <c r="DL619" s="1114"/>
      <c r="DM619" s="1114"/>
      <c r="DN619" s="1114"/>
      <c r="DO619" s="1114"/>
      <c r="DP619" s="1114"/>
      <c r="DQ619" s="1114"/>
      <c r="DR619" s="1114"/>
      <c r="DS619" s="1114"/>
      <c r="DT619" s="1114"/>
      <c r="DU619" s="1114"/>
      <c r="DV619" s="1115"/>
      <c r="DW619" s="1116"/>
      <c r="DX619" s="1116"/>
      <c r="DY619" s="1116"/>
      <c r="DZ619" s="1116"/>
      <c r="EA619" s="1116"/>
      <c r="EB619" s="1116"/>
      <c r="EC619" s="1116"/>
      <c r="ED619" s="1116"/>
      <c r="EE619" s="1116"/>
      <c r="EF619" s="1116"/>
      <c r="EG619" s="1116"/>
      <c r="EH619" s="1116"/>
      <c r="EI619" s="1116"/>
      <c r="EJ619" s="1116"/>
      <c r="EK619" s="1116"/>
      <c r="EL619" s="1116"/>
      <c r="EM619" s="1116"/>
      <c r="EN619" s="1116"/>
      <c r="EO619" s="1116"/>
      <c r="EP619" s="1116"/>
      <c r="EQ619" s="1116"/>
      <c r="ER619" s="1116"/>
      <c r="ES619" s="1116"/>
    </row>
    <row r="620" spans="1:149" ht="15" customHeight="1">
      <c r="A620" s="1185">
        <v>610</v>
      </c>
      <c r="B620" s="1041"/>
      <c r="C620" s="1050"/>
      <c r="D620" s="1050"/>
      <c r="E620" s="1050"/>
      <c r="F620" s="1049"/>
      <c r="G620" s="1049"/>
      <c r="H620" s="1049"/>
      <c r="I620" s="1049"/>
      <c r="J620" s="1050"/>
      <c r="K620" s="1050"/>
      <c r="L620" s="1043"/>
      <c r="M620" s="1051"/>
      <c r="N620" s="1051"/>
      <c r="O620" s="1052"/>
      <c r="P620" s="1051"/>
      <c r="Q620" s="1051"/>
      <c r="R620" s="1052"/>
      <c r="S620" s="1051"/>
      <c r="T620" s="1051"/>
      <c r="U620" s="1052"/>
      <c r="V620" s="1051"/>
      <c r="W620" s="1051"/>
      <c r="X620" s="1052"/>
      <c r="Y620" s="1053"/>
      <c r="Z620" s="1051"/>
      <c r="AA620" s="1051"/>
      <c r="AB620" s="1052"/>
      <c r="AC620" s="1051"/>
      <c r="AD620" s="1051"/>
      <c r="AE620" s="1052"/>
      <c r="AF620" s="1051"/>
      <c r="AG620" s="1051"/>
      <c r="AH620" s="1051"/>
      <c r="AI620" s="1051"/>
      <c r="AJ620" s="1052"/>
      <c r="AK620" s="1051"/>
      <c r="AL620" s="1051"/>
      <c r="AM620" s="1052"/>
      <c r="AN620" s="1051"/>
      <c r="AO620" s="1051"/>
      <c r="AP620" s="1052"/>
      <c r="AQ620" s="1051"/>
      <c r="AR620" s="1051"/>
      <c r="AS620" s="1052"/>
      <c r="AT620" s="1051"/>
      <c r="AU620" s="1051"/>
      <c r="AV620" s="1052"/>
      <c r="AW620" s="1051"/>
      <c r="AX620" s="1051"/>
      <c r="AY620" s="1053"/>
      <c r="AZ620" s="1051"/>
      <c r="BA620" s="1051"/>
      <c r="BB620" s="1053"/>
      <c r="BC620" s="1051"/>
      <c r="BD620" s="1051"/>
      <c r="BE620" s="1053"/>
      <c r="BF620" s="1051"/>
      <c r="BG620" s="1051"/>
      <c r="BH620" s="1053"/>
      <c r="BI620" s="1052"/>
      <c r="BJ620" s="1052"/>
      <c r="BK620" s="1052"/>
      <c r="BL620" s="1052"/>
      <c r="BM620" s="1052"/>
      <c r="BN620" s="1054"/>
      <c r="BO620" s="1076">
        <f t="shared" si="10"/>
        <v>0</v>
      </c>
      <c r="BP620" s="1051"/>
      <c r="BQ620" s="1052"/>
      <c r="BR620" s="1054"/>
      <c r="BS620" s="1053"/>
      <c r="BT620" s="1051"/>
      <c r="BU620" s="1051"/>
      <c r="BV620" s="1051"/>
      <c r="BW620" s="1052"/>
      <c r="BX620" s="1052"/>
      <c r="BY620" s="1052"/>
      <c r="BZ620" s="1052"/>
      <c r="CA620" s="1052"/>
      <c r="CB620" s="1053"/>
      <c r="CC620" s="1053"/>
      <c r="CD620" s="1053"/>
      <c r="CE620" s="1053"/>
      <c r="CF620" s="1053"/>
      <c r="CG620" s="1053"/>
      <c r="CH620" s="1053"/>
      <c r="CI620" s="1123"/>
      <c r="CJ620" s="1123"/>
      <c r="CK620" s="1123"/>
      <c r="CL620" s="1123"/>
      <c r="CM620" s="1123"/>
      <c r="CN620" s="1123"/>
      <c r="CO620" s="1123"/>
      <c r="CP620" s="1123"/>
      <c r="CQ620" s="1123"/>
      <c r="CR620" s="1123"/>
      <c r="CS620" s="1123"/>
      <c r="CT620" s="1123"/>
      <c r="CU620" s="1123"/>
      <c r="CV620" s="1123"/>
      <c r="CW620" s="1123"/>
      <c r="CX620" s="1123"/>
      <c r="CY620" s="1123"/>
      <c r="CZ620" s="1114"/>
      <c r="DA620" s="1114"/>
      <c r="DB620" s="1114"/>
      <c r="DC620" s="1114"/>
      <c r="DD620" s="1114"/>
      <c r="DE620" s="1114"/>
      <c r="DF620" s="1114"/>
      <c r="DG620" s="1114"/>
      <c r="DH620" s="1114"/>
      <c r="DI620" s="1114"/>
      <c r="DJ620" s="1114"/>
      <c r="DK620" s="1114"/>
      <c r="DL620" s="1114"/>
      <c r="DM620" s="1114"/>
      <c r="DN620" s="1114"/>
      <c r="DO620" s="1114"/>
      <c r="DP620" s="1114"/>
      <c r="DQ620" s="1114"/>
      <c r="DR620" s="1114"/>
      <c r="DS620" s="1114"/>
      <c r="DT620" s="1114"/>
      <c r="DU620" s="1114"/>
      <c r="DV620" s="1115"/>
      <c r="DW620" s="1116"/>
      <c r="DX620" s="1116"/>
      <c r="DY620" s="1116"/>
      <c r="DZ620" s="1116"/>
      <c r="EA620" s="1116"/>
      <c r="EB620" s="1116"/>
      <c r="EC620" s="1116"/>
      <c r="ED620" s="1116"/>
      <c r="EE620" s="1116"/>
      <c r="EF620" s="1116"/>
      <c r="EG620" s="1116"/>
      <c r="EH620" s="1116"/>
      <c r="EI620" s="1116"/>
      <c r="EJ620" s="1116"/>
      <c r="EK620" s="1116"/>
      <c r="EL620" s="1116"/>
      <c r="EM620" s="1116"/>
      <c r="EN620" s="1116"/>
      <c r="EO620" s="1116"/>
      <c r="EP620" s="1116"/>
      <c r="EQ620" s="1116"/>
      <c r="ER620" s="1116"/>
      <c r="ES620" s="1116"/>
    </row>
    <row r="621" spans="1:149" ht="15" customHeight="1">
      <c r="A621" s="1185">
        <v>611</v>
      </c>
      <c r="B621" s="1041"/>
      <c r="C621" s="1050"/>
      <c r="D621" s="1050"/>
      <c r="E621" s="1050"/>
      <c r="F621" s="1049"/>
      <c r="G621" s="1049"/>
      <c r="H621" s="1049"/>
      <c r="I621" s="1049"/>
      <c r="J621" s="1050"/>
      <c r="K621" s="1050"/>
      <c r="L621" s="1043"/>
      <c r="M621" s="1051"/>
      <c r="N621" s="1051"/>
      <c r="O621" s="1052"/>
      <c r="P621" s="1051"/>
      <c r="Q621" s="1051"/>
      <c r="R621" s="1052"/>
      <c r="S621" s="1051"/>
      <c r="T621" s="1051"/>
      <c r="U621" s="1052"/>
      <c r="V621" s="1051"/>
      <c r="W621" s="1051"/>
      <c r="X621" s="1052"/>
      <c r="Y621" s="1053"/>
      <c r="Z621" s="1051"/>
      <c r="AA621" s="1051"/>
      <c r="AB621" s="1052"/>
      <c r="AC621" s="1051"/>
      <c r="AD621" s="1051"/>
      <c r="AE621" s="1052"/>
      <c r="AF621" s="1051"/>
      <c r="AG621" s="1051"/>
      <c r="AH621" s="1051"/>
      <c r="AI621" s="1051"/>
      <c r="AJ621" s="1052"/>
      <c r="AK621" s="1051"/>
      <c r="AL621" s="1051"/>
      <c r="AM621" s="1052"/>
      <c r="AN621" s="1051"/>
      <c r="AO621" s="1051"/>
      <c r="AP621" s="1052"/>
      <c r="AQ621" s="1051"/>
      <c r="AR621" s="1051"/>
      <c r="AS621" s="1052"/>
      <c r="AT621" s="1051"/>
      <c r="AU621" s="1051"/>
      <c r="AV621" s="1052"/>
      <c r="AW621" s="1051"/>
      <c r="AX621" s="1051"/>
      <c r="AY621" s="1053"/>
      <c r="AZ621" s="1051"/>
      <c r="BA621" s="1051"/>
      <c r="BB621" s="1053"/>
      <c r="BC621" s="1051"/>
      <c r="BD621" s="1051"/>
      <c r="BE621" s="1053"/>
      <c r="BF621" s="1051"/>
      <c r="BG621" s="1051"/>
      <c r="BH621" s="1053"/>
      <c r="BI621" s="1052"/>
      <c r="BJ621" s="1052"/>
      <c r="BK621" s="1052"/>
      <c r="BL621" s="1052"/>
      <c r="BM621" s="1052"/>
      <c r="BN621" s="1054"/>
      <c r="BO621" s="1076">
        <f t="shared" si="10"/>
        <v>0</v>
      </c>
      <c r="BP621" s="1051"/>
      <c r="BQ621" s="1052"/>
      <c r="BR621" s="1054"/>
      <c r="BS621" s="1053"/>
      <c r="BT621" s="1051"/>
      <c r="BU621" s="1051"/>
      <c r="BV621" s="1051"/>
      <c r="BW621" s="1052"/>
      <c r="BX621" s="1052"/>
      <c r="BY621" s="1052"/>
      <c r="BZ621" s="1052"/>
      <c r="CA621" s="1052"/>
      <c r="CB621" s="1053"/>
      <c r="CC621" s="1053"/>
      <c r="CD621" s="1053"/>
      <c r="CE621" s="1053"/>
      <c r="CF621" s="1053"/>
      <c r="CG621" s="1053"/>
      <c r="CH621" s="1053"/>
      <c r="CI621" s="1123"/>
      <c r="CJ621" s="1123"/>
      <c r="CK621" s="1123"/>
      <c r="CL621" s="1123"/>
      <c r="CM621" s="1123"/>
      <c r="CN621" s="1123"/>
      <c r="CO621" s="1123"/>
      <c r="CP621" s="1123"/>
      <c r="CQ621" s="1123"/>
      <c r="CR621" s="1123"/>
      <c r="CS621" s="1123"/>
      <c r="CT621" s="1123"/>
      <c r="CU621" s="1123"/>
      <c r="CV621" s="1123"/>
      <c r="CW621" s="1123"/>
      <c r="CX621" s="1123"/>
      <c r="CY621" s="1123"/>
      <c r="CZ621" s="1114"/>
      <c r="DA621" s="1114"/>
      <c r="DB621" s="1114"/>
      <c r="DC621" s="1114"/>
      <c r="DD621" s="1114"/>
      <c r="DE621" s="1114"/>
      <c r="DF621" s="1114"/>
      <c r="DG621" s="1114"/>
      <c r="DH621" s="1114"/>
      <c r="DI621" s="1114"/>
      <c r="DJ621" s="1114"/>
      <c r="DK621" s="1114"/>
      <c r="DL621" s="1114"/>
      <c r="DM621" s="1114"/>
      <c r="DN621" s="1114"/>
      <c r="DO621" s="1114"/>
      <c r="DP621" s="1114"/>
      <c r="DQ621" s="1114"/>
      <c r="DR621" s="1114"/>
      <c r="DS621" s="1114"/>
      <c r="DT621" s="1114"/>
      <c r="DU621" s="1114"/>
      <c r="DV621" s="1115"/>
      <c r="DW621" s="1116"/>
      <c r="DX621" s="1116"/>
      <c r="DY621" s="1116"/>
      <c r="DZ621" s="1116"/>
      <c r="EA621" s="1116"/>
      <c r="EB621" s="1116"/>
      <c r="EC621" s="1116"/>
      <c r="ED621" s="1116"/>
      <c r="EE621" s="1116"/>
      <c r="EF621" s="1116"/>
      <c r="EG621" s="1116"/>
      <c r="EH621" s="1116"/>
      <c r="EI621" s="1116"/>
      <c r="EJ621" s="1116"/>
      <c r="EK621" s="1116"/>
      <c r="EL621" s="1116"/>
      <c r="EM621" s="1116"/>
      <c r="EN621" s="1116"/>
      <c r="EO621" s="1116"/>
      <c r="EP621" s="1116"/>
      <c r="EQ621" s="1116"/>
      <c r="ER621" s="1116"/>
      <c r="ES621" s="1116"/>
    </row>
    <row r="622" spans="1:149" ht="15" customHeight="1">
      <c r="A622" s="1185">
        <v>612</v>
      </c>
      <c r="B622" s="1041"/>
      <c r="C622" s="1050"/>
      <c r="D622" s="1050"/>
      <c r="E622" s="1050"/>
      <c r="F622" s="1049"/>
      <c r="G622" s="1049"/>
      <c r="H622" s="1049"/>
      <c r="I622" s="1049"/>
      <c r="J622" s="1050"/>
      <c r="K622" s="1050"/>
      <c r="L622" s="1043"/>
      <c r="M622" s="1051"/>
      <c r="N622" s="1051"/>
      <c r="O622" s="1052"/>
      <c r="P622" s="1051"/>
      <c r="Q622" s="1051"/>
      <c r="R622" s="1052"/>
      <c r="S622" s="1051"/>
      <c r="T622" s="1051"/>
      <c r="U622" s="1052"/>
      <c r="V622" s="1051"/>
      <c r="W622" s="1051"/>
      <c r="X622" s="1052"/>
      <c r="Y622" s="1053"/>
      <c r="Z622" s="1051"/>
      <c r="AA622" s="1051"/>
      <c r="AB622" s="1052"/>
      <c r="AC622" s="1051"/>
      <c r="AD622" s="1051"/>
      <c r="AE622" s="1052"/>
      <c r="AF622" s="1051"/>
      <c r="AG622" s="1051"/>
      <c r="AH622" s="1051"/>
      <c r="AI622" s="1051"/>
      <c r="AJ622" s="1052"/>
      <c r="AK622" s="1051"/>
      <c r="AL622" s="1051"/>
      <c r="AM622" s="1052"/>
      <c r="AN622" s="1051"/>
      <c r="AO622" s="1051"/>
      <c r="AP622" s="1052"/>
      <c r="AQ622" s="1051"/>
      <c r="AR622" s="1051"/>
      <c r="AS622" s="1052"/>
      <c r="AT622" s="1051"/>
      <c r="AU622" s="1051"/>
      <c r="AV622" s="1052"/>
      <c r="AW622" s="1051"/>
      <c r="AX622" s="1051"/>
      <c r="AY622" s="1053"/>
      <c r="AZ622" s="1051"/>
      <c r="BA622" s="1051"/>
      <c r="BB622" s="1053"/>
      <c r="BC622" s="1051"/>
      <c r="BD622" s="1051"/>
      <c r="BE622" s="1053"/>
      <c r="BF622" s="1051"/>
      <c r="BG622" s="1051"/>
      <c r="BH622" s="1053"/>
      <c r="BI622" s="1052"/>
      <c r="BJ622" s="1052"/>
      <c r="BK622" s="1052"/>
      <c r="BL622" s="1052"/>
      <c r="BM622" s="1052"/>
      <c r="BN622" s="1054"/>
      <c r="BO622" s="1076">
        <f t="shared" si="10"/>
        <v>0</v>
      </c>
      <c r="BP622" s="1051"/>
      <c r="BQ622" s="1052"/>
      <c r="BR622" s="1054"/>
      <c r="BS622" s="1053"/>
      <c r="BT622" s="1051"/>
      <c r="BU622" s="1051"/>
      <c r="BV622" s="1051"/>
      <c r="BW622" s="1052"/>
      <c r="BX622" s="1052"/>
      <c r="BY622" s="1052"/>
      <c r="BZ622" s="1052"/>
      <c r="CA622" s="1052"/>
      <c r="CB622" s="1053"/>
      <c r="CC622" s="1053"/>
      <c r="CD622" s="1053"/>
      <c r="CE622" s="1053"/>
      <c r="CF622" s="1053"/>
      <c r="CG622" s="1053"/>
      <c r="CH622" s="1053"/>
      <c r="CI622" s="1123"/>
      <c r="CJ622" s="1123"/>
      <c r="CK622" s="1123"/>
      <c r="CL622" s="1123"/>
      <c r="CM622" s="1123"/>
      <c r="CN622" s="1123"/>
      <c r="CO622" s="1123"/>
      <c r="CP622" s="1123"/>
      <c r="CQ622" s="1123"/>
      <c r="CR622" s="1123"/>
      <c r="CS622" s="1123"/>
      <c r="CT622" s="1123"/>
      <c r="CU622" s="1123"/>
      <c r="CV622" s="1123"/>
      <c r="CW622" s="1123"/>
      <c r="CX622" s="1123"/>
      <c r="CY622" s="1123"/>
      <c r="CZ622" s="1114"/>
      <c r="DA622" s="1114"/>
      <c r="DB622" s="1114"/>
      <c r="DC622" s="1114"/>
      <c r="DD622" s="1114"/>
      <c r="DE622" s="1114"/>
      <c r="DF622" s="1114"/>
      <c r="DG622" s="1114"/>
      <c r="DH622" s="1114"/>
      <c r="DI622" s="1114"/>
      <c r="DJ622" s="1114"/>
      <c r="DK622" s="1114"/>
      <c r="DL622" s="1114"/>
      <c r="DM622" s="1114"/>
      <c r="DN622" s="1114"/>
      <c r="DO622" s="1114"/>
      <c r="DP622" s="1114"/>
      <c r="DQ622" s="1114"/>
      <c r="DR622" s="1114"/>
      <c r="DS622" s="1114"/>
      <c r="DT622" s="1114"/>
      <c r="DU622" s="1114"/>
      <c r="DV622" s="1115"/>
      <c r="DW622" s="1116"/>
      <c r="DX622" s="1116"/>
      <c r="DY622" s="1116"/>
      <c r="DZ622" s="1116"/>
      <c r="EA622" s="1116"/>
      <c r="EB622" s="1116"/>
      <c r="EC622" s="1116"/>
      <c r="ED622" s="1116"/>
      <c r="EE622" s="1116"/>
      <c r="EF622" s="1116"/>
      <c r="EG622" s="1116"/>
      <c r="EH622" s="1116"/>
      <c r="EI622" s="1116"/>
      <c r="EJ622" s="1116"/>
      <c r="EK622" s="1116"/>
      <c r="EL622" s="1116"/>
      <c r="EM622" s="1116"/>
      <c r="EN622" s="1116"/>
      <c r="EO622" s="1116"/>
      <c r="EP622" s="1116"/>
      <c r="EQ622" s="1116"/>
      <c r="ER622" s="1116"/>
      <c r="ES622" s="1116"/>
    </row>
    <row r="623" spans="1:149" ht="15" customHeight="1">
      <c r="A623" s="1185">
        <v>613</v>
      </c>
      <c r="B623" s="1041"/>
      <c r="C623" s="1050"/>
      <c r="D623" s="1050"/>
      <c r="E623" s="1050"/>
      <c r="F623" s="1049"/>
      <c r="G623" s="1049"/>
      <c r="H623" s="1049"/>
      <c r="I623" s="1049"/>
      <c r="J623" s="1050"/>
      <c r="K623" s="1050"/>
      <c r="L623" s="1043"/>
      <c r="M623" s="1051"/>
      <c r="N623" s="1051"/>
      <c r="O623" s="1052"/>
      <c r="P623" s="1051"/>
      <c r="Q623" s="1051"/>
      <c r="R623" s="1052"/>
      <c r="S623" s="1051"/>
      <c r="T623" s="1051"/>
      <c r="U623" s="1052"/>
      <c r="V623" s="1051"/>
      <c r="W623" s="1051"/>
      <c r="X623" s="1052"/>
      <c r="Y623" s="1053"/>
      <c r="Z623" s="1051"/>
      <c r="AA623" s="1051"/>
      <c r="AB623" s="1052"/>
      <c r="AC623" s="1051"/>
      <c r="AD623" s="1051"/>
      <c r="AE623" s="1052"/>
      <c r="AF623" s="1051"/>
      <c r="AG623" s="1051"/>
      <c r="AH623" s="1051"/>
      <c r="AI623" s="1051"/>
      <c r="AJ623" s="1052"/>
      <c r="AK623" s="1051"/>
      <c r="AL623" s="1051"/>
      <c r="AM623" s="1052"/>
      <c r="AN623" s="1051"/>
      <c r="AO623" s="1051"/>
      <c r="AP623" s="1052"/>
      <c r="AQ623" s="1051"/>
      <c r="AR623" s="1051"/>
      <c r="AS623" s="1052"/>
      <c r="AT623" s="1051"/>
      <c r="AU623" s="1051"/>
      <c r="AV623" s="1052"/>
      <c r="AW623" s="1051"/>
      <c r="AX623" s="1051"/>
      <c r="AY623" s="1053"/>
      <c r="AZ623" s="1051"/>
      <c r="BA623" s="1051"/>
      <c r="BB623" s="1053"/>
      <c r="BC623" s="1051"/>
      <c r="BD623" s="1051"/>
      <c r="BE623" s="1053"/>
      <c r="BF623" s="1051"/>
      <c r="BG623" s="1051"/>
      <c r="BH623" s="1053"/>
      <c r="BI623" s="1052"/>
      <c r="BJ623" s="1052"/>
      <c r="BK623" s="1052"/>
      <c r="BL623" s="1052"/>
      <c r="BM623" s="1052"/>
      <c r="BN623" s="1054"/>
      <c r="BO623" s="1076">
        <f t="shared" si="10"/>
        <v>0</v>
      </c>
      <c r="BP623" s="1051"/>
      <c r="BQ623" s="1052"/>
      <c r="BR623" s="1054"/>
      <c r="BS623" s="1053"/>
      <c r="BT623" s="1051"/>
      <c r="BU623" s="1051"/>
      <c r="BV623" s="1051"/>
      <c r="BW623" s="1052"/>
      <c r="BX623" s="1052"/>
      <c r="BY623" s="1052"/>
      <c r="BZ623" s="1052"/>
      <c r="CA623" s="1052"/>
      <c r="CB623" s="1053"/>
      <c r="CC623" s="1053"/>
      <c r="CD623" s="1053"/>
      <c r="CE623" s="1053"/>
      <c r="CF623" s="1053"/>
      <c r="CG623" s="1053"/>
      <c r="CH623" s="1053"/>
      <c r="CI623" s="1123"/>
      <c r="CJ623" s="1123"/>
      <c r="CK623" s="1123"/>
      <c r="CL623" s="1123"/>
      <c r="CM623" s="1123"/>
      <c r="CN623" s="1123"/>
      <c r="CO623" s="1123"/>
      <c r="CP623" s="1123"/>
      <c r="CQ623" s="1123"/>
      <c r="CR623" s="1123"/>
      <c r="CS623" s="1123"/>
      <c r="CT623" s="1123"/>
      <c r="CU623" s="1123"/>
      <c r="CV623" s="1123"/>
      <c r="CW623" s="1123"/>
      <c r="CX623" s="1123"/>
      <c r="CY623" s="1123"/>
      <c r="CZ623" s="1114"/>
      <c r="DA623" s="1114"/>
      <c r="DB623" s="1114"/>
      <c r="DC623" s="1114"/>
      <c r="DD623" s="1114"/>
      <c r="DE623" s="1114"/>
      <c r="DF623" s="1114"/>
      <c r="DG623" s="1114"/>
      <c r="DH623" s="1114"/>
      <c r="DI623" s="1114"/>
      <c r="DJ623" s="1114"/>
      <c r="DK623" s="1114"/>
      <c r="DL623" s="1114"/>
      <c r="DM623" s="1114"/>
      <c r="DN623" s="1114"/>
      <c r="DO623" s="1114"/>
      <c r="DP623" s="1114"/>
      <c r="DQ623" s="1114"/>
      <c r="DR623" s="1114"/>
      <c r="DS623" s="1114"/>
      <c r="DT623" s="1114"/>
      <c r="DU623" s="1114"/>
      <c r="DV623" s="1115"/>
      <c r="DW623" s="1116"/>
      <c r="DX623" s="1116"/>
      <c r="DY623" s="1116"/>
      <c r="DZ623" s="1116"/>
      <c r="EA623" s="1116"/>
      <c r="EB623" s="1116"/>
      <c r="EC623" s="1116"/>
      <c r="ED623" s="1116"/>
      <c r="EE623" s="1116"/>
      <c r="EF623" s="1116"/>
      <c r="EG623" s="1116"/>
      <c r="EH623" s="1116"/>
      <c r="EI623" s="1116"/>
      <c r="EJ623" s="1116"/>
      <c r="EK623" s="1116"/>
      <c r="EL623" s="1116"/>
      <c r="EM623" s="1116"/>
      <c r="EN623" s="1116"/>
      <c r="EO623" s="1116"/>
      <c r="EP623" s="1116"/>
      <c r="EQ623" s="1116"/>
      <c r="ER623" s="1116"/>
      <c r="ES623" s="1116"/>
    </row>
    <row r="624" spans="1:149" ht="15" customHeight="1">
      <c r="A624" s="1185">
        <v>614</v>
      </c>
      <c r="B624" s="1041"/>
      <c r="C624" s="1050"/>
      <c r="D624" s="1050"/>
      <c r="E624" s="1050"/>
      <c r="F624" s="1049"/>
      <c r="G624" s="1049"/>
      <c r="H624" s="1049"/>
      <c r="I624" s="1049"/>
      <c r="J624" s="1050"/>
      <c r="K624" s="1050"/>
      <c r="L624" s="1043"/>
      <c r="M624" s="1051"/>
      <c r="N624" s="1051"/>
      <c r="O624" s="1052"/>
      <c r="P624" s="1051"/>
      <c r="Q624" s="1051"/>
      <c r="R624" s="1052"/>
      <c r="S624" s="1051"/>
      <c r="T624" s="1051"/>
      <c r="U624" s="1052"/>
      <c r="V624" s="1051"/>
      <c r="W624" s="1051"/>
      <c r="X624" s="1052"/>
      <c r="Y624" s="1053"/>
      <c r="Z624" s="1051"/>
      <c r="AA624" s="1051"/>
      <c r="AB624" s="1052"/>
      <c r="AC624" s="1051"/>
      <c r="AD624" s="1051"/>
      <c r="AE624" s="1052"/>
      <c r="AF624" s="1051"/>
      <c r="AG624" s="1051"/>
      <c r="AH624" s="1051"/>
      <c r="AI624" s="1051"/>
      <c r="AJ624" s="1052"/>
      <c r="AK624" s="1051"/>
      <c r="AL624" s="1051"/>
      <c r="AM624" s="1052"/>
      <c r="AN624" s="1051"/>
      <c r="AO624" s="1051"/>
      <c r="AP624" s="1052"/>
      <c r="AQ624" s="1051"/>
      <c r="AR624" s="1051"/>
      <c r="AS624" s="1052"/>
      <c r="AT624" s="1051"/>
      <c r="AU624" s="1051"/>
      <c r="AV624" s="1052"/>
      <c r="AW624" s="1051"/>
      <c r="AX624" s="1051"/>
      <c r="AY624" s="1053"/>
      <c r="AZ624" s="1051"/>
      <c r="BA624" s="1051"/>
      <c r="BB624" s="1053"/>
      <c r="BC624" s="1051"/>
      <c r="BD624" s="1051"/>
      <c r="BE624" s="1053"/>
      <c r="BF624" s="1051"/>
      <c r="BG624" s="1051"/>
      <c r="BH624" s="1053"/>
      <c r="BI624" s="1052"/>
      <c r="BJ624" s="1052"/>
      <c r="BK624" s="1052"/>
      <c r="BL624" s="1052"/>
      <c r="BM624" s="1052"/>
      <c r="BN624" s="1054"/>
      <c r="BO624" s="1076">
        <f t="shared" si="10"/>
        <v>0</v>
      </c>
      <c r="BP624" s="1051"/>
      <c r="BQ624" s="1052"/>
      <c r="BR624" s="1054"/>
      <c r="BS624" s="1053"/>
      <c r="BT624" s="1051"/>
      <c r="BU624" s="1051"/>
      <c r="BV624" s="1051"/>
      <c r="BW624" s="1052"/>
      <c r="BX624" s="1052"/>
      <c r="BY624" s="1052"/>
      <c r="BZ624" s="1052"/>
      <c r="CA624" s="1052"/>
      <c r="CB624" s="1053"/>
      <c r="CC624" s="1053"/>
      <c r="CD624" s="1053"/>
      <c r="CE624" s="1053"/>
      <c r="CF624" s="1053"/>
      <c r="CG624" s="1053"/>
      <c r="CH624" s="1053"/>
      <c r="CI624" s="1123"/>
      <c r="CJ624" s="1123"/>
      <c r="CK624" s="1123"/>
      <c r="CL624" s="1123"/>
      <c r="CM624" s="1123"/>
      <c r="CN624" s="1123"/>
      <c r="CO624" s="1123"/>
      <c r="CP624" s="1123"/>
      <c r="CQ624" s="1123"/>
      <c r="CR624" s="1123"/>
      <c r="CS624" s="1123"/>
      <c r="CT624" s="1123"/>
      <c r="CU624" s="1123"/>
      <c r="CV624" s="1123"/>
      <c r="CW624" s="1123"/>
      <c r="CX624" s="1123"/>
      <c r="CY624" s="1123"/>
      <c r="CZ624" s="1114"/>
      <c r="DA624" s="1114"/>
      <c r="DB624" s="1114"/>
      <c r="DC624" s="1114"/>
      <c r="DD624" s="1114"/>
      <c r="DE624" s="1114"/>
      <c r="DF624" s="1114"/>
      <c r="DG624" s="1114"/>
      <c r="DH624" s="1114"/>
      <c r="DI624" s="1114"/>
      <c r="DJ624" s="1114"/>
      <c r="DK624" s="1114"/>
      <c r="DL624" s="1114"/>
      <c r="DM624" s="1114"/>
      <c r="DN624" s="1114"/>
      <c r="DO624" s="1114"/>
      <c r="DP624" s="1114"/>
      <c r="DQ624" s="1114"/>
      <c r="DR624" s="1114"/>
      <c r="DS624" s="1114"/>
      <c r="DT624" s="1114"/>
      <c r="DU624" s="1114"/>
      <c r="DV624" s="1115"/>
      <c r="DW624" s="1116"/>
      <c r="DX624" s="1116"/>
      <c r="DY624" s="1116"/>
      <c r="DZ624" s="1116"/>
      <c r="EA624" s="1116"/>
      <c r="EB624" s="1116"/>
      <c r="EC624" s="1116"/>
      <c r="ED624" s="1116"/>
      <c r="EE624" s="1116"/>
      <c r="EF624" s="1116"/>
      <c r="EG624" s="1116"/>
      <c r="EH624" s="1116"/>
      <c r="EI624" s="1116"/>
      <c r="EJ624" s="1116"/>
      <c r="EK624" s="1116"/>
      <c r="EL624" s="1116"/>
      <c r="EM624" s="1116"/>
      <c r="EN624" s="1116"/>
      <c r="EO624" s="1116"/>
      <c r="EP624" s="1116"/>
      <c r="EQ624" s="1116"/>
      <c r="ER624" s="1116"/>
      <c r="ES624" s="1116"/>
    </row>
    <row r="625" spans="1:149" ht="15" customHeight="1">
      <c r="A625" s="1185">
        <v>615</v>
      </c>
      <c r="B625" s="1041"/>
      <c r="C625" s="1050"/>
      <c r="D625" s="1050"/>
      <c r="E625" s="1050"/>
      <c r="F625" s="1049"/>
      <c r="G625" s="1049"/>
      <c r="H625" s="1049"/>
      <c r="I625" s="1049"/>
      <c r="J625" s="1050"/>
      <c r="K625" s="1050"/>
      <c r="L625" s="1043"/>
      <c r="M625" s="1051"/>
      <c r="N625" s="1051"/>
      <c r="O625" s="1052"/>
      <c r="P625" s="1051"/>
      <c r="Q625" s="1051"/>
      <c r="R625" s="1052"/>
      <c r="S625" s="1051"/>
      <c r="T625" s="1051"/>
      <c r="U625" s="1052"/>
      <c r="V625" s="1051"/>
      <c r="W625" s="1051"/>
      <c r="X625" s="1052"/>
      <c r="Y625" s="1053"/>
      <c r="Z625" s="1051"/>
      <c r="AA625" s="1051"/>
      <c r="AB625" s="1052"/>
      <c r="AC625" s="1051"/>
      <c r="AD625" s="1051"/>
      <c r="AE625" s="1052"/>
      <c r="AF625" s="1051"/>
      <c r="AG625" s="1051"/>
      <c r="AH625" s="1051"/>
      <c r="AI625" s="1051"/>
      <c r="AJ625" s="1052"/>
      <c r="AK625" s="1051"/>
      <c r="AL625" s="1051"/>
      <c r="AM625" s="1052"/>
      <c r="AN625" s="1051"/>
      <c r="AO625" s="1051"/>
      <c r="AP625" s="1052"/>
      <c r="AQ625" s="1051"/>
      <c r="AR625" s="1051"/>
      <c r="AS625" s="1052"/>
      <c r="AT625" s="1051"/>
      <c r="AU625" s="1051"/>
      <c r="AV625" s="1052"/>
      <c r="AW625" s="1051"/>
      <c r="AX625" s="1051"/>
      <c r="AY625" s="1053"/>
      <c r="AZ625" s="1051"/>
      <c r="BA625" s="1051"/>
      <c r="BB625" s="1053"/>
      <c r="BC625" s="1051"/>
      <c r="BD625" s="1051"/>
      <c r="BE625" s="1053"/>
      <c r="BF625" s="1051"/>
      <c r="BG625" s="1051"/>
      <c r="BH625" s="1053"/>
      <c r="BI625" s="1052"/>
      <c r="BJ625" s="1052"/>
      <c r="BK625" s="1052"/>
      <c r="BL625" s="1052"/>
      <c r="BM625" s="1052"/>
      <c r="BN625" s="1054"/>
      <c r="BO625" s="1076">
        <f t="shared" ref="BO625:BO688" si="11">H625</f>
        <v>0</v>
      </c>
      <c r="BP625" s="1051"/>
      <c r="BQ625" s="1052"/>
      <c r="BR625" s="1054"/>
      <c r="BS625" s="1053"/>
      <c r="BT625" s="1051"/>
      <c r="BU625" s="1051"/>
      <c r="BV625" s="1051"/>
      <c r="BW625" s="1052"/>
      <c r="BX625" s="1052"/>
      <c r="BY625" s="1052"/>
      <c r="BZ625" s="1052"/>
      <c r="CA625" s="1052"/>
      <c r="CB625" s="1053"/>
      <c r="CC625" s="1053"/>
      <c r="CD625" s="1053"/>
      <c r="CE625" s="1053"/>
      <c r="CF625" s="1053"/>
      <c r="CG625" s="1053"/>
      <c r="CH625" s="1053"/>
      <c r="CI625" s="1123"/>
      <c r="CJ625" s="1123"/>
      <c r="CK625" s="1123"/>
      <c r="CL625" s="1123"/>
      <c r="CM625" s="1123"/>
      <c r="CN625" s="1123"/>
      <c r="CO625" s="1123"/>
      <c r="CP625" s="1123"/>
      <c r="CQ625" s="1123"/>
      <c r="CR625" s="1123"/>
      <c r="CS625" s="1123"/>
      <c r="CT625" s="1123"/>
      <c r="CU625" s="1123"/>
      <c r="CV625" s="1123"/>
      <c r="CW625" s="1123"/>
      <c r="CX625" s="1123"/>
      <c r="CY625" s="1123"/>
      <c r="CZ625" s="1114"/>
      <c r="DA625" s="1114"/>
      <c r="DB625" s="1114"/>
      <c r="DC625" s="1114"/>
      <c r="DD625" s="1114"/>
      <c r="DE625" s="1114"/>
      <c r="DF625" s="1114"/>
      <c r="DG625" s="1114"/>
      <c r="DH625" s="1114"/>
      <c r="DI625" s="1114"/>
      <c r="DJ625" s="1114"/>
      <c r="DK625" s="1114"/>
      <c r="DL625" s="1114"/>
      <c r="DM625" s="1114"/>
      <c r="DN625" s="1114"/>
      <c r="DO625" s="1114"/>
      <c r="DP625" s="1114"/>
      <c r="DQ625" s="1114"/>
      <c r="DR625" s="1114"/>
      <c r="DS625" s="1114"/>
      <c r="DT625" s="1114"/>
      <c r="DU625" s="1114"/>
      <c r="DV625" s="1115"/>
      <c r="DW625" s="1116"/>
      <c r="DX625" s="1116"/>
      <c r="DY625" s="1116"/>
      <c r="DZ625" s="1116"/>
      <c r="EA625" s="1116"/>
      <c r="EB625" s="1116"/>
      <c r="EC625" s="1116"/>
      <c r="ED625" s="1116"/>
      <c r="EE625" s="1116"/>
      <c r="EF625" s="1116"/>
      <c r="EG625" s="1116"/>
      <c r="EH625" s="1116"/>
      <c r="EI625" s="1116"/>
      <c r="EJ625" s="1116"/>
      <c r="EK625" s="1116"/>
      <c r="EL625" s="1116"/>
      <c r="EM625" s="1116"/>
      <c r="EN625" s="1116"/>
      <c r="EO625" s="1116"/>
      <c r="EP625" s="1116"/>
      <c r="EQ625" s="1116"/>
      <c r="ER625" s="1116"/>
      <c r="ES625" s="1116"/>
    </row>
    <row r="626" spans="1:149" ht="15" customHeight="1">
      <c r="A626" s="1185">
        <v>616</v>
      </c>
      <c r="B626" s="1041"/>
      <c r="C626" s="1050"/>
      <c r="D626" s="1050"/>
      <c r="E626" s="1050"/>
      <c r="F626" s="1049"/>
      <c r="G626" s="1049"/>
      <c r="H626" s="1049"/>
      <c r="I626" s="1049"/>
      <c r="J626" s="1050"/>
      <c r="K626" s="1050"/>
      <c r="L626" s="1043"/>
      <c r="M626" s="1051"/>
      <c r="N626" s="1051"/>
      <c r="O626" s="1052"/>
      <c r="P626" s="1051"/>
      <c r="Q626" s="1051"/>
      <c r="R626" s="1052"/>
      <c r="S626" s="1051"/>
      <c r="T626" s="1051"/>
      <c r="U626" s="1052"/>
      <c r="V626" s="1051"/>
      <c r="W626" s="1051"/>
      <c r="X626" s="1052"/>
      <c r="Y626" s="1053"/>
      <c r="Z626" s="1051"/>
      <c r="AA626" s="1051"/>
      <c r="AB626" s="1052"/>
      <c r="AC626" s="1051"/>
      <c r="AD626" s="1051"/>
      <c r="AE626" s="1052"/>
      <c r="AF626" s="1051"/>
      <c r="AG626" s="1051"/>
      <c r="AH626" s="1051"/>
      <c r="AI626" s="1051"/>
      <c r="AJ626" s="1052"/>
      <c r="AK626" s="1051"/>
      <c r="AL626" s="1051"/>
      <c r="AM626" s="1052"/>
      <c r="AN626" s="1051"/>
      <c r="AO626" s="1051"/>
      <c r="AP626" s="1052"/>
      <c r="AQ626" s="1051"/>
      <c r="AR626" s="1051"/>
      <c r="AS626" s="1052"/>
      <c r="AT626" s="1051"/>
      <c r="AU626" s="1051"/>
      <c r="AV626" s="1052"/>
      <c r="AW626" s="1051"/>
      <c r="AX626" s="1051"/>
      <c r="AY626" s="1053"/>
      <c r="AZ626" s="1051"/>
      <c r="BA626" s="1051"/>
      <c r="BB626" s="1053"/>
      <c r="BC626" s="1051"/>
      <c r="BD626" s="1051"/>
      <c r="BE626" s="1053"/>
      <c r="BF626" s="1051"/>
      <c r="BG626" s="1051"/>
      <c r="BH626" s="1053"/>
      <c r="BI626" s="1052"/>
      <c r="BJ626" s="1052"/>
      <c r="BK626" s="1052"/>
      <c r="BL626" s="1052"/>
      <c r="BM626" s="1052"/>
      <c r="BN626" s="1054"/>
      <c r="BO626" s="1076">
        <f t="shared" si="11"/>
        <v>0</v>
      </c>
      <c r="BP626" s="1051"/>
      <c r="BQ626" s="1052"/>
      <c r="BR626" s="1054"/>
      <c r="BS626" s="1053"/>
      <c r="BT626" s="1051"/>
      <c r="BU626" s="1051"/>
      <c r="BV626" s="1051"/>
      <c r="BW626" s="1052"/>
      <c r="BX626" s="1052"/>
      <c r="BY626" s="1052"/>
      <c r="BZ626" s="1052"/>
      <c r="CA626" s="1052"/>
      <c r="CB626" s="1053"/>
      <c r="CC626" s="1053"/>
      <c r="CD626" s="1053"/>
      <c r="CE626" s="1053"/>
      <c r="CF626" s="1053"/>
      <c r="CG626" s="1053"/>
      <c r="CH626" s="1053"/>
      <c r="CI626" s="1123"/>
      <c r="CJ626" s="1123"/>
      <c r="CK626" s="1123"/>
      <c r="CL626" s="1123"/>
      <c r="CM626" s="1123"/>
      <c r="CN626" s="1123"/>
      <c r="CO626" s="1123"/>
      <c r="CP626" s="1123"/>
      <c r="CQ626" s="1123"/>
      <c r="CR626" s="1123"/>
      <c r="CS626" s="1123"/>
      <c r="CT626" s="1123"/>
      <c r="CU626" s="1123"/>
      <c r="CV626" s="1123"/>
      <c r="CW626" s="1123"/>
      <c r="CX626" s="1123"/>
      <c r="CY626" s="1123"/>
      <c r="CZ626" s="1114"/>
      <c r="DA626" s="1114"/>
      <c r="DB626" s="1114"/>
      <c r="DC626" s="1114"/>
      <c r="DD626" s="1114"/>
      <c r="DE626" s="1114"/>
      <c r="DF626" s="1114"/>
      <c r="DG626" s="1114"/>
      <c r="DH626" s="1114"/>
      <c r="DI626" s="1114"/>
      <c r="DJ626" s="1114"/>
      <c r="DK626" s="1114"/>
      <c r="DL626" s="1114"/>
      <c r="DM626" s="1114"/>
      <c r="DN626" s="1114"/>
      <c r="DO626" s="1114"/>
      <c r="DP626" s="1114"/>
      <c r="DQ626" s="1114"/>
      <c r="DR626" s="1114"/>
      <c r="DS626" s="1114"/>
      <c r="DT626" s="1114"/>
      <c r="DU626" s="1114"/>
      <c r="DV626" s="1115"/>
      <c r="DW626" s="1116"/>
      <c r="DX626" s="1116"/>
      <c r="DY626" s="1116"/>
      <c r="DZ626" s="1116"/>
      <c r="EA626" s="1116"/>
      <c r="EB626" s="1116"/>
      <c r="EC626" s="1116"/>
      <c r="ED626" s="1116"/>
      <c r="EE626" s="1116"/>
      <c r="EF626" s="1116"/>
      <c r="EG626" s="1116"/>
      <c r="EH626" s="1116"/>
      <c r="EI626" s="1116"/>
      <c r="EJ626" s="1116"/>
      <c r="EK626" s="1116"/>
      <c r="EL626" s="1116"/>
      <c r="EM626" s="1116"/>
      <c r="EN626" s="1116"/>
      <c r="EO626" s="1116"/>
      <c r="EP626" s="1116"/>
      <c r="EQ626" s="1116"/>
      <c r="ER626" s="1116"/>
      <c r="ES626" s="1116"/>
    </row>
    <row r="627" spans="1:149" ht="15" customHeight="1">
      <c r="A627" s="1185">
        <v>617</v>
      </c>
      <c r="B627" s="1041"/>
      <c r="C627" s="1050"/>
      <c r="D627" s="1050"/>
      <c r="E627" s="1050"/>
      <c r="F627" s="1049"/>
      <c r="G627" s="1049"/>
      <c r="H627" s="1049"/>
      <c r="I627" s="1049"/>
      <c r="J627" s="1050"/>
      <c r="K627" s="1050"/>
      <c r="L627" s="1043"/>
      <c r="M627" s="1051"/>
      <c r="N627" s="1051"/>
      <c r="O627" s="1052"/>
      <c r="P627" s="1051"/>
      <c r="Q627" s="1051"/>
      <c r="R627" s="1052"/>
      <c r="S627" s="1051"/>
      <c r="T627" s="1051"/>
      <c r="U627" s="1052"/>
      <c r="V627" s="1051"/>
      <c r="W627" s="1051"/>
      <c r="X627" s="1052"/>
      <c r="Y627" s="1053"/>
      <c r="Z627" s="1051"/>
      <c r="AA627" s="1051"/>
      <c r="AB627" s="1052"/>
      <c r="AC627" s="1051"/>
      <c r="AD627" s="1051"/>
      <c r="AE627" s="1052"/>
      <c r="AF627" s="1051"/>
      <c r="AG627" s="1051"/>
      <c r="AH627" s="1051"/>
      <c r="AI627" s="1051"/>
      <c r="AJ627" s="1052"/>
      <c r="AK627" s="1051"/>
      <c r="AL627" s="1051"/>
      <c r="AM627" s="1052"/>
      <c r="AN627" s="1051"/>
      <c r="AO627" s="1051"/>
      <c r="AP627" s="1052"/>
      <c r="AQ627" s="1051"/>
      <c r="AR627" s="1051"/>
      <c r="AS627" s="1052"/>
      <c r="AT627" s="1051"/>
      <c r="AU627" s="1051"/>
      <c r="AV627" s="1052"/>
      <c r="AW627" s="1051"/>
      <c r="AX627" s="1051"/>
      <c r="AY627" s="1053"/>
      <c r="AZ627" s="1051"/>
      <c r="BA627" s="1051"/>
      <c r="BB627" s="1053"/>
      <c r="BC627" s="1051"/>
      <c r="BD627" s="1051"/>
      <c r="BE627" s="1053"/>
      <c r="BF627" s="1051"/>
      <c r="BG627" s="1051"/>
      <c r="BH627" s="1053"/>
      <c r="BI627" s="1052"/>
      <c r="BJ627" s="1052"/>
      <c r="BK627" s="1052"/>
      <c r="BL627" s="1052"/>
      <c r="BM627" s="1052"/>
      <c r="BN627" s="1054"/>
      <c r="BO627" s="1076">
        <f t="shared" si="11"/>
        <v>0</v>
      </c>
      <c r="BP627" s="1051"/>
      <c r="BQ627" s="1052"/>
      <c r="BR627" s="1054"/>
      <c r="BS627" s="1053"/>
      <c r="BT627" s="1051"/>
      <c r="BU627" s="1051"/>
      <c r="BV627" s="1051"/>
      <c r="BW627" s="1052"/>
      <c r="BX627" s="1052"/>
      <c r="BY627" s="1052"/>
      <c r="BZ627" s="1052"/>
      <c r="CA627" s="1052"/>
      <c r="CB627" s="1053"/>
      <c r="CC627" s="1053"/>
      <c r="CD627" s="1053"/>
      <c r="CE627" s="1053"/>
      <c r="CF627" s="1053"/>
      <c r="CG627" s="1053"/>
      <c r="CH627" s="1053"/>
      <c r="CI627" s="1123"/>
      <c r="CJ627" s="1123"/>
      <c r="CK627" s="1123"/>
      <c r="CL627" s="1123"/>
      <c r="CM627" s="1123"/>
      <c r="CN627" s="1123"/>
      <c r="CO627" s="1123"/>
      <c r="CP627" s="1123"/>
      <c r="CQ627" s="1123"/>
      <c r="CR627" s="1123"/>
      <c r="CS627" s="1123"/>
      <c r="CT627" s="1123"/>
      <c r="CU627" s="1123"/>
      <c r="CV627" s="1123"/>
      <c r="CW627" s="1123"/>
      <c r="CX627" s="1123"/>
      <c r="CY627" s="1123"/>
      <c r="CZ627" s="1114"/>
      <c r="DA627" s="1114"/>
      <c r="DB627" s="1114"/>
      <c r="DC627" s="1114"/>
      <c r="DD627" s="1114"/>
      <c r="DE627" s="1114"/>
      <c r="DF627" s="1114"/>
      <c r="DG627" s="1114"/>
      <c r="DH627" s="1114"/>
      <c r="DI627" s="1114"/>
      <c r="DJ627" s="1114"/>
      <c r="DK627" s="1114"/>
      <c r="DL627" s="1114"/>
      <c r="DM627" s="1114"/>
      <c r="DN627" s="1114"/>
      <c r="DO627" s="1114"/>
      <c r="DP627" s="1114"/>
      <c r="DQ627" s="1114"/>
      <c r="DR627" s="1114"/>
      <c r="DS627" s="1114"/>
      <c r="DT627" s="1114"/>
      <c r="DU627" s="1114"/>
      <c r="DV627" s="1115"/>
      <c r="DW627" s="1116"/>
      <c r="DX627" s="1116"/>
      <c r="DY627" s="1116"/>
      <c r="DZ627" s="1116"/>
      <c r="EA627" s="1116"/>
      <c r="EB627" s="1116"/>
      <c r="EC627" s="1116"/>
      <c r="ED627" s="1116"/>
      <c r="EE627" s="1116"/>
      <c r="EF627" s="1116"/>
      <c r="EG627" s="1116"/>
      <c r="EH627" s="1116"/>
      <c r="EI627" s="1116"/>
      <c r="EJ627" s="1116"/>
      <c r="EK627" s="1116"/>
      <c r="EL627" s="1116"/>
      <c r="EM627" s="1116"/>
      <c r="EN627" s="1116"/>
      <c r="EO627" s="1116"/>
      <c r="EP627" s="1116"/>
      <c r="EQ627" s="1116"/>
      <c r="ER627" s="1116"/>
      <c r="ES627" s="1116"/>
    </row>
    <row r="628" spans="1:149" ht="15" customHeight="1">
      <c r="A628" s="1185">
        <v>618</v>
      </c>
      <c r="B628" s="1041"/>
      <c r="C628" s="1050"/>
      <c r="D628" s="1050"/>
      <c r="E628" s="1050"/>
      <c r="F628" s="1049"/>
      <c r="G628" s="1049"/>
      <c r="H628" s="1049"/>
      <c r="I628" s="1049"/>
      <c r="J628" s="1050"/>
      <c r="K628" s="1050"/>
      <c r="L628" s="1043"/>
      <c r="M628" s="1051"/>
      <c r="N628" s="1051"/>
      <c r="O628" s="1052"/>
      <c r="P628" s="1051"/>
      <c r="Q628" s="1051"/>
      <c r="R628" s="1052"/>
      <c r="S628" s="1051"/>
      <c r="T628" s="1051"/>
      <c r="U628" s="1052"/>
      <c r="V628" s="1051"/>
      <c r="W628" s="1051"/>
      <c r="X628" s="1052"/>
      <c r="Y628" s="1053"/>
      <c r="Z628" s="1051"/>
      <c r="AA628" s="1051"/>
      <c r="AB628" s="1052"/>
      <c r="AC628" s="1051"/>
      <c r="AD628" s="1051"/>
      <c r="AE628" s="1052"/>
      <c r="AF628" s="1051"/>
      <c r="AG628" s="1051"/>
      <c r="AH628" s="1051"/>
      <c r="AI628" s="1051"/>
      <c r="AJ628" s="1052"/>
      <c r="AK628" s="1051"/>
      <c r="AL628" s="1051"/>
      <c r="AM628" s="1052"/>
      <c r="AN628" s="1051"/>
      <c r="AO628" s="1051"/>
      <c r="AP628" s="1052"/>
      <c r="AQ628" s="1051"/>
      <c r="AR628" s="1051"/>
      <c r="AS628" s="1052"/>
      <c r="AT628" s="1051"/>
      <c r="AU628" s="1051"/>
      <c r="AV628" s="1052"/>
      <c r="AW628" s="1051"/>
      <c r="AX628" s="1051"/>
      <c r="AY628" s="1053"/>
      <c r="AZ628" s="1051"/>
      <c r="BA628" s="1051"/>
      <c r="BB628" s="1053"/>
      <c r="BC628" s="1051"/>
      <c r="BD628" s="1051"/>
      <c r="BE628" s="1053"/>
      <c r="BF628" s="1051"/>
      <c r="BG628" s="1051"/>
      <c r="BH628" s="1053"/>
      <c r="BI628" s="1052"/>
      <c r="BJ628" s="1052"/>
      <c r="BK628" s="1052"/>
      <c r="BL628" s="1052"/>
      <c r="BM628" s="1052"/>
      <c r="BN628" s="1054"/>
      <c r="BO628" s="1076">
        <f t="shared" si="11"/>
        <v>0</v>
      </c>
      <c r="BP628" s="1051"/>
      <c r="BQ628" s="1052"/>
      <c r="BR628" s="1054"/>
      <c r="BS628" s="1053"/>
      <c r="BT628" s="1051"/>
      <c r="BU628" s="1051"/>
      <c r="BV628" s="1051"/>
      <c r="BW628" s="1052"/>
      <c r="BX628" s="1052"/>
      <c r="BY628" s="1052"/>
      <c r="BZ628" s="1052"/>
      <c r="CA628" s="1052"/>
      <c r="CB628" s="1053"/>
      <c r="CC628" s="1053"/>
      <c r="CD628" s="1053"/>
      <c r="CE628" s="1053"/>
      <c r="CF628" s="1053"/>
      <c r="CG628" s="1053"/>
      <c r="CH628" s="1053"/>
      <c r="CI628" s="1123"/>
      <c r="CJ628" s="1123"/>
      <c r="CK628" s="1123"/>
      <c r="CL628" s="1123"/>
      <c r="CM628" s="1123"/>
      <c r="CN628" s="1123"/>
      <c r="CO628" s="1123"/>
      <c r="CP628" s="1123"/>
      <c r="CQ628" s="1123"/>
      <c r="CR628" s="1123"/>
      <c r="CS628" s="1123"/>
      <c r="CT628" s="1123"/>
      <c r="CU628" s="1123"/>
      <c r="CV628" s="1123"/>
      <c r="CW628" s="1123"/>
      <c r="CX628" s="1123"/>
      <c r="CY628" s="1123"/>
      <c r="CZ628" s="1114"/>
      <c r="DA628" s="1114"/>
      <c r="DB628" s="1114"/>
      <c r="DC628" s="1114"/>
      <c r="DD628" s="1114"/>
      <c r="DE628" s="1114"/>
      <c r="DF628" s="1114"/>
      <c r="DG628" s="1114"/>
      <c r="DH628" s="1114"/>
      <c r="DI628" s="1114"/>
      <c r="DJ628" s="1114"/>
      <c r="DK628" s="1114"/>
      <c r="DL628" s="1114"/>
      <c r="DM628" s="1114"/>
      <c r="DN628" s="1114"/>
      <c r="DO628" s="1114"/>
      <c r="DP628" s="1114"/>
      <c r="DQ628" s="1114"/>
      <c r="DR628" s="1114"/>
      <c r="DS628" s="1114"/>
      <c r="DT628" s="1114"/>
      <c r="DU628" s="1114"/>
      <c r="DV628" s="1115"/>
      <c r="DW628" s="1116"/>
      <c r="DX628" s="1116"/>
      <c r="DY628" s="1116"/>
      <c r="DZ628" s="1116"/>
      <c r="EA628" s="1116"/>
      <c r="EB628" s="1116"/>
      <c r="EC628" s="1116"/>
      <c r="ED628" s="1116"/>
      <c r="EE628" s="1116"/>
      <c r="EF628" s="1116"/>
      <c r="EG628" s="1116"/>
      <c r="EH628" s="1116"/>
      <c r="EI628" s="1116"/>
      <c r="EJ628" s="1116"/>
      <c r="EK628" s="1116"/>
      <c r="EL628" s="1116"/>
      <c r="EM628" s="1116"/>
      <c r="EN628" s="1116"/>
      <c r="EO628" s="1116"/>
      <c r="EP628" s="1116"/>
      <c r="EQ628" s="1116"/>
      <c r="ER628" s="1116"/>
      <c r="ES628" s="1116"/>
    </row>
    <row r="629" spans="1:149" ht="15" customHeight="1">
      <c r="A629" s="1185">
        <v>619</v>
      </c>
      <c r="B629" s="1041"/>
      <c r="C629" s="1050"/>
      <c r="D629" s="1050"/>
      <c r="E629" s="1050"/>
      <c r="F629" s="1049"/>
      <c r="G629" s="1049"/>
      <c r="H629" s="1049"/>
      <c r="I629" s="1049"/>
      <c r="J629" s="1050"/>
      <c r="K629" s="1050"/>
      <c r="L629" s="1043"/>
      <c r="M629" s="1051"/>
      <c r="N629" s="1051"/>
      <c r="O629" s="1052"/>
      <c r="P629" s="1051"/>
      <c r="Q629" s="1051"/>
      <c r="R629" s="1052"/>
      <c r="S629" s="1051"/>
      <c r="T629" s="1051"/>
      <c r="U629" s="1052"/>
      <c r="V629" s="1051"/>
      <c r="W629" s="1051"/>
      <c r="X629" s="1052"/>
      <c r="Y629" s="1053"/>
      <c r="Z629" s="1051"/>
      <c r="AA629" s="1051"/>
      <c r="AB629" s="1052"/>
      <c r="AC629" s="1051"/>
      <c r="AD629" s="1051"/>
      <c r="AE629" s="1052"/>
      <c r="AF629" s="1051"/>
      <c r="AG629" s="1051"/>
      <c r="AH629" s="1051"/>
      <c r="AI629" s="1051"/>
      <c r="AJ629" s="1052"/>
      <c r="AK629" s="1051"/>
      <c r="AL629" s="1051"/>
      <c r="AM629" s="1052"/>
      <c r="AN629" s="1051"/>
      <c r="AO629" s="1051"/>
      <c r="AP629" s="1052"/>
      <c r="AQ629" s="1051"/>
      <c r="AR629" s="1051"/>
      <c r="AS629" s="1052"/>
      <c r="AT629" s="1051"/>
      <c r="AU629" s="1051"/>
      <c r="AV629" s="1052"/>
      <c r="AW629" s="1051"/>
      <c r="AX629" s="1051"/>
      <c r="AY629" s="1053"/>
      <c r="AZ629" s="1051"/>
      <c r="BA629" s="1051"/>
      <c r="BB629" s="1053"/>
      <c r="BC629" s="1051"/>
      <c r="BD629" s="1051"/>
      <c r="BE629" s="1053"/>
      <c r="BF629" s="1051"/>
      <c r="BG629" s="1051"/>
      <c r="BH629" s="1053"/>
      <c r="BI629" s="1052"/>
      <c r="BJ629" s="1052"/>
      <c r="BK629" s="1052"/>
      <c r="BL629" s="1052"/>
      <c r="BM629" s="1052"/>
      <c r="BN629" s="1054"/>
      <c r="BO629" s="1076">
        <f t="shared" si="11"/>
        <v>0</v>
      </c>
      <c r="BP629" s="1051"/>
      <c r="BQ629" s="1052"/>
      <c r="BR629" s="1054"/>
      <c r="BS629" s="1053"/>
      <c r="BT629" s="1051"/>
      <c r="BU629" s="1051"/>
      <c r="BV629" s="1051"/>
      <c r="BW629" s="1052"/>
      <c r="BX629" s="1052"/>
      <c r="BY629" s="1052"/>
      <c r="BZ629" s="1052"/>
      <c r="CA629" s="1052"/>
      <c r="CB629" s="1053"/>
      <c r="CC629" s="1053"/>
      <c r="CD629" s="1053"/>
      <c r="CE629" s="1053"/>
      <c r="CF629" s="1053"/>
      <c r="CG629" s="1053"/>
      <c r="CH629" s="1053"/>
      <c r="CI629" s="1123"/>
      <c r="CJ629" s="1123"/>
      <c r="CK629" s="1123"/>
      <c r="CL629" s="1123"/>
      <c r="CM629" s="1123"/>
      <c r="CN629" s="1123"/>
      <c r="CO629" s="1123"/>
      <c r="CP629" s="1123"/>
      <c r="CQ629" s="1123"/>
      <c r="CR629" s="1123"/>
      <c r="CS629" s="1123"/>
      <c r="CT629" s="1123"/>
      <c r="CU629" s="1123"/>
      <c r="CV629" s="1123"/>
      <c r="CW629" s="1123"/>
      <c r="CX629" s="1123"/>
      <c r="CY629" s="1123"/>
      <c r="CZ629" s="1114"/>
      <c r="DA629" s="1114"/>
      <c r="DB629" s="1114"/>
      <c r="DC629" s="1114"/>
      <c r="DD629" s="1114"/>
      <c r="DE629" s="1114"/>
      <c r="DF629" s="1114"/>
      <c r="DG629" s="1114"/>
      <c r="DH629" s="1114"/>
      <c r="DI629" s="1114"/>
      <c r="DJ629" s="1114"/>
      <c r="DK629" s="1114"/>
      <c r="DL629" s="1114"/>
      <c r="DM629" s="1114"/>
      <c r="DN629" s="1114"/>
      <c r="DO629" s="1114"/>
      <c r="DP629" s="1114"/>
      <c r="DQ629" s="1114"/>
      <c r="DR629" s="1114"/>
      <c r="DS629" s="1114"/>
      <c r="DT629" s="1114"/>
      <c r="DU629" s="1114"/>
      <c r="DV629" s="1115"/>
      <c r="DW629" s="1116"/>
      <c r="DX629" s="1116"/>
      <c r="DY629" s="1116"/>
      <c r="DZ629" s="1116"/>
      <c r="EA629" s="1116"/>
      <c r="EB629" s="1116"/>
      <c r="EC629" s="1116"/>
      <c r="ED629" s="1116"/>
      <c r="EE629" s="1116"/>
      <c r="EF629" s="1116"/>
      <c r="EG629" s="1116"/>
      <c r="EH629" s="1116"/>
      <c r="EI629" s="1116"/>
      <c r="EJ629" s="1116"/>
      <c r="EK629" s="1116"/>
      <c r="EL629" s="1116"/>
      <c r="EM629" s="1116"/>
      <c r="EN629" s="1116"/>
      <c r="EO629" s="1116"/>
      <c r="EP629" s="1116"/>
      <c r="EQ629" s="1116"/>
      <c r="ER629" s="1116"/>
      <c r="ES629" s="1116"/>
    </row>
    <row r="630" spans="1:149" ht="15" customHeight="1">
      <c r="A630" s="1185">
        <v>620</v>
      </c>
      <c r="B630" s="1041"/>
      <c r="C630" s="1050"/>
      <c r="D630" s="1050"/>
      <c r="E630" s="1050"/>
      <c r="F630" s="1049"/>
      <c r="G630" s="1049"/>
      <c r="H630" s="1049"/>
      <c r="I630" s="1049"/>
      <c r="J630" s="1050"/>
      <c r="K630" s="1050"/>
      <c r="L630" s="1043"/>
      <c r="M630" s="1051"/>
      <c r="N630" s="1051"/>
      <c r="O630" s="1052"/>
      <c r="P630" s="1051"/>
      <c r="Q630" s="1051"/>
      <c r="R630" s="1052"/>
      <c r="S630" s="1051"/>
      <c r="T630" s="1051"/>
      <c r="U630" s="1052"/>
      <c r="V630" s="1051"/>
      <c r="W630" s="1051"/>
      <c r="X630" s="1052"/>
      <c r="Y630" s="1053"/>
      <c r="Z630" s="1051"/>
      <c r="AA630" s="1051"/>
      <c r="AB630" s="1052"/>
      <c r="AC630" s="1051"/>
      <c r="AD630" s="1051"/>
      <c r="AE630" s="1052"/>
      <c r="AF630" s="1051"/>
      <c r="AG630" s="1051"/>
      <c r="AH630" s="1051"/>
      <c r="AI630" s="1051"/>
      <c r="AJ630" s="1052"/>
      <c r="AK630" s="1051"/>
      <c r="AL630" s="1051"/>
      <c r="AM630" s="1052"/>
      <c r="AN630" s="1051"/>
      <c r="AO630" s="1051"/>
      <c r="AP630" s="1052"/>
      <c r="AQ630" s="1051"/>
      <c r="AR630" s="1051"/>
      <c r="AS630" s="1052"/>
      <c r="AT630" s="1051"/>
      <c r="AU630" s="1051"/>
      <c r="AV630" s="1052"/>
      <c r="AW630" s="1051"/>
      <c r="AX630" s="1051"/>
      <c r="AY630" s="1053"/>
      <c r="AZ630" s="1051"/>
      <c r="BA630" s="1051"/>
      <c r="BB630" s="1053"/>
      <c r="BC630" s="1051"/>
      <c r="BD630" s="1051"/>
      <c r="BE630" s="1053"/>
      <c r="BF630" s="1051"/>
      <c r="BG630" s="1051"/>
      <c r="BH630" s="1053"/>
      <c r="BI630" s="1052"/>
      <c r="BJ630" s="1052"/>
      <c r="BK630" s="1052"/>
      <c r="BL630" s="1052"/>
      <c r="BM630" s="1052"/>
      <c r="BN630" s="1054"/>
      <c r="BO630" s="1076">
        <f t="shared" si="11"/>
        <v>0</v>
      </c>
      <c r="BP630" s="1051"/>
      <c r="BQ630" s="1052"/>
      <c r="BR630" s="1054"/>
      <c r="BS630" s="1053"/>
      <c r="BT630" s="1051"/>
      <c r="BU630" s="1051"/>
      <c r="BV630" s="1051"/>
      <c r="BW630" s="1052"/>
      <c r="BX630" s="1052"/>
      <c r="BY630" s="1052"/>
      <c r="BZ630" s="1052"/>
      <c r="CA630" s="1052"/>
      <c r="CB630" s="1053"/>
      <c r="CC630" s="1053"/>
      <c r="CD630" s="1053"/>
      <c r="CE630" s="1053"/>
      <c r="CF630" s="1053"/>
      <c r="CG630" s="1053"/>
      <c r="CH630" s="1053"/>
      <c r="CI630" s="1123"/>
      <c r="CJ630" s="1123"/>
      <c r="CK630" s="1123"/>
      <c r="CL630" s="1123"/>
      <c r="CM630" s="1123"/>
      <c r="CN630" s="1123"/>
      <c r="CO630" s="1123"/>
      <c r="CP630" s="1123"/>
      <c r="CQ630" s="1123"/>
      <c r="CR630" s="1123"/>
      <c r="CS630" s="1123"/>
      <c r="CT630" s="1123"/>
      <c r="CU630" s="1123"/>
      <c r="CV630" s="1123"/>
      <c r="CW630" s="1123"/>
      <c r="CX630" s="1123"/>
      <c r="CY630" s="1123"/>
      <c r="CZ630" s="1114"/>
      <c r="DA630" s="1114"/>
      <c r="DB630" s="1114"/>
      <c r="DC630" s="1114"/>
      <c r="DD630" s="1114"/>
      <c r="DE630" s="1114"/>
      <c r="DF630" s="1114"/>
      <c r="DG630" s="1114"/>
      <c r="DH630" s="1114"/>
      <c r="DI630" s="1114"/>
      <c r="DJ630" s="1114"/>
      <c r="DK630" s="1114"/>
      <c r="DL630" s="1114"/>
      <c r="DM630" s="1114"/>
      <c r="DN630" s="1114"/>
      <c r="DO630" s="1114"/>
      <c r="DP630" s="1114"/>
      <c r="DQ630" s="1114"/>
      <c r="DR630" s="1114"/>
      <c r="DS630" s="1114"/>
      <c r="DT630" s="1114"/>
      <c r="DU630" s="1114"/>
      <c r="DV630" s="1115"/>
      <c r="DW630" s="1116"/>
      <c r="DX630" s="1116"/>
      <c r="DY630" s="1116"/>
      <c r="DZ630" s="1116"/>
      <c r="EA630" s="1116"/>
      <c r="EB630" s="1116"/>
      <c r="EC630" s="1116"/>
      <c r="ED630" s="1116"/>
      <c r="EE630" s="1116"/>
      <c r="EF630" s="1116"/>
      <c r="EG630" s="1116"/>
      <c r="EH630" s="1116"/>
      <c r="EI630" s="1116"/>
      <c r="EJ630" s="1116"/>
      <c r="EK630" s="1116"/>
      <c r="EL630" s="1116"/>
      <c r="EM630" s="1116"/>
      <c r="EN630" s="1116"/>
      <c r="EO630" s="1116"/>
      <c r="EP630" s="1116"/>
      <c r="EQ630" s="1116"/>
      <c r="ER630" s="1116"/>
      <c r="ES630" s="1116"/>
    </row>
    <row r="631" spans="1:149" ht="15" customHeight="1">
      <c r="A631" s="1185">
        <v>621</v>
      </c>
      <c r="B631" s="1041"/>
      <c r="C631" s="1050"/>
      <c r="D631" s="1050"/>
      <c r="E631" s="1050"/>
      <c r="F631" s="1049"/>
      <c r="G631" s="1049"/>
      <c r="H631" s="1049"/>
      <c r="I631" s="1049"/>
      <c r="J631" s="1050"/>
      <c r="K631" s="1050"/>
      <c r="L631" s="1043"/>
      <c r="M631" s="1051"/>
      <c r="N631" s="1051"/>
      <c r="O631" s="1052"/>
      <c r="P631" s="1051"/>
      <c r="Q631" s="1051"/>
      <c r="R631" s="1052"/>
      <c r="S631" s="1051"/>
      <c r="T631" s="1051"/>
      <c r="U631" s="1052"/>
      <c r="V631" s="1051"/>
      <c r="W631" s="1051"/>
      <c r="X631" s="1052"/>
      <c r="Y631" s="1053"/>
      <c r="Z631" s="1051"/>
      <c r="AA631" s="1051"/>
      <c r="AB631" s="1052"/>
      <c r="AC631" s="1051"/>
      <c r="AD631" s="1051"/>
      <c r="AE631" s="1052"/>
      <c r="AF631" s="1051"/>
      <c r="AG631" s="1051"/>
      <c r="AH631" s="1051"/>
      <c r="AI631" s="1051"/>
      <c r="AJ631" s="1052"/>
      <c r="AK631" s="1051"/>
      <c r="AL631" s="1051"/>
      <c r="AM631" s="1052"/>
      <c r="AN631" s="1051"/>
      <c r="AO631" s="1051"/>
      <c r="AP631" s="1052"/>
      <c r="AQ631" s="1051"/>
      <c r="AR631" s="1051"/>
      <c r="AS631" s="1052"/>
      <c r="AT631" s="1051"/>
      <c r="AU631" s="1051"/>
      <c r="AV631" s="1052"/>
      <c r="AW631" s="1051"/>
      <c r="AX631" s="1051"/>
      <c r="AY631" s="1053"/>
      <c r="AZ631" s="1051"/>
      <c r="BA631" s="1051"/>
      <c r="BB631" s="1053"/>
      <c r="BC631" s="1051"/>
      <c r="BD631" s="1051"/>
      <c r="BE631" s="1053"/>
      <c r="BF631" s="1051"/>
      <c r="BG631" s="1051"/>
      <c r="BH631" s="1053"/>
      <c r="BI631" s="1052"/>
      <c r="BJ631" s="1052"/>
      <c r="BK631" s="1052"/>
      <c r="BL631" s="1052"/>
      <c r="BM631" s="1052"/>
      <c r="BN631" s="1054"/>
      <c r="BO631" s="1076">
        <f t="shared" si="11"/>
        <v>0</v>
      </c>
      <c r="BP631" s="1051"/>
      <c r="BQ631" s="1052"/>
      <c r="BR631" s="1054"/>
      <c r="BS631" s="1053"/>
      <c r="BT631" s="1051"/>
      <c r="BU631" s="1051"/>
      <c r="BV631" s="1051"/>
      <c r="BW631" s="1052"/>
      <c r="BX631" s="1052"/>
      <c r="BY631" s="1052"/>
      <c r="BZ631" s="1052"/>
      <c r="CA631" s="1052"/>
      <c r="CB631" s="1053"/>
      <c r="CC631" s="1053"/>
      <c r="CD631" s="1053"/>
      <c r="CE631" s="1053"/>
      <c r="CF631" s="1053"/>
      <c r="CG631" s="1053"/>
      <c r="CH631" s="1053"/>
      <c r="CI631" s="1123"/>
      <c r="CJ631" s="1123"/>
      <c r="CK631" s="1123"/>
      <c r="CL631" s="1123"/>
      <c r="CM631" s="1123"/>
      <c r="CN631" s="1123"/>
      <c r="CO631" s="1123"/>
      <c r="CP631" s="1123"/>
      <c r="CQ631" s="1123"/>
      <c r="CR631" s="1123"/>
      <c r="CS631" s="1123"/>
      <c r="CT631" s="1123"/>
      <c r="CU631" s="1123"/>
      <c r="CV631" s="1123"/>
      <c r="CW631" s="1123"/>
      <c r="CX631" s="1123"/>
      <c r="CY631" s="1123"/>
      <c r="CZ631" s="1114"/>
      <c r="DA631" s="1114"/>
      <c r="DB631" s="1114"/>
      <c r="DC631" s="1114"/>
      <c r="DD631" s="1114"/>
      <c r="DE631" s="1114"/>
      <c r="DF631" s="1114"/>
      <c r="DG631" s="1114"/>
      <c r="DH631" s="1114"/>
      <c r="DI631" s="1114"/>
      <c r="DJ631" s="1114"/>
      <c r="DK631" s="1114"/>
      <c r="DL631" s="1114"/>
      <c r="DM631" s="1114"/>
      <c r="DN631" s="1114"/>
      <c r="DO631" s="1114"/>
      <c r="DP631" s="1114"/>
      <c r="DQ631" s="1114"/>
      <c r="DR631" s="1114"/>
      <c r="DS631" s="1114"/>
      <c r="DT631" s="1114"/>
      <c r="DU631" s="1114"/>
      <c r="DV631" s="1115"/>
      <c r="DW631" s="1116"/>
      <c r="DX631" s="1116"/>
      <c r="DY631" s="1116"/>
      <c r="DZ631" s="1116"/>
      <c r="EA631" s="1116"/>
      <c r="EB631" s="1116"/>
      <c r="EC631" s="1116"/>
      <c r="ED631" s="1116"/>
      <c r="EE631" s="1116"/>
      <c r="EF631" s="1116"/>
      <c r="EG631" s="1116"/>
      <c r="EH631" s="1116"/>
      <c r="EI631" s="1116"/>
      <c r="EJ631" s="1116"/>
      <c r="EK631" s="1116"/>
      <c r="EL631" s="1116"/>
      <c r="EM631" s="1116"/>
      <c r="EN631" s="1116"/>
      <c r="EO631" s="1116"/>
      <c r="EP631" s="1116"/>
      <c r="EQ631" s="1116"/>
      <c r="ER631" s="1116"/>
      <c r="ES631" s="1116"/>
    </row>
    <row r="632" spans="1:149" ht="15" customHeight="1">
      <c r="A632" s="1185">
        <v>622</v>
      </c>
      <c r="B632" s="1041"/>
      <c r="C632" s="1050"/>
      <c r="D632" s="1050"/>
      <c r="E632" s="1050"/>
      <c r="F632" s="1049"/>
      <c r="G632" s="1049"/>
      <c r="H632" s="1049"/>
      <c r="I632" s="1049"/>
      <c r="J632" s="1050"/>
      <c r="K632" s="1050"/>
      <c r="L632" s="1043"/>
      <c r="M632" s="1051"/>
      <c r="N632" s="1051"/>
      <c r="O632" s="1052"/>
      <c r="P632" s="1051"/>
      <c r="Q632" s="1051"/>
      <c r="R632" s="1052"/>
      <c r="S632" s="1051"/>
      <c r="T632" s="1051"/>
      <c r="U632" s="1052"/>
      <c r="V632" s="1051"/>
      <c r="W632" s="1051"/>
      <c r="X632" s="1052"/>
      <c r="Y632" s="1053"/>
      <c r="Z632" s="1051"/>
      <c r="AA632" s="1051"/>
      <c r="AB632" s="1052"/>
      <c r="AC632" s="1051"/>
      <c r="AD632" s="1051"/>
      <c r="AE632" s="1052"/>
      <c r="AF632" s="1051"/>
      <c r="AG632" s="1051"/>
      <c r="AH632" s="1051"/>
      <c r="AI632" s="1051"/>
      <c r="AJ632" s="1052"/>
      <c r="AK632" s="1051"/>
      <c r="AL632" s="1051"/>
      <c r="AM632" s="1052"/>
      <c r="AN632" s="1051"/>
      <c r="AO632" s="1051"/>
      <c r="AP632" s="1052"/>
      <c r="AQ632" s="1051"/>
      <c r="AR632" s="1051"/>
      <c r="AS632" s="1052"/>
      <c r="AT632" s="1051"/>
      <c r="AU632" s="1051"/>
      <c r="AV632" s="1052"/>
      <c r="AW632" s="1051"/>
      <c r="AX632" s="1051"/>
      <c r="AY632" s="1053"/>
      <c r="AZ632" s="1051"/>
      <c r="BA632" s="1051"/>
      <c r="BB632" s="1053"/>
      <c r="BC632" s="1051"/>
      <c r="BD632" s="1051"/>
      <c r="BE632" s="1053"/>
      <c r="BF632" s="1051"/>
      <c r="BG632" s="1051"/>
      <c r="BH632" s="1053"/>
      <c r="BI632" s="1052"/>
      <c r="BJ632" s="1052"/>
      <c r="BK632" s="1052"/>
      <c r="BL632" s="1052"/>
      <c r="BM632" s="1052"/>
      <c r="BN632" s="1054"/>
      <c r="BO632" s="1076">
        <f t="shared" si="11"/>
        <v>0</v>
      </c>
      <c r="BP632" s="1051"/>
      <c r="BQ632" s="1052"/>
      <c r="BR632" s="1054"/>
      <c r="BS632" s="1053"/>
      <c r="BT632" s="1051"/>
      <c r="BU632" s="1051"/>
      <c r="BV632" s="1051"/>
      <c r="BW632" s="1052"/>
      <c r="BX632" s="1052"/>
      <c r="BY632" s="1052"/>
      <c r="BZ632" s="1052"/>
      <c r="CA632" s="1052"/>
      <c r="CB632" s="1053"/>
      <c r="CC632" s="1053"/>
      <c r="CD632" s="1053"/>
      <c r="CE632" s="1053"/>
      <c r="CF632" s="1053"/>
      <c r="CG632" s="1053"/>
      <c r="CH632" s="1053"/>
      <c r="CI632" s="1123"/>
      <c r="CJ632" s="1123"/>
      <c r="CK632" s="1123"/>
      <c r="CL632" s="1123"/>
      <c r="CM632" s="1123"/>
      <c r="CN632" s="1123"/>
      <c r="CO632" s="1123"/>
      <c r="CP632" s="1123"/>
      <c r="CQ632" s="1123"/>
      <c r="CR632" s="1123"/>
      <c r="CS632" s="1123"/>
      <c r="CT632" s="1123"/>
      <c r="CU632" s="1123"/>
      <c r="CV632" s="1123"/>
      <c r="CW632" s="1123"/>
      <c r="CX632" s="1123"/>
      <c r="CY632" s="1123"/>
      <c r="CZ632" s="1114"/>
      <c r="DA632" s="1114"/>
      <c r="DB632" s="1114"/>
      <c r="DC632" s="1114"/>
      <c r="DD632" s="1114"/>
      <c r="DE632" s="1114"/>
      <c r="DF632" s="1114"/>
      <c r="DG632" s="1114"/>
      <c r="DH632" s="1114"/>
      <c r="DI632" s="1114"/>
      <c r="DJ632" s="1114"/>
      <c r="DK632" s="1114"/>
      <c r="DL632" s="1114"/>
      <c r="DM632" s="1114"/>
      <c r="DN632" s="1114"/>
      <c r="DO632" s="1114"/>
      <c r="DP632" s="1114"/>
      <c r="DQ632" s="1114"/>
      <c r="DR632" s="1114"/>
      <c r="DS632" s="1114"/>
      <c r="DT632" s="1114"/>
      <c r="DU632" s="1114"/>
      <c r="DV632" s="1115"/>
      <c r="DW632" s="1116"/>
      <c r="DX632" s="1116"/>
      <c r="DY632" s="1116"/>
      <c r="DZ632" s="1116"/>
      <c r="EA632" s="1116"/>
      <c r="EB632" s="1116"/>
      <c r="EC632" s="1116"/>
      <c r="ED632" s="1116"/>
      <c r="EE632" s="1116"/>
      <c r="EF632" s="1116"/>
      <c r="EG632" s="1116"/>
      <c r="EH632" s="1116"/>
      <c r="EI632" s="1116"/>
      <c r="EJ632" s="1116"/>
      <c r="EK632" s="1116"/>
      <c r="EL632" s="1116"/>
      <c r="EM632" s="1116"/>
      <c r="EN632" s="1116"/>
      <c r="EO632" s="1116"/>
      <c r="EP632" s="1116"/>
      <c r="EQ632" s="1116"/>
      <c r="ER632" s="1116"/>
      <c r="ES632" s="1116"/>
    </row>
    <row r="633" spans="1:149" ht="15" customHeight="1">
      <c r="A633" s="1185">
        <v>623</v>
      </c>
      <c r="B633" s="1041"/>
      <c r="C633" s="1050"/>
      <c r="D633" s="1050"/>
      <c r="E633" s="1050"/>
      <c r="F633" s="1049"/>
      <c r="G633" s="1049"/>
      <c r="H633" s="1049"/>
      <c r="I633" s="1049"/>
      <c r="J633" s="1050"/>
      <c r="K633" s="1050"/>
      <c r="L633" s="1043"/>
      <c r="M633" s="1051"/>
      <c r="N633" s="1051"/>
      <c r="O633" s="1052"/>
      <c r="P633" s="1051"/>
      <c r="Q633" s="1051"/>
      <c r="R633" s="1052"/>
      <c r="S633" s="1051"/>
      <c r="T633" s="1051"/>
      <c r="U633" s="1052"/>
      <c r="V633" s="1051"/>
      <c r="W633" s="1051"/>
      <c r="X633" s="1052"/>
      <c r="Y633" s="1053"/>
      <c r="Z633" s="1051"/>
      <c r="AA633" s="1051"/>
      <c r="AB633" s="1052"/>
      <c r="AC633" s="1051"/>
      <c r="AD633" s="1051"/>
      <c r="AE633" s="1052"/>
      <c r="AF633" s="1051"/>
      <c r="AG633" s="1051"/>
      <c r="AH633" s="1051"/>
      <c r="AI633" s="1051"/>
      <c r="AJ633" s="1052"/>
      <c r="AK633" s="1051"/>
      <c r="AL633" s="1051"/>
      <c r="AM633" s="1052"/>
      <c r="AN633" s="1051"/>
      <c r="AO633" s="1051"/>
      <c r="AP633" s="1052"/>
      <c r="AQ633" s="1051"/>
      <c r="AR633" s="1051"/>
      <c r="AS633" s="1052"/>
      <c r="AT633" s="1051"/>
      <c r="AU633" s="1051"/>
      <c r="AV633" s="1052"/>
      <c r="AW633" s="1051"/>
      <c r="AX633" s="1051"/>
      <c r="AY633" s="1053"/>
      <c r="AZ633" s="1051"/>
      <c r="BA633" s="1051"/>
      <c r="BB633" s="1053"/>
      <c r="BC633" s="1051"/>
      <c r="BD633" s="1051"/>
      <c r="BE633" s="1053"/>
      <c r="BF633" s="1051"/>
      <c r="BG633" s="1051"/>
      <c r="BH633" s="1053"/>
      <c r="BI633" s="1052"/>
      <c r="BJ633" s="1052"/>
      <c r="BK633" s="1052"/>
      <c r="BL633" s="1052"/>
      <c r="BM633" s="1052"/>
      <c r="BN633" s="1054"/>
      <c r="BO633" s="1076">
        <f t="shared" si="11"/>
        <v>0</v>
      </c>
      <c r="BP633" s="1051"/>
      <c r="BQ633" s="1052"/>
      <c r="BR633" s="1054"/>
      <c r="BS633" s="1053"/>
      <c r="BT633" s="1051"/>
      <c r="BU633" s="1051"/>
      <c r="BV633" s="1051"/>
      <c r="BW633" s="1052"/>
      <c r="BX633" s="1052"/>
      <c r="BY633" s="1052"/>
      <c r="BZ633" s="1052"/>
      <c r="CA633" s="1052"/>
      <c r="CB633" s="1053"/>
      <c r="CC633" s="1053"/>
      <c r="CD633" s="1053"/>
      <c r="CE633" s="1053"/>
      <c r="CF633" s="1053"/>
      <c r="CG633" s="1053"/>
      <c r="CH633" s="1053"/>
      <c r="CI633" s="1123"/>
      <c r="CJ633" s="1123"/>
      <c r="CK633" s="1123"/>
      <c r="CL633" s="1123"/>
      <c r="CM633" s="1123"/>
      <c r="CN633" s="1123"/>
      <c r="CO633" s="1123"/>
      <c r="CP633" s="1123"/>
      <c r="CQ633" s="1123"/>
      <c r="CR633" s="1123"/>
      <c r="CS633" s="1123"/>
      <c r="CT633" s="1123"/>
      <c r="CU633" s="1123"/>
      <c r="CV633" s="1123"/>
      <c r="CW633" s="1123"/>
      <c r="CX633" s="1123"/>
      <c r="CY633" s="1123"/>
      <c r="CZ633" s="1114"/>
      <c r="DA633" s="1114"/>
      <c r="DB633" s="1114"/>
      <c r="DC633" s="1114"/>
      <c r="DD633" s="1114"/>
      <c r="DE633" s="1114"/>
      <c r="DF633" s="1114"/>
      <c r="DG633" s="1114"/>
      <c r="DH633" s="1114"/>
      <c r="DI633" s="1114"/>
      <c r="DJ633" s="1114"/>
      <c r="DK633" s="1114"/>
      <c r="DL633" s="1114"/>
      <c r="DM633" s="1114"/>
      <c r="DN633" s="1114"/>
      <c r="DO633" s="1114"/>
      <c r="DP633" s="1114"/>
      <c r="DQ633" s="1114"/>
      <c r="DR633" s="1114"/>
      <c r="DS633" s="1114"/>
      <c r="DT633" s="1114"/>
      <c r="DU633" s="1114"/>
      <c r="DV633" s="1115"/>
      <c r="DW633" s="1116"/>
      <c r="DX633" s="1116"/>
      <c r="DY633" s="1116"/>
      <c r="DZ633" s="1116"/>
      <c r="EA633" s="1116"/>
      <c r="EB633" s="1116"/>
      <c r="EC633" s="1116"/>
      <c r="ED633" s="1116"/>
      <c r="EE633" s="1116"/>
      <c r="EF633" s="1116"/>
      <c r="EG633" s="1116"/>
      <c r="EH633" s="1116"/>
      <c r="EI633" s="1116"/>
      <c r="EJ633" s="1116"/>
      <c r="EK633" s="1116"/>
      <c r="EL633" s="1116"/>
      <c r="EM633" s="1116"/>
      <c r="EN633" s="1116"/>
      <c r="EO633" s="1116"/>
      <c r="EP633" s="1116"/>
      <c r="EQ633" s="1116"/>
      <c r="ER633" s="1116"/>
      <c r="ES633" s="1116"/>
    </row>
    <row r="634" spans="1:149" ht="15" customHeight="1">
      <c r="A634" s="1185">
        <v>624</v>
      </c>
      <c r="B634" s="1041"/>
      <c r="C634" s="1050"/>
      <c r="D634" s="1050"/>
      <c r="E634" s="1050"/>
      <c r="F634" s="1049"/>
      <c r="G634" s="1049"/>
      <c r="H634" s="1049"/>
      <c r="I634" s="1049"/>
      <c r="J634" s="1050"/>
      <c r="K634" s="1050"/>
      <c r="L634" s="1043"/>
      <c r="M634" s="1051"/>
      <c r="N634" s="1051"/>
      <c r="O634" s="1052"/>
      <c r="P634" s="1051"/>
      <c r="Q634" s="1051"/>
      <c r="R634" s="1052"/>
      <c r="S634" s="1051"/>
      <c r="T634" s="1051"/>
      <c r="U634" s="1052"/>
      <c r="V634" s="1051"/>
      <c r="W634" s="1051"/>
      <c r="X634" s="1052"/>
      <c r="Y634" s="1053"/>
      <c r="Z634" s="1051"/>
      <c r="AA634" s="1051"/>
      <c r="AB634" s="1052"/>
      <c r="AC634" s="1051"/>
      <c r="AD634" s="1051"/>
      <c r="AE634" s="1052"/>
      <c r="AF634" s="1051"/>
      <c r="AG634" s="1051"/>
      <c r="AH634" s="1051"/>
      <c r="AI634" s="1051"/>
      <c r="AJ634" s="1052"/>
      <c r="AK634" s="1051"/>
      <c r="AL634" s="1051"/>
      <c r="AM634" s="1052"/>
      <c r="AN634" s="1051"/>
      <c r="AO634" s="1051"/>
      <c r="AP634" s="1052"/>
      <c r="AQ634" s="1051"/>
      <c r="AR634" s="1051"/>
      <c r="AS634" s="1052"/>
      <c r="AT634" s="1051"/>
      <c r="AU634" s="1051"/>
      <c r="AV634" s="1052"/>
      <c r="AW634" s="1051"/>
      <c r="AX634" s="1051"/>
      <c r="AY634" s="1053"/>
      <c r="AZ634" s="1051"/>
      <c r="BA634" s="1051"/>
      <c r="BB634" s="1053"/>
      <c r="BC634" s="1051"/>
      <c r="BD634" s="1051"/>
      <c r="BE634" s="1053"/>
      <c r="BF634" s="1051"/>
      <c r="BG634" s="1051"/>
      <c r="BH634" s="1053"/>
      <c r="BI634" s="1052"/>
      <c r="BJ634" s="1052"/>
      <c r="BK634" s="1052"/>
      <c r="BL634" s="1052"/>
      <c r="BM634" s="1052"/>
      <c r="BN634" s="1054"/>
      <c r="BO634" s="1076">
        <f t="shared" si="11"/>
        <v>0</v>
      </c>
      <c r="BP634" s="1051"/>
      <c r="BQ634" s="1052"/>
      <c r="BR634" s="1054"/>
      <c r="BS634" s="1053"/>
      <c r="BT634" s="1051"/>
      <c r="BU634" s="1051"/>
      <c r="BV634" s="1051"/>
      <c r="BW634" s="1052"/>
      <c r="BX634" s="1052"/>
      <c r="BY634" s="1052"/>
      <c r="BZ634" s="1052"/>
      <c r="CA634" s="1052"/>
      <c r="CB634" s="1053"/>
      <c r="CC634" s="1053"/>
      <c r="CD634" s="1053"/>
      <c r="CE634" s="1053"/>
      <c r="CF634" s="1053"/>
      <c r="CG634" s="1053"/>
      <c r="CH634" s="1053"/>
      <c r="CI634" s="1123"/>
      <c r="CJ634" s="1123"/>
      <c r="CK634" s="1123"/>
      <c r="CL634" s="1123"/>
      <c r="CM634" s="1123"/>
      <c r="CN634" s="1123"/>
      <c r="CO634" s="1123"/>
      <c r="CP634" s="1123"/>
      <c r="CQ634" s="1123"/>
      <c r="CR634" s="1123"/>
      <c r="CS634" s="1123"/>
      <c r="CT634" s="1123"/>
      <c r="CU634" s="1123"/>
      <c r="CV634" s="1123"/>
      <c r="CW634" s="1123"/>
      <c r="CX634" s="1123"/>
      <c r="CY634" s="1123"/>
      <c r="CZ634" s="1114"/>
      <c r="DA634" s="1114"/>
      <c r="DB634" s="1114"/>
      <c r="DC634" s="1114"/>
      <c r="DD634" s="1114"/>
      <c r="DE634" s="1114"/>
      <c r="DF634" s="1114"/>
      <c r="DG634" s="1114"/>
      <c r="DH634" s="1114"/>
      <c r="DI634" s="1114"/>
      <c r="DJ634" s="1114"/>
      <c r="DK634" s="1114"/>
      <c r="DL634" s="1114"/>
      <c r="DM634" s="1114"/>
      <c r="DN634" s="1114"/>
      <c r="DO634" s="1114"/>
      <c r="DP634" s="1114"/>
      <c r="DQ634" s="1114"/>
      <c r="DR634" s="1114"/>
      <c r="DS634" s="1114"/>
      <c r="DT634" s="1114"/>
      <c r="DU634" s="1114"/>
      <c r="DV634" s="1115"/>
      <c r="DW634" s="1116"/>
      <c r="DX634" s="1116"/>
      <c r="DY634" s="1116"/>
      <c r="DZ634" s="1116"/>
      <c r="EA634" s="1116"/>
      <c r="EB634" s="1116"/>
      <c r="EC634" s="1116"/>
      <c r="ED634" s="1116"/>
      <c r="EE634" s="1116"/>
      <c r="EF634" s="1116"/>
      <c r="EG634" s="1116"/>
      <c r="EH634" s="1116"/>
      <c r="EI634" s="1116"/>
      <c r="EJ634" s="1116"/>
      <c r="EK634" s="1116"/>
      <c r="EL634" s="1116"/>
      <c r="EM634" s="1116"/>
      <c r="EN634" s="1116"/>
      <c r="EO634" s="1116"/>
      <c r="EP634" s="1116"/>
      <c r="EQ634" s="1116"/>
      <c r="ER634" s="1116"/>
      <c r="ES634" s="1116"/>
    </row>
    <row r="635" spans="1:149" ht="15" customHeight="1">
      <c r="A635" s="1185">
        <v>625</v>
      </c>
      <c r="B635" s="1041"/>
      <c r="C635" s="1050"/>
      <c r="D635" s="1050"/>
      <c r="E635" s="1050"/>
      <c r="F635" s="1049"/>
      <c r="G635" s="1049"/>
      <c r="H635" s="1049"/>
      <c r="I635" s="1049"/>
      <c r="J635" s="1050"/>
      <c r="K635" s="1050"/>
      <c r="L635" s="1043"/>
      <c r="M635" s="1051"/>
      <c r="N635" s="1051"/>
      <c r="O635" s="1052"/>
      <c r="P635" s="1051"/>
      <c r="Q635" s="1051"/>
      <c r="R635" s="1052"/>
      <c r="S635" s="1051"/>
      <c r="T635" s="1051"/>
      <c r="U635" s="1052"/>
      <c r="V635" s="1051"/>
      <c r="W635" s="1051"/>
      <c r="X635" s="1052"/>
      <c r="Y635" s="1053"/>
      <c r="Z635" s="1051"/>
      <c r="AA635" s="1051"/>
      <c r="AB635" s="1052"/>
      <c r="AC635" s="1051"/>
      <c r="AD635" s="1051"/>
      <c r="AE635" s="1052"/>
      <c r="AF635" s="1051"/>
      <c r="AG635" s="1051"/>
      <c r="AH635" s="1051"/>
      <c r="AI635" s="1051"/>
      <c r="AJ635" s="1052"/>
      <c r="AK635" s="1051"/>
      <c r="AL635" s="1051"/>
      <c r="AM635" s="1052"/>
      <c r="AN635" s="1051"/>
      <c r="AO635" s="1051"/>
      <c r="AP635" s="1052"/>
      <c r="AQ635" s="1051"/>
      <c r="AR635" s="1051"/>
      <c r="AS635" s="1052"/>
      <c r="AT635" s="1051"/>
      <c r="AU635" s="1051"/>
      <c r="AV635" s="1052"/>
      <c r="AW635" s="1051"/>
      <c r="AX635" s="1051"/>
      <c r="AY635" s="1053"/>
      <c r="AZ635" s="1051"/>
      <c r="BA635" s="1051"/>
      <c r="BB635" s="1053"/>
      <c r="BC635" s="1051"/>
      <c r="BD635" s="1051"/>
      <c r="BE635" s="1053"/>
      <c r="BF635" s="1051"/>
      <c r="BG635" s="1051"/>
      <c r="BH635" s="1053"/>
      <c r="BI635" s="1052"/>
      <c r="BJ635" s="1052"/>
      <c r="BK635" s="1052"/>
      <c r="BL635" s="1052"/>
      <c r="BM635" s="1052"/>
      <c r="BN635" s="1054"/>
      <c r="BO635" s="1076">
        <f t="shared" si="11"/>
        <v>0</v>
      </c>
      <c r="BP635" s="1051"/>
      <c r="BQ635" s="1052"/>
      <c r="BR635" s="1054"/>
      <c r="BS635" s="1053"/>
      <c r="BT635" s="1051"/>
      <c r="BU635" s="1051"/>
      <c r="BV635" s="1051"/>
      <c r="BW635" s="1052"/>
      <c r="BX635" s="1052"/>
      <c r="BY635" s="1052"/>
      <c r="BZ635" s="1052"/>
      <c r="CA635" s="1052"/>
      <c r="CB635" s="1053"/>
      <c r="CC635" s="1053"/>
      <c r="CD635" s="1053"/>
      <c r="CE635" s="1053"/>
      <c r="CF635" s="1053"/>
      <c r="CG635" s="1053"/>
      <c r="CH635" s="1053"/>
      <c r="CI635" s="1123"/>
      <c r="CJ635" s="1123"/>
      <c r="CK635" s="1123"/>
      <c r="CL635" s="1123"/>
      <c r="CM635" s="1123"/>
      <c r="CN635" s="1123"/>
      <c r="CO635" s="1123"/>
      <c r="CP635" s="1123"/>
      <c r="CQ635" s="1123"/>
      <c r="CR635" s="1123"/>
      <c r="CS635" s="1123"/>
      <c r="CT635" s="1123"/>
      <c r="CU635" s="1123"/>
      <c r="CV635" s="1123"/>
      <c r="CW635" s="1123"/>
      <c r="CX635" s="1123"/>
      <c r="CY635" s="1123"/>
      <c r="CZ635" s="1114"/>
      <c r="DA635" s="1114"/>
      <c r="DB635" s="1114"/>
      <c r="DC635" s="1114"/>
      <c r="DD635" s="1114"/>
      <c r="DE635" s="1114"/>
      <c r="DF635" s="1114"/>
      <c r="DG635" s="1114"/>
      <c r="DH635" s="1114"/>
      <c r="DI635" s="1114"/>
      <c r="DJ635" s="1114"/>
      <c r="DK635" s="1114"/>
      <c r="DL635" s="1114"/>
      <c r="DM635" s="1114"/>
      <c r="DN635" s="1114"/>
      <c r="DO635" s="1114"/>
      <c r="DP635" s="1114"/>
      <c r="DQ635" s="1114"/>
      <c r="DR635" s="1114"/>
      <c r="DS635" s="1114"/>
      <c r="DT635" s="1114"/>
      <c r="DU635" s="1114"/>
      <c r="DV635" s="1115"/>
      <c r="DW635" s="1116"/>
      <c r="DX635" s="1116"/>
      <c r="DY635" s="1116"/>
      <c r="DZ635" s="1116"/>
      <c r="EA635" s="1116"/>
      <c r="EB635" s="1116"/>
      <c r="EC635" s="1116"/>
      <c r="ED635" s="1116"/>
      <c r="EE635" s="1116"/>
      <c r="EF635" s="1116"/>
      <c r="EG635" s="1116"/>
      <c r="EH635" s="1116"/>
      <c r="EI635" s="1116"/>
      <c r="EJ635" s="1116"/>
      <c r="EK635" s="1116"/>
      <c r="EL635" s="1116"/>
      <c r="EM635" s="1116"/>
      <c r="EN635" s="1116"/>
      <c r="EO635" s="1116"/>
      <c r="EP635" s="1116"/>
      <c r="EQ635" s="1116"/>
      <c r="ER635" s="1116"/>
      <c r="ES635" s="1116"/>
    </row>
    <row r="636" spans="1:149" ht="15" customHeight="1">
      <c r="A636" s="1185">
        <v>626</v>
      </c>
      <c r="B636" s="1041"/>
      <c r="C636" s="1050"/>
      <c r="D636" s="1050"/>
      <c r="E636" s="1050"/>
      <c r="F636" s="1049"/>
      <c r="G636" s="1049"/>
      <c r="H636" s="1049"/>
      <c r="I636" s="1049"/>
      <c r="J636" s="1050"/>
      <c r="K636" s="1050"/>
      <c r="L636" s="1043"/>
      <c r="M636" s="1051"/>
      <c r="N636" s="1051"/>
      <c r="O636" s="1052"/>
      <c r="P636" s="1051"/>
      <c r="Q636" s="1051"/>
      <c r="R636" s="1052"/>
      <c r="S636" s="1051"/>
      <c r="T636" s="1051"/>
      <c r="U636" s="1052"/>
      <c r="V636" s="1051"/>
      <c r="W636" s="1051"/>
      <c r="X636" s="1052"/>
      <c r="Y636" s="1053"/>
      <c r="Z636" s="1051"/>
      <c r="AA636" s="1051"/>
      <c r="AB636" s="1052"/>
      <c r="AC636" s="1051"/>
      <c r="AD636" s="1051"/>
      <c r="AE636" s="1052"/>
      <c r="AF636" s="1051"/>
      <c r="AG636" s="1051"/>
      <c r="AH636" s="1051"/>
      <c r="AI636" s="1051"/>
      <c r="AJ636" s="1052"/>
      <c r="AK636" s="1051"/>
      <c r="AL636" s="1051"/>
      <c r="AM636" s="1052"/>
      <c r="AN636" s="1051"/>
      <c r="AO636" s="1051"/>
      <c r="AP636" s="1052"/>
      <c r="AQ636" s="1051"/>
      <c r="AR636" s="1051"/>
      <c r="AS636" s="1052"/>
      <c r="AT636" s="1051"/>
      <c r="AU636" s="1051"/>
      <c r="AV636" s="1052"/>
      <c r="AW636" s="1051"/>
      <c r="AX636" s="1051"/>
      <c r="AY636" s="1053"/>
      <c r="AZ636" s="1051"/>
      <c r="BA636" s="1051"/>
      <c r="BB636" s="1053"/>
      <c r="BC636" s="1051"/>
      <c r="BD636" s="1051"/>
      <c r="BE636" s="1053"/>
      <c r="BF636" s="1051"/>
      <c r="BG636" s="1051"/>
      <c r="BH636" s="1053"/>
      <c r="BI636" s="1052"/>
      <c r="BJ636" s="1052"/>
      <c r="BK636" s="1052"/>
      <c r="BL636" s="1052"/>
      <c r="BM636" s="1052"/>
      <c r="BN636" s="1054"/>
      <c r="BO636" s="1076">
        <f t="shared" si="11"/>
        <v>0</v>
      </c>
      <c r="BP636" s="1051"/>
      <c r="BQ636" s="1052"/>
      <c r="BR636" s="1054"/>
      <c r="BS636" s="1053"/>
      <c r="BT636" s="1051"/>
      <c r="BU636" s="1051"/>
      <c r="BV636" s="1051"/>
      <c r="BW636" s="1052"/>
      <c r="BX636" s="1052"/>
      <c r="BY636" s="1052"/>
      <c r="BZ636" s="1052"/>
      <c r="CA636" s="1052"/>
      <c r="CB636" s="1053"/>
      <c r="CC636" s="1053"/>
      <c r="CD636" s="1053"/>
      <c r="CE636" s="1053"/>
      <c r="CF636" s="1053"/>
      <c r="CG636" s="1053"/>
      <c r="CH636" s="1053"/>
      <c r="CI636" s="1123"/>
      <c r="CJ636" s="1123"/>
      <c r="CK636" s="1123"/>
      <c r="CL636" s="1123"/>
      <c r="CM636" s="1123"/>
      <c r="CN636" s="1123"/>
      <c r="CO636" s="1123"/>
      <c r="CP636" s="1123"/>
      <c r="CQ636" s="1123"/>
      <c r="CR636" s="1123"/>
      <c r="CS636" s="1123"/>
      <c r="CT636" s="1123"/>
      <c r="CU636" s="1123"/>
      <c r="CV636" s="1123"/>
      <c r="CW636" s="1123"/>
      <c r="CX636" s="1123"/>
      <c r="CY636" s="1123"/>
      <c r="CZ636" s="1114"/>
      <c r="DA636" s="1114"/>
      <c r="DB636" s="1114"/>
      <c r="DC636" s="1114"/>
      <c r="DD636" s="1114"/>
      <c r="DE636" s="1114"/>
      <c r="DF636" s="1114"/>
      <c r="DG636" s="1114"/>
      <c r="DH636" s="1114"/>
      <c r="DI636" s="1114"/>
      <c r="DJ636" s="1114"/>
      <c r="DK636" s="1114"/>
      <c r="DL636" s="1114"/>
      <c r="DM636" s="1114"/>
      <c r="DN636" s="1114"/>
      <c r="DO636" s="1114"/>
      <c r="DP636" s="1114"/>
      <c r="DQ636" s="1114"/>
      <c r="DR636" s="1114"/>
      <c r="DS636" s="1114"/>
      <c r="DT636" s="1114"/>
      <c r="DU636" s="1114"/>
      <c r="DV636" s="1115"/>
      <c r="DW636" s="1116"/>
      <c r="DX636" s="1116"/>
      <c r="DY636" s="1116"/>
      <c r="DZ636" s="1116"/>
      <c r="EA636" s="1116"/>
      <c r="EB636" s="1116"/>
      <c r="EC636" s="1116"/>
      <c r="ED636" s="1116"/>
      <c r="EE636" s="1116"/>
      <c r="EF636" s="1116"/>
      <c r="EG636" s="1116"/>
      <c r="EH636" s="1116"/>
      <c r="EI636" s="1116"/>
      <c r="EJ636" s="1116"/>
      <c r="EK636" s="1116"/>
      <c r="EL636" s="1116"/>
      <c r="EM636" s="1116"/>
      <c r="EN636" s="1116"/>
      <c r="EO636" s="1116"/>
      <c r="EP636" s="1116"/>
      <c r="EQ636" s="1116"/>
      <c r="ER636" s="1116"/>
      <c r="ES636" s="1116"/>
    </row>
    <row r="637" spans="1:149" ht="15" customHeight="1">
      <c r="A637" s="1185">
        <v>627</v>
      </c>
      <c r="B637" s="1041"/>
      <c r="C637" s="1050"/>
      <c r="D637" s="1050"/>
      <c r="E637" s="1050"/>
      <c r="F637" s="1049"/>
      <c r="G637" s="1049"/>
      <c r="H637" s="1049"/>
      <c r="I637" s="1049"/>
      <c r="J637" s="1050"/>
      <c r="K637" s="1050"/>
      <c r="L637" s="1043"/>
      <c r="M637" s="1051"/>
      <c r="N637" s="1051"/>
      <c r="O637" s="1052"/>
      <c r="P637" s="1051"/>
      <c r="Q637" s="1051"/>
      <c r="R637" s="1052"/>
      <c r="S637" s="1051"/>
      <c r="T637" s="1051"/>
      <c r="U637" s="1052"/>
      <c r="V637" s="1051"/>
      <c r="W637" s="1051"/>
      <c r="X637" s="1052"/>
      <c r="Y637" s="1053"/>
      <c r="Z637" s="1051"/>
      <c r="AA637" s="1051"/>
      <c r="AB637" s="1052"/>
      <c r="AC637" s="1051"/>
      <c r="AD637" s="1051"/>
      <c r="AE637" s="1052"/>
      <c r="AF637" s="1051"/>
      <c r="AG637" s="1051"/>
      <c r="AH637" s="1051"/>
      <c r="AI637" s="1051"/>
      <c r="AJ637" s="1052"/>
      <c r="AK637" s="1051"/>
      <c r="AL637" s="1051"/>
      <c r="AM637" s="1052"/>
      <c r="AN637" s="1051"/>
      <c r="AO637" s="1051"/>
      <c r="AP637" s="1052"/>
      <c r="AQ637" s="1051"/>
      <c r="AR637" s="1051"/>
      <c r="AS637" s="1052"/>
      <c r="AT637" s="1051"/>
      <c r="AU637" s="1051"/>
      <c r="AV637" s="1052"/>
      <c r="AW637" s="1051"/>
      <c r="AX637" s="1051"/>
      <c r="AY637" s="1053"/>
      <c r="AZ637" s="1051"/>
      <c r="BA637" s="1051"/>
      <c r="BB637" s="1053"/>
      <c r="BC637" s="1051"/>
      <c r="BD637" s="1051"/>
      <c r="BE637" s="1053"/>
      <c r="BF637" s="1051"/>
      <c r="BG637" s="1051"/>
      <c r="BH637" s="1053"/>
      <c r="BI637" s="1052"/>
      <c r="BJ637" s="1052"/>
      <c r="BK637" s="1052"/>
      <c r="BL637" s="1052"/>
      <c r="BM637" s="1052"/>
      <c r="BN637" s="1054"/>
      <c r="BO637" s="1076">
        <f t="shared" si="11"/>
        <v>0</v>
      </c>
      <c r="BP637" s="1051"/>
      <c r="BQ637" s="1052"/>
      <c r="BR637" s="1054"/>
      <c r="BS637" s="1053"/>
      <c r="BT637" s="1051"/>
      <c r="BU637" s="1051"/>
      <c r="BV637" s="1051"/>
      <c r="BW637" s="1052"/>
      <c r="BX637" s="1052"/>
      <c r="BY637" s="1052"/>
      <c r="BZ637" s="1052"/>
      <c r="CA637" s="1052"/>
      <c r="CB637" s="1053"/>
      <c r="CC637" s="1053"/>
      <c r="CD637" s="1053"/>
      <c r="CE637" s="1053"/>
      <c r="CF637" s="1053"/>
      <c r="CG637" s="1053"/>
      <c r="CH637" s="1053"/>
      <c r="CI637" s="1123"/>
      <c r="CJ637" s="1123"/>
      <c r="CK637" s="1123"/>
      <c r="CL637" s="1123"/>
      <c r="CM637" s="1123"/>
      <c r="CN637" s="1123"/>
      <c r="CO637" s="1123"/>
      <c r="CP637" s="1123"/>
      <c r="CQ637" s="1123"/>
      <c r="CR637" s="1123"/>
      <c r="CS637" s="1123"/>
      <c r="CT637" s="1123"/>
      <c r="CU637" s="1123"/>
      <c r="CV637" s="1123"/>
      <c r="CW637" s="1123"/>
      <c r="CX637" s="1123"/>
      <c r="CY637" s="1123"/>
      <c r="CZ637" s="1114"/>
      <c r="DA637" s="1114"/>
      <c r="DB637" s="1114"/>
      <c r="DC637" s="1114"/>
      <c r="DD637" s="1114"/>
      <c r="DE637" s="1114"/>
      <c r="DF637" s="1114"/>
      <c r="DG637" s="1114"/>
      <c r="DH637" s="1114"/>
      <c r="DI637" s="1114"/>
      <c r="DJ637" s="1114"/>
      <c r="DK637" s="1114"/>
      <c r="DL637" s="1114"/>
      <c r="DM637" s="1114"/>
      <c r="DN637" s="1114"/>
      <c r="DO637" s="1114"/>
      <c r="DP637" s="1114"/>
      <c r="DQ637" s="1114"/>
      <c r="DR637" s="1114"/>
      <c r="DS637" s="1114"/>
      <c r="DT637" s="1114"/>
      <c r="DU637" s="1114"/>
      <c r="DV637" s="1115"/>
      <c r="DW637" s="1116"/>
      <c r="DX637" s="1116"/>
      <c r="DY637" s="1116"/>
      <c r="DZ637" s="1116"/>
      <c r="EA637" s="1116"/>
      <c r="EB637" s="1116"/>
      <c r="EC637" s="1116"/>
      <c r="ED637" s="1116"/>
      <c r="EE637" s="1116"/>
      <c r="EF637" s="1116"/>
      <c r="EG637" s="1116"/>
      <c r="EH637" s="1116"/>
      <c r="EI637" s="1116"/>
      <c r="EJ637" s="1116"/>
      <c r="EK637" s="1116"/>
      <c r="EL637" s="1116"/>
      <c r="EM637" s="1116"/>
      <c r="EN637" s="1116"/>
      <c r="EO637" s="1116"/>
      <c r="EP637" s="1116"/>
      <c r="EQ637" s="1116"/>
      <c r="ER637" s="1116"/>
      <c r="ES637" s="1116"/>
    </row>
    <row r="638" spans="1:149" ht="15" customHeight="1">
      <c r="A638" s="1185">
        <v>628</v>
      </c>
      <c r="B638" s="1041"/>
      <c r="C638" s="1050"/>
      <c r="D638" s="1050"/>
      <c r="E638" s="1050"/>
      <c r="F638" s="1049"/>
      <c r="G638" s="1049"/>
      <c r="H638" s="1049"/>
      <c r="I638" s="1049"/>
      <c r="J638" s="1050"/>
      <c r="K638" s="1050"/>
      <c r="L638" s="1043"/>
      <c r="M638" s="1051"/>
      <c r="N638" s="1051"/>
      <c r="O638" s="1052"/>
      <c r="P638" s="1051"/>
      <c r="Q638" s="1051"/>
      <c r="R638" s="1052"/>
      <c r="S638" s="1051"/>
      <c r="T638" s="1051"/>
      <c r="U638" s="1052"/>
      <c r="V638" s="1051"/>
      <c r="W638" s="1051"/>
      <c r="X638" s="1052"/>
      <c r="Y638" s="1053"/>
      <c r="Z638" s="1051"/>
      <c r="AA638" s="1051"/>
      <c r="AB638" s="1052"/>
      <c r="AC638" s="1051"/>
      <c r="AD638" s="1051"/>
      <c r="AE638" s="1052"/>
      <c r="AF638" s="1051"/>
      <c r="AG638" s="1051"/>
      <c r="AH638" s="1051"/>
      <c r="AI638" s="1051"/>
      <c r="AJ638" s="1052"/>
      <c r="AK638" s="1051"/>
      <c r="AL638" s="1051"/>
      <c r="AM638" s="1052"/>
      <c r="AN638" s="1051"/>
      <c r="AO638" s="1051"/>
      <c r="AP638" s="1052"/>
      <c r="AQ638" s="1051"/>
      <c r="AR638" s="1051"/>
      <c r="AS638" s="1052"/>
      <c r="AT638" s="1051"/>
      <c r="AU638" s="1051"/>
      <c r="AV638" s="1052"/>
      <c r="AW638" s="1051"/>
      <c r="AX638" s="1051"/>
      <c r="AY638" s="1053"/>
      <c r="AZ638" s="1051"/>
      <c r="BA638" s="1051"/>
      <c r="BB638" s="1053"/>
      <c r="BC638" s="1051"/>
      <c r="BD638" s="1051"/>
      <c r="BE638" s="1053"/>
      <c r="BF638" s="1051"/>
      <c r="BG638" s="1051"/>
      <c r="BH638" s="1053"/>
      <c r="BI638" s="1052"/>
      <c r="BJ638" s="1052"/>
      <c r="BK638" s="1052"/>
      <c r="BL638" s="1052"/>
      <c r="BM638" s="1052"/>
      <c r="BN638" s="1054"/>
      <c r="BO638" s="1076">
        <f t="shared" si="11"/>
        <v>0</v>
      </c>
      <c r="BP638" s="1051"/>
      <c r="BQ638" s="1052"/>
      <c r="BR638" s="1054"/>
      <c r="BS638" s="1053"/>
      <c r="BT638" s="1051"/>
      <c r="BU638" s="1051"/>
      <c r="BV638" s="1051"/>
      <c r="BW638" s="1052"/>
      <c r="BX638" s="1052"/>
      <c r="BY638" s="1052"/>
      <c r="BZ638" s="1052"/>
      <c r="CA638" s="1052"/>
      <c r="CB638" s="1053"/>
      <c r="CC638" s="1053"/>
      <c r="CD638" s="1053"/>
      <c r="CE638" s="1053"/>
      <c r="CF638" s="1053"/>
      <c r="CG638" s="1053"/>
      <c r="CH638" s="1053"/>
      <c r="CI638" s="1123"/>
      <c r="CJ638" s="1123"/>
      <c r="CK638" s="1123"/>
      <c r="CL638" s="1123"/>
      <c r="CM638" s="1123"/>
      <c r="CN638" s="1123"/>
      <c r="CO638" s="1123"/>
      <c r="CP638" s="1123"/>
      <c r="CQ638" s="1123"/>
      <c r="CR638" s="1123"/>
      <c r="CS638" s="1123"/>
      <c r="CT638" s="1123"/>
      <c r="CU638" s="1123"/>
      <c r="CV638" s="1123"/>
      <c r="CW638" s="1123"/>
      <c r="CX638" s="1123"/>
      <c r="CY638" s="1123"/>
      <c r="CZ638" s="1114"/>
      <c r="DA638" s="1114"/>
      <c r="DB638" s="1114"/>
      <c r="DC638" s="1114"/>
      <c r="DD638" s="1114"/>
      <c r="DE638" s="1114"/>
      <c r="DF638" s="1114"/>
      <c r="DG638" s="1114"/>
      <c r="DH638" s="1114"/>
      <c r="DI638" s="1114"/>
      <c r="DJ638" s="1114"/>
      <c r="DK638" s="1114"/>
      <c r="DL638" s="1114"/>
      <c r="DM638" s="1114"/>
      <c r="DN638" s="1114"/>
      <c r="DO638" s="1114"/>
      <c r="DP638" s="1114"/>
      <c r="DQ638" s="1114"/>
      <c r="DR638" s="1114"/>
      <c r="DS638" s="1114"/>
      <c r="DT638" s="1114"/>
      <c r="DU638" s="1114"/>
      <c r="DV638" s="1115"/>
      <c r="DW638" s="1116"/>
      <c r="DX638" s="1116"/>
      <c r="DY638" s="1116"/>
      <c r="DZ638" s="1116"/>
      <c r="EA638" s="1116"/>
      <c r="EB638" s="1116"/>
      <c r="EC638" s="1116"/>
      <c r="ED638" s="1116"/>
      <c r="EE638" s="1116"/>
      <c r="EF638" s="1116"/>
      <c r="EG638" s="1116"/>
      <c r="EH638" s="1116"/>
      <c r="EI638" s="1116"/>
      <c r="EJ638" s="1116"/>
      <c r="EK638" s="1116"/>
      <c r="EL638" s="1116"/>
      <c r="EM638" s="1116"/>
      <c r="EN638" s="1116"/>
      <c r="EO638" s="1116"/>
      <c r="EP638" s="1116"/>
      <c r="EQ638" s="1116"/>
      <c r="ER638" s="1116"/>
      <c r="ES638" s="1116"/>
    </row>
    <row r="639" spans="1:149" ht="15" customHeight="1">
      <c r="A639" s="1185">
        <v>629</v>
      </c>
      <c r="B639" s="1041"/>
      <c r="C639" s="1050"/>
      <c r="D639" s="1050"/>
      <c r="E639" s="1050"/>
      <c r="F639" s="1049"/>
      <c r="G639" s="1049"/>
      <c r="H639" s="1049"/>
      <c r="I639" s="1049"/>
      <c r="J639" s="1050"/>
      <c r="K639" s="1050"/>
      <c r="L639" s="1043"/>
      <c r="M639" s="1051"/>
      <c r="N639" s="1051"/>
      <c r="O639" s="1052"/>
      <c r="P639" s="1051"/>
      <c r="Q639" s="1051"/>
      <c r="R639" s="1052"/>
      <c r="S639" s="1051"/>
      <c r="T639" s="1051"/>
      <c r="U639" s="1052"/>
      <c r="V639" s="1051"/>
      <c r="W639" s="1051"/>
      <c r="X639" s="1052"/>
      <c r="Y639" s="1053"/>
      <c r="Z639" s="1051"/>
      <c r="AA639" s="1051"/>
      <c r="AB639" s="1052"/>
      <c r="AC639" s="1051"/>
      <c r="AD639" s="1051"/>
      <c r="AE639" s="1052"/>
      <c r="AF639" s="1051"/>
      <c r="AG639" s="1051"/>
      <c r="AH639" s="1051"/>
      <c r="AI639" s="1051"/>
      <c r="AJ639" s="1052"/>
      <c r="AK639" s="1051"/>
      <c r="AL639" s="1051"/>
      <c r="AM639" s="1052"/>
      <c r="AN639" s="1051"/>
      <c r="AO639" s="1051"/>
      <c r="AP639" s="1052"/>
      <c r="AQ639" s="1051"/>
      <c r="AR639" s="1051"/>
      <c r="AS639" s="1052"/>
      <c r="AT639" s="1051"/>
      <c r="AU639" s="1051"/>
      <c r="AV639" s="1052"/>
      <c r="AW639" s="1051"/>
      <c r="AX639" s="1051"/>
      <c r="AY639" s="1053"/>
      <c r="AZ639" s="1051"/>
      <c r="BA639" s="1051"/>
      <c r="BB639" s="1053"/>
      <c r="BC639" s="1051"/>
      <c r="BD639" s="1051"/>
      <c r="BE639" s="1053"/>
      <c r="BF639" s="1051"/>
      <c r="BG639" s="1051"/>
      <c r="BH639" s="1053"/>
      <c r="BI639" s="1052"/>
      <c r="BJ639" s="1052"/>
      <c r="BK639" s="1052"/>
      <c r="BL639" s="1052"/>
      <c r="BM639" s="1052"/>
      <c r="BN639" s="1054"/>
      <c r="BO639" s="1076">
        <f t="shared" si="11"/>
        <v>0</v>
      </c>
      <c r="BP639" s="1051"/>
      <c r="BQ639" s="1052"/>
      <c r="BR639" s="1054"/>
      <c r="BS639" s="1053"/>
      <c r="BT639" s="1051"/>
      <c r="BU639" s="1051"/>
      <c r="BV639" s="1051"/>
      <c r="BW639" s="1052"/>
      <c r="BX639" s="1052"/>
      <c r="BY639" s="1052"/>
      <c r="BZ639" s="1052"/>
      <c r="CA639" s="1052"/>
      <c r="CB639" s="1053"/>
      <c r="CC639" s="1053"/>
      <c r="CD639" s="1053"/>
      <c r="CE639" s="1053"/>
      <c r="CF639" s="1053"/>
      <c r="CG639" s="1053"/>
      <c r="CH639" s="1053"/>
      <c r="CI639" s="1123"/>
      <c r="CJ639" s="1123"/>
      <c r="CK639" s="1123"/>
      <c r="CL639" s="1123"/>
      <c r="CM639" s="1123"/>
      <c r="CN639" s="1123"/>
      <c r="CO639" s="1123"/>
      <c r="CP639" s="1123"/>
      <c r="CQ639" s="1123"/>
      <c r="CR639" s="1123"/>
      <c r="CS639" s="1123"/>
      <c r="CT639" s="1123"/>
      <c r="CU639" s="1123"/>
      <c r="CV639" s="1123"/>
      <c r="CW639" s="1123"/>
      <c r="CX639" s="1123"/>
      <c r="CY639" s="1123"/>
      <c r="CZ639" s="1114"/>
      <c r="DA639" s="1114"/>
      <c r="DB639" s="1114"/>
      <c r="DC639" s="1114"/>
      <c r="DD639" s="1114"/>
      <c r="DE639" s="1114"/>
      <c r="DF639" s="1114"/>
      <c r="DG639" s="1114"/>
      <c r="DH639" s="1114"/>
      <c r="DI639" s="1114"/>
      <c r="DJ639" s="1114"/>
      <c r="DK639" s="1114"/>
      <c r="DL639" s="1114"/>
      <c r="DM639" s="1114"/>
      <c r="DN639" s="1114"/>
      <c r="DO639" s="1114"/>
      <c r="DP639" s="1114"/>
      <c r="DQ639" s="1114"/>
      <c r="DR639" s="1114"/>
      <c r="DS639" s="1114"/>
      <c r="DT639" s="1114"/>
      <c r="DU639" s="1114"/>
      <c r="DV639" s="1115"/>
      <c r="DW639" s="1116"/>
      <c r="DX639" s="1116"/>
      <c r="DY639" s="1116"/>
      <c r="DZ639" s="1116"/>
      <c r="EA639" s="1116"/>
      <c r="EB639" s="1116"/>
      <c r="EC639" s="1116"/>
      <c r="ED639" s="1116"/>
      <c r="EE639" s="1116"/>
      <c r="EF639" s="1116"/>
      <c r="EG639" s="1116"/>
      <c r="EH639" s="1116"/>
      <c r="EI639" s="1116"/>
      <c r="EJ639" s="1116"/>
      <c r="EK639" s="1116"/>
      <c r="EL639" s="1116"/>
      <c r="EM639" s="1116"/>
      <c r="EN639" s="1116"/>
      <c r="EO639" s="1116"/>
      <c r="EP639" s="1116"/>
      <c r="EQ639" s="1116"/>
      <c r="ER639" s="1116"/>
      <c r="ES639" s="1116"/>
    </row>
    <row r="640" spans="1:149" ht="15" customHeight="1">
      <c r="A640" s="1185">
        <v>630</v>
      </c>
      <c r="B640" s="1041"/>
      <c r="C640" s="1050"/>
      <c r="D640" s="1050"/>
      <c r="E640" s="1050"/>
      <c r="F640" s="1049"/>
      <c r="G640" s="1049"/>
      <c r="H640" s="1049"/>
      <c r="I640" s="1049"/>
      <c r="J640" s="1050"/>
      <c r="K640" s="1050"/>
      <c r="L640" s="1043"/>
      <c r="M640" s="1051"/>
      <c r="N640" s="1051"/>
      <c r="O640" s="1052"/>
      <c r="P640" s="1051"/>
      <c r="Q640" s="1051"/>
      <c r="R640" s="1052"/>
      <c r="S640" s="1051"/>
      <c r="T640" s="1051"/>
      <c r="U640" s="1052"/>
      <c r="V640" s="1051"/>
      <c r="W640" s="1051"/>
      <c r="X640" s="1052"/>
      <c r="Y640" s="1053"/>
      <c r="Z640" s="1051"/>
      <c r="AA640" s="1051"/>
      <c r="AB640" s="1052"/>
      <c r="AC640" s="1051"/>
      <c r="AD640" s="1051"/>
      <c r="AE640" s="1052"/>
      <c r="AF640" s="1051"/>
      <c r="AG640" s="1051"/>
      <c r="AH640" s="1051"/>
      <c r="AI640" s="1051"/>
      <c r="AJ640" s="1052"/>
      <c r="AK640" s="1051"/>
      <c r="AL640" s="1051"/>
      <c r="AM640" s="1052"/>
      <c r="AN640" s="1051"/>
      <c r="AO640" s="1051"/>
      <c r="AP640" s="1052"/>
      <c r="AQ640" s="1051"/>
      <c r="AR640" s="1051"/>
      <c r="AS640" s="1052"/>
      <c r="AT640" s="1051"/>
      <c r="AU640" s="1051"/>
      <c r="AV640" s="1052"/>
      <c r="AW640" s="1051"/>
      <c r="AX640" s="1051"/>
      <c r="AY640" s="1053"/>
      <c r="AZ640" s="1051"/>
      <c r="BA640" s="1051"/>
      <c r="BB640" s="1053"/>
      <c r="BC640" s="1051"/>
      <c r="BD640" s="1051"/>
      <c r="BE640" s="1053"/>
      <c r="BF640" s="1051"/>
      <c r="BG640" s="1051"/>
      <c r="BH640" s="1053"/>
      <c r="BI640" s="1052"/>
      <c r="BJ640" s="1052"/>
      <c r="BK640" s="1052"/>
      <c r="BL640" s="1052"/>
      <c r="BM640" s="1052"/>
      <c r="BN640" s="1054"/>
      <c r="BO640" s="1076">
        <f t="shared" si="11"/>
        <v>0</v>
      </c>
      <c r="BP640" s="1051"/>
      <c r="BQ640" s="1052"/>
      <c r="BR640" s="1054"/>
      <c r="BS640" s="1053"/>
      <c r="BT640" s="1051"/>
      <c r="BU640" s="1051"/>
      <c r="BV640" s="1051"/>
      <c r="BW640" s="1052"/>
      <c r="BX640" s="1052"/>
      <c r="BY640" s="1052"/>
      <c r="BZ640" s="1052"/>
      <c r="CA640" s="1052"/>
      <c r="CB640" s="1053"/>
      <c r="CC640" s="1053"/>
      <c r="CD640" s="1053"/>
      <c r="CE640" s="1053"/>
      <c r="CF640" s="1053"/>
      <c r="CG640" s="1053"/>
      <c r="CH640" s="1053"/>
      <c r="CI640" s="1123"/>
      <c r="CJ640" s="1123"/>
      <c r="CK640" s="1123"/>
      <c r="CL640" s="1123"/>
      <c r="CM640" s="1123"/>
      <c r="CN640" s="1123"/>
      <c r="CO640" s="1123"/>
      <c r="CP640" s="1123"/>
      <c r="CQ640" s="1123"/>
      <c r="CR640" s="1123"/>
      <c r="CS640" s="1123"/>
      <c r="CT640" s="1123"/>
      <c r="CU640" s="1123"/>
      <c r="CV640" s="1123"/>
      <c r="CW640" s="1123"/>
      <c r="CX640" s="1123"/>
      <c r="CY640" s="1123"/>
      <c r="CZ640" s="1114"/>
      <c r="DA640" s="1114"/>
      <c r="DB640" s="1114"/>
      <c r="DC640" s="1114"/>
      <c r="DD640" s="1114"/>
      <c r="DE640" s="1114"/>
      <c r="DF640" s="1114"/>
      <c r="DG640" s="1114"/>
      <c r="DH640" s="1114"/>
      <c r="DI640" s="1114"/>
      <c r="DJ640" s="1114"/>
      <c r="DK640" s="1114"/>
      <c r="DL640" s="1114"/>
      <c r="DM640" s="1114"/>
      <c r="DN640" s="1114"/>
      <c r="DO640" s="1114"/>
      <c r="DP640" s="1114"/>
      <c r="DQ640" s="1114"/>
      <c r="DR640" s="1114"/>
      <c r="DS640" s="1114"/>
      <c r="DT640" s="1114"/>
      <c r="DU640" s="1114"/>
      <c r="DV640" s="1115"/>
      <c r="DW640" s="1116"/>
      <c r="DX640" s="1116"/>
      <c r="DY640" s="1116"/>
      <c r="DZ640" s="1116"/>
      <c r="EA640" s="1116"/>
      <c r="EB640" s="1116"/>
      <c r="EC640" s="1116"/>
      <c r="ED640" s="1116"/>
      <c r="EE640" s="1116"/>
      <c r="EF640" s="1116"/>
      <c r="EG640" s="1116"/>
      <c r="EH640" s="1116"/>
      <c r="EI640" s="1116"/>
      <c r="EJ640" s="1116"/>
      <c r="EK640" s="1116"/>
      <c r="EL640" s="1116"/>
      <c r="EM640" s="1116"/>
      <c r="EN640" s="1116"/>
      <c r="EO640" s="1116"/>
      <c r="EP640" s="1116"/>
      <c r="EQ640" s="1116"/>
      <c r="ER640" s="1116"/>
      <c r="ES640" s="1116"/>
    </row>
    <row r="641" spans="1:149" ht="15" customHeight="1">
      <c r="A641" s="1185">
        <v>631</v>
      </c>
      <c r="B641" s="1041"/>
      <c r="C641" s="1050"/>
      <c r="D641" s="1050"/>
      <c r="E641" s="1050"/>
      <c r="F641" s="1049"/>
      <c r="G641" s="1049"/>
      <c r="H641" s="1049"/>
      <c r="I641" s="1049"/>
      <c r="J641" s="1050"/>
      <c r="K641" s="1050"/>
      <c r="L641" s="1043"/>
      <c r="M641" s="1051"/>
      <c r="N641" s="1051"/>
      <c r="O641" s="1052"/>
      <c r="P641" s="1051"/>
      <c r="Q641" s="1051"/>
      <c r="R641" s="1052"/>
      <c r="S641" s="1051"/>
      <c r="T641" s="1051"/>
      <c r="U641" s="1052"/>
      <c r="V641" s="1051"/>
      <c r="W641" s="1051"/>
      <c r="X641" s="1052"/>
      <c r="Y641" s="1053"/>
      <c r="Z641" s="1051"/>
      <c r="AA641" s="1051"/>
      <c r="AB641" s="1052"/>
      <c r="AC641" s="1051"/>
      <c r="AD641" s="1051"/>
      <c r="AE641" s="1052"/>
      <c r="AF641" s="1051"/>
      <c r="AG641" s="1051"/>
      <c r="AH641" s="1051"/>
      <c r="AI641" s="1051"/>
      <c r="AJ641" s="1052"/>
      <c r="AK641" s="1051"/>
      <c r="AL641" s="1051"/>
      <c r="AM641" s="1052"/>
      <c r="AN641" s="1051"/>
      <c r="AO641" s="1051"/>
      <c r="AP641" s="1052"/>
      <c r="AQ641" s="1051"/>
      <c r="AR641" s="1051"/>
      <c r="AS641" s="1052"/>
      <c r="AT641" s="1051"/>
      <c r="AU641" s="1051"/>
      <c r="AV641" s="1052"/>
      <c r="AW641" s="1051"/>
      <c r="AX641" s="1051"/>
      <c r="AY641" s="1053"/>
      <c r="AZ641" s="1051"/>
      <c r="BA641" s="1051"/>
      <c r="BB641" s="1053"/>
      <c r="BC641" s="1051"/>
      <c r="BD641" s="1051"/>
      <c r="BE641" s="1053"/>
      <c r="BF641" s="1051"/>
      <c r="BG641" s="1051"/>
      <c r="BH641" s="1053"/>
      <c r="BI641" s="1052"/>
      <c r="BJ641" s="1052"/>
      <c r="BK641" s="1052"/>
      <c r="BL641" s="1052"/>
      <c r="BM641" s="1052"/>
      <c r="BN641" s="1054"/>
      <c r="BO641" s="1076">
        <f t="shared" si="11"/>
        <v>0</v>
      </c>
      <c r="BP641" s="1051"/>
      <c r="BQ641" s="1052"/>
      <c r="BR641" s="1054"/>
      <c r="BS641" s="1053"/>
      <c r="BT641" s="1051"/>
      <c r="BU641" s="1051"/>
      <c r="BV641" s="1051"/>
      <c r="BW641" s="1052"/>
      <c r="BX641" s="1052"/>
      <c r="BY641" s="1052"/>
      <c r="BZ641" s="1052"/>
      <c r="CA641" s="1052"/>
      <c r="CB641" s="1053"/>
      <c r="CC641" s="1053"/>
      <c r="CD641" s="1053"/>
      <c r="CE641" s="1053"/>
      <c r="CF641" s="1053"/>
      <c r="CG641" s="1053"/>
      <c r="CH641" s="1053"/>
      <c r="CI641" s="1123"/>
      <c r="CJ641" s="1123"/>
      <c r="CK641" s="1123"/>
      <c r="CL641" s="1123"/>
      <c r="CM641" s="1123"/>
      <c r="CN641" s="1123"/>
      <c r="CO641" s="1123"/>
      <c r="CP641" s="1123"/>
      <c r="CQ641" s="1123"/>
      <c r="CR641" s="1123"/>
      <c r="CS641" s="1123"/>
      <c r="CT641" s="1123"/>
      <c r="CU641" s="1123"/>
      <c r="CV641" s="1123"/>
      <c r="CW641" s="1123"/>
      <c r="CX641" s="1123"/>
      <c r="CY641" s="1123"/>
      <c r="CZ641" s="1114"/>
      <c r="DA641" s="1114"/>
      <c r="DB641" s="1114"/>
      <c r="DC641" s="1114"/>
      <c r="DD641" s="1114"/>
      <c r="DE641" s="1114"/>
      <c r="DF641" s="1114"/>
      <c r="DG641" s="1114"/>
      <c r="DH641" s="1114"/>
      <c r="DI641" s="1114"/>
      <c r="DJ641" s="1114"/>
      <c r="DK641" s="1114"/>
      <c r="DL641" s="1114"/>
      <c r="DM641" s="1114"/>
      <c r="DN641" s="1114"/>
      <c r="DO641" s="1114"/>
      <c r="DP641" s="1114"/>
      <c r="DQ641" s="1114"/>
      <c r="DR641" s="1114"/>
      <c r="DS641" s="1114"/>
      <c r="DT641" s="1114"/>
      <c r="DU641" s="1114"/>
      <c r="DV641" s="1115"/>
      <c r="DW641" s="1116"/>
      <c r="DX641" s="1116"/>
      <c r="DY641" s="1116"/>
      <c r="DZ641" s="1116"/>
      <c r="EA641" s="1116"/>
      <c r="EB641" s="1116"/>
      <c r="EC641" s="1116"/>
      <c r="ED641" s="1116"/>
      <c r="EE641" s="1116"/>
      <c r="EF641" s="1116"/>
      <c r="EG641" s="1116"/>
      <c r="EH641" s="1116"/>
      <c r="EI641" s="1116"/>
      <c r="EJ641" s="1116"/>
      <c r="EK641" s="1116"/>
      <c r="EL641" s="1116"/>
      <c r="EM641" s="1116"/>
      <c r="EN641" s="1116"/>
      <c r="EO641" s="1116"/>
      <c r="EP641" s="1116"/>
      <c r="EQ641" s="1116"/>
      <c r="ER641" s="1116"/>
      <c r="ES641" s="1116"/>
    </row>
    <row r="642" spans="1:149" ht="15" customHeight="1">
      <c r="A642" s="1185">
        <v>632</v>
      </c>
      <c r="B642" s="1041"/>
      <c r="C642" s="1050"/>
      <c r="D642" s="1050"/>
      <c r="E642" s="1050"/>
      <c r="F642" s="1049"/>
      <c r="G642" s="1049"/>
      <c r="H642" s="1049"/>
      <c r="I642" s="1049"/>
      <c r="J642" s="1050"/>
      <c r="K642" s="1050"/>
      <c r="L642" s="1043"/>
      <c r="M642" s="1051"/>
      <c r="N642" s="1051"/>
      <c r="O642" s="1052"/>
      <c r="P642" s="1051"/>
      <c r="Q642" s="1051"/>
      <c r="R642" s="1052"/>
      <c r="S642" s="1051"/>
      <c r="T642" s="1051"/>
      <c r="U642" s="1052"/>
      <c r="V642" s="1051"/>
      <c r="W642" s="1051"/>
      <c r="X642" s="1052"/>
      <c r="Y642" s="1053"/>
      <c r="Z642" s="1051"/>
      <c r="AA642" s="1051"/>
      <c r="AB642" s="1052"/>
      <c r="AC642" s="1051"/>
      <c r="AD642" s="1051"/>
      <c r="AE642" s="1052"/>
      <c r="AF642" s="1051"/>
      <c r="AG642" s="1051"/>
      <c r="AH642" s="1051"/>
      <c r="AI642" s="1051"/>
      <c r="AJ642" s="1052"/>
      <c r="AK642" s="1051"/>
      <c r="AL642" s="1051"/>
      <c r="AM642" s="1052"/>
      <c r="AN642" s="1051"/>
      <c r="AO642" s="1051"/>
      <c r="AP642" s="1052"/>
      <c r="AQ642" s="1051"/>
      <c r="AR642" s="1051"/>
      <c r="AS642" s="1052"/>
      <c r="AT642" s="1051"/>
      <c r="AU642" s="1051"/>
      <c r="AV642" s="1052"/>
      <c r="AW642" s="1051"/>
      <c r="AX642" s="1051"/>
      <c r="AY642" s="1053"/>
      <c r="AZ642" s="1051"/>
      <c r="BA642" s="1051"/>
      <c r="BB642" s="1053"/>
      <c r="BC642" s="1051"/>
      <c r="BD642" s="1051"/>
      <c r="BE642" s="1053"/>
      <c r="BF642" s="1051"/>
      <c r="BG642" s="1051"/>
      <c r="BH642" s="1053"/>
      <c r="BI642" s="1052"/>
      <c r="BJ642" s="1052"/>
      <c r="BK642" s="1052"/>
      <c r="BL642" s="1052"/>
      <c r="BM642" s="1052"/>
      <c r="BN642" s="1054"/>
      <c r="BO642" s="1076">
        <f t="shared" si="11"/>
        <v>0</v>
      </c>
      <c r="BP642" s="1051"/>
      <c r="BQ642" s="1052"/>
      <c r="BR642" s="1054"/>
      <c r="BS642" s="1053"/>
      <c r="BT642" s="1051"/>
      <c r="BU642" s="1051"/>
      <c r="BV642" s="1051"/>
      <c r="BW642" s="1052"/>
      <c r="BX642" s="1052"/>
      <c r="BY642" s="1052"/>
      <c r="BZ642" s="1052"/>
      <c r="CA642" s="1052"/>
      <c r="CB642" s="1053"/>
      <c r="CC642" s="1053"/>
      <c r="CD642" s="1053"/>
      <c r="CE642" s="1053"/>
      <c r="CF642" s="1053"/>
      <c r="CG642" s="1053"/>
      <c r="CH642" s="1053"/>
      <c r="CI642" s="1123"/>
      <c r="CJ642" s="1123"/>
      <c r="CK642" s="1123"/>
      <c r="CL642" s="1123"/>
      <c r="CM642" s="1123"/>
      <c r="CN642" s="1123"/>
      <c r="CO642" s="1123"/>
      <c r="CP642" s="1123"/>
      <c r="CQ642" s="1123"/>
      <c r="CR642" s="1123"/>
      <c r="CS642" s="1123"/>
      <c r="CT642" s="1123"/>
      <c r="CU642" s="1123"/>
      <c r="CV642" s="1123"/>
      <c r="CW642" s="1123"/>
      <c r="CX642" s="1123"/>
      <c r="CY642" s="1123"/>
      <c r="CZ642" s="1114"/>
      <c r="DA642" s="1114"/>
      <c r="DB642" s="1114"/>
      <c r="DC642" s="1114"/>
      <c r="DD642" s="1114"/>
      <c r="DE642" s="1114"/>
      <c r="DF642" s="1114"/>
      <c r="DG642" s="1114"/>
      <c r="DH642" s="1114"/>
      <c r="DI642" s="1114"/>
      <c r="DJ642" s="1114"/>
      <c r="DK642" s="1114"/>
      <c r="DL642" s="1114"/>
      <c r="DM642" s="1114"/>
      <c r="DN642" s="1114"/>
      <c r="DO642" s="1114"/>
      <c r="DP642" s="1114"/>
      <c r="DQ642" s="1114"/>
      <c r="DR642" s="1114"/>
      <c r="DS642" s="1114"/>
      <c r="DT642" s="1114"/>
      <c r="DU642" s="1114"/>
      <c r="DV642" s="1115"/>
      <c r="DW642" s="1116"/>
      <c r="DX642" s="1116"/>
      <c r="DY642" s="1116"/>
      <c r="DZ642" s="1116"/>
      <c r="EA642" s="1116"/>
      <c r="EB642" s="1116"/>
      <c r="EC642" s="1116"/>
      <c r="ED642" s="1116"/>
      <c r="EE642" s="1116"/>
      <c r="EF642" s="1116"/>
      <c r="EG642" s="1116"/>
      <c r="EH642" s="1116"/>
      <c r="EI642" s="1116"/>
      <c r="EJ642" s="1116"/>
      <c r="EK642" s="1116"/>
      <c r="EL642" s="1116"/>
      <c r="EM642" s="1116"/>
      <c r="EN642" s="1116"/>
      <c r="EO642" s="1116"/>
      <c r="EP642" s="1116"/>
      <c r="EQ642" s="1116"/>
      <c r="ER642" s="1116"/>
      <c r="ES642" s="1116"/>
    </row>
    <row r="643" spans="1:149" ht="15" customHeight="1">
      <c r="A643" s="1185">
        <v>633</v>
      </c>
      <c r="B643" s="1041"/>
      <c r="C643" s="1050"/>
      <c r="D643" s="1050"/>
      <c r="E643" s="1050"/>
      <c r="F643" s="1049"/>
      <c r="G643" s="1049"/>
      <c r="H643" s="1049"/>
      <c r="I643" s="1049"/>
      <c r="J643" s="1050"/>
      <c r="K643" s="1050"/>
      <c r="L643" s="1043"/>
      <c r="M643" s="1051"/>
      <c r="N643" s="1051"/>
      <c r="O643" s="1052"/>
      <c r="P643" s="1051"/>
      <c r="Q643" s="1051"/>
      <c r="R643" s="1052"/>
      <c r="S643" s="1051"/>
      <c r="T643" s="1051"/>
      <c r="U643" s="1052"/>
      <c r="V643" s="1051"/>
      <c r="W643" s="1051"/>
      <c r="X643" s="1052"/>
      <c r="Y643" s="1053"/>
      <c r="Z643" s="1051"/>
      <c r="AA643" s="1051"/>
      <c r="AB643" s="1052"/>
      <c r="AC643" s="1051"/>
      <c r="AD643" s="1051"/>
      <c r="AE643" s="1052"/>
      <c r="AF643" s="1051"/>
      <c r="AG643" s="1051"/>
      <c r="AH643" s="1051"/>
      <c r="AI643" s="1051"/>
      <c r="AJ643" s="1052"/>
      <c r="AK643" s="1051"/>
      <c r="AL643" s="1051"/>
      <c r="AM643" s="1052"/>
      <c r="AN643" s="1051"/>
      <c r="AO643" s="1051"/>
      <c r="AP643" s="1052"/>
      <c r="AQ643" s="1051"/>
      <c r="AR643" s="1051"/>
      <c r="AS643" s="1052"/>
      <c r="AT643" s="1051"/>
      <c r="AU643" s="1051"/>
      <c r="AV643" s="1052"/>
      <c r="AW643" s="1051"/>
      <c r="AX643" s="1051"/>
      <c r="AY643" s="1053"/>
      <c r="AZ643" s="1051"/>
      <c r="BA643" s="1051"/>
      <c r="BB643" s="1053"/>
      <c r="BC643" s="1051"/>
      <c r="BD643" s="1051"/>
      <c r="BE643" s="1053"/>
      <c r="BF643" s="1051"/>
      <c r="BG643" s="1051"/>
      <c r="BH643" s="1053"/>
      <c r="BI643" s="1052"/>
      <c r="BJ643" s="1052"/>
      <c r="BK643" s="1052"/>
      <c r="BL643" s="1052"/>
      <c r="BM643" s="1052"/>
      <c r="BN643" s="1054"/>
      <c r="BO643" s="1076">
        <f t="shared" si="11"/>
        <v>0</v>
      </c>
      <c r="BP643" s="1051"/>
      <c r="BQ643" s="1052"/>
      <c r="BR643" s="1054"/>
      <c r="BS643" s="1053"/>
      <c r="BT643" s="1051"/>
      <c r="BU643" s="1051"/>
      <c r="BV643" s="1051"/>
      <c r="BW643" s="1052"/>
      <c r="BX643" s="1052"/>
      <c r="BY643" s="1052"/>
      <c r="BZ643" s="1052"/>
      <c r="CA643" s="1052"/>
      <c r="CB643" s="1053"/>
      <c r="CC643" s="1053"/>
      <c r="CD643" s="1053"/>
      <c r="CE643" s="1053"/>
      <c r="CF643" s="1053"/>
      <c r="CG643" s="1053"/>
      <c r="CH643" s="1053"/>
      <c r="CI643" s="1123"/>
      <c r="CJ643" s="1123"/>
      <c r="CK643" s="1123"/>
      <c r="CL643" s="1123"/>
      <c r="CM643" s="1123"/>
      <c r="CN643" s="1123"/>
      <c r="CO643" s="1123"/>
      <c r="CP643" s="1123"/>
      <c r="CQ643" s="1123"/>
      <c r="CR643" s="1123"/>
      <c r="CS643" s="1123"/>
      <c r="CT643" s="1123"/>
      <c r="CU643" s="1123"/>
      <c r="CV643" s="1123"/>
      <c r="CW643" s="1123"/>
      <c r="CX643" s="1123"/>
      <c r="CY643" s="1123"/>
      <c r="CZ643" s="1114"/>
      <c r="DA643" s="1114"/>
      <c r="DB643" s="1114"/>
      <c r="DC643" s="1114"/>
      <c r="DD643" s="1114"/>
      <c r="DE643" s="1114"/>
      <c r="DF643" s="1114"/>
      <c r="DG643" s="1114"/>
      <c r="DH643" s="1114"/>
      <c r="DI643" s="1114"/>
      <c r="DJ643" s="1114"/>
      <c r="DK643" s="1114"/>
      <c r="DL643" s="1114"/>
      <c r="DM643" s="1114"/>
      <c r="DN643" s="1114"/>
      <c r="DO643" s="1114"/>
      <c r="DP643" s="1114"/>
      <c r="DQ643" s="1114"/>
      <c r="DR643" s="1114"/>
      <c r="DS643" s="1114"/>
      <c r="DT643" s="1114"/>
      <c r="DU643" s="1114"/>
      <c r="DV643" s="1115"/>
      <c r="DW643" s="1116"/>
      <c r="DX643" s="1116"/>
      <c r="DY643" s="1116"/>
      <c r="DZ643" s="1116"/>
      <c r="EA643" s="1116"/>
      <c r="EB643" s="1116"/>
      <c r="EC643" s="1116"/>
      <c r="ED643" s="1116"/>
      <c r="EE643" s="1116"/>
      <c r="EF643" s="1116"/>
      <c r="EG643" s="1116"/>
      <c r="EH643" s="1116"/>
      <c r="EI643" s="1116"/>
      <c r="EJ643" s="1116"/>
      <c r="EK643" s="1116"/>
      <c r="EL643" s="1116"/>
      <c r="EM643" s="1116"/>
      <c r="EN643" s="1116"/>
      <c r="EO643" s="1116"/>
      <c r="EP643" s="1116"/>
      <c r="EQ643" s="1116"/>
      <c r="ER643" s="1116"/>
      <c r="ES643" s="1116"/>
    </row>
    <row r="644" spans="1:149" ht="15" customHeight="1">
      <c r="A644" s="1185">
        <v>634</v>
      </c>
      <c r="B644" s="1041"/>
      <c r="C644" s="1050"/>
      <c r="D644" s="1050"/>
      <c r="E644" s="1050"/>
      <c r="F644" s="1049"/>
      <c r="G644" s="1049"/>
      <c r="H644" s="1049"/>
      <c r="I644" s="1049"/>
      <c r="J644" s="1050"/>
      <c r="K644" s="1050"/>
      <c r="L644" s="1043"/>
      <c r="M644" s="1051"/>
      <c r="N644" s="1051"/>
      <c r="O644" s="1052"/>
      <c r="P644" s="1051"/>
      <c r="Q644" s="1051"/>
      <c r="R644" s="1052"/>
      <c r="S644" s="1051"/>
      <c r="T644" s="1051"/>
      <c r="U644" s="1052"/>
      <c r="V644" s="1051"/>
      <c r="W644" s="1051"/>
      <c r="X644" s="1052"/>
      <c r="Y644" s="1053"/>
      <c r="Z644" s="1051"/>
      <c r="AA644" s="1051"/>
      <c r="AB644" s="1052"/>
      <c r="AC644" s="1051"/>
      <c r="AD644" s="1051"/>
      <c r="AE644" s="1052"/>
      <c r="AF644" s="1051"/>
      <c r="AG644" s="1051"/>
      <c r="AH644" s="1051"/>
      <c r="AI644" s="1051"/>
      <c r="AJ644" s="1052"/>
      <c r="AK644" s="1051"/>
      <c r="AL644" s="1051"/>
      <c r="AM644" s="1052"/>
      <c r="AN644" s="1051"/>
      <c r="AO644" s="1051"/>
      <c r="AP644" s="1052"/>
      <c r="AQ644" s="1051"/>
      <c r="AR644" s="1051"/>
      <c r="AS644" s="1052"/>
      <c r="AT644" s="1051"/>
      <c r="AU644" s="1051"/>
      <c r="AV644" s="1052"/>
      <c r="AW644" s="1051"/>
      <c r="AX644" s="1051"/>
      <c r="AY644" s="1053"/>
      <c r="AZ644" s="1051"/>
      <c r="BA644" s="1051"/>
      <c r="BB644" s="1053"/>
      <c r="BC644" s="1051"/>
      <c r="BD644" s="1051"/>
      <c r="BE644" s="1053"/>
      <c r="BF644" s="1051"/>
      <c r="BG644" s="1051"/>
      <c r="BH644" s="1053"/>
      <c r="BI644" s="1052"/>
      <c r="BJ644" s="1052"/>
      <c r="BK644" s="1052"/>
      <c r="BL644" s="1052"/>
      <c r="BM644" s="1052"/>
      <c r="BN644" s="1054"/>
      <c r="BO644" s="1076">
        <f t="shared" si="11"/>
        <v>0</v>
      </c>
      <c r="BP644" s="1051"/>
      <c r="BQ644" s="1052"/>
      <c r="BR644" s="1054"/>
      <c r="BS644" s="1053"/>
      <c r="BT644" s="1051"/>
      <c r="BU644" s="1051"/>
      <c r="BV644" s="1051"/>
      <c r="BW644" s="1052"/>
      <c r="BX644" s="1052"/>
      <c r="BY644" s="1052"/>
      <c r="BZ644" s="1052"/>
      <c r="CA644" s="1052"/>
      <c r="CB644" s="1053"/>
      <c r="CC644" s="1053"/>
      <c r="CD644" s="1053"/>
      <c r="CE644" s="1053"/>
      <c r="CF644" s="1053"/>
      <c r="CG644" s="1053"/>
      <c r="CH644" s="1053"/>
      <c r="CI644" s="1123"/>
      <c r="CJ644" s="1123"/>
      <c r="CK644" s="1123"/>
      <c r="CL644" s="1123"/>
      <c r="CM644" s="1123"/>
      <c r="CN644" s="1123"/>
      <c r="CO644" s="1123"/>
      <c r="CP644" s="1123"/>
      <c r="CQ644" s="1123"/>
      <c r="CR644" s="1123"/>
      <c r="CS644" s="1123"/>
      <c r="CT644" s="1123"/>
      <c r="CU644" s="1123"/>
      <c r="CV644" s="1123"/>
      <c r="CW644" s="1123"/>
      <c r="CX644" s="1123"/>
      <c r="CY644" s="1123"/>
      <c r="CZ644" s="1114"/>
      <c r="DA644" s="1114"/>
      <c r="DB644" s="1114"/>
      <c r="DC644" s="1114"/>
      <c r="DD644" s="1114"/>
      <c r="DE644" s="1114"/>
      <c r="DF644" s="1114"/>
      <c r="DG644" s="1114"/>
      <c r="DH644" s="1114"/>
      <c r="DI644" s="1114"/>
      <c r="DJ644" s="1114"/>
      <c r="DK644" s="1114"/>
      <c r="DL644" s="1114"/>
      <c r="DM644" s="1114"/>
      <c r="DN644" s="1114"/>
      <c r="DO644" s="1114"/>
      <c r="DP644" s="1114"/>
      <c r="DQ644" s="1114"/>
      <c r="DR644" s="1114"/>
      <c r="DS644" s="1114"/>
      <c r="DT644" s="1114"/>
      <c r="DU644" s="1114"/>
      <c r="DV644" s="1115"/>
      <c r="DW644" s="1116"/>
      <c r="DX644" s="1116"/>
      <c r="DY644" s="1116"/>
      <c r="DZ644" s="1116"/>
      <c r="EA644" s="1116"/>
      <c r="EB644" s="1116"/>
      <c r="EC644" s="1116"/>
      <c r="ED644" s="1116"/>
      <c r="EE644" s="1116"/>
      <c r="EF644" s="1116"/>
      <c r="EG644" s="1116"/>
      <c r="EH644" s="1116"/>
      <c r="EI644" s="1116"/>
      <c r="EJ644" s="1116"/>
      <c r="EK644" s="1116"/>
      <c r="EL644" s="1116"/>
      <c r="EM644" s="1116"/>
      <c r="EN644" s="1116"/>
      <c r="EO644" s="1116"/>
      <c r="EP644" s="1116"/>
      <c r="EQ644" s="1116"/>
      <c r="ER644" s="1116"/>
      <c r="ES644" s="1116"/>
    </row>
    <row r="645" spans="1:149" ht="15" customHeight="1">
      <c r="A645" s="1185">
        <v>635</v>
      </c>
      <c r="B645" s="1041"/>
      <c r="C645" s="1050"/>
      <c r="D645" s="1050"/>
      <c r="E645" s="1050"/>
      <c r="F645" s="1049"/>
      <c r="G645" s="1049"/>
      <c r="H645" s="1049"/>
      <c r="I645" s="1049"/>
      <c r="J645" s="1050"/>
      <c r="K645" s="1050"/>
      <c r="L645" s="1043"/>
      <c r="M645" s="1051"/>
      <c r="N645" s="1051"/>
      <c r="O645" s="1052"/>
      <c r="P645" s="1051"/>
      <c r="Q645" s="1051"/>
      <c r="R645" s="1052"/>
      <c r="S645" s="1051"/>
      <c r="T645" s="1051"/>
      <c r="U645" s="1052"/>
      <c r="V645" s="1051"/>
      <c r="W645" s="1051"/>
      <c r="X645" s="1052"/>
      <c r="Y645" s="1053"/>
      <c r="Z645" s="1051"/>
      <c r="AA645" s="1051"/>
      <c r="AB645" s="1052"/>
      <c r="AC645" s="1051"/>
      <c r="AD645" s="1051"/>
      <c r="AE645" s="1052"/>
      <c r="AF645" s="1051"/>
      <c r="AG645" s="1051"/>
      <c r="AH645" s="1051"/>
      <c r="AI645" s="1051"/>
      <c r="AJ645" s="1052"/>
      <c r="AK645" s="1051"/>
      <c r="AL645" s="1051"/>
      <c r="AM645" s="1052"/>
      <c r="AN645" s="1051"/>
      <c r="AO645" s="1051"/>
      <c r="AP645" s="1052"/>
      <c r="AQ645" s="1051"/>
      <c r="AR645" s="1051"/>
      <c r="AS645" s="1052"/>
      <c r="AT645" s="1051"/>
      <c r="AU645" s="1051"/>
      <c r="AV645" s="1052"/>
      <c r="AW645" s="1051"/>
      <c r="AX645" s="1051"/>
      <c r="AY645" s="1053"/>
      <c r="AZ645" s="1051"/>
      <c r="BA645" s="1051"/>
      <c r="BB645" s="1053"/>
      <c r="BC645" s="1051"/>
      <c r="BD645" s="1051"/>
      <c r="BE645" s="1053"/>
      <c r="BF645" s="1051"/>
      <c r="BG645" s="1051"/>
      <c r="BH645" s="1053"/>
      <c r="BI645" s="1052"/>
      <c r="BJ645" s="1052"/>
      <c r="BK645" s="1052"/>
      <c r="BL645" s="1052"/>
      <c r="BM645" s="1052"/>
      <c r="BN645" s="1054"/>
      <c r="BO645" s="1076">
        <f t="shared" si="11"/>
        <v>0</v>
      </c>
      <c r="BP645" s="1051"/>
      <c r="BQ645" s="1052"/>
      <c r="BR645" s="1054"/>
      <c r="BS645" s="1053"/>
      <c r="BT645" s="1051"/>
      <c r="BU645" s="1051"/>
      <c r="BV645" s="1051"/>
      <c r="BW645" s="1052"/>
      <c r="BX645" s="1052"/>
      <c r="BY645" s="1052"/>
      <c r="BZ645" s="1052"/>
      <c r="CA645" s="1052"/>
      <c r="CB645" s="1053"/>
      <c r="CC645" s="1053"/>
      <c r="CD645" s="1053"/>
      <c r="CE645" s="1053"/>
      <c r="CF645" s="1053"/>
      <c r="CG645" s="1053"/>
      <c r="CH645" s="1053"/>
      <c r="CI645" s="1123"/>
      <c r="CJ645" s="1123"/>
      <c r="CK645" s="1123"/>
      <c r="CL645" s="1123"/>
      <c r="CM645" s="1123"/>
      <c r="CN645" s="1123"/>
      <c r="CO645" s="1123"/>
      <c r="CP645" s="1123"/>
      <c r="CQ645" s="1123"/>
      <c r="CR645" s="1123"/>
      <c r="CS645" s="1123"/>
      <c r="CT645" s="1123"/>
      <c r="CU645" s="1123"/>
      <c r="CV645" s="1123"/>
      <c r="CW645" s="1123"/>
      <c r="CX645" s="1123"/>
      <c r="CY645" s="1123"/>
      <c r="CZ645" s="1114"/>
      <c r="DA645" s="1114"/>
      <c r="DB645" s="1114"/>
      <c r="DC645" s="1114"/>
      <c r="DD645" s="1114"/>
      <c r="DE645" s="1114"/>
      <c r="DF645" s="1114"/>
      <c r="DG645" s="1114"/>
      <c r="DH645" s="1114"/>
      <c r="DI645" s="1114"/>
      <c r="DJ645" s="1114"/>
      <c r="DK645" s="1114"/>
      <c r="DL645" s="1114"/>
      <c r="DM645" s="1114"/>
      <c r="DN645" s="1114"/>
      <c r="DO645" s="1114"/>
      <c r="DP645" s="1114"/>
      <c r="DQ645" s="1114"/>
      <c r="DR645" s="1114"/>
      <c r="DS645" s="1114"/>
      <c r="DT645" s="1114"/>
      <c r="DU645" s="1114"/>
      <c r="DV645" s="1115"/>
      <c r="DW645" s="1116"/>
      <c r="DX645" s="1116"/>
      <c r="DY645" s="1116"/>
      <c r="DZ645" s="1116"/>
      <c r="EA645" s="1116"/>
      <c r="EB645" s="1116"/>
      <c r="EC645" s="1116"/>
      <c r="ED645" s="1116"/>
      <c r="EE645" s="1116"/>
      <c r="EF645" s="1116"/>
      <c r="EG645" s="1116"/>
      <c r="EH645" s="1116"/>
      <c r="EI645" s="1116"/>
      <c r="EJ645" s="1116"/>
      <c r="EK645" s="1116"/>
      <c r="EL645" s="1116"/>
      <c r="EM645" s="1116"/>
      <c r="EN645" s="1116"/>
      <c r="EO645" s="1116"/>
      <c r="EP645" s="1116"/>
      <c r="EQ645" s="1116"/>
      <c r="ER645" s="1116"/>
      <c r="ES645" s="1116"/>
    </row>
    <row r="646" spans="1:149" ht="15" customHeight="1">
      <c r="A646" s="1185">
        <v>636</v>
      </c>
      <c r="B646" s="1041"/>
      <c r="C646" s="1050"/>
      <c r="D646" s="1050"/>
      <c r="E646" s="1050"/>
      <c r="F646" s="1049"/>
      <c r="G646" s="1049"/>
      <c r="H646" s="1049"/>
      <c r="I646" s="1049"/>
      <c r="J646" s="1050"/>
      <c r="K646" s="1050"/>
      <c r="L646" s="1043"/>
      <c r="M646" s="1051"/>
      <c r="N646" s="1051"/>
      <c r="O646" s="1052"/>
      <c r="P646" s="1051"/>
      <c r="Q646" s="1051"/>
      <c r="R646" s="1052"/>
      <c r="S646" s="1051"/>
      <c r="T646" s="1051"/>
      <c r="U646" s="1052"/>
      <c r="V646" s="1051"/>
      <c r="W646" s="1051"/>
      <c r="X646" s="1052"/>
      <c r="Y646" s="1053"/>
      <c r="Z646" s="1051"/>
      <c r="AA646" s="1051"/>
      <c r="AB646" s="1052"/>
      <c r="AC646" s="1051"/>
      <c r="AD646" s="1051"/>
      <c r="AE646" s="1052"/>
      <c r="AF646" s="1051"/>
      <c r="AG646" s="1051"/>
      <c r="AH646" s="1051"/>
      <c r="AI646" s="1051"/>
      <c r="AJ646" s="1052"/>
      <c r="AK646" s="1051"/>
      <c r="AL646" s="1051"/>
      <c r="AM646" s="1052"/>
      <c r="AN646" s="1051"/>
      <c r="AO646" s="1051"/>
      <c r="AP646" s="1052"/>
      <c r="AQ646" s="1051"/>
      <c r="AR646" s="1051"/>
      <c r="AS646" s="1052"/>
      <c r="AT646" s="1051"/>
      <c r="AU646" s="1051"/>
      <c r="AV646" s="1052"/>
      <c r="AW646" s="1051"/>
      <c r="AX646" s="1051"/>
      <c r="AY646" s="1053"/>
      <c r="AZ646" s="1051"/>
      <c r="BA646" s="1051"/>
      <c r="BB646" s="1053"/>
      <c r="BC646" s="1051"/>
      <c r="BD646" s="1051"/>
      <c r="BE646" s="1053"/>
      <c r="BF646" s="1051"/>
      <c r="BG646" s="1051"/>
      <c r="BH646" s="1053"/>
      <c r="BI646" s="1052"/>
      <c r="BJ646" s="1052"/>
      <c r="BK646" s="1052"/>
      <c r="BL646" s="1052"/>
      <c r="BM646" s="1052"/>
      <c r="BN646" s="1054"/>
      <c r="BO646" s="1076">
        <f t="shared" si="11"/>
        <v>0</v>
      </c>
      <c r="BP646" s="1051"/>
      <c r="BQ646" s="1052"/>
      <c r="BR646" s="1054"/>
      <c r="BS646" s="1053"/>
      <c r="BT646" s="1051"/>
      <c r="BU646" s="1051"/>
      <c r="BV646" s="1051"/>
      <c r="BW646" s="1052"/>
      <c r="BX646" s="1052"/>
      <c r="BY646" s="1052"/>
      <c r="BZ646" s="1052"/>
      <c r="CA646" s="1052"/>
      <c r="CB646" s="1053"/>
      <c r="CC646" s="1053"/>
      <c r="CD646" s="1053"/>
      <c r="CE646" s="1053"/>
      <c r="CF646" s="1053"/>
      <c r="CG646" s="1053"/>
      <c r="CH646" s="1053"/>
      <c r="CI646" s="1123"/>
      <c r="CJ646" s="1123"/>
      <c r="CK646" s="1123"/>
      <c r="CL646" s="1123"/>
      <c r="CM646" s="1123"/>
      <c r="CN646" s="1123"/>
      <c r="CO646" s="1123"/>
      <c r="CP646" s="1123"/>
      <c r="CQ646" s="1123"/>
      <c r="CR646" s="1123"/>
      <c r="CS646" s="1123"/>
      <c r="CT646" s="1123"/>
      <c r="CU646" s="1123"/>
      <c r="CV646" s="1123"/>
      <c r="CW646" s="1123"/>
      <c r="CX646" s="1123"/>
      <c r="CY646" s="1123"/>
      <c r="CZ646" s="1114"/>
      <c r="DA646" s="1114"/>
      <c r="DB646" s="1114"/>
      <c r="DC646" s="1114"/>
      <c r="DD646" s="1114"/>
      <c r="DE646" s="1114"/>
      <c r="DF646" s="1114"/>
      <c r="DG646" s="1114"/>
      <c r="DH646" s="1114"/>
      <c r="DI646" s="1114"/>
      <c r="DJ646" s="1114"/>
      <c r="DK646" s="1114"/>
      <c r="DL646" s="1114"/>
      <c r="DM646" s="1114"/>
      <c r="DN646" s="1114"/>
      <c r="DO646" s="1114"/>
      <c r="DP646" s="1114"/>
      <c r="DQ646" s="1114"/>
      <c r="DR646" s="1114"/>
      <c r="DS646" s="1114"/>
      <c r="DT646" s="1114"/>
      <c r="DU646" s="1114"/>
      <c r="DV646" s="1115"/>
      <c r="DW646" s="1116"/>
      <c r="DX646" s="1116"/>
      <c r="DY646" s="1116"/>
      <c r="DZ646" s="1116"/>
      <c r="EA646" s="1116"/>
      <c r="EB646" s="1116"/>
      <c r="EC646" s="1116"/>
      <c r="ED646" s="1116"/>
      <c r="EE646" s="1116"/>
      <c r="EF646" s="1116"/>
      <c r="EG646" s="1116"/>
      <c r="EH646" s="1116"/>
      <c r="EI646" s="1116"/>
      <c r="EJ646" s="1116"/>
      <c r="EK646" s="1116"/>
      <c r="EL646" s="1116"/>
      <c r="EM646" s="1116"/>
      <c r="EN646" s="1116"/>
      <c r="EO646" s="1116"/>
      <c r="EP646" s="1116"/>
      <c r="EQ646" s="1116"/>
      <c r="ER646" s="1116"/>
      <c r="ES646" s="1116"/>
    </row>
    <row r="647" spans="1:149" ht="15" customHeight="1">
      <c r="A647" s="1185">
        <v>637</v>
      </c>
      <c r="B647" s="1041"/>
      <c r="C647" s="1050"/>
      <c r="D647" s="1050"/>
      <c r="E647" s="1050"/>
      <c r="F647" s="1049"/>
      <c r="G647" s="1049"/>
      <c r="H647" s="1049"/>
      <c r="I647" s="1049"/>
      <c r="J647" s="1050"/>
      <c r="K647" s="1050"/>
      <c r="L647" s="1043"/>
      <c r="M647" s="1051"/>
      <c r="N647" s="1051"/>
      <c r="O647" s="1052"/>
      <c r="P647" s="1051"/>
      <c r="Q647" s="1051"/>
      <c r="R647" s="1052"/>
      <c r="S647" s="1051"/>
      <c r="T647" s="1051"/>
      <c r="U647" s="1052"/>
      <c r="V647" s="1051"/>
      <c r="W647" s="1051"/>
      <c r="X647" s="1052"/>
      <c r="Y647" s="1053"/>
      <c r="Z647" s="1051"/>
      <c r="AA647" s="1051"/>
      <c r="AB647" s="1052"/>
      <c r="AC647" s="1051"/>
      <c r="AD647" s="1051"/>
      <c r="AE647" s="1052"/>
      <c r="AF647" s="1051"/>
      <c r="AG647" s="1051"/>
      <c r="AH647" s="1051"/>
      <c r="AI647" s="1051"/>
      <c r="AJ647" s="1052"/>
      <c r="AK647" s="1051"/>
      <c r="AL647" s="1051"/>
      <c r="AM647" s="1052"/>
      <c r="AN647" s="1051"/>
      <c r="AO647" s="1051"/>
      <c r="AP647" s="1052"/>
      <c r="AQ647" s="1051"/>
      <c r="AR647" s="1051"/>
      <c r="AS647" s="1052"/>
      <c r="AT647" s="1051"/>
      <c r="AU647" s="1051"/>
      <c r="AV647" s="1052"/>
      <c r="AW647" s="1051"/>
      <c r="AX647" s="1051"/>
      <c r="AY647" s="1053"/>
      <c r="AZ647" s="1051"/>
      <c r="BA647" s="1051"/>
      <c r="BB647" s="1053"/>
      <c r="BC647" s="1051"/>
      <c r="BD647" s="1051"/>
      <c r="BE647" s="1053"/>
      <c r="BF647" s="1051"/>
      <c r="BG647" s="1051"/>
      <c r="BH647" s="1053"/>
      <c r="BI647" s="1052"/>
      <c r="BJ647" s="1052"/>
      <c r="BK647" s="1052"/>
      <c r="BL647" s="1052"/>
      <c r="BM647" s="1052"/>
      <c r="BN647" s="1054"/>
      <c r="BO647" s="1076">
        <f t="shared" si="11"/>
        <v>0</v>
      </c>
      <c r="BP647" s="1051"/>
      <c r="BQ647" s="1052"/>
      <c r="BR647" s="1054"/>
      <c r="BS647" s="1053"/>
      <c r="BT647" s="1051"/>
      <c r="BU647" s="1051"/>
      <c r="BV647" s="1051"/>
      <c r="BW647" s="1052"/>
      <c r="BX647" s="1052"/>
      <c r="BY647" s="1052"/>
      <c r="BZ647" s="1052"/>
      <c r="CA647" s="1052"/>
      <c r="CB647" s="1053"/>
      <c r="CC647" s="1053"/>
      <c r="CD647" s="1053"/>
      <c r="CE647" s="1053"/>
      <c r="CF647" s="1053"/>
      <c r="CG647" s="1053"/>
      <c r="CH647" s="1053"/>
      <c r="CI647" s="1123"/>
      <c r="CJ647" s="1123"/>
      <c r="CK647" s="1123"/>
      <c r="CL647" s="1123"/>
      <c r="CM647" s="1123"/>
      <c r="CN647" s="1123"/>
      <c r="CO647" s="1123"/>
      <c r="CP647" s="1123"/>
      <c r="CQ647" s="1123"/>
      <c r="CR647" s="1123"/>
      <c r="CS647" s="1123"/>
      <c r="CT647" s="1123"/>
      <c r="CU647" s="1123"/>
      <c r="CV647" s="1123"/>
      <c r="CW647" s="1123"/>
      <c r="CX647" s="1123"/>
      <c r="CY647" s="1123"/>
      <c r="CZ647" s="1114"/>
      <c r="DA647" s="1114"/>
      <c r="DB647" s="1114"/>
      <c r="DC647" s="1114"/>
      <c r="DD647" s="1114"/>
      <c r="DE647" s="1114"/>
      <c r="DF647" s="1114"/>
      <c r="DG647" s="1114"/>
      <c r="DH647" s="1114"/>
      <c r="DI647" s="1114"/>
      <c r="DJ647" s="1114"/>
      <c r="DK647" s="1114"/>
      <c r="DL647" s="1114"/>
      <c r="DM647" s="1114"/>
      <c r="DN647" s="1114"/>
      <c r="DO647" s="1114"/>
      <c r="DP647" s="1114"/>
      <c r="DQ647" s="1114"/>
      <c r="DR647" s="1114"/>
      <c r="DS647" s="1114"/>
      <c r="DT647" s="1114"/>
      <c r="DU647" s="1114"/>
      <c r="DV647" s="1115"/>
      <c r="DW647" s="1116"/>
      <c r="DX647" s="1116"/>
      <c r="DY647" s="1116"/>
      <c r="DZ647" s="1116"/>
      <c r="EA647" s="1116"/>
      <c r="EB647" s="1116"/>
      <c r="EC647" s="1116"/>
      <c r="ED647" s="1116"/>
      <c r="EE647" s="1116"/>
      <c r="EF647" s="1116"/>
      <c r="EG647" s="1116"/>
      <c r="EH647" s="1116"/>
      <c r="EI647" s="1116"/>
      <c r="EJ647" s="1116"/>
      <c r="EK647" s="1116"/>
      <c r="EL647" s="1116"/>
      <c r="EM647" s="1116"/>
      <c r="EN647" s="1116"/>
      <c r="EO647" s="1116"/>
      <c r="EP647" s="1116"/>
      <c r="EQ647" s="1116"/>
      <c r="ER647" s="1116"/>
      <c r="ES647" s="1116"/>
    </row>
    <row r="648" spans="1:149" ht="15" customHeight="1">
      <c r="A648" s="1185">
        <v>638</v>
      </c>
      <c r="B648" s="1041"/>
      <c r="C648" s="1050"/>
      <c r="D648" s="1050"/>
      <c r="E648" s="1050"/>
      <c r="F648" s="1049"/>
      <c r="G648" s="1049"/>
      <c r="H648" s="1049"/>
      <c r="I648" s="1049"/>
      <c r="J648" s="1050"/>
      <c r="K648" s="1050"/>
      <c r="L648" s="1043"/>
      <c r="M648" s="1051"/>
      <c r="N648" s="1051"/>
      <c r="O648" s="1052"/>
      <c r="P648" s="1051"/>
      <c r="Q648" s="1051"/>
      <c r="R648" s="1052"/>
      <c r="S648" s="1051"/>
      <c r="T648" s="1051"/>
      <c r="U648" s="1052"/>
      <c r="V648" s="1051"/>
      <c r="W648" s="1051"/>
      <c r="X648" s="1052"/>
      <c r="Y648" s="1053"/>
      <c r="Z648" s="1051"/>
      <c r="AA648" s="1051"/>
      <c r="AB648" s="1052"/>
      <c r="AC648" s="1051"/>
      <c r="AD648" s="1051"/>
      <c r="AE648" s="1052"/>
      <c r="AF648" s="1051"/>
      <c r="AG648" s="1051"/>
      <c r="AH648" s="1051"/>
      <c r="AI648" s="1051"/>
      <c r="AJ648" s="1052"/>
      <c r="AK648" s="1051"/>
      <c r="AL648" s="1051"/>
      <c r="AM648" s="1052"/>
      <c r="AN648" s="1051"/>
      <c r="AO648" s="1051"/>
      <c r="AP648" s="1052"/>
      <c r="AQ648" s="1051"/>
      <c r="AR648" s="1051"/>
      <c r="AS648" s="1052"/>
      <c r="AT648" s="1051"/>
      <c r="AU648" s="1051"/>
      <c r="AV648" s="1052"/>
      <c r="AW648" s="1051"/>
      <c r="AX648" s="1051"/>
      <c r="AY648" s="1053"/>
      <c r="AZ648" s="1051"/>
      <c r="BA648" s="1051"/>
      <c r="BB648" s="1053"/>
      <c r="BC648" s="1051"/>
      <c r="BD648" s="1051"/>
      <c r="BE648" s="1053"/>
      <c r="BF648" s="1051"/>
      <c r="BG648" s="1051"/>
      <c r="BH648" s="1053"/>
      <c r="BI648" s="1052"/>
      <c r="BJ648" s="1052"/>
      <c r="BK648" s="1052"/>
      <c r="BL648" s="1052"/>
      <c r="BM648" s="1052"/>
      <c r="BN648" s="1054"/>
      <c r="BO648" s="1076">
        <f t="shared" si="11"/>
        <v>0</v>
      </c>
      <c r="BP648" s="1051"/>
      <c r="BQ648" s="1052"/>
      <c r="BR648" s="1054"/>
      <c r="BS648" s="1053"/>
      <c r="BT648" s="1051"/>
      <c r="BU648" s="1051"/>
      <c r="BV648" s="1051"/>
      <c r="BW648" s="1052"/>
      <c r="BX648" s="1052"/>
      <c r="BY648" s="1052"/>
      <c r="BZ648" s="1052"/>
      <c r="CA648" s="1052"/>
      <c r="CB648" s="1053"/>
      <c r="CC648" s="1053"/>
      <c r="CD648" s="1053"/>
      <c r="CE648" s="1053"/>
      <c r="CF648" s="1053"/>
      <c r="CG648" s="1053"/>
      <c r="CH648" s="1053"/>
      <c r="CI648" s="1123"/>
      <c r="CJ648" s="1123"/>
      <c r="CK648" s="1123"/>
      <c r="CL648" s="1123"/>
      <c r="CM648" s="1123"/>
      <c r="CN648" s="1123"/>
      <c r="CO648" s="1123"/>
      <c r="CP648" s="1123"/>
      <c r="CQ648" s="1123"/>
      <c r="CR648" s="1123"/>
      <c r="CS648" s="1123"/>
      <c r="CT648" s="1123"/>
      <c r="CU648" s="1123"/>
      <c r="CV648" s="1123"/>
      <c r="CW648" s="1123"/>
      <c r="CX648" s="1123"/>
      <c r="CY648" s="1123"/>
      <c r="CZ648" s="1114"/>
      <c r="DA648" s="1114"/>
      <c r="DB648" s="1114"/>
      <c r="DC648" s="1114"/>
      <c r="DD648" s="1114"/>
      <c r="DE648" s="1114"/>
      <c r="DF648" s="1114"/>
      <c r="DG648" s="1114"/>
      <c r="DH648" s="1114"/>
      <c r="DI648" s="1114"/>
      <c r="DJ648" s="1114"/>
      <c r="DK648" s="1114"/>
      <c r="DL648" s="1114"/>
      <c r="DM648" s="1114"/>
      <c r="DN648" s="1114"/>
      <c r="DO648" s="1114"/>
      <c r="DP648" s="1114"/>
      <c r="DQ648" s="1114"/>
      <c r="DR648" s="1114"/>
      <c r="DS648" s="1114"/>
      <c r="DT648" s="1114"/>
      <c r="DU648" s="1114"/>
      <c r="DV648" s="1115"/>
      <c r="DW648" s="1116"/>
      <c r="DX648" s="1116"/>
      <c r="DY648" s="1116"/>
      <c r="DZ648" s="1116"/>
      <c r="EA648" s="1116"/>
      <c r="EB648" s="1116"/>
      <c r="EC648" s="1116"/>
      <c r="ED648" s="1116"/>
      <c r="EE648" s="1116"/>
      <c r="EF648" s="1116"/>
      <c r="EG648" s="1116"/>
      <c r="EH648" s="1116"/>
      <c r="EI648" s="1116"/>
      <c r="EJ648" s="1116"/>
      <c r="EK648" s="1116"/>
      <c r="EL648" s="1116"/>
      <c r="EM648" s="1116"/>
      <c r="EN648" s="1116"/>
      <c r="EO648" s="1116"/>
      <c r="EP648" s="1116"/>
      <c r="EQ648" s="1116"/>
      <c r="ER648" s="1116"/>
      <c r="ES648" s="1116"/>
    </row>
    <row r="649" spans="1:149" ht="15" customHeight="1">
      <c r="A649" s="1185">
        <v>639</v>
      </c>
      <c r="B649" s="1041"/>
      <c r="C649" s="1050"/>
      <c r="D649" s="1050"/>
      <c r="E649" s="1050"/>
      <c r="F649" s="1049"/>
      <c r="G649" s="1049"/>
      <c r="H649" s="1049"/>
      <c r="I649" s="1049"/>
      <c r="J649" s="1050"/>
      <c r="K649" s="1050"/>
      <c r="L649" s="1043"/>
      <c r="M649" s="1051"/>
      <c r="N649" s="1051"/>
      <c r="O649" s="1052"/>
      <c r="P649" s="1051"/>
      <c r="Q649" s="1051"/>
      <c r="R649" s="1052"/>
      <c r="S649" s="1051"/>
      <c r="T649" s="1051"/>
      <c r="U649" s="1052"/>
      <c r="V649" s="1051"/>
      <c r="W649" s="1051"/>
      <c r="X649" s="1052"/>
      <c r="Y649" s="1053"/>
      <c r="Z649" s="1051"/>
      <c r="AA649" s="1051"/>
      <c r="AB649" s="1052"/>
      <c r="AC649" s="1051"/>
      <c r="AD649" s="1051"/>
      <c r="AE649" s="1052"/>
      <c r="AF649" s="1051"/>
      <c r="AG649" s="1051"/>
      <c r="AH649" s="1051"/>
      <c r="AI649" s="1051"/>
      <c r="AJ649" s="1052"/>
      <c r="AK649" s="1051"/>
      <c r="AL649" s="1051"/>
      <c r="AM649" s="1052"/>
      <c r="AN649" s="1051"/>
      <c r="AO649" s="1051"/>
      <c r="AP649" s="1052"/>
      <c r="AQ649" s="1051"/>
      <c r="AR649" s="1051"/>
      <c r="AS649" s="1052"/>
      <c r="AT649" s="1051"/>
      <c r="AU649" s="1051"/>
      <c r="AV649" s="1052"/>
      <c r="AW649" s="1051"/>
      <c r="AX649" s="1051"/>
      <c r="AY649" s="1053"/>
      <c r="AZ649" s="1051"/>
      <c r="BA649" s="1051"/>
      <c r="BB649" s="1053"/>
      <c r="BC649" s="1051"/>
      <c r="BD649" s="1051"/>
      <c r="BE649" s="1053"/>
      <c r="BF649" s="1051"/>
      <c r="BG649" s="1051"/>
      <c r="BH649" s="1053"/>
      <c r="BI649" s="1052"/>
      <c r="BJ649" s="1052"/>
      <c r="BK649" s="1052"/>
      <c r="BL649" s="1052"/>
      <c r="BM649" s="1052"/>
      <c r="BN649" s="1054"/>
      <c r="BO649" s="1076">
        <f t="shared" si="11"/>
        <v>0</v>
      </c>
      <c r="BP649" s="1051"/>
      <c r="BQ649" s="1052"/>
      <c r="BR649" s="1054"/>
      <c r="BS649" s="1053"/>
      <c r="BT649" s="1051"/>
      <c r="BU649" s="1051"/>
      <c r="BV649" s="1051"/>
      <c r="BW649" s="1052"/>
      <c r="BX649" s="1052"/>
      <c r="BY649" s="1052"/>
      <c r="BZ649" s="1052"/>
      <c r="CA649" s="1052"/>
      <c r="CB649" s="1053"/>
      <c r="CC649" s="1053"/>
      <c r="CD649" s="1053"/>
      <c r="CE649" s="1053"/>
      <c r="CF649" s="1053"/>
      <c r="CG649" s="1053"/>
      <c r="CH649" s="1053"/>
      <c r="CI649" s="1123"/>
      <c r="CJ649" s="1123"/>
      <c r="CK649" s="1123"/>
      <c r="CL649" s="1123"/>
      <c r="CM649" s="1123"/>
      <c r="CN649" s="1123"/>
      <c r="CO649" s="1123"/>
      <c r="CP649" s="1123"/>
      <c r="CQ649" s="1123"/>
      <c r="CR649" s="1123"/>
      <c r="CS649" s="1123"/>
      <c r="CT649" s="1123"/>
      <c r="CU649" s="1123"/>
      <c r="CV649" s="1123"/>
      <c r="CW649" s="1123"/>
      <c r="CX649" s="1123"/>
      <c r="CY649" s="1123"/>
      <c r="CZ649" s="1114"/>
      <c r="DA649" s="1114"/>
      <c r="DB649" s="1114"/>
      <c r="DC649" s="1114"/>
      <c r="DD649" s="1114"/>
      <c r="DE649" s="1114"/>
      <c r="DF649" s="1114"/>
      <c r="DG649" s="1114"/>
      <c r="DH649" s="1114"/>
      <c r="DI649" s="1114"/>
      <c r="DJ649" s="1114"/>
      <c r="DK649" s="1114"/>
      <c r="DL649" s="1114"/>
      <c r="DM649" s="1114"/>
      <c r="DN649" s="1114"/>
      <c r="DO649" s="1114"/>
      <c r="DP649" s="1114"/>
      <c r="DQ649" s="1114"/>
      <c r="DR649" s="1114"/>
      <c r="DS649" s="1114"/>
      <c r="DT649" s="1114"/>
      <c r="DU649" s="1114"/>
      <c r="DV649" s="1115"/>
      <c r="DW649" s="1116"/>
      <c r="DX649" s="1116"/>
      <c r="DY649" s="1116"/>
      <c r="DZ649" s="1116"/>
      <c r="EA649" s="1116"/>
      <c r="EB649" s="1116"/>
      <c r="EC649" s="1116"/>
      <c r="ED649" s="1116"/>
      <c r="EE649" s="1116"/>
      <c r="EF649" s="1116"/>
      <c r="EG649" s="1116"/>
      <c r="EH649" s="1116"/>
      <c r="EI649" s="1116"/>
      <c r="EJ649" s="1116"/>
      <c r="EK649" s="1116"/>
      <c r="EL649" s="1116"/>
      <c r="EM649" s="1116"/>
      <c r="EN649" s="1116"/>
      <c r="EO649" s="1116"/>
      <c r="EP649" s="1116"/>
      <c r="EQ649" s="1116"/>
      <c r="ER649" s="1116"/>
      <c r="ES649" s="1116"/>
    </row>
    <row r="650" spans="1:149" ht="15" customHeight="1">
      <c r="A650" s="1185">
        <v>640</v>
      </c>
      <c r="B650" s="1041"/>
      <c r="C650" s="1050"/>
      <c r="D650" s="1050"/>
      <c r="E650" s="1050"/>
      <c r="F650" s="1049"/>
      <c r="G650" s="1049"/>
      <c r="H650" s="1049"/>
      <c r="I650" s="1049"/>
      <c r="J650" s="1050"/>
      <c r="K650" s="1050"/>
      <c r="L650" s="1043"/>
      <c r="M650" s="1051"/>
      <c r="N650" s="1051"/>
      <c r="O650" s="1052"/>
      <c r="P650" s="1051"/>
      <c r="Q650" s="1051"/>
      <c r="R650" s="1052"/>
      <c r="S650" s="1051"/>
      <c r="T650" s="1051"/>
      <c r="U650" s="1052"/>
      <c r="V650" s="1051"/>
      <c r="W650" s="1051"/>
      <c r="X650" s="1052"/>
      <c r="Y650" s="1053"/>
      <c r="Z650" s="1051"/>
      <c r="AA650" s="1051"/>
      <c r="AB650" s="1052"/>
      <c r="AC650" s="1051"/>
      <c r="AD650" s="1051"/>
      <c r="AE650" s="1052"/>
      <c r="AF650" s="1051"/>
      <c r="AG650" s="1051"/>
      <c r="AH650" s="1051"/>
      <c r="AI650" s="1051"/>
      <c r="AJ650" s="1052"/>
      <c r="AK650" s="1051"/>
      <c r="AL650" s="1051"/>
      <c r="AM650" s="1052"/>
      <c r="AN650" s="1051"/>
      <c r="AO650" s="1051"/>
      <c r="AP650" s="1052"/>
      <c r="AQ650" s="1051"/>
      <c r="AR650" s="1051"/>
      <c r="AS650" s="1052"/>
      <c r="AT650" s="1051"/>
      <c r="AU650" s="1051"/>
      <c r="AV650" s="1052"/>
      <c r="AW650" s="1051"/>
      <c r="AX650" s="1051"/>
      <c r="AY650" s="1053"/>
      <c r="AZ650" s="1051"/>
      <c r="BA650" s="1051"/>
      <c r="BB650" s="1053"/>
      <c r="BC650" s="1051"/>
      <c r="BD650" s="1051"/>
      <c r="BE650" s="1053"/>
      <c r="BF650" s="1051"/>
      <c r="BG650" s="1051"/>
      <c r="BH650" s="1053"/>
      <c r="BI650" s="1052"/>
      <c r="BJ650" s="1052"/>
      <c r="BK650" s="1052"/>
      <c r="BL650" s="1052"/>
      <c r="BM650" s="1052"/>
      <c r="BN650" s="1054"/>
      <c r="BO650" s="1076">
        <f t="shared" si="11"/>
        <v>0</v>
      </c>
      <c r="BP650" s="1051"/>
      <c r="BQ650" s="1052"/>
      <c r="BR650" s="1054"/>
      <c r="BS650" s="1053"/>
      <c r="BT650" s="1051"/>
      <c r="BU650" s="1051"/>
      <c r="BV650" s="1051"/>
      <c r="BW650" s="1052"/>
      <c r="BX650" s="1052"/>
      <c r="BY650" s="1052"/>
      <c r="BZ650" s="1052"/>
      <c r="CA650" s="1052"/>
      <c r="CB650" s="1053"/>
      <c r="CC650" s="1053"/>
      <c r="CD650" s="1053"/>
      <c r="CE650" s="1053"/>
      <c r="CF650" s="1053"/>
      <c r="CG650" s="1053"/>
      <c r="CH650" s="1053"/>
      <c r="CI650" s="1123"/>
      <c r="CJ650" s="1123"/>
      <c r="CK650" s="1123"/>
      <c r="CL650" s="1123"/>
      <c r="CM650" s="1123"/>
      <c r="CN650" s="1123"/>
      <c r="CO650" s="1123"/>
      <c r="CP650" s="1123"/>
      <c r="CQ650" s="1123"/>
      <c r="CR650" s="1123"/>
      <c r="CS650" s="1123"/>
      <c r="CT650" s="1123"/>
      <c r="CU650" s="1123"/>
      <c r="CV650" s="1123"/>
      <c r="CW650" s="1123"/>
      <c r="CX650" s="1123"/>
      <c r="CY650" s="1123"/>
      <c r="CZ650" s="1114"/>
      <c r="DA650" s="1114"/>
      <c r="DB650" s="1114"/>
      <c r="DC650" s="1114"/>
      <c r="DD650" s="1114"/>
      <c r="DE650" s="1114"/>
      <c r="DF650" s="1114"/>
      <c r="DG650" s="1114"/>
      <c r="DH650" s="1114"/>
      <c r="DI650" s="1114"/>
      <c r="DJ650" s="1114"/>
      <c r="DK650" s="1114"/>
      <c r="DL650" s="1114"/>
      <c r="DM650" s="1114"/>
      <c r="DN650" s="1114"/>
      <c r="DO650" s="1114"/>
      <c r="DP650" s="1114"/>
      <c r="DQ650" s="1114"/>
      <c r="DR650" s="1114"/>
      <c r="DS650" s="1114"/>
      <c r="DT650" s="1114"/>
      <c r="DU650" s="1114"/>
      <c r="DV650" s="1115"/>
      <c r="DW650" s="1116"/>
      <c r="DX650" s="1116"/>
      <c r="DY650" s="1116"/>
      <c r="DZ650" s="1116"/>
      <c r="EA650" s="1116"/>
      <c r="EB650" s="1116"/>
      <c r="EC650" s="1116"/>
      <c r="ED650" s="1116"/>
      <c r="EE650" s="1116"/>
      <c r="EF650" s="1116"/>
      <c r="EG650" s="1116"/>
      <c r="EH650" s="1116"/>
      <c r="EI650" s="1116"/>
      <c r="EJ650" s="1116"/>
      <c r="EK650" s="1116"/>
      <c r="EL650" s="1116"/>
      <c r="EM650" s="1116"/>
      <c r="EN650" s="1116"/>
      <c r="EO650" s="1116"/>
      <c r="EP650" s="1116"/>
      <c r="EQ650" s="1116"/>
      <c r="ER650" s="1116"/>
      <c r="ES650" s="1116"/>
    </row>
    <row r="651" spans="1:149" ht="15" customHeight="1">
      <c r="A651" s="1185">
        <v>641</v>
      </c>
      <c r="B651" s="1041"/>
      <c r="C651" s="1050"/>
      <c r="D651" s="1050"/>
      <c r="E651" s="1050"/>
      <c r="F651" s="1049"/>
      <c r="G651" s="1049"/>
      <c r="H651" s="1049"/>
      <c r="I651" s="1049"/>
      <c r="J651" s="1050"/>
      <c r="K651" s="1050"/>
      <c r="L651" s="1043"/>
      <c r="M651" s="1051"/>
      <c r="N651" s="1051"/>
      <c r="O651" s="1052"/>
      <c r="P651" s="1051"/>
      <c r="Q651" s="1051"/>
      <c r="R651" s="1052"/>
      <c r="S651" s="1051"/>
      <c r="T651" s="1051"/>
      <c r="U651" s="1052"/>
      <c r="V651" s="1051"/>
      <c r="W651" s="1051"/>
      <c r="X651" s="1052"/>
      <c r="Y651" s="1053"/>
      <c r="Z651" s="1051"/>
      <c r="AA651" s="1051"/>
      <c r="AB651" s="1052"/>
      <c r="AC651" s="1051"/>
      <c r="AD651" s="1051"/>
      <c r="AE651" s="1052"/>
      <c r="AF651" s="1051"/>
      <c r="AG651" s="1051"/>
      <c r="AH651" s="1051"/>
      <c r="AI651" s="1051"/>
      <c r="AJ651" s="1052"/>
      <c r="AK651" s="1051"/>
      <c r="AL651" s="1051"/>
      <c r="AM651" s="1052"/>
      <c r="AN651" s="1051"/>
      <c r="AO651" s="1051"/>
      <c r="AP651" s="1052"/>
      <c r="AQ651" s="1051"/>
      <c r="AR651" s="1051"/>
      <c r="AS651" s="1052"/>
      <c r="AT651" s="1051"/>
      <c r="AU651" s="1051"/>
      <c r="AV651" s="1052"/>
      <c r="AW651" s="1051"/>
      <c r="AX651" s="1051"/>
      <c r="AY651" s="1053"/>
      <c r="AZ651" s="1051"/>
      <c r="BA651" s="1051"/>
      <c r="BB651" s="1053"/>
      <c r="BC651" s="1051"/>
      <c r="BD651" s="1051"/>
      <c r="BE651" s="1053"/>
      <c r="BF651" s="1051"/>
      <c r="BG651" s="1051"/>
      <c r="BH651" s="1053"/>
      <c r="BI651" s="1052"/>
      <c r="BJ651" s="1052"/>
      <c r="BK651" s="1052"/>
      <c r="BL651" s="1052"/>
      <c r="BM651" s="1052"/>
      <c r="BN651" s="1054"/>
      <c r="BO651" s="1076">
        <f t="shared" si="11"/>
        <v>0</v>
      </c>
      <c r="BP651" s="1051"/>
      <c r="BQ651" s="1052"/>
      <c r="BR651" s="1054"/>
      <c r="BS651" s="1053"/>
      <c r="BT651" s="1051"/>
      <c r="BU651" s="1051"/>
      <c r="BV651" s="1051"/>
      <c r="BW651" s="1052"/>
      <c r="BX651" s="1052"/>
      <c r="BY651" s="1052"/>
      <c r="BZ651" s="1052"/>
      <c r="CA651" s="1052"/>
      <c r="CB651" s="1053"/>
      <c r="CC651" s="1053"/>
      <c r="CD651" s="1053"/>
      <c r="CE651" s="1053"/>
      <c r="CF651" s="1053"/>
      <c r="CG651" s="1053"/>
      <c r="CH651" s="1053"/>
      <c r="CI651" s="1123"/>
      <c r="CJ651" s="1123"/>
      <c r="CK651" s="1123"/>
      <c r="CL651" s="1123"/>
      <c r="CM651" s="1123"/>
      <c r="CN651" s="1123"/>
      <c r="CO651" s="1123"/>
      <c r="CP651" s="1123"/>
      <c r="CQ651" s="1123"/>
      <c r="CR651" s="1123"/>
      <c r="CS651" s="1123"/>
      <c r="CT651" s="1123"/>
      <c r="CU651" s="1123"/>
      <c r="CV651" s="1123"/>
      <c r="CW651" s="1123"/>
      <c r="CX651" s="1123"/>
      <c r="CY651" s="1123"/>
      <c r="CZ651" s="1114"/>
      <c r="DA651" s="1114"/>
      <c r="DB651" s="1114"/>
      <c r="DC651" s="1114"/>
      <c r="DD651" s="1114"/>
      <c r="DE651" s="1114"/>
      <c r="DF651" s="1114"/>
      <c r="DG651" s="1114"/>
      <c r="DH651" s="1114"/>
      <c r="DI651" s="1114"/>
      <c r="DJ651" s="1114"/>
      <c r="DK651" s="1114"/>
      <c r="DL651" s="1114"/>
      <c r="DM651" s="1114"/>
      <c r="DN651" s="1114"/>
      <c r="DO651" s="1114"/>
      <c r="DP651" s="1114"/>
      <c r="DQ651" s="1114"/>
      <c r="DR651" s="1114"/>
      <c r="DS651" s="1114"/>
      <c r="DT651" s="1114"/>
      <c r="DU651" s="1114"/>
      <c r="DV651" s="1115"/>
      <c r="DW651" s="1116"/>
      <c r="DX651" s="1116"/>
      <c r="DY651" s="1116"/>
      <c r="DZ651" s="1116"/>
      <c r="EA651" s="1116"/>
      <c r="EB651" s="1116"/>
      <c r="EC651" s="1116"/>
      <c r="ED651" s="1116"/>
      <c r="EE651" s="1116"/>
      <c r="EF651" s="1116"/>
      <c r="EG651" s="1116"/>
      <c r="EH651" s="1116"/>
      <c r="EI651" s="1116"/>
      <c r="EJ651" s="1116"/>
      <c r="EK651" s="1116"/>
      <c r="EL651" s="1116"/>
      <c r="EM651" s="1116"/>
      <c r="EN651" s="1116"/>
      <c r="EO651" s="1116"/>
      <c r="EP651" s="1116"/>
      <c r="EQ651" s="1116"/>
      <c r="ER651" s="1116"/>
      <c r="ES651" s="1116"/>
    </row>
    <row r="652" spans="1:149" ht="15" customHeight="1">
      <c r="A652" s="1185">
        <v>642</v>
      </c>
      <c r="B652" s="1041"/>
      <c r="C652" s="1050"/>
      <c r="D652" s="1050"/>
      <c r="E652" s="1050"/>
      <c r="F652" s="1049"/>
      <c r="G652" s="1049"/>
      <c r="H652" s="1049"/>
      <c r="I652" s="1049"/>
      <c r="J652" s="1050"/>
      <c r="K652" s="1050"/>
      <c r="L652" s="1043"/>
      <c r="M652" s="1051"/>
      <c r="N652" s="1051"/>
      <c r="O652" s="1052"/>
      <c r="P652" s="1051"/>
      <c r="Q652" s="1051"/>
      <c r="R652" s="1052"/>
      <c r="S652" s="1051"/>
      <c r="T652" s="1051"/>
      <c r="U652" s="1052"/>
      <c r="V652" s="1051"/>
      <c r="W652" s="1051"/>
      <c r="X652" s="1052"/>
      <c r="Y652" s="1053"/>
      <c r="Z652" s="1051"/>
      <c r="AA652" s="1051"/>
      <c r="AB652" s="1052"/>
      <c r="AC652" s="1051"/>
      <c r="AD652" s="1051"/>
      <c r="AE652" s="1052"/>
      <c r="AF652" s="1051"/>
      <c r="AG652" s="1051"/>
      <c r="AH652" s="1051"/>
      <c r="AI652" s="1051"/>
      <c r="AJ652" s="1052"/>
      <c r="AK652" s="1051"/>
      <c r="AL652" s="1051"/>
      <c r="AM652" s="1052"/>
      <c r="AN652" s="1051"/>
      <c r="AO652" s="1051"/>
      <c r="AP652" s="1052"/>
      <c r="AQ652" s="1051"/>
      <c r="AR652" s="1051"/>
      <c r="AS652" s="1052"/>
      <c r="AT652" s="1051"/>
      <c r="AU652" s="1051"/>
      <c r="AV652" s="1052"/>
      <c r="AW652" s="1051"/>
      <c r="AX652" s="1051"/>
      <c r="AY652" s="1053"/>
      <c r="AZ652" s="1051"/>
      <c r="BA652" s="1051"/>
      <c r="BB652" s="1053"/>
      <c r="BC652" s="1051"/>
      <c r="BD652" s="1051"/>
      <c r="BE652" s="1053"/>
      <c r="BF652" s="1051"/>
      <c r="BG652" s="1051"/>
      <c r="BH652" s="1053"/>
      <c r="BI652" s="1052"/>
      <c r="BJ652" s="1052"/>
      <c r="BK652" s="1052"/>
      <c r="BL652" s="1052"/>
      <c r="BM652" s="1052"/>
      <c r="BN652" s="1054"/>
      <c r="BO652" s="1076">
        <f t="shared" si="11"/>
        <v>0</v>
      </c>
      <c r="BP652" s="1051"/>
      <c r="BQ652" s="1052"/>
      <c r="BR652" s="1054"/>
      <c r="BS652" s="1053"/>
      <c r="BT652" s="1051"/>
      <c r="BU652" s="1051"/>
      <c r="BV652" s="1051"/>
      <c r="BW652" s="1052"/>
      <c r="BX652" s="1052"/>
      <c r="BY652" s="1052"/>
      <c r="BZ652" s="1052"/>
      <c r="CA652" s="1052"/>
      <c r="CB652" s="1053"/>
      <c r="CC652" s="1053"/>
      <c r="CD652" s="1053"/>
      <c r="CE652" s="1053"/>
      <c r="CF652" s="1053"/>
      <c r="CG652" s="1053"/>
      <c r="CH652" s="1053"/>
      <c r="CI652" s="1123"/>
      <c r="CJ652" s="1123"/>
      <c r="CK652" s="1123"/>
      <c r="CL652" s="1123"/>
      <c r="CM652" s="1123"/>
      <c r="CN652" s="1123"/>
      <c r="CO652" s="1123"/>
      <c r="CP652" s="1123"/>
      <c r="CQ652" s="1123"/>
      <c r="CR652" s="1123"/>
      <c r="CS652" s="1123"/>
      <c r="CT652" s="1123"/>
      <c r="CU652" s="1123"/>
      <c r="CV652" s="1123"/>
      <c r="CW652" s="1123"/>
      <c r="CX652" s="1123"/>
      <c r="CY652" s="1123"/>
      <c r="CZ652" s="1114"/>
      <c r="DA652" s="1114"/>
      <c r="DB652" s="1114"/>
      <c r="DC652" s="1114"/>
      <c r="DD652" s="1114"/>
      <c r="DE652" s="1114"/>
      <c r="DF652" s="1114"/>
      <c r="DG652" s="1114"/>
      <c r="DH652" s="1114"/>
      <c r="DI652" s="1114"/>
      <c r="DJ652" s="1114"/>
      <c r="DK652" s="1114"/>
      <c r="DL652" s="1114"/>
      <c r="DM652" s="1114"/>
      <c r="DN652" s="1114"/>
      <c r="DO652" s="1114"/>
      <c r="DP652" s="1114"/>
      <c r="DQ652" s="1114"/>
      <c r="DR652" s="1114"/>
      <c r="DS652" s="1114"/>
      <c r="DT652" s="1114"/>
      <c r="DU652" s="1114"/>
      <c r="DV652" s="1115"/>
      <c r="DW652" s="1116"/>
      <c r="DX652" s="1116"/>
      <c r="DY652" s="1116"/>
      <c r="DZ652" s="1116"/>
      <c r="EA652" s="1116"/>
      <c r="EB652" s="1116"/>
      <c r="EC652" s="1116"/>
      <c r="ED652" s="1116"/>
      <c r="EE652" s="1116"/>
      <c r="EF652" s="1116"/>
      <c r="EG652" s="1116"/>
      <c r="EH652" s="1116"/>
      <c r="EI652" s="1116"/>
      <c r="EJ652" s="1116"/>
      <c r="EK652" s="1116"/>
      <c r="EL652" s="1116"/>
      <c r="EM652" s="1116"/>
      <c r="EN652" s="1116"/>
      <c r="EO652" s="1116"/>
      <c r="EP652" s="1116"/>
      <c r="EQ652" s="1116"/>
      <c r="ER652" s="1116"/>
      <c r="ES652" s="1116"/>
    </row>
    <row r="653" spans="1:149" ht="15" customHeight="1">
      <c r="A653" s="1185">
        <v>643</v>
      </c>
      <c r="B653" s="1041"/>
      <c r="C653" s="1050"/>
      <c r="D653" s="1050"/>
      <c r="E653" s="1050"/>
      <c r="F653" s="1049"/>
      <c r="G653" s="1049"/>
      <c r="H653" s="1049"/>
      <c r="I653" s="1049"/>
      <c r="J653" s="1050"/>
      <c r="K653" s="1050"/>
      <c r="L653" s="1043"/>
      <c r="M653" s="1051"/>
      <c r="N653" s="1051"/>
      <c r="O653" s="1052"/>
      <c r="P653" s="1051"/>
      <c r="Q653" s="1051"/>
      <c r="R653" s="1052"/>
      <c r="S653" s="1051"/>
      <c r="T653" s="1051"/>
      <c r="U653" s="1052"/>
      <c r="V653" s="1051"/>
      <c r="W653" s="1051"/>
      <c r="X653" s="1052"/>
      <c r="Y653" s="1053"/>
      <c r="Z653" s="1051"/>
      <c r="AA653" s="1051"/>
      <c r="AB653" s="1052"/>
      <c r="AC653" s="1051"/>
      <c r="AD653" s="1051"/>
      <c r="AE653" s="1052"/>
      <c r="AF653" s="1051"/>
      <c r="AG653" s="1051"/>
      <c r="AH653" s="1051"/>
      <c r="AI653" s="1051"/>
      <c r="AJ653" s="1052"/>
      <c r="AK653" s="1051"/>
      <c r="AL653" s="1051"/>
      <c r="AM653" s="1052"/>
      <c r="AN653" s="1051"/>
      <c r="AO653" s="1051"/>
      <c r="AP653" s="1052"/>
      <c r="AQ653" s="1051"/>
      <c r="AR653" s="1051"/>
      <c r="AS653" s="1052"/>
      <c r="AT653" s="1051"/>
      <c r="AU653" s="1051"/>
      <c r="AV653" s="1052"/>
      <c r="AW653" s="1051"/>
      <c r="AX653" s="1051"/>
      <c r="AY653" s="1053"/>
      <c r="AZ653" s="1051"/>
      <c r="BA653" s="1051"/>
      <c r="BB653" s="1053"/>
      <c r="BC653" s="1051"/>
      <c r="BD653" s="1051"/>
      <c r="BE653" s="1053"/>
      <c r="BF653" s="1051"/>
      <c r="BG653" s="1051"/>
      <c r="BH653" s="1053"/>
      <c r="BI653" s="1052"/>
      <c r="BJ653" s="1052"/>
      <c r="BK653" s="1052"/>
      <c r="BL653" s="1052"/>
      <c r="BM653" s="1052"/>
      <c r="BN653" s="1054"/>
      <c r="BO653" s="1076">
        <f t="shared" si="11"/>
        <v>0</v>
      </c>
      <c r="BP653" s="1051"/>
      <c r="BQ653" s="1052"/>
      <c r="BR653" s="1054"/>
      <c r="BS653" s="1053"/>
      <c r="BT653" s="1051"/>
      <c r="BU653" s="1051"/>
      <c r="BV653" s="1051"/>
      <c r="BW653" s="1052"/>
      <c r="BX653" s="1052"/>
      <c r="BY653" s="1052"/>
      <c r="BZ653" s="1052"/>
      <c r="CA653" s="1052"/>
      <c r="CB653" s="1053"/>
      <c r="CC653" s="1053"/>
      <c r="CD653" s="1053"/>
      <c r="CE653" s="1053"/>
      <c r="CF653" s="1053"/>
      <c r="CG653" s="1053"/>
      <c r="CH653" s="1053"/>
      <c r="CI653" s="1123"/>
      <c r="CJ653" s="1123"/>
      <c r="CK653" s="1123"/>
      <c r="CL653" s="1123"/>
      <c r="CM653" s="1123"/>
      <c r="CN653" s="1123"/>
      <c r="CO653" s="1123"/>
      <c r="CP653" s="1123"/>
      <c r="CQ653" s="1123"/>
      <c r="CR653" s="1123"/>
      <c r="CS653" s="1123"/>
      <c r="CT653" s="1123"/>
      <c r="CU653" s="1123"/>
      <c r="CV653" s="1123"/>
      <c r="CW653" s="1123"/>
      <c r="CX653" s="1123"/>
      <c r="CY653" s="1123"/>
      <c r="CZ653" s="1114"/>
      <c r="DA653" s="1114"/>
      <c r="DB653" s="1114"/>
      <c r="DC653" s="1114"/>
      <c r="DD653" s="1114"/>
      <c r="DE653" s="1114"/>
      <c r="DF653" s="1114"/>
      <c r="DG653" s="1114"/>
      <c r="DH653" s="1114"/>
      <c r="DI653" s="1114"/>
      <c r="DJ653" s="1114"/>
      <c r="DK653" s="1114"/>
      <c r="DL653" s="1114"/>
      <c r="DM653" s="1114"/>
      <c r="DN653" s="1114"/>
      <c r="DO653" s="1114"/>
      <c r="DP653" s="1114"/>
      <c r="DQ653" s="1114"/>
      <c r="DR653" s="1114"/>
      <c r="DS653" s="1114"/>
      <c r="DT653" s="1114"/>
      <c r="DU653" s="1114"/>
      <c r="DV653" s="1115"/>
      <c r="DW653" s="1116"/>
      <c r="DX653" s="1116"/>
      <c r="DY653" s="1116"/>
      <c r="DZ653" s="1116"/>
      <c r="EA653" s="1116"/>
      <c r="EB653" s="1116"/>
      <c r="EC653" s="1116"/>
      <c r="ED653" s="1116"/>
      <c r="EE653" s="1116"/>
      <c r="EF653" s="1116"/>
      <c r="EG653" s="1116"/>
      <c r="EH653" s="1116"/>
      <c r="EI653" s="1116"/>
      <c r="EJ653" s="1116"/>
      <c r="EK653" s="1116"/>
      <c r="EL653" s="1116"/>
      <c r="EM653" s="1116"/>
      <c r="EN653" s="1116"/>
      <c r="EO653" s="1116"/>
      <c r="EP653" s="1116"/>
      <c r="EQ653" s="1116"/>
      <c r="ER653" s="1116"/>
      <c r="ES653" s="1116"/>
    </row>
    <row r="654" spans="1:149" ht="15" customHeight="1">
      <c r="A654" s="1185">
        <v>644</v>
      </c>
      <c r="B654" s="1041"/>
      <c r="C654" s="1050"/>
      <c r="D654" s="1050"/>
      <c r="E654" s="1050"/>
      <c r="F654" s="1049"/>
      <c r="G654" s="1049"/>
      <c r="H654" s="1049"/>
      <c r="I654" s="1049"/>
      <c r="J654" s="1050"/>
      <c r="K654" s="1050"/>
      <c r="L654" s="1043"/>
      <c r="M654" s="1051"/>
      <c r="N654" s="1051"/>
      <c r="O654" s="1052"/>
      <c r="P654" s="1051"/>
      <c r="Q654" s="1051"/>
      <c r="R654" s="1052"/>
      <c r="S654" s="1051"/>
      <c r="T654" s="1051"/>
      <c r="U654" s="1052"/>
      <c r="V654" s="1051"/>
      <c r="W654" s="1051"/>
      <c r="X654" s="1052"/>
      <c r="Y654" s="1053"/>
      <c r="Z654" s="1051"/>
      <c r="AA654" s="1051"/>
      <c r="AB654" s="1052"/>
      <c r="AC654" s="1051"/>
      <c r="AD654" s="1051"/>
      <c r="AE654" s="1052"/>
      <c r="AF654" s="1051"/>
      <c r="AG654" s="1051"/>
      <c r="AH654" s="1051"/>
      <c r="AI654" s="1051"/>
      <c r="AJ654" s="1052"/>
      <c r="AK654" s="1051"/>
      <c r="AL654" s="1051"/>
      <c r="AM654" s="1052"/>
      <c r="AN654" s="1051"/>
      <c r="AO654" s="1051"/>
      <c r="AP654" s="1052"/>
      <c r="AQ654" s="1051"/>
      <c r="AR654" s="1051"/>
      <c r="AS654" s="1052"/>
      <c r="AT654" s="1051"/>
      <c r="AU654" s="1051"/>
      <c r="AV654" s="1052"/>
      <c r="AW654" s="1051"/>
      <c r="AX654" s="1051"/>
      <c r="AY654" s="1053"/>
      <c r="AZ654" s="1051"/>
      <c r="BA654" s="1051"/>
      <c r="BB654" s="1053"/>
      <c r="BC654" s="1051"/>
      <c r="BD654" s="1051"/>
      <c r="BE654" s="1053"/>
      <c r="BF654" s="1051"/>
      <c r="BG654" s="1051"/>
      <c r="BH654" s="1053"/>
      <c r="BI654" s="1052"/>
      <c r="BJ654" s="1052"/>
      <c r="BK654" s="1052"/>
      <c r="BL654" s="1052"/>
      <c r="BM654" s="1052"/>
      <c r="BN654" s="1054"/>
      <c r="BO654" s="1076">
        <f t="shared" si="11"/>
        <v>0</v>
      </c>
      <c r="BP654" s="1051"/>
      <c r="BQ654" s="1052"/>
      <c r="BR654" s="1054"/>
      <c r="BS654" s="1053"/>
      <c r="BT654" s="1051"/>
      <c r="BU654" s="1051"/>
      <c r="BV654" s="1051"/>
      <c r="BW654" s="1052"/>
      <c r="BX654" s="1052"/>
      <c r="BY654" s="1052"/>
      <c r="BZ654" s="1052"/>
      <c r="CA654" s="1052"/>
      <c r="CB654" s="1053"/>
      <c r="CC654" s="1053"/>
      <c r="CD654" s="1053"/>
      <c r="CE654" s="1053"/>
      <c r="CF654" s="1053"/>
      <c r="CG654" s="1053"/>
      <c r="CH654" s="1053"/>
      <c r="CI654" s="1123"/>
      <c r="CJ654" s="1123"/>
      <c r="CK654" s="1123"/>
      <c r="CL654" s="1123"/>
      <c r="CM654" s="1123"/>
      <c r="CN654" s="1123"/>
      <c r="CO654" s="1123"/>
      <c r="CP654" s="1123"/>
      <c r="CQ654" s="1123"/>
      <c r="CR654" s="1123"/>
      <c r="CS654" s="1123"/>
      <c r="CT654" s="1123"/>
      <c r="CU654" s="1123"/>
      <c r="CV654" s="1123"/>
      <c r="CW654" s="1123"/>
      <c r="CX654" s="1123"/>
      <c r="CY654" s="1123"/>
      <c r="CZ654" s="1114"/>
      <c r="DA654" s="1114"/>
      <c r="DB654" s="1114"/>
      <c r="DC654" s="1114"/>
      <c r="DD654" s="1114"/>
      <c r="DE654" s="1114"/>
      <c r="DF654" s="1114"/>
      <c r="DG654" s="1114"/>
      <c r="DH654" s="1114"/>
      <c r="DI654" s="1114"/>
      <c r="DJ654" s="1114"/>
      <c r="DK654" s="1114"/>
      <c r="DL654" s="1114"/>
      <c r="DM654" s="1114"/>
      <c r="DN654" s="1114"/>
      <c r="DO654" s="1114"/>
      <c r="DP654" s="1114"/>
      <c r="DQ654" s="1114"/>
      <c r="DR654" s="1114"/>
      <c r="DS654" s="1114"/>
      <c r="DT654" s="1114"/>
      <c r="DU654" s="1114"/>
      <c r="DV654" s="1115"/>
      <c r="DW654" s="1116"/>
      <c r="DX654" s="1116"/>
      <c r="DY654" s="1116"/>
      <c r="DZ654" s="1116"/>
      <c r="EA654" s="1116"/>
      <c r="EB654" s="1116"/>
      <c r="EC654" s="1116"/>
      <c r="ED654" s="1116"/>
      <c r="EE654" s="1116"/>
      <c r="EF654" s="1116"/>
      <c r="EG654" s="1116"/>
      <c r="EH654" s="1116"/>
      <c r="EI654" s="1116"/>
      <c r="EJ654" s="1116"/>
      <c r="EK654" s="1116"/>
      <c r="EL654" s="1116"/>
      <c r="EM654" s="1116"/>
      <c r="EN654" s="1116"/>
      <c r="EO654" s="1116"/>
      <c r="EP654" s="1116"/>
      <c r="EQ654" s="1116"/>
      <c r="ER654" s="1116"/>
      <c r="ES654" s="1116"/>
    </row>
    <row r="655" spans="1:149" ht="15" customHeight="1">
      <c r="A655" s="1185">
        <v>645</v>
      </c>
      <c r="B655" s="1041"/>
      <c r="C655" s="1050"/>
      <c r="D655" s="1050"/>
      <c r="E655" s="1050"/>
      <c r="F655" s="1049"/>
      <c r="G655" s="1049"/>
      <c r="H655" s="1049"/>
      <c r="I655" s="1049"/>
      <c r="J655" s="1050"/>
      <c r="K655" s="1050"/>
      <c r="L655" s="1043"/>
      <c r="M655" s="1051"/>
      <c r="N655" s="1051"/>
      <c r="O655" s="1052"/>
      <c r="P655" s="1051"/>
      <c r="Q655" s="1051"/>
      <c r="R655" s="1052"/>
      <c r="S655" s="1051"/>
      <c r="T655" s="1051"/>
      <c r="U655" s="1052"/>
      <c r="V655" s="1051"/>
      <c r="W655" s="1051"/>
      <c r="X655" s="1052"/>
      <c r="Y655" s="1053"/>
      <c r="Z655" s="1051"/>
      <c r="AA655" s="1051"/>
      <c r="AB655" s="1052"/>
      <c r="AC655" s="1051"/>
      <c r="AD655" s="1051"/>
      <c r="AE655" s="1052"/>
      <c r="AF655" s="1051"/>
      <c r="AG655" s="1051"/>
      <c r="AH655" s="1051"/>
      <c r="AI655" s="1051"/>
      <c r="AJ655" s="1052"/>
      <c r="AK655" s="1051"/>
      <c r="AL655" s="1051"/>
      <c r="AM655" s="1052"/>
      <c r="AN655" s="1051"/>
      <c r="AO655" s="1051"/>
      <c r="AP655" s="1052"/>
      <c r="AQ655" s="1051"/>
      <c r="AR655" s="1051"/>
      <c r="AS655" s="1052"/>
      <c r="AT655" s="1051"/>
      <c r="AU655" s="1051"/>
      <c r="AV655" s="1052"/>
      <c r="AW655" s="1051"/>
      <c r="AX655" s="1051"/>
      <c r="AY655" s="1053"/>
      <c r="AZ655" s="1051"/>
      <c r="BA655" s="1051"/>
      <c r="BB655" s="1053"/>
      <c r="BC655" s="1051"/>
      <c r="BD655" s="1051"/>
      <c r="BE655" s="1053"/>
      <c r="BF655" s="1051"/>
      <c r="BG655" s="1051"/>
      <c r="BH655" s="1053"/>
      <c r="BI655" s="1052"/>
      <c r="BJ655" s="1052"/>
      <c r="BK655" s="1052"/>
      <c r="BL655" s="1052"/>
      <c r="BM655" s="1052"/>
      <c r="BN655" s="1054"/>
      <c r="BO655" s="1076">
        <f t="shared" si="11"/>
        <v>0</v>
      </c>
      <c r="BP655" s="1051"/>
      <c r="BQ655" s="1052"/>
      <c r="BR655" s="1054"/>
      <c r="BS655" s="1053"/>
      <c r="BT655" s="1051"/>
      <c r="BU655" s="1051"/>
      <c r="BV655" s="1051"/>
      <c r="BW655" s="1052"/>
      <c r="BX655" s="1052"/>
      <c r="BY655" s="1052"/>
      <c r="BZ655" s="1052"/>
      <c r="CA655" s="1052"/>
      <c r="CB655" s="1053"/>
      <c r="CC655" s="1053"/>
      <c r="CD655" s="1053"/>
      <c r="CE655" s="1053"/>
      <c r="CF655" s="1053"/>
      <c r="CG655" s="1053"/>
      <c r="CH655" s="1053"/>
      <c r="CI655" s="1123"/>
      <c r="CJ655" s="1123"/>
      <c r="CK655" s="1123"/>
      <c r="CL655" s="1123"/>
      <c r="CM655" s="1123"/>
      <c r="CN655" s="1123"/>
      <c r="CO655" s="1123"/>
      <c r="CP655" s="1123"/>
      <c r="CQ655" s="1123"/>
      <c r="CR655" s="1123"/>
      <c r="CS655" s="1123"/>
      <c r="CT655" s="1123"/>
      <c r="CU655" s="1123"/>
      <c r="CV655" s="1123"/>
      <c r="CW655" s="1123"/>
      <c r="CX655" s="1123"/>
      <c r="CY655" s="1123"/>
      <c r="CZ655" s="1114"/>
      <c r="DA655" s="1114"/>
      <c r="DB655" s="1114"/>
      <c r="DC655" s="1114"/>
      <c r="DD655" s="1114"/>
      <c r="DE655" s="1114"/>
      <c r="DF655" s="1114"/>
      <c r="DG655" s="1114"/>
      <c r="DH655" s="1114"/>
      <c r="DI655" s="1114"/>
      <c r="DJ655" s="1114"/>
      <c r="DK655" s="1114"/>
      <c r="DL655" s="1114"/>
      <c r="DM655" s="1114"/>
      <c r="DN655" s="1114"/>
      <c r="DO655" s="1114"/>
      <c r="DP655" s="1114"/>
      <c r="DQ655" s="1114"/>
      <c r="DR655" s="1114"/>
      <c r="DS655" s="1114"/>
      <c r="DT655" s="1114"/>
      <c r="DU655" s="1114"/>
      <c r="DV655" s="1115"/>
      <c r="DW655" s="1116"/>
      <c r="DX655" s="1116"/>
      <c r="DY655" s="1116"/>
      <c r="DZ655" s="1116"/>
      <c r="EA655" s="1116"/>
      <c r="EB655" s="1116"/>
      <c r="EC655" s="1116"/>
      <c r="ED655" s="1116"/>
      <c r="EE655" s="1116"/>
      <c r="EF655" s="1116"/>
      <c r="EG655" s="1116"/>
      <c r="EH655" s="1116"/>
      <c r="EI655" s="1116"/>
      <c r="EJ655" s="1116"/>
      <c r="EK655" s="1116"/>
      <c r="EL655" s="1116"/>
      <c r="EM655" s="1116"/>
      <c r="EN655" s="1116"/>
      <c r="EO655" s="1116"/>
      <c r="EP655" s="1116"/>
      <c r="EQ655" s="1116"/>
      <c r="ER655" s="1116"/>
      <c r="ES655" s="1116"/>
    </row>
    <row r="656" spans="1:149" ht="15" customHeight="1">
      <c r="A656" s="1185">
        <v>646</v>
      </c>
      <c r="B656" s="1041"/>
      <c r="C656" s="1050"/>
      <c r="D656" s="1050"/>
      <c r="E656" s="1050"/>
      <c r="F656" s="1049"/>
      <c r="G656" s="1049"/>
      <c r="H656" s="1049"/>
      <c r="I656" s="1049"/>
      <c r="J656" s="1050"/>
      <c r="K656" s="1050"/>
      <c r="L656" s="1043"/>
      <c r="M656" s="1051"/>
      <c r="N656" s="1051"/>
      <c r="O656" s="1052"/>
      <c r="P656" s="1051"/>
      <c r="Q656" s="1051"/>
      <c r="R656" s="1052"/>
      <c r="S656" s="1051"/>
      <c r="T656" s="1051"/>
      <c r="U656" s="1052"/>
      <c r="V656" s="1051"/>
      <c r="W656" s="1051"/>
      <c r="X656" s="1052"/>
      <c r="Y656" s="1053"/>
      <c r="Z656" s="1051"/>
      <c r="AA656" s="1051"/>
      <c r="AB656" s="1052"/>
      <c r="AC656" s="1051"/>
      <c r="AD656" s="1051"/>
      <c r="AE656" s="1052"/>
      <c r="AF656" s="1051"/>
      <c r="AG656" s="1051"/>
      <c r="AH656" s="1051"/>
      <c r="AI656" s="1051"/>
      <c r="AJ656" s="1052"/>
      <c r="AK656" s="1051"/>
      <c r="AL656" s="1051"/>
      <c r="AM656" s="1052"/>
      <c r="AN656" s="1051"/>
      <c r="AO656" s="1051"/>
      <c r="AP656" s="1052"/>
      <c r="AQ656" s="1051"/>
      <c r="AR656" s="1051"/>
      <c r="AS656" s="1052"/>
      <c r="AT656" s="1051"/>
      <c r="AU656" s="1051"/>
      <c r="AV656" s="1052"/>
      <c r="AW656" s="1051"/>
      <c r="AX656" s="1051"/>
      <c r="AY656" s="1053"/>
      <c r="AZ656" s="1051"/>
      <c r="BA656" s="1051"/>
      <c r="BB656" s="1053"/>
      <c r="BC656" s="1051"/>
      <c r="BD656" s="1051"/>
      <c r="BE656" s="1053"/>
      <c r="BF656" s="1051"/>
      <c r="BG656" s="1051"/>
      <c r="BH656" s="1053"/>
      <c r="BI656" s="1052"/>
      <c r="BJ656" s="1052"/>
      <c r="BK656" s="1052"/>
      <c r="BL656" s="1052"/>
      <c r="BM656" s="1052"/>
      <c r="BN656" s="1054"/>
      <c r="BO656" s="1076">
        <f t="shared" si="11"/>
        <v>0</v>
      </c>
      <c r="BP656" s="1051"/>
      <c r="BQ656" s="1052"/>
      <c r="BR656" s="1054"/>
      <c r="BS656" s="1053"/>
      <c r="BT656" s="1051"/>
      <c r="BU656" s="1051"/>
      <c r="BV656" s="1051"/>
      <c r="BW656" s="1052"/>
      <c r="BX656" s="1052"/>
      <c r="BY656" s="1052"/>
      <c r="BZ656" s="1052"/>
      <c r="CA656" s="1052"/>
      <c r="CB656" s="1053"/>
      <c r="CC656" s="1053"/>
      <c r="CD656" s="1053"/>
      <c r="CE656" s="1053"/>
      <c r="CF656" s="1053"/>
      <c r="CG656" s="1053"/>
      <c r="CH656" s="1053"/>
      <c r="CI656" s="1123"/>
      <c r="CJ656" s="1123"/>
      <c r="CK656" s="1123"/>
      <c r="CL656" s="1123"/>
      <c r="CM656" s="1123"/>
      <c r="CN656" s="1123"/>
      <c r="CO656" s="1123"/>
      <c r="CP656" s="1123"/>
      <c r="CQ656" s="1123"/>
      <c r="CR656" s="1123"/>
      <c r="CS656" s="1123"/>
      <c r="CT656" s="1123"/>
      <c r="CU656" s="1123"/>
      <c r="CV656" s="1123"/>
      <c r="CW656" s="1123"/>
      <c r="CX656" s="1123"/>
      <c r="CY656" s="1123"/>
      <c r="CZ656" s="1114"/>
      <c r="DA656" s="1114"/>
      <c r="DB656" s="1114"/>
      <c r="DC656" s="1114"/>
      <c r="DD656" s="1114"/>
      <c r="DE656" s="1114"/>
      <c r="DF656" s="1114"/>
      <c r="DG656" s="1114"/>
      <c r="DH656" s="1114"/>
      <c r="DI656" s="1114"/>
      <c r="DJ656" s="1114"/>
      <c r="DK656" s="1114"/>
      <c r="DL656" s="1114"/>
      <c r="DM656" s="1114"/>
      <c r="DN656" s="1114"/>
      <c r="DO656" s="1114"/>
      <c r="DP656" s="1114"/>
      <c r="DQ656" s="1114"/>
      <c r="DR656" s="1114"/>
      <c r="DS656" s="1114"/>
      <c r="DT656" s="1114"/>
      <c r="DU656" s="1114"/>
      <c r="DV656" s="1115"/>
      <c r="DW656" s="1116"/>
      <c r="DX656" s="1116"/>
      <c r="DY656" s="1116"/>
      <c r="DZ656" s="1116"/>
      <c r="EA656" s="1116"/>
      <c r="EB656" s="1116"/>
      <c r="EC656" s="1116"/>
      <c r="ED656" s="1116"/>
      <c r="EE656" s="1116"/>
      <c r="EF656" s="1116"/>
      <c r="EG656" s="1116"/>
      <c r="EH656" s="1116"/>
      <c r="EI656" s="1116"/>
      <c r="EJ656" s="1116"/>
      <c r="EK656" s="1116"/>
      <c r="EL656" s="1116"/>
      <c r="EM656" s="1116"/>
      <c r="EN656" s="1116"/>
      <c r="EO656" s="1116"/>
      <c r="EP656" s="1116"/>
      <c r="EQ656" s="1116"/>
      <c r="ER656" s="1116"/>
      <c r="ES656" s="1116"/>
    </row>
    <row r="657" spans="1:149" ht="15" customHeight="1">
      <c r="A657" s="1185">
        <v>647</v>
      </c>
      <c r="B657" s="1041"/>
      <c r="C657" s="1050"/>
      <c r="D657" s="1050"/>
      <c r="E657" s="1050"/>
      <c r="F657" s="1049"/>
      <c r="G657" s="1049"/>
      <c r="H657" s="1049"/>
      <c r="I657" s="1049"/>
      <c r="J657" s="1050"/>
      <c r="K657" s="1050"/>
      <c r="L657" s="1043"/>
      <c r="M657" s="1051"/>
      <c r="N657" s="1051"/>
      <c r="O657" s="1052"/>
      <c r="P657" s="1051"/>
      <c r="Q657" s="1051"/>
      <c r="R657" s="1052"/>
      <c r="S657" s="1051"/>
      <c r="T657" s="1051"/>
      <c r="U657" s="1052"/>
      <c r="V657" s="1051"/>
      <c r="W657" s="1051"/>
      <c r="X657" s="1052"/>
      <c r="Y657" s="1053"/>
      <c r="Z657" s="1051"/>
      <c r="AA657" s="1051"/>
      <c r="AB657" s="1052"/>
      <c r="AC657" s="1051"/>
      <c r="AD657" s="1051"/>
      <c r="AE657" s="1052"/>
      <c r="AF657" s="1051"/>
      <c r="AG657" s="1051"/>
      <c r="AH657" s="1051"/>
      <c r="AI657" s="1051"/>
      <c r="AJ657" s="1052"/>
      <c r="AK657" s="1051"/>
      <c r="AL657" s="1051"/>
      <c r="AM657" s="1052"/>
      <c r="AN657" s="1051"/>
      <c r="AO657" s="1051"/>
      <c r="AP657" s="1052"/>
      <c r="AQ657" s="1051"/>
      <c r="AR657" s="1051"/>
      <c r="AS657" s="1052"/>
      <c r="AT657" s="1051"/>
      <c r="AU657" s="1051"/>
      <c r="AV657" s="1052"/>
      <c r="AW657" s="1051"/>
      <c r="AX657" s="1051"/>
      <c r="AY657" s="1053"/>
      <c r="AZ657" s="1051"/>
      <c r="BA657" s="1051"/>
      <c r="BB657" s="1053"/>
      <c r="BC657" s="1051"/>
      <c r="BD657" s="1051"/>
      <c r="BE657" s="1053"/>
      <c r="BF657" s="1051"/>
      <c r="BG657" s="1051"/>
      <c r="BH657" s="1053"/>
      <c r="BI657" s="1052"/>
      <c r="BJ657" s="1052"/>
      <c r="BK657" s="1052"/>
      <c r="BL657" s="1052"/>
      <c r="BM657" s="1052"/>
      <c r="BN657" s="1054"/>
      <c r="BO657" s="1076">
        <f t="shared" si="11"/>
        <v>0</v>
      </c>
      <c r="BP657" s="1051"/>
      <c r="BQ657" s="1052"/>
      <c r="BR657" s="1054"/>
      <c r="BS657" s="1053"/>
      <c r="BT657" s="1051"/>
      <c r="BU657" s="1051"/>
      <c r="BV657" s="1051"/>
      <c r="BW657" s="1052"/>
      <c r="BX657" s="1052"/>
      <c r="BY657" s="1052"/>
      <c r="BZ657" s="1052"/>
      <c r="CA657" s="1052"/>
      <c r="CB657" s="1053"/>
      <c r="CC657" s="1053"/>
      <c r="CD657" s="1053"/>
      <c r="CE657" s="1053"/>
      <c r="CF657" s="1053"/>
      <c r="CG657" s="1053"/>
      <c r="CH657" s="1053"/>
      <c r="CI657" s="1123"/>
      <c r="CJ657" s="1123"/>
      <c r="CK657" s="1123"/>
      <c r="CL657" s="1123"/>
      <c r="CM657" s="1123"/>
      <c r="CN657" s="1123"/>
      <c r="CO657" s="1123"/>
      <c r="CP657" s="1123"/>
      <c r="CQ657" s="1123"/>
      <c r="CR657" s="1123"/>
      <c r="CS657" s="1123"/>
      <c r="CT657" s="1123"/>
      <c r="CU657" s="1123"/>
      <c r="CV657" s="1123"/>
      <c r="CW657" s="1123"/>
      <c r="CX657" s="1123"/>
      <c r="CY657" s="1123"/>
      <c r="CZ657" s="1114"/>
      <c r="DA657" s="1114"/>
      <c r="DB657" s="1114"/>
      <c r="DC657" s="1114"/>
      <c r="DD657" s="1114"/>
      <c r="DE657" s="1114"/>
      <c r="DF657" s="1114"/>
      <c r="DG657" s="1114"/>
      <c r="DH657" s="1114"/>
      <c r="DI657" s="1114"/>
      <c r="DJ657" s="1114"/>
      <c r="DK657" s="1114"/>
      <c r="DL657" s="1114"/>
      <c r="DM657" s="1114"/>
      <c r="DN657" s="1114"/>
      <c r="DO657" s="1114"/>
      <c r="DP657" s="1114"/>
      <c r="DQ657" s="1114"/>
      <c r="DR657" s="1114"/>
      <c r="DS657" s="1114"/>
      <c r="DT657" s="1114"/>
      <c r="DU657" s="1114"/>
      <c r="DV657" s="1115"/>
      <c r="DW657" s="1116"/>
      <c r="DX657" s="1116"/>
      <c r="DY657" s="1116"/>
      <c r="DZ657" s="1116"/>
      <c r="EA657" s="1116"/>
      <c r="EB657" s="1116"/>
      <c r="EC657" s="1116"/>
      <c r="ED657" s="1116"/>
      <c r="EE657" s="1116"/>
      <c r="EF657" s="1116"/>
      <c r="EG657" s="1116"/>
      <c r="EH657" s="1116"/>
      <c r="EI657" s="1116"/>
      <c r="EJ657" s="1116"/>
      <c r="EK657" s="1116"/>
      <c r="EL657" s="1116"/>
      <c r="EM657" s="1116"/>
      <c r="EN657" s="1116"/>
      <c r="EO657" s="1116"/>
      <c r="EP657" s="1116"/>
      <c r="EQ657" s="1116"/>
      <c r="ER657" s="1116"/>
      <c r="ES657" s="1116"/>
    </row>
    <row r="658" spans="1:149" ht="15" customHeight="1">
      <c r="A658" s="1185">
        <v>648</v>
      </c>
      <c r="B658" s="1041"/>
      <c r="C658" s="1050"/>
      <c r="D658" s="1050"/>
      <c r="E658" s="1050"/>
      <c r="F658" s="1049"/>
      <c r="G658" s="1049"/>
      <c r="H658" s="1049"/>
      <c r="I658" s="1049"/>
      <c r="J658" s="1050"/>
      <c r="K658" s="1050"/>
      <c r="L658" s="1043"/>
      <c r="M658" s="1051"/>
      <c r="N658" s="1051"/>
      <c r="O658" s="1052"/>
      <c r="P658" s="1051"/>
      <c r="Q658" s="1051"/>
      <c r="R658" s="1052"/>
      <c r="S658" s="1051"/>
      <c r="T658" s="1051"/>
      <c r="U658" s="1052"/>
      <c r="V658" s="1051"/>
      <c r="W658" s="1051"/>
      <c r="X658" s="1052"/>
      <c r="Y658" s="1053"/>
      <c r="Z658" s="1051"/>
      <c r="AA658" s="1051"/>
      <c r="AB658" s="1052"/>
      <c r="AC658" s="1051"/>
      <c r="AD658" s="1051"/>
      <c r="AE658" s="1052"/>
      <c r="AF658" s="1051"/>
      <c r="AG658" s="1051"/>
      <c r="AH658" s="1051"/>
      <c r="AI658" s="1051"/>
      <c r="AJ658" s="1052"/>
      <c r="AK658" s="1051"/>
      <c r="AL658" s="1051"/>
      <c r="AM658" s="1052"/>
      <c r="AN658" s="1051"/>
      <c r="AO658" s="1051"/>
      <c r="AP658" s="1052"/>
      <c r="AQ658" s="1051"/>
      <c r="AR658" s="1051"/>
      <c r="AS658" s="1052"/>
      <c r="AT658" s="1051"/>
      <c r="AU658" s="1051"/>
      <c r="AV658" s="1052"/>
      <c r="AW658" s="1051"/>
      <c r="AX658" s="1051"/>
      <c r="AY658" s="1053"/>
      <c r="AZ658" s="1051"/>
      <c r="BA658" s="1051"/>
      <c r="BB658" s="1053"/>
      <c r="BC658" s="1051"/>
      <c r="BD658" s="1051"/>
      <c r="BE658" s="1053"/>
      <c r="BF658" s="1051"/>
      <c r="BG658" s="1051"/>
      <c r="BH658" s="1053"/>
      <c r="BI658" s="1052"/>
      <c r="BJ658" s="1052"/>
      <c r="BK658" s="1052"/>
      <c r="BL658" s="1052"/>
      <c r="BM658" s="1052"/>
      <c r="BN658" s="1054"/>
      <c r="BO658" s="1076">
        <f t="shared" si="11"/>
        <v>0</v>
      </c>
      <c r="BP658" s="1051"/>
      <c r="BQ658" s="1052"/>
      <c r="BR658" s="1054"/>
      <c r="BS658" s="1053"/>
      <c r="BT658" s="1051"/>
      <c r="BU658" s="1051"/>
      <c r="BV658" s="1051"/>
      <c r="BW658" s="1052"/>
      <c r="BX658" s="1052"/>
      <c r="BY658" s="1052"/>
      <c r="BZ658" s="1052"/>
      <c r="CA658" s="1052"/>
      <c r="CB658" s="1053"/>
      <c r="CC658" s="1053"/>
      <c r="CD658" s="1053"/>
      <c r="CE658" s="1053"/>
      <c r="CF658" s="1053"/>
      <c r="CG658" s="1053"/>
      <c r="CH658" s="1053"/>
      <c r="CI658" s="1123"/>
      <c r="CJ658" s="1123"/>
      <c r="CK658" s="1123"/>
      <c r="CL658" s="1123"/>
      <c r="CM658" s="1123"/>
      <c r="CN658" s="1123"/>
      <c r="CO658" s="1123"/>
      <c r="CP658" s="1123"/>
      <c r="CQ658" s="1123"/>
      <c r="CR658" s="1123"/>
      <c r="CS658" s="1123"/>
      <c r="CT658" s="1123"/>
      <c r="CU658" s="1123"/>
      <c r="CV658" s="1123"/>
      <c r="CW658" s="1123"/>
      <c r="CX658" s="1123"/>
      <c r="CY658" s="1123"/>
      <c r="CZ658" s="1114"/>
      <c r="DA658" s="1114"/>
      <c r="DB658" s="1114"/>
      <c r="DC658" s="1114"/>
      <c r="DD658" s="1114"/>
      <c r="DE658" s="1114"/>
      <c r="DF658" s="1114"/>
      <c r="DG658" s="1114"/>
      <c r="DH658" s="1114"/>
      <c r="DI658" s="1114"/>
      <c r="DJ658" s="1114"/>
      <c r="DK658" s="1114"/>
      <c r="DL658" s="1114"/>
      <c r="DM658" s="1114"/>
      <c r="DN658" s="1114"/>
      <c r="DO658" s="1114"/>
      <c r="DP658" s="1114"/>
      <c r="DQ658" s="1114"/>
      <c r="DR658" s="1114"/>
      <c r="DS658" s="1114"/>
      <c r="DT658" s="1114"/>
      <c r="DU658" s="1114"/>
      <c r="DV658" s="1115"/>
      <c r="DW658" s="1116"/>
      <c r="DX658" s="1116"/>
      <c r="DY658" s="1116"/>
      <c r="DZ658" s="1116"/>
      <c r="EA658" s="1116"/>
      <c r="EB658" s="1116"/>
      <c r="EC658" s="1116"/>
      <c r="ED658" s="1116"/>
      <c r="EE658" s="1116"/>
      <c r="EF658" s="1116"/>
      <c r="EG658" s="1116"/>
      <c r="EH658" s="1116"/>
      <c r="EI658" s="1116"/>
      <c r="EJ658" s="1116"/>
      <c r="EK658" s="1116"/>
      <c r="EL658" s="1116"/>
      <c r="EM658" s="1116"/>
      <c r="EN658" s="1116"/>
      <c r="EO658" s="1116"/>
      <c r="EP658" s="1116"/>
      <c r="EQ658" s="1116"/>
      <c r="ER658" s="1116"/>
      <c r="ES658" s="1116"/>
    </row>
    <row r="659" spans="1:149" ht="15" customHeight="1">
      <c r="A659" s="1185">
        <v>649</v>
      </c>
      <c r="B659" s="1041"/>
      <c r="C659" s="1050"/>
      <c r="D659" s="1050"/>
      <c r="E659" s="1050"/>
      <c r="F659" s="1049"/>
      <c r="G659" s="1049"/>
      <c r="H659" s="1049"/>
      <c r="I659" s="1049"/>
      <c r="J659" s="1050"/>
      <c r="K659" s="1050"/>
      <c r="L659" s="1043"/>
      <c r="M659" s="1051"/>
      <c r="N659" s="1051"/>
      <c r="O659" s="1052"/>
      <c r="P659" s="1051"/>
      <c r="Q659" s="1051"/>
      <c r="R659" s="1052"/>
      <c r="S659" s="1051"/>
      <c r="T659" s="1051"/>
      <c r="U659" s="1052"/>
      <c r="V659" s="1051"/>
      <c r="W659" s="1051"/>
      <c r="X659" s="1052"/>
      <c r="Y659" s="1053"/>
      <c r="Z659" s="1051"/>
      <c r="AA659" s="1051"/>
      <c r="AB659" s="1052"/>
      <c r="AC659" s="1051"/>
      <c r="AD659" s="1051"/>
      <c r="AE659" s="1052"/>
      <c r="AF659" s="1051"/>
      <c r="AG659" s="1051"/>
      <c r="AH659" s="1051"/>
      <c r="AI659" s="1051"/>
      <c r="AJ659" s="1052"/>
      <c r="AK659" s="1051"/>
      <c r="AL659" s="1051"/>
      <c r="AM659" s="1052"/>
      <c r="AN659" s="1051"/>
      <c r="AO659" s="1051"/>
      <c r="AP659" s="1052"/>
      <c r="AQ659" s="1051"/>
      <c r="AR659" s="1051"/>
      <c r="AS659" s="1052"/>
      <c r="AT659" s="1051"/>
      <c r="AU659" s="1051"/>
      <c r="AV659" s="1052"/>
      <c r="AW659" s="1051"/>
      <c r="AX659" s="1051"/>
      <c r="AY659" s="1053"/>
      <c r="AZ659" s="1051"/>
      <c r="BA659" s="1051"/>
      <c r="BB659" s="1053"/>
      <c r="BC659" s="1051"/>
      <c r="BD659" s="1051"/>
      <c r="BE659" s="1053"/>
      <c r="BF659" s="1051"/>
      <c r="BG659" s="1051"/>
      <c r="BH659" s="1053"/>
      <c r="BI659" s="1052"/>
      <c r="BJ659" s="1052"/>
      <c r="BK659" s="1052"/>
      <c r="BL659" s="1052"/>
      <c r="BM659" s="1052"/>
      <c r="BN659" s="1054"/>
      <c r="BO659" s="1076">
        <f t="shared" si="11"/>
        <v>0</v>
      </c>
      <c r="BP659" s="1051"/>
      <c r="BQ659" s="1052"/>
      <c r="BR659" s="1054"/>
      <c r="BS659" s="1053"/>
      <c r="BT659" s="1051"/>
      <c r="BU659" s="1051"/>
      <c r="BV659" s="1051"/>
      <c r="BW659" s="1052"/>
      <c r="BX659" s="1052"/>
      <c r="BY659" s="1052"/>
      <c r="BZ659" s="1052"/>
      <c r="CA659" s="1052"/>
      <c r="CB659" s="1053"/>
      <c r="CC659" s="1053"/>
      <c r="CD659" s="1053"/>
      <c r="CE659" s="1053"/>
      <c r="CF659" s="1053"/>
      <c r="CG659" s="1053"/>
      <c r="CH659" s="1053"/>
      <c r="CI659" s="1123"/>
      <c r="CJ659" s="1123"/>
      <c r="CK659" s="1123"/>
      <c r="CL659" s="1123"/>
      <c r="CM659" s="1123"/>
      <c r="CN659" s="1123"/>
      <c r="CO659" s="1123"/>
      <c r="CP659" s="1123"/>
      <c r="CQ659" s="1123"/>
      <c r="CR659" s="1123"/>
      <c r="CS659" s="1123"/>
      <c r="CT659" s="1123"/>
      <c r="CU659" s="1123"/>
      <c r="CV659" s="1123"/>
      <c r="CW659" s="1123"/>
      <c r="CX659" s="1123"/>
      <c r="CY659" s="1123"/>
      <c r="CZ659" s="1114"/>
      <c r="DA659" s="1114"/>
      <c r="DB659" s="1114"/>
      <c r="DC659" s="1114"/>
      <c r="DD659" s="1114"/>
      <c r="DE659" s="1114"/>
      <c r="DF659" s="1114"/>
      <c r="DG659" s="1114"/>
      <c r="DH659" s="1114"/>
      <c r="DI659" s="1114"/>
      <c r="DJ659" s="1114"/>
      <c r="DK659" s="1114"/>
      <c r="DL659" s="1114"/>
      <c r="DM659" s="1114"/>
      <c r="DN659" s="1114"/>
      <c r="DO659" s="1114"/>
      <c r="DP659" s="1114"/>
      <c r="DQ659" s="1114"/>
      <c r="DR659" s="1114"/>
      <c r="DS659" s="1114"/>
      <c r="DT659" s="1114"/>
      <c r="DU659" s="1114"/>
      <c r="DV659" s="1115"/>
      <c r="DW659" s="1116"/>
      <c r="DX659" s="1116"/>
      <c r="DY659" s="1116"/>
      <c r="DZ659" s="1116"/>
      <c r="EA659" s="1116"/>
      <c r="EB659" s="1116"/>
      <c r="EC659" s="1116"/>
      <c r="ED659" s="1116"/>
      <c r="EE659" s="1116"/>
      <c r="EF659" s="1116"/>
      <c r="EG659" s="1116"/>
      <c r="EH659" s="1116"/>
      <c r="EI659" s="1116"/>
      <c r="EJ659" s="1116"/>
      <c r="EK659" s="1116"/>
      <c r="EL659" s="1116"/>
      <c r="EM659" s="1116"/>
      <c r="EN659" s="1116"/>
      <c r="EO659" s="1116"/>
      <c r="EP659" s="1116"/>
      <c r="EQ659" s="1116"/>
      <c r="ER659" s="1116"/>
      <c r="ES659" s="1116"/>
    </row>
    <row r="660" spans="1:149" ht="15" customHeight="1">
      <c r="A660" s="1185">
        <v>650</v>
      </c>
      <c r="B660" s="1041"/>
      <c r="C660" s="1050"/>
      <c r="D660" s="1050"/>
      <c r="E660" s="1050"/>
      <c r="F660" s="1049"/>
      <c r="G660" s="1049"/>
      <c r="H660" s="1049"/>
      <c r="I660" s="1049"/>
      <c r="J660" s="1050"/>
      <c r="K660" s="1050"/>
      <c r="L660" s="1043"/>
      <c r="M660" s="1051"/>
      <c r="N660" s="1051"/>
      <c r="O660" s="1052"/>
      <c r="P660" s="1051"/>
      <c r="Q660" s="1051"/>
      <c r="R660" s="1052"/>
      <c r="S660" s="1051"/>
      <c r="T660" s="1051"/>
      <c r="U660" s="1052"/>
      <c r="V660" s="1051"/>
      <c r="W660" s="1051"/>
      <c r="X660" s="1052"/>
      <c r="Y660" s="1053"/>
      <c r="Z660" s="1051"/>
      <c r="AA660" s="1051"/>
      <c r="AB660" s="1052"/>
      <c r="AC660" s="1051"/>
      <c r="AD660" s="1051"/>
      <c r="AE660" s="1052"/>
      <c r="AF660" s="1051"/>
      <c r="AG660" s="1051"/>
      <c r="AH660" s="1051"/>
      <c r="AI660" s="1051"/>
      <c r="AJ660" s="1052"/>
      <c r="AK660" s="1051"/>
      <c r="AL660" s="1051"/>
      <c r="AM660" s="1052"/>
      <c r="AN660" s="1051"/>
      <c r="AO660" s="1051"/>
      <c r="AP660" s="1052"/>
      <c r="AQ660" s="1051"/>
      <c r="AR660" s="1051"/>
      <c r="AS660" s="1052"/>
      <c r="AT660" s="1051"/>
      <c r="AU660" s="1051"/>
      <c r="AV660" s="1052"/>
      <c r="AW660" s="1051"/>
      <c r="AX660" s="1051"/>
      <c r="AY660" s="1053"/>
      <c r="AZ660" s="1051"/>
      <c r="BA660" s="1051"/>
      <c r="BB660" s="1053"/>
      <c r="BC660" s="1051"/>
      <c r="BD660" s="1051"/>
      <c r="BE660" s="1053"/>
      <c r="BF660" s="1051"/>
      <c r="BG660" s="1051"/>
      <c r="BH660" s="1053"/>
      <c r="BI660" s="1052"/>
      <c r="BJ660" s="1052"/>
      <c r="BK660" s="1052"/>
      <c r="BL660" s="1052"/>
      <c r="BM660" s="1052"/>
      <c r="BN660" s="1054"/>
      <c r="BO660" s="1076">
        <f t="shared" si="11"/>
        <v>0</v>
      </c>
      <c r="BP660" s="1051"/>
      <c r="BQ660" s="1052"/>
      <c r="BR660" s="1054"/>
      <c r="BS660" s="1053"/>
      <c r="BT660" s="1051"/>
      <c r="BU660" s="1051"/>
      <c r="BV660" s="1051"/>
      <c r="BW660" s="1052"/>
      <c r="BX660" s="1052"/>
      <c r="BY660" s="1052"/>
      <c r="BZ660" s="1052"/>
      <c r="CA660" s="1052"/>
      <c r="CB660" s="1053"/>
      <c r="CC660" s="1053"/>
      <c r="CD660" s="1053"/>
      <c r="CE660" s="1053"/>
      <c r="CF660" s="1053"/>
      <c r="CG660" s="1053"/>
      <c r="CH660" s="1053"/>
      <c r="CI660" s="1123"/>
      <c r="CJ660" s="1123"/>
      <c r="CK660" s="1123"/>
      <c r="CL660" s="1123"/>
      <c r="CM660" s="1123"/>
      <c r="CN660" s="1123"/>
      <c r="CO660" s="1123"/>
      <c r="CP660" s="1123"/>
      <c r="CQ660" s="1123"/>
      <c r="CR660" s="1123"/>
      <c r="CS660" s="1123"/>
      <c r="CT660" s="1123"/>
      <c r="CU660" s="1123"/>
      <c r="CV660" s="1123"/>
      <c r="CW660" s="1123"/>
      <c r="CX660" s="1123"/>
      <c r="CY660" s="1123"/>
      <c r="CZ660" s="1114"/>
      <c r="DA660" s="1114"/>
      <c r="DB660" s="1114"/>
      <c r="DC660" s="1114"/>
      <c r="DD660" s="1114"/>
      <c r="DE660" s="1114"/>
      <c r="DF660" s="1114"/>
      <c r="DG660" s="1114"/>
      <c r="DH660" s="1114"/>
      <c r="DI660" s="1114"/>
      <c r="DJ660" s="1114"/>
      <c r="DK660" s="1114"/>
      <c r="DL660" s="1114"/>
      <c r="DM660" s="1114"/>
      <c r="DN660" s="1114"/>
      <c r="DO660" s="1114"/>
      <c r="DP660" s="1114"/>
      <c r="DQ660" s="1114"/>
      <c r="DR660" s="1114"/>
      <c r="DS660" s="1114"/>
      <c r="DT660" s="1114"/>
      <c r="DU660" s="1114"/>
      <c r="DV660" s="1115"/>
      <c r="DW660" s="1116"/>
      <c r="DX660" s="1116"/>
      <c r="DY660" s="1116"/>
      <c r="DZ660" s="1116"/>
      <c r="EA660" s="1116"/>
      <c r="EB660" s="1116"/>
      <c r="EC660" s="1116"/>
      <c r="ED660" s="1116"/>
      <c r="EE660" s="1116"/>
      <c r="EF660" s="1116"/>
      <c r="EG660" s="1116"/>
      <c r="EH660" s="1116"/>
      <c r="EI660" s="1116"/>
      <c r="EJ660" s="1116"/>
      <c r="EK660" s="1116"/>
      <c r="EL660" s="1116"/>
      <c r="EM660" s="1116"/>
      <c r="EN660" s="1116"/>
      <c r="EO660" s="1116"/>
      <c r="EP660" s="1116"/>
      <c r="EQ660" s="1116"/>
      <c r="ER660" s="1116"/>
      <c r="ES660" s="1116"/>
    </row>
    <row r="661" spans="1:149" ht="15" customHeight="1">
      <c r="A661" s="1185">
        <v>651</v>
      </c>
      <c r="B661" s="1041"/>
      <c r="C661" s="1050"/>
      <c r="D661" s="1050"/>
      <c r="E661" s="1050"/>
      <c r="F661" s="1049"/>
      <c r="G661" s="1049"/>
      <c r="H661" s="1049"/>
      <c r="I661" s="1049"/>
      <c r="J661" s="1050"/>
      <c r="K661" s="1050"/>
      <c r="L661" s="1043"/>
      <c r="M661" s="1051"/>
      <c r="N661" s="1051"/>
      <c r="O661" s="1052"/>
      <c r="P661" s="1051"/>
      <c r="Q661" s="1051"/>
      <c r="R661" s="1052"/>
      <c r="S661" s="1051"/>
      <c r="T661" s="1051"/>
      <c r="U661" s="1052"/>
      <c r="V661" s="1051"/>
      <c r="W661" s="1051"/>
      <c r="X661" s="1052"/>
      <c r="Y661" s="1053"/>
      <c r="Z661" s="1051"/>
      <c r="AA661" s="1051"/>
      <c r="AB661" s="1052"/>
      <c r="AC661" s="1051"/>
      <c r="AD661" s="1051"/>
      <c r="AE661" s="1052"/>
      <c r="AF661" s="1051"/>
      <c r="AG661" s="1051"/>
      <c r="AH661" s="1051"/>
      <c r="AI661" s="1051"/>
      <c r="AJ661" s="1052"/>
      <c r="AK661" s="1051"/>
      <c r="AL661" s="1051"/>
      <c r="AM661" s="1052"/>
      <c r="AN661" s="1051"/>
      <c r="AO661" s="1051"/>
      <c r="AP661" s="1052"/>
      <c r="AQ661" s="1051"/>
      <c r="AR661" s="1051"/>
      <c r="AS661" s="1052"/>
      <c r="AT661" s="1051"/>
      <c r="AU661" s="1051"/>
      <c r="AV661" s="1052"/>
      <c r="AW661" s="1051"/>
      <c r="AX661" s="1051"/>
      <c r="AY661" s="1053"/>
      <c r="AZ661" s="1051"/>
      <c r="BA661" s="1051"/>
      <c r="BB661" s="1053"/>
      <c r="BC661" s="1051"/>
      <c r="BD661" s="1051"/>
      <c r="BE661" s="1053"/>
      <c r="BF661" s="1051"/>
      <c r="BG661" s="1051"/>
      <c r="BH661" s="1053"/>
      <c r="BI661" s="1052"/>
      <c r="BJ661" s="1052"/>
      <c r="BK661" s="1052"/>
      <c r="BL661" s="1052"/>
      <c r="BM661" s="1052"/>
      <c r="BN661" s="1054"/>
      <c r="BO661" s="1076">
        <f t="shared" si="11"/>
        <v>0</v>
      </c>
      <c r="BP661" s="1051"/>
      <c r="BQ661" s="1052"/>
      <c r="BR661" s="1054"/>
      <c r="BS661" s="1053"/>
      <c r="BT661" s="1051"/>
      <c r="BU661" s="1051"/>
      <c r="BV661" s="1051"/>
      <c r="BW661" s="1052"/>
      <c r="BX661" s="1052"/>
      <c r="BY661" s="1052"/>
      <c r="BZ661" s="1052"/>
      <c r="CA661" s="1052"/>
      <c r="CB661" s="1053"/>
      <c r="CC661" s="1053"/>
      <c r="CD661" s="1053"/>
      <c r="CE661" s="1053"/>
      <c r="CF661" s="1053"/>
      <c r="CG661" s="1053"/>
      <c r="CH661" s="1053"/>
      <c r="CI661" s="1123"/>
      <c r="CJ661" s="1123"/>
      <c r="CK661" s="1123"/>
      <c r="CL661" s="1123"/>
      <c r="CM661" s="1123"/>
      <c r="CN661" s="1123"/>
      <c r="CO661" s="1123"/>
      <c r="CP661" s="1123"/>
      <c r="CQ661" s="1123"/>
      <c r="CR661" s="1123"/>
      <c r="CS661" s="1123"/>
      <c r="CT661" s="1123"/>
      <c r="CU661" s="1123"/>
      <c r="CV661" s="1123"/>
      <c r="CW661" s="1123"/>
      <c r="CX661" s="1123"/>
      <c r="CY661" s="1123"/>
      <c r="CZ661" s="1114"/>
      <c r="DA661" s="1114"/>
      <c r="DB661" s="1114"/>
      <c r="DC661" s="1114"/>
      <c r="DD661" s="1114"/>
      <c r="DE661" s="1114"/>
      <c r="DF661" s="1114"/>
      <c r="DG661" s="1114"/>
      <c r="DH661" s="1114"/>
      <c r="DI661" s="1114"/>
      <c r="DJ661" s="1114"/>
      <c r="DK661" s="1114"/>
      <c r="DL661" s="1114"/>
      <c r="DM661" s="1114"/>
      <c r="DN661" s="1114"/>
      <c r="DO661" s="1114"/>
      <c r="DP661" s="1114"/>
      <c r="DQ661" s="1114"/>
      <c r="DR661" s="1114"/>
      <c r="DS661" s="1114"/>
      <c r="DT661" s="1114"/>
      <c r="DU661" s="1114"/>
      <c r="DV661" s="1115"/>
      <c r="DW661" s="1116"/>
      <c r="DX661" s="1116"/>
      <c r="DY661" s="1116"/>
      <c r="DZ661" s="1116"/>
      <c r="EA661" s="1116"/>
      <c r="EB661" s="1116"/>
      <c r="EC661" s="1116"/>
      <c r="ED661" s="1116"/>
      <c r="EE661" s="1116"/>
      <c r="EF661" s="1116"/>
      <c r="EG661" s="1116"/>
      <c r="EH661" s="1116"/>
      <c r="EI661" s="1116"/>
      <c r="EJ661" s="1116"/>
      <c r="EK661" s="1116"/>
      <c r="EL661" s="1116"/>
      <c r="EM661" s="1116"/>
      <c r="EN661" s="1116"/>
      <c r="EO661" s="1116"/>
      <c r="EP661" s="1116"/>
      <c r="EQ661" s="1116"/>
      <c r="ER661" s="1116"/>
      <c r="ES661" s="1116"/>
    </row>
    <row r="662" spans="1:149" ht="15" customHeight="1">
      <c r="A662" s="1185">
        <v>652</v>
      </c>
      <c r="B662" s="1041"/>
      <c r="C662" s="1050"/>
      <c r="D662" s="1050"/>
      <c r="E662" s="1050"/>
      <c r="F662" s="1049"/>
      <c r="G662" s="1049"/>
      <c r="H662" s="1049"/>
      <c r="I662" s="1049"/>
      <c r="J662" s="1050"/>
      <c r="K662" s="1050"/>
      <c r="L662" s="1043"/>
      <c r="M662" s="1051"/>
      <c r="N662" s="1051"/>
      <c r="O662" s="1052"/>
      <c r="P662" s="1051"/>
      <c r="Q662" s="1051"/>
      <c r="R662" s="1052"/>
      <c r="S662" s="1051"/>
      <c r="T662" s="1051"/>
      <c r="U662" s="1052"/>
      <c r="V662" s="1051"/>
      <c r="W662" s="1051"/>
      <c r="X662" s="1052"/>
      <c r="Y662" s="1053"/>
      <c r="Z662" s="1051"/>
      <c r="AA662" s="1051"/>
      <c r="AB662" s="1052"/>
      <c r="AC662" s="1051"/>
      <c r="AD662" s="1051"/>
      <c r="AE662" s="1052"/>
      <c r="AF662" s="1051"/>
      <c r="AG662" s="1051"/>
      <c r="AH662" s="1051"/>
      <c r="AI662" s="1051"/>
      <c r="AJ662" s="1052"/>
      <c r="AK662" s="1051"/>
      <c r="AL662" s="1051"/>
      <c r="AM662" s="1052"/>
      <c r="AN662" s="1051"/>
      <c r="AO662" s="1051"/>
      <c r="AP662" s="1052"/>
      <c r="AQ662" s="1051"/>
      <c r="AR662" s="1051"/>
      <c r="AS662" s="1052"/>
      <c r="AT662" s="1051"/>
      <c r="AU662" s="1051"/>
      <c r="AV662" s="1052"/>
      <c r="AW662" s="1051"/>
      <c r="AX662" s="1051"/>
      <c r="AY662" s="1053"/>
      <c r="AZ662" s="1051"/>
      <c r="BA662" s="1051"/>
      <c r="BB662" s="1053"/>
      <c r="BC662" s="1051"/>
      <c r="BD662" s="1051"/>
      <c r="BE662" s="1053"/>
      <c r="BF662" s="1051"/>
      <c r="BG662" s="1051"/>
      <c r="BH662" s="1053"/>
      <c r="BI662" s="1052"/>
      <c r="BJ662" s="1052"/>
      <c r="BK662" s="1052"/>
      <c r="BL662" s="1052"/>
      <c r="BM662" s="1052"/>
      <c r="BN662" s="1054"/>
      <c r="BO662" s="1076">
        <f t="shared" si="11"/>
        <v>0</v>
      </c>
      <c r="BP662" s="1051"/>
      <c r="BQ662" s="1052"/>
      <c r="BR662" s="1054"/>
      <c r="BS662" s="1053"/>
      <c r="BT662" s="1051"/>
      <c r="BU662" s="1051"/>
      <c r="BV662" s="1051"/>
      <c r="BW662" s="1052"/>
      <c r="BX662" s="1052"/>
      <c r="BY662" s="1052"/>
      <c r="BZ662" s="1052"/>
      <c r="CA662" s="1052"/>
      <c r="CB662" s="1053"/>
      <c r="CC662" s="1053"/>
      <c r="CD662" s="1053"/>
      <c r="CE662" s="1053"/>
      <c r="CF662" s="1053"/>
      <c r="CG662" s="1053"/>
      <c r="CH662" s="1053"/>
      <c r="CI662" s="1123"/>
      <c r="CJ662" s="1123"/>
      <c r="CK662" s="1123"/>
      <c r="CL662" s="1123"/>
      <c r="CM662" s="1123"/>
      <c r="CN662" s="1123"/>
      <c r="CO662" s="1123"/>
      <c r="CP662" s="1123"/>
      <c r="CQ662" s="1123"/>
      <c r="CR662" s="1123"/>
      <c r="CS662" s="1123"/>
      <c r="CT662" s="1123"/>
      <c r="CU662" s="1123"/>
      <c r="CV662" s="1123"/>
      <c r="CW662" s="1123"/>
      <c r="CX662" s="1123"/>
      <c r="CY662" s="1123"/>
      <c r="CZ662" s="1114"/>
      <c r="DA662" s="1114"/>
      <c r="DB662" s="1114"/>
      <c r="DC662" s="1114"/>
      <c r="DD662" s="1114"/>
      <c r="DE662" s="1114"/>
      <c r="DF662" s="1114"/>
      <c r="DG662" s="1114"/>
      <c r="DH662" s="1114"/>
      <c r="DI662" s="1114"/>
      <c r="DJ662" s="1114"/>
      <c r="DK662" s="1114"/>
      <c r="DL662" s="1114"/>
      <c r="DM662" s="1114"/>
      <c r="DN662" s="1114"/>
      <c r="DO662" s="1114"/>
      <c r="DP662" s="1114"/>
      <c r="DQ662" s="1114"/>
      <c r="DR662" s="1114"/>
      <c r="DS662" s="1114"/>
      <c r="DT662" s="1114"/>
      <c r="DU662" s="1114"/>
      <c r="DV662" s="1115"/>
      <c r="DW662" s="1116"/>
      <c r="DX662" s="1116"/>
      <c r="DY662" s="1116"/>
      <c r="DZ662" s="1116"/>
      <c r="EA662" s="1116"/>
      <c r="EB662" s="1116"/>
      <c r="EC662" s="1116"/>
      <c r="ED662" s="1116"/>
      <c r="EE662" s="1116"/>
      <c r="EF662" s="1116"/>
      <c r="EG662" s="1116"/>
      <c r="EH662" s="1116"/>
      <c r="EI662" s="1116"/>
      <c r="EJ662" s="1116"/>
      <c r="EK662" s="1116"/>
      <c r="EL662" s="1116"/>
      <c r="EM662" s="1116"/>
      <c r="EN662" s="1116"/>
      <c r="EO662" s="1116"/>
      <c r="EP662" s="1116"/>
      <c r="EQ662" s="1116"/>
      <c r="ER662" s="1116"/>
      <c r="ES662" s="1116"/>
    </row>
    <row r="663" spans="1:149" ht="15" customHeight="1">
      <c r="A663" s="1185">
        <v>653</v>
      </c>
      <c r="B663" s="1041"/>
      <c r="C663" s="1050"/>
      <c r="D663" s="1050"/>
      <c r="E663" s="1050"/>
      <c r="F663" s="1049"/>
      <c r="G663" s="1049"/>
      <c r="H663" s="1049"/>
      <c r="I663" s="1049"/>
      <c r="J663" s="1050"/>
      <c r="K663" s="1050"/>
      <c r="L663" s="1043"/>
      <c r="M663" s="1051"/>
      <c r="N663" s="1051"/>
      <c r="O663" s="1052"/>
      <c r="P663" s="1051"/>
      <c r="Q663" s="1051"/>
      <c r="R663" s="1052"/>
      <c r="S663" s="1051"/>
      <c r="T663" s="1051"/>
      <c r="U663" s="1052"/>
      <c r="V663" s="1051"/>
      <c r="W663" s="1051"/>
      <c r="X663" s="1052"/>
      <c r="Y663" s="1053"/>
      <c r="Z663" s="1051"/>
      <c r="AA663" s="1051"/>
      <c r="AB663" s="1052"/>
      <c r="AC663" s="1051"/>
      <c r="AD663" s="1051"/>
      <c r="AE663" s="1052"/>
      <c r="AF663" s="1051"/>
      <c r="AG663" s="1051"/>
      <c r="AH663" s="1051"/>
      <c r="AI663" s="1051"/>
      <c r="AJ663" s="1052"/>
      <c r="AK663" s="1051"/>
      <c r="AL663" s="1051"/>
      <c r="AM663" s="1052"/>
      <c r="AN663" s="1051"/>
      <c r="AO663" s="1051"/>
      <c r="AP663" s="1052"/>
      <c r="AQ663" s="1051"/>
      <c r="AR663" s="1051"/>
      <c r="AS663" s="1052"/>
      <c r="AT663" s="1051"/>
      <c r="AU663" s="1051"/>
      <c r="AV663" s="1052"/>
      <c r="AW663" s="1051"/>
      <c r="AX663" s="1051"/>
      <c r="AY663" s="1053"/>
      <c r="AZ663" s="1051"/>
      <c r="BA663" s="1051"/>
      <c r="BB663" s="1053"/>
      <c r="BC663" s="1051"/>
      <c r="BD663" s="1051"/>
      <c r="BE663" s="1053"/>
      <c r="BF663" s="1051"/>
      <c r="BG663" s="1051"/>
      <c r="BH663" s="1053"/>
      <c r="BI663" s="1052"/>
      <c r="BJ663" s="1052"/>
      <c r="BK663" s="1052"/>
      <c r="BL663" s="1052"/>
      <c r="BM663" s="1052"/>
      <c r="BN663" s="1054"/>
      <c r="BO663" s="1076">
        <f t="shared" si="11"/>
        <v>0</v>
      </c>
      <c r="BP663" s="1051"/>
      <c r="BQ663" s="1052"/>
      <c r="BR663" s="1054"/>
      <c r="BS663" s="1053"/>
      <c r="BT663" s="1051"/>
      <c r="BU663" s="1051"/>
      <c r="BV663" s="1051"/>
      <c r="BW663" s="1052"/>
      <c r="BX663" s="1052"/>
      <c r="BY663" s="1052"/>
      <c r="BZ663" s="1052"/>
      <c r="CA663" s="1052"/>
      <c r="CB663" s="1053"/>
      <c r="CC663" s="1053"/>
      <c r="CD663" s="1053"/>
      <c r="CE663" s="1053"/>
      <c r="CF663" s="1053"/>
      <c r="CG663" s="1053"/>
      <c r="CH663" s="1053"/>
      <c r="CI663" s="1123"/>
      <c r="CJ663" s="1123"/>
      <c r="CK663" s="1123"/>
      <c r="CL663" s="1123"/>
      <c r="CM663" s="1123"/>
      <c r="CN663" s="1123"/>
      <c r="CO663" s="1123"/>
      <c r="CP663" s="1123"/>
      <c r="CQ663" s="1123"/>
      <c r="CR663" s="1123"/>
      <c r="CS663" s="1123"/>
      <c r="CT663" s="1123"/>
      <c r="CU663" s="1123"/>
      <c r="CV663" s="1123"/>
      <c r="CW663" s="1123"/>
      <c r="CX663" s="1123"/>
      <c r="CY663" s="1123"/>
      <c r="CZ663" s="1114"/>
      <c r="DA663" s="1114"/>
      <c r="DB663" s="1114"/>
      <c r="DC663" s="1114"/>
      <c r="DD663" s="1114"/>
      <c r="DE663" s="1114"/>
      <c r="DF663" s="1114"/>
      <c r="DG663" s="1114"/>
      <c r="DH663" s="1114"/>
      <c r="DI663" s="1114"/>
      <c r="DJ663" s="1114"/>
      <c r="DK663" s="1114"/>
      <c r="DL663" s="1114"/>
      <c r="DM663" s="1114"/>
      <c r="DN663" s="1114"/>
      <c r="DO663" s="1114"/>
      <c r="DP663" s="1114"/>
      <c r="DQ663" s="1114"/>
      <c r="DR663" s="1114"/>
      <c r="DS663" s="1114"/>
      <c r="DT663" s="1114"/>
      <c r="DU663" s="1114"/>
      <c r="DV663" s="1115"/>
      <c r="DW663" s="1116"/>
      <c r="DX663" s="1116"/>
      <c r="DY663" s="1116"/>
      <c r="DZ663" s="1116"/>
      <c r="EA663" s="1116"/>
      <c r="EB663" s="1116"/>
      <c r="EC663" s="1116"/>
      <c r="ED663" s="1116"/>
      <c r="EE663" s="1116"/>
      <c r="EF663" s="1116"/>
      <c r="EG663" s="1116"/>
      <c r="EH663" s="1116"/>
      <c r="EI663" s="1116"/>
      <c r="EJ663" s="1116"/>
      <c r="EK663" s="1116"/>
      <c r="EL663" s="1116"/>
      <c r="EM663" s="1116"/>
      <c r="EN663" s="1116"/>
      <c r="EO663" s="1116"/>
      <c r="EP663" s="1116"/>
      <c r="EQ663" s="1116"/>
      <c r="ER663" s="1116"/>
      <c r="ES663" s="1116"/>
    </row>
    <row r="664" spans="1:149" ht="15" customHeight="1">
      <c r="A664" s="1185">
        <v>654</v>
      </c>
      <c r="B664" s="1041"/>
      <c r="C664" s="1050"/>
      <c r="D664" s="1050"/>
      <c r="E664" s="1050"/>
      <c r="F664" s="1049"/>
      <c r="G664" s="1049"/>
      <c r="H664" s="1049"/>
      <c r="I664" s="1049"/>
      <c r="J664" s="1050"/>
      <c r="K664" s="1050"/>
      <c r="L664" s="1043"/>
      <c r="M664" s="1051"/>
      <c r="N664" s="1051"/>
      <c r="O664" s="1052"/>
      <c r="P664" s="1051"/>
      <c r="Q664" s="1051"/>
      <c r="R664" s="1052"/>
      <c r="S664" s="1051"/>
      <c r="T664" s="1051"/>
      <c r="U664" s="1052"/>
      <c r="V664" s="1051"/>
      <c r="W664" s="1051"/>
      <c r="X664" s="1052"/>
      <c r="Y664" s="1053"/>
      <c r="Z664" s="1051"/>
      <c r="AA664" s="1051"/>
      <c r="AB664" s="1052"/>
      <c r="AC664" s="1051"/>
      <c r="AD664" s="1051"/>
      <c r="AE664" s="1052"/>
      <c r="AF664" s="1051"/>
      <c r="AG664" s="1051"/>
      <c r="AH664" s="1051"/>
      <c r="AI664" s="1051"/>
      <c r="AJ664" s="1052"/>
      <c r="AK664" s="1051"/>
      <c r="AL664" s="1051"/>
      <c r="AM664" s="1052"/>
      <c r="AN664" s="1051"/>
      <c r="AO664" s="1051"/>
      <c r="AP664" s="1052"/>
      <c r="AQ664" s="1051"/>
      <c r="AR664" s="1051"/>
      <c r="AS664" s="1052"/>
      <c r="AT664" s="1051"/>
      <c r="AU664" s="1051"/>
      <c r="AV664" s="1052"/>
      <c r="AW664" s="1051"/>
      <c r="AX664" s="1051"/>
      <c r="AY664" s="1053"/>
      <c r="AZ664" s="1051"/>
      <c r="BA664" s="1051"/>
      <c r="BB664" s="1053"/>
      <c r="BC664" s="1051"/>
      <c r="BD664" s="1051"/>
      <c r="BE664" s="1053"/>
      <c r="BF664" s="1051"/>
      <c r="BG664" s="1051"/>
      <c r="BH664" s="1053"/>
      <c r="BI664" s="1052"/>
      <c r="BJ664" s="1052"/>
      <c r="BK664" s="1052"/>
      <c r="BL664" s="1052"/>
      <c r="BM664" s="1052"/>
      <c r="BN664" s="1054"/>
      <c r="BO664" s="1076">
        <f t="shared" si="11"/>
        <v>0</v>
      </c>
      <c r="BP664" s="1051"/>
      <c r="BQ664" s="1052"/>
      <c r="BR664" s="1054"/>
      <c r="BS664" s="1053"/>
      <c r="BT664" s="1051"/>
      <c r="BU664" s="1051"/>
      <c r="BV664" s="1051"/>
      <c r="BW664" s="1052"/>
      <c r="BX664" s="1052"/>
      <c r="BY664" s="1052"/>
      <c r="BZ664" s="1052"/>
      <c r="CA664" s="1052"/>
      <c r="CB664" s="1053"/>
      <c r="CC664" s="1053"/>
      <c r="CD664" s="1053"/>
      <c r="CE664" s="1053"/>
      <c r="CF664" s="1053"/>
      <c r="CG664" s="1053"/>
      <c r="CH664" s="1053"/>
      <c r="CI664" s="1123"/>
      <c r="CJ664" s="1123"/>
      <c r="CK664" s="1123"/>
      <c r="CL664" s="1123"/>
      <c r="CM664" s="1123"/>
      <c r="CN664" s="1123"/>
      <c r="CO664" s="1123"/>
      <c r="CP664" s="1123"/>
      <c r="CQ664" s="1123"/>
      <c r="CR664" s="1123"/>
      <c r="CS664" s="1123"/>
      <c r="CT664" s="1123"/>
      <c r="CU664" s="1123"/>
      <c r="CV664" s="1123"/>
      <c r="CW664" s="1123"/>
      <c r="CX664" s="1123"/>
      <c r="CY664" s="1123"/>
      <c r="CZ664" s="1114"/>
      <c r="DA664" s="1114"/>
      <c r="DB664" s="1114"/>
      <c r="DC664" s="1114"/>
      <c r="DD664" s="1114"/>
      <c r="DE664" s="1114"/>
      <c r="DF664" s="1114"/>
      <c r="DG664" s="1114"/>
      <c r="DH664" s="1114"/>
      <c r="DI664" s="1114"/>
      <c r="DJ664" s="1114"/>
      <c r="DK664" s="1114"/>
      <c r="DL664" s="1114"/>
      <c r="DM664" s="1114"/>
      <c r="DN664" s="1114"/>
      <c r="DO664" s="1114"/>
      <c r="DP664" s="1114"/>
      <c r="DQ664" s="1114"/>
      <c r="DR664" s="1114"/>
      <c r="DS664" s="1114"/>
      <c r="DT664" s="1114"/>
      <c r="DU664" s="1114"/>
      <c r="DV664" s="1115"/>
      <c r="DW664" s="1116"/>
      <c r="DX664" s="1116"/>
      <c r="DY664" s="1116"/>
      <c r="DZ664" s="1116"/>
      <c r="EA664" s="1116"/>
      <c r="EB664" s="1116"/>
      <c r="EC664" s="1116"/>
      <c r="ED664" s="1116"/>
      <c r="EE664" s="1116"/>
      <c r="EF664" s="1116"/>
      <c r="EG664" s="1116"/>
      <c r="EH664" s="1116"/>
      <c r="EI664" s="1116"/>
      <c r="EJ664" s="1116"/>
      <c r="EK664" s="1116"/>
      <c r="EL664" s="1116"/>
      <c r="EM664" s="1116"/>
      <c r="EN664" s="1116"/>
      <c r="EO664" s="1116"/>
      <c r="EP664" s="1116"/>
      <c r="EQ664" s="1116"/>
      <c r="ER664" s="1116"/>
      <c r="ES664" s="1116"/>
    </row>
    <row r="665" spans="1:149" ht="15" customHeight="1">
      <c r="A665" s="1185">
        <v>655</v>
      </c>
      <c r="B665" s="1041"/>
      <c r="C665" s="1050"/>
      <c r="D665" s="1050"/>
      <c r="E665" s="1050"/>
      <c r="F665" s="1049"/>
      <c r="G665" s="1049"/>
      <c r="H665" s="1049"/>
      <c r="I665" s="1049"/>
      <c r="J665" s="1050"/>
      <c r="K665" s="1050"/>
      <c r="L665" s="1043"/>
      <c r="M665" s="1051"/>
      <c r="N665" s="1051"/>
      <c r="O665" s="1052"/>
      <c r="P665" s="1051"/>
      <c r="Q665" s="1051"/>
      <c r="R665" s="1052"/>
      <c r="S665" s="1051"/>
      <c r="T665" s="1051"/>
      <c r="U665" s="1052"/>
      <c r="V665" s="1051"/>
      <c r="W665" s="1051"/>
      <c r="X665" s="1052"/>
      <c r="Y665" s="1053"/>
      <c r="Z665" s="1051"/>
      <c r="AA665" s="1051"/>
      <c r="AB665" s="1052"/>
      <c r="AC665" s="1051"/>
      <c r="AD665" s="1051"/>
      <c r="AE665" s="1052"/>
      <c r="AF665" s="1051"/>
      <c r="AG665" s="1051"/>
      <c r="AH665" s="1051"/>
      <c r="AI665" s="1051"/>
      <c r="AJ665" s="1052"/>
      <c r="AK665" s="1051"/>
      <c r="AL665" s="1051"/>
      <c r="AM665" s="1052"/>
      <c r="AN665" s="1051"/>
      <c r="AO665" s="1051"/>
      <c r="AP665" s="1052"/>
      <c r="AQ665" s="1051"/>
      <c r="AR665" s="1051"/>
      <c r="AS665" s="1052"/>
      <c r="AT665" s="1051"/>
      <c r="AU665" s="1051"/>
      <c r="AV665" s="1052"/>
      <c r="AW665" s="1051"/>
      <c r="AX665" s="1051"/>
      <c r="AY665" s="1053"/>
      <c r="AZ665" s="1051"/>
      <c r="BA665" s="1051"/>
      <c r="BB665" s="1053"/>
      <c r="BC665" s="1051"/>
      <c r="BD665" s="1051"/>
      <c r="BE665" s="1053"/>
      <c r="BF665" s="1051"/>
      <c r="BG665" s="1051"/>
      <c r="BH665" s="1053"/>
      <c r="BI665" s="1052"/>
      <c r="BJ665" s="1052"/>
      <c r="BK665" s="1052"/>
      <c r="BL665" s="1052"/>
      <c r="BM665" s="1052"/>
      <c r="BN665" s="1054"/>
      <c r="BO665" s="1076">
        <f t="shared" si="11"/>
        <v>0</v>
      </c>
      <c r="BP665" s="1051"/>
      <c r="BQ665" s="1052"/>
      <c r="BR665" s="1054"/>
      <c r="BS665" s="1053"/>
      <c r="BT665" s="1051"/>
      <c r="BU665" s="1051"/>
      <c r="BV665" s="1051"/>
      <c r="BW665" s="1052"/>
      <c r="BX665" s="1052"/>
      <c r="BY665" s="1052"/>
      <c r="BZ665" s="1052"/>
      <c r="CA665" s="1052"/>
      <c r="CB665" s="1053"/>
      <c r="CC665" s="1053"/>
      <c r="CD665" s="1053"/>
      <c r="CE665" s="1053"/>
      <c r="CF665" s="1053"/>
      <c r="CG665" s="1053"/>
      <c r="CH665" s="1053"/>
      <c r="CI665" s="1123"/>
      <c r="CJ665" s="1123"/>
      <c r="CK665" s="1123"/>
      <c r="CL665" s="1123"/>
      <c r="CM665" s="1123"/>
      <c r="CN665" s="1123"/>
      <c r="CO665" s="1123"/>
      <c r="CP665" s="1123"/>
      <c r="CQ665" s="1123"/>
      <c r="CR665" s="1123"/>
      <c r="CS665" s="1123"/>
      <c r="CT665" s="1123"/>
      <c r="CU665" s="1123"/>
      <c r="CV665" s="1123"/>
      <c r="CW665" s="1123"/>
      <c r="CX665" s="1123"/>
      <c r="CY665" s="1123"/>
      <c r="CZ665" s="1114"/>
      <c r="DA665" s="1114"/>
      <c r="DB665" s="1114"/>
      <c r="DC665" s="1114"/>
      <c r="DD665" s="1114"/>
      <c r="DE665" s="1114"/>
      <c r="DF665" s="1114"/>
      <c r="DG665" s="1114"/>
      <c r="DH665" s="1114"/>
      <c r="DI665" s="1114"/>
      <c r="DJ665" s="1114"/>
      <c r="DK665" s="1114"/>
      <c r="DL665" s="1114"/>
      <c r="DM665" s="1114"/>
      <c r="DN665" s="1114"/>
      <c r="DO665" s="1114"/>
      <c r="DP665" s="1114"/>
      <c r="DQ665" s="1114"/>
      <c r="DR665" s="1114"/>
      <c r="DS665" s="1114"/>
      <c r="DT665" s="1114"/>
      <c r="DU665" s="1114"/>
      <c r="DV665" s="1115"/>
      <c r="DW665" s="1116"/>
      <c r="DX665" s="1116"/>
      <c r="DY665" s="1116"/>
      <c r="DZ665" s="1116"/>
      <c r="EA665" s="1116"/>
      <c r="EB665" s="1116"/>
      <c r="EC665" s="1116"/>
      <c r="ED665" s="1116"/>
      <c r="EE665" s="1116"/>
      <c r="EF665" s="1116"/>
      <c r="EG665" s="1116"/>
      <c r="EH665" s="1116"/>
      <c r="EI665" s="1116"/>
      <c r="EJ665" s="1116"/>
      <c r="EK665" s="1116"/>
      <c r="EL665" s="1116"/>
      <c r="EM665" s="1116"/>
      <c r="EN665" s="1116"/>
      <c r="EO665" s="1116"/>
      <c r="EP665" s="1116"/>
      <c r="EQ665" s="1116"/>
      <c r="ER665" s="1116"/>
      <c r="ES665" s="1116"/>
    </row>
    <row r="666" spans="1:149" ht="15" customHeight="1">
      <c r="A666" s="1185">
        <v>656</v>
      </c>
      <c r="B666" s="1041"/>
      <c r="C666" s="1050"/>
      <c r="D666" s="1050"/>
      <c r="E666" s="1050"/>
      <c r="F666" s="1049"/>
      <c r="G666" s="1049"/>
      <c r="H666" s="1049"/>
      <c r="I666" s="1049"/>
      <c r="J666" s="1050"/>
      <c r="K666" s="1050"/>
      <c r="L666" s="1043"/>
      <c r="M666" s="1051"/>
      <c r="N666" s="1051"/>
      <c r="O666" s="1052"/>
      <c r="P666" s="1051"/>
      <c r="Q666" s="1051"/>
      <c r="R666" s="1052"/>
      <c r="S666" s="1051"/>
      <c r="T666" s="1051"/>
      <c r="U666" s="1052"/>
      <c r="V666" s="1051"/>
      <c r="W666" s="1051"/>
      <c r="X666" s="1052"/>
      <c r="Y666" s="1053"/>
      <c r="Z666" s="1051"/>
      <c r="AA666" s="1051"/>
      <c r="AB666" s="1052"/>
      <c r="AC666" s="1051"/>
      <c r="AD666" s="1051"/>
      <c r="AE666" s="1052"/>
      <c r="AF666" s="1051"/>
      <c r="AG666" s="1051"/>
      <c r="AH666" s="1051"/>
      <c r="AI666" s="1051"/>
      <c r="AJ666" s="1052"/>
      <c r="AK666" s="1051"/>
      <c r="AL666" s="1051"/>
      <c r="AM666" s="1052"/>
      <c r="AN666" s="1051"/>
      <c r="AO666" s="1051"/>
      <c r="AP666" s="1052"/>
      <c r="AQ666" s="1051"/>
      <c r="AR666" s="1051"/>
      <c r="AS666" s="1052"/>
      <c r="AT666" s="1051"/>
      <c r="AU666" s="1051"/>
      <c r="AV666" s="1052"/>
      <c r="AW666" s="1051"/>
      <c r="AX666" s="1051"/>
      <c r="AY666" s="1053"/>
      <c r="AZ666" s="1051"/>
      <c r="BA666" s="1051"/>
      <c r="BB666" s="1053"/>
      <c r="BC666" s="1051"/>
      <c r="BD666" s="1051"/>
      <c r="BE666" s="1053"/>
      <c r="BF666" s="1051"/>
      <c r="BG666" s="1051"/>
      <c r="BH666" s="1053"/>
      <c r="BI666" s="1052"/>
      <c r="BJ666" s="1052"/>
      <c r="BK666" s="1052"/>
      <c r="BL666" s="1052"/>
      <c r="BM666" s="1052"/>
      <c r="BN666" s="1054"/>
      <c r="BO666" s="1076">
        <f t="shared" si="11"/>
        <v>0</v>
      </c>
      <c r="BP666" s="1051"/>
      <c r="BQ666" s="1052"/>
      <c r="BR666" s="1054"/>
      <c r="BS666" s="1053"/>
      <c r="BT666" s="1051"/>
      <c r="BU666" s="1051"/>
      <c r="BV666" s="1051"/>
      <c r="BW666" s="1052"/>
      <c r="BX666" s="1052"/>
      <c r="BY666" s="1052"/>
      <c r="BZ666" s="1052"/>
      <c r="CA666" s="1052"/>
      <c r="CB666" s="1053"/>
      <c r="CC666" s="1053"/>
      <c r="CD666" s="1053"/>
      <c r="CE666" s="1053"/>
      <c r="CF666" s="1053"/>
      <c r="CG666" s="1053"/>
      <c r="CH666" s="1053"/>
      <c r="CI666" s="1123"/>
      <c r="CJ666" s="1123"/>
      <c r="CK666" s="1123"/>
      <c r="CL666" s="1123"/>
      <c r="CM666" s="1123"/>
      <c r="CN666" s="1123"/>
      <c r="CO666" s="1123"/>
      <c r="CP666" s="1123"/>
      <c r="CQ666" s="1123"/>
      <c r="CR666" s="1123"/>
      <c r="CS666" s="1123"/>
      <c r="CT666" s="1123"/>
      <c r="CU666" s="1123"/>
      <c r="CV666" s="1123"/>
      <c r="CW666" s="1123"/>
      <c r="CX666" s="1123"/>
      <c r="CY666" s="1123"/>
      <c r="CZ666" s="1114"/>
      <c r="DA666" s="1114"/>
      <c r="DB666" s="1114"/>
      <c r="DC666" s="1114"/>
      <c r="DD666" s="1114"/>
      <c r="DE666" s="1114"/>
      <c r="DF666" s="1114"/>
      <c r="DG666" s="1114"/>
      <c r="DH666" s="1114"/>
      <c r="DI666" s="1114"/>
      <c r="DJ666" s="1114"/>
      <c r="DK666" s="1114"/>
      <c r="DL666" s="1114"/>
      <c r="DM666" s="1114"/>
      <c r="DN666" s="1114"/>
      <c r="DO666" s="1114"/>
      <c r="DP666" s="1114"/>
      <c r="DQ666" s="1114"/>
      <c r="DR666" s="1114"/>
      <c r="DS666" s="1114"/>
      <c r="DT666" s="1114"/>
      <c r="DU666" s="1114"/>
      <c r="DV666" s="1115"/>
      <c r="DW666" s="1116"/>
      <c r="DX666" s="1116"/>
      <c r="DY666" s="1116"/>
      <c r="DZ666" s="1116"/>
      <c r="EA666" s="1116"/>
      <c r="EB666" s="1116"/>
      <c r="EC666" s="1116"/>
      <c r="ED666" s="1116"/>
      <c r="EE666" s="1116"/>
      <c r="EF666" s="1116"/>
      <c r="EG666" s="1116"/>
      <c r="EH666" s="1116"/>
      <c r="EI666" s="1116"/>
      <c r="EJ666" s="1116"/>
      <c r="EK666" s="1116"/>
      <c r="EL666" s="1116"/>
      <c r="EM666" s="1116"/>
      <c r="EN666" s="1116"/>
      <c r="EO666" s="1116"/>
      <c r="EP666" s="1116"/>
      <c r="EQ666" s="1116"/>
      <c r="ER666" s="1116"/>
      <c r="ES666" s="1116"/>
    </row>
    <row r="667" spans="1:149" ht="15" customHeight="1">
      <c r="A667" s="1185">
        <v>657</v>
      </c>
      <c r="B667" s="1041"/>
      <c r="C667" s="1050"/>
      <c r="D667" s="1050"/>
      <c r="E667" s="1050"/>
      <c r="F667" s="1049"/>
      <c r="G667" s="1049"/>
      <c r="H667" s="1049"/>
      <c r="I667" s="1049"/>
      <c r="J667" s="1050"/>
      <c r="K667" s="1050"/>
      <c r="L667" s="1043"/>
      <c r="M667" s="1051"/>
      <c r="N667" s="1051"/>
      <c r="O667" s="1052"/>
      <c r="P667" s="1051"/>
      <c r="Q667" s="1051"/>
      <c r="R667" s="1052"/>
      <c r="S667" s="1051"/>
      <c r="T667" s="1051"/>
      <c r="U667" s="1052"/>
      <c r="V667" s="1051"/>
      <c r="W667" s="1051"/>
      <c r="X667" s="1052"/>
      <c r="Y667" s="1053"/>
      <c r="Z667" s="1051"/>
      <c r="AA667" s="1051"/>
      <c r="AB667" s="1052"/>
      <c r="AC667" s="1051"/>
      <c r="AD667" s="1051"/>
      <c r="AE667" s="1052"/>
      <c r="AF667" s="1051"/>
      <c r="AG667" s="1051"/>
      <c r="AH667" s="1051"/>
      <c r="AI667" s="1051"/>
      <c r="AJ667" s="1052"/>
      <c r="AK667" s="1051"/>
      <c r="AL667" s="1051"/>
      <c r="AM667" s="1052"/>
      <c r="AN667" s="1051"/>
      <c r="AO667" s="1051"/>
      <c r="AP667" s="1052"/>
      <c r="AQ667" s="1051"/>
      <c r="AR667" s="1051"/>
      <c r="AS667" s="1052"/>
      <c r="AT667" s="1051"/>
      <c r="AU667" s="1051"/>
      <c r="AV667" s="1052"/>
      <c r="AW667" s="1051"/>
      <c r="AX667" s="1051"/>
      <c r="AY667" s="1053"/>
      <c r="AZ667" s="1051"/>
      <c r="BA667" s="1051"/>
      <c r="BB667" s="1053"/>
      <c r="BC667" s="1051"/>
      <c r="BD667" s="1051"/>
      <c r="BE667" s="1053"/>
      <c r="BF667" s="1051"/>
      <c r="BG667" s="1051"/>
      <c r="BH667" s="1053"/>
      <c r="BI667" s="1052"/>
      <c r="BJ667" s="1052"/>
      <c r="BK667" s="1052"/>
      <c r="BL667" s="1052"/>
      <c r="BM667" s="1052"/>
      <c r="BN667" s="1054"/>
      <c r="BO667" s="1076">
        <f t="shared" si="11"/>
        <v>0</v>
      </c>
      <c r="BP667" s="1051"/>
      <c r="BQ667" s="1052"/>
      <c r="BR667" s="1054"/>
      <c r="BS667" s="1053"/>
      <c r="BT667" s="1051"/>
      <c r="BU667" s="1051"/>
      <c r="BV667" s="1051"/>
      <c r="BW667" s="1052"/>
      <c r="BX667" s="1052"/>
      <c r="BY667" s="1052"/>
      <c r="BZ667" s="1052"/>
      <c r="CA667" s="1052"/>
      <c r="CB667" s="1053"/>
      <c r="CC667" s="1053"/>
      <c r="CD667" s="1053"/>
      <c r="CE667" s="1053"/>
      <c r="CF667" s="1053"/>
      <c r="CG667" s="1053"/>
      <c r="CH667" s="1053"/>
      <c r="CI667" s="1123"/>
      <c r="CJ667" s="1123"/>
      <c r="CK667" s="1123"/>
      <c r="CL667" s="1123"/>
      <c r="CM667" s="1123"/>
      <c r="CN667" s="1123"/>
      <c r="CO667" s="1123"/>
      <c r="CP667" s="1123"/>
      <c r="CQ667" s="1123"/>
      <c r="CR667" s="1123"/>
      <c r="CS667" s="1123"/>
      <c r="CT667" s="1123"/>
      <c r="CU667" s="1123"/>
      <c r="CV667" s="1123"/>
      <c r="CW667" s="1123"/>
      <c r="CX667" s="1123"/>
      <c r="CY667" s="1123"/>
      <c r="CZ667" s="1114"/>
      <c r="DA667" s="1114"/>
      <c r="DB667" s="1114"/>
      <c r="DC667" s="1114"/>
      <c r="DD667" s="1114"/>
      <c r="DE667" s="1114"/>
      <c r="DF667" s="1114"/>
      <c r="DG667" s="1114"/>
      <c r="DH667" s="1114"/>
      <c r="DI667" s="1114"/>
      <c r="DJ667" s="1114"/>
      <c r="DK667" s="1114"/>
      <c r="DL667" s="1114"/>
      <c r="DM667" s="1114"/>
      <c r="DN667" s="1114"/>
      <c r="DO667" s="1114"/>
      <c r="DP667" s="1114"/>
      <c r="DQ667" s="1114"/>
      <c r="DR667" s="1114"/>
      <c r="DS667" s="1114"/>
      <c r="DT667" s="1114"/>
      <c r="DU667" s="1114"/>
      <c r="DV667" s="1115"/>
      <c r="DW667" s="1116"/>
      <c r="DX667" s="1116"/>
      <c r="DY667" s="1116"/>
      <c r="DZ667" s="1116"/>
      <c r="EA667" s="1116"/>
      <c r="EB667" s="1116"/>
      <c r="EC667" s="1116"/>
      <c r="ED667" s="1116"/>
      <c r="EE667" s="1116"/>
      <c r="EF667" s="1116"/>
      <c r="EG667" s="1116"/>
      <c r="EH667" s="1116"/>
      <c r="EI667" s="1116"/>
      <c r="EJ667" s="1116"/>
      <c r="EK667" s="1116"/>
      <c r="EL667" s="1116"/>
      <c r="EM667" s="1116"/>
      <c r="EN667" s="1116"/>
      <c r="EO667" s="1116"/>
      <c r="EP667" s="1116"/>
      <c r="EQ667" s="1116"/>
      <c r="ER667" s="1116"/>
      <c r="ES667" s="1116"/>
    </row>
    <row r="668" spans="1:149" ht="15" customHeight="1">
      <c r="A668" s="1185">
        <v>658</v>
      </c>
      <c r="B668" s="1041"/>
      <c r="C668" s="1050"/>
      <c r="D668" s="1050"/>
      <c r="E668" s="1050"/>
      <c r="F668" s="1049"/>
      <c r="G668" s="1049"/>
      <c r="H668" s="1049"/>
      <c r="I668" s="1049"/>
      <c r="J668" s="1050"/>
      <c r="K668" s="1050"/>
      <c r="L668" s="1043"/>
      <c r="M668" s="1051"/>
      <c r="N668" s="1051"/>
      <c r="O668" s="1052"/>
      <c r="P668" s="1051"/>
      <c r="Q668" s="1051"/>
      <c r="R668" s="1052"/>
      <c r="S668" s="1051"/>
      <c r="T668" s="1051"/>
      <c r="U668" s="1052"/>
      <c r="V668" s="1051"/>
      <c r="W668" s="1051"/>
      <c r="X668" s="1052"/>
      <c r="Y668" s="1053"/>
      <c r="Z668" s="1051"/>
      <c r="AA668" s="1051"/>
      <c r="AB668" s="1052"/>
      <c r="AC668" s="1051"/>
      <c r="AD668" s="1051"/>
      <c r="AE668" s="1052"/>
      <c r="AF668" s="1051"/>
      <c r="AG668" s="1051"/>
      <c r="AH668" s="1051"/>
      <c r="AI668" s="1051"/>
      <c r="AJ668" s="1052"/>
      <c r="AK668" s="1051"/>
      <c r="AL668" s="1051"/>
      <c r="AM668" s="1052"/>
      <c r="AN668" s="1051"/>
      <c r="AO668" s="1051"/>
      <c r="AP668" s="1052"/>
      <c r="AQ668" s="1051"/>
      <c r="AR668" s="1051"/>
      <c r="AS668" s="1052"/>
      <c r="AT668" s="1051"/>
      <c r="AU668" s="1051"/>
      <c r="AV668" s="1052"/>
      <c r="AW668" s="1051"/>
      <c r="AX668" s="1051"/>
      <c r="AY668" s="1053"/>
      <c r="AZ668" s="1051"/>
      <c r="BA668" s="1051"/>
      <c r="BB668" s="1053"/>
      <c r="BC668" s="1051"/>
      <c r="BD668" s="1051"/>
      <c r="BE668" s="1053"/>
      <c r="BF668" s="1051"/>
      <c r="BG668" s="1051"/>
      <c r="BH668" s="1053"/>
      <c r="BI668" s="1052"/>
      <c r="BJ668" s="1052"/>
      <c r="BK668" s="1052"/>
      <c r="BL668" s="1052"/>
      <c r="BM668" s="1052"/>
      <c r="BN668" s="1054"/>
      <c r="BO668" s="1076">
        <f t="shared" si="11"/>
        <v>0</v>
      </c>
      <c r="BP668" s="1051"/>
      <c r="BQ668" s="1052"/>
      <c r="BR668" s="1054"/>
      <c r="BS668" s="1053"/>
      <c r="BT668" s="1051"/>
      <c r="BU668" s="1051"/>
      <c r="BV668" s="1051"/>
      <c r="BW668" s="1052"/>
      <c r="BX668" s="1052"/>
      <c r="BY668" s="1052"/>
      <c r="BZ668" s="1052"/>
      <c r="CA668" s="1052"/>
      <c r="CB668" s="1053"/>
      <c r="CC668" s="1053"/>
      <c r="CD668" s="1053"/>
      <c r="CE668" s="1053"/>
      <c r="CF668" s="1053"/>
      <c r="CG668" s="1053"/>
      <c r="CH668" s="1053"/>
      <c r="CI668" s="1123"/>
      <c r="CJ668" s="1123"/>
      <c r="CK668" s="1123"/>
      <c r="CL668" s="1123"/>
      <c r="CM668" s="1123"/>
      <c r="CN668" s="1123"/>
      <c r="CO668" s="1123"/>
      <c r="CP668" s="1123"/>
      <c r="CQ668" s="1123"/>
      <c r="CR668" s="1123"/>
      <c r="CS668" s="1123"/>
      <c r="CT668" s="1123"/>
      <c r="CU668" s="1123"/>
      <c r="CV668" s="1123"/>
      <c r="CW668" s="1123"/>
      <c r="CX668" s="1123"/>
      <c r="CY668" s="1123"/>
      <c r="CZ668" s="1114"/>
      <c r="DA668" s="1114"/>
      <c r="DB668" s="1114"/>
      <c r="DC668" s="1114"/>
      <c r="DD668" s="1114"/>
      <c r="DE668" s="1114"/>
      <c r="DF668" s="1114"/>
      <c r="DG668" s="1114"/>
      <c r="DH668" s="1114"/>
      <c r="DI668" s="1114"/>
      <c r="DJ668" s="1114"/>
      <c r="DK668" s="1114"/>
      <c r="DL668" s="1114"/>
      <c r="DM668" s="1114"/>
      <c r="DN668" s="1114"/>
      <c r="DO668" s="1114"/>
      <c r="DP668" s="1114"/>
      <c r="DQ668" s="1114"/>
      <c r="DR668" s="1114"/>
      <c r="DS668" s="1114"/>
      <c r="DT668" s="1114"/>
      <c r="DU668" s="1114"/>
      <c r="DV668" s="1115"/>
      <c r="DW668" s="1116"/>
      <c r="DX668" s="1116"/>
      <c r="DY668" s="1116"/>
      <c r="DZ668" s="1116"/>
      <c r="EA668" s="1116"/>
      <c r="EB668" s="1116"/>
      <c r="EC668" s="1116"/>
      <c r="ED668" s="1116"/>
      <c r="EE668" s="1116"/>
      <c r="EF668" s="1116"/>
      <c r="EG668" s="1116"/>
      <c r="EH668" s="1116"/>
      <c r="EI668" s="1116"/>
      <c r="EJ668" s="1116"/>
      <c r="EK668" s="1116"/>
      <c r="EL668" s="1116"/>
      <c r="EM668" s="1116"/>
      <c r="EN668" s="1116"/>
      <c r="EO668" s="1116"/>
      <c r="EP668" s="1116"/>
      <c r="EQ668" s="1116"/>
      <c r="ER668" s="1116"/>
      <c r="ES668" s="1116"/>
    </row>
    <row r="669" spans="1:149" ht="15" customHeight="1">
      <c r="A669" s="1185">
        <v>659</v>
      </c>
      <c r="B669" s="1041"/>
      <c r="C669" s="1050"/>
      <c r="D669" s="1050"/>
      <c r="E669" s="1050"/>
      <c r="F669" s="1049"/>
      <c r="G669" s="1049"/>
      <c r="H669" s="1049"/>
      <c r="I669" s="1049"/>
      <c r="J669" s="1050"/>
      <c r="K669" s="1050"/>
      <c r="L669" s="1043"/>
      <c r="M669" s="1051"/>
      <c r="N669" s="1051"/>
      <c r="O669" s="1052"/>
      <c r="P669" s="1051"/>
      <c r="Q669" s="1051"/>
      <c r="R669" s="1052"/>
      <c r="S669" s="1051"/>
      <c r="T669" s="1051"/>
      <c r="U669" s="1052"/>
      <c r="V669" s="1051"/>
      <c r="W669" s="1051"/>
      <c r="X669" s="1052"/>
      <c r="Y669" s="1053"/>
      <c r="Z669" s="1051"/>
      <c r="AA669" s="1051"/>
      <c r="AB669" s="1052"/>
      <c r="AC669" s="1051"/>
      <c r="AD669" s="1051"/>
      <c r="AE669" s="1052"/>
      <c r="AF669" s="1051"/>
      <c r="AG669" s="1051"/>
      <c r="AH669" s="1051"/>
      <c r="AI669" s="1051"/>
      <c r="AJ669" s="1052"/>
      <c r="AK669" s="1051"/>
      <c r="AL669" s="1051"/>
      <c r="AM669" s="1052"/>
      <c r="AN669" s="1051"/>
      <c r="AO669" s="1051"/>
      <c r="AP669" s="1052"/>
      <c r="AQ669" s="1051"/>
      <c r="AR669" s="1051"/>
      <c r="AS669" s="1052"/>
      <c r="AT669" s="1051"/>
      <c r="AU669" s="1051"/>
      <c r="AV669" s="1052"/>
      <c r="AW669" s="1051"/>
      <c r="AX669" s="1051"/>
      <c r="AY669" s="1053"/>
      <c r="AZ669" s="1051"/>
      <c r="BA669" s="1051"/>
      <c r="BB669" s="1053"/>
      <c r="BC669" s="1051"/>
      <c r="BD669" s="1051"/>
      <c r="BE669" s="1053"/>
      <c r="BF669" s="1051"/>
      <c r="BG669" s="1051"/>
      <c r="BH669" s="1053"/>
      <c r="BI669" s="1052"/>
      <c r="BJ669" s="1052"/>
      <c r="BK669" s="1052"/>
      <c r="BL669" s="1052"/>
      <c r="BM669" s="1052"/>
      <c r="BN669" s="1054"/>
      <c r="BO669" s="1076">
        <f t="shared" si="11"/>
        <v>0</v>
      </c>
      <c r="BP669" s="1051"/>
      <c r="BQ669" s="1052"/>
      <c r="BR669" s="1054"/>
      <c r="BS669" s="1053"/>
      <c r="BT669" s="1051"/>
      <c r="BU669" s="1051"/>
      <c r="BV669" s="1051"/>
      <c r="BW669" s="1052"/>
      <c r="BX669" s="1052"/>
      <c r="BY669" s="1052"/>
      <c r="BZ669" s="1052"/>
      <c r="CA669" s="1052"/>
      <c r="CB669" s="1053"/>
      <c r="CC669" s="1053"/>
      <c r="CD669" s="1053"/>
      <c r="CE669" s="1053"/>
      <c r="CF669" s="1053"/>
      <c r="CG669" s="1053"/>
      <c r="CH669" s="1053"/>
      <c r="CI669" s="1123"/>
      <c r="CJ669" s="1123"/>
      <c r="CK669" s="1123"/>
      <c r="CL669" s="1123"/>
      <c r="CM669" s="1123"/>
      <c r="CN669" s="1123"/>
      <c r="CO669" s="1123"/>
      <c r="CP669" s="1123"/>
      <c r="CQ669" s="1123"/>
      <c r="CR669" s="1123"/>
      <c r="CS669" s="1123"/>
      <c r="CT669" s="1123"/>
      <c r="CU669" s="1123"/>
      <c r="CV669" s="1123"/>
      <c r="CW669" s="1123"/>
      <c r="CX669" s="1123"/>
      <c r="CY669" s="1123"/>
      <c r="CZ669" s="1114"/>
      <c r="DA669" s="1114"/>
      <c r="DB669" s="1114"/>
      <c r="DC669" s="1114"/>
      <c r="DD669" s="1114"/>
      <c r="DE669" s="1114"/>
      <c r="DF669" s="1114"/>
      <c r="DG669" s="1114"/>
      <c r="DH669" s="1114"/>
      <c r="DI669" s="1114"/>
      <c r="DJ669" s="1114"/>
      <c r="DK669" s="1114"/>
      <c r="DL669" s="1114"/>
      <c r="DM669" s="1114"/>
      <c r="DN669" s="1114"/>
      <c r="DO669" s="1114"/>
      <c r="DP669" s="1114"/>
      <c r="DQ669" s="1114"/>
      <c r="DR669" s="1114"/>
      <c r="DS669" s="1114"/>
      <c r="DT669" s="1114"/>
      <c r="DU669" s="1114"/>
      <c r="DV669" s="1115"/>
      <c r="DW669" s="1116"/>
      <c r="DX669" s="1116"/>
      <c r="DY669" s="1116"/>
      <c r="DZ669" s="1116"/>
      <c r="EA669" s="1116"/>
      <c r="EB669" s="1116"/>
      <c r="EC669" s="1116"/>
      <c r="ED669" s="1116"/>
      <c r="EE669" s="1116"/>
      <c r="EF669" s="1116"/>
      <c r="EG669" s="1116"/>
      <c r="EH669" s="1116"/>
      <c r="EI669" s="1116"/>
      <c r="EJ669" s="1116"/>
      <c r="EK669" s="1116"/>
      <c r="EL669" s="1116"/>
      <c r="EM669" s="1116"/>
      <c r="EN669" s="1116"/>
      <c r="EO669" s="1116"/>
      <c r="EP669" s="1116"/>
      <c r="EQ669" s="1116"/>
      <c r="ER669" s="1116"/>
      <c r="ES669" s="1116"/>
    </row>
    <row r="670" spans="1:149" ht="15" customHeight="1">
      <c r="A670" s="1185">
        <v>660</v>
      </c>
      <c r="B670" s="1041"/>
      <c r="C670" s="1050"/>
      <c r="D670" s="1050"/>
      <c r="E670" s="1050"/>
      <c r="F670" s="1049"/>
      <c r="G670" s="1049"/>
      <c r="H670" s="1049"/>
      <c r="I670" s="1049"/>
      <c r="J670" s="1050"/>
      <c r="K670" s="1050"/>
      <c r="L670" s="1043"/>
      <c r="M670" s="1051"/>
      <c r="N670" s="1051"/>
      <c r="O670" s="1052"/>
      <c r="P670" s="1051"/>
      <c r="Q670" s="1051"/>
      <c r="R670" s="1052"/>
      <c r="S670" s="1051"/>
      <c r="T670" s="1051"/>
      <c r="U670" s="1052"/>
      <c r="V670" s="1051"/>
      <c r="W670" s="1051"/>
      <c r="X670" s="1052"/>
      <c r="Y670" s="1053"/>
      <c r="Z670" s="1051"/>
      <c r="AA670" s="1051"/>
      <c r="AB670" s="1052"/>
      <c r="AC670" s="1051"/>
      <c r="AD670" s="1051"/>
      <c r="AE670" s="1052"/>
      <c r="AF670" s="1051"/>
      <c r="AG670" s="1051"/>
      <c r="AH670" s="1051"/>
      <c r="AI670" s="1051"/>
      <c r="AJ670" s="1052"/>
      <c r="AK670" s="1051"/>
      <c r="AL670" s="1051"/>
      <c r="AM670" s="1052"/>
      <c r="AN670" s="1051"/>
      <c r="AO670" s="1051"/>
      <c r="AP670" s="1052"/>
      <c r="AQ670" s="1051"/>
      <c r="AR670" s="1051"/>
      <c r="AS670" s="1052"/>
      <c r="AT670" s="1051"/>
      <c r="AU670" s="1051"/>
      <c r="AV670" s="1052"/>
      <c r="AW670" s="1051"/>
      <c r="AX670" s="1051"/>
      <c r="AY670" s="1053"/>
      <c r="AZ670" s="1051"/>
      <c r="BA670" s="1051"/>
      <c r="BB670" s="1053"/>
      <c r="BC670" s="1051"/>
      <c r="BD670" s="1051"/>
      <c r="BE670" s="1053"/>
      <c r="BF670" s="1051"/>
      <c r="BG670" s="1051"/>
      <c r="BH670" s="1053"/>
      <c r="BI670" s="1052"/>
      <c r="BJ670" s="1052"/>
      <c r="BK670" s="1052"/>
      <c r="BL670" s="1052"/>
      <c r="BM670" s="1052"/>
      <c r="BN670" s="1054"/>
      <c r="BO670" s="1076">
        <f t="shared" si="11"/>
        <v>0</v>
      </c>
      <c r="BP670" s="1051"/>
      <c r="BQ670" s="1052"/>
      <c r="BR670" s="1054"/>
      <c r="BS670" s="1053"/>
      <c r="BT670" s="1051"/>
      <c r="BU670" s="1051"/>
      <c r="BV670" s="1051"/>
      <c r="BW670" s="1052"/>
      <c r="BX670" s="1052"/>
      <c r="BY670" s="1052"/>
      <c r="BZ670" s="1052"/>
      <c r="CA670" s="1052"/>
      <c r="CB670" s="1053"/>
      <c r="CC670" s="1053"/>
      <c r="CD670" s="1053"/>
      <c r="CE670" s="1053"/>
      <c r="CF670" s="1053"/>
      <c r="CG670" s="1053"/>
      <c r="CH670" s="1053"/>
      <c r="CI670" s="1123"/>
      <c r="CJ670" s="1123"/>
      <c r="CK670" s="1123"/>
      <c r="CL670" s="1123"/>
      <c r="CM670" s="1123"/>
      <c r="CN670" s="1123"/>
      <c r="CO670" s="1123"/>
      <c r="CP670" s="1123"/>
      <c r="CQ670" s="1123"/>
      <c r="CR670" s="1123"/>
      <c r="CS670" s="1123"/>
      <c r="CT670" s="1123"/>
      <c r="CU670" s="1123"/>
      <c r="CV670" s="1123"/>
      <c r="CW670" s="1123"/>
      <c r="CX670" s="1123"/>
      <c r="CY670" s="1123"/>
      <c r="CZ670" s="1114"/>
      <c r="DA670" s="1114"/>
      <c r="DB670" s="1114"/>
      <c r="DC670" s="1114"/>
      <c r="DD670" s="1114"/>
      <c r="DE670" s="1114"/>
      <c r="DF670" s="1114"/>
      <c r="DG670" s="1114"/>
      <c r="DH670" s="1114"/>
      <c r="DI670" s="1114"/>
      <c r="DJ670" s="1114"/>
      <c r="DK670" s="1114"/>
      <c r="DL670" s="1114"/>
      <c r="DM670" s="1114"/>
      <c r="DN670" s="1114"/>
      <c r="DO670" s="1114"/>
      <c r="DP670" s="1114"/>
      <c r="DQ670" s="1114"/>
      <c r="DR670" s="1114"/>
      <c r="DS670" s="1114"/>
      <c r="DT670" s="1114"/>
      <c r="DU670" s="1114"/>
      <c r="DV670" s="1115"/>
      <c r="DW670" s="1116"/>
      <c r="DX670" s="1116"/>
      <c r="DY670" s="1116"/>
      <c r="DZ670" s="1116"/>
      <c r="EA670" s="1116"/>
      <c r="EB670" s="1116"/>
      <c r="EC670" s="1116"/>
      <c r="ED670" s="1116"/>
      <c r="EE670" s="1116"/>
      <c r="EF670" s="1116"/>
      <c r="EG670" s="1116"/>
      <c r="EH670" s="1116"/>
      <c r="EI670" s="1116"/>
      <c r="EJ670" s="1116"/>
      <c r="EK670" s="1116"/>
      <c r="EL670" s="1116"/>
      <c r="EM670" s="1116"/>
      <c r="EN670" s="1116"/>
      <c r="EO670" s="1116"/>
      <c r="EP670" s="1116"/>
      <c r="EQ670" s="1116"/>
      <c r="ER670" s="1116"/>
      <c r="ES670" s="1116"/>
    </row>
    <row r="671" spans="1:149" ht="15" customHeight="1">
      <c r="A671" s="1185">
        <v>661</v>
      </c>
      <c r="B671" s="1041"/>
      <c r="C671" s="1050"/>
      <c r="D671" s="1050"/>
      <c r="E671" s="1050"/>
      <c r="F671" s="1049"/>
      <c r="G671" s="1049"/>
      <c r="H671" s="1049"/>
      <c r="I671" s="1049"/>
      <c r="J671" s="1050"/>
      <c r="K671" s="1050"/>
      <c r="L671" s="1043"/>
      <c r="M671" s="1051"/>
      <c r="N671" s="1051"/>
      <c r="O671" s="1052"/>
      <c r="P671" s="1051"/>
      <c r="Q671" s="1051"/>
      <c r="R671" s="1052"/>
      <c r="S671" s="1051"/>
      <c r="T671" s="1051"/>
      <c r="U671" s="1052"/>
      <c r="V671" s="1051"/>
      <c r="W671" s="1051"/>
      <c r="X671" s="1052"/>
      <c r="Y671" s="1053"/>
      <c r="Z671" s="1051"/>
      <c r="AA671" s="1051"/>
      <c r="AB671" s="1052"/>
      <c r="AC671" s="1051"/>
      <c r="AD671" s="1051"/>
      <c r="AE671" s="1052"/>
      <c r="AF671" s="1051"/>
      <c r="AG671" s="1051"/>
      <c r="AH671" s="1051"/>
      <c r="AI671" s="1051"/>
      <c r="AJ671" s="1052"/>
      <c r="AK671" s="1051"/>
      <c r="AL671" s="1051"/>
      <c r="AM671" s="1052"/>
      <c r="AN671" s="1051"/>
      <c r="AO671" s="1051"/>
      <c r="AP671" s="1052"/>
      <c r="AQ671" s="1051"/>
      <c r="AR671" s="1051"/>
      <c r="AS671" s="1052"/>
      <c r="AT671" s="1051"/>
      <c r="AU671" s="1051"/>
      <c r="AV671" s="1052"/>
      <c r="AW671" s="1051"/>
      <c r="AX671" s="1051"/>
      <c r="AY671" s="1053"/>
      <c r="AZ671" s="1051"/>
      <c r="BA671" s="1051"/>
      <c r="BB671" s="1053"/>
      <c r="BC671" s="1051"/>
      <c r="BD671" s="1051"/>
      <c r="BE671" s="1053"/>
      <c r="BF671" s="1051"/>
      <c r="BG671" s="1051"/>
      <c r="BH671" s="1053"/>
      <c r="BI671" s="1052"/>
      <c r="BJ671" s="1052"/>
      <c r="BK671" s="1052"/>
      <c r="BL671" s="1052"/>
      <c r="BM671" s="1052"/>
      <c r="BN671" s="1054"/>
      <c r="BO671" s="1076">
        <f t="shared" si="11"/>
        <v>0</v>
      </c>
      <c r="BP671" s="1051"/>
      <c r="BQ671" s="1052"/>
      <c r="BR671" s="1054"/>
      <c r="BS671" s="1053"/>
      <c r="BT671" s="1051"/>
      <c r="BU671" s="1051"/>
      <c r="BV671" s="1051"/>
      <c r="BW671" s="1052"/>
      <c r="BX671" s="1052"/>
      <c r="BY671" s="1052"/>
      <c r="BZ671" s="1052"/>
      <c r="CA671" s="1052"/>
      <c r="CB671" s="1053"/>
      <c r="CC671" s="1053"/>
      <c r="CD671" s="1053"/>
      <c r="CE671" s="1053"/>
      <c r="CF671" s="1053"/>
      <c r="CG671" s="1053"/>
      <c r="CH671" s="1053"/>
      <c r="CI671" s="1123"/>
      <c r="CJ671" s="1123"/>
      <c r="CK671" s="1123"/>
      <c r="CL671" s="1123"/>
      <c r="CM671" s="1123"/>
      <c r="CN671" s="1123"/>
      <c r="CO671" s="1123"/>
      <c r="CP671" s="1123"/>
      <c r="CQ671" s="1123"/>
      <c r="CR671" s="1123"/>
      <c r="CS671" s="1123"/>
      <c r="CT671" s="1123"/>
      <c r="CU671" s="1123"/>
      <c r="CV671" s="1123"/>
      <c r="CW671" s="1123"/>
      <c r="CX671" s="1123"/>
      <c r="CY671" s="1123"/>
      <c r="CZ671" s="1114"/>
      <c r="DA671" s="1114"/>
      <c r="DB671" s="1114"/>
      <c r="DC671" s="1114"/>
      <c r="DD671" s="1114"/>
      <c r="DE671" s="1114"/>
      <c r="DF671" s="1114"/>
      <c r="DG671" s="1114"/>
      <c r="DH671" s="1114"/>
      <c r="DI671" s="1114"/>
      <c r="DJ671" s="1114"/>
      <c r="DK671" s="1114"/>
      <c r="DL671" s="1114"/>
      <c r="DM671" s="1114"/>
      <c r="DN671" s="1114"/>
      <c r="DO671" s="1114"/>
      <c r="DP671" s="1114"/>
      <c r="DQ671" s="1114"/>
      <c r="DR671" s="1114"/>
      <c r="DS671" s="1114"/>
      <c r="DT671" s="1114"/>
      <c r="DU671" s="1114"/>
      <c r="DV671" s="1115"/>
      <c r="DW671" s="1116"/>
      <c r="DX671" s="1116"/>
      <c r="DY671" s="1116"/>
      <c r="DZ671" s="1116"/>
      <c r="EA671" s="1116"/>
      <c r="EB671" s="1116"/>
      <c r="EC671" s="1116"/>
      <c r="ED671" s="1116"/>
      <c r="EE671" s="1116"/>
      <c r="EF671" s="1116"/>
      <c r="EG671" s="1116"/>
      <c r="EH671" s="1116"/>
      <c r="EI671" s="1116"/>
      <c r="EJ671" s="1116"/>
      <c r="EK671" s="1116"/>
      <c r="EL671" s="1116"/>
      <c r="EM671" s="1116"/>
      <c r="EN671" s="1116"/>
      <c r="EO671" s="1116"/>
      <c r="EP671" s="1116"/>
      <c r="EQ671" s="1116"/>
      <c r="ER671" s="1116"/>
      <c r="ES671" s="1116"/>
    </row>
    <row r="672" spans="1:149" ht="15" customHeight="1">
      <c r="A672" s="1185">
        <v>662</v>
      </c>
      <c r="B672" s="1041"/>
      <c r="C672" s="1050"/>
      <c r="D672" s="1050"/>
      <c r="E672" s="1050"/>
      <c r="F672" s="1049"/>
      <c r="G672" s="1049"/>
      <c r="H672" s="1049"/>
      <c r="I672" s="1049"/>
      <c r="J672" s="1050"/>
      <c r="K672" s="1050"/>
      <c r="L672" s="1043"/>
      <c r="M672" s="1051"/>
      <c r="N672" s="1051"/>
      <c r="O672" s="1052"/>
      <c r="P672" s="1051"/>
      <c r="Q672" s="1051"/>
      <c r="R672" s="1052"/>
      <c r="S672" s="1051"/>
      <c r="T672" s="1051"/>
      <c r="U672" s="1052"/>
      <c r="V672" s="1051"/>
      <c r="W672" s="1051"/>
      <c r="X672" s="1052"/>
      <c r="Y672" s="1053"/>
      <c r="Z672" s="1051"/>
      <c r="AA672" s="1051"/>
      <c r="AB672" s="1052"/>
      <c r="AC672" s="1051"/>
      <c r="AD672" s="1051"/>
      <c r="AE672" s="1052"/>
      <c r="AF672" s="1051"/>
      <c r="AG672" s="1051"/>
      <c r="AH672" s="1051"/>
      <c r="AI672" s="1051"/>
      <c r="AJ672" s="1052"/>
      <c r="AK672" s="1051"/>
      <c r="AL672" s="1051"/>
      <c r="AM672" s="1052"/>
      <c r="AN672" s="1051"/>
      <c r="AO672" s="1051"/>
      <c r="AP672" s="1052"/>
      <c r="AQ672" s="1051"/>
      <c r="AR672" s="1051"/>
      <c r="AS672" s="1052"/>
      <c r="AT672" s="1051"/>
      <c r="AU672" s="1051"/>
      <c r="AV672" s="1052"/>
      <c r="AW672" s="1051"/>
      <c r="AX672" s="1051"/>
      <c r="AY672" s="1053"/>
      <c r="AZ672" s="1051"/>
      <c r="BA672" s="1051"/>
      <c r="BB672" s="1053"/>
      <c r="BC672" s="1051"/>
      <c r="BD672" s="1051"/>
      <c r="BE672" s="1053"/>
      <c r="BF672" s="1051"/>
      <c r="BG672" s="1051"/>
      <c r="BH672" s="1053"/>
      <c r="BI672" s="1052"/>
      <c r="BJ672" s="1052"/>
      <c r="BK672" s="1052"/>
      <c r="BL672" s="1052"/>
      <c r="BM672" s="1052"/>
      <c r="BN672" s="1054"/>
      <c r="BO672" s="1076">
        <f t="shared" si="11"/>
        <v>0</v>
      </c>
      <c r="BP672" s="1051"/>
      <c r="BQ672" s="1052"/>
      <c r="BR672" s="1054"/>
      <c r="BS672" s="1053"/>
      <c r="BT672" s="1051"/>
      <c r="BU672" s="1051"/>
      <c r="BV672" s="1051"/>
      <c r="BW672" s="1052"/>
      <c r="BX672" s="1052"/>
      <c r="BY672" s="1052"/>
      <c r="BZ672" s="1052"/>
      <c r="CA672" s="1052"/>
      <c r="CB672" s="1053"/>
      <c r="CC672" s="1053"/>
      <c r="CD672" s="1053"/>
      <c r="CE672" s="1053"/>
      <c r="CF672" s="1053"/>
      <c r="CG672" s="1053"/>
      <c r="CH672" s="1053"/>
      <c r="CI672" s="1123"/>
      <c r="CJ672" s="1123"/>
      <c r="CK672" s="1123"/>
      <c r="CL672" s="1123"/>
      <c r="CM672" s="1123"/>
      <c r="CN672" s="1123"/>
      <c r="CO672" s="1123"/>
      <c r="CP672" s="1123"/>
      <c r="CQ672" s="1123"/>
      <c r="CR672" s="1123"/>
      <c r="CS672" s="1123"/>
      <c r="CT672" s="1123"/>
      <c r="CU672" s="1123"/>
      <c r="CV672" s="1123"/>
      <c r="CW672" s="1123"/>
      <c r="CX672" s="1123"/>
      <c r="CY672" s="1123"/>
      <c r="CZ672" s="1114"/>
      <c r="DA672" s="1114"/>
      <c r="DB672" s="1114"/>
      <c r="DC672" s="1114"/>
      <c r="DD672" s="1114"/>
      <c r="DE672" s="1114"/>
      <c r="DF672" s="1114"/>
      <c r="DG672" s="1114"/>
      <c r="DH672" s="1114"/>
      <c r="DI672" s="1114"/>
      <c r="DJ672" s="1114"/>
      <c r="DK672" s="1114"/>
      <c r="DL672" s="1114"/>
      <c r="DM672" s="1114"/>
      <c r="DN672" s="1114"/>
      <c r="DO672" s="1114"/>
      <c r="DP672" s="1114"/>
      <c r="DQ672" s="1114"/>
      <c r="DR672" s="1114"/>
      <c r="DS672" s="1114"/>
      <c r="DT672" s="1114"/>
      <c r="DU672" s="1114"/>
      <c r="DV672" s="1115"/>
      <c r="DW672" s="1116"/>
      <c r="DX672" s="1116"/>
      <c r="DY672" s="1116"/>
      <c r="DZ672" s="1116"/>
      <c r="EA672" s="1116"/>
      <c r="EB672" s="1116"/>
      <c r="EC672" s="1116"/>
      <c r="ED672" s="1116"/>
      <c r="EE672" s="1116"/>
      <c r="EF672" s="1116"/>
      <c r="EG672" s="1116"/>
      <c r="EH672" s="1116"/>
      <c r="EI672" s="1116"/>
      <c r="EJ672" s="1116"/>
      <c r="EK672" s="1116"/>
      <c r="EL672" s="1116"/>
      <c r="EM672" s="1116"/>
      <c r="EN672" s="1116"/>
      <c r="EO672" s="1116"/>
      <c r="EP672" s="1116"/>
      <c r="EQ672" s="1116"/>
      <c r="ER672" s="1116"/>
      <c r="ES672" s="1116"/>
    </row>
    <row r="673" spans="1:149" ht="15" customHeight="1">
      <c r="A673" s="1185">
        <v>663</v>
      </c>
      <c r="B673" s="1041"/>
      <c r="C673" s="1050"/>
      <c r="D673" s="1050"/>
      <c r="E673" s="1050"/>
      <c r="F673" s="1049"/>
      <c r="G673" s="1049"/>
      <c r="H673" s="1049"/>
      <c r="I673" s="1049"/>
      <c r="J673" s="1050"/>
      <c r="K673" s="1050"/>
      <c r="L673" s="1043"/>
      <c r="M673" s="1051"/>
      <c r="N673" s="1051"/>
      <c r="O673" s="1052"/>
      <c r="P673" s="1051"/>
      <c r="Q673" s="1051"/>
      <c r="R673" s="1052"/>
      <c r="S673" s="1051"/>
      <c r="T673" s="1051"/>
      <c r="U673" s="1052"/>
      <c r="V673" s="1051"/>
      <c r="W673" s="1051"/>
      <c r="X673" s="1052"/>
      <c r="Y673" s="1053"/>
      <c r="Z673" s="1051"/>
      <c r="AA673" s="1051"/>
      <c r="AB673" s="1052"/>
      <c r="AC673" s="1051"/>
      <c r="AD673" s="1051"/>
      <c r="AE673" s="1052"/>
      <c r="AF673" s="1051"/>
      <c r="AG673" s="1051"/>
      <c r="AH673" s="1051"/>
      <c r="AI673" s="1051"/>
      <c r="AJ673" s="1052"/>
      <c r="AK673" s="1051"/>
      <c r="AL673" s="1051"/>
      <c r="AM673" s="1052"/>
      <c r="AN673" s="1051"/>
      <c r="AO673" s="1051"/>
      <c r="AP673" s="1052"/>
      <c r="AQ673" s="1051"/>
      <c r="AR673" s="1051"/>
      <c r="AS673" s="1052"/>
      <c r="AT673" s="1051"/>
      <c r="AU673" s="1051"/>
      <c r="AV673" s="1052"/>
      <c r="AW673" s="1051"/>
      <c r="AX673" s="1051"/>
      <c r="AY673" s="1053"/>
      <c r="AZ673" s="1051"/>
      <c r="BA673" s="1051"/>
      <c r="BB673" s="1053"/>
      <c r="BC673" s="1051"/>
      <c r="BD673" s="1051"/>
      <c r="BE673" s="1053"/>
      <c r="BF673" s="1051"/>
      <c r="BG673" s="1051"/>
      <c r="BH673" s="1053"/>
      <c r="BI673" s="1052"/>
      <c r="BJ673" s="1052"/>
      <c r="BK673" s="1052"/>
      <c r="BL673" s="1052"/>
      <c r="BM673" s="1052"/>
      <c r="BN673" s="1054"/>
      <c r="BO673" s="1076">
        <f t="shared" si="11"/>
        <v>0</v>
      </c>
      <c r="BP673" s="1051"/>
      <c r="BQ673" s="1052"/>
      <c r="BR673" s="1054"/>
      <c r="BS673" s="1053"/>
      <c r="BT673" s="1051"/>
      <c r="BU673" s="1051"/>
      <c r="BV673" s="1051"/>
      <c r="BW673" s="1052"/>
      <c r="BX673" s="1052"/>
      <c r="BY673" s="1052"/>
      <c r="BZ673" s="1052"/>
      <c r="CA673" s="1052"/>
      <c r="CB673" s="1053"/>
      <c r="CC673" s="1053"/>
      <c r="CD673" s="1053"/>
      <c r="CE673" s="1053"/>
      <c r="CF673" s="1053"/>
      <c r="CG673" s="1053"/>
      <c r="CH673" s="1053"/>
      <c r="CI673" s="1123"/>
      <c r="CJ673" s="1123"/>
      <c r="CK673" s="1123"/>
      <c r="CL673" s="1123"/>
      <c r="CM673" s="1123"/>
      <c r="CN673" s="1123"/>
      <c r="CO673" s="1123"/>
      <c r="CP673" s="1123"/>
      <c r="CQ673" s="1123"/>
      <c r="CR673" s="1123"/>
      <c r="CS673" s="1123"/>
      <c r="CT673" s="1123"/>
      <c r="CU673" s="1123"/>
      <c r="CV673" s="1123"/>
      <c r="CW673" s="1123"/>
      <c r="CX673" s="1123"/>
      <c r="CY673" s="1123"/>
      <c r="CZ673" s="1114"/>
      <c r="DA673" s="1114"/>
      <c r="DB673" s="1114"/>
      <c r="DC673" s="1114"/>
      <c r="DD673" s="1114"/>
      <c r="DE673" s="1114"/>
      <c r="DF673" s="1114"/>
      <c r="DG673" s="1114"/>
      <c r="DH673" s="1114"/>
      <c r="DI673" s="1114"/>
      <c r="DJ673" s="1114"/>
      <c r="DK673" s="1114"/>
      <c r="DL673" s="1114"/>
      <c r="DM673" s="1114"/>
      <c r="DN673" s="1114"/>
      <c r="DO673" s="1114"/>
      <c r="DP673" s="1114"/>
      <c r="DQ673" s="1114"/>
      <c r="DR673" s="1114"/>
      <c r="DS673" s="1114"/>
      <c r="DT673" s="1114"/>
      <c r="DU673" s="1114"/>
      <c r="DV673" s="1115"/>
      <c r="DW673" s="1116"/>
      <c r="DX673" s="1116"/>
      <c r="DY673" s="1116"/>
      <c r="DZ673" s="1116"/>
      <c r="EA673" s="1116"/>
      <c r="EB673" s="1116"/>
      <c r="EC673" s="1116"/>
      <c r="ED673" s="1116"/>
      <c r="EE673" s="1116"/>
      <c r="EF673" s="1116"/>
      <c r="EG673" s="1116"/>
      <c r="EH673" s="1116"/>
      <c r="EI673" s="1116"/>
      <c r="EJ673" s="1116"/>
      <c r="EK673" s="1116"/>
      <c r="EL673" s="1116"/>
      <c r="EM673" s="1116"/>
      <c r="EN673" s="1116"/>
      <c r="EO673" s="1116"/>
      <c r="EP673" s="1116"/>
      <c r="EQ673" s="1116"/>
      <c r="ER673" s="1116"/>
      <c r="ES673" s="1116"/>
    </row>
    <row r="674" spans="1:149" ht="15" customHeight="1">
      <c r="A674" s="1185">
        <v>664</v>
      </c>
      <c r="B674" s="1041"/>
      <c r="C674" s="1050"/>
      <c r="D674" s="1050"/>
      <c r="E674" s="1050"/>
      <c r="F674" s="1049"/>
      <c r="G674" s="1049"/>
      <c r="H674" s="1049"/>
      <c r="I674" s="1049"/>
      <c r="J674" s="1050"/>
      <c r="K674" s="1050"/>
      <c r="L674" s="1043"/>
      <c r="M674" s="1051"/>
      <c r="N674" s="1051"/>
      <c r="O674" s="1052"/>
      <c r="P674" s="1051"/>
      <c r="Q674" s="1051"/>
      <c r="R674" s="1052"/>
      <c r="S674" s="1051"/>
      <c r="T674" s="1051"/>
      <c r="U674" s="1052"/>
      <c r="V674" s="1051"/>
      <c r="W674" s="1051"/>
      <c r="X674" s="1052"/>
      <c r="Y674" s="1053"/>
      <c r="Z674" s="1051"/>
      <c r="AA674" s="1051"/>
      <c r="AB674" s="1052"/>
      <c r="AC674" s="1051"/>
      <c r="AD674" s="1051"/>
      <c r="AE674" s="1052"/>
      <c r="AF674" s="1051"/>
      <c r="AG674" s="1051"/>
      <c r="AH674" s="1051"/>
      <c r="AI674" s="1051"/>
      <c r="AJ674" s="1052"/>
      <c r="AK674" s="1051"/>
      <c r="AL674" s="1051"/>
      <c r="AM674" s="1052"/>
      <c r="AN674" s="1051"/>
      <c r="AO674" s="1051"/>
      <c r="AP674" s="1052"/>
      <c r="AQ674" s="1051"/>
      <c r="AR674" s="1051"/>
      <c r="AS674" s="1052"/>
      <c r="AT674" s="1051"/>
      <c r="AU674" s="1051"/>
      <c r="AV674" s="1052"/>
      <c r="AW674" s="1051"/>
      <c r="AX674" s="1051"/>
      <c r="AY674" s="1053"/>
      <c r="AZ674" s="1051"/>
      <c r="BA674" s="1051"/>
      <c r="BB674" s="1053"/>
      <c r="BC674" s="1051"/>
      <c r="BD674" s="1051"/>
      <c r="BE674" s="1053"/>
      <c r="BF674" s="1051"/>
      <c r="BG674" s="1051"/>
      <c r="BH674" s="1053"/>
      <c r="BI674" s="1052"/>
      <c r="BJ674" s="1052"/>
      <c r="BK674" s="1052"/>
      <c r="BL674" s="1052"/>
      <c r="BM674" s="1052"/>
      <c r="BN674" s="1054"/>
      <c r="BO674" s="1076">
        <f t="shared" si="11"/>
        <v>0</v>
      </c>
      <c r="BP674" s="1051"/>
      <c r="BQ674" s="1052"/>
      <c r="BR674" s="1054"/>
      <c r="BS674" s="1053"/>
      <c r="BT674" s="1051"/>
      <c r="BU674" s="1051"/>
      <c r="BV674" s="1051"/>
      <c r="BW674" s="1052"/>
      <c r="BX674" s="1052"/>
      <c r="BY674" s="1052"/>
      <c r="BZ674" s="1052"/>
      <c r="CA674" s="1052"/>
      <c r="CB674" s="1053"/>
      <c r="CC674" s="1053"/>
      <c r="CD674" s="1053"/>
      <c r="CE674" s="1053"/>
      <c r="CF674" s="1053"/>
      <c r="CG674" s="1053"/>
      <c r="CH674" s="1053"/>
      <c r="CI674" s="1123"/>
      <c r="CJ674" s="1123"/>
      <c r="CK674" s="1123"/>
      <c r="CL674" s="1123"/>
      <c r="CM674" s="1123"/>
      <c r="CN674" s="1123"/>
      <c r="CO674" s="1123"/>
      <c r="CP674" s="1123"/>
      <c r="CQ674" s="1123"/>
      <c r="CR674" s="1123"/>
      <c r="CS674" s="1123"/>
      <c r="CT674" s="1123"/>
      <c r="CU674" s="1123"/>
      <c r="CV674" s="1123"/>
      <c r="CW674" s="1123"/>
      <c r="CX674" s="1123"/>
      <c r="CY674" s="1123"/>
      <c r="CZ674" s="1114"/>
      <c r="DA674" s="1114"/>
      <c r="DB674" s="1114"/>
      <c r="DC674" s="1114"/>
      <c r="DD674" s="1114"/>
      <c r="DE674" s="1114"/>
      <c r="DF674" s="1114"/>
      <c r="DG674" s="1114"/>
      <c r="DH674" s="1114"/>
      <c r="DI674" s="1114"/>
      <c r="DJ674" s="1114"/>
      <c r="DK674" s="1114"/>
      <c r="DL674" s="1114"/>
      <c r="DM674" s="1114"/>
      <c r="DN674" s="1114"/>
      <c r="DO674" s="1114"/>
      <c r="DP674" s="1114"/>
      <c r="DQ674" s="1114"/>
      <c r="DR674" s="1114"/>
      <c r="DS674" s="1114"/>
      <c r="DT674" s="1114"/>
      <c r="DU674" s="1114"/>
      <c r="DV674" s="1115"/>
      <c r="DW674" s="1116"/>
      <c r="DX674" s="1116"/>
      <c r="DY674" s="1116"/>
      <c r="DZ674" s="1116"/>
      <c r="EA674" s="1116"/>
      <c r="EB674" s="1116"/>
      <c r="EC674" s="1116"/>
      <c r="ED674" s="1116"/>
      <c r="EE674" s="1116"/>
      <c r="EF674" s="1116"/>
      <c r="EG674" s="1116"/>
      <c r="EH674" s="1116"/>
      <c r="EI674" s="1116"/>
      <c r="EJ674" s="1116"/>
      <c r="EK674" s="1116"/>
      <c r="EL674" s="1116"/>
      <c r="EM674" s="1116"/>
      <c r="EN674" s="1116"/>
      <c r="EO674" s="1116"/>
      <c r="EP674" s="1116"/>
      <c r="EQ674" s="1116"/>
      <c r="ER674" s="1116"/>
      <c r="ES674" s="1116"/>
    </row>
    <row r="675" spans="1:149" ht="15" customHeight="1">
      <c r="A675" s="1185">
        <v>665</v>
      </c>
      <c r="B675" s="1041"/>
      <c r="C675" s="1050"/>
      <c r="D675" s="1050"/>
      <c r="E675" s="1050"/>
      <c r="F675" s="1049"/>
      <c r="G675" s="1049"/>
      <c r="H675" s="1049"/>
      <c r="I675" s="1049"/>
      <c r="J675" s="1050"/>
      <c r="K675" s="1050"/>
      <c r="L675" s="1043"/>
      <c r="M675" s="1051"/>
      <c r="N675" s="1051"/>
      <c r="O675" s="1052"/>
      <c r="P675" s="1051"/>
      <c r="Q675" s="1051"/>
      <c r="R675" s="1052"/>
      <c r="S675" s="1051"/>
      <c r="T675" s="1051"/>
      <c r="U675" s="1052"/>
      <c r="V675" s="1051"/>
      <c r="W675" s="1051"/>
      <c r="X675" s="1052"/>
      <c r="Y675" s="1053"/>
      <c r="Z675" s="1051"/>
      <c r="AA675" s="1051"/>
      <c r="AB675" s="1052"/>
      <c r="AC675" s="1051"/>
      <c r="AD675" s="1051"/>
      <c r="AE675" s="1052"/>
      <c r="AF675" s="1051"/>
      <c r="AG675" s="1051"/>
      <c r="AH675" s="1051"/>
      <c r="AI675" s="1051"/>
      <c r="AJ675" s="1052"/>
      <c r="AK675" s="1051"/>
      <c r="AL675" s="1051"/>
      <c r="AM675" s="1052"/>
      <c r="AN675" s="1051"/>
      <c r="AO675" s="1051"/>
      <c r="AP675" s="1052"/>
      <c r="AQ675" s="1051"/>
      <c r="AR675" s="1051"/>
      <c r="AS675" s="1052"/>
      <c r="AT675" s="1051"/>
      <c r="AU675" s="1051"/>
      <c r="AV675" s="1052"/>
      <c r="AW675" s="1051"/>
      <c r="AX675" s="1051"/>
      <c r="AY675" s="1053"/>
      <c r="AZ675" s="1051"/>
      <c r="BA675" s="1051"/>
      <c r="BB675" s="1053"/>
      <c r="BC675" s="1051"/>
      <c r="BD675" s="1051"/>
      <c r="BE675" s="1053"/>
      <c r="BF675" s="1051"/>
      <c r="BG675" s="1051"/>
      <c r="BH675" s="1053"/>
      <c r="BI675" s="1052"/>
      <c r="BJ675" s="1052"/>
      <c r="BK675" s="1052"/>
      <c r="BL675" s="1052"/>
      <c r="BM675" s="1052"/>
      <c r="BN675" s="1054"/>
      <c r="BO675" s="1076">
        <f t="shared" si="11"/>
        <v>0</v>
      </c>
      <c r="BP675" s="1051"/>
      <c r="BQ675" s="1052"/>
      <c r="BR675" s="1054"/>
      <c r="BS675" s="1053"/>
      <c r="BT675" s="1051"/>
      <c r="BU675" s="1051"/>
      <c r="BV675" s="1051"/>
      <c r="BW675" s="1052"/>
      <c r="BX675" s="1052"/>
      <c r="BY675" s="1052"/>
      <c r="BZ675" s="1052"/>
      <c r="CA675" s="1052"/>
      <c r="CB675" s="1053"/>
      <c r="CC675" s="1053"/>
      <c r="CD675" s="1053"/>
      <c r="CE675" s="1053"/>
      <c r="CF675" s="1053"/>
      <c r="CG675" s="1053"/>
      <c r="CH675" s="1053"/>
      <c r="CI675" s="1123"/>
      <c r="CJ675" s="1123"/>
      <c r="CK675" s="1123"/>
      <c r="CL675" s="1123"/>
      <c r="CM675" s="1123"/>
      <c r="CN675" s="1123"/>
      <c r="CO675" s="1123"/>
      <c r="CP675" s="1123"/>
      <c r="CQ675" s="1123"/>
      <c r="CR675" s="1123"/>
      <c r="CS675" s="1123"/>
      <c r="CT675" s="1123"/>
      <c r="CU675" s="1123"/>
      <c r="CV675" s="1123"/>
      <c r="CW675" s="1123"/>
      <c r="CX675" s="1123"/>
      <c r="CY675" s="1123"/>
      <c r="CZ675" s="1114"/>
      <c r="DA675" s="1114"/>
      <c r="DB675" s="1114"/>
      <c r="DC675" s="1114"/>
      <c r="DD675" s="1114"/>
      <c r="DE675" s="1114"/>
      <c r="DF675" s="1114"/>
      <c r="DG675" s="1114"/>
      <c r="DH675" s="1114"/>
      <c r="DI675" s="1114"/>
      <c r="DJ675" s="1114"/>
      <c r="DK675" s="1114"/>
      <c r="DL675" s="1114"/>
      <c r="DM675" s="1114"/>
      <c r="DN675" s="1114"/>
      <c r="DO675" s="1114"/>
      <c r="DP675" s="1114"/>
      <c r="DQ675" s="1114"/>
      <c r="DR675" s="1114"/>
      <c r="DS675" s="1114"/>
      <c r="DT675" s="1114"/>
      <c r="DU675" s="1114"/>
      <c r="DV675" s="1115"/>
      <c r="DW675" s="1116"/>
      <c r="DX675" s="1116"/>
      <c r="DY675" s="1116"/>
      <c r="DZ675" s="1116"/>
      <c r="EA675" s="1116"/>
      <c r="EB675" s="1116"/>
      <c r="EC675" s="1116"/>
      <c r="ED675" s="1116"/>
      <c r="EE675" s="1116"/>
      <c r="EF675" s="1116"/>
      <c r="EG675" s="1116"/>
      <c r="EH675" s="1116"/>
      <c r="EI675" s="1116"/>
      <c r="EJ675" s="1116"/>
      <c r="EK675" s="1116"/>
      <c r="EL675" s="1116"/>
      <c r="EM675" s="1116"/>
      <c r="EN675" s="1116"/>
      <c r="EO675" s="1116"/>
      <c r="EP675" s="1116"/>
      <c r="EQ675" s="1116"/>
      <c r="ER675" s="1116"/>
      <c r="ES675" s="1116"/>
    </row>
    <row r="676" spans="1:149" ht="15" customHeight="1">
      <c r="A676" s="1185">
        <v>666</v>
      </c>
      <c r="B676" s="1041"/>
      <c r="C676" s="1050"/>
      <c r="D676" s="1050"/>
      <c r="E676" s="1050"/>
      <c r="F676" s="1049"/>
      <c r="G676" s="1049"/>
      <c r="H676" s="1049"/>
      <c r="I676" s="1049"/>
      <c r="J676" s="1050"/>
      <c r="K676" s="1050"/>
      <c r="L676" s="1043"/>
      <c r="M676" s="1051"/>
      <c r="N676" s="1051"/>
      <c r="O676" s="1052"/>
      <c r="P676" s="1051"/>
      <c r="Q676" s="1051"/>
      <c r="R676" s="1052"/>
      <c r="S676" s="1051"/>
      <c r="T676" s="1051"/>
      <c r="U676" s="1052"/>
      <c r="V676" s="1051"/>
      <c r="W676" s="1051"/>
      <c r="X676" s="1052"/>
      <c r="Y676" s="1053"/>
      <c r="Z676" s="1051"/>
      <c r="AA676" s="1051"/>
      <c r="AB676" s="1052"/>
      <c r="AC676" s="1051"/>
      <c r="AD676" s="1051"/>
      <c r="AE676" s="1052"/>
      <c r="AF676" s="1051"/>
      <c r="AG676" s="1051"/>
      <c r="AH676" s="1051"/>
      <c r="AI676" s="1051"/>
      <c r="AJ676" s="1052"/>
      <c r="AK676" s="1051"/>
      <c r="AL676" s="1051"/>
      <c r="AM676" s="1052"/>
      <c r="AN676" s="1051"/>
      <c r="AO676" s="1051"/>
      <c r="AP676" s="1052"/>
      <c r="AQ676" s="1051"/>
      <c r="AR676" s="1051"/>
      <c r="AS676" s="1052"/>
      <c r="AT676" s="1051"/>
      <c r="AU676" s="1051"/>
      <c r="AV676" s="1052"/>
      <c r="AW676" s="1051"/>
      <c r="AX676" s="1051"/>
      <c r="AY676" s="1053"/>
      <c r="AZ676" s="1051"/>
      <c r="BA676" s="1051"/>
      <c r="BB676" s="1053"/>
      <c r="BC676" s="1051"/>
      <c r="BD676" s="1051"/>
      <c r="BE676" s="1053"/>
      <c r="BF676" s="1051"/>
      <c r="BG676" s="1051"/>
      <c r="BH676" s="1053"/>
      <c r="BI676" s="1052"/>
      <c r="BJ676" s="1052"/>
      <c r="BK676" s="1052"/>
      <c r="BL676" s="1052"/>
      <c r="BM676" s="1052"/>
      <c r="BN676" s="1054"/>
      <c r="BO676" s="1076">
        <f t="shared" si="11"/>
        <v>0</v>
      </c>
      <c r="BP676" s="1051"/>
      <c r="BQ676" s="1052"/>
      <c r="BR676" s="1054"/>
      <c r="BS676" s="1053"/>
      <c r="BT676" s="1051"/>
      <c r="BU676" s="1051"/>
      <c r="BV676" s="1051"/>
      <c r="BW676" s="1052"/>
      <c r="BX676" s="1052"/>
      <c r="BY676" s="1052"/>
      <c r="BZ676" s="1052"/>
      <c r="CA676" s="1052"/>
      <c r="CB676" s="1053"/>
      <c r="CC676" s="1053"/>
      <c r="CD676" s="1053"/>
      <c r="CE676" s="1053"/>
      <c r="CF676" s="1053"/>
      <c r="CG676" s="1053"/>
      <c r="CH676" s="1053"/>
      <c r="CI676" s="1123"/>
      <c r="CJ676" s="1123"/>
      <c r="CK676" s="1123"/>
      <c r="CL676" s="1123"/>
      <c r="CM676" s="1123"/>
      <c r="CN676" s="1123"/>
      <c r="CO676" s="1123"/>
      <c r="CP676" s="1123"/>
      <c r="CQ676" s="1123"/>
      <c r="CR676" s="1123"/>
      <c r="CS676" s="1123"/>
      <c r="CT676" s="1123"/>
      <c r="CU676" s="1123"/>
      <c r="CV676" s="1123"/>
      <c r="CW676" s="1123"/>
      <c r="CX676" s="1123"/>
      <c r="CY676" s="1123"/>
      <c r="CZ676" s="1114"/>
      <c r="DA676" s="1114"/>
      <c r="DB676" s="1114"/>
      <c r="DC676" s="1114"/>
      <c r="DD676" s="1114"/>
      <c r="DE676" s="1114"/>
      <c r="DF676" s="1114"/>
      <c r="DG676" s="1114"/>
      <c r="DH676" s="1114"/>
      <c r="DI676" s="1114"/>
      <c r="DJ676" s="1114"/>
      <c r="DK676" s="1114"/>
      <c r="DL676" s="1114"/>
      <c r="DM676" s="1114"/>
      <c r="DN676" s="1114"/>
      <c r="DO676" s="1114"/>
      <c r="DP676" s="1114"/>
      <c r="DQ676" s="1114"/>
      <c r="DR676" s="1114"/>
      <c r="DS676" s="1114"/>
      <c r="DT676" s="1114"/>
      <c r="DU676" s="1114"/>
      <c r="DV676" s="1115"/>
      <c r="DW676" s="1116"/>
      <c r="DX676" s="1116"/>
      <c r="DY676" s="1116"/>
      <c r="DZ676" s="1116"/>
      <c r="EA676" s="1116"/>
      <c r="EB676" s="1116"/>
      <c r="EC676" s="1116"/>
      <c r="ED676" s="1116"/>
      <c r="EE676" s="1116"/>
      <c r="EF676" s="1116"/>
      <c r="EG676" s="1116"/>
      <c r="EH676" s="1116"/>
      <c r="EI676" s="1116"/>
      <c r="EJ676" s="1116"/>
      <c r="EK676" s="1116"/>
      <c r="EL676" s="1116"/>
      <c r="EM676" s="1116"/>
      <c r="EN676" s="1116"/>
      <c r="EO676" s="1116"/>
      <c r="EP676" s="1116"/>
      <c r="EQ676" s="1116"/>
      <c r="ER676" s="1116"/>
      <c r="ES676" s="1116"/>
    </row>
    <row r="677" spans="1:149" ht="15" customHeight="1">
      <c r="A677" s="1185">
        <v>667</v>
      </c>
      <c r="B677" s="1041"/>
      <c r="C677" s="1050"/>
      <c r="D677" s="1050"/>
      <c r="E677" s="1050"/>
      <c r="F677" s="1049"/>
      <c r="G677" s="1049"/>
      <c r="H677" s="1049"/>
      <c r="I677" s="1049"/>
      <c r="J677" s="1050"/>
      <c r="K677" s="1050"/>
      <c r="L677" s="1043"/>
      <c r="M677" s="1051"/>
      <c r="N677" s="1051"/>
      <c r="O677" s="1052"/>
      <c r="P677" s="1051"/>
      <c r="Q677" s="1051"/>
      <c r="R677" s="1052"/>
      <c r="S677" s="1051"/>
      <c r="T677" s="1051"/>
      <c r="U677" s="1052"/>
      <c r="V677" s="1051"/>
      <c r="W677" s="1051"/>
      <c r="X677" s="1052"/>
      <c r="Y677" s="1053"/>
      <c r="Z677" s="1051"/>
      <c r="AA677" s="1051"/>
      <c r="AB677" s="1052"/>
      <c r="AC677" s="1051"/>
      <c r="AD677" s="1051"/>
      <c r="AE677" s="1052"/>
      <c r="AF677" s="1051"/>
      <c r="AG677" s="1051"/>
      <c r="AH677" s="1051"/>
      <c r="AI677" s="1051"/>
      <c r="AJ677" s="1052"/>
      <c r="AK677" s="1051"/>
      <c r="AL677" s="1051"/>
      <c r="AM677" s="1052"/>
      <c r="AN677" s="1051"/>
      <c r="AO677" s="1051"/>
      <c r="AP677" s="1052"/>
      <c r="AQ677" s="1051"/>
      <c r="AR677" s="1051"/>
      <c r="AS677" s="1052"/>
      <c r="AT677" s="1051"/>
      <c r="AU677" s="1051"/>
      <c r="AV677" s="1052"/>
      <c r="AW677" s="1051"/>
      <c r="AX677" s="1051"/>
      <c r="AY677" s="1053"/>
      <c r="AZ677" s="1051"/>
      <c r="BA677" s="1051"/>
      <c r="BB677" s="1053"/>
      <c r="BC677" s="1051"/>
      <c r="BD677" s="1051"/>
      <c r="BE677" s="1053"/>
      <c r="BF677" s="1051"/>
      <c r="BG677" s="1051"/>
      <c r="BH677" s="1053"/>
      <c r="BI677" s="1052"/>
      <c r="BJ677" s="1052"/>
      <c r="BK677" s="1052"/>
      <c r="BL677" s="1052"/>
      <c r="BM677" s="1052"/>
      <c r="BN677" s="1054"/>
      <c r="BO677" s="1076">
        <f t="shared" si="11"/>
        <v>0</v>
      </c>
      <c r="BP677" s="1051"/>
      <c r="BQ677" s="1052"/>
      <c r="BR677" s="1054"/>
      <c r="BS677" s="1053"/>
      <c r="BT677" s="1051"/>
      <c r="BU677" s="1051"/>
      <c r="BV677" s="1051"/>
      <c r="BW677" s="1052"/>
      <c r="BX677" s="1052"/>
      <c r="BY677" s="1052"/>
      <c r="BZ677" s="1052"/>
      <c r="CA677" s="1052"/>
      <c r="CB677" s="1053"/>
      <c r="CC677" s="1053"/>
      <c r="CD677" s="1053"/>
      <c r="CE677" s="1053"/>
      <c r="CF677" s="1053"/>
      <c r="CG677" s="1053"/>
      <c r="CH677" s="1053"/>
      <c r="CI677" s="1123"/>
      <c r="CJ677" s="1123"/>
      <c r="CK677" s="1123"/>
      <c r="CL677" s="1123"/>
      <c r="CM677" s="1123"/>
      <c r="CN677" s="1123"/>
      <c r="CO677" s="1123"/>
      <c r="CP677" s="1123"/>
      <c r="CQ677" s="1123"/>
      <c r="CR677" s="1123"/>
      <c r="CS677" s="1123"/>
      <c r="CT677" s="1123"/>
      <c r="CU677" s="1123"/>
      <c r="CV677" s="1123"/>
      <c r="CW677" s="1123"/>
      <c r="CX677" s="1123"/>
      <c r="CY677" s="1123"/>
      <c r="CZ677" s="1114"/>
      <c r="DA677" s="1114"/>
      <c r="DB677" s="1114"/>
      <c r="DC677" s="1114"/>
      <c r="DD677" s="1114"/>
      <c r="DE677" s="1114"/>
      <c r="DF677" s="1114"/>
      <c r="DG677" s="1114"/>
      <c r="DH677" s="1114"/>
      <c r="DI677" s="1114"/>
      <c r="DJ677" s="1114"/>
      <c r="DK677" s="1114"/>
      <c r="DL677" s="1114"/>
      <c r="DM677" s="1114"/>
      <c r="DN677" s="1114"/>
      <c r="DO677" s="1114"/>
      <c r="DP677" s="1114"/>
      <c r="DQ677" s="1114"/>
      <c r="DR677" s="1114"/>
      <c r="DS677" s="1114"/>
      <c r="DT677" s="1114"/>
      <c r="DU677" s="1114"/>
      <c r="DV677" s="1115"/>
      <c r="DW677" s="1116"/>
      <c r="DX677" s="1116"/>
      <c r="DY677" s="1116"/>
      <c r="DZ677" s="1116"/>
      <c r="EA677" s="1116"/>
      <c r="EB677" s="1116"/>
      <c r="EC677" s="1116"/>
      <c r="ED677" s="1116"/>
      <c r="EE677" s="1116"/>
      <c r="EF677" s="1116"/>
      <c r="EG677" s="1116"/>
      <c r="EH677" s="1116"/>
      <c r="EI677" s="1116"/>
      <c r="EJ677" s="1116"/>
      <c r="EK677" s="1116"/>
      <c r="EL677" s="1116"/>
      <c r="EM677" s="1116"/>
      <c r="EN677" s="1116"/>
      <c r="EO677" s="1116"/>
      <c r="EP677" s="1116"/>
      <c r="EQ677" s="1116"/>
      <c r="ER677" s="1116"/>
      <c r="ES677" s="1116"/>
    </row>
    <row r="678" spans="1:149" ht="15" customHeight="1">
      <c r="A678" s="1185">
        <v>668</v>
      </c>
      <c r="B678" s="1041"/>
      <c r="C678" s="1050"/>
      <c r="D678" s="1050"/>
      <c r="E678" s="1050"/>
      <c r="F678" s="1049"/>
      <c r="G678" s="1049"/>
      <c r="H678" s="1049"/>
      <c r="I678" s="1049"/>
      <c r="J678" s="1050"/>
      <c r="K678" s="1050"/>
      <c r="L678" s="1043"/>
      <c r="M678" s="1051"/>
      <c r="N678" s="1051"/>
      <c r="O678" s="1052"/>
      <c r="P678" s="1051"/>
      <c r="Q678" s="1051"/>
      <c r="R678" s="1052"/>
      <c r="S678" s="1051"/>
      <c r="T678" s="1051"/>
      <c r="U678" s="1052"/>
      <c r="V678" s="1051"/>
      <c r="W678" s="1051"/>
      <c r="X678" s="1052"/>
      <c r="Y678" s="1053"/>
      <c r="Z678" s="1051"/>
      <c r="AA678" s="1051"/>
      <c r="AB678" s="1052"/>
      <c r="AC678" s="1051"/>
      <c r="AD678" s="1051"/>
      <c r="AE678" s="1052"/>
      <c r="AF678" s="1051"/>
      <c r="AG678" s="1051"/>
      <c r="AH678" s="1051"/>
      <c r="AI678" s="1051"/>
      <c r="AJ678" s="1052"/>
      <c r="AK678" s="1051"/>
      <c r="AL678" s="1051"/>
      <c r="AM678" s="1052"/>
      <c r="AN678" s="1051"/>
      <c r="AO678" s="1051"/>
      <c r="AP678" s="1052"/>
      <c r="AQ678" s="1051"/>
      <c r="AR678" s="1051"/>
      <c r="AS678" s="1052"/>
      <c r="AT678" s="1051"/>
      <c r="AU678" s="1051"/>
      <c r="AV678" s="1052"/>
      <c r="AW678" s="1051"/>
      <c r="AX678" s="1051"/>
      <c r="AY678" s="1053"/>
      <c r="AZ678" s="1051"/>
      <c r="BA678" s="1051"/>
      <c r="BB678" s="1053"/>
      <c r="BC678" s="1051"/>
      <c r="BD678" s="1051"/>
      <c r="BE678" s="1053"/>
      <c r="BF678" s="1051"/>
      <c r="BG678" s="1051"/>
      <c r="BH678" s="1053"/>
      <c r="BI678" s="1052"/>
      <c r="BJ678" s="1052"/>
      <c r="BK678" s="1052"/>
      <c r="BL678" s="1052"/>
      <c r="BM678" s="1052"/>
      <c r="BN678" s="1054"/>
      <c r="BO678" s="1076">
        <f t="shared" si="11"/>
        <v>0</v>
      </c>
      <c r="BP678" s="1051"/>
      <c r="BQ678" s="1052"/>
      <c r="BR678" s="1054"/>
      <c r="BS678" s="1053"/>
      <c r="BT678" s="1051"/>
      <c r="BU678" s="1051"/>
      <c r="BV678" s="1051"/>
      <c r="BW678" s="1052"/>
      <c r="BX678" s="1052"/>
      <c r="BY678" s="1052"/>
      <c r="BZ678" s="1052"/>
      <c r="CA678" s="1052"/>
      <c r="CB678" s="1053"/>
      <c r="CC678" s="1053"/>
      <c r="CD678" s="1053"/>
      <c r="CE678" s="1053"/>
      <c r="CF678" s="1053"/>
      <c r="CG678" s="1053"/>
      <c r="CH678" s="1053"/>
      <c r="CI678" s="1123"/>
      <c r="CJ678" s="1123"/>
      <c r="CK678" s="1123"/>
      <c r="CL678" s="1123"/>
      <c r="CM678" s="1123"/>
      <c r="CN678" s="1123"/>
      <c r="CO678" s="1123"/>
      <c r="CP678" s="1123"/>
      <c r="CQ678" s="1123"/>
      <c r="CR678" s="1123"/>
      <c r="CS678" s="1123"/>
      <c r="CT678" s="1123"/>
      <c r="CU678" s="1123"/>
      <c r="CV678" s="1123"/>
      <c r="CW678" s="1123"/>
      <c r="CX678" s="1123"/>
      <c r="CY678" s="1123"/>
      <c r="CZ678" s="1114"/>
      <c r="DA678" s="1114"/>
      <c r="DB678" s="1114"/>
      <c r="DC678" s="1114"/>
      <c r="DD678" s="1114"/>
      <c r="DE678" s="1114"/>
      <c r="DF678" s="1114"/>
      <c r="DG678" s="1114"/>
      <c r="DH678" s="1114"/>
      <c r="DI678" s="1114"/>
      <c r="DJ678" s="1114"/>
      <c r="DK678" s="1114"/>
      <c r="DL678" s="1114"/>
      <c r="DM678" s="1114"/>
      <c r="DN678" s="1114"/>
      <c r="DO678" s="1114"/>
      <c r="DP678" s="1114"/>
      <c r="DQ678" s="1114"/>
      <c r="DR678" s="1114"/>
      <c r="DS678" s="1114"/>
      <c r="DT678" s="1114"/>
      <c r="DU678" s="1114"/>
      <c r="DV678" s="1115"/>
      <c r="DW678" s="1116"/>
      <c r="DX678" s="1116"/>
      <c r="DY678" s="1116"/>
      <c r="DZ678" s="1116"/>
      <c r="EA678" s="1116"/>
      <c r="EB678" s="1116"/>
      <c r="EC678" s="1116"/>
      <c r="ED678" s="1116"/>
      <c r="EE678" s="1116"/>
      <c r="EF678" s="1116"/>
      <c r="EG678" s="1116"/>
      <c r="EH678" s="1116"/>
      <c r="EI678" s="1116"/>
      <c r="EJ678" s="1116"/>
      <c r="EK678" s="1116"/>
      <c r="EL678" s="1116"/>
      <c r="EM678" s="1116"/>
      <c r="EN678" s="1116"/>
      <c r="EO678" s="1116"/>
      <c r="EP678" s="1116"/>
      <c r="EQ678" s="1116"/>
      <c r="ER678" s="1116"/>
      <c r="ES678" s="1116"/>
    </row>
    <row r="679" spans="1:149" ht="15" customHeight="1">
      <c r="A679" s="1185">
        <v>669</v>
      </c>
      <c r="B679" s="1041"/>
      <c r="C679" s="1050"/>
      <c r="D679" s="1050"/>
      <c r="E679" s="1050"/>
      <c r="F679" s="1049"/>
      <c r="G679" s="1049"/>
      <c r="H679" s="1049"/>
      <c r="I679" s="1049"/>
      <c r="J679" s="1050"/>
      <c r="K679" s="1050"/>
      <c r="L679" s="1043"/>
      <c r="M679" s="1051"/>
      <c r="N679" s="1051"/>
      <c r="O679" s="1052"/>
      <c r="P679" s="1051"/>
      <c r="Q679" s="1051"/>
      <c r="R679" s="1052"/>
      <c r="S679" s="1051"/>
      <c r="T679" s="1051"/>
      <c r="U679" s="1052"/>
      <c r="V679" s="1051"/>
      <c r="W679" s="1051"/>
      <c r="X679" s="1052"/>
      <c r="Y679" s="1053"/>
      <c r="Z679" s="1051"/>
      <c r="AA679" s="1051"/>
      <c r="AB679" s="1052"/>
      <c r="AC679" s="1051"/>
      <c r="AD679" s="1051"/>
      <c r="AE679" s="1052"/>
      <c r="AF679" s="1051"/>
      <c r="AG679" s="1051"/>
      <c r="AH679" s="1051"/>
      <c r="AI679" s="1051"/>
      <c r="AJ679" s="1052"/>
      <c r="AK679" s="1051"/>
      <c r="AL679" s="1051"/>
      <c r="AM679" s="1052"/>
      <c r="AN679" s="1051"/>
      <c r="AO679" s="1051"/>
      <c r="AP679" s="1052"/>
      <c r="AQ679" s="1051"/>
      <c r="AR679" s="1051"/>
      <c r="AS679" s="1052"/>
      <c r="AT679" s="1051"/>
      <c r="AU679" s="1051"/>
      <c r="AV679" s="1052"/>
      <c r="AW679" s="1051"/>
      <c r="AX679" s="1051"/>
      <c r="AY679" s="1053"/>
      <c r="AZ679" s="1051"/>
      <c r="BA679" s="1051"/>
      <c r="BB679" s="1053"/>
      <c r="BC679" s="1051"/>
      <c r="BD679" s="1051"/>
      <c r="BE679" s="1053"/>
      <c r="BF679" s="1051"/>
      <c r="BG679" s="1051"/>
      <c r="BH679" s="1053"/>
      <c r="BI679" s="1052"/>
      <c r="BJ679" s="1052"/>
      <c r="BK679" s="1052"/>
      <c r="BL679" s="1052"/>
      <c r="BM679" s="1052"/>
      <c r="BN679" s="1054"/>
      <c r="BO679" s="1076">
        <f t="shared" si="11"/>
        <v>0</v>
      </c>
      <c r="BP679" s="1051"/>
      <c r="BQ679" s="1052"/>
      <c r="BR679" s="1054"/>
      <c r="BS679" s="1053"/>
      <c r="BT679" s="1051"/>
      <c r="BU679" s="1051"/>
      <c r="BV679" s="1051"/>
      <c r="BW679" s="1052"/>
      <c r="BX679" s="1052"/>
      <c r="BY679" s="1052"/>
      <c r="BZ679" s="1052"/>
      <c r="CA679" s="1052"/>
      <c r="CB679" s="1053"/>
      <c r="CC679" s="1053"/>
      <c r="CD679" s="1053"/>
      <c r="CE679" s="1053"/>
      <c r="CF679" s="1053"/>
      <c r="CG679" s="1053"/>
      <c r="CH679" s="1053"/>
      <c r="CI679" s="1123"/>
      <c r="CJ679" s="1123"/>
      <c r="CK679" s="1123"/>
      <c r="CL679" s="1123"/>
      <c r="CM679" s="1123"/>
      <c r="CN679" s="1123"/>
      <c r="CO679" s="1123"/>
      <c r="CP679" s="1123"/>
      <c r="CQ679" s="1123"/>
      <c r="CR679" s="1123"/>
      <c r="CS679" s="1123"/>
      <c r="CT679" s="1123"/>
      <c r="CU679" s="1123"/>
      <c r="CV679" s="1123"/>
      <c r="CW679" s="1123"/>
      <c r="CX679" s="1123"/>
      <c r="CY679" s="1123"/>
      <c r="CZ679" s="1114"/>
      <c r="DA679" s="1114"/>
      <c r="DB679" s="1114"/>
      <c r="DC679" s="1114"/>
      <c r="DD679" s="1114"/>
      <c r="DE679" s="1114"/>
      <c r="DF679" s="1114"/>
      <c r="DG679" s="1114"/>
      <c r="DH679" s="1114"/>
      <c r="DI679" s="1114"/>
      <c r="DJ679" s="1114"/>
      <c r="DK679" s="1114"/>
      <c r="DL679" s="1114"/>
      <c r="DM679" s="1114"/>
      <c r="DN679" s="1114"/>
      <c r="DO679" s="1114"/>
      <c r="DP679" s="1114"/>
      <c r="DQ679" s="1114"/>
      <c r="DR679" s="1114"/>
      <c r="DS679" s="1114"/>
      <c r="DT679" s="1114"/>
      <c r="DU679" s="1114"/>
      <c r="DV679" s="1115"/>
      <c r="DW679" s="1116"/>
      <c r="DX679" s="1116"/>
      <c r="DY679" s="1116"/>
      <c r="DZ679" s="1116"/>
      <c r="EA679" s="1116"/>
      <c r="EB679" s="1116"/>
      <c r="EC679" s="1116"/>
      <c r="ED679" s="1116"/>
      <c r="EE679" s="1116"/>
      <c r="EF679" s="1116"/>
      <c r="EG679" s="1116"/>
      <c r="EH679" s="1116"/>
      <c r="EI679" s="1116"/>
      <c r="EJ679" s="1116"/>
      <c r="EK679" s="1116"/>
      <c r="EL679" s="1116"/>
      <c r="EM679" s="1116"/>
      <c r="EN679" s="1116"/>
      <c r="EO679" s="1116"/>
      <c r="EP679" s="1116"/>
      <c r="EQ679" s="1116"/>
      <c r="ER679" s="1116"/>
      <c r="ES679" s="1116"/>
    </row>
    <row r="680" spans="1:149" ht="15" customHeight="1">
      <c r="A680" s="1185">
        <v>670</v>
      </c>
      <c r="B680" s="1041"/>
      <c r="C680" s="1050"/>
      <c r="D680" s="1050"/>
      <c r="E680" s="1050"/>
      <c r="F680" s="1049"/>
      <c r="G680" s="1049"/>
      <c r="H680" s="1049"/>
      <c r="I680" s="1049"/>
      <c r="J680" s="1050"/>
      <c r="K680" s="1050"/>
      <c r="L680" s="1043"/>
      <c r="M680" s="1051"/>
      <c r="N680" s="1051"/>
      <c r="O680" s="1052"/>
      <c r="P680" s="1051"/>
      <c r="Q680" s="1051"/>
      <c r="R680" s="1052"/>
      <c r="S680" s="1051"/>
      <c r="T680" s="1051"/>
      <c r="U680" s="1052"/>
      <c r="V680" s="1051"/>
      <c r="W680" s="1051"/>
      <c r="X680" s="1052"/>
      <c r="Y680" s="1053"/>
      <c r="Z680" s="1051"/>
      <c r="AA680" s="1051"/>
      <c r="AB680" s="1052"/>
      <c r="AC680" s="1051"/>
      <c r="AD680" s="1051"/>
      <c r="AE680" s="1052"/>
      <c r="AF680" s="1051"/>
      <c r="AG680" s="1051"/>
      <c r="AH680" s="1051"/>
      <c r="AI680" s="1051"/>
      <c r="AJ680" s="1052"/>
      <c r="AK680" s="1051"/>
      <c r="AL680" s="1051"/>
      <c r="AM680" s="1052"/>
      <c r="AN680" s="1051"/>
      <c r="AO680" s="1051"/>
      <c r="AP680" s="1052"/>
      <c r="AQ680" s="1051"/>
      <c r="AR680" s="1051"/>
      <c r="AS680" s="1052"/>
      <c r="AT680" s="1051"/>
      <c r="AU680" s="1051"/>
      <c r="AV680" s="1052"/>
      <c r="AW680" s="1051"/>
      <c r="AX680" s="1051"/>
      <c r="AY680" s="1053"/>
      <c r="AZ680" s="1051"/>
      <c r="BA680" s="1051"/>
      <c r="BB680" s="1053"/>
      <c r="BC680" s="1051"/>
      <c r="BD680" s="1051"/>
      <c r="BE680" s="1053"/>
      <c r="BF680" s="1051"/>
      <c r="BG680" s="1051"/>
      <c r="BH680" s="1053"/>
      <c r="BI680" s="1052"/>
      <c r="BJ680" s="1052"/>
      <c r="BK680" s="1052"/>
      <c r="BL680" s="1052"/>
      <c r="BM680" s="1052"/>
      <c r="BN680" s="1054"/>
      <c r="BO680" s="1076">
        <f t="shared" si="11"/>
        <v>0</v>
      </c>
      <c r="BP680" s="1051"/>
      <c r="BQ680" s="1052"/>
      <c r="BR680" s="1054"/>
      <c r="BS680" s="1053"/>
      <c r="BT680" s="1051"/>
      <c r="BU680" s="1051"/>
      <c r="BV680" s="1051"/>
      <c r="BW680" s="1052"/>
      <c r="BX680" s="1052"/>
      <c r="BY680" s="1052"/>
      <c r="BZ680" s="1052"/>
      <c r="CA680" s="1052"/>
      <c r="CB680" s="1053"/>
      <c r="CC680" s="1053"/>
      <c r="CD680" s="1053"/>
      <c r="CE680" s="1053"/>
      <c r="CF680" s="1053"/>
      <c r="CG680" s="1053"/>
      <c r="CH680" s="1053"/>
      <c r="CI680" s="1123"/>
      <c r="CJ680" s="1123"/>
      <c r="CK680" s="1123"/>
      <c r="CL680" s="1123"/>
      <c r="CM680" s="1123"/>
      <c r="CN680" s="1123"/>
      <c r="CO680" s="1123"/>
      <c r="CP680" s="1123"/>
      <c r="CQ680" s="1123"/>
      <c r="CR680" s="1123"/>
      <c r="CS680" s="1123"/>
      <c r="CT680" s="1123"/>
      <c r="CU680" s="1123"/>
      <c r="CV680" s="1123"/>
      <c r="CW680" s="1123"/>
      <c r="CX680" s="1123"/>
      <c r="CY680" s="1123"/>
      <c r="CZ680" s="1114"/>
      <c r="DA680" s="1114"/>
      <c r="DB680" s="1114"/>
      <c r="DC680" s="1114"/>
      <c r="DD680" s="1114"/>
      <c r="DE680" s="1114"/>
      <c r="DF680" s="1114"/>
      <c r="DG680" s="1114"/>
      <c r="DH680" s="1114"/>
      <c r="DI680" s="1114"/>
      <c r="DJ680" s="1114"/>
      <c r="DK680" s="1114"/>
      <c r="DL680" s="1114"/>
      <c r="DM680" s="1114"/>
      <c r="DN680" s="1114"/>
      <c r="DO680" s="1114"/>
      <c r="DP680" s="1114"/>
      <c r="DQ680" s="1114"/>
      <c r="DR680" s="1114"/>
      <c r="DS680" s="1114"/>
      <c r="DT680" s="1114"/>
      <c r="DU680" s="1114"/>
      <c r="DV680" s="1115"/>
      <c r="DW680" s="1116"/>
      <c r="DX680" s="1116"/>
      <c r="DY680" s="1116"/>
      <c r="DZ680" s="1116"/>
      <c r="EA680" s="1116"/>
      <c r="EB680" s="1116"/>
      <c r="EC680" s="1116"/>
      <c r="ED680" s="1116"/>
      <c r="EE680" s="1116"/>
      <c r="EF680" s="1116"/>
      <c r="EG680" s="1116"/>
      <c r="EH680" s="1116"/>
      <c r="EI680" s="1116"/>
      <c r="EJ680" s="1116"/>
      <c r="EK680" s="1116"/>
      <c r="EL680" s="1116"/>
      <c r="EM680" s="1116"/>
      <c r="EN680" s="1116"/>
      <c r="EO680" s="1116"/>
      <c r="EP680" s="1116"/>
      <c r="EQ680" s="1116"/>
      <c r="ER680" s="1116"/>
      <c r="ES680" s="1116"/>
    </row>
    <row r="681" spans="1:149" ht="15" customHeight="1">
      <c r="A681" s="1185">
        <v>671</v>
      </c>
      <c r="B681" s="1041"/>
      <c r="C681" s="1050"/>
      <c r="D681" s="1050"/>
      <c r="E681" s="1050"/>
      <c r="F681" s="1049"/>
      <c r="G681" s="1049"/>
      <c r="H681" s="1049"/>
      <c r="I681" s="1049"/>
      <c r="J681" s="1050"/>
      <c r="K681" s="1050"/>
      <c r="L681" s="1043"/>
      <c r="M681" s="1051"/>
      <c r="N681" s="1051"/>
      <c r="O681" s="1052"/>
      <c r="P681" s="1051"/>
      <c r="Q681" s="1051"/>
      <c r="R681" s="1052"/>
      <c r="S681" s="1051"/>
      <c r="T681" s="1051"/>
      <c r="U681" s="1052"/>
      <c r="V681" s="1051"/>
      <c r="W681" s="1051"/>
      <c r="X681" s="1052"/>
      <c r="Y681" s="1053"/>
      <c r="Z681" s="1051"/>
      <c r="AA681" s="1051"/>
      <c r="AB681" s="1052"/>
      <c r="AC681" s="1051"/>
      <c r="AD681" s="1051"/>
      <c r="AE681" s="1052"/>
      <c r="AF681" s="1051"/>
      <c r="AG681" s="1051"/>
      <c r="AH681" s="1051"/>
      <c r="AI681" s="1051"/>
      <c r="AJ681" s="1052"/>
      <c r="AK681" s="1051"/>
      <c r="AL681" s="1051"/>
      <c r="AM681" s="1052"/>
      <c r="AN681" s="1051"/>
      <c r="AO681" s="1051"/>
      <c r="AP681" s="1052"/>
      <c r="AQ681" s="1051"/>
      <c r="AR681" s="1051"/>
      <c r="AS681" s="1052"/>
      <c r="AT681" s="1051"/>
      <c r="AU681" s="1051"/>
      <c r="AV681" s="1052"/>
      <c r="AW681" s="1051"/>
      <c r="AX681" s="1051"/>
      <c r="AY681" s="1053"/>
      <c r="AZ681" s="1051"/>
      <c r="BA681" s="1051"/>
      <c r="BB681" s="1053"/>
      <c r="BC681" s="1051"/>
      <c r="BD681" s="1051"/>
      <c r="BE681" s="1053"/>
      <c r="BF681" s="1051"/>
      <c r="BG681" s="1051"/>
      <c r="BH681" s="1053"/>
      <c r="BI681" s="1052"/>
      <c r="BJ681" s="1052"/>
      <c r="BK681" s="1052"/>
      <c r="BL681" s="1052"/>
      <c r="BM681" s="1052"/>
      <c r="BN681" s="1054"/>
      <c r="BO681" s="1076">
        <f t="shared" si="11"/>
        <v>0</v>
      </c>
      <c r="BP681" s="1051"/>
      <c r="BQ681" s="1052"/>
      <c r="BR681" s="1054"/>
      <c r="BS681" s="1053"/>
      <c r="BT681" s="1051"/>
      <c r="BU681" s="1051"/>
      <c r="BV681" s="1051"/>
      <c r="BW681" s="1052"/>
      <c r="BX681" s="1052"/>
      <c r="BY681" s="1052"/>
      <c r="BZ681" s="1052"/>
      <c r="CA681" s="1052"/>
      <c r="CB681" s="1053"/>
      <c r="CC681" s="1053"/>
      <c r="CD681" s="1053"/>
      <c r="CE681" s="1053"/>
      <c r="CF681" s="1053"/>
      <c r="CG681" s="1053"/>
      <c r="CH681" s="1053"/>
      <c r="CI681" s="1123"/>
      <c r="CJ681" s="1123"/>
      <c r="CK681" s="1123"/>
      <c r="CL681" s="1123"/>
      <c r="CM681" s="1123"/>
      <c r="CN681" s="1123"/>
      <c r="CO681" s="1123"/>
      <c r="CP681" s="1123"/>
      <c r="CQ681" s="1123"/>
      <c r="CR681" s="1123"/>
      <c r="CS681" s="1123"/>
      <c r="CT681" s="1123"/>
      <c r="CU681" s="1123"/>
      <c r="CV681" s="1123"/>
      <c r="CW681" s="1123"/>
      <c r="CX681" s="1123"/>
      <c r="CY681" s="1123"/>
      <c r="CZ681" s="1114"/>
      <c r="DA681" s="1114"/>
      <c r="DB681" s="1114"/>
      <c r="DC681" s="1114"/>
      <c r="DD681" s="1114"/>
      <c r="DE681" s="1114"/>
      <c r="DF681" s="1114"/>
      <c r="DG681" s="1114"/>
      <c r="DH681" s="1114"/>
      <c r="DI681" s="1114"/>
      <c r="DJ681" s="1114"/>
      <c r="DK681" s="1114"/>
      <c r="DL681" s="1114"/>
      <c r="DM681" s="1114"/>
      <c r="DN681" s="1114"/>
      <c r="DO681" s="1114"/>
      <c r="DP681" s="1114"/>
      <c r="DQ681" s="1114"/>
      <c r="DR681" s="1114"/>
      <c r="DS681" s="1114"/>
      <c r="DT681" s="1114"/>
      <c r="DU681" s="1114"/>
      <c r="DV681" s="1115"/>
      <c r="DW681" s="1116"/>
      <c r="DX681" s="1116"/>
      <c r="DY681" s="1116"/>
      <c r="DZ681" s="1116"/>
      <c r="EA681" s="1116"/>
      <c r="EB681" s="1116"/>
      <c r="EC681" s="1116"/>
      <c r="ED681" s="1116"/>
      <c r="EE681" s="1116"/>
      <c r="EF681" s="1116"/>
      <c r="EG681" s="1116"/>
      <c r="EH681" s="1116"/>
      <c r="EI681" s="1116"/>
      <c r="EJ681" s="1116"/>
      <c r="EK681" s="1116"/>
      <c r="EL681" s="1116"/>
      <c r="EM681" s="1116"/>
      <c r="EN681" s="1116"/>
      <c r="EO681" s="1116"/>
      <c r="EP681" s="1116"/>
      <c r="EQ681" s="1116"/>
      <c r="ER681" s="1116"/>
      <c r="ES681" s="1116"/>
    </row>
    <row r="682" spans="1:149" ht="15" customHeight="1">
      <c r="A682" s="1185">
        <v>672</v>
      </c>
      <c r="B682" s="1041"/>
      <c r="C682" s="1050"/>
      <c r="D682" s="1050"/>
      <c r="E682" s="1050"/>
      <c r="F682" s="1049"/>
      <c r="G682" s="1049"/>
      <c r="H682" s="1049"/>
      <c r="I682" s="1049"/>
      <c r="J682" s="1050"/>
      <c r="K682" s="1050"/>
      <c r="L682" s="1043"/>
      <c r="M682" s="1051"/>
      <c r="N682" s="1051"/>
      <c r="O682" s="1052"/>
      <c r="P682" s="1051"/>
      <c r="Q682" s="1051"/>
      <c r="R682" s="1052"/>
      <c r="S682" s="1051"/>
      <c r="T682" s="1051"/>
      <c r="U682" s="1052"/>
      <c r="V682" s="1051"/>
      <c r="W682" s="1051"/>
      <c r="X682" s="1052"/>
      <c r="Y682" s="1053"/>
      <c r="Z682" s="1051"/>
      <c r="AA682" s="1051"/>
      <c r="AB682" s="1052"/>
      <c r="AC682" s="1051"/>
      <c r="AD682" s="1051"/>
      <c r="AE682" s="1052"/>
      <c r="AF682" s="1051"/>
      <c r="AG682" s="1051"/>
      <c r="AH682" s="1051"/>
      <c r="AI682" s="1051"/>
      <c r="AJ682" s="1052"/>
      <c r="AK682" s="1051"/>
      <c r="AL682" s="1051"/>
      <c r="AM682" s="1052"/>
      <c r="AN682" s="1051"/>
      <c r="AO682" s="1051"/>
      <c r="AP682" s="1052"/>
      <c r="AQ682" s="1051"/>
      <c r="AR682" s="1051"/>
      <c r="AS682" s="1052"/>
      <c r="AT682" s="1051"/>
      <c r="AU682" s="1051"/>
      <c r="AV682" s="1052"/>
      <c r="AW682" s="1051"/>
      <c r="AX682" s="1051"/>
      <c r="AY682" s="1053"/>
      <c r="AZ682" s="1051"/>
      <c r="BA682" s="1051"/>
      <c r="BB682" s="1053"/>
      <c r="BC682" s="1051"/>
      <c r="BD682" s="1051"/>
      <c r="BE682" s="1053"/>
      <c r="BF682" s="1051"/>
      <c r="BG682" s="1051"/>
      <c r="BH682" s="1053"/>
      <c r="BI682" s="1052"/>
      <c r="BJ682" s="1052"/>
      <c r="BK682" s="1052"/>
      <c r="BL682" s="1052"/>
      <c r="BM682" s="1052"/>
      <c r="BN682" s="1054"/>
      <c r="BO682" s="1076">
        <f t="shared" si="11"/>
        <v>0</v>
      </c>
      <c r="BP682" s="1051"/>
      <c r="BQ682" s="1052"/>
      <c r="BR682" s="1054"/>
      <c r="BS682" s="1053"/>
      <c r="BT682" s="1051"/>
      <c r="BU682" s="1051"/>
      <c r="BV682" s="1051"/>
      <c r="BW682" s="1052"/>
      <c r="BX682" s="1052"/>
      <c r="BY682" s="1052"/>
      <c r="BZ682" s="1052"/>
      <c r="CA682" s="1052"/>
      <c r="CB682" s="1053"/>
      <c r="CC682" s="1053"/>
      <c r="CD682" s="1053"/>
      <c r="CE682" s="1053"/>
      <c r="CF682" s="1053"/>
      <c r="CG682" s="1053"/>
      <c r="CH682" s="1053"/>
      <c r="CI682" s="1123"/>
      <c r="CJ682" s="1123"/>
      <c r="CK682" s="1123"/>
      <c r="CL682" s="1123"/>
      <c r="CM682" s="1123"/>
      <c r="CN682" s="1123"/>
      <c r="CO682" s="1123"/>
      <c r="CP682" s="1123"/>
      <c r="CQ682" s="1123"/>
      <c r="CR682" s="1123"/>
      <c r="CS682" s="1123"/>
      <c r="CT682" s="1123"/>
      <c r="CU682" s="1123"/>
      <c r="CV682" s="1123"/>
      <c r="CW682" s="1123"/>
      <c r="CX682" s="1123"/>
      <c r="CY682" s="1123"/>
      <c r="CZ682" s="1114"/>
      <c r="DA682" s="1114"/>
      <c r="DB682" s="1114"/>
      <c r="DC682" s="1114"/>
      <c r="DD682" s="1114"/>
      <c r="DE682" s="1114"/>
      <c r="DF682" s="1114"/>
      <c r="DG682" s="1114"/>
      <c r="DH682" s="1114"/>
      <c r="DI682" s="1114"/>
      <c r="DJ682" s="1114"/>
      <c r="DK682" s="1114"/>
      <c r="DL682" s="1114"/>
      <c r="DM682" s="1114"/>
      <c r="DN682" s="1114"/>
      <c r="DO682" s="1114"/>
      <c r="DP682" s="1114"/>
      <c r="DQ682" s="1114"/>
      <c r="DR682" s="1114"/>
      <c r="DS682" s="1114"/>
      <c r="DT682" s="1114"/>
      <c r="DU682" s="1114"/>
      <c r="DV682" s="1115"/>
      <c r="DW682" s="1116"/>
      <c r="DX682" s="1116"/>
      <c r="DY682" s="1116"/>
      <c r="DZ682" s="1116"/>
      <c r="EA682" s="1116"/>
      <c r="EB682" s="1116"/>
      <c r="EC682" s="1116"/>
      <c r="ED682" s="1116"/>
      <c r="EE682" s="1116"/>
      <c r="EF682" s="1116"/>
      <c r="EG682" s="1116"/>
      <c r="EH682" s="1116"/>
      <c r="EI682" s="1116"/>
      <c r="EJ682" s="1116"/>
      <c r="EK682" s="1116"/>
      <c r="EL682" s="1116"/>
      <c r="EM682" s="1116"/>
      <c r="EN682" s="1116"/>
      <c r="EO682" s="1116"/>
      <c r="EP682" s="1116"/>
      <c r="EQ682" s="1116"/>
      <c r="ER682" s="1116"/>
      <c r="ES682" s="1116"/>
    </row>
    <row r="683" spans="1:149" ht="15" customHeight="1">
      <c r="A683" s="1185">
        <v>673</v>
      </c>
      <c r="B683" s="1041"/>
      <c r="C683" s="1050"/>
      <c r="D683" s="1050"/>
      <c r="E683" s="1050"/>
      <c r="F683" s="1049"/>
      <c r="G683" s="1049"/>
      <c r="H683" s="1049"/>
      <c r="I683" s="1049"/>
      <c r="J683" s="1050"/>
      <c r="K683" s="1050"/>
      <c r="L683" s="1043"/>
      <c r="M683" s="1051"/>
      <c r="N683" s="1051"/>
      <c r="O683" s="1052"/>
      <c r="P683" s="1051"/>
      <c r="Q683" s="1051"/>
      <c r="R683" s="1052"/>
      <c r="S683" s="1051"/>
      <c r="T683" s="1051"/>
      <c r="U683" s="1052"/>
      <c r="V683" s="1051"/>
      <c r="W683" s="1051"/>
      <c r="X683" s="1052"/>
      <c r="Y683" s="1053"/>
      <c r="Z683" s="1051"/>
      <c r="AA683" s="1051"/>
      <c r="AB683" s="1052"/>
      <c r="AC683" s="1051"/>
      <c r="AD683" s="1051"/>
      <c r="AE683" s="1052"/>
      <c r="AF683" s="1051"/>
      <c r="AG683" s="1051"/>
      <c r="AH683" s="1051"/>
      <c r="AI683" s="1051"/>
      <c r="AJ683" s="1052"/>
      <c r="AK683" s="1051"/>
      <c r="AL683" s="1051"/>
      <c r="AM683" s="1052"/>
      <c r="AN683" s="1051"/>
      <c r="AO683" s="1051"/>
      <c r="AP683" s="1052"/>
      <c r="AQ683" s="1051"/>
      <c r="AR683" s="1051"/>
      <c r="AS683" s="1052"/>
      <c r="AT683" s="1051"/>
      <c r="AU683" s="1051"/>
      <c r="AV683" s="1052"/>
      <c r="AW683" s="1051"/>
      <c r="AX683" s="1051"/>
      <c r="AY683" s="1053"/>
      <c r="AZ683" s="1051"/>
      <c r="BA683" s="1051"/>
      <c r="BB683" s="1053"/>
      <c r="BC683" s="1051"/>
      <c r="BD683" s="1051"/>
      <c r="BE683" s="1053"/>
      <c r="BF683" s="1051"/>
      <c r="BG683" s="1051"/>
      <c r="BH683" s="1053"/>
      <c r="BI683" s="1052"/>
      <c r="BJ683" s="1052"/>
      <c r="BK683" s="1052"/>
      <c r="BL683" s="1052"/>
      <c r="BM683" s="1052"/>
      <c r="BN683" s="1054"/>
      <c r="BO683" s="1076">
        <f t="shared" si="11"/>
        <v>0</v>
      </c>
      <c r="BP683" s="1051"/>
      <c r="BQ683" s="1052"/>
      <c r="BR683" s="1054"/>
      <c r="BS683" s="1053"/>
      <c r="BT683" s="1051"/>
      <c r="BU683" s="1051"/>
      <c r="BV683" s="1051"/>
      <c r="BW683" s="1052"/>
      <c r="BX683" s="1052"/>
      <c r="BY683" s="1052"/>
      <c r="BZ683" s="1052"/>
      <c r="CA683" s="1052"/>
      <c r="CB683" s="1053"/>
      <c r="CC683" s="1053"/>
      <c r="CD683" s="1053"/>
      <c r="CE683" s="1053"/>
      <c r="CF683" s="1053"/>
      <c r="CG683" s="1053"/>
      <c r="CH683" s="1053"/>
      <c r="CI683" s="1123"/>
      <c r="CJ683" s="1123"/>
      <c r="CK683" s="1123"/>
      <c r="CL683" s="1123"/>
      <c r="CM683" s="1123"/>
      <c r="CN683" s="1123"/>
      <c r="CO683" s="1123"/>
      <c r="CP683" s="1123"/>
      <c r="CQ683" s="1123"/>
      <c r="CR683" s="1123"/>
      <c r="CS683" s="1123"/>
      <c r="CT683" s="1123"/>
      <c r="CU683" s="1123"/>
      <c r="CV683" s="1123"/>
      <c r="CW683" s="1123"/>
      <c r="CX683" s="1123"/>
      <c r="CY683" s="1123"/>
      <c r="CZ683" s="1114"/>
      <c r="DA683" s="1114"/>
      <c r="DB683" s="1114"/>
      <c r="DC683" s="1114"/>
      <c r="DD683" s="1114"/>
      <c r="DE683" s="1114"/>
      <c r="DF683" s="1114"/>
      <c r="DG683" s="1114"/>
      <c r="DH683" s="1114"/>
      <c r="DI683" s="1114"/>
      <c r="DJ683" s="1114"/>
      <c r="DK683" s="1114"/>
      <c r="DL683" s="1114"/>
      <c r="DM683" s="1114"/>
      <c r="DN683" s="1114"/>
      <c r="DO683" s="1114"/>
      <c r="DP683" s="1114"/>
      <c r="DQ683" s="1114"/>
      <c r="DR683" s="1114"/>
      <c r="DS683" s="1114"/>
      <c r="DT683" s="1114"/>
      <c r="DU683" s="1114"/>
      <c r="DV683" s="1115"/>
      <c r="DW683" s="1116"/>
      <c r="DX683" s="1116"/>
      <c r="DY683" s="1116"/>
      <c r="DZ683" s="1116"/>
      <c r="EA683" s="1116"/>
      <c r="EB683" s="1116"/>
      <c r="EC683" s="1116"/>
      <c r="ED683" s="1116"/>
      <c r="EE683" s="1116"/>
      <c r="EF683" s="1116"/>
      <c r="EG683" s="1116"/>
      <c r="EH683" s="1116"/>
      <c r="EI683" s="1116"/>
      <c r="EJ683" s="1116"/>
      <c r="EK683" s="1116"/>
      <c r="EL683" s="1116"/>
      <c r="EM683" s="1116"/>
      <c r="EN683" s="1116"/>
      <c r="EO683" s="1116"/>
      <c r="EP683" s="1116"/>
      <c r="EQ683" s="1116"/>
      <c r="ER683" s="1116"/>
      <c r="ES683" s="1116"/>
    </row>
    <row r="684" spans="1:149" ht="15" customHeight="1">
      <c r="A684" s="1185">
        <v>674</v>
      </c>
      <c r="B684" s="1041"/>
      <c r="C684" s="1050"/>
      <c r="D684" s="1050"/>
      <c r="E684" s="1050"/>
      <c r="F684" s="1049"/>
      <c r="G684" s="1049"/>
      <c r="H684" s="1049"/>
      <c r="I684" s="1049"/>
      <c r="J684" s="1050"/>
      <c r="K684" s="1050"/>
      <c r="L684" s="1043"/>
      <c r="M684" s="1051"/>
      <c r="N684" s="1051"/>
      <c r="O684" s="1052"/>
      <c r="P684" s="1051"/>
      <c r="Q684" s="1051"/>
      <c r="R684" s="1052"/>
      <c r="S684" s="1051"/>
      <c r="T684" s="1051"/>
      <c r="U684" s="1052"/>
      <c r="V684" s="1051"/>
      <c r="W684" s="1051"/>
      <c r="X684" s="1052"/>
      <c r="Y684" s="1053"/>
      <c r="Z684" s="1051"/>
      <c r="AA684" s="1051"/>
      <c r="AB684" s="1052"/>
      <c r="AC684" s="1051"/>
      <c r="AD684" s="1051"/>
      <c r="AE684" s="1052"/>
      <c r="AF684" s="1051"/>
      <c r="AG684" s="1051"/>
      <c r="AH684" s="1051"/>
      <c r="AI684" s="1051"/>
      <c r="AJ684" s="1052"/>
      <c r="AK684" s="1051"/>
      <c r="AL684" s="1051"/>
      <c r="AM684" s="1052"/>
      <c r="AN684" s="1051"/>
      <c r="AO684" s="1051"/>
      <c r="AP684" s="1052"/>
      <c r="AQ684" s="1051"/>
      <c r="AR684" s="1051"/>
      <c r="AS684" s="1052"/>
      <c r="AT684" s="1051"/>
      <c r="AU684" s="1051"/>
      <c r="AV684" s="1052"/>
      <c r="AW684" s="1051"/>
      <c r="AX684" s="1051"/>
      <c r="AY684" s="1053"/>
      <c r="AZ684" s="1051"/>
      <c r="BA684" s="1051"/>
      <c r="BB684" s="1053"/>
      <c r="BC684" s="1051"/>
      <c r="BD684" s="1051"/>
      <c r="BE684" s="1053"/>
      <c r="BF684" s="1051"/>
      <c r="BG684" s="1051"/>
      <c r="BH684" s="1053"/>
      <c r="BI684" s="1052"/>
      <c r="BJ684" s="1052"/>
      <c r="BK684" s="1052"/>
      <c r="BL684" s="1052"/>
      <c r="BM684" s="1052"/>
      <c r="BN684" s="1054"/>
      <c r="BO684" s="1076">
        <f t="shared" si="11"/>
        <v>0</v>
      </c>
      <c r="BP684" s="1051"/>
      <c r="BQ684" s="1052"/>
      <c r="BR684" s="1054"/>
      <c r="BS684" s="1053"/>
      <c r="BT684" s="1051"/>
      <c r="BU684" s="1051"/>
      <c r="BV684" s="1051"/>
      <c r="BW684" s="1052"/>
      <c r="BX684" s="1052"/>
      <c r="BY684" s="1052"/>
      <c r="BZ684" s="1052"/>
      <c r="CA684" s="1052"/>
      <c r="CB684" s="1053"/>
      <c r="CC684" s="1053"/>
      <c r="CD684" s="1053"/>
      <c r="CE684" s="1053"/>
      <c r="CF684" s="1053"/>
      <c r="CG684" s="1053"/>
      <c r="CH684" s="1053"/>
      <c r="CI684" s="1123"/>
      <c r="CJ684" s="1123"/>
      <c r="CK684" s="1123"/>
      <c r="CL684" s="1123"/>
      <c r="CM684" s="1123"/>
      <c r="CN684" s="1123"/>
      <c r="CO684" s="1123"/>
      <c r="CP684" s="1123"/>
      <c r="CQ684" s="1123"/>
      <c r="CR684" s="1123"/>
      <c r="CS684" s="1123"/>
      <c r="CT684" s="1123"/>
      <c r="CU684" s="1123"/>
      <c r="CV684" s="1123"/>
      <c r="CW684" s="1123"/>
      <c r="CX684" s="1123"/>
      <c r="CY684" s="1123"/>
      <c r="CZ684" s="1114"/>
      <c r="DA684" s="1114"/>
      <c r="DB684" s="1114"/>
      <c r="DC684" s="1114"/>
      <c r="DD684" s="1114"/>
      <c r="DE684" s="1114"/>
      <c r="DF684" s="1114"/>
      <c r="DG684" s="1114"/>
      <c r="DH684" s="1114"/>
      <c r="DI684" s="1114"/>
      <c r="DJ684" s="1114"/>
      <c r="DK684" s="1114"/>
      <c r="DL684" s="1114"/>
      <c r="DM684" s="1114"/>
      <c r="DN684" s="1114"/>
      <c r="DO684" s="1114"/>
      <c r="DP684" s="1114"/>
      <c r="DQ684" s="1114"/>
      <c r="DR684" s="1114"/>
      <c r="DS684" s="1114"/>
      <c r="DT684" s="1114"/>
      <c r="DU684" s="1114"/>
      <c r="DV684" s="1115"/>
      <c r="DW684" s="1116"/>
      <c r="DX684" s="1116"/>
      <c r="DY684" s="1116"/>
      <c r="DZ684" s="1116"/>
      <c r="EA684" s="1116"/>
      <c r="EB684" s="1116"/>
      <c r="EC684" s="1116"/>
      <c r="ED684" s="1116"/>
      <c r="EE684" s="1116"/>
      <c r="EF684" s="1116"/>
      <c r="EG684" s="1116"/>
      <c r="EH684" s="1116"/>
      <c r="EI684" s="1116"/>
      <c r="EJ684" s="1116"/>
      <c r="EK684" s="1116"/>
      <c r="EL684" s="1116"/>
      <c r="EM684" s="1116"/>
      <c r="EN684" s="1116"/>
      <c r="EO684" s="1116"/>
      <c r="EP684" s="1116"/>
      <c r="EQ684" s="1116"/>
      <c r="ER684" s="1116"/>
      <c r="ES684" s="1116"/>
    </row>
    <row r="685" spans="1:149" ht="15" customHeight="1">
      <c r="A685" s="1185">
        <v>675</v>
      </c>
      <c r="B685" s="1041"/>
      <c r="C685" s="1050"/>
      <c r="D685" s="1050"/>
      <c r="E685" s="1050"/>
      <c r="F685" s="1049"/>
      <c r="G685" s="1049"/>
      <c r="H685" s="1049"/>
      <c r="I685" s="1049"/>
      <c r="J685" s="1050"/>
      <c r="K685" s="1050"/>
      <c r="L685" s="1043"/>
      <c r="M685" s="1051"/>
      <c r="N685" s="1051"/>
      <c r="O685" s="1052"/>
      <c r="P685" s="1051"/>
      <c r="Q685" s="1051"/>
      <c r="R685" s="1052"/>
      <c r="S685" s="1051"/>
      <c r="T685" s="1051"/>
      <c r="U685" s="1052"/>
      <c r="V685" s="1051"/>
      <c r="W685" s="1051"/>
      <c r="X685" s="1052"/>
      <c r="Y685" s="1053"/>
      <c r="Z685" s="1051"/>
      <c r="AA685" s="1051"/>
      <c r="AB685" s="1052"/>
      <c r="AC685" s="1051"/>
      <c r="AD685" s="1051"/>
      <c r="AE685" s="1052"/>
      <c r="AF685" s="1051"/>
      <c r="AG685" s="1051"/>
      <c r="AH685" s="1051"/>
      <c r="AI685" s="1051"/>
      <c r="AJ685" s="1052"/>
      <c r="AK685" s="1051"/>
      <c r="AL685" s="1051"/>
      <c r="AM685" s="1052"/>
      <c r="AN685" s="1051"/>
      <c r="AO685" s="1051"/>
      <c r="AP685" s="1052"/>
      <c r="AQ685" s="1051"/>
      <c r="AR685" s="1051"/>
      <c r="AS685" s="1052"/>
      <c r="AT685" s="1051"/>
      <c r="AU685" s="1051"/>
      <c r="AV685" s="1052"/>
      <c r="AW685" s="1051"/>
      <c r="AX685" s="1051"/>
      <c r="AY685" s="1053"/>
      <c r="AZ685" s="1051"/>
      <c r="BA685" s="1051"/>
      <c r="BB685" s="1053"/>
      <c r="BC685" s="1051"/>
      <c r="BD685" s="1051"/>
      <c r="BE685" s="1053"/>
      <c r="BF685" s="1051"/>
      <c r="BG685" s="1051"/>
      <c r="BH685" s="1053"/>
      <c r="BI685" s="1052"/>
      <c r="BJ685" s="1052"/>
      <c r="BK685" s="1052"/>
      <c r="BL685" s="1052"/>
      <c r="BM685" s="1052"/>
      <c r="BN685" s="1054"/>
      <c r="BO685" s="1076">
        <f t="shared" si="11"/>
        <v>0</v>
      </c>
      <c r="BP685" s="1051"/>
      <c r="BQ685" s="1052"/>
      <c r="BR685" s="1054"/>
      <c r="BS685" s="1053"/>
      <c r="BT685" s="1051"/>
      <c r="BU685" s="1051"/>
      <c r="BV685" s="1051"/>
      <c r="BW685" s="1052"/>
      <c r="BX685" s="1052"/>
      <c r="BY685" s="1052"/>
      <c r="BZ685" s="1052"/>
      <c r="CA685" s="1052"/>
      <c r="CB685" s="1053"/>
      <c r="CC685" s="1053"/>
      <c r="CD685" s="1053"/>
      <c r="CE685" s="1053"/>
      <c r="CF685" s="1053"/>
      <c r="CG685" s="1053"/>
      <c r="CH685" s="1053"/>
      <c r="CI685" s="1123"/>
      <c r="CJ685" s="1123"/>
      <c r="CK685" s="1123"/>
      <c r="CL685" s="1123"/>
      <c r="CM685" s="1123"/>
      <c r="CN685" s="1123"/>
      <c r="CO685" s="1123"/>
      <c r="CP685" s="1123"/>
      <c r="CQ685" s="1123"/>
      <c r="CR685" s="1123"/>
      <c r="CS685" s="1123"/>
      <c r="CT685" s="1123"/>
      <c r="CU685" s="1123"/>
      <c r="CV685" s="1123"/>
      <c r="CW685" s="1123"/>
      <c r="CX685" s="1123"/>
      <c r="CY685" s="1123"/>
      <c r="CZ685" s="1114"/>
      <c r="DA685" s="1114"/>
      <c r="DB685" s="1114"/>
      <c r="DC685" s="1114"/>
      <c r="DD685" s="1114"/>
      <c r="DE685" s="1114"/>
      <c r="DF685" s="1114"/>
      <c r="DG685" s="1114"/>
      <c r="DH685" s="1114"/>
      <c r="DI685" s="1114"/>
      <c r="DJ685" s="1114"/>
      <c r="DK685" s="1114"/>
      <c r="DL685" s="1114"/>
      <c r="DM685" s="1114"/>
      <c r="DN685" s="1114"/>
      <c r="DO685" s="1114"/>
      <c r="DP685" s="1114"/>
      <c r="DQ685" s="1114"/>
      <c r="DR685" s="1114"/>
      <c r="DS685" s="1114"/>
      <c r="DT685" s="1114"/>
      <c r="DU685" s="1114"/>
      <c r="DV685" s="1115"/>
      <c r="DW685" s="1116"/>
      <c r="DX685" s="1116"/>
      <c r="DY685" s="1116"/>
      <c r="DZ685" s="1116"/>
      <c r="EA685" s="1116"/>
      <c r="EB685" s="1116"/>
      <c r="EC685" s="1116"/>
      <c r="ED685" s="1116"/>
      <c r="EE685" s="1116"/>
      <c r="EF685" s="1116"/>
      <c r="EG685" s="1116"/>
      <c r="EH685" s="1116"/>
      <c r="EI685" s="1116"/>
      <c r="EJ685" s="1116"/>
      <c r="EK685" s="1116"/>
      <c r="EL685" s="1116"/>
      <c r="EM685" s="1116"/>
      <c r="EN685" s="1116"/>
      <c r="EO685" s="1116"/>
      <c r="EP685" s="1116"/>
      <c r="EQ685" s="1116"/>
      <c r="ER685" s="1116"/>
      <c r="ES685" s="1116"/>
    </row>
    <row r="686" spans="1:149" ht="15" customHeight="1">
      <c r="A686" s="1185">
        <v>676</v>
      </c>
      <c r="B686" s="1041"/>
      <c r="C686" s="1050"/>
      <c r="D686" s="1050"/>
      <c r="E686" s="1050"/>
      <c r="F686" s="1049"/>
      <c r="G686" s="1049"/>
      <c r="H686" s="1049"/>
      <c r="I686" s="1049"/>
      <c r="J686" s="1050"/>
      <c r="K686" s="1050"/>
      <c r="L686" s="1043"/>
      <c r="M686" s="1051"/>
      <c r="N686" s="1051"/>
      <c r="O686" s="1052"/>
      <c r="P686" s="1051"/>
      <c r="Q686" s="1051"/>
      <c r="R686" s="1052"/>
      <c r="S686" s="1051"/>
      <c r="T686" s="1051"/>
      <c r="U686" s="1052"/>
      <c r="V686" s="1051"/>
      <c r="W686" s="1051"/>
      <c r="X686" s="1052"/>
      <c r="Y686" s="1053"/>
      <c r="Z686" s="1051"/>
      <c r="AA686" s="1051"/>
      <c r="AB686" s="1052"/>
      <c r="AC686" s="1051"/>
      <c r="AD686" s="1051"/>
      <c r="AE686" s="1052"/>
      <c r="AF686" s="1051"/>
      <c r="AG686" s="1051"/>
      <c r="AH686" s="1051"/>
      <c r="AI686" s="1051"/>
      <c r="AJ686" s="1052"/>
      <c r="AK686" s="1051"/>
      <c r="AL686" s="1051"/>
      <c r="AM686" s="1052"/>
      <c r="AN686" s="1051"/>
      <c r="AO686" s="1051"/>
      <c r="AP686" s="1052"/>
      <c r="AQ686" s="1051"/>
      <c r="AR686" s="1051"/>
      <c r="AS686" s="1052"/>
      <c r="AT686" s="1051"/>
      <c r="AU686" s="1051"/>
      <c r="AV686" s="1052"/>
      <c r="AW686" s="1051"/>
      <c r="AX686" s="1051"/>
      <c r="AY686" s="1053"/>
      <c r="AZ686" s="1051"/>
      <c r="BA686" s="1051"/>
      <c r="BB686" s="1053"/>
      <c r="BC686" s="1051"/>
      <c r="BD686" s="1051"/>
      <c r="BE686" s="1053"/>
      <c r="BF686" s="1051"/>
      <c r="BG686" s="1051"/>
      <c r="BH686" s="1053"/>
      <c r="BI686" s="1052"/>
      <c r="BJ686" s="1052"/>
      <c r="BK686" s="1052"/>
      <c r="BL686" s="1052"/>
      <c r="BM686" s="1052"/>
      <c r="BN686" s="1054"/>
      <c r="BO686" s="1076">
        <f t="shared" si="11"/>
        <v>0</v>
      </c>
      <c r="BP686" s="1051"/>
      <c r="BQ686" s="1052"/>
      <c r="BR686" s="1054"/>
      <c r="BS686" s="1053"/>
      <c r="BT686" s="1051"/>
      <c r="BU686" s="1051"/>
      <c r="BV686" s="1051"/>
      <c r="BW686" s="1052"/>
      <c r="BX686" s="1052"/>
      <c r="BY686" s="1052"/>
      <c r="BZ686" s="1052"/>
      <c r="CA686" s="1052"/>
      <c r="CB686" s="1053"/>
      <c r="CC686" s="1053"/>
      <c r="CD686" s="1053"/>
      <c r="CE686" s="1053"/>
      <c r="CF686" s="1053"/>
      <c r="CG686" s="1053"/>
      <c r="CH686" s="1053"/>
      <c r="CI686" s="1123"/>
      <c r="CJ686" s="1123"/>
      <c r="CK686" s="1123"/>
      <c r="CL686" s="1123"/>
      <c r="CM686" s="1123"/>
      <c r="CN686" s="1123"/>
      <c r="CO686" s="1123"/>
      <c r="CP686" s="1123"/>
      <c r="CQ686" s="1123"/>
      <c r="CR686" s="1123"/>
      <c r="CS686" s="1123"/>
      <c r="CT686" s="1123"/>
      <c r="CU686" s="1123"/>
      <c r="CV686" s="1123"/>
      <c r="CW686" s="1123"/>
      <c r="CX686" s="1123"/>
      <c r="CY686" s="1123"/>
      <c r="CZ686" s="1114"/>
      <c r="DA686" s="1114"/>
      <c r="DB686" s="1114"/>
      <c r="DC686" s="1114"/>
      <c r="DD686" s="1114"/>
      <c r="DE686" s="1114"/>
      <c r="DF686" s="1114"/>
      <c r="DG686" s="1114"/>
      <c r="DH686" s="1114"/>
      <c r="DI686" s="1114"/>
      <c r="DJ686" s="1114"/>
      <c r="DK686" s="1114"/>
      <c r="DL686" s="1114"/>
      <c r="DM686" s="1114"/>
      <c r="DN686" s="1114"/>
      <c r="DO686" s="1114"/>
      <c r="DP686" s="1114"/>
      <c r="DQ686" s="1114"/>
      <c r="DR686" s="1114"/>
      <c r="DS686" s="1114"/>
      <c r="DT686" s="1114"/>
      <c r="DU686" s="1114"/>
      <c r="DV686" s="1115"/>
      <c r="DW686" s="1116"/>
      <c r="DX686" s="1116"/>
      <c r="DY686" s="1116"/>
      <c r="DZ686" s="1116"/>
      <c r="EA686" s="1116"/>
      <c r="EB686" s="1116"/>
      <c r="EC686" s="1116"/>
      <c r="ED686" s="1116"/>
      <c r="EE686" s="1116"/>
      <c r="EF686" s="1116"/>
      <c r="EG686" s="1116"/>
      <c r="EH686" s="1116"/>
      <c r="EI686" s="1116"/>
      <c r="EJ686" s="1116"/>
      <c r="EK686" s="1116"/>
      <c r="EL686" s="1116"/>
      <c r="EM686" s="1116"/>
      <c r="EN686" s="1116"/>
      <c r="EO686" s="1116"/>
      <c r="EP686" s="1116"/>
      <c r="EQ686" s="1116"/>
      <c r="ER686" s="1116"/>
      <c r="ES686" s="1116"/>
    </row>
    <row r="687" spans="1:149" ht="15" customHeight="1">
      <c r="A687" s="1185">
        <v>677</v>
      </c>
      <c r="B687" s="1041"/>
      <c r="C687" s="1050"/>
      <c r="D687" s="1050"/>
      <c r="E687" s="1050"/>
      <c r="F687" s="1049"/>
      <c r="G687" s="1049"/>
      <c r="H687" s="1049"/>
      <c r="I687" s="1049"/>
      <c r="J687" s="1050"/>
      <c r="K687" s="1050"/>
      <c r="L687" s="1043"/>
      <c r="M687" s="1051"/>
      <c r="N687" s="1051"/>
      <c r="O687" s="1052"/>
      <c r="P687" s="1051"/>
      <c r="Q687" s="1051"/>
      <c r="R687" s="1052"/>
      <c r="S687" s="1051"/>
      <c r="T687" s="1051"/>
      <c r="U687" s="1052"/>
      <c r="V687" s="1051"/>
      <c r="W687" s="1051"/>
      <c r="X687" s="1052"/>
      <c r="Y687" s="1053"/>
      <c r="Z687" s="1051"/>
      <c r="AA687" s="1051"/>
      <c r="AB687" s="1052"/>
      <c r="AC687" s="1051"/>
      <c r="AD687" s="1051"/>
      <c r="AE687" s="1052"/>
      <c r="AF687" s="1051"/>
      <c r="AG687" s="1051"/>
      <c r="AH687" s="1051"/>
      <c r="AI687" s="1051"/>
      <c r="AJ687" s="1052"/>
      <c r="AK687" s="1051"/>
      <c r="AL687" s="1051"/>
      <c r="AM687" s="1052"/>
      <c r="AN687" s="1051"/>
      <c r="AO687" s="1051"/>
      <c r="AP687" s="1052"/>
      <c r="AQ687" s="1051"/>
      <c r="AR687" s="1051"/>
      <c r="AS687" s="1052"/>
      <c r="AT687" s="1051"/>
      <c r="AU687" s="1051"/>
      <c r="AV687" s="1052"/>
      <c r="AW687" s="1051"/>
      <c r="AX687" s="1051"/>
      <c r="AY687" s="1053"/>
      <c r="AZ687" s="1051"/>
      <c r="BA687" s="1051"/>
      <c r="BB687" s="1053"/>
      <c r="BC687" s="1051"/>
      <c r="BD687" s="1051"/>
      <c r="BE687" s="1053"/>
      <c r="BF687" s="1051"/>
      <c r="BG687" s="1051"/>
      <c r="BH687" s="1053"/>
      <c r="BI687" s="1052"/>
      <c r="BJ687" s="1052"/>
      <c r="BK687" s="1052"/>
      <c r="BL687" s="1052"/>
      <c r="BM687" s="1052"/>
      <c r="BN687" s="1054"/>
      <c r="BO687" s="1076">
        <f t="shared" si="11"/>
        <v>0</v>
      </c>
      <c r="BP687" s="1051"/>
      <c r="BQ687" s="1052"/>
      <c r="BR687" s="1054"/>
      <c r="BS687" s="1053"/>
      <c r="BT687" s="1051"/>
      <c r="BU687" s="1051"/>
      <c r="BV687" s="1051"/>
      <c r="BW687" s="1052"/>
      <c r="BX687" s="1052"/>
      <c r="BY687" s="1052"/>
      <c r="BZ687" s="1052"/>
      <c r="CA687" s="1052"/>
      <c r="CB687" s="1053"/>
      <c r="CC687" s="1053"/>
      <c r="CD687" s="1053"/>
      <c r="CE687" s="1053"/>
      <c r="CF687" s="1053"/>
      <c r="CG687" s="1053"/>
      <c r="CH687" s="1053"/>
      <c r="CI687" s="1123"/>
      <c r="CJ687" s="1123"/>
      <c r="CK687" s="1123"/>
      <c r="CL687" s="1123"/>
      <c r="CM687" s="1123"/>
      <c r="CN687" s="1123"/>
      <c r="CO687" s="1123"/>
      <c r="CP687" s="1123"/>
      <c r="CQ687" s="1123"/>
      <c r="CR687" s="1123"/>
      <c r="CS687" s="1123"/>
      <c r="CT687" s="1123"/>
      <c r="CU687" s="1123"/>
      <c r="CV687" s="1123"/>
      <c r="CW687" s="1123"/>
      <c r="CX687" s="1123"/>
      <c r="CY687" s="1123"/>
      <c r="CZ687" s="1114"/>
      <c r="DA687" s="1114"/>
      <c r="DB687" s="1114"/>
      <c r="DC687" s="1114"/>
      <c r="DD687" s="1114"/>
      <c r="DE687" s="1114"/>
      <c r="DF687" s="1114"/>
      <c r="DG687" s="1114"/>
      <c r="DH687" s="1114"/>
      <c r="DI687" s="1114"/>
      <c r="DJ687" s="1114"/>
      <c r="DK687" s="1114"/>
      <c r="DL687" s="1114"/>
      <c r="DM687" s="1114"/>
      <c r="DN687" s="1114"/>
      <c r="DO687" s="1114"/>
      <c r="DP687" s="1114"/>
      <c r="DQ687" s="1114"/>
      <c r="DR687" s="1114"/>
      <c r="DS687" s="1114"/>
      <c r="DT687" s="1114"/>
      <c r="DU687" s="1114"/>
      <c r="DV687" s="1115"/>
      <c r="DW687" s="1116"/>
      <c r="DX687" s="1116"/>
      <c r="DY687" s="1116"/>
      <c r="DZ687" s="1116"/>
      <c r="EA687" s="1116"/>
      <c r="EB687" s="1116"/>
      <c r="EC687" s="1116"/>
      <c r="ED687" s="1116"/>
      <c r="EE687" s="1116"/>
      <c r="EF687" s="1116"/>
      <c r="EG687" s="1116"/>
      <c r="EH687" s="1116"/>
      <c r="EI687" s="1116"/>
      <c r="EJ687" s="1116"/>
      <c r="EK687" s="1116"/>
      <c r="EL687" s="1116"/>
      <c r="EM687" s="1116"/>
      <c r="EN687" s="1116"/>
      <c r="EO687" s="1116"/>
      <c r="EP687" s="1116"/>
      <c r="EQ687" s="1116"/>
      <c r="ER687" s="1116"/>
      <c r="ES687" s="1116"/>
    </row>
    <row r="688" spans="1:149" ht="15" customHeight="1">
      <c r="A688" s="1185">
        <v>678</v>
      </c>
      <c r="B688" s="1041"/>
      <c r="C688" s="1050"/>
      <c r="D688" s="1050"/>
      <c r="E688" s="1050"/>
      <c r="F688" s="1049"/>
      <c r="G688" s="1049"/>
      <c r="H688" s="1049"/>
      <c r="I688" s="1049"/>
      <c r="J688" s="1050"/>
      <c r="K688" s="1050"/>
      <c r="L688" s="1043"/>
      <c r="M688" s="1051"/>
      <c r="N688" s="1051"/>
      <c r="O688" s="1052"/>
      <c r="P688" s="1051"/>
      <c r="Q688" s="1051"/>
      <c r="R688" s="1052"/>
      <c r="S688" s="1051"/>
      <c r="T688" s="1051"/>
      <c r="U688" s="1052"/>
      <c r="V688" s="1051"/>
      <c r="W688" s="1051"/>
      <c r="X688" s="1052"/>
      <c r="Y688" s="1053"/>
      <c r="Z688" s="1051"/>
      <c r="AA688" s="1051"/>
      <c r="AB688" s="1052"/>
      <c r="AC688" s="1051"/>
      <c r="AD688" s="1051"/>
      <c r="AE688" s="1052"/>
      <c r="AF688" s="1051"/>
      <c r="AG688" s="1051"/>
      <c r="AH688" s="1051"/>
      <c r="AI688" s="1051"/>
      <c r="AJ688" s="1052"/>
      <c r="AK688" s="1051"/>
      <c r="AL688" s="1051"/>
      <c r="AM688" s="1052"/>
      <c r="AN688" s="1051"/>
      <c r="AO688" s="1051"/>
      <c r="AP688" s="1052"/>
      <c r="AQ688" s="1051"/>
      <c r="AR688" s="1051"/>
      <c r="AS688" s="1052"/>
      <c r="AT688" s="1051"/>
      <c r="AU688" s="1051"/>
      <c r="AV688" s="1052"/>
      <c r="AW688" s="1051"/>
      <c r="AX688" s="1051"/>
      <c r="AY688" s="1053"/>
      <c r="AZ688" s="1051"/>
      <c r="BA688" s="1051"/>
      <c r="BB688" s="1053"/>
      <c r="BC688" s="1051"/>
      <c r="BD688" s="1051"/>
      <c r="BE688" s="1053"/>
      <c r="BF688" s="1051"/>
      <c r="BG688" s="1051"/>
      <c r="BH688" s="1053"/>
      <c r="BI688" s="1052"/>
      <c r="BJ688" s="1052"/>
      <c r="BK688" s="1052"/>
      <c r="BL688" s="1052"/>
      <c r="BM688" s="1052"/>
      <c r="BN688" s="1054"/>
      <c r="BO688" s="1076">
        <f t="shared" si="11"/>
        <v>0</v>
      </c>
      <c r="BP688" s="1051"/>
      <c r="BQ688" s="1052"/>
      <c r="BR688" s="1054"/>
      <c r="BS688" s="1053"/>
      <c r="BT688" s="1051"/>
      <c r="BU688" s="1051"/>
      <c r="BV688" s="1051"/>
      <c r="BW688" s="1052"/>
      <c r="BX688" s="1052"/>
      <c r="BY688" s="1052"/>
      <c r="BZ688" s="1052"/>
      <c r="CA688" s="1052"/>
      <c r="CB688" s="1053"/>
      <c r="CC688" s="1053"/>
      <c r="CD688" s="1053"/>
      <c r="CE688" s="1053"/>
      <c r="CF688" s="1053"/>
      <c r="CG688" s="1053"/>
      <c r="CH688" s="1053"/>
      <c r="CI688" s="1123"/>
      <c r="CJ688" s="1123"/>
      <c r="CK688" s="1123"/>
      <c r="CL688" s="1123"/>
      <c r="CM688" s="1123"/>
      <c r="CN688" s="1123"/>
      <c r="CO688" s="1123"/>
      <c r="CP688" s="1123"/>
      <c r="CQ688" s="1123"/>
      <c r="CR688" s="1123"/>
      <c r="CS688" s="1123"/>
      <c r="CT688" s="1123"/>
      <c r="CU688" s="1123"/>
      <c r="CV688" s="1123"/>
      <c r="CW688" s="1123"/>
      <c r="CX688" s="1123"/>
      <c r="CY688" s="1123"/>
      <c r="CZ688" s="1114"/>
      <c r="DA688" s="1114"/>
      <c r="DB688" s="1114"/>
      <c r="DC688" s="1114"/>
      <c r="DD688" s="1114"/>
      <c r="DE688" s="1114"/>
      <c r="DF688" s="1114"/>
      <c r="DG688" s="1114"/>
      <c r="DH688" s="1114"/>
      <c r="DI688" s="1114"/>
      <c r="DJ688" s="1114"/>
      <c r="DK688" s="1114"/>
      <c r="DL688" s="1114"/>
      <c r="DM688" s="1114"/>
      <c r="DN688" s="1114"/>
      <c r="DO688" s="1114"/>
      <c r="DP688" s="1114"/>
      <c r="DQ688" s="1114"/>
      <c r="DR688" s="1114"/>
      <c r="DS688" s="1114"/>
      <c r="DT688" s="1114"/>
      <c r="DU688" s="1114"/>
      <c r="DV688" s="1115"/>
      <c r="DW688" s="1116"/>
      <c r="DX688" s="1116"/>
      <c r="DY688" s="1116"/>
      <c r="DZ688" s="1116"/>
      <c r="EA688" s="1116"/>
      <c r="EB688" s="1116"/>
      <c r="EC688" s="1116"/>
      <c r="ED688" s="1116"/>
      <c r="EE688" s="1116"/>
      <c r="EF688" s="1116"/>
      <c r="EG688" s="1116"/>
      <c r="EH688" s="1116"/>
      <c r="EI688" s="1116"/>
      <c r="EJ688" s="1116"/>
      <c r="EK688" s="1116"/>
      <c r="EL688" s="1116"/>
      <c r="EM688" s="1116"/>
      <c r="EN688" s="1116"/>
      <c r="EO688" s="1116"/>
      <c r="EP688" s="1116"/>
      <c r="EQ688" s="1116"/>
      <c r="ER688" s="1116"/>
      <c r="ES688" s="1116"/>
    </row>
    <row r="689" spans="1:149" ht="15" customHeight="1">
      <c r="A689" s="1185">
        <v>679</v>
      </c>
      <c r="B689" s="1041"/>
      <c r="C689" s="1050"/>
      <c r="D689" s="1050"/>
      <c r="E689" s="1050"/>
      <c r="F689" s="1049"/>
      <c r="G689" s="1049"/>
      <c r="H689" s="1049"/>
      <c r="I689" s="1049"/>
      <c r="J689" s="1050"/>
      <c r="K689" s="1050"/>
      <c r="L689" s="1043"/>
      <c r="M689" s="1051"/>
      <c r="N689" s="1051"/>
      <c r="O689" s="1052"/>
      <c r="P689" s="1051"/>
      <c r="Q689" s="1051"/>
      <c r="R689" s="1052"/>
      <c r="S689" s="1051"/>
      <c r="T689" s="1051"/>
      <c r="U689" s="1052"/>
      <c r="V689" s="1051"/>
      <c r="W689" s="1051"/>
      <c r="X689" s="1052"/>
      <c r="Y689" s="1053"/>
      <c r="Z689" s="1051"/>
      <c r="AA689" s="1051"/>
      <c r="AB689" s="1052"/>
      <c r="AC689" s="1051"/>
      <c r="AD689" s="1051"/>
      <c r="AE689" s="1052"/>
      <c r="AF689" s="1051"/>
      <c r="AG689" s="1051"/>
      <c r="AH689" s="1051"/>
      <c r="AI689" s="1051"/>
      <c r="AJ689" s="1052"/>
      <c r="AK689" s="1051"/>
      <c r="AL689" s="1051"/>
      <c r="AM689" s="1052"/>
      <c r="AN689" s="1051"/>
      <c r="AO689" s="1051"/>
      <c r="AP689" s="1052"/>
      <c r="AQ689" s="1051"/>
      <c r="AR689" s="1051"/>
      <c r="AS689" s="1052"/>
      <c r="AT689" s="1051"/>
      <c r="AU689" s="1051"/>
      <c r="AV689" s="1052"/>
      <c r="AW689" s="1051"/>
      <c r="AX689" s="1051"/>
      <c r="AY689" s="1053"/>
      <c r="AZ689" s="1051"/>
      <c r="BA689" s="1051"/>
      <c r="BB689" s="1053"/>
      <c r="BC689" s="1051"/>
      <c r="BD689" s="1051"/>
      <c r="BE689" s="1053"/>
      <c r="BF689" s="1051"/>
      <c r="BG689" s="1051"/>
      <c r="BH689" s="1053"/>
      <c r="BI689" s="1052"/>
      <c r="BJ689" s="1052"/>
      <c r="BK689" s="1052"/>
      <c r="BL689" s="1052"/>
      <c r="BM689" s="1052"/>
      <c r="BN689" s="1054"/>
      <c r="BO689" s="1076">
        <f t="shared" ref="BO689:BO752" si="12">H689</f>
        <v>0</v>
      </c>
      <c r="BP689" s="1051"/>
      <c r="BQ689" s="1052"/>
      <c r="BR689" s="1054"/>
      <c r="BS689" s="1053"/>
      <c r="BT689" s="1051"/>
      <c r="BU689" s="1051"/>
      <c r="BV689" s="1051"/>
      <c r="BW689" s="1052"/>
      <c r="BX689" s="1052"/>
      <c r="BY689" s="1052"/>
      <c r="BZ689" s="1052"/>
      <c r="CA689" s="1052"/>
      <c r="CB689" s="1053"/>
      <c r="CC689" s="1053"/>
      <c r="CD689" s="1053"/>
      <c r="CE689" s="1053"/>
      <c r="CF689" s="1053"/>
      <c r="CG689" s="1053"/>
      <c r="CH689" s="1053"/>
      <c r="CI689" s="1123"/>
      <c r="CJ689" s="1123"/>
      <c r="CK689" s="1123"/>
      <c r="CL689" s="1123"/>
      <c r="CM689" s="1123"/>
      <c r="CN689" s="1123"/>
      <c r="CO689" s="1123"/>
      <c r="CP689" s="1123"/>
      <c r="CQ689" s="1123"/>
      <c r="CR689" s="1123"/>
      <c r="CS689" s="1123"/>
      <c r="CT689" s="1123"/>
      <c r="CU689" s="1123"/>
      <c r="CV689" s="1123"/>
      <c r="CW689" s="1123"/>
      <c r="CX689" s="1123"/>
      <c r="CY689" s="1123"/>
      <c r="CZ689" s="1114"/>
      <c r="DA689" s="1114"/>
      <c r="DB689" s="1114"/>
      <c r="DC689" s="1114"/>
      <c r="DD689" s="1114"/>
      <c r="DE689" s="1114"/>
      <c r="DF689" s="1114"/>
      <c r="DG689" s="1114"/>
      <c r="DH689" s="1114"/>
      <c r="DI689" s="1114"/>
      <c r="DJ689" s="1114"/>
      <c r="DK689" s="1114"/>
      <c r="DL689" s="1114"/>
      <c r="DM689" s="1114"/>
      <c r="DN689" s="1114"/>
      <c r="DO689" s="1114"/>
      <c r="DP689" s="1114"/>
      <c r="DQ689" s="1114"/>
      <c r="DR689" s="1114"/>
      <c r="DS689" s="1114"/>
      <c r="DT689" s="1114"/>
      <c r="DU689" s="1114"/>
      <c r="DV689" s="1115"/>
      <c r="DW689" s="1116"/>
      <c r="DX689" s="1116"/>
      <c r="DY689" s="1116"/>
      <c r="DZ689" s="1116"/>
      <c r="EA689" s="1116"/>
      <c r="EB689" s="1116"/>
      <c r="EC689" s="1116"/>
      <c r="ED689" s="1116"/>
      <c r="EE689" s="1116"/>
      <c r="EF689" s="1116"/>
      <c r="EG689" s="1116"/>
      <c r="EH689" s="1116"/>
      <c r="EI689" s="1116"/>
      <c r="EJ689" s="1116"/>
      <c r="EK689" s="1116"/>
      <c r="EL689" s="1116"/>
      <c r="EM689" s="1116"/>
      <c r="EN689" s="1116"/>
      <c r="EO689" s="1116"/>
      <c r="EP689" s="1116"/>
      <c r="EQ689" s="1116"/>
      <c r="ER689" s="1116"/>
      <c r="ES689" s="1116"/>
    </row>
    <row r="690" spans="1:149" ht="15" customHeight="1">
      <c r="A690" s="1185">
        <v>680</v>
      </c>
      <c r="B690" s="1041"/>
      <c r="C690" s="1050"/>
      <c r="D690" s="1050"/>
      <c r="E690" s="1050"/>
      <c r="F690" s="1049"/>
      <c r="G690" s="1049"/>
      <c r="H690" s="1049"/>
      <c r="I690" s="1049"/>
      <c r="J690" s="1050"/>
      <c r="K690" s="1050"/>
      <c r="L690" s="1043"/>
      <c r="M690" s="1051"/>
      <c r="N690" s="1051"/>
      <c r="O690" s="1052"/>
      <c r="P690" s="1051"/>
      <c r="Q690" s="1051"/>
      <c r="R690" s="1052"/>
      <c r="S690" s="1051"/>
      <c r="T690" s="1051"/>
      <c r="U690" s="1052"/>
      <c r="V690" s="1051"/>
      <c r="W690" s="1051"/>
      <c r="X690" s="1052"/>
      <c r="Y690" s="1053"/>
      <c r="Z690" s="1051"/>
      <c r="AA690" s="1051"/>
      <c r="AB690" s="1052"/>
      <c r="AC690" s="1051"/>
      <c r="AD690" s="1051"/>
      <c r="AE690" s="1052"/>
      <c r="AF690" s="1051"/>
      <c r="AG690" s="1051"/>
      <c r="AH690" s="1051"/>
      <c r="AI690" s="1051"/>
      <c r="AJ690" s="1052"/>
      <c r="AK690" s="1051"/>
      <c r="AL690" s="1051"/>
      <c r="AM690" s="1052"/>
      <c r="AN690" s="1051"/>
      <c r="AO690" s="1051"/>
      <c r="AP690" s="1052"/>
      <c r="AQ690" s="1051"/>
      <c r="AR690" s="1051"/>
      <c r="AS690" s="1052"/>
      <c r="AT690" s="1051"/>
      <c r="AU690" s="1051"/>
      <c r="AV690" s="1052"/>
      <c r="AW690" s="1051"/>
      <c r="AX690" s="1051"/>
      <c r="AY690" s="1053"/>
      <c r="AZ690" s="1051"/>
      <c r="BA690" s="1051"/>
      <c r="BB690" s="1053"/>
      <c r="BC690" s="1051"/>
      <c r="BD690" s="1051"/>
      <c r="BE690" s="1053"/>
      <c r="BF690" s="1051"/>
      <c r="BG690" s="1051"/>
      <c r="BH690" s="1053"/>
      <c r="BI690" s="1052"/>
      <c r="BJ690" s="1052"/>
      <c r="BK690" s="1052"/>
      <c r="BL690" s="1052"/>
      <c r="BM690" s="1052"/>
      <c r="BN690" s="1054"/>
      <c r="BO690" s="1076">
        <f t="shared" si="12"/>
        <v>0</v>
      </c>
      <c r="BP690" s="1051"/>
      <c r="BQ690" s="1052"/>
      <c r="BR690" s="1054"/>
      <c r="BS690" s="1053"/>
      <c r="BT690" s="1051"/>
      <c r="BU690" s="1051"/>
      <c r="BV690" s="1051"/>
      <c r="BW690" s="1052"/>
      <c r="BX690" s="1052"/>
      <c r="BY690" s="1052"/>
      <c r="BZ690" s="1052"/>
      <c r="CA690" s="1052"/>
      <c r="CB690" s="1053"/>
      <c r="CC690" s="1053"/>
      <c r="CD690" s="1053"/>
      <c r="CE690" s="1053"/>
      <c r="CF690" s="1053"/>
      <c r="CG690" s="1053"/>
      <c r="CH690" s="1053"/>
      <c r="CI690" s="1123"/>
      <c r="CJ690" s="1123"/>
      <c r="CK690" s="1123"/>
      <c r="CL690" s="1123"/>
      <c r="CM690" s="1123"/>
      <c r="CN690" s="1123"/>
      <c r="CO690" s="1123"/>
      <c r="CP690" s="1123"/>
      <c r="CQ690" s="1123"/>
      <c r="CR690" s="1123"/>
      <c r="CS690" s="1123"/>
      <c r="CT690" s="1123"/>
      <c r="CU690" s="1123"/>
      <c r="CV690" s="1123"/>
      <c r="CW690" s="1123"/>
      <c r="CX690" s="1123"/>
      <c r="CY690" s="1123"/>
      <c r="CZ690" s="1114"/>
      <c r="DA690" s="1114"/>
      <c r="DB690" s="1114"/>
      <c r="DC690" s="1114"/>
      <c r="DD690" s="1114"/>
      <c r="DE690" s="1114"/>
      <c r="DF690" s="1114"/>
      <c r="DG690" s="1114"/>
      <c r="DH690" s="1114"/>
      <c r="DI690" s="1114"/>
      <c r="DJ690" s="1114"/>
      <c r="DK690" s="1114"/>
      <c r="DL690" s="1114"/>
      <c r="DM690" s="1114"/>
      <c r="DN690" s="1114"/>
      <c r="DO690" s="1114"/>
      <c r="DP690" s="1114"/>
      <c r="DQ690" s="1114"/>
      <c r="DR690" s="1114"/>
      <c r="DS690" s="1114"/>
      <c r="DT690" s="1114"/>
      <c r="DU690" s="1114"/>
      <c r="DV690" s="1115"/>
      <c r="DW690" s="1116"/>
      <c r="DX690" s="1116"/>
      <c r="DY690" s="1116"/>
      <c r="DZ690" s="1116"/>
      <c r="EA690" s="1116"/>
      <c r="EB690" s="1116"/>
      <c r="EC690" s="1116"/>
      <c r="ED690" s="1116"/>
      <c r="EE690" s="1116"/>
      <c r="EF690" s="1116"/>
      <c r="EG690" s="1116"/>
      <c r="EH690" s="1116"/>
      <c r="EI690" s="1116"/>
      <c r="EJ690" s="1116"/>
      <c r="EK690" s="1116"/>
      <c r="EL690" s="1116"/>
      <c r="EM690" s="1116"/>
      <c r="EN690" s="1116"/>
      <c r="EO690" s="1116"/>
      <c r="EP690" s="1116"/>
      <c r="EQ690" s="1116"/>
      <c r="ER690" s="1116"/>
      <c r="ES690" s="1116"/>
    </row>
    <row r="691" spans="1:149" ht="15" customHeight="1">
      <c r="A691" s="1185">
        <v>681</v>
      </c>
      <c r="B691" s="1041"/>
      <c r="C691" s="1050"/>
      <c r="D691" s="1050"/>
      <c r="E691" s="1050"/>
      <c r="F691" s="1049"/>
      <c r="G691" s="1049"/>
      <c r="H691" s="1049"/>
      <c r="I691" s="1049"/>
      <c r="J691" s="1050"/>
      <c r="K691" s="1050"/>
      <c r="L691" s="1043"/>
      <c r="M691" s="1051"/>
      <c r="N691" s="1051"/>
      <c r="O691" s="1052"/>
      <c r="P691" s="1051"/>
      <c r="Q691" s="1051"/>
      <c r="R691" s="1052"/>
      <c r="S691" s="1051"/>
      <c r="T691" s="1051"/>
      <c r="U691" s="1052"/>
      <c r="V691" s="1051"/>
      <c r="W691" s="1051"/>
      <c r="X691" s="1052"/>
      <c r="Y691" s="1053"/>
      <c r="Z691" s="1051"/>
      <c r="AA691" s="1051"/>
      <c r="AB691" s="1052"/>
      <c r="AC691" s="1051"/>
      <c r="AD691" s="1051"/>
      <c r="AE691" s="1052"/>
      <c r="AF691" s="1051"/>
      <c r="AG691" s="1051"/>
      <c r="AH691" s="1051"/>
      <c r="AI691" s="1051"/>
      <c r="AJ691" s="1052"/>
      <c r="AK691" s="1051"/>
      <c r="AL691" s="1051"/>
      <c r="AM691" s="1052"/>
      <c r="AN691" s="1051"/>
      <c r="AO691" s="1051"/>
      <c r="AP691" s="1052"/>
      <c r="AQ691" s="1051"/>
      <c r="AR691" s="1051"/>
      <c r="AS691" s="1052"/>
      <c r="AT691" s="1051"/>
      <c r="AU691" s="1051"/>
      <c r="AV691" s="1052"/>
      <c r="AW691" s="1051"/>
      <c r="AX691" s="1051"/>
      <c r="AY691" s="1053"/>
      <c r="AZ691" s="1051"/>
      <c r="BA691" s="1051"/>
      <c r="BB691" s="1053"/>
      <c r="BC691" s="1051"/>
      <c r="BD691" s="1051"/>
      <c r="BE691" s="1053"/>
      <c r="BF691" s="1051"/>
      <c r="BG691" s="1051"/>
      <c r="BH691" s="1053"/>
      <c r="BI691" s="1052"/>
      <c r="BJ691" s="1052"/>
      <c r="BK691" s="1052"/>
      <c r="BL691" s="1052"/>
      <c r="BM691" s="1052"/>
      <c r="BN691" s="1054"/>
      <c r="BO691" s="1076">
        <f t="shared" si="12"/>
        <v>0</v>
      </c>
      <c r="BP691" s="1051"/>
      <c r="BQ691" s="1052"/>
      <c r="BR691" s="1054"/>
      <c r="BS691" s="1053"/>
      <c r="BT691" s="1051"/>
      <c r="BU691" s="1051"/>
      <c r="BV691" s="1051"/>
      <c r="BW691" s="1052"/>
      <c r="BX691" s="1052"/>
      <c r="BY691" s="1052"/>
      <c r="BZ691" s="1052"/>
      <c r="CA691" s="1052"/>
      <c r="CB691" s="1053"/>
      <c r="CC691" s="1053"/>
      <c r="CD691" s="1053"/>
      <c r="CE691" s="1053"/>
      <c r="CF691" s="1053"/>
      <c r="CG691" s="1053"/>
      <c r="CH691" s="1053"/>
      <c r="CI691" s="1123"/>
      <c r="CJ691" s="1123"/>
      <c r="CK691" s="1123"/>
      <c r="CL691" s="1123"/>
      <c r="CM691" s="1123"/>
      <c r="CN691" s="1123"/>
      <c r="CO691" s="1123"/>
      <c r="CP691" s="1123"/>
      <c r="CQ691" s="1123"/>
      <c r="CR691" s="1123"/>
      <c r="CS691" s="1123"/>
      <c r="CT691" s="1123"/>
      <c r="CU691" s="1123"/>
      <c r="CV691" s="1123"/>
      <c r="CW691" s="1123"/>
      <c r="CX691" s="1123"/>
      <c r="CY691" s="1123"/>
      <c r="CZ691" s="1114"/>
      <c r="DA691" s="1114"/>
      <c r="DB691" s="1114"/>
      <c r="DC691" s="1114"/>
      <c r="DD691" s="1114"/>
      <c r="DE691" s="1114"/>
      <c r="DF691" s="1114"/>
      <c r="DG691" s="1114"/>
      <c r="DH691" s="1114"/>
      <c r="DI691" s="1114"/>
      <c r="DJ691" s="1114"/>
      <c r="DK691" s="1114"/>
      <c r="DL691" s="1114"/>
      <c r="DM691" s="1114"/>
      <c r="DN691" s="1114"/>
      <c r="DO691" s="1114"/>
      <c r="DP691" s="1114"/>
      <c r="DQ691" s="1114"/>
      <c r="DR691" s="1114"/>
      <c r="DS691" s="1114"/>
      <c r="DT691" s="1114"/>
      <c r="DU691" s="1114"/>
      <c r="DV691" s="1115"/>
      <c r="DW691" s="1116"/>
      <c r="DX691" s="1116"/>
      <c r="DY691" s="1116"/>
      <c r="DZ691" s="1116"/>
      <c r="EA691" s="1116"/>
      <c r="EB691" s="1116"/>
      <c r="EC691" s="1116"/>
      <c r="ED691" s="1116"/>
      <c r="EE691" s="1116"/>
      <c r="EF691" s="1116"/>
      <c r="EG691" s="1116"/>
      <c r="EH691" s="1116"/>
      <c r="EI691" s="1116"/>
      <c r="EJ691" s="1116"/>
      <c r="EK691" s="1116"/>
      <c r="EL691" s="1116"/>
      <c r="EM691" s="1116"/>
      <c r="EN691" s="1116"/>
      <c r="EO691" s="1116"/>
      <c r="EP691" s="1116"/>
      <c r="EQ691" s="1116"/>
      <c r="ER691" s="1116"/>
      <c r="ES691" s="1116"/>
    </row>
    <row r="692" spans="1:149" ht="15" customHeight="1">
      <c r="A692" s="1185">
        <v>682</v>
      </c>
      <c r="B692" s="1041"/>
      <c r="C692" s="1050"/>
      <c r="D692" s="1050"/>
      <c r="E692" s="1050"/>
      <c r="F692" s="1049"/>
      <c r="G692" s="1049"/>
      <c r="H692" s="1049"/>
      <c r="I692" s="1049"/>
      <c r="J692" s="1050"/>
      <c r="K692" s="1050"/>
      <c r="L692" s="1043"/>
      <c r="M692" s="1051"/>
      <c r="N692" s="1051"/>
      <c r="O692" s="1052"/>
      <c r="P692" s="1051"/>
      <c r="Q692" s="1051"/>
      <c r="R692" s="1052"/>
      <c r="S692" s="1051"/>
      <c r="T692" s="1051"/>
      <c r="U692" s="1052"/>
      <c r="V692" s="1051"/>
      <c r="W692" s="1051"/>
      <c r="X692" s="1052"/>
      <c r="Y692" s="1053"/>
      <c r="Z692" s="1051"/>
      <c r="AA692" s="1051"/>
      <c r="AB692" s="1052"/>
      <c r="AC692" s="1051"/>
      <c r="AD692" s="1051"/>
      <c r="AE692" s="1052"/>
      <c r="AF692" s="1051"/>
      <c r="AG692" s="1051"/>
      <c r="AH692" s="1051"/>
      <c r="AI692" s="1051"/>
      <c r="AJ692" s="1052"/>
      <c r="AK692" s="1051"/>
      <c r="AL692" s="1051"/>
      <c r="AM692" s="1052"/>
      <c r="AN692" s="1051"/>
      <c r="AO692" s="1051"/>
      <c r="AP692" s="1052"/>
      <c r="AQ692" s="1051"/>
      <c r="AR692" s="1051"/>
      <c r="AS692" s="1052"/>
      <c r="AT692" s="1051"/>
      <c r="AU692" s="1051"/>
      <c r="AV692" s="1052"/>
      <c r="AW692" s="1051"/>
      <c r="AX692" s="1051"/>
      <c r="AY692" s="1053"/>
      <c r="AZ692" s="1051"/>
      <c r="BA692" s="1051"/>
      <c r="BB692" s="1053"/>
      <c r="BC692" s="1051"/>
      <c r="BD692" s="1051"/>
      <c r="BE692" s="1053"/>
      <c r="BF692" s="1051"/>
      <c r="BG692" s="1051"/>
      <c r="BH692" s="1053"/>
      <c r="BI692" s="1052"/>
      <c r="BJ692" s="1052"/>
      <c r="BK692" s="1052"/>
      <c r="BL692" s="1052"/>
      <c r="BM692" s="1052"/>
      <c r="BN692" s="1054"/>
      <c r="BO692" s="1076">
        <f t="shared" si="12"/>
        <v>0</v>
      </c>
      <c r="BP692" s="1051"/>
      <c r="BQ692" s="1052"/>
      <c r="BR692" s="1054"/>
      <c r="BS692" s="1053"/>
      <c r="BT692" s="1051"/>
      <c r="BU692" s="1051"/>
      <c r="BV692" s="1051"/>
      <c r="BW692" s="1052"/>
      <c r="BX692" s="1052"/>
      <c r="BY692" s="1052"/>
      <c r="BZ692" s="1052"/>
      <c r="CA692" s="1052"/>
      <c r="CB692" s="1053"/>
      <c r="CC692" s="1053"/>
      <c r="CD692" s="1053"/>
      <c r="CE692" s="1053"/>
      <c r="CF692" s="1053"/>
      <c r="CG692" s="1053"/>
      <c r="CH692" s="1053"/>
      <c r="CI692" s="1123"/>
      <c r="CJ692" s="1123"/>
      <c r="CK692" s="1123"/>
      <c r="CL692" s="1123"/>
      <c r="CM692" s="1123"/>
      <c r="CN692" s="1123"/>
      <c r="CO692" s="1123"/>
      <c r="CP692" s="1123"/>
      <c r="CQ692" s="1123"/>
      <c r="CR692" s="1123"/>
      <c r="CS692" s="1123"/>
      <c r="CT692" s="1123"/>
      <c r="CU692" s="1123"/>
      <c r="CV692" s="1123"/>
      <c r="CW692" s="1123"/>
      <c r="CX692" s="1123"/>
      <c r="CY692" s="1123"/>
      <c r="CZ692" s="1114"/>
      <c r="DA692" s="1114"/>
      <c r="DB692" s="1114"/>
      <c r="DC692" s="1114"/>
      <c r="DD692" s="1114"/>
      <c r="DE692" s="1114"/>
      <c r="DF692" s="1114"/>
      <c r="DG692" s="1114"/>
      <c r="DH692" s="1114"/>
      <c r="DI692" s="1114"/>
      <c r="DJ692" s="1114"/>
      <c r="DK692" s="1114"/>
      <c r="DL692" s="1114"/>
      <c r="DM692" s="1114"/>
      <c r="DN692" s="1114"/>
      <c r="DO692" s="1114"/>
      <c r="DP692" s="1114"/>
      <c r="DQ692" s="1114"/>
      <c r="DR692" s="1114"/>
      <c r="DS692" s="1114"/>
      <c r="DT692" s="1114"/>
      <c r="DU692" s="1114"/>
      <c r="DV692" s="1115"/>
      <c r="DW692" s="1116"/>
      <c r="DX692" s="1116"/>
      <c r="DY692" s="1116"/>
      <c r="DZ692" s="1116"/>
      <c r="EA692" s="1116"/>
      <c r="EB692" s="1116"/>
      <c r="EC692" s="1116"/>
      <c r="ED692" s="1116"/>
      <c r="EE692" s="1116"/>
      <c r="EF692" s="1116"/>
      <c r="EG692" s="1116"/>
      <c r="EH692" s="1116"/>
      <c r="EI692" s="1116"/>
      <c r="EJ692" s="1116"/>
      <c r="EK692" s="1116"/>
      <c r="EL692" s="1116"/>
      <c r="EM692" s="1116"/>
      <c r="EN692" s="1116"/>
      <c r="EO692" s="1116"/>
      <c r="EP692" s="1116"/>
      <c r="EQ692" s="1116"/>
      <c r="ER692" s="1116"/>
      <c r="ES692" s="1116"/>
    </row>
    <row r="693" spans="1:149" ht="15" customHeight="1">
      <c r="A693" s="1185">
        <v>683</v>
      </c>
      <c r="B693" s="1041"/>
      <c r="C693" s="1050"/>
      <c r="D693" s="1050"/>
      <c r="E693" s="1050"/>
      <c r="F693" s="1049"/>
      <c r="G693" s="1049"/>
      <c r="H693" s="1049"/>
      <c r="I693" s="1049"/>
      <c r="J693" s="1050"/>
      <c r="K693" s="1050"/>
      <c r="L693" s="1043"/>
      <c r="M693" s="1051"/>
      <c r="N693" s="1051"/>
      <c r="O693" s="1052"/>
      <c r="P693" s="1051"/>
      <c r="Q693" s="1051"/>
      <c r="R693" s="1052"/>
      <c r="S693" s="1051"/>
      <c r="T693" s="1051"/>
      <c r="U693" s="1052"/>
      <c r="V693" s="1051"/>
      <c r="W693" s="1051"/>
      <c r="X693" s="1052"/>
      <c r="Y693" s="1053"/>
      <c r="Z693" s="1051"/>
      <c r="AA693" s="1051"/>
      <c r="AB693" s="1052"/>
      <c r="AC693" s="1051"/>
      <c r="AD693" s="1051"/>
      <c r="AE693" s="1052"/>
      <c r="AF693" s="1051"/>
      <c r="AG693" s="1051"/>
      <c r="AH693" s="1051"/>
      <c r="AI693" s="1051"/>
      <c r="AJ693" s="1052"/>
      <c r="AK693" s="1051"/>
      <c r="AL693" s="1051"/>
      <c r="AM693" s="1052"/>
      <c r="AN693" s="1051"/>
      <c r="AO693" s="1051"/>
      <c r="AP693" s="1052"/>
      <c r="AQ693" s="1051"/>
      <c r="AR693" s="1051"/>
      <c r="AS693" s="1052"/>
      <c r="AT693" s="1051"/>
      <c r="AU693" s="1051"/>
      <c r="AV693" s="1052"/>
      <c r="AW693" s="1051"/>
      <c r="AX693" s="1051"/>
      <c r="AY693" s="1053"/>
      <c r="AZ693" s="1051"/>
      <c r="BA693" s="1051"/>
      <c r="BB693" s="1053"/>
      <c r="BC693" s="1051"/>
      <c r="BD693" s="1051"/>
      <c r="BE693" s="1053"/>
      <c r="BF693" s="1051"/>
      <c r="BG693" s="1051"/>
      <c r="BH693" s="1053"/>
      <c r="BI693" s="1052"/>
      <c r="BJ693" s="1052"/>
      <c r="BK693" s="1052"/>
      <c r="BL693" s="1052"/>
      <c r="BM693" s="1052"/>
      <c r="BN693" s="1054"/>
      <c r="BO693" s="1076">
        <f t="shared" si="12"/>
        <v>0</v>
      </c>
      <c r="BP693" s="1051"/>
      <c r="BQ693" s="1052"/>
      <c r="BR693" s="1054"/>
      <c r="BS693" s="1053"/>
      <c r="BT693" s="1051"/>
      <c r="BU693" s="1051"/>
      <c r="BV693" s="1051"/>
      <c r="BW693" s="1052"/>
      <c r="BX693" s="1052"/>
      <c r="BY693" s="1052"/>
      <c r="BZ693" s="1052"/>
      <c r="CA693" s="1052"/>
      <c r="CB693" s="1053"/>
      <c r="CC693" s="1053"/>
      <c r="CD693" s="1053"/>
      <c r="CE693" s="1053"/>
      <c r="CF693" s="1053"/>
      <c r="CG693" s="1053"/>
      <c r="CH693" s="1053"/>
      <c r="CI693" s="1123"/>
      <c r="CJ693" s="1123"/>
      <c r="CK693" s="1123"/>
      <c r="CL693" s="1123"/>
      <c r="CM693" s="1123"/>
      <c r="CN693" s="1123"/>
      <c r="CO693" s="1123"/>
      <c r="CP693" s="1123"/>
      <c r="CQ693" s="1123"/>
      <c r="CR693" s="1123"/>
      <c r="CS693" s="1123"/>
      <c r="CT693" s="1123"/>
      <c r="CU693" s="1123"/>
      <c r="CV693" s="1123"/>
      <c r="CW693" s="1123"/>
      <c r="CX693" s="1123"/>
      <c r="CY693" s="1123"/>
      <c r="CZ693" s="1114"/>
      <c r="DA693" s="1114"/>
      <c r="DB693" s="1114"/>
      <c r="DC693" s="1114"/>
      <c r="DD693" s="1114"/>
      <c r="DE693" s="1114"/>
      <c r="DF693" s="1114"/>
      <c r="DG693" s="1114"/>
      <c r="DH693" s="1114"/>
      <c r="DI693" s="1114"/>
      <c r="DJ693" s="1114"/>
      <c r="DK693" s="1114"/>
      <c r="DL693" s="1114"/>
      <c r="DM693" s="1114"/>
      <c r="DN693" s="1114"/>
      <c r="DO693" s="1114"/>
      <c r="DP693" s="1114"/>
      <c r="DQ693" s="1114"/>
      <c r="DR693" s="1114"/>
      <c r="DS693" s="1114"/>
      <c r="DT693" s="1114"/>
      <c r="DU693" s="1114"/>
      <c r="DV693" s="1115"/>
      <c r="DW693" s="1116"/>
      <c r="DX693" s="1116"/>
      <c r="DY693" s="1116"/>
      <c r="DZ693" s="1116"/>
      <c r="EA693" s="1116"/>
      <c r="EB693" s="1116"/>
      <c r="EC693" s="1116"/>
      <c r="ED693" s="1116"/>
      <c r="EE693" s="1116"/>
      <c r="EF693" s="1116"/>
      <c r="EG693" s="1116"/>
      <c r="EH693" s="1116"/>
      <c r="EI693" s="1116"/>
      <c r="EJ693" s="1116"/>
      <c r="EK693" s="1116"/>
      <c r="EL693" s="1116"/>
      <c r="EM693" s="1116"/>
      <c r="EN693" s="1116"/>
      <c r="EO693" s="1116"/>
      <c r="EP693" s="1116"/>
      <c r="EQ693" s="1116"/>
      <c r="ER693" s="1116"/>
      <c r="ES693" s="1116"/>
    </row>
    <row r="694" spans="1:149" ht="15" customHeight="1">
      <c r="A694" s="1185">
        <v>684</v>
      </c>
      <c r="B694" s="1041"/>
      <c r="C694" s="1050"/>
      <c r="D694" s="1050"/>
      <c r="E694" s="1050"/>
      <c r="F694" s="1049"/>
      <c r="G694" s="1049"/>
      <c r="H694" s="1049"/>
      <c r="I694" s="1049"/>
      <c r="J694" s="1050"/>
      <c r="K694" s="1050"/>
      <c r="L694" s="1043"/>
      <c r="M694" s="1051"/>
      <c r="N694" s="1051"/>
      <c r="O694" s="1052"/>
      <c r="P694" s="1051"/>
      <c r="Q694" s="1051"/>
      <c r="R694" s="1052"/>
      <c r="S694" s="1051"/>
      <c r="T694" s="1051"/>
      <c r="U694" s="1052"/>
      <c r="V694" s="1051"/>
      <c r="W694" s="1051"/>
      <c r="X694" s="1052"/>
      <c r="Y694" s="1053"/>
      <c r="Z694" s="1051"/>
      <c r="AA694" s="1051"/>
      <c r="AB694" s="1052"/>
      <c r="AC694" s="1051"/>
      <c r="AD694" s="1051"/>
      <c r="AE694" s="1052"/>
      <c r="AF694" s="1051"/>
      <c r="AG694" s="1051"/>
      <c r="AH694" s="1051"/>
      <c r="AI694" s="1051"/>
      <c r="AJ694" s="1052"/>
      <c r="AK694" s="1051"/>
      <c r="AL694" s="1051"/>
      <c r="AM694" s="1052"/>
      <c r="AN694" s="1051"/>
      <c r="AO694" s="1051"/>
      <c r="AP694" s="1052"/>
      <c r="AQ694" s="1051"/>
      <c r="AR694" s="1051"/>
      <c r="AS694" s="1052"/>
      <c r="AT694" s="1051"/>
      <c r="AU694" s="1051"/>
      <c r="AV694" s="1052"/>
      <c r="AW694" s="1051"/>
      <c r="AX694" s="1051"/>
      <c r="AY694" s="1053"/>
      <c r="AZ694" s="1051"/>
      <c r="BA694" s="1051"/>
      <c r="BB694" s="1053"/>
      <c r="BC694" s="1051"/>
      <c r="BD694" s="1051"/>
      <c r="BE694" s="1053"/>
      <c r="BF694" s="1051"/>
      <c r="BG694" s="1051"/>
      <c r="BH694" s="1053"/>
      <c r="BI694" s="1052"/>
      <c r="BJ694" s="1052"/>
      <c r="BK694" s="1052"/>
      <c r="BL694" s="1052"/>
      <c r="BM694" s="1052"/>
      <c r="BN694" s="1054"/>
      <c r="BO694" s="1076">
        <f t="shared" si="12"/>
        <v>0</v>
      </c>
      <c r="BP694" s="1051"/>
      <c r="BQ694" s="1052"/>
      <c r="BR694" s="1054"/>
      <c r="BS694" s="1053"/>
      <c r="BT694" s="1051"/>
      <c r="BU694" s="1051"/>
      <c r="BV694" s="1051"/>
      <c r="BW694" s="1052"/>
      <c r="BX694" s="1052"/>
      <c r="BY694" s="1052"/>
      <c r="BZ694" s="1052"/>
      <c r="CA694" s="1052"/>
      <c r="CB694" s="1053"/>
      <c r="CC694" s="1053"/>
      <c r="CD694" s="1053"/>
      <c r="CE694" s="1053"/>
      <c r="CF694" s="1053"/>
      <c r="CG694" s="1053"/>
      <c r="CH694" s="1053"/>
      <c r="CI694" s="1123"/>
      <c r="CJ694" s="1123"/>
      <c r="CK694" s="1123"/>
      <c r="CL694" s="1123"/>
      <c r="CM694" s="1123"/>
      <c r="CN694" s="1123"/>
      <c r="CO694" s="1123"/>
      <c r="CP694" s="1123"/>
      <c r="CQ694" s="1123"/>
      <c r="CR694" s="1123"/>
      <c r="CS694" s="1123"/>
      <c r="CT694" s="1123"/>
      <c r="CU694" s="1123"/>
      <c r="CV694" s="1123"/>
      <c r="CW694" s="1123"/>
      <c r="CX694" s="1123"/>
      <c r="CY694" s="1123"/>
      <c r="CZ694" s="1114"/>
      <c r="DA694" s="1114"/>
      <c r="DB694" s="1114"/>
      <c r="DC694" s="1114"/>
      <c r="DD694" s="1114"/>
      <c r="DE694" s="1114"/>
      <c r="DF694" s="1114"/>
      <c r="DG694" s="1114"/>
      <c r="DH694" s="1114"/>
      <c r="DI694" s="1114"/>
      <c r="DJ694" s="1114"/>
      <c r="DK694" s="1114"/>
      <c r="DL694" s="1114"/>
      <c r="DM694" s="1114"/>
      <c r="DN694" s="1114"/>
      <c r="DO694" s="1114"/>
      <c r="DP694" s="1114"/>
      <c r="DQ694" s="1114"/>
      <c r="DR694" s="1114"/>
      <c r="DS694" s="1114"/>
      <c r="DT694" s="1114"/>
      <c r="DU694" s="1114"/>
      <c r="DV694" s="1115"/>
      <c r="DW694" s="1116"/>
      <c r="DX694" s="1116"/>
      <c r="DY694" s="1116"/>
      <c r="DZ694" s="1116"/>
      <c r="EA694" s="1116"/>
      <c r="EB694" s="1116"/>
      <c r="EC694" s="1116"/>
      <c r="ED694" s="1116"/>
      <c r="EE694" s="1116"/>
      <c r="EF694" s="1116"/>
      <c r="EG694" s="1116"/>
      <c r="EH694" s="1116"/>
      <c r="EI694" s="1116"/>
      <c r="EJ694" s="1116"/>
      <c r="EK694" s="1116"/>
      <c r="EL694" s="1116"/>
      <c r="EM694" s="1116"/>
      <c r="EN694" s="1116"/>
      <c r="EO694" s="1116"/>
      <c r="EP694" s="1116"/>
      <c r="EQ694" s="1116"/>
      <c r="ER694" s="1116"/>
      <c r="ES694" s="1116"/>
    </row>
    <row r="695" spans="1:149" ht="15" customHeight="1">
      <c r="A695" s="1185">
        <v>685</v>
      </c>
      <c r="B695" s="1041"/>
      <c r="C695" s="1050"/>
      <c r="D695" s="1050"/>
      <c r="E695" s="1050"/>
      <c r="F695" s="1049"/>
      <c r="G695" s="1049"/>
      <c r="H695" s="1049"/>
      <c r="I695" s="1049"/>
      <c r="J695" s="1050"/>
      <c r="K695" s="1050"/>
      <c r="L695" s="1043"/>
      <c r="M695" s="1051"/>
      <c r="N695" s="1051"/>
      <c r="O695" s="1052"/>
      <c r="P695" s="1051"/>
      <c r="Q695" s="1051"/>
      <c r="R695" s="1052"/>
      <c r="S695" s="1051"/>
      <c r="T695" s="1051"/>
      <c r="U695" s="1052"/>
      <c r="V695" s="1051"/>
      <c r="W695" s="1051"/>
      <c r="X695" s="1052"/>
      <c r="Y695" s="1053"/>
      <c r="Z695" s="1051"/>
      <c r="AA695" s="1051"/>
      <c r="AB695" s="1052"/>
      <c r="AC695" s="1051"/>
      <c r="AD695" s="1051"/>
      <c r="AE695" s="1052"/>
      <c r="AF695" s="1051"/>
      <c r="AG695" s="1051"/>
      <c r="AH695" s="1051"/>
      <c r="AI695" s="1051"/>
      <c r="AJ695" s="1052"/>
      <c r="AK695" s="1051"/>
      <c r="AL695" s="1051"/>
      <c r="AM695" s="1052"/>
      <c r="AN695" s="1051"/>
      <c r="AO695" s="1051"/>
      <c r="AP695" s="1052"/>
      <c r="AQ695" s="1051"/>
      <c r="AR695" s="1051"/>
      <c r="AS695" s="1052"/>
      <c r="AT695" s="1051"/>
      <c r="AU695" s="1051"/>
      <c r="AV695" s="1052"/>
      <c r="AW695" s="1051"/>
      <c r="AX695" s="1051"/>
      <c r="AY695" s="1053"/>
      <c r="AZ695" s="1051"/>
      <c r="BA695" s="1051"/>
      <c r="BB695" s="1053"/>
      <c r="BC695" s="1051"/>
      <c r="BD695" s="1051"/>
      <c r="BE695" s="1053"/>
      <c r="BF695" s="1051"/>
      <c r="BG695" s="1051"/>
      <c r="BH695" s="1053"/>
      <c r="BI695" s="1052"/>
      <c r="BJ695" s="1052"/>
      <c r="BK695" s="1052"/>
      <c r="BL695" s="1052"/>
      <c r="BM695" s="1052"/>
      <c r="BN695" s="1054"/>
      <c r="BO695" s="1076">
        <f t="shared" si="12"/>
        <v>0</v>
      </c>
      <c r="BP695" s="1051"/>
      <c r="BQ695" s="1052"/>
      <c r="BR695" s="1054"/>
      <c r="BS695" s="1053"/>
      <c r="BT695" s="1051"/>
      <c r="BU695" s="1051"/>
      <c r="BV695" s="1051"/>
      <c r="BW695" s="1052"/>
      <c r="BX695" s="1052"/>
      <c r="BY695" s="1052"/>
      <c r="BZ695" s="1052"/>
      <c r="CA695" s="1052"/>
      <c r="CB695" s="1053"/>
      <c r="CC695" s="1053"/>
      <c r="CD695" s="1053"/>
      <c r="CE695" s="1053"/>
      <c r="CF695" s="1053"/>
      <c r="CG695" s="1053"/>
      <c r="CH695" s="1053"/>
      <c r="CI695" s="1123"/>
      <c r="CJ695" s="1123"/>
      <c r="CK695" s="1123"/>
      <c r="CL695" s="1123"/>
      <c r="CM695" s="1123"/>
      <c r="CN695" s="1123"/>
      <c r="CO695" s="1123"/>
      <c r="CP695" s="1123"/>
      <c r="CQ695" s="1123"/>
      <c r="CR695" s="1123"/>
      <c r="CS695" s="1123"/>
      <c r="CT695" s="1123"/>
      <c r="CU695" s="1123"/>
      <c r="CV695" s="1123"/>
      <c r="CW695" s="1123"/>
      <c r="CX695" s="1123"/>
      <c r="CY695" s="1123"/>
      <c r="CZ695" s="1114"/>
      <c r="DA695" s="1114"/>
      <c r="DB695" s="1114"/>
      <c r="DC695" s="1114"/>
      <c r="DD695" s="1114"/>
      <c r="DE695" s="1114"/>
      <c r="DF695" s="1114"/>
      <c r="DG695" s="1114"/>
      <c r="DH695" s="1114"/>
      <c r="DI695" s="1114"/>
      <c r="DJ695" s="1114"/>
      <c r="DK695" s="1114"/>
      <c r="DL695" s="1114"/>
      <c r="DM695" s="1114"/>
      <c r="DN695" s="1114"/>
      <c r="DO695" s="1114"/>
      <c r="DP695" s="1114"/>
      <c r="DQ695" s="1114"/>
      <c r="DR695" s="1114"/>
      <c r="DS695" s="1114"/>
      <c r="DT695" s="1114"/>
      <c r="DU695" s="1114"/>
      <c r="DV695" s="1115"/>
      <c r="DW695" s="1116"/>
      <c r="DX695" s="1116"/>
      <c r="DY695" s="1116"/>
      <c r="DZ695" s="1116"/>
      <c r="EA695" s="1116"/>
      <c r="EB695" s="1116"/>
      <c r="EC695" s="1116"/>
      <c r="ED695" s="1116"/>
      <c r="EE695" s="1116"/>
      <c r="EF695" s="1116"/>
      <c r="EG695" s="1116"/>
      <c r="EH695" s="1116"/>
      <c r="EI695" s="1116"/>
      <c r="EJ695" s="1116"/>
      <c r="EK695" s="1116"/>
      <c r="EL695" s="1116"/>
      <c r="EM695" s="1116"/>
      <c r="EN695" s="1116"/>
      <c r="EO695" s="1116"/>
      <c r="EP695" s="1116"/>
      <c r="EQ695" s="1116"/>
      <c r="ER695" s="1116"/>
      <c r="ES695" s="1116"/>
    </row>
    <row r="696" spans="1:149" ht="15" customHeight="1">
      <c r="A696" s="1185">
        <v>686</v>
      </c>
      <c r="B696" s="1041"/>
      <c r="C696" s="1050"/>
      <c r="D696" s="1050"/>
      <c r="E696" s="1050"/>
      <c r="F696" s="1049"/>
      <c r="G696" s="1049"/>
      <c r="H696" s="1049"/>
      <c r="I696" s="1049"/>
      <c r="J696" s="1050"/>
      <c r="K696" s="1050"/>
      <c r="L696" s="1043"/>
      <c r="M696" s="1051"/>
      <c r="N696" s="1051"/>
      <c r="O696" s="1052"/>
      <c r="P696" s="1051"/>
      <c r="Q696" s="1051"/>
      <c r="R696" s="1052"/>
      <c r="S696" s="1051"/>
      <c r="T696" s="1051"/>
      <c r="U696" s="1052"/>
      <c r="V696" s="1051"/>
      <c r="W696" s="1051"/>
      <c r="X696" s="1052"/>
      <c r="Y696" s="1053"/>
      <c r="Z696" s="1051"/>
      <c r="AA696" s="1051"/>
      <c r="AB696" s="1052"/>
      <c r="AC696" s="1051"/>
      <c r="AD696" s="1051"/>
      <c r="AE696" s="1052"/>
      <c r="AF696" s="1051"/>
      <c r="AG696" s="1051"/>
      <c r="AH696" s="1051"/>
      <c r="AI696" s="1051"/>
      <c r="AJ696" s="1052"/>
      <c r="AK696" s="1051"/>
      <c r="AL696" s="1051"/>
      <c r="AM696" s="1052"/>
      <c r="AN696" s="1051"/>
      <c r="AO696" s="1051"/>
      <c r="AP696" s="1052"/>
      <c r="AQ696" s="1051"/>
      <c r="AR696" s="1051"/>
      <c r="AS696" s="1052"/>
      <c r="AT696" s="1051"/>
      <c r="AU696" s="1051"/>
      <c r="AV696" s="1052"/>
      <c r="AW696" s="1051"/>
      <c r="AX696" s="1051"/>
      <c r="AY696" s="1053"/>
      <c r="AZ696" s="1051"/>
      <c r="BA696" s="1051"/>
      <c r="BB696" s="1053"/>
      <c r="BC696" s="1051"/>
      <c r="BD696" s="1051"/>
      <c r="BE696" s="1053"/>
      <c r="BF696" s="1051"/>
      <c r="BG696" s="1051"/>
      <c r="BH696" s="1053"/>
      <c r="BI696" s="1052"/>
      <c r="BJ696" s="1052"/>
      <c r="BK696" s="1052"/>
      <c r="BL696" s="1052"/>
      <c r="BM696" s="1052"/>
      <c r="BN696" s="1054"/>
      <c r="BO696" s="1076">
        <f t="shared" si="12"/>
        <v>0</v>
      </c>
      <c r="BP696" s="1051"/>
      <c r="BQ696" s="1052"/>
      <c r="BR696" s="1054"/>
      <c r="BS696" s="1053"/>
      <c r="BT696" s="1051"/>
      <c r="BU696" s="1051"/>
      <c r="BV696" s="1051"/>
      <c r="BW696" s="1052"/>
      <c r="BX696" s="1052"/>
      <c r="BY696" s="1052"/>
      <c r="BZ696" s="1052"/>
      <c r="CA696" s="1052"/>
      <c r="CB696" s="1053"/>
      <c r="CC696" s="1053"/>
      <c r="CD696" s="1053"/>
      <c r="CE696" s="1053"/>
      <c r="CF696" s="1053"/>
      <c r="CG696" s="1053"/>
      <c r="CH696" s="1053"/>
      <c r="CI696" s="1123"/>
      <c r="CJ696" s="1123"/>
      <c r="CK696" s="1123"/>
      <c r="CL696" s="1123"/>
      <c r="CM696" s="1123"/>
      <c r="CN696" s="1123"/>
      <c r="CO696" s="1123"/>
      <c r="CP696" s="1123"/>
      <c r="CQ696" s="1123"/>
      <c r="CR696" s="1123"/>
      <c r="CS696" s="1123"/>
      <c r="CT696" s="1123"/>
      <c r="CU696" s="1123"/>
      <c r="CV696" s="1123"/>
      <c r="CW696" s="1123"/>
      <c r="CX696" s="1123"/>
      <c r="CY696" s="1123"/>
      <c r="CZ696" s="1114"/>
      <c r="DA696" s="1114"/>
      <c r="DB696" s="1114"/>
      <c r="DC696" s="1114"/>
      <c r="DD696" s="1114"/>
      <c r="DE696" s="1114"/>
      <c r="DF696" s="1114"/>
      <c r="DG696" s="1114"/>
      <c r="DH696" s="1114"/>
      <c r="DI696" s="1114"/>
      <c r="DJ696" s="1114"/>
      <c r="DK696" s="1114"/>
      <c r="DL696" s="1114"/>
      <c r="DM696" s="1114"/>
      <c r="DN696" s="1114"/>
      <c r="DO696" s="1114"/>
      <c r="DP696" s="1114"/>
      <c r="DQ696" s="1114"/>
      <c r="DR696" s="1114"/>
      <c r="DS696" s="1114"/>
      <c r="DT696" s="1114"/>
      <c r="DU696" s="1114"/>
      <c r="DV696" s="1115"/>
      <c r="DW696" s="1116"/>
      <c r="DX696" s="1116"/>
      <c r="DY696" s="1116"/>
      <c r="DZ696" s="1116"/>
      <c r="EA696" s="1116"/>
      <c r="EB696" s="1116"/>
      <c r="EC696" s="1116"/>
      <c r="ED696" s="1116"/>
      <c r="EE696" s="1116"/>
      <c r="EF696" s="1116"/>
      <c r="EG696" s="1116"/>
      <c r="EH696" s="1116"/>
      <c r="EI696" s="1116"/>
      <c r="EJ696" s="1116"/>
      <c r="EK696" s="1116"/>
      <c r="EL696" s="1116"/>
      <c r="EM696" s="1116"/>
      <c r="EN696" s="1116"/>
      <c r="EO696" s="1116"/>
      <c r="EP696" s="1116"/>
      <c r="EQ696" s="1116"/>
      <c r="ER696" s="1116"/>
      <c r="ES696" s="1116"/>
    </row>
    <row r="697" spans="1:149" ht="15" customHeight="1">
      <c r="A697" s="1185">
        <v>687</v>
      </c>
      <c r="B697" s="1041"/>
      <c r="C697" s="1050"/>
      <c r="D697" s="1050"/>
      <c r="E697" s="1050"/>
      <c r="F697" s="1049"/>
      <c r="G697" s="1049"/>
      <c r="H697" s="1049"/>
      <c r="I697" s="1049"/>
      <c r="J697" s="1050"/>
      <c r="K697" s="1050"/>
      <c r="L697" s="1043"/>
      <c r="M697" s="1051"/>
      <c r="N697" s="1051"/>
      <c r="O697" s="1052"/>
      <c r="P697" s="1051"/>
      <c r="Q697" s="1051"/>
      <c r="R697" s="1052"/>
      <c r="S697" s="1051"/>
      <c r="T697" s="1051"/>
      <c r="U697" s="1052"/>
      <c r="V697" s="1051"/>
      <c r="W697" s="1051"/>
      <c r="X697" s="1052"/>
      <c r="Y697" s="1053"/>
      <c r="Z697" s="1051"/>
      <c r="AA697" s="1051"/>
      <c r="AB697" s="1052"/>
      <c r="AC697" s="1051"/>
      <c r="AD697" s="1051"/>
      <c r="AE697" s="1052"/>
      <c r="AF697" s="1051"/>
      <c r="AG697" s="1051"/>
      <c r="AH697" s="1051"/>
      <c r="AI697" s="1051"/>
      <c r="AJ697" s="1052"/>
      <c r="AK697" s="1051"/>
      <c r="AL697" s="1051"/>
      <c r="AM697" s="1052"/>
      <c r="AN697" s="1051"/>
      <c r="AO697" s="1051"/>
      <c r="AP697" s="1052"/>
      <c r="AQ697" s="1051"/>
      <c r="AR697" s="1051"/>
      <c r="AS697" s="1052"/>
      <c r="AT697" s="1051"/>
      <c r="AU697" s="1051"/>
      <c r="AV697" s="1052"/>
      <c r="AW697" s="1051"/>
      <c r="AX697" s="1051"/>
      <c r="AY697" s="1053"/>
      <c r="AZ697" s="1051"/>
      <c r="BA697" s="1051"/>
      <c r="BB697" s="1053"/>
      <c r="BC697" s="1051"/>
      <c r="BD697" s="1051"/>
      <c r="BE697" s="1053"/>
      <c r="BF697" s="1051"/>
      <c r="BG697" s="1051"/>
      <c r="BH697" s="1053"/>
      <c r="BI697" s="1052"/>
      <c r="BJ697" s="1052"/>
      <c r="BK697" s="1052"/>
      <c r="BL697" s="1052"/>
      <c r="BM697" s="1052"/>
      <c r="BN697" s="1054"/>
      <c r="BO697" s="1076">
        <f t="shared" si="12"/>
        <v>0</v>
      </c>
      <c r="BP697" s="1051"/>
      <c r="BQ697" s="1052"/>
      <c r="BR697" s="1054"/>
      <c r="BS697" s="1053"/>
      <c r="BT697" s="1051"/>
      <c r="BU697" s="1051"/>
      <c r="BV697" s="1051"/>
      <c r="BW697" s="1052"/>
      <c r="BX697" s="1052"/>
      <c r="BY697" s="1052"/>
      <c r="BZ697" s="1052"/>
      <c r="CA697" s="1052"/>
      <c r="CB697" s="1053"/>
      <c r="CC697" s="1053"/>
      <c r="CD697" s="1053"/>
      <c r="CE697" s="1053"/>
      <c r="CF697" s="1053"/>
      <c r="CG697" s="1053"/>
      <c r="CH697" s="1053"/>
      <c r="CI697" s="1123"/>
      <c r="CJ697" s="1123"/>
      <c r="CK697" s="1123"/>
      <c r="CL697" s="1123"/>
      <c r="CM697" s="1123"/>
      <c r="CN697" s="1123"/>
      <c r="CO697" s="1123"/>
      <c r="CP697" s="1123"/>
      <c r="CQ697" s="1123"/>
      <c r="CR697" s="1123"/>
      <c r="CS697" s="1123"/>
      <c r="CT697" s="1123"/>
      <c r="CU697" s="1123"/>
      <c r="CV697" s="1123"/>
      <c r="CW697" s="1123"/>
      <c r="CX697" s="1123"/>
      <c r="CY697" s="1123"/>
      <c r="CZ697" s="1114"/>
      <c r="DA697" s="1114"/>
      <c r="DB697" s="1114"/>
      <c r="DC697" s="1114"/>
      <c r="DD697" s="1114"/>
      <c r="DE697" s="1114"/>
      <c r="DF697" s="1114"/>
      <c r="DG697" s="1114"/>
      <c r="DH697" s="1114"/>
      <c r="DI697" s="1114"/>
      <c r="DJ697" s="1114"/>
      <c r="DK697" s="1114"/>
      <c r="DL697" s="1114"/>
      <c r="DM697" s="1114"/>
      <c r="DN697" s="1114"/>
      <c r="DO697" s="1114"/>
      <c r="DP697" s="1114"/>
      <c r="DQ697" s="1114"/>
      <c r="DR697" s="1114"/>
      <c r="DS697" s="1114"/>
      <c r="DT697" s="1114"/>
      <c r="DU697" s="1114"/>
      <c r="DV697" s="1115"/>
      <c r="DW697" s="1116"/>
      <c r="DX697" s="1116"/>
      <c r="DY697" s="1116"/>
      <c r="DZ697" s="1116"/>
      <c r="EA697" s="1116"/>
      <c r="EB697" s="1116"/>
      <c r="EC697" s="1116"/>
      <c r="ED697" s="1116"/>
      <c r="EE697" s="1116"/>
      <c r="EF697" s="1116"/>
      <c r="EG697" s="1116"/>
      <c r="EH697" s="1116"/>
      <c r="EI697" s="1116"/>
      <c r="EJ697" s="1116"/>
      <c r="EK697" s="1116"/>
      <c r="EL697" s="1116"/>
      <c r="EM697" s="1116"/>
      <c r="EN697" s="1116"/>
      <c r="EO697" s="1116"/>
      <c r="EP697" s="1116"/>
      <c r="EQ697" s="1116"/>
      <c r="ER697" s="1116"/>
      <c r="ES697" s="1116"/>
    </row>
    <row r="698" spans="1:149" ht="15" customHeight="1">
      <c r="A698" s="1185">
        <v>688</v>
      </c>
      <c r="B698" s="1041"/>
      <c r="C698" s="1050"/>
      <c r="D698" s="1050"/>
      <c r="E698" s="1050"/>
      <c r="F698" s="1049"/>
      <c r="G698" s="1049"/>
      <c r="H698" s="1049"/>
      <c r="I698" s="1049"/>
      <c r="J698" s="1050"/>
      <c r="K698" s="1050"/>
      <c r="L698" s="1043"/>
      <c r="M698" s="1051"/>
      <c r="N698" s="1051"/>
      <c r="O698" s="1052"/>
      <c r="P698" s="1051"/>
      <c r="Q698" s="1051"/>
      <c r="R698" s="1052"/>
      <c r="S698" s="1051"/>
      <c r="T698" s="1051"/>
      <c r="U698" s="1052"/>
      <c r="V698" s="1051"/>
      <c r="W698" s="1051"/>
      <c r="X698" s="1052"/>
      <c r="Y698" s="1053"/>
      <c r="Z698" s="1051"/>
      <c r="AA698" s="1051"/>
      <c r="AB698" s="1052"/>
      <c r="AC698" s="1051"/>
      <c r="AD698" s="1051"/>
      <c r="AE698" s="1052"/>
      <c r="AF698" s="1051"/>
      <c r="AG698" s="1051"/>
      <c r="AH698" s="1051"/>
      <c r="AI698" s="1051"/>
      <c r="AJ698" s="1052"/>
      <c r="AK698" s="1051"/>
      <c r="AL698" s="1051"/>
      <c r="AM698" s="1052"/>
      <c r="AN698" s="1051"/>
      <c r="AO698" s="1051"/>
      <c r="AP698" s="1052"/>
      <c r="AQ698" s="1051"/>
      <c r="AR698" s="1051"/>
      <c r="AS698" s="1052"/>
      <c r="AT698" s="1051"/>
      <c r="AU698" s="1051"/>
      <c r="AV698" s="1052"/>
      <c r="AW698" s="1051"/>
      <c r="AX698" s="1051"/>
      <c r="AY698" s="1053"/>
      <c r="AZ698" s="1051"/>
      <c r="BA698" s="1051"/>
      <c r="BB698" s="1053"/>
      <c r="BC698" s="1051"/>
      <c r="BD698" s="1051"/>
      <c r="BE698" s="1053"/>
      <c r="BF698" s="1051"/>
      <c r="BG698" s="1051"/>
      <c r="BH698" s="1053"/>
      <c r="BI698" s="1052"/>
      <c r="BJ698" s="1052"/>
      <c r="BK698" s="1052"/>
      <c r="BL698" s="1052"/>
      <c r="BM698" s="1052"/>
      <c r="BN698" s="1054"/>
      <c r="BO698" s="1076">
        <f t="shared" si="12"/>
        <v>0</v>
      </c>
      <c r="BP698" s="1051"/>
      <c r="BQ698" s="1052"/>
      <c r="BR698" s="1054"/>
      <c r="BS698" s="1053"/>
      <c r="BT698" s="1051"/>
      <c r="BU698" s="1051"/>
      <c r="BV698" s="1051"/>
      <c r="BW698" s="1052"/>
      <c r="BX698" s="1052"/>
      <c r="BY698" s="1052"/>
      <c r="BZ698" s="1052"/>
      <c r="CA698" s="1052"/>
      <c r="CB698" s="1053"/>
      <c r="CC698" s="1053"/>
      <c r="CD698" s="1053"/>
      <c r="CE698" s="1053"/>
      <c r="CF698" s="1053"/>
      <c r="CG698" s="1053"/>
      <c r="CH698" s="1053"/>
      <c r="CI698" s="1123"/>
      <c r="CJ698" s="1123"/>
      <c r="CK698" s="1123"/>
      <c r="CL698" s="1123"/>
      <c r="CM698" s="1123"/>
      <c r="CN698" s="1123"/>
      <c r="CO698" s="1123"/>
      <c r="CP698" s="1123"/>
      <c r="CQ698" s="1123"/>
      <c r="CR698" s="1123"/>
      <c r="CS698" s="1123"/>
      <c r="CT698" s="1123"/>
      <c r="CU698" s="1123"/>
      <c r="CV698" s="1123"/>
      <c r="CW698" s="1123"/>
      <c r="CX698" s="1123"/>
      <c r="CY698" s="1123"/>
      <c r="CZ698" s="1114"/>
      <c r="DA698" s="1114"/>
      <c r="DB698" s="1114"/>
      <c r="DC698" s="1114"/>
      <c r="DD698" s="1114"/>
      <c r="DE698" s="1114"/>
      <c r="DF698" s="1114"/>
      <c r="DG698" s="1114"/>
      <c r="DH698" s="1114"/>
      <c r="DI698" s="1114"/>
      <c r="DJ698" s="1114"/>
      <c r="DK698" s="1114"/>
      <c r="DL698" s="1114"/>
      <c r="DM698" s="1114"/>
      <c r="DN698" s="1114"/>
      <c r="DO698" s="1114"/>
      <c r="DP698" s="1114"/>
      <c r="DQ698" s="1114"/>
      <c r="DR698" s="1114"/>
      <c r="DS698" s="1114"/>
      <c r="DT698" s="1114"/>
      <c r="DU698" s="1114"/>
      <c r="DV698" s="1115"/>
      <c r="DW698" s="1116"/>
      <c r="DX698" s="1116"/>
      <c r="DY698" s="1116"/>
      <c r="DZ698" s="1116"/>
      <c r="EA698" s="1116"/>
      <c r="EB698" s="1116"/>
      <c r="EC698" s="1116"/>
      <c r="ED698" s="1116"/>
      <c r="EE698" s="1116"/>
      <c r="EF698" s="1116"/>
      <c r="EG698" s="1116"/>
      <c r="EH698" s="1116"/>
      <c r="EI698" s="1116"/>
      <c r="EJ698" s="1116"/>
      <c r="EK698" s="1116"/>
      <c r="EL698" s="1116"/>
      <c r="EM698" s="1116"/>
      <c r="EN698" s="1116"/>
      <c r="EO698" s="1116"/>
      <c r="EP698" s="1116"/>
      <c r="EQ698" s="1116"/>
      <c r="ER698" s="1116"/>
      <c r="ES698" s="1116"/>
    </row>
    <row r="699" spans="1:149" ht="15" customHeight="1">
      <c r="A699" s="1185">
        <v>689</v>
      </c>
      <c r="B699" s="1041"/>
      <c r="C699" s="1050"/>
      <c r="D699" s="1050"/>
      <c r="E699" s="1050"/>
      <c r="F699" s="1049"/>
      <c r="G699" s="1049"/>
      <c r="H699" s="1049"/>
      <c r="I699" s="1049"/>
      <c r="J699" s="1050"/>
      <c r="K699" s="1050"/>
      <c r="L699" s="1043"/>
      <c r="M699" s="1051"/>
      <c r="N699" s="1051"/>
      <c r="O699" s="1052"/>
      <c r="P699" s="1051"/>
      <c r="Q699" s="1051"/>
      <c r="R699" s="1052"/>
      <c r="S699" s="1051"/>
      <c r="T699" s="1051"/>
      <c r="U699" s="1052"/>
      <c r="V699" s="1051"/>
      <c r="W699" s="1051"/>
      <c r="X699" s="1052"/>
      <c r="Y699" s="1053"/>
      <c r="Z699" s="1051"/>
      <c r="AA699" s="1051"/>
      <c r="AB699" s="1052"/>
      <c r="AC699" s="1051"/>
      <c r="AD699" s="1051"/>
      <c r="AE699" s="1052"/>
      <c r="AF699" s="1051"/>
      <c r="AG699" s="1051"/>
      <c r="AH699" s="1051"/>
      <c r="AI699" s="1051"/>
      <c r="AJ699" s="1052"/>
      <c r="AK699" s="1051"/>
      <c r="AL699" s="1051"/>
      <c r="AM699" s="1052"/>
      <c r="AN699" s="1051"/>
      <c r="AO699" s="1051"/>
      <c r="AP699" s="1052"/>
      <c r="AQ699" s="1051"/>
      <c r="AR699" s="1051"/>
      <c r="AS699" s="1052"/>
      <c r="AT699" s="1051"/>
      <c r="AU699" s="1051"/>
      <c r="AV699" s="1052"/>
      <c r="AW699" s="1051"/>
      <c r="AX699" s="1051"/>
      <c r="AY699" s="1053"/>
      <c r="AZ699" s="1051"/>
      <c r="BA699" s="1051"/>
      <c r="BB699" s="1053"/>
      <c r="BC699" s="1051"/>
      <c r="BD699" s="1051"/>
      <c r="BE699" s="1053"/>
      <c r="BF699" s="1051"/>
      <c r="BG699" s="1051"/>
      <c r="BH699" s="1053"/>
      <c r="BI699" s="1052"/>
      <c r="BJ699" s="1052"/>
      <c r="BK699" s="1052"/>
      <c r="BL699" s="1052"/>
      <c r="BM699" s="1052"/>
      <c r="BN699" s="1054"/>
      <c r="BO699" s="1076">
        <f t="shared" si="12"/>
        <v>0</v>
      </c>
      <c r="BP699" s="1051"/>
      <c r="BQ699" s="1052"/>
      <c r="BR699" s="1054"/>
      <c r="BS699" s="1053"/>
      <c r="BT699" s="1051"/>
      <c r="BU699" s="1051"/>
      <c r="BV699" s="1051"/>
      <c r="BW699" s="1052"/>
      <c r="BX699" s="1052"/>
      <c r="BY699" s="1052"/>
      <c r="BZ699" s="1052"/>
      <c r="CA699" s="1052"/>
      <c r="CB699" s="1053"/>
      <c r="CC699" s="1053"/>
      <c r="CD699" s="1053"/>
      <c r="CE699" s="1053"/>
      <c r="CF699" s="1053"/>
      <c r="CG699" s="1053"/>
      <c r="CH699" s="1053"/>
      <c r="CI699" s="1123"/>
      <c r="CJ699" s="1123"/>
      <c r="CK699" s="1123"/>
      <c r="CL699" s="1123"/>
      <c r="CM699" s="1123"/>
      <c r="CN699" s="1123"/>
      <c r="CO699" s="1123"/>
      <c r="CP699" s="1123"/>
      <c r="CQ699" s="1123"/>
      <c r="CR699" s="1123"/>
      <c r="CS699" s="1123"/>
      <c r="CT699" s="1123"/>
      <c r="CU699" s="1123"/>
      <c r="CV699" s="1123"/>
      <c r="CW699" s="1123"/>
      <c r="CX699" s="1123"/>
      <c r="CY699" s="1123"/>
      <c r="CZ699" s="1114"/>
      <c r="DA699" s="1114"/>
      <c r="DB699" s="1114"/>
      <c r="DC699" s="1114"/>
      <c r="DD699" s="1114"/>
      <c r="DE699" s="1114"/>
      <c r="DF699" s="1114"/>
      <c r="DG699" s="1114"/>
      <c r="DH699" s="1114"/>
      <c r="DI699" s="1114"/>
      <c r="DJ699" s="1114"/>
      <c r="DK699" s="1114"/>
      <c r="DL699" s="1114"/>
      <c r="DM699" s="1114"/>
      <c r="DN699" s="1114"/>
      <c r="DO699" s="1114"/>
      <c r="DP699" s="1114"/>
      <c r="DQ699" s="1114"/>
      <c r="DR699" s="1114"/>
      <c r="DS699" s="1114"/>
      <c r="DT699" s="1114"/>
      <c r="DU699" s="1114"/>
      <c r="DV699" s="1115"/>
      <c r="DW699" s="1116"/>
      <c r="DX699" s="1116"/>
      <c r="DY699" s="1116"/>
      <c r="DZ699" s="1116"/>
      <c r="EA699" s="1116"/>
      <c r="EB699" s="1116"/>
      <c r="EC699" s="1116"/>
      <c r="ED699" s="1116"/>
      <c r="EE699" s="1116"/>
      <c r="EF699" s="1116"/>
      <c r="EG699" s="1116"/>
      <c r="EH699" s="1116"/>
      <c r="EI699" s="1116"/>
      <c r="EJ699" s="1116"/>
      <c r="EK699" s="1116"/>
      <c r="EL699" s="1116"/>
      <c r="EM699" s="1116"/>
      <c r="EN699" s="1116"/>
      <c r="EO699" s="1116"/>
      <c r="EP699" s="1116"/>
      <c r="EQ699" s="1116"/>
      <c r="ER699" s="1116"/>
      <c r="ES699" s="1116"/>
    </row>
    <row r="700" spans="1:149" ht="15" customHeight="1">
      <c r="A700" s="1185">
        <v>690</v>
      </c>
      <c r="B700" s="1041"/>
      <c r="C700" s="1050"/>
      <c r="D700" s="1050"/>
      <c r="E700" s="1050"/>
      <c r="F700" s="1049"/>
      <c r="G700" s="1049"/>
      <c r="H700" s="1049"/>
      <c r="I700" s="1049"/>
      <c r="J700" s="1050"/>
      <c r="K700" s="1050"/>
      <c r="L700" s="1043"/>
      <c r="M700" s="1051"/>
      <c r="N700" s="1051"/>
      <c r="O700" s="1052"/>
      <c r="P700" s="1051"/>
      <c r="Q700" s="1051"/>
      <c r="R700" s="1052"/>
      <c r="S700" s="1051"/>
      <c r="T700" s="1051"/>
      <c r="U700" s="1052"/>
      <c r="V700" s="1051"/>
      <c r="W700" s="1051"/>
      <c r="X700" s="1052"/>
      <c r="Y700" s="1053"/>
      <c r="Z700" s="1051"/>
      <c r="AA700" s="1051"/>
      <c r="AB700" s="1052"/>
      <c r="AC700" s="1051"/>
      <c r="AD700" s="1051"/>
      <c r="AE700" s="1052"/>
      <c r="AF700" s="1051"/>
      <c r="AG700" s="1051"/>
      <c r="AH700" s="1051"/>
      <c r="AI700" s="1051"/>
      <c r="AJ700" s="1052"/>
      <c r="AK700" s="1051"/>
      <c r="AL700" s="1051"/>
      <c r="AM700" s="1052"/>
      <c r="AN700" s="1051"/>
      <c r="AO700" s="1051"/>
      <c r="AP700" s="1052"/>
      <c r="AQ700" s="1051"/>
      <c r="AR700" s="1051"/>
      <c r="AS700" s="1052"/>
      <c r="AT700" s="1051"/>
      <c r="AU700" s="1051"/>
      <c r="AV700" s="1052"/>
      <c r="AW700" s="1051"/>
      <c r="AX700" s="1051"/>
      <c r="AY700" s="1053"/>
      <c r="AZ700" s="1051"/>
      <c r="BA700" s="1051"/>
      <c r="BB700" s="1053"/>
      <c r="BC700" s="1051"/>
      <c r="BD700" s="1051"/>
      <c r="BE700" s="1053"/>
      <c r="BF700" s="1051"/>
      <c r="BG700" s="1051"/>
      <c r="BH700" s="1053"/>
      <c r="BI700" s="1052"/>
      <c r="BJ700" s="1052"/>
      <c r="BK700" s="1052"/>
      <c r="BL700" s="1052"/>
      <c r="BM700" s="1052"/>
      <c r="BN700" s="1054"/>
      <c r="BO700" s="1076">
        <f t="shared" si="12"/>
        <v>0</v>
      </c>
      <c r="BP700" s="1051"/>
      <c r="BQ700" s="1052"/>
      <c r="BR700" s="1054"/>
      <c r="BS700" s="1053"/>
      <c r="BT700" s="1051"/>
      <c r="BU700" s="1051"/>
      <c r="BV700" s="1051"/>
      <c r="BW700" s="1052"/>
      <c r="BX700" s="1052"/>
      <c r="BY700" s="1052"/>
      <c r="BZ700" s="1052"/>
      <c r="CA700" s="1052"/>
      <c r="CB700" s="1053"/>
      <c r="CC700" s="1053"/>
      <c r="CD700" s="1053"/>
      <c r="CE700" s="1053"/>
      <c r="CF700" s="1053"/>
      <c r="CG700" s="1053"/>
      <c r="CH700" s="1053"/>
      <c r="CI700" s="1123"/>
      <c r="CJ700" s="1123"/>
      <c r="CK700" s="1123"/>
      <c r="CL700" s="1123"/>
      <c r="CM700" s="1123"/>
      <c r="CN700" s="1123"/>
      <c r="CO700" s="1123"/>
      <c r="CP700" s="1123"/>
      <c r="CQ700" s="1123"/>
      <c r="CR700" s="1123"/>
      <c r="CS700" s="1123"/>
      <c r="CT700" s="1123"/>
      <c r="CU700" s="1123"/>
      <c r="CV700" s="1123"/>
      <c r="CW700" s="1123"/>
      <c r="CX700" s="1123"/>
      <c r="CY700" s="1123"/>
      <c r="CZ700" s="1114"/>
      <c r="DA700" s="1114"/>
      <c r="DB700" s="1114"/>
      <c r="DC700" s="1114"/>
      <c r="DD700" s="1114"/>
      <c r="DE700" s="1114"/>
      <c r="DF700" s="1114"/>
      <c r="DG700" s="1114"/>
      <c r="DH700" s="1114"/>
      <c r="DI700" s="1114"/>
      <c r="DJ700" s="1114"/>
      <c r="DK700" s="1114"/>
      <c r="DL700" s="1114"/>
      <c r="DM700" s="1114"/>
      <c r="DN700" s="1114"/>
      <c r="DO700" s="1114"/>
      <c r="DP700" s="1114"/>
      <c r="DQ700" s="1114"/>
      <c r="DR700" s="1114"/>
      <c r="DS700" s="1114"/>
      <c r="DT700" s="1114"/>
      <c r="DU700" s="1114"/>
      <c r="DV700" s="1115"/>
      <c r="DW700" s="1116"/>
      <c r="DX700" s="1116"/>
      <c r="DY700" s="1116"/>
      <c r="DZ700" s="1116"/>
      <c r="EA700" s="1116"/>
      <c r="EB700" s="1116"/>
      <c r="EC700" s="1116"/>
      <c r="ED700" s="1116"/>
      <c r="EE700" s="1116"/>
      <c r="EF700" s="1116"/>
      <c r="EG700" s="1116"/>
      <c r="EH700" s="1116"/>
      <c r="EI700" s="1116"/>
      <c r="EJ700" s="1116"/>
      <c r="EK700" s="1116"/>
      <c r="EL700" s="1116"/>
      <c r="EM700" s="1116"/>
      <c r="EN700" s="1116"/>
      <c r="EO700" s="1116"/>
      <c r="EP700" s="1116"/>
      <c r="EQ700" s="1116"/>
      <c r="ER700" s="1116"/>
      <c r="ES700" s="1116"/>
    </row>
    <row r="701" spans="1:149" ht="15" customHeight="1">
      <c r="A701" s="1185">
        <v>691</v>
      </c>
      <c r="B701" s="1041"/>
      <c r="C701" s="1050"/>
      <c r="D701" s="1050"/>
      <c r="E701" s="1050"/>
      <c r="F701" s="1049"/>
      <c r="G701" s="1049"/>
      <c r="H701" s="1049"/>
      <c r="I701" s="1049"/>
      <c r="J701" s="1050"/>
      <c r="K701" s="1050"/>
      <c r="L701" s="1043"/>
      <c r="M701" s="1051"/>
      <c r="N701" s="1051"/>
      <c r="O701" s="1052"/>
      <c r="P701" s="1051"/>
      <c r="Q701" s="1051"/>
      <c r="R701" s="1052"/>
      <c r="S701" s="1051"/>
      <c r="T701" s="1051"/>
      <c r="U701" s="1052"/>
      <c r="V701" s="1051"/>
      <c r="W701" s="1051"/>
      <c r="X701" s="1052"/>
      <c r="Y701" s="1053"/>
      <c r="Z701" s="1051"/>
      <c r="AA701" s="1051"/>
      <c r="AB701" s="1052"/>
      <c r="AC701" s="1051"/>
      <c r="AD701" s="1051"/>
      <c r="AE701" s="1052"/>
      <c r="AF701" s="1051"/>
      <c r="AG701" s="1051"/>
      <c r="AH701" s="1051"/>
      <c r="AI701" s="1051"/>
      <c r="AJ701" s="1052"/>
      <c r="AK701" s="1051"/>
      <c r="AL701" s="1051"/>
      <c r="AM701" s="1052"/>
      <c r="AN701" s="1051"/>
      <c r="AO701" s="1051"/>
      <c r="AP701" s="1052"/>
      <c r="AQ701" s="1051"/>
      <c r="AR701" s="1051"/>
      <c r="AS701" s="1052"/>
      <c r="AT701" s="1051"/>
      <c r="AU701" s="1051"/>
      <c r="AV701" s="1052"/>
      <c r="AW701" s="1051"/>
      <c r="AX701" s="1051"/>
      <c r="AY701" s="1053"/>
      <c r="AZ701" s="1051"/>
      <c r="BA701" s="1051"/>
      <c r="BB701" s="1053"/>
      <c r="BC701" s="1051"/>
      <c r="BD701" s="1051"/>
      <c r="BE701" s="1053"/>
      <c r="BF701" s="1051"/>
      <c r="BG701" s="1051"/>
      <c r="BH701" s="1053"/>
      <c r="BI701" s="1052"/>
      <c r="BJ701" s="1052"/>
      <c r="BK701" s="1052"/>
      <c r="BL701" s="1052"/>
      <c r="BM701" s="1052"/>
      <c r="BN701" s="1054"/>
      <c r="BO701" s="1076">
        <f t="shared" si="12"/>
        <v>0</v>
      </c>
      <c r="BP701" s="1051"/>
      <c r="BQ701" s="1052"/>
      <c r="BR701" s="1054"/>
      <c r="BS701" s="1053"/>
      <c r="BT701" s="1051"/>
      <c r="BU701" s="1051"/>
      <c r="BV701" s="1051"/>
      <c r="BW701" s="1052"/>
      <c r="BX701" s="1052"/>
      <c r="BY701" s="1052"/>
      <c r="BZ701" s="1052"/>
      <c r="CA701" s="1052"/>
      <c r="CB701" s="1053"/>
      <c r="CC701" s="1053"/>
      <c r="CD701" s="1053"/>
      <c r="CE701" s="1053"/>
      <c r="CF701" s="1053"/>
      <c r="CG701" s="1053"/>
      <c r="CH701" s="1053"/>
      <c r="CI701" s="1123"/>
      <c r="CJ701" s="1123"/>
      <c r="CK701" s="1123"/>
      <c r="CL701" s="1123"/>
      <c r="CM701" s="1123"/>
      <c r="CN701" s="1123"/>
      <c r="CO701" s="1123"/>
      <c r="CP701" s="1123"/>
      <c r="CQ701" s="1123"/>
      <c r="CR701" s="1123"/>
      <c r="CS701" s="1123"/>
      <c r="CT701" s="1123"/>
      <c r="CU701" s="1123"/>
      <c r="CV701" s="1123"/>
      <c r="CW701" s="1123"/>
      <c r="CX701" s="1123"/>
      <c r="CY701" s="1123"/>
      <c r="CZ701" s="1114"/>
      <c r="DA701" s="1114"/>
      <c r="DB701" s="1114"/>
      <c r="DC701" s="1114"/>
      <c r="DD701" s="1114"/>
      <c r="DE701" s="1114"/>
      <c r="DF701" s="1114"/>
      <c r="DG701" s="1114"/>
      <c r="DH701" s="1114"/>
      <c r="DI701" s="1114"/>
      <c r="DJ701" s="1114"/>
      <c r="DK701" s="1114"/>
      <c r="DL701" s="1114"/>
      <c r="DM701" s="1114"/>
      <c r="DN701" s="1114"/>
      <c r="DO701" s="1114"/>
      <c r="DP701" s="1114"/>
      <c r="DQ701" s="1114"/>
      <c r="DR701" s="1114"/>
      <c r="DS701" s="1114"/>
      <c r="DT701" s="1114"/>
      <c r="DU701" s="1114"/>
      <c r="DV701" s="1115"/>
      <c r="DW701" s="1116"/>
      <c r="DX701" s="1116"/>
      <c r="DY701" s="1116"/>
      <c r="DZ701" s="1116"/>
      <c r="EA701" s="1116"/>
      <c r="EB701" s="1116"/>
      <c r="EC701" s="1116"/>
      <c r="ED701" s="1116"/>
      <c r="EE701" s="1116"/>
      <c r="EF701" s="1116"/>
      <c r="EG701" s="1116"/>
      <c r="EH701" s="1116"/>
      <c r="EI701" s="1116"/>
      <c r="EJ701" s="1116"/>
      <c r="EK701" s="1116"/>
      <c r="EL701" s="1116"/>
      <c r="EM701" s="1116"/>
      <c r="EN701" s="1116"/>
      <c r="EO701" s="1116"/>
      <c r="EP701" s="1116"/>
      <c r="EQ701" s="1116"/>
      <c r="ER701" s="1116"/>
      <c r="ES701" s="1116"/>
    </row>
    <row r="702" spans="1:149" ht="15" customHeight="1">
      <c r="A702" s="1185">
        <v>692</v>
      </c>
      <c r="B702" s="1041"/>
      <c r="C702" s="1050"/>
      <c r="D702" s="1050"/>
      <c r="E702" s="1050"/>
      <c r="F702" s="1049"/>
      <c r="G702" s="1049"/>
      <c r="H702" s="1049"/>
      <c r="I702" s="1049"/>
      <c r="J702" s="1050"/>
      <c r="K702" s="1050"/>
      <c r="L702" s="1043"/>
      <c r="M702" s="1051"/>
      <c r="N702" s="1051"/>
      <c r="O702" s="1052"/>
      <c r="P702" s="1051"/>
      <c r="Q702" s="1051"/>
      <c r="R702" s="1052"/>
      <c r="S702" s="1051"/>
      <c r="T702" s="1051"/>
      <c r="U702" s="1052"/>
      <c r="V702" s="1051"/>
      <c r="W702" s="1051"/>
      <c r="X702" s="1052"/>
      <c r="Y702" s="1053"/>
      <c r="Z702" s="1051"/>
      <c r="AA702" s="1051"/>
      <c r="AB702" s="1052"/>
      <c r="AC702" s="1051"/>
      <c r="AD702" s="1051"/>
      <c r="AE702" s="1052"/>
      <c r="AF702" s="1051"/>
      <c r="AG702" s="1051"/>
      <c r="AH702" s="1051"/>
      <c r="AI702" s="1051"/>
      <c r="AJ702" s="1052"/>
      <c r="AK702" s="1051"/>
      <c r="AL702" s="1051"/>
      <c r="AM702" s="1052"/>
      <c r="AN702" s="1051"/>
      <c r="AO702" s="1051"/>
      <c r="AP702" s="1052"/>
      <c r="AQ702" s="1051"/>
      <c r="AR702" s="1051"/>
      <c r="AS702" s="1052"/>
      <c r="AT702" s="1051"/>
      <c r="AU702" s="1051"/>
      <c r="AV702" s="1052"/>
      <c r="AW702" s="1051"/>
      <c r="AX702" s="1051"/>
      <c r="AY702" s="1053"/>
      <c r="AZ702" s="1051"/>
      <c r="BA702" s="1051"/>
      <c r="BB702" s="1053"/>
      <c r="BC702" s="1051"/>
      <c r="BD702" s="1051"/>
      <c r="BE702" s="1053"/>
      <c r="BF702" s="1051"/>
      <c r="BG702" s="1051"/>
      <c r="BH702" s="1053"/>
      <c r="BI702" s="1052"/>
      <c r="BJ702" s="1052"/>
      <c r="BK702" s="1052"/>
      <c r="BL702" s="1052"/>
      <c r="BM702" s="1052"/>
      <c r="BN702" s="1054"/>
      <c r="BO702" s="1076">
        <f t="shared" si="12"/>
        <v>0</v>
      </c>
      <c r="BP702" s="1051"/>
      <c r="BQ702" s="1052"/>
      <c r="BR702" s="1054"/>
      <c r="BS702" s="1053"/>
      <c r="BT702" s="1051"/>
      <c r="BU702" s="1051"/>
      <c r="BV702" s="1051"/>
      <c r="BW702" s="1052"/>
      <c r="BX702" s="1052"/>
      <c r="BY702" s="1052"/>
      <c r="BZ702" s="1052"/>
      <c r="CA702" s="1052"/>
      <c r="CB702" s="1053"/>
      <c r="CC702" s="1053"/>
      <c r="CD702" s="1053"/>
      <c r="CE702" s="1053"/>
      <c r="CF702" s="1053"/>
      <c r="CG702" s="1053"/>
      <c r="CH702" s="1053"/>
      <c r="CI702" s="1123"/>
      <c r="CJ702" s="1123"/>
      <c r="CK702" s="1123"/>
      <c r="CL702" s="1123"/>
      <c r="CM702" s="1123"/>
      <c r="CN702" s="1123"/>
      <c r="CO702" s="1123"/>
      <c r="CP702" s="1123"/>
      <c r="CQ702" s="1123"/>
      <c r="CR702" s="1123"/>
      <c r="CS702" s="1123"/>
      <c r="CT702" s="1123"/>
      <c r="CU702" s="1123"/>
      <c r="CV702" s="1123"/>
      <c r="CW702" s="1123"/>
      <c r="CX702" s="1123"/>
      <c r="CY702" s="1123"/>
      <c r="CZ702" s="1114"/>
      <c r="DA702" s="1114"/>
      <c r="DB702" s="1114"/>
      <c r="DC702" s="1114"/>
      <c r="DD702" s="1114"/>
      <c r="DE702" s="1114"/>
      <c r="DF702" s="1114"/>
      <c r="DG702" s="1114"/>
      <c r="DH702" s="1114"/>
      <c r="DI702" s="1114"/>
      <c r="DJ702" s="1114"/>
      <c r="DK702" s="1114"/>
      <c r="DL702" s="1114"/>
      <c r="DM702" s="1114"/>
      <c r="DN702" s="1114"/>
      <c r="DO702" s="1114"/>
      <c r="DP702" s="1114"/>
      <c r="DQ702" s="1114"/>
      <c r="DR702" s="1114"/>
      <c r="DS702" s="1114"/>
      <c r="DT702" s="1114"/>
      <c r="DU702" s="1114"/>
      <c r="DV702" s="1115"/>
      <c r="DW702" s="1116"/>
      <c r="DX702" s="1116"/>
      <c r="DY702" s="1116"/>
      <c r="DZ702" s="1116"/>
      <c r="EA702" s="1116"/>
      <c r="EB702" s="1116"/>
      <c r="EC702" s="1116"/>
      <c r="ED702" s="1116"/>
      <c r="EE702" s="1116"/>
      <c r="EF702" s="1116"/>
      <c r="EG702" s="1116"/>
      <c r="EH702" s="1116"/>
      <c r="EI702" s="1116"/>
      <c r="EJ702" s="1116"/>
      <c r="EK702" s="1116"/>
      <c r="EL702" s="1116"/>
      <c r="EM702" s="1116"/>
      <c r="EN702" s="1116"/>
      <c r="EO702" s="1116"/>
      <c r="EP702" s="1116"/>
      <c r="EQ702" s="1116"/>
      <c r="ER702" s="1116"/>
      <c r="ES702" s="1116"/>
    </row>
    <row r="703" spans="1:149" ht="15" customHeight="1">
      <c r="A703" s="1185">
        <v>693</v>
      </c>
      <c r="B703" s="1041"/>
      <c r="C703" s="1050"/>
      <c r="D703" s="1050"/>
      <c r="E703" s="1050"/>
      <c r="F703" s="1049"/>
      <c r="G703" s="1049"/>
      <c r="H703" s="1049"/>
      <c r="I703" s="1049"/>
      <c r="J703" s="1050"/>
      <c r="K703" s="1050"/>
      <c r="L703" s="1043"/>
      <c r="M703" s="1051"/>
      <c r="N703" s="1051"/>
      <c r="O703" s="1052"/>
      <c r="P703" s="1051"/>
      <c r="Q703" s="1051"/>
      <c r="R703" s="1052"/>
      <c r="S703" s="1051"/>
      <c r="T703" s="1051"/>
      <c r="U703" s="1052"/>
      <c r="V703" s="1051"/>
      <c r="W703" s="1051"/>
      <c r="X703" s="1052"/>
      <c r="Y703" s="1053"/>
      <c r="Z703" s="1051"/>
      <c r="AA703" s="1051"/>
      <c r="AB703" s="1052"/>
      <c r="AC703" s="1051"/>
      <c r="AD703" s="1051"/>
      <c r="AE703" s="1052"/>
      <c r="AF703" s="1051"/>
      <c r="AG703" s="1051"/>
      <c r="AH703" s="1051"/>
      <c r="AI703" s="1051"/>
      <c r="AJ703" s="1052"/>
      <c r="AK703" s="1051"/>
      <c r="AL703" s="1051"/>
      <c r="AM703" s="1052"/>
      <c r="AN703" s="1051"/>
      <c r="AO703" s="1051"/>
      <c r="AP703" s="1052"/>
      <c r="AQ703" s="1051"/>
      <c r="AR703" s="1051"/>
      <c r="AS703" s="1052"/>
      <c r="AT703" s="1051"/>
      <c r="AU703" s="1051"/>
      <c r="AV703" s="1052"/>
      <c r="AW703" s="1051"/>
      <c r="AX703" s="1051"/>
      <c r="AY703" s="1053"/>
      <c r="AZ703" s="1051"/>
      <c r="BA703" s="1051"/>
      <c r="BB703" s="1053"/>
      <c r="BC703" s="1051"/>
      <c r="BD703" s="1051"/>
      <c r="BE703" s="1053"/>
      <c r="BF703" s="1051"/>
      <c r="BG703" s="1051"/>
      <c r="BH703" s="1053"/>
      <c r="BI703" s="1052"/>
      <c r="BJ703" s="1052"/>
      <c r="BK703" s="1052"/>
      <c r="BL703" s="1052"/>
      <c r="BM703" s="1052"/>
      <c r="BN703" s="1054"/>
      <c r="BO703" s="1076">
        <f t="shared" si="12"/>
        <v>0</v>
      </c>
      <c r="BP703" s="1051"/>
      <c r="BQ703" s="1052"/>
      <c r="BR703" s="1054"/>
      <c r="BS703" s="1053"/>
      <c r="BT703" s="1051"/>
      <c r="BU703" s="1051"/>
      <c r="BV703" s="1051"/>
      <c r="BW703" s="1052"/>
      <c r="BX703" s="1052"/>
      <c r="BY703" s="1052"/>
      <c r="BZ703" s="1052"/>
      <c r="CA703" s="1052"/>
      <c r="CB703" s="1053"/>
      <c r="CC703" s="1053"/>
      <c r="CD703" s="1053"/>
      <c r="CE703" s="1053"/>
      <c r="CF703" s="1053"/>
      <c r="CG703" s="1053"/>
      <c r="CH703" s="1053"/>
      <c r="CI703" s="1123"/>
      <c r="CJ703" s="1123"/>
      <c r="CK703" s="1123"/>
      <c r="CL703" s="1123"/>
      <c r="CM703" s="1123"/>
      <c r="CN703" s="1123"/>
      <c r="CO703" s="1123"/>
      <c r="CP703" s="1123"/>
      <c r="CQ703" s="1123"/>
      <c r="CR703" s="1123"/>
      <c r="CS703" s="1123"/>
      <c r="CT703" s="1123"/>
      <c r="CU703" s="1123"/>
      <c r="CV703" s="1123"/>
      <c r="CW703" s="1123"/>
      <c r="CX703" s="1123"/>
      <c r="CY703" s="1123"/>
      <c r="CZ703" s="1114"/>
      <c r="DA703" s="1114"/>
      <c r="DB703" s="1114"/>
      <c r="DC703" s="1114"/>
      <c r="DD703" s="1114"/>
      <c r="DE703" s="1114"/>
      <c r="DF703" s="1114"/>
      <c r="DG703" s="1114"/>
      <c r="DH703" s="1114"/>
      <c r="DI703" s="1114"/>
      <c r="DJ703" s="1114"/>
      <c r="DK703" s="1114"/>
      <c r="DL703" s="1114"/>
      <c r="DM703" s="1114"/>
      <c r="DN703" s="1114"/>
      <c r="DO703" s="1114"/>
      <c r="DP703" s="1114"/>
      <c r="DQ703" s="1114"/>
      <c r="DR703" s="1114"/>
      <c r="DS703" s="1114"/>
      <c r="DT703" s="1114"/>
      <c r="DU703" s="1114"/>
      <c r="DV703" s="1115"/>
      <c r="DW703" s="1116"/>
      <c r="DX703" s="1116"/>
      <c r="DY703" s="1116"/>
      <c r="DZ703" s="1116"/>
      <c r="EA703" s="1116"/>
      <c r="EB703" s="1116"/>
      <c r="EC703" s="1116"/>
      <c r="ED703" s="1116"/>
      <c r="EE703" s="1116"/>
      <c r="EF703" s="1116"/>
      <c r="EG703" s="1116"/>
      <c r="EH703" s="1116"/>
      <c r="EI703" s="1116"/>
      <c r="EJ703" s="1116"/>
      <c r="EK703" s="1116"/>
      <c r="EL703" s="1116"/>
      <c r="EM703" s="1116"/>
      <c r="EN703" s="1116"/>
      <c r="EO703" s="1116"/>
      <c r="EP703" s="1116"/>
      <c r="EQ703" s="1116"/>
      <c r="ER703" s="1116"/>
      <c r="ES703" s="1116"/>
    </row>
    <row r="704" spans="1:149" ht="15" customHeight="1">
      <c r="A704" s="1185">
        <v>694</v>
      </c>
      <c r="B704" s="1041"/>
      <c r="C704" s="1050"/>
      <c r="D704" s="1050"/>
      <c r="E704" s="1050"/>
      <c r="F704" s="1049"/>
      <c r="G704" s="1049"/>
      <c r="H704" s="1049"/>
      <c r="I704" s="1049"/>
      <c r="J704" s="1050"/>
      <c r="K704" s="1050"/>
      <c r="L704" s="1043"/>
      <c r="M704" s="1051"/>
      <c r="N704" s="1051"/>
      <c r="O704" s="1052"/>
      <c r="P704" s="1051"/>
      <c r="Q704" s="1051"/>
      <c r="R704" s="1052"/>
      <c r="S704" s="1051"/>
      <c r="T704" s="1051"/>
      <c r="U704" s="1052"/>
      <c r="V704" s="1051"/>
      <c r="W704" s="1051"/>
      <c r="X704" s="1052"/>
      <c r="Y704" s="1053"/>
      <c r="Z704" s="1051"/>
      <c r="AA704" s="1051"/>
      <c r="AB704" s="1052"/>
      <c r="AC704" s="1051"/>
      <c r="AD704" s="1051"/>
      <c r="AE704" s="1052"/>
      <c r="AF704" s="1051"/>
      <c r="AG704" s="1051"/>
      <c r="AH704" s="1051"/>
      <c r="AI704" s="1051"/>
      <c r="AJ704" s="1052"/>
      <c r="AK704" s="1051"/>
      <c r="AL704" s="1051"/>
      <c r="AM704" s="1052"/>
      <c r="AN704" s="1051"/>
      <c r="AO704" s="1051"/>
      <c r="AP704" s="1052"/>
      <c r="AQ704" s="1051"/>
      <c r="AR704" s="1051"/>
      <c r="AS704" s="1052"/>
      <c r="AT704" s="1051"/>
      <c r="AU704" s="1051"/>
      <c r="AV704" s="1052"/>
      <c r="AW704" s="1051"/>
      <c r="AX704" s="1051"/>
      <c r="AY704" s="1053"/>
      <c r="AZ704" s="1051"/>
      <c r="BA704" s="1051"/>
      <c r="BB704" s="1053"/>
      <c r="BC704" s="1051"/>
      <c r="BD704" s="1051"/>
      <c r="BE704" s="1053"/>
      <c r="BF704" s="1051"/>
      <c r="BG704" s="1051"/>
      <c r="BH704" s="1053"/>
      <c r="BI704" s="1052"/>
      <c r="BJ704" s="1052"/>
      <c r="BK704" s="1052"/>
      <c r="BL704" s="1052"/>
      <c r="BM704" s="1052"/>
      <c r="BN704" s="1054"/>
      <c r="BO704" s="1076">
        <f t="shared" si="12"/>
        <v>0</v>
      </c>
      <c r="BP704" s="1051"/>
      <c r="BQ704" s="1052"/>
      <c r="BR704" s="1054"/>
      <c r="BS704" s="1053"/>
      <c r="BT704" s="1051"/>
      <c r="BU704" s="1051"/>
      <c r="BV704" s="1051"/>
      <c r="BW704" s="1052"/>
      <c r="BX704" s="1052"/>
      <c r="BY704" s="1052"/>
      <c r="BZ704" s="1052"/>
      <c r="CA704" s="1052"/>
      <c r="CB704" s="1053"/>
      <c r="CC704" s="1053"/>
      <c r="CD704" s="1053"/>
      <c r="CE704" s="1053"/>
      <c r="CF704" s="1053"/>
      <c r="CG704" s="1053"/>
      <c r="CH704" s="1053"/>
      <c r="CI704" s="1123"/>
      <c r="CJ704" s="1123"/>
      <c r="CK704" s="1123"/>
      <c r="CL704" s="1123"/>
      <c r="CM704" s="1123"/>
      <c r="CN704" s="1123"/>
      <c r="CO704" s="1123"/>
      <c r="CP704" s="1123"/>
      <c r="CQ704" s="1123"/>
      <c r="CR704" s="1123"/>
      <c r="CS704" s="1123"/>
      <c r="CT704" s="1123"/>
      <c r="CU704" s="1123"/>
      <c r="CV704" s="1123"/>
      <c r="CW704" s="1123"/>
      <c r="CX704" s="1123"/>
      <c r="CY704" s="1123"/>
      <c r="CZ704" s="1114"/>
      <c r="DA704" s="1114"/>
      <c r="DB704" s="1114"/>
      <c r="DC704" s="1114"/>
      <c r="DD704" s="1114"/>
      <c r="DE704" s="1114"/>
      <c r="DF704" s="1114"/>
      <c r="DG704" s="1114"/>
      <c r="DH704" s="1114"/>
      <c r="DI704" s="1114"/>
      <c r="DJ704" s="1114"/>
      <c r="DK704" s="1114"/>
      <c r="DL704" s="1114"/>
      <c r="DM704" s="1114"/>
      <c r="DN704" s="1114"/>
      <c r="DO704" s="1114"/>
      <c r="DP704" s="1114"/>
      <c r="DQ704" s="1114"/>
      <c r="DR704" s="1114"/>
      <c r="DS704" s="1114"/>
      <c r="DT704" s="1114"/>
      <c r="DU704" s="1114"/>
      <c r="DV704" s="1115"/>
      <c r="DW704" s="1116"/>
      <c r="DX704" s="1116"/>
      <c r="DY704" s="1116"/>
      <c r="DZ704" s="1116"/>
      <c r="EA704" s="1116"/>
      <c r="EB704" s="1116"/>
      <c r="EC704" s="1116"/>
      <c r="ED704" s="1116"/>
      <c r="EE704" s="1116"/>
      <c r="EF704" s="1116"/>
      <c r="EG704" s="1116"/>
      <c r="EH704" s="1116"/>
      <c r="EI704" s="1116"/>
      <c r="EJ704" s="1116"/>
      <c r="EK704" s="1116"/>
      <c r="EL704" s="1116"/>
      <c r="EM704" s="1116"/>
      <c r="EN704" s="1116"/>
      <c r="EO704" s="1116"/>
      <c r="EP704" s="1116"/>
      <c r="EQ704" s="1116"/>
      <c r="ER704" s="1116"/>
      <c r="ES704" s="1116"/>
    </row>
    <row r="705" spans="1:149" ht="15" customHeight="1">
      <c r="A705" s="1185">
        <v>695</v>
      </c>
      <c r="B705" s="1041"/>
      <c r="C705" s="1050"/>
      <c r="D705" s="1050"/>
      <c r="E705" s="1050"/>
      <c r="F705" s="1049"/>
      <c r="G705" s="1049"/>
      <c r="H705" s="1049"/>
      <c r="I705" s="1049"/>
      <c r="J705" s="1050"/>
      <c r="K705" s="1050"/>
      <c r="L705" s="1043"/>
      <c r="M705" s="1051"/>
      <c r="N705" s="1051"/>
      <c r="O705" s="1052"/>
      <c r="P705" s="1051"/>
      <c r="Q705" s="1051"/>
      <c r="R705" s="1052"/>
      <c r="S705" s="1051"/>
      <c r="T705" s="1051"/>
      <c r="U705" s="1052"/>
      <c r="V705" s="1051"/>
      <c r="W705" s="1051"/>
      <c r="X705" s="1052"/>
      <c r="Y705" s="1053"/>
      <c r="Z705" s="1051"/>
      <c r="AA705" s="1051"/>
      <c r="AB705" s="1052"/>
      <c r="AC705" s="1051"/>
      <c r="AD705" s="1051"/>
      <c r="AE705" s="1052"/>
      <c r="AF705" s="1051"/>
      <c r="AG705" s="1051"/>
      <c r="AH705" s="1051"/>
      <c r="AI705" s="1051"/>
      <c r="AJ705" s="1052"/>
      <c r="AK705" s="1051"/>
      <c r="AL705" s="1051"/>
      <c r="AM705" s="1052"/>
      <c r="AN705" s="1051"/>
      <c r="AO705" s="1051"/>
      <c r="AP705" s="1052"/>
      <c r="AQ705" s="1051"/>
      <c r="AR705" s="1051"/>
      <c r="AS705" s="1052"/>
      <c r="AT705" s="1051"/>
      <c r="AU705" s="1051"/>
      <c r="AV705" s="1052"/>
      <c r="AW705" s="1051"/>
      <c r="AX705" s="1051"/>
      <c r="AY705" s="1053"/>
      <c r="AZ705" s="1051"/>
      <c r="BA705" s="1051"/>
      <c r="BB705" s="1053"/>
      <c r="BC705" s="1051"/>
      <c r="BD705" s="1051"/>
      <c r="BE705" s="1053"/>
      <c r="BF705" s="1051"/>
      <c r="BG705" s="1051"/>
      <c r="BH705" s="1053"/>
      <c r="BI705" s="1052"/>
      <c r="BJ705" s="1052"/>
      <c r="BK705" s="1052"/>
      <c r="BL705" s="1052"/>
      <c r="BM705" s="1052"/>
      <c r="BN705" s="1054"/>
      <c r="BO705" s="1076">
        <f t="shared" si="12"/>
        <v>0</v>
      </c>
      <c r="BP705" s="1051"/>
      <c r="BQ705" s="1052"/>
      <c r="BR705" s="1054"/>
      <c r="BS705" s="1053"/>
      <c r="BT705" s="1051"/>
      <c r="BU705" s="1051"/>
      <c r="BV705" s="1051"/>
      <c r="BW705" s="1052"/>
      <c r="BX705" s="1052"/>
      <c r="BY705" s="1052"/>
      <c r="BZ705" s="1052"/>
      <c r="CA705" s="1052"/>
      <c r="CB705" s="1053"/>
      <c r="CC705" s="1053"/>
      <c r="CD705" s="1053"/>
      <c r="CE705" s="1053"/>
      <c r="CF705" s="1053"/>
      <c r="CG705" s="1053"/>
      <c r="CH705" s="1053"/>
      <c r="CI705" s="1123"/>
      <c r="CJ705" s="1123"/>
      <c r="CK705" s="1123"/>
      <c r="CL705" s="1123"/>
      <c r="CM705" s="1123"/>
      <c r="CN705" s="1123"/>
      <c r="CO705" s="1123"/>
      <c r="CP705" s="1123"/>
      <c r="CQ705" s="1123"/>
      <c r="CR705" s="1123"/>
      <c r="CS705" s="1123"/>
      <c r="CT705" s="1123"/>
      <c r="CU705" s="1123"/>
      <c r="CV705" s="1123"/>
      <c r="CW705" s="1123"/>
      <c r="CX705" s="1123"/>
      <c r="CY705" s="1123"/>
      <c r="CZ705" s="1114"/>
      <c r="DA705" s="1114"/>
      <c r="DB705" s="1114"/>
      <c r="DC705" s="1114"/>
      <c r="DD705" s="1114"/>
      <c r="DE705" s="1114"/>
      <c r="DF705" s="1114"/>
      <c r="DG705" s="1114"/>
      <c r="DH705" s="1114"/>
      <c r="DI705" s="1114"/>
      <c r="DJ705" s="1114"/>
      <c r="DK705" s="1114"/>
      <c r="DL705" s="1114"/>
      <c r="DM705" s="1114"/>
      <c r="DN705" s="1114"/>
      <c r="DO705" s="1114"/>
      <c r="DP705" s="1114"/>
      <c r="DQ705" s="1114"/>
      <c r="DR705" s="1114"/>
      <c r="DS705" s="1114"/>
      <c r="DT705" s="1114"/>
      <c r="DU705" s="1114"/>
      <c r="DV705" s="1115"/>
      <c r="DW705" s="1116"/>
      <c r="DX705" s="1116"/>
      <c r="DY705" s="1116"/>
      <c r="DZ705" s="1116"/>
      <c r="EA705" s="1116"/>
      <c r="EB705" s="1116"/>
      <c r="EC705" s="1116"/>
      <c r="ED705" s="1116"/>
      <c r="EE705" s="1116"/>
      <c r="EF705" s="1116"/>
      <c r="EG705" s="1116"/>
      <c r="EH705" s="1116"/>
      <c r="EI705" s="1116"/>
      <c r="EJ705" s="1116"/>
      <c r="EK705" s="1116"/>
      <c r="EL705" s="1116"/>
      <c r="EM705" s="1116"/>
      <c r="EN705" s="1116"/>
      <c r="EO705" s="1116"/>
      <c r="EP705" s="1116"/>
      <c r="EQ705" s="1116"/>
      <c r="ER705" s="1116"/>
      <c r="ES705" s="1116"/>
    </row>
    <row r="706" spans="1:149" ht="15" customHeight="1">
      <c r="A706" s="1185">
        <v>696</v>
      </c>
      <c r="B706" s="1041"/>
      <c r="C706" s="1050"/>
      <c r="D706" s="1050"/>
      <c r="E706" s="1050"/>
      <c r="F706" s="1049"/>
      <c r="G706" s="1049"/>
      <c r="H706" s="1049"/>
      <c r="I706" s="1049"/>
      <c r="J706" s="1050"/>
      <c r="K706" s="1050"/>
      <c r="L706" s="1043"/>
      <c r="M706" s="1051"/>
      <c r="N706" s="1051"/>
      <c r="O706" s="1052"/>
      <c r="P706" s="1051"/>
      <c r="Q706" s="1051"/>
      <c r="R706" s="1052"/>
      <c r="S706" s="1051"/>
      <c r="T706" s="1051"/>
      <c r="U706" s="1052"/>
      <c r="V706" s="1051"/>
      <c r="W706" s="1051"/>
      <c r="X706" s="1052"/>
      <c r="Y706" s="1053"/>
      <c r="Z706" s="1051"/>
      <c r="AA706" s="1051"/>
      <c r="AB706" s="1052"/>
      <c r="AC706" s="1051"/>
      <c r="AD706" s="1051"/>
      <c r="AE706" s="1052"/>
      <c r="AF706" s="1051"/>
      <c r="AG706" s="1051"/>
      <c r="AH706" s="1051"/>
      <c r="AI706" s="1051"/>
      <c r="AJ706" s="1052"/>
      <c r="AK706" s="1051"/>
      <c r="AL706" s="1051"/>
      <c r="AM706" s="1052"/>
      <c r="AN706" s="1051"/>
      <c r="AO706" s="1051"/>
      <c r="AP706" s="1052"/>
      <c r="AQ706" s="1051"/>
      <c r="AR706" s="1051"/>
      <c r="AS706" s="1052"/>
      <c r="AT706" s="1051"/>
      <c r="AU706" s="1051"/>
      <c r="AV706" s="1052"/>
      <c r="AW706" s="1051"/>
      <c r="AX706" s="1051"/>
      <c r="AY706" s="1053"/>
      <c r="AZ706" s="1051"/>
      <c r="BA706" s="1051"/>
      <c r="BB706" s="1053"/>
      <c r="BC706" s="1051"/>
      <c r="BD706" s="1051"/>
      <c r="BE706" s="1053"/>
      <c r="BF706" s="1051"/>
      <c r="BG706" s="1051"/>
      <c r="BH706" s="1053"/>
      <c r="BI706" s="1052"/>
      <c r="BJ706" s="1052"/>
      <c r="BK706" s="1052"/>
      <c r="BL706" s="1052"/>
      <c r="BM706" s="1052"/>
      <c r="BN706" s="1054"/>
      <c r="BO706" s="1076">
        <f t="shared" si="12"/>
        <v>0</v>
      </c>
      <c r="BP706" s="1051"/>
      <c r="BQ706" s="1052"/>
      <c r="BR706" s="1054"/>
      <c r="BS706" s="1053"/>
      <c r="BT706" s="1051"/>
      <c r="BU706" s="1051"/>
      <c r="BV706" s="1051"/>
      <c r="BW706" s="1052"/>
      <c r="BX706" s="1052"/>
      <c r="BY706" s="1052"/>
      <c r="BZ706" s="1052"/>
      <c r="CA706" s="1052"/>
      <c r="CB706" s="1053"/>
      <c r="CC706" s="1053"/>
      <c r="CD706" s="1053"/>
      <c r="CE706" s="1053"/>
      <c r="CF706" s="1053"/>
      <c r="CG706" s="1053"/>
      <c r="CH706" s="1053"/>
      <c r="CI706" s="1123"/>
      <c r="CJ706" s="1123"/>
      <c r="CK706" s="1123"/>
      <c r="CL706" s="1123"/>
      <c r="CM706" s="1123"/>
      <c r="CN706" s="1123"/>
      <c r="CO706" s="1123"/>
      <c r="CP706" s="1123"/>
      <c r="CQ706" s="1123"/>
      <c r="CR706" s="1123"/>
      <c r="CS706" s="1123"/>
      <c r="CT706" s="1123"/>
      <c r="CU706" s="1123"/>
      <c r="CV706" s="1123"/>
      <c r="CW706" s="1123"/>
      <c r="CX706" s="1123"/>
      <c r="CY706" s="1123"/>
      <c r="CZ706" s="1114"/>
      <c r="DA706" s="1114"/>
      <c r="DB706" s="1114"/>
      <c r="DC706" s="1114"/>
      <c r="DD706" s="1114"/>
      <c r="DE706" s="1114"/>
      <c r="DF706" s="1114"/>
      <c r="DG706" s="1114"/>
      <c r="DH706" s="1114"/>
      <c r="DI706" s="1114"/>
      <c r="DJ706" s="1114"/>
      <c r="DK706" s="1114"/>
      <c r="DL706" s="1114"/>
      <c r="DM706" s="1114"/>
      <c r="DN706" s="1114"/>
      <c r="DO706" s="1114"/>
      <c r="DP706" s="1114"/>
      <c r="DQ706" s="1114"/>
      <c r="DR706" s="1114"/>
      <c r="DS706" s="1114"/>
      <c r="DT706" s="1114"/>
      <c r="DU706" s="1114"/>
      <c r="DV706" s="1115"/>
      <c r="DW706" s="1116"/>
      <c r="DX706" s="1116"/>
      <c r="DY706" s="1116"/>
      <c r="DZ706" s="1116"/>
      <c r="EA706" s="1116"/>
      <c r="EB706" s="1116"/>
      <c r="EC706" s="1116"/>
      <c r="ED706" s="1116"/>
      <c r="EE706" s="1116"/>
      <c r="EF706" s="1116"/>
      <c r="EG706" s="1116"/>
      <c r="EH706" s="1116"/>
      <c r="EI706" s="1116"/>
      <c r="EJ706" s="1116"/>
      <c r="EK706" s="1116"/>
      <c r="EL706" s="1116"/>
      <c r="EM706" s="1116"/>
      <c r="EN706" s="1116"/>
      <c r="EO706" s="1116"/>
      <c r="EP706" s="1116"/>
      <c r="EQ706" s="1116"/>
      <c r="ER706" s="1116"/>
      <c r="ES706" s="1116"/>
    </row>
    <row r="707" spans="1:149" ht="15" customHeight="1">
      <c r="A707" s="1185">
        <v>697</v>
      </c>
      <c r="B707" s="1041"/>
      <c r="C707" s="1050"/>
      <c r="D707" s="1050"/>
      <c r="E707" s="1050"/>
      <c r="F707" s="1049"/>
      <c r="G707" s="1049"/>
      <c r="H707" s="1049"/>
      <c r="I707" s="1049"/>
      <c r="J707" s="1050"/>
      <c r="K707" s="1050"/>
      <c r="L707" s="1043"/>
      <c r="M707" s="1051"/>
      <c r="N707" s="1051"/>
      <c r="O707" s="1052"/>
      <c r="P707" s="1051"/>
      <c r="Q707" s="1051"/>
      <c r="R707" s="1052"/>
      <c r="S707" s="1051"/>
      <c r="T707" s="1051"/>
      <c r="U707" s="1052"/>
      <c r="V707" s="1051"/>
      <c r="W707" s="1051"/>
      <c r="X707" s="1052"/>
      <c r="Y707" s="1053"/>
      <c r="Z707" s="1051"/>
      <c r="AA707" s="1051"/>
      <c r="AB707" s="1052"/>
      <c r="AC707" s="1051"/>
      <c r="AD707" s="1051"/>
      <c r="AE707" s="1052"/>
      <c r="AF707" s="1051"/>
      <c r="AG707" s="1051"/>
      <c r="AH707" s="1051"/>
      <c r="AI707" s="1051"/>
      <c r="AJ707" s="1052"/>
      <c r="AK707" s="1051"/>
      <c r="AL707" s="1051"/>
      <c r="AM707" s="1052"/>
      <c r="AN707" s="1051"/>
      <c r="AO707" s="1051"/>
      <c r="AP707" s="1052"/>
      <c r="AQ707" s="1051"/>
      <c r="AR707" s="1051"/>
      <c r="AS707" s="1052"/>
      <c r="AT707" s="1051"/>
      <c r="AU707" s="1051"/>
      <c r="AV707" s="1052"/>
      <c r="AW707" s="1051"/>
      <c r="AX707" s="1051"/>
      <c r="AY707" s="1053"/>
      <c r="AZ707" s="1051"/>
      <c r="BA707" s="1051"/>
      <c r="BB707" s="1053"/>
      <c r="BC707" s="1051"/>
      <c r="BD707" s="1051"/>
      <c r="BE707" s="1053"/>
      <c r="BF707" s="1051"/>
      <c r="BG707" s="1051"/>
      <c r="BH707" s="1053"/>
      <c r="BI707" s="1052"/>
      <c r="BJ707" s="1052"/>
      <c r="BK707" s="1052"/>
      <c r="BL707" s="1052"/>
      <c r="BM707" s="1052"/>
      <c r="BN707" s="1054"/>
      <c r="BO707" s="1076">
        <f t="shared" si="12"/>
        <v>0</v>
      </c>
      <c r="BP707" s="1051"/>
      <c r="BQ707" s="1052"/>
      <c r="BR707" s="1054"/>
      <c r="BS707" s="1053"/>
      <c r="BT707" s="1051"/>
      <c r="BU707" s="1051"/>
      <c r="BV707" s="1051"/>
      <c r="BW707" s="1052"/>
      <c r="BX707" s="1052"/>
      <c r="BY707" s="1052"/>
      <c r="BZ707" s="1052"/>
      <c r="CA707" s="1052"/>
      <c r="CB707" s="1053"/>
      <c r="CC707" s="1053"/>
      <c r="CD707" s="1053"/>
      <c r="CE707" s="1053"/>
      <c r="CF707" s="1053"/>
      <c r="CG707" s="1053"/>
      <c r="CH707" s="1053"/>
      <c r="CI707" s="1123"/>
      <c r="CJ707" s="1123"/>
      <c r="CK707" s="1123"/>
      <c r="CL707" s="1123"/>
      <c r="CM707" s="1123"/>
      <c r="CN707" s="1123"/>
      <c r="CO707" s="1123"/>
      <c r="CP707" s="1123"/>
      <c r="CQ707" s="1123"/>
      <c r="CR707" s="1123"/>
      <c r="CS707" s="1123"/>
      <c r="CT707" s="1123"/>
      <c r="CU707" s="1123"/>
      <c r="CV707" s="1123"/>
      <c r="CW707" s="1123"/>
      <c r="CX707" s="1123"/>
      <c r="CY707" s="1123"/>
      <c r="CZ707" s="1114"/>
      <c r="DA707" s="1114"/>
      <c r="DB707" s="1114"/>
      <c r="DC707" s="1114"/>
      <c r="DD707" s="1114"/>
      <c r="DE707" s="1114"/>
      <c r="DF707" s="1114"/>
      <c r="DG707" s="1114"/>
      <c r="DH707" s="1114"/>
      <c r="DI707" s="1114"/>
      <c r="DJ707" s="1114"/>
      <c r="DK707" s="1114"/>
      <c r="DL707" s="1114"/>
      <c r="DM707" s="1114"/>
      <c r="DN707" s="1114"/>
      <c r="DO707" s="1114"/>
      <c r="DP707" s="1114"/>
      <c r="DQ707" s="1114"/>
      <c r="DR707" s="1114"/>
      <c r="DS707" s="1114"/>
      <c r="DT707" s="1114"/>
      <c r="DU707" s="1114"/>
      <c r="DV707" s="1115"/>
      <c r="DW707" s="1116"/>
      <c r="DX707" s="1116"/>
      <c r="DY707" s="1116"/>
      <c r="DZ707" s="1116"/>
      <c r="EA707" s="1116"/>
      <c r="EB707" s="1116"/>
      <c r="EC707" s="1116"/>
      <c r="ED707" s="1116"/>
      <c r="EE707" s="1116"/>
      <c r="EF707" s="1116"/>
      <c r="EG707" s="1116"/>
      <c r="EH707" s="1116"/>
      <c r="EI707" s="1116"/>
      <c r="EJ707" s="1116"/>
      <c r="EK707" s="1116"/>
      <c r="EL707" s="1116"/>
      <c r="EM707" s="1116"/>
      <c r="EN707" s="1116"/>
      <c r="EO707" s="1116"/>
      <c r="EP707" s="1116"/>
      <c r="EQ707" s="1116"/>
      <c r="ER707" s="1116"/>
      <c r="ES707" s="1116"/>
    </row>
    <row r="708" spans="1:149" ht="15" customHeight="1">
      <c r="A708" s="1185">
        <v>698</v>
      </c>
      <c r="B708" s="1041"/>
      <c r="C708" s="1050"/>
      <c r="D708" s="1050"/>
      <c r="E708" s="1050"/>
      <c r="F708" s="1049"/>
      <c r="G708" s="1049"/>
      <c r="H708" s="1049"/>
      <c r="I708" s="1049"/>
      <c r="J708" s="1050"/>
      <c r="K708" s="1050"/>
      <c r="L708" s="1043"/>
      <c r="M708" s="1051"/>
      <c r="N708" s="1051"/>
      <c r="O708" s="1052"/>
      <c r="P708" s="1051"/>
      <c r="Q708" s="1051"/>
      <c r="R708" s="1052"/>
      <c r="S708" s="1051"/>
      <c r="T708" s="1051"/>
      <c r="U708" s="1052"/>
      <c r="V708" s="1051"/>
      <c r="W708" s="1051"/>
      <c r="X708" s="1052"/>
      <c r="Y708" s="1053"/>
      <c r="Z708" s="1051"/>
      <c r="AA708" s="1051"/>
      <c r="AB708" s="1052"/>
      <c r="AC708" s="1051"/>
      <c r="AD708" s="1051"/>
      <c r="AE708" s="1052"/>
      <c r="AF708" s="1051"/>
      <c r="AG708" s="1051"/>
      <c r="AH708" s="1051"/>
      <c r="AI708" s="1051"/>
      <c r="AJ708" s="1052"/>
      <c r="AK708" s="1051"/>
      <c r="AL708" s="1051"/>
      <c r="AM708" s="1052"/>
      <c r="AN708" s="1051"/>
      <c r="AO708" s="1051"/>
      <c r="AP708" s="1052"/>
      <c r="AQ708" s="1051"/>
      <c r="AR708" s="1051"/>
      <c r="AS708" s="1052"/>
      <c r="AT708" s="1051"/>
      <c r="AU708" s="1051"/>
      <c r="AV708" s="1052"/>
      <c r="AW708" s="1051"/>
      <c r="AX708" s="1051"/>
      <c r="AY708" s="1053"/>
      <c r="AZ708" s="1051"/>
      <c r="BA708" s="1051"/>
      <c r="BB708" s="1053"/>
      <c r="BC708" s="1051"/>
      <c r="BD708" s="1051"/>
      <c r="BE708" s="1053"/>
      <c r="BF708" s="1051"/>
      <c r="BG708" s="1051"/>
      <c r="BH708" s="1053"/>
      <c r="BI708" s="1052"/>
      <c r="BJ708" s="1052"/>
      <c r="BK708" s="1052"/>
      <c r="BL708" s="1052"/>
      <c r="BM708" s="1052"/>
      <c r="BN708" s="1054"/>
      <c r="BO708" s="1076">
        <f t="shared" si="12"/>
        <v>0</v>
      </c>
      <c r="BP708" s="1051"/>
      <c r="BQ708" s="1052"/>
      <c r="BR708" s="1054"/>
      <c r="BS708" s="1053"/>
      <c r="BT708" s="1051"/>
      <c r="BU708" s="1051"/>
      <c r="BV708" s="1051"/>
      <c r="BW708" s="1052"/>
      <c r="BX708" s="1052"/>
      <c r="BY708" s="1052"/>
      <c r="BZ708" s="1052"/>
      <c r="CA708" s="1052"/>
      <c r="CB708" s="1053"/>
      <c r="CC708" s="1053"/>
      <c r="CD708" s="1053"/>
      <c r="CE708" s="1053"/>
      <c r="CF708" s="1053"/>
      <c r="CG708" s="1053"/>
      <c r="CH708" s="1053"/>
      <c r="CI708" s="1123"/>
      <c r="CJ708" s="1123"/>
      <c r="CK708" s="1123"/>
      <c r="CL708" s="1123"/>
      <c r="CM708" s="1123"/>
      <c r="CN708" s="1123"/>
      <c r="CO708" s="1123"/>
      <c r="CP708" s="1123"/>
      <c r="CQ708" s="1123"/>
      <c r="CR708" s="1123"/>
      <c r="CS708" s="1123"/>
      <c r="CT708" s="1123"/>
      <c r="CU708" s="1123"/>
      <c r="CV708" s="1123"/>
      <c r="CW708" s="1123"/>
      <c r="CX708" s="1123"/>
      <c r="CY708" s="1123"/>
      <c r="CZ708" s="1114"/>
      <c r="DA708" s="1114"/>
      <c r="DB708" s="1114"/>
      <c r="DC708" s="1114"/>
      <c r="DD708" s="1114"/>
      <c r="DE708" s="1114"/>
      <c r="DF708" s="1114"/>
      <c r="DG708" s="1114"/>
      <c r="DH708" s="1114"/>
      <c r="DI708" s="1114"/>
      <c r="DJ708" s="1114"/>
      <c r="DK708" s="1114"/>
      <c r="DL708" s="1114"/>
      <c r="DM708" s="1114"/>
      <c r="DN708" s="1114"/>
      <c r="DO708" s="1114"/>
      <c r="DP708" s="1114"/>
      <c r="DQ708" s="1114"/>
      <c r="DR708" s="1114"/>
      <c r="DS708" s="1114"/>
      <c r="DT708" s="1114"/>
      <c r="DU708" s="1114"/>
      <c r="DV708" s="1115"/>
      <c r="DW708" s="1116"/>
      <c r="DX708" s="1116"/>
      <c r="DY708" s="1116"/>
      <c r="DZ708" s="1116"/>
      <c r="EA708" s="1116"/>
      <c r="EB708" s="1116"/>
      <c r="EC708" s="1116"/>
      <c r="ED708" s="1116"/>
      <c r="EE708" s="1116"/>
      <c r="EF708" s="1116"/>
      <c r="EG708" s="1116"/>
      <c r="EH708" s="1116"/>
      <c r="EI708" s="1116"/>
      <c r="EJ708" s="1116"/>
      <c r="EK708" s="1116"/>
      <c r="EL708" s="1116"/>
      <c r="EM708" s="1116"/>
      <c r="EN708" s="1116"/>
      <c r="EO708" s="1116"/>
      <c r="EP708" s="1116"/>
      <c r="EQ708" s="1116"/>
      <c r="ER708" s="1116"/>
      <c r="ES708" s="1116"/>
    </row>
    <row r="709" spans="1:149" ht="15" customHeight="1">
      <c r="A709" s="1185">
        <v>699</v>
      </c>
      <c r="B709" s="1041"/>
      <c r="C709" s="1050"/>
      <c r="D709" s="1050"/>
      <c r="E709" s="1050"/>
      <c r="F709" s="1049"/>
      <c r="G709" s="1049"/>
      <c r="H709" s="1049"/>
      <c r="I709" s="1049"/>
      <c r="J709" s="1050"/>
      <c r="K709" s="1050"/>
      <c r="L709" s="1043"/>
      <c r="M709" s="1051"/>
      <c r="N709" s="1051"/>
      <c r="O709" s="1052"/>
      <c r="P709" s="1051"/>
      <c r="Q709" s="1051"/>
      <c r="R709" s="1052"/>
      <c r="S709" s="1051"/>
      <c r="T709" s="1051"/>
      <c r="U709" s="1052"/>
      <c r="V709" s="1051"/>
      <c r="W709" s="1051"/>
      <c r="X709" s="1052"/>
      <c r="Y709" s="1053"/>
      <c r="Z709" s="1051"/>
      <c r="AA709" s="1051"/>
      <c r="AB709" s="1052"/>
      <c r="AC709" s="1051"/>
      <c r="AD709" s="1051"/>
      <c r="AE709" s="1052"/>
      <c r="AF709" s="1051"/>
      <c r="AG709" s="1051"/>
      <c r="AH709" s="1051"/>
      <c r="AI709" s="1051"/>
      <c r="AJ709" s="1052"/>
      <c r="AK709" s="1051"/>
      <c r="AL709" s="1051"/>
      <c r="AM709" s="1052"/>
      <c r="AN709" s="1051"/>
      <c r="AO709" s="1051"/>
      <c r="AP709" s="1052"/>
      <c r="AQ709" s="1051"/>
      <c r="AR709" s="1051"/>
      <c r="AS709" s="1052"/>
      <c r="AT709" s="1051"/>
      <c r="AU709" s="1051"/>
      <c r="AV709" s="1052"/>
      <c r="AW709" s="1051"/>
      <c r="AX709" s="1051"/>
      <c r="AY709" s="1053"/>
      <c r="AZ709" s="1051"/>
      <c r="BA709" s="1051"/>
      <c r="BB709" s="1053"/>
      <c r="BC709" s="1051"/>
      <c r="BD709" s="1051"/>
      <c r="BE709" s="1053"/>
      <c r="BF709" s="1051"/>
      <c r="BG709" s="1051"/>
      <c r="BH709" s="1053"/>
      <c r="BI709" s="1052"/>
      <c r="BJ709" s="1052"/>
      <c r="BK709" s="1052"/>
      <c r="BL709" s="1052"/>
      <c r="BM709" s="1052"/>
      <c r="BN709" s="1054"/>
      <c r="BO709" s="1076">
        <f t="shared" si="12"/>
        <v>0</v>
      </c>
      <c r="BP709" s="1051"/>
      <c r="BQ709" s="1052"/>
      <c r="BR709" s="1054"/>
      <c r="BS709" s="1053"/>
      <c r="BT709" s="1051"/>
      <c r="BU709" s="1051"/>
      <c r="BV709" s="1051"/>
      <c r="BW709" s="1052"/>
      <c r="BX709" s="1052"/>
      <c r="BY709" s="1052"/>
      <c r="BZ709" s="1052"/>
      <c r="CA709" s="1052"/>
      <c r="CB709" s="1053"/>
      <c r="CC709" s="1053"/>
      <c r="CD709" s="1053"/>
      <c r="CE709" s="1053"/>
      <c r="CF709" s="1053"/>
      <c r="CG709" s="1053"/>
      <c r="CH709" s="1053"/>
      <c r="CI709" s="1123"/>
      <c r="CJ709" s="1123"/>
      <c r="CK709" s="1123"/>
      <c r="CL709" s="1123"/>
      <c r="CM709" s="1123"/>
      <c r="CN709" s="1123"/>
      <c r="CO709" s="1123"/>
      <c r="CP709" s="1123"/>
      <c r="CQ709" s="1123"/>
      <c r="CR709" s="1123"/>
      <c r="CS709" s="1123"/>
      <c r="CT709" s="1123"/>
      <c r="CU709" s="1123"/>
      <c r="CV709" s="1123"/>
      <c r="CW709" s="1123"/>
      <c r="CX709" s="1123"/>
      <c r="CY709" s="1123"/>
      <c r="CZ709" s="1114"/>
      <c r="DA709" s="1114"/>
      <c r="DB709" s="1114"/>
      <c r="DC709" s="1114"/>
      <c r="DD709" s="1114"/>
      <c r="DE709" s="1114"/>
      <c r="DF709" s="1114"/>
      <c r="DG709" s="1114"/>
      <c r="DH709" s="1114"/>
      <c r="DI709" s="1114"/>
      <c r="DJ709" s="1114"/>
      <c r="DK709" s="1114"/>
      <c r="DL709" s="1114"/>
      <c r="DM709" s="1114"/>
      <c r="DN709" s="1114"/>
      <c r="DO709" s="1114"/>
      <c r="DP709" s="1114"/>
      <c r="DQ709" s="1114"/>
      <c r="DR709" s="1114"/>
      <c r="DS709" s="1114"/>
      <c r="DT709" s="1114"/>
      <c r="DU709" s="1114"/>
      <c r="DV709" s="1115"/>
      <c r="DW709" s="1116"/>
      <c r="DX709" s="1116"/>
      <c r="DY709" s="1116"/>
      <c r="DZ709" s="1116"/>
      <c r="EA709" s="1116"/>
      <c r="EB709" s="1116"/>
      <c r="EC709" s="1116"/>
      <c r="ED709" s="1116"/>
      <c r="EE709" s="1116"/>
      <c r="EF709" s="1116"/>
      <c r="EG709" s="1116"/>
      <c r="EH709" s="1116"/>
      <c r="EI709" s="1116"/>
      <c r="EJ709" s="1116"/>
      <c r="EK709" s="1116"/>
      <c r="EL709" s="1116"/>
      <c r="EM709" s="1116"/>
      <c r="EN709" s="1116"/>
      <c r="EO709" s="1116"/>
      <c r="EP709" s="1116"/>
      <c r="EQ709" s="1116"/>
      <c r="ER709" s="1116"/>
      <c r="ES709" s="1116"/>
    </row>
    <row r="710" spans="1:149" ht="15" customHeight="1">
      <c r="A710" s="1185">
        <v>700</v>
      </c>
      <c r="B710" s="1041"/>
      <c r="C710" s="1050"/>
      <c r="D710" s="1050"/>
      <c r="E710" s="1050"/>
      <c r="F710" s="1049"/>
      <c r="G710" s="1049"/>
      <c r="H710" s="1049"/>
      <c r="I710" s="1049"/>
      <c r="J710" s="1050"/>
      <c r="K710" s="1050"/>
      <c r="L710" s="1043"/>
      <c r="M710" s="1051"/>
      <c r="N710" s="1051"/>
      <c r="O710" s="1052"/>
      <c r="P710" s="1051"/>
      <c r="Q710" s="1051"/>
      <c r="R710" s="1052"/>
      <c r="S710" s="1051"/>
      <c r="T710" s="1051"/>
      <c r="U710" s="1052"/>
      <c r="V710" s="1051"/>
      <c r="W710" s="1051"/>
      <c r="X710" s="1052"/>
      <c r="Y710" s="1053"/>
      <c r="Z710" s="1051"/>
      <c r="AA710" s="1051"/>
      <c r="AB710" s="1052"/>
      <c r="AC710" s="1051"/>
      <c r="AD710" s="1051"/>
      <c r="AE710" s="1052"/>
      <c r="AF710" s="1051"/>
      <c r="AG710" s="1051"/>
      <c r="AH710" s="1051"/>
      <c r="AI710" s="1051"/>
      <c r="AJ710" s="1052"/>
      <c r="AK710" s="1051"/>
      <c r="AL710" s="1051"/>
      <c r="AM710" s="1052"/>
      <c r="AN710" s="1051"/>
      <c r="AO710" s="1051"/>
      <c r="AP710" s="1052"/>
      <c r="AQ710" s="1051"/>
      <c r="AR710" s="1051"/>
      <c r="AS710" s="1052"/>
      <c r="AT710" s="1051"/>
      <c r="AU710" s="1051"/>
      <c r="AV710" s="1052"/>
      <c r="AW710" s="1051"/>
      <c r="AX710" s="1051"/>
      <c r="AY710" s="1053"/>
      <c r="AZ710" s="1051"/>
      <c r="BA710" s="1051"/>
      <c r="BB710" s="1053"/>
      <c r="BC710" s="1051"/>
      <c r="BD710" s="1051"/>
      <c r="BE710" s="1053"/>
      <c r="BF710" s="1051"/>
      <c r="BG710" s="1051"/>
      <c r="BH710" s="1053"/>
      <c r="BI710" s="1052"/>
      <c r="BJ710" s="1052"/>
      <c r="BK710" s="1052"/>
      <c r="BL710" s="1052"/>
      <c r="BM710" s="1052"/>
      <c r="BN710" s="1054"/>
      <c r="BO710" s="1076">
        <f t="shared" si="12"/>
        <v>0</v>
      </c>
      <c r="BP710" s="1051"/>
      <c r="BQ710" s="1052"/>
      <c r="BR710" s="1054"/>
      <c r="BS710" s="1053"/>
      <c r="BT710" s="1051"/>
      <c r="BU710" s="1051"/>
      <c r="BV710" s="1051"/>
      <c r="BW710" s="1052"/>
      <c r="BX710" s="1052"/>
      <c r="BY710" s="1052"/>
      <c r="BZ710" s="1052"/>
      <c r="CA710" s="1052"/>
      <c r="CB710" s="1053"/>
      <c r="CC710" s="1053"/>
      <c r="CD710" s="1053"/>
      <c r="CE710" s="1053"/>
      <c r="CF710" s="1053"/>
      <c r="CG710" s="1053"/>
      <c r="CH710" s="1053"/>
      <c r="CI710" s="1123"/>
      <c r="CJ710" s="1123"/>
      <c r="CK710" s="1123"/>
      <c r="CL710" s="1123"/>
      <c r="CM710" s="1123"/>
      <c r="CN710" s="1123"/>
      <c r="CO710" s="1123"/>
      <c r="CP710" s="1123"/>
      <c r="CQ710" s="1123"/>
      <c r="CR710" s="1123"/>
      <c r="CS710" s="1123"/>
      <c r="CT710" s="1123"/>
      <c r="CU710" s="1123"/>
      <c r="CV710" s="1123"/>
      <c r="CW710" s="1123"/>
      <c r="CX710" s="1123"/>
      <c r="CY710" s="1123"/>
      <c r="CZ710" s="1114"/>
      <c r="DA710" s="1114"/>
      <c r="DB710" s="1114"/>
      <c r="DC710" s="1114"/>
      <c r="DD710" s="1114"/>
      <c r="DE710" s="1114"/>
      <c r="DF710" s="1114"/>
      <c r="DG710" s="1114"/>
      <c r="DH710" s="1114"/>
      <c r="DI710" s="1114"/>
      <c r="DJ710" s="1114"/>
      <c r="DK710" s="1114"/>
      <c r="DL710" s="1114"/>
      <c r="DM710" s="1114"/>
      <c r="DN710" s="1114"/>
      <c r="DO710" s="1114"/>
      <c r="DP710" s="1114"/>
      <c r="DQ710" s="1114"/>
      <c r="DR710" s="1114"/>
      <c r="DS710" s="1114"/>
      <c r="DT710" s="1114"/>
      <c r="DU710" s="1114"/>
      <c r="DV710" s="1115"/>
      <c r="DW710" s="1116"/>
      <c r="DX710" s="1116"/>
      <c r="DY710" s="1116"/>
      <c r="DZ710" s="1116"/>
      <c r="EA710" s="1116"/>
      <c r="EB710" s="1116"/>
      <c r="EC710" s="1116"/>
      <c r="ED710" s="1116"/>
      <c r="EE710" s="1116"/>
      <c r="EF710" s="1116"/>
      <c r="EG710" s="1116"/>
      <c r="EH710" s="1116"/>
      <c r="EI710" s="1116"/>
      <c r="EJ710" s="1116"/>
      <c r="EK710" s="1116"/>
      <c r="EL710" s="1116"/>
      <c r="EM710" s="1116"/>
      <c r="EN710" s="1116"/>
      <c r="EO710" s="1116"/>
      <c r="EP710" s="1116"/>
      <c r="EQ710" s="1116"/>
      <c r="ER710" s="1116"/>
      <c r="ES710" s="1116"/>
    </row>
    <row r="711" spans="1:149" ht="15" customHeight="1">
      <c r="A711" s="1185">
        <v>701</v>
      </c>
      <c r="B711" s="1041"/>
      <c r="C711" s="1050"/>
      <c r="D711" s="1050"/>
      <c r="E711" s="1050"/>
      <c r="F711" s="1049"/>
      <c r="G711" s="1049"/>
      <c r="H711" s="1049"/>
      <c r="I711" s="1049"/>
      <c r="J711" s="1050"/>
      <c r="K711" s="1050"/>
      <c r="L711" s="1043"/>
      <c r="M711" s="1051"/>
      <c r="N711" s="1051"/>
      <c r="O711" s="1052"/>
      <c r="P711" s="1051"/>
      <c r="Q711" s="1051"/>
      <c r="R711" s="1052"/>
      <c r="S711" s="1051"/>
      <c r="T711" s="1051"/>
      <c r="U711" s="1052"/>
      <c r="V711" s="1051"/>
      <c r="W711" s="1051"/>
      <c r="X711" s="1052"/>
      <c r="Y711" s="1053"/>
      <c r="Z711" s="1051"/>
      <c r="AA711" s="1051"/>
      <c r="AB711" s="1052"/>
      <c r="AC711" s="1051"/>
      <c r="AD711" s="1051"/>
      <c r="AE711" s="1052"/>
      <c r="AF711" s="1051"/>
      <c r="AG711" s="1051"/>
      <c r="AH711" s="1051"/>
      <c r="AI711" s="1051"/>
      <c r="AJ711" s="1052"/>
      <c r="AK711" s="1051"/>
      <c r="AL711" s="1051"/>
      <c r="AM711" s="1052"/>
      <c r="AN711" s="1051"/>
      <c r="AO711" s="1051"/>
      <c r="AP711" s="1052"/>
      <c r="AQ711" s="1051"/>
      <c r="AR711" s="1051"/>
      <c r="AS711" s="1052"/>
      <c r="AT711" s="1051"/>
      <c r="AU711" s="1051"/>
      <c r="AV711" s="1052"/>
      <c r="AW711" s="1051"/>
      <c r="AX711" s="1051"/>
      <c r="AY711" s="1053"/>
      <c r="AZ711" s="1051"/>
      <c r="BA711" s="1051"/>
      <c r="BB711" s="1053"/>
      <c r="BC711" s="1051"/>
      <c r="BD711" s="1051"/>
      <c r="BE711" s="1053"/>
      <c r="BF711" s="1051"/>
      <c r="BG711" s="1051"/>
      <c r="BH711" s="1053"/>
      <c r="BI711" s="1052"/>
      <c r="BJ711" s="1052"/>
      <c r="BK711" s="1052"/>
      <c r="BL711" s="1052"/>
      <c r="BM711" s="1052"/>
      <c r="BN711" s="1054"/>
      <c r="BO711" s="1076">
        <f t="shared" si="12"/>
        <v>0</v>
      </c>
      <c r="BP711" s="1051"/>
      <c r="BQ711" s="1052"/>
      <c r="BR711" s="1054"/>
      <c r="BS711" s="1053"/>
      <c r="BT711" s="1051"/>
      <c r="BU711" s="1051"/>
      <c r="BV711" s="1051"/>
      <c r="BW711" s="1052"/>
      <c r="BX711" s="1052"/>
      <c r="BY711" s="1052"/>
      <c r="BZ711" s="1052"/>
      <c r="CA711" s="1052"/>
      <c r="CB711" s="1053"/>
      <c r="CC711" s="1053"/>
      <c r="CD711" s="1053"/>
      <c r="CE711" s="1053"/>
      <c r="CF711" s="1053"/>
      <c r="CG711" s="1053"/>
      <c r="CH711" s="1053"/>
      <c r="CI711" s="1123"/>
      <c r="CJ711" s="1123"/>
      <c r="CK711" s="1123"/>
      <c r="CL711" s="1123"/>
      <c r="CM711" s="1123"/>
      <c r="CN711" s="1123"/>
      <c r="CO711" s="1123"/>
      <c r="CP711" s="1123"/>
      <c r="CQ711" s="1123"/>
      <c r="CR711" s="1123"/>
      <c r="CS711" s="1123"/>
      <c r="CT711" s="1123"/>
      <c r="CU711" s="1123"/>
      <c r="CV711" s="1123"/>
      <c r="CW711" s="1123"/>
      <c r="CX711" s="1123"/>
      <c r="CY711" s="1123"/>
      <c r="CZ711" s="1114"/>
      <c r="DA711" s="1114"/>
      <c r="DB711" s="1114"/>
      <c r="DC711" s="1114"/>
      <c r="DD711" s="1114"/>
      <c r="DE711" s="1114"/>
      <c r="DF711" s="1114"/>
      <c r="DG711" s="1114"/>
      <c r="DH711" s="1114"/>
      <c r="DI711" s="1114"/>
      <c r="DJ711" s="1114"/>
      <c r="DK711" s="1114"/>
      <c r="DL711" s="1114"/>
      <c r="DM711" s="1114"/>
      <c r="DN711" s="1114"/>
      <c r="DO711" s="1114"/>
      <c r="DP711" s="1114"/>
      <c r="DQ711" s="1114"/>
      <c r="DR711" s="1114"/>
      <c r="DS711" s="1114"/>
      <c r="DT711" s="1114"/>
      <c r="DU711" s="1114"/>
      <c r="DV711" s="1115"/>
      <c r="DW711" s="1116"/>
      <c r="DX711" s="1116"/>
      <c r="DY711" s="1116"/>
      <c r="DZ711" s="1116"/>
      <c r="EA711" s="1116"/>
      <c r="EB711" s="1116"/>
      <c r="EC711" s="1116"/>
      <c r="ED711" s="1116"/>
      <c r="EE711" s="1116"/>
      <c r="EF711" s="1116"/>
      <c r="EG711" s="1116"/>
      <c r="EH711" s="1116"/>
      <c r="EI711" s="1116"/>
      <c r="EJ711" s="1116"/>
      <c r="EK711" s="1116"/>
      <c r="EL711" s="1116"/>
      <c r="EM711" s="1116"/>
      <c r="EN711" s="1116"/>
      <c r="EO711" s="1116"/>
      <c r="EP711" s="1116"/>
      <c r="EQ711" s="1116"/>
      <c r="ER711" s="1116"/>
      <c r="ES711" s="1116"/>
    </row>
    <row r="712" spans="1:149" ht="15" customHeight="1">
      <c r="A712" s="1185">
        <v>702</v>
      </c>
      <c r="B712" s="1041"/>
      <c r="C712" s="1050"/>
      <c r="D712" s="1050"/>
      <c r="E712" s="1050"/>
      <c r="F712" s="1049"/>
      <c r="G712" s="1049"/>
      <c r="H712" s="1049"/>
      <c r="I712" s="1049"/>
      <c r="J712" s="1050"/>
      <c r="K712" s="1050"/>
      <c r="L712" s="1043"/>
      <c r="M712" s="1051"/>
      <c r="N712" s="1051"/>
      <c r="O712" s="1052"/>
      <c r="P712" s="1051"/>
      <c r="Q712" s="1051"/>
      <c r="R712" s="1052"/>
      <c r="S712" s="1051"/>
      <c r="T712" s="1051"/>
      <c r="U712" s="1052"/>
      <c r="V712" s="1051"/>
      <c r="W712" s="1051"/>
      <c r="X712" s="1052"/>
      <c r="Y712" s="1053"/>
      <c r="Z712" s="1051"/>
      <c r="AA712" s="1051"/>
      <c r="AB712" s="1052"/>
      <c r="AC712" s="1051"/>
      <c r="AD712" s="1051"/>
      <c r="AE712" s="1052"/>
      <c r="AF712" s="1051"/>
      <c r="AG712" s="1051"/>
      <c r="AH712" s="1051"/>
      <c r="AI712" s="1051"/>
      <c r="AJ712" s="1052"/>
      <c r="AK712" s="1051"/>
      <c r="AL712" s="1051"/>
      <c r="AM712" s="1052"/>
      <c r="AN712" s="1051"/>
      <c r="AO712" s="1051"/>
      <c r="AP712" s="1052"/>
      <c r="AQ712" s="1051"/>
      <c r="AR712" s="1051"/>
      <c r="AS712" s="1052"/>
      <c r="AT712" s="1051"/>
      <c r="AU712" s="1051"/>
      <c r="AV712" s="1052"/>
      <c r="AW712" s="1051"/>
      <c r="AX712" s="1051"/>
      <c r="AY712" s="1053"/>
      <c r="AZ712" s="1051"/>
      <c r="BA712" s="1051"/>
      <c r="BB712" s="1053"/>
      <c r="BC712" s="1051"/>
      <c r="BD712" s="1051"/>
      <c r="BE712" s="1053"/>
      <c r="BF712" s="1051"/>
      <c r="BG712" s="1051"/>
      <c r="BH712" s="1053"/>
      <c r="BI712" s="1052"/>
      <c r="BJ712" s="1052"/>
      <c r="BK712" s="1052"/>
      <c r="BL712" s="1052"/>
      <c r="BM712" s="1052"/>
      <c r="BN712" s="1054"/>
      <c r="BO712" s="1076">
        <f t="shared" si="12"/>
        <v>0</v>
      </c>
      <c r="BP712" s="1051"/>
      <c r="BQ712" s="1052"/>
      <c r="BR712" s="1054"/>
      <c r="BS712" s="1053"/>
      <c r="BT712" s="1051"/>
      <c r="BU712" s="1051"/>
      <c r="BV712" s="1051"/>
      <c r="BW712" s="1052"/>
      <c r="BX712" s="1052"/>
      <c r="BY712" s="1052"/>
      <c r="BZ712" s="1052"/>
      <c r="CA712" s="1052"/>
      <c r="CB712" s="1053"/>
      <c r="CC712" s="1053"/>
      <c r="CD712" s="1053"/>
      <c r="CE712" s="1053"/>
      <c r="CF712" s="1053"/>
      <c r="CG712" s="1053"/>
      <c r="CH712" s="1053"/>
      <c r="CI712" s="1123"/>
      <c r="CJ712" s="1123"/>
      <c r="CK712" s="1123"/>
      <c r="CL712" s="1123"/>
      <c r="CM712" s="1123"/>
      <c r="CN712" s="1123"/>
      <c r="CO712" s="1123"/>
      <c r="CP712" s="1123"/>
      <c r="CQ712" s="1123"/>
      <c r="CR712" s="1123"/>
      <c r="CS712" s="1123"/>
      <c r="CT712" s="1123"/>
      <c r="CU712" s="1123"/>
      <c r="CV712" s="1123"/>
      <c r="CW712" s="1123"/>
      <c r="CX712" s="1123"/>
      <c r="CY712" s="1123"/>
      <c r="CZ712" s="1114"/>
      <c r="DA712" s="1114"/>
      <c r="DB712" s="1114"/>
      <c r="DC712" s="1114"/>
      <c r="DD712" s="1114"/>
      <c r="DE712" s="1114"/>
      <c r="DF712" s="1114"/>
      <c r="DG712" s="1114"/>
      <c r="DH712" s="1114"/>
      <c r="DI712" s="1114"/>
      <c r="DJ712" s="1114"/>
      <c r="DK712" s="1114"/>
      <c r="DL712" s="1114"/>
      <c r="DM712" s="1114"/>
      <c r="DN712" s="1114"/>
      <c r="DO712" s="1114"/>
      <c r="DP712" s="1114"/>
      <c r="DQ712" s="1114"/>
      <c r="DR712" s="1114"/>
      <c r="DS712" s="1114"/>
      <c r="DT712" s="1114"/>
      <c r="DU712" s="1114"/>
      <c r="DV712" s="1115"/>
      <c r="DW712" s="1116"/>
      <c r="DX712" s="1116"/>
      <c r="DY712" s="1116"/>
      <c r="DZ712" s="1116"/>
      <c r="EA712" s="1116"/>
      <c r="EB712" s="1116"/>
      <c r="EC712" s="1116"/>
      <c r="ED712" s="1116"/>
      <c r="EE712" s="1116"/>
      <c r="EF712" s="1116"/>
      <c r="EG712" s="1116"/>
      <c r="EH712" s="1116"/>
      <c r="EI712" s="1116"/>
      <c r="EJ712" s="1116"/>
      <c r="EK712" s="1116"/>
      <c r="EL712" s="1116"/>
      <c r="EM712" s="1116"/>
      <c r="EN712" s="1116"/>
      <c r="EO712" s="1116"/>
      <c r="EP712" s="1116"/>
      <c r="EQ712" s="1116"/>
      <c r="ER712" s="1116"/>
      <c r="ES712" s="1116"/>
    </row>
    <row r="713" spans="1:149" ht="15" customHeight="1">
      <c r="A713" s="1185">
        <v>703</v>
      </c>
      <c r="B713" s="1041"/>
      <c r="C713" s="1050"/>
      <c r="D713" s="1050"/>
      <c r="E713" s="1050"/>
      <c r="F713" s="1049"/>
      <c r="G713" s="1049"/>
      <c r="H713" s="1049"/>
      <c r="I713" s="1049"/>
      <c r="J713" s="1050"/>
      <c r="K713" s="1050"/>
      <c r="L713" s="1043"/>
      <c r="M713" s="1051"/>
      <c r="N713" s="1051"/>
      <c r="O713" s="1052"/>
      <c r="P713" s="1051"/>
      <c r="Q713" s="1051"/>
      <c r="R713" s="1052"/>
      <c r="S713" s="1051"/>
      <c r="T713" s="1051"/>
      <c r="U713" s="1052"/>
      <c r="V713" s="1051"/>
      <c r="W713" s="1051"/>
      <c r="X713" s="1052"/>
      <c r="Y713" s="1053"/>
      <c r="Z713" s="1051"/>
      <c r="AA713" s="1051"/>
      <c r="AB713" s="1052"/>
      <c r="AC713" s="1051"/>
      <c r="AD713" s="1051"/>
      <c r="AE713" s="1052"/>
      <c r="AF713" s="1051"/>
      <c r="AG713" s="1051"/>
      <c r="AH713" s="1051"/>
      <c r="AI713" s="1051"/>
      <c r="AJ713" s="1052"/>
      <c r="AK713" s="1051"/>
      <c r="AL713" s="1051"/>
      <c r="AM713" s="1052"/>
      <c r="AN713" s="1051"/>
      <c r="AO713" s="1051"/>
      <c r="AP713" s="1052"/>
      <c r="AQ713" s="1051"/>
      <c r="AR713" s="1051"/>
      <c r="AS713" s="1052"/>
      <c r="AT713" s="1051"/>
      <c r="AU713" s="1051"/>
      <c r="AV713" s="1052"/>
      <c r="AW713" s="1051"/>
      <c r="AX713" s="1051"/>
      <c r="AY713" s="1053"/>
      <c r="AZ713" s="1051"/>
      <c r="BA713" s="1051"/>
      <c r="BB713" s="1053"/>
      <c r="BC713" s="1051"/>
      <c r="BD713" s="1051"/>
      <c r="BE713" s="1053"/>
      <c r="BF713" s="1051"/>
      <c r="BG713" s="1051"/>
      <c r="BH713" s="1053"/>
      <c r="BI713" s="1052"/>
      <c r="BJ713" s="1052"/>
      <c r="BK713" s="1052"/>
      <c r="BL713" s="1052"/>
      <c r="BM713" s="1052"/>
      <c r="BN713" s="1054"/>
      <c r="BO713" s="1076">
        <f t="shared" si="12"/>
        <v>0</v>
      </c>
      <c r="BP713" s="1051"/>
      <c r="BQ713" s="1052"/>
      <c r="BR713" s="1054"/>
      <c r="BS713" s="1053"/>
      <c r="BT713" s="1051"/>
      <c r="BU713" s="1051"/>
      <c r="BV713" s="1051"/>
      <c r="BW713" s="1052"/>
      <c r="BX713" s="1052"/>
      <c r="BY713" s="1052"/>
      <c r="BZ713" s="1052"/>
      <c r="CA713" s="1052"/>
      <c r="CB713" s="1053"/>
      <c r="CC713" s="1053"/>
      <c r="CD713" s="1053"/>
      <c r="CE713" s="1053"/>
      <c r="CF713" s="1053"/>
      <c r="CG713" s="1053"/>
      <c r="CH713" s="1053"/>
      <c r="CI713" s="1123"/>
      <c r="CJ713" s="1123"/>
      <c r="CK713" s="1123"/>
      <c r="CL713" s="1123"/>
      <c r="CM713" s="1123"/>
      <c r="CN713" s="1123"/>
      <c r="CO713" s="1123"/>
      <c r="CP713" s="1123"/>
      <c r="CQ713" s="1123"/>
      <c r="CR713" s="1123"/>
      <c r="CS713" s="1123"/>
      <c r="CT713" s="1123"/>
      <c r="CU713" s="1123"/>
      <c r="CV713" s="1123"/>
      <c r="CW713" s="1123"/>
      <c r="CX713" s="1123"/>
      <c r="CY713" s="1123"/>
      <c r="CZ713" s="1114"/>
      <c r="DA713" s="1114"/>
      <c r="DB713" s="1114"/>
      <c r="DC713" s="1114"/>
      <c r="DD713" s="1114"/>
      <c r="DE713" s="1114"/>
      <c r="DF713" s="1114"/>
      <c r="DG713" s="1114"/>
      <c r="DH713" s="1114"/>
      <c r="DI713" s="1114"/>
      <c r="DJ713" s="1114"/>
      <c r="DK713" s="1114"/>
      <c r="DL713" s="1114"/>
      <c r="DM713" s="1114"/>
      <c r="DN713" s="1114"/>
      <c r="DO713" s="1114"/>
      <c r="DP713" s="1114"/>
      <c r="DQ713" s="1114"/>
      <c r="DR713" s="1114"/>
      <c r="DS713" s="1114"/>
      <c r="DT713" s="1114"/>
      <c r="DU713" s="1114"/>
      <c r="DV713" s="1115"/>
      <c r="DW713" s="1116"/>
      <c r="DX713" s="1116"/>
      <c r="DY713" s="1116"/>
      <c r="DZ713" s="1116"/>
      <c r="EA713" s="1116"/>
      <c r="EB713" s="1116"/>
      <c r="EC713" s="1116"/>
      <c r="ED713" s="1116"/>
      <c r="EE713" s="1116"/>
      <c r="EF713" s="1116"/>
      <c r="EG713" s="1116"/>
      <c r="EH713" s="1116"/>
      <c r="EI713" s="1116"/>
      <c r="EJ713" s="1116"/>
      <c r="EK713" s="1116"/>
      <c r="EL713" s="1116"/>
      <c r="EM713" s="1116"/>
      <c r="EN713" s="1116"/>
      <c r="EO713" s="1116"/>
      <c r="EP713" s="1116"/>
      <c r="EQ713" s="1116"/>
      <c r="ER713" s="1116"/>
      <c r="ES713" s="1116"/>
    </row>
    <row r="714" spans="1:149" ht="15" customHeight="1">
      <c r="A714" s="1185">
        <v>704</v>
      </c>
      <c r="B714" s="1041"/>
      <c r="C714" s="1050"/>
      <c r="D714" s="1050"/>
      <c r="E714" s="1050"/>
      <c r="F714" s="1049"/>
      <c r="G714" s="1049"/>
      <c r="H714" s="1049"/>
      <c r="I714" s="1049"/>
      <c r="J714" s="1050"/>
      <c r="K714" s="1050"/>
      <c r="L714" s="1043"/>
      <c r="M714" s="1051"/>
      <c r="N714" s="1051"/>
      <c r="O714" s="1052"/>
      <c r="P714" s="1051"/>
      <c r="Q714" s="1051"/>
      <c r="R714" s="1052"/>
      <c r="S714" s="1051"/>
      <c r="T714" s="1051"/>
      <c r="U714" s="1052"/>
      <c r="V714" s="1051"/>
      <c r="W714" s="1051"/>
      <c r="X714" s="1052"/>
      <c r="Y714" s="1053"/>
      <c r="Z714" s="1051"/>
      <c r="AA714" s="1051"/>
      <c r="AB714" s="1052"/>
      <c r="AC714" s="1051"/>
      <c r="AD714" s="1051"/>
      <c r="AE714" s="1052"/>
      <c r="AF714" s="1051"/>
      <c r="AG714" s="1051"/>
      <c r="AH714" s="1051"/>
      <c r="AI714" s="1051"/>
      <c r="AJ714" s="1052"/>
      <c r="AK714" s="1051"/>
      <c r="AL714" s="1051"/>
      <c r="AM714" s="1052"/>
      <c r="AN714" s="1051"/>
      <c r="AO714" s="1051"/>
      <c r="AP714" s="1052"/>
      <c r="AQ714" s="1051"/>
      <c r="AR714" s="1051"/>
      <c r="AS714" s="1052"/>
      <c r="AT714" s="1051"/>
      <c r="AU714" s="1051"/>
      <c r="AV714" s="1052"/>
      <c r="AW714" s="1051"/>
      <c r="AX714" s="1051"/>
      <c r="AY714" s="1053"/>
      <c r="AZ714" s="1051"/>
      <c r="BA714" s="1051"/>
      <c r="BB714" s="1053"/>
      <c r="BC714" s="1051"/>
      <c r="BD714" s="1051"/>
      <c r="BE714" s="1053"/>
      <c r="BF714" s="1051"/>
      <c r="BG714" s="1051"/>
      <c r="BH714" s="1053"/>
      <c r="BI714" s="1052"/>
      <c r="BJ714" s="1052"/>
      <c r="BK714" s="1052"/>
      <c r="BL714" s="1052"/>
      <c r="BM714" s="1052"/>
      <c r="BN714" s="1054"/>
      <c r="BO714" s="1076">
        <f t="shared" si="12"/>
        <v>0</v>
      </c>
      <c r="BP714" s="1051"/>
      <c r="BQ714" s="1052"/>
      <c r="BR714" s="1054"/>
      <c r="BS714" s="1053"/>
      <c r="BT714" s="1051"/>
      <c r="BU714" s="1051"/>
      <c r="BV714" s="1051"/>
      <c r="BW714" s="1052"/>
      <c r="BX714" s="1052"/>
      <c r="BY714" s="1052"/>
      <c r="BZ714" s="1052"/>
      <c r="CA714" s="1052"/>
      <c r="CB714" s="1053"/>
      <c r="CC714" s="1053"/>
      <c r="CD714" s="1053"/>
      <c r="CE714" s="1053"/>
      <c r="CF714" s="1053"/>
      <c r="CG714" s="1053"/>
      <c r="CH714" s="1053"/>
      <c r="CI714" s="1123"/>
      <c r="CJ714" s="1123"/>
      <c r="CK714" s="1123"/>
      <c r="CL714" s="1123"/>
      <c r="CM714" s="1123"/>
      <c r="CN714" s="1123"/>
      <c r="CO714" s="1123"/>
      <c r="CP714" s="1123"/>
      <c r="CQ714" s="1123"/>
      <c r="CR714" s="1123"/>
      <c r="CS714" s="1123"/>
      <c r="CT714" s="1123"/>
      <c r="CU714" s="1123"/>
      <c r="CV714" s="1123"/>
      <c r="CW714" s="1123"/>
      <c r="CX714" s="1123"/>
      <c r="CY714" s="1123"/>
      <c r="CZ714" s="1114"/>
      <c r="DA714" s="1114"/>
      <c r="DB714" s="1114"/>
      <c r="DC714" s="1114"/>
      <c r="DD714" s="1114"/>
      <c r="DE714" s="1114"/>
      <c r="DF714" s="1114"/>
      <c r="DG714" s="1114"/>
      <c r="DH714" s="1114"/>
      <c r="DI714" s="1114"/>
      <c r="DJ714" s="1114"/>
      <c r="DK714" s="1114"/>
      <c r="DL714" s="1114"/>
      <c r="DM714" s="1114"/>
      <c r="DN714" s="1114"/>
      <c r="DO714" s="1114"/>
      <c r="DP714" s="1114"/>
      <c r="DQ714" s="1114"/>
      <c r="DR714" s="1114"/>
      <c r="DS714" s="1114"/>
      <c r="DT714" s="1114"/>
      <c r="DU714" s="1114"/>
      <c r="DV714" s="1115"/>
      <c r="DW714" s="1116"/>
      <c r="DX714" s="1116"/>
      <c r="DY714" s="1116"/>
      <c r="DZ714" s="1116"/>
      <c r="EA714" s="1116"/>
      <c r="EB714" s="1116"/>
      <c r="EC714" s="1116"/>
      <c r="ED714" s="1116"/>
      <c r="EE714" s="1116"/>
      <c r="EF714" s="1116"/>
      <c r="EG714" s="1116"/>
      <c r="EH714" s="1116"/>
      <c r="EI714" s="1116"/>
      <c r="EJ714" s="1116"/>
      <c r="EK714" s="1116"/>
      <c r="EL714" s="1116"/>
      <c r="EM714" s="1116"/>
      <c r="EN714" s="1116"/>
      <c r="EO714" s="1116"/>
      <c r="EP714" s="1116"/>
      <c r="EQ714" s="1116"/>
      <c r="ER714" s="1116"/>
      <c r="ES714" s="1116"/>
    </row>
    <row r="715" spans="1:149" ht="15" customHeight="1">
      <c r="A715" s="1185">
        <v>705</v>
      </c>
      <c r="B715" s="1041"/>
      <c r="C715" s="1050"/>
      <c r="D715" s="1050"/>
      <c r="E715" s="1050"/>
      <c r="F715" s="1049"/>
      <c r="G715" s="1049"/>
      <c r="H715" s="1049"/>
      <c r="I715" s="1049"/>
      <c r="J715" s="1050"/>
      <c r="K715" s="1050"/>
      <c r="L715" s="1043"/>
      <c r="M715" s="1051"/>
      <c r="N715" s="1051"/>
      <c r="O715" s="1052"/>
      <c r="P715" s="1051"/>
      <c r="Q715" s="1051"/>
      <c r="R715" s="1052"/>
      <c r="S715" s="1051"/>
      <c r="T715" s="1051"/>
      <c r="U715" s="1052"/>
      <c r="V715" s="1051"/>
      <c r="W715" s="1051"/>
      <c r="X715" s="1052"/>
      <c r="Y715" s="1053"/>
      <c r="Z715" s="1051"/>
      <c r="AA715" s="1051"/>
      <c r="AB715" s="1052"/>
      <c r="AC715" s="1051"/>
      <c r="AD715" s="1051"/>
      <c r="AE715" s="1052"/>
      <c r="AF715" s="1051"/>
      <c r="AG715" s="1051"/>
      <c r="AH715" s="1051"/>
      <c r="AI715" s="1051"/>
      <c r="AJ715" s="1052"/>
      <c r="AK715" s="1051"/>
      <c r="AL715" s="1051"/>
      <c r="AM715" s="1052"/>
      <c r="AN715" s="1051"/>
      <c r="AO715" s="1051"/>
      <c r="AP715" s="1052"/>
      <c r="AQ715" s="1051"/>
      <c r="AR715" s="1051"/>
      <c r="AS715" s="1052"/>
      <c r="AT715" s="1051"/>
      <c r="AU715" s="1051"/>
      <c r="AV715" s="1052"/>
      <c r="AW715" s="1051"/>
      <c r="AX715" s="1051"/>
      <c r="AY715" s="1053"/>
      <c r="AZ715" s="1051"/>
      <c r="BA715" s="1051"/>
      <c r="BB715" s="1053"/>
      <c r="BC715" s="1051"/>
      <c r="BD715" s="1051"/>
      <c r="BE715" s="1053"/>
      <c r="BF715" s="1051"/>
      <c r="BG715" s="1051"/>
      <c r="BH715" s="1053"/>
      <c r="BI715" s="1052"/>
      <c r="BJ715" s="1052"/>
      <c r="BK715" s="1052"/>
      <c r="BL715" s="1052"/>
      <c r="BM715" s="1052"/>
      <c r="BN715" s="1054"/>
      <c r="BO715" s="1076">
        <f t="shared" si="12"/>
        <v>0</v>
      </c>
      <c r="BP715" s="1051"/>
      <c r="BQ715" s="1052"/>
      <c r="BR715" s="1054"/>
      <c r="BS715" s="1053"/>
      <c r="BT715" s="1051"/>
      <c r="BU715" s="1051"/>
      <c r="BV715" s="1051"/>
      <c r="BW715" s="1052"/>
      <c r="BX715" s="1052"/>
      <c r="BY715" s="1052"/>
      <c r="BZ715" s="1052"/>
      <c r="CA715" s="1052"/>
      <c r="CB715" s="1053"/>
      <c r="CC715" s="1053"/>
      <c r="CD715" s="1053"/>
      <c r="CE715" s="1053"/>
      <c r="CF715" s="1053"/>
      <c r="CG715" s="1053"/>
      <c r="CH715" s="1053"/>
      <c r="CI715" s="1123"/>
      <c r="CJ715" s="1123"/>
      <c r="CK715" s="1123"/>
      <c r="CL715" s="1123"/>
      <c r="CM715" s="1123"/>
      <c r="CN715" s="1123"/>
      <c r="CO715" s="1123"/>
      <c r="CP715" s="1123"/>
      <c r="CQ715" s="1123"/>
      <c r="CR715" s="1123"/>
      <c r="CS715" s="1123"/>
      <c r="CT715" s="1123"/>
      <c r="CU715" s="1123"/>
      <c r="CV715" s="1123"/>
      <c r="CW715" s="1123"/>
      <c r="CX715" s="1123"/>
      <c r="CY715" s="1123"/>
      <c r="CZ715" s="1114"/>
      <c r="DA715" s="1114"/>
      <c r="DB715" s="1114"/>
      <c r="DC715" s="1114"/>
      <c r="DD715" s="1114"/>
      <c r="DE715" s="1114"/>
      <c r="DF715" s="1114"/>
      <c r="DG715" s="1114"/>
      <c r="DH715" s="1114"/>
      <c r="DI715" s="1114"/>
      <c r="DJ715" s="1114"/>
      <c r="DK715" s="1114"/>
      <c r="DL715" s="1114"/>
      <c r="DM715" s="1114"/>
      <c r="DN715" s="1114"/>
      <c r="DO715" s="1114"/>
      <c r="DP715" s="1114"/>
      <c r="DQ715" s="1114"/>
      <c r="DR715" s="1114"/>
      <c r="DS715" s="1114"/>
      <c r="DT715" s="1114"/>
      <c r="DU715" s="1114"/>
      <c r="DV715" s="1115"/>
      <c r="DW715" s="1116"/>
      <c r="DX715" s="1116"/>
      <c r="DY715" s="1116"/>
      <c r="DZ715" s="1116"/>
      <c r="EA715" s="1116"/>
      <c r="EB715" s="1116"/>
      <c r="EC715" s="1116"/>
      <c r="ED715" s="1116"/>
      <c r="EE715" s="1116"/>
      <c r="EF715" s="1116"/>
      <c r="EG715" s="1116"/>
      <c r="EH715" s="1116"/>
      <c r="EI715" s="1116"/>
      <c r="EJ715" s="1116"/>
      <c r="EK715" s="1116"/>
      <c r="EL715" s="1116"/>
      <c r="EM715" s="1116"/>
      <c r="EN715" s="1116"/>
      <c r="EO715" s="1116"/>
      <c r="EP715" s="1116"/>
      <c r="EQ715" s="1116"/>
      <c r="ER715" s="1116"/>
      <c r="ES715" s="1116"/>
    </row>
    <row r="716" spans="1:149" ht="15" customHeight="1">
      <c r="A716" s="1185">
        <v>706</v>
      </c>
      <c r="B716" s="1041"/>
      <c r="C716" s="1050"/>
      <c r="D716" s="1050"/>
      <c r="E716" s="1050"/>
      <c r="F716" s="1049"/>
      <c r="G716" s="1049"/>
      <c r="H716" s="1049"/>
      <c r="I716" s="1049"/>
      <c r="J716" s="1050"/>
      <c r="K716" s="1050"/>
      <c r="L716" s="1043"/>
      <c r="M716" s="1051"/>
      <c r="N716" s="1051"/>
      <c r="O716" s="1052"/>
      <c r="P716" s="1051"/>
      <c r="Q716" s="1051"/>
      <c r="R716" s="1052"/>
      <c r="S716" s="1051"/>
      <c r="T716" s="1051"/>
      <c r="U716" s="1052"/>
      <c r="V716" s="1051"/>
      <c r="W716" s="1051"/>
      <c r="X716" s="1052"/>
      <c r="Y716" s="1053"/>
      <c r="Z716" s="1051"/>
      <c r="AA716" s="1051"/>
      <c r="AB716" s="1052"/>
      <c r="AC716" s="1051"/>
      <c r="AD716" s="1051"/>
      <c r="AE716" s="1052"/>
      <c r="AF716" s="1051"/>
      <c r="AG716" s="1051"/>
      <c r="AH716" s="1051"/>
      <c r="AI716" s="1051"/>
      <c r="AJ716" s="1052"/>
      <c r="AK716" s="1051"/>
      <c r="AL716" s="1051"/>
      <c r="AM716" s="1052"/>
      <c r="AN716" s="1051"/>
      <c r="AO716" s="1051"/>
      <c r="AP716" s="1052"/>
      <c r="AQ716" s="1051"/>
      <c r="AR716" s="1051"/>
      <c r="AS716" s="1052"/>
      <c r="AT716" s="1051"/>
      <c r="AU716" s="1051"/>
      <c r="AV716" s="1052"/>
      <c r="AW716" s="1051"/>
      <c r="AX716" s="1051"/>
      <c r="AY716" s="1053"/>
      <c r="AZ716" s="1051"/>
      <c r="BA716" s="1051"/>
      <c r="BB716" s="1053"/>
      <c r="BC716" s="1051"/>
      <c r="BD716" s="1051"/>
      <c r="BE716" s="1053"/>
      <c r="BF716" s="1051"/>
      <c r="BG716" s="1051"/>
      <c r="BH716" s="1053"/>
      <c r="BI716" s="1052"/>
      <c r="BJ716" s="1052"/>
      <c r="BK716" s="1052"/>
      <c r="BL716" s="1052"/>
      <c r="BM716" s="1052"/>
      <c r="BN716" s="1054"/>
      <c r="BO716" s="1076">
        <f t="shared" si="12"/>
        <v>0</v>
      </c>
      <c r="BP716" s="1051"/>
      <c r="BQ716" s="1052"/>
      <c r="BR716" s="1054"/>
      <c r="BS716" s="1053"/>
      <c r="BT716" s="1051"/>
      <c r="BU716" s="1051"/>
      <c r="BV716" s="1051"/>
      <c r="BW716" s="1052"/>
      <c r="BX716" s="1052"/>
      <c r="BY716" s="1052"/>
      <c r="BZ716" s="1052"/>
      <c r="CA716" s="1052"/>
      <c r="CB716" s="1053"/>
      <c r="CC716" s="1053"/>
      <c r="CD716" s="1053"/>
      <c r="CE716" s="1053"/>
      <c r="CF716" s="1053"/>
      <c r="CG716" s="1053"/>
      <c r="CH716" s="1053"/>
      <c r="CI716" s="1123"/>
      <c r="CJ716" s="1123"/>
      <c r="CK716" s="1123"/>
      <c r="CL716" s="1123"/>
      <c r="CM716" s="1123"/>
      <c r="CN716" s="1123"/>
      <c r="CO716" s="1123"/>
      <c r="CP716" s="1123"/>
      <c r="CQ716" s="1123"/>
      <c r="CR716" s="1123"/>
      <c r="CS716" s="1123"/>
      <c r="CT716" s="1123"/>
      <c r="CU716" s="1123"/>
      <c r="CV716" s="1123"/>
      <c r="CW716" s="1123"/>
      <c r="CX716" s="1123"/>
      <c r="CY716" s="1123"/>
      <c r="CZ716" s="1114"/>
      <c r="DA716" s="1114"/>
      <c r="DB716" s="1114"/>
      <c r="DC716" s="1114"/>
      <c r="DD716" s="1114"/>
      <c r="DE716" s="1114"/>
      <c r="DF716" s="1114"/>
      <c r="DG716" s="1114"/>
      <c r="DH716" s="1114"/>
      <c r="DI716" s="1114"/>
      <c r="DJ716" s="1114"/>
      <c r="DK716" s="1114"/>
      <c r="DL716" s="1114"/>
      <c r="DM716" s="1114"/>
      <c r="DN716" s="1114"/>
      <c r="DO716" s="1114"/>
      <c r="DP716" s="1114"/>
      <c r="DQ716" s="1114"/>
      <c r="DR716" s="1114"/>
      <c r="DS716" s="1114"/>
      <c r="DT716" s="1114"/>
      <c r="DU716" s="1114"/>
      <c r="DV716" s="1115"/>
      <c r="DW716" s="1116"/>
      <c r="DX716" s="1116"/>
      <c r="DY716" s="1116"/>
      <c r="DZ716" s="1116"/>
      <c r="EA716" s="1116"/>
      <c r="EB716" s="1116"/>
      <c r="EC716" s="1116"/>
      <c r="ED716" s="1116"/>
      <c r="EE716" s="1116"/>
      <c r="EF716" s="1116"/>
      <c r="EG716" s="1116"/>
      <c r="EH716" s="1116"/>
      <c r="EI716" s="1116"/>
      <c r="EJ716" s="1116"/>
      <c r="EK716" s="1116"/>
      <c r="EL716" s="1116"/>
      <c r="EM716" s="1116"/>
      <c r="EN716" s="1116"/>
      <c r="EO716" s="1116"/>
      <c r="EP716" s="1116"/>
      <c r="EQ716" s="1116"/>
      <c r="ER716" s="1116"/>
      <c r="ES716" s="1116"/>
    </row>
    <row r="717" spans="1:149" ht="15" customHeight="1">
      <c r="A717" s="1185">
        <v>707</v>
      </c>
      <c r="B717" s="1041"/>
      <c r="C717" s="1050"/>
      <c r="D717" s="1050"/>
      <c r="E717" s="1050"/>
      <c r="F717" s="1049"/>
      <c r="G717" s="1049"/>
      <c r="H717" s="1049"/>
      <c r="I717" s="1049"/>
      <c r="J717" s="1050"/>
      <c r="K717" s="1050"/>
      <c r="L717" s="1043"/>
      <c r="M717" s="1051"/>
      <c r="N717" s="1051"/>
      <c r="O717" s="1052"/>
      <c r="P717" s="1051"/>
      <c r="Q717" s="1051"/>
      <c r="R717" s="1052"/>
      <c r="S717" s="1051"/>
      <c r="T717" s="1051"/>
      <c r="U717" s="1052"/>
      <c r="V717" s="1051"/>
      <c r="W717" s="1051"/>
      <c r="X717" s="1052"/>
      <c r="Y717" s="1053"/>
      <c r="Z717" s="1051"/>
      <c r="AA717" s="1051"/>
      <c r="AB717" s="1052"/>
      <c r="AC717" s="1051"/>
      <c r="AD717" s="1051"/>
      <c r="AE717" s="1052"/>
      <c r="AF717" s="1051"/>
      <c r="AG717" s="1051"/>
      <c r="AH717" s="1051"/>
      <c r="AI717" s="1051"/>
      <c r="AJ717" s="1052"/>
      <c r="AK717" s="1051"/>
      <c r="AL717" s="1051"/>
      <c r="AM717" s="1052"/>
      <c r="AN717" s="1051"/>
      <c r="AO717" s="1051"/>
      <c r="AP717" s="1052"/>
      <c r="AQ717" s="1051"/>
      <c r="AR717" s="1051"/>
      <c r="AS717" s="1052"/>
      <c r="AT717" s="1051"/>
      <c r="AU717" s="1051"/>
      <c r="AV717" s="1052"/>
      <c r="AW717" s="1051"/>
      <c r="AX717" s="1051"/>
      <c r="AY717" s="1053"/>
      <c r="AZ717" s="1051"/>
      <c r="BA717" s="1051"/>
      <c r="BB717" s="1053"/>
      <c r="BC717" s="1051"/>
      <c r="BD717" s="1051"/>
      <c r="BE717" s="1053"/>
      <c r="BF717" s="1051"/>
      <c r="BG717" s="1051"/>
      <c r="BH717" s="1053"/>
      <c r="BI717" s="1052"/>
      <c r="BJ717" s="1052"/>
      <c r="BK717" s="1052"/>
      <c r="BL717" s="1052"/>
      <c r="BM717" s="1052"/>
      <c r="BN717" s="1054"/>
      <c r="BO717" s="1076">
        <f t="shared" si="12"/>
        <v>0</v>
      </c>
      <c r="BP717" s="1051"/>
      <c r="BQ717" s="1052"/>
      <c r="BR717" s="1054"/>
      <c r="BS717" s="1053"/>
      <c r="BT717" s="1051"/>
      <c r="BU717" s="1051"/>
      <c r="BV717" s="1051"/>
      <c r="BW717" s="1052"/>
      <c r="BX717" s="1052"/>
      <c r="BY717" s="1052"/>
      <c r="BZ717" s="1052"/>
      <c r="CA717" s="1052"/>
      <c r="CB717" s="1053"/>
      <c r="CC717" s="1053"/>
      <c r="CD717" s="1053"/>
      <c r="CE717" s="1053"/>
      <c r="CF717" s="1053"/>
      <c r="CG717" s="1053"/>
      <c r="CH717" s="1053"/>
      <c r="CI717" s="1123"/>
      <c r="CJ717" s="1123"/>
      <c r="CK717" s="1123"/>
      <c r="CL717" s="1123"/>
      <c r="CM717" s="1123"/>
      <c r="CN717" s="1123"/>
      <c r="CO717" s="1123"/>
      <c r="CP717" s="1123"/>
      <c r="CQ717" s="1123"/>
      <c r="CR717" s="1123"/>
      <c r="CS717" s="1123"/>
      <c r="CT717" s="1123"/>
      <c r="CU717" s="1123"/>
      <c r="CV717" s="1123"/>
      <c r="CW717" s="1123"/>
      <c r="CX717" s="1123"/>
      <c r="CY717" s="1123"/>
      <c r="CZ717" s="1114"/>
      <c r="DA717" s="1114"/>
      <c r="DB717" s="1114"/>
      <c r="DC717" s="1114"/>
      <c r="DD717" s="1114"/>
      <c r="DE717" s="1114"/>
      <c r="DF717" s="1114"/>
      <c r="DG717" s="1114"/>
      <c r="DH717" s="1114"/>
      <c r="DI717" s="1114"/>
      <c r="DJ717" s="1114"/>
      <c r="DK717" s="1114"/>
      <c r="DL717" s="1114"/>
      <c r="DM717" s="1114"/>
      <c r="DN717" s="1114"/>
      <c r="DO717" s="1114"/>
      <c r="DP717" s="1114"/>
      <c r="DQ717" s="1114"/>
      <c r="DR717" s="1114"/>
      <c r="DS717" s="1114"/>
      <c r="DT717" s="1114"/>
      <c r="DU717" s="1114"/>
      <c r="DV717" s="1115"/>
      <c r="DW717" s="1116"/>
      <c r="DX717" s="1116"/>
      <c r="DY717" s="1116"/>
      <c r="DZ717" s="1116"/>
      <c r="EA717" s="1116"/>
      <c r="EB717" s="1116"/>
      <c r="EC717" s="1116"/>
      <c r="ED717" s="1116"/>
      <c r="EE717" s="1116"/>
      <c r="EF717" s="1116"/>
      <c r="EG717" s="1116"/>
      <c r="EH717" s="1116"/>
      <c r="EI717" s="1116"/>
      <c r="EJ717" s="1116"/>
      <c r="EK717" s="1116"/>
      <c r="EL717" s="1116"/>
      <c r="EM717" s="1116"/>
      <c r="EN717" s="1116"/>
      <c r="EO717" s="1116"/>
      <c r="EP717" s="1116"/>
      <c r="EQ717" s="1116"/>
      <c r="ER717" s="1116"/>
      <c r="ES717" s="1116"/>
    </row>
    <row r="718" spans="1:149" ht="15" customHeight="1">
      <c r="A718" s="1185">
        <v>708</v>
      </c>
      <c r="B718" s="1041"/>
      <c r="C718" s="1050"/>
      <c r="D718" s="1050"/>
      <c r="E718" s="1050"/>
      <c r="F718" s="1049"/>
      <c r="G718" s="1049"/>
      <c r="H718" s="1049"/>
      <c r="I718" s="1049"/>
      <c r="J718" s="1050"/>
      <c r="K718" s="1050"/>
      <c r="L718" s="1043"/>
      <c r="M718" s="1051"/>
      <c r="N718" s="1051"/>
      <c r="O718" s="1052"/>
      <c r="P718" s="1051"/>
      <c r="Q718" s="1051"/>
      <c r="R718" s="1052"/>
      <c r="S718" s="1051"/>
      <c r="T718" s="1051"/>
      <c r="U718" s="1052"/>
      <c r="V718" s="1051"/>
      <c r="W718" s="1051"/>
      <c r="X718" s="1052"/>
      <c r="Y718" s="1053"/>
      <c r="Z718" s="1051"/>
      <c r="AA718" s="1051"/>
      <c r="AB718" s="1052"/>
      <c r="AC718" s="1051"/>
      <c r="AD718" s="1051"/>
      <c r="AE718" s="1052"/>
      <c r="AF718" s="1051"/>
      <c r="AG718" s="1051"/>
      <c r="AH718" s="1051"/>
      <c r="AI718" s="1051"/>
      <c r="AJ718" s="1052"/>
      <c r="AK718" s="1051"/>
      <c r="AL718" s="1051"/>
      <c r="AM718" s="1052"/>
      <c r="AN718" s="1051"/>
      <c r="AO718" s="1051"/>
      <c r="AP718" s="1052"/>
      <c r="AQ718" s="1051"/>
      <c r="AR718" s="1051"/>
      <c r="AS718" s="1052"/>
      <c r="AT718" s="1051"/>
      <c r="AU718" s="1051"/>
      <c r="AV718" s="1052"/>
      <c r="AW718" s="1051"/>
      <c r="AX718" s="1051"/>
      <c r="AY718" s="1053"/>
      <c r="AZ718" s="1051"/>
      <c r="BA718" s="1051"/>
      <c r="BB718" s="1053"/>
      <c r="BC718" s="1051"/>
      <c r="BD718" s="1051"/>
      <c r="BE718" s="1053"/>
      <c r="BF718" s="1051"/>
      <c r="BG718" s="1051"/>
      <c r="BH718" s="1053"/>
      <c r="BI718" s="1052"/>
      <c r="BJ718" s="1052"/>
      <c r="BK718" s="1052"/>
      <c r="BL718" s="1052"/>
      <c r="BM718" s="1052"/>
      <c r="BN718" s="1054"/>
      <c r="BO718" s="1076">
        <f t="shared" si="12"/>
        <v>0</v>
      </c>
      <c r="BP718" s="1051"/>
      <c r="BQ718" s="1052"/>
      <c r="BR718" s="1054"/>
      <c r="BS718" s="1053"/>
      <c r="BT718" s="1051"/>
      <c r="BU718" s="1051"/>
      <c r="BV718" s="1051"/>
      <c r="BW718" s="1052"/>
      <c r="BX718" s="1052"/>
      <c r="BY718" s="1052"/>
      <c r="BZ718" s="1052"/>
      <c r="CA718" s="1052"/>
      <c r="CB718" s="1053"/>
      <c r="CC718" s="1053"/>
      <c r="CD718" s="1053"/>
      <c r="CE718" s="1053"/>
      <c r="CF718" s="1053"/>
      <c r="CG718" s="1053"/>
      <c r="CH718" s="1053"/>
      <c r="CI718" s="1123"/>
      <c r="CJ718" s="1123"/>
      <c r="CK718" s="1123"/>
      <c r="CL718" s="1123"/>
      <c r="CM718" s="1123"/>
      <c r="CN718" s="1123"/>
      <c r="CO718" s="1123"/>
      <c r="CP718" s="1123"/>
      <c r="CQ718" s="1123"/>
      <c r="CR718" s="1123"/>
      <c r="CS718" s="1123"/>
      <c r="CT718" s="1123"/>
      <c r="CU718" s="1123"/>
      <c r="CV718" s="1123"/>
      <c r="CW718" s="1123"/>
      <c r="CX718" s="1123"/>
      <c r="CY718" s="1123"/>
      <c r="CZ718" s="1114"/>
      <c r="DA718" s="1114"/>
      <c r="DB718" s="1114"/>
      <c r="DC718" s="1114"/>
      <c r="DD718" s="1114"/>
      <c r="DE718" s="1114"/>
      <c r="DF718" s="1114"/>
      <c r="DG718" s="1114"/>
      <c r="DH718" s="1114"/>
      <c r="DI718" s="1114"/>
      <c r="DJ718" s="1114"/>
      <c r="DK718" s="1114"/>
      <c r="DL718" s="1114"/>
      <c r="DM718" s="1114"/>
      <c r="DN718" s="1114"/>
      <c r="DO718" s="1114"/>
      <c r="DP718" s="1114"/>
      <c r="DQ718" s="1114"/>
      <c r="DR718" s="1114"/>
      <c r="DS718" s="1114"/>
      <c r="DT718" s="1114"/>
      <c r="DU718" s="1114"/>
      <c r="DV718" s="1115"/>
      <c r="DW718" s="1116"/>
      <c r="DX718" s="1116"/>
      <c r="DY718" s="1116"/>
      <c r="DZ718" s="1116"/>
      <c r="EA718" s="1116"/>
      <c r="EB718" s="1116"/>
      <c r="EC718" s="1116"/>
      <c r="ED718" s="1116"/>
      <c r="EE718" s="1116"/>
      <c r="EF718" s="1116"/>
      <c r="EG718" s="1116"/>
      <c r="EH718" s="1116"/>
      <c r="EI718" s="1116"/>
      <c r="EJ718" s="1116"/>
      <c r="EK718" s="1116"/>
      <c r="EL718" s="1116"/>
      <c r="EM718" s="1116"/>
      <c r="EN718" s="1116"/>
      <c r="EO718" s="1116"/>
      <c r="EP718" s="1116"/>
      <c r="EQ718" s="1116"/>
      <c r="ER718" s="1116"/>
      <c r="ES718" s="1116"/>
    </row>
    <row r="719" spans="1:149" ht="15" customHeight="1">
      <c r="A719" s="1185">
        <v>709</v>
      </c>
      <c r="B719" s="1041"/>
      <c r="C719" s="1050"/>
      <c r="D719" s="1050"/>
      <c r="E719" s="1050"/>
      <c r="F719" s="1049"/>
      <c r="G719" s="1049"/>
      <c r="H719" s="1049"/>
      <c r="I719" s="1049"/>
      <c r="J719" s="1050"/>
      <c r="K719" s="1050"/>
      <c r="L719" s="1043"/>
      <c r="M719" s="1051"/>
      <c r="N719" s="1051"/>
      <c r="O719" s="1052"/>
      <c r="P719" s="1051"/>
      <c r="Q719" s="1051"/>
      <c r="R719" s="1052"/>
      <c r="S719" s="1051"/>
      <c r="T719" s="1051"/>
      <c r="U719" s="1052"/>
      <c r="V719" s="1051"/>
      <c r="W719" s="1051"/>
      <c r="X719" s="1052"/>
      <c r="Y719" s="1053"/>
      <c r="Z719" s="1051"/>
      <c r="AA719" s="1051"/>
      <c r="AB719" s="1052"/>
      <c r="AC719" s="1051"/>
      <c r="AD719" s="1051"/>
      <c r="AE719" s="1052"/>
      <c r="AF719" s="1051"/>
      <c r="AG719" s="1051"/>
      <c r="AH719" s="1051"/>
      <c r="AI719" s="1051"/>
      <c r="AJ719" s="1052"/>
      <c r="AK719" s="1051"/>
      <c r="AL719" s="1051"/>
      <c r="AM719" s="1052"/>
      <c r="AN719" s="1051"/>
      <c r="AO719" s="1051"/>
      <c r="AP719" s="1052"/>
      <c r="AQ719" s="1051"/>
      <c r="AR719" s="1051"/>
      <c r="AS719" s="1052"/>
      <c r="AT719" s="1051"/>
      <c r="AU719" s="1051"/>
      <c r="AV719" s="1052"/>
      <c r="AW719" s="1051"/>
      <c r="AX719" s="1051"/>
      <c r="AY719" s="1053"/>
      <c r="AZ719" s="1051"/>
      <c r="BA719" s="1051"/>
      <c r="BB719" s="1053"/>
      <c r="BC719" s="1051"/>
      <c r="BD719" s="1051"/>
      <c r="BE719" s="1053"/>
      <c r="BF719" s="1051"/>
      <c r="BG719" s="1051"/>
      <c r="BH719" s="1053"/>
      <c r="BI719" s="1052"/>
      <c r="BJ719" s="1052"/>
      <c r="BK719" s="1052"/>
      <c r="BL719" s="1052"/>
      <c r="BM719" s="1052"/>
      <c r="BN719" s="1054"/>
      <c r="BO719" s="1076">
        <f t="shared" si="12"/>
        <v>0</v>
      </c>
      <c r="BP719" s="1051"/>
      <c r="BQ719" s="1052"/>
      <c r="BR719" s="1054"/>
      <c r="BS719" s="1053"/>
      <c r="BT719" s="1051"/>
      <c r="BU719" s="1051"/>
      <c r="BV719" s="1051"/>
      <c r="BW719" s="1052"/>
      <c r="BX719" s="1052"/>
      <c r="BY719" s="1052"/>
      <c r="BZ719" s="1052"/>
      <c r="CA719" s="1052"/>
      <c r="CB719" s="1053"/>
      <c r="CC719" s="1053"/>
      <c r="CD719" s="1053"/>
      <c r="CE719" s="1053"/>
      <c r="CF719" s="1053"/>
      <c r="CG719" s="1053"/>
      <c r="CH719" s="1053"/>
      <c r="CI719" s="1123"/>
      <c r="CJ719" s="1123"/>
      <c r="CK719" s="1123"/>
      <c r="CL719" s="1123"/>
      <c r="CM719" s="1123"/>
      <c r="CN719" s="1123"/>
      <c r="CO719" s="1123"/>
      <c r="CP719" s="1123"/>
      <c r="CQ719" s="1123"/>
      <c r="CR719" s="1123"/>
      <c r="CS719" s="1123"/>
      <c r="CT719" s="1123"/>
      <c r="CU719" s="1123"/>
      <c r="CV719" s="1123"/>
      <c r="CW719" s="1123"/>
      <c r="CX719" s="1123"/>
      <c r="CY719" s="1123"/>
      <c r="CZ719" s="1114"/>
      <c r="DA719" s="1114"/>
      <c r="DB719" s="1114"/>
      <c r="DC719" s="1114"/>
      <c r="DD719" s="1114"/>
      <c r="DE719" s="1114"/>
      <c r="DF719" s="1114"/>
      <c r="DG719" s="1114"/>
      <c r="DH719" s="1114"/>
      <c r="DI719" s="1114"/>
      <c r="DJ719" s="1114"/>
      <c r="DK719" s="1114"/>
      <c r="DL719" s="1114"/>
      <c r="DM719" s="1114"/>
      <c r="DN719" s="1114"/>
      <c r="DO719" s="1114"/>
      <c r="DP719" s="1114"/>
      <c r="DQ719" s="1114"/>
      <c r="DR719" s="1114"/>
      <c r="DS719" s="1114"/>
      <c r="DT719" s="1114"/>
      <c r="DU719" s="1114"/>
      <c r="DV719" s="1115"/>
      <c r="DW719" s="1116"/>
      <c r="DX719" s="1116"/>
      <c r="DY719" s="1116"/>
      <c r="DZ719" s="1116"/>
      <c r="EA719" s="1116"/>
      <c r="EB719" s="1116"/>
      <c r="EC719" s="1116"/>
      <c r="ED719" s="1116"/>
      <c r="EE719" s="1116"/>
      <c r="EF719" s="1116"/>
      <c r="EG719" s="1116"/>
      <c r="EH719" s="1116"/>
      <c r="EI719" s="1116"/>
      <c r="EJ719" s="1116"/>
      <c r="EK719" s="1116"/>
      <c r="EL719" s="1116"/>
      <c r="EM719" s="1116"/>
      <c r="EN719" s="1116"/>
      <c r="EO719" s="1116"/>
      <c r="EP719" s="1116"/>
      <c r="EQ719" s="1116"/>
      <c r="ER719" s="1116"/>
      <c r="ES719" s="1116"/>
    </row>
    <row r="720" spans="1:149" ht="15" customHeight="1">
      <c r="A720" s="1185">
        <v>710</v>
      </c>
      <c r="B720" s="1041"/>
      <c r="C720" s="1050"/>
      <c r="D720" s="1050"/>
      <c r="E720" s="1050"/>
      <c r="F720" s="1049"/>
      <c r="G720" s="1049"/>
      <c r="H720" s="1049"/>
      <c r="I720" s="1049"/>
      <c r="J720" s="1050"/>
      <c r="K720" s="1050"/>
      <c r="L720" s="1043"/>
      <c r="M720" s="1051"/>
      <c r="N720" s="1051"/>
      <c r="O720" s="1052"/>
      <c r="P720" s="1051"/>
      <c r="Q720" s="1051"/>
      <c r="R720" s="1052"/>
      <c r="S720" s="1051"/>
      <c r="T720" s="1051"/>
      <c r="U720" s="1052"/>
      <c r="V720" s="1051"/>
      <c r="W720" s="1051"/>
      <c r="X720" s="1052"/>
      <c r="Y720" s="1053"/>
      <c r="Z720" s="1051"/>
      <c r="AA720" s="1051"/>
      <c r="AB720" s="1052"/>
      <c r="AC720" s="1051"/>
      <c r="AD720" s="1051"/>
      <c r="AE720" s="1052"/>
      <c r="AF720" s="1051"/>
      <c r="AG720" s="1051"/>
      <c r="AH720" s="1051"/>
      <c r="AI720" s="1051"/>
      <c r="AJ720" s="1052"/>
      <c r="AK720" s="1051"/>
      <c r="AL720" s="1051"/>
      <c r="AM720" s="1052"/>
      <c r="AN720" s="1051"/>
      <c r="AO720" s="1051"/>
      <c r="AP720" s="1052"/>
      <c r="AQ720" s="1051"/>
      <c r="AR720" s="1051"/>
      <c r="AS720" s="1052"/>
      <c r="AT720" s="1051"/>
      <c r="AU720" s="1051"/>
      <c r="AV720" s="1052"/>
      <c r="AW720" s="1051"/>
      <c r="AX720" s="1051"/>
      <c r="AY720" s="1053"/>
      <c r="AZ720" s="1051"/>
      <c r="BA720" s="1051"/>
      <c r="BB720" s="1053"/>
      <c r="BC720" s="1051"/>
      <c r="BD720" s="1051"/>
      <c r="BE720" s="1053"/>
      <c r="BF720" s="1051"/>
      <c r="BG720" s="1051"/>
      <c r="BH720" s="1053"/>
      <c r="BI720" s="1052"/>
      <c r="BJ720" s="1052"/>
      <c r="BK720" s="1052"/>
      <c r="BL720" s="1052"/>
      <c r="BM720" s="1052"/>
      <c r="BN720" s="1054"/>
      <c r="BO720" s="1076">
        <f t="shared" si="12"/>
        <v>0</v>
      </c>
      <c r="BP720" s="1051"/>
      <c r="BQ720" s="1052"/>
      <c r="BR720" s="1054"/>
      <c r="BS720" s="1053"/>
      <c r="BT720" s="1051"/>
      <c r="BU720" s="1051"/>
      <c r="BV720" s="1051"/>
      <c r="BW720" s="1052"/>
      <c r="BX720" s="1052"/>
      <c r="BY720" s="1052"/>
      <c r="BZ720" s="1052"/>
      <c r="CA720" s="1052"/>
      <c r="CB720" s="1053"/>
      <c r="CC720" s="1053"/>
      <c r="CD720" s="1053"/>
      <c r="CE720" s="1053"/>
      <c r="CF720" s="1053"/>
      <c r="CG720" s="1053"/>
      <c r="CH720" s="1053"/>
      <c r="CI720" s="1123"/>
      <c r="CJ720" s="1123"/>
      <c r="CK720" s="1123"/>
      <c r="CL720" s="1123"/>
      <c r="CM720" s="1123"/>
      <c r="CN720" s="1123"/>
      <c r="CO720" s="1123"/>
      <c r="CP720" s="1123"/>
      <c r="CQ720" s="1123"/>
      <c r="CR720" s="1123"/>
      <c r="CS720" s="1123"/>
      <c r="CT720" s="1123"/>
      <c r="CU720" s="1123"/>
      <c r="CV720" s="1123"/>
      <c r="CW720" s="1123"/>
      <c r="CX720" s="1123"/>
      <c r="CY720" s="1123"/>
      <c r="CZ720" s="1114"/>
      <c r="DA720" s="1114"/>
      <c r="DB720" s="1114"/>
      <c r="DC720" s="1114"/>
      <c r="DD720" s="1114"/>
      <c r="DE720" s="1114"/>
      <c r="DF720" s="1114"/>
      <c r="DG720" s="1114"/>
      <c r="DH720" s="1114"/>
      <c r="DI720" s="1114"/>
      <c r="DJ720" s="1114"/>
      <c r="DK720" s="1114"/>
      <c r="DL720" s="1114"/>
      <c r="DM720" s="1114"/>
      <c r="DN720" s="1114"/>
      <c r="DO720" s="1114"/>
      <c r="DP720" s="1114"/>
      <c r="DQ720" s="1114"/>
      <c r="DR720" s="1114"/>
      <c r="DS720" s="1114"/>
      <c r="DT720" s="1114"/>
      <c r="DU720" s="1114"/>
      <c r="DV720" s="1115"/>
      <c r="DW720" s="1116"/>
      <c r="DX720" s="1116"/>
      <c r="DY720" s="1116"/>
      <c r="DZ720" s="1116"/>
      <c r="EA720" s="1116"/>
      <c r="EB720" s="1116"/>
      <c r="EC720" s="1116"/>
      <c r="ED720" s="1116"/>
      <c r="EE720" s="1116"/>
      <c r="EF720" s="1116"/>
      <c r="EG720" s="1116"/>
      <c r="EH720" s="1116"/>
      <c r="EI720" s="1116"/>
      <c r="EJ720" s="1116"/>
      <c r="EK720" s="1116"/>
      <c r="EL720" s="1116"/>
      <c r="EM720" s="1116"/>
      <c r="EN720" s="1116"/>
      <c r="EO720" s="1116"/>
      <c r="EP720" s="1116"/>
      <c r="EQ720" s="1116"/>
      <c r="ER720" s="1116"/>
      <c r="ES720" s="1116"/>
    </row>
    <row r="721" spans="1:149" ht="15" customHeight="1">
      <c r="A721" s="1185">
        <v>711</v>
      </c>
      <c r="B721" s="1041"/>
      <c r="C721" s="1050"/>
      <c r="D721" s="1050"/>
      <c r="E721" s="1050"/>
      <c r="F721" s="1049"/>
      <c r="G721" s="1049"/>
      <c r="H721" s="1049"/>
      <c r="I721" s="1049"/>
      <c r="J721" s="1050"/>
      <c r="K721" s="1050"/>
      <c r="L721" s="1043"/>
      <c r="M721" s="1051"/>
      <c r="N721" s="1051"/>
      <c r="O721" s="1052"/>
      <c r="P721" s="1051"/>
      <c r="Q721" s="1051"/>
      <c r="R721" s="1052"/>
      <c r="S721" s="1051"/>
      <c r="T721" s="1051"/>
      <c r="U721" s="1052"/>
      <c r="V721" s="1051"/>
      <c r="W721" s="1051"/>
      <c r="X721" s="1052"/>
      <c r="Y721" s="1053"/>
      <c r="Z721" s="1051"/>
      <c r="AA721" s="1051"/>
      <c r="AB721" s="1052"/>
      <c r="AC721" s="1051"/>
      <c r="AD721" s="1051"/>
      <c r="AE721" s="1052"/>
      <c r="AF721" s="1051"/>
      <c r="AG721" s="1051"/>
      <c r="AH721" s="1051"/>
      <c r="AI721" s="1051"/>
      <c r="AJ721" s="1052"/>
      <c r="AK721" s="1051"/>
      <c r="AL721" s="1051"/>
      <c r="AM721" s="1052"/>
      <c r="AN721" s="1051"/>
      <c r="AO721" s="1051"/>
      <c r="AP721" s="1052"/>
      <c r="AQ721" s="1051"/>
      <c r="AR721" s="1051"/>
      <c r="AS721" s="1052"/>
      <c r="AT721" s="1051"/>
      <c r="AU721" s="1051"/>
      <c r="AV721" s="1052"/>
      <c r="AW721" s="1051"/>
      <c r="AX721" s="1051"/>
      <c r="AY721" s="1053"/>
      <c r="AZ721" s="1051"/>
      <c r="BA721" s="1051"/>
      <c r="BB721" s="1053"/>
      <c r="BC721" s="1051"/>
      <c r="BD721" s="1051"/>
      <c r="BE721" s="1053"/>
      <c r="BF721" s="1051"/>
      <c r="BG721" s="1051"/>
      <c r="BH721" s="1053"/>
      <c r="BI721" s="1052"/>
      <c r="BJ721" s="1052"/>
      <c r="BK721" s="1052"/>
      <c r="BL721" s="1052"/>
      <c r="BM721" s="1052"/>
      <c r="BN721" s="1054"/>
      <c r="BO721" s="1076">
        <f t="shared" si="12"/>
        <v>0</v>
      </c>
      <c r="BP721" s="1051"/>
      <c r="BQ721" s="1052"/>
      <c r="BR721" s="1054"/>
      <c r="BS721" s="1053"/>
      <c r="BT721" s="1051"/>
      <c r="BU721" s="1051"/>
      <c r="BV721" s="1051"/>
      <c r="BW721" s="1052"/>
      <c r="BX721" s="1052"/>
      <c r="BY721" s="1052"/>
      <c r="BZ721" s="1052"/>
      <c r="CA721" s="1052"/>
      <c r="CB721" s="1053"/>
      <c r="CC721" s="1053"/>
      <c r="CD721" s="1053"/>
      <c r="CE721" s="1053"/>
      <c r="CF721" s="1053"/>
      <c r="CG721" s="1053"/>
      <c r="CH721" s="1053"/>
      <c r="CI721" s="1123"/>
      <c r="CJ721" s="1123"/>
      <c r="CK721" s="1123"/>
      <c r="CL721" s="1123"/>
      <c r="CM721" s="1123"/>
      <c r="CN721" s="1123"/>
      <c r="CO721" s="1123"/>
      <c r="CP721" s="1123"/>
      <c r="CQ721" s="1123"/>
      <c r="CR721" s="1123"/>
      <c r="CS721" s="1123"/>
      <c r="CT721" s="1123"/>
      <c r="CU721" s="1123"/>
      <c r="CV721" s="1123"/>
      <c r="CW721" s="1123"/>
      <c r="CX721" s="1123"/>
      <c r="CY721" s="1123"/>
      <c r="CZ721" s="1114"/>
      <c r="DA721" s="1114"/>
      <c r="DB721" s="1114"/>
      <c r="DC721" s="1114"/>
      <c r="DD721" s="1114"/>
      <c r="DE721" s="1114"/>
      <c r="DF721" s="1114"/>
      <c r="DG721" s="1114"/>
      <c r="DH721" s="1114"/>
      <c r="DI721" s="1114"/>
      <c r="DJ721" s="1114"/>
      <c r="DK721" s="1114"/>
      <c r="DL721" s="1114"/>
      <c r="DM721" s="1114"/>
      <c r="DN721" s="1114"/>
      <c r="DO721" s="1114"/>
      <c r="DP721" s="1114"/>
      <c r="DQ721" s="1114"/>
      <c r="DR721" s="1114"/>
      <c r="DS721" s="1114"/>
      <c r="DT721" s="1114"/>
      <c r="DU721" s="1114"/>
      <c r="DV721" s="1115"/>
      <c r="DW721" s="1116"/>
      <c r="DX721" s="1116"/>
      <c r="DY721" s="1116"/>
      <c r="DZ721" s="1116"/>
      <c r="EA721" s="1116"/>
      <c r="EB721" s="1116"/>
      <c r="EC721" s="1116"/>
      <c r="ED721" s="1116"/>
      <c r="EE721" s="1116"/>
      <c r="EF721" s="1116"/>
      <c r="EG721" s="1116"/>
      <c r="EH721" s="1116"/>
      <c r="EI721" s="1116"/>
      <c r="EJ721" s="1116"/>
      <c r="EK721" s="1116"/>
      <c r="EL721" s="1116"/>
      <c r="EM721" s="1116"/>
      <c r="EN721" s="1116"/>
      <c r="EO721" s="1116"/>
      <c r="EP721" s="1116"/>
      <c r="EQ721" s="1116"/>
      <c r="ER721" s="1116"/>
      <c r="ES721" s="1116"/>
    </row>
    <row r="722" spans="1:149" ht="15" customHeight="1">
      <c r="A722" s="1185">
        <v>712</v>
      </c>
      <c r="B722" s="1041"/>
      <c r="C722" s="1050"/>
      <c r="D722" s="1050"/>
      <c r="E722" s="1050"/>
      <c r="F722" s="1049"/>
      <c r="G722" s="1049"/>
      <c r="H722" s="1049"/>
      <c r="I722" s="1049"/>
      <c r="J722" s="1050"/>
      <c r="K722" s="1050"/>
      <c r="L722" s="1043"/>
      <c r="M722" s="1051"/>
      <c r="N722" s="1051"/>
      <c r="O722" s="1052"/>
      <c r="P722" s="1051"/>
      <c r="Q722" s="1051"/>
      <c r="R722" s="1052"/>
      <c r="S722" s="1051"/>
      <c r="T722" s="1051"/>
      <c r="U722" s="1052"/>
      <c r="V722" s="1051"/>
      <c r="W722" s="1051"/>
      <c r="X722" s="1052"/>
      <c r="Y722" s="1053"/>
      <c r="Z722" s="1051"/>
      <c r="AA722" s="1051"/>
      <c r="AB722" s="1052"/>
      <c r="AC722" s="1051"/>
      <c r="AD722" s="1051"/>
      <c r="AE722" s="1052"/>
      <c r="AF722" s="1051"/>
      <c r="AG722" s="1051"/>
      <c r="AH722" s="1051"/>
      <c r="AI722" s="1051"/>
      <c r="AJ722" s="1052"/>
      <c r="AK722" s="1051"/>
      <c r="AL722" s="1051"/>
      <c r="AM722" s="1052"/>
      <c r="AN722" s="1051"/>
      <c r="AO722" s="1051"/>
      <c r="AP722" s="1052"/>
      <c r="AQ722" s="1051"/>
      <c r="AR722" s="1051"/>
      <c r="AS722" s="1052"/>
      <c r="AT722" s="1051"/>
      <c r="AU722" s="1051"/>
      <c r="AV722" s="1052"/>
      <c r="AW722" s="1051"/>
      <c r="AX722" s="1051"/>
      <c r="AY722" s="1053"/>
      <c r="AZ722" s="1051"/>
      <c r="BA722" s="1051"/>
      <c r="BB722" s="1053"/>
      <c r="BC722" s="1051"/>
      <c r="BD722" s="1051"/>
      <c r="BE722" s="1053"/>
      <c r="BF722" s="1051"/>
      <c r="BG722" s="1051"/>
      <c r="BH722" s="1053"/>
      <c r="BI722" s="1052"/>
      <c r="BJ722" s="1052"/>
      <c r="BK722" s="1052"/>
      <c r="BL722" s="1052"/>
      <c r="BM722" s="1052"/>
      <c r="BN722" s="1054"/>
      <c r="BO722" s="1076">
        <f t="shared" si="12"/>
        <v>0</v>
      </c>
      <c r="BP722" s="1051"/>
      <c r="BQ722" s="1052"/>
      <c r="BR722" s="1054"/>
      <c r="BS722" s="1053"/>
      <c r="BT722" s="1051"/>
      <c r="BU722" s="1051"/>
      <c r="BV722" s="1051"/>
      <c r="BW722" s="1052"/>
      <c r="BX722" s="1052"/>
      <c r="BY722" s="1052"/>
      <c r="BZ722" s="1052"/>
      <c r="CA722" s="1052"/>
      <c r="CB722" s="1053"/>
      <c r="CC722" s="1053"/>
      <c r="CD722" s="1053"/>
      <c r="CE722" s="1053"/>
      <c r="CF722" s="1053"/>
      <c r="CG722" s="1053"/>
      <c r="CH722" s="1053"/>
      <c r="CI722" s="1123"/>
      <c r="CJ722" s="1123"/>
      <c r="CK722" s="1123"/>
      <c r="CL722" s="1123"/>
      <c r="CM722" s="1123"/>
      <c r="CN722" s="1123"/>
      <c r="CO722" s="1123"/>
      <c r="CP722" s="1123"/>
      <c r="CQ722" s="1123"/>
      <c r="CR722" s="1123"/>
      <c r="CS722" s="1123"/>
      <c r="CT722" s="1123"/>
      <c r="CU722" s="1123"/>
      <c r="CV722" s="1123"/>
      <c r="CW722" s="1123"/>
      <c r="CX722" s="1123"/>
      <c r="CY722" s="1123"/>
      <c r="CZ722" s="1114"/>
      <c r="DA722" s="1114"/>
      <c r="DB722" s="1114"/>
      <c r="DC722" s="1114"/>
      <c r="DD722" s="1114"/>
      <c r="DE722" s="1114"/>
      <c r="DF722" s="1114"/>
      <c r="DG722" s="1114"/>
      <c r="DH722" s="1114"/>
      <c r="DI722" s="1114"/>
      <c r="DJ722" s="1114"/>
      <c r="DK722" s="1114"/>
      <c r="DL722" s="1114"/>
      <c r="DM722" s="1114"/>
      <c r="DN722" s="1114"/>
      <c r="DO722" s="1114"/>
      <c r="DP722" s="1114"/>
      <c r="DQ722" s="1114"/>
      <c r="DR722" s="1114"/>
      <c r="DS722" s="1114"/>
      <c r="DT722" s="1114"/>
      <c r="DU722" s="1114"/>
      <c r="DV722" s="1115"/>
      <c r="DW722" s="1116"/>
      <c r="DX722" s="1116"/>
      <c r="DY722" s="1116"/>
      <c r="DZ722" s="1116"/>
      <c r="EA722" s="1116"/>
      <c r="EB722" s="1116"/>
      <c r="EC722" s="1116"/>
      <c r="ED722" s="1116"/>
      <c r="EE722" s="1116"/>
      <c r="EF722" s="1116"/>
      <c r="EG722" s="1116"/>
      <c r="EH722" s="1116"/>
      <c r="EI722" s="1116"/>
      <c r="EJ722" s="1116"/>
      <c r="EK722" s="1116"/>
      <c r="EL722" s="1116"/>
      <c r="EM722" s="1116"/>
      <c r="EN722" s="1116"/>
      <c r="EO722" s="1116"/>
      <c r="EP722" s="1116"/>
      <c r="EQ722" s="1116"/>
      <c r="ER722" s="1116"/>
      <c r="ES722" s="1116"/>
    </row>
    <row r="723" spans="1:149" ht="15" customHeight="1">
      <c r="A723" s="1185">
        <v>713</v>
      </c>
      <c r="B723" s="1041"/>
      <c r="C723" s="1050"/>
      <c r="D723" s="1050"/>
      <c r="E723" s="1050"/>
      <c r="F723" s="1049"/>
      <c r="G723" s="1049"/>
      <c r="H723" s="1049"/>
      <c r="I723" s="1049"/>
      <c r="J723" s="1050"/>
      <c r="K723" s="1050"/>
      <c r="L723" s="1043"/>
      <c r="M723" s="1051"/>
      <c r="N723" s="1051"/>
      <c r="O723" s="1052"/>
      <c r="P723" s="1051"/>
      <c r="Q723" s="1051"/>
      <c r="R723" s="1052"/>
      <c r="S723" s="1051"/>
      <c r="T723" s="1051"/>
      <c r="U723" s="1052"/>
      <c r="V723" s="1051"/>
      <c r="W723" s="1051"/>
      <c r="X723" s="1052"/>
      <c r="Y723" s="1053"/>
      <c r="Z723" s="1051"/>
      <c r="AA723" s="1051"/>
      <c r="AB723" s="1052"/>
      <c r="AC723" s="1051"/>
      <c r="AD723" s="1051"/>
      <c r="AE723" s="1052"/>
      <c r="AF723" s="1051"/>
      <c r="AG723" s="1051"/>
      <c r="AH723" s="1051"/>
      <c r="AI723" s="1051"/>
      <c r="AJ723" s="1052"/>
      <c r="AK723" s="1051"/>
      <c r="AL723" s="1051"/>
      <c r="AM723" s="1052"/>
      <c r="AN723" s="1051"/>
      <c r="AO723" s="1051"/>
      <c r="AP723" s="1052"/>
      <c r="AQ723" s="1051"/>
      <c r="AR723" s="1051"/>
      <c r="AS723" s="1052"/>
      <c r="AT723" s="1051"/>
      <c r="AU723" s="1051"/>
      <c r="AV723" s="1052"/>
      <c r="AW723" s="1051"/>
      <c r="AX723" s="1051"/>
      <c r="AY723" s="1053"/>
      <c r="AZ723" s="1051"/>
      <c r="BA723" s="1051"/>
      <c r="BB723" s="1053"/>
      <c r="BC723" s="1051"/>
      <c r="BD723" s="1051"/>
      <c r="BE723" s="1053"/>
      <c r="BF723" s="1051"/>
      <c r="BG723" s="1051"/>
      <c r="BH723" s="1053"/>
      <c r="BI723" s="1052"/>
      <c r="BJ723" s="1052"/>
      <c r="BK723" s="1052"/>
      <c r="BL723" s="1052"/>
      <c r="BM723" s="1052"/>
      <c r="BN723" s="1054"/>
      <c r="BO723" s="1076">
        <f t="shared" si="12"/>
        <v>0</v>
      </c>
      <c r="BP723" s="1051"/>
      <c r="BQ723" s="1052"/>
      <c r="BR723" s="1054"/>
      <c r="BS723" s="1053"/>
      <c r="BT723" s="1051"/>
      <c r="BU723" s="1051"/>
      <c r="BV723" s="1051"/>
      <c r="BW723" s="1052"/>
      <c r="BX723" s="1052"/>
      <c r="BY723" s="1052"/>
      <c r="BZ723" s="1052"/>
      <c r="CA723" s="1052"/>
      <c r="CB723" s="1053"/>
      <c r="CC723" s="1053"/>
      <c r="CD723" s="1053"/>
      <c r="CE723" s="1053"/>
      <c r="CF723" s="1053"/>
      <c r="CG723" s="1053"/>
      <c r="CH723" s="1053"/>
      <c r="CI723" s="1123"/>
      <c r="CJ723" s="1123"/>
      <c r="CK723" s="1123"/>
      <c r="CL723" s="1123"/>
      <c r="CM723" s="1123"/>
      <c r="CN723" s="1123"/>
      <c r="CO723" s="1123"/>
      <c r="CP723" s="1123"/>
      <c r="CQ723" s="1123"/>
      <c r="CR723" s="1123"/>
      <c r="CS723" s="1123"/>
      <c r="CT723" s="1123"/>
      <c r="CU723" s="1123"/>
      <c r="CV723" s="1123"/>
      <c r="CW723" s="1123"/>
      <c r="CX723" s="1123"/>
      <c r="CY723" s="1123"/>
      <c r="CZ723" s="1114"/>
      <c r="DA723" s="1114"/>
      <c r="DB723" s="1114"/>
      <c r="DC723" s="1114"/>
      <c r="DD723" s="1114"/>
      <c r="DE723" s="1114"/>
      <c r="DF723" s="1114"/>
      <c r="DG723" s="1114"/>
      <c r="DH723" s="1114"/>
      <c r="DI723" s="1114"/>
      <c r="DJ723" s="1114"/>
      <c r="DK723" s="1114"/>
      <c r="DL723" s="1114"/>
      <c r="DM723" s="1114"/>
      <c r="DN723" s="1114"/>
      <c r="DO723" s="1114"/>
      <c r="DP723" s="1114"/>
      <c r="DQ723" s="1114"/>
      <c r="DR723" s="1114"/>
      <c r="DS723" s="1114"/>
      <c r="DT723" s="1114"/>
      <c r="DU723" s="1114"/>
      <c r="DV723" s="1115"/>
      <c r="DW723" s="1116"/>
      <c r="DX723" s="1116"/>
      <c r="DY723" s="1116"/>
      <c r="DZ723" s="1116"/>
      <c r="EA723" s="1116"/>
      <c r="EB723" s="1116"/>
      <c r="EC723" s="1116"/>
      <c r="ED723" s="1116"/>
      <c r="EE723" s="1116"/>
      <c r="EF723" s="1116"/>
      <c r="EG723" s="1116"/>
      <c r="EH723" s="1116"/>
      <c r="EI723" s="1116"/>
      <c r="EJ723" s="1116"/>
      <c r="EK723" s="1116"/>
      <c r="EL723" s="1116"/>
      <c r="EM723" s="1116"/>
      <c r="EN723" s="1116"/>
      <c r="EO723" s="1116"/>
      <c r="EP723" s="1116"/>
      <c r="EQ723" s="1116"/>
      <c r="ER723" s="1116"/>
      <c r="ES723" s="1116"/>
    </row>
    <row r="724" spans="1:149" ht="15" customHeight="1">
      <c r="A724" s="1185">
        <v>714</v>
      </c>
      <c r="B724" s="1041"/>
      <c r="C724" s="1050"/>
      <c r="D724" s="1050"/>
      <c r="E724" s="1050"/>
      <c r="F724" s="1049"/>
      <c r="G724" s="1049"/>
      <c r="H724" s="1049"/>
      <c r="I724" s="1049"/>
      <c r="J724" s="1050"/>
      <c r="K724" s="1050"/>
      <c r="L724" s="1043"/>
      <c r="M724" s="1051"/>
      <c r="N724" s="1051"/>
      <c r="O724" s="1052"/>
      <c r="P724" s="1051"/>
      <c r="Q724" s="1051"/>
      <c r="R724" s="1052"/>
      <c r="S724" s="1051"/>
      <c r="T724" s="1051"/>
      <c r="U724" s="1052"/>
      <c r="V724" s="1051"/>
      <c r="W724" s="1051"/>
      <c r="X724" s="1052"/>
      <c r="Y724" s="1053"/>
      <c r="Z724" s="1051"/>
      <c r="AA724" s="1051"/>
      <c r="AB724" s="1052"/>
      <c r="AC724" s="1051"/>
      <c r="AD724" s="1051"/>
      <c r="AE724" s="1052"/>
      <c r="AF724" s="1051"/>
      <c r="AG724" s="1051"/>
      <c r="AH724" s="1051"/>
      <c r="AI724" s="1051"/>
      <c r="AJ724" s="1052"/>
      <c r="AK724" s="1051"/>
      <c r="AL724" s="1051"/>
      <c r="AM724" s="1052"/>
      <c r="AN724" s="1051"/>
      <c r="AO724" s="1051"/>
      <c r="AP724" s="1052"/>
      <c r="AQ724" s="1051"/>
      <c r="AR724" s="1051"/>
      <c r="AS724" s="1052"/>
      <c r="AT724" s="1051"/>
      <c r="AU724" s="1051"/>
      <c r="AV724" s="1052"/>
      <c r="AW724" s="1051"/>
      <c r="AX724" s="1051"/>
      <c r="AY724" s="1053"/>
      <c r="AZ724" s="1051"/>
      <c r="BA724" s="1051"/>
      <c r="BB724" s="1053"/>
      <c r="BC724" s="1051"/>
      <c r="BD724" s="1051"/>
      <c r="BE724" s="1053"/>
      <c r="BF724" s="1051"/>
      <c r="BG724" s="1051"/>
      <c r="BH724" s="1053"/>
      <c r="BI724" s="1052"/>
      <c r="BJ724" s="1052"/>
      <c r="BK724" s="1052"/>
      <c r="BL724" s="1052"/>
      <c r="BM724" s="1052"/>
      <c r="BN724" s="1054"/>
      <c r="BO724" s="1076">
        <f t="shared" si="12"/>
        <v>0</v>
      </c>
      <c r="BP724" s="1051"/>
      <c r="BQ724" s="1052"/>
      <c r="BR724" s="1054"/>
      <c r="BS724" s="1053"/>
      <c r="BT724" s="1051"/>
      <c r="BU724" s="1051"/>
      <c r="BV724" s="1051"/>
      <c r="BW724" s="1052"/>
      <c r="BX724" s="1052"/>
      <c r="BY724" s="1052"/>
      <c r="BZ724" s="1052"/>
      <c r="CA724" s="1052"/>
      <c r="CB724" s="1053"/>
      <c r="CC724" s="1053"/>
      <c r="CD724" s="1053"/>
      <c r="CE724" s="1053"/>
      <c r="CF724" s="1053"/>
      <c r="CG724" s="1053"/>
      <c r="CH724" s="1053"/>
      <c r="CI724" s="1123"/>
      <c r="CJ724" s="1123"/>
      <c r="CK724" s="1123"/>
      <c r="CL724" s="1123"/>
      <c r="CM724" s="1123"/>
      <c r="CN724" s="1123"/>
      <c r="CO724" s="1123"/>
      <c r="CP724" s="1123"/>
      <c r="CQ724" s="1123"/>
      <c r="CR724" s="1123"/>
      <c r="CS724" s="1123"/>
      <c r="CT724" s="1123"/>
      <c r="CU724" s="1123"/>
      <c r="CV724" s="1123"/>
      <c r="CW724" s="1123"/>
      <c r="CX724" s="1123"/>
      <c r="CY724" s="1123"/>
      <c r="CZ724" s="1114"/>
      <c r="DA724" s="1114"/>
      <c r="DB724" s="1114"/>
      <c r="DC724" s="1114"/>
      <c r="DD724" s="1114"/>
      <c r="DE724" s="1114"/>
      <c r="DF724" s="1114"/>
      <c r="DG724" s="1114"/>
      <c r="DH724" s="1114"/>
      <c r="DI724" s="1114"/>
      <c r="DJ724" s="1114"/>
      <c r="DK724" s="1114"/>
      <c r="DL724" s="1114"/>
      <c r="DM724" s="1114"/>
      <c r="DN724" s="1114"/>
      <c r="DO724" s="1114"/>
      <c r="DP724" s="1114"/>
      <c r="DQ724" s="1114"/>
      <c r="DR724" s="1114"/>
      <c r="DS724" s="1114"/>
      <c r="DT724" s="1114"/>
      <c r="DU724" s="1114"/>
      <c r="DV724" s="1115"/>
      <c r="DW724" s="1116"/>
      <c r="DX724" s="1116"/>
      <c r="DY724" s="1116"/>
      <c r="DZ724" s="1116"/>
      <c r="EA724" s="1116"/>
      <c r="EB724" s="1116"/>
      <c r="EC724" s="1116"/>
      <c r="ED724" s="1116"/>
      <c r="EE724" s="1116"/>
      <c r="EF724" s="1116"/>
      <c r="EG724" s="1116"/>
      <c r="EH724" s="1116"/>
      <c r="EI724" s="1116"/>
      <c r="EJ724" s="1116"/>
      <c r="EK724" s="1116"/>
      <c r="EL724" s="1116"/>
      <c r="EM724" s="1116"/>
      <c r="EN724" s="1116"/>
      <c r="EO724" s="1116"/>
      <c r="EP724" s="1116"/>
      <c r="EQ724" s="1116"/>
      <c r="ER724" s="1116"/>
      <c r="ES724" s="1116"/>
    </row>
    <row r="725" spans="1:149" ht="15" customHeight="1">
      <c r="A725" s="1185">
        <v>715</v>
      </c>
      <c r="B725" s="1041"/>
      <c r="C725" s="1050"/>
      <c r="D725" s="1050"/>
      <c r="E725" s="1050"/>
      <c r="F725" s="1049"/>
      <c r="G725" s="1049"/>
      <c r="H725" s="1049"/>
      <c r="I725" s="1049"/>
      <c r="J725" s="1050"/>
      <c r="K725" s="1050"/>
      <c r="L725" s="1043"/>
      <c r="M725" s="1051"/>
      <c r="N725" s="1051"/>
      <c r="O725" s="1052"/>
      <c r="P725" s="1051"/>
      <c r="Q725" s="1051"/>
      <c r="R725" s="1052"/>
      <c r="S725" s="1051"/>
      <c r="T725" s="1051"/>
      <c r="U725" s="1052"/>
      <c r="V725" s="1051"/>
      <c r="W725" s="1051"/>
      <c r="X725" s="1052"/>
      <c r="Y725" s="1053"/>
      <c r="Z725" s="1051"/>
      <c r="AA725" s="1051"/>
      <c r="AB725" s="1052"/>
      <c r="AC725" s="1051"/>
      <c r="AD725" s="1051"/>
      <c r="AE725" s="1052"/>
      <c r="AF725" s="1051"/>
      <c r="AG725" s="1051"/>
      <c r="AH725" s="1051"/>
      <c r="AI725" s="1051"/>
      <c r="AJ725" s="1052"/>
      <c r="AK725" s="1051"/>
      <c r="AL725" s="1051"/>
      <c r="AM725" s="1052"/>
      <c r="AN725" s="1051"/>
      <c r="AO725" s="1051"/>
      <c r="AP725" s="1052"/>
      <c r="AQ725" s="1051"/>
      <c r="AR725" s="1051"/>
      <c r="AS725" s="1052"/>
      <c r="AT725" s="1051"/>
      <c r="AU725" s="1051"/>
      <c r="AV725" s="1052"/>
      <c r="AW725" s="1051"/>
      <c r="AX725" s="1051"/>
      <c r="AY725" s="1053"/>
      <c r="AZ725" s="1051"/>
      <c r="BA725" s="1051"/>
      <c r="BB725" s="1053"/>
      <c r="BC725" s="1051"/>
      <c r="BD725" s="1051"/>
      <c r="BE725" s="1053"/>
      <c r="BF725" s="1051"/>
      <c r="BG725" s="1051"/>
      <c r="BH725" s="1053"/>
      <c r="BI725" s="1052"/>
      <c r="BJ725" s="1052"/>
      <c r="BK725" s="1052"/>
      <c r="BL725" s="1052"/>
      <c r="BM725" s="1052"/>
      <c r="BN725" s="1054"/>
      <c r="BO725" s="1076">
        <f t="shared" si="12"/>
        <v>0</v>
      </c>
      <c r="BP725" s="1051"/>
      <c r="BQ725" s="1052"/>
      <c r="BR725" s="1054"/>
      <c r="BS725" s="1053"/>
      <c r="BT725" s="1051"/>
      <c r="BU725" s="1051"/>
      <c r="BV725" s="1051"/>
      <c r="BW725" s="1052"/>
      <c r="BX725" s="1052"/>
      <c r="BY725" s="1052"/>
      <c r="BZ725" s="1052"/>
      <c r="CA725" s="1052"/>
      <c r="CB725" s="1053"/>
      <c r="CC725" s="1053"/>
      <c r="CD725" s="1053"/>
      <c r="CE725" s="1053"/>
      <c r="CF725" s="1053"/>
      <c r="CG725" s="1053"/>
      <c r="CH725" s="1053"/>
      <c r="CI725" s="1123"/>
      <c r="CJ725" s="1123"/>
      <c r="CK725" s="1123"/>
      <c r="CL725" s="1123"/>
      <c r="CM725" s="1123"/>
      <c r="CN725" s="1123"/>
      <c r="CO725" s="1123"/>
      <c r="CP725" s="1123"/>
      <c r="CQ725" s="1123"/>
      <c r="CR725" s="1123"/>
      <c r="CS725" s="1123"/>
      <c r="CT725" s="1123"/>
      <c r="CU725" s="1123"/>
      <c r="CV725" s="1123"/>
      <c r="CW725" s="1123"/>
      <c r="CX725" s="1123"/>
      <c r="CY725" s="1123"/>
      <c r="CZ725" s="1114"/>
      <c r="DA725" s="1114"/>
      <c r="DB725" s="1114"/>
      <c r="DC725" s="1114"/>
      <c r="DD725" s="1114"/>
      <c r="DE725" s="1114"/>
      <c r="DF725" s="1114"/>
      <c r="DG725" s="1114"/>
      <c r="DH725" s="1114"/>
      <c r="DI725" s="1114"/>
      <c r="DJ725" s="1114"/>
      <c r="DK725" s="1114"/>
      <c r="DL725" s="1114"/>
      <c r="DM725" s="1114"/>
      <c r="DN725" s="1114"/>
      <c r="DO725" s="1114"/>
      <c r="DP725" s="1114"/>
      <c r="DQ725" s="1114"/>
      <c r="DR725" s="1114"/>
      <c r="DS725" s="1114"/>
      <c r="DT725" s="1114"/>
      <c r="DU725" s="1114"/>
      <c r="DV725" s="1115"/>
      <c r="DW725" s="1116"/>
      <c r="DX725" s="1116"/>
      <c r="DY725" s="1116"/>
      <c r="DZ725" s="1116"/>
      <c r="EA725" s="1116"/>
      <c r="EB725" s="1116"/>
      <c r="EC725" s="1116"/>
      <c r="ED725" s="1116"/>
      <c r="EE725" s="1116"/>
      <c r="EF725" s="1116"/>
      <c r="EG725" s="1116"/>
      <c r="EH725" s="1116"/>
      <c r="EI725" s="1116"/>
      <c r="EJ725" s="1116"/>
      <c r="EK725" s="1116"/>
      <c r="EL725" s="1116"/>
      <c r="EM725" s="1116"/>
      <c r="EN725" s="1116"/>
      <c r="EO725" s="1116"/>
      <c r="EP725" s="1116"/>
      <c r="EQ725" s="1116"/>
      <c r="ER725" s="1116"/>
      <c r="ES725" s="1116"/>
    </row>
    <row r="726" spans="1:149" ht="15" customHeight="1">
      <c r="A726" s="1185">
        <v>716</v>
      </c>
      <c r="B726" s="1041"/>
      <c r="C726" s="1050"/>
      <c r="D726" s="1050"/>
      <c r="E726" s="1050"/>
      <c r="F726" s="1049"/>
      <c r="G726" s="1049"/>
      <c r="H726" s="1049"/>
      <c r="I726" s="1049"/>
      <c r="J726" s="1050"/>
      <c r="K726" s="1050"/>
      <c r="L726" s="1043"/>
      <c r="M726" s="1051"/>
      <c r="N726" s="1051"/>
      <c r="O726" s="1052"/>
      <c r="P726" s="1051"/>
      <c r="Q726" s="1051"/>
      <c r="R726" s="1052"/>
      <c r="S726" s="1051"/>
      <c r="T726" s="1051"/>
      <c r="U726" s="1052"/>
      <c r="V726" s="1051"/>
      <c r="W726" s="1051"/>
      <c r="X726" s="1052"/>
      <c r="Y726" s="1053"/>
      <c r="Z726" s="1051"/>
      <c r="AA726" s="1051"/>
      <c r="AB726" s="1052"/>
      <c r="AC726" s="1051"/>
      <c r="AD726" s="1051"/>
      <c r="AE726" s="1052"/>
      <c r="AF726" s="1051"/>
      <c r="AG726" s="1051"/>
      <c r="AH726" s="1051"/>
      <c r="AI726" s="1051"/>
      <c r="AJ726" s="1052"/>
      <c r="AK726" s="1051"/>
      <c r="AL726" s="1051"/>
      <c r="AM726" s="1052"/>
      <c r="AN726" s="1051"/>
      <c r="AO726" s="1051"/>
      <c r="AP726" s="1052"/>
      <c r="AQ726" s="1051"/>
      <c r="AR726" s="1051"/>
      <c r="AS726" s="1052"/>
      <c r="AT726" s="1051"/>
      <c r="AU726" s="1051"/>
      <c r="AV726" s="1052"/>
      <c r="AW726" s="1051"/>
      <c r="AX726" s="1051"/>
      <c r="AY726" s="1053"/>
      <c r="AZ726" s="1051"/>
      <c r="BA726" s="1051"/>
      <c r="BB726" s="1053"/>
      <c r="BC726" s="1051"/>
      <c r="BD726" s="1051"/>
      <c r="BE726" s="1053"/>
      <c r="BF726" s="1051"/>
      <c r="BG726" s="1051"/>
      <c r="BH726" s="1053"/>
      <c r="BI726" s="1052"/>
      <c r="BJ726" s="1052"/>
      <c r="BK726" s="1052"/>
      <c r="BL726" s="1052"/>
      <c r="BM726" s="1052"/>
      <c r="BN726" s="1054"/>
      <c r="BO726" s="1076">
        <f t="shared" si="12"/>
        <v>0</v>
      </c>
      <c r="BP726" s="1051"/>
      <c r="BQ726" s="1052"/>
      <c r="BR726" s="1054"/>
      <c r="BS726" s="1053"/>
      <c r="BT726" s="1051"/>
      <c r="BU726" s="1051"/>
      <c r="BV726" s="1051"/>
      <c r="BW726" s="1052"/>
      <c r="BX726" s="1052"/>
      <c r="BY726" s="1052"/>
      <c r="BZ726" s="1052"/>
      <c r="CA726" s="1052"/>
      <c r="CB726" s="1053"/>
      <c r="CC726" s="1053"/>
      <c r="CD726" s="1053"/>
      <c r="CE726" s="1053"/>
      <c r="CF726" s="1053"/>
      <c r="CG726" s="1053"/>
      <c r="CH726" s="1053"/>
      <c r="CI726" s="1123"/>
      <c r="CJ726" s="1123"/>
      <c r="CK726" s="1123"/>
      <c r="CL726" s="1123"/>
      <c r="CM726" s="1123"/>
      <c r="CN726" s="1123"/>
      <c r="CO726" s="1123"/>
      <c r="CP726" s="1123"/>
      <c r="CQ726" s="1123"/>
      <c r="CR726" s="1123"/>
      <c r="CS726" s="1123"/>
      <c r="CT726" s="1123"/>
      <c r="CU726" s="1123"/>
      <c r="CV726" s="1123"/>
      <c r="CW726" s="1123"/>
      <c r="CX726" s="1123"/>
      <c r="CY726" s="1123"/>
      <c r="CZ726" s="1114"/>
      <c r="DA726" s="1114"/>
      <c r="DB726" s="1114"/>
      <c r="DC726" s="1114"/>
      <c r="DD726" s="1114"/>
      <c r="DE726" s="1114"/>
      <c r="DF726" s="1114"/>
      <c r="DG726" s="1114"/>
      <c r="DH726" s="1114"/>
      <c r="DI726" s="1114"/>
      <c r="DJ726" s="1114"/>
      <c r="DK726" s="1114"/>
      <c r="DL726" s="1114"/>
      <c r="DM726" s="1114"/>
      <c r="DN726" s="1114"/>
      <c r="DO726" s="1114"/>
      <c r="DP726" s="1114"/>
      <c r="DQ726" s="1114"/>
      <c r="DR726" s="1114"/>
      <c r="DS726" s="1114"/>
      <c r="DT726" s="1114"/>
      <c r="DU726" s="1114"/>
      <c r="DV726" s="1115"/>
      <c r="DW726" s="1116"/>
      <c r="DX726" s="1116"/>
      <c r="DY726" s="1116"/>
      <c r="DZ726" s="1116"/>
      <c r="EA726" s="1116"/>
      <c r="EB726" s="1116"/>
      <c r="EC726" s="1116"/>
      <c r="ED726" s="1116"/>
      <c r="EE726" s="1116"/>
      <c r="EF726" s="1116"/>
      <c r="EG726" s="1116"/>
      <c r="EH726" s="1116"/>
      <c r="EI726" s="1116"/>
      <c r="EJ726" s="1116"/>
      <c r="EK726" s="1116"/>
      <c r="EL726" s="1116"/>
      <c r="EM726" s="1116"/>
      <c r="EN726" s="1116"/>
      <c r="EO726" s="1116"/>
      <c r="EP726" s="1116"/>
      <c r="EQ726" s="1116"/>
      <c r="ER726" s="1116"/>
      <c r="ES726" s="1116"/>
    </row>
    <row r="727" spans="1:149" ht="15" customHeight="1">
      <c r="A727" s="1185">
        <v>717</v>
      </c>
      <c r="B727" s="1041"/>
      <c r="C727" s="1050"/>
      <c r="D727" s="1050"/>
      <c r="E727" s="1050"/>
      <c r="F727" s="1049"/>
      <c r="G727" s="1049"/>
      <c r="H727" s="1049"/>
      <c r="I727" s="1049"/>
      <c r="J727" s="1050"/>
      <c r="K727" s="1050"/>
      <c r="L727" s="1043"/>
      <c r="M727" s="1051"/>
      <c r="N727" s="1051"/>
      <c r="O727" s="1052"/>
      <c r="P727" s="1051"/>
      <c r="Q727" s="1051"/>
      <c r="R727" s="1052"/>
      <c r="S727" s="1051"/>
      <c r="T727" s="1051"/>
      <c r="U727" s="1052"/>
      <c r="V727" s="1051"/>
      <c r="W727" s="1051"/>
      <c r="X727" s="1052"/>
      <c r="Y727" s="1053"/>
      <c r="Z727" s="1051"/>
      <c r="AA727" s="1051"/>
      <c r="AB727" s="1052"/>
      <c r="AC727" s="1051"/>
      <c r="AD727" s="1051"/>
      <c r="AE727" s="1052"/>
      <c r="AF727" s="1051"/>
      <c r="AG727" s="1051"/>
      <c r="AH727" s="1051"/>
      <c r="AI727" s="1051"/>
      <c r="AJ727" s="1052"/>
      <c r="AK727" s="1051"/>
      <c r="AL727" s="1051"/>
      <c r="AM727" s="1052"/>
      <c r="AN727" s="1051"/>
      <c r="AO727" s="1051"/>
      <c r="AP727" s="1052"/>
      <c r="AQ727" s="1051"/>
      <c r="AR727" s="1051"/>
      <c r="AS727" s="1052"/>
      <c r="AT727" s="1051"/>
      <c r="AU727" s="1051"/>
      <c r="AV727" s="1052"/>
      <c r="AW727" s="1051"/>
      <c r="AX727" s="1051"/>
      <c r="AY727" s="1053"/>
      <c r="AZ727" s="1051"/>
      <c r="BA727" s="1051"/>
      <c r="BB727" s="1053"/>
      <c r="BC727" s="1051"/>
      <c r="BD727" s="1051"/>
      <c r="BE727" s="1053"/>
      <c r="BF727" s="1051"/>
      <c r="BG727" s="1051"/>
      <c r="BH727" s="1053"/>
      <c r="BI727" s="1052"/>
      <c r="BJ727" s="1052"/>
      <c r="BK727" s="1052"/>
      <c r="BL727" s="1052"/>
      <c r="BM727" s="1052"/>
      <c r="BN727" s="1054"/>
      <c r="BO727" s="1076">
        <f t="shared" si="12"/>
        <v>0</v>
      </c>
      <c r="BP727" s="1051"/>
      <c r="BQ727" s="1052"/>
      <c r="BR727" s="1054"/>
      <c r="BS727" s="1053"/>
      <c r="BT727" s="1051"/>
      <c r="BU727" s="1051"/>
      <c r="BV727" s="1051"/>
      <c r="BW727" s="1052"/>
      <c r="BX727" s="1052"/>
      <c r="BY727" s="1052"/>
      <c r="BZ727" s="1052"/>
      <c r="CA727" s="1052"/>
      <c r="CB727" s="1053"/>
      <c r="CC727" s="1053"/>
      <c r="CD727" s="1053"/>
      <c r="CE727" s="1053"/>
      <c r="CF727" s="1053"/>
      <c r="CG727" s="1053"/>
      <c r="CH727" s="1053"/>
      <c r="CI727" s="1123"/>
      <c r="CJ727" s="1123"/>
      <c r="CK727" s="1123"/>
      <c r="CL727" s="1123"/>
      <c r="CM727" s="1123"/>
      <c r="CN727" s="1123"/>
      <c r="CO727" s="1123"/>
      <c r="CP727" s="1123"/>
      <c r="CQ727" s="1123"/>
      <c r="CR727" s="1123"/>
      <c r="CS727" s="1123"/>
      <c r="CT727" s="1123"/>
      <c r="CU727" s="1123"/>
      <c r="CV727" s="1123"/>
      <c r="CW727" s="1123"/>
      <c r="CX727" s="1123"/>
      <c r="CY727" s="1123"/>
      <c r="CZ727" s="1114"/>
      <c r="DA727" s="1114"/>
      <c r="DB727" s="1114"/>
      <c r="DC727" s="1114"/>
      <c r="DD727" s="1114"/>
      <c r="DE727" s="1114"/>
      <c r="DF727" s="1114"/>
      <c r="DG727" s="1114"/>
      <c r="DH727" s="1114"/>
      <c r="DI727" s="1114"/>
      <c r="DJ727" s="1114"/>
      <c r="DK727" s="1114"/>
      <c r="DL727" s="1114"/>
      <c r="DM727" s="1114"/>
      <c r="DN727" s="1114"/>
      <c r="DO727" s="1114"/>
      <c r="DP727" s="1114"/>
      <c r="DQ727" s="1114"/>
      <c r="DR727" s="1114"/>
      <c r="DS727" s="1114"/>
      <c r="DT727" s="1114"/>
      <c r="DU727" s="1114"/>
      <c r="DV727" s="1115"/>
      <c r="DW727" s="1116"/>
      <c r="DX727" s="1116"/>
      <c r="DY727" s="1116"/>
      <c r="DZ727" s="1116"/>
      <c r="EA727" s="1116"/>
      <c r="EB727" s="1116"/>
      <c r="EC727" s="1116"/>
      <c r="ED727" s="1116"/>
      <c r="EE727" s="1116"/>
      <c r="EF727" s="1116"/>
      <c r="EG727" s="1116"/>
      <c r="EH727" s="1116"/>
      <c r="EI727" s="1116"/>
      <c r="EJ727" s="1116"/>
      <c r="EK727" s="1116"/>
      <c r="EL727" s="1116"/>
      <c r="EM727" s="1116"/>
      <c r="EN727" s="1116"/>
      <c r="EO727" s="1116"/>
      <c r="EP727" s="1116"/>
      <c r="EQ727" s="1116"/>
      <c r="ER727" s="1116"/>
      <c r="ES727" s="1116"/>
    </row>
    <row r="728" spans="1:149" ht="15" customHeight="1">
      <c r="A728" s="1185">
        <v>718</v>
      </c>
      <c r="B728" s="1041"/>
      <c r="C728" s="1050"/>
      <c r="D728" s="1050"/>
      <c r="E728" s="1050"/>
      <c r="F728" s="1049"/>
      <c r="G728" s="1049"/>
      <c r="H728" s="1049"/>
      <c r="I728" s="1049"/>
      <c r="J728" s="1050"/>
      <c r="K728" s="1050"/>
      <c r="L728" s="1043"/>
      <c r="M728" s="1051"/>
      <c r="N728" s="1051"/>
      <c r="O728" s="1052"/>
      <c r="P728" s="1051"/>
      <c r="Q728" s="1051"/>
      <c r="R728" s="1052"/>
      <c r="S728" s="1051"/>
      <c r="T728" s="1051"/>
      <c r="U728" s="1052"/>
      <c r="V728" s="1051"/>
      <c r="W728" s="1051"/>
      <c r="X728" s="1052"/>
      <c r="Y728" s="1053"/>
      <c r="Z728" s="1051"/>
      <c r="AA728" s="1051"/>
      <c r="AB728" s="1052"/>
      <c r="AC728" s="1051"/>
      <c r="AD728" s="1051"/>
      <c r="AE728" s="1052"/>
      <c r="AF728" s="1051"/>
      <c r="AG728" s="1051"/>
      <c r="AH728" s="1051"/>
      <c r="AI728" s="1051"/>
      <c r="AJ728" s="1052"/>
      <c r="AK728" s="1051"/>
      <c r="AL728" s="1051"/>
      <c r="AM728" s="1052"/>
      <c r="AN728" s="1051"/>
      <c r="AO728" s="1051"/>
      <c r="AP728" s="1052"/>
      <c r="AQ728" s="1051"/>
      <c r="AR728" s="1051"/>
      <c r="AS728" s="1052"/>
      <c r="AT728" s="1051"/>
      <c r="AU728" s="1051"/>
      <c r="AV728" s="1052"/>
      <c r="AW728" s="1051"/>
      <c r="AX728" s="1051"/>
      <c r="AY728" s="1053"/>
      <c r="AZ728" s="1051"/>
      <c r="BA728" s="1051"/>
      <c r="BB728" s="1053"/>
      <c r="BC728" s="1051"/>
      <c r="BD728" s="1051"/>
      <c r="BE728" s="1053"/>
      <c r="BF728" s="1051"/>
      <c r="BG728" s="1051"/>
      <c r="BH728" s="1053"/>
      <c r="BI728" s="1052"/>
      <c r="BJ728" s="1052"/>
      <c r="BK728" s="1052"/>
      <c r="BL728" s="1052"/>
      <c r="BM728" s="1052"/>
      <c r="BN728" s="1054"/>
      <c r="BO728" s="1076">
        <f t="shared" si="12"/>
        <v>0</v>
      </c>
      <c r="BP728" s="1051"/>
      <c r="BQ728" s="1052"/>
      <c r="BR728" s="1054"/>
      <c r="BS728" s="1053"/>
      <c r="BT728" s="1051"/>
      <c r="BU728" s="1051"/>
      <c r="BV728" s="1051"/>
      <c r="BW728" s="1052"/>
      <c r="BX728" s="1052"/>
      <c r="BY728" s="1052"/>
      <c r="BZ728" s="1052"/>
      <c r="CA728" s="1052"/>
      <c r="CB728" s="1053"/>
      <c r="CC728" s="1053"/>
      <c r="CD728" s="1053"/>
      <c r="CE728" s="1053"/>
      <c r="CF728" s="1053"/>
      <c r="CG728" s="1053"/>
      <c r="CH728" s="1053"/>
      <c r="CI728" s="1123"/>
      <c r="CJ728" s="1123"/>
      <c r="CK728" s="1123"/>
      <c r="CL728" s="1123"/>
      <c r="CM728" s="1123"/>
      <c r="CN728" s="1123"/>
      <c r="CO728" s="1123"/>
      <c r="CP728" s="1123"/>
      <c r="CQ728" s="1123"/>
      <c r="CR728" s="1123"/>
      <c r="CS728" s="1123"/>
      <c r="CT728" s="1123"/>
      <c r="CU728" s="1123"/>
      <c r="CV728" s="1123"/>
      <c r="CW728" s="1123"/>
      <c r="CX728" s="1123"/>
      <c r="CY728" s="1123"/>
      <c r="CZ728" s="1114"/>
      <c r="DA728" s="1114"/>
      <c r="DB728" s="1114"/>
      <c r="DC728" s="1114"/>
      <c r="DD728" s="1114"/>
      <c r="DE728" s="1114"/>
      <c r="DF728" s="1114"/>
      <c r="DG728" s="1114"/>
      <c r="DH728" s="1114"/>
      <c r="DI728" s="1114"/>
      <c r="DJ728" s="1114"/>
      <c r="DK728" s="1114"/>
      <c r="DL728" s="1114"/>
      <c r="DM728" s="1114"/>
      <c r="DN728" s="1114"/>
      <c r="DO728" s="1114"/>
      <c r="DP728" s="1114"/>
      <c r="DQ728" s="1114"/>
      <c r="DR728" s="1114"/>
      <c r="DS728" s="1114"/>
      <c r="DT728" s="1114"/>
      <c r="DU728" s="1114"/>
      <c r="DV728" s="1115"/>
      <c r="DW728" s="1116"/>
      <c r="DX728" s="1116"/>
      <c r="DY728" s="1116"/>
      <c r="DZ728" s="1116"/>
      <c r="EA728" s="1116"/>
      <c r="EB728" s="1116"/>
      <c r="EC728" s="1116"/>
      <c r="ED728" s="1116"/>
      <c r="EE728" s="1116"/>
      <c r="EF728" s="1116"/>
      <c r="EG728" s="1116"/>
      <c r="EH728" s="1116"/>
      <c r="EI728" s="1116"/>
      <c r="EJ728" s="1116"/>
      <c r="EK728" s="1116"/>
      <c r="EL728" s="1116"/>
      <c r="EM728" s="1116"/>
      <c r="EN728" s="1116"/>
      <c r="EO728" s="1116"/>
      <c r="EP728" s="1116"/>
      <c r="EQ728" s="1116"/>
      <c r="ER728" s="1116"/>
      <c r="ES728" s="1116"/>
    </row>
    <row r="729" spans="1:149" ht="15" customHeight="1">
      <c r="A729" s="1185">
        <v>719</v>
      </c>
      <c r="B729" s="1041"/>
      <c r="C729" s="1050"/>
      <c r="D729" s="1050"/>
      <c r="E729" s="1050"/>
      <c r="F729" s="1049"/>
      <c r="G729" s="1049"/>
      <c r="H729" s="1049"/>
      <c r="I729" s="1049"/>
      <c r="J729" s="1050"/>
      <c r="K729" s="1050"/>
      <c r="L729" s="1043"/>
      <c r="M729" s="1051"/>
      <c r="N729" s="1051"/>
      <c r="O729" s="1052"/>
      <c r="P729" s="1051"/>
      <c r="Q729" s="1051"/>
      <c r="R729" s="1052"/>
      <c r="S729" s="1051"/>
      <c r="T729" s="1051"/>
      <c r="U729" s="1052"/>
      <c r="V729" s="1051"/>
      <c r="W729" s="1051"/>
      <c r="X729" s="1052"/>
      <c r="Y729" s="1053"/>
      <c r="Z729" s="1051"/>
      <c r="AA729" s="1051"/>
      <c r="AB729" s="1052"/>
      <c r="AC729" s="1051"/>
      <c r="AD729" s="1051"/>
      <c r="AE729" s="1052"/>
      <c r="AF729" s="1051"/>
      <c r="AG729" s="1051"/>
      <c r="AH729" s="1051"/>
      <c r="AI729" s="1051"/>
      <c r="AJ729" s="1052"/>
      <c r="AK729" s="1051"/>
      <c r="AL729" s="1051"/>
      <c r="AM729" s="1052"/>
      <c r="AN729" s="1051"/>
      <c r="AO729" s="1051"/>
      <c r="AP729" s="1052"/>
      <c r="AQ729" s="1051"/>
      <c r="AR729" s="1051"/>
      <c r="AS729" s="1052"/>
      <c r="AT729" s="1051"/>
      <c r="AU729" s="1051"/>
      <c r="AV729" s="1052"/>
      <c r="AW729" s="1051"/>
      <c r="AX729" s="1051"/>
      <c r="AY729" s="1053"/>
      <c r="AZ729" s="1051"/>
      <c r="BA729" s="1051"/>
      <c r="BB729" s="1053"/>
      <c r="BC729" s="1051"/>
      <c r="BD729" s="1051"/>
      <c r="BE729" s="1053"/>
      <c r="BF729" s="1051"/>
      <c r="BG729" s="1051"/>
      <c r="BH729" s="1053"/>
      <c r="BI729" s="1052"/>
      <c r="BJ729" s="1052"/>
      <c r="BK729" s="1052"/>
      <c r="BL729" s="1052"/>
      <c r="BM729" s="1052"/>
      <c r="BN729" s="1054"/>
      <c r="BO729" s="1076">
        <f t="shared" si="12"/>
        <v>0</v>
      </c>
      <c r="BP729" s="1051"/>
      <c r="BQ729" s="1052"/>
      <c r="BR729" s="1054"/>
      <c r="BS729" s="1053"/>
      <c r="BT729" s="1051"/>
      <c r="BU729" s="1051"/>
      <c r="BV729" s="1051"/>
      <c r="BW729" s="1052"/>
      <c r="BX729" s="1052"/>
      <c r="BY729" s="1052"/>
      <c r="BZ729" s="1052"/>
      <c r="CA729" s="1052"/>
      <c r="CB729" s="1053"/>
      <c r="CC729" s="1053"/>
      <c r="CD729" s="1053"/>
      <c r="CE729" s="1053"/>
      <c r="CF729" s="1053"/>
      <c r="CG729" s="1053"/>
      <c r="CH729" s="1053"/>
      <c r="CI729" s="1123"/>
      <c r="CJ729" s="1123"/>
      <c r="CK729" s="1123"/>
      <c r="CL729" s="1123"/>
      <c r="CM729" s="1123"/>
      <c r="CN729" s="1123"/>
      <c r="CO729" s="1123"/>
      <c r="CP729" s="1123"/>
      <c r="CQ729" s="1123"/>
      <c r="CR729" s="1123"/>
      <c r="CS729" s="1123"/>
      <c r="CT729" s="1123"/>
      <c r="CU729" s="1123"/>
      <c r="CV729" s="1123"/>
      <c r="CW729" s="1123"/>
      <c r="CX729" s="1123"/>
      <c r="CY729" s="1123"/>
      <c r="CZ729" s="1114"/>
      <c r="DA729" s="1114"/>
      <c r="DB729" s="1114"/>
      <c r="DC729" s="1114"/>
      <c r="DD729" s="1114"/>
      <c r="DE729" s="1114"/>
      <c r="DF729" s="1114"/>
      <c r="DG729" s="1114"/>
      <c r="DH729" s="1114"/>
      <c r="DI729" s="1114"/>
      <c r="DJ729" s="1114"/>
      <c r="DK729" s="1114"/>
      <c r="DL729" s="1114"/>
      <c r="DM729" s="1114"/>
      <c r="DN729" s="1114"/>
      <c r="DO729" s="1114"/>
      <c r="DP729" s="1114"/>
      <c r="DQ729" s="1114"/>
      <c r="DR729" s="1114"/>
      <c r="DS729" s="1114"/>
      <c r="DT729" s="1114"/>
      <c r="DU729" s="1114"/>
      <c r="DV729" s="1115"/>
      <c r="DW729" s="1116"/>
      <c r="DX729" s="1116"/>
      <c r="DY729" s="1116"/>
      <c r="DZ729" s="1116"/>
      <c r="EA729" s="1116"/>
      <c r="EB729" s="1116"/>
      <c r="EC729" s="1116"/>
      <c r="ED729" s="1116"/>
      <c r="EE729" s="1116"/>
      <c r="EF729" s="1116"/>
      <c r="EG729" s="1116"/>
      <c r="EH729" s="1116"/>
      <c r="EI729" s="1116"/>
      <c r="EJ729" s="1116"/>
      <c r="EK729" s="1116"/>
      <c r="EL729" s="1116"/>
      <c r="EM729" s="1116"/>
      <c r="EN729" s="1116"/>
      <c r="EO729" s="1116"/>
      <c r="EP729" s="1116"/>
      <c r="EQ729" s="1116"/>
      <c r="ER729" s="1116"/>
      <c r="ES729" s="1116"/>
    </row>
    <row r="730" spans="1:149" ht="15" customHeight="1">
      <c r="A730" s="1185">
        <v>720</v>
      </c>
      <c r="B730" s="1041"/>
      <c r="C730" s="1050"/>
      <c r="D730" s="1050"/>
      <c r="E730" s="1050"/>
      <c r="F730" s="1049"/>
      <c r="G730" s="1049"/>
      <c r="H730" s="1049"/>
      <c r="I730" s="1049"/>
      <c r="J730" s="1050"/>
      <c r="K730" s="1050"/>
      <c r="L730" s="1043"/>
      <c r="M730" s="1051"/>
      <c r="N730" s="1051"/>
      <c r="O730" s="1052"/>
      <c r="P730" s="1051"/>
      <c r="Q730" s="1051"/>
      <c r="R730" s="1052"/>
      <c r="S730" s="1051"/>
      <c r="T730" s="1051"/>
      <c r="U730" s="1052"/>
      <c r="V730" s="1051"/>
      <c r="W730" s="1051"/>
      <c r="X730" s="1052"/>
      <c r="Y730" s="1053"/>
      <c r="Z730" s="1051"/>
      <c r="AA730" s="1051"/>
      <c r="AB730" s="1052"/>
      <c r="AC730" s="1051"/>
      <c r="AD730" s="1051"/>
      <c r="AE730" s="1052"/>
      <c r="AF730" s="1051"/>
      <c r="AG730" s="1051"/>
      <c r="AH730" s="1051"/>
      <c r="AI730" s="1051"/>
      <c r="AJ730" s="1052"/>
      <c r="AK730" s="1051"/>
      <c r="AL730" s="1051"/>
      <c r="AM730" s="1052"/>
      <c r="AN730" s="1051"/>
      <c r="AO730" s="1051"/>
      <c r="AP730" s="1052"/>
      <c r="AQ730" s="1051"/>
      <c r="AR730" s="1051"/>
      <c r="AS730" s="1052"/>
      <c r="AT730" s="1051"/>
      <c r="AU730" s="1051"/>
      <c r="AV730" s="1052"/>
      <c r="AW730" s="1051"/>
      <c r="AX730" s="1051"/>
      <c r="AY730" s="1053"/>
      <c r="AZ730" s="1051"/>
      <c r="BA730" s="1051"/>
      <c r="BB730" s="1053"/>
      <c r="BC730" s="1051"/>
      <c r="BD730" s="1051"/>
      <c r="BE730" s="1053"/>
      <c r="BF730" s="1051"/>
      <c r="BG730" s="1051"/>
      <c r="BH730" s="1053"/>
      <c r="BI730" s="1052"/>
      <c r="BJ730" s="1052"/>
      <c r="BK730" s="1052"/>
      <c r="BL730" s="1052"/>
      <c r="BM730" s="1052"/>
      <c r="BN730" s="1054"/>
      <c r="BO730" s="1076">
        <f t="shared" si="12"/>
        <v>0</v>
      </c>
      <c r="BP730" s="1051"/>
      <c r="BQ730" s="1052"/>
      <c r="BR730" s="1054"/>
      <c r="BS730" s="1053"/>
      <c r="BT730" s="1051"/>
      <c r="BU730" s="1051"/>
      <c r="BV730" s="1051"/>
      <c r="BW730" s="1052"/>
      <c r="BX730" s="1052"/>
      <c r="BY730" s="1052"/>
      <c r="BZ730" s="1052"/>
      <c r="CA730" s="1052"/>
      <c r="CB730" s="1053"/>
      <c r="CC730" s="1053"/>
      <c r="CD730" s="1053"/>
      <c r="CE730" s="1053"/>
      <c r="CF730" s="1053"/>
      <c r="CG730" s="1053"/>
      <c r="CH730" s="1053"/>
      <c r="CI730" s="1123"/>
      <c r="CJ730" s="1123"/>
      <c r="CK730" s="1123"/>
      <c r="CL730" s="1123"/>
      <c r="CM730" s="1123"/>
      <c r="CN730" s="1123"/>
      <c r="CO730" s="1123"/>
      <c r="CP730" s="1123"/>
      <c r="CQ730" s="1123"/>
      <c r="CR730" s="1123"/>
      <c r="CS730" s="1123"/>
      <c r="CT730" s="1123"/>
      <c r="CU730" s="1123"/>
      <c r="CV730" s="1123"/>
      <c r="CW730" s="1123"/>
      <c r="CX730" s="1123"/>
      <c r="CY730" s="1123"/>
      <c r="CZ730" s="1114"/>
      <c r="DA730" s="1114"/>
      <c r="DB730" s="1114"/>
      <c r="DC730" s="1114"/>
      <c r="DD730" s="1114"/>
      <c r="DE730" s="1114"/>
      <c r="DF730" s="1114"/>
      <c r="DG730" s="1114"/>
      <c r="DH730" s="1114"/>
      <c r="DI730" s="1114"/>
      <c r="DJ730" s="1114"/>
      <c r="DK730" s="1114"/>
      <c r="DL730" s="1114"/>
      <c r="DM730" s="1114"/>
      <c r="DN730" s="1114"/>
      <c r="DO730" s="1114"/>
      <c r="DP730" s="1114"/>
      <c r="DQ730" s="1114"/>
      <c r="DR730" s="1114"/>
      <c r="DS730" s="1114"/>
      <c r="DT730" s="1114"/>
      <c r="DU730" s="1114"/>
      <c r="DV730" s="1115"/>
      <c r="DW730" s="1116"/>
      <c r="DX730" s="1116"/>
      <c r="DY730" s="1116"/>
      <c r="DZ730" s="1116"/>
      <c r="EA730" s="1116"/>
      <c r="EB730" s="1116"/>
      <c r="EC730" s="1116"/>
      <c r="ED730" s="1116"/>
      <c r="EE730" s="1116"/>
      <c r="EF730" s="1116"/>
      <c r="EG730" s="1116"/>
      <c r="EH730" s="1116"/>
      <c r="EI730" s="1116"/>
      <c r="EJ730" s="1116"/>
      <c r="EK730" s="1116"/>
      <c r="EL730" s="1116"/>
      <c r="EM730" s="1116"/>
      <c r="EN730" s="1116"/>
      <c r="EO730" s="1116"/>
      <c r="EP730" s="1116"/>
      <c r="EQ730" s="1116"/>
      <c r="ER730" s="1116"/>
      <c r="ES730" s="1116"/>
    </row>
    <row r="731" spans="1:149" ht="15" customHeight="1">
      <c r="A731" s="1185">
        <v>721</v>
      </c>
      <c r="B731" s="1041"/>
      <c r="C731" s="1050"/>
      <c r="D731" s="1050"/>
      <c r="E731" s="1050"/>
      <c r="F731" s="1049"/>
      <c r="G731" s="1049"/>
      <c r="H731" s="1049"/>
      <c r="I731" s="1049"/>
      <c r="J731" s="1050"/>
      <c r="K731" s="1050"/>
      <c r="L731" s="1043"/>
      <c r="M731" s="1051"/>
      <c r="N731" s="1051"/>
      <c r="O731" s="1052"/>
      <c r="P731" s="1051"/>
      <c r="Q731" s="1051"/>
      <c r="R731" s="1052"/>
      <c r="S731" s="1051"/>
      <c r="T731" s="1051"/>
      <c r="U731" s="1052"/>
      <c r="V731" s="1051"/>
      <c r="W731" s="1051"/>
      <c r="X731" s="1052"/>
      <c r="Y731" s="1053"/>
      <c r="Z731" s="1051"/>
      <c r="AA731" s="1051"/>
      <c r="AB731" s="1052"/>
      <c r="AC731" s="1051"/>
      <c r="AD731" s="1051"/>
      <c r="AE731" s="1052"/>
      <c r="AF731" s="1051"/>
      <c r="AG731" s="1051"/>
      <c r="AH731" s="1051"/>
      <c r="AI731" s="1051"/>
      <c r="AJ731" s="1052"/>
      <c r="AK731" s="1051"/>
      <c r="AL731" s="1051"/>
      <c r="AM731" s="1052"/>
      <c r="AN731" s="1051"/>
      <c r="AO731" s="1051"/>
      <c r="AP731" s="1052"/>
      <c r="AQ731" s="1051"/>
      <c r="AR731" s="1051"/>
      <c r="AS731" s="1052"/>
      <c r="AT731" s="1051"/>
      <c r="AU731" s="1051"/>
      <c r="AV731" s="1052"/>
      <c r="AW731" s="1051"/>
      <c r="AX731" s="1051"/>
      <c r="AY731" s="1053"/>
      <c r="AZ731" s="1051"/>
      <c r="BA731" s="1051"/>
      <c r="BB731" s="1053"/>
      <c r="BC731" s="1051"/>
      <c r="BD731" s="1051"/>
      <c r="BE731" s="1053"/>
      <c r="BF731" s="1051"/>
      <c r="BG731" s="1051"/>
      <c r="BH731" s="1053"/>
      <c r="BI731" s="1052"/>
      <c r="BJ731" s="1052"/>
      <c r="BK731" s="1052"/>
      <c r="BL731" s="1052"/>
      <c r="BM731" s="1052"/>
      <c r="BN731" s="1054"/>
      <c r="BO731" s="1076">
        <f t="shared" si="12"/>
        <v>0</v>
      </c>
      <c r="BP731" s="1051"/>
      <c r="BQ731" s="1052"/>
      <c r="BR731" s="1054"/>
      <c r="BS731" s="1053"/>
      <c r="BT731" s="1051"/>
      <c r="BU731" s="1051"/>
      <c r="BV731" s="1051"/>
      <c r="BW731" s="1052"/>
      <c r="BX731" s="1052"/>
      <c r="BY731" s="1052"/>
      <c r="BZ731" s="1052"/>
      <c r="CA731" s="1052"/>
      <c r="CB731" s="1053"/>
      <c r="CC731" s="1053"/>
      <c r="CD731" s="1053"/>
      <c r="CE731" s="1053"/>
      <c r="CF731" s="1053"/>
      <c r="CG731" s="1053"/>
      <c r="CH731" s="1053"/>
      <c r="CI731" s="1123"/>
      <c r="CJ731" s="1123"/>
      <c r="CK731" s="1123"/>
      <c r="CL731" s="1123"/>
      <c r="CM731" s="1123"/>
      <c r="CN731" s="1123"/>
      <c r="CO731" s="1123"/>
      <c r="CP731" s="1123"/>
      <c r="CQ731" s="1123"/>
      <c r="CR731" s="1123"/>
      <c r="CS731" s="1123"/>
      <c r="CT731" s="1123"/>
      <c r="CU731" s="1123"/>
      <c r="CV731" s="1123"/>
      <c r="CW731" s="1123"/>
      <c r="CX731" s="1123"/>
      <c r="CY731" s="1123"/>
      <c r="CZ731" s="1114"/>
      <c r="DA731" s="1114"/>
      <c r="DB731" s="1114"/>
      <c r="DC731" s="1114"/>
      <c r="DD731" s="1114"/>
      <c r="DE731" s="1114"/>
      <c r="DF731" s="1114"/>
      <c r="DG731" s="1114"/>
      <c r="DH731" s="1114"/>
      <c r="DI731" s="1114"/>
      <c r="DJ731" s="1114"/>
      <c r="DK731" s="1114"/>
      <c r="DL731" s="1114"/>
      <c r="DM731" s="1114"/>
      <c r="DN731" s="1114"/>
      <c r="DO731" s="1114"/>
      <c r="DP731" s="1114"/>
      <c r="DQ731" s="1114"/>
      <c r="DR731" s="1114"/>
      <c r="DS731" s="1114"/>
      <c r="DT731" s="1114"/>
      <c r="DU731" s="1114"/>
      <c r="DV731" s="1115"/>
      <c r="DW731" s="1116"/>
      <c r="DX731" s="1116"/>
      <c r="DY731" s="1116"/>
      <c r="DZ731" s="1116"/>
      <c r="EA731" s="1116"/>
      <c r="EB731" s="1116"/>
      <c r="EC731" s="1116"/>
      <c r="ED731" s="1116"/>
      <c r="EE731" s="1116"/>
      <c r="EF731" s="1116"/>
      <c r="EG731" s="1116"/>
      <c r="EH731" s="1116"/>
      <c r="EI731" s="1116"/>
      <c r="EJ731" s="1116"/>
      <c r="EK731" s="1116"/>
      <c r="EL731" s="1116"/>
      <c r="EM731" s="1116"/>
      <c r="EN731" s="1116"/>
      <c r="EO731" s="1116"/>
      <c r="EP731" s="1116"/>
      <c r="EQ731" s="1116"/>
      <c r="ER731" s="1116"/>
      <c r="ES731" s="1116"/>
    </row>
    <row r="732" spans="1:149" ht="15" customHeight="1">
      <c r="A732" s="1185">
        <v>722</v>
      </c>
      <c r="B732" s="1041"/>
      <c r="C732" s="1050"/>
      <c r="D732" s="1050"/>
      <c r="E732" s="1050"/>
      <c r="F732" s="1049"/>
      <c r="G732" s="1049"/>
      <c r="H732" s="1049"/>
      <c r="I732" s="1049"/>
      <c r="J732" s="1050"/>
      <c r="K732" s="1050"/>
      <c r="L732" s="1043"/>
      <c r="M732" s="1051"/>
      <c r="N732" s="1051"/>
      <c r="O732" s="1052"/>
      <c r="P732" s="1051"/>
      <c r="Q732" s="1051"/>
      <c r="R732" s="1052"/>
      <c r="S732" s="1051"/>
      <c r="T732" s="1051"/>
      <c r="U732" s="1052"/>
      <c r="V732" s="1051"/>
      <c r="W732" s="1051"/>
      <c r="X732" s="1052"/>
      <c r="Y732" s="1053"/>
      <c r="Z732" s="1051"/>
      <c r="AA732" s="1051"/>
      <c r="AB732" s="1052"/>
      <c r="AC732" s="1051"/>
      <c r="AD732" s="1051"/>
      <c r="AE732" s="1052"/>
      <c r="AF732" s="1051"/>
      <c r="AG732" s="1051"/>
      <c r="AH732" s="1051"/>
      <c r="AI732" s="1051"/>
      <c r="AJ732" s="1052"/>
      <c r="AK732" s="1051"/>
      <c r="AL732" s="1051"/>
      <c r="AM732" s="1052"/>
      <c r="AN732" s="1051"/>
      <c r="AO732" s="1051"/>
      <c r="AP732" s="1052"/>
      <c r="AQ732" s="1051"/>
      <c r="AR732" s="1051"/>
      <c r="AS732" s="1052"/>
      <c r="AT732" s="1051"/>
      <c r="AU732" s="1051"/>
      <c r="AV732" s="1052"/>
      <c r="AW732" s="1051"/>
      <c r="AX732" s="1051"/>
      <c r="AY732" s="1053"/>
      <c r="AZ732" s="1051"/>
      <c r="BA732" s="1051"/>
      <c r="BB732" s="1053"/>
      <c r="BC732" s="1051"/>
      <c r="BD732" s="1051"/>
      <c r="BE732" s="1053"/>
      <c r="BF732" s="1051"/>
      <c r="BG732" s="1051"/>
      <c r="BH732" s="1053"/>
      <c r="BI732" s="1052"/>
      <c r="BJ732" s="1052"/>
      <c r="BK732" s="1052"/>
      <c r="BL732" s="1052"/>
      <c r="BM732" s="1052"/>
      <c r="BN732" s="1054"/>
      <c r="BO732" s="1076">
        <f t="shared" si="12"/>
        <v>0</v>
      </c>
      <c r="BP732" s="1051"/>
      <c r="BQ732" s="1052"/>
      <c r="BR732" s="1054"/>
      <c r="BS732" s="1053"/>
      <c r="BT732" s="1051"/>
      <c r="BU732" s="1051"/>
      <c r="BV732" s="1051"/>
      <c r="BW732" s="1052"/>
      <c r="BX732" s="1052"/>
      <c r="BY732" s="1052"/>
      <c r="BZ732" s="1052"/>
      <c r="CA732" s="1052"/>
      <c r="CB732" s="1053"/>
      <c r="CC732" s="1053"/>
      <c r="CD732" s="1053"/>
      <c r="CE732" s="1053"/>
      <c r="CF732" s="1053"/>
      <c r="CG732" s="1053"/>
      <c r="CH732" s="1053"/>
      <c r="CI732" s="1123"/>
      <c r="CJ732" s="1123"/>
      <c r="CK732" s="1123"/>
      <c r="CL732" s="1123"/>
      <c r="CM732" s="1123"/>
      <c r="CN732" s="1123"/>
      <c r="CO732" s="1123"/>
      <c r="CP732" s="1123"/>
      <c r="CQ732" s="1123"/>
      <c r="CR732" s="1123"/>
      <c r="CS732" s="1123"/>
      <c r="CT732" s="1123"/>
      <c r="CU732" s="1123"/>
      <c r="CV732" s="1123"/>
      <c r="CW732" s="1123"/>
      <c r="CX732" s="1123"/>
      <c r="CY732" s="1123"/>
      <c r="CZ732" s="1114"/>
      <c r="DA732" s="1114"/>
      <c r="DB732" s="1114"/>
      <c r="DC732" s="1114"/>
      <c r="DD732" s="1114"/>
      <c r="DE732" s="1114"/>
      <c r="DF732" s="1114"/>
      <c r="DG732" s="1114"/>
      <c r="DH732" s="1114"/>
      <c r="DI732" s="1114"/>
      <c r="DJ732" s="1114"/>
      <c r="DK732" s="1114"/>
      <c r="DL732" s="1114"/>
      <c r="DM732" s="1114"/>
      <c r="DN732" s="1114"/>
      <c r="DO732" s="1114"/>
      <c r="DP732" s="1114"/>
      <c r="DQ732" s="1114"/>
      <c r="DR732" s="1114"/>
      <c r="DS732" s="1114"/>
      <c r="DT732" s="1114"/>
      <c r="DU732" s="1114"/>
      <c r="DV732" s="1115"/>
      <c r="DW732" s="1116"/>
      <c r="DX732" s="1116"/>
      <c r="DY732" s="1116"/>
      <c r="DZ732" s="1116"/>
      <c r="EA732" s="1116"/>
      <c r="EB732" s="1116"/>
      <c r="EC732" s="1116"/>
      <c r="ED732" s="1116"/>
      <c r="EE732" s="1116"/>
      <c r="EF732" s="1116"/>
      <c r="EG732" s="1116"/>
      <c r="EH732" s="1116"/>
      <c r="EI732" s="1116"/>
      <c r="EJ732" s="1116"/>
      <c r="EK732" s="1116"/>
      <c r="EL732" s="1116"/>
      <c r="EM732" s="1116"/>
      <c r="EN732" s="1116"/>
      <c r="EO732" s="1116"/>
      <c r="EP732" s="1116"/>
      <c r="EQ732" s="1116"/>
      <c r="ER732" s="1116"/>
      <c r="ES732" s="1116"/>
    </row>
    <row r="733" spans="1:149" ht="15" customHeight="1">
      <c r="A733" s="1185">
        <v>723</v>
      </c>
      <c r="B733" s="1041"/>
      <c r="C733" s="1050"/>
      <c r="D733" s="1050"/>
      <c r="E733" s="1050"/>
      <c r="F733" s="1049"/>
      <c r="G733" s="1049"/>
      <c r="H733" s="1049"/>
      <c r="I733" s="1049"/>
      <c r="J733" s="1050"/>
      <c r="K733" s="1050"/>
      <c r="L733" s="1043"/>
      <c r="M733" s="1051"/>
      <c r="N733" s="1051"/>
      <c r="O733" s="1052"/>
      <c r="P733" s="1051"/>
      <c r="Q733" s="1051"/>
      <c r="R733" s="1052"/>
      <c r="S733" s="1051"/>
      <c r="T733" s="1051"/>
      <c r="U733" s="1052"/>
      <c r="V733" s="1051"/>
      <c r="W733" s="1051"/>
      <c r="X733" s="1052"/>
      <c r="Y733" s="1053"/>
      <c r="Z733" s="1051"/>
      <c r="AA733" s="1051"/>
      <c r="AB733" s="1052"/>
      <c r="AC733" s="1051"/>
      <c r="AD733" s="1051"/>
      <c r="AE733" s="1052"/>
      <c r="AF733" s="1051"/>
      <c r="AG733" s="1051"/>
      <c r="AH733" s="1051"/>
      <c r="AI733" s="1051"/>
      <c r="AJ733" s="1052"/>
      <c r="AK733" s="1051"/>
      <c r="AL733" s="1051"/>
      <c r="AM733" s="1052"/>
      <c r="AN733" s="1051"/>
      <c r="AO733" s="1051"/>
      <c r="AP733" s="1052"/>
      <c r="AQ733" s="1051"/>
      <c r="AR733" s="1051"/>
      <c r="AS733" s="1052"/>
      <c r="AT733" s="1051"/>
      <c r="AU733" s="1051"/>
      <c r="AV733" s="1052"/>
      <c r="AW733" s="1051"/>
      <c r="AX733" s="1051"/>
      <c r="AY733" s="1053"/>
      <c r="AZ733" s="1051"/>
      <c r="BA733" s="1051"/>
      <c r="BB733" s="1053"/>
      <c r="BC733" s="1051"/>
      <c r="BD733" s="1051"/>
      <c r="BE733" s="1053"/>
      <c r="BF733" s="1051"/>
      <c r="BG733" s="1051"/>
      <c r="BH733" s="1053"/>
      <c r="BI733" s="1052"/>
      <c r="BJ733" s="1052"/>
      <c r="BK733" s="1052"/>
      <c r="BL733" s="1052"/>
      <c r="BM733" s="1052"/>
      <c r="BN733" s="1054"/>
      <c r="BO733" s="1076">
        <f t="shared" si="12"/>
        <v>0</v>
      </c>
      <c r="BP733" s="1051"/>
      <c r="BQ733" s="1052"/>
      <c r="BR733" s="1054"/>
      <c r="BS733" s="1053"/>
      <c r="BT733" s="1051"/>
      <c r="BU733" s="1051"/>
      <c r="BV733" s="1051"/>
      <c r="BW733" s="1052"/>
      <c r="BX733" s="1052"/>
      <c r="BY733" s="1052"/>
      <c r="BZ733" s="1052"/>
      <c r="CA733" s="1052"/>
      <c r="CB733" s="1053"/>
      <c r="CC733" s="1053"/>
      <c r="CD733" s="1053"/>
      <c r="CE733" s="1053"/>
      <c r="CF733" s="1053"/>
      <c r="CG733" s="1053"/>
      <c r="CH733" s="1053"/>
      <c r="CI733" s="1123"/>
      <c r="CJ733" s="1123"/>
      <c r="CK733" s="1123"/>
      <c r="CL733" s="1123"/>
      <c r="CM733" s="1123"/>
      <c r="CN733" s="1123"/>
      <c r="CO733" s="1123"/>
      <c r="CP733" s="1123"/>
      <c r="CQ733" s="1123"/>
      <c r="CR733" s="1123"/>
      <c r="CS733" s="1123"/>
      <c r="CT733" s="1123"/>
      <c r="CU733" s="1123"/>
      <c r="CV733" s="1123"/>
      <c r="CW733" s="1123"/>
      <c r="CX733" s="1123"/>
      <c r="CY733" s="1123"/>
      <c r="CZ733" s="1114"/>
      <c r="DA733" s="1114"/>
      <c r="DB733" s="1114"/>
      <c r="DC733" s="1114"/>
      <c r="DD733" s="1114"/>
      <c r="DE733" s="1114"/>
      <c r="DF733" s="1114"/>
      <c r="DG733" s="1114"/>
      <c r="DH733" s="1114"/>
      <c r="DI733" s="1114"/>
      <c r="DJ733" s="1114"/>
      <c r="DK733" s="1114"/>
      <c r="DL733" s="1114"/>
      <c r="DM733" s="1114"/>
      <c r="DN733" s="1114"/>
      <c r="DO733" s="1114"/>
      <c r="DP733" s="1114"/>
      <c r="DQ733" s="1114"/>
      <c r="DR733" s="1114"/>
      <c r="DS733" s="1114"/>
      <c r="DT733" s="1114"/>
      <c r="DU733" s="1114"/>
      <c r="DV733" s="1115"/>
      <c r="DW733" s="1116"/>
      <c r="DX733" s="1116"/>
      <c r="DY733" s="1116"/>
      <c r="DZ733" s="1116"/>
      <c r="EA733" s="1116"/>
      <c r="EB733" s="1116"/>
      <c r="EC733" s="1116"/>
      <c r="ED733" s="1116"/>
      <c r="EE733" s="1116"/>
      <c r="EF733" s="1116"/>
      <c r="EG733" s="1116"/>
      <c r="EH733" s="1116"/>
      <c r="EI733" s="1116"/>
      <c r="EJ733" s="1116"/>
      <c r="EK733" s="1116"/>
      <c r="EL733" s="1116"/>
      <c r="EM733" s="1116"/>
      <c r="EN733" s="1116"/>
      <c r="EO733" s="1116"/>
      <c r="EP733" s="1116"/>
      <c r="EQ733" s="1116"/>
      <c r="ER733" s="1116"/>
      <c r="ES733" s="1116"/>
    </row>
    <row r="734" spans="1:149" ht="15" customHeight="1">
      <c r="A734" s="1185">
        <v>724</v>
      </c>
      <c r="B734" s="1041"/>
      <c r="C734" s="1050"/>
      <c r="D734" s="1050"/>
      <c r="E734" s="1050"/>
      <c r="F734" s="1049"/>
      <c r="G734" s="1049"/>
      <c r="H734" s="1049"/>
      <c r="I734" s="1049"/>
      <c r="J734" s="1050"/>
      <c r="K734" s="1050"/>
      <c r="L734" s="1043"/>
      <c r="M734" s="1051"/>
      <c r="N734" s="1051"/>
      <c r="O734" s="1052"/>
      <c r="P734" s="1051"/>
      <c r="Q734" s="1051"/>
      <c r="R734" s="1052"/>
      <c r="S734" s="1051"/>
      <c r="T734" s="1051"/>
      <c r="U734" s="1052"/>
      <c r="V734" s="1051"/>
      <c r="W734" s="1051"/>
      <c r="X734" s="1052"/>
      <c r="Y734" s="1053"/>
      <c r="Z734" s="1051"/>
      <c r="AA734" s="1051"/>
      <c r="AB734" s="1052"/>
      <c r="AC734" s="1051"/>
      <c r="AD734" s="1051"/>
      <c r="AE734" s="1052"/>
      <c r="AF734" s="1051"/>
      <c r="AG734" s="1051"/>
      <c r="AH734" s="1051"/>
      <c r="AI734" s="1051"/>
      <c r="AJ734" s="1052"/>
      <c r="AK734" s="1051"/>
      <c r="AL734" s="1051"/>
      <c r="AM734" s="1052"/>
      <c r="AN734" s="1051"/>
      <c r="AO734" s="1051"/>
      <c r="AP734" s="1052"/>
      <c r="AQ734" s="1051"/>
      <c r="AR734" s="1051"/>
      <c r="AS734" s="1052"/>
      <c r="AT734" s="1051"/>
      <c r="AU734" s="1051"/>
      <c r="AV734" s="1052"/>
      <c r="AW734" s="1051"/>
      <c r="AX734" s="1051"/>
      <c r="AY734" s="1053"/>
      <c r="AZ734" s="1051"/>
      <c r="BA734" s="1051"/>
      <c r="BB734" s="1053"/>
      <c r="BC734" s="1051"/>
      <c r="BD734" s="1051"/>
      <c r="BE734" s="1053"/>
      <c r="BF734" s="1051"/>
      <c r="BG734" s="1051"/>
      <c r="BH734" s="1053"/>
      <c r="BI734" s="1052"/>
      <c r="BJ734" s="1052"/>
      <c r="BK734" s="1052"/>
      <c r="BL734" s="1052"/>
      <c r="BM734" s="1052"/>
      <c r="BN734" s="1054"/>
      <c r="BO734" s="1076">
        <f t="shared" si="12"/>
        <v>0</v>
      </c>
      <c r="BP734" s="1051"/>
      <c r="BQ734" s="1052"/>
      <c r="BR734" s="1054"/>
      <c r="BS734" s="1053"/>
      <c r="BT734" s="1051"/>
      <c r="BU734" s="1051"/>
      <c r="BV734" s="1051"/>
      <c r="BW734" s="1052"/>
      <c r="BX734" s="1052"/>
      <c r="BY734" s="1052"/>
      <c r="BZ734" s="1052"/>
      <c r="CA734" s="1052"/>
      <c r="CB734" s="1053"/>
      <c r="CC734" s="1053"/>
      <c r="CD734" s="1053"/>
      <c r="CE734" s="1053"/>
      <c r="CF734" s="1053"/>
      <c r="CG734" s="1053"/>
      <c r="CH734" s="1053"/>
      <c r="CI734" s="1123"/>
      <c r="CJ734" s="1123"/>
      <c r="CK734" s="1123"/>
      <c r="CL734" s="1123"/>
      <c r="CM734" s="1123"/>
      <c r="CN734" s="1123"/>
      <c r="CO734" s="1123"/>
      <c r="CP734" s="1123"/>
      <c r="CQ734" s="1123"/>
      <c r="CR734" s="1123"/>
      <c r="CS734" s="1123"/>
      <c r="CT734" s="1123"/>
      <c r="CU734" s="1123"/>
      <c r="CV734" s="1123"/>
      <c r="CW734" s="1123"/>
      <c r="CX734" s="1123"/>
      <c r="CY734" s="1123"/>
      <c r="CZ734" s="1114"/>
      <c r="DA734" s="1114"/>
      <c r="DB734" s="1114"/>
      <c r="DC734" s="1114"/>
      <c r="DD734" s="1114"/>
      <c r="DE734" s="1114"/>
      <c r="DF734" s="1114"/>
      <c r="DG734" s="1114"/>
      <c r="DH734" s="1114"/>
      <c r="DI734" s="1114"/>
      <c r="DJ734" s="1114"/>
      <c r="DK734" s="1114"/>
      <c r="DL734" s="1114"/>
      <c r="DM734" s="1114"/>
      <c r="DN734" s="1114"/>
      <c r="DO734" s="1114"/>
      <c r="DP734" s="1114"/>
      <c r="DQ734" s="1114"/>
      <c r="DR734" s="1114"/>
      <c r="DS734" s="1114"/>
      <c r="DT734" s="1114"/>
      <c r="DU734" s="1114"/>
      <c r="DV734" s="1115"/>
      <c r="DW734" s="1116"/>
      <c r="DX734" s="1116"/>
      <c r="DY734" s="1116"/>
      <c r="DZ734" s="1116"/>
      <c r="EA734" s="1116"/>
      <c r="EB734" s="1116"/>
      <c r="EC734" s="1116"/>
      <c r="ED734" s="1116"/>
      <c r="EE734" s="1116"/>
      <c r="EF734" s="1116"/>
      <c r="EG734" s="1116"/>
      <c r="EH734" s="1116"/>
      <c r="EI734" s="1116"/>
      <c r="EJ734" s="1116"/>
      <c r="EK734" s="1116"/>
      <c r="EL734" s="1116"/>
      <c r="EM734" s="1116"/>
      <c r="EN734" s="1116"/>
      <c r="EO734" s="1116"/>
      <c r="EP734" s="1116"/>
      <c r="EQ734" s="1116"/>
      <c r="ER734" s="1116"/>
      <c r="ES734" s="1116"/>
    </row>
    <row r="735" spans="1:149" ht="15" customHeight="1">
      <c r="A735" s="1185">
        <v>725</v>
      </c>
      <c r="B735" s="1041"/>
      <c r="C735" s="1050"/>
      <c r="D735" s="1050"/>
      <c r="E735" s="1050"/>
      <c r="F735" s="1049"/>
      <c r="G735" s="1049"/>
      <c r="H735" s="1049"/>
      <c r="I735" s="1049"/>
      <c r="J735" s="1050"/>
      <c r="K735" s="1050"/>
      <c r="L735" s="1043"/>
      <c r="M735" s="1051"/>
      <c r="N735" s="1051"/>
      <c r="O735" s="1052"/>
      <c r="P735" s="1051"/>
      <c r="Q735" s="1051"/>
      <c r="R735" s="1052"/>
      <c r="S735" s="1051"/>
      <c r="T735" s="1051"/>
      <c r="U735" s="1052"/>
      <c r="V735" s="1051"/>
      <c r="W735" s="1051"/>
      <c r="X735" s="1052"/>
      <c r="Y735" s="1053"/>
      <c r="Z735" s="1051"/>
      <c r="AA735" s="1051"/>
      <c r="AB735" s="1052"/>
      <c r="AC735" s="1051"/>
      <c r="AD735" s="1051"/>
      <c r="AE735" s="1052"/>
      <c r="AF735" s="1051"/>
      <c r="AG735" s="1051"/>
      <c r="AH735" s="1051"/>
      <c r="AI735" s="1051"/>
      <c r="AJ735" s="1052"/>
      <c r="AK735" s="1051"/>
      <c r="AL735" s="1051"/>
      <c r="AM735" s="1052"/>
      <c r="AN735" s="1051"/>
      <c r="AO735" s="1051"/>
      <c r="AP735" s="1052"/>
      <c r="AQ735" s="1051"/>
      <c r="AR735" s="1051"/>
      <c r="AS735" s="1052"/>
      <c r="AT735" s="1051"/>
      <c r="AU735" s="1051"/>
      <c r="AV735" s="1052"/>
      <c r="AW735" s="1051"/>
      <c r="AX735" s="1051"/>
      <c r="AY735" s="1053"/>
      <c r="AZ735" s="1051"/>
      <c r="BA735" s="1051"/>
      <c r="BB735" s="1053"/>
      <c r="BC735" s="1051"/>
      <c r="BD735" s="1051"/>
      <c r="BE735" s="1053"/>
      <c r="BF735" s="1051"/>
      <c r="BG735" s="1051"/>
      <c r="BH735" s="1053"/>
      <c r="BI735" s="1052"/>
      <c r="BJ735" s="1052"/>
      <c r="BK735" s="1052"/>
      <c r="BL735" s="1052"/>
      <c r="BM735" s="1052"/>
      <c r="BN735" s="1054"/>
      <c r="BO735" s="1076">
        <f t="shared" si="12"/>
        <v>0</v>
      </c>
      <c r="BP735" s="1051"/>
      <c r="BQ735" s="1052"/>
      <c r="BR735" s="1054"/>
      <c r="BS735" s="1053"/>
      <c r="BT735" s="1051"/>
      <c r="BU735" s="1051"/>
      <c r="BV735" s="1051"/>
      <c r="BW735" s="1052"/>
      <c r="BX735" s="1052"/>
      <c r="BY735" s="1052"/>
      <c r="BZ735" s="1052"/>
      <c r="CA735" s="1052"/>
      <c r="CB735" s="1053"/>
      <c r="CC735" s="1053"/>
      <c r="CD735" s="1053"/>
      <c r="CE735" s="1053"/>
      <c r="CF735" s="1053"/>
      <c r="CG735" s="1053"/>
      <c r="CH735" s="1053"/>
      <c r="CI735" s="1123"/>
      <c r="CJ735" s="1123"/>
      <c r="CK735" s="1123"/>
      <c r="CL735" s="1123"/>
      <c r="CM735" s="1123"/>
      <c r="CN735" s="1123"/>
      <c r="CO735" s="1123"/>
      <c r="CP735" s="1123"/>
      <c r="CQ735" s="1123"/>
      <c r="CR735" s="1123"/>
      <c r="CS735" s="1123"/>
      <c r="CT735" s="1123"/>
      <c r="CU735" s="1123"/>
      <c r="CV735" s="1123"/>
      <c r="CW735" s="1123"/>
      <c r="CX735" s="1123"/>
      <c r="CY735" s="1123"/>
      <c r="CZ735" s="1114"/>
      <c r="DA735" s="1114"/>
      <c r="DB735" s="1114"/>
      <c r="DC735" s="1114"/>
      <c r="DD735" s="1114"/>
      <c r="DE735" s="1114"/>
      <c r="DF735" s="1114"/>
      <c r="DG735" s="1114"/>
      <c r="DH735" s="1114"/>
      <c r="DI735" s="1114"/>
      <c r="DJ735" s="1114"/>
      <c r="DK735" s="1114"/>
      <c r="DL735" s="1114"/>
      <c r="DM735" s="1114"/>
      <c r="DN735" s="1114"/>
      <c r="DO735" s="1114"/>
      <c r="DP735" s="1114"/>
      <c r="DQ735" s="1114"/>
      <c r="DR735" s="1114"/>
      <c r="DS735" s="1114"/>
      <c r="DT735" s="1114"/>
      <c r="DU735" s="1114"/>
      <c r="DV735" s="1115"/>
      <c r="DW735" s="1116"/>
      <c r="DX735" s="1116"/>
      <c r="DY735" s="1116"/>
      <c r="DZ735" s="1116"/>
      <c r="EA735" s="1116"/>
      <c r="EB735" s="1116"/>
      <c r="EC735" s="1116"/>
      <c r="ED735" s="1116"/>
      <c r="EE735" s="1116"/>
      <c r="EF735" s="1116"/>
      <c r="EG735" s="1116"/>
      <c r="EH735" s="1116"/>
      <c r="EI735" s="1116"/>
      <c r="EJ735" s="1116"/>
      <c r="EK735" s="1116"/>
      <c r="EL735" s="1116"/>
      <c r="EM735" s="1116"/>
      <c r="EN735" s="1116"/>
      <c r="EO735" s="1116"/>
      <c r="EP735" s="1116"/>
      <c r="EQ735" s="1116"/>
      <c r="ER735" s="1116"/>
      <c r="ES735" s="1116"/>
    </row>
    <row r="736" spans="1:149" ht="15" customHeight="1">
      <c r="A736" s="1185">
        <v>726</v>
      </c>
      <c r="B736" s="1041"/>
      <c r="C736" s="1050"/>
      <c r="D736" s="1050"/>
      <c r="E736" s="1050"/>
      <c r="F736" s="1049"/>
      <c r="G736" s="1049"/>
      <c r="H736" s="1049"/>
      <c r="I736" s="1049"/>
      <c r="J736" s="1050"/>
      <c r="K736" s="1050"/>
      <c r="L736" s="1043"/>
      <c r="M736" s="1051"/>
      <c r="N736" s="1051"/>
      <c r="O736" s="1052"/>
      <c r="P736" s="1051"/>
      <c r="Q736" s="1051"/>
      <c r="R736" s="1052"/>
      <c r="S736" s="1051"/>
      <c r="T736" s="1051"/>
      <c r="U736" s="1052"/>
      <c r="V736" s="1051"/>
      <c r="W736" s="1051"/>
      <c r="X736" s="1052"/>
      <c r="Y736" s="1053"/>
      <c r="Z736" s="1051"/>
      <c r="AA736" s="1051"/>
      <c r="AB736" s="1052"/>
      <c r="AC736" s="1051"/>
      <c r="AD736" s="1051"/>
      <c r="AE736" s="1052"/>
      <c r="AF736" s="1051"/>
      <c r="AG736" s="1051"/>
      <c r="AH736" s="1051"/>
      <c r="AI736" s="1051"/>
      <c r="AJ736" s="1052"/>
      <c r="AK736" s="1051"/>
      <c r="AL736" s="1051"/>
      <c r="AM736" s="1052"/>
      <c r="AN736" s="1051"/>
      <c r="AO736" s="1051"/>
      <c r="AP736" s="1052"/>
      <c r="AQ736" s="1051"/>
      <c r="AR736" s="1051"/>
      <c r="AS736" s="1052"/>
      <c r="AT736" s="1051"/>
      <c r="AU736" s="1051"/>
      <c r="AV736" s="1052"/>
      <c r="AW736" s="1051"/>
      <c r="AX736" s="1051"/>
      <c r="AY736" s="1053"/>
      <c r="AZ736" s="1051"/>
      <c r="BA736" s="1051"/>
      <c r="BB736" s="1053"/>
      <c r="BC736" s="1051"/>
      <c r="BD736" s="1051"/>
      <c r="BE736" s="1053"/>
      <c r="BF736" s="1051"/>
      <c r="BG736" s="1051"/>
      <c r="BH736" s="1053"/>
      <c r="BI736" s="1052"/>
      <c r="BJ736" s="1052"/>
      <c r="BK736" s="1052"/>
      <c r="BL736" s="1052"/>
      <c r="BM736" s="1052"/>
      <c r="BN736" s="1054"/>
      <c r="BO736" s="1076">
        <f t="shared" si="12"/>
        <v>0</v>
      </c>
      <c r="BP736" s="1051"/>
      <c r="BQ736" s="1052"/>
      <c r="BR736" s="1054"/>
      <c r="BS736" s="1053"/>
      <c r="BT736" s="1051"/>
      <c r="BU736" s="1051"/>
      <c r="BV736" s="1051"/>
      <c r="BW736" s="1052"/>
      <c r="BX736" s="1052"/>
      <c r="BY736" s="1052"/>
      <c r="BZ736" s="1052"/>
      <c r="CA736" s="1052"/>
      <c r="CB736" s="1053"/>
      <c r="CC736" s="1053"/>
      <c r="CD736" s="1053"/>
      <c r="CE736" s="1053"/>
      <c r="CF736" s="1053"/>
      <c r="CG736" s="1053"/>
      <c r="CH736" s="1053"/>
      <c r="CI736" s="1123"/>
      <c r="CJ736" s="1123"/>
      <c r="CK736" s="1123"/>
      <c r="CL736" s="1123"/>
      <c r="CM736" s="1123"/>
      <c r="CN736" s="1123"/>
      <c r="CO736" s="1123"/>
      <c r="CP736" s="1123"/>
      <c r="CQ736" s="1123"/>
      <c r="CR736" s="1123"/>
      <c r="CS736" s="1123"/>
      <c r="CT736" s="1123"/>
      <c r="CU736" s="1123"/>
      <c r="CV736" s="1123"/>
      <c r="CW736" s="1123"/>
      <c r="CX736" s="1123"/>
      <c r="CY736" s="1123"/>
      <c r="CZ736" s="1114"/>
      <c r="DA736" s="1114"/>
      <c r="DB736" s="1114"/>
      <c r="DC736" s="1114"/>
      <c r="DD736" s="1114"/>
      <c r="DE736" s="1114"/>
      <c r="DF736" s="1114"/>
      <c r="DG736" s="1114"/>
      <c r="DH736" s="1114"/>
      <c r="DI736" s="1114"/>
      <c r="DJ736" s="1114"/>
      <c r="DK736" s="1114"/>
      <c r="DL736" s="1114"/>
      <c r="DM736" s="1114"/>
      <c r="DN736" s="1114"/>
      <c r="DO736" s="1114"/>
      <c r="DP736" s="1114"/>
      <c r="DQ736" s="1114"/>
      <c r="DR736" s="1114"/>
      <c r="DS736" s="1114"/>
      <c r="DT736" s="1114"/>
      <c r="DU736" s="1114"/>
      <c r="DV736" s="1115"/>
      <c r="DW736" s="1116"/>
      <c r="DX736" s="1116"/>
      <c r="DY736" s="1116"/>
      <c r="DZ736" s="1116"/>
      <c r="EA736" s="1116"/>
      <c r="EB736" s="1116"/>
      <c r="EC736" s="1116"/>
      <c r="ED736" s="1116"/>
      <c r="EE736" s="1116"/>
      <c r="EF736" s="1116"/>
      <c r="EG736" s="1116"/>
      <c r="EH736" s="1116"/>
      <c r="EI736" s="1116"/>
      <c r="EJ736" s="1116"/>
      <c r="EK736" s="1116"/>
      <c r="EL736" s="1116"/>
      <c r="EM736" s="1116"/>
      <c r="EN736" s="1116"/>
      <c r="EO736" s="1116"/>
      <c r="EP736" s="1116"/>
      <c r="EQ736" s="1116"/>
      <c r="ER736" s="1116"/>
      <c r="ES736" s="1116"/>
    </row>
    <row r="737" spans="1:149" ht="15" customHeight="1">
      <c r="A737" s="1185">
        <v>727</v>
      </c>
      <c r="B737" s="1041"/>
      <c r="C737" s="1050"/>
      <c r="D737" s="1050"/>
      <c r="E737" s="1050"/>
      <c r="F737" s="1049"/>
      <c r="G737" s="1049"/>
      <c r="H737" s="1049"/>
      <c r="I737" s="1049"/>
      <c r="J737" s="1050"/>
      <c r="K737" s="1050"/>
      <c r="L737" s="1043"/>
      <c r="M737" s="1051"/>
      <c r="N737" s="1051"/>
      <c r="O737" s="1052"/>
      <c r="P737" s="1051"/>
      <c r="Q737" s="1051"/>
      <c r="R737" s="1052"/>
      <c r="S737" s="1051"/>
      <c r="T737" s="1051"/>
      <c r="U737" s="1052"/>
      <c r="V737" s="1051"/>
      <c r="W737" s="1051"/>
      <c r="X737" s="1052"/>
      <c r="Y737" s="1053"/>
      <c r="Z737" s="1051"/>
      <c r="AA737" s="1051"/>
      <c r="AB737" s="1052"/>
      <c r="AC737" s="1051"/>
      <c r="AD737" s="1051"/>
      <c r="AE737" s="1052"/>
      <c r="AF737" s="1051"/>
      <c r="AG737" s="1051"/>
      <c r="AH737" s="1051"/>
      <c r="AI737" s="1051"/>
      <c r="AJ737" s="1052"/>
      <c r="AK737" s="1051"/>
      <c r="AL737" s="1051"/>
      <c r="AM737" s="1052"/>
      <c r="AN737" s="1051"/>
      <c r="AO737" s="1051"/>
      <c r="AP737" s="1052"/>
      <c r="AQ737" s="1051"/>
      <c r="AR737" s="1051"/>
      <c r="AS737" s="1052"/>
      <c r="AT737" s="1051"/>
      <c r="AU737" s="1051"/>
      <c r="AV737" s="1052"/>
      <c r="AW737" s="1051"/>
      <c r="AX737" s="1051"/>
      <c r="AY737" s="1053"/>
      <c r="AZ737" s="1051"/>
      <c r="BA737" s="1051"/>
      <c r="BB737" s="1053"/>
      <c r="BC737" s="1051"/>
      <c r="BD737" s="1051"/>
      <c r="BE737" s="1053"/>
      <c r="BF737" s="1051"/>
      <c r="BG737" s="1051"/>
      <c r="BH737" s="1053"/>
      <c r="BI737" s="1052"/>
      <c r="BJ737" s="1052"/>
      <c r="BK737" s="1052"/>
      <c r="BL737" s="1052"/>
      <c r="BM737" s="1052"/>
      <c r="BN737" s="1054"/>
      <c r="BO737" s="1076">
        <f t="shared" si="12"/>
        <v>0</v>
      </c>
      <c r="BP737" s="1051"/>
      <c r="BQ737" s="1052"/>
      <c r="BR737" s="1054"/>
      <c r="BS737" s="1053"/>
      <c r="BT737" s="1051"/>
      <c r="BU737" s="1051"/>
      <c r="BV737" s="1051"/>
      <c r="BW737" s="1052"/>
      <c r="BX737" s="1052"/>
      <c r="BY737" s="1052"/>
      <c r="BZ737" s="1052"/>
      <c r="CA737" s="1052"/>
      <c r="CB737" s="1053"/>
      <c r="CC737" s="1053"/>
      <c r="CD737" s="1053"/>
      <c r="CE737" s="1053"/>
      <c r="CF737" s="1053"/>
      <c r="CG737" s="1053"/>
      <c r="CH737" s="1053"/>
      <c r="CI737" s="1123"/>
      <c r="CJ737" s="1123"/>
      <c r="CK737" s="1123"/>
      <c r="CL737" s="1123"/>
      <c r="CM737" s="1123"/>
      <c r="CN737" s="1123"/>
      <c r="CO737" s="1123"/>
      <c r="CP737" s="1123"/>
      <c r="CQ737" s="1123"/>
      <c r="CR737" s="1123"/>
      <c r="CS737" s="1123"/>
      <c r="CT737" s="1123"/>
      <c r="CU737" s="1123"/>
      <c r="CV737" s="1123"/>
      <c r="CW737" s="1123"/>
      <c r="CX737" s="1123"/>
      <c r="CY737" s="1123"/>
      <c r="CZ737" s="1114"/>
      <c r="DA737" s="1114"/>
      <c r="DB737" s="1114"/>
      <c r="DC737" s="1114"/>
      <c r="DD737" s="1114"/>
      <c r="DE737" s="1114"/>
      <c r="DF737" s="1114"/>
      <c r="DG737" s="1114"/>
      <c r="DH737" s="1114"/>
      <c r="DI737" s="1114"/>
      <c r="DJ737" s="1114"/>
      <c r="DK737" s="1114"/>
      <c r="DL737" s="1114"/>
      <c r="DM737" s="1114"/>
      <c r="DN737" s="1114"/>
      <c r="DO737" s="1114"/>
      <c r="DP737" s="1114"/>
      <c r="DQ737" s="1114"/>
      <c r="DR737" s="1114"/>
      <c r="DS737" s="1114"/>
      <c r="DT737" s="1114"/>
      <c r="DU737" s="1114"/>
      <c r="DV737" s="1115"/>
      <c r="DW737" s="1116"/>
      <c r="DX737" s="1116"/>
      <c r="DY737" s="1116"/>
      <c r="DZ737" s="1116"/>
      <c r="EA737" s="1116"/>
      <c r="EB737" s="1116"/>
      <c r="EC737" s="1116"/>
      <c r="ED737" s="1116"/>
      <c r="EE737" s="1116"/>
      <c r="EF737" s="1116"/>
      <c r="EG737" s="1116"/>
      <c r="EH737" s="1116"/>
      <c r="EI737" s="1116"/>
      <c r="EJ737" s="1116"/>
      <c r="EK737" s="1116"/>
      <c r="EL737" s="1116"/>
      <c r="EM737" s="1116"/>
      <c r="EN737" s="1116"/>
      <c r="EO737" s="1116"/>
      <c r="EP737" s="1116"/>
      <c r="EQ737" s="1116"/>
      <c r="ER737" s="1116"/>
      <c r="ES737" s="1116"/>
    </row>
    <row r="738" spans="1:149" ht="15" customHeight="1">
      <c r="A738" s="1185">
        <v>728</v>
      </c>
      <c r="B738" s="1041"/>
      <c r="C738" s="1050"/>
      <c r="D738" s="1050"/>
      <c r="E738" s="1050"/>
      <c r="F738" s="1049"/>
      <c r="G738" s="1049"/>
      <c r="H738" s="1049"/>
      <c r="I738" s="1049"/>
      <c r="J738" s="1050"/>
      <c r="K738" s="1050"/>
      <c r="L738" s="1043"/>
      <c r="M738" s="1051"/>
      <c r="N738" s="1051"/>
      <c r="O738" s="1052"/>
      <c r="P738" s="1051"/>
      <c r="Q738" s="1051"/>
      <c r="R738" s="1052"/>
      <c r="S738" s="1051"/>
      <c r="T738" s="1051"/>
      <c r="U738" s="1052"/>
      <c r="V738" s="1051"/>
      <c r="W738" s="1051"/>
      <c r="X738" s="1052"/>
      <c r="Y738" s="1053"/>
      <c r="Z738" s="1051"/>
      <c r="AA738" s="1051"/>
      <c r="AB738" s="1052"/>
      <c r="AC738" s="1051"/>
      <c r="AD738" s="1051"/>
      <c r="AE738" s="1052"/>
      <c r="AF738" s="1051"/>
      <c r="AG738" s="1051"/>
      <c r="AH738" s="1051"/>
      <c r="AI738" s="1051"/>
      <c r="AJ738" s="1052"/>
      <c r="AK738" s="1051"/>
      <c r="AL738" s="1051"/>
      <c r="AM738" s="1052"/>
      <c r="AN738" s="1051"/>
      <c r="AO738" s="1051"/>
      <c r="AP738" s="1052"/>
      <c r="AQ738" s="1051"/>
      <c r="AR738" s="1051"/>
      <c r="AS738" s="1052"/>
      <c r="AT738" s="1051"/>
      <c r="AU738" s="1051"/>
      <c r="AV738" s="1052"/>
      <c r="AW738" s="1051"/>
      <c r="AX738" s="1051"/>
      <c r="AY738" s="1053"/>
      <c r="AZ738" s="1051"/>
      <c r="BA738" s="1051"/>
      <c r="BB738" s="1053"/>
      <c r="BC738" s="1051"/>
      <c r="BD738" s="1051"/>
      <c r="BE738" s="1053"/>
      <c r="BF738" s="1051"/>
      <c r="BG738" s="1051"/>
      <c r="BH738" s="1053"/>
      <c r="BI738" s="1052"/>
      <c r="BJ738" s="1052"/>
      <c r="BK738" s="1052"/>
      <c r="BL738" s="1052"/>
      <c r="BM738" s="1052"/>
      <c r="BN738" s="1054"/>
      <c r="BO738" s="1076">
        <f t="shared" si="12"/>
        <v>0</v>
      </c>
      <c r="BP738" s="1051"/>
      <c r="BQ738" s="1052"/>
      <c r="BR738" s="1054"/>
      <c r="BS738" s="1053"/>
      <c r="BT738" s="1051"/>
      <c r="BU738" s="1051"/>
      <c r="BV738" s="1051"/>
      <c r="BW738" s="1052"/>
      <c r="BX738" s="1052"/>
      <c r="BY738" s="1052"/>
      <c r="BZ738" s="1052"/>
      <c r="CA738" s="1052"/>
      <c r="CB738" s="1053"/>
      <c r="CC738" s="1053"/>
      <c r="CD738" s="1053"/>
      <c r="CE738" s="1053"/>
      <c r="CF738" s="1053"/>
      <c r="CG738" s="1053"/>
      <c r="CH738" s="1053"/>
      <c r="CI738" s="1123"/>
      <c r="CJ738" s="1123"/>
      <c r="CK738" s="1123"/>
      <c r="CL738" s="1123"/>
      <c r="CM738" s="1123"/>
      <c r="CN738" s="1123"/>
      <c r="CO738" s="1123"/>
      <c r="CP738" s="1123"/>
      <c r="CQ738" s="1123"/>
      <c r="CR738" s="1123"/>
      <c r="CS738" s="1123"/>
      <c r="CT738" s="1123"/>
      <c r="CU738" s="1123"/>
      <c r="CV738" s="1123"/>
      <c r="CW738" s="1123"/>
      <c r="CX738" s="1123"/>
      <c r="CY738" s="1123"/>
      <c r="CZ738" s="1114"/>
      <c r="DA738" s="1114"/>
      <c r="DB738" s="1114"/>
      <c r="DC738" s="1114"/>
      <c r="DD738" s="1114"/>
      <c r="DE738" s="1114"/>
      <c r="DF738" s="1114"/>
      <c r="DG738" s="1114"/>
      <c r="DH738" s="1114"/>
      <c r="DI738" s="1114"/>
      <c r="DJ738" s="1114"/>
      <c r="DK738" s="1114"/>
      <c r="DL738" s="1114"/>
      <c r="DM738" s="1114"/>
      <c r="DN738" s="1114"/>
      <c r="DO738" s="1114"/>
      <c r="DP738" s="1114"/>
      <c r="DQ738" s="1114"/>
      <c r="DR738" s="1114"/>
      <c r="DS738" s="1114"/>
      <c r="DT738" s="1114"/>
      <c r="DU738" s="1114"/>
      <c r="DV738" s="1115"/>
      <c r="DW738" s="1116"/>
      <c r="DX738" s="1116"/>
      <c r="DY738" s="1116"/>
      <c r="DZ738" s="1116"/>
      <c r="EA738" s="1116"/>
      <c r="EB738" s="1116"/>
      <c r="EC738" s="1116"/>
      <c r="ED738" s="1116"/>
      <c r="EE738" s="1116"/>
      <c r="EF738" s="1116"/>
      <c r="EG738" s="1116"/>
      <c r="EH738" s="1116"/>
      <c r="EI738" s="1116"/>
      <c r="EJ738" s="1116"/>
      <c r="EK738" s="1116"/>
      <c r="EL738" s="1116"/>
      <c r="EM738" s="1116"/>
      <c r="EN738" s="1116"/>
      <c r="EO738" s="1116"/>
      <c r="EP738" s="1116"/>
      <c r="EQ738" s="1116"/>
      <c r="ER738" s="1116"/>
      <c r="ES738" s="1116"/>
    </row>
    <row r="739" spans="1:149" ht="15" customHeight="1">
      <c r="A739" s="1185">
        <v>729</v>
      </c>
      <c r="B739" s="1041"/>
      <c r="C739" s="1050"/>
      <c r="D739" s="1050"/>
      <c r="E739" s="1050"/>
      <c r="F739" s="1049"/>
      <c r="G739" s="1049"/>
      <c r="H739" s="1049"/>
      <c r="I739" s="1049"/>
      <c r="J739" s="1050"/>
      <c r="K739" s="1050"/>
      <c r="L739" s="1043"/>
      <c r="M739" s="1051"/>
      <c r="N739" s="1051"/>
      <c r="O739" s="1052"/>
      <c r="P739" s="1051"/>
      <c r="Q739" s="1051"/>
      <c r="R739" s="1052"/>
      <c r="S739" s="1051"/>
      <c r="T739" s="1051"/>
      <c r="U739" s="1052"/>
      <c r="V739" s="1051"/>
      <c r="W739" s="1051"/>
      <c r="X739" s="1052"/>
      <c r="Y739" s="1053"/>
      <c r="Z739" s="1051"/>
      <c r="AA739" s="1051"/>
      <c r="AB739" s="1052"/>
      <c r="AC739" s="1051"/>
      <c r="AD739" s="1051"/>
      <c r="AE739" s="1052"/>
      <c r="AF739" s="1051"/>
      <c r="AG739" s="1051"/>
      <c r="AH739" s="1051"/>
      <c r="AI739" s="1051"/>
      <c r="AJ739" s="1052"/>
      <c r="AK739" s="1051"/>
      <c r="AL739" s="1051"/>
      <c r="AM739" s="1052"/>
      <c r="AN739" s="1051"/>
      <c r="AO739" s="1051"/>
      <c r="AP739" s="1052"/>
      <c r="AQ739" s="1051"/>
      <c r="AR739" s="1051"/>
      <c r="AS739" s="1052"/>
      <c r="AT739" s="1051"/>
      <c r="AU739" s="1051"/>
      <c r="AV739" s="1052"/>
      <c r="AW739" s="1051"/>
      <c r="AX739" s="1051"/>
      <c r="AY739" s="1053"/>
      <c r="AZ739" s="1051"/>
      <c r="BA739" s="1051"/>
      <c r="BB739" s="1053"/>
      <c r="BC739" s="1051"/>
      <c r="BD739" s="1051"/>
      <c r="BE739" s="1053"/>
      <c r="BF739" s="1051"/>
      <c r="BG739" s="1051"/>
      <c r="BH739" s="1053"/>
      <c r="BI739" s="1052"/>
      <c r="BJ739" s="1052"/>
      <c r="BK739" s="1052"/>
      <c r="BL739" s="1052"/>
      <c r="BM739" s="1052"/>
      <c r="BN739" s="1054"/>
      <c r="BO739" s="1076">
        <f t="shared" si="12"/>
        <v>0</v>
      </c>
      <c r="BP739" s="1051"/>
      <c r="BQ739" s="1052"/>
      <c r="BR739" s="1054"/>
      <c r="BS739" s="1053"/>
      <c r="BT739" s="1051"/>
      <c r="BU739" s="1051"/>
      <c r="BV739" s="1051"/>
      <c r="BW739" s="1052"/>
      <c r="BX739" s="1052"/>
      <c r="BY739" s="1052"/>
      <c r="BZ739" s="1052"/>
      <c r="CA739" s="1052"/>
      <c r="CB739" s="1053"/>
      <c r="CC739" s="1053"/>
      <c r="CD739" s="1053"/>
      <c r="CE739" s="1053"/>
      <c r="CF739" s="1053"/>
      <c r="CG739" s="1053"/>
      <c r="CH739" s="1053"/>
      <c r="CI739" s="1123"/>
      <c r="CJ739" s="1123"/>
      <c r="CK739" s="1123"/>
      <c r="CL739" s="1123"/>
      <c r="CM739" s="1123"/>
      <c r="CN739" s="1123"/>
      <c r="CO739" s="1123"/>
      <c r="CP739" s="1123"/>
      <c r="CQ739" s="1123"/>
      <c r="CR739" s="1123"/>
      <c r="CS739" s="1123"/>
      <c r="CT739" s="1123"/>
      <c r="CU739" s="1123"/>
      <c r="CV739" s="1123"/>
      <c r="CW739" s="1123"/>
      <c r="CX739" s="1123"/>
      <c r="CY739" s="1123"/>
      <c r="CZ739" s="1114"/>
      <c r="DA739" s="1114"/>
      <c r="DB739" s="1114"/>
      <c r="DC739" s="1114"/>
      <c r="DD739" s="1114"/>
      <c r="DE739" s="1114"/>
      <c r="DF739" s="1114"/>
      <c r="DG739" s="1114"/>
      <c r="DH739" s="1114"/>
      <c r="DI739" s="1114"/>
      <c r="DJ739" s="1114"/>
      <c r="DK739" s="1114"/>
      <c r="DL739" s="1114"/>
      <c r="DM739" s="1114"/>
      <c r="DN739" s="1114"/>
      <c r="DO739" s="1114"/>
      <c r="DP739" s="1114"/>
      <c r="DQ739" s="1114"/>
      <c r="DR739" s="1114"/>
      <c r="DS739" s="1114"/>
      <c r="DT739" s="1114"/>
      <c r="DU739" s="1114"/>
      <c r="DV739" s="1115"/>
      <c r="DW739" s="1116"/>
      <c r="DX739" s="1116"/>
      <c r="DY739" s="1116"/>
      <c r="DZ739" s="1116"/>
      <c r="EA739" s="1116"/>
      <c r="EB739" s="1116"/>
      <c r="EC739" s="1116"/>
      <c r="ED739" s="1116"/>
      <c r="EE739" s="1116"/>
      <c r="EF739" s="1116"/>
      <c r="EG739" s="1116"/>
      <c r="EH739" s="1116"/>
      <c r="EI739" s="1116"/>
      <c r="EJ739" s="1116"/>
      <c r="EK739" s="1116"/>
      <c r="EL739" s="1116"/>
      <c r="EM739" s="1116"/>
      <c r="EN739" s="1116"/>
      <c r="EO739" s="1116"/>
      <c r="EP739" s="1116"/>
      <c r="EQ739" s="1116"/>
      <c r="ER739" s="1116"/>
      <c r="ES739" s="1116"/>
    </row>
    <row r="740" spans="1:149" ht="15" customHeight="1">
      <c r="A740" s="1185">
        <v>730</v>
      </c>
      <c r="B740" s="1041"/>
      <c r="C740" s="1050"/>
      <c r="D740" s="1050"/>
      <c r="E740" s="1050"/>
      <c r="F740" s="1049"/>
      <c r="G740" s="1049"/>
      <c r="H740" s="1049"/>
      <c r="I740" s="1049"/>
      <c r="J740" s="1050"/>
      <c r="K740" s="1050"/>
      <c r="L740" s="1043"/>
      <c r="M740" s="1051"/>
      <c r="N740" s="1051"/>
      <c r="O740" s="1052"/>
      <c r="P740" s="1051"/>
      <c r="Q740" s="1051"/>
      <c r="R740" s="1052"/>
      <c r="S740" s="1051"/>
      <c r="T740" s="1051"/>
      <c r="U740" s="1052"/>
      <c r="V740" s="1051"/>
      <c r="W740" s="1051"/>
      <c r="X740" s="1052"/>
      <c r="Y740" s="1053"/>
      <c r="Z740" s="1051"/>
      <c r="AA740" s="1051"/>
      <c r="AB740" s="1052"/>
      <c r="AC740" s="1051"/>
      <c r="AD740" s="1051"/>
      <c r="AE740" s="1052"/>
      <c r="AF740" s="1051"/>
      <c r="AG740" s="1051"/>
      <c r="AH740" s="1051"/>
      <c r="AI740" s="1051"/>
      <c r="AJ740" s="1052"/>
      <c r="AK740" s="1051"/>
      <c r="AL740" s="1051"/>
      <c r="AM740" s="1052"/>
      <c r="AN740" s="1051"/>
      <c r="AO740" s="1051"/>
      <c r="AP740" s="1052"/>
      <c r="AQ740" s="1051"/>
      <c r="AR740" s="1051"/>
      <c r="AS740" s="1052"/>
      <c r="AT740" s="1051"/>
      <c r="AU740" s="1051"/>
      <c r="AV740" s="1052"/>
      <c r="AW740" s="1051"/>
      <c r="AX740" s="1051"/>
      <c r="AY740" s="1053"/>
      <c r="AZ740" s="1051"/>
      <c r="BA740" s="1051"/>
      <c r="BB740" s="1053"/>
      <c r="BC740" s="1051"/>
      <c r="BD740" s="1051"/>
      <c r="BE740" s="1053"/>
      <c r="BF740" s="1051"/>
      <c r="BG740" s="1051"/>
      <c r="BH740" s="1053"/>
      <c r="BI740" s="1052"/>
      <c r="BJ740" s="1052"/>
      <c r="BK740" s="1052"/>
      <c r="BL740" s="1052"/>
      <c r="BM740" s="1052"/>
      <c r="BN740" s="1054"/>
      <c r="BO740" s="1076">
        <f t="shared" si="12"/>
        <v>0</v>
      </c>
      <c r="BP740" s="1051"/>
      <c r="BQ740" s="1052"/>
      <c r="BR740" s="1054"/>
      <c r="BS740" s="1053"/>
      <c r="BT740" s="1051"/>
      <c r="BU740" s="1051"/>
      <c r="BV740" s="1051"/>
      <c r="BW740" s="1052"/>
      <c r="BX740" s="1052"/>
      <c r="BY740" s="1052"/>
      <c r="BZ740" s="1052"/>
      <c r="CA740" s="1052"/>
      <c r="CB740" s="1053"/>
      <c r="CC740" s="1053"/>
      <c r="CD740" s="1053"/>
      <c r="CE740" s="1053"/>
      <c r="CF740" s="1053"/>
      <c r="CG740" s="1053"/>
      <c r="CH740" s="1053"/>
      <c r="CI740" s="1123"/>
      <c r="CJ740" s="1123"/>
      <c r="CK740" s="1123"/>
      <c r="CL740" s="1123"/>
      <c r="CM740" s="1123"/>
      <c r="CN740" s="1123"/>
      <c r="CO740" s="1123"/>
      <c r="CP740" s="1123"/>
      <c r="CQ740" s="1123"/>
      <c r="CR740" s="1123"/>
      <c r="CS740" s="1123"/>
      <c r="CT740" s="1123"/>
      <c r="CU740" s="1123"/>
      <c r="CV740" s="1123"/>
      <c r="CW740" s="1123"/>
      <c r="CX740" s="1123"/>
      <c r="CY740" s="1123"/>
      <c r="CZ740" s="1114"/>
      <c r="DA740" s="1114"/>
      <c r="DB740" s="1114"/>
      <c r="DC740" s="1114"/>
      <c r="DD740" s="1114"/>
      <c r="DE740" s="1114"/>
      <c r="DF740" s="1114"/>
      <c r="DG740" s="1114"/>
      <c r="DH740" s="1114"/>
      <c r="DI740" s="1114"/>
      <c r="DJ740" s="1114"/>
      <c r="DK740" s="1114"/>
      <c r="DL740" s="1114"/>
      <c r="DM740" s="1114"/>
      <c r="DN740" s="1114"/>
      <c r="DO740" s="1114"/>
      <c r="DP740" s="1114"/>
      <c r="DQ740" s="1114"/>
      <c r="DR740" s="1114"/>
      <c r="DS740" s="1114"/>
      <c r="DT740" s="1114"/>
      <c r="DU740" s="1114"/>
      <c r="DV740" s="1115"/>
      <c r="DW740" s="1116"/>
      <c r="DX740" s="1116"/>
      <c r="DY740" s="1116"/>
      <c r="DZ740" s="1116"/>
      <c r="EA740" s="1116"/>
      <c r="EB740" s="1116"/>
      <c r="EC740" s="1116"/>
      <c r="ED740" s="1116"/>
      <c r="EE740" s="1116"/>
      <c r="EF740" s="1116"/>
      <c r="EG740" s="1116"/>
      <c r="EH740" s="1116"/>
      <c r="EI740" s="1116"/>
      <c r="EJ740" s="1116"/>
      <c r="EK740" s="1116"/>
      <c r="EL740" s="1116"/>
      <c r="EM740" s="1116"/>
      <c r="EN740" s="1116"/>
      <c r="EO740" s="1116"/>
      <c r="EP740" s="1116"/>
      <c r="EQ740" s="1116"/>
      <c r="ER740" s="1116"/>
      <c r="ES740" s="1116"/>
    </row>
    <row r="741" spans="1:149" ht="15" customHeight="1">
      <c r="A741" s="1185">
        <v>731</v>
      </c>
      <c r="B741" s="1041"/>
      <c r="C741" s="1050"/>
      <c r="D741" s="1050"/>
      <c r="E741" s="1050"/>
      <c r="F741" s="1049"/>
      <c r="G741" s="1049"/>
      <c r="H741" s="1049"/>
      <c r="I741" s="1049"/>
      <c r="J741" s="1050"/>
      <c r="K741" s="1050"/>
      <c r="L741" s="1043"/>
      <c r="M741" s="1051"/>
      <c r="N741" s="1051"/>
      <c r="O741" s="1052"/>
      <c r="P741" s="1051"/>
      <c r="Q741" s="1051"/>
      <c r="R741" s="1052"/>
      <c r="S741" s="1051"/>
      <c r="T741" s="1051"/>
      <c r="U741" s="1052"/>
      <c r="V741" s="1051"/>
      <c r="W741" s="1051"/>
      <c r="X741" s="1052"/>
      <c r="Y741" s="1053"/>
      <c r="Z741" s="1051"/>
      <c r="AA741" s="1051"/>
      <c r="AB741" s="1052"/>
      <c r="AC741" s="1051"/>
      <c r="AD741" s="1051"/>
      <c r="AE741" s="1052"/>
      <c r="AF741" s="1051"/>
      <c r="AG741" s="1051"/>
      <c r="AH741" s="1051"/>
      <c r="AI741" s="1051"/>
      <c r="AJ741" s="1052"/>
      <c r="AK741" s="1051"/>
      <c r="AL741" s="1051"/>
      <c r="AM741" s="1052"/>
      <c r="AN741" s="1051"/>
      <c r="AO741" s="1051"/>
      <c r="AP741" s="1052"/>
      <c r="AQ741" s="1051"/>
      <c r="AR741" s="1051"/>
      <c r="AS741" s="1052"/>
      <c r="AT741" s="1051"/>
      <c r="AU741" s="1051"/>
      <c r="AV741" s="1052"/>
      <c r="AW741" s="1051"/>
      <c r="AX741" s="1051"/>
      <c r="AY741" s="1053"/>
      <c r="AZ741" s="1051"/>
      <c r="BA741" s="1051"/>
      <c r="BB741" s="1053"/>
      <c r="BC741" s="1051"/>
      <c r="BD741" s="1051"/>
      <c r="BE741" s="1053"/>
      <c r="BF741" s="1051"/>
      <c r="BG741" s="1051"/>
      <c r="BH741" s="1053"/>
      <c r="BI741" s="1052"/>
      <c r="BJ741" s="1052"/>
      <c r="BK741" s="1052"/>
      <c r="BL741" s="1052"/>
      <c r="BM741" s="1052"/>
      <c r="BN741" s="1054"/>
      <c r="BO741" s="1076">
        <f t="shared" si="12"/>
        <v>0</v>
      </c>
      <c r="BP741" s="1051"/>
      <c r="BQ741" s="1052"/>
      <c r="BR741" s="1054"/>
      <c r="BS741" s="1053"/>
      <c r="BT741" s="1051"/>
      <c r="BU741" s="1051"/>
      <c r="BV741" s="1051"/>
      <c r="BW741" s="1052"/>
      <c r="BX741" s="1052"/>
      <c r="BY741" s="1052"/>
      <c r="BZ741" s="1052"/>
      <c r="CA741" s="1052"/>
      <c r="CB741" s="1053"/>
      <c r="CC741" s="1053"/>
      <c r="CD741" s="1053"/>
      <c r="CE741" s="1053"/>
      <c r="CF741" s="1053"/>
      <c r="CG741" s="1053"/>
      <c r="CH741" s="1053"/>
      <c r="CI741" s="1123"/>
      <c r="CJ741" s="1123"/>
      <c r="CK741" s="1123"/>
      <c r="CL741" s="1123"/>
      <c r="CM741" s="1123"/>
      <c r="CN741" s="1123"/>
      <c r="CO741" s="1123"/>
      <c r="CP741" s="1123"/>
      <c r="CQ741" s="1123"/>
      <c r="CR741" s="1123"/>
      <c r="CS741" s="1123"/>
      <c r="CT741" s="1123"/>
      <c r="CU741" s="1123"/>
      <c r="CV741" s="1123"/>
      <c r="CW741" s="1123"/>
      <c r="CX741" s="1123"/>
      <c r="CY741" s="1123"/>
      <c r="CZ741" s="1114"/>
      <c r="DA741" s="1114"/>
      <c r="DB741" s="1114"/>
      <c r="DC741" s="1114"/>
      <c r="DD741" s="1114"/>
      <c r="DE741" s="1114"/>
      <c r="DF741" s="1114"/>
      <c r="DG741" s="1114"/>
      <c r="DH741" s="1114"/>
      <c r="DI741" s="1114"/>
      <c r="DJ741" s="1114"/>
      <c r="DK741" s="1114"/>
      <c r="DL741" s="1114"/>
      <c r="DM741" s="1114"/>
      <c r="DN741" s="1114"/>
      <c r="DO741" s="1114"/>
      <c r="DP741" s="1114"/>
      <c r="DQ741" s="1114"/>
      <c r="DR741" s="1114"/>
      <c r="DS741" s="1114"/>
      <c r="DT741" s="1114"/>
      <c r="DU741" s="1114"/>
      <c r="DV741" s="1115"/>
      <c r="DW741" s="1116"/>
      <c r="DX741" s="1116"/>
      <c r="DY741" s="1116"/>
      <c r="DZ741" s="1116"/>
      <c r="EA741" s="1116"/>
      <c r="EB741" s="1116"/>
      <c r="EC741" s="1116"/>
      <c r="ED741" s="1116"/>
      <c r="EE741" s="1116"/>
      <c r="EF741" s="1116"/>
      <c r="EG741" s="1116"/>
      <c r="EH741" s="1116"/>
      <c r="EI741" s="1116"/>
      <c r="EJ741" s="1116"/>
      <c r="EK741" s="1116"/>
      <c r="EL741" s="1116"/>
      <c r="EM741" s="1116"/>
      <c r="EN741" s="1116"/>
      <c r="EO741" s="1116"/>
      <c r="EP741" s="1116"/>
      <c r="EQ741" s="1116"/>
      <c r="ER741" s="1116"/>
      <c r="ES741" s="1116"/>
    </row>
    <row r="742" spans="1:149" ht="15" customHeight="1">
      <c r="A742" s="1185">
        <v>732</v>
      </c>
      <c r="B742" s="1041"/>
      <c r="C742" s="1050"/>
      <c r="D742" s="1050"/>
      <c r="E742" s="1050"/>
      <c r="F742" s="1049"/>
      <c r="G742" s="1049"/>
      <c r="H742" s="1049"/>
      <c r="I742" s="1049"/>
      <c r="J742" s="1050"/>
      <c r="K742" s="1050"/>
      <c r="L742" s="1043"/>
      <c r="M742" s="1051"/>
      <c r="N742" s="1051"/>
      <c r="O742" s="1052"/>
      <c r="P742" s="1051"/>
      <c r="Q742" s="1051"/>
      <c r="R742" s="1052"/>
      <c r="S742" s="1051"/>
      <c r="T742" s="1051"/>
      <c r="U742" s="1052"/>
      <c r="V742" s="1051"/>
      <c r="W742" s="1051"/>
      <c r="X742" s="1052"/>
      <c r="Y742" s="1053"/>
      <c r="Z742" s="1051"/>
      <c r="AA742" s="1051"/>
      <c r="AB742" s="1052"/>
      <c r="AC742" s="1051"/>
      <c r="AD742" s="1051"/>
      <c r="AE742" s="1052"/>
      <c r="AF742" s="1051"/>
      <c r="AG742" s="1051"/>
      <c r="AH742" s="1051"/>
      <c r="AI742" s="1051"/>
      <c r="AJ742" s="1052"/>
      <c r="AK742" s="1051"/>
      <c r="AL742" s="1051"/>
      <c r="AM742" s="1052"/>
      <c r="AN742" s="1051"/>
      <c r="AO742" s="1051"/>
      <c r="AP742" s="1052"/>
      <c r="AQ742" s="1051"/>
      <c r="AR742" s="1051"/>
      <c r="AS742" s="1052"/>
      <c r="AT742" s="1051"/>
      <c r="AU742" s="1051"/>
      <c r="AV742" s="1052"/>
      <c r="AW742" s="1051"/>
      <c r="AX742" s="1051"/>
      <c r="AY742" s="1053"/>
      <c r="AZ742" s="1051"/>
      <c r="BA742" s="1051"/>
      <c r="BB742" s="1053"/>
      <c r="BC742" s="1051"/>
      <c r="BD742" s="1051"/>
      <c r="BE742" s="1053"/>
      <c r="BF742" s="1051"/>
      <c r="BG742" s="1051"/>
      <c r="BH742" s="1053"/>
      <c r="BI742" s="1052"/>
      <c r="BJ742" s="1052"/>
      <c r="BK742" s="1052"/>
      <c r="BL742" s="1052"/>
      <c r="BM742" s="1052"/>
      <c r="BN742" s="1054"/>
      <c r="BO742" s="1076">
        <f t="shared" si="12"/>
        <v>0</v>
      </c>
      <c r="BP742" s="1051"/>
      <c r="BQ742" s="1052"/>
      <c r="BR742" s="1054"/>
      <c r="BS742" s="1053"/>
      <c r="BT742" s="1051"/>
      <c r="BU742" s="1051"/>
      <c r="BV742" s="1051"/>
      <c r="BW742" s="1052"/>
      <c r="BX742" s="1052"/>
      <c r="BY742" s="1052"/>
      <c r="BZ742" s="1052"/>
      <c r="CA742" s="1052"/>
      <c r="CB742" s="1053"/>
      <c r="CC742" s="1053"/>
      <c r="CD742" s="1053"/>
      <c r="CE742" s="1053"/>
      <c r="CF742" s="1053"/>
      <c r="CG742" s="1053"/>
      <c r="CH742" s="1053"/>
      <c r="CI742" s="1123"/>
      <c r="CJ742" s="1123"/>
      <c r="CK742" s="1123"/>
      <c r="CL742" s="1123"/>
      <c r="CM742" s="1123"/>
      <c r="CN742" s="1123"/>
      <c r="CO742" s="1123"/>
      <c r="CP742" s="1123"/>
      <c r="CQ742" s="1123"/>
      <c r="CR742" s="1123"/>
      <c r="CS742" s="1123"/>
      <c r="CT742" s="1123"/>
      <c r="CU742" s="1123"/>
      <c r="CV742" s="1123"/>
      <c r="CW742" s="1123"/>
      <c r="CX742" s="1123"/>
      <c r="CY742" s="1123"/>
      <c r="CZ742" s="1114"/>
      <c r="DA742" s="1114"/>
      <c r="DB742" s="1114"/>
      <c r="DC742" s="1114"/>
      <c r="DD742" s="1114"/>
      <c r="DE742" s="1114"/>
      <c r="DF742" s="1114"/>
      <c r="DG742" s="1114"/>
      <c r="DH742" s="1114"/>
      <c r="DI742" s="1114"/>
      <c r="DJ742" s="1114"/>
      <c r="DK742" s="1114"/>
      <c r="DL742" s="1114"/>
      <c r="DM742" s="1114"/>
      <c r="DN742" s="1114"/>
      <c r="DO742" s="1114"/>
      <c r="DP742" s="1114"/>
      <c r="DQ742" s="1114"/>
      <c r="DR742" s="1114"/>
      <c r="DS742" s="1114"/>
      <c r="DT742" s="1114"/>
      <c r="DU742" s="1114"/>
      <c r="DV742" s="1115"/>
      <c r="DW742" s="1116"/>
      <c r="DX742" s="1116"/>
      <c r="DY742" s="1116"/>
      <c r="DZ742" s="1116"/>
      <c r="EA742" s="1116"/>
      <c r="EB742" s="1116"/>
      <c r="EC742" s="1116"/>
      <c r="ED742" s="1116"/>
      <c r="EE742" s="1116"/>
      <c r="EF742" s="1116"/>
      <c r="EG742" s="1116"/>
      <c r="EH742" s="1116"/>
      <c r="EI742" s="1116"/>
      <c r="EJ742" s="1116"/>
      <c r="EK742" s="1116"/>
      <c r="EL742" s="1116"/>
      <c r="EM742" s="1116"/>
      <c r="EN742" s="1116"/>
      <c r="EO742" s="1116"/>
      <c r="EP742" s="1116"/>
      <c r="EQ742" s="1116"/>
      <c r="ER742" s="1116"/>
      <c r="ES742" s="1116"/>
    </row>
    <row r="743" spans="1:149" ht="15" customHeight="1">
      <c r="A743" s="1185">
        <v>733</v>
      </c>
      <c r="B743" s="1041"/>
      <c r="C743" s="1050"/>
      <c r="D743" s="1050"/>
      <c r="E743" s="1050"/>
      <c r="F743" s="1049"/>
      <c r="G743" s="1049"/>
      <c r="H743" s="1049"/>
      <c r="I743" s="1049"/>
      <c r="J743" s="1050"/>
      <c r="K743" s="1050"/>
      <c r="L743" s="1043"/>
      <c r="M743" s="1051"/>
      <c r="N743" s="1051"/>
      <c r="O743" s="1052"/>
      <c r="P743" s="1051"/>
      <c r="Q743" s="1051"/>
      <c r="R743" s="1052"/>
      <c r="S743" s="1051"/>
      <c r="T743" s="1051"/>
      <c r="U743" s="1052"/>
      <c r="V743" s="1051"/>
      <c r="W743" s="1051"/>
      <c r="X743" s="1052"/>
      <c r="Y743" s="1053"/>
      <c r="Z743" s="1051"/>
      <c r="AA743" s="1051"/>
      <c r="AB743" s="1052"/>
      <c r="AC743" s="1051"/>
      <c r="AD743" s="1051"/>
      <c r="AE743" s="1052"/>
      <c r="AF743" s="1051"/>
      <c r="AG743" s="1051"/>
      <c r="AH743" s="1051"/>
      <c r="AI743" s="1051"/>
      <c r="AJ743" s="1052"/>
      <c r="AK743" s="1051"/>
      <c r="AL743" s="1051"/>
      <c r="AM743" s="1052"/>
      <c r="AN743" s="1051"/>
      <c r="AO743" s="1051"/>
      <c r="AP743" s="1052"/>
      <c r="AQ743" s="1051"/>
      <c r="AR743" s="1051"/>
      <c r="AS743" s="1052"/>
      <c r="AT743" s="1051"/>
      <c r="AU743" s="1051"/>
      <c r="AV743" s="1052"/>
      <c r="AW743" s="1051"/>
      <c r="AX743" s="1051"/>
      <c r="AY743" s="1053"/>
      <c r="AZ743" s="1051"/>
      <c r="BA743" s="1051"/>
      <c r="BB743" s="1053"/>
      <c r="BC743" s="1051"/>
      <c r="BD743" s="1051"/>
      <c r="BE743" s="1053"/>
      <c r="BF743" s="1051"/>
      <c r="BG743" s="1051"/>
      <c r="BH743" s="1053"/>
      <c r="BI743" s="1052"/>
      <c r="BJ743" s="1052"/>
      <c r="BK743" s="1052"/>
      <c r="BL743" s="1052"/>
      <c r="BM743" s="1052"/>
      <c r="BN743" s="1054"/>
      <c r="BO743" s="1076">
        <f t="shared" si="12"/>
        <v>0</v>
      </c>
      <c r="BP743" s="1051"/>
      <c r="BQ743" s="1052"/>
      <c r="BR743" s="1054"/>
      <c r="BS743" s="1053"/>
      <c r="BT743" s="1051"/>
      <c r="BU743" s="1051"/>
      <c r="BV743" s="1051"/>
      <c r="BW743" s="1052"/>
      <c r="BX743" s="1052"/>
      <c r="BY743" s="1052"/>
      <c r="BZ743" s="1052"/>
      <c r="CA743" s="1052"/>
      <c r="CB743" s="1053"/>
      <c r="CC743" s="1053"/>
      <c r="CD743" s="1053"/>
      <c r="CE743" s="1053"/>
      <c r="CF743" s="1053"/>
      <c r="CG743" s="1053"/>
      <c r="CH743" s="1053"/>
      <c r="CI743" s="1123"/>
      <c r="CJ743" s="1123"/>
      <c r="CK743" s="1123"/>
      <c r="CL743" s="1123"/>
      <c r="CM743" s="1123"/>
      <c r="CN743" s="1123"/>
      <c r="CO743" s="1123"/>
      <c r="CP743" s="1123"/>
      <c r="CQ743" s="1123"/>
      <c r="CR743" s="1123"/>
      <c r="CS743" s="1123"/>
      <c r="CT743" s="1123"/>
      <c r="CU743" s="1123"/>
      <c r="CV743" s="1123"/>
      <c r="CW743" s="1123"/>
      <c r="CX743" s="1123"/>
      <c r="CY743" s="1123"/>
      <c r="CZ743" s="1114"/>
      <c r="DA743" s="1114"/>
      <c r="DB743" s="1114"/>
      <c r="DC743" s="1114"/>
      <c r="DD743" s="1114"/>
      <c r="DE743" s="1114"/>
      <c r="DF743" s="1114"/>
      <c r="DG743" s="1114"/>
      <c r="DH743" s="1114"/>
      <c r="DI743" s="1114"/>
      <c r="DJ743" s="1114"/>
      <c r="DK743" s="1114"/>
      <c r="DL743" s="1114"/>
      <c r="DM743" s="1114"/>
      <c r="DN743" s="1114"/>
      <c r="DO743" s="1114"/>
      <c r="DP743" s="1114"/>
      <c r="DQ743" s="1114"/>
      <c r="DR743" s="1114"/>
      <c r="DS743" s="1114"/>
      <c r="DT743" s="1114"/>
      <c r="DU743" s="1114"/>
      <c r="DV743" s="1115"/>
      <c r="DW743" s="1116"/>
      <c r="DX743" s="1116"/>
      <c r="DY743" s="1116"/>
      <c r="DZ743" s="1116"/>
      <c r="EA743" s="1116"/>
      <c r="EB743" s="1116"/>
      <c r="EC743" s="1116"/>
      <c r="ED743" s="1116"/>
      <c r="EE743" s="1116"/>
      <c r="EF743" s="1116"/>
      <c r="EG743" s="1116"/>
      <c r="EH743" s="1116"/>
      <c r="EI743" s="1116"/>
      <c r="EJ743" s="1116"/>
      <c r="EK743" s="1116"/>
      <c r="EL743" s="1116"/>
      <c r="EM743" s="1116"/>
      <c r="EN743" s="1116"/>
      <c r="EO743" s="1116"/>
      <c r="EP743" s="1116"/>
      <c r="EQ743" s="1116"/>
      <c r="ER743" s="1116"/>
      <c r="ES743" s="1116"/>
    </row>
    <row r="744" spans="1:149" ht="15" customHeight="1">
      <c r="A744" s="1185">
        <v>734</v>
      </c>
      <c r="B744" s="1041"/>
      <c r="C744" s="1050"/>
      <c r="D744" s="1050"/>
      <c r="E744" s="1050"/>
      <c r="F744" s="1049"/>
      <c r="G744" s="1049"/>
      <c r="H744" s="1049"/>
      <c r="I744" s="1049"/>
      <c r="J744" s="1050"/>
      <c r="K744" s="1050"/>
      <c r="L744" s="1043"/>
      <c r="M744" s="1051"/>
      <c r="N744" s="1051"/>
      <c r="O744" s="1052"/>
      <c r="P744" s="1051"/>
      <c r="Q744" s="1051"/>
      <c r="R744" s="1052"/>
      <c r="S744" s="1051"/>
      <c r="T744" s="1051"/>
      <c r="U744" s="1052"/>
      <c r="V744" s="1051"/>
      <c r="W744" s="1051"/>
      <c r="X744" s="1052"/>
      <c r="Y744" s="1053"/>
      <c r="Z744" s="1051"/>
      <c r="AA744" s="1051"/>
      <c r="AB744" s="1052"/>
      <c r="AC744" s="1051"/>
      <c r="AD744" s="1051"/>
      <c r="AE744" s="1052"/>
      <c r="AF744" s="1051"/>
      <c r="AG744" s="1051"/>
      <c r="AH744" s="1051"/>
      <c r="AI744" s="1051"/>
      <c r="AJ744" s="1052"/>
      <c r="AK744" s="1051"/>
      <c r="AL744" s="1051"/>
      <c r="AM744" s="1052"/>
      <c r="AN744" s="1051"/>
      <c r="AO744" s="1051"/>
      <c r="AP744" s="1052"/>
      <c r="AQ744" s="1051"/>
      <c r="AR744" s="1051"/>
      <c r="AS744" s="1052"/>
      <c r="AT744" s="1051"/>
      <c r="AU744" s="1051"/>
      <c r="AV744" s="1052"/>
      <c r="AW744" s="1051"/>
      <c r="AX744" s="1051"/>
      <c r="AY744" s="1053"/>
      <c r="AZ744" s="1051"/>
      <c r="BA744" s="1051"/>
      <c r="BB744" s="1053"/>
      <c r="BC744" s="1051"/>
      <c r="BD744" s="1051"/>
      <c r="BE744" s="1053"/>
      <c r="BF744" s="1051"/>
      <c r="BG744" s="1051"/>
      <c r="BH744" s="1053"/>
      <c r="BI744" s="1052"/>
      <c r="BJ744" s="1052"/>
      <c r="BK744" s="1052"/>
      <c r="BL744" s="1052"/>
      <c r="BM744" s="1052"/>
      <c r="BN744" s="1054"/>
      <c r="BO744" s="1076">
        <f t="shared" si="12"/>
        <v>0</v>
      </c>
      <c r="BP744" s="1051"/>
      <c r="BQ744" s="1052"/>
      <c r="BR744" s="1054"/>
      <c r="BS744" s="1053"/>
      <c r="BT744" s="1051"/>
      <c r="BU744" s="1051"/>
      <c r="BV744" s="1051"/>
      <c r="BW744" s="1052"/>
      <c r="BX744" s="1052"/>
      <c r="BY744" s="1052"/>
      <c r="BZ744" s="1052"/>
      <c r="CA744" s="1052"/>
      <c r="CB744" s="1053"/>
      <c r="CC744" s="1053"/>
      <c r="CD744" s="1053"/>
      <c r="CE744" s="1053"/>
      <c r="CF744" s="1053"/>
      <c r="CG744" s="1053"/>
      <c r="CH744" s="1053"/>
      <c r="CI744" s="1123"/>
      <c r="CJ744" s="1123"/>
      <c r="CK744" s="1123"/>
      <c r="CL744" s="1123"/>
      <c r="CM744" s="1123"/>
      <c r="CN744" s="1123"/>
      <c r="CO744" s="1123"/>
      <c r="CP744" s="1123"/>
      <c r="CQ744" s="1123"/>
      <c r="CR744" s="1123"/>
      <c r="CS744" s="1123"/>
      <c r="CT744" s="1123"/>
      <c r="CU744" s="1123"/>
      <c r="CV744" s="1123"/>
      <c r="CW744" s="1123"/>
      <c r="CX744" s="1123"/>
      <c r="CY744" s="1123"/>
      <c r="CZ744" s="1114"/>
      <c r="DA744" s="1114"/>
      <c r="DB744" s="1114"/>
      <c r="DC744" s="1114"/>
      <c r="DD744" s="1114"/>
      <c r="DE744" s="1114"/>
      <c r="DF744" s="1114"/>
      <c r="DG744" s="1114"/>
      <c r="DH744" s="1114"/>
      <c r="DI744" s="1114"/>
      <c r="DJ744" s="1114"/>
      <c r="DK744" s="1114"/>
      <c r="DL744" s="1114"/>
      <c r="DM744" s="1114"/>
      <c r="DN744" s="1114"/>
      <c r="DO744" s="1114"/>
      <c r="DP744" s="1114"/>
      <c r="DQ744" s="1114"/>
      <c r="DR744" s="1114"/>
      <c r="DS744" s="1114"/>
      <c r="DT744" s="1114"/>
      <c r="DU744" s="1114"/>
      <c r="DV744" s="1115"/>
      <c r="DW744" s="1116"/>
      <c r="DX744" s="1116"/>
      <c r="DY744" s="1116"/>
      <c r="DZ744" s="1116"/>
      <c r="EA744" s="1116"/>
      <c r="EB744" s="1116"/>
      <c r="EC744" s="1116"/>
      <c r="ED744" s="1116"/>
      <c r="EE744" s="1116"/>
      <c r="EF744" s="1116"/>
      <c r="EG744" s="1116"/>
      <c r="EH744" s="1116"/>
      <c r="EI744" s="1116"/>
      <c r="EJ744" s="1116"/>
      <c r="EK744" s="1116"/>
      <c r="EL744" s="1116"/>
      <c r="EM744" s="1116"/>
      <c r="EN744" s="1116"/>
      <c r="EO744" s="1116"/>
      <c r="EP744" s="1116"/>
      <c r="EQ744" s="1116"/>
      <c r="ER744" s="1116"/>
      <c r="ES744" s="1116"/>
    </row>
    <row r="745" spans="1:149" ht="15" customHeight="1">
      <c r="A745" s="1185">
        <v>735</v>
      </c>
      <c r="B745" s="1041"/>
      <c r="C745" s="1050"/>
      <c r="D745" s="1050"/>
      <c r="E745" s="1050"/>
      <c r="F745" s="1049"/>
      <c r="G745" s="1049"/>
      <c r="H745" s="1049"/>
      <c r="I745" s="1049"/>
      <c r="J745" s="1050"/>
      <c r="K745" s="1050"/>
      <c r="L745" s="1043"/>
      <c r="M745" s="1051"/>
      <c r="N745" s="1051"/>
      <c r="O745" s="1052"/>
      <c r="P745" s="1051"/>
      <c r="Q745" s="1051"/>
      <c r="R745" s="1052"/>
      <c r="S745" s="1051"/>
      <c r="T745" s="1051"/>
      <c r="U745" s="1052"/>
      <c r="V745" s="1051"/>
      <c r="W745" s="1051"/>
      <c r="X745" s="1052"/>
      <c r="Y745" s="1053"/>
      <c r="Z745" s="1051"/>
      <c r="AA745" s="1051"/>
      <c r="AB745" s="1052"/>
      <c r="AC745" s="1051"/>
      <c r="AD745" s="1051"/>
      <c r="AE745" s="1052"/>
      <c r="AF745" s="1051"/>
      <c r="AG745" s="1051"/>
      <c r="AH745" s="1051"/>
      <c r="AI745" s="1051"/>
      <c r="AJ745" s="1052"/>
      <c r="AK745" s="1051"/>
      <c r="AL745" s="1051"/>
      <c r="AM745" s="1052"/>
      <c r="AN745" s="1051"/>
      <c r="AO745" s="1051"/>
      <c r="AP745" s="1052"/>
      <c r="AQ745" s="1051"/>
      <c r="AR745" s="1051"/>
      <c r="AS745" s="1052"/>
      <c r="AT745" s="1051"/>
      <c r="AU745" s="1051"/>
      <c r="AV745" s="1052"/>
      <c r="AW745" s="1051"/>
      <c r="AX745" s="1051"/>
      <c r="AY745" s="1053"/>
      <c r="AZ745" s="1051"/>
      <c r="BA745" s="1051"/>
      <c r="BB745" s="1053"/>
      <c r="BC745" s="1051"/>
      <c r="BD745" s="1051"/>
      <c r="BE745" s="1053"/>
      <c r="BF745" s="1051"/>
      <c r="BG745" s="1051"/>
      <c r="BH745" s="1053"/>
      <c r="BI745" s="1052"/>
      <c r="BJ745" s="1052"/>
      <c r="BK745" s="1052"/>
      <c r="BL745" s="1052"/>
      <c r="BM745" s="1052"/>
      <c r="BN745" s="1054"/>
      <c r="BO745" s="1076">
        <f t="shared" si="12"/>
        <v>0</v>
      </c>
      <c r="BP745" s="1051"/>
      <c r="BQ745" s="1052"/>
      <c r="BR745" s="1054"/>
      <c r="BS745" s="1053"/>
      <c r="BT745" s="1051"/>
      <c r="BU745" s="1051"/>
      <c r="BV745" s="1051"/>
      <c r="BW745" s="1052"/>
      <c r="BX745" s="1052"/>
      <c r="BY745" s="1052"/>
      <c r="BZ745" s="1052"/>
      <c r="CA745" s="1052"/>
      <c r="CB745" s="1053"/>
      <c r="CC745" s="1053"/>
      <c r="CD745" s="1053"/>
      <c r="CE745" s="1053"/>
      <c r="CF745" s="1053"/>
      <c r="CG745" s="1053"/>
      <c r="CH745" s="1053"/>
      <c r="CI745" s="1123"/>
      <c r="CJ745" s="1123"/>
      <c r="CK745" s="1123"/>
      <c r="CL745" s="1123"/>
      <c r="CM745" s="1123"/>
      <c r="CN745" s="1123"/>
      <c r="CO745" s="1123"/>
      <c r="CP745" s="1123"/>
      <c r="CQ745" s="1123"/>
      <c r="CR745" s="1123"/>
      <c r="CS745" s="1123"/>
      <c r="CT745" s="1123"/>
      <c r="CU745" s="1123"/>
      <c r="CV745" s="1123"/>
      <c r="CW745" s="1123"/>
      <c r="CX745" s="1123"/>
      <c r="CY745" s="1123"/>
      <c r="CZ745" s="1114"/>
      <c r="DA745" s="1114"/>
      <c r="DB745" s="1114"/>
      <c r="DC745" s="1114"/>
      <c r="DD745" s="1114"/>
      <c r="DE745" s="1114"/>
      <c r="DF745" s="1114"/>
      <c r="DG745" s="1114"/>
      <c r="DH745" s="1114"/>
      <c r="DI745" s="1114"/>
      <c r="DJ745" s="1114"/>
      <c r="DK745" s="1114"/>
      <c r="DL745" s="1114"/>
      <c r="DM745" s="1114"/>
      <c r="DN745" s="1114"/>
      <c r="DO745" s="1114"/>
      <c r="DP745" s="1114"/>
      <c r="DQ745" s="1114"/>
      <c r="DR745" s="1114"/>
      <c r="DS745" s="1114"/>
      <c r="DT745" s="1114"/>
      <c r="DU745" s="1114"/>
      <c r="DV745" s="1115"/>
      <c r="DW745" s="1116"/>
      <c r="DX745" s="1116"/>
      <c r="DY745" s="1116"/>
      <c r="DZ745" s="1116"/>
      <c r="EA745" s="1116"/>
      <c r="EB745" s="1116"/>
      <c r="EC745" s="1116"/>
      <c r="ED745" s="1116"/>
      <c r="EE745" s="1116"/>
      <c r="EF745" s="1116"/>
      <c r="EG745" s="1116"/>
      <c r="EH745" s="1116"/>
      <c r="EI745" s="1116"/>
      <c r="EJ745" s="1116"/>
      <c r="EK745" s="1116"/>
      <c r="EL745" s="1116"/>
      <c r="EM745" s="1116"/>
      <c r="EN745" s="1116"/>
      <c r="EO745" s="1116"/>
      <c r="EP745" s="1116"/>
      <c r="EQ745" s="1116"/>
      <c r="ER745" s="1116"/>
      <c r="ES745" s="1116"/>
    </row>
    <row r="746" spans="1:149" ht="15" customHeight="1">
      <c r="A746" s="1185">
        <v>736</v>
      </c>
      <c r="B746" s="1041"/>
      <c r="C746" s="1050"/>
      <c r="D746" s="1050"/>
      <c r="E746" s="1050"/>
      <c r="F746" s="1049"/>
      <c r="G746" s="1049"/>
      <c r="H746" s="1049"/>
      <c r="I746" s="1049"/>
      <c r="J746" s="1050"/>
      <c r="K746" s="1050"/>
      <c r="L746" s="1043"/>
      <c r="M746" s="1051"/>
      <c r="N746" s="1051"/>
      <c r="O746" s="1052"/>
      <c r="P746" s="1051"/>
      <c r="Q746" s="1051"/>
      <c r="R746" s="1052"/>
      <c r="S746" s="1051"/>
      <c r="T746" s="1051"/>
      <c r="U746" s="1052"/>
      <c r="V746" s="1051"/>
      <c r="W746" s="1051"/>
      <c r="X746" s="1052"/>
      <c r="Y746" s="1053"/>
      <c r="Z746" s="1051"/>
      <c r="AA746" s="1051"/>
      <c r="AB746" s="1052"/>
      <c r="AC746" s="1051"/>
      <c r="AD746" s="1051"/>
      <c r="AE746" s="1052"/>
      <c r="AF746" s="1051"/>
      <c r="AG746" s="1051"/>
      <c r="AH746" s="1051"/>
      <c r="AI746" s="1051"/>
      <c r="AJ746" s="1052"/>
      <c r="AK746" s="1051"/>
      <c r="AL746" s="1051"/>
      <c r="AM746" s="1052"/>
      <c r="AN746" s="1051"/>
      <c r="AO746" s="1051"/>
      <c r="AP746" s="1052"/>
      <c r="AQ746" s="1051"/>
      <c r="AR746" s="1051"/>
      <c r="AS746" s="1052"/>
      <c r="AT746" s="1051"/>
      <c r="AU746" s="1051"/>
      <c r="AV746" s="1052"/>
      <c r="AW746" s="1051"/>
      <c r="AX746" s="1051"/>
      <c r="AY746" s="1053"/>
      <c r="AZ746" s="1051"/>
      <c r="BA746" s="1051"/>
      <c r="BB746" s="1053"/>
      <c r="BC746" s="1051"/>
      <c r="BD746" s="1051"/>
      <c r="BE746" s="1053"/>
      <c r="BF746" s="1051"/>
      <c r="BG746" s="1051"/>
      <c r="BH746" s="1053"/>
      <c r="BI746" s="1052"/>
      <c r="BJ746" s="1052"/>
      <c r="BK746" s="1052"/>
      <c r="BL746" s="1052"/>
      <c r="BM746" s="1052"/>
      <c r="BN746" s="1054"/>
      <c r="BO746" s="1076">
        <f t="shared" si="12"/>
        <v>0</v>
      </c>
      <c r="BP746" s="1051"/>
      <c r="BQ746" s="1052"/>
      <c r="BR746" s="1054"/>
      <c r="BS746" s="1053"/>
      <c r="BT746" s="1051"/>
      <c r="BU746" s="1051"/>
      <c r="BV746" s="1051"/>
      <c r="BW746" s="1052"/>
      <c r="BX746" s="1052"/>
      <c r="BY746" s="1052"/>
      <c r="BZ746" s="1052"/>
      <c r="CA746" s="1052"/>
      <c r="CB746" s="1053"/>
      <c r="CC746" s="1053"/>
      <c r="CD746" s="1053"/>
      <c r="CE746" s="1053"/>
      <c r="CF746" s="1053"/>
      <c r="CG746" s="1053"/>
      <c r="CH746" s="1053"/>
      <c r="CI746" s="1123"/>
      <c r="CJ746" s="1123"/>
      <c r="CK746" s="1123"/>
      <c r="CL746" s="1123"/>
      <c r="CM746" s="1123"/>
      <c r="CN746" s="1123"/>
      <c r="CO746" s="1123"/>
      <c r="CP746" s="1123"/>
      <c r="CQ746" s="1123"/>
      <c r="CR746" s="1123"/>
      <c r="CS746" s="1123"/>
      <c r="CT746" s="1123"/>
      <c r="CU746" s="1123"/>
      <c r="CV746" s="1123"/>
      <c r="CW746" s="1123"/>
      <c r="CX746" s="1123"/>
      <c r="CY746" s="1123"/>
      <c r="CZ746" s="1114"/>
      <c r="DA746" s="1114"/>
      <c r="DB746" s="1114"/>
      <c r="DC746" s="1114"/>
      <c r="DD746" s="1114"/>
      <c r="DE746" s="1114"/>
      <c r="DF746" s="1114"/>
      <c r="DG746" s="1114"/>
      <c r="DH746" s="1114"/>
      <c r="DI746" s="1114"/>
      <c r="DJ746" s="1114"/>
      <c r="DK746" s="1114"/>
      <c r="DL746" s="1114"/>
      <c r="DM746" s="1114"/>
      <c r="DN746" s="1114"/>
      <c r="DO746" s="1114"/>
      <c r="DP746" s="1114"/>
      <c r="DQ746" s="1114"/>
      <c r="DR746" s="1114"/>
      <c r="DS746" s="1114"/>
      <c r="DT746" s="1114"/>
      <c r="DU746" s="1114"/>
      <c r="DV746" s="1115"/>
      <c r="DW746" s="1116"/>
      <c r="DX746" s="1116"/>
      <c r="DY746" s="1116"/>
      <c r="DZ746" s="1116"/>
      <c r="EA746" s="1116"/>
      <c r="EB746" s="1116"/>
      <c r="EC746" s="1116"/>
      <c r="ED746" s="1116"/>
      <c r="EE746" s="1116"/>
      <c r="EF746" s="1116"/>
      <c r="EG746" s="1116"/>
      <c r="EH746" s="1116"/>
      <c r="EI746" s="1116"/>
      <c r="EJ746" s="1116"/>
      <c r="EK746" s="1116"/>
      <c r="EL746" s="1116"/>
      <c r="EM746" s="1116"/>
      <c r="EN746" s="1116"/>
      <c r="EO746" s="1116"/>
      <c r="EP746" s="1116"/>
      <c r="EQ746" s="1116"/>
      <c r="ER746" s="1116"/>
      <c r="ES746" s="1116"/>
    </row>
    <row r="747" spans="1:149" ht="15" customHeight="1">
      <c r="A747" s="1185">
        <v>737</v>
      </c>
      <c r="B747" s="1041"/>
      <c r="C747" s="1050"/>
      <c r="D747" s="1050"/>
      <c r="E747" s="1050"/>
      <c r="F747" s="1049"/>
      <c r="G747" s="1049"/>
      <c r="H747" s="1049"/>
      <c r="I747" s="1049"/>
      <c r="J747" s="1050"/>
      <c r="K747" s="1050"/>
      <c r="L747" s="1043"/>
      <c r="M747" s="1051"/>
      <c r="N747" s="1051"/>
      <c r="O747" s="1052"/>
      <c r="P747" s="1051"/>
      <c r="Q747" s="1051"/>
      <c r="R747" s="1052"/>
      <c r="S747" s="1051"/>
      <c r="T747" s="1051"/>
      <c r="U747" s="1052"/>
      <c r="V747" s="1051"/>
      <c r="W747" s="1051"/>
      <c r="X747" s="1052"/>
      <c r="Y747" s="1053"/>
      <c r="Z747" s="1051"/>
      <c r="AA747" s="1051"/>
      <c r="AB747" s="1052"/>
      <c r="AC747" s="1051"/>
      <c r="AD747" s="1051"/>
      <c r="AE747" s="1052"/>
      <c r="AF747" s="1051"/>
      <c r="AG747" s="1051"/>
      <c r="AH747" s="1051"/>
      <c r="AI747" s="1051"/>
      <c r="AJ747" s="1052"/>
      <c r="AK747" s="1051"/>
      <c r="AL747" s="1051"/>
      <c r="AM747" s="1052"/>
      <c r="AN747" s="1051"/>
      <c r="AO747" s="1051"/>
      <c r="AP747" s="1052"/>
      <c r="AQ747" s="1051"/>
      <c r="AR747" s="1051"/>
      <c r="AS747" s="1052"/>
      <c r="AT747" s="1051"/>
      <c r="AU747" s="1051"/>
      <c r="AV747" s="1052"/>
      <c r="AW747" s="1051"/>
      <c r="AX747" s="1051"/>
      <c r="AY747" s="1053"/>
      <c r="AZ747" s="1051"/>
      <c r="BA747" s="1051"/>
      <c r="BB747" s="1053"/>
      <c r="BC747" s="1051"/>
      <c r="BD747" s="1051"/>
      <c r="BE747" s="1053"/>
      <c r="BF747" s="1051"/>
      <c r="BG747" s="1051"/>
      <c r="BH747" s="1053"/>
      <c r="BI747" s="1052"/>
      <c r="BJ747" s="1052"/>
      <c r="BK747" s="1052"/>
      <c r="BL747" s="1052"/>
      <c r="BM747" s="1052"/>
      <c r="BN747" s="1054"/>
      <c r="BO747" s="1076">
        <f t="shared" si="12"/>
        <v>0</v>
      </c>
      <c r="BP747" s="1051"/>
      <c r="BQ747" s="1052"/>
      <c r="BR747" s="1054"/>
      <c r="BS747" s="1053"/>
      <c r="BT747" s="1051"/>
      <c r="BU747" s="1051"/>
      <c r="BV747" s="1051"/>
      <c r="BW747" s="1052"/>
      <c r="BX747" s="1052"/>
      <c r="BY747" s="1052"/>
      <c r="BZ747" s="1052"/>
      <c r="CA747" s="1052"/>
      <c r="CB747" s="1053"/>
      <c r="CC747" s="1053"/>
      <c r="CD747" s="1053"/>
      <c r="CE747" s="1053"/>
      <c r="CF747" s="1053"/>
      <c r="CG747" s="1053"/>
      <c r="CH747" s="1053"/>
      <c r="CI747" s="1123"/>
      <c r="CJ747" s="1123"/>
      <c r="CK747" s="1123"/>
      <c r="CL747" s="1123"/>
      <c r="CM747" s="1123"/>
      <c r="CN747" s="1123"/>
      <c r="CO747" s="1123"/>
      <c r="CP747" s="1123"/>
      <c r="CQ747" s="1123"/>
      <c r="CR747" s="1123"/>
      <c r="CS747" s="1123"/>
      <c r="CT747" s="1123"/>
      <c r="CU747" s="1123"/>
      <c r="CV747" s="1123"/>
      <c r="CW747" s="1123"/>
      <c r="CX747" s="1123"/>
      <c r="CY747" s="1123"/>
      <c r="CZ747" s="1114"/>
      <c r="DA747" s="1114"/>
      <c r="DB747" s="1114"/>
      <c r="DC747" s="1114"/>
      <c r="DD747" s="1114"/>
      <c r="DE747" s="1114"/>
      <c r="DF747" s="1114"/>
      <c r="DG747" s="1114"/>
      <c r="DH747" s="1114"/>
      <c r="DI747" s="1114"/>
      <c r="DJ747" s="1114"/>
      <c r="DK747" s="1114"/>
      <c r="DL747" s="1114"/>
      <c r="DM747" s="1114"/>
      <c r="DN747" s="1114"/>
      <c r="DO747" s="1114"/>
      <c r="DP747" s="1114"/>
      <c r="DQ747" s="1114"/>
      <c r="DR747" s="1114"/>
      <c r="DS747" s="1114"/>
      <c r="DT747" s="1114"/>
      <c r="DU747" s="1114"/>
      <c r="DV747" s="1115"/>
      <c r="DW747" s="1116"/>
      <c r="DX747" s="1116"/>
      <c r="DY747" s="1116"/>
      <c r="DZ747" s="1116"/>
      <c r="EA747" s="1116"/>
      <c r="EB747" s="1116"/>
      <c r="EC747" s="1116"/>
      <c r="ED747" s="1116"/>
      <c r="EE747" s="1116"/>
      <c r="EF747" s="1116"/>
      <c r="EG747" s="1116"/>
      <c r="EH747" s="1116"/>
      <c r="EI747" s="1116"/>
      <c r="EJ747" s="1116"/>
      <c r="EK747" s="1116"/>
      <c r="EL747" s="1116"/>
      <c r="EM747" s="1116"/>
      <c r="EN747" s="1116"/>
      <c r="EO747" s="1116"/>
      <c r="EP747" s="1116"/>
      <c r="EQ747" s="1116"/>
      <c r="ER747" s="1116"/>
      <c r="ES747" s="1116"/>
    </row>
    <row r="748" spans="1:149" ht="15" customHeight="1">
      <c r="A748" s="1185">
        <v>738</v>
      </c>
      <c r="B748" s="1041"/>
      <c r="C748" s="1050"/>
      <c r="D748" s="1050"/>
      <c r="E748" s="1050"/>
      <c r="F748" s="1049"/>
      <c r="G748" s="1049"/>
      <c r="H748" s="1049"/>
      <c r="I748" s="1049"/>
      <c r="J748" s="1050"/>
      <c r="K748" s="1050"/>
      <c r="L748" s="1043"/>
      <c r="M748" s="1051"/>
      <c r="N748" s="1051"/>
      <c r="O748" s="1052"/>
      <c r="P748" s="1051"/>
      <c r="Q748" s="1051"/>
      <c r="R748" s="1052"/>
      <c r="S748" s="1051"/>
      <c r="T748" s="1051"/>
      <c r="U748" s="1052"/>
      <c r="V748" s="1051"/>
      <c r="W748" s="1051"/>
      <c r="X748" s="1052"/>
      <c r="Y748" s="1053"/>
      <c r="Z748" s="1051"/>
      <c r="AA748" s="1051"/>
      <c r="AB748" s="1052"/>
      <c r="AC748" s="1051"/>
      <c r="AD748" s="1051"/>
      <c r="AE748" s="1052"/>
      <c r="AF748" s="1051"/>
      <c r="AG748" s="1051"/>
      <c r="AH748" s="1051"/>
      <c r="AI748" s="1051"/>
      <c r="AJ748" s="1052"/>
      <c r="AK748" s="1051"/>
      <c r="AL748" s="1051"/>
      <c r="AM748" s="1052"/>
      <c r="AN748" s="1051"/>
      <c r="AO748" s="1051"/>
      <c r="AP748" s="1052"/>
      <c r="AQ748" s="1051"/>
      <c r="AR748" s="1051"/>
      <c r="AS748" s="1052"/>
      <c r="AT748" s="1051"/>
      <c r="AU748" s="1051"/>
      <c r="AV748" s="1052"/>
      <c r="AW748" s="1051"/>
      <c r="AX748" s="1051"/>
      <c r="AY748" s="1053"/>
      <c r="AZ748" s="1051"/>
      <c r="BA748" s="1051"/>
      <c r="BB748" s="1053"/>
      <c r="BC748" s="1051"/>
      <c r="BD748" s="1051"/>
      <c r="BE748" s="1053"/>
      <c r="BF748" s="1051"/>
      <c r="BG748" s="1051"/>
      <c r="BH748" s="1053"/>
      <c r="BI748" s="1052"/>
      <c r="BJ748" s="1052"/>
      <c r="BK748" s="1052"/>
      <c r="BL748" s="1052"/>
      <c r="BM748" s="1052"/>
      <c r="BN748" s="1054"/>
      <c r="BO748" s="1076">
        <f t="shared" si="12"/>
        <v>0</v>
      </c>
      <c r="BP748" s="1051"/>
      <c r="BQ748" s="1052"/>
      <c r="BR748" s="1054"/>
      <c r="BS748" s="1053"/>
      <c r="BT748" s="1051"/>
      <c r="BU748" s="1051"/>
      <c r="BV748" s="1051"/>
      <c r="BW748" s="1052"/>
      <c r="BX748" s="1052"/>
      <c r="BY748" s="1052"/>
      <c r="BZ748" s="1052"/>
      <c r="CA748" s="1052"/>
      <c r="CB748" s="1053"/>
      <c r="CC748" s="1053"/>
      <c r="CD748" s="1053"/>
      <c r="CE748" s="1053"/>
      <c r="CF748" s="1053"/>
      <c r="CG748" s="1053"/>
      <c r="CH748" s="1053"/>
      <c r="CI748" s="1123"/>
      <c r="CJ748" s="1123"/>
      <c r="CK748" s="1123"/>
      <c r="CL748" s="1123"/>
      <c r="CM748" s="1123"/>
      <c r="CN748" s="1123"/>
      <c r="CO748" s="1123"/>
      <c r="CP748" s="1123"/>
      <c r="CQ748" s="1123"/>
      <c r="CR748" s="1123"/>
      <c r="CS748" s="1123"/>
      <c r="CT748" s="1123"/>
      <c r="CU748" s="1123"/>
      <c r="CV748" s="1123"/>
      <c r="CW748" s="1123"/>
      <c r="CX748" s="1123"/>
      <c r="CY748" s="1123"/>
      <c r="CZ748" s="1114"/>
      <c r="DA748" s="1114"/>
      <c r="DB748" s="1114"/>
      <c r="DC748" s="1114"/>
      <c r="DD748" s="1114"/>
      <c r="DE748" s="1114"/>
      <c r="DF748" s="1114"/>
      <c r="DG748" s="1114"/>
      <c r="DH748" s="1114"/>
      <c r="DI748" s="1114"/>
      <c r="DJ748" s="1114"/>
      <c r="DK748" s="1114"/>
      <c r="DL748" s="1114"/>
      <c r="DM748" s="1114"/>
      <c r="DN748" s="1114"/>
      <c r="DO748" s="1114"/>
      <c r="DP748" s="1114"/>
      <c r="DQ748" s="1114"/>
      <c r="DR748" s="1114"/>
      <c r="DS748" s="1114"/>
      <c r="DT748" s="1114"/>
      <c r="DU748" s="1114"/>
      <c r="DV748" s="1115"/>
      <c r="DW748" s="1116"/>
      <c r="DX748" s="1116"/>
      <c r="DY748" s="1116"/>
      <c r="DZ748" s="1116"/>
      <c r="EA748" s="1116"/>
      <c r="EB748" s="1116"/>
      <c r="EC748" s="1116"/>
      <c r="ED748" s="1116"/>
      <c r="EE748" s="1116"/>
      <c r="EF748" s="1116"/>
      <c r="EG748" s="1116"/>
      <c r="EH748" s="1116"/>
      <c r="EI748" s="1116"/>
      <c r="EJ748" s="1116"/>
      <c r="EK748" s="1116"/>
      <c r="EL748" s="1116"/>
      <c r="EM748" s="1116"/>
      <c r="EN748" s="1116"/>
      <c r="EO748" s="1116"/>
      <c r="EP748" s="1116"/>
      <c r="EQ748" s="1116"/>
      <c r="ER748" s="1116"/>
      <c r="ES748" s="1116"/>
    </row>
    <row r="749" spans="1:149" ht="15" customHeight="1">
      <c r="A749" s="1185">
        <v>739</v>
      </c>
      <c r="B749" s="1041"/>
      <c r="C749" s="1050"/>
      <c r="D749" s="1050"/>
      <c r="E749" s="1050"/>
      <c r="F749" s="1049"/>
      <c r="G749" s="1049"/>
      <c r="H749" s="1049"/>
      <c r="I749" s="1049"/>
      <c r="J749" s="1050"/>
      <c r="K749" s="1050"/>
      <c r="L749" s="1043"/>
      <c r="M749" s="1051"/>
      <c r="N749" s="1051"/>
      <c r="O749" s="1052"/>
      <c r="P749" s="1051"/>
      <c r="Q749" s="1051"/>
      <c r="R749" s="1052"/>
      <c r="S749" s="1051"/>
      <c r="T749" s="1051"/>
      <c r="U749" s="1052"/>
      <c r="V749" s="1051"/>
      <c r="W749" s="1051"/>
      <c r="X749" s="1052"/>
      <c r="Y749" s="1053"/>
      <c r="Z749" s="1051"/>
      <c r="AA749" s="1051"/>
      <c r="AB749" s="1052"/>
      <c r="AC749" s="1051"/>
      <c r="AD749" s="1051"/>
      <c r="AE749" s="1052"/>
      <c r="AF749" s="1051"/>
      <c r="AG749" s="1051"/>
      <c r="AH749" s="1051"/>
      <c r="AI749" s="1051"/>
      <c r="AJ749" s="1052"/>
      <c r="AK749" s="1051"/>
      <c r="AL749" s="1051"/>
      <c r="AM749" s="1052"/>
      <c r="AN749" s="1051"/>
      <c r="AO749" s="1051"/>
      <c r="AP749" s="1052"/>
      <c r="AQ749" s="1051"/>
      <c r="AR749" s="1051"/>
      <c r="AS749" s="1052"/>
      <c r="AT749" s="1051"/>
      <c r="AU749" s="1051"/>
      <c r="AV749" s="1052"/>
      <c r="AW749" s="1051"/>
      <c r="AX749" s="1051"/>
      <c r="AY749" s="1053"/>
      <c r="AZ749" s="1051"/>
      <c r="BA749" s="1051"/>
      <c r="BB749" s="1053"/>
      <c r="BC749" s="1051"/>
      <c r="BD749" s="1051"/>
      <c r="BE749" s="1053"/>
      <c r="BF749" s="1051"/>
      <c r="BG749" s="1051"/>
      <c r="BH749" s="1053"/>
      <c r="BI749" s="1052"/>
      <c r="BJ749" s="1052"/>
      <c r="BK749" s="1052"/>
      <c r="BL749" s="1052"/>
      <c r="BM749" s="1052"/>
      <c r="BN749" s="1054"/>
      <c r="BO749" s="1076">
        <f t="shared" si="12"/>
        <v>0</v>
      </c>
      <c r="BP749" s="1051"/>
      <c r="BQ749" s="1052"/>
      <c r="BR749" s="1054"/>
      <c r="BS749" s="1053"/>
      <c r="BT749" s="1051"/>
      <c r="BU749" s="1051"/>
      <c r="BV749" s="1051"/>
      <c r="BW749" s="1052"/>
      <c r="BX749" s="1052"/>
      <c r="BY749" s="1052"/>
      <c r="BZ749" s="1052"/>
      <c r="CA749" s="1052"/>
      <c r="CB749" s="1053"/>
      <c r="CC749" s="1053"/>
      <c r="CD749" s="1053"/>
      <c r="CE749" s="1053"/>
      <c r="CF749" s="1053"/>
      <c r="CG749" s="1053"/>
      <c r="CH749" s="1053"/>
      <c r="CI749" s="1123"/>
      <c r="CJ749" s="1123"/>
      <c r="CK749" s="1123"/>
      <c r="CL749" s="1123"/>
      <c r="CM749" s="1123"/>
      <c r="CN749" s="1123"/>
      <c r="CO749" s="1123"/>
      <c r="CP749" s="1123"/>
      <c r="CQ749" s="1123"/>
      <c r="CR749" s="1123"/>
      <c r="CS749" s="1123"/>
      <c r="CT749" s="1123"/>
      <c r="CU749" s="1123"/>
      <c r="CV749" s="1123"/>
      <c r="CW749" s="1123"/>
      <c r="CX749" s="1123"/>
      <c r="CY749" s="1123"/>
      <c r="CZ749" s="1114"/>
      <c r="DA749" s="1114"/>
      <c r="DB749" s="1114"/>
      <c r="DC749" s="1114"/>
      <c r="DD749" s="1114"/>
      <c r="DE749" s="1114"/>
      <c r="DF749" s="1114"/>
      <c r="DG749" s="1114"/>
      <c r="DH749" s="1114"/>
      <c r="DI749" s="1114"/>
      <c r="DJ749" s="1114"/>
      <c r="DK749" s="1114"/>
      <c r="DL749" s="1114"/>
      <c r="DM749" s="1114"/>
      <c r="DN749" s="1114"/>
      <c r="DO749" s="1114"/>
      <c r="DP749" s="1114"/>
      <c r="DQ749" s="1114"/>
      <c r="DR749" s="1114"/>
      <c r="DS749" s="1114"/>
      <c r="DT749" s="1114"/>
      <c r="DU749" s="1114"/>
      <c r="DV749" s="1115"/>
      <c r="DW749" s="1116"/>
      <c r="DX749" s="1116"/>
      <c r="DY749" s="1116"/>
      <c r="DZ749" s="1116"/>
      <c r="EA749" s="1116"/>
      <c r="EB749" s="1116"/>
      <c r="EC749" s="1116"/>
      <c r="ED749" s="1116"/>
      <c r="EE749" s="1116"/>
      <c r="EF749" s="1116"/>
      <c r="EG749" s="1116"/>
      <c r="EH749" s="1116"/>
      <c r="EI749" s="1116"/>
      <c r="EJ749" s="1116"/>
      <c r="EK749" s="1116"/>
      <c r="EL749" s="1116"/>
      <c r="EM749" s="1116"/>
      <c r="EN749" s="1116"/>
      <c r="EO749" s="1116"/>
      <c r="EP749" s="1116"/>
      <c r="EQ749" s="1116"/>
      <c r="ER749" s="1116"/>
      <c r="ES749" s="1116"/>
    </row>
    <row r="750" spans="1:149" ht="15" customHeight="1">
      <c r="A750" s="1185">
        <v>740</v>
      </c>
      <c r="B750" s="1041"/>
      <c r="C750" s="1050"/>
      <c r="D750" s="1050"/>
      <c r="E750" s="1050"/>
      <c r="F750" s="1049"/>
      <c r="G750" s="1049"/>
      <c r="H750" s="1049"/>
      <c r="I750" s="1049"/>
      <c r="J750" s="1050"/>
      <c r="K750" s="1050"/>
      <c r="L750" s="1043"/>
      <c r="M750" s="1051"/>
      <c r="N750" s="1051"/>
      <c r="O750" s="1052"/>
      <c r="P750" s="1051"/>
      <c r="Q750" s="1051"/>
      <c r="R750" s="1052"/>
      <c r="S750" s="1051"/>
      <c r="T750" s="1051"/>
      <c r="U750" s="1052"/>
      <c r="V750" s="1051"/>
      <c r="W750" s="1051"/>
      <c r="X750" s="1052"/>
      <c r="Y750" s="1053"/>
      <c r="Z750" s="1051"/>
      <c r="AA750" s="1051"/>
      <c r="AB750" s="1052"/>
      <c r="AC750" s="1051"/>
      <c r="AD750" s="1051"/>
      <c r="AE750" s="1052"/>
      <c r="AF750" s="1051"/>
      <c r="AG750" s="1051"/>
      <c r="AH750" s="1051"/>
      <c r="AI750" s="1051"/>
      <c r="AJ750" s="1052"/>
      <c r="AK750" s="1051"/>
      <c r="AL750" s="1051"/>
      <c r="AM750" s="1052"/>
      <c r="AN750" s="1051"/>
      <c r="AO750" s="1051"/>
      <c r="AP750" s="1052"/>
      <c r="AQ750" s="1051"/>
      <c r="AR750" s="1051"/>
      <c r="AS750" s="1052"/>
      <c r="AT750" s="1051"/>
      <c r="AU750" s="1051"/>
      <c r="AV750" s="1052"/>
      <c r="AW750" s="1051"/>
      <c r="AX750" s="1051"/>
      <c r="AY750" s="1053"/>
      <c r="AZ750" s="1051"/>
      <c r="BA750" s="1051"/>
      <c r="BB750" s="1053"/>
      <c r="BC750" s="1051"/>
      <c r="BD750" s="1051"/>
      <c r="BE750" s="1053"/>
      <c r="BF750" s="1051"/>
      <c r="BG750" s="1051"/>
      <c r="BH750" s="1053"/>
      <c r="BI750" s="1052"/>
      <c r="BJ750" s="1052"/>
      <c r="BK750" s="1052"/>
      <c r="BL750" s="1052"/>
      <c r="BM750" s="1052"/>
      <c r="BN750" s="1054"/>
      <c r="BO750" s="1076">
        <f t="shared" si="12"/>
        <v>0</v>
      </c>
      <c r="BP750" s="1051"/>
      <c r="BQ750" s="1052"/>
      <c r="BR750" s="1054"/>
      <c r="BS750" s="1053"/>
      <c r="BT750" s="1051"/>
      <c r="BU750" s="1051"/>
      <c r="BV750" s="1051"/>
      <c r="BW750" s="1052"/>
      <c r="BX750" s="1052"/>
      <c r="BY750" s="1052"/>
      <c r="BZ750" s="1052"/>
      <c r="CA750" s="1052"/>
      <c r="CB750" s="1053"/>
      <c r="CC750" s="1053"/>
      <c r="CD750" s="1053"/>
      <c r="CE750" s="1053"/>
      <c r="CF750" s="1053"/>
      <c r="CG750" s="1053"/>
      <c r="CH750" s="1053"/>
      <c r="CI750" s="1123"/>
      <c r="CJ750" s="1123"/>
      <c r="CK750" s="1123"/>
      <c r="CL750" s="1123"/>
      <c r="CM750" s="1123"/>
      <c r="CN750" s="1123"/>
      <c r="CO750" s="1123"/>
      <c r="CP750" s="1123"/>
      <c r="CQ750" s="1123"/>
      <c r="CR750" s="1123"/>
      <c r="CS750" s="1123"/>
      <c r="CT750" s="1123"/>
      <c r="CU750" s="1123"/>
      <c r="CV750" s="1123"/>
      <c r="CW750" s="1123"/>
      <c r="CX750" s="1123"/>
      <c r="CY750" s="1123"/>
      <c r="CZ750" s="1114"/>
      <c r="DA750" s="1114"/>
      <c r="DB750" s="1114"/>
      <c r="DC750" s="1114"/>
      <c r="DD750" s="1114"/>
      <c r="DE750" s="1114"/>
      <c r="DF750" s="1114"/>
      <c r="DG750" s="1114"/>
      <c r="DH750" s="1114"/>
      <c r="DI750" s="1114"/>
      <c r="DJ750" s="1114"/>
      <c r="DK750" s="1114"/>
      <c r="DL750" s="1114"/>
      <c r="DM750" s="1114"/>
      <c r="DN750" s="1114"/>
      <c r="DO750" s="1114"/>
      <c r="DP750" s="1114"/>
      <c r="DQ750" s="1114"/>
      <c r="DR750" s="1114"/>
      <c r="DS750" s="1114"/>
      <c r="DT750" s="1114"/>
      <c r="DU750" s="1114"/>
      <c r="DV750" s="1115"/>
      <c r="DW750" s="1116"/>
      <c r="DX750" s="1116"/>
      <c r="DY750" s="1116"/>
      <c r="DZ750" s="1116"/>
      <c r="EA750" s="1116"/>
      <c r="EB750" s="1116"/>
      <c r="EC750" s="1116"/>
      <c r="ED750" s="1116"/>
      <c r="EE750" s="1116"/>
      <c r="EF750" s="1116"/>
      <c r="EG750" s="1116"/>
      <c r="EH750" s="1116"/>
      <c r="EI750" s="1116"/>
      <c r="EJ750" s="1116"/>
      <c r="EK750" s="1116"/>
      <c r="EL750" s="1116"/>
      <c r="EM750" s="1116"/>
      <c r="EN750" s="1116"/>
      <c r="EO750" s="1116"/>
      <c r="EP750" s="1116"/>
      <c r="EQ750" s="1116"/>
      <c r="ER750" s="1116"/>
      <c r="ES750" s="1116"/>
    </row>
    <row r="751" spans="1:149" ht="15" customHeight="1">
      <c r="A751" s="1185">
        <v>741</v>
      </c>
      <c r="B751" s="1041"/>
      <c r="C751" s="1050"/>
      <c r="D751" s="1050"/>
      <c r="E751" s="1050"/>
      <c r="F751" s="1049"/>
      <c r="G751" s="1049"/>
      <c r="H751" s="1049"/>
      <c r="I751" s="1049"/>
      <c r="J751" s="1050"/>
      <c r="K751" s="1050"/>
      <c r="L751" s="1043"/>
      <c r="M751" s="1051"/>
      <c r="N751" s="1051"/>
      <c r="O751" s="1052"/>
      <c r="P751" s="1051"/>
      <c r="Q751" s="1051"/>
      <c r="R751" s="1052"/>
      <c r="S751" s="1051"/>
      <c r="T751" s="1051"/>
      <c r="U751" s="1052"/>
      <c r="V751" s="1051"/>
      <c r="W751" s="1051"/>
      <c r="X751" s="1052"/>
      <c r="Y751" s="1053"/>
      <c r="Z751" s="1051"/>
      <c r="AA751" s="1051"/>
      <c r="AB751" s="1052"/>
      <c r="AC751" s="1051"/>
      <c r="AD751" s="1051"/>
      <c r="AE751" s="1052"/>
      <c r="AF751" s="1051"/>
      <c r="AG751" s="1051"/>
      <c r="AH751" s="1051"/>
      <c r="AI751" s="1051"/>
      <c r="AJ751" s="1052"/>
      <c r="AK751" s="1051"/>
      <c r="AL751" s="1051"/>
      <c r="AM751" s="1052"/>
      <c r="AN751" s="1051"/>
      <c r="AO751" s="1051"/>
      <c r="AP751" s="1052"/>
      <c r="AQ751" s="1051"/>
      <c r="AR751" s="1051"/>
      <c r="AS751" s="1052"/>
      <c r="AT751" s="1051"/>
      <c r="AU751" s="1051"/>
      <c r="AV751" s="1052"/>
      <c r="AW751" s="1051"/>
      <c r="AX751" s="1051"/>
      <c r="AY751" s="1053"/>
      <c r="AZ751" s="1051"/>
      <c r="BA751" s="1051"/>
      <c r="BB751" s="1053"/>
      <c r="BC751" s="1051"/>
      <c r="BD751" s="1051"/>
      <c r="BE751" s="1053"/>
      <c r="BF751" s="1051"/>
      <c r="BG751" s="1051"/>
      <c r="BH751" s="1053"/>
      <c r="BI751" s="1052"/>
      <c r="BJ751" s="1052"/>
      <c r="BK751" s="1052"/>
      <c r="BL751" s="1052"/>
      <c r="BM751" s="1052"/>
      <c r="BN751" s="1054"/>
      <c r="BO751" s="1076">
        <f t="shared" si="12"/>
        <v>0</v>
      </c>
      <c r="BP751" s="1051"/>
      <c r="BQ751" s="1052"/>
      <c r="BR751" s="1054"/>
      <c r="BS751" s="1053"/>
      <c r="BT751" s="1051"/>
      <c r="BU751" s="1051"/>
      <c r="BV751" s="1051"/>
      <c r="BW751" s="1052"/>
      <c r="BX751" s="1052"/>
      <c r="BY751" s="1052"/>
      <c r="BZ751" s="1052"/>
      <c r="CA751" s="1052"/>
      <c r="CB751" s="1053"/>
      <c r="CC751" s="1053"/>
      <c r="CD751" s="1053"/>
      <c r="CE751" s="1053"/>
      <c r="CF751" s="1053"/>
      <c r="CG751" s="1053"/>
      <c r="CH751" s="1053"/>
      <c r="CI751" s="1123"/>
      <c r="CJ751" s="1123"/>
      <c r="CK751" s="1123"/>
      <c r="CL751" s="1123"/>
      <c r="CM751" s="1123"/>
      <c r="CN751" s="1123"/>
      <c r="CO751" s="1123"/>
      <c r="CP751" s="1123"/>
      <c r="CQ751" s="1123"/>
      <c r="CR751" s="1123"/>
      <c r="CS751" s="1123"/>
      <c r="CT751" s="1123"/>
      <c r="CU751" s="1123"/>
      <c r="CV751" s="1123"/>
      <c r="CW751" s="1123"/>
      <c r="CX751" s="1123"/>
      <c r="CY751" s="1123"/>
      <c r="CZ751" s="1114"/>
      <c r="DA751" s="1114"/>
      <c r="DB751" s="1114"/>
      <c r="DC751" s="1114"/>
      <c r="DD751" s="1114"/>
      <c r="DE751" s="1114"/>
      <c r="DF751" s="1114"/>
      <c r="DG751" s="1114"/>
      <c r="DH751" s="1114"/>
      <c r="DI751" s="1114"/>
      <c r="DJ751" s="1114"/>
      <c r="DK751" s="1114"/>
      <c r="DL751" s="1114"/>
      <c r="DM751" s="1114"/>
      <c r="DN751" s="1114"/>
      <c r="DO751" s="1114"/>
      <c r="DP751" s="1114"/>
      <c r="DQ751" s="1114"/>
      <c r="DR751" s="1114"/>
      <c r="DS751" s="1114"/>
      <c r="DT751" s="1114"/>
      <c r="DU751" s="1114"/>
      <c r="DV751" s="1115"/>
      <c r="DW751" s="1116"/>
      <c r="DX751" s="1116"/>
      <c r="DY751" s="1116"/>
      <c r="DZ751" s="1116"/>
      <c r="EA751" s="1116"/>
      <c r="EB751" s="1116"/>
      <c r="EC751" s="1116"/>
      <c r="ED751" s="1116"/>
      <c r="EE751" s="1116"/>
      <c r="EF751" s="1116"/>
      <c r="EG751" s="1116"/>
      <c r="EH751" s="1116"/>
      <c r="EI751" s="1116"/>
      <c r="EJ751" s="1116"/>
      <c r="EK751" s="1116"/>
      <c r="EL751" s="1116"/>
      <c r="EM751" s="1116"/>
      <c r="EN751" s="1116"/>
      <c r="EO751" s="1116"/>
      <c r="EP751" s="1116"/>
      <c r="EQ751" s="1116"/>
      <c r="ER751" s="1116"/>
      <c r="ES751" s="1116"/>
    </row>
    <row r="752" spans="1:149" ht="15" customHeight="1">
      <c r="A752" s="1185">
        <v>742</v>
      </c>
      <c r="B752" s="1041"/>
      <c r="C752" s="1050"/>
      <c r="D752" s="1050"/>
      <c r="E752" s="1050"/>
      <c r="F752" s="1049"/>
      <c r="G752" s="1049"/>
      <c r="H752" s="1049"/>
      <c r="I752" s="1049"/>
      <c r="J752" s="1050"/>
      <c r="K752" s="1050"/>
      <c r="L752" s="1043"/>
      <c r="M752" s="1051"/>
      <c r="N752" s="1051"/>
      <c r="O752" s="1052"/>
      <c r="P752" s="1051"/>
      <c r="Q752" s="1051"/>
      <c r="R752" s="1052"/>
      <c r="S752" s="1051"/>
      <c r="T752" s="1051"/>
      <c r="U752" s="1052"/>
      <c r="V752" s="1051"/>
      <c r="W752" s="1051"/>
      <c r="X752" s="1052"/>
      <c r="Y752" s="1053"/>
      <c r="Z752" s="1051"/>
      <c r="AA752" s="1051"/>
      <c r="AB752" s="1052"/>
      <c r="AC752" s="1051"/>
      <c r="AD752" s="1051"/>
      <c r="AE752" s="1052"/>
      <c r="AF752" s="1051"/>
      <c r="AG752" s="1051"/>
      <c r="AH752" s="1051"/>
      <c r="AI752" s="1051"/>
      <c r="AJ752" s="1052"/>
      <c r="AK752" s="1051"/>
      <c r="AL752" s="1051"/>
      <c r="AM752" s="1052"/>
      <c r="AN752" s="1051"/>
      <c r="AO752" s="1051"/>
      <c r="AP752" s="1052"/>
      <c r="AQ752" s="1051"/>
      <c r="AR752" s="1051"/>
      <c r="AS752" s="1052"/>
      <c r="AT752" s="1051"/>
      <c r="AU752" s="1051"/>
      <c r="AV752" s="1052"/>
      <c r="AW752" s="1051"/>
      <c r="AX752" s="1051"/>
      <c r="AY752" s="1053"/>
      <c r="AZ752" s="1051"/>
      <c r="BA752" s="1051"/>
      <c r="BB752" s="1053"/>
      <c r="BC752" s="1051"/>
      <c r="BD752" s="1051"/>
      <c r="BE752" s="1053"/>
      <c r="BF752" s="1051"/>
      <c r="BG752" s="1051"/>
      <c r="BH752" s="1053"/>
      <c r="BI752" s="1052"/>
      <c r="BJ752" s="1052"/>
      <c r="BK752" s="1052"/>
      <c r="BL752" s="1052"/>
      <c r="BM752" s="1052"/>
      <c r="BN752" s="1054"/>
      <c r="BO752" s="1076">
        <f t="shared" si="12"/>
        <v>0</v>
      </c>
      <c r="BP752" s="1051"/>
      <c r="BQ752" s="1052"/>
      <c r="BR752" s="1054"/>
      <c r="BS752" s="1053"/>
      <c r="BT752" s="1051"/>
      <c r="BU752" s="1051"/>
      <c r="BV752" s="1051"/>
      <c r="BW752" s="1052"/>
      <c r="BX752" s="1052"/>
      <c r="BY752" s="1052"/>
      <c r="BZ752" s="1052"/>
      <c r="CA752" s="1052"/>
      <c r="CB752" s="1053"/>
      <c r="CC752" s="1053"/>
      <c r="CD752" s="1053"/>
      <c r="CE752" s="1053"/>
      <c r="CF752" s="1053"/>
      <c r="CG752" s="1053"/>
      <c r="CH752" s="1053"/>
      <c r="CI752" s="1123"/>
      <c r="CJ752" s="1123"/>
      <c r="CK752" s="1123"/>
      <c r="CL752" s="1123"/>
      <c r="CM752" s="1123"/>
      <c r="CN752" s="1123"/>
      <c r="CO752" s="1123"/>
      <c r="CP752" s="1123"/>
      <c r="CQ752" s="1123"/>
      <c r="CR752" s="1123"/>
      <c r="CS752" s="1123"/>
      <c r="CT752" s="1123"/>
      <c r="CU752" s="1123"/>
      <c r="CV752" s="1123"/>
      <c r="CW752" s="1123"/>
      <c r="CX752" s="1123"/>
      <c r="CY752" s="1123"/>
      <c r="CZ752" s="1114"/>
      <c r="DA752" s="1114"/>
      <c r="DB752" s="1114"/>
      <c r="DC752" s="1114"/>
      <c r="DD752" s="1114"/>
      <c r="DE752" s="1114"/>
      <c r="DF752" s="1114"/>
      <c r="DG752" s="1114"/>
      <c r="DH752" s="1114"/>
      <c r="DI752" s="1114"/>
      <c r="DJ752" s="1114"/>
      <c r="DK752" s="1114"/>
      <c r="DL752" s="1114"/>
      <c r="DM752" s="1114"/>
      <c r="DN752" s="1114"/>
      <c r="DO752" s="1114"/>
      <c r="DP752" s="1114"/>
      <c r="DQ752" s="1114"/>
      <c r="DR752" s="1114"/>
      <c r="DS752" s="1114"/>
      <c r="DT752" s="1114"/>
      <c r="DU752" s="1114"/>
      <c r="DV752" s="1115"/>
      <c r="DW752" s="1116"/>
      <c r="DX752" s="1116"/>
      <c r="DY752" s="1116"/>
      <c r="DZ752" s="1116"/>
      <c r="EA752" s="1116"/>
      <c r="EB752" s="1116"/>
      <c r="EC752" s="1116"/>
      <c r="ED752" s="1116"/>
      <c r="EE752" s="1116"/>
      <c r="EF752" s="1116"/>
      <c r="EG752" s="1116"/>
      <c r="EH752" s="1116"/>
      <c r="EI752" s="1116"/>
      <c r="EJ752" s="1116"/>
      <c r="EK752" s="1116"/>
      <c r="EL752" s="1116"/>
      <c r="EM752" s="1116"/>
      <c r="EN752" s="1116"/>
      <c r="EO752" s="1116"/>
      <c r="EP752" s="1116"/>
      <c r="EQ752" s="1116"/>
      <c r="ER752" s="1116"/>
      <c r="ES752" s="1116"/>
    </row>
    <row r="753" spans="1:149" ht="15" customHeight="1">
      <c r="A753" s="1185">
        <v>743</v>
      </c>
      <c r="B753" s="1041"/>
      <c r="C753" s="1050"/>
      <c r="D753" s="1050"/>
      <c r="E753" s="1050"/>
      <c r="F753" s="1049"/>
      <c r="G753" s="1049"/>
      <c r="H753" s="1049"/>
      <c r="I753" s="1049"/>
      <c r="J753" s="1050"/>
      <c r="K753" s="1050"/>
      <c r="L753" s="1043"/>
      <c r="M753" s="1051"/>
      <c r="N753" s="1051"/>
      <c r="O753" s="1052"/>
      <c r="P753" s="1051"/>
      <c r="Q753" s="1051"/>
      <c r="R753" s="1052"/>
      <c r="S753" s="1051"/>
      <c r="T753" s="1051"/>
      <c r="U753" s="1052"/>
      <c r="V753" s="1051"/>
      <c r="W753" s="1051"/>
      <c r="X753" s="1052"/>
      <c r="Y753" s="1053"/>
      <c r="Z753" s="1051"/>
      <c r="AA753" s="1051"/>
      <c r="AB753" s="1052"/>
      <c r="AC753" s="1051"/>
      <c r="AD753" s="1051"/>
      <c r="AE753" s="1052"/>
      <c r="AF753" s="1051"/>
      <c r="AG753" s="1051"/>
      <c r="AH753" s="1051"/>
      <c r="AI753" s="1051"/>
      <c r="AJ753" s="1052"/>
      <c r="AK753" s="1051"/>
      <c r="AL753" s="1051"/>
      <c r="AM753" s="1052"/>
      <c r="AN753" s="1051"/>
      <c r="AO753" s="1051"/>
      <c r="AP753" s="1052"/>
      <c r="AQ753" s="1051"/>
      <c r="AR753" s="1051"/>
      <c r="AS753" s="1052"/>
      <c r="AT753" s="1051"/>
      <c r="AU753" s="1051"/>
      <c r="AV753" s="1052"/>
      <c r="AW753" s="1051"/>
      <c r="AX753" s="1051"/>
      <c r="AY753" s="1053"/>
      <c r="AZ753" s="1051"/>
      <c r="BA753" s="1051"/>
      <c r="BB753" s="1053"/>
      <c r="BC753" s="1051"/>
      <c r="BD753" s="1051"/>
      <c r="BE753" s="1053"/>
      <c r="BF753" s="1051"/>
      <c r="BG753" s="1051"/>
      <c r="BH753" s="1053"/>
      <c r="BI753" s="1052"/>
      <c r="BJ753" s="1052"/>
      <c r="BK753" s="1052"/>
      <c r="BL753" s="1052"/>
      <c r="BM753" s="1052"/>
      <c r="BN753" s="1054"/>
      <c r="BO753" s="1076">
        <f t="shared" ref="BO753:BO816" si="13">H753</f>
        <v>0</v>
      </c>
      <c r="BP753" s="1051"/>
      <c r="BQ753" s="1052"/>
      <c r="BR753" s="1054"/>
      <c r="BS753" s="1053"/>
      <c r="BT753" s="1051"/>
      <c r="BU753" s="1051"/>
      <c r="BV753" s="1051"/>
      <c r="BW753" s="1052"/>
      <c r="BX753" s="1052"/>
      <c r="BY753" s="1052"/>
      <c r="BZ753" s="1052"/>
      <c r="CA753" s="1052"/>
      <c r="CB753" s="1053"/>
      <c r="CC753" s="1053"/>
      <c r="CD753" s="1053"/>
      <c r="CE753" s="1053"/>
      <c r="CF753" s="1053"/>
      <c r="CG753" s="1053"/>
      <c r="CH753" s="1053"/>
      <c r="CI753" s="1123"/>
      <c r="CJ753" s="1123"/>
      <c r="CK753" s="1123"/>
      <c r="CL753" s="1123"/>
      <c r="CM753" s="1123"/>
      <c r="CN753" s="1123"/>
      <c r="CO753" s="1123"/>
      <c r="CP753" s="1123"/>
      <c r="CQ753" s="1123"/>
      <c r="CR753" s="1123"/>
      <c r="CS753" s="1123"/>
      <c r="CT753" s="1123"/>
      <c r="CU753" s="1123"/>
      <c r="CV753" s="1123"/>
      <c r="CW753" s="1123"/>
      <c r="CX753" s="1123"/>
      <c r="CY753" s="1123"/>
      <c r="CZ753" s="1114"/>
      <c r="DA753" s="1114"/>
      <c r="DB753" s="1114"/>
      <c r="DC753" s="1114"/>
      <c r="DD753" s="1114"/>
      <c r="DE753" s="1114"/>
      <c r="DF753" s="1114"/>
      <c r="DG753" s="1114"/>
      <c r="DH753" s="1114"/>
      <c r="DI753" s="1114"/>
      <c r="DJ753" s="1114"/>
      <c r="DK753" s="1114"/>
      <c r="DL753" s="1114"/>
      <c r="DM753" s="1114"/>
      <c r="DN753" s="1114"/>
      <c r="DO753" s="1114"/>
      <c r="DP753" s="1114"/>
      <c r="DQ753" s="1114"/>
      <c r="DR753" s="1114"/>
      <c r="DS753" s="1114"/>
      <c r="DT753" s="1114"/>
      <c r="DU753" s="1114"/>
      <c r="DV753" s="1115"/>
      <c r="DW753" s="1116"/>
      <c r="DX753" s="1116"/>
      <c r="DY753" s="1116"/>
      <c r="DZ753" s="1116"/>
      <c r="EA753" s="1116"/>
      <c r="EB753" s="1116"/>
      <c r="EC753" s="1116"/>
      <c r="ED753" s="1116"/>
      <c r="EE753" s="1116"/>
      <c r="EF753" s="1116"/>
      <c r="EG753" s="1116"/>
      <c r="EH753" s="1116"/>
      <c r="EI753" s="1116"/>
      <c r="EJ753" s="1116"/>
      <c r="EK753" s="1116"/>
      <c r="EL753" s="1116"/>
      <c r="EM753" s="1116"/>
      <c r="EN753" s="1116"/>
      <c r="EO753" s="1116"/>
      <c r="EP753" s="1116"/>
      <c r="EQ753" s="1116"/>
      <c r="ER753" s="1116"/>
      <c r="ES753" s="1116"/>
    </row>
    <row r="754" spans="1:149" ht="15" customHeight="1">
      <c r="A754" s="1185">
        <v>744</v>
      </c>
      <c r="B754" s="1041"/>
      <c r="C754" s="1050"/>
      <c r="D754" s="1050"/>
      <c r="E754" s="1050"/>
      <c r="F754" s="1049"/>
      <c r="G754" s="1049"/>
      <c r="H754" s="1049"/>
      <c r="I754" s="1049"/>
      <c r="J754" s="1050"/>
      <c r="K754" s="1050"/>
      <c r="L754" s="1043"/>
      <c r="M754" s="1051"/>
      <c r="N754" s="1051"/>
      <c r="O754" s="1052"/>
      <c r="P754" s="1051"/>
      <c r="Q754" s="1051"/>
      <c r="R754" s="1052"/>
      <c r="S754" s="1051"/>
      <c r="T754" s="1051"/>
      <c r="U754" s="1052"/>
      <c r="V754" s="1051"/>
      <c r="W754" s="1051"/>
      <c r="X754" s="1052"/>
      <c r="Y754" s="1053"/>
      <c r="Z754" s="1051"/>
      <c r="AA754" s="1051"/>
      <c r="AB754" s="1052"/>
      <c r="AC754" s="1051"/>
      <c r="AD754" s="1051"/>
      <c r="AE754" s="1052"/>
      <c r="AF754" s="1051"/>
      <c r="AG754" s="1051"/>
      <c r="AH754" s="1051"/>
      <c r="AI754" s="1051"/>
      <c r="AJ754" s="1052"/>
      <c r="AK754" s="1051"/>
      <c r="AL754" s="1051"/>
      <c r="AM754" s="1052"/>
      <c r="AN754" s="1051"/>
      <c r="AO754" s="1051"/>
      <c r="AP754" s="1052"/>
      <c r="AQ754" s="1051"/>
      <c r="AR754" s="1051"/>
      <c r="AS754" s="1052"/>
      <c r="AT754" s="1051"/>
      <c r="AU754" s="1051"/>
      <c r="AV754" s="1052"/>
      <c r="AW754" s="1051"/>
      <c r="AX754" s="1051"/>
      <c r="AY754" s="1053"/>
      <c r="AZ754" s="1051"/>
      <c r="BA754" s="1051"/>
      <c r="BB754" s="1053"/>
      <c r="BC754" s="1051"/>
      <c r="BD754" s="1051"/>
      <c r="BE754" s="1053"/>
      <c r="BF754" s="1051"/>
      <c r="BG754" s="1051"/>
      <c r="BH754" s="1053"/>
      <c r="BI754" s="1052"/>
      <c r="BJ754" s="1052"/>
      <c r="BK754" s="1052"/>
      <c r="BL754" s="1052"/>
      <c r="BM754" s="1052"/>
      <c r="BN754" s="1054"/>
      <c r="BO754" s="1076">
        <f t="shared" si="13"/>
        <v>0</v>
      </c>
      <c r="BP754" s="1051"/>
      <c r="BQ754" s="1052"/>
      <c r="BR754" s="1054"/>
      <c r="BS754" s="1053"/>
      <c r="BT754" s="1051"/>
      <c r="BU754" s="1051"/>
      <c r="BV754" s="1051"/>
      <c r="BW754" s="1052"/>
      <c r="BX754" s="1052"/>
      <c r="BY754" s="1052"/>
      <c r="BZ754" s="1052"/>
      <c r="CA754" s="1052"/>
      <c r="CB754" s="1053"/>
      <c r="CC754" s="1053"/>
      <c r="CD754" s="1053"/>
      <c r="CE754" s="1053"/>
      <c r="CF754" s="1053"/>
      <c r="CG754" s="1053"/>
      <c r="CH754" s="1053"/>
      <c r="CI754" s="1123"/>
      <c r="CJ754" s="1123"/>
      <c r="CK754" s="1123"/>
      <c r="CL754" s="1123"/>
      <c r="CM754" s="1123"/>
      <c r="CN754" s="1123"/>
      <c r="CO754" s="1123"/>
      <c r="CP754" s="1123"/>
      <c r="CQ754" s="1123"/>
      <c r="CR754" s="1123"/>
      <c r="CS754" s="1123"/>
      <c r="CT754" s="1123"/>
      <c r="CU754" s="1123"/>
      <c r="CV754" s="1123"/>
      <c r="CW754" s="1123"/>
      <c r="CX754" s="1123"/>
      <c r="CY754" s="1123"/>
      <c r="CZ754" s="1114"/>
      <c r="DA754" s="1114"/>
      <c r="DB754" s="1114"/>
      <c r="DC754" s="1114"/>
      <c r="DD754" s="1114"/>
      <c r="DE754" s="1114"/>
      <c r="DF754" s="1114"/>
      <c r="DG754" s="1114"/>
      <c r="DH754" s="1114"/>
      <c r="DI754" s="1114"/>
      <c r="DJ754" s="1114"/>
      <c r="DK754" s="1114"/>
      <c r="DL754" s="1114"/>
      <c r="DM754" s="1114"/>
      <c r="DN754" s="1114"/>
      <c r="DO754" s="1114"/>
      <c r="DP754" s="1114"/>
      <c r="DQ754" s="1114"/>
      <c r="DR754" s="1114"/>
      <c r="DS754" s="1114"/>
      <c r="DT754" s="1114"/>
      <c r="DU754" s="1114"/>
      <c r="DV754" s="1115"/>
      <c r="DW754" s="1116"/>
      <c r="DX754" s="1116"/>
      <c r="DY754" s="1116"/>
      <c r="DZ754" s="1116"/>
      <c r="EA754" s="1116"/>
      <c r="EB754" s="1116"/>
      <c r="EC754" s="1116"/>
      <c r="ED754" s="1116"/>
      <c r="EE754" s="1116"/>
      <c r="EF754" s="1116"/>
      <c r="EG754" s="1116"/>
      <c r="EH754" s="1116"/>
      <c r="EI754" s="1116"/>
      <c r="EJ754" s="1116"/>
      <c r="EK754" s="1116"/>
      <c r="EL754" s="1116"/>
      <c r="EM754" s="1116"/>
      <c r="EN754" s="1116"/>
      <c r="EO754" s="1116"/>
      <c r="EP754" s="1116"/>
      <c r="EQ754" s="1116"/>
      <c r="ER754" s="1116"/>
      <c r="ES754" s="1116"/>
    </row>
    <row r="755" spans="1:149" ht="15" customHeight="1">
      <c r="A755" s="1185">
        <v>745</v>
      </c>
      <c r="B755" s="1041"/>
      <c r="C755" s="1050"/>
      <c r="D755" s="1050"/>
      <c r="E755" s="1050"/>
      <c r="F755" s="1049"/>
      <c r="G755" s="1049"/>
      <c r="H755" s="1049"/>
      <c r="I755" s="1049"/>
      <c r="J755" s="1050"/>
      <c r="K755" s="1050"/>
      <c r="L755" s="1043"/>
      <c r="M755" s="1051"/>
      <c r="N755" s="1051"/>
      <c r="O755" s="1052"/>
      <c r="P755" s="1051"/>
      <c r="Q755" s="1051"/>
      <c r="R755" s="1052"/>
      <c r="S755" s="1051"/>
      <c r="T755" s="1051"/>
      <c r="U755" s="1052"/>
      <c r="V755" s="1051"/>
      <c r="W755" s="1051"/>
      <c r="X755" s="1052"/>
      <c r="Y755" s="1053"/>
      <c r="Z755" s="1051"/>
      <c r="AA755" s="1051"/>
      <c r="AB755" s="1052"/>
      <c r="AC755" s="1051"/>
      <c r="AD755" s="1051"/>
      <c r="AE755" s="1052"/>
      <c r="AF755" s="1051"/>
      <c r="AG755" s="1051"/>
      <c r="AH755" s="1051"/>
      <c r="AI755" s="1051"/>
      <c r="AJ755" s="1052"/>
      <c r="AK755" s="1051"/>
      <c r="AL755" s="1051"/>
      <c r="AM755" s="1052"/>
      <c r="AN755" s="1051"/>
      <c r="AO755" s="1051"/>
      <c r="AP755" s="1052"/>
      <c r="AQ755" s="1051"/>
      <c r="AR755" s="1051"/>
      <c r="AS755" s="1052"/>
      <c r="AT755" s="1051"/>
      <c r="AU755" s="1051"/>
      <c r="AV755" s="1052"/>
      <c r="AW755" s="1051"/>
      <c r="AX755" s="1051"/>
      <c r="AY755" s="1053"/>
      <c r="AZ755" s="1051"/>
      <c r="BA755" s="1051"/>
      <c r="BB755" s="1053"/>
      <c r="BC755" s="1051"/>
      <c r="BD755" s="1051"/>
      <c r="BE755" s="1053"/>
      <c r="BF755" s="1051"/>
      <c r="BG755" s="1051"/>
      <c r="BH755" s="1053"/>
      <c r="BI755" s="1052"/>
      <c r="BJ755" s="1052"/>
      <c r="BK755" s="1052"/>
      <c r="BL755" s="1052"/>
      <c r="BM755" s="1052"/>
      <c r="BN755" s="1054"/>
      <c r="BO755" s="1076">
        <f t="shared" si="13"/>
        <v>0</v>
      </c>
      <c r="BP755" s="1051"/>
      <c r="BQ755" s="1052"/>
      <c r="BR755" s="1054"/>
      <c r="BS755" s="1053"/>
      <c r="BT755" s="1051"/>
      <c r="BU755" s="1051"/>
      <c r="BV755" s="1051"/>
      <c r="BW755" s="1052"/>
      <c r="BX755" s="1052"/>
      <c r="BY755" s="1052"/>
      <c r="BZ755" s="1052"/>
      <c r="CA755" s="1052"/>
      <c r="CB755" s="1053"/>
      <c r="CC755" s="1053"/>
      <c r="CD755" s="1053"/>
      <c r="CE755" s="1053"/>
      <c r="CF755" s="1053"/>
      <c r="CG755" s="1053"/>
      <c r="CH755" s="1053"/>
      <c r="CI755" s="1123"/>
      <c r="CJ755" s="1123"/>
      <c r="CK755" s="1123"/>
      <c r="CL755" s="1123"/>
      <c r="CM755" s="1123"/>
      <c r="CN755" s="1123"/>
      <c r="CO755" s="1123"/>
      <c r="CP755" s="1123"/>
      <c r="CQ755" s="1123"/>
      <c r="CR755" s="1123"/>
      <c r="CS755" s="1123"/>
      <c r="CT755" s="1123"/>
      <c r="CU755" s="1123"/>
      <c r="CV755" s="1123"/>
      <c r="CW755" s="1123"/>
      <c r="CX755" s="1123"/>
      <c r="CY755" s="1123"/>
      <c r="CZ755" s="1114"/>
      <c r="DA755" s="1114"/>
      <c r="DB755" s="1114"/>
      <c r="DC755" s="1114"/>
      <c r="DD755" s="1114"/>
      <c r="DE755" s="1114"/>
      <c r="DF755" s="1114"/>
      <c r="DG755" s="1114"/>
      <c r="DH755" s="1114"/>
      <c r="DI755" s="1114"/>
      <c r="DJ755" s="1114"/>
      <c r="DK755" s="1114"/>
      <c r="DL755" s="1114"/>
      <c r="DM755" s="1114"/>
      <c r="DN755" s="1114"/>
      <c r="DO755" s="1114"/>
      <c r="DP755" s="1114"/>
      <c r="DQ755" s="1114"/>
      <c r="DR755" s="1114"/>
      <c r="DS755" s="1114"/>
      <c r="DT755" s="1114"/>
      <c r="DU755" s="1114"/>
      <c r="DV755" s="1115"/>
      <c r="DW755" s="1116"/>
      <c r="DX755" s="1116"/>
      <c r="DY755" s="1116"/>
      <c r="DZ755" s="1116"/>
      <c r="EA755" s="1116"/>
      <c r="EB755" s="1116"/>
      <c r="EC755" s="1116"/>
      <c r="ED755" s="1116"/>
      <c r="EE755" s="1116"/>
      <c r="EF755" s="1116"/>
      <c r="EG755" s="1116"/>
      <c r="EH755" s="1116"/>
      <c r="EI755" s="1116"/>
      <c r="EJ755" s="1116"/>
      <c r="EK755" s="1116"/>
      <c r="EL755" s="1116"/>
      <c r="EM755" s="1116"/>
      <c r="EN755" s="1116"/>
      <c r="EO755" s="1116"/>
      <c r="EP755" s="1116"/>
      <c r="EQ755" s="1116"/>
      <c r="ER755" s="1116"/>
      <c r="ES755" s="1116"/>
    </row>
    <row r="756" spans="1:149" ht="15" customHeight="1">
      <c r="A756" s="1185">
        <v>746</v>
      </c>
      <c r="B756" s="1041"/>
      <c r="C756" s="1050"/>
      <c r="D756" s="1050"/>
      <c r="E756" s="1050"/>
      <c r="F756" s="1049"/>
      <c r="G756" s="1049"/>
      <c r="H756" s="1049"/>
      <c r="I756" s="1049"/>
      <c r="J756" s="1050"/>
      <c r="K756" s="1050"/>
      <c r="L756" s="1043"/>
      <c r="M756" s="1051"/>
      <c r="N756" s="1051"/>
      <c r="O756" s="1052"/>
      <c r="P756" s="1051"/>
      <c r="Q756" s="1051"/>
      <c r="R756" s="1052"/>
      <c r="S756" s="1051"/>
      <c r="T756" s="1051"/>
      <c r="U756" s="1052"/>
      <c r="V756" s="1051"/>
      <c r="W756" s="1051"/>
      <c r="X756" s="1052"/>
      <c r="Y756" s="1053"/>
      <c r="Z756" s="1051"/>
      <c r="AA756" s="1051"/>
      <c r="AB756" s="1052"/>
      <c r="AC756" s="1051"/>
      <c r="AD756" s="1051"/>
      <c r="AE756" s="1052"/>
      <c r="AF756" s="1051"/>
      <c r="AG756" s="1051"/>
      <c r="AH756" s="1051"/>
      <c r="AI756" s="1051"/>
      <c r="AJ756" s="1052"/>
      <c r="AK756" s="1051"/>
      <c r="AL756" s="1051"/>
      <c r="AM756" s="1052"/>
      <c r="AN756" s="1051"/>
      <c r="AO756" s="1051"/>
      <c r="AP756" s="1052"/>
      <c r="AQ756" s="1051"/>
      <c r="AR756" s="1051"/>
      <c r="AS756" s="1052"/>
      <c r="AT756" s="1051"/>
      <c r="AU756" s="1051"/>
      <c r="AV756" s="1052"/>
      <c r="AW756" s="1051"/>
      <c r="AX756" s="1051"/>
      <c r="AY756" s="1053"/>
      <c r="AZ756" s="1051"/>
      <c r="BA756" s="1051"/>
      <c r="BB756" s="1053"/>
      <c r="BC756" s="1051"/>
      <c r="BD756" s="1051"/>
      <c r="BE756" s="1053"/>
      <c r="BF756" s="1051"/>
      <c r="BG756" s="1051"/>
      <c r="BH756" s="1053"/>
      <c r="BI756" s="1052"/>
      <c r="BJ756" s="1052"/>
      <c r="BK756" s="1052"/>
      <c r="BL756" s="1052"/>
      <c r="BM756" s="1052"/>
      <c r="BN756" s="1054"/>
      <c r="BO756" s="1076">
        <f t="shared" si="13"/>
        <v>0</v>
      </c>
      <c r="BP756" s="1051"/>
      <c r="BQ756" s="1052"/>
      <c r="BR756" s="1054"/>
      <c r="BS756" s="1053"/>
      <c r="BT756" s="1051"/>
      <c r="BU756" s="1051"/>
      <c r="BV756" s="1051"/>
      <c r="BW756" s="1052"/>
      <c r="BX756" s="1052"/>
      <c r="BY756" s="1052"/>
      <c r="BZ756" s="1052"/>
      <c r="CA756" s="1052"/>
      <c r="CB756" s="1053"/>
      <c r="CC756" s="1053"/>
      <c r="CD756" s="1053"/>
      <c r="CE756" s="1053"/>
      <c r="CF756" s="1053"/>
      <c r="CG756" s="1053"/>
      <c r="CH756" s="1053"/>
      <c r="CI756" s="1123"/>
      <c r="CJ756" s="1123"/>
      <c r="CK756" s="1123"/>
      <c r="CL756" s="1123"/>
      <c r="CM756" s="1123"/>
      <c r="CN756" s="1123"/>
      <c r="CO756" s="1123"/>
      <c r="CP756" s="1123"/>
      <c r="CQ756" s="1123"/>
      <c r="CR756" s="1123"/>
      <c r="CS756" s="1123"/>
      <c r="CT756" s="1123"/>
      <c r="CU756" s="1123"/>
      <c r="CV756" s="1123"/>
      <c r="CW756" s="1123"/>
      <c r="CX756" s="1123"/>
      <c r="CY756" s="1123"/>
      <c r="CZ756" s="1114"/>
      <c r="DA756" s="1114"/>
      <c r="DB756" s="1114"/>
      <c r="DC756" s="1114"/>
      <c r="DD756" s="1114"/>
      <c r="DE756" s="1114"/>
      <c r="DF756" s="1114"/>
      <c r="DG756" s="1114"/>
      <c r="DH756" s="1114"/>
      <c r="DI756" s="1114"/>
      <c r="DJ756" s="1114"/>
      <c r="DK756" s="1114"/>
      <c r="DL756" s="1114"/>
      <c r="DM756" s="1114"/>
      <c r="DN756" s="1114"/>
      <c r="DO756" s="1114"/>
      <c r="DP756" s="1114"/>
      <c r="DQ756" s="1114"/>
      <c r="DR756" s="1114"/>
      <c r="DS756" s="1114"/>
      <c r="DT756" s="1114"/>
      <c r="DU756" s="1114"/>
      <c r="DV756" s="1115"/>
      <c r="DW756" s="1116"/>
      <c r="DX756" s="1116"/>
      <c r="DY756" s="1116"/>
      <c r="DZ756" s="1116"/>
      <c r="EA756" s="1116"/>
      <c r="EB756" s="1116"/>
      <c r="EC756" s="1116"/>
      <c r="ED756" s="1116"/>
      <c r="EE756" s="1116"/>
      <c r="EF756" s="1116"/>
      <c r="EG756" s="1116"/>
      <c r="EH756" s="1116"/>
      <c r="EI756" s="1116"/>
      <c r="EJ756" s="1116"/>
      <c r="EK756" s="1116"/>
      <c r="EL756" s="1116"/>
      <c r="EM756" s="1116"/>
      <c r="EN756" s="1116"/>
      <c r="EO756" s="1116"/>
      <c r="EP756" s="1116"/>
      <c r="EQ756" s="1116"/>
      <c r="ER756" s="1116"/>
      <c r="ES756" s="1116"/>
    </row>
    <row r="757" spans="1:149" ht="15" customHeight="1">
      <c r="A757" s="1185">
        <v>747</v>
      </c>
      <c r="B757" s="1041"/>
      <c r="C757" s="1050"/>
      <c r="D757" s="1050"/>
      <c r="E757" s="1050"/>
      <c r="F757" s="1049"/>
      <c r="G757" s="1049"/>
      <c r="H757" s="1049"/>
      <c r="I757" s="1049"/>
      <c r="J757" s="1050"/>
      <c r="K757" s="1050"/>
      <c r="L757" s="1043"/>
      <c r="M757" s="1051"/>
      <c r="N757" s="1051"/>
      <c r="O757" s="1052"/>
      <c r="P757" s="1051"/>
      <c r="Q757" s="1051"/>
      <c r="R757" s="1052"/>
      <c r="S757" s="1051"/>
      <c r="T757" s="1051"/>
      <c r="U757" s="1052"/>
      <c r="V757" s="1051"/>
      <c r="W757" s="1051"/>
      <c r="X757" s="1052"/>
      <c r="Y757" s="1053"/>
      <c r="Z757" s="1051"/>
      <c r="AA757" s="1051"/>
      <c r="AB757" s="1052"/>
      <c r="AC757" s="1051"/>
      <c r="AD757" s="1051"/>
      <c r="AE757" s="1052"/>
      <c r="AF757" s="1051"/>
      <c r="AG757" s="1051"/>
      <c r="AH757" s="1051"/>
      <c r="AI757" s="1051"/>
      <c r="AJ757" s="1052"/>
      <c r="AK757" s="1051"/>
      <c r="AL757" s="1051"/>
      <c r="AM757" s="1052"/>
      <c r="AN757" s="1051"/>
      <c r="AO757" s="1051"/>
      <c r="AP757" s="1052"/>
      <c r="AQ757" s="1051"/>
      <c r="AR757" s="1051"/>
      <c r="AS757" s="1052"/>
      <c r="AT757" s="1051"/>
      <c r="AU757" s="1051"/>
      <c r="AV757" s="1052"/>
      <c r="AW757" s="1051"/>
      <c r="AX757" s="1051"/>
      <c r="AY757" s="1053"/>
      <c r="AZ757" s="1051"/>
      <c r="BA757" s="1051"/>
      <c r="BB757" s="1053"/>
      <c r="BC757" s="1051"/>
      <c r="BD757" s="1051"/>
      <c r="BE757" s="1053"/>
      <c r="BF757" s="1051"/>
      <c r="BG757" s="1051"/>
      <c r="BH757" s="1053"/>
      <c r="BI757" s="1052"/>
      <c r="BJ757" s="1052"/>
      <c r="BK757" s="1052"/>
      <c r="BL757" s="1052"/>
      <c r="BM757" s="1052"/>
      <c r="BN757" s="1054"/>
      <c r="BO757" s="1076">
        <f t="shared" si="13"/>
        <v>0</v>
      </c>
      <c r="BP757" s="1051"/>
      <c r="BQ757" s="1052"/>
      <c r="BR757" s="1054"/>
      <c r="BS757" s="1053"/>
      <c r="BT757" s="1051"/>
      <c r="BU757" s="1051"/>
      <c r="BV757" s="1051"/>
      <c r="BW757" s="1052"/>
      <c r="BX757" s="1052"/>
      <c r="BY757" s="1052"/>
      <c r="BZ757" s="1052"/>
      <c r="CA757" s="1052"/>
      <c r="CB757" s="1053"/>
      <c r="CC757" s="1053"/>
      <c r="CD757" s="1053"/>
      <c r="CE757" s="1053"/>
      <c r="CF757" s="1053"/>
      <c r="CG757" s="1053"/>
      <c r="CH757" s="1053"/>
      <c r="CI757" s="1123"/>
      <c r="CJ757" s="1123"/>
      <c r="CK757" s="1123"/>
      <c r="CL757" s="1123"/>
      <c r="CM757" s="1123"/>
      <c r="CN757" s="1123"/>
      <c r="CO757" s="1123"/>
      <c r="CP757" s="1123"/>
      <c r="CQ757" s="1123"/>
      <c r="CR757" s="1123"/>
      <c r="CS757" s="1123"/>
      <c r="CT757" s="1123"/>
      <c r="CU757" s="1123"/>
      <c r="CV757" s="1123"/>
      <c r="CW757" s="1123"/>
      <c r="CX757" s="1123"/>
      <c r="CY757" s="1123"/>
      <c r="CZ757" s="1114"/>
      <c r="DA757" s="1114"/>
      <c r="DB757" s="1114"/>
      <c r="DC757" s="1114"/>
      <c r="DD757" s="1114"/>
      <c r="DE757" s="1114"/>
      <c r="DF757" s="1114"/>
      <c r="DG757" s="1114"/>
      <c r="DH757" s="1114"/>
      <c r="DI757" s="1114"/>
      <c r="DJ757" s="1114"/>
      <c r="DK757" s="1114"/>
      <c r="DL757" s="1114"/>
      <c r="DM757" s="1114"/>
      <c r="DN757" s="1114"/>
      <c r="DO757" s="1114"/>
      <c r="DP757" s="1114"/>
      <c r="DQ757" s="1114"/>
      <c r="DR757" s="1114"/>
      <c r="DS757" s="1114"/>
      <c r="DT757" s="1114"/>
      <c r="DU757" s="1114"/>
      <c r="DV757" s="1115"/>
      <c r="DW757" s="1116"/>
      <c r="DX757" s="1116"/>
      <c r="DY757" s="1116"/>
      <c r="DZ757" s="1116"/>
      <c r="EA757" s="1116"/>
      <c r="EB757" s="1116"/>
      <c r="EC757" s="1116"/>
      <c r="ED757" s="1116"/>
      <c r="EE757" s="1116"/>
      <c r="EF757" s="1116"/>
      <c r="EG757" s="1116"/>
      <c r="EH757" s="1116"/>
      <c r="EI757" s="1116"/>
      <c r="EJ757" s="1116"/>
      <c r="EK757" s="1116"/>
      <c r="EL757" s="1116"/>
      <c r="EM757" s="1116"/>
      <c r="EN757" s="1116"/>
      <c r="EO757" s="1116"/>
      <c r="EP757" s="1116"/>
      <c r="EQ757" s="1116"/>
      <c r="ER757" s="1116"/>
      <c r="ES757" s="1116"/>
    </row>
    <row r="758" spans="1:149" ht="15" customHeight="1">
      <c r="A758" s="1185">
        <v>748</v>
      </c>
      <c r="B758" s="1041"/>
      <c r="C758" s="1050"/>
      <c r="D758" s="1050"/>
      <c r="E758" s="1050"/>
      <c r="F758" s="1049"/>
      <c r="G758" s="1049"/>
      <c r="H758" s="1049"/>
      <c r="I758" s="1049"/>
      <c r="J758" s="1050"/>
      <c r="K758" s="1050"/>
      <c r="L758" s="1043"/>
      <c r="M758" s="1051"/>
      <c r="N758" s="1051"/>
      <c r="O758" s="1052"/>
      <c r="P758" s="1051"/>
      <c r="Q758" s="1051"/>
      <c r="R758" s="1052"/>
      <c r="S758" s="1051"/>
      <c r="T758" s="1051"/>
      <c r="U758" s="1052"/>
      <c r="V758" s="1051"/>
      <c r="W758" s="1051"/>
      <c r="X758" s="1052"/>
      <c r="Y758" s="1053"/>
      <c r="Z758" s="1051"/>
      <c r="AA758" s="1051"/>
      <c r="AB758" s="1052"/>
      <c r="AC758" s="1051"/>
      <c r="AD758" s="1051"/>
      <c r="AE758" s="1052"/>
      <c r="AF758" s="1051"/>
      <c r="AG758" s="1051"/>
      <c r="AH758" s="1051"/>
      <c r="AI758" s="1051"/>
      <c r="AJ758" s="1052"/>
      <c r="AK758" s="1051"/>
      <c r="AL758" s="1051"/>
      <c r="AM758" s="1052"/>
      <c r="AN758" s="1051"/>
      <c r="AO758" s="1051"/>
      <c r="AP758" s="1052"/>
      <c r="AQ758" s="1051"/>
      <c r="AR758" s="1051"/>
      <c r="AS758" s="1052"/>
      <c r="AT758" s="1051"/>
      <c r="AU758" s="1051"/>
      <c r="AV758" s="1052"/>
      <c r="AW758" s="1051"/>
      <c r="AX758" s="1051"/>
      <c r="AY758" s="1053"/>
      <c r="AZ758" s="1051"/>
      <c r="BA758" s="1051"/>
      <c r="BB758" s="1053"/>
      <c r="BC758" s="1051"/>
      <c r="BD758" s="1051"/>
      <c r="BE758" s="1053"/>
      <c r="BF758" s="1051"/>
      <c r="BG758" s="1051"/>
      <c r="BH758" s="1053"/>
      <c r="BI758" s="1052"/>
      <c r="BJ758" s="1052"/>
      <c r="BK758" s="1052"/>
      <c r="BL758" s="1052"/>
      <c r="BM758" s="1052"/>
      <c r="BN758" s="1054"/>
      <c r="BO758" s="1076">
        <f t="shared" si="13"/>
        <v>0</v>
      </c>
      <c r="BP758" s="1051"/>
      <c r="BQ758" s="1052"/>
      <c r="BR758" s="1054"/>
      <c r="BS758" s="1053"/>
      <c r="BT758" s="1051"/>
      <c r="BU758" s="1051"/>
      <c r="BV758" s="1051"/>
      <c r="BW758" s="1052"/>
      <c r="BX758" s="1052"/>
      <c r="BY758" s="1052"/>
      <c r="BZ758" s="1052"/>
      <c r="CA758" s="1052"/>
      <c r="CB758" s="1053"/>
      <c r="CC758" s="1053"/>
      <c r="CD758" s="1053"/>
      <c r="CE758" s="1053"/>
      <c r="CF758" s="1053"/>
      <c r="CG758" s="1053"/>
      <c r="CH758" s="1053"/>
      <c r="CI758" s="1123"/>
      <c r="CJ758" s="1123"/>
      <c r="CK758" s="1123"/>
      <c r="CL758" s="1123"/>
      <c r="CM758" s="1123"/>
      <c r="CN758" s="1123"/>
      <c r="CO758" s="1123"/>
      <c r="CP758" s="1123"/>
      <c r="CQ758" s="1123"/>
      <c r="CR758" s="1123"/>
      <c r="CS758" s="1123"/>
      <c r="CT758" s="1123"/>
      <c r="CU758" s="1123"/>
      <c r="CV758" s="1123"/>
      <c r="CW758" s="1123"/>
      <c r="CX758" s="1123"/>
      <c r="CY758" s="1123"/>
      <c r="CZ758" s="1114"/>
      <c r="DA758" s="1114"/>
      <c r="DB758" s="1114"/>
      <c r="DC758" s="1114"/>
      <c r="DD758" s="1114"/>
      <c r="DE758" s="1114"/>
      <c r="DF758" s="1114"/>
      <c r="DG758" s="1114"/>
      <c r="DH758" s="1114"/>
      <c r="DI758" s="1114"/>
      <c r="DJ758" s="1114"/>
      <c r="DK758" s="1114"/>
      <c r="DL758" s="1114"/>
      <c r="DM758" s="1114"/>
      <c r="DN758" s="1114"/>
      <c r="DO758" s="1114"/>
      <c r="DP758" s="1114"/>
      <c r="DQ758" s="1114"/>
      <c r="DR758" s="1114"/>
      <c r="DS758" s="1114"/>
      <c r="DT758" s="1114"/>
      <c r="DU758" s="1114"/>
      <c r="DV758" s="1115"/>
      <c r="DW758" s="1116"/>
      <c r="DX758" s="1116"/>
      <c r="DY758" s="1116"/>
      <c r="DZ758" s="1116"/>
      <c r="EA758" s="1116"/>
      <c r="EB758" s="1116"/>
      <c r="EC758" s="1116"/>
      <c r="ED758" s="1116"/>
      <c r="EE758" s="1116"/>
      <c r="EF758" s="1116"/>
      <c r="EG758" s="1116"/>
      <c r="EH758" s="1116"/>
      <c r="EI758" s="1116"/>
      <c r="EJ758" s="1116"/>
      <c r="EK758" s="1116"/>
      <c r="EL758" s="1116"/>
      <c r="EM758" s="1116"/>
      <c r="EN758" s="1116"/>
      <c r="EO758" s="1116"/>
      <c r="EP758" s="1116"/>
      <c r="EQ758" s="1116"/>
      <c r="ER758" s="1116"/>
      <c r="ES758" s="1116"/>
    </row>
    <row r="759" spans="1:149" ht="15" customHeight="1">
      <c r="A759" s="1185">
        <v>749</v>
      </c>
      <c r="B759" s="1041"/>
      <c r="C759" s="1050"/>
      <c r="D759" s="1050"/>
      <c r="E759" s="1050"/>
      <c r="F759" s="1049"/>
      <c r="G759" s="1049"/>
      <c r="H759" s="1049"/>
      <c r="I759" s="1049"/>
      <c r="J759" s="1050"/>
      <c r="K759" s="1050"/>
      <c r="L759" s="1043"/>
      <c r="M759" s="1051"/>
      <c r="N759" s="1051"/>
      <c r="O759" s="1052"/>
      <c r="P759" s="1051"/>
      <c r="Q759" s="1051"/>
      <c r="R759" s="1052"/>
      <c r="S759" s="1051"/>
      <c r="T759" s="1051"/>
      <c r="U759" s="1052"/>
      <c r="V759" s="1051"/>
      <c r="W759" s="1051"/>
      <c r="X759" s="1052"/>
      <c r="Y759" s="1053"/>
      <c r="Z759" s="1051"/>
      <c r="AA759" s="1051"/>
      <c r="AB759" s="1052"/>
      <c r="AC759" s="1051"/>
      <c r="AD759" s="1051"/>
      <c r="AE759" s="1052"/>
      <c r="AF759" s="1051"/>
      <c r="AG759" s="1051"/>
      <c r="AH759" s="1051"/>
      <c r="AI759" s="1051"/>
      <c r="AJ759" s="1052"/>
      <c r="AK759" s="1051"/>
      <c r="AL759" s="1051"/>
      <c r="AM759" s="1052"/>
      <c r="AN759" s="1051"/>
      <c r="AO759" s="1051"/>
      <c r="AP759" s="1052"/>
      <c r="AQ759" s="1051"/>
      <c r="AR759" s="1051"/>
      <c r="AS759" s="1052"/>
      <c r="AT759" s="1051"/>
      <c r="AU759" s="1051"/>
      <c r="AV759" s="1052"/>
      <c r="AW759" s="1051"/>
      <c r="AX759" s="1051"/>
      <c r="AY759" s="1053"/>
      <c r="AZ759" s="1051"/>
      <c r="BA759" s="1051"/>
      <c r="BB759" s="1053"/>
      <c r="BC759" s="1051"/>
      <c r="BD759" s="1051"/>
      <c r="BE759" s="1053"/>
      <c r="BF759" s="1051"/>
      <c r="BG759" s="1051"/>
      <c r="BH759" s="1053"/>
      <c r="BI759" s="1052"/>
      <c r="BJ759" s="1052"/>
      <c r="BK759" s="1052"/>
      <c r="BL759" s="1052"/>
      <c r="BM759" s="1052"/>
      <c r="BN759" s="1054"/>
      <c r="BO759" s="1076">
        <f t="shared" si="13"/>
        <v>0</v>
      </c>
      <c r="BP759" s="1051"/>
      <c r="BQ759" s="1052"/>
      <c r="BR759" s="1054"/>
      <c r="BS759" s="1053"/>
      <c r="BT759" s="1051"/>
      <c r="BU759" s="1051"/>
      <c r="BV759" s="1051"/>
      <c r="BW759" s="1052"/>
      <c r="BX759" s="1052"/>
      <c r="BY759" s="1052"/>
      <c r="BZ759" s="1052"/>
      <c r="CA759" s="1052"/>
      <c r="CB759" s="1053"/>
      <c r="CC759" s="1053"/>
      <c r="CD759" s="1053"/>
      <c r="CE759" s="1053"/>
      <c r="CF759" s="1053"/>
      <c r="CG759" s="1053"/>
      <c r="CH759" s="1053"/>
      <c r="CI759" s="1123"/>
      <c r="CJ759" s="1123"/>
      <c r="CK759" s="1123"/>
      <c r="CL759" s="1123"/>
      <c r="CM759" s="1123"/>
      <c r="CN759" s="1123"/>
      <c r="CO759" s="1123"/>
      <c r="CP759" s="1123"/>
      <c r="CQ759" s="1123"/>
      <c r="CR759" s="1123"/>
      <c r="CS759" s="1123"/>
      <c r="CT759" s="1123"/>
      <c r="CU759" s="1123"/>
      <c r="CV759" s="1123"/>
      <c r="CW759" s="1123"/>
      <c r="CX759" s="1123"/>
      <c r="CY759" s="1123"/>
      <c r="CZ759" s="1114"/>
      <c r="DA759" s="1114"/>
      <c r="DB759" s="1114"/>
      <c r="DC759" s="1114"/>
      <c r="DD759" s="1114"/>
      <c r="DE759" s="1114"/>
      <c r="DF759" s="1114"/>
      <c r="DG759" s="1114"/>
      <c r="DH759" s="1114"/>
      <c r="DI759" s="1114"/>
      <c r="DJ759" s="1114"/>
      <c r="DK759" s="1114"/>
      <c r="DL759" s="1114"/>
      <c r="DM759" s="1114"/>
      <c r="DN759" s="1114"/>
      <c r="DO759" s="1114"/>
      <c r="DP759" s="1114"/>
      <c r="DQ759" s="1114"/>
      <c r="DR759" s="1114"/>
      <c r="DS759" s="1114"/>
      <c r="DT759" s="1114"/>
      <c r="DU759" s="1114"/>
      <c r="DV759" s="1115"/>
      <c r="DW759" s="1116"/>
      <c r="DX759" s="1116"/>
      <c r="DY759" s="1116"/>
      <c r="DZ759" s="1116"/>
      <c r="EA759" s="1116"/>
      <c r="EB759" s="1116"/>
      <c r="EC759" s="1116"/>
      <c r="ED759" s="1116"/>
      <c r="EE759" s="1116"/>
      <c r="EF759" s="1116"/>
      <c r="EG759" s="1116"/>
      <c r="EH759" s="1116"/>
      <c r="EI759" s="1116"/>
      <c r="EJ759" s="1116"/>
      <c r="EK759" s="1116"/>
      <c r="EL759" s="1116"/>
      <c r="EM759" s="1116"/>
      <c r="EN759" s="1116"/>
      <c r="EO759" s="1116"/>
      <c r="EP759" s="1116"/>
      <c r="EQ759" s="1116"/>
      <c r="ER759" s="1116"/>
      <c r="ES759" s="1116"/>
    </row>
    <row r="760" spans="1:149" ht="15" customHeight="1">
      <c r="A760" s="1185">
        <v>750</v>
      </c>
      <c r="B760" s="1041"/>
      <c r="C760" s="1050"/>
      <c r="D760" s="1050"/>
      <c r="E760" s="1050"/>
      <c r="F760" s="1049"/>
      <c r="G760" s="1049"/>
      <c r="H760" s="1049"/>
      <c r="I760" s="1049"/>
      <c r="J760" s="1050"/>
      <c r="K760" s="1050"/>
      <c r="L760" s="1043"/>
      <c r="M760" s="1051"/>
      <c r="N760" s="1051"/>
      <c r="O760" s="1052"/>
      <c r="P760" s="1051"/>
      <c r="Q760" s="1051"/>
      <c r="R760" s="1052"/>
      <c r="S760" s="1051"/>
      <c r="T760" s="1051"/>
      <c r="U760" s="1052"/>
      <c r="V760" s="1051"/>
      <c r="W760" s="1051"/>
      <c r="X760" s="1052"/>
      <c r="Y760" s="1053"/>
      <c r="Z760" s="1051"/>
      <c r="AA760" s="1051"/>
      <c r="AB760" s="1052"/>
      <c r="AC760" s="1051"/>
      <c r="AD760" s="1051"/>
      <c r="AE760" s="1052"/>
      <c r="AF760" s="1051"/>
      <c r="AG760" s="1051"/>
      <c r="AH760" s="1051"/>
      <c r="AI760" s="1051"/>
      <c r="AJ760" s="1052"/>
      <c r="AK760" s="1051"/>
      <c r="AL760" s="1051"/>
      <c r="AM760" s="1052"/>
      <c r="AN760" s="1051"/>
      <c r="AO760" s="1051"/>
      <c r="AP760" s="1052"/>
      <c r="AQ760" s="1051"/>
      <c r="AR760" s="1051"/>
      <c r="AS760" s="1052"/>
      <c r="AT760" s="1051"/>
      <c r="AU760" s="1051"/>
      <c r="AV760" s="1052"/>
      <c r="AW760" s="1051"/>
      <c r="AX760" s="1051"/>
      <c r="AY760" s="1053"/>
      <c r="AZ760" s="1051"/>
      <c r="BA760" s="1051"/>
      <c r="BB760" s="1053"/>
      <c r="BC760" s="1051"/>
      <c r="BD760" s="1051"/>
      <c r="BE760" s="1053"/>
      <c r="BF760" s="1051"/>
      <c r="BG760" s="1051"/>
      <c r="BH760" s="1053"/>
      <c r="BI760" s="1052"/>
      <c r="BJ760" s="1052"/>
      <c r="BK760" s="1052"/>
      <c r="BL760" s="1052"/>
      <c r="BM760" s="1052"/>
      <c r="BN760" s="1054"/>
      <c r="BO760" s="1076">
        <f t="shared" si="13"/>
        <v>0</v>
      </c>
      <c r="BP760" s="1051"/>
      <c r="BQ760" s="1052"/>
      <c r="BR760" s="1054"/>
      <c r="BS760" s="1053"/>
      <c r="BT760" s="1051"/>
      <c r="BU760" s="1051"/>
      <c r="BV760" s="1051"/>
      <c r="BW760" s="1052"/>
      <c r="BX760" s="1052"/>
      <c r="BY760" s="1052"/>
      <c r="BZ760" s="1052"/>
      <c r="CA760" s="1052"/>
      <c r="CB760" s="1053"/>
      <c r="CC760" s="1053"/>
      <c r="CD760" s="1053"/>
      <c r="CE760" s="1053"/>
      <c r="CF760" s="1053"/>
      <c r="CG760" s="1053"/>
      <c r="CH760" s="1053"/>
      <c r="CI760" s="1123"/>
      <c r="CJ760" s="1123"/>
      <c r="CK760" s="1123"/>
      <c r="CL760" s="1123"/>
      <c r="CM760" s="1123"/>
      <c r="CN760" s="1123"/>
      <c r="CO760" s="1123"/>
      <c r="CP760" s="1123"/>
      <c r="CQ760" s="1123"/>
      <c r="CR760" s="1123"/>
      <c r="CS760" s="1123"/>
      <c r="CT760" s="1123"/>
      <c r="CU760" s="1123"/>
      <c r="CV760" s="1123"/>
      <c r="CW760" s="1123"/>
      <c r="CX760" s="1123"/>
      <c r="CY760" s="1123"/>
      <c r="CZ760" s="1114"/>
      <c r="DA760" s="1114"/>
      <c r="DB760" s="1114"/>
      <c r="DC760" s="1114"/>
      <c r="DD760" s="1114"/>
      <c r="DE760" s="1114"/>
      <c r="DF760" s="1114"/>
      <c r="DG760" s="1114"/>
      <c r="DH760" s="1114"/>
      <c r="DI760" s="1114"/>
      <c r="DJ760" s="1114"/>
      <c r="DK760" s="1114"/>
      <c r="DL760" s="1114"/>
      <c r="DM760" s="1114"/>
      <c r="DN760" s="1114"/>
      <c r="DO760" s="1114"/>
      <c r="DP760" s="1114"/>
      <c r="DQ760" s="1114"/>
      <c r="DR760" s="1114"/>
      <c r="DS760" s="1114"/>
      <c r="DT760" s="1114"/>
      <c r="DU760" s="1114"/>
      <c r="DV760" s="1115"/>
      <c r="DW760" s="1116"/>
      <c r="DX760" s="1116"/>
      <c r="DY760" s="1116"/>
      <c r="DZ760" s="1116"/>
      <c r="EA760" s="1116"/>
      <c r="EB760" s="1116"/>
      <c r="EC760" s="1116"/>
      <c r="ED760" s="1116"/>
      <c r="EE760" s="1116"/>
      <c r="EF760" s="1116"/>
      <c r="EG760" s="1116"/>
      <c r="EH760" s="1116"/>
      <c r="EI760" s="1116"/>
      <c r="EJ760" s="1116"/>
      <c r="EK760" s="1116"/>
      <c r="EL760" s="1116"/>
      <c r="EM760" s="1116"/>
      <c r="EN760" s="1116"/>
      <c r="EO760" s="1116"/>
      <c r="EP760" s="1116"/>
      <c r="EQ760" s="1116"/>
      <c r="ER760" s="1116"/>
      <c r="ES760" s="1116"/>
    </row>
    <row r="761" spans="1:149" ht="15" customHeight="1">
      <c r="A761" s="1185">
        <v>751</v>
      </c>
      <c r="B761" s="1041"/>
      <c r="C761" s="1050"/>
      <c r="D761" s="1050"/>
      <c r="E761" s="1050"/>
      <c r="F761" s="1049"/>
      <c r="G761" s="1049"/>
      <c r="H761" s="1049"/>
      <c r="I761" s="1049"/>
      <c r="J761" s="1050"/>
      <c r="K761" s="1050"/>
      <c r="L761" s="1043"/>
      <c r="M761" s="1051"/>
      <c r="N761" s="1051"/>
      <c r="O761" s="1052"/>
      <c r="P761" s="1051"/>
      <c r="Q761" s="1051"/>
      <c r="R761" s="1052"/>
      <c r="S761" s="1051"/>
      <c r="T761" s="1051"/>
      <c r="U761" s="1052"/>
      <c r="V761" s="1051"/>
      <c r="W761" s="1051"/>
      <c r="X761" s="1052"/>
      <c r="Y761" s="1053"/>
      <c r="Z761" s="1051"/>
      <c r="AA761" s="1051"/>
      <c r="AB761" s="1052"/>
      <c r="AC761" s="1051"/>
      <c r="AD761" s="1051"/>
      <c r="AE761" s="1052"/>
      <c r="AF761" s="1051"/>
      <c r="AG761" s="1051"/>
      <c r="AH761" s="1051"/>
      <c r="AI761" s="1051"/>
      <c r="AJ761" s="1052"/>
      <c r="AK761" s="1051"/>
      <c r="AL761" s="1051"/>
      <c r="AM761" s="1052"/>
      <c r="AN761" s="1051"/>
      <c r="AO761" s="1051"/>
      <c r="AP761" s="1052"/>
      <c r="AQ761" s="1051"/>
      <c r="AR761" s="1051"/>
      <c r="AS761" s="1052"/>
      <c r="AT761" s="1051"/>
      <c r="AU761" s="1051"/>
      <c r="AV761" s="1052"/>
      <c r="AW761" s="1051"/>
      <c r="AX761" s="1051"/>
      <c r="AY761" s="1053"/>
      <c r="AZ761" s="1051"/>
      <c r="BA761" s="1051"/>
      <c r="BB761" s="1053"/>
      <c r="BC761" s="1051"/>
      <c r="BD761" s="1051"/>
      <c r="BE761" s="1053"/>
      <c r="BF761" s="1051"/>
      <c r="BG761" s="1051"/>
      <c r="BH761" s="1053"/>
      <c r="BI761" s="1052"/>
      <c r="BJ761" s="1052"/>
      <c r="BK761" s="1052"/>
      <c r="BL761" s="1052"/>
      <c r="BM761" s="1052"/>
      <c r="BN761" s="1054"/>
      <c r="BO761" s="1076">
        <f t="shared" si="13"/>
        <v>0</v>
      </c>
      <c r="BP761" s="1051"/>
      <c r="BQ761" s="1052"/>
      <c r="BR761" s="1054"/>
      <c r="BS761" s="1053"/>
      <c r="BT761" s="1051"/>
      <c r="BU761" s="1051"/>
      <c r="BV761" s="1051"/>
      <c r="BW761" s="1052"/>
      <c r="BX761" s="1052"/>
      <c r="BY761" s="1052"/>
      <c r="BZ761" s="1052"/>
      <c r="CA761" s="1052"/>
      <c r="CB761" s="1053"/>
      <c r="CC761" s="1053"/>
      <c r="CD761" s="1053"/>
      <c r="CE761" s="1053"/>
      <c r="CF761" s="1053"/>
      <c r="CG761" s="1053"/>
      <c r="CH761" s="1053"/>
      <c r="CI761" s="1123"/>
      <c r="CJ761" s="1123"/>
      <c r="CK761" s="1123"/>
      <c r="CL761" s="1123"/>
      <c r="CM761" s="1123"/>
      <c r="CN761" s="1123"/>
      <c r="CO761" s="1123"/>
      <c r="CP761" s="1123"/>
      <c r="CQ761" s="1123"/>
      <c r="CR761" s="1123"/>
      <c r="CS761" s="1123"/>
      <c r="CT761" s="1123"/>
      <c r="CU761" s="1123"/>
      <c r="CV761" s="1123"/>
      <c r="CW761" s="1123"/>
      <c r="CX761" s="1123"/>
      <c r="CY761" s="1123"/>
      <c r="CZ761" s="1114"/>
      <c r="DA761" s="1114"/>
      <c r="DB761" s="1114"/>
      <c r="DC761" s="1114"/>
      <c r="DD761" s="1114"/>
      <c r="DE761" s="1114"/>
      <c r="DF761" s="1114"/>
      <c r="DG761" s="1114"/>
      <c r="DH761" s="1114"/>
      <c r="DI761" s="1114"/>
      <c r="DJ761" s="1114"/>
      <c r="DK761" s="1114"/>
      <c r="DL761" s="1114"/>
      <c r="DM761" s="1114"/>
      <c r="DN761" s="1114"/>
      <c r="DO761" s="1114"/>
      <c r="DP761" s="1114"/>
      <c r="DQ761" s="1114"/>
      <c r="DR761" s="1114"/>
      <c r="DS761" s="1114"/>
      <c r="DT761" s="1114"/>
      <c r="DU761" s="1114"/>
      <c r="DV761" s="1115"/>
      <c r="DW761" s="1116"/>
      <c r="DX761" s="1116"/>
      <c r="DY761" s="1116"/>
      <c r="DZ761" s="1116"/>
      <c r="EA761" s="1116"/>
      <c r="EB761" s="1116"/>
      <c r="EC761" s="1116"/>
      <c r="ED761" s="1116"/>
      <c r="EE761" s="1116"/>
      <c r="EF761" s="1116"/>
      <c r="EG761" s="1116"/>
      <c r="EH761" s="1116"/>
      <c r="EI761" s="1116"/>
      <c r="EJ761" s="1116"/>
      <c r="EK761" s="1116"/>
      <c r="EL761" s="1116"/>
      <c r="EM761" s="1116"/>
      <c r="EN761" s="1116"/>
      <c r="EO761" s="1116"/>
      <c r="EP761" s="1116"/>
      <c r="EQ761" s="1116"/>
      <c r="ER761" s="1116"/>
      <c r="ES761" s="1116"/>
    </row>
    <row r="762" spans="1:149" ht="15" customHeight="1">
      <c r="A762" s="1185">
        <v>752</v>
      </c>
      <c r="B762" s="1041"/>
      <c r="C762" s="1050"/>
      <c r="D762" s="1050"/>
      <c r="E762" s="1050"/>
      <c r="F762" s="1049"/>
      <c r="G762" s="1049"/>
      <c r="H762" s="1049"/>
      <c r="I762" s="1049"/>
      <c r="J762" s="1050"/>
      <c r="K762" s="1050"/>
      <c r="L762" s="1043"/>
      <c r="M762" s="1051"/>
      <c r="N762" s="1051"/>
      <c r="O762" s="1052"/>
      <c r="P762" s="1051"/>
      <c r="Q762" s="1051"/>
      <c r="R762" s="1052"/>
      <c r="S762" s="1051"/>
      <c r="T762" s="1051"/>
      <c r="U762" s="1052"/>
      <c r="V762" s="1051"/>
      <c r="W762" s="1051"/>
      <c r="X762" s="1052"/>
      <c r="Y762" s="1053"/>
      <c r="Z762" s="1051"/>
      <c r="AA762" s="1051"/>
      <c r="AB762" s="1052"/>
      <c r="AC762" s="1051"/>
      <c r="AD762" s="1051"/>
      <c r="AE762" s="1052"/>
      <c r="AF762" s="1051"/>
      <c r="AG762" s="1051"/>
      <c r="AH762" s="1051"/>
      <c r="AI762" s="1051"/>
      <c r="AJ762" s="1052"/>
      <c r="AK762" s="1051"/>
      <c r="AL762" s="1051"/>
      <c r="AM762" s="1052"/>
      <c r="AN762" s="1051"/>
      <c r="AO762" s="1051"/>
      <c r="AP762" s="1052"/>
      <c r="AQ762" s="1051"/>
      <c r="AR762" s="1051"/>
      <c r="AS762" s="1052"/>
      <c r="AT762" s="1051"/>
      <c r="AU762" s="1051"/>
      <c r="AV762" s="1052"/>
      <c r="AW762" s="1051"/>
      <c r="AX762" s="1051"/>
      <c r="AY762" s="1053"/>
      <c r="AZ762" s="1051"/>
      <c r="BA762" s="1051"/>
      <c r="BB762" s="1053"/>
      <c r="BC762" s="1051"/>
      <c r="BD762" s="1051"/>
      <c r="BE762" s="1053"/>
      <c r="BF762" s="1051"/>
      <c r="BG762" s="1051"/>
      <c r="BH762" s="1053"/>
      <c r="BI762" s="1052"/>
      <c r="BJ762" s="1052"/>
      <c r="BK762" s="1052"/>
      <c r="BL762" s="1052"/>
      <c r="BM762" s="1052"/>
      <c r="BN762" s="1054"/>
      <c r="BO762" s="1076">
        <f t="shared" si="13"/>
        <v>0</v>
      </c>
      <c r="BP762" s="1051"/>
      <c r="BQ762" s="1052"/>
      <c r="BR762" s="1054"/>
      <c r="BS762" s="1053"/>
      <c r="BT762" s="1051"/>
      <c r="BU762" s="1051"/>
      <c r="BV762" s="1051"/>
      <c r="BW762" s="1052"/>
      <c r="BX762" s="1052"/>
      <c r="BY762" s="1052"/>
      <c r="BZ762" s="1052"/>
      <c r="CA762" s="1052"/>
      <c r="CB762" s="1053"/>
      <c r="CC762" s="1053"/>
      <c r="CD762" s="1053"/>
      <c r="CE762" s="1053"/>
      <c r="CF762" s="1053"/>
      <c r="CG762" s="1053"/>
      <c r="CH762" s="1053"/>
      <c r="CI762" s="1123"/>
      <c r="CJ762" s="1123"/>
      <c r="CK762" s="1123"/>
      <c r="CL762" s="1123"/>
      <c r="CM762" s="1123"/>
      <c r="CN762" s="1123"/>
      <c r="CO762" s="1123"/>
      <c r="CP762" s="1123"/>
      <c r="CQ762" s="1123"/>
      <c r="CR762" s="1123"/>
      <c r="CS762" s="1123"/>
      <c r="CT762" s="1123"/>
      <c r="CU762" s="1123"/>
      <c r="CV762" s="1123"/>
      <c r="CW762" s="1123"/>
      <c r="CX762" s="1123"/>
      <c r="CY762" s="1123"/>
      <c r="CZ762" s="1114"/>
      <c r="DA762" s="1114"/>
      <c r="DB762" s="1114"/>
      <c r="DC762" s="1114"/>
      <c r="DD762" s="1114"/>
      <c r="DE762" s="1114"/>
      <c r="DF762" s="1114"/>
      <c r="DG762" s="1114"/>
      <c r="DH762" s="1114"/>
      <c r="DI762" s="1114"/>
      <c r="DJ762" s="1114"/>
      <c r="DK762" s="1114"/>
      <c r="DL762" s="1114"/>
      <c r="DM762" s="1114"/>
      <c r="DN762" s="1114"/>
      <c r="DO762" s="1114"/>
      <c r="DP762" s="1114"/>
      <c r="DQ762" s="1114"/>
      <c r="DR762" s="1114"/>
      <c r="DS762" s="1114"/>
      <c r="DT762" s="1114"/>
      <c r="DU762" s="1114"/>
      <c r="DV762" s="1115"/>
      <c r="DW762" s="1116"/>
      <c r="DX762" s="1116"/>
      <c r="DY762" s="1116"/>
      <c r="DZ762" s="1116"/>
      <c r="EA762" s="1116"/>
      <c r="EB762" s="1116"/>
      <c r="EC762" s="1116"/>
      <c r="ED762" s="1116"/>
      <c r="EE762" s="1116"/>
      <c r="EF762" s="1116"/>
      <c r="EG762" s="1116"/>
      <c r="EH762" s="1116"/>
      <c r="EI762" s="1116"/>
      <c r="EJ762" s="1116"/>
      <c r="EK762" s="1116"/>
      <c r="EL762" s="1116"/>
      <c r="EM762" s="1116"/>
      <c r="EN762" s="1116"/>
      <c r="EO762" s="1116"/>
      <c r="EP762" s="1116"/>
      <c r="EQ762" s="1116"/>
      <c r="ER762" s="1116"/>
      <c r="ES762" s="1116"/>
    </row>
    <row r="763" spans="1:149" ht="15" customHeight="1">
      <c r="A763" s="1185">
        <v>753</v>
      </c>
      <c r="B763" s="1041"/>
      <c r="C763" s="1050"/>
      <c r="D763" s="1050"/>
      <c r="E763" s="1050"/>
      <c r="F763" s="1049"/>
      <c r="G763" s="1049"/>
      <c r="H763" s="1049"/>
      <c r="I763" s="1049"/>
      <c r="J763" s="1050"/>
      <c r="K763" s="1050"/>
      <c r="L763" s="1043"/>
      <c r="M763" s="1051"/>
      <c r="N763" s="1051"/>
      <c r="O763" s="1052"/>
      <c r="P763" s="1051"/>
      <c r="Q763" s="1051"/>
      <c r="R763" s="1052"/>
      <c r="S763" s="1051"/>
      <c r="T763" s="1051"/>
      <c r="U763" s="1052"/>
      <c r="V763" s="1051"/>
      <c r="W763" s="1051"/>
      <c r="X763" s="1052"/>
      <c r="Y763" s="1053"/>
      <c r="Z763" s="1051"/>
      <c r="AA763" s="1051"/>
      <c r="AB763" s="1052"/>
      <c r="AC763" s="1051"/>
      <c r="AD763" s="1051"/>
      <c r="AE763" s="1052"/>
      <c r="AF763" s="1051"/>
      <c r="AG763" s="1051"/>
      <c r="AH763" s="1051"/>
      <c r="AI763" s="1051"/>
      <c r="AJ763" s="1052"/>
      <c r="AK763" s="1051"/>
      <c r="AL763" s="1051"/>
      <c r="AM763" s="1052"/>
      <c r="AN763" s="1051"/>
      <c r="AO763" s="1051"/>
      <c r="AP763" s="1052"/>
      <c r="AQ763" s="1051"/>
      <c r="AR763" s="1051"/>
      <c r="AS763" s="1052"/>
      <c r="AT763" s="1051"/>
      <c r="AU763" s="1051"/>
      <c r="AV763" s="1052"/>
      <c r="AW763" s="1051"/>
      <c r="AX763" s="1051"/>
      <c r="AY763" s="1053"/>
      <c r="AZ763" s="1051"/>
      <c r="BA763" s="1051"/>
      <c r="BB763" s="1053"/>
      <c r="BC763" s="1051"/>
      <c r="BD763" s="1051"/>
      <c r="BE763" s="1053"/>
      <c r="BF763" s="1051"/>
      <c r="BG763" s="1051"/>
      <c r="BH763" s="1053"/>
      <c r="BI763" s="1052"/>
      <c r="BJ763" s="1052"/>
      <c r="BK763" s="1052"/>
      <c r="BL763" s="1052"/>
      <c r="BM763" s="1052"/>
      <c r="BN763" s="1054"/>
      <c r="BO763" s="1076">
        <f t="shared" si="13"/>
        <v>0</v>
      </c>
      <c r="BP763" s="1051"/>
      <c r="BQ763" s="1052"/>
      <c r="BR763" s="1054"/>
      <c r="BS763" s="1053"/>
      <c r="BT763" s="1051"/>
      <c r="BU763" s="1051"/>
      <c r="BV763" s="1051"/>
      <c r="BW763" s="1052"/>
      <c r="BX763" s="1052"/>
      <c r="BY763" s="1052"/>
      <c r="BZ763" s="1052"/>
      <c r="CA763" s="1052"/>
      <c r="CB763" s="1053"/>
      <c r="CC763" s="1053"/>
      <c r="CD763" s="1053"/>
      <c r="CE763" s="1053"/>
      <c r="CF763" s="1053"/>
      <c r="CG763" s="1053"/>
      <c r="CH763" s="1053"/>
      <c r="CI763" s="1123"/>
      <c r="CJ763" s="1123"/>
      <c r="CK763" s="1123"/>
      <c r="CL763" s="1123"/>
      <c r="CM763" s="1123"/>
      <c r="CN763" s="1123"/>
      <c r="CO763" s="1123"/>
      <c r="CP763" s="1123"/>
      <c r="CQ763" s="1123"/>
      <c r="CR763" s="1123"/>
      <c r="CS763" s="1123"/>
      <c r="CT763" s="1123"/>
      <c r="CU763" s="1123"/>
      <c r="CV763" s="1123"/>
      <c r="CW763" s="1123"/>
      <c r="CX763" s="1123"/>
      <c r="CY763" s="1123"/>
      <c r="CZ763" s="1114"/>
      <c r="DA763" s="1114"/>
      <c r="DB763" s="1114"/>
      <c r="DC763" s="1114"/>
      <c r="DD763" s="1114"/>
      <c r="DE763" s="1114"/>
      <c r="DF763" s="1114"/>
      <c r="DG763" s="1114"/>
      <c r="DH763" s="1114"/>
      <c r="DI763" s="1114"/>
      <c r="DJ763" s="1114"/>
      <c r="DK763" s="1114"/>
      <c r="DL763" s="1114"/>
      <c r="DM763" s="1114"/>
      <c r="DN763" s="1114"/>
      <c r="DO763" s="1114"/>
      <c r="DP763" s="1114"/>
      <c r="DQ763" s="1114"/>
      <c r="DR763" s="1114"/>
      <c r="DS763" s="1114"/>
      <c r="DT763" s="1114"/>
      <c r="DU763" s="1114"/>
      <c r="DV763" s="1115"/>
      <c r="DW763" s="1116"/>
      <c r="DX763" s="1116"/>
      <c r="DY763" s="1116"/>
      <c r="DZ763" s="1116"/>
      <c r="EA763" s="1116"/>
      <c r="EB763" s="1116"/>
      <c r="EC763" s="1116"/>
      <c r="ED763" s="1116"/>
      <c r="EE763" s="1116"/>
      <c r="EF763" s="1116"/>
      <c r="EG763" s="1116"/>
      <c r="EH763" s="1116"/>
      <c r="EI763" s="1116"/>
      <c r="EJ763" s="1116"/>
      <c r="EK763" s="1116"/>
      <c r="EL763" s="1116"/>
      <c r="EM763" s="1116"/>
      <c r="EN763" s="1116"/>
      <c r="EO763" s="1116"/>
      <c r="EP763" s="1116"/>
      <c r="EQ763" s="1116"/>
      <c r="ER763" s="1116"/>
      <c r="ES763" s="1116"/>
    </row>
    <row r="764" spans="1:149" ht="15" customHeight="1">
      <c r="A764" s="1185">
        <v>754</v>
      </c>
      <c r="B764" s="1041"/>
      <c r="C764" s="1050"/>
      <c r="D764" s="1050"/>
      <c r="E764" s="1050"/>
      <c r="F764" s="1049"/>
      <c r="G764" s="1049"/>
      <c r="H764" s="1049"/>
      <c r="I764" s="1049"/>
      <c r="J764" s="1050"/>
      <c r="K764" s="1050"/>
      <c r="L764" s="1043"/>
      <c r="M764" s="1051"/>
      <c r="N764" s="1051"/>
      <c r="O764" s="1052"/>
      <c r="P764" s="1051"/>
      <c r="Q764" s="1051"/>
      <c r="R764" s="1052"/>
      <c r="S764" s="1051"/>
      <c r="T764" s="1051"/>
      <c r="U764" s="1052"/>
      <c r="V764" s="1051"/>
      <c r="W764" s="1051"/>
      <c r="X764" s="1052"/>
      <c r="Y764" s="1053"/>
      <c r="Z764" s="1051"/>
      <c r="AA764" s="1051"/>
      <c r="AB764" s="1052"/>
      <c r="AC764" s="1051"/>
      <c r="AD764" s="1051"/>
      <c r="AE764" s="1052"/>
      <c r="AF764" s="1051"/>
      <c r="AG764" s="1051"/>
      <c r="AH764" s="1051"/>
      <c r="AI764" s="1051"/>
      <c r="AJ764" s="1052"/>
      <c r="AK764" s="1051"/>
      <c r="AL764" s="1051"/>
      <c r="AM764" s="1052"/>
      <c r="AN764" s="1051"/>
      <c r="AO764" s="1051"/>
      <c r="AP764" s="1052"/>
      <c r="AQ764" s="1051"/>
      <c r="AR764" s="1051"/>
      <c r="AS764" s="1052"/>
      <c r="AT764" s="1051"/>
      <c r="AU764" s="1051"/>
      <c r="AV764" s="1052"/>
      <c r="AW764" s="1051"/>
      <c r="AX764" s="1051"/>
      <c r="AY764" s="1053"/>
      <c r="AZ764" s="1051"/>
      <c r="BA764" s="1051"/>
      <c r="BB764" s="1053"/>
      <c r="BC764" s="1051"/>
      <c r="BD764" s="1051"/>
      <c r="BE764" s="1053"/>
      <c r="BF764" s="1051"/>
      <c r="BG764" s="1051"/>
      <c r="BH764" s="1053"/>
      <c r="BI764" s="1052"/>
      <c r="BJ764" s="1052"/>
      <c r="BK764" s="1052"/>
      <c r="BL764" s="1052"/>
      <c r="BM764" s="1052"/>
      <c r="BN764" s="1054"/>
      <c r="BO764" s="1076">
        <f t="shared" si="13"/>
        <v>0</v>
      </c>
      <c r="BP764" s="1051"/>
      <c r="BQ764" s="1052"/>
      <c r="BR764" s="1054"/>
      <c r="BS764" s="1053"/>
      <c r="BT764" s="1051"/>
      <c r="BU764" s="1051"/>
      <c r="BV764" s="1051"/>
      <c r="BW764" s="1052"/>
      <c r="BX764" s="1052"/>
      <c r="BY764" s="1052"/>
      <c r="BZ764" s="1052"/>
      <c r="CA764" s="1052"/>
      <c r="CB764" s="1053"/>
      <c r="CC764" s="1053"/>
      <c r="CD764" s="1053"/>
      <c r="CE764" s="1053"/>
      <c r="CF764" s="1053"/>
      <c r="CG764" s="1053"/>
      <c r="CH764" s="1053"/>
      <c r="CI764" s="1123"/>
      <c r="CJ764" s="1123"/>
      <c r="CK764" s="1123"/>
      <c r="CL764" s="1123"/>
      <c r="CM764" s="1123"/>
      <c r="CN764" s="1123"/>
      <c r="CO764" s="1123"/>
      <c r="CP764" s="1123"/>
      <c r="CQ764" s="1123"/>
      <c r="CR764" s="1123"/>
      <c r="CS764" s="1123"/>
      <c r="CT764" s="1123"/>
      <c r="CU764" s="1123"/>
      <c r="CV764" s="1123"/>
      <c r="CW764" s="1123"/>
      <c r="CX764" s="1123"/>
      <c r="CY764" s="1123"/>
      <c r="CZ764" s="1114"/>
      <c r="DA764" s="1114"/>
      <c r="DB764" s="1114"/>
      <c r="DC764" s="1114"/>
      <c r="DD764" s="1114"/>
      <c r="DE764" s="1114"/>
      <c r="DF764" s="1114"/>
      <c r="DG764" s="1114"/>
      <c r="DH764" s="1114"/>
      <c r="DI764" s="1114"/>
      <c r="DJ764" s="1114"/>
      <c r="DK764" s="1114"/>
      <c r="DL764" s="1114"/>
      <c r="DM764" s="1114"/>
      <c r="DN764" s="1114"/>
      <c r="DO764" s="1114"/>
      <c r="DP764" s="1114"/>
      <c r="DQ764" s="1114"/>
      <c r="DR764" s="1114"/>
      <c r="DS764" s="1114"/>
      <c r="DT764" s="1114"/>
      <c r="DU764" s="1114"/>
      <c r="DV764" s="1115"/>
      <c r="DW764" s="1116"/>
      <c r="DX764" s="1116"/>
      <c r="DY764" s="1116"/>
      <c r="DZ764" s="1116"/>
      <c r="EA764" s="1116"/>
      <c r="EB764" s="1116"/>
      <c r="EC764" s="1116"/>
      <c r="ED764" s="1116"/>
      <c r="EE764" s="1116"/>
      <c r="EF764" s="1116"/>
      <c r="EG764" s="1116"/>
      <c r="EH764" s="1116"/>
      <c r="EI764" s="1116"/>
      <c r="EJ764" s="1116"/>
      <c r="EK764" s="1116"/>
      <c r="EL764" s="1116"/>
      <c r="EM764" s="1116"/>
      <c r="EN764" s="1116"/>
      <c r="EO764" s="1116"/>
      <c r="EP764" s="1116"/>
      <c r="EQ764" s="1116"/>
      <c r="ER764" s="1116"/>
      <c r="ES764" s="1116"/>
    </row>
    <row r="765" spans="1:149" ht="15" customHeight="1">
      <c r="A765" s="1185">
        <v>755</v>
      </c>
      <c r="B765" s="1041"/>
      <c r="C765" s="1050"/>
      <c r="D765" s="1050"/>
      <c r="E765" s="1050"/>
      <c r="F765" s="1049"/>
      <c r="G765" s="1049"/>
      <c r="H765" s="1049"/>
      <c r="I765" s="1049"/>
      <c r="J765" s="1050"/>
      <c r="K765" s="1050"/>
      <c r="L765" s="1043"/>
      <c r="M765" s="1051"/>
      <c r="N765" s="1051"/>
      <c r="O765" s="1052"/>
      <c r="P765" s="1051"/>
      <c r="Q765" s="1051"/>
      <c r="R765" s="1052"/>
      <c r="S765" s="1051"/>
      <c r="T765" s="1051"/>
      <c r="U765" s="1052"/>
      <c r="V765" s="1051"/>
      <c r="W765" s="1051"/>
      <c r="X765" s="1052"/>
      <c r="Y765" s="1053"/>
      <c r="Z765" s="1051"/>
      <c r="AA765" s="1051"/>
      <c r="AB765" s="1052"/>
      <c r="AC765" s="1051"/>
      <c r="AD765" s="1051"/>
      <c r="AE765" s="1052"/>
      <c r="AF765" s="1051"/>
      <c r="AG765" s="1051"/>
      <c r="AH765" s="1051"/>
      <c r="AI765" s="1051"/>
      <c r="AJ765" s="1052"/>
      <c r="AK765" s="1051"/>
      <c r="AL765" s="1051"/>
      <c r="AM765" s="1052"/>
      <c r="AN765" s="1051"/>
      <c r="AO765" s="1051"/>
      <c r="AP765" s="1052"/>
      <c r="AQ765" s="1051"/>
      <c r="AR765" s="1051"/>
      <c r="AS765" s="1052"/>
      <c r="AT765" s="1051"/>
      <c r="AU765" s="1051"/>
      <c r="AV765" s="1052"/>
      <c r="AW765" s="1051"/>
      <c r="AX765" s="1051"/>
      <c r="AY765" s="1053"/>
      <c r="AZ765" s="1051"/>
      <c r="BA765" s="1051"/>
      <c r="BB765" s="1053"/>
      <c r="BC765" s="1051"/>
      <c r="BD765" s="1051"/>
      <c r="BE765" s="1053"/>
      <c r="BF765" s="1051"/>
      <c r="BG765" s="1051"/>
      <c r="BH765" s="1053"/>
      <c r="BI765" s="1052"/>
      <c r="BJ765" s="1052"/>
      <c r="BK765" s="1052"/>
      <c r="BL765" s="1052"/>
      <c r="BM765" s="1052"/>
      <c r="BN765" s="1054"/>
      <c r="BO765" s="1076">
        <f t="shared" si="13"/>
        <v>0</v>
      </c>
      <c r="BP765" s="1051"/>
      <c r="BQ765" s="1052"/>
      <c r="BR765" s="1054"/>
      <c r="BS765" s="1053"/>
      <c r="BT765" s="1051"/>
      <c r="BU765" s="1051"/>
      <c r="BV765" s="1051"/>
      <c r="BW765" s="1052"/>
      <c r="BX765" s="1052"/>
      <c r="BY765" s="1052"/>
      <c r="BZ765" s="1052"/>
      <c r="CA765" s="1052"/>
      <c r="CB765" s="1053"/>
      <c r="CC765" s="1053"/>
      <c r="CD765" s="1053"/>
      <c r="CE765" s="1053"/>
      <c r="CF765" s="1053"/>
      <c r="CG765" s="1053"/>
      <c r="CH765" s="1053"/>
      <c r="CI765" s="1123"/>
      <c r="CJ765" s="1123"/>
      <c r="CK765" s="1123"/>
      <c r="CL765" s="1123"/>
      <c r="CM765" s="1123"/>
      <c r="CN765" s="1123"/>
      <c r="CO765" s="1123"/>
      <c r="CP765" s="1123"/>
      <c r="CQ765" s="1123"/>
      <c r="CR765" s="1123"/>
      <c r="CS765" s="1123"/>
      <c r="CT765" s="1123"/>
      <c r="CU765" s="1123"/>
      <c r="CV765" s="1123"/>
      <c r="CW765" s="1123"/>
      <c r="CX765" s="1123"/>
      <c r="CY765" s="1123"/>
      <c r="CZ765" s="1114"/>
      <c r="DA765" s="1114"/>
      <c r="DB765" s="1114"/>
      <c r="DC765" s="1114"/>
      <c r="DD765" s="1114"/>
      <c r="DE765" s="1114"/>
      <c r="DF765" s="1114"/>
      <c r="DG765" s="1114"/>
      <c r="DH765" s="1114"/>
      <c r="DI765" s="1114"/>
      <c r="DJ765" s="1114"/>
      <c r="DK765" s="1114"/>
      <c r="DL765" s="1114"/>
      <c r="DM765" s="1114"/>
      <c r="DN765" s="1114"/>
      <c r="DO765" s="1114"/>
      <c r="DP765" s="1114"/>
      <c r="DQ765" s="1114"/>
      <c r="DR765" s="1114"/>
      <c r="DS765" s="1114"/>
      <c r="DT765" s="1114"/>
      <c r="DU765" s="1114"/>
      <c r="DV765" s="1115"/>
      <c r="DW765" s="1116"/>
      <c r="DX765" s="1116"/>
      <c r="DY765" s="1116"/>
      <c r="DZ765" s="1116"/>
      <c r="EA765" s="1116"/>
      <c r="EB765" s="1116"/>
      <c r="EC765" s="1116"/>
      <c r="ED765" s="1116"/>
      <c r="EE765" s="1116"/>
      <c r="EF765" s="1116"/>
      <c r="EG765" s="1116"/>
      <c r="EH765" s="1116"/>
      <c r="EI765" s="1116"/>
      <c r="EJ765" s="1116"/>
      <c r="EK765" s="1116"/>
      <c r="EL765" s="1116"/>
      <c r="EM765" s="1116"/>
      <c r="EN765" s="1116"/>
      <c r="EO765" s="1116"/>
      <c r="EP765" s="1116"/>
      <c r="EQ765" s="1116"/>
      <c r="ER765" s="1116"/>
      <c r="ES765" s="1116"/>
    </row>
    <row r="766" spans="1:149" ht="15" customHeight="1">
      <c r="A766" s="1185">
        <v>756</v>
      </c>
      <c r="B766" s="1041"/>
      <c r="C766" s="1050"/>
      <c r="D766" s="1050"/>
      <c r="E766" s="1050"/>
      <c r="F766" s="1049"/>
      <c r="G766" s="1049"/>
      <c r="H766" s="1049"/>
      <c r="I766" s="1049"/>
      <c r="J766" s="1050"/>
      <c r="K766" s="1050"/>
      <c r="L766" s="1043"/>
      <c r="M766" s="1051"/>
      <c r="N766" s="1051"/>
      <c r="O766" s="1052"/>
      <c r="P766" s="1051"/>
      <c r="Q766" s="1051"/>
      <c r="R766" s="1052"/>
      <c r="S766" s="1051"/>
      <c r="T766" s="1051"/>
      <c r="U766" s="1052"/>
      <c r="V766" s="1051"/>
      <c r="W766" s="1051"/>
      <c r="X766" s="1052"/>
      <c r="Y766" s="1053"/>
      <c r="Z766" s="1051"/>
      <c r="AA766" s="1051"/>
      <c r="AB766" s="1052"/>
      <c r="AC766" s="1051"/>
      <c r="AD766" s="1051"/>
      <c r="AE766" s="1052"/>
      <c r="AF766" s="1051"/>
      <c r="AG766" s="1051"/>
      <c r="AH766" s="1051"/>
      <c r="AI766" s="1051"/>
      <c r="AJ766" s="1052"/>
      <c r="AK766" s="1051"/>
      <c r="AL766" s="1051"/>
      <c r="AM766" s="1052"/>
      <c r="AN766" s="1051"/>
      <c r="AO766" s="1051"/>
      <c r="AP766" s="1052"/>
      <c r="AQ766" s="1051"/>
      <c r="AR766" s="1051"/>
      <c r="AS766" s="1052"/>
      <c r="AT766" s="1051"/>
      <c r="AU766" s="1051"/>
      <c r="AV766" s="1052"/>
      <c r="AW766" s="1051"/>
      <c r="AX766" s="1051"/>
      <c r="AY766" s="1053"/>
      <c r="AZ766" s="1051"/>
      <c r="BA766" s="1051"/>
      <c r="BB766" s="1053"/>
      <c r="BC766" s="1051"/>
      <c r="BD766" s="1051"/>
      <c r="BE766" s="1053"/>
      <c r="BF766" s="1051"/>
      <c r="BG766" s="1051"/>
      <c r="BH766" s="1053"/>
      <c r="BI766" s="1052"/>
      <c r="BJ766" s="1052"/>
      <c r="BK766" s="1052"/>
      <c r="BL766" s="1052"/>
      <c r="BM766" s="1052"/>
      <c r="BN766" s="1054"/>
      <c r="BO766" s="1076">
        <f t="shared" si="13"/>
        <v>0</v>
      </c>
      <c r="BP766" s="1051"/>
      <c r="BQ766" s="1052"/>
      <c r="BR766" s="1054"/>
      <c r="BS766" s="1053"/>
      <c r="BT766" s="1051"/>
      <c r="BU766" s="1051"/>
      <c r="BV766" s="1051"/>
      <c r="BW766" s="1052"/>
      <c r="BX766" s="1052"/>
      <c r="BY766" s="1052"/>
      <c r="BZ766" s="1052"/>
      <c r="CA766" s="1052"/>
      <c r="CB766" s="1053"/>
      <c r="CC766" s="1053"/>
      <c r="CD766" s="1053"/>
      <c r="CE766" s="1053"/>
      <c r="CF766" s="1053"/>
      <c r="CG766" s="1053"/>
      <c r="CH766" s="1053"/>
      <c r="CI766" s="1123"/>
      <c r="CJ766" s="1123"/>
      <c r="CK766" s="1123"/>
      <c r="CL766" s="1123"/>
      <c r="CM766" s="1123"/>
      <c r="CN766" s="1123"/>
      <c r="CO766" s="1123"/>
      <c r="CP766" s="1123"/>
      <c r="CQ766" s="1123"/>
      <c r="CR766" s="1123"/>
      <c r="CS766" s="1123"/>
      <c r="CT766" s="1123"/>
      <c r="CU766" s="1123"/>
      <c r="CV766" s="1123"/>
      <c r="CW766" s="1123"/>
      <c r="CX766" s="1123"/>
      <c r="CY766" s="1123"/>
      <c r="CZ766" s="1114"/>
      <c r="DA766" s="1114"/>
      <c r="DB766" s="1114"/>
      <c r="DC766" s="1114"/>
      <c r="DD766" s="1114"/>
      <c r="DE766" s="1114"/>
      <c r="DF766" s="1114"/>
      <c r="DG766" s="1114"/>
      <c r="DH766" s="1114"/>
      <c r="DI766" s="1114"/>
      <c r="DJ766" s="1114"/>
      <c r="DK766" s="1114"/>
      <c r="DL766" s="1114"/>
      <c r="DM766" s="1114"/>
      <c r="DN766" s="1114"/>
      <c r="DO766" s="1114"/>
      <c r="DP766" s="1114"/>
      <c r="DQ766" s="1114"/>
      <c r="DR766" s="1114"/>
      <c r="DS766" s="1114"/>
      <c r="DT766" s="1114"/>
      <c r="DU766" s="1114"/>
      <c r="DV766" s="1115"/>
      <c r="DW766" s="1116"/>
      <c r="DX766" s="1116"/>
      <c r="DY766" s="1116"/>
      <c r="DZ766" s="1116"/>
      <c r="EA766" s="1116"/>
      <c r="EB766" s="1116"/>
      <c r="EC766" s="1116"/>
      <c r="ED766" s="1116"/>
      <c r="EE766" s="1116"/>
      <c r="EF766" s="1116"/>
      <c r="EG766" s="1116"/>
      <c r="EH766" s="1116"/>
      <c r="EI766" s="1116"/>
      <c r="EJ766" s="1116"/>
      <c r="EK766" s="1116"/>
      <c r="EL766" s="1116"/>
      <c r="EM766" s="1116"/>
      <c r="EN766" s="1116"/>
      <c r="EO766" s="1116"/>
      <c r="EP766" s="1116"/>
      <c r="EQ766" s="1116"/>
      <c r="ER766" s="1116"/>
      <c r="ES766" s="1116"/>
    </row>
    <row r="767" spans="1:149" ht="15" customHeight="1">
      <c r="A767" s="1185">
        <v>757</v>
      </c>
      <c r="B767" s="1041"/>
      <c r="C767" s="1050"/>
      <c r="D767" s="1050"/>
      <c r="E767" s="1050"/>
      <c r="F767" s="1049"/>
      <c r="G767" s="1049"/>
      <c r="H767" s="1049"/>
      <c r="I767" s="1049"/>
      <c r="J767" s="1050"/>
      <c r="K767" s="1050"/>
      <c r="L767" s="1043"/>
      <c r="M767" s="1051"/>
      <c r="N767" s="1051"/>
      <c r="O767" s="1052"/>
      <c r="P767" s="1051"/>
      <c r="Q767" s="1051"/>
      <c r="R767" s="1052"/>
      <c r="S767" s="1051"/>
      <c r="T767" s="1051"/>
      <c r="U767" s="1052"/>
      <c r="V767" s="1051"/>
      <c r="W767" s="1051"/>
      <c r="X767" s="1052"/>
      <c r="Y767" s="1053"/>
      <c r="Z767" s="1051"/>
      <c r="AA767" s="1051"/>
      <c r="AB767" s="1052"/>
      <c r="AC767" s="1051"/>
      <c r="AD767" s="1051"/>
      <c r="AE767" s="1052"/>
      <c r="AF767" s="1051"/>
      <c r="AG767" s="1051"/>
      <c r="AH767" s="1051"/>
      <c r="AI767" s="1051"/>
      <c r="AJ767" s="1052"/>
      <c r="AK767" s="1051"/>
      <c r="AL767" s="1051"/>
      <c r="AM767" s="1052"/>
      <c r="AN767" s="1051"/>
      <c r="AO767" s="1051"/>
      <c r="AP767" s="1052"/>
      <c r="AQ767" s="1051"/>
      <c r="AR767" s="1051"/>
      <c r="AS767" s="1052"/>
      <c r="AT767" s="1051"/>
      <c r="AU767" s="1051"/>
      <c r="AV767" s="1052"/>
      <c r="AW767" s="1051"/>
      <c r="AX767" s="1051"/>
      <c r="AY767" s="1053"/>
      <c r="AZ767" s="1051"/>
      <c r="BA767" s="1051"/>
      <c r="BB767" s="1053"/>
      <c r="BC767" s="1051"/>
      <c r="BD767" s="1051"/>
      <c r="BE767" s="1053"/>
      <c r="BF767" s="1051"/>
      <c r="BG767" s="1051"/>
      <c r="BH767" s="1053"/>
      <c r="BI767" s="1052"/>
      <c r="BJ767" s="1052"/>
      <c r="BK767" s="1052"/>
      <c r="BL767" s="1052"/>
      <c r="BM767" s="1052"/>
      <c r="BN767" s="1054"/>
      <c r="BO767" s="1076">
        <f t="shared" si="13"/>
        <v>0</v>
      </c>
      <c r="BP767" s="1051"/>
      <c r="BQ767" s="1052"/>
      <c r="BR767" s="1054"/>
      <c r="BS767" s="1053"/>
      <c r="BT767" s="1051"/>
      <c r="BU767" s="1051"/>
      <c r="BV767" s="1051"/>
      <c r="BW767" s="1052"/>
      <c r="BX767" s="1052"/>
      <c r="BY767" s="1052"/>
      <c r="BZ767" s="1052"/>
      <c r="CA767" s="1052"/>
      <c r="CB767" s="1053"/>
      <c r="CC767" s="1053"/>
      <c r="CD767" s="1053"/>
      <c r="CE767" s="1053"/>
      <c r="CF767" s="1053"/>
      <c r="CG767" s="1053"/>
      <c r="CH767" s="1053"/>
      <c r="CI767" s="1123"/>
      <c r="CJ767" s="1123"/>
      <c r="CK767" s="1123"/>
      <c r="CL767" s="1123"/>
      <c r="CM767" s="1123"/>
      <c r="CN767" s="1123"/>
      <c r="CO767" s="1123"/>
      <c r="CP767" s="1123"/>
      <c r="CQ767" s="1123"/>
      <c r="CR767" s="1123"/>
      <c r="CS767" s="1123"/>
      <c r="CT767" s="1123"/>
      <c r="CU767" s="1123"/>
      <c r="CV767" s="1123"/>
      <c r="CW767" s="1123"/>
      <c r="CX767" s="1123"/>
      <c r="CY767" s="1123"/>
      <c r="CZ767" s="1114"/>
      <c r="DA767" s="1114"/>
      <c r="DB767" s="1114"/>
      <c r="DC767" s="1114"/>
      <c r="DD767" s="1114"/>
      <c r="DE767" s="1114"/>
      <c r="DF767" s="1114"/>
      <c r="DG767" s="1114"/>
      <c r="DH767" s="1114"/>
      <c r="DI767" s="1114"/>
      <c r="DJ767" s="1114"/>
      <c r="DK767" s="1114"/>
      <c r="DL767" s="1114"/>
      <c r="DM767" s="1114"/>
      <c r="DN767" s="1114"/>
      <c r="DO767" s="1114"/>
      <c r="DP767" s="1114"/>
      <c r="DQ767" s="1114"/>
      <c r="DR767" s="1114"/>
      <c r="DS767" s="1114"/>
      <c r="DT767" s="1114"/>
      <c r="DU767" s="1114"/>
      <c r="DV767" s="1115"/>
      <c r="DW767" s="1116"/>
      <c r="DX767" s="1116"/>
      <c r="DY767" s="1116"/>
      <c r="DZ767" s="1116"/>
      <c r="EA767" s="1116"/>
      <c r="EB767" s="1116"/>
      <c r="EC767" s="1116"/>
      <c r="ED767" s="1116"/>
      <c r="EE767" s="1116"/>
      <c r="EF767" s="1116"/>
      <c r="EG767" s="1116"/>
      <c r="EH767" s="1116"/>
      <c r="EI767" s="1116"/>
      <c r="EJ767" s="1116"/>
      <c r="EK767" s="1116"/>
      <c r="EL767" s="1116"/>
      <c r="EM767" s="1116"/>
      <c r="EN767" s="1116"/>
      <c r="EO767" s="1116"/>
      <c r="EP767" s="1116"/>
      <c r="EQ767" s="1116"/>
      <c r="ER767" s="1116"/>
      <c r="ES767" s="1116"/>
    </row>
    <row r="768" spans="1:149" ht="15" customHeight="1">
      <c r="A768" s="1185">
        <v>758</v>
      </c>
      <c r="B768" s="1041"/>
      <c r="C768" s="1050"/>
      <c r="D768" s="1050"/>
      <c r="E768" s="1050"/>
      <c r="F768" s="1049"/>
      <c r="G768" s="1049"/>
      <c r="H768" s="1049"/>
      <c r="I768" s="1049"/>
      <c r="J768" s="1050"/>
      <c r="K768" s="1050"/>
      <c r="L768" s="1043"/>
      <c r="M768" s="1051"/>
      <c r="N768" s="1051"/>
      <c r="O768" s="1052"/>
      <c r="P768" s="1051"/>
      <c r="Q768" s="1051"/>
      <c r="R768" s="1052"/>
      <c r="S768" s="1051"/>
      <c r="T768" s="1051"/>
      <c r="U768" s="1052"/>
      <c r="V768" s="1051"/>
      <c r="W768" s="1051"/>
      <c r="X768" s="1052"/>
      <c r="Y768" s="1053"/>
      <c r="Z768" s="1051"/>
      <c r="AA768" s="1051"/>
      <c r="AB768" s="1052"/>
      <c r="AC768" s="1051"/>
      <c r="AD768" s="1051"/>
      <c r="AE768" s="1052"/>
      <c r="AF768" s="1051"/>
      <c r="AG768" s="1051"/>
      <c r="AH768" s="1051"/>
      <c r="AI768" s="1051"/>
      <c r="AJ768" s="1052"/>
      <c r="AK768" s="1051"/>
      <c r="AL768" s="1051"/>
      <c r="AM768" s="1052"/>
      <c r="AN768" s="1051"/>
      <c r="AO768" s="1051"/>
      <c r="AP768" s="1052"/>
      <c r="AQ768" s="1051"/>
      <c r="AR768" s="1051"/>
      <c r="AS768" s="1052"/>
      <c r="AT768" s="1051"/>
      <c r="AU768" s="1051"/>
      <c r="AV768" s="1052"/>
      <c r="AW768" s="1051"/>
      <c r="AX768" s="1051"/>
      <c r="AY768" s="1053"/>
      <c r="AZ768" s="1051"/>
      <c r="BA768" s="1051"/>
      <c r="BB768" s="1053"/>
      <c r="BC768" s="1051"/>
      <c r="BD768" s="1051"/>
      <c r="BE768" s="1053"/>
      <c r="BF768" s="1051"/>
      <c r="BG768" s="1051"/>
      <c r="BH768" s="1053"/>
      <c r="BI768" s="1052"/>
      <c r="BJ768" s="1052"/>
      <c r="BK768" s="1052"/>
      <c r="BL768" s="1052"/>
      <c r="BM768" s="1052"/>
      <c r="BN768" s="1054"/>
      <c r="BO768" s="1076">
        <f t="shared" si="13"/>
        <v>0</v>
      </c>
      <c r="BP768" s="1051"/>
      <c r="BQ768" s="1052"/>
      <c r="BR768" s="1054"/>
      <c r="BS768" s="1053"/>
      <c r="BT768" s="1051"/>
      <c r="BU768" s="1051"/>
      <c r="BV768" s="1051"/>
      <c r="BW768" s="1052"/>
      <c r="BX768" s="1052"/>
      <c r="BY768" s="1052"/>
      <c r="BZ768" s="1052"/>
      <c r="CA768" s="1052"/>
      <c r="CB768" s="1053"/>
      <c r="CC768" s="1053"/>
      <c r="CD768" s="1053"/>
      <c r="CE768" s="1053"/>
      <c r="CF768" s="1053"/>
      <c r="CG768" s="1053"/>
      <c r="CH768" s="1053"/>
      <c r="CI768" s="1123"/>
      <c r="CJ768" s="1123"/>
      <c r="CK768" s="1123"/>
      <c r="CL768" s="1123"/>
      <c r="CM768" s="1123"/>
      <c r="CN768" s="1123"/>
      <c r="CO768" s="1123"/>
      <c r="CP768" s="1123"/>
      <c r="CQ768" s="1123"/>
      <c r="CR768" s="1123"/>
      <c r="CS768" s="1123"/>
      <c r="CT768" s="1123"/>
      <c r="CU768" s="1123"/>
      <c r="CV768" s="1123"/>
      <c r="CW768" s="1123"/>
      <c r="CX768" s="1123"/>
      <c r="CY768" s="1123"/>
      <c r="CZ768" s="1114"/>
      <c r="DA768" s="1114"/>
      <c r="DB768" s="1114"/>
      <c r="DC768" s="1114"/>
      <c r="DD768" s="1114"/>
      <c r="DE768" s="1114"/>
      <c r="DF768" s="1114"/>
      <c r="DG768" s="1114"/>
      <c r="DH768" s="1114"/>
      <c r="DI768" s="1114"/>
      <c r="DJ768" s="1114"/>
      <c r="DK768" s="1114"/>
      <c r="DL768" s="1114"/>
      <c r="DM768" s="1114"/>
      <c r="DN768" s="1114"/>
      <c r="DO768" s="1114"/>
      <c r="DP768" s="1114"/>
      <c r="DQ768" s="1114"/>
      <c r="DR768" s="1114"/>
      <c r="DS768" s="1114"/>
      <c r="DT768" s="1114"/>
      <c r="DU768" s="1114"/>
      <c r="DV768" s="1115"/>
      <c r="DW768" s="1116"/>
      <c r="DX768" s="1116"/>
      <c r="DY768" s="1116"/>
      <c r="DZ768" s="1116"/>
      <c r="EA768" s="1116"/>
      <c r="EB768" s="1116"/>
      <c r="EC768" s="1116"/>
      <c r="ED768" s="1116"/>
      <c r="EE768" s="1116"/>
      <c r="EF768" s="1116"/>
      <c r="EG768" s="1116"/>
      <c r="EH768" s="1116"/>
      <c r="EI768" s="1116"/>
      <c r="EJ768" s="1116"/>
      <c r="EK768" s="1116"/>
      <c r="EL768" s="1116"/>
      <c r="EM768" s="1116"/>
      <c r="EN768" s="1116"/>
      <c r="EO768" s="1116"/>
      <c r="EP768" s="1116"/>
      <c r="EQ768" s="1116"/>
      <c r="ER768" s="1116"/>
      <c r="ES768" s="1116"/>
    </row>
    <row r="769" spans="1:149" ht="15" customHeight="1">
      <c r="A769" s="1185">
        <v>759</v>
      </c>
      <c r="B769" s="1041"/>
      <c r="C769" s="1050"/>
      <c r="D769" s="1050"/>
      <c r="E769" s="1050"/>
      <c r="F769" s="1049"/>
      <c r="G769" s="1049"/>
      <c r="H769" s="1049"/>
      <c r="I769" s="1049"/>
      <c r="J769" s="1050"/>
      <c r="K769" s="1050"/>
      <c r="L769" s="1043"/>
      <c r="M769" s="1051"/>
      <c r="N769" s="1051"/>
      <c r="O769" s="1052"/>
      <c r="P769" s="1051"/>
      <c r="Q769" s="1051"/>
      <c r="R769" s="1052"/>
      <c r="S769" s="1051"/>
      <c r="T769" s="1051"/>
      <c r="U769" s="1052"/>
      <c r="V769" s="1051"/>
      <c r="W769" s="1051"/>
      <c r="X769" s="1052"/>
      <c r="Y769" s="1053"/>
      <c r="Z769" s="1051"/>
      <c r="AA769" s="1051"/>
      <c r="AB769" s="1052"/>
      <c r="AC769" s="1051"/>
      <c r="AD769" s="1051"/>
      <c r="AE769" s="1052"/>
      <c r="AF769" s="1051"/>
      <c r="AG769" s="1051"/>
      <c r="AH769" s="1051"/>
      <c r="AI769" s="1051"/>
      <c r="AJ769" s="1052"/>
      <c r="AK769" s="1051"/>
      <c r="AL769" s="1051"/>
      <c r="AM769" s="1052"/>
      <c r="AN769" s="1051"/>
      <c r="AO769" s="1051"/>
      <c r="AP769" s="1052"/>
      <c r="AQ769" s="1051"/>
      <c r="AR769" s="1051"/>
      <c r="AS769" s="1052"/>
      <c r="AT769" s="1051"/>
      <c r="AU769" s="1051"/>
      <c r="AV769" s="1052"/>
      <c r="AW769" s="1051"/>
      <c r="AX769" s="1051"/>
      <c r="AY769" s="1053"/>
      <c r="AZ769" s="1051"/>
      <c r="BA769" s="1051"/>
      <c r="BB769" s="1053"/>
      <c r="BC769" s="1051"/>
      <c r="BD769" s="1051"/>
      <c r="BE769" s="1053"/>
      <c r="BF769" s="1051"/>
      <c r="BG769" s="1051"/>
      <c r="BH769" s="1053"/>
      <c r="BI769" s="1052"/>
      <c r="BJ769" s="1052"/>
      <c r="BK769" s="1052"/>
      <c r="BL769" s="1052"/>
      <c r="BM769" s="1052"/>
      <c r="BN769" s="1054"/>
      <c r="BO769" s="1076">
        <f t="shared" si="13"/>
        <v>0</v>
      </c>
      <c r="BP769" s="1051"/>
      <c r="BQ769" s="1052"/>
      <c r="BR769" s="1054"/>
      <c r="BS769" s="1053"/>
      <c r="BT769" s="1051"/>
      <c r="BU769" s="1051"/>
      <c r="BV769" s="1051"/>
      <c r="BW769" s="1052"/>
      <c r="BX769" s="1052"/>
      <c r="BY769" s="1052"/>
      <c r="BZ769" s="1052"/>
      <c r="CA769" s="1052"/>
      <c r="CB769" s="1053"/>
      <c r="CC769" s="1053"/>
      <c r="CD769" s="1053"/>
      <c r="CE769" s="1053"/>
      <c r="CF769" s="1053"/>
      <c r="CG769" s="1053"/>
      <c r="CH769" s="1053"/>
      <c r="CI769" s="1123"/>
      <c r="CJ769" s="1123"/>
      <c r="CK769" s="1123"/>
      <c r="CL769" s="1123"/>
      <c r="CM769" s="1123"/>
      <c r="CN769" s="1123"/>
      <c r="CO769" s="1123"/>
      <c r="CP769" s="1123"/>
      <c r="CQ769" s="1123"/>
      <c r="CR769" s="1123"/>
      <c r="CS769" s="1123"/>
      <c r="CT769" s="1123"/>
      <c r="CU769" s="1123"/>
      <c r="CV769" s="1123"/>
      <c r="CW769" s="1123"/>
      <c r="CX769" s="1123"/>
      <c r="CY769" s="1123"/>
      <c r="CZ769" s="1114"/>
      <c r="DA769" s="1114"/>
      <c r="DB769" s="1114"/>
      <c r="DC769" s="1114"/>
      <c r="DD769" s="1114"/>
      <c r="DE769" s="1114"/>
      <c r="DF769" s="1114"/>
      <c r="DG769" s="1114"/>
      <c r="DH769" s="1114"/>
      <c r="DI769" s="1114"/>
      <c r="DJ769" s="1114"/>
      <c r="DK769" s="1114"/>
      <c r="DL769" s="1114"/>
      <c r="DM769" s="1114"/>
      <c r="DN769" s="1114"/>
      <c r="DO769" s="1114"/>
      <c r="DP769" s="1114"/>
      <c r="DQ769" s="1114"/>
      <c r="DR769" s="1114"/>
      <c r="DS769" s="1114"/>
      <c r="DT769" s="1114"/>
      <c r="DU769" s="1114"/>
      <c r="DV769" s="1115"/>
      <c r="DW769" s="1116"/>
      <c r="DX769" s="1116"/>
      <c r="DY769" s="1116"/>
      <c r="DZ769" s="1116"/>
      <c r="EA769" s="1116"/>
      <c r="EB769" s="1116"/>
      <c r="EC769" s="1116"/>
      <c r="ED769" s="1116"/>
      <c r="EE769" s="1116"/>
      <c r="EF769" s="1116"/>
      <c r="EG769" s="1116"/>
      <c r="EH769" s="1116"/>
      <c r="EI769" s="1116"/>
      <c r="EJ769" s="1116"/>
      <c r="EK769" s="1116"/>
      <c r="EL769" s="1116"/>
      <c r="EM769" s="1116"/>
      <c r="EN769" s="1116"/>
      <c r="EO769" s="1116"/>
      <c r="EP769" s="1116"/>
      <c r="EQ769" s="1116"/>
      <c r="ER769" s="1116"/>
      <c r="ES769" s="1116"/>
    </row>
    <row r="770" spans="1:149" ht="15" customHeight="1">
      <c r="A770" s="1185">
        <v>760</v>
      </c>
      <c r="B770" s="1041"/>
      <c r="C770" s="1050"/>
      <c r="D770" s="1050"/>
      <c r="E770" s="1050"/>
      <c r="F770" s="1049"/>
      <c r="G770" s="1049"/>
      <c r="H770" s="1049"/>
      <c r="I770" s="1049"/>
      <c r="J770" s="1050"/>
      <c r="K770" s="1050"/>
      <c r="L770" s="1043"/>
      <c r="M770" s="1051"/>
      <c r="N770" s="1051"/>
      <c r="O770" s="1052"/>
      <c r="P770" s="1051"/>
      <c r="Q770" s="1051"/>
      <c r="R770" s="1052"/>
      <c r="S770" s="1051"/>
      <c r="T770" s="1051"/>
      <c r="U770" s="1052"/>
      <c r="V770" s="1051"/>
      <c r="W770" s="1051"/>
      <c r="X770" s="1052"/>
      <c r="Y770" s="1053"/>
      <c r="Z770" s="1051"/>
      <c r="AA770" s="1051"/>
      <c r="AB770" s="1052"/>
      <c r="AC770" s="1051"/>
      <c r="AD770" s="1051"/>
      <c r="AE770" s="1052"/>
      <c r="AF770" s="1051"/>
      <c r="AG770" s="1051"/>
      <c r="AH770" s="1051"/>
      <c r="AI770" s="1051"/>
      <c r="AJ770" s="1052"/>
      <c r="AK770" s="1051"/>
      <c r="AL770" s="1051"/>
      <c r="AM770" s="1052"/>
      <c r="AN770" s="1051"/>
      <c r="AO770" s="1051"/>
      <c r="AP770" s="1052"/>
      <c r="AQ770" s="1051"/>
      <c r="AR770" s="1051"/>
      <c r="AS770" s="1052"/>
      <c r="AT770" s="1051"/>
      <c r="AU770" s="1051"/>
      <c r="AV770" s="1052"/>
      <c r="AW770" s="1051"/>
      <c r="AX770" s="1051"/>
      <c r="AY770" s="1053"/>
      <c r="AZ770" s="1051"/>
      <c r="BA770" s="1051"/>
      <c r="BB770" s="1053"/>
      <c r="BC770" s="1051"/>
      <c r="BD770" s="1051"/>
      <c r="BE770" s="1053"/>
      <c r="BF770" s="1051"/>
      <c r="BG770" s="1051"/>
      <c r="BH770" s="1053"/>
      <c r="BI770" s="1052"/>
      <c r="BJ770" s="1052"/>
      <c r="BK770" s="1052"/>
      <c r="BL770" s="1052"/>
      <c r="BM770" s="1052"/>
      <c r="BN770" s="1054"/>
      <c r="BO770" s="1076">
        <f t="shared" si="13"/>
        <v>0</v>
      </c>
      <c r="BP770" s="1051"/>
      <c r="BQ770" s="1052"/>
      <c r="BR770" s="1054"/>
      <c r="BS770" s="1053"/>
      <c r="BT770" s="1051"/>
      <c r="BU770" s="1051"/>
      <c r="BV770" s="1051"/>
      <c r="BW770" s="1052"/>
      <c r="BX770" s="1052"/>
      <c r="BY770" s="1052"/>
      <c r="BZ770" s="1052"/>
      <c r="CA770" s="1052"/>
      <c r="CB770" s="1053"/>
      <c r="CC770" s="1053"/>
      <c r="CD770" s="1053"/>
      <c r="CE770" s="1053"/>
      <c r="CF770" s="1053"/>
      <c r="CG770" s="1053"/>
      <c r="CH770" s="1053"/>
      <c r="CI770" s="1123"/>
      <c r="CJ770" s="1123"/>
      <c r="CK770" s="1123"/>
      <c r="CL770" s="1123"/>
      <c r="CM770" s="1123"/>
      <c r="CN770" s="1123"/>
      <c r="CO770" s="1123"/>
      <c r="CP770" s="1123"/>
      <c r="CQ770" s="1123"/>
      <c r="CR770" s="1123"/>
      <c r="CS770" s="1123"/>
      <c r="CT770" s="1123"/>
      <c r="CU770" s="1123"/>
      <c r="CV770" s="1123"/>
      <c r="CW770" s="1123"/>
      <c r="CX770" s="1123"/>
      <c r="CY770" s="1123"/>
      <c r="CZ770" s="1114"/>
      <c r="DA770" s="1114"/>
      <c r="DB770" s="1114"/>
      <c r="DC770" s="1114"/>
      <c r="DD770" s="1114"/>
      <c r="DE770" s="1114"/>
      <c r="DF770" s="1114"/>
      <c r="DG770" s="1114"/>
      <c r="DH770" s="1114"/>
      <c r="DI770" s="1114"/>
      <c r="DJ770" s="1114"/>
      <c r="DK770" s="1114"/>
      <c r="DL770" s="1114"/>
      <c r="DM770" s="1114"/>
      <c r="DN770" s="1114"/>
      <c r="DO770" s="1114"/>
      <c r="DP770" s="1114"/>
      <c r="DQ770" s="1114"/>
      <c r="DR770" s="1114"/>
      <c r="DS770" s="1114"/>
      <c r="DT770" s="1114"/>
      <c r="DU770" s="1114"/>
      <c r="DV770" s="1115"/>
      <c r="DW770" s="1116"/>
      <c r="DX770" s="1116"/>
      <c r="DY770" s="1116"/>
      <c r="DZ770" s="1116"/>
      <c r="EA770" s="1116"/>
      <c r="EB770" s="1116"/>
      <c r="EC770" s="1116"/>
      <c r="ED770" s="1116"/>
      <c r="EE770" s="1116"/>
      <c r="EF770" s="1116"/>
      <c r="EG770" s="1116"/>
      <c r="EH770" s="1116"/>
      <c r="EI770" s="1116"/>
      <c r="EJ770" s="1116"/>
      <c r="EK770" s="1116"/>
      <c r="EL770" s="1116"/>
      <c r="EM770" s="1116"/>
      <c r="EN770" s="1116"/>
      <c r="EO770" s="1116"/>
      <c r="EP770" s="1116"/>
      <c r="EQ770" s="1116"/>
      <c r="ER770" s="1116"/>
      <c r="ES770" s="1116"/>
    </row>
    <row r="771" spans="1:149" ht="15" customHeight="1">
      <c r="A771" s="1185">
        <v>761</v>
      </c>
      <c r="B771" s="1041"/>
      <c r="C771" s="1050"/>
      <c r="D771" s="1050"/>
      <c r="E771" s="1050"/>
      <c r="F771" s="1049"/>
      <c r="G771" s="1049"/>
      <c r="H771" s="1049"/>
      <c r="I771" s="1049"/>
      <c r="J771" s="1050"/>
      <c r="K771" s="1050"/>
      <c r="L771" s="1043"/>
      <c r="M771" s="1051"/>
      <c r="N771" s="1051"/>
      <c r="O771" s="1052"/>
      <c r="P771" s="1051"/>
      <c r="Q771" s="1051"/>
      <c r="R771" s="1052"/>
      <c r="S771" s="1051"/>
      <c r="T771" s="1051"/>
      <c r="U771" s="1052"/>
      <c r="V771" s="1051"/>
      <c r="W771" s="1051"/>
      <c r="X771" s="1052"/>
      <c r="Y771" s="1053"/>
      <c r="Z771" s="1051"/>
      <c r="AA771" s="1051"/>
      <c r="AB771" s="1052"/>
      <c r="AC771" s="1051"/>
      <c r="AD771" s="1051"/>
      <c r="AE771" s="1052"/>
      <c r="AF771" s="1051"/>
      <c r="AG771" s="1051"/>
      <c r="AH771" s="1051"/>
      <c r="AI771" s="1051"/>
      <c r="AJ771" s="1052"/>
      <c r="AK771" s="1051"/>
      <c r="AL771" s="1051"/>
      <c r="AM771" s="1052"/>
      <c r="AN771" s="1051"/>
      <c r="AO771" s="1051"/>
      <c r="AP771" s="1052"/>
      <c r="AQ771" s="1051"/>
      <c r="AR771" s="1051"/>
      <c r="AS771" s="1052"/>
      <c r="AT771" s="1051"/>
      <c r="AU771" s="1051"/>
      <c r="AV771" s="1052"/>
      <c r="AW771" s="1051"/>
      <c r="AX771" s="1051"/>
      <c r="AY771" s="1053"/>
      <c r="AZ771" s="1051"/>
      <c r="BA771" s="1051"/>
      <c r="BB771" s="1053"/>
      <c r="BC771" s="1051"/>
      <c r="BD771" s="1051"/>
      <c r="BE771" s="1053"/>
      <c r="BF771" s="1051"/>
      <c r="BG771" s="1051"/>
      <c r="BH771" s="1053"/>
      <c r="BI771" s="1052"/>
      <c r="BJ771" s="1052"/>
      <c r="BK771" s="1052"/>
      <c r="BL771" s="1052"/>
      <c r="BM771" s="1052"/>
      <c r="BN771" s="1054"/>
      <c r="BO771" s="1076">
        <f t="shared" si="13"/>
        <v>0</v>
      </c>
      <c r="BP771" s="1051"/>
      <c r="BQ771" s="1052"/>
      <c r="BR771" s="1054"/>
      <c r="BS771" s="1053"/>
      <c r="BT771" s="1051"/>
      <c r="BU771" s="1051"/>
      <c r="BV771" s="1051"/>
      <c r="BW771" s="1052"/>
      <c r="BX771" s="1052"/>
      <c r="BY771" s="1052"/>
      <c r="BZ771" s="1052"/>
      <c r="CA771" s="1052"/>
      <c r="CB771" s="1053"/>
      <c r="CC771" s="1053"/>
      <c r="CD771" s="1053"/>
      <c r="CE771" s="1053"/>
      <c r="CF771" s="1053"/>
      <c r="CG771" s="1053"/>
      <c r="CH771" s="1053"/>
      <c r="CI771" s="1123"/>
      <c r="CJ771" s="1123"/>
      <c r="CK771" s="1123"/>
      <c r="CL771" s="1123"/>
      <c r="CM771" s="1123"/>
      <c r="CN771" s="1123"/>
      <c r="CO771" s="1123"/>
      <c r="CP771" s="1123"/>
      <c r="CQ771" s="1123"/>
      <c r="CR771" s="1123"/>
      <c r="CS771" s="1123"/>
      <c r="CT771" s="1123"/>
      <c r="CU771" s="1123"/>
      <c r="CV771" s="1123"/>
      <c r="CW771" s="1123"/>
      <c r="CX771" s="1123"/>
      <c r="CY771" s="1123"/>
      <c r="CZ771" s="1114"/>
      <c r="DA771" s="1114"/>
      <c r="DB771" s="1114"/>
      <c r="DC771" s="1114"/>
      <c r="DD771" s="1114"/>
      <c r="DE771" s="1114"/>
      <c r="DF771" s="1114"/>
      <c r="DG771" s="1114"/>
      <c r="DH771" s="1114"/>
      <c r="DI771" s="1114"/>
      <c r="DJ771" s="1114"/>
      <c r="DK771" s="1114"/>
      <c r="DL771" s="1114"/>
      <c r="DM771" s="1114"/>
      <c r="DN771" s="1114"/>
      <c r="DO771" s="1114"/>
      <c r="DP771" s="1114"/>
      <c r="DQ771" s="1114"/>
      <c r="DR771" s="1114"/>
      <c r="DS771" s="1114"/>
      <c r="DT771" s="1114"/>
      <c r="DU771" s="1114"/>
      <c r="DV771" s="1115"/>
      <c r="DW771" s="1116"/>
      <c r="DX771" s="1116"/>
      <c r="DY771" s="1116"/>
      <c r="DZ771" s="1116"/>
      <c r="EA771" s="1116"/>
      <c r="EB771" s="1116"/>
      <c r="EC771" s="1116"/>
      <c r="ED771" s="1116"/>
      <c r="EE771" s="1116"/>
      <c r="EF771" s="1116"/>
      <c r="EG771" s="1116"/>
      <c r="EH771" s="1116"/>
      <c r="EI771" s="1116"/>
      <c r="EJ771" s="1116"/>
      <c r="EK771" s="1116"/>
      <c r="EL771" s="1116"/>
      <c r="EM771" s="1116"/>
      <c r="EN771" s="1116"/>
      <c r="EO771" s="1116"/>
      <c r="EP771" s="1116"/>
      <c r="EQ771" s="1116"/>
      <c r="ER771" s="1116"/>
      <c r="ES771" s="1116"/>
    </row>
    <row r="772" spans="1:149" ht="15" customHeight="1">
      <c r="A772" s="1185">
        <v>762</v>
      </c>
      <c r="B772" s="1041"/>
      <c r="C772" s="1050"/>
      <c r="D772" s="1050"/>
      <c r="E772" s="1050"/>
      <c r="F772" s="1049"/>
      <c r="G772" s="1049"/>
      <c r="H772" s="1049"/>
      <c r="I772" s="1049"/>
      <c r="J772" s="1050"/>
      <c r="K772" s="1050"/>
      <c r="L772" s="1043"/>
      <c r="M772" s="1051"/>
      <c r="N772" s="1051"/>
      <c r="O772" s="1052"/>
      <c r="P772" s="1051"/>
      <c r="Q772" s="1051"/>
      <c r="R772" s="1052"/>
      <c r="S772" s="1051"/>
      <c r="T772" s="1051"/>
      <c r="U772" s="1052"/>
      <c r="V772" s="1051"/>
      <c r="W772" s="1051"/>
      <c r="X772" s="1052"/>
      <c r="Y772" s="1053"/>
      <c r="Z772" s="1051"/>
      <c r="AA772" s="1051"/>
      <c r="AB772" s="1052"/>
      <c r="AC772" s="1051"/>
      <c r="AD772" s="1051"/>
      <c r="AE772" s="1052"/>
      <c r="AF772" s="1051"/>
      <c r="AG772" s="1051"/>
      <c r="AH772" s="1051"/>
      <c r="AI772" s="1051"/>
      <c r="AJ772" s="1052"/>
      <c r="AK772" s="1051"/>
      <c r="AL772" s="1051"/>
      <c r="AM772" s="1052"/>
      <c r="AN772" s="1051"/>
      <c r="AO772" s="1051"/>
      <c r="AP772" s="1052"/>
      <c r="AQ772" s="1051"/>
      <c r="AR772" s="1051"/>
      <c r="AS772" s="1052"/>
      <c r="AT772" s="1051"/>
      <c r="AU772" s="1051"/>
      <c r="AV772" s="1052"/>
      <c r="AW772" s="1051"/>
      <c r="AX772" s="1051"/>
      <c r="AY772" s="1053"/>
      <c r="AZ772" s="1051"/>
      <c r="BA772" s="1051"/>
      <c r="BB772" s="1053"/>
      <c r="BC772" s="1051"/>
      <c r="BD772" s="1051"/>
      <c r="BE772" s="1053"/>
      <c r="BF772" s="1051"/>
      <c r="BG772" s="1051"/>
      <c r="BH772" s="1053"/>
      <c r="BI772" s="1052"/>
      <c r="BJ772" s="1052"/>
      <c r="BK772" s="1052"/>
      <c r="BL772" s="1052"/>
      <c r="BM772" s="1052"/>
      <c r="BN772" s="1054"/>
      <c r="BO772" s="1076">
        <f t="shared" si="13"/>
        <v>0</v>
      </c>
      <c r="BP772" s="1051"/>
      <c r="BQ772" s="1052"/>
      <c r="BR772" s="1054"/>
      <c r="BS772" s="1053"/>
      <c r="BT772" s="1051"/>
      <c r="BU772" s="1051"/>
      <c r="BV772" s="1051"/>
      <c r="BW772" s="1052"/>
      <c r="BX772" s="1052"/>
      <c r="BY772" s="1052"/>
      <c r="BZ772" s="1052"/>
      <c r="CA772" s="1052"/>
      <c r="CB772" s="1053"/>
      <c r="CC772" s="1053"/>
      <c r="CD772" s="1053"/>
      <c r="CE772" s="1053"/>
      <c r="CF772" s="1053"/>
      <c r="CG772" s="1053"/>
      <c r="CH772" s="1053"/>
      <c r="CI772" s="1123"/>
      <c r="CJ772" s="1123"/>
      <c r="CK772" s="1123"/>
      <c r="CL772" s="1123"/>
      <c r="CM772" s="1123"/>
      <c r="CN772" s="1123"/>
      <c r="CO772" s="1123"/>
      <c r="CP772" s="1123"/>
      <c r="CQ772" s="1123"/>
      <c r="CR772" s="1123"/>
      <c r="CS772" s="1123"/>
      <c r="CT772" s="1123"/>
      <c r="CU772" s="1123"/>
      <c r="CV772" s="1123"/>
      <c r="CW772" s="1123"/>
      <c r="CX772" s="1123"/>
      <c r="CY772" s="1123"/>
      <c r="CZ772" s="1114"/>
      <c r="DA772" s="1114"/>
      <c r="DB772" s="1114"/>
      <c r="DC772" s="1114"/>
      <c r="DD772" s="1114"/>
      <c r="DE772" s="1114"/>
      <c r="DF772" s="1114"/>
      <c r="DG772" s="1114"/>
      <c r="DH772" s="1114"/>
      <c r="DI772" s="1114"/>
      <c r="DJ772" s="1114"/>
      <c r="DK772" s="1114"/>
      <c r="DL772" s="1114"/>
      <c r="DM772" s="1114"/>
      <c r="DN772" s="1114"/>
      <c r="DO772" s="1114"/>
      <c r="DP772" s="1114"/>
      <c r="DQ772" s="1114"/>
      <c r="DR772" s="1114"/>
      <c r="DS772" s="1114"/>
      <c r="DT772" s="1114"/>
      <c r="DU772" s="1114"/>
      <c r="DV772" s="1115"/>
      <c r="DW772" s="1116"/>
      <c r="DX772" s="1116"/>
      <c r="DY772" s="1116"/>
      <c r="DZ772" s="1116"/>
      <c r="EA772" s="1116"/>
      <c r="EB772" s="1116"/>
      <c r="EC772" s="1116"/>
      <c r="ED772" s="1116"/>
      <c r="EE772" s="1116"/>
      <c r="EF772" s="1116"/>
      <c r="EG772" s="1116"/>
      <c r="EH772" s="1116"/>
      <c r="EI772" s="1116"/>
      <c r="EJ772" s="1116"/>
      <c r="EK772" s="1116"/>
      <c r="EL772" s="1116"/>
      <c r="EM772" s="1116"/>
      <c r="EN772" s="1116"/>
      <c r="EO772" s="1116"/>
      <c r="EP772" s="1116"/>
      <c r="EQ772" s="1116"/>
      <c r="ER772" s="1116"/>
      <c r="ES772" s="1116"/>
    </row>
    <row r="773" spans="1:149" ht="15" customHeight="1">
      <c r="A773" s="1185">
        <v>763</v>
      </c>
      <c r="B773" s="1041"/>
      <c r="C773" s="1050"/>
      <c r="D773" s="1050"/>
      <c r="E773" s="1050"/>
      <c r="F773" s="1049"/>
      <c r="G773" s="1049"/>
      <c r="H773" s="1049"/>
      <c r="I773" s="1049"/>
      <c r="J773" s="1050"/>
      <c r="K773" s="1050"/>
      <c r="L773" s="1043"/>
      <c r="M773" s="1051"/>
      <c r="N773" s="1051"/>
      <c r="O773" s="1052"/>
      <c r="P773" s="1051"/>
      <c r="Q773" s="1051"/>
      <c r="R773" s="1052"/>
      <c r="S773" s="1051"/>
      <c r="T773" s="1051"/>
      <c r="U773" s="1052"/>
      <c r="V773" s="1051"/>
      <c r="W773" s="1051"/>
      <c r="X773" s="1052"/>
      <c r="Y773" s="1053"/>
      <c r="Z773" s="1051"/>
      <c r="AA773" s="1051"/>
      <c r="AB773" s="1052"/>
      <c r="AC773" s="1051"/>
      <c r="AD773" s="1051"/>
      <c r="AE773" s="1052"/>
      <c r="AF773" s="1051"/>
      <c r="AG773" s="1051"/>
      <c r="AH773" s="1051"/>
      <c r="AI773" s="1051"/>
      <c r="AJ773" s="1052"/>
      <c r="AK773" s="1051"/>
      <c r="AL773" s="1051"/>
      <c r="AM773" s="1052"/>
      <c r="AN773" s="1051"/>
      <c r="AO773" s="1051"/>
      <c r="AP773" s="1052"/>
      <c r="AQ773" s="1051"/>
      <c r="AR773" s="1051"/>
      <c r="AS773" s="1052"/>
      <c r="AT773" s="1051"/>
      <c r="AU773" s="1051"/>
      <c r="AV773" s="1052"/>
      <c r="AW773" s="1051"/>
      <c r="AX773" s="1051"/>
      <c r="AY773" s="1053"/>
      <c r="AZ773" s="1051"/>
      <c r="BA773" s="1051"/>
      <c r="BB773" s="1053"/>
      <c r="BC773" s="1051"/>
      <c r="BD773" s="1051"/>
      <c r="BE773" s="1053"/>
      <c r="BF773" s="1051"/>
      <c r="BG773" s="1051"/>
      <c r="BH773" s="1053"/>
      <c r="BI773" s="1052"/>
      <c r="BJ773" s="1052"/>
      <c r="BK773" s="1052"/>
      <c r="BL773" s="1052"/>
      <c r="BM773" s="1052"/>
      <c r="BN773" s="1054"/>
      <c r="BO773" s="1076">
        <f t="shared" si="13"/>
        <v>0</v>
      </c>
      <c r="BP773" s="1051"/>
      <c r="BQ773" s="1052"/>
      <c r="BR773" s="1054"/>
      <c r="BS773" s="1053"/>
      <c r="BT773" s="1051"/>
      <c r="BU773" s="1051"/>
      <c r="BV773" s="1051"/>
      <c r="BW773" s="1052"/>
      <c r="BX773" s="1052"/>
      <c r="BY773" s="1052"/>
      <c r="BZ773" s="1052"/>
      <c r="CA773" s="1052"/>
      <c r="CB773" s="1053"/>
      <c r="CC773" s="1053"/>
      <c r="CD773" s="1053"/>
      <c r="CE773" s="1053"/>
      <c r="CF773" s="1053"/>
      <c r="CG773" s="1053"/>
      <c r="CH773" s="1053"/>
      <c r="CI773" s="1123"/>
      <c r="CJ773" s="1123"/>
      <c r="CK773" s="1123"/>
      <c r="CL773" s="1123"/>
      <c r="CM773" s="1123"/>
      <c r="CN773" s="1123"/>
      <c r="CO773" s="1123"/>
      <c r="CP773" s="1123"/>
      <c r="CQ773" s="1123"/>
      <c r="CR773" s="1123"/>
      <c r="CS773" s="1123"/>
      <c r="CT773" s="1123"/>
      <c r="CU773" s="1123"/>
      <c r="CV773" s="1123"/>
      <c r="CW773" s="1123"/>
      <c r="CX773" s="1123"/>
      <c r="CY773" s="1123"/>
      <c r="CZ773" s="1114"/>
      <c r="DA773" s="1114"/>
      <c r="DB773" s="1114"/>
      <c r="DC773" s="1114"/>
      <c r="DD773" s="1114"/>
      <c r="DE773" s="1114"/>
      <c r="DF773" s="1114"/>
      <c r="DG773" s="1114"/>
      <c r="DH773" s="1114"/>
      <c r="DI773" s="1114"/>
      <c r="DJ773" s="1114"/>
      <c r="DK773" s="1114"/>
      <c r="DL773" s="1114"/>
      <c r="DM773" s="1114"/>
      <c r="DN773" s="1114"/>
      <c r="DO773" s="1114"/>
      <c r="DP773" s="1114"/>
      <c r="DQ773" s="1114"/>
      <c r="DR773" s="1114"/>
      <c r="DS773" s="1114"/>
      <c r="DT773" s="1114"/>
      <c r="DU773" s="1114"/>
      <c r="DV773" s="1115"/>
      <c r="DW773" s="1116"/>
      <c r="DX773" s="1116"/>
      <c r="DY773" s="1116"/>
      <c r="DZ773" s="1116"/>
      <c r="EA773" s="1116"/>
      <c r="EB773" s="1116"/>
      <c r="EC773" s="1116"/>
      <c r="ED773" s="1116"/>
      <c r="EE773" s="1116"/>
      <c r="EF773" s="1116"/>
      <c r="EG773" s="1116"/>
      <c r="EH773" s="1116"/>
      <c r="EI773" s="1116"/>
      <c r="EJ773" s="1116"/>
      <c r="EK773" s="1116"/>
      <c r="EL773" s="1116"/>
      <c r="EM773" s="1116"/>
      <c r="EN773" s="1116"/>
      <c r="EO773" s="1116"/>
      <c r="EP773" s="1116"/>
      <c r="EQ773" s="1116"/>
      <c r="ER773" s="1116"/>
      <c r="ES773" s="1116"/>
    </row>
    <row r="774" spans="1:149" ht="15" customHeight="1">
      <c r="A774" s="1185">
        <v>764</v>
      </c>
      <c r="B774" s="1041"/>
      <c r="C774" s="1050"/>
      <c r="D774" s="1050"/>
      <c r="E774" s="1050"/>
      <c r="F774" s="1049"/>
      <c r="G774" s="1049"/>
      <c r="H774" s="1049"/>
      <c r="I774" s="1049"/>
      <c r="J774" s="1050"/>
      <c r="K774" s="1050"/>
      <c r="L774" s="1043"/>
      <c r="M774" s="1051"/>
      <c r="N774" s="1051"/>
      <c r="O774" s="1052"/>
      <c r="P774" s="1051"/>
      <c r="Q774" s="1051"/>
      <c r="R774" s="1052"/>
      <c r="S774" s="1051"/>
      <c r="T774" s="1051"/>
      <c r="U774" s="1052"/>
      <c r="V774" s="1051"/>
      <c r="W774" s="1051"/>
      <c r="X774" s="1052"/>
      <c r="Y774" s="1053"/>
      <c r="Z774" s="1051"/>
      <c r="AA774" s="1051"/>
      <c r="AB774" s="1052"/>
      <c r="AC774" s="1051"/>
      <c r="AD774" s="1051"/>
      <c r="AE774" s="1052"/>
      <c r="AF774" s="1051"/>
      <c r="AG774" s="1051"/>
      <c r="AH774" s="1051"/>
      <c r="AI774" s="1051"/>
      <c r="AJ774" s="1052"/>
      <c r="AK774" s="1051"/>
      <c r="AL774" s="1051"/>
      <c r="AM774" s="1052"/>
      <c r="AN774" s="1051"/>
      <c r="AO774" s="1051"/>
      <c r="AP774" s="1052"/>
      <c r="AQ774" s="1051"/>
      <c r="AR774" s="1051"/>
      <c r="AS774" s="1052"/>
      <c r="AT774" s="1051"/>
      <c r="AU774" s="1051"/>
      <c r="AV774" s="1052"/>
      <c r="AW774" s="1051"/>
      <c r="AX774" s="1051"/>
      <c r="AY774" s="1053"/>
      <c r="AZ774" s="1051"/>
      <c r="BA774" s="1051"/>
      <c r="BB774" s="1053"/>
      <c r="BC774" s="1051"/>
      <c r="BD774" s="1051"/>
      <c r="BE774" s="1053"/>
      <c r="BF774" s="1051"/>
      <c r="BG774" s="1051"/>
      <c r="BH774" s="1053"/>
      <c r="BI774" s="1052"/>
      <c r="BJ774" s="1052"/>
      <c r="BK774" s="1052"/>
      <c r="BL774" s="1052"/>
      <c r="BM774" s="1052"/>
      <c r="BN774" s="1054"/>
      <c r="BO774" s="1076">
        <f t="shared" si="13"/>
        <v>0</v>
      </c>
      <c r="BP774" s="1051"/>
      <c r="BQ774" s="1052"/>
      <c r="BR774" s="1054"/>
      <c r="BS774" s="1053"/>
      <c r="BT774" s="1051"/>
      <c r="BU774" s="1051"/>
      <c r="BV774" s="1051"/>
      <c r="BW774" s="1052"/>
      <c r="BX774" s="1052"/>
      <c r="BY774" s="1052"/>
      <c r="BZ774" s="1052"/>
      <c r="CA774" s="1052"/>
      <c r="CB774" s="1053"/>
      <c r="CC774" s="1053"/>
      <c r="CD774" s="1053"/>
      <c r="CE774" s="1053"/>
      <c r="CF774" s="1053"/>
      <c r="CG774" s="1053"/>
      <c r="CH774" s="1053"/>
      <c r="CI774" s="1123"/>
      <c r="CJ774" s="1123"/>
      <c r="CK774" s="1123"/>
      <c r="CL774" s="1123"/>
      <c r="CM774" s="1123"/>
      <c r="CN774" s="1123"/>
      <c r="CO774" s="1123"/>
      <c r="CP774" s="1123"/>
      <c r="CQ774" s="1123"/>
      <c r="CR774" s="1123"/>
      <c r="CS774" s="1123"/>
      <c r="CT774" s="1123"/>
      <c r="CU774" s="1123"/>
      <c r="CV774" s="1123"/>
      <c r="CW774" s="1123"/>
      <c r="CX774" s="1123"/>
      <c r="CY774" s="1123"/>
      <c r="CZ774" s="1114"/>
      <c r="DA774" s="1114"/>
      <c r="DB774" s="1114"/>
      <c r="DC774" s="1114"/>
      <c r="DD774" s="1114"/>
      <c r="DE774" s="1114"/>
      <c r="DF774" s="1114"/>
      <c r="DG774" s="1114"/>
      <c r="DH774" s="1114"/>
      <c r="DI774" s="1114"/>
      <c r="DJ774" s="1114"/>
      <c r="DK774" s="1114"/>
      <c r="DL774" s="1114"/>
      <c r="DM774" s="1114"/>
      <c r="DN774" s="1114"/>
      <c r="DO774" s="1114"/>
      <c r="DP774" s="1114"/>
      <c r="DQ774" s="1114"/>
      <c r="DR774" s="1114"/>
      <c r="DS774" s="1114"/>
      <c r="DT774" s="1114"/>
      <c r="DU774" s="1114"/>
      <c r="DV774" s="1115"/>
      <c r="DW774" s="1116"/>
      <c r="DX774" s="1116"/>
      <c r="DY774" s="1116"/>
      <c r="DZ774" s="1116"/>
      <c r="EA774" s="1116"/>
      <c r="EB774" s="1116"/>
      <c r="EC774" s="1116"/>
      <c r="ED774" s="1116"/>
      <c r="EE774" s="1116"/>
      <c r="EF774" s="1116"/>
      <c r="EG774" s="1116"/>
      <c r="EH774" s="1116"/>
      <c r="EI774" s="1116"/>
      <c r="EJ774" s="1116"/>
      <c r="EK774" s="1116"/>
      <c r="EL774" s="1116"/>
      <c r="EM774" s="1116"/>
      <c r="EN774" s="1116"/>
      <c r="EO774" s="1116"/>
      <c r="EP774" s="1116"/>
      <c r="EQ774" s="1116"/>
      <c r="ER774" s="1116"/>
      <c r="ES774" s="1116"/>
    </row>
    <row r="775" spans="1:149" ht="15" customHeight="1">
      <c r="A775" s="1185">
        <v>765</v>
      </c>
      <c r="B775" s="1041"/>
      <c r="C775" s="1050"/>
      <c r="D775" s="1050"/>
      <c r="E775" s="1050"/>
      <c r="F775" s="1049"/>
      <c r="G775" s="1049"/>
      <c r="H775" s="1049"/>
      <c r="I775" s="1049"/>
      <c r="J775" s="1050"/>
      <c r="K775" s="1050"/>
      <c r="L775" s="1043"/>
      <c r="M775" s="1051"/>
      <c r="N775" s="1051"/>
      <c r="O775" s="1052"/>
      <c r="P775" s="1051"/>
      <c r="Q775" s="1051"/>
      <c r="R775" s="1052"/>
      <c r="S775" s="1051"/>
      <c r="T775" s="1051"/>
      <c r="U775" s="1052"/>
      <c r="V775" s="1051"/>
      <c r="W775" s="1051"/>
      <c r="X775" s="1052"/>
      <c r="Y775" s="1053"/>
      <c r="Z775" s="1051"/>
      <c r="AA775" s="1051"/>
      <c r="AB775" s="1052"/>
      <c r="AC775" s="1051"/>
      <c r="AD775" s="1051"/>
      <c r="AE775" s="1052"/>
      <c r="AF775" s="1051"/>
      <c r="AG775" s="1051"/>
      <c r="AH775" s="1051"/>
      <c r="AI775" s="1051"/>
      <c r="AJ775" s="1052"/>
      <c r="AK775" s="1051"/>
      <c r="AL775" s="1051"/>
      <c r="AM775" s="1052"/>
      <c r="AN775" s="1051"/>
      <c r="AO775" s="1051"/>
      <c r="AP775" s="1052"/>
      <c r="AQ775" s="1051"/>
      <c r="AR775" s="1051"/>
      <c r="AS775" s="1052"/>
      <c r="AT775" s="1051"/>
      <c r="AU775" s="1051"/>
      <c r="AV775" s="1052"/>
      <c r="AW775" s="1051"/>
      <c r="AX775" s="1051"/>
      <c r="AY775" s="1053"/>
      <c r="AZ775" s="1051"/>
      <c r="BA775" s="1051"/>
      <c r="BB775" s="1053"/>
      <c r="BC775" s="1051"/>
      <c r="BD775" s="1051"/>
      <c r="BE775" s="1053"/>
      <c r="BF775" s="1051"/>
      <c r="BG775" s="1051"/>
      <c r="BH775" s="1053"/>
      <c r="BI775" s="1052"/>
      <c r="BJ775" s="1052"/>
      <c r="BK775" s="1052"/>
      <c r="BL775" s="1052"/>
      <c r="BM775" s="1052"/>
      <c r="BN775" s="1054"/>
      <c r="BO775" s="1076">
        <f t="shared" si="13"/>
        <v>0</v>
      </c>
      <c r="BP775" s="1051"/>
      <c r="BQ775" s="1052"/>
      <c r="BR775" s="1054"/>
      <c r="BS775" s="1053"/>
      <c r="BT775" s="1051"/>
      <c r="BU775" s="1051"/>
      <c r="BV775" s="1051"/>
      <c r="BW775" s="1052"/>
      <c r="BX775" s="1052"/>
      <c r="BY775" s="1052"/>
      <c r="BZ775" s="1052"/>
      <c r="CA775" s="1052"/>
      <c r="CB775" s="1053"/>
      <c r="CC775" s="1053"/>
      <c r="CD775" s="1053"/>
      <c r="CE775" s="1053"/>
      <c r="CF775" s="1053"/>
      <c r="CG775" s="1053"/>
      <c r="CH775" s="1053"/>
      <c r="CI775" s="1123"/>
      <c r="CJ775" s="1123"/>
      <c r="CK775" s="1123"/>
      <c r="CL775" s="1123"/>
      <c r="CM775" s="1123"/>
      <c r="CN775" s="1123"/>
      <c r="CO775" s="1123"/>
      <c r="CP775" s="1123"/>
      <c r="CQ775" s="1123"/>
      <c r="CR775" s="1123"/>
      <c r="CS775" s="1123"/>
      <c r="CT775" s="1123"/>
      <c r="CU775" s="1123"/>
      <c r="CV775" s="1123"/>
      <c r="CW775" s="1123"/>
      <c r="CX775" s="1123"/>
      <c r="CY775" s="1123"/>
      <c r="CZ775" s="1114"/>
      <c r="DA775" s="1114"/>
      <c r="DB775" s="1114"/>
      <c r="DC775" s="1114"/>
      <c r="DD775" s="1114"/>
      <c r="DE775" s="1114"/>
      <c r="DF775" s="1114"/>
      <c r="DG775" s="1114"/>
      <c r="DH775" s="1114"/>
      <c r="DI775" s="1114"/>
      <c r="DJ775" s="1114"/>
      <c r="DK775" s="1114"/>
      <c r="DL775" s="1114"/>
      <c r="DM775" s="1114"/>
      <c r="DN775" s="1114"/>
      <c r="DO775" s="1114"/>
      <c r="DP775" s="1114"/>
      <c r="DQ775" s="1114"/>
      <c r="DR775" s="1114"/>
      <c r="DS775" s="1114"/>
      <c r="DT775" s="1114"/>
      <c r="DU775" s="1114"/>
      <c r="DV775" s="1115"/>
      <c r="DW775" s="1116"/>
      <c r="DX775" s="1116"/>
      <c r="DY775" s="1116"/>
      <c r="DZ775" s="1116"/>
      <c r="EA775" s="1116"/>
      <c r="EB775" s="1116"/>
      <c r="EC775" s="1116"/>
      <c r="ED775" s="1116"/>
      <c r="EE775" s="1116"/>
      <c r="EF775" s="1116"/>
      <c r="EG775" s="1116"/>
      <c r="EH775" s="1116"/>
      <c r="EI775" s="1116"/>
      <c r="EJ775" s="1116"/>
      <c r="EK775" s="1116"/>
      <c r="EL775" s="1116"/>
      <c r="EM775" s="1116"/>
      <c r="EN775" s="1116"/>
      <c r="EO775" s="1116"/>
      <c r="EP775" s="1116"/>
      <c r="EQ775" s="1116"/>
      <c r="ER775" s="1116"/>
      <c r="ES775" s="1116"/>
    </row>
    <row r="776" spans="1:149" ht="15" customHeight="1">
      <c r="A776" s="1185">
        <v>766</v>
      </c>
      <c r="B776" s="1041"/>
      <c r="C776" s="1050"/>
      <c r="D776" s="1050"/>
      <c r="E776" s="1050"/>
      <c r="F776" s="1049"/>
      <c r="G776" s="1049"/>
      <c r="H776" s="1049"/>
      <c r="I776" s="1049"/>
      <c r="J776" s="1050"/>
      <c r="K776" s="1050"/>
      <c r="L776" s="1043"/>
      <c r="M776" s="1051"/>
      <c r="N776" s="1051"/>
      <c r="O776" s="1052"/>
      <c r="P776" s="1051"/>
      <c r="Q776" s="1051"/>
      <c r="R776" s="1052"/>
      <c r="S776" s="1051"/>
      <c r="T776" s="1051"/>
      <c r="U776" s="1052"/>
      <c r="V776" s="1051"/>
      <c r="W776" s="1051"/>
      <c r="X776" s="1052"/>
      <c r="Y776" s="1053"/>
      <c r="Z776" s="1051"/>
      <c r="AA776" s="1051"/>
      <c r="AB776" s="1052"/>
      <c r="AC776" s="1051"/>
      <c r="AD776" s="1051"/>
      <c r="AE776" s="1052"/>
      <c r="AF776" s="1051"/>
      <c r="AG776" s="1051"/>
      <c r="AH776" s="1051"/>
      <c r="AI776" s="1051"/>
      <c r="AJ776" s="1052"/>
      <c r="AK776" s="1051"/>
      <c r="AL776" s="1051"/>
      <c r="AM776" s="1052"/>
      <c r="AN776" s="1051"/>
      <c r="AO776" s="1051"/>
      <c r="AP776" s="1052"/>
      <c r="AQ776" s="1051"/>
      <c r="AR776" s="1051"/>
      <c r="AS776" s="1052"/>
      <c r="AT776" s="1051"/>
      <c r="AU776" s="1051"/>
      <c r="AV776" s="1052"/>
      <c r="AW776" s="1051"/>
      <c r="AX776" s="1051"/>
      <c r="AY776" s="1053"/>
      <c r="AZ776" s="1051"/>
      <c r="BA776" s="1051"/>
      <c r="BB776" s="1053"/>
      <c r="BC776" s="1051"/>
      <c r="BD776" s="1051"/>
      <c r="BE776" s="1053"/>
      <c r="BF776" s="1051"/>
      <c r="BG776" s="1051"/>
      <c r="BH776" s="1053"/>
      <c r="BI776" s="1052"/>
      <c r="BJ776" s="1052"/>
      <c r="BK776" s="1052"/>
      <c r="BL776" s="1052"/>
      <c r="BM776" s="1052"/>
      <c r="BN776" s="1054"/>
      <c r="BO776" s="1076">
        <f t="shared" si="13"/>
        <v>0</v>
      </c>
      <c r="BP776" s="1051"/>
      <c r="BQ776" s="1052"/>
      <c r="BR776" s="1054"/>
      <c r="BS776" s="1053"/>
      <c r="BT776" s="1051"/>
      <c r="BU776" s="1051"/>
      <c r="BV776" s="1051"/>
      <c r="BW776" s="1052"/>
      <c r="BX776" s="1052"/>
      <c r="BY776" s="1052"/>
      <c r="BZ776" s="1052"/>
      <c r="CA776" s="1052"/>
      <c r="CB776" s="1053"/>
      <c r="CC776" s="1053"/>
      <c r="CD776" s="1053"/>
      <c r="CE776" s="1053"/>
      <c r="CF776" s="1053"/>
      <c r="CG776" s="1053"/>
      <c r="CH776" s="1053"/>
      <c r="CI776" s="1123"/>
      <c r="CJ776" s="1123"/>
      <c r="CK776" s="1123"/>
      <c r="CL776" s="1123"/>
      <c r="CM776" s="1123"/>
      <c r="CN776" s="1123"/>
      <c r="CO776" s="1123"/>
      <c r="CP776" s="1123"/>
      <c r="CQ776" s="1123"/>
      <c r="CR776" s="1123"/>
      <c r="CS776" s="1123"/>
      <c r="CT776" s="1123"/>
      <c r="CU776" s="1123"/>
      <c r="CV776" s="1123"/>
      <c r="CW776" s="1123"/>
      <c r="CX776" s="1123"/>
      <c r="CY776" s="1123"/>
      <c r="CZ776" s="1114"/>
      <c r="DA776" s="1114"/>
      <c r="DB776" s="1114"/>
      <c r="DC776" s="1114"/>
      <c r="DD776" s="1114"/>
      <c r="DE776" s="1114"/>
      <c r="DF776" s="1114"/>
      <c r="DG776" s="1114"/>
      <c r="DH776" s="1114"/>
      <c r="DI776" s="1114"/>
      <c r="DJ776" s="1114"/>
      <c r="DK776" s="1114"/>
      <c r="DL776" s="1114"/>
      <c r="DM776" s="1114"/>
      <c r="DN776" s="1114"/>
      <c r="DO776" s="1114"/>
      <c r="DP776" s="1114"/>
      <c r="DQ776" s="1114"/>
      <c r="DR776" s="1114"/>
      <c r="DS776" s="1114"/>
      <c r="DT776" s="1114"/>
      <c r="DU776" s="1114"/>
      <c r="DV776" s="1115"/>
      <c r="DW776" s="1116"/>
      <c r="DX776" s="1116"/>
      <c r="DY776" s="1116"/>
      <c r="DZ776" s="1116"/>
      <c r="EA776" s="1116"/>
      <c r="EB776" s="1116"/>
      <c r="EC776" s="1116"/>
      <c r="ED776" s="1116"/>
      <c r="EE776" s="1116"/>
      <c r="EF776" s="1116"/>
      <c r="EG776" s="1116"/>
      <c r="EH776" s="1116"/>
      <c r="EI776" s="1116"/>
      <c r="EJ776" s="1116"/>
      <c r="EK776" s="1116"/>
      <c r="EL776" s="1116"/>
      <c r="EM776" s="1116"/>
      <c r="EN776" s="1116"/>
      <c r="EO776" s="1116"/>
      <c r="EP776" s="1116"/>
      <c r="EQ776" s="1116"/>
      <c r="ER776" s="1116"/>
      <c r="ES776" s="1116"/>
    </row>
    <row r="777" spans="1:149" ht="15" customHeight="1">
      <c r="A777" s="1185">
        <v>767</v>
      </c>
      <c r="B777" s="1041"/>
      <c r="C777" s="1050"/>
      <c r="D777" s="1050"/>
      <c r="E777" s="1050"/>
      <c r="F777" s="1049"/>
      <c r="G777" s="1049"/>
      <c r="H777" s="1049"/>
      <c r="I777" s="1049"/>
      <c r="J777" s="1050"/>
      <c r="K777" s="1050"/>
      <c r="L777" s="1043"/>
      <c r="M777" s="1051"/>
      <c r="N777" s="1051"/>
      <c r="O777" s="1052"/>
      <c r="P777" s="1051"/>
      <c r="Q777" s="1051"/>
      <c r="R777" s="1052"/>
      <c r="S777" s="1051"/>
      <c r="T777" s="1051"/>
      <c r="U777" s="1052"/>
      <c r="V777" s="1051"/>
      <c r="W777" s="1051"/>
      <c r="X777" s="1052"/>
      <c r="Y777" s="1053"/>
      <c r="Z777" s="1051"/>
      <c r="AA777" s="1051"/>
      <c r="AB777" s="1052"/>
      <c r="AC777" s="1051"/>
      <c r="AD777" s="1051"/>
      <c r="AE777" s="1052"/>
      <c r="AF777" s="1051"/>
      <c r="AG777" s="1051"/>
      <c r="AH777" s="1051"/>
      <c r="AI777" s="1051"/>
      <c r="AJ777" s="1052"/>
      <c r="AK777" s="1051"/>
      <c r="AL777" s="1051"/>
      <c r="AM777" s="1052"/>
      <c r="AN777" s="1051"/>
      <c r="AO777" s="1051"/>
      <c r="AP777" s="1052"/>
      <c r="AQ777" s="1051"/>
      <c r="AR777" s="1051"/>
      <c r="AS777" s="1052"/>
      <c r="AT777" s="1051"/>
      <c r="AU777" s="1051"/>
      <c r="AV777" s="1052"/>
      <c r="AW777" s="1051"/>
      <c r="AX777" s="1051"/>
      <c r="AY777" s="1053"/>
      <c r="AZ777" s="1051"/>
      <c r="BA777" s="1051"/>
      <c r="BB777" s="1053"/>
      <c r="BC777" s="1051"/>
      <c r="BD777" s="1051"/>
      <c r="BE777" s="1053"/>
      <c r="BF777" s="1051"/>
      <c r="BG777" s="1051"/>
      <c r="BH777" s="1053"/>
      <c r="BI777" s="1052"/>
      <c r="BJ777" s="1052"/>
      <c r="BK777" s="1052"/>
      <c r="BL777" s="1052"/>
      <c r="BM777" s="1052"/>
      <c r="BN777" s="1054"/>
      <c r="BO777" s="1076">
        <f t="shared" si="13"/>
        <v>0</v>
      </c>
      <c r="BP777" s="1051"/>
      <c r="BQ777" s="1052"/>
      <c r="BR777" s="1054"/>
      <c r="BS777" s="1053"/>
      <c r="BT777" s="1051"/>
      <c r="BU777" s="1051"/>
      <c r="BV777" s="1051"/>
      <c r="BW777" s="1052"/>
      <c r="BX777" s="1052"/>
      <c r="BY777" s="1052"/>
      <c r="BZ777" s="1052"/>
      <c r="CA777" s="1052"/>
      <c r="CB777" s="1053"/>
      <c r="CC777" s="1053"/>
      <c r="CD777" s="1053"/>
      <c r="CE777" s="1053"/>
      <c r="CF777" s="1053"/>
      <c r="CG777" s="1053"/>
      <c r="CH777" s="1053"/>
      <c r="CI777" s="1123"/>
      <c r="CJ777" s="1123"/>
      <c r="CK777" s="1123"/>
      <c r="CL777" s="1123"/>
      <c r="CM777" s="1123"/>
      <c r="CN777" s="1123"/>
      <c r="CO777" s="1123"/>
      <c r="CP777" s="1123"/>
      <c r="CQ777" s="1123"/>
      <c r="CR777" s="1123"/>
      <c r="CS777" s="1123"/>
      <c r="CT777" s="1123"/>
      <c r="CU777" s="1123"/>
      <c r="CV777" s="1123"/>
      <c r="CW777" s="1123"/>
      <c r="CX777" s="1123"/>
      <c r="CY777" s="1123"/>
      <c r="CZ777" s="1114"/>
      <c r="DA777" s="1114"/>
      <c r="DB777" s="1114"/>
      <c r="DC777" s="1114"/>
      <c r="DD777" s="1114"/>
      <c r="DE777" s="1114"/>
      <c r="DF777" s="1114"/>
      <c r="DG777" s="1114"/>
      <c r="DH777" s="1114"/>
      <c r="DI777" s="1114"/>
      <c r="DJ777" s="1114"/>
      <c r="DK777" s="1114"/>
      <c r="DL777" s="1114"/>
      <c r="DM777" s="1114"/>
      <c r="DN777" s="1114"/>
      <c r="DO777" s="1114"/>
      <c r="DP777" s="1114"/>
      <c r="DQ777" s="1114"/>
      <c r="DR777" s="1114"/>
      <c r="DS777" s="1114"/>
      <c r="DT777" s="1114"/>
      <c r="DU777" s="1114"/>
      <c r="DV777" s="1115"/>
      <c r="DW777" s="1116"/>
      <c r="DX777" s="1116"/>
      <c r="DY777" s="1116"/>
      <c r="DZ777" s="1116"/>
      <c r="EA777" s="1116"/>
      <c r="EB777" s="1116"/>
      <c r="EC777" s="1116"/>
      <c r="ED777" s="1116"/>
      <c r="EE777" s="1116"/>
      <c r="EF777" s="1116"/>
      <c r="EG777" s="1116"/>
      <c r="EH777" s="1116"/>
      <c r="EI777" s="1116"/>
      <c r="EJ777" s="1116"/>
      <c r="EK777" s="1116"/>
      <c r="EL777" s="1116"/>
      <c r="EM777" s="1116"/>
      <c r="EN777" s="1116"/>
      <c r="EO777" s="1116"/>
      <c r="EP777" s="1116"/>
      <c r="EQ777" s="1116"/>
      <c r="ER777" s="1116"/>
      <c r="ES777" s="1116"/>
    </row>
    <row r="778" spans="1:149" ht="15" customHeight="1">
      <c r="A778" s="1185">
        <v>768</v>
      </c>
      <c r="B778" s="1041"/>
      <c r="C778" s="1050"/>
      <c r="D778" s="1050"/>
      <c r="E778" s="1050"/>
      <c r="F778" s="1049"/>
      <c r="G778" s="1049"/>
      <c r="H778" s="1049"/>
      <c r="I778" s="1049"/>
      <c r="J778" s="1050"/>
      <c r="K778" s="1050"/>
      <c r="L778" s="1043"/>
      <c r="M778" s="1051"/>
      <c r="N778" s="1051"/>
      <c r="O778" s="1052"/>
      <c r="P778" s="1051"/>
      <c r="Q778" s="1051"/>
      <c r="R778" s="1052"/>
      <c r="S778" s="1051"/>
      <c r="T778" s="1051"/>
      <c r="U778" s="1052"/>
      <c r="V778" s="1051"/>
      <c r="W778" s="1051"/>
      <c r="X778" s="1052"/>
      <c r="Y778" s="1053"/>
      <c r="Z778" s="1051"/>
      <c r="AA778" s="1051"/>
      <c r="AB778" s="1052"/>
      <c r="AC778" s="1051"/>
      <c r="AD778" s="1051"/>
      <c r="AE778" s="1052"/>
      <c r="AF778" s="1051"/>
      <c r="AG778" s="1051"/>
      <c r="AH778" s="1051"/>
      <c r="AI778" s="1051"/>
      <c r="AJ778" s="1052"/>
      <c r="AK778" s="1051"/>
      <c r="AL778" s="1051"/>
      <c r="AM778" s="1052"/>
      <c r="AN778" s="1051"/>
      <c r="AO778" s="1051"/>
      <c r="AP778" s="1052"/>
      <c r="AQ778" s="1051"/>
      <c r="AR778" s="1051"/>
      <c r="AS778" s="1052"/>
      <c r="AT778" s="1051"/>
      <c r="AU778" s="1051"/>
      <c r="AV778" s="1052"/>
      <c r="AW778" s="1051"/>
      <c r="AX778" s="1051"/>
      <c r="AY778" s="1053"/>
      <c r="AZ778" s="1051"/>
      <c r="BA778" s="1051"/>
      <c r="BB778" s="1053"/>
      <c r="BC778" s="1051"/>
      <c r="BD778" s="1051"/>
      <c r="BE778" s="1053"/>
      <c r="BF778" s="1051"/>
      <c r="BG778" s="1051"/>
      <c r="BH778" s="1053"/>
      <c r="BI778" s="1052"/>
      <c r="BJ778" s="1052"/>
      <c r="BK778" s="1052"/>
      <c r="BL778" s="1052"/>
      <c r="BM778" s="1052"/>
      <c r="BN778" s="1054"/>
      <c r="BO778" s="1076">
        <f t="shared" si="13"/>
        <v>0</v>
      </c>
      <c r="BP778" s="1051"/>
      <c r="BQ778" s="1052"/>
      <c r="BR778" s="1054"/>
      <c r="BS778" s="1053"/>
      <c r="BT778" s="1051"/>
      <c r="BU778" s="1051"/>
      <c r="BV778" s="1051"/>
      <c r="BW778" s="1052"/>
      <c r="BX778" s="1052"/>
      <c r="BY778" s="1052"/>
      <c r="BZ778" s="1052"/>
      <c r="CA778" s="1052"/>
      <c r="CB778" s="1053"/>
      <c r="CC778" s="1053"/>
      <c r="CD778" s="1053"/>
      <c r="CE778" s="1053"/>
      <c r="CF778" s="1053"/>
      <c r="CG778" s="1053"/>
      <c r="CH778" s="1053"/>
      <c r="CI778" s="1123"/>
      <c r="CJ778" s="1123"/>
      <c r="CK778" s="1123"/>
      <c r="CL778" s="1123"/>
      <c r="CM778" s="1123"/>
      <c r="CN778" s="1123"/>
      <c r="CO778" s="1123"/>
      <c r="CP778" s="1123"/>
      <c r="CQ778" s="1123"/>
      <c r="CR778" s="1123"/>
      <c r="CS778" s="1123"/>
      <c r="CT778" s="1123"/>
      <c r="CU778" s="1123"/>
      <c r="CV778" s="1123"/>
      <c r="CW778" s="1123"/>
      <c r="CX778" s="1123"/>
      <c r="CY778" s="1123"/>
      <c r="CZ778" s="1114"/>
      <c r="DA778" s="1114"/>
      <c r="DB778" s="1114"/>
      <c r="DC778" s="1114"/>
      <c r="DD778" s="1114"/>
      <c r="DE778" s="1114"/>
      <c r="DF778" s="1114"/>
      <c r="DG778" s="1114"/>
      <c r="DH778" s="1114"/>
      <c r="DI778" s="1114"/>
      <c r="DJ778" s="1114"/>
      <c r="DK778" s="1114"/>
      <c r="DL778" s="1114"/>
      <c r="DM778" s="1114"/>
      <c r="DN778" s="1114"/>
      <c r="DO778" s="1114"/>
      <c r="DP778" s="1114"/>
      <c r="DQ778" s="1114"/>
      <c r="DR778" s="1114"/>
      <c r="DS778" s="1114"/>
      <c r="DT778" s="1114"/>
      <c r="DU778" s="1114"/>
      <c r="DV778" s="1115"/>
      <c r="DW778" s="1116"/>
      <c r="DX778" s="1116"/>
      <c r="DY778" s="1116"/>
      <c r="DZ778" s="1116"/>
      <c r="EA778" s="1116"/>
      <c r="EB778" s="1116"/>
      <c r="EC778" s="1116"/>
      <c r="ED778" s="1116"/>
      <c r="EE778" s="1116"/>
      <c r="EF778" s="1116"/>
      <c r="EG778" s="1116"/>
      <c r="EH778" s="1116"/>
      <c r="EI778" s="1116"/>
      <c r="EJ778" s="1116"/>
      <c r="EK778" s="1116"/>
      <c r="EL778" s="1116"/>
      <c r="EM778" s="1116"/>
      <c r="EN778" s="1116"/>
      <c r="EO778" s="1116"/>
      <c r="EP778" s="1116"/>
      <c r="EQ778" s="1116"/>
      <c r="ER778" s="1116"/>
      <c r="ES778" s="1116"/>
    </row>
    <row r="779" spans="1:149" ht="15" customHeight="1">
      <c r="A779" s="1185">
        <v>769</v>
      </c>
      <c r="B779" s="1041"/>
      <c r="C779" s="1050"/>
      <c r="D779" s="1050"/>
      <c r="E779" s="1050"/>
      <c r="F779" s="1049"/>
      <c r="G779" s="1049"/>
      <c r="H779" s="1049"/>
      <c r="I779" s="1049"/>
      <c r="J779" s="1050"/>
      <c r="K779" s="1050"/>
      <c r="L779" s="1043"/>
      <c r="M779" s="1051"/>
      <c r="N779" s="1051"/>
      <c r="O779" s="1052"/>
      <c r="P779" s="1051"/>
      <c r="Q779" s="1051"/>
      <c r="R779" s="1052"/>
      <c r="S779" s="1051"/>
      <c r="T779" s="1051"/>
      <c r="U779" s="1052"/>
      <c r="V779" s="1051"/>
      <c r="W779" s="1051"/>
      <c r="X779" s="1052"/>
      <c r="Y779" s="1053"/>
      <c r="Z779" s="1051"/>
      <c r="AA779" s="1051"/>
      <c r="AB779" s="1052"/>
      <c r="AC779" s="1051"/>
      <c r="AD779" s="1051"/>
      <c r="AE779" s="1052"/>
      <c r="AF779" s="1051"/>
      <c r="AG779" s="1051"/>
      <c r="AH779" s="1051"/>
      <c r="AI779" s="1051"/>
      <c r="AJ779" s="1052"/>
      <c r="AK779" s="1051"/>
      <c r="AL779" s="1051"/>
      <c r="AM779" s="1052"/>
      <c r="AN779" s="1051"/>
      <c r="AO779" s="1051"/>
      <c r="AP779" s="1052"/>
      <c r="AQ779" s="1051"/>
      <c r="AR779" s="1051"/>
      <c r="AS779" s="1052"/>
      <c r="AT779" s="1051"/>
      <c r="AU779" s="1051"/>
      <c r="AV779" s="1052"/>
      <c r="AW779" s="1051"/>
      <c r="AX779" s="1051"/>
      <c r="AY779" s="1053"/>
      <c r="AZ779" s="1051"/>
      <c r="BA779" s="1051"/>
      <c r="BB779" s="1053"/>
      <c r="BC779" s="1051"/>
      <c r="BD779" s="1051"/>
      <c r="BE779" s="1053"/>
      <c r="BF779" s="1051"/>
      <c r="BG779" s="1051"/>
      <c r="BH779" s="1053"/>
      <c r="BI779" s="1052"/>
      <c r="BJ779" s="1052"/>
      <c r="BK779" s="1052"/>
      <c r="BL779" s="1052"/>
      <c r="BM779" s="1052"/>
      <c r="BN779" s="1054"/>
      <c r="BO779" s="1076">
        <f t="shared" si="13"/>
        <v>0</v>
      </c>
      <c r="BP779" s="1051"/>
      <c r="BQ779" s="1052"/>
      <c r="BR779" s="1054"/>
      <c r="BS779" s="1053"/>
      <c r="BT779" s="1051"/>
      <c r="BU779" s="1051"/>
      <c r="BV779" s="1051"/>
      <c r="BW779" s="1052"/>
      <c r="BX779" s="1052"/>
      <c r="BY779" s="1052"/>
      <c r="BZ779" s="1052"/>
      <c r="CA779" s="1052"/>
      <c r="CB779" s="1053"/>
      <c r="CC779" s="1053"/>
      <c r="CD779" s="1053"/>
      <c r="CE779" s="1053"/>
      <c r="CF779" s="1053"/>
      <c r="CG779" s="1053"/>
      <c r="CH779" s="1053"/>
      <c r="CI779" s="1123"/>
      <c r="CJ779" s="1123"/>
      <c r="CK779" s="1123"/>
      <c r="CL779" s="1123"/>
      <c r="CM779" s="1123"/>
      <c r="CN779" s="1123"/>
      <c r="CO779" s="1123"/>
      <c r="CP779" s="1123"/>
      <c r="CQ779" s="1123"/>
      <c r="CR779" s="1123"/>
      <c r="CS779" s="1123"/>
      <c r="CT779" s="1123"/>
      <c r="CU779" s="1123"/>
      <c r="CV779" s="1123"/>
      <c r="CW779" s="1123"/>
      <c r="CX779" s="1123"/>
      <c r="CY779" s="1123"/>
      <c r="CZ779" s="1114"/>
      <c r="DA779" s="1114"/>
      <c r="DB779" s="1114"/>
      <c r="DC779" s="1114"/>
      <c r="DD779" s="1114"/>
      <c r="DE779" s="1114"/>
      <c r="DF779" s="1114"/>
      <c r="DG779" s="1114"/>
      <c r="DH779" s="1114"/>
      <c r="DI779" s="1114"/>
      <c r="DJ779" s="1114"/>
      <c r="DK779" s="1114"/>
      <c r="DL779" s="1114"/>
      <c r="DM779" s="1114"/>
      <c r="DN779" s="1114"/>
      <c r="DO779" s="1114"/>
      <c r="DP779" s="1114"/>
      <c r="DQ779" s="1114"/>
      <c r="DR779" s="1114"/>
      <c r="DS779" s="1114"/>
      <c r="DT779" s="1114"/>
      <c r="DU779" s="1114"/>
      <c r="DV779" s="1115"/>
      <c r="DW779" s="1116"/>
      <c r="DX779" s="1116"/>
      <c r="DY779" s="1116"/>
      <c r="DZ779" s="1116"/>
      <c r="EA779" s="1116"/>
      <c r="EB779" s="1116"/>
      <c r="EC779" s="1116"/>
      <c r="ED779" s="1116"/>
      <c r="EE779" s="1116"/>
      <c r="EF779" s="1116"/>
      <c r="EG779" s="1116"/>
      <c r="EH779" s="1116"/>
      <c r="EI779" s="1116"/>
      <c r="EJ779" s="1116"/>
      <c r="EK779" s="1116"/>
      <c r="EL779" s="1116"/>
      <c r="EM779" s="1116"/>
      <c r="EN779" s="1116"/>
      <c r="EO779" s="1116"/>
      <c r="EP779" s="1116"/>
      <c r="EQ779" s="1116"/>
      <c r="ER779" s="1116"/>
      <c r="ES779" s="1116"/>
    </row>
    <row r="780" spans="1:149" ht="15" customHeight="1">
      <c r="A780" s="1185">
        <v>770</v>
      </c>
      <c r="B780" s="1041"/>
      <c r="C780" s="1050"/>
      <c r="D780" s="1050"/>
      <c r="E780" s="1050"/>
      <c r="F780" s="1049"/>
      <c r="G780" s="1049"/>
      <c r="H780" s="1049"/>
      <c r="I780" s="1049"/>
      <c r="J780" s="1050"/>
      <c r="K780" s="1050"/>
      <c r="L780" s="1043"/>
      <c r="M780" s="1051"/>
      <c r="N780" s="1051"/>
      <c r="O780" s="1052"/>
      <c r="P780" s="1051"/>
      <c r="Q780" s="1051"/>
      <c r="R780" s="1052"/>
      <c r="S780" s="1051"/>
      <c r="T780" s="1051"/>
      <c r="U780" s="1052"/>
      <c r="V780" s="1051"/>
      <c r="W780" s="1051"/>
      <c r="X780" s="1052"/>
      <c r="Y780" s="1053"/>
      <c r="Z780" s="1051"/>
      <c r="AA780" s="1051"/>
      <c r="AB780" s="1052"/>
      <c r="AC780" s="1051"/>
      <c r="AD780" s="1051"/>
      <c r="AE780" s="1052"/>
      <c r="AF780" s="1051"/>
      <c r="AG780" s="1051"/>
      <c r="AH780" s="1051"/>
      <c r="AI780" s="1051"/>
      <c r="AJ780" s="1052"/>
      <c r="AK780" s="1051"/>
      <c r="AL780" s="1051"/>
      <c r="AM780" s="1052"/>
      <c r="AN780" s="1051"/>
      <c r="AO780" s="1051"/>
      <c r="AP780" s="1052"/>
      <c r="AQ780" s="1051"/>
      <c r="AR780" s="1051"/>
      <c r="AS780" s="1052"/>
      <c r="AT780" s="1051"/>
      <c r="AU780" s="1051"/>
      <c r="AV780" s="1052"/>
      <c r="AW780" s="1051"/>
      <c r="AX780" s="1051"/>
      <c r="AY780" s="1053"/>
      <c r="AZ780" s="1051"/>
      <c r="BA780" s="1051"/>
      <c r="BB780" s="1053"/>
      <c r="BC780" s="1051"/>
      <c r="BD780" s="1051"/>
      <c r="BE780" s="1053"/>
      <c r="BF780" s="1051"/>
      <c r="BG780" s="1051"/>
      <c r="BH780" s="1053"/>
      <c r="BI780" s="1052"/>
      <c r="BJ780" s="1052"/>
      <c r="BK780" s="1052"/>
      <c r="BL780" s="1052"/>
      <c r="BM780" s="1052"/>
      <c r="BN780" s="1054"/>
      <c r="BO780" s="1076">
        <f t="shared" si="13"/>
        <v>0</v>
      </c>
      <c r="BP780" s="1051"/>
      <c r="BQ780" s="1052"/>
      <c r="BR780" s="1054"/>
      <c r="BS780" s="1053"/>
      <c r="BT780" s="1051"/>
      <c r="BU780" s="1051"/>
      <c r="BV780" s="1051"/>
      <c r="BW780" s="1052"/>
      <c r="BX780" s="1052"/>
      <c r="BY780" s="1052"/>
      <c r="BZ780" s="1052"/>
      <c r="CA780" s="1052"/>
      <c r="CB780" s="1053"/>
      <c r="CC780" s="1053"/>
      <c r="CD780" s="1053"/>
      <c r="CE780" s="1053"/>
      <c r="CF780" s="1053"/>
      <c r="CG780" s="1053"/>
      <c r="CH780" s="1053"/>
      <c r="CI780" s="1123"/>
      <c r="CJ780" s="1123"/>
      <c r="CK780" s="1123"/>
      <c r="CL780" s="1123"/>
      <c r="CM780" s="1123"/>
      <c r="CN780" s="1123"/>
      <c r="CO780" s="1123"/>
      <c r="CP780" s="1123"/>
      <c r="CQ780" s="1123"/>
      <c r="CR780" s="1123"/>
      <c r="CS780" s="1123"/>
      <c r="CT780" s="1123"/>
      <c r="CU780" s="1123"/>
      <c r="CV780" s="1123"/>
      <c r="CW780" s="1123"/>
      <c r="CX780" s="1123"/>
      <c r="CY780" s="1123"/>
      <c r="CZ780" s="1114"/>
      <c r="DA780" s="1114"/>
      <c r="DB780" s="1114"/>
      <c r="DC780" s="1114"/>
      <c r="DD780" s="1114"/>
      <c r="DE780" s="1114"/>
      <c r="DF780" s="1114"/>
      <c r="DG780" s="1114"/>
      <c r="DH780" s="1114"/>
      <c r="DI780" s="1114"/>
      <c r="DJ780" s="1114"/>
      <c r="DK780" s="1114"/>
      <c r="DL780" s="1114"/>
      <c r="DM780" s="1114"/>
      <c r="DN780" s="1114"/>
      <c r="DO780" s="1114"/>
      <c r="DP780" s="1114"/>
      <c r="DQ780" s="1114"/>
      <c r="DR780" s="1114"/>
      <c r="DS780" s="1114"/>
      <c r="DT780" s="1114"/>
      <c r="DU780" s="1114"/>
      <c r="DV780" s="1115"/>
      <c r="DW780" s="1116"/>
      <c r="DX780" s="1116"/>
      <c r="DY780" s="1116"/>
      <c r="DZ780" s="1116"/>
      <c r="EA780" s="1116"/>
      <c r="EB780" s="1116"/>
      <c r="EC780" s="1116"/>
      <c r="ED780" s="1116"/>
      <c r="EE780" s="1116"/>
      <c r="EF780" s="1116"/>
      <c r="EG780" s="1116"/>
      <c r="EH780" s="1116"/>
      <c r="EI780" s="1116"/>
      <c r="EJ780" s="1116"/>
      <c r="EK780" s="1116"/>
      <c r="EL780" s="1116"/>
      <c r="EM780" s="1116"/>
      <c r="EN780" s="1116"/>
      <c r="EO780" s="1116"/>
      <c r="EP780" s="1116"/>
      <c r="EQ780" s="1116"/>
      <c r="ER780" s="1116"/>
      <c r="ES780" s="1116"/>
    </row>
    <row r="781" spans="1:149" ht="15" customHeight="1">
      <c r="A781" s="1185">
        <v>771</v>
      </c>
      <c r="B781" s="1041"/>
      <c r="C781" s="1050"/>
      <c r="D781" s="1050"/>
      <c r="E781" s="1050"/>
      <c r="F781" s="1049"/>
      <c r="G781" s="1049"/>
      <c r="H781" s="1049"/>
      <c r="I781" s="1049"/>
      <c r="J781" s="1050"/>
      <c r="K781" s="1050"/>
      <c r="L781" s="1043"/>
      <c r="M781" s="1051"/>
      <c r="N781" s="1051"/>
      <c r="O781" s="1052"/>
      <c r="P781" s="1051"/>
      <c r="Q781" s="1051"/>
      <c r="R781" s="1052"/>
      <c r="S781" s="1051"/>
      <c r="T781" s="1051"/>
      <c r="U781" s="1052"/>
      <c r="V781" s="1051"/>
      <c r="W781" s="1051"/>
      <c r="X781" s="1052"/>
      <c r="Y781" s="1053"/>
      <c r="Z781" s="1051"/>
      <c r="AA781" s="1051"/>
      <c r="AB781" s="1052"/>
      <c r="AC781" s="1051"/>
      <c r="AD781" s="1051"/>
      <c r="AE781" s="1052"/>
      <c r="AF781" s="1051"/>
      <c r="AG781" s="1051"/>
      <c r="AH781" s="1051"/>
      <c r="AI781" s="1051"/>
      <c r="AJ781" s="1052"/>
      <c r="AK781" s="1051"/>
      <c r="AL781" s="1051"/>
      <c r="AM781" s="1052"/>
      <c r="AN781" s="1051"/>
      <c r="AO781" s="1051"/>
      <c r="AP781" s="1052"/>
      <c r="AQ781" s="1051"/>
      <c r="AR781" s="1051"/>
      <c r="AS781" s="1052"/>
      <c r="AT781" s="1051"/>
      <c r="AU781" s="1051"/>
      <c r="AV781" s="1052"/>
      <c r="AW781" s="1051"/>
      <c r="AX781" s="1051"/>
      <c r="AY781" s="1053"/>
      <c r="AZ781" s="1051"/>
      <c r="BA781" s="1051"/>
      <c r="BB781" s="1053"/>
      <c r="BC781" s="1051"/>
      <c r="BD781" s="1051"/>
      <c r="BE781" s="1053"/>
      <c r="BF781" s="1051"/>
      <c r="BG781" s="1051"/>
      <c r="BH781" s="1053"/>
      <c r="BI781" s="1052"/>
      <c r="BJ781" s="1052"/>
      <c r="BK781" s="1052"/>
      <c r="BL781" s="1052"/>
      <c r="BM781" s="1052"/>
      <c r="BN781" s="1054"/>
      <c r="BO781" s="1076">
        <f t="shared" si="13"/>
        <v>0</v>
      </c>
      <c r="BP781" s="1051"/>
      <c r="BQ781" s="1052"/>
      <c r="BR781" s="1054"/>
      <c r="BS781" s="1053"/>
      <c r="BT781" s="1051"/>
      <c r="BU781" s="1051"/>
      <c r="BV781" s="1051"/>
      <c r="BW781" s="1052"/>
      <c r="BX781" s="1052"/>
      <c r="BY781" s="1052"/>
      <c r="BZ781" s="1052"/>
      <c r="CA781" s="1052"/>
      <c r="CB781" s="1053"/>
      <c r="CC781" s="1053"/>
      <c r="CD781" s="1053"/>
      <c r="CE781" s="1053"/>
      <c r="CF781" s="1053"/>
      <c r="CG781" s="1053"/>
      <c r="CH781" s="1053"/>
      <c r="CI781" s="1123"/>
      <c r="CJ781" s="1123"/>
      <c r="CK781" s="1123"/>
      <c r="CL781" s="1123"/>
      <c r="CM781" s="1123"/>
      <c r="CN781" s="1123"/>
      <c r="CO781" s="1123"/>
      <c r="CP781" s="1123"/>
      <c r="CQ781" s="1123"/>
      <c r="CR781" s="1123"/>
      <c r="CS781" s="1123"/>
      <c r="CT781" s="1123"/>
      <c r="CU781" s="1123"/>
      <c r="CV781" s="1123"/>
      <c r="CW781" s="1123"/>
      <c r="CX781" s="1123"/>
      <c r="CY781" s="1123"/>
      <c r="CZ781" s="1114"/>
      <c r="DA781" s="1114"/>
      <c r="DB781" s="1114"/>
      <c r="DC781" s="1114"/>
      <c r="DD781" s="1114"/>
      <c r="DE781" s="1114"/>
      <c r="DF781" s="1114"/>
      <c r="DG781" s="1114"/>
      <c r="DH781" s="1114"/>
      <c r="DI781" s="1114"/>
      <c r="DJ781" s="1114"/>
      <c r="DK781" s="1114"/>
      <c r="DL781" s="1114"/>
      <c r="DM781" s="1114"/>
      <c r="DN781" s="1114"/>
      <c r="DO781" s="1114"/>
      <c r="DP781" s="1114"/>
      <c r="DQ781" s="1114"/>
      <c r="DR781" s="1114"/>
      <c r="DS781" s="1114"/>
      <c r="DT781" s="1114"/>
      <c r="DU781" s="1114"/>
      <c r="DV781" s="1115"/>
      <c r="DW781" s="1116"/>
      <c r="DX781" s="1116"/>
      <c r="DY781" s="1116"/>
      <c r="DZ781" s="1116"/>
      <c r="EA781" s="1116"/>
      <c r="EB781" s="1116"/>
      <c r="EC781" s="1116"/>
      <c r="ED781" s="1116"/>
      <c r="EE781" s="1116"/>
      <c r="EF781" s="1116"/>
      <c r="EG781" s="1116"/>
      <c r="EH781" s="1116"/>
      <c r="EI781" s="1116"/>
      <c r="EJ781" s="1116"/>
      <c r="EK781" s="1116"/>
      <c r="EL781" s="1116"/>
      <c r="EM781" s="1116"/>
      <c r="EN781" s="1116"/>
      <c r="EO781" s="1116"/>
      <c r="EP781" s="1116"/>
      <c r="EQ781" s="1116"/>
      <c r="ER781" s="1116"/>
      <c r="ES781" s="1116"/>
    </row>
    <row r="782" spans="1:149" ht="15" customHeight="1">
      <c r="A782" s="1185">
        <v>772</v>
      </c>
      <c r="B782" s="1041"/>
      <c r="C782" s="1050"/>
      <c r="D782" s="1050"/>
      <c r="E782" s="1050"/>
      <c r="F782" s="1049"/>
      <c r="G782" s="1049"/>
      <c r="H782" s="1049"/>
      <c r="I782" s="1049"/>
      <c r="J782" s="1050"/>
      <c r="K782" s="1050"/>
      <c r="L782" s="1043"/>
      <c r="M782" s="1051"/>
      <c r="N782" s="1051"/>
      <c r="O782" s="1052"/>
      <c r="P782" s="1051"/>
      <c r="Q782" s="1051"/>
      <c r="R782" s="1052"/>
      <c r="S782" s="1051"/>
      <c r="T782" s="1051"/>
      <c r="U782" s="1052"/>
      <c r="V782" s="1051"/>
      <c r="W782" s="1051"/>
      <c r="X782" s="1052"/>
      <c r="Y782" s="1053"/>
      <c r="Z782" s="1051"/>
      <c r="AA782" s="1051"/>
      <c r="AB782" s="1052"/>
      <c r="AC782" s="1051"/>
      <c r="AD782" s="1051"/>
      <c r="AE782" s="1052"/>
      <c r="AF782" s="1051"/>
      <c r="AG782" s="1051"/>
      <c r="AH782" s="1051"/>
      <c r="AI782" s="1051"/>
      <c r="AJ782" s="1052"/>
      <c r="AK782" s="1051"/>
      <c r="AL782" s="1051"/>
      <c r="AM782" s="1052"/>
      <c r="AN782" s="1051"/>
      <c r="AO782" s="1051"/>
      <c r="AP782" s="1052"/>
      <c r="AQ782" s="1051"/>
      <c r="AR782" s="1051"/>
      <c r="AS782" s="1052"/>
      <c r="AT782" s="1051"/>
      <c r="AU782" s="1051"/>
      <c r="AV782" s="1052"/>
      <c r="AW782" s="1051"/>
      <c r="AX782" s="1051"/>
      <c r="AY782" s="1053"/>
      <c r="AZ782" s="1051"/>
      <c r="BA782" s="1051"/>
      <c r="BB782" s="1053"/>
      <c r="BC782" s="1051"/>
      <c r="BD782" s="1051"/>
      <c r="BE782" s="1053"/>
      <c r="BF782" s="1051"/>
      <c r="BG782" s="1051"/>
      <c r="BH782" s="1053"/>
      <c r="BI782" s="1052"/>
      <c r="BJ782" s="1052"/>
      <c r="BK782" s="1052"/>
      <c r="BL782" s="1052"/>
      <c r="BM782" s="1052"/>
      <c r="BN782" s="1054"/>
      <c r="BO782" s="1076">
        <f t="shared" si="13"/>
        <v>0</v>
      </c>
      <c r="BP782" s="1051"/>
      <c r="BQ782" s="1052"/>
      <c r="BR782" s="1054"/>
      <c r="BS782" s="1053"/>
      <c r="BT782" s="1051"/>
      <c r="BU782" s="1051"/>
      <c r="BV782" s="1051"/>
      <c r="BW782" s="1052"/>
      <c r="BX782" s="1052"/>
      <c r="BY782" s="1052"/>
      <c r="BZ782" s="1052"/>
      <c r="CA782" s="1052"/>
      <c r="CB782" s="1053"/>
      <c r="CC782" s="1053"/>
      <c r="CD782" s="1053"/>
      <c r="CE782" s="1053"/>
      <c r="CF782" s="1053"/>
      <c r="CG782" s="1053"/>
      <c r="CH782" s="1053"/>
      <c r="CI782" s="1123"/>
      <c r="CJ782" s="1123"/>
      <c r="CK782" s="1123"/>
      <c r="CL782" s="1123"/>
      <c r="CM782" s="1123"/>
      <c r="CN782" s="1123"/>
      <c r="CO782" s="1123"/>
      <c r="CP782" s="1123"/>
      <c r="CQ782" s="1123"/>
      <c r="CR782" s="1123"/>
      <c r="CS782" s="1123"/>
      <c r="CT782" s="1123"/>
      <c r="CU782" s="1123"/>
      <c r="CV782" s="1123"/>
      <c r="CW782" s="1123"/>
      <c r="CX782" s="1123"/>
      <c r="CY782" s="1123"/>
      <c r="CZ782" s="1114"/>
      <c r="DA782" s="1114"/>
      <c r="DB782" s="1114"/>
      <c r="DC782" s="1114"/>
      <c r="DD782" s="1114"/>
      <c r="DE782" s="1114"/>
      <c r="DF782" s="1114"/>
      <c r="DG782" s="1114"/>
      <c r="DH782" s="1114"/>
      <c r="DI782" s="1114"/>
      <c r="DJ782" s="1114"/>
      <c r="DK782" s="1114"/>
      <c r="DL782" s="1114"/>
      <c r="DM782" s="1114"/>
      <c r="DN782" s="1114"/>
      <c r="DO782" s="1114"/>
      <c r="DP782" s="1114"/>
      <c r="DQ782" s="1114"/>
      <c r="DR782" s="1114"/>
      <c r="DS782" s="1114"/>
      <c r="DT782" s="1114"/>
      <c r="DU782" s="1114"/>
      <c r="DV782" s="1115"/>
      <c r="DW782" s="1116"/>
      <c r="DX782" s="1116"/>
      <c r="DY782" s="1116"/>
      <c r="DZ782" s="1116"/>
      <c r="EA782" s="1116"/>
      <c r="EB782" s="1116"/>
      <c r="EC782" s="1116"/>
      <c r="ED782" s="1116"/>
      <c r="EE782" s="1116"/>
      <c r="EF782" s="1116"/>
      <c r="EG782" s="1116"/>
      <c r="EH782" s="1116"/>
      <c r="EI782" s="1116"/>
      <c r="EJ782" s="1116"/>
      <c r="EK782" s="1116"/>
      <c r="EL782" s="1116"/>
      <c r="EM782" s="1116"/>
      <c r="EN782" s="1116"/>
      <c r="EO782" s="1116"/>
      <c r="EP782" s="1116"/>
      <c r="EQ782" s="1116"/>
      <c r="ER782" s="1116"/>
      <c r="ES782" s="1116"/>
    </row>
    <row r="783" spans="1:149" ht="15" customHeight="1">
      <c r="A783" s="1185">
        <v>773</v>
      </c>
      <c r="B783" s="1041"/>
      <c r="C783" s="1050"/>
      <c r="D783" s="1050"/>
      <c r="E783" s="1050"/>
      <c r="F783" s="1049"/>
      <c r="G783" s="1049"/>
      <c r="H783" s="1049"/>
      <c r="I783" s="1049"/>
      <c r="J783" s="1050"/>
      <c r="K783" s="1050"/>
      <c r="L783" s="1043"/>
      <c r="M783" s="1051"/>
      <c r="N783" s="1051"/>
      <c r="O783" s="1052"/>
      <c r="P783" s="1051"/>
      <c r="Q783" s="1051"/>
      <c r="R783" s="1052"/>
      <c r="S783" s="1051"/>
      <c r="T783" s="1051"/>
      <c r="U783" s="1052"/>
      <c r="V783" s="1051"/>
      <c r="W783" s="1051"/>
      <c r="X783" s="1052"/>
      <c r="Y783" s="1053"/>
      <c r="Z783" s="1051"/>
      <c r="AA783" s="1051"/>
      <c r="AB783" s="1052"/>
      <c r="AC783" s="1051"/>
      <c r="AD783" s="1051"/>
      <c r="AE783" s="1052"/>
      <c r="AF783" s="1051"/>
      <c r="AG783" s="1051"/>
      <c r="AH783" s="1051"/>
      <c r="AI783" s="1051"/>
      <c r="AJ783" s="1052"/>
      <c r="AK783" s="1051"/>
      <c r="AL783" s="1051"/>
      <c r="AM783" s="1052"/>
      <c r="AN783" s="1051"/>
      <c r="AO783" s="1051"/>
      <c r="AP783" s="1052"/>
      <c r="AQ783" s="1051"/>
      <c r="AR783" s="1051"/>
      <c r="AS783" s="1052"/>
      <c r="AT783" s="1051"/>
      <c r="AU783" s="1051"/>
      <c r="AV783" s="1052"/>
      <c r="AW783" s="1051"/>
      <c r="AX783" s="1051"/>
      <c r="AY783" s="1053"/>
      <c r="AZ783" s="1051"/>
      <c r="BA783" s="1051"/>
      <c r="BB783" s="1053"/>
      <c r="BC783" s="1051"/>
      <c r="BD783" s="1051"/>
      <c r="BE783" s="1053"/>
      <c r="BF783" s="1051"/>
      <c r="BG783" s="1051"/>
      <c r="BH783" s="1053"/>
      <c r="BI783" s="1052"/>
      <c r="BJ783" s="1052"/>
      <c r="BK783" s="1052"/>
      <c r="BL783" s="1052"/>
      <c r="BM783" s="1052"/>
      <c r="BN783" s="1054"/>
      <c r="BO783" s="1076">
        <f t="shared" si="13"/>
        <v>0</v>
      </c>
      <c r="BP783" s="1051"/>
      <c r="BQ783" s="1052"/>
      <c r="BR783" s="1054"/>
      <c r="BS783" s="1053"/>
      <c r="BT783" s="1051"/>
      <c r="BU783" s="1051"/>
      <c r="BV783" s="1051"/>
      <c r="BW783" s="1052"/>
      <c r="BX783" s="1052"/>
      <c r="BY783" s="1052"/>
      <c r="BZ783" s="1052"/>
      <c r="CA783" s="1052"/>
      <c r="CB783" s="1053"/>
      <c r="CC783" s="1053"/>
      <c r="CD783" s="1053"/>
      <c r="CE783" s="1053"/>
      <c r="CF783" s="1053"/>
      <c r="CG783" s="1053"/>
      <c r="CH783" s="1053"/>
      <c r="CI783" s="1123"/>
      <c r="CJ783" s="1123"/>
      <c r="CK783" s="1123"/>
      <c r="CL783" s="1123"/>
      <c r="CM783" s="1123"/>
      <c r="CN783" s="1123"/>
      <c r="CO783" s="1123"/>
      <c r="CP783" s="1123"/>
      <c r="CQ783" s="1123"/>
      <c r="CR783" s="1123"/>
      <c r="CS783" s="1123"/>
      <c r="CT783" s="1123"/>
      <c r="CU783" s="1123"/>
      <c r="CV783" s="1123"/>
      <c r="CW783" s="1123"/>
      <c r="CX783" s="1123"/>
      <c r="CY783" s="1123"/>
      <c r="CZ783" s="1114"/>
      <c r="DA783" s="1114"/>
      <c r="DB783" s="1114"/>
      <c r="DC783" s="1114"/>
      <c r="DD783" s="1114"/>
      <c r="DE783" s="1114"/>
      <c r="DF783" s="1114"/>
      <c r="DG783" s="1114"/>
      <c r="DH783" s="1114"/>
      <c r="DI783" s="1114"/>
      <c r="DJ783" s="1114"/>
      <c r="DK783" s="1114"/>
      <c r="DL783" s="1114"/>
      <c r="DM783" s="1114"/>
      <c r="DN783" s="1114"/>
      <c r="DO783" s="1114"/>
      <c r="DP783" s="1114"/>
      <c r="DQ783" s="1114"/>
      <c r="DR783" s="1114"/>
      <c r="DS783" s="1114"/>
      <c r="DT783" s="1114"/>
      <c r="DU783" s="1114"/>
      <c r="DV783" s="1115"/>
      <c r="DW783" s="1116"/>
      <c r="DX783" s="1116"/>
      <c r="DY783" s="1116"/>
      <c r="DZ783" s="1116"/>
      <c r="EA783" s="1116"/>
      <c r="EB783" s="1116"/>
      <c r="EC783" s="1116"/>
      <c r="ED783" s="1116"/>
      <c r="EE783" s="1116"/>
      <c r="EF783" s="1116"/>
      <c r="EG783" s="1116"/>
      <c r="EH783" s="1116"/>
      <c r="EI783" s="1116"/>
      <c r="EJ783" s="1116"/>
      <c r="EK783" s="1116"/>
      <c r="EL783" s="1116"/>
      <c r="EM783" s="1116"/>
      <c r="EN783" s="1116"/>
      <c r="EO783" s="1116"/>
      <c r="EP783" s="1116"/>
      <c r="EQ783" s="1116"/>
      <c r="ER783" s="1116"/>
      <c r="ES783" s="1116"/>
    </row>
    <row r="784" spans="1:149" ht="15" customHeight="1">
      <c r="A784" s="1185">
        <v>774</v>
      </c>
      <c r="B784" s="1041"/>
      <c r="C784" s="1050"/>
      <c r="D784" s="1050"/>
      <c r="E784" s="1050"/>
      <c r="F784" s="1049"/>
      <c r="G784" s="1049"/>
      <c r="H784" s="1049"/>
      <c r="I784" s="1049"/>
      <c r="J784" s="1050"/>
      <c r="K784" s="1050"/>
      <c r="L784" s="1043"/>
      <c r="M784" s="1051"/>
      <c r="N784" s="1051"/>
      <c r="O784" s="1052"/>
      <c r="P784" s="1051"/>
      <c r="Q784" s="1051"/>
      <c r="R784" s="1052"/>
      <c r="S784" s="1051"/>
      <c r="T784" s="1051"/>
      <c r="U784" s="1052"/>
      <c r="V784" s="1051"/>
      <c r="W784" s="1051"/>
      <c r="X784" s="1052"/>
      <c r="Y784" s="1053"/>
      <c r="Z784" s="1051"/>
      <c r="AA784" s="1051"/>
      <c r="AB784" s="1052"/>
      <c r="AC784" s="1051"/>
      <c r="AD784" s="1051"/>
      <c r="AE784" s="1052"/>
      <c r="AF784" s="1051"/>
      <c r="AG784" s="1051"/>
      <c r="AH784" s="1051"/>
      <c r="AI784" s="1051"/>
      <c r="AJ784" s="1052"/>
      <c r="AK784" s="1051"/>
      <c r="AL784" s="1051"/>
      <c r="AM784" s="1052"/>
      <c r="AN784" s="1051"/>
      <c r="AO784" s="1051"/>
      <c r="AP784" s="1052"/>
      <c r="AQ784" s="1051"/>
      <c r="AR784" s="1051"/>
      <c r="AS784" s="1052"/>
      <c r="AT784" s="1051"/>
      <c r="AU784" s="1051"/>
      <c r="AV784" s="1052"/>
      <c r="AW784" s="1051"/>
      <c r="AX784" s="1051"/>
      <c r="AY784" s="1053"/>
      <c r="AZ784" s="1051"/>
      <c r="BA784" s="1051"/>
      <c r="BB784" s="1053"/>
      <c r="BC784" s="1051"/>
      <c r="BD784" s="1051"/>
      <c r="BE784" s="1053"/>
      <c r="BF784" s="1051"/>
      <c r="BG784" s="1051"/>
      <c r="BH784" s="1053"/>
      <c r="BI784" s="1052"/>
      <c r="BJ784" s="1052"/>
      <c r="BK784" s="1052"/>
      <c r="BL784" s="1052"/>
      <c r="BM784" s="1052"/>
      <c r="BN784" s="1054"/>
      <c r="BO784" s="1076">
        <f t="shared" si="13"/>
        <v>0</v>
      </c>
      <c r="BP784" s="1051"/>
      <c r="BQ784" s="1052"/>
      <c r="BR784" s="1054"/>
      <c r="BS784" s="1053"/>
      <c r="BT784" s="1051"/>
      <c r="BU784" s="1051"/>
      <c r="BV784" s="1051"/>
      <c r="BW784" s="1052"/>
      <c r="BX784" s="1052"/>
      <c r="BY784" s="1052"/>
      <c r="BZ784" s="1052"/>
      <c r="CA784" s="1052"/>
      <c r="CB784" s="1053"/>
      <c r="CC784" s="1053"/>
      <c r="CD784" s="1053"/>
      <c r="CE784" s="1053"/>
      <c r="CF784" s="1053"/>
      <c r="CG784" s="1053"/>
      <c r="CH784" s="1053"/>
      <c r="CI784" s="1123"/>
      <c r="CJ784" s="1123"/>
      <c r="CK784" s="1123"/>
      <c r="CL784" s="1123"/>
      <c r="CM784" s="1123"/>
      <c r="CN784" s="1123"/>
      <c r="CO784" s="1123"/>
      <c r="CP784" s="1123"/>
      <c r="CQ784" s="1123"/>
      <c r="CR784" s="1123"/>
      <c r="CS784" s="1123"/>
      <c r="CT784" s="1123"/>
      <c r="CU784" s="1123"/>
      <c r="CV784" s="1123"/>
      <c r="CW784" s="1123"/>
      <c r="CX784" s="1123"/>
      <c r="CY784" s="1123"/>
      <c r="CZ784" s="1114"/>
      <c r="DA784" s="1114"/>
      <c r="DB784" s="1114"/>
      <c r="DC784" s="1114"/>
      <c r="DD784" s="1114"/>
      <c r="DE784" s="1114"/>
      <c r="DF784" s="1114"/>
      <c r="DG784" s="1114"/>
      <c r="DH784" s="1114"/>
      <c r="DI784" s="1114"/>
      <c r="DJ784" s="1114"/>
      <c r="DK784" s="1114"/>
      <c r="DL784" s="1114"/>
      <c r="DM784" s="1114"/>
      <c r="DN784" s="1114"/>
      <c r="DO784" s="1114"/>
      <c r="DP784" s="1114"/>
      <c r="DQ784" s="1114"/>
      <c r="DR784" s="1114"/>
      <c r="DS784" s="1114"/>
      <c r="DT784" s="1114"/>
      <c r="DU784" s="1114"/>
      <c r="DV784" s="1115"/>
      <c r="DW784" s="1116"/>
      <c r="DX784" s="1116"/>
      <c r="DY784" s="1116"/>
      <c r="DZ784" s="1116"/>
      <c r="EA784" s="1116"/>
      <c r="EB784" s="1116"/>
      <c r="EC784" s="1116"/>
      <c r="ED784" s="1116"/>
      <c r="EE784" s="1116"/>
      <c r="EF784" s="1116"/>
      <c r="EG784" s="1116"/>
      <c r="EH784" s="1116"/>
      <c r="EI784" s="1116"/>
      <c r="EJ784" s="1116"/>
      <c r="EK784" s="1116"/>
      <c r="EL784" s="1116"/>
      <c r="EM784" s="1116"/>
      <c r="EN784" s="1116"/>
      <c r="EO784" s="1116"/>
      <c r="EP784" s="1116"/>
      <c r="EQ784" s="1116"/>
      <c r="ER784" s="1116"/>
      <c r="ES784" s="1116"/>
    </row>
    <row r="785" spans="1:149" ht="15" customHeight="1">
      <c r="A785" s="1185">
        <v>775</v>
      </c>
      <c r="B785" s="1041"/>
      <c r="C785" s="1050"/>
      <c r="D785" s="1050"/>
      <c r="E785" s="1050"/>
      <c r="F785" s="1049"/>
      <c r="G785" s="1049"/>
      <c r="H785" s="1049"/>
      <c r="I785" s="1049"/>
      <c r="J785" s="1050"/>
      <c r="K785" s="1050"/>
      <c r="L785" s="1043"/>
      <c r="M785" s="1051"/>
      <c r="N785" s="1051"/>
      <c r="O785" s="1052"/>
      <c r="P785" s="1051"/>
      <c r="Q785" s="1051"/>
      <c r="R785" s="1052"/>
      <c r="S785" s="1051"/>
      <c r="T785" s="1051"/>
      <c r="U785" s="1052"/>
      <c r="V785" s="1051"/>
      <c r="W785" s="1051"/>
      <c r="X785" s="1052"/>
      <c r="Y785" s="1053"/>
      <c r="Z785" s="1051"/>
      <c r="AA785" s="1051"/>
      <c r="AB785" s="1052"/>
      <c r="AC785" s="1051"/>
      <c r="AD785" s="1051"/>
      <c r="AE785" s="1052"/>
      <c r="AF785" s="1051"/>
      <c r="AG785" s="1051"/>
      <c r="AH785" s="1051"/>
      <c r="AI785" s="1051"/>
      <c r="AJ785" s="1052"/>
      <c r="AK785" s="1051"/>
      <c r="AL785" s="1051"/>
      <c r="AM785" s="1052"/>
      <c r="AN785" s="1051"/>
      <c r="AO785" s="1051"/>
      <c r="AP785" s="1052"/>
      <c r="AQ785" s="1051"/>
      <c r="AR785" s="1051"/>
      <c r="AS785" s="1052"/>
      <c r="AT785" s="1051"/>
      <c r="AU785" s="1051"/>
      <c r="AV785" s="1052"/>
      <c r="AW785" s="1051"/>
      <c r="AX785" s="1051"/>
      <c r="AY785" s="1053"/>
      <c r="AZ785" s="1051"/>
      <c r="BA785" s="1051"/>
      <c r="BB785" s="1053"/>
      <c r="BC785" s="1051"/>
      <c r="BD785" s="1051"/>
      <c r="BE785" s="1053"/>
      <c r="BF785" s="1051"/>
      <c r="BG785" s="1051"/>
      <c r="BH785" s="1053"/>
      <c r="BI785" s="1052"/>
      <c r="BJ785" s="1052"/>
      <c r="BK785" s="1052"/>
      <c r="BL785" s="1052"/>
      <c r="BM785" s="1052"/>
      <c r="BN785" s="1054"/>
      <c r="BO785" s="1076">
        <f t="shared" si="13"/>
        <v>0</v>
      </c>
      <c r="BP785" s="1051"/>
      <c r="BQ785" s="1052"/>
      <c r="BR785" s="1054"/>
      <c r="BS785" s="1053"/>
      <c r="BT785" s="1051"/>
      <c r="BU785" s="1051"/>
      <c r="BV785" s="1051"/>
      <c r="BW785" s="1052"/>
      <c r="BX785" s="1052"/>
      <c r="BY785" s="1052"/>
      <c r="BZ785" s="1052"/>
      <c r="CA785" s="1052"/>
      <c r="CB785" s="1053"/>
      <c r="CC785" s="1053"/>
      <c r="CD785" s="1053"/>
      <c r="CE785" s="1053"/>
      <c r="CF785" s="1053"/>
      <c r="CG785" s="1053"/>
      <c r="CH785" s="1053"/>
      <c r="CI785" s="1123"/>
      <c r="CJ785" s="1123"/>
      <c r="CK785" s="1123"/>
      <c r="CL785" s="1123"/>
      <c r="CM785" s="1123"/>
      <c r="CN785" s="1123"/>
      <c r="CO785" s="1123"/>
      <c r="CP785" s="1123"/>
      <c r="CQ785" s="1123"/>
      <c r="CR785" s="1123"/>
      <c r="CS785" s="1123"/>
      <c r="CT785" s="1123"/>
      <c r="CU785" s="1123"/>
      <c r="CV785" s="1123"/>
      <c r="CW785" s="1123"/>
      <c r="CX785" s="1123"/>
      <c r="CY785" s="1123"/>
      <c r="CZ785" s="1114"/>
      <c r="DA785" s="1114"/>
      <c r="DB785" s="1114"/>
      <c r="DC785" s="1114"/>
      <c r="DD785" s="1114"/>
      <c r="DE785" s="1114"/>
      <c r="DF785" s="1114"/>
      <c r="DG785" s="1114"/>
      <c r="DH785" s="1114"/>
      <c r="DI785" s="1114"/>
      <c r="DJ785" s="1114"/>
      <c r="DK785" s="1114"/>
      <c r="DL785" s="1114"/>
      <c r="DM785" s="1114"/>
      <c r="DN785" s="1114"/>
      <c r="DO785" s="1114"/>
      <c r="DP785" s="1114"/>
      <c r="DQ785" s="1114"/>
      <c r="DR785" s="1114"/>
      <c r="DS785" s="1114"/>
      <c r="DT785" s="1114"/>
      <c r="DU785" s="1114"/>
      <c r="DV785" s="1115"/>
      <c r="DW785" s="1116"/>
      <c r="DX785" s="1116"/>
      <c r="DY785" s="1116"/>
      <c r="DZ785" s="1116"/>
      <c r="EA785" s="1116"/>
      <c r="EB785" s="1116"/>
      <c r="EC785" s="1116"/>
      <c r="ED785" s="1116"/>
      <c r="EE785" s="1116"/>
      <c r="EF785" s="1116"/>
      <c r="EG785" s="1116"/>
      <c r="EH785" s="1116"/>
      <c r="EI785" s="1116"/>
      <c r="EJ785" s="1116"/>
      <c r="EK785" s="1116"/>
      <c r="EL785" s="1116"/>
      <c r="EM785" s="1116"/>
      <c r="EN785" s="1116"/>
      <c r="EO785" s="1116"/>
      <c r="EP785" s="1116"/>
      <c r="EQ785" s="1116"/>
      <c r="ER785" s="1116"/>
      <c r="ES785" s="1116"/>
    </row>
    <row r="786" spans="1:149" ht="15" customHeight="1">
      <c r="A786" s="1185">
        <v>776</v>
      </c>
      <c r="B786" s="1041"/>
      <c r="C786" s="1050"/>
      <c r="D786" s="1050"/>
      <c r="E786" s="1050"/>
      <c r="F786" s="1049"/>
      <c r="G786" s="1049"/>
      <c r="H786" s="1049"/>
      <c r="I786" s="1049"/>
      <c r="J786" s="1050"/>
      <c r="K786" s="1050"/>
      <c r="L786" s="1043"/>
      <c r="M786" s="1051"/>
      <c r="N786" s="1051"/>
      <c r="O786" s="1052"/>
      <c r="P786" s="1051"/>
      <c r="Q786" s="1051"/>
      <c r="R786" s="1052"/>
      <c r="S786" s="1051"/>
      <c r="T786" s="1051"/>
      <c r="U786" s="1052"/>
      <c r="V786" s="1051"/>
      <c r="W786" s="1051"/>
      <c r="X786" s="1052"/>
      <c r="Y786" s="1053"/>
      <c r="Z786" s="1051"/>
      <c r="AA786" s="1051"/>
      <c r="AB786" s="1052"/>
      <c r="AC786" s="1051"/>
      <c r="AD786" s="1051"/>
      <c r="AE786" s="1052"/>
      <c r="AF786" s="1051"/>
      <c r="AG786" s="1051"/>
      <c r="AH786" s="1051"/>
      <c r="AI786" s="1051"/>
      <c r="AJ786" s="1052"/>
      <c r="AK786" s="1051"/>
      <c r="AL786" s="1051"/>
      <c r="AM786" s="1052"/>
      <c r="AN786" s="1051"/>
      <c r="AO786" s="1051"/>
      <c r="AP786" s="1052"/>
      <c r="AQ786" s="1051"/>
      <c r="AR786" s="1051"/>
      <c r="AS786" s="1052"/>
      <c r="AT786" s="1051"/>
      <c r="AU786" s="1051"/>
      <c r="AV786" s="1052"/>
      <c r="AW786" s="1051"/>
      <c r="AX786" s="1051"/>
      <c r="AY786" s="1053"/>
      <c r="AZ786" s="1051"/>
      <c r="BA786" s="1051"/>
      <c r="BB786" s="1053"/>
      <c r="BC786" s="1051"/>
      <c r="BD786" s="1051"/>
      <c r="BE786" s="1053"/>
      <c r="BF786" s="1051"/>
      <c r="BG786" s="1051"/>
      <c r="BH786" s="1053"/>
      <c r="BI786" s="1052"/>
      <c r="BJ786" s="1052"/>
      <c r="BK786" s="1052"/>
      <c r="BL786" s="1052"/>
      <c r="BM786" s="1052"/>
      <c r="BN786" s="1054"/>
      <c r="BO786" s="1076">
        <f t="shared" si="13"/>
        <v>0</v>
      </c>
      <c r="BP786" s="1051"/>
      <c r="BQ786" s="1052"/>
      <c r="BR786" s="1054"/>
      <c r="BS786" s="1053"/>
      <c r="BT786" s="1051"/>
      <c r="BU786" s="1051"/>
      <c r="BV786" s="1051"/>
      <c r="BW786" s="1052"/>
      <c r="BX786" s="1052"/>
      <c r="BY786" s="1052"/>
      <c r="BZ786" s="1052"/>
      <c r="CA786" s="1052"/>
      <c r="CB786" s="1053"/>
      <c r="CC786" s="1053"/>
      <c r="CD786" s="1053"/>
      <c r="CE786" s="1053"/>
      <c r="CF786" s="1053"/>
      <c r="CG786" s="1053"/>
      <c r="CH786" s="1053"/>
      <c r="CI786" s="1123"/>
      <c r="CJ786" s="1123"/>
      <c r="CK786" s="1123"/>
      <c r="CL786" s="1123"/>
      <c r="CM786" s="1123"/>
      <c r="CN786" s="1123"/>
      <c r="CO786" s="1123"/>
      <c r="CP786" s="1123"/>
      <c r="CQ786" s="1123"/>
      <c r="CR786" s="1123"/>
      <c r="CS786" s="1123"/>
      <c r="CT786" s="1123"/>
      <c r="CU786" s="1123"/>
      <c r="CV786" s="1123"/>
      <c r="CW786" s="1123"/>
      <c r="CX786" s="1123"/>
      <c r="CY786" s="1123"/>
      <c r="CZ786" s="1114"/>
      <c r="DA786" s="1114"/>
      <c r="DB786" s="1114"/>
      <c r="DC786" s="1114"/>
      <c r="DD786" s="1114"/>
      <c r="DE786" s="1114"/>
      <c r="DF786" s="1114"/>
      <c r="DG786" s="1114"/>
      <c r="DH786" s="1114"/>
      <c r="DI786" s="1114"/>
      <c r="DJ786" s="1114"/>
      <c r="DK786" s="1114"/>
      <c r="DL786" s="1114"/>
      <c r="DM786" s="1114"/>
      <c r="DN786" s="1114"/>
      <c r="DO786" s="1114"/>
      <c r="DP786" s="1114"/>
      <c r="DQ786" s="1114"/>
      <c r="DR786" s="1114"/>
      <c r="DS786" s="1114"/>
      <c r="DT786" s="1114"/>
      <c r="DU786" s="1114"/>
      <c r="DV786" s="1115"/>
      <c r="DW786" s="1116"/>
      <c r="DX786" s="1116"/>
      <c r="DY786" s="1116"/>
      <c r="DZ786" s="1116"/>
      <c r="EA786" s="1116"/>
      <c r="EB786" s="1116"/>
      <c r="EC786" s="1116"/>
      <c r="ED786" s="1116"/>
      <c r="EE786" s="1116"/>
      <c r="EF786" s="1116"/>
      <c r="EG786" s="1116"/>
      <c r="EH786" s="1116"/>
      <c r="EI786" s="1116"/>
      <c r="EJ786" s="1116"/>
      <c r="EK786" s="1116"/>
      <c r="EL786" s="1116"/>
      <c r="EM786" s="1116"/>
      <c r="EN786" s="1116"/>
      <c r="EO786" s="1116"/>
      <c r="EP786" s="1116"/>
      <c r="EQ786" s="1116"/>
      <c r="ER786" s="1116"/>
      <c r="ES786" s="1116"/>
    </row>
    <row r="787" spans="1:149" ht="15" customHeight="1">
      <c r="A787" s="1185">
        <v>777</v>
      </c>
      <c r="B787" s="1041"/>
      <c r="C787" s="1050"/>
      <c r="D787" s="1050"/>
      <c r="E787" s="1050"/>
      <c r="F787" s="1049"/>
      <c r="G787" s="1049"/>
      <c r="H787" s="1049"/>
      <c r="I787" s="1049"/>
      <c r="J787" s="1050"/>
      <c r="K787" s="1050"/>
      <c r="L787" s="1043"/>
      <c r="M787" s="1051"/>
      <c r="N787" s="1051"/>
      <c r="O787" s="1052"/>
      <c r="P787" s="1051"/>
      <c r="Q787" s="1051"/>
      <c r="R787" s="1052"/>
      <c r="S787" s="1051"/>
      <c r="T787" s="1051"/>
      <c r="U787" s="1052"/>
      <c r="V787" s="1051"/>
      <c r="W787" s="1051"/>
      <c r="X787" s="1052"/>
      <c r="Y787" s="1053"/>
      <c r="Z787" s="1051"/>
      <c r="AA787" s="1051"/>
      <c r="AB787" s="1052"/>
      <c r="AC787" s="1051"/>
      <c r="AD787" s="1051"/>
      <c r="AE787" s="1052"/>
      <c r="AF787" s="1051"/>
      <c r="AG787" s="1051"/>
      <c r="AH787" s="1051"/>
      <c r="AI787" s="1051"/>
      <c r="AJ787" s="1052"/>
      <c r="AK787" s="1051"/>
      <c r="AL787" s="1051"/>
      <c r="AM787" s="1052"/>
      <c r="AN787" s="1051"/>
      <c r="AO787" s="1051"/>
      <c r="AP787" s="1052"/>
      <c r="AQ787" s="1051"/>
      <c r="AR787" s="1051"/>
      <c r="AS787" s="1052"/>
      <c r="AT787" s="1051"/>
      <c r="AU787" s="1051"/>
      <c r="AV787" s="1052"/>
      <c r="AW787" s="1051"/>
      <c r="AX787" s="1051"/>
      <c r="AY787" s="1053"/>
      <c r="AZ787" s="1051"/>
      <c r="BA787" s="1051"/>
      <c r="BB787" s="1053"/>
      <c r="BC787" s="1051"/>
      <c r="BD787" s="1051"/>
      <c r="BE787" s="1053"/>
      <c r="BF787" s="1051"/>
      <c r="BG787" s="1051"/>
      <c r="BH787" s="1053"/>
      <c r="BI787" s="1052"/>
      <c r="BJ787" s="1052"/>
      <c r="BK787" s="1052"/>
      <c r="BL787" s="1052"/>
      <c r="BM787" s="1052"/>
      <c r="BN787" s="1054"/>
      <c r="BO787" s="1076">
        <f t="shared" si="13"/>
        <v>0</v>
      </c>
      <c r="BP787" s="1051"/>
      <c r="BQ787" s="1052"/>
      <c r="BR787" s="1054"/>
      <c r="BS787" s="1053"/>
      <c r="BT787" s="1051"/>
      <c r="BU787" s="1051"/>
      <c r="BV787" s="1051"/>
      <c r="BW787" s="1052"/>
      <c r="BX787" s="1052"/>
      <c r="BY787" s="1052"/>
      <c r="BZ787" s="1052"/>
      <c r="CA787" s="1052"/>
      <c r="CB787" s="1053"/>
      <c r="CC787" s="1053"/>
      <c r="CD787" s="1053"/>
      <c r="CE787" s="1053"/>
      <c r="CF787" s="1053"/>
      <c r="CG787" s="1053"/>
      <c r="CH787" s="1053"/>
      <c r="CI787" s="1123"/>
      <c r="CJ787" s="1123"/>
      <c r="CK787" s="1123"/>
      <c r="CL787" s="1123"/>
      <c r="CM787" s="1123"/>
      <c r="CN787" s="1123"/>
      <c r="CO787" s="1123"/>
      <c r="CP787" s="1123"/>
      <c r="CQ787" s="1123"/>
      <c r="CR787" s="1123"/>
      <c r="CS787" s="1123"/>
      <c r="CT787" s="1123"/>
      <c r="CU787" s="1123"/>
      <c r="CV787" s="1123"/>
      <c r="CW787" s="1123"/>
      <c r="CX787" s="1123"/>
      <c r="CY787" s="1123"/>
      <c r="CZ787" s="1114"/>
      <c r="DA787" s="1114"/>
      <c r="DB787" s="1114"/>
      <c r="DC787" s="1114"/>
      <c r="DD787" s="1114"/>
      <c r="DE787" s="1114"/>
      <c r="DF787" s="1114"/>
      <c r="DG787" s="1114"/>
      <c r="DH787" s="1114"/>
      <c r="DI787" s="1114"/>
      <c r="DJ787" s="1114"/>
      <c r="DK787" s="1114"/>
      <c r="DL787" s="1114"/>
      <c r="DM787" s="1114"/>
      <c r="DN787" s="1114"/>
      <c r="DO787" s="1114"/>
      <c r="DP787" s="1114"/>
      <c r="DQ787" s="1114"/>
      <c r="DR787" s="1114"/>
      <c r="DS787" s="1114"/>
      <c r="DT787" s="1114"/>
      <c r="DU787" s="1114"/>
      <c r="DV787" s="1115"/>
      <c r="DW787" s="1116"/>
      <c r="DX787" s="1116"/>
      <c r="DY787" s="1116"/>
      <c r="DZ787" s="1116"/>
      <c r="EA787" s="1116"/>
      <c r="EB787" s="1116"/>
      <c r="EC787" s="1116"/>
      <c r="ED787" s="1116"/>
      <c r="EE787" s="1116"/>
      <c r="EF787" s="1116"/>
      <c r="EG787" s="1116"/>
      <c r="EH787" s="1116"/>
      <c r="EI787" s="1116"/>
      <c r="EJ787" s="1116"/>
      <c r="EK787" s="1116"/>
      <c r="EL787" s="1116"/>
      <c r="EM787" s="1116"/>
      <c r="EN787" s="1116"/>
      <c r="EO787" s="1116"/>
      <c r="EP787" s="1116"/>
      <c r="EQ787" s="1116"/>
      <c r="ER787" s="1116"/>
      <c r="ES787" s="1116"/>
    </row>
    <row r="788" spans="1:149" ht="15" customHeight="1">
      <c r="A788" s="1185">
        <v>778</v>
      </c>
      <c r="B788" s="1041"/>
      <c r="C788" s="1050"/>
      <c r="D788" s="1050"/>
      <c r="E788" s="1050"/>
      <c r="F788" s="1049"/>
      <c r="G788" s="1049"/>
      <c r="H788" s="1049"/>
      <c r="I788" s="1049"/>
      <c r="J788" s="1050"/>
      <c r="K788" s="1050"/>
      <c r="L788" s="1043"/>
      <c r="M788" s="1051"/>
      <c r="N788" s="1051"/>
      <c r="O788" s="1052"/>
      <c r="P788" s="1051"/>
      <c r="Q788" s="1051"/>
      <c r="R788" s="1052"/>
      <c r="S788" s="1051"/>
      <c r="T788" s="1051"/>
      <c r="U788" s="1052"/>
      <c r="V788" s="1051"/>
      <c r="W788" s="1051"/>
      <c r="X788" s="1052"/>
      <c r="Y788" s="1053"/>
      <c r="Z788" s="1051"/>
      <c r="AA788" s="1051"/>
      <c r="AB788" s="1052"/>
      <c r="AC788" s="1051"/>
      <c r="AD788" s="1051"/>
      <c r="AE788" s="1052"/>
      <c r="AF788" s="1051"/>
      <c r="AG788" s="1051"/>
      <c r="AH788" s="1051"/>
      <c r="AI788" s="1051"/>
      <c r="AJ788" s="1052"/>
      <c r="AK788" s="1051"/>
      <c r="AL788" s="1051"/>
      <c r="AM788" s="1052"/>
      <c r="AN788" s="1051"/>
      <c r="AO788" s="1051"/>
      <c r="AP788" s="1052"/>
      <c r="AQ788" s="1051"/>
      <c r="AR788" s="1051"/>
      <c r="AS788" s="1052"/>
      <c r="AT788" s="1051"/>
      <c r="AU788" s="1051"/>
      <c r="AV788" s="1052"/>
      <c r="AW788" s="1051"/>
      <c r="AX788" s="1051"/>
      <c r="AY788" s="1053"/>
      <c r="AZ788" s="1051"/>
      <c r="BA788" s="1051"/>
      <c r="BB788" s="1053"/>
      <c r="BC788" s="1051"/>
      <c r="BD788" s="1051"/>
      <c r="BE788" s="1053"/>
      <c r="BF788" s="1051"/>
      <c r="BG788" s="1051"/>
      <c r="BH788" s="1053"/>
      <c r="BI788" s="1052"/>
      <c r="BJ788" s="1052"/>
      <c r="BK788" s="1052"/>
      <c r="BL788" s="1052"/>
      <c r="BM788" s="1052"/>
      <c r="BN788" s="1054"/>
      <c r="BO788" s="1076">
        <f t="shared" si="13"/>
        <v>0</v>
      </c>
      <c r="BP788" s="1051"/>
      <c r="BQ788" s="1052"/>
      <c r="BR788" s="1054"/>
      <c r="BS788" s="1053"/>
      <c r="BT788" s="1051"/>
      <c r="BU788" s="1051"/>
      <c r="BV788" s="1051"/>
      <c r="BW788" s="1052"/>
      <c r="BX788" s="1052"/>
      <c r="BY788" s="1052"/>
      <c r="BZ788" s="1052"/>
      <c r="CA788" s="1052"/>
      <c r="CB788" s="1053"/>
      <c r="CC788" s="1053"/>
      <c r="CD788" s="1053"/>
      <c r="CE788" s="1053"/>
      <c r="CF788" s="1053"/>
      <c r="CG788" s="1053"/>
      <c r="CH788" s="1053"/>
      <c r="CI788" s="1123"/>
      <c r="CJ788" s="1123"/>
      <c r="CK788" s="1123"/>
      <c r="CL788" s="1123"/>
      <c r="CM788" s="1123"/>
      <c r="CN788" s="1123"/>
      <c r="CO788" s="1123"/>
      <c r="CP788" s="1123"/>
      <c r="CQ788" s="1123"/>
      <c r="CR788" s="1123"/>
      <c r="CS788" s="1123"/>
      <c r="CT788" s="1123"/>
      <c r="CU788" s="1123"/>
      <c r="CV788" s="1123"/>
      <c r="CW788" s="1123"/>
      <c r="CX788" s="1123"/>
      <c r="CY788" s="1123"/>
      <c r="CZ788" s="1114"/>
      <c r="DA788" s="1114"/>
      <c r="DB788" s="1114"/>
      <c r="DC788" s="1114"/>
      <c r="DD788" s="1114"/>
      <c r="DE788" s="1114"/>
      <c r="DF788" s="1114"/>
      <c r="DG788" s="1114"/>
      <c r="DH788" s="1114"/>
      <c r="DI788" s="1114"/>
      <c r="DJ788" s="1114"/>
      <c r="DK788" s="1114"/>
      <c r="DL788" s="1114"/>
      <c r="DM788" s="1114"/>
      <c r="DN788" s="1114"/>
      <c r="DO788" s="1114"/>
      <c r="DP788" s="1114"/>
      <c r="DQ788" s="1114"/>
      <c r="DR788" s="1114"/>
      <c r="DS788" s="1114"/>
      <c r="DT788" s="1114"/>
      <c r="DU788" s="1114"/>
      <c r="DV788" s="1115"/>
      <c r="DW788" s="1116"/>
      <c r="DX788" s="1116"/>
      <c r="DY788" s="1116"/>
      <c r="DZ788" s="1116"/>
      <c r="EA788" s="1116"/>
      <c r="EB788" s="1116"/>
      <c r="EC788" s="1116"/>
      <c r="ED788" s="1116"/>
      <c r="EE788" s="1116"/>
      <c r="EF788" s="1116"/>
      <c r="EG788" s="1116"/>
      <c r="EH788" s="1116"/>
      <c r="EI788" s="1116"/>
      <c r="EJ788" s="1116"/>
      <c r="EK788" s="1116"/>
      <c r="EL788" s="1116"/>
      <c r="EM788" s="1116"/>
      <c r="EN788" s="1116"/>
      <c r="EO788" s="1116"/>
      <c r="EP788" s="1116"/>
      <c r="EQ788" s="1116"/>
      <c r="ER788" s="1116"/>
      <c r="ES788" s="1116"/>
    </row>
    <row r="789" spans="1:149" ht="15" customHeight="1">
      <c r="A789" s="1185">
        <v>779</v>
      </c>
      <c r="B789" s="1041"/>
      <c r="C789" s="1050"/>
      <c r="D789" s="1050"/>
      <c r="E789" s="1050"/>
      <c r="F789" s="1049"/>
      <c r="G789" s="1049"/>
      <c r="H789" s="1049"/>
      <c r="I789" s="1049"/>
      <c r="J789" s="1050"/>
      <c r="K789" s="1050"/>
      <c r="L789" s="1043"/>
      <c r="M789" s="1051"/>
      <c r="N789" s="1051"/>
      <c r="O789" s="1052"/>
      <c r="P789" s="1051"/>
      <c r="Q789" s="1051"/>
      <c r="R789" s="1052"/>
      <c r="S789" s="1051"/>
      <c r="T789" s="1051"/>
      <c r="U789" s="1052"/>
      <c r="V789" s="1051"/>
      <c r="W789" s="1051"/>
      <c r="X789" s="1052"/>
      <c r="Y789" s="1053"/>
      <c r="Z789" s="1051"/>
      <c r="AA789" s="1051"/>
      <c r="AB789" s="1052"/>
      <c r="AC789" s="1051"/>
      <c r="AD789" s="1051"/>
      <c r="AE789" s="1052"/>
      <c r="AF789" s="1051"/>
      <c r="AG789" s="1051"/>
      <c r="AH789" s="1051"/>
      <c r="AI789" s="1051"/>
      <c r="AJ789" s="1052"/>
      <c r="AK789" s="1051"/>
      <c r="AL789" s="1051"/>
      <c r="AM789" s="1052"/>
      <c r="AN789" s="1051"/>
      <c r="AO789" s="1051"/>
      <c r="AP789" s="1052"/>
      <c r="AQ789" s="1051"/>
      <c r="AR789" s="1051"/>
      <c r="AS789" s="1052"/>
      <c r="AT789" s="1051"/>
      <c r="AU789" s="1051"/>
      <c r="AV789" s="1052"/>
      <c r="AW789" s="1051"/>
      <c r="AX789" s="1051"/>
      <c r="AY789" s="1053"/>
      <c r="AZ789" s="1051"/>
      <c r="BA789" s="1051"/>
      <c r="BB789" s="1053"/>
      <c r="BC789" s="1051"/>
      <c r="BD789" s="1051"/>
      <c r="BE789" s="1053"/>
      <c r="BF789" s="1051"/>
      <c r="BG789" s="1051"/>
      <c r="BH789" s="1053"/>
      <c r="BI789" s="1052"/>
      <c r="BJ789" s="1052"/>
      <c r="BK789" s="1052"/>
      <c r="BL789" s="1052"/>
      <c r="BM789" s="1052"/>
      <c r="BN789" s="1054"/>
      <c r="BO789" s="1076">
        <f t="shared" si="13"/>
        <v>0</v>
      </c>
      <c r="BP789" s="1051"/>
      <c r="BQ789" s="1052"/>
      <c r="BR789" s="1054"/>
      <c r="BS789" s="1053"/>
      <c r="BT789" s="1051"/>
      <c r="BU789" s="1051"/>
      <c r="BV789" s="1051"/>
      <c r="BW789" s="1052"/>
      <c r="BX789" s="1052"/>
      <c r="BY789" s="1052"/>
      <c r="BZ789" s="1052"/>
      <c r="CA789" s="1052"/>
      <c r="CB789" s="1053"/>
      <c r="CC789" s="1053"/>
      <c r="CD789" s="1053"/>
      <c r="CE789" s="1053"/>
      <c r="CF789" s="1053"/>
      <c r="CG789" s="1053"/>
      <c r="CH789" s="1053"/>
      <c r="CI789" s="1123"/>
      <c r="CJ789" s="1123"/>
      <c r="CK789" s="1123"/>
      <c r="CL789" s="1123"/>
      <c r="CM789" s="1123"/>
      <c r="CN789" s="1123"/>
      <c r="CO789" s="1123"/>
      <c r="CP789" s="1123"/>
      <c r="CQ789" s="1123"/>
      <c r="CR789" s="1123"/>
      <c r="CS789" s="1123"/>
      <c r="CT789" s="1123"/>
      <c r="CU789" s="1123"/>
      <c r="CV789" s="1123"/>
      <c r="CW789" s="1123"/>
      <c r="CX789" s="1123"/>
      <c r="CY789" s="1123"/>
      <c r="CZ789" s="1114"/>
      <c r="DA789" s="1114"/>
      <c r="DB789" s="1114"/>
      <c r="DC789" s="1114"/>
      <c r="DD789" s="1114"/>
      <c r="DE789" s="1114"/>
      <c r="DF789" s="1114"/>
      <c r="DG789" s="1114"/>
      <c r="DH789" s="1114"/>
      <c r="DI789" s="1114"/>
      <c r="DJ789" s="1114"/>
      <c r="DK789" s="1114"/>
      <c r="DL789" s="1114"/>
      <c r="DM789" s="1114"/>
      <c r="DN789" s="1114"/>
      <c r="DO789" s="1114"/>
      <c r="DP789" s="1114"/>
      <c r="DQ789" s="1114"/>
      <c r="DR789" s="1114"/>
      <c r="DS789" s="1114"/>
      <c r="DT789" s="1114"/>
      <c r="DU789" s="1114"/>
      <c r="DV789" s="1115"/>
      <c r="DW789" s="1116"/>
      <c r="DX789" s="1116"/>
      <c r="DY789" s="1116"/>
      <c r="DZ789" s="1116"/>
      <c r="EA789" s="1116"/>
      <c r="EB789" s="1116"/>
      <c r="EC789" s="1116"/>
      <c r="ED789" s="1116"/>
      <c r="EE789" s="1116"/>
      <c r="EF789" s="1116"/>
      <c r="EG789" s="1116"/>
      <c r="EH789" s="1116"/>
      <c r="EI789" s="1116"/>
      <c r="EJ789" s="1116"/>
      <c r="EK789" s="1116"/>
      <c r="EL789" s="1116"/>
      <c r="EM789" s="1116"/>
      <c r="EN789" s="1116"/>
      <c r="EO789" s="1116"/>
      <c r="EP789" s="1116"/>
      <c r="EQ789" s="1116"/>
      <c r="ER789" s="1116"/>
      <c r="ES789" s="1116"/>
    </row>
    <row r="790" spans="1:149" ht="15" customHeight="1">
      <c r="A790" s="1185">
        <v>780</v>
      </c>
      <c r="B790" s="1041"/>
      <c r="C790" s="1050"/>
      <c r="D790" s="1050"/>
      <c r="E790" s="1050"/>
      <c r="F790" s="1049"/>
      <c r="G790" s="1049"/>
      <c r="H790" s="1049"/>
      <c r="I790" s="1049"/>
      <c r="J790" s="1050"/>
      <c r="K790" s="1050"/>
      <c r="L790" s="1043"/>
      <c r="M790" s="1051"/>
      <c r="N790" s="1051"/>
      <c r="O790" s="1052"/>
      <c r="P790" s="1051"/>
      <c r="Q790" s="1051"/>
      <c r="R790" s="1052"/>
      <c r="S790" s="1051"/>
      <c r="T790" s="1051"/>
      <c r="U790" s="1052"/>
      <c r="V790" s="1051"/>
      <c r="W790" s="1051"/>
      <c r="X790" s="1052"/>
      <c r="Y790" s="1053"/>
      <c r="Z790" s="1051"/>
      <c r="AA790" s="1051"/>
      <c r="AB790" s="1052"/>
      <c r="AC790" s="1051"/>
      <c r="AD790" s="1051"/>
      <c r="AE790" s="1052"/>
      <c r="AF790" s="1051"/>
      <c r="AG790" s="1051"/>
      <c r="AH790" s="1051"/>
      <c r="AI790" s="1051"/>
      <c r="AJ790" s="1052"/>
      <c r="AK790" s="1051"/>
      <c r="AL790" s="1051"/>
      <c r="AM790" s="1052"/>
      <c r="AN790" s="1051"/>
      <c r="AO790" s="1051"/>
      <c r="AP790" s="1052"/>
      <c r="AQ790" s="1051"/>
      <c r="AR790" s="1051"/>
      <c r="AS790" s="1052"/>
      <c r="AT790" s="1051"/>
      <c r="AU790" s="1051"/>
      <c r="AV790" s="1052"/>
      <c r="AW790" s="1051"/>
      <c r="AX790" s="1051"/>
      <c r="AY790" s="1053"/>
      <c r="AZ790" s="1051"/>
      <c r="BA790" s="1051"/>
      <c r="BB790" s="1053"/>
      <c r="BC790" s="1051"/>
      <c r="BD790" s="1051"/>
      <c r="BE790" s="1053"/>
      <c r="BF790" s="1051"/>
      <c r="BG790" s="1051"/>
      <c r="BH790" s="1053"/>
      <c r="BI790" s="1052"/>
      <c r="BJ790" s="1052"/>
      <c r="BK790" s="1052"/>
      <c r="BL790" s="1052"/>
      <c r="BM790" s="1052"/>
      <c r="BN790" s="1054"/>
      <c r="BO790" s="1076">
        <f t="shared" si="13"/>
        <v>0</v>
      </c>
      <c r="BP790" s="1051"/>
      <c r="BQ790" s="1052"/>
      <c r="BR790" s="1054"/>
      <c r="BS790" s="1053"/>
      <c r="BT790" s="1051"/>
      <c r="BU790" s="1051"/>
      <c r="BV790" s="1051"/>
      <c r="BW790" s="1052"/>
      <c r="BX790" s="1052"/>
      <c r="BY790" s="1052"/>
      <c r="BZ790" s="1052"/>
      <c r="CA790" s="1052"/>
      <c r="CB790" s="1053"/>
      <c r="CC790" s="1053"/>
      <c r="CD790" s="1053"/>
      <c r="CE790" s="1053"/>
      <c r="CF790" s="1053"/>
      <c r="CG790" s="1053"/>
      <c r="CH790" s="1053"/>
      <c r="CI790" s="1123"/>
      <c r="CJ790" s="1123"/>
      <c r="CK790" s="1123"/>
      <c r="CL790" s="1123"/>
      <c r="CM790" s="1123"/>
      <c r="CN790" s="1123"/>
      <c r="CO790" s="1123"/>
      <c r="CP790" s="1123"/>
      <c r="CQ790" s="1123"/>
      <c r="CR790" s="1123"/>
      <c r="CS790" s="1123"/>
      <c r="CT790" s="1123"/>
      <c r="CU790" s="1123"/>
      <c r="CV790" s="1123"/>
      <c r="CW790" s="1123"/>
      <c r="CX790" s="1123"/>
      <c r="CY790" s="1123"/>
      <c r="CZ790" s="1114"/>
      <c r="DA790" s="1114"/>
      <c r="DB790" s="1114"/>
      <c r="DC790" s="1114"/>
      <c r="DD790" s="1114"/>
      <c r="DE790" s="1114"/>
      <c r="DF790" s="1114"/>
      <c r="DG790" s="1114"/>
      <c r="DH790" s="1114"/>
      <c r="DI790" s="1114"/>
      <c r="DJ790" s="1114"/>
      <c r="DK790" s="1114"/>
      <c r="DL790" s="1114"/>
      <c r="DM790" s="1114"/>
      <c r="DN790" s="1114"/>
      <c r="DO790" s="1114"/>
      <c r="DP790" s="1114"/>
      <c r="DQ790" s="1114"/>
      <c r="DR790" s="1114"/>
      <c r="DS790" s="1114"/>
      <c r="DT790" s="1114"/>
      <c r="DU790" s="1114"/>
      <c r="DV790" s="1115"/>
      <c r="DW790" s="1116"/>
      <c r="DX790" s="1116"/>
      <c r="DY790" s="1116"/>
      <c r="DZ790" s="1116"/>
      <c r="EA790" s="1116"/>
      <c r="EB790" s="1116"/>
      <c r="EC790" s="1116"/>
      <c r="ED790" s="1116"/>
      <c r="EE790" s="1116"/>
      <c r="EF790" s="1116"/>
      <c r="EG790" s="1116"/>
      <c r="EH790" s="1116"/>
      <c r="EI790" s="1116"/>
      <c r="EJ790" s="1116"/>
      <c r="EK790" s="1116"/>
      <c r="EL790" s="1116"/>
      <c r="EM790" s="1116"/>
      <c r="EN790" s="1116"/>
      <c r="EO790" s="1116"/>
      <c r="EP790" s="1116"/>
      <c r="EQ790" s="1116"/>
      <c r="ER790" s="1116"/>
      <c r="ES790" s="1116"/>
    </row>
    <row r="791" spans="1:149" ht="15" customHeight="1">
      <c r="A791" s="1185">
        <v>781</v>
      </c>
      <c r="B791" s="1041"/>
      <c r="C791" s="1050"/>
      <c r="D791" s="1050"/>
      <c r="E791" s="1050"/>
      <c r="F791" s="1049"/>
      <c r="G791" s="1049"/>
      <c r="H791" s="1049"/>
      <c r="I791" s="1049"/>
      <c r="J791" s="1050"/>
      <c r="K791" s="1050"/>
      <c r="L791" s="1043"/>
      <c r="M791" s="1051"/>
      <c r="N791" s="1051"/>
      <c r="O791" s="1052"/>
      <c r="P791" s="1051"/>
      <c r="Q791" s="1051"/>
      <c r="R791" s="1052"/>
      <c r="S791" s="1051"/>
      <c r="T791" s="1051"/>
      <c r="U791" s="1052"/>
      <c r="V791" s="1051"/>
      <c r="W791" s="1051"/>
      <c r="X791" s="1052"/>
      <c r="Y791" s="1053"/>
      <c r="Z791" s="1051"/>
      <c r="AA791" s="1051"/>
      <c r="AB791" s="1052"/>
      <c r="AC791" s="1051"/>
      <c r="AD791" s="1051"/>
      <c r="AE791" s="1052"/>
      <c r="AF791" s="1051"/>
      <c r="AG791" s="1051"/>
      <c r="AH791" s="1051"/>
      <c r="AI791" s="1051"/>
      <c r="AJ791" s="1052"/>
      <c r="AK791" s="1051"/>
      <c r="AL791" s="1051"/>
      <c r="AM791" s="1052"/>
      <c r="AN791" s="1051"/>
      <c r="AO791" s="1051"/>
      <c r="AP791" s="1052"/>
      <c r="AQ791" s="1051"/>
      <c r="AR791" s="1051"/>
      <c r="AS791" s="1052"/>
      <c r="AT791" s="1051"/>
      <c r="AU791" s="1051"/>
      <c r="AV791" s="1052"/>
      <c r="AW791" s="1051"/>
      <c r="AX791" s="1051"/>
      <c r="AY791" s="1053"/>
      <c r="AZ791" s="1051"/>
      <c r="BA791" s="1051"/>
      <c r="BB791" s="1053"/>
      <c r="BC791" s="1051"/>
      <c r="BD791" s="1051"/>
      <c r="BE791" s="1053"/>
      <c r="BF791" s="1051"/>
      <c r="BG791" s="1051"/>
      <c r="BH791" s="1053"/>
      <c r="BI791" s="1052"/>
      <c r="BJ791" s="1052"/>
      <c r="BK791" s="1052"/>
      <c r="BL791" s="1052"/>
      <c r="BM791" s="1052"/>
      <c r="BN791" s="1054"/>
      <c r="BO791" s="1076">
        <f t="shared" si="13"/>
        <v>0</v>
      </c>
      <c r="BP791" s="1051"/>
      <c r="BQ791" s="1052"/>
      <c r="BR791" s="1054"/>
      <c r="BS791" s="1053"/>
      <c r="BT791" s="1051"/>
      <c r="BU791" s="1051"/>
      <c r="BV791" s="1051"/>
      <c r="BW791" s="1052"/>
      <c r="BX791" s="1052"/>
      <c r="BY791" s="1052"/>
      <c r="BZ791" s="1052"/>
      <c r="CA791" s="1052"/>
      <c r="CB791" s="1053"/>
      <c r="CC791" s="1053"/>
      <c r="CD791" s="1053"/>
      <c r="CE791" s="1053"/>
      <c r="CF791" s="1053"/>
      <c r="CG791" s="1053"/>
      <c r="CH791" s="1053"/>
      <c r="CI791" s="1123"/>
      <c r="CJ791" s="1123"/>
      <c r="CK791" s="1123"/>
      <c r="CL791" s="1123"/>
      <c r="CM791" s="1123"/>
      <c r="CN791" s="1123"/>
      <c r="CO791" s="1123"/>
      <c r="CP791" s="1123"/>
      <c r="CQ791" s="1123"/>
      <c r="CR791" s="1123"/>
      <c r="CS791" s="1123"/>
      <c r="CT791" s="1123"/>
      <c r="CU791" s="1123"/>
      <c r="CV791" s="1123"/>
      <c r="CW791" s="1123"/>
      <c r="CX791" s="1123"/>
      <c r="CY791" s="1123"/>
      <c r="CZ791" s="1114"/>
      <c r="DA791" s="1114"/>
      <c r="DB791" s="1114"/>
      <c r="DC791" s="1114"/>
      <c r="DD791" s="1114"/>
      <c r="DE791" s="1114"/>
      <c r="DF791" s="1114"/>
      <c r="DG791" s="1114"/>
      <c r="DH791" s="1114"/>
      <c r="DI791" s="1114"/>
      <c r="DJ791" s="1114"/>
      <c r="DK791" s="1114"/>
      <c r="DL791" s="1114"/>
      <c r="DM791" s="1114"/>
      <c r="DN791" s="1114"/>
      <c r="DO791" s="1114"/>
      <c r="DP791" s="1114"/>
      <c r="DQ791" s="1114"/>
      <c r="DR791" s="1114"/>
      <c r="DS791" s="1114"/>
      <c r="DT791" s="1114"/>
      <c r="DU791" s="1114"/>
      <c r="DV791" s="1115"/>
      <c r="DW791" s="1116"/>
      <c r="DX791" s="1116"/>
      <c r="DY791" s="1116"/>
      <c r="DZ791" s="1116"/>
      <c r="EA791" s="1116"/>
      <c r="EB791" s="1116"/>
      <c r="EC791" s="1116"/>
      <c r="ED791" s="1116"/>
      <c r="EE791" s="1116"/>
      <c r="EF791" s="1116"/>
      <c r="EG791" s="1116"/>
      <c r="EH791" s="1116"/>
      <c r="EI791" s="1116"/>
      <c r="EJ791" s="1116"/>
      <c r="EK791" s="1116"/>
      <c r="EL791" s="1116"/>
      <c r="EM791" s="1116"/>
      <c r="EN791" s="1116"/>
      <c r="EO791" s="1116"/>
      <c r="EP791" s="1116"/>
      <c r="EQ791" s="1116"/>
      <c r="ER791" s="1116"/>
      <c r="ES791" s="1116"/>
    </row>
    <row r="792" spans="1:149" ht="15" customHeight="1">
      <c r="A792" s="1185">
        <v>782</v>
      </c>
      <c r="B792" s="1041"/>
      <c r="C792" s="1050"/>
      <c r="D792" s="1050"/>
      <c r="E792" s="1050"/>
      <c r="F792" s="1049"/>
      <c r="G792" s="1049"/>
      <c r="H792" s="1049"/>
      <c r="I792" s="1049"/>
      <c r="J792" s="1050"/>
      <c r="K792" s="1050"/>
      <c r="L792" s="1043"/>
      <c r="M792" s="1051"/>
      <c r="N792" s="1051"/>
      <c r="O792" s="1052"/>
      <c r="P792" s="1051"/>
      <c r="Q792" s="1051"/>
      <c r="R792" s="1052"/>
      <c r="S792" s="1051"/>
      <c r="T792" s="1051"/>
      <c r="U792" s="1052"/>
      <c r="V792" s="1051"/>
      <c r="W792" s="1051"/>
      <c r="X792" s="1052"/>
      <c r="Y792" s="1053"/>
      <c r="Z792" s="1051"/>
      <c r="AA792" s="1051"/>
      <c r="AB792" s="1052"/>
      <c r="AC792" s="1051"/>
      <c r="AD792" s="1051"/>
      <c r="AE792" s="1052"/>
      <c r="AF792" s="1051"/>
      <c r="AG792" s="1051"/>
      <c r="AH792" s="1051"/>
      <c r="AI792" s="1051"/>
      <c r="AJ792" s="1052"/>
      <c r="AK792" s="1051"/>
      <c r="AL792" s="1051"/>
      <c r="AM792" s="1052"/>
      <c r="AN792" s="1051"/>
      <c r="AO792" s="1051"/>
      <c r="AP792" s="1052"/>
      <c r="AQ792" s="1051"/>
      <c r="AR792" s="1051"/>
      <c r="AS792" s="1052"/>
      <c r="AT792" s="1051"/>
      <c r="AU792" s="1051"/>
      <c r="AV792" s="1052"/>
      <c r="AW792" s="1051"/>
      <c r="AX792" s="1051"/>
      <c r="AY792" s="1053"/>
      <c r="AZ792" s="1051"/>
      <c r="BA792" s="1051"/>
      <c r="BB792" s="1053"/>
      <c r="BC792" s="1051"/>
      <c r="BD792" s="1051"/>
      <c r="BE792" s="1053"/>
      <c r="BF792" s="1051"/>
      <c r="BG792" s="1051"/>
      <c r="BH792" s="1053"/>
      <c r="BI792" s="1052"/>
      <c r="BJ792" s="1052"/>
      <c r="BK792" s="1052"/>
      <c r="BL792" s="1052"/>
      <c r="BM792" s="1052"/>
      <c r="BN792" s="1054"/>
      <c r="BO792" s="1076">
        <f t="shared" si="13"/>
        <v>0</v>
      </c>
      <c r="BP792" s="1051"/>
      <c r="BQ792" s="1052"/>
      <c r="BR792" s="1054"/>
      <c r="BS792" s="1053"/>
      <c r="BT792" s="1051"/>
      <c r="BU792" s="1051"/>
      <c r="BV792" s="1051"/>
      <c r="BW792" s="1052"/>
      <c r="BX792" s="1052"/>
      <c r="BY792" s="1052"/>
      <c r="BZ792" s="1052"/>
      <c r="CA792" s="1052"/>
      <c r="CB792" s="1053"/>
      <c r="CC792" s="1053"/>
      <c r="CD792" s="1053"/>
      <c r="CE792" s="1053"/>
      <c r="CF792" s="1053"/>
      <c r="CG792" s="1053"/>
      <c r="CH792" s="1053"/>
      <c r="CI792" s="1123"/>
      <c r="CJ792" s="1123"/>
      <c r="CK792" s="1123"/>
      <c r="CL792" s="1123"/>
      <c r="CM792" s="1123"/>
      <c r="CN792" s="1123"/>
      <c r="CO792" s="1123"/>
      <c r="CP792" s="1123"/>
      <c r="CQ792" s="1123"/>
      <c r="CR792" s="1123"/>
      <c r="CS792" s="1123"/>
      <c r="CT792" s="1123"/>
      <c r="CU792" s="1123"/>
      <c r="CV792" s="1123"/>
      <c r="CW792" s="1123"/>
      <c r="CX792" s="1123"/>
      <c r="CY792" s="1123"/>
      <c r="CZ792" s="1114"/>
      <c r="DA792" s="1114"/>
      <c r="DB792" s="1114"/>
      <c r="DC792" s="1114"/>
      <c r="DD792" s="1114"/>
      <c r="DE792" s="1114"/>
      <c r="DF792" s="1114"/>
      <c r="DG792" s="1114"/>
      <c r="DH792" s="1114"/>
      <c r="DI792" s="1114"/>
      <c r="DJ792" s="1114"/>
      <c r="DK792" s="1114"/>
      <c r="DL792" s="1114"/>
      <c r="DM792" s="1114"/>
      <c r="DN792" s="1114"/>
      <c r="DO792" s="1114"/>
      <c r="DP792" s="1114"/>
      <c r="DQ792" s="1114"/>
      <c r="DR792" s="1114"/>
      <c r="DS792" s="1114"/>
      <c r="DT792" s="1114"/>
      <c r="DU792" s="1114"/>
      <c r="DV792" s="1115"/>
      <c r="DW792" s="1116"/>
      <c r="DX792" s="1116"/>
      <c r="DY792" s="1116"/>
      <c r="DZ792" s="1116"/>
      <c r="EA792" s="1116"/>
      <c r="EB792" s="1116"/>
      <c r="EC792" s="1116"/>
      <c r="ED792" s="1116"/>
      <c r="EE792" s="1116"/>
      <c r="EF792" s="1116"/>
      <c r="EG792" s="1116"/>
      <c r="EH792" s="1116"/>
      <c r="EI792" s="1116"/>
      <c r="EJ792" s="1116"/>
      <c r="EK792" s="1116"/>
      <c r="EL792" s="1116"/>
      <c r="EM792" s="1116"/>
      <c r="EN792" s="1116"/>
      <c r="EO792" s="1116"/>
      <c r="EP792" s="1116"/>
      <c r="EQ792" s="1116"/>
      <c r="ER792" s="1116"/>
      <c r="ES792" s="1116"/>
    </row>
    <row r="793" spans="1:149" ht="15" customHeight="1">
      <c r="A793" s="1185">
        <v>783</v>
      </c>
      <c r="B793" s="1041"/>
      <c r="C793" s="1050"/>
      <c r="D793" s="1050"/>
      <c r="E793" s="1050"/>
      <c r="F793" s="1049"/>
      <c r="G793" s="1049"/>
      <c r="H793" s="1049"/>
      <c r="I793" s="1049"/>
      <c r="J793" s="1050"/>
      <c r="K793" s="1050"/>
      <c r="L793" s="1043"/>
      <c r="M793" s="1051"/>
      <c r="N793" s="1051"/>
      <c r="O793" s="1052"/>
      <c r="P793" s="1051"/>
      <c r="Q793" s="1051"/>
      <c r="R793" s="1052"/>
      <c r="S793" s="1051"/>
      <c r="T793" s="1051"/>
      <c r="U793" s="1052"/>
      <c r="V793" s="1051"/>
      <c r="W793" s="1051"/>
      <c r="X793" s="1052"/>
      <c r="Y793" s="1053"/>
      <c r="Z793" s="1051"/>
      <c r="AA793" s="1051"/>
      <c r="AB793" s="1052"/>
      <c r="AC793" s="1051"/>
      <c r="AD793" s="1051"/>
      <c r="AE793" s="1052"/>
      <c r="AF793" s="1051"/>
      <c r="AG793" s="1051"/>
      <c r="AH793" s="1051"/>
      <c r="AI793" s="1051"/>
      <c r="AJ793" s="1052"/>
      <c r="AK793" s="1051"/>
      <c r="AL793" s="1051"/>
      <c r="AM793" s="1052"/>
      <c r="AN793" s="1051"/>
      <c r="AO793" s="1051"/>
      <c r="AP793" s="1052"/>
      <c r="AQ793" s="1051"/>
      <c r="AR793" s="1051"/>
      <c r="AS793" s="1052"/>
      <c r="AT793" s="1051"/>
      <c r="AU793" s="1051"/>
      <c r="AV793" s="1052"/>
      <c r="AW793" s="1051"/>
      <c r="AX793" s="1051"/>
      <c r="AY793" s="1053"/>
      <c r="AZ793" s="1051"/>
      <c r="BA793" s="1051"/>
      <c r="BB793" s="1053"/>
      <c r="BC793" s="1051"/>
      <c r="BD793" s="1051"/>
      <c r="BE793" s="1053"/>
      <c r="BF793" s="1051"/>
      <c r="BG793" s="1051"/>
      <c r="BH793" s="1053"/>
      <c r="BI793" s="1052"/>
      <c r="BJ793" s="1052"/>
      <c r="BK793" s="1052"/>
      <c r="BL793" s="1052"/>
      <c r="BM793" s="1052"/>
      <c r="BN793" s="1054"/>
      <c r="BO793" s="1076">
        <f t="shared" si="13"/>
        <v>0</v>
      </c>
      <c r="BP793" s="1051"/>
      <c r="BQ793" s="1052"/>
      <c r="BR793" s="1054"/>
      <c r="BS793" s="1053"/>
      <c r="BT793" s="1051"/>
      <c r="BU793" s="1051"/>
      <c r="BV793" s="1051"/>
      <c r="BW793" s="1052"/>
      <c r="BX793" s="1052"/>
      <c r="BY793" s="1052"/>
      <c r="BZ793" s="1052"/>
      <c r="CA793" s="1052"/>
      <c r="CB793" s="1053"/>
      <c r="CC793" s="1053"/>
      <c r="CD793" s="1053"/>
      <c r="CE793" s="1053"/>
      <c r="CF793" s="1053"/>
      <c r="CG793" s="1053"/>
      <c r="CH793" s="1053"/>
      <c r="CI793" s="1123"/>
      <c r="CJ793" s="1123"/>
      <c r="CK793" s="1123"/>
      <c r="CL793" s="1123"/>
      <c r="CM793" s="1123"/>
      <c r="CN793" s="1123"/>
      <c r="CO793" s="1123"/>
      <c r="CP793" s="1123"/>
      <c r="CQ793" s="1123"/>
      <c r="CR793" s="1123"/>
      <c r="CS793" s="1123"/>
      <c r="CT793" s="1123"/>
      <c r="CU793" s="1123"/>
      <c r="CV793" s="1123"/>
      <c r="CW793" s="1123"/>
      <c r="CX793" s="1123"/>
      <c r="CY793" s="1123"/>
      <c r="CZ793" s="1114"/>
      <c r="DA793" s="1114"/>
      <c r="DB793" s="1114"/>
      <c r="DC793" s="1114"/>
      <c r="DD793" s="1114"/>
      <c r="DE793" s="1114"/>
      <c r="DF793" s="1114"/>
      <c r="DG793" s="1114"/>
      <c r="DH793" s="1114"/>
      <c r="DI793" s="1114"/>
      <c r="DJ793" s="1114"/>
      <c r="DK793" s="1114"/>
      <c r="DL793" s="1114"/>
      <c r="DM793" s="1114"/>
      <c r="DN793" s="1114"/>
      <c r="DO793" s="1114"/>
      <c r="DP793" s="1114"/>
      <c r="DQ793" s="1114"/>
      <c r="DR793" s="1114"/>
      <c r="DS793" s="1114"/>
      <c r="DT793" s="1114"/>
      <c r="DU793" s="1114"/>
      <c r="DV793" s="1115"/>
      <c r="DW793" s="1116"/>
      <c r="DX793" s="1116"/>
      <c r="DY793" s="1116"/>
      <c r="DZ793" s="1116"/>
      <c r="EA793" s="1116"/>
      <c r="EB793" s="1116"/>
      <c r="EC793" s="1116"/>
      <c r="ED793" s="1116"/>
      <c r="EE793" s="1116"/>
      <c r="EF793" s="1116"/>
      <c r="EG793" s="1116"/>
      <c r="EH793" s="1116"/>
      <c r="EI793" s="1116"/>
      <c r="EJ793" s="1116"/>
      <c r="EK793" s="1116"/>
      <c r="EL793" s="1116"/>
      <c r="EM793" s="1116"/>
      <c r="EN793" s="1116"/>
      <c r="EO793" s="1116"/>
      <c r="EP793" s="1116"/>
      <c r="EQ793" s="1116"/>
      <c r="ER793" s="1116"/>
      <c r="ES793" s="1116"/>
    </row>
    <row r="794" spans="1:149" ht="15" customHeight="1">
      <c r="A794" s="1185">
        <v>784</v>
      </c>
      <c r="B794" s="1041"/>
      <c r="C794" s="1050"/>
      <c r="D794" s="1050"/>
      <c r="E794" s="1050"/>
      <c r="F794" s="1049"/>
      <c r="G794" s="1049"/>
      <c r="H794" s="1049"/>
      <c r="I794" s="1049"/>
      <c r="J794" s="1050"/>
      <c r="K794" s="1050"/>
      <c r="L794" s="1043"/>
      <c r="M794" s="1051"/>
      <c r="N794" s="1051"/>
      <c r="O794" s="1052"/>
      <c r="P794" s="1051"/>
      <c r="Q794" s="1051"/>
      <c r="R794" s="1052"/>
      <c r="S794" s="1051"/>
      <c r="T794" s="1051"/>
      <c r="U794" s="1052"/>
      <c r="V794" s="1051"/>
      <c r="W794" s="1051"/>
      <c r="X794" s="1052"/>
      <c r="Y794" s="1053"/>
      <c r="Z794" s="1051"/>
      <c r="AA794" s="1051"/>
      <c r="AB794" s="1052"/>
      <c r="AC794" s="1051"/>
      <c r="AD794" s="1051"/>
      <c r="AE794" s="1052"/>
      <c r="AF794" s="1051"/>
      <c r="AG794" s="1051"/>
      <c r="AH794" s="1051"/>
      <c r="AI794" s="1051"/>
      <c r="AJ794" s="1052"/>
      <c r="AK794" s="1051"/>
      <c r="AL794" s="1051"/>
      <c r="AM794" s="1052"/>
      <c r="AN794" s="1051"/>
      <c r="AO794" s="1051"/>
      <c r="AP794" s="1052"/>
      <c r="AQ794" s="1051"/>
      <c r="AR794" s="1051"/>
      <c r="AS794" s="1052"/>
      <c r="AT794" s="1051"/>
      <c r="AU794" s="1051"/>
      <c r="AV794" s="1052"/>
      <c r="AW794" s="1051"/>
      <c r="AX794" s="1051"/>
      <c r="AY794" s="1053"/>
      <c r="AZ794" s="1051"/>
      <c r="BA794" s="1051"/>
      <c r="BB794" s="1053"/>
      <c r="BC794" s="1051"/>
      <c r="BD794" s="1051"/>
      <c r="BE794" s="1053"/>
      <c r="BF794" s="1051"/>
      <c r="BG794" s="1051"/>
      <c r="BH794" s="1053"/>
      <c r="BI794" s="1052"/>
      <c r="BJ794" s="1052"/>
      <c r="BK794" s="1052"/>
      <c r="BL794" s="1052"/>
      <c r="BM794" s="1052"/>
      <c r="BN794" s="1054"/>
      <c r="BO794" s="1076">
        <f t="shared" si="13"/>
        <v>0</v>
      </c>
      <c r="BP794" s="1051"/>
      <c r="BQ794" s="1052"/>
      <c r="BR794" s="1054"/>
      <c r="BS794" s="1053"/>
      <c r="BT794" s="1051"/>
      <c r="BU794" s="1051"/>
      <c r="BV794" s="1051"/>
      <c r="BW794" s="1052"/>
      <c r="BX794" s="1052"/>
      <c r="BY794" s="1052"/>
      <c r="BZ794" s="1052"/>
      <c r="CA794" s="1052"/>
      <c r="CB794" s="1053"/>
      <c r="CC794" s="1053"/>
      <c r="CD794" s="1053"/>
      <c r="CE794" s="1053"/>
      <c r="CF794" s="1053"/>
      <c r="CG794" s="1053"/>
      <c r="CH794" s="1053"/>
      <c r="CI794" s="1123"/>
      <c r="CJ794" s="1123"/>
      <c r="CK794" s="1123"/>
      <c r="CL794" s="1123"/>
      <c r="CM794" s="1123"/>
      <c r="CN794" s="1123"/>
      <c r="CO794" s="1123"/>
      <c r="CP794" s="1123"/>
      <c r="CQ794" s="1123"/>
      <c r="CR794" s="1123"/>
      <c r="CS794" s="1123"/>
      <c r="CT794" s="1123"/>
      <c r="CU794" s="1123"/>
      <c r="CV794" s="1123"/>
      <c r="CW794" s="1123"/>
      <c r="CX794" s="1123"/>
      <c r="CY794" s="1123"/>
      <c r="CZ794" s="1114"/>
      <c r="DA794" s="1114"/>
      <c r="DB794" s="1114"/>
      <c r="DC794" s="1114"/>
      <c r="DD794" s="1114"/>
      <c r="DE794" s="1114"/>
      <c r="DF794" s="1114"/>
      <c r="DG794" s="1114"/>
      <c r="DH794" s="1114"/>
      <c r="DI794" s="1114"/>
      <c r="DJ794" s="1114"/>
      <c r="DK794" s="1114"/>
      <c r="DL794" s="1114"/>
      <c r="DM794" s="1114"/>
      <c r="DN794" s="1114"/>
      <c r="DO794" s="1114"/>
      <c r="DP794" s="1114"/>
      <c r="DQ794" s="1114"/>
      <c r="DR794" s="1114"/>
      <c r="DS794" s="1114"/>
      <c r="DT794" s="1114"/>
      <c r="DU794" s="1114"/>
      <c r="DV794" s="1115"/>
      <c r="DW794" s="1116"/>
      <c r="DX794" s="1116"/>
      <c r="DY794" s="1116"/>
      <c r="DZ794" s="1116"/>
      <c r="EA794" s="1116"/>
      <c r="EB794" s="1116"/>
      <c r="EC794" s="1116"/>
      <c r="ED794" s="1116"/>
      <c r="EE794" s="1116"/>
      <c r="EF794" s="1116"/>
      <c r="EG794" s="1116"/>
      <c r="EH794" s="1116"/>
      <c r="EI794" s="1116"/>
      <c r="EJ794" s="1116"/>
      <c r="EK794" s="1116"/>
      <c r="EL794" s="1116"/>
      <c r="EM794" s="1116"/>
      <c r="EN794" s="1116"/>
      <c r="EO794" s="1116"/>
      <c r="EP794" s="1116"/>
      <c r="EQ794" s="1116"/>
      <c r="ER794" s="1116"/>
      <c r="ES794" s="1116"/>
    </row>
    <row r="795" spans="1:149" ht="15" customHeight="1">
      <c r="A795" s="1185">
        <v>785</v>
      </c>
      <c r="B795" s="1041"/>
      <c r="C795" s="1050"/>
      <c r="D795" s="1050"/>
      <c r="E795" s="1050"/>
      <c r="F795" s="1049"/>
      <c r="G795" s="1049"/>
      <c r="H795" s="1049"/>
      <c r="I795" s="1049"/>
      <c r="J795" s="1050"/>
      <c r="K795" s="1050"/>
      <c r="L795" s="1043"/>
      <c r="M795" s="1051"/>
      <c r="N795" s="1051"/>
      <c r="O795" s="1052"/>
      <c r="P795" s="1051"/>
      <c r="Q795" s="1051"/>
      <c r="R795" s="1052"/>
      <c r="S795" s="1051"/>
      <c r="T795" s="1051"/>
      <c r="U795" s="1052"/>
      <c r="V795" s="1051"/>
      <c r="W795" s="1051"/>
      <c r="X795" s="1052"/>
      <c r="Y795" s="1053"/>
      <c r="Z795" s="1051"/>
      <c r="AA795" s="1051"/>
      <c r="AB795" s="1052"/>
      <c r="AC795" s="1051"/>
      <c r="AD795" s="1051"/>
      <c r="AE795" s="1052"/>
      <c r="AF795" s="1051"/>
      <c r="AG795" s="1051"/>
      <c r="AH795" s="1051"/>
      <c r="AI795" s="1051"/>
      <c r="AJ795" s="1052"/>
      <c r="AK795" s="1051"/>
      <c r="AL795" s="1051"/>
      <c r="AM795" s="1052"/>
      <c r="AN795" s="1051"/>
      <c r="AO795" s="1051"/>
      <c r="AP795" s="1052"/>
      <c r="AQ795" s="1051"/>
      <c r="AR795" s="1051"/>
      <c r="AS795" s="1052"/>
      <c r="AT795" s="1051"/>
      <c r="AU795" s="1051"/>
      <c r="AV795" s="1052"/>
      <c r="AW795" s="1051"/>
      <c r="AX795" s="1051"/>
      <c r="AY795" s="1053"/>
      <c r="AZ795" s="1051"/>
      <c r="BA795" s="1051"/>
      <c r="BB795" s="1053"/>
      <c r="BC795" s="1051"/>
      <c r="BD795" s="1051"/>
      <c r="BE795" s="1053"/>
      <c r="BF795" s="1051"/>
      <c r="BG795" s="1051"/>
      <c r="BH795" s="1053"/>
      <c r="BI795" s="1052"/>
      <c r="BJ795" s="1052"/>
      <c r="BK795" s="1052"/>
      <c r="BL795" s="1052"/>
      <c r="BM795" s="1052"/>
      <c r="BN795" s="1054"/>
      <c r="BO795" s="1076">
        <f t="shared" si="13"/>
        <v>0</v>
      </c>
      <c r="BP795" s="1051"/>
      <c r="BQ795" s="1052"/>
      <c r="BR795" s="1054"/>
      <c r="BS795" s="1053"/>
      <c r="BT795" s="1051"/>
      <c r="BU795" s="1051"/>
      <c r="BV795" s="1051"/>
      <c r="BW795" s="1052"/>
      <c r="BX795" s="1052"/>
      <c r="BY795" s="1052"/>
      <c r="BZ795" s="1052"/>
      <c r="CA795" s="1052"/>
      <c r="CB795" s="1053"/>
      <c r="CC795" s="1053"/>
      <c r="CD795" s="1053"/>
      <c r="CE795" s="1053"/>
      <c r="CF795" s="1053"/>
      <c r="CG795" s="1053"/>
      <c r="CH795" s="1053"/>
      <c r="CI795" s="1123"/>
      <c r="CJ795" s="1123"/>
      <c r="CK795" s="1123"/>
      <c r="CL795" s="1123"/>
      <c r="CM795" s="1123"/>
      <c r="CN795" s="1123"/>
      <c r="CO795" s="1123"/>
      <c r="CP795" s="1123"/>
      <c r="CQ795" s="1123"/>
      <c r="CR795" s="1123"/>
      <c r="CS795" s="1123"/>
      <c r="CT795" s="1123"/>
      <c r="CU795" s="1123"/>
      <c r="CV795" s="1123"/>
      <c r="CW795" s="1123"/>
      <c r="CX795" s="1123"/>
      <c r="CY795" s="1123"/>
      <c r="CZ795" s="1114"/>
      <c r="DA795" s="1114"/>
      <c r="DB795" s="1114"/>
      <c r="DC795" s="1114"/>
      <c r="DD795" s="1114"/>
      <c r="DE795" s="1114"/>
      <c r="DF795" s="1114"/>
      <c r="DG795" s="1114"/>
      <c r="DH795" s="1114"/>
      <c r="DI795" s="1114"/>
      <c r="DJ795" s="1114"/>
      <c r="DK795" s="1114"/>
      <c r="DL795" s="1114"/>
      <c r="DM795" s="1114"/>
      <c r="DN795" s="1114"/>
      <c r="DO795" s="1114"/>
      <c r="DP795" s="1114"/>
      <c r="DQ795" s="1114"/>
      <c r="DR795" s="1114"/>
      <c r="DS795" s="1114"/>
      <c r="DT795" s="1114"/>
      <c r="DU795" s="1114"/>
      <c r="DV795" s="1115"/>
      <c r="DW795" s="1116"/>
      <c r="DX795" s="1116"/>
      <c r="DY795" s="1116"/>
      <c r="DZ795" s="1116"/>
      <c r="EA795" s="1116"/>
      <c r="EB795" s="1116"/>
      <c r="EC795" s="1116"/>
      <c r="ED795" s="1116"/>
      <c r="EE795" s="1116"/>
      <c r="EF795" s="1116"/>
      <c r="EG795" s="1116"/>
      <c r="EH795" s="1116"/>
      <c r="EI795" s="1116"/>
      <c r="EJ795" s="1116"/>
      <c r="EK795" s="1116"/>
      <c r="EL795" s="1116"/>
      <c r="EM795" s="1116"/>
      <c r="EN795" s="1116"/>
      <c r="EO795" s="1116"/>
      <c r="EP795" s="1116"/>
      <c r="EQ795" s="1116"/>
      <c r="ER795" s="1116"/>
      <c r="ES795" s="1116"/>
    </row>
    <row r="796" spans="1:149" ht="15" customHeight="1">
      <c r="A796" s="1185">
        <v>786</v>
      </c>
      <c r="B796" s="1041"/>
      <c r="C796" s="1050"/>
      <c r="D796" s="1050"/>
      <c r="E796" s="1050"/>
      <c r="F796" s="1049"/>
      <c r="G796" s="1049"/>
      <c r="H796" s="1049"/>
      <c r="I796" s="1049"/>
      <c r="J796" s="1050"/>
      <c r="K796" s="1050"/>
      <c r="L796" s="1043"/>
      <c r="M796" s="1051"/>
      <c r="N796" s="1051"/>
      <c r="O796" s="1052"/>
      <c r="P796" s="1051"/>
      <c r="Q796" s="1051"/>
      <c r="R796" s="1052"/>
      <c r="S796" s="1051"/>
      <c r="T796" s="1051"/>
      <c r="U796" s="1052"/>
      <c r="V796" s="1051"/>
      <c r="W796" s="1051"/>
      <c r="X796" s="1052"/>
      <c r="Y796" s="1053"/>
      <c r="Z796" s="1051"/>
      <c r="AA796" s="1051"/>
      <c r="AB796" s="1052"/>
      <c r="AC796" s="1051"/>
      <c r="AD796" s="1051"/>
      <c r="AE796" s="1052"/>
      <c r="AF796" s="1051"/>
      <c r="AG796" s="1051"/>
      <c r="AH796" s="1051"/>
      <c r="AI796" s="1051"/>
      <c r="AJ796" s="1052"/>
      <c r="AK796" s="1051"/>
      <c r="AL796" s="1051"/>
      <c r="AM796" s="1052"/>
      <c r="AN796" s="1051"/>
      <c r="AO796" s="1051"/>
      <c r="AP796" s="1052"/>
      <c r="AQ796" s="1051"/>
      <c r="AR796" s="1051"/>
      <c r="AS796" s="1052"/>
      <c r="AT796" s="1051"/>
      <c r="AU796" s="1051"/>
      <c r="AV796" s="1052"/>
      <c r="AW796" s="1051"/>
      <c r="AX796" s="1051"/>
      <c r="AY796" s="1053"/>
      <c r="AZ796" s="1051"/>
      <c r="BA796" s="1051"/>
      <c r="BB796" s="1053"/>
      <c r="BC796" s="1051"/>
      <c r="BD796" s="1051"/>
      <c r="BE796" s="1053"/>
      <c r="BF796" s="1051"/>
      <c r="BG796" s="1051"/>
      <c r="BH796" s="1053"/>
      <c r="BI796" s="1052"/>
      <c r="BJ796" s="1052"/>
      <c r="BK796" s="1052"/>
      <c r="BL796" s="1052"/>
      <c r="BM796" s="1052"/>
      <c r="BN796" s="1054"/>
      <c r="BO796" s="1076">
        <f t="shared" si="13"/>
        <v>0</v>
      </c>
      <c r="BP796" s="1051"/>
      <c r="BQ796" s="1052"/>
      <c r="BR796" s="1054"/>
      <c r="BS796" s="1053"/>
      <c r="BT796" s="1051"/>
      <c r="BU796" s="1051"/>
      <c r="BV796" s="1051"/>
      <c r="BW796" s="1052"/>
      <c r="BX796" s="1052"/>
      <c r="BY796" s="1052"/>
      <c r="BZ796" s="1052"/>
      <c r="CA796" s="1052"/>
      <c r="CB796" s="1053"/>
      <c r="CC796" s="1053"/>
      <c r="CD796" s="1053"/>
      <c r="CE796" s="1053"/>
      <c r="CF796" s="1053"/>
      <c r="CG796" s="1053"/>
      <c r="CH796" s="1053"/>
      <c r="CI796" s="1123"/>
      <c r="CJ796" s="1123"/>
      <c r="CK796" s="1123"/>
      <c r="CL796" s="1123"/>
      <c r="CM796" s="1123"/>
      <c r="CN796" s="1123"/>
      <c r="CO796" s="1123"/>
      <c r="CP796" s="1123"/>
      <c r="CQ796" s="1123"/>
      <c r="CR796" s="1123"/>
      <c r="CS796" s="1123"/>
      <c r="CT796" s="1123"/>
      <c r="CU796" s="1123"/>
      <c r="CV796" s="1123"/>
      <c r="CW796" s="1123"/>
      <c r="CX796" s="1123"/>
      <c r="CY796" s="1123"/>
      <c r="CZ796" s="1114"/>
      <c r="DA796" s="1114"/>
      <c r="DB796" s="1114"/>
      <c r="DC796" s="1114"/>
      <c r="DD796" s="1114"/>
      <c r="DE796" s="1114"/>
      <c r="DF796" s="1114"/>
      <c r="DG796" s="1114"/>
      <c r="DH796" s="1114"/>
      <c r="DI796" s="1114"/>
      <c r="DJ796" s="1114"/>
      <c r="DK796" s="1114"/>
      <c r="DL796" s="1114"/>
      <c r="DM796" s="1114"/>
      <c r="DN796" s="1114"/>
      <c r="DO796" s="1114"/>
      <c r="DP796" s="1114"/>
      <c r="DQ796" s="1114"/>
      <c r="DR796" s="1114"/>
      <c r="DS796" s="1114"/>
      <c r="DT796" s="1114"/>
      <c r="DU796" s="1114"/>
      <c r="DV796" s="1115"/>
      <c r="DW796" s="1116"/>
      <c r="DX796" s="1116"/>
      <c r="DY796" s="1116"/>
      <c r="DZ796" s="1116"/>
      <c r="EA796" s="1116"/>
      <c r="EB796" s="1116"/>
      <c r="EC796" s="1116"/>
      <c r="ED796" s="1116"/>
      <c r="EE796" s="1116"/>
      <c r="EF796" s="1116"/>
      <c r="EG796" s="1116"/>
      <c r="EH796" s="1116"/>
      <c r="EI796" s="1116"/>
      <c r="EJ796" s="1116"/>
      <c r="EK796" s="1116"/>
      <c r="EL796" s="1116"/>
      <c r="EM796" s="1116"/>
      <c r="EN796" s="1116"/>
      <c r="EO796" s="1116"/>
      <c r="EP796" s="1116"/>
      <c r="EQ796" s="1116"/>
      <c r="ER796" s="1116"/>
      <c r="ES796" s="1116"/>
    </row>
    <row r="797" spans="1:149" ht="15" customHeight="1">
      <c r="A797" s="1185">
        <v>787</v>
      </c>
      <c r="B797" s="1041"/>
      <c r="C797" s="1050"/>
      <c r="D797" s="1050"/>
      <c r="E797" s="1050"/>
      <c r="F797" s="1049"/>
      <c r="G797" s="1049"/>
      <c r="H797" s="1049"/>
      <c r="I797" s="1049"/>
      <c r="J797" s="1050"/>
      <c r="K797" s="1050"/>
      <c r="L797" s="1043"/>
      <c r="M797" s="1051"/>
      <c r="N797" s="1051"/>
      <c r="O797" s="1052"/>
      <c r="P797" s="1051"/>
      <c r="Q797" s="1051"/>
      <c r="R797" s="1052"/>
      <c r="S797" s="1051"/>
      <c r="T797" s="1051"/>
      <c r="U797" s="1052"/>
      <c r="V797" s="1051"/>
      <c r="W797" s="1051"/>
      <c r="X797" s="1052"/>
      <c r="Y797" s="1053"/>
      <c r="Z797" s="1051"/>
      <c r="AA797" s="1051"/>
      <c r="AB797" s="1052"/>
      <c r="AC797" s="1051"/>
      <c r="AD797" s="1051"/>
      <c r="AE797" s="1052"/>
      <c r="AF797" s="1051"/>
      <c r="AG797" s="1051"/>
      <c r="AH797" s="1051"/>
      <c r="AI797" s="1051"/>
      <c r="AJ797" s="1052"/>
      <c r="AK797" s="1051"/>
      <c r="AL797" s="1051"/>
      <c r="AM797" s="1052"/>
      <c r="AN797" s="1051"/>
      <c r="AO797" s="1051"/>
      <c r="AP797" s="1052"/>
      <c r="AQ797" s="1051"/>
      <c r="AR797" s="1051"/>
      <c r="AS797" s="1052"/>
      <c r="AT797" s="1051"/>
      <c r="AU797" s="1051"/>
      <c r="AV797" s="1052"/>
      <c r="AW797" s="1051"/>
      <c r="AX797" s="1051"/>
      <c r="AY797" s="1053"/>
      <c r="AZ797" s="1051"/>
      <c r="BA797" s="1051"/>
      <c r="BB797" s="1053"/>
      <c r="BC797" s="1051"/>
      <c r="BD797" s="1051"/>
      <c r="BE797" s="1053"/>
      <c r="BF797" s="1051"/>
      <c r="BG797" s="1051"/>
      <c r="BH797" s="1053"/>
      <c r="BI797" s="1052"/>
      <c r="BJ797" s="1052"/>
      <c r="BK797" s="1052"/>
      <c r="BL797" s="1052"/>
      <c r="BM797" s="1052"/>
      <c r="BN797" s="1054"/>
      <c r="BO797" s="1076">
        <f t="shared" si="13"/>
        <v>0</v>
      </c>
      <c r="BP797" s="1051"/>
      <c r="BQ797" s="1052"/>
      <c r="BR797" s="1054"/>
      <c r="BS797" s="1053"/>
      <c r="BT797" s="1051"/>
      <c r="BU797" s="1051"/>
      <c r="BV797" s="1051"/>
      <c r="BW797" s="1052"/>
      <c r="BX797" s="1052"/>
      <c r="BY797" s="1052"/>
      <c r="BZ797" s="1052"/>
      <c r="CA797" s="1052"/>
      <c r="CB797" s="1053"/>
      <c r="CC797" s="1053"/>
      <c r="CD797" s="1053"/>
      <c r="CE797" s="1053"/>
      <c r="CF797" s="1053"/>
      <c r="CG797" s="1053"/>
      <c r="CH797" s="1053"/>
      <c r="CI797" s="1123"/>
      <c r="CJ797" s="1123"/>
      <c r="CK797" s="1123"/>
      <c r="CL797" s="1123"/>
      <c r="CM797" s="1123"/>
      <c r="CN797" s="1123"/>
      <c r="CO797" s="1123"/>
      <c r="CP797" s="1123"/>
      <c r="CQ797" s="1123"/>
      <c r="CR797" s="1123"/>
      <c r="CS797" s="1123"/>
      <c r="CT797" s="1123"/>
      <c r="CU797" s="1123"/>
      <c r="CV797" s="1123"/>
      <c r="CW797" s="1123"/>
      <c r="CX797" s="1123"/>
      <c r="CY797" s="1123"/>
      <c r="CZ797" s="1114"/>
      <c r="DA797" s="1114"/>
      <c r="DB797" s="1114"/>
      <c r="DC797" s="1114"/>
      <c r="DD797" s="1114"/>
      <c r="DE797" s="1114"/>
      <c r="DF797" s="1114"/>
      <c r="DG797" s="1114"/>
      <c r="DH797" s="1114"/>
      <c r="DI797" s="1114"/>
      <c r="DJ797" s="1114"/>
      <c r="DK797" s="1114"/>
      <c r="DL797" s="1114"/>
      <c r="DM797" s="1114"/>
      <c r="DN797" s="1114"/>
      <c r="DO797" s="1114"/>
      <c r="DP797" s="1114"/>
      <c r="DQ797" s="1114"/>
      <c r="DR797" s="1114"/>
      <c r="DS797" s="1114"/>
      <c r="DT797" s="1114"/>
      <c r="DU797" s="1114"/>
      <c r="DV797" s="1115"/>
      <c r="DW797" s="1116"/>
      <c r="DX797" s="1116"/>
      <c r="DY797" s="1116"/>
      <c r="DZ797" s="1116"/>
      <c r="EA797" s="1116"/>
      <c r="EB797" s="1116"/>
      <c r="EC797" s="1116"/>
      <c r="ED797" s="1116"/>
      <c r="EE797" s="1116"/>
      <c r="EF797" s="1116"/>
      <c r="EG797" s="1116"/>
      <c r="EH797" s="1116"/>
      <c r="EI797" s="1116"/>
      <c r="EJ797" s="1116"/>
      <c r="EK797" s="1116"/>
      <c r="EL797" s="1116"/>
      <c r="EM797" s="1116"/>
      <c r="EN797" s="1116"/>
      <c r="EO797" s="1116"/>
      <c r="EP797" s="1116"/>
      <c r="EQ797" s="1116"/>
      <c r="ER797" s="1116"/>
      <c r="ES797" s="1116"/>
    </row>
    <row r="798" spans="1:149" ht="15" customHeight="1">
      <c r="A798" s="1185">
        <v>788</v>
      </c>
      <c r="B798" s="1041"/>
      <c r="C798" s="1050"/>
      <c r="D798" s="1050"/>
      <c r="E798" s="1050"/>
      <c r="F798" s="1049"/>
      <c r="G798" s="1049"/>
      <c r="H798" s="1049"/>
      <c r="I798" s="1049"/>
      <c r="J798" s="1050"/>
      <c r="K798" s="1050"/>
      <c r="L798" s="1043"/>
      <c r="M798" s="1051"/>
      <c r="N798" s="1051"/>
      <c r="O798" s="1052"/>
      <c r="P798" s="1051"/>
      <c r="Q798" s="1051"/>
      <c r="R798" s="1052"/>
      <c r="S798" s="1051"/>
      <c r="T798" s="1051"/>
      <c r="U798" s="1052"/>
      <c r="V798" s="1051"/>
      <c r="W798" s="1051"/>
      <c r="X798" s="1052"/>
      <c r="Y798" s="1053"/>
      <c r="Z798" s="1051"/>
      <c r="AA798" s="1051"/>
      <c r="AB798" s="1052"/>
      <c r="AC798" s="1051"/>
      <c r="AD798" s="1051"/>
      <c r="AE798" s="1052"/>
      <c r="AF798" s="1051"/>
      <c r="AG798" s="1051"/>
      <c r="AH798" s="1051"/>
      <c r="AI798" s="1051"/>
      <c r="AJ798" s="1052"/>
      <c r="AK798" s="1051"/>
      <c r="AL798" s="1051"/>
      <c r="AM798" s="1052"/>
      <c r="AN798" s="1051"/>
      <c r="AO798" s="1051"/>
      <c r="AP798" s="1052"/>
      <c r="AQ798" s="1051"/>
      <c r="AR798" s="1051"/>
      <c r="AS798" s="1052"/>
      <c r="AT798" s="1051"/>
      <c r="AU798" s="1051"/>
      <c r="AV798" s="1052"/>
      <c r="AW798" s="1051"/>
      <c r="AX798" s="1051"/>
      <c r="AY798" s="1053"/>
      <c r="AZ798" s="1051"/>
      <c r="BA798" s="1051"/>
      <c r="BB798" s="1053"/>
      <c r="BC798" s="1051"/>
      <c r="BD798" s="1051"/>
      <c r="BE798" s="1053"/>
      <c r="BF798" s="1051"/>
      <c r="BG798" s="1051"/>
      <c r="BH798" s="1053"/>
      <c r="BI798" s="1052"/>
      <c r="BJ798" s="1052"/>
      <c r="BK798" s="1052"/>
      <c r="BL798" s="1052"/>
      <c r="BM798" s="1052"/>
      <c r="BN798" s="1054"/>
      <c r="BO798" s="1076">
        <f t="shared" si="13"/>
        <v>0</v>
      </c>
      <c r="BP798" s="1051"/>
      <c r="BQ798" s="1052"/>
      <c r="BR798" s="1054"/>
      <c r="BS798" s="1053"/>
      <c r="BT798" s="1051"/>
      <c r="BU798" s="1051"/>
      <c r="BV798" s="1051"/>
      <c r="BW798" s="1052"/>
      <c r="BX798" s="1052"/>
      <c r="BY798" s="1052"/>
      <c r="BZ798" s="1052"/>
      <c r="CA798" s="1052"/>
      <c r="CB798" s="1053"/>
      <c r="CC798" s="1053"/>
      <c r="CD798" s="1053"/>
      <c r="CE798" s="1053"/>
      <c r="CF798" s="1053"/>
      <c r="CG798" s="1053"/>
      <c r="CH798" s="1053"/>
      <c r="CI798" s="1123"/>
      <c r="CJ798" s="1123"/>
      <c r="CK798" s="1123"/>
      <c r="CL798" s="1123"/>
      <c r="CM798" s="1123"/>
      <c r="CN798" s="1123"/>
      <c r="CO798" s="1123"/>
      <c r="CP798" s="1123"/>
      <c r="CQ798" s="1123"/>
      <c r="CR798" s="1123"/>
      <c r="CS798" s="1123"/>
      <c r="CT798" s="1123"/>
      <c r="CU798" s="1123"/>
      <c r="CV798" s="1123"/>
      <c r="CW798" s="1123"/>
      <c r="CX798" s="1123"/>
      <c r="CY798" s="1123"/>
      <c r="CZ798" s="1114"/>
      <c r="DA798" s="1114"/>
      <c r="DB798" s="1114"/>
      <c r="DC798" s="1114"/>
      <c r="DD798" s="1114"/>
      <c r="DE798" s="1114"/>
      <c r="DF798" s="1114"/>
      <c r="DG798" s="1114"/>
      <c r="DH798" s="1114"/>
      <c r="DI798" s="1114"/>
      <c r="DJ798" s="1114"/>
      <c r="DK798" s="1114"/>
      <c r="DL798" s="1114"/>
      <c r="DM798" s="1114"/>
      <c r="DN798" s="1114"/>
      <c r="DO798" s="1114"/>
      <c r="DP798" s="1114"/>
      <c r="DQ798" s="1114"/>
      <c r="DR798" s="1114"/>
      <c r="DS798" s="1114"/>
      <c r="DT798" s="1114"/>
      <c r="DU798" s="1114"/>
      <c r="DV798" s="1115"/>
      <c r="DW798" s="1116"/>
      <c r="DX798" s="1116"/>
      <c r="DY798" s="1116"/>
      <c r="DZ798" s="1116"/>
      <c r="EA798" s="1116"/>
      <c r="EB798" s="1116"/>
      <c r="EC798" s="1116"/>
      <c r="ED798" s="1116"/>
      <c r="EE798" s="1116"/>
      <c r="EF798" s="1116"/>
      <c r="EG798" s="1116"/>
      <c r="EH798" s="1116"/>
      <c r="EI798" s="1116"/>
      <c r="EJ798" s="1116"/>
      <c r="EK798" s="1116"/>
      <c r="EL798" s="1116"/>
      <c r="EM798" s="1116"/>
      <c r="EN798" s="1116"/>
      <c r="EO798" s="1116"/>
      <c r="EP798" s="1116"/>
      <c r="EQ798" s="1116"/>
      <c r="ER798" s="1116"/>
      <c r="ES798" s="1116"/>
    </row>
    <row r="799" spans="1:149" ht="15" customHeight="1">
      <c r="A799" s="1185">
        <v>789</v>
      </c>
      <c r="B799" s="1041"/>
      <c r="C799" s="1050"/>
      <c r="D799" s="1050"/>
      <c r="E799" s="1050"/>
      <c r="F799" s="1049"/>
      <c r="G799" s="1049"/>
      <c r="H799" s="1049"/>
      <c r="I799" s="1049"/>
      <c r="J799" s="1050"/>
      <c r="K799" s="1050"/>
      <c r="L799" s="1043"/>
      <c r="M799" s="1051"/>
      <c r="N799" s="1051"/>
      <c r="O799" s="1052"/>
      <c r="P799" s="1051"/>
      <c r="Q799" s="1051"/>
      <c r="R799" s="1052"/>
      <c r="S799" s="1051"/>
      <c r="T799" s="1051"/>
      <c r="U799" s="1052"/>
      <c r="V799" s="1051"/>
      <c r="W799" s="1051"/>
      <c r="X799" s="1052"/>
      <c r="Y799" s="1053"/>
      <c r="Z799" s="1051"/>
      <c r="AA799" s="1051"/>
      <c r="AB799" s="1052"/>
      <c r="AC799" s="1051"/>
      <c r="AD799" s="1051"/>
      <c r="AE799" s="1052"/>
      <c r="AF799" s="1051"/>
      <c r="AG799" s="1051"/>
      <c r="AH799" s="1051"/>
      <c r="AI799" s="1051"/>
      <c r="AJ799" s="1052"/>
      <c r="AK799" s="1051"/>
      <c r="AL799" s="1051"/>
      <c r="AM799" s="1052"/>
      <c r="AN799" s="1051"/>
      <c r="AO799" s="1051"/>
      <c r="AP799" s="1052"/>
      <c r="AQ799" s="1051"/>
      <c r="AR799" s="1051"/>
      <c r="AS799" s="1052"/>
      <c r="AT799" s="1051"/>
      <c r="AU799" s="1051"/>
      <c r="AV799" s="1052"/>
      <c r="AW799" s="1051"/>
      <c r="AX799" s="1051"/>
      <c r="AY799" s="1053"/>
      <c r="AZ799" s="1051"/>
      <c r="BA799" s="1051"/>
      <c r="BB799" s="1053"/>
      <c r="BC799" s="1051"/>
      <c r="BD799" s="1051"/>
      <c r="BE799" s="1053"/>
      <c r="BF799" s="1051"/>
      <c r="BG799" s="1051"/>
      <c r="BH799" s="1053"/>
      <c r="BI799" s="1052"/>
      <c r="BJ799" s="1052"/>
      <c r="BK799" s="1052"/>
      <c r="BL799" s="1052"/>
      <c r="BM799" s="1052"/>
      <c r="BN799" s="1054"/>
      <c r="BO799" s="1076">
        <f t="shared" si="13"/>
        <v>0</v>
      </c>
      <c r="BP799" s="1051"/>
      <c r="BQ799" s="1052"/>
      <c r="BR799" s="1054"/>
      <c r="BS799" s="1053"/>
      <c r="BT799" s="1051"/>
      <c r="BU799" s="1051"/>
      <c r="BV799" s="1051"/>
      <c r="BW799" s="1052"/>
      <c r="BX799" s="1052"/>
      <c r="BY799" s="1052"/>
      <c r="BZ799" s="1052"/>
      <c r="CA799" s="1052"/>
      <c r="CB799" s="1053"/>
      <c r="CC799" s="1053"/>
      <c r="CD799" s="1053"/>
      <c r="CE799" s="1053"/>
      <c r="CF799" s="1053"/>
      <c r="CG799" s="1053"/>
      <c r="CH799" s="1053"/>
      <c r="CI799" s="1123"/>
      <c r="CJ799" s="1123"/>
      <c r="CK799" s="1123"/>
      <c r="CL799" s="1123"/>
      <c r="CM799" s="1123"/>
      <c r="CN799" s="1123"/>
      <c r="CO799" s="1123"/>
      <c r="CP799" s="1123"/>
      <c r="CQ799" s="1123"/>
      <c r="CR799" s="1123"/>
      <c r="CS799" s="1123"/>
      <c r="CT799" s="1123"/>
      <c r="CU799" s="1123"/>
      <c r="CV799" s="1123"/>
      <c r="CW799" s="1123"/>
      <c r="CX799" s="1123"/>
      <c r="CY799" s="1123"/>
      <c r="CZ799" s="1114"/>
      <c r="DA799" s="1114"/>
      <c r="DB799" s="1114"/>
      <c r="DC799" s="1114"/>
      <c r="DD799" s="1114"/>
      <c r="DE799" s="1114"/>
      <c r="DF799" s="1114"/>
      <c r="DG799" s="1114"/>
      <c r="DH799" s="1114"/>
      <c r="DI799" s="1114"/>
      <c r="DJ799" s="1114"/>
      <c r="DK799" s="1114"/>
      <c r="DL799" s="1114"/>
      <c r="DM799" s="1114"/>
      <c r="DN799" s="1114"/>
      <c r="DO799" s="1114"/>
      <c r="DP799" s="1114"/>
      <c r="DQ799" s="1114"/>
      <c r="DR799" s="1114"/>
      <c r="DS799" s="1114"/>
      <c r="DT799" s="1114"/>
      <c r="DU799" s="1114"/>
      <c r="DV799" s="1115"/>
      <c r="DW799" s="1116"/>
      <c r="DX799" s="1116"/>
      <c r="DY799" s="1116"/>
      <c r="DZ799" s="1116"/>
      <c r="EA799" s="1116"/>
      <c r="EB799" s="1116"/>
      <c r="EC799" s="1116"/>
      <c r="ED799" s="1116"/>
      <c r="EE799" s="1116"/>
      <c r="EF799" s="1116"/>
      <c r="EG799" s="1116"/>
      <c r="EH799" s="1116"/>
      <c r="EI799" s="1116"/>
      <c r="EJ799" s="1116"/>
      <c r="EK799" s="1116"/>
      <c r="EL799" s="1116"/>
      <c r="EM799" s="1116"/>
      <c r="EN799" s="1116"/>
      <c r="EO799" s="1116"/>
      <c r="EP799" s="1116"/>
      <c r="EQ799" s="1116"/>
      <c r="ER799" s="1116"/>
      <c r="ES799" s="1116"/>
    </row>
    <row r="800" spans="1:149" ht="15" customHeight="1">
      <c r="A800" s="1185">
        <v>790</v>
      </c>
      <c r="B800" s="1041"/>
      <c r="C800" s="1050"/>
      <c r="D800" s="1050"/>
      <c r="E800" s="1050"/>
      <c r="F800" s="1049"/>
      <c r="G800" s="1049"/>
      <c r="H800" s="1049"/>
      <c r="I800" s="1049"/>
      <c r="J800" s="1050"/>
      <c r="K800" s="1050"/>
      <c r="L800" s="1043"/>
      <c r="M800" s="1051"/>
      <c r="N800" s="1051"/>
      <c r="O800" s="1052"/>
      <c r="P800" s="1051"/>
      <c r="Q800" s="1051"/>
      <c r="R800" s="1052"/>
      <c r="S800" s="1051"/>
      <c r="T800" s="1051"/>
      <c r="U800" s="1052"/>
      <c r="V800" s="1051"/>
      <c r="W800" s="1051"/>
      <c r="X800" s="1052"/>
      <c r="Y800" s="1053"/>
      <c r="Z800" s="1051"/>
      <c r="AA800" s="1051"/>
      <c r="AB800" s="1052"/>
      <c r="AC800" s="1051"/>
      <c r="AD800" s="1051"/>
      <c r="AE800" s="1052"/>
      <c r="AF800" s="1051"/>
      <c r="AG800" s="1051"/>
      <c r="AH800" s="1051"/>
      <c r="AI800" s="1051"/>
      <c r="AJ800" s="1052"/>
      <c r="AK800" s="1051"/>
      <c r="AL800" s="1051"/>
      <c r="AM800" s="1052"/>
      <c r="AN800" s="1051"/>
      <c r="AO800" s="1051"/>
      <c r="AP800" s="1052"/>
      <c r="AQ800" s="1051"/>
      <c r="AR800" s="1051"/>
      <c r="AS800" s="1052"/>
      <c r="AT800" s="1051"/>
      <c r="AU800" s="1051"/>
      <c r="AV800" s="1052"/>
      <c r="AW800" s="1051"/>
      <c r="AX800" s="1051"/>
      <c r="AY800" s="1053"/>
      <c r="AZ800" s="1051"/>
      <c r="BA800" s="1051"/>
      <c r="BB800" s="1053"/>
      <c r="BC800" s="1051"/>
      <c r="BD800" s="1051"/>
      <c r="BE800" s="1053"/>
      <c r="BF800" s="1051"/>
      <c r="BG800" s="1051"/>
      <c r="BH800" s="1053"/>
      <c r="BI800" s="1052"/>
      <c r="BJ800" s="1052"/>
      <c r="BK800" s="1052"/>
      <c r="BL800" s="1052"/>
      <c r="BM800" s="1052"/>
      <c r="BN800" s="1054"/>
      <c r="BO800" s="1076">
        <f t="shared" si="13"/>
        <v>0</v>
      </c>
      <c r="BP800" s="1051"/>
      <c r="BQ800" s="1052"/>
      <c r="BR800" s="1054"/>
      <c r="BS800" s="1053"/>
      <c r="BT800" s="1051"/>
      <c r="BU800" s="1051"/>
      <c r="BV800" s="1051"/>
      <c r="BW800" s="1052"/>
      <c r="BX800" s="1052"/>
      <c r="BY800" s="1052"/>
      <c r="BZ800" s="1052"/>
      <c r="CA800" s="1052"/>
      <c r="CB800" s="1053"/>
      <c r="CC800" s="1053"/>
      <c r="CD800" s="1053"/>
      <c r="CE800" s="1053"/>
      <c r="CF800" s="1053"/>
      <c r="CG800" s="1053"/>
      <c r="CH800" s="1053"/>
      <c r="CI800" s="1123"/>
      <c r="CJ800" s="1123"/>
      <c r="CK800" s="1123"/>
      <c r="CL800" s="1123"/>
      <c r="CM800" s="1123"/>
      <c r="CN800" s="1123"/>
      <c r="CO800" s="1123"/>
      <c r="CP800" s="1123"/>
      <c r="CQ800" s="1123"/>
      <c r="CR800" s="1123"/>
      <c r="CS800" s="1123"/>
      <c r="CT800" s="1123"/>
      <c r="CU800" s="1123"/>
      <c r="CV800" s="1123"/>
      <c r="CW800" s="1123"/>
      <c r="CX800" s="1123"/>
      <c r="CY800" s="1123"/>
      <c r="CZ800" s="1114"/>
      <c r="DA800" s="1114"/>
      <c r="DB800" s="1114"/>
      <c r="DC800" s="1114"/>
      <c r="DD800" s="1114"/>
      <c r="DE800" s="1114"/>
      <c r="DF800" s="1114"/>
      <c r="DG800" s="1114"/>
      <c r="DH800" s="1114"/>
      <c r="DI800" s="1114"/>
      <c r="DJ800" s="1114"/>
      <c r="DK800" s="1114"/>
      <c r="DL800" s="1114"/>
      <c r="DM800" s="1114"/>
      <c r="DN800" s="1114"/>
      <c r="DO800" s="1114"/>
      <c r="DP800" s="1114"/>
      <c r="DQ800" s="1114"/>
      <c r="DR800" s="1114"/>
      <c r="DS800" s="1114"/>
      <c r="DT800" s="1114"/>
      <c r="DU800" s="1114"/>
      <c r="DV800" s="1115"/>
      <c r="DW800" s="1116"/>
      <c r="DX800" s="1116"/>
      <c r="DY800" s="1116"/>
      <c r="DZ800" s="1116"/>
      <c r="EA800" s="1116"/>
      <c r="EB800" s="1116"/>
      <c r="EC800" s="1116"/>
      <c r="ED800" s="1116"/>
      <c r="EE800" s="1116"/>
      <c r="EF800" s="1116"/>
      <c r="EG800" s="1116"/>
      <c r="EH800" s="1116"/>
      <c r="EI800" s="1116"/>
      <c r="EJ800" s="1116"/>
      <c r="EK800" s="1116"/>
      <c r="EL800" s="1116"/>
      <c r="EM800" s="1116"/>
      <c r="EN800" s="1116"/>
      <c r="EO800" s="1116"/>
      <c r="EP800" s="1116"/>
      <c r="EQ800" s="1116"/>
      <c r="ER800" s="1116"/>
      <c r="ES800" s="1116"/>
    </row>
    <row r="801" spans="1:149" ht="15" customHeight="1">
      <c r="A801" s="1185">
        <v>791</v>
      </c>
      <c r="B801" s="1041"/>
      <c r="C801" s="1050"/>
      <c r="D801" s="1050"/>
      <c r="E801" s="1050"/>
      <c r="F801" s="1049"/>
      <c r="G801" s="1049"/>
      <c r="H801" s="1049"/>
      <c r="I801" s="1049"/>
      <c r="J801" s="1050"/>
      <c r="K801" s="1050"/>
      <c r="L801" s="1043"/>
      <c r="M801" s="1051"/>
      <c r="N801" s="1051"/>
      <c r="O801" s="1052"/>
      <c r="P801" s="1051"/>
      <c r="Q801" s="1051"/>
      <c r="R801" s="1052"/>
      <c r="S801" s="1051"/>
      <c r="T801" s="1051"/>
      <c r="U801" s="1052"/>
      <c r="V801" s="1051"/>
      <c r="W801" s="1051"/>
      <c r="X801" s="1052"/>
      <c r="Y801" s="1053"/>
      <c r="Z801" s="1051"/>
      <c r="AA801" s="1051"/>
      <c r="AB801" s="1052"/>
      <c r="AC801" s="1051"/>
      <c r="AD801" s="1051"/>
      <c r="AE801" s="1052"/>
      <c r="AF801" s="1051"/>
      <c r="AG801" s="1051"/>
      <c r="AH801" s="1051"/>
      <c r="AI801" s="1051"/>
      <c r="AJ801" s="1052"/>
      <c r="AK801" s="1051"/>
      <c r="AL801" s="1051"/>
      <c r="AM801" s="1052"/>
      <c r="AN801" s="1051"/>
      <c r="AO801" s="1051"/>
      <c r="AP801" s="1052"/>
      <c r="AQ801" s="1051"/>
      <c r="AR801" s="1051"/>
      <c r="AS801" s="1052"/>
      <c r="AT801" s="1051"/>
      <c r="AU801" s="1051"/>
      <c r="AV801" s="1052"/>
      <c r="AW801" s="1051"/>
      <c r="AX801" s="1051"/>
      <c r="AY801" s="1053"/>
      <c r="AZ801" s="1051"/>
      <c r="BA801" s="1051"/>
      <c r="BB801" s="1053"/>
      <c r="BC801" s="1051"/>
      <c r="BD801" s="1051"/>
      <c r="BE801" s="1053"/>
      <c r="BF801" s="1051"/>
      <c r="BG801" s="1051"/>
      <c r="BH801" s="1053"/>
      <c r="BI801" s="1052"/>
      <c r="BJ801" s="1052"/>
      <c r="BK801" s="1052"/>
      <c r="BL801" s="1052"/>
      <c r="BM801" s="1052"/>
      <c r="BN801" s="1054"/>
      <c r="BO801" s="1076">
        <f t="shared" si="13"/>
        <v>0</v>
      </c>
      <c r="BP801" s="1051"/>
      <c r="BQ801" s="1052"/>
      <c r="BR801" s="1054"/>
      <c r="BS801" s="1053"/>
      <c r="BT801" s="1051"/>
      <c r="BU801" s="1051"/>
      <c r="BV801" s="1051"/>
      <c r="BW801" s="1052"/>
      <c r="BX801" s="1052"/>
      <c r="BY801" s="1052"/>
      <c r="BZ801" s="1052"/>
      <c r="CA801" s="1052"/>
      <c r="CB801" s="1053"/>
      <c r="CC801" s="1053"/>
      <c r="CD801" s="1053"/>
      <c r="CE801" s="1053"/>
      <c r="CF801" s="1053"/>
      <c r="CG801" s="1053"/>
      <c r="CH801" s="1053"/>
      <c r="CI801" s="1123"/>
      <c r="CJ801" s="1123"/>
      <c r="CK801" s="1123"/>
      <c r="CL801" s="1123"/>
      <c r="CM801" s="1123"/>
      <c r="CN801" s="1123"/>
      <c r="CO801" s="1123"/>
      <c r="CP801" s="1123"/>
      <c r="CQ801" s="1123"/>
      <c r="CR801" s="1123"/>
      <c r="CS801" s="1123"/>
      <c r="CT801" s="1123"/>
      <c r="CU801" s="1123"/>
      <c r="CV801" s="1123"/>
      <c r="CW801" s="1123"/>
      <c r="CX801" s="1123"/>
      <c r="CY801" s="1123"/>
      <c r="CZ801" s="1114"/>
      <c r="DA801" s="1114"/>
      <c r="DB801" s="1114"/>
      <c r="DC801" s="1114"/>
      <c r="DD801" s="1114"/>
      <c r="DE801" s="1114"/>
      <c r="DF801" s="1114"/>
      <c r="DG801" s="1114"/>
      <c r="DH801" s="1114"/>
      <c r="DI801" s="1114"/>
      <c r="DJ801" s="1114"/>
      <c r="DK801" s="1114"/>
      <c r="DL801" s="1114"/>
      <c r="DM801" s="1114"/>
      <c r="DN801" s="1114"/>
      <c r="DO801" s="1114"/>
      <c r="DP801" s="1114"/>
      <c r="DQ801" s="1114"/>
      <c r="DR801" s="1114"/>
      <c r="DS801" s="1114"/>
      <c r="DT801" s="1114"/>
      <c r="DU801" s="1114"/>
      <c r="DV801" s="1115"/>
      <c r="DW801" s="1116"/>
      <c r="DX801" s="1116"/>
      <c r="DY801" s="1116"/>
      <c r="DZ801" s="1116"/>
      <c r="EA801" s="1116"/>
      <c r="EB801" s="1116"/>
      <c r="EC801" s="1116"/>
      <c r="ED801" s="1116"/>
      <c r="EE801" s="1116"/>
      <c r="EF801" s="1116"/>
      <c r="EG801" s="1116"/>
      <c r="EH801" s="1116"/>
      <c r="EI801" s="1116"/>
      <c r="EJ801" s="1116"/>
      <c r="EK801" s="1116"/>
      <c r="EL801" s="1116"/>
      <c r="EM801" s="1116"/>
      <c r="EN801" s="1116"/>
      <c r="EO801" s="1116"/>
      <c r="EP801" s="1116"/>
      <c r="EQ801" s="1116"/>
      <c r="ER801" s="1116"/>
      <c r="ES801" s="1116"/>
    </row>
    <row r="802" spans="1:149" ht="15" customHeight="1">
      <c r="A802" s="1185">
        <v>792</v>
      </c>
      <c r="B802" s="1041"/>
      <c r="C802" s="1050"/>
      <c r="D802" s="1050"/>
      <c r="E802" s="1050"/>
      <c r="F802" s="1049"/>
      <c r="G802" s="1049"/>
      <c r="H802" s="1049"/>
      <c r="I802" s="1049"/>
      <c r="J802" s="1050"/>
      <c r="K802" s="1050"/>
      <c r="L802" s="1043"/>
      <c r="M802" s="1051"/>
      <c r="N802" s="1051"/>
      <c r="O802" s="1052"/>
      <c r="P802" s="1051"/>
      <c r="Q802" s="1051"/>
      <c r="R802" s="1052"/>
      <c r="S802" s="1051"/>
      <c r="T802" s="1051"/>
      <c r="U802" s="1052"/>
      <c r="V802" s="1051"/>
      <c r="W802" s="1051"/>
      <c r="X802" s="1052"/>
      <c r="Y802" s="1053"/>
      <c r="Z802" s="1051"/>
      <c r="AA802" s="1051"/>
      <c r="AB802" s="1052"/>
      <c r="AC802" s="1051"/>
      <c r="AD802" s="1051"/>
      <c r="AE802" s="1052"/>
      <c r="AF802" s="1051"/>
      <c r="AG802" s="1051"/>
      <c r="AH802" s="1051"/>
      <c r="AI802" s="1051"/>
      <c r="AJ802" s="1052"/>
      <c r="AK802" s="1051"/>
      <c r="AL802" s="1051"/>
      <c r="AM802" s="1052"/>
      <c r="AN802" s="1051"/>
      <c r="AO802" s="1051"/>
      <c r="AP802" s="1052"/>
      <c r="AQ802" s="1051"/>
      <c r="AR802" s="1051"/>
      <c r="AS802" s="1052"/>
      <c r="AT802" s="1051"/>
      <c r="AU802" s="1051"/>
      <c r="AV802" s="1052"/>
      <c r="AW802" s="1051"/>
      <c r="AX802" s="1051"/>
      <c r="AY802" s="1053"/>
      <c r="AZ802" s="1051"/>
      <c r="BA802" s="1051"/>
      <c r="BB802" s="1053"/>
      <c r="BC802" s="1051"/>
      <c r="BD802" s="1051"/>
      <c r="BE802" s="1053"/>
      <c r="BF802" s="1051"/>
      <c r="BG802" s="1051"/>
      <c r="BH802" s="1053"/>
      <c r="BI802" s="1052"/>
      <c r="BJ802" s="1052"/>
      <c r="BK802" s="1052"/>
      <c r="BL802" s="1052"/>
      <c r="BM802" s="1052"/>
      <c r="BN802" s="1054"/>
      <c r="BO802" s="1076">
        <f t="shared" si="13"/>
        <v>0</v>
      </c>
      <c r="BP802" s="1051"/>
      <c r="BQ802" s="1052"/>
      <c r="BR802" s="1054"/>
      <c r="BS802" s="1053"/>
      <c r="BT802" s="1051"/>
      <c r="BU802" s="1051"/>
      <c r="BV802" s="1051"/>
      <c r="BW802" s="1052"/>
      <c r="BX802" s="1052"/>
      <c r="BY802" s="1052"/>
      <c r="BZ802" s="1052"/>
      <c r="CA802" s="1052"/>
      <c r="CB802" s="1053"/>
      <c r="CC802" s="1053"/>
      <c r="CD802" s="1053"/>
      <c r="CE802" s="1053"/>
      <c r="CF802" s="1053"/>
      <c r="CG802" s="1053"/>
      <c r="CH802" s="1053"/>
      <c r="CI802" s="1123"/>
      <c r="CJ802" s="1123"/>
      <c r="CK802" s="1123"/>
      <c r="CL802" s="1123"/>
      <c r="CM802" s="1123"/>
      <c r="CN802" s="1123"/>
      <c r="CO802" s="1123"/>
      <c r="CP802" s="1123"/>
      <c r="CQ802" s="1123"/>
      <c r="CR802" s="1123"/>
      <c r="CS802" s="1123"/>
      <c r="CT802" s="1123"/>
      <c r="CU802" s="1123"/>
      <c r="CV802" s="1123"/>
      <c r="CW802" s="1123"/>
      <c r="CX802" s="1123"/>
      <c r="CY802" s="1123"/>
      <c r="CZ802" s="1114"/>
      <c r="DA802" s="1114"/>
      <c r="DB802" s="1114"/>
      <c r="DC802" s="1114"/>
      <c r="DD802" s="1114"/>
      <c r="DE802" s="1114"/>
      <c r="DF802" s="1114"/>
      <c r="DG802" s="1114"/>
      <c r="DH802" s="1114"/>
      <c r="DI802" s="1114"/>
      <c r="DJ802" s="1114"/>
      <c r="DK802" s="1114"/>
      <c r="DL802" s="1114"/>
      <c r="DM802" s="1114"/>
      <c r="DN802" s="1114"/>
      <c r="DO802" s="1114"/>
      <c r="DP802" s="1114"/>
      <c r="DQ802" s="1114"/>
      <c r="DR802" s="1114"/>
      <c r="DS802" s="1114"/>
      <c r="DT802" s="1114"/>
      <c r="DU802" s="1114"/>
      <c r="DV802" s="1115"/>
      <c r="DW802" s="1116"/>
      <c r="DX802" s="1116"/>
      <c r="DY802" s="1116"/>
      <c r="DZ802" s="1116"/>
      <c r="EA802" s="1116"/>
      <c r="EB802" s="1116"/>
      <c r="EC802" s="1116"/>
      <c r="ED802" s="1116"/>
      <c r="EE802" s="1116"/>
      <c r="EF802" s="1116"/>
      <c r="EG802" s="1116"/>
      <c r="EH802" s="1116"/>
      <c r="EI802" s="1116"/>
      <c r="EJ802" s="1116"/>
      <c r="EK802" s="1116"/>
      <c r="EL802" s="1116"/>
      <c r="EM802" s="1116"/>
      <c r="EN802" s="1116"/>
      <c r="EO802" s="1116"/>
      <c r="EP802" s="1116"/>
      <c r="EQ802" s="1116"/>
      <c r="ER802" s="1116"/>
      <c r="ES802" s="1116"/>
    </row>
    <row r="803" spans="1:149" ht="15" customHeight="1">
      <c r="A803" s="1185">
        <v>793</v>
      </c>
      <c r="B803" s="1041"/>
      <c r="C803" s="1050"/>
      <c r="D803" s="1050"/>
      <c r="E803" s="1050"/>
      <c r="F803" s="1049"/>
      <c r="G803" s="1049"/>
      <c r="H803" s="1049"/>
      <c r="I803" s="1049"/>
      <c r="J803" s="1050"/>
      <c r="K803" s="1050"/>
      <c r="L803" s="1043"/>
      <c r="M803" s="1051"/>
      <c r="N803" s="1051"/>
      <c r="O803" s="1052"/>
      <c r="P803" s="1051"/>
      <c r="Q803" s="1051"/>
      <c r="R803" s="1052"/>
      <c r="S803" s="1051"/>
      <c r="T803" s="1051"/>
      <c r="U803" s="1052"/>
      <c r="V803" s="1051"/>
      <c r="W803" s="1051"/>
      <c r="X803" s="1052"/>
      <c r="Y803" s="1053"/>
      <c r="Z803" s="1051"/>
      <c r="AA803" s="1051"/>
      <c r="AB803" s="1052"/>
      <c r="AC803" s="1051"/>
      <c r="AD803" s="1051"/>
      <c r="AE803" s="1052"/>
      <c r="AF803" s="1051"/>
      <c r="AG803" s="1051"/>
      <c r="AH803" s="1051"/>
      <c r="AI803" s="1051"/>
      <c r="AJ803" s="1052"/>
      <c r="AK803" s="1051"/>
      <c r="AL803" s="1051"/>
      <c r="AM803" s="1052"/>
      <c r="AN803" s="1051"/>
      <c r="AO803" s="1051"/>
      <c r="AP803" s="1052"/>
      <c r="AQ803" s="1051"/>
      <c r="AR803" s="1051"/>
      <c r="AS803" s="1052"/>
      <c r="AT803" s="1051"/>
      <c r="AU803" s="1051"/>
      <c r="AV803" s="1052"/>
      <c r="AW803" s="1051"/>
      <c r="AX803" s="1051"/>
      <c r="AY803" s="1053"/>
      <c r="AZ803" s="1051"/>
      <c r="BA803" s="1051"/>
      <c r="BB803" s="1053"/>
      <c r="BC803" s="1051"/>
      <c r="BD803" s="1051"/>
      <c r="BE803" s="1053"/>
      <c r="BF803" s="1051"/>
      <c r="BG803" s="1051"/>
      <c r="BH803" s="1053"/>
      <c r="BI803" s="1052"/>
      <c r="BJ803" s="1052"/>
      <c r="BK803" s="1052"/>
      <c r="BL803" s="1052"/>
      <c r="BM803" s="1052"/>
      <c r="BN803" s="1054"/>
      <c r="BO803" s="1076">
        <f t="shared" si="13"/>
        <v>0</v>
      </c>
      <c r="BP803" s="1051"/>
      <c r="BQ803" s="1052"/>
      <c r="BR803" s="1054"/>
      <c r="BS803" s="1053"/>
      <c r="BT803" s="1051"/>
      <c r="BU803" s="1051"/>
      <c r="BV803" s="1051"/>
      <c r="BW803" s="1052"/>
      <c r="BX803" s="1052"/>
      <c r="BY803" s="1052"/>
      <c r="BZ803" s="1052"/>
      <c r="CA803" s="1052"/>
      <c r="CB803" s="1053"/>
      <c r="CC803" s="1053"/>
      <c r="CD803" s="1053"/>
      <c r="CE803" s="1053"/>
      <c r="CF803" s="1053"/>
      <c r="CG803" s="1053"/>
      <c r="CH803" s="1053"/>
      <c r="CI803" s="1123"/>
      <c r="CJ803" s="1123"/>
      <c r="CK803" s="1123"/>
      <c r="CL803" s="1123"/>
      <c r="CM803" s="1123"/>
      <c r="CN803" s="1123"/>
      <c r="CO803" s="1123"/>
      <c r="CP803" s="1123"/>
      <c r="CQ803" s="1123"/>
      <c r="CR803" s="1123"/>
      <c r="CS803" s="1123"/>
      <c r="CT803" s="1123"/>
      <c r="CU803" s="1123"/>
      <c r="CV803" s="1123"/>
      <c r="CW803" s="1123"/>
      <c r="CX803" s="1123"/>
      <c r="CY803" s="1123"/>
      <c r="CZ803" s="1114"/>
      <c r="DA803" s="1114"/>
      <c r="DB803" s="1114"/>
      <c r="DC803" s="1114"/>
      <c r="DD803" s="1114"/>
      <c r="DE803" s="1114"/>
      <c r="DF803" s="1114"/>
      <c r="DG803" s="1114"/>
      <c r="DH803" s="1114"/>
      <c r="DI803" s="1114"/>
      <c r="DJ803" s="1114"/>
      <c r="DK803" s="1114"/>
      <c r="DL803" s="1114"/>
      <c r="DM803" s="1114"/>
      <c r="DN803" s="1114"/>
      <c r="DO803" s="1114"/>
      <c r="DP803" s="1114"/>
      <c r="DQ803" s="1114"/>
      <c r="DR803" s="1114"/>
      <c r="DS803" s="1114"/>
      <c r="DT803" s="1114"/>
      <c r="DU803" s="1114"/>
      <c r="DV803" s="1115"/>
      <c r="DW803" s="1116"/>
      <c r="DX803" s="1116"/>
      <c r="DY803" s="1116"/>
      <c r="DZ803" s="1116"/>
      <c r="EA803" s="1116"/>
      <c r="EB803" s="1116"/>
      <c r="EC803" s="1116"/>
      <c r="ED803" s="1116"/>
      <c r="EE803" s="1116"/>
      <c r="EF803" s="1116"/>
      <c r="EG803" s="1116"/>
      <c r="EH803" s="1116"/>
      <c r="EI803" s="1116"/>
      <c r="EJ803" s="1116"/>
      <c r="EK803" s="1116"/>
      <c r="EL803" s="1116"/>
      <c r="EM803" s="1116"/>
      <c r="EN803" s="1116"/>
      <c r="EO803" s="1116"/>
      <c r="EP803" s="1116"/>
      <c r="EQ803" s="1116"/>
      <c r="ER803" s="1116"/>
      <c r="ES803" s="1116"/>
    </row>
    <row r="804" spans="1:149" ht="15" customHeight="1">
      <c r="A804" s="1185">
        <v>794</v>
      </c>
      <c r="B804" s="1041"/>
      <c r="C804" s="1050"/>
      <c r="D804" s="1050"/>
      <c r="E804" s="1050"/>
      <c r="F804" s="1049"/>
      <c r="G804" s="1049"/>
      <c r="H804" s="1049"/>
      <c r="I804" s="1049"/>
      <c r="J804" s="1050"/>
      <c r="K804" s="1050"/>
      <c r="L804" s="1043"/>
      <c r="M804" s="1051"/>
      <c r="N804" s="1051"/>
      <c r="O804" s="1052"/>
      <c r="P804" s="1051"/>
      <c r="Q804" s="1051"/>
      <c r="R804" s="1052"/>
      <c r="S804" s="1051"/>
      <c r="T804" s="1051"/>
      <c r="U804" s="1052"/>
      <c r="V804" s="1051"/>
      <c r="W804" s="1051"/>
      <c r="X804" s="1052"/>
      <c r="Y804" s="1053"/>
      <c r="Z804" s="1051"/>
      <c r="AA804" s="1051"/>
      <c r="AB804" s="1052"/>
      <c r="AC804" s="1051"/>
      <c r="AD804" s="1051"/>
      <c r="AE804" s="1052"/>
      <c r="AF804" s="1051"/>
      <c r="AG804" s="1051"/>
      <c r="AH804" s="1051"/>
      <c r="AI804" s="1051"/>
      <c r="AJ804" s="1052"/>
      <c r="AK804" s="1051"/>
      <c r="AL804" s="1051"/>
      <c r="AM804" s="1052"/>
      <c r="AN804" s="1051"/>
      <c r="AO804" s="1051"/>
      <c r="AP804" s="1052"/>
      <c r="AQ804" s="1051"/>
      <c r="AR804" s="1051"/>
      <c r="AS804" s="1052"/>
      <c r="AT804" s="1051"/>
      <c r="AU804" s="1051"/>
      <c r="AV804" s="1052"/>
      <c r="AW804" s="1051"/>
      <c r="AX804" s="1051"/>
      <c r="AY804" s="1053"/>
      <c r="AZ804" s="1051"/>
      <c r="BA804" s="1051"/>
      <c r="BB804" s="1053"/>
      <c r="BC804" s="1051"/>
      <c r="BD804" s="1051"/>
      <c r="BE804" s="1053"/>
      <c r="BF804" s="1051"/>
      <c r="BG804" s="1051"/>
      <c r="BH804" s="1053"/>
      <c r="BI804" s="1052"/>
      <c r="BJ804" s="1052"/>
      <c r="BK804" s="1052"/>
      <c r="BL804" s="1052"/>
      <c r="BM804" s="1052"/>
      <c r="BN804" s="1054"/>
      <c r="BO804" s="1076">
        <f t="shared" si="13"/>
        <v>0</v>
      </c>
      <c r="BP804" s="1051"/>
      <c r="BQ804" s="1052"/>
      <c r="BR804" s="1054"/>
      <c r="BS804" s="1053"/>
      <c r="BT804" s="1051"/>
      <c r="BU804" s="1051"/>
      <c r="BV804" s="1051"/>
      <c r="BW804" s="1052"/>
      <c r="BX804" s="1052"/>
      <c r="BY804" s="1052"/>
      <c r="BZ804" s="1052"/>
      <c r="CA804" s="1052"/>
      <c r="CB804" s="1053"/>
      <c r="CC804" s="1053"/>
      <c r="CD804" s="1053"/>
      <c r="CE804" s="1053"/>
      <c r="CF804" s="1053"/>
      <c r="CG804" s="1053"/>
      <c r="CH804" s="1053"/>
      <c r="CI804" s="1123"/>
      <c r="CJ804" s="1123"/>
      <c r="CK804" s="1123"/>
      <c r="CL804" s="1123"/>
      <c r="CM804" s="1123"/>
      <c r="CN804" s="1123"/>
      <c r="CO804" s="1123"/>
      <c r="CP804" s="1123"/>
      <c r="CQ804" s="1123"/>
      <c r="CR804" s="1123"/>
      <c r="CS804" s="1123"/>
      <c r="CT804" s="1123"/>
      <c r="CU804" s="1123"/>
      <c r="CV804" s="1123"/>
      <c r="CW804" s="1123"/>
      <c r="CX804" s="1123"/>
      <c r="CY804" s="1123"/>
      <c r="CZ804" s="1114"/>
      <c r="DA804" s="1114"/>
      <c r="DB804" s="1114"/>
      <c r="DC804" s="1114"/>
      <c r="DD804" s="1114"/>
      <c r="DE804" s="1114"/>
      <c r="DF804" s="1114"/>
      <c r="DG804" s="1114"/>
      <c r="DH804" s="1114"/>
      <c r="DI804" s="1114"/>
      <c r="DJ804" s="1114"/>
      <c r="DK804" s="1114"/>
      <c r="DL804" s="1114"/>
      <c r="DM804" s="1114"/>
      <c r="DN804" s="1114"/>
      <c r="DO804" s="1114"/>
      <c r="DP804" s="1114"/>
      <c r="DQ804" s="1114"/>
      <c r="DR804" s="1114"/>
      <c r="DS804" s="1114"/>
      <c r="DT804" s="1114"/>
      <c r="DU804" s="1114"/>
      <c r="DV804" s="1115"/>
      <c r="DW804" s="1116"/>
      <c r="DX804" s="1116"/>
      <c r="DY804" s="1116"/>
      <c r="DZ804" s="1116"/>
      <c r="EA804" s="1116"/>
      <c r="EB804" s="1116"/>
      <c r="EC804" s="1116"/>
      <c r="ED804" s="1116"/>
      <c r="EE804" s="1116"/>
      <c r="EF804" s="1116"/>
      <c r="EG804" s="1116"/>
      <c r="EH804" s="1116"/>
      <c r="EI804" s="1116"/>
      <c r="EJ804" s="1116"/>
      <c r="EK804" s="1116"/>
      <c r="EL804" s="1116"/>
      <c r="EM804" s="1116"/>
      <c r="EN804" s="1116"/>
      <c r="EO804" s="1116"/>
      <c r="EP804" s="1116"/>
      <c r="EQ804" s="1116"/>
      <c r="ER804" s="1116"/>
      <c r="ES804" s="1116"/>
    </row>
    <row r="805" spans="1:149" ht="15" customHeight="1">
      <c r="A805" s="1185">
        <v>795</v>
      </c>
      <c r="B805" s="1041"/>
      <c r="C805" s="1050"/>
      <c r="D805" s="1050"/>
      <c r="E805" s="1050"/>
      <c r="F805" s="1049"/>
      <c r="G805" s="1049"/>
      <c r="H805" s="1049"/>
      <c r="I805" s="1049"/>
      <c r="J805" s="1050"/>
      <c r="K805" s="1050"/>
      <c r="L805" s="1043"/>
      <c r="M805" s="1051"/>
      <c r="N805" s="1051"/>
      <c r="O805" s="1052"/>
      <c r="P805" s="1051"/>
      <c r="Q805" s="1051"/>
      <c r="R805" s="1052"/>
      <c r="S805" s="1051"/>
      <c r="T805" s="1051"/>
      <c r="U805" s="1052"/>
      <c r="V805" s="1051"/>
      <c r="W805" s="1051"/>
      <c r="X805" s="1052"/>
      <c r="Y805" s="1053"/>
      <c r="Z805" s="1051"/>
      <c r="AA805" s="1051"/>
      <c r="AB805" s="1052"/>
      <c r="AC805" s="1051"/>
      <c r="AD805" s="1051"/>
      <c r="AE805" s="1052"/>
      <c r="AF805" s="1051"/>
      <c r="AG805" s="1051"/>
      <c r="AH805" s="1051"/>
      <c r="AI805" s="1051"/>
      <c r="AJ805" s="1052"/>
      <c r="AK805" s="1051"/>
      <c r="AL805" s="1051"/>
      <c r="AM805" s="1052"/>
      <c r="AN805" s="1051"/>
      <c r="AO805" s="1051"/>
      <c r="AP805" s="1052"/>
      <c r="AQ805" s="1051"/>
      <c r="AR805" s="1051"/>
      <c r="AS805" s="1052"/>
      <c r="AT805" s="1051"/>
      <c r="AU805" s="1051"/>
      <c r="AV805" s="1052"/>
      <c r="AW805" s="1051"/>
      <c r="AX805" s="1051"/>
      <c r="AY805" s="1053"/>
      <c r="AZ805" s="1051"/>
      <c r="BA805" s="1051"/>
      <c r="BB805" s="1053"/>
      <c r="BC805" s="1051"/>
      <c r="BD805" s="1051"/>
      <c r="BE805" s="1053"/>
      <c r="BF805" s="1051"/>
      <c r="BG805" s="1051"/>
      <c r="BH805" s="1053"/>
      <c r="BI805" s="1052"/>
      <c r="BJ805" s="1052"/>
      <c r="BK805" s="1052"/>
      <c r="BL805" s="1052"/>
      <c r="BM805" s="1052"/>
      <c r="BN805" s="1054"/>
      <c r="BO805" s="1076">
        <f t="shared" si="13"/>
        <v>0</v>
      </c>
      <c r="BP805" s="1051"/>
      <c r="BQ805" s="1052"/>
      <c r="BR805" s="1054"/>
      <c r="BS805" s="1053"/>
      <c r="BT805" s="1051"/>
      <c r="BU805" s="1051"/>
      <c r="BV805" s="1051"/>
      <c r="BW805" s="1052"/>
      <c r="BX805" s="1052"/>
      <c r="BY805" s="1052"/>
      <c r="BZ805" s="1052"/>
      <c r="CA805" s="1052"/>
      <c r="CB805" s="1053"/>
      <c r="CC805" s="1053"/>
      <c r="CD805" s="1053"/>
      <c r="CE805" s="1053"/>
      <c r="CF805" s="1053"/>
      <c r="CG805" s="1053"/>
      <c r="CH805" s="1053"/>
      <c r="CI805" s="1123"/>
      <c r="CJ805" s="1123"/>
      <c r="CK805" s="1123"/>
      <c r="CL805" s="1123"/>
      <c r="CM805" s="1123"/>
      <c r="CN805" s="1123"/>
      <c r="CO805" s="1123"/>
      <c r="CP805" s="1123"/>
      <c r="CQ805" s="1123"/>
      <c r="CR805" s="1123"/>
      <c r="CS805" s="1123"/>
      <c r="CT805" s="1123"/>
      <c r="CU805" s="1123"/>
      <c r="CV805" s="1123"/>
      <c r="CW805" s="1123"/>
      <c r="CX805" s="1123"/>
      <c r="CY805" s="1123"/>
      <c r="CZ805" s="1114"/>
      <c r="DA805" s="1114"/>
      <c r="DB805" s="1114"/>
      <c r="DC805" s="1114"/>
      <c r="DD805" s="1114"/>
      <c r="DE805" s="1114"/>
      <c r="DF805" s="1114"/>
      <c r="DG805" s="1114"/>
      <c r="DH805" s="1114"/>
      <c r="DI805" s="1114"/>
      <c r="DJ805" s="1114"/>
      <c r="DK805" s="1114"/>
      <c r="DL805" s="1114"/>
      <c r="DM805" s="1114"/>
      <c r="DN805" s="1114"/>
      <c r="DO805" s="1114"/>
      <c r="DP805" s="1114"/>
      <c r="DQ805" s="1114"/>
      <c r="DR805" s="1114"/>
      <c r="DS805" s="1114"/>
      <c r="DT805" s="1114"/>
      <c r="DU805" s="1114"/>
      <c r="DV805" s="1115"/>
      <c r="DW805" s="1116"/>
      <c r="DX805" s="1116"/>
      <c r="DY805" s="1116"/>
      <c r="DZ805" s="1116"/>
      <c r="EA805" s="1116"/>
      <c r="EB805" s="1116"/>
      <c r="EC805" s="1116"/>
      <c r="ED805" s="1116"/>
      <c r="EE805" s="1116"/>
      <c r="EF805" s="1116"/>
      <c r="EG805" s="1116"/>
      <c r="EH805" s="1116"/>
      <c r="EI805" s="1116"/>
      <c r="EJ805" s="1116"/>
      <c r="EK805" s="1116"/>
      <c r="EL805" s="1116"/>
      <c r="EM805" s="1116"/>
      <c r="EN805" s="1116"/>
      <c r="EO805" s="1116"/>
      <c r="EP805" s="1116"/>
      <c r="EQ805" s="1116"/>
      <c r="ER805" s="1116"/>
      <c r="ES805" s="1116"/>
    </row>
    <row r="806" spans="1:149" ht="15" customHeight="1">
      <c r="A806" s="1185">
        <v>796</v>
      </c>
      <c r="B806" s="1041"/>
      <c r="C806" s="1050"/>
      <c r="D806" s="1050"/>
      <c r="E806" s="1050"/>
      <c r="F806" s="1049"/>
      <c r="G806" s="1049"/>
      <c r="H806" s="1049"/>
      <c r="I806" s="1049"/>
      <c r="J806" s="1050"/>
      <c r="K806" s="1050"/>
      <c r="L806" s="1043"/>
      <c r="M806" s="1051"/>
      <c r="N806" s="1051"/>
      <c r="O806" s="1052"/>
      <c r="P806" s="1051"/>
      <c r="Q806" s="1051"/>
      <c r="R806" s="1052"/>
      <c r="S806" s="1051"/>
      <c r="T806" s="1051"/>
      <c r="U806" s="1052"/>
      <c r="V806" s="1051"/>
      <c r="W806" s="1051"/>
      <c r="X806" s="1052"/>
      <c r="Y806" s="1053"/>
      <c r="Z806" s="1051"/>
      <c r="AA806" s="1051"/>
      <c r="AB806" s="1052"/>
      <c r="AC806" s="1051"/>
      <c r="AD806" s="1051"/>
      <c r="AE806" s="1052"/>
      <c r="AF806" s="1051"/>
      <c r="AG806" s="1051"/>
      <c r="AH806" s="1051"/>
      <c r="AI806" s="1051"/>
      <c r="AJ806" s="1052"/>
      <c r="AK806" s="1051"/>
      <c r="AL806" s="1051"/>
      <c r="AM806" s="1052"/>
      <c r="AN806" s="1051"/>
      <c r="AO806" s="1051"/>
      <c r="AP806" s="1052"/>
      <c r="AQ806" s="1051"/>
      <c r="AR806" s="1051"/>
      <c r="AS806" s="1052"/>
      <c r="AT806" s="1051"/>
      <c r="AU806" s="1051"/>
      <c r="AV806" s="1052"/>
      <c r="AW806" s="1051"/>
      <c r="AX806" s="1051"/>
      <c r="AY806" s="1053"/>
      <c r="AZ806" s="1051"/>
      <c r="BA806" s="1051"/>
      <c r="BB806" s="1053"/>
      <c r="BC806" s="1051"/>
      <c r="BD806" s="1051"/>
      <c r="BE806" s="1053"/>
      <c r="BF806" s="1051"/>
      <c r="BG806" s="1051"/>
      <c r="BH806" s="1053"/>
      <c r="BI806" s="1052"/>
      <c r="BJ806" s="1052"/>
      <c r="BK806" s="1052"/>
      <c r="BL806" s="1052"/>
      <c r="BM806" s="1052"/>
      <c r="BN806" s="1054"/>
      <c r="BO806" s="1076">
        <f t="shared" si="13"/>
        <v>0</v>
      </c>
      <c r="BP806" s="1051"/>
      <c r="BQ806" s="1052"/>
      <c r="BR806" s="1054"/>
      <c r="BS806" s="1053"/>
      <c r="BT806" s="1051"/>
      <c r="BU806" s="1051"/>
      <c r="BV806" s="1051"/>
      <c r="BW806" s="1052"/>
      <c r="BX806" s="1052"/>
      <c r="BY806" s="1052"/>
      <c r="BZ806" s="1052"/>
      <c r="CA806" s="1052"/>
      <c r="CB806" s="1053"/>
      <c r="CC806" s="1053"/>
      <c r="CD806" s="1053"/>
      <c r="CE806" s="1053"/>
      <c r="CF806" s="1053"/>
      <c r="CG806" s="1053"/>
      <c r="CH806" s="1053"/>
      <c r="CI806" s="1123"/>
      <c r="CJ806" s="1123"/>
      <c r="CK806" s="1123"/>
      <c r="CL806" s="1123"/>
      <c r="CM806" s="1123"/>
      <c r="CN806" s="1123"/>
      <c r="CO806" s="1123"/>
      <c r="CP806" s="1123"/>
      <c r="CQ806" s="1123"/>
      <c r="CR806" s="1123"/>
      <c r="CS806" s="1123"/>
      <c r="CT806" s="1123"/>
      <c r="CU806" s="1123"/>
      <c r="CV806" s="1123"/>
      <c r="CW806" s="1123"/>
      <c r="CX806" s="1123"/>
      <c r="CY806" s="1123"/>
      <c r="CZ806" s="1114"/>
      <c r="DA806" s="1114"/>
      <c r="DB806" s="1114"/>
      <c r="DC806" s="1114"/>
      <c r="DD806" s="1114"/>
      <c r="DE806" s="1114"/>
      <c r="DF806" s="1114"/>
      <c r="DG806" s="1114"/>
      <c r="DH806" s="1114"/>
      <c r="DI806" s="1114"/>
      <c r="DJ806" s="1114"/>
      <c r="DK806" s="1114"/>
      <c r="DL806" s="1114"/>
      <c r="DM806" s="1114"/>
      <c r="DN806" s="1114"/>
      <c r="DO806" s="1114"/>
      <c r="DP806" s="1114"/>
      <c r="DQ806" s="1114"/>
      <c r="DR806" s="1114"/>
      <c r="DS806" s="1114"/>
      <c r="DT806" s="1114"/>
      <c r="DU806" s="1114"/>
      <c r="DV806" s="1115"/>
      <c r="DW806" s="1116"/>
      <c r="DX806" s="1116"/>
      <c r="DY806" s="1116"/>
      <c r="DZ806" s="1116"/>
      <c r="EA806" s="1116"/>
      <c r="EB806" s="1116"/>
      <c r="EC806" s="1116"/>
      <c r="ED806" s="1116"/>
      <c r="EE806" s="1116"/>
      <c r="EF806" s="1116"/>
      <c r="EG806" s="1116"/>
      <c r="EH806" s="1116"/>
      <c r="EI806" s="1116"/>
      <c r="EJ806" s="1116"/>
      <c r="EK806" s="1116"/>
      <c r="EL806" s="1116"/>
      <c r="EM806" s="1116"/>
      <c r="EN806" s="1116"/>
      <c r="EO806" s="1116"/>
      <c r="EP806" s="1116"/>
      <c r="EQ806" s="1116"/>
      <c r="ER806" s="1116"/>
      <c r="ES806" s="1116"/>
    </row>
    <row r="807" spans="1:149" ht="15" customHeight="1">
      <c r="A807" s="1185">
        <v>797</v>
      </c>
      <c r="B807" s="1041"/>
      <c r="C807" s="1050"/>
      <c r="D807" s="1050"/>
      <c r="E807" s="1050"/>
      <c r="F807" s="1049"/>
      <c r="G807" s="1049"/>
      <c r="H807" s="1049"/>
      <c r="I807" s="1049"/>
      <c r="J807" s="1050"/>
      <c r="K807" s="1050"/>
      <c r="L807" s="1043"/>
      <c r="M807" s="1051"/>
      <c r="N807" s="1051"/>
      <c r="O807" s="1052"/>
      <c r="P807" s="1051"/>
      <c r="Q807" s="1051"/>
      <c r="R807" s="1052"/>
      <c r="S807" s="1051"/>
      <c r="T807" s="1051"/>
      <c r="U807" s="1052"/>
      <c r="V807" s="1051"/>
      <c r="W807" s="1051"/>
      <c r="X807" s="1052"/>
      <c r="Y807" s="1053"/>
      <c r="Z807" s="1051"/>
      <c r="AA807" s="1051"/>
      <c r="AB807" s="1052"/>
      <c r="AC807" s="1051"/>
      <c r="AD807" s="1051"/>
      <c r="AE807" s="1052"/>
      <c r="AF807" s="1051"/>
      <c r="AG807" s="1051"/>
      <c r="AH807" s="1051"/>
      <c r="AI807" s="1051"/>
      <c r="AJ807" s="1052"/>
      <c r="AK807" s="1051"/>
      <c r="AL807" s="1051"/>
      <c r="AM807" s="1052"/>
      <c r="AN807" s="1051"/>
      <c r="AO807" s="1051"/>
      <c r="AP807" s="1052"/>
      <c r="AQ807" s="1051"/>
      <c r="AR807" s="1051"/>
      <c r="AS807" s="1052"/>
      <c r="AT807" s="1051"/>
      <c r="AU807" s="1051"/>
      <c r="AV807" s="1052"/>
      <c r="AW807" s="1051"/>
      <c r="AX807" s="1051"/>
      <c r="AY807" s="1053"/>
      <c r="AZ807" s="1051"/>
      <c r="BA807" s="1051"/>
      <c r="BB807" s="1053"/>
      <c r="BC807" s="1051"/>
      <c r="BD807" s="1051"/>
      <c r="BE807" s="1053"/>
      <c r="BF807" s="1051"/>
      <c r="BG807" s="1051"/>
      <c r="BH807" s="1053"/>
      <c r="BI807" s="1052"/>
      <c r="BJ807" s="1052"/>
      <c r="BK807" s="1052"/>
      <c r="BL807" s="1052"/>
      <c r="BM807" s="1052"/>
      <c r="BN807" s="1054"/>
      <c r="BO807" s="1076">
        <f t="shared" si="13"/>
        <v>0</v>
      </c>
      <c r="BP807" s="1051"/>
      <c r="BQ807" s="1052"/>
      <c r="BR807" s="1054"/>
      <c r="BS807" s="1053"/>
      <c r="BT807" s="1051"/>
      <c r="BU807" s="1051"/>
      <c r="BV807" s="1051"/>
      <c r="BW807" s="1052"/>
      <c r="BX807" s="1052"/>
      <c r="BY807" s="1052"/>
      <c r="BZ807" s="1052"/>
      <c r="CA807" s="1052"/>
      <c r="CB807" s="1053"/>
      <c r="CC807" s="1053"/>
      <c r="CD807" s="1053"/>
      <c r="CE807" s="1053"/>
      <c r="CF807" s="1053"/>
      <c r="CG807" s="1053"/>
      <c r="CH807" s="1053"/>
      <c r="CI807" s="1123"/>
      <c r="CJ807" s="1123"/>
      <c r="CK807" s="1123"/>
      <c r="CL807" s="1123"/>
      <c r="CM807" s="1123"/>
      <c r="CN807" s="1123"/>
      <c r="CO807" s="1123"/>
      <c r="CP807" s="1123"/>
      <c r="CQ807" s="1123"/>
      <c r="CR807" s="1123"/>
      <c r="CS807" s="1123"/>
      <c r="CT807" s="1123"/>
      <c r="CU807" s="1123"/>
      <c r="CV807" s="1123"/>
      <c r="CW807" s="1123"/>
      <c r="CX807" s="1123"/>
      <c r="CY807" s="1123"/>
      <c r="CZ807" s="1114"/>
      <c r="DA807" s="1114"/>
      <c r="DB807" s="1114"/>
      <c r="DC807" s="1114"/>
      <c r="DD807" s="1114"/>
      <c r="DE807" s="1114"/>
      <c r="DF807" s="1114"/>
      <c r="DG807" s="1114"/>
      <c r="DH807" s="1114"/>
      <c r="DI807" s="1114"/>
      <c r="DJ807" s="1114"/>
      <c r="DK807" s="1114"/>
      <c r="DL807" s="1114"/>
      <c r="DM807" s="1114"/>
      <c r="DN807" s="1114"/>
      <c r="DO807" s="1114"/>
      <c r="DP807" s="1114"/>
      <c r="DQ807" s="1114"/>
      <c r="DR807" s="1114"/>
      <c r="DS807" s="1114"/>
      <c r="DT807" s="1114"/>
      <c r="DU807" s="1114"/>
      <c r="DV807" s="1115"/>
      <c r="DW807" s="1116"/>
      <c r="DX807" s="1116"/>
      <c r="DY807" s="1116"/>
      <c r="DZ807" s="1116"/>
      <c r="EA807" s="1116"/>
      <c r="EB807" s="1116"/>
      <c r="EC807" s="1116"/>
      <c r="ED807" s="1116"/>
      <c r="EE807" s="1116"/>
      <c r="EF807" s="1116"/>
      <c r="EG807" s="1116"/>
      <c r="EH807" s="1116"/>
      <c r="EI807" s="1116"/>
      <c r="EJ807" s="1116"/>
      <c r="EK807" s="1116"/>
      <c r="EL807" s="1116"/>
      <c r="EM807" s="1116"/>
      <c r="EN807" s="1116"/>
      <c r="EO807" s="1116"/>
      <c r="EP807" s="1116"/>
      <c r="EQ807" s="1116"/>
      <c r="ER807" s="1116"/>
      <c r="ES807" s="1116"/>
    </row>
    <row r="808" spans="1:149" ht="15" customHeight="1">
      <c r="A808" s="1185">
        <v>798</v>
      </c>
      <c r="B808" s="1041"/>
      <c r="C808" s="1050"/>
      <c r="D808" s="1050"/>
      <c r="E808" s="1050"/>
      <c r="F808" s="1049"/>
      <c r="G808" s="1049"/>
      <c r="H808" s="1049"/>
      <c r="I808" s="1049"/>
      <c r="J808" s="1050"/>
      <c r="K808" s="1050"/>
      <c r="L808" s="1043"/>
      <c r="M808" s="1051"/>
      <c r="N808" s="1051"/>
      <c r="O808" s="1052"/>
      <c r="P808" s="1051"/>
      <c r="Q808" s="1051"/>
      <c r="R808" s="1052"/>
      <c r="S808" s="1051"/>
      <c r="T808" s="1051"/>
      <c r="U808" s="1052"/>
      <c r="V808" s="1051"/>
      <c r="W808" s="1051"/>
      <c r="X808" s="1052"/>
      <c r="Y808" s="1053"/>
      <c r="Z808" s="1051"/>
      <c r="AA808" s="1051"/>
      <c r="AB808" s="1052"/>
      <c r="AC808" s="1051"/>
      <c r="AD808" s="1051"/>
      <c r="AE808" s="1052"/>
      <c r="AF808" s="1051"/>
      <c r="AG808" s="1051"/>
      <c r="AH808" s="1051"/>
      <c r="AI808" s="1051"/>
      <c r="AJ808" s="1052"/>
      <c r="AK808" s="1051"/>
      <c r="AL808" s="1051"/>
      <c r="AM808" s="1052"/>
      <c r="AN808" s="1051"/>
      <c r="AO808" s="1051"/>
      <c r="AP808" s="1052"/>
      <c r="AQ808" s="1051"/>
      <c r="AR808" s="1051"/>
      <c r="AS808" s="1052"/>
      <c r="AT808" s="1051"/>
      <c r="AU808" s="1051"/>
      <c r="AV808" s="1052"/>
      <c r="AW808" s="1051"/>
      <c r="AX808" s="1051"/>
      <c r="AY808" s="1053"/>
      <c r="AZ808" s="1051"/>
      <c r="BA808" s="1051"/>
      <c r="BB808" s="1053"/>
      <c r="BC808" s="1051"/>
      <c r="BD808" s="1051"/>
      <c r="BE808" s="1053"/>
      <c r="BF808" s="1051"/>
      <c r="BG808" s="1051"/>
      <c r="BH808" s="1053"/>
      <c r="BI808" s="1052"/>
      <c r="BJ808" s="1052"/>
      <c r="BK808" s="1052"/>
      <c r="BL808" s="1052"/>
      <c r="BM808" s="1052"/>
      <c r="BN808" s="1054"/>
      <c r="BO808" s="1076">
        <f t="shared" si="13"/>
        <v>0</v>
      </c>
      <c r="BP808" s="1051"/>
      <c r="BQ808" s="1052"/>
      <c r="BR808" s="1054"/>
      <c r="BS808" s="1053"/>
      <c r="BT808" s="1051"/>
      <c r="BU808" s="1051"/>
      <c r="BV808" s="1051"/>
      <c r="BW808" s="1052"/>
      <c r="BX808" s="1052"/>
      <c r="BY808" s="1052"/>
      <c r="BZ808" s="1052"/>
      <c r="CA808" s="1052"/>
      <c r="CB808" s="1053"/>
      <c r="CC808" s="1053"/>
      <c r="CD808" s="1053"/>
      <c r="CE808" s="1053"/>
      <c r="CF808" s="1053"/>
      <c r="CG808" s="1053"/>
      <c r="CH808" s="1053"/>
      <c r="CI808" s="1123"/>
      <c r="CJ808" s="1123"/>
      <c r="CK808" s="1123"/>
      <c r="CL808" s="1123"/>
      <c r="CM808" s="1123"/>
      <c r="CN808" s="1123"/>
      <c r="CO808" s="1123"/>
      <c r="CP808" s="1123"/>
      <c r="CQ808" s="1123"/>
      <c r="CR808" s="1123"/>
      <c r="CS808" s="1123"/>
      <c r="CT808" s="1123"/>
      <c r="CU808" s="1123"/>
      <c r="CV808" s="1123"/>
      <c r="CW808" s="1123"/>
      <c r="CX808" s="1123"/>
      <c r="CY808" s="1123"/>
      <c r="CZ808" s="1114"/>
      <c r="DA808" s="1114"/>
      <c r="DB808" s="1114"/>
      <c r="DC808" s="1114"/>
      <c r="DD808" s="1114"/>
      <c r="DE808" s="1114"/>
      <c r="DF808" s="1114"/>
      <c r="DG808" s="1114"/>
      <c r="DH808" s="1114"/>
      <c r="DI808" s="1114"/>
      <c r="DJ808" s="1114"/>
      <c r="DK808" s="1114"/>
      <c r="DL808" s="1114"/>
      <c r="DM808" s="1114"/>
      <c r="DN808" s="1114"/>
      <c r="DO808" s="1114"/>
      <c r="DP808" s="1114"/>
      <c r="DQ808" s="1114"/>
      <c r="DR808" s="1114"/>
      <c r="DS808" s="1114"/>
      <c r="DT808" s="1114"/>
      <c r="DU808" s="1114"/>
      <c r="DV808" s="1115"/>
      <c r="DW808" s="1116"/>
      <c r="DX808" s="1116"/>
      <c r="DY808" s="1116"/>
      <c r="DZ808" s="1116"/>
      <c r="EA808" s="1116"/>
      <c r="EB808" s="1116"/>
      <c r="EC808" s="1116"/>
      <c r="ED808" s="1116"/>
      <c r="EE808" s="1116"/>
      <c r="EF808" s="1116"/>
      <c r="EG808" s="1116"/>
      <c r="EH808" s="1116"/>
      <c r="EI808" s="1116"/>
      <c r="EJ808" s="1116"/>
      <c r="EK808" s="1116"/>
      <c r="EL808" s="1116"/>
      <c r="EM808" s="1116"/>
      <c r="EN808" s="1116"/>
      <c r="EO808" s="1116"/>
      <c r="EP808" s="1116"/>
      <c r="EQ808" s="1116"/>
      <c r="ER808" s="1116"/>
      <c r="ES808" s="1116"/>
    </row>
    <row r="809" spans="1:149" ht="15" customHeight="1">
      <c r="A809" s="1185">
        <v>799</v>
      </c>
      <c r="B809" s="1041"/>
      <c r="C809" s="1050"/>
      <c r="D809" s="1050"/>
      <c r="E809" s="1050"/>
      <c r="F809" s="1049"/>
      <c r="G809" s="1049"/>
      <c r="H809" s="1049"/>
      <c r="I809" s="1049"/>
      <c r="J809" s="1050"/>
      <c r="K809" s="1050"/>
      <c r="L809" s="1043"/>
      <c r="M809" s="1051"/>
      <c r="N809" s="1051"/>
      <c r="O809" s="1052"/>
      <c r="P809" s="1051"/>
      <c r="Q809" s="1051"/>
      <c r="R809" s="1052"/>
      <c r="S809" s="1051"/>
      <c r="T809" s="1051"/>
      <c r="U809" s="1052"/>
      <c r="V809" s="1051"/>
      <c r="W809" s="1051"/>
      <c r="X809" s="1052"/>
      <c r="Y809" s="1053"/>
      <c r="Z809" s="1051"/>
      <c r="AA809" s="1051"/>
      <c r="AB809" s="1052"/>
      <c r="AC809" s="1051"/>
      <c r="AD809" s="1051"/>
      <c r="AE809" s="1052"/>
      <c r="AF809" s="1051"/>
      <c r="AG809" s="1051"/>
      <c r="AH809" s="1051"/>
      <c r="AI809" s="1051"/>
      <c r="AJ809" s="1052"/>
      <c r="AK809" s="1051"/>
      <c r="AL809" s="1051"/>
      <c r="AM809" s="1052"/>
      <c r="AN809" s="1051"/>
      <c r="AO809" s="1051"/>
      <c r="AP809" s="1052"/>
      <c r="AQ809" s="1051"/>
      <c r="AR809" s="1051"/>
      <c r="AS809" s="1052"/>
      <c r="AT809" s="1051"/>
      <c r="AU809" s="1051"/>
      <c r="AV809" s="1052"/>
      <c r="AW809" s="1051"/>
      <c r="AX809" s="1051"/>
      <c r="AY809" s="1053"/>
      <c r="AZ809" s="1051"/>
      <c r="BA809" s="1051"/>
      <c r="BB809" s="1053"/>
      <c r="BC809" s="1051"/>
      <c r="BD809" s="1051"/>
      <c r="BE809" s="1053"/>
      <c r="BF809" s="1051"/>
      <c r="BG809" s="1051"/>
      <c r="BH809" s="1053"/>
      <c r="BI809" s="1052"/>
      <c r="BJ809" s="1052"/>
      <c r="BK809" s="1052"/>
      <c r="BL809" s="1052"/>
      <c r="BM809" s="1052"/>
      <c r="BN809" s="1054"/>
      <c r="BO809" s="1076">
        <f t="shared" si="13"/>
        <v>0</v>
      </c>
      <c r="BP809" s="1051"/>
      <c r="BQ809" s="1052"/>
      <c r="BR809" s="1054"/>
      <c r="BS809" s="1053"/>
      <c r="BT809" s="1051"/>
      <c r="BU809" s="1051"/>
      <c r="BV809" s="1051"/>
      <c r="BW809" s="1052"/>
      <c r="BX809" s="1052"/>
      <c r="BY809" s="1052"/>
      <c r="BZ809" s="1052"/>
      <c r="CA809" s="1052"/>
      <c r="CB809" s="1053"/>
      <c r="CC809" s="1053"/>
      <c r="CD809" s="1053"/>
      <c r="CE809" s="1053"/>
      <c r="CF809" s="1053"/>
      <c r="CG809" s="1053"/>
      <c r="CH809" s="1053"/>
      <c r="CI809" s="1123"/>
      <c r="CJ809" s="1123"/>
      <c r="CK809" s="1123"/>
      <c r="CL809" s="1123"/>
      <c r="CM809" s="1123"/>
      <c r="CN809" s="1123"/>
      <c r="CO809" s="1123"/>
      <c r="CP809" s="1123"/>
      <c r="CQ809" s="1123"/>
      <c r="CR809" s="1123"/>
      <c r="CS809" s="1123"/>
      <c r="CT809" s="1123"/>
      <c r="CU809" s="1123"/>
      <c r="CV809" s="1123"/>
      <c r="CW809" s="1123"/>
      <c r="CX809" s="1123"/>
      <c r="CY809" s="1123"/>
      <c r="CZ809" s="1114"/>
      <c r="DA809" s="1114"/>
      <c r="DB809" s="1114"/>
      <c r="DC809" s="1114"/>
      <c r="DD809" s="1114"/>
      <c r="DE809" s="1114"/>
      <c r="DF809" s="1114"/>
      <c r="DG809" s="1114"/>
      <c r="DH809" s="1114"/>
      <c r="DI809" s="1114"/>
      <c r="DJ809" s="1114"/>
      <c r="DK809" s="1114"/>
      <c r="DL809" s="1114"/>
      <c r="DM809" s="1114"/>
      <c r="DN809" s="1114"/>
      <c r="DO809" s="1114"/>
      <c r="DP809" s="1114"/>
      <c r="DQ809" s="1114"/>
      <c r="DR809" s="1114"/>
      <c r="DS809" s="1114"/>
      <c r="DT809" s="1114"/>
      <c r="DU809" s="1114"/>
      <c r="DV809" s="1115"/>
      <c r="DW809" s="1116"/>
      <c r="DX809" s="1116"/>
      <c r="DY809" s="1116"/>
      <c r="DZ809" s="1116"/>
      <c r="EA809" s="1116"/>
      <c r="EB809" s="1116"/>
      <c r="EC809" s="1116"/>
      <c r="ED809" s="1116"/>
      <c r="EE809" s="1116"/>
      <c r="EF809" s="1116"/>
      <c r="EG809" s="1116"/>
      <c r="EH809" s="1116"/>
      <c r="EI809" s="1116"/>
      <c r="EJ809" s="1116"/>
      <c r="EK809" s="1116"/>
      <c r="EL809" s="1116"/>
      <c r="EM809" s="1116"/>
      <c r="EN809" s="1116"/>
      <c r="EO809" s="1116"/>
      <c r="EP809" s="1116"/>
      <c r="EQ809" s="1116"/>
      <c r="ER809" s="1116"/>
      <c r="ES809" s="1116"/>
    </row>
    <row r="810" spans="1:149" ht="15" customHeight="1">
      <c r="A810" s="1185">
        <v>800</v>
      </c>
      <c r="B810" s="1041"/>
      <c r="C810" s="1050"/>
      <c r="D810" s="1050"/>
      <c r="E810" s="1050"/>
      <c r="F810" s="1049"/>
      <c r="G810" s="1049"/>
      <c r="H810" s="1049"/>
      <c r="I810" s="1049"/>
      <c r="J810" s="1050"/>
      <c r="K810" s="1050"/>
      <c r="L810" s="1043"/>
      <c r="M810" s="1051"/>
      <c r="N810" s="1051"/>
      <c r="O810" s="1052"/>
      <c r="P810" s="1051"/>
      <c r="Q810" s="1051"/>
      <c r="R810" s="1052"/>
      <c r="S810" s="1051"/>
      <c r="T810" s="1051"/>
      <c r="U810" s="1052"/>
      <c r="V810" s="1051"/>
      <c r="W810" s="1051"/>
      <c r="X810" s="1052"/>
      <c r="Y810" s="1053"/>
      <c r="Z810" s="1051"/>
      <c r="AA810" s="1051"/>
      <c r="AB810" s="1052"/>
      <c r="AC810" s="1051"/>
      <c r="AD810" s="1051"/>
      <c r="AE810" s="1052"/>
      <c r="AF810" s="1051"/>
      <c r="AG810" s="1051"/>
      <c r="AH810" s="1051"/>
      <c r="AI810" s="1051"/>
      <c r="AJ810" s="1052"/>
      <c r="AK810" s="1051"/>
      <c r="AL810" s="1051"/>
      <c r="AM810" s="1052"/>
      <c r="AN810" s="1051"/>
      <c r="AO810" s="1051"/>
      <c r="AP810" s="1052"/>
      <c r="AQ810" s="1051"/>
      <c r="AR810" s="1051"/>
      <c r="AS810" s="1052"/>
      <c r="AT810" s="1051"/>
      <c r="AU810" s="1051"/>
      <c r="AV810" s="1052"/>
      <c r="AW810" s="1051"/>
      <c r="AX810" s="1051"/>
      <c r="AY810" s="1053"/>
      <c r="AZ810" s="1051"/>
      <c r="BA810" s="1051"/>
      <c r="BB810" s="1053"/>
      <c r="BC810" s="1051"/>
      <c r="BD810" s="1051"/>
      <c r="BE810" s="1053"/>
      <c r="BF810" s="1051"/>
      <c r="BG810" s="1051"/>
      <c r="BH810" s="1053"/>
      <c r="BI810" s="1052"/>
      <c r="BJ810" s="1052"/>
      <c r="BK810" s="1052"/>
      <c r="BL810" s="1052"/>
      <c r="BM810" s="1052"/>
      <c r="BN810" s="1054"/>
      <c r="BO810" s="1076">
        <f t="shared" si="13"/>
        <v>0</v>
      </c>
      <c r="BP810" s="1051"/>
      <c r="BQ810" s="1052"/>
      <c r="BR810" s="1054"/>
      <c r="BS810" s="1053"/>
      <c r="BT810" s="1051"/>
      <c r="BU810" s="1051"/>
      <c r="BV810" s="1051"/>
      <c r="BW810" s="1052"/>
      <c r="BX810" s="1052"/>
      <c r="BY810" s="1052"/>
      <c r="BZ810" s="1052"/>
      <c r="CA810" s="1052"/>
      <c r="CB810" s="1053"/>
      <c r="CC810" s="1053"/>
      <c r="CD810" s="1053"/>
      <c r="CE810" s="1053"/>
      <c r="CF810" s="1053"/>
      <c r="CG810" s="1053"/>
      <c r="CH810" s="1053"/>
      <c r="CI810" s="1123"/>
      <c r="CJ810" s="1123"/>
      <c r="CK810" s="1123"/>
      <c r="CL810" s="1123"/>
      <c r="CM810" s="1123"/>
      <c r="CN810" s="1123"/>
      <c r="CO810" s="1123"/>
      <c r="CP810" s="1123"/>
      <c r="CQ810" s="1123"/>
      <c r="CR810" s="1123"/>
      <c r="CS810" s="1123"/>
      <c r="CT810" s="1123"/>
      <c r="CU810" s="1123"/>
      <c r="CV810" s="1123"/>
      <c r="CW810" s="1123"/>
      <c r="CX810" s="1123"/>
      <c r="CY810" s="1123"/>
      <c r="CZ810" s="1114"/>
      <c r="DA810" s="1114"/>
      <c r="DB810" s="1114"/>
      <c r="DC810" s="1114"/>
      <c r="DD810" s="1114"/>
      <c r="DE810" s="1114"/>
      <c r="DF810" s="1114"/>
      <c r="DG810" s="1114"/>
      <c r="DH810" s="1114"/>
      <c r="DI810" s="1114"/>
      <c r="DJ810" s="1114"/>
      <c r="DK810" s="1114"/>
      <c r="DL810" s="1114"/>
      <c r="DM810" s="1114"/>
      <c r="DN810" s="1114"/>
      <c r="DO810" s="1114"/>
      <c r="DP810" s="1114"/>
      <c r="DQ810" s="1114"/>
      <c r="DR810" s="1114"/>
      <c r="DS810" s="1114"/>
      <c r="DT810" s="1114"/>
      <c r="DU810" s="1114"/>
      <c r="DV810" s="1115"/>
      <c r="DW810" s="1116"/>
      <c r="DX810" s="1116"/>
      <c r="DY810" s="1116"/>
      <c r="DZ810" s="1116"/>
      <c r="EA810" s="1116"/>
      <c r="EB810" s="1116"/>
      <c r="EC810" s="1116"/>
      <c r="ED810" s="1116"/>
      <c r="EE810" s="1116"/>
      <c r="EF810" s="1116"/>
      <c r="EG810" s="1116"/>
      <c r="EH810" s="1116"/>
      <c r="EI810" s="1116"/>
      <c r="EJ810" s="1116"/>
      <c r="EK810" s="1116"/>
      <c r="EL810" s="1116"/>
      <c r="EM810" s="1116"/>
      <c r="EN810" s="1116"/>
      <c r="EO810" s="1116"/>
      <c r="EP810" s="1116"/>
      <c r="EQ810" s="1116"/>
      <c r="ER810" s="1116"/>
      <c r="ES810" s="1116"/>
    </row>
    <row r="811" spans="1:149" ht="15" customHeight="1">
      <c r="A811" s="1185">
        <v>801</v>
      </c>
      <c r="B811" s="1041"/>
      <c r="C811" s="1050"/>
      <c r="D811" s="1050"/>
      <c r="E811" s="1050"/>
      <c r="F811" s="1049"/>
      <c r="G811" s="1049"/>
      <c r="H811" s="1049"/>
      <c r="I811" s="1049"/>
      <c r="J811" s="1050"/>
      <c r="K811" s="1050"/>
      <c r="L811" s="1043"/>
      <c r="M811" s="1051"/>
      <c r="N811" s="1051"/>
      <c r="O811" s="1052"/>
      <c r="P811" s="1051"/>
      <c r="Q811" s="1051"/>
      <c r="R811" s="1052"/>
      <c r="S811" s="1051"/>
      <c r="T811" s="1051"/>
      <c r="U811" s="1052"/>
      <c r="V811" s="1051"/>
      <c r="W811" s="1051"/>
      <c r="X811" s="1052"/>
      <c r="Y811" s="1053"/>
      <c r="Z811" s="1051"/>
      <c r="AA811" s="1051"/>
      <c r="AB811" s="1052"/>
      <c r="AC811" s="1051"/>
      <c r="AD811" s="1051"/>
      <c r="AE811" s="1052"/>
      <c r="AF811" s="1051"/>
      <c r="AG811" s="1051"/>
      <c r="AH811" s="1051"/>
      <c r="AI811" s="1051"/>
      <c r="AJ811" s="1052"/>
      <c r="AK811" s="1051"/>
      <c r="AL811" s="1051"/>
      <c r="AM811" s="1052"/>
      <c r="AN811" s="1051"/>
      <c r="AO811" s="1051"/>
      <c r="AP811" s="1052"/>
      <c r="AQ811" s="1051"/>
      <c r="AR811" s="1051"/>
      <c r="AS811" s="1052"/>
      <c r="AT811" s="1051"/>
      <c r="AU811" s="1051"/>
      <c r="AV811" s="1052"/>
      <c r="AW811" s="1051"/>
      <c r="AX811" s="1051"/>
      <c r="AY811" s="1053"/>
      <c r="AZ811" s="1051"/>
      <c r="BA811" s="1051"/>
      <c r="BB811" s="1053"/>
      <c r="BC811" s="1051"/>
      <c r="BD811" s="1051"/>
      <c r="BE811" s="1053"/>
      <c r="BF811" s="1051"/>
      <c r="BG811" s="1051"/>
      <c r="BH811" s="1053"/>
      <c r="BI811" s="1052"/>
      <c r="BJ811" s="1052"/>
      <c r="BK811" s="1052"/>
      <c r="BL811" s="1052"/>
      <c r="BM811" s="1052"/>
      <c r="BN811" s="1054"/>
      <c r="BO811" s="1076">
        <f t="shared" si="13"/>
        <v>0</v>
      </c>
      <c r="BP811" s="1051"/>
      <c r="BQ811" s="1052"/>
      <c r="BR811" s="1054"/>
      <c r="BS811" s="1053"/>
      <c r="BT811" s="1051"/>
      <c r="BU811" s="1051"/>
      <c r="BV811" s="1051"/>
      <c r="BW811" s="1052"/>
      <c r="BX811" s="1052"/>
      <c r="BY811" s="1052"/>
      <c r="BZ811" s="1052"/>
      <c r="CA811" s="1052"/>
      <c r="CB811" s="1053"/>
      <c r="CC811" s="1053"/>
      <c r="CD811" s="1053"/>
      <c r="CE811" s="1053"/>
      <c r="CF811" s="1053"/>
      <c r="CG811" s="1053"/>
      <c r="CH811" s="1053"/>
      <c r="CI811" s="1123"/>
      <c r="CJ811" s="1123"/>
      <c r="CK811" s="1123"/>
      <c r="CL811" s="1123"/>
      <c r="CM811" s="1123"/>
      <c r="CN811" s="1123"/>
      <c r="CO811" s="1123"/>
      <c r="CP811" s="1123"/>
      <c r="CQ811" s="1123"/>
      <c r="CR811" s="1123"/>
      <c r="CS811" s="1123"/>
      <c r="CT811" s="1123"/>
      <c r="CU811" s="1123"/>
      <c r="CV811" s="1123"/>
      <c r="CW811" s="1123"/>
      <c r="CX811" s="1123"/>
      <c r="CY811" s="1123"/>
      <c r="CZ811" s="1114"/>
      <c r="DA811" s="1114"/>
      <c r="DB811" s="1114"/>
      <c r="DC811" s="1114"/>
      <c r="DD811" s="1114"/>
      <c r="DE811" s="1114"/>
      <c r="DF811" s="1114"/>
      <c r="DG811" s="1114"/>
      <c r="DH811" s="1114"/>
      <c r="DI811" s="1114"/>
      <c r="DJ811" s="1114"/>
      <c r="DK811" s="1114"/>
      <c r="DL811" s="1114"/>
      <c r="DM811" s="1114"/>
      <c r="DN811" s="1114"/>
      <c r="DO811" s="1114"/>
      <c r="DP811" s="1114"/>
      <c r="DQ811" s="1114"/>
      <c r="DR811" s="1114"/>
      <c r="DS811" s="1114"/>
      <c r="DT811" s="1114"/>
      <c r="DU811" s="1114"/>
      <c r="DV811" s="1115"/>
      <c r="DW811" s="1116"/>
      <c r="DX811" s="1116"/>
      <c r="DY811" s="1116"/>
      <c r="DZ811" s="1116"/>
      <c r="EA811" s="1116"/>
      <c r="EB811" s="1116"/>
      <c r="EC811" s="1116"/>
      <c r="ED811" s="1116"/>
      <c r="EE811" s="1116"/>
      <c r="EF811" s="1116"/>
      <c r="EG811" s="1116"/>
      <c r="EH811" s="1116"/>
      <c r="EI811" s="1116"/>
      <c r="EJ811" s="1116"/>
      <c r="EK811" s="1116"/>
      <c r="EL811" s="1116"/>
      <c r="EM811" s="1116"/>
      <c r="EN811" s="1116"/>
      <c r="EO811" s="1116"/>
      <c r="EP811" s="1116"/>
      <c r="EQ811" s="1116"/>
      <c r="ER811" s="1116"/>
      <c r="ES811" s="1116"/>
    </row>
    <row r="812" spans="1:149" ht="15" customHeight="1">
      <c r="A812" s="1185">
        <v>802</v>
      </c>
      <c r="B812" s="1041"/>
      <c r="C812" s="1050"/>
      <c r="D812" s="1050"/>
      <c r="E812" s="1050"/>
      <c r="F812" s="1049"/>
      <c r="G812" s="1049"/>
      <c r="H812" s="1049"/>
      <c r="I812" s="1049"/>
      <c r="J812" s="1050"/>
      <c r="K812" s="1050"/>
      <c r="L812" s="1043"/>
      <c r="M812" s="1051"/>
      <c r="N812" s="1051"/>
      <c r="O812" s="1052"/>
      <c r="P812" s="1051"/>
      <c r="Q812" s="1051"/>
      <c r="R812" s="1052"/>
      <c r="S812" s="1051"/>
      <c r="T812" s="1051"/>
      <c r="U812" s="1052"/>
      <c r="V812" s="1051"/>
      <c r="W812" s="1051"/>
      <c r="X812" s="1052"/>
      <c r="Y812" s="1053"/>
      <c r="Z812" s="1051"/>
      <c r="AA812" s="1051"/>
      <c r="AB812" s="1052"/>
      <c r="AC812" s="1051"/>
      <c r="AD812" s="1051"/>
      <c r="AE812" s="1052"/>
      <c r="AF812" s="1051"/>
      <c r="AG812" s="1051"/>
      <c r="AH812" s="1051"/>
      <c r="AI812" s="1051"/>
      <c r="AJ812" s="1052"/>
      <c r="AK812" s="1051"/>
      <c r="AL812" s="1051"/>
      <c r="AM812" s="1052"/>
      <c r="AN812" s="1051"/>
      <c r="AO812" s="1051"/>
      <c r="AP812" s="1052"/>
      <c r="AQ812" s="1051"/>
      <c r="AR812" s="1051"/>
      <c r="AS812" s="1052"/>
      <c r="AT812" s="1051"/>
      <c r="AU812" s="1051"/>
      <c r="AV812" s="1052"/>
      <c r="AW812" s="1051"/>
      <c r="AX812" s="1051"/>
      <c r="AY812" s="1053"/>
      <c r="AZ812" s="1051"/>
      <c r="BA812" s="1051"/>
      <c r="BB812" s="1053"/>
      <c r="BC812" s="1051"/>
      <c r="BD812" s="1051"/>
      <c r="BE812" s="1053"/>
      <c r="BF812" s="1051"/>
      <c r="BG812" s="1051"/>
      <c r="BH812" s="1053"/>
      <c r="BI812" s="1052"/>
      <c r="BJ812" s="1052"/>
      <c r="BK812" s="1052"/>
      <c r="BL812" s="1052"/>
      <c r="BM812" s="1052"/>
      <c r="BN812" s="1054"/>
      <c r="BO812" s="1076">
        <f t="shared" si="13"/>
        <v>0</v>
      </c>
      <c r="BP812" s="1051"/>
      <c r="BQ812" s="1052"/>
      <c r="BR812" s="1054"/>
      <c r="BS812" s="1053"/>
      <c r="BT812" s="1051"/>
      <c r="BU812" s="1051"/>
      <c r="BV812" s="1051"/>
      <c r="BW812" s="1052"/>
      <c r="BX812" s="1052"/>
      <c r="BY812" s="1052"/>
      <c r="BZ812" s="1052"/>
      <c r="CA812" s="1052"/>
      <c r="CB812" s="1053"/>
      <c r="CC812" s="1053"/>
      <c r="CD812" s="1053"/>
      <c r="CE812" s="1053"/>
      <c r="CF812" s="1053"/>
      <c r="CG812" s="1053"/>
      <c r="CH812" s="1053"/>
      <c r="CI812" s="1123"/>
      <c r="CJ812" s="1123"/>
      <c r="CK812" s="1123"/>
      <c r="CL812" s="1123"/>
      <c r="CM812" s="1123"/>
      <c r="CN812" s="1123"/>
      <c r="CO812" s="1123"/>
      <c r="CP812" s="1123"/>
      <c r="CQ812" s="1123"/>
      <c r="CR812" s="1123"/>
      <c r="CS812" s="1123"/>
      <c r="CT812" s="1123"/>
      <c r="CU812" s="1123"/>
      <c r="CV812" s="1123"/>
      <c r="CW812" s="1123"/>
      <c r="CX812" s="1123"/>
      <c r="CY812" s="1123"/>
      <c r="CZ812" s="1114"/>
      <c r="DA812" s="1114"/>
      <c r="DB812" s="1114"/>
      <c r="DC812" s="1114"/>
      <c r="DD812" s="1114"/>
      <c r="DE812" s="1114"/>
      <c r="DF812" s="1114"/>
      <c r="DG812" s="1114"/>
      <c r="DH812" s="1114"/>
      <c r="DI812" s="1114"/>
      <c r="DJ812" s="1114"/>
      <c r="DK812" s="1114"/>
      <c r="DL812" s="1114"/>
      <c r="DM812" s="1114"/>
      <c r="DN812" s="1114"/>
      <c r="DO812" s="1114"/>
      <c r="DP812" s="1114"/>
      <c r="DQ812" s="1114"/>
      <c r="DR812" s="1114"/>
      <c r="DS812" s="1114"/>
      <c r="DT812" s="1114"/>
      <c r="DU812" s="1114"/>
      <c r="DV812" s="1115"/>
      <c r="DW812" s="1116"/>
      <c r="DX812" s="1116"/>
      <c r="DY812" s="1116"/>
      <c r="DZ812" s="1116"/>
      <c r="EA812" s="1116"/>
      <c r="EB812" s="1116"/>
      <c r="EC812" s="1116"/>
      <c r="ED812" s="1116"/>
      <c r="EE812" s="1116"/>
      <c r="EF812" s="1116"/>
      <c r="EG812" s="1116"/>
      <c r="EH812" s="1116"/>
      <c r="EI812" s="1116"/>
      <c r="EJ812" s="1116"/>
      <c r="EK812" s="1116"/>
      <c r="EL812" s="1116"/>
      <c r="EM812" s="1116"/>
      <c r="EN812" s="1116"/>
      <c r="EO812" s="1116"/>
      <c r="EP812" s="1116"/>
      <c r="EQ812" s="1116"/>
      <c r="ER812" s="1116"/>
      <c r="ES812" s="1116"/>
    </row>
    <row r="813" spans="1:149" ht="15" customHeight="1">
      <c r="A813" s="1185">
        <v>803</v>
      </c>
      <c r="B813" s="1041"/>
      <c r="C813" s="1050"/>
      <c r="D813" s="1050"/>
      <c r="E813" s="1050"/>
      <c r="F813" s="1049"/>
      <c r="G813" s="1049"/>
      <c r="H813" s="1049"/>
      <c r="I813" s="1049"/>
      <c r="J813" s="1050"/>
      <c r="K813" s="1050"/>
      <c r="L813" s="1043"/>
      <c r="M813" s="1051"/>
      <c r="N813" s="1051"/>
      <c r="O813" s="1052"/>
      <c r="P813" s="1051"/>
      <c r="Q813" s="1051"/>
      <c r="R813" s="1052"/>
      <c r="S813" s="1051"/>
      <c r="T813" s="1051"/>
      <c r="U813" s="1052"/>
      <c r="V813" s="1051"/>
      <c r="W813" s="1051"/>
      <c r="X813" s="1052"/>
      <c r="Y813" s="1053"/>
      <c r="Z813" s="1051"/>
      <c r="AA813" s="1051"/>
      <c r="AB813" s="1052"/>
      <c r="AC813" s="1051"/>
      <c r="AD813" s="1051"/>
      <c r="AE813" s="1052"/>
      <c r="AF813" s="1051"/>
      <c r="AG813" s="1051"/>
      <c r="AH813" s="1051"/>
      <c r="AI813" s="1051"/>
      <c r="AJ813" s="1052"/>
      <c r="AK813" s="1051"/>
      <c r="AL813" s="1051"/>
      <c r="AM813" s="1052"/>
      <c r="AN813" s="1051"/>
      <c r="AO813" s="1051"/>
      <c r="AP813" s="1052"/>
      <c r="AQ813" s="1051"/>
      <c r="AR813" s="1051"/>
      <c r="AS813" s="1052"/>
      <c r="AT813" s="1051"/>
      <c r="AU813" s="1051"/>
      <c r="AV813" s="1052"/>
      <c r="AW813" s="1051"/>
      <c r="AX813" s="1051"/>
      <c r="AY813" s="1053"/>
      <c r="AZ813" s="1051"/>
      <c r="BA813" s="1051"/>
      <c r="BB813" s="1053"/>
      <c r="BC813" s="1051"/>
      <c r="BD813" s="1051"/>
      <c r="BE813" s="1053"/>
      <c r="BF813" s="1051"/>
      <c r="BG813" s="1051"/>
      <c r="BH813" s="1053"/>
      <c r="BI813" s="1052"/>
      <c r="BJ813" s="1052"/>
      <c r="BK813" s="1052"/>
      <c r="BL813" s="1052"/>
      <c r="BM813" s="1052"/>
      <c r="BN813" s="1054"/>
      <c r="BO813" s="1076">
        <f t="shared" si="13"/>
        <v>0</v>
      </c>
      <c r="BP813" s="1051"/>
      <c r="BQ813" s="1052"/>
      <c r="BR813" s="1054"/>
      <c r="BS813" s="1053"/>
      <c r="BT813" s="1051"/>
      <c r="BU813" s="1051"/>
      <c r="BV813" s="1051"/>
      <c r="BW813" s="1052"/>
      <c r="BX813" s="1052"/>
      <c r="BY813" s="1052"/>
      <c r="BZ813" s="1052"/>
      <c r="CA813" s="1052"/>
      <c r="CB813" s="1053"/>
      <c r="CC813" s="1053"/>
      <c r="CD813" s="1053"/>
      <c r="CE813" s="1053"/>
      <c r="CF813" s="1053"/>
      <c r="CG813" s="1053"/>
      <c r="CH813" s="1053"/>
      <c r="CI813" s="1123"/>
      <c r="CJ813" s="1123"/>
      <c r="CK813" s="1123"/>
      <c r="CL813" s="1123"/>
      <c r="CM813" s="1123"/>
      <c r="CN813" s="1123"/>
      <c r="CO813" s="1123"/>
      <c r="CP813" s="1123"/>
      <c r="CQ813" s="1123"/>
      <c r="CR813" s="1123"/>
      <c r="CS813" s="1123"/>
      <c r="CT813" s="1123"/>
      <c r="CU813" s="1123"/>
      <c r="CV813" s="1123"/>
      <c r="CW813" s="1123"/>
      <c r="CX813" s="1123"/>
      <c r="CY813" s="1123"/>
      <c r="CZ813" s="1114"/>
      <c r="DA813" s="1114"/>
      <c r="DB813" s="1114"/>
      <c r="DC813" s="1114"/>
      <c r="DD813" s="1114"/>
      <c r="DE813" s="1114"/>
      <c r="DF813" s="1114"/>
      <c r="DG813" s="1114"/>
      <c r="DH813" s="1114"/>
      <c r="DI813" s="1114"/>
      <c r="DJ813" s="1114"/>
      <c r="DK813" s="1114"/>
      <c r="DL813" s="1114"/>
      <c r="DM813" s="1114"/>
      <c r="DN813" s="1114"/>
      <c r="DO813" s="1114"/>
      <c r="DP813" s="1114"/>
      <c r="DQ813" s="1114"/>
      <c r="DR813" s="1114"/>
      <c r="DS813" s="1114"/>
      <c r="DT813" s="1114"/>
      <c r="DU813" s="1114"/>
      <c r="DV813" s="1115"/>
      <c r="DW813" s="1116"/>
      <c r="DX813" s="1116"/>
      <c r="DY813" s="1116"/>
      <c r="DZ813" s="1116"/>
      <c r="EA813" s="1116"/>
      <c r="EB813" s="1116"/>
      <c r="EC813" s="1116"/>
      <c r="ED813" s="1116"/>
      <c r="EE813" s="1116"/>
      <c r="EF813" s="1116"/>
      <c r="EG813" s="1116"/>
      <c r="EH813" s="1116"/>
      <c r="EI813" s="1116"/>
      <c r="EJ813" s="1116"/>
      <c r="EK813" s="1116"/>
      <c r="EL813" s="1116"/>
      <c r="EM813" s="1116"/>
      <c r="EN813" s="1116"/>
      <c r="EO813" s="1116"/>
      <c r="EP813" s="1116"/>
      <c r="EQ813" s="1116"/>
      <c r="ER813" s="1116"/>
      <c r="ES813" s="1116"/>
    </row>
    <row r="814" spans="1:149" ht="15" customHeight="1">
      <c r="A814" s="1185">
        <v>804</v>
      </c>
      <c r="B814" s="1041"/>
      <c r="C814" s="1050"/>
      <c r="D814" s="1050"/>
      <c r="E814" s="1050"/>
      <c r="F814" s="1049"/>
      <c r="G814" s="1049"/>
      <c r="H814" s="1049"/>
      <c r="I814" s="1049"/>
      <c r="J814" s="1050"/>
      <c r="K814" s="1050"/>
      <c r="L814" s="1043"/>
      <c r="M814" s="1051"/>
      <c r="N814" s="1051"/>
      <c r="O814" s="1052"/>
      <c r="P814" s="1051"/>
      <c r="Q814" s="1051"/>
      <c r="R814" s="1052"/>
      <c r="S814" s="1051"/>
      <c r="T814" s="1051"/>
      <c r="U814" s="1052"/>
      <c r="V814" s="1051"/>
      <c r="W814" s="1051"/>
      <c r="X814" s="1052"/>
      <c r="Y814" s="1053"/>
      <c r="Z814" s="1051"/>
      <c r="AA814" s="1051"/>
      <c r="AB814" s="1052"/>
      <c r="AC814" s="1051"/>
      <c r="AD814" s="1051"/>
      <c r="AE814" s="1052"/>
      <c r="AF814" s="1051"/>
      <c r="AG814" s="1051"/>
      <c r="AH814" s="1051"/>
      <c r="AI814" s="1051"/>
      <c r="AJ814" s="1052"/>
      <c r="AK814" s="1051"/>
      <c r="AL814" s="1051"/>
      <c r="AM814" s="1052"/>
      <c r="AN814" s="1051"/>
      <c r="AO814" s="1051"/>
      <c r="AP814" s="1052"/>
      <c r="AQ814" s="1051"/>
      <c r="AR814" s="1051"/>
      <c r="AS814" s="1052"/>
      <c r="AT814" s="1051"/>
      <c r="AU814" s="1051"/>
      <c r="AV814" s="1052"/>
      <c r="AW814" s="1051"/>
      <c r="AX814" s="1051"/>
      <c r="AY814" s="1053"/>
      <c r="AZ814" s="1051"/>
      <c r="BA814" s="1051"/>
      <c r="BB814" s="1053"/>
      <c r="BC814" s="1051"/>
      <c r="BD814" s="1051"/>
      <c r="BE814" s="1053"/>
      <c r="BF814" s="1051"/>
      <c r="BG814" s="1051"/>
      <c r="BH814" s="1053"/>
      <c r="BI814" s="1052"/>
      <c r="BJ814" s="1052"/>
      <c r="BK814" s="1052"/>
      <c r="BL814" s="1052"/>
      <c r="BM814" s="1052"/>
      <c r="BN814" s="1054"/>
      <c r="BO814" s="1076">
        <f t="shared" si="13"/>
        <v>0</v>
      </c>
      <c r="BP814" s="1051"/>
      <c r="BQ814" s="1052"/>
      <c r="BR814" s="1054"/>
      <c r="BS814" s="1053"/>
      <c r="BT814" s="1051"/>
      <c r="BU814" s="1051"/>
      <c r="BV814" s="1051"/>
      <c r="BW814" s="1052"/>
      <c r="BX814" s="1052"/>
      <c r="BY814" s="1052"/>
      <c r="BZ814" s="1052"/>
      <c r="CA814" s="1052"/>
      <c r="CB814" s="1053"/>
      <c r="CC814" s="1053"/>
      <c r="CD814" s="1053"/>
      <c r="CE814" s="1053"/>
      <c r="CF814" s="1053"/>
      <c r="CG814" s="1053"/>
      <c r="CH814" s="1053"/>
      <c r="CI814" s="1123"/>
      <c r="CJ814" s="1123"/>
      <c r="CK814" s="1123"/>
      <c r="CL814" s="1123"/>
      <c r="CM814" s="1123"/>
      <c r="CN814" s="1123"/>
      <c r="CO814" s="1123"/>
      <c r="CP814" s="1123"/>
      <c r="CQ814" s="1123"/>
      <c r="CR814" s="1123"/>
      <c r="CS814" s="1123"/>
      <c r="CT814" s="1123"/>
      <c r="CU814" s="1123"/>
      <c r="CV814" s="1123"/>
      <c r="CW814" s="1123"/>
      <c r="CX814" s="1123"/>
      <c r="CY814" s="1123"/>
      <c r="CZ814" s="1114"/>
      <c r="DA814" s="1114"/>
      <c r="DB814" s="1114"/>
      <c r="DC814" s="1114"/>
      <c r="DD814" s="1114"/>
      <c r="DE814" s="1114"/>
      <c r="DF814" s="1114"/>
      <c r="DG814" s="1114"/>
      <c r="DH814" s="1114"/>
      <c r="DI814" s="1114"/>
      <c r="DJ814" s="1114"/>
      <c r="DK814" s="1114"/>
      <c r="DL814" s="1114"/>
      <c r="DM814" s="1114"/>
      <c r="DN814" s="1114"/>
      <c r="DO814" s="1114"/>
      <c r="DP814" s="1114"/>
      <c r="DQ814" s="1114"/>
      <c r="DR814" s="1114"/>
      <c r="DS814" s="1114"/>
      <c r="DT814" s="1114"/>
      <c r="DU814" s="1114"/>
      <c r="DV814" s="1115"/>
      <c r="DW814" s="1116"/>
      <c r="DX814" s="1116"/>
      <c r="DY814" s="1116"/>
      <c r="DZ814" s="1116"/>
      <c r="EA814" s="1116"/>
      <c r="EB814" s="1116"/>
      <c r="EC814" s="1116"/>
      <c r="ED814" s="1116"/>
      <c r="EE814" s="1116"/>
      <c r="EF814" s="1116"/>
      <c r="EG814" s="1116"/>
      <c r="EH814" s="1116"/>
      <c r="EI814" s="1116"/>
      <c r="EJ814" s="1116"/>
      <c r="EK814" s="1116"/>
      <c r="EL814" s="1116"/>
      <c r="EM814" s="1116"/>
      <c r="EN814" s="1116"/>
      <c r="EO814" s="1116"/>
      <c r="EP814" s="1116"/>
      <c r="EQ814" s="1116"/>
      <c r="ER814" s="1116"/>
      <c r="ES814" s="1116"/>
    </row>
    <row r="815" spans="1:149" ht="15" customHeight="1">
      <c r="A815" s="1185">
        <v>805</v>
      </c>
      <c r="B815" s="1041"/>
      <c r="C815" s="1050"/>
      <c r="D815" s="1050"/>
      <c r="E815" s="1050"/>
      <c r="F815" s="1049"/>
      <c r="G815" s="1049"/>
      <c r="H815" s="1049"/>
      <c r="I815" s="1049"/>
      <c r="J815" s="1050"/>
      <c r="K815" s="1050"/>
      <c r="L815" s="1043"/>
      <c r="M815" s="1051"/>
      <c r="N815" s="1051"/>
      <c r="O815" s="1052"/>
      <c r="P815" s="1051"/>
      <c r="Q815" s="1051"/>
      <c r="R815" s="1052"/>
      <c r="S815" s="1051"/>
      <c r="T815" s="1051"/>
      <c r="U815" s="1052"/>
      <c r="V815" s="1051"/>
      <c r="W815" s="1051"/>
      <c r="X815" s="1052"/>
      <c r="Y815" s="1053"/>
      <c r="Z815" s="1051"/>
      <c r="AA815" s="1051"/>
      <c r="AB815" s="1052"/>
      <c r="AC815" s="1051"/>
      <c r="AD815" s="1051"/>
      <c r="AE815" s="1052"/>
      <c r="AF815" s="1051"/>
      <c r="AG815" s="1051"/>
      <c r="AH815" s="1051"/>
      <c r="AI815" s="1051"/>
      <c r="AJ815" s="1052"/>
      <c r="AK815" s="1051"/>
      <c r="AL815" s="1051"/>
      <c r="AM815" s="1052"/>
      <c r="AN815" s="1051"/>
      <c r="AO815" s="1051"/>
      <c r="AP815" s="1052"/>
      <c r="AQ815" s="1051"/>
      <c r="AR815" s="1051"/>
      <c r="AS815" s="1052"/>
      <c r="AT815" s="1051"/>
      <c r="AU815" s="1051"/>
      <c r="AV815" s="1052"/>
      <c r="AW815" s="1051"/>
      <c r="AX815" s="1051"/>
      <c r="AY815" s="1053"/>
      <c r="AZ815" s="1051"/>
      <c r="BA815" s="1051"/>
      <c r="BB815" s="1053"/>
      <c r="BC815" s="1051"/>
      <c r="BD815" s="1051"/>
      <c r="BE815" s="1053"/>
      <c r="BF815" s="1051"/>
      <c r="BG815" s="1051"/>
      <c r="BH815" s="1053"/>
      <c r="BI815" s="1052"/>
      <c r="BJ815" s="1052"/>
      <c r="BK815" s="1052"/>
      <c r="BL815" s="1052"/>
      <c r="BM815" s="1052"/>
      <c r="BN815" s="1054"/>
      <c r="BO815" s="1076">
        <f t="shared" si="13"/>
        <v>0</v>
      </c>
      <c r="BP815" s="1051"/>
      <c r="BQ815" s="1052"/>
      <c r="BR815" s="1054"/>
      <c r="BS815" s="1053"/>
      <c r="BT815" s="1051"/>
      <c r="BU815" s="1051"/>
      <c r="BV815" s="1051"/>
      <c r="BW815" s="1052"/>
      <c r="BX815" s="1052"/>
      <c r="BY815" s="1052"/>
      <c r="BZ815" s="1052"/>
      <c r="CA815" s="1052"/>
      <c r="CB815" s="1053"/>
      <c r="CC815" s="1053"/>
      <c r="CD815" s="1053"/>
      <c r="CE815" s="1053"/>
      <c r="CF815" s="1053"/>
      <c r="CG815" s="1053"/>
      <c r="CH815" s="1053"/>
      <c r="CI815" s="1123"/>
      <c r="CJ815" s="1123"/>
      <c r="CK815" s="1123"/>
      <c r="CL815" s="1123"/>
      <c r="CM815" s="1123"/>
      <c r="CN815" s="1123"/>
      <c r="CO815" s="1123"/>
      <c r="CP815" s="1123"/>
      <c r="CQ815" s="1123"/>
      <c r="CR815" s="1123"/>
      <c r="CS815" s="1123"/>
      <c r="CT815" s="1123"/>
      <c r="CU815" s="1123"/>
      <c r="CV815" s="1123"/>
      <c r="CW815" s="1123"/>
      <c r="CX815" s="1123"/>
      <c r="CY815" s="1123"/>
      <c r="CZ815" s="1114"/>
      <c r="DA815" s="1114"/>
      <c r="DB815" s="1114"/>
      <c r="DC815" s="1114"/>
      <c r="DD815" s="1114"/>
      <c r="DE815" s="1114"/>
      <c r="DF815" s="1114"/>
      <c r="DG815" s="1114"/>
      <c r="DH815" s="1114"/>
      <c r="DI815" s="1114"/>
      <c r="DJ815" s="1114"/>
      <c r="DK815" s="1114"/>
      <c r="DL815" s="1114"/>
      <c r="DM815" s="1114"/>
      <c r="DN815" s="1114"/>
      <c r="DO815" s="1114"/>
      <c r="DP815" s="1114"/>
      <c r="DQ815" s="1114"/>
      <c r="DR815" s="1114"/>
      <c r="DS815" s="1114"/>
      <c r="DT815" s="1114"/>
      <c r="DU815" s="1114"/>
      <c r="DV815" s="1115"/>
      <c r="DW815" s="1116"/>
      <c r="DX815" s="1116"/>
      <c r="DY815" s="1116"/>
      <c r="DZ815" s="1116"/>
      <c r="EA815" s="1116"/>
      <c r="EB815" s="1116"/>
      <c r="EC815" s="1116"/>
      <c r="ED815" s="1116"/>
      <c r="EE815" s="1116"/>
      <c r="EF815" s="1116"/>
      <c r="EG815" s="1116"/>
      <c r="EH815" s="1116"/>
      <c r="EI815" s="1116"/>
      <c r="EJ815" s="1116"/>
      <c r="EK815" s="1116"/>
      <c r="EL815" s="1116"/>
      <c r="EM815" s="1116"/>
      <c r="EN815" s="1116"/>
      <c r="EO815" s="1116"/>
      <c r="EP815" s="1116"/>
      <c r="EQ815" s="1116"/>
      <c r="ER815" s="1116"/>
      <c r="ES815" s="1116"/>
    </row>
    <row r="816" spans="1:149" ht="15" customHeight="1">
      <c r="A816" s="1185">
        <v>806</v>
      </c>
      <c r="B816" s="1041"/>
      <c r="C816" s="1050"/>
      <c r="D816" s="1050"/>
      <c r="E816" s="1050"/>
      <c r="F816" s="1049"/>
      <c r="G816" s="1049"/>
      <c r="H816" s="1049"/>
      <c r="I816" s="1049"/>
      <c r="J816" s="1050"/>
      <c r="K816" s="1050"/>
      <c r="L816" s="1043"/>
      <c r="M816" s="1051"/>
      <c r="N816" s="1051"/>
      <c r="O816" s="1052"/>
      <c r="P816" s="1051"/>
      <c r="Q816" s="1051"/>
      <c r="R816" s="1052"/>
      <c r="S816" s="1051"/>
      <c r="T816" s="1051"/>
      <c r="U816" s="1052"/>
      <c r="V816" s="1051"/>
      <c r="W816" s="1051"/>
      <c r="X816" s="1052"/>
      <c r="Y816" s="1053"/>
      <c r="Z816" s="1051"/>
      <c r="AA816" s="1051"/>
      <c r="AB816" s="1052"/>
      <c r="AC816" s="1051"/>
      <c r="AD816" s="1051"/>
      <c r="AE816" s="1052"/>
      <c r="AF816" s="1051"/>
      <c r="AG816" s="1051"/>
      <c r="AH816" s="1051"/>
      <c r="AI816" s="1051"/>
      <c r="AJ816" s="1052"/>
      <c r="AK816" s="1051"/>
      <c r="AL816" s="1051"/>
      <c r="AM816" s="1052"/>
      <c r="AN816" s="1051"/>
      <c r="AO816" s="1051"/>
      <c r="AP816" s="1052"/>
      <c r="AQ816" s="1051"/>
      <c r="AR816" s="1051"/>
      <c r="AS816" s="1052"/>
      <c r="AT816" s="1051"/>
      <c r="AU816" s="1051"/>
      <c r="AV816" s="1052"/>
      <c r="AW816" s="1051"/>
      <c r="AX816" s="1051"/>
      <c r="AY816" s="1053"/>
      <c r="AZ816" s="1051"/>
      <c r="BA816" s="1051"/>
      <c r="BB816" s="1053"/>
      <c r="BC816" s="1051"/>
      <c r="BD816" s="1051"/>
      <c r="BE816" s="1053"/>
      <c r="BF816" s="1051"/>
      <c r="BG816" s="1051"/>
      <c r="BH816" s="1053"/>
      <c r="BI816" s="1052"/>
      <c r="BJ816" s="1052"/>
      <c r="BK816" s="1052"/>
      <c r="BL816" s="1052"/>
      <c r="BM816" s="1052"/>
      <c r="BN816" s="1054"/>
      <c r="BO816" s="1076">
        <f t="shared" si="13"/>
        <v>0</v>
      </c>
      <c r="BP816" s="1051"/>
      <c r="BQ816" s="1052"/>
      <c r="BR816" s="1054"/>
      <c r="BS816" s="1053"/>
      <c r="BT816" s="1051"/>
      <c r="BU816" s="1051"/>
      <c r="BV816" s="1051"/>
      <c r="BW816" s="1052"/>
      <c r="BX816" s="1052"/>
      <c r="BY816" s="1052"/>
      <c r="BZ816" s="1052"/>
      <c r="CA816" s="1052"/>
      <c r="CB816" s="1053"/>
      <c r="CC816" s="1053"/>
      <c r="CD816" s="1053"/>
      <c r="CE816" s="1053"/>
      <c r="CF816" s="1053"/>
      <c r="CG816" s="1053"/>
      <c r="CH816" s="1053"/>
      <c r="CI816" s="1123"/>
      <c r="CJ816" s="1123"/>
      <c r="CK816" s="1123"/>
      <c r="CL816" s="1123"/>
      <c r="CM816" s="1123"/>
      <c r="CN816" s="1123"/>
      <c r="CO816" s="1123"/>
      <c r="CP816" s="1123"/>
      <c r="CQ816" s="1123"/>
      <c r="CR816" s="1123"/>
      <c r="CS816" s="1123"/>
      <c r="CT816" s="1123"/>
      <c r="CU816" s="1123"/>
      <c r="CV816" s="1123"/>
      <c r="CW816" s="1123"/>
      <c r="CX816" s="1123"/>
      <c r="CY816" s="1123"/>
      <c r="CZ816" s="1114"/>
      <c r="DA816" s="1114"/>
      <c r="DB816" s="1114"/>
      <c r="DC816" s="1114"/>
      <c r="DD816" s="1114"/>
      <c r="DE816" s="1114"/>
      <c r="DF816" s="1114"/>
      <c r="DG816" s="1114"/>
      <c r="DH816" s="1114"/>
      <c r="DI816" s="1114"/>
      <c r="DJ816" s="1114"/>
      <c r="DK816" s="1114"/>
      <c r="DL816" s="1114"/>
      <c r="DM816" s="1114"/>
      <c r="DN816" s="1114"/>
      <c r="DO816" s="1114"/>
      <c r="DP816" s="1114"/>
      <c r="DQ816" s="1114"/>
      <c r="DR816" s="1114"/>
      <c r="DS816" s="1114"/>
      <c r="DT816" s="1114"/>
      <c r="DU816" s="1114"/>
      <c r="DV816" s="1115"/>
      <c r="DW816" s="1116"/>
      <c r="DX816" s="1116"/>
      <c r="DY816" s="1116"/>
      <c r="DZ816" s="1116"/>
      <c r="EA816" s="1116"/>
      <c r="EB816" s="1116"/>
      <c r="EC816" s="1116"/>
      <c r="ED816" s="1116"/>
      <c r="EE816" s="1116"/>
      <c r="EF816" s="1116"/>
      <c r="EG816" s="1116"/>
      <c r="EH816" s="1116"/>
      <c r="EI816" s="1116"/>
      <c r="EJ816" s="1116"/>
      <c r="EK816" s="1116"/>
      <c r="EL816" s="1116"/>
      <c r="EM816" s="1116"/>
      <c r="EN816" s="1116"/>
      <c r="EO816" s="1116"/>
      <c r="EP816" s="1116"/>
      <c r="EQ816" s="1116"/>
      <c r="ER816" s="1116"/>
      <c r="ES816" s="1116"/>
    </row>
    <row r="817" spans="1:149" ht="15" customHeight="1">
      <c r="A817" s="1185">
        <v>807</v>
      </c>
      <c r="B817" s="1041"/>
      <c r="C817" s="1050"/>
      <c r="D817" s="1050"/>
      <c r="E817" s="1050"/>
      <c r="F817" s="1049"/>
      <c r="G817" s="1049"/>
      <c r="H817" s="1049"/>
      <c r="I817" s="1049"/>
      <c r="J817" s="1050"/>
      <c r="K817" s="1050"/>
      <c r="L817" s="1043"/>
      <c r="M817" s="1051"/>
      <c r="N817" s="1051"/>
      <c r="O817" s="1052"/>
      <c r="P817" s="1051"/>
      <c r="Q817" s="1051"/>
      <c r="R817" s="1052"/>
      <c r="S817" s="1051"/>
      <c r="T817" s="1051"/>
      <c r="U817" s="1052"/>
      <c r="V817" s="1051"/>
      <c r="W817" s="1051"/>
      <c r="X817" s="1052"/>
      <c r="Y817" s="1053"/>
      <c r="Z817" s="1051"/>
      <c r="AA817" s="1051"/>
      <c r="AB817" s="1052"/>
      <c r="AC817" s="1051"/>
      <c r="AD817" s="1051"/>
      <c r="AE817" s="1052"/>
      <c r="AF817" s="1051"/>
      <c r="AG817" s="1051"/>
      <c r="AH817" s="1051"/>
      <c r="AI817" s="1051"/>
      <c r="AJ817" s="1052"/>
      <c r="AK817" s="1051"/>
      <c r="AL817" s="1051"/>
      <c r="AM817" s="1052"/>
      <c r="AN817" s="1051"/>
      <c r="AO817" s="1051"/>
      <c r="AP817" s="1052"/>
      <c r="AQ817" s="1051"/>
      <c r="AR817" s="1051"/>
      <c r="AS817" s="1052"/>
      <c r="AT817" s="1051"/>
      <c r="AU817" s="1051"/>
      <c r="AV817" s="1052"/>
      <c r="AW817" s="1051"/>
      <c r="AX817" s="1051"/>
      <c r="AY817" s="1053"/>
      <c r="AZ817" s="1051"/>
      <c r="BA817" s="1051"/>
      <c r="BB817" s="1053"/>
      <c r="BC817" s="1051"/>
      <c r="BD817" s="1051"/>
      <c r="BE817" s="1053"/>
      <c r="BF817" s="1051"/>
      <c r="BG817" s="1051"/>
      <c r="BH817" s="1053"/>
      <c r="BI817" s="1052"/>
      <c r="BJ817" s="1052"/>
      <c r="BK817" s="1052"/>
      <c r="BL817" s="1052"/>
      <c r="BM817" s="1052"/>
      <c r="BN817" s="1054"/>
      <c r="BO817" s="1076">
        <f t="shared" ref="BO817:BO880" si="14">H817</f>
        <v>0</v>
      </c>
      <c r="BP817" s="1051"/>
      <c r="BQ817" s="1052"/>
      <c r="BR817" s="1054"/>
      <c r="BS817" s="1053"/>
      <c r="BT817" s="1051"/>
      <c r="BU817" s="1051"/>
      <c r="BV817" s="1051"/>
      <c r="BW817" s="1052"/>
      <c r="BX817" s="1052"/>
      <c r="BY817" s="1052"/>
      <c r="BZ817" s="1052"/>
      <c r="CA817" s="1052"/>
      <c r="CB817" s="1053"/>
      <c r="CC817" s="1053"/>
      <c r="CD817" s="1053"/>
      <c r="CE817" s="1053"/>
      <c r="CF817" s="1053"/>
      <c r="CG817" s="1053"/>
      <c r="CH817" s="1053"/>
      <c r="CI817" s="1123"/>
      <c r="CJ817" s="1123"/>
      <c r="CK817" s="1123"/>
      <c r="CL817" s="1123"/>
      <c r="CM817" s="1123"/>
      <c r="CN817" s="1123"/>
      <c r="CO817" s="1123"/>
      <c r="CP817" s="1123"/>
      <c r="CQ817" s="1123"/>
      <c r="CR817" s="1123"/>
      <c r="CS817" s="1123"/>
      <c r="CT817" s="1123"/>
      <c r="CU817" s="1123"/>
      <c r="CV817" s="1123"/>
      <c r="CW817" s="1123"/>
      <c r="CX817" s="1123"/>
      <c r="CY817" s="1123"/>
      <c r="CZ817" s="1114"/>
      <c r="DA817" s="1114"/>
      <c r="DB817" s="1114"/>
      <c r="DC817" s="1114"/>
      <c r="DD817" s="1114"/>
      <c r="DE817" s="1114"/>
      <c r="DF817" s="1114"/>
      <c r="DG817" s="1114"/>
      <c r="DH817" s="1114"/>
      <c r="DI817" s="1114"/>
      <c r="DJ817" s="1114"/>
      <c r="DK817" s="1114"/>
      <c r="DL817" s="1114"/>
      <c r="DM817" s="1114"/>
      <c r="DN817" s="1114"/>
      <c r="DO817" s="1114"/>
      <c r="DP817" s="1114"/>
      <c r="DQ817" s="1114"/>
      <c r="DR817" s="1114"/>
      <c r="DS817" s="1114"/>
      <c r="DT817" s="1114"/>
      <c r="DU817" s="1114"/>
      <c r="DV817" s="1115"/>
      <c r="DW817" s="1116"/>
      <c r="DX817" s="1116"/>
      <c r="DY817" s="1116"/>
      <c r="DZ817" s="1116"/>
      <c r="EA817" s="1116"/>
      <c r="EB817" s="1116"/>
      <c r="EC817" s="1116"/>
      <c r="ED817" s="1116"/>
      <c r="EE817" s="1116"/>
      <c r="EF817" s="1116"/>
      <c r="EG817" s="1116"/>
      <c r="EH817" s="1116"/>
      <c r="EI817" s="1116"/>
      <c r="EJ817" s="1116"/>
      <c r="EK817" s="1116"/>
      <c r="EL817" s="1116"/>
      <c r="EM817" s="1116"/>
      <c r="EN817" s="1116"/>
      <c r="EO817" s="1116"/>
      <c r="EP817" s="1116"/>
      <c r="EQ817" s="1116"/>
      <c r="ER817" s="1116"/>
      <c r="ES817" s="1116"/>
    </row>
    <row r="818" spans="1:149" ht="15" customHeight="1">
      <c r="A818" s="1185">
        <v>808</v>
      </c>
      <c r="B818" s="1041"/>
      <c r="C818" s="1050"/>
      <c r="D818" s="1050"/>
      <c r="E818" s="1050"/>
      <c r="F818" s="1049"/>
      <c r="G818" s="1049"/>
      <c r="H818" s="1049"/>
      <c r="I818" s="1049"/>
      <c r="J818" s="1050"/>
      <c r="K818" s="1050"/>
      <c r="L818" s="1043"/>
      <c r="M818" s="1051"/>
      <c r="N818" s="1051"/>
      <c r="O818" s="1052"/>
      <c r="P818" s="1051"/>
      <c r="Q818" s="1051"/>
      <c r="R818" s="1052"/>
      <c r="S818" s="1051"/>
      <c r="T818" s="1051"/>
      <c r="U818" s="1052"/>
      <c r="V818" s="1051"/>
      <c r="W818" s="1051"/>
      <c r="X818" s="1052"/>
      <c r="Y818" s="1053"/>
      <c r="Z818" s="1051"/>
      <c r="AA818" s="1051"/>
      <c r="AB818" s="1052"/>
      <c r="AC818" s="1051"/>
      <c r="AD818" s="1051"/>
      <c r="AE818" s="1052"/>
      <c r="AF818" s="1051"/>
      <c r="AG818" s="1051"/>
      <c r="AH818" s="1051"/>
      <c r="AI818" s="1051"/>
      <c r="AJ818" s="1052"/>
      <c r="AK818" s="1051"/>
      <c r="AL818" s="1051"/>
      <c r="AM818" s="1052"/>
      <c r="AN818" s="1051"/>
      <c r="AO818" s="1051"/>
      <c r="AP818" s="1052"/>
      <c r="AQ818" s="1051"/>
      <c r="AR818" s="1051"/>
      <c r="AS818" s="1052"/>
      <c r="AT818" s="1051"/>
      <c r="AU818" s="1051"/>
      <c r="AV818" s="1052"/>
      <c r="AW818" s="1051"/>
      <c r="AX818" s="1051"/>
      <c r="AY818" s="1053"/>
      <c r="AZ818" s="1051"/>
      <c r="BA818" s="1051"/>
      <c r="BB818" s="1053"/>
      <c r="BC818" s="1051"/>
      <c r="BD818" s="1051"/>
      <c r="BE818" s="1053"/>
      <c r="BF818" s="1051"/>
      <c r="BG818" s="1051"/>
      <c r="BH818" s="1053"/>
      <c r="BI818" s="1052"/>
      <c r="BJ818" s="1052"/>
      <c r="BK818" s="1052"/>
      <c r="BL818" s="1052"/>
      <c r="BM818" s="1052"/>
      <c r="BN818" s="1054"/>
      <c r="BO818" s="1076">
        <f t="shared" si="14"/>
        <v>0</v>
      </c>
      <c r="BP818" s="1051"/>
      <c r="BQ818" s="1052"/>
      <c r="BR818" s="1054"/>
      <c r="BS818" s="1053"/>
      <c r="BT818" s="1051"/>
      <c r="BU818" s="1051"/>
      <c r="BV818" s="1051"/>
      <c r="BW818" s="1052"/>
      <c r="BX818" s="1052"/>
      <c r="BY818" s="1052"/>
      <c r="BZ818" s="1052"/>
      <c r="CA818" s="1052"/>
      <c r="CB818" s="1053"/>
      <c r="CC818" s="1053"/>
      <c r="CD818" s="1053"/>
      <c r="CE818" s="1053"/>
      <c r="CF818" s="1053"/>
      <c r="CG818" s="1053"/>
      <c r="CH818" s="1053"/>
      <c r="CI818" s="1123"/>
      <c r="CJ818" s="1123"/>
      <c r="CK818" s="1123"/>
      <c r="CL818" s="1123"/>
      <c r="CM818" s="1123"/>
      <c r="CN818" s="1123"/>
      <c r="CO818" s="1123"/>
      <c r="CP818" s="1123"/>
      <c r="CQ818" s="1123"/>
      <c r="CR818" s="1123"/>
      <c r="CS818" s="1123"/>
      <c r="CT818" s="1123"/>
      <c r="CU818" s="1123"/>
      <c r="CV818" s="1123"/>
      <c r="CW818" s="1123"/>
      <c r="CX818" s="1123"/>
      <c r="CY818" s="1123"/>
      <c r="CZ818" s="1114"/>
      <c r="DA818" s="1114"/>
      <c r="DB818" s="1114"/>
      <c r="DC818" s="1114"/>
      <c r="DD818" s="1114"/>
      <c r="DE818" s="1114"/>
      <c r="DF818" s="1114"/>
      <c r="DG818" s="1114"/>
      <c r="DH818" s="1114"/>
      <c r="DI818" s="1114"/>
      <c r="DJ818" s="1114"/>
      <c r="DK818" s="1114"/>
      <c r="DL818" s="1114"/>
      <c r="DM818" s="1114"/>
      <c r="DN818" s="1114"/>
      <c r="DO818" s="1114"/>
      <c r="DP818" s="1114"/>
      <c r="DQ818" s="1114"/>
      <c r="DR818" s="1114"/>
      <c r="DS818" s="1114"/>
      <c r="DT818" s="1114"/>
      <c r="DU818" s="1114"/>
      <c r="DV818" s="1115"/>
      <c r="DW818" s="1116"/>
      <c r="DX818" s="1116"/>
      <c r="DY818" s="1116"/>
      <c r="DZ818" s="1116"/>
      <c r="EA818" s="1116"/>
      <c r="EB818" s="1116"/>
      <c r="EC818" s="1116"/>
      <c r="ED818" s="1116"/>
      <c r="EE818" s="1116"/>
      <c r="EF818" s="1116"/>
      <c r="EG818" s="1116"/>
      <c r="EH818" s="1116"/>
      <c r="EI818" s="1116"/>
      <c r="EJ818" s="1116"/>
      <c r="EK818" s="1116"/>
      <c r="EL818" s="1116"/>
      <c r="EM818" s="1116"/>
      <c r="EN818" s="1116"/>
      <c r="EO818" s="1116"/>
      <c r="EP818" s="1116"/>
      <c r="EQ818" s="1116"/>
      <c r="ER818" s="1116"/>
      <c r="ES818" s="1116"/>
    </row>
    <row r="819" spans="1:149" ht="15" customHeight="1">
      <c r="A819" s="1185">
        <v>809</v>
      </c>
      <c r="B819" s="1041"/>
      <c r="C819" s="1050"/>
      <c r="D819" s="1050"/>
      <c r="E819" s="1050"/>
      <c r="F819" s="1049"/>
      <c r="G819" s="1049"/>
      <c r="H819" s="1049"/>
      <c r="I819" s="1049"/>
      <c r="J819" s="1050"/>
      <c r="K819" s="1050"/>
      <c r="L819" s="1043"/>
      <c r="M819" s="1051"/>
      <c r="N819" s="1051"/>
      <c r="O819" s="1052"/>
      <c r="P819" s="1051"/>
      <c r="Q819" s="1051"/>
      <c r="R819" s="1052"/>
      <c r="S819" s="1051"/>
      <c r="T819" s="1051"/>
      <c r="U819" s="1052"/>
      <c r="V819" s="1051"/>
      <c r="W819" s="1051"/>
      <c r="X819" s="1052"/>
      <c r="Y819" s="1053"/>
      <c r="Z819" s="1051"/>
      <c r="AA819" s="1051"/>
      <c r="AB819" s="1052"/>
      <c r="AC819" s="1051"/>
      <c r="AD819" s="1051"/>
      <c r="AE819" s="1052"/>
      <c r="AF819" s="1051"/>
      <c r="AG819" s="1051"/>
      <c r="AH819" s="1051"/>
      <c r="AI819" s="1051"/>
      <c r="AJ819" s="1052"/>
      <c r="AK819" s="1051"/>
      <c r="AL819" s="1051"/>
      <c r="AM819" s="1052"/>
      <c r="AN819" s="1051"/>
      <c r="AO819" s="1051"/>
      <c r="AP819" s="1052"/>
      <c r="AQ819" s="1051"/>
      <c r="AR819" s="1051"/>
      <c r="AS819" s="1052"/>
      <c r="AT819" s="1051"/>
      <c r="AU819" s="1051"/>
      <c r="AV819" s="1052"/>
      <c r="AW819" s="1051"/>
      <c r="AX819" s="1051"/>
      <c r="AY819" s="1053"/>
      <c r="AZ819" s="1051"/>
      <c r="BA819" s="1051"/>
      <c r="BB819" s="1053"/>
      <c r="BC819" s="1051"/>
      <c r="BD819" s="1051"/>
      <c r="BE819" s="1053"/>
      <c r="BF819" s="1051"/>
      <c r="BG819" s="1051"/>
      <c r="BH819" s="1053"/>
      <c r="BI819" s="1052"/>
      <c r="BJ819" s="1052"/>
      <c r="BK819" s="1052"/>
      <c r="BL819" s="1052"/>
      <c r="BM819" s="1052"/>
      <c r="BN819" s="1054"/>
      <c r="BO819" s="1076">
        <f t="shared" si="14"/>
        <v>0</v>
      </c>
      <c r="BP819" s="1051"/>
      <c r="BQ819" s="1052"/>
      <c r="BR819" s="1054"/>
      <c r="BS819" s="1053"/>
      <c r="BT819" s="1051"/>
      <c r="BU819" s="1051"/>
      <c r="BV819" s="1051"/>
      <c r="BW819" s="1052"/>
      <c r="BX819" s="1052"/>
      <c r="BY819" s="1052"/>
      <c r="BZ819" s="1052"/>
      <c r="CA819" s="1052"/>
      <c r="CB819" s="1053"/>
      <c r="CC819" s="1053"/>
      <c r="CD819" s="1053"/>
      <c r="CE819" s="1053"/>
      <c r="CF819" s="1053"/>
      <c r="CG819" s="1053"/>
      <c r="CH819" s="1053"/>
      <c r="CI819" s="1123"/>
      <c r="CJ819" s="1123"/>
      <c r="CK819" s="1123"/>
      <c r="CL819" s="1123"/>
      <c r="CM819" s="1123"/>
      <c r="CN819" s="1123"/>
      <c r="CO819" s="1123"/>
      <c r="CP819" s="1123"/>
      <c r="CQ819" s="1123"/>
      <c r="CR819" s="1123"/>
      <c r="CS819" s="1123"/>
      <c r="CT819" s="1123"/>
      <c r="CU819" s="1123"/>
      <c r="CV819" s="1123"/>
      <c r="CW819" s="1123"/>
      <c r="CX819" s="1123"/>
      <c r="CY819" s="1123"/>
      <c r="CZ819" s="1114"/>
      <c r="DA819" s="1114"/>
      <c r="DB819" s="1114"/>
      <c r="DC819" s="1114"/>
      <c r="DD819" s="1114"/>
      <c r="DE819" s="1114"/>
      <c r="DF819" s="1114"/>
      <c r="DG819" s="1114"/>
      <c r="DH819" s="1114"/>
      <c r="DI819" s="1114"/>
      <c r="DJ819" s="1114"/>
      <c r="DK819" s="1114"/>
      <c r="DL819" s="1114"/>
      <c r="DM819" s="1114"/>
      <c r="DN819" s="1114"/>
      <c r="DO819" s="1114"/>
      <c r="DP819" s="1114"/>
      <c r="DQ819" s="1114"/>
      <c r="DR819" s="1114"/>
      <c r="DS819" s="1114"/>
      <c r="DT819" s="1114"/>
      <c r="DU819" s="1114"/>
      <c r="DV819" s="1115"/>
      <c r="DW819" s="1116"/>
      <c r="DX819" s="1116"/>
      <c r="DY819" s="1116"/>
      <c r="DZ819" s="1116"/>
      <c r="EA819" s="1116"/>
      <c r="EB819" s="1116"/>
      <c r="EC819" s="1116"/>
      <c r="ED819" s="1116"/>
      <c r="EE819" s="1116"/>
      <c r="EF819" s="1116"/>
      <c r="EG819" s="1116"/>
      <c r="EH819" s="1116"/>
      <c r="EI819" s="1116"/>
      <c r="EJ819" s="1116"/>
      <c r="EK819" s="1116"/>
      <c r="EL819" s="1116"/>
      <c r="EM819" s="1116"/>
      <c r="EN819" s="1116"/>
      <c r="EO819" s="1116"/>
      <c r="EP819" s="1116"/>
      <c r="EQ819" s="1116"/>
      <c r="ER819" s="1116"/>
      <c r="ES819" s="1116"/>
    </row>
    <row r="820" spans="1:149" ht="15" customHeight="1">
      <c r="A820" s="1185">
        <v>810</v>
      </c>
      <c r="B820" s="1041"/>
      <c r="C820" s="1050"/>
      <c r="D820" s="1050"/>
      <c r="E820" s="1050"/>
      <c r="F820" s="1049"/>
      <c r="G820" s="1049"/>
      <c r="H820" s="1049"/>
      <c r="I820" s="1049"/>
      <c r="J820" s="1050"/>
      <c r="K820" s="1050"/>
      <c r="L820" s="1043"/>
      <c r="M820" s="1051"/>
      <c r="N820" s="1051"/>
      <c r="O820" s="1052"/>
      <c r="P820" s="1051"/>
      <c r="Q820" s="1051"/>
      <c r="R820" s="1052"/>
      <c r="S820" s="1051"/>
      <c r="T820" s="1051"/>
      <c r="U820" s="1052"/>
      <c r="V820" s="1051"/>
      <c r="W820" s="1051"/>
      <c r="X820" s="1052"/>
      <c r="Y820" s="1053"/>
      <c r="Z820" s="1051"/>
      <c r="AA820" s="1051"/>
      <c r="AB820" s="1052"/>
      <c r="AC820" s="1051"/>
      <c r="AD820" s="1051"/>
      <c r="AE820" s="1052"/>
      <c r="AF820" s="1051"/>
      <c r="AG820" s="1051"/>
      <c r="AH820" s="1051"/>
      <c r="AI820" s="1051"/>
      <c r="AJ820" s="1052"/>
      <c r="AK820" s="1051"/>
      <c r="AL820" s="1051"/>
      <c r="AM820" s="1052"/>
      <c r="AN820" s="1051"/>
      <c r="AO820" s="1051"/>
      <c r="AP820" s="1052"/>
      <c r="AQ820" s="1051"/>
      <c r="AR820" s="1051"/>
      <c r="AS820" s="1052"/>
      <c r="AT820" s="1051"/>
      <c r="AU820" s="1051"/>
      <c r="AV820" s="1052"/>
      <c r="AW820" s="1051"/>
      <c r="AX820" s="1051"/>
      <c r="AY820" s="1053"/>
      <c r="AZ820" s="1051"/>
      <c r="BA820" s="1051"/>
      <c r="BB820" s="1053"/>
      <c r="BC820" s="1051"/>
      <c r="BD820" s="1051"/>
      <c r="BE820" s="1053"/>
      <c r="BF820" s="1051"/>
      <c r="BG820" s="1051"/>
      <c r="BH820" s="1053"/>
      <c r="BI820" s="1052"/>
      <c r="BJ820" s="1052"/>
      <c r="BK820" s="1052"/>
      <c r="BL820" s="1052"/>
      <c r="BM820" s="1052"/>
      <c r="BN820" s="1054"/>
      <c r="BO820" s="1076">
        <f t="shared" si="14"/>
        <v>0</v>
      </c>
      <c r="BP820" s="1051"/>
      <c r="BQ820" s="1052"/>
      <c r="BR820" s="1054"/>
      <c r="BS820" s="1053"/>
      <c r="BT820" s="1051"/>
      <c r="BU820" s="1051"/>
      <c r="BV820" s="1051"/>
      <c r="BW820" s="1052"/>
      <c r="BX820" s="1052"/>
      <c r="BY820" s="1052"/>
      <c r="BZ820" s="1052"/>
      <c r="CA820" s="1052"/>
      <c r="CB820" s="1053"/>
      <c r="CC820" s="1053"/>
      <c r="CD820" s="1053"/>
      <c r="CE820" s="1053"/>
      <c r="CF820" s="1053"/>
      <c r="CG820" s="1053"/>
      <c r="CH820" s="1053"/>
      <c r="CI820" s="1123"/>
      <c r="CJ820" s="1123"/>
      <c r="CK820" s="1123"/>
      <c r="CL820" s="1123"/>
      <c r="CM820" s="1123"/>
      <c r="CN820" s="1123"/>
      <c r="CO820" s="1123"/>
      <c r="CP820" s="1123"/>
      <c r="CQ820" s="1123"/>
      <c r="CR820" s="1123"/>
      <c r="CS820" s="1123"/>
      <c r="CT820" s="1123"/>
      <c r="CU820" s="1123"/>
      <c r="CV820" s="1123"/>
      <c r="CW820" s="1123"/>
      <c r="CX820" s="1123"/>
      <c r="CY820" s="1123"/>
      <c r="CZ820" s="1114"/>
      <c r="DA820" s="1114"/>
      <c r="DB820" s="1114"/>
      <c r="DC820" s="1114"/>
      <c r="DD820" s="1114"/>
      <c r="DE820" s="1114"/>
      <c r="DF820" s="1114"/>
      <c r="DG820" s="1114"/>
      <c r="DH820" s="1114"/>
      <c r="DI820" s="1114"/>
      <c r="DJ820" s="1114"/>
      <c r="DK820" s="1114"/>
      <c r="DL820" s="1114"/>
      <c r="DM820" s="1114"/>
      <c r="DN820" s="1114"/>
      <c r="DO820" s="1114"/>
      <c r="DP820" s="1114"/>
      <c r="DQ820" s="1114"/>
      <c r="DR820" s="1114"/>
      <c r="DS820" s="1114"/>
      <c r="DT820" s="1114"/>
      <c r="DU820" s="1114"/>
      <c r="DV820" s="1115"/>
      <c r="DW820" s="1116"/>
      <c r="DX820" s="1116"/>
      <c r="DY820" s="1116"/>
      <c r="DZ820" s="1116"/>
      <c r="EA820" s="1116"/>
      <c r="EB820" s="1116"/>
      <c r="EC820" s="1116"/>
      <c r="ED820" s="1116"/>
      <c r="EE820" s="1116"/>
      <c r="EF820" s="1116"/>
      <c r="EG820" s="1116"/>
      <c r="EH820" s="1116"/>
      <c r="EI820" s="1116"/>
      <c r="EJ820" s="1116"/>
      <c r="EK820" s="1116"/>
      <c r="EL820" s="1116"/>
      <c r="EM820" s="1116"/>
      <c r="EN820" s="1116"/>
      <c r="EO820" s="1116"/>
      <c r="EP820" s="1116"/>
      <c r="EQ820" s="1116"/>
      <c r="ER820" s="1116"/>
      <c r="ES820" s="1116"/>
    </row>
    <row r="821" spans="1:149" ht="15" customHeight="1">
      <c r="A821" s="1185">
        <v>811</v>
      </c>
      <c r="B821" s="1041"/>
      <c r="C821" s="1050"/>
      <c r="D821" s="1050"/>
      <c r="E821" s="1050"/>
      <c r="F821" s="1049"/>
      <c r="G821" s="1049"/>
      <c r="H821" s="1049"/>
      <c r="I821" s="1049"/>
      <c r="J821" s="1050"/>
      <c r="K821" s="1050"/>
      <c r="L821" s="1043"/>
      <c r="M821" s="1051"/>
      <c r="N821" s="1051"/>
      <c r="O821" s="1052"/>
      <c r="P821" s="1051"/>
      <c r="Q821" s="1051"/>
      <c r="R821" s="1052"/>
      <c r="S821" s="1051"/>
      <c r="T821" s="1051"/>
      <c r="U821" s="1052"/>
      <c r="V821" s="1051"/>
      <c r="W821" s="1051"/>
      <c r="X821" s="1052"/>
      <c r="Y821" s="1053"/>
      <c r="Z821" s="1051"/>
      <c r="AA821" s="1051"/>
      <c r="AB821" s="1052"/>
      <c r="AC821" s="1051"/>
      <c r="AD821" s="1051"/>
      <c r="AE821" s="1052"/>
      <c r="AF821" s="1051"/>
      <c r="AG821" s="1051"/>
      <c r="AH821" s="1051"/>
      <c r="AI821" s="1051"/>
      <c r="AJ821" s="1052"/>
      <c r="AK821" s="1051"/>
      <c r="AL821" s="1051"/>
      <c r="AM821" s="1052"/>
      <c r="AN821" s="1051"/>
      <c r="AO821" s="1051"/>
      <c r="AP821" s="1052"/>
      <c r="AQ821" s="1051"/>
      <c r="AR821" s="1051"/>
      <c r="AS821" s="1052"/>
      <c r="AT821" s="1051"/>
      <c r="AU821" s="1051"/>
      <c r="AV821" s="1052"/>
      <c r="AW821" s="1051"/>
      <c r="AX821" s="1051"/>
      <c r="AY821" s="1053"/>
      <c r="AZ821" s="1051"/>
      <c r="BA821" s="1051"/>
      <c r="BB821" s="1053"/>
      <c r="BC821" s="1051"/>
      <c r="BD821" s="1051"/>
      <c r="BE821" s="1053"/>
      <c r="BF821" s="1051"/>
      <c r="BG821" s="1051"/>
      <c r="BH821" s="1053"/>
      <c r="BI821" s="1052"/>
      <c r="BJ821" s="1052"/>
      <c r="BK821" s="1052"/>
      <c r="BL821" s="1052"/>
      <c r="BM821" s="1052"/>
      <c r="BN821" s="1054"/>
      <c r="BO821" s="1076">
        <f t="shared" si="14"/>
        <v>0</v>
      </c>
      <c r="BP821" s="1051"/>
      <c r="BQ821" s="1052"/>
      <c r="BR821" s="1054"/>
      <c r="BS821" s="1053"/>
      <c r="BT821" s="1051"/>
      <c r="BU821" s="1051"/>
      <c r="BV821" s="1051"/>
      <c r="BW821" s="1052"/>
      <c r="BX821" s="1052"/>
      <c r="BY821" s="1052"/>
      <c r="BZ821" s="1052"/>
      <c r="CA821" s="1052"/>
      <c r="CB821" s="1053"/>
      <c r="CC821" s="1053"/>
      <c r="CD821" s="1053"/>
      <c r="CE821" s="1053"/>
      <c r="CF821" s="1053"/>
      <c r="CG821" s="1053"/>
      <c r="CH821" s="1053"/>
      <c r="CI821" s="1123"/>
      <c r="CJ821" s="1123"/>
      <c r="CK821" s="1123"/>
      <c r="CL821" s="1123"/>
      <c r="CM821" s="1123"/>
      <c r="CN821" s="1123"/>
      <c r="CO821" s="1123"/>
      <c r="CP821" s="1123"/>
      <c r="CQ821" s="1123"/>
      <c r="CR821" s="1123"/>
      <c r="CS821" s="1123"/>
      <c r="CT821" s="1123"/>
      <c r="CU821" s="1123"/>
      <c r="CV821" s="1123"/>
      <c r="CW821" s="1123"/>
      <c r="CX821" s="1123"/>
      <c r="CY821" s="1123"/>
      <c r="CZ821" s="1114"/>
      <c r="DA821" s="1114"/>
      <c r="DB821" s="1114"/>
      <c r="DC821" s="1114"/>
      <c r="DD821" s="1114"/>
      <c r="DE821" s="1114"/>
      <c r="DF821" s="1114"/>
      <c r="DG821" s="1114"/>
      <c r="DH821" s="1114"/>
      <c r="DI821" s="1114"/>
      <c r="DJ821" s="1114"/>
      <c r="DK821" s="1114"/>
      <c r="DL821" s="1114"/>
      <c r="DM821" s="1114"/>
      <c r="DN821" s="1114"/>
      <c r="DO821" s="1114"/>
      <c r="DP821" s="1114"/>
      <c r="DQ821" s="1114"/>
      <c r="DR821" s="1114"/>
      <c r="DS821" s="1114"/>
      <c r="DT821" s="1114"/>
      <c r="DU821" s="1114"/>
      <c r="DV821" s="1115"/>
      <c r="DW821" s="1116"/>
      <c r="DX821" s="1116"/>
      <c r="DY821" s="1116"/>
      <c r="DZ821" s="1116"/>
      <c r="EA821" s="1116"/>
      <c r="EB821" s="1116"/>
      <c r="EC821" s="1116"/>
      <c r="ED821" s="1116"/>
      <c r="EE821" s="1116"/>
      <c r="EF821" s="1116"/>
      <c r="EG821" s="1116"/>
      <c r="EH821" s="1116"/>
      <c r="EI821" s="1116"/>
      <c r="EJ821" s="1116"/>
      <c r="EK821" s="1116"/>
      <c r="EL821" s="1116"/>
      <c r="EM821" s="1116"/>
      <c r="EN821" s="1116"/>
      <c r="EO821" s="1116"/>
      <c r="EP821" s="1116"/>
      <c r="EQ821" s="1116"/>
      <c r="ER821" s="1116"/>
      <c r="ES821" s="1116"/>
    </row>
    <row r="822" spans="1:149" ht="15" customHeight="1">
      <c r="A822" s="1185">
        <v>812</v>
      </c>
      <c r="B822" s="1041"/>
      <c r="C822" s="1050"/>
      <c r="D822" s="1050"/>
      <c r="E822" s="1050"/>
      <c r="F822" s="1049"/>
      <c r="G822" s="1049"/>
      <c r="H822" s="1049"/>
      <c r="I822" s="1049"/>
      <c r="J822" s="1050"/>
      <c r="K822" s="1050"/>
      <c r="L822" s="1043"/>
      <c r="M822" s="1051"/>
      <c r="N822" s="1051"/>
      <c r="O822" s="1052"/>
      <c r="P822" s="1051"/>
      <c r="Q822" s="1051"/>
      <c r="R822" s="1052"/>
      <c r="S822" s="1051"/>
      <c r="T822" s="1051"/>
      <c r="U822" s="1052"/>
      <c r="V822" s="1051"/>
      <c r="W822" s="1051"/>
      <c r="X822" s="1052"/>
      <c r="Y822" s="1053"/>
      <c r="Z822" s="1051"/>
      <c r="AA822" s="1051"/>
      <c r="AB822" s="1052"/>
      <c r="AC822" s="1051"/>
      <c r="AD822" s="1051"/>
      <c r="AE822" s="1052"/>
      <c r="AF822" s="1051"/>
      <c r="AG822" s="1051"/>
      <c r="AH822" s="1051"/>
      <c r="AI822" s="1051"/>
      <c r="AJ822" s="1052"/>
      <c r="AK822" s="1051"/>
      <c r="AL822" s="1051"/>
      <c r="AM822" s="1052"/>
      <c r="AN822" s="1051"/>
      <c r="AO822" s="1051"/>
      <c r="AP822" s="1052"/>
      <c r="AQ822" s="1051"/>
      <c r="AR822" s="1051"/>
      <c r="AS822" s="1052"/>
      <c r="AT822" s="1051"/>
      <c r="AU822" s="1051"/>
      <c r="AV822" s="1052"/>
      <c r="AW822" s="1051"/>
      <c r="AX822" s="1051"/>
      <c r="AY822" s="1053"/>
      <c r="AZ822" s="1051"/>
      <c r="BA822" s="1051"/>
      <c r="BB822" s="1053"/>
      <c r="BC822" s="1051"/>
      <c r="BD822" s="1051"/>
      <c r="BE822" s="1053"/>
      <c r="BF822" s="1051"/>
      <c r="BG822" s="1051"/>
      <c r="BH822" s="1053"/>
      <c r="BI822" s="1052"/>
      <c r="BJ822" s="1052"/>
      <c r="BK822" s="1052"/>
      <c r="BL822" s="1052"/>
      <c r="BM822" s="1052"/>
      <c r="BN822" s="1054"/>
      <c r="BO822" s="1076">
        <f t="shared" si="14"/>
        <v>0</v>
      </c>
      <c r="BP822" s="1051"/>
      <c r="BQ822" s="1052"/>
      <c r="BR822" s="1054"/>
      <c r="BS822" s="1053"/>
      <c r="BT822" s="1051"/>
      <c r="BU822" s="1051"/>
      <c r="BV822" s="1051"/>
      <c r="BW822" s="1052"/>
      <c r="BX822" s="1052"/>
      <c r="BY822" s="1052"/>
      <c r="BZ822" s="1052"/>
      <c r="CA822" s="1052"/>
      <c r="CB822" s="1053"/>
      <c r="CC822" s="1053"/>
      <c r="CD822" s="1053"/>
      <c r="CE822" s="1053"/>
      <c r="CF822" s="1053"/>
      <c r="CG822" s="1053"/>
      <c r="CH822" s="1053"/>
      <c r="CI822" s="1123"/>
      <c r="CJ822" s="1123"/>
      <c r="CK822" s="1123"/>
      <c r="CL822" s="1123"/>
      <c r="CM822" s="1123"/>
      <c r="CN822" s="1123"/>
      <c r="CO822" s="1123"/>
      <c r="CP822" s="1123"/>
      <c r="CQ822" s="1123"/>
      <c r="CR822" s="1123"/>
      <c r="CS822" s="1123"/>
      <c r="CT822" s="1123"/>
      <c r="CU822" s="1123"/>
      <c r="CV822" s="1123"/>
      <c r="CW822" s="1123"/>
      <c r="CX822" s="1123"/>
      <c r="CY822" s="1123"/>
      <c r="CZ822" s="1114"/>
      <c r="DA822" s="1114"/>
      <c r="DB822" s="1114"/>
      <c r="DC822" s="1114"/>
      <c r="DD822" s="1114"/>
      <c r="DE822" s="1114"/>
      <c r="DF822" s="1114"/>
      <c r="DG822" s="1114"/>
      <c r="DH822" s="1114"/>
      <c r="DI822" s="1114"/>
      <c r="DJ822" s="1114"/>
      <c r="DK822" s="1114"/>
      <c r="DL822" s="1114"/>
      <c r="DM822" s="1114"/>
      <c r="DN822" s="1114"/>
      <c r="DO822" s="1114"/>
      <c r="DP822" s="1114"/>
      <c r="DQ822" s="1114"/>
      <c r="DR822" s="1114"/>
      <c r="DS822" s="1114"/>
      <c r="DT822" s="1114"/>
      <c r="DU822" s="1114"/>
      <c r="DV822" s="1115"/>
      <c r="DW822" s="1116"/>
      <c r="DX822" s="1116"/>
      <c r="DY822" s="1116"/>
      <c r="DZ822" s="1116"/>
      <c r="EA822" s="1116"/>
      <c r="EB822" s="1116"/>
      <c r="EC822" s="1116"/>
      <c r="ED822" s="1116"/>
      <c r="EE822" s="1116"/>
      <c r="EF822" s="1116"/>
      <c r="EG822" s="1116"/>
      <c r="EH822" s="1116"/>
      <c r="EI822" s="1116"/>
      <c r="EJ822" s="1116"/>
      <c r="EK822" s="1116"/>
      <c r="EL822" s="1116"/>
      <c r="EM822" s="1116"/>
      <c r="EN822" s="1116"/>
      <c r="EO822" s="1116"/>
      <c r="EP822" s="1116"/>
      <c r="EQ822" s="1116"/>
      <c r="ER822" s="1116"/>
      <c r="ES822" s="1116"/>
    </row>
    <row r="823" spans="1:149" ht="15" customHeight="1">
      <c r="A823" s="1185">
        <v>813</v>
      </c>
      <c r="B823" s="1041"/>
      <c r="C823" s="1050"/>
      <c r="D823" s="1050"/>
      <c r="E823" s="1050"/>
      <c r="F823" s="1049"/>
      <c r="G823" s="1049"/>
      <c r="H823" s="1049"/>
      <c r="I823" s="1049"/>
      <c r="J823" s="1050"/>
      <c r="K823" s="1050"/>
      <c r="L823" s="1043"/>
      <c r="M823" s="1051"/>
      <c r="N823" s="1051"/>
      <c r="O823" s="1052"/>
      <c r="P823" s="1051"/>
      <c r="Q823" s="1051"/>
      <c r="R823" s="1052"/>
      <c r="S823" s="1051"/>
      <c r="T823" s="1051"/>
      <c r="U823" s="1052"/>
      <c r="V823" s="1051"/>
      <c r="W823" s="1051"/>
      <c r="X823" s="1052"/>
      <c r="Y823" s="1053"/>
      <c r="Z823" s="1051"/>
      <c r="AA823" s="1051"/>
      <c r="AB823" s="1052"/>
      <c r="AC823" s="1051"/>
      <c r="AD823" s="1051"/>
      <c r="AE823" s="1052"/>
      <c r="AF823" s="1051"/>
      <c r="AG823" s="1051"/>
      <c r="AH823" s="1051"/>
      <c r="AI823" s="1051"/>
      <c r="AJ823" s="1052"/>
      <c r="AK823" s="1051"/>
      <c r="AL823" s="1051"/>
      <c r="AM823" s="1052"/>
      <c r="AN823" s="1051"/>
      <c r="AO823" s="1051"/>
      <c r="AP823" s="1052"/>
      <c r="AQ823" s="1051"/>
      <c r="AR823" s="1051"/>
      <c r="AS823" s="1052"/>
      <c r="AT823" s="1051"/>
      <c r="AU823" s="1051"/>
      <c r="AV823" s="1052"/>
      <c r="AW823" s="1051"/>
      <c r="AX823" s="1051"/>
      <c r="AY823" s="1053"/>
      <c r="AZ823" s="1051"/>
      <c r="BA823" s="1051"/>
      <c r="BB823" s="1053"/>
      <c r="BC823" s="1051"/>
      <c r="BD823" s="1051"/>
      <c r="BE823" s="1053"/>
      <c r="BF823" s="1051"/>
      <c r="BG823" s="1051"/>
      <c r="BH823" s="1053"/>
      <c r="BI823" s="1052"/>
      <c r="BJ823" s="1052"/>
      <c r="BK823" s="1052"/>
      <c r="BL823" s="1052"/>
      <c r="BM823" s="1052"/>
      <c r="BN823" s="1054"/>
      <c r="BO823" s="1076">
        <f t="shared" si="14"/>
        <v>0</v>
      </c>
      <c r="BP823" s="1051"/>
      <c r="BQ823" s="1052"/>
      <c r="BR823" s="1054"/>
      <c r="BS823" s="1053"/>
      <c r="BT823" s="1051"/>
      <c r="BU823" s="1051"/>
      <c r="BV823" s="1051"/>
      <c r="BW823" s="1052"/>
      <c r="BX823" s="1052"/>
      <c r="BY823" s="1052"/>
      <c r="BZ823" s="1052"/>
      <c r="CA823" s="1052"/>
      <c r="CB823" s="1053"/>
      <c r="CC823" s="1053"/>
      <c r="CD823" s="1053"/>
      <c r="CE823" s="1053"/>
      <c r="CF823" s="1053"/>
      <c r="CG823" s="1053"/>
      <c r="CH823" s="1053"/>
      <c r="CI823" s="1123"/>
      <c r="CJ823" s="1123"/>
      <c r="CK823" s="1123"/>
      <c r="CL823" s="1123"/>
      <c r="CM823" s="1123"/>
      <c r="CN823" s="1123"/>
      <c r="CO823" s="1123"/>
      <c r="CP823" s="1123"/>
      <c r="CQ823" s="1123"/>
      <c r="CR823" s="1123"/>
      <c r="CS823" s="1123"/>
      <c r="CT823" s="1123"/>
      <c r="CU823" s="1123"/>
      <c r="CV823" s="1123"/>
      <c r="CW823" s="1123"/>
      <c r="CX823" s="1123"/>
      <c r="CY823" s="1123"/>
      <c r="CZ823" s="1114"/>
      <c r="DA823" s="1114"/>
      <c r="DB823" s="1114"/>
      <c r="DC823" s="1114"/>
      <c r="DD823" s="1114"/>
      <c r="DE823" s="1114"/>
      <c r="DF823" s="1114"/>
      <c r="DG823" s="1114"/>
      <c r="DH823" s="1114"/>
      <c r="DI823" s="1114"/>
      <c r="DJ823" s="1114"/>
      <c r="DK823" s="1114"/>
      <c r="DL823" s="1114"/>
      <c r="DM823" s="1114"/>
      <c r="DN823" s="1114"/>
      <c r="DO823" s="1114"/>
      <c r="DP823" s="1114"/>
      <c r="DQ823" s="1114"/>
      <c r="DR823" s="1114"/>
      <c r="DS823" s="1114"/>
      <c r="DT823" s="1114"/>
      <c r="DU823" s="1114"/>
      <c r="DV823" s="1115"/>
      <c r="DW823" s="1116"/>
      <c r="DX823" s="1116"/>
      <c r="DY823" s="1116"/>
      <c r="DZ823" s="1116"/>
      <c r="EA823" s="1116"/>
      <c r="EB823" s="1116"/>
      <c r="EC823" s="1116"/>
      <c r="ED823" s="1116"/>
      <c r="EE823" s="1116"/>
      <c r="EF823" s="1116"/>
      <c r="EG823" s="1116"/>
      <c r="EH823" s="1116"/>
      <c r="EI823" s="1116"/>
      <c r="EJ823" s="1116"/>
      <c r="EK823" s="1116"/>
      <c r="EL823" s="1116"/>
      <c r="EM823" s="1116"/>
      <c r="EN823" s="1116"/>
      <c r="EO823" s="1116"/>
      <c r="EP823" s="1116"/>
      <c r="EQ823" s="1116"/>
      <c r="ER823" s="1116"/>
      <c r="ES823" s="1116"/>
    </row>
    <row r="824" spans="1:149" ht="15" customHeight="1">
      <c r="A824" s="1185">
        <v>814</v>
      </c>
      <c r="B824" s="1041"/>
      <c r="C824" s="1050"/>
      <c r="D824" s="1050"/>
      <c r="E824" s="1050"/>
      <c r="F824" s="1049"/>
      <c r="G824" s="1049"/>
      <c r="H824" s="1049"/>
      <c r="I824" s="1049"/>
      <c r="J824" s="1050"/>
      <c r="K824" s="1050"/>
      <c r="L824" s="1043"/>
      <c r="M824" s="1051"/>
      <c r="N824" s="1051"/>
      <c r="O824" s="1052"/>
      <c r="P824" s="1051"/>
      <c r="Q824" s="1051"/>
      <c r="R824" s="1052"/>
      <c r="S824" s="1051"/>
      <c r="T824" s="1051"/>
      <c r="U824" s="1052"/>
      <c r="V824" s="1051"/>
      <c r="W824" s="1051"/>
      <c r="X824" s="1052"/>
      <c r="Y824" s="1053"/>
      <c r="Z824" s="1051"/>
      <c r="AA824" s="1051"/>
      <c r="AB824" s="1052"/>
      <c r="AC824" s="1051"/>
      <c r="AD824" s="1051"/>
      <c r="AE824" s="1052"/>
      <c r="AF824" s="1051"/>
      <c r="AG824" s="1051"/>
      <c r="AH824" s="1051"/>
      <c r="AI824" s="1051"/>
      <c r="AJ824" s="1052"/>
      <c r="AK824" s="1051"/>
      <c r="AL824" s="1051"/>
      <c r="AM824" s="1052"/>
      <c r="AN824" s="1051"/>
      <c r="AO824" s="1051"/>
      <c r="AP824" s="1052"/>
      <c r="AQ824" s="1051"/>
      <c r="AR824" s="1051"/>
      <c r="AS824" s="1052"/>
      <c r="AT824" s="1051"/>
      <c r="AU824" s="1051"/>
      <c r="AV824" s="1052"/>
      <c r="AW824" s="1051"/>
      <c r="AX824" s="1051"/>
      <c r="AY824" s="1053"/>
      <c r="AZ824" s="1051"/>
      <c r="BA824" s="1051"/>
      <c r="BB824" s="1053"/>
      <c r="BC824" s="1051"/>
      <c r="BD824" s="1051"/>
      <c r="BE824" s="1053"/>
      <c r="BF824" s="1051"/>
      <c r="BG824" s="1051"/>
      <c r="BH824" s="1053"/>
      <c r="BI824" s="1052"/>
      <c r="BJ824" s="1052"/>
      <c r="BK824" s="1052"/>
      <c r="BL824" s="1052"/>
      <c r="BM824" s="1052"/>
      <c r="BN824" s="1054"/>
      <c r="BO824" s="1076">
        <f t="shared" si="14"/>
        <v>0</v>
      </c>
      <c r="BP824" s="1051"/>
      <c r="BQ824" s="1052"/>
      <c r="BR824" s="1054"/>
      <c r="BS824" s="1053"/>
      <c r="BT824" s="1051"/>
      <c r="BU824" s="1051"/>
      <c r="BV824" s="1051"/>
      <c r="BW824" s="1052"/>
      <c r="BX824" s="1052"/>
      <c r="BY824" s="1052"/>
      <c r="BZ824" s="1052"/>
      <c r="CA824" s="1052"/>
      <c r="CB824" s="1053"/>
      <c r="CC824" s="1053"/>
      <c r="CD824" s="1053"/>
      <c r="CE824" s="1053"/>
      <c r="CF824" s="1053"/>
      <c r="CG824" s="1053"/>
      <c r="CH824" s="1053"/>
      <c r="CI824" s="1123"/>
      <c r="CJ824" s="1123"/>
      <c r="CK824" s="1123"/>
      <c r="CL824" s="1123"/>
      <c r="CM824" s="1123"/>
      <c r="CN824" s="1123"/>
      <c r="CO824" s="1123"/>
      <c r="CP824" s="1123"/>
      <c r="CQ824" s="1123"/>
      <c r="CR824" s="1123"/>
      <c r="CS824" s="1123"/>
      <c r="CT824" s="1123"/>
      <c r="CU824" s="1123"/>
      <c r="CV824" s="1123"/>
      <c r="CW824" s="1123"/>
      <c r="CX824" s="1123"/>
      <c r="CY824" s="1123"/>
      <c r="CZ824" s="1114"/>
      <c r="DA824" s="1114"/>
      <c r="DB824" s="1114"/>
      <c r="DC824" s="1114"/>
      <c r="DD824" s="1114"/>
      <c r="DE824" s="1114"/>
      <c r="DF824" s="1114"/>
      <c r="DG824" s="1114"/>
      <c r="DH824" s="1114"/>
      <c r="DI824" s="1114"/>
      <c r="DJ824" s="1114"/>
      <c r="DK824" s="1114"/>
      <c r="DL824" s="1114"/>
      <c r="DM824" s="1114"/>
      <c r="DN824" s="1114"/>
      <c r="DO824" s="1114"/>
      <c r="DP824" s="1114"/>
      <c r="DQ824" s="1114"/>
      <c r="DR824" s="1114"/>
      <c r="DS824" s="1114"/>
      <c r="DT824" s="1114"/>
      <c r="DU824" s="1114"/>
      <c r="DV824" s="1115"/>
      <c r="DW824" s="1116"/>
      <c r="DX824" s="1116"/>
      <c r="DY824" s="1116"/>
      <c r="DZ824" s="1116"/>
      <c r="EA824" s="1116"/>
      <c r="EB824" s="1116"/>
      <c r="EC824" s="1116"/>
      <c r="ED824" s="1116"/>
      <c r="EE824" s="1116"/>
      <c r="EF824" s="1116"/>
      <c r="EG824" s="1116"/>
      <c r="EH824" s="1116"/>
      <c r="EI824" s="1116"/>
      <c r="EJ824" s="1116"/>
      <c r="EK824" s="1116"/>
      <c r="EL824" s="1116"/>
      <c r="EM824" s="1116"/>
      <c r="EN824" s="1116"/>
      <c r="EO824" s="1116"/>
      <c r="EP824" s="1116"/>
      <c r="EQ824" s="1116"/>
      <c r="ER824" s="1116"/>
      <c r="ES824" s="1116"/>
    </row>
    <row r="825" spans="1:149" ht="15" customHeight="1">
      <c r="A825" s="1185">
        <v>815</v>
      </c>
      <c r="B825" s="1041"/>
      <c r="C825" s="1050"/>
      <c r="D825" s="1050"/>
      <c r="E825" s="1050"/>
      <c r="F825" s="1049"/>
      <c r="G825" s="1049"/>
      <c r="H825" s="1049"/>
      <c r="I825" s="1049"/>
      <c r="J825" s="1050"/>
      <c r="K825" s="1050"/>
      <c r="L825" s="1043"/>
      <c r="M825" s="1051"/>
      <c r="N825" s="1051"/>
      <c r="O825" s="1052"/>
      <c r="P825" s="1051"/>
      <c r="Q825" s="1051"/>
      <c r="R825" s="1052"/>
      <c r="S825" s="1051"/>
      <c r="T825" s="1051"/>
      <c r="U825" s="1052"/>
      <c r="V825" s="1051"/>
      <c r="W825" s="1051"/>
      <c r="X825" s="1052"/>
      <c r="Y825" s="1053"/>
      <c r="Z825" s="1051"/>
      <c r="AA825" s="1051"/>
      <c r="AB825" s="1052"/>
      <c r="AC825" s="1051"/>
      <c r="AD825" s="1051"/>
      <c r="AE825" s="1052"/>
      <c r="AF825" s="1051"/>
      <c r="AG825" s="1051"/>
      <c r="AH825" s="1051"/>
      <c r="AI825" s="1051"/>
      <c r="AJ825" s="1052"/>
      <c r="AK825" s="1051"/>
      <c r="AL825" s="1051"/>
      <c r="AM825" s="1052"/>
      <c r="AN825" s="1051"/>
      <c r="AO825" s="1051"/>
      <c r="AP825" s="1052"/>
      <c r="AQ825" s="1051"/>
      <c r="AR825" s="1051"/>
      <c r="AS825" s="1052"/>
      <c r="AT825" s="1051"/>
      <c r="AU825" s="1051"/>
      <c r="AV825" s="1052"/>
      <c r="AW825" s="1051"/>
      <c r="AX825" s="1051"/>
      <c r="AY825" s="1053"/>
      <c r="AZ825" s="1051"/>
      <c r="BA825" s="1051"/>
      <c r="BB825" s="1053"/>
      <c r="BC825" s="1051"/>
      <c r="BD825" s="1051"/>
      <c r="BE825" s="1053"/>
      <c r="BF825" s="1051"/>
      <c r="BG825" s="1051"/>
      <c r="BH825" s="1053"/>
      <c r="BI825" s="1052"/>
      <c r="BJ825" s="1052"/>
      <c r="BK825" s="1052"/>
      <c r="BL825" s="1052"/>
      <c r="BM825" s="1052"/>
      <c r="BN825" s="1054"/>
      <c r="BO825" s="1076">
        <f t="shared" si="14"/>
        <v>0</v>
      </c>
      <c r="BP825" s="1051"/>
      <c r="BQ825" s="1052"/>
      <c r="BR825" s="1054"/>
      <c r="BS825" s="1053"/>
      <c r="BT825" s="1051"/>
      <c r="BU825" s="1051"/>
      <c r="BV825" s="1051"/>
      <c r="BW825" s="1052"/>
      <c r="BX825" s="1052"/>
      <c r="BY825" s="1052"/>
      <c r="BZ825" s="1052"/>
      <c r="CA825" s="1052"/>
      <c r="CB825" s="1053"/>
      <c r="CC825" s="1053"/>
      <c r="CD825" s="1053"/>
      <c r="CE825" s="1053"/>
      <c r="CF825" s="1053"/>
      <c r="CG825" s="1053"/>
      <c r="CH825" s="1053"/>
      <c r="CI825" s="1123"/>
      <c r="CJ825" s="1123"/>
      <c r="CK825" s="1123"/>
      <c r="CL825" s="1123"/>
      <c r="CM825" s="1123"/>
      <c r="CN825" s="1123"/>
      <c r="CO825" s="1123"/>
      <c r="CP825" s="1123"/>
      <c r="CQ825" s="1123"/>
      <c r="CR825" s="1123"/>
      <c r="CS825" s="1123"/>
      <c r="CT825" s="1123"/>
      <c r="CU825" s="1123"/>
      <c r="CV825" s="1123"/>
      <c r="CW825" s="1123"/>
      <c r="CX825" s="1123"/>
      <c r="CY825" s="1123"/>
      <c r="CZ825" s="1114"/>
      <c r="DA825" s="1114"/>
      <c r="DB825" s="1114"/>
      <c r="DC825" s="1114"/>
      <c r="DD825" s="1114"/>
      <c r="DE825" s="1114"/>
      <c r="DF825" s="1114"/>
      <c r="DG825" s="1114"/>
      <c r="DH825" s="1114"/>
      <c r="DI825" s="1114"/>
      <c r="DJ825" s="1114"/>
      <c r="DK825" s="1114"/>
      <c r="DL825" s="1114"/>
      <c r="DM825" s="1114"/>
      <c r="DN825" s="1114"/>
      <c r="DO825" s="1114"/>
      <c r="DP825" s="1114"/>
      <c r="DQ825" s="1114"/>
      <c r="DR825" s="1114"/>
      <c r="DS825" s="1114"/>
      <c r="DT825" s="1114"/>
      <c r="DU825" s="1114"/>
      <c r="DV825" s="1115"/>
      <c r="DW825" s="1116"/>
      <c r="DX825" s="1116"/>
      <c r="DY825" s="1116"/>
      <c r="DZ825" s="1116"/>
      <c r="EA825" s="1116"/>
      <c r="EB825" s="1116"/>
      <c r="EC825" s="1116"/>
      <c r="ED825" s="1116"/>
      <c r="EE825" s="1116"/>
      <c r="EF825" s="1116"/>
      <c r="EG825" s="1116"/>
      <c r="EH825" s="1116"/>
      <c r="EI825" s="1116"/>
      <c r="EJ825" s="1116"/>
      <c r="EK825" s="1116"/>
      <c r="EL825" s="1116"/>
      <c r="EM825" s="1116"/>
      <c r="EN825" s="1116"/>
      <c r="EO825" s="1116"/>
      <c r="EP825" s="1116"/>
      <c r="EQ825" s="1116"/>
      <c r="ER825" s="1116"/>
      <c r="ES825" s="1116"/>
    </row>
    <row r="826" spans="1:149" ht="15" customHeight="1">
      <c r="A826" s="1185">
        <v>816</v>
      </c>
      <c r="B826" s="1041"/>
      <c r="C826" s="1050"/>
      <c r="D826" s="1050"/>
      <c r="E826" s="1050"/>
      <c r="F826" s="1049"/>
      <c r="G826" s="1049"/>
      <c r="H826" s="1049"/>
      <c r="I826" s="1049"/>
      <c r="J826" s="1050"/>
      <c r="K826" s="1050"/>
      <c r="L826" s="1043"/>
      <c r="M826" s="1051"/>
      <c r="N826" s="1051"/>
      <c r="O826" s="1052"/>
      <c r="P826" s="1051"/>
      <c r="Q826" s="1051"/>
      <c r="R826" s="1052"/>
      <c r="S826" s="1051"/>
      <c r="T826" s="1051"/>
      <c r="U826" s="1052"/>
      <c r="V826" s="1051"/>
      <c r="W826" s="1051"/>
      <c r="X826" s="1052"/>
      <c r="Y826" s="1053"/>
      <c r="Z826" s="1051"/>
      <c r="AA826" s="1051"/>
      <c r="AB826" s="1052"/>
      <c r="AC826" s="1051"/>
      <c r="AD826" s="1051"/>
      <c r="AE826" s="1052"/>
      <c r="AF826" s="1051"/>
      <c r="AG826" s="1051"/>
      <c r="AH826" s="1051"/>
      <c r="AI826" s="1051"/>
      <c r="AJ826" s="1052"/>
      <c r="AK826" s="1051"/>
      <c r="AL826" s="1051"/>
      <c r="AM826" s="1052"/>
      <c r="AN826" s="1051"/>
      <c r="AO826" s="1051"/>
      <c r="AP826" s="1052"/>
      <c r="AQ826" s="1051"/>
      <c r="AR826" s="1051"/>
      <c r="AS826" s="1052"/>
      <c r="AT826" s="1051"/>
      <c r="AU826" s="1051"/>
      <c r="AV826" s="1052"/>
      <c r="AW826" s="1051"/>
      <c r="AX826" s="1051"/>
      <c r="AY826" s="1053"/>
      <c r="AZ826" s="1051"/>
      <c r="BA826" s="1051"/>
      <c r="BB826" s="1053"/>
      <c r="BC826" s="1051"/>
      <c r="BD826" s="1051"/>
      <c r="BE826" s="1053"/>
      <c r="BF826" s="1051"/>
      <c r="BG826" s="1051"/>
      <c r="BH826" s="1053"/>
      <c r="BI826" s="1052"/>
      <c r="BJ826" s="1052"/>
      <c r="BK826" s="1052"/>
      <c r="BL826" s="1052"/>
      <c r="BM826" s="1052"/>
      <c r="BN826" s="1054"/>
      <c r="BO826" s="1076">
        <f t="shared" si="14"/>
        <v>0</v>
      </c>
      <c r="BP826" s="1051"/>
      <c r="BQ826" s="1052"/>
      <c r="BR826" s="1054"/>
      <c r="BS826" s="1053"/>
      <c r="BT826" s="1051"/>
      <c r="BU826" s="1051"/>
      <c r="BV826" s="1051"/>
      <c r="BW826" s="1052"/>
      <c r="BX826" s="1052"/>
      <c r="BY826" s="1052"/>
      <c r="BZ826" s="1052"/>
      <c r="CA826" s="1052"/>
      <c r="CB826" s="1053"/>
      <c r="CC826" s="1053"/>
      <c r="CD826" s="1053"/>
      <c r="CE826" s="1053"/>
      <c r="CF826" s="1053"/>
      <c r="CG826" s="1053"/>
      <c r="CH826" s="1053"/>
      <c r="CI826" s="1123"/>
      <c r="CJ826" s="1123"/>
      <c r="CK826" s="1123"/>
      <c r="CL826" s="1123"/>
      <c r="CM826" s="1123"/>
      <c r="CN826" s="1123"/>
      <c r="CO826" s="1123"/>
      <c r="CP826" s="1123"/>
      <c r="CQ826" s="1123"/>
      <c r="CR826" s="1123"/>
      <c r="CS826" s="1123"/>
      <c r="CT826" s="1123"/>
      <c r="CU826" s="1123"/>
      <c r="CV826" s="1123"/>
      <c r="CW826" s="1123"/>
      <c r="CX826" s="1123"/>
      <c r="CY826" s="1123"/>
      <c r="CZ826" s="1114"/>
      <c r="DA826" s="1114"/>
      <c r="DB826" s="1114"/>
      <c r="DC826" s="1114"/>
      <c r="DD826" s="1114"/>
      <c r="DE826" s="1114"/>
      <c r="DF826" s="1114"/>
      <c r="DG826" s="1114"/>
      <c r="DH826" s="1114"/>
      <c r="DI826" s="1114"/>
      <c r="DJ826" s="1114"/>
      <c r="DK826" s="1114"/>
      <c r="DL826" s="1114"/>
      <c r="DM826" s="1114"/>
      <c r="DN826" s="1114"/>
      <c r="DO826" s="1114"/>
      <c r="DP826" s="1114"/>
      <c r="DQ826" s="1114"/>
      <c r="DR826" s="1114"/>
      <c r="DS826" s="1114"/>
      <c r="DT826" s="1114"/>
      <c r="DU826" s="1114"/>
      <c r="DV826" s="1115"/>
      <c r="DW826" s="1116"/>
      <c r="DX826" s="1116"/>
      <c r="DY826" s="1116"/>
      <c r="DZ826" s="1116"/>
      <c r="EA826" s="1116"/>
      <c r="EB826" s="1116"/>
      <c r="EC826" s="1116"/>
      <c r="ED826" s="1116"/>
      <c r="EE826" s="1116"/>
      <c r="EF826" s="1116"/>
      <c r="EG826" s="1116"/>
      <c r="EH826" s="1116"/>
      <c r="EI826" s="1116"/>
      <c r="EJ826" s="1116"/>
      <c r="EK826" s="1116"/>
      <c r="EL826" s="1116"/>
      <c r="EM826" s="1116"/>
      <c r="EN826" s="1116"/>
      <c r="EO826" s="1116"/>
      <c r="EP826" s="1116"/>
      <c r="EQ826" s="1116"/>
      <c r="ER826" s="1116"/>
      <c r="ES826" s="1116"/>
    </row>
    <row r="827" spans="1:149" ht="15" customHeight="1">
      <c r="A827" s="1185">
        <v>817</v>
      </c>
      <c r="B827" s="1041"/>
      <c r="C827" s="1050"/>
      <c r="D827" s="1050"/>
      <c r="E827" s="1050"/>
      <c r="F827" s="1049"/>
      <c r="G827" s="1049"/>
      <c r="H827" s="1049"/>
      <c r="I827" s="1049"/>
      <c r="J827" s="1050"/>
      <c r="K827" s="1050"/>
      <c r="L827" s="1043"/>
      <c r="M827" s="1051"/>
      <c r="N827" s="1051"/>
      <c r="O827" s="1052"/>
      <c r="P827" s="1051"/>
      <c r="Q827" s="1051"/>
      <c r="R827" s="1052"/>
      <c r="S827" s="1051"/>
      <c r="T827" s="1051"/>
      <c r="U827" s="1052"/>
      <c r="V827" s="1051"/>
      <c r="W827" s="1051"/>
      <c r="X827" s="1052"/>
      <c r="Y827" s="1053"/>
      <c r="Z827" s="1051"/>
      <c r="AA827" s="1051"/>
      <c r="AB827" s="1052"/>
      <c r="AC827" s="1051"/>
      <c r="AD827" s="1051"/>
      <c r="AE827" s="1052"/>
      <c r="AF827" s="1051"/>
      <c r="AG827" s="1051"/>
      <c r="AH827" s="1051"/>
      <c r="AI827" s="1051"/>
      <c r="AJ827" s="1052"/>
      <c r="AK827" s="1051"/>
      <c r="AL827" s="1051"/>
      <c r="AM827" s="1052"/>
      <c r="AN827" s="1051"/>
      <c r="AO827" s="1051"/>
      <c r="AP827" s="1052"/>
      <c r="AQ827" s="1051"/>
      <c r="AR827" s="1051"/>
      <c r="AS827" s="1052"/>
      <c r="AT827" s="1051"/>
      <c r="AU827" s="1051"/>
      <c r="AV827" s="1052"/>
      <c r="AW827" s="1051"/>
      <c r="AX827" s="1051"/>
      <c r="AY827" s="1053"/>
      <c r="AZ827" s="1051"/>
      <c r="BA827" s="1051"/>
      <c r="BB827" s="1053"/>
      <c r="BC827" s="1051"/>
      <c r="BD827" s="1051"/>
      <c r="BE827" s="1053"/>
      <c r="BF827" s="1051"/>
      <c r="BG827" s="1051"/>
      <c r="BH827" s="1053"/>
      <c r="BI827" s="1052"/>
      <c r="BJ827" s="1052"/>
      <c r="BK827" s="1052"/>
      <c r="BL827" s="1052"/>
      <c r="BM827" s="1052"/>
      <c r="BN827" s="1054"/>
      <c r="BO827" s="1076">
        <f t="shared" si="14"/>
        <v>0</v>
      </c>
      <c r="BP827" s="1051"/>
      <c r="BQ827" s="1052"/>
      <c r="BR827" s="1054"/>
      <c r="BS827" s="1053"/>
      <c r="BT827" s="1051"/>
      <c r="BU827" s="1051"/>
      <c r="BV827" s="1051"/>
      <c r="BW827" s="1052"/>
      <c r="BX827" s="1052"/>
      <c r="BY827" s="1052"/>
      <c r="BZ827" s="1052"/>
      <c r="CA827" s="1052"/>
      <c r="CB827" s="1053"/>
      <c r="CC827" s="1053"/>
      <c r="CD827" s="1053"/>
      <c r="CE827" s="1053"/>
      <c r="CF827" s="1053"/>
      <c r="CG827" s="1053"/>
      <c r="CH827" s="1053"/>
      <c r="CI827" s="1123"/>
      <c r="CJ827" s="1123"/>
      <c r="CK827" s="1123"/>
      <c r="CL827" s="1123"/>
      <c r="CM827" s="1123"/>
      <c r="CN827" s="1123"/>
      <c r="CO827" s="1123"/>
      <c r="CP827" s="1123"/>
      <c r="CQ827" s="1123"/>
      <c r="CR827" s="1123"/>
      <c r="CS827" s="1123"/>
      <c r="CT827" s="1123"/>
      <c r="CU827" s="1123"/>
      <c r="CV827" s="1123"/>
      <c r="CW827" s="1123"/>
      <c r="CX827" s="1123"/>
      <c r="CY827" s="1123"/>
      <c r="CZ827" s="1114"/>
      <c r="DA827" s="1114"/>
      <c r="DB827" s="1114"/>
      <c r="DC827" s="1114"/>
      <c r="DD827" s="1114"/>
      <c r="DE827" s="1114"/>
      <c r="DF827" s="1114"/>
      <c r="DG827" s="1114"/>
      <c r="DH827" s="1114"/>
      <c r="DI827" s="1114"/>
      <c r="DJ827" s="1114"/>
      <c r="DK827" s="1114"/>
      <c r="DL827" s="1114"/>
      <c r="DM827" s="1114"/>
      <c r="DN827" s="1114"/>
      <c r="DO827" s="1114"/>
      <c r="DP827" s="1114"/>
      <c r="DQ827" s="1114"/>
      <c r="DR827" s="1114"/>
      <c r="DS827" s="1114"/>
      <c r="DT827" s="1114"/>
      <c r="DU827" s="1114"/>
      <c r="DV827" s="1115"/>
      <c r="DW827" s="1116"/>
      <c r="DX827" s="1116"/>
      <c r="DY827" s="1116"/>
      <c r="DZ827" s="1116"/>
      <c r="EA827" s="1116"/>
      <c r="EB827" s="1116"/>
      <c r="EC827" s="1116"/>
      <c r="ED827" s="1116"/>
      <c r="EE827" s="1116"/>
      <c r="EF827" s="1116"/>
      <c r="EG827" s="1116"/>
      <c r="EH827" s="1116"/>
      <c r="EI827" s="1116"/>
      <c r="EJ827" s="1116"/>
      <c r="EK827" s="1116"/>
      <c r="EL827" s="1116"/>
      <c r="EM827" s="1116"/>
      <c r="EN827" s="1116"/>
      <c r="EO827" s="1116"/>
      <c r="EP827" s="1116"/>
      <c r="EQ827" s="1116"/>
      <c r="ER827" s="1116"/>
      <c r="ES827" s="1116"/>
    </row>
    <row r="828" spans="1:149" ht="15" customHeight="1">
      <c r="A828" s="1185">
        <v>818</v>
      </c>
      <c r="B828" s="1041"/>
      <c r="C828" s="1050"/>
      <c r="D828" s="1050"/>
      <c r="E828" s="1050"/>
      <c r="F828" s="1049"/>
      <c r="G828" s="1049"/>
      <c r="H828" s="1049"/>
      <c r="I828" s="1049"/>
      <c r="J828" s="1050"/>
      <c r="K828" s="1050"/>
      <c r="L828" s="1043"/>
      <c r="M828" s="1051"/>
      <c r="N828" s="1051"/>
      <c r="O828" s="1052"/>
      <c r="P828" s="1051"/>
      <c r="Q828" s="1051"/>
      <c r="R828" s="1052"/>
      <c r="S828" s="1051"/>
      <c r="T828" s="1051"/>
      <c r="U828" s="1052"/>
      <c r="V828" s="1051"/>
      <c r="W828" s="1051"/>
      <c r="X828" s="1052"/>
      <c r="Y828" s="1053"/>
      <c r="Z828" s="1051"/>
      <c r="AA828" s="1051"/>
      <c r="AB828" s="1052"/>
      <c r="AC828" s="1051"/>
      <c r="AD828" s="1051"/>
      <c r="AE828" s="1052"/>
      <c r="AF828" s="1051"/>
      <c r="AG828" s="1051"/>
      <c r="AH828" s="1051"/>
      <c r="AI828" s="1051"/>
      <c r="AJ828" s="1052"/>
      <c r="AK828" s="1051"/>
      <c r="AL828" s="1051"/>
      <c r="AM828" s="1052"/>
      <c r="AN828" s="1051"/>
      <c r="AO828" s="1051"/>
      <c r="AP828" s="1052"/>
      <c r="AQ828" s="1051"/>
      <c r="AR828" s="1051"/>
      <c r="AS828" s="1052"/>
      <c r="AT828" s="1051"/>
      <c r="AU828" s="1051"/>
      <c r="AV828" s="1052"/>
      <c r="AW828" s="1051"/>
      <c r="AX828" s="1051"/>
      <c r="AY828" s="1053"/>
      <c r="AZ828" s="1051"/>
      <c r="BA828" s="1051"/>
      <c r="BB828" s="1053"/>
      <c r="BC828" s="1051"/>
      <c r="BD828" s="1051"/>
      <c r="BE828" s="1053"/>
      <c r="BF828" s="1051"/>
      <c r="BG828" s="1051"/>
      <c r="BH828" s="1053"/>
      <c r="BI828" s="1052"/>
      <c r="BJ828" s="1052"/>
      <c r="BK828" s="1052"/>
      <c r="BL828" s="1052"/>
      <c r="BM828" s="1052"/>
      <c r="BN828" s="1054"/>
      <c r="BO828" s="1076">
        <f t="shared" si="14"/>
        <v>0</v>
      </c>
      <c r="BP828" s="1051"/>
      <c r="BQ828" s="1052"/>
      <c r="BR828" s="1054"/>
      <c r="BS828" s="1053"/>
      <c r="BT828" s="1051"/>
      <c r="BU828" s="1051"/>
      <c r="BV828" s="1051"/>
      <c r="BW828" s="1052"/>
      <c r="BX828" s="1052"/>
      <c r="BY828" s="1052"/>
      <c r="BZ828" s="1052"/>
      <c r="CA828" s="1052"/>
      <c r="CB828" s="1053"/>
      <c r="CC828" s="1053"/>
      <c r="CD828" s="1053"/>
      <c r="CE828" s="1053"/>
      <c r="CF828" s="1053"/>
      <c r="CG828" s="1053"/>
      <c r="CH828" s="1053"/>
      <c r="CI828" s="1123"/>
      <c r="CJ828" s="1123"/>
      <c r="CK828" s="1123"/>
      <c r="CL828" s="1123"/>
      <c r="CM828" s="1123"/>
      <c r="CN828" s="1123"/>
      <c r="CO828" s="1123"/>
      <c r="CP828" s="1123"/>
      <c r="CQ828" s="1123"/>
      <c r="CR828" s="1123"/>
      <c r="CS828" s="1123"/>
      <c r="CT828" s="1123"/>
      <c r="CU828" s="1123"/>
      <c r="CV828" s="1123"/>
      <c r="CW828" s="1123"/>
      <c r="CX828" s="1123"/>
      <c r="CY828" s="1123"/>
      <c r="CZ828" s="1114"/>
      <c r="DA828" s="1114"/>
      <c r="DB828" s="1114"/>
      <c r="DC828" s="1114"/>
      <c r="DD828" s="1114"/>
      <c r="DE828" s="1114"/>
      <c r="DF828" s="1114"/>
      <c r="DG828" s="1114"/>
      <c r="DH828" s="1114"/>
      <c r="DI828" s="1114"/>
      <c r="DJ828" s="1114"/>
      <c r="DK828" s="1114"/>
      <c r="DL828" s="1114"/>
      <c r="DM828" s="1114"/>
      <c r="DN828" s="1114"/>
      <c r="DO828" s="1114"/>
      <c r="DP828" s="1114"/>
      <c r="DQ828" s="1114"/>
      <c r="DR828" s="1114"/>
      <c r="DS828" s="1114"/>
      <c r="DT828" s="1114"/>
      <c r="DU828" s="1114"/>
      <c r="DV828" s="1115"/>
      <c r="DW828" s="1116"/>
      <c r="DX828" s="1116"/>
      <c r="DY828" s="1116"/>
      <c r="DZ828" s="1116"/>
      <c r="EA828" s="1116"/>
      <c r="EB828" s="1116"/>
      <c r="EC828" s="1116"/>
      <c r="ED828" s="1116"/>
      <c r="EE828" s="1116"/>
      <c r="EF828" s="1116"/>
      <c r="EG828" s="1116"/>
      <c r="EH828" s="1116"/>
      <c r="EI828" s="1116"/>
      <c r="EJ828" s="1116"/>
      <c r="EK828" s="1116"/>
      <c r="EL828" s="1116"/>
      <c r="EM828" s="1116"/>
      <c r="EN828" s="1116"/>
      <c r="EO828" s="1116"/>
      <c r="EP828" s="1116"/>
      <c r="EQ828" s="1116"/>
      <c r="ER828" s="1116"/>
      <c r="ES828" s="1116"/>
    </row>
    <row r="829" spans="1:149" ht="15" customHeight="1">
      <c r="A829" s="1185">
        <v>819</v>
      </c>
      <c r="B829" s="1041"/>
      <c r="C829" s="1050"/>
      <c r="D829" s="1050"/>
      <c r="E829" s="1050"/>
      <c r="F829" s="1049"/>
      <c r="G829" s="1049"/>
      <c r="H829" s="1049"/>
      <c r="I829" s="1049"/>
      <c r="J829" s="1050"/>
      <c r="K829" s="1050"/>
      <c r="L829" s="1043"/>
      <c r="M829" s="1051"/>
      <c r="N829" s="1051"/>
      <c r="O829" s="1052"/>
      <c r="P829" s="1051"/>
      <c r="Q829" s="1051"/>
      <c r="R829" s="1052"/>
      <c r="S829" s="1051"/>
      <c r="T829" s="1051"/>
      <c r="U829" s="1052"/>
      <c r="V829" s="1051"/>
      <c r="W829" s="1051"/>
      <c r="X829" s="1052"/>
      <c r="Y829" s="1053"/>
      <c r="Z829" s="1051"/>
      <c r="AA829" s="1051"/>
      <c r="AB829" s="1052"/>
      <c r="AC829" s="1051"/>
      <c r="AD829" s="1051"/>
      <c r="AE829" s="1052"/>
      <c r="AF829" s="1051"/>
      <c r="AG829" s="1051"/>
      <c r="AH829" s="1051"/>
      <c r="AI829" s="1051"/>
      <c r="AJ829" s="1052"/>
      <c r="AK829" s="1051"/>
      <c r="AL829" s="1051"/>
      <c r="AM829" s="1052"/>
      <c r="AN829" s="1051"/>
      <c r="AO829" s="1051"/>
      <c r="AP829" s="1052"/>
      <c r="AQ829" s="1051"/>
      <c r="AR829" s="1051"/>
      <c r="AS829" s="1052"/>
      <c r="AT829" s="1051"/>
      <c r="AU829" s="1051"/>
      <c r="AV829" s="1052"/>
      <c r="AW829" s="1051"/>
      <c r="AX829" s="1051"/>
      <c r="AY829" s="1053"/>
      <c r="AZ829" s="1051"/>
      <c r="BA829" s="1051"/>
      <c r="BB829" s="1053"/>
      <c r="BC829" s="1051"/>
      <c r="BD829" s="1051"/>
      <c r="BE829" s="1053"/>
      <c r="BF829" s="1051"/>
      <c r="BG829" s="1051"/>
      <c r="BH829" s="1053"/>
      <c r="BI829" s="1052"/>
      <c r="BJ829" s="1052"/>
      <c r="BK829" s="1052"/>
      <c r="BL829" s="1052"/>
      <c r="BM829" s="1052"/>
      <c r="BN829" s="1054"/>
      <c r="BO829" s="1076">
        <f t="shared" si="14"/>
        <v>0</v>
      </c>
      <c r="BP829" s="1051"/>
      <c r="BQ829" s="1052"/>
      <c r="BR829" s="1054"/>
      <c r="BS829" s="1053"/>
      <c r="BT829" s="1051"/>
      <c r="BU829" s="1051"/>
      <c r="BV829" s="1051"/>
      <c r="BW829" s="1052"/>
      <c r="BX829" s="1052"/>
      <c r="BY829" s="1052"/>
      <c r="BZ829" s="1052"/>
      <c r="CA829" s="1052"/>
      <c r="CB829" s="1053"/>
      <c r="CC829" s="1053"/>
      <c r="CD829" s="1053"/>
      <c r="CE829" s="1053"/>
      <c r="CF829" s="1053"/>
      <c r="CG829" s="1053"/>
      <c r="CH829" s="1053"/>
      <c r="CI829" s="1123"/>
      <c r="CJ829" s="1123"/>
      <c r="CK829" s="1123"/>
      <c r="CL829" s="1123"/>
      <c r="CM829" s="1123"/>
      <c r="CN829" s="1123"/>
      <c r="CO829" s="1123"/>
      <c r="CP829" s="1123"/>
      <c r="CQ829" s="1123"/>
      <c r="CR829" s="1123"/>
      <c r="CS829" s="1123"/>
      <c r="CT829" s="1123"/>
      <c r="CU829" s="1123"/>
      <c r="CV829" s="1123"/>
      <c r="CW829" s="1123"/>
      <c r="CX829" s="1123"/>
      <c r="CY829" s="1123"/>
      <c r="CZ829" s="1114"/>
      <c r="DA829" s="1114"/>
      <c r="DB829" s="1114"/>
      <c r="DC829" s="1114"/>
      <c r="DD829" s="1114"/>
      <c r="DE829" s="1114"/>
      <c r="DF829" s="1114"/>
      <c r="DG829" s="1114"/>
      <c r="DH829" s="1114"/>
      <c r="DI829" s="1114"/>
      <c r="DJ829" s="1114"/>
      <c r="DK829" s="1114"/>
      <c r="DL829" s="1114"/>
      <c r="DM829" s="1114"/>
      <c r="DN829" s="1114"/>
      <c r="DO829" s="1114"/>
      <c r="DP829" s="1114"/>
      <c r="DQ829" s="1114"/>
      <c r="DR829" s="1114"/>
      <c r="DS829" s="1114"/>
      <c r="DT829" s="1114"/>
      <c r="DU829" s="1114"/>
      <c r="DV829" s="1115"/>
      <c r="DW829" s="1116"/>
      <c r="DX829" s="1116"/>
      <c r="DY829" s="1116"/>
      <c r="DZ829" s="1116"/>
      <c r="EA829" s="1116"/>
      <c r="EB829" s="1116"/>
      <c r="EC829" s="1116"/>
      <c r="ED829" s="1116"/>
      <c r="EE829" s="1116"/>
      <c r="EF829" s="1116"/>
      <c r="EG829" s="1116"/>
      <c r="EH829" s="1116"/>
      <c r="EI829" s="1116"/>
      <c r="EJ829" s="1116"/>
      <c r="EK829" s="1116"/>
      <c r="EL829" s="1116"/>
      <c r="EM829" s="1116"/>
      <c r="EN829" s="1116"/>
      <c r="EO829" s="1116"/>
      <c r="EP829" s="1116"/>
      <c r="EQ829" s="1116"/>
      <c r="ER829" s="1116"/>
      <c r="ES829" s="1116"/>
    </row>
    <row r="830" spans="1:149" ht="15" customHeight="1">
      <c r="A830" s="1185">
        <v>820</v>
      </c>
      <c r="B830" s="1041"/>
      <c r="C830" s="1050"/>
      <c r="D830" s="1050"/>
      <c r="E830" s="1050"/>
      <c r="F830" s="1049"/>
      <c r="G830" s="1049"/>
      <c r="H830" s="1049"/>
      <c r="I830" s="1049"/>
      <c r="J830" s="1050"/>
      <c r="K830" s="1050"/>
      <c r="L830" s="1043"/>
      <c r="M830" s="1051"/>
      <c r="N830" s="1051"/>
      <c r="O830" s="1052"/>
      <c r="P830" s="1051"/>
      <c r="Q830" s="1051"/>
      <c r="R830" s="1052"/>
      <c r="S830" s="1051"/>
      <c r="T830" s="1051"/>
      <c r="U830" s="1052"/>
      <c r="V830" s="1051"/>
      <c r="W830" s="1051"/>
      <c r="X830" s="1052"/>
      <c r="Y830" s="1053"/>
      <c r="Z830" s="1051"/>
      <c r="AA830" s="1051"/>
      <c r="AB830" s="1052"/>
      <c r="AC830" s="1051"/>
      <c r="AD830" s="1051"/>
      <c r="AE830" s="1052"/>
      <c r="AF830" s="1051"/>
      <c r="AG830" s="1051"/>
      <c r="AH830" s="1051"/>
      <c r="AI830" s="1051"/>
      <c r="AJ830" s="1052"/>
      <c r="AK830" s="1051"/>
      <c r="AL830" s="1051"/>
      <c r="AM830" s="1052"/>
      <c r="AN830" s="1051"/>
      <c r="AO830" s="1051"/>
      <c r="AP830" s="1052"/>
      <c r="AQ830" s="1051"/>
      <c r="AR830" s="1051"/>
      <c r="AS830" s="1052"/>
      <c r="AT830" s="1051"/>
      <c r="AU830" s="1051"/>
      <c r="AV830" s="1052"/>
      <c r="AW830" s="1051"/>
      <c r="AX830" s="1051"/>
      <c r="AY830" s="1053"/>
      <c r="AZ830" s="1051"/>
      <c r="BA830" s="1051"/>
      <c r="BB830" s="1053"/>
      <c r="BC830" s="1051"/>
      <c r="BD830" s="1051"/>
      <c r="BE830" s="1053"/>
      <c r="BF830" s="1051"/>
      <c r="BG830" s="1051"/>
      <c r="BH830" s="1053"/>
      <c r="BI830" s="1052"/>
      <c r="BJ830" s="1052"/>
      <c r="BK830" s="1052"/>
      <c r="BL830" s="1052"/>
      <c r="BM830" s="1052"/>
      <c r="BN830" s="1054"/>
      <c r="BO830" s="1076">
        <f t="shared" si="14"/>
        <v>0</v>
      </c>
      <c r="BP830" s="1051"/>
      <c r="BQ830" s="1052"/>
      <c r="BR830" s="1054"/>
      <c r="BS830" s="1053"/>
      <c r="BT830" s="1051"/>
      <c r="BU830" s="1051"/>
      <c r="BV830" s="1051"/>
      <c r="BW830" s="1052"/>
      <c r="BX830" s="1052"/>
      <c r="BY830" s="1052"/>
      <c r="BZ830" s="1052"/>
      <c r="CA830" s="1052"/>
      <c r="CB830" s="1053"/>
      <c r="CC830" s="1053"/>
      <c r="CD830" s="1053"/>
      <c r="CE830" s="1053"/>
      <c r="CF830" s="1053"/>
      <c r="CG830" s="1053"/>
      <c r="CH830" s="1053"/>
      <c r="CI830" s="1123"/>
      <c r="CJ830" s="1123"/>
      <c r="CK830" s="1123"/>
      <c r="CL830" s="1123"/>
      <c r="CM830" s="1123"/>
      <c r="CN830" s="1123"/>
      <c r="CO830" s="1123"/>
      <c r="CP830" s="1123"/>
      <c r="CQ830" s="1123"/>
      <c r="CR830" s="1123"/>
      <c r="CS830" s="1123"/>
      <c r="CT830" s="1123"/>
      <c r="CU830" s="1123"/>
      <c r="CV830" s="1123"/>
      <c r="CW830" s="1123"/>
      <c r="CX830" s="1123"/>
      <c r="CY830" s="1123"/>
      <c r="CZ830" s="1114"/>
      <c r="DA830" s="1114"/>
      <c r="DB830" s="1114"/>
      <c r="DC830" s="1114"/>
      <c r="DD830" s="1114"/>
      <c r="DE830" s="1114"/>
      <c r="DF830" s="1114"/>
      <c r="DG830" s="1114"/>
      <c r="DH830" s="1114"/>
      <c r="DI830" s="1114"/>
      <c r="DJ830" s="1114"/>
      <c r="DK830" s="1114"/>
      <c r="DL830" s="1114"/>
      <c r="DM830" s="1114"/>
      <c r="DN830" s="1114"/>
      <c r="DO830" s="1114"/>
      <c r="DP830" s="1114"/>
      <c r="DQ830" s="1114"/>
      <c r="DR830" s="1114"/>
      <c r="DS830" s="1114"/>
      <c r="DT830" s="1114"/>
      <c r="DU830" s="1114"/>
      <c r="DV830" s="1115"/>
      <c r="DW830" s="1116"/>
      <c r="DX830" s="1116"/>
      <c r="DY830" s="1116"/>
      <c r="DZ830" s="1116"/>
      <c r="EA830" s="1116"/>
      <c r="EB830" s="1116"/>
      <c r="EC830" s="1116"/>
      <c r="ED830" s="1116"/>
      <c r="EE830" s="1116"/>
      <c r="EF830" s="1116"/>
      <c r="EG830" s="1116"/>
      <c r="EH830" s="1116"/>
      <c r="EI830" s="1116"/>
      <c r="EJ830" s="1116"/>
      <c r="EK830" s="1116"/>
      <c r="EL830" s="1116"/>
      <c r="EM830" s="1116"/>
      <c r="EN830" s="1116"/>
      <c r="EO830" s="1116"/>
      <c r="EP830" s="1116"/>
      <c r="EQ830" s="1116"/>
      <c r="ER830" s="1116"/>
      <c r="ES830" s="1116"/>
    </row>
    <row r="831" spans="1:149" ht="15" customHeight="1">
      <c r="A831" s="1185">
        <v>821</v>
      </c>
      <c r="B831" s="1041"/>
      <c r="C831" s="1050"/>
      <c r="D831" s="1050"/>
      <c r="E831" s="1050"/>
      <c r="F831" s="1049"/>
      <c r="G831" s="1049"/>
      <c r="H831" s="1049"/>
      <c r="I831" s="1049"/>
      <c r="J831" s="1050"/>
      <c r="K831" s="1050"/>
      <c r="L831" s="1043"/>
      <c r="M831" s="1051"/>
      <c r="N831" s="1051"/>
      <c r="O831" s="1052"/>
      <c r="P831" s="1051"/>
      <c r="Q831" s="1051"/>
      <c r="R831" s="1052"/>
      <c r="S831" s="1051"/>
      <c r="T831" s="1051"/>
      <c r="U831" s="1052"/>
      <c r="V831" s="1051"/>
      <c r="W831" s="1051"/>
      <c r="X831" s="1052"/>
      <c r="Y831" s="1053"/>
      <c r="Z831" s="1051"/>
      <c r="AA831" s="1051"/>
      <c r="AB831" s="1052"/>
      <c r="AC831" s="1051"/>
      <c r="AD831" s="1051"/>
      <c r="AE831" s="1052"/>
      <c r="AF831" s="1051"/>
      <c r="AG831" s="1051"/>
      <c r="AH831" s="1051"/>
      <c r="AI831" s="1051"/>
      <c r="AJ831" s="1052"/>
      <c r="AK831" s="1051"/>
      <c r="AL831" s="1051"/>
      <c r="AM831" s="1052"/>
      <c r="AN831" s="1051"/>
      <c r="AO831" s="1051"/>
      <c r="AP831" s="1052"/>
      <c r="AQ831" s="1051"/>
      <c r="AR831" s="1051"/>
      <c r="AS831" s="1052"/>
      <c r="AT831" s="1051"/>
      <c r="AU831" s="1051"/>
      <c r="AV831" s="1052"/>
      <c r="AW831" s="1051"/>
      <c r="AX831" s="1051"/>
      <c r="AY831" s="1053"/>
      <c r="AZ831" s="1051"/>
      <c r="BA831" s="1051"/>
      <c r="BB831" s="1053"/>
      <c r="BC831" s="1051"/>
      <c r="BD831" s="1051"/>
      <c r="BE831" s="1053"/>
      <c r="BF831" s="1051"/>
      <c r="BG831" s="1051"/>
      <c r="BH831" s="1053"/>
      <c r="BI831" s="1052"/>
      <c r="BJ831" s="1052"/>
      <c r="BK831" s="1052"/>
      <c r="BL831" s="1052"/>
      <c r="BM831" s="1052"/>
      <c r="BN831" s="1054"/>
      <c r="BO831" s="1076">
        <f t="shared" si="14"/>
        <v>0</v>
      </c>
      <c r="BP831" s="1051"/>
      <c r="BQ831" s="1052"/>
      <c r="BR831" s="1054"/>
      <c r="BS831" s="1053"/>
      <c r="BT831" s="1051"/>
      <c r="BU831" s="1051"/>
      <c r="BV831" s="1051"/>
      <c r="BW831" s="1052"/>
      <c r="BX831" s="1052"/>
      <c r="BY831" s="1052"/>
      <c r="BZ831" s="1052"/>
      <c r="CA831" s="1052"/>
      <c r="CB831" s="1053"/>
      <c r="CC831" s="1053"/>
      <c r="CD831" s="1053"/>
      <c r="CE831" s="1053"/>
      <c r="CF831" s="1053"/>
      <c r="CG831" s="1053"/>
      <c r="CH831" s="1053"/>
      <c r="CI831" s="1123"/>
      <c r="CJ831" s="1123"/>
      <c r="CK831" s="1123"/>
      <c r="CL831" s="1123"/>
      <c r="CM831" s="1123"/>
      <c r="CN831" s="1123"/>
      <c r="CO831" s="1123"/>
      <c r="CP831" s="1123"/>
      <c r="CQ831" s="1123"/>
      <c r="CR831" s="1123"/>
      <c r="CS831" s="1123"/>
      <c r="CT831" s="1123"/>
      <c r="CU831" s="1123"/>
      <c r="CV831" s="1123"/>
      <c r="CW831" s="1123"/>
      <c r="CX831" s="1123"/>
      <c r="CY831" s="1123"/>
      <c r="CZ831" s="1114"/>
      <c r="DA831" s="1114"/>
      <c r="DB831" s="1114"/>
      <c r="DC831" s="1114"/>
      <c r="DD831" s="1114"/>
      <c r="DE831" s="1114"/>
      <c r="DF831" s="1114"/>
      <c r="DG831" s="1114"/>
      <c r="DH831" s="1114"/>
      <c r="DI831" s="1114"/>
      <c r="DJ831" s="1114"/>
      <c r="DK831" s="1114"/>
      <c r="DL831" s="1114"/>
      <c r="DM831" s="1114"/>
      <c r="DN831" s="1114"/>
      <c r="DO831" s="1114"/>
      <c r="DP831" s="1114"/>
      <c r="DQ831" s="1114"/>
      <c r="DR831" s="1114"/>
      <c r="DS831" s="1114"/>
      <c r="DT831" s="1114"/>
      <c r="DU831" s="1114"/>
      <c r="DV831" s="1115"/>
      <c r="DW831" s="1116"/>
      <c r="DX831" s="1116"/>
      <c r="DY831" s="1116"/>
      <c r="DZ831" s="1116"/>
      <c r="EA831" s="1116"/>
      <c r="EB831" s="1116"/>
      <c r="EC831" s="1116"/>
      <c r="ED831" s="1116"/>
      <c r="EE831" s="1116"/>
      <c r="EF831" s="1116"/>
      <c r="EG831" s="1116"/>
      <c r="EH831" s="1116"/>
      <c r="EI831" s="1116"/>
      <c r="EJ831" s="1116"/>
      <c r="EK831" s="1116"/>
      <c r="EL831" s="1116"/>
      <c r="EM831" s="1116"/>
      <c r="EN831" s="1116"/>
      <c r="EO831" s="1116"/>
      <c r="EP831" s="1116"/>
      <c r="EQ831" s="1116"/>
      <c r="ER831" s="1116"/>
      <c r="ES831" s="1116"/>
    </row>
    <row r="832" spans="1:149" ht="15" customHeight="1">
      <c r="A832" s="1185">
        <v>822</v>
      </c>
      <c r="B832" s="1041"/>
      <c r="C832" s="1050"/>
      <c r="D832" s="1050"/>
      <c r="E832" s="1050"/>
      <c r="F832" s="1049"/>
      <c r="G832" s="1049"/>
      <c r="H832" s="1049"/>
      <c r="I832" s="1049"/>
      <c r="J832" s="1050"/>
      <c r="K832" s="1050"/>
      <c r="L832" s="1043"/>
      <c r="M832" s="1051"/>
      <c r="N832" s="1051"/>
      <c r="O832" s="1052"/>
      <c r="P832" s="1051"/>
      <c r="Q832" s="1051"/>
      <c r="R832" s="1052"/>
      <c r="S832" s="1051"/>
      <c r="T832" s="1051"/>
      <c r="U832" s="1052"/>
      <c r="V832" s="1051"/>
      <c r="W832" s="1051"/>
      <c r="X832" s="1052"/>
      <c r="Y832" s="1053"/>
      <c r="Z832" s="1051"/>
      <c r="AA832" s="1051"/>
      <c r="AB832" s="1052"/>
      <c r="AC832" s="1051"/>
      <c r="AD832" s="1051"/>
      <c r="AE832" s="1052"/>
      <c r="AF832" s="1051"/>
      <c r="AG832" s="1051"/>
      <c r="AH832" s="1051"/>
      <c r="AI832" s="1051"/>
      <c r="AJ832" s="1052"/>
      <c r="AK832" s="1051"/>
      <c r="AL832" s="1051"/>
      <c r="AM832" s="1052"/>
      <c r="AN832" s="1051"/>
      <c r="AO832" s="1051"/>
      <c r="AP832" s="1052"/>
      <c r="AQ832" s="1051"/>
      <c r="AR832" s="1051"/>
      <c r="AS832" s="1052"/>
      <c r="AT832" s="1051"/>
      <c r="AU832" s="1051"/>
      <c r="AV832" s="1052"/>
      <c r="AW832" s="1051"/>
      <c r="AX832" s="1051"/>
      <c r="AY832" s="1053"/>
      <c r="AZ832" s="1051"/>
      <c r="BA832" s="1051"/>
      <c r="BB832" s="1053"/>
      <c r="BC832" s="1051"/>
      <c r="BD832" s="1051"/>
      <c r="BE832" s="1053"/>
      <c r="BF832" s="1051"/>
      <c r="BG832" s="1051"/>
      <c r="BH832" s="1053"/>
      <c r="BI832" s="1052"/>
      <c r="BJ832" s="1052"/>
      <c r="BK832" s="1052"/>
      <c r="BL832" s="1052"/>
      <c r="BM832" s="1052"/>
      <c r="BN832" s="1054"/>
      <c r="BO832" s="1076">
        <f t="shared" si="14"/>
        <v>0</v>
      </c>
      <c r="BP832" s="1051"/>
      <c r="BQ832" s="1052"/>
      <c r="BR832" s="1054"/>
      <c r="BS832" s="1053"/>
      <c r="BT832" s="1051"/>
      <c r="BU832" s="1051"/>
      <c r="BV832" s="1051"/>
      <c r="BW832" s="1052"/>
      <c r="BX832" s="1052"/>
      <c r="BY832" s="1052"/>
      <c r="BZ832" s="1052"/>
      <c r="CA832" s="1052"/>
      <c r="CB832" s="1053"/>
      <c r="CC832" s="1053"/>
      <c r="CD832" s="1053"/>
      <c r="CE832" s="1053"/>
      <c r="CF832" s="1053"/>
      <c r="CG832" s="1053"/>
      <c r="CH832" s="1053"/>
      <c r="CI832" s="1123"/>
      <c r="CJ832" s="1123"/>
      <c r="CK832" s="1123"/>
      <c r="CL832" s="1123"/>
      <c r="CM832" s="1123"/>
      <c r="CN832" s="1123"/>
      <c r="CO832" s="1123"/>
      <c r="CP832" s="1123"/>
      <c r="CQ832" s="1123"/>
      <c r="CR832" s="1123"/>
      <c r="CS832" s="1123"/>
      <c r="CT832" s="1123"/>
      <c r="CU832" s="1123"/>
      <c r="CV832" s="1123"/>
      <c r="CW832" s="1123"/>
      <c r="CX832" s="1123"/>
      <c r="CY832" s="1123"/>
      <c r="CZ832" s="1114"/>
      <c r="DA832" s="1114"/>
      <c r="DB832" s="1114"/>
      <c r="DC832" s="1114"/>
      <c r="DD832" s="1114"/>
      <c r="DE832" s="1114"/>
      <c r="DF832" s="1114"/>
      <c r="DG832" s="1114"/>
      <c r="DH832" s="1114"/>
      <c r="DI832" s="1114"/>
      <c r="DJ832" s="1114"/>
      <c r="DK832" s="1114"/>
      <c r="DL832" s="1114"/>
      <c r="DM832" s="1114"/>
      <c r="DN832" s="1114"/>
      <c r="DO832" s="1114"/>
      <c r="DP832" s="1114"/>
      <c r="DQ832" s="1114"/>
      <c r="DR832" s="1114"/>
      <c r="DS832" s="1114"/>
      <c r="DT832" s="1114"/>
      <c r="DU832" s="1114"/>
      <c r="DV832" s="1115"/>
      <c r="DW832" s="1116"/>
      <c r="DX832" s="1116"/>
      <c r="DY832" s="1116"/>
      <c r="DZ832" s="1116"/>
      <c r="EA832" s="1116"/>
      <c r="EB832" s="1116"/>
      <c r="EC832" s="1116"/>
      <c r="ED832" s="1116"/>
      <c r="EE832" s="1116"/>
      <c r="EF832" s="1116"/>
      <c r="EG832" s="1116"/>
      <c r="EH832" s="1116"/>
      <c r="EI832" s="1116"/>
      <c r="EJ832" s="1116"/>
      <c r="EK832" s="1116"/>
      <c r="EL832" s="1116"/>
      <c r="EM832" s="1116"/>
      <c r="EN832" s="1116"/>
      <c r="EO832" s="1116"/>
      <c r="EP832" s="1116"/>
      <c r="EQ832" s="1116"/>
      <c r="ER832" s="1116"/>
      <c r="ES832" s="1116"/>
    </row>
    <row r="833" spans="1:149" ht="15" customHeight="1">
      <c r="A833" s="1185">
        <v>823</v>
      </c>
      <c r="B833" s="1041"/>
      <c r="C833" s="1050"/>
      <c r="D833" s="1050"/>
      <c r="E833" s="1050"/>
      <c r="F833" s="1049"/>
      <c r="G833" s="1049"/>
      <c r="H833" s="1049"/>
      <c r="I833" s="1049"/>
      <c r="J833" s="1050"/>
      <c r="K833" s="1050"/>
      <c r="L833" s="1043"/>
      <c r="M833" s="1051"/>
      <c r="N833" s="1051"/>
      <c r="O833" s="1052"/>
      <c r="P833" s="1051"/>
      <c r="Q833" s="1051"/>
      <c r="R833" s="1052"/>
      <c r="S833" s="1051"/>
      <c r="T833" s="1051"/>
      <c r="U833" s="1052"/>
      <c r="V833" s="1051"/>
      <c r="W833" s="1051"/>
      <c r="X833" s="1052"/>
      <c r="Y833" s="1053"/>
      <c r="Z833" s="1051"/>
      <c r="AA833" s="1051"/>
      <c r="AB833" s="1052"/>
      <c r="AC833" s="1051"/>
      <c r="AD833" s="1051"/>
      <c r="AE833" s="1052"/>
      <c r="AF833" s="1051"/>
      <c r="AG833" s="1051"/>
      <c r="AH833" s="1051"/>
      <c r="AI833" s="1051"/>
      <c r="AJ833" s="1052"/>
      <c r="AK833" s="1051"/>
      <c r="AL833" s="1051"/>
      <c r="AM833" s="1052"/>
      <c r="AN833" s="1051"/>
      <c r="AO833" s="1051"/>
      <c r="AP833" s="1052"/>
      <c r="AQ833" s="1051"/>
      <c r="AR833" s="1051"/>
      <c r="AS833" s="1052"/>
      <c r="AT833" s="1051"/>
      <c r="AU833" s="1051"/>
      <c r="AV833" s="1052"/>
      <c r="AW833" s="1051"/>
      <c r="AX833" s="1051"/>
      <c r="AY833" s="1053"/>
      <c r="AZ833" s="1051"/>
      <c r="BA833" s="1051"/>
      <c r="BB833" s="1053"/>
      <c r="BC833" s="1051"/>
      <c r="BD833" s="1051"/>
      <c r="BE833" s="1053"/>
      <c r="BF833" s="1051"/>
      <c r="BG833" s="1051"/>
      <c r="BH833" s="1053"/>
      <c r="BI833" s="1052"/>
      <c r="BJ833" s="1052"/>
      <c r="BK833" s="1052"/>
      <c r="BL833" s="1052"/>
      <c r="BM833" s="1052"/>
      <c r="BN833" s="1054"/>
      <c r="BO833" s="1076">
        <f t="shared" si="14"/>
        <v>0</v>
      </c>
      <c r="BP833" s="1051"/>
      <c r="BQ833" s="1052"/>
      <c r="BR833" s="1054"/>
      <c r="BS833" s="1053"/>
      <c r="BT833" s="1051"/>
      <c r="BU833" s="1051"/>
      <c r="BV833" s="1051"/>
      <c r="BW833" s="1052"/>
      <c r="BX833" s="1052"/>
      <c r="BY833" s="1052"/>
      <c r="BZ833" s="1052"/>
      <c r="CA833" s="1052"/>
      <c r="CB833" s="1053"/>
      <c r="CC833" s="1053"/>
      <c r="CD833" s="1053"/>
      <c r="CE833" s="1053"/>
      <c r="CF833" s="1053"/>
      <c r="CG833" s="1053"/>
      <c r="CH833" s="1053"/>
      <c r="CI833" s="1123"/>
      <c r="CJ833" s="1123"/>
      <c r="CK833" s="1123"/>
      <c r="CL833" s="1123"/>
      <c r="CM833" s="1123"/>
      <c r="CN833" s="1123"/>
      <c r="CO833" s="1123"/>
      <c r="CP833" s="1123"/>
      <c r="CQ833" s="1123"/>
      <c r="CR833" s="1123"/>
      <c r="CS833" s="1123"/>
      <c r="CT833" s="1123"/>
      <c r="CU833" s="1123"/>
      <c r="CV833" s="1123"/>
      <c r="CW833" s="1123"/>
      <c r="CX833" s="1123"/>
      <c r="CY833" s="1123"/>
      <c r="CZ833" s="1114"/>
      <c r="DA833" s="1114"/>
      <c r="DB833" s="1114"/>
      <c r="DC833" s="1114"/>
      <c r="DD833" s="1114"/>
      <c r="DE833" s="1114"/>
      <c r="DF833" s="1114"/>
      <c r="DG833" s="1114"/>
      <c r="DH833" s="1114"/>
      <c r="DI833" s="1114"/>
      <c r="DJ833" s="1114"/>
      <c r="DK833" s="1114"/>
      <c r="DL833" s="1114"/>
      <c r="DM833" s="1114"/>
      <c r="DN833" s="1114"/>
      <c r="DO833" s="1114"/>
      <c r="DP833" s="1114"/>
      <c r="DQ833" s="1114"/>
      <c r="DR833" s="1114"/>
      <c r="DS833" s="1114"/>
      <c r="DT833" s="1114"/>
      <c r="DU833" s="1114"/>
      <c r="DV833" s="1115"/>
      <c r="DW833" s="1116"/>
      <c r="DX833" s="1116"/>
      <c r="DY833" s="1116"/>
      <c r="DZ833" s="1116"/>
      <c r="EA833" s="1116"/>
      <c r="EB833" s="1116"/>
      <c r="EC833" s="1116"/>
      <c r="ED833" s="1116"/>
      <c r="EE833" s="1116"/>
      <c r="EF833" s="1116"/>
      <c r="EG833" s="1116"/>
      <c r="EH833" s="1116"/>
      <c r="EI833" s="1116"/>
      <c r="EJ833" s="1116"/>
      <c r="EK833" s="1116"/>
      <c r="EL833" s="1116"/>
      <c r="EM833" s="1116"/>
      <c r="EN833" s="1116"/>
      <c r="EO833" s="1116"/>
      <c r="EP833" s="1116"/>
      <c r="EQ833" s="1116"/>
      <c r="ER833" s="1116"/>
      <c r="ES833" s="1116"/>
    </row>
    <row r="834" spans="1:149" ht="15" customHeight="1">
      <c r="A834" s="1185">
        <v>824</v>
      </c>
      <c r="B834" s="1041"/>
      <c r="C834" s="1050"/>
      <c r="D834" s="1050"/>
      <c r="E834" s="1050"/>
      <c r="F834" s="1049"/>
      <c r="G834" s="1049"/>
      <c r="H834" s="1049"/>
      <c r="I834" s="1049"/>
      <c r="J834" s="1050"/>
      <c r="K834" s="1050"/>
      <c r="L834" s="1043"/>
      <c r="M834" s="1051"/>
      <c r="N834" s="1051"/>
      <c r="O834" s="1052"/>
      <c r="P834" s="1051"/>
      <c r="Q834" s="1051"/>
      <c r="R834" s="1052"/>
      <c r="S834" s="1051"/>
      <c r="T834" s="1051"/>
      <c r="U834" s="1052"/>
      <c r="V834" s="1051"/>
      <c r="W834" s="1051"/>
      <c r="X834" s="1052"/>
      <c r="Y834" s="1053"/>
      <c r="Z834" s="1051"/>
      <c r="AA834" s="1051"/>
      <c r="AB834" s="1052"/>
      <c r="AC834" s="1051"/>
      <c r="AD834" s="1051"/>
      <c r="AE834" s="1052"/>
      <c r="AF834" s="1051"/>
      <c r="AG834" s="1051"/>
      <c r="AH834" s="1051"/>
      <c r="AI834" s="1051"/>
      <c r="AJ834" s="1052"/>
      <c r="AK834" s="1051"/>
      <c r="AL834" s="1051"/>
      <c r="AM834" s="1052"/>
      <c r="AN834" s="1051"/>
      <c r="AO834" s="1051"/>
      <c r="AP834" s="1052"/>
      <c r="AQ834" s="1051"/>
      <c r="AR834" s="1051"/>
      <c r="AS834" s="1052"/>
      <c r="AT834" s="1051"/>
      <c r="AU834" s="1051"/>
      <c r="AV834" s="1052"/>
      <c r="AW834" s="1051"/>
      <c r="AX834" s="1051"/>
      <c r="AY834" s="1053"/>
      <c r="AZ834" s="1051"/>
      <c r="BA834" s="1051"/>
      <c r="BB834" s="1053"/>
      <c r="BC834" s="1051"/>
      <c r="BD834" s="1051"/>
      <c r="BE834" s="1053"/>
      <c r="BF834" s="1051"/>
      <c r="BG834" s="1051"/>
      <c r="BH834" s="1053"/>
      <c r="BI834" s="1052"/>
      <c r="BJ834" s="1052"/>
      <c r="BK834" s="1052"/>
      <c r="BL834" s="1052"/>
      <c r="BM834" s="1052"/>
      <c r="BN834" s="1054"/>
      <c r="BO834" s="1076">
        <f t="shared" si="14"/>
        <v>0</v>
      </c>
      <c r="BP834" s="1051"/>
      <c r="BQ834" s="1052"/>
      <c r="BR834" s="1054"/>
      <c r="BS834" s="1053"/>
      <c r="BT834" s="1051"/>
      <c r="BU834" s="1051"/>
      <c r="BV834" s="1051"/>
      <c r="BW834" s="1052"/>
      <c r="BX834" s="1052"/>
      <c r="BY834" s="1052"/>
      <c r="BZ834" s="1052"/>
      <c r="CA834" s="1052"/>
      <c r="CB834" s="1053"/>
      <c r="CC834" s="1053"/>
      <c r="CD834" s="1053"/>
      <c r="CE834" s="1053"/>
      <c r="CF834" s="1053"/>
      <c r="CG834" s="1053"/>
      <c r="CH834" s="1053"/>
      <c r="CI834" s="1123"/>
      <c r="CJ834" s="1123"/>
      <c r="CK834" s="1123"/>
      <c r="CL834" s="1123"/>
      <c r="CM834" s="1123"/>
      <c r="CN834" s="1123"/>
      <c r="CO834" s="1123"/>
      <c r="CP834" s="1123"/>
      <c r="CQ834" s="1123"/>
      <c r="CR834" s="1123"/>
      <c r="CS834" s="1123"/>
      <c r="CT834" s="1123"/>
      <c r="CU834" s="1123"/>
      <c r="CV834" s="1123"/>
      <c r="CW834" s="1123"/>
      <c r="CX834" s="1123"/>
      <c r="CY834" s="1123"/>
      <c r="CZ834" s="1114"/>
      <c r="DA834" s="1114"/>
      <c r="DB834" s="1114"/>
      <c r="DC834" s="1114"/>
      <c r="DD834" s="1114"/>
      <c r="DE834" s="1114"/>
      <c r="DF834" s="1114"/>
      <c r="DG834" s="1114"/>
      <c r="DH834" s="1114"/>
      <c r="DI834" s="1114"/>
      <c r="DJ834" s="1114"/>
      <c r="DK834" s="1114"/>
      <c r="DL834" s="1114"/>
      <c r="DM834" s="1114"/>
      <c r="DN834" s="1114"/>
      <c r="DO834" s="1114"/>
      <c r="DP834" s="1114"/>
      <c r="DQ834" s="1114"/>
      <c r="DR834" s="1114"/>
      <c r="DS834" s="1114"/>
      <c r="DT834" s="1114"/>
      <c r="DU834" s="1114"/>
      <c r="DV834" s="1115"/>
      <c r="DW834" s="1116"/>
      <c r="DX834" s="1116"/>
      <c r="DY834" s="1116"/>
      <c r="DZ834" s="1116"/>
      <c r="EA834" s="1116"/>
      <c r="EB834" s="1116"/>
      <c r="EC834" s="1116"/>
      <c r="ED834" s="1116"/>
      <c r="EE834" s="1116"/>
      <c r="EF834" s="1116"/>
      <c r="EG834" s="1116"/>
      <c r="EH834" s="1116"/>
      <c r="EI834" s="1116"/>
      <c r="EJ834" s="1116"/>
      <c r="EK834" s="1116"/>
      <c r="EL834" s="1116"/>
      <c r="EM834" s="1116"/>
      <c r="EN834" s="1116"/>
      <c r="EO834" s="1116"/>
      <c r="EP834" s="1116"/>
      <c r="EQ834" s="1116"/>
      <c r="ER834" s="1116"/>
      <c r="ES834" s="1116"/>
    </row>
    <row r="835" spans="1:149" ht="15" customHeight="1">
      <c r="A835" s="1185">
        <v>825</v>
      </c>
      <c r="B835" s="1041"/>
      <c r="C835" s="1050"/>
      <c r="D835" s="1050"/>
      <c r="E835" s="1050"/>
      <c r="F835" s="1049"/>
      <c r="G835" s="1049"/>
      <c r="H835" s="1049"/>
      <c r="I835" s="1049"/>
      <c r="J835" s="1050"/>
      <c r="K835" s="1050"/>
      <c r="L835" s="1043"/>
      <c r="M835" s="1051"/>
      <c r="N835" s="1051"/>
      <c r="O835" s="1052"/>
      <c r="P835" s="1051"/>
      <c r="Q835" s="1051"/>
      <c r="R835" s="1052"/>
      <c r="S835" s="1051"/>
      <c r="T835" s="1051"/>
      <c r="U835" s="1052"/>
      <c r="V835" s="1051"/>
      <c r="W835" s="1051"/>
      <c r="X835" s="1052"/>
      <c r="Y835" s="1053"/>
      <c r="Z835" s="1051"/>
      <c r="AA835" s="1051"/>
      <c r="AB835" s="1052"/>
      <c r="AC835" s="1051"/>
      <c r="AD835" s="1051"/>
      <c r="AE835" s="1052"/>
      <c r="AF835" s="1051"/>
      <c r="AG835" s="1051"/>
      <c r="AH835" s="1051"/>
      <c r="AI835" s="1051"/>
      <c r="AJ835" s="1052"/>
      <c r="AK835" s="1051"/>
      <c r="AL835" s="1051"/>
      <c r="AM835" s="1052"/>
      <c r="AN835" s="1051"/>
      <c r="AO835" s="1051"/>
      <c r="AP835" s="1052"/>
      <c r="AQ835" s="1051"/>
      <c r="AR835" s="1051"/>
      <c r="AS835" s="1052"/>
      <c r="AT835" s="1051"/>
      <c r="AU835" s="1051"/>
      <c r="AV835" s="1052"/>
      <c r="AW835" s="1051"/>
      <c r="AX835" s="1051"/>
      <c r="AY835" s="1053"/>
      <c r="AZ835" s="1051"/>
      <c r="BA835" s="1051"/>
      <c r="BB835" s="1053"/>
      <c r="BC835" s="1051"/>
      <c r="BD835" s="1051"/>
      <c r="BE835" s="1053"/>
      <c r="BF835" s="1051"/>
      <c r="BG835" s="1051"/>
      <c r="BH835" s="1053"/>
      <c r="BI835" s="1052"/>
      <c r="BJ835" s="1052"/>
      <c r="BK835" s="1052"/>
      <c r="BL835" s="1052"/>
      <c r="BM835" s="1052"/>
      <c r="BN835" s="1054"/>
      <c r="BO835" s="1076">
        <f t="shared" si="14"/>
        <v>0</v>
      </c>
      <c r="BP835" s="1051"/>
      <c r="BQ835" s="1052"/>
      <c r="BR835" s="1054"/>
      <c r="BS835" s="1053"/>
      <c r="BT835" s="1051"/>
      <c r="BU835" s="1051"/>
      <c r="BV835" s="1051"/>
      <c r="BW835" s="1052"/>
      <c r="BX835" s="1052"/>
      <c r="BY835" s="1052"/>
      <c r="BZ835" s="1052"/>
      <c r="CA835" s="1052"/>
      <c r="CB835" s="1053"/>
      <c r="CC835" s="1053"/>
      <c r="CD835" s="1053"/>
      <c r="CE835" s="1053"/>
      <c r="CF835" s="1053"/>
      <c r="CG835" s="1053"/>
      <c r="CH835" s="1053"/>
      <c r="CI835" s="1123"/>
      <c r="CJ835" s="1123"/>
      <c r="CK835" s="1123"/>
      <c r="CL835" s="1123"/>
      <c r="CM835" s="1123"/>
      <c r="CN835" s="1123"/>
      <c r="CO835" s="1123"/>
      <c r="CP835" s="1123"/>
      <c r="CQ835" s="1123"/>
      <c r="CR835" s="1123"/>
      <c r="CS835" s="1123"/>
      <c r="CT835" s="1123"/>
      <c r="CU835" s="1123"/>
      <c r="CV835" s="1123"/>
      <c r="CW835" s="1123"/>
      <c r="CX835" s="1123"/>
      <c r="CY835" s="1123"/>
      <c r="CZ835" s="1114"/>
      <c r="DA835" s="1114"/>
      <c r="DB835" s="1114"/>
      <c r="DC835" s="1114"/>
      <c r="DD835" s="1114"/>
      <c r="DE835" s="1114"/>
      <c r="DF835" s="1114"/>
      <c r="DG835" s="1114"/>
      <c r="DH835" s="1114"/>
      <c r="DI835" s="1114"/>
      <c r="DJ835" s="1114"/>
      <c r="DK835" s="1114"/>
      <c r="DL835" s="1114"/>
      <c r="DM835" s="1114"/>
      <c r="DN835" s="1114"/>
      <c r="DO835" s="1114"/>
      <c r="DP835" s="1114"/>
      <c r="DQ835" s="1114"/>
      <c r="DR835" s="1114"/>
      <c r="DS835" s="1114"/>
      <c r="DT835" s="1114"/>
      <c r="DU835" s="1114"/>
      <c r="DV835" s="1115"/>
      <c r="DW835" s="1116"/>
      <c r="DX835" s="1116"/>
      <c r="DY835" s="1116"/>
      <c r="DZ835" s="1116"/>
      <c r="EA835" s="1116"/>
      <c r="EB835" s="1116"/>
      <c r="EC835" s="1116"/>
      <c r="ED835" s="1116"/>
      <c r="EE835" s="1116"/>
      <c r="EF835" s="1116"/>
      <c r="EG835" s="1116"/>
      <c r="EH835" s="1116"/>
      <c r="EI835" s="1116"/>
      <c r="EJ835" s="1116"/>
      <c r="EK835" s="1116"/>
      <c r="EL835" s="1116"/>
      <c r="EM835" s="1116"/>
      <c r="EN835" s="1116"/>
      <c r="EO835" s="1116"/>
      <c r="EP835" s="1116"/>
      <c r="EQ835" s="1116"/>
      <c r="ER835" s="1116"/>
      <c r="ES835" s="1116"/>
    </row>
    <row r="836" spans="1:149" ht="15" customHeight="1">
      <c r="A836" s="1185">
        <v>826</v>
      </c>
      <c r="B836" s="1041"/>
      <c r="C836" s="1050"/>
      <c r="D836" s="1050"/>
      <c r="E836" s="1050"/>
      <c r="F836" s="1049"/>
      <c r="G836" s="1049"/>
      <c r="H836" s="1049"/>
      <c r="I836" s="1049"/>
      <c r="J836" s="1050"/>
      <c r="K836" s="1050"/>
      <c r="L836" s="1043"/>
      <c r="M836" s="1051"/>
      <c r="N836" s="1051"/>
      <c r="O836" s="1052"/>
      <c r="P836" s="1051"/>
      <c r="Q836" s="1051"/>
      <c r="R836" s="1052"/>
      <c r="S836" s="1051"/>
      <c r="T836" s="1051"/>
      <c r="U836" s="1052"/>
      <c r="V836" s="1051"/>
      <c r="W836" s="1051"/>
      <c r="X836" s="1052"/>
      <c r="Y836" s="1053"/>
      <c r="Z836" s="1051"/>
      <c r="AA836" s="1051"/>
      <c r="AB836" s="1052"/>
      <c r="AC836" s="1051"/>
      <c r="AD836" s="1051"/>
      <c r="AE836" s="1052"/>
      <c r="AF836" s="1051"/>
      <c r="AG836" s="1051"/>
      <c r="AH836" s="1051"/>
      <c r="AI836" s="1051"/>
      <c r="AJ836" s="1052"/>
      <c r="AK836" s="1051"/>
      <c r="AL836" s="1051"/>
      <c r="AM836" s="1052"/>
      <c r="AN836" s="1051"/>
      <c r="AO836" s="1051"/>
      <c r="AP836" s="1052"/>
      <c r="AQ836" s="1051"/>
      <c r="AR836" s="1051"/>
      <c r="AS836" s="1052"/>
      <c r="AT836" s="1051"/>
      <c r="AU836" s="1051"/>
      <c r="AV836" s="1052"/>
      <c r="AW836" s="1051"/>
      <c r="AX836" s="1051"/>
      <c r="AY836" s="1053"/>
      <c r="AZ836" s="1051"/>
      <c r="BA836" s="1051"/>
      <c r="BB836" s="1053"/>
      <c r="BC836" s="1051"/>
      <c r="BD836" s="1051"/>
      <c r="BE836" s="1053"/>
      <c r="BF836" s="1051"/>
      <c r="BG836" s="1051"/>
      <c r="BH836" s="1053"/>
      <c r="BI836" s="1052"/>
      <c r="BJ836" s="1052"/>
      <c r="BK836" s="1052"/>
      <c r="BL836" s="1052"/>
      <c r="BM836" s="1052"/>
      <c r="BN836" s="1054"/>
      <c r="BO836" s="1076">
        <f t="shared" si="14"/>
        <v>0</v>
      </c>
      <c r="BP836" s="1051"/>
      <c r="BQ836" s="1052"/>
      <c r="BR836" s="1054"/>
      <c r="BS836" s="1053"/>
      <c r="BT836" s="1051"/>
      <c r="BU836" s="1051"/>
      <c r="BV836" s="1051"/>
      <c r="BW836" s="1052"/>
      <c r="BX836" s="1052"/>
      <c r="BY836" s="1052"/>
      <c r="BZ836" s="1052"/>
      <c r="CA836" s="1052"/>
      <c r="CB836" s="1053"/>
      <c r="CC836" s="1053"/>
      <c r="CD836" s="1053"/>
      <c r="CE836" s="1053"/>
      <c r="CF836" s="1053"/>
      <c r="CG836" s="1053"/>
      <c r="CH836" s="1053"/>
      <c r="CI836" s="1123"/>
      <c r="CJ836" s="1123"/>
      <c r="CK836" s="1123"/>
      <c r="CL836" s="1123"/>
      <c r="CM836" s="1123"/>
      <c r="CN836" s="1123"/>
      <c r="CO836" s="1123"/>
      <c r="CP836" s="1123"/>
      <c r="CQ836" s="1123"/>
      <c r="CR836" s="1123"/>
      <c r="CS836" s="1123"/>
      <c r="CT836" s="1123"/>
      <c r="CU836" s="1123"/>
      <c r="CV836" s="1123"/>
      <c r="CW836" s="1123"/>
      <c r="CX836" s="1123"/>
      <c r="CY836" s="1123"/>
      <c r="CZ836" s="1114"/>
      <c r="DA836" s="1114"/>
      <c r="DB836" s="1114"/>
      <c r="DC836" s="1114"/>
      <c r="DD836" s="1114"/>
      <c r="DE836" s="1114"/>
      <c r="DF836" s="1114"/>
      <c r="DG836" s="1114"/>
      <c r="DH836" s="1114"/>
      <c r="DI836" s="1114"/>
      <c r="DJ836" s="1114"/>
      <c r="DK836" s="1114"/>
      <c r="DL836" s="1114"/>
      <c r="DM836" s="1114"/>
      <c r="DN836" s="1114"/>
      <c r="DO836" s="1114"/>
      <c r="DP836" s="1114"/>
      <c r="DQ836" s="1114"/>
      <c r="DR836" s="1114"/>
      <c r="DS836" s="1114"/>
      <c r="DT836" s="1114"/>
      <c r="DU836" s="1114"/>
      <c r="DV836" s="1115"/>
      <c r="DW836" s="1116"/>
      <c r="DX836" s="1116"/>
      <c r="DY836" s="1116"/>
      <c r="DZ836" s="1116"/>
      <c r="EA836" s="1116"/>
      <c r="EB836" s="1116"/>
      <c r="EC836" s="1116"/>
      <c r="ED836" s="1116"/>
      <c r="EE836" s="1116"/>
      <c r="EF836" s="1116"/>
      <c r="EG836" s="1116"/>
      <c r="EH836" s="1116"/>
      <c r="EI836" s="1116"/>
      <c r="EJ836" s="1116"/>
      <c r="EK836" s="1116"/>
      <c r="EL836" s="1116"/>
      <c r="EM836" s="1116"/>
      <c r="EN836" s="1116"/>
      <c r="EO836" s="1116"/>
      <c r="EP836" s="1116"/>
      <c r="EQ836" s="1116"/>
      <c r="ER836" s="1116"/>
      <c r="ES836" s="1116"/>
    </row>
    <row r="837" spans="1:149" ht="15" customHeight="1">
      <c r="A837" s="1185">
        <v>827</v>
      </c>
      <c r="B837" s="1041"/>
      <c r="C837" s="1050"/>
      <c r="D837" s="1050"/>
      <c r="E837" s="1050"/>
      <c r="F837" s="1049"/>
      <c r="G837" s="1049"/>
      <c r="H837" s="1049"/>
      <c r="I837" s="1049"/>
      <c r="J837" s="1050"/>
      <c r="K837" s="1050"/>
      <c r="L837" s="1043"/>
      <c r="M837" s="1051"/>
      <c r="N837" s="1051"/>
      <c r="O837" s="1052"/>
      <c r="P837" s="1051"/>
      <c r="Q837" s="1051"/>
      <c r="R837" s="1052"/>
      <c r="S837" s="1051"/>
      <c r="T837" s="1051"/>
      <c r="U837" s="1052"/>
      <c r="V837" s="1051"/>
      <c r="W837" s="1051"/>
      <c r="X837" s="1052"/>
      <c r="Y837" s="1053"/>
      <c r="Z837" s="1051"/>
      <c r="AA837" s="1051"/>
      <c r="AB837" s="1052"/>
      <c r="AC837" s="1051"/>
      <c r="AD837" s="1051"/>
      <c r="AE837" s="1052"/>
      <c r="AF837" s="1051"/>
      <c r="AG837" s="1051"/>
      <c r="AH837" s="1051"/>
      <c r="AI837" s="1051"/>
      <c r="AJ837" s="1052"/>
      <c r="AK837" s="1051"/>
      <c r="AL837" s="1051"/>
      <c r="AM837" s="1052"/>
      <c r="AN837" s="1051"/>
      <c r="AO837" s="1051"/>
      <c r="AP837" s="1052"/>
      <c r="AQ837" s="1051"/>
      <c r="AR837" s="1051"/>
      <c r="AS837" s="1052"/>
      <c r="AT837" s="1051"/>
      <c r="AU837" s="1051"/>
      <c r="AV837" s="1052"/>
      <c r="AW837" s="1051"/>
      <c r="AX837" s="1051"/>
      <c r="AY837" s="1053"/>
      <c r="AZ837" s="1051"/>
      <c r="BA837" s="1051"/>
      <c r="BB837" s="1053"/>
      <c r="BC837" s="1051"/>
      <c r="BD837" s="1051"/>
      <c r="BE837" s="1053"/>
      <c r="BF837" s="1051"/>
      <c r="BG837" s="1051"/>
      <c r="BH837" s="1053"/>
      <c r="BI837" s="1052"/>
      <c r="BJ837" s="1052"/>
      <c r="BK837" s="1052"/>
      <c r="BL837" s="1052"/>
      <c r="BM837" s="1052"/>
      <c r="BN837" s="1054"/>
      <c r="BO837" s="1076">
        <f t="shared" si="14"/>
        <v>0</v>
      </c>
      <c r="BP837" s="1051"/>
      <c r="BQ837" s="1052"/>
      <c r="BR837" s="1054"/>
      <c r="BS837" s="1053"/>
      <c r="BT837" s="1051"/>
      <c r="BU837" s="1051"/>
      <c r="BV837" s="1051"/>
      <c r="BW837" s="1052"/>
      <c r="BX837" s="1052"/>
      <c r="BY837" s="1052"/>
      <c r="BZ837" s="1052"/>
      <c r="CA837" s="1052"/>
      <c r="CB837" s="1053"/>
      <c r="CC837" s="1053"/>
      <c r="CD837" s="1053"/>
      <c r="CE837" s="1053"/>
      <c r="CF837" s="1053"/>
      <c r="CG837" s="1053"/>
      <c r="CH837" s="1053"/>
      <c r="CI837" s="1123"/>
      <c r="CJ837" s="1123"/>
      <c r="CK837" s="1123"/>
      <c r="CL837" s="1123"/>
      <c r="CM837" s="1123"/>
      <c r="CN837" s="1123"/>
      <c r="CO837" s="1123"/>
      <c r="CP837" s="1123"/>
      <c r="CQ837" s="1123"/>
      <c r="CR837" s="1123"/>
      <c r="CS837" s="1123"/>
      <c r="CT837" s="1123"/>
      <c r="CU837" s="1123"/>
      <c r="CV837" s="1123"/>
      <c r="CW837" s="1123"/>
      <c r="CX837" s="1123"/>
      <c r="CY837" s="1123"/>
      <c r="CZ837" s="1114"/>
      <c r="DA837" s="1114"/>
      <c r="DB837" s="1114"/>
      <c r="DC837" s="1114"/>
      <c r="DD837" s="1114"/>
      <c r="DE837" s="1114"/>
      <c r="DF837" s="1114"/>
      <c r="DG837" s="1114"/>
      <c r="DH837" s="1114"/>
      <c r="DI837" s="1114"/>
      <c r="DJ837" s="1114"/>
      <c r="DK837" s="1114"/>
      <c r="DL837" s="1114"/>
      <c r="DM837" s="1114"/>
      <c r="DN837" s="1114"/>
      <c r="DO837" s="1114"/>
      <c r="DP837" s="1114"/>
      <c r="DQ837" s="1114"/>
      <c r="DR837" s="1114"/>
      <c r="DS837" s="1114"/>
      <c r="DT837" s="1114"/>
      <c r="DU837" s="1114"/>
      <c r="DV837" s="1115"/>
      <c r="DW837" s="1116"/>
      <c r="DX837" s="1116"/>
      <c r="DY837" s="1116"/>
      <c r="DZ837" s="1116"/>
      <c r="EA837" s="1116"/>
      <c r="EB837" s="1116"/>
      <c r="EC837" s="1116"/>
      <c r="ED837" s="1116"/>
      <c r="EE837" s="1116"/>
      <c r="EF837" s="1116"/>
      <c r="EG837" s="1116"/>
      <c r="EH837" s="1116"/>
      <c r="EI837" s="1116"/>
      <c r="EJ837" s="1116"/>
      <c r="EK837" s="1116"/>
      <c r="EL837" s="1116"/>
      <c r="EM837" s="1116"/>
      <c r="EN837" s="1116"/>
      <c r="EO837" s="1116"/>
      <c r="EP837" s="1116"/>
      <c r="EQ837" s="1116"/>
      <c r="ER837" s="1116"/>
      <c r="ES837" s="1116"/>
    </row>
    <row r="838" spans="1:149" ht="15" customHeight="1">
      <c r="A838" s="1185">
        <v>828</v>
      </c>
      <c r="B838" s="1041"/>
      <c r="C838" s="1050"/>
      <c r="D838" s="1050"/>
      <c r="E838" s="1050"/>
      <c r="F838" s="1049"/>
      <c r="G838" s="1049"/>
      <c r="H838" s="1049"/>
      <c r="I838" s="1049"/>
      <c r="J838" s="1050"/>
      <c r="K838" s="1050"/>
      <c r="L838" s="1043"/>
      <c r="M838" s="1051"/>
      <c r="N838" s="1051"/>
      <c r="O838" s="1052"/>
      <c r="P838" s="1051"/>
      <c r="Q838" s="1051"/>
      <c r="R838" s="1052"/>
      <c r="S838" s="1051"/>
      <c r="T838" s="1051"/>
      <c r="U838" s="1052"/>
      <c r="V838" s="1051"/>
      <c r="W838" s="1051"/>
      <c r="X838" s="1052"/>
      <c r="Y838" s="1053"/>
      <c r="Z838" s="1051"/>
      <c r="AA838" s="1051"/>
      <c r="AB838" s="1052"/>
      <c r="AC838" s="1051"/>
      <c r="AD838" s="1051"/>
      <c r="AE838" s="1052"/>
      <c r="AF838" s="1051"/>
      <c r="AG838" s="1051"/>
      <c r="AH838" s="1051"/>
      <c r="AI838" s="1051"/>
      <c r="AJ838" s="1052"/>
      <c r="AK838" s="1051"/>
      <c r="AL838" s="1051"/>
      <c r="AM838" s="1052"/>
      <c r="AN838" s="1051"/>
      <c r="AO838" s="1051"/>
      <c r="AP838" s="1052"/>
      <c r="AQ838" s="1051"/>
      <c r="AR838" s="1051"/>
      <c r="AS838" s="1052"/>
      <c r="AT838" s="1051"/>
      <c r="AU838" s="1051"/>
      <c r="AV838" s="1052"/>
      <c r="AW838" s="1051"/>
      <c r="AX838" s="1051"/>
      <c r="AY838" s="1053"/>
      <c r="AZ838" s="1051"/>
      <c r="BA838" s="1051"/>
      <c r="BB838" s="1053"/>
      <c r="BC838" s="1051"/>
      <c r="BD838" s="1051"/>
      <c r="BE838" s="1053"/>
      <c r="BF838" s="1051"/>
      <c r="BG838" s="1051"/>
      <c r="BH838" s="1053"/>
      <c r="BI838" s="1052"/>
      <c r="BJ838" s="1052"/>
      <c r="BK838" s="1052"/>
      <c r="BL838" s="1052"/>
      <c r="BM838" s="1052"/>
      <c r="BN838" s="1054"/>
      <c r="BO838" s="1076">
        <f t="shared" si="14"/>
        <v>0</v>
      </c>
      <c r="BP838" s="1051"/>
      <c r="BQ838" s="1052"/>
      <c r="BR838" s="1054"/>
      <c r="BS838" s="1053"/>
      <c r="BT838" s="1051"/>
      <c r="BU838" s="1051"/>
      <c r="BV838" s="1051"/>
      <c r="BW838" s="1052"/>
      <c r="BX838" s="1052"/>
      <c r="BY838" s="1052"/>
      <c r="BZ838" s="1052"/>
      <c r="CA838" s="1052"/>
      <c r="CB838" s="1053"/>
      <c r="CC838" s="1053"/>
      <c r="CD838" s="1053"/>
      <c r="CE838" s="1053"/>
      <c r="CF838" s="1053"/>
      <c r="CG838" s="1053"/>
      <c r="CH838" s="1053"/>
      <c r="CI838" s="1123"/>
      <c r="CJ838" s="1123"/>
      <c r="CK838" s="1123"/>
      <c r="CL838" s="1123"/>
      <c r="CM838" s="1123"/>
      <c r="CN838" s="1123"/>
      <c r="CO838" s="1123"/>
      <c r="CP838" s="1123"/>
      <c r="CQ838" s="1123"/>
      <c r="CR838" s="1123"/>
      <c r="CS838" s="1123"/>
      <c r="CT838" s="1123"/>
      <c r="CU838" s="1123"/>
      <c r="CV838" s="1123"/>
      <c r="CW838" s="1123"/>
      <c r="CX838" s="1123"/>
      <c r="CY838" s="1123"/>
      <c r="CZ838" s="1114"/>
      <c r="DA838" s="1114"/>
      <c r="DB838" s="1114"/>
      <c r="DC838" s="1114"/>
      <c r="DD838" s="1114"/>
      <c r="DE838" s="1114"/>
      <c r="DF838" s="1114"/>
      <c r="DG838" s="1114"/>
      <c r="DH838" s="1114"/>
      <c r="DI838" s="1114"/>
      <c r="DJ838" s="1114"/>
      <c r="DK838" s="1114"/>
      <c r="DL838" s="1114"/>
      <c r="DM838" s="1114"/>
      <c r="DN838" s="1114"/>
      <c r="DO838" s="1114"/>
      <c r="DP838" s="1114"/>
      <c r="DQ838" s="1114"/>
      <c r="DR838" s="1114"/>
      <c r="DS838" s="1114"/>
      <c r="DT838" s="1114"/>
      <c r="DU838" s="1114"/>
      <c r="DV838" s="1115"/>
      <c r="DW838" s="1116"/>
      <c r="DX838" s="1116"/>
      <c r="DY838" s="1116"/>
      <c r="DZ838" s="1116"/>
      <c r="EA838" s="1116"/>
      <c r="EB838" s="1116"/>
      <c r="EC838" s="1116"/>
      <c r="ED838" s="1116"/>
      <c r="EE838" s="1116"/>
      <c r="EF838" s="1116"/>
      <c r="EG838" s="1116"/>
      <c r="EH838" s="1116"/>
      <c r="EI838" s="1116"/>
      <c r="EJ838" s="1116"/>
      <c r="EK838" s="1116"/>
      <c r="EL838" s="1116"/>
      <c r="EM838" s="1116"/>
      <c r="EN838" s="1116"/>
      <c r="EO838" s="1116"/>
      <c r="EP838" s="1116"/>
      <c r="EQ838" s="1116"/>
      <c r="ER838" s="1116"/>
      <c r="ES838" s="1116"/>
    </row>
    <row r="839" spans="1:149" ht="15" customHeight="1">
      <c r="A839" s="1185">
        <v>829</v>
      </c>
      <c r="B839" s="1041"/>
      <c r="C839" s="1050"/>
      <c r="D839" s="1050"/>
      <c r="E839" s="1050"/>
      <c r="F839" s="1049"/>
      <c r="G839" s="1049"/>
      <c r="H839" s="1049"/>
      <c r="I839" s="1049"/>
      <c r="J839" s="1050"/>
      <c r="K839" s="1050"/>
      <c r="L839" s="1043"/>
      <c r="M839" s="1051"/>
      <c r="N839" s="1051"/>
      <c r="O839" s="1052"/>
      <c r="P839" s="1051"/>
      <c r="Q839" s="1051"/>
      <c r="R839" s="1052"/>
      <c r="S839" s="1051"/>
      <c r="T839" s="1051"/>
      <c r="U839" s="1052"/>
      <c r="V839" s="1051"/>
      <c r="W839" s="1051"/>
      <c r="X839" s="1052"/>
      <c r="Y839" s="1053"/>
      <c r="Z839" s="1051"/>
      <c r="AA839" s="1051"/>
      <c r="AB839" s="1052"/>
      <c r="AC839" s="1051"/>
      <c r="AD839" s="1051"/>
      <c r="AE839" s="1052"/>
      <c r="AF839" s="1051"/>
      <c r="AG839" s="1051"/>
      <c r="AH839" s="1051"/>
      <c r="AI839" s="1051"/>
      <c r="AJ839" s="1052"/>
      <c r="AK839" s="1051"/>
      <c r="AL839" s="1051"/>
      <c r="AM839" s="1052"/>
      <c r="AN839" s="1051"/>
      <c r="AO839" s="1051"/>
      <c r="AP839" s="1052"/>
      <c r="AQ839" s="1051"/>
      <c r="AR839" s="1051"/>
      <c r="AS839" s="1052"/>
      <c r="AT839" s="1051"/>
      <c r="AU839" s="1051"/>
      <c r="AV839" s="1052"/>
      <c r="AW839" s="1051"/>
      <c r="AX839" s="1051"/>
      <c r="AY839" s="1053"/>
      <c r="AZ839" s="1051"/>
      <c r="BA839" s="1051"/>
      <c r="BB839" s="1053"/>
      <c r="BC839" s="1051"/>
      <c r="BD839" s="1051"/>
      <c r="BE839" s="1053"/>
      <c r="BF839" s="1051"/>
      <c r="BG839" s="1051"/>
      <c r="BH839" s="1053"/>
      <c r="BI839" s="1052"/>
      <c r="BJ839" s="1052"/>
      <c r="BK839" s="1052"/>
      <c r="BL839" s="1052"/>
      <c r="BM839" s="1052"/>
      <c r="BN839" s="1054"/>
      <c r="BO839" s="1076">
        <f t="shared" si="14"/>
        <v>0</v>
      </c>
      <c r="BP839" s="1051"/>
      <c r="BQ839" s="1052"/>
      <c r="BR839" s="1054"/>
      <c r="BS839" s="1053"/>
      <c r="BT839" s="1051"/>
      <c r="BU839" s="1051"/>
      <c r="BV839" s="1051"/>
      <c r="BW839" s="1052"/>
      <c r="BX839" s="1052"/>
      <c r="BY839" s="1052"/>
      <c r="BZ839" s="1052"/>
      <c r="CA839" s="1052"/>
      <c r="CB839" s="1053"/>
      <c r="CC839" s="1053"/>
      <c r="CD839" s="1053"/>
      <c r="CE839" s="1053"/>
      <c r="CF839" s="1053"/>
      <c r="CG839" s="1053"/>
      <c r="CH839" s="1053"/>
      <c r="CI839" s="1123"/>
      <c r="CJ839" s="1123"/>
      <c r="CK839" s="1123"/>
      <c r="CL839" s="1123"/>
      <c r="CM839" s="1123"/>
      <c r="CN839" s="1123"/>
      <c r="CO839" s="1123"/>
      <c r="CP839" s="1123"/>
      <c r="CQ839" s="1123"/>
      <c r="CR839" s="1123"/>
      <c r="CS839" s="1123"/>
      <c r="CT839" s="1123"/>
      <c r="CU839" s="1123"/>
      <c r="CV839" s="1123"/>
      <c r="CW839" s="1123"/>
      <c r="CX839" s="1123"/>
      <c r="CY839" s="1123"/>
      <c r="CZ839" s="1114"/>
      <c r="DA839" s="1114"/>
      <c r="DB839" s="1114"/>
      <c r="DC839" s="1114"/>
      <c r="DD839" s="1114"/>
      <c r="DE839" s="1114"/>
      <c r="DF839" s="1114"/>
      <c r="DG839" s="1114"/>
      <c r="DH839" s="1114"/>
      <c r="DI839" s="1114"/>
      <c r="DJ839" s="1114"/>
      <c r="DK839" s="1114"/>
      <c r="DL839" s="1114"/>
      <c r="DM839" s="1114"/>
      <c r="DN839" s="1114"/>
      <c r="DO839" s="1114"/>
      <c r="DP839" s="1114"/>
      <c r="DQ839" s="1114"/>
      <c r="DR839" s="1114"/>
      <c r="DS839" s="1114"/>
      <c r="DT839" s="1114"/>
      <c r="DU839" s="1114"/>
      <c r="DV839" s="1115"/>
      <c r="DW839" s="1116"/>
      <c r="DX839" s="1116"/>
      <c r="DY839" s="1116"/>
      <c r="DZ839" s="1116"/>
      <c r="EA839" s="1116"/>
      <c r="EB839" s="1116"/>
      <c r="EC839" s="1116"/>
      <c r="ED839" s="1116"/>
      <c r="EE839" s="1116"/>
      <c r="EF839" s="1116"/>
      <c r="EG839" s="1116"/>
      <c r="EH839" s="1116"/>
      <c r="EI839" s="1116"/>
      <c r="EJ839" s="1116"/>
      <c r="EK839" s="1116"/>
      <c r="EL839" s="1116"/>
      <c r="EM839" s="1116"/>
      <c r="EN839" s="1116"/>
      <c r="EO839" s="1116"/>
      <c r="EP839" s="1116"/>
      <c r="EQ839" s="1116"/>
      <c r="ER839" s="1116"/>
      <c r="ES839" s="1116"/>
    </row>
    <row r="840" spans="1:149" ht="15" customHeight="1">
      <c r="A840" s="1185">
        <v>830</v>
      </c>
      <c r="B840" s="1041"/>
      <c r="C840" s="1050"/>
      <c r="D840" s="1050"/>
      <c r="E840" s="1050"/>
      <c r="F840" s="1049"/>
      <c r="G840" s="1049"/>
      <c r="H840" s="1049"/>
      <c r="I840" s="1049"/>
      <c r="J840" s="1050"/>
      <c r="K840" s="1050"/>
      <c r="L840" s="1043"/>
      <c r="M840" s="1051"/>
      <c r="N840" s="1051"/>
      <c r="O840" s="1052"/>
      <c r="P840" s="1051"/>
      <c r="Q840" s="1051"/>
      <c r="R840" s="1052"/>
      <c r="S840" s="1051"/>
      <c r="T840" s="1051"/>
      <c r="U840" s="1052"/>
      <c r="V840" s="1051"/>
      <c r="W840" s="1051"/>
      <c r="X840" s="1052"/>
      <c r="Y840" s="1053"/>
      <c r="Z840" s="1051"/>
      <c r="AA840" s="1051"/>
      <c r="AB840" s="1052"/>
      <c r="AC840" s="1051"/>
      <c r="AD840" s="1051"/>
      <c r="AE840" s="1052"/>
      <c r="AF840" s="1051"/>
      <c r="AG840" s="1051"/>
      <c r="AH840" s="1051"/>
      <c r="AI840" s="1051"/>
      <c r="AJ840" s="1052"/>
      <c r="AK840" s="1051"/>
      <c r="AL840" s="1051"/>
      <c r="AM840" s="1052"/>
      <c r="AN840" s="1051"/>
      <c r="AO840" s="1051"/>
      <c r="AP840" s="1052"/>
      <c r="AQ840" s="1051"/>
      <c r="AR840" s="1051"/>
      <c r="AS840" s="1052"/>
      <c r="AT840" s="1051"/>
      <c r="AU840" s="1051"/>
      <c r="AV840" s="1052"/>
      <c r="AW840" s="1051"/>
      <c r="AX840" s="1051"/>
      <c r="AY840" s="1053"/>
      <c r="AZ840" s="1051"/>
      <c r="BA840" s="1051"/>
      <c r="BB840" s="1053"/>
      <c r="BC840" s="1051"/>
      <c r="BD840" s="1051"/>
      <c r="BE840" s="1053"/>
      <c r="BF840" s="1051"/>
      <c r="BG840" s="1051"/>
      <c r="BH840" s="1053"/>
      <c r="BI840" s="1052"/>
      <c r="BJ840" s="1052"/>
      <c r="BK840" s="1052"/>
      <c r="BL840" s="1052"/>
      <c r="BM840" s="1052"/>
      <c r="BN840" s="1054"/>
      <c r="BO840" s="1076">
        <f t="shared" si="14"/>
        <v>0</v>
      </c>
      <c r="BP840" s="1051"/>
      <c r="BQ840" s="1052"/>
      <c r="BR840" s="1054"/>
      <c r="BS840" s="1053"/>
      <c r="BT840" s="1051"/>
      <c r="BU840" s="1051"/>
      <c r="BV840" s="1051"/>
      <c r="BW840" s="1052"/>
      <c r="BX840" s="1052"/>
      <c r="BY840" s="1052"/>
      <c r="BZ840" s="1052"/>
      <c r="CA840" s="1052"/>
      <c r="CB840" s="1053"/>
      <c r="CC840" s="1053"/>
      <c r="CD840" s="1053"/>
      <c r="CE840" s="1053"/>
      <c r="CF840" s="1053"/>
      <c r="CG840" s="1053"/>
      <c r="CH840" s="1053"/>
      <c r="CI840" s="1123"/>
      <c r="CJ840" s="1123"/>
      <c r="CK840" s="1123"/>
      <c r="CL840" s="1123"/>
      <c r="CM840" s="1123"/>
      <c r="CN840" s="1123"/>
      <c r="CO840" s="1123"/>
      <c r="CP840" s="1123"/>
      <c r="CQ840" s="1123"/>
      <c r="CR840" s="1123"/>
      <c r="CS840" s="1123"/>
      <c r="CT840" s="1123"/>
      <c r="CU840" s="1123"/>
      <c r="CV840" s="1123"/>
      <c r="CW840" s="1123"/>
      <c r="CX840" s="1123"/>
      <c r="CY840" s="1123"/>
      <c r="CZ840" s="1114"/>
      <c r="DA840" s="1114"/>
      <c r="DB840" s="1114"/>
      <c r="DC840" s="1114"/>
      <c r="DD840" s="1114"/>
      <c r="DE840" s="1114"/>
      <c r="DF840" s="1114"/>
      <c r="DG840" s="1114"/>
      <c r="DH840" s="1114"/>
      <c r="DI840" s="1114"/>
      <c r="DJ840" s="1114"/>
      <c r="DK840" s="1114"/>
      <c r="DL840" s="1114"/>
      <c r="DM840" s="1114"/>
      <c r="DN840" s="1114"/>
      <c r="DO840" s="1114"/>
      <c r="DP840" s="1114"/>
      <c r="DQ840" s="1114"/>
      <c r="DR840" s="1114"/>
      <c r="DS840" s="1114"/>
      <c r="DT840" s="1114"/>
      <c r="DU840" s="1114"/>
      <c r="DV840" s="1115"/>
      <c r="DW840" s="1116"/>
      <c r="DX840" s="1116"/>
      <c r="DY840" s="1116"/>
      <c r="DZ840" s="1116"/>
      <c r="EA840" s="1116"/>
      <c r="EB840" s="1116"/>
      <c r="EC840" s="1116"/>
      <c r="ED840" s="1116"/>
      <c r="EE840" s="1116"/>
      <c r="EF840" s="1116"/>
      <c r="EG840" s="1116"/>
      <c r="EH840" s="1116"/>
      <c r="EI840" s="1116"/>
      <c r="EJ840" s="1116"/>
      <c r="EK840" s="1116"/>
      <c r="EL840" s="1116"/>
      <c r="EM840" s="1116"/>
      <c r="EN840" s="1116"/>
      <c r="EO840" s="1116"/>
      <c r="EP840" s="1116"/>
      <c r="EQ840" s="1116"/>
      <c r="ER840" s="1116"/>
      <c r="ES840" s="1116"/>
    </row>
    <row r="841" spans="1:149" ht="15" customHeight="1">
      <c r="A841" s="1185">
        <v>831</v>
      </c>
      <c r="B841" s="1041"/>
      <c r="C841" s="1050"/>
      <c r="D841" s="1050"/>
      <c r="E841" s="1050"/>
      <c r="F841" s="1049"/>
      <c r="G841" s="1049"/>
      <c r="H841" s="1049"/>
      <c r="I841" s="1049"/>
      <c r="J841" s="1050"/>
      <c r="K841" s="1050"/>
      <c r="L841" s="1043"/>
      <c r="M841" s="1051"/>
      <c r="N841" s="1051"/>
      <c r="O841" s="1052"/>
      <c r="P841" s="1051"/>
      <c r="Q841" s="1051"/>
      <c r="R841" s="1052"/>
      <c r="S841" s="1051"/>
      <c r="T841" s="1051"/>
      <c r="U841" s="1052"/>
      <c r="V841" s="1051"/>
      <c r="W841" s="1051"/>
      <c r="X841" s="1052"/>
      <c r="Y841" s="1053"/>
      <c r="Z841" s="1051"/>
      <c r="AA841" s="1051"/>
      <c r="AB841" s="1052"/>
      <c r="AC841" s="1051"/>
      <c r="AD841" s="1051"/>
      <c r="AE841" s="1052"/>
      <c r="AF841" s="1051"/>
      <c r="AG841" s="1051"/>
      <c r="AH841" s="1051"/>
      <c r="AI841" s="1051"/>
      <c r="AJ841" s="1052"/>
      <c r="AK841" s="1051"/>
      <c r="AL841" s="1051"/>
      <c r="AM841" s="1052"/>
      <c r="AN841" s="1051"/>
      <c r="AO841" s="1051"/>
      <c r="AP841" s="1052"/>
      <c r="AQ841" s="1051"/>
      <c r="AR841" s="1051"/>
      <c r="AS841" s="1052"/>
      <c r="AT841" s="1051"/>
      <c r="AU841" s="1051"/>
      <c r="AV841" s="1052"/>
      <c r="AW841" s="1051"/>
      <c r="AX841" s="1051"/>
      <c r="AY841" s="1053"/>
      <c r="AZ841" s="1051"/>
      <c r="BA841" s="1051"/>
      <c r="BB841" s="1053"/>
      <c r="BC841" s="1051"/>
      <c r="BD841" s="1051"/>
      <c r="BE841" s="1053"/>
      <c r="BF841" s="1051"/>
      <c r="BG841" s="1051"/>
      <c r="BH841" s="1053"/>
      <c r="BI841" s="1052"/>
      <c r="BJ841" s="1052"/>
      <c r="BK841" s="1052"/>
      <c r="BL841" s="1052"/>
      <c r="BM841" s="1052"/>
      <c r="BN841" s="1054"/>
      <c r="BO841" s="1076">
        <f t="shared" si="14"/>
        <v>0</v>
      </c>
      <c r="BP841" s="1051"/>
      <c r="BQ841" s="1052"/>
      <c r="BR841" s="1054"/>
      <c r="BS841" s="1053"/>
      <c r="BT841" s="1051"/>
      <c r="BU841" s="1051"/>
      <c r="BV841" s="1051"/>
      <c r="BW841" s="1052"/>
      <c r="BX841" s="1052"/>
      <c r="BY841" s="1052"/>
      <c r="BZ841" s="1052"/>
      <c r="CA841" s="1052"/>
      <c r="CB841" s="1053"/>
      <c r="CC841" s="1053"/>
      <c r="CD841" s="1053"/>
      <c r="CE841" s="1053"/>
      <c r="CF841" s="1053"/>
      <c r="CG841" s="1053"/>
      <c r="CH841" s="1053"/>
      <c r="CI841" s="1123"/>
      <c r="CJ841" s="1123"/>
      <c r="CK841" s="1123"/>
      <c r="CL841" s="1123"/>
      <c r="CM841" s="1123"/>
      <c r="CN841" s="1123"/>
      <c r="CO841" s="1123"/>
      <c r="CP841" s="1123"/>
      <c r="CQ841" s="1123"/>
      <c r="CR841" s="1123"/>
      <c r="CS841" s="1123"/>
      <c r="CT841" s="1123"/>
      <c r="CU841" s="1123"/>
      <c r="CV841" s="1123"/>
      <c r="CW841" s="1123"/>
      <c r="CX841" s="1123"/>
      <c r="CY841" s="1123"/>
      <c r="CZ841" s="1114"/>
      <c r="DA841" s="1114"/>
      <c r="DB841" s="1114"/>
      <c r="DC841" s="1114"/>
      <c r="DD841" s="1114"/>
      <c r="DE841" s="1114"/>
      <c r="DF841" s="1114"/>
      <c r="DG841" s="1114"/>
      <c r="DH841" s="1114"/>
      <c r="DI841" s="1114"/>
      <c r="DJ841" s="1114"/>
      <c r="DK841" s="1114"/>
      <c r="DL841" s="1114"/>
      <c r="DM841" s="1114"/>
      <c r="DN841" s="1114"/>
      <c r="DO841" s="1114"/>
      <c r="DP841" s="1114"/>
      <c r="DQ841" s="1114"/>
      <c r="DR841" s="1114"/>
      <c r="DS841" s="1114"/>
      <c r="DT841" s="1114"/>
      <c r="DU841" s="1114"/>
      <c r="DV841" s="1115"/>
      <c r="DW841" s="1116"/>
      <c r="DX841" s="1116"/>
      <c r="DY841" s="1116"/>
      <c r="DZ841" s="1116"/>
      <c r="EA841" s="1116"/>
      <c r="EB841" s="1116"/>
      <c r="EC841" s="1116"/>
      <c r="ED841" s="1116"/>
      <c r="EE841" s="1116"/>
      <c r="EF841" s="1116"/>
      <c r="EG841" s="1116"/>
      <c r="EH841" s="1116"/>
      <c r="EI841" s="1116"/>
      <c r="EJ841" s="1116"/>
      <c r="EK841" s="1116"/>
      <c r="EL841" s="1116"/>
      <c r="EM841" s="1116"/>
      <c r="EN841" s="1116"/>
      <c r="EO841" s="1116"/>
      <c r="EP841" s="1116"/>
      <c r="EQ841" s="1116"/>
      <c r="ER841" s="1116"/>
      <c r="ES841" s="1116"/>
    </row>
    <row r="842" spans="1:149" ht="15" customHeight="1">
      <c r="A842" s="1185">
        <v>832</v>
      </c>
      <c r="B842" s="1041"/>
      <c r="C842" s="1050"/>
      <c r="D842" s="1050"/>
      <c r="E842" s="1050"/>
      <c r="F842" s="1049"/>
      <c r="G842" s="1049"/>
      <c r="H842" s="1049"/>
      <c r="I842" s="1049"/>
      <c r="J842" s="1050"/>
      <c r="K842" s="1050"/>
      <c r="L842" s="1043"/>
      <c r="M842" s="1051"/>
      <c r="N842" s="1051"/>
      <c r="O842" s="1052"/>
      <c r="P842" s="1051"/>
      <c r="Q842" s="1051"/>
      <c r="R842" s="1052"/>
      <c r="S842" s="1051"/>
      <c r="T842" s="1051"/>
      <c r="U842" s="1052"/>
      <c r="V842" s="1051"/>
      <c r="W842" s="1051"/>
      <c r="X842" s="1052"/>
      <c r="Y842" s="1053"/>
      <c r="Z842" s="1051"/>
      <c r="AA842" s="1051"/>
      <c r="AB842" s="1052"/>
      <c r="AC842" s="1051"/>
      <c r="AD842" s="1051"/>
      <c r="AE842" s="1052"/>
      <c r="AF842" s="1051"/>
      <c r="AG842" s="1051"/>
      <c r="AH842" s="1051"/>
      <c r="AI842" s="1051"/>
      <c r="AJ842" s="1052"/>
      <c r="AK842" s="1051"/>
      <c r="AL842" s="1051"/>
      <c r="AM842" s="1052"/>
      <c r="AN842" s="1051"/>
      <c r="AO842" s="1051"/>
      <c r="AP842" s="1052"/>
      <c r="AQ842" s="1051"/>
      <c r="AR842" s="1051"/>
      <c r="AS842" s="1052"/>
      <c r="AT842" s="1051"/>
      <c r="AU842" s="1051"/>
      <c r="AV842" s="1052"/>
      <c r="AW842" s="1051"/>
      <c r="AX842" s="1051"/>
      <c r="AY842" s="1053"/>
      <c r="AZ842" s="1051"/>
      <c r="BA842" s="1051"/>
      <c r="BB842" s="1053"/>
      <c r="BC842" s="1051"/>
      <c r="BD842" s="1051"/>
      <c r="BE842" s="1053"/>
      <c r="BF842" s="1051"/>
      <c r="BG842" s="1051"/>
      <c r="BH842" s="1053"/>
      <c r="BI842" s="1052"/>
      <c r="BJ842" s="1052"/>
      <c r="BK842" s="1052"/>
      <c r="BL842" s="1052"/>
      <c r="BM842" s="1052"/>
      <c r="BN842" s="1054"/>
      <c r="BO842" s="1076">
        <f t="shared" si="14"/>
        <v>0</v>
      </c>
      <c r="BP842" s="1051"/>
      <c r="BQ842" s="1052"/>
      <c r="BR842" s="1054"/>
      <c r="BS842" s="1053"/>
      <c r="BT842" s="1051"/>
      <c r="BU842" s="1051"/>
      <c r="BV842" s="1051"/>
      <c r="BW842" s="1052"/>
      <c r="BX842" s="1052"/>
      <c r="BY842" s="1052"/>
      <c r="BZ842" s="1052"/>
      <c r="CA842" s="1052"/>
      <c r="CB842" s="1053"/>
      <c r="CC842" s="1053"/>
      <c r="CD842" s="1053"/>
      <c r="CE842" s="1053"/>
      <c r="CF842" s="1053"/>
      <c r="CG842" s="1053"/>
      <c r="CH842" s="1053"/>
      <c r="CI842" s="1123"/>
      <c r="CJ842" s="1123"/>
      <c r="CK842" s="1123"/>
      <c r="CL842" s="1123"/>
      <c r="CM842" s="1123"/>
      <c r="CN842" s="1123"/>
      <c r="CO842" s="1123"/>
      <c r="CP842" s="1123"/>
      <c r="CQ842" s="1123"/>
      <c r="CR842" s="1123"/>
      <c r="CS842" s="1123"/>
      <c r="CT842" s="1123"/>
      <c r="CU842" s="1123"/>
      <c r="CV842" s="1123"/>
      <c r="CW842" s="1123"/>
      <c r="CX842" s="1123"/>
      <c r="CY842" s="1123"/>
      <c r="CZ842" s="1114"/>
      <c r="DA842" s="1114"/>
      <c r="DB842" s="1114"/>
      <c r="DC842" s="1114"/>
      <c r="DD842" s="1114"/>
      <c r="DE842" s="1114"/>
      <c r="DF842" s="1114"/>
      <c r="DG842" s="1114"/>
      <c r="DH842" s="1114"/>
      <c r="DI842" s="1114"/>
      <c r="DJ842" s="1114"/>
      <c r="DK842" s="1114"/>
      <c r="DL842" s="1114"/>
      <c r="DM842" s="1114"/>
      <c r="DN842" s="1114"/>
      <c r="DO842" s="1114"/>
      <c r="DP842" s="1114"/>
      <c r="DQ842" s="1114"/>
      <c r="DR842" s="1114"/>
      <c r="DS842" s="1114"/>
      <c r="DT842" s="1114"/>
      <c r="DU842" s="1114"/>
      <c r="DV842" s="1115"/>
      <c r="DW842" s="1116"/>
      <c r="DX842" s="1116"/>
      <c r="DY842" s="1116"/>
      <c r="DZ842" s="1116"/>
      <c r="EA842" s="1116"/>
      <c r="EB842" s="1116"/>
      <c r="EC842" s="1116"/>
      <c r="ED842" s="1116"/>
      <c r="EE842" s="1116"/>
      <c r="EF842" s="1116"/>
      <c r="EG842" s="1116"/>
      <c r="EH842" s="1116"/>
      <c r="EI842" s="1116"/>
      <c r="EJ842" s="1116"/>
      <c r="EK842" s="1116"/>
      <c r="EL842" s="1116"/>
      <c r="EM842" s="1116"/>
      <c r="EN842" s="1116"/>
      <c r="EO842" s="1116"/>
      <c r="EP842" s="1116"/>
      <c r="EQ842" s="1116"/>
      <c r="ER842" s="1116"/>
      <c r="ES842" s="1116"/>
    </row>
    <row r="843" spans="1:149" ht="15" customHeight="1">
      <c r="A843" s="1185">
        <v>833</v>
      </c>
      <c r="B843" s="1041"/>
      <c r="C843" s="1050"/>
      <c r="D843" s="1050"/>
      <c r="E843" s="1050"/>
      <c r="F843" s="1049"/>
      <c r="G843" s="1049"/>
      <c r="H843" s="1049"/>
      <c r="I843" s="1049"/>
      <c r="J843" s="1050"/>
      <c r="K843" s="1050"/>
      <c r="L843" s="1043"/>
      <c r="M843" s="1051"/>
      <c r="N843" s="1051"/>
      <c r="O843" s="1052"/>
      <c r="P843" s="1051"/>
      <c r="Q843" s="1051"/>
      <c r="R843" s="1052"/>
      <c r="S843" s="1051"/>
      <c r="T843" s="1051"/>
      <c r="U843" s="1052"/>
      <c r="V843" s="1051"/>
      <c r="W843" s="1051"/>
      <c r="X843" s="1052"/>
      <c r="Y843" s="1053"/>
      <c r="Z843" s="1051"/>
      <c r="AA843" s="1051"/>
      <c r="AB843" s="1052"/>
      <c r="AC843" s="1051"/>
      <c r="AD843" s="1051"/>
      <c r="AE843" s="1052"/>
      <c r="AF843" s="1051"/>
      <c r="AG843" s="1051"/>
      <c r="AH843" s="1051"/>
      <c r="AI843" s="1051"/>
      <c r="AJ843" s="1052"/>
      <c r="AK843" s="1051"/>
      <c r="AL843" s="1051"/>
      <c r="AM843" s="1052"/>
      <c r="AN843" s="1051"/>
      <c r="AO843" s="1051"/>
      <c r="AP843" s="1052"/>
      <c r="AQ843" s="1051"/>
      <c r="AR843" s="1051"/>
      <c r="AS843" s="1052"/>
      <c r="AT843" s="1051"/>
      <c r="AU843" s="1051"/>
      <c r="AV843" s="1052"/>
      <c r="AW843" s="1051"/>
      <c r="AX843" s="1051"/>
      <c r="AY843" s="1053"/>
      <c r="AZ843" s="1051"/>
      <c r="BA843" s="1051"/>
      <c r="BB843" s="1053"/>
      <c r="BC843" s="1051"/>
      <c r="BD843" s="1051"/>
      <c r="BE843" s="1053"/>
      <c r="BF843" s="1051"/>
      <c r="BG843" s="1051"/>
      <c r="BH843" s="1053"/>
      <c r="BI843" s="1052"/>
      <c r="BJ843" s="1052"/>
      <c r="BK843" s="1052"/>
      <c r="BL843" s="1052"/>
      <c r="BM843" s="1052"/>
      <c r="BN843" s="1054"/>
      <c r="BO843" s="1076">
        <f t="shared" si="14"/>
        <v>0</v>
      </c>
      <c r="BP843" s="1051"/>
      <c r="BQ843" s="1052"/>
      <c r="BR843" s="1054"/>
      <c r="BS843" s="1053"/>
      <c r="BT843" s="1051"/>
      <c r="BU843" s="1051"/>
      <c r="BV843" s="1051"/>
      <c r="BW843" s="1052"/>
      <c r="BX843" s="1052"/>
      <c r="BY843" s="1052"/>
      <c r="BZ843" s="1052"/>
      <c r="CA843" s="1052"/>
      <c r="CB843" s="1053"/>
      <c r="CC843" s="1053"/>
      <c r="CD843" s="1053"/>
      <c r="CE843" s="1053"/>
      <c r="CF843" s="1053"/>
      <c r="CG843" s="1053"/>
      <c r="CH843" s="1053"/>
      <c r="CI843" s="1123"/>
      <c r="CJ843" s="1123"/>
      <c r="CK843" s="1123"/>
      <c r="CL843" s="1123"/>
      <c r="CM843" s="1123"/>
      <c r="CN843" s="1123"/>
      <c r="CO843" s="1123"/>
      <c r="CP843" s="1123"/>
      <c r="CQ843" s="1123"/>
      <c r="CR843" s="1123"/>
      <c r="CS843" s="1123"/>
      <c r="CT843" s="1123"/>
      <c r="CU843" s="1123"/>
      <c r="CV843" s="1123"/>
      <c r="CW843" s="1123"/>
      <c r="CX843" s="1123"/>
      <c r="CY843" s="1123"/>
      <c r="CZ843" s="1114"/>
      <c r="DA843" s="1114"/>
      <c r="DB843" s="1114"/>
      <c r="DC843" s="1114"/>
      <c r="DD843" s="1114"/>
      <c r="DE843" s="1114"/>
      <c r="DF843" s="1114"/>
      <c r="DG843" s="1114"/>
      <c r="DH843" s="1114"/>
      <c r="DI843" s="1114"/>
      <c r="DJ843" s="1114"/>
      <c r="DK843" s="1114"/>
      <c r="DL843" s="1114"/>
      <c r="DM843" s="1114"/>
      <c r="DN843" s="1114"/>
      <c r="DO843" s="1114"/>
      <c r="DP843" s="1114"/>
      <c r="DQ843" s="1114"/>
      <c r="DR843" s="1114"/>
      <c r="DS843" s="1114"/>
      <c r="DT843" s="1114"/>
      <c r="DU843" s="1114"/>
      <c r="DV843" s="1115"/>
      <c r="DW843" s="1116"/>
      <c r="DX843" s="1116"/>
      <c r="DY843" s="1116"/>
      <c r="DZ843" s="1116"/>
      <c r="EA843" s="1116"/>
      <c r="EB843" s="1116"/>
      <c r="EC843" s="1116"/>
      <c r="ED843" s="1116"/>
      <c r="EE843" s="1116"/>
      <c r="EF843" s="1116"/>
      <c r="EG843" s="1116"/>
      <c r="EH843" s="1116"/>
      <c r="EI843" s="1116"/>
      <c r="EJ843" s="1116"/>
      <c r="EK843" s="1116"/>
      <c r="EL843" s="1116"/>
      <c r="EM843" s="1116"/>
      <c r="EN843" s="1116"/>
      <c r="EO843" s="1116"/>
      <c r="EP843" s="1116"/>
      <c r="EQ843" s="1116"/>
      <c r="ER843" s="1116"/>
      <c r="ES843" s="1116"/>
    </row>
    <row r="844" spans="1:149" ht="15" customHeight="1">
      <c r="A844" s="1185">
        <v>834</v>
      </c>
      <c r="B844" s="1041"/>
      <c r="C844" s="1050"/>
      <c r="D844" s="1050"/>
      <c r="E844" s="1050"/>
      <c r="F844" s="1049"/>
      <c r="G844" s="1049"/>
      <c r="H844" s="1049"/>
      <c r="I844" s="1049"/>
      <c r="J844" s="1050"/>
      <c r="K844" s="1050"/>
      <c r="L844" s="1043"/>
      <c r="M844" s="1051"/>
      <c r="N844" s="1051"/>
      <c r="O844" s="1052"/>
      <c r="P844" s="1051"/>
      <c r="Q844" s="1051"/>
      <c r="R844" s="1052"/>
      <c r="S844" s="1051"/>
      <c r="T844" s="1051"/>
      <c r="U844" s="1052"/>
      <c r="V844" s="1051"/>
      <c r="W844" s="1051"/>
      <c r="X844" s="1052"/>
      <c r="Y844" s="1053"/>
      <c r="Z844" s="1051"/>
      <c r="AA844" s="1051"/>
      <c r="AB844" s="1052"/>
      <c r="AC844" s="1051"/>
      <c r="AD844" s="1051"/>
      <c r="AE844" s="1052"/>
      <c r="AF844" s="1051"/>
      <c r="AG844" s="1051"/>
      <c r="AH844" s="1051"/>
      <c r="AI844" s="1051"/>
      <c r="AJ844" s="1052"/>
      <c r="AK844" s="1051"/>
      <c r="AL844" s="1051"/>
      <c r="AM844" s="1052"/>
      <c r="AN844" s="1051"/>
      <c r="AO844" s="1051"/>
      <c r="AP844" s="1052"/>
      <c r="AQ844" s="1051"/>
      <c r="AR844" s="1051"/>
      <c r="AS844" s="1052"/>
      <c r="AT844" s="1051"/>
      <c r="AU844" s="1051"/>
      <c r="AV844" s="1052"/>
      <c r="AW844" s="1051"/>
      <c r="AX844" s="1051"/>
      <c r="AY844" s="1053"/>
      <c r="AZ844" s="1051"/>
      <c r="BA844" s="1051"/>
      <c r="BB844" s="1053"/>
      <c r="BC844" s="1051"/>
      <c r="BD844" s="1051"/>
      <c r="BE844" s="1053"/>
      <c r="BF844" s="1051"/>
      <c r="BG844" s="1051"/>
      <c r="BH844" s="1053"/>
      <c r="BI844" s="1052"/>
      <c r="BJ844" s="1052"/>
      <c r="BK844" s="1052"/>
      <c r="BL844" s="1052"/>
      <c r="BM844" s="1052"/>
      <c r="BN844" s="1054"/>
      <c r="BO844" s="1076">
        <f t="shared" si="14"/>
        <v>0</v>
      </c>
      <c r="BP844" s="1051"/>
      <c r="BQ844" s="1052"/>
      <c r="BR844" s="1054"/>
      <c r="BS844" s="1053"/>
      <c r="BT844" s="1051"/>
      <c r="BU844" s="1051"/>
      <c r="BV844" s="1051"/>
      <c r="BW844" s="1052"/>
      <c r="BX844" s="1052"/>
      <c r="BY844" s="1052"/>
      <c r="BZ844" s="1052"/>
      <c r="CA844" s="1052"/>
      <c r="CB844" s="1053"/>
      <c r="CC844" s="1053"/>
      <c r="CD844" s="1053"/>
      <c r="CE844" s="1053"/>
      <c r="CF844" s="1053"/>
      <c r="CG844" s="1053"/>
      <c r="CH844" s="1053"/>
      <c r="CI844" s="1123"/>
      <c r="CJ844" s="1123"/>
      <c r="CK844" s="1123"/>
      <c r="CL844" s="1123"/>
      <c r="CM844" s="1123"/>
      <c r="CN844" s="1123"/>
      <c r="CO844" s="1123"/>
      <c r="CP844" s="1123"/>
      <c r="CQ844" s="1123"/>
      <c r="CR844" s="1123"/>
      <c r="CS844" s="1123"/>
      <c r="CT844" s="1123"/>
      <c r="CU844" s="1123"/>
      <c r="CV844" s="1123"/>
      <c r="CW844" s="1123"/>
      <c r="CX844" s="1123"/>
      <c r="CY844" s="1123"/>
      <c r="CZ844" s="1114"/>
      <c r="DA844" s="1114"/>
      <c r="DB844" s="1114"/>
      <c r="DC844" s="1114"/>
      <c r="DD844" s="1114"/>
      <c r="DE844" s="1114"/>
      <c r="DF844" s="1114"/>
      <c r="DG844" s="1114"/>
      <c r="DH844" s="1114"/>
      <c r="DI844" s="1114"/>
      <c r="DJ844" s="1114"/>
      <c r="DK844" s="1114"/>
      <c r="DL844" s="1114"/>
      <c r="DM844" s="1114"/>
      <c r="DN844" s="1114"/>
      <c r="DO844" s="1114"/>
      <c r="DP844" s="1114"/>
      <c r="DQ844" s="1114"/>
      <c r="DR844" s="1114"/>
      <c r="DS844" s="1114"/>
      <c r="DT844" s="1114"/>
      <c r="DU844" s="1114"/>
      <c r="DV844" s="1115"/>
      <c r="DW844" s="1116"/>
      <c r="DX844" s="1116"/>
      <c r="DY844" s="1116"/>
      <c r="DZ844" s="1116"/>
      <c r="EA844" s="1116"/>
      <c r="EB844" s="1116"/>
      <c r="EC844" s="1116"/>
      <c r="ED844" s="1116"/>
      <c r="EE844" s="1116"/>
      <c r="EF844" s="1116"/>
      <c r="EG844" s="1116"/>
      <c r="EH844" s="1116"/>
      <c r="EI844" s="1116"/>
      <c r="EJ844" s="1116"/>
      <c r="EK844" s="1116"/>
      <c r="EL844" s="1116"/>
      <c r="EM844" s="1116"/>
      <c r="EN844" s="1116"/>
      <c r="EO844" s="1116"/>
      <c r="EP844" s="1116"/>
      <c r="EQ844" s="1116"/>
      <c r="ER844" s="1116"/>
      <c r="ES844" s="1116"/>
    </row>
    <row r="845" spans="1:149" ht="15" customHeight="1">
      <c r="A845" s="1185">
        <v>835</v>
      </c>
      <c r="B845" s="1041"/>
      <c r="C845" s="1050"/>
      <c r="D845" s="1050"/>
      <c r="E845" s="1050"/>
      <c r="F845" s="1049"/>
      <c r="G845" s="1049"/>
      <c r="H845" s="1049"/>
      <c r="I845" s="1049"/>
      <c r="J845" s="1050"/>
      <c r="K845" s="1050"/>
      <c r="L845" s="1043"/>
      <c r="M845" s="1051"/>
      <c r="N845" s="1051"/>
      <c r="O845" s="1052"/>
      <c r="P845" s="1051"/>
      <c r="Q845" s="1051"/>
      <c r="R845" s="1052"/>
      <c r="S845" s="1051"/>
      <c r="T845" s="1051"/>
      <c r="U845" s="1052"/>
      <c r="V845" s="1051"/>
      <c r="W845" s="1051"/>
      <c r="X845" s="1052"/>
      <c r="Y845" s="1053"/>
      <c r="Z845" s="1051"/>
      <c r="AA845" s="1051"/>
      <c r="AB845" s="1052"/>
      <c r="AC845" s="1051"/>
      <c r="AD845" s="1051"/>
      <c r="AE845" s="1052"/>
      <c r="AF845" s="1051"/>
      <c r="AG845" s="1051"/>
      <c r="AH845" s="1051"/>
      <c r="AI845" s="1051"/>
      <c r="AJ845" s="1052"/>
      <c r="AK845" s="1051"/>
      <c r="AL845" s="1051"/>
      <c r="AM845" s="1052"/>
      <c r="AN845" s="1051"/>
      <c r="AO845" s="1051"/>
      <c r="AP845" s="1052"/>
      <c r="AQ845" s="1051"/>
      <c r="AR845" s="1051"/>
      <c r="AS845" s="1052"/>
      <c r="AT845" s="1051"/>
      <c r="AU845" s="1051"/>
      <c r="AV845" s="1052"/>
      <c r="AW845" s="1051"/>
      <c r="AX845" s="1051"/>
      <c r="AY845" s="1053"/>
      <c r="AZ845" s="1051"/>
      <c r="BA845" s="1051"/>
      <c r="BB845" s="1053"/>
      <c r="BC845" s="1051"/>
      <c r="BD845" s="1051"/>
      <c r="BE845" s="1053"/>
      <c r="BF845" s="1051"/>
      <c r="BG845" s="1051"/>
      <c r="BH845" s="1053"/>
      <c r="BI845" s="1052"/>
      <c r="BJ845" s="1052"/>
      <c r="BK845" s="1052"/>
      <c r="BL845" s="1052"/>
      <c r="BM845" s="1052"/>
      <c r="BN845" s="1054"/>
      <c r="BO845" s="1076">
        <f t="shared" si="14"/>
        <v>0</v>
      </c>
      <c r="BP845" s="1051"/>
      <c r="BQ845" s="1052"/>
      <c r="BR845" s="1054"/>
      <c r="BS845" s="1053"/>
      <c r="BT845" s="1051"/>
      <c r="BU845" s="1051"/>
      <c r="BV845" s="1051"/>
      <c r="BW845" s="1052"/>
      <c r="BX845" s="1052"/>
      <c r="BY845" s="1052"/>
      <c r="BZ845" s="1052"/>
      <c r="CA845" s="1052"/>
      <c r="CB845" s="1053"/>
      <c r="CC845" s="1053"/>
      <c r="CD845" s="1053"/>
      <c r="CE845" s="1053"/>
      <c r="CF845" s="1053"/>
      <c r="CG845" s="1053"/>
      <c r="CH845" s="1053"/>
      <c r="CI845" s="1123"/>
      <c r="CJ845" s="1123"/>
      <c r="CK845" s="1123"/>
      <c r="CL845" s="1123"/>
      <c r="CM845" s="1123"/>
      <c r="CN845" s="1123"/>
      <c r="CO845" s="1123"/>
      <c r="CP845" s="1123"/>
      <c r="CQ845" s="1123"/>
      <c r="CR845" s="1123"/>
      <c r="CS845" s="1123"/>
      <c r="CT845" s="1123"/>
      <c r="CU845" s="1123"/>
      <c r="CV845" s="1123"/>
      <c r="CW845" s="1123"/>
      <c r="CX845" s="1123"/>
      <c r="CY845" s="1123"/>
      <c r="CZ845" s="1114"/>
      <c r="DA845" s="1114"/>
      <c r="DB845" s="1114"/>
      <c r="DC845" s="1114"/>
      <c r="DD845" s="1114"/>
      <c r="DE845" s="1114"/>
      <c r="DF845" s="1114"/>
      <c r="DG845" s="1114"/>
      <c r="DH845" s="1114"/>
      <c r="DI845" s="1114"/>
      <c r="DJ845" s="1114"/>
      <c r="DK845" s="1114"/>
      <c r="DL845" s="1114"/>
      <c r="DM845" s="1114"/>
      <c r="DN845" s="1114"/>
      <c r="DO845" s="1114"/>
      <c r="DP845" s="1114"/>
      <c r="DQ845" s="1114"/>
      <c r="DR845" s="1114"/>
      <c r="DS845" s="1114"/>
      <c r="DT845" s="1114"/>
      <c r="DU845" s="1114"/>
      <c r="DV845" s="1115"/>
      <c r="DW845" s="1116"/>
      <c r="DX845" s="1116"/>
      <c r="DY845" s="1116"/>
      <c r="DZ845" s="1116"/>
      <c r="EA845" s="1116"/>
      <c r="EB845" s="1116"/>
      <c r="EC845" s="1116"/>
      <c r="ED845" s="1116"/>
      <c r="EE845" s="1116"/>
      <c r="EF845" s="1116"/>
      <c r="EG845" s="1116"/>
      <c r="EH845" s="1116"/>
      <c r="EI845" s="1116"/>
      <c r="EJ845" s="1116"/>
      <c r="EK845" s="1116"/>
      <c r="EL845" s="1116"/>
      <c r="EM845" s="1116"/>
      <c r="EN845" s="1116"/>
      <c r="EO845" s="1116"/>
      <c r="EP845" s="1116"/>
      <c r="EQ845" s="1116"/>
      <c r="ER845" s="1116"/>
      <c r="ES845" s="1116"/>
    </row>
    <row r="846" spans="1:149" ht="15" customHeight="1">
      <c r="A846" s="1185">
        <v>836</v>
      </c>
      <c r="B846" s="1041"/>
      <c r="C846" s="1050"/>
      <c r="D846" s="1050"/>
      <c r="E846" s="1050"/>
      <c r="F846" s="1049"/>
      <c r="G846" s="1049"/>
      <c r="H846" s="1049"/>
      <c r="I846" s="1049"/>
      <c r="J846" s="1050"/>
      <c r="K846" s="1050"/>
      <c r="L846" s="1043"/>
      <c r="M846" s="1051"/>
      <c r="N846" s="1051"/>
      <c r="O846" s="1052"/>
      <c r="P846" s="1051"/>
      <c r="Q846" s="1051"/>
      <c r="R846" s="1052"/>
      <c r="S846" s="1051"/>
      <c r="T846" s="1051"/>
      <c r="U846" s="1052"/>
      <c r="V846" s="1051"/>
      <c r="W846" s="1051"/>
      <c r="X846" s="1052"/>
      <c r="Y846" s="1053"/>
      <c r="Z846" s="1051"/>
      <c r="AA846" s="1051"/>
      <c r="AB846" s="1052"/>
      <c r="AC846" s="1051"/>
      <c r="AD846" s="1051"/>
      <c r="AE846" s="1052"/>
      <c r="AF846" s="1051"/>
      <c r="AG846" s="1051"/>
      <c r="AH846" s="1051"/>
      <c r="AI846" s="1051"/>
      <c r="AJ846" s="1052"/>
      <c r="AK846" s="1051"/>
      <c r="AL846" s="1051"/>
      <c r="AM846" s="1052"/>
      <c r="AN846" s="1051"/>
      <c r="AO846" s="1051"/>
      <c r="AP846" s="1052"/>
      <c r="AQ846" s="1051"/>
      <c r="AR846" s="1051"/>
      <c r="AS846" s="1052"/>
      <c r="AT846" s="1051"/>
      <c r="AU846" s="1051"/>
      <c r="AV846" s="1052"/>
      <c r="AW846" s="1051"/>
      <c r="AX846" s="1051"/>
      <c r="AY846" s="1053"/>
      <c r="AZ846" s="1051"/>
      <c r="BA846" s="1051"/>
      <c r="BB846" s="1053"/>
      <c r="BC846" s="1051"/>
      <c r="BD846" s="1051"/>
      <c r="BE846" s="1053"/>
      <c r="BF846" s="1051"/>
      <c r="BG846" s="1051"/>
      <c r="BH846" s="1053"/>
      <c r="BI846" s="1052"/>
      <c r="BJ846" s="1052"/>
      <c r="BK846" s="1052"/>
      <c r="BL846" s="1052"/>
      <c r="BM846" s="1052"/>
      <c r="BN846" s="1054"/>
      <c r="BO846" s="1076">
        <f t="shared" si="14"/>
        <v>0</v>
      </c>
      <c r="BP846" s="1051"/>
      <c r="BQ846" s="1052"/>
      <c r="BR846" s="1054"/>
      <c r="BS846" s="1053"/>
      <c r="BT846" s="1051"/>
      <c r="BU846" s="1051"/>
      <c r="BV846" s="1051"/>
      <c r="BW846" s="1052"/>
      <c r="BX846" s="1052"/>
      <c r="BY846" s="1052"/>
      <c r="BZ846" s="1052"/>
      <c r="CA846" s="1052"/>
      <c r="CB846" s="1053"/>
      <c r="CC846" s="1053"/>
      <c r="CD846" s="1053"/>
      <c r="CE846" s="1053"/>
      <c r="CF846" s="1053"/>
      <c r="CG846" s="1053"/>
      <c r="CH846" s="1053"/>
      <c r="CI846" s="1123"/>
      <c r="CJ846" s="1123"/>
      <c r="CK846" s="1123"/>
      <c r="CL846" s="1123"/>
      <c r="CM846" s="1123"/>
      <c r="CN846" s="1123"/>
      <c r="CO846" s="1123"/>
      <c r="CP846" s="1123"/>
      <c r="CQ846" s="1123"/>
      <c r="CR846" s="1123"/>
      <c r="CS846" s="1123"/>
      <c r="CT846" s="1123"/>
      <c r="CU846" s="1123"/>
      <c r="CV846" s="1123"/>
      <c r="CW846" s="1123"/>
      <c r="CX846" s="1123"/>
      <c r="CY846" s="1123"/>
      <c r="CZ846" s="1114"/>
      <c r="DA846" s="1114"/>
      <c r="DB846" s="1114"/>
      <c r="DC846" s="1114"/>
      <c r="DD846" s="1114"/>
      <c r="DE846" s="1114"/>
      <c r="DF846" s="1114"/>
      <c r="DG846" s="1114"/>
      <c r="DH846" s="1114"/>
      <c r="DI846" s="1114"/>
      <c r="DJ846" s="1114"/>
      <c r="DK846" s="1114"/>
      <c r="DL846" s="1114"/>
      <c r="DM846" s="1114"/>
      <c r="DN846" s="1114"/>
      <c r="DO846" s="1114"/>
      <c r="DP846" s="1114"/>
      <c r="DQ846" s="1114"/>
      <c r="DR846" s="1114"/>
      <c r="DS846" s="1114"/>
      <c r="DT846" s="1114"/>
      <c r="DU846" s="1114"/>
      <c r="DV846" s="1115"/>
      <c r="DW846" s="1116"/>
      <c r="DX846" s="1116"/>
      <c r="DY846" s="1116"/>
      <c r="DZ846" s="1116"/>
      <c r="EA846" s="1116"/>
      <c r="EB846" s="1116"/>
      <c r="EC846" s="1116"/>
      <c r="ED846" s="1116"/>
      <c r="EE846" s="1116"/>
      <c r="EF846" s="1116"/>
      <c r="EG846" s="1116"/>
      <c r="EH846" s="1116"/>
      <c r="EI846" s="1116"/>
      <c r="EJ846" s="1116"/>
      <c r="EK846" s="1116"/>
      <c r="EL846" s="1116"/>
      <c r="EM846" s="1116"/>
      <c r="EN846" s="1116"/>
      <c r="EO846" s="1116"/>
      <c r="EP846" s="1116"/>
      <c r="EQ846" s="1116"/>
      <c r="ER846" s="1116"/>
      <c r="ES846" s="1116"/>
    </row>
    <row r="847" spans="1:149" ht="15" customHeight="1">
      <c r="A847" s="1185">
        <v>837</v>
      </c>
      <c r="B847" s="1041"/>
      <c r="C847" s="1050"/>
      <c r="D847" s="1050"/>
      <c r="E847" s="1050"/>
      <c r="F847" s="1049"/>
      <c r="G847" s="1049"/>
      <c r="H847" s="1049"/>
      <c r="I847" s="1049"/>
      <c r="J847" s="1050"/>
      <c r="K847" s="1050"/>
      <c r="L847" s="1043"/>
      <c r="M847" s="1051"/>
      <c r="N847" s="1051"/>
      <c r="O847" s="1052"/>
      <c r="P847" s="1051"/>
      <c r="Q847" s="1051"/>
      <c r="R847" s="1052"/>
      <c r="S847" s="1051"/>
      <c r="T847" s="1051"/>
      <c r="U847" s="1052"/>
      <c r="V847" s="1051"/>
      <c r="W847" s="1051"/>
      <c r="X847" s="1052"/>
      <c r="Y847" s="1053"/>
      <c r="Z847" s="1051"/>
      <c r="AA847" s="1051"/>
      <c r="AB847" s="1052"/>
      <c r="AC847" s="1051"/>
      <c r="AD847" s="1051"/>
      <c r="AE847" s="1052"/>
      <c r="AF847" s="1051"/>
      <c r="AG847" s="1051"/>
      <c r="AH847" s="1051"/>
      <c r="AI847" s="1051"/>
      <c r="AJ847" s="1052"/>
      <c r="AK847" s="1051"/>
      <c r="AL847" s="1051"/>
      <c r="AM847" s="1052"/>
      <c r="AN847" s="1051"/>
      <c r="AO847" s="1051"/>
      <c r="AP847" s="1052"/>
      <c r="AQ847" s="1051"/>
      <c r="AR847" s="1051"/>
      <c r="AS847" s="1052"/>
      <c r="AT847" s="1051"/>
      <c r="AU847" s="1051"/>
      <c r="AV847" s="1052"/>
      <c r="AW847" s="1051"/>
      <c r="AX847" s="1051"/>
      <c r="AY847" s="1053"/>
      <c r="AZ847" s="1051"/>
      <c r="BA847" s="1051"/>
      <c r="BB847" s="1053"/>
      <c r="BC847" s="1051"/>
      <c r="BD847" s="1051"/>
      <c r="BE847" s="1053"/>
      <c r="BF847" s="1051"/>
      <c r="BG847" s="1051"/>
      <c r="BH847" s="1053"/>
      <c r="BI847" s="1052"/>
      <c r="BJ847" s="1052"/>
      <c r="BK847" s="1052"/>
      <c r="BL847" s="1052"/>
      <c r="BM847" s="1052"/>
      <c r="BN847" s="1054"/>
      <c r="BO847" s="1076">
        <f t="shared" si="14"/>
        <v>0</v>
      </c>
      <c r="BP847" s="1051"/>
      <c r="BQ847" s="1052"/>
      <c r="BR847" s="1054"/>
      <c r="BS847" s="1053"/>
      <c r="BT847" s="1051"/>
      <c r="BU847" s="1051"/>
      <c r="BV847" s="1051"/>
      <c r="BW847" s="1052"/>
      <c r="BX847" s="1052"/>
      <c r="BY847" s="1052"/>
      <c r="BZ847" s="1052"/>
      <c r="CA847" s="1052"/>
      <c r="CB847" s="1053"/>
      <c r="CC847" s="1053"/>
      <c r="CD847" s="1053"/>
      <c r="CE847" s="1053"/>
      <c r="CF847" s="1053"/>
      <c r="CG847" s="1053"/>
      <c r="CH847" s="1053"/>
      <c r="CI847" s="1123"/>
      <c r="CJ847" s="1123"/>
      <c r="CK847" s="1123"/>
      <c r="CL847" s="1123"/>
      <c r="CM847" s="1123"/>
      <c r="CN847" s="1123"/>
      <c r="CO847" s="1123"/>
      <c r="CP847" s="1123"/>
      <c r="CQ847" s="1123"/>
      <c r="CR847" s="1123"/>
      <c r="CS847" s="1123"/>
      <c r="CT847" s="1123"/>
      <c r="CU847" s="1123"/>
      <c r="CV847" s="1123"/>
      <c r="CW847" s="1123"/>
      <c r="CX847" s="1123"/>
      <c r="CY847" s="1123"/>
      <c r="CZ847" s="1114"/>
      <c r="DA847" s="1114"/>
      <c r="DB847" s="1114"/>
      <c r="DC847" s="1114"/>
      <c r="DD847" s="1114"/>
      <c r="DE847" s="1114"/>
      <c r="DF847" s="1114"/>
      <c r="DG847" s="1114"/>
      <c r="DH847" s="1114"/>
      <c r="DI847" s="1114"/>
      <c r="DJ847" s="1114"/>
      <c r="DK847" s="1114"/>
      <c r="DL847" s="1114"/>
      <c r="DM847" s="1114"/>
      <c r="DN847" s="1114"/>
      <c r="DO847" s="1114"/>
      <c r="DP847" s="1114"/>
      <c r="DQ847" s="1114"/>
      <c r="DR847" s="1114"/>
      <c r="DS847" s="1114"/>
      <c r="DT847" s="1114"/>
      <c r="DU847" s="1114"/>
      <c r="DV847" s="1115"/>
      <c r="DW847" s="1116"/>
      <c r="DX847" s="1116"/>
      <c r="DY847" s="1116"/>
      <c r="DZ847" s="1116"/>
      <c r="EA847" s="1116"/>
      <c r="EB847" s="1116"/>
      <c r="EC847" s="1116"/>
      <c r="ED847" s="1116"/>
      <c r="EE847" s="1116"/>
      <c r="EF847" s="1116"/>
      <c r="EG847" s="1116"/>
      <c r="EH847" s="1116"/>
      <c r="EI847" s="1116"/>
      <c r="EJ847" s="1116"/>
      <c r="EK847" s="1116"/>
      <c r="EL847" s="1116"/>
      <c r="EM847" s="1116"/>
      <c r="EN847" s="1116"/>
      <c r="EO847" s="1116"/>
      <c r="EP847" s="1116"/>
      <c r="EQ847" s="1116"/>
      <c r="ER847" s="1116"/>
      <c r="ES847" s="1116"/>
    </row>
    <row r="848" spans="1:149" ht="15" customHeight="1">
      <c r="A848" s="1185">
        <v>838</v>
      </c>
      <c r="B848" s="1041"/>
      <c r="C848" s="1050"/>
      <c r="D848" s="1050"/>
      <c r="E848" s="1050"/>
      <c r="F848" s="1049"/>
      <c r="G848" s="1049"/>
      <c r="H848" s="1049"/>
      <c r="I848" s="1049"/>
      <c r="J848" s="1050"/>
      <c r="K848" s="1050"/>
      <c r="L848" s="1043"/>
      <c r="M848" s="1051"/>
      <c r="N848" s="1051"/>
      <c r="O848" s="1052"/>
      <c r="P848" s="1051"/>
      <c r="Q848" s="1051"/>
      <c r="R848" s="1052"/>
      <c r="S848" s="1051"/>
      <c r="T848" s="1051"/>
      <c r="U848" s="1052"/>
      <c r="V848" s="1051"/>
      <c r="W848" s="1051"/>
      <c r="X848" s="1052"/>
      <c r="Y848" s="1053"/>
      <c r="Z848" s="1051"/>
      <c r="AA848" s="1051"/>
      <c r="AB848" s="1052"/>
      <c r="AC848" s="1051"/>
      <c r="AD848" s="1051"/>
      <c r="AE848" s="1052"/>
      <c r="AF848" s="1051"/>
      <c r="AG848" s="1051"/>
      <c r="AH848" s="1051"/>
      <c r="AI848" s="1051"/>
      <c r="AJ848" s="1052"/>
      <c r="AK848" s="1051"/>
      <c r="AL848" s="1051"/>
      <c r="AM848" s="1052"/>
      <c r="AN848" s="1051"/>
      <c r="AO848" s="1051"/>
      <c r="AP848" s="1052"/>
      <c r="AQ848" s="1051"/>
      <c r="AR848" s="1051"/>
      <c r="AS848" s="1052"/>
      <c r="AT848" s="1051"/>
      <c r="AU848" s="1051"/>
      <c r="AV848" s="1052"/>
      <c r="AW848" s="1051"/>
      <c r="AX848" s="1051"/>
      <c r="AY848" s="1053"/>
      <c r="AZ848" s="1051"/>
      <c r="BA848" s="1051"/>
      <c r="BB848" s="1053"/>
      <c r="BC848" s="1051"/>
      <c r="BD848" s="1051"/>
      <c r="BE848" s="1053"/>
      <c r="BF848" s="1051"/>
      <c r="BG848" s="1051"/>
      <c r="BH848" s="1053"/>
      <c r="BI848" s="1052"/>
      <c r="BJ848" s="1052"/>
      <c r="BK848" s="1052"/>
      <c r="BL848" s="1052"/>
      <c r="BM848" s="1052"/>
      <c r="BN848" s="1054"/>
      <c r="BO848" s="1076">
        <f t="shared" si="14"/>
        <v>0</v>
      </c>
      <c r="BP848" s="1051"/>
      <c r="BQ848" s="1052"/>
      <c r="BR848" s="1054"/>
      <c r="BS848" s="1053"/>
      <c r="BT848" s="1051"/>
      <c r="BU848" s="1051"/>
      <c r="BV848" s="1051"/>
      <c r="BW848" s="1052"/>
      <c r="BX848" s="1052"/>
      <c r="BY848" s="1052"/>
      <c r="BZ848" s="1052"/>
      <c r="CA848" s="1052"/>
      <c r="CB848" s="1053"/>
      <c r="CC848" s="1053"/>
      <c r="CD848" s="1053"/>
      <c r="CE848" s="1053"/>
      <c r="CF848" s="1053"/>
      <c r="CG848" s="1053"/>
      <c r="CH848" s="1053"/>
      <c r="CI848" s="1123"/>
      <c r="CJ848" s="1123"/>
      <c r="CK848" s="1123"/>
      <c r="CL848" s="1123"/>
      <c r="CM848" s="1123"/>
      <c r="CN848" s="1123"/>
      <c r="CO848" s="1123"/>
      <c r="CP848" s="1123"/>
      <c r="CQ848" s="1123"/>
      <c r="CR848" s="1123"/>
      <c r="CS848" s="1123"/>
      <c r="CT848" s="1123"/>
      <c r="CU848" s="1123"/>
      <c r="CV848" s="1123"/>
      <c r="CW848" s="1123"/>
      <c r="CX848" s="1123"/>
      <c r="CY848" s="1123"/>
      <c r="CZ848" s="1114"/>
      <c r="DA848" s="1114"/>
      <c r="DB848" s="1114"/>
      <c r="DC848" s="1114"/>
      <c r="DD848" s="1114"/>
      <c r="DE848" s="1114"/>
      <c r="DF848" s="1114"/>
      <c r="DG848" s="1114"/>
      <c r="DH848" s="1114"/>
      <c r="DI848" s="1114"/>
      <c r="DJ848" s="1114"/>
      <c r="DK848" s="1114"/>
      <c r="DL848" s="1114"/>
      <c r="DM848" s="1114"/>
      <c r="DN848" s="1114"/>
      <c r="DO848" s="1114"/>
      <c r="DP848" s="1114"/>
      <c r="DQ848" s="1114"/>
      <c r="DR848" s="1114"/>
      <c r="DS848" s="1114"/>
      <c r="DT848" s="1114"/>
      <c r="DU848" s="1114"/>
      <c r="DV848" s="1115"/>
      <c r="DW848" s="1116"/>
      <c r="DX848" s="1116"/>
      <c r="DY848" s="1116"/>
      <c r="DZ848" s="1116"/>
      <c r="EA848" s="1116"/>
      <c r="EB848" s="1116"/>
      <c r="EC848" s="1116"/>
      <c r="ED848" s="1116"/>
      <c r="EE848" s="1116"/>
      <c r="EF848" s="1116"/>
      <c r="EG848" s="1116"/>
      <c r="EH848" s="1116"/>
      <c r="EI848" s="1116"/>
      <c r="EJ848" s="1116"/>
      <c r="EK848" s="1116"/>
      <c r="EL848" s="1116"/>
      <c r="EM848" s="1116"/>
      <c r="EN848" s="1116"/>
      <c r="EO848" s="1116"/>
      <c r="EP848" s="1116"/>
      <c r="EQ848" s="1116"/>
      <c r="ER848" s="1116"/>
      <c r="ES848" s="1116"/>
    </row>
    <row r="849" spans="1:149" ht="15" customHeight="1">
      <c r="A849" s="1185">
        <v>839</v>
      </c>
      <c r="B849" s="1041"/>
      <c r="C849" s="1050"/>
      <c r="D849" s="1050"/>
      <c r="E849" s="1050"/>
      <c r="F849" s="1049"/>
      <c r="G849" s="1049"/>
      <c r="H849" s="1049"/>
      <c r="I849" s="1049"/>
      <c r="J849" s="1050"/>
      <c r="K849" s="1050"/>
      <c r="L849" s="1043"/>
      <c r="M849" s="1051"/>
      <c r="N849" s="1051"/>
      <c r="O849" s="1052"/>
      <c r="P849" s="1051"/>
      <c r="Q849" s="1051"/>
      <c r="R849" s="1052"/>
      <c r="S849" s="1051"/>
      <c r="T849" s="1051"/>
      <c r="U849" s="1052"/>
      <c r="V849" s="1051"/>
      <c r="W849" s="1051"/>
      <c r="X849" s="1052"/>
      <c r="Y849" s="1053"/>
      <c r="Z849" s="1051"/>
      <c r="AA849" s="1051"/>
      <c r="AB849" s="1052"/>
      <c r="AC849" s="1051"/>
      <c r="AD849" s="1051"/>
      <c r="AE849" s="1052"/>
      <c r="AF849" s="1051"/>
      <c r="AG849" s="1051"/>
      <c r="AH849" s="1051"/>
      <c r="AI849" s="1051"/>
      <c r="AJ849" s="1052"/>
      <c r="AK849" s="1051"/>
      <c r="AL849" s="1051"/>
      <c r="AM849" s="1052"/>
      <c r="AN849" s="1051"/>
      <c r="AO849" s="1051"/>
      <c r="AP849" s="1052"/>
      <c r="AQ849" s="1051"/>
      <c r="AR849" s="1051"/>
      <c r="AS849" s="1052"/>
      <c r="AT849" s="1051"/>
      <c r="AU849" s="1051"/>
      <c r="AV849" s="1052"/>
      <c r="AW849" s="1051"/>
      <c r="AX849" s="1051"/>
      <c r="AY849" s="1053"/>
      <c r="AZ849" s="1051"/>
      <c r="BA849" s="1051"/>
      <c r="BB849" s="1053"/>
      <c r="BC849" s="1051"/>
      <c r="BD849" s="1051"/>
      <c r="BE849" s="1053"/>
      <c r="BF849" s="1051"/>
      <c r="BG849" s="1051"/>
      <c r="BH849" s="1053"/>
      <c r="BI849" s="1052"/>
      <c r="BJ849" s="1052"/>
      <c r="BK849" s="1052"/>
      <c r="BL849" s="1052"/>
      <c r="BM849" s="1052"/>
      <c r="BN849" s="1054"/>
      <c r="BO849" s="1076">
        <f t="shared" si="14"/>
        <v>0</v>
      </c>
      <c r="BP849" s="1051"/>
      <c r="BQ849" s="1052"/>
      <c r="BR849" s="1054"/>
      <c r="BS849" s="1053"/>
      <c r="BT849" s="1051"/>
      <c r="BU849" s="1051"/>
      <c r="BV849" s="1051"/>
      <c r="BW849" s="1052"/>
      <c r="BX849" s="1052"/>
      <c r="BY849" s="1052"/>
      <c r="BZ849" s="1052"/>
      <c r="CA849" s="1052"/>
      <c r="CB849" s="1053"/>
      <c r="CC849" s="1053"/>
      <c r="CD849" s="1053"/>
      <c r="CE849" s="1053"/>
      <c r="CF849" s="1053"/>
      <c r="CG849" s="1053"/>
      <c r="CH849" s="1053"/>
      <c r="CI849" s="1123"/>
      <c r="CJ849" s="1123"/>
      <c r="CK849" s="1123"/>
      <c r="CL849" s="1123"/>
      <c r="CM849" s="1123"/>
      <c r="CN849" s="1123"/>
      <c r="CO849" s="1123"/>
      <c r="CP849" s="1123"/>
      <c r="CQ849" s="1123"/>
      <c r="CR849" s="1123"/>
      <c r="CS849" s="1123"/>
      <c r="CT849" s="1123"/>
      <c r="CU849" s="1123"/>
      <c r="CV849" s="1123"/>
      <c r="CW849" s="1123"/>
      <c r="CX849" s="1123"/>
      <c r="CY849" s="1123"/>
      <c r="CZ849" s="1114"/>
      <c r="DA849" s="1114"/>
      <c r="DB849" s="1114"/>
      <c r="DC849" s="1114"/>
      <c r="DD849" s="1114"/>
      <c r="DE849" s="1114"/>
      <c r="DF849" s="1114"/>
      <c r="DG849" s="1114"/>
      <c r="DH849" s="1114"/>
      <c r="DI849" s="1114"/>
      <c r="DJ849" s="1114"/>
      <c r="DK849" s="1114"/>
      <c r="DL849" s="1114"/>
      <c r="DM849" s="1114"/>
      <c r="DN849" s="1114"/>
      <c r="DO849" s="1114"/>
      <c r="DP849" s="1114"/>
      <c r="DQ849" s="1114"/>
      <c r="DR849" s="1114"/>
      <c r="DS849" s="1114"/>
      <c r="DT849" s="1114"/>
      <c r="DU849" s="1114"/>
      <c r="DV849" s="1115"/>
      <c r="DW849" s="1116"/>
      <c r="DX849" s="1116"/>
      <c r="DY849" s="1116"/>
      <c r="DZ849" s="1116"/>
      <c r="EA849" s="1116"/>
      <c r="EB849" s="1116"/>
      <c r="EC849" s="1116"/>
      <c r="ED849" s="1116"/>
      <c r="EE849" s="1116"/>
      <c r="EF849" s="1116"/>
      <c r="EG849" s="1116"/>
      <c r="EH849" s="1116"/>
      <c r="EI849" s="1116"/>
      <c r="EJ849" s="1116"/>
      <c r="EK849" s="1116"/>
      <c r="EL849" s="1116"/>
      <c r="EM849" s="1116"/>
      <c r="EN849" s="1116"/>
      <c r="EO849" s="1116"/>
      <c r="EP849" s="1116"/>
      <c r="EQ849" s="1116"/>
      <c r="ER849" s="1116"/>
      <c r="ES849" s="1116"/>
    </row>
    <row r="850" spans="1:149" ht="15" customHeight="1">
      <c r="A850" s="1185">
        <v>840</v>
      </c>
      <c r="B850" s="1041"/>
      <c r="C850" s="1050"/>
      <c r="D850" s="1050"/>
      <c r="E850" s="1050"/>
      <c r="F850" s="1049"/>
      <c r="G850" s="1049"/>
      <c r="H850" s="1049"/>
      <c r="I850" s="1049"/>
      <c r="J850" s="1050"/>
      <c r="K850" s="1050"/>
      <c r="L850" s="1043"/>
      <c r="M850" s="1051"/>
      <c r="N850" s="1051"/>
      <c r="O850" s="1052"/>
      <c r="P850" s="1051"/>
      <c r="Q850" s="1051"/>
      <c r="R850" s="1052"/>
      <c r="S850" s="1051"/>
      <c r="T850" s="1051"/>
      <c r="U850" s="1052"/>
      <c r="V850" s="1051"/>
      <c r="W850" s="1051"/>
      <c r="X850" s="1052"/>
      <c r="Y850" s="1053"/>
      <c r="Z850" s="1051"/>
      <c r="AA850" s="1051"/>
      <c r="AB850" s="1052"/>
      <c r="AC850" s="1051"/>
      <c r="AD850" s="1051"/>
      <c r="AE850" s="1052"/>
      <c r="AF850" s="1051"/>
      <c r="AG850" s="1051"/>
      <c r="AH850" s="1051"/>
      <c r="AI850" s="1051"/>
      <c r="AJ850" s="1052"/>
      <c r="AK850" s="1051"/>
      <c r="AL850" s="1051"/>
      <c r="AM850" s="1052"/>
      <c r="AN850" s="1051"/>
      <c r="AO850" s="1051"/>
      <c r="AP850" s="1052"/>
      <c r="AQ850" s="1051"/>
      <c r="AR850" s="1051"/>
      <c r="AS850" s="1052"/>
      <c r="AT850" s="1051"/>
      <c r="AU850" s="1051"/>
      <c r="AV850" s="1052"/>
      <c r="AW850" s="1051"/>
      <c r="AX850" s="1051"/>
      <c r="AY850" s="1053"/>
      <c r="AZ850" s="1051"/>
      <c r="BA850" s="1051"/>
      <c r="BB850" s="1053"/>
      <c r="BC850" s="1051"/>
      <c r="BD850" s="1051"/>
      <c r="BE850" s="1053"/>
      <c r="BF850" s="1051"/>
      <c r="BG850" s="1051"/>
      <c r="BH850" s="1053"/>
      <c r="BI850" s="1052"/>
      <c r="BJ850" s="1052"/>
      <c r="BK850" s="1052"/>
      <c r="BL850" s="1052"/>
      <c r="BM850" s="1052"/>
      <c r="BN850" s="1054"/>
      <c r="BO850" s="1076">
        <f t="shared" si="14"/>
        <v>0</v>
      </c>
      <c r="BP850" s="1051"/>
      <c r="BQ850" s="1052"/>
      <c r="BR850" s="1054"/>
      <c r="BS850" s="1053"/>
      <c r="BT850" s="1051"/>
      <c r="BU850" s="1051"/>
      <c r="BV850" s="1051"/>
      <c r="BW850" s="1052"/>
      <c r="BX850" s="1052"/>
      <c r="BY850" s="1052"/>
      <c r="BZ850" s="1052"/>
      <c r="CA850" s="1052"/>
      <c r="CB850" s="1053"/>
      <c r="CC850" s="1053"/>
      <c r="CD850" s="1053"/>
      <c r="CE850" s="1053"/>
      <c r="CF850" s="1053"/>
      <c r="CG850" s="1053"/>
      <c r="CH850" s="1053"/>
      <c r="CI850" s="1123"/>
      <c r="CJ850" s="1123"/>
      <c r="CK850" s="1123"/>
      <c r="CL850" s="1123"/>
      <c r="CM850" s="1123"/>
      <c r="CN850" s="1123"/>
      <c r="CO850" s="1123"/>
      <c r="CP850" s="1123"/>
      <c r="CQ850" s="1123"/>
      <c r="CR850" s="1123"/>
      <c r="CS850" s="1123"/>
      <c r="CT850" s="1123"/>
      <c r="CU850" s="1123"/>
      <c r="CV850" s="1123"/>
      <c r="CW850" s="1123"/>
      <c r="CX850" s="1123"/>
      <c r="CY850" s="1123"/>
      <c r="CZ850" s="1114"/>
      <c r="DA850" s="1114"/>
      <c r="DB850" s="1114"/>
      <c r="DC850" s="1114"/>
      <c r="DD850" s="1114"/>
      <c r="DE850" s="1114"/>
      <c r="DF850" s="1114"/>
      <c r="DG850" s="1114"/>
      <c r="DH850" s="1114"/>
      <c r="DI850" s="1114"/>
      <c r="DJ850" s="1114"/>
      <c r="DK850" s="1114"/>
      <c r="DL850" s="1114"/>
      <c r="DM850" s="1114"/>
      <c r="DN850" s="1114"/>
      <c r="DO850" s="1114"/>
      <c r="DP850" s="1114"/>
      <c r="DQ850" s="1114"/>
      <c r="DR850" s="1114"/>
      <c r="DS850" s="1114"/>
      <c r="DT850" s="1114"/>
      <c r="DU850" s="1114"/>
      <c r="DV850" s="1115"/>
      <c r="DW850" s="1116"/>
      <c r="DX850" s="1116"/>
      <c r="DY850" s="1116"/>
      <c r="DZ850" s="1116"/>
      <c r="EA850" s="1116"/>
      <c r="EB850" s="1116"/>
      <c r="EC850" s="1116"/>
      <c r="ED850" s="1116"/>
      <c r="EE850" s="1116"/>
      <c r="EF850" s="1116"/>
      <c r="EG850" s="1116"/>
      <c r="EH850" s="1116"/>
      <c r="EI850" s="1116"/>
      <c r="EJ850" s="1116"/>
      <c r="EK850" s="1116"/>
      <c r="EL850" s="1116"/>
      <c r="EM850" s="1116"/>
      <c r="EN850" s="1116"/>
      <c r="EO850" s="1116"/>
      <c r="EP850" s="1116"/>
      <c r="EQ850" s="1116"/>
      <c r="ER850" s="1116"/>
      <c r="ES850" s="1116"/>
    </row>
    <row r="851" spans="1:149" ht="15" customHeight="1">
      <c r="A851" s="1185">
        <v>841</v>
      </c>
      <c r="B851" s="1041"/>
      <c r="C851" s="1050"/>
      <c r="D851" s="1050"/>
      <c r="E851" s="1050"/>
      <c r="F851" s="1049"/>
      <c r="G851" s="1049"/>
      <c r="H851" s="1049"/>
      <c r="I851" s="1049"/>
      <c r="J851" s="1050"/>
      <c r="K851" s="1050"/>
      <c r="L851" s="1043"/>
      <c r="M851" s="1051"/>
      <c r="N851" s="1051"/>
      <c r="O851" s="1052"/>
      <c r="P851" s="1051"/>
      <c r="Q851" s="1051"/>
      <c r="R851" s="1052"/>
      <c r="S851" s="1051"/>
      <c r="T851" s="1051"/>
      <c r="U851" s="1052"/>
      <c r="V851" s="1051"/>
      <c r="W851" s="1051"/>
      <c r="X851" s="1052"/>
      <c r="Y851" s="1053"/>
      <c r="Z851" s="1051"/>
      <c r="AA851" s="1051"/>
      <c r="AB851" s="1052"/>
      <c r="AC851" s="1051"/>
      <c r="AD851" s="1051"/>
      <c r="AE851" s="1052"/>
      <c r="AF851" s="1051"/>
      <c r="AG851" s="1051"/>
      <c r="AH851" s="1051"/>
      <c r="AI851" s="1051"/>
      <c r="AJ851" s="1052"/>
      <c r="AK851" s="1051"/>
      <c r="AL851" s="1051"/>
      <c r="AM851" s="1052"/>
      <c r="AN851" s="1051"/>
      <c r="AO851" s="1051"/>
      <c r="AP851" s="1052"/>
      <c r="AQ851" s="1051"/>
      <c r="AR851" s="1051"/>
      <c r="AS851" s="1052"/>
      <c r="AT851" s="1051"/>
      <c r="AU851" s="1051"/>
      <c r="AV851" s="1052"/>
      <c r="AW851" s="1051"/>
      <c r="AX851" s="1051"/>
      <c r="AY851" s="1053"/>
      <c r="AZ851" s="1051"/>
      <c r="BA851" s="1051"/>
      <c r="BB851" s="1053"/>
      <c r="BC851" s="1051"/>
      <c r="BD851" s="1051"/>
      <c r="BE851" s="1053"/>
      <c r="BF851" s="1051"/>
      <c r="BG851" s="1051"/>
      <c r="BH851" s="1053"/>
      <c r="BI851" s="1052"/>
      <c r="BJ851" s="1052"/>
      <c r="BK851" s="1052"/>
      <c r="BL851" s="1052"/>
      <c r="BM851" s="1052"/>
      <c r="BN851" s="1054"/>
      <c r="BO851" s="1076">
        <f t="shared" si="14"/>
        <v>0</v>
      </c>
      <c r="BP851" s="1051"/>
      <c r="BQ851" s="1052"/>
      <c r="BR851" s="1054"/>
      <c r="BS851" s="1053"/>
      <c r="BT851" s="1051"/>
      <c r="BU851" s="1051"/>
      <c r="BV851" s="1051"/>
      <c r="BW851" s="1052"/>
      <c r="BX851" s="1052"/>
      <c r="BY851" s="1052"/>
      <c r="BZ851" s="1052"/>
      <c r="CA851" s="1052"/>
      <c r="CB851" s="1053"/>
      <c r="CC851" s="1053"/>
      <c r="CD851" s="1053"/>
      <c r="CE851" s="1053"/>
      <c r="CF851" s="1053"/>
      <c r="CG851" s="1053"/>
      <c r="CH851" s="1053"/>
      <c r="CI851" s="1123"/>
      <c r="CJ851" s="1123"/>
      <c r="CK851" s="1123"/>
      <c r="CL851" s="1123"/>
      <c r="CM851" s="1123"/>
      <c r="CN851" s="1123"/>
      <c r="CO851" s="1123"/>
      <c r="CP851" s="1123"/>
      <c r="CQ851" s="1123"/>
      <c r="CR851" s="1123"/>
      <c r="CS851" s="1123"/>
      <c r="CT851" s="1123"/>
      <c r="CU851" s="1123"/>
      <c r="CV851" s="1123"/>
      <c r="CW851" s="1123"/>
      <c r="CX851" s="1123"/>
      <c r="CY851" s="1123"/>
      <c r="CZ851" s="1114"/>
      <c r="DA851" s="1114"/>
      <c r="DB851" s="1114"/>
      <c r="DC851" s="1114"/>
      <c r="DD851" s="1114"/>
      <c r="DE851" s="1114"/>
      <c r="DF851" s="1114"/>
      <c r="DG851" s="1114"/>
      <c r="DH851" s="1114"/>
      <c r="DI851" s="1114"/>
      <c r="DJ851" s="1114"/>
      <c r="DK851" s="1114"/>
      <c r="DL851" s="1114"/>
      <c r="DM851" s="1114"/>
      <c r="DN851" s="1114"/>
      <c r="DO851" s="1114"/>
      <c r="DP851" s="1114"/>
      <c r="DQ851" s="1114"/>
      <c r="DR851" s="1114"/>
      <c r="DS851" s="1114"/>
      <c r="DT851" s="1114"/>
      <c r="DU851" s="1114"/>
      <c r="DV851" s="1115"/>
      <c r="DW851" s="1116"/>
      <c r="DX851" s="1116"/>
      <c r="DY851" s="1116"/>
      <c r="DZ851" s="1116"/>
      <c r="EA851" s="1116"/>
      <c r="EB851" s="1116"/>
      <c r="EC851" s="1116"/>
      <c r="ED851" s="1116"/>
      <c r="EE851" s="1116"/>
      <c r="EF851" s="1116"/>
      <c r="EG851" s="1116"/>
      <c r="EH851" s="1116"/>
      <c r="EI851" s="1116"/>
      <c r="EJ851" s="1116"/>
      <c r="EK851" s="1116"/>
      <c r="EL851" s="1116"/>
      <c r="EM851" s="1116"/>
      <c r="EN851" s="1116"/>
      <c r="EO851" s="1116"/>
      <c r="EP851" s="1116"/>
      <c r="EQ851" s="1116"/>
      <c r="ER851" s="1116"/>
      <c r="ES851" s="1116"/>
    </row>
    <row r="852" spans="1:149" ht="15" customHeight="1">
      <c r="A852" s="1185">
        <v>842</v>
      </c>
      <c r="B852" s="1041"/>
      <c r="C852" s="1050"/>
      <c r="D852" s="1050"/>
      <c r="E852" s="1050"/>
      <c r="F852" s="1049"/>
      <c r="G852" s="1049"/>
      <c r="H852" s="1049"/>
      <c r="I852" s="1049"/>
      <c r="J852" s="1050"/>
      <c r="K852" s="1050"/>
      <c r="L852" s="1043"/>
      <c r="M852" s="1051"/>
      <c r="N852" s="1051"/>
      <c r="O852" s="1052"/>
      <c r="P852" s="1051"/>
      <c r="Q852" s="1051"/>
      <c r="R852" s="1052"/>
      <c r="S852" s="1051"/>
      <c r="T852" s="1051"/>
      <c r="U852" s="1052"/>
      <c r="V852" s="1051"/>
      <c r="W852" s="1051"/>
      <c r="X852" s="1052"/>
      <c r="Y852" s="1053"/>
      <c r="Z852" s="1051"/>
      <c r="AA852" s="1051"/>
      <c r="AB852" s="1052"/>
      <c r="AC852" s="1051"/>
      <c r="AD852" s="1051"/>
      <c r="AE852" s="1052"/>
      <c r="AF852" s="1051"/>
      <c r="AG852" s="1051"/>
      <c r="AH852" s="1051"/>
      <c r="AI852" s="1051"/>
      <c r="AJ852" s="1052"/>
      <c r="AK852" s="1051"/>
      <c r="AL852" s="1051"/>
      <c r="AM852" s="1052"/>
      <c r="AN852" s="1051"/>
      <c r="AO852" s="1051"/>
      <c r="AP852" s="1052"/>
      <c r="AQ852" s="1051"/>
      <c r="AR852" s="1051"/>
      <c r="AS852" s="1052"/>
      <c r="AT852" s="1051"/>
      <c r="AU852" s="1051"/>
      <c r="AV852" s="1052"/>
      <c r="AW852" s="1051"/>
      <c r="AX852" s="1051"/>
      <c r="AY852" s="1053"/>
      <c r="AZ852" s="1051"/>
      <c r="BA852" s="1051"/>
      <c r="BB852" s="1053"/>
      <c r="BC852" s="1051"/>
      <c r="BD852" s="1051"/>
      <c r="BE852" s="1053"/>
      <c r="BF852" s="1051"/>
      <c r="BG852" s="1051"/>
      <c r="BH852" s="1053"/>
      <c r="BI852" s="1052"/>
      <c r="BJ852" s="1052"/>
      <c r="BK852" s="1052"/>
      <c r="BL852" s="1052"/>
      <c r="BM852" s="1052"/>
      <c r="BN852" s="1054"/>
      <c r="BO852" s="1076">
        <f t="shared" si="14"/>
        <v>0</v>
      </c>
      <c r="BP852" s="1051"/>
      <c r="BQ852" s="1052"/>
      <c r="BR852" s="1054"/>
      <c r="BS852" s="1053"/>
      <c r="BT852" s="1051"/>
      <c r="BU852" s="1051"/>
      <c r="BV852" s="1051"/>
      <c r="BW852" s="1052"/>
      <c r="BX852" s="1052"/>
      <c r="BY852" s="1052"/>
      <c r="BZ852" s="1052"/>
      <c r="CA852" s="1052"/>
      <c r="CB852" s="1053"/>
      <c r="CC852" s="1053"/>
      <c r="CD852" s="1053"/>
      <c r="CE852" s="1053"/>
      <c r="CF852" s="1053"/>
      <c r="CG852" s="1053"/>
      <c r="CH852" s="1053"/>
      <c r="CI852" s="1123"/>
      <c r="CJ852" s="1123"/>
      <c r="CK852" s="1123"/>
      <c r="CL852" s="1123"/>
      <c r="CM852" s="1123"/>
      <c r="CN852" s="1123"/>
      <c r="CO852" s="1123"/>
      <c r="CP852" s="1123"/>
      <c r="CQ852" s="1123"/>
      <c r="CR852" s="1123"/>
      <c r="CS852" s="1123"/>
      <c r="CT852" s="1123"/>
      <c r="CU852" s="1123"/>
      <c r="CV852" s="1123"/>
      <c r="CW852" s="1123"/>
      <c r="CX852" s="1123"/>
      <c r="CY852" s="1123"/>
      <c r="CZ852" s="1114"/>
      <c r="DA852" s="1114"/>
      <c r="DB852" s="1114"/>
      <c r="DC852" s="1114"/>
      <c r="DD852" s="1114"/>
      <c r="DE852" s="1114"/>
      <c r="DF852" s="1114"/>
      <c r="DG852" s="1114"/>
      <c r="DH852" s="1114"/>
      <c r="DI852" s="1114"/>
      <c r="DJ852" s="1114"/>
      <c r="DK852" s="1114"/>
      <c r="DL852" s="1114"/>
      <c r="DM852" s="1114"/>
      <c r="DN852" s="1114"/>
      <c r="DO852" s="1114"/>
      <c r="DP852" s="1114"/>
      <c r="DQ852" s="1114"/>
      <c r="DR852" s="1114"/>
      <c r="DS852" s="1114"/>
      <c r="DT852" s="1114"/>
      <c r="DU852" s="1114"/>
      <c r="DV852" s="1115"/>
      <c r="DW852" s="1116"/>
      <c r="DX852" s="1116"/>
      <c r="DY852" s="1116"/>
      <c r="DZ852" s="1116"/>
      <c r="EA852" s="1116"/>
      <c r="EB852" s="1116"/>
      <c r="EC852" s="1116"/>
      <c r="ED852" s="1116"/>
      <c r="EE852" s="1116"/>
      <c r="EF852" s="1116"/>
      <c r="EG852" s="1116"/>
      <c r="EH852" s="1116"/>
      <c r="EI852" s="1116"/>
      <c r="EJ852" s="1116"/>
      <c r="EK852" s="1116"/>
      <c r="EL852" s="1116"/>
      <c r="EM852" s="1116"/>
      <c r="EN852" s="1116"/>
      <c r="EO852" s="1116"/>
      <c r="EP852" s="1116"/>
      <c r="EQ852" s="1116"/>
      <c r="ER852" s="1116"/>
      <c r="ES852" s="1116"/>
    </row>
    <row r="853" spans="1:149" ht="15" customHeight="1">
      <c r="A853" s="1185">
        <v>843</v>
      </c>
      <c r="B853" s="1041"/>
      <c r="C853" s="1050"/>
      <c r="D853" s="1050"/>
      <c r="E853" s="1050"/>
      <c r="F853" s="1049"/>
      <c r="G853" s="1049"/>
      <c r="H853" s="1049"/>
      <c r="I853" s="1049"/>
      <c r="J853" s="1050"/>
      <c r="K853" s="1050"/>
      <c r="L853" s="1043"/>
      <c r="M853" s="1051"/>
      <c r="N853" s="1051"/>
      <c r="O853" s="1052"/>
      <c r="P853" s="1051"/>
      <c r="Q853" s="1051"/>
      <c r="R853" s="1052"/>
      <c r="S853" s="1051"/>
      <c r="T853" s="1051"/>
      <c r="U853" s="1052"/>
      <c r="V853" s="1051"/>
      <c r="W853" s="1051"/>
      <c r="X853" s="1052"/>
      <c r="Y853" s="1053"/>
      <c r="Z853" s="1051"/>
      <c r="AA853" s="1051"/>
      <c r="AB853" s="1052"/>
      <c r="AC853" s="1051"/>
      <c r="AD853" s="1051"/>
      <c r="AE853" s="1052"/>
      <c r="AF853" s="1051"/>
      <c r="AG853" s="1051"/>
      <c r="AH853" s="1051"/>
      <c r="AI853" s="1051"/>
      <c r="AJ853" s="1052"/>
      <c r="AK853" s="1051"/>
      <c r="AL853" s="1051"/>
      <c r="AM853" s="1052"/>
      <c r="AN853" s="1051"/>
      <c r="AO853" s="1051"/>
      <c r="AP853" s="1052"/>
      <c r="AQ853" s="1051"/>
      <c r="AR853" s="1051"/>
      <c r="AS853" s="1052"/>
      <c r="AT853" s="1051"/>
      <c r="AU853" s="1051"/>
      <c r="AV853" s="1052"/>
      <c r="AW853" s="1051"/>
      <c r="AX853" s="1051"/>
      <c r="AY853" s="1053"/>
      <c r="AZ853" s="1051"/>
      <c r="BA853" s="1051"/>
      <c r="BB853" s="1053"/>
      <c r="BC853" s="1051"/>
      <c r="BD853" s="1051"/>
      <c r="BE853" s="1053"/>
      <c r="BF853" s="1051"/>
      <c r="BG853" s="1051"/>
      <c r="BH853" s="1053"/>
      <c r="BI853" s="1052"/>
      <c r="BJ853" s="1052"/>
      <c r="BK853" s="1052"/>
      <c r="BL853" s="1052"/>
      <c r="BM853" s="1052"/>
      <c r="BN853" s="1054"/>
      <c r="BO853" s="1076">
        <f t="shared" si="14"/>
        <v>0</v>
      </c>
      <c r="BP853" s="1051"/>
      <c r="BQ853" s="1052"/>
      <c r="BR853" s="1054"/>
      <c r="BS853" s="1053"/>
      <c r="BT853" s="1051"/>
      <c r="BU853" s="1051"/>
      <c r="BV853" s="1051"/>
      <c r="BW853" s="1052"/>
      <c r="BX853" s="1052"/>
      <c r="BY853" s="1052"/>
      <c r="BZ853" s="1052"/>
      <c r="CA853" s="1052"/>
      <c r="CB853" s="1053"/>
      <c r="CC853" s="1053"/>
      <c r="CD853" s="1053"/>
      <c r="CE853" s="1053"/>
      <c r="CF853" s="1053"/>
      <c r="CG853" s="1053"/>
      <c r="CH853" s="1053"/>
      <c r="CI853" s="1123"/>
      <c r="CJ853" s="1123"/>
      <c r="CK853" s="1123"/>
      <c r="CL853" s="1123"/>
      <c r="CM853" s="1123"/>
      <c r="CN853" s="1123"/>
      <c r="CO853" s="1123"/>
      <c r="CP853" s="1123"/>
      <c r="CQ853" s="1123"/>
      <c r="CR853" s="1123"/>
      <c r="CS853" s="1123"/>
      <c r="CT853" s="1123"/>
      <c r="CU853" s="1123"/>
      <c r="CV853" s="1123"/>
      <c r="CW853" s="1123"/>
      <c r="CX853" s="1123"/>
      <c r="CY853" s="1123"/>
      <c r="CZ853" s="1114"/>
      <c r="DA853" s="1114"/>
      <c r="DB853" s="1114"/>
      <c r="DC853" s="1114"/>
      <c r="DD853" s="1114"/>
      <c r="DE853" s="1114"/>
      <c r="DF853" s="1114"/>
      <c r="DG853" s="1114"/>
      <c r="DH853" s="1114"/>
      <c r="DI853" s="1114"/>
      <c r="DJ853" s="1114"/>
      <c r="DK853" s="1114"/>
      <c r="DL853" s="1114"/>
      <c r="DM853" s="1114"/>
      <c r="DN853" s="1114"/>
      <c r="DO853" s="1114"/>
      <c r="DP853" s="1114"/>
      <c r="DQ853" s="1114"/>
      <c r="DR853" s="1114"/>
      <c r="DS853" s="1114"/>
      <c r="DT853" s="1114"/>
      <c r="DU853" s="1114"/>
      <c r="DV853" s="1115"/>
      <c r="DW853" s="1116"/>
      <c r="DX853" s="1116"/>
      <c r="DY853" s="1116"/>
      <c r="DZ853" s="1116"/>
      <c r="EA853" s="1116"/>
      <c r="EB853" s="1116"/>
      <c r="EC853" s="1116"/>
      <c r="ED853" s="1116"/>
      <c r="EE853" s="1116"/>
      <c r="EF853" s="1116"/>
      <c r="EG853" s="1116"/>
      <c r="EH853" s="1116"/>
      <c r="EI853" s="1116"/>
      <c r="EJ853" s="1116"/>
      <c r="EK853" s="1116"/>
      <c r="EL853" s="1116"/>
      <c r="EM853" s="1116"/>
      <c r="EN853" s="1116"/>
      <c r="EO853" s="1116"/>
      <c r="EP853" s="1116"/>
      <c r="EQ853" s="1116"/>
      <c r="ER853" s="1116"/>
      <c r="ES853" s="1116"/>
    </row>
    <row r="854" spans="1:149" ht="15" customHeight="1">
      <c r="A854" s="1185">
        <v>844</v>
      </c>
      <c r="B854" s="1041"/>
      <c r="C854" s="1050"/>
      <c r="D854" s="1050"/>
      <c r="E854" s="1050"/>
      <c r="F854" s="1049"/>
      <c r="G854" s="1049"/>
      <c r="H854" s="1049"/>
      <c r="I854" s="1049"/>
      <c r="J854" s="1050"/>
      <c r="K854" s="1050"/>
      <c r="L854" s="1043"/>
      <c r="M854" s="1051"/>
      <c r="N854" s="1051"/>
      <c r="O854" s="1052"/>
      <c r="P854" s="1051"/>
      <c r="Q854" s="1051"/>
      <c r="R854" s="1052"/>
      <c r="S854" s="1051"/>
      <c r="T854" s="1051"/>
      <c r="U854" s="1052"/>
      <c r="V854" s="1051"/>
      <c r="W854" s="1051"/>
      <c r="X854" s="1052"/>
      <c r="Y854" s="1053"/>
      <c r="Z854" s="1051"/>
      <c r="AA854" s="1051"/>
      <c r="AB854" s="1052"/>
      <c r="AC854" s="1051"/>
      <c r="AD854" s="1051"/>
      <c r="AE854" s="1052"/>
      <c r="AF854" s="1051"/>
      <c r="AG854" s="1051"/>
      <c r="AH854" s="1051"/>
      <c r="AI854" s="1051"/>
      <c r="AJ854" s="1052"/>
      <c r="AK854" s="1051"/>
      <c r="AL854" s="1051"/>
      <c r="AM854" s="1052"/>
      <c r="AN854" s="1051"/>
      <c r="AO854" s="1051"/>
      <c r="AP854" s="1052"/>
      <c r="AQ854" s="1051"/>
      <c r="AR854" s="1051"/>
      <c r="AS854" s="1052"/>
      <c r="AT854" s="1051"/>
      <c r="AU854" s="1051"/>
      <c r="AV854" s="1052"/>
      <c r="AW854" s="1051"/>
      <c r="AX854" s="1051"/>
      <c r="AY854" s="1053"/>
      <c r="AZ854" s="1051"/>
      <c r="BA854" s="1051"/>
      <c r="BB854" s="1053"/>
      <c r="BC854" s="1051"/>
      <c r="BD854" s="1051"/>
      <c r="BE854" s="1053"/>
      <c r="BF854" s="1051"/>
      <c r="BG854" s="1051"/>
      <c r="BH854" s="1053"/>
      <c r="BI854" s="1052"/>
      <c r="BJ854" s="1052"/>
      <c r="BK854" s="1052"/>
      <c r="BL854" s="1052"/>
      <c r="BM854" s="1052"/>
      <c r="BN854" s="1054"/>
      <c r="BO854" s="1076">
        <f t="shared" si="14"/>
        <v>0</v>
      </c>
      <c r="BP854" s="1051"/>
      <c r="BQ854" s="1052"/>
      <c r="BR854" s="1054"/>
      <c r="BS854" s="1053"/>
      <c r="BT854" s="1051"/>
      <c r="BU854" s="1051"/>
      <c r="BV854" s="1051"/>
      <c r="BW854" s="1052"/>
      <c r="BX854" s="1052"/>
      <c r="BY854" s="1052"/>
      <c r="BZ854" s="1052"/>
      <c r="CA854" s="1052"/>
      <c r="CB854" s="1053"/>
      <c r="CC854" s="1053"/>
      <c r="CD854" s="1053"/>
      <c r="CE854" s="1053"/>
      <c r="CF854" s="1053"/>
      <c r="CG854" s="1053"/>
      <c r="CH854" s="1053"/>
      <c r="CI854" s="1123"/>
      <c r="CJ854" s="1123"/>
      <c r="CK854" s="1123"/>
      <c r="CL854" s="1123"/>
      <c r="CM854" s="1123"/>
      <c r="CN854" s="1123"/>
      <c r="CO854" s="1123"/>
      <c r="CP854" s="1123"/>
      <c r="CQ854" s="1123"/>
      <c r="CR854" s="1123"/>
      <c r="CS854" s="1123"/>
      <c r="CT854" s="1123"/>
      <c r="CU854" s="1123"/>
      <c r="CV854" s="1123"/>
      <c r="CW854" s="1123"/>
      <c r="CX854" s="1123"/>
      <c r="CY854" s="1123"/>
      <c r="CZ854" s="1114"/>
      <c r="DA854" s="1114"/>
      <c r="DB854" s="1114"/>
      <c r="DC854" s="1114"/>
      <c r="DD854" s="1114"/>
      <c r="DE854" s="1114"/>
      <c r="DF854" s="1114"/>
      <c r="DG854" s="1114"/>
      <c r="DH854" s="1114"/>
      <c r="DI854" s="1114"/>
      <c r="DJ854" s="1114"/>
      <c r="DK854" s="1114"/>
      <c r="DL854" s="1114"/>
      <c r="DM854" s="1114"/>
      <c r="DN854" s="1114"/>
      <c r="DO854" s="1114"/>
      <c r="DP854" s="1114"/>
      <c r="DQ854" s="1114"/>
      <c r="DR854" s="1114"/>
      <c r="DS854" s="1114"/>
      <c r="DT854" s="1114"/>
      <c r="DU854" s="1114"/>
      <c r="DV854" s="1115"/>
      <c r="DW854" s="1116"/>
      <c r="DX854" s="1116"/>
      <c r="DY854" s="1116"/>
      <c r="DZ854" s="1116"/>
      <c r="EA854" s="1116"/>
      <c r="EB854" s="1116"/>
      <c r="EC854" s="1116"/>
      <c r="ED854" s="1116"/>
      <c r="EE854" s="1116"/>
      <c r="EF854" s="1116"/>
      <c r="EG854" s="1116"/>
      <c r="EH854" s="1116"/>
      <c r="EI854" s="1116"/>
      <c r="EJ854" s="1116"/>
      <c r="EK854" s="1116"/>
      <c r="EL854" s="1116"/>
      <c r="EM854" s="1116"/>
      <c r="EN854" s="1116"/>
      <c r="EO854" s="1116"/>
      <c r="EP854" s="1116"/>
      <c r="EQ854" s="1116"/>
      <c r="ER854" s="1116"/>
      <c r="ES854" s="1116"/>
    </row>
    <row r="855" spans="1:149" ht="15" customHeight="1">
      <c r="A855" s="1185">
        <v>845</v>
      </c>
      <c r="B855" s="1041"/>
      <c r="C855" s="1050"/>
      <c r="D855" s="1050"/>
      <c r="E855" s="1050"/>
      <c r="F855" s="1049"/>
      <c r="G855" s="1049"/>
      <c r="H855" s="1049"/>
      <c r="I855" s="1049"/>
      <c r="J855" s="1050"/>
      <c r="K855" s="1050"/>
      <c r="L855" s="1043"/>
      <c r="M855" s="1051"/>
      <c r="N855" s="1051"/>
      <c r="O855" s="1052"/>
      <c r="P855" s="1051"/>
      <c r="Q855" s="1051"/>
      <c r="R855" s="1052"/>
      <c r="S855" s="1051"/>
      <c r="T855" s="1051"/>
      <c r="U855" s="1052"/>
      <c r="V855" s="1051"/>
      <c r="W855" s="1051"/>
      <c r="X855" s="1052"/>
      <c r="Y855" s="1053"/>
      <c r="Z855" s="1051"/>
      <c r="AA855" s="1051"/>
      <c r="AB855" s="1052"/>
      <c r="AC855" s="1051"/>
      <c r="AD855" s="1051"/>
      <c r="AE855" s="1052"/>
      <c r="AF855" s="1051"/>
      <c r="AG855" s="1051"/>
      <c r="AH855" s="1051"/>
      <c r="AI855" s="1051"/>
      <c r="AJ855" s="1052"/>
      <c r="AK855" s="1051"/>
      <c r="AL855" s="1051"/>
      <c r="AM855" s="1052"/>
      <c r="AN855" s="1051"/>
      <c r="AO855" s="1051"/>
      <c r="AP855" s="1052"/>
      <c r="AQ855" s="1051"/>
      <c r="AR855" s="1051"/>
      <c r="AS855" s="1052"/>
      <c r="AT855" s="1051"/>
      <c r="AU855" s="1051"/>
      <c r="AV855" s="1052"/>
      <c r="AW855" s="1051"/>
      <c r="AX855" s="1051"/>
      <c r="AY855" s="1053"/>
      <c r="AZ855" s="1051"/>
      <c r="BA855" s="1051"/>
      <c r="BB855" s="1053"/>
      <c r="BC855" s="1051"/>
      <c r="BD855" s="1051"/>
      <c r="BE855" s="1053"/>
      <c r="BF855" s="1051"/>
      <c r="BG855" s="1051"/>
      <c r="BH855" s="1053"/>
      <c r="BI855" s="1052"/>
      <c r="BJ855" s="1052"/>
      <c r="BK855" s="1052"/>
      <c r="BL855" s="1052"/>
      <c r="BM855" s="1052"/>
      <c r="BN855" s="1054"/>
      <c r="BO855" s="1076">
        <f t="shared" si="14"/>
        <v>0</v>
      </c>
      <c r="BP855" s="1051"/>
      <c r="BQ855" s="1052"/>
      <c r="BR855" s="1054"/>
      <c r="BS855" s="1053"/>
      <c r="BT855" s="1051"/>
      <c r="BU855" s="1051"/>
      <c r="BV855" s="1051"/>
      <c r="BW855" s="1052"/>
      <c r="BX855" s="1052"/>
      <c r="BY855" s="1052"/>
      <c r="BZ855" s="1052"/>
      <c r="CA855" s="1052"/>
      <c r="CB855" s="1053"/>
      <c r="CC855" s="1053"/>
      <c r="CD855" s="1053"/>
      <c r="CE855" s="1053"/>
      <c r="CF855" s="1053"/>
      <c r="CG855" s="1053"/>
      <c r="CH855" s="1053"/>
      <c r="CI855" s="1123"/>
      <c r="CJ855" s="1123"/>
      <c r="CK855" s="1123"/>
      <c r="CL855" s="1123"/>
      <c r="CM855" s="1123"/>
      <c r="CN855" s="1123"/>
      <c r="CO855" s="1123"/>
      <c r="CP855" s="1123"/>
      <c r="CQ855" s="1123"/>
      <c r="CR855" s="1123"/>
      <c r="CS855" s="1123"/>
      <c r="CT855" s="1123"/>
      <c r="CU855" s="1123"/>
      <c r="CV855" s="1123"/>
      <c r="CW855" s="1123"/>
      <c r="CX855" s="1123"/>
      <c r="CY855" s="1123"/>
      <c r="CZ855" s="1114"/>
      <c r="DA855" s="1114"/>
      <c r="DB855" s="1114"/>
      <c r="DC855" s="1114"/>
      <c r="DD855" s="1114"/>
      <c r="DE855" s="1114"/>
      <c r="DF855" s="1114"/>
      <c r="DG855" s="1114"/>
      <c r="DH855" s="1114"/>
      <c r="DI855" s="1114"/>
      <c r="DJ855" s="1114"/>
      <c r="DK855" s="1114"/>
      <c r="DL855" s="1114"/>
      <c r="DM855" s="1114"/>
      <c r="DN855" s="1114"/>
      <c r="DO855" s="1114"/>
      <c r="DP855" s="1114"/>
      <c r="DQ855" s="1114"/>
      <c r="DR855" s="1114"/>
      <c r="DS855" s="1114"/>
      <c r="DT855" s="1114"/>
      <c r="DU855" s="1114"/>
      <c r="DV855" s="1115"/>
      <c r="DW855" s="1116"/>
      <c r="DX855" s="1116"/>
      <c r="DY855" s="1116"/>
      <c r="DZ855" s="1116"/>
      <c r="EA855" s="1116"/>
      <c r="EB855" s="1116"/>
      <c r="EC855" s="1116"/>
      <c r="ED855" s="1116"/>
      <c r="EE855" s="1116"/>
      <c r="EF855" s="1116"/>
      <c r="EG855" s="1116"/>
      <c r="EH855" s="1116"/>
      <c r="EI855" s="1116"/>
      <c r="EJ855" s="1116"/>
      <c r="EK855" s="1116"/>
      <c r="EL855" s="1116"/>
      <c r="EM855" s="1116"/>
      <c r="EN855" s="1116"/>
      <c r="EO855" s="1116"/>
      <c r="EP855" s="1116"/>
      <c r="EQ855" s="1116"/>
      <c r="ER855" s="1116"/>
      <c r="ES855" s="1116"/>
    </row>
    <row r="856" spans="1:149" ht="15" customHeight="1">
      <c r="A856" s="1185">
        <v>846</v>
      </c>
      <c r="B856" s="1041"/>
      <c r="C856" s="1050"/>
      <c r="D856" s="1050"/>
      <c r="E856" s="1050"/>
      <c r="F856" s="1049"/>
      <c r="G856" s="1049"/>
      <c r="H856" s="1049"/>
      <c r="I856" s="1049"/>
      <c r="J856" s="1050"/>
      <c r="K856" s="1050"/>
      <c r="L856" s="1043"/>
      <c r="M856" s="1051"/>
      <c r="N856" s="1051"/>
      <c r="O856" s="1052"/>
      <c r="P856" s="1051"/>
      <c r="Q856" s="1051"/>
      <c r="R856" s="1052"/>
      <c r="S856" s="1051"/>
      <c r="T856" s="1051"/>
      <c r="U856" s="1052"/>
      <c r="V856" s="1051"/>
      <c r="W856" s="1051"/>
      <c r="X856" s="1052"/>
      <c r="Y856" s="1053"/>
      <c r="Z856" s="1051"/>
      <c r="AA856" s="1051"/>
      <c r="AB856" s="1052"/>
      <c r="AC856" s="1051"/>
      <c r="AD856" s="1051"/>
      <c r="AE856" s="1052"/>
      <c r="AF856" s="1051"/>
      <c r="AG856" s="1051"/>
      <c r="AH856" s="1051"/>
      <c r="AI856" s="1051"/>
      <c r="AJ856" s="1052"/>
      <c r="AK856" s="1051"/>
      <c r="AL856" s="1051"/>
      <c r="AM856" s="1052"/>
      <c r="AN856" s="1051"/>
      <c r="AO856" s="1051"/>
      <c r="AP856" s="1052"/>
      <c r="AQ856" s="1051"/>
      <c r="AR856" s="1051"/>
      <c r="AS856" s="1052"/>
      <c r="AT856" s="1051"/>
      <c r="AU856" s="1051"/>
      <c r="AV856" s="1052"/>
      <c r="AW856" s="1051"/>
      <c r="AX856" s="1051"/>
      <c r="AY856" s="1053"/>
      <c r="AZ856" s="1051"/>
      <c r="BA856" s="1051"/>
      <c r="BB856" s="1053"/>
      <c r="BC856" s="1051"/>
      <c r="BD856" s="1051"/>
      <c r="BE856" s="1053"/>
      <c r="BF856" s="1051"/>
      <c r="BG856" s="1051"/>
      <c r="BH856" s="1053"/>
      <c r="BI856" s="1052"/>
      <c r="BJ856" s="1052"/>
      <c r="BK856" s="1052"/>
      <c r="BL856" s="1052"/>
      <c r="BM856" s="1052"/>
      <c r="BN856" s="1054"/>
      <c r="BO856" s="1076">
        <f t="shared" si="14"/>
        <v>0</v>
      </c>
      <c r="BP856" s="1051"/>
      <c r="BQ856" s="1052"/>
      <c r="BR856" s="1054"/>
      <c r="BS856" s="1053"/>
      <c r="BT856" s="1051"/>
      <c r="BU856" s="1051"/>
      <c r="BV856" s="1051"/>
      <c r="BW856" s="1052"/>
      <c r="BX856" s="1052"/>
      <c r="BY856" s="1052"/>
      <c r="BZ856" s="1052"/>
      <c r="CA856" s="1052"/>
      <c r="CB856" s="1053"/>
      <c r="CC856" s="1053"/>
      <c r="CD856" s="1053"/>
      <c r="CE856" s="1053"/>
      <c r="CF856" s="1053"/>
      <c r="CG856" s="1053"/>
      <c r="CH856" s="1053"/>
      <c r="CI856" s="1123"/>
      <c r="CJ856" s="1123"/>
      <c r="CK856" s="1123"/>
      <c r="CL856" s="1123"/>
      <c r="CM856" s="1123"/>
      <c r="CN856" s="1123"/>
      <c r="CO856" s="1123"/>
      <c r="CP856" s="1123"/>
      <c r="CQ856" s="1123"/>
      <c r="CR856" s="1123"/>
      <c r="CS856" s="1123"/>
      <c r="CT856" s="1123"/>
      <c r="CU856" s="1123"/>
      <c r="CV856" s="1123"/>
      <c r="CW856" s="1123"/>
      <c r="CX856" s="1123"/>
      <c r="CY856" s="1123"/>
      <c r="CZ856" s="1114"/>
      <c r="DA856" s="1114"/>
      <c r="DB856" s="1114"/>
      <c r="DC856" s="1114"/>
      <c r="DD856" s="1114"/>
      <c r="DE856" s="1114"/>
      <c r="DF856" s="1114"/>
      <c r="DG856" s="1114"/>
      <c r="DH856" s="1114"/>
      <c r="DI856" s="1114"/>
      <c r="DJ856" s="1114"/>
      <c r="DK856" s="1114"/>
      <c r="DL856" s="1114"/>
      <c r="DM856" s="1114"/>
      <c r="DN856" s="1114"/>
      <c r="DO856" s="1114"/>
      <c r="DP856" s="1114"/>
      <c r="DQ856" s="1114"/>
      <c r="DR856" s="1114"/>
      <c r="DS856" s="1114"/>
      <c r="DT856" s="1114"/>
      <c r="DU856" s="1114"/>
      <c r="DV856" s="1115"/>
      <c r="DW856" s="1116"/>
      <c r="DX856" s="1116"/>
      <c r="DY856" s="1116"/>
      <c r="DZ856" s="1116"/>
      <c r="EA856" s="1116"/>
      <c r="EB856" s="1116"/>
      <c r="EC856" s="1116"/>
      <c r="ED856" s="1116"/>
      <c r="EE856" s="1116"/>
      <c r="EF856" s="1116"/>
      <c r="EG856" s="1116"/>
      <c r="EH856" s="1116"/>
      <c r="EI856" s="1116"/>
      <c r="EJ856" s="1116"/>
      <c r="EK856" s="1116"/>
      <c r="EL856" s="1116"/>
      <c r="EM856" s="1116"/>
      <c r="EN856" s="1116"/>
      <c r="EO856" s="1116"/>
      <c r="EP856" s="1116"/>
      <c r="EQ856" s="1116"/>
      <c r="ER856" s="1116"/>
      <c r="ES856" s="1116"/>
    </row>
    <row r="857" spans="1:149" ht="15" customHeight="1">
      <c r="A857" s="1185">
        <v>847</v>
      </c>
      <c r="B857" s="1041"/>
      <c r="C857" s="1050"/>
      <c r="D857" s="1050"/>
      <c r="E857" s="1050"/>
      <c r="F857" s="1049"/>
      <c r="G857" s="1049"/>
      <c r="H857" s="1049"/>
      <c r="I857" s="1049"/>
      <c r="J857" s="1050"/>
      <c r="K857" s="1050"/>
      <c r="L857" s="1043"/>
      <c r="M857" s="1051"/>
      <c r="N857" s="1051"/>
      <c r="O857" s="1052"/>
      <c r="P857" s="1051"/>
      <c r="Q857" s="1051"/>
      <c r="R857" s="1052"/>
      <c r="S857" s="1051"/>
      <c r="T857" s="1051"/>
      <c r="U857" s="1052"/>
      <c r="V857" s="1051"/>
      <c r="W857" s="1051"/>
      <c r="X857" s="1052"/>
      <c r="Y857" s="1053"/>
      <c r="Z857" s="1051"/>
      <c r="AA857" s="1051"/>
      <c r="AB857" s="1052"/>
      <c r="AC857" s="1051"/>
      <c r="AD857" s="1051"/>
      <c r="AE857" s="1052"/>
      <c r="AF857" s="1051"/>
      <c r="AG857" s="1051"/>
      <c r="AH857" s="1051"/>
      <c r="AI857" s="1051"/>
      <c r="AJ857" s="1052"/>
      <c r="AK857" s="1051"/>
      <c r="AL857" s="1051"/>
      <c r="AM857" s="1052"/>
      <c r="AN857" s="1051"/>
      <c r="AO857" s="1051"/>
      <c r="AP857" s="1052"/>
      <c r="AQ857" s="1051"/>
      <c r="AR857" s="1051"/>
      <c r="AS857" s="1052"/>
      <c r="AT857" s="1051"/>
      <c r="AU857" s="1051"/>
      <c r="AV857" s="1052"/>
      <c r="AW857" s="1051"/>
      <c r="AX857" s="1051"/>
      <c r="AY857" s="1053"/>
      <c r="AZ857" s="1051"/>
      <c r="BA857" s="1051"/>
      <c r="BB857" s="1053"/>
      <c r="BC857" s="1051"/>
      <c r="BD857" s="1051"/>
      <c r="BE857" s="1053"/>
      <c r="BF857" s="1051"/>
      <c r="BG857" s="1051"/>
      <c r="BH857" s="1053"/>
      <c r="BI857" s="1052"/>
      <c r="BJ857" s="1052"/>
      <c r="BK857" s="1052"/>
      <c r="BL857" s="1052"/>
      <c r="BM857" s="1052"/>
      <c r="BN857" s="1054"/>
      <c r="BO857" s="1076">
        <f t="shared" si="14"/>
        <v>0</v>
      </c>
      <c r="BP857" s="1051"/>
      <c r="BQ857" s="1052"/>
      <c r="BR857" s="1054"/>
      <c r="BS857" s="1053"/>
      <c r="BT857" s="1051"/>
      <c r="BU857" s="1051"/>
      <c r="BV857" s="1051"/>
      <c r="BW857" s="1052"/>
      <c r="BX857" s="1052"/>
      <c r="BY857" s="1052"/>
      <c r="BZ857" s="1052"/>
      <c r="CA857" s="1052"/>
      <c r="CB857" s="1053"/>
      <c r="CC857" s="1053"/>
      <c r="CD857" s="1053"/>
      <c r="CE857" s="1053"/>
      <c r="CF857" s="1053"/>
      <c r="CG857" s="1053"/>
      <c r="CH857" s="1053"/>
      <c r="CI857" s="1123"/>
      <c r="CJ857" s="1123"/>
      <c r="CK857" s="1123"/>
      <c r="CL857" s="1123"/>
      <c r="CM857" s="1123"/>
      <c r="CN857" s="1123"/>
      <c r="CO857" s="1123"/>
      <c r="CP857" s="1123"/>
      <c r="CQ857" s="1123"/>
      <c r="CR857" s="1123"/>
      <c r="CS857" s="1123"/>
      <c r="CT857" s="1123"/>
      <c r="CU857" s="1123"/>
      <c r="CV857" s="1123"/>
      <c r="CW857" s="1123"/>
      <c r="CX857" s="1123"/>
      <c r="CY857" s="1123"/>
      <c r="CZ857" s="1114"/>
      <c r="DA857" s="1114"/>
      <c r="DB857" s="1114"/>
      <c r="DC857" s="1114"/>
      <c r="DD857" s="1114"/>
      <c r="DE857" s="1114"/>
      <c r="DF857" s="1114"/>
      <c r="DG857" s="1114"/>
      <c r="DH857" s="1114"/>
      <c r="DI857" s="1114"/>
      <c r="DJ857" s="1114"/>
      <c r="DK857" s="1114"/>
      <c r="DL857" s="1114"/>
      <c r="DM857" s="1114"/>
      <c r="DN857" s="1114"/>
      <c r="DO857" s="1114"/>
      <c r="DP857" s="1114"/>
      <c r="DQ857" s="1114"/>
      <c r="DR857" s="1114"/>
      <c r="DS857" s="1114"/>
      <c r="DT857" s="1114"/>
      <c r="DU857" s="1114"/>
      <c r="DV857" s="1115"/>
      <c r="DW857" s="1116"/>
      <c r="DX857" s="1116"/>
      <c r="DY857" s="1116"/>
      <c r="DZ857" s="1116"/>
      <c r="EA857" s="1116"/>
      <c r="EB857" s="1116"/>
      <c r="EC857" s="1116"/>
      <c r="ED857" s="1116"/>
      <c r="EE857" s="1116"/>
      <c r="EF857" s="1116"/>
      <c r="EG857" s="1116"/>
      <c r="EH857" s="1116"/>
      <c r="EI857" s="1116"/>
      <c r="EJ857" s="1116"/>
      <c r="EK857" s="1116"/>
      <c r="EL857" s="1116"/>
      <c r="EM857" s="1116"/>
      <c r="EN857" s="1116"/>
      <c r="EO857" s="1116"/>
      <c r="EP857" s="1116"/>
      <c r="EQ857" s="1116"/>
      <c r="ER857" s="1116"/>
      <c r="ES857" s="1116"/>
    </row>
    <row r="858" spans="1:149" ht="15" customHeight="1">
      <c r="A858" s="1185">
        <v>848</v>
      </c>
      <c r="B858" s="1041"/>
      <c r="C858" s="1050"/>
      <c r="D858" s="1050"/>
      <c r="E858" s="1050"/>
      <c r="F858" s="1049"/>
      <c r="G858" s="1049"/>
      <c r="H858" s="1049"/>
      <c r="I858" s="1049"/>
      <c r="J858" s="1050"/>
      <c r="K858" s="1050"/>
      <c r="L858" s="1043"/>
      <c r="M858" s="1051"/>
      <c r="N858" s="1051"/>
      <c r="O858" s="1052"/>
      <c r="P858" s="1051"/>
      <c r="Q858" s="1051"/>
      <c r="R858" s="1052"/>
      <c r="S858" s="1051"/>
      <c r="T858" s="1051"/>
      <c r="U858" s="1052"/>
      <c r="V858" s="1051"/>
      <c r="W858" s="1051"/>
      <c r="X858" s="1052"/>
      <c r="Y858" s="1053"/>
      <c r="Z858" s="1051"/>
      <c r="AA858" s="1051"/>
      <c r="AB858" s="1052"/>
      <c r="AC858" s="1051"/>
      <c r="AD858" s="1051"/>
      <c r="AE858" s="1052"/>
      <c r="AF858" s="1051"/>
      <c r="AG858" s="1051"/>
      <c r="AH858" s="1051"/>
      <c r="AI858" s="1051"/>
      <c r="AJ858" s="1052"/>
      <c r="AK858" s="1051"/>
      <c r="AL858" s="1051"/>
      <c r="AM858" s="1052"/>
      <c r="AN858" s="1051"/>
      <c r="AO858" s="1051"/>
      <c r="AP858" s="1052"/>
      <c r="AQ858" s="1051"/>
      <c r="AR858" s="1051"/>
      <c r="AS858" s="1052"/>
      <c r="AT858" s="1051"/>
      <c r="AU858" s="1051"/>
      <c r="AV858" s="1052"/>
      <c r="AW858" s="1051"/>
      <c r="AX858" s="1051"/>
      <c r="AY858" s="1053"/>
      <c r="AZ858" s="1051"/>
      <c r="BA858" s="1051"/>
      <c r="BB858" s="1053"/>
      <c r="BC858" s="1051"/>
      <c r="BD858" s="1051"/>
      <c r="BE858" s="1053"/>
      <c r="BF858" s="1051"/>
      <c r="BG858" s="1051"/>
      <c r="BH858" s="1053"/>
      <c r="BI858" s="1052"/>
      <c r="BJ858" s="1052"/>
      <c r="BK858" s="1052"/>
      <c r="BL858" s="1052"/>
      <c r="BM858" s="1052"/>
      <c r="BN858" s="1054"/>
      <c r="BO858" s="1076">
        <f t="shared" si="14"/>
        <v>0</v>
      </c>
      <c r="BP858" s="1051"/>
      <c r="BQ858" s="1052"/>
      <c r="BR858" s="1054"/>
      <c r="BS858" s="1053"/>
      <c r="BT858" s="1051"/>
      <c r="BU858" s="1051"/>
      <c r="BV858" s="1051"/>
      <c r="BW858" s="1052"/>
      <c r="BX858" s="1052"/>
      <c r="BY858" s="1052"/>
      <c r="BZ858" s="1052"/>
      <c r="CA858" s="1052"/>
      <c r="CB858" s="1053"/>
      <c r="CC858" s="1053"/>
      <c r="CD858" s="1053"/>
      <c r="CE858" s="1053"/>
      <c r="CF858" s="1053"/>
      <c r="CG858" s="1053"/>
      <c r="CH858" s="1053"/>
      <c r="CI858" s="1123"/>
      <c r="CJ858" s="1123"/>
      <c r="CK858" s="1123"/>
      <c r="CL858" s="1123"/>
      <c r="CM858" s="1123"/>
      <c r="CN858" s="1123"/>
      <c r="CO858" s="1123"/>
      <c r="CP858" s="1123"/>
      <c r="CQ858" s="1123"/>
      <c r="CR858" s="1123"/>
      <c r="CS858" s="1123"/>
      <c r="CT858" s="1123"/>
      <c r="CU858" s="1123"/>
      <c r="CV858" s="1123"/>
      <c r="CW858" s="1123"/>
      <c r="CX858" s="1123"/>
      <c r="CY858" s="1123"/>
      <c r="CZ858" s="1114"/>
      <c r="DA858" s="1114"/>
      <c r="DB858" s="1114"/>
      <c r="DC858" s="1114"/>
      <c r="DD858" s="1114"/>
      <c r="DE858" s="1114"/>
      <c r="DF858" s="1114"/>
      <c r="DG858" s="1114"/>
      <c r="DH858" s="1114"/>
      <c r="DI858" s="1114"/>
      <c r="DJ858" s="1114"/>
      <c r="DK858" s="1114"/>
      <c r="DL858" s="1114"/>
      <c r="DM858" s="1114"/>
      <c r="DN858" s="1114"/>
      <c r="DO858" s="1114"/>
      <c r="DP858" s="1114"/>
      <c r="DQ858" s="1114"/>
      <c r="DR858" s="1114"/>
      <c r="DS858" s="1114"/>
      <c r="DT858" s="1114"/>
      <c r="DU858" s="1114"/>
      <c r="DV858" s="1115"/>
      <c r="DW858" s="1116"/>
      <c r="DX858" s="1116"/>
      <c r="DY858" s="1116"/>
      <c r="DZ858" s="1116"/>
      <c r="EA858" s="1116"/>
      <c r="EB858" s="1116"/>
      <c r="EC858" s="1116"/>
      <c r="ED858" s="1116"/>
      <c r="EE858" s="1116"/>
      <c r="EF858" s="1116"/>
      <c r="EG858" s="1116"/>
      <c r="EH858" s="1116"/>
      <c r="EI858" s="1116"/>
      <c r="EJ858" s="1116"/>
      <c r="EK858" s="1116"/>
      <c r="EL858" s="1116"/>
      <c r="EM858" s="1116"/>
      <c r="EN858" s="1116"/>
      <c r="EO858" s="1116"/>
      <c r="EP858" s="1116"/>
      <c r="EQ858" s="1116"/>
      <c r="ER858" s="1116"/>
      <c r="ES858" s="1116"/>
    </row>
    <row r="859" spans="1:149" ht="15" customHeight="1">
      <c r="A859" s="1185">
        <v>849</v>
      </c>
      <c r="B859" s="1041"/>
      <c r="C859" s="1050"/>
      <c r="D859" s="1050"/>
      <c r="E859" s="1050"/>
      <c r="F859" s="1049"/>
      <c r="G859" s="1049"/>
      <c r="H859" s="1049"/>
      <c r="I859" s="1049"/>
      <c r="J859" s="1050"/>
      <c r="K859" s="1050"/>
      <c r="L859" s="1043"/>
      <c r="M859" s="1051"/>
      <c r="N859" s="1051"/>
      <c r="O859" s="1052"/>
      <c r="P859" s="1051"/>
      <c r="Q859" s="1051"/>
      <c r="R859" s="1052"/>
      <c r="S859" s="1051"/>
      <c r="T859" s="1051"/>
      <c r="U859" s="1052"/>
      <c r="V859" s="1051"/>
      <c r="W859" s="1051"/>
      <c r="X859" s="1052"/>
      <c r="Y859" s="1053"/>
      <c r="Z859" s="1051"/>
      <c r="AA859" s="1051"/>
      <c r="AB859" s="1052"/>
      <c r="AC859" s="1051"/>
      <c r="AD859" s="1051"/>
      <c r="AE859" s="1052"/>
      <c r="AF859" s="1051"/>
      <c r="AG859" s="1051"/>
      <c r="AH859" s="1051"/>
      <c r="AI859" s="1051"/>
      <c r="AJ859" s="1052"/>
      <c r="AK859" s="1051"/>
      <c r="AL859" s="1051"/>
      <c r="AM859" s="1052"/>
      <c r="AN859" s="1051"/>
      <c r="AO859" s="1051"/>
      <c r="AP859" s="1052"/>
      <c r="AQ859" s="1051"/>
      <c r="AR859" s="1051"/>
      <c r="AS859" s="1052"/>
      <c r="AT859" s="1051"/>
      <c r="AU859" s="1051"/>
      <c r="AV859" s="1052"/>
      <c r="AW859" s="1051"/>
      <c r="AX859" s="1051"/>
      <c r="AY859" s="1053"/>
      <c r="AZ859" s="1051"/>
      <c r="BA859" s="1051"/>
      <c r="BB859" s="1053"/>
      <c r="BC859" s="1051"/>
      <c r="BD859" s="1051"/>
      <c r="BE859" s="1053"/>
      <c r="BF859" s="1051"/>
      <c r="BG859" s="1051"/>
      <c r="BH859" s="1053"/>
      <c r="BI859" s="1052"/>
      <c r="BJ859" s="1052"/>
      <c r="BK859" s="1052"/>
      <c r="BL859" s="1052"/>
      <c r="BM859" s="1052"/>
      <c r="BN859" s="1054"/>
      <c r="BO859" s="1076">
        <f t="shared" si="14"/>
        <v>0</v>
      </c>
      <c r="BP859" s="1051"/>
      <c r="BQ859" s="1052"/>
      <c r="BR859" s="1054"/>
      <c r="BS859" s="1053"/>
      <c r="BT859" s="1051"/>
      <c r="BU859" s="1051"/>
      <c r="BV859" s="1051"/>
      <c r="BW859" s="1052"/>
      <c r="BX859" s="1052"/>
      <c r="BY859" s="1052"/>
      <c r="BZ859" s="1052"/>
      <c r="CA859" s="1052"/>
      <c r="CB859" s="1053"/>
      <c r="CC859" s="1053"/>
      <c r="CD859" s="1053"/>
      <c r="CE859" s="1053"/>
      <c r="CF859" s="1053"/>
      <c r="CG859" s="1053"/>
      <c r="CH859" s="1053"/>
      <c r="CI859" s="1123"/>
      <c r="CJ859" s="1123"/>
      <c r="CK859" s="1123"/>
      <c r="CL859" s="1123"/>
      <c r="CM859" s="1123"/>
      <c r="CN859" s="1123"/>
      <c r="CO859" s="1123"/>
      <c r="CP859" s="1123"/>
      <c r="CQ859" s="1123"/>
      <c r="CR859" s="1123"/>
      <c r="CS859" s="1123"/>
      <c r="CT859" s="1123"/>
      <c r="CU859" s="1123"/>
      <c r="CV859" s="1123"/>
      <c r="CW859" s="1123"/>
      <c r="CX859" s="1123"/>
      <c r="CY859" s="1123"/>
      <c r="CZ859" s="1114"/>
      <c r="DA859" s="1114"/>
      <c r="DB859" s="1114"/>
      <c r="DC859" s="1114"/>
      <c r="DD859" s="1114"/>
      <c r="DE859" s="1114"/>
      <c r="DF859" s="1114"/>
      <c r="DG859" s="1114"/>
      <c r="DH859" s="1114"/>
      <c r="DI859" s="1114"/>
      <c r="DJ859" s="1114"/>
      <c r="DK859" s="1114"/>
      <c r="DL859" s="1114"/>
      <c r="DM859" s="1114"/>
      <c r="DN859" s="1114"/>
      <c r="DO859" s="1114"/>
      <c r="DP859" s="1114"/>
      <c r="DQ859" s="1114"/>
      <c r="DR859" s="1114"/>
      <c r="DS859" s="1114"/>
      <c r="DT859" s="1114"/>
      <c r="DU859" s="1114"/>
      <c r="DV859" s="1115"/>
      <c r="DW859" s="1116"/>
      <c r="DX859" s="1116"/>
      <c r="DY859" s="1116"/>
      <c r="DZ859" s="1116"/>
      <c r="EA859" s="1116"/>
      <c r="EB859" s="1116"/>
      <c r="EC859" s="1116"/>
      <c r="ED859" s="1116"/>
      <c r="EE859" s="1116"/>
      <c r="EF859" s="1116"/>
      <c r="EG859" s="1116"/>
      <c r="EH859" s="1116"/>
      <c r="EI859" s="1116"/>
      <c r="EJ859" s="1116"/>
      <c r="EK859" s="1116"/>
      <c r="EL859" s="1116"/>
      <c r="EM859" s="1116"/>
      <c r="EN859" s="1116"/>
      <c r="EO859" s="1116"/>
      <c r="EP859" s="1116"/>
      <c r="EQ859" s="1116"/>
      <c r="ER859" s="1116"/>
      <c r="ES859" s="1116"/>
    </row>
    <row r="860" spans="1:149" ht="15" customHeight="1">
      <c r="A860" s="1185">
        <v>850</v>
      </c>
      <c r="B860" s="1041"/>
      <c r="C860" s="1050"/>
      <c r="D860" s="1050"/>
      <c r="E860" s="1050"/>
      <c r="F860" s="1049"/>
      <c r="G860" s="1049"/>
      <c r="H860" s="1049"/>
      <c r="I860" s="1049"/>
      <c r="J860" s="1050"/>
      <c r="K860" s="1050"/>
      <c r="L860" s="1043"/>
      <c r="M860" s="1051"/>
      <c r="N860" s="1051"/>
      <c r="O860" s="1052"/>
      <c r="P860" s="1051"/>
      <c r="Q860" s="1051"/>
      <c r="R860" s="1052"/>
      <c r="S860" s="1051"/>
      <c r="T860" s="1051"/>
      <c r="U860" s="1052"/>
      <c r="V860" s="1051"/>
      <c r="W860" s="1051"/>
      <c r="X860" s="1052"/>
      <c r="Y860" s="1053"/>
      <c r="Z860" s="1051"/>
      <c r="AA860" s="1051"/>
      <c r="AB860" s="1052"/>
      <c r="AC860" s="1051"/>
      <c r="AD860" s="1051"/>
      <c r="AE860" s="1052"/>
      <c r="AF860" s="1051"/>
      <c r="AG860" s="1051"/>
      <c r="AH860" s="1051"/>
      <c r="AI860" s="1051"/>
      <c r="AJ860" s="1052"/>
      <c r="AK860" s="1051"/>
      <c r="AL860" s="1051"/>
      <c r="AM860" s="1052"/>
      <c r="AN860" s="1051"/>
      <c r="AO860" s="1051"/>
      <c r="AP860" s="1052"/>
      <c r="AQ860" s="1051"/>
      <c r="AR860" s="1051"/>
      <c r="AS860" s="1052"/>
      <c r="AT860" s="1051"/>
      <c r="AU860" s="1051"/>
      <c r="AV860" s="1052"/>
      <c r="AW860" s="1051"/>
      <c r="AX860" s="1051"/>
      <c r="AY860" s="1053"/>
      <c r="AZ860" s="1051"/>
      <c r="BA860" s="1051"/>
      <c r="BB860" s="1053"/>
      <c r="BC860" s="1051"/>
      <c r="BD860" s="1051"/>
      <c r="BE860" s="1053"/>
      <c r="BF860" s="1051"/>
      <c r="BG860" s="1051"/>
      <c r="BH860" s="1053"/>
      <c r="BI860" s="1052"/>
      <c r="BJ860" s="1052"/>
      <c r="BK860" s="1052"/>
      <c r="BL860" s="1052"/>
      <c r="BM860" s="1052"/>
      <c r="BN860" s="1054"/>
      <c r="BO860" s="1076">
        <f t="shared" si="14"/>
        <v>0</v>
      </c>
      <c r="BP860" s="1051"/>
      <c r="BQ860" s="1052"/>
      <c r="BR860" s="1054"/>
      <c r="BS860" s="1053"/>
      <c r="BT860" s="1051"/>
      <c r="BU860" s="1051"/>
      <c r="BV860" s="1051"/>
      <c r="BW860" s="1052"/>
      <c r="BX860" s="1052"/>
      <c r="BY860" s="1052"/>
      <c r="BZ860" s="1052"/>
      <c r="CA860" s="1052"/>
      <c r="CB860" s="1053"/>
      <c r="CC860" s="1053"/>
      <c r="CD860" s="1053"/>
      <c r="CE860" s="1053"/>
      <c r="CF860" s="1053"/>
      <c r="CG860" s="1053"/>
      <c r="CH860" s="1053"/>
      <c r="CI860" s="1123"/>
      <c r="CJ860" s="1123"/>
      <c r="CK860" s="1123"/>
      <c r="CL860" s="1123"/>
      <c r="CM860" s="1123"/>
      <c r="CN860" s="1123"/>
      <c r="CO860" s="1123"/>
      <c r="CP860" s="1123"/>
      <c r="CQ860" s="1123"/>
      <c r="CR860" s="1123"/>
      <c r="CS860" s="1123"/>
      <c r="CT860" s="1123"/>
      <c r="CU860" s="1123"/>
      <c r="CV860" s="1123"/>
      <c r="CW860" s="1123"/>
      <c r="CX860" s="1123"/>
      <c r="CY860" s="1123"/>
      <c r="CZ860" s="1114"/>
      <c r="DA860" s="1114"/>
      <c r="DB860" s="1114"/>
      <c r="DC860" s="1114"/>
      <c r="DD860" s="1114"/>
      <c r="DE860" s="1114"/>
      <c r="DF860" s="1114"/>
      <c r="DG860" s="1114"/>
      <c r="DH860" s="1114"/>
      <c r="DI860" s="1114"/>
      <c r="DJ860" s="1114"/>
      <c r="DK860" s="1114"/>
      <c r="DL860" s="1114"/>
      <c r="DM860" s="1114"/>
      <c r="DN860" s="1114"/>
      <c r="DO860" s="1114"/>
      <c r="DP860" s="1114"/>
      <c r="DQ860" s="1114"/>
      <c r="DR860" s="1114"/>
      <c r="DS860" s="1114"/>
      <c r="DT860" s="1114"/>
      <c r="DU860" s="1114"/>
      <c r="DV860" s="1115"/>
      <c r="DW860" s="1116"/>
      <c r="DX860" s="1116"/>
      <c r="DY860" s="1116"/>
      <c r="DZ860" s="1116"/>
      <c r="EA860" s="1116"/>
      <c r="EB860" s="1116"/>
      <c r="EC860" s="1116"/>
      <c r="ED860" s="1116"/>
      <c r="EE860" s="1116"/>
      <c r="EF860" s="1116"/>
      <c r="EG860" s="1116"/>
      <c r="EH860" s="1116"/>
      <c r="EI860" s="1116"/>
      <c r="EJ860" s="1116"/>
      <c r="EK860" s="1116"/>
      <c r="EL860" s="1116"/>
      <c r="EM860" s="1116"/>
      <c r="EN860" s="1116"/>
      <c r="EO860" s="1116"/>
      <c r="EP860" s="1116"/>
      <c r="EQ860" s="1116"/>
      <c r="ER860" s="1116"/>
      <c r="ES860" s="1116"/>
    </row>
    <row r="861" spans="1:149" ht="15" customHeight="1">
      <c r="A861" s="1185">
        <v>851</v>
      </c>
      <c r="B861" s="1041"/>
      <c r="C861" s="1050"/>
      <c r="D861" s="1050"/>
      <c r="E861" s="1050"/>
      <c r="F861" s="1049"/>
      <c r="G861" s="1049"/>
      <c r="H861" s="1049"/>
      <c r="I861" s="1049"/>
      <c r="J861" s="1050"/>
      <c r="K861" s="1050"/>
      <c r="L861" s="1043"/>
      <c r="M861" s="1051"/>
      <c r="N861" s="1051"/>
      <c r="O861" s="1052"/>
      <c r="P861" s="1051"/>
      <c r="Q861" s="1051"/>
      <c r="R861" s="1052"/>
      <c r="S861" s="1051"/>
      <c r="T861" s="1051"/>
      <c r="U861" s="1052"/>
      <c r="V861" s="1051"/>
      <c r="W861" s="1051"/>
      <c r="X861" s="1052"/>
      <c r="Y861" s="1053"/>
      <c r="Z861" s="1051"/>
      <c r="AA861" s="1051"/>
      <c r="AB861" s="1052"/>
      <c r="AC861" s="1051"/>
      <c r="AD861" s="1051"/>
      <c r="AE861" s="1052"/>
      <c r="AF861" s="1051"/>
      <c r="AG861" s="1051"/>
      <c r="AH861" s="1051"/>
      <c r="AI861" s="1051"/>
      <c r="AJ861" s="1052"/>
      <c r="AK861" s="1051"/>
      <c r="AL861" s="1051"/>
      <c r="AM861" s="1052"/>
      <c r="AN861" s="1051"/>
      <c r="AO861" s="1051"/>
      <c r="AP861" s="1052"/>
      <c r="AQ861" s="1051"/>
      <c r="AR861" s="1051"/>
      <c r="AS861" s="1052"/>
      <c r="AT861" s="1051"/>
      <c r="AU861" s="1051"/>
      <c r="AV861" s="1052"/>
      <c r="AW861" s="1051"/>
      <c r="AX861" s="1051"/>
      <c r="AY861" s="1053"/>
      <c r="AZ861" s="1051"/>
      <c r="BA861" s="1051"/>
      <c r="BB861" s="1053"/>
      <c r="BC861" s="1051"/>
      <c r="BD861" s="1051"/>
      <c r="BE861" s="1053"/>
      <c r="BF861" s="1051"/>
      <c r="BG861" s="1051"/>
      <c r="BH861" s="1053"/>
      <c r="BI861" s="1052"/>
      <c r="BJ861" s="1052"/>
      <c r="BK861" s="1052"/>
      <c r="BL861" s="1052"/>
      <c r="BM861" s="1052"/>
      <c r="BN861" s="1054"/>
      <c r="BO861" s="1076">
        <f t="shared" si="14"/>
        <v>0</v>
      </c>
      <c r="BP861" s="1051"/>
      <c r="BQ861" s="1052"/>
      <c r="BR861" s="1054"/>
      <c r="BS861" s="1053"/>
      <c r="BT861" s="1051"/>
      <c r="BU861" s="1051"/>
      <c r="BV861" s="1051"/>
      <c r="BW861" s="1052"/>
      <c r="BX861" s="1052"/>
      <c r="BY861" s="1052"/>
      <c r="BZ861" s="1052"/>
      <c r="CA861" s="1052"/>
      <c r="CB861" s="1053"/>
      <c r="CC861" s="1053"/>
      <c r="CD861" s="1053"/>
      <c r="CE861" s="1053"/>
      <c r="CF861" s="1053"/>
      <c r="CG861" s="1053"/>
      <c r="CH861" s="1053"/>
      <c r="CI861" s="1123"/>
      <c r="CJ861" s="1123"/>
      <c r="CK861" s="1123"/>
      <c r="CL861" s="1123"/>
      <c r="CM861" s="1123"/>
      <c r="CN861" s="1123"/>
      <c r="CO861" s="1123"/>
      <c r="CP861" s="1123"/>
      <c r="CQ861" s="1123"/>
      <c r="CR861" s="1123"/>
      <c r="CS861" s="1123"/>
      <c r="CT861" s="1123"/>
      <c r="CU861" s="1123"/>
      <c r="CV861" s="1123"/>
      <c r="CW861" s="1123"/>
      <c r="CX861" s="1123"/>
      <c r="CY861" s="1123"/>
      <c r="CZ861" s="1114"/>
      <c r="DA861" s="1114"/>
      <c r="DB861" s="1114"/>
      <c r="DC861" s="1114"/>
      <c r="DD861" s="1114"/>
      <c r="DE861" s="1114"/>
      <c r="DF861" s="1114"/>
      <c r="DG861" s="1114"/>
      <c r="DH861" s="1114"/>
      <c r="DI861" s="1114"/>
      <c r="DJ861" s="1114"/>
      <c r="DK861" s="1114"/>
      <c r="DL861" s="1114"/>
      <c r="DM861" s="1114"/>
      <c r="DN861" s="1114"/>
      <c r="DO861" s="1114"/>
      <c r="DP861" s="1114"/>
      <c r="DQ861" s="1114"/>
      <c r="DR861" s="1114"/>
      <c r="DS861" s="1114"/>
      <c r="DT861" s="1114"/>
      <c r="DU861" s="1114"/>
      <c r="DV861" s="1115"/>
      <c r="DW861" s="1116"/>
      <c r="DX861" s="1116"/>
      <c r="DY861" s="1116"/>
      <c r="DZ861" s="1116"/>
      <c r="EA861" s="1116"/>
      <c r="EB861" s="1116"/>
      <c r="EC861" s="1116"/>
      <c r="ED861" s="1116"/>
      <c r="EE861" s="1116"/>
      <c r="EF861" s="1116"/>
      <c r="EG861" s="1116"/>
      <c r="EH861" s="1116"/>
      <c r="EI861" s="1116"/>
      <c r="EJ861" s="1116"/>
      <c r="EK861" s="1116"/>
      <c r="EL861" s="1116"/>
      <c r="EM861" s="1116"/>
      <c r="EN861" s="1116"/>
      <c r="EO861" s="1116"/>
      <c r="EP861" s="1116"/>
      <c r="EQ861" s="1116"/>
      <c r="ER861" s="1116"/>
      <c r="ES861" s="1116"/>
    </row>
    <row r="862" spans="1:149" ht="15" customHeight="1">
      <c r="A862" s="1185">
        <v>852</v>
      </c>
      <c r="B862" s="1041"/>
      <c r="C862" s="1050"/>
      <c r="D862" s="1050"/>
      <c r="E862" s="1050"/>
      <c r="F862" s="1049"/>
      <c r="G862" s="1049"/>
      <c r="H862" s="1049"/>
      <c r="I862" s="1049"/>
      <c r="J862" s="1050"/>
      <c r="K862" s="1050"/>
      <c r="L862" s="1043"/>
      <c r="M862" s="1051"/>
      <c r="N862" s="1051"/>
      <c r="O862" s="1052"/>
      <c r="P862" s="1051"/>
      <c r="Q862" s="1051"/>
      <c r="R862" s="1052"/>
      <c r="S862" s="1051"/>
      <c r="T862" s="1051"/>
      <c r="U862" s="1052"/>
      <c r="V862" s="1051"/>
      <c r="W862" s="1051"/>
      <c r="X862" s="1052"/>
      <c r="Y862" s="1053"/>
      <c r="Z862" s="1051"/>
      <c r="AA862" s="1051"/>
      <c r="AB862" s="1052"/>
      <c r="AC862" s="1051"/>
      <c r="AD862" s="1051"/>
      <c r="AE862" s="1052"/>
      <c r="AF862" s="1051"/>
      <c r="AG862" s="1051"/>
      <c r="AH862" s="1051"/>
      <c r="AI862" s="1051"/>
      <c r="AJ862" s="1052"/>
      <c r="AK862" s="1051"/>
      <c r="AL862" s="1051"/>
      <c r="AM862" s="1052"/>
      <c r="AN862" s="1051"/>
      <c r="AO862" s="1051"/>
      <c r="AP862" s="1052"/>
      <c r="AQ862" s="1051"/>
      <c r="AR862" s="1051"/>
      <c r="AS862" s="1052"/>
      <c r="AT862" s="1051"/>
      <c r="AU862" s="1051"/>
      <c r="AV862" s="1052"/>
      <c r="AW862" s="1051"/>
      <c r="AX862" s="1051"/>
      <c r="AY862" s="1053"/>
      <c r="AZ862" s="1051"/>
      <c r="BA862" s="1051"/>
      <c r="BB862" s="1053"/>
      <c r="BC862" s="1051"/>
      <c r="BD862" s="1051"/>
      <c r="BE862" s="1053"/>
      <c r="BF862" s="1051"/>
      <c r="BG862" s="1051"/>
      <c r="BH862" s="1053"/>
      <c r="BI862" s="1052"/>
      <c r="BJ862" s="1052"/>
      <c r="BK862" s="1052"/>
      <c r="BL862" s="1052"/>
      <c r="BM862" s="1052"/>
      <c r="BN862" s="1054"/>
      <c r="BO862" s="1076">
        <f t="shared" si="14"/>
        <v>0</v>
      </c>
      <c r="BP862" s="1051"/>
      <c r="BQ862" s="1052"/>
      <c r="BR862" s="1054"/>
      <c r="BS862" s="1053"/>
      <c r="BT862" s="1051"/>
      <c r="BU862" s="1051"/>
      <c r="BV862" s="1051"/>
      <c r="BW862" s="1052"/>
      <c r="BX862" s="1052"/>
      <c r="BY862" s="1052"/>
      <c r="BZ862" s="1052"/>
      <c r="CA862" s="1052"/>
      <c r="CB862" s="1053"/>
      <c r="CC862" s="1053"/>
      <c r="CD862" s="1053"/>
      <c r="CE862" s="1053"/>
      <c r="CF862" s="1053"/>
      <c r="CG862" s="1053"/>
      <c r="CH862" s="1053"/>
      <c r="CI862" s="1123"/>
      <c r="CJ862" s="1123"/>
      <c r="CK862" s="1123"/>
      <c r="CL862" s="1123"/>
      <c r="CM862" s="1123"/>
      <c r="CN862" s="1123"/>
      <c r="CO862" s="1123"/>
      <c r="CP862" s="1123"/>
      <c r="CQ862" s="1123"/>
      <c r="CR862" s="1123"/>
      <c r="CS862" s="1123"/>
      <c r="CT862" s="1123"/>
      <c r="CU862" s="1123"/>
      <c r="CV862" s="1123"/>
      <c r="CW862" s="1123"/>
      <c r="CX862" s="1123"/>
      <c r="CY862" s="1123"/>
      <c r="CZ862" s="1114"/>
      <c r="DA862" s="1114"/>
      <c r="DB862" s="1114"/>
      <c r="DC862" s="1114"/>
      <c r="DD862" s="1114"/>
      <c r="DE862" s="1114"/>
      <c r="DF862" s="1114"/>
      <c r="DG862" s="1114"/>
      <c r="DH862" s="1114"/>
      <c r="DI862" s="1114"/>
      <c r="DJ862" s="1114"/>
      <c r="DK862" s="1114"/>
      <c r="DL862" s="1114"/>
      <c r="DM862" s="1114"/>
      <c r="DN862" s="1114"/>
      <c r="DO862" s="1114"/>
      <c r="DP862" s="1114"/>
      <c r="DQ862" s="1114"/>
      <c r="DR862" s="1114"/>
      <c r="DS862" s="1114"/>
      <c r="DT862" s="1114"/>
      <c r="DU862" s="1114"/>
      <c r="DV862" s="1115"/>
      <c r="DW862" s="1116"/>
      <c r="DX862" s="1116"/>
      <c r="DY862" s="1116"/>
      <c r="DZ862" s="1116"/>
      <c r="EA862" s="1116"/>
      <c r="EB862" s="1116"/>
      <c r="EC862" s="1116"/>
      <c r="ED862" s="1116"/>
      <c r="EE862" s="1116"/>
      <c r="EF862" s="1116"/>
      <c r="EG862" s="1116"/>
      <c r="EH862" s="1116"/>
      <c r="EI862" s="1116"/>
      <c r="EJ862" s="1116"/>
      <c r="EK862" s="1116"/>
      <c r="EL862" s="1116"/>
      <c r="EM862" s="1116"/>
      <c r="EN862" s="1116"/>
      <c r="EO862" s="1116"/>
      <c r="EP862" s="1116"/>
      <c r="EQ862" s="1116"/>
      <c r="ER862" s="1116"/>
      <c r="ES862" s="1116"/>
    </row>
    <row r="863" spans="1:149" ht="15" customHeight="1">
      <c r="A863" s="1185">
        <v>853</v>
      </c>
      <c r="B863" s="1041"/>
      <c r="C863" s="1050"/>
      <c r="D863" s="1050"/>
      <c r="E863" s="1050"/>
      <c r="F863" s="1049"/>
      <c r="G863" s="1049"/>
      <c r="H863" s="1049"/>
      <c r="I863" s="1049"/>
      <c r="J863" s="1050"/>
      <c r="K863" s="1050"/>
      <c r="L863" s="1043"/>
      <c r="M863" s="1051"/>
      <c r="N863" s="1051"/>
      <c r="O863" s="1052"/>
      <c r="P863" s="1051"/>
      <c r="Q863" s="1051"/>
      <c r="R863" s="1052"/>
      <c r="S863" s="1051"/>
      <c r="T863" s="1051"/>
      <c r="U863" s="1052"/>
      <c r="V863" s="1051"/>
      <c r="W863" s="1051"/>
      <c r="X863" s="1052"/>
      <c r="Y863" s="1053"/>
      <c r="Z863" s="1051"/>
      <c r="AA863" s="1051"/>
      <c r="AB863" s="1052"/>
      <c r="AC863" s="1051"/>
      <c r="AD863" s="1051"/>
      <c r="AE863" s="1052"/>
      <c r="AF863" s="1051"/>
      <c r="AG863" s="1051"/>
      <c r="AH863" s="1051"/>
      <c r="AI863" s="1051"/>
      <c r="AJ863" s="1052"/>
      <c r="AK863" s="1051"/>
      <c r="AL863" s="1051"/>
      <c r="AM863" s="1052"/>
      <c r="AN863" s="1051"/>
      <c r="AO863" s="1051"/>
      <c r="AP863" s="1052"/>
      <c r="AQ863" s="1051"/>
      <c r="AR863" s="1051"/>
      <c r="AS863" s="1052"/>
      <c r="AT863" s="1051"/>
      <c r="AU863" s="1051"/>
      <c r="AV863" s="1052"/>
      <c r="AW863" s="1051"/>
      <c r="AX863" s="1051"/>
      <c r="AY863" s="1053"/>
      <c r="AZ863" s="1051"/>
      <c r="BA863" s="1051"/>
      <c r="BB863" s="1053"/>
      <c r="BC863" s="1051"/>
      <c r="BD863" s="1051"/>
      <c r="BE863" s="1053"/>
      <c r="BF863" s="1051"/>
      <c r="BG863" s="1051"/>
      <c r="BH863" s="1053"/>
      <c r="BI863" s="1052"/>
      <c r="BJ863" s="1052"/>
      <c r="BK863" s="1052"/>
      <c r="BL863" s="1052"/>
      <c r="BM863" s="1052"/>
      <c r="BN863" s="1054"/>
      <c r="BO863" s="1076">
        <f t="shared" si="14"/>
        <v>0</v>
      </c>
      <c r="BP863" s="1051"/>
      <c r="BQ863" s="1052"/>
      <c r="BR863" s="1054"/>
      <c r="BS863" s="1053"/>
      <c r="BT863" s="1051"/>
      <c r="BU863" s="1051"/>
      <c r="BV863" s="1051"/>
      <c r="BW863" s="1052"/>
      <c r="BX863" s="1052"/>
      <c r="BY863" s="1052"/>
      <c r="BZ863" s="1052"/>
      <c r="CA863" s="1052"/>
      <c r="CB863" s="1053"/>
      <c r="CC863" s="1053"/>
      <c r="CD863" s="1053"/>
      <c r="CE863" s="1053"/>
      <c r="CF863" s="1053"/>
      <c r="CG863" s="1053"/>
      <c r="CH863" s="1053"/>
      <c r="CI863" s="1123"/>
      <c r="CJ863" s="1123"/>
      <c r="CK863" s="1123"/>
      <c r="CL863" s="1123"/>
      <c r="CM863" s="1123"/>
      <c r="CN863" s="1123"/>
      <c r="CO863" s="1123"/>
      <c r="CP863" s="1123"/>
      <c r="CQ863" s="1123"/>
      <c r="CR863" s="1123"/>
      <c r="CS863" s="1123"/>
      <c r="CT863" s="1123"/>
      <c r="CU863" s="1123"/>
      <c r="CV863" s="1123"/>
      <c r="CW863" s="1123"/>
      <c r="CX863" s="1123"/>
      <c r="CY863" s="1123"/>
      <c r="CZ863" s="1114"/>
      <c r="DA863" s="1114"/>
      <c r="DB863" s="1114"/>
      <c r="DC863" s="1114"/>
      <c r="DD863" s="1114"/>
      <c r="DE863" s="1114"/>
      <c r="DF863" s="1114"/>
      <c r="DG863" s="1114"/>
      <c r="DH863" s="1114"/>
      <c r="DI863" s="1114"/>
      <c r="DJ863" s="1114"/>
      <c r="DK863" s="1114"/>
      <c r="DL863" s="1114"/>
      <c r="DM863" s="1114"/>
      <c r="DN863" s="1114"/>
      <c r="DO863" s="1114"/>
      <c r="DP863" s="1114"/>
      <c r="DQ863" s="1114"/>
      <c r="DR863" s="1114"/>
      <c r="DS863" s="1114"/>
      <c r="DT863" s="1114"/>
      <c r="DU863" s="1114"/>
      <c r="DV863" s="1115"/>
      <c r="DW863" s="1116"/>
      <c r="DX863" s="1116"/>
      <c r="DY863" s="1116"/>
      <c r="DZ863" s="1116"/>
      <c r="EA863" s="1116"/>
      <c r="EB863" s="1116"/>
      <c r="EC863" s="1116"/>
      <c r="ED863" s="1116"/>
      <c r="EE863" s="1116"/>
      <c r="EF863" s="1116"/>
      <c r="EG863" s="1116"/>
      <c r="EH863" s="1116"/>
      <c r="EI863" s="1116"/>
      <c r="EJ863" s="1116"/>
      <c r="EK863" s="1116"/>
      <c r="EL863" s="1116"/>
      <c r="EM863" s="1116"/>
      <c r="EN863" s="1116"/>
      <c r="EO863" s="1116"/>
      <c r="EP863" s="1116"/>
      <c r="EQ863" s="1116"/>
      <c r="ER863" s="1116"/>
      <c r="ES863" s="1116"/>
    </row>
    <row r="864" spans="1:149" ht="15" customHeight="1">
      <c r="A864" s="1185">
        <v>854</v>
      </c>
      <c r="B864" s="1041"/>
      <c r="C864" s="1050"/>
      <c r="D864" s="1050"/>
      <c r="E864" s="1050"/>
      <c r="F864" s="1049"/>
      <c r="G864" s="1049"/>
      <c r="H864" s="1049"/>
      <c r="I864" s="1049"/>
      <c r="J864" s="1050"/>
      <c r="K864" s="1050"/>
      <c r="L864" s="1043"/>
      <c r="M864" s="1051"/>
      <c r="N864" s="1051"/>
      <c r="O864" s="1052"/>
      <c r="P864" s="1051"/>
      <c r="Q864" s="1051"/>
      <c r="R864" s="1052"/>
      <c r="S864" s="1051"/>
      <c r="T864" s="1051"/>
      <c r="U864" s="1052"/>
      <c r="V864" s="1051"/>
      <c r="W864" s="1051"/>
      <c r="X864" s="1052"/>
      <c r="Y864" s="1053"/>
      <c r="Z864" s="1051"/>
      <c r="AA864" s="1051"/>
      <c r="AB864" s="1052"/>
      <c r="AC864" s="1051"/>
      <c r="AD864" s="1051"/>
      <c r="AE864" s="1052"/>
      <c r="AF864" s="1051"/>
      <c r="AG864" s="1051"/>
      <c r="AH864" s="1051"/>
      <c r="AI864" s="1051"/>
      <c r="AJ864" s="1052"/>
      <c r="AK864" s="1051"/>
      <c r="AL864" s="1051"/>
      <c r="AM864" s="1052"/>
      <c r="AN864" s="1051"/>
      <c r="AO864" s="1051"/>
      <c r="AP864" s="1052"/>
      <c r="AQ864" s="1051"/>
      <c r="AR864" s="1051"/>
      <c r="AS864" s="1052"/>
      <c r="AT864" s="1051"/>
      <c r="AU864" s="1051"/>
      <c r="AV864" s="1052"/>
      <c r="AW864" s="1051"/>
      <c r="AX864" s="1051"/>
      <c r="AY864" s="1053"/>
      <c r="AZ864" s="1051"/>
      <c r="BA864" s="1051"/>
      <c r="BB864" s="1053"/>
      <c r="BC864" s="1051"/>
      <c r="BD864" s="1051"/>
      <c r="BE864" s="1053"/>
      <c r="BF864" s="1051"/>
      <c r="BG864" s="1051"/>
      <c r="BH864" s="1053"/>
      <c r="BI864" s="1052"/>
      <c r="BJ864" s="1052"/>
      <c r="BK864" s="1052"/>
      <c r="BL864" s="1052"/>
      <c r="BM864" s="1052"/>
      <c r="BN864" s="1054"/>
      <c r="BO864" s="1076">
        <f t="shared" si="14"/>
        <v>0</v>
      </c>
      <c r="BP864" s="1051"/>
      <c r="BQ864" s="1052"/>
      <c r="BR864" s="1054"/>
      <c r="BS864" s="1053"/>
      <c r="BT864" s="1051"/>
      <c r="BU864" s="1051"/>
      <c r="BV864" s="1051"/>
      <c r="BW864" s="1052"/>
      <c r="BX864" s="1052"/>
      <c r="BY864" s="1052"/>
      <c r="BZ864" s="1052"/>
      <c r="CA864" s="1052"/>
      <c r="CB864" s="1053"/>
      <c r="CC864" s="1053"/>
      <c r="CD864" s="1053"/>
      <c r="CE864" s="1053"/>
      <c r="CF864" s="1053"/>
      <c r="CG864" s="1053"/>
      <c r="CH864" s="1053"/>
      <c r="CI864" s="1123"/>
      <c r="CJ864" s="1123"/>
      <c r="CK864" s="1123"/>
      <c r="CL864" s="1123"/>
      <c r="CM864" s="1123"/>
      <c r="CN864" s="1123"/>
      <c r="CO864" s="1123"/>
      <c r="CP864" s="1123"/>
      <c r="CQ864" s="1123"/>
      <c r="CR864" s="1123"/>
      <c r="CS864" s="1123"/>
      <c r="CT864" s="1123"/>
      <c r="CU864" s="1123"/>
      <c r="CV864" s="1123"/>
      <c r="CW864" s="1123"/>
      <c r="CX864" s="1123"/>
      <c r="CY864" s="1123"/>
      <c r="CZ864" s="1114"/>
      <c r="DA864" s="1114"/>
      <c r="DB864" s="1114"/>
      <c r="DC864" s="1114"/>
      <c r="DD864" s="1114"/>
      <c r="DE864" s="1114"/>
      <c r="DF864" s="1114"/>
      <c r="DG864" s="1114"/>
      <c r="DH864" s="1114"/>
      <c r="DI864" s="1114"/>
      <c r="DJ864" s="1114"/>
      <c r="DK864" s="1114"/>
      <c r="DL864" s="1114"/>
      <c r="DM864" s="1114"/>
      <c r="DN864" s="1114"/>
      <c r="DO864" s="1114"/>
      <c r="DP864" s="1114"/>
      <c r="DQ864" s="1114"/>
      <c r="DR864" s="1114"/>
      <c r="DS864" s="1114"/>
      <c r="DT864" s="1114"/>
      <c r="DU864" s="1114"/>
      <c r="DV864" s="1115"/>
      <c r="DW864" s="1116"/>
      <c r="DX864" s="1116"/>
      <c r="DY864" s="1116"/>
      <c r="DZ864" s="1116"/>
      <c r="EA864" s="1116"/>
      <c r="EB864" s="1116"/>
      <c r="EC864" s="1116"/>
      <c r="ED864" s="1116"/>
      <c r="EE864" s="1116"/>
      <c r="EF864" s="1116"/>
      <c r="EG864" s="1116"/>
      <c r="EH864" s="1116"/>
      <c r="EI864" s="1116"/>
      <c r="EJ864" s="1116"/>
      <c r="EK864" s="1116"/>
      <c r="EL864" s="1116"/>
      <c r="EM864" s="1116"/>
      <c r="EN864" s="1116"/>
      <c r="EO864" s="1116"/>
      <c r="EP864" s="1116"/>
      <c r="EQ864" s="1116"/>
      <c r="ER864" s="1116"/>
      <c r="ES864" s="1116"/>
    </row>
    <row r="865" spans="1:149" ht="15" customHeight="1">
      <c r="A865" s="1185">
        <v>855</v>
      </c>
      <c r="B865" s="1041"/>
      <c r="C865" s="1050"/>
      <c r="D865" s="1050"/>
      <c r="E865" s="1050"/>
      <c r="F865" s="1049"/>
      <c r="G865" s="1049"/>
      <c r="H865" s="1049"/>
      <c r="I865" s="1049"/>
      <c r="J865" s="1050"/>
      <c r="K865" s="1050"/>
      <c r="L865" s="1043"/>
      <c r="M865" s="1051"/>
      <c r="N865" s="1051"/>
      <c r="O865" s="1052"/>
      <c r="P865" s="1051"/>
      <c r="Q865" s="1051"/>
      <c r="R865" s="1052"/>
      <c r="S865" s="1051"/>
      <c r="T865" s="1051"/>
      <c r="U865" s="1052"/>
      <c r="V865" s="1051"/>
      <c r="W865" s="1051"/>
      <c r="X865" s="1052"/>
      <c r="Y865" s="1053"/>
      <c r="Z865" s="1051"/>
      <c r="AA865" s="1051"/>
      <c r="AB865" s="1052"/>
      <c r="AC865" s="1051"/>
      <c r="AD865" s="1051"/>
      <c r="AE865" s="1052"/>
      <c r="AF865" s="1051"/>
      <c r="AG865" s="1051"/>
      <c r="AH865" s="1051"/>
      <c r="AI865" s="1051"/>
      <c r="AJ865" s="1052"/>
      <c r="AK865" s="1051"/>
      <c r="AL865" s="1051"/>
      <c r="AM865" s="1052"/>
      <c r="AN865" s="1051"/>
      <c r="AO865" s="1051"/>
      <c r="AP865" s="1052"/>
      <c r="AQ865" s="1051"/>
      <c r="AR865" s="1051"/>
      <c r="AS865" s="1052"/>
      <c r="AT865" s="1051"/>
      <c r="AU865" s="1051"/>
      <c r="AV865" s="1052"/>
      <c r="AW865" s="1051"/>
      <c r="AX865" s="1051"/>
      <c r="AY865" s="1053"/>
      <c r="AZ865" s="1051"/>
      <c r="BA865" s="1051"/>
      <c r="BB865" s="1053"/>
      <c r="BC865" s="1051"/>
      <c r="BD865" s="1051"/>
      <c r="BE865" s="1053"/>
      <c r="BF865" s="1051"/>
      <c r="BG865" s="1051"/>
      <c r="BH865" s="1053"/>
      <c r="BI865" s="1052"/>
      <c r="BJ865" s="1052"/>
      <c r="BK865" s="1052"/>
      <c r="BL865" s="1052"/>
      <c r="BM865" s="1052"/>
      <c r="BN865" s="1054"/>
      <c r="BO865" s="1076">
        <f t="shared" si="14"/>
        <v>0</v>
      </c>
      <c r="BP865" s="1051"/>
      <c r="BQ865" s="1052"/>
      <c r="BR865" s="1054"/>
      <c r="BS865" s="1053"/>
      <c r="BT865" s="1051"/>
      <c r="BU865" s="1051"/>
      <c r="BV865" s="1051"/>
      <c r="BW865" s="1052"/>
      <c r="BX865" s="1052"/>
      <c r="BY865" s="1052"/>
      <c r="BZ865" s="1052"/>
      <c r="CA865" s="1052"/>
      <c r="CB865" s="1053"/>
      <c r="CC865" s="1053"/>
      <c r="CD865" s="1053"/>
      <c r="CE865" s="1053"/>
      <c r="CF865" s="1053"/>
      <c r="CG865" s="1053"/>
      <c r="CH865" s="1053"/>
      <c r="CI865" s="1123"/>
      <c r="CJ865" s="1123"/>
      <c r="CK865" s="1123"/>
      <c r="CL865" s="1123"/>
      <c r="CM865" s="1123"/>
      <c r="CN865" s="1123"/>
      <c r="CO865" s="1123"/>
      <c r="CP865" s="1123"/>
      <c r="CQ865" s="1123"/>
      <c r="CR865" s="1123"/>
      <c r="CS865" s="1123"/>
      <c r="CT865" s="1123"/>
      <c r="CU865" s="1123"/>
      <c r="CV865" s="1123"/>
      <c r="CW865" s="1123"/>
      <c r="CX865" s="1123"/>
      <c r="CY865" s="1123"/>
      <c r="CZ865" s="1114"/>
      <c r="DA865" s="1114"/>
      <c r="DB865" s="1114"/>
      <c r="DC865" s="1114"/>
      <c r="DD865" s="1114"/>
      <c r="DE865" s="1114"/>
      <c r="DF865" s="1114"/>
      <c r="DG865" s="1114"/>
      <c r="DH865" s="1114"/>
      <c r="DI865" s="1114"/>
      <c r="DJ865" s="1114"/>
      <c r="DK865" s="1114"/>
      <c r="DL865" s="1114"/>
      <c r="DM865" s="1114"/>
      <c r="DN865" s="1114"/>
      <c r="DO865" s="1114"/>
      <c r="DP865" s="1114"/>
      <c r="DQ865" s="1114"/>
      <c r="DR865" s="1114"/>
      <c r="DS865" s="1114"/>
      <c r="DT865" s="1114"/>
      <c r="DU865" s="1114"/>
      <c r="DV865" s="1115"/>
      <c r="DW865" s="1116"/>
      <c r="DX865" s="1116"/>
      <c r="DY865" s="1116"/>
      <c r="DZ865" s="1116"/>
      <c r="EA865" s="1116"/>
      <c r="EB865" s="1116"/>
      <c r="EC865" s="1116"/>
      <c r="ED865" s="1116"/>
      <c r="EE865" s="1116"/>
      <c r="EF865" s="1116"/>
      <c r="EG865" s="1116"/>
      <c r="EH865" s="1116"/>
      <c r="EI865" s="1116"/>
      <c r="EJ865" s="1116"/>
      <c r="EK865" s="1116"/>
      <c r="EL865" s="1116"/>
      <c r="EM865" s="1116"/>
      <c r="EN865" s="1116"/>
      <c r="EO865" s="1116"/>
      <c r="EP865" s="1116"/>
      <c r="EQ865" s="1116"/>
      <c r="ER865" s="1116"/>
      <c r="ES865" s="1116"/>
    </row>
    <row r="866" spans="1:149" ht="15" customHeight="1">
      <c r="A866" s="1185">
        <v>856</v>
      </c>
      <c r="B866" s="1041"/>
      <c r="C866" s="1050"/>
      <c r="D866" s="1050"/>
      <c r="E866" s="1050"/>
      <c r="F866" s="1049"/>
      <c r="G866" s="1049"/>
      <c r="H866" s="1049"/>
      <c r="I866" s="1049"/>
      <c r="J866" s="1050"/>
      <c r="K866" s="1050"/>
      <c r="L866" s="1043"/>
      <c r="M866" s="1051"/>
      <c r="N866" s="1051"/>
      <c r="O866" s="1052"/>
      <c r="P866" s="1051"/>
      <c r="Q866" s="1051"/>
      <c r="R866" s="1052"/>
      <c r="S866" s="1051"/>
      <c r="T866" s="1051"/>
      <c r="U866" s="1052"/>
      <c r="V866" s="1051"/>
      <c r="W866" s="1051"/>
      <c r="X866" s="1052"/>
      <c r="Y866" s="1053"/>
      <c r="Z866" s="1051"/>
      <c r="AA866" s="1051"/>
      <c r="AB866" s="1052"/>
      <c r="AC866" s="1051"/>
      <c r="AD866" s="1051"/>
      <c r="AE866" s="1052"/>
      <c r="AF866" s="1051"/>
      <c r="AG866" s="1051"/>
      <c r="AH866" s="1051"/>
      <c r="AI866" s="1051"/>
      <c r="AJ866" s="1052"/>
      <c r="AK866" s="1051"/>
      <c r="AL866" s="1051"/>
      <c r="AM866" s="1052"/>
      <c r="AN866" s="1051"/>
      <c r="AO866" s="1051"/>
      <c r="AP866" s="1052"/>
      <c r="AQ866" s="1051"/>
      <c r="AR866" s="1051"/>
      <c r="AS866" s="1052"/>
      <c r="AT866" s="1051"/>
      <c r="AU866" s="1051"/>
      <c r="AV866" s="1052"/>
      <c r="AW866" s="1051"/>
      <c r="AX866" s="1051"/>
      <c r="AY866" s="1053"/>
      <c r="AZ866" s="1051"/>
      <c r="BA866" s="1051"/>
      <c r="BB866" s="1053"/>
      <c r="BC866" s="1051"/>
      <c r="BD866" s="1051"/>
      <c r="BE866" s="1053"/>
      <c r="BF866" s="1051"/>
      <c r="BG866" s="1051"/>
      <c r="BH866" s="1053"/>
      <c r="BI866" s="1052"/>
      <c r="BJ866" s="1052"/>
      <c r="BK866" s="1052"/>
      <c r="BL866" s="1052"/>
      <c r="BM866" s="1052"/>
      <c r="BN866" s="1054"/>
      <c r="BO866" s="1076">
        <f t="shared" si="14"/>
        <v>0</v>
      </c>
      <c r="BP866" s="1051"/>
      <c r="BQ866" s="1052"/>
      <c r="BR866" s="1054"/>
      <c r="BS866" s="1053"/>
      <c r="BT866" s="1051"/>
      <c r="BU866" s="1051"/>
      <c r="BV866" s="1051"/>
      <c r="BW866" s="1052"/>
      <c r="BX866" s="1052"/>
      <c r="BY866" s="1052"/>
      <c r="BZ866" s="1052"/>
      <c r="CA866" s="1052"/>
      <c r="CB866" s="1053"/>
      <c r="CC866" s="1053"/>
      <c r="CD866" s="1053"/>
      <c r="CE866" s="1053"/>
      <c r="CF866" s="1053"/>
      <c r="CG866" s="1053"/>
      <c r="CH866" s="1053"/>
      <c r="CI866" s="1123"/>
      <c r="CJ866" s="1123"/>
      <c r="CK866" s="1123"/>
      <c r="CL866" s="1123"/>
      <c r="CM866" s="1123"/>
      <c r="CN866" s="1123"/>
      <c r="CO866" s="1123"/>
      <c r="CP866" s="1123"/>
      <c r="CQ866" s="1123"/>
      <c r="CR866" s="1123"/>
      <c r="CS866" s="1123"/>
      <c r="CT866" s="1123"/>
      <c r="CU866" s="1123"/>
      <c r="CV866" s="1123"/>
      <c r="CW866" s="1123"/>
      <c r="CX866" s="1123"/>
      <c r="CY866" s="1123"/>
      <c r="CZ866" s="1114"/>
      <c r="DA866" s="1114"/>
      <c r="DB866" s="1114"/>
      <c r="DC866" s="1114"/>
      <c r="DD866" s="1114"/>
      <c r="DE866" s="1114"/>
      <c r="DF866" s="1114"/>
      <c r="DG866" s="1114"/>
      <c r="DH866" s="1114"/>
      <c r="DI866" s="1114"/>
      <c r="DJ866" s="1114"/>
      <c r="DK866" s="1114"/>
      <c r="DL866" s="1114"/>
      <c r="DM866" s="1114"/>
      <c r="DN866" s="1114"/>
      <c r="DO866" s="1114"/>
      <c r="DP866" s="1114"/>
      <c r="DQ866" s="1114"/>
      <c r="DR866" s="1114"/>
      <c r="DS866" s="1114"/>
      <c r="DT866" s="1114"/>
      <c r="DU866" s="1114"/>
      <c r="DV866" s="1115"/>
      <c r="DW866" s="1116"/>
      <c r="DX866" s="1116"/>
      <c r="DY866" s="1116"/>
      <c r="DZ866" s="1116"/>
      <c r="EA866" s="1116"/>
      <c r="EB866" s="1116"/>
      <c r="EC866" s="1116"/>
      <c r="ED866" s="1116"/>
      <c r="EE866" s="1116"/>
      <c r="EF866" s="1116"/>
      <c r="EG866" s="1116"/>
      <c r="EH866" s="1116"/>
      <c r="EI866" s="1116"/>
      <c r="EJ866" s="1116"/>
      <c r="EK866" s="1116"/>
      <c r="EL866" s="1116"/>
      <c r="EM866" s="1116"/>
      <c r="EN866" s="1116"/>
      <c r="EO866" s="1116"/>
      <c r="EP866" s="1116"/>
      <c r="EQ866" s="1116"/>
      <c r="ER866" s="1116"/>
      <c r="ES866" s="1116"/>
    </row>
    <row r="867" spans="1:149" ht="15" customHeight="1">
      <c r="A867" s="1185">
        <v>857</v>
      </c>
      <c r="B867" s="1041"/>
      <c r="C867" s="1050"/>
      <c r="D867" s="1050"/>
      <c r="E867" s="1050"/>
      <c r="F867" s="1049"/>
      <c r="G867" s="1049"/>
      <c r="H867" s="1049"/>
      <c r="I867" s="1049"/>
      <c r="J867" s="1050"/>
      <c r="K867" s="1050"/>
      <c r="L867" s="1043"/>
      <c r="M867" s="1051"/>
      <c r="N867" s="1051"/>
      <c r="O867" s="1052"/>
      <c r="P867" s="1051"/>
      <c r="Q867" s="1051"/>
      <c r="R867" s="1052"/>
      <c r="S867" s="1051"/>
      <c r="T867" s="1051"/>
      <c r="U867" s="1052"/>
      <c r="V867" s="1051"/>
      <c r="W867" s="1051"/>
      <c r="X867" s="1052"/>
      <c r="Y867" s="1053"/>
      <c r="Z867" s="1051"/>
      <c r="AA867" s="1051"/>
      <c r="AB867" s="1052"/>
      <c r="AC867" s="1051"/>
      <c r="AD867" s="1051"/>
      <c r="AE867" s="1052"/>
      <c r="AF867" s="1051"/>
      <c r="AG867" s="1051"/>
      <c r="AH867" s="1051"/>
      <c r="AI867" s="1051"/>
      <c r="AJ867" s="1052"/>
      <c r="AK867" s="1051"/>
      <c r="AL867" s="1051"/>
      <c r="AM867" s="1052"/>
      <c r="AN867" s="1051"/>
      <c r="AO867" s="1051"/>
      <c r="AP867" s="1052"/>
      <c r="AQ867" s="1051"/>
      <c r="AR867" s="1051"/>
      <c r="AS867" s="1052"/>
      <c r="AT867" s="1051"/>
      <c r="AU867" s="1051"/>
      <c r="AV867" s="1052"/>
      <c r="AW867" s="1051"/>
      <c r="AX867" s="1051"/>
      <c r="AY867" s="1053"/>
      <c r="AZ867" s="1051"/>
      <c r="BA867" s="1051"/>
      <c r="BB867" s="1053"/>
      <c r="BC867" s="1051"/>
      <c r="BD867" s="1051"/>
      <c r="BE867" s="1053"/>
      <c r="BF867" s="1051"/>
      <c r="BG867" s="1051"/>
      <c r="BH867" s="1053"/>
      <c r="BI867" s="1052"/>
      <c r="BJ867" s="1052"/>
      <c r="BK867" s="1052"/>
      <c r="BL867" s="1052"/>
      <c r="BM867" s="1052"/>
      <c r="BN867" s="1054"/>
      <c r="BO867" s="1076">
        <f t="shared" si="14"/>
        <v>0</v>
      </c>
      <c r="BP867" s="1051"/>
      <c r="BQ867" s="1052"/>
      <c r="BR867" s="1054"/>
      <c r="BS867" s="1053"/>
      <c r="BT867" s="1051"/>
      <c r="BU867" s="1051"/>
      <c r="BV867" s="1051"/>
      <c r="BW867" s="1052"/>
      <c r="BX867" s="1052"/>
      <c r="BY867" s="1052"/>
      <c r="BZ867" s="1052"/>
      <c r="CA867" s="1052"/>
      <c r="CB867" s="1053"/>
      <c r="CC867" s="1053"/>
      <c r="CD867" s="1053"/>
      <c r="CE867" s="1053"/>
      <c r="CF867" s="1053"/>
      <c r="CG867" s="1053"/>
      <c r="CH867" s="1053"/>
      <c r="CI867" s="1123"/>
      <c r="CJ867" s="1123"/>
      <c r="CK867" s="1123"/>
      <c r="CL867" s="1123"/>
      <c r="CM867" s="1123"/>
      <c r="CN867" s="1123"/>
      <c r="CO867" s="1123"/>
      <c r="CP867" s="1123"/>
      <c r="CQ867" s="1123"/>
      <c r="CR867" s="1123"/>
      <c r="CS867" s="1123"/>
      <c r="CT867" s="1123"/>
      <c r="CU867" s="1123"/>
      <c r="CV867" s="1123"/>
      <c r="CW867" s="1123"/>
      <c r="CX867" s="1123"/>
      <c r="CY867" s="1123"/>
      <c r="CZ867" s="1114"/>
      <c r="DA867" s="1114"/>
      <c r="DB867" s="1114"/>
      <c r="DC867" s="1114"/>
      <c r="DD867" s="1114"/>
      <c r="DE867" s="1114"/>
      <c r="DF867" s="1114"/>
      <c r="DG867" s="1114"/>
      <c r="DH867" s="1114"/>
      <c r="DI867" s="1114"/>
      <c r="DJ867" s="1114"/>
      <c r="DK867" s="1114"/>
      <c r="DL867" s="1114"/>
      <c r="DM867" s="1114"/>
      <c r="DN867" s="1114"/>
      <c r="DO867" s="1114"/>
      <c r="DP867" s="1114"/>
      <c r="DQ867" s="1114"/>
      <c r="DR867" s="1114"/>
      <c r="DS867" s="1114"/>
      <c r="DT867" s="1114"/>
      <c r="DU867" s="1114"/>
      <c r="DV867" s="1115"/>
      <c r="DW867" s="1116"/>
      <c r="DX867" s="1116"/>
      <c r="DY867" s="1116"/>
      <c r="DZ867" s="1116"/>
      <c r="EA867" s="1116"/>
      <c r="EB867" s="1116"/>
      <c r="EC867" s="1116"/>
      <c r="ED867" s="1116"/>
      <c r="EE867" s="1116"/>
      <c r="EF867" s="1116"/>
      <c r="EG867" s="1116"/>
      <c r="EH867" s="1116"/>
      <c r="EI867" s="1116"/>
      <c r="EJ867" s="1116"/>
      <c r="EK867" s="1116"/>
      <c r="EL867" s="1116"/>
      <c r="EM867" s="1116"/>
      <c r="EN867" s="1116"/>
      <c r="EO867" s="1116"/>
      <c r="EP867" s="1116"/>
      <c r="EQ867" s="1116"/>
      <c r="ER867" s="1116"/>
      <c r="ES867" s="1116"/>
    </row>
    <row r="868" spans="1:149" ht="15" customHeight="1">
      <c r="A868" s="1185">
        <v>858</v>
      </c>
      <c r="B868" s="1041"/>
      <c r="C868" s="1050"/>
      <c r="D868" s="1050"/>
      <c r="E868" s="1050"/>
      <c r="F868" s="1049"/>
      <c r="G868" s="1049"/>
      <c r="H868" s="1049"/>
      <c r="I868" s="1049"/>
      <c r="J868" s="1050"/>
      <c r="K868" s="1050"/>
      <c r="L868" s="1043"/>
      <c r="M868" s="1051"/>
      <c r="N868" s="1051"/>
      <c r="O868" s="1052"/>
      <c r="P868" s="1051"/>
      <c r="Q868" s="1051"/>
      <c r="R868" s="1052"/>
      <c r="S868" s="1051"/>
      <c r="T868" s="1051"/>
      <c r="U868" s="1052"/>
      <c r="V868" s="1051"/>
      <c r="W868" s="1051"/>
      <c r="X868" s="1052"/>
      <c r="Y868" s="1053"/>
      <c r="Z868" s="1051"/>
      <c r="AA868" s="1051"/>
      <c r="AB868" s="1052"/>
      <c r="AC868" s="1051"/>
      <c r="AD868" s="1051"/>
      <c r="AE868" s="1052"/>
      <c r="AF868" s="1051"/>
      <c r="AG868" s="1051"/>
      <c r="AH868" s="1051"/>
      <c r="AI868" s="1051"/>
      <c r="AJ868" s="1052"/>
      <c r="AK868" s="1051"/>
      <c r="AL868" s="1051"/>
      <c r="AM868" s="1052"/>
      <c r="AN868" s="1051"/>
      <c r="AO868" s="1051"/>
      <c r="AP868" s="1052"/>
      <c r="AQ868" s="1051"/>
      <c r="AR868" s="1051"/>
      <c r="AS868" s="1052"/>
      <c r="AT868" s="1051"/>
      <c r="AU868" s="1051"/>
      <c r="AV868" s="1052"/>
      <c r="AW868" s="1051"/>
      <c r="AX868" s="1051"/>
      <c r="AY868" s="1053"/>
      <c r="AZ868" s="1051"/>
      <c r="BA868" s="1051"/>
      <c r="BB868" s="1053"/>
      <c r="BC868" s="1051"/>
      <c r="BD868" s="1051"/>
      <c r="BE868" s="1053"/>
      <c r="BF868" s="1051"/>
      <c r="BG868" s="1051"/>
      <c r="BH868" s="1053"/>
      <c r="BI868" s="1052"/>
      <c r="BJ868" s="1052"/>
      <c r="BK868" s="1052"/>
      <c r="BL868" s="1052"/>
      <c r="BM868" s="1052"/>
      <c r="BN868" s="1054"/>
      <c r="BO868" s="1076">
        <f t="shared" si="14"/>
        <v>0</v>
      </c>
      <c r="BP868" s="1051"/>
      <c r="BQ868" s="1052"/>
      <c r="BR868" s="1054"/>
      <c r="BS868" s="1053"/>
      <c r="BT868" s="1051"/>
      <c r="BU868" s="1051"/>
      <c r="BV868" s="1051"/>
      <c r="BW868" s="1052"/>
      <c r="BX868" s="1052"/>
      <c r="BY868" s="1052"/>
      <c r="BZ868" s="1052"/>
      <c r="CA868" s="1052"/>
      <c r="CB868" s="1053"/>
      <c r="CC868" s="1053"/>
      <c r="CD868" s="1053"/>
      <c r="CE868" s="1053"/>
      <c r="CF868" s="1053"/>
      <c r="CG868" s="1053"/>
      <c r="CH868" s="1053"/>
      <c r="CI868" s="1123"/>
      <c r="CJ868" s="1123"/>
      <c r="CK868" s="1123"/>
      <c r="CL868" s="1123"/>
      <c r="CM868" s="1123"/>
      <c r="CN868" s="1123"/>
      <c r="CO868" s="1123"/>
      <c r="CP868" s="1123"/>
      <c r="CQ868" s="1123"/>
      <c r="CR868" s="1123"/>
      <c r="CS868" s="1123"/>
      <c r="CT868" s="1123"/>
      <c r="CU868" s="1123"/>
      <c r="CV868" s="1123"/>
      <c r="CW868" s="1123"/>
      <c r="CX868" s="1123"/>
      <c r="CY868" s="1123"/>
      <c r="CZ868" s="1114"/>
      <c r="DA868" s="1114"/>
      <c r="DB868" s="1114"/>
      <c r="DC868" s="1114"/>
      <c r="DD868" s="1114"/>
      <c r="DE868" s="1114"/>
      <c r="DF868" s="1114"/>
      <c r="DG868" s="1114"/>
      <c r="DH868" s="1114"/>
      <c r="DI868" s="1114"/>
      <c r="DJ868" s="1114"/>
      <c r="DK868" s="1114"/>
      <c r="DL868" s="1114"/>
      <c r="DM868" s="1114"/>
      <c r="DN868" s="1114"/>
      <c r="DO868" s="1114"/>
      <c r="DP868" s="1114"/>
      <c r="DQ868" s="1114"/>
      <c r="DR868" s="1114"/>
      <c r="DS868" s="1114"/>
      <c r="DT868" s="1114"/>
      <c r="DU868" s="1114"/>
      <c r="DV868" s="1115"/>
      <c r="DW868" s="1116"/>
      <c r="DX868" s="1116"/>
      <c r="DY868" s="1116"/>
      <c r="DZ868" s="1116"/>
      <c r="EA868" s="1116"/>
      <c r="EB868" s="1116"/>
      <c r="EC868" s="1116"/>
      <c r="ED868" s="1116"/>
      <c r="EE868" s="1116"/>
      <c r="EF868" s="1116"/>
      <c r="EG868" s="1116"/>
      <c r="EH868" s="1116"/>
      <c r="EI868" s="1116"/>
      <c r="EJ868" s="1116"/>
      <c r="EK868" s="1116"/>
      <c r="EL868" s="1116"/>
      <c r="EM868" s="1116"/>
      <c r="EN868" s="1116"/>
      <c r="EO868" s="1116"/>
      <c r="EP868" s="1116"/>
      <c r="EQ868" s="1116"/>
      <c r="ER868" s="1116"/>
      <c r="ES868" s="1116"/>
    </row>
    <row r="869" spans="1:149" ht="15" customHeight="1">
      <c r="A869" s="1185">
        <v>859</v>
      </c>
      <c r="B869" s="1041"/>
      <c r="C869" s="1050"/>
      <c r="D869" s="1050"/>
      <c r="E869" s="1050"/>
      <c r="F869" s="1049"/>
      <c r="G869" s="1049"/>
      <c r="H869" s="1049"/>
      <c r="I869" s="1049"/>
      <c r="J869" s="1050"/>
      <c r="K869" s="1050"/>
      <c r="L869" s="1043"/>
      <c r="M869" s="1051"/>
      <c r="N869" s="1051"/>
      <c r="O869" s="1052"/>
      <c r="P869" s="1051"/>
      <c r="Q869" s="1051"/>
      <c r="R869" s="1052"/>
      <c r="S869" s="1051"/>
      <c r="T869" s="1051"/>
      <c r="U869" s="1052"/>
      <c r="V869" s="1051"/>
      <c r="W869" s="1051"/>
      <c r="X869" s="1052"/>
      <c r="Y869" s="1053"/>
      <c r="Z869" s="1051"/>
      <c r="AA869" s="1051"/>
      <c r="AB869" s="1052"/>
      <c r="AC869" s="1051"/>
      <c r="AD869" s="1051"/>
      <c r="AE869" s="1052"/>
      <c r="AF869" s="1051"/>
      <c r="AG869" s="1051"/>
      <c r="AH869" s="1051"/>
      <c r="AI869" s="1051"/>
      <c r="AJ869" s="1052"/>
      <c r="AK869" s="1051"/>
      <c r="AL869" s="1051"/>
      <c r="AM869" s="1052"/>
      <c r="AN869" s="1051"/>
      <c r="AO869" s="1051"/>
      <c r="AP869" s="1052"/>
      <c r="AQ869" s="1051"/>
      <c r="AR869" s="1051"/>
      <c r="AS869" s="1052"/>
      <c r="AT869" s="1051"/>
      <c r="AU869" s="1051"/>
      <c r="AV869" s="1052"/>
      <c r="AW869" s="1051"/>
      <c r="AX869" s="1051"/>
      <c r="AY869" s="1053"/>
      <c r="AZ869" s="1051"/>
      <c r="BA869" s="1051"/>
      <c r="BB869" s="1053"/>
      <c r="BC869" s="1051"/>
      <c r="BD869" s="1051"/>
      <c r="BE869" s="1053"/>
      <c r="BF869" s="1051"/>
      <c r="BG869" s="1051"/>
      <c r="BH869" s="1053"/>
      <c r="BI869" s="1052"/>
      <c r="BJ869" s="1052"/>
      <c r="BK869" s="1052"/>
      <c r="BL869" s="1052"/>
      <c r="BM869" s="1052"/>
      <c r="BN869" s="1054"/>
      <c r="BO869" s="1076">
        <f t="shared" si="14"/>
        <v>0</v>
      </c>
      <c r="BP869" s="1051"/>
      <c r="BQ869" s="1052"/>
      <c r="BR869" s="1054"/>
      <c r="BS869" s="1053"/>
      <c r="BT869" s="1051"/>
      <c r="BU869" s="1051"/>
      <c r="BV869" s="1051"/>
      <c r="BW869" s="1052"/>
      <c r="BX869" s="1052"/>
      <c r="BY869" s="1052"/>
      <c r="BZ869" s="1052"/>
      <c r="CA869" s="1052"/>
      <c r="CB869" s="1053"/>
      <c r="CC869" s="1053"/>
      <c r="CD869" s="1053"/>
      <c r="CE869" s="1053"/>
      <c r="CF869" s="1053"/>
      <c r="CG869" s="1053"/>
      <c r="CH869" s="1053"/>
      <c r="CI869" s="1123"/>
      <c r="CJ869" s="1123"/>
      <c r="CK869" s="1123"/>
      <c r="CL869" s="1123"/>
      <c r="CM869" s="1123"/>
      <c r="CN869" s="1123"/>
      <c r="CO869" s="1123"/>
      <c r="CP869" s="1123"/>
      <c r="CQ869" s="1123"/>
      <c r="CR869" s="1123"/>
      <c r="CS869" s="1123"/>
      <c r="CT869" s="1123"/>
      <c r="CU869" s="1123"/>
      <c r="CV869" s="1123"/>
      <c r="CW869" s="1123"/>
      <c r="CX869" s="1123"/>
      <c r="CY869" s="1123"/>
      <c r="CZ869" s="1114"/>
      <c r="DA869" s="1114"/>
      <c r="DB869" s="1114"/>
      <c r="DC869" s="1114"/>
      <c r="DD869" s="1114"/>
      <c r="DE869" s="1114"/>
      <c r="DF869" s="1114"/>
      <c r="DG869" s="1114"/>
      <c r="DH869" s="1114"/>
      <c r="DI869" s="1114"/>
      <c r="DJ869" s="1114"/>
      <c r="DK869" s="1114"/>
      <c r="DL869" s="1114"/>
      <c r="DM869" s="1114"/>
      <c r="DN869" s="1114"/>
      <c r="DO869" s="1114"/>
      <c r="DP869" s="1114"/>
      <c r="DQ869" s="1114"/>
      <c r="DR869" s="1114"/>
      <c r="DS869" s="1114"/>
      <c r="DT869" s="1114"/>
      <c r="DU869" s="1114"/>
      <c r="DV869" s="1115"/>
      <c r="DW869" s="1116"/>
      <c r="DX869" s="1116"/>
      <c r="DY869" s="1116"/>
      <c r="DZ869" s="1116"/>
      <c r="EA869" s="1116"/>
      <c r="EB869" s="1116"/>
      <c r="EC869" s="1116"/>
      <c r="ED869" s="1116"/>
      <c r="EE869" s="1116"/>
      <c r="EF869" s="1116"/>
      <c r="EG869" s="1116"/>
      <c r="EH869" s="1116"/>
      <c r="EI869" s="1116"/>
      <c r="EJ869" s="1116"/>
      <c r="EK869" s="1116"/>
      <c r="EL869" s="1116"/>
      <c r="EM869" s="1116"/>
      <c r="EN869" s="1116"/>
      <c r="EO869" s="1116"/>
      <c r="EP869" s="1116"/>
      <c r="EQ869" s="1116"/>
      <c r="ER869" s="1116"/>
      <c r="ES869" s="1116"/>
    </row>
    <row r="870" spans="1:149" ht="15" customHeight="1">
      <c r="A870" s="1185">
        <v>860</v>
      </c>
      <c r="B870" s="1041"/>
      <c r="C870" s="1050"/>
      <c r="D870" s="1050"/>
      <c r="E870" s="1050"/>
      <c r="F870" s="1049"/>
      <c r="G870" s="1049"/>
      <c r="H870" s="1049"/>
      <c r="I870" s="1049"/>
      <c r="J870" s="1050"/>
      <c r="K870" s="1050"/>
      <c r="L870" s="1043"/>
      <c r="M870" s="1051"/>
      <c r="N870" s="1051"/>
      <c r="O870" s="1052"/>
      <c r="P870" s="1051"/>
      <c r="Q870" s="1051"/>
      <c r="R870" s="1052"/>
      <c r="S870" s="1051"/>
      <c r="T870" s="1051"/>
      <c r="U870" s="1052"/>
      <c r="V870" s="1051"/>
      <c r="W870" s="1051"/>
      <c r="X870" s="1052"/>
      <c r="Y870" s="1053"/>
      <c r="Z870" s="1051"/>
      <c r="AA870" s="1051"/>
      <c r="AB870" s="1052"/>
      <c r="AC870" s="1051"/>
      <c r="AD870" s="1051"/>
      <c r="AE870" s="1052"/>
      <c r="AF870" s="1051"/>
      <c r="AG870" s="1051"/>
      <c r="AH870" s="1051"/>
      <c r="AI870" s="1051"/>
      <c r="AJ870" s="1052"/>
      <c r="AK870" s="1051"/>
      <c r="AL870" s="1051"/>
      <c r="AM870" s="1052"/>
      <c r="AN870" s="1051"/>
      <c r="AO870" s="1051"/>
      <c r="AP870" s="1052"/>
      <c r="AQ870" s="1051"/>
      <c r="AR870" s="1051"/>
      <c r="AS870" s="1052"/>
      <c r="AT870" s="1051"/>
      <c r="AU870" s="1051"/>
      <c r="AV870" s="1052"/>
      <c r="AW870" s="1051"/>
      <c r="AX870" s="1051"/>
      <c r="AY870" s="1053"/>
      <c r="AZ870" s="1051"/>
      <c r="BA870" s="1051"/>
      <c r="BB870" s="1053"/>
      <c r="BC870" s="1051"/>
      <c r="BD870" s="1051"/>
      <c r="BE870" s="1053"/>
      <c r="BF870" s="1051"/>
      <c r="BG870" s="1051"/>
      <c r="BH870" s="1053"/>
      <c r="BI870" s="1052"/>
      <c r="BJ870" s="1052"/>
      <c r="BK870" s="1052"/>
      <c r="BL870" s="1052"/>
      <c r="BM870" s="1052"/>
      <c r="BN870" s="1054"/>
      <c r="BO870" s="1076">
        <f t="shared" si="14"/>
        <v>0</v>
      </c>
      <c r="BP870" s="1051"/>
      <c r="BQ870" s="1052"/>
      <c r="BR870" s="1054"/>
      <c r="BS870" s="1053"/>
      <c r="BT870" s="1051"/>
      <c r="BU870" s="1051"/>
      <c r="BV870" s="1051"/>
      <c r="BW870" s="1052"/>
      <c r="BX870" s="1052"/>
      <c r="BY870" s="1052"/>
      <c r="BZ870" s="1052"/>
      <c r="CA870" s="1052"/>
      <c r="CB870" s="1053"/>
      <c r="CC870" s="1053"/>
      <c r="CD870" s="1053"/>
      <c r="CE870" s="1053"/>
      <c r="CF870" s="1053"/>
      <c r="CG870" s="1053"/>
      <c r="CH870" s="1053"/>
      <c r="CI870" s="1123"/>
      <c r="CJ870" s="1123"/>
      <c r="CK870" s="1123"/>
      <c r="CL870" s="1123"/>
      <c r="CM870" s="1123"/>
      <c r="CN870" s="1123"/>
      <c r="CO870" s="1123"/>
      <c r="CP870" s="1123"/>
      <c r="CQ870" s="1123"/>
      <c r="CR870" s="1123"/>
      <c r="CS870" s="1123"/>
      <c r="CT870" s="1123"/>
      <c r="CU870" s="1123"/>
      <c r="CV870" s="1123"/>
      <c r="CW870" s="1123"/>
      <c r="CX870" s="1123"/>
      <c r="CY870" s="1123"/>
      <c r="CZ870" s="1114"/>
      <c r="DA870" s="1114"/>
      <c r="DB870" s="1114"/>
      <c r="DC870" s="1114"/>
      <c r="DD870" s="1114"/>
      <c r="DE870" s="1114"/>
      <c r="DF870" s="1114"/>
      <c r="DG870" s="1114"/>
      <c r="DH870" s="1114"/>
      <c r="DI870" s="1114"/>
      <c r="DJ870" s="1114"/>
      <c r="DK870" s="1114"/>
      <c r="DL870" s="1114"/>
      <c r="DM870" s="1114"/>
      <c r="DN870" s="1114"/>
      <c r="DO870" s="1114"/>
      <c r="DP870" s="1114"/>
      <c r="DQ870" s="1114"/>
      <c r="DR870" s="1114"/>
      <c r="DS870" s="1114"/>
      <c r="DT870" s="1114"/>
      <c r="DU870" s="1114"/>
      <c r="DV870" s="1115"/>
      <c r="DW870" s="1116"/>
      <c r="DX870" s="1116"/>
      <c r="DY870" s="1116"/>
      <c r="DZ870" s="1116"/>
      <c r="EA870" s="1116"/>
      <c r="EB870" s="1116"/>
      <c r="EC870" s="1116"/>
      <c r="ED870" s="1116"/>
      <c r="EE870" s="1116"/>
      <c r="EF870" s="1116"/>
      <c r="EG870" s="1116"/>
      <c r="EH870" s="1116"/>
      <c r="EI870" s="1116"/>
      <c r="EJ870" s="1116"/>
      <c r="EK870" s="1116"/>
      <c r="EL870" s="1116"/>
      <c r="EM870" s="1116"/>
      <c r="EN870" s="1116"/>
      <c r="EO870" s="1116"/>
      <c r="EP870" s="1116"/>
      <c r="EQ870" s="1116"/>
      <c r="ER870" s="1116"/>
      <c r="ES870" s="1116"/>
    </row>
    <row r="871" spans="1:149" ht="15" customHeight="1">
      <c r="A871" s="1185">
        <v>861</v>
      </c>
      <c r="B871" s="1041"/>
      <c r="C871" s="1050"/>
      <c r="D871" s="1050"/>
      <c r="E871" s="1050"/>
      <c r="F871" s="1049"/>
      <c r="G871" s="1049"/>
      <c r="H871" s="1049"/>
      <c r="I871" s="1049"/>
      <c r="J871" s="1050"/>
      <c r="K871" s="1050"/>
      <c r="L871" s="1043"/>
      <c r="M871" s="1051"/>
      <c r="N871" s="1051"/>
      <c r="O871" s="1052"/>
      <c r="P871" s="1051"/>
      <c r="Q871" s="1051"/>
      <c r="R871" s="1052"/>
      <c r="S871" s="1051"/>
      <c r="T871" s="1051"/>
      <c r="U871" s="1052"/>
      <c r="V871" s="1051"/>
      <c r="W871" s="1051"/>
      <c r="X871" s="1052"/>
      <c r="Y871" s="1053"/>
      <c r="Z871" s="1051"/>
      <c r="AA871" s="1051"/>
      <c r="AB871" s="1052"/>
      <c r="AC871" s="1051"/>
      <c r="AD871" s="1051"/>
      <c r="AE871" s="1052"/>
      <c r="AF871" s="1051"/>
      <c r="AG871" s="1051"/>
      <c r="AH871" s="1051"/>
      <c r="AI871" s="1051"/>
      <c r="AJ871" s="1052"/>
      <c r="AK871" s="1051"/>
      <c r="AL871" s="1051"/>
      <c r="AM871" s="1052"/>
      <c r="AN871" s="1051"/>
      <c r="AO871" s="1051"/>
      <c r="AP871" s="1052"/>
      <c r="AQ871" s="1051"/>
      <c r="AR871" s="1051"/>
      <c r="AS871" s="1052"/>
      <c r="AT871" s="1051"/>
      <c r="AU871" s="1051"/>
      <c r="AV871" s="1052"/>
      <c r="AW871" s="1051"/>
      <c r="AX871" s="1051"/>
      <c r="AY871" s="1053"/>
      <c r="AZ871" s="1051"/>
      <c r="BA871" s="1051"/>
      <c r="BB871" s="1053"/>
      <c r="BC871" s="1051"/>
      <c r="BD871" s="1051"/>
      <c r="BE871" s="1053"/>
      <c r="BF871" s="1051"/>
      <c r="BG871" s="1051"/>
      <c r="BH871" s="1053"/>
      <c r="BI871" s="1052"/>
      <c r="BJ871" s="1052"/>
      <c r="BK871" s="1052"/>
      <c r="BL871" s="1052"/>
      <c r="BM871" s="1052"/>
      <c r="BN871" s="1054"/>
      <c r="BO871" s="1076">
        <f t="shared" si="14"/>
        <v>0</v>
      </c>
      <c r="BP871" s="1051"/>
      <c r="BQ871" s="1052"/>
      <c r="BR871" s="1054"/>
      <c r="BS871" s="1053"/>
      <c r="BT871" s="1051"/>
      <c r="BU871" s="1051"/>
      <c r="BV871" s="1051"/>
      <c r="BW871" s="1052"/>
      <c r="BX871" s="1052"/>
      <c r="BY871" s="1052"/>
      <c r="BZ871" s="1052"/>
      <c r="CA871" s="1052"/>
      <c r="CB871" s="1053"/>
      <c r="CC871" s="1053"/>
      <c r="CD871" s="1053"/>
      <c r="CE871" s="1053"/>
      <c r="CF871" s="1053"/>
      <c r="CG871" s="1053"/>
      <c r="CH871" s="1053"/>
      <c r="CI871" s="1123"/>
      <c r="CJ871" s="1123"/>
      <c r="CK871" s="1123"/>
      <c r="CL871" s="1123"/>
      <c r="CM871" s="1123"/>
      <c r="CN871" s="1123"/>
      <c r="CO871" s="1123"/>
      <c r="CP871" s="1123"/>
      <c r="CQ871" s="1123"/>
      <c r="CR871" s="1123"/>
      <c r="CS871" s="1123"/>
      <c r="CT871" s="1123"/>
      <c r="CU871" s="1123"/>
      <c r="CV871" s="1123"/>
      <c r="CW871" s="1123"/>
      <c r="CX871" s="1123"/>
      <c r="CY871" s="1123"/>
      <c r="CZ871" s="1114"/>
      <c r="DA871" s="1114"/>
      <c r="DB871" s="1114"/>
      <c r="DC871" s="1114"/>
      <c r="DD871" s="1114"/>
      <c r="DE871" s="1114"/>
      <c r="DF871" s="1114"/>
      <c r="DG871" s="1114"/>
      <c r="DH871" s="1114"/>
      <c r="DI871" s="1114"/>
      <c r="DJ871" s="1114"/>
      <c r="DK871" s="1114"/>
      <c r="DL871" s="1114"/>
      <c r="DM871" s="1114"/>
      <c r="DN871" s="1114"/>
      <c r="DO871" s="1114"/>
      <c r="DP871" s="1114"/>
      <c r="DQ871" s="1114"/>
      <c r="DR871" s="1114"/>
      <c r="DS871" s="1114"/>
      <c r="DT871" s="1114"/>
      <c r="DU871" s="1114"/>
      <c r="DV871" s="1115"/>
      <c r="DW871" s="1116"/>
      <c r="DX871" s="1116"/>
      <c r="DY871" s="1116"/>
      <c r="DZ871" s="1116"/>
      <c r="EA871" s="1116"/>
      <c r="EB871" s="1116"/>
      <c r="EC871" s="1116"/>
      <c r="ED871" s="1116"/>
      <c r="EE871" s="1116"/>
      <c r="EF871" s="1116"/>
      <c r="EG871" s="1116"/>
      <c r="EH871" s="1116"/>
      <c r="EI871" s="1116"/>
      <c r="EJ871" s="1116"/>
      <c r="EK871" s="1116"/>
      <c r="EL871" s="1116"/>
      <c r="EM871" s="1116"/>
      <c r="EN871" s="1116"/>
      <c r="EO871" s="1116"/>
      <c r="EP871" s="1116"/>
      <c r="EQ871" s="1116"/>
      <c r="ER871" s="1116"/>
      <c r="ES871" s="1116"/>
    </row>
    <row r="872" spans="1:149" ht="15" customHeight="1">
      <c r="A872" s="1185">
        <v>862</v>
      </c>
      <c r="B872" s="1041"/>
      <c r="C872" s="1050"/>
      <c r="D872" s="1050"/>
      <c r="E872" s="1050"/>
      <c r="F872" s="1049"/>
      <c r="G872" s="1049"/>
      <c r="H872" s="1049"/>
      <c r="I872" s="1049"/>
      <c r="J872" s="1050"/>
      <c r="K872" s="1050"/>
      <c r="L872" s="1043"/>
      <c r="M872" s="1051"/>
      <c r="N872" s="1051"/>
      <c r="O872" s="1052"/>
      <c r="P872" s="1051"/>
      <c r="Q872" s="1051"/>
      <c r="R872" s="1052"/>
      <c r="S872" s="1051"/>
      <c r="T872" s="1051"/>
      <c r="U872" s="1052"/>
      <c r="V872" s="1051"/>
      <c r="W872" s="1051"/>
      <c r="X872" s="1052"/>
      <c r="Y872" s="1053"/>
      <c r="Z872" s="1051"/>
      <c r="AA872" s="1051"/>
      <c r="AB872" s="1052"/>
      <c r="AC872" s="1051"/>
      <c r="AD872" s="1051"/>
      <c r="AE872" s="1052"/>
      <c r="AF872" s="1051"/>
      <c r="AG872" s="1051"/>
      <c r="AH872" s="1051"/>
      <c r="AI872" s="1051"/>
      <c r="AJ872" s="1052"/>
      <c r="AK872" s="1051"/>
      <c r="AL872" s="1051"/>
      <c r="AM872" s="1052"/>
      <c r="AN872" s="1051"/>
      <c r="AO872" s="1051"/>
      <c r="AP872" s="1052"/>
      <c r="AQ872" s="1051"/>
      <c r="AR872" s="1051"/>
      <c r="AS872" s="1052"/>
      <c r="AT872" s="1051"/>
      <c r="AU872" s="1051"/>
      <c r="AV872" s="1052"/>
      <c r="AW872" s="1051"/>
      <c r="AX872" s="1051"/>
      <c r="AY872" s="1053"/>
      <c r="AZ872" s="1051"/>
      <c r="BA872" s="1051"/>
      <c r="BB872" s="1053"/>
      <c r="BC872" s="1051"/>
      <c r="BD872" s="1051"/>
      <c r="BE872" s="1053"/>
      <c r="BF872" s="1051"/>
      <c r="BG872" s="1051"/>
      <c r="BH872" s="1053"/>
      <c r="BI872" s="1052"/>
      <c r="BJ872" s="1052"/>
      <c r="BK872" s="1052"/>
      <c r="BL872" s="1052"/>
      <c r="BM872" s="1052"/>
      <c r="BN872" s="1054"/>
      <c r="BO872" s="1076">
        <f t="shared" si="14"/>
        <v>0</v>
      </c>
      <c r="BP872" s="1051"/>
      <c r="BQ872" s="1052"/>
      <c r="BR872" s="1054"/>
      <c r="BS872" s="1053"/>
      <c r="BT872" s="1051"/>
      <c r="BU872" s="1051"/>
      <c r="BV872" s="1051"/>
      <c r="BW872" s="1052"/>
      <c r="BX872" s="1052"/>
      <c r="BY872" s="1052"/>
      <c r="BZ872" s="1052"/>
      <c r="CA872" s="1052"/>
      <c r="CB872" s="1053"/>
      <c r="CC872" s="1053"/>
      <c r="CD872" s="1053"/>
      <c r="CE872" s="1053"/>
      <c r="CF872" s="1053"/>
      <c r="CG872" s="1053"/>
      <c r="CH872" s="1053"/>
      <c r="CI872" s="1123"/>
      <c r="CJ872" s="1123"/>
      <c r="CK872" s="1123"/>
      <c r="CL872" s="1123"/>
      <c r="CM872" s="1123"/>
      <c r="CN872" s="1123"/>
      <c r="CO872" s="1123"/>
      <c r="CP872" s="1123"/>
      <c r="CQ872" s="1123"/>
      <c r="CR872" s="1123"/>
      <c r="CS872" s="1123"/>
      <c r="CT872" s="1123"/>
      <c r="CU872" s="1123"/>
      <c r="CV872" s="1123"/>
      <c r="CW872" s="1123"/>
      <c r="CX872" s="1123"/>
      <c r="CY872" s="1123"/>
      <c r="CZ872" s="1114"/>
      <c r="DA872" s="1114"/>
      <c r="DB872" s="1114"/>
      <c r="DC872" s="1114"/>
      <c r="DD872" s="1114"/>
      <c r="DE872" s="1114"/>
      <c r="DF872" s="1114"/>
      <c r="DG872" s="1114"/>
      <c r="DH872" s="1114"/>
      <c r="DI872" s="1114"/>
      <c r="DJ872" s="1114"/>
      <c r="DK872" s="1114"/>
      <c r="DL872" s="1114"/>
      <c r="DM872" s="1114"/>
      <c r="DN872" s="1114"/>
      <c r="DO872" s="1114"/>
      <c r="DP872" s="1114"/>
      <c r="DQ872" s="1114"/>
      <c r="DR872" s="1114"/>
      <c r="DS872" s="1114"/>
      <c r="DT872" s="1114"/>
      <c r="DU872" s="1114"/>
      <c r="DV872" s="1115"/>
      <c r="DW872" s="1116"/>
      <c r="DX872" s="1116"/>
      <c r="DY872" s="1116"/>
      <c r="DZ872" s="1116"/>
      <c r="EA872" s="1116"/>
      <c r="EB872" s="1116"/>
      <c r="EC872" s="1116"/>
      <c r="ED872" s="1116"/>
      <c r="EE872" s="1116"/>
      <c r="EF872" s="1116"/>
      <c r="EG872" s="1116"/>
      <c r="EH872" s="1116"/>
      <c r="EI872" s="1116"/>
      <c r="EJ872" s="1116"/>
      <c r="EK872" s="1116"/>
      <c r="EL872" s="1116"/>
      <c r="EM872" s="1116"/>
      <c r="EN872" s="1116"/>
      <c r="EO872" s="1116"/>
      <c r="EP872" s="1116"/>
      <c r="EQ872" s="1116"/>
      <c r="ER872" s="1116"/>
      <c r="ES872" s="1116"/>
    </row>
    <row r="873" spans="1:149" ht="15" customHeight="1">
      <c r="A873" s="1185">
        <v>863</v>
      </c>
      <c r="B873" s="1041"/>
      <c r="C873" s="1050"/>
      <c r="D873" s="1050"/>
      <c r="E873" s="1050"/>
      <c r="F873" s="1049"/>
      <c r="G873" s="1049"/>
      <c r="H873" s="1049"/>
      <c r="I873" s="1049"/>
      <c r="J873" s="1050"/>
      <c r="K873" s="1050"/>
      <c r="L873" s="1043"/>
      <c r="M873" s="1051"/>
      <c r="N873" s="1051"/>
      <c r="O873" s="1052"/>
      <c r="P873" s="1051"/>
      <c r="Q873" s="1051"/>
      <c r="R873" s="1052"/>
      <c r="S873" s="1051"/>
      <c r="T873" s="1051"/>
      <c r="U873" s="1052"/>
      <c r="V873" s="1051"/>
      <c r="W873" s="1051"/>
      <c r="X873" s="1052"/>
      <c r="Y873" s="1053"/>
      <c r="Z873" s="1051"/>
      <c r="AA873" s="1051"/>
      <c r="AB873" s="1052"/>
      <c r="AC873" s="1051"/>
      <c r="AD873" s="1051"/>
      <c r="AE873" s="1052"/>
      <c r="AF873" s="1051"/>
      <c r="AG873" s="1051"/>
      <c r="AH873" s="1051"/>
      <c r="AI873" s="1051"/>
      <c r="AJ873" s="1052"/>
      <c r="AK873" s="1051"/>
      <c r="AL873" s="1051"/>
      <c r="AM873" s="1052"/>
      <c r="AN873" s="1051"/>
      <c r="AO873" s="1051"/>
      <c r="AP873" s="1052"/>
      <c r="AQ873" s="1051"/>
      <c r="AR873" s="1051"/>
      <c r="AS873" s="1052"/>
      <c r="AT873" s="1051"/>
      <c r="AU873" s="1051"/>
      <c r="AV873" s="1052"/>
      <c r="AW873" s="1051"/>
      <c r="AX873" s="1051"/>
      <c r="AY873" s="1053"/>
      <c r="AZ873" s="1051"/>
      <c r="BA873" s="1051"/>
      <c r="BB873" s="1053"/>
      <c r="BC873" s="1051"/>
      <c r="BD873" s="1051"/>
      <c r="BE873" s="1053"/>
      <c r="BF873" s="1051"/>
      <c r="BG873" s="1051"/>
      <c r="BH873" s="1053"/>
      <c r="BI873" s="1052"/>
      <c r="BJ873" s="1052"/>
      <c r="BK873" s="1052"/>
      <c r="BL873" s="1052"/>
      <c r="BM873" s="1052"/>
      <c r="BN873" s="1054"/>
      <c r="BO873" s="1076">
        <f t="shared" si="14"/>
        <v>0</v>
      </c>
      <c r="BP873" s="1051"/>
      <c r="BQ873" s="1052"/>
      <c r="BR873" s="1054"/>
      <c r="BS873" s="1053"/>
      <c r="BT873" s="1051"/>
      <c r="BU873" s="1051"/>
      <c r="BV873" s="1051"/>
      <c r="BW873" s="1052"/>
      <c r="BX873" s="1052"/>
      <c r="BY873" s="1052"/>
      <c r="BZ873" s="1052"/>
      <c r="CA873" s="1052"/>
      <c r="CB873" s="1053"/>
      <c r="CC873" s="1053"/>
      <c r="CD873" s="1053"/>
      <c r="CE873" s="1053"/>
      <c r="CF873" s="1053"/>
      <c r="CG873" s="1053"/>
      <c r="CH873" s="1053"/>
      <c r="CI873" s="1123"/>
      <c r="CJ873" s="1123"/>
      <c r="CK873" s="1123"/>
      <c r="CL873" s="1123"/>
      <c r="CM873" s="1123"/>
      <c r="CN873" s="1123"/>
      <c r="CO873" s="1123"/>
      <c r="CP873" s="1123"/>
      <c r="CQ873" s="1123"/>
      <c r="CR873" s="1123"/>
      <c r="CS873" s="1123"/>
      <c r="CT873" s="1123"/>
      <c r="CU873" s="1123"/>
      <c r="CV873" s="1123"/>
      <c r="CW873" s="1123"/>
      <c r="CX873" s="1123"/>
      <c r="CY873" s="1123"/>
      <c r="CZ873" s="1114"/>
      <c r="DA873" s="1114"/>
      <c r="DB873" s="1114"/>
      <c r="DC873" s="1114"/>
      <c r="DD873" s="1114"/>
      <c r="DE873" s="1114"/>
      <c r="DF873" s="1114"/>
      <c r="DG873" s="1114"/>
      <c r="DH873" s="1114"/>
      <c r="DI873" s="1114"/>
      <c r="DJ873" s="1114"/>
      <c r="DK873" s="1114"/>
      <c r="DL873" s="1114"/>
      <c r="DM873" s="1114"/>
      <c r="DN873" s="1114"/>
      <c r="DO873" s="1114"/>
      <c r="DP873" s="1114"/>
      <c r="DQ873" s="1114"/>
      <c r="DR873" s="1114"/>
      <c r="DS873" s="1114"/>
      <c r="DT873" s="1114"/>
      <c r="DU873" s="1114"/>
      <c r="DV873" s="1115"/>
      <c r="DW873" s="1116"/>
      <c r="DX873" s="1116"/>
      <c r="DY873" s="1116"/>
      <c r="DZ873" s="1116"/>
      <c r="EA873" s="1116"/>
      <c r="EB873" s="1116"/>
      <c r="EC873" s="1116"/>
      <c r="ED873" s="1116"/>
      <c r="EE873" s="1116"/>
      <c r="EF873" s="1116"/>
      <c r="EG873" s="1116"/>
      <c r="EH873" s="1116"/>
      <c r="EI873" s="1116"/>
      <c r="EJ873" s="1116"/>
      <c r="EK873" s="1116"/>
      <c r="EL873" s="1116"/>
      <c r="EM873" s="1116"/>
      <c r="EN873" s="1116"/>
      <c r="EO873" s="1116"/>
      <c r="EP873" s="1116"/>
      <c r="EQ873" s="1116"/>
      <c r="ER873" s="1116"/>
      <c r="ES873" s="1116"/>
    </row>
    <row r="874" spans="1:149" ht="15" customHeight="1">
      <c r="A874" s="1185">
        <v>864</v>
      </c>
      <c r="B874" s="1041"/>
      <c r="C874" s="1050"/>
      <c r="D874" s="1050"/>
      <c r="E874" s="1050"/>
      <c r="F874" s="1049"/>
      <c r="G874" s="1049"/>
      <c r="H874" s="1049"/>
      <c r="I874" s="1049"/>
      <c r="J874" s="1050"/>
      <c r="K874" s="1050"/>
      <c r="L874" s="1043"/>
      <c r="M874" s="1051"/>
      <c r="N874" s="1051"/>
      <c r="O874" s="1052"/>
      <c r="P874" s="1051"/>
      <c r="Q874" s="1051"/>
      <c r="R874" s="1052"/>
      <c r="S874" s="1051"/>
      <c r="T874" s="1051"/>
      <c r="U874" s="1052"/>
      <c r="V874" s="1051"/>
      <c r="W874" s="1051"/>
      <c r="X874" s="1052"/>
      <c r="Y874" s="1053"/>
      <c r="Z874" s="1051"/>
      <c r="AA874" s="1051"/>
      <c r="AB874" s="1052"/>
      <c r="AC874" s="1051"/>
      <c r="AD874" s="1051"/>
      <c r="AE874" s="1052"/>
      <c r="AF874" s="1051"/>
      <c r="AG874" s="1051"/>
      <c r="AH874" s="1051"/>
      <c r="AI874" s="1051"/>
      <c r="AJ874" s="1052"/>
      <c r="AK874" s="1051"/>
      <c r="AL874" s="1051"/>
      <c r="AM874" s="1052"/>
      <c r="AN874" s="1051"/>
      <c r="AO874" s="1051"/>
      <c r="AP874" s="1052"/>
      <c r="AQ874" s="1051"/>
      <c r="AR874" s="1051"/>
      <c r="AS874" s="1052"/>
      <c r="AT874" s="1051"/>
      <c r="AU874" s="1051"/>
      <c r="AV874" s="1052"/>
      <c r="AW874" s="1051"/>
      <c r="AX874" s="1051"/>
      <c r="AY874" s="1053"/>
      <c r="AZ874" s="1051"/>
      <c r="BA874" s="1051"/>
      <c r="BB874" s="1053"/>
      <c r="BC874" s="1051"/>
      <c r="BD874" s="1051"/>
      <c r="BE874" s="1053"/>
      <c r="BF874" s="1051"/>
      <c r="BG874" s="1051"/>
      <c r="BH874" s="1053"/>
      <c r="BI874" s="1052"/>
      <c r="BJ874" s="1052"/>
      <c r="BK874" s="1052"/>
      <c r="BL874" s="1052"/>
      <c r="BM874" s="1052"/>
      <c r="BN874" s="1054"/>
      <c r="BO874" s="1076">
        <f t="shared" si="14"/>
        <v>0</v>
      </c>
      <c r="BP874" s="1051"/>
      <c r="BQ874" s="1052"/>
      <c r="BR874" s="1054"/>
      <c r="BS874" s="1053"/>
      <c r="BT874" s="1051"/>
      <c r="BU874" s="1051"/>
      <c r="BV874" s="1051"/>
      <c r="BW874" s="1052"/>
      <c r="BX874" s="1052"/>
      <c r="BY874" s="1052"/>
      <c r="BZ874" s="1052"/>
      <c r="CA874" s="1052"/>
      <c r="CB874" s="1053"/>
      <c r="CC874" s="1053"/>
      <c r="CD874" s="1053"/>
      <c r="CE874" s="1053"/>
      <c r="CF874" s="1053"/>
      <c r="CG874" s="1053"/>
      <c r="CH874" s="1053"/>
      <c r="CI874" s="1123"/>
      <c r="CJ874" s="1123"/>
      <c r="CK874" s="1123"/>
      <c r="CL874" s="1123"/>
      <c r="CM874" s="1123"/>
      <c r="CN874" s="1123"/>
      <c r="CO874" s="1123"/>
      <c r="CP874" s="1123"/>
      <c r="CQ874" s="1123"/>
      <c r="CR874" s="1123"/>
      <c r="CS874" s="1123"/>
      <c r="CT874" s="1123"/>
      <c r="CU874" s="1123"/>
      <c r="CV874" s="1123"/>
      <c r="CW874" s="1123"/>
      <c r="CX874" s="1123"/>
      <c r="CY874" s="1123"/>
      <c r="CZ874" s="1114"/>
      <c r="DA874" s="1114"/>
      <c r="DB874" s="1114"/>
      <c r="DC874" s="1114"/>
      <c r="DD874" s="1114"/>
      <c r="DE874" s="1114"/>
      <c r="DF874" s="1114"/>
      <c r="DG874" s="1114"/>
      <c r="DH874" s="1114"/>
      <c r="DI874" s="1114"/>
      <c r="DJ874" s="1114"/>
      <c r="DK874" s="1114"/>
      <c r="DL874" s="1114"/>
      <c r="DM874" s="1114"/>
      <c r="DN874" s="1114"/>
      <c r="DO874" s="1114"/>
      <c r="DP874" s="1114"/>
      <c r="DQ874" s="1114"/>
      <c r="DR874" s="1114"/>
      <c r="DS874" s="1114"/>
      <c r="DT874" s="1114"/>
      <c r="DU874" s="1114"/>
      <c r="DV874" s="1115"/>
      <c r="DW874" s="1116"/>
      <c r="DX874" s="1116"/>
      <c r="DY874" s="1116"/>
      <c r="DZ874" s="1116"/>
      <c r="EA874" s="1116"/>
      <c r="EB874" s="1116"/>
      <c r="EC874" s="1116"/>
      <c r="ED874" s="1116"/>
      <c r="EE874" s="1116"/>
      <c r="EF874" s="1116"/>
      <c r="EG874" s="1116"/>
      <c r="EH874" s="1116"/>
      <c r="EI874" s="1116"/>
      <c r="EJ874" s="1116"/>
      <c r="EK874" s="1116"/>
      <c r="EL874" s="1116"/>
      <c r="EM874" s="1116"/>
      <c r="EN874" s="1116"/>
      <c r="EO874" s="1116"/>
      <c r="EP874" s="1116"/>
      <c r="EQ874" s="1116"/>
      <c r="ER874" s="1116"/>
      <c r="ES874" s="1116"/>
    </row>
    <row r="875" spans="1:149" ht="15" customHeight="1">
      <c r="A875" s="1185">
        <v>865</v>
      </c>
      <c r="B875" s="1041"/>
      <c r="C875" s="1050"/>
      <c r="D875" s="1050"/>
      <c r="E875" s="1050"/>
      <c r="F875" s="1049"/>
      <c r="G875" s="1049"/>
      <c r="H875" s="1049"/>
      <c r="I875" s="1049"/>
      <c r="J875" s="1050"/>
      <c r="K875" s="1050"/>
      <c r="L875" s="1043"/>
      <c r="M875" s="1051"/>
      <c r="N875" s="1051"/>
      <c r="O875" s="1052"/>
      <c r="P875" s="1051"/>
      <c r="Q875" s="1051"/>
      <c r="R875" s="1052"/>
      <c r="S875" s="1051"/>
      <c r="T875" s="1051"/>
      <c r="U875" s="1052"/>
      <c r="V875" s="1051"/>
      <c r="W875" s="1051"/>
      <c r="X875" s="1052"/>
      <c r="Y875" s="1053"/>
      <c r="Z875" s="1051"/>
      <c r="AA875" s="1051"/>
      <c r="AB875" s="1052"/>
      <c r="AC875" s="1051"/>
      <c r="AD875" s="1051"/>
      <c r="AE875" s="1052"/>
      <c r="AF875" s="1051"/>
      <c r="AG875" s="1051"/>
      <c r="AH875" s="1051"/>
      <c r="AI875" s="1051"/>
      <c r="AJ875" s="1052"/>
      <c r="AK875" s="1051"/>
      <c r="AL875" s="1051"/>
      <c r="AM875" s="1052"/>
      <c r="AN875" s="1051"/>
      <c r="AO875" s="1051"/>
      <c r="AP875" s="1052"/>
      <c r="AQ875" s="1051"/>
      <c r="AR875" s="1051"/>
      <c r="AS875" s="1052"/>
      <c r="AT875" s="1051"/>
      <c r="AU875" s="1051"/>
      <c r="AV875" s="1052"/>
      <c r="AW875" s="1051"/>
      <c r="AX875" s="1051"/>
      <c r="AY875" s="1053"/>
      <c r="AZ875" s="1051"/>
      <c r="BA875" s="1051"/>
      <c r="BB875" s="1053"/>
      <c r="BC875" s="1051"/>
      <c r="BD875" s="1051"/>
      <c r="BE875" s="1053"/>
      <c r="BF875" s="1051"/>
      <c r="BG875" s="1051"/>
      <c r="BH875" s="1053"/>
      <c r="BI875" s="1052"/>
      <c r="BJ875" s="1052"/>
      <c r="BK875" s="1052"/>
      <c r="BL875" s="1052"/>
      <c r="BM875" s="1052"/>
      <c r="BN875" s="1054"/>
      <c r="BO875" s="1076">
        <f t="shared" si="14"/>
        <v>0</v>
      </c>
      <c r="BP875" s="1051"/>
      <c r="BQ875" s="1052"/>
      <c r="BR875" s="1054"/>
      <c r="BS875" s="1053"/>
      <c r="BT875" s="1051"/>
      <c r="BU875" s="1051"/>
      <c r="BV875" s="1051"/>
      <c r="BW875" s="1052"/>
      <c r="BX875" s="1052"/>
      <c r="BY875" s="1052"/>
      <c r="BZ875" s="1052"/>
      <c r="CA875" s="1052"/>
      <c r="CB875" s="1053"/>
      <c r="CC875" s="1053"/>
      <c r="CD875" s="1053"/>
      <c r="CE875" s="1053"/>
      <c r="CF875" s="1053"/>
      <c r="CG875" s="1053"/>
      <c r="CH875" s="1053"/>
      <c r="CI875" s="1123"/>
      <c r="CJ875" s="1123"/>
      <c r="CK875" s="1123"/>
      <c r="CL875" s="1123"/>
      <c r="CM875" s="1123"/>
      <c r="CN875" s="1123"/>
      <c r="CO875" s="1123"/>
      <c r="CP875" s="1123"/>
      <c r="CQ875" s="1123"/>
      <c r="CR875" s="1123"/>
      <c r="CS875" s="1123"/>
      <c r="CT875" s="1123"/>
      <c r="CU875" s="1123"/>
      <c r="CV875" s="1123"/>
      <c r="CW875" s="1123"/>
      <c r="CX875" s="1123"/>
      <c r="CY875" s="1123"/>
      <c r="CZ875" s="1114"/>
      <c r="DA875" s="1114"/>
      <c r="DB875" s="1114"/>
      <c r="DC875" s="1114"/>
      <c r="DD875" s="1114"/>
      <c r="DE875" s="1114"/>
      <c r="DF875" s="1114"/>
      <c r="DG875" s="1114"/>
      <c r="DH875" s="1114"/>
      <c r="DI875" s="1114"/>
      <c r="DJ875" s="1114"/>
      <c r="DK875" s="1114"/>
      <c r="DL875" s="1114"/>
      <c r="DM875" s="1114"/>
      <c r="DN875" s="1114"/>
      <c r="DO875" s="1114"/>
      <c r="DP875" s="1114"/>
      <c r="DQ875" s="1114"/>
      <c r="DR875" s="1114"/>
      <c r="DS875" s="1114"/>
      <c r="DT875" s="1114"/>
      <c r="DU875" s="1114"/>
      <c r="DV875" s="1115"/>
      <c r="DW875" s="1116"/>
      <c r="DX875" s="1116"/>
      <c r="DY875" s="1116"/>
      <c r="DZ875" s="1116"/>
      <c r="EA875" s="1116"/>
      <c r="EB875" s="1116"/>
      <c r="EC875" s="1116"/>
      <c r="ED875" s="1116"/>
      <c r="EE875" s="1116"/>
      <c r="EF875" s="1116"/>
      <c r="EG875" s="1116"/>
      <c r="EH875" s="1116"/>
      <c r="EI875" s="1116"/>
      <c r="EJ875" s="1116"/>
      <c r="EK875" s="1116"/>
      <c r="EL875" s="1116"/>
      <c r="EM875" s="1116"/>
      <c r="EN875" s="1116"/>
      <c r="EO875" s="1116"/>
      <c r="EP875" s="1116"/>
      <c r="EQ875" s="1116"/>
      <c r="ER875" s="1116"/>
      <c r="ES875" s="1116"/>
    </row>
    <row r="876" spans="1:149" ht="15" customHeight="1">
      <c r="A876" s="1185">
        <v>866</v>
      </c>
      <c r="B876" s="1041"/>
      <c r="C876" s="1050"/>
      <c r="D876" s="1050"/>
      <c r="E876" s="1050"/>
      <c r="F876" s="1049"/>
      <c r="G876" s="1049"/>
      <c r="H876" s="1049"/>
      <c r="I876" s="1049"/>
      <c r="J876" s="1050"/>
      <c r="K876" s="1050"/>
      <c r="L876" s="1043"/>
      <c r="M876" s="1051"/>
      <c r="N876" s="1051"/>
      <c r="O876" s="1052"/>
      <c r="P876" s="1051"/>
      <c r="Q876" s="1051"/>
      <c r="R876" s="1052"/>
      <c r="S876" s="1051"/>
      <c r="T876" s="1051"/>
      <c r="U876" s="1052"/>
      <c r="V876" s="1051"/>
      <c r="W876" s="1051"/>
      <c r="X876" s="1052"/>
      <c r="Y876" s="1053"/>
      <c r="Z876" s="1051"/>
      <c r="AA876" s="1051"/>
      <c r="AB876" s="1052"/>
      <c r="AC876" s="1051"/>
      <c r="AD876" s="1051"/>
      <c r="AE876" s="1052"/>
      <c r="AF876" s="1051"/>
      <c r="AG876" s="1051"/>
      <c r="AH876" s="1051"/>
      <c r="AI876" s="1051"/>
      <c r="AJ876" s="1052"/>
      <c r="AK876" s="1051"/>
      <c r="AL876" s="1051"/>
      <c r="AM876" s="1052"/>
      <c r="AN876" s="1051"/>
      <c r="AO876" s="1051"/>
      <c r="AP876" s="1052"/>
      <c r="AQ876" s="1051"/>
      <c r="AR876" s="1051"/>
      <c r="AS876" s="1052"/>
      <c r="AT876" s="1051"/>
      <c r="AU876" s="1051"/>
      <c r="AV876" s="1052"/>
      <c r="AW876" s="1051"/>
      <c r="AX876" s="1051"/>
      <c r="AY876" s="1053"/>
      <c r="AZ876" s="1051"/>
      <c r="BA876" s="1051"/>
      <c r="BB876" s="1053"/>
      <c r="BC876" s="1051"/>
      <c r="BD876" s="1051"/>
      <c r="BE876" s="1053"/>
      <c r="BF876" s="1051"/>
      <c r="BG876" s="1051"/>
      <c r="BH876" s="1053"/>
      <c r="BI876" s="1052"/>
      <c r="BJ876" s="1052"/>
      <c r="BK876" s="1052"/>
      <c r="BL876" s="1052"/>
      <c r="BM876" s="1052"/>
      <c r="BN876" s="1054"/>
      <c r="BO876" s="1076">
        <f t="shared" si="14"/>
        <v>0</v>
      </c>
      <c r="BP876" s="1051"/>
      <c r="BQ876" s="1052"/>
      <c r="BR876" s="1054"/>
      <c r="BS876" s="1053"/>
      <c r="BT876" s="1051"/>
      <c r="BU876" s="1051"/>
      <c r="BV876" s="1051"/>
      <c r="BW876" s="1052"/>
      <c r="BX876" s="1052"/>
      <c r="BY876" s="1052"/>
      <c r="BZ876" s="1052"/>
      <c r="CA876" s="1052"/>
      <c r="CB876" s="1053"/>
      <c r="CC876" s="1053"/>
      <c r="CD876" s="1053"/>
      <c r="CE876" s="1053"/>
      <c r="CF876" s="1053"/>
      <c r="CG876" s="1053"/>
      <c r="CH876" s="1053"/>
      <c r="CI876" s="1123"/>
      <c r="CJ876" s="1123"/>
      <c r="CK876" s="1123"/>
      <c r="CL876" s="1123"/>
      <c r="CM876" s="1123"/>
      <c r="CN876" s="1123"/>
      <c r="CO876" s="1123"/>
      <c r="CP876" s="1123"/>
      <c r="CQ876" s="1123"/>
      <c r="CR876" s="1123"/>
      <c r="CS876" s="1123"/>
      <c r="CT876" s="1123"/>
      <c r="CU876" s="1123"/>
      <c r="CV876" s="1123"/>
      <c r="CW876" s="1123"/>
      <c r="CX876" s="1123"/>
      <c r="CY876" s="1123"/>
      <c r="CZ876" s="1114"/>
      <c r="DA876" s="1114"/>
      <c r="DB876" s="1114"/>
      <c r="DC876" s="1114"/>
      <c r="DD876" s="1114"/>
      <c r="DE876" s="1114"/>
      <c r="DF876" s="1114"/>
      <c r="DG876" s="1114"/>
      <c r="DH876" s="1114"/>
      <c r="DI876" s="1114"/>
      <c r="DJ876" s="1114"/>
      <c r="DK876" s="1114"/>
      <c r="DL876" s="1114"/>
      <c r="DM876" s="1114"/>
      <c r="DN876" s="1114"/>
      <c r="DO876" s="1114"/>
      <c r="DP876" s="1114"/>
      <c r="DQ876" s="1114"/>
      <c r="DR876" s="1114"/>
      <c r="DS876" s="1114"/>
      <c r="DT876" s="1114"/>
      <c r="DU876" s="1114"/>
      <c r="DV876" s="1115"/>
      <c r="DW876" s="1116"/>
      <c r="DX876" s="1116"/>
      <c r="DY876" s="1116"/>
      <c r="DZ876" s="1116"/>
      <c r="EA876" s="1116"/>
      <c r="EB876" s="1116"/>
      <c r="EC876" s="1116"/>
      <c r="ED876" s="1116"/>
      <c r="EE876" s="1116"/>
      <c r="EF876" s="1116"/>
      <c r="EG876" s="1116"/>
      <c r="EH876" s="1116"/>
      <c r="EI876" s="1116"/>
      <c r="EJ876" s="1116"/>
      <c r="EK876" s="1116"/>
      <c r="EL876" s="1116"/>
      <c r="EM876" s="1116"/>
      <c r="EN876" s="1116"/>
      <c r="EO876" s="1116"/>
      <c r="EP876" s="1116"/>
      <c r="EQ876" s="1116"/>
      <c r="ER876" s="1116"/>
      <c r="ES876" s="1116"/>
    </row>
    <row r="877" spans="1:149" ht="15" customHeight="1">
      <c r="A877" s="1185">
        <v>867</v>
      </c>
      <c r="B877" s="1041"/>
      <c r="C877" s="1050"/>
      <c r="D877" s="1050"/>
      <c r="E877" s="1050"/>
      <c r="F877" s="1049"/>
      <c r="G877" s="1049"/>
      <c r="H877" s="1049"/>
      <c r="I877" s="1049"/>
      <c r="J877" s="1050"/>
      <c r="K877" s="1050"/>
      <c r="L877" s="1043"/>
      <c r="M877" s="1051"/>
      <c r="N877" s="1051"/>
      <c r="O877" s="1052"/>
      <c r="P877" s="1051"/>
      <c r="Q877" s="1051"/>
      <c r="R877" s="1052"/>
      <c r="S877" s="1051"/>
      <c r="T877" s="1051"/>
      <c r="U877" s="1052"/>
      <c r="V877" s="1051"/>
      <c r="W877" s="1051"/>
      <c r="X877" s="1052"/>
      <c r="Y877" s="1053"/>
      <c r="Z877" s="1051"/>
      <c r="AA877" s="1051"/>
      <c r="AB877" s="1052"/>
      <c r="AC877" s="1051"/>
      <c r="AD877" s="1051"/>
      <c r="AE877" s="1052"/>
      <c r="AF877" s="1051"/>
      <c r="AG877" s="1051"/>
      <c r="AH877" s="1051"/>
      <c r="AI877" s="1051"/>
      <c r="AJ877" s="1052"/>
      <c r="AK877" s="1051"/>
      <c r="AL877" s="1051"/>
      <c r="AM877" s="1052"/>
      <c r="AN877" s="1051"/>
      <c r="AO877" s="1051"/>
      <c r="AP877" s="1052"/>
      <c r="AQ877" s="1051"/>
      <c r="AR877" s="1051"/>
      <c r="AS877" s="1052"/>
      <c r="AT877" s="1051"/>
      <c r="AU877" s="1051"/>
      <c r="AV877" s="1052"/>
      <c r="AW877" s="1051"/>
      <c r="AX877" s="1051"/>
      <c r="AY877" s="1053"/>
      <c r="AZ877" s="1051"/>
      <c r="BA877" s="1051"/>
      <c r="BB877" s="1053"/>
      <c r="BC877" s="1051"/>
      <c r="BD877" s="1051"/>
      <c r="BE877" s="1053"/>
      <c r="BF877" s="1051"/>
      <c r="BG877" s="1051"/>
      <c r="BH877" s="1053"/>
      <c r="BI877" s="1052"/>
      <c r="BJ877" s="1052"/>
      <c r="BK877" s="1052"/>
      <c r="BL877" s="1052"/>
      <c r="BM877" s="1052"/>
      <c r="BN877" s="1054"/>
      <c r="BO877" s="1076">
        <f t="shared" si="14"/>
        <v>0</v>
      </c>
      <c r="BP877" s="1051"/>
      <c r="BQ877" s="1052"/>
      <c r="BR877" s="1054"/>
      <c r="BS877" s="1053"/>
      <c r="BT877" s="1051"/>
      <c r="BU877" s="1051"/>
      <c r="BV877" s="1051"/>
      <c r="BW877" s="1052"/>
      <c r="BX877" s="1052"/>
      <c r="BY877" s="1052"/>
      <c r="BZ877" s="1052"/>
      <c r="CA877" s="1052"/>
      <c r="CB877" s="1053"/>
      <c r="CC877" s="1053"/>
      <c r="CD877" s="1053"/>
      <c r="CE877" s="1053"/>
      <c r="CF877" s="1053"/>
      <c r="CG877" s="1053"/>
      <c r="CH877" s="1053"/>
      <c r="CI877" s="1123"/>
      <c r="CJ877" s="1123"/>
      <c r="CK877" s="1123"/>
      <c r="CL877" s="1123"/>
      <c r="CM877" s="1123"/>
      <c r="CN877" s="1123"/>
      <c r="CO877" s="1123"/>
      <c r="CP877" s="1123"/>
      <c r="CQ877" s="1123"/>
      <c r="CR877" s="1123"/>
      <c r="CS877" s="1123"/>
      <c r="CT877" s="1123"/>
      <c r="CU877" s="1123"/>
      <c r="CV877" s="1123"/>
      <c r="CW877" s="1123"/>
      <c r="CX877" s="1123"/>
      <c r="CY877" s="1123"/>
      <c r="CZ877" s="1114"/>
      <c r="DA877" s="1114"/>
      <c r="DB877" s="1114"/>
      <c r="DC877" s="1114"/>
      <c r="DD877" s="1114"/>
      <c r="DE877" s="1114"/>
      <c r="DF877" s="1114"/>
      <c r="DG877" s="1114"/>
      <c r="DH877" s="1114"/>
      <c r="DI877" s="1114"/>
      <c r="DJ877" s="1114"/>
      <c r="DK877" s="1114"/>
      <c r="DL877" s="1114"/>
      <c r="DM877" s="1114"/>
      <c r="DN877" s="1114"/>
      <c r="DO877" s="1114"/>
      <c r="DP877" s="1114"/>
      <c r="DQ877" s="1114"/>
      <c r="DR877" s="1114"/>
      <c r="DS877" s="1114"/>
      <c r="DT877" s="1114"/>
      <c r="DU877" s="1114"/>
      <c r="DV877" s="1115"/>
      <c r="DW877" s="1116"/>
      <c r="DX877" s="1116"/>
      <c r="DY877" s="1116"/>
      <c r="DZ877" s="1116"/>
      <c r="EA877" s="1116"/>
      <c r="EB877" s="1116"/>
      <c r="EC877" s="1116"/>
      <c r="ED877" s="1116"/>
      <c r="EE877" s="1116"/>
      <c r="EF877" s="1116"/>
      <c r="EG877" s="1116"/>
      <c r="EH877" s="1116"/>
      <c r="EI877" s="1116"/>
      <c r="EJ877" s="1116"/>
      <c r="EK877" s="1116"/>
      <c r="EL877" s="1116"/>
      <c r="EM877" s="1116"/>
      <c r="EN877" s="1116"/>
      <c r="EO877" s="1116"/>
      <c r="EP877" s="1116"/>
      <c r="EQ877" s="1116"/>
      <c r="ER877" s="1116"/>
      <c r="ES877" s="1116"/>
    </row>
    <row r="878" spans="1:149" ht="15" customHeight="1">
      <c r="A878" s="1185">
        <v>868</v>
      </c>
      <c r="B878" s="1041"/>
      <c r="C878" s="1050"/>
      <c r="D878" s="1050"/>
      <c r="E878" s="1050"/>
      <c r="F878" s="1049"/>
      <c r="G878" s="1049"/>
      <c r="H878" s="1049"/>
      <c r="I878" s="1049"/>
      <c r="J878" s="1050"/>
      <c r="K878" s="1050"/>
      <c r="L878" s="1043"/>
      <c r="M878" s="1051"/>
      <c r="N878" s="1051"/>
      <c r="O878" s="1052"/>
      <c r="P878" s="1051"/>
      <c r="Q878" s="1051"/>
      <c r="R878" s="1052"/>
      <c r="S878" s="1051"/>
      <c r="T878" s="1051"/>
      <c r="U878" s="1052"/>
      <c r="V878" s="1051"/>
      <c r="W878" s="1051"/>
      <c r="X878" s="1052"/>
      <c r="Y878" s="1053"/>
      <c r="Z878" s="1051"/>
      <c r="AA878" s="1051"/>
      <c r="AB878" s="1052"/>
      <c r="AC878" s="1051"/>
      <c r="AD878" s="1051"/>
      <c r="AE878" s="1052"/>
      <c r="AF878" s="1051"/>
      <c r="AG878" s="1051"/>
      <c r="AH878" s="1051"/>
      <c r="AI878" s="1051"/>
      <c r="AJ878" s="1052"/>
      <c r="AK878" s="1051"/>
      <c r="AL878" s="1051"/>
      <c r="AM878" s="1052"/>
      <c r="AN878" s="1051"/>
      <c r="AO878" s="1051"/>
      <c r="AP878" s="1052"/>
      <c r="AQ878" s="1051"/>
      <c r="AR878" s="1051"/>
      <c r="AS878" s="1052"/>
      <c r="AT878" s="1051"/>
      <c r="AU878" s="1051"/>
      <c r="AV878" s="1052"/>
      <c r="AW878" s="1051"/>
      <c r="AX878" s="1051"/>
      <c r="AY878" s="1053"/>
      <c r="AZ878" s="1051"/>
      <c r="BA878" s="1051"/>
      <c r="BB878" s="1053"/>
      <c r="BC878" s="1051"/>
      <c r="BD878" s="1051"/>
      <c r="BE878" s="1053"/>
      <c r="BF878" s="1051"/>
      <c r="BG878" s="1051"/>
      <c r="BH878" s="1053"/>
      <c r="BI878" s="1052"/>
      <c r="BJ878" s="1052"/>
      <c r="BK878" s="1052"/>
      <c r="BL878" s="1052"/>
      <c r="BM878" s="1052"/>
      <c r="BN878" s="1054"/>
      <c r="BO878" s="1076">
        <f t="shared" si="14"/>
        <v>0</v>
      </c>
      <c r="BP878" s="1051"/>
      <c r="BQ878" s="1052"/>
      <c r="BR878" s="1054"/>
      <c r="BS878" s="1053"/>
      <c r="BT878" s="1051"/>
      <c r="BU878" s="1051"/>
      <c r="BV878" s="1051"/>
      <c r="BW878" s="1052"/>
      <c r="BX878" s="1052"/>
      <c r="BY878" s="1052"/>
      <c r="BZ878" s="1052"/>
      <c r="CA878" s="1052"/>
      <c r="CB878" s="1053"/>
      <c r="CC878" s="1053"/>
      <c r="CD878" s="1053"/>
      <c r="CE878" s="1053"/>
      <c r="CF878" s="1053"/>
      <c r="CG878" s="1053"/>
      <c r="CH878" s="1053"/>
      <c r="CI878" s="1123"/>
      <c r="CJ878" s="1123"/>
      <c r="CK878" s="1123"/>
      <c r="CL878" s="1123"/>
      <c r="CM878" s="1123"/>
      <c r="CN878" s="1123"/>
      <c r="CO878" s="1123"/>
      <c r="CP878" s="1123"/>
      <c r="CQ878" s="1123"/>
      <c r="CR878" s="1123"/>
      <c r="CS878" s="1123"/>
      <c r="CT878" s="1123"/>
      <c r="CU878" s="1123"/>
      <c r="CV878" s="1123"/>
      <c r="CW878" s="1123"/>
      <c r="CX878" s="1123"/>
      <c r="CY878" s="1123"/>
      <c r="CZ878" s="1114"/>
      <c r="DA878" s="1114"/>
      <c r="DB878" s="1114"/>
      <c r="DC878" s="1114"/>
      <c r="DD878" s="1114"/>
      <c r="DE878" s="1114"/>
      <c r="DF878" s="1114"/>
      <c r="DG878" s="1114"/>
      <c r="DH878" s="1114"/>
      <c r="DI878" s="1114"/>
      <c r="DJ878" s="1114"/>
      <c r="DK878" s="1114"/>
      <c r="DL878" s="1114"/>
      <c r="DM878" s="1114"/>
      <c r="DN878" s="1114"/>
      <c r="DO878" s="1114"/>
      <c r="DP878" s="1114"/>
      <c r="DQ878" s="1114"/>
      <c r="DR878" s="1114"/>
      <c r="DS878" s="1114"/>
      <c r="DT878" s="1114"/>
      <c r="DU878" s="1114"/>
      <c r="DV878" s="1115"/>
      <c r="DW878" s="1116"/>
      <c r="DX878" s="1116"/>
      <c r="DY878" s="1116"/>
      <c r="DZ878" s="1116"/>
      <c r="EA878" s="1116"/>
      <c r="EB878" s="1116"/>
      <c r="EC878" s="1116"/>
      <c r="ED878" s="1116"/>
      <c r="EE878" s="1116"/>
      <c r="EF878" s="1116"/>
      <c r="EG878" s="1116"/>
      <c r="EH878" s="1116"/>
      <c r="EI878" s="1116"/>
      <c r="EJ878" s="1116"/>
      <c r="EK878" s="1116"/>
      <c r="EL878" s="1116"/>
      <c r="EM878" s="1116"/>
      <c r="EN878" s="1116"/>
      <c r="EO878" s="1116"/>
      <c r="EP878" s="1116"/>
      <c r="EQ878" s="1116"/>
      <c r="ER878" s="1116"/>
      <c r="ES878" s="1116"/>
    </row>
    <row r="879" spans="1:149" ht="15" customHeight="1">
      <c r="A879" s="1185">
        <v>869</v>
      </c>
      <c r="B879" s="1041"/>
      <c r="C879" s="1050"/>
      <c r="D879" s="1050"/>
      <c r="E879" s="1050"/>
      <c r="F879" s="1049"/>
      <c r="G879" s="1049"/>
      <c r="H879" s="1049"/>
      <c r="I879" s="1049"/>
      <c r="J879" s="1050"/>
      <c r="K879" s="1050"/>
      <c r="L879" s="1043"/>
      <c r="M879" s="1051"/>
      <c r="N879" s="1051"/>
      <c r="O879" s="1052"/>
      <c r="P879" s="1051"/>
      <c r="Q879" s="1051"/>
      <c r="R879" s="1052"/>
      <c r="S879" s="1051"/>
      <c r="T879" s="1051"/>
      <c r="U879" s="1052"/>
      <c r="V879" s="1051"/>
      <c r="W879" s="1051"/>
      <c r="X879" s="1052"/>
      <c r="Y879" s="1053"/>
      <c r="Z879" s="1051"/>
      <c r="AA879" s="1051"/>
      <c r="AB879" s="1052"/>
      <c r="AC879" s="1051"/>
      <c r="AD879" s="1051"/>
      <c r="AE879" s="1052"/>
      <c r="AF879" s="1051"/>
      <c r="AG879" s="1051"/>
      <c r="AH879" s="1051"/>
      <c r="AI879" s="1051"/>
      <c r="AJ879" s="1052"/>
      <c r="AK879" s="1051"/>
      <c r="AL879" s="1051"/>
      <c r="AM879" s="1052"/>
      <c r="AN879" s="1051"/>
      <c r="AO879" s="1051"/>
      <c r="AP879" s="1052"/>
      <c r="AQ879" s="1051"/>
      <c r="AR879" s="1051"/>
      <c r="AS879" s="1052"/>
      <c r="AT879" s="1051"/>
      <c r="AU879" s="1051"/>
      <c r="AV879" s="1052"/>
      <c r="AW879" s="1051"/>
      <c r="AX879" s="1051"/>
      <c r="AY879" s="1053"/>
      <c r="AZ879" s="1051"/>
      <c r="BA879" s="1051"/>
      <c r="BB879" s="1053"/>
      <c r="BC879" s="1051"/>
      <c r="BD879" s="1051"/>
      <c r="BE879" s="1053"/>
      <c r="BF879" s="1051"/>
      <c r="BG879" s="1051"/>
      <c r="BH879" s="1053"/>
      <c r="BI879" s="1052"/>
      <c r="BJ879" s="1052"/>
      <c r="BK879" s="1052"/>
      <c r="BL879" s="1052"/>
      <c r="BM879" s="1052"/>
      <c r="BN879" s="1054"/>
      <c r="BO879" s="1076">
        <f t="shared" si="14"/>
        <v>0</v>
      </c>
      <c r="BP879" s="1051"/>
      <c r="BQ879" s="1052"/>
      <c r="BR879" s="1054"/>
      <c r="BS879" s="1053"/>
      <c r="BT879" s="1051"/>
      <c r="BU879" s="1051"/>
      <c r="BV879" s="1051"/>
      <c r="BW879" s="1052"/>
      <c r="BX879" s="1052"/>
      <c r="BY879" s="1052"/>
      <c r="BZ879" s="1052"/>
      <c r="CA879" s="1052"/>
      <c r="CB879" s="1053"/>
      <c r="CC879" s="1053"/>
      <c r="CD879" s="1053"/>
      <c r="CE879" s="1053"/>
      <c r="CF879" s="1053"/>
      <c r="CG879" s="1053"/>
      <c r="CH879" s="1053"/>
      <c r="CI879" s="1123"/>
      <c r="CJ879" s="1123"/>
      <c r="CK879" s="1123"/>
      <c r="CL879" s="1123"/>
      <c r="CM879" s="1123"/>
      <c r="CN879" s="1123"/>
      <c r="CO879" s="1123"/>
      <c r="CP879" s="1123"/>
      <c r="CQ879" s="1123"/>
      <c r="CR879" s="1123"/>
      <c r="CS879" s="1123"/>
      <c r="CT879" s="1123"/>
      <c r="CU879" s="1123"/>
      <c r="CV879" s="1123"/>
      <c r="CW879" s="1123"/>
      <c r="CX879" s="1123"/>
      <c r="CY879" s="1123"/>
      <c r="CZ879" s="1114"/>
      <c r="DA879" s="1114"/>
      <c r="DB879" s="1114"/>
      <c r="DC879" s="1114"/>
      <c r="DD879" s="1114"/>
      <c r="DE879" s="1114"/>
      <c r="DF879" s="1114"/>
      <c r="DG879" s="1114"/>
      <c r="DH879" s="1114"/>
      <c r="DI879" s="1114"/>
      <c r="DJ879" s="1114"/>
      <c r="DK879" s="1114"/>
      <c r="DL879" s="1114"/>
      <c r="DM879" s="1114"/>
      <c r="DN879" s="1114"/>
      <c r="DO879" s="1114"/>
      <c r="DP879" s="1114"/>
      <c r="DQ879" s="1114"/>
      <c r="DR879" s="1114"/>
      <c r="DS879" s="1114"/>
      <c r="DT879" s="1114"/>
      <c r="DU879" s="1114"/>
      <c r="DV879" s="1115"/>
      <c r="DW879" s="1116"/>
      <c r="DX879" s="1116"/>
      <c r="DY879" s="1116"/>
      <c r="DZ879" s="1116"/>
      <c r="EA879" s="1116"/>
      <c r="EB879" s="1116"/>
      <c r="EC879" s="1116"/>
      <c r="ED879" s="1116"/>
      <c r="EE879" s="1116"/>
      <c r="EF879" s="1116"/>
      <c r="EG879" s="1116"/>
      <c r="EH879" s="1116"/>
      <c r="EI879" s="1116"/>
      <c r="EJ879" s="1116"/>
      <c r="EK879" s="1116"/>
      <c r="EL879" s="1116"/>
      <c r="EM879" s="1116"/>
      <c r="EN879" s="1116"/>
      <c r="EO879" s="1116"/>
      <c r="EP879" s="1116"/>
      <c r="EQ879" s="1116"/>
      <c r="ER879" s="1116"/>
      <c r="ES879" s="1116"/>
    </row>
    <row r="880" spans="1:149" ht="15" customHeight="1">
      <c r="A880" s="1185">
        <v>870</v>
      </c>
      <c r="B880" s="1041"/>
      <c r="C880" s="1050"/>
      <c r="D880" s="1050"/>
      <c r="E880" s="1050"/>
      <c r="F880" s="1049"/>
      <c r="G880" s="1049"/>
      <c r="H880" s="1049"/>
      <c r="I880" s="1049"/>
      <c r="J880" s="1050"/>
      <c r="K880" s="1050"/>
      <c r="L880" s="1043"/>
      <c r="M880" s="1051"/>
      <c r="N880" s="1051"/>
      <c r="O880" s="1052"/>
      <c r="P880" s="1051"/>
      <c r="Q880" s="1051"/>
      <c r="R880" s="1052"/>
      <c r="S880" s="1051"/>
      <c r="T880" s="1051"/>
      <c r="U880" s="1052"/>
      <c r="V880" s="1051"/>
      <c r="W880" s="1051"/>
      <c r="X880" s="1052"/>
      <c r="Y880" s="1053"/>
      <c r="Z880" s="1051"/>
      <c r="AA880" s="1051"/>
      <c r="AB880" s="1052"/>
      <c r="AC880" s="1051"/>
      <c r="AD880" s="1051"/>
      <c r="AE880" s="1052"/>
      <c r="AF880" s="1051"/>
      <c r="AG880" s="1051"/>
      <c r="AH880" s="1051"/>
      <c r="AI880" s="1051"/>
      <c r="AJ880" s="1052"/>
      <c r="AK880" s="1051"/>
      <c r="AL880" s="1051"/>
      <c r="AM880" s="1052"/>
      <c r="AN880" s="1051"/>
      <c r="AO880" s="1051"/>
      <c r="AP880" s="1052"/>
      <c r="AQ880" s="1051"/>
      <c r="AR880" s="1051"/>
      <c r="AS880" s="1052"/>
      <c r="AT880" s="1051"/>
      <c r="AU880" s="1051"/>
      <c r="AV880" s="1052"/>
      <c r="AW880" s="1051"/>
      <c r="AX880" s="1051"/>
      <c r="AY880" s="1053"/>
      <c r="AZ880" s="1051"/>
      <c r="BA880" s="1051"/>
      <c r="BB880" s="1053"/>
      <c r="BC880" s="1051"/>
      <c r="BD880" s="1051"/>
      <c r="BE880" s="1053"/>
      <c r="BF880" s="1051"/>
      <c r="BG880" s="1051"/>
      <c r="BH880" s="1053"/>
      <c r="BI880" s="1052"/>
      <c r="BJ880" s="1052"/>
      <c r="BK880" s="1052"/>
      <c r="BL880" s="1052"/>
      <c r="BM880" s="1052"/>
      <c r="BN880" s="1054"/>
      <c r="BO880" s="1076">
        <f t="shared" si="14"/>
        <v>0</v>
      </c>
      <c r="BP880" s="1051"/>
      <c r="BQ880" s="1052"/>
      <c r="BR880" s="1054"/>
      <c r="BS880" s="1053"/>
      <c r="BT880" s="1051"/>
      <c r="BU880" s="1051"/>
      <c r="BV880" s="1051"/>
      <c r="BW880" s="1052"/>
      <c r="BX880" s="1052"/>
      <c r="BY880" s="1052"/>
      <c r="BZ880" s="1052"/>
      <c r="CA880" s="1052"/>
      <c r="CB880" s="1053"/>
      <c r="CC880" s="1053"/>
      <c r="CD880" s="1053"/>
      <c r="CE880" s="1053"/>
      <c r="CF880" s="1053"/>
      <c r="CG880" s="1053"/>
      <c r="CH880" s="1053"/>
      <c r="CI880" s="1123"/>
      <c r="CJ880" s="1123"/>
      <c r="CK880" s="1123"/>
      <c r="CL880" s="1123"/>
      <c r="CM880" s="1123"/>
      <c r="CN880" s="1123"/>
      <c r="CO880" s="1123"/>
      <c r="CP880" s="1123"/>
      <c r="CQ880" s="1123"/>
      <c r="CR880" s="1123"/>
      <c r="CS880" s="1123"/>
      <c r="CT880" s="1123"/>
      <c r="CU880" s="1123"/>
      <c r="CV880" s="1123"/>
      <c r="CW880" s="1123"/>
      <c r="CX880" s="1123"/>
      <c r="CY880" s="1123"/>
      <c r="CZ880" s="1114"/>
      <c r="DA880" s="1114"/>
      <c r="DB880" s="1114"/>
      <c r="DC880" s="1114"/>
      <c r="DD880" s="1114"/>
      <c r="DE880" s="1114"/>
      <c r="DF880" s="1114"/>
      <c r="DG880" s="1114"/>
      <c r="DH880" s="1114"/>
      <c r="DI880" s="1114"/>
      <c r="DJ880" s="1114"/>
      <c r="DK880" s="1114"/>
      <c r="DL880" s="1114"/>
      <c r="DM880" s="1114"/>
      <c r="DN880" s="1114"/>
      <c r="DO880" s="1114"/>
      <c r="DP880" s="1114"/>
      <c r="DQ880" s="1114"/>
      <c r="DR880" s="1114"/>
      <c r="DS880" s="1114"/>
      <c r="DT880" s="1114"/>
      <c r="DU880" s="1114"/>
      <c r="DV880" s="1115"/>
      <c r="DW880" s="1116"/>
      <c r="DX880" s="1116"/>
      <c r="DY880" s="1116"/>
      <c r="DZ880" s="1116"/>
      <c r="EA880" s="1116"/>
      <c r="EB880" s="1116"/>
      <c r="EC880" s="1116"/>
      <c r="ED880" s="1116"/>
      <c r="EE880" s="1116"/>
      <c r="EF880" s="1116"/>
      <c r="EG880" s="1116"/>
      <c r="EH880" s="1116"/>
      <c r="EI880" s="1116"/>
      <c r="EJ880" s="1116"/>
      <c r="EK880" s="1116"/>
      <c r="EL880" s="1116"/>
      <c r="EM880" s="1116"/>
      <c r="EN880" s="1116"/>
      <c r="EO880" s="1116"/>
      <c r="EP880" s="1116"/>
      <c r="EQ880" s="1116"/>
      <c r="ER880" s="1116"/>
      <c r="ES880" s="1116"/>
    </row>
    <row r="881" spans="1:149" ht="15" customHeight="1">
      <c r="A881" s="1185">
        <v>871</v>
      </c>
      <c r="B881" s="1041"/>
      <c r="C881" s="1050"/>
      <c r="D881" s="1050"/>
      <c r="E881" s="1050"/>
      <c r="F881" s="1049"/>
      <c r="G881" s="1049"/>
      <c r="H881" s="1049"/>
      <c r="I881" s="1049"/>
      <c r="J881" s="1050"/>
      <c r="K881" s="1050"/>
      <c r="L881" s="1043"/>
      <c r="M881" s="1051"/>
      <c r="N881" s="1051"/>
      <c r="O881" s="1052"/>
      <c r="P881" s="1051"/>
      <c r="Q881" s="1051"/>
      <c r="R881" s="1052"/>
      <c r="S881" s="1051"/>
      <c r="T881" s="1051"/>
      <c r="U881" s="1052"/>
      <c r="V881" s="1051"/>
      <c r="W881" s="1051"/>
      <c r="X881" s="1052"/>
      <c r="Y881" s="1053"/>
      <c r="Z881" s="1051"/>
      <c r="AA881" s="1051"/>
      <c r="AB881" s="1052"/>
      <c r="AC881" s="1051"/>
      <c r="AD881" s="1051"/>
      <c r="AE881" s="1052"/>
      <c r="AF881" s="1051"/>
      <c r="AG881" s="1051"/>
      <c r="AH881" s="1051"/>
      <c r="AI881" s="1051"/>
      <c r="AJ881" s="1052"/>
      <c r="AK881" s="1051"/>
      <c r="AL881" s="1051"/>
      <c r="AM881" s="1052"/>
      <c r="AN881" s="1051"/>
      <c r="AO881" s="1051"/>
      <c r="AP881" s="1052"/>
      <c r="AQ881" s="1051"/>
      <c r="AR881" s="1051"/>
      <c r="AS881" s="1052"/>
      <c r="AT881" s="1051"/>
      <c r="AU881" s="1051"/>
      <c r="AV881" s="1052"/>
      <c r="AW881" s="1051"/>
      <c r="AX881" s="1051"/>
      <c r="AY881" s="1053"/>
      <c r="AZ881" s="1051"/>
      <c r="BA881" s="1051"/>
      <c r="BB881" s="1053"/>
      <c r="BC881" s="1051"/>
      <c r="BD881" s="1051"/>
      <c r="BE881" s="1053"/>
      <c r="BF881" s="1051"/>
      <c r="BG881" s="1051"/>
      <c r="BH881" s="1053"/>
      <c r="BI881" s="1052"/>
      <c r="BJ881" s="1052"/>
      <c r="BK881" s="1052"/>
      <c r="BL881" s="1052"/>
      <c r="BM881" s="1052"/>
      <c r="BN881" s="1054"/>
      <c r="BO881" s="1076">
        <f t="shared" ref="BO881:BO944" si="15">H881</f>
        <v>0</v>
      </c>
      <c r="BP881" s="1051"/>
      <c r="BQ881" s="1052"/>
      <c r="BR881" s="1054"/>
      <c r="BS881" s="1053"/>
      <c r="BT881" s="1051"/>
      <c r="BU881" s="1051"/>
      <c r="BV881" s="1051"/>
      <c r="BW881" s="1052"/>
      <c r="BX881" s="1052"/>
      <c r="BY881" s="1052"/>
      <c r="BZ881" s="1052"/>
      <c r="CA881" s="1052"/>
      <c r="CB881" s="1053"/>
      <c r="CC881" s="1053"/>
      <c r="CD881" s="1053"/>
      <c r="CE881" s="1053"/>
      <c r="CF881" s="1053"/>
      <c r="CG881" s="1053"/>
      <c r="CH881" s="1053"/>
      <c r="CI881" s="1123"/>
      <c r="CJ881" s="1123"/>
      <c r="CK881" s="1123"/>
      <c r="CL881" s="1123"/>
      <c r="CM881" s="1123"/>
      <c r="CN881" s="1123"/>
      <c r="CO881" s="1123"/>
      <c r="CP881" s="1123"/>
      <c r="CQ881" s="1123"/>
      <c r="CR881" s="1123"/>
      <c r="CS881" s="1123"/>
      <c r="CT881" s="1123"/>
      <c r="CU881" s="1123"/>
      <c r="CV881" s="1123"/>
      <c r="CW881" s="1123"/>
      <c r="CX881" s="1123"/>
      <c r="CY881" s="1123"/>
      <c r="CZ881" s="1114"/>
      <c r="DA881" s="1114"/>
      <c r="DB881" s="1114"/>
      <c r="DC881" s="1114"/>
      <c r="DD881" s="1114"/>
      <c r="DE881" s="1114"/>
      <c r="DF881" s="1114"/>
      <c r="DG881" s="1114"/>
      <c r="DH881" s="1114"/>
      <c r="DI881" s="1114"/>
      <c r="DJ881" s="1114"/>
      <c r="DK881" s="1114"/>
      <c r="DL881" s="1114"/>
      <c r="DM881" s="1114"/>
      <c r="DN881" s="1114"/>
      <c r="DO881" s="1114"/>
      <c r="DP881" s="1114"/>
      <c r="DQ881" s="1114"/>
      <c r="DR881" s="1114"/>
      <c r="DS881" s="1114"/>
      <c r="DT881" s="1114"/>
      <c r="DU881" s="1114"/>
      <c r="DV881" s="1115"/>
      <c r="DW881" s="1116"/>
      <c r="DX881" s="1116"/>
      <c r="DY881" s="1116"/>
      <c r="DZ881" s="1116"/>
      <c r="EA881" s="1116"/>
      <c r="EB881" s="1116"/>
      <c r="EC881" s="1116"/>
      <c r="ED881" s="1116"/>
      <c r="EE881" s="1116"/>
      <c r="EF881" s="1116"/>
      <c r="EG881" s="1116"/>
      <c r="EH881" s="1116"/>
      <c r="EI881" s="1116"/>
      <c r="EJ881" s="1116"/>
      <c r="EK881" s="1116"/>
      <c r="EL881" s="1116"/>
      <c r="EM881" s="1116"/>
      <c r="EN881" s="1116"/>
      <c r="EO881" s="1116"/>
      <c r="EP881" s="1116"/>
      <c r="EQ881" s="1116"/>
      <c r="ER881" s="1116"/>
      <c r="ES881" s="1116"/>
    </row>
    <row r="882" spans="1:149" ht="15" customHeight="1">
      <c r="A882" s="1185">
        <v>872</v>
      </c>
      <c r="B882" s="1041"/>
      <c r="C882" s="1050"/>
      <c r="D882" s="1050"/>
      <c r="E882" s="1050"/>
      <c r="F882" s="1049"/>
      <c r="G882" s="1049"/>
      <c r="H882" s="1049"/>
      <c r="I882" s="1049"/>
      <c r="J882" s="1050"/>
      <c r="K882" s="1050"/>
      <c r="L882" s="1043"/>
      <c r="M882" s="1051"/>
      <c r="N882" s="1051"/>
      <c r="O882" s="1052"/>
      <c r="P882" s="1051"/>
      <c r="Q882" s="1051"/>
      <c r="R882" s="1052"/>
      <c r="S882" s="1051"/>
      <c r="T882" s="1051"/>
      <c r="U882" s="1052"/>
      <c r="V882" s="1051"/>
      <c r="W882" s="1051"/>
      <c r="X882" s="1052"/>
      <c r="Y882" s="1053"/>
      <c r="Z882" s="1051"/>
      <c r="AA882" s="1051"/>
      <c r="AB882" s="1052"/>
      <c r="AC882" s="1051"/>
      <c r="AD882" s="1051"/>
      <c r="AE882" s="1052"/>
      <c r="AF882" s="1051"/>
      <c r="AG882" s="1051"/>
      <c r="AH882" s="1051"/>
      <c r="AI882" s="1051"/>
      <c r="AJ882" s="1052"/>
      <c r="AK882" s="1051"/>
      <c r="AL882" s="1051"/>
      <c r="AM882" s="1052"/>
      <c r="AN882" s="1051"/>
      <c r="AO882" s="1051"/>
      <c r="AP882" s="1052"/>
      <c r="AQ882" s="1051"/>
      <c r="AR882" s="1051"/>
      <c r="AS882" s="1052"/>
      <c r="AT882" s="1051"/>
      <c r="AU882" s="1051"/>
      <c r="AV882" s="1052"/>
      <c r="AW882" s="1051"/>
      <c r="AX882" s="1051"/>
      <c r="AY882" s="1053"/>
      <c r="AZ882" s="1051"/>
      <c r="BA882" s="1051"/>
      <c r="BB882" s="1053"/>
      <c r="BC882" s="1051"/>
      <c r="BD882" s="1051"/>
      <c r="BE882" s="1053"/>
      <c r="BF882" s="1051"/>
      <c r="BG882" s="1051"/>
      <c r="BH882" s="1053"/>
      <c r="BI882" s="1052"/>
      <c r="BJ882" s="1052"/>
      <c r="BK882" s="1052"/>
      <c r="BL882" s="1052"/>
      <c r="BM882" s="1052"/>
      <c r="BN882" s="1054"/>
      <c r="BO882" s="1076">
        <f t="shared" si="15"/>
        <v>0</v>
      </c>
      <c r="BP882" s="1051"/>
      <c r="BQ882" s="1052"/>
      <c r="BR882" s="1054"/>
      <c r="BS882" s="1053"/>
      <c r="BT882" s="1051"/>
      <c r="BU882" s="1051"/>
      <c r="BV882" s="1051"/>
      <c r="BW882" s="1052"/>
      <c r="BX882" s="1052"/>
      <c r="BY882" s="1052"/>
      <c r="BZ882" s="1052"/>
      <c r="CA882" s="1052"/>
      <c r="CB882" s="1053"/>
      <c r="CC882" s="1053"/>
      <c r="CD882" s="1053"/>
      <c r="CE882" s="1053"/>
      <c r="CF882" s="1053"/>
      <c r="CG882" s="1053"/>
      <c r="CH882" s="1053"/>
      <c r="CI882" s="1123"/>
      <c r="CJ882" s="1123"/>
      <c r="CK882" s="1123"/>
      <c r="CL882" s="1123"/>
      <c r="CM882" s="1123"/>
      <c r="CN882" s="1123"/>
      <c r="CO882" s="1123"/>
      <c r="CP882" s="1123"/>
      <c r="CQ882" s="1123"/>
      <c r="CR882" s="1123"/>
      <c r="CS882" s="1123"/>
      <c r="CT882" s="1123"/>
      <c r="CU882" s="1123"/>
      <c r="CV882" s="1123"/>
      <c r="CW882" s="1123"/>
      <c r="CX882" s="1123"/>
      <c r="CY882" s="1123"/>
      <c r="CZ882" s="1114"/>
      <c r="DA882" s="1114"/>
      <c r="DB882" s="1114"/>
      <c r="DC882" s="1114"/>
      <c r="DD882" s="1114"/>
      <c r="DE882" s="1114"/>
      <c r="DF882" s="1114"/>
      <c r="DG882" s="1114"/>
      <c r="DH882" s="1114"/>
      <c r="DI882" s="1114"/>
      <c r="DJ882" s="1114"/>
      <c r="DK882" s="1114"/>
      <c r="DL882" s="1114"/>
      <c r="DM882" s="1114"/>
      <c r="DN882" s="1114"/>
      <c r="DO882" s="1114"/>
      <c r="DP882" s="1114"/>
      <c r="DQ882" s="1114"/>
      <c r="DR882" s="1114"/>
      <c r="DS882" s="1114"/>
      <c r="DT882" s="1114"/>
      <c r="DU882" s="1114"/>
      <c r="DV882" s="1115"/>
      <c r="DW882" s="1116"/>
      <c r="DX882" s="1116"/>
      <c r="DY882" s="1116"/>
      <c r="DZ882" s="1116"/>
      <c r="EA882" s="1116"/>
      <c r="EB882" s="1116"/>
      <c r="EC882" s="1116"/>
      <c r="ED882" s="1116"/>
      <c r="EE882" s="1116"/>
      <c r="EF882" s="1116"/>
      <c r="EG882" s="1116"/>
      <c r="EH882" s="1116"/>
      <c r="EI882" s="1116"/>
      <c r="EJ882" s="1116"/>
      <c r="EK882" s="1116"/>
      <c r="EL882" s="1116"/>
      <c r="EM882" s="1116"/>
      <c r="EN882" s="1116"/>
      <c r="EO882" s="1116"/>
      <c r="EP882" s="1116"/>
      <c r="EQ882" s="1116"/>
      <c r="ER882" s="1116"/>
      <c r="ES882" s="1116"/>
    </row>
    <row r="883" spans="1:149" ht="15" customHeight="1">
      <c r="A883" s="1185">
        <v>873</v>
      </c>
      <c r="B883" s="1041"/>
      <c r="C883" s="1050"/>
      <c r="D883" s="1050"/>
      <c r="E883" s="1050"/>
      <c r="F883" s="1049"/>
      <c r="G883" s="1049"/>
      <c r="H883" s="1049"/>
      <c r="I883" s="1049"/>
      <c r="J883" s="1050"/>
      <c r="K883" s="1050"/>
      <c r="L883" s="1043"/>
      <c r="M883" s="1051"/>
      <c r="N883" s="1051"/>
      <c r="O883" s="1052"/>
      <c r="P883" s="1051"/>
      <c r="Q883" s="1051"/>
      <c r="R883" s="1052"/>
      <c r="S883" s="1051"/>
      <c r="T883" s="1051"/>
      <c r="U883" s="1052"/>
      <c r="V883" s="1051"/>
      <c r="W883" s="1051"/>
      <c r="X883" s="1052"/>
      <c r="Y883" s="1053"/>
      <c r="Z883" s="1051"/>
      <c r="AA883" s="1051"/>
      <c r="AB883" s="1052"/>
      <c r="AC883" s="1051"/>
      <c r="AD883" s="1051"/>
      <c r="AE883" s="1052"/>
      <c r="AF883" s="1051"/>
      <c r="AG883" s="1051"/>
      <c r="AH883" s="1051"/>
      <c r="AI883" s="1051"/>
      <c r="AJ883" s="1052"/>
      <c r="AK883" s="1051"/>
      <c r="AL883" s="1051"/>
      <c r="AM883" s="1052"/>
      <c r="AN883" s="1051"/>
      <c r="AO883" s="1051"/>
      <c r="AP883" s="1052"/>
      <c r="AQ883" s="1051"/>
      <c r="AR883" s="1051"/>
      <c r="AS883" s="1052"/>
      <c r="AT883" s="1051"/>
      <c r="AU883" s="1051"/>
      <c r="AV883" s="1052"/>
      <c r="AW883" s="1051"/>
      <c r="AX883" s="1051"/>
      <c r="AY883" s="1053"/>
      <c r="AZ883" s="1051"/>
      <c r="BA883" s="1051"/>
      <c r="BB883" s="1053"/>
      <c r="BC883" s="1051"/>
      <c r="BD883" s="1051"/>
      <c r="BE883" s="1053"/>
      <c r="BF883" s="1051"/>
      <c r="BG883" s="1051"/>
      <c r="BH883" s="1053"/>
      <c r="BI883" s="1052"/>
      <c r="BJ883" s="1052"/>
      <c r="BK883" s="1052"/>
      <c r="BL883" s="1052"/>
      <c r="BM883" s="1052"/>
      <c r="BN883" s="1054"/>
      <c r="BO883" s="1076">
        <f t="shared" si="15"/>
        <v>0</v>
      </c>
      <c r="BP883" s="1051"/>
      <c r="BQ883" s="1052"/>
      <c r="BR883" s="1054"/>
      <c r="BS883" s="1053"/>
      <c r="BT883" s="1051"/>
      <c r="BU883" s="1051"/>
      <c r="BV883" s="1051"/>
      <c r="BW883" s="1052"/>
      <c r="BX883" s="1052"/>
      <c r="BY883" s="1052"/>
      <c r="BZ883" s="1052"/>
      <c r="CA883" s="1052"/>
      <c r="CB883" s="1053"/>
      <c r="CC883" s="1053"/>
      <c r="CD883" s="1053"/>
      <c r="CE883" s="1053"/>
      <c r="CF883" s="1053"/>
      <c r="CG883" s="1053"/>
      <c r="CH883" s="1053"/>
      <c r="CI883" s="1123"/>
      <c r="CJ883" s="1123"/>
      <c r="CK883" s="1123"/>
      <c r="CL883" s="1123"/>
      <c r="CM883" s="1123"/>
      <c r="CN883" s="1123"/>
      <c r="CO883" s="1123"/>
      <c r="CP883" s="1123"/>
      <c r="CQ883" s="1123"/>
      <c r="CR883" s="1123"/>
      <c r="CS883" s="1123"/>
      <c r="CT883" s="1123"/>
      <c r="CU883" s="1123"/>
      <c r="CV883" s="1123"/>
      <c r="CW883" s="1123"/>
      <c r="CX883" s="1123"/>
      <c r="CY883" s="1123"/>
      <c r="CZ883" s="1114"/>
      <c r="DA883" s="1114"/>
      <c r="DB883" s="1114"/>
      <c r="DC883" s="1114"/>
      <c r="DD883" s="1114"/>
      <c r="DE883" s="1114"/>
      <c r="DF883" s="1114"/>
      <c r="DG883" s="1114"/>
      <c r="DH883" s="1114"/>
      <c r="DI883" s="1114"/>
      <c r="DJ883" s="1114"/>
      <c r="DK883" s="1114"/>
      <c r="DL883" s="1114"/>
      <c r="DM883" s="1114"/>
      <c r="DN883" s="1114"/>
      <c r="DO883" s="1114"/>
      <c r="DP883" s="1114"/>
      <c r="DQ883" s="1114"/>
      <c r="DR883" s="1114"/>
      <c r="DS883" s="1114"/>
      <c r="DT883" s="1114"/>
      <c r="DU883" s="1114"/>
      <c r="DV883" s="1115"/>
      <c r="DW883" s="1116"/>
      <c r="DX883" s="1116"/>
      <c r="DY883" s="1116"/>
      <c r="DZ883" s="1116"/>
      <c r="EA883" s="1116"/>
      <c r="EB883" s="1116"/>
      <c r="EC883" s="1116"/>
      <c r="ED883" s="1116"/>
      <c r="EE883" s="1116"/>
      <c r="EF883" s="1116"/>
      <c r="EG883" s="1116"/>
      <c r="EH883" s="1116"/>
      <c r="EI883" s="1116"/>
      <c r="EJ883" s="1116"/>
      <c r="EK883" s="1116"/>
      <c r="EL883" s="1116"/>
      <c r="EM883" s="1116"/>
      <c r="EN883" s="1116"/>
      <c r="EO883" s="1116"/>
      <c r="EP883" s="1116"/>
      <c r="EQ883" s="1116"/>
      <c r="ER883" s="1116"/>
      <c r="ES883" s="1116"/>
    </row>
    <row r="884" spans="1:149" ht="15" customHeight="1">
      <c r="A884" s="1185">
        <v>874</v>
      </c>
      <c r="B884" s="1041"/>
      <c r="C884" s="1050"/>
      <c r="D884" s="1050"/>
      <c r="E884" s="1050"/>
      <c r="F884" s="1049"/>
      <c r="G884" s="1049"/>
      <c r="H884" s="1049"/>
      <c r="I884" s="1049"/>
      <c r="J884" s="1050"/>
      <c r="K884" s="1050"/>
      <c r="L884" s="1043"/>
      <c r="M884" s="1051"/>
      <c r="N884" s="1051"/>
      <c r="O884" s="1052"/>
      <c r="P884" s="1051"/>
      <c r="Q884" s="1051"/>
      <c r="R884" s="1052"/>
      <c r="S884" s="1051"/>
      <c r="T884" s="1051"/>
      <c r="U884" s="1052"/>
      <c r="V884" s="1051"/>
      <c r="W884" s="1051"/>
      <c r="X884" s="1052"/>
      <c r="Y884" s="1053"/>
      <c r="Z884" s="1051"/>
      <c r="AA884" s="1051"/>
      <c r="AB884" s="1052"/>
      <c r="AC884" s="1051"/>
      <c r="AD884" s="1051"/>
      <c r="AE884" s="1052"/>
      <c r="AF884" s="1051"/>
      <c r="AG884" s="1051"/>
      <c r="AH884" s="1051"/>
      <c r="AI884" s="1051"/>
      <c r="AJ884" s="1052"/>
      <c r="AK884" s="1051"/>
      <c r="AL884" s="1051"/>
      <c r="AM884" s="1052"/>
      <c r="AN884" s="1051"/>
      <c r="AO884" s="1051"/>
      <c r="AP884" s="1052"/>
      <c r="AQ884" s="1051"/>
      <c r="AR884" s="1051"/>
      <c r="AS884" s="1052"/>
      <c r="AT884" s="1051"/>
      <c r="AU884" s="1051"/>
      <c r="AV884" s="1052"/>
      <c r="AW884" s="1051"/>
      <c r="AX884" s="1051"/>
      <c r="AY884" s="1053"/>
      <c r="AZ884" s="1051"/>
      <c r="BA884" s="1051"/>
      <c r="BB884" s="1053"/>
      <c r="BC884" s="1051"/>
      <c r="BD884" s="1051"/>
      <c r="BE884" s="1053"/>
      <c r="BF884" s="1051"/>
      <c r="BG884" s="1051"/>
      <c r="BH884" s="1053"/>
      <c r="BI884" s="1052"/>
      <c r="BJ884" s="1052"/>
      <c r="BK884" s="1052"/>
      <c r="BL884" s="1052"/>
      <c r="BM884" s="1052"/>
      <c r="BN884" s="1054"/>
      <c r="BO884" s="1076">
        <f t="shared" si="15"/>
        <v>0</v>
      </c>
      <c r="BP884" s="1051"/>
      <c r="BQ884" s="1052"/>
      <c r="BR884" s="1054"/>
      <c r="BS884" s="1053"/>
      <c r="BT884" s="1051"/>
      <c r="BU884" s="1051"/>
      <c r="BV884" s="1051"/>
      <c r="BW884" s="1052"/>
      <c r="BX884" s="1052"/>
      <c r="BY884" s="1052"/>
      <c r="BZ884" s="1052"/>
      <c r="CA884" s="1052"/>
      <c r="CB884" s="1053"/>
      <c r="CC884" s="1053"/>
      <c r="CD884" s="1053"/>
      <c r="CE884" s="1053"/>
      <c r="CF884" s="1053"/>
      <c r="CG884" s="1053"/>
      <c r="CH884" s="1053"/>
      <c r="CI884" s="1123"/>
      <c r="CJ884" s="1123"/>
      <c r="CK884" s="1123"/>
      <c r="CL884" s="1123"/>
      <c r="CM884" s="1123"/>
      <c r="CN884" s="1123"/>
      <c r="CO884" s="1123"/>
      <c r="CP884" s="1123"/>
      <c r="CQ884" s="1123"/>
      <c r="CR884" s="1123"/>
      <c r="CS884" s="1123"/>
      <c r="CT884" s="1123"/>
      <c r="CU884" s="1123"/>
      <c r="CV884" s="1123"/>
      <c r="CW884" s="1123"/>
      <c r="CX884" s="1123"/>
      <c r="CY884" s="1123"/>
      <c r="CZ884" s="1114"/>
      <c r="DA884" s="1114"/>
      <c r="DB884" s="1114"/>
      <c r="DC884" s="1114"/>
      <c r="DD884" s="1114"/>
      <c r="DE884" s="1114"/>
      <c r="DF884" s="1114"/>
      <c r="DG884" s="1114"/>
      <c r="DH884" s="1114"/>
      <c r="DI884" s="1114"/>
      <c r="DJ884" s="1114"/>
      <c r="DK884" s="1114"/>
      <c r="DL884" s="1114"/>
      <c r="DM884" s="1114"/>
      <c r="DN884" s="1114"/>
      <c r="DO884" s="1114"/>
      <c r="DP884" s="1114"/>
      <c r="DQ884" s="1114"/>
      <c r="DR884" s="1114"/>
      <c r="DS884" s="1114"/>
      <c r="DT884" s="1114"/>
      <c r="DU884" s="1114"/>
      <c r="DV884" s="1115"/>
      <c r="DW884" s="1116"/>
      <c r="DX884" s="1116"/>
      <c r="DY884" s="1116"/>
      <c r="DZ884" s="1116"/>
      <c r="EA884" s="1116"/>
      <c r="EB884" s="1116"/>
      <c r="EC884" s="1116"/>
      <c r="ED884" s="1116"/>
      <c r="EE884" s="1116"/>
      <c r="EF884" s="1116"/>
      <c r="EG884" s="1116"/>
      <c r="EH884" s="1116"/>
      <c r="EI884" s="1116"/>
      <c r="EJ884" s="1116"/>
      <c r="EK884" s="1116"/>
      <c r="EL884" s="1116"/>
      <c r="EM884" s="1116"/>
      <c r="EN884" s="1116"/>
      <c r="EO884" s="1116"/>
      <c r="EP884" s="1116"/>
      <c r="EQ884" s="1116"/>
      <c r="ER884" s="1116"/>
      <c r="ES884" s="1116"/>
    </row>
    <row r="885" spans="1:149" ht="15" customHeight="1">
      <c r="A885" s="1185">
        <v>875</v>
      </c>
      <c r="B885" s="1041"/>
      <c r="C885" s="1050"/>
      <c r="D885" s="1050"/>
      <c r="E885" s="1050"/>
      <c r="F885" s="1049"/>
      <c r="G885" s="1049"/>
      <c r="H885" s="1049"/>
      <c r="I885" s="1049"/>
      <c r="J885" s="1050"/>
      <c r="K885" s="1050"/>
      <c r="L885" s="1043"/>
      <c r="M885" s="1051"/>
      <c r="N885" s="1051"/>
      <c r="O885" s="1052"/>
      <c r="P885" s="1051"/>
      <c r="Q885" s="1051"/>
      <c r="R885" s="1052"/>
      <c r="S885" s="1051"/>
      <c r="T885" s="1051"/>
      <c r="U885" s="1052"/>
      <c r="V885" s="1051"/>
      <c r="W885" s="1051"/>
      <c r="X885" s="1052"/>
      <c r="Y885" s="1053"/>
      <c r="Z885" s="1051"/>
      <c r="AA885" s="1051"/>
      <c r="AB885" s="1052"/>
      <c r="AC885" s="1051"/>
      <c r="AD885" s="1051"/>
      <c r="AE885" s="1052"/>
      <c r="AF885" s="1051"/>
      <c r="AG885" s="1051"/>
      <c r="AH885" s="1051"/>
      <c r="AI885" s="1051"/>
      <c r="AJ885" s="1052"/>
      <c r="AK885" s="1051"/>
      <c r="AL885" s="1051"/>
      <c r="AM885" s="1052"/>
      <c r="AN885" s="1051"/>
      <c r="AO885" s="1051"/>
      <c r="AP885" s="1052"/>
      <c r="AQ885" s="1051"/>
      <c r="AR885" s="1051"/>
      <c r="AS885" s="1052"/>
      <c r="AT885" s="1051"/>
      <c r="AU885" s="1051"/>
      <c r="AV885" s="1052"/>
      <c r="AW885" s="1051"/>
      <c r="AX885" s="1051"/>
      <c r="AY885" s="1053"/>
      <c r="AZ885" s="1051"/>
      <c r="BA885" s="1051"/>
      <c r="BB885" s="1053"/>
      <c r="BC885" s="1051"/>
      <c r="BD885" s="1051"/>
      <c r="BE885" s="1053"/>
      <c r="BF885" s="1051"/>
      <c r="BG885" s="1051"/>
      <c r="BH885" s="1053"/>
      <c r="BI885" s="1052"/>
      <c r="BJ885" s="1052"/>
      <c r="BK885" s="1052"/>
      <c r="BL885" s="1052"/>
      <c r="BM885" s="1052"/>
      <c r="BN885" s="1054"/>
      <c r="BO885" s="1076">
        <f t="shared" si="15"/>
        <v>0</v>
      </c>
      <c r="BP885" s="1051"/>
      <c r="BQ885" s="1052"/>
      <c r="BR885" s="1054"/>
      <c r="BS885" s="1053"/>
      <c r="BT885" s="1051"/>
      <c r="BU885" s="1051"/>
      <c r="BV885" s="1051"/>
      <c r="BW885" s="1052"/>
      <c r="BX885" s="1052"/>
      <c r="BY885" s="1052"/>
      <c r="BZ885" s="1052"/>
      <c r="CA885" s="1052"/>
      <c r="CB885" s="1053"/>
      <c r="CC885" s="1053"/>
      <c r="CD885" s="1053"/>
      <c r="CE885" s="1053"/>
      <c r="CF885" s="1053"/>
      <c r="CG885" s="1053"/>
      <c r="CH885" s="1053"/>
      <c r="CI885" s="1123"/>
      <c r="CJ885" s="1123"/>
      <c r="CK885" s="1123"/>
      <c r="CL885" s="1123"/>
      <c r="CM885" s="1123"/>
      <c r="CN885" s="1123"/>
      <c r="CO885" s="1123"/>
      <c r="CP885" s="1123"/>
      <c r="CQ885" s="1123"/>
      <c r="CR885" s="1123"/>
      <c r="CS885" s="1123"/>
      <c r="CT885" s="1123"/>
      <c r="CU885" s="1123"/>
      <c r="CV885" s="1123"/>
      <c r="CW885" s="1123"/>
      <c r="CX885" s="1123"/>
      <c r="CY885" s="1123"/>
      <c r="CZ885" s="1114"/>
      <c r="DA885" s="1114"/>
      <c r="DB885" s="1114"/>
      <c r="DC885" s="1114"/>
      <c r="DD885" s="1114"/>
      <c r="DE885" s="1114"/>
      <c r="DF885" s="1114"/>
      <c r="DG885" s="1114"/>
      <c r="DH885" s="1114"/>
      <c r="DI885" s="1114"/>
      <c r="DJ885" s="1114"/>
      <c r="DK885" s="1114"/>
      <c r="DL885" s="1114"/>
      <c r="DM885" s="1114"/>
      <c r="DN885" s="1114"/>
      <c r="DO885" s="1114"/>
      <c r="DP885" s="1114"/>
      <c r="DQ885" s="1114"/>
      <c r="DR885" s="1114"/>
      <c r="DS885" s="1114"/>
      <c r="DT885" s="1114"/>
      <c r="DU885" s="1114"/>
      <c r="DV885" s="1115"/>
      <c r="DW885" s="1116"/>
      <c r="DX885" s="1116"/>
      <c r="DY885" s="1116"/>
      <c r="DZ885" s="1116"/>
      <c r="EA885" s="1116"/>
      <c r="EB885" s="1116"/>
      <c r="EC885" s="1116"/>
      <c r="ED885" s="1116"/>
      <c r="EE885" s="1116"/>
      <c r="EF885" s="1116"/>
      <c r="EG885" s="1116"/>
      <c r="EH885" s="1116"/>
      <c r="EI885" s="1116"/>
      <c r="EJ885" s="1116"/>
      <c r="EK885" s="1116"/>
      <c r="EL885" s="1116"/>
      <c r="EM885" s="1116"/>
      <c r="EN885" s="1116"/>
      <c r="EO885" s="1116"/>
      <c r="EP885" s="1116"/>
      <c r="EQ885" s="1116"/>
      <c r="ER885" s="1116"/>
      <c r="ES885" s="1116"/>
    </row>
    <row r="886" spans="1:149" ht="15" customHeight="1">
      <c r="A886" s="1185">
        <v>876</v>
      </c>
      <c r="B886" s="1041"/>
      <c r="C886" s="1050"/>
      <c r="D886" s="1050"/>
      <c r="E886" s="1050"/>
      <c r="F886" s="1049"/>
      <c r="G886" s="1049"/>
      <c r="H886" s="1049"/>
      <c r="I886" s="1049"/>
      <c r="J886" s="1050"/>
      <c r="K886" s="1050"/>
      <c r="L886" s="1043"/>
      <c r="M886" s="1051"/>
      <c r="N886" s="1051"/>
      <c r="O886" s="1052"/>
      <c r="P886" s="1051"/>
      <c r="Q886" s="1051"/>
      <c r="R886" s="1052"/>
      <c r="S886" s="1051"/>
      <c r="T886" s="1051"/>
      <c r="U886" s="1052"/>
      <c r="V886" s="1051"/>
      <c r="W886" s="1051"/>
      <c r="X886" s="1052"/>
      <c r="Y886" s="1053"/>
      <c r="Z886" s="1051"/>
      <c r="AA886" s="1051"/>
      <c r="AB886" s="1052"/>
      <c r="AC886" s="1051"/>
      <c r="AD886" s="1051"/>
      <c r="AE886" s="1052"/>
      <c r="AF886" s="1051"/>
      <c r="AG886" s="1051"/>
      <c r="AH886" s="1051"/>
      <c r="AI886" s="1051"/>
      <c r="AJ886" s="1052"/>
      <c r="AK886" s="1051"/>
      <c r="AL886" s="1051"/>
      <c r="AM886" s="1052"/>
      <c r="AN886" s="1051"/>
      <c r="AO886" s="1051"/>
      <c r="AP886" s="1052"/>
      <c r="AQ886" s="1051"/>
      <c r="AR886" s="1051"/>
      <c r="AS886" s="1052"/>
      <c r="AT886" s="1051"/>
      <c r="AU886" s="1051"/>
      <c r="AV886" s="1052"/>
      <c r="AW886" s="1051"/>
      <c r="AX886" s="1051"/>
      <c r="AY886" s="1053"/>
      <c r="AZ886" s="1051"/>
      <c r="BA886" s="1051"/>
      <c r="BB886" s="1053"/>
      <c r="BC886" s="1051"/>
      <c r="BD886" s="1051"/>
      <c r="BE886" s="1053"/>
      <c r="BF886" s="1051"/>
      <c r="BG886" s="1051"/>
      <c r="BH886" s="1053"/>
      <c r="BI886" s="1052"/>
      <c r="BJ886" s="1052"/>
      <c r="BK886" s="1052"/>
      <c r="BL886" s="1052"/>
      <c r="BM886" s="1052"/>
      <c r="BN886" s="1054"/>
      <c r="BO886" s="1076">
        <f t="shared" si="15"/>
        <v>0</v>
      </c>
      <c r="BP886" s="1051"/>
      <c r="BQ886" s="1052"/>
      <c r="BR886" s="1054"/>
      <c r="BS886" s="1053"/>
      <c r="BT886" s="1051"/>
      <c r="BU886" s="1051"/>
      <c r="BV886" s="1051"/>
      <c r="BW886" s="1052"/>
      <c r="BX886" s="1052"/>
      <c r="BY886" s="1052"/>
      <c r="BZ886" s="1052"/>
      <c r="CA886" s="1052"/>
      <c r="CB886" s="1053"/>
      <c r="CC886" s="1053"/>
      <c r="CD886" s="1053"/>
      <c r="CE886" s="1053"/>
      <c r="CF886" s="1053"/>
      <c r="CG886" s="1053"/>
      <c r="CH886" s="1053"/>
      <c r="CI886" s="1123"/>
      <c r="CJ886" s="1123"/>
      <c r="CK886" s="1123"/>
      <c r="CL886" s="1123"/>
      <c r="CM886" s="1123"/>
      <c r="CN886" s="1123"/>
      <c r="CO886" s="1123"/>
      <c r="CP886" s="1123"/>
      <c r="CQ886" s="1123"/>
      <c r="CR886" s="1123"/>
      <c r="CS886" s="1123"/>
      <c r="CT886" s="1123"/>
      <c r="CU886" s="1123"/>
      <c r="CV886" s="1123"/>
      <c r="CW886" s="1123"/>
      <c r="CX886" s="1123"/>
      <c r="CY886" s="1123"/>
      <c r="CZ886" s="1114"/>
      <c r="DA886" s="1114"/>
      <c r="DB886" s="1114"/>
      <c r="DC886" s="1114"/>
      <c r="DD886" s="1114"/>
      <c r="DE886" s="1114"/>
      <c r="DF886" s="1114"/>
      <c r="DG886" s="1114"/>
      <c r="DH886" s="1114"/>
      <c r="DI886" s="1114"/>
      <c r="DJ886" s="1114"/>
      <c r="DK886" s="1114"/>
      <c r="DL886" s="1114"/>
      <c r="DM886" s="1114"/>
      <c r="DN886" s="1114"/>
      <c r="DO886" s="1114"/>
      <c r="DP886" s="1114"/>
      <c r="DQ886" s="1114"/>
      <c r="DR886" s="1114"/>
      <c r="DS886" s="1114"/>
      <c r="DT886" s="1114"/>
      <c r="DU886" s="1114"/>
      <c r="DV886" s="1115"/>
      <c r="DW886" s="1116"/>
      <c r="DX886" s="1116"/>
      <c r="DY886" s="1116"/>
      <c r="DZ886" s="1116"/>
      <c r="EA886" s="1116"/>
      <c r="EB886" s="1116"/>
      <c r="EC886" s="1116"/>
      <c r="ED886" s="1116"/>
      <c r="EE886" s="1116"/>
      <c r="EF886" s="1116"/>
      <c r="EG886" s="1116"/>
      <c r="EH886" s="1116"/>
      <c r="EI886" s="1116"/>
      <c r="EJ886" s="1116"/>
      <c r="EK886" s="1116"/>
      <c r="EL886" s="1116"/>
      <c r="EM886" s="1116"/>
      <c r="EN886" s="1116"/>
      <c r="EO886" s="1116"/>
      <c r="EP886" s="1116"/>
      <c r="EQ886" s="1116"/>
      <c r="ER886" s="1116"/>
      <c r="ES886" s="1116"/>
    </row>
    <row r="887" spans="1:149" ht="15" customHeight="1">
      <c r="A887" s="1185">
        <v>877</v>
      </c>
      <c r="B887" s="1041"/>
      <c r="C887" s="1050"/>
      <c r="D887" s="1050"/>
      <c r="E887" s="1050"/>
      <c r="F887" s="1049"/>
      <c r="G887" s="1049"/>
      <c r="H887" s="1049"/>
      <c r="I887" s="1049"/>
      <c r="J887" s="1050"/>
      <c r="K887" s="1050"/>
      <c r="L887" s="1043"/>
      <c r="M887" s="1051"/>
      <c r="N887" s="1051"/>
      <c r="O887" s="1052"/>
      <c r="P887" s="1051"/>
      <c r="Q887" s="1051"/>
      <c r="R887" s="1052"/>
      <c r="S887" s="1051"/>
      <c r="T887" s="1051"/>
      <c r="U887" s="1052"/>
      <c r="V887" s="1051"/>
      <c r="W887" s="1051"/>
      <c r="X887" s="1052"/>
      <c r="Y887" s="1053"/>
      <c r="Z887" s="1051"/>
      <c r="AA887" s="1051"/>
      <c r="AB887" s="1052"/>
      <c r="AC887" s="1051"/>
      <c r="AD887" s="1051"/>
      <c r="AE887" s="1052"/>
      <c r="AF887" s="1051"/>
      <c r="AG887" s="1051"/>
      <c r="AH887" s="1051"/>
      <c r="AI887" s="1051"/>
      <c r="AJ887" s="1052"/>
      <c r="AK887" s="1051"/>
      <c r="AL887" s="1051"/>
      <c r="AM887" s="1052"/>
      <c r="AN887" s="1051"/>
      <c r="AO887" s="1051"/>
      <c r="AP887" s="1052"/>
      <c r="AQ887" s="1051"/>
      <c r="AR887" s="1051"/>
      <c r="AS887" s="1052"/>
      <c r="AT887" s="1051"/>
      <c r="AU887" s="1051"/>
      <c r="AV887" s="1052"/>
      <c r="AW887" s="1051"/>
      <c r="AX887" s="1051"/>
      <c r="AY887" s="1053"/>
      <c r="AZ887" s="1051"/>
      <c r="BA887" s="1051"/>
      <c r="BB887" s="1053"/>
      <c r="BC887" s="1051"/>
      <c r="BD887" s="1051"/>
      <c r="BE887" s="1053"/>
      <c r="BF887" s="1051"/>
      <c r="BG887" s="1051"/>
      <c r="BH887" s="1053"/>
      <c r="BI887" s="1052"/>
      <c r="BJ887" s="1052"/>
      <c r="BK887" s="1052"/>
      <c r="BL887" s="1052"/>
      <c r="BM887" s="1052"/>
      <c r="BN887" s="1054"/>
      <c r="BO887" s="1076">
        <f t="shared" si="15"/>
        <v>0</v>
      </c>
      <c r="BP887" s="1051"/>
      <c r="BQ887" s="1052"/>
      <c r="BR887" s="1054"/>
      <c r="BS887" s="1053"/>
      <c r="BT887" s="1051"/>
      <c r="BU887" s="1051"/>
      <c r="BV887" s="1051"/>
      <c r="BW887" s="1052"/>
      <c r="BX887" s="1052"/>
      <c r="BY887" s="1052"/>
      <c r="BZ887" s="1052"/>
      <c r="CA887" s="1052"/>
      <c r="CB887" s="1053"/>
      <c r="CC887" s="1053"/>
      <c r="CD887" s="1053"/>
      <c r="CE887" s="1053"/>
      <c r="CF887" s="1053"/>
      <c r="CG887" s="1053"/>
      <c r="CH887" s="1053"/>
      <c r="CI887" s="1123"/>
      <c r="CJ887" s="1123"/>
      <c r="CK887" s="1123"/>
      <c r="CL887" s="1123"/>
      <c r="CM887" s="1123"/>
      <c r="CN887" s="1123"/>
      <c r="CO887" s="1123"/>
      <c r="CP887" s="1123"/>
      <c r="CQ887" s="1123"/>
      <c r="CR887" s="1123"/>
      <c r="CS887" s="1123"/>
      <c r="CT887" s="1123"/>
      <c r="CU887" s="1123"/>
      <c r="CV887" s="1123"/>
      <c r="CW887" s="1123"/>
      <c r="CX887" s="1123"/>
      <c r="CY887" s="1123"/>
      <c r="CZ887" s="1114"/>
      <c r="DA887" s="1114"/>
      <c r="DB887" s="1114"/>
      <c r="DC887" s="1114"/>
      <c r="DD887" s="1114"/>
      <c r="DE887" s="1114"/>
      <c r="DF887" s="1114"/>
      <c r="DG887" s="1114"/>
      <c r="DH887" s="1114"/>
      <c r="DI887" s="1114"/>
      <c r="DJ887" s="1114"/>
      <c r="DK887" s="1114"/>
      <c r="DL887" s="1114"/>
      <c r="DM887" s="1114"/>
      <c r="DN887" s="1114"/>
      <c r="DO887" s="1114"/>
      <c r="DP887" s="1114"/>
      <c r="DQ887" s="1114"/>
      <c r="DR887" s="1114"/>
      <c r="DS887" s="1114"/>
      <c r="DT887" s="1114"/>
      <c r="DU887" s="1114"/>
      <c r="DV887" s="1115"/>
      <c r="DW887" s="1116"/>
      <c r="DX887" s="1116"/>
      <c r="DY887" s="1116"/>
      <c r="DZ887" s="1116"/>
      <c r="EA887" s="1116"/>
      <c r="EB887" s="1116"/>
      <c r="EC887" s="1116"/>
      <c r="ED887" s="1116"/>
      <c r="EE887" s="1116"/>
      <c r="EF887" s="1116"/>
      <c r="EG887" s="1116"/>
      <c r="EH887" s="1116"/>
      <c r="EI887" s="1116"/>
      <c r="EJ887" s="1116"/>
      <c r="EK887" s="1116"/>
      <c r="EL887" s="1116"/>
      <c r="EM887" s="1116"/>
      <c r="EN887" s="1116"/>
      <c r="EO887" s="1116"/>
      <c r="EP887" s="1116"/>
      <c r="EQ887" s="1116"/>
      <c r="ER887" s="1116"/>
      <c r="ES887" s="1116"/>
    </row>
    <row r="888" spans="1:149" ht="15" customHeight="1">
      <c r="A888" s="1185">
        <v>878</v>
      </c>
      <c r="B888" s="1041"/>
      <c r="C888" s="1050"/>
      <c r="D888" s="1050"/>
      <c r="E888" s="1050"/>
      <c r="F888" s="1049"/>
      <c r="G888" s="1049"/>
      <c r="H888" s="1049"/>
      <c r="I888" s="1049"/>
      <c r="J888" s="1050"/>
      <c r="K888" s="1050"/>
      <c r="L888" s="1043"/>
      <c r="M888" s="1051"/>
      <c r="N888" s="1051"/>
      <c r="O888" s="1052"/>
      <c r="P888" s="1051"/>
      <c r="Q888" s="1051"/>
      <c r="R888" s="1052"/>
      <c r="S888" s="1051"/>
      <c r="T888" s="1051"/>
      <c r="U888" s="1052"/>
      <c r="V888" s="1051"/>
      <c r="W888" s="1051"/>
      <c r="X888" s="1052"/>
      <c r="Y888" s="1053"/>
      <c r="Z888" s="1051"/>
      <c r="AA888" s="1051"/>
      <c r="AB888" s="1052"/>
      <c r="AC888" s="1051"/>
      <c r="AD888" s="1051"/>
      <c r="AE888" s="1052"/>
      <c r="AF888" s="1051"/>
      <c r="AG888" s="1051"/>
      <c r="AH888" s="1051"/>
      <c r="AI888" s="1051"/>
      <c r="AJ888" s="1052"/>
      <c r="AK888" s="1051"/>
      <c r="AL888" s="1051"/>
      <c r="AM888" s="1052"/>
      <c r="AN888" s="1051"/>
      <c r="AO888" s="1051"/>
      <c r="AP888" s="1052"/>
      <c r="AQ888" s="1051"/>
      <c r="AR888" s="1051"/>
      <c r="AS888" s="1052"/>
      <c r="AT888" s="1051"/>
      <c r="AU888" s="1051"/>
      <c r="AV888" s="1052"/>
      <c r="AW888" s="1051"/>
      <c r="AX888" s="1051"/>
      <c r="AY888" s="1053"/>
      <c r="AZ888" s="1051"/>
      <c r="BA888" s="1051"/>
      <c r="BB888" s="1053"/>
      <c r="BC888" s="1051"/>
      <c r="BD888" s="1051"/>
      <c r="BE888" s="1053"/>
      <c r="BF888" s="1051"/>
      <c r="BG888" s="1051"/>
      <c r="BH888" s="1053"/>
      <c r="BI888" s="1052"/>
      <c r="BJ888" s="1052"/>
      <c r="BK888" s="1052"/>
      <c r="BL888" s="1052"/>
      <c r="BM888" s="1052"/>
      <c r="BN888" s="1054"/>
      <c r="BO888" s="1076">
        <f t="shared" si="15"/>
        <v>0</v>
      </c>
      <c r="BP888" s="1051"/>
      <c r="BQ888" s="1052"/>
      <c r="BR888" s="1054"/>
      <c r="BS888" s="1053"/>
      <c r="BT888" s="1051"/>
      <c r="BU888" s="1051"/>
      <c r="BV888" s="1051"/>
      <c r="BW888" s="1052"/>
      <c r="BX888" s="1052"/>
      <c r="BY888" s="1052"/>
      <c r="BZ888" s="1052"/>
      <c r="CA888" s="1052"/>
      <c r="CB888" s="1053"/>
      <c r="CC888" s="1053"/>
      <c r="CD888" s="1053"/>
      <c r="CE888" s="1053"/>
      <c r="CF888" s="1053"/>
      <c r="CG888" s="1053"/>
      <c r="CH888" s="1053"/>
      <c r="CI888" s="1123"/>
      <c r="CJ888" s="1123"/>
      <c r="CK888" s="1123"/>
      <c r="CL888" s="1123"/>
      <c r="CM888" s="1123"/>
      <c r="CN888" s="1123"/>
      <c r="CO888" s="1123"/>
      <c r="CP888" s="1123"/>
      <c r="CQ888" s="1123"/>
      <c r="CR888" s="1123"/>
      <c r="CS888" s="1123"/>
      <c r="CT888" s="1123"/>
      <c r="CU888" s="1123"/>
      <c r="CV888" s="1123"/>
      <c r="CW888" s="1123"/>
      <c r="CX888" s="1123"/>
      <c r="CY888" s="1123"/>
      <c r="CZ888" s="1114"/>
      <c r="DA888" s="1114"/>
      <c r="DB888" s="1114"/>
      <c r="DC888" s="1114"/>
      <c r="DD888" s="1114"/>
      <c r="DE888" s="1114"/>
      <c r="DF888" s="1114"/>
      <c r="DG888" s="1114"/>
      <c r="DH888" s="1114"/>
      <c r="DI888" s="1114"/>
      <c r="DJ888" s="1114"/>
      <c r="DK888" s="1114"/>
      <c r="DL888" s="1114"/>
      <c r="DM888" s="1114"/>
      <c r="DN888" s="1114"/>
      <c r="DO888" s="1114"/>
      <c r="DP888" s="1114"/>
      <c r="DQ888" s="1114"/>
      <c r="DR888" s="1114"/>
      <c r="DS888" s="1114"/>
      <c r="DT888" s="1114"/>
      <c r="DU888" s="1114"/>
      <c r="DV888" s="1115"/>
      <c r="DW888" s="1116"/>
      <c r="DX888" s="1116"/>
      <c r="DY888" s="1116"/>
      <c r="DZ888" s="1116"/>
      <c r="EA888" s="1116"/>
      <c r="EB888" s="1116"/>
      <c r="EC888" s="1116"/>
      <c r="ED888" s="1116"/>
      <c r="EE888" s="1116"/>
      <c r="EF888" s="1116"/>
      <c r="EG888" s="1116"/>
      <c r="EH888" s="1116"/>
      <c r="EI888" s="1116"/>
      <c r="EJ888" s="1116"/>
      <c r="EK888" s="1116"/>
      <c r="EL888" s="1116"/>
      <c r="EM888" s="1116"/>
      <c r="EN888" s="1116"/>
      <c r="EO888" s="1116"/>
      <c r="EP888" s="1116"/>
      <c r="EQ888" s="1116"/>
      <c r="ER888" s="1116"/>
      <c r="ES888" s="1116"/>
    </row>
    <row r="889" spans="1:149" ht="15" customHeight="1">
      <c r="A889" s="1185">
        <v>879</v>
      </c>
      <c r="B889" s="1041"/>
      <c r="C889" s="1050"/>
      <c r="D889" s="1050"/>
      <c r="E889" s="1050"/>
      <c r="F889" s="1049"/>
      <c r="G889" s="1049"/>
      <c r="H889" s="1049"/>
      <c r="I889" s="1049"/>
      <c r="J889" s="1050"/>
      <c r="K889" s="1050"/>
      <c r="L889" s="1043"/>
      <c r="M889" s="1051"/>
      <c r="N889" s="1051"/>
      <c r="O889" s="1052"/>
      <c r="P889" s="1051"/>
      <c r="Q889" s="1051"/>
      <c r="R889" s="1052"/>
      <c r="S889" s="1051"/>
      <c r="T889" s="1051"/>
      <c r="U889" s="1052"/>
      <c r="V889" s="1051"/>
      <c r="W889" s="1051"/>
      <c r="X889" s="1052"/>
      <c r="Y889" s="1053"/>
      <c r="Z889" s="1051"/>
      <c r="AA889" s="1051"/>
      <c r="AB889" s="1052"/>
      <c r="AC889" s="1051"/>
      <c r="AD889" s="1051"/>
      <c r="AE889" s="1052"/>
      <c r="AF889" s="1051"/>
      <c r="AG889" s="1051"/>
      <c r="AH889" s="1051"/>
      <c r="AI889" s="1051"/>
      <c r="AJ889" s="1052"/>
      <c r="AK889" s="1051"/>
      <c r="AL889" s="1051"/>
      <c r="AM889" s="1052"/>
      <c r="AN889" s="1051"/>
      <c r="AO889" s="1051"/>
      <c r="AP889" s="1052"/>
      <c r="AQ889" s="1051"/>
      <c r="AR889" s="1051"/>
      <c r="AS889" s="1052"/>
      <c r="AT889" s="1051"/>
      <c r="AU889" s="1051"/>
      <c r="AV889" s="1052"/>
      <c r="AW889" s="1051"/>
      <c r="AX889" s="1051"/>
      <c r="AY889" s="1053"/>
      <c r="AZ889" s="1051"/>
      <c r="BA889" s="1051"/>
      <c r="BB889" s="1053"/>
      <c r="BC889" s="1051"/>
      <c r="BD889" s="1051"/>
      <c r="BE889" s="1053"/>
      <c r="BF889" s="1051"/>
      <c r="BG889" s="1051"/>
      <c r="BH889" s="1053"/>
      <c r="BI889" s="1052"/>
      <c r="BJ889" s="1052"/>
      <c r="BK889" s="1052"/>
      <c r="BL889" s="1052"/>
      <c r="BM889" s="1052"/>
      <c r="BN889" s="1054"/>
      <c r="BO889" s="1076">
        <f t="shared" si="15"/>
        <v>0</v>
      </c>
      <c r="BP889" s="1051"/>
      <c r="BQ889" s="1052"/>
      <c r="BR889" s="1054"/>
      <c r="BS889" s="1053"/>
      <c r="BT889" s="1051"/>
      <c r="BU889" s="1051"/>
      <c r="BV889" s="1051"/>
      <c r="BW889" s="1052"/>
      <c r="BX889" s="1052"/>
      <c r="BY889" s="1052"/>
      <c r="BZ889" s="1052"/>
      <c r="CA889" s="1052"/>
      <c r="CB889" s="1053"/>
      <c r="CC889" s="1053"/>
      <c r="CD889" s="1053"/>
      <c r="CE889" s="1053"/>
      <c r="CF889" s="1053"/>
      <c r="CG889" s="1053"/>
      <c r="CH889" s="1053"/>
      <c r="CI889" s="1123"/>
      <c r="CJ889" s="1123"/>
      <c r="CK889" s="1123"/>
      <c r="CL889" s="1123"/>
      <c r="CM889" s="1123"/>
      <c r="CN889" s="1123"/>
      <c r="CO889" s="1123"/>
      <c r="CP889" s="1123"/>
      <c r="CQ889" s="1123"/>
      <c r="CR889" s="1123"/>
      <c r="CS889" s="1123"/>
      <c r="CT889" s="1123"/>
      <c r="CU889" s="1123"/>
      <c r="CV889" s="1123"/>
      <c r="CW889" s="1123"/>
      <c r="CX889" s="1123"/>
      <c r="CY889" s="1123"/>
      <c r="CZ889" s="1114"/>
      <c r="DA889" s="1114"/>
      <c r="DB889" s="1114"/>
      <c r="DC889" s="1114"/>
      <c r="DD889" s="1114"/>
      <c r="DE889" s="1114"/>
      <c r="DF889" s="1114"/>
      <c r="DG889" s="1114"/>
      <c r="DH889" s="1114"/>
      <c r="DI889" s="1114"/>
      <c r="DJ889" s="1114"/>
      <c r="DK889" s="1114"/>
      <c r="DL889" s="1114"/>
      <c r="DM889" s="1114"/>
      <c r="DN889" s="1114"/>
      <c r="DO889" s="1114"/>
      <c r="DP889" s="1114"/>
      <c r="DQ889" s="1114"/>
      <c r="DR889" s="1114"/>
      <c r="DS889" s="1114"/>
      <c r="DT889" s="1114"/>
      <c r="DU889" s="1114"/>
      <c r="DV889" s="1115"/>
      <c r="DW889" s="1116"/>
      <c r="DX889" s="1116"/>
      <c r="DY889" s="1116"/>
      <c r="DZ889" s="1116"/>
      <c r="EA889" s="1116"/>
      <c r="EB889" s="1116"/>
      <c r="EC889" s="1116"/>
      <c r="ED889" s="1116"/>
      <c r="EE889" s="1116"/>
      <c r="EF889" s="1116"/>
      <c r="EG889" s="1116"/>
      <c r="EH889" s="1116"/>
      <c r="EI889" s="1116"/>
      <c r="EJ889" s="1116"/>
      <c r="EK889" s="1116"/>
      <c r="EL889" s="1116"/>
      <c r="EM889" s="1116"/>
      <c r="EN889" s="1116"/>
      <c r="EO889" s="1116"/>
      <c r="EP889" s="1116"/>
      <c r="EQ889" s="1116"/>
      <c r="ER889" s="1116"/>
      <c r="ES889" s="1116"/>
    </row>
    <row r="890" spans="1:149" ht="15" customHeight="1">
      <c r="A890" s="1185">
        <v>880</v>
      </c>
      <c r="B890" s="1041"/>
      <c r="C890" s="1050"/>
      <c r="D890" s="1050"/>
      <c r="E890" s="1050"/>
      <c r="F890" s="1049"/>
      <c r="G890" s="1049"/>
      <c r="H890" s="1049"/>
      <c r="I890" s="1049"/>
      <c r="J890" s="1050"/>
      <c r="K890" s="1050"/>
      <c r="L890" s="1043"/>
      <c r="M890" s="1051"/>
      <c r="N890" s="1051"/>
      <c r="O890" s="1052"/>
      <c r="P890" s="1051"/>
      <c r="Q890" s="1051"/>
      <c r="R890" s="1052"/>
      <c r="S890" s="1051"/>
      <c r="T890" s="1051"/>
      <c r="U890" s="1052"/>
      <c r="V890" s="1051"/>
      <c r="W890" s="1051"/>
      <c r="X890" s="1052"/>
      <c r="Y890" s="1053"/>
      <c r="Z890" s="1051"/>
      <c r="AA890" s="1051"/>
      <c r="AB890" s="1052"/>
      <c r="AC890" s="1051"/>
      <c r="AD890" s="1051"/>
      <c r="AE890" s="1052"/>
      <c r="AF890" s="1051"/>
      <c r="AG890" s="1051"/>
      <c r="AH890" s="1051"/>
      <c r="AI890" s="1051"/>
      <c r="AJ890" s="1052"/>
      <c r="AK890" s="1051"/>
      <c r="AL890" s="1051"/>
      <c r="AM890" s="1052"/>
      <c r="AN890" s="1051"/>
      <c r="AO890" s="1051"/>
      <c r="AP890" s="1052"/>
      <c r="AQ890" s="1051"/>
      <c r="AR890" s="1051"/>
      <c r="AS890" s="1052"/>
      <c r="AT890" s="1051"/>
      <c r="AU890" s="1051"/>
      <c r="AV890" s="1052"/>
      <c r="AW890" s="1051"/>
      <c r="AX890" s="1051"/>
      <c r="AY890" s="1053"/>
      <c r="AZ890" s="1051"/>
      <c r="BA890" s="1051"/>
      <c r="BB890" s="1053"/>
      <c r="BC890" s="1051"/>
      <c r="BD890" s="1051"/>
      <c r="BE890" s="1053"/>
      <c r="BF890" s="1051"/>
      <c r="BG890" s="1051"/>
      <c r="BH890" s="1053"/>
      <c r="BI890" s="1052"/>
      <c r="BJ890" s="1052"/>
      <c r="BK890" s="1052"/>
      <c r="BL890" s="1052"/>
      <c r="BM890" s="1052"/>
      <c r="BN890" s="1054"/>
      <c r="BO890" s="1076">
        <f t="shared" si="15"/>
        <v>0</v>
      </c>
      <c r="BP890" s="1051"/>
      <c r="BQ890" s="1052"/>
      <c r="BR890" s="1054"/>
      <c r="BS890" s="1053"/>
      <c r="BT890" s="1051"/>
      <c r="BU890" s="1051"/>
      <c r="BV890" s="1051"/>
      <c r="BW890" s="1052"/>
      <c r="BX890" s="1052"/>
      <c r="BY890" s="1052"/>
      <c r="BZ890" s="1052"/>
      <c r="CA890" s="1052"/>
      <c r="CB890" s="1053"/>
      <c r="CC890" s="1053"/>
      <c r="CD890" s="1053"/>
      <c r="CE890" s="1053"/>
      <c r="CF890" s="1053"/>
      <c r="CG890" s="1053"/>
      <c r="CH890" s="1053"/>
      <c r="CI890" s="1123"/>
      <c r="CJ890" s="1123"/>
      <c r="CK890" s="1123"/>
      <c r="CL890" s="1123"/>
      <c r="CM890" s="1123"/>
      <c r="CN890" s="1123"/>
      <c r="CO890" s="1123"/>
      <c r="CP890" s="1123"/>
      <c r="CQ890" s="1123"/>
      <c r="CR890" s="1123"/>
      <c r="CS890" s="1123"/>
      <c r="CT890" s="1123"/>
      <c r="CU890" s="1123"/>
      <c r="CV890" s="1123"/>
      <c r="CW890" s="1123"/>
      <c r="CX890" s="1123"/>
      <c r="CY890" s="1123"/>
      <c r="CZ890" s="1114"/>
      <c r="DA890" s="1114"/>
      <c r="DB890" s="1114"/>
      <c r="DC890" s="1114"/>
      <c r="DD890" s="1114"/>
      <c r="DE890" s="1114"/>
      <c r="DF890" s="1114"/>
      <c r="DG890" s="1114"/>
      <c r="DH890" s="1114"/>
      <c r="DI890" s="1114"/>
      <c r="DJ890" s="1114"/>
      <c r="DK890" s="1114"/>
      <c r="DL890" s="1114"/>
      <c r="DM890" s="1114"/>
      <c r="DN890" s="1114"/>
      <c r="DO890" s="1114"/>
      <c r="DP890" s="1114"/>
      <c r="DQ890" s="1114"/>
      <c r="DR890" s="1114"/>
      <c r="DS890" s="1114"/>
      <c r="DT890" s="1114"/>
      <c r="DU890" s="1114"/>
      <c r="DV890" s="1115"/>
      <c r="DW890" s="1116"/>
      <c r="DX890" s="1116"/>
      <c r="DY890" s="1116"/>
      <c r="DZ890" s="1116"/>
      <c r="EA890" s="1116"/>
      <c r="EB890" s="1116"/>
      <c r="EC890" s="1116"/>
      <c r="ED890" s="1116"/>
      <c r="EE890" s="1116"/>
      <c r="EF890" s="1116"/>
      <c r="EG890" s="1116"/>
      <c r="EH890" s="1116"/>
      <c r="EI890" s="1116"/>
      <c r="EJ890" s="1116"/>
      <c r="EK890" s="1116"/>
      <c r="EL890" s="1116"/>
      <c r="EM890" s="1116"/>
      <c r="EN890" s="1116"/>
      <c r="EO890" s="1116"/>
      <c r="EP890" s="1116"/>
      <c r="EQ890" s="1116"/>
      <c r="ER890" s="1116"/>
      <c r="ES890" s="1116"/>
    </row>
    <row r="891" spans="1:149" ht="15" customHeight="1">
      <c r="A891" s="1185">
        <v>881</v>
      </c>
      <c r="B891" s="1041"/>
      <c r="C891" s="1050"/>
      <c r="D891" s="1050"/>
      <c r="E891" s="1050"/>
      <c r="F891" s="1049"/>
      <c r="G891" s="1049"/>
      <c r="H891" s="1049"/>
      <c r="I891" s="1049"/>
      <c r="J891" s="1050"/>
      <c r="K891" s="1050"/>
      <c r="L891" s="1043"/>
      <c r="M891" s="1051"/>
      <c r="N891" s="1051"/>
      <c r="O891" s="1052"/>
      <c r="P891" s="1051"/>
      <c r="Q891" s="1051"/>
      <c r="R891" s="1052"/>
      <c r="S891" s="1051"/>
      <c r="T891" s="1051"/>
      <c r="U891" s="1052"/>
      <c r="V891" s="1051"/>
      <c r="W891" s="1051"/>
      <c r="X891" s="1052"/>
      <c r="Y891" s="1053"/>
      <c r="Z891" s="1051"/>
      <c r="AA891" s="1051"/>
      <c r="AB891" s="1052"/>
      <c r="AC891" s="1051"/>
      <c r="AD891" s="1051"/>
      <c r="AE891" s="1052"/>
      <c r="AF891" s="1051"/>
      <c r="AG891" s="1051"/>
      <c r="AH891" s="1051"/>
      <c r="AI891" s="1051"/>
      <c r="AJ891" s="1052"/>
      <c r="AK891" s="1051"/>
      <c r="AL891" s="1051"/>
      <c r="AM891" s="1052"/>
      <c r="AN891" s="1051"/>
      <c r="AO891" s="1051"/>
      <c r="AP891" s="1052"/>
      <c r="AQ891" s="1051"/>
      <c r="AR891" s="1051"/>
      <c r="AS891" s="1052"/>
      <c r="AT891" s="1051"/>
      <c r="AU891" s="1051"/>
      <c r="AV891" s="1052"/>
      <c r="AW891" s="1051"/>
      <c r="AX891" s="1051"/>
      <c r="AY891" s="1053"/>
      <c r="AZ891" s="1051"/>
      <c r="BA891" s="1051"/>
      <c r="BB891" s="1053"/>
      <c r="BC891" s="1051"/>
      <c r="BD891" s="1051"/>
      <c r="BE891" s="1053"/>
      <c r="BF891" s="1051"/>
      <c r="BG891" s="1051"/>
      <c r="BH891" s="1053"/>
      <c r="BI891" s="1052"/>
      <c r="BJ891" s="1052"/>
      <c r="BK891" s="1052"/>
      <c r="BL891" s="1052"/>
      <c r="BM891" s="1052"/>
      <c r="BN891" s="1054"/>
      <c r="BO891" s="1076">
        <f t="shared" si="15"/>
        <v>0</v>
      </c>
      <c r="BP891" s="1051"/>
      <c r="BQ891" s="1052"/>
      <c r="BR891" s="1054"/>
      <c r="BS891" s="1053"/>
      <c r="BT891" s="1051"/>
      <c r="BU891" s="1051"/>
      <c r="BV891" s="1051"/>
      <c r="BW891" s="1052"/>
      <c r="BX891" s="1052"/>
      <c r="BY891" s="1052"/>
      <c r="BZ891" s="1052"/>
      <c r="CA891" s="1052"/>
      <c r="CB891" s="1053"/>
      <c r="CC891" s="1053"/>
      <c r="CD891" s="1053"/>
      <c r="CE891" s="1053"/>
      <c r="CF891" s="1053"/>
      <c r="CG891" s="1053"/>
      <c r="CH891" s="1053"/>
      <c r="CI891" s="1123"/>
      <c r="CJ891" s="1123"/>
      <c r="CK891" s="1123"/>
      <c r="CL891" s="1123"/>
      <c r="CM891" s="1123"/>
      <c r="CN891" s="1123"/>
      <c r="CO891" s="1123"/>
      <c r="CP891" s="1123"/>
      <c r="CQ891" s="1123"/>
      <c r="CR891" s="1123"/>
      <c r="CS891" s="1123"/>
      <c r="CT891" s="1123"/>
      <c r="CU891" s="1123"/>
      <c r="CV891" s="1123"/>
      <c r="CW891" s="1123"/>
      <c r="CX891" s="1123"/>
      <c r="CY891" s="1123"/>
      <c r="CZ891" s="1114"/>
      <c r="DA891" s="1114"/>
      <c r="DB891" s="1114"/>
      <c r="DC891" s="1114"/>
      <c r="DD891" s="1114"/>
      <c r="DE891" s="1114"/>
      <c r="DF891" s="1114"/>
      <c r="DG891" s="1114"/>
      <c r="DH891" s="1114"/>
      <c r="DI891" s="1114"/>
      <c r="DJ891" s="1114"/>
      <c r="DK891" s="1114"/>
      <c r="DL891" s="1114"/>
      <c r="DM891" s="1114"/>
      <c r="DN891" s="1114"/>
      <c r="DO891" s="1114"/>
      <c r="DP891" s="1114"/>
      <c r="DQ891" s="1114"/>
      <c r="DR891" s="1114"/>
      <c r="DS891" s="1114"/>
      <c r="DT891" s="1114"/>
      <c r="DU891" s="1114"/>
      <c r="DV891" s="1115"/>
      <c r="DW891" s="1116"/>
      <c r="DX891" s="1116"/>
      <c r="DY891" s="1116"/>
      <c r="DZ891" s="1116"/>
      <c r="EA891" s="1116"/>
      <c r="EB891" s="1116"/>
      <c r="EC891" s="1116"/>
      <c r="ED891" s="1116"/>
      <c r="EE891" s="1116"/>
      <c r="EF891" s="1116"/>
      <c r="EG891" s="1116"/>
      <c r="EH891" s="1116"/>
      <c r="EI891" s="1116"/>
      <c r="EJ891" s="1116"/>
      <c r="EK891" s="1116"/>
      <c r="EL891" s="1116"/>
      <c r="EM891" s="1116"/>
      <c r="EN891" s="1116"/>
      <c r="EO891" s="1116"/>
      <c r="EP891" s="1116"/>
      <c r="EQ891" s="1116"/>
      <c r="ER891" s="1116"/>
      <c r="ES891" s="1116"/>
    </row>
    <row r="892" spans="1:149" ht="15" customHeight="1">
      <c r="A892" s="1185">
        <v>882</v>
      </c>
      <c r="B892" s="1041"/>
      <c r="C892" s="1050"/>
      <c r="D892" s="1050"/>
      <c r="E892" s="1050"/>
      <c r="F892" s="1049"/>
      <c r="G892" s="1049"/>
      <c r="H892" s="1049"/>
      <c r="I892" s="1049"/>
      <c r="J892" s="1050"/>
      <c r="K892" s="1050"/>
      <c r="L892" s="1043"/>
      <c r="M892" s="1051"/>
      <c r="N892" s="1051"/>
      <c r="O892" s="1052"/>
      <c r="P892" s="1051"/>
      <c r="Q892" s="1051"/>
      <c r="R892" s="1052"/>
      <c r="S892" s="1051"/>
      <c r="T892" s="1051"/>
      <c r="U892" s="1052"/>
      <c r="V892" s="1051"/>
      <c r="W892" s="1051"/>
      <c r="X892" s="1052"/>
      <c r="Y892" s="1053"/>
      <c r="Z892" s="1051"/>
      <c r="AA892" s="1051"/>
      <c r="AB892" s="1052"/>
      <c r="AC892" s="1051"/>
      <c r="AD892" s="1051"/>
      <c r="AE892" s="1052"/>
      <c r="AF892" s="1051"/>
      <c r="AG892" s="1051"/>
      <c r="AH892" s="1051"/>
      <c r="AI892" s="1051"/>
      <c r="AJ892" s="1052"/>
      <c r="AK892" s="1051"/>
      <c r="AL892" s="1051"/>
      <c r="AM892" s="1052"/>
      <c r="AN892" s="1051"/>
      <c r="AO892" s="1051"/>
      <c r="AP892" s="1052"/>
      <c r="AQ892" s="1051"/>
      <c r="AR892" s="1051"/>
      <c r="AS892" s="1052"/>
      <c r="AT892" s="1051"/>
      <c r="AU892" s="1051"/>
      <c r="AV892" s="1052"/>
      <c r="AW892" s="1051"/>
      <c r="AX892" s="1051"/>
      <c r="AY892" s="1053"/>
      <c r="AZ892" s="1051"/>
      <c r="BA892" s="1051"/>
      <c r="BB892" s="1053"/>
      <c r="BC892" s="1051"/>
      <c r="BD892" s="1051"/>
      <c r="BE892" s="1053"/>
      <c r="BF892" s="1051"/>
      <c r="BG892" s="1051"/>
      <c r="BH892" s="1053"/>
      <c r="BI892" s="1052"/>
      <c r="BJ892" s="1052"/>
      <c r="BK892" s="1052"/>
      <c r="BL892" s="1052"/>
      <c r="BM892" s="1052"/>
      <c r="BN892" s="1054"/>
      <c r="BO892" s="1076">
        <f t="shared" si="15"/>
        <v>0</v>
      </c>
      <c r="BP892" s="1051"/>
      <c r="BQ892" s="1052"/>
      <c r="BR892" s="1054"/>
      <c r="BS892" s="1053"/>
      <c r="BT892" s="1051"/>
      <c r="BU892" s="1051"/>
      <c r="BV892" s="1051"/>
      <c r="BW892" s="1052"/>
      <c r="BX892" s="1052"/>
      <c r="BY892" s="1052"/>
      <c r="BZ892" s="1052"/>
      <c r="CA892" s="1052"/>
      <c r="CB892" s="1053"/>
      <c r="CC892" s="1053"/>
      <c r="CD892" s="1053"/>
      <c r="CE892" s="1053"/>
      <c r="CF892" s="1053"/>
      <c r="CG892" s="1053"/>
      <c r="CH892" s="1053"/>
      <c r="CI892" s="1123"/>
      <c r="CJ892" s="1123"/>
      <c r="CK892" s="1123"/>
      <c r="CL892" s="1123"/>
      <c r="CM892" s="1123"/>
      <c r="CN892" s="1123"/>
      <c r="CO892" s="1123"/>
      <c r="CP892" s="1123"/>
      <c r="CQ892" s="1123"/>
      <c r="CR892" s="1123"/>
      <c r="CS892" s="1123"/>
      <c r="CT892" s="1123"/>
      <c r="CU892" s="1123"/>
      <c r="CV892" s="1123"/>
      <c r="CW892" s="1123"/>
      <c r="CX892" s="1123"/>
      <c r="CY892" s="1123"/>
      <c r="CZ892" s="1114"/>
      <c r="DA892" s="1114"/>
      <c r="DB892" s="1114"/>
      <c r="DC892" s="1114"/>
      <c r="DD892" s="1114"/>
      <c r="DE892" s="1114"/>
      <c r="DF892" s="1114"/>
      <c r="DG892" s="1114"/>
      <c r="DH892" s="1114"/>
      <c r="DI892" s="1114"/>
      <c r="DJ892" s="1114"/>
      <c r="DK892" s="1114"/>
      <c r="DL892" s="1114"/>
      <c r="DM892" s="1114"/>
      <c r="DN892" s="1114"/>
      <c r="DO892" s="1114"/>
      <c r="DP892" s="1114"/>
      <c r="DQ892" s="1114"/>
      <c r="DR892" s="1114"/>
      <c r="DS892" s="1114"/>
      <c r="DT892" s="1114"/>
      <c r="DU892" s="1114"/>
      <c r="DV892" s="1115"/>
      <c r="DW892" s="1116"/>
      <c r="DX892" s="1116"/>
      <c r="DY892" s="1116"/>
      <c r="DZ892" s="1116"/>
      <c r="EA892" s="1116"/>
      <c r="EB892" s="1116"/>
      <c r="EC892" s="1116"/>
      <c r="ED892" s="1116"/>
      <c r="EE892" s="1116"/>
      <c r="EF892" s="1116"/>
      <c r="EG892" s="1116"/>
      <c r="EH892" s="1116"/>
      <c r="EI892" s="1116"/>
      <c r="EJ892" s="1116"/>
      <c r="EK892" s="1116"/>
      <c r="EL892" s="1116"/>
      <c r="EM892" s="1116"/>
      <c r="EN892" s="1116"/>
      <c r="EO892" s="1116"/>
      <c r="EP892" s="1116"/>
      <c r="EQ892" s="1116"/>
      <c r="ER892" s="1116"/>
      <c r="ES892" s="1116"/>
    </row>
    <row r="893" spans="1:149" ht="15" customHeight="1">
      <c r="A893" s="1185">
        <v>883</v>
      </c>
      <c r="B893" s="1041"/>
      <c r="C893" s="1050"/>
      <c r="D893" s="1050"/>
      <c r="E893" s="1050"/>
      <c r="F893" s="1049"/>
      <c r="G893" s="1049"/>
      <c r="H893" s="1049"/>
      <c r="I893" s="1049"/>
      <c r="J893" s="1050"/>
      <c r="K893" s="1050"/>
      <c r="L893" s="1043"/>
      <c r="M893" s="1051"/>
      <c r="N893" s="1051"/>
      <c r="O893" s="1052"/>
      <c r="P893" s="1051"/>
      <c r="Q893" s="1051"/>
      <c r="R893" s="1052"/>
      <c r="S893" s="1051"/>
      <c r="T893" s="1051"/>
      <c r="U893" s="1052"/>
      <c r="V893" s="1051"/>
      <c r="W893" s="1051"/>
      <c r="X893" s="1052"/>
      <c r="Y893" s="1053"/>
      <c r="Z893" s="1051"/>
      <c r="AA893" s="1051"/>
      <c r="AB893" s="1052"/>
      <c r="AC893" s="1051"/>
      <c r="AD893" s="1051"/>
      <c r="AE893" s="1052"/>
      <c r="AF893" s="1051"/>
      <c r="AG893" s="1051"/>
      <c r="AH893" s="1051"/>
      <c r="AI893" s="1051"/>
      <c r="AJ893" s="1052"/>
      <c r="AK893" s="1051"/>
      <c r="AL893" s="1051"/>
      <c r="AM893" s="1052"/>
      <c r="AN893" s="1051"/>
      <c r="AO893" s="1051"/>
      <c r="AP893" s="1052"/>
      <c r="AQ893" s="1051"/>
      <c r="AR893" s="1051"/>
      <c r="AS893" s="1052"/>
      <c r="AT893" s="1051"/>
      <c r="AU893" s="1051"/>
      <c r="AV893" s="1052"/>
      <c r="AW893" s="1051"/>
      <c r="AX893" s="1051"/>
      <c r="AY893" s="1053"/>
      <c r="AZ893" s="1051"/>
      <c r="BA893" s="1051"/>
      <c r="BB893" s="1053"/>
      <c r="BC893" s="1051"/>
      <c r="BD893" s="1051"/>
      <c r="BE893" s="1053"/>
      <c r="BF893" s="1051"/>
      <c r="BG893" s="1051"/>
      <c r="BH893" s="1053"/>
      <c r="BI893" s="1052"/>
      <c r="BJ893" s="1052"/>
      <c r="BK893" s="1052"/>
      <c r="BL893" s="1052"/>
      <c r="BM893" s="1052"/>
      <c r="BN893" s="1054"/>
      <c r="BO893" s="1076">
        <f t="shared" si="15"/>
        <v>0</v>
      </c>
      <c r="BP893" s="1051"/>
      <c r="BQ893" s="1052"/>
      <c r="BR893" s="1054"/>
      <c r="BS893" s="1053"/>
      <c r="BT893" s="1051"/>
      <c r="BU893" s="1051"/>
      <c r="BV893" s="1051"/>
      <c r="BW893" s="1052"/>
      <c r="BX893" s="1052"/>
      <c r="BY893" s="1052"/>
      <c r="BZ893" s="1052"/>
      <c r="CA893" s="1052"/>
      <c r="CB893" s="1053"/>
      <c r="CC893" s="1053"/>
      <c r="CD893" s="1053"/>
      <c r="CE893" s="1053"/>
      <c r="CF893" s="1053"/>
      <c r="CG893" s="1053"/>
      <c r="CH893" s="1053"/>
      <c r="CI893" s="1123"/>
      <c r="CJ893" s="1123"/>
      <c r="CK893" s="1123"/>
      <c r="CL893" s="1123"/>
      <c r="CM893" s="1123"/>
      <c r="CN893" s="1123"/>
      <c r="CO893" s="1123"/>
      <c r="CP893" s="1123"/>
      <c r="CQ893" s="1123"/>
      <c r="CR893" s="1123"/>
      <c r="CS893" s="1123"/>
      <c r="CT893" s="1123"/>
      <c r="CU893" s="1123"/>
      <c r="CV893" s="1123"/>
      <c r="CW893" s="1123"/>
      <c r="CX893" s="1123"/>
      <c r="CY893" s="1123"/>
      <c r="CZ893" s="1114"/>
      <c r="DA893" s="1114"/>
      <c r="DB893" s="1114"/>
      <c r="DC893" s="1114"/>
      <c r="DD893" s="1114"/>
      <c r="DE893" s="1114"/>
      <c r="DF893" s="1114"/>
      <c r="DG893" s="1114"/>
      <c r="DH893" s="1114"/>
      <c r="DI893" s="1114"/>
      <c r="DJ893" s="1114"/>
      <c r="DK893" s="1114"/>
      <c r="DL893" s="1114"/>
      <c r="DM893" s="1114"/>
      <c r="DN893" s="1114"/>
      <c r="DO893" s="1114"/>
      <c r="DP893" s="1114"/>
      <c r="DQ893" s="1114"/>
      <c r="DR893" s="1114"/>
      <c r="DS893" s="1114"/>
      <c r="DT893" s="1114"/>
      <c r="DU893" s="1114"/>
      <c r="DV893" s="1115"/>
      <c r="DW893" s="1116"/>
      <c r="DX893" s="1116"/>
      <c r="DY893" s="1116"/>
      <c r="DZ893" s="1116"/>
      <c r="EA893" s="1116"/>
      <c r="EB893" s="1116"/>
      <c r="EC893" s="1116"/>
      <c r="ED893" s="1116"/>
      <c r="EE893" s="1116"/>
      <c r="EF893" s="1116"/>
      <c r="EG893" s="1116"/>
      <c r="EH893" s="1116"/>
      <c r="EI893" s="1116"/>
      <c r="EJ893" s="1116"/>
      <c r="EK893" s="1116"/>
      <c r="EL893" s="1116"/>
      <c r="EM893" s="1116"/>
      <c r="EN893" s="1116"/>
      <c r="EO893" s="1116"/>
      <c r="EP893" s="1116"/>
      <c r="EQ893" s="1116"/>
      <c r="ER893" s="1116"/>
      <c r="ES893" s="1116"/>
    </row>
    <row r="894" spans="1:149" ht="15" customHeight="1">
      <c r="A894" s="1185">
        <v>884</v>
      </c>
      <c r="B894" s="1041"/>
      <c r="C894" s="1050"/>
      <c r="D894" s="1050"/>
      <c r="E894" s="1050"/>
      <c r="F894" s="1049"/>
      <c r="G894" s="1049"/>
      <c r="H894" s="1049"/>
      <c r="I894" s="1049"/>
      <c r="J894" s="1050"/>
      <c r="K894" s="1050"/>
      <c r="L894" s="1043"/>
      <c r="M894" s="1051"/>
      <c r="N894" s="1051"/>
      <c r="O894" s="1052"/>
      <c r="P894" s="1051"/>
      <c r="Q894" s="1051"/>
      <c r="R894" s="1052"/>
      <c r="S894" s="1051"/>
      <c r="T894" s="1051"/>
      <c r="U894" s="1052"/>
      <c r="V894" s="1051"/>
      <c r="W894" s="1051"/>
      <c r="X894" s="1052"/>
      <c r="Y894" s="1053"/>
      <c r="Z894" s="1051"/>
      <c r="AA894" s="1051"/>
      <c r="AB894" s="1052"/>
      <c r="AC894" s="1051"/>
      <c r="AD894" s="1051"/>
      <c r="AE894" s="1052"/>
      <c r="AF894" s="1051"/>
      <c r="AG894" s="1051"/>
      <c r="AH894" s="1051"/>
      <c r="AI894" s="1051"/>
      <c r="AJ894" s="1052"/>
      <c r="AK894" s="1051"/>
      <c r="AL894" s="1051"/>
      <c r="AM894" s="1052"/>
      <c r="AN894" s="1051"/>
      <c r="AO894" s="1051"/>
      <c r="AP894" s="1052"/>
      <c r="AQ894" s="1051"/>
      <c r="AR894" s="1051"/>
      <c r="AS894" s="1052"/>
      <c r="AT894" s="1051"/>
      <c r="AU894" s="1051"/>
      <c r="AV894" s="1052"/>
      <c r="AW894" s="1051"/>
      <c r="AX894" s="1051"/>
      <c r="AY894" s="1053"/>
      <c r="AZ894" s="1051"/>
      <c r="BA894" s="1051"/>
      <c r="BB894" s="1053"/>
      <c r="BC894" s="1051"/>
      <c r="BD894" s="1051"/>
      <c r="BE894" s="1053"/>
      <c r="BF894" s="1051"/>
      <c r="BG894" s="1051"/>
      <c r="BH894" s="1053"/>
      <c r="BI894" s="1052"/>
      <c r="BJ894" s="1052"/>
      <c r="BK894" s="1052"/>
      <c r="BL894" s="1052"/>
      <c r="BM894" s="1052"/>
      <c r="BN894" s="1054"/>
      <c r="BO894" s="1076">
        <f t="shared" si="15"/>
        <v>0</v>
      </c>
      <c r="BP894" s="1051"/>
      <c r="BQ894" s="1052"/>
      <c r="BR894" s="1054"/>
      <c r="BS894" s="1053"/>
      <c r="BT894" s="1051"/>
      <c r="BU894" s="1051"/>
      <c r="BV894" s="1051"/>
      <c r="BW894" s="1052"/>
      <c r="BX894" s="1052"/>
      <c r="BY894" s="1052"/>
      <c r="BZ894" s="1052"/>
      <c r="CA894" s="1052"/>
      <c r="CB894" s="1053"/>
      <c r="CC894" s="1053"/>
      <c r="CD894" s="1053"/>
      <c r="CE894" s="1053"/>
      <c r="CF894" s="1053"/>
      <c r="CG894" s="1053"/>
      <c r="CH894" s="1053"/>
      <c r="CI894" s="1123"/>
      <c r="CJ894" s="1123"/>
      <c r="CK894" s="1123"/>
      <c r="CL894" s="1123"/>
      <c r="CM894" s="1123"/>
      <c r="CN894" s="1123"/>
      <c r="CO894" s="1123"/>
      <c r="CP894" s="1123"/>
      <c r="CQ894" s="1123"/>
      <c r="CR894" s="1123"/>
      <c r="CS894" s="1123"/>
      <c r="CT894" s="1123"/>
      <c r="CU894" s="1123"/>
      <c r="CV894" s="1123"/>
      <c r="CW894" s="1123"/>
      <c r="CX894" s="1123"/>
      <c r="CY894" s="1123"/>
      <c r="CZ894" s="1114"/>
      <c r="DA894" s="1114"/>
      <c r="DB894" s="1114"/>
      <c r="DC894" s="1114"/>
      <c r="DD894" s="1114"/>
      <c r="DE894" s="1114"/>
      <c r="DF894" s="1114"/>
      <c r="DG894" s="1114"/>
      <c r="DH894" s="1114"/>
      <c r="DI894" s="1114"/>
      <c r="DJ894" s="1114"/>
      <c r="DK894" s="1114"/>
      <c r="DL894" s="1114"/>
      <c r="DM894" s="1114"/>
      <c r="DN894" s="1114"/>
      <c r="DO894" s="1114"/>
      <c r="DP894" s="1114"/>
      <c r="DQ894" s="1114"/>
      <c r="DR894" s="1114"/>
      <c r="DS894" s="1114"/>
      <c r="DT894" s="1114"/>
      <c r="DU894" s="1114"/>
      <c r="DV894" s="1115"/>
      <c r="DW894" s="1116"/>
      <c r="DX894" s="1116"/>
      <c r="DY894" s="1116"/>
      <c r="DZ894" s="1116"/>
      <c r="EA894" s="1116"/>
      <c r="EB894" s="1116"/>
      <c r="EC894" s="1116"/>
      <c r="ED894" s="1116"/>
      <c r="EE894" s="1116"/>
      <c r="EF894" s="1116"/>
      <c r="EG894" s="1116"/>
      <c r="EH894" s="1116"/>
      <c r="EI894" s="1116"/>
      <c r="EJ894" s="1116"/>
      <c r="EK894" s="1116"/>
      <c r="EL894" s="1116"/>
      <c r="EM894" s="1116"/>
      <c r="EN894" s="1116"/>
      <c r="EO894" s="1116"/>
      <c r="EP894" s="1116"/>
      <c r="EQ894" s="1116"/>
      <c r="ER894" s="1116"/>
      <c r="ES894" s="1116"/>
    </row>
    <row r="895" spans="1:149" ht="15" customHeight="1">
      <c r="A895" s="1185">
        <v>885</v>
      </c>
      <c r="B895" s="1041"/>
      <c r="C895" s="1050"/>
      <c r="D895" s="1050"/>
      <c r="E895" s="1050"/>
      <c r="F895" s="1049"/>
      <c r="G895" s="1049"/>
      <c r="H895" s="1049"/>
      <c r="I895" s="1049"/>
      <c r="J895" s="1050"/>
      <c r="K895" s="1050"/>
      <c r="L895" s="1043"/>
      <c r="M895" s="1051"/>
      <c r="N895" s="1051"/>
      <c r="O895" s="1052"/>
      <c r="P895" s="1051"/>
      <c r="Q895" s="1051"/>
      <c r="R895" s="1052"/>
      <c r="S895" s="1051"/>
      <c r="T895" s="1051"/>
      <c r="U895" s="1052"/>
      <c r="V895" s="1051"/>
      <c r="W895" s="1051"/>
      <c r="X895" s="1052"/>
      <c r="Y895" s="1053"/>
      <c r="Z895" s="1051"/>
      <c r="AA895" s="1051"/>
      <c r="AB895" s="1052"/>
      <c r="AC895" s="1051"/>
      <c r="AD895" s="1051"/>
      <c r="AE895" s="1052"/>
      <c r="AF895" s="1051"/>
      <c r="AG895" s="1051"/>
      <c r="AH895" s="1051"/>
      <c r="AI895" s="1051"/>
      <c r="AJ895" s="1052"/>
      <c r="AK895" s="1051"/>
      <c r="AL895" s="1051"/>
      <c r="AM895" s="1052"/>
      <c r="AN895" s="1051"/>
      <c r="AO895" s="1051"/>
      <c r="AP895" s="1052"/>
      <c r="AQ895" s="1051"/>
      <c r="AR895" s="1051"/>
      <c r="AS895" s="1052"/>
      <c r="AT895" s="1051"/>
      <c r="AU895" s="1051"/>
      <c r="AV895" s="1052"/>
      <c r="AW895" s="1051"/>
      <c r="AX895" s="1051"/>
      <c r="AY895" s="1053"/>
      <c r="AZ895" s="1051"/>
      <c r="BA895" s="1051"/>
      <c r="BB895" s="1053"/>
      <c r="BC895" s="1051"/>
      <c r="BD895" s="1051"/>
      <c r="BE895" s="1053"/>
      <c r="BF895" s="1051"/>
      <c r="BG895" s="1051"/>
      <c r="BH895" s="1053"/>
      <c r="BI895" s="1052"/>
      <c r="BJ895" s="1052"/>
      <c r="BK895" s="1052"/>
      <c r="BL895" s="1052"/>
      <c r="BM895" s="1052"/>
      <c r="BN895" s="1054"/>
      <c r="BO895" s="1076">
        <f t="shared" si="15"/>
        <v>0</v>
      </c>
      <c r="BP895" s="1051"/>
      <c r="BQ895" s="1052"/>
      <c r="BR895" s="1054"/>
      <c r="BS895" s="1053"/>
      <c r="BT895" s="1051"/>
      <c r="BU895" s="1051"/>
      <c r="BV895" s="1051"/>
      <c r="BW895" s="1052"/>
      <c r="BX895" s="1052"/>
      <c r="BY895" s="1052"/>
      <c r="BZ895" s="1052"/>
      <c r="CA895" s="1052"/>
      <c r="CB895" s="1053"/>
      <c r="CC895" s="1053"/>
      <c r="CD895" s="1053"/>
      <c r="CE895" s="1053"/>
      <c r="CF895" s="1053"/>
      <c r="CG895" s="1053"/>
      <c r="CH895" s="1053"/>
      <c r="CI895" s="1123"/>
      <c r="CJ895" s="1123"/>
      <c r="CK895" s="1123"/>
      <c r="CL895" s="1123"/>
      <c r="CM895" s="1123"/>
      <c r="CN895" s="1123"/>
      <c r="CO895" s="1123"/>
      <c r="CP895" s="1123"/>
      <c r="CQ895" s="1123"/>
      <c r="CR895" s="1123"/>
      <c r="CS895" s="1123"/>
      <c r="CT895" s="1123"/>
      <c r="CU895" s="1123"/>
      <c r="CV895" s="1123"/>
      <c r="CW895" s="1123"/>
      <c r="CX895" s="1123"/>
      <c r="CY895" s="1123"/>
      <c r="CZ895" s="1114"/>
      <c r="DA895" s="1114"/>
      <c r="DB895" s="1114"/>
      <c r="DC895" s="1114"/>
      <c r="DD895" s="1114"/>
      <c r="DE895" s="1114"/>
      <c r="DF895" s="1114"/>
      <c r="DG895" s="1114"/>
      <c r="DH895" s="1114"/>
      <c r="DI895" s="1114"/>
      <c r="DJ895" s="1114"/>
      <c r="DK895" s="1114"/>
      <c r="DL895" s="1114"/>
      <c r="DM895" s="1114"/>
      <c r="DN895" s="1114"/>
      <c r="DO895" s="1114"/>
      <c r="DP895" s="1114"/>
      <c r="DQ895" s="1114"/>
      <c r="DR895" s="1114"/>
      <c r="DS895" s="1114"/>
      <c r="DT895" s="1114"/>
      <c r="DU895" s="1114"/>
      <c r="DV895" s="1115"/>
      <c r="DW895" s="1116"/>
      <c r="DX895" s="1116"/>
      <c r="DY895" s="1116"/>
      <c r="DZ895" s="1116"/>
      <c r="EA895" s="1116"/>
      <c r="EB895" s="1116"/>
      <c r="EC895" s="1116"/>
      <c r="ED895" s="1116"/>
      <c r="EE895" s="1116"/>
      <c r="EF895" s="1116"/>
      <c r="EG895" s="1116"/>
      <c r="EH895" s="1116"/>
      <c r="EI895" s="1116"/>
      <c r="EJ895" s="1116"/>
      <c r="EK895" s="1116"/>
      <c r="EL895" s="1116"/>
      <c r="EM895" s="1116"/>
      <c r="EN895" s="1116"/>
      <c r="EO895" s="1116"/>
      <c r="EP895" s="1116"/>
      <c r="EQ895" s="1116"/>
      <c r="ER895" s="1116"/>
      <c r="ES895" s="1116"/>
    </row>
    <row r="896" spans="1:149" ht="15" customHeight="1">
      <c r="A896" s="1185">
        <v>886</v>
      </c>
      <c r="B896" s="1041"/>
      <c r="C896" s="1050"/>
      <c r="D896" s="1050"/>
      <c r="E896" s="1050"/>
      <c r="F896" s="1049"/>
      <c r="G896" s="1049"/>
      <c r="H896" s="1049"/>
      <c r="I896" s="1049"/>
      <c r="J896" s="1050"/>
      <c r="K896" s="1050"/>
      <c r="L896" s="1043"/>
      <c r="M896" s="1051"/>
      <c r="N896" s="1051"/>
      <c r="O896" s="1052"/>
      <c r="P896" s="1051"/>
      <c r="Q896" s="1051"/>
      <c r="R896" s="1052"/>
      <c r="S896" s="1051"/>
      <c r="T896" s="1051"/>
      <c r="U896" s="1052"/>
      <c r="V896" s="1051"/>
      <c r="W896" s="1051"/>
      <c r="X896" s="1052"/>
      <c r="Y896" s="1053"/>
      <c r="Z896" s="1051"/>
      <c r="AA896" s="1051"/>
      <c r="AB896" s="1052"/>
      <c r="AC896" s="1051"/>
      <c r="AD896" s="1051"/>
      <c r="AE896" s="1052"/>
      <c r="AF896" s="1051"/>
      <c r="AG896" s="1051"/>
      <c r="AH896" s="1051"/>
      <c r="AI896" s="1051"/>
      <c r="AJ896" s="1052"/>
      <c r="AK896" s="1051"/>
      <c r="AL896" s="1051"/>
      <c r="AM896" s="1052"/>
      <c r="AN896" s="1051"/>
      <c r="AO896" s="1051"/>
      <c r="AP896" s="1052"/>
      <c r="AQ896" s="1051"/>
      <c r="AR896" s="1051"/>
      <c r="AS896" s="1052"/>
      <c r="AT896" s="1051"/>
      <c r="AU896" s="1051"/>
      <c r="AV896" s="1052"/>
      <c r="AW896" s="1051"/>
      <c r="AX896" s="1051"/>
      <c r="AY896" s="1053"/>
      <c r="AZ896" s="1051"/>
      <c r="BA896" s="1051"/>
      <c r="BB896" s="1053"/>
      <c r="BC896" s="1051"/>
      <c r="BD896" s="1051"/>
      <c r="BE896" s="1053"/>
      <c r="BF896" s="1051"/>
      <c r="BG896" s="1051"/>
      <c r="BH896" s="1053"/>
      <c r="BI896" s="1052"/>
      <c r="BJ896" s="1052"/>
      <c r="BK896" s="1052"/>
      <c r="BL896" s="1052"/>
      <c r="BM896" s="1052"/>
      <c r="BN896" s="1054"/>
      <c r="BO896" s="1076">
        <f t="shared" si="15"/>
        <v>0</v>
      </c>
      <c r="BP896" s="1051"/>
      <c r="BQ896" s="1052"/>
      <c r="BR896" s="1054"/>
      <c r="BS896" s="1053"/>
      <c r="BT896" s="1051"/>
      <c r="BU896" s="1051"/>
      <c r="BV896" s="1051"/>
      <c r="BW896" s="1052"/>
      <c r="BX896" s="1052"/>
      <c r="BY896" s="1052"/>
      <c r="BZ896" s="1052"/>
      <c r="CA896" s="1052"/>
      <c r="CB896" s="1053"/>
      <c r="CC896" s="1053"/>
      <c r="CD896" s="1053"/>
      <c r="CE896" s="1053"/>
      <c r="CF896" s="1053"/>
      <c r="CG896" s="1053"/>
      <c r="CH896" s="1053"/>
      <c r="CI896" s="1123"/>
      <c r="CJ896" s="1123"/>
      <c r="CK896" s="1123"/>
      <c r="CL896" s="1123"/>
      <c r="CM896" s="1123"/>
      <c r="CN896" s="1123"/>
      <c r="CO896" s="1123"/>
      <c r="CP896" s="1123"/>
      <c r="CQ896" s="1123"/>
      <c r="CR896" s="1123"/>
      <c r="CS896" s="1123"/>
      <c r="CT896" s="1123"/>
      <c r="CU896" s="1123"/>
      <c r="CV896" s="1123"/>
      <c r="CW896" s="1123"/>
      <c r="CX896" s="1123"/>
      <c r="CY896" s="1123"/>
      <c r="CZ896" s="1114"/>
      <c r="DA896" s="1114"/>
      <c r="DB896" s="1114"/>
      <c r="DC896" s="1114"/>
      <c r="DD896" s="1114"/>
      <c r="DE896" s="1114"/>
      <c r="DF896" s="1114"/>
      <c r="DG896" s="1114"/>
      <c r="DH896" s="1114"/>
      <c r="DI896" s="1114"/>
      <c r="DJ896" s="1114"/>
      <c r="DK896" s="1114"/>
      <c r="DL896" s="1114"/>
      <c r="DM896" s="1114"/>
      <c r="DN896" s="1114"/>
      <c r="DO896" s="1114"/>
      <c r="DP896" s="1114"/>
      <c r="DQ896" s="1114"/>
      <c r="DR896" s="1114"/>
      <c r="DS896" s="1114"/>
      <c r="DT896" s="1114"/>
      <c r="DU896" s="1114"/>
      <c r="DV896" s="1115"/>
      <c r="DW896" s="1116"/>
      <c r="DX896" s="1116"/>
      <c r="DY896" s="1116"/>
      <c r="DZ896" s="1116"/>
      <c r="EA896" s="1116"/>
      <c r="EB896" s="1116"/>
      <c r="EC896" s="1116"/>
      <c r="ED896" s="1116"/>
      <c r="EE896" s="1116"/>
      <c r="EF896" s="1116"/>
      <c r="EG896" s="1116"/>
      <c r="EH896" s="1116"/>
      <c r="EI896" s="1116"/>
      <c r="EJ896" s="1116"/>
      <c r="EK896" s="1116"/>
      <c r="EL896" s="1116"/>
      <c r="EM896" s="1116"/>
      <c r="EN896" s="1116"/>
      <c r="EO896" s="1116"/>
      <c r="EP896" s="1116"/>
      <c r="EQ896" s="1116"/>
      <c r="ER896" s="1116"/>
      <c r="ES896" s="1116"/>
    </row>
    <row r="897" spans="1:149" ht="15" customHeight="1">
      <c r="A897" s="1185">
        <v>887</v>
      </c>
      <c r="B897" s="1041"/>
      <c r="C897" s="1050"/>
      <c r="D897" s="1050"/>
      <c r="E897" s="1050"/>
      <c r="F897" s="1049"/>
      <c r="G897" s="1049"/>
      <c r="H897" s="1049"/>
      <c r="I897" s="1049"/>
      <c r="J897" s="1050"/>
      <c r="K897" s="1050"/>
      <c r="L897" s="1043"/>
      <c r="M897" s="1051"/>
      <c r="N897" s="1051"/>
      <c r="O897" s="1052"/>
      <c r="P897" s="1051"/>
      <c r="Q897" s="1051"/>
      <c r="R897" s="1052"/>
      <c r="S897" s="1051"/>
      <c r="T897" s="1051"/>
      <c r="U897" s="1052"/>
      <c r="V897" s="1051"/>
      <c r="W897" s="1051"/>
      <c r="X897" s="1052"/>
      <c r="Y897" s="1053"/>
      <c r="Z897" s="1051"/>
      <c r="AA897" s="1051"/>
      <c r="AB897" s="1052"/>
      <c r="AC897" s="1051"/>
      <c r="AD897" s="1051"/>
      <c r="AE897" s="1052"/>
      <c r="AF897" s="1051"/>
      <c r="AG897" s="1051"/>
      <c r="AH897" s="1051"/>
      <c r="AI897" s="1051"/>
      <c r="AJ897" s="1052"/>
      <c r="AK897" s="1051"/>
      <c r="AL897" s="1051"/>
      <c r="AM897" s="1052"/>
      <c r="AN897" s="1051"/>
      <c r="AO897" s="1051"/>
      <c r="AP897" s="1052"/>
      <c r="AQ897" s="1051"/>
      <c r="AR897" s="1051"/>
      <c r="AS897" s="1052"/>
      <c r="AT897" s="1051"/>
      <c r="AU897" s="1051"/>
      <c r="AV897" s="1052"/>
      <c r="AW897" s="1051"/>
      <c r="AX897" s="1051"/>
      <c r="AY897" s="1053"/>
      <c r="AZ897" s="1051"/>
      <c r="BA897" s="1051"/>
      <c r="BB897" s="1053"/>
      <c r="BC897" s="1051"/>
      <c r="BD897" s="1051"/>
      <c r="BE897" s="1053"/>
      <c r="BF897" s="1051"/>
      <c r="BG897" s="1051"/>
      <c r="BH897" s="1053"/>
      <c r="BI897" s="1052"/>
      <c r="BJ897" s="1052"/>
      <c r="BK897" s="1052"/>
      <c r="BL897" s="1052"/>
      <c r="BM897" s="1052"/>
      <c r="BN897" s="1054"/>
      <c r="BO897" s="1076">
        <f t="shared" si="15"/>
        <v>0</v>
      </c>
      <c r="BP897" s="1051"/>
      <c r="BQ897" s="1052"/>
      <c r="BR897" s="1054"/>
      <c r="BS897" s="1053"/>
      <c r="BT897" s="1051"/>
      <c r="BU897" s="1051"/>
      <c r="BV897" s="1051"/>
      <c r="BW897" s="1052"/>
      <c r="BX897" s="1052"/>
      <c r="BY897" s="1052"/>
      <c r="BZ897" s="1052"/>
      <c r="CA897" s="1052"/>
      <c r="CB897" s="1053"/>
      <c r="CC897" s="1053"/>
      <c r="CD897" s="1053"/>
      <c r="CE897" s="1053"/>
      <c r="CF897" s="1053"/>
      <c r="CG897" s="1053"/>
      <c r="CH897" s="1053"/>
      <c r="CI897" s="1123"/>
      <c r="CJ897" s="1123"/>
      <c r="CK897" s="1123"/>
      <c r="CL897" s="1123"/>
      <c r="CM897" s="1123"/>
      <c r="CN897" s="1123"/>
      <c r="CO897" s="1123"/>
      <c r="CP897" s="1123"/>
      <c r="CQ897" s="1123"/>
      <c r="CR897" s="1123"/>
      <c r="CS897" s="1123"/>
      <c r="CT897" s="1123"/>
      <c r="CU897" s="1123"/>
      <c r="CV897" s="1123"/>
      <c r="CW897" s="1123"/>
      <c r="CX897" s="1123"/>
      <c r="CY897" s="1123"/>
      <c r="CZ897" s="1114"/>
      <c r="DA897" s="1114"/>
      <c r="DB897" s="1114"/>
      <c r="DC897" s="1114"/>
      <c r="DD897" s="1114"/>
      <c r="DE897" s="1114"/>
      <c r="DF897" s="1114"/>
      <c r="DG897" s="1114"/>
      <c r="DH897" s="1114"/>
      <c r="DI897" s="1114"/>
      <c r="DJ897" s="1114"/>
      <c r="DK897" s="1114"/>
      <c r="DL897" s="1114"/>
      <c r="DM897" s="1114"/>
      <c r="DN897" s="1114"/>
      <c r="DO897" s="1114"/>
      <c r="DP897" s="1114"/>
      <c r="DQ897" s="1114"/>
      <c r="DR897" s="1114"/>
      <c r="DS897" s="1114"/>
      <c r="DT897" s="1114"/>
      <c r="DU897" s="1114"/>
      <c r="DV897" s="1115"/>
      <c r="DW897" s="1116"/>
      <c r="DX897" s="1116"/>
      <c r="DY897" s="1116"/>
      <c r="DZ897" s="1116"/>
      <c r="EA897" s="1116"/>
      <c r="EB897" s="1116"/>
      <c r="EC897" s="1116"/>
      <c r="ED897" s="1116"/>
      <c r="EE897" s="1116"/>
      <c r="EF897" s="1116"/>
      <c r="EG897" s="1116"/>
      <c r="EH897" s="1116"/>
      <c r="EI897" s="1116"/>
      <c r="EJ897" s="1116"/>
      <c r="EK897" s="1116"/>
      <c r="EL897" s="1116"/>
      <c r="EM897" s="1116"/>
      <c r="EN897" s="1116"/>
      <c r="EO897" s="1116"/>
      <c r="EP897" s="1116"/>
      <c r="EQ897" s="1116"/>
      <c r="ER897" s="1116"/>
      <c r="ES897" s="1116"/>
    </row>
    <row r="898" spans="1:149" ht="15" customHeight="1">
      <c r="A898" s="1185">
        <v>888</v>
      </c>
      <c r="B898" s="1041"/>
      <c r="C898" s="1050"/>
      <c r="D898" s="1050"/>
      <c r="E898" s="1050"/>
      <c r="F898" s="1049"/>
      <c r="G898" s="1049"/>
      <c r="H898" s="1049"/>
      <c r="I898" s="1049"/>
      <c r="J898" s="1050"/>
      <c r="K898" s="1050"/>
      <c r="L898" s="1043"/>
      <c r="M898" s="1051"/>
      <c r="N898" s="1051"/>
      <c r="O898" s="1052"/>
      <c r="P898" s="1051"/>
      <c r="Q898" s="1051"/>
      <c r="R898" s="1052"/>
      <c r="S898" s="1051"/>
      <c r="T898" s="1051"/>
      <c r="U898" s="1052"/>
      <c r="V898" s="1051"/>
      <c r="W898" s="1051"/>
      <c r="X898" s="1052"/>
      <c r="Y898" s="1053"/>
      <c r="Z898" s="1051"/>
      <c r="AA898" s="1051"/>
      <c r="AB898" s="1052"/>
      <c r="AC898" s="1051"/>
      <c r="AD898" s="1051"/>
      <c r="AE898" s="1052"/>
      <c r="AF898" s="1051"/>
      <c r="AG898" s="1051"/>
      <c r="AH898" s="1051"/>
      <c r="AI898" s="1051"/>
      <c r="AJ898" s="1052"/>
      <c r="AK898" s="1051"/>
      <c r="AL898" s="1051"/>
      <c r="AM898" s="1052"/>
      <c r="AN898" s="1051"/>
      <c r="AO898" s="1051"/>
      <c r="AP898" s="1052"/>
      <c r="AQ898" s="1051"/>
      <c r="AR898" s="1051"/>
      <c r="AS898" s="1052"/>
      <c r="AT898" s="1051"/>
      <c r="AU898" s="1051"/>
      <c r="AV898" s="1052"/>
      <c r="AW898" s="1051"/>
      <c r="AX898" s="1051"/>
      <c r="AY898" s="1053"/>
      <c r="AZ898" s="1051"/>
      <c r="BA898" s="1051"/>
      <c r="BB898" s="1053"/>
      <c r="BC898" s="1051"/>
      <c r="BD898" s="1051"/>
      <c r="BE898" s="1053"/>
      <c r="BF898" s="1051"/>
      <c r="BG898" s="1051"/>
      <c r="BH898" s="1053"/>
      <c r="BI898" s="1052"/>
      <c r="BJ898" s="1052"/>
      <c r="BK898" s="1052"/>
      <c r="BL898" s="1052"/>
      <c r="BM898" s="1052"/>
      <c r="BN898" s="1054"/>
      <c r="BO898" s="1076">
        <f t="shared" si="15"/>
        <v>0</v>
      </c>
      <c r="BP898" s="1051"/>
      <c r="BQ898" s="1052"/>
      <c r="BR898" s="1054"/>
      <c r="BS898" s="1053"/>
      <c r="BT898" s="1051"/>
      <c r="BU898" s="1051"/>
      <c r="BV898" s="1051"/>
      <c r="BW898" s="1052"/>
      <c r="BX898" s="1052"/>
      <c r="BY898" s="1052"/>
      <c r="BZ898" s="1052"/>
      <c r="CA898" s="1052"/>
      <c r="CB898" s="1053"/>
      <c r="CC898" s="1053"/>
      <c r="CD898" s="1053"/>
      <c r="CE898" s="1053"/>
      <c r="CF898" s="1053"/>
      <c r="CG898" s="1053"/>
      <c r="CH898" s="1053"/>
      <c r="CI898" s="1123"/>
      <c r="CJ898" s="1123"/>
      <c r="CK898" s="1123"/>
      <c r="CL898" s="1123"/>
      <c r="CM898" s="1123"/>
      <c r="CN898" s="1123"/>
      <c r="CO898" s="1123"/>
      <c r="CP898" s="1123"/>
      <c r="CQ898" s="1123"/>
      <c r="CR898" s="1123"/>
      <c r="CS898" s="1123"/>
      <c r="CT898" s="1123"/>
      <c r="CU898" s="1123"/>
      <c r="CV898" s="1123"/>
      <c r="CW898" s="1123"/>
      <c r="CX898" s="1123"/>
      <c r="CY898" s="1123"/>
      <c r="CZ898" s="1114"/>
      <c r="DA898" s="1114"/>
      <c r="DB898" s="1114"/>
      <c r="DC898" s="1114"/>
      <c r="DD898" s="1114"/>
      <c r="DE898" s="1114"/>
      <c r="DF898" s="1114"/>
      <c r="DG898" s="1114"/>
      <c r="DH898" s="1114"/>
      <c r="DI898" s="1114"/>
      <c r="DJ898" s="1114"/>
      <c r="DK898" s="1114"/>
      <c r="DL898" s="1114"/>
      <c r="DM898" s="1114"/>
      <c r="DN898" s="1114"/>
      <c r="DO898" s="1114"/>
      <c r="DP898" s="1114"/>
      <c r="DQ898" s="1114"/>
      <c r="DR898" s="1114"/>
      <c r="DS898" s="1114"/>
      <c r="DT898" s="1114"/>
      <c r="DU898" s="1114"/>
      <c r="DV898" s="1115"/>
      <c r="DW898" s="1116"/>
      <c r="DX898" s="1116"/>
      <c r="DY898" s="1116"/>
      <c r="DZ898" s="1116"/>
      <c r="EA898" s="1116"/>
      <c r="EB898" s="1116"/>
      <c r="EC898" s="1116"/>
      <c r="ED898" s="1116"/>
      <c r="EE898" s="1116"/>
      <c r="EF898" s="1116"/>
      <c r="EG898" s="1116"/>
      <c r="EH898" s="1116"/>
      <c r="EI898" s="1116"/>
      <c r="EJ898" s="1116"/>
      <c r="EK898" s="1116"/>
      <c r="EL898" s="1116"/>
      <c r="EM898" s="1116"/>
      <c r="EN898" s="1116"/>
      <c r="EO898" s="1116"/>
      <c r="EP898" s="1116"/>
      <c r="EQ898" s="1116"/>
      <c r="ER898" s="1116"/>
      <c r="ES898" s="1116"/>
    </row>
    <row r="899" spans="1:149" ht="15" customHeight="1">
      <c r="A899" s="1185">
        <v>889</v>
      </c>
      <c r="B899" s="1041"/>
      <c r="C899" s="1050"/>
      <c r="D899" s="1050"/>
      <c r="E899" s="1050"/>
      <c r="F899" s="1049"/>
      <c r="G899" s="1049"/>
      <c r="H899" s="1049"/>
      <c r="I899" s="1049"/>
      <c r="J899" s="1050"/>
      <c r="K899" s="1050"/>
      <c r="L899" s="1043"/>
      <c r="M899" s="1051"/>
      <c r="N899" s="1051"/>
      <c r="O899" s="1052"/>
      <c r="P899" s="1051"/>
      <c r="Q899" s="1051"/>
      <c r="R899" s="1052"/>
      <c r="S899" s="1051"/>
      <c r="T899" s="1051"/>
      <c r="U899" s="1052"/>
      <c r="V899" s="1051"/>
      <c r="W899" s="1051"/>
      <c r="X899" s="1052"/>
      <c r="Y899" s="1053"/>
      <c r="Z899" s="1051"/>
      <c r="AA899" s="1051"/>
      <c r="AB899" s="1052"/>
      <c r="AC899" s="1051"/>
      <c r="AD899" s="1051"/>
      <c r="AE899" s="1052"/>
      <c r="AF899" s="1051"/>
      <c r="AG899" s="1051"/>
      <c r="AH899" s="1051"/>
      <c r="AI899" s="1051"/>
      <c r="AJ899" s="1052"/>
      <c r="AK899" s="1051"/>
      <c r="AL899" s="1051"/>
      <c r="AM899" s="1052"/>
      <c r="AN899" s="1051"/>
      <c r="AO899" s="1051"/>
      <c r="AP899" s="1052"/>
      <c r="AQ899" s="1051"/>
      <c r="AR899" s="1051"/>
      <c r="AS899" s="1052"/>
      <c r="AT899" s="1051"/>
      <c r="AU899" s="1051"/>
      <c r="AV899" s="1052"/>
      <c r="AW899" s="1051"/>
      <c r="AX899" s="1051"/>
      <c r="AY899" s="1053"/>
      <c r="AZ899" s="1051"/>
      <c r="BA899" s="1051"/>
      <c r="BB899" s="1053"/>
      <c r="BC899" s="1051"/>
      <c r="BD899" s="1051"/>
      <c r="BE899" s="1053"/>
      <c r="BF899" s="1051"/>
      <c r="BG899" s="1051"/>
      <c r="BH899" s="1053"/>
      <c r="BI899" s="1052"/>
      <c r="BJ899" s="1052"/>
      <c r="BK899" s="1052"/>
      <c r="BL899" s="1052"/>
      <c r="BM899" s="1052"/>
      <c r="BN899" s="1054"/>
      <c r="BO899" s="1076">
        <f t="shared" si="15"/>
        <v>0</v>
      </c>
      <c r="BP899" s="1051"/>
      <c r="BQ899" s="1052"/>
      <c r="BR899" s="1054"/>
      <c r="BS899" s="1053"/>
      <c r="BT899" s="1051"/>
      <c r="BU899" s="1051"/>
      <c r="BV899" s="1051"/>
      <c r="BW899" s="1052"/>
      <c r="BX899" s="1052"/>
      <c r="BY899" s="1052"/>
      <c r="BZ899" s="1052"/>
      <c r="CA899" s="1052"/>
      <c r="CB899" s="1053"/>
      <c r="CC899" s="1053"/>
      <c r="CD899" s="1053"/>
      <c r="CE899" s="1053"/>
      <c r="CF899" s="1053"/>
      <c r="CG899" s="1053"/>
      <c r="CH899" s="1053"/>
      <c r="CI899" s="1123"/>
      <c r="CJ899" s="1123"/>
      <c r="CK899" s="1123"/>
      <c r="CL899" s="1123"/>
      <c r="CM899" s="1123"/>
      <c r="CN899" s="1123"/>
      <c r="CO899" s="1123"/>
      <c r="CP899" s="1123"/>
      <c r="CQ899" s="1123"/>
      <c r="CR899" s="1123"/>
      <c r="CS899" s="1123"/>
      <c r="CT899" s="1123"/>
      <c r="CU899" s="1123"/>
      <c r="CV899" s="1123"/>
      <c r="CW899" s="1123"/>
      <c r="CX899" s="1123"/>
      <c r="CY899" s="1123"/>
      <c r="CZ899" s="1114"/>
      <c r="DA899" s="1114"/>
      <c r="DB899" s="1114"/>
      <c r="DC899" s="1114"/>
      <c r="DD899" s="1114"/>
      <c r="DE899" s="1114"/>
      <c r="DF899" s="1114"/>
      <c r="DG899" s="1114"/>
      <c r="DH899" s="1114"/>
      <c r="DI899" s="1114"/>
      <c r="DJ899" s="1114"/>
      <c r="DK899" s="1114"/>
      <c r="DL899" s="1114"/>
      <c r="DM899" s="1114"/>
      <c r="DN899" s="1114"/>
      <c r="DO899" s="1114"/>
      <c r="DP899" s="1114"/>
      <c r="DQ899" s="1114"/>
      <c r="DR899" s="1114"/>
      <c r="DS899" s="1114"/>
      <c r="DT899" s="1114"/>
      <c r="DU899" s="1114"/>
      <c r="DV899" s="1115"/>
      <c r="DW899" s="1116"/>
      <c r="DX899" s="1116"/>
      <c r="DY899" s="1116"/>
      <c r="DZ899" s="1116"/>
      <c r="EA899" s="1116"/>
      <c r="EB899" s="1116"/>
      <c r="EC899" s="1116"/>
      <c r="ED899" s="1116"/>
      <c r="EE899" s="1116"/>
      <c r="EF899" s="1116"/>
      <c r="EG899" s="1116"/>
      <c r="EH899" s="1116"/>
      <c r="EI899" s="1116"/>
      <c r="EJ899" s="1116"/>
      <c r="EK899" s="1116"/>
      <c r="EL899" s="1116"/>
      <c r="EM899" s="1116"/>
      <c r="EN899" s="1116"/>
      <c r="EO899" s="1116"/>
      <c r="EP899" s="1116"/>
      <c r="EQ899" s="1116"/>
      <c r="ER899" s="1116"/>
      <c r="ES899" s="1116"/>
    </row>
    <row r="900" spans="1:149" ht="15" customHeight="1">
      <c r="A900" s="1185">
        <v>890</v>
      </c>
      <c r="B900" s="1041"/>
      <c r="C900" s="1050"/>
      <c r="D900" s="1050"/>
      <c r="E900" s="1050"/>
      <c r="F900" s="1049"/>
      <c r="G900" s="1049"/>
      <c r="H900" s="1049"/>
      <c r="I900" s="1049"/>
      <c r="J900" s="1050"/>
      <c r="K900" s="1050"/>
      <c r="L900" s="1043"/>
      <c r="M900" s="1051"/>
      <c r="N900" s="1051"/>
      <c r="O900" s="1052"/>
      <c r="P900" s="1051"/>
      <c r="Q900" s="1051"/>
      <c r="R900" s="1052"/>
      <c r="S900" s="1051"/>
      <c r="T900" s="1051"/>
      <c r="U900" s="1052"/>
      <c r="V900" s="1051"/>
      <c r="W900" s="1051"/>
      <c r="X900" s="1052"/>
      <c r="Y900" s="1053"/>
      <c r="Z900" s="1051"/>
      <c r="AA900" s="1051"/>
      <c r="AB900" s="1052"/>
      <c r="AC900" s="1051"/>
      <c r="AD900" s="1051"/>
      <c r="AE900" s="1052"/>
      <c r="AF900" s="1051"/>
      <c r="AG900" s="1051"/>
      <c r="AH900" s="1051"/>
      <c r="AI900" s="1051"/>
      <c r="AJ900" s="1052"/>
      <c r="AK900" s="1051"/>
      <c r="AL900" s="1051"/>
      <c r="AM900" s="1052"/>
      <c r="AN900" s="1051"/>
      <c r="AO900" s="1051"/>
      <c r="AP900" s="1052"/>
      <c r="AQ900" s="1051"/>
      <c r="AR900" s="1051"/>
      <c r="AS900" s="1052"/>
      <c r="AT900" s="1051"/>
      <c r="AU900" s="1051"/>
      <c r="AV900" s="1052"/>
      <c r="AW900" s="1051"/>
      <c r="AX900" s="1051"/>
      <c r="AY900" s="1053"/>
      <c r="AZ900" s="1051"/>
      <c r="BA900" s="1051"/>
      <c r="BB900" s="1053"/>
      <c r="BC900" s="1051"/>
      <c r="BD900" s="1051"/>
      <c r="BE900" s="1053"/>
      <c r="BF900" s="1051"/>
      <c r="BG900" s="1051"/>
      <c r="BH900" s="1053"/>
      <c r="BI900" s="1052"/>
      <c r="BJ900" s="1052"/>
      <c r="BK900" s="1052"/>
      <c r="BL900" s="1052"/>
      <c r="BM900" s="1052"/>
      <c r="BN900" s="1054"/>
      <c r="BO900" s="1076">
        <f t="shared" si="15"/>
        <v>0</v>
      </c>
      <c r="BP900" s="1051"/>
      <c r="BQ900" s="1052"/>
      <c r="BR900" s="1054"/>
      <c r="BS900" s="1053"/>
      <c r="BT900" s="1051"/>
      <c r="BU900" s="1051"/>
      <c r="BV900" s="1051"/>
      <c r="BW900" s="1052"/>
      <c r="BX900" s="1052"/>
      <c r="BY900" s="1052"/>
      <c r="BZ900" s="1052"/>
      <c r="CA900" s="1052"/>
      <c r="CB900" s="1053"/>
      <c r="CC900" s="1053"/>
      <c r="CD900" s="1053"/>
      <c r="CE900" s="1053"/>
      <c r="CF900" s="1053"/>
      <c r="CG900" s="1053"/>
      <c r="CH900" s="1053"/>
      <c r="CI900" s="1123"/>
      <c r="CJ900" s="1123"/>
      <c r="CK900" s="1123"/>
      <c r="CL900" s="1123"/>
      <c r="CM900" s="1123"/>
      <c r="CN900" s="1123"/>
      <c r="CO900" s="1123"/>
      <c r="CP900" s="1123"/>
      <c r="CQ900" s="1123"/>
      <c r="CR900" s="1123"/>
      <c r="CS900" s="1123"/>
      <c r="CT900" s="1123"/>
      <c r="CU900" s="1123"/>
      <c r="CV900" s="1123"/>
      <c r="CW900" s="1123"/>
      <c r="CX900" s="1123"/>
      <c r="CY900" s="1123"/>
      <c r="CZ900" s="1114"/>
      <c r="DA900" s="1114"/>
      <c r="DB900" s="1114"/>
      <c r="DC900" s="1114"/>
      <c r="DD900" s="1114"/>
      <c r="DE900" s="1114"/>
      <c r="DF900" s="1114"/>
      <c r="DG900" s="1114"/>
      <c r="DH900" s="1114"/>
      <c r="DI900" s="1114"/>
      <c r="DJ900" s="1114"/>
      <c r="DK900" s="1114"/>
      <c r="DL900" s="1114"/>
      <c r="DM900" s="1114"/>
      <c r="DN900" s="1114"/>
      <c r="DO900" s="1114"/>
      <c r="DP900" s="1114"/>
      <c r="DQ900" s="1114"/>
      <c r="DR900" s="1114"/>
      <c r="DS900" s="1114"/>
      <c r="DT900" s="1114"/>
      <c r="DU900" s="1114"/>
      <c r="DV900" s="1115"/>
      <c r="DW900" s="1116"/>
      <c r="DX900" s="1116"/>
      <c r="DY900" s="1116"/>
      <c r="DZ900" s="1116"/>
      <c r="EA900" s="1116"/>
      <c r="EB900" s="1116"/>
      <c r="EC900" s="1116"/>
      <c r="ED900" s="1116"/>
      <c r="EE900" s="1116"/>
      <c r="EF900" s="1116"/>
      <c r="EG900" s="1116"/>
      <c r="EH900" s="1116"/>
      <c r="EI900" s="1116"/>
      <c r="EJ900" s="1116"/>
      <c r="EK900" s="1116"/>
      <c r="EL900" s="1116"/>
      <c r="EM900" s="1116"/>
      <c r="EN900" s="1116"/>
      <c r="EO900" s="1116"/>
      <c r="EP900" s="1116"/>
      <c r="EQ900" s="1116"/>
      <c r="ER900" s="1116"/>
      <c r="ES900" s="1116"/>
    </row>
    <row r="901" spans="1:149" ht="15" customHeight="1">
      <c r="A901" s="1185">
        <v>891</v>
      </c>
      <c r="B901" s="1041"/>
      <c r="C901" s="1050"/>
      <c r="D901" s="1050"/>
      <c r="E901" s="1050"/>
      <c r="F901" s="1049"/>
      <c r="G901" s="1049"/>
      <c r="H901" s="1049"/>
      <c r="I901" s="1049"/>
      <c r="J901" s="1050"/>
      <c r="K901" s="1050"/>
      <c r="L901" s="1043"/>
      <c r="M901" s="1051"/>
      <c r="N901" s="1051"/>
      <c r="O901" s="1052"/>
      <c r="P901" s="1051"/>
      <c r="Q901" s="1051"/>
      <c r="R901" s="1052"/>
      <c r="S901" s="1051"/>
      <c r="T901" s="1051"/>
      <c r="U901" s="1052"/>
      <c r="V901" s="1051"/>
      <c r="W901" s="1051"/>
      <c r="X901" s="1052"/>
      <c r="Y901" s="1053"/>
      <c r="Z901" s="1051"/>
      <c r="AA901" s="1051"/>
      <c r="AB901" s="1052"/>
      <c r="AC901" s="1051"/>
      <c r="AD901" s="1051"/>
      <c r="AE901" s="1052"/>
      <c r="AF901" s="1051"/>
      <c r="AG901" s="1051"/>
      <c r="AH901" s="1051"/>
      <c r="AI901" s="1051"/>
      <c r="AJ901" s="1052"/>
      <c r="AK901" s="1051"/>
      <c r="AL901" s="1051"/>
      <c r="AM901" s="1052"/>
      <c r="AN901" s="1051"/>
      <c r="AO901" s="1051"/>
      <c r="AP901" s="1052"/>
      <c r="AQ901" s="1051"/>
      <c r="AR901" s="1051"/>
      <c r="AS901" s="1052"/>
      <c r="AT901" s="1051"/>
      <c r="AU901" s="1051"/>
      <c r="AV901" s="1052"/>
      <c r="AW901" s="1051"/>
      <c r="AX901" s="1051"/>
      <c r="AY901" s="1053"/>
      <c r="AZ901" s="1051"/>
      <c r="BA901" s="1051"/>
      <c r="BB901" s="1053"/>
      <c r="BC901" s="1051"/>
      <c r="BD901" s="1051"/>
      <c r="BE901" s="1053"/>
      <c r="BF901" s="1051"/>
      <c r="BG901" s="1051"/>
      <c r="BH901" s="1053"/>
      <c r="BI901" s="1052"/>
      <c r="BJ901" s="1052"/>
      <c r="BK901" s="1052"/>
      <c r="BL901" s="1052"/>
      <c r="BM901" s="1052"/>
      <c r="BN901" s="1054"/>
      <c r="BO901" s="1076">
        <f t="shared" si="15"/>
        <v>0</v>
      </c>
      <c r="BP901" s="1051"/>
      <c r="BQ901" s="1052"/>
      <c r="BR901" s="1054"/>
      <c r="BS901" s="1053"/>
      <c r="BT901" s="1051"/>
      <c r="BU901" s="1051"/>
      <c r="BV901" s="1051"/>
      <c r="BW901" s="1052"/>
      <c r="BX901" s="1052"/>
      <c r="BY901" s="1052"/>
      <c r="BZ901" s="1052"/>
      <c r="CA901" s="1052"/>
      <c r="CB901" s="1053"/>
      <c r="CC901" s="1053"/>
      <c r="CD901" s="1053"/>
      <c r="CE901" s="1053"/>
      <c r="CF901" s="1053"/>
      <c r="CG901" s="1053"/>
      <c r="CH901" s="1053"/>
      <c r="CI901" s="1123"/>
      <c r="CJ901" s="1123"/>
      <c r="CK901" s="1123"/>
      <c r="CL901" s="1123"/>
      <c r="CM901" s="1123"/>
      <c r="CN901" s="1123"/>
      <c r="CO901" s="1123"/>
      <c r="CP901" s="1123"/>
      <c r="CQ901" s="1123"/>
      <c r="CR901" s="1123"/>
      <c r="CS901" s="1123"/>
      <c r="CT901" s="1123"/>
      <c r="CU901" s="1123"/>
      <c r="CV901" s="1123"/>
      <c r="CW901" s="1123"/>
      <c r="CX901" s="1123"/>
      <c r="CY901" s="1123"/>
      <c r="CZ901" s="1114"/>
      <c r="DA901" s="1114"/>
      <c r="DB901" s="1114"/>
      <c r="DC901" s="1114"/>
      <c r="DD901" s="1114"/>
      <c r="DE901" s="1114"/>
      <c r="DF901" s="1114"/>
      <c r="DG901" s="1114"/>
      <c r="DH901" s="1114"/>
      <c r="DI901" s="1114"/>
      <c r="DJ901" s="1114"/>
      <c r="DK901" s="1114"/>
      <c r="DL901" s="1114"/>
      <c r="DM901" s="1114"/>
      <c r="DN901" s="1114"/>
      <c r="DO901" s="1114"/>
      <c r="DP901" s="1114"/>
      <c r="DQ901" s="1114"/>
      <c r="DR901" s="1114"/>
      <c r="DS901" s="1114"/>
      <c r="DT901" s="1114"/>
      <c r="DU901" s="1114"/>
      <c r="DV901" s="1115"/>
      <c r="DW901" s="1116"/>
      <c r="DX901" s="1116"/>
      <c r="DY901" s="1116"/>
      <c r="DZ901" s="1116"/>
      <c r="EA901" s="1116"/>
      <c r="EB901" s="1116"/>
      <c r="EC901" s="1116"/>
      <c r="ED901" s="1116"/>
      <c r="EE901" s="1116"/>
      <c r="EF901" s="1116"/>
      <c r="EG901" s="1116"/>
      <c r="EH901" s="1116"/>
      <c r="EI901" s="1116"/>
      <c r="EJ901" s="1116"/>
      <c r="EK901" s="1116"/>
      <c r="EL901" s="1116"/>
      <c r="EM901" s="1116"/>
      <c r="EN901" s="1116"/>
      <c r="EO901" s="1116"/>
      <c r="EP901" s="1116"/>
      <c r="EQ901" s="1116"/>
      <c r="ER901" s="1116"/>
      <c r="ES901" s="1116"/>
    </row>
    <row r="902" spans="1:149" ht="15" customHeight="1">
      <c r="A902" s="1185">
        <v>892</v>
      </c>
      <c r="B902" s="1041"/>
      <c r="C902" s="1050"/>
      <c r="D902" s="1050"/>
      <c r="E902" s="1050"/>
      <c r="F902" s="1049"/>
      <c r="G902" s="1049"/>
      <c r="H902" s="1049"/>
      <c r="I902" s="1049"/>
      <c r="J902" s="1050"/>
      <c r="K902" s="1050"/>
      <c r="L902" s="1043"/>
      <c r="M902" s="1051"/>
      <c r="N902" s="1051"/>
      <c r="O902" s="1052"/>
      <c r="P902" s="1051"/>
      <c r="Q902" s="1051"/>
      <c r="R902" s="1052"/>
      <c r="S902" s="1051"/>
      <c r="T902" s="1051"/>
      <c r="U902" s="1052"/>
      <c r="V902" s="1051"/>
      <c r="W902" s="1051"/>
      <c r="X902" s="1052"/>
      <c r="Y902" s="1053"/>
      <c r="Z902" s="1051"/>
      <c r="AA902" s="1051"/>
      <c r="AB902" s="1052"/>
      <c r="AC902" s="1051"/>
      <c r="AD902" s="1051"/>
      <c r="AE902" s="1052"/>
      <c r="AF902" s="1051"/>
      <c r="AG902" s="1051"/>
      <c r="AH902" s="1051"/>
      <c r="AI902" s="1051"/>
      <c r="AJ902" s="1052"/>
      <c r="AK902" s="1051"/>
      <c r="AL902" s="1051"/>
      <c r="AM902" s="1052"/>
      <c r="AN902" s="1051"/>
      <c r="AO902" s="1051"/>
      <c r="AP902" s="1052"/>
      <c r="AQ902" s="1051"/>
      <c r="AR902" s="1051"/>
      <c r="AS902" s="1052"/>
      <c r="AT902" s="1051"/>
      <c r="AU902" s="1051"/>
      <c r="AV902" s="1052"/>
      <c r="AW902" s="1051"/>
      <c r="AX902" s="1051"/>
      <c r="AY902" s="1053"/>
      <c r="AZ902" s="1051"/>
      <c r="BA902" s="1051"/>
      <c r="BB902" s="1053"/>
      <c r="BC902" s="1051"/>
      <c r="BD902" s="1051"/>
      <c r="BE902" s="1053"/>
      <c r="BF902" s="1051"/>
      <c r="BG902" s="1051"/>
      <c r="BH902" s="1053"/>
      <c r="BI902" s="1052"/>
      <c r="BJ902" s="1052"/>
      <c r="BK902" s="1052"/>
      <c r="BL902" s="1052"/>
      <c r="BM902" s="1052"/>
      <c r="BN902" s="1054"/>
      <c r="BO902" s="1076">
        <f t="shared" si="15"/>
        <v>0</v>
      </c>
      <c r="BP902" s="1051"/>
      <c r="BQ902" s="1052"/>
      <c r="BR902" s="1054"/>
      <c r="BS902" s="1053"/>
      <c r="BT902" s="1051"/>
      <c r="BU902" s="1051"/>
      <c r="BV902" s="1051"/>
      <c r="BW902" s="1052"/>
      <c r="BX902" s="1052"/>
      <c r="BY902" s="1052"/>
      <c r="BZ902" s="1052"/>
      <c r="CA902" s="1052"/>
      <c r="CB902" s="1053"/>
      <c r="CC902" s="1053"/>
      <c r="CD902" s="1053"/>
      <c r="CE902" s="1053"/>
      <c r="CF902" s="1053"/>
      <c r="CG902" s="1053"/>
      <c r="CH902" s="1053"/>
      <c r="CI902" s="1123"/>
      <c r="CJ902" s="1123"/>
      <c r="CK902" s="1123"/>
      <c r="CL902" s="1123"/>
      <c r="CM902" s="1123"/>
      <c r="CN902" s="1123"/>
      <c r="CO902" s="1123"/>
      <c r="CP902" s="1123"/>
      <c r="CQ902" s="1123"/>
      <c r="CR902" s="1123"/>
      <c r="CS902" s="1123"/>
      <c r="CT902" s="1123"/>
      <c r="CU902" s="1123"/>
      <c r="CV902" s="1123"/>
      <c r="CW902" s="1123"/>
      <c r="CX902" s="1123"/>
      <c r="CY902" s="1123"/>
      <c r="CZ902" s="1114"/>
      <c r="DA902" s="1114"/>
      <c r="DB902" s="1114"/>
      <c r="DC902" s="1114"/>
      <c r="DD902" s="1114"/>
      <c r="DE902" s="1114"/>
      <c r="DF902" s="1114"/>
      <c r="DG902" s="1114"/>
      <c r="DH902" s="1114"/>
      <c r="DI902" s="1114"/>
      <c r="DJ902" s="1114"/>
      <c r="DK902" s="1114"/>
      <c r="DL902" s="1114"/>
      <c r="DM902" s="1114"/>
      <c r="DN902" s="1114"/>
      <c r="DO902" s="1114"/>
      <c r="DP902" s="1114"/>
      <c r="DQ902" s="1114"/>
      <c r="DR902" s="1114"/>
      <c r="DS902" s="1114"/>
      <c r="DT902" s="1114"/>
      <c r="DU902" s="1114"/>
      <c r="DV902" s="1115"/>
      <c r="DW902" s="1116"/>
      <c r="DX902" s="1116"/>
      <c r="DY902" s="1116"/>
      <c r="DZ902" s="1116"/>
      <c r="EA902" s="1116"/>
      <c r="EB902" s="1116"/>
      <c r="EC902" s="1116"/>
      <c r="ED902" s="1116"/>
      <c r="EE902" s="1116"/>
      <c r="EF902" s="1116"/>
      <c r="EG902" s="1116"/>
      <c r="EH902" s="1116"/>
      <c r="EI902" s="1116"/>
      <c r="EJ902" s="1116"/>
      <c r="EK902" s="1116"/>
      <c r="EL902" s="1116"/>
      <c r="EM902" s="1116"/>
      <c r="EN902" s="1116"/>
      <c r="EO902" s="1116"/>
      <c r="EP902" s="1116"/>
      <c r="EQ902" s="1116"/>
      <c r="ER902" s="1116"/>
      <c r="ES902" s="1116"/>
    </row>
    <row r="903" spans="1:149" ht="15" customHeight="1">
      <c r="A903" s="1185">
        <v>893</v>
      </c>
      <c r="B903" s="1041"/>
      <c r="C903" s="1050"/>
      <c r="D903" s="1050"/>
      <c r="E903" s="1050"/>
      <c r="F903" s="1049"/>
      <c r="G903" s="1049"/>
      <c r="H903" s="1049"/>
      <c r="I903" s="1049"/>
      <c r="J903" s="1050"/>
      <c r="K903" s="1050"/>
      <c r="L903" s="1043"/>
      <c r="M903" s="1051"/>
      <c r="N903" s="1051"/>
      <c r="O903" s="1052"/>
      <c r="P903" s="1051"/>
      <c r="Q903" s="1051"/>
      <c r="R903" s="1052"/>
      <c r="S903" s="1051"/>
      <c r="T903" s="1051"/>
      <c r="U903" s="1052"/>
      <c r="V903" s="1051"/>
      <c r="W903" s="1051"/>
      <c r="X903" s="1052"/>
      <c r="Y903" s="1053"/>
      <c r="Z903" s="1051"/>
      <c r="AA903" s="1051"/>
      <c r="AB903" s="1052"/>
      <c r="AC903" s="1051"/>
      <c r="AD903" s="1051"/>
      <c r="AE903" s="1052"/>
      <c r="AF903" s="1051"/>
      <c r="AG903" s="1051"/>
      <c r="AH903" s="1051"/>
      <c r="AI903" s="1051"/>
      <c r="AJ903" s="1052"/>
      <c r="AK903" s="1051"/>
      <c r="AL903" s="1051"/>
      <c r="AM903" s="1052"/>
      <c r="AN903" s="1051"/>
      <c r="AO903" s="1051"/>
      <c r="AP903" s="1052"/>
      <c r="AQ903" s="1051"/>
      <c r="AR903" s="1051"/>
      <c r="AS903" s="1052"/>
      <c r="AT903" s="1051"/>
      <c r="AU903" s="1051"/>
      <c r="AV903" s="1052"/>
      <c r="AW903" s="1051"/>
      <c r="AX903" s="1051"/>
      <c r="AY903" s="1053"/>
      <c r="AZ903" s="1051"/>
      <c r="BA903" s="1051"/>
      <c r="BB903" s="1053"/>
      <c r="BC903" s="1051"/>
      <c r="BD903" s="1051"/>
      <c r="BE903" s="1053"/>
      <c r="BF903" s="1051"/>
      <c r="BG903" s="1051"/>
      <c r="BH903" s="1053"/>
      <c r="BI903" s="1052"/>
      <c r="BJ903" s="1052"/>
      <c r="BK903" s="1052"/>
      <c r="BL903" s="1052"/>
      <c r="BM903" s="1052"/>
      <c r="BN903" s="1054"/>
      <c r="BO903" s="1076">
        <f t="shared" si="15"/>
        <v>0</v>
      </c>
      <c r="BP903" s="1051"/>
      <c r="BQ903" s="1052"/>
      <c r="BR903" s="1054"/>
      <c r="BS903" s="1053"/>
      <c r="BT903" s="1051"/>
      <c r="BU903" s="1051"/>
      <c r="BV903" s="1051"/>
      <c r="BW903" s="1052"/>
      <c r="BX903" s="1052"/>
      <c r="BY903" s="1052"/>
      <c r="BZ903" s="1052"/>
      <c r="CA903" s="1052"/>
      <c r="CB903" s="1053"/>
      <c r="CC903" s="1053"/>
      <c r="CD903" s="1053"/>
      <c r="CE903" s="1053"/>
      <c r="CF903" s="1053"/>
      <c r="CG903" s="1053"/>
      <c r="CH903" s="1053"/>
      <c r="CI903" s="1123"/>
      <c r="CJ903" s="1123"/>
      <c r="CK903" s="1123"/>
      <c r="CL903" s="1123"/>
      <c r="CM903" s="1123"/>
      <c r="CN903" s="1123"/>
      <c r="CO903" s="1123"/>
      <c r="CP903" s="1123"/>
      <c r="CQ903" s="1123"/>
      <c r="CR903" s="1123"/>
      <c r="CS903" s="1123"/>
      <c r="CT903" s="1123"/>
      <c r="CU903" s="1123"/>
      <c r="CV903" s="1123"/>
      <c r="CW903" s="1123"/>
      <c r="CX903" s="1123"/>
      <c r="CY903" s="1123"/>
      <c r="CZ903" s="1114"/>
      <c r="DA903" s="1114"/>
      <c r="DB903" s="1114"/>
      <c r="DC903" s="1114"/>
      <c r="DD903" s="1114"/>
      <c r="DE903" s="1114"/>
      <c r="DF903" s="1114"/>
      <c r="DG903" s="1114"/>
      <c r="DH903" s="1114"/>
      <c r="DI903" s="1114"/>
      <c r="DJ903" s="1114"/>
      <c r="DK903" s="1114"/>
      <c r="DL903" s="1114"/>
      <c r="DM903" s="1114"/>
      <c r="DN903" s="1114"/>
      <c r="DO903" s="1114"/>
      <c r="DP903" s="1114"/>
      <c r="DQ903" s="1114"/>
      <c r="DR903" s="1114"/>
      <c r="DS903" s="1114"/>
      <c r="DT903" s="1114"/>
      <c r="DU903" s="1114"/>
      <c r="DV903" s="1115"/>
      <c r="DW903" s="1116"/>
      <c r="DX903" s="1116"/>
      <c r="DY903" s="1116"/>
      <c r="DZ903" s="1116"/>
      <c r="EA903" s="1116"/>
      <c r="EB903" s="1116"/>
      <c r="EC903" s="1116"/>
      <c r="ED903" s="1116"/>
      <c r="EE903" s="1116"/>
      <c r="EF903" s="1116"/>
      <c r="EG903" s="1116"/>
      <c r="EH903" s="1116"/>
      <c r="EI903" s="1116"/>
      <c r="EJ903" s="1116"/>
      <c r="EK903" s="1116"/>
      <c r="EL903" s="1116"/>
      <c r="EM903" s="1116"/>
      <c r="EN903" s="1116"/>
      <c r="EO903" s="1116"/>
      <c r="EP903" s="1116"/>
      <c r="EQ903" s="1116"/>
      <c r="ER903" s="1116"/>
      <c r="ES903" s="1116"/>
    </row>
    <row r="904" spans="1:149" ht="15" customHeight="1">
      <c r="A904" s="1185">
        <v>894</v>
      </c>
      <c r="B904" s="1041"/>
      <c r="C904" s="1050"/>
      <c r="D904" s="1050"/>
      <c r="E904" s="1050"/>
      <c r="F904" s="1049"/>
      <c r="G904" s="1049"/>
      <c r="H904" s="1049"/>
      <c r="I904" s="1049"/>
      <c r="J904" s="1050"/>
      <c r="K904" s="1050"/>
      <c r="L904" s="1043"/>
      <c r="M904" s="1051"/>
      <c r="N904" s="1051"/>
      <c r="O904" s="1052"/>
      <c r="P904" s="1051"/>
      <c r="Q904" s="1051"/>
      <c r="R904" s="1052"/>
      <c r="S904" s="1051"/>
      <c r="T904" s="1051"/>
      <c r="U904" s="1052"/>
      <c r="V904" s="1051"/>
      <c r="W904" s="1051"/>
      <c r="X904" s="1052"/>
      <c r="Y904" s="1053"/>
      <c r="Z904" s="1051"/>
      <c r="AA904" s="1051"/>
      <c r="AB904" s="1052"/>
      <c r="AC904" s="1051"/>
      <c r="AD904" s="1051"/>
      <c r="AE904" s="1052"/>
      <c r="AF904" s="1051"/>
      <c r="AG904" s="1051"/>
      <c r="AH904" s="1051"/>
      <c r="AI904" s="1051"/>
      <c r="AJ904" s="1052"/>
      <c r="AK904" s="1051"/>
      <c r="AL904" s="1051"/>
      <c r="AM904" s="1052"/>
      <c r="AN904" s="1051"/>
      <c r="AO904" s="1051"/>
      <c r="AP904" s="1052"/>
      <c r="AQ904" s="1051"/>
      <c r="AR904" s="1051"/>
      <c r="AS904" s="1052"/>
      <c r="AT904" s="1051"/>
      <c r="AU904" s="1051"/>
      <c r="AV904" s="1052"/>
      <c r="AW904" s="1051"/>
      <c r="AX904" s="1051"/>
      <c r="AY904" s="1053"/>
      <c r="AZ904" s="1051"/>
      <c r="BA904" s="1051"/>
      <c r="BB904" s="1053"/>
      <c r="BC904" s="1051"/>
      <c r="BD904" s="1051"/>
      <c r="BE904" s="1053"/>
      <c r="BF904" s="1051"/>
      <c r="BG904" s="1051"/>
      <c r="BH904" s="1053"/>
      <c r="BI904" s="1052"/>
      <c r="BJ904" s="1052"/>
      <c r="BK904" s="1052"/>
      <c r="BL904" s="1052"/>
      <c r="BM904" s="1052"/>
      <c r="BN904" s="1054"/>
      <c r="BO904" s="1076">
        <f t="shared" si="15"/>
        <v>0</v>
      </c>
      <c r="BP904" s="1051"/>
      <c r="BQ904" s="1052"/>
      <c r="BR904" s="1054"/>
      <c r="BS904" s="1053"/>
      <c r="BT904" s="1051"/>
      <c r="BU904" s="1051"/>
      <c r="BV904" s="1051"/>
      <c r="BW904" s="1052"/>
      <c r="BX904" s="1052"/>
      <c r="BY904" s="1052"/>
      <c r="BZ904" s="1052"/>
      <c r="CA904" s="1052"/>
      <c r="CB904" s="1053"/>
      <c r="CC904" s="1053"/>
      <c r="CD904" s="1053"/>
      <c r="CE904" s="1053"/>
      <c r="CF904" s="1053"/>
      <c r="CG904" s="1053"/>
      <c r="CH904" s="1053"/>
      <c r="CI904" s="1123"/>
      <c r="CJ904" s="1123"/>
      <c r="CK904" s="1123"/>
      <c r="CL904" s="1123"/>
      <c r="CM904" s="1123"/>
      <c r="CN904" s="1123"/>
      <c r="CO904" s="1123"/>
      <c r="CP904" s="1123"/>
      <c r="CQ904" s="1123"/>
      <c r="CR904" s="1123"/>
      <c r="CS904" s="1123"/>
      <c r="CT904" s="1123"/>
      <c r="CU904" s="1123"/>
      <c r="CV904" s="1123"/>
      <c r="CW904" s="1123"/>
      <c r="CX904" s="1123"/>
      <c r="CY904" s="1123"/>
      <c r="CZ904" s="1114"/>
      <c r="DA904" s="1114"/>
      <c r="DB904" s="1114"/>
      <c r="DC904" s="1114"/>
      <c r="DD904" s="1114"/>
      <c r="DE904" s="1114"/>
      <c r="DF904" s="1114"/>
      <c r="DG904" s="1114"/>
      <c r="DH904" s="1114"/>
      <c r="DI904" s="1114"/>
      <c r="DJ904" s="1114"/>
      <c r="DK904" s="1114"/>
      <c r="DL904" s="1114"/>
      <c r="DM904" s="1114"/>
      <c r="DN904" s="1114"/>
      <c r="DO904" s="1114"/>
      <c r="DP904" s="1114"/>
      <c r="DQ904" s="1114"/>
      <c r="DR904" s="1114"/>
      <c r="DS904" s="1114"/>
      <c r="DT904" s="1114"/>
      <c r="DU904" s="1114"/>
      <c r="DV904" s="1115"/>
      <c r="DW904" s="1116"/>
      <c r="DX904" s="1116"/>
      <c r="DY904" s="1116"/>
      <c r="DZ904" s="1116"/>
      <c r="EA904" s="1116"/>
      <c r="EB904" s="1116"/>
      <c r="EC904" s="1116"/>
      <c r="ED904" s="1116"/>
      <c r="EE904" s="1116"/>
      <c r="EF904" s="1116"/>
      <c r="EG904" s="1116"/>
      <c r="EH904" s="1116"/>
      <c r="EI904" s="1116"/>
      <c r="EJ904" s="1116"/>
      <c r="EK904" s="1116"/>
      <c r="EL904" s="1116"/>
      <c r="EM904" s="1116"/>
      <c r="EN904" s="1116"/>
      <c r="EO904" s="1116"/>
      <c r="EP904" s="1116"/>
      <c r="EQ904" s="1116"/>
      <c r="ER904" s="1116"/>
      <c r="ES904" s="1116"/>
    </row>
    <row r="905" spans="1:149" ht="15" customHeight="1">
      <c r="A905" s="1185">
        <v>895</v>
      </c>
      <c r="B905" s="1041"/>
      <c r="C905" s="1050"/>
      <c r="D905" s="1050"/>
      <c r="E905" s="1050"/>
      <c r="F905" s="1049"/>
      <c r="G905" s="1049"/>
      <c r="H905" s="1049"/>
      <c r="I905" s="1049"/>
      <c r="J905" s="1050"/>
      <c r="K905" s="1050"/>
      <c r="L905" s="1043"/>
      <c r="M905" s="1051"/>
      <c r="N905" s="1051"/>
      <c r="O905" s="1052"/>
      <c r="P905" s="1051"/>
      <c r="Q905" s="1051"/>
      <c r="R905" s="1052"/>
      <c r="S905" s="1051"/>
      <c r="T905" s="1051"/>
      <c r="U905" s="1052"/>
      <c r="V905" s="1051"/>
      <c r="W905" s="1051"/>
      <c r="X905" s="1052"/>
      <c r="Y905" s="1053"/>
      <c r="Z905" s="1051"/>
      <c r="AA905" s="1051"/>
      <c r="AB905" s="1052"/>
      <c r="AC905" s="1051"/>
      <c r="AD905" s="1051"/>
      <c r="AE905" s="1052"/>
      <c r="AF905" s="1051"/>
      <c r="AG905" s="1051"/>
      <c r="AH905" s="1051"/>
      <c r="AI905" s="1051"/>
      <c r="AJ905" s="1052"/>
      <c r="AK905" s="1051"/>
      <c r="AL905" s="1051"/>
      <c r="AM905" s="1052"/>
      <c r="AN905" s="1051"/>
      <c r="AO905" s="1051"/>
      <c r="AP905" s="1052"/>
      <c r="AQ905" s="1051"/>
      <c r="AR905" s="1051"/>
      <c r="AS905" s="1052"/>
      <c r="AT905" s="1051"/>
      <c r="AU905" s="1051"/>
      <c r="AV905" s="1052"/>
      <c r="AW905" s="1051"/>
      <c r="AX905" s="1051"/>
      <c r="AY905" s="1053"/>
      <c r="AZ905" s="1051"/>
      <c r="BA905" s="1051"/>
      <c r="BB905" s="1053"/>
      <c r="BC905" s="1051"/>
      <c r="BD905" s="1051"/>
      <c r="BE905" s="1053"/>
      <c r="BF905" s="1051"/>
      <c r="BG905" s="1051"/>
      <c r="BH905" s="1053"/>
      <c r="BI905" s="1052"/>
      <c r="BJ905" s="1052"/>
      <c r="BK905" s="1052"/>
      <c r="BL905" s="1052"/>
      <c r="BM905" s="1052"/>
      <c r="BN905" s="1054"/>
      <c r="BO905" s="1076">
        <f t="shared" si="15"/>
        <v>0</v>
      </c>
      <c r="BP905" s="1051"/>
      <c r="BQ905" s="1052"/>
      <c r="BR905" s="1054"/>
      <c r="BS905" s="1053"/>
      <c r="BT905" s="1051"/>
      <c r="BU905" s="1051"/>
      <c r="BV905" s="1051"/>
      <c r="BW905" s="1052"/>
      <c r="BX905" s="1052"/>
      <c r="BY905" s="1052"/>
      <c r="BZ905" s="1052"/>
      <c r="CA905" s="1052"/>
      <c r="CB905" s="1053"/>
      <c r="CC905" s="1053"/>
      <c r="CD905" s="1053"/>
      <c r="CE905" s="1053"/>
      <c r="CF905" s="1053"/>
      <c r="CG905" s="1053"/>
      <c r="CH905" s="1053"/>
      <c r="CI905" s="1123"/>
      <c r="CJ905" s="1123"/>
      <c r="CK905" s="1123"/>
      <c r="CL905" s="1123"/>
      <c r="CM905" s="1123"/>
      <c r="CN905" s="1123"/>
      <c r="CO905" s="1123"/>
      <c r="CP905" s="1123"/>
      <c r="CQ905" s="1123"/>
      <c r="CR905" s="1123"/>
      <c r="CS905" s="1123"/>
      <c r="CT905" s="1123"/>
      <c r="CU905" s="1123"/>
      <c r="CV905" s="1123"/>
      <c r="CW905" s="1123"/>
      <c r="CX905" s="1123"/>
      <c r="CY905" s="1123"/>
      <c r="CZ905" s="1114"/>
      <c r="DA905" s="1114"/>
      <c r="DB905" s="1114"/>
      <c r="DC905" s="1114"/>
      <c r="DD905" s="1114"/>
      <c r="DE905" s="1114"/>
      <c r="DF905" s="1114"/>
      <c r="DG905" s="1114"/>
      <c r="DH905" s="1114"/>
      <c r="DI905" s="1114"/>
      <c r="DJ905" s="1114"/>
      <c r="DK905" s="1114"/>
      <c r="DL905" s="1114"/>
      <c r="DM905" s="1114"/>
      <c r="DN905" s="1114"/>
      <c r="DO905" s="1114"/>
      <c r="DP905" s="1114"/>
      <c r="DQ905" s="1114"/>
      <c r="DR905" s="1114"/>
      <c r="DS905" s="1114"/>
      <c r="DT905" s="1114"/>
      <c r="DU905" s="1114"/>
      <c r="DV905" s="1115"/>
      <c r="DW905" s="1116"/>
      <c r="DX905" s="1116"/>
      <c r="DY905" s="1116"/>
      <c r="DZ905" s="1116"/>
      <c r="EA905" s="1116"/>
      <c r="EB905" s="1116"/>
      <c r="EC905" s="1116"/>
      <c r="ED905" s="1116"/>
      <c r="EE905" s="1116"/>
      <c r="EF905" s="1116"/>
      <c r="EG905" s="1116"/>
      <c r="EH905" s="1116"/>
      <c r="EI905" s="1116"/>
      <c r="EJ905" s="1116"/>
      <c r="EK905" s="1116"/>
      <c r="EL905" s="1116"/>
      <c r="EM905" s="1116"/>
      <c r="EN905" s="1116"/>
      <c r="EO905" s="1116"/>
      <c r="EP905" s="1116"/>
      <c r="EQ905" s="1116"/>
      <c r="ER905" s="1116"/>
      <c r="ES905" s="1116"/>
    </row>
    <row r="906" spans="1:149" ht="15" customHeight="1">
      <c r="A906" s="1185">
        <v>896</v>
      </c>
      <c r="B906" s="1041"/>
      <c r="C906" s="1050"/>
      <c r="D906" s="1050"/>
      <c r="E906" s="1050"/>
      <c r="F906" s="1049"/>
      <c r="G906" s="1049"/>
      <c r="H906" s="1049"/>
      <c r="I906" s="1049"/>
      <c r="J906" s="1050"/>
      <c r="K906" s="1050"/>
      <c r="L906" s="1043"/>
      <c r="M906" s="1051"/>
      <c r="N906" s="1051"/>
      <c r="O906" s="1052"/>
      <c r="P906" s="1051"/>
      <c r="Q906" s="1051"/>
      <c r="R906" s="1052"/>
      <c r="S906" s="1051"/>
      <c r="T906" s="1051"/>
      <c r="U906" s="1052"/>
      <c r="V906" s="1051"/>
      <c r="W906" s="1051"/>
      <c r="X906" s="1052"/>
      <c r="Y906" s="1053"/>
      <c r="Z906" s="1051"/>
      <c r="AA906" s="1051"/>
      <c r="AB906" s="1052"/>
      <c r="AC906" s="1051"/>
      <c r="AD906" s="1051"/>
      <c r="AE906" s="1052"/>
      <c r="AF906" s="1051"/>
      <c r="AG906" s="1051"/>
      <c r="AH906" s="1051"/>
      <c r="AI906" s="1051"/>
      <c r="AJ906" s="1052"/>
      <c r="AK906" s="1051"/>
      <c r="AL906" s="1051"/>
      <c r="AM906" s="1052"/>
      <c r="AN906" s="1051"/>
      <c r="AO906" s="1051"/>
      <c r="AP906" s="1052"/>
      <c r="AQ906" s="1051"/>
      <c r="AR906" s="1051"/>
      <c r="AS906" s="1052"/>
      <c r="AT906" s="1051"/>
      <c r="AU906" s="1051"/>
      <c r="AV906" s="1052"/>
      <c r="AW906" s="1051"/>
      <c r="AX906" s="1051"/>
      <c r="AY906" s="1053"/>
      <c r="AZ906" s="1051"/>
      <c r="BA906" s="1051"/>
      <c r="BB906" s="1053"/>
      <c r="BC906" s="1051"/>
      <c r="BD906" s="1051"/>
      <c r="BE906" s="1053"/>
      <c r="BF906" s="1051"/>
      <c r="BG906" s="1051"/>
      <c r="BH906" s="1053"/>
      <c r="BI906" s="1052"/>
      <c r="BJ906" s="1052"/>
      <c r="BK906" s="1052"/>
      <c r="BL906" s="1052"/>
      <c r="BM906" s="1052"/>
      <c r="BN906" s="1054"/>
      <c r="BO906" s="1076">
        <f t="shared" si="15"/>
        <v>0</v>
      </c>
      <c r="BP906" s="1051"/>
      <c r="BQ906" s="1052"/>
      <c r="BR906" s="1054"/>
      <c r="BS906" s="1053"/>
      <c r="BT906" s="1051"/>
      <c r="BU906" s="1051"/>
      <c r="BV906" s="1051"/>
      <c r="BW906" s="1052"/>
      <c r="BX906" s="1052"/>
      <c r="BY906" s="1052"/>
      <c r="BZ906" s="1052"/>
      <c r="CA906" s="1052"/>
      <c r="CB906" s="1053"/>
      <c r="CC906" s="1053"/>
      <c r="CD906" s="1053"/>
      <c r="CE906" s="1053"/>
      <c r="CF906" s="1053"/>
      <c r="CG906" s="1053"/>
      <c r="CH906" s="1053"/>
      <c r="CI906" s="1123"/>
      <c r="CJ906" s="1123"/>
      <c r="CK906" s="1123"/>
      <c r="CL906" s="1123"/>
      <c r="CM906" s="1123"/>
      <c r="CN906" s="1123"/>
      <c r="CO906" s="1123"/>
      <c r="CP906" s="1123"/>
      <c r="CQ906" s="1123"/>
      <c r="CR906" s="1123"/>
      <c r="CS906" s="1123"/>
      <c r="CT906" s="1123"/>
      <c r="CU906" s="1123"/>
      <c r="CV906" s="1123"/>
      <c r="CW906" s="1123"/>
      <c r="CX906" s="1123"/>
      <c r="CY906" s="1123"/>
      <c r="CZ906" s="1114"/>
      <c r="DA906" s="1114"/>
      <c r="DB906" s="1114"/>
      <c r="DC906" s="1114"/>
      <c r="DD906" s="1114"/>
      <c r="DE906" s="1114"/>
      <c r="DF906" s="1114"/>
      <c r="DG906" s="1114"/>
      <c r="DH906" s="1114"/>
      <c r="DI906" s="1114"/>
      <c r="DJ906" s="1114"/>
      <c r="DK906" s="1114"/>
      <c r="DL906" s="1114"/>
      <c r="DM906" s="1114"/>
      <c r="DN906" s="1114"/>
      <c r="DO906" s="1114"/>
      <c r="DP906" s="1114"/>
      <c r="DQ906" s="1114"/>
      <c r="DR906" s="1114"/>
      <c r="DS906" s="1114"/>
      <c r="DT906" s="1114"/>
      <c r="DU906" s="1114"/>
      <c r="DV906" s="1115"/>
      <c r="DW906" s="1116"/>
      <c r="DX906" s="1116"/>
      <c r="DY906" s="1116"/>
      <c r="DZ906" s="1116"/>
      <c r="EA906" s="1116"/>
      <c r="EB906" s="1116"/>
      <c r="EC906" s="1116"/>
      <c r="ED906" s="1116"/>
      <c r="EE906" s="1116"/>
      <c r="EF906" s="1116"/>
      <c r="EG906" s="1116"/>
      <c r="EH906" s="1116"/>
      <c r="EI906" s="1116"/>
      <c r="EJ906" s="1116"/>
      <c r="EK906" s="1116"/>
      <c r="EL906" s="1116"/>
      <c r="EM906" s="1116"/>
      <c r="EN906" s="1116"/>
      <c r="EO906" s="1116"/>
      <c r="EP906" s="1116"/>
      <c r="EQ906" s="1116"/>
      <c r="ER906" s="1116"/>
      <c r="ES906" s="1116"/>
    </row>
    <row r="907" spans="1:149" ht="15" customHeight="1">
      <c r="A907" s="1185">
        <v>897</v>
      </c>
      <c r="B907" s="1041"/>
      <c r="C907" s="1050"/>
      <c r="D907" s="1050"/>
      <c r="E907" s="1050"/>
      <c r="F907" s="1049"/>
      <c r="G907" s="1049"/>
      <c r="H907" s="1049"/>
      <c r="I907" s="1049"/>
      <c r="J907" s="1050"/>
      <c r="K907" s="1050"/>
      <c r="L907" s="1043"/>
      <c r="M907" s="1051"/>
      <c r="N907" s="1051"/>
      <c r="O907" s="1052"/>
      <c r="P907" s="1051"/>
      <c r="Q907" s="1051"/>
      <c r="R907" s="1052"/>
      <c r="S907" s="1051"/>
      <c r="T907" s="1051"/>
      <c r="U907" s="1052"/>
      <c r="V907" s="1051"/>
      <c r="W907" s="1051"/>
      <c r="X907" s="1052"/>
      <c r="Y907" s="1053"/>
      <c r="Z907" s="1051"/>
      <c r="AA907" s="1051"/>
      <c r="AB907" s="1052"/>
      <c r="AC907" s="1051"/>
      <c r="AD907" s="1051"/>
      <c r="AE907" s="1052"/>
      <c r="AF907" s="1051"/>
      <c r="AG907" s="1051"/>
      <c r="AH907" s="1051"/>
      <c r="AI907" s="1051"/>
      <c r="AJ907" s="1052"/>
      <c r="AK907" s="1051"/>
      <c r="AL907" s="1051"/>
      <c r="AM907" s="1052"/>
      <c r="AN907" s="1051"/>
      <c r="AO907" s="1051"/>
      <c r="AP907" s="1052"/>
      <c r="AQ907" s="1051"/>
      <c r="AR907" s="1051"/>
      <c r="AS907" s="1052"/>
      <c r="AT907" s="1051"/>
      <c r="AU907" s="1051"/>
      <c r="AV907" s="1052"/>
      <c r="AW907" s="1051"/>
      <c r="AX907" s="1051"/>
      <c r="AY907" s="1053"/>
      <c r="AZ907" s="1051"/>
      <c r="BA907" s="1051"/>
      <c r="BB907" s="1053"/>
      <c r="BC907" s="1051"/>
      <c r="BD907" s="1051"/>
      <c r="BE907" s="1053"/>
      <c r="BF907" s="1051"/>
      <c r="BG907" s="1051"/>
      <c r="BH907" s="1053"/>
      <c r="BI907" s="1052"/>
      <c r="BJ907" s="1052"/>
      <c r="BK907" s="1052"/>
      <c r="BL907" s="1052"/>
      <c r="BM907" s="1052"/>
      <c r="BN907" s="1054"/>
      <c r="BO907" s="1076">
        <f t="shared" si="15"/>
        <v>0</v>
      </c>
      <c r="BP907" s="1051"/>
      <c r="BQ907" s="1052"/>
      <c r="BR907" s="1054"/>
      <c r="BS907" s="1053"/>
      <c r="BT907" s="1051"/>
      <c r="BU907" s="1051"/>
      <c r="BV907" s="1051"/>
      <c r="BW907" s="1052"/>
      <c r="BX907" s="1052"/>
      <c r="BY907" s="1052"/>
      <c r="BZ907" s="1052"/>
      <c r="CA907" s="1052"/>
      <c r="CB907" s="1053"/>
      <c r="CC907" s="1053"/>
      <c r="CD907" s="1053"/>
      <c r="CE907" s="1053"/>
      <c r="CF907" s="1053"/>
      <c r="CG907" s="1053"/>
      <c r="CH907" s="1053"/>
      <c r="CI907" s="1123"/>
      <c r="CJ907" s="1123"/>
      <c r="CK907" s="1123"/>
      <c r="CL907" s="1123"/>
      <c r="CM907" s="1123"/>
      <c r="CN907" s="1123"/>
      <c r="CO907" s="1123"/>
      <c r="CP907" s="1123"/>
      <c r="CQ907" s="1123"/>
      <c r="CR907" s="1123"/>
      <c r="CS907" s="1123"/>
      <c r="CT907" s="1123"/>
      <c r="CU907" s="1123"/>
      <c r="CV907" s="1123"/>
      <c r="CW907" s="1123"/>
      <c r="CX907" s="1123"/>
      <c r="CY907" s="1123"/>
      <c r="CZ907" s="1114"/>
      <c r="DA907" s="1114"/>
      <c r="DB907" s="1114"/>
      <c r="DC907" s="1114"/>
      <c r="DD907" s="1114"/>
      <c r="DE907" s="1114"/>
      <c r="DF907" s="1114"/>
      <c r="DG907" s="1114"/>
      <c r="DH907" s="1114"/>
      <c r="DI907" s="1114"/>
      <c r="DJ907" s="1114"/>
      <c r="DK907" s="1114"/>
      <c r="DL907" s="1114"/>
      <c r="DM907" s="1114"/>
      <c r="DN907" s="1114"/>
      <c r="DO907" s="1114"/>
      <c r="DP907" s="1114"/>
      <c r="DQ907" s="1114"/>
      <c r="DR907" s="1114"/>
      <c r="DS907" s="1114"/>
      <c r="DT907" s="1114"/>
      <c r="DU907" s="1114"/>
      <c r="DV907" s="1115"/>
      <c r="DW907" s="1116"/>
      <c r="DX907" s="1116"/>
      <c r="DY907" s="1116"/>
      <c r="DZ907" s="1116"/>
      <c r="EA907" s="1116"/>
      <c r="EB907" s="1116"/>
      <c r="EC907" s="1116"/>
      <c r="ED907" s="1116"/>
      <c r="EE907" s="1116"/>
      <c r="EF907" s="1116"/>
      <c r="EG907" s="1116"/>
      <c r="EH907" s="1116"/>
      <c r="EI907" s="1116"/>
      <c r="EJ907" s="1116"/>
      <c r="EK907" s="1116"/>
      <c r="EL907" s="1116"/>
      <c r="EM907" s="1116"/>
      <c r="EN907" s="1116"/>
      <c r="EO907" s="1116"/>
      <c r="EP907" s="1116"/>
      <c r="EQ907" s="1116"/>
      <c r="ER907" s="1116"/>
      <c r="ES907" s="1116"/>
    </row>
    <row r="908" spans="1:149" ht="15" customHeight="1">
      <c r="A908" s="1185">
        <v>898</v>
      </c>
      <c r="B908" s="1041"/>
      <c r="C908" s="1050"/>
      <c r="D908" s="1050"/>
      <c r="E908" s="1050"/>
      <c r="F908" s="1049"/>
      <c r="G908" s="1049"/>
      <c r="H908" s="1049"/>
      <c r="I908" s="1049"/>
      <c r="J908" s="1050"/>
      <c r="K908" s="1050"/>
      <c r="L908" s="1043"/>
      <c r="M908" s="1051"/>
      <c r="N908" s="1051"/>
      <c r="O908" s="1052"/>
      <c r="P908" s="1051"/>
      <c r="Q908" s="1051"/>
      <c r="R908" s="1052"/>
      <c r="S908" s="1051"/>
      <c r="T908" s="1051"/>
      <c r="U908" s="1052"/>
      <c r="V908" s="1051"/>
      <c r="W908" s="1051"/>
      <c r="X908" s="1052"/>
      <c r="Y908" s="1053"/>
      <c r="Z908" s="1051"/>
      <c r="AA908" s="1051"/>
      <c r="AB908" s="1052"/>
      <c r="AC908" s="1051"/>
      <c r="AD908" s="1051"/>
      <c r="AE908" s="1052"/>
      <c r="AF908" s="1051"/>
      <c r="AG908" s="1051"/>
      <c r="AH908" s="1051"/>
      <c r="AI908" s="1051"/>
      <c r="AJ908" s="1052"/>
      <c r="AK908" s="1051"/>
      <c r="AL908" s="1051"/>
      <c r="AM908" s="1052"/>
      <c r="AN908" s="1051"/>
      <c r="AO908" s="1051"/>
      <c r="AP908" s="1052"/>
      <c r="AQ908" s="1051"/>
      <c r="AR908" s="1051"/>
      <c r="AS908" s="1052"/>
      <c r="AT908" s="1051"/>
      <c r="AU908" s="1051"/>
      <c r="AV908" s="1052"/>
      <c r="AW908" s="1051"/>
      <c r="AX908" s="1051"/>
      <c r="AY908" s="1053"/>
      <c r="AZ908" s="1051"/>
      <c r="BA908" s="1051"/>
      <c r="BB908" s="1053"/>
      <c r="BC908" s="1051"/>
      <c r="BD908" s="1051"/>
      <c r="BE908" s="1053"/>
      <c r="BF908" s="1051"/>
      <c r="BG908" s="1051"/>
      <c r="BH908" s="1053"/>
      <c r="BI908" s="1052"/>
      <c r="BJ908" s="1052"/>
      <c r="BK908" s="1052"/>
      <c r="BL908" s="1052"/>
      <c r="BM908" s="1052"/>
      <c r="BN908" s="1054"/>
      <c r="BO908" s="1076">
        <f t="shared" si="15"/>
        <v>0</v>
      </c>
      <c r="BP908" s="1051"/>
      <c r="BQ908" s="1052"/>
      <c r="BR908" s="1054"/>
      <c r="BS908" s="1053"/>
      <c r="BT908" s="1051"/>
      <c r="BU908" s="1051"/>
      <c r="BV908" s="1051"/>
      <c r="BW908" s="1052"/>
      <c r="BX908" s="1052"/>
      <c r="BY908" s="1052"/>
      <c r="BZ908" s="1052"/>
      <c r="CA908" s="1052"/>
      <c r="CB908" s="1053"/>
      <c r="CC908" s="1053"/>
      <c r="CD908" s="1053"/>
      <c r="CE908" s="1053"/>
      <c r="CF908" s="1053"/>
      <c r="CG908" s="1053"/>
      <c r="CH908" s="1053"/>
      <c r="CI908" s="1123"/>
      <c r="CJ908" s="1123"/>
      <c r="CK908" s="1123"/>
      <c r="CL908" s="1123"/>
      <c r="CM908" s="1123"/>
      <c r="CN908" s="1123"/>
      <c r="CO908" s="1123"/>
      <c r="CP908" s="1123"/>
      <c r="CQ908" s="1123"/>
      <c r="CR908" s="1123"/>
      <c r="CS908" s="1123"/>
      <c r="CT908" s="1123"/>
      <c r="CU908" s="1123"/>
      <c r="CV908" s="1123"/>
      <c r="CW908" s="1123"/>
      <c r="CX908" s="1123"/>
      <c r="CY908" s="1123"/>
      <c r="CZ908" s="1114"/>
      <c r="DA908" s="1114"/>
      <c r="DB908" s="1114"/>
      <c r="DC908" s="1114"/>
      <c r="DD908" s="1114"/>
      <c r="DE908" s="1114"/>
      <c r="DF908" s="1114"/>
      <c r="DG908" s="1114"/>
      <c r="DH908" s="1114"/>
      <c r="DI908" s="1114"/>
      <c r="DJ908" s="1114"/>
      <c r="DK908" s="1114"/>
      <c r="DL908" s="1114"/>
      <c r="DM908" s="1114"/>
      <c r="DN908" s="1114"/>
      <c r="DO908" s="1114"/>
      <c r="DP908" s="1114"/>
      <c r="DQ908" s="1114"/>
      <c r="DR908" s="1114"/>
      <c r="DS908" s="1114"/>
      <c r="DT908" s="1114"/>
      <c r="DU908" s="1114"/>
      <c r="DV908" s="1115"/>
      <c r="DW908" s="1116"/>
      <c r="DX908" s="1116"/>
      <c r="DY908" s="1116"/>
      <c r="DZ908" s="1116"/>
      <c r="EA908" s="1116"/>
      <c r="EB908" s="1116"/>
      <c r="EC908" s="1116"/>
      <c r="ED908" s="1116"/>
      <c r="EE908" s="1116"/>
      <c r="EF908" s="1116"/>
      <c r="EG908" s="1116"/>
      <c r="EH908" s="1116"/>
      <c r="EI908" s="1116"/>
      <c r="EJ908" s="1116"/>
      <c r="EK908" s="1116"/>
      <c r="EL908" s="1116"/>
      <c r="EM908" s="1116"/>
      <c r="EN908" s="1116"/>
      <c r="EO908" s="1116"/>
      <c r="EP908" s="1116"/>
      <c r="EQ908" s="1116"/>
      <c r="ER908" s="1116"/>
      <c r="ES908" s="1116"/>
    </row>
    <row r="909" spans="1:149" ht="15" customHeight="1">
      <c r="A909" s="1185">
        <v>899</v>
      </c>
      <c r="B909" s="1041"/>
      <c r="C909" s="1050"/>
      <c r="D909" s="1050"/>
      <c r="E909" s="1050"/>
      <c r="F909" s="1049"/>
      <c r="G909" s="1049"/>
      <c r="H909" s="1049"/>
      <c r="I909" s="1049"/>
      <c r="J909" s="1050"/>
      <c r="K909" s="1050"/>
      <c r="L909" s="1043"/>
      <c r="M909" s="1051"/>
      <c r="N909" s="1051"/>
      <c r="O909" s="1052"/>
      <c r="P909" s="1051"/>
      <c r="Q909" s="1051"/>
      <c r="R909" s="1052"/>
      <c r="S909" s="1051"/>
      <c r="T909" s="1051"/>
      <c r="U909" s="1052"/>
      <c r="V909" s="1051"/>
      <c r="W909" s="1051"/>
      <c r="X909" s="1052"/>
      <c r="Y909" s="1053"/>
      <c r="Z909" s="1051"/>
      <c r="AA909" s="1051"/>
      <c r="AB909" s="1052"/>
      <c r="AC909" s="1051"/>
      <c r="AD909" s="1051"/>
      <c r="AE909" s="1052"/>
      <c r="AF909" s="1051"/>
      <c r="AG909" s="1051"/>
      <c r="AH909" s="1051"/>
      <c r="AI909" s="1051"/>
      <c r="AJ909" s="1052"/>
      <c r="AK909" s="1051"/>
      <c r="AL909" s="1051"/>
      <c r="AM909" s="1052"/>
      <c r="AN909" s="1051"/>
      <c r="AO909" s="1051"/>
      <c r="AP909" s="1052"/>
      <c r="AQ909" s="1051"/>
      <c r="AR909" s="1051"/>
      <c r="AS909" s="1052"/>
      <c r="AT909" s="1051"/>
      <c r="AU909" s="1051"/>
      <c r="AV909" s="1052"/>
      <c r="AW909" s="1051"/>
      <c r="AX909" s="1051"/>
      <c r="AY909" s="1053"/>
      <c r="AZ909" s="1051"/>
      <c r="BA909" s="1051"/>
      <c r="BB909" s="1053"/>
      <c r="BC909" s="1051"/>
      <c r="BD909" s="1051"/>
      <c r="BE909" s="1053"/>
      <c r="BF909" s="1051"/>
      <c r="BG909" s="1051"/>
      <c r="BH909" s="1053"/>
      <c r="BI909" s="1052"/>
      <c r="BJ909" s="1052"/>
      <c r="BK909" s="1052"/>
      <c r="BL909" s="1052"/>
      <c r="BM909" s="1052"/>
      <c r="BN909" s="1054"/>
      <c r="BO909" s="1076">
        <f t="shared" si="15"/>
        <v>0</v>
      </c>
      <c r="BP909" s="1051"/>
      <c r="BQ909" s="1052"/>
      <c r="BR909" s="1054"/>
      <c r="BS909" s="1053"/>
      <c r="BT909" s="1051"/>
      <c r="BU909" s="1051"/>
      <c r="BV909" s="1051"/>
      <c r="BW909" s="1052"/>
      <c r="BX909" s="1052"/>
      <c r="BY909" s="1052"/>
      <c r="BZ909" s="1052"/>
      <c r="CA909" s="1052"/>
      <c r="CB909" s="1053"/>
      <c r="CC909" s="1053"/>
      <c r="CD909" s="1053"/>
      <c r="CE909" s="1053"/>
      <c r="CF909" s="1053"/>
      <c r="CG909" s="1053"/>
      <c r="CH909" s="1053"/>
      <c r="CI909" s="1123"/>
      <c r="CJ909" s="1123"/>
      <c r="CK909" s="1123"/>
      <c r="CL909" s="1123"/>
      <c r="CM909" s="1123"/>
      <c r="CN909" s="1123"/>
      <c r="CO909" s="1123"/>
      <c r="CP909" s="1123"/>
      <c r="CQ909" s="1123"/>
      <c r="CR909" s="1123"/>
      <c r="CS909" s="1123"/>
      <c r="CT909" s="1123"/>
      <c r="CU909" s="1123"/>
      <c r="CV909" s="1123"/>
      <c r="CW909" s="1123"/>
      <c r="CX909" s="1123"/>
      <c r="CY909" s="1123"/>
      <c r="CZ909" s="1114"/>
      <c r="DA909" s="1114"/>
      <c r="DB909" s="1114"/>
      <c r="DC909" s="1114"/>
      <c r="DD909" s="1114"/>
      <c r="DE909" s="1114"/>
      <c r="DF909" s="1114"/>
      <c r="DG909" s="1114"/>
      <c r="DH909" s="1114"/>
      <c r="DI909" s="1114"/>
      <c r="DJ909" s="1114"/>
      <c r="DK909" s="1114"/>
      <c r="DL909" s="1114"/>
      <c r="DM909" s="1114"/>
      <c r="DN909" s="1114"/>
      <c r="DO909" s="1114"/>
      <c r="DP909" s="1114"/>
      <c r="DQ909" s="1114"/>
      <c r="DR909" s="1114"/>
      <c r="DS909" s="1114"/>
      <c r="DT909" s="1114"/>
      <c r="DU909" s="1114"/>
      <c r="DV909" s="1115"/>
      <c r="DW909" s="1116"/>
      <c r="DX909" s="1116"/>
      <c r="DY909" s="1116"/>
      <c r="DZ909" s="1116"/>
      <c r="EA909" s="1116"/>
      <c r="EB909" s="1116"/>
      <c r="EC909" s="1116"/>
      <c r="ED909" s="1116"/>
      <c r="EE909" s="1116"/>
      <c r="EF909" s="1116"/>
      <c r="EG909" s="1116"/>
      <c r="EH909" s="1116"/>
      <c r="EI909" s="1116"/>
      <c r="EJ909" s="1116"/>
      <c r="EK909" s="1116"/>
      <c r="EL909" s="1116"/>
      <c r="EM909" s="1116"/>
      <c r="EN909" s="1116"/>
      <c r="EO909" s="1116"/>
      <c r="EP909" s="1116"/>
      <c r="EQ909" s="1116"/>
      <c r="ER909" s="1116"/>
      <c r="ES909" s="1116"/>
    </row>
    <row r="910" spans="1:149" ht="15" customHeight="1">
      <c r="A910" s="1185">
        <v>900</v>
      </c>
      <c r="B910" s="1041"/>
      <c r="C910" s="1050"/>
      <c r="D910" s="1050"/>
      <c r="E910" s="1050"/>
      <c r="F910" s="1049"/>
      <c r="G910" s="1049"/>
      <c r="H910" s="1049"/>
      <c r="I910" s="1049"/>
      <c r="J910" s="1050"/>
      <c r="K910" s="1050"/>
      <c r="L910" s="1043"/>
      <c r="M910" s="1051"/>
      <c r="N910" s="1051"/>
      <c r="O910" s="1052"/>
      <c r="P910" s="1051"/>
      <c r="Q910" s="1051"/>
      <c r="R910" s="1052"/>
      <c r="S910" s="1051"/>
      <c r="T910" s="1051"/>
      <c r="U910" s="1052"/>
      <c r="V910" s="1051"/>
      <c r="W910" s="1051"/>
      <c r="X910" s="1052"/>
      <c r="Y910" s="1053"/>
      <c r="Z910" s="1051"/>
      <c r="AA910" s="1051"/>
      <c r="AB910" s="1052"/>
      <c r="AC910" s="1051"/>
      <c r="AD910" s="1051"/>
      <c r="AE910" s="1052"/>
      <c r="AF910" s="1051"/>
      <c r="AG910" s="1051"/>
      <c r="AH910" s="1051"/>
      <c r="AI910" s="1051"/>
      <c r="AJ910" s="1052"/>
      <c r="AK910" s="1051"/>
      <c r="AL910" s="1051"/>
      <c r="AM910" s="1052"/>
      <c r="AN910" s="1051"/>
      <c r="AO910" s="1051"/>
      <c r="AP910" s="1052"/>
      <c r="AQ910" s="1051"/>
      <c r="AR910" s="1051"/>
      <c r="AS910" s="1052"/>
      <c r="AT910" s="1051"/>
      <c r="AU910" s="1051"/>
      <c r="AV910" s="1052"/>
      <c r="AW910" s="1051"/>
      <c r="AX910" s="1051"/>
      <c r="AY910" s="1053"/>
      <c r="AZ910" s="1051"/>
      <c r="BA910" s="1051"/>
      <c r="BB910" s="1053"/>
      <c r="BC910" s="1051"/>
      <c r="BD910" s="1051"/>
      <c r="BE910" s="1053"/>
      <c r="BF910" s="1051"/>
      <c r="BG910" s="1051"/>
      <c r="BH910" s="1053"/>
      <c r="BI910" s="1052"/>
      <c r="BJ910" s="1052"/>
      <c r="BK910" s="1052"/>
      <c r="BL910" s="1052"/>
      <c r="BM910" s="1052"/>
      <c r="BN910" s="1054"/>
      <c r="BO910" s="1076">
        <f t="shared" si="15"/>
        <v>0</v>
      </c>
      <c r="BP910" s="1051"/>
      <c r="BQ910" s="1052"/>
      <c r="BR910" s="1054"/>
      <c r="BS910" s="1053"/>
      <c r="BT910" s="1051"/>
      <c r="BU910" s="1051"/>
      <c r="BV910" s="1051"/>
      <c r="BW910" s="1052"/>
      <c r="BX910" s="1052"/>
      <c r="BY910" s="1052"/>
      <c r="BZ910" s="1052"/>
      <c r="CA910" s="1052"/>
      <c r="CB910" s="1053"/>
      <c r="CC910" s="1053"/>
      <c r="CD910" s="1053"/>
      <c r="CE910" s="1053"/>
      <c r="CF910" s="1053"/>
      <c r="CG910" s="1053"/>
      <c r="CH910" s="1053"/>
      <c r="CI910" s="1123"/>
      <c r="CJ910" s="1123"/>
      <c r="CK910" s="1123"/>
      <c r="CL910" s="1123"/>
      <c r="CM910" s="1123"/>
      <c r="CN910" s="1123"/>
      <c r="CO910" s="1123"/>
      <c r="CP910" s="1123"/>
      <c r="CQ910" s="1123"/>
      <c r="CR910" s="1123"/>
      <c r="CS910" s="1123"/>
      <c r="CT910" s="1123"/>
      <c r="CU910" s="1123"/>
      <c r="CV910" s="1123"/>
      <c r="CW910" s="1123"/>
      <c r="CX910" s="1123"/>
      <c r="CY910" s="1123"/>
      <c r="CZ910" s="1114"/>
      <c r="DA910" s="1114"/>
      <c r="DB910" s="1114"/>
      <c r="DC910" s="1114"/>
      <c r="DD910" s="1114"/>
      <c r="DE910" s="1114"/>
      <c r="DF910" s="1114"/>
      <c r="DG910" s="1114"/>
      <c r="DH910" s="1114"/>
      <c r="DI910" s="1114"/>
      <c r="DJ910" s="1114"/>
      <c r="DK910" s="1114"/>
      <c r="DL910" s="1114"/>
      <c r="DM910" s="1114"/>
      <c r="DN910" s="1114"/>
      <c r="DO910" s="1114"/>
      <c r="DP910" s="1114"/>
      <c r="DQ910" s="1114"/>
      <c r="DR910" s="1114"/>
      <c r="DS910" s="1114"/>
      <c r="DT910" s="1114"/>
      <c r="DU910" s="1114"/>
      <c r="DV910" s="1115"/>
      <c r="DW910" s="1116"/>
      <c r="DX910" s="1116"/>
      <c r="DY910" s="1116"/>
      <c r="DZ910" s="1116"/>
      <c r="EA910" s="1116"/>
      <c r="EB910" s="1116"/>
      <c r="EC910" s="1116"/>
      <c r="ED910" s="1116"/>
      <c r="EE910" s="1116"/>
      <c r="EF910" s="1116"/>
      <c r="EG910" s="1116"/>
      <c r="EH910" s="1116"/>
      <c r="EI910" s="1116"/>
      <c r="EJ910" s="1116"/>
      <c r="EK910" s="1116"/>
      <c r="EL910" s="1116"/>
      <c r="EM910" s="1116"/>
      <c r="EN910" s="1116"/>
      <c r="EO910" s="1116"/>
      <c r="EP910" s="1116"/>
      <c r="EQ910" s="1116"/>
      <c r="ER910" s="1116"/>
      <c r="ES910" s="1116"/>
    </row>
    <row r="911" spans="1:149" ht="15" customHeight="1">
      <c r="A911" s="1185">
        <v>901</v>
      </c>
      <c r="B911" s="1041"/>
      <c r="C911" s="1050"/>
      <c r="D911" s="1050"/>
      <c r="E911" s="1050"/>
      <c r="F911" s="1049"/>
      <c r="G911" s="1049"/>
      <c r="H911" s="1049"/>
      <c r="I911" s="1049"/>
      <c r="J911" s="1050"/>
      <c r="K911" s="1050"/>
      <c r="L911" s="1043"/>
      <c r="M911" s="1051"/>
      <c r="N911" s="1051"/>
      <c r="O911" s="1052"/>
      <c r="P911" s="1051"/>
      <c r="Q911" s="1051"/>
      <c r="R911" s="1052"/>
      <c r="S911" s="1051"/>
      <c r="T911" s="1051"/>
      <c r="U911" s="1052"/>
      <c r="V911" s="1051"/>
      <c r="W911" s="1051"/>
      <c r="X911" s="1052"/>
      <c r="Y911" s="1053"/>
      <c r="Z911" s="1051"/>
      <c r="AA911" s="1051"/>
      <c r="AB911" s="1052"/>
      <c r="AC911" s="1051"/>
      <c r="AD911" s="1051"/>
      <c r="AE911" s="1052"/>
      <c r="AF911" s="1051"/>
      <c r="AG911" s="1051"/>
      <c r="AH911" s="1051"/>
      <c r="AI911" s="1051"/>
      <c r="AJ911" s="1052"/>
      <c r="AK911" s="1051"/>
      <c r="AL911" s="1051"/>
      <c r="AM911" s="1052"/>
      <c r="AN911" s="1051"/>
      <c r="AO911" s="1051"/>
      <c r="AP911" s="1052"/>
      <c r="AQ911" s="1051"/>
      <c r="AR911" s="1051"/>
      <c r="AS911" s="1052"/>
      <c r="AT911" s="1051"/>
      <c r="AU911" s="1051"/>
      <c r="AV911" s="1052"/>
      <c r="AW911" s="1051"/>
      <c r="AX911" s="1051"/>
      <c r="AY911" s="1053"/>
      <c r="AZ911" s="1051"/>
      <c r="BA911" s="1051"/>
      <c r="BB911" s="1053"/>
      <c r="BC911" s="1051"/>
      <c r="BD911" s="1051"/>
      <c r="BE911" s="1053"/>
      <c r="BF911" s="1051"/>
      <c r="BG911" s="1051"/>
      <c r="BH911" s="1053"/>
      <c r="BI911" s="1052"/>
      <c r="BJ911" s="1052"/>
      <c r="BK911" s="1052"/>
      <c r="BL911" s="1052"/>
      <c r="BM911" s="1052"/>
      <c r="BN911" s="1054"/>
      <c r="BO911" s="1076">
        <f t="shared" si="15"/>
        <v>0</v>
      </c>
      <c r="BP911" s="1051"/>
      <c r="BQ911" s="1052"/>
      <c r="BR911" s="1054"/>
      <c r="BS911" s="1053"/>
      <c r="BT911" s="1051"/>
      <c r="BU911" s="1051"/>
      <c r="BV911" s="1051"/>
      <c r="BW911" s="1052"/>
      <c r="BX911" s="1052"/>
      <c r="BY911" s="1052"/>
      <c r="BZ911" s="1052"/>
      <c r="CA911" s="1052"/>
      <c r="CB911" s="1053"/>
      <c r="CC911" s="1053"/>
      <c r="CD911" s="1053"/>
      <c r="CE911" s="1053"/>
      <c r="CF911" s="1053"/>
      <c r="CG911" s="1053"/>
      <c r="CH911" s="1053"/>
      <c r="CI911" s="1123"/>
      <c r="CJ911" s="1123"/>
      <c r="CK911" s="1123"/>
      <c r="CL911" s="1123"/>
      <c r="CM911" s="1123"/>
      <c r="CN911" s="1123"/>
      <c r="CO911" s="1123"/>
      <c r="CP911" s="1123"/>
      <c r="CQ911" s="1123"/>
      <c r="CR911" s="1123"/>
      <c r="CS911" s="1123"/>
      <c r="CT911" s="1123"/>
      <c r="CU911" s="1123"/>
      <c r="CV911" s="1123"/>
      <c r="CW911" s="1123"/>
      <c r="CX911" s="1123"/>
      <c r="CY911" s="1123"/>
      <c r="CZ911" s="1114"/>
      <c r="DA911" s="1114"/>
      <c r="DB911" s="1114"/>
      <c r="DC911" s="1114"/>
      <c r="DD911" s="1114"/>
      <c r="DE911" s="1114"/>
      <c r="DF911" s="1114"/>
      <c r="DG911" s="1114"/>
      <c r="DH911" s="1114"/>
      <c r="DI911" s="1114"/>
      <c r="DJ911" s="1114"/>
      <c r="DK911" s="1114"/>
      <c r="DL911" s="1114"/>
      <c r="DM911" s="1114"/>
      <c r="DN911" s="1114"/>
      <c r="DO911" s="1114"/>
      <c r="DP911" s="1114"/>
      <c r="DQ911" s="1114"/>
      <c r="DR911" s="1114"/>
      <c r="DS911" s="1114"/>
      <c r="DT911" s="1114"/>
      <c r="DU911" s="1114"/>
      <c r="DV911" s="1115"/>
      <c r="DW911" s="1116"/>
      <c r="DX911" s="1116"/>
      <c r="DY911" s="1116"/>
      <c r="DZ911" s="1116"/>
      <c r="EA911" s="1116"/>
      <c r="EB911" s="1116"/>
      <c r="EC911" s="1116"/>
      <c r="ED911" s="1116"/>
      <c r="EE911" s="1116"/>
      <c r="EF911" s="1116"/>
      <c r="EG911" s="1116"/>
      <c r="EH911" s="1116"/>
      <c r="EI911" s="1116"/>
      <c r="EJ911" s="1116"/>
      <c r="EK911" s="1116"/>
      <c r="EL911" s="1116"/>
      <c r="EM911" s="1116"/>
      <c r="EN911" s="1116"/>
      <c r="EO911" s="1116"/>
      <c r="EP911" s="1116"/>
      <c r="EQ911" s="1116"/>
      <c r="ER911" s="1116"/>
      <c r="ES911" s="1116"/>
    </row>
    <row r="912" spans="1:149" ht="15" customHeight="1">
      <c r="A912" s="1185">
        <v>902</v>
      </c>
      <c r="B912" s="1041"/>
      <c r="C912" s="1050"/>
      <c r="D912" s="1050"/>
      <c r="E912" s="1050"/>
      <c r="F912" s="1049"/>
      <c r="G912" s="1049"/>
      <c r="H912" s="1049"/>
      <c r="I912" s="1049"/>
      <c r="J912" s="1050"/>
      <c r="K912" s="1050"/>
      <c r="L912" s="1043"/>
      <c r="M912" s="1051"/>
      <c r="N912" s="1051"/>
      <c r="O912" s="1052"/>
      <c r="P912" s="1051"/>
      <c r="Q912" s="1051"/>
      <c r="R912" s="1052"/>
      <c r="S912" s="1051"/>
      <c r="T912" s="1051"/>
      <c r="U912" s="1052"/>
      <c r="V912" s="1051"/>
      <c r="W912" s="1051"/>
      <c r="X912" s="1052"/>
      <c r="Y912" s="1053"/>
      <c r="Z912" s="1051"/>
      <c r="AA912" s="1051"/>
      <c r="AB912" s="1052"/>
      <c r="AC912" s="1051"/>
      <c r="AD912" s="1051"/>
      <c r="AE912" s="1052"/>
      <c r="AF912" s="1051"/>
      <c r="AG912" s="1051"/>
      <c r="AH912" s="1051"/>
      <c r="AI912" s="1051"/>
      <c r="AJ912" s="1052"/>
      <c r="AK912" s="1051"/>
      <c r="AL912" s="1051"/>
      <c r="AM912" s="1052"/>
      <c r="AN912" s="1051"/>
      <c r="AO912" s="1051"/>
      <c r="AP912" s="1052"/>
      <c r="AQ912" s="1051"/>
      <c r="AR912" s="1051"/>
      <c r="AS912" s="1052"/>
      <c r="AT912" s="1051"/>
      <c r="AU912" s="1051"/>
      <c r="AV912" s="1052"/>
      <c r="AW912" s="1051"/>
      <c r="AX912" s="1051"/>
      <c r="AY912" s="1053"/>
      <c r="AZ912" s="1051"/>
      <c r="BA912" s="1051"/>
      <c r="BB912" s="1053"/>
      <c r="BC912" s="1051"/>
      <c r="BD912" s="1051"/>
      <c r="BE912" s="1053"/>
      <c r="BF912" s="1051"/>
      <c r="BG912" s="1051"/>
      <c r="BH912" s="1053"/>
      <c r="BI912" s="1052"/>
      <c r="BJ912" s="1052"/>
      <c r="BK912" s="1052"/>
      <c r="BL912" s="1052"/>
      <c r="BM912" s="1052"/>
      <c r="BN912" s="1054"/>
      <c r="BO912" s="1076">
        <f t="shared" si="15"/>
        <v>0</v>
      </c>
      <c r="BP912" s="1051"/>
      <c r="BQ912" s="1052"/>
      <c r="BR912" s="1054"/>
      <c r="BS912" s="1053"/>
      <c r="BT912" s="1051"/>
      <c r="BU912" s="1051"/>
      <c r="BV912" s="1051"/>
      <c r="BW912" s="1052"/>
      <c r="BX912" s="1052"/>
      <c r="BY912" s="1052"/>
      <c r="BZ912" s="1052"/>
      <c r="CA912" s="1052"/>
      <c r="CB912" s="1053"/>
      <c r="CC912" s="1053"/>
      <c r="CD912" s="1053"/>
      <c r="CE912" s="1053"/>
      <c r="CF912" s="1053"/>
      <c r="CG912" s="1053"/>
      <c r="CH912" s="1053"/>
      <c r="CI912" s="1123"/>
      <c r="CJ912" s="1123"/>
      <c r="CK912" s="1123"/>
      <c r="CL912" s="1123"/>
      <c r="CM912" s="1123"/>
      <c r="CN912" s="1123"/>
      <c r="CO912" s="1123"/>
      <c r="CP912" s="1123"/>
      <c r="CQ912" s="1123"/>
      <c r="CR912" s="1123"/>
      <c r="CS912" s="1123"/>
      <c r="CT912" s="1123"/>
      <c r="CU912" s="1123"/>
      <c r="CV912" s="1123"/>
      <c r="CW912" s="1123"/>
      <c r="CX912" s="1123"/>
      <c r="CY912" s="1123"/>
      <c r="CZ912" s="1114"/>
      <c r="DA912" s="1114"/>
      <c r="DB912" s="1114"/>
      <c r="DC912" s="1114"/>
      <c r="DD912" s="1114"/>
      <c r="DE912" s="1114"/>
      <c r="DF912" s="1114"/>
      <c r="DG912" s="1114"/>
      <c r="DH912" s="1114"/>
      <c r="DI912" s="1114"/>
      <c r="DJ912" s="1114"/>
      <c r="DK912" s="1114"/>
      <c r="DL912" s="1114"/>
      <c r="DM912" s="1114"/>
      <c r="DN912" s="1114"/>
      <c r="DO912" s="1114"/>
      <c r="DP912" s="1114"/>
      <c r="DQ912" s="1114"/>
      <c r="DR912" s="1114"/>
      <c r="DS912" s="1114"/>
      <c r="DT912" s="1114"/>
      <c r="DU912" s="1114"/>
      <c r="DV912" s="1115"/>
      <c r="DW912" s="1116"/>
      <c r="DX912" s="1116"/>
      <c r="DY912" s="1116"/>
      <c r="DZ912" s="1116"/>
      <c r="EA912" s="1116"/>
      <c r="EB912" s="1116"/>
      <c r="EC912" s="1116"/>
      <c r="ED912" s="1116"/>
      <c r="EE912" s="1116"/>
      <c r="EF912" s="1116"/>
      <c r="EG912" s="1116"/>
      <c r="EH912" s="1116"/>
      <c r="EI912" s="1116"/>
      <c r="EJ912" s="1116"/>
      <c r="EK912" s="1116"/>
      <c r="EL912" s="1116"/>
      <c r="EM912" s="1116"/>
      <c r="EN912" s="1116"/>
      <c r="EO912" s="1116"/>
      <c r="EP912" s="1116"/>
      <c r="EQ912" s="1116"/>
      <c r="ER912" s="1116"/>
      <c r="ES912" s="1116"/>
    </row>
    <row r="913" spans="1:149" ht="15" customHeight="1">
      <c r="A913" s="1185">
        <v>903</v>
      </c>
      <c r="B913" s="1041"/>
      <c r="C913" s="1050"/>
      <c r="D913" s="1050"/>
      <c r="E913" s="1050"/>
      <c r="F913" s="1049"/>
      <c r="G913" s="1049"/>
      <c r="H913" s="1049"/>
      <c r="I913" s="1049"/>
      <c r="J913" s="1050"/>
      <c r="K913" s="1050"/>
      <c r="L913" s="1043"/>
      <c r="M913" s="1051"/>
      <c r="N913" s="1051"/>
      <c r="O913" s="1052"/>
      <c r="P913" s="1051"/>
      <c r="Q913" s="1051"/>
      <c r="R913" s="1052"/>
      <c r="S913" s="1051"/>
      <c r="T913" s="1051"/>
      <c r="U913" s="1052"/>
      <c r="V913" s="1051"/>
      <c r="W913" s="1051"/>
      <c r="X913" s="1052"/>
      <c r="Y913" s="1053"/>
      <c r="Z913" s="1051"/>
      <c r="AA913" s="1051"/>
      <c r="AB913" s="1052"/>
      <c r="AC913" s="1051"/>
      <c r="AD913" s="1051"/>
      <c r="AE913" s="1052"/>
      <c r="AF913" s="1051"/>
      <c r="AG913" s="1051"/>
      <c r="AH913" s="1051"/>
      <c r="AI913" s="1051"/>
      <c r="AJ913" s="1052"/>
      <c r="AK913" s="1051"/>
      <c r="AL913" s="1051"/>
      <c r="AM913" s="1052"/>
      <c r="AN913" s="1051"/>
      <c r="AO913" s="1051"/>
      <c r="AP913" s="1052"/>
      <c r="AQ913" s="1051"/>
      <c r="AR913" s="1051"/>
      <c r="AS913" s="1052"/>
      <c r="AT913" s="1051"/>
      <c r="AU913" s="1051"/>
      <c r="AV913" s="1052"/>
      <c r="AW913" s="1051"/>
      <c r="AX913" s="1051"/>
      <c r="AY913" s="1053"/>
      <c r="AZ913" s="1051"/>
      <c r="BA913" s="1051"/>
      <c r="BB913" s="1053"/>
      <c r="BC913" s="1051"/>
      <c r="BD913" s="1051"/>
      <c r="BE913" s="1053"/>
      <c r="BF913" s="1051"/>
      <c r="BG913" s="1051"/>
      <c r="BH913" s="1053"/>
      <c r="BI913" s="1052"/>
      <c r="BJ913" s="1052"/>
      <c r="BK913" s="1052"/>
      <c r="BL913" s="1052"/>
      <c r="BM913" s="1052"/>
      <c r="BN913" s="1054"/>
      <c r="BO913" s="1076">
        <f t="shared" si="15"/>
        <v>0</v>
      </c>
      <c r="BP913" s="1051"/>
      <c r="BQ913" s="1052"/>
      <c r="BR913" s="1054"/>
      <c r="BS913" s="1053"/>
      <c r="BT913" s="1051"/>
      <c r="BU913" s="1051"/>
      <c r="BV913" s="1051"/>
      <c r="BW913" s="1052"/>
      <c r="BX913" s="1052"/>
      <c r="BY913" s="1052"/>
      <c r="BZ913" s="1052"/>
      <c r="CA913" s="1052"/>
      <c r="CB913" s="1053"/>
      <c r="CC913" s="1053"/>
      <c r="CD913" s="1053"/>
      <c r="CE913" s="1053"/>
      <c r="CF913" s="1053"/>
      <c r="CG913" s="1053"/>
      <c r="CH913" s="1053"/>
      <c r="CI913" s="1123"/>
      <c r="CJ913" s="1123"/>
      <c r="CK913" s="1123"/>
      <c r="CL913" s="1123"/>
      <c r="CM913" s="1123"/>
      <c r="CN913" s="1123"/>
      <c r="CO913" s="1123"/>
      <c r="CP913" s="1123"/>
      <c r="CQ913" s="1123"/>
      <c r="CR913" s="1123"/>
      <c r="CS913" s="1123"/>
      <c r="CT913" s="1123"/>
      <c r="CU913" s="1123"/>
      <c r="CV913" s="1123"/>
      <c r="CW913" s="1123"/>
      <c r="CX913" s="1123"/>
      <c r="CY913" s="1123"/>
      <c r="CZ913" s="1114"/>
      <c r="DA913" s="1114"/>
      <c r="DB913" s="1114"/>
      <c r="DC913" s="1114"/>
      <c r="DD913" s="1114"/>
      <c r="DE913" s="1114"/>
      <c r="DF913" s="1114"/>
      <c r="DG913" s="1114"/>
      <c r="DH913" s="1114"/>
      <c r="DI913" s="1114"/>
      <c r="DJ913" s="1114"/>
      <c r="DK913" s="1114"/>
      <c r="DL913" s="1114"/>
      <c r="DM913" s="1114"/>
      <c r="DN913" s="1114"/>
      <c r="DO913" s="1114"/>
      <c r="DP913" s="1114"/>
      <c r="DQ913" s="1114"/>
      <c r="DR913" s="1114"/>
      <c r="DS913" s="1114"/>
      <c r="DT913" s="1114"/>
      <c r="DU913" s="1114"/>
      <c r="DV913" s="1115"/>
      <c r="DW913" s="1116"/>
      <c r="DX913" s="1116"/>
      <c r="DY913" s="1116"/>
      <c r="DZ913" s="1116"/>
      <c r="EA913" s="1116"/>
      <c r="EB913" s="1116"/>
      <c r="EC913" s="1116"/>
      <c r="ED913" s="1116"/>
      <c r="EE913" s="1116"/>
      <c r="EF913" s="1116"/>
      <c r="EG913" s="1116"/>
      <c r="EH913" s="1116"/>
      <c r="EI913" s="1116"/>
      <c r="EJ913" s="1116"/>
      <c r="EK913" s="1116"/>
      <c r="EL913" s="1116"/>
      <c r="EM913" s="1116"/>
      <c r="EN913" s="1116"/>
      <c r="EO913" s="1116"/>
      <c r="EP913" s="1116"/>
      <c r="EQ913" s="1116"/>
      <c r="ER913" s="1116"/>
      <c r="ES913" s="1116"/>
    </row>
    <row r="914" spans="1:149" ht="15" customHeight="1">
      <c r="A914" s="1185">
        <v>904</v>
      </c>
      <c r="B914" s="1041"/>
      <c r="C914" s="1050"/>
      <c r="D914" s="1050"/>
      <c r="E914" s="1050"/>
      <c r="F914" s="1049"/>
      <c r="G914" s="1049"/>
      <c r="H914" s="1049"/>
      <c r="I914" s="1049"/>
      <c r="J914" s="1050"/>
      <c r="K914" s="1050"/>
      <c r="L914" s="1043"/>
      <c r="M914" s="1051"/>
      <c r="N914" s="1051"/>
      <c r="O914" s="1052"/>
      <c r="P914" s="1051"/>
      <c r="Q914" s="1051"/>
      <c r="R914" s="1052"/>
      <c r="S914" s="1051"/>
      <c r="T914" s="1051"/>
      <c r="U914" s="1052"/>
      <c r="V914" s="1051"/>
      <c r="W914" s="1051"/>
      <c r="X914" s="1052"/>
      <c r="Y914" s="1053"/>
      <c r="Z914" s="1051"/>
      <c r="AA914" s="1051"/>
      <c r="AB914" s="1052"/>
      <c r="AC914" s="1051"/>
      <c r="AD914" s="1051"/>
      <c r="AE914" s="1052"/>
      <c r="AF914" s="1051"/>
      <c r="AG914" s="1051"/>
      <c r="AH914" s="1051"/>
      <c r="AI914" s="1051"/>
      <c r="AJ914" s="1052"/>
      <c r="AK914" s="1051"/>
      <c r="AL914" s="1051"/>
      <c r="AM914" s="1052"/>
      <c r="AN914" s="1051"/>
      <c r="AO914" s="1051"/>
      <c r="AP914" s="1052"/>
      <c r="AQ914" s="1051"/>
      <c r="AR914" s="1051"/>
      <c r="AS914" s="1052"/>
      <c r="AT914" s="1051"/>
      <c r="AU914" s="1051"/>
      <c r="AV914" s="1052"/>
      <c r="AW914" s="1051"/>
      <c r="AX914" s="1051"/>
      <c r="AY914" s="1053"/>
      <c r="AZ914" s="1051"/>
      <c r="BA914" s="1051"/>
      <c r="BB914" s="1053"/>
      <c r="BC914" s="1051"/>
      <c r="BD914" s="1051"/>
      <c r="BE914" s="1053"/>
      <c r="BF914" s="1051"/>
      <c r="BG914" s="1051"/>
      <c r="BH914" s="1053"/>
      <c r="BI914" s="1052"/>
      <c r="BJ914" s="1052"/>
      <c r="BK914" s="1052"/>
      <c r="BL914" s="1052"/>
      <c r="BM914" s="1052"/>
      <c r="BN914" s="1054"/>
      <c r="BO914" s="1076">
        <f t="shared" si="15"/>
        <v>0</v>
      </c>
      <c r="BP914" s="1051"/>
      <c r="BQ914" s="1052"/>
      <c r="BR914" s="1054"/>
      <c r="BS914" s="1053"/>
      <c r="BT914" s="1051"/>
      <c r="BU914" s="1051"/>
      <c r="BV914" s="1051"/>
      <c r="BW914" s="1052"/>
      <c r="BX914" s="1052"/>
      <c r="BY914" s="1052"/>
      <c r="BZ914" s="1052"/>
      <c r="CA914" s="1052"/>
      <c r="CB914" s="1053"/>
      <c r="CC914" s="1053"/>
      <c r="CD914" s="1053"/>
      <c r="CE914" s="1053"/>
      <c r="CF914" s="1053"/>
      <c r="CG914" s="1053"/>
      <c r="CH914" s="1053"/>
      <c r="CI914" s="1123"/>
      <c r="CJ914" s="1123"/>
      <c r="CK914" s="1123"/>
      <c r="CL914" s="1123"/>
      <c r="CM914" s="1123"/>
      <c r="CN914" s="1123"/>
      <c r="CO914" s="1123"/>
      <c r="CP914" s="1123"/>
      <c r="CQ914" s="1123"/>
      <c r="CR914" s="1123"/>
      <c r="CS914" s="1123"/>
      <c r="CT914" s="1123"/>
      <c r="CU914" s="1123"/>
      <c r="CV914" s="1123"/>
      <c r="CW914" s="1123"/>
      <c r="CX914" s="1123"/>
      <c r="CY914" s="1123"/>
      <c r="CZ914" s="1114"/>
      <c r="DA914" s="1114"/>
      <c r="DB914" s="1114"/>
      <c r="DC914" s="1114"/>
      <c r="DD914" s="1114"/>
      <c r="DE914" s="1114"/>
      <c r="DF914" s="1114"/>
      <c r="DG914" s="1114"/>
      <c r="DH914" s="1114"/>
      <c r="DI914" s="1114"/>
      <c r="DJ914" s="1114"/>
      <c r="DK914" s="1114"/>
      <c r="DL914" s="1114"/>
      <c r="DM914" s="1114"/>
      <c r="DN914" s="1114"/>
      <c r="DO914" s="1114"/>
      <c r="DP914" s="1114"/>
      <c r="DQ914" s="1114"/>
      <c r="DR914" s="1114"/>
      <c r="DS914" s="1114"/>
      <c r="DT914" s="1114"/>
      <c r="DU914" s="1114"/>
      <c r="DV914" s="1115"/>
      <c r="DW914" s="1116"/>
      <c r="DX914" s="1116"/>
      <c r="DY914" s="1116"/>
      <c r="DZ914" s="1116"/>
      <c r="EA914" s="1116"/>
      <c r="EB914" s="1116"/>
      <c r="EC914" s="1116"/>
      <c r="ED914" s="1116"/>
      <c r="EE914" s="1116"/>
      <c r="EF914" s="1116"/>
      <c r="EG914" s="1116"/>
      <c r="EH914" s="1116"/>
      <c r="EI914" s="1116"/>
      <c r="EJ914" s="1116"/>
      <c r="EK914" s="1116"/>
      <c r="EL914" s="1116"/>
      <c r="EM914" s="1116"/>
      <c r="EN914" s="1116"/>
      <c r="EO914" s="1116"/>
      <c r="EP914" s="1116"/>
      <c r="EQ914" s="1116"/>
      <c r="ER914" s="1116"/>
      <c r="ES914" s="1116"/>
    </row>
    <row r="915" spans="1:149" ht="15" customHeight="1">
      <c r="A915" s="1185">
        <v>905</v>
      </c>
      <c r="B915" s="1041"/>
      <c r="C915" s="1050"/>
      <c r="D915" s="1050"/>
      <c r="E915" s="1050"/>
      <c r="F915" s="1049"/>
      <c r="G915" s="1049"/>
      <c r="H915" s="1049"/>
      <c r="I915" s="1049"/>
      <c r="J915" s="1050"/>
      <c r="K915" s="1050"/>
      <c r="L915" s="1043"/>
      <c r="M915" s="1051"/>
      <c r="N915" s="1051"/>
      <c r="O915" s="1052"/>
      <c r="P915" s="1051"/>
      <c r="Q915" s="1051"/>
      <c r="R915" s="1052"/>
      <c r="S915" s="1051"/>
      <c r="T915" s="1051"/>
      <c r="U915" s="1052"/>
      <c r="V915" s="1051"/>
      <c r="W915" s="1051"/>
      <c r="X915" s="1052"/>
      <c r="Y915" s="1053"/>
      <c r="Z915" s="1051"/>
      <c r="AA915" s="1051"/>
      <c r="AB915" s="1052"/>
      <c r="AC915" s="1051"/>
      <c r="AD915" s="1051"/>
      <c r="AE915" s="1052"/>
      <c r="AF915" s="1051"/>
      <c r="AG915" s="1051"/>
      <c r="AH915" s="1051"/>
      <c r="AI915" s="1051"/>
      <c r="AJ915" s="1052"/>
      <c r="AK915" s="1051"/>
      <c r="AL915" s="1051"/>
      <c r="AM915" s="1052"/>
      <c r="AN915" s="1051"/>
      <c r="AO915" s="1051"/>
      <c r="AP915" s="1052"/>
      <c r="AQ915" s="1051"/>
      <c r="AR915" s="1051"/>
      <c r="AS915" s="1052"/>
      <c r="AT915" s="1051"/>
      <c r="AU915" s="1051"/>
      <c r="AV915" s="1052"/>
      <c r="AW915" s="1051"/>
      <c r="AX915" s="1051"/>
      <c r="AY915" s="1053"/>
      <c r="AZ915" s="1051"/>
      <c r="BA915" s="1051"/>
      <c r="BB915" s="1053"/>
      <c r="BC915" s="1051"/>
      <c r="BD915" s="1051"/>
      <c r="BE915" s="1053"/>
      <c r="BF915" s="1051"/>
      <c r="BG915" s="1051"/>
      <c r="BH915" s="1053"/>
      <c r="BI915" s="1052"/>
      <c r="BJ915" s="1052"/>
      <c r="BK915" s="1052"/>
      <c r="BL915" s="1052"/>
      <c r="BM915" s="1052"/>
      <c r="BN915" s="1054"/>
      <c r="BO915" s="1076">
        <f t="shared" si="15"/>
        <v>0</v>
      </c>
      <c r="BP915" s="1051"/>
      <c r="BQ915" s="1052"/>
      <c r="BR915" s="1054"/>
      <c r="BS915" s="1053"/>
      <c r="BT915" s="1051"/>
      <c r="BU915" s="1051"/>
      <c r="BV915" s="1051"/>
      <c r="BW915" s="1052"/>
      <c r="BX915" s="1052"/>
      <c r="BY915" s="1052"/>
      <c r="BZ915" s="1052"/>
      <c r="CA915" s="1052"/>
      <c r="CB915" s="1053"/>
      <c r="CC915" s="1053"/>
      <c r="CD915" s="1053"/>
      <c r="CE915" s="1053"/>
      <c r="CF915" s="1053"/>
      <c r="CG915" s="1053"/>
      <c r="CH915" s="1053"/>
      <c r="CI915" s="1123"/>
      <c r="CJ915" s="1123"/>
      <c r="CK915" s="1123"/>
      <c r="CL915" s="1123"/>
      <c r="CM915" s="1123"/>
      <c r="CN915" s="1123"/>
      <c r="CO915" s="1123"/>
      <c r="CP915" s="1123"/>
      <c r="CQ915" s="1123"/>
      <c r="CR915" s="1123"/>
      <c r="CS915" s="1123"/>
      <c r="CT915" s="1123"/>
      <c r="CU915" s="1123"/>
      <c r="CV915" s="1123"/>
      <c r="CW915" s="1123"/>
      <c r="CX915" s="1123"/>
      <c r="CY915" s="1123"/>
      <c r="CZ915" s="1114"/>
      <c r="DA915" s="1114"/>
      <c r="DB915" s="1114"/>
      <c r="DC915" s="1114"/>
      <c r="DD915" s="1114"/>
      <c r="DE915" s="1114"/>
      <c r="DF915" s="1114"/>
      <c r="DG915" s="1114"/>
      <c r="DH915" s="1114"/>
      <c r="DI915" s="1114"/>
      <c r="DJ915" s="1114"/>
      <c r="DK915" s="1114"/>
      <c r="DL915" s="1114"/>
      <c r="DM915" s="1114"/>
      <c r="DN915" s="1114"/>
      <c r="DO915" s="1114"/>
      <c r="DP915" s="1114"/>
      <c r="DQ915" s="1114"/>
      <c r="DR915" s="1114"/>
      <c r="DS915" s="1114"/>
      <c r="DT915" s="1114"/>
      <c r="DU915" s="1114"/>
      <c r="DV915" s="1115"/>
      <c r="DW915" s="1116"/>
      <c r="DX915" s="1116"/>
      <c r="DY915" s="1116"/>
      <c r="DZ915" s="1116"/>
      <c r="EA915" s="1116"/>
      <c r="EB915" s="1116"/>
      <c r="EC915" s="1116"/>
      <c r="ED915" s="1116"/>
      <c r="EE915" s="1116"/>
      <c r="EF915" s="1116"/>
      <c r="EG915" s="1116"/>
      <c r="EH915" s="1116"/>
      <c r="EI915" s="1116"/>
      <c r="EJ915" s="1116"/>
      <c r="EK915" s="1116"/>
      <c r="EL915" s="1116"/>
      <c r="EM915" s="1116"/>
      <c r="EN915" s="1116"/>
      <c r="EO915" s="1116"/>
      <c r="EP915" s="1116"/>
      <c r="EQ915" s="1116"/>
      <c r="ER915" s="1116"/>
      <c r="ES915" s="1116"/>
    </row>
    <row r="916" spans="1:149" ht="15" customHeight="1">
      <c r="A916" s="1185">
        <v>906</v>
      </c>
      <c r="B916" s="1041"/>
      <c r="C916" s="1050"/>
      <c r="D916" s="1050"/>
      <c r="E916" s="1050"/>
      <c r="F916" s="1049"/>
      <c r="G916" s="1049"/>
      <c r="H916" s="1049"/>
      <c r="I916" s="1049"/>
      <c r="J916" s="1050"/>
      <c r="K916" s="1050"/>
      <c r="L916" s="1043"/>
      <c r="M916" s="1051"/>
      <c r="N916" s="1051"/>
      <c r="O916" s="1052"/>
      <c r="P916" s="1051"/>
      <c r="Q916" s="1051"/>
      <c r="R916" s="1052"/>
      <c r="S916" s="1051"/>
      <c r="T916" s="1051"/>
      <c r="U916" s="1052"/>
      <c r="V916" s="1051"/>
      <c r="W916" s="1051"/>
      <c r="X916" s="1052"/>
      <c r="Y916" s="1053"/>
      <c r="Z916" s="1051"/>
      <c r="AA916" s="1051"/>
      <c r="AB916" s="1052"/>
      <c r="AC916" s="1051"/>
      <c r="AD916" s="1051"/>
      <c r="AE916" s="1052"/>
      <c r="AF916" s="1051"/>
      <c r="AG916" s="1051"/>
      <c r="AH916" s="1051"/>
      <c r="AI916" s="1051"/>
      <c r="AJ916" s="1052"/>
      <c r="AK916" s="1051"/>
      <c r="AL916" s="1051"/>
      <c r="AM916" s="1052"/>
      <c r="AN916" s="1051"/>
      <c r="AO916" s="1051"/>
      <c r="AP916" s="1052"/>
      <c r="AQ916" s="1051"/>
      <c r="AR916" s="1051"/>
      <c r="AS916" s="1052"/>
      <c r="AT916" s="1051"/>
      <c r="AU916" s="1051"/>
      <c r="AV916" s="1052"/>
      <c r="AW916" s="1051"/>
      <c r="AX916" s="1051"/>
      <c r="AY916" s="1053"/>
      <c r="AZ916" s="1051"/>
      <c r="BA916" s="1051"/>
      <c r="BB916" s="1053"/>
      <c r="BC916" s="1051"/>
      <c r="BD916" s="1051"/>
      <c r="BE916" s="1053"/>
      <c r="BF916" s="1051"/>
      <c r="BG916" s="1051"/>
      <c r="BH916" s="1053"/>
      <c r="BI916" s="1052"/>
      <c r="BJ916" s="1052"/>
      <c r="BK916" s="1052"/>
      <c r="BL916" s="1052"/>
      <c r="BM916" s="1052"/>
      <c r="BN916" s="1054"/>
      <c r="BO916" s="1076">
        <f t="shared" si="15"/>
        <v>0</v>
      </c>
      <c r="BP916" s="1051"/>
      <c r="BQ916" s="1052"/>
      <c r="BR916" s="1054"/>
      <c r="BS916" s="1053"/>
      <c r="BT916" s="1051"/>
      <c r="BU916" s="1051"/>
      <c r="BV916" s="1051"/>
      <c r="BW916" s="1052"/>
      <c r="BX916" s="1052"/>
      <c r="BY916" s="1052"/>
      <c r="BZ916" s="1052"/>
      <c r="CA916" s="1052"/>
      <c r="CB916" s="1053"/>
      <c r="CC916" s="1053"/>
      <c r="CD916" s="1053"/>
      <c r="CE916" s="1053"/>
      <c r="CF916" s="1053"/>
      <c r="CG916" s="1053"/>
      <c r="CH916" s="1053"/>
      <c r="CI916" s="1123"/>
      <c r="CJ916" s="1123"/>
      <c r="CK916" s="1123"/>
      <c r="CL916" s="1123"/>
      <c r="CM916" s="1123"/>
      <c r="CN916" s="1123"/>
      <c r="CO916" s="1123"/>
      <c r="CP916" s="1123"/>
      <c r="CQ916" s="1123"/>
      <c r="CR916" s="1123"/>
      <c r="CS916" s="1123"/>
      <c r="CT916" s="1123"/>
      <c r="CU916" s="1123"/>
      <c r="CV916" s="1123"/>
      <c r="CW916" s="1123"/>
      <c r="CX916" s="1123"/>
      <c r="CY916" s="1123"/>
      <c r="CZ916" s="1114"/>
      <c r="DA916" s="1114"/>
      <c r="DB916" s="1114"/>
      <c r="DC916" s="1114"/>
      <c r="DD916" s="1114"/>
      <c r="DE916" s="1114"/>
      <c r="DF916" s="1114"/>
      <c r="DG916" s="1114"/>
      <c r="DH916" s="1114"/>
      <c r="DI916" s="1114"/>
      <c r="DJ916" s="1114"/>
      <c r="DK916" s="1114"/>
      <c r="DL916" s="1114"/>
      <c r="DM916" s="1114"/>
      <c r="DN916" s="1114"/>
      <c r="DO916" s="1114"/>
      <c r="DP916" s="1114"/>
      <c r="DQ916" s="1114"/>
      <c r="DR916" s="1114"/>
      <c r="DS916" s="1114"/>
      <c r="DT916" s="1114"/>
      <c r="DU916" s="1114"/>
      <c r="DV916" s="1115"/>
      <c r="DW916" s="1116"/>
      <c r="DX916" s="1116"/>
      <c r="DY916" s="1116"/>
      <c r="DZ916" s="1116"/>
      <c r="EA916" s="1116"/>
      <c r="EB916" s="1116"/>
      <c r="EC916" s="1116"/>
      <c r="ED916" s="1116"/>
      <c r="EE916" s="1116"/>
      <c r="EF916" s="1116"/>
      <c r="EG916" s="1116"/>
      <c r="EH916" s="1116"/>
      <c r="EI916" s="1116"/>
      <c r="EJ916" s="1116"/>
      <c r="EK916" s="1116"/>
      <c r="EL916" s="1116"/>
      <c r="EM916" s="1116"/>
      <c r="EN916" s="1116"/>
      <c r="EO916" s="1116"/>
      <c r="EP916" s="1116"/>
      <c r="EQ916" s="1116"/>
      <c r="ER916" s="1116"/>
      <c r="ES916" s="1116"/>
    </row>
    <row r="917" spans="1:149" ht="15" customHeight="1">
      <c r="A917" s="1185">
        <v>907</v>
      </c>
      <c r="B917" s="1041"/>
      <c r="C917" s="1050"/>
      <c r="D917" s="1050"/>
      <c r="E917" s="1050"/>
      <c r="F917" s="1049"/>
      <c r="G917" s="1049"/>
      <c r="H917" s="1049"/>
      <c r="I917" s="1049"/>
      <c r="J917" s="1050"/>
      <c r="K917" s="1050"/>
      <c r="L917" s="1043"/>
      <c r="M917" s="1051"/>
      <c r="N917" s="1051"/>
      <c r="O917" s="1052"/>
      <c r="P917" s="1051"/>
      <c r="Q917" s="1051"/>
      <c r="R917" s="1052"/>
      <c r="S917" s="1051"/>
      <c r="T917" s="1051"/>
      <c r="U917" s="1052"/>
      <c r="V917" s="1051"/>
      <c r="W917" s="1051"/>
      <c r="X917" s="1052"/>
      <c r="Y917" s="1053"/>
      <c r="Z917" s="1051"/>
      <c r="AA917" s="1051"/>
      <c r="AB917" s="1052"/>
      <c r="AC917" s="1051"/>
      <c r="AD917" s="1051"/>
      <c r="AE917" s="1052"/>
      <c r="AF917" s="1051"/>
      <c r="AG917" s="1051"/>
      <c r="AH917" s="1051"/>
      <c r="AI917" s="1051"/>
      <c r="AJ917" s="1052"/>
      <c r="AK917" s="1051"/>
      <c r="AL917" s="1051"/>
      <c r="AM917" s="1052"/>
      <c r="AN917" s="1051"/>
      <c r="AO917" s="1051"/>
      <c r="AP917" s="1052"/>
      <c r="AQ917" s="1051"/>
      <c r="AR917" s="1051"/>
      <c r="AS917" s="1052"/>
      <c r="AT917" s="1051"/>
      <c r="AU917" s="1051"/>
      <c r="AV917" s="1052"/>
      <c r="AW917" s="1051"/>
      <c r="AX917" s="1051"/>
      <c r="AY917" s="1053"/>
      <c r="AZ917" s="1051"/>
      <c r="BA917" s="1051"/>
      <c r="BB917" s="1053"/>
      <c r="BC917" s="1051"/>
      <c r="BD917" s="1051"/>
      <c r="BE917" s="1053"/>
      <c r="BF917" s="1051"/>
      <c r="BG917" s="1051"/>
      <c r="BH917" s="1053"/>
      <c r="BI917" s="1052"/>
      <c r="BJ917" s="1052"/>
      <c r="BK917" s="1052"/>
      <c r="BL917" s="1052"/>
      <c r="BM917" s="1052"/>
      <c r="BN917" s="1054"/>
      <c r="BO917" s="1076">
        <f t="shared" si="15"/>
        <v>0</v>
      </c>
      <c r="BP917" s="1051"/>
      <c r="BQ917" s="1052"/>
      <c r="BR917" s="1054"/>
      <c r="BS917" s="1053"/>
      <c r="BT917" s="1051"/>
      <c r="BU917" s="1051"/>
      <c r="BV917" s="1051"/>
      <c r="BW917" s="1052"/>
      <c r="BX917" s="1052"/>
      <c r="BY917" s="1052"/>
      <c r="BZ917" s="1052"/>
      <c r="CA917" s="1052"/>
      <c r="CB917" s="1053"/>
      <c r="CC917" s="1053"/>
      <c r="CD917" s="1053"/>
      <c r="CE917" s="1053"/>
      <c r="CF917" s="1053"/>
      <c r="CG917" s="1053"/>
      <c r="CH917" s="1053"/>
      <c r="CI917" s="1123"/>
      <c r="CJ917" s="1123"/>
      <c r="CK917" s="1123"/>
      <c r="CL917" s="1123"/>
      <c r="CM917" s="1123"/>
      <c r="CN917" s="1123"/>
      <c r="CO917" s="1123"/>
      <c r="CP917" s="1123"/>
      <c r="CQ917" s="1123"/>
      <c r="CR917" s="1123"/>
      <c r="CS917" s="1123"/>
      <c r="CT917" s="1123"/>
      <c r="CU917" s="1123"/>
      <c r="CV917" s="1123"/>
      <c r="CW917" s="1123"/>
      <c r="CX917" s="1123"/>
      <c r="CY917" s="1123"/>
      <c r="CZ917" s="1114"/>
      <c r="DA917" s="1114"/>
      <c r="DB917" s="1114"/>
      <c r="DC917" s="1114"/>
      <c r="DD917" s="1114"/>
      <c r="DE917" s="1114"/>
      <c r="DF917" s="1114"/>
      <c r="DG917" s="1114"/>
      <c r="DH917" s="1114"/>
      <c r="DI917" s="1114"/>
      <c r="DJ917" s="1114"/>
      <c r="DK917" s="1114"/>
      <c r="DL917" s="1114"/>
      <c r="DM917" s="1114"/>
      <c r="DN917" s="1114"/>
      <c r="DO917" s="1114"/>
      <c r="DP917" s="1114"/>
      <c r="DQ917" s="1114"/>
      <c r="DR917" s="1114"/>
      <c r="DS917" s="1114"/>
      <c r="DT917" s="1114"/>
      <c r="DU917" s="1114"/>
      <c r="DV917" s="1115"/>
      <c r="DW917" s="1116"/>
      <c r="DX917" s="1116"/>
      <c r="DY917" s="1116"/>
      <c r="DZ917" s="1116"/>
      <c r="EA917" s="1116"/>
      <c r="EB917" s="1116"/>
      <c r="EC917" s="1116"/>
      <c r="ED917" s="1116"/>
      <c r="EE917" s="1116"/>
      <c r="EF917" s="1116"/>
      <c r="EG917" s="1116"/>
      <c r="EH917" s="1116"/>
      <c r="EI917" s="1116"/>
      <c r="EJ917" s="1116"/>
      <c r="EK917" s="1116"/>
      <c r="EL917" s="1116"/>
      <c r="EM917" s="1116"/>
      <c r="EN917" s="1116"/>
      <c r="EO917" s="1116"/>
      <c r="EP917" s="1116"/>
      <c r="EQ917" s="1116"/>
      <c r="ER917" s="1116"/>
      <c r="ES917" s="1116"/>
    </row>
    <row r="918" spans="1:149" ht="15" customHeight="1">
      <c r="A918" s="1185">
        <v>908</v>
      </c>
      <c r="B918" s="1041"/>
      <c r="C918" s="1050"/>
      <c r="D918" s="1050"/>
      <c r="E918" s="1050"/>
      <c r="F918" s="1049"/>
      <c r="G918" s="1049"/>
      <c r="H918" s="1049"/>
      <c r="I918" s="1049"/>
      <c r="J918" s="1050"/>
      <c r="K918" s="1050"/>
      <c r="L918" s="1043"/>
      <c r="M918" s="1051"/>
      <c r="N918" s="1051"/>
      <c r="O918" s="1052"/>
      <c r="P918" s="1051"/>
      <c r="Q918" s="1051"/>
      <c r="R918" s="1052"/>
      <c r="S918" s="1051"/>
      <c r="T918" s="1051"/>
      <c r="U918" s="1052"/>
      <c r="V918" s="1051"/>
      <c r="W918" s="1051"/>
      <c r="X918" s="1052"/>
      <c r="Y918" s="1053"/>
      <c r="Z918" s="1051"/>
      <c r="AA918" s="1051"/>
      <c r="AB918" s="1052"/>
      <c r="AC918" s="1051"/>
      <c r="AD918" s="1051"/>
      <c r="AE918" s="1052"/>
      <c r="AF918" s="1051"/>
      <c r="AG918" s="1051"/>
      <c r="AH918" s="1051"/>
      <c r="AI918" s="1051"/>
      <c r="AJ918" s="1052"/>
      <c r="AK918" s="1051"/>
      <c r="AL918" s="1051"/>
      <c r="AM918" s="1052"/>
      <c r="AN918" s="1051"/>
      <c r="AO918" s="1051"/>
      <c r="AP918" s="1052"/>
      <c r="AQ918" s="1051"/>
      <c r="AR918" s="1051"/>
      <c r="AS918" s="1052"/>
      <c r="AT918" s="1051"/>
      <c r="AU918" s="1051"/>
      <c r="AV918" s="1052"/>
      <c r="AW918" s="1051"/>
      <c r="AX918" s="1051"/>
      <c r="AY918" s="1053"/>
      <c r="AZ918" s="1051"/>
      <c r="BA918" s="1051"/>
      <c r="BB918" s="1053"/>
      <c r="BC918" s="1051"/>
      <c r="BD918" s="1051"/>
      <c r="BE918" s="1053"/>
      <c r="BF918" s="1051"/>
      <c r="BG918" s="1051"/>
      <c r="BH918" s="1053"/>
      <c r="BI918" s="1052"/>
      <c r="BJ918" s="1052"/>
      <c r="BK918" s="1052"/>
      <c r="BL918" s="1052"/>
      <c r="BM918" s="1052"/>
      <c r="BN918" s="1054"/>
      <c r="BO918" s="1076">
        <f t="shared" si="15"/>
        <v>0</v>
      </c>
      <c r="BP918" s="1051"/>
      <c r="BQ918" s="1052"/>
      <c r="BR918" s="1054"/>
      <c r="BS918" s="1053"/>
      <c r="BT918" s="1051"/>
      <c r="BU918" s="1051"/>
      <c r="BV918" s="1051"/>
      <c r="BW918" s="1052"/>
      <c r="BX918" s="1052"/>
      <c r="BY918" s="1052"/>
      <c r="BZ918" s="1052"/>
      <c r="CA918" s="1052"/>
      <c r="CB918" s="1053"/>
      <c r="CC918" s="1053"/>
      <c r="CD918" s="1053"/>
      <c r="CE918" s="1053"/>
      <c r="CF918" s="1053"/>
      <c r="CG918" s="1053"/>
      <c r="CH918" s="1053"/>
      <c r="CI918" s="1123"/>
      <c r="CJ918" s="1123"/>
      <c r="CK918" s="1123"/>
      <c r="CL918" s="1123"/>
      <c r="CM918" s="1123"/>
      <c r="CN918" s="1123"/>
      <c r="CO918" s="1123"/>
      <c r="CP918" s="1123"/>
      <c r="CQ918" s="1123"/>
      <c r="CR918" s="1123"/>
      <c r="CS918" s="1123"/>
      <c r="CT918" s="1123"/>
      <c r="CU918" s="1123"/>
      <c r="CV918" s="1123"/>
      <c r="CW918" s="1123"/>
      <c r="CX918" s="1123"/>
      <c r="CY918" s="1123"/>
      <c r="CZ918" s="1114"/>
      <c r="DA918" s="1114"/>
      <c r="DB918" s="1114"/>
      <c r="DC918" s="1114"/>
      <c r="DD918" s="1114"/>
      <c r="DE918" s="1114"/>
      <c r="DF918" s="1114"/>
      <c r="DG918" s="1114"/>
      <c r="DH918" s="1114"/>
      <c r="DI918" s="1114"/>
      <c r="DJ918" s="1114"/>
      <c r="DK918" s="1114"/>
      <c r="DL918" s="1114"/>
      <c r="DM918" s="1114"/>
      <c r="DN918" s="1114"/>
      <c r="DO918" s="1114"/>
      <c r="DP918" s="1114"/>
      <c r="DQ918" s="1114"/>
      <c r="DR918" s="1114"/>
      <c r="DS918" s="1114"/>
      <c r="DT918" s="1114"/>
      <c r="DU918" s="1114"/>
      <c r="DV918" s="1115"/>
      <c r="DW918" s="1116"/>
      <c r="DX918" s="1116"/>
      <c r="DY918" s="1116"/>
      <c r="DZ918" s="1116"/>
      <c r="EA918" s="1116"/>
      <c r="EB918" s="1116"/>
      <c r="EC918" s="1116"/>
      <c r="ED918" s="1116"/>
      <c r="EE918" s="1116"/>
      <c r="EF918" s="1116"/>
      <c r="EG918" s="1116"/>
      <c r="EH918" s="1116"/>
      <c r="EI918" s="1116"/>
      <c r="EJ918" s="1116"/>
      <c r="EK918" s="1116"/>
      <c r="EL918" s="1116"/>
      <c r="EM918" s="1116"/>
      <c r="EN918" s="1116"/>
      <c r="EO918" s="1116"/>
      <c r="EP918" s="1116"/>
      <c r="EQ918" s="1116"/>
      <c r="ER918" s="1116"/>
      <c r="ES918" s="1116"/>
    </row>
    <row r="919" spans="1:149" ht="15" customHeight="1">
      <c r="A919" s="1185">
        <v>909</v>
      </c>
      <c r="B919" s="1041"/>
      <c r="C919" s="1050"/>
      <c r="D919" s="1050"/>
      <c r="E919" s="1050"/>
      <c r="F919" s="1049"/>
      <c r="G919" s="1049"/>
      <c r="H919" s="1049"/>
      <c r="I919" s="1049"/>
      <c r="J919" s="1050"/>
      <c r="K919" s="1050"/>
      <c r="L919" s="1043"/>
      <c r="M919" s="1051"/>
      <c r="N919" s="1051"/>
      <c r="O919" s="1052"/>
      <c r="P919" s="1051"/>
      <c r="Q919" s="1051"/>
      <c r="R919" s="1052"/>
      <c r="S919" s="1051"/>
      <c r="T919" s="1051"/>
      <c r="U919" s="1052"/>
      <c r="V919" s="1051"/>
      <c r="W919" s="1051"/>
      <c r="X919" s="1052"/>
      <c r="Y919" s="1053"/>
      <c r="Z919" s="1051"/>
      <c r="AA919" s="1051"/>
      <c r="AB919" s="1052"/>
      <c r="AC919" s="1051"/>
      <c r="AD919" s="1051"/>
      <c r="AE919" s="1052"/>
      <c r="AF919" s="1051"/>
      <c r="AG919" s="1051"/>
      <c r="AH919" s="1051"/>
      <c r="AI919" s="1051"/>
      <c r="AJ919" s="1052"/>
      <c r="AK919" s="1051"/>
      <c r="AL919" s="1051"/>
      <c r="AM919" s="1052"/>
      <c r="AN919" s="1051"/>
      <c r="AO919" s="1051"/>
      <c r="AP919" s="1052"/>
      <c r="AQ919" s="1051"/>
      <c r="AR919" s="1051"/>
      <c r="AS919" s="1052"/>
      <c r="AT919" s="1051"/>
      <c r="AU919" s="1051"/>
      <c r="AV919" s="1052"/>
      <c r="AW919" s="1051"/>
      <c r="AX919" s="1051"/>
      <c r="AY919" s="1053"/>
      <c r="AZ919" s="1051"/>
      <c r="BA919" s="1051"/>
      <c r="BB919" s="1053"/>
      <c r="BC919" s="1051"/>
      <c r="BD919" s="1051"/>
      <c r="BE919" s="1053"/>
      <c r="BF919" s="1051"/>
      <c r="BG919" s="1051"/>
      <c r="BH919" s="1053"/>
      <c r="BI919" s="1052"/>
      <c r="BJ919" s="1052"/>
      <c r="BK919" s="1052"/>
      <c r="BL919" s="1052"/>
      <c r="BM919" s="1052"/>
      <c r="BN919" s="1054"/>
      <c r="BO919" s="1076">
        <f t="shared" si="15"/>
        <v>0</v>
      </c>
      <c r="BP919" s="1051"/>
      <c r="BQ919" s="1052"/>
      <c r="BR919" s="1054"/>
      <c r="BS919" s="1053"/>
      <c r="BT919" s="1051"/>
      <c r="BU919" s="1051"/>
      <c r="BV919" s="1051"/>
      <c r="BW919" s="1052"/>
      <c r="BX919" s="1052"/>
      <c r="BY919" s="1052"/>
      <c r="BZ919" s="1052"/>
      <c r="CA919" s="1052"/>
      <c r="CB919" s="1053"/>
      <c r="CC919" s="1053"/>
      <c r="CD919" s="1053"/>
      <c r="CE919" s="1053"/>
      <c r="CF919" s="1053"/>
      <c r="CG919" s="1053"/>
      <c r="CH919" s="1053"/>
      <c r="CI919" s="1123"/>
      <c r="CJ919" s="1123"/>
      <c r="CK919" s="1123"/>
      <c r="CL919" s="1123"/>
      <c r="CM919" s="1123"/>
      <c r="CN919" s="1123"/>
      <c r="CO919" s="1123"/>
      <c r="CP919" s="1123"/>
      <c r="CQ919" s="1123"/>
      <c r="CR919" s="1123"/>
      <c r="CS919" s="1123"/>
      <c r="CT919" s="1123"/>
      <c r="CU919" s="1123"/>
      <c r="CV919" s="1123"/>
      <c r="CW919" s="1123"/>
      <c r="CX919" s="1123"/>
      <c r="CY919" s="1123"/>
      <c r="CZ919" s="1114"/>
      <c r="DA919" s="1114"/>
      <c r="DB919" s="1114"/>
      <c r="DC919" s="1114"/>
      <c r="DD919" s="1114"/>
      <c r="DE919" s="1114"/>
      <c r="DF919" s="1114"/>
      <c r="DG919" s="1114"/>
      <c r="DH919" s="1114"/>
      <c r="DI919" s="1114"/>
      <c r="DJ919" s="1114"/>
      <c r="DK919" s="1114"/>
      <c r="DL919" s="1114"/>
      <c r="DM919" s="1114"/>
      <c r="DN919" s="1114"/>
      <c r="DO919" s="1114"/>
      <c r="DP919" s="1114"/>
      <c r="DQ919" s="1114"/>
      <c r="DR919" s="1114"/>
      <c r="DS919" s="1114"/>
      <c r="DT919" s="1114"/>
      <c r="DU919" s="1114"/>
      <c r="DV919" s="1115"/>
      <c r="DW919" s="1116"/>
      <c r="DX919" s="1116"/>
      <c r="DY919" s="1116"/>
      <c r="DZ919" s="1116"/>
      <c r="EA919" s="1116"/>
      <c r="EB919" s="1116"/>
      <c r="EC919" s="1116"/>
      <c r="ED919" s="1116"/>
      <c r="EE919" s="1116"/>
      <c r="EF919" s="1116"/>
      <c r="EG919" s="1116"/>
      <c r="EH919" s="1116"/>
      <c r="EI919" s="1116"/>
      <c r="EJ919" s="1116"/>
      <c r="EK919" s="1116"/>
      <c r="EL919" s="1116"/>
      <c r="EM919" s="1116"/>
      <c r="EN919" s="1116"/>
      <c r="EO919" s="1116"/>
      <c r="EP919" s="1116"/>
      <c r="EQ919" s="1116"/>
      <c r="ER919" s="1116"/>
      <c r="ES919" s="1116"/>
    </row>
    <row r="920" spans="1:149" ht="15" customHeight="1">
      <c r="A920" s="1185">
        <v>910</v>
      </c>
      <c r="B920" s="1041"/>
      <c r="C920" s="1050"/>
      <c r="D920" s="1050"/>
      <c r="E920" s="1050"/>
      <c r="F920" s="1049"/>
      <c r="G920" s="1049"/>
      <c r="H920" s="1049"/>
      <c r="I920" s="1049"/>
      <c r="J920" s="1050"/>
      <c r="K920" s="1050"/>
      <c r="L920" s="1043"/>
      <c r="M920" s="1051"/>
      <c r="N920" s="1051"/>
      <c r="O920" s="1052"/>
      <c r="P920" s="1051"/>
      <c r="Q920" s="1051"/>
      <c r="R920" s="1052"/>
      <c r="S920" s="1051"/>
      <c r="T920" s="1051"/>
      <c r="U920" s="1052"/>
      <c r="V920" s="1051"/>
      <c r="W920" s="1051"/>
      <c r="X920" s="1052"/>
      <c r="Y920" s="1053"/>
      <c r="Z920" s="1051"/>
      <c r="AA920" s="1051"/>
      <c r="AB920" s="1052"/>
      <c r="AC920" s="1051"/>
      <c r="AD920" s="1051"/>
      <c r="AE920" s="1052"/>
      <c r="AF920" s="1051"/>
      <c r="AG920" s="1051"/>
      <c r="AH920" s="1051"/>
      <c r="AI920" s="1051"/>
      <c r="AJ920" s="1052"/>
      <c r="AK920" s="1051"/>
      <c r="AL920" s="1051"/>
      <c r="AM920" s="1052"/>
      <c r="AN920" s="1051"/>
      <c r="AO920" s="1051"/>
      <c r="AP920" s="1052"/>
      <c r="AQ920" s="1051"/>
      <c r="AR920" s="1051"/>
      <c r="AS920" s="1052"/>
      <c r="AT920" s="1051"/>
      <c r="AU920" s="1051"/>
      <c r="AV920" s="1052"/>
      <c r="AW920" s="1051"/>
      <c r="AX920" s="1051"/>
      <c r="AY920" s="1053"/>
      <c r="AZ920" s="1051"/>
      <c r="BA920" s="1051"/>
      <c r="BB920" s="1053"/>
      <c r="BC920" s="1051"/>
      <c r="BD920" s="1051"/>
      <c r="BE920" s="1053"/>
      <c r="BF920" s="1051"/>
      <c r="BG920" s="1051"/>
      <c r="BH920" s="1053"/>
      <c r="BI920" s="1052"/>
      <c r="BJ920" s="1052"/>
      <c r="BK920" s="1052"/>
      <c r="BL920" s="1052"/>
      <c r="BM920" s="1052"/>
      <c r="BN920" s="1054"/>
      <c r="BO920" s="1076">
        <f t="shared" si="15"/>
        <v>0</v>
      </c>
      <c r="BP920" s="1051"/>
      <c r="BQ920" s="1052"/>
      <c r="BR920" s="1054"/>
      <c r="BS920" s="1053"/>
      <c r="BT920" s="1051"/>
      <c r="BU920" s="1051"/>
      <c r="BV920" s="1051"/>
      <c r="BW920" s="1052"/>
      <c r="BX920" s="1052"/>
      <c r="BY920" s="1052"/>
      <c r="BZ920" s="1052"/>
      <c r="CA920" s="1052"/>
      <c r="CB920" s="1053"/>
      <c r="CC920" s="1053"/>
      <c r="CD920" s="1053"/>
      <c r="CE920" s="1053"/>
      <c r="CF920" s="1053"/>
      <c r="CG920" s="1053"/>
      <c r="CH920" s="1053"/>
      <c r="CI920" s="1123"/>
      <c r="CJ920" s="1123"/>
      <c r="CK920" s="1123"/>
      <c r="CL920" s="1123"/>
      <c r="CM920" s="1123"/>
      <c r="CN920" s="1123"/>
      <c r="CO920" s="1123"/>
      <c r="CP920" s="1123"/>
      <c r="CQ920" s="1123"/>
      <c r="CR920" s="1123"/>
      <c r="CS920" s="1123"/>
      <c r="CT920" s="1123"/>
      <c r="CU920" s="1123"/>
      <c r="CV920" s="1123"/>
      <c r="CW920" s="1123"/>
      <c r="CX920" s="1123"/>
      <c r="CY920" s="1123"/>
      <c r="CZ920" s="1114"/>
      <c r="DA920" s="1114"/>
      <c r="DB920" s="1114"/>
      <c r="DC920" s="1114"/>
      <c r="DD920" s="1114"/>
      <c r="DE920" s="1114"/>
      <c r="DF920" s="1114"/>
      <c r="DG920" s="1114"/>
      <c r="DH920" s="1114"/>
      <c r="DI920" s="1114"/>
      <c r="DJ920" s="1114"/>
      <c r="DK920" s="1114"/>
      <c r="DL920" s="1114"/>
      <c r="DM920" s="1114"/>
      <c r="DN920" s="1114"/>
      <c r="DO920" s="1114"/>
      <c r="DP920" s="1114"/>
      <c r="DQ920" s="1114"/>
      <c r="DR920" s="1114"/>
      <c r="DS920" s="1114"/>
      <c r="DT920" s="1114"/>
      <c r="DU920" s="1114"/>
      <c r="DV920" s="1115"/>
      <c r="DW920" s="1116"/>
      <c r="DX920" s="1116"/>
      <c r="DY920" s="1116"/>
      <c r="DZ920" s="1116"/>
      <c r="EA920" s="1116"/>
      <c r="EB920" s="1116"/>
      <c r="EC920" s="1116"/>
      <c r="ED920" s="1116"/>
      <c r="EE920" s="1116"/>
      <c r="EF920" s="1116"/>
      <c r="EG920" s="1116"/>
      <c r="EH920" s="1116"/>
      <c r="EI920" s="1116"/>
      <c r="EJ920" s="1116"/>
      <c r="EK920" s="1116"/>
      <c r="EL920" s="1116"/>
      <c r="EM920" s="1116"/>
      <c r="EN920" s="1116"/>
      <c r="EO920" s="1116"/>
      <c r="EP920" s="1116"/>
      <c r="EQ920" s="1116"/>
      <c r="ER920" s="1116"/>
      <c r="ES920" s="1116"/>
    </row>
    <row r="921" spans="1:149" ht="15" customHeight="1">
      <c r="A921" s="1185">
        <v>911</v>
      </c>
      <c r="B921" s="1041"/>
      <c r="C921" s="1050"/>
      <c r="D921" s="1050"/>
      <c r="E921" s="1050"/>
      <c r="F921" s="1049"/>
      <c r="G921" s="1049"/>
      <c r="H921" s="1049"/>
      <c r="I921" s="1049"/>
      <c r="J921" s="1050"/>
      <c r="K921" s="1050"/>
      <c r="L921" s="1043"/>
      <c r="M921" s="1051"/>
      <c r="N921" s="1051"/>
      <c r="O921" s="1052"/>
      <c r="P921" s="1051"/>
      <c r="Q921" s="1051"/>
      <c r="R921" s="1052"/>
      <c r="S921" s="1051"/>
      <c r="T921" s="1051"/>
      <c r="U921" s="1052"/>
      <c r="V921" s="1051"/>
      <c r="W921" s="1051"/>
      <c r="X921" s="1052"/>
      <c r="Y921" s="1053"/>
      <c r="Z921" s="1051"/>
      <c r="AA921" s="1051"/>
      <c r="AB921" s="1052"/>
      <c r="AC921" s="1051"/>
      <c r="AD921" s="1051"/>
      <c r="AE921" s="1052"/>
      <c r="AF921" s="1051"/>
      <c r="AG921" s="1051"/>
      <c r="AH921" s="1051"/>
      <c r="AI921" s="1051"/>
      <c r="AJ921" s="1052"/>
      <c r="AK921" s="1051"/>
      <c r="AL921" s="1051"/>
      <c r="AM921" s="1052"/>
      <c r="AN921" s="1051"/>
      <c r="AO921" s="1051"/>
      <c r="AP921" s="1052"/>
      <c r="AQ921" s="1051"/>
      <c r="AR921" s="1051"/>
      <c r="AS921" s="1052"/>
      <c r="AT921" s="1051"/>
      <c r="AU921" s="1051"/>
      <c r="AV921" s="1052"/>
      <c r="AW921" s="1051"/>
      <c r="AX921" s="1051"/>
      <c r="AY921" s="1053"/>
      <c r="AZ921" s="1051"/>
      <c r="BA921" s="1051"/>
      <c r="BB921" s="1053"/>
      <c r="BC921" s="1051"/>
      <c r="BD921" s="1051"/>
      <c r="BE921" s="1053"/>
      <c r="BF921" s="1051"/>
      <c r="BG921" s="1051"/>
      <c r="BH921" s="1053"/>
      <c r="BI921" s="1052"/>
      <c r="BJ921" s="1052"/>
      <c r="BK921" s="1052"/>
      <c r="BL921" s="1052"/>
      <c r="BM921" s="1052"/>
      <c r="BN921" s="1054"/>
      <c r="BO921" s="1076">
        <f t="shared" si="15"/>
        <v>0</v>
      </c>
      <c r="BP921" s="1051"/>
      <c r="BQ921" s="1052"/>
      <c r="BR921" s="1054"/>
      <c r="BS921" s="1053"/>
      <c r="BT921" s="1051"/>
      <c r="BU921" s="1051"/>
      <c r="BV921" s="1051"/>
      <c r="BW921" s="1052"/>
      <c r="BX921" s="1052"/>
      <c r="BY921" s="1052"/>
      <c r="BZ921" s="1052"/>
      <c r="CA921" s="1052"/>
      <c r="CB921" s="1053"/>
      <c r="CC921" s="1053"/>
      <c r="CD921" s="1053"/>
      <c r="CE921" s="1053"/>
      <c r="CF921" s="1053"/>
      <c r="CG921" s="1053"/>
      <c r="CH921" s="1053"/>
      <c r="CI921" s="1123"/>
      <c r="CJ921" s="1123"/>
      <c r="CK921" s="1123"/>
      <c r="CL921" s="1123"/>
      <c r="CM921" s="1123"/>
      <c r="CN921" s="1123"/>
      <c r="CO921" s="1123"/>
      <c r="CP921" s="1123"/>
      <c r="CQ921" s="1123"/>
      <c r="CR921" s="1123"/>
      <c r="CS921" s="1123"/>
      <c r="CT921" s="1123"/>
      <c r="CU921" s="1123"/>
      <c r="CV921" s="1123"/>
      <c r="CW921" s="1123"/>
      <c r="CX921" s="1123"/>
      <c r="CY921" s="1123"/>
      <c r="CZ921" s="1114"/>
      <c r="DA921" s="1114"/>
      <c r="DB921" s="1114"/>
      <c r="DC921" s="1114"/>
      <c r="DD921" s="1114"/>
      <c r="DE921" s="1114"/>
      <c r="DF921" s="1114"/>
      <c r="DG921" s="1114"/>
      <c r="DH921" s="1114"/>
      <c r="DI921" s="1114"/>
      <c r="DJ921" s="1114"/>
      <c r="DK921" s="1114"/>
      <c r="DL921" s="1114"/>
      <c r="DM921" s="1114"/>
      <c r="DN921" s="1114"/>
      <c r="DO921" s="1114"/>
      <c r="DP921" s="1114"/>
      <c r="DQ921" s="1114"/>
      <c r="DR921" s="1114"/>
      <c r="DS921" s="1114"/>
      <c r="DT921" s="1114"/>
      <c r="DU921" s="1114"/>
      <c r="DV921" s="1115"/>
      <c r="DW921" s="1116"/>
      <c r="DX921" s="1116"/>
      <c r="DY921" s="1116"/>
      <c r="DZ921" s="1116"/>
      <c r="EA921" s="1116"/>
      <c r="EB921" s="1116"/>
      <c r="EC921" s="1116"/>
      <c r="ED921" s="1116"/>
      <c r="EE921" s="1116"/>
      <c r="EF921" s="1116"/>
      <c r="EG921" s="1116"/>
      <c r="EH921" s="1116"/>
      <c r="EI921" s="1116"/>
      <c r="EJ921" s="1116"/>
      <c r="EK921" s="1116"/>
      <c r="EL921" s="1116"/>
      <c r="EM921" s="1116"/>
      <c r="EN921" s="1116"/>
      <c r="EO921" s="1116"/>
      <c r="EP921" s="1116"/>
      <c r="EQ921" s="1116"/>
      <c r="ER921" s="1116"/>
      <c r="ES921" s="1116"/>
    </row>
    <row r="922" spans="1:149" ht="15" customHeight="1">
      <c r="A922" s="1185">
        <v>912</v>
      </c>
      <c r="B922" s="1041"/>
      <c r="C922" s="1050"/>
      <c r="D922" s="1050"/>
      <c r="E922" s="1050"/>
      <c r="F922" s="1049"/>
      <c r="G922" s="1049"/>
      <c r="H922" s="1049"/>
      <c r="I922" s="1049"/>
      <c r="J922" s="1050"/>
      <c r="K922" s="1050"/>
      <c r="L922" s="1043"/>
      <c r="M922" s="1051"/>
      <c r="N922" s="1051"/>
      <c r="O922" s="1052"/>
      <c r="P922" s="1051"/>
      <c r="Q922" s="1051"/>
      <c r="R922" s="1052"/>
      <c r="S922" s="1051"/>
      <c r="T922" s="1051"/>
      <c r="U922" s="1052"/>
      <c r="V922" s="1051"/>
      <c r="W922" s="1051"/>
      <c r="X922" s="1052"/>
      <c r="Y922" s="1053"/>
      <c r="Z922" s="1051"/>
      <c r="AA922" s="1051"/>
      <c r="AB922" s="1052"/>
      <c r="AC922" s="1051"/>
      <c r="AD922" s="1051"/>
      <c r="AE922" s="1052"/>
      <c r="AF922" s="1051"/>
      <c r="AG922" s="1051"/>
      <c r="AH922" s="1051"/>
      <c r="AI922" s="1051"/>
      <c r="AJ922" s="1052"/>
      <c r="AK922" s="1051"/>
      <c r="AL922" s="1051"/>
      <c r="AM922" s="1052"/>
      <c r="AN922" s="1051"/>
      <c r="AO922" s="1051"/>
      <c r="AP922" s="1052"/>
      <c r="AQ922" s="1051"/>
      <c r="AR922" s="1051"/>
      <c r="AS922" s="1052"/>
      <c r="AT922" s="1051"/>
      <c r="AU922" s="1051"/>
      <c r="AV922" s="1052"/>
      <c r="AW922" s="1051"/>
      <c r="AX922" s="1051"/>
      <c r="AY922" s="1053"/>
      <c r="AZ922" s="1051"/>
      <c r="BA922" s="1051"/>
      <c r="BB922" s="1053"/>
      <c r="BC922" s="1051"/>
      <c r="BD922" s="1051"/>
      <c r="BE922" s="1053"/>
      <c r="BF922" s="1051"/>
      <c r="BG922" s="1051"/>
      <c r="BH922" s="1053"/>
      <c r="BI922" s="1052"/>
      <c r="BJ922" s="1052"/>
      <c r="BK922" s="1052"/>
      <c r="BL922" s="1052"/>
      <c r="BM922" s="1052"/>
      <c r="BN922" s="1054"/>
      <c r="BO922" s="1076">
        <f t="shared" si="15"/>
        <v>0</v>
      </c>
      <c r="BP922" s="1051"/>
      <c r="BQ922" s="1052"/>
      <c r="BR922" s="1054"/>
      <c r="BS922" s="1053"/>
      <c r="BT922" s="1051"/>
      <c r="BU922" s="1051"/>
      <c r="BV922" s="1051"/>
      <c r="BW922" s="1052"/>
      <c r="BX922" s="1052"/>
      <c r="BY922" s="1052"/>
      <c r="BZ922" s="1052"/>
      <c r="CA922" s="1052"/>
      <c r="CB922" s="1053"/>
      <c r="CC922" s="1053"/>
      <c r="CD922" s="1053"/>
      <c r="CE922" s="1053"/>
      <c r="CF922" s="1053"/>
      <c r="CG922" s="1053"/>
      <c r="CH922" s="1053"/>
      <c r="CI922" s="1123"/>
      <c r="CJ922" s="1123"/>
      <c r="CK922" s="1123"/>
      <c r="CL922" s="1123"/>
      <c r="CM922" s="1123"/>
      <c r="CN922" s="1123"/>
      <c r="CO922" s="1123"/>
      <c r="CP922" s="1123"/>
      <c r="CQ922" s="1123"/>
      <c r="CR922" s="1123"/>
      <c r="CS922" s="1123"/>
      <c r="CT922" s="1123"/>
      <c r="CU922" s="1123"/>
      <c r="CV922" s="1123"/>
      <c r="CW922" s="1123"/>
      <c r="CX922" s="1123"/>
      <c r="CY922" s="1123"/>
      <c r="CZ922" s="1114"/>
      <c r="DA922" s="1114"/>
      <c r="DB922" s="1114"/>
      <c r="DC922" s="1114"/>
      <c r="DD922" s="1114"/>
      <c r="DE922" s="1114"/>
      <c r="DF922" s="1114"/>
      <c r="DG922" s="1114"/>
      <c r="DH922" s="1114"/>
      <c r="DI922" s="1114"/>
      <c r="DJ922" s="1114"/>
      <c r="DK922" s="1114"/>
      <c r="DL922" s="1114"/>
      <c r="DM922" s="1114"/>
      <c r="DN922" s="1114"/>
      <c r="DO922" s="1114"/>
      <c r="DP922" s="1114"/>
      <c r="DQ922" s="1114"/>
      <c r="DR922" s="1114"/>
      <c r="DS922" s="1114"/>
      <c r="DT922" s="1114"/>
      <c r="DU922" s="1114"/>
      <c r="DV922" s="1115"/>
      <c r="DW922" s="1116"/>
      <c r="DX922" s="1116"/>
      <c r="DY922" s="1116"/>
      <c r="DZ922" s="1116"/>
      <c r="EA922" s="1116"/>
      <c r="EB922" s="1116"/>
      <c r="EC922" s="1116"/>
      <c r="ED922" s="1116"/>
      <c r="EE922" s="1116"/>
      <c r="EF922" s="1116"/>
      <c r="EG922" s="1116"/>
      <c r="EH922" s="1116"/>
      <c r="EI922" s="1116"/>
      <c r="EJ922" s="1116"/>
      <c r="EK922" s="1116"/>
      <c r="EL922" s="1116"/>
      <c r="EM922" s="1116"/>
      <c r="EN922" s="1116"/>
      <c r="EO922" s="1116"/>
      <c r="EP922" s="1116"/>
      <c r="EQ922" s="1116"/>
      <c r="ER922" s="1116"/>
      <c r="ES922" s="1116"/>
    </row>
    <row r="923" spans="1:149" ht="15" customHeight="1">
      <c r="A923" s="1185">
        <v>913</v>
      </c>
      <c r="B923" s="1041"/>
      <c r="C923" s="1050"/>
      <c r="D923" s="1050"/>
      <c r="E923" s="1050"/>
      <c r="F923" s="1049"/>
      <c r="G923" s="1049"/>
      <c r="H923" s="1049"/>
      <c r="I923" s="1049"/>
      <c r="J923" s="1050"/>
      <c r="K923" s="1050"/>
      <c r="L923" s="1043"/>
      <c r="M923" s="1051"/>
      <c r="N923" s="1051"/>
      <c r="O923" s="1052"/>
      <c r="P923" s="1051"/>
      <c r="Q923" s="1051"/>
      <c r="R923" s="1052"/>
      <c r="S923" s="1051"/>
      <c r="T923" s="1051"/>
      <c r="U923" s="1052"/>
      <c r="V923" s="1051"/>
      <c r="W923" s="1051"/>
      <c r="X923" s="1052"/>
      <c r="Y923" s="1053"/>
      <c r="Z923" s="1051"/>
      <c r="AA923" s="1051"/>
      <c r="AB923" s="1052"/>
      <c r="AC923" s="1051"/>
      <c r="AD923" s="1051"/>
      <c r="AE923" s="1052"/>
      <c r="AF923" s="1051"/>
      <c r="AG923" s="1051"/>
      <c r="AH923" s="1051"/>
      <c r="AI923" s="1051"/>
      <c r="AJ923" s="1052"/>
      <c r="AK923" s="1051"/>
      <c r="AL923" s="1051"/>
      <c r="AM923" s="1052"/>
      <c r="AN923" s="1051"/>
      <c r="AO923" s="1051"/>
      <c r="AP923" s="1052"/>
      <c r="AQ923" s="1051"/>
      <c r="AR923" s="1051"/>
      <c r="AS923" s="1052"/>
      <c r="AT923" s="1051"/>
      <c r="AU923" s="1051"/>
      <c r="AV923" s="1052"/>
      <c r="AW923" s="1051"/>
      <c r="AX923" s="1051"/>
      <c r="AY923" s="1053"/>
      <c r="AZ923" s="1051"/>
      <c r="BA923" s="1051"/>
      <c r="BB923" s="1053"/>
      <c r="BC923" s="1051"/>
      <c r="BD923" s="1051"/>
      <c r="BE923" s="1053"/>
      <c r="BF923" s="1051"/>
      <c r="BG923" s="1051"/>
      <c r="BH923" s="1053"/>
      <c r="BI923" s="1052"/>
      <c r="BJ923" s="1052"/>
      <c r="BK923" s="1052"/>
      <c r="BL923" s="1052"/>
      <c r="BM923" s="1052"/>
      <c r="BN923" s="1054"/>
      <c r="BO923" s="1076">
        <f t="shared" si="15"/>
        <v>0</v>
      </c>
      <c r="BP923" s="1051"/>
      <c r="BQ923" s="1052"/>
      <c r="BR923" s="1054"/>
      <c r="BS923" s="1053"/>
      <c r="BT923" s="1051"/>
      <c r="BU923" s="1051"/>
      <c r="BV923" s="1051"/>
      <c r="BW923" s="1052"/>
      <c r="BX923" s="1052"/>
      <c r="BY923" s="1052"/>
      <c r="BZ923" s="1052"/>
      <c r="CA923" s="1052"/>
      <c r="CB923" s="1053"/>
      <c r="CC923" s="1053"/>
      <c r="CD923" s="1053"/>
      <c r="CE923" s="1053"/>
      <c r="CF923" s="1053"/>
      <c r="CG923" s="1053"/>
      <c r="CH923" s="1053"/>
      <c r="CI923" s="1123"/>
      <c r="CJ923" s="1123"/>
      <c r="CK923" s="1123"/>
      <c r="CL923" s="1123"/>
      <c r="CM923" s="1123"/>
      <c r="CN923" s="1123"/>
      <c r="CO923" s="1123"/>
      <c r="CP923" s="1123"/>
      <c r="CQ923" s="1123"/>
      <c r="CR923" s="1123"/>
      <c r="CS923" s="1123"/>
      <c r="CT923" s="1123"/>
      <c r="CU923" s="1123"/>
      <c r="CV923" s="1123"/>
      <c r="CW923" s="1123"/>
      <c r="CX923" s="1123"/>
      <c r="CY923" s="1123"/>
      <c r="CZ923" s="1114"/>
      <c r="DA923" s="1114"/>
      <c r="DB923" s="1114"/>
      <c r="DC923" s="1114"/>
      <c r="DD923" s="1114"/>
      <c r="DE923" s="1114"/>
      <c r="DF923" s="1114"/>
      <c r="DG923" s="1114"/>
      <c r="DH923" s="1114"/>
      <c r="DI923" s="1114"/>
      <c r="DJ923" s="1114"/>
      <c r="DK923" s="1114"/>
      <c r="DL923" s="1114"/>
      <c r="DM923" s="1114"/>
      <c r="DN923" s="1114"/>
      <c r="DO923" s="1114"/>
      <c r="DP923" s="1114"/>
      <c r="DQ923" s="1114"/>
      <c r="DR923" s="1114"/>
      <c r="DS923" s="1114"/>
      <c r="DT923" s="1114"/>
      <c r="DU923" s="1114"/>
      <c r="DV923" s="1115"/>
      <c r="DW923" s="1116"/>
      <c r="DX923" s="1116"/>
      <c r="DY923" s="1116"/>
      <c r="DZ923" s="1116"/>
      <c r="EA923" s="1116"/>
      <c r="EB923" s="1116"/>
      <c r="EC923" s="1116"/>
      <c r="ED923" s="1116"/>
      <c r="EE923" s="1116"/>
      <c r="EF923" s="1116"/>
      <c r="EG923" s="1116"/>
      <c r="EH923" s="1116"/>
      <c r="EI923" s="1116"/>
      <c r="EJ923" s="1116"/>
      <c r="EK923" s="1116"/>
      <c r="EL923" s="1116"/>
      <c r="EM923" s="1116"/>
      <c r="EN923" s="1116"/>
      <c r="EO923" s="1116"/>
      <c r="EP923" s="1116"/>
      <c r="EQ923" s="1116"/>
      <c r="ER923" s="1116"/>
      <c r="ES923" s="1116"/>
    </row>
    <row r="924" spans="1:149" ht="15" customHeight="1">
      <c r="A924" s="1185">
        <v>914</v>
      </c>
      <c r="B924" s="1041"/>
      <c r="C924" s="1050"/>
      <c r="D924" s="1050"/>
      <c r="E924" s="1050"/>
      <c r="F924" s="1049"/>
      <c r="G924" s="1049"/>
      <c r="H924" s="1049"/>
      <c r="I924" s="1049"/>
      <c r="J924" s="1050"/>
      <c r="K924" s="1050"/>
      <c r="L924" s="1043"/>
      <c r="M924" s="1051"/>
      <c r="N924" s="1051"/>
      <c r="O924" s="1052"/>
      <c r="P924" s="1051"/>
      <c r="Q924" s="1051"/>
      <c r="R924" s="1052"/>
      <c r="S924" s="1051"/>
      <c r="T924" s="1051"/>
      <c r="U924" s="1052"/>
      <c r="V924" s="1051"/>
      <c r="W924" s="1051"/>
      <c r="X924" s="1052"/>
      <c r="Y924" s="1053"/>
      <c r="Z924" s="1051"/>
      <c r="AA924" s="1051"/>
      <c r="AB924" s="1052"/>
      <c r="AC924" s="1051"/>
      <c r="AD924" s="1051"/>
      <c r="AE924" s="1052"/>
      <c r="AF924" s="1051"/>
      <c r="AG924" s="1051"/>
      <c r="AH924" s="1051"/>
      <c r="AI924" s="1051"/>
      <c r="AJ924" s="1052"/>
      <c r="AK924" s="1051"/>
      <c r="AL924" s="1051"/>
      <c r="AM924" s="1052"/>
      <c r="AN924" s="1051"/>
      <c r="AO924" s="1051"/>
      <c r="AP924" s="1052"/>
      <c r="AQ924" s="1051"/>
      <c r="AR924" s="1051"/>
      <c r="AS924" s="1052"/>
      <c r="AT924" s="1051"/>
      <c r="AU924" s="1051"/>
      <c r="AV924" s="1052"/>
      <c r="AW924" s="1051"/>
      <c r="AX924" s="1051"/>
      <c r="AY924" s="1053"/>
      <c r="AZ924" s="1051"/>
      <c r="BA924" s="1051"/>
      <c r="BB924" s="1053"/>
      <c r="BC924" s="1051"/>
      <c r="BD924" s="1051"/>
      <c r="BE924" s="1053"/>
      <c r="BF924" s="1051"/>
      <c r="BG924" s="1051"/>
      <c r="BH924" s="1053"/>
      <c r="BI924" s="1052"/>
      <c r="BJ924" s="1052"/>
      <c r="BK924" s="1052"/>
      <c r="BL924" s="1052"/>
      <c r="BM924" s="1052"/>
      <c r="BN924" s="1054"/>
      <c r="BO924" s="1076">
        <f t="shared" si="15"/>
        <v>0</v>
      </c>
      <c r="BP924" s="1051"/>
      <c r="BQ924" s="1052"/>
      <c r="BR924" s="1054"/>
      <c r="BS924" s="1053"/>
      <c r="BT924" s="1051"/>
      <c r="BU924" s="1051"/>
      <c r="BV924" s="1051"/>
      <c r="BW924" s="1052"/>
      <c r="BX924" s="1052"/>
      <c r="BY924" s="1052"/>
      <c r="BZ924" s="1052"/>
      <c r="CA924" s="1052"/>
      <c r="CB924" s="1053"/>
      <c r="CC924" s="1053"/>
      <c r="CD924" s="1053"/>
      <c r="CE924" s="1053"/>
      <c r="CF924" s="1053"/>
      <c r="CG924" s="1053"/>
      <c r="CH924" s="1053"/>
      <c r="CI924" s="1123"/>
      <c r="CJ924" s="1123"/>
      <c r="CK924" s="1123"/>
      <c r="CL924" s="1123"/>
      <c r="CM924" s="1123"/>
      <c r="CN924" s="1123"/>
      <c r="CO924" s="1123"/>
      <c r="CP924" s="1123"/>
      <c r="CQ924" s="1123"/>
      <c r="CR924" s="1123"/>
      <c r="CS924" s="1123"/>
      <c r="CT924" s="1123"/>
      <c r="CU924" s="1123"/>
      <c r="CV924" s="1123"/>
      <c r="CW924" s="1123"/>
      <c r="CX924" s="1123"/>
      <c r="CY924" s="1123"/>
      <c r="CZ924" s="1114"/>
      <c r="DA924" s="1114"/>
      <c r="DB924" s="1114"/>
      <c r="DC924" s="1114"/>
      <c r="DD924" s="1114"/>
      <c r="DE924" s="1114"/>
      <c r="DF924" s="1114"/>
      <c r="DG924" s="1114"/>
      <c r="DH924" s="1114"/>
      <c r="DI924" s="1114"/>
      <c r="DJ924" s="1114"/>
      <c r="DK924" s="1114"/>
      <c r="DL924" s="1114"/>
      <c r="DM924" s="1114"/>
      <c r="DN924" s="1114"/>
      <c r="DO924" s="1114"/>
      <c r="DP924" s="1114"/>
      <c r="DQ924" s="1114"/>
      <c r="DR924" s="1114"/>
      <c r="DS924" s="1114"/>
      <c r="DT924" s="1114"/>
      <c r="DU924" s="1114"/>
      <c r="DV924" s="1115"/>
      <c r="DW924" s="1116"/>
      <c r="DX924" s="1116"/>
      <c r="DY924" s="1116"/>
      <c r="DZ924" s="1116"/>
      <c r="EA924" s="1116"/>
      <c r="EB924" s="1116"/>
      <c r="EC924" s="1116"/>
      <c r="ED924" s="1116"/>
      <c r="EE924" s="1116"/>
      <c r="EF924" s="1116"/>
      <c r="EG924" s="1116"/>
      <c r="EH924" s="1116"/>
      <c r="EI924" s="1116"/>
      <c r="EJ924" s="1116"/>
      <c r="EK924" s="1116"/>
      <c r="EL924" s="1116"/>
      <c r="EM924" s="1116"/>
      <c r="EN924" s="1116"/>
      <c r="EO924" s="1116"/>
      <c r="EP924" s="1116"/>
      <c r="EQ924" s="1116"/>
      <c r="ER924" s="1116"/>
      <c r="ES924" s="1116"/>
    </row>
    <row r="925" spans="1:149" ht="15" customHeight="1">
      <c r="A925" s="1185">
        <v>915</v>
      </c>
      <c r="B925" s="1041"/>
      <c r="C925" s="1050"/>
      <c r="D925" s="1050"/>
      <c r="E925" s="1050"/>
      <c r="F925" s="1049"/>
      <c r="G925" s="1049"/>
      <c r="H925" s="1049"/>
      <c r="I925" s="1049"/>
      <c r="J925" s="1050"/>
      <c r="K925" s="1050"/>
      <c r="L925" s="1043"/>
      <c r="M925" s="1051"/>
      <c r="N925" s="1051"/>
      <c r="O925" s="1052"/>
      <c r="P925" s="1051"/>
      <c r="Q925" s="1051"/>
      <c r="R925" s="1052"/>
      <c r="S925" s="1051"/>
      <c r="T925" s="1051"/>
      <c r="U925" s="1052"/>
      <c r="V925" s="1051"/>
      <c r="W925" s="1051"/>
      <c r="X925" s="1052"/>
      <c r="Y925" s="1053"/>
      <c r="Z925" s="1051"/>
      <c r="AA925" s="1051"/>
      <c r="AB925" s="1052"/>
      <c r="AC925" s="1051"/>
      <c r="AD925" s="1051"/>
      <c r="AE925" s="1052"/>
      <c r="AF925" s="1051"/>
      <c r="AG925" s="1051"/>
      <c r="AH925" s="1051"/>
      <c r="AI925" s="1051"/>
      <c r="AJ925" s="1052"/>
      <c r="AK925" s="1051"/>
      <c r="AL925" s="1051"/>
      <c r="AM925" s="1052"/>
      <c r="AN925" s="1051"/>
      <c r="AO925" s="1051"/>
      <c r="AP925" s="1052"/>
      <c r="AQ925" s="1051"/>
      <c r="AR925" s="1051"/>
      <c r="AS925" s="1052"/>
      <c r="AT925" s="1051"/>
      <c r="AU925" s="1051"/>
      <c r="AV925" s="1052"/>
      <c r="AW925" s="1051"/>
      <c r="AX925" s="1051"/>
      <c r="AY925" s="1053"/>
      <c r="AZ925" s="1051"/>
      <c r="BA925" s="1051"/>
      <c r="BB925" s="1053"/>
      <c r="BC925" s="1051"/>
      <c r="BD925" s="1051"/>
      <c r="BE925" s="1053"/>
      <c r="BF925" s="1051"/>
      <c r="BG925" s="1051"/>
      <c r="BH925" s="1053"/>
      <c r="BI925" s="1052"/>
      <c r="BJ925" s="1052"/>
      <c r="BK925" s="1052"/>
      <c r="BL925" s="1052"/>
      <c r="BM925" s="1052"/>
      <c r="BN925" s="1054"/>
      <c r="BO925" s="1076">
        <f t="shared" si="15"/>
        <v>0</v>
      </c>
      <c r="BP925" s="1051"/>
      <c r="BQ925" s="1052"/>
      <c r="BR925" s="1054"/>
      <c r="BS925" s="1053"/>
      <c r="BT925" s="1051"/>
      <c r="BU925" s="1051"/>
      <c r="BV925" s="1051"/>
      <c r="BW925" s="1052"/>
      <c r="BX925" s="1052"/>
      <c r="BY925" s="1052"/>
      <c r="BZ925" s="1052"/>
      <c r="CA925" s="1052"/>
      <c r="CB925" s="1053"/>
      <c r="CC925" s="1053"/>
      <c r="CD925" s="1053"/>
      <c r="CE925" s="1053"/>
      <c r="CF925" s="1053"/>
      <c r="CG925" s="1053"/>
      <c r="CH925" s="1053"/>
      <c r="CI925" s="1123"/>
      <c r="CJ925" s="1123"/>
      <c r="CK925" s="1123"/>
      <c r="CL925" s="1123"/>
      <c r="CM925" s="1123"/>
      <c r="CN925" s="1123"/>
      <c r="CO925" s="1123"/>
      <c r="CP925" s="1123"/>
      <c r="CQ925" s="1123"/>
      <c r="CR925" s="1123"/>
      <c r="CS925" s="1123"/>
      <c r="CT925" s="1123"/>
      <c r="CU925" s="1123"/>
      <c r="CV925" s="1123"/>
      <c r="CW925" s="1123"/>
      <c r="CX925" s="1123"/>
      <c r="CY925" s="1123"/>
      <c r="CZ925" s="1114"/>
      <c r="DA925" s="1114"/>
      <c r="DB925" s="1114"/>
      <c r="DC925" s="1114"/>
      <c r="DD925" s="1114"/>
      <c r="DE925" s="1114"/>
      <c r="DF925" s="1114"/>
      <c r="DG925" s="1114"/>
      <c r="DH925" s="1114"/>
      <c r="DI925" s="1114"/>
      <c r="DJ925" s="1114"/>
      <c r="DK925" s="1114"/>
      <c r="DL925" s="1114"/>
      <c r="DM925" s="1114"/>
      <c r="DN925" s="1114"/>
      <c r="DO925" s="1114"/>
      <c r="DP925" s="1114"/>
      <c r="DQ925" s="1114"/>
      <c r="DR925" s="1114"/>
      <c r="DS925" s="1114"/>
      <c r="DT925" s="1114"/>
      <c r="DU925" s="1114"/>
      <c r="DV925" s="1115"/>
      <c r="DW925" s="1116"/>
      <c r="DX925" s="1116"/>
      <c r="DY925" s="1116"/>
      <c r="DZ925" s="1116"/>
      <c r="EA925" s="1116"/>
      <c r="EB925" s="1116"/>
      <c r="EC925" s="1116"/>
      <c r="ED925" s="1116"/>
      <c r="EE925" s="1116"/>
      <c r="EF925" s="1116"/>
      <c r="EG925" s="1116"/>
      <c r="EH925" s="1116"/>
      <c r="EI925" s="1116"/>
      <c r="EJ925" s="1116"/>
      <c r="EK925" s="1116"/>
      <c r="EL925" s="1116"/>
      <c r="EM925" s="1116"/>
      <c r="EN925" s="1116"/>
      <c r="EO925" s="1116"/>
      <c r="EP925" s="1116"/>
      <c r="EQ925" s="1116"/>
      <c r="ER925" s="1116"/>
      <c r="ES925" s="1116"/>
    </row>
    <row r="926" spans="1:149" ht="15" customHeight="1">
      <c r="A926" s="1185">
        <v>916</v>
      </c>
      <c r="B926" s="1041"/>
      <c r="C926" s="1050"/>
      <c r="D926" s="1050"/>
      <c r="E926" s="1050"/>
      <c r="F926" s="1049"/>
      <c r="G926" s="1049"/>
      <c r="H926" s="1049"/>
      <c r="I926" s="1049"/>
      <c r="J926" s="1050"/>
      <c r="K926" s="1050"/>
      <c r="L926" s="1043"/>
      <c r="M926" s="1051"/>
      <c r="N926" s="1051"/>
      <c r="O926" s="1052"/>
      <c r="P926" s="1051"/>
      <c r="Q926" s="1051"/>
      <c r="R926" s="1052"/>
      <c r="S926" s="1051"/>
      <c r="T926" s="1051"/>
      <c r="U926" s="1052"/>
      <c r="V926" s="1051"/>
      <c r="W926" s="1051"/>
      <c r="X926" s="1052"/>
      <c r="Y926" s="1053"/>
      <c r="Z926" s="1051"/>
      <c r="AA926" s="1051"/>
      <c r="AB926" s="1052"/>
      <c r="AC926" s="1051"/>
      <c r="AD926" s="1051"/>
      <c r="AE926" s="1052"/>
      <c r="AF926" s="1051"/>
      <c r="AG926" s="1051"/>
      <c r="AH926" s="1051"/>
      <c r="AI926" s="1051"/>
      <c r="AJ926" s="1052"/>
      <c r="AK926" s="1051"/>
      <c r="AL926" s="1051"/>
      <c r="AM926" s="1052"/>
      <c r="AN926" s="1051"/>
      <c r="AO926" s="1051"/>
      <c r="AP926" s="1052"/>
      <c r="AQ926" s="1051"/>
      <c r="AR926" s="1051"/>
      <c r="AS926" s="1052"/>
      <c r="AT926" s="1051"/>
      <c r="AU926" s="1051"/>
      <c r="AV926" s="1052"/>
      <c r="AW926" s="1051"/>
      <c r="AX926" s="1051"/>
      <c r="AY926" s="1053"/>
      <c r="AZ926" s="1051"/>
      <c r="BA926" s="1051"/>
      <c r="BB926" s="1053"/>
      <c r="BC926" s="1051"/>
      <c r="BD926" s="1051"/>
      <c r="BE926" s="1053"/>
      <c r="BF926" s="1051"/>
      <c r="BG926" s="1051"/>
      <c r="BH926" s="1053"/>
      <c r="BI926" s="1052"/>
      <c r="BJ926" s="1052"/>
      <c r="BK926" s="1052"/>
      <c r="BL926" s="1052"/>
      <c r="BM926" s="1052"/>
      <c r="BN926" s="1054"/>
      <c r="BO926" s="1076">
        <f t="shared" si="15"/>
        <v>0</v>
      </c>
      <c r="BP926" s="1051"/>
      <c r="BQ926" s="1052"/>
      <c r="BR926" s="1054"/>
      <c r="BS926" s="1053"/>
      <c r="BT926" s="1051"/>
      <c r="BU926" s="1051"/>
      <c r="BV926" s="1051"/>
      <c r="BW926" s="1052"/>
      <c r="BX926" s="1052"/>
      <c r="BY926" s="1052"/>
      <c r="BZ926" s="1052"/>
      <c r="CA926" s="1052"/>
      <c r="CB926" s="1053"/>
      <c r="CC926" s="1053"/>
      <c r="CD926" s="1053"/>
      <c r="CE926" s="1053"/>
      <c r="CF926" s="1053"/>
      <c r="CG926" s="1053"/>
      <c r="CH926" s="1053"/>
      <c r="CI926" s="1123"/>
      <c r="CJ926" s="1123"/>
      <c r="CK926" s="1123"/>
      <c r="CL926" s="1123"/>
      <c r="CM926" s="1123"/>
      <c r="CN926" s="1123"/>
      <c r="CO926" s="1123"/>
      <c r="CP926" s="1123"/>
      <c r="CQ926" s="1123"/>
      <c r="CR926" s="1123"/>
      <c r="CS926" s="1123"/>
      <c r="CT926" s="1123"/>
      <c r="CU926" s="1123"/>
      <c r="CV926" s="1123"/>
      <c r="CW926" s="1123"/>
      <c r="CX926" s="1123"/>
      <c r="CY926" s="1123"/>
      <c r="CZ926" s="1114"/>
      <c r="DA926" s="1114"/>
      <c r="DB926" s="1114"/>
      <c r="DC926" s="1114"/>
      <c r="DD926" s="1114"/>
      <c r="DE926" s="1114"/>
      <c r="DF926" s="1114"/>
      <c r="DG926" s="1114"/>
      <c r="DH926" s="1114"/>
      <c r="DI926" s="1114"/>
      <c r="DJ926" s="1114"/>
      <c r="DK926" s="1114"/>
      <c r="DL926" s="1114"/>
      <c r="DM926" s="1114"/>
      <c r="DN926" s="1114"/>
      <c r="DO926" s="1114"/>
      <c r="DP926" s="1114"/>
      <c r="DQ926" s="1114"/>
      <c r="DR926" s="1114"/>
      <c r="DS926" s="1114"/>
      <c r="DT926" s="1114"/>
      <c r="DU926" s="1114"/>
      <c r="DV926" s="1115"/>
      <c r="DW926" s="1116"/>
      <c r="DX926" s="1116"/>
      <c r="DY926" s="1116"/>
      <c r="DZ926" s="1116"/>
      <c r="EA926" s="1116"/>
      <c r="EB926" s="1116"/>
      <c r="EC926" s="1116"/>
      <c r="ED926" s="1116"/>
      <c r="EE926" s="1116"/>
      <c r="EF926" s="1116"/>
      <c r="EG926" s="1116"/>
      <c r="EH926" s="1116"/>
      <c r="EI926" s="1116"/>
      <c r="EJ926" s="1116"/>
      <c r="EK926" s="1116"/>
      <c r="EL926" s="1116"/>
      <c r="EM926" s="1116"/>
      <c r="EN926" s="1116"/>
      <c r="EO926" s="1116"/>
      <c r="EP926" s="1116"/>
      <c r="EQ926" s="1116"/>
      <c r="ER926" s="1116"/>
      <c r="ES926" s="1116"/>
    </row>
    <row r="927" spans="1:149" ht="15" customHeight="1">
      <c r="A927" s="1185">
        <v>917</v>
      </c>
      <c r="B927" s="1041"/>
      <c r="C927" s="1050"/>
      <c r="D927" s="1050"/>
      <c r="E927" s="1050"/>
      <c r="F927" s="1049"/>
      <c r="G927" s="1049"/>
      <c r="H927" s="1049"/>
      <c r="I927" s="1049"/>
      <c r="J927" s="1050"/>
      <c r="K927" s="1050"/>
      <c r="L927" s="1043"/>
      <c r="M927" s="1051"/>
      <c r="N927" s="1051"/>
      <c r="O927" s="1052"/>
      <c r="P927" s="1051"/>
      <c r="Q927" s="1051"/>
      <c r="R927" s="1052"/>
      <c r="S927" s="1051"/>
      <c r="T927" s="1051"/>
      <c r="U927" s="1052"/>
      <c r="V927" s="1051"/>
      <c r="W927" s="1051"/>
      <c r="X927" s="1052"/>
      <c r="Y927" s="1053"/>
      <c r="Z927" s="1051"/>
      <c r="AA927" s="1051"/>
      <c r="AB927" s="1052"/>
      <c r="AC927" s="1051"/>
      <c r="AD927" s="1051"/>
      <c r="AE927" s="1052"/>
      <c r="AF927" s="1051"/>
      <c r="AG927" s="1051"/>
      <c r="AH927" s="1051"/>
      <c r="AI927" s="1051"/>
      <c r="AJ927" s="1052"/>
      <c r="AK927" s="1051"/>
      <c r="AL927" s="1051"/>
      <c r="AM927" s="1052"/>
      <c r="AN927" s="1051"/>
      <c r="AO927" s="1051"/>
      <c r="AP927" s="1052"/>
      <c r="AQ927" s="1051"/>
      <c r="AR927" s="1051"/>
      <c r="AS927" s="1052"/>
      <c r="AT927" s="1051"/>
      <c r="AU927" s="1051"/>
      <c r="AV927" s="1052"/>
      <c r="AW927" s="1051"/>
      <c r="AX927" s="1051"/>
      <c r="AY927" s="1053"/>
      <c r="AZ927" s="1051"/>
      <c r="BA927" s="1051"/>
      <c r="BB927" s="1053"/>
      <c r="BC927" s="1051"/>
      <c r="BD927" s="1051"/>
      <c r="BE927" s="1053"/>
      <c r="BF927" s="1051"/>
      <c r="BG927" s="1051"/>
      <c r="BH927" s="1053"/>
      <c r="BI927" s="1052"/>
      <c r="BJ927" s="1052"/>
      <c r="BK927" s="1052"/>
      <c r="BL927" s="1052"/>
      <c r="BM927" s="1052"/>
      <c r="BN927" s="1054"/>
      <c r="BO927" s="1076">
        <f t="shared" si="15"/>
        <v>0</v>
      </c>
      <c r="BP927" s="1051"/>
      <c r="BQ927" s="1052"/>
      <c r="BR927" s="1054"/>
      <c r="BS927" s="1053"/>
      <c r="BT927" s="1051"/>
      <c r="BU927" s="1051"/>
      <c r="BV927" s="1051"/>
      <c r="BW927" s="1052"/>
      <c r="BX927" s="1052"/>
      <c r="BY927" s="1052"/>
      <c r="BZ927" s="1052"/>
      <c r="CA927" s="1052"/>
      <c r="CB927" s="1053"/>
      <c r="CC927" s="1053"/>
      <c r="CD927" s="1053"/>
      <c r="CE927" s="1053"/>
      <c r="CF927" s="1053"/>
      <c r="CG927" s="1053"/>
      <c r="CH927" s="1053"/>
      <c r="CI927" s="1123"/>
      <c r="CJ927" s="1123"/>
      <c r="CK927" s="1123"/>
      <c r="CL927" s="1123"/>
      <c r="CM927" s="1123"/>
      <c r="CN927" s="1123"/>
      <c r="CO927" s="1123"/>
      <c r="CP927" s="1123"/>
      <c r="CQ927" s="1123"/>
      <c r="CR927" s="1123"/>
      <c r="CS927" s="1123"/>
      <c r="CT927" s="1123"/>
      <c r="CU927" s="1123"/>
      <c r="CV927" s="1123"/>
      <c r="CW927" s="1123"/>
      <c r="CX927" s="1123"/>
      <c r="CY927" s="1123"/>
      <c r="CZ927" s="1114"/>
      <c r="DA927" s="1114"/>
      <c r="DB927" s="1114"/>
      <c r="DC927" s="1114"/>
      <c r="DD927" s="1114"/>
      <c r="DE927" s="1114"/>
      <c r="DF927" s="1114"/>
      <c r="DG927" s="1114"/>
      <c r="DH927" s="1114"/>
      <c r="DI927" s="1114"/>
      <c r="DJ927" s="1114"/>
      <c r="DK927" s="1114"/>
      <c r="DL927" s="1114"/>
      <c r="DM927" s="1114"/>
      <c r="DN927" s="1114"/>
      <c r="DO927" s="1114"/>
      <c r="DP927" s="1114"/>
      <c r="DQ927" s="1114"/>
      <c r="DR927" s="1114"/>
      <c r="DS927" s="1114"/>
      <c r="DT927" s="1114"/>
      <c r="DU927" s="1114"/>
      <c r="DV927" s="1115"/>
      <c r="DW927" s="1116"/>
      <c r="DX927" s="1116"/>
      <c r="DY927" s="1116"/>
      <c r="DZ927" s="1116"/>
      <c r="EA927" s="1116"/>
      <c r="EB927" s="1116"/>
      <c r="EC927" s="1116"/>
      <c r="ED927" s="1116"/>
      <c r="EE927" s="1116"/>
      <c r="EF927" s="1116"/>
      <c r="EG927" s="1116"/>
      <c r="EH927" s="1116"/>
      <c r="EI927" s="1116"/>
      <c r="EJ927" s="1116"/>
      <c r="EK927" s="1116"/>
      <c r="EL927" s="1116"/>
      <c r="EM927" s="1116"/>
      <c r="EN927" s="1116"/>
      <c r="EO927" s="1116"/>
      <c r="EP927" s="1116"/>
      <c r="EQ927" s="1116"/>
      <c r="ER927" s="1116"/>
      <c r="ES927" s="1116"/>
    </row>
    <row r="928" spans="1:149" ht="15" customHeight="1">
      <c r="A928" s="1185">
        <v>918</v>
      </c>
      <c r="B928" s="1041"/>
      <c r="C928" s="1050"/>
      <c r="D928" s="1050"/>
      <c r="E928" s="1050"/>
      <c r="F928" s="1049"/>
      <c r="G928" s="1049"/>
      <c r="H928" s="1049"/>
      <c r="I928" s="1049"/>
      <c r="J928" s="1050"/>
      <c r="K928" s="1050"/>
      <c r="L928" s="1043"/>
      <c r="M928" s="1051"/>
      <c r="N928" s="1051"/>
      <c r="O928" s="1052"/>
      <c r="P928" s="1051"/>
      <c r="Q928" s="1051"/>
      <c r="R928" s="1052"/>
      <c r="S928" s="1051"/>
      <c r="T928" s="1051"/>
      <c r="U928" s="1052"/>
      <c r="V928" s="1051"/>
      <c r="W928" s="1051"/>
      <c r="X928" s="1052"/>
      <c r="Y928" s="1053"/>
      <c r="Z928" s="1051"/>
      <c r="AA928" s="1051"/>
      <c r="AB928" s="1052"/>
      <c r="AC928" s="1051"/>
      <c r="AD928" s="1051"/>
      <c r="AE928" s="1052"/>
      <c r="AF928" s="1051"/>
      <c r="AG928" s="1051"/>
      <c r="AH928" s="1051"/>
      <c r="AI928" s="1051"/>
      <c r="AJ928" s="1052"/>
      <c r="AK928" s="1051"/>
      <c r="AL928" s="1051"/>
      <c r="AM928" s="1052"/>
      <c r="AN928" s="1051"/>
      <c r="AO928" s="1051"/>
      <c r="AP928" s="1052"/>
      <c r="AQ928" s="1051"/>
      <c r="AR928" s="1051"/>
      <c r="AS928" s="1052"/>
      <c r="AT928" s="1051"/>
      <c r="AU928" s="1051"/>
      <c r="AV928" s="1052"/>
      <c r="AW928" s="1051"/>
      <c r="AX928" s="1051"/>
      <c r="AY928" s="1053"/>
      <c r="AZ928" s="1051"/>
      <c r="BA928" s="1051"/>
      <c r="BB928" s="1053"/>
      <c r="BC928" s="1051"/>
      <c r="BD928" s="1051"/>
      <c r="BE928" s="1053"/>
      <c r="BF928" s="1051"/>
      <c r="BG928" s="1051"/>
      <c r="BH928" s="1053"/>
      <c r="BI928" s="1052"/>
      <c r="BJ928" s="1052"/>
      <c r="BK928" s="1052"/>
      <c r="BL928" s="1052"/>
      <c r="BM928" s="1052"/>
      <c r="BN928" s="1054"/>
      <c r="BO928" s="1076">
        <f t="shared" si="15"/>
        <v>0</v>
      </c>
      <c r="BP928" s="1051"/>
      <c r="BQ928" s="1052"/>
      <c r="BR928" s="1054"/>
      <c r="BS928" s="1053"/>
      <c r="BT928" s="1051"/>
      <c r="BU928" s="1051"/>
      <c r="BV928" s="1051"/>
      <c r="BW928" s="1052"/>
      <c r="BX928" s="1052"/>
      <c r="BY928" s="1052"/>
      <c r="BZ928" s="1052"/>
      <c r="CA928" s="1052"/>
      <c r="CB928" s="1053"/>
      <c r="CC928" s="1053"/>
      <c r="CD928" s="1053"/>
      <c r="CE928" s="1053"/>
      <c r="CF928" s="1053"/>
      <c r="CG928" s="1053"/>
      <c r="CH928" s="1053"/>
      <c r="CI928" s="1123"/>
      <c r="CJ928" s="1123"/>
      <c r="CK928" s="1123"/>
      <c r="CL928" s="1123"/>
      <c r="CM928" s="1123"/>
      <c r="CN928" s="1123"/>
      <c r="CO928" s="1123"/>
      <c r="CP928" s="1123"/>
      <c r="CQ928" s="1123"/>
      <c r="CR928" s="1123"/>
      <c r="CS928" s="1123"/>
      <c r="CT928" s="1123"/>
      <c r="CU928" s="1123"/>
      <c r="CV928" s="1123"/>
      <c r="CW928" s="1123"/>
      <c r="CX928" s="1123"/>
      <c r="CY928" s="1123"/>
      <c r="CZ928" s="1114"/>
      <c r="DA928" s="1114"/>
      <c r="DB928" s="1114"/>
      <c r="DC928" s="1114"/>
      <c r="DD928" s="1114"/>
      <c r="DE928" s="1114"/>
      <c r="DF928" s="1114"/>
      <c r="DG928" s="1114"/>
      <c r="DH928" s="1114"/>
      <c r="DI928" s="1114"/>
      <c r="DJ928" s="1114"/>
      <c r="DK928" s="1114"/>
      <c r="DL928" s="1114"/>
      <c r="DM928" s="1114"/>
      <c r="DN928" s="1114"/>
      <c r="DO928" s="1114"/>
      <c r="DP928" s="1114"/>
      <c r="DQ928" s="1114"/>
      <c r="DR928" s="1114"/>
      <c r="DS928" s="1114"/>
      <c r="DT928" s="1114"/>
      <c r="DU928" s="1114"/>
      <c r="DV928" s="1115"/>
      <c r="DW928" s="1116"/>
      <c r="DX928" s="1116"/>
      <c r="DY928" s="1116"/>
      <c r="DZ928" s="1116"/>
      <c r="EA928" s="1116"/>
      <c r="EB928" s="1116"/>
      <c r="EC928" s="1116"/>
      <c r="ED928" s="1116"/>
      <c r="EE928" s="1116"/>
      <c r="EF928" s="1116"/>
      <c r="EG928" s="1116"/>
      <c r="EH928" s="1116"/>
      <c r="EI928" s="1116"/>
      <c r="EJ928" s="1116"/>
      <c r="EK928" s="1116"/>
      <c r="EL928" s="1116"/>
      <c r="EM928" s="1116"/>
      <c r="EN928" s="1116"/>
      <c r="EO928" s="1116"/>
      <c r="EP928" s="1116"/>
      <c r="EQ928" s="1116"/>
      <c r="ER928" s="1116"/>
      <c r="ES928" s="1116"/>
    </row>
    <row r="929" spans="1:149" ht="15" customHeight="1">
      <c r="A929" s="1185">
        <v>919</v>
      </c>
      <c r="B929" s="1041"/>
      <c r="C929" s="1050"/>
      <c r="D929" s="1050"/>
      <c r="E929" s="1050"/>
      <c r="F929" s="1049"/>
      <c r="G929" s="1049"/>
      <c r="H929" s="1049"/>
      <c r="I929" s="1049"/>
      <c r="J929" s="1050"/>
      <c r="K929" s="1050"/>
      <c r="L929" s="1043"/>
      <c r="M929" s="1051"/>
      <c r="N929" s="1051"/>
      <c r="O929" s="1052"/>
      <c r="P929" s="1051"/>
      <c r="Q929" s="1051"/>
      <c r="R929" s="1052"/>
      <c r="S929" s="1051"/>
      <c r="T929" s="1051"/>
      <c r="U929" s="1052"/>
      <c r="V929" s="1051"/>
      <c r="W929" s="1051"/>
      <c r="X929" s="1052"/>
      <c r="Y929" s="1053"/>
      <c r="Z929" s="1051"/>
      <c r="AA929" s="1051"/>
      <c r="AB929" s="1052"/>
      <c r="AC929" s="1051"/>
      <c r="AD929" s="1051"/>
      <c r="AE929" s="1052"/>
      <c r="AF929" s="1051"/>
      <c r="AG929" s="1051"/>
      <c r="AH929" s="1051"/>
      <c r="AI929" s="1051"/>
      <c r="AJ929" s="1052"/>
      <c r="AK929" s="1051"/>
      <c r="AL929" s="1051"/>
      <c r="AM929" s="1052"/>
      <c r="AN929" s="1051"/>
      <c r="AO929" s="1051"/>
      <c r="AP929" s="1052"/>
      <c r="AQ929" s="1051"/>
      <c r="AR929" s="1051"/>
      <c r="AS929" s="1052"/>
      <c r="AT929" s="1051"/>
      <c r="AU929" s="1051"/>
      <c r="AV929" s="1052"/>
      <c r="AW929" s="1051"/>
      <c r="AX929" s="1051"/>
      <c r="AY929" s="1053"/>
      <c r="AZ929" s="1051"/>
      <c r="BA929" s="1051"/>
      <c r="BB929" s="1053"/>
      <c r="BC929" s="1051"/>
      <c r="BD929" s="1051"/>
      <c r="BE929" s="1053"/>
      <c r="BF929" s="1051"/>
      <c r="BG929" s="1051"/>
      <c r="BH929" s="1053"/>
      <c r="BI929" s="1052"/>
      <c r="BJ929" s="1052"/>
      <c r="BK929" s="1052"/>
      <c r="BL929" s="1052"/>
      <c r="BM929" s="1052"/>
      <c r="BN929" s="1054"/>
      <c r="BO929" s="1076">
        <f t="shared" si="15"/>
        <v>0</v>
      </c>
      <c r="BP929" s="1051"/>
      <c r="BQ929" s="1052"/>
      <c r="BR929" s="1054"/>
      <c r="BS929" s="1053"/>
      <c r="BT929" s="1051"/>
      <c r="BU929" s="1051"/>
      <c r="BV929" s="1051"/>
      <c r="BW929" s="1052"/>
      <c r="BX929" s="1052"/>
      <c r="BY929" s="1052"/>
      <c r="BZ929" s="1052"/>
      <c r="CA929" s="1052"/>
      <c r="CB929" s="1053"/>
      <c r="CC929" s="1053"/>
      <c r="CD929" s="1053"/>
      <c r="CE929" s="1053"/>
      <c r="CF929" s="1053"/>
      <c r="CG929" s="1053"/>
      <c r="CH929" s="1053"/>
      <c r="CI929" s="1123"/>
      <c r="CJ929" s="1123"/>
      <c r="CK929" s="1123"/>
      <c r="CL929" s="1123"/>
      <c r="CM929" s="1123"/>
      <c r="CN929" s="1123"/>
      <c r="CO929" s="1123"/>
      <c r="CP929" s="1123"/>
      <c r="CQ929" s="1123"/>
      <c r="CR929" s="1123"/>
      <c r="CS929" s="1123"/>
      <c r="CT929" s="1123"/>
      <c r="CU929" s="1123"/>
      <c r="CV929" s="1123"/>
      <c r="CW929" s="1123"/>
      <c r="CX929" s="1123"/>
      <c r="CY929" s="1123"/>
      <c r="CZ929" s="1114"/>
      <c r="DA929" s="1114"/>
      <c r="DB929" s="1114"/>
      <c r="DC929" s="1114"/>
      <c r="DD929" s="1114"/>
      <c r="DE929" s="1114"/>
      <c r="DF929" s="1114"/>
      <c r="DG929" s="1114"/>
      <c r="DH929" s="1114"/>
      <c r="DI929" s="1114"/>
      <c r="DJ929" s="1114"/>
      <c r="DK929" s="1114"/>
      <c r="DL929" s="1114"/>
      <c r="DM929" s="1114"/>
      <c r="DN929" s="1114"/>
      <c r="DO929" s="1114"/>
      <c r="DP929" s="1114"/>
      <c r="DQ929" s="1114"/>
      <c r="DR929" s="1114"/>
      <c r="DS929" s="1114"/>
      <c r="DT929" s="1114"/>
      <c r="DU929" s="1114"/>
      <c r="DV929" s="1115"/>
      <c r="DW929" s="1116"/>
      <c r="DX929" s="1116"/>
      <c r="DY929" s="1116"/>
      <c r="DZ929" s="1116"/>
      <c r="EA929" s="1116"/>
      <c r="EB929" s="1116"/>
      <c r="EC929" s="1116"/>
      <c r="ED929" s="1116"/>
      <c r="EE929" s="1116"/>
      <c r="EF929" s="1116"/>
      <c r="EG929" s="1116"/>
      <c r="EH929" s="1116"/>
      <c r="EI929" s="1116"/>
      <c r="EJ929" s="1116"/>
      <c r="EK929" s="1116"/>
      <c r="EL929" s="1116"/>
      <c r="EM929" s="1116"/>
      <c r="EN929" s="1116"/>
      <c r="EO929" s="1116"/>
      <c r="EP929" s="1116"/>
      <c r="EQ929" s="1116"/>
      <c r="ER929" s="1116"/>
      <c r="ES929" s="1116"/>
    </row>
    <row r="930" spans="1:149" ht="15" customHeight="1">
      <c r="A930" s="1185">
        <v>920</v>
      </c>
      <c r="B930" s="1041"/>
      <c r="C930" s="1050"/>
      <c r="D930" s="1050"/>
      <c r="E930" s="1050"/>
      <c r="F930" s="1049"/>
      <c r="G930" s="1049"/>
      <c r="H930" s="1049"/>
      <c r="I930" s="1049"/>
      <c r="J930" s="1050"/>
      <c r="K930" s="1050"/>
      <c r="L930" s="1043"/>
      <c r="M930" s="1051"/>
      <c r="N930" s="1051"/>
      <c r="O930" s="1052"/>
      <c r="P930" s="1051"/>
      <c r="Q930" s="1051"/>
      <c r="R930" s="1052"/>
      <c r="S930" s="1051"/>
      <c r="T930" s="1051"/>
      <c r="U930" s="1052"/>
      <c r="V930" s="1051"/>
      <c r="W930" s="1051"/>
      <c r="X930" s="1052"/>
      <c r="Y930" s="1053"/>
      <c r="Z930" s="1051"/>
      <c r="AA930" s="1051"/>
      <c r="AB930" s="1052"/>
      <c r="AC930" s="1051"/>
      <c r="AD930" s="1051"/>
      <c r="AE930" s="1052"/>
      <c r="AF930" s="1051"/>
      <c r="AG930" s="1051"/>
      <c r="AH930" s="1051"/>
      <c r="AI930" s="1051"/>
      <c r="AJ930" s="1052"/>
      <c r="AK930" s="1051"/>
      <c r="AL930" s="1051"/>
      <c r="AM930" s="1052"/>
      <c r="AN930" s="1051"/>
      <c r="AO930" s="1051"/>
      <c r="AP930" s="1052"/>
      <c r="AQ930" s="1051"/>
      <c r="AR930" s="1051"/>
      <c r="AS930" s="1052"/>
      <c r="AT930" s="1051"/>
      <c r="AU930" s="1051"/>
      <c r="AV930" s="1052"/>
      <c r="AW930" s="1051"/>
      <c r="AX930" s="1051"/>
      <c r="AY930" s="1053"/>
      <c r="AZ930" s="1051"/>
      <c r="BA930" s="1051"/>
      <c r="BB930" s="1053"/>
      <c r="BC930" s="1051"/>
      <c r="BD930" s="1051"/>
      <c r="BE930" s="1053"/>
      <c r="BF930" s="1051"/>
      <c r="BG930" s="1051"/>
      <c r="BH930" s="1053"/>
      <c r="BI930" s="1052"/>
      <c r="BJ930" s="1052"/>
      <c r="BK930" s="1052"/>
      <c r="BL930" s="1052"/>
      <c r="BM930" s="1052"/>
      <c r="BN930" s="1054"/>
      <c r="BO930" s="1076">
        <f t="shared" si="15"/>
        <v>0</v>
      </c>
      <c r="BP930" s="1051"/>
      <c r="BQ930" s="1052"/>
      <c r="BR930" s="1054"/>
      <c r="BS930" s="1053"/>
      <c r="BT930" s="1051"/>
      <c r="BU930" s="1051"/>
      <c r="BV930" s="1051"/>
      <c r="BW930" s="1052"/>
      <c r="BX930" s="1052"/>
      <c r="BY930" s="1052"/>
      <c r="BZ930" s="1052"/>
      <c r="CA930" s="1052"/>
      <c r="CB930" s="1053"/>
      <c r="CC930" s="1053"/>
      <c r="CD930" s="1053"/>
      <c r="CE930" s="1053"/>
      <c r="CF930" s="1053"/>
      <c r="CG930" s="1053"/>
      <c r="CH930" s="1053"/>
      <c r="CI930" s="1123"/>
      <c r="CJ930" s="1123"/>
      <c r="CK930" s="1123"/>
      <c r="CL930" s="1123"/>
      <c r="CM930" s="1123"/>
      <c r="CN930" s="1123"/>
      <c r="CO930" s="1123"/>
      <c r="CP930" s="1123"/>
      <c r="CQ930" s="1123"/>
      <c r="CR930" s="1123"/>
      <c r="CS930" s="1123"/>
      <c r="CT930" s="1123"/>
      <c r="CU930" s="1123"/>
      <c r="CV930" s="1123"/>
      <c r="CW930" s="1123"/>
      <c r="CX930" s="1123"/>
      <c r="CY930" s="1123"/>
      <c r="CZ930" s="1114"/>
      <c r="DA930" s="1114"/>
      <c r="DB930" s="1114"/>
      <c r="DC930" s="1114"/>
      <c r="DD930" s="1114"/>
      <c r="DE930" s="1114"/>
      <c r="DF930" s="1114"/>
      <c r="DG930" s="1114"/>
      <c r="DH930" s="1114"/>
      <c r="DI930" s="1114"/>
      <c r="DJ930" s="1114"/>
      <c r="DK930" s="1114"/>
      <c r="DL930" s="1114"/>
      <c r="DM930" s="1114"/>
      <c r="DN930" s="1114"/>
      <c r="DO930" s="1114"/>
      <c r="DP930" s="1114"/>
      <c r="DQ930" s="1114"/>
      <c r="DR930" s="1114"/>
      <c r="DS930" s="1114"/>
      <c r="DT930" s="1114"/>
      <c r="DU930" s="1114"/>
      <c r="DV930" s="1115"/>
      <c r="DW930" s="1116"/>
      <c r="DX930" s="1116"/>
      <c r="DY930" s="1116"/>
      <c r="DZ930" s="1116"/>
      <c r="EA930" s="1116"/>
      <c r="EB930" s="1116"/>
      <c r="EC930" s="1116"/>
      <c r="ED930" s="1116"/>
      <c r="EE930" s="1116"/>
      <c r="EF930" s="1116"/>
      <c r="EG930" s="1116"/>
      <c r="EH930" s="1116"/>
      <c r="EI930" s="1116"/>
      <c r="EJ930" s="1116"/>
      <c r="EK930" s="1116"/>
      <c r="EL930" s="1116"/>
      <c r="EM930" s="1116"/>
      <c r="EN930" s="1116"/>
      <c r="EO930" s="1116"/>
      <c r="EP930" s="1116"/>
      <c r="EQ930" s="1116"/>
      <c r="ER930" s="1116"/>
      <c r="ES930" s="1116"/>
    </row>
    <row r="931" spans="1:149" ht="15" customHeight="1">
      <c r="A931" s="1185">
        <v>921</v>
      </c>
      <c r="B931" s="1041"/>
      <c r="C931" s="1050"/>
      <c r="D931" s="1050"/>
      <c r="E931" s="1050"/>
      <c r="F931" s="1049"/>
      <c r="G931" s="1049"/>
      <c r="H931" s="1049"/>
      <c r="I931" s="1049"/>
      <c r="J931" s="1050"/>
      <c r="K931" s="1050"/>
      <c r="L931" s="1043"/>
      <c r="M931" s="1051"/>
      <c r="N931" s="1051"/>
      <c r="O931" s="1052"/>
      <c r="P931" s="1051"/>
      <c r="Q931" s="1051"/>
      <c r="R931" s="1052"/>
      <c r="S931" s="1051"/>
      <c r="T931" s="1051"/>
      <c r="U931" s="1052"/>
      <c r="V931" s="1051"/>
      <c r="W931" s="1051"/>
      <c r="X931" s="1052"/>
      <c r="Y931" s="1053"/>
      <c r="Z931" s="1051"/>
      <c r="AA931" s="1051"/>
      <c r="AB931" s="1052"/>
      <c r="AC931" s="1051"/>
      <c r="AD931" s="1051"/>
      <c r="AE931" s="1052"/>
      <c r="AF931" s="1051"/>
      <c r="AG931" s="1051"/>
      <c r="AH931" s="1051"/>
      <c r="AI931" s="1051"/>
      <c r="AJ931" s="1052"/>
      <c r="AK931" s="1051"/>
      <c r="AL931" s="1051"/>
      <c r="AM931" s="1052"/>
      <c r="AN931" s="1051"/>
      <c r="AO931" s="1051"/>
      <c r="AP931" s="1052"/>
      <c r="AQ931" s="1051"/>
      <c r="AR931" s="1051"/>
      <c r="AS931" s="1052"/>
      <c r="AT931" s="1051"/>
      <c r="AU931" s="1051"/>
      <c r="AV931" s="1052"/>
      <c r="AW931" s="1051"/>
      <c r="AX931" s="1051"/>
      <c r="AY931" s="1053"/>
      <c r="AZ931" s="1051"/>
      <c r="BA931" s="1051"/>
      <c r="BB931" s="1053"/>
      <c r="BC931" s="1051"/>
      <c r="BD931" s="1051"/>
      <c r="BE931" s="1053"/>
      <c r="BF931" s="1051"/>
      <c r="BG931" s="1051"/>
      <c r="BH931" s="1053"/>
      <c r="BI931" s="1052"/>
      <c r="BJ931" s="1052"/>
      <c r="BK931" s="1052"/>
      <c r="BL931" s="1052"/>
      <c r="BM931" s="1052"/>
      <c r="BN931" s="1054"/>
      <c r="BO931" s="1076">
        <f t="shared" si="15"/>
        <v>0</v>
      </c>
      <c r="BP931" s="1051"/>
      <c r="BQ931" s="1052"/>
      <c r="BR931" s="1054"/>
      <c r="BS931" s="1053"/>
      <c r="BT931" s="1051"/>
      <c r="BU931" s="1051"/>
      <c r="BV931" s="1051"/>
      <c r="BW931" s="1052"/>
      <c r="BX931" s="1052"/>
      <c r="BY931" s="1052"/>
      <c r="BZ931" s="1052"/>
      <c r="CA931" s="1052"/>
      <c r="CB931" s="1053"/>
      <c r="CC931" s="1053"/>
      <c r="CD931" s="1053"/>
      <c r="CE931" s="1053"/>
      <c r="CF931" s="1053"/>
      <c r="CG931" s="1053"/>
      <c r="CH931" s="1053"/>
      <c r="CI931" s="1123"/>
      <c r="CJ931" s="1123"/>
      <c r="CK931" s="1123"/>
      <c r="CL931" s="1123"/>
      <c r="CM931" s="1123"/>
      <c r="CN931" s="1123"/>
      <c r="CO931" s="1123"/>
      <c r="CP931" s="1123"/>
      <c r="CQ931" s="1123"/>
      <c r="CR931" s="1123"/>
      <c r="CS931" s="1123"/>
      <c r="CT931" s="1123"/>
      <c r="CU931" s="1123"/>
      <c r="CV931" s="1123"/>
      <c r="CW931" s="1123"/>
      <c r="CX931" s="1123"/>
      <c r="CY931" s="1123"/>
      <c r="CZ931" s="1114"/>
      <c r="DA931" s="1114"/>
      <c r="DB931" s="1114"/>
      <c r="DC931" s="1114"/>
      <c r="DD931" s="1114"/>
      <c r="DE931" s="1114"/>
      <c r="DF931" s="1114"/>
      <c r="DG931" s="1114"/>
      <c r="DH931" s="1114"/>
      <c r="DI931" s="1114"/>
      <c r="DJ931" s="1114"/>
      <c r="DK931" s="1114"/>
      <c r="DL931" s="1114"/>
      <c r="DM931" s="1114"/>
      <c r="DN931" s="1114"/>
      <c r="DO931" s="1114"/>
      <c r="DP931" s="1114"/>
      <c r="DQ931" s="1114"/>
      <c r="DR931" s="1114"/>
      <c r="DS931" s="1114"/>
      <c r="DT931" s="1114"/>
      <c r="DU931" s="1114"/>
      <c r="DV931" s="1115"/>
      <c r="DW931" s="1116"/>
      <c r="DX931" s="1116"/>
      <c r="DY931" s="1116"/>
      <c r="DZ931" s="1116"/>
      <c r="EA931" s="1116"/>
      <c r="EB931" s="1116"/>
      <c r="EC931" s="1116"/>
      <c r="ED931" s="1116"/>
      <c r="EE931" s="1116"/>
      <c r="EF931" s="1116"/>
      <c r="EG931" s="1116"/>
      <c r="EH931" s="1116"/>
      <c r="EI931" s="1116"/>
      <c r="EJ931" s="1116"/>
      <c r="EK931" s="1116"/>
      <c r="EL931" s="1116"/>
      <c r="EM931" s="1116"/>
      <c r="EN931" s="1116"/>
      <c r="EO931" s="1116"/>
      <c r="EP931" s="1116"/>
      <c r="EQ931" s="1116"/>
      <c r="ER931" s="1116"/>
      <c r="ES931" s="1116"/>
    </row>
    <row r="932" spans="1:149" ht="15" customHeight="1">
      <c r="A932" s="1185">
        <v>922</v>
      </c>
      <c r="B932" s="1041"/>
      <c r="C932" s="1050"/>
      <c r="D932" s="1050"/>
      <c r="E932" s="1050"/>
      <c r="F932" s="1049"/>
      <c r="G932" s="1049"/>
      <c r="H932" s="1049"/>
      <c r="I932" s="1049"/>
      <c r="J932" s="1050"/>
      <c r="K932" s="1050"/>
      <c r="L932" s="1043"/>
      <c r="M932" s="1051"/>
      <c r="N932" s="1051"/>
      <c r="O932" s="1052"/>
      <c r="P932" s="1051"/>
      <c r="Q932" s="1051"/>
      <c r="R932" s="1052"/>
      <c r="S932" s="1051"/>
      <c r="T932" s="1051"/>
      <c r="U932" s="1052"/>
      <c r="V932" s="1051"/>
      <c r="W932" s="1051"/>
      <c r="X932" s="1052"/>
      <c r="Y932" s="1053"/>
      <c r="Z932" s="1051"/>
      <c r="AA932" s="1051"/>
      <c r="AB932" s="1052"/>
      <c r="AC932" s="1051"/>
      <c r="AD932" s="1051"/>
      <c r="AE932" s="1052"/>
      <c r="AF932" s="1051"/>
      <c r="AG932" s="1051"/>
      <c r="AH932" s="1051"/>
      <c r="AI932" s="1051"/>
      <c r="AJ932" s="1052"/>
      <c r="AK932" s="1051"/>
      <c r="AL932" s="1051"/>
      <c r="AM932" s="1052"/>
      <c r="AN932" s="1051"/>
      <c r="AO932" s="1051"/>
      <c r="AP932" s="1052"/>
      <c r="AQ932" s="1051"/>
      <c r="AR932" s="1051"/>
      <c r="AS932" s="1052"/>
      <c r="AT932" s="1051"/>
      <c r="AU932" s="1051"/>
      <c r="AV932" s="1052"/>
      <c r="AW932" s="1051"/>
      <c r="AX932" s="1051"/>
      <c r="AY932" s="1053"/>
      <c r="AZ932" s="1051"/>
      <c r="BA932" s="1051"/>
      <c r="BB932" s="1053"/>
      <c r="BC932" s="1051"/>
      <c r="BD932" s="1051"/>
      <c r="BE932" s="1053"/>
      <c r="BF932" s="1051"/>
      <c r="BG932" s="1051"/>
      <c r="BH932" s="1053"/>
      <c r="BI932" s="1052"/>
      <c r="BJ932" s="1052"/>
      <c r="BK932" s="1052"/>
      <c r="BL932" s="1052"/>
      <c r="BM932" s="1052"/>
      <c r="BN932" s="1054"/>
      <c r="BO932" s="1076">
        <f t="shared" si="15"/>
        <v>0</v>
      </c>
      <c r="BP932" s="1051"/>
      <c r="BQ932" s="1052"/>
      <c r="BR932" s="1054"/>
      <c r="BS932" s="1053"/>
      <c r="BT932" s="1051"/>
      <c r="BU932" s="1051"/>
      <c r="BV932" s="1051"/>
      <c r="BW932" s="1052"/>
      <c r="BX932" s="1052"/>
      <c r="BY932" s="1052"/>
      <c r="BZ932" s="1052"/>
      <c r="CA932" s="1052"/>
      <c r="CB932" s="1053"/>
      <c r="CC932" s="1053"/>
      <c r="CD932" s="1053"/>
      <c r="CE932" s="1053"/>
      <c r="CF932" s="1053"/>
      <c r="CG932" s="1053"/>
      <c r="CH932" s="1053"/>
      <c r="CI932" s="1123"/>
      <c r="CJ932" s="1123"/>
      <c r="CK932" s="1123"/>
      <c r="CL932" s="1123"/>
      <c r="CM932" s="1123"/>
      <c r="CN932" s="1123"/>
      <c r="CO932" s="1123"/>
      <c r="CP932" s="1123"/>
      <c r="CQ932" s="1123"/>
      <c r="CR932" s="1123"/>
      <c r="CS932" s="1123"/>
      <c r="CT932" s="1123"/>
      <c r="CU932" s="1123"/>
      <c r="CV932" s="1123"/>
      <c r="CW932" s="1123"/>
      <c r="CX932" s="1123"/>
      <c r="CY932" s="1123"/>
      <c r="CZ932" s="1114"/>
      <c r="DA932" s="1114"/>
      <c r="DB932" s="1114"/>
      <c r="DC932" s="1114"/>
      <c r="DD932" s="1114"/>
      <c r="DE932" s="1114"/>
      <c r="DF932" s="1114"/>
      <c r="DG932" s="1114"/>
      <c r="DH932" s="1114"/>
      <c r="DI932" s="1114"/>
      <c r="DJ932" s="1114"/>
      <c r="DK932" s="1114"/>
      <c r="DL932" s="1114"/>
      <c r="DM932" s="1114"/>
      <c r="DN932" s="1114"/>
      <c r="DO932" s="1114"/>
      <c r="DP932" s="1114"/>
      <c r="DQ932" s="1114"/>
      <c r="DR932" s="1114"/>
      <c r="DS932" s="1114"/>
      <c r="DT932" s="1114"/>
      <c r="DU932" s="1114"/>
      <c r="DV932" s="1115"/>
      <c r="DW932" s="1116"/>
      <c r="DX932" s="1116"/>
      <c r="DY932" s="1116"/>
      <c r="DZ932" s="1116"/>
      <c r="EA932" s="1116"/>
      <c r="EB932" s="1116"/>
      <c r="EC932" s="1116"/>
      <c r="ED932" s="1116"/>
      <c r="EE932" s="1116"/>
      <c r="EF932" s="1116"/>
      <c r="EG932" s="1116"/>
      <c r="EH932" s="1116"/>
      <c r="EI932" s="1116"/>
      <c r="EJ932" s="1116"/>
      <c r="EK932" s="1116"/>
      <c r="EL932" s="1116"/>
      <c r="EM932" s="1116"/>
      <c r="EN932" s="1116"/>
      <c r="EO932" s="1116"/>
      <c r="EP932" s="1116"/>
      <c r="EQ932" s="1116"/>
      <c r="ER932" s="1116"/>
      <c r="ES932" s="1116"/>
    </row>
    <row r="933" spans="1:149" ht="15" customHeight="1">
      <c r="A933" s="1185">
        <v>923</v>
      </c>
      <c r="B933" s="1041"/>
      <c r="C933" s="1050"/>
      <c r="D933" s="1050"/>
      <c r="E933" s="1050"/>
      <c r="F933" s="1049"/>
      <c r="G933" s="1049"/>
      <c r="H933" s="1049"/>
      <c r="I933" s="1049"/>
      <c r="J933" s="1050"/>
      <c r="K933" s="1050"/>
      <c r="L933" s="1043"/>
      <c r="M933" s="1051"/>
      <c r="N933" s="1051"/>
      <c r="O933" s="1052"/>
      <c r="P933" s="1051"/>
      <c r="Q933" s="1051"/>
      <c r="R933" s="1052"/>
      <c r="S933" s="1051"/>
      <c r="T933" s="1051"/>
      <c r="U933" s="1052"/>
      <c r="V933" s="1051"/>
      <c r="W933" s="1051"/>
      <c r="X933" s="1052"/>
      <c r="Y933" s="1053"/>
      <c r="Z933" s="1051"/>
      <c r="AA933" s="1051"/>
      <c r="AB933" s="1052"/>
      <c r="AC933" s="1051"/>
      <c r="AD933" s="1051"/>
      <c r="AE933" s="1052"/>
      <c r="AF933" s="1051"/>
      <c r="AG933" s="1051"/>
      <c r="AH933" s="1051"/>
      <c r="AI933" s="1051"/>
      <c r="AJ933" s="1052"/>
      <c r="AK933" s="1051"/>
      <c r="AL933" s="1051"/>
      <c r="AM933" s="1052"/>
      <c r="AN933" s="1051"/>
      <c r="AO933" s="1051"/>
      <c r="AP933" s="1052"/>
      <c r="AQ933" s="1051"/>
      <c r="AR933" s="1051"/>
      <c r="AS933" s="1052"/>
      <c r="AT933" s="1051"/>
      <c r="AU933" s="1051"/>
      <c r="AV933" s="1052"/>
      <c r="AW933" s="1051"/>
      <c r="AX933" s="1051"/>
      <c r="AY933" s="1053"/>
      <c r="AZ933" s="1051"/>
      <c r="BA933" s="1051"/>
      <c r="BB933" s="1053"/>
      <c r="BC933" s="1051"/>
      <c r="BD933" s="1051"/>
      <c r="BE933" s="1053"/>
      <c r="BF933" s="1051"/>
      <c r="BG933" s="1051"/>
      <c r="BH933" s="1053"/>
      <c r="BI933" s="1052"/>
      <c r="BJ933" s="1052"/>
      <c r="BK933" s="1052"/>
      <c r="BL933" s="1052"/>
      <c r="BM933" s="1052"/>
      <c r="BN933" s="1054"/>
      <c r="BO933" s="1076">
        <f t="shared" si="15"/>
        <v>0</v>
      </c>
      <c r="BP933" s="1051"/>
      <c r="BQ933" s="1052"/>
      <c r="BR933" s="1054"/>
      <c r="BS933" s="1053"/>
      <c r="BT933" s="1051"/>
      <c r="BU933" s="1051"/>
      <c r="BV933" s="1051"/>
      <c r="BW933" s="1052"/>
      <c r="BX933" s="1052"/>
      <c r="BY933" s="1052"/>
      <c r="BZ933" s="1052"/>
      <c r="CA933" s="1052"/>
      <c r="CB933" s="1053"/>
      <c r="CC933" s="1053"/>
      <c r="CD933" s="1053"/>
      <c r="CE933" s="1053"/>
      <c r="CF933" s="1053"/>
      <c r="CG933" s="1053"/>
      <c r="CH933" s="1053"/>
      <c r="CI933" s="1123"/>
      <c r="CJ933" s="1123"/>
      <c r="CK933" s="1123"/>
      <c r="CL933" s="1123"/>
      <c r="CM933" s="1123"/>
      <c r="CN933" s="1123"/>
      <c r="CO933" s="1123"/>
      <c r="CP933" s="1123"/>
      <c r="CQ933" s="1123"/>
      <c r="CR933" s="1123"/>
      <c r="CS933" s="1123"/>
      <c r="CT933" s="1123"/>
      <c r="CU933" s="1123"/>
      <c r="CV933" s="1123"/>
      <c r="CW933" s="1123"/>
      <c r="CX933" s="1123"/>
      <c r="CY933" s="1123"/>
      <c r="CZ933" s="1114"/>
      <c r="DA933" s="1114"/>
      <c r="DB933" s="1114"/>
      <c r="DC933" s="1114"/>
      <c r="DD933" s="1114"/>
      <c r="DE933" s="1114"/>
      <c r="DF933" s="1114"/>
      <c r="DG933" s="1114"/>
      <c r="DH933" s="1114"/>
      <c r="DI933" s="1114"/>
      <c r="DJ933" s="1114"/>
      <c r="DK933" s="1114"/>
      <c r="DL933" s="1114"/>
      <c r="DM933" s="1114"/>
      <c r="DN933" s="1114"/>
      <c r="DO933" s="1114"/>
      <c r="DP933" s="1114"/>
      <c r="DQ933" s="1114"/>
      <c r="DR933" s="1114"/>
      <c r="DS933" s="1114"/>
      <c r="DT933" s="1114"/>
      <c r="DU933" s="1114"/>
      <c r="DV933" s="1115"/>
      <c r="DW933" s="1116"/>
      <c r="DX933" s="1116"/>
      <c r="DY933" s="1116"/>
      <c r="DZ933" s="1116"/>
      <c r="EA933" s="1116"/>
      <c r="EB933" s="1116"/>
      <c r="EC933" s="1116"/>
      <c r="ED933" s="1116"/>
      <c r="EE933" s="1116"/>
      <c r="EF933" s="1116"/>
      <c r="EG933" s="1116"/>
      <c r="EH933" s="1116"/>
      <c r="EI933" s="1116"/>
      <c r="EJ933" s="1116"/>
      <c r="EK933" s="1116"/>
      <c r="EL933" s="1116"/>
      <c r="EM933" s="1116"/>
      <c r="EN933" s="1116"/>
      <c r="EO933" s="1116"/>
      <c r="EP933" s="1116"/>
      <c r="EQ933" s="1116"/>
      <c r="ER933" s="1116"/>
      <c r="ES933" s="1116"/>
    </row>
    <row r="934" spans="1:149" ht="15" customHeight="1">
      <c r="A934" s="1185">
        <v>924</v>
      </c>
      <c r="B934" s="1041"/>
      <c r="C934" s="1050"/>
      <c r="D934" s="1050"/>
      <c r="E934" s="1050"/>
      <c r="F934" s="1049"/>
      <c r="G934" s="1049"/>
      <c r="H934" s="1049"/>
      <c r="I934" s="1049"/>
      <c r="J934" s="1050"/>
      <c r="K934" s="1050"/>
      <c r="L934" s="1043"/>
      <c r="M934" s="1051"/>
      <c r="N934" s="1051"/>
      <c r="O934" s="1052"/>
      <c r="P934" s="1051"/>
      <c r="Q934" s="1051"/>
      <c r="R934" s="1052"/>
      <c r="S934" s="1051"/>
      <c r="T934" s="1051"/>
      <c r="U934" s="1052"/>
      <c r="V934" s="1051"/>
      <c r="W934" s="1051"/>
      <c r="X934" s="1052"/>
      <c r="Y934" s="1053"/>
      <c r="Z934" s="1051"/>
      <c r="AA934" s="1051"/>
      <c r="AB934" s="1052"/>
      <c r="AC934" s="1051"/>
      <c r="AD934" s="1051"/>
      <c r="AE934" s="1052"/>
      <c r="AF934" s="1051"/>
      <c r="AG934" s="1051"/>
      <c r="AH934" s="1051"/>
      <c r="AI934" s="1051"/>
      <c r="AJ934" s="1052"/>
      <c r="AK934" s="1051"/>
      <c r="AL934" s="1051"/>
      <c r="AM934" s="1052"/>
      <c r="AN934" s="1051"/>
      <c r="AO934" s="1051"/>
      <c r="AP934" s="1052"/>
      <c r="AQ934" s="1051"/>
      <c r="AR934" s="1051"/>
      <c r="AS934" s="1052"/>
      <c r="AT934" s="1051"/>
      <c r="AU934" s="1051"/>
      <c r="AV934" s="1052"/>
      <c r="AW934" s="1051"/>
      <c r="AX934" s="1051"/>
      <c r="AY934" s="1053"/>
      <c r="AZ934" s="1051"/>
      <c r="BA934" s="1051"/>
      <c r="BB934" s="1053"/>
      <c r="BC934" s="1051"/>
      <c r="BD934" s="1051"/>
      <c r="BE934" s="1053"/>
      <c r="BF934" s="1051"/>
      <c r="BG934" s="1051"/>
      <c r="BH934" s="1053"/>
      <c r="BI934" s="1052"/>
      <c r="BJ934" s="1052"/>
      <c r="BK934" s="1052"/>
      <c r="BL934" s="1052"/>
      <c r="BM934" s="1052"/>
      <c r="BN934" s="1054"/>
      <c r="BO934" s="1076">
        <f t="shared" si="15"/>
        <v>0</v>
      </c>
      <c r="BP934" s="1051"/>
      <c r="BQ934" s="1052"/>
      <c r="BR934" s="1054"/>
      <c r="BS934" s="1053"/>
      <c r="BT934" s="1051"/>
      <c r="BU934" s="1051"/>
      <c r="BV934" s="1051"/>
      <c r="BW934" s="1052"/>
      <c r="BX934" s="1052"/>
      <c r="BY934" s="1052"/>
      <c r="BZ934" s="1052"/>
      <c r="CA934" s="1052"/>
      <c r="CB934" s="1053"/>
      <c r="CC934" s="1053"/>
      <c r="CD934" s="1053"/>
      <c r="CE934" s="1053"/>
      <c r="CF934" s="1053"/>
      <c r="CG934" s="1053"/>
      <c r="CH934" s="1053"/>
      <c r="CI934" s="1123"/>
      <c r="CJ934" s="1123"/>
      <c r="CK934" s="1123"/>
      <c r="CL934" s="1123"/>
      <c r="CM934" s="1123"/>
      <c r="CN934" s="1123"/>
      <c r="CO934" s="1123"/>
      <c r="CP934" s="1123"/>
      <c r="CQ934" s="1123"/>
      <c r="CR934" s="1123"/>
      <c r="CS934" s="1123"/>
      <c r="CT934" s="1123"/>
      <c r="CU934" s="1123"/>
      <c r="CV934" s="1123"/>
      <c r="CW934" s="1123"/>
      <c r="CX934" s="1123"/>
      <c r="CY934" s="1123"/>
      <c r="CZ934" s="1114"/>
      <c r="DA934" s="1114"/>
      <c r="DB934" s="1114"/>
      <c r="DC934" s="1114"/>
      <c r="DD934" s="1114"/>
      <c r="DE934" s="1114"/>
      <c r="DF934" s="1114"/>
      <c r="DG934" s="1114"/>
      <c r="DH934" s="1114"/>
      <c r="DI934" s="1114"/>
      <c r="DJ934" s="1114"/>
      <c r="DK934" s="1114"/>
      <c r="DL934" s="1114"/>
      <c r="DM934" s="1114"/>
      <c r="DN934" s="1114"/>
      <c r="DO934" s="1114"/>
      <c r="DP934" s="1114"/>
      <c r="DQ934" s="1114"/>
      <c r="DR934" s="1114"/>
      <c r="DS934" s="1114"/>
      <c r="DT934" s="1114"/>
      <c r="DU934" s="1114"/>
      <c r="DV934" s="1115"/>
      <c r="DW934" s="1116"/>
      <c r="DX934" s="1116"/>
      <c r="DY934" s="1116"/>
      <c r="DZ934" s="1116"/>
      <c r="EA934" s="1116"/>
      <c r="EB934" s="1116"/>
      <c r="EC934" s="1116"/>
      <c r="ED934" s="1116"/>
      <c r="EE934" s="1116"/>
      <c r="EF934" s="1116"/>
      <c r="EG934" s="1116"/>
      <c r="EH934" s="1116"/>
      <c r="EI934" s="1116"/>
      <c r="EJ934" s="1116"/>
      <c r="EK934" s="1116"/>
      <c r="EL934" s="1116"/>
      <c r="EM934" s="1116"/>
      <c r="EN934" s="1116"/>
      <c r="EO934" s="1116"/>
      <c r="EP934" s="1116"/>
      <c r="EQ934" s="1116"/>
      <c r="ER934" s="1116"/>
      <c r="ES934" s="1116"/>
    </row>
    <row r="935" spans="1:149" ht="15" customHeight="1">
      <c r="A935" s="1185">
        <v>925</v>
      </c>
      <c r="B935" s="1041"/>
      <c r="C935" s="1050"/>
      <c r="D935" s="1050"/>
      <c r="E935" s="1050"/>
      <c r="F935" s="1049"/>
      <c r="G935" s="1049"/>
      <c r="H935" s="1049"/>
      <c r="I935" s="1049"/>
      <c r="J935" s="1050"/>
      <c r="K935" s="1050"/>
      <c r="L935" s="1043"/>
      <c r="M935" s="1051"/>
      <c r="N935" s="1051"/>
      <c r="O935" s="1052"/>
      <c r="P935" s="1051"/>
      <c r="Q935" s="1051"/>
      <c r="R935" s="1052"/>
      <c r="S935" s="1051"/>
      <c r="T935" s="1051"/>
      <c r="U935" s="1052"/>
      <c r="V935" s="1051"/>
      <c r="W935" s="1051"/>
      <c r="X935" s="1052"/>
      <c r="Y935" s="1053"/>
      <c r="Z935" s="1051"/>
      <c r="AA935" s="1051"/>
      <c r="AB935" s="1052"/>
      <c r="AC935" s="1051"/>
      <c r="AD935" s="1051"/>
      <c r="AE935" s="1052"/>
      <c r="AF935" s="1051"/>
      <c r="AG935" s="1051"/>
      <c r="AH935" s="1051"/>
      <c r="AI935" s="1051"/>
      <c r="AJ935" s="1052"/>
      <c r="AK935" s="1051"/>
      <c r="AL935" s="1051"/>
      <c r="AM935" s="1052"/>
      <c r="AN935" s="1051"/>
      <c r="AO935" s="1051"/>
      <c r="AP935" s="1052"/>
      <c r="AQ935" s="1051"/>
      <c r="AR935" s="1051"/>
      <c r="AS935" s="1052"/>
      <c r="AT935" s="1051"/>
      <c r="AU935" s="1051"/>
      <c r="AV935" s="1052"/>
      <c r="AW935" s="1051"/>
      <c r="AX935" s="1051"/>
      <c r="AY935" s="1053"/>
      <c r="AZ935" s="1051"/>
      <c r="BA935" s="1051"/>
      <c r="BB935" s="1053"/>
      <c r="BC935" s="1051"/>
      <c r="BD935" s="1051"/>
      <c r="BE935" s="1053"/>
      <c r="BF935" s="1051"/>
      <c r="BG935" s="1051"/>
      <c r="BH935" s="1053"/>
      <c r="BI935" s="1052"/>
      <c r="BJ935" s="1052"/>
      <c r="BK935" s="1052"/>
      <c r="BL935" s="1052"/>
      <c r="BM935" s="1052"/>
      <c r="BN935" s="1054"/>
      <c r="BO935" s="1076">
        <f t="shared" si="15"/>
        <v>0</v>
      </c>
      <c r="BP935" s="1051"/>
      <c r="BQ935" s="1052"/>
      <c r="BR935" s="1054"/>
      <c r="BS935" s="1053"/>
      <c r="BT935" s="1051"/>
      <c r="BU935" s="1051"/>
      <c r="BV935" s="1051"/>
      <c r="BW935" s="1052"/>
      <c r="BX935" s="1052"/>
      <c r="BY935" s="1052"/>
      <c r="BZ935" s="1052"/>
      <c r="CA935" s="1052"/>
      <c r="CB935" s="1053"/>
      <c r="CC935" s="1053"/>
      <c r="CD935" s="1053"/>
      <c r="CE935" s="1053"/>
      <c r="CF935" s="1053"/>
      <c r="CG935" s="1053"/>
      <c r="CH935" s="1053"/>
      <c r="CI935" s="1123"/>
      <c r="CJ935" s="1123"/>
      <c r="CK935" s="1123"/>
      <c r="CL935" s="1123"/>
      <c r="CM935" s="1123"/>
      <c r="CN935" s="1123"/>
      <c r="CO935" s="1123"/>
      <c r="CP935" s="1123"/>
      <c r="CQ935" s="1123"/>
      <c r="CR935" s="1123"/>
      <c r="CS935" s="1123"/>
      <c r="CT935" s="1123"/>
      <c r="CU935" s="1123"/>
      <c r="CV935" s="1123"/>
      <c r="CW935" s="1123"/>
      <c r="CX935" s="1123"/>
      <c r="CY935" s="1123"/>
      <c r="CZ935" s="1114"/>
      <c r="DA935" s="1114"/>
      <c r="DB935" s="1114"/>
      <c r="DC935" s="1114"/>
      <c r="DD935" s="1114"/>
      <c r="DE935" s="1114"/>
      <c r="DF935" s="1114"/>
      <c r="DG935" s="1114"/>
      <c r="DH935" s="1114"/>
      <c r="DI935" s="1114"/>
      <c r="DJ935" s="1114"/>
      <c r="DK935" s="1114"/>
      <c r="DL935" s="1114"/>
      <c r="DM935" s="1114"/>
      <c r="DN935" s="1114"/>
      <c r="DO935" s="1114"/>
      <c r="DP935" s="1114"/>
      <c r="DQ935" s="1114"/>
      <c r="DR935" s="1114"/>
      <c r="DS935" s="1114"/>
      <c r="DT935" s="1114"/>
      <c r="DU935" s="1114"/>
      <c r="DV935" s="1115"/>
      <c r="DW935" s="1116"/>
      <c r="DX935" s="1116"/>
      <c r="DY935" s="1116"/>
      <c r="DZ935" s="1116"/>
      <c r="EA935" s="1116"/>
      <c r="EB935" s="1116"/>
      <c r="EC935" s="1116"/>
      <c r="ED935" s="1116"/>
      <c r="EE935" s="1116"/>
      <c r="EF935" s="1116"/>
      <c r="EG935" s="1116"/>
      <c r="EH935" s="1116"/>
      <c r="EI935" s="1116"/>
      <c r="EJ935" s="1116"/>
      <c r="EK935" s="1116"/>
      <c r="EL935" s="1116"/>
      <c r="EM935" s="1116"/>
      <c r="EN935" s="1116"/>
      <c r="EO935" s="1116"/>
      <c r="EP935" s="1116"/>
      <c r="EQ935" s="1116"/>
      <c r="ER935" s="1116"/>
      <c r="ES935" s="1116"/>
    </row>
    <row r="936" spans="1:149" ht="15" customHeight="1">
      <c r="A936" s="1185">
        <v>926</v>
      </c>
      <c r="B936" s="1041"/>
      <c r="C936" s="1050"/>
      <c r="D936" s="1050"/>
      <c r="E936" s="1050"/>
      <c r="F936" s="1049"/>
      <c r="G936" s="1049"/>
      <c r="H936" s="1049"/>
      <c r="I936" s="1049"/>
      <c r="J936" s="1050"/>
      <c r="K936" s="1050"/>
      <c r="L936" s="1043"/>
      <c r="M936" s="1051"/>
      <c r="N936" s="1051"/>
      <c r="O936" s="1052"/>
      <c r="P936" s="1051"/>
      <c r="Q936" s="1051"/>
      <c r="R936" s="1052"/>
      <c r="S936" s="1051"/>
      <c r="T936" s="1051"/>
      <c r="U936" s="1052"/>
      <c r="V936" s="1051"/>
      <c r="W936" s="1051"/>
      <c r="X936" s="1052"/>
      <c r="Y936" s="1053"/>
      <c r="Z936" s="1051"/>
      <c r="AA936" s="1051"/>
      <c r="AB936" s="1052"/>
      <c r="AC936" s="1051"/>
      <c r="AD936" s="1051"/>
      <c r="AE936" s="1052"/>
      <c r="AF936" s="1051"/>
      <c r="AG936" s="1051"/>
      <c r="AH936" s="1051"/>
      <c r="AI936" s="1051"/>
      <c r="AJ936" s="1052"/>
      <c r="AK936" s="1051"/>
      <c r="AL936" s="1051"/>
      <c r="AM936" s="1052"/>
      <c r="AN936" s="1051"/>
      <c r="AO936" s="1051"/>
      <c r="AP936" s="1052"/>
      <c r="AQ936" s="1051"/>
      <c r="AR936" s="1051"/>
      <c r="AS936" s="1052"/>
      <c r="AT936" s="1051"/>
      <c r="AU936" s="1051"/>
      <c r="AV936" s="1052"/>
      <c r="AW936" s="1051"/>
      <c r="AX936" s="1051"/>
      <c r="AY936" s="1053"/>
      <c r="AZ936" s="1051"/>
      <c r="BA936" s="1051"/>
      <c r="BB936" s="1053"/>
      <c r="BC936" s="1051"/>
      <c r="BD936" s="1051"/>
      <c r="BE936" s="1053"/>
      <c r="BF936" s="1051"/>
      <c r="BG936" s="1051"/>
      <c r="BH936" s="1053"/>
      <c r="BI936" s="1052"/>
      <c r="BJ936" s="1052"/>
      <c r="BK936" s="1052"/>
      <c r="BL936" s="1052"/>
      <c r="BM936" s="1052"/>
      <c r="BN936" s="1054"/>
      <c r="BO936" s="1076">
        <f t="shared" si="15"/>
        <v>0</v>
      </c>
      <c r="BP936" s="1051"/>
      <c r="BQ936" s="1052"/>
      <c r="BR936" s="1054"/>
      <c r="BS936" s="1053"/>
      <c r="BT936" s="1051"/>
      <c r="BU936" s="1051"/>
      <c r="BV936" s="1051"/>
      <c r="BW936" s="1052"/>
      <c r="BX936" s="1052"/>
      <c r="BY936" s="1052"/>
      <c r="BZ936" s="1052"/>
      <c r="CA936" s="1052"/>
      <c r="CB936" s="1053"/>
      <c r="CC936" s="1053"/>
      <c r="CD936" s="1053"/>
      <c r="CE936" s="1053"/>
      <c r="CF936" s="1053"/>
      <c r="CG936" s="1053"/>
      <c r="CH936" s="1053"/>
      <c r="CI936" s="1123"/>
      <c r="CJ936" s="1123"/>
      <c r="CK936" s="1123"/>
      <c r="CL936" s="1123"/>
      <c r="CM936" s="1123"/>
      <c r="CN936" s="1123"/>
      <c r="CO936" s="1123"/>
      <c r="CP936" s="1123"/>
      <c r="CQ936" s="1123"/>
      <c r="CR936" s="1123"/>
      <c r="CS936" s="1123"/>
      <c r="CT936" s="1123"/>
      <c r="CU936" s="1123"/>
      <c r="CV936" s="1123"/>
      <c r="CW936" s="1123"/>
      <c r="CX936" s="1123"/>
      <c r="CY936" s="1123"/>
      <c r="CZ936" s="1114"/>
      <c r="DA936" s="1114"/>
      <c r="DB936" s="1114"/>
      <c r="DC936" s="1114"/>
      <c r="DD936" s="1114"/>
      <c r="DE936" s="1114"/>
      <c r="DF936" s="1114"/>
      <c r="DG936" s="1114"/>
      <c r="DH936" s="1114"/>
      <c r="DI936" s="1114"/>
      <c r="DJ936" s="1114"/>
      <c r="DK936" s="1114"/>
      <c r="DL936" s="1114"/>
      <c r="DM936" s="1114"/>
      <c r="DN936" s="1114"/>
      <c r="DO936" s="1114"/>
      <c r="DP936" s="1114"/>
      <c r="DQ936" s="1114"/>
      <c r="DR936" s="1114"/>
      <c r="DS936" s="1114"/>
      <c r="DT936" s="1114"/>
      <c r="DU936" s="1114"/>
      <c r="DV936" s="1115"/>
      <c r="DW936" s="1116"/>
      <c r="DX936" s="1116"/>
      <c r="DY936" s="1116"/>
      <c r="DZ936" s="1116"/>
      <c r="EA936" s="1116"/>
      <c r="EB936" s="1116"/>
      <c r="EC936" s="1116"/>
      <c r="ED936" s="1116"/>
      <c r="EE936" s="1116"/>
      <c r="EF936" s="1116"/>
      <c r="EG936" s="1116"/>
      <c r="EH936" s="1116"/>
      <c r="EI936" s="1116"/>
      <c r="EJ936" s="1116"/>
      <c r="EK936" s="1116"/>
      <c r="EL936" s="1116"/>
      <c r="EM936" s="1116"/>
      <c r="EN936" s="1116"/>
      <c r="EO936" s="1116"/>
      <c r="EP936" s="1116"/>
      <c r="EQ936" s="1116"/>
      <c r="ER936" s="1116"/>
      <c r="ES936" s="1116"/>
    </row>
    <row r="937" spans="1:149" ht="15" customHeight="1">
      <c r="A937" s="1185">
        <v>927</v>
      </c>
      <c r="B937" s="1041"/>
      <c r="C937" s="1050"/>
      <c r="D937" s="1050"/>
      <c r="E937" s="1050"/>
      <c r="F937" s="1049"/>
      <c r="G937" s="1049"/>
      <c r="H937" s="1049"/>
      <c r="I937" s="1049"/>
      <c r="J937" s="1050"/>
      <c r="K937" s="1050"/>
      <c r="L937" s="1043"/>
      <c r="M937" s="1051"/>
      <c r="N937" s="1051"/>
      <c r="O937" s="1052"/>
      <c r="P937" s="1051"/>
      <c r="Q937" s="1051"/>
      <c r="R937" s="1052"/>
      <c r="S937" s="1051"/>
      <c r="T937" s="1051"/>
      <c r="U937" s="1052"/>
      <c r="V937" s="1051"/>
      <c r="W937" s="1051"/>
      <c r="X937" s="1052"/>
      <c r="Y937" s="1053"/>
      <c r="Z937" s="1051"/>
      <c r="AA937" s="1051"/>
      <c r="AB937" s="1052"/>
      <c r="AC937" s="1051"/>
      <c r="AD937" s="1051"/>
      <c r="AE937" s="1052"/>
      <c r="AF937" s="1051"/>
      <c r="AG937" s="1051"/>
      <c r="AH937" s="1051"/>
      <c r="AI937" s="1051"/>
      <c r="AJ937" s="1052"/>
      <c r="AK937" s="1051"/>
      <c r="AL937" s="1051"/>
      <c r="AM937" s="1052"/>
      <c r="AN937" s="1051"/>
      <c r="AO937" s="1051"/>
      <c r="AP937" s="1052"/>
      <c r="AQ937" s="1051"/>
      <c r="AR937" s="1051"/>
      <c r="AS937" s="1052"/>
      <c r="AT937" s="1051"/>
      <c r="AU937" s="1051"/>
      <c r="AV937" s="1052"/>
      <c r="AW937" s="1051"/>
      <c r="AX937" s="1051"/>
      <c r="AY937" s="1053"/>
      <c r="AZ937" s="1051"/>
      <c r="BA937" s="1051"/>
      <c r="BB937" s="1053"/>
      <c r="BC937" s="1051"/>
      <c r="BD937" s="1051"/>
      <c r="BE937" s="1053"/>
      <c r="BF937" s="1051"/>
      <c r="BG937" s="1051"/>
      <c r="BH937" s="1053"/>
      <c r="BI937" s="1052"/>
      <c r="BJ937" s="1052"/>
      <c r="BK937" s="1052"/>
      <c r="BL937" s="1052"/>
      <c r="BM937" s="1052"/>
      <c r="BN937" s="1054"/>
      <c r="BO937" s="1076">
        <f t="shared" si="15"/>
        <v>0</v>
      </c>
      <c r="BP937" s="1051"/>
      <c r="BQ937" s="1052"/>
      <c r="BR937" s="1054"/>
      <c r="BS937" s="1053"/>
      <c r="BT937" s="1051"/>
      <c r="BU937" s="1051"/>
      <c r="BV937" s="1051"/>
      <c r="BW937" s="1052"/>
      <c r="BX937" s="1052"/>
      <c r="BY937" s="1052"/>
      <c r="BZ937" s="1052"/>
      <c r="CA937" s="1052"/>
      <c r="CB937" s="1053"/>
      <c r="CC937" s="1053"/>
      <c r="CD937" s="1053"/>
      <c r="CE937" s="1053"/>
      <c r="CF937" s="1053"/>
      <c r="CG937" s="1053"/>
      <c r="CH937" s="1053"/>
      <c r="CI937" s="1123"/>
      <c r="CJ937" s="1123"/>
      <c r="CK937" s="1123"/>
      <c r="CL937" s="1123"/>
      <c r="CM937" s="1123"/>
      <c r="CN937" s="1123"/>
      <c r="CO937" s="1123"/>
      <c r="CP937" s="1123"/>
      <c r="CQ937" s="1123"/>
      <c r="CR937" s="1123"/>
      <c r="CS937" s="1123"/>
      <c r="CT937" s="1123"/>
      <c r="CU937" s="1123"/>
      <c r="CV937" s="1123"/>
      <c r="CW937" s="1123"/>
      <c r="CX937" s="1123"/>
      <c r="CY937" s="1123"/>
      <c r="CZ937" s="1114"/>
      <c r="DA937" s="1114"/>
      <c r="DB937" s="1114"/>
      <c r="DC937" s="1114"/>
      <c r="DD937" s="1114"/>
      <c r="DE937" s="1114"/>
      <c r="DF937" s="1114"/>
      <c r="DG937" s="1114"/>
      <c r="DH937" s="1114"/>
      <c r="DI937" s="1114"/>
      <c r="DJ937" s="1114"/>
      <c r="DK937" s="1114"/>
      <c r="DL937" s="1114"/>
      <c r="DM937" s="1114"/>
      <c r="DN937" s="1114"/>
      <c r="DO937" s="1114"/>
      <c r="DP937" s="1114"/>
      <c r="DQ937" s="1114"/>
      <c r="DR937" s="1114"/>
      <c r="DS937" s="1114"/>
      <c r="DT937" s="1114"/>
      <c r="DU937" s="1114"/>
      <c r="DV937" s="1115"/>
      <c r="DW937" s="1116"/>
      <c r="DX937" s="1116"/>
      <c r="DY937" s="1116"/>
      <c r="DZ937" s="1116"/>
      <c r="EA937" s="1116"/>
      <c r="EB937" s="1116"/>
      <c r="EC937" s="1116"/>
      <c r="ED937" s="1116"/>
      <c r="EE937" s="1116"/>
      <c r="EF937" s="1116"/>
      <c r="EG937" s="1116"/>
      <c r="EH937" s="1116"/>
      <c r="EI937" s="1116"/>
      <c r="EJ937" s="1116"/>
      <c r="EK937" s="1116"/>
      <c r="EL937" s="1116"/>
      <c r="EM937" s="1116"/>
      <c r="EN937" s="1116"/>
      <c r="EO937" s="1116"/>
      <c r="EP937" s="1116"/>
      <c r="EQ937" s="1116"/>
      <c r="ER937" s="1116"/>
      <c r="ES937" s="1116"/>
    </row>
    <row r="938" spans="1:149" ht="15" customHeight="1">
      <c r="A938" s="1185">
        <v>928</v>
      </c>
      <c r="B938" s="1041"/>
      <c r="C938" s="1050"/>
      <c r="D938" s="1050"/>
      <c r="E938" s="1050"/>
      <c r="F938" s="1049"/>
      <c r="G938" s="1049"/>
      <c r="H938" s="1049"/>
      <c r="I938" s="1049"/>
      <c r="J938" s="1050"/>
      <c r="K938" s="1050"/>
      <c r="L938" s="1043"/>
      <c r="M938" s="1051"/>
      <c r="N938" s="1051"/>
      <c r="O938" s="1052"/>
      <c r="P938" s="1051"/>
      <c r="Q938" s="1051"/>
      <c r="R938" s="1052"/>
      <c r="S938" s="1051"/>
      <c r="T938" s="1051"/>
      <c r="U938" s="1052"/>
      <c r="V938" s="1051"/>
      <c r="W938" s="1051"/>
      <c r="X938" s="1052"/>
      <c r="Y938" s="1053"/>
      <c r="Z938" s="1051"/>
      <c r="AA938" s="1051"/>
      <c r="AB938" s="1052"/>
      <c r="AC938" s="1051"/>
      <c r="AD938" s="1051"/>
      <c r="AE938" s="1052"/>
      <c r="AF938" s="1051"/>
      <c r="AG938" s="1051"/>
      <c r="AH938" s="1051"/>
      <c r="AI938" s="1051"/>
      <c r="AJ938" s="1052"/>
      <c r="AK938" s="1051"/>
      <c r="AL938" s="1051"/>
      <c r="AM938" s="1052"/>
      <c r="AN938" s="1051"/>
      <c r="AO938" s="1051"/>
      <c r="AP938" s="1052"/>
      <c r="AQ938" s="1051"/>
      <c r="AR938" s="1051"/>
      <c r="AS938" s="1052"/>
      <c r="AT938" s="1051"/>
      <c r="AU938" s="1051"/>
      <c r="AV938" s="1052"/>
      <c r="AW938" s="1051"/>
      <c r="AX938" s="1051"/>
      <c r="AY938" s="1053"/>
      <c r="AZ938" s="1051"/>
      <c r="BA938" s="1051"/>
      <c r="BB938" s="1053"/>
      <c r="BC938" s="1051"/>
      <c r="BD938" s="1051"/>
      <c r="BE938" s="1053"/>
      <c r="BF938" s="1051"/>
      <c r="BG938" s="1051"/>
      <c r="BH938" s="1053"/>
      <c r="BI938" s="1052"/>
      <c r="BJ938" s="1052"/>
      <c r="BK938" s="1052"/>
      <c r="BL938" s="1052"/>
      <c r="BM938" s="1052"/>
      <c r="BN938" s="1054"/>
      <c r="BO938" s="1076">
        <f t="shared" si="15"/>
        <v>0</v>
      </c>
      <c r="BP938" s="1051"/>
      <c r="BQ938" s="1052"/>
      <c r="BR938" s="1054"/>
      <c r="BS938" s="1053"/>
      <c r="BT938" s="1051"/>
      <c r="BU938" s="1051"/>
      <c r="BV938" s="1051"/>
      <c r="BW938" s="1052"/>
      <c r="BX938" s="1052"/>
      <c r="BY938" s="1052"/>
      <c r="BZ938" s="1052"/>
      <c r="CA938" s="1052"/>
      <c r="CB938" s="1053"/>
      <c r="CC938" s="1053"/>
      <c r="CD938" s="1053"/>
      <c r="CE938" s="1053"/>
      <c r="CF938" s="1053"/>
      <c r="CG938" s="1053"/>
      <c r="CH938" s="1053"/>
      <c r="CI938" s="1123"/>
      <c r="CJ938" s="1123"/>
      <c r="CK938" s="1123"/>
      <c r="CL938" s="1123"/>
      <c r="CM938" s="1123"/>
      <c r="CN938" s="1123"/>
      <c r="CO938" s="1123"/>
      <c r="CP938" s="1123"/>
      <c r="CQ938" s="1123"/>
      <c r="CR938" s="1123"/>
      <c r="CS938" s="1123"/>
      <c r="CT938" s="1123"/>
      <c r="CU938" s="1123"/>
      <c r="CV938" s="1123"/>
      <c r="CW938" s="1123"/>
      <c r="CX938" s="1123"/>
      <c r="CY938" s="1123"/>
      <c r="CZ938" s="1114"/>
      <c r="DA938" s="1114"/>
      <c r="DB938" s="1114"/>
      <c r="DC938" s="1114"/>
      <c r="DD938" s="1114"/>
      <c r="DE938" s="1114"/>
      <c r="DF938" s="1114"/>
      <c r="DG938" s="1114"/>
      <c r="DH938" s="1114"/>
      <c r="DI938" s="1114"/>
      <c r="DJ938" s="1114"/>
      <c r="DK938" s="1114"/>
      <c r="DL938" s="1114"/>
      <c r="DM938" s="1114"/>
      <c r="DN938" s="1114"/>
      <c r="DO938" s="1114"/>
      <c r="DP938" s="1114"/>
      <c r="DQ938" s="1114"/>
      <c r="DR938" s="1114"/>
      <c r="DS938" s="1114"/>
      <c r="DT938" s="1114"/>
      <c r="DU938" s="1114"/>
      <c r="DV938" s="1115"/>
      <c r="DW938" s="1116"/>
      <c r="DX938" s="1116"/>
      <c r="DY938" s="1116"/>
      <c r="DZ938" s="1116"/>
      <c r="EA938" s="1116"/>
      <c r="EB938" s="1116"/>
      <c r="EC938" s="1116"/>
      <c r="ED938" s="1116"/>
      <c r="EE938" s="1116"/>
      <c r="EF938" s="1116"/>
      <c r="EG938" s="1116"/>
      <c r="EH938" s="1116"/>
      <c r="EI938" s="1116"/>
      <c r="EJ938" s="1116"/>
      <c r="EK938" s="1116"/>
      <c r="EL938" s="1116"/>
      <c r="EM938" s="1116"/>
      <c r="EN938" s="1116"/>
      <c r="EO938" s="1116"/>
      <c r="EP938" s="1116"/>
      <c r="EQ938" s="1116"/>
      <c r="ER938" s="1116"/>
      <c r="ES938" s="1116"/>
    </row>
    <row r="939" spans="1:149" ht="15" customHeight="1">
      <c r="A939" s="1185">
        <v>929</v>
      </c>
      <c r="B939" s="1041"/>
      <c r="C939" s="1050"/>
      <c r="D939" s="1050"/>
      <c r="E939" s="1050"/>
      <c r="F939" s="1049"/>
      <c r="G939" s="1049"/>
      <c r="H939" s="1049"/>
      <c r="I939" s="1049"/>
      <c r="J939" s="1050"/>
      <c r="K939" s="1050"/>
      <c r="L939" s="1043"/>
      <c r="M939" s="1051"/>
      <c r="N939" s="1051"/>
      <c r="O939" s="1052"/>
      <c r="P939" s="1051"/>
      <c r="Q939" s="1051"/>
      <c r="R939" s="1052"/>
      <c r="S939" s="1051"/>
      <c r="T939" s="1051"/>
      <c r="U939" s="1052"/>
      <c r="V939" s="1051"/>
      <c r="W939" s="1051"/>
      <c r="X939" s="1052"/>
      <c r="Y939" s="1053"/>
      <c r="Z939" s="1051"/>
      <c r="AA939" s="1051"/>
      <c r="AB939" s="1052"/>
      <c r="AC939" s="1051"/>
      <c r="AD939" s="1051"/>
      <c r="AE939" s="1052"/>
      <c r="AF939" s="1051"/>
      <c r="AG939" s="1051"/>
      <c r="AH939" s="1051"/>
      <c r="AI939" s="1051"/>
      <c r="AJ939" s="1052"/>
      <c r="AK939" s="1051"/>
      <c r="AL939" s="1051"/>
      <c r="AM939" s="1052"/>
      <c r="AN939" s="1051"/>
      <c r="AO939" s="1051"/>
      <c r="AP939" s="1052"/>
      <c r="AQ939" s="1051"/>
      <c r="AR939" s="1051"/>
      <c r="AS939" s="1052"/>
      <c r="AT939" s="1051"/>
      <c r="AU939" s="1051"/>
      <c r="AV939" s="1052"/>
      <c r="AW939" s="1051"/>
      <c r="AX939" s="1051"/>
      <c r="AY939" s="1053"/>
      <c r="AZ939" s="1051"/>
      <c r="BA939" s="1051"/>
      <c r="BB939" s="1053"/>
      <c r="BC939" s="1051"/>
      <c r="BD939" s="1051"/>
      <c r="BE939" s="1053"/>
      <c r="BF939" s="1051"/>
      <c r="BG939" s="1051"/>
      <c r="BH939" s="1053"/>
      <c r="BI939" s="1052"/>
      <c r="BJ939" s="1052"/>
      <c r="BK939" s="1052"/>
      <c r="BL939" s="1052"/>
      <c r="BM939" s="1052"/>
      <c r="BN939" s="1054"/>
      <c r="BO939" s="1076">
        <f t="shared" si="15"/>
        <v>0</v>
      </c>
      <c r="BP939" s="1051"/>
      <c r="BQ939" s="1052"/>
      <c r="BR939" s="1054"/>
      <c r="BS939" s="1053"/>
      <c r="BT939" s="1051"/>
      <c r="BU939" s="1051"/>
      <c r="BV939" s="1051"/>
      <c r="BW939" s="1052"/>
      <c r="BX939" s="1052"/>
      <c r="BY939" s="1052"/>
      <c r="BZ939" s="1052"/>
      <c r="CA939" s="1052"/>
      <c r="CB939" s="1053"/>
      <c r="CC939" s="1053"/>
      <c r="CD939" s="1053"/>
      <c r="CE939" s="1053"/>
      <c r="CF939" s="1053"/>
      <c r="CG939" s="1053"/>
      <c r="CH939" s="1053"/>
      <c r="CI939" s="1123"/>
      <c r="CJ939" s="1123"/>
      <c r="CK939" s="1123"/>
      <c r="CL939" s="1123"/>
      <c r="CM939" s="1123"/>
      <c r="CN939" s="1123"/>
      <c r="CO939" s="1123"/>
      <c r="CP939" s="1123"/>
      <c r="CQ939" s="1123"/>
      <c r="CR939" s="1123"/>
      <c r="CS939" s="1123"/>
      <c r="CT939" s="1123"/>
      <c r="CU939" s="1123"/>
      <c r="CV939" s="1123"/>
      <c r="CW939" s="1123"/>
      <c r="CX939" s="1123"/>
      <c r="CY939" s="1123"/>
      <c r="CZ939" s="1114"/>
      <c r="DA939" s="1114"/>
      <c r="DB939" s="1114"/>
      <c r="DC939" s="1114"/>
      <c r="DD939" s="1114"/>
      <c r="DE939" s="1114"/>
      <c r="DF939" s="1114"/>
      <c r="DG939" s="1114"/>
      <c r="DH939" s="1114"/>
      <c r="DI939" s="1114"/>
      <c r="DJ939" s="1114"/>
      <c r="DK939" s="1114"/>
      <c r="DL939" s="1114"/>
      <c r="DM939" s="1114"/>
      <c r="DN939" s="1114"/>
      <c r="DO939" s="1114"/>
      <c r="DP939" s="1114"/>
      <c r="DQ939" s="1114"/>
      <c r="DR939" s="1114"/>
      <c r="DS939" s="1114"/>
      <c r="DT939" s="1114"/>
      <c r="DU939" s="1114"/>
      <c r="DV939" s="1115"/>
      <c r="DW939" s="1116"/>
      <c r="DX939" s="1116"/>
      <c r="DY939" s="1116"/>
      <c r="DZ939" s="1116"/>
      <c r="EA939" s="1116"/>
      <c r="EB939" s="1116"/>
      <c r="EC939" s="1116"/>
      <c r="ED939" s="1116"/>
      <c r="EE939" s="1116"/>
      <c r="EF939" s="1116"/>
      <c r="EG939" s="1116"/>
      <c r="EH939" s="1116"/>
      <c r="EI939" s="1116"/>
      <c r="EJ939" s="1116"/>
      <c r="EK939" s="1116"/>
      <c r="EL939" s="1116"/>
      <c r="EM939" s="1116"/>
      <c r="EN939" s="1116"/>
      <c r="EO939" s="1116"/>
      <c r="EP939" s="1116"/>
      <c r="EQ939" s="1116"/>
      <c r="ER939" s="1116"/>
      <c r="ES939" s="1116"/>
    </row>
    <row r="940" spans="1:149" ht="15" customHeight="1">
      <c r="A940" s="1185">
        <v>930</v>
      </c>
      <c r="B940" s="1041"/>
      <c r="C940" s="1050"/>
      <c r="D940" s="1050"/>
      <c r="E940" s="1050"/>
      <c r="F940" s="1049"/>
      <c r="G940" s="1049"/>
      <c r="H940" s="1049"/>
      <c r="I940" s="1049"/>
      <c r="J940" s="1050"/>
      <c r="K940" s="1050"/>
      <c r="L940" s="1043"/>
      <c r="M940" s="1051"/>
      <c r="N940" s="1051"/>
      <c r="O940" s="1052"/>
      <c r="P940" s="1051"/>
      <c r="Q940" s="1051"/>
      <c r="R940" s="1052"/>
      <c r="S940" s="1051"/>
      <c r="T940" s="1051"/>
      <c r="U940" s="1052"/>
      <c r="V940" s="1051"/>
      <c r="W940" s="1051"/>
      <c r="X940" s="1052"/>
      <c r="Y940" s="1053"/>
      <c r="Z940" s="1051"/>
      <c r="AA940" s="1051"/>
      <c r="AB940" s="1052"/>
      <c r="AC940" s="1051"/>
      <c r="AD940" s="1051"/>
      <c r="AE940" s="1052"/>
      <c r="AF940" s="1051"/>
      <c r="AG940" s="1051"/>
      <c r="AH940" s="1051"/>
      <c r="AI940" s="1051"/>
      <c r="AJ940" s="1052"/>
      <c r="AK940" s="1051"/>
      <c r="AL940" s="1051"/>
      <c r="AM940" s="1052"/>
      <c r="AN940" s="1051"/>
      <c r="AO940" s="1051"/>
      <c r="AP940" s="1052"/>
      <c r="AQ940" s="1051"/>
      <c r="AR940" s="1051"/>
      <c r="AS940" s="1052"/>
      <c r="AT940" s="1051"/>
      <c r="AU940" s="1051"/>
      <c r="AV940" s="1052"/>
      <c r="AW940" s="1051"/>
      <c r="AX940" s="1051"/>
      <c r="AY940" s="1053"/>
      <c r="AZ940" s="1051"/>
      <c r="BA940" s="1051"/>
      <c r="BB940" s="1053"/>
      <c r="BC940" s="1051"/>
      <c r="BD940" s="1051"/>
      <c r="BE940" s="1053"/>
      <c r="BF940" s="1051"/>
      <c r="BG940" s="1051"/>
      <c r="BH940" s="1053"/>
      <c r="BI940" s="1052"/>
      <c r="BJ940" s="1052"/>
      <c r="BK940" s="1052"/>
      <c r="BL940" s="1052"/>
      <c r="BM940" s="1052"/>
      <c r="BN940" s="1054"/>
      <c r="BO940" s="1076">
        <f t="shared" si="15"/>
        <v>0</v>
      </c>
      <c r="BP940" s="1051"/>
      <c r="BQ940" s="1052"/>
      <c r="BR940" s="1054"/>
      <c r="BS940" s="1053"/>
      <c r="BT940" s="1051"/>
      <c r="BU940" s="1051"/>
      <c r="BV940" s="1051"/>
      <c r="BW940" s="1052"/>
      <c r="BX940" s="1052"/>
      <c r="BY940" s="1052"/>
      <c r="BZ940" s="1052"/>
      <c r="CA940" s="1052"/>
      <c r="CB940" s="1053"/>
      <c r="CC940" s="1053"/>
      <c r="CD940" s="1053"/>
      <c r="CE940" s="1053"/>
      <c r="CF940" s="1053"/>
      <c r="CG940" s="1053"/>
      <c r="CH940" s="1053"/>
      <c r="CI940" s="1123"/>
      <c r="CJ940" s="1123"/>
      <c r="CK940" s="1123"/>
      <c r="CL940" s="1123"/>
      <c r="CM940" s="1123"/>
      <c r="CN940" s="1123"/>
      <c r="CO940" s="1123"/>
      <c r="CP940" s="1123"/>
      <c r="CQ940" s="1123"/>
      <c r="CR940" s="1123"/>
      <c r="CS940" s="1123"/>
      <c r="CT940" s="1123"/>
      <c r="CU940" s="1123"/>
      <c r="CV940" s="1123"/>
      <c r="CW940" s="1123"/>
      <c r="CX940" s="1123"/>
      <c r="CY940" s="1123"/>
      <c r="CZ940" s="1114"/>
      <c r="DA940" s="1114"/>
      <c r="DB940" s="1114"/>
      <c r="DC940" s="1114"/>
      <c r="DD940" s="1114"/>
      <c r="DE940" s="1114"/>
      <c r="DF940" s="1114"/>
      <c r="DG940" s="1114"/>
      <c r="DH940" s="1114"/>
      <c r="DI940" s="1114"/>
      <c r="DJ940" s="1114"/>
      <c r="DK940" s="1114"/>
      <c r="DL940" s="1114"/>
      <c r="DM940" s="1114"/>
      <c r="DN940" s="1114"/>
      <c r="DO940" s="1114"/>
      <c r="DP940" s="1114"/>
      <c r="DQ940" s="1114"/>
      <c r="DR940" s="1114"/>
      <c r="DS940" s="1114"/>
      <c r="DT940" s="1114"/>
      <c r="DU940" s="1114"/>
      <c r="DV940" s="1115"/>
      <c r="DW940" s="1116"/>
      <c r="DX940" s="1116"/>
      <c r="DY940" s="1116"/>
      <c r="DZ940" s="1116"/>
      <c r="EA940" s="1116"/>
      <c r="EB940" s="1116"/>
      <c r="EC940" s="1116"/>
      <c r="ED940" s="1116"/>
      <c r="EE940" s="1116"/>
      <c r="EF940" s="1116"/>
      <c r="EG940" s="1116"/>
      <c r="EH940" s="1116"/>
      <c r="EI940" s="1116"/>
      <c r="EJ940" s="1116"/>
      <c r="EK940" s="1116"/>
      <c r="EL940" s="1116"/>
      <c r="EM940" s="1116"/>
      <c r="EN940" s="1116"/>
      <c r="EO940" s="1116"/>
      <c r="EP940" s="1116"/>
      <c r="EQ940" s="1116"/>
      <c r="ER940" s="1116"/>
      <c r="ES940" s="1116"/>
    </row>
    <row r="941" spans="1:149" ht="15" customHeight="1">
      <c r="A941" s="1185">
        <v>931</v>
      </c>
      <c r="B941" s="1041"/>
      <c r="C941" s="1050"/>
      <c r="D941" s="1050"/>
      <c r="E941" s="1050"/>
      <c r="F941" s="1049"/>
      <c r="G941" s="1049"/>
      <c r="H941" s="1049"/>
      <c r="I941" s="1049"/>
      <c r="J941" s="1050"/>
      <c r="K941" s="1050"/>
      <c r="L941" s="1043"/>
      <c r="M941" s="1051"/>
      <c r="N941" s="1051"/>
      <c r="O941" s="1052"/>
      <c r="P941" s="1051"/>
      <c r="Q941" s="1051"/>
      <c r="R941" s="1052"/>
      <c r="S941" s="1051"/>
      <c r="T941" s="1051"/>
      <c r="U941" s="1052"/>
      <c r="V941" s="1051"/>
      <c r="W941" s="1051"/>
      <c r="X941" s="1052"/>
      <c r="Y941" s="1053"/>
      <c r="Z941" s="1051"/>
      <c r="AA941" s="1051"/>
      <c r="AB941" s="1052"/>
      <c r="AC941" s="1051"/>
      <c r="AD941" s="1051"/>
      <c r="AE941" s="1052"/>
      <c r="AF941" s="1051"/>
      <c r="AG941" s="1051"/>
      <c r="AH941" s="1051"/>
      <c r="AI941" s="1051"/>
      <c r="AJ941" s="1052"/>
      <c r="AK941" s="1051"/>
      <c r="AL941" s="1051"/>
      <c r="AM941" s="1052"/>
      <c r="AN941" s="1051"/>
      <c r="AO941" s="1051"/>
      <c r="AP941" s="1052"/>
      <c r="AQ941" s="1051"/>
      <c r="AR941" s="1051"/>
      <c r="AS941" s="1052"/>
      <c r="AT941" s="1051"/>
      <c r="AU941" s="1051"/>
      <c r="AV941" s="1052"/>
      <c r="AW941" s="1051"/>
      <c r="AX941" s="1051"/>
      <c r="AY941" s="1053"/>
      <c r="AZ941" s="1051"/>
      <c r="BA941" s="1051"/>
      <c r="BB941" s="1053"/>
      <c r="BC941" s="1051"/>
      <c r="BD941" s="1051"/>
      <c r="BE941" s="1053"/>
      <c r="BF941" s="1051"/>
      <c r="BG941" s="1051"/>
      <c r="BH941" s="1053"/>
      <c r="BI941" s="1052"/>
      <c r="BJ941" s="1052"/>
      <c r="BK941" s="1052"/>
      <c r="BL941" s="1052"/>
      <c r="BM941" s="1052"/>
      <c r="BN941" s="1054"/>
      <c r="BO941" s="1076">
        <f t="shared" si="15"/>
        <v>0</v>
      </c>
      <c r="BP941" s="1051"/>
      <c r="BQ941" s="1052"/>
      <c r="BR941" s="1054"/>
      <c r="BS941" s="1053"/>
      <c r="BT941" s="1051"/>
      <c r="BU941" s="1051"/>
      <c r="BV941" s="1051"/>
      <c r="BW941" s="1052"/>
      <c r="BX941" s="1052"/>
      <c r="BY941" s="1052"/>
      <c r="BZ941" s="1052"/>
      <c r="CA941" s="1052"/>
      <c r="CB941" s="1053"/>
      <c r="CC941" s="1053"/>
      <c r="CD941" s="1053"/>
      <c r="CE941" s="1053"/>
      <c r="CF941" s="1053"/>
      <c r="CG941" s="1053"/>
      <c r="CH941" s="1053"/>
      <c r="CI941" s="1123"/>
      <c r="CJ941" s="1123"/>
      <c r="CK941" s="1123"/>
      <c r="CL941" s="1123"/>
      <c r="CM941" s="1123"/>
      <c r="CN941" s="1123"/>
      <c r="CO941" s="1123"/>
      <c r="CP941" s="1123"/>
      <c r="CQ941" s="1123"/>
      <c r="CR941" s="1123"/>
      <c r="CS941" s="1123"/>
      <c r="CT941" s="1123"/>
      <c r="CU941" s="1123"/>
      <c r="CV941" s="1123"/>
      <c r="CW941" s="1123"/>
      <c r="CX941" s="1123"/>
      <c r="CY941" s="1123"/>
      <c r="CZ941" s="1114"/>
      <c r="DA941" s="1114"/>
      <c r="DB941" s="1114"/>
      <c r="DC941" s="1114"/>
      <c r="DD941" s="1114"/>
      <c r="DE941" s="1114"/>
      <c r="DF941" s="1114"/>
      <c r="DG941" s="1114"/>
      <c r="DH941" s="1114"/>
      <c r="DI941" s="1114"/>
      <c r="DJ941" s="1114"/>
      <c r="DK941" s="1114"/>
      <c r="DL941" s="1114"/>
      <c r="DM941" s="1114"/>
      <c r="DN941" s="1114"/>
      <c r="DO941" s="1114"/>
      <c r="DP941" s="1114"/>
      <c r="DQ941" s="1114"/>
      <c r="DR941" s="1114"/>
      <c r="DS941" s="1114"/>
      <c r="DT941" s="1114"/>
      <c r="DU941" s="1114"/>
      <c r="DV941" s="1115"/>
      <c r="DW941" s="1116"/>
      <c r="DX941" s="1116"/>
      <c r="DY941" s="1116"/>
      <c r="DZ941" s="1116"/>
      <c r="EA941" s="1116"/>
      <c r="EB941" s="1116"/>
      <c r="EC941" s="1116"/>
      <c r="ED941" s="1116"/>
      <c r="EE941" s="1116"/>
      <c r="EF941" s="1116"/>
      <c r="EG941" s="1116"/>
      <c r="EH941" s="1116"/>
      <c r="EI941" s="1116"/>
      <c r="EJ941" s="1116"/>
      <c r="EK941" s="1116"/>
      <c r="EL941" s="1116"/>
      <c r="EM941" s="1116"/>
      <c r="EN941" s="1116"/>
      <c r="EO941" s="1116"/>
      <c r="EP941" s="1116"/>
      <c r="EQ941" s="1116"/>
      <c r="ER941" s="1116"/>
      <c r="ES941" s="1116"/>
    </row>
    <row r="942" spans="1:149" ht="15" customHeight="1">
      <c r="A942" s="1185">
        <v>932</v>
      </c>
      <c r="B942" s="1041"/>
      <c r="C942" s="1050"/>
      <c r="D942" s="1050"/>
      <c r="E942" s="1050"/>
      <c r="F942" s="1049"/>
      <c r="G942" s="1049"/>
      <c r="H942" s="1049"/>
      <c r="I942" s="1049"/>
      <c r="J942" s="1050"/>
      <c r="K942" s="1050"/>
      <c r="L942" s="1043"/>
      <c r="M942" s="1051"/>
      <c r="N942" s="1051"/>
      <c r="O942" s="1052"/>
      <c r="P942" s="1051"/>
      <c r="Q942" s="1051"/>
      <c r="R942" s="1052"/>
      <c r="S942" s="1051"/>
      <c r="T942" s="1051"/>
      <c r="U942" s="1052"/>
      <c r="V942" s="1051"/>
      <c r="W942" s="1051"/>
      <c r="X942" s="1052"/>
      <c r="Y942" s="1053"/>
      <c r="Z942" s="1051"/>
      <c r="AA942" s="1051"/>
      <c r="AB942" s="1052"/>
      <c r="AC942" s="1051"/>
      <c r="AD942" s="1051"/>
      <c r="AE942" s="1052"/>
      <c r="AF942" s="1051"/>
      <c r="AG942" s="1051"/>
      <c r="AH942" s="1051"/>
      <c r="AI942" s="1051"/>
      <c r="AJ942" s="1052"/>
      <c r="AK942" s="1051"/>
      <c r="AL942" s="1051"/>
      <c r="AM942" s="1052"/>
      <c r="AN942" s="1051"/>
      <c r="AO942" s="1051"/>
      <c r="AP942" s="1052"/>
      <c r="AQ942" s="1051"/>
      <c r="AR942" s="1051"/>
      <c r="AS942" s="1052"/>
      <c r="AT942" s="1051"/>
      <c r="AU942" s="1051"/>
      <c r="AV942" s="1052"/>
      <c r="AW942" s="1051"/>
      <c r="AX942" s="1051"/>
      <c r="AY942" s="1053"/>
      <c r="AZ942" s="1051"/>
      <c r="BA942" s="1051"/>
      <c r="BB942" s="1053"/>
      <c r="BC942" s="1051"/>
      <c r="BD942" s="1051"/>
      <c r="BE942" s="1053"/>
      <c r="BF942" s="1051"/>
      <c r="BG942" s="1051"/>
      <c r="BH942" s="1053"/>
      <c r="BI942" s="1052"/>
      <c r="BJ942" s="1052"/>
      <c r="BK942" s="1052"/>
      <c r="BL942" s="1052"/>
      <c r="BM942" s="1052"/>
      <c r="BN942" s="1054"/>
      <c r="BO942" s="1076">
        <f t="shared" si="15"/>
        <v>0</v>
      </c>
      <c r="BP942" s="1051"/>
      <c r="BQ942" s="1052"/>
      <c r="BR942" s="1054"/>
      <c r="BS942" s="1053"/>
      <c r="BT942" s="1051"/>
      <c r="BU942" s="1051"/>
      <c r="BV942" s="1051"/>
      <c r="BW942" s="1052"/>
      <c r="BX942" s="1052"/>
      <c r="BY942" s="1052"/>
      <c r="BZ942" s="1052"/>
      <c r="CA942" s="1052"/>
      <c r="CB942" s="1053"/>
      <c r="CC942" s="1053"/>
      <c r="CD942" s="1053"/>
      <c r="CE942" s="1053"/>
      <c r="CF942" s="1053"/>
      <c r="CG942" s="1053"/>
      <c r="CH942" s="1053"/>
      <c r="CI942" s="1123"/>
      <c r="CJ942" s="1123"/>
      <c r="CK942" s="1123"/>
      <c r="CL942" s="1123"/>
      <c r="CM942" s="1123"/>
      <c r="CN942" s="1123"/>
      <c r="CO942" s="1123"/>
      <c r="CP942" s="1123"/>
      <c r="CQ942" s="1123"/>
      <c r="CR942" s="1123"/>
      <c r="CS942" s="1123"/>
      <c r="CT942" s="1123"/>
      <c r="CU942" s="1123"/>
      <c r="CV942" s="1123"/>
      <c r="CW942" s="1123"/>
      <c r="CX942" s="1123"/>
      <c r="CY942" s="1123"/>
      <c r="CZ942" s="1114"/>
      <c r="DA942" s="1114"/>
      <c r="DB942" s="1114"/>
      <c r="DC942" s="1114"/>
      <c r="DD942" s="1114"/>
      <c r="DE942" s="1114"/>
      <c r="DF942" s="1114"/>
      <c r="DG942" s="1114"/>
      <c r="DH942" s="1114"/>
      <c r="DI942" s="1114"/>
      <c r="DJ942" s="1114"/>
      <c r="DK942" s="1114"/>
      <c r="DL942" s="1114"/>
      <c r="DM942" s="1114"/>
      <c r="DN942" s="1114"/>
      <c r="DO942" s="1114"/>
      <c r="DP942" s="1114"/>
      <c r="DQ942" s="1114"/>
      <c r="DR942" s="1114"/>
      <c r="DS942" s="1114"/>
      <c r="DT942" s="1114"/>
      <c r="DU942" s="1114"/>
      <c r="DV942" s="1115"/>
      <c r="DW942" s="1116"/>
      <c r="DX942" s="1116"/>
      <c r="DY942" s="1116"/>
      <c r="DZ942" s="1116"/>
      <c r="EA942" s="1116"/>
      <c r="EB942" s="1116"/>
      <c r="EC942" s="1116"/>
      <c r="ED942" s="1116"/>
      <c r="EE942" s="1116"/>
      <c r="EF942" s="1116"/>
      <c r="EG942" s="1116"/>
      <c r="EH942" s="1116"/>
      <c r="EI942" s="1116"/>
      <c r="EJ942" s="1116"/>
      <c r="EK942" s="1116"/>
      <c r="EL942" s="1116"/>
      <c r="EM942" s="1116"/>
      <c r="EN942" s="1116"/>
      <c r="EO942" s="1116"/>
      <c r="EP942" s="1116"/>
      <c r="EQ942" s="1116"/>
      <c r="ER942" s="1116"/>
      <c r="ES942" s="1116"/>
    </row>
    <row r="943" spans="1:149" ht="15" customHeight="1">
      <c r="A943" s="1185">
        <v>933</v>
      </c>
      <c r="B943" s="1041"/>
      <c r="C943" s="1050"/>
      <c r="D943" s="1050"/>
      <c r="E943" s="1050"/>
      <c r="F943" s="1049"/>
      <c r="G943" s="1049"/>
      <c r="H943" s="1049"/>
      <c r="I943" s="1049"/>
      <c r="J943" s="1050"/>
      <c r="K943" s="1050"/>
      <c r="L943" s="1043"/>
      <c r="M943" s="1051"/>
      <c r="N943" s="1051"/>
      <c r="O943" s="1052"/>
      <c r="P943" s="1051"/>
      <c r="Q943" s="1051"/>
      <c r="R943" s="1052"/>
      <c r="S943" s="1051"/>
      <c r="T943" s="1051"/>
      <c r="U943" s="1052"/>
      <c r="V943" s="1051"/>
      <c r="W943" s="1051"/>
      <c r="X943" s="1052"/>
      <c r="Y943" s="1053"/>
      <c r="Z943" s="1051"/>
      <c r="AA943" s="1051"/>
      <c r="AB943" s="1052"/>
      <c r="AC943" s="1051"/>
      <c r="AD943" s="1051"/>
      <c r="AE943" s="1052"/>
      <c r="AF943" s="1051"/>
      <c r="AG943" s="1051"/>
      <c r="AH943" s="1051"/>
      <c r="AI943" s="1051"/>
      <c r="AJ943" s="1052"/>
      <c r="AK943" s="1051"/>
      <c r="AL943" s="1051"/>
      <c r="AM943" s="1052"/>
      <c r="AN943" s="1051"/>
      <c r="AO943" s="1051"/>
      <c r="AP943" s="1052"/>
      <c r="AQ943" s="1051"/>
      <c r="AR943" s="1051"/>
      <c r="AS943" s="1052"/>
      <c r="AT943" s="1051"/>
      <c r="AU943" s="1051"/>
      <c r="AV943" s="1052"/>
      <c r="AW943" s="1051"/>
      <c r="AX943" s="1051"/>
      <c r="AY943" s="1053"/>
      <c r="AZ943" s="1051"/>
      <c r="BA943" s="1051"/>
      <c r="BB943" s="1053"/>
      <c r="BC943" s="1051"/>
      <c r="BD943" s="1051"/>
      <c r="BE943" s="1053"/>
      <c r="BF943" s="1051"/>
      <c r="BG943" s="1051"/>
      <c r="BH943" s="1053"/>
      <c r="BI943" s="1052"/>
      <c r="BJ943" s="1052"/>
      <c r="BK943" s="1052"/>
      <c r="BL943" s="1052"/>
      <c r="BM943" s="1052"/>
      <c r="BN943" s="1054"/>
      <c r="BO943" s="1076">
        <f t="shared" si="15"/>
        <v>0</v>
      </c>
      <c r="BP943" s="1051"/>
      <c r="BQ943" s="1052"/>
      <c r="BR943" s="1054"/>
      <c r="BS943" s="1053"/>
      <c r="BT943" s="1051"/>
      <c r="BU943" s="1051"/>
      <c r="BV943" s="1051"/>
      <c r="BW943" s="1052"/>
      <c r="BX943" s="1052"/>
      <c r="BY943" s="1052"/>
      <c r="BZ943" s="1052"/>
      <c r="CA943" s="1052"/>
      <c r="CB943" s="1053"/>
      <c r="CC943" s="1053"/>
      <c r="CD943" s="1053"/>
      <c r="CE943" s="1053"/>
      <c r="CF943" s="1053"/>
      <c r="CG943" s="1053"/>
      <c r="CH943" s="1053"/>
      <c r="CI943" s="1123"/>
      <c r="CJ943" s="1123"/>
      <c r="CK943" s="1123"/>
      <c r="CL943" s="1123"/>
      <c r="CM943" s="1123"/>
      <c r="CN943" s="1123"/>
      <c r="CO943" s="1123"/>
      <c r="CP943" s="1123"/>
      <c r="CQ943" s="1123"/>
      <c r="CR943" s="1123"/>
      <c r="CS943" s="1123"/>
      <c r="CT943" s="1123"/>
      <c r="CU943" s="1123"/>
      <c r="CV943" s="1123"/>
      <c r="CW943" s="1123"/>
      <c r="CX943" s="1123"/>
      <c r="CY943" s="1123"/>
      <c r="CZ943" s="1114"/>
      <c r="DA943" s="1114"/>
      <c r="DB943" s="1114"/>
      <c r="DC943" s="1114"/>
      <c r="DD943" s="1114"/>
      <c r="DE943" s="1114"/>
      <c r="DF943" s="1114"/>
      <c r="DG943" s="1114"/>
      <c r="DH943" s="1114"/>
      <c r="DI943" s="1114"/>
      <c r="DJ943" s="1114"/>
      <c r="DK943" s="1114"/>
      <c r="DL943" s="1114"/>
      <c r="DM943" s="1114"/>
      <c r="DN943" s="1114"/>
      <c r="DO943" s="1114"/>
      <c r="DP943" s="1114"/>
      <c r="DQ943" s="1114"/>
      <c r="DR943" s="1114"/>
      <c r="DS943" s="1114"/>
      <c r="DT943" s="1114"/>
      <c r="DU943" s="1114"/>
      <c r="DV943" s="1115"/>
      <c r="DW943" s="1116"/>
      <c r="DX943" s="1116"/>
      <c r="DY943" s="1116"/>
      <c r="DZ943" s="1116"/>
      <c r="EA943" s="1116"/>
      <c r="EB943" s="1116"/>
      <c r="EC943" s="1116"/>
      <c r="ED943" s="1116"/>
      <c r="EE943" s="1116"/>
      <c r="EF943" s="1116"/>
      <c r="EG943" s="1116"/>
      <c r="EH943" s="1116"/>
      <c r="EI943" s="1116"/>
      <c r="EJ943" s="1116"/>
      <c r="EK943" s="1116"/>
      <c r="EL943" s="1116"/>
      <c r="EM943" s="1116"/>
      <c r="EN943" s="1116"/>
      <c r="EO943" s="1116"/>
      <c r="EP943" s="1116"/>
      <c r="EQ943" s="1116"/>
      <c r="ER943" s="1116"/>
      <c r="ES943" s="1116"/>
    </row>
    <row r="944" spans="1:149" ht="15" customHeight="1">
      <c r="A944" s="1185">
        <v>934</v>
      </c>
      <c r="B944" s="1041"/>
      <c r="C944" s="1050"/>
      <c r="D944" s="1050"/>
      <c r="E944" s="1050"/>
      <c r="F944" s="1049"/>
      <c r="G944" s="1049"/>
      <c r="H944" s="1049"/>
      <c r="I944" s="1049"/>
      <c r="J944" s="1050"/>
      <c r="K944" s="1050"/>
      <c r="L944" s="1043"/>
      <c r="M944" s="1051"/>
      <c r="N944" s="1051"/>
      <c r="O944" s="1052"/>
      <c r="P944" s="1051"/>
      <c r="Q944" s="1051"/>
      <c r="R944" s="1052"/>
      <c r="S944" s="1051"/>
      <c r="T944" s="1051"/>
      <c r="U944" s="1052"/>
      <c r="V944" s="1051"/>
      <c r="W944" s="1051"/>
      <c r="X944" s="1052"/>
      <c r="Y944" s="1053"/>
      <c r="Z944" s="1051"/>
      <c r="AA944" s="1051"/>
      <c r="AB944" s="1052"/>
      <c r="AC944" s="1051"/>
      <c r="AD944" s="1051"/>
      <c r="AE944" s="1052"/>
      <c r="AF944" s="1051"/>
      <c r="AG944" s="1051"/>
      <c r="AH944" s="1051"/>
      <c r="AI944" s="1051"/>
      <c r="AJ944" s="1052"/>
      <c r="AK944" s="1051"/>
      <c r="AL944" s="1051"/>
      <c r="AM944" s="1052"/>
      <c r="AN944" s="1051"/>
      <c r="AO944" s="1051"/>
      <c r="AP944" s="1052"/>
      <c r="AQ944" s="1051"/>
      <c r="AR944" s="1051"/>
      <c r="AS944" s="1052"/>
      <c r="AT944" s="1051"/>
      <c r="AU944" s="1051"/>
      <c r="AV944" s="1052"/>
      <c r="AW944" s="1051"/>
      <c r="AX944" s="1051"/>
      <c r="AY944" s="1053"/>
      <c r="AZ944" s="1051"/>
      <c r="BA944" s="1051"/>
      <c r="BB944" s="1053"/>
      <c r="BC944" s="1051"/>
      <c r="BD944" s="1051"/>
      <c r="BE944" s="1053"/>
      <c r="BF944" s="1051"/>
      <c r="BG944" s="1051"/>
      <c r="BH944" s="1053"/>
      <c r="BI944" s="1052"/>
      <c r="BJ944" s="1052"/>
      <c r="BK944" s="1052"/>
      <c r="BL944" s="1052"/>
      <c r="BM944" s="1052"/>
      <c r="BN944" s="1054"/>
      <c r="BO944" s="1076">
        <f t="shared" si="15"/>
        <v>0</v>
      </c>
      <c r="BP944" s="1051"/>
      <c r="BQ944" s="1052"/>
      <c r="BR944" s="1054"/>
      <c r="BS944" s="1053"/>
      <c r="BT944" s="1051"/>
      <c r="BU944" s="1051"/>
      <c r="BV944" s="1051"/>
      <c r="BW944" s="1052"/>
      <c r="BX944" s="1052"/>
      <c r="BY944" s="1052"/>
      <c r="BZ944" s="1052"/>
      <c r="CA944" s="1052"/>
      <c r="CB944" s="1053"/>
      <c r="CC944" s="1053"/>
      <c r="CD944" s="1053"/>
      <c r="CE944" s="1053"/>
      <c r="CF944" s="1053"/>
      <c r="CG944" s="1053"/>
      <c r="CH944" s="1053"/>
      <c r="CI944" s="1123"/>
      <c r="CJ944" s="1123"/>
      <c r="CK944" s="1123"/>
      <c r="CL944" s="1123"/>
      <c r="CM944" s="1123"/>
      <c r="CN944" s="1123"/>
      <c r="CO944" s="1123"/>
      <c r="CP944" s="1123"/>
      <c r="CQ944" s="1123"/>
      <c r="CR944" s="1123"/>
      <c r="CS944" s="1123"/>
      <c r="CT944" s="1123"/>
      <c r="CU944" s="1123"/>
      <c r="CV944" s="1123"/>
      <c r="CW944" s="1123"/>
      <c r="CX944" s="1123"/>
      <c r="CY944" s="1123"/>
      <c r="CZ944" s="1114"/>
      <c r="DA944" s="1114"/>
      <c r="DB944" s="1114"/>
      <c r="DC944" s="1114"/>
      <c r="DD944" s="1114"/>
      <c r="DE944" s="1114"/>
      <c r="DF944" s="1114"/>
      <c r="DG944" s="1114"/>
      <c r="DH944" s="1114"/>
      <c r="DI944" s="1114"/>
      <c r="DJ944" s="1114"/>
      <c r="DK944" s="1114"/>
      <c r="DL944" s="1114"/>
      <c r="DM944" s="1114"/>
      <c r="DN944" s="1114"/>
      <c r="DO944" s="1114"/>
      <c r="DP944" s="1114"/>
      <c r="DQ944" s="1114"/>
      <c r="DR944" s="1114"/>
      <c r="DS944" s="1114"/>
      <c r="DT944" s="1114"/>
      <c r="DU944" s="1114"/>
      <c r="DV944" s="1115"/>
      <c r="DW944" s="1116"/>
      <c r="DX944" s="1116"/>
      <c r="DY944" s="1116"/>
      <c r="DZ944" s="1116"/>
      <c r="EA944" s="1116"/>
      <c r="EB944" s="1116"/>
      <c r="EC944" s="1116"/>
      <c r="ED944" s="1116"/>
      <c r="EE944" s="1116"/>
      <c r="EF944" s="1116"/>
      <c r="EG944" s="1116"/>
      <c r="EH944" s="1116"/>
      <c r="EI944" s="1116"/>
      <c r="EJ944" s="1116"/>
      <c r="EK944" s="1116"/>
      <c r="EL944" s="1116"/>
      <c r="EM944" s="1116"/>
      <c r="EN944" s="1116"/>
      <c r="EO944" s="1116"/>
      <c r="EP944" s="1116"/>
      <c r="EQ944" s="1116"/>
      <c r="ER944" s="1116"/>
      <c r="ES944" s="1116"/>
    </row>
    <row r="945" spans="1:149" ht="15" customHeight="1">
      <c r="A945" s="1185">
        <v>935</v>
      </c>
      <c r="B945" s="1041"/>
      <c r="C945" s="1050"/>
      <c r="D945" s="1050"/>
      <c r="E945" s="1050"/>
      <c r="F945" s="1049"/>
      <c r="G945" s="1049"/>
      <c r="H945" s="1049"/>
      <c r="I945" s="1049"/>
      <c r="J945" s="1050"/>
      <c r="K945" s="1050"/>
      <c r="L945" s="1043"/>
      <c r="M945" s="1051"/>
      <c r="N945" s="1051"/>
      <c r="O945" s="1052"/>
      <c r="P945" s="1051"/>
      <c r="Q945" s="1051"/>
      <c r="R945" s="1052"/>
      <c r="S945" s="1051"/>
      <c r="T945" s="1051"/>
      <c r="U945" s="1052"/>
      <c r="V945" s="1051"/>
      <c r="W945" s="1051"/>
      <c r="X945" s="1052"/>
      <c r="Y945" s="1053"/>
      <c r="Z945" s="1051"/>
      <c r="AA945" s="1051"/>
      <c r="AB945" s="1052"/>
      <c r="AC945" s="1051"/>
      <c r="AD945" s="1051"/>
      <c r="AE945" s="1052"/>
      <c r="AF945" s="1051"/>
      <c r="AG945" s="1051"/>
      <c r="AH945" s="1051"/>
      <c r="AI945" s="1051"/>
      <c r="AJ945" s="1052"/>
      <c r="AK945" s="1051"/>
      <c r="AL945" s="1051"/>
      <c r="AM945" s="1052"/>
      <c r="AN945" s="1051"/>
      <c r="AO945" s="1051"/>
      <c r="AP945" s="1052"/>
      <c r="AQ945" s="1051"/>
      <c r="AR945" s="1051"/>
      <c r="AS945" s="1052"/>
      <c r="AT945" s="1051"/>
      <c r="AU945" s="1051"/>
      <c r="AV945" s="1052"/>
      <c r="AW945" s="1051"/>
      <c r="AX945" s="1051"/>
      <c r="AY945" s="1053"/>
      <c r="AZ945" s="1051"/>
      <c r="BA945" s="1051"/>
      <c r="BB945" s="1053"/>
      <c r="BC945" s="1051"/>
      <c r="BD945" s="1051"/>
      <c r="BE945" s="1053"/>
      <c r="BF945" s="1051"/>
      <c r="BG945" s="1051"/>
      <c r="BH945" s="1053"/>
      <c r="BI945" s="1052"/>
      <c r="BJ945" s="1052"/>
      <c r="BK945" s="1052"/>
      <c r="BL945" s="1052"/>
      <c r="BM945" s="1052"/>
      <c r="BN945" s="1054"/>
      <c r="BO945" s="1076">
        <f t="shared" ref="BO945:BO1008" si="16">H945</f>
        <v>0</v>
      </c>
      <c r="BP945" s="1051"/>
      <c r="BQ945" s="1052"/>
      <c r="BR945" s="1054"/>
      <c r="BS945" s="1053"/>
      <c r="BT945" s="1051"/>
      <c r="BU945" s="1051"/>
      <c r="BV945" s="1051"/>
      <c r="BW945" s="1052"/>
      <c r="BX945" s="1052"/>
      <c r="BY945" s="1052"/>
      <c r="BZ945" s="1052"/>
      <c r="CA945" s="1052"/>
      <c r="CB945" s="1053"/>
      <c r="CC945" s="1053"/>
      <c r="CD945" s="1053"/>
      <c r="CE945" s="1053"/>
      <c r="CF945" s="1053"/>
      <c r="CG945" s="1053"/>
      <c r="CH945" s="1053"/>
      <c r="CI945" s="1123"/>
      <c r="CJ945" s="1123"/>
      <c r="CK945" s="1123"/>
      <c r="CL945" s="1123"/>
      <c r="CM945" s="1123"/>
      <c r="CN945" s="1123"/>
      <c r="CO945" s="1123"/>
      <c r="CP945" s="1123"/>
      <c r="CQ945" s="1123"/>
      <c r="CR945" s="1123"/>
      <c r="CS945" s="1123"/>
      <c r="CT945" s="1123"/>
      <c r="CU945" s="1123"/>
      <c r="CV945" s="1123"/>
      <c r="CW945" s="1123"/>
      <c r="CX945" s="1123"/>
      <c r="CY945" s="1123"/>
      <c r="CZ945" s="1114"/>
      <c r="DA945" s="1114"/>
      <c r="DB945" s="1114"/>
      <c r="DC945" s="1114"/>
      <c r="DD945" s="1114"/>
      <c r="DE945" s="1114"/>
      <c r="DF945" s="1114"/>
      <c r="DG945" s="1114"/>
      <c r="DH945" s="1114"/>
      <c r="DI945" s="1114"/>
      <c r="DJ945" s="1114"/>
      <c r="DK945" s="1114"/>
      <c r="DL945" s="1114"/>
      <c r="DM945" s="1114"/>
      <c r="DN945" s="1114"/>
      <c r="DO945" s="1114"/>
      <c r="DP945" s="1114"/>
      <c r="DQ945" s="1114"/>
      <c r="DR945" s="1114"/>
      <c r="DS945" s="1114"/>
      <c r="DT945" s="1114"/>
      <c r="DU945" s="1114"/>
      <c r="DV945" s="1115"/>
      <c r="DW945" s="1116"/>
      <c r="DX945" s="1116"/>
      <c r="DY945" s="1116"/>
      <c r="DZ945" s="1116"/>
      <c r="EA945" s="1116"/>
      <c r="EB945" s="1116"/>
      <c r="EC945" s="1116"/>
      <c r="ED945" s="1116"/>
      <c r="EE945" s="1116"/>
      <c r="EF945" s="1116"/>
      <c r="EG945" s="1116"/>
      <c r="EH945" s="1116"/>
      <c r="EI945" s="1116"/>
      <c r="EJ945" s="1116"/>
      <c r="EK945" s="1116"/>
      <c r="EL945" s="1116"/>
      <c r="EM945" s="1116"/>
      <c r="EN945" s="1116"/>
      <c r="EO945" s="1116"/>
      <c r="EP945" s="1116"/>
      <c r="EQ945" s="1116"/>
      <c r="ER945" s="1116"/>
      <c r="ES945" s="1116"/>
    </row>
    <row r="946" spans="1:149" ht="15" customHeight="1">
      <c r="A946" s="1185">
        <v>936</v>
      </c>
      <c r="B946" s="1041"/>
      <c r="C946" s="1050"/>
      <c r="D946" s="1050"/>
      <c r="E946" s="1050"/>
      <c r="F946" s="1049"/>
      <c r="G946" s="1049"/>
      <c r="H946" s="1049"/>
      <c r="I946" s="1049"/>
      <c r="J946" s="1050"/>
      <c r="K946" s="1050"/>
      <c r="L946" s="1043"/>
      <c r="M946" s="1051"/>
      <c r="N946" s="1051"/>
      <c r="O946" s="1052"/>
      <c r="P946" s="1051"/>
      <c r="Q946" s="1051"/>
      <c r="R946" s="1052"/>
      <c r="S946" s="1051"/>
      <c r="T946" s="1051"/>
      <c r="U946" s="1052"/>
      <c r="V946" s="1051"/>
      <c r="W946" s="1051"/>
      <c r="X946" s="1052"/>
      <c r="Y946" s="1053"/>
      <c r="Z946" s="1051"/>
      <c r="AA946" s="1051"/>
      <c r="AB946" s="1052"/>
      <c r="AC946" s="1051"/>
      <c r="AD946" s="1051"/>
      <c r="AE946" s="1052"/>
      <c r="AF946" s="1051"/>
      <c r="AG946" s="1051"/>
      <c r="AH946" s="1051"/>
      <c r="AI946" s="1051"/>
      <c r="AJ946" s="1052"/>
      <c r="AK946" s="1051"/>
      <c r="AL946" s="1051"/>
      <c r="AM946" s="1052"/>
      <c r="AN946" s="1051"/>
      <c r="AO946" s="1051"/>
      <c r="AP946" s="1052"/>
      <c r="AQ946" s="1051"/>
      <c r="AR946" s="1051"/>
      <c r="AS946" s="1052"/>
      <c r="AT946" s="1051"/>
      <c r="AU946" s="1051"/>
      <c r="AV946" s="1052"/>
      <c r="AW946" s="1051"/>
      <c r="AX946" s="1051"/>
      <c r="AY946" s="1053"/>
      <c r="AZ946" s="1051"/>
      <c r="BA946" s="1051"/>
      <c r="BB946" s="1053"/>
      <c r="BC946" s="1051"/>
      <c r="BD946" s="1051"/>
      <c r="BE946" s="1053"/>
      <c r="BF946" s="1051"/>
      <c r="BG946" s="1051"/>
      <c r="BH946" s="1053"/>
      <c r="BI946" s="1052"/>
      <c r="BJ946" s="1052"/>
      <c r="BK946" s="1052"/>
      <c r="BL946" s="1052"/>
      <c r="BM946" s="1052"/>
      <c r="BN946" s="1054"/>
      <c r="BO946" s="1076">
        <f t="shared" si="16"/>
        <v>0</v>
      </c>
      <c r="BP946" s="1051"/>
      <c r="BQ946" s="1052"/>
      <c r="BR946" s="1054"/>
      <c r="BS946" s="1053"/>
      <c r="BT946" s="1051"/>
      <c r="BU946" s="1051"/>
      <c r="BV946" s="1051"/>
      <c r="BW946" s="1052"/>
      <c r="BX946" s="1052"/>
      <c r="BY946" s="1052"/>
      <c r="BZ946" s="1052"/>
      <c r="CA946" s="1052"/>
      <c r="CB946" s="1053"/>
      <c r="CC946" s="1053"/>
      <c r="CD946" s="1053"/>
      <c r="CE946" s="1053"/>
      <c r="CF946" s="1053"/>
      <c r="CG946" s="1053"/>
      <c r="CH946" s="1053"/>
      <c r="CI946" s="1123"/>
      <c r="CJ946" s="1123"/>
      <c r="CK946" s="1123"/>
      <c r="CL946" s="1123"/>
      <c r="CM946" s="1123"/>
      <c r="CN946" s="1123"/>
      <c r="CO946" s="1123"/>
      <c r="CP946" s="1123"/>
      <c r="CQ946" s="1123"/>
      <c r="CR946" s="1123"/>
      <c r="CS946" s="1123"/>
      <c r="CT946" s="1123"/>
      <c r="CU946" s="1123"/>
      <c r="CV946" s="1123"/>
      <c r="CW946" s="1123"/>
      <c r="CX946" s="1123"/>
      <c r="CY946" s="1123"/>
      <c r="CZ946" s="1114"/>
      <c r="DA946" s="1114"/>
      <c r="DB946" s="1114"/>
      <c r="DC946" s="1114"/>
      <c r="DD946" s="1114"/>
      <c r="DE946" s="1114"/>
      <c r="DF946" s="1114"/>
      <c r="DG946" s="1114"/>
      <c r="DH946" s="1114"/>
      <c r="DI946" s="1114"/>
      <c r="DJ946" s="1114"/>
      <c r="DK946" s="1114"/>
      <c r="DL946" s="1114"/>
      <c r="DM946" s="1114"/>
      <c r="DN946" s="1114"/>
      <c r="DO946" s="1114"/>
      <c r="DP946" s="1114"/>
      <c r="DQ946" s="1114"/>
      <c r="DR946" s="1114"/>
      <c r="DS946" s="1114"/>
      <c r="DT946" s="1114"/>
      <c r="DU946" s="1114"/>
      <c r="DV946" s="1115"/>
      <c r="DW946" s="1116"/>
      <c r="DX946" s="1116"/>
      <c r="DY946" s="1116"/>
      <c r="DZ946" s="1116"/>
      <c r="EA946" s="1116"/>
      <c r="EB946" s="1116"/>
      <c r="EC946" s="1116"/>
      <c r="ED946" s="1116"/>
      <c r="EE946" s="1116"/>
      <c r="EF946" s="1116"/>
      <c r="EG946" s="1116"/>
      <c r="EH946" s="1116"/>
      <c r="EI946" s="1116"/>
      <c r="EJ946" s="1116"/>
      <c r="EK946" s="1116"/>
      <c r="EL946" s="1116"/>
      <c r="EM946" s="1116"/>
      <c r="EN946" s="1116"/>
      <c r="EO946" s="1116"/>
      <c r="EP946" s="1116"/>
      <c r="EQ946" s="1116"/>
      <c r="ER946" s="1116"/>
      <c r="ES946" s="1116"/>
    </row>
    <row r="947" spans="1:149" ht="15" customHeight="1">
      <c r="A947" s="1185">
        <v>937</v>
      </c>
      <c r="B947" s="1041"/>
      <c r="C947" s="1050"/>
      <c r="D947" s="1050"/>
      <c r="E947" s="1050"/>
      <c r="F947" s="1049"/>
      <c r="G947" s="1049"/>
      <c r="H947" s="1049"/>
      <c r="I947" s="1049"/>
      <c r="J947" s="1050"/>
      <c r="K947" s="1050"/>
      <c r="L947" s="1043"/>
      <c r="M947" s="1051"/>
      <c r="N947" s="1051"/>
      <c r="O947" s="1052"/>
      <c r="P947" s="1051"/>
      <c r="Q947" s="1051"/>
      <c r="R947" s="1052"/>
      <c r="S947" s="1051"/>
      <c r="T947" s="1051"/>
      <c r="U947" s="1052"/>
      <c r="V947" s="1051"/>
      <c r="W947" s="1051"/>
      <c r="X947" s="1052"/>
      <c r="Y947" s="1053"/>
      <c r="Z947" s="1051"/>
      <c r="AA947" s="1051"/>
      <c r="AB947" s="1052"/>
      <c r="AC947" s="1051"/>
      <c r="AD947" s="1051"/>
      <c r="AE947" s="1052"/>
      <c r="AF947" s="1051"/>
      <c r="AG947" s="1051"/>
      <c r="AH947" s="1051"/>
      <c r="AI947" s="1051"/>
      <c r="AJ947" s="1052"/>
      <c r="AK947" s="1051"/>
      <c r="AL947" s="1051"/>
      <c r="AM947" s="1052"/>
      <c r="AN947" s="1051"/>
      <c r="AO947" s="1051"/>
      <c r="AP947" s="1052"/>
      <c r="AQ947" s="1051"/>
      <c r="AR947" s="1051"/>
      <c r="AS947" s="1052"/>
      <c r="AT947" s="1051"/>
      <c r="AU947" s="1051"/>
      <c r="AV947" s="1052"/>
      <c r="AW947" s="1051"/>
      <c r="AX947" s="1051"/>
      <c r="AY947" s="1053"/>
      <c r="AZ947" s="1051"/>
      <c r="BA947" s="1051"/>
      <c r="BB947" s="1053"/>
      <c r="BC947" s="1051"/>
      <c r="BD947" s="1051"/>
      <c r="BE947" s="1053"/>
      <c r="BF947" s="1051"/>
      <c r="BG947" s="1051"/>
      <c r="BH947" s="1053"/>
      <c r="BI947" s="1052"/>
      <c r="BJ947" s="1052"/>
      <c r="BK947" s="1052"/>
      <c r="BL947" s="1052"/>
      <c r="BM947" s="1052"/>
      <c r="BN947" s="1054"/>
      <c r="BO947" s="1076">
        <f t="shared" si="16"/>
        <v>0</v>
      </c>
      <c r="BP947" s="1051"/>
      <c r="BQ947" s="1052"/>
      <c r="BR947" s="1054"/>
      <c r="BS947" s="1053"/>
      <c r="BT947" s="1051"/>
      <c r="BU947" s="1051"/>
      <c r="BV947" s="1051"/>
      <c r="BW947" s="1052"/>
      <c r="BX947" s="1052"/>
      <c r="BY947" s="1052"/>
      <c r="BZ947" s="1052"/>
      <c r="CA947" s="1052"/>
      <c r="CB947" s="1053"/>
      <c r="CC947" s="1053"/>
      <c r="CD947" s="1053"/>
      <c r="CE947" s="1053"/>
      <c r="CF947" s="1053"/>
      <c r="CG947" s="1053"/>
      <c r="CH947" s="1053"/>
      <c r="CI947" s="1123"/>
      <c r="CJ947" s="1123"/>
      <c r="CK947" s="1123"/>
      <c r="CL947" s="1123"/>
      <c r="CM947" s="1123"/>
      <c r="CN947" s="1123"/>
      <c r="CO947" s="1123"/>
      <c r="CP947" s="1123"/>
      <c r="CQ947" s="1123"/>
      <c r="CR947" s="1123"/>
      <c r="CS947" s="1123"/>
      <c r="CT947" s="1123"/>
      <c r="CU947" s="1123"/>
      <c r="CV947" s="1123"/>
      <c r="CW947" s="1123"/>
      <c r="CX947" s="1123"/>
      <c r="CY947" s="1123"/>
      <c r="CZ947" s="1114"/>
      <c r="DA947" s="1114"/>
      <c r="DB947" s="1114"/>
      <c r="DC947" s="1114"/>
      <c r="DD947" s="1114"/>
      <c r="DE947" s="1114"/>
      <c r="DF947" s="1114"/>
      <c r="DG947" s="1114"/>
      <c r="DH947" s="1114"/>
      <c r="DI947" s="1114"/>
      <c r="DJ947" s="1114"/>
      <c r="DK947" s="1114"/>
      <c r="DL947" s="1114"/>
      <c r="DM947" s="1114"/>
      <c r="DN947" s="1114"/>
      <c r="DO947" s="1114"/>
      <c r="DP947" s="1114"/>
      <c r="DQ947" s="1114"/>
      <c r="DR947" s="1114"/>
      <c r="DS947" s="1114"/>
      <c r="DT947" s="1114"/>
      <c r="DU947" s="1114"/>
      <c r="DV947" s="1115"/>
      <c r="DW947" s="1116"/>
      <c r="DX947" s="1116"/>
      <c r="DY947" s="1116"/>
      <c r="DZ947" s="1116"/>
      <c r="EA947" s="1116"/>
      <c r="EB947" s="1116"/>
      <c r="EC947" s="1116"/>
      <c r="ED947" s="1116"/>
      <c r="EE947" s="1116"/>
      <c r="EF947" s="1116"/>
      <c r="EG947" s="1116"/>
      <c r="EH947" s="1116"/>
      <c r="EI947" s="1116"/>
      <c r="EJ947" s="1116"/>
      <c r="EK947" s="1116"/>
      <c r="EL947" s="1116"/>
      <c r="EM947" s="1116"/>
      <c r="EN947" s="1116"/>
      <c r="EO947" s="1116"/>
      <c r="EP947" s="1116"/>
      <c r="EQ947" s="1116"/>
      <c r="ER947" s="1116"/>
      <c r="ES947" s="1116"/>
    </row>
    <row r="948" spans="1:149" ht="15" customHeight="1">
      <c r="A948" s="1185">
        <v>938</v>
      </c>
      <c r="B948" s="1041"/>
      <c r="C948" s="1050"/>
      <c r="D948" s="1050"/>
      <c r="E948" s="1050"/>
      <c r="F948" s="1049"/>
      <c r="G948" s="1049"/>
      <c r="H948" s="1049"/>
      <c r="I948" s="1049"/>
      <c r="J948" s="1050"/>
      <c r="K948" s="1050"/>
      <c r="L948" s="1043"/>
      <c r="M948" s="1051"/>
      <c r="N948" s="1051"/>
      <c r="O948" s="1052"/>
      <c r="P948" s="1051"/>
      <c r="Q948" s="1051"/>
      <c r="R948" s="1052"/>
      <c r="S948" s="1051"/>
      <c r="T948" s="1051"/>
      <c r="U948" s="1052"/>
      <c r="V948" s="1051"/>
      <c r="W948" s="1051"/>
      <c r="X948" s="1052"/>
      <c r="Y948" s="1053"/>
      <c r="Z948" s="1051"/>
      <c r="AA948" s="1051"/>
      <c r="AB948" s="1052"/>
      <c r="AC948" s="1051"/>
      <c r="AD948" s="1051"/>
      <c r="AE948" s="1052"/>
      <c r="AF948" s="1051"/>
      <c r="AG948" s="1051"/>
      <c r="AH948" s="1051"/>
      <c r="AI948" s="1051"/>
      <c r="AJ948" s="1052"/>
      <c r="AK948" s="1051"/>
      <c r="AL948" s="1051"/>
      <c r="AM948" s="1052"/>
      <c r="AN948" s="1051"/>
      <c r="AO948" s="1051"/>
      <c r="AP948" s="1052"/>
      <c r="AQ948" s="1051"/>
      <c r="AR948" s="1051"/>
      <c r="AS948" s="1052"/>
      <c r="AT948" s="1051"/>
      <c r="AU948" s="1051"/>
      <c r="AV948" s="1052"/>
      <c r="AW948" s="1051"/>
      <c r="AX948" s="1051"/>
      <c r="AY948" s="1053"/>
      <c r="AZ948" s="1051"/>
      <c r="BA948" s="1051"/>
      <c r="BB948" s="1053"/>
      <c r="BC948" s="1051"/>
      <c r="BD948" s="1051"/>
      <c r="BE948" s="1053"/>
      <c r="BF948" s="1051"/>
      <c r="BG948" s="1051"/>
      <c r="BH948" s="1053"/>
      <c r="BI948" s="1052"/>
      <c r="BJ948" s="1052"/>
      <c r="BK948" s="1052"/>
      <c r="BL948" s="1052"/>
      <c r="BM948" s="1052"/>
      <c r="BN948" s="1054"/>
      <c r="BO948" s="1076">
        <f t="shared" si="16"/>
        <v>0</v>
      </c>
      <c r="BP948" s="1051"/>
      <c r="BQ948" s="1052"/>
      <c r="BR948" s="1054"/>
      <c r="BS948" s="1053"/>
      <c r="BT948" s="1051"/>
      <c r="BU948" s="1051"/>
      <c r="BV948" s="1051"/>
      <c r="BW948" s="1052"/>
      <c r="BX948" s="1052"/>
      <c r="BY948" s="1052"/>
      <c r="BZ948" s="1052"/>
      <c r="CA948" s="1052"/>
      <c r="CB948" s="1053"/>
      <c r="CC948" s="1053"/>
      <c r="CD948" s="1053"/>
      <c r="CE948" s="1053"/>
      <c r="CF948" s="1053"/>
      <c r="CG948" s="1053"/>
      <c r="CH948" s="1053"/>
      <c r="CI948" s="1123"/>
      <c r="CJ948" s="1123"/>
      <c r="CK948" s="1123"/>
      <c r="CL948" s="1123"/>
      <c r="CM948" s="1123"/>
      <c r="CN948" s="1123"/>
      <c r="CO948" s="1123"/>
      <c r="CP948" s="1123"/>
      <c r="CQ948" s="1123"/>
      <c r="CR948" s="1123"/>
      <c r="CS948" s="1123"/>
      <c r="CT948" s="1123"/>
      <c r="CU948" s="1123"/>
      <c r="CV948" s="1123"/>
      <c r="CW948" s="1123"/>
      <c r="CX948" s="1123"/>
      <c r="CY948" s="1123"/>
      <c r="CZ948" s="1114"/>
      <c r="DA948" s="1114"/>
      <c r="DB948" s="1114"/>
      <c r="DC948" s="1114"/>
      <c r="DD948" s="1114"/>
      <c r="DE948" s="1114"/>
      <c r="DF948" s="1114"/>
      <c r="DG948" s="1114"/>
      <c r="DH948" s="1114"/>
      <c r="DI948" s="1114"/>
      <c r="DJ948" s="1114"/>
      <c r="DK948" s="1114"/>
      <c r="DL948" s="1114"/>
      <c r="DM948" s="1114"/>
      <c r="DN948" s="1114"/>
      <c r="DO948" s="1114"/>
      <c r="DP948" s="1114"/>
      <c r="DQ948" s="1114"/>
      <c r="DR948" s="1114"/>
      <c r="DS948" s="1114"/>
      <c r="DT948" s="1114"/>
      <c r="DU948" s="1114"/>
      <c r="DV948" s="1115"/>
      <c r="DW948" s="1116"/>
      <c r="DX948" s="1116"/>
      <c r="DY948" s="1116"/>
      <c r="DZ948" s="1116"/>
      <c r="EA948" s="1116"/>
      <c r="EB948" s="1116"/>
      <c r="EC948" s="1116"/>
      <c r="ED948" s="1116"/>
      <c r="EE948" s="1116"/>
      <c r="EF948" s="1116"/>
      <c r="EG948" s="1116"/>
      <c r="EH948" s="1116"/>
      <c r="EI948" s="1116"/>
      <c r="EJ948" s="1116"/>
      <c r="EK948" s="1116"/>
      <c r="EL948" s="1116"/>
      <c r="EM948" s="1116"/>
      <c r="EN948" s="1116"/>
      <c r="EO948" s="1116"/>
      <c r="EP948" s="1116"/>
      <c r="EQ948" s="1116"/>
      <c r="ER948" s="1116"/>
      <c r="ES948" s="1116"/>
    </row>
    <row r="949" spans="1:149" ht="15" customHeight="1">
      <c r="A949" s="1185">
        <v>939</v>
      </c>
      <c r="B949" s="1041"/>
      <c r="C949" s="1050"/>
      <c r="D949" s="1050"/>
      <c r="E949" s="1050"/>
      <c r="F949" s="1049"/>
      <c r="G949" s="1049"/>
      <c r="H949" s="1049"/>
      <c r="I949" s="1049"/>
      <c r="J949" s="1050"/>
      <c r="K949" s="1050"/>
      <c r="L949" s="1043"/>
      <c r="M949" s="1051"/>
      <c r="N949" s="1051"/>
      <c r="O949" s="1052"/>
      <c r="P949" s="1051"/>
      <c r="Q949" s="1051"/>
      <c r="R949" s="1052"/>
      <c r="S949" s="1051"/>
      <c r="T949" s="1051"/>
      <c r="U949" s="1052"/>
      <c r="V949" s="1051"/>
      <c r="W949" s="1051"/>
      <c r="X949" s="1052"/>
      <c r="Y949" s="1053"/>
      <c r="Z949" s="1051"/>
      <c r="AA949" s="1051"/>
      <c r="AB949" s="1052"/>
      <c r="AC949" s="1051"/>
      <c r="AD949" s="1051"/>
      <c r="AE949" s="1052"/>
      <c r="AF949" s="1051"/>
      <c r="AG949" s="1051"/>
      <c r="AH949" s="1051"/>
      <c r="AI949" s="1051"/>
      <c r="AJ949" s="1052"/>
      <c r="AK949" s="1051"/>
      <c r="AL949" s="1051"/>
      <c r="AM949" s="1052"/>
      <c r="AN949" s="1051"/>
      <c r="AO949" s="1051"/>
      <c r="AP949" s="1052"/>
      <c r="AQ949" s="1051"/>
      <c r="AR949" s="1051"/>
      <c r="AS949" s="1052"/>
      <c r="AT949" s="1051"/>
      <c r="AU949" s="1051"/>
      <c r="AV949" s="1052"/>
      <c r="AW949" s="1051"/>
      <c r="AX949" s="1051"/>
      <c r="AY949" s="1053"/>
      <c r="AZ949" s="1051"/>
      <c r="BA949" s="1051"/>
      <c r="BB949" s="1053"/>
      <c r="BC949" s="1051"/>
      <c r="BD949" s="1051"/>
      <c r="BE949" s="1053"/>
      <c r="BF949" s="1051"/>
      <c r="BG949" s="1051"/>
      <c r="BH949" s="1053"/>
      <c r="BI949" s="1052"/>
      <c r="BJ949" s="1052"/>
      <c r="BK949" s="1052"/>
      <c r="BL949" s="1052"/>
      <c r="BM949" s="1052"/>
      <c r="BN949" s="1054"/>
      <c r="BO949" s="1076">
        <f t="shared" si="16"/>
        <v>0</v>
      </c>
      <c r="BP949" s="1051"/>
      <c r="BQ949" s="1052"/>
      <c r="BR949" s="1054"/>
      <c r="BS949" s="1053"/>
      <c r="BT949" s="1051"/>
      <c r="BU949" s="1051"/>
      <c r="BV949" s="1051"/>
      <c r="BW949" s="1052"/>
      <c r="BX949" s="1052"/>
      <c r="BY949" s="1052"/>
      <c r="BZ949" s="1052"/>
      <c r="CA949" s="1052"/>
      <c r="CB949" s="1053"/>
      <c r="CC949" s="1053"/>
      <c r="CD949" s="1053"/>
      <c r="CE949" s="1053"/>
      <c r="CF949" s="1053"/>
      <c r="CG949" s="1053"/>
      <c r="CH949" s="1053"/>
      <c r="CI949" s="1123"/>
      <c r="CJ949" s="1123"/>
      <c r="CK949" s="1123"/>
      <c r="CL949" s="1123"/>
      <c r="CM949" s="1123"/>
      <c r="CN949" s="1123"/>
      <c r="CO949" s="1123"/>
      <c r="CP949" s="1123"/>
      <c r="CQ949" s="1123"/>
      <c r="CR949" s="1123"/>
      <c r="CS949" s="1123"/>
      <c r="CT949" s="1123"/>
      <c r="CU949" s="1123"/>
      <c r="CV949" s="1123"/>
      <c r="CW949" s="1123"/>
      <c r="CX949" s="1123"/>
      <c r="CY949" s="1123"/>
      <c r="CZ949" s="1114"/>
      <c r="DA949" s="1114"/>
      <c r="DB949" s="1114"/>
      <c r="DC949" s="1114"/>
      <c r="DD949" s="1114"/>
      <c r="DE949" s="1114"/>
      <c r="DF949" s="1114"/>
      <c r="DG949" s="1114"/>
      <c r="DH949" s="1114"/>
      <c r="DI949" s="1114"/>
      <c r="DJ949" s="1114"/>
      <c r="DK949" s="1114"/>
      <c r="DL949" s="1114"/>
      <c r="DM949" s="1114"/>
      <c r="DN949" s="1114"/>
      <c r="DO949" s="1114"/>
      <c r="DP949" s="1114"/>
      <c r="DQ949" s="1114"/>
      <c r="DR949" s="1114"/>
      <c r="DS949" s="1114"/>
      <c r="DT949" s="1114"/>
      <c r="DU949" s="1114"/>
      <c r="DV949" s="1115"/>
      <c r="DW949" s="1116"/>
      <c r="DX949" s="1116"/>
      <c r="DY949" s="1116"/>
      <c r="DZ949" s="1116"/>
      <c r="EA949" s="1116"/>
      <c r="EB949" s="1116"/>
      <c r="EC949" s="1116"/>
      <c r="ED949" s="1116"/>
      <c r="EE949" s="1116"/>
      <c r="EF949" s="1116"/>
      <c r="EG949" s="1116"/>
      <c r="EH949" s="1116"/>
      <c r="EI949" s="1116"/>
      <c r="EJ949" s="1116"/>
      <c r="EK949" s="1116"/>
      <c r="EL949" s="1116"/>
      <c r="EM949" s="1116"/>
      <c r="EN949" s="1116"/>
      <c r="EO949" s="1116"/>
      <c r="EP949" s="1116"/>
      <c r="EQ949" s="1116"/>
      <c r="ER949" s="1116"/>
      <c r="ES949" s="1116"/>
    </row>
    <row r="950" spans="1:149" ht="15" customHeight="1">
      <c r="A950" s="1185">
        <v>940</v>
      </c>
      <c r="B950" s="1041"/>
      <c r="C950" s="1050"/>
      <c r="D950" s="1050"/>
      <c r="E950" s="1050"/>
      <c r="F950" s="1049"/>
      <c r="G950" s="1049"/>
      <c r="H950" s="1049"/>
      <c r="I950" s="1049"/>
      <c r="J950" s="1050"/>
      <c r="K950" s="1050"/>
      <c r="L950" s="1043"/>
      <c r="M950" s="1051"/>
      <c r="N950" s="1051"/>
      <c r="O950" s="1052"/>
      <c r="P950" s="1051"/>
      <c r="Q950" s="1051"/>
      <c r="R950" s="1052"/>
      <c r="S950" s="1051"/>
      <c r="T950" s="1051"/>
      <c r="U950" s="1052"/>
      <c r="V950" s="1051"/>
      <c r="W950" s="1051"/>
      <c r="X950" s="1052"/>
      <c r="Y950" s="1053"/>
      <c r="Z950" s="1051"/>
      <c r="AA950" s="1051"/>
      <c r="AB950" s="1052"/>
      <c r="AC950" s="1051"/>
      <c r="AD950" s="1051"/>
      <c r="AE950" s="1052"/>
      <c r="AF950" s="1051"/>
      <c r="AG950" s="1051"/>
      <c r="AH950" s="1051"/>
      <c r="AI950" s="1051"/>
      <c r="AJ950" s="1052"/>
      <c r="AK950" s="1051"/>
      <c r="AL950" s="1051"/>
      <c r="AM950" s="1052"/>
      <c r="AN950" s="1051"/>
      <c r="AO950" s="1051"/>
      <c r="AP950" s="1052"/>
      <c r="AQ950" s="1051"/>
      <c r="AR950" s="1051"/>
      <c r="AS950" s="1052"/>
      <c r="AT950" s="1051"/>
      <c r="AU950" s="1051"/>
      <c r="AV950" s="1052"/>
      <c r="AW950" s="1051"/>
      <c r="AX950" s="1051"/>
      <c r="AY950" s="1053"/>
      <c r="AZ950" s="1051"/>
      <c r="BA950" s="1051"/>
      <c r="BB950" s="1053"/>
      <c r="BC950" s="1051"/>
      <c r="BD950" s="1051"/>
      <c r="BE950" s="1053"/>
      <c r="BF950" s="1051"/>
      <c r="BG950" s="1051"/>
      <c r="BH950" s="1053"/>
      <c r="BI950" s="1052"/>
      <c r="BJ950" s="1052"/>
      <c r="BK950" s="1052"/>
      <c r="BL950" s="1052"/>
      <c r="BM950" s="1052"/>
      <c r="BN950" s="1054"/>
      <c r="BO950" s="1076">
        <f t="shared" si="16"/>
        <v>0</v>
      </c>
      <c r="BP950" s="1051"/>
      <c r="BQ950" s="1052"/>
      <c r="BR950" s="1054"/>
      <c r="BS950" s="1053"/>
      <c r="BT950" s="1051"/>
      <c r="BU950" s="1051"/>
      <c r="BV950" s="1051"/>
      <c r="BW950" s="1052"/>
      <c r="BX950" s="1052"/>
      <c r="BY950" s="1052"/>
      <c r="BZ950" s="1052"/>
      <c r="CA950" s="1052"/>
      <c r="CB950" s="1053"/>
      <c r="CC950" s="1053"/>
      <c r="CD950" s="1053"/>
      <c r="CE950" s="1053"/>
      <c r="CF950" s="1053"/>
      <c r="CG950" s="1053"/>
      <c r="CH950" s="1053"/>
      <c r="CI950" s="1123"/>
      <c r="CJ950" s="1123"/>
      <c r="CK950" s="1123"/>
      <c r="CL950" s="1123"/>
      <c r="CM950" s="1123"/>
      <c r="CN950" s="1123"/>
      <c r="CO950" s="1123"/>
      <c r="CP950" s="1123"/>
      <c r="CQ950" s="1123"/>
      <c r="CR950" s="1123"/>
      <c r="CS950" s="1123"/>
      <c r="CT950" s="1123"/>
      <c r="CU950" s="1123"/>
      <c r="CV950" s="1123"/>
      <c r="CW950" s="1123"/>
      <c r="CX950" s="1123"/>
      <c r="CY950" s="1123"/>
      <c r="CZ950" s="1114"/>
      <c r="DA950" s="1114"/>
      <c r="DB950" s="1114"/>
      <c r="DC950" s="1114"/>
      <c r="DD950" s="1114"/>
      <c r="DE950" s="1114"/>
      <c r="DF950" s="1114"/>
      <c r="DG950" s="1114"/>
      <c r="DH950" s="1114"/>
      <c r="DI950" s="1114"/>
      <c r="DJ950" s="1114"/>
      <c r="DK950" s="1114"/>
      <c r="DL950" s="1114"/>
      <c r="DM950" s="1114"/>
      <c r="DN950" s="1114"/>
      <c r="DO950" s="1114"/>
      <c r="DP950" s="1114"/>
      <c r="DQ950" s="1114"/>
      <c r="DR950" s="1114"/>
      <c r="DS950" s="1114"/>
      <c r="DT950" s="1114"/>
      <c r="DU950" s="1114"/>
      <c r="DV950" s="1115"/>
      <c r="DW950" s="1116"/>
      <c r="DX950" s="1116"/>
      <c r="DY950" s="1116"/>
      <c r="DZ950" s="1116"/>
      <c r="EA950" s="1116"/>
      <c r="EB950" s="1116"/>
      <c r="EC950" s="1116"/>
      <c r="ED950" s="1116"/>
      <c r="EE950" s="1116"/>
      <c r="EF950" s="1116"/>
      <c r="EG950" s="1116"/>
      <c r="EH950" s="1116"/>
      <c r="EI950" s="1116"/>
      <c r="EJ950" s="1116"/>
      <c r="EK950" s="1116"/>
      <c r="EL950" s="1116"/>
      <c r="EM950" s="1116"/>
      <c r="EN950" s="1116"/>
      <c r="EO950" s="1116"/>
      <c r="EP950" s="1116"/>
      <c r="EQ950" s="1116"/>
      <c r="ER950" s="1116"/>
      <c r="ES950" s="1116"/>
    </row>
    <row r="951" spans="1:149" ht="15" customHeight="1">
      <c r="A951" s="1185">
        <v>941</v>
      </c>
      <c r="B951" s="1041"/>
      <c r="C951" s="1050"/>
      <c r="D951" s="1050"/>
      <c r="E951" s="1050"/>
      <c r="F951" s="1049"/>
      <c r="G951" s="1049"/>
      <c r="H951" s="1049"/>
      <c r="I951" s="1049"/>
      <c r="J951" s="1050"/>
      <c r="K951" s="1050"/>
      <c r="L951" s="1043"/>
      <c r="M951" s="1051"/>
      <c r="N951" s="1051"/>
      <c r="O951" s="1052"/>
      <c r="P951" s="1051"/>
      <c r="Q951" s="1051"/>
      <c r="R951" s="1052"/>
      <c r="S951" s="1051"/>
      <c r="T951" s="1051"/>
      <c r="U951" s="1052"/>
      <c r="V951" s="1051"/>
      <c r="W951" s="1051"/>
      <c r="X951" s="1052"/>
      <c r="Y951" s="1053"/>
      <c r="Z951" s="1051"/>
      <c r="AA951" s="1051"/>
      <c r="AB951" s="1052"/>
      <c r="AC951" s="1051"/>
      <c r="AD951" s="1051"/>
      <c r="AE951" s="1052"/>
      <c r="AF951" s="1051"/>
      <c r="AG951" s="1051"/>
      <c r="AH951" s="1051"/>
      <c r="AI951" s="1051"/>
      <c r="AJ951" s="1052"/>
      <c r="AK951" s="1051"/>
      <c r="AL951" s="1051"/>
      <c r="AM951" s="1052"/>
      <c r="AN951" s="1051"/>
      <c r="AO951" s="1051"/>
      <c r="AP951" s="1052"/>
      <c r="AQ951" s="1051"/>
      <c r="AR951" s="1051"/>
      <c r="AS951" s="1052"/>
      <c r="AT951" s="1051"/>
      <c r="AU951" s="1051"/>
      <c r="AV951" s="1052"/>
      <c r="AW951" s="1051"/>
      <c r="AX951" s="1051"/>
      <c r="AY951" s="1053"/>
      <c r="AZ951" s="1051"/>
      <c r="BA951" s="1051"/>
      <c r="BB951" s="1053"/>
      <c r="BC951" s="1051"/>
      <c r="BD951" s="1051"/>
      <c r="BE951" s="1053"/>
      <c r="BF951" s="1051"/>
      <c r="BG951" s="1051"/>
      <c r="BH951" s="1053"/>
      <c r="BI951" s="1052"/>
      <c r="BJ951" s="1052"/>
      <c r="BK951" s="1052"/>
      <c r="BL951" s="1052"/>
      <c r="BM951" s="1052"/>
      <c r="BN951" s="1054"/>
      <c r="BO951" s="1076">
        <f t="shared" si="16"/>
        <v>0</v>
      </c>
      <c r="BP951" s="1051"/>
      <c r="BQ951" s="1052"/>
      <c r="BR951" s="1054"/>
      <c r="BS951" s="1053"/>
      <c r="BT951" s="1051"/>
      <c r="BU951" s="1051"/>
      <c r="BV951" s="1051"/>
      <c r="BW951" s="1052"/>
      <c r="BX951" s="1052"/>
      <c r="BY951" s="1052"/>
      <c r="BZ951" s="1052"/>
      <c r="CA951" s="1052"/>
      <c r="CB951" s="1053"/>
      <c r="CC951" s="1053"/>
      <c r="CD951" s="1053"/>
      <c r="CE951" s="1053"/>
      <c r="CF951" s="1053"/>
      <c r="CG951" s="1053"/>
      <c r="CH951" s="1053"/>
      <c r="CI951" s="1123"/>
      <c r="CJ951" s="1123"/>
      <c r="CK951" s="1123"/>
      <c r="CL951" s="1123"/>
      <c r="CM951" s="1123"/>
      <c r="CN951" s="1123"/>
      <c r="CO951" s="1123"/>
      <c r="CP951" s="1123"/>
      <c r="CQ951" s="1123"/>
      <c r="CR951" s="1123"/>
      <c r="CS951" s="1123"/>
      <c r="CT951" s="1123"/>
      <c r="CU951" s="1123"/>
      <c r="CV951" s="1123"/>
      <c r="CW951" s="1123"/>
      <c r="CX951" s="1123"/>
      <c r="CY951" s="1123"/>
      <c r="CZ951" s="1114"/>
      <c r="DA951" s="1114"/>
      <c r="DB951" s="1114"/>
      <c r="DC951" s="1114"/>
      <c r="DD951" s="1114"/>
      <c r="DE951" s="1114"/>
      <c r="DF951" s="1114"/>
      <c r="DG951" s="1114"/>
      <c r="DH951" s="1114"/>
      <c r="DI951" s="1114"/>
      <c r="DJ951" s="1114"/>
      <c r="DK951" s="1114"/>
      <c r="DL951" s="1114"/>
      <c r="DM951" s="1114"/>
      <c r="DN951" s="1114"/>
      <c r="DO951" s="1114"/>
      <c r="DP951" s="1114"/>
      <c r="DQ951" s="1114"/>
      <c r="DR951" s="1114"/>
      <c r="DS951" s="1114"/>
      <c r="DT951" s="1114"/>
      <c r="DU951" s="1114"/>
      <c r="DV951" s="1115"/>
      <c r="DW951" s="1116"/>
      <c r="DX951" s="1116"/>
      <c r="DY951" s="1116"/>
      <c r="DZ951" s="1116"/>
      <c r="EA951" s="1116"/>
      <c r="EB951" s="1116"/>
      <c r="EC951" s="1116"/>
      <c r="ED951" s="1116"/>
      <c r="EE951" s="1116"/>
      <c r="EF951" s="1116"/>
      <c r="EG951" s="1116"/>
      <c r="EH951" s="1116"/>
      <c r="EI951" s="1116"/>
      <c r="EJ951" s="1116"/>
      <c r="EK951" s="1116"/>
      <c r="EL951" s="1116"/>
      <c r="EM951" s="1116"/>
      <c r="EN951" s="1116"/>
      <c r="EO951" s="1116"/>
      <c r="EP951" s="1116"/>
      <c r="EQ951" s="1116"/>
      <c r="ER951" s="1116"/>
      <c r="ES951" s="1116"/>
    </row>
    <row r="952" spans="1:149" ht="15" customHeight="1">
      <c r="A952" s="1185">
        <v>942</v>
      </c>
      <c r="B952" s="1041"/>
      <c r="C952" s="1050"/>
      <c r="D952" s="1050"/>
      <c r="E952" s="1050"/>
      <c r="F952" s="1049"/>
      <c r="G952" s="1049"/>
      <c r="H952" s="1049"/>
      <c r="I952" s="1049"/>
      <c r="J952" s="1050"/>
      <c r="K952" s="1050"/>
      <c r="L952" s="1043"/>
      <c r="M952" s="1051"/>
      <c r="N952" s="1051"/>
      <c r="O952" s="1052"/>
      <c r="P952" s="1051"/>
      <c r="Q952" s="1051"/>
      <c r="R952" s="1052"/>
      <c r="S952" s="1051"/>
      <c r="T952" s="1051"/>
      <c r="U952" s="1052"/>
      <c r="V952" s="1051"/>
      <c r="W952" s="1051"/>
      <c r="X952" s="1052"/>
      <c r="Y952" s="1053"/>
      <c r="Z952" s="1051"/>
      <c r="AA952" s="1051"/>
      <c r="AB952" s="1052"/>
      <c r="AC952" s="1051"/>
      <c r="AD952" s="1051"/>
      <c r="AE952" s="1052"/>
      <c r="AF952" s="1051"/>
      <c r="AG952" s="1051"/>
      <c r="AH952" s="1051"/>
      <c r="AI952" s="1051"/>
      <c r="AJ952" s="1052"/>
      <c r="AK952" s="1051"/>
      <c r="AL952" s="1051"/>
      <c r="AM952" s="1052"/>
      <c r="AN952" s="1051"/>
      <c r="AO952" s="1051"/>
      <c r="AP952" s="1052"/>
      <c r="AQ952" s="1051"/>
      <c r="AR952" s="1051"/>
      <c r="AS952" s="1052"/>
      <c r="AT952" s="1051"/>
      <c r="AU952" s="1051"/>
      <c r="AV952" s="1052"/>
      <c r="AW952" s="1051"/>
      <c r="AX952" s="1051"/>
      <c r="AY952" s="1053"/>
      <c r="AZ952" s="1051"/>
      <c r="BA952" s="1051"/>
      <c r="BB952" s="1053"/>
      <c r="BC952" s="1051"/>
      <c r="BD952" s="1051"/>
      <c r="BE952" s="1053"/>
      <c r="BF952" s="1051"/>
      <c r="BG952" s="1051"/>
      <c r="BH952" s="1053"/>
      <c r="BI952" s="1052"/>
      <c r="BJ952" s="1052"/>
      <c r="BK952" s="1052"/>
      <c r="BL952" s="1052"/>
      <c r="BM952" s="1052"/>
      <c r="BN952" s="1054"/>
      <c r="BO952" s="1076">
        <f t="shared" si="16"/>
        <v>0</v>
      </c>
      <c r="BP952" s="1051"/>
      <c r="BQ952" s="1052"/>
      <c r="BR952" s="1054"/>
      <c r="BS952" s="1053"/>
      <c r="BT952" s="1051"/>
      <c r="BU952" s="1051"/>
      <c r="BV952" s="1051"/>
      <c r="BW952" s="1052"/>
      <c r="BX952" s="1052"/>
      <c r="BY952" s="1052"/>
      <c r="BZ952" s="1052"/>
      <c r="CA952" s="1052"/>
      <c r="CB952" s="1053"/>
      <c r="CC952" s="1053"/>
      <c r="CD952" s="1053"/>
      <c r="CE952" s="1053"/>
      <c r="CF952" s="1053"/>
      <c r="CG952" s="1053"/>
      <c r="CH952" s="1053"/>
      <c r="CI952" s="1123"/>
      <c r="CJ952" s="1123"/>
      <c r="CK952" s="1123"/>
      <c r="CL952" s="1123"/>
      <c r="CM952" s="1123"/>
      <c r="CN952" s="1123"/>
      <c r="CO952" s="1123"/>
      <c r="CP952" s="1123"/>
      <c r="CQ952" s="1123"/>
      <c r="CR952" s="1123"/>
      <c r="CS952" s="1123"/>
      <c r="CT952" s="1123"/>
      <c r="CU952" s="1123"/>
      <c r="CV952" s="1123"/>
      <c r="CW952" s="1123"/>
      <c r="CX952" s="1123"/>
      <c r="CY952" s="1123"/>
      <c r="CZ952" s="1114"/>
      <c r="DA952" s="1114"/>
      <c r="DB952" s="1114"/>
      <c r="DC952" s="1114"/>
      <c r="DD952" s="1114"/>
      <c r="DE952" s="1114"/>
      <c r="DF952" s="1114"/>
      <c r="DG952" s="1114"/>
      <c r="DH952" s="1114"/>
      <c r="DI952" s="1114"/>
      <c r="DJ952" s="1114"/>
      <c r="DK952" s="1114"/>
      <c r="DL952" s="1114"/>
      <c r="DM952" s="1114"/>
      <c r="DN952" s="1114"/>
      <c r="DO952" s="1114"/>
      <c r="DP952" s="1114"/>
      <c r="DQ952" s="1114"/>
      <c r="DR952" s="1114"/>
      <c r="DS952" s="1114"/>
      <c r="DT952" s="1114"/>
      <c r="DU952" s="1114"/>
      <c r="DV952" s="1115"/>
      <c r="DW952" s="1116"/>
      <c r="DX952" s="1116"/>
      <c r="DY952" s="1116"/>
      <c r="DZ952" s="1116"/>
      <c r="EA952" s="1116"/>
      <c r="EB952" s="1116"/>
      <c r="EC952" s="1116"/>
      <c r="ED952" s="1116"/>
      <c r="EE952" s="1116"/>
      <c r="EF952" s="1116"/>
      <c r="EG952" s="1116"/>
      <c r="EH952" s="1116"/>
      <c r="EI952" s="1116"/>
      <c r="EJ952" s="1116"/>
      <c r="EK952" s="1116"/>
      <c r="EL952" s="1116"/>
      <c r="EM952" s="1116"/>
      <c r="EN952" s="1116"/>
      <c r="EO952" s="1116"/>
      <c r="EP952" s="1116"/>
      <c r="EQ952" s="1116"/>
      <c r="ER952" s="1116"/>
      <c r="ES952" s="1116"/>
    </row>
    <row r="953" spans="1:149" ht="15" customHeight="1">
      <c r="A953" s="1185">
        <v>943</v>
      </c>
      <c r="B953" s="1041"/>
      <c r="C953" s="1050"/>
      <c r="D953" s="1050"/>
      <c r="E953" s="1050"/>
      <c r="F953" s="1049"/>
      <c r="G953" s="1049"/>
      <c r="H953" s="1049"/>
      <c r="I953" s="1049"/>
      <c r="J953" s="1050"/>
      <c r="K953" s="1050"/>
      <c r="L953" s="1043"/>
      <c r="M953" s="1051"/>
      <c r="N953" s="1051"/>
      <c r="O953" s="1052"/>
      <c r="P953" s="1051"/>
      <c r="Q953" s="1051"/>
      <c r="R953" s="1052"/>
      <c r="S953" s="1051"/>
      <c r="T953" s="1051"/>
      <c r="U953" s="1052"/>
      <c r="V953" s="1051"/>
      <c r="W953" s="1051"/>
      <c r="X953" s="1052"/>
      <c r="Y953" s="1053"/>
      <c r="Z953" s="1051"/>
      <c r="AA953" s="1051"/>
      <c r="AB953" s="1052"/>
      <c r="AC953" s="1051"/>
      <c r="AD953" s="1051"/>
      <c r="AE953" s="1052"/>
      <c r="AF953" s="1051"/>
      <c r="AG953" s="1051"/>
      <c r="AH953" s="1051"/>
      <c r="AI953" s="1051"/>
      <c r="AJ953" s="1052"/>
      <c r="AK953" s="1051"/>
      <c r="AL953" s="1051"/>
      <c r="AM953" s="1052"/>
      <c r="AN953" s="1051"/>
      <c r="AO953" s="1051"/>
      <c r="AP953" s="1052"/>
      <c r="AQ953" s="1051"/>
      <c r="AR953" s="1051"/>
      <c r="AS953" s="1052"/>
      <c r="AT953" s="1051"/>
      <c r="AU953" s="1051"/>
      <c r="AV953" s="1052"/>
      <c r="AW953" s="1051"/>
      <c r="AX953" s="1051"/>
      <c r="AY953" s="1053"/>
      <c r="AZ953" s="1051"/>
      <c r="BA953" s="1051"/>
      <c r="BB953" s="1053"/>
      <c r="BC953" s="1051"/>
      <c r="BD953" s="1051"/>
      <c r="BE953" s="1053"/>
      <c r="BF953" s="1051"/>
      <c r="BG953" s="1051"/>
      <c r="BH953" s="1053"/>
      <c r="BI953" s="1052"/>
      <c r="BJ953" s="1052"/>
      <c r="BK953" s="1052"/>
      <c r="BL953" s="1052"/>
      <c r="BM953" s="1052"/>
      <c r="BN953" s="1054"/>
      <c r="BO953" s="1076">
        <f t="shared" si="16"/>
        <v>0</v>
      </c>
      <c r="BP953" s="1051"/>
      <c r="BQ953" s="1052"/>
      <c r="BR953" s="1054"/>
      <c r="BS953" s="1053"/>
      <c r="BT953" s="1051"/>
      <c r="BU953" s="1051"/>
      <c r="BV953" s="1051"/>
      <c r="BW953" s="1052"/>
      <c r="BX953" s="1052"/>
      <c r="BY953" s="1052"/>
      <c r="BZ953" s="1052"/>
      <c r="CA953" s="1052"/>
      <c r="CB953" s="1053"/>
      <c r="CC953" s="1053"/>
      <c r="CD953" s="1053"/>
      <c r="CE953" s="1053"/>
      <c r="CF953" s="1053"/>
      <c r="CG953" s="1053"/>
      <c r="CH953" s="1053"/>
      <c r="CI953" s="1123"/>
      <c r="CJ953" s="1123"/>
      <c r="CK953" s="1123"/>
      <c r="CL953" s="1123"/>
      <c r="CM953" s="1123"/>
      <c r="CN953" s="1123"/>
      <c r="CO953" s="1123"/>
      <c r="CP953" s="1123"/>
      <c r="CQ953" s="1123"/>
      <c r="CR953" s="1123"/>
      <c r="CS953" s="1123"/>
      <c r="CT953" s="1123"/>
      <c r="CU953" s="1123"/>
      <c r="CV953" s="1123"/>
      <c r="CW953" s="1123"/>
      <c r="CX953" s="1123"/>
      <c r="CY953" s="1123"/>
      <c r="CZ953" s="1114"/>
      <c r="DA953" s="1114"/>
      <c r="DB953" s="1114"/>
      <c r="DC953" s="1114"/>
      <c r="DD953" s="1114"/>
      <c r="DE953" s="1114"/>
      <c r="DF953" s="1114"/>
      <c r="DG953" s="1114"/>
      <c r="DH953" s="1114"/>
      <c r="DI953" s="1114"/>
      <c r="DJ953" s="1114"/>
      <c r="DK953" s="1114"/>
      <c r="DL953" s="1114"/>
      <c r="DM953" s="1114"/>
      <c r="DN953" s="1114"/>
      <c r="DO953" s="1114"/>
      <c r="DP953" s="1114"/>
      <c r="DQ953" s="1114"/>
      <c r="DR953" s="1114"/>
      <c r="DS953" s="1114"/>
      <c r="DT953" s="1114"/>
      <c r="DU953" s="1114"/>
      <c r="DV953" s="1115"/>
      <c r="DW953" s="1116"/>
      <c r="DX953" s="1116"/>
      <c r="DY953" s="1116"/>
      <c r="DZ953" s="1116"/>
      <c r="EA953" s="1116"/>
      <c r="EB953" s="1116"/>
      <c r="EC953" s="1116"/>
      <c r="ED953" s="1116"/>
      <c r="EE953" s="1116"/>
      <c r="EF953" s="1116"/>
      <c r="EG953" s="1116"/>
      <c r="EH953" s="1116"/>
      <c r="EI953" s="1116"/>
      <c r="EJ953" s="1116"/>
      <c r="EK953" s="1116"/>
      <c r="EL953" s="1116"/>
      <c r="EM953" s="1116"/>
      <c r="EN953" s="1116"/>
      <c r="EO953" s="1116"/>
      <c r="EP953" s="1116"/>
      <c r="EQ953" s="1116"/>
      <c r="ER953" s="1116"/>
      <c r="ES953" s="1116"/>
    </row>
    <row r="954" spans="1:149" ht="15" customHeight="1">
      <c r="A954" s="1185">
        <v>944</v>
      </c>
      <c r="B954" s="1041"/>
      <c r="C954" s="1050"/>
      <c r="D954" s="1050"/>
      <c r="E954" s="1050"/>
      <c r="F954" s="1049"/>
      <c r="G954" s="1049"/>
      <c r="H954" s="1049"/>
      <c r="I954" s="1049"/>
      <c r="J954" s="1050"/>
      <c r="K954" s="1050"/>
      <c r="L954" s="1043"/>
      <c r="M954" s="1051"/>
      <c r="N954" s="1051"/>
      <c r="O954" s="1052"/>
      <c r="P954" s="1051"/>
      <c r="Q954" s="1051"/>
      <c r="R954" s="1052"/>
      <c r="S954" s="1051"/>
      <c r="T954" s="1051"/>
      <c r="U954" s="1052"/>
      <c r="V954" s="1051"/>
      <c r="W954" s="1051"/>
      <c r="X954" s="1052"/>
      <c r="Y954" s="1053"/>
      <c r="Z954" s="1051"/>
      <c r="AA954" s="1051"/>
      <c r="AB954" s="1052"/>
      <c r="AC954" s="1051"/>
      <c r="AD954" s="1051"/>
      <c r="AE954" s="1052"/>
      <c r="AF954" s="1051"/>
      <c r="AG954" s="1051"/>
      <c r="AH954" s="1051"/>
      <c r="AI954" s="1051"/>
      <c r="AJ954" s="1052"/>
      <c r="AK954" s="1051"/>
      <c r="AL954" s="1051"/>
      <c r="AM954" s="1052"/>
      <c r="AN954" s="1051"/>
      <c r="AO954" s="1051"/>
      <c r="AP954" s="1052"/>
      <c r="AQ954" s="1051"/>
      <c r="AR954" s="1051"/>
      <c r="AS954" s="1052"/>
      <c r="AT954" s="1051"/>
      <c r="AU954" s="1051"/>
      <c r="AV954" s="1052"/>
      <c r="AW954" s="1051"/>
      <c r="AX954" s="1051"/>
      <c r="AY954" s="1053"/>
      <c r="AZ954" s="1051"/>
      <c r="BA954" s="1051"/>
      <c r="BB954" s="1053"/>
      <c r="BC954" s="1051"/>
      <c r="BD954" s="1051"/>
      <c r="BE954" s="1053"/>
      <c r="BF954" s="1051"/>
      <c r="BG954" s="1051"/>
      <c r="BH954" s="1053"/>
      <c r="BI954" s="1052"/>
      <c r="BJ954" s="1052"/>
      <c r="BK954" s="1052"/>
      <c r="BL954" s="1052"/>
      <c r="BM954" s="1052"/>
      <c r="BN954" s="1054"/>
      <c r="BO954" s="1076">
        <f t="shared" si="16"/>
        <v>0</v>
      </c>
      <c r="BP954" s="1051"/>
      <c r="BQ954" s="1052"/>
      <c r="BR954" s="1054"/>
      <c r="BS954" s="1053"/>
      <c r="BT954" s="1051"/>
      <c r="BU954" s="1051"/>
      <c r="BV954" s="1051"/>
      <c r="BW954" s="1052"/>
      <c r="BX954" s="1052"/>
      <c r="BY954" s="1052"/>
      <c r="BZ954" s="1052"/>
      <c r="CA954" s="1052"/>
      <c r="CB954" s="1053"/>
      <c r="CC954" s="1053"/>
      <c r="CD954" s="1053"/>
      <c r="CE954" s="1053"/>
      <c r="CF954" s="1053"/>
      <c r="CG954" s="1053"/>
      <c r="CH954" s="1053"/>
      <c r="CI954" s="1123"/>
      <c r="CJ954" s="1123"/>
      <c r="CK954" s="1123"/>
      <c r="CL954" s="1123"/>
      <c r="CM954" s="1123"/>
      <c r="CN954" s="1123"/>
      <c r="CO954" s="1123"/>
      <c r="CP954" s="1123"/>
      <c r="CQ954" s="1123"/>
      <c r="CR954" s="1123"/>
      <c r="CS954" s="1123"/>
      <c r="CT954" s="1123"/>
      <c r="CU954" s="1123"/>
      <c r="CV954" s="1123"/>
      <c r="CW954" s="1123"/>
      <c r="CX954" s="1123"/>
      <c r="CY954" s="1123"/>
      <c r="CZ954" s="1114"/>
      <c r="DA954" s="1114"/>
      <c r="DB954" s="1114"/>
      <c r="DC954" s="1114"/>
      <c r="DD954" s="1114"/>
      <c r="DE954" s="1114"/>
      <c r="DF954" s="1114"/>
      <c r="DG954" s="1114"/>
      <c r="DH954" s="1114"/>
      <c r="DI954" s="1114"/>
      <c r="DJ954" s="1114"/>
      <c r="DK954" s="1114"/>
      <c r="DL954" s="1114"/>
      <c r="DM954" s="1114"/>
      <c r="DN954" s="1114"/>
      <c r="DO954" s="1114"/>
      <c r="DP954" s="1114"/>
      <c r="DQ954" s="1114"/>
      <c r="DR954" s="1114"/>
      <c r="DS954" s="1114"/>
      <c r="DT954" s="1114"/>
      <c r="DU954" s="1114"/>
      <c r="DV954" s="1115"/>
      <c r="DW954" s="1116"/>
      <c r="DX954" s="1116"/>
      <c r="DY954" s="1116"/>
      <c r="DZ954" s="1116"/>
      <c r="EA954" s="1116"/>
      <c r="EB954" s="1116"/>
      <c r="EC954" s="1116"/>
      <c r="ED954" s="1116"/>
      <c r="EE954" s="1116"/>
      <c r="EF954" s="1116"/>
      <c r="EG954" s="1116"/>
      <c r="EH954" s="1116"/>
      <c r="EI954" s="1116"/>
      <c r="EJ954" s="1116"/>
      <c r="EK954" s="1116"/>
      <c r="EL954" s="1116"/>
      <c r="EM954" s="1116"/>
      <c r="EN954" s="1116"/>
      <c r="EO954" s="1116"/>
      <c r="EP954" s="1116"/>
      <c r="EQ954" s="1116"/>
      <c r="ER954" s="1116"/>
      <c r="ES954" s="1116"/>
    </row>
    <row r="955" spans="1:149" ht="15" customHeight="1">
      <c r="A955" s="1185">
        <v>945</v>
      </c>
      <c r="B955" s="1041"/>
      <c r="C955" s="1050"/>
      <c r="D955" s="1050"/>
      <c r="E955" s="1050"/>
      <c r="F955" s="1049"/>
      <c r="G955" s="1049"/>
      <c r="H955" s="1049"/>
      <c r="I955" s="1049"/>
      <c r="J955" s="1050"/>
      <c r="K955" s="1050"/>
      <c r="L955" s="1043"/>
      <c r="M955" s="1051"/>
      <c r="N955" s="1051"/>
      <c r="O955" s="1052"/>
      <c r="P955" s="1051"/>
      <c r="Q955" s="1051"/>
      <c r="R955" s="1052"/>
      <c r="S955" s="1051"/>
      <c r="T955" s="1051"/>
      <c r="U955" s="1052"/>
      <c r="V955" s="1051"/>
      <c r="W955" s="1051"/>
      <c r="X955" s="1052"/>
      <c r="Y955" s="1053"/>
      <c r="Z955" s="1051"/>
      <c r="AA955" s="1051"/>
      <c r="AB955" s="1052"/>
      <c r="AC955" s="1051"/>
      <c r="AD955" s="1051"/>
      <c r="AE955" s="1052"/>
      <c r="AF955" s="1051"/>
      <c r="AG955" s="1051"/>
      <c r="AH955" s="1051"/>
      <c r="AI955" s="1051"/>
      <c r="AJ955" s="1052"/>
      <c r="AK955" s="1051"/>
      <c r="AL955" s="1051"/>
      <c r="AM955" s="1052"/>
      <c r="AN955" s="1051"/>
      <c r="AO955" s="1051"/>
      <c r="AP955" s="1052"/>
      <c r="AQ955" s="1051"/>
      <c r="AR955" s="1051"/>
      <c r="AS955" s="1052"/>
      <c r="AT955" s="1051"/>
      <c r="AU955" s="1051"/>
      <c r="AV955" s="1052"/>
      <c r="AW955" s="1051"/>
      <c r="AX955" s="1051"/>
      <c r="AY955" s="1053"/>
      <c r="AZ955" s="1051"/>
      <c r="BA955" s="1051"/>
      <c r="BB955" s="1053"/>
      <c r="BC955" s="1051"/>
      <c r="BD955" s="1051"/>
      <c r="BE955" s="1053"/>
      <c r="BF955" s="1051"/>
      <c r="BG955" s="1051"/>
      <c r="BH955" s="1053"/>
      <c r="BI955" s="1052"/>
      <c r="BJ955" s="1052"/>
      <c r="BK955" s="1052"/>
      <c r="BL955" s="1052"/>
      <c r="BM955" s="1052"/>
      <c r="BN955" s="1054"/>
      <c r="BO955" s="1076">
        <f t="shared" si="16"/>
        <v>0</v>
      </c>
      <c r="BP955" s="1051"/>
      <c r="BQ955" s="1052"/>
      <c r="BR955" s="1054"/>
      <c r="BS955" s="1053"/>
      <c r="BT955" s="1051"/>
      <c r="BU955" s="1051"/>
      <c r="BV955" s="1051"/>
      <c r="BW955" s="1052"/>
      <c r="BX955" s="1052"/>
      <c r="BY955" s="1052"/>
      <c r="BZ955" s="1052"/>
      <c r="CA955" s="1052"/>
      <c r="CB955" s="1053"/>
      <c r="CC955" s="1053"/>
      <c r="CD955" s="1053"/>
      <c r="CE955" s="1053"/>
      <c r="CF955" s="1053"/>
      <c r="CG955" s="1053"/>
      <c r="CH955" s="1053"/>
      <c r="CI955" s="1123"/>
      <c r="CJ955" s="1123"/>
      <c r="CK955" s="1123"/>
      <c r="CL955" s="1123"/>
      <c r="CM955" s="1123"/>
      <c r="CN955" s="1123"/>
      <c r="CO955" s="1123"/>
      <c r="CP955" s="1123"/>
      <c r="CQ955" s="1123"/>
      <c r="CR955" s="1123"/>
      <c r="CS955" s="1123"/>
      <c r="CT955" s="1123"/>
      <c r="CU955" s="1123"/>
      <c r="CV955" s="1123"/>
      <c r="CW955" s="1123"/>
      <c r="CX955" s="1123"/>
      <c r="CY955" s="1123"/>
      <c r="CZ955" s="1114"/>
      <c r="DA955" s="1114"/>
      <c r="DB955" s="1114"/>
      <c r="DC955" s="1114"/>
      <c r="DD955" s="1114"/>
      <c r="DE955" s="1114"/>
      <c r="DF955" s="1114"/>
      <c r="DG955" s="1114"/>
      <c r="DH955" s="1114"/>
      <c r="DI955" s="1114"/>
      <c r="DJ955" s="1114"/>
      <c r="DK955" s="1114"/>
      <c r="DL955" s="1114"/>
      <c r="DM955" s="1114"/>
      <c r="DN955" s="1114"/>
      <c r="DO955" s="1114"/>
      <c r="DP955" s="1114"/>
      <c r="DQ955" s="1114"/>
      <c r="DR955" s="1114"/>
      <c r="DS955" s="1114"/>
      <c r="DT955" s="1114"/>
      <c r="DU955" s="1114"/>
      <c r="DV955" s="1115"/>
      <c r="DW955" s="1116"/>
      <c r="DX955" s="1116"/>
      <c r="DY955" s="1116"/>
      <c r="DZ955" s="1116"/>
      <c r="EA955" s="1116"/>
      <c r="EB955" s="1116"/>
      <c r="EC955" s="1116"/>
      <c r="ED955" s="1116"/>
      <c r="EE955" s="1116"/>
      <c r="EF955" s="1116"/>
      <c r="EG955" s="1116"/>
      <c r="EH955" s="1116"/>
      <c r="EI955" s="1116"/>
      <c r="EJ955" s="1116"/>
      <c r="EK955" s="1116"/>
      <c r="EL955" s="1116"/>
      <c r="EM955" s="1116"/>
      <c r="EN955" s="1116"/>
      <c r="EO955" s="1116"/>
      <c r="EP955" s="1116"/>
      <c r="EQ955" s="1116"/>
      <c r="ER955" s="1116"/>
      <c r="ES955" s="1116"/>
    </row>
    <row r="956" spans="1:149" ht="15" customHeight="1">
      <c r="A956" s="1185">
        <v>946</v>
      </c>
      <c r="B956" s="1041"/>
      <c r="C956" s="1050"/>
      <c r="D956" s="1050"/>
      <c r="E956" s="1050"/>
      <c r="F956" s="1049"/>
      <c r="G956" s="1049"/>
      <c r="H956" s="1049"/>
      <c r="I956" s="1049"/>
      <c r="J956" s="1050"/>
      <c r="K956" s="1050"/>
      <c r="L956" s="1043"/>
      <c r="M956" s="1051"/>
      <c r="N956" s="1051"/>
      <c r="O956" s="1052"/>
      <c r="P956" s="1051"/>
      <c r="Q956" s="1051"/>
      <c r="R956" s="1052"/>
      <c r="S956" s="1051"/>
      <c r="T956" s="1051"/>
      <c r="U956" s="1052"/>
      <c r="V956" s="1051"/>
      <c r="W956" s="1051"/>
      <c r="X956" s="1052"/>
      <c r="Y956" s="1053"/>
      <c r="Z956" s="1051"/>
      <c r="AA956" s="1051"/>
      <c r="AB956" s="1052"/>
      <c r="AC956" s="1051"/>
      <c r="AD956" s="1051"/>
      <c r="AE956" s="1052"/>
      <c r="AF956" s="1051"/>
      <c r="AG956" s="1051"/>
      <c r="AH956" s="1051"/>
      <c r="AI956" s="1051"/>
      <c r="AJ956" s="1052"/>
      <c r="AK956" s="1051"/>
      <c r="AL956" s="1051"/>
      <c r="AM956" s="1052"/>
      <c r="AN956" s="1051"/>
      <c r="AO956" s="1051"/>
      <c r="AP956" s="1052"/>
      <c r="AQ956" s="1051"/>
      <c r="AR956" s="1051"/>
      <c r="AS956" s="1052"/>
      <c r="AT956" s="1051"/>
      <c r="AU956" s="1051"/>
      <c r="AV956" s="1052"/>
      <c r="AW956" s="1051"/>
      <c r="AX956" s="1051"/>
      <c r="AY956" s="1053"/>
      <c r="AZ956" s="1051"/>
      <c r="BA956" s="1051"/>
      <c r="BB956" s="1053"/>
      <c r="BC956" s="1051"/>
      <c r="BD956" s="1051"/>
      <c r="BE956" s="1053"/>
      <c r="BF956" s="1051"/>
      <c r="BG956" s="1051"/>
      <c r="BH956" s="1053"/>
      <c r="BI956" s="1052"/>
      <c r="BJ956" s="1052"/>
      <c r="BK956" s="1052"/>
      <c r="BL956" s="1052"/>
      <c r="BM956" s="1052"/>
      <c r="BN956" s="1054"/>
      <c r="BO956" s="1076">
        <f t="shared" si="16"/>
        <v>0</v>
      </c>
      <c r="BP956" s="1051"/>
      <c r="BQ956" s="1052"/>
      <c r="BR956" s="1054"/>
      <c r="BS956" s="1053"/>
      <c r="BT956" s="1051"/>
      <c r="BU956" s="1051"/>
      <c r="BV956" s="1051"/>
      <c r="BW956" s="1052"/>
      <c r="BX956" s="1052"/>
      <c r="BY956" s="1052"/>
      <c r="BZ956" s="1052"/>
      <c r="CA956" s="1052"/>
      <c r="CB956" s="1053"/>
      <c r="CC956" s="1053"/>
      <c r="CD956" s="1053"/>
      <c r="CE956" s="1053"/>
      <c r="CF956" s="1053"/>
      <c r="CG956" s="1053"/>
      <c r="CH956" s="1053"/>
      <c r="CI956" s="1123"/>
      <c r="CJ956" s="1123"/>
      <c r="CK956" s="1123"/>
      <c r="CL956" s="1123"/>
      <c r="CM956" s="1123"/>
      <c r="CN956" s="1123"/>
      <c r="CO956" s="1123"/>
      <c r="CP956" s="1123"/>
      <c r="CQ956" s="1123"/>
      <c r="CR956" s="1123"/>
      <c r="CS956" s="1123"/>
      <c r="CT956" s="1123"/>
      <c r="CU956" s="1123"/>
      <c r="CV956" s="1123"/>
      <c r="CW956" s="1123"/>
      <c r="CX956" s="1123"/>
      <c r="CY956" s="1123"/>
      <c r="CZ956" s="1114"/>
      <c r="DA956" s="1114"/>
      <c r="DB956" s="1114"/>
      <c r="DC956" s="1114"/>
      <c r="DD956" s="1114"/>
      <c r="DE956" s="1114"/>
      <c r="DF956" s="1114"/>
      <c r="DG956" s="1114"/>
      <c r="DH956" s="1114"/>
      <c r="DI956" s="1114"/>
      <c r="DJ956" s="1114"/>
      <c r="DK956" s="1114"/>
      <c r="DL956" s="1114"/>
      <c r="DM956" s="1114"/>
      <c r="DN956" s="1114"/>
      <c r="DO956" s="1114"/>
      <c r="DP956" s="1114"/>
      <c r="DQ956" s="1114"/>
      <c r="DR956" s="1114"/>
      <c r="DS956" s="1114"/>
      <c r="DT956" s="1114"/>
      <c r="DU956" s="1114"/>
      <c r="DV956" s="1115"/>
      <c r="DW956" s="1116"/>
      <c r="DX956" s="1116"/>
      <c r="DY956" s="1116"/>
      <c r="DZ956" s="1116"/>
      <c r="EA956" s="1116"/>
      <c r="EB956" s="1116"/>
      <c r="EC956" s="1116"/>
      <c r="ED956" s="1116"/>
      <c r="EE956" s="1116"/>
      <c r="EF956" s="1116"/>
      <c r="EG956" s="1116"/>
      <c r="EH956" s="1116"/>
      <c r="EI956" s="1116"/>
      <c r="EJ956" s="1116"/>
      <c r="EK956" s="1116"/>
      <c r="EL956" s="1116"/>
      <c r="EM956" s="1116"/>
      <c r="EN956" s="1116"/>
      <c r="EO956" s="1116"/>
      <c r="EP956" s="1116"/>
      <c r="EQ956" s="1116"/>
      <c r="ER956" s="1116"/>
      <c r="ES956" s="1116"/>
    </row>
    <row r="957" spans="1:149" ht="15" customHeight="1">
      <c r="A957" s="1185">
        <v>947</v>
      </c>
      <c r="B957" s="1041"/>
      <c r="C957" s="1050"/>
      <c r="D957" s="1050"/>
      <c r="E957" s="1050"/>
      <c r="F957" s="1049"/>
      <c r="G957" s="1049"/>
      <c r="H957" s="1049"/>
      <c r="I957" s="1049"/>
      <c r="J957" s="1050"/>
      <c r="K957" s="1050"/>
      <c r="L957" s="1043"/>
      <c r="M957" s="1051"/>
      <c r="N957" s="1051"/>
      <c r="O957" s="1052"/>
      <c r="P957" s="1051"/>
      <c r="Q957" s="1051"/>
      <c r="R957" s="1052"/>
      <c r="S957" s="1051"/>
      <c r="T957" s="1051"/>
      <c r="U957" s="1052"/>
      <c r="V957" s="1051"/>
      <c r="W957" s="1051"/>
      <c r="X957" s="1052"/>
      <c r="Y957" s="1053"/>
      <c r="Z957" s="1051"/>
      <c r="AA957" s="1051"/>
      <c r="AB957" s="1052"/>
      <c r="AC957" s="1051"/>
      <c r="AD957" s="1051"/>
      <c r="AE957" s="1052"/>
      <c r="AF957" s="1051"/>
      <c r="AG957" s="1051"/>
      <c r="AH957" s="1051"/>
      <c r="AI957" s="1051"/>
      <c r="AJ957" s="1052"/>
      <c r="AK957" s="1051"/>
      <c r="AL957" s="1051"/>
      <c r="AM957" s="1052"/>
      <c r="AN957" s="1051"/>
      <c r="AO957" s="1051"/>
      <c r="AP957" s="1052"/>
      <c r="AQ957" s="1051"/>
      <c r="AR957" s="1051"/>
      <c r="AS957" s="1052"/>
      <c r="AT957" s="1051"/>
      <c r="AU957" s="1051"/>
      <c r="AV957" s="1052"/>
      <c r="AW957" s="1051"/>
      <c r="AX957" s="1051"/>
      <c r="AY957" s="1053"/>
      <c r="AZ957" s="1051"/>
      <c r="BA957" s="1051"/>
      <c r="BB957" s="1053"/>
      <c r="BC957" s="1051"/>
      <c r="BD957" s="1051"/>
      <c r="BE957" s="1053"/>
      <c r="BF957" s="1051"/>
      <c r="BG957" s="1051"/>
      <c r="BH957" s="1053"/>
      <c r="BI957" s="1052"/>
      <c r="BJ957" s="1052"/>
      <c r="BK957" s="1052"/>
      <c r="BL957" s="1052"/>
      <c r="BM957" s="1052"/>
      <c r="BN957" s="1054"/>
      <c r="BO957" s="1076">
        <f t="shared" si="16"/>
        <v>0</v>
      </c>
      <c r="BP957" s="1051"/>
      <c r="BQ957" s="1052"/>
      <c r="BR957" s="1054"/>
      <c r="BS957" s="1053"/>
      <c r="BT957" s="1051"/>
      <c r="BU957" s="1051"/>
      <c r="BV957" s="1051"/>
      <c r="BW957" s="1052"/>
      <c r="BX957" s="1052"/>
      <c r="BY957" s="1052"/>
      <c r="BZ957" s="1052"/>
      <c r="CA957" s="1052"/>
      <c r="CB957" s="1053"/>
      <c r="CC957" s="1053"/>
      <c r="CD957" s="1053"/>
      <c r="CE957" s="1053"/>
      <c r="CF957" s="1053"/>
      <c r="CG957" s="1053"/>
      <c r="CH957" s="1053"/>
      <c r="CI957" s="1123"/>
      <c r="CJ957" s="1123"/>
      <c r="CK957" s="1123"/>
      <c r="CL957" s="1123"/>
      <c r="CM957" s="1123"/>
      <c r="CN957" s="1123"/>
      <c r="CO957" s="1123"/>
      <c r="CP957" s="1123"/>
      <c r="CQ957" s="1123"/>
      <c r="CR957" s="1123"/>
      <c r="CS957" s="1123"/>
      <c r="CT957" s="1123"/>
      <c r="CU957" s="1123"/>
      <c r="CV957" s="1123"/>
      <c r="CW957" s="1123"/>
      <c r="CX957" s="1123"/>
      <c r="CY957" s="1123"/>
      <c r="CZ957" s="1114"/>
      <c r="DA957" s="1114"/>
      <c r="DB957" s="1114"/>
      <c r="DC957" s="1114"/>
      <c r="DD957" s="1114"/>
      <c r="DE957" s="1114"/>
      <c r="DF957" s="1114"/>
      <c r="DG957" s="1114"/>
      <c r="DH957" s="1114"/>
      <c r="DI957" s="1114"/>
      <c r="DJ957" s="1114"/>
      <c r="DK957" s="1114"/>
      <c r="DL957" s="1114"/>
      <c r="DM957" s="1114"/>
      <c r="DN957" s="1114"/>
      <c r="DO957" s="1114"/>
      <c r="DP957" s="1114"/>
      <c r="DQ957" s="1114"/>
      <c r="DR957" s="1114"/>
      <c r="DS957" s="1114"/>
      <c r="DT957" s="1114"/>
      <c r="DU957" s="1114"/>
      <c r="DV957" s="1115"/>
      <c r="DW957" s="1116"/>
      <c r="DX957" s="1116"/>
      <c r="DY957" s="1116"/>
      <c r="DZ957" s="1116"/>
      <c r="EA957" s="1116"/>
      <c r="EB957" s="1116"/>
      <c r="EC957" s="1116"/>
      <c r="ED957" s="1116"/>
      <c r="EE957" s="1116"/>
      <c r="EF957" s="1116"/>
      <c r="EG957" s="1116"/>
      <c r="EH957" s="1116"/>
      <c r="EI957" s="1116"/>
      <c r="EJ957" s="1116"/>
      <c r="EK957" s="1116"/>
      <c r="EL957" s="1116"/>
      <c r="EM957" s="1116"/>
      <c r="EN957" s="1116"/>
      <c r="EO957" s="1116"/>
      <c r="EP957" s="1116"/>
      <c r="EQ957" s="1116"/>
      <c r="ER957" s="1116"/>
      <c r="ES957" s="1116"/>
    </row>
    <row r="958" spans="1:149" ht="15" customHeight="1">
      <c r="A958" s="1185">
        <v>948</v>
      </c>
      <c r="B958" s="1041"/>
      <c r="C958" s="1050"/>
      <c r="D958" s="1050"/>
      <c r="E958" s="1050"/>
      <c r="F958" s="1049"/>
      <c r="G958" s="1049"/>
      <c r="H958" s="1049"/>
      <c r="I958" s="1049"/>
      <c r="J958" s="1050"/>
      <c r="K958" s="1050"/>
      <c r="L958" s="1043"/>
      <c r="M958" s="1051"/>
      <c r="N958" s="1051"/>
      <c r="O958" s="1052"/>
      <c r="P958" s="1051"/>
      <c r="Q958" s="1051"/>
      <c r="R958" s="1052"/>
      <c r="S958" s="1051"/>
      <c r="T958" s="1051"/>
      <c r="U958" s="1052"/>
      <c r="V958" s="1051"/>
      <c r="W958" s="1051"/>
      <c r="X958" s="1052"/>
      <c r="Y958" s="1053"/>
      <c r="Z958" s="1051"/>
      <c r="AA958" s="1051"/>
      <c r="AB958" s="1052"/>
      <c r="AC958" s="1051"/>
      <c r="AD958" s="1051"/>
      <c r="AE958" s="1052"/>
      <c r="AF958" s="1051"/>
      <c r="AG958" s="1051"/>
      <c r="AH958" s="1051"/>
      <c r="AI958" s="1051"/>
      <c r="AJ958" s="1052"/>
      <c r="AK958" s="1051"/>
      <c r="AL958" s="1051"/>
      <c r="AM958" s="1052"/>
      <c r="AN958" s="1051"/>
      <c r="AO958" s="1051"/>
      <c r="AP958" s="1052"/>
      <c r="AQ958" s="1051"/>
      <c r="AR958" s="1051"/>
      <c r="AS958" s="1052"/>
      <c r="AT958" s="1051"/>
      <c r="AU958" s="1051"/>
      <c r="AV958" s="1052"/>
      <c r="AW958" s="1051"/>
      <c r="AX958" s="1051"/>
      <c r="AY958" s="1053"/>
      <c r="AZ958" s="1051"/>
      <c r="BA958" s="1051"/>
      <c r="BB958" s="1053"/>
      <c r="BC958" s="1051"/>
      <c r="BD958" s="1051"/>
      <c r="BE958" s="1053"/>
      <c r="BF958" s="1051"/>
      <c r="BG958" s="1051"/>
      <c r="BH958" s="1053"/>
      <c r="BI958" s="1052"/>
      <c r="BJ958" s="1052"/>
      <c r="BK958" s="1052"/>
      <c r="BL958" s="1052"/>
      <c r="BM958" s="1052"/>
      <c r="BN958" s="1054"/>
      <c r="BO958" s="1076">
        <f t="shared" si="16"/>
        <v>0</v>
      </c>
      <c r="BP958" s="1051"/>
      <c r="BQ958" s="1052"/>
      <c r="BR958" s="1054"/>
      <c r="BS958" s="1053"/>
      <c r="BT958" s="1051"/>
      <c r="BU958" s="1051"/>
      <c r="BV958" s="1051"/>
      <c r="BW958" s="1052"/>
      <c r="BX958" s="1052"/>
      <c r="BY958" s="1052"/>
      <c r="BZ958" s="1052"/>
      <c r="CA958" s="1052"/>
      <c r="CB958" s="1053"/>
      <c r="CC958" s="1053"/>
      <c r="CD958" s="1053"/>
      <c r="CE958" s="1053"/>
      <c r="CF958" s="1053"/>
      <c r="CG958" s="1053"/>
      <c r="CH958" s="1053"/>
      <c r="CI958" s="1123"/>
      <c r="CJ958" s="1123"/>
      <c r="CK958" s="1123"/>
      <c r="CL958" s="1123"/>
      <c r="CM958" s="1123"/>
      <c r="CN958" s="1123"/>
      <c r="CO958" s="1123"/>
      <c r="CP958" s="1123"/>
      <c r="CQ958" s="1123"/>
      <c r="CR958" s="1123"/>
      <c r="CS958" s="1123"/>
      <c r="CT958" s="1123"/>
      <c r="CU958" s="1123"/>
      <c r="CV958" s="1123"/>
      <c r="CW958" s="1123"/>
      <c r="CX958" s="1123"/>
      <c r="CY958" s="1123"/>
      <c r="CZ958" s="1114"/>
      <c r="DA958" s="1114"/>
      <c r="DB958" s="1114"/>
      <c r="DC958" s="1114"/>
      <c r="DD958" s="1114"/>
      <c r="DE958" s="1114"/>
      <c r="DF958" s="1114"/>
      <c r="DG958" s="1114"/>
      <c r="DH958" s="1114"/>
      <c r="DI958" s="1114"/>
      <c r="DJ958" s="1114"/>
      <c r="DK958" s="1114"/>
      <c r="DL958" s="1114"/>
      <c r="DM958" s="1114"/>
      <c r="DN958" s="1114"/>
      <c r="DO958" s="1114"/>
      <c r="DP958" s="1114"/>
      <c r="DQ958" s="1114"/>
      <c r="DR958" s="1114"/>
      <c r="DS958" s="1114"/>
      <c r="DT958" s="1114"/>
      <c r="DU958" s="1114"/>
      <c r="DV958" s="1115"/>
      <c r="DW958" s="1116"/>
      <c r="DX958" s="1116"/>
      <c r="DY958" s="1116"/>
      <c r="DZ958" s="1116"/>
      <c r="EA958" s="1116"/>
      <c r="EB958" s="1116"/>
      <c r="EC958" s="1116"/>
      <c r="ED958" s="1116"/>
      <c r="EE958" s="1116"/>
      <c r="EF958" s="1116"/>
      <c r="EG958" s="1116"/>
      <c r="EH958" s="1116"/>
      <c r="EI958" s="1116"/>
      <c r="EJ958" s="1116"/>
      <c r="EK958" s="1116"/>
      <c r="EL958" s="1116"/>
      <c r="EM958" s="1116"/>
      <c r="EN958" s="1116"/>
      <c r="EO958" s="1116"/>
      <c r="EP958" s="1116"/>
      <c r="EQ958" s="1116"/>
      <c r="ER958" s="1116"/>
      <c r="ES958" s="1116"/>
    </row>
    <row r="959" spans="1:149" ht="15" customHeight="1">
      <c r="A959" s="1185">
        <v>949</v>
      </c>
      <c r="B959" s="1041"/>
      <c r="C959" s="1050"/>
      <c r="D959" s="1050"/>
      <c r="E959" s="1050"/>
      <c r="F959" s="1049"/>
      <c r="G959" s="1049"/>
      <c r="H959" s="1049"/>
      <c r="I959" s="1049"/>
      <c r="J959" s="1050"/>
      <c r="K959" s="1050"/>
      <c r="L959" s="1043"/>
      <c r="M959" s="1051"/>
      <c r="N959" s="1051"/>
      <c r="O959" s="1052"/>
      <c r="P959" s="1051"/>
      <c r="Q959" s="1051"/>
      <c r="R959" s="1052"/>
      <c r="S959" s="1051"/>
      <c r="T959" s="1051"/>
      <c r="U959" s="1052"/>
      <c r="V959" s="1051"/>
      <c r="W959" s="1051"/>
      <c r="X959" s="1052"/>
      <c r="Y959" s="1053"/>
      <c r="Z959" s="1051"/>
      <c r="AA959" s="1051"/>
      <c r="AB959" s="1052"/>
      <c r="AC959" s="1051"/>
      <c r="AD959" s="1051"/>
      <c r="AE959" s="1052"/>
      <c r="AF959" s="1051"/>
      <c r="AG959" s="1051"/>
      <c r="AH959" s="1051"/>
      <c r="AI959" s="1051"/>
      <c r="AJ959" s="1052"/>
      <c r="AK959" s="1051"/>
      <c r="AL959" s="1051"/>
      <c r="AM959" s="1052"/>
      <c r="AN959" s="1051"/>
      <c r="AO959" s="1051"/>
      <c r="AP959" s="1052"/>
      <c r="AQ959" s="1051"/>
      <c r="AR959" s="1051"/>
      <c r="AS959" s="1052"/>
      <c r="AT959" s="1051"/>
      <c r="AU959" s="1051"/>
      <c r="AV959" s="1052"/>
      <c r="AW959" s="1051"/>
      <c r="AX959" s="1051"/>
      <c r="AY959" s="1053"/>
      <c r="AZ959" s="1051"/>
      <c r="BA959" s="1051"/>
      <c r="BB959" s="1053"/>
      <c r="BC959" s="1051"/>
      <c r="BD959" s="1051"/>
      <c r="BE959" s="1053"/>
      <c r="BF959" s="1051"/>
      <c r="BG959" s="1051"/>
      <c r="BH959" s="1053"/>
      <c r="BI959" s="1052"/>
      <c r="BJ959" s="1052"/>
      <c r="BK959" s="1052"/>
      <c r="BL959" s="1052"/>
      <c r="BM959" s="1052"/>
      <c r="BN959" s="1054"/>
      <c r="BO959" s="1076">
        <f t="shared" si="16"/>
        <v>0</v>
      </c>
      <c r="BP959" s="1051"/>
      <c r="BQ959" s="1052"/>
      <c r="BR959" s="1054"/>
      <c r="BS959" s="1053"/>
      <c r="BT959" s="1051"/>
      <c r="BU959" s="1051"/>
      <c r="BV959" s="1051"/>
      <c r="BW959" s="1052"/>
      <c r="BX959" s="1052"/>
      <c r="BY959" s="1052"/>
      <c r="BZ959" s="1052"/>
      <c r="CA959" s="1052"/>
      <c r="CB959" s="1053"/>
      <c r="CC959" s="1053"/>
      <c r="CD959" s="1053"/>
      <c r="CE959" s="1053"/>
      <c r="CF959" s="1053"/>
      <c r="CG959" s="1053"/>
      <c r="CH959" s="1053"/>
      <c r="CI959" s="1123"/>
      <c r="CJ959" s="1123"/>
      <c r="CK959" s="1123"/>
      <c r="CL959" s="1123"/>
      <c r="CM959" s="1123"/>
      <c r="CN959" s="1123"/>
      <c r="CO959" s="1123"/>
      <c r="CP959" s="1123"/>
      <c r="CQ959" s="1123"/>
      <c r="CR959" s="1123"/>
      <c r="CS959" s="1123"/>
      <c r="CT959" s="1123"/>
      <c r="CU959" s="1123"/>
      <c r="CV959" s="1123"/>
      <c r="CW959" s="1123"/>
      <c r="CX959" s="1123"/>
      <c r="CY959" s="1123"/>
      <c r="CZ959" s="1114"/>
      <c r="DA959" s="1114"/>
      <c r="DB959" s="1114"/>
      <c r="DC959" s="1114"/>
      <c r="DD959" s="1114"/>
      <c r="DE959" s="1114"/>
      <c r="DF959" s="1114"/>
      <c r="DG959" s="1114"/>
      <c r="DH959" s="1114"/>
      <c r="DI959" s="1114"/>
      <c r="DJ959" s="1114"/>
      <c r="DK959" s="1114"/>
      <c r="DL959" s="1114"/>
      <c r="DM959" s="1114"/>
      <c r="DN959" s="1114"/>
      <c r="DO959" s="1114"/>
      <c r="DP959" s="1114"/>
      <c r="DQ959" s="1114"/>
      <c r="DR959" s="1114"/>
      <c r="DS959" s="1114"/>
      <c r="DT959" s="1114"/>
      <c r="DU959" s="1114"/>
      <c r="DV959" s="1115"/>
      <c r="DW959" s="1116"/>
      <c r="DX959" s="1116"/>
      <c r="DY959" s="1116"/>
      <c r="DZ959" s="1116"/>
      <c r="EA959" s="1116"/>
      <c r="EB959" s="1116"/>
      <c r="EC959" s="1116"/>
      <c r="ED959" s="1116"/>
      <c r="EE959" s="1116"/>
      <c r="EF959" s="1116"/>
      <c r="EG959" s="1116"/>
      <c r="EH959" s="1116"/>
      <c r="EI959" s="1116"/>
      <c r="EJ959" s="1116"/>
      <c r="EK959" s="1116"/>
      <c r="EL959" s="1116"/>
      <c r="EM959" s="1116"/>
      <c r="EN959" s="1116"/>
      <c r="EO959" s="1116"/>
      <c r="EP959" s="1116"/>
      <c r="EQ959" s="1116"/>
      <c r="ER959" s="1116"/>
      <c r="ES959" s="1116"/>
    </row>
    <row r="960" spans="1:149" ht="15" customHeight="1">
      <c r="A960" s="1185">
        <v>950</v>
      </c>
      <c r="B960" s="1041"/>
      <c r="C960" s="1050"/>
      <c r="D960" s="1050"/>
      <c r="E960" s="1050"/>
      <c r="F960" s="1049"/>
      <c r="G960" s="1049"/>
      <c r="H960" s="1049"/>
      <c r="I960" s="1049"/>
      <c r="J960" s="1050"/>
      <c r="K960" s="1050"/>
      <c r="L960" s="1043"/>
      <c r="M960" s="1051"/>
      <c r="N960" s="1051"/>
      <c r="O960" s="1052"/>
      <c r="P960" s="1051"/>
      <c r="Q960" s="1051"/>
      <c r="R960" s="1052"/>
      <c r="S960" s="1051"/>
      <c r="T960" s="1051"/>
      <c r="U960" s="1052"/>
      <c r="V960" s="1051"/>
      <c r="W960" s="1051"/>
      <c r="X960" s="1052"/>
      <c r="Y960" s="1053"/>
      <c r="Z960" s="1051"/>
      <c r="AA960" s="1051"/>
      <c r="AB960" s="1052"/>
      <c r="AC960" s="1051"/>
      <c r="AD960" s="1051"/>
      <c r="AE960" s="1052"/>
      <c r="AF960" s="1051"/>
      <c r="AG960" s="1051"/>
      <c r="AH960" s="1051"/>
      <c r="AI960" s="1051"/>
      <c r="AJ960" s="1052"/>
      <c r="AK960" s="1051"/>
      <c r="AL960" s="1051"/>
      <c r="AM960" s="1052"/>
      <c r="AN960" s="1051"/>
      <c r="AO960" s="1051"/>
      <c r="AP960" s="1052"/>
      <c r="AQ960" s="1051"/>
      <c r="AR960" s="1051"/>
      <c r="AS960" s="1052"/>
      <c r="AT960" s="1051"/>
      <c r="AU960" s="1051"/>
      <c r="AV960" s="1052"/>
      <c r="AW960" s="1051"/>
      <c r="AX960" s="1051"/>
      <c r="AY960" s="1053"/>
      <c r="AZ960" s="1051"/>
      <c r="BA960" s="1051"/>
      <c r="BB960" s="1053"/>
      <c r="BC960" s="1051"/>
      <c r="BD960" s="1051"/>
      <c r="BE960" s="1053"/>
      <c r="BF960" s="1051"/>
      <c r="BG960" s="1051"/>
      <c r="BH960" s="1053"/>
      <c r="BI960" s="1052"/>
      <c r="BJ960" s="1052"/>
      <c r="BK960" s="1052"/>
      <c r="BL960" s="1052"/>
      <c r="BM960" s="1052"/>
      <c r="BN960" s="1054"/>
      <c r="BO960" s="1076">
        <f t="shared" si="16"/>
        <v>0</v>
      </c>
      <c r="BP960" s="1051"/>
      <c r="BQ960" s="1052"/>
      <c r="BR960" s="1054"/>
      <c r="BS960" s="1053"/>
      <c r="BT960" s="1051"/>
      <c r="BU960" s="1051"/>
      <c r="BV960" s="1051"/>
      <c r="BW960" s="1052"/>
      <c r="BX960" s="1052"/>
      <c r="BY960" s="1052"/>
      <c r="BZ960" s="1052"/>
      <c r="CA960" s="1052"/>
      <c r="CB960" s="1053"/>
      <c r="CC960" s="1053"/>
      <c r="CD960" s="1053"/>
      <c r="CE960" s="1053"/>
      <c r="CF960" s="1053"/>
      <c r="CG960" s="1053"/>
      <c r="CH960" s="1053"/>
      <c r="CI960" s="1123"/>
      <c r="CJ960" s="1123"/>
      <c r="CK960" s="1123"/>
      <c r="CL960" s="1123"/>
      <c r="CM960" s="1123"/>
      <c r="CN960" s="1123"/>
      <c r="CO960" s="1123"/>
      <c r="CP960" s="1123"/>
      <c r="CQ960" s="1123"/>
      <c r="CR960" s="1123"/>
      <c r="CS960" s="1123"/>
      <c r="CT960" s="1123"/>
      <c r="CU960" s="1123"/>
      <c r="CV960" s="1123"/>
      <c r="CW960" s="1123"/>
      <c r="CX960" s="1123"/>
      <c r="CY960" s="1123"/>
      <c r="CZ960" s="1114"/>
      <c r="DA960" s="1114"/>
      <c r="DB960" s="1114"/>
      <c r="DC960" s="1114"/>
      <c r="DD960" s="1114"/>
      <c r="DE960" s="1114"/>
      <c r="DF960" s="1114"/>
      <c r="DG960" s="1114"/>
      <c r="DH960" s="1114"/>
      <c r="DI960" s="1114"/>
      <c r="DJ960" s="1114"/>
      <c r="DK960" s="1114"/>
      <c r="DL960" s="1114"/>
      <c r="DM960" s="1114"/>
      <c r="DN960" s="1114"/>
      <c r="DO960" s="1114"/>
      <c r="DP960" s="1114"/>
      <c r="DQ960" s="1114"/>
      <c r="DR960" s="1114"/>
      <c r="DS960" s="1114"/>
      <c r="DT960" s="1114"/>
      <c r="DU960" s="1114"/>
      <c r="DV960" s="1115"/>
      <c r="DW960" s="1116"/>
      <c r="DX960" s="1116"/>
      <c r="DY960" s="1116"/>
      <c r="DZ960" s="1116"/>
      <c r="EA960" s="1116"/>
      <c r="EB960" s="1116"/>
      <c r="EC960" s="1116"/>
      <c r="ED960" s="1116"/>
      <c r="EE960" s="1116"/>
      <c r="EF960" s="1116"/>
      <c r="EG960" s="1116"/>
      <c r="EH960" s="1116"/>
      <c r="EI960" s="1116"/>
      <c r="EJ960" s="1116"/>
      <c r="EK960" s="1116"/>
      <c r="EL960" s="1116"/>
      <c r="EM960" s="1116"/>
      <c r="EN960" s="1116"/>
      <c r="EO960" s="1116"/>
      <c r="EP960" s="1116"/>
      <c r="EQ960" s="1116"/>
      <c r="ER960" s="1116"/>
      <c r="ES960" s="1116"/>
    </row>
    <row r="961" spans="1:149" ht="15" customHeight="1">
      <c r="A961" s="1185">
        <v>951</v>
      </c>
      <c r="B961" s="1041"/>
      <c r="C961" s="1050"/>
      <c r="D961" s="1050"/>
      <c r="E961" s="1050"/>
      <c r="F961" s="1049"/>
      <c r="G961" s="1049"/>
      <c r="H961" s="1049"/>
      <c r="I961" s="1049"/>
      <c r="J961" s="1050"/>
      <c r="K961" s="1050"/>
      <c r="L961" s="1043"/>
      <c r="M961" s="1051"/>
      <c r="N961" s="1051"/>
      <c r="O961" s="1052"/>
      <c r="P961" s="1051"/>
      <c r="Q961" s="1051"/>
      <c r="R961" s="1052"/>
      <c r="S961" s="1051"/>
      <c r="T961" s="1051"/>
      <c r="U961" s="1052"/>
      <c r="V961" s="1051"/>
      <c r="W961" s="1051"/>
      <c r="X961" s="1052"/>
      <c r="Y961" s="1053"/>
      <c r="Z961" s="1051"/>
      <c r="AA961" s="1051"/>
      <c r="AB961" s="1052"/>
      <c r="AC961" s="1051"/>
      <c r="AD961" s="1051"/>
      <c r="AE961" s="1052"/>
      <c r="AF961" s="1051"/>
      <c r="AG961" s="1051"/>
      <c r="AH961" s="1051"/>
      <c r="AI961" s="1051"/>
      <c r="AJ961" s="1052"/>
      <c r="AK961" s="1051"/>
      <c r="AL961" s="1051"/>
      <c r="AM961" s="1052"/>
      <c r="AN961" s="1051"/>
      <c r="AO961" s="1051"/>
      <c r="AP961" s="1052"/>
      <c r="AQ961" s="1051"/>
      <c r="AR961" s="1051"/>
      <c r="AS961" s="1052"/>
      <c r="AT961" s="1051"/>
      <c r="AU961" s="1051"/>
      <c r="AV961" s="1052"/>
      <c r="AW961" s="1051"/>
      <c r="AX961" s="1051"/>
      <c r="AY961" s="1053"/>
      <c r="AZ961" s="1051"/>
      <c r="BA961" s="1051"/>
      <c r="BB961" s="1053"/>
      <c r="BC961" s="1051"/>
      <c r="BD961" s="1051"/>
      <c r="BE961" s="1053"/>
      <c r="BF961" s="1051"/>
      <c r="BG961" s="1051"/>
      <c r="BH961" s="1053"/>
      <c r="BI961" s="1052"/>
      <c r="BJ961" s="1052"/>
      <c r="BK961" s="1052"/>
      <c r="BL961" s="1052"/>
      <c r="BM961" s="1052"/>
      <c r="BN961" s="1054"/>
      <c r="BO961" s="1076">
        <f t="shared" si="16"/>
        <v>0</v>
      </c>
      <c r="BP961" s="1051"/>
      <c r="BQ961" s="1052"/>
      <c r="BR961" s="1054"/>
      <c r="BS961" s="1053"/>
      <c r="BT961" s="1051"/>
      <c r="BU961" s="1051"/>
      <c r="BV961" s="1051"/>
      <c r="BW961" s="1052"/>
      <c r="BX961" s="1052"/>
      <c r="BY961" s="1052"/>
      <c r="BZ961" s="1052"/>
      <c r="CA961" s="1052"/>
      <c r="CB961" s="1053"/>
      <c r="CC961" s="1053"/>
      <c r="CD961" s="1053"/>
      <c r="CE961" s="1053"/>
      <c r="CF961" s="1053"/>
      <c r="CG961" s="1053"/>
      <c r="CH961" s="1053"/>
      <c r="CI961" s="1123"/>
      <c r="CJ961" s="1123"/>
      <c r="CK961" s="1123"/>
      <c r="CL961" s="1123"/>
      <c r="CM961" s="1123"/>
      <c r="CN961" s="1123"/>
      <c r="CO961" s="1123"/>
      <c r="CP961" s="1123"/>
      <c r="CQ961" s="1123"/>
      <c r="CR961" s="1123"/>
      <c r="CS961" s="1123"/>
      <c r="CT961" s="1123"/>
      <c r="CU961" s="1123"/>
      <c r="CV961" s="1123"/>
      <c r="CW961" s="1123"/>
      <c r="CX961" s="1123"/>
      <c r="CY961" s="1123"/>
      <c r="CZ961" s="1114"/>
      <c r="DA961" s="1114"/>
      <c r="DB961" s="1114"/>
      <c r="DC961" s="1114"/>
      <c r="DD961" s="1114"/>
      <c r="DE961" s="1114"/>
      <c r="DF961" s="1114"/>
      <c r="DG961" s="1114"/>
      <c r="DH961" s="1114"/>
      <c r="DI961" s="1114"/>
      <c r="DJ961" s="1114"/>
      <c r="DK961" s="1114"/>
      <c r="DL961" s="1114"/>
      <c r="DM961" s="1114"/>
      <c r="DN961" s="1114"/>
      <c r="DO961" s="1114"/>
      <c r="DP961" s="1114"/>
      <c r="DQ961" s="1114"/>
      <c r="DR961" s="1114"/>
      <c r="DS961" s="1114"/>
      <c r="DT961" s="1114"/>
      <c r="DU961" s="1114"/>
      <c r="DV961" s="1115"/>
      <c r="DW961" s="1116"/>
      <c r="DX961" s="1116"/>
      <c r="DY961" s="1116"/>
      <c r="DZ961" s="1116"/>
      <c r="EA961" s="1116"/>
      <c r="EB961" s="1116"/>
      <c r="EC961" s="1116"/>
      <c r="ED961" s="1116"/>
      <c r="EE961" s="1116"/>
      <c r="EF961" s="1116"/>
      <c r="EG961" s="1116"/>
      <c r="EH961" s="1116"/>
      <c r="EI961" s="1116"/>
      <c r="EJ961" s="1116"/>
      <c r="EK961" s="1116"/>
      <c r="EL961" s="1116"/>
      <c r="EM961" s="1116"/>
      <c r="EN961" s="1116"/>
      <c r="EO961" s="1116"/>
      <c r="EP961" s="1116"/>
      <c r="EQ961" s="1116"/>
      <c r="ER961" s="1116"/>
      <c r="ES961" s="1116"/>
    </row>
    <row r="962" spans="1:149" ht="15" customHeight="1">
      <c r="A962" s="1185">
        <v>952</v>
      </c>
      <c r="B962" s="1041"/>
      <c r="C962" s="1050"/>
      <c r="D962" s="1050"/>
      <c r="E962" s="1050"/>
      <c r="F962" s="1049"/>
      <c r="G962" s="1049"/>
      <c r="H962" s="1049"/>
      <c r="I962" s="1049"/>
      <c r="J962" s="1050"/>
      <c r="K962" s="1050"/>
      <c r="L962" s="1043"/>
      <c r="M962" s="1051"/>
      <c r="N962" s="1051"/>
      <c r="O962" s="1052"/>
      <c r="P962" s="1051"/>
      <c r="Q962" s="1051"/>
      <c r="R962" s="1052"/>
      <c r="S962" s="1051"/>
      <c r="T962" s="1051"/>
      <c r="U962" s="1052"/>
      <c r="V962" s="1051"/>
      <c r="W962" s="1051"/>
      <c r="X962" s="1052"/>
      <c r="Y962" s="1053"/>
      <c r="Z962" s="1051"/>
      <c r="AA962" s="1051"/>
      <c r="AB962" s="1052"/>
      <c r="AC962" s="1051"/>
      <c r="AD962" s="1051"/>
      <c r="AE962" s="1052"/>
      <c r="AF962" s="1051"/>
      <c r="AG962" s="1051"/>
      <c r="AH962" s="1051"/>
      <c r="AI962" s="1051"/>
      <c r="AJ962" s="1052"/>
      <c r="AK962" s="1051"/>
      <c r="AL962" s="1051"/>
      <c r="AM962" s="1052"/>
      <c r="AN962" s="1051"/>
      <c r="AO962" s="1051"/>
      <c r="AP962" s="1052"/>
      <c r="AQ962" s="1051"/>
      <c r="AR962" s="1051"/>
      <c r="AS962" s="1052"/>
      <c r="AT962" s="1051"/>
      <c r="AU962" s="1051"/>
      <c r="AV962" s="1052"/>
      <c r="AW962" s="1051"/>
      <c r="AX962" s="1051"/>
      <c r="AY962" s="1053"/>
      <c r="AZ962" s="1051"/>
      <c r="BA962" s="1051"/>
      <c r="BB962" s="1053"/>
      <c r="BC962" s="1051"/>
      <c r="BD962" s="1051"/>
      <c r="BE962" s="1053"/>
      <c r="BF962" s="1051"/>
      <c r="BG962" s="1051"/>
      <c r="BH962" s="1053"/>
      <c r="BI962" s="1052"/>
      <c r="BJ962" s="1052"/>
      <c r="BK962" s="1052"/>
      <c r="BL962" s="1052"/>
      <c r="BM962" s="1052"/>
      <c r="BN962" s="1054"/>
      <c r="BO962" s="1076">
        <f t="shared" si="16"/>
        <v>0</v>
      </c>
      <c r="BP962" s="1051"/>
      <c r="BQ962" s="1052"/>
      <c r="BR962" s="1054"/>
      <c r="BS962" s="1053"/>
      <c r="BT962" s="1051"/>
      <c r="BU962" s="1051"/>
      <c r="BV962" s="1051"/>
      <c r="BW962" s="1052"/>
      <c r="BX962" s="1052"/>
      <c r="BY962" s="1052"/>
      <c r="BZ962" s="1052"/>
      <c r="CA962" s="1052"/>
      <c r="CB962" s="1053"/>
      <c r="CC962" s="1053"/>
      <c r="CD962" s="1053"/>
      <c r="CE962" s="1053"/>
      <c r="CF962" s="1053"/>
      <c r="CG962" s="1053"/>
      <c r="CH962" s="1053"/>
      <c r="CI962" s="1123"/>
      <c r="CJ962" s="1123"/>
      <c r="CK962" s="1123"/>
      <c r="CL962" s="1123"/>
      <c r="CM962" s="1123"/>
      <c r="CN962" s="1123"/>
      <c r="CO962" s="1123"/>
      <c r="CP962" s="1123"/>
      <c r="CQ962" s="1123"/>
      <c r="CR962" s="1123"/>
      <c r="CS962" s="1123"/>
      <c r="CT962" s="1123"/>
      <c r="CU962" s="1123"/>
      <c r="CV962" s="1123"/>
      <c r="CW962" s="1123"/>
      <c r="CX962" s="1123"/>
      <c r="CY962" s="1123"/>
      <c r="CZ962" s="1114"/>
      <c r="DA962" s="1114"/>
      <c r="DB962" s="1114"/>
      <c r="DC962" s="1114"/>
      <c r="DD962" s="1114"/>
      <c r="DE962" s="1114"/>
      <c r="DF962" s="1114"/>
      <c r="DG962" s="1114"/>
      <c r="DH962" s="1114"/>
      <c r="DI962" s="1114"/>
      <c r="DJ962" s="1114"/>
      <c r="DK962" s="1114"/>
      <c r="DL962" s="1114"/>
      <c r="DM962" s="1114"/>
      <c r="DN962" s="1114"/>
      <c r="DO962" s="1114"/>
      <c r="DP962" s="1114"/>
      <c r="DQ962" s="1114"/>
      <c r="DR962" s="1114"/>
      <c r="DS962" s="1114"/>
      <c r="DT962" s="1114"/>
      <c r="DU962" s="1114"/>
      <c r="DV962" s="1115"/>
      <c r="DW962" s="1116"/>
      <c r="DX962" s="1116"/>
      <c r="DY962" s="1116"/>
      <c r="DZ962" s="1116"/>
      <c r="EA962" s="1116"/>
      <c r="EB962" s="1116"/>
      <c r="EC962" s="1116"/>
      <c r="ED962" s="1116"/>
      <c r="EE962" s="1116"/>
      <c r="EF962" s="1116"/>
      <c r="EG962" s="1116"/>
      <c r="EH962" s="1116"/>
      <c r="EI962" s="1116"/>
      <c r="EJ962" s="1116"/>
      <c r="EK962" s="1116"/>
      <c r="EL962" s="1116"/>
      <c r="EM962" s="1116"/>
      <c r="EN962" s="1116"/>
      <c r="EO962" s="1116"/>
      <c r="EP962" s="1116"/>
      <c r="EQ962" s="1116"/>
      <c r="ER962" s="1116"/>
      <c r="ES962" s="1116"/>
    </row>
    <row r="963" spans="1:149" ht="15" customHeight="1">
      <c r="A963" s="1185">
        <v>953</v>
      </c>
      <c r="B963" s="1041"/>
      <c r="C963" s="1050"/>
      <c r="D963" s="1050"/>
      <c r="E963" s="1050"/>
      <c r="F963" s="1049"/>
      <c r="G963" s="1049"/>
      <c r="H963" s="1049"/>
      <c r="I963" s="1049"/>
      <c r="J963" s="1050"/>
      <c r="K963" s="1050"/>
      <c r="L963" s="1043"/>
      <c r="M963" s="1051"/>
      <c r="N963" s="1051"/>
      <c r="O963" s="1052"/>
      <c r="P963" s="1051"/>
      <c r="Q963" s="1051"/>
      <c r="R963" s="1052"/>
      <c r="S963" s="1051"/>
      <c r="T963" s="1051"/>
      <c r="U963" s="1052"/>
      <c r="V963" s="1051"/>
      <c r="W963" s="1051"/>
      <c r="X963" s="1052"/>
      <c r="Y963" s="1053"/>
      <c r="Z963" s="1051"/>
      <c r="AA963" s="1051"/>
      <c r="AB963" s="1052"/>
      <c r="AC963" s="1051"/>
      <c r="AD963" s="1051"/>
      <c r="AE963" s="1052"/>
      <c r="AF963" s="1051"/>
      <c r="AG963" s="1051"/>
      <c r="AH963" s="1051"/>
      <c r="AI963" s="1051"/>
      <c r="AJ963" s="1052"/>
      <c r="AK963" s="1051"/>
      <c r="AL963" s="1051"/>
      <c r="AM963" s="1052"/>
      <c r="AN963" s="1051"/>
      <c r="AO963" s="1051"/>
      <c r="AP963" s="1052"/>
      <c r="AQ963" s="1051"/>
      <c r="AR963" s="1051"/>
      <c r="AS963" s="1052"/>
      <c r="AT963" s="1051"/>
      <c r="AU963" s="1051"/>
      <c r="AV963" s="1052"/>
      <c r="AW963" s="1051"/>
      <c r="AX963" s="1051"/>
      <c r="AY963" s="1053"/>
      <c r="AZ963" s="1051"/>
      <c r="BA963" s="1051"/>
      <c r="BB963" s="1053"/>
      <c r="BC963" s="1051"/>
      <c r="BD963" s="1051"/>
      <c r="BE963" s="1053"/>
      <c r="BF963" s="1051"/>
      <c r="BG963" s="1051"/>
      <c r="BH963" s="1053"/>
      <c r="BI963" s="1052"/>
      <c r="BJ963" s="1052"/>
      <c r="BK963" s="1052"/>
      <c r="BL963" s="1052"/>
      <c r="BM963" s="1052"/>
      <c r="BN963" s="1054"/>
      <c r="BO963" s="1076">
        <f t="shared" si="16"/>
        <v>0</v>
      </c>
      <c r="BP963" s="1051"/>
      <c r="BQ963" s="1052"/>
      <c r="BR963" s="1054"/>
      <c r="BS963" s="1053"/>
      <c r="BT963" s="1051"/>
      <c r="BU963" s="1051"/>
      <c r="BV963" s="1051"/>
      <c r="BW963" s="1052"/>
      <c r="BX963" s="1052"/>
      <c r="BY963" s="1052"/>
      <c r="BZ963" s="1052"/>
      <c r="CA963" s="1052"/>
      <c r="CB963" s="1053"/>
      <c r="CC963" s="1053"/>
      <c r="CD963" s="1053"/>
      <c r="CE963" s="1053"/>
      <c r="CF963" s="1053"/>
      <c r="CG963" s="1053"/>
      <c r="CH963" s="1053"/>
      <c r="CI963" s="1123"/>
      <c r="CJ963" s="1123"/>
      <c r="CK963" s="1123"/>
      <c r="CL963" s="1123"/>
      <c r="CM963" s="1123"/>
      <c r="CN963" s="1123"/>
      <c r="CO963" s="1123"/>
      <c r="CP963" s="1123"/>
      <c r="CQ963" s="1123"/>
      <c r="CR963" s="1123"/>
      <c r="CS963" s="1123"/>
      <c r="CT963" s="1123"/>
      <c r="CU963" s="1123"/>
      <c r="CV963" s="1123"/>
      <c r="CW963" s="1123"/>
      <c r="CX963" s="1123"/>
      <c r="CY963" s="1123"/>
      <c r="CZ963" s="1114"/>
      <c r="DA963" s="1114"/>
      <c r="DB963" s="1114"/>
      <c r="DC963" s="1114"/>
      <c r="DD963" s="1114"/>
      <c r="DE963" s="1114"/>
      <c r="DF963" s="1114"/>
      <c r="DG963" s="1114"/>
      <c r="DH963" s="1114"/>
      <c r="DI963" s="1114"/>
      <c r="DJ963" s="1114"/>
      <c r="DK963" s="1114"/>
      <c r="DL963" s="1114"/>
      <c r="DM963" s="1114"/>
      <c r="DN963" s="1114"/>
      <c r="DO963" s="1114"/>
      <c r="DP963" s="1114"/>
      <c r="DQ963" s="1114"/>
      <c r="DR963" s="1114"/>
      <c r="DS963" s="1114"/>
      <c r="DT963" s="1114"/>
      <c r="DU963" s="1114"/>
      <c r="DV963" s="1115"/>
      <c r="DW963" s="1116"/>
      <c r="DX963" s="1116"/>
      <c r="DY963" s="1116"/>
      <c r="DZ963" s="1116"/>
      <c r="EA963" s="1116"/>
      <c r="EB963" s="1116"/>
      <c r="EC963" s="1116"/>
      <c r="ED963" s="1116"/>
      <c r="EE963" s="1116"/>
      <c r="EF963" s="1116"/>
      <c r="EG963" s="1116"/>
      <c r="EH963" s="1116"/>
      <c r="EI963" s="1116"/>
      <c r="EJ963" s="1116"/>
      <c r="EK963" s="1116"/>
      <c r="EL963" s="1116"/>
      <c r="EM963" s="1116"/>
      <c r="EN963" s="1116"/>
      <c r="EO963" s="1116"/>
      <c r="EP963" s="1116"/>
      <c r="EQ963" s="1116"/>
      <c r="ER963" s="1116"/>
      <c r="ES963" s="1116"/>
    </row>
    <row r="964" spans="1:149" ht="15" customHeight="1">
      <c r="A964" s="1185">
        <v>954</v>
      </c>
      <c r="B964" s="1041"/>
      <c r="C964" s="1050"/>
      <c r="D964" s="1050"/>
      <c r="E964" s="1050"/>
      <c r="F964" s="1049"/>
      <c r="G964" s="1049"/>
      <c r="H964" s="1049"/>
      <c r="I964" s="1049"/>
      <c r="J964" s="1050"/>
      <c r="K964" s="1050"/>
      <c r="L964" s="1043"/>
      <c r="M964" s="1051"/>
      <c r="N964" s="1051"/>
      <c r="O964" s="1052"/>
      <c r="P964" s="1051"/>
      <c r="Q964" s="1051"/>
      <c r="R964" s="1052"/>
      <c r="S964" s="1051"/>
      <c r="T964" s="1051"/>
      <c r="U964" s="1052"/>
      <c r="V964" s="1051"/>
      <c r="W964" s="1051"/>
      <c r="X964" s="1052"/>
      <c r="Y964" s="1053"/>
      <c r="Z964" s="1051"/>
      <c r="AA964" s="1051"/>
      <c r="AB964" s="1052"/>
      <c r="AC964" s="1051"/>
      <c r="AD964" s="1051"/>
      <c r="AE964" s="1052"/>
      <c r="AF964" s="1051"/>
      <c r="AG964" s="1051"/>
      <c r="AH964" s="1051"/>
      <c r="AI964" s="1051"/>
      <c r="AJ964" s="1052"/>
      <c r="AK964" s="1051"/>
      <c r="AL964" s="1051"/>
      <c r="AM964" s="1052"/>
      <c r="AN964" s="1051"/>
      <c r="AO964" s="1051"/>
      <c r="AP964" s="1052"/>
      <c r="AQ964" s="1051"/>
      <c r="AR964" s="1051"/>
      <c r="AS964" s="1052"/>
      <c r="AT964" s="1051"/>
      <c r="AU964" s="1051"/>
      <c r="AV964" s="1052"/>
      <c r="AW964" s="1051"/>
      <c r="AX964" s="1051"/>
      <c r="AY964" s="1053"/>
      <c r="AZ964" s="1051"/>
      <c r="BA964" s="1051"/>
      <c r="BB964" s="1053"/>
      <c r="BC964" s="1051"/>
      <c r="BD964" s="1051"/>
      <c r="BE964" s="1053"/>
      <c r="BF964" s="1051"/>
      <c r="BG964" s="1051"/>
      <c r="BH964" s="1053"/>
      <c r="BI964" s="1052"/>
      <c r="BJ964" s="1052"/>
      <c r="BK964" s="1052"/>
      <c r="BL964" s="1052"/>
      <c r="BM964" s="1052"/>
      <c r="BN964" s="1054"/>
      <c r="BO964" s="1076">
        <f t="shared" si="16"/>
        <v>0</v>
      </c>
      <c r="BP964" s="1051"/>
      <c r="BQ964" s="1052"/>
      <c r="BR964" s="1054"/>
      <c r="BS964" s="1053"/>
      <c r="BT964" s="1051"/>
      <c r="BU964" s="1051"/>
      <c r="BV964" s="1051"/>
      <c r="BW964" s="1052"/>
      <c r="BX964" s="1052"/>
      <c r="BY964" s="1052"/>
      <c r="BZ964" s="1052"/>
      <c r="CA964" s="1052"/>
      <c r="CB964" s="1053"/>
      <c r="CC964" s="1053"/>
      <c r="CD964" s="1053"/>
      <c r="CE964" s="1053"/>
      <c r="CF964" s="1053"/>
      <c r="CG964" s="1053"/>
      <c r="CH964" s="1053"/>
      <c r="CI964" s="1123"/>
      <c r="CJ964" s="1123"/>
      <c r="CK964" s="1123"/>
      <c r="CL964" s="1123"/>
      <c r="CM964" s="1123"/>
      <c r="CN964" s="1123"/>
      <c r="CO964" s="1123"/>
      <c r="CP964" s="1123"/>
      <c r="CQ964" s="1123"/>
      <c r="CR964" s="1123"/>
      <c r="CS964" s="1123"/>
      <c r="CT964" s="1123"/>
      <c r="CU964" s="1123"/>
      <c r="CV964" s="1123"/>
      <c r="CW964" s="1123"/>
      <c r="CX964" s="1123"/>
      <c r="CY964" s="1123"/>
      <c r="CZ964" s="1114"/>
      <c r="DA964" s="1114"/>
      <c r="DB964" s="1114"/>
      <c r="DC964" s="1114"/>
      <c r="DD964" s="1114"/>
      <c r="DE964" s="1114"/>
      <c r="DF964" s="1114"/>
      <c r="DG964" s="1114"/>
      <c r="DH964" s="1114"/>
      <c r="DI964" s="1114"/>
      <c r="DJ964" s="1114"/>
      <c r="DK964" s="1114"/>
      <c r="DL964" s="1114"/>
      <c r="DM964" s="1114"/>
      <c r="DN964" s="1114"/>
      <c r="DO964" s="1114"/>
      <c r="DP964" s="1114"/>
      <c r="DQ964" s="1114"/>
      <c r="DR964" s="1114"/>
      <c r="DS964" s="1114"/>
      <c r="DT964" s="1114"/>
      <c r="DU964" s="1114"/>
      <c r="DV964" s="1115"/>
      <c r="DW964" s="1116"/>
      <c r="DX964" s="1116"/>
      <c r="DY964" s="1116"/>
      <c r="DZ964" s="1116"/>
      <c r="EA964" s="1116"/>
      <c r="EB964" s="1116"/>
      <c r="EC964" s="1116"/>
      <c r="ED964" s="1116"/>
      <c r="EE964" s="1116"/>
      <c r="EF964" s="1116"/>
      <c r="EG964" s="1116"/>
      <c r="EH964" s="1116"/>
      <c r="EI964" s="1116"/>
      <c r="EJ964" s="1116"/>
      <c r="EK964" s="1116"/>
      <c r="EL964" s="1116"/>
      <c r="EM964" s="1116"/>
      <c r="EN964" s="1116"/>
      <c r="EO964" s="1116"/>
      <c r="EP964" s="1116"/>
      <c r="EQ964" s="1116"/>
      <c r="ER964" s="1116"/>
      <c r="ES964" s="1116"/>
    </row>
    <row r="965" spans="1:149" ht="15" customHeight="1">
      <c r="A965" s="1185">
        <v>955</v>
      </c>
      <c r="B965" s="1041"/>
      <c r="C965" s="1050"/>
      <c r="D965" s="1050"/>
      <c r="E965" s="1050"/>
      <c r="F965" s="1049"/>
      <c r="G965" s="1049"/>
      <c r="H965" s="1049"/>
      <c r="I965" s="1049"/>
      <c r="J965" s="1050"/>
      <c r="K965" s="1050"/>
      <c r="L965" s="1043"/>
      <c r="M965" s="1051"/>
      <c r="N965" s="1051"/>
      <c r="O965" s="1052"/>
      <c r="P965" s="1051"/>
      <c r="Q965" s="1051"/>
      <c r="R965" s="1052"/>
      <c r="S965" s="1051"/>
      <c r="T965" s="1051"/>
      <c r="U965" s="1052"/>
      <c r="V965" s="1051"/>
      <c r="W965" s="1051"/>
      <c r="X965" s="1052"/>
      <c r="Y965" s="1053"/>
      <c r="Z965" s="1051"/>
      <c r="AA965" s="1051"/>
      <c r="AB965" s="1052"/>
      <c r="AC965" s="1051"/>
      <c r="AD965" s="1051"/>
      <c r="AE965" s="1052"/>
      <c r="AF965" s="1051"/>
      <c r="AG965" s="1051"/>
      <c r="AH965" s="1051"/>
      <c r="AI965" s="1051"/>
      <c r="AJ965" s="1052"/>
      <c r="AK965" s="1051"/>
      <c r="AL965" s="1051"/>
      <c r="AM965" s="1052"/>
      <c r="AN965" s="1051"/>
      <c r="AO965" s="1051"/>
      <c r="AP965" s="1052"/>
      <c r="AQ965" s="1051"/>
      <c r="AR965" s="1051"/>
      <c r="AS965" s="1052"/>
      <c r="AT965" s="1051"/>
      <c r="AU965" s="1051"/>
      <c r="AV965" s="1052"/>
      <c r="AW965" s="1051"/>
      <c r="AX965" s="1051"/>
      <c r="AY965" s="1053"/>
      <c r="AZ965" s="1051"/>
      <c r="BA965" s="1051"/>
      <c r="BB965" s="1053"/>
      <c r="BC965" s="1051"/>
      <c r="BD965" s="1051"/>
      <c r="BE965" s="1053"/>
      <c r="BF965" s="1051"/>
      <c r="BG965" s="1051"/>
      <c r="BH965" s="1053"/>
      <c r="BI965" s="1052"/>
      <c r="BJ965" s="1052"/>
      <c r="BK965" s="1052"/>
      <c r="BL965" s="1052"/>
      <c r="BM965" s="1052"/>
      <c r="BN965" s="1054"/>
      <c r="BO965" s="1076">
        <f t="shared" si="16"/>
        <v>0</v>
      </c>
      <c r="BP965" s="1051"/>
      <c r="BQ965" s="1052"/>
      <c r="BR965" s="1054"/>
      <c r="BS965" s="1053"/>
      <c r="BT965" s="1051"/>
      <c r="BU965" s="1051"/>
      <c r="BV965" s="1051"/>
      <c r="BW965" s="1052"/>
      <c r="BX965" s="1052"/>
      <c r="BY965" s="1052"/>
      <c r="BZ965" s="1052"/>
      <c r="CA965" s="1052"/>
      <c r="CB965" s="1053"/>
      <c r="CC965" s="1053"/>
      <c r="CD965" s="1053"/>
      <c r="CE965" s="1053"/>
      <c r="CF965" s="1053"/>
      <c r="CG965" s="1053"/>
      <c r="CH965" s="1053"/>
      <c r="CI965" s="1123"/>
      <c r="CJ965" s="1123"/>
      <c r="CK965" s="1123"/>
      <c r="CL965" s="1123"/>
      <c r="CM965" s="1123"/>
      <c r="CN965" s="1123"/>
      <c r="CO965" s="1123"/>
      <c r="CP965" s="1123"/>
      <c r="CQ965" s="1123"/>
      <c r="CR965" s="1123"/>
      <c r="CS965" s="1123"/>
      <c r="CT965" s="1123"/>
      <c r="CU965" s="1123"/>
      <c r="CV965" s="1123"/>
      <c r="CW965" s="1123"/>
      <c r="CX965" s="1123"/>
      <c r="CY965" s="1123"/>
      <c r="CZ965" s="1114"/>
      <c r="DA965" s="1114"/>
      <c r="DB965" s="1114"/>
      <c r="DC965" s="1114"/>
      <c r="DD965" s="1114"/>
      <c r="DE965" s="1114"/>
      <c r="DF965" s="1114"/>
      <c r="DG965" s="1114"/>
      <c r="DH965" s="1114"/>
      <c r="DI965" s="1114"/>
      <c r="DJ965" s="1114"/>
      <c r="DK965" s="1114"/>
      <c r="DL965" s="1114"/>
      <c r="DM965" s="1114"/>
      <c r="DN965" s="1114"/>
      <c r="DO965" s="1114"/>
      <c r="DP965" s="1114"/>
      <c r="DQ965" s="1114"/>
      <c r="DR965" s="1114"/>
      <c r="DS965" s="1114"/>
      <c r="DT965" s="1114"/>
      <c r="DU965" s="1114"/>
      <c r="DV965" s="1115"/>
      <c r="DW965" s="1116"/>
      <c r="DX965" s="1116"/>
      <c r="DY965" s="1116"/>
      <c r="DZ965" s="1116"/>
      <c r="EA965" s="1116"/>
      <c r="EB965" s="1116"/>
      <c r="EC965" s="1116"/>
      <c r="ED965" s="1116"/>
      <c r="EE965" s="1116"/>
      <c r="EF965" s="1116"/>
      <c r="EG965" s="1116"/>
      <c r="EH965" s="1116"/>
      <c r="EI965" s="1116"/>
      <c r="EJ965" s="1116"/>
      <c r="EK965" s="1116"/>
      <c r="EL965" s="1116"/>
      <c r="EM965" s="1116"/>
      <c r="EN965" s="1116"/>
      <c r="EO965" s="1116"/>
      <c r="EP965" s="1116"/>
      <c r="EQ965" s="1116"/>
      <c r="ER965" s="1116"/>
      <c r="ES965" s="1116"/>
    </row>
    <row r="966" spans="1:149" ht="15" customHeight="1">
      <c r="A966" s="1185">
        <v>956</v>
      </c>
      <c r="B966" s="1041"/>
      <c r="C966" s="1050"/>
      <c r="D966" s="1050"/>
      <c r="E966" s="1050"/>
      <c r="F966" s="1049"/>
      <c r="G966" s="1049"/>
      <c r="H966" s="1049"/>
      <c r="I966" s="1049"/>
      <c r="J966" s="1050"/>
      <c r="K966" s="1050"/>
      <c r="L966" s="1043"/>
      <c r="M966" s="1051"/>
      <c r="N966" s="1051"/>
      <c r="O966" s="1052"/>
      <c r="P966" s="1051"/>
      <c r="Q966" s="1051"/>
      <c r="R966" s="1052"/>
      <c r="S966" s="1051"/>
      <c r="T966" s="1051"/>
      <c r="U966" s="1052"/>
      <c r="V966" s="1051"/>
      <c r="W966" s="1051"/>
      <c r="X966" s="1052"/>
      <c r="Y966" s="1053"/>
      <c r="Z966" s="1051"/>
      <c r="AA966" s="1051"/>
      <c r="AB966" s="1052"/>
      <c r="AC966" s="1051"/>
      <c r="AD966" s="1051"/>
      <c r="AE966" s="1052"/>
      <c r="AF966" s="1051"/>
      <c r="AG966" s="1051"/>
      <c r="AH966" s="1051"/>
      <c r="AI966" s="1051"/>
      <c r="AJ966" s="1052"/>
      <c r="AK966" s="1051"/>
      <c r="AL966" s="1051"/>
      <c r="AM966" s="1052"/>
      <c r="AN966" s="1051"/>
      <c r="AO966" s="1051"/>
      <c r="AP966" s="1052"/>
      <c r="AQ966" s="1051"/>
      <c r="AR966" s="1051"/>
      <c r="AS966" s="1052"/>
      <c r="AT966" s="1051"/>
      <c r="AU966" s="1051"/>
      <c r="AV966" s="1052"/>
      <c r="AW966" s="1051"/>
      <c r="AX966" s="1051"/>
      <c r="AY966" s="1053"/>
      <c r="AZ966" s="1051"/>
      <c r="BA966" s="1051"/>
      <c r="BB966" s="1053"/>
      <c r="BC966" s="1051"/>
      <c r="BD966" s="1051"/>
      <c r="BE966" s="1053"/>
      <c r="BF966" s="1051"/>
      <c r="BG966" s="1051"/>
      <c r="BH966" s="1053"/>
      <c r="BI966" s="1052"/>
      <c r="BJ966" s="1052"/>
      <c r="BK966" s="1052"/>
      <c r="BL966" s="1052"/>
      <c r="BM966" s="1052"/>
      <c r="BN966" s="1054"/>
      <c r="BO966" s="1076">
        <f t="shared" si="16"/>
        <v>0</v>
      </c>
      <c r="BP966" s="1051"/>
      <c r="BQ966" s="1052"/>
      <c r="BR966" s="1054"/>
      <c r="BS966" s="1053"/>
      <c r="BT966" s="1051"/>
      <c r="BU966" s="1051"/>
      <c r="BV966" s="1051"/>
      <c r="BW966" s="1052"/>
      <c r="BX966" s="1052"/>
      <c r="BY966" s="1052"/>
      <c r="BZ966" s="1052"/>
      <c r="CA966" s="1052"/>
      <c r="CB966" s="1053"/>
      <c r="CC966" s="1053"/>
      <c r="CD966" s="1053"/>
      <c r="CE966" s="1053"/>
      <c r="CF966" s="1053"/>
      <c r="CG966" s="1053"/>
      <c r="CH966" s="1053"/>
      <c r="CI966" s="1123"/>
      <c r="CJ966" s="1123"/>
      <c r="CK966" s="1123"/>
      <c r="CL966" s="1123"/>
      <c r="CM966" s="1123"/>
      <c r="CN966" s="1123"/>
      <c r="CO966" s="1123"/>
      <c r="CP966" s="1123"/>
      <c r="CQ966" s="1123"/>
      <c r="CR966" s="1123"/>
      <c r="CS966" s="1123"/>
      <c r="CT966" s="1123"/>
      <c r="CU966" s="1123"/>
      <c r="CV966" s="1123"/>
      <c r="CW966" s="1123"/>
      <c r="CX966" s="1123"/>
      <c r="CY966" s="1123"/>
      <c r="CZ966" s="1114"/>
      <c r="DA966" s="1114"/>
      <c r="DB966" s="1114"/>
      <c r="DC966" s="1114"/>
      <c r="DD966" s="1114"/>
      <c r="DE966" s="1114"/>
      <c r="DF966" s="1114"/>
      <c r="DG966" s="1114"/>
      <c r="DH966" s="1114"/>
      <c r="DI966" s="1114"/>
      <c r="DJ966" s="1114"/>
      <c r="DK966" s="1114"/>
      <c r="DL966" s="1114"/>
      <c r="DM966" s="1114"/>
      <c r="DN966" s="1114"/>
      <c r="DO966" s="1114"/>
      <c r="DP966" s="1114"/>
      <c r="DQ966" s="1114"/>
      <c r="DR966" s="1114"/>
      <c r="DS966" s="1114"/>
      <c r="DT966" s="1114"/>
      <c r="DU966" s="1114"/>
      <c r="DV966" s="1115"/>
      <c r="DW966" s="1116"/>
      <c r="DX966" s="1116"/>
      <c r="DY966" s="1116"/>
      <c r="DZ966" s="1116"/>
      <c r="EA966" s="1116"/>
      <c r="EB966" s="1116"/>
      <c r="EC966" s="1116"/>
      <c r="ED966" s="1116"/>
      <c r="EE966" s="1116"/>
      <c r="EF966" s="1116"/>
      <c r="EG966" s="1116"/>
      <c r="EH966" s="1116"/>
      <c r="EI966" s="1116"/>
      <c r="EJ966" s="1116"/>
      <c r="EK966" s="1116"/>
      <c r="EL966" s="1116"/>
      <c r="EM966" s="1116"/>
      <c r="EN966" s="1116"/>
      <c r="EO966" s="1116"/>
      <c r="EP966" s="1116"/>
      <c r="EQ966" s="1116"/>
      <c r="ER966" s="1116"/>
      <c r="ES966" s="1116"/>
    </row>
    <row r="967" spans="1:149" ht="15" customHeight="1">
      <c r="A967" s="1185">
        <v>957</v>
      </c>
      <c r="B967" s="1041"/>
      <c r="C967" s="1050"/>
      <c r="D967" s="1050"/>
      <c r="E967" s="1050"/>
      <c r="F967" s="1049"/>
      <c r="G967" s="1049"/>
      <c r="H967" s="1049"/>
      <c r="I967" s="1049"/>
      <c r="J967" s="1050"/>
      <c r="K967" s="1050"/>
      <c r="L967" s="1043"/>
      <c r="M967" s="1051"/>
      <c r="N967" s="1051"/>
      <c r="O967" s="1052"/>
      <c r="P967" s="1051"/>
      <c r="Q967" s="1051"/>
      <c r="R967" s="1052"/>
      <c r="S967" s="1051"/>
      <c r="T967" s="1051"/>
      <c r="U967" s="1052"/>
      <c r="V967" s="1051"/>
      <c r="W967" s="1051"/>
      <c r="X967" s="1052"/>
      <c r="Y967" s="1053"/>
      <c r="Z967" s="1051"/>
      <c r="AA967" s="1051"/>
      <c r="AB967" s="1052"/>
      <c r="AC967" s="1051"/>
      <c r="AD967" s="1051"/>
      <c r="AE967" s="1052"/>
      <c r="AF967" s="1051"/>
      <c r="AG967" s="1051"/>
      <c r="AH967" s="1051"/>
      <c r="AI967" s="1051"/>
      <c r="AJ967" s="1052"/>
      <c r="AK967" s="1051"/>
      <c r="AL967" s="1051"/>
      <c r="AM967" s="1052"/>
      <c r="AN967" s="1051"/>
      <c r="AO967" s="1051"/>
      <c r="AP967" s="1052"/>
      <c r="AQ967" s="1051"/>
      <c r="AR967" s="1051"/>
      <c r="AS967" s="1052"/>
      <c r="AT967" s="1051"/>
      <c r="AU967" s="1051"/>
      <c r="AV967" s="1052"/>
      <c r="AW967" s="1051"/>
      <c r="AX967" s="1051"/>
      <c r="AY967" s="1053"/>
      <c r="AZ967" s="1051"/>
      <c r="BA967" s="1051"/>
      <c r="BB967" s="1053"/>
      <c r="BC967" s="1051"/>
      <c r="BD967" s="1051"/>
      <c r="BE967" s="1053"/>
      <c r="BF967" s="1051"/>
      <c r="BG967" s="1051"/>
      <c r="BH967" s="1053"/>
      <c r="BI967" s="1052"/>
      <c r="BJ967" s="1052"/>
      <c r="BK967" s="1052"/>
      <c r="BL967" s="1052"/>
      <c r="BM967" s="1052"/>
      <c r="BN967" s="1054"/>
      <c r="BO967" s="1076">
        <f t="shared" si="16"/>
        <v>0</v>
      </c>
      <c r="BP967" s="1051"/>
      <c r="BQ967" s="1052"/>
      <c r="BR967" s="1054"/>
      <c r="BS967" s="1053"/>
      <c r="BT967" s="1051"/>
      <c r="BU967" s="1051"/>
      <c r="BV967" s="1051"/>
      <c r="BW967" s="1052"/>
      <c r="BX967" s="1052"/>
      <c r="BY967" s="1052"/>
      <c r="BZ967" s="1052"/>
      <c r="CA967" s="1052"/>
      <c r="CB967" s="1053"/>
      <c r="CC967" s="1053"/>
      <c r="CD967" s="1053"/>
      <c r="CE967" s="1053"/>
      <c r="CF967" s="1053"/>
      <c r="CG967" s="1053"/>
      <c r="CH967" s="1053"/>
      <c r="CI967" s="1123"/>
      <c r="CJ967" s="1123"/>
      <c r="CK967" s="1123"/>
      <c r="CL967" s="1123"/>
      <c r="CM967" s="1123"/>
      <c r="CN967" s="1123"/>
      <c r="CO967" s="1123"/>
      <c r="CP967" s="1123"/>
      <c r="CQ967" s="1123"/>
      <c r="CR967" s="1123"/>
      <c r="CS967" s="1123"/>
      <c r="CT967" s="1123"/>
      <c r="CU967" s="1123"/>
      <c r="CV967" s="1123"/>
      <c r="CW967" s="1123"/>
      <c r="CX967" s="1123"/>
      <c r="CY967" s="1123"/>
      <c r="CZ967" s="1114"/>
      <c r="DA967" s="1114"/>
      <c r="DB967" s="1114"/>
      <c r="DC967" s="1114"/>
      <c r="DD967" s="1114"/>
      <c r="DE967" s="1114"/>
      <c r="DF967" s="1114"/>
      <c r="DG967" s="1114"/>
      <c r="DH967" s="1114"/>
      <c r="DI967" s="1114"/>
      <c r="DJ967" s="1114"/>
      <c r="DK967" s="1114"/>
      <c r="DL967" s="1114"/>
      <c r="DM967" s="1114"/>
      <c r="DN967" s="1114"/>
      <c r="DO967" s="1114"/>
      <c r="DP967" s="1114"/>
      <c r="DQ967" s="1114"/>
      <c r="DR967" s="1114"/>
      <c r="DS967" s="1114"/>
      <c r="DT967" s="1114"/>
      <c r="DU967" s="1114"/>
      <c r="DV967" s="1115"/>
      <c r="DW967" s="1116"/>
      <c r="DX967" s="1116"/>
      <c r="DY967" s="1116"/>
      <c r="DZ967" s="1116"/>
      <c r="EA967" s="1116"/>
      <c r="EB967" s="1116"/>
      <c r="EC967" s="1116"/>
      <c r="ED967" s="1116"/>
      <c r="EE967" s="1116"/>
      <c r="EF967" s="1116"/>
      <c r="EG967" s="1116"/>
      <c r="EH967" s="1116"/>
      <c r="EI967" s="1116"/>
      <c r="EJ967" s="1116"/>
      <c r="EK967" s="1116"/>
      <c r="EL967" s="1116"/>
      <c r="EM967" s="1116"/>
      <c r="EN967" s="1116"/>
      <c r="EO967" s="1116"/>
      <c r="EP967" s="1116"/>
      <c r="EQ967" s="1116"/>
      <c r="ER967" s="1116"/>
      <c r="ES967" s="1116"/>
    </row>
    <row r="968" spans="1:149" ht="15" customHeight="1">
      <c r="A968" s="1185">
        <v>958</v>
      </c>
      <c r="B968" s="1041"/>
      <c r="C968" s="1050"/>
      <c r="D968" s="1050"/>
      <c r="E968" s="1050"/>
      <c r="F968" s="1049"/>
      <c r="G968" s="1049"/>
      <c r="H968" s="1049"/>
      <c r="I968" s="1049"/>
      <c r="J968" s="1050"/>
      <c r="K968" s="1050"/>
      <c r="L968" s="1043"/>
      <c r="M968" s="1051"/>
      <c r="N968" s="1051"/>
      <c r="O968" s="1052"/>
      <c r="P968" s="1051"/>
      <c r="Q968" s="1051"/>
      <c r="R968" s="1052"/>
      <c r="S968" s="1051"/>
      <c r="T968" s="1051"/>
      <c r="U968" s="1052"/>
      <c r="V968" s="1051"/>
      <c r="W968" s="1051"/>
      <c r="X968" s="1052"/>
      <c r="Y968" s="1053"/>
      <c r="Z968" s="1051"/>
      <c r="AA968" s="1051"/>
      <c r="AB968" s="1052"/>
      <c r="AC968" s="1051"/>
      <c r="AD968" s="1051"/>
      <c r="AE968" s="1052"/>
      <c r="AF968" s="1051"/>
      <c r="AG968" s="1051"/>
      <c r="AH968" s="1051"/>
      <c r="AI968" s="1051"/>
      <c r="AJ968" s="1052"/>
      <c r="AK968" s="1051"/>
      <c r="AL968" s="1051"/>
      <c r="AM968" s="1052"/>
      <c r="AN968" s="1051"/>
      <c r="AO968" s="1051"/>
      <c r="AP968" s="1052"/>
      <c r="AQ968" s="1051"/>
      <c r="AR968" s="1051"/>
      <c r="AS968" s="1052"/>
      <c r="AT968" s="1051"/>
      <c r="AU968" s="1051"/>
      <c r="AV968" s="1052"/>
      <c r="AW968" s="1051"/>
      <c r="AX968" s="1051"/>
      <c r="AY968" s="1053"/>
      <c r="AZ968" s="1051"/>
      <c r="BA968" s="1051"/>
      <c r="BB968" s="1053"/>
      <c r="BC968" s="1051"/>
      <c r="BD968" s="1051"/>
      <c r="BE968" s="1053"/>
      <c r="BF968" s="1051"/>
      <c r="BG968" s="1051"/>
      <c r="BH968" s="1053"/>
      <c r="BI968" s="1052"/>
      <c r="BJ968" s="1052"/>
      <c r="BK968" s="1052"/>
      <c r="BL968" s="1052"/>
      <c r="BM968" s="1052"/>
      <c r="BN968" s="1054"/>
      <c r="BO968" s="1076">
        <f t="shared" si="16"/>
        <v>0</v>
      </c>
      <c r="BP968" s="1051"/>
      <c r="BQ968" s="1052"/>
      <c r="BR968" s="1054"/>
      <c r="BS968" s="1053"/>
      <c r="BT968" s="1051"/>
      <c r="BU968" s="1051"/>
      <c r="BV968" s="1051"/>
      <c r="BW968" s="1052"/>
      <c r="BX968" s="1052"/>
      <c r="BY968" s="1052"/>
      <c r="BZ968" s="1052"/>
      <c r="CA968" s="1052"/>
      <c r="CB968" s="1053"/>
      <c r="CC968" s="1053"/>
      <c r="CD968" s="1053"/>
      <c r="CE968" s="1053"/>
      <c r="CF968" s="1053"/>
      <c r="CG968" s="1053"/>
      <c r="CH968" s="1053"/>
      <c r="CI968" s="1123"/>
      <c r="CJ968" s="1123"/>
      <c r="CK968" s="1123"/>
      <c r="CL968" s="1123"/>
      <c r="CM968" s="1123"/>
      <c r="CN968" s="1123"/>
      <c r="CO968" s="1123"/>
      <c r="CP968" s="1123"/>
      <c r="CQ968" s="1123"/>
      <c r="CR968" s="1123"/>
      <c r="CS968" s="1123"/>
      <c r="CT968" s="1123"/>
      <c r="CU968" s="1123"/>
      <c r="CV968" s="1123"/>
      <c r="CW968" s="1123"/>
      <c r="CX968" s="1123"/>
      <c r="CY968" s="1123"/>
      <c r="CZ968" s="1114"/>
      <c r="DA968" s="1114"/>
      <c r="DB968" s="1114"/>
      <c r="DC968" s="1114"/>
      <c r="DD968" s="1114"/>
      <c r="DE968" s="1114"/>
      <c r="DF968" s="1114"/>
      <c r="DG968" s="1114"/>
      <c r="DH968" s="1114"/>
      <c r="DI968" s="1114"/>
      <c r="DJ968" s="1114"/>
      <c r="DK968" s="1114"/>
      <c r="DL968" s="1114"/>
      <c r="DM968" s="1114"/>
      <c r="DN968" s="1114"/>
      <c r="DO968" s="1114"/>
      <c r="DP968" s="1114"/>
      <c r="DQ968" s="1114"/>
      <c r="DR968" s="1114"/>
      <c r="DS968" s="1114"/>
      <c r="DT968" s="1114"/>
      <c r="DU968" s="1114"/>
      <c r="DV968" s="1115"/>
      <c r="DW968" s="1116"/>
      <c r="DX968" s="1116"/>
      <c r="DY968" s="1116"/>
      <c r="DZ968" s="1116"/>
      <c r="EA968" s="1116"/>
      <c r="EB968" s="1116"/>
      <c r="EC968" s="1116"/>
      <c r="ED968" s="1116"/>
      <c r="EE968" s="1116"/>
      <c r="EF968" s="1116"/>
      <c r="EG968" s="1116"/>
      <c r="EH968" s="1116"/>
      <c r="EI968" s="1116"/>
      <c r="EJ968" s="1116"/>
      <c r="EK968" s="1116"/>
      <c r="EL968" s="1116"/>
      <c r="EM968" s="1116"/>
      <c r="EN968" s="1116"/>
      <c r="EO968" s="1116"/>
      <c r="EP968" s="1116"/>
      <c r="EQ968" s="1116"/>
      <c r="ER968" s="1116"/>
      <c r="ES968" s="1116"/>
    </row>
    <row r="969" spans="1:149" ht="15" customHeight="1">
      <c r="A969" s="1185">
        <v>959</v>
      </c>
      <c r="B969" s="1041"/>
      <c r="C969" s="1050"/>
      <c r="D969" s="1050"/>
      <c r="E969" s="1050"/>
      <c r="F969" s="1049"/>
      <c r="G969" s="1049"/>
      <c r="H969" s="1049"/>
      <c r="I969" s="1049"/>
      <c r="J969" s="1050"/>
      <c r="K969" s="1050"/>
      <c r="L969" s="1043"/>
      <c r="M969" s="1051"/>
      <c r="N969" s="1051"/>
      <c r="O969" s="1052"/>
      <c r="P969" s="1051"/>
      <c r="Q969" s="1051"/>
      <c r="R969" s="1052"/>
      <c r="S969" s="1051"/>
      <c r="T969" s="1051"/>
      <c r="U969" s="1052"/>
      <c r="V969" s="1051"/>
      <c r="W969" s="1051"/>
      <c r="X969" s="1052"/>
      <c r="Y969" s="1053"/>
      <c r="Z969" s="1051"/>
      <c r="AA969" s="1051"/>
      <c r="AB969" s="1052"/>
      <c r="AC969" s="1051"/>
      <c r="AD969" s="1051"/>
      <c r="AE969" s="1052"/>
      <c r="AF969" s="1051"/>
      <c r="AG969" s="1051"/>
      <c r="AH969" s="1051"/>
      <c r="AI969" s="1051"/>
      <c r="AJ969" s="1052"/>
      <c r="AK969" s="1051"/>
      <c r="AL969" s="1051"/>
      <c r="AM969" s="1052"/>
      <c r="AN969" s="1051"/>
      <c r="AO969" s="1051"/>
      <c r="AP969" s="1052"/>
      <c r="AQ969" s="1051"/>
      <c r="AR969" s="1051"/>
      <c r="AS969" s="1052"/>
      <c r="AT969" s="1051"/>
      <c r="AU969" s="1051"/>
      <c r="AV969" s="1052"/>
      <c r="AW969" s="1051"/>
      <c r="AX969" s="1051"/>
      <c r="AY969" s="1053"/>
      <c r="AZ969" s="1051"/>
      <c r="BA969" s="1051"/>
      <c r="BB969" s="1053"/>
      <c r="BC969" s="1051"/>
      <c r="BD969" s="1051"/>
      <c r="BE969" s="1053"/>
      <c r="BF969" s="1051"/>
      <c r="BG969" s="1051"/>
      <c r="BH969" s="1053"/>
      <c r="BI969" s="1052"/>
      <c r="BJ969" s="1052"/>
      <c r="BK969" s="1052"/>
      <c r="BL969" s="1052"/>
      <c r="BM969" s="1052"/>
      <c r="BN969" s="1054"/>
      <c r="BO969" s="1076">
        <f t="shared" si="16"/>
        <v>0</v>
      </c>
      <c r="BP969" s="1051"/>
      <c r="BQ969" s="1052"/>
      <c r="BR969" s="1054"/>
      <c r="BS969" s="1053"/>
      <c r="BT969" s="1051"/>
      <c r="BU969" s="1051"/>
      <c r="BV969" s="1051"/>
      <c r="BW969" s="1052"/>
      <c r="BX969" s="1052"/>
      <c r="BY969" s="1052"/>
      <c r="BZ969" s="1052"/>
      <c r="CA969" s="1052"/>
      <c r="CB969" s="1053"/>
      <c r="CC969" s="1053"/>
      <c r="CD969" s="1053"/>
      <c r="CE969" s="1053"/>
      <c r="CF969" s="1053"/>
      <c r="CG969" s="1053"/>
      <c r="CH969" s="1053"/>
      <c r="CI969" s="1123"/>
      <c r="CJ969" s="1123"/>
      <c r="CK969" s="1123"/>
      <c r="CL969" s="1123"/>
      <c r="CM969" s="1123"/>
      <c r="CN969" s="1123"/>
      <c r="CO969" s="1123"/>
      <c r="CP969" s="1123"/>
      <c r="CQ969" s="1123"/>
      <c r="CR969" s="1123"/>
      <c r="CS969" s="1123"/>
      <c r="CT969" s="1123"/>
      <c r="CU969" s="1123"/>
      <c r="CV969" s="1123"/>
      <c r="CW969" s="1123"/>
      <c r="CX969" s="1123"/>
      <c r="CY969" s="1123"/>
      <c r="CZ969" s="1114"/>
      <c r="DA969" s="1114"/>
      <c r="DB969" s="1114"/>
      <c r="DC969" s="1114"/>
      <c r="DD969" s="1114"/>
      <c r="DE969" s="1114"/>
      <c r="DF969" s="1114"/>
      <c r="DG969" s="1114"/>
      <c r="DH969" s="1114"/>
      <c r="DI969" s="1114"/>
      <c r="DJ969" s="1114"/>
      <c r="DK969" s="1114"/>
      <c r="DL969" s="1114"/>
      <c r="DM969" s="1114"/>
      <c r="DN969" s="1114"/>
      <c r="DO969" s="1114"/>
      <c r="DP969" s="1114"/>
      <c r="DQ969" s="1114"/>
      <c r="DR969" s="1114"/>
      <c r="DS969" s="1114"/>
      <c r="DT969" s="1114"/>
      <c r="DU969" s="1114"/>
      <c r="DV969" s="1115"/>
      <c r="DW969" s="1116"/>
      <c r="DX969" s="1116"/>
      <c r="DY969" s="1116"/>
      <c r="DZ969" s="1116"/>
      <c r="EA969" s="1116"/>
      <c r="EB969" s="1116"/>
      <c r="EC969" s="1116"/>
      <c r="ED969" s="1116"/>
      <c r="EE969" s="1116"/>
      <c r="EF969" s="1116"/>
      <c r="EG969" s="1116"/>
      <c r="EH969" s="1116"/>
      <c r="EI969" s="1116"/>
      <c r="EJ969" s="1116"/>
      <c r="EK969" s="1116"/>
      <c r="EL969" s="1116"/>
      <c r="EM969" s="1116"/>
      <c r="EN969" s="1116"/>
      <c r="EO969" s="1116"/>
      <c r="EP969" s="1116"/>
      <c r="EQ969" s="1116"/>
      <c r="ER969" s="1116"/>
      <c r="ES969" s="1116"/>
    </row>
    <row r="970" spans="1:149" ht="15" customHeight="1">
      <c r="A970" s="1185">
        <v>960</v>
      </c>
      <c r="B970" s="1041"/>
      <c r="C970" s="1050"/>
      <c r="D970" s="1050"/>
      <c r="E970" s="1050"/>
      <c r="F970" s="1049"/>
      <c r="G970" s="1049"/>
      <c r="H970" s="1049"/>
      <c r="I970" s="1049"/>
      <c r="J970" s="1050"/>
      <c r="K970" s="1050"/>
      <c r="L970" s="1043"/>
      <c r="M970" s="1051"/>
      <c r="N970" s="1051"/>
      <c r="O970" s="1052"/>
      <c r="P970" s="1051"/>
      <c r="Q970" s="1051"/>
      <c r="R970" s="1052"/>
      <c r="S970" s="1051"/>
      <c r="T970" s="1051"/>
      <c r="U970" s="1052"/>
      <c r="V970" s="1051"/>
      <c r="W970" s="1051"/>
      <c r="X970" s="1052"/>
      <c r="Y970" s="1053"/>
      <c r="Z970" s="1051"/>
      <c r="AA970" s="1051"/>
      <c r="AB970" s="1052"/>
      <c r="AC970" s="1051"/>
      <c r="AD970" s="1051"/>
      <c r="AE970" s="1052"/>
      <c r="AF970" s="1051"/>
      <c r="AG970" s="1051"/>
      <c r="AH970" s="1051"/>
      <c r="AI970" s="1051"/>
      <c r="AJ970" s="1052"/>
      <c r="AK970" s="1051"/>
      <c r="AL970" s="1051"/>
      <c r="AM970" s="1052"/>
      <c r="AN970" s="1051"/>
      <c r="AO970" s="1051"/>
      <c r="AP970" s="1052"/>
      <c r="AQ970" s="1051"/>
      <c r="AR970" s="1051"/>
      <c r="AS970" s="1052"/>
      <c r="AT970" s="1051"/>
      <c r="AU970" s="1051"/>
      <c r="AV970" s="1052"/>
      <c r="AW970" s="1051"/>
      <c r="AX970" s="1051"/>
      <c r="AY970" s="1053"/>
      <c r="AZ970" s="1051"/>
      <c r="BA970" s="1051"/>
      <c r="BB970" s="1053"/>
      <c r="BC970" s="1051"/>
      <c r="BD970" s="1051"/>
      <c r="BE970" s="1053"/>
      <c r="BF970" s="1051"/>
      <c r="BG970" s="1051"/>
      <c r="BH970" s="1053"/>
      <c r="BI970" s="1052"/>
      <c r="BJ970" s="1052"/>
      <c r="BK970" s="1052"/>
      <c r="BL970" s="1052"/>
      <c r="BM970" s="1052"/>
      <c r="BN970" s="1054"/>
      <c r="BO970" s="1076">
        <f t="shared" si="16"/>
        <v>0</v>
      </c>
      <c r="BP970" s="1051"/>
      <c r="BQ970" s="1052"/>
      <c r="BR970" s="1054"/>
      <c r="BS970" s="1053"/>
      <c r="BT970" s="1051"/>
      <c r="BU970" s="1051"/>
      <c r="BV970" s="1051"/>
      <c r="BW970" s="1052"/>
      <c r="BX970" s="1052"/>
      <c r="BY970" s="1052"/>
      <c r="BZ970" s="1052"/>
      <c r="CA970" s="1052"/>
      <c r="CB970" s="1053"/>
      <c r="CC970" s="1053"/>
      <c r="CD970" s="1053"/>
      <c r="CE970" s="1053"/>
      <c r="CF970" s="1053"/>
      <c r="CG970" s="1053"/>
      <c r="CH970" s="1053"/>
      <c r="CI970" s="1123"/>
      <c r="CJ970" s="1123"/>
      <c r="CK970" s="1123"/>
      <c r="CL970" s="1123"/>
      <c r="CM970" s="1123"/>
      <c r="CN970" s="1123"/>
      <c r="CO970" s="1123"/>
      <c r="CP970" s="1123"/>
      <c r="CQ970" s="1123"/>
      <c r="CR970" s="1123"/>
      <c r="CS970" s="1123"/>
      <c r="CT970" s="1123"/>
      <c r="CU970" s="1123"/>
      <c r="CV970" s="1123"/>
      <c r="CW970" s="1123"/>
      <c r="CX970" s="1123"/>
      <c r="CY970" s="1123"/>
      <c r="CZ970" s="1114"/>
      <c r="DA970" s="1114"/>
      <c r="DB970" s="1114"/>
      <c r="DC970" s="1114"/>
      <c r="DD970" s="1114"/>
      <c r="DE970" s="1114"/>
      <c r="DF970" s="1114"/>
      <c r="DG970" s="1114"/>
      <c r="DH970" s="1114"/>
      <c r="DI970" s="1114"/>
      <c r="DJ970" s="1114"/>
      <c r="DK970" s="1114"/>
      <c r="DL970" s="1114"/>
      <c r="DM970" s="1114"/>
      <c r="DN970" s="1114"/>
      <c r="DO970" s="1114"/>
      <c r="DP970" s="1114"/>
      <c r="DQ970" s="1114"/>
      <c r="DR970" s="1114"/>
      <c r="DS970" s="1114"/>
      <c r="DT970" s="1114"/>
      <c r="DU970" s="1114"/>
      <c r="DV970" s="1115"/>
      <c r="DW970" s="1116"/>
      <c r="DX970" s="1116"/>
      <c r="DY970" s="1116"/>
      <c r="DZ970" s="1116"/>
      <c r="EA970" s="1116"/>
      <c r="EB970" s="1116"/>
      <c r="EC970" s="1116"/>
      <c r="ED970" s="1116"/>
      <c r="EE970" s="1116"/>
      <c r="EF970" s="1116"/>
      <c r="EG970" s="1116"/>
      <c r="EH970" s="1116"/>
      <c r="EI970" s="1116"/>
      <c r="EJ970" s="1116"/>
      <c r="EK970" s="1116"/>
      <c r="EL970" s="1116"/>
      <c r="EM970" s="1116"/>
      <c r="EN970" s="1116"/>
      <c r="EO970" s="1116"/>
      <c r="EP970" s="1116"/>
      <c r="EQ970" s="1116"/>
      <c r="ER970" s="1116"/>
      <c r="ES970" s="1116"/>
    </row>
    <row r="971" spans="1:149" ht="15" customHeight="1">
      <c r="A971" s="1185">
        <v>961</v>
      </c>
      <c r="B971" s="1041"/>
      <c r="C971" s="1050"/>
      <c r="D971" s="1050"/>
      <c r="E971" s="1050"/>
      <c r="F971" s="1049"/>
      <c r="G971" s="1049"/>
      <c r="H971" s="1049"/>
      <c r="I971" s="1049"/>
      <c r="J971" s="1050"/>
      <c r="K971" s="1050"/>
      <c r="L971" s="1043"/>
      <c r="M971" s="1051"/>
      <c r="N971" s="1051"/>
      <c r="O971" s="1052"/>
      <c r="P971" s="1051"/>
      <c r="Q971" s="1051"/>
      <c r="R971" s="1052"/>
      <c r="S971" s="1051"/>
      <c r="T971" s="1051"/>
      <c r="U971" s="1052"/>
      <c r="V971" s="1051"/>
      <c r="W971" s="1051"/>
      <c r="X971" s="1052"/>
      <c r="Y971" s="1053"/>
      <c r="Z971" s="1051"/>
      <c r="AA971" s="1051"/>
      <c r="AB971" s="1052"/>
      <c r="AC971" s="1051"/>
      <c r="AD971" s="1051"/>
      <c r="AE971" s="1052"/>
      <c r="AF971" s="1051"/>
      <c r="AG971" s="1051"/>
      <c r="AH971" s="1051"/>
      <c r="AI971" s="1051"/>
      <c r="AJ971" s="1052"/>
      <c r="AK971" s="1051"/>
      <c r="AL971" s="1051"/>
      <c r="AM971" s="1052"/>
      <c r="AN971" s="1051"/>
      <c r="AO971" s="1051"/>
      <c r="AP971" s="1052"/>
      <c r="AQ971" s="1051"/>
      <c r="AR971" s="1051"/>
      <c r="AS971" s="1052"/>
      <c r="AT971" s="1051"/>
      <c r="AU971" s="1051"/>
      <c r="AV971" s="1052"/>
      <c r="AW971" s="1051"/>
      <c r="AX971" s="1051"/>
      <c r="AY971" s="1053"/>
      <c r="AZ971" s="1051"/>
      <c r="BA971" s="1051"/>
      <c r="BB971" s="1053"/>
      <c r="BC971" s="1051"/>
      <c r="BD971" s="1051"/>
      <c r="BE971" s="1053"/>
      <c r="BF971" s="1051"/>
      <c r="BG971" s="1051"/>
      <c r="BH971" s="1053"/>
      <c r="BI971" s="1052"/>
      <c r="BJ971" s="1052"/>
      <c r="BK971" s="1052"/>
      <c r="BL971" s="1052"/>
      <c r="BM971" s="1052"/>
      <c r="BN971" s="1054"/>
      <c r="BO971" s="1076">
        <f t="shared" si="16"/>
        <v>0</v>
      </c>
      <c r="BP971" s="1051"/>
      <c r="BQ971" s="1052"/>
      <c r="BR971" s="1054"/>
      <c r="BS971" s="1053"/>
      <c r="BT971" s="1051"/>
      <c r="BU971" s="1051"/>
      <c r="BV971" s="1051"/>
      <c r="BW971" s="1052"/>
      <c r="BX971" s="1052"/>
      <c r="BY971" s="1052"/>
      <c r="BZ971" s="1052"/>
      <c r="CA971" s="1052"/>
      <c r="CB971" s="1053"/>
      <c r="CC971" s="1053"/>
      <c r="CD971" s="1053"/>
      <c r="CE971" s="1053"/>
      <c r="CF971" s="1053"/>
      <c r="CG971" s="1053"/>
      <c r="CH971" s="1053"/>
      <c r="CI971" s="1123"/>
      <c r="CJ971" s="1123"/>
      <c r="CK971" s="1123"/>
      <c r="CL971" s="1123"/>
      <c r="CM971" s="1123"/>
      <c r="CN971" s="1123"/>
      <c r="CO971" s="1123"/>
      <c r="CP971" s="1123"/>
      <c r="CQ971" s="1123"/>
      <c r="CR971" s="1123"/>
      <c r="CS971" s="1123"/>
      <c r="CT971" s="1123"/>
      <c r="CU971" s="1123"/>
      <c r="CV971" s="1123"/>
      <c r="CW971" s="1123"/>
      <c r="CX971" s="1123"/>
      <c r="CY971" s="1123"/>
      <c r="CZ971" s="1114"/>
      <c r="DA971" s="1114"/>
      <c r="DB971" s="1114"/>
      <c r="DC971" s="1114"/>
      <c r="DD971" s="1114"/>
      <c r="DE971" s="1114"/>
      <c r="DF971" s="1114"/>
      <c r="DG971" s="1114"/>
      <c r="DH971" s="1114"/>
      <c r="DI971" s="1114"/>
      <c r="DJ971" s="1114"/>
      <c r="DK971" s="1114"/>
      <c r="DL971" s="1114"/>
      <c r="DM971" s="1114"/>
      <c r="DN971" s="1114"/>
      <c r="DO971" s="1114"/>
      <c r="DP971" s="1114"/>
      <c r="DQ971" s="1114"/>
      <c r="DR971" s="1114"/>
      <c r="DS971" s="1114"/>
      <c r="DT971" s="1114"/>
      <c r="DU971" s="1114"/>
      <c r="DV971" s="1115"/>
      <c r="DW971" s="1116"/>
      <c r="DX971" s="1116"/>
      <c r="DY971" s="1116"/>
      <c r="DZ971" s="1116"/>
      <c r="EA971" s="1116"/>
      <c r="EB971" s="1116"/>
      <c r="EC971" s="1116"/>
      <c r="ED971" s="1116"/>
      <c r="EE971" s="1116"/>
      <c r="EF971" s="1116"/>
      <c r="EG971" s="1116"/>
      <c r="EH971" s="1116"/>
      <c r="EI971" s="1116"/>
      <c r="EJ971" s="1116"/>
      <c r="EK971" s="1116"/>
      <c r="EL971" s="1116"/>
      <c r="EM971" s="1116"/>
      <c r="EN971" s="1116"/>
      <c r="EO971" s="1116"/>
      <c r="EP971" s="1116"/>
      <c r="EQ971" s="1116"/>
      <c r="ER971" s="1116"/>
      <c r="ES971" s="1116"/>
    </row>
    <row r="972" spans="1:149" ht="15" customHeight="1">
      <c r="A972" s="1185">
        <v>962</v>
      </c>
      <c r="B972" s="1041"/>
      <c r="C972" s="1050"/>
      <c r="D972" s="1050"/>
      <c r="E972" s="1050"/>
      <c r="F972" s="1049"/>
      <c r="G972" s="1049"/>
      <c r="H972" s="1049"/>
      <c r="I972" s="1049"/>
      <c r="J972" s="1050"/>
      <c r="K972" s="1050"/>
      <c r="L972" s="1043"/>
      <c r="M972" s="1051"/>
      <c r="N972" s="1051"/>
      <c r="O972" s="1052"/>
      <c r="P972" s="1051"/>
      <c r="Q972" s="1051"/>
      <c r="R972" s="1052"/>
      <c r="S972" s="1051"/>
      <c r="T972" s="1051"/>
      <c r="U972" s="1052"/>
      <c r="V972" s="1051"/>
      <c r="W972" s="1051"/>
      <c r="X972" s="1052"/>
      <c r="Y972" s="1053"/>
      <c r="Z972" s="1051"/>
      <c r="AA972" s="1051"/>
      <c r="AB972" s="1052"/>
      <c r="AC972" s="1051"/>
      <c r="AD972" s="1051"/>
      <c r="AE972" s="1052"/>
      <c r="AF972" s="1051"/>
      <c r="AG972" s="1051"/>
      <c r="AH972" s="1051"/>
      <c r="AI972" s="1051"/>
      <c r="AJ972" s="1052"/>
      <c r="AK972" s="1051"/>
      <c r="AL972" s="1051"/>
      <c r="AM972" s="1052"/>
      <c r="AN972" s="1051"/>
      <c r="AO972" s="1051"/>
      <c r="AP972" s="1052"/>
      <c r="AQ972" s="1051"/>
      <c r="AR972" s="1051"/>
      <c r="AS972" s="1052"/>
      <c r="AT972" s="1051"/>
      <c r="AU972" s="1051"/>
      <c r="AV972" s="1052"/>
      <c r="AW972" s="1051"/>
      <c r="AX972" s="1051"/>
      <c r="AY972" s="1053"/>
      <c r="AZ972" s="1051"/>
      <c r="BA972" s="1051"/>
      <c r="BB972" s="1053"/>
      <c r="BC972" s="1051"/>
      <c r="BD972" s="1051"/>
      <c r="BE972" s="1053"/>
      <c r="BF972" s="1051"/>
      <c r="BG972" s="1051"/>
      <c r="BH972" s="1053"/>
      <c r="BI972" s="1052"/>
      <c r="BJ972" s="1052"/>
      <c r="BK972" s="1052"/>
      <c r="BL972" s="1052"/>
      <c r="BM972" s="1052"/>
      <c r="BN972" s="1054"/>
      <c r="BO972" s="1076">
        <f t="shared" si="16"/>
        <v>0</v>
      </c>
      <c r="BP972" s="1051"/>
      <c r="BQ972" s="1052"/>
      <c r="BR972" s="1054"/>
      <c r="BS972" s="1053"/>
      <c r="BT972" s="1051"/>
      <c r="BU972" s="1051"/>
      <c r="BV972" s="1051"/>
      <c r="BW972" s="1052"/>
      <c r="BX972" s="1052"/>
      <c r="BY972" s="1052"/>
      <c r="BZ972" s="1052"/>
      <c r="CA972" s="1052"/>
      <c r="CB972" s="1053"/>
      <c r="CC972" s="1053"/>
      <c r="CD972" s="1053"/>
      <c r="CE972" s="1053"/>
      <c r="CF972" s="1053"/>
      <c r="CG972" s="1053"/>
      <c r="CH972" s="1053"/>
      <c r="CI972" s="1123"/>
      <c r="CJ972" s="1123"/>
      <c r="CK972" s="1123"/>
      <c r="CL972" s="1123"/>
      <c r="CM972" s="1123"/>
      <c r="CN972" s="1123"/>
      <c r="CO972" s="1123"/>
      <c r="CP972" s="1123"/>
      <c r="CQ972" s="1123"/>
      <c r="CR972" s="1123"/>
      <c r="CS972" s="1123"/>
      <c r="CT972" s="1123"/>
      <c r="CU972" s="1123"/>
      <c r="CV972" s="1123"/>
      <c r="CW972" s="1123"/>
      <c r="CX972" s="1123"/>
      <c r="CY972" s="1123"/>
      <c r="CZ972" s="1114"/>
      <c r="DA972" s="1114"/>
      <c r="DB972" s="1114"/>
      <c r="DC972" s="1114"/>
      <c r="DD972" s="1114"/>
      <c r="DE972" s="1114"/>
      <c r="DF972" s="1114"/>
      <c r="DG972" s="1114"/>
      <c r="DH972" s="1114"/>
      <c r="DI972" s="1114"/>
      <c r="DJ972" s="1114"/>
      <c r="DK972" s="1114"/>
      <c r="DL972" s="1114"/>
      <c r="DM972" s="1114"/>
      <c r="DN972" s="1114"/>
      <c r="DO972" s="1114"/>
      <c r="DP972" s="1114"/>
      <c r="DQ972" s="1114"/>
      <c r="DR972" s="1114"/>
      <c r="DS972" s="1114"/>
      <c r="DT972" s="1114"/>
      <c r="DU972" s="1114"/>
      <c r="DV972" s="1115"/>
      <c r="DW972" s="1116"/>
      <c r="DX972" s="1116"/>
      <c r="DY972" s="1116"/>
      <c r="DZ972" s="1116"/>
      <c r="EA972" s="1116"/>
      <c r="EB972" s="1116"/>
      <c r="EC972" s="1116"/>
      <c r="ED972" s="1116"/>
      <c r="EE972" s="1116"/>
      <c r="EF972" s="1116"/>
      <c r="EG972" s="1116"/>
      <c r="EH972" s="1116"/>
      <c r="EI972" s="1116"/>
      <c r="EJ972" s="1116"/>
      <c r="EK972" s="1116"/>
      <c r="EL972" s="1116"/>
      <c r="EM972" s="1116"/>
      <c r="EN972" s="1116"/>
      <c r="EO972" s="1116"/>
      <c r="EP972" s="1116"/>
      <c r="EQ972" s="1116"/>
      <c r="ER972" s="1116"/>
      <c r="ES972" s="1116"/>
    </row>
    <row r="973" spans="1:149" ht="15" customHeight="1">
      <c r="A973" s="1185">
        <v>963</v>
      </c>
      <c r="B973" s="1041"/>
      <c r="C973" s="1050"/>
      <c r="D973" s="1050"/>
      <c r="E973" s="1050"/>
      <c r="F973" s="1049"/>
      <c r="G973" s="1049"/>
      <c r="H973" s="1049"/>
      <c r="I973" s="1049"/>
      <c r="J973" s="1050"/>
      <c r="K973" s="1050"/>
      <c r="L973" s="1043"/>
      <c r="M973" s="1051"/>
      <c r="N973" s="1051"/>
      <c r="O973" s="1052"/>
      <c r="P973" s="1051"/>
      <c r="Q973" s="1051"/>
      <c r="R973" s="1052"/>
      <c r="S973" s="1051"/>
      <c r="T973" s="1051"/>
      <c r="U973" s="1052"/>
      <c r="V973" s="1051"/>
      <c r="W973" s="1051"/>
      <c r="X973" s="1052"/>
      <c r="Y973" s="1053"/>
      <c r="Z973" s="1051"/>
      <c r="AA973" s="1051"/>
      <c r="AB973" s="1052"/>
      <c r="AC973" s="1051"/>
      <c r="AD973" s="1051"/>
      <c r="AE973" s="1052"/>
      <c r="AF973" s="1051"/>
      <c r="AG973" s="1051"/>
      <c r="AH973" s="1051"/>
      <c r="AI973" s="1051"/>
      <c r="AJ973" s="1052"/>
      <c r="AK973" s="1051"/>
      <c r="AL973" s="1051"/>
      <c r="AM973" s="1052"/>
      <c r="AN973" s="1051"/>
      <c r="AO973" s="1051"/>
      <c r="AP973" s="1052"/>
      <c r="AQ973" s="1051"/>
      <c r="AR973" s="1051"/>
      <c r="AS973" s="1052"/>
      <c r="AT973" s="1051"/>
      <c r="AU973" s="1051"/>
      <c r="AV973" s="1052"/>
      <c r="AW973" s="1051"/>
      <c r="AX973" s="1051"/>
      <c r="AY973" s="1053"/>
      <c r="AZ973" s="1051"/>
      <c r="BA973" s="1051"/>
      <c r="BB973" s="1053"/>
      <c r="BC973" s="1051"/>
      <c r="BD973" s="1051"/>
      <c r="BE973" s="1053"/>
      <c r="BF973" s="1051"/>
      <c r="BG973" s="1051"/>
      <c r="BH973" s="1053"/>
      <c r="BI973" s="1052"/>
      <c r="BJ973" s="1052"/>
      <c r="BK973" s="1052"/>
      <c r="BL973" s="1052"/>
      <c r="BM973" s="1052"/>
      <c r="BN973" s="1054"/>
      <c r="BO973" s="1076">
        <f t="shared" si="16"/>
        <v>0</v>
      </c>
      <c r="BP973" s="1051"/>
      <c r="BQ973" s="1052"/>
      <c r="BR973" s="1054"/>
      <c r="BS973" s="1053"/>
      <c r="BT973" s="1051"/>
      <c r="BU973" s="1051"/>
      <c r="BV973" s="1051"/>
      <c r="BW973" s="1052"/>
      <c r="BX973" s="1052"/>
      <c r="BY973" s="1052"/>
      <c r="BZ973" s="1052"/>
      <c r="CA973" s="1052"/>
      <c r="CB973" s="1053"/>
      <c r="CC973" s="1053"/>
      <c r="CD973" s="1053"/>
      <c r="CE973" s="1053"/>
      <c r="CF973" s="1053"/>
      <c r="CG973" s="1053"/>
      <c r="CH973" s="1053"/>
      <c r="CI973" s="1123"/>
      <c r="CJ973" s="1123"/>
      <c r="CK973" s="1123"/>
      <c r="CL973" s="1123"/>
      <c r="CM973" s="1123"/>
      <c r="CN973" s="1123"/>
      <c r="CO973" s="1123"/>
      <c r="CP973" s="1123"/>
      <c r="CQ973" s="1123"/>
      <c r="CR973" s="1123"/>
      <c r="CS973" s="1123"/>
      <c r="CT973" s="1123"/>
      <c r="CU973" s="1123"/>
      <c r="CV973" s="1123"/>
      <c r="CW973" s="1123"/>
      <c r="CX973" s="1123"/>
      <c r="CY973" s="1123"/>
      <c r="CZ973" s="1114"/>
      <c r="DA973" s="1114"/>
      <c r="DB973" s="1114"/>
      <c r="DC973" s="1114"/>
      <c r="DD973" s="1114"/>
      <c r="DE973" s="1114"/>
      <c r="DF973" s="1114"/>
      <c r="DG973" s="1114"/>
      <c r="DH973" s="1114"/>
      <c r="DI973" s="1114"/>
      <c r="DJ973" s="1114"/>
      <c r="DK973" s="1114"/>
      <c r="DL973" s="1114"/>
      <c r="DM973" s="1114"/>
      <c r="DN973" s="1114"/>
      <c r="DO973" s="1114"/>
      <c r="DP973" s="1114"/>
      <c r="DQ973" s="1114"/>
      <c r="DR973" s="1114"/>
      <c r="DS973" s="1114"/>
      <c r="DT973" s="1114"/>
      <c r="DU973" s="1114"/>
      <c r="DV973" s="1115"/>
      <c r="DW973" s="1116"/>
      <c r="DX973" s="1116"/>
      <c r="DY973" s="1116"/>
      <c r="DZ973" s="1116"/>
      <c r="EA973" s="1116"/>
      <c r="EB973" s="1116"/>
      <c r="EC973" s="1116"/>
      <c r="ED973" s="1116"/>
      <c r="EE973" s="1116"/>
      <c r="EF973" s="1116"/>
      <c r="EG973" s="1116"/>
      <c r="EH973" s="1116"/>
      <c r="EI973" s="1116"/>
      <c r="EJ973" s="1116"/>
      <c r="EK973" s="1116"/>
      <c r="EL973" s="1116"/>
      <c r="EM973" s="1116"/>
      <c r="EN973" s="1116"/>
      <c r="EO973" s="1116"/>
      <c r="EP973" s="1116"/>
      <c r="EQ973" s="1116"/>
      <c r="ER973" s="1116"/>
      <c r="ES973" s="1116"/>
    </row>
    <row r="974" spans="1:149" ht="15" customHeight="1">
      <c r="A974" s="1185">
        <v>964</v>
      </c>
      <c r="B974" s="1041"/>
      <c r="C974" s="1050"/>
      <c r="D974" s="1050"/>
      <c r="E974" s="1050"/>
      <c r="F974" s="1049"/>
      <c r="G974" s="1049"/>
      <c r="H974" s="1049"/>
      <c r="I974" s="1049"/>
      <c r="J974" s="1050"/>
      <c r="K974" s="1050"/>
      <c r="L974" s="1043"/>
      <c r="M974" s="1051"/>
      <c r="N974" s="1051"/>
      <c r="O974" s="1052"/>
      <c r="P974" s="1051"/>
      <c r="Q974" s="1051"/>
      <c r="R974" s="1052"/>
      <c r="S974" s="1051"/>
      <c r="T974" s="1051"/>
      <c r="U974" s="1052"/>
      <c r="V974" s="1051"/>
      <c r="W974" s="1051"/>
      <c r="X974" s="1052"/>
      <c r="Y974" s="1053"/>
      <c r="Z974" s="1051"/>
      <c r="AA974" s="1051"/>
      <c r="AB974" s="1052"/>
      <c r="AC974" s="1051"/>
      <c r="AD974" s="1051"/>
      <c r="AE974" s="1052"/>
      <c r="AF974" s="1051"/>
      <c r="AG974" s="1051"/>
      <c r="AH974" s="1051"/>
      <c r="AI974" s="1051"/>
      <c r="AJ974" s="1052"/>
      <c r="AK974" s="1051"/>
      <c r="AL974" s="1051"/>
      <c r="AM974" s="1052"/>
      <c r="AN974" s="1051"/>
      <c r="AO974" s="1051"/>
      <c r="AP974" s="1052"/>
      <c r="AQ974" s="1051"/>
      <c r="AR974" s="1051"/>
      <c r="AS974" s="1052"/>
      <c r="AT974" s="1051"/>
      <c r="AU974" s="1051"/>
      <c r="AV974" s="1052"/>
      <c r="AW974" s="1051"/>
      <c r="AX974" s="1051"/>
      <c r="AY974" s="1053"/>
      <c r="AZ974" s="1051"/>
      <c r="BA974" s="1051"/>
      <c r="BB974" s="1053"/>
      <c r="BC974" s="1051"/>
      <c r="BD974" s="1051"/>
      <c r="BE974" s="1053"/>
      <c r="BF974" s="1051"/>
      <c r="BG974" s="1051"/>
      <c r="BH974" s="1053"/>
      <c r="BI974" s="1052"/>
      <c r="BJ974" s="1052"/>
      <c r="BK974" s="1052"/>
      <c r="BL974" s="1052"/>
      <c r="BM974" s="1052"/>
      <c r="BN974" s="1054"/>
      <c r="BO974" s="1076">
        <f t="shared" si="16"/>
        <v>0</v>
      </c>
      <c r="BP974" s="1051"/>
      <c r="BQ974" s="1052"/>
      <c r="BR974" s="1054"/>
      <c r="BS974" s="1053"/>
      <c r="BT974" s="1051"/>
      <c r="BU974" s="1051"/>
      <c r="BV974" s="1051"/>
      <c r="BW974" s="1052"/>
      <c r="BX974" s="1052"/>
      <c r="BY974" s="1052"/>
      <c r="BZ974" s="1052"/>
      <c r="CA974" s="1052"/>
      <c r="CB974" s="1053"/>
      <c r="CC974" s="1053"/>
      <c r="CD974" s="1053"/>
      <c r="CE974" s="1053"/>
      <c r="CF974" s="1053"/>
      <c r="CG974" s="1053"/>
      <c r="CH974" s="1053"/>
      <c r="CI974" s="1123"/>
      <c r="CJ974" s="1123"/>
      <c r="CK974" s="1123"/>
      <c r="CL974" s="1123"/>
      <c r="CM974" s="1123"/>
      <c r="CN974" s="1123"/>
      <c r="CO974" s="1123"/>
      <c r="CP974" s="1123"/>
      <c r="CQ974" s="1123"/>
      <c r="CR974" s="1123"/>
      <c r="CS974" s="1123"/>
      <c r="CT974" s="1123"/>
      <c r="CU974" s="1123"/>
      <c r="CV974" s="1123"/>
      <c r="CW974" s="1123"/>
      <c r="CX974" s="1123"/>
      <c r="CY974" s="1123"/>
      <c r="CZ974" s="1114"/>
      <c r="DA974" s="1114"/>
      <c r="DB974" s="1114"/>
      <c r="DC974" s="1114"/>
      <c r="DD974" s="1114"/>
      <c r="DE974" s="1114"/>
      <c r="DF974" s="1114"/>
      <c r="DG974" s="1114"/>
      <c r="DH974" s="1114"/>
      <c r="DI974" s="1114"/>
      <c r="DJ974" s="1114"/>
      <c r="DK974" s="1114"/>
      <c r="DL974" s="1114"/>
      <c r="DM974" s="1114"/>
      <c r="DN974" s="1114"/>
      <c r="DO974" s="1114"/>
      <c r="DP974" s="1114"/>
      <c r="DQ974" s="1114"/>
      <c r="DR974" s="1114"/>
      <c r="DS974" s="1114"/>
      <c r="DT974" s="1114"/>
      <c r="DU974" s="1114"/>
      <c r="DV974" s="1115"/>
      <c r="DW974" s="1116"/>
      <c r="DX974" s="1116"/>
      <c r="DY974" s="1116"/>
      <c r="DZ974" s="1116"/>
      <c r="EA974" s="1116"/>
      <c r="EB974" s="1116"/>
      <c r="EC974" s="1116"/>
      <c r="ED974" s="1116"/>
      <c r="EE974" s="1116"/>
      <c r="EF974" s="1116"/>
      <c r="EG974" s="1116"/>
      <c r="EH974" s="1116"/>
      <c r="EI974" s="1116"/>
      <c r="EJ974" s="1116"/>
      <c r="EK974" s="1116"/>
      <c r="EL974" s="1116"/>
      <c r="EM974" s="1116"/>
      <c r="EN974" s="1116"/>
      <c r="EO974" s="1116"/>
      <c r="EP974" s="1116"/>
      <c r="EQ974" s="1116"/>
      <c r="ER974" s="1116"/>
      <c r="ES974" s="1116"/>
    </row>
    <row r="975" spans="1:149" ht="15" customHeight="1">
      <c r="A975" s="1185">
        <v>965</v>
      </c>
      <c r="B975" s="1041"/>
      <c r="C975" s="1050"/>
      <c r="D975" s="1050"/>
      <c r="E975" s="1050"/>
      <c r="F975" s="1049"/>
      <c r="G975" s="1049"/>
      <c r="H975" s="1049"/>
      <c r="I975" s="1049"/>
      <c r="J975" s="1050"/>
      <c r="K975" s="1050"/>
      <c r="L975" s="1043"/>
      <c r="M975" s="1051"/>
      <c r="N975" s="1051"/>
      <c r="O975" s="1052"/>
      <c r="P975" s="1051"/>
      <c r="Q975" s="1051"/>
      <c r="R975" s="1052"/>
      <c r="S975" s="1051"/>
      <c r="T975" s="1051"/>
      <c r="U975" s="1052"/>
      <c r="V975" s="1051"/>
      <c r="W975" s="1051"/>
      <c r="X975" s="1052"/>
      <c r="Y975" s="1053"/>
      <c r="Z975" s="1051"/>
      <c r="AA975" s="1051"/>
      <c r="AB975" s="1052"/>
      <c r="AC975" s="1051"/>
      <c r="AD975" s="1051"/>
      <c r="AE975" s="1052"/>
      <c r="AF975" s="1051"/>
      <c r="AG975" s="1051"/>
      <c r="AH975" s="1051"/>
      <c r="AI975" s="1051"/>
      <c r="AJ975" s="1052"/>
      <c r="AK975" s="1051"/>
      <c r="AL975" s="1051"/>
      <c r="AM975" s="1052"/>
      <c r="AN975" s="1051"/>
      <c r="AO975" s="1051"/>
      <c r="AP975" s="1052"/>
      <c r="AQ975" s="1051"/>
      <c r="AR975" s="1051"/>
      <c r="AS975" s="1052"/>
      <c r="AT975" s="1051"/>
      <c r="AU975" s="1051"/>
      <c r="AV975" s="1052"/>
      <c r="AW975" s="1051"/>
      <c r="AX975" s="1051"/>
      <c r="AY975" s="1053"/>
      <c r="AZ975" s="1051"/>
      <c r="BA975" s="1051"/>
      <c r="BB975" s="1053"/>
      <c r="BC975" s="1051"/>
      <c r="BD975" s="1051"/>
      <c r="BE975" s="1053"/>
      <c r="BF975" s="1051"/>
      <c r="BG975" s="1051"/>
      <c r="BH975" s="1053"/>
      <c r="BI975" s="1052"/>
      <c r="BJ975" s="1052"/>
      <c r="BK975" s="1052"/>
      <c r="BL975" s="1052"/>
      <c r="BM975" s="1052"/>
      <c r="BN975" s="1054"/>
      <c r="BO975" s="1076">
        <f t="shared" si="16"/>
        <v>0</v>
      </c>
      <c r="BP975" s="1051"/>
      <c r="BQ975" s="1052"/>
      <c r="BR975" s="1054"/>
      <c r="BS975" s="1053"/>
      <c r="BT975" s="1051"/>
      <c r="BU975" s="1051"/>
      <c r="BV975" s="1051"/>
      <c r="BW975" s="1052"/>
      <c r="BX975" s="1052"/>
      <c r="BY975" s="1052"/>
      <c r="BZ975" s="1052"/>
      <c r="CA975" s="1052"/>
      <c r="CB975" s="1053"/>
      <c r="CC975" s="1053"/>
      <c r="CD975" s="1053"/>
      <c r="CE975" s="1053"/>
      <c r="CF975" s="1053"/>
      <c r="CG975" s="1053"/>
      <c r="CH975" s="1053"/>
      <c r="CI975" s="1123"/>
      <c r="CJ975" s="1123"/>
      <c r="CK975" s="1123"/>
      <c r="CL975" s="1123"/>
      <c r="CM975" s="1123"/>
      <c r="CN975" s="1123"/>
      <c r="CO975" s="1123"/>
      <c r="CP975" s="1123"/>
      <c r="CQ975" s="1123"/>
      <c r="CR975" s="1123"/>
      <c r="CS975" s="1123"/>
      <c r="CT975" s="1123"/>
      <c r="CU975" s="1123"/>
      <c r="CV975" s="1123"/>
      <c r="CW975" s="1123"/>
      <c r="CX975" s="1123"/>
      <c r="CY975" s="1123"/>
      <c r="CZ975" s="1114"/>
      <c r="DA975" s="1114"/>
      <c r="DB975" s="1114"/>
      <c r="DC975" s="1114"/>
      <c r="DD975" s="1114"/>
      <c r="DE975" s="1114"/>
      <c r="DF975" s="1114"/>
      <c r="DG975" s="1114"/>
      <c r="DH975" s="1114"/>
      <c r="DI975" s="1114"/>
      <c r="DJ975" s="1114"/>
      <c r="DK975" s="1114"/>
      <c r="DL975" s="1114"/>
      <c r="DM975" s="1114"/>
      <c r="DN975" s="1114"/>
      <c r="DO975" s="1114"/>
      <c r="DP975" s="1114"/>
      <c r="DQ975" s="1114"/>
      <c r="DR975" s="1114"/>
      <c r="DS975" s="1114"/>
      <c r="DT975" s="1114"/>
      <c r="DU975" s="1114"/>
      <c r="DV975" s="1115"/>
      <c r="DW975" s="1116"/>
      <c r="DX975" s="1116"/>
      <c r="DY975" s="1116"/>
      <c r="DZ975" s="1116"/>
      <c r="EA975" s="1116"/>
      <c r="EB975" s="1116"/>
      <c r="EC975" s="1116"/>
      <c r="ED975" s="1116"/>
      <c r="EE975" s="1116"/>
      <c r="EF975" s="1116"/>
      <c r="EG975" s="1116"/>
      <c r="EH975" s="1116"/>
      <c r="EI975" s="1116"/>
      <c r="EJ975" s="1116"/>
      <c r="EK975" s="1116"/>
      <c r="EL975" s="1116"/>
      <c r="EM975" s="1116"/>
      <c r="EN975" s="1116"/>
      <c r="EO975" s="1116"/>
      <c r="EP975" s="1116"/>
      <c r="EQ975" s="1116"/>
      <c r="ER975" s="1116"/>
      <c r="ES975" s="1116"/>
    </row>
    <row r="976" spans="1:149" ht="15" customHeight="1">
      <c r="A976" s="1185">
        <v>966</v>
      </c>
      <c r="B976" s="1041"/>
      <c r="C976" s="1050"/>
      <c r="D976" s="1050"/>
      <c r="E976" s="1050"/>
      <c r="F976" s="1049"/>
      <c r="G976" s="1049"/>
      <c r="H976" s="1049"/>
      <c r="I976" s="1049"/>
      <c r="J976" s="1050"/>
      <c r="K976" s="1050"/>
      <c r="L976" s="1043"/>
      <c r="M976" s="1051"/>
      <c r="N976" s="1051"/>
      <c r="O976" s="1052"/>
      <c r="P976" s="1051"/>
      <c r="Q976" s="1051"/>
      <c r="R976" s="1052"/>
      <c r="S976" s="1051"/>
      <c r="T976" s="1051"/>
      <c r="U976" s="1052"/>
      <c r="V976" s="1051"/>
      <c r="W976" s="1051"/>
      <c r="X976" s="1052"/>
      <c r="Y976" s="1053"/>
      <c r="Z976" s="1051"/>
      <c r="AA976" s="1051"/>
      <c r="AB976" s="1052"/>
      <c r="AC976" s="1051"/>
      <c r="AD976" s="1051"/>
      <c r="AE976" s="1052"/>
      <c r="AF976" s="1051"/>
      <c r="AG976" s="1051"/>
      <c r="AH976" s="1051"/>
      <c r="AI976" s="1051"/>
      <c r="AJ976" s="1052"/>
      <c r="AK976" s="1051"/>
      <c r="AL976" s="1051"/>
      <c r="AM976" s="1052"/>
      <c r="AN976" s="1051"/>
      <c r="AO976" s="1051"/>
      <c r="AP976" s="1052"/>
      <c r="AQ976" s="1051"/>
      <c r="AR976" s="1051"/>
      <c r="AS976" s="1052"/>
      <c r="AT976" s="1051"/>
      <c r="AU976" s="1051"/>
      <c r="AV976" s="1052"/>
      <c r="AW976" s="1051"/>
      <c r="AX976" s="1051"/>
      <c r="AY976" s="1053"/>
      <c r="AZ976" s="1051"/>
      <c r="BA976" s="1051"/>
      <c r="BB976" s="1053"/>
      <c r="BC976" s="1051"/>
      <c r="BD976" s="1051"/>
      <c r="BE976" s="1053"/>
      <c r="BF976" s="1051"/>
      <c r="BG976" s="1051"/>
      <c r="BH976" s="1053"/>
      <c r="BI976" s="1052"/>
      <c r="BJ976" s="1052"/>
      <c r="BK976" s="1052"/>
      <c r="BL976" s="1052"/>
      <c r="BM976" s="1052"/>
      <c r="BN976" s="1054"/>
      <c r="BO976" s="1076">
        <f t="shared" si="16"/>
        <v>0</v>
      </c>
      <c r="BP976" s="1051"/>
      <c r="BQ976" s="1052"/>
      <c r="BR976" s="1054"/>
      <c r="BS976" s="1053"/>
      <c r="BT976" s="1051"/>
      <c r="BU976" s="1051"/>
      <c r="BV976" s="1051"/>
      <c r="BW976" s="1052"/>
      <c r="BX976" s="1052"/>
      <c r="BY976" s="1052"/>
      <c r="BZ976" s="1052"/>
      <c r="CA976" s="1052"/>
      <c r="CB976" s="1053"/>
      <c r="CC976" s="1053"/>
      <c r="CD976" s="1053"/>
      <c r="CE976" s="1053"/>
      <c r="CF976" s="1053"/>
      <c r="CG976" s="1053"/>
      <c r="CH976" s="1053"/>
      <c r="CI976" s="1123"/>
      <c r="CJ976" s="1123"/>
      <c r="CK976" s="1123"/>
      <c r="CL976" s="1123"/>
      <c r="CM976" s="1123"/>
      <c r="CN976" s="1123"/>
      <c r="CO976" s="1123"/>
      <c r="CP976" s="1123"/>
      <c r="CQ976" s="1123"/>
      <c r="CR976" s="1123"/>
      <c r="CS976" s="1123"/>
      <c r="CT976" s="1123"/>
      <c r="CU976" s="1123"/>
      <c r="CV976" s="1123"/>
      <c r="CW976" s="1123"/>
      <c r="CX976" s="1123"/>
      <c r="CY976" s="1123"/>
      <c r="CZ976" s="1114"/>
      <c r="DA976" s="1114"/>
      <c r="DB976" s="1114"/>
      <c r="DC976" s="1114"/>
      <c r="DD976" s="1114"/>
      <c r="DE976" s="1114"/>
      <c r="DF976" s="1114"/>
      <c r="DG976" s="1114"/>
      <c r="DH976" s="1114"/>
      <c r="DI976" s="1114"/>
      <c r="DJ976" s="1114"/>
      <c r="DK976" s="1114"/>
      <c r="DL976" s="1114"/>
      <c r="DM976" s="1114"/>
      <c r="DN976" s="1114"/>
      <c r="DO976" s="1114"/>
      <c r="DP976" s="1114"/>
      <c r="DQ976" s="1114"/>
      <c r="DR976" s="1114"/>
      <c r="DS976" s="1114"/>
      <c r="DT976" s="1114"/>
      <c r="DU976" s="1114"/>
      <c r="DV976" s="1115"/>
      <c r="DW976" s="1116"/>
      <c r="DX976" s="1116"/>
      <c r="DY976" s="1116"/>
      <c r="DZ976" s="1116"/>
      <c r="EA976" s="1116"/>
      <c r="EB976" s="1116"/>
      <c r="EC976" s="1116"/>
      <c r="ED976" s="1116"/>
      <c r="EE976" s="1116"/>
      <c r="EF976" s="1116"/>
      <c r="EG976" s="1116"/>
      <c r="EH976" s="1116"/>
      <c r="EI976" s="1116"/>
      <c r="EJ976" s="1116"/>
      <c r="EK976" s="1116"/>
      <c r="EL976" s="1116"/>
      <c r="EM976" s="1116"/>
      <c r="EN976" s="1116"/>
      <c r="EO976" s="1116"/>
      <c r="EP976" s="1116"/>
      <c r="EQ976" s="1116"/>
      <c r="ER976" s="1116"/>
      <c r="ES976" s="1116"/>
    </row>
    <row r="977" spans="1:149" ht="15" customHeight="1">
      <c r="A977" s="1185">
        <v>967</v>
      </c>
      <c r="B977" s="1041"/>
      <c r="C977" s="1050"/>
      <c r="D977" s="1050"/>
      <c r="E977" s="1050"/>
      <c r="F977" s="1049"/>
      <c r="G977" s="1049"/>
      <c r="H977" s="1049"/>
      <c r="I977" s="1049"/>
      <c r="J977" s="1050"/>
      <c r="K977" s="1050"/>
      <c r="L977" s="1043"/>
      <c r="M977" s="1051"/>
      <c r="N977" s="1051"/>
      <c r="O977" s="1052"/>
      <c r="P977" s="1051"/>
      <c r="Q977" s="1051"/>
      <c r="R977" s="1052"/>
      <c r="S977" s="1051"/>
      <c r="T977" s="1051"/>
      <c r="U977" s="1052"/>
      <c r="V977" s="1051"/>
      <c r="W977" s="1051"/>
      <c r="X977" s="1052"/>
      <c r="Y977" s="1053"/>
      <c r="Z977" s="1051"/>
      <c r="AA977" s="1051"/>
      <c r="AB977" s="1052"/>
      <c r="AC977" s="1051"/>
      <c r="AD977" s="1051"/>
      <c r="AE977" s="1052"/>
      <c r="AF977" s="1051"/>
      <c r="AG977" s="1051"/>
      <c r="AH977" s="1051"/>
      <c r="AI977" s="1051"/>
      <c r="AJ977" s="1052"/>
      <c r="AK977" s="1051"/>
      <c r="AL977" s="1051"/>
      <c r="AM977" s="1052"/>
      <c r="AN977" s="1051"/>
      <c r="AO977" s="1051"/>
      <c r="AP977" s="1052"/>
      <c r="AQ977" s="1051"/>
      <c r="AR977" s="1051"/>
      <c r="AS977" s="1052"/>
      <c r="AT977" s="1051"/>
      <c r="AU977" s="1051"/>
      <c r="AV977" s="1052"/>
      <c r="AW977" s="1051"/>
      <c r="AX977" s="1051"/>
      <c r="AY977" s="1053"/>
      <c r="AZ977" s="1051"/>
      <c r="BA977" s="1051"/>
      <c r="BB977" s="1053"/>
      <c r="BC977" s="1051"/>
      <c r="BD977" s="1051"/>
      <c r="BE977" s="1053"/>
      <c r="BF977" s="1051"/>
      <c r="BG977" s="1051"/>
      <c r="BH977" s="1053"/>
      <c r="BI977" s="1052"/>
      <c r="BJ977" s="1052"/>
      <c r="BK977" s="1052"/>
      <c r="BL977" s="1052"/>
      <c r="BM977" s="1052"/>
      <c r="BN977" s="1054"/>
      <c r="BO977" s="1076">
        <f t="shared" si="16"/>
        <v>0</v>
      </c>
      <c r="BP977" s="1051"/>
      <c r="BQ977" s="1052"/>
      <c r="BR977" s="1054"/>
      <c r="BS977" s="1053"/>
      <c r="BT977" s="1051"/>
      <c r="BU977" s="1051"/>
      <c r="BV977" s="1051"/>
      <c r="BW977" s="1052"/>
      <c r="BX977" s="1052"/>
      <c r="BY977" s="1052"/>
      <c r="BZ977" s="1052"/>
      <c r="CA977" s="1052"/>
      <c r="CB977" s="1053"/>
      <c r="CC977" s="1053"/>
      <c r="CD977" s="1053"/>
      <c r="CE977" s="1053"/>
      <c r="CF977" s="1053"/>
      <c r="CG977" s="1053"/>
      <c r="CH977" s="1053"/>
      <c r="CI977" s="1123"/>
      <c r="CJ977" s="1123"/>
      <c r="CK977" s="1123"/>
      <c r="CL977" s="1123"/>
      <c r="CM977" s="1123"/>
      <c r="CN977" s="1123"/>
      <c r="CO977" s="1123"/>
      <c r="CP977" s="1123"/>
      <c r="CQ977" s="1123"/>
      <c r="CR977" s="1123"/>
      <c r="CS977" s="1123"/>
      <c r="CT977" s="1123"/>
      <c r="CU977" s="1123"/>
      <c r="CV977" s="1123"/>
      <c r="CW977" s="1123"/>
      <c r="CX977" s="1123"/>
      <c r="CY977" s="1123"/>
      <c r="CZ977" s="1114"/>
      <c r="DA977" s="1114"/>
      <c r="DB977" s="1114"/>
      <c r="DC977" s="1114"/>
      <c r="DD977" s="1114"/>
      <c r="DE977" s="1114"/>
      <c r="DF977" s="1114"/>
      <c r="DG977" s="1114"/>
      <c r="DH977" s="1114"/>
      <c r="DI977" s="1114"/>
      <c r="DJ977" s="1114"/>
      <c r="DK977" s="1114"/>
      <c r="DL977" s="1114"/>
      <c r="DM977" s="1114"/>
      <c r="DN977" s="1114"/>
      <c r="DO977" s="1114"/>
      <c r="DP977" s="1114"/>
      <c r="DQ977" s="1114"/>
      <c r="DR977" s="1114"/>
      <c r="DS977" s="1114"/>
      <c r="DT977" s="1114"/>
      <c r="DU977" s="1114"/>
      <c r="DV977" s="1115"/>
      <c r="DW977" s="1116"/>
      <c r="DX977" s="1116"/>
      <c r="DY977" s="1116"/>
      <c r="DZ977" s="1116"/>
      <c r="EA977" s="1116"/>
      <c r="EB977" s="1116"/>
      <c r="EC977" s="1116"/>
      <c r="ED977" s="1116"/>
      <c r="EE977" s="1116"/>
      <c r="EF977" s="1116"/>
      <c r="EG977" s="1116"/>
      <c r="EH977" s="1116"/>
      <c r="EI977" s="1116"/>
      <c r="EJ977" s="1116"/>
      <c r="EK977" s="1116"/>
      <c r="EL977" s="1116"/>
      <c r="EM977" s="1116"/>
      <c r="EN977" s="1116"/>
      <c r="EO977" s="1116"/>
      <c r="EP977" s="1116"/>
      <c r="EQ977" s="1116"/>
      <c r="ER977" s="1116"/>
      <c r="ES977" s="1116"/>
    </row>
    <row r="978" spans="1:149" ht="15" customHeight="1">
      <c r="A978" s="1185">
        <v>968</v>
      </c>
      <c r="B978" s="1041"/>
      <c r="C978" s="1050"/>
      <c r="D978" s="1050"/>
      <c r="E978" s="1050"/>
      <c r="F978" s="1049"/>
      <c r="G978" s="1049"/>
      <c r="H978" s="1049"/>
      <c r="I978" s="1049"/>
      <c r="J978" s="1050"/>
      <c r="K978" s="1050"/>
      <c r="L978" s="1043"/>
      <c r="M978" s="1051"/>
      <c r="N978" s="1051"/>
      <c r="O978" s="1052"/>
      <c r="P978" s="1051"/>
      <c r="Q978" s="1051"/>
      <c r="R978" s="1052"/>
      <c r="S978" s="1051"/>
      <c r="T978" s="1051"/>
      <c r="U978" s="1052"/>
      <c r="V978" s="1051"/>
      <c r="W978" s="1051"/>
      <c r="X978" s="1052"/>
      <c r="Y978" s="1053"/>
      <c r="Z978" s="1051"/>
      <c r="AA978" s="1051"/>
      <c r="AB978" s="1052"/>
      <c r="AC978" s="1051"/>
      <c r="AD978" s="1051"/>
      <c r="AE978" s="1052"/>
      <c r="AF978" s="1051"/>
      <c r="AG978" s="1051"/>
      <c r="AH978" s="1051"/>
      <c r="AI978" s="1051"/>
      <c r="AJ978" s="1052"/>
      <c r="AK978" s="1051"/>
      <c r="AL978" s="1051"/>
      <c r="AM978" s="1052"/>
      <c r="AN978" s="1051"/>
      <c r="AO978" s="1051"/>
      <c r="AP978" s="1052"/>
      <c r="AQ978" s="1051"/>
      <c r="AR978" s="1051"/>
      <c r="AS978" s="1052"/>
      <c r="AT978" s="1051"/>
      <c r="AU978" s="1051"/>
      <c r="AV978" s="1052"/>
      <c r="AW978" s="1051"/>
      <c r="AX978" s="1051"/>
      <c r="AY978" s="1053"/>
      <c r="AZ978" s="1051"/>
      <c r="BA978" s="1051"/>
      <c r="BB978" s="1053"/>
      <c r="BC978" s="1051"/>
      <c r="BD978" s="1051"/>
      <c r="BE978" s="1053"/>
      <c r="BF978" s="1051"/>
      <c r="BG978" s="1051"/>
      <c r="BH978" s="1053"/>
      <c r="BI978" s="1052"/>
      <c r="BJ978" s="1052"/>
      <c r="BK978" s="1052"/>
      <c r="BL978" s="1052"/>
      <c r="BM978" s="1052"/>
      <c r="BN978" s="1054"/>
      <c r="BO978" s="1076">
        <f t="shared" si="16"/>
        <v>0</v>
      </c>
      <c r="BP978" s="1051"/>
      <c r="BQ978" s="1052"/>
      <c r="BR978" s="1054"/>
      <c r="BS978" s="1053"/>
      <c r="BT978" s="1051"/>
      <c r="BU978" s="1051"/>
      <c r="BV978" s="1051"/>
      <c r="BW978" s="1052"/>
      <c r="BX978" s="1052"/>
      <c r="BY978" s="1052"/>
      <c r="BZ978" s="1052"/>
      <c r="CA978" s="1052"/>
      <c r="CB978" s="1053"/>
      <c r="CC978" s="1053"/>
      <c r="CD978" s="1053"/>
      <c r="CE978" s="1053"/>
      <c r="CF978" s="1053"/>
      <c r="CG978" s="1053"/>
      <c r="CH978" s="1053"/>
      <c r="CI978" s="1123"/>
      <c r="CJ978" s="1123"/>
      <c r="CK978" s="1123"/>
      <c r="CL978" s="1123"/>
      <c r="CM978" s="1123"/>
      <c r="CN978" s="1123"/>
      <c r="CO978" s="1123"/>
      <c r="CP978" s="1123"/>
      <c r="CQ978" s="1123"/>
      <c r="CR978" s="1123"/>
      <c r="CS978" s="1123"/>
      <c r="CT978" s="1123"/>
      <c r="CU978" s="1123"/>
      <c r="CV978" s="1123"/>
      <c r="CW978" s="1123"/>
      <c r="CX978" s="1123"/>
      <c r="CY978" s="1123"/>
      <c r="CZ978" s="1114"/>
      <c r="DA978" s="1114"/>
      <c r="DB978" s="1114"/>
      <c r="DC978" s="1114"/>
      <c r="DD978" s="1114"/>
      <c r="DE978" s="1114"/>
      <c r="DF978" s="1114"/>
      <c r="DG978" s="1114"/>
      <c r="DH978" s="1114"/>
      <c r="DI978" s="1114"/>
      <c r="DJ978" s="1114"/>
      <c r="DK978" s="1114"/>
      <c r="DL978" s="1114"/>
      <c r="DM978" s="1114"/>
      <c r="DN978" s="1114"/>
      <c r="DO978" s="1114"/>
      <c r="DP978" s="1114"/>
      <c r="DQ978" s="1114"/>
      <c r="DR978" s="1114"/>
      <c r="DS978" s="1114"/>
      <c r="DT978" s="1114"/>
      <c r="DU978" s="1114"/>
      <c r="DV978" s="1115"/>
      <c r="DW978" s="1116"/>
      <c r="DX978" s="1116"/>
      <c r="DY978" s="1116"/>
      <c r="DZ978" s="1116"/>
      <c r="EA978" s="1116"/>
      <c r="EB978" s="1116"/>
      <c r="EC978" s="1116"/>
      <c r="ED978" s="1116"/>
      <c r="EE978" s="1116"/>
      <c r="EF978" s="1116"/>
      <c r="EG978" s="1116"/>
      <c r="EH978" s="1116"/>
      <c r="EI978" s="1116"/>
      <c r="EJ978" s="1116"/>
      <c r="EK978" s="1116"/>
      <c r="EL978" s="1116"/>
      <c r="EM978" s="1116"/>
      <c r="EN978" s="1116"/>
      <c r="EO978" s="1116"/>
      <c r="EP978" s="1116"/>
      <c r="EQ978" s="1116"/>
      <c r="ER978" s="1116"/>
      <c r="ES978" s="1116"/>
    </row>
    <row r="979" spans="1:149" ht="15" customHeight="1">
      <c r="A979" s="1185">
        <v>969</v>
      </c>
      <c r="B979" s="1041"/>
      <c r="C979" s="1050"/>
      <c r="D979" s="1050"/>
      <c r="E979" s="1050"/>
      <c r="F979" s="1049"/>
      <c r="G979" s="1049"/>
      <c r="H979" s="1049"/>
      <c r="I979" s="1049"/>
      <c r="J979" s="1050"/>
      <c r="K979" s="1050"/>
      <c r="L979" s="1043"/>
      <c r="M979" s="1051"/>
      <c r="N979" s="1051"/>
      <c r="O979" s="1052"/>
      <c r="P979" s="1051"/>
      <c r="Q979" s="1051"/>
      <c r="R979" s="1052"/>
      <c r="S979" s="1051"/>
      <c r="T979" s="1051"/>
      <c r="U979" s="1052"/>
      <c r="V979" s="1051"/>
      <c r="W979" s="1051"/>
      <c r="X979" s="1052"/>
      <c r="Y979" s="1053"/>
      <c r="Z979" s="1051"/>
      <c r="AA979" s="1051"/>
      <c r="AB979" s="1052"/>
      <c r="AC979" s="1051"/>
      <c r="AD979" s="1051"/>
      <c r="AE979" s="1052"/>
      <c r="AF979" s="1051"/>
      <c r="AG979" s="1051"/>
      <c r="AH979" s="1051"/>
      <c r="AI979" s="1051"/>
      <c r="AJ979" s="1052"/>
      <c r="AK979" s="1051"/>
      <c r="AL979" s="1051"/>
      <c r="AM979" s="1052"/>
      <c r="AN979" s="1051"/>
      <c r="AO979" s="1051"/>
      <c r="AP979" s="1052"/>
      <c r="AQ979" s="1051"/>
      <c r="AR979" s="1051"/>
      <c r="AS979" s="1052"/>
      <c r="AT979" s="1051"/>
      <c r="AU979" s="1051"/>
      <c r="AV979" s="1052"/>
      <c r="AW979" s="1051"/>
      <c r="AX979" s="1051"/>
      <c r="AY979" s="1053"/>
      <c r="AZ979" s="1051"/>
      <c r="BA979" s="1051"/>
      <c r="BB979" s="1053"/>
      <c r="BC979" s="1051"/>
      <c r="BD979" s="1051"/>
      <c r="BE979" s="1053"/>
      <c r="BF979" s="1051"/>
      <c r="BG979" s="1051"/>
      <c r="BH979" s="1053"/>
      <c r="BI979" s="1052"/>
      <c r="BJ979" s="1052"/>
      <c r="BK979" s="1052"/>
      <c r="BL979" s="1052"/>
      <c r="BM979" s="1052"/>
      <c r="BN979" s="1054"/>
      <c r="BO979" s="1076">
        <f t="shared" si="16"/>
        <v>0</v>
      </c>
      <c r="BP979" s="1051"/>
      <c r="BQ979" s="1052"/>
      <c r="BR979" s="1054"/>
      <c r="BS979" s="1053"/>
      <c r="BT979" s="1051"/>
      <c r="BU979" s="1051"/>
      <c r="BV979" s="1051"/>
      <c r="BW979" s="1052"/>
      <c r="BX979" s="1052"/>
      <c r="BY979" s="1052"/>
      <c r="BZ979" s="1052"/>
      <c r="CA979" s="1052"/>
      <c r="CB979" s="1053"/>
      <c r="CC979" s="1053"/>
      <c r="CD979" s="1053"/>
      <c r="CE979" s="1053"/>
      <c r="CF979" s="1053"/>
      <c r="CG979" s="1053"/>
      <c r="CH979" s="1053"/>
      <c r="CI979" s="1123"/>
      <c r="CJ979" s="1123"/>
      <c r="CK979" s="1123"/>
      <c r="CL979" s="1123"/>
      <c r="CM979" s="1123"/>
      <c r="CN979" s="1123"/>
      <c r="CO979" s="1123"/>
      <c r="CP979" s="1123"/>
      <c r="CQ979" s="1123"/>
      <c r="CR979" s="1123"/>
      <c r="CS979" s="1123"/>
      <c r="CT979" s="1123"/>
      <c r="CU979" s="1123"/>
      <c r="CV979" s="1123"/>
      <c r="CW979" s="1123"/>
      <c r="CX979" s="1123"/>
      <c r="CY979" s="1123"/>
      <c r="CZ979" s="1114"/>
      <c r="DA979" s="1114"/>
      <c r="DB979" s="1114"/>
      <c r="DC979" s="1114"/>
      <c r="DD979" s="1114"/>
      <c r="DE979" s="1114"/>
      <c r="DF979" s="1114"/>
      <c r="DG979" s="1114"/>
      <c r="DH979" s="1114"/>
      <c r="DI979" s="1114"/>
      <c r="DJ979" s="1114"/>
      <c r="DK979" s="1114"/>
      <c r="DL979" s="1114"/>
      <c r="DM979" s="1114"/>
      <c r="DN979" s="1114"/>
      <c r="DO979" s="1114"/>
      <c r="DP979" s="1114"/>
      <c r="DQ979" s="1114"/>
      <c r="DR979" s="1114"/>
      <c r="DS979" s="1114"/>
      <c r="DT979" s="1114"/>
      <c r="DU979" s="1114"/>
      <c r="DV979" s="1115"/>
      <c r="DW979" s="1116"/>
      <c r="DX979" s="1116"/>
      <c r="DY979" s="1116"/>
      <c r="DZ979" s="1116"/>
      <c r="EA979" s="1116"/>
      <c r="EB979" s="1116"/>
      <c r="EC979" s="1116"/>
      <c r="ED979" s="1116"/>
      <c r="EE979" s="1116"/>
      <c r="EF979" s="1116"/>
      <c r="EG979" s="1116"/>
      <c r="EH979" s="1116"/>
      <c r="EI979" s="1116"/>
      <c r="EJ979" s="1116"/>
      <c r="EK979" s="1116"/>
      <c r="EL979" s="1116"/>
      <c r="EM979" s="1116"/>
      <c r="EN979" s="1116"/>
      <c r="EO979" s="1116"/>
      <c r="EP979" s="1116"/>
      <c r="EQ979" s="1116"/>
      <c r="ER979" s="1116"/>
      <c r="ES979" s="1116"/>
    </row>
    <row r="980" spans="1:149" ht="15" customHeight="1">
      <c r="A980" s="1185">
        <v>970</v>
      </c>
      <c r="B980" s="1041"/>
      <c r="C980" s="1050"/>
      <c r="D980" s="1050"/>
      <c r="E980" s="1050"/>
      <c r="F980" s="1049"/>
      <c r="G980" s="1049"/>
      <c r="H980" s="1049"/>
      <c r="I980" s="1049"/>
      <c r="J980" s="1050"/>
      <c r="K980" s="1050"/>
      <c r="L980" s="1043"/>
      <c r="M980" s="1051"/>
      <c r="N980" s="1051"/>
      <c r="O980" s="1052"/>
      <c r="P980" s="1051"/>
      <c r="Q980" s="1051"/>
      <c r="R980" s="1052"/>
      <c r="S980" s="1051"/>
      <c r="T980" s="1051"/>
      <c r="U980" s="1052"/>
      <c r="V980" s="1051"/>
      <c r="W980" s="1051"/>
      <c r="X980" s="1052"/>
      <c r="Y980" s="1053"/>
      <c r="Z980" s="1051"/>
      <c r="AA980" s="1051"/>
      <c r="AB980" s="1052"/>
      <c r="AC980" s="1051"/>
      <c r="AD980" s="1051"/>
      <c r="AE980" s="1052"/>
      <c r="AF980" s="1051"/>
      <c r="AG980" s="1051"/>
      <c r="AH980" s="1051"/>
      <c r="AI980" s="1051"/>
      <c r="AJ980" s="1052"/>
      <c r="AK980" s="1051"/>
      <c r="AL980" s="1051"/>
      <c r="AM980" s="1052"/>
      <c r="AN980" s="1051"/>
      <c r="AO980" s="1051"/>
      <c r="AP980" s="1052"/>
      <c r="AQ980" s="1051"/>
      <c r="AR980" s="1051"/>
      <c r="AS980" s="1052"/>
      <c r="AT980" s="1051"/>
      <c r="AU980" s="1051"/>
      <c r="AV980" s="1052"/>
      <c r="AW980" s="1051"/>
      <c r="AX980" s="1051"/>
      <c r="AY980" s="1053"/>
      <c r="AZ980" s="1051"/>
      <c r="BA980" s="1051"/>
      <c r="BB980" s="1053"/>
      <c r="BC980" s="1051"/>
      <c r="BD980" s="1051"/>
      <c r="BE980" s="1053"/>
      <c r="BF980" s="1051"/>
      <c r="BG980" s="1051"/>
      <c r="BH980" s="1053"/>
      <c r="BI980" s="1052"/>
      <c r="BJ980" s="1052"/>
      <c r="BK980" s="1052"/>
      <c r="BL980" s="1052"/>
      <c r="BM980" s="1052"/>
      <c r="BN980" s="1054"/>
      <c r="BO980" s="1076">
        <f t="shared" si="16"/>
        <v>0</v>
      </c>
      <c r="BP980" s="1051"/>
      <c r="BQ980" s="1052"/>
      <c r="BR980" s="1054"/>
      <c r="BS980" s="1053"/>
      <c r="BT980" s="1051"/>
      <c r="BU980" s="1051"/>
      <c r="BV980" s="1051"/>
      <c r="BW980" s="1052"/>
      <c r="BX980" s="1052"/>
      <c r="BY980" s="1052"/>
      <c r="BZ980" s="1052"/>
      <c r="CA980" s="1052"/>
      <c r="CB980" s="1053"/>
      <c r="CC980" s="1053"/>
      <c r="CD980" s="1053"/>
      <c r="CE980" s="1053"/>
      <c r="CF980" s="1053"/>
      <c r="CG980" s="1053"/>
      <c r="CH980" s="1053"/>
      <c r="CI980" s="1123"/>
      <c r="CJ980" s="1123"/>
      <c r="CK980" s="1123"/>
      <c r="CL980" s="1123"/>
      <c r="CM980" s="1123"/>
      <c r="CN980" s="1123"/>
      <c r="CO980" s="1123"/>
      <c r="CP980" s="1123"/>
      <c r="CQ980" s="1123"/>
      <c r="CR980" s="1123"/>
      <c r="CS980" s="1123"/>
      <c r="CT980" s="1123"/>
      <c r="CU980" s="1123"/>
      <c r="CV980" s="1123"/>
      <c r="CW980" s="1123"/>
      <c r="CX980" s="1123"/>
      <c r="CY980" s="1123"/>
      <c r="CZ980" s="1114"/>
      <c r="DA980" s="1114"/>
      <c r="DB980" s="1114"/>
      <c r="DC980" s="1114"/>
      <c r="DD980" s="1114"/>
      <c r="DE980" s="1114"/>
      <c r="DF980" s="1114"/>
      <c r="DG980" s="1114"/>
      <c r="DH980" s="1114"/>
      <c r="DI980" s="1114"/>
      <c r="DJ980" s="1114"/>
      <c r="DK980" s="1114"/>
      <c r="DL980" s="1114"/>
      <c r="DM980" s="1114"/>
      <c r="DN980" s="1114"/>
      <c r="DO980" s="1114"/>
      <c r="DP980" s="1114"/>
      <c r="DQ980" s="1114"/>
      <c r="DR980" s="1114"/>
      <c r="DS980" s="1114"/>
      <c r="DT980" s="1114"/>
      <c r="DU980" s="1114"/>
      <c r="DV980" s="1115"/>
      <c r="DW980" s="1116"/>
      <c r="DX980" s="1116"/>
      <c r="DY980" s="1116"/>
      <c r="DZ980" s="1116"/>
      <c r="EA980" s="1116"/>
      <c r="EB980" s="1116"/>
      <c r="EC980" s="1116"/>
      <c r="ED980" s="1116"/>
      <c r="EE980" s="1116"/>
      <c r="EF980" s="1116"/>
      <c r="EG980" s="1116"/>
      <c r="EH980" s="1116"/>
      <c r="EI980" s="1116"/>
      <c r="EJ980" s="1116"/>
      <c r="EK980" s="1116"/>
      <c r="EL980" s="1116"/>
      <c r="EM980" s="1116"/>
      <c r="EN980" s="1116"/>
      <c r="EO980" s="1116"/>
      <c r="EP980" s="1116"/>
      <c r="EQ980" s="1116"/>
      <c r="ER980" s="1116"/>
      <c r="ES980" s="1116"/>
    </row>
    <row r="981" spans="1:149" ht="15" customHeight="1">
      <c r="A981" s="1185">
        <v>971</v>
      </c>
      <c r="B981" s="1041"/>
      <c r="C981" s="1050"/>
      <c r="D981" s="1050"/>
      <c r="E981" s="1050"/>
      <c r="F981" s="1049"/>
      <c r="G981" s="1049"/>
      <c r="H981" s="1049"/>
      <c r="I981" s="1049"/>
      <c r="J981" s="1050"/>
      <c r="K981" s="1050"/>
      <c r="L981" s="1043"/>
      <c r="M981" s="1051"/>
      <c r="N981" s="1051"/>
      <c r="O981" s="1052"/>
      <c r="P981" s="1051"/>
      <c r="Q981" s="1051"/>
      <c r="R981" s="1052"/>
      <c r="S981" s="1051"/>
      <c r="T981" s="1051"/>
      <c r="U981" s="1052"/>
      <c r="V981" s="1051"/>
      <c r="W981" s="1051"/>
      <c r="X981" s="1052"/>
      <c r="Y981" s="1053"/>
      <c r="Z981" s="1051"/>
      <c r="AA981" s="1051"/>
      <c r="AB981" s="1052"/>
      <c r="AC981" s="1051"/>
      <c r="AD981" s="1051"/>
      <c r="AE981" s="1052"/>
      <c r="AF981" s="1051"/>
      <c r="AG981" s="1051"/>
      <c r="AH981" s="1051"/>
      <c r="AI981" s="1051"/>
      <c r="AJ981" s="1052"/>
      <c r="AK981" s="1051"/>
      <c r="AL981" s="1051"/>
      <c r="AM981" s="1052"/>
      <c r="AN981" s="1051"/>
      <c r="AO981" s="1051"/>
      <c r="AP981" s="1052"/>
      <c r="AQ981" s="1051"/>
      <c r="AR981" s="1051"/>
      <c r="AS981" s="1052"/>
      <c r="AT981" s="1051"/>
      <c r="AU981" s="1051"/>
      <c r="AV981" s="1052"/>
      <c r="AW981" s="1051"/>
      <c r="AX981" s="1051"/>
      <c r="AY981" s="1053"/>
      <c r="AZ981" s="1051"/>
      <c r="BA981" s="1051"/>
      <c r="BB981" s="1053"/>
      <c r="BC981" s="1051"/>
      <c r="BD981" s="1051"/>
      <c r="BE981" s="1053"/>
      <c r="BF981" s="1051"/>
      <c r="BG981" s="1051"/>
      <c r="BH981" s="1053"/>
      <c r="BI981" s="1052"/>
      <c r="BJ981" s="1052"/>
      <c r="BK981" s="1052"/>
      <c r="BL981" s="1052"/>
      <c r="BM981" s="1052"/>
      <c r="BN981" s="1054"/>
      <c r="BO981" s="1076">
        <f t="shared" si="16"/>
        <v>0</v>
      </c>
      <c r="BP981" s="1051"/>
      <c r="BQ981" s="1052"/>
      <c r="BR981" s="1054"/>
      <c r="BS981" s="1053"/>
      <c r="BT981" s="1051"/>
      <c r="BU981" s="1051"/>
      <c r="BV981" s="1051"/>
      <c r="BW981" s="1052"/>
      <c r="BX981" s="1052"/>
      <c r="BY981" s="1052"/>
      <c r="BZ981" s="1052"/>
      <c r="CA981" s="1052"/>
      <c r="CB981" s="1053"/>
      <c r="CC981" s="1053"/>
      <c r="CD981" s="1053"/>
      <c r="CE981" s="1053"/>
      <c r="CF981" s="1053"/>
      <c r="CG981" s="1053"/>
      <c r="CH981" s="1053"/>
      <c r="CI981" s="1123"/>
      <c r="CJ981" s="1123"/>
      <c r="CK981" s="1123"/>
      <c r="CL981" s="1123"/>
      <c r="CM981" s="1123"/>
      <c r="CN981" s="1123"/>
      <c r="CO981" s="1123"/>
      <c r="CP981" s="1123"/>
      <c r="CQ981" s="1123"/>
      <c r="CR981" s="1123"/>
      <c r="CS981" s="1123"/>
      <c r="CT981" s="1123"/>
      <c r="CU981" s="1123"/>
      <c r="CV981" s="1123"/>
      <c r="CW981" s="1123"/>
      <c r="CX981" s="1123"/>
      <c r="CY981" s="1123"/>
      <c r="CZ981" s="1114"/>
      <c r="DA981" s="1114"/>
      <c r="DB981" s="1114"/>
      <c r="DC981" s="1114"/>
      <c r="DD981" s="1114"/>
      <c r="DE981" s="1114"/>
      <c r="DF981" s="1114"/>
      <c r="DG981" s="1114"/>
      <c r="DH981" s="1114"/>
      <c r="DI981" s="1114"/>
      <c r="DJ981" s="1114"/>
      <c r="DK981" s="1114"/>
      <c r="DL981" s="1114"/>
      <c r="DM981" s="1114"/>
      <c r="DN981" s="1114"/>
      <c r="DO981" s="1114"/>
      <c r="DP981" s="1114"/>
      <c r="DQ981" s="1114"/>
      <c r="DR981" s="1114"/>
      <c r="DS981" s="1114"/>
      <c r="DT981" s="1114"/>
      <c r="DU981" s="1114"/>
      <c r="DV981" s="1115"/>
      <c r="DW981" s="1116"/>
      <c r="DX981" s="1116"/>
      <c r="DY981" s="1116"/>
      <c r="DZ981" s="1116"/>
      <c r="EA981" s="1116"/>
      <c r="EB981" s="1116"/>
      <c r="EC981" s="1116"/>
      <c r="ED981" s="1116"/>
      <c r="EE981" s="1116"/>
      <c r="EF981" s="1116"/>
      <c r="EG981" s="1116"/>
      <c r="EH981" s="1116"/>
      <c r="EI981" s="1116"/>
      <c r="EJ981" s="1116"/>
      <c r="EK981" s="1116"/>
      <c r="EL981" s="1116"/>
      <c r="EM981" s="1116"/>
      <c r="EN981" s="1116"/>
      <c r="EO981" s="1116"/>
      <c r="EP981" s="1116"/>
      <c r="EQ981" s="1116"/>
      <c r="ER981" s="1116"/>
      <c r="ES981" s="1116"/>
    </row>
    <row r="982" spans="1:149" ht="15" customHeight="1">
      <c r="A982" s="1185">
        <v>972</v>
      </c>
      <c r="B982" s="1041"/>
      <c r="C982" s="1050"/>
      <c r="D982" s="1050"/>
      <c r="E982" s="1050"/>
      <c r="F982" s="1049"/>
      <c r="G982" s="1049"/>
      <c r="H982" s="1049"/>
      <c r="I982" s="1049"/>
      <c r="J982" s="1050"/>
      <c r="K982" s="1050"/>
      <c r="L982" s="1043"/>
      <c r="M982" s="1051"/>
      <c r="N982" s="1051"/>
      <c r="O982" s="1052"/>
      <c r="P982" s="1051"/>
      <c r="Q982" s="1051"/>
      <c r="R982" s="1052"/>
      <c r="S982" s="1051"/>
      <c r="T982" s="1051"/>
      <c r="U982" s="1052"/>
      <c r="V982" s="1051"/>
      <c r="W982" s="1051"/>
      <c r="X982" s="1052"/>
      <c r="Y982" s="1053"/>
      <c r="Z982" s="1051"/>
      <c r="AA982" s="1051"/>
      <c r="AB982" s="1052"/>
      <c r="AC982" s="1051"/>
      <c r="AD982" s="1051"/>
      <c r="AE982" s="1052"/>
      <c r="AF982" s="1051"/>
      <c r="AG982" s="1051"/>
      <c r="AH982" s="1051"/>
      <c r="AI982" s="1051"/>
      <c r="AJ982" s="1052"/>
      <c r="AK982" s="1051"/>
      <c r="AL982" s="1051"/>
      <c r="AM982" s="1052"/>
      <c r="AN982" s="1051"/>
      <c r="AO982" s="1051"/>
      <c r="AP982" s="1052"/>
      <c r="AQ982" s="1051"/>
      <c r="AR982" s="1051"/>
      <c r="AS982" s="1052"/>
      <c r="AT982" s="1051"/>
      <c r="AU982" s="1051"/>
      <c r="AV982" s="1052"/>
      <c r="AW982" s="1051"/>
      <c r="AX982" s="1051"/>
      <c r="AY982" s="1053"/>
      <c r="AZ982" s="1051"/>
      <c r="BA982" s="1051"/>
      <c r="BB982" s="1053"/>
      <c r="BC982" s="1051"/>
      <c r="BD982" s="1051"/>
      <c r="BE982" s="1053"/>
      <c r="BF982" s="1051"/>
      <c r="BG982" s="1051"/>
      <c r="BH982" s="1053"/>
      <c r="BI982" s="1052"/>
      <c r="BJ982" s="1052"/>
      <c r="BK982" s="1052"/>
      <c r="BL982" s="1052"/>
      <c r="BM982" s="1052"/>
      <c r="BN982" s="1054"/>
      <c r="BO982" s="1076">
        <f t="shared" si="16"/>
        <v>0</v>
      </c>
      <c r="BP982" s="1051"/>
      <c r="BQ982" s="1052"/>
      <c r="BR982" s="1054"/>
      <c r="BS982" s="1053"/>
      <c r="BT982" s="1051"/>
      <c r="BU982" s="1051"/>
      <c r="BV982" s="1051"/>
      <c r="BW982" s="1052"/>
      <c r="BX982" s="1052"/>
      <c r="BY982" s="1052"/>
      <c r="BZ982" s="1052"/>
      <c r="CA982" s="1052"/>
      <c r="CB982" s="1053"/>
      <c r="CC982" s="1053"/>
      <c r="CD982" s="1053"/>
      <c r="CE982" s="1053"/>
      <c r="CF982" s="1053"/>
      <c r="CG982" s="1053"/>
      <c r="CH982" s="1053"/>
      <c r="CI982" s="1123"/>
      <c r="CJ982" s="1123"/>
      <c r="CK982" s="1123"/>
      <c r="CL982" s="1123"/>
      <c r="CM982" s="1123"/>
      <c r="CN982" s="1123"/>
      <c r="CO982" s="1123"/>
      <c r="CP982" s="1123"/>
      <c r="CQ982" s="1123"/>
      <c r="CR982" s="1123"/>
      <c r="CS982" s="1123"/>
      <c r="CT982" s="1123"/>
      <c r="CU982" s="1123"/>
      <c r="CV982" s="1123"/>
      <c r="CW982" s="1123"/>
      <c r="CX982" s="1123"/>
      <c r="CY982" s="1123"/>
      <c r="CZ982" s="1114"/>
      <c r="DA982" s="1114"/>
      <c r="DB982" s="1114"/>
      <c r="DC982" s="1114"/>
      <c r="DD982" s="1114"/>
      <c r="DE982" s="1114"/>
      <c r="DF982" s="1114"/>
      <c r="DG982" s="1114"/>
      <c r="DH982" s="1114"/>
      <c r="DI982" s="1114"/>
      <c r="DJ982" s="1114"/>
      <c r="DK982" s="1114"/>
      <c r="DL982" s="1114"/>
      <c r="DM982" s="1114"/>
      <c r="DN982" s="1114"/>
      <c r="DO982" s="1114"/>
      <c r="DP982" s="1114"/>
      <c r="DQ982" s="1114"/>
      <c r="DR982" s="1114"/>
      <c r="DS982" s="1114"/>
      <c r="DT982" s="1114"/>
      <c r="DU982" s="1114"/>
      <c r="DV982" s="1115"/>
      <c r="DW982" s="1116"/>
      <c r="DX982" s="1116"/>
      <c r="DY982" s="1116"/>
      <c r="DZ982" s="1116"/>
      <c r="EA982" s="1116"/>
      <c r="EB982" s="1116"/>
      <c r="EC982" s="1116"/>
      <c r="ED982" s="1116"/>
      <c r="EE982" s="1116"/>
      <c r="EF982" s="1116"/>
      <c r="EG982" s="1116"/>
      <c r="EH982" s="1116"/>
      <c r="EI982" s="1116"/>
      <c r="EJ982" s="1116"/>
      <c r="EK982" s="1116"/>
      <c r="EL982" s="1116"/>
      <c r="EM982" s="1116"/>
      <c r="EN982" s="1116"/>
      <c r="EO982" s="1116"/>
      <c r="EP982" s="1116"/>
      <c r="EQ982" s="1116"/>
      <c r="ER982" s="1116"/>
      <c r="ES982" s="1116"/>
    </row>
    <row r="983" spans="1:149" ht="15" customHeight="1">
      <c r="A983" s="1185">
        <v>973</v>
      </c>
      <c r="B983" s="1041"/>
      <c r="C983" s="1050"/>
      <c r="D983" s="1050"/>
      <c r="E983" s="1050"/>
      <c r="F983" s="1049"/>
      <c r="G983" s="1049"/>
      <c r="H983" s="1049"/>
      <c r="I983" s="1049"/>
      <c r="J983" s="1050"/>
      <c r="K983" s="1050"/>
      <c r="L983" s="1043"/>
      <c r="M983" s="1051"/>
      <c r="N983" s="1051"/>
      <c r="O983" s="1052"/>
      <c r="P983" s="1051"/>
      <c r="Q983" s="1051"/>
      <c r="R983" s="1052"/>
      <c r="S983" s="1051"/>
      <c r="T983" s="1051"/>
      <c r="U983" s="1052"/>
      <c r="V983" s="1051"/>
      <c r="W983" s="1051"/>
      <c r="X983" s="1052"/>
      <c r="Y983" s="1053"/>
      <c r="Z983" s="1051"/>
      <c r="AA983" s="1051"/>
      <c r="AB983" s="1052"/>
      <c r="AC983" s="1051"/>
      <c r="AD983" s="1051"/>
      <c r="AE983" s="1052"/>
      <c r="AF983" s="1051"/>
      <c r="AG983" s="1051"/>
      <c r="AH983" s="1051"/>
      <c r="AI983" s="1051"/>
      <c r="AJ983" s="1052"/>
      <c r="AK983" s="1051"/>
      <c r="AL983" s="1051"/>
      <c r="AM983" s="1052"/>
      <c r="AN983" s="1051"/>
      <c r="AO983" s="1051"/>
      <c r="AP983" s="1052"/>
      <c r="AQ983" s="1051"/>
      <c r="AR983" s="1051"/>
      <c r="AS983" s="1052"/>
      <c r="AT983" s="1051"/>
      <c r="AU983" s="1051"/>
      <c r="AV983" s="1052"/>
      <c r="AW983" s="1051"/>
      <c r="AX983" s="1051"/>
      <c r="AY983" s="1053"/>
      <c r="AZ983" s="1051"/>
      <c r="BA983" s="1051"/>
      <c r="BB983" s="1053"/>
      <c r="BC983" s="1051"/>
      <c r="BD983" s="1051"/>
      <c r="BE983" s="1053"/>
      <c r="BF983" s="1051"/>
      <c r="BG983" s="1051"/>
      <c r="BH983" s="1053"/>
      <c r="BI983" s="1052"/>
      <c r="BJ983" s="1052"/>
      <c r="BK983" s="1052"/>
      <c r="BL983" s="1052"/>
      <c r="BM983" s="1052"/>
      <c r="BN983" s="1054"/>
      <c r="BO983" s="1076">
        <f t="shared" si="16"/>
        <v>0</v>
      </c>
      <c r="BP983" s="1051"/>
      <c r="BQ983" s="1052"/>
      <c r="BR983" s="1054"/>
      <c r="BS983" s="1053"/>
      <c r="BT983" s="1051"/>
      <c r="BU983" s="1051"/>
      <c r="BV983" s="1051"/>
      <c r="BW983" s="1052"/>
      <c r="BX983" s="1052"/>
      <c r="BY983" s="1052"/>
      <c r="BZ983" s="1052"/>
      <c r="CA983" s="1052"/>
      <c r="CB983" s="1053"/>
      <c r="CC983" s="1053"/>
      <c r="CD983" s="1053"/>
      <c r="CE983" s="1053"/>
      <c r="CF983" s="1053"/>
      <c r="CG983" s="1053"/>
      <c r="CH983" s="1053"/>
      <c r="CI983" s="1123"/>
      <c r="CJ983" s="1123"/>
      <c r="CK983" s="1123"/>
      <c r="CL983" s="1123"/>
      <c r="CM983" s="1123"/>
      <c r="CN983" s="1123"/>
      <c r="CO983" s="1123"/>
      <c r="CP983" s="1123"/>
      <c r="CQ983" s="1123"/>
      <c r="CR983" s="1123"/>
      <c r="CS983" s="1123"/>
      <c r="CT983" s="1123"/>
      <c r="CU983" s="1123"/>
      <c r="CV983" s="1123"/>
      <c r="CW983" s="1123"/>
      <c r="CX983" s="1123"/>
      <c r="CY983" s="1123"/>
      <c r="CZ983" s="1114"/>
      <c r="DA983" s="1114"/>
      <c r="DB983" s="1114"/>
      <c r="DC983" s="1114"/>
      <c r="DD983" s="1114"/>
      <c r="DE983" s="1114"/>
      <c r="DF983" s="1114"/>
      <c r="DG983" s="1114"/>
      <c r="DH983" s="1114"/>
      <c r="DI983" s="1114"/>
      <c r="DJ983" s="1114"/>
      <c r="DK983" s="1114"/>
      <c r="DL983" s="1114"/>
      <c r="DM983" s="1114"/>
      <c r="DN983" s="1114"/>
      <c r="DO983" s="1114"/>
      <c r="DP983" s="1114"/>
      <c r="DQ983" s="1114"/>
      <c r="DR983" s="1114"/>
      <c r="DS983" s="1114"/>
      <c r="DT983" s="1114"/>
      <c r="DU983" s="1114"/>
      <c r="DV983" s="1115"/>
      <c r="DW983" s="1116"/>
      <c r="DX983" s="1116"/>
      <c r="DY983" s="1116"/>
      <c r="DZ983" s="1116"/>
      <c r="EA983" s="1116"/>
      <c r="EB983" s="1116"/>
      <c r="EC983" s="1116"/>
      <c r="ED983" s="1116"/>
      <c r="EE983" s="1116"/>
      <c r="EF983" s="1116"/>
      <c r="EG983" s="1116"/>
      <c r="EH983" s="1116"/>
      <c r="EI983" s="1116"/>
      <c r="EJ983" s="1116"/>
      <c r="EK983" s="1116"/>
      <c r="EL983" s="1116"/>
      <c r="EM983" s="1116"/>
      <c r="EN983" s="1116"/>
      <c r="EO983" s="1116"/>
      <c r="EP983" s="1116"/>
      <c r="EQ983" s="1116"/>
      <c r="ER983" s="1116"/>
      <c r="ES983" s="1116"/>
    </row>
    <row r="984" spans="1:149" ht="15" customHeight="1">
      <c r="A984" s="1185">
        <v>974</v>
      </c>
      <c r="B984" s="1041"/>
      <c r="C984" s="1050"/>
      <c r="D984" s="1050"/>
      <c r="E984" s="1050"/>
      <c r="F984" s="1049"/>
      <c r="G984" s="1049"/>
      <c r="H984" s="1049"/>
      <c r="I984" s="1049"/>
      <c r="J984" s="1050"/>
      <c r="K984" s="1050"/>
      <c r="L984" s="1043"/>
      <c r="M984" s="1051"/>
      <c r="N984" s="1051"/>
      <c r="O984" s="1052"/>
      <c r="P984" s="1051"/>
      <c r="Q984" s="1051"/>
      <c r="R984" s="1052"/>
      <c r="S984" s="1051"/>
      <c r="T984" s="1051"/>
      <c r="U984" s="1052"/>
      <c r="V984" s="1051"/>
      <c r="W984" s="1051"/>
      <c r="X984" s="1052"/>
      <c r="Y984" s="1053"/>
      <c r="Z984" s="1051"/>
      <c r="AA984" s="1051"/>
      <c r="AB984" s="1052"/>
      <c r="AC984" s="1051"/>
      <c r="AD984" s="1051"/>
      <c r="AE984" s="1052"/>
      <c r="AF984" s="1051"/>
      <c r="AG984" s="1051"/>
      <c r="AH984" s="1051"/>
      <c r="AI984" s="1051"/>
      <c r="AJ984" s="1052"/>
      <c r="AK984" s="1051"/>
      <c r="AL984" s="1051"/>
      <c r="AM984" s="1052"/>
      <c r="AN984" s="1051"/>
      <c r="AO984" s="1051"/>
      <c r="AP984" s="1052"/>
      <c r="AQ984" s="1051"/>
      <c r="AR984" s="1051"/>
      <c r="AS984" s="1052"/>
      <c r="AT984" s="1051"/>
      <c r="AU984" s="1051"/>
      <c r="AV984" s="1052"/>
      <c r="AW984" s="1051"/>
      <c r="AX984" s="1051"/>
      <c r="AY984" s="1053"/>
      <c r="AZ984" s="1051"/>
      <c r="BA984" s="1051"/>
      <c r="BB984" s="1053"/>
      <c r="BC984" s="1051"/>
      <c r="BD984" s="1051"/>
      <c r="BE984" s="1053"/>
      <c r="BF984" s="1051"/>
      <c r="BG984" s="1051"/>
      <c r="BH984" s="1053"/>
      <c r="BI984" s="1052"/>
      <c r="BJ984" s="1052"/>
      <c r="BK984" s="1052"/>
      <c r="BL984" s="1052"/>
      <c r="BM984" s="1052"/>
      <c r="BN984" s="1054"/>
      <c r="BO984" s="1076">
        <f t="shared" si="16"/>
        <v>0</v>
      </c>
      <c r="BP984" s="1051"/>
      <c r="BQ984" s="1052"/>
      <c r="BR984" s="1054"/>
      <c r="BS984" s="1053"/>
      <c r="BT984" s="1051"/>
      <c r="BU984" s="1051"/>
      <c r="BV984" s="1051"/>
      <c r="BW984" s="1052"/>
      <c r="BX984" s="1052"/>
      <c r="BY984" s="1052"/>
      <c r="BZ984" s="1052"/>
      <c r="CA984" s="1052"/>
      <c r="CB984" s="1053"/>
      <c r="CC984" s="1053"/>
      <c r="CD984" s="1053"/>
      <c r="CE984" s="1053"/>
      <c r="CF984" s="1053"/>
      <c r="CG984" s="1053"/>
      <c r="CH984" s="1053"/>
      <c r="CI984" s="1123"/>
      <c r="CJ984" s="1123"/>
      <c r="CK984" s="1123"/>
      <c r="CL984" s="1123"/>
      <c r="CM984" s="1123"/>
      <c r="CN984" s="1123"/>
      <c r="CO984" s="1123"/>
      <c r="CP984" s="1123"/>
      <c r="CQ984" s="1123"/>
      <c r="CR984" s="1123"/>
      <c r="CS984" s="1123"/>
      <c r="CT984" s="1123"/>
      <c r="CU984" s="1123"/>
      <c r="CV984" s="1123"/>
      <c r="CW984" s="1123"/>
      <c r="CX984" s="1123"/>
      <c r="CY984" s="1123"/>
      <c r="CZ984" s="1114"/>
      <c r="DA984" s="1114"/>
      <c r="DB984" s="1114"/>
      <c r="DC984" s="1114"/>
      <c r="DD984" s="1114"/>
      <c r="DE984" s="1114"/>
      <c r="DF984" s="1114"/>
      <c r="DG984" s="1114"/>
      <c r="DH984" s="1114"/>
      <c r="DI984" s="1114"/>
      <c r="DJ984" s="1114"/>
      <c r="DK984" s="1114"/>
      <c r="DL984" s="1114"/>
      <c r="DM984" s="1114"/>
      <c r="DN984" s="1114"/>
      <c r="DO984" s="1114"/>
      <c r="DP984" s="1114"/>
      <c r="DQ984" s="1114"/>
      <c r="DR984" s="1114"/>
      <c r="DS984" s="1114"/>
      <c r="DT984" s="1114"/>
      <c r="DU984" s="1114"/>
      <c r="DV984" s="1115"/>
      <c r="DW984" s="1116"/>
      <c r="DX984" s="1116"/>
      <c r="DY984" s="1116"/>
      <c r="DZ984" s="1116"/>
      <c r="EA984" s="1116"/>
      <c r="EB984" s="1116"/>
      <c r="EC984" s="1116"/>
      <c r="ED984" s="1116"/>
      <c r="EE984" s="1116"/>
      <c r="EF984" s="1116"/>
      <c r="EG984" s="1116"/>
      <c r="EH984" s="1116"/>
      <c r="EI984" s="1116"/>
      <c r="EJ984" s="1116"/>
      <c r="EK984" s="1116"/>
      <c r="EL984" s="1116"/>
      <c r="EM984" s="1116"/>
      <c r="EN984" s="1116"/>
      <c r="EO984" s="1116"/>
      <c r="EP984" s="1116"/>
      <c r="EQ984" s="1116"/>
      <c r="ER984" s="1116"/>
      <c r="ES984" s="1116"/>
    </row>
    <row r="985" spans="1:149" ht="15" customHeight="1">
      <c r="A985" s="1185">
        <v>975</v>
      </c>
      <c r="B985" s="1041"/>
      <c r="C985" s="1050"/>
      <c r="D985" s="1050"/>
      <c r="E985" s="1050"/>
      <c r="F985" s="1049"/>
      <c r="G985" s="1049"/>
      <c r="H985" s="1049"/>
      <c r="I985" s="1049"/>
      <c r="J985" s="1050"/>
      <c r="K985" s="1050"/>
      <c r="L985" s="1043"/>
      <c r="M985" s="1051"/>
      <c r="N985" s="1051"/>
      <c r="O985" s="1052"/>
      <c r="P985" s="1051"/>
      <c r="Q985" s="1051"/>
      <c r="R985" s="1052"/>
      <c r="S985" s="1051"/>
      <c r="T985" s="1051"/>
      <c r="U985" s="1052"/>
      <c r="V985" s="1051"/>
      <c r="W985" s="1051"/>
      <c r="X985" s="1052"/>
      <c r="Y985" s="1053"/>
      <c r="Z985" s="1051"/>
      <c r="AA985" s="1051"/>
      <c r="AB985" s="1052"/>
      <c r="AC985" s="1051"/>
      <c r="AD985" s="1051"/>
      <c r="AE985" s="1052"/>
      <c r="AF985" s="1051"/>
      <c r="AG985" s="1051"/>
      <c r="AH985" s="1051"/>
      <c r="AI985" s="1051"/>
      <c r="AJ985" s="1052"/>
      <c r="AK985" s="1051"/>
      <c r="AL985" s="1051"/>
      <c r="AM985" s="1052"/>
      <c r="AN985" s="1051"/>
      <c r="AO985" s="1051"/>
      <c r="AP985" s="1052"/>
      <c r="AQ985" s="1051"/>
      <c r="AR985" s="1051"/>
      <c r="AS985" s="1052"/>
      <c r="AT985" s="1051"/>
      <c r="AU985" s="1051"/>
      <c r="AV985" s="1052"/>
      <c r="AW985" s="1051"/>
      <c r="AX985" s="1051"/>
      <c r="AY985" s="1053"/>
      <c r="AZ985" s="1051"/>
      <c r="BA985" s="1051"/>
      <c r="BB985" s="1053"/>
      <c r="BC985" s="1051"/>
      <c r="BD985" s="1051"/>
      <c r="BE985" s="1053"/>
      <c r="BF985" s="1051"/>
      <c r="BG985" s="1051"/>
      <c r="BH985" s="1053"/>
      <c r="BI985" s="1052"/>
      <c r="BJ985" s="1052"/>
      <c r="BK985" s="1052"/>
      <c r="BL985" s="1052"/>
      <c r="BM985" s="1052"/>
      <c r="BN985" s="1054"/>
      <c r="BO985" s="1076">
        <f t="shared" si="16"/>
        <v>0</v>
      </c>
      <c r="BP985" s="1051"/>
      <c r="BQ985" s="1052"/>
      <c r="BR985" s="1054"/>
      <c r="BS985" s="1053"/>
      <c r="BT985" s="1051"/>
      <c r="BU985" s="1051"/>
      <c r="BV985" s="1051"/>
      <c r="BW985" s="1052"/>
      <c r="BX985" s="1052"/>
      <c r="BY985" s="1052"/>
      <c r="BZ985" s="1052"/>
      <c r="CA985" s="1052"/>
      <c r="CB985" s="1053"/>
      <c r="CC985" s="1053"/>
      <c r="CD985" s="1053"/>
      <c r="CE985" s="1053"/>
      <c r="CF985" s="1053"/>
      <c r="CG985" s="1053"/>
      <c r="CH985" s="1053"/>
      <c r="CI985" s="1123"/>
      <c r="CJ985" s="1123"/>
      <c r="CK985" s="1123"/>
      <c r="CL985" s="1123"/>
      <c r="CM985" s="1123"/>
      <c r="CN985" s="1123"/>
      <c r="CO985" s="1123"/>
      <c r="CP985" s="1123"/>
      <c r="CQ985" s="1123"/>
      <c r="CR985" s="1123"/>
      <c r="CS985" s="1123"/>
      <c r="CT985" s="1123"/>
      <c r="CU985" s="1123"/>
      <c r="CV985" s="1123"/>
      <c r="CW985" s="1123"/>
      <c r="CX985" s="1123"/>
      <c r="CY985" s="1123"/>
      <c r="CZ985" s="1114"/>
      <c r="DA985" s="1114"/>
      <c r="DB985" s="1114"/>
      <c r="DC985" s="1114"/>
      <c r="DD985" s="1114"/>
      <c r="DE985" s="1114"/>
      <c r="DF985" s="1114"/>
      <c r="DG985" s="1114"/>
      <c r="DH985" s="1114"/>
      <c r="DI985" s="1114"/>
      <c r="DJ985" s="1114"/>
      <c r="DK985" s="1114"/>
      <c r="DL985" s="1114"/>
      <c r="DM985" s="1114"/>
      <c r="DN985" s="1114"/>
      <c r="DO985" s="1114"/>
      <c r="DP985" s="1114"/>
      <c r="DQ985" s="1114"/>
      <c r="DR985" s="1114"/>
      <c r="DS985" s="1114"/>
      <c r="DT985" s="1114"/>
      <c r="DU985" s="1114"/>
      <c r="DV985" s="1115"/>
      <c r="DW985" s="1116"/>
      <c r="DX985" s="1116"/>
      <c r="DY985" s="1116"/>
      <c r="DZ985" s="1116"/>
      <c r="EA985" s="1116"/>
      <c r="EB985" s="1116"/>
      <c r="EC985" s="1116"/>
      <c r="ED985" s="1116"/>
      <c r="EE985" s="1116"/>
      <c r="EF985" s="1116"/>
      <c r="EG985" s="1116"/>
      <c r="EH985" s="1116"/>
      <c r="EI985" s="1116"/>
      <c r="EJ985" s="1116"/>
      <c r="EK985" s="1116"/>
      <c r="EL985" s="1116"/>
      <c r="EM985" s="1116"/>
      <c r="EN985" s="1116"/>
      <c r="EO985" s="1116"/>
      <c r="EP985" s="1116"/>
      <c r="EQ985" s="1116"/>
      <c r="ER985" s="1116"/>
      <c r="ES985" s="1116"/>
    </row>
    <row r="986" spans="1:149" ht="15" customHeight="1">
      <c r="A986" s="1185">
        <v>976</v>
      </c>
      <c r="B986" s="1041"/>
      <c r="C986" s="1050"/>
      <c r="D986" s="1050"/>
      <c r="E986" s="1050"/>
      <c r="F986" s="1049"/>
      <c r="G986" s="1049"/>
      <c r="H986" s="1049"/>
      <c r="I986" s="1049"/>
      <c r="J986" s="1050"/>
      <c r="K986" s="1050"/>
      <c r="L986" s="1043"/>
      <c r="M986" s="1051"/>
      <c r="N986" s="1051"/>
      <c r="O986" s="1052"/>
      <c r="P986" s="1051"/>
      <c r="Q986" s="1051"/>
      <c r="R986" s="1052"/>
      <c r="S986" s="1051"/>
      <c r="T986" s="1051"/>
      <c r="U986" s="1052"/>
      <c r="V986" s="1051"/>
      <c r="W986" s="1051"/>
      <c r="X986" s="1052"/>
      <c r="Y986" s="1053"/>
      <c r="Z986" s="1051"/>
      <c r="AA986" s="1051"/>
      <c r="AB986" s="1052"/>
      <c r="AC986" s="1051"/>
      <c r="AD986" s="1051"/>
      <c r="AE986" s="1052"/>
      <c r="AF986" s="1051"/>
      <c r="AG986" s="1051"/>
      <c r="AH986" s="1051"/>
      <c r="AI986" s="1051"/>
      <c r="AJ986" s="1052"/>
      <c r="AK986" s="1051"/>
      <c r="AL986" s="1051"/>
      <c r="AM986" s="1052"/>
      <c r="AN986" s="1051"/>
      <c r="AO986" s="1051"/>
      <c r="AP986" s="1052"/>
      <c r="AQ986" s="1051"/>
      <c r="AR986" s="1051"/>
      <c r="AS986" s="1052"/>
      <c r="AT986" s="1051"/>
      <c r="AU986" s="1051"/>
      <c r="AV986" s="1052"/>
      <c r="AW986" s="1051"/>
      <c r="AX986" s="1051"/>
      <c r="AY986" s="1053"/>
      <c r="AZ986" s="1051"/>
      <c r="BA986" s="1051"/>
      <c r="BB986" s="1053"/>
      <c r="BC986" s="1051"/>
      <c r="BD986" s="1051"/>
      <c r="BE986" s="1053"/>
      <c r="BF986" s="1051"/>
      <c r="BG986" s="1051"/>
      <c r="BH986" s="1053"/>
      <c r="BI986" s="1052"/>
      <c r="BJ986" s="1052"/>
      <c r="BK986" s="1052"/>
      <c r="BL986" s="1052"/>
      <c r="BM986" s="1052"/>
      <c r="BN986" s="1054"/>
      <c r="BO986" s="1076">
        <f t="shared" si="16"/>
        <v>0</v>
      </c>
      <c r="BP986" s="1051"/>
      <c r="BQ986" s="1052"/>
      <c r="BR986" s="1054"/>
      <c r="BS986" s="1053"/>
      <c r="BT986" s="1051"/>
      <c r="BU986" s="1051"/>
      <c r="BV986" s="1051"/>
      <c r="BW986" s="1052"/>
      <c r="BX986" s="1052"/>
      <c r="BY986" s="1052"/>
      <c r="BZ986" s="1052"/>
      <c r="CA986" s="1052"/>
      <c r="CB986" s="1053"/>
      <c r="CC986" s="1053"/>
      <c r="CD986" s="1053"/>
      <c r="CE986" s="1053"/>
      <c r="CF986" s="1053"/>
      <c r="CG986" s="1053"/>
      <c r="CH986" s="1053"/>
      <c r="CI986" s="1123"/>
      <c r="CJ986" s="1123"/>
      <c r="CK986" s="1123"/>
      <c r="CL986" s="1123"/>
      <c r="CM986" s="1123"/>
      <c r="CN986" s="1123"/>
      <c r="CO986" s="1123"/>
      <c r="CP986" s="1123"/>
      <c r="CQ986" s="1123"/>
      <c r="CR986" s="1123"/>
      <c r="CS986" s="1123"/>
      <c r="CT986" s="1123"/>
      <c r="CU986" s="1123"/>
      <c r="CV986" s="1123"/>
      <c r="CW986" s="1123"/>
      <c r="CX986" s="1123"/>
      <c r="CY986" s="1123"/>
      <c r="CZ986" s="1114"/>
      <c r="DA986" s="1114"/>
      <c r="DB986" s="1114"/>
      <c r="DC986" s="1114"/>
      <c r="DD986" s="1114"/>
      <c r="DE986" s="1114"/>
      <c r="DF986" s="1114"/>
      <c r="DG986" s="1114"/>
      <c r="DH986" s="1114"/>
      <c r="DI986" s="1114"/>
      <c r="DJ986" s="1114"/>
      <c r="DK986" s="1114"/>
      <c r="DL986" s="1114"/>
      <c r="DM986" s="1114"/>
      <c r="DN986" s="1114"/>
      <c r="DO986" s="1114"/>
      <c r="DP986" s="1114"/>
      <c r="DQ986" s="1114"/>
      <c r="DR986" s="1114"/>
      <c r="DS986" s="1114"/>
      <c r="DT986" s="1114"/>
      <c r="DU986" s="1114"/>
      <c r="DV986" s="1115"/>
      <c r="DW986" s="1116"/>
      <c r="DX986" s="1116"/>
      <c r="DY986" s="1116"/>
      <c r="DZ986" s="1116"/>
      <c r="EA986" s="1116"/>
      <c r="EB986" s="1116"/>
      <c r="EC986" s="1116"/>
      <c r="ED986" s="1116"/>
      <c r="EE986" s="1116"/>
      <c r="EF986" s="1116"/>
      <c r="EG986" s="1116"/>
      <c r="EH986" s="1116"/>
      <c r="EI986" s="1116"/>
      <c r="EJ986" s="1116"/>
      <c r="EK986" s="1116"/>
      <c r="EL986" s="1116"/>
      <c r="EM986" s="1116"/>
      <c r="EN986" s="1116"/>
      <c r="EO986" s="1116"/>
      <c r="EP986" s="1116"/>
      <c r="EQ986" s="1116"/>
      <c r="ER986" s="1116"/>
      <c r="ES986" s="1116"/>
    </row>
    <row r="987" spans="1:149" ht="15" customHeight="1">
      <c r="A987" s="1185">
        <v>977</v>
      </c>
      <c r="B987" s="1041"/>
      <c r="C987" s="1050"/>
      <c r="D987" s="1050"/>
      <c r="E987" s="1050"/>
      <c r="F987" s="1049"/>
      <c r="G987" s="1049"/>
      <c r="H987" s="1049"/>
      <c r="I987" s="1049"/>
      <c r="J987" s="1050"/>
      <c r="K987" s="1050"/>
      <c r="L987" s="1043"/>
      <c r="M987" s="1051"/>
      <c r="N987" s="1051"/>
      <c r="O987" s="1052"/>
      <c r="P987" s="1051"/>
      <c r="Q987" s="1051"/>
      <c r="R987" s="1052"/>
      <c r="S987" s="1051"/>
      <c r="T987" s="1051"/>
      <c r="U987" s="1052"/>
      <c r="V987" s="1051"/>
      <c r="W987" s="1051"/>
      <c r="X987" s="1052"/>
      <c r="Y987" s="1053"/>
      <c r="Z987" s="1051"/>
      <c r="AA987" s="1051"/>
      <c r="AB987" s="1052"/>
      <c r="AC987" s="1051"/>
      <c r="AD987" s="1051"/>
      <c r="AE987" s="1052"/>
      <c r="AF987" s="1051"/>
      <c r="AG987" s="1051"/>
      <c r="AH987" s="1051"/>
      <c r="AI987" s="1051"/>
      <c r="AJ987" s="1052"/>
      <c r="AK987" s="1051"/>
      <c r="AL987" s="1051"/>
      <c r="AM987" s="1052"/>
      <c r="AN987" s="1051"/>
      <c r="AO987" s="1051"/>
      <c r="AP987" s="1052"/>
      <c r="AQ987" s="1051"/>
      <c r="AR987" s="1051"/>
      <c r="AS987" s="1052"/>
      <c r="AT987" s="1051"/>
      <c r="AU987" s="1051"/>
      <c r="AV987" s="1052"/>
      <c r="AW987" s="1051"/>
      <c r="AX987" s="1051"/>
      <c r="AY987" s="1053"/>
      <c r="AZ987" s="1051"/>
      <c r="BA987" s="1051"/>
      <c r="BB987" s="1053"/>
      <c r="BC987" s="1051"/>
      <c r="BD987" s="1051"/>
      <c r="BE987" s="1053"/>
      <c r="BF987" s="1051"/>
      <c r="BG987" s="1051"/>
      <c r="BH987" s="1053"/>
      <c r="BI987" s="1052"/>
      <c r="BJ987" s="1052"/>
      <c r="BK987" s="1052"/>
      <c r="BL987" s="1052"/>
      <c r="BM987" s="1052"/>
      <c r="BN987" s="1054"/>
      <c r="BO987" s="1076">
        <f t="shared" si="16"/>
        <v>0</v>
      </c>
      <c r="BP987" s="1051"/>
      <c r="BQ987" s="1052"/>
      <c r="BR987" s="1054"/>
      <c r="BS987" s="1053"/>
      <c r="BT987" s="1051"/>
      <c r="BU987" s="1051"/>
      <c r="BV987" s="1051"/>
      <c r="BW987" s="1052"/>
      <c r="BX987" s="1052"/>
      <c r="BY987" s="1052"/>
      <c r="BZ987" s="1052"/>
      <c r="CA987" s="1052"/>
      <c r="CB987" s="1053"/>
      <c r="CC987" s="1053"/>
      <c r="CD987" s="1053"/>
      <c r="CE987" s="1053"/>
      <c r="CF987" s="1053"/>
      <c r="CG987" s="1053"/>
      <c r="CH987" s="1053"/>
      <c r="CI987" s="1123"/>
      <c r="CJ987" s="1123"/>
      <c r="CK987" s="1123"/>
      <c r="CL987" s="1123"/>
      <c r="CM987" s="1123"/>
      <c r="CN987" s="1123"/>
      <c r="CO987" s="1123"/>
      <c r="CP987" s="1123"/>
      <c r="CQ987" s="1123"/>
      <c r="CR987" s="1123"/>
      <c r="CS987" s="1123"/>
      <c r="CT987" s="1123"/>
      <c r="CU987" s="1123"/>
      <c r="CV987" s="1123"/>
      <c r="CW987" s="1123"/>
      <c r="CX987" s="1123"/>
      <c r="CY987" s="1123"/>
      <c r="CZ987" s="1114"/>
      <c r="DA987" s="1114"/>
      <c r="DB987" s="1114"/>
      <c r="DC987" s="1114"/>
      <c r="DD987" s="1114"/>
      <c r="DE987" s="1114"/>
      <c r="DF987" s="1114"/>
      <c r="DG987" s="1114"/>
      <c r="DH987" s="1114"/>
      <c r="DI987" s="1114"/>
      <c r="DJ987" s="1114"/>
      <c r="DK987" s="1114"/>
      <c r="DL987" s="1114"/>
      <c r="DM987" s="1114"/>
      <c r="DN987" s="1114"/>
      <c r="DO987" s="1114"/>
      <c r="DP987" s="1114"/>
      <c r="DQ987" s="1114"/>
      <c r="DR987" s="1114"/>
      <c r="DS987" s="1114"/>
      <c r="DT987" s="1114"/>
      <c r="DU987" s="1114"/>
      <c r="DV987" s="1115"/>
      <c r="DW987" s="1116"/>
      <c r="DX987" s="1116"/>
      <c r="DY987" s="1116"/>
      <c r="DZ987" s="1116"/>
      <c r="EA987" s="1116"/>
      <c r="EB987" s="1116"/>
      <c r="EC987" s="1116"/>
      <c r="ED987" s="1116"/>
      <c r="EE987" s="1116"/>
      <c r="EF987" s="1116"/>
      <c r="EG987" s="1116"/>
      <c r="EH987" s="1116"/>
      <c r="EI987" s="1116"/>
      <c r="EJ987" s="1116"/>
      <c r="EK987" s="1116"/>
      <c r="EL987" s="1116"/>
      <c r="EM987" s="1116"/>
      <c r="EN987" s="1116"/>
      <c r="EO987" s="1116"/>
      <c r="EP987" s="1116"/>
      <c r="EQ987" s="1116"/>
      <c r="ER987" s="1116"/>
      <c r="ES987" s="1116"/>
    </row>
    <row r="988" spans="1:149" ht="15" customHeight="1">
      <c r="A988" s="1185">
        <v>978</v>
      </c>
      <c r="B988" s="1041"/>
      <c r="C988" s="1050"/>
      <c r="D988" s="1050"/>
      <c r="E988" s="1050"/>
      <c r="F988" s="1049"/>
      <c r="G988" s="1049"/>
      <c r="H988" s="1049"/>
      <c r="I988" s="1049"/>
      <c r="J988" s="1050"/>
      <c r="K988" s="1050"/>
      <c r="L988" s="1043"/>
      <c r="M988" s="1051"/>
      <c r="N988" s="1051"/>
      <c r="O988" s="1052"/>
      <c r="P988" s="1051"/>
      <c r="Q988" s="1051"/>
      <c r="R988" s="1052"/>
      <c r="S988" s="1051"/>
      <c r="T988" s="1051"/>
      <c r="U988" s="1052"/>
      <c r="V988" s="1051"/>
      <c r="W988" s="1051"/>
      <c r="X988" s="1052"/>
      <c r="Y988" s="1053"/>
      <c r="Z988" s="1051"/>
      <c r="AA988" s="1051"/>
      <c r="AB988" s="1052"/>
      <c r="AC988" s="1051"/>
      <c r="AD988" s="1051"/>
      <c r="AE988" s="1052"/>
      <c r="AF988" s="1051"/>
      <c r="AG988" s="1051"/>
      <c r="AH988" s="1051"/>
      <c r="AI988" s="1051"/>
      <c r="AJ988" s="1052"/>
      <c r="AK988" s="1051"/>
      <c r="AL988" s="1051"/>
      <c r="AM988" s="1052"/>
      <c r="AN988" s="1051"/>
      <c r="AO988" s="1051"/>
      <c r="AP988" s="1052"/>
      <c r="AQ988" s="1051"/>
      <c r="AR988" s="1051"/>
      <c r="AS988" s="1052"/>
      <c r="AT988" s="1051"/>
      <c r="AU988" s="1051"/>
      <c r="AV988" s="1052"/>
      <c r="AW988" s="1051"/>
      <c r="AX988" s="1051"/>
      <c r="AY988" s="1053"/>
      <c r="AZ988" s="1051"/>
      <c r="BA988" s="1051"/>
      <c r="BB988" s="1053"/>
      <c r="BC988" s="1051"/>
      <c r="BD988" s="1051"/>
      <c r="BE988" s="1053"/>
      <c r="BF988" s="1051"/>
      <c r="BG988" s="1051"/>
      <c r="BH988" s="1053"/>
      <c r="BI988" s="1052"/>
      <c r="BJ988" s="1052"/>
      <c r="BK988" s="1052"/>
      <c r="BL988" s="1052"/>
      <c r="BM988" s="1052"/>
      <c r="BN988" s="1054"/>
      <c r="BO988" s="1076">
        <f t="shared" si="16"/>
        <v>0</v>
      </c>
      <c r="BP988" s="1051"/>
      <c r="BQ988" s="1052"/>
      <c r="BR988" s="1054"/>
      <c r="BS988" s="1053"/>
      <c r="BT988" s="1051"/>
      <c r="BU988" s="1051"/>
      <c r="BV988" s="1051"/>
      <c r="BW988" s="1052"/>
      <c r="BX988" s="1052"/>
      <c r="BY988" s="1052"/>
      <c r="BZ988" s="1052"/>
      <c r="CA988" s="1052"/>
      <c r="CB988" s="1053"/>
      <c r="CC988" s="1053"/>
      <c r="CD988" s="1053"/>
      <c r="CE988" s="1053"/>
      <c r="CF988" s="1053"/>
      <c r="CG988" s="1053"/>
      <c r="CH988" s="1053"/>
      <c r="CI988" s="1123"/>
      <c r="CJ988" s="1123"/>
      <c r="CK988" s="1123"/>
      <c r="CL988" s="1123"/>
      <c r="CM988" s="1123"/>
      <c r="CN988" s="1123"/>
      <c r="CO988" s="1123"/>
      <c r="CP988" s="1123"/>
      <c r="CQ988" s="1123"/>
      <c r="CR988" s="1123"/>
      <c r="CS988" s="1123"/>
      <c r="CT988" s="1123"/>
      <c r="CU988" s="1123"/>
      <c r="CV988" s="1123"/>
      <c r="CW988" s="1123"/>
      <c r="CX988" s="1123"/>
      <c r="CY988" s="1123"/>
      <c r="CZ988" s="1114"/>
      <c r="DA988" s="1114"/>
      <c r="DB988" s="1114"/>
      <c r="DC988" s="1114"/>
      <c r="DD988" s="1114"/>
      <c r="DE988" s="1114"/>
      <c r="DF988" s="1114"/>
      <c r="DG988" s="1114"/>
      <c r="DH988" s="1114"/>
      <c r="DI988" s="1114"/>
      <c r="DJ988" s="1114"/>
      <c r="DK988" s="1114"/>
      <c r="DL988" s="1114"/>
      <c r="DM988" s="1114"/>
      <c r="DN988" s="1114"/>
      <c r="DO988" s="1114"/>
      <c r="DP988" s="1114"/>
      <c r="DQ988" s="1114"/>
      <c r="DR988" s="1114"/>
      <c r="DS988" s="1114"/>
      <c r="DT988" s="1114"/>
      <c r="DU988" s="1114"/>
      <c r="DV988" s="1115"/>
      <c r="DW988" s="1116"/>
      <c r="DX988" s="1116"/>
      <c r="DY988" s="1116"/>
      <c r="DZ988" s="1116"/>
      <c r="EA988" s="1116"/>
      <c r="EB988" s="1116"/>
      <c r="EC988" s="1116"/>
      <c r="ED988" s="1116"/>
      <c r="EE988" s="1116"/>
      <c r="EF988" s="1116"/>
      <c r="EG988" s="1116"/>
      <c r="EH988" s="1116"/>
      <c r="EI988" s="1116"/>
      <c r="EJ988" s="1116"/>
      <c r="EK988" s="1116"/>
      <c r="EL988" s="1116"/>
      <c r="EM988" s="1116"/>
      <c r="EN988" s="1116"/>
      <c r="EO988" s="1116"/>
      <c r="EP988" s="1116"/>
      <c r="EQ988" s="1116"/>
      <c r="ER988" s="1116"/>
      <c r="ES988" s="1116"/>
    </row>
    <row r="989" spans="1:149" ht="15" customHeight="1">
      <c r="A989" s="1185">
        <v>979</v>
      </c>
      <c r="B989" s="1041"/>
      <c r="C989" s="1050"/>
      <c r="D989" s="1050"/>
      <c r="E989" s="1050"/>
      <c r="F989" s="1049"/>
      <c r="G989" s="1049"/>
      <c r="H989" s="1049"/>
      <c r="I989" s="1049"/>
      <c r="J989" s="1050"/>
      <c r="K989" s="1050"/>
      <c r="L989" s="1043"/>
      <c r="M989" s="1051"/>
      <c r="N989" s="1051"/>
      <c r="O989" s="1052"/>
      <c r="P989" s="1051"/>
      <c r="Q989" s="1051"/>
      <c r="R989" s="1052"/>
      <c r="S989" s="1051"/>
      <c r="T989" s="1051"/>
      <c r="U989" s="1052"/>
      <c r="V989" s="1051"/>
      <c r="W989" s="1051"/>
      <c r="X989" s="1052"/>
      <c r="Y989" s="1053"/>
      <c r="Z989" s="1051"/>
      <c r="AA989" s="1051"/>
      <c r="AB989" s="1052"/>
      <c r="AC989" s="1051"/>
      <c r="AD989" s="1051"/>
      <c r="AE989" s="1052"/>
      <c r="AF989" s="1051"/>
      <c r="AG989" s="1051"/>
      <c r="AH989" s="1051"/>
      <c r="AI989" s="1051"/>
      <c r="AJ989" s="1052"/>
      <c r="AK989" s="1051"/>
      <c r="AL989" s="1051"/>
      <c r="AM989" s="1052"/>
      <c r="AN989" s="1051"/>
      <c r="AO989" s="1051"/>
      <c r="AP989" s="1052"/>
      <c r="AQ989" s="1051"/>
      <c r="AR989" s="1051"/>
      <c r="AS989" s="1052"/>
      <c r="AT989" s="1051"/>
      <c r="AU989" s="1051"/>
      <c r="AV989" s="1052"/>
      <c r="AW989" s="1051"/>
      <c r="AX989" s="1051"/>
      <c r="AY989" s="1053"/>
      <c r="AZ989" s="1051"/>
      <c r="BA989" s="1051"/>
      <c r="BB989" s="1053"/>
      <c r="BC989" s="1051"/>
      <c r="BD989" s="1051"/>
      <c r="BE989" s="1053"/>
      <c r="BF989" s="1051"/>
      <c r="BG989" s="1051"/>
      <c r="BH989" s="1053"/>
      <c r="BI989" s="1052"/>
      <c r="BJ989" s="1052"/>
      <c r="BK989" s="1052"/>
      <c r="BL989" s="1052"/>
      <c r="BM989" s="1052"/>
      <c r="BN989" s="1054"/>
      <c r="BO989" s="1076">
        <f t="shared" si="16"/>
        <v>0</v>
      </c>
      <c r="BP989" s="1051"/>
      <c r="BQ989" s="1052"/>
      <c r="BR989" s="1054"/>
      <c r="BS989" s="1053"/>
      <c r="BT989" s="1051"/>
      <c r="BU989" s="1051"/>
      <c r="BV989" s="1051"/>
      <c r="BW989" s="1052"/>
      <c r="BX989" s="1052"/>
      <c r="BY989" s="1052"/>
      <c r="BZ989" s="1052"/>
      <c r="CA989" s="1052"/>
      <c r="CB989" s="1053"/>
      <c r="CC989" s="1053"/>
      <c r="CD989" s="1053"/>
      <c r="CE989" s="1053"/>
      <c r="CF989" s="1053"/>
      <c r="CG989" s="1053"/>
      <c r="CH989" s="1053"/>
      <c r="CI989" s="1123"/>
      <c r="CJ989" s="1123"/>
      <c r="CK989" s="1123"/>
      <c r="CL989" s="1123"/>
      <c r="CM989" s="1123"/>
      <c r="CN989" s="1123"/>
      <c r="CO989" s="1123"/>
      <c r="CP989" s="1123"/>
      <c r="CQ989" s="1123"/>
      <c r="CR989" s="1123"/>
      <c r="CS989" s="1123"/>
      <c r="CT989" s="1123"/>
      <c r="CU989" s="1123"/>
      <c r="CV989" s="1123"/>
      <c r="CW989" s="1123"/>
      <c r="CX989" s="1123"/>
      <c r="CY989" s="1123"/>
      <c r="CZ989" s="1114"/>
      <c r="DA989" s="1114"/>
      <c r="DB989" s="1114"/>
      <c r="DC989" s="1114"/>
      <c r="DD989" s="1114"/>
      <c r="DE989" s="1114"/>
      <c r="DF989" s="1114"/>
      <c r="DG989" s="1114"/>
      <c r="DH989" s="1114"/>
      <c r="DI989" s="1114"/>
      <c r="DJ989" s="1114"/>
      <c r="DK989" s="1114"/>
      <c r="DL989" s="1114"/>
      <c r="DM989" s="1114"/>
      <c r="DN989" s="1114"/>
      <c r="DO989" s="1114"/>
      <c r="DP989" s="1114"/>
      <c r="DQ989" s="1114"/>
      <c r="DR989" s="1114"/>
      <c r="DS989" s="1114"/>
      <c r="DT989" s="1114"/>
      <c r="DU989" s="1114"/>
      <c r="DV989" s="1115"/>
      <c r="DW989" s="1116"/>
      <c r="DX989" s="1116"/>
      <c r="DY989" s="1116"/>
      <c r="DZ989" s="1116"/>
      <c r="EA989" s="1116"/>
      <c r="EB989" s="1116"/>
      <c r="EC989" s="1116"/>
      <c r="ED989" s="1116"/>
      <c r="EE989" s="1116"/>
      <c r="EF989" s="1116"/>
      <c r="EG989" s="1116"/>
      <c r="EH989" s="1116"/>
      <c r="EI989" s="1116"/>
      <c r="EJ989" s="1116"/>
      <c r="EK989" s="1116"/>
      <c r="EL989" s="1116"/>
      <c r="EM989" s="1116"/>
      <c r="EN989" s="1116"/>
      <c r="EO989" s="1116"/>
      <c r="EP989" s="1116"/>
      <c r="EQ989" s="1116"/>
      <c r="ER989" s="1116"/>
      <c r="ES989" s="1116"/>
    </row>
    <row r="990" spans="1:149" ht="15" customHeight="1">
      <c r="A990" s="1185">
        <v>980</v>
      </c>
      <c r="B990" s="1041"/>
      <c r="C990" s="1050"/>
      <c r="D990" s="1050"/>
      <c r="E990" s="1050"/>
      <c r="F990" s="1049"/>
      <c r="G990" s="1049"/>
      <c r="H990" s="1049"/>
      <c r="I990" s="1049"/>
      <c r="J990" s="1050"/>
      <c r="K990" s="1050"/>
      <c r="L990" s="1043"/>
      <c r="M990" s="1051"/>
      <c r="N990" s="1051"/>
      <c r="O990" s="1052"/>
      <c r="P990" s="1051"/>
      <c r="Q990" s="1051"/>
      <c r="R990" s="1052"/>
      <c r="S990" s="1051"/>
      <c r="T990" s="1051"/>
      <c r="U990" s="1052"/>
      <c r="V990" s="1051"/>
      <c r="W990" s="1051"/>
      <c r="X990" s="1052"/>
      <c r="Y990" s="1053"/>
      <c r="Z990" s="1051"/>
      <c r="AA990" s="1051"/>
      <c r="AB990" s="1052"/>
      <c r="AC990" s="1051"/>
      <c r="AD990" s="1051"/>
      <c r="AE990" s="1052"/>
      <c r="AF990" s="1051"/>
      <c r="AG990" s="1051"/>
      <c r="AH990" s="1051"/>
      <c r="AI990" s="1051"/>
      <c r="AJ990" s="1052"/>
      <c r="AK990" s="1051"/>
      <c r="AL990" s="1051"/>
      <c r="AM990" s="1052"/>
      <c r="AN990" s="1051"/>
      <c r="AO990" s="1051"/>
      <c r="AP990" s="1052"/>
      <c r="AQ990" s="1051"/>
      <c r="AR990" s="1051"/>
      <c r="AS990" s="1052"/>
      <c r="AT990" s="1051"/>
      <c r="AU990" s="1051"/>
      <c r="AV990" s="1052"/>
      <c r="AW990" s="1051"/>
      <c r="AX990" s="1051"/>
      <c r="AY990" s="1053"/>
      <c r="AZ990" s="1051"/>
      <c r="BA990" s="1051"/>
      <c r="BB990" s="1053"/>
      <c r="BC990" s="1051"/>
      <c r="BD990" s="1051"/>
      <c r="BE990" s="1053"/>
      <c r="BF990" s="1051"/>
      <c r="BG990" s="1051"/>
      <c r="BH990" s="1053"/>
      <c r="BI990" s="1052"/>
      <c r="BJ990" s="1052"/>
      <c r="BK990" s="1052"/>
      <c r="BL990" s="1052"/>
      <c r="BM990" s="1052"/>
      <c r="BN990" s="1054"/>
      <c r="BO990" s="1076">
        <f t="shared" si="16"/>
        <v>0</v>
      </c>
      <c r="BP990" s="1051"/>
      <c r="BQ990" s="1052"/>
      <c r="BR990" s="1054"/>
      <c r="BS990" s="1053"/>
      <c r="BT990" s="1051"/>
      <c r="BU990" s="1051"/>
      <c r="BV990" s="1051"/>
      <c r="BW990" s="1052"/>
      <c r="BX990" s="1052"/>
      <c r="BY990" s="1052"/>
      <c r="BZ990" s="1052"/>
      <c r="CA990" s="1052"/>
      <c r="CB990" s="1053"/>
      <c r="CC990" s="1053"/>
      <c r="CD990" s="1053"/>
      <c r="CE990" s="1053"/>
      <c r="CF990" s="1053"/>
      <c r="CG990" s="1053"/>
      <c r="CH990" s="1053"/>
      <c r="CI990" s="1123"/>
      <c r="CJ990" s="1123"/>
      <c r="CK990" s="1123"/>
      <c r="CL990" s="1123"/>
      <c r="CM990" s="1123"/>
      <c r="CN990" s="1123"/>
      <c r="CO990" s="1123"/>
      <c r="CP990" s="1123"/>
      <c r="CQ990" s="1123"/>
      <c r="CR990" s="1123"/>
      <c r="CS990" s="1123"/>
      <c r="CT990" s="1123"/>
      <c r="CU990" s="1123"/>
      <c r="CV990" s="1123"/>
      <c r="CW990" s="1123"/>
      <c r="CX990" s="1123"/>
      <c r="CY990" s="1123"/>
      <c r="CZ990" s="1114"/>
      <c r="DA990" s="1114"/>
      <c r="DB990" s="1114"/>
      <c r="DC990" s="1114"/>
      <c r="DD990" s="1114"/>
      <c r="DE990" s="1114"/>
      <c r="DF990" s="1114"/>
      <c r="DG990" s="1114"/>
      <c r="DH990" s="1114"/>
      <c r="DI990" s="1114"/>
      <c r="DJ990" s="1114"/>
      <c r="DK990" s="1114"/>
      <c r="DL990" s="1114"/>
      <c r="DM990" s="1114"/>
      <c r="DN990" s="1114"/>
      <c r="DO990" s="1114"/>
      <c r="DP990" s="1114"/>
      <c r="DQ990" s="1114"/>
      <c r="DR990" s="1114"/>
      <c r="DS990" s="1114"/>
      <c r="DT990" s="1114"/>
      <c r="DU990" s="1114"/>
      <c r="DV990" s="1115"/>
      <c r="DW990" s="1116"/>
      <c r="DX990" s="1116"/>
      <c r="DY990" s="1116"/>
      <c r="DZ990" s="1116"/>
      <c r="EA990" s="1116"/>
      <c r="EB990" s="1116"/>
      <c r="EC990" s="1116"/>
      <c r="ED990" s="1116"/>
      <c r="EE990" s="1116"/>
      <c r="EF990" s="1116"/>
      <c r="EG990" s="1116"/>
      <c r="EH990" s="1116"/>
      <c r="EI990" s="1116"/>
      <c r="EJ990" s="1116"/>
      <c r="EK990" s="1116"/>
      <c r="EL990" s="1116"/>
      <c r="EM990" s="1116"/>
      <c r="EN990" s="1116"/>
      <c r="EO990" s="1116"/>
      <c r="EP990" s="1116"/>
      <c r="EQ990" s="1116"/>
      <c r="ER990" s="1116"/>
      <c r="ES990" s="1116"/>
    </row>
    <row r="991" spans="1:149" ht="15" customHeight="1">
      <c r="A991" s="1185">
        <v>981</v>
      </c>
      <c r="B991" s="1041"/>
      <c r="C991" s="1050"/>
      <c r="D991" s="1050"/>
      <c r="E991" s="1050"/>
      <c r="F991" s="1049"/>
      <c r="G991" s="1049"/>
      <c r="H991" s="1049"/>
      <c r="I991" s="1049"/>
      <c r="J991" s="1050"/>
      <c r="K991" s="1050"/>
      <c r="L991" s="1043"/>
      <c r="M991" s="1051"/>
      <c r="N991" s="1051"/>
      <c r="O991" s="1052"/>
      <c r="P991" s="1051"/>
      <c r="Q991" s="1051"/>
      <c r="R991" s="1052"/>
      <c r="S991" s="1051"/>
      <c r="T991" s="1051"/>
      <c r="U991" s="1052"/>
      <c r="V991" s="1051"/>
      <c r="W991" s="1051"/>
      <c r="X991" s="1052"/>
      <c r="Y991" s="1053"/>
      <c r="Z991" s="1051"/>
      <c r="AA991" s="1051"/>
      <c r="AB991" s="1052"/>
      <c r="AC991" s="1051"/>
      <c r="AD991" s="1051"/>
      <c r="AE991" s="1052"/>
      <c r="AF991" s="1051"/>
      <c r="AG991" s="1051"/>
      <c r="AH991" s="1051"/>
      <c r="AI991" s="1051"/>
      <c r="AJ991" s="1052"/>
      <c r="AK991" s="1051"/>
      <c r="AL991" s="1051"/>
      <c r="AM991" s="1052"/>
      <c r="AN991" s="1051"/>
      <c r="AO991" s="1051"/>
      <c r="AP991" s="1052"/>
      <c r="AQ991" s="1051"/>
      <c r="AR991" s="1051"/>
      <c r="AS991" s="1052"/>
      <c r="AT991" s="1051"/>
      <c r="AU991" s="1051"/>
      <c r="AV991" s="1052"/>
      <c r="AW991" s="1051"/>
      <c r="AX991" s="1051"/>
      <c r="AY991" s="1053"/>
      <c r="AZ991" s="1051"/>
      <c r="BA991" s="1051"/>
      <c r="BB991" s="1053"/>
      <c r="BC991" s="1051"/>
      <c r="BD991" s="1051"/>
      <c r="BE991" s="1053"/>
      <c r="BF991" s="1051"/>
      <c r="BG991" s="1051"/>
      <c r="BH991" s="1053"/>
      <c r="BI991" s="1052"/>
      <c r="BJ991" s="1052"/>
      <c r="BK991" s="1052"/>
      <c r="BL991" s="1052"/>
      <c r="BM991" s="1052"/>
      <c r="BN991" s="1054"/>
      <c r="BO991" s="1076">
        <f t="shared" si="16"/>
        <v>0</v>
      </c>
      <c r="BP991" s="1051"/>
      <c r="BQ991" s="1052"/>
      <c r="BR991" s="1054"/>
      <c r="BS991" s="1053"/>
      <c r="BT991" s="1051"/>
      <c r="BU991" s="1051"/>
      <c r="BV991" s="1051"/>
      <c r="BW991" s="1052"/>
      <c r="BX991" s="1052"/>
      <c r="BY991" s="1052"/>
      <c r="BZ991" s="1052"/>
      <c r="CA991" s="1052"/>
      <c r="CB991" s="1053"/>
      <c r="CC991" s="1053"/>
      <c r="CD991" s="1053"/>
      <c r="CE991" s="1053"/>
      <c r="CF991" s="1053"/>
      <c r="CG991" s="1053"/>
      <c r="CH991" s="1053"/>
      <c r="CI991" s="1123"/>
      <c r="CJ991" s="1123"/>
      <c r="CK991" s="1123"/>
      <c r="CL991" s="1123"/>
      <c r="CM991" s="1123"/>
      <c r="CN991" s="1123"/>
      <c r="CO991" s="1123"/>
      <c r="CP991" s="1123"/>
      <c r="CQ991" s="1123"/>
      <c r="CR991" s="1123"/>
      <c r="CS991" s="1123"/>
      <c r="CT991" s="1123"/>
      <c r="CU991" s="1123"/>
      <c r="CV991" s="1123"/>
      <c r="CW991" s="1123"/>
      <c r="CX991" s="1123"/>
      <c r="CY991" s="1123"/>
      <c r="CZ991" s="1114"/>
      <c r="DA991" s="1114"/>
      <c r="DB991" s="1114"/>
      <c r="DC991" s="1114"/>
      <c r="DD991" s="1114"/>
      <c r="DE991" s="1114"/>
      <c r="DF991" s="1114"/>
      <c r="DG991" s="1114"/>
      <c r="DH991" s="1114"/>
      <c r="DI991" s="1114"/>
      <c r="DJ991" s="1114"/>
      <c r="DK991" s="1114"/>
      <c r="DL991" s="1114"/>
      <c r="DM991" s="1114"/>
      <c r="DN991" s="1114"/>
      <c r="DO991" s="1114"/>
      <c r="DP991" s="1114"/>
      <c r="DQ991" s="1114"/>
      <c r="DR991" s="1114"/>
      <c r="DS991" s="1114"/>
      <c r="DT991" s="1114"/>
      <c r="DU991" s="1114"/>
      <c r="DV991" s="1115"/>
      <c r="DW991" s="1116"/>
      <c r="DX991" s="1116"/>
      <c r="DY991" s="1116"/>
      <c r="DZ991" s="1116"/>
      <c r="EA991" s="1116"/>
      <c r="EB991" s="1116"/>
      <c r="EC991" s="1116"/>
      <c r="ED991" s="1116"/>
      <c r="EE991" s="1116"/>
      <c r="EF991" s="1116"/>
      <c r="EG991" s="1116"/>
      <c r="EH991" s="1116"/>
      <c r="EI991" s="1116"/>
      <c r="EJ991" s="1116"/>
      <c r="EK991" s="1116"/>
      <c r="EL991" s="1116"/>
      <c r="EM991" s="1116"/>
      <c r="EN991" s="1116"/>
      <c r="EO991" s="1116"/>
      <c r="EP991" s="1116"/>
      <c r="EQ991" s="1116"/>
      <c r="ER991" s="1116"/>
      <c r="ES991" s="1116"/>
    </row>
    <row r="992" spans="1:149" ht="15" customHeight="1">
      <c r="A992" s="1185">
        <v>982</v>
      </c>
      <c r="B992" s="1041"/>
      <c r="C992" s="1050"/>
      <c r="D992" s="1050"/>
      <c r="E992" s="1050"/>
      <c r="F992" s="1049"/>
      <c r="G992" s="1049"/>
      <c r="H992" s="1049"/>
      <c r="I992" s="1049"/>
      <c r="J992" s="1050"/>
      <c r="K992" s="1050"/>
      <c r="L992" s="1043"/>
      <c r="M992" s="1051"/>
      <c r="N992" s="1051"/>
      <c r="O992" s="1052"/>
      <c r="P992" s="1051"/>
      <c r="Q992" s="1051"/>
      <c r="R992" s="1052"/>
      <c r="S992" s="1051"/>
      <c r="T992" s="1051"/>
      <c r="U992" s="1052"/>
      <c r="V992" s="1051"/>
      <c r="W992" s="1051"/>
      <c r="X992" s="1052"/>
      <c r="Y992" s="1053"/>
      <c r="Z992" s="1051"/>
      <c r="AA992" s="1051"/>
      <c r="AB992" s="1052"/>
      <c r="AC992" s="1051"/>
      <c r="AD992" s="1051"/>
      <c r="AE992" s="1052"/>
      <c r="AF992" s="1051"/>
      <c r="AG992" s="1051"/>
      <c r="AH992" s="1051"/>
      <c r="AI992" s="1051"/>
      <c r="AJ992" s="1052"/>
      <c r="AK992" s="1051"/>
      <c r="AL992" s="1051"/>
      <c r="AM992" s="1052"/>
      <c r="AN992" s="1051"/>
      <c r="AO992" s="1051"/>
      <c r="AP992" s="1052"/>
      <c r="AQ992" s="1051"/>
      <c r="AR992" s="1051"/>
      <c r="AS992" s="1052"/>
      <c r="AT992" s="1051"/>
      <c r="AU992" s="1051"/>
      <c r="AV992" s="1052"/>
      <c r="AW992" s="1051"/>
      <c r="AX992" s="1051"/>
      <c r="AY992" s="1053"/>
      <c r="AZ992" s="1051"/>
      <c r="BA992" s="1051"/>
      <c r="BB992" s="1053"/>
      <c r="BC992" s="1051"/>
      <c r="BD992" s="1051"/>
      <c r="BE992" s="1053"/>
      <c r="BF992" s="1051"/>
      <c r="BG992" s="1051"/>
      <c r="BH992" s="1053"/>
      <c r="BI992" s="1052"/>
      <c r="BJ992" s="1052"/>
      <c r="BK992" s="1052"/>
      <c r="BL992" s="1052"/>
      <c r="BM992" s="1052"/>
      <c r="BN992" s="1054"/>
      <c r="BO992" s="1076">
        <f t="shared" si="16"/>
        <v>0</v>
      </c>
      <c r="BP992" s="1051"/>
      <c r="BQ992" s="1052"/>
      <c r="BR992" s="1054"/>
      <c r="BS992" s="1053"/>
      <c r="BT992" s="1051"/>
      <c r="BU992" s="1051"/>
      <c r="BV992" s="1051"/>
      <c r="BW992" s="1052"/>
      <c r="BX992" s="1052"/>
      <c r="BY992" s="1052"/>
      <c r="BZ992" s="1052"/>
      <c r="CA992" s="1052"/>
      <c r="CB992" s="1053"/>
      <c r="CC992" s="1053"/>
      <c r="CD992" s="1053"/>
      <c r="CE992" s="1053"/>
      <c r="CF992" s="1053"/>
      <c r="CG992" s="1053"/>
      <c r="CH992" s="1053"/>
      <c r="CI992" s="1123"/>
      <c r="CJ992" s="1123"/>
      <c r="CK992" s="1123"/>
      <c r="CL992" s="1123"/>
      <c r="CM992" s="1123"/>
      <c r="CN992" s="1123"/>
      <c r="CO992" s="1123"/>
      <c r="CP992" s="1123"/>
      <c r="CQ992" s="1123"/>
      <c r="CR992" s="1123"/>
      <c r="CS992" s="1123"/>
      <c r="CT992" s="1123"/>
      <c r="CU992" s="1123"/>
      <c r="CV992" s="1123"/>
      <c r="CW992" s="1123"/>
      <c r="CX992" s="1123"/>
      <c r="CY992" s="1123"/>
      <c r="CZ992" s="1114"/>
      <c r="DA992" s="1114"/>
      <c r="DB992" s="1114"/>
      <c r="DC992" s="1114"/>
      <c r="DD992" s="1114"/>
      <c r="DE992" s="1114"/>
      <c r="DF992" s="1114"/>
      <c r="DG992" s="1114"/>
      <c r="DH992" s="1114"/>
      <c r="DI992" s="1114"/>
      <c r="DJ992" s="1114"/>
      <c r="DK992" s="1114"/>
      <c r="DL992" s="1114"/>
      <c r="DM992" s="1114"/>
      <c r="DN992" s="1114"/>
      <c r="DO992" s="1114"/>
      <c r="DP992" s="1114"/>
      <c r="DQ992" s="1114"/>
      <c r="DR992" s="1114"/>
      <c r="DS992" s="1114"/>
      <c r="DT992" s="1114"/>
      <c r="DU992" s="1114"/>
      <c r="DV992" s="1115"/>
      <c r="DW992" s="1116"/>
      <c r="DX992" s="1116"/>
      <c r="DY992" s="1116"/>
      <c r="DZ992" s="1116"/>
      <c r="EA992" s="1116"/>
      <c r="EB992" s="1116"/>
      <c r="EC992" s="1116"/>
      <c r="ED992" s="1116"/>
      <c r="EE992" s="1116"/>
      <c r="EF992" s="1116"/>
      <c r="EG992" s="1116"/>
      <c r="EH992" s="1116"/>
      <c r="EI992" s="1116"/>
      <c r="EJ992" s="1116"/>
      <c r="EK992" s="1116"/>
      <c r="EL992" s="1116"/>
      <c r="EM992" s="1116"/>
      <c r="EN992" s="1116"/>
      <c r="EO992" s="1116"/>
      <c r="EP992" s="1116"/>
      <c r="EQ992" s="1116"/>
      <c r="ER992" s="1116"/>
      <c r="ES992" s="1116"/>
    </row>
    <row r="993" spans="1:149" ht="15" customHeight="1">
      <c r="A993" s="1185">
        <v>983</v>
      </c>
      <c r="B993" s="1041"/>
      <c r="C993" s="1050"/>
      <c r="D993" s="1050"/>
      <c r="E993" s="1050"/>
      <c r="F993" s="1049"/>
      <c r="G993" s="1049"/>
      <c r="H993" s="1049"/>
      <c r="I993" s="1049"/>
      <c r="J993" s="1050"/>
      <c r="K993" s="1050"/>
      <c r="L993" s="1043"/>
      <c r="M993" s="1051"/>
      <c r="N993" s="1051"/>
      <c r="O993" s="1052"/>
      <c r="P993" s="1051"/>
      <c r="Q993" s="1051"/>
      <c r="R993" s="1052"/>
      <c r="S993" s="1051"/>
      <c r="T993" s="1051"/>
      <c r="U993" s="1052"/>
      <c r="V993" s="1051"/>
      <c r="W993" s="1051"/>
      <c r="X993" s="1052"/>
      <c r="Y993" s="1053"/>
      <c r="Z993" s="1051"/>
      <c r="AA993" s="1051"/>
      <c r="AB993" s="1052"/>
      <c r="AC993" s="1051"/>
      <c r="AD993" s="1051"/>
      <c r="AE993" s="1052"/>
      <c r="AF993" s="1051"/>
      <c r="AG993" s="1051"/>
      <c r="AH993" s="1051"/>
      <c r="AI993" s="1051"/>
      <c r="AJ993" s="1052"/>
      <c r="AK993" s="1051"/>
      <c r="AL993" s="1051"/>
      <c r="AM993" s="1052"/>
      <c r="AN993" s="1051"/>
      <c r="AO993" s="1051"/>
      <c r="AP993" s="1052"/>
      <c r="AQ993" s="1051"/>
      <c r="AR993" s="1051"/>
      <c r="AS993" s="1052"/>
      <c r="AT993" s="1051"/>
      <c r="AU993" s="1051"/>
      <c r="AV993" s="1052"/>
      <c r="AW993" s="1051"/>
      <c r="AX993" s="1051"/>
      <c r="AY993" s="1053"/>
      <c r="AZ993" s="1051"/>
      <c r="BA993" s="1051"/>
      <c r="BB993" s="1053"/>
      <c r="BC993" s="1051"/>
      <c r="BD993" s="1051"/>
      <c r="BE993" s="1053"/>
      <c r="BF993" s="1051"/>
      <c r="BG993" s="1051"/>
      <c r="BH993" s="1053"/>
      <c r="BI993" s="1052"/>
      <c r="BJ993" s="1052"/>
      <c r="BK993" s="1052"/>
      <c r="BL993" s="1052"/>
      <c r="BM993" s="1052"/>
      <c r="BN993" s="1054"/>
      <c r="BO993" s="1076">
        <f t="shared" si="16"/>
        <v>0</v>
      </c>
      <c r="BP993" s="1051"/>
      <c r="BQ993" s="1052"/>
      <c r="BR993" s="1054"/>
      <c r="BS993" s="1053"/>
      <c r="BT993" s="1051"/>
      <c r="BU993" s="1051"/>
      <c r="BV993" s="1051"/>
      <c r="BW993" s="1052"/>
      <c r="BX993" s="1052"/>
      <c r="BY993" s="1052"/>
      <c r="BZ993" s="1052"/>
      <c r="CA993" s="1052"/>
      <c r="CB993" s="1053"/>
      <c r="CC993" s="1053"/>
      <c r="CD993" s="1053"/>
      <c r="CE993" s="1053"/>
      <c r="CF993" s="1053"/>
      <c r="CG993" s="1053"/>
      <c r="CH993" s="1053"/>
      <c r="CI993" s="1123"/>
      <c r="CJ993" s="1123"/>
      <c r="CK993" s="1123"/>
      <c r="CL993" s="1123"/>
      <c r="CM993" s="1123"/>
      <c r="CN993" s="1123"/>
      <c r="CO993" s="1123"/>
      <c r="CP993" s="1123"/>
      <c r="CQ993" s="1123"/>
      <c r="CR993" s="1123"/>
      <c r="CS993" s="1123"/>
      <c r="CT993" s="1123"/>
      <c r="CU993" s="1123"/>
      <c r="CV993" s="1123"/>
      <c r="CW993" s="1123"/>
      <c r="CX993" s="1123"/>
      <c r="CY993" s="1123"/>
      <c r="CZ993" s="1114"/>
      <c r="DA993" s="1114"/>
      <c r="DB993" s="1114"/>
      <c r="DC993" s="1114"/>
      <c r="DD993" s="1114"/>
      <c r="DE993" s="1114"/>
      <c r="DF993" s="1114"/>
      <c r="DG993" s="1114"/>
      <c r="DH993" s="1114"/>
      <c r="DI993" s="1114"/>
      <c r="DJ993" s="1114"/>
      <c r="DK993" s="1114"/>
      <c r="DL993" s="1114"/>
      <c r="DM993" s="1114"/>
      <c r="DN993" s="1114"/>
      <c r="DO993" s="1114"/>
      <c r="DP993" s="1114"/>
      <c r="DQ993" s="1114"/>
      <c r="DR993" s="1114"/>
      <c r="DS993" s="1114"/>
      <c r="DT993" s="1114"/>
      <c r="DU993" s="1114"/>
      <c r="DV993" s="1115"/>
      <c r="DW993" s="1116"/>
      <c r="DX993" s="1116"/>
      <c r="DY993" s="1116"/>
      <c r="DZ993" s="1116"/>
      <c r="EA993" s="1116"/>
      <c r="EB993" s="1116"/>
      <c r="EC993" s="1116"/>
      <c r="ED993" s="1116"/>
      <c r="EE993" s="1116"/>
      <c r="EF993" s="1116"/>
      <c r="EG993" s="1116"/>
      <c r="EH993" s="1116"/>
      <c r="EI993" s="1116"/>
      <c r="EJ993" s="1116"/>
      <c r="EK993" s="1116"/>
      <c r="EL993" s="1116"/>
      <c r="EM993" s="1116"/>
      <c r="EN993" s="1116"/>
      <c r="EO993" s="1116"/>
      <c r="EP993" s="1116"/>
      <c r="EQ993" s="1116"/>
      <c r="ER993" s="1116"/>
      <c r="ES993" s="1116"/>
    </row>
    <row r="994" spans="1:149" ht="15" customHeight="1">
      <c r="A994" s="1185">
        <v>984</v>
      </c>
      <c r="B994" s="1041"/>
      <c r="C994" s="1050"/>
      <c r="D994" s="1050"/>
      <c r="E994" s="1050"/>
      <c r="F994" s="1049"/>
      <c r="G994" s="1049"/>
      <c r="H994" s="1049"/>
      <c r="I994" s="1049"/>
      <c r="J994" s="1050"/>
      <c r="K994" s="1050"/>
      <c r="L994" s="1043"/>
      <c r="M994" s="1051"/>
      <c r="N994" s="1051"/>
      <c r="O994" s="1052"/>
      <c r="P994" s="1051"/>
      <c r="Q994" s="1051"/>
      <c r="R994" s="1052"/>
      <c r="S994" s="1051"/>
      <c r="T994" s="1051"/>
      <c r="U994" s="1052"/>
      <c r="V994" s="1051"/>
      <c r="W994" s="1051"/>
      <c r="X994" s="1052"/>
      <c r="Y994" s="1053"/>
      <c r="Z994" s="1051"/>
      <c r="AA994" s="1051"/>
      <c r="AB994" s="1052"/>
      <c r="AC994" s="1051"/>
      <c r="AD994" s="1051"/>
      <c r="AE994" s="1052"/>
      <c r="AF994" s="1051"/>
      <c r="AG994" s="1051"/>
      <c r="AH994" s="1051"/>
      <c r="AI994" s="1051"/>
      <c r="AJ994" s="1052"/>
      <c r="AK994" s="1051"/>
      <c r="AL994" s="1051"/>
      <c r="AM994" s="1052"/>
      <c r="AN994" s="1051"/>
      <c r="AO994" s="1051"/>
      <c r="AP994" s="1052"/>
      <c r="AQ994" s="1051"/>
      <c r="AR994" s="1051"/>
      <c r="AS994" s="1052"/>
      <c r="AT994" s="1051"/>
      <c r="AU994" s="1051"/>
      <c r="AV994" s="1052"/>
      <c r="AW994" s="1051"/>
      <c r="AX994" s="1051"/>
      <c r="AY994" s="1053"/>
      <c r="AZ994" s="1051"/>
      <c r="BA994" s="1051"/>
      <c r="BB994" s="1053"/>
      <c r="BC994" s="1051"/>
      <c r="BD994" s="1051"/>
      <c r="BE994" s="1053"/>
      <c r="BF994" s="1051"/>
      <c r="BG994" s="1051"/>
      <c r="BH994" s="1053"/>
      <c r="BI994" s="1052"/>
      <c r="BJ994" s="1052"/>
      <c r="BK994" s="1052"/>
      <c r="BL994" s="1052"/>
      <c r="BM994" s="1052"/>
      <c r="BN994" s="1054"/>
      <c r="BO994" s="1076">
        <f t="shared" si="16"/>
        <v>0</v>
      </c>
      <c r="BP994" s="1051"/>
      <c r="BQ994" s="1052"/>
      <c r="BR994" s="1054"/>
      <c r="BS994" s="1053"/>
      <c r="BT994" s="1051"/>
      <c r="BU994" s="1051"/>
      <c r="BV994" s="1051"/>
      <c r="BW994" s="1052"/>
      <c r="BX994" s="1052"/>
      <c r="BY994" s="1052"/>
      <c r="BZ994" s="1052"/>
      <c r="CA994" s="1052"/>
      <c r="CB994" s="1053"/>
      <c r="CC994" s="1053"/>
      <c r="CD994" s="1053"/>
      <c r="CE994" s="1053"/>
      <c r="CF994" s="1053"/>
      <c r="CG994" s="1053"/>
      <c r="CH994" s="1053"/>
      <c r="CI994" s="1123"/>
      <c r="CJ994" s="1123"/>
      <c r="CK994" s="1123"/>
      <c r="CL994" s="1123"/>
      <c r="CM994" s="1123"/>
      <c r="CN994" s="1123"/>
      <c r="CO994" s="1123"/>
      <c r="CP994" s="1123"/>
      <c r="CQ994" s="1123"/>
      <c r="CR994" s="1123"/>
      <c r="CS994" s="1123"/>
      <c r="CT994" s="1123"/>
      <c r="CU994" s="1123"/>
      <c r="CV994" s="1123"/>
      <c r="CW994" s="1123"/>
      <c r="CX994" s="1123"/>
      <c r="CY994" s="1123"/>
      <c r="CZ994" s="1114"/>
      <c r="DA994" s="1114"/>
      <c r="DB994" s="1114"/>
      <c r="DC994" s="1114"/>
      <c r="DD994" s="1114"/>
      <c r="DE994" s="1114"/>
      <c r="DF994" s="1114"/>
      <c r="DG994" s="1114"/>
      <c r="DH994" s="1114"/>
      <c r="DI994" s="1114"/>
      <c r="DJ994" s="1114"/>
      <c r="DK994" s="1114"/>
      <c r="DL994" s="1114"/>
      <c r="DM994" s="1114"/>
      <c r="DN994" s="1114"/>
      <c r="DO994" s="1114"/>
      <c r="DP994" s="1114"/>
      <c r="DQ994" s="1114"/>
      <c r="DR994" s="1114"/>
      <c r="DS994" s="1114"/>
      <c r="DT994" s="1114"/>
      <c r="DU994" s="1114"/>
      <c r="DV994" s="1115"/>
      <c r="DW994" s="1116"/>
      <c r="DX994" s="1116"/>
      <c r="DY994" s="1116"/>
      <c r="DZ994" s="1116"/>
      <c r="EA994" s="1116"/>
      <c r="EB994" s="1116"/>
      <c r="EC994" s="1116"/>
      <c r="ED994" s="1116"/>
      <c r="EE994" s="1116"/>
      <c r="EF994" s="1116"/>
      <c r="EG994" s="1116"/>
      <c r="EH994" s="1116"/>
      <c r="EI994" s="1116"/>
      <c r="EJ994" s="1116"/>
      <c r="EK994" s="1116"/>
      <c r="EL994" s="1116"/>
      <c r="EM994" s="1116"/>
      <c r="EN994" s="1116"/>
      <c r="EO994" s="1116"/>
      <c r="EP994" s="1116"/>
      <c r="EQ994" s="1116"/>
      <c r="ER994" s="1116"/>
      <c r="ES994" s="1116"/>
    </row>
    <row r="995" spans="1:149" ht="15" customHeight="1">
      <c r="A995" s="1185">
        <v>985</v>
      </c>
      <c r="B995" s="1041"/>
      <c r="C995" s="1050"/>
      <c r="D995" s="1050"/>
      <c r="E995" s="1050"/>
      <c r="F995" s="1049"/>
      <c r="G995" s="1049"/>
      <c r="H995" s="1049"/>
      <c r="I995" s="1049"/>
      <c r="J995" s="1050"/>
      <c r="K995" s="1050"/>
      <c r="L995" s="1043"/>
      <c r="M995" s="1051"/>
      <c r="N995" s="1051"/>
      <c r="O995" s="1052"/>
      <c r="P995" s="1051"/>
      <c r="Q995" s="1051"/>
      <c r="R995" s="1052"/>
      <c r="S995" s="1051"/>
      <c r="T995" s="1051"/>
      <c r="U995" s="1052"/>
      <c r="V995" s="1051"/>
      <c r="W995" s="1051"/>
      <c r="X995" s="1052"/>
      <c r="Y995" s="1053"/>
      <c r="Z995" s="1051"/>
      <c r="AA995" s="1051"/>
      <c r="AB995" s="1052"/>
      <c r="AC995" s="1051"/>
      <c r="AD995" s="1051"/>
      <c r="AE995" s="1052"/>
      <c r="AF995" s="1051"/>
      <c r="AG995" s="1051"/>
      <c r="AH995" s="1051"/>
      <c r="AI995" s="1051"/>
      <c r="AJ995" s="1052"/>
      <c r="AK995" s="1051"/>
      <c r="AL995" s="1051"/>
      <c r="AM995" s="1052"/>
      <c r="AN995" s="1051"/>
      <c r="AO995" s="1051"/>
      <c r="AP995" s="1052"/>
      <c r="AQ995" s="1051"/>
      <c r="AR995" s="1051"/>
      <c r="AS995" s="1052"/>
      <c r="AT995" s="1051"/>
      <c r="AU995" s="1051"/>
      <c r="AV995" s="1052"/>
      <c r="AW995" s="1051"/>
      <c r="AX995" s="1051"/>
      <c r="AY995" s="1053"/>
      <c r="AZ995" s="1051"/>
      <c r="BA995" s="1051"/>
      <c r="BB995" s="1053"/>
      <c r="BC995" s="1051"/>
      <c r="BD995" s="1051"/>
      <c r="BE995" s="1053"/>
      <c r="BF995" s="1051"/>
      <c r="BG995" s="1051"/>
      <c r="BH995" s="1053"/>
      <c r="BI995" s="1052"/>
      <c r="BJ995" s="1052"/>
      <c r="BK995" s="1052"/>
      <c r="BL995" s="1052"/>
      <c r="BM995" s="1052"/>
      <c r="BN995" s="1054"/>
      <c r="BO995" s="1076">
        <f t="shared" si="16"/>
        <v>0</v>
      </c>
      <c r="BP995" s="1051"/>
      <c r="BQ995" s="1052"/>
      <c r="BR995" s="1054"/>
      <c r="BS995" s="1053"/>
      <c r="BT995" s="1051"/>
      <c r="BU995" s="1051"/>
      <c r="BV995" s="1051"/>
      <c r="BW995" s="1052"/>
      <c r="BX995" s="1052"/>
      <c r="BY995" s="1052"/>
      <c r="BZ995" s="1052"/>
      <c r="CA995" s="1052"/>
      <c r="CB995" s="1053"/>
      <c r="CC995" s="1053"/>
      <c r="CD995" s="1053"/>
      <c r="CE995" s="1053"/>
      <c r="CF995" s="1053"/>
      <c r="CG995" s="1053"/>
      <c r="CH995" s="1053"/>
      <c r="CI995" s="1123"/>
      <c r="CJ995" s="1123"/>
      <c r="CK995" s="1123"/>
      <c r="CL995" s="1123"/>
      <c r="CM995" s="1123"/>
      <c r="CN995" s="1123"/>
      <c r="CO995" s="1123"/>
      <c r="CP995" s="1123"/>
      <c r="CQ995" s="1123"/>
      <c r="CR995" s="1123"/>
      <c r="CS995" s="1123"/>
      <c r="CT995" s="1123"/>
      <c r="CU995" s="1123"/>
      <c r="CV995" s="1123"/>
      <c r="CW995" s="1123"/>
      <c r="CX995" s="1123"/>
      <c r="CY995" s="1123"/>
      <c r="CZ995" s="1114"/>
      <c r="DA995" s="1114"/>
      <c r="DB995" s="1114"/>
      <c r="DC995" s="1114"/>
      <c r="DD995" s="1114"/>
      <c r="DE995" s="1114"/>
      <c r="DF995" s="1114"/>
      <c r="DG995" s="1114"/>
      <c r="DH995" s="1114"/>
      <c r="DI995" s="1114"/>
      <c r="DJ995" s="1114"/>
      <c r="DK995" s="1114"/>
      <c r="DL995" s="1114"/>
      <c r="DM995" s="1114"/>
      <c r="DN995" s="1114"/>
      <c r="DO995" s="1114"/>
      <c r="DP995" s="1114"/>
      <c r="DQ995" s="1114"/>
      <c r="DR995" s="1114"/>
      <c r="DS995" s="1114"/>
      <c r="DT995" s="1114"/>
      <c r="DU995" s="1114"/>
      <c r="DV995" s="1115"/>
      <c r="DW995" s="1116"/>
      <c r="DX995" s="1116"/>
      <c r="DY995" s="1116"/>
      <c r="DZ995" s="1116"/>
      <c r="EA995" s="1116"/>
      <c r="EB995" s="1116"/>
      <c r="EC995" s="1116"/>
      <c r="ED995" s="1116"/>
      <c r="EE995" s="1116"/>
      <c r="EF995" s="1116"/>
      <c r="EG995" s="1116"/>
      <c r="EH995" s="1116"/>
      <c r="EI995" s="1116"/>
      <c r="EJ995" s="1116"/>
      <c r="EK995" s="1116"/>
      <c r="EL995" s="1116"/>
      <c r="EM995" s="1116"/>
      <c r="EN995" s="1116"/>
      <c r="EO995" s="1116"/>
      <c r="EP995" s="1116"/>
      <c r="EQ995" s="1116"/>
      <c r="ER995" s="1116"/>
      <c r="ES995" s="1116"/>
    </row>
    <row r="996" spans="1:149" ht="15" customHeight="1">
      <c r="A996" s="1185">
        <v>986</v>
      </c>
      <c r="B996" s="1041"/>
      <c r="C996" s="1050"/>
      <c r="D996" s="1050"/>
      <c r="E996" s="1050"/>
      <c r="F996" s="1049"/>
      <c r="G996" s="1049"/>
      <c r="H996" s="1049"/>
      <c r="I996" s="1049"/>
      <c r="J996" s="1050"/>
      <c r="K996" s="1050"/>
      <c r="L996" s="1043"/>
      <c r="M996" s="1051"/>
      <c r="N996" s="1051"/>
      <c r="O996" s="1052"/>
      <c r="P996" s="1051"/>
      <c r="Q996" s="1051"/>
      <c r="R996" s="1052"/>
      <c r="S996" s="1051"/>
      <c r="T996" s="1051"/>
      <c r="U996" s="1052"/>
      <c r="V996" s="1051"/>
      <c r="W996" s="1051"/>
      <c r="X996" s="1052"/>
      <c r="Y996" s="1053"/>
      <c r="Z996" s="1051"/>
      <c r="AA996" s="1051"/>
      <c r="AB996" s="1052"/>
      <c r="AC996" s="1051"/>
      <c r="AD996" s="1051"/>
      <c r="AE996" s="1052"/>
      <c r="AF996" s="1051"/>
      <c r="AG996" s="1051"/>
      <c r="AH996" s="1051"/>
      <c r="AI996" s="1051"/>
      <c r="AJ996" s="1052"/>
      <c r="AK996" s="1051"/>
      <c r="AL996" s="1051"/>
      <c r="AM996" s="1052"/>
      <c r="AN996" s="1051"/>
      <c r="AO996" s="1051"/>
      <c r="AP996" s="1052"/>
      <c r="AQ996" s="1051"/>
      <c r="AR996" s="1051"/>
      <c r="AS996" s="1052"/>
      <c r="AT996" s="1051"/>
      <c r="AU996" s="1051"/>
      <c r="AV996" s="1052"/>
      <c r="AW996" s="1051"/>
      <c r="AX996" s="1051"/>
      <c r="AY996" s="1053"/>
      <c r="AZ996" s="1051"/>
      <c r="BA996" s="1051"/>
      <c r="BB996" s="1053"/>
      <c r="BC996" s="1051"/>
      <c r="BD996" s="1051"/>
      <c r="BE996" s="1053"/>
      <c r="BF996" s="1051"/>
      <c r="BG996" s="1051"/>
      <c r="BH996" s="1053"/>
      <c r="BI996" s="1052"/>
      <c r="BJ996" s="1052"/>
      <c r="BK996" s="1052"/>
      <c r="BL996" s="1052"/>
      <c r="BM996" s="1052"/>
      <c r="BN996" s="1054"/>
      <c r="BO996" s="1076">
        <f t="shared" si="16"/>
        <v>0</v>
      </c>
      <c r="BP996" s="1051"/>
      <c r="BQ996" s="1052"/>
      <c r="BR996" s="1054"/>
      <c r="BS996" s="1053"/>
      <c r="BT996" s="1051"/>
      <c r="BU996" s="1051"/>
      <c r="BV996" s="1051"/>
      <c r="BW996" s="1052"/>
      <c r="BX996" s="1052"/>
      <c r="BY996" s="1052"/>
      <c r="BZ996" s="1052"/>
      <c r="CA996" s="1052"/>
      <c r="CB996" s="1053"/>
      <c r="CC996" s="1053"/>
      <c r="CD996" s="1053"/>
      <c r="CE996" s="1053"/>
      <c r="CF996" s="1053"/>
      <c r="CG996" s="1053"/>
      <c r="CH996" s="1053"/>
      <c r="CI996" s="1123"/>
      <c r="CJ996" s="1123"/>
      <c r="CK996" s="1123"/>
      <c r="CL996" s="1123"/>
      <c r="CM996" s="1123"/>
      <c r="CN996" s="1123"/>
      <c r="CO996" s="1123"/>
      <c r="CP996" s="1123"/>
      <c r="CQ996" s="1123"/>
      <c r="CR996" s="1123"/>
      <c r="CS996" s="1123"/>
      <c r="CT996" s="1123"/>
      <c r="CU996" s="1123"/>
      <c r="CV996" s="1123"/>
      <c r="CW996" s="1123"/>
      <c r="CX996" s="1123"/>
      <c r="CY996" s="1123"/>
      <c r="CZ996" s="1114"/>
      <c r="DA996" s="1114"/>
      <c r="DB996" s="1114"/>
      <c r="DC996" s="1114"/>
      <c r="DD996" s="1114"/>
      <c r="DE996" s="1114"/>
      <c r="DF996" s="1114"/>
      <c r="DG996" s="1114"/>
      <c r="DH996" s="1114"/>
      <c r="DI996" s="1114"/>
      <c r="DJ996" s="1114"/>
      <c r="DK996" s="1114"/>
      <c r="DL996" s="1114"/>
      <c r="DM996" s="1114"/>
      <c r="DN996" s="1114"/>
      <c r="DO996" s="1114"/>
      <c r="DP996" s="1114"/>
      <c r="DQ996" s="1114"/>
      <c r="DR996" s="1114"/>
      <c r="DS996" s="1114"/>
      <c r="DT996" s="1114"/>
      <c r="DU996" s="1114"/>
      <c r="DV996" s="1115"/>
      <c r="DW996" s="1116"/>
      <c r="DX996" s="1116"/>
      <c r="DY996" s="1116"/>
      <c r="DZ996" s="1116"/>
      <c r="EA996" s="1116"/>
      <c r="EB996" s="1116"/>
      <c r="EC996" s="1116"/>
      <c r="ED996" s="1116"/>
      <c r="EE996" s="1116"/>
      <c r="EF996" s="1116"/>
      <c r="EG996" s="1116"/>
      <c r="EH996" s="1116"/>
      <c r="EI996" s="1116"/>
      <c r="EJ996" s="1116"/>
      <c r="EK996" s="1116"/>
      <c r="EL996" s="1116"/>
      <c r="EM996" s="1116"/>
      <c r="EN996" s="1116"/>
      <c r="EO996" s="1116"/>
      <c r="EP996" s="1116"/>
      <c r="EQ996" s="1116"/>
      <c r="ER996" s="1116"/>
      <c r="ES996" s="1116"/>
    </row>
    <row r="997" spans="1:149" ht="15" customHeight="1">
      <c r="A997" s="1185">
        <v>987</v>
      </c>
      <c r="B997" s="1041"/>
      <c r="C997" s="1050"/>
      <c r="D997" s="1050"/>
      <c r="E997" s="1050"/>
      <c r="F997" s="1049"/>
      <c r="G997" s="1049"/>
      <c r="H997" s="1049"/>
      <c r="I997" s="1049"/>
      <c r="J997" s="1050"/>
      <c r="K997" s="1050"/>
      <c r="L997" s="1043"/>
      <c r="M997" s="1051"/>
      <c r="N997" s="1051"/>
      <c r="O997" s="1052"/>
      <c r="P997" s="1051"/>
      <c r="Q997" s="1051"/>
      <c r="R997" s="1052"/>
      <c r="S997" s="1051"/>
      <c r="T997" s="1051"/>
      <c r="U997" s="1052"/>
      <c r="V997" s="1051"/>
      <c r="W997" s="1051"/>
      <c r="X997" s="1052"/>
      <c r="Y997" s="1053"/>
      <c r="Z997" s="1051"/>
      <c r="AA997" s="1051"/>
      <c r="AB997" s="1052"/>
      <c r="AC997" s="1051"/>
      <c r="AD997" s="1051"/>
      <c r="AE997" s="1052"/>
      <c r="AF997" s="1051"/>
      <c r="AG997" s="1051"/>
      <c r="AH997" s="1051"/>
      <c r="AI997" s="1051"/>
      <c r="AJ997" s="1052"/>
      <c r="AK997" s="1051"/>
      <c r="AL997" s="1051"/>
      <c r="AM997" s="1052"/>
      <c r="AN997" s="1051"/>
      <c r="AO997" s="1051"/>
      <c r="AP997" s="1052"/>
      <c r="AQ997" s="1051"/>
      <c r="AR997" s="1051"/>
      <c r="AS997" s="1052"/>
      <c r="AT997" s="1051"/>
      <c r="AU997" s="1051"/>
      <c r="AV997" s="1052"/>
      <c r="AW997" s="1051"/>
      <c r="AX997" s="1051"/>
      <c r="AY997" s="1053"/>
      <c r="AZ997" s="1051"/>
      <c r="BA997" s="1051"/>
      <c r="BB997" s="1053"/>
      <c r="BC997" s="1051"/>
      <c r="BD997" s="1051"/>
      <c r="BE997" s="1053"/>
      <c r="BF997" s="1051"/>
      <c r="BG997" s="1051"/>
      <c r="BH997" s="1053"/>
      <c r="BI997" s="1052"/>
      <c r="BJ997" s="1052"/>
      <c r="BK997" s="1052"/>
      <c r="BL997" s="1052"/>
      <c r="BM997" s="1052"/>
      <c r="BN997" s="1054"/>
      <c r="BO997" s="1076">
        <f t="shared" si="16"/>
        <v>0</v>
      </c>
      <c r="BP997" s="1051"/>
      <c r="BQ997" s="1052"/>
      <c r="BR997" s="1054"/>
      <c r="BS997" s="1053"/>
      <c r="BT997" s="1051"/>
      <c r="BU997" s="1051"/>
      <c r="BV997" s="1051"/>
      <c r="BW997" s="1052"/>
      <c r="BX997" s="1052"/>
      <c r="BY997" s="1052"/>
      <c r="BZ997" s="1052"/>
      <c r="CA997" s="1052"/>
      <c r="CB997" s="1053"/>
      <c r="CC997" s="1053"/>
      <c r="CD997" s="1053"/>
      <c r="CE997" s="1053"/>
      <c r="CF997" s="1053"/>
      <c r="CG997" s="1053"/>
      <c r="CH997" s="1053"/>
      <c r="CI997" s="1123"/>
      <c r="CJ997" s="1123"/>
      <c r="CK997" s="1123"/>
      <c r="CL997" s="1123"/>
      <c r="CM997" s="1123"/>
      <c r="CN997" s="1123"/>
      <c r="CO997" s="1123"/>
      <c r="CP997" s="1123"/>
      <c r="CQ997" s="1123"/>
      <c r="CR997" s="1123"/>
      <c r="CS997" s="1123"/>
      <c r="CT997" s="1123"/>
      <c r="CU997" s="1123"/>
      <c r="CV997" s="1123"/>
      <c r="CW997" s="1123"/>
      <c r="CX997" s="1123"/>
      <c r="CY997" s="1123"/>
      <c r="CZ997" s="1114"/>
      <c r="DA997" s="1114"/>
      <c r="DB997" s="1114"/>
      <c r="DC997" s="1114"/>
      <c r="DD997" s="1114"/>
      <c r="DE997" s="1114"/>
      <c r="DF997" s="1114"/>
      <c r="DG997" s="1114"/>
      <c r="DH997" s="1114"/>
      <c r="DI997" s="1114"/>
      <c r="DJ997" s="1114"/>
      <c r="DK997" s="1114"/>
      <c r="DL997" s="1114"/>
      <c r="DM997" s="1114"/>
      <c r="DN997" s="1114"/>
      <c r="DO997" s="1114"/>
      <c r="DP997" s="1114"/>
      <c r="DQ997" s="1114"/>
      <c r="DR997" s="1114"/>
      <c r="DS997" s="1114"/>
      <c r="DT997" s="1114"/>
      <c r="DU997" s="1114"/>
      <c r="DV997" s="1115"/>
      <c r="DW997" s="1116"/>
      <c r="DX997" s="1116"/>
      <c r="DY997" s="1116"/>
      <c r="DZ997" s="1116"/>
      <c r="EA997" s="1116"/>
      <c r="EB997" s="1116"/>
      <c r="EC997" s="1116"/>
      <c r="ED997" s="1116"/>
      <c r="EE997" s="1116"/>
      <c r="EF997" s="1116"/>
      <c r="EG997" s="1116"/>
      <c r="EH997" s="1116"/>
      <c r="EI997" s="1116"/>
      <c r="EJ997" s="1116"/>
      <c r="EK997" s="1116"/>
      <c r="EL997" s="1116"/>
      <c r="EM997" s="1116"/>
      <c r="EN997" s="1116"/>
      <c r="EO997" s="1116"/>
      <c r="EP997" s="1116"/>
      <c r="EQ997" s="1116"/>
      <c r="ER997" s="1116"/>
      <c r="ES997" s="1116"/>
    </row>
    <row r="998" spans="1:149" ht="15" customHeight="1">
      <c r="A998" s="1185">
        <v>988</v>
      </c>
      <c r="B998" s="1041"/>
      <c r="C998" s="1050"/>
      <c r="D998" s="1050"/>
      <c r="E998" s="1050"/>
      <c r="F998" s="1049"/>
      <c r="G998" s="1049"/>
      <c r="H998" s="1049"/>
      <c r="I998" s="1049"/>
      <c r="J998" s="1050"/>
      <c r="K998" s="1050"/>
      <c r="L998" s="1043"/>
      <c r="M998" s="1051"/>
      <c r="N998" s="1051"/>
      <c r="O998" s="1052"/>
      <c r="P998" s="1051"/>
      <c r="Q998" s="1051"/>
      <c r="R998" s="1052"/>
      <c r="S998" s="1051"/>
      <c r="T998" s="1051"/>
      <c r="U998" s="1052"/>
      <c r="V998" s="1051"/>
      <c r="W998" s="1051"/>
      <c r="X998" s="1052"/>
      <c r="Y998" s="1053"/>
      <c r="Z998" s="1051"/>
      <c r="AA998" s="1051"/>
      <c r="AB998" s="1052"/>
      <c r="AC998" s="1051"/>
      <c r="AD998" s="1051"/>
      <c r="AE998" s="1052"/>
      <c r="AF998" s="1051"/>
      <c r="AG998" s="1051"/>
      <c r="AH998" s="1051"/>
      <c r="AI998" s="1051"/>
      <c r="AJ998" s="1052"/>
      <c r="AK998" s="1051"/>
      <c r="AL998" s="1051"/>
      <c r="AM998" s="1052"/>
      <c r="AN998" s="1051"/>
      <c r="AO998" s="1051"/>
      <c r="AP998" s="1052"/>
      <c r="AQ998" s="1051"/>
      <c r="AR998" s="1051"/>
      <c r="AS998" s="1052"/>
      <c r="AT998" s="1051"/>
      <c r="AU998" s="1051"/>
      <c r="AV998" s="1052"/>
      <c r="AW998" s="1051"/>
      <c r="AX998" s="1051"/>
      <c r="AY998" s="1053"/>
      <c r="AZ998" s="1051"/>
      <c r="BA998" s="1051"/>
      <c r="BB998" s="1053"/>
      <c r="BC998" s="1051"/>
      <c r="BD998" s="1051"/>
      <c r="BE998" s="1053"/>
      <c r="BF998" s="1051"/>
      <c r="BG998" s="1051"/>
      <c r="BH998" s="1053"/>
      <c r="BI998" s="1052"/>
      <c r="BJ998" s="1052"/>
      <c r="BK998" s="1052"/>
      <c r="BL998" s="1052"/>
      <c r="BM998" s="1052"/>
      <c r="BN998" s="1054"/>
      <c r="BO998" s="1076">
        <f t="shared" si="16"/>
        <v>0</v>
      </c>
      <c r="BP998" s="1051"/>
      <c r="BQ998" s="1052"/>
      <c r="BR998" s="1054"/>
      <c r="BS998" s="1053"/>
      <c r="BT998" s="1051"/>
      <c r="BU998" s="1051"/>
      <c r="BV998" s="1051"/>
      <c r="BW998" s="1052"/>
      <c r="BX998" s="1052"/>
      <c r="BY998" s="1052"/>
      <c r="BZ998" s="1052"/>
      <c r="CA998" s="1052"/>
      <c r="CB998" s="1053"/>
      <c r="CC998" s="1053"/>
      <c r="CD998" s="1053"/>
      <c r="CE998" s="1053"/>
      <c r="CF998" s="1053"/>
      <c r="CG998" s="1053"/>
      <c r="CH998" s="1053"/>
      <c r="CI998" s="1123"/>
      <c r="CJ998" s="1123"/>
      <c r="CK998" s="1123"/>
      <c r="CL998" s="1123"/>
      <c r="CM998" s="1123"/>
      <c r="CN998" s="1123"/>
      <c r="CO998" s="1123"/>
      <c r="CP998" s="1123"/>
      <c r="CQ998" s="1123"/>
      <c r="CR998" s="1123"/>
      <c r="CS998" s="1123"/>
      <c r="CT998" s="1123"/>
      <c r="CU998" s="1123"/>
      <c r="CV998" s="1123"/>
      <c r="CW998" s="1123"/>
      <c r="CX998" s="1123"/>
      <c r="CY998" s="1123"/>
      <c r="CZ998" s="1114"/>
      <c r="DA998" s="1114"/>
      <c r="DB998" s="1114"/>
      <c r="DC998" s="1114"/>
      <c r="DD998" s="1114"/>
      <c r="DE998" s="1114"/>
      <c r="DF998" s="1114"/>
      <c r="DG998" s="1114"/>
      <c r="DH998" s="1114"/>
      <c r="DI998" s="1114"/>
      <c r="DJ998" s="1114"/>
      <c r="DK998" s="1114"/>
      <c r="DL998" s="1114"/>
      <c r="DM998" s="1114"/>
      <c r="DN998" s="1114"/>
      <c r="DO998" s="1114"/>
      <c r="DP998" s="1114"/>
      <c r="DQ998" s="1114"/>
      <c r="DR998" s="1114"/>
      <c r="DS998" s="1114"/>
      <c r="DT998" s="1114"/>
      <c r="DU998" s="1114"/>
      <c r="DV998" s="1115"/>
      <c r="DW998" s="1116"/>
      <c r="DX998" s="1116"/>
      <c r="DY998" s="1116"/>
      <c r="DZ998" s="1116"/>
      <c r="EA998" s="1116"/>
      <c r="EB998" s="1116"/>
      <c r="EC998" s="1116"/>
      <c r="ED998" s="1116"/>
      <c r="EE998" s="1116"/>
      <c r="EF998" s="1116"/>
      <c r="EG998" s="1116"/>
      <c r="EH998" s="1116"/>
      <c r="EI998" s="1116"/>
      <c r="EJ998" s="1116"/>
      <c r="EK998" s="1116"/>
      <c r="EL998" s="1116"/>
      <c r="EM998" s="1116"/>
      <c r="EN998" s="1116"/>
      <c r="EO998" s="1116"/>
      <c r="EP998" s="1116"/>
      <c r="EQ998" s="1116"/>
      <c r="ER998" s="1116"/>
      <c r="ES998" s="1116"/>
    </row>
    <row r="999" spans="1:149" ht="15" customHeight="1">
      <c r="A999" s="1185">
        <v>989</v>
      </c>
      <c r="B999" s="1041"/>
      <c r="C999" s="1050"/>
      <c r="D999" s="1050"/>
      <c r="E999" s="1050"/>
      <c r="F999" s="1049"/>
      <c r="G999" s="1049"/>
      <c r="H999" s="1049"/>
      <c r="I999" s="1049"/>
      <c r="J999" s="1050"/>
      <c r="K999" s="1050"/>
      <c r="L999" s="1043"/>
      <c r="M999" s="1051"/>
      <c r="N999" s="1051"/>
      <c r="O999" s="1052"/>
      <c r="P999" s="1051"/>
      <c r="Q999" s="1051"/>
      <c r="R999" s="1052"/>
      <c r="S999" s="1051"/>
      <c r="T999" s="1051"/>
      <c r="U999" s="1052"/>
      <c r="V999" s="1051"/>
      <c r="W999" s="1051"/>
      <c r="X999" s="1052"/>
      <c r="Y999" s="1053"/>
      <c r="Z999" s="1051"/>
      <c r="AA999" s="1051"/>
      <c r="AB999" s="1052"/>
      <c r="AC999" s="1051"/>
      <c r="AD999" s="1051"/>
      <c r="AE999" s="1052"/>
      <c r="AF999" s="1051"/>
      <c r="AG999" s="1051"/>
      <c r="AH999" s="1051"/>
      <c r="AI999" s="1051"/>
      <c r="AJ999" s="1052"/>
      <c r="AK999" s="1051"/>
      <c r="AL999" s="1051"/>
      <c r="AM999" s="1052"/>
      <c r="AN999" s="1051"/>
      <c r="AO999" s="1051"/>
      <c r="AP999" s="1052"/>
      <c r="AQ999" s="1051"/>
      <c r="AR999" s="1051"/>
      <c r="AS999" s="1052"/>
      <c r="AT999" s="1051"/>
      <c r="AU999" s="1051"/>
      <c r="AV999" s="1052"/>
      <c r="AW999" s="1051"/>
      <c r="AX999" s="1051"/>
      <c r="AY999" s="1053"/>
      <c r="AZ999" s="1051"/>
      <c r="BA999" s="1051"/>
      <c r="BB999" s="1053"/>
      <c r="BC999" s="1051"/>
      <c r="BD999" s="1051"/>
      <c r="BE999" s="1053"/>
      <c r="BF999" s="1051"/>
      <c r="BG999" s="1051"/>
      <c r="BH999" s="1053"/>
      <c r="BI999" s="1052"/>
      <c r="BJ999" s="1052"/>
      <c r="BK999" s="1052"/>
      <c r="BL999" s="1052"/>
      <c r="BM999" s="1052"/>
      <c r="BN999" s="1054"/>
      <c r="BO999" s="1076">
        <f t="shared" si="16"/>
        <v>0</v>
      </c>
      <c r="BP999" s="1051"/>
      <c r="BQ999" s="1052"/>
      <c r="BR999" s="1054"/>
      <c r="BS999" s="1053"/>
      <c r="BT999" s="1051"/>
      <c r="BU999" s="1051"/>
      <c r="BV999" s="1051"/>
      <c r="BW999" s="1052"/>
      <c r="BX999" s="1052"/>
      <c r="BY999" s="1052"/>
      <c r="BZ999" s="1052"/>
      <c r="CA999" s="1052"/>
      <c r="CB999" s="1053"/>
      <c r="CC999" s="1053"/>
      <c r="CD999" s="1053"/>
      <c r="CE999" s="1053"/>
      <c r="CF999" s="1053"/>
      <c r="CG999" s="1053"/>
      <c r="CH999" s="1053"/>
      <c r="CI999" s="1123"/>
      <c r="CJ999" s="1123"/>
      <c r="CK999" s="1123"/>
      <c r="CL999" s="1123"/>
      <c r="CM999" s="1123"/>
      <c r="CN999" s="1123"/>
      <c r="CO999" s="1123"/>
      <c r="CP999" s="1123"/>
      <c r="CQ999" s="1123"/>
      <c r="CR999" s="1123"/>
      <c r="CS999" s="1123"/>
      <c r="CT999" s="1123"/>
      <c r="CU999" s="1123"/>
      <c r="CV999" s="1123"/>
      <c r="CW999" s="1123"/>
      <c r="CX999" s="1123"/>
      <c r="CY999" s="1123"/>
      <c r="CZ999" s="1114"/>
      <c r="DA999" s="1114"/>
      <c r="DB999" s="1114"/>
      <c r="DC999" s="1114"/>
      <c r="DD999" s="1114"/>
      <c r="DE999" s="1114"/>
      <c r="DF999" s="1114"/>
      <c r="DG999" s="1114"/>
      <c r="DH999" s="1114"/>
      <c r="DI999" s="1114"/>
      <c r="DJ999" s="1114"/>
      <c r="DK999" s="1114"/>
      <c r="DL999" s="1114"/>
      <c r="DM999" s="1114"/>
      <c r="DN999" s="1114"/>
      <c r="DO999" s="1114"/>
      <c r="DP999" s="1114"/>
      <c r="DQ999" s="1114"/>
      <c r="DR999" s="1114"/>
      <c r="DS999" s="1114"/>
      <c r="DT999" s="1114"/>
      <c r="DU999" s="1114"/>
      <c r="DV999" s="1115"/>
      <c r="DW999" s="1116"/>
      <c r="DX999" s="1116"/>
      <c r="DY999" s="1116"/>
      <c r="DZ999" s="1116"/>
      <c r="EA999" s="1116"/>
      <c r="EB999" s="1116"/>
      <c r="EC999" s="1116"/>
      <c r="ED999" s="1116"/>
      <c r="EE999" s="1116"/>
      <c r="EF999" s="1116"/>
      <c r="EG999" s="1116"/>
      <c r="EH999" s="1116"/>
      <c r="EI999" s="1116"/>
      <c r="EJ999" s="1116"/>
      <c r="EK999" s="1116"/>
      <c r="EL999" s="1116"/>
      <c r="EM999" s="1116"/>
      <c r="EN999" s="1116"/>
      <c r="EO999" s="1116"/>
      <c r="EP999" s="1116"/>
      <c r="EQ999" s="1116"/>
      <c r="ER999" s="1116"/>
      <c r="ES999" s="1116"/>
    </row>
    <row r="1000" spans="1:149" ht="15" customHeight="1">
      <c r="A1000" s="1185">
        <v>990</v>
      </c>
      <c r="B1000" s="1041"/>
      <c r="C1000" s="1050"/>
      <c r="D1000" s="1050"/>
      <c r="E1000" s="1050"/>
      <c r="F1000" s="1049"/>
      <c r="G1000" s="1049"/>
      <c r="H1000" s="1049"/>
      <c r="I1000" s="1049"/>
      <c r="J1000" s="1050"/>
      <c r="K1000" s="1050"/>
      <c r="L1000" s="1043"/>
      <c r="M1000" s="1051"/>
      <c r="N1000" s="1051"/>
      <c r="O1000" s="1052"/>
      <c r="P1000" s="1051"/>
      <c r="Q1000" s="1051"/>
      <c r="R1000" s="1052"/>
      <c r="S1000" s="1051"/>
      <c r="T1000" s="1051"/>
      <c r="U1000" s="1052"/>
      <c r="V1000" s="1051"/>
      <c r="W1000" s="1051"/>
      <c r="X1000" s="1052"/>
      <c r="Y1000" s="1053"/>
      <c r="Z1000" s="1051"/>
      <c r="AA1000" s="1051"/>
      <c r="AB1000" s="1052"/>
      <c r="AC1000" s="1051"/>
      <c r="AD1000" s="1051"/>
      <c r="AE1000" s="1052"/>
      <c r="AF1000" s="1051"/>
      <c r="AG1000" s="1051"/>
      <c r="AH1000" s="1051"/>
      <c r="AI1000" s="1051"/>
      <c r="AJ1000" s="1052"/>
      <c r="AK1000" s="1051"/>
      <c r="AL1000" s="1051"/>
      <c r="AM1000" s="1052"/>
      <c r="AN1000" s="1051"/>
      <c r="AO1000" s="1051"/>
      <c r="AP1000" s="1052"/>
      <c r="AQ1000" s="1051"/>
      <c r="AR1000" s="1051"/>
      <c r="AS1000" s="1052"/>
      <c r="AT1000" s="1051"/>
      <c r="AU1000" s="1051"/>
      <c r="AV1000" s="1052"/>
      <c r="AW1000" s="1051"/>
      <c r="AX1000" s="1051"/>
      <c r="AY1000" s="1053"/>
      <c r="AZ1000" s="1051"/>
      <c r="BA1000" s="1051"/>
      <c r="BB1000" s="1053"/>
      <c r="BC1000" s="1051"/>
      <c r="BD1000" s="1051"/>
      <c r="BE1000" s="1053"/>
      <c r="BF1000" s="1051"/>
      <c r="BG1000" s="1051"/>
      <c r="BH1000" s="1053"/>
      <c r="BI1000" s="1052"/>
      <c r="BJ1000" s="1052"/>
      <c r="BK1000" s="1052"/>
      <c r="BL1000" s="1052"/>
      <c r="BM1000" s="1052"/>
      <c r="BN1000" s="1054"/>
      <c r="BO1000" s="1076">
        <f t="shared" si="16"/>
        <v>0</v>
      </c>
      <c r="BP1000" s="1051"/>
      <c r="BQ1000" s="1052"/>
      <c r="BR1000" s="1054"/>
      <c r="BS1000" s="1053"/>
      <c r="BT1000" s="1051"/>
      <c r="BU1000" s="1051"/>
      <c r="BV1000" s="1051"/>
      <c r="BW1000" s="1052"/>
      <c r="BX1000" s="1052"/>
      <c r="BY1000" s="1052"/>
      <c r="BZ1000" s="1052"/>
      <c r="CA1000" s="1052"/>
      <c r="CB1000" s="1053"/>
      <c r="CC1000" s="1053"/>
      <c r="CD1000" s="1053"/>
      <c r="CE1000" s="1053"/>
      <c r="CF1000" s="1053"/>
      <c r="CG1000" s="1053"/>
      <c r="CH1000" s="1053"/>
      <c r="CI1000" s="1123"/>
      <c r="CJ1000" s="1123"/>
      <c r="CK1000" s="1123"/>
      <c r="CL1000" s="1123"/>
      <c r="CM1000" s="1123"/>
      <c r="CN1000" s="1123"/>
      <c r="CO1000" s="1123"/>
      <c r="CP1000" s="1123"/>
      <c r="CQ1000" s="1123"/>
      <c r="CR1000" s="1123"/>
      <c r="CS1000" s="1123"/>
      <c r="CT1000" s="1123"/>
      <c r="CU1000" s="1123"/>
      <c r="CV1000" s="1123"/>
      <c r="CW1000" s="1123"/>
      <c r="CX1000" s="1123"/>
      <c r="CY1000" s="1123"/>
      <c r="CZ1000" s="1114"/>
      <c r="DA1000" s="1114"/>
      <c r="DB1000" s="1114"/>
      <c r="DC1000" s="1114"/>
      <c r="DD1000" s="1114"/>
      <c r="DE1000" s="1114"/>
      <c r="DF1000" s="1114"/>
      <c r="DG1000" s="1114"/>
      <c r="DH1000" s="1114"/>
      <c r="DI1000" s="1114"/>
      <c r="DJ1000" s="1114"/>
      <c r="DK1000" s="1114"/>
      <c r="DL1000" s="1114"/>
      <c r="DM1000" s="1114"/>
      <c r="DN1000" s="1114"/>
      <c r="DO1000" s="1114"/>
      <c r="DP1000" s="1114"/>
      <c r="DQ1000" s="1114"/>
      <c r="DR1000" s="1114"/>
      <c r="DS1000" s="1114"/>
      <c r="DT1000" s="1114"/>
      <c r="DU1000" s="1114"/>
      <c r="DV1000" s="1115"/>
      <c r="DW1000" s="1116"/>
      <c r="DX1000" s="1116"/>
      <c r="DY1000" s="1116"/>
      <c r="DZ1000" s="1116"/>
      <c r="EA1000" s="1116"/>
      <c r="EB1000" s="1116"/>
      <c r="EC1000" s="1116"/>
      <c r="ED1000" s="1116"/>
      <c r="EE1000" s="1116"/>
      <c r="EF1000" s="1116"/>
      <c r="EG1000" s="1116"/>
      <c r="EH1000" s="1116"/>
      <c r="EI1000" s="1116"/>
      <c r="EJ1000" s="1116"/>
      <c r="EK1000" s="1116"/>
      <c r="EL1000" s="1116"/>
      <c r="EM1000" s="1116"/>
      <c r="EN1000" s="1116"/>
      <c r="EO1000" s="1116"/>
      <c r="EP1000" s="1116"/>
      <c r="EQ1000" s="1116"/>
      <c r="ER1000" s="1116"/>
      <c r="ES1000" s="1116"/>
    </row>
    <row r="1001" spans="1:149" ht="15" customHeight="1">
      <c r="A1001" s="1185">
        <v>991</v>
      </c>
      <c r="B1001" s="1041"/>
      <c r="C1001" s="1050"/>
      <c r="D1001" s="1050"/>
      <c r="E1001" s="1050"/>
      <c r="F1001" s="1049"/>
      <c r="G1001" s="1049"/>
      <c r="H1001" s="1049"/>
      <c r="I1001" s="1049"/>
      <c r="J1001" s="1050"/>
      <c r="K1001" s="1050"/>
      <c r="L1001" s="1043"/>
      <c r="M1001" s="1051"/>
      <c r="N1001" s="1051"/>
      <c r="O1001" s="1052"/>
      <c r="P1001" s="1051"/>
      <c r="Q1001" s="1051"/>
      <c r="R1001" s="1052"/>
      <c r="S1001" s="1051"/>
      <c r="T1001" s="1051"/>
      <c r="U1001" s="1052"/>
      <c r="V1001" s="1051"/>
      <c r="W1001" s="1051"/>
      <c r="X1001" s="1052"/>
      <c r="Y1001" s="1053"/>
      <c r="Z1001" s="1051"/>
      <c r="AA1001" s="1051"/>
      <c r="AB1001" s="1052"/>
      <c r="AC1001" s="1051"/>
      <c r="AD1001" s="1051"/>
      <c r="AE1001" s="1052"/>
      <c r="AF1001" s="1051"/>
      <c r="AG1001" s="1051"/>
      <c r="AH1001" s="1051"/>
      <c r="AI1001" s="1051"/>
      <c r="AJ1001" s="1052"/>
      <c r="AK1001" s="1051"/>
      <c r="AL1001" s="1051"/>
      <c r="AM1001" s="1052"/>
      <c r="AN1001" s="1051"/>
      <c r="AO1001" s="1051"/>
      <c r="AP1001" s="1052"/>
      <c r="AQ1001" s="1051"/>
      <c r="AR1001" s="1051"/>
      <c r="AS1001" s="1052"/>
      <c r="AT1001" s="1051"/>
      <c r="AU1001" s="1051"/>
      <c r="AV1001" s="1052"/>
      <c r="AW1001" s="1051"/>
      <c r="AX1001" s="1051"/>
      <c r="AY1001" s="1053"/>
      <c r="AZ1001" s="1051"/>
      <c r="BA1001" s="1051"/>
      <c r="BB1001" s="1053"/>
      <c r="BC1001" s="1051"/>
      <c r="BD1001" s="1051"/>
      <c r="BE1001" s="1053"/>
      <c r="BF1001" s="1051"/>
      <c r="BG1001" s="1051"/>
      <c r="BH1001" s="1053"/>
      <c r="BI1001" s="1052"/>
      <c r="BJ1001" s="1052"/>
      <c r="BK1001" s="1052"/>
      <c r="BL1001" s="1052"/>
      <c r="BM1001" s="1052"/>
      <c r="BN1001" s="1054"/>
      <c r="BO1001" s="1076">
        <f t="shared" si="16"/>
        <v>0</v>
      </c>
      <c r="BP1001" s="1051"/>
      <c r="BQ1001" s="1052"/>
      <c r="BR1001" s="1054"/>
      <c r="BS1001" s="1053"/>
      <c r="BT1001" s="1051"/>
      <c r="BU1001" s="1051"/>
      <c r="BV1001" s="1051"/>
      <c r="BW1001" s="1052"/>
      <c r="BX1001" s="1052"/>
      <c r="BY1001" s="1052"/>
      <c r="BZ1001" s="1052"/>
      <c r="CA1001" s="1052"/>
      <c r="CB1001" s="1053"/>
      <c r="CC1001" s="1053"/>
      <c r="CD1001" s="1053"/>
      <c r="CE1001" s="1053"/>
      <c r="CF1001" s="1053"/>
      <c r="CG1001" s="1053"/>
      <c r="CH1001" s="1053"/>
      <c r="CI1001" s="1123"/>
      <c r="CJ1001" s="1123"/>
      <c r="CK1001" s="1123"/>
      <c r="CL1001" s="1123"/>
      <c r="CM1001" s="1123"/>
      <c r="CN1001" s="1123"/>
      <c r="CO1001" s="1123"/>
      <c r="CP1001" s="1123"/>
      <c r="CQ1001" s="1123"/>
      <c r="CR1001" s="1123"/>
      <c r="CS1001" s="1123"/>
      <c r="CT1001" s="1123"/>
      <c r="CU1001" s="1123"/>
      <c r="CV1001" s="1123"/>
      <c r="CW1001" s="1123"/>
      <c r="CX1001" s="1123"/>
      <c r="CY1001" s="1123"/>
      <c r="CZ1001" s="1114"/>
      <c r="DA1001" s="1114"/>
      <c r="DB1001" s="1114"/>
      <c r="DC1001" s="1114"/>
      <c r="DD1001" s="1114"/>
      <c r="DE1001" s="1114"/>
      <c r="DF1001" s="1114"/>
      <c r="DG1001" s="1114"/>
      <c r="DH1001" s="1114"/>
      <c r="DI1001" s="1114"/>
      <c r="DJ1001" s="1114"/>
      <c r="DK1001" s="1114"/>
      <c r="DL1001" s="1114"/>
      <c r="DM1001" s="1114"/>
      <c r="DN1001" s="1114"/>
      <c r="DO1001" s="1114"/>
      <c r="DP1001" s="1114"/>
      <c r="DQ1001" s="1114"/>
      <c r="DR1001" s="1114"/>
      <c r="DS1001" s="1114"/>
      <c r="DT1001" s="1114"/>
      <c r="DU1001" s="1114"/>
      <c r="DV1001" s="1115"/>
      <c r="DW1001" s="1116"/>
      <c r="DX1001" s="1116"/>
      <c r="DY1001" s="1116"/>
      <c r="DZ1001" s="1116"/>
      <c r="EA1001" s="1116"/>
      <c r="EB1001" s="1116"/>
      <c r="EC1001" s="1116"/>
      <c r="ED1001" s="1116"/>
      <c r="EE1001" s="1116"/>
      <c r="EF1001" s="1116"/>
      <c r="EG1001" s="1116"/>
      <c r="EH1001" s="1116"/>
      <c r="EI1001" s="1116"/>
      <c r="EJ1001" s="1116"/>
      <c r="EK1001" s="1116"/>
      <c r="EL1001" s="1116"/>
      <c r="EM1001" s="1116"/>
      <c r="EN1001" s="1116"/>
      <c r="EO1001" s="1116"/>
      <c r="EP1001" s="1116"/>
      <c r="EQ1001" s="1116"/>
      <c r="ER1001" s="1116"/>
      <c r="ES1001" s="1116"/>
    </row>
    <row r="1002" spans="1:149" ht="15" customHeight="1">
      <c r="A1002" s="1185">
        <v>992</v>
      </c>
      <c r="B1002" s="1041"/>
      <c r="C1002" s="1050"/>
      <c r="D1002" s="1050"/>
      <c r="E1002" s="1050"/>
      <c r="F1002" s="1049"/>
      <c r="G1002" s="1049"/>
      <c r="H1002" s="1049"/>
      <c r="I1002" s="1049"/>
      <c r="J1002" s="1050"/>
      <c r="K1002" s="1050"/>
      <c r="L1002" s="1043"/>
      <c r="M1002" s="1051"/>
      <c r="N1002" s="1051"/>
      <c r="O1002" s="1052"/>
      <c r="P1002" s="1051"/>
      <c r="Q1002" s="1051"/>
      <c r="R1002" s="1052"/>
      <c r="S1002" s="1051"/>
      <c r="T1002" s="1051"/>
      <c r="U1002" s="1052"/>
      <c r="V1002" s="1051"/>
      <c r="W1002" s="1051"/>
      <c r="X1002" s="1052"/>
      <c r="Y1002" s="1053"/>
      <c r="Z1002" s="1051"/>
      <c r="AA1002" s="1051"/>
      <c r="AB1002" s="1052"/>
      <c r="AC1002" s="1051"/>
      <c r="AD1002" s="1051"/>
      <c r="AE1002" s="1052"/>
      <c r="AF1002" s="1051"/>
      <c r="AG1002" s="1051"/>
      <c r="AH1002" s="1051"/>
      <c r="AI1002" s="1051"/>
      <c r="AJ1002" s="1052"/>
      <c r="AK1002" s="1051"/>
      <c r="AL1002" s="1051"/>
      <c r="AM1002" s="1052"/>
      <c r="AN1002" s="1051"/>
      <c r="AO1002" s="1051"/>
      <c r="AP1002" s="1052"/>
      <c r="AQ1002" s="1051"/>
      <c r="AR1002" s="1051"/>
      <c r="AS1002" s="1052"/>
      <c r="AT1002" s="1051"/>
      <c r="AU1002" s="1051"/>
      <c r="AV1002" s="1052"/>
      <c r="AW1002" s="1051"/>
      <c r="AX1002" s="1051"/>
      <c r="AY1002" s="1053"/>
      <c r="AZ1002" s="1051"/>
      <c r="BA1002" s="1051"/>
      <c r="BB1002" s="1053"/>
      <c r="BC1002" s="1051"/>
      <c r="BD1002" s="1051"/>
      <c r="BE1002" s="1053"/>
      <c r="BF1002" s="1051"/>
      <c r="BG1002" s="1051"/>
      <c r="BH1002" s="1053"/>
      <c r="BI1002" s="1052"/>
      <c r="BJ1002" s="1052"/>
      <c r="BK1002" s="1052"/>
      <c r="BL1002" s="1052"/>
      <c r="BM1002" s="1052"/>
      <c r="BN1002" s="1054"/>
      <c r="BO1002" s="1076">
        <f t="shared" si="16"/>
        <v>0</v>
      </c>
      <c r="BP1002" s="1051"/>
      <c r="BQ1002" s="1052"/>
      <c r="BR1002" s="1054"/>
      <c r="BS1002" s="1053"/>
      <c r="BT1002" s="1051"/>
      <c r="BU1002" s="1051"/>
      <c r="BV1002" s="1051"/>
      <c r="BW1002" s="1052"/>
      <c r="BX1002" s="1052"/>
      <c r="BY1002" s="1052"/>
      <c r="BZ1002" s="1052"/>
      <c r="CA1002" s="1052"/>
      <c r="CB1002" s="1053"/>
      <c r="CC1002" s="1053"/>
      <c r="CD1002" s="1053"/>
      <c r="CE1002" s="1053"/>
      <c r="CF1002" s="1053"/>
      <c r="CG1002" s="1053"/>
      <c r="CH1002" s="1053"/>
      <c r="CI1002" s="1123"/>
      <c r="CJ1002" s="1123"/>
      <c r="CK1002" s="1123"/>
      <c r="CL1002" s="1123"/>
      <c r="CM1002" s="1123"/>
      <c r="CN1002" s="1123"/>
      <c r="CO1002" s="1123"/>
      <c r="CP1002" s="1123"/>
      <c r="CQ1002" s="1123"/>
      <c r="CR1002" s="1123"/>
      <c r="CS1002" s="1123"/>
      <c r="CT1002" s="1123"/>
      <c r="CU1002" s="1123"/>
      <c r="CV1002" s="1123"/>
      <c r="CW1002" s="1123"/>
      <c r="CX1002" s="1123"/>
      <c r="CY1002" s="1123"/>
      <c r="CZ1002" s="1114"/>
      <c r="DA1002" s="1114"/>
      <c r="DB1002" s="1114"/>
      <c r="DC1002" s="1114"/>
      <c r="DD1002" s="1114"/>
      <c r="DE1002" s="1114"/>
      <c r="DF1002" s="1114"/>
      <c r="DG1002" s="1114"/>
      <c r="DH1002" s="1114"/>
      <c r="DI1002" s="1114"/>
      <c r="DJ1002" s="1114"/>
      <c r="DK1002" s="1114"/>
      <c r="DL1002" s="1114"/>
      <c r="DM1002" s="1114"/>
      <c r="DN1002" s="1114"/>
      <c r="DO1002" s="1114"/>
      <c r="DP1002" s="1114"/>
      <c r="DQ1002" s="1114"/>
      <c r="DR1002" s="1114"/>
      <c r="DS1002" s="1114"/>
      <c r="DT1002" s="1114"/>
      <c r="DU1002" s="1114"/>
      <c r="DV1002" s="1115"/>
      <c r="DW1002" s="1116"/>
      <c r="DX1002" s="1116"/>
      <c r="DY1002" s="1116"/>
      <c r="DZ1002" s="1116"/>
      <c r="EA1002" s="1116"/>
      <c r="EB1002" s="1116"/>
      <c r="EC1002" s="1116"/>
      <c r="ED1002" s="1116"/>
      <c r="EE1002" s="1116"/>
      <c r="EF1002" s="1116"/>
      <c r="EG1002" s="1116"/>
      <c r="EH1002" s="1116"/>
      <c r="EI1002" s="1116"/>
      <c r="EJ1002" s="1116"/>
      <c r="EK1002" s="1116"/>
      <c r="EL1002" s="1116"/>
      <c r="EM1002" s="1116"/>
      <c r="EN1002" s="1116"/>
      <c r="EO1002" s="1116"/>
      <c r="EP1002" s="1116"/>
      <c r="EQ1002" s="1116"/>
      <c r="ER1002" s="1116"/>
      <c r="ES1002" s="1116"/>
    </row>
    <row r="1003" spans="1:149" ht="15" customHeight="1">
      <c r="A1003" s="1185">
        <v>993</v>
      </c>
      <c r="B1003" s="1041"/>
      <c r="C1003" s="1050"/>
      <c r="D1003" s="1050"/>
      <c r="E1003" s="1050"/>
      <c r="F1003" s="1049"/>
      <c r="G1003" s="1049"/>
      <c r="H1003" s="1049"/>
      <c r="I1003" s="1049"/>
      <c r="J1003" s="1050"/>
      <c r="K1003" s="1050"/>
      <c r="L1003" s="1043"/>
      <c r="M1003" s="1051"/>
      <c r="N1003" s="1051"/>
      <c r="O1003" s="1052"/>
      <c r="P1003" s="1051"/>
      <c r="Q1003" s="1051"/>
      <c r="R1003" s="1052"/>
      <c r="S1003" s="1051"/>
      <c r="T1003" s="1051"/>
      <c r="U1003" s="1052"/>
      <c r="V1003" s="1051"/>
      <c r="W1003" s="1051"/>
      <c r="X1003" s="1052"/>
      <c r="Y1003" s="1053"/>
      <c r="Z1003" s="1051"/>
      <c r="AA1003" s="1051"/>
      <c r="AB1003" s="1052"/>
      <c r="AC1003" s="1051"/>
      <c r="AD1003" s="1051"/>
      <c r="AE1003" s="1052"/>
      <c r="AF1003" s="1051"/>
      <c r="AG1003" s="1051"/>
      <c r="AH1003" s="1051"/>
      <c r="AI1003" s="1051"/>
      <c r="AJ1003" s="1052"/>
      <c r="AK1003" s="1051"/>
      <c r="AL1003" s="1051"/>
      <c r="AM1003" s="1052"/>
      <c r="AN1003" s="1051"/>
      <c r="AO1003" s="1051"/>
      <c r="AP1003" s="1052"/>
      <c r="AQ1003" s="1051"/>
      <c r="AR1003" s="1051"/>
      <c r="AS1003" s="1052"/>
      <c r="AT1003" s="1051"/>
      <c r="AU1003" s="1051"/>
      <c r="AV1003" s="1052"/>
      <c r="AW1003" s="1051"/>
      <c r="AX1003" s="1051"/>
      <c r="AY1003" s="1053"/>
      <c r="AZ1003" s="1051"/>
      <c r="BA1003" s="1051"/>
      <c r="BB1003" s="1053"/>
      <c r="BC1003" s="1051"/>
      <c r="BD1003" s="1051"/>
      <c r="BE1003" s="1053"/>
      <c r="BF1003" s="1051"/>
      <c r="BG1003" s="1051"/>
      <c r="BH1003" s="1053"/>
      <c r="BI1003" s="1052"/>
      <c r="BJ1003" s="1052"/>
      <c r="BK1003" s="1052"/>
      <c r="BL1003" s="1052"/>
      <c r="BM1003" s="1052"/>
      <c r="BN1003" s="1054"/>
      <c r="BO1003" s="1076">
        <f t="shared" si="16"/>
        <v>0</v>
      </c>
      <c r="BP1003" s="1051"/>
      <c r="BQ1003" s="1052"/>
      <c r="BR1003" s="1054"/>
      <c r="BS1003" s="1053"/>
      <c r="BT1003" s="1051"/>
      <c r="BU1003" s="1051"/>
      <c r="BV1003" s="1051"/>
      <c r="BW1003" s="1052"/>
      <c r="BX1003" s="1052"/>
      <c r="BY1003" s="1052"/>
      <c r="BZ1003" s="1052"/>
      <c r="CA1003" s="1052"/>
      <c r="CB1003" s="1053"/>
      <c r="CC1003" s="1053"/>
      <c r="CD1003" s="1053"/>
      <c r="CE1003" s="1053"/>
      <c r="CF1003" s="1053"/>
      <c r="CG1003" s="1053"/>
      <c r="CH1003" s="1053"/>
      <c r="CI1003" s="1123"/>
      <c r="CJ1003" s="1123"/>
      <c r="CK1003" s="1123"/>
      <c r="CL1003" s="1123"/>
      <c r="CM1003" s="1123"/>
      <c r="CN1003" s="1123"/>
      <c r="CO1003" s="1123"/>
      <c r="CP1003" s="1123"/>
      <c r="CQ1003" s="1123"/>
      <c r="CR1003" s="1123"/>
      <c r="CS1003" s="1123"/>
      <c r="CT1003" s="1123"/>
      <c r="CU1003" s="1123"/>
      <c r="CV1003" s="1123"/>
      <c r="CW1003" s="1123"/>
      <c r="CX1003" s="1123"/>
      <c r="CY1003" s="1123"/>
      <c r="CZ1003" s="1114"/>
      <c r="DA1003" s="1114"/>
      <c r="DB1003" s="1114"/>
      <c r="DC1003" s="1114"/>
      <c r="DD1003" s="1114"/>
      <c r="DE1003" s="1114"/>
      <c r="DF1003" s="1114"/>
      <c r="DG1003" s="1114"/>
      <c r="DH1003" s="1114"/>
      <c r="DI1003" s="1114"/>
      <c r="DJ1003" s="1114"/>
      <c r="DK1003" s="1114"/>
      <c r="DL1003" s="1114"/>
      <c r="DM1003" s="1114"/>
      <c r="DN1003" s="1114"/>
      <c r="DO1003" s="1114"/>
      <c r="DP1003" s="1114"/>
      <c r="DQ1003" s="1114"/>
      <c r="DR1003" s="1114"/>
      <c r="DS1003" s="1114"/>
      <c r="DT1003" s="1114"/>
      <c r="DU1003" s="1114"/>
      <c r="DV1003" s="1115"/>
      <c r="DW1003" s="1116"/>
      <c r="DX1003" s="1116"/>
      <c r="DY1003" s="1116"/>
      <c r="DZ1003" s="1116"/>
      <c r="EA1003" s="1116"/>
      <c r="EB1003" s="1116"/>
      <c r="EC1003" s="1116"/>
      <c r="ED1003" s="1116"/>
      <c r="EE1003" s="1116"/>
      <c r="EF1003" s="1116"/>
      <c r="EG1003" s="1116"/>
      <c r="EH1003" s="1116"/>
      <c r="EI1003" s="1116"/>
      <c r="EJ1003" s="1116"/>
      <c r="EK1003" s="1116"/>
      <c r="EL1003" s="1116"/>
      <c r="EM1003" s="1116"/>
      <c r="EN1003" s="1116"/>
      <c r="EO1003" s="1116"/>
      <c r="EP1003" s="1116"/>
      <c r="EQ1003" s="1116"/>
      <c r="ER1003" s="1116"/>
      <c r="ES1003" s="1116"/>
    </row>
    <row r="1004" spans="1:149" ht="15" customHeight="1">
      <c r="A1004" s="1185">
        <v>994</v>
      </c>
      <c r="B1004" s="1041"/>
      <c r="C1004" s="1050"/>
      <c r="D1004" s="1050"/>
      <c r="E1004" s="1050"/>
      <c r="F1004" s="1049"/>
      <c r="G1004" s="1049"/>
      <c r="H1004" s="1049"/>
      <c r="I1004" s="1049"/>
      <c r="J1004" s="1050"/>
      <c r="K1004" s="1050"/>
      <c r="L1004" s="1043"/>
      <c r="M1004" s="1051"/>
      <c r="N1004" s="1051"/>
      <c r="O1004" s="1052"/>
      <c r="P1004" s="1051"/>
      <c r="Q1004" s="1051"/>
      <c r="R1004" s="1052"/>
      <c r="S1004" s="1051"/>
      <c r="T1004" s="1051"/>
      <c r="U1004" s="1052"/>
      <c r="V1004" s="1051"/>
      <c r="W1004" s="1051"/>
      <c r="X1004" s="1052"/>
      <c r="Y1004" s="1053"/>
      <c r="Z1004" s="1051"/>
      <c r="AA1004" s="1051"/>
      <c r="AB1004" s="1052"/>
      <c r="AC1004" s="1051"/>
      <c r="AD1004" s="1051"/>
      <c r="AE1004" s="1052"/>
      <c r="AF1004" s="1051"/>
      <c r="AG1004" s="1051"/>
      <c r="AH1004" s="1051"/>
      <c r="AI1004" s="1051"/>
      <c r="AJ1004" s="1052"/>
      <c r="AK1004" s="1051"/>
      <c r="AL1004" s="1051"/>
      <c r="AM1004" s="1052"/>
      <c r="AN1004" s="1051"/>
      <c r="AO1004" s="1051"/>
      <c r="AP1004" s="1052"/>
      <c r="AQ1004" s="1051"/>
      <c r="AR1004" s="1051"/>
      <c r="AS1004" s="1052"/>
      <c r="AT1004" s="1051"/>
      <c r="AU1004" s="1051"/>
      <c r="AV1004" s="1052"/>
      <c r="AW1004" s="1051"/>
      <c r="AX1004" s="1051"/>
      <c r="AY1004" s="1053"/>
      <c r="AZ1004" s="1051"/>
      <c r="BA1004" s="1051"/>
      <c r="BB1004" s="1053"/>
      <c r="BC1004" s="1051"/>
      <c r="BD1004" s="1051"/>
      <c r="BE1004" s="1053"/>
      <c r="BF1004" s="1051"/>
      <c r="BG1004" s="1051"/>
      <c r="BH1004" s="1053"/>
      <c r="BI1004" s="1052"/>
      <c r="BJ1004" s="1052"/>
      <c r="BK1004" s="1052"/>
      <c r="BL1004" s="1052"/>
      <c r="BM1004" s="1052"/>
      <c r="BN1004" s="1054"/>
      <c r="BO1004" s="1076">
        <f t="shared" si="16"/>
        <v>0</v>
      </c>
      <c r="BP1004" s="1051"/>
      <c r="BQ1004" s="1052"/>
      <c r="BR1004" s="1054"/>
      <c r="BS1004" s="1053"/>
      <c r="BT1004" s="1051"/>
      <c r="BU1004" s="1051"/>
      <c r="BV1004" s="1051"/>
      <c r="BW1004" s="1052"/>
      <c r="BX1004" s="1052"/>
      <c r="BY1004" s="1052"/>
      <c r="BZ1004" s="1052"/>
      <c r="CA1004" s="1052"/>
      <c r="CB1004" s="1053"/>
      <c r="CC1004" s="1053"/>
      <c r="CD1004" s="1053"/>
      <c r="CE1004" s="1053"/>
      <c r="CF1004" s="1053"/>
      <c r="CG1004" s="1053"/>
      <c r="CH1004" s="1053"/>
      <c r="CI1004" s="1123"/>
      <c r="CJ1004" s="1123"/>
      <c r="CK1004" s="1123"/>
      <c r="CL1004" s="1123"/>
      <c r="CM1004" s="1123"/>
      <c r="CN1004" s="1123"/>
      <c r="CO1004" s="1123"/>
      <c r="CP1004" s="1123"/>
      <c r="CQ1004" s="1123"/>
      <c r="CR1004" s="1123"/>
      <c r="CS1004" s="1123"/>
      <c r="CT1004" s="1123"/>
      <c r="CU1004" s="1123"/>
      <c r="CV1004" s="1123"/>
      <c r="CW1004" s="1123"/>
      <c r="CX1004" s="1123"/>
      <c r="CY1004" s="1123"/>
      <c r="CZ1004" s="1114"/>
      <c r="DA1004" s="1114"/>
      <c r="DB1004" s="1114"/>
      <c r="DC1004" s="1114"/>
      <c r="DD1004" s="1114"/>
      <c r="DE1004" s="1114"/>
      <c r="DF1004" s="1114"/>
      <c r="DG1004" s="1114"/>
      <c r="DH1004" s="1114"/>
      <c r="DI1004" s="1114"/>
      <c r="DJ1004" s="1114"/>
      <c r="DK1004" s="1114"/>
      <c r="DL1004" s="1114"/>
      <c r="DM1004" s="1114"/>
      <c r="DN1004" s="1114"/>
      <c r="DO1004" s="1114"/>
      <c r="DP1004" s="1114"/>
      <c r="DQ1004" s="1114"/>
      <c r="DR1004" s="1114"/>
      <c r="DS1004" s="1114"/>
      <c r="DT1004" s="1114"/>
      <c r="DU1004" s="1114"/>
      <c r="DV1004" s="1115"/>
      <c r="DW1004" s="1116"/>
      <c r="DX1004" s="1116"/>
      <c r="DY1004" s="1116"/>
      <c r="DZ1004" s="1116"/>
      <c r="EA1004" s="1116"/>
      <c r="EB1004" s="1116"/>
      <c r="EC1004" s="1116"/>
      <c r="ED1004" s="1116"/>
      <c r="EE1004" s="1116"/>
      <c r="EF1004" s="1116"/>
      <c r="EG1004" s="1116"/>
      <c r="EH1004" s="1116"/>
      <c r="EI1004" s="1116"/>
      <c r="EJ1004" s="1116"/>
      <c r="EK1004" s="1116"/>
      <c r="EL1004" s="1116"/>
      <c r="EM1004" s="1116"/>
      <c r="EN1004" s="1116"/>
      <c r="EO1004" s="1116"/>
      <c r="EP1004" s="1116"/>
      <c r="EQ1004" s="1116"/>
      <c r="ER1004" s="1116"/>
      <c r="ES1004" s="1116"/>
    </row>
    <row r="1005" spans="1:149" ht="15" customHeight="1">
      <c r="A1005" s="1185">
        <v>995</v>
      </c>
      <c r="B1005" s="1041"/>
      <c r="C1005" s="1050"/>
      <c r="D1005" s="1050"/>
      <c r="E1005" s="1050"/>
      <c r="F1005" s="1049"/>
      <c r="G1005" s="1049"/>
      <c r="H1005" s="1049"/>
      <c r="I1005" s="1049"/>
      <c r="J1005" s="1050"/>
      <c r="K1005" s="1050"/>
      <c r="L1005" s="1043"/>
      <c r="M1005" s="1051"/>
      <c r="N1005" s="1051"/>
      <c r="O1005" s="1052"/>
      <c r="P1005" s="1051"/>
      <c r="Q1005" s="1051"/>
      <c r="R1005" s="1052"/>
      <c r="S1005" s="1051"/>
      <c r="T1005" s="1051"/>
      <c r="U1005" s="1052"/>
      <c r="V1005" s="1051"/>
      <c r="W1005" s="1051"/>
      <c r="X1005" s="1052"/>
      <c r="Y1005" s="1053"/>
      <c r="Z1005" s="1051"/>
      <c r="AA1005" s="1051"/>
      <c r="AB1005" s="1052"/>
      <c r="AC1005" s="1051"/>
      <c r="AD1005" s="1051"/>
      <c r="AE1005" s="1052"/>
      <c r="AF1005" s="1051"/>
      <c r="AG1005" s="1051"/>
      <c r="AH1005" s="1051"/>
      <c r="AI1005" s="1051"/>
      <c r="AJ1005" s="1052"/>
      <c r="AK1005" s="1051"/>
      <c r="AL1005" s="1051"/>
      <c r="AM1005" s="1052"/>
      <c r="AN1005" s="1051"/>
      <c r="AO1005" s="1051"/>
      <c r="AP1005" s="1052"/>
      <c r="AQ1005" s="1051"/>
      <c r="AR1005" s="1051"/>
      <c r="AS1005" s="1052"/>
      <c r="AT1005" s="1051"/>
      <c r="AU1005" s="1051"/>
      <c r="AV1005" s="1052"/>
      <c r="AW1005" s="1051"/>
      <c r="AX1005" s="1051"/>
      <c r="AY1005" s="1053"/>
      <c r="AZ1005" s="1051"/>
      <c r="BA1005" s="1051"/>
      <c r="BB1005" s="1053"/>
      <c r="BC1005" s="1051"/>
      <c r="BD1005" s="1051"/>
      <c r="BE1005" s="1053"/>
      <c r="BF1005" s="1051"/>
      <c r="BG1005" s="1051"/>
      <c r="BH1005" s="1053"/>
      <c r="BI1005" s="1052"/>
      <c r="BJ1005" s="1052"/>
      <c r="BK1005" s="1052"/>
      <c r="BL1005" s="1052"/>
      <c r="BM1005" s="1052"/>
      <c r="BN1005" s="1054"/>
      <c r="BO1005" s="1076">
        <f t="shared" si="16"/>
        <v>0</v>
      </c>
      <c r="BP1005" s="1051"/>
      <c r="BQ1005" s="1052"/>
      <c r="BR1005" s="1054"/>
      <c r="BS1005" s="1053"/>
      <c r="BT1005" s="1051"/>
      <c r="BU1005" s="1051"/>
      <c r="BV1005" s="1051"/>
      <c r="BW1005" s="1052"/>
      <c r="BX1005" s="1052"/>
      <c r="BY1005" s="1052"/>
      <c r="BZ1005" s="1052"/>
      <c r="CA1005" s="1052"/>
      <c r="CB1005" s="1053"/>
      <c r="CC1005" s="1053"/>
      <c r="CD1005" s="1053"/>
      <c r="CE1005" s="1053"/>
      <c r="CF1005" s="1053"/>
      <c r="CG1005" s="1053"/>
      <c r="CH1005" s="1053"/>
      <c r="CI1005" s="1123"/>
      <c r="CJ1005" s="1123"/>
      <c r="CK1005" s="1123"/>
      <c r="CL1005" s="1123"/>
      <c r="CM1005" s="1123"/>
      <c r="CN1005" s="1123"/>
      <c r="CO1005" s="1123"/>
      <c r="CP1005" s="1123"/>
      <c r="CQ1005" s="1123"/>
      <c r="CR1005" s="1123"/>
      <c r="CS1005" s="1123"/>
      <c r="CT1005" s="1123"/>
      <c r="CU1005" s="1123"/>
      <c r="CV1005" s="1123"/>
      <c r="CW1005" s="1123"/>
      <c r="CX1005" s="1123"/>
      <c r="CY1005" s="1123"/>
      <c r="CZ1005" s="1114"/>
      <c r="DA1005" s="1114"/>
      <c r="DB1005" s="1114"/>
      <c r="DC1005" s="1114"/>
      <c r="DD1005" s="1114"/>
      <c r="DE1005" s="1114"/>
      <c r="DF1005" s="1114"/>
      <c r="DG1005" s="1114"/>
      <c r="DH1005" s="1114"/>
      <c r="DI1005" s="1114"/>
      <c r="DJ1005" s="1114"/>
      <c r="DK1005" s="1114"/>
      <c r="DL1005" s="1114"/>
      <c r="DM1005" s="1114"/>
      <c r="DN1005" s="1114"/>
      <c r="DO1005" s="1114"/>
      <c r="DP1005" s="1114"/>
      <c r="DQ1005" s="1114"/>
      <c r="DR1005" s="1114"/>
      <c r="DS1005" s="1114"/>
      <c r="DT1005" s="1114"/>
      <c r="DU1005" s="1114"/>
      <c r="DV1005" s="1115"/>
      <c r="DW1005" s="1116"/>
      <c r="DX1005" s="1116"/>
      <c r="DY1005" s="1116"/>
      <c r="DZ1005" s="1116"/>
      <c r="EA1005" s="1116"/>
      <c r="EB1005" s="1116"/>
      <c r="EC1005" s="1116"/>
      <c r="ED1005" s="1116"/>
      <c r="EE1005" s="1116"/>
      <c r="EF1005" s="1116"/>
      <c r="EG1005" s="1116"/>
      <c r="EH1005" s="1116"/>
      <c r="EI1005" s="1116"/>
      <c r="EJ1005" s="1116"/>
      <c r="EK1005" s="1116"/>
      <c r="EL1005" s="1116"/>
      <c r="EM1005" s="1116"/>
      <c r="EN1005" s="1116"/>
      <c r="EO1005" s="1116"/>
      <c r="EP1005" s="1116"/>
      <c r="EQ1005" s="1116"/>
      <c r="ER1005" s="1116"/>
      <c r="ES1005" s="1116"/>
    </row>
    <row r="1006" spans="1:149" ht="15" customHeight="1">
      <c r="A1006" s="1185">
        <v>996</v>
      </c>
      <c r="B1006" s="1041"/>
      <c r="C1006" s="1050"/>
      <c r="D1006" s="1050"/>
      <c r="E1006" s="1050"/>
      <c r="F1006" s="1049"/>
      <c r="G1006" s="1049"/>
      <c r="H1006" s="1049"/>
      <c r="I1006" s="1049"/>
      <c r="J1006" s="1050"/>
      <c r="K1006" s="1050"/>
      <c r="L1006" s="1043"/>
      <c r="M1006" s="1051"/>
      <c r="N1006" s="1051"/>
      <c r="O1006" s="1052"/>
      <c r="P1006" s="1051"/>
      <c r="Q1006" s="1051"/>
      <c r="R1006" s="1052"/>
      <c r="S1006" s="1051"/>
      <c r="T1006" s="1051"/>
      <c r="U1006" s="1052"/>
      <c r="V1006" s="1051"/>
      <c r="W1006" s="1051"/>
      <c r="X1006" s="1052"/>
      <c r="Y1006" s="1053"/>
      <c r="Z1006" s="1051"/>
      <c r="AA1006" s="1051"/>
      <c r="AB1006" s="1052"/>
      <c r="AC1006" s="1051"/>
      <c r="AD1006" s="1051"/>
      <c r="AE1006" s="1052"/>
      <c r="AF1006" s="1051"/>
      <c r="AG1006" s="1051"/>
      <c r="AH1006" s="1051"/>
      <c r="AI1006" s="1051"/>
      <c r="AJ1006" s="1052"/>
      <c r="AK1006" s="1051"/>
      <c r="AL1006" s="1051"/>
      <c r="AM1006" s="1052"/>
      <c r="AN1006" s="1051"/>
      <c r="AO1006" s="1051"/>
      <c r="AP1006" s="1052"/>
      <c r="AQ1006" s="1051"/>
      <c r="AR1006" s="1051"/>
      <c r="AS1006" s="1052"/>
      <c r="AT1006" s="1051"/>
      <c r="AU1006" s="1051"/>
      <c r="AV1006" s="1052"/>
      <c r="AW1006" s="1051"/>
      <c r="AX1006" s="1051"/>
      <c r="AY1006" s="1053"/>
      <c r="AZ1006" s="1051"/>
      <c r="BA1006" s="1051"/>
      <c r="BB1006" s="1053"/>
      <c r="BC1006" s="1051"/>
      <c r="BD1006" s="1051"/>
      <c r="BE1006" s="1053"/>
      <c r="BF1006" s="1051"/>
      <c r="BG1006" s="1051"/>
      <c r="BH1006" s="1053"/>
      <c r="BI1006" s="1052"/>
      <c r="BJ1006" s="1052"/>
      <c r="BK1006" s="1052"/>
      <c r="BL1006" s="1052"/>
      <c r="BM1006" s="1052"/>
      <c r="BN1006" s="1054"/>
      <c r="BO1006" s="1076">
        <f t="shared" si="16"/>
        <v>0</v>
      </c>
      <c r="BP1006" s="1051"/>
      <c r="BQ1006" s="1052"/>
      <c r="BR1006" s="1054"/>
      <c r="BS1006" s="1053"/>
      <c r="BT1006" s="1051"/>
      <c r="BU1006" s="1051"/>
      <c r="BV1006" s="1051"/>
      <c r="BW1006" s="1052"/>
      <c r="BX1006" s="1052"/>
      <c r="BY1006" s="1052"/>
      <c r="BZ1006" s="1052"/>
      <c r="CA1006" s="1052"/>
      <c r="CB1006" s="1053"/>
      <c r="CC1006" s="1053"/>
      <c r="CD1006" s="1053"/>
      <c r="CE1006" s="1053"/>
      <c r="CF1006" s="1053"/>
      <c r="CG1006" s="1053"/>
      <c r="CH1006" s="1053"/>
      <c r="CI1006" s="1123"/>
      <c r="CJ1006" s="1123"/>
      <c r="CK1006" s="1123"/>
      <c r="CL1006" s="1123"/>
      <c r="CM1006" s="1123"/>
      <c r="CN1006" s="1123"/>
      <c r="CO1006" s="1123"/>
      <c r="CP1006" s="1123"/>
      <c r="CQ1006" s="1123"/>
      <c r="CR1006" s="1123"/>
      <c r="CS1006" s="1123"/>
      <c r="CT1006" s="1123"/>
      <c r="CU1006" s="1123"/>
      <c r="CV1006" s="1123"/>
      <c r="CW1006" s="1123"/>
      <c r="CX1006" s="1123"/>
      <c r="CY1006" s="1123"/>
      <c r="CZ1006" s="1114"/>
      <c r="DA1006" s="1114"/>
      <c r="DB1006" s="1114"/>
      <c r="DC1006" s="1114"/>
      <c r="DD1006" s="1114"/>
      <c r="DE1006" s="1114"/>
      <c r="DF1006" s="1114"/>
      <c r="DG1006" s="1114"/>
      <c r="DH1006" s="1114"/>
      <c r="DI1006" s="1114"/>
      <c r="DJ1006" s="1114"/>
      <c r="DK1006" s="1114"/>
      <c r="DL1006" s="1114"/>
      <c r="DM1006" s="1114"/>
      <c r="DN1006" s="1114"/>
      <c r="DO1006" s="1114"/>
      <c r="DP1006" s="1114"/>
      <c r="DQ1006" s="1114"/>
      <c r="DR1006" s="1114"/>
      <c r="DS1006" s="1114"/>
      <c r="DT1006" s="1114"/>
      <c r="DU1006" s="1114"/>
      <c r="DV1006" s="1115"/>
      <c r="DW1006" s="1116"/>
      <c r="DX1006" s="1116"/>
      <c r="DY1006" s="1116"/>
      <c r="DZ1006" s="1116"/>
      <c r="EA1006" s="1116"/>
      <c r="EB1006" s="1116"/>
      <c r="EC1006" s="1116"/>
      <c r="ED1006" s="1116"/>
      <c r="EE1006" s="1116"/>
      <c r="EF1006" s="1116"/>
      <c r="EG1006" s="1116"/>
      <c r="EH1006" s="1116"/>
      <c r="EI1006" s="1116"/>
      <c r="EJ1006" s="1116"/>
      <c r="EK1006" s="1116"/>
      <c r="EL1006" s="1116"/>
      <c r="EM1006" s="1116"/>
      <c r="EN1006" s="1116"/>
      <c r="EO1006" s="1116"/>
      <c r="EP1006" s="1116"/>
      <c r="EQ1006" s="1116"/>
      <c r="ER1006" s="1116"/>
      <c r="ES1006" s="1116"/>
    </row>
    <row r="1007" spans="1:149" ht="15" customHeight="1">
      <c r="A1007" s="1185">
        <v>997</v>
      </c>
      <c r="B1007" s="1041"/>
      <c r="C1007" s="1050"/>
      <c r="D1007" s="1050"/>
      <c r="E1007" s="1050"/>
      <c r="F1007" s="1049"/>
      <c r="G1007" s="1049"/>
      <c r="H1007" s="1049"/>
      <c r="I1007" s="1049"/>
      <c r="J1007" s="1050"/>
      <c r="K1007" s="1050"/>
      <c r="L1007" s="1043"/>
      <c r="M1007" s="1051"/>
      <c r="N1007" s="1051"/>
      <c r="O1007" s="1052"/>
      <c r="P1007" s="1051"/>
      <c r="Q1007" s="1051"/>
      <c r="R1007" s="1052"/>
      <c r="S1007" s="1051"/>
      <c r="T1007" s="1051"/>
      <c r="U1007" s="1052"/>
      <c r="V1007" s="1051"/>
      <c r="W1007" s="1051"/>
      <c r="X1007" s="1052"/>
      <c r="Y1007" s="1053"/>
      <c r="Z1007" s="1051"/>
      <c r="AA1007" s="1051"/>
      <c r="AB1007" s="1052"/>
      <c r="AC1007" s="1051"/>
      <c r="AD1007" s="1051"/>
      <c r="AE1007" s="1052"/>
      <c r="AF1007" s="1051"/>
      <c r="AG1007" s="1051"/>
      <c r="AH1007" s="1051"/>
      <c r="AI1007" s="1051"/>
      <c r="AJ1007" s="1052"/>
      <c r="AK1007" s="1051"/>
      <c r="AL1007" s="1051"/>
      <c r="AM1007" s="1052"/>
      <c r="AN1007" s="1051"/>
      <c r="AO1007" s="1051"/>
      <c r="AP1007" s="1052"/>
      <c r="AQ1007" s="1051"/>
      <c r="AR1007" s="1051"/>
      <c r="AS1007" s="1052"/>
      <c r="AT1007" s="1051"/>
      <c r="AU1007" s="1051"/>
      <c r="AV1007" s="1052"/>
      <c r="AW1007" s="1051"/>
      <c r="AX1007" s="1051"/>
      <c r="AY1007" s="1053"/>
      <c r="AZ1007" s="1051"/>
      <c r="BA1007" s="1051"/>
      <c r="BB1007" s="1053"/>
      <c r="BC1007" s="1051"/>
      <c r="BD1007" s="1051"/>
      <c r="BE1007" s="1053"/>
      <c r="BF1007" s="1051"/>
      <c r="BG1007" s="1051"/>
      <c r="BH1007" s="1053"/>
      <c r="BI1007" s="1052"/>
      <c r="BJ1007" s="1052"/>
      <c r="BK1007" s="1052"/>
      <c r="BL1007" s="1052"/>
      <c r="BM1007" s="1052"/>
      <c r="BN1007" s="1054"/>
      <c r="BO1007" s="1076">
        <f t="shared" si="16"/>
        <v>0</v>
      </c>
      <c r="BP1007" s="1051"/>
      <c r="BQ1007" s="1052"/>
      <c r="BR1007" s="1054"/>
      <c r="BS1007" s="1053"/>
      <c r="BT1007" s="1051"/>
      <c r="BU1007" s="1051"/>
      <c r="BV1007" s="1051"/>
      <c r="BW1007" s="1052"/>
      <c r="BX1007" s="1052"/>
      <c r="BY1007" s="1052"/>
      <c r="BZ1007" s="1052"/>
      <c r="CA1007" s="1052"/>
      <c r="CB1007" s="1053"/>
      <c r="CC1007" s="1053"/>
      <c r="CD1007" s="1053"/>
      <c r="CE1007" s="1053"/>
      <c r="CF1007" s="1053"/>
      <c r="CG1007" s="1053"/>
      <c r="CH1007" s="1053"/>
      <c r="CI1007" s="1123"/>
      <c r="CJ1007" s="1123"/>
      <c r="CK1007" s="1123"/>
      <c r="CL1007" s="1123"/>
      <c r="CM1007" s="1123"/>
      <c r="CN1007" s="1123"/>
      <c r="CO1007" s="1123"/>
      <c r="CP1007" s="1123"/>
      <c r="CQ1007" s="1123"/>
      <c r="CR1007" s="1123"/>
      <c r="CS1007" s="1123"/>
      <c r="CT1007" s="1123"/>
      <c r="CU1007" s="1123"/>
      <c r="CV1007" s="1123"/>
      <c r="CW1007" s="1123"/>
      <c r="CX1007" s="1123"/>
      <c r="CY1007" s="1123"/>
      <c r="CZ1007" s="1114"/>
      <c r="DA1007" s="1114"/>
      <c r="DB1007" s="1114"/>
      <c r="DC1007" s="1114"/>
      <c r="DD1007" s="1114"/>
      <c r="DE1007" s="1114"/>
      <c r="DF1007" s="1114"/>
      <c r="DG1007" s="1114"/>
      <c r="DH1007" s="1114"/>
      <c r="DI1007" s="1114"/>
      <c r="DJ1007" s="1114"/>
      <c r="DK1007" s="1114"/>
      <c r="DL1007" s="1114"/>
      <c r="DM1007" s="1114"/>
      <c r="DN1007" s="1114"/>
      <c r="DO1007" s="1114"/>
      <c r="DP1007" s="1114"/>
      <c r="DQ1007" s="1114"/>
      <c r="DR1007" s="1114"/>
      <c r="DS1007" s="1114"/>
      <c r="DT1007" s="1114"/>
      <c r="DU1007" s="1114"/>
      <c r="DV1007" s="1115"/>
      <c r="DW1007" s="1116"/>
      <c r="DX1007" s="1116"/>
      <c r="DY1007" s="1116"/>
      <c r="DZ1007" s="1116"/>
      <c r="EA1007" s="1116"/>
      <c r="EB1007" s="1116"/>
      <c r="EC1007" s="1116"/>
      <c r="ED1007" s="1116"/>
      <c r="EE1007" s="1116"/>
      <c r="EF1007" s="1116"/>
      <c r="EG1007" s="1116"/>
      <c r="EH1007" s="1116"/>
      <c r="EI1007" s="1116"/>
      <c r="EJ1007" s="1116"/>
      <c r="EK1007" s="1116"/>
      <c r="EL1007" s="1116"/>
      <c r="EM1007" s="1116"/>
      <c r="EN1007" s="1116"/>
      <c r="EO1007" s="1116"/>
      <c r="EP1007" s="1116"/>
      <c r="EQ1007" s="1116"/>
      <c r="ER1007" s="1116"/>
      <c r="ES1007" s="1116"/>
    </row>
    <row r="1008" spans="1:149" ht="15" customHeight="1">
      <c r="A1008" s="1185">
        <v>998</v>
      </c>
      <c r="B1008" s="1041"/>
      <c r="C1008" s="1050"/>
      <c r="D1008" s="1050"/>
      <c r="E1008" s="1050"/>
      <c r="F1008" s="1049"/>
      <c r="G1008" s="1049"/>
      <c r="H1008" s="1049"/>
      <c r="I1008" s="1049"/>
      <c r="J1008" s="1050"/>
      <c r="K1008" s="1050"/>
      <c r="L1008" s="1043"/>
      <c r="M1008" s="1051"/>
      <c r="N1008" s="1051"/>
      <c r="O1008" s="1052"/>
      <c r="P1008" s="1051"/>
      <c r="Q1008" s="1051"/>
      <c r="R1008" s="1052"/>
      <c r="S1008" s="1051"/>
      <c r="T1008" s="1051"/>
      <c r="U1008" s="1052"/>
      <c r="V1008" s="1051"/>
      <c r="W1008" s="1051"/>
      <c r="X1008" s="1052"/>
      <c r="Y1008" s="1053"/>
      <c r="Z1008" s="1051"/>
      <c r="AA1008" s="1051"/>
      <c r="AB1008" s="1052"/>
      <c r="AC1008" s="1051"/>
      <c r="AD1008" s="1051"/>
      <c r="AE1008" s="1052"/>
      <c r="AF1008" s="1051"/>
      <c r="AG1008" s="1051"/>
      <c r="AH1008" s="1051"/>
      <c r="AI1008" s="1051"/>
      <c r="AJ1008" s="1052"/>
      <c r="AK1008" s="1051"/>
      <c r="AL1008" s="1051"/>
      <c r="AM1008" s="1052"/>
      <c r="AN1008" s="1051"/>
      <c r="AO1008" s="1051"/>
      <c r="AP1008" s="1052"/>
      <c r="AQ1008" s="1051"/>
      <c r="AR1008" s="1051"/>
      <c r="AS1008" s="1052"/>
      <c r="AT1008" s="1051"/>
      <c r="AU1008" s="1051"/>
      <c r="AV1008" s="1052"/>
      <c r="AW1008" s="1051"/>
      <c r="AX1008" s="1051"/>
      <c r="AY1008" s="1053"/>
      <c r="AZ1008" s="1051"/>
      <c r="BA1008" s="1051"/>
      <c r="BB1008" s="1053"/>
      <c r="BC1008" s="1051"/>
      <c r="BD1008" s="1051"/>
      <c r="BE1008" s="1053"/>
      <c r="BF1008" s="1051"/>
      <c r="BG1008" s="1051"/>
      <c r="BH1008" s="1053"/>
      <c r="BI1008" s="1052"/>
      <c r="BJ1008" s="1052"/>
      <c r="BK1008" s="1052"/>
      <c r="BL1008" s="1052"/>
      <c r="BM1008" s="1052"/>
      <c r="BN1008" s="1054"/>
      <c r="BO1008" s="1076">
        <f t="shared" si="16"/>
        <v>0</v>
      </c>
      <c r="BP1008" s="1051"/>
      <c r="BQ1008" s="1052"/>
      <c r="BR1008" s="1054"/>
      <c r="BS1008" s="1053"/>
      <c r="BT1008" s="1051"/>
      <c r="BU1008" s="1051"/>
      <c r="BV1008" s="1051"/>
      <c r="BW1008" s="1052"/>
      <c r="BX1008" s="1052"/>
      <c r="BY1008" s="1052"/>
      <c r="BZ1008" s="1052"/>
      <c r="CA1008" s="1052"/>
      <c r="CB1008" s="1053"/>
      <c r="CC1008" s="1053"/>
      <c r="CD1008" s="1053"/>
      <c r="CE1008" s="1053"/>
      <c r="CF1008" s="1053"/>
      <c r="CG1008" s="1053"/>
      <c r="CH1008" s="1053"/>
      <c r="CI1008" s="1123"/>
      <c r="CJ1008" s="1123"/>
      <c r="CK1008" s="1123"/>
      <c r="CL1008" s="1123"/>
      <c r="CM1008" s="1123"/>
      <c r="CN1008" s="1123"/>
      <c r="CO1008" s="1123"/>
      <c r="CP1008" s="1123"/>
      <c r="CQ1008" s="1123"/>
      <c r="CR1008" s="1123"/>
      <c r="CS1008" s="1123"/>
      <c r="CT1008" s="1123"/>
      <c r="CU1008" s="1123"/>
      <c r="CV1008" s="1123"/>
      <c r="CW1008" s="1123"/>
      <c r="CX1008" s="1123"/>
      <c r="CY1008" s="1123"/>
      <c r="CZ1008" s="1114"/>
      <c r="DA1008" s="1114"/>
      <c r="DB1008" s="1114"/>
      <c r="DC1008" s="1114"/>
      <c r="DD1008" s="1114"/>
      <c r="DE1008" s="1114"/>
      <c r="DF1008" s="1114"/>
      <c r="DG1008" s="1114"/>
      <c r="DH1008" s="1114"/>
      <c r="DI1008" s="1114"/>
      <c r="DJ1008" s="1114"/>
      <c r="DK1008" s="1114"/>
      <c r="DL1008" s="1114"/>
      <c r="DM1008" s="1114"/>
      <c r="DN1008" s="1114"/>
      <c r="DO1008" s="1114"/>
      <c r="DP1008" s="1114"/>
      <c r="DQ1008" s="1114"/>
      <c r="DR1008" s="1114"/>
      <c r="DS1008" s="1114"/>
      <c r="DT1008" s="1114"/>
      <c r="DU1008" s="1114"/>
      <c r="DV1008" s="1115"/>
      <c r="DW1008" s="1116"/>
      <c r="DX1008" s="1116"/>
      <c r="DY1008" s="1116"/>
      <c r="DZ1008" s="1116"/>
      <c r="EA1008" s="1116"/>
      <c r="EB1008" s="1116"/>
      <c r="EC1008" s="1116"/>
      <c r="ED1008" s="1116"/>
      <c r="EE1008" s="1116"/>
      <c r="EF1008" s="1116"/>
      <c r="EG1008" s="1116"/>
      <c r="EH1008" s="1116"/>
      <c r="EI1008" s="1116"/>
      <c r="EJ1008" s="1116"/>
      <c r="EK1008" s="1116"/>
      <c r="EL1008" s="1116"/>
      <c r="EM1008" s="1116"/>
      <c r="EN1008" s="1116"/>
      <c r="EO1008" s="1116"/>
      <c r="EP1008" s="1116"/>
      <c r="EQ1008" s="1116"/>
      <c r="ER1008" s="1116"/>
      <c r="ES1008" s="1116"/>
    </row>
    <row r="1009" spans="1:149" ht="15" customHeight="1">
      <c r="A1009" s="1185">
        <v>999</v>
      </c>
      <c r="B1009" s="1041"/>
      <c r="C1009" s="1050"/>
      <c r="D1009" s="1050"/>
      <c r="E1009" s="1050"/>
      <c r="F1009" s="1049"/>
      <c r="G1009" s="1049"/>
      <c r="H1009" s="1049"/>
      <c r="I1009" s="1049"/>
      <c r="J1009" s="1050"/>
      <c r="K1009" s="1050"/>
      <c r="L1009" s="1043"/>
      <c r="M1009" s="1051"/>
      <c r="N1009" s="1051"/>
      <c r="O1009" s="1052"/>
      <c r="P1009" s="1051"/>
      <c r="Q1009" s="1051"/>
      <c r="R1009" s="1052"/>
      <c r="S1009" s="1051"/>
      <c r="T1009" s="1051"/>
      <c r="U1009" s="1052"/>
      <c r="V1009" s="1051"/>
      <c r="W1009" s="1051"/>
      <c r="X1009" s="1052"/>
      <c r="Y1009" s="1053"/>
      <c r="Z1009" s="1051"/>
      <c r="AA1009" s="1051"/>
      <c r="AB1009" s="1052"/>
      <c r="AC1009" s="1051"/>
      <c r="AD1009" s="1051"/>
      <c r="AE1009" s="1052"/>
      <c r="AF1009" s="1051"/>
      <c r="AG1009" s="1051"/>
      <c r="AH1009" s="1051"/>
      <c r="AI1009" s="1051"/>
      <c r="AJ1009" s="1052"/>
      <c r="AK1009" s="1051"/>
      <c r="AL1009" s="1051"/>
      <c r="AM1009" s="1052"/>
      <c r="AN1009" s="1051"/>
      <c r="AO1009" s="1051"/>
      <c r="AP1009" s="1052"/>
      <c r="AQ1009" s="1051"/>
      <c r="AR1009" s="1051"/>
      <c r="AS1009" s="1052"/>
      <c r="AT1009" s="1051"/>
      <c r="AU1009" s="1051"/>
      <c r="AV1009" s="1052"/>
      <c r="AW1009" s="1051"/>
      <c r="AX1009" s="1051"/>
      <c r="AY1009" s="1053"/>
      <c r="AZ1009" s="1051"/>
      <c r="BA1009" s="1051"/>
      <c r="BB1009" s="1053"/>
      <c r="BC1009" s="1051"/>
      <c r="BD1009" s="1051"/>
      <c r="BE1009" s="1053"/>
      <c r="BF1009" s="1051"/>
      <c r="BG1009" s="1051"/>
      <c r="BH1009" s="1053"/>
      <c r="BI1009" s="1052"/>
      <c r="BJ1009" s="1052"/>
      <c r="BK1009" s="1052"/>
      <c r="BL1009" s="1052"/>
      <c r="BM1009" s="1052"/>
      <c r="BN1009" s="1054"/>
      <c r="BO1009" s="1076">
        <f t="shared" ref="BO1009:BO1010" si="17">H1009</f>
        <v>0</v>
      </c>
      <c r="BP1009" s="1051"/>
      <c r="BQ1009" s="1052"/>
      <c r="BR1009" s="1054"/>
      <c r="BS1009" s="1053"/>
      <c r="BT1009" s="1051"/>
      <c r="BU1009" s="1051"/>
      <c r="BV1009" s="1051"/>
      <c r="BW1009" s="1052"/>
      <c r="BX1009" s="1052"/>
      <c r="BY1009" s="1052"/>
      <c r="BZ1009" s="1052"/>
      <c r="CA1009" s="1052"/>
      <c r="CB1009" s="1053"/>
      <c r="CC1009" s="1053"/>
      <c r="CD1009" s="1053"/>
      <c r="CE1009" s="1053"/>
      <c r="CF1009" s="1053"/>
      <c r="CG1009" s="1053"/>
      <c r="CH1009" s="1053"/>
      <c r="CI1009" s="1123"/>
      <c r="CJ1009" s="1123"/>
      <c r="CK1009" s="1123"/>
      <c r="CL1009" s="1123"/>
      <c r="CM1009" s="1123"/>
      <c r="CN1009" s="1123"/>
      <c r="CO1009" s="1123"/>
      <c r="CP1009" s="1123"/>
      <c r="CQ1009" s="1123"/>
      <c r="CR1009" s="1123"/>
      <c r="CS1009" s="1123"/>
      <c r="CT1009" s="1123"/>
      <c r="CU1009" s="1123"/>
      <c r="CV1009" s="1123"/>
      <c r="CW1009" s="1123"/>
      <c r="CX1009" s="1123"/>
      <c r="CY1009" s="1123"/>
      <c r="CZ1009" s="1114"/>
      <c r="DA1009" s="1114"/>
      <c r="DB1009" s="1114"/>
      <c r="DC1009" s="1114"/>
      <c r="DD1009" s="1114"/>
      <c r="DE1009" s="1114"/>
      <c r="DF1009" s="1114"/>
      <c r="DG1009" s="1114"/>
      <c r="DH1009" s="1114"/>
      <c r="DI1009" s="1114"/>
      <c r="DJ1009" s="1114"/>
      <c r="DK1009" s="1114"/>
      <c r="DL1009" s="1114"/>
      <c r="DM1009" s="1114"/>
      <c r="DN1009" s="1114"/>
      <c r="DO1009" s="1114"/>
      <c r="DP1009" s="1114"/>
      <c r="DQ1009" s="1114"/>
      <c r="DR1009" s="1114"/>
      <c r="DS1009" s="1114"/>
      <c r="DT1009" s="1114"/>
      <c r="DU1009" s="1114"/>
      <c r="DV1009" s="1115"/>
      <c r="DW1009" s="1116"/>
      <c r="DX1009" s="1116"/>
      <c r="DY1009" s="1116"/>
      <c r="DZ1009" s="1116"/>
      <c r="EA1009" s="1116"/>
      <c r="EB1009" s="1116"/>
      <c r="EC1009" s="1116"/>
      <c r="ED1009" s="1116"/>
      <c r="EE1009" s="1116"/>
      <c r="EF1009" s="1116"/>
      <c r="EG1009" s="1116"/>
      <c r="EH1009" s="1116"/>
      <c r="EI1009" s="1116"/>
      <c r="EJ1009" s="1116"/>
      <c r="EK1009" s="1116"/>
      <c r="EL1009" s="1116"/>
      <c r="EM1009" s="1116"/>
      <c r="EN1009" s="1116"/>
      <c r="EO1009" s="1116"/>
      <c r="EP1009" s="1116"/>
      <c r="EQ1009" s="1116"/>
      <c r="ER1009" s="1116"/>
      <c r="ES1009" s="1116"/>
    </row>
    <row r="1010" spans="1:149" ht="15" customHeight="1">
      <c r="A1010" s="1185">
        <v>1000</v>
      </c>
      <c r="B1010" s="1041"/>
      <c r="C1010" s="1050"/>
      <c r="D1010" s="1050"/>
      <c r="E1010" s="1050"/>
      <c r="F1010" s="1049"/>
      <c r="G1010" s="1049"/>
      <c r="H1010" s="1049"/>
      <c r="I1010" s="1049"/>
      <c r="J1010" s="1050"/>
      <c r="K1010" s="1050"/>
      <c r="L1010" s="1043"/>
      <c r="M1010" s="1051"/>
      <c r="N1010" s="1051"/>
      <c r="O1010" s="1052"/>
      <c r="P1010" s="1051"/>
      <c r="Q1010" s="1051"/>
      <c r="R1010" s="1052"/>
      <c r="S1010" s="1051"/>
      <c r="T1010" s="1051"/>
      <c r="U1010" s="1052"/>
      <c r="V1010" s="1051"/>
      <c r="W1010" s="1051"/>
      <c r="X1010" s="1052"/>
      <c r="Y1010" s="1053"/>
      <c r="Z1010" s="1051"/>
      <c r="AA1010" s="1051"/>
      <c r="AB1010" s="1052"/>
      <c r="AC1010" s="1051"/>
      <c r="AD1010" s="1051"/>
      <c r="AE1010" s="1052"/>
      <c r="AF1010" s="1051"/>
      <c r="AG1010" s="1051"/>
      <c r="AH1010" s="1051"/>
      <c r="AI1010" s="1051"/>
      <c r="AJ1010" s="1052"/>
      <c r="AK1010" s="1051"/>
      <c r="AL1010" s="1051"/>
      <c r="AM1010" s="1052"/>
      <c r="AN1010" s="1051"/>
      <c r="AO1010" s="1051"/>
      <c r="AP1010" s="1052"/>
      <c r="AQ1010" s="1051"/>
      <c r="AR1010" s="1051"/>
      <c r="AS1010" s="1052"/>
      <c r="AT1010" s="1051"/>
      <c r="AU1010" s="1051"/>
      <c r="AV1010" s="1052"/>
      <c r="AW1010" s="1051"/>
      <c r="AX1010" s="1051"/>
      <c r="AY1010" s="1053"/>
      <c r="AZ1010" s="1051"/>
      <c r="BA1010" s="1051"/>
      <c r="BB1010" s="1053"/>
      <c r="BC1010" s="1051"/>
      <c r="BD1010" s="1051"/>
      <c r="BE1010" s="1053"/>
      <c r="BF1010" s="1051"/>
      <c r="BG1010" s="1051"/>
      <c r="BH1010" s="1053"/>
      <c r="BI1010" s="1052"/>
      <c r="BJ1010" s="1052"/>
      <c r="BK1010" s="1052"/>
      <c r="BL1010" s="1052"/>
      <c r="BM1010" s="1052"/>
      <c r="BN1010" s="1054"/>
      <c r="BO1010" s="1076">
        <f t="shared" si="17"/>
        <v>0</v>
      </c>
      <c r="BP1010" s="1051"/>
      <c r="BQ1010" s="1052"/>
      <c r="BR1010" s="1054"/>
      <c r="BS1010" s="1053"/>
      <c r="BT1010" s="1051"/>
      <c r="BU1010" s="1051"/>
      <c r="BV1010" s="1051"/>
      <c r="BW1010" s="1052"/>
      <c r="BX1010" s="1052"/>
      <c r="BY1010" s="1052"/>
      <c r="BZ1010" s="1052"/>
      <c r="CA1010" s="1052"/>
      <c r="CB1010" s="1053"/>
      <c r="CC1010" s="1053"/>
      <c r="CD1010" s="1053"/>
      <c r="CE1010" s="1053"/>
      <c r="CF1010" s="1053"/>
      <c r="CG1010" s="1053"/>
      <c r="CH1010" s="1053"/>
      <c r="CI1010" s="1123"/>
      <c r="CJ1010" s="1123"/>
      <c r="CK1010" s="1123"/>
      <c r="CL1010" s="1123"/>
      <c r="CM1010" s="1123"/>
      <c r="CN1010" s="1123"/>
      <c r="CO1010" s="1123"/>
      <c r="CP1010" s="1123"/>
      <c r="CQ1010" s="1123"/>
      <c r="CR1010" s="1123"/>
      <c r="CS1010" s="1123"/>
      <c r="CT1010" s="1123"/>
      <c r="CU1010" s="1123"/>
      <c r="CV1010" s="1123"/>
      <c r="CW1010" s="1123"/>
      <c r="CX1010" s="1123"/>
      <c r="CY1010" s="1123"/>
      <c r="CZ1010" s="1114"/>
      <c r="DA1010" s="1114"/>
      <c r="DB1010" s="1114"/>
      <c r="DC1010" s="1114"/>
      <c r="DD1010" s="1114"/>
      <c r="DE1010" s="1114"/>
      <c r="DF1010" s="1114"/>
      <c r="DG1010" s="1114"/>
      <c r="DH1010" s="1114"/>
      <c r="DI1010" s="1114"/>
      <c r="DJ1010" s="1114"/>
      <c r="DK1010" s="1114"/>
      <c r="DL1010" s="1114"/>
      <c r="DM1010" s="1114"/>
      <c r="DN1010" s="1114"/>
      <c r="DO1010" s="1114"/>
      <c r="DP1010" s="1114"/>
      <c r="DQ1010" s="1114"/>
      <c r="DR1010" s="1114"/>
      <c r="DS1010" s="1114"/>
      <c r="DT1010" s="1114"/>
      <c r="DU1010" s="1114"/>
      <c r="DV1010" s="1115"/>
      <c r="DW1010" s="1116"/>
      <c r="DX1010" s="1116"/>
      <c r="DY1010" s="1116"/>
      <c r="DZ1010" s="1116"/>
      <c r="EA1010" s="1116"/>
      <c r="EB1010" s="1116"/>
      <c r="EC1010" s="1116"/>
      <c r="ED1010" s="1116"/>
      <c r="EE1010" s="1116"/>
      <c r="EF1010" s="1116"/>
      <c r="EG1010" s="1116"/>
      <c r="EH1010" s="1116"/>
      <c r="EI1010" s="1116"/>
      <c r="EJ1010" s="1116"/>
      <c r="EK1010" s="1116"/>
      <c r="EL1010" s="1116"/>
      <c r="EM1010" s="1116"/>
      <c r="EN1010" s="1116"/>
      <c r="EO1010" s="1116"/>
      <c r="EP1010" s="1116"/>
      <c r="EQ1010" s="1116"/>
      <c r="ER1010" s="1116"/>
      <c r="ES1010" s="1116"/>
    </row>
    <row r="1011" spans="1:149" ht="31" customHeight="1"/>
    <row r="1012" spans="1:149" ht="15" customHeight="1"/>
    <row r="1013" spans="1:149" ht="15" customHeight="1"/>
    <row r="1014" spans="1:149" ht="15" customHeight="1"/>
    <row r="1015" spans="1:149" ht="15" customHeight="1"/>
    <row r="1016" spans="1:149" ht="15" customHeight="1"/>
  </sheetData>
  <sheetProtection password="892F" sheet="1" objects="1" scenarios="1" selectLockedCells="1" selectUnlockedCells="1"/>
  <mergeCells count="20">
    <mergeCell ref="H2:I2"/>
    <mergeCell ref="J2:K2"/>
    <mergeCell ref="L2:M2"/>
    <mergeCell ref="H3:I3"/>
    <mergeCell ref="J3:K3"/>
    <mergeCell ref="L3:M3"/>
    <mergeCell ref="B2:B3"/>
    <mergeCell ref="C2:C3"/>
    <mergeCell ref="D2:E2"/>
    <mergeCell ref="F2:G2"/>
    <mergeCell ref="D3:E3"/>
    <mergeCell ref="F3:G3"/>
    <mergeCell ref="V3:W3"/>
    <mergeCell ref="X3:Y3"/>
    <mergeCell ref="N2:O2"/>
    <mergeCell ref="P3:Q3"/>
    <mergeCell ref="Z3:AA3"/>
    <mergeCell ref="N3:O3"/>
    <mergeCell ref="R3:S3"/>
    <mergeCell ref="T3:U3"/>
  </mergeCells>
  <hyperlinks>
    <hyperlink ref="H3" location="Benchmark!A1" display="Benchmarking"/>
    <hyperlink ref="G3" location="Progress!A1" display="Progress!A1"/>
    <hyperlink ref="F3" location="Progress!A1" display="Progress"/>
    <hyperlink ref="D3" location="Data!A1" display="Data"/>
    <hyperlink ref="E3" location="Data!A1" display="Data!A1"/>
    <hyperlink ref="J3" location="'Heat map'!A1" display="Heat map"/>
    <hyperlink ref="K3" location="'Heat map'!A1" display="'Heat map'!A1"/>
    <hyperlink ref="L3" location="Overview_2!A1" display="Overview"/>
    <hyperlink ref="M3" location="Overview_2!A1" display="Overview_2!A1"/>
    <hyperlink ref="N3" location="Output!A1" display="Output"/>
    <hyperlink ref="O3" location="Output!A1" display="Output!A1"/>
  </hyperlinks>
  <pageMargins left="0.25" right="0.25" top="0.75" bottom="0.75" header="0.3" footer="0.3"/>
  <pageSetup paperSize="9" scale="10" orientation="portrait" horizontalDpi="4294967292" verticalDpi="4294967292"/>
  <headerFooter>
    <oddHeader>&amp;CTable 4.1</oddHeader>
  </headerFooter>
  <drawing r:id="rId1"/>
  <extLst>
    <ext xmlns:mx="http://schemas.microsoft.com/office/mac/excel/2008/main" uri="{64002731-A6B0-56B0-2670-7721B7C09600}">
      <mx:PLV Mode="0" OnePage="0" WScale="71"/>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theme="4"/>
    <outlinePr summaryBelow="0"/>
    <pageSetUpPr fitToPage="1"/>
  </sheetPr>
  <dimension ref="A1:EP235"/>
  <sheetViews>
    <sheetView showRowColHeaders="0" workbookViewId="0"/>
  </sheetViews>
  <sheetFormatPr baseColWidth="10" defaultColWidth="10.83203125" defaultRowHeight="15" customHeight="1" x14ac:dyDescent="0"/>
  <cols>
    <col min="1" max="1" width="4.83203125" style="31" customWidth="1"/>
    <col min="2" max="2" width="12.83203125" style="32" customWidth="1"/>
    <col min="3" max="9" width="12.83203125" style="33" customWidth="1"/>
    <col min="10" max="11" width="12.83203125" style="34" customWidth="1"/>
    <col min="12" max="15" width="12.6640625" style="34" customWidth="1"/>
    <col min="16" max="19" width="12.83203125" style="31" customWidth="1"/>
    <col min="20" max="20" width="12.83203125" style="15" customWidth="1"/>
    <col min="21" max="24" width="12.83203125" style="31" customWidth="1"/>
    <col min="25" max="29" width="12.83203125" style="26" customWidth="1"/>
    <col min="30" max="146" width="12.83203125" style="31" customWidth="1"/>
    <col min="147" max="147" width="5.83203125" style="31" customWidth="1"/>
    <col min="148" max="16384" width="10.83203125" style="31"/>
  </cols>
  <sheetData>
    <row r="1" spans="1:146" s="498" customFormat="1">
      <c r="T1" s="499"/>
      <c r="U1" s="499"/>
      <c r="V1" s="499"/>
      <c r="W1" s="500"/>
      <c r="X1" s="500"/>
      <c r="Y1" s="500"/>
    </row>
    <row r="2" spans="1:146" s="464" customFormat="1" ht="31" customHeight="1">
      <c r="A2" s="494"/>
      <c r="B2" s="1817" t="s">
        <v>1965</v>
      </c>
      <c r="C2" s="1819">
        <v>400</v>
      </c>
      <c r="D2" s="1849" t="s">
        <v>1555</v>
      </c>
      <c r="E2" s="1850"/>
      <c r="F2" s="1849" t="s">
        <v>1563</v>
      </c>
      <c r="G2" s="1850"/>
      <c r="H2" s="1849" t="s">
        <v>794</v>
      </c>
      <c r="I2" s="1850"/>
      <c r="J2" s="1849" t="s">
        <v>1570</v>
      </c>
      <c r="K2" s="1850"/>
      <c r="L2" s="1849" t="s">
        <v>1564</v>
      </c>
      <c r="M2" s="1850"/>
      <c r="N2" s="2047" t="s">
        <v>1602</v>
      </c>
      <c r="O2" s="2033"/>
      <c r="P2" s="496"/>
      <c r="Q2" s="496"/>
      <c r="R2" s="496"/>
      <c r="S2" s="496"/>
      <c r="T2" s="494"/>
      <c r="U2" s="494"/>
      <c r="V2" s="494"/>
      <c r="W2" s="494"/>
      <c r="X2" s="494"/>
      <c r="Y2" s="494"/>
      <c r="Z2" s="494"/>
      <c r="AA2" s="494"/>
      <c r="AB2" s="494"/>
      <c r="AC2" s="494"/>
      <c r="AD2" s="494"/>
      <c r="AE2" s="494"/>
      <c r="AF2" s="494"/>
      <c r="AG2" s="494"/>
      <c r="AH2" s="494"/>
      <c r="AI2" s="494"/>
      <c r="AJ2" s="494"/>
      <c r="AK2" s="494"/>
      <c r="AL2" s="494"/>
      <c r="AM2" s="494"/>
      <c r="AN2" s="494"/>
      <c r="AO2" s="494"/>
      <c r="AP2" s="494"/>
      <c r="AQ2" s="494"/>
      <c r="AR2" s="494"/>
      <c r="AS2" s="494"/>
      <c r="AT2" s="494"/>
      <c r="AU2" s="494"/>
      <c r="AV2" s="494"/>
      <c r="AW2" s="494"/>
      <c r="AX2" s="494"/>
      <c r="AY2" s="494"/>
      <c r="AZ2" s="494"/>
      <c r="BA2" s="494"/>
      <c r="BB2" s="494"/>
      <c r="BC2" s="494"/>
      <c r="BD2" s="494"/>
      <c r="BE2" s="494"/>
      <c r="BF2" s="494"/>
      <c r="BG2" s="494"/>
      <c r="BH2" s="494"/>
      <c r="BI2" s="494"/>
      <c r="BJ2" s="494"/>
      <c r="BK2" s="494"/>
      <c r="BL2" s="494"/>
      <c r="BM2" s="494"/>
      <c r="BN2" s="494"/>
      <c r="BO2" s="494"/>
      <c r="BP2" s="494"/>
      <c r="BQ2" s="494"/>
      <c r="BR2" s="494"/>
      <c r="BS2" s="494"/>
      <c r="BT2" s="494"/>
      <c r="BU2" s="494"/>
      <c r="BV2" s="494"/>
      <c r="BW2" s="494"/>
      <c r="BX2" s="494"/>
      <c r="BY2" s="494"/>
      <c r="BZ2" s="494"/>
      <c r="CA2" s="494"/>
      <c r="CB2" s="494"/>
      <c r="CC2" s="494"/>
      <c r="CD2" s="494"/>
      <c r="CE2" s="494"/>
      <c r="CF2" s="494"/>
      <c r="CG2" s="494"/>
      <c r="CH2" s="494"/>
      <c r="CI2" s="494"/>
      <c r="CJ2" s="494"/>
      <c r="CK2" s="494"/>
      <c r="CL2" s="494"/>
      <c r="CM2" s="494"/>
      <c r="CN2" s="494"/>
      <c r="CO2" s="494"/>
      <c r="CP2" s="494"/>
      <c r="CQ2" s="494"/>
      <c r="CR2" s="494"/>
      <c r="CS2" s="494"/>
      <c r="CT2" s="494"/>
      <c r="CU2" s="494"/>
      <c r="CV2" s="494"/>
      <c r="CW2" s="494"/>
      <c r="CX2" s="494"/>
      <c r="CY2" s="494"/>
      <c r="CZ2" s="494"/>
      <c r="DA2" s="494"/>
      <c r="DB2" s="494"/>
      <c r="DC2" s="494"/>
      <c r="DD2" s="494"/>
      <c r="DE2" s="494"/>
      <c r="DF2" s="494"/>
      <c r="DG2" s="494"/>
      <c r="DH2" s="494"/>
      <c r="DI2" s="494"/>
      <c r="DJ2" s="494"/>
      <c r="DK2" s="494"/>
      <c r="DL2" s="494"/>
      <c r="DM2" s="494"/>
      <c r="DN2" s="494"/>
      <c r="DO2" s="494"/>
      <c r="DP2" s="494"/>
      <c r="DQ2" s="494"/>
      <c r="DR2" s="494"/>
      <c r="DS2" s="494"/>
      <c r="DT2" s="494"/>
      <c r="DU2" s="494"/>
      <c r="DV2" s="494"/>
      <c r="DW2" s="494"/>
      <c r="DX2" s="494"/>
      <c r="DY2" s="494"/>
      <c r="DZ2" s="494"/>
      <c r="EA2" s="494"/>
      <c r="EB2" s="494"/>
      <c r="EC2" s="494"/>
      <c r="ED2" s="494"/>
      <c r="EE2" s="494"/>
      <c r="EF2" s="494"/>
      <c r="EG2" s="494"/>
      <c r="EH2" s="494"/>
      <c r="EI2" s="494"/>
      <c r="EJ2" s="494"/>
      <c r="EK2" s="494"/>
      <c r="EL2" s="494"/>
      <c r="EM2" s="494"/>
      <c r="EN2" s="494"/>
      <c r="EO2" s="494"/>
      <c r="EP2" s="494"/>
    </row>
    <row r="3" spans="1:146" s="464" customFormat="1" ht="31" customHeight="1">
      <c r="A3" s="494"/>
      <c r="B3" s="1818"/>
      <c r="C3" s="1820"/>
      <c r="D3" s="1843" t="s">
        <v>722</v>
      </c>
      <c r="E3" s="1844"/>
      <c r="F3" s="1843" t="s">
        <v>1608</v>
      </c>
      <c r="G3" s="1844"/>
      <c r="H3" s="1843" t="s">
        <v>1609</v>
      </c>
      <c r="I3" s="1844"/>
      <c r="J3" s="1843" t="s">
        <v>1909</v>
      </c>
      <c r="K3" s="1844"/>
      <c r="L3" s="1843" t="s">
        <v>1568</v>
      </c>
      <c r="M3" s="1844"/>
      <c r="N3" s="1843" t="s">
        <v>2004</v>
      </c>
      <c r="O3" s="1844"/>
      <c r="P3" s="2651" t="s">
        <v>2019</v>
      </c>
      <c r="Q3" s="2652"/>
      <c r="R3" s="2104" t="s">
        <v>2461</v>
      </c>
      <c r="S3" s="2105"/>
      <c r="T3" s="2104" t="s">
        <v>2608</v>
      </c>
      <c r="U3" s="2105"/>
      <c r="V3" s="2104" t="s">
        <v>2607</v>
      </c>
      <c r="W3" s="2105"/>
      <c r="X3" s="2104" t="s">
        <v>2460</v>
      </c>
      <c r="Y3" s="2105"/>
      <c r="Z3" s="2104" t="s">
        <v>2022</v>
      </c>
      <c r="AA3" s="2105"/>
      <c r="AB3" s="494"/>
      <c r="AC3" s="494"/>
      <c r="AD3" s="494"/>
      <c r="AE3" s="494"/>
      <c r="AF3" s="494"/>
      <c r="AG3" s="494"/>
      <c r="AH3" s="494"/>
      <c r="AI3" s="494"/>
      <c r="AJ3" s="494"/>
      <c r="AK3" s="494"/>
      <c r="AL3" s="494"/>
      <c r="AM3" s="494"/>
      <c r="AN3" s="494"/>
      <c r="AO3" s="494"/>
      <c r="AP3" s="494"/>
      <c r="AQ3" s="494"/>
      <c r="AR3" s="494"/>
      <c r="AS3" s="494"/>
      <c r="AT3" s="494"/>
      <c r="AU3" s="494"/>
      <c r="AV3" s="494"/>
      <c r="AW3" s="494"/>
      <c r="AX3" s="494"/>
      <c r="AY3" s="494"/>
      <c r="AZ3" s="494"/>
      <c r="BA3" s="494"/>
      <c r="BB3" s="494"/>
      <c r="BC3" s="494"/>
      <c r="BD3" s="494"/>
      <c r="BE3" s="494"/>
      <c r="BF3" s="494"/>
      <c r="BG3" s="494"/>
      <c r="BH3" s="494"/>
      <c r="BI3" s="494"/>
      <c r="BJ3" s="494"/>
      <c r="BK3" s="494"/>
      <c r="BL3" s="494"/>
      <c r="BM3" s="494"/>
      <c r="BN3" s="494"/>
      <c r="BO3" s="494"/>
      <c r="BP3" s="494"/>
      <c r="BQ3" s="494"/>
      <c r="BR3" s="494"/>
      <c r="BS3" s="494"/>
      <c r="BT3" s="494"/>
      <c r="BU3" s="494"/>
      <c r="BV3" s="494"/>
      <c r="BW3" s="494"/>
      <c r="BX3" s="494"/>
      <c r="BY3" s="494"/>
      <c r="BZ3" s="494"/>
      <c r="CA3" s="494"/>
      <c r="CB3" s="494"/>
      <c r="CC3" s="494"/>
      <c r="CD3" s="494"/>
      <c r="CE3" s="494"/>
      <c r="CF3" s="494"/>
      <c r="CG3" s="494"/>
      <c r="CH3" s="494"/>
      <c r="CI3" s="494"/>
      <c r="CJ3" s="494"/>
      <c r="CK3" s="494"/>
      <c r="CL3" s="494"/>
      <c r="CM3" s="494"/>
      <c r="CN3" s="494"/>
      <c r="CO3" s="494"/>
      <c r="CP3" s="494"/>
      <c r="CQ3" s="494"/>
      <c r="CR3" s="494"/>
      <c r="CS3" s="494"/>
      <c r="CT3" s="494"/>
      <c r="CU3" s="494"/>
      <c r="CV3" s="494"/>
      <c r="CW3" s="494"/>
      <c r="CX3" s="494"/>
      <c r="CY3" s="494"/>
      <c r="CZ3" s="494"/>
      <c r="DA3" s="494"/>
      <c r="DB3" s="494"/>
      <c r="DC3" s="494"/>
      <c r="DD3" s="494"/>
      <c r="DE3" s="494"/>
      <c r="DF3" s="494"/>
      <c r="DG3" s="494"/>
      <c r="DH3" s="494"/>
      <c r="DI3" s="494"/>
      <c r="DJ3" s="494"/>
      <c r="DK3" s="494"/>
      <c r="DL3" s="494"/>
      <c r="DM3" s="494"/>
      <c r="DN3" s="494"/>
      <c r="DO3" s="494"/>
      <c r="DP3" s="494"/>
      <c r="DQ3" s="494"/>
      <c r="DR3" s="494"/>
      <c r="DS3" s="494"/>
      <c r="DT3" s="494"/>
      <c r="DU3" s="494"/>
      <c r="DV3" s="494"/>
      <c r="DW3" s="494"/>
      <c r="DX3" s="494"/>
      <c r="DY3" s="494"/>
      <c r="DZ3" s="494"/>
      <c r="EA3" s="494"/>
      <c r="EB3" s="494"/>
      <c r="EC3" s="494"/>
      <c r="ED3" s="494"/>
      <c r="EE3" s="494"/>
      <c r="EF3" s="494"/>
      <c r="EG3" s="494"/>
      <c r="EH3" s="494"/>
      <c r="EI3" s="494"/>
      <c r="EJ3" s="494"/>
      <c r="EK3" s="494"/>
      <c r="EL3" s="494"/>
      <c r="EM3" s="494"/>
      <c r="EN3" s="494"/>
      <c r="EO3" s="494"/>
      <c r="EP3" s="494"/>
    </row>
    <row r="4" spans="1:146" s="494" customFormat="1" ht="15" customHeight="1">
      <c r="B4" s="492"/>
      <c r="C4" s="495"/>
      <c r="D4" s="497"/>
      <c r="E4" s="497"/>
      <c r="F4" s="497"/>
      <c r="G4" s="497"/>
      <c r="H4" s="497"/>
      <c r="I4" s="497"/>
      <c r="J4" s="497"/>
      <c r="K4" s="497"/>
      <c r="L4" s="496"/>
      <c r="M4" s="496"/>
      <c r="N4" s="496"/>
      <c r="O4" s="496"/>
      <c r="P4" s="496"/>
      <c r="Q4" s="496"/>
      <c r="R4" s="496"/>
      <c r="S4" s="496"/>
    </row>
    <row r="5" spans="1:146" ht="31" customHeight="1">
      <c r="T5" s="31"/>
    </row>
    <row r="6" spans="1:146" s="29" customFormat="1" ht="31" customHeight="1" thickBot="1">
      <c r="A6" s="31"/>
      <c r="B6" s="491" t="s">
        <v>2497</v>
      </c>
      <c r="C6" s="466"/>
      <c r="D6" s="466"/>
      <c r="E6" s="466"/>
      <c r="F6" s="466"/>
      <c r="G6" s="466"/>
      <c r="H6" s="466"/>
      <c r="I6" s="466"/>
      <c r="J6" s="467"/>
      <c r="K6" s="467"/>
      <c r="L6" s="467"/>
      <c r="M6" s="467"/>
      <c r="N6" s="467"/>
      <c r="O6" s="467"/>
      <c r="P6" s="468"/>
      <c r="Q6" s="468"/>
      <c r="R6" s="468"/>
      <c r="S6" s="468"/>
      <c r="T6" s="468"/>
      <c r="U6" s="468"/>
      <c r="V6" s="468"/>
      <c r="W6" s="468"/>
      <c r="X6" s="468"/>
      <c r="Y6" s="468"/>
      <c r="Z6" s="468"/>
      <c r="AA6" s="468"/>
      <c r="AB6" s="468"/>
      <c r="AC6" s="468"/>
      <c r="AD6" s="468"/>
      <c r="AE6" s="468"/>
      <c r="AF6" s="468"/>
      <c r="AG6" s="468"/>
      <c r="AH6" s="468"/>
      <c r="AI6" s="468"/>
      <c r="AJ6" s="468"/>
      <c r="AK6" s="468"/>
      <c r="AL6" s="468"/>
      <c r="AM6" s="468"/>
      <c r="AN6" s="468"/>
      <c r="AO6" s="468"/>
      <c r="AP6" s="468"/>
      <c r="AQ6" s="468"/>
      <c r="AR6" s="468"/>
      <c r="AS6" s="468"/>
      <c r="AT6" s="468"/>
      <c r="AU6" s="468"/>
      <c r="AV6" s="468"/>
      <c r="AW6" s="468"/>
      <c r="AX6" s="468"/>
      <c r="AY6" s="468"/>
      <c r="AZ6" s="468"/>
      <c r="BA6" s="468"/>
      <c r="BB6" s="468"/>
      <c r="BC6" s="468"/>
      <c r="BD6" s="468"/>
      <c r="BE6" s="468"/>
      <c r="BF6" s="468"/>
      <c r="BG6" s="468"/>
      <c r="BH6" s="468"/>
      <c r="BI6" s="468"/>
      <c r="BJ6" s="468"/>
      <c r="BK6" s="468"/>
      <c r="BL6" s="468"/>
      <c r="BM6" s="468"/>
      <c r="BN6" s="468"/>
      <c r="BO6" s="468"/>
      <c r="BP6" s="468"/>
      <c r="BQ6" s="468"/>
      <c r="BR6" s="468"/>
      <c r="BS6" s="468"/>
      <c r="BT6" s="468"/>
      <c r="BU6" s="468"/>
      <c r="BV6" s="468"/>
      <c r="BW6" s="468"/>
      <c r="BX6" s="468"/>
      <c r="BY6" s="468"/>
      <c r="BZ6" s="468"/>
      <c r="CA6" s="468"/>
      <c r="CB6" s="468"/>
      <c r="CC6" s="468"/>
      <c r="CD6" s="234"/>
      <c r="CE6" s="234"/>
    </row>
    <row r="7" spans="1:146" s="29" customFormat="1" ht="15" customHeight="1" thickTop="1">
      <c r="B7" s="229"/>
      <c r="C7" s="230"/>
      <c r="D7" s="230"/>
      <c r="E7" s="230"/>
      <c r="F7" s="230"/>
      <c r="G7" s="230"/>
      <c r="H7" s="230"/>
      <c r="I7" s="230"/>
      <c r="J7" s="30"/>
      <c r="K7" s="30"/>
      <c r="L7" s="30"/>
      <c r="M7" s="30"/>
      <c r="N7" s="30"/>
      <c r="O7" s="30"/>
      <c r="Y7" s="234"/>
      <c r="Z7" s="234"/>
      <c r="AA7" s="234"/>
      <c r="AB7" s="234"/>
      <c r="AC7" s="234"/>
    </row>
    <row r="8" spans="1:146" s="15" customFormat="1" ht="18" customHeight="1">
      <c r="B8" s="621" t="s">
        <v>2728</v>
      </c>
    </row>
    <row r="9" spans="1:146" s="15" customFormat="1" ht="15" customHeight="1">
      <c r="B9" s="904">
        <v>1</v>
      </c>
      <c r="C9" s="904">
        <v>2</v>
      </c>
      <c r="D9" s="904">
        <v>3</v>
      </c>
      <c r="E9" s="904">
        <v>4</v>
      </c>
      <c r="F9" s="904">
        <v>5</v>
      </c>
      <c r="G9" s="904">
        <v>6</v>
      </c>
      <c r="H9" s="904">
        <v>7</v>
      </c>
      <c r="I9" s="904">
        <v>8</v>
      </c>
      <c r="J9" s="904">
        <v>9</v>
      </c>
      <c r="K9" s="904">
        <v>10</v>
      </c>
      <c r="L9" s="904">
        <v>11</v>
      </c>
      <c r="M9" s="904">
        <v>12</v>
      </c>
      <c r="N9" s="904">
        <v>13</v>
      </c>
      <c r="O9" s="904">
        <v>14</v>
      </c>
      <c r="P9" s="904">
        <v>15</v>
      </c>
      <c r="Q9" s="904">
        <v>16</v>
      </c>
      <c r="R9" s="904">
        <v>17</v>
      </c>
      <c r="S9" s="904">
        <v>18</v>
      </c>
      <c r="T9" s="904">
        <v>19</v>
      </c>
      <c r="U9" s="904">
        <v>20</v>
      </c>
      <c r="V9" s="904">
        <v>21</v>
      </c>
      <c r="W9" s="904">
        <v>22</v>
      </c>
      <c r="X9" s="904">
        <v>23</v>
      </c>
      <c r="Y9" s="904">
        <v>24</v>
      </c>
      <c r="Z9" s="904">
        <v>25</v>
      </c>
      <c r="AA9" s="904">
        <v>26</v>
      </c>
      <c r="AB9" s="904">
        <v>27</v>
      </c>
      <c r="AC9" s="904">
        <v>28</v>
      </c>
      <c r="AD9" s="904">
        <v>29</v>
      </c>
      <c r="AE9" s="904">
        <v>30</v>
      </c>
      <c r="AF9" s="904">
        <v>31</v>
      </c>
      <c r="AG9" s="904">
        <v>32</v>
      </c>
      <c r="AH9" s="904">
        <v>33</v>
      </c>
      <c r="AI9" s="904">
        <v>34</v>
      </c>
      <c r="AJ9" s="904">
        <v>35</v>
      </c>
      <c r="AK9" s="904">
        <v>36</v>
      </c>
      <c r="AL9" s="904">
        <v>37</v>
      </c>
      <c r="AM9" s="904">
        <v>38</v>
      </c>
      <c r="AN9" s="904">
        <v>39</v>
      </c>
      <c r="AO9" s="904">
        <v>40</v>
      </c>
      <c r="AP9" s="904">
        <v>41</v>
      </c>
      <c r="AQ9" s="904">
        <v>42</v>
      </c>
      <c r="AR9" s="904">
        <v>43</v>
      </c>
      <c r="AS9" s="904">
        <v>44</v>
      </c>
      <c r="AT9" s="904">
        <v>45</v>
      </c>
      <c r="AU9" s="904">
        <v>46</v>
      </c>
      <c r="AV9" s="904">
        <v>47</v>
      </c>
      <c r="AW9" s="904">
        <v>48</v>
      </c>
      <c r="AX9" s="904">
        <v>49</v>
      </c>
      <c r="AY9" s="904">
        <v>50</v>
      </c>
      <c r="AZ9" s="904">
        <v>51</v>
      </c>
      <c r="BA9" s="904">
        <v>52</v>
      </c>
      <c r="BB9" s="904">
        <v>53</v>
      </c>
      <c r="BC9" s="904">
        <v>54</v>
      </c>
      <c r="BD9" s="904">
        <v>55</v>
      </c>
      <c r="BE9" s="904">
        <v>56</v>
      </c>
      <c r="BF9" s="904">
        <v>57</v>
      </c>
      <c r="BG9" s="904">
        <v>58</v>
      </c>
      <c r="BH9" s="904">
        <v>59</v>
      </c>
      <c r="BI9" s="904">
        <v>60</v>
      </c>
      <c r="BJ9" s="904">
        <v>61</v>
      </c>
      <c r="BK9" s="904">
        <v>62</v>
      </c>
      <c r="BL9" s="904">
        <v>1</v>
      </c>
      <c r="BM9" s="904">
        <v>2</v>
      </c>
      <c r="BN9" s="904">
        <v>3</v>
      </c>
      <c r="BO9" s="904">
        <v>4</v>
      </c>
      <c r="BP9" s="904">
        <v>5</v>
      </c>
      <c r="BQ9" s="904">
        <v>6</v>
      </c>
      <c r="BR9" s="904">
        <v>7</v>
      </c>
      <c r="BS9" s="904">
        <v>8</v>
      </c>
      <c r="BT9" s="904">
        <v>9</v>
      </c>
      <c r="BU9" s="904">
        <v>10</v>
      </c>
      <c r="BV9" s="904">
        <v>11</v>
      </c>
      <c r="BW9" s="904">
        <v>12</v>
      </c>
      <c r="BX9" s="904">
        <v>13</v>
      </c>
      <c r="BY9" s="904">
        <v>14</v>
      </c>
      <c r="BZ9" s="904">
        <v>15</v>
      </c>
      <c r="CA9" s="904">
        <v>16</v>
      </c>
      <c r="CB9" s="904">
        <v>17</v>
      </c>
      <c r="CC9" s="904">
        <v>18</v>
      </c>
      <c r="CD9" s="904">
        <v>19</v>
      </c>
      <c r="CE9" s="904">
        <v>20</v>
      </c>
      <c r="CF9" s="904">
        <v>21</v>
      </c>
      <c r="CG9" s="904">
        <v>22</v>
      </c>
      <c r="CH9" s="904">
        <v>23</v>
      </c>
      <c r="CI9" s="904">
        <v>24</v>
      </c>
      <c r="CJ9" s="904">
        <v>25</v>
      </c>
      <c r="CK9" s="904">
        <v>26</v>
      </c>
      <c r="CL9" s="904">
        <v>27</v>
      </c>
      <c r="CM9" s="904">
        <v>28</v>
      </c>
      <c r="CN9" s="904">
        <v>29</v>
      </c>
      <c r="CO9" s="904">
        <v>30</v>
      </c>
      <c r="CP9" s="904">
        <v>31</v>
      </c>
      <c r="CQ9" s="904">
        <v>32</v>
      </c>
      <c r="CR9" s="904">
        <v>33</v>
      </c>
      <c r="CS9" s="904">
        <v>34</v>
      </c>
      <c r="CT9" s="904">
        <v>35</v>
      </c>
      <c r="CU9" s="904">
        <v>36</v>
      </c>
      <c r="CV9" s="904">
        <v>37</v>
      </c>
      <c r="CW9" s="904">
        <v>38</v>
      </c>
      <c r="CX9" s="904">
        <v>39</v>
      </c>
      <c r="CY9" s="904">
        <v>40</v>
      </c>
      <c r="CZ9" s="904">
        <v>41</v>
      </c>
      <c r="DA9" s="904">
        <v>42</v>
      </c>
      <c r="DB9" s="904">
        <v>43</v>
      </c>
      <c r="DC9" s="904">
        <v>44</v>
      </c>
      <c r="DD9" s="904">
        <v>45</v>
      </c>
      <c r="DE9" s="904">
        <v>46</v>
      </c>
      <c r="DF9" s="904">
        <v>47</v>
      </c>
      <c r="DG9" s="904">
        <v>48</v>
      </c>
      <c r="DH9" s="904">
        <v>49</v>
      </c>
      <c r="DI9" s="904">
        <v>50</v>
      </c>
      <c r="DJ9" s="904">
        <v>51</v>
      </c>
      <c r="DK9" s="904">
        <v>52</v>
      </c>
      <c r="DL9" s="904">
        <v>53</v>
      </c>
      <c r="DM9" s="904">
        <v>54</v>
      </c>
      <c r="DN9" s="904">
        <v>55</v>
      </c>
      <c r="DO9" s="904">
        <v>56</v>
      </c>
      <c r="DP9" s="904">
        <v>57</v>
      </c>
      <c r="DQ9" s="904">
        <v>58</v>
      </c>
      <c r="DR9" s="904">
        <v>59</v>
      </c>
      <c r="DS9" s="904">
        <v>60</v>
      </c>
      <c r="DT9" s="904">
        <v>61</v>
      </c>
      <c r="DU9" s="904">
        <v>62</v>
      </c>
      <c r="DV9" s="904">
        <v>63</v>
      </c>
      <c r="DW9" s="904">
        <v>64</v>
      </c>
      <c r="DX9" s="904">
        <v>65</v>
      </c>
      <c r="DY9" s="904">
        <v>66</v>
      </c>
      <c r="DZ9" s="904">
        <v>67</v>
      </c>
      <c r="EA9" s="904">
        <v>68</v>
      </c>
      <c r="EB9" s="904">
        <v>69</v>
      </c>
      <c r="EC9" s="904">
        <v>70</v>
      </c>
      <c r="ED9" s="904">
        <v>71</v>
      </c>
      <c r="EE9" s="904">
        <v>72</v>
      </c>
      <c r="EF9" s="904">
        <v>73</v>
      </c>
      <c r="EG9" s="904">
        <v>74</v>
      </c>
      <c r="EH9" s="904">
        <v>75</v>
      </c>
      <c r="EI9" s="904">
        <v>76</v>
      </c>
      <c r="EJ9" s="904">
        <v>77</v>
      </c>
      <c r="EK9" s="904">
        <v>78</v>
      </c>
      <c r="EL9" s="904">
        <v>79</v>
      </c>
      <c r="EM9" s="904">
        <v>80</v>
      </c>
      <c r="EN9" s="904">
        <v>81</v>
      </c>
      <c r="EO9" s="904">
        <v>82</v>
      </c>
      <c r="EP9" s="904">
        <v>83</v>
      </c>
    </row>
    <row r="10" spans="1:146" s="642" customFormat="1" ht="31" customHeight="1">
      <c r="B10" s="1066" t="s">
        <v>1025</v>
      </c>
      <c r="C10" s="1067" t="s">
        <v>620</v>
      </c>
      <c r="D10" s="1067" t="s">
        <v>1117</v>
      </c>
      <c r="E10" s="1067" t="s">
        <v>685</v>
      </c>
      <c r="F10" s="1068" t="s">
        <v>729</v>
      </c>
      <c r="G10" s="1067" t="s">
        <v>1034</v>
      </c>
      <c r="H10" s="1067" t="s">
        <v>1614</v>
      </c>
      <c r="I10" s="1067" t="s">
        <v>1613</v>
      </c>
      <c r="J10" s="1068" t="s">
        <v>49</v>
      </c>
      <c r="K10" s="1068" t="s">
        <v>51</v>
      </c>
      <c r="L10" s="1068" t="s">
        <v>53</v>
      </c>
      <c r="M10" s="1068" t="s">
        <v>57</v>
      </c>
      <c r="N10" s="1068" t="s">
        <v>58</v>
      </c>
      <c r="O10" s="1068" t="s">
        <v>59</v>
      </c>
      <c r="P10" s="1068" t="s">
        <v>61</v>
      </c>
      <c r="Q10" s="1068" t="s">
        <v>62</v>
      </c>
      <c r="R10" s="1068" t="s">
        <v>63</v>
      </c>
      <c r="S10" s="1068" t="s">
        <v>65</v>
      </c>
      <c r="T10" s="1068" t="s">
        <v>67</v>
      </c>
      <c r="U10" s="1068" t="s">
        <v>69</v>
      </c>
      <c r="V10" s="1068" t="s">
        <v>71</v>
      </c>
      <c r="W10" s="1068" t="s">
        <v>75</v>
      </c>
      <c r="X10" s="1068" t="s">
        <v>76</v>
      </c>
      <c r="Y10" s="1068" t="s">
        <v>77</v>
      </c>
      <c r="Z10" s="1068" t="s">
        <v>79</v>
      </c>
      <c r="AA10" s="1068" t="s">
        <v>80</v>
      </c>
      <c r="AB10" s="1068" t="s">
        <v>81</v>
      </c>
      <c r="AC10" s="1068" t="s">
        <v>83</v>
      </c>
      <c r="AD10" s="1068" t="s">
        <v>86</v>
      </c>
      <c r="AE10" s="1068" t="s">
        <v>90</v>
      </c>
      <c r="AF10" s="1068" t="s">
        <v>92</v>
      </c>
      <c r="AG10" s="1068" t="s">
        <v>94</v>
      </c>
      <c r="AH10" s="1068" t="s">
        <v>96</v>
      </c>
      <c r="AI10" s="1068" t="s">
        <v>98</v>
      </c>
      <c r="AJ10" s="1068" t="s">
        <v>100</v>
      </c>
      <c r="AK10" s="1068" t="s">
        <v>102</v>
      </c>
      <c r="AL10" s="1068" t="s">
        <v>104</v>
      </c>
      <c r="AM10" s="1068" t="s">
        <v>106</v>
      </c>
      <c r="AN10" s="1068" t="s">
        <v>108</v>
      </c>
      <c r="AO10" s="1068" t="s">
        <v>110</v>
      </c>
      <c r="AP10" s="1068" t="s">
        <v>112</v>
      </c>
      <c r="AQ10" s="1068" t="s">
        <v>115</v>
      </c>
      <c r="AR10" s="1068" t="s">
        <v>117</v>
      </c>
      <c r="AS10" s="1068" t="s">
        <v>623</v>
      </c>
      <c r="AT10" s="1068" t="s">
        <v>122</v>
      </c>
      <c r="AU10" s="1068" t="s">
        <v>124</v>
      </c>
      <c r="AV10" s="1068" t="s">
        <v>126</v>
      </c>
      <c r="AW10" s="1068" t="s">
        <v>129</v>
      </c>
      <c r="AX10" s="1068" t="s">
        <v>130</v>
      </c>
      <c r="AY10" s="1068" t="s">
        <v>132</v>
      </c>
      <c r="AZ10" s="1068" t="s">
        <v>135</v>
      </c>
      <c r="BA10" s="1068" t="s">
        <v>137</v>
      </c>
      <c r="BB10" s="1068" t="s">
        <v>139</v>
      </c>
      <c r="BC10" s="1068" t="s">
        <v>142</v>
      </c>
      <c r="BD10" s="1068" t="s">
        <v>144</v>
      </c>
      <c r="BE10" s="1068" t="s">
        <v>146</v>
      </c>
      <c r="BF10" s="1068" t="s">
        <v>150</v>
      </c>
      <c r="BG10" s="1068" t="s">
        <v>152</v>
      </c>
      <c r="BH10" s="1068" t="s">
        <v>156</v>
      </c>
      <c r="BI10" s="1068" t="s">
        <v>167</v>
      </c>
      <c r="BJ10" s="1071" t="s">
        <v>168</v>
      </c>
      <c r="BK10" s="1071" t="s">
        <v>161</v>
      </c>
      <c r="BL10" s="1071" t="s">
        <v>1025</v>
      </c>
      <c r="BM10" s="962" t="s">
        <v>172</v>
      </c>
      <c r="BN10" s="1067" t="s">
        <v>173</v>
      </c>
      <c r="BO10" s="1067" t="s">
        <v>1760</v>
      </c>
      <c r="BP10" s="1067" t="s">
        <v>1714</v>
      </c>
      <c r="BQ10" s="1067" t="s">
        <v>1765</v>
      </c>
      <c r="BR10" s="1067" t="s">
        <v>1764</v>
      </c>
      <c r="BS10" s="1067" t="s">
        <v>1763</v>
      </c>
      <c r="BT10" s="1067" t="s">
        <v>1762</v>
      </c>
      <c r="BU10" s="1067" t="s">
        <v>1761</v>
      </c>
      <c r="BV10" s="1067" t="s">
        <v>1766</v>
      </c>
      <c r="BW10" s="1067" t="s">
        <v>1767</v>
      </c>
      <c r="BX10" s="1067" t="s">
        <v>1768</v>
      </c>
      <c r="BY10" s="1067" t="s">
        <v>1769</v>
      </c>
      <c r="BZ10" s="1067" t="s">
        <v>1771</v>
      </c>
      <c r="CA10" s="1067" t="s">
        <v>1770</v>
      </c>
      <c r="CB10" s="1067" t="s">
        <v>1772</v>
      </c>
      <c r="CC10" s="1067" t="s">
        <v>1773</v>
      </c>
      <c r="CD10" s="962" t="s">
        <v>1893</v>
      </c>
      <c r="CE10" s="962" t="s">
        <v>1894</v>
      </c>
      <c r="CF10" s="1067" t="s">
        <v>1833</v>
      </c>
      <c r="CG10" s="1067" t="s">
        <v>1834</v>
      </c>
      <c r="CH10" s="1067" t="s">
        <v>1835</v>
      </c>
      <c r="CI10" s="1067" t="s">
        <v>1836</v>
      </c>
      <c r="CJ10" s="1067" t="s">
        <v>1837</v>
      </c>
      <c r="CK10" s="1067" t="s">
        <v>1838</v>
      </c>
      <c r="CL10" s="1067" t="s">
        <v>1839</v>
      </c>
      <c r="CM10" s="1067" t="s">
        <v>1840</v>
      </c>
      <c r="CN10" s="1067" t="s">
        <v>1841</v>
      </c>
      <c r="CO10" s="1067" t="s">
        <v>1842</v>
      </c>
      <c r="CP10" s="1067" t="s">
        <v>1843</v>
      </c>
      <c r="CQ10" s="1067" t="s">
        <v>1844</v>
      </c>
      <c r="CR10" s="1067" t="s">
        <v>1845</v>
      </c>
      <c r="CS10" s="1067" t="s">
        <v>1846</v>
      </c>
      <c r="CT10" s="1067" t="s">
        <v>1847</v>
      </c>
      <c r="CU10" s="1067" t="s">
        <v>1848</v>
      </c>
      <c r="CV10" s="1067" t="s">
        <v>1849</v>
      </c>
      <c r="CW10" s="1067" t="s">
        <v>1850</v>
      </c>
      <c r="CX10" s="1067" t="s">
        <v>1851</v>
      </c>
      <c r="CY10" s="1067" t="s">
        <v>1852</v>
      </c>
      <c r="CZ10" s="1067" t="s">
        <v>1853</v>
      </c>
      <c r="DA10" s="1067" t="s">
        <v>1854</v>
      </c>
      <c r="DB10" s="1067" t="s">
        <v>1855</v>
      </c>
      <c r="DC10" s="1067" t="s">
        <v>1856</v>
      </c>
      <c r="DD10" s="1067" t="s">
        <v>1857</v>
      </c>
      <c r="DE10" s="1067" t="s">
        <v>1895</v>
      </c>
      <c r="DF10" s="1067" t="s">
        <v>1858</v>
      </c>
      <c r="DG10" s="1067" t="s">
        <v>1859</v>
      </c>
      <c r="DH10" s="1067" t="s">
        <v>1860</v>
      </c>
      <c r="DI10" s="1067" t="s">
        <v>1861</v>
      </c>
      <c r="DJ10" s="1067" t="s">
        <v>1862</v>
      </c>
      <c r="DK10" s="1067" t="s">
        <v>1863</v>
      </c>
      <c r="DL10" s="1067" t="s">
        <v>1864</v>
      </c>
      <c r="DM10" s="1067" t="s">
        <v>1865</v>
      </c>
      <c r="DN10" s="1067" t="s">
        <v>1866</v>
      </c>
      <c r="DO10" s="1067" t="s">
        <v>1867</v>
      </c>
      <c r="DP10" s="1067" t="s">
        <v>1868</v>
      </c>
      <c r="DQ10" s="1067" t="s">
        <v>1869</v>
      </c>
      <c r="DR10" s="1067" t="s">
        <v>1870</v>
      </c>
      <c r="DS10" s="1067" t="s">
        <v>1871</v>
      </c>
      <c r="DT10" s="1067" t="s">
        <v>1872</v>
      </c>
      <c r="DU10" s="1067" t="s">
        <v>1873</v>
      </c>
      <c r="DV10" s="1067" t="s">
        <v>1874</v>
      </c>
      <c r="DW10" s="1067" t="s">
        <v>1875</v>
      </c>
      <c r="DX10" s="1067" t="s">
        <v>1876</v>
      </c>
      <c r="DY10" s="1067" t="s">
        <v>1877</v>
      </c>
      <c r="DZ10" s="1067" t="s">
        <v>1878</v>
      </c>
      <c r="EA10" s="1067" t="s">
        <v>1879</v>
      </c>
      <c r="EB10" s="1067" t="s">
        <v>1880</v>
      </c>
      <c r="EC10" s="1067" t="s">
        <v>1881</v>
      </c>
      <c r="ED10" s="1067" t="s">
        <v>1882</v>
      </c>
      <c r="EE10" s="1067" t="s">
        <v>1883</v>
      </c>
      <c r="EF10" s="1067" t="s">
        <v>1884</v>
      </c>
      <c r="EG10" s="1067" t="s">
        <v>1885</v>
      </c>
      <c r="EH10" s="1067" t="s">
        <v>1886</v>
      </c>
      <c r="EI10" s="1067" t="s">
        <v>1887</v>
      </c>
      <c r="EJ10" s="1067" t="s">
        <v>1888</v>
      </c>
      <c r="EK10" s="1067" t="s">
        <v>1889</v>
      </c>
      <c r="EL10" s="1067" t="s">
        <v>1890</v>
      </c>
      <c r="EM10" s="1067" t="s">
        <v>1891</v>
      </c>
      <c r="EN10" s="1067" t="s">
        <v>2482</v>
      </c>
      <c r="EO10" s="1067" t="s">
        <v>1892</v>
      </c>
      <c r="EP10" s="1069" t="s">
        <v>2483</v>
      </c>
    </row>
    <row r="11" spans="1:146" s="34" customFormat="1" ht="15" hidden="1" customHeight="1">
      <c r="A11" s="642"/>
      <c r="B11" s="1059" t="s">
        <v>182</v>
      </c>
      <c r="C11" s="1060"/>
      <c r="D11" s="1060"/>
      <c r="E11" s="1060"/>
      <c r="F11" s="1061"/>
      <c r="G11" s="1060"/>
      <c r="H11" s="1060"/>
      <c r="I11" s="1060"/>
      <c r="J11" s="1040"/>
      <c r="K11" s="1040"/>
      <c r="L11" s="1062"/>
      <c r="M11" s="1063"/>
      <c r="N11" s="1063"/>
      <c r="O11" s="1062"/>
      <c r="P11" s="1063"/>
      <c r="Q11" s="1063"/>
      <c r="R11" s="1062"/>
      <c r="S11" s="1063"/>
      <c r="T11" s="1063"/>
      <c r="U11" s="1062"/>
      <c r="V11" s="1064"/>
      <c r="W11" s="1063"/>
      <c r="X11" s="1063"/>
      <c r="Y11" s="1062"/>
      <c r="Z11" s="1063"/>
      <c r="AA11" s="1063"/>
      <c r="AB11" s="1062"/>
      <c r="AC11" s="1063"/>
      <c r="AD11" s="1063"/>
      <c r="AE11" s="1063"/>
      <c r="AF11" s="1063"/>
      <c r="AG11" s="1062"/>
      <c r="AH11" s="1063"/>
      <c r="AI11" s="1063"/>
      <c r="AJ11" s="1062"/>
      <c r="AK11" s="1063"/>
      <c r="AL11" s="1063"/>
      <c r="AM11" s="1062"/>
      <c r="AN11" s="1063"/>
      <c r="AO11" s="1063"/>
      <c r="AP11" s="1062"/>
      <c r="AQ11" s="1063"/>
      <c r="AR11" s="1063"/>
      <c r="AS11" s="1062"/>
      <c r="AT11" s="1063"/>
      <c r="AU11" s="1063"/>
      <c r="AV11" s="1064"/>
      <c r="AW11" s="1063"/>
      <c r="AX11" s="1063"/>
      <c r="AY11" s="1064"/>
      <c r="AZ11" s="1063"/>
      <c r="BA11" s="1063"/>
      <c r="BB11" s="1064"/>
      <c r="BC11" s="1063"/>
      <c r="BD11" s="1063"/>
      <c r="BE11" s="1064"/>
      <c r="BF11" s="1062"/>
      <c r="BG11" s="1062"/>
      <c r="BH11" s="1062"/>
      <c r="BI11" s="1062"/>
      <c r="BJ11" s="1062"/>
      <c r="BK11" s="1065"/>
      <c r="BL11" s="1065"/>
      <c r="BM11" s="1060"/>
      <c r="BN11" s="1060"/>
      <c r="BO11" s="1060"/>
      <c r="BP11" s="1060"/>
      <c r="BQ11" s="1060"/>
      <c r="BR11" s="1060"/>
      <c r="BS11" s="1060"/>
      <c r="BT11" s="1060"/>
      <c r="BU11" s="1060"/>
      <c r="BV11" s="1060"/>
      <c r="BW11" s="1060"/>
      <c r="BX11" s="1060"/>
      <c r="BY11" s="1060"/>
      <c r="BZ11" s="1060"/>
      <c r="CA11" s="1060"/>
      <c r="CB11" s="1060"/>
      <c r="CC11" s="1060"/>
      <c r="CD11" s="1074"/>
      <c r="CE11" s="1074"/>
    </row>
    <row r="12" spans="1:146" s="34" customFormat="1" ht="15" customHeight="1">
      <c r="A12" s="642"/>
      <c r="B12" s="1041" t="s">
        <v>1787</v>
      </c>
      <c r="C12" s="1041" t="s">
        <v>1173</v>
      </c>
      <c r="D12" s="1041" t="s">
        <v>1134</v>
      </c>
      <c r="E12" s="1041" t="s">
        <v>689</v>
      </c>
      <c r="F12" s="1049">
        <v>2014</v>
      </c>
      <c r="G12" s="1042">
        <v>1500000</v>
      </c>
      <c r="H12" s="1042">
        <v>1000</v>
      </c>
      <c r="I12" s="1043">
        <v>200000000000</v>
      </c>
      <c r="J12" s="1044">
        <v>2211845.436435</v>
      </c>
      <c r="K12" s="1044">
        <v>407383.41249999998</v>
      </c>
      <c r="L12" s="1045" t="s">
        <v>177</v>
      </c>
      <c r="M12" s="1044">
        <v>2592787.2000000002</v>
      </c>
      <c r="N12" s="1044">
        <v>765698.12060000014</v>
      </c>
      <c r="O12" s="1045" t="s">
        <v>177</v>
      </c>
      <c r="P12" s="1044" t="s">
        <v>176</v>
      </c>
      <c r="Q12" s="1044" t="s">
        <v>176</v>
      </c>
      <c r="R12" s="1045" t="s">
        <v>177</v>
      </c>
      <c r="S12" s="1044" t="s">
        <v>175</v>
      </c>
      <c r="T12" s="1044" t="s">
        <v>175</v>
      </c>
      <c r="U12" s="1045" t="s">
        <v>175</v>
      </c>
      <c r="V12" s="1046" t="s">
        <v>175</v>
      </c>
      <c r="W12" s="1044" t="s">
        <v>175</v>
      </c>
      <c r="X12" s="1044" t="s">
        <v>175</v>
      </c>
      <c r="Y12" s="1045" t="s">
        <v>175</v>
      </c>
      <c r="Z12" s="1044" t="s">
        <v>175</v>
      </c>
      <c r="AA12" s="1044" t="s">
        <v>175</v>
      </c>
      <c r="AB12" s="1045" t="s">
        <v>175</v>
      </c>
      <c r="AC12" s="1044" t="s">
        <v>175</v>
      </c>
      <c r="AD12" s="1044">
        <v>32142.33472328557</v>
      </c>
      <c r="AE12" s="1044">
        <v>2791098.9412952</v>
      </c>
      <c r="AF12" s="1044" t="s">
        <v>176</v>
      </c>
      <c r="AG12" s="1045" t="s">
        <v>177</v>
      </c>
      <c r="AH12" s="1044">
        <v>588272.17892480001</v>
      </c>
      <c r="AI12" s="1044">
        <v>273104.54521759995</v>
      </c>
      <c r="AJ12" s="1045" t="s">
        <v>177</v>
      </c>
      <c r="AK12" s="1044">
        <v>20258.495851789849</v>
      </c>
      <c r="AL12" s="1044" t="s">
        <v>175</v>
      </c>
      <c r="AM12" s="1045" t="s">
        <v>177</v>
      </c>
      <c r="AN12" s="1044" t="s">
        <v>175</v>
      </c>
      <c r="AO12" s="1044" t="s">
        <v>175</v>
      </c>
      <c r="AP12" s="1045" t="s">
        <v>175</v>
      </c>
      <c r="AQ12" s="1044" t="s">
        <v>175</v>
      </c>
      <c r="AR12" s="1044" t="s">
        <v>175</v>
      </c>
      <c r="AS12" s="1045" t="s">
        <v>177</v>
      </c>
      <c r="AT12" s="1044">
        <v>2000000</v>
      </c>
      <c r="AU12" s="1044">
        <v>0</v>
      </c>
      <c r="AV12" s="1046">
        <v>0</v>
      </c>
      <c r="AW12" s="1044">
        <v>0</v>
      </c>
      <c r="AX12" s="1044">
        <v>0</v>
      </c>
      <c r="AY12" s="1046">
        <v>0</v>
      </c>
      <c r="AZ12" s="1044">
        <v>0</v>
      </c>
      <c r="BA12" s="1044">
        <v>0</v>
      </c>
      <c r="BB12" s="1046">
        <v>0</v>
      </c>
      <c r="BC12" s="1044">
        <v>50000</v>
      </c>
      <c r="BD12" s="1044">
        <v>0</v>
      </c>
      <c r="BE12" s="1046">
        <v>0</v>
      </c>
      <c r="BF12" s="1045">
        <v>2500000</v>
      </c>
      <c r="BG12" s="1045" t="s">
        <v>177</v>
      </c>
      <c r="BH12" s="1045">
        <v>1500000</v>
      </c>
      <c r="BI12" s="1045">
        <v>1000000</v>
      </c>
      <c r="BJ12" s="1045">
        <v>200000</v>
      </c>
      <c r="BK12" s="1047">
        <v>168000</v>
      </c>
      <c r="BL12" s="1076" t="s">
        <v>1787</v>
      </c>
      <c r="BM12" s="1044">
        <v>11732590.665547676</v>
      </c>
      <c r="BN12" s="1045">
        <v>16932590.665547676</v>
      </c>
      <c r="BO12" s="1047">
        <v>17100590.665547676</v>
      </c>
      <c r="BP12" s="1046">
        <v>15486404.587230075</v>
      </c>
      <c r="BQ12" s="1044">
        <v>6009856.5042582862</v>
      </c>
      <c r="BR12" s="1044">
        <v>3672734.1612893902</v>
      </c>
      <c r="BS12" s="1044">
        <v>2050000</v>
      </c>
      <c r="BT12" s="1045">
        <v>6009856.5042582862</v>
      </c>
      <c r="BU12" s="1045">
        <v>3672734.1612893902</v>
      </c>
      <c r="BV12" s="1045">
        <v>2050000</v>
      </c>
      <c r="BW12" s="1045">
        <v>2500000</v>
      </c>
      <c r="BX12" s="1045">
        <v>2700000</v>
      </c>
      <c r="BY12" s="1046">
        <v>4836774.9711582856</v>
      </c>
      <c r="BZ12" s="1046" t="s">
        <v>1637</v>
      </c>
      <c r="CA12" s="1046">
        <v>3399629.61607179</v>
      </c>
      <c r="CB12" s="1046">
        <v>2050000</v>
      </c>
      <c r="CC12" s="1046" t="s">
        <v>1637</v>
      </c>
      <c r="CD12" s="1046">
        <v>2500000</v>
      </c>
      <c r="CE12" s="1046">
        <v>2700000</v>
      </c>
      <c r="CF12" s="1460">
        <v>2619228.8489350001</v>
      </c>
      <c r="CG12" s="1460">
        <v>3358485.3206000002</v>
      </c>
      <c r="CH12" s="1460" t="s">
        <v>1637</v>
      </c>
      <c r="CI12" s="1460" t="s">
        <v>1637</v>
      </c>
      <c r="CJ12" s="1123" t="s">
        <v>1637</v>
      </c>
      <c r="CK12" s="1123" t="s">
        <v>1637</v>
      </c>
      <c r="CL12" s="1123" t="s">
        <v>1637</v>
      </c>
      <c r="CM12" s="1123">
        <v>32142.33472328557</v>
      </c>
      <c r="CN12" s="1123">
        <v>2791098.9412952</v>
      </c>
      <c r="CO12" s="1123">
        <v>861376.72414239997</v>
      </c>
      <c r="CP12" s="1123">
        <v>20258.495851789849</v>
      </c>
      <c r="CQ12" s="1123" t="s">
        <v>1637</v>
      </c>
      <c r="CR12" s="1123" t="s">
        <v>1637</v>
      </c>
      <c r="CS12" s="1123">
        <v>2000000</v>
      </c>
      <c r="CT12" s="1123" t="s">
        <v>1637</v>
      </c>
      <c r="CU12" s="1123" t="s">
        <v>1637</v>
      </c>
      <c r="CV12" s="1123">
        <v>50000</v>
      </c>
      <c r="CW12" s="1114" t="s">
        <v>1637</v>
      </c>
      <c r="CX12" s="1114" t="s">
        <v>1637</v>
      </c>
      <c r="CY12" s="1114" t="s">
        <v>1637</v>
      </c>
      <c r="CZ12" s="1114" t="s">
        <v>1637</v>
      </c>
      <c r="DA12" s="1114">
        <v>32142.33472328557</v>
      </c>
      <c r="DB12" s="1114">
        <v>6009856.5042582862</v>
      </c>
      <c r="DC12" s="1114" t="s">
        <v>1637</v>
      </c>
      <c r="DD12" s="1114">
        <v>32142.33472328557</v>
      </c>
      <c r="DE12" s="1114" t="s">
        <v>1637</v>
      </c>
      <c r="DF12" s="1114" t="s">
        <v>1637</v>
      </c>
      <c r="DG12" s="1114">
        <v>3672734.1612893902</v>
      </c>
      <c r="DH12" s="1114" t="s">
        <v>1637</v>
      </c>
      <c r="DI12" s="1114">
        <v>2000000</v>
      </c>
      <c r="DJ12" s="1114">
        <v>2000000</v>
      </c>
      <c r="DK12" s="1114" t="s">
        <v>1637</v>
      </c>
      <c r="DL12" s="1114" t="s">
        <v>1637</v>
      </c>
      <c r="DM12" s="1114">
        <v>50000</v>
      </c>
      <c r="DN12" s="1114" t="s">
        <v>1637</v>
      </c>
      <c r="DO12" s="1114">
        <v>1500000</v>
      </c>
      <c r="DP12" s="1114">
        <v>2700000</v>
      </c>
      <c r="DQ12" s="1114" t="s">
        <v>1637</v>
      </c>
      <c r="DR12" s="1114">
        <v>168000</v>
      </c>
      <c r="DS12" s="1115" t="s">
        <v>1637</v>
      </c>
      <c r="DT12" s="1116" t="s">
        <v>1637</v>
      </c>
      <c r="DU12" s="1116" t="s">
        <v>1637</v>
      </c>
      <c r="DV12" s="1116" t="s">
        <v>1637</v>
      </c>
      <c r="DW12" s="1116" t="s">
        <v>1637</v>
      </c>
      <c r="DX12" s="1116" t="s">
        <v>1637</v>
      </c>
      <c r="DY12" s="1116">
        <v>32142.33472328557</v>
      </c>
      <c r="DZ12" s="1116">
        <v>4836774.9711582856</v>
      </c>
      <c r="EA12" s="1116" t="s">
        <v>1637</v>
      </c>
      <c r="EB12" s="1116">
        <v>32142.33472328557</v>
      </c>
      <c r="EC12" s="1116" t="s">
        <v>1637</v>
      </c>
      <c r="ED12" s="1116" t="s">
        <v>1637</v>
      </c>
      <c r="EE12" s="1116">
        <v>3399629.61607179</v>
      </c>
      <c r="EF12" s="1116" t="s">
        <v>1637</v>
      </c>
      <c r="EG12" s="1116">
        <v>2000000</v>
      </c>
      <c r="EH12" s="1116">
        <v>50000</v>
      </c>
      <c r="EI12" s="1116">
        <v>2050000</v>
      </c>
      <c r="EJ12" s="1116" t="s">
        <v>1637</v>
      </c>
      <c r="EK12" s="1116">
        <v>2500000</v>
      </c>
      <c r="EL12" s="1116" t="s">
        <v>1637</v>
      </c>
      <c r="EM12" s="1116">
        <v>1500000</v>
      </c>
      <c r="EN12" s="1116">
        <v>2700000</v>
      </c>
      <c r="EO12" s="1116" t="s">
        <v>1637</v>
      </c>
      <c r="EP12" s="1116">
        <v>168000</v>
      </c>
    </row>
    <row r="13" spans="1:146" s="1121" customFormat="1" ht="15" customHeight="1">
      <c r="A13" s="15"/>
      <c r="B13" s="1055" t="s">
        <v>1753</v>
      </c>
      <c r="C13" s="1055" t="s">
        <v>1313</v>
      </c>
      <c r="D13" s="1055" t="s">
        <v>1645</v>
      </c>
      <c r="E13" s="1055" t="s">
        <v>689</v>
      </c>
      <c r="F13" s="1049">
        <v>2014</v>
      </c>
      <c r="G13" s="1049">
        <v>3400000</v>
      </c>
      <c r="H13" s="1049">
        <v>801.92</v>
      </c>
      <c r="I13" s="1043">
        <v>15068000000</v>
      </c>
      <c r="J13" s="1051">
        <v>483248.6152</v>
      </c>
      <c r="K13" s="1051">
        <v>1968947.0314325637</v>
      </c>
      <c r="L13" s="1052" t="s">
        <v>177</v>
      </c>
      <c r="M13" s="1051">
        <v>324177.9565731418</v>
      </c>
      <c r="N13" s="1051">
        <v>1650150.0633058769</v>
      </c>
      <c r="O13" s="1052" t="s">
        <v>177</v>
      </c>
      <c r="P13" s="1051">
        <v>54447.44720000001</v>
      </c>
      <c r="Q13" s="1051">
        <v>273706.57809387986</v>
      </c>
      <c r="R13" s="1052" t="s">
        <v>177</v>
      </c>
      <c r="S13" s="1051" t="s">
        <v>175</v>
      </c>
      <c r="T13" s="1051" t="s">
        <v>175</v>
      </c>
      <c r="U13" s="1052" t="s">
        <v>175</v>
      </c>
      <c r="V13" s="1053" t="s">
        <v>175</v>
      </c>
      <c r="W13" s="1051" t="s">
        <v>175</v>
      </c>
      <c r="X13" s="1051" t="s">
        <v>175</v>
      </c>
      <c r="Y13" s="1052" t="s">
        <v>175</v>
      </c>
      <c r="Z13" s="1051" t="s">
        <v>175</v>
      </c>
      <c r="AA13" s="1051" t="s">
        <v>175</v>
      </c>
      <c r="AB13" s="1052" t="s">
        <v>175</v>
      </c>
      <c r="AC13" s="1051" t="s">
        <v>175</v>
      </c>
      <c r="AD13" s="1051" t="s">
        <v>175</v>
      </c>
      <c r="AE13" s="1051">
        <v>2267555.2573226788</v>
      </c>
      <c r="AF13" s="1051" t="s">
        <v>175</v>
      </c>
      <c r="AG13" s="1052" t="s">
        <v>177</v>
      </c>
      <c r="AH13" s="1051" t="s">
        <v>175</v>
      </c>
      <c r="AI13" s="1051" t="s">
        <v>175</v>
      </c>
      <c r="AJ13" s="1052" t="s">
        <v>175</v>
      </c>
      <c r="AK13" s="1051" t="s">
        <v>175</v>
      </c>
      <c r="AL13" s="1051" t="s">
        <v>175</v>
      </c>
      <c r="AM13" s="1052" t="s">
        <v>175</v>
      </c>
      <c r="AN13" s="1051" t="s">
        <v>175</v>
      </c>
      <c r="AO13" s="1051" t="s">
        <v>175</v>
      </c>
      <c r="AP13" s="1052" t="s">
        <v>177</v>
      </c>
      <c r="AQ13" s="1051" t="s">
        <v>175</v>
      </c>
      <c r="AR13" s="1051" t="s">
        <v>175</v>
      </c>
      <c r="AS13" s="1052" t="s">
        <v>177</v>
      </c>
      <c r="AT13" s="1051">
        <v>164198.02410000007</v>
      </c>
      <c r="AU13" s="1051" t="s">
        <v>175</v>
      </c>
      <c r="AV13" s="1053">
        <v>28976.121900000006</v>
      </c>
      <c r="AW13" s="1051" t="s">
        <v>175</v>
      </c>
      <c r="AX13" s="1051" t="s">
        <v>175</v>
      </c>
      <c r="AY13" s="1053" t="s">
        <v>175</v>
      </c>
      <c r="AZ13" s="1051" t="s">
        <v>175</v>
      </c>
      <c r="BA13" s="1051" t="s">
        <v>175</v>
      </c>
      <c r="BB13" s="1053" t="s">
        <v>175</v>
      </c>
      <c r="BC13" s="1051" t="s">
        <v>175</v>
      </c>
      <c r="BD13" s="1051">
        <v>244990.84</v>
      </c>
      <c r="BE13" s="1053" t="s">
        <v>175</v>
      </c>
      <c r="BF13" s="1052" t="s">
        <v>177</v>
      </c>
      <c r="BG13" s="1052" t="s">
        <v>177</v>
      </c>
      <c r="BH13" s="1052" t="s">
        <v>177</v>
      </c>
      <c r="BI13" s="1052" t="s">
        <v>177</v>
      </c>
      <c r="BJ13" s="1052" t="s">
        <v>177</v>
      </c>
      <c r="BK13" s="1054" t="s">
        <v>177</v>
      </c>
      <c r="BL13" s="1055" t="s">
        <v>1753</v>
      </c>
      <c r="BM13" s="1051">
        <v>7431421.8132281415</v>
      </c>
      <c r="BN13" s="1052">
        <v>7431421.8132281415</v>
      </c>
      <c r="BO13" s="1054">
        <v>7431421.8132281415</v>
      </c>
      <c r="BP13" s="1053">
        <v>3322603.4222958209</v>
      </c>
      <c r="BQ13" s="1051">
        <v>4754677.6918054624</v>
      </c>
      <c r="BR13" s="1051">
        <v>2267555.2573226788</v>
      </c>
      <c r="BS13" s="1051">
        <v>409188.86410000006</v>
      </c>
      <c r="BT13" s="1052">
        <v>4754677.6918054624</v>
      </c>
      <c r="BU13" s="1052">
        <v>2267555.2573226788</v>
      </c>
      <c r="BV13" s="1052">
        <v>409188.86410000006</v>
      </c>
      <c r="BW13" s="1052" t="s">
        <v>1637</v>
      </c>
      <c r="BX13" s="1052" t="s">
        <v>1637</v>
      </c>
      <c r="BY13" s="1053">
        <v>861874.01897314191</v>
      </c>
      <c r="BZ13" s="1053" t="s">
        <v>1637</v>
      </c>
      <c r="CA13" s="1053">
        <v>2267555.2573226788</v>
      </c>
      <c r="CB13" s="1053">
        <v>164198.02410000007</v>
      </c>
      <c r="CC13" s="1053">
        <v>28976.121900000006</v>
      </c>
      <c r="CD13" s="1053" t="s">
        <v>1637</v>
      </c>
      <c r="CE13" s="1053" t="s">
        <v>1637</v>
      </c>
      <c r="CF13" s="1051">
        <v>2452195.6466325638</v>
      </c>
      <c r="CG13" s="1051">
        <v>1974328.0198790187</v>
      </c>
      <c r="CH13" s="1051">
        <v>328154.02529387985</v>
      </c>
      <c r="CI13" s="1051" t="s">
        <v>1637</v>
      </c>
      <c r="CJ13" s="1051" t="s">
        <v>1637</v>
      </c>
      <c r="CK13" s="1051" t="s">
        <v>1637</v>
      </c>
      <c r="CL13" s="1051" t="s">
        <v>1637</v>
      </c>
      <c r="CM13" s="1051" t="s">
        <v>1637</v>
      </c>
      <c r="CN13" s="1051">
        <v>2267555.2573226788</v>
      </c>
      <c r="CO13" s="1051" t="s">
        <v>1637</v>
      </c>
      <c r="CP13" s="1051" t="s">
        <v>1637</v>
      </c>
      <c r="CQ13" s="1051" t="s">
        <v>1637</v>
      </c>
      <c r="CR13" s="1051" t="s">
        <v>1637</v>
      </c>
      <c r="CS13" s="1051">
        <v>164198.02410000007</v>
      </c>
      <c r="CT13" s="1051" t="s">
        <v>1637</v>
      </c>
      <c r="CU13" s="1051" t="s">
        <v>1637</v>
      </c>
      <c r="CV13" s="1051">
        <v>244990.84</v>
      </c>
      <c r="CW13" s="1118">
        <v>2452195.6466325638</v>
      </c>
      <c r="CX13" s="1118">
        <v>1974328.0198790187</v>
      </c>
      <c r="CY13" s="1118">
        <v>328154.02529387985</v>
      </c>
      <c r="CZ13" s="1118" t="s">
        <v>1637</v>
      </c>
      <c r="DA13" s="1118" t="s">
        <v>1637</v>
      </c>
      <c r="DB13" s="1118" t="s">
        <v>1637</v>
      </c>
      <c r="DC13" s="1118" t="s">
        <v>1637</v>
      </c>
      <c r="DD13" s="1118" t="s">
        <v>1637</v>
      </c>
      <c r="DE13" s="1118">
        <v>2267555.2573226788</v>
      </c>
      <c r="DF13" s="1118" t="s">
        <v>1637</v>
      </c>
      <c r="DG13" s="1118" t="s">
        <v>1637</v>
      </c>
      <c r="DH13" s="1118" t="s">
        <v>1637</v>
      </c>
      <c r="DI13" s="1118" t="s">
        <v>1637</v>
      </c>
      <c r="DJ13" s="1118">
        <v>164198.02410000007</v>
      </c>
      <c r="DK13" s="1118" t="s">
        <v>1637</v>
      </c>
      <c r="DL13" s="1118" t="s">
        <v>1637</v>
      </c>
      <c r="DM13" s="1118">
        <v>244990.84</v>
      </c>
      <c r="DN13" s="1118" t="s">
        <v>1637</v>
      </c>
      <c r="DO13" s="1118" t="s">
        <v>1637</v>
      </c>
      <c r="DP13" s="1118" t="s">
        <v>1637</v>
      </c>
      <c r="DQ13" s="1118" t="s">
        <v>1637</v>
      </c>
      <c r="DR13" s="1118" t="s">
        <v>1637</v>
      </c>
      <c r="DS13" s="1119" t="s">
        <v>1637</v>
      </c>
      <c r="DT13" s="1120">
        <v>483248.6152</v>
      </c>
      <c r="DU13" s="1120">
        <v>324177.9565731418</v>
      </c>
      <c r="DV13" s="1120">
        <v>54447.44720000001</v>
      </c>
      <c r="DW13" s="1120" t="s">
        <v>1637</v>
      </c>
      <c r="DX13" s="1120" t="s">
        <v>1637</v>
      </c>
      <c r="DY13" s="1120" t="s">
        <v>1637</v>
      </c>
      <c r="DZ13" s="1120" t="s">
        <v>1637</v>
      </c>
      <c r="EA13" s="1120" t="s">
        <v>1637</v>
      </c>
      <c r="EB13" s="1120" t="s">
        <v>1637</v>
      </c>
      <c r="EC13" s="1120">
        <v>2267555.2573226788</v>
      </c>
      <c r="ED13" s="1120" t="s">
        <v>1637</v>
      </c>
      <c r="EE13" s="1120" t="s">
        <v>1637</v>
      </c>
      <c r="EF13" s="1120" t="s">
        <v>1637</v>
      </c>
      <c r="EG13" s="1120" t="s">
        <v>1637</v>
      </c>
      <c r="EH13" s="1120">
        <v>193174.14600000007</v>
      </c>
      <c r="EI13" s="1120" t="s">
        <v>1637</v>
      </c>
      <c r="EJ13" s="1120" t="s">
        <v>1637</v>
      </c>
      <c r="EK13" s="1120" t="s">
        <v>1637</v>
      </c>
      <c r="EL13" s="1120" t="s">
        <v>1637</v>
      </c>
      <c r="EM13" s="1120" t="s">
        <v>1637</v>
      </c>
      <c r="EN13" s="1120" t="s">
        <v>1637</v>
      </c>
      <c r="EO13" s="1120" t="s">
        <v>1637</v>
      </c>
      <c r="EP13" s="1120" t="s">
        <v>1637</v>
      </c>
    </row>
    <row r="14" spans="1:146" s="1121" customFormat="1" ht="15" customHeight="1">
      <c r="A14" s="15"/>
      <c r="B14" s="1055" t="s">
        <v>1743</v>
      </c>
      <c r="C14" s="1055" t="s">
        <v>1173</v>
      </c>
      <c r="D14" s="1055" t="s">
        <v>1134</v>
      </c>
      <c r="E14" s="1055" t="s">
        <v>687</v>
      </c>
      <c r="F14" s="1049">
        <v>2014</v>
      </c>
      <c r="G14" s="1049">
        <v>664046</v>
      </c>
      <c r="H14" s="1049">
        <v>39</v>
      </c>
      <c r="I14" s="1043">
        <v>22249382330</v>
      </c>
      <c r="J14" s="1051">
        <v>276488.06254906149</v>
      </c>
      <c r="K14" s="1051">
        <v>1685927.8579662237</v>
      </c>
      <c r="L14" s="1052" t="s">
        <v>176</v>
      </c>
      <c r="M14" s="1051">
        <v>713.89134517095306</v>
      </c>
      <c r="N14" s="1051">
        <v>1330926.5965112215</v>
      </c>
      <c r="O14" s="1052" t="s">
        <v>176</v>
      </c>
      <c r="P14" s="1051">
        <v>19266.569691914003</v>
      </c>
      <c r="Q14" s="1051">
        <v>18002.491181884183</v>
      </c>
      <c r="R14" s="1052" t="s">
        <v>177</v>
      </c>
      <c r="S14" s="1051" t="s">
        <v>175</v>
      </c>
      <c r="T14" s="1051" t="s">
        <v>175</v>
      </c>
      <c r="U14" s="1052" t="s">
        <v>175</v>
      </c>
      <c r="V14" s="1053" t="s">
        <v>175</v>
      </c>
      <c r="W14" s="1051" t="s">
        <v>175</v>
      </c>
      <c r="X14" s="1051" t="s">
        <v>175</v>
      </c>
      <c r="Y14" s="1052" t="s">
        <v>175</v>
      </c>
      <c r="Z14" s="1051" t="s">
        <v>175</v>
      </c>
      <c r="AA14" s="1051" t="s">
        <v>175</v>
      </c>
      <c r="AB14" s="1052" t="s">
        <v>175</v>
      </c>
      <c r="AC14" s="1051" t="s">
        <v>175</v>
      </c>
      <c r="AD14" s="1051">
        <v>365.80226524816146</v>
      </c>
      <c r="AE14" s="1051">
        <v>988587.28605382703</v>
      </c>
      <c r="AF14" s="1051">
        <v>27166.739133837291</v>
      </c>
      <c r="AG14" s="1052" t="s">
        <v>177</v>
      </c>
      <c r="AH14" s="1051" t="s">
        <v>175</v>
      </c>
      <c r="AI14" s="1051">
        <v>48775.41055224336</v>
      </c>
      <c r="AJ14" s="1052" t="s">
        <v>175</v>
      </c>
      <c r="AK14" s="1051" t="s">
        <v>175</v>
      </c>
      <c r="AL14" s="1051" t="s">
        <v>175</v>
      </c>
      <c r="AM14" s="1052" t="s">
        <v>175</v>
      </c>
      <c r="AN14" s="1051" t="s">
        <v>175</v>
      </c>
      <c r="AO14" s="1051" t="s">
        <v>175</v>
      </c>
      <c r="AP14" s="1052">
        <v>66349.7505400144</v>
      </c>
      <c r="AQ14" s="1051" t="s">
        <v>175</v>
      </c>
      <c r="AR14" s="1051" t="s">
        <v>175</v>
      </c>
      <c r="AS14" s="1052" t="s">
        <v>175</v>
      </c>
      <c r="AT14" s="1051" t="s">
        <v>175</v>
      </c>
      <c r="AU14" s="1051">
        <v>334081.98494235403</v>
      </c>
      <c r="AV14" s="1053" t="s">
        <v>175</v>
      </c>
      <c r="AW14" s="1051" t="s">
        <v>175</v>
      </c>
      <c r="AX14" s="1051">
        <v>40.565692000000006</v>
      </c>
      <c r="AY14" s="1053" t="s">
        <v>175</v>
      </c>
      <c r="AZ14" s="1051" t="s">
        <v>175</v>
      </c>
      <c r="BA14" s="1051" t="s">
        <v>175</v>
      </c>
      <c r="BB14" s="1053" t="s">
        <v>175</v>
      </c>
      <c r="BC14" s="1051" t="s">
        <v>175</v>
      </c>
      <c r="BD14" s="1051">
        <v>23341.621173909993</v>
      </c>
      <c r="BE14" s="1053" t="s">
        <v>175</v>
      </c>
      <c r="BF14" s="1052" t="s">
        <v>177</v>
      </c>
      <c r="BG14" s="1052" t="s">
        <v>177</v>
      </c>
      <c r="BH14" s="1052" t="s">
        <v>175</v>
      </c>
      <c r="BI14" s="1052" t="s">
        <v>175</v>
      </c>
      <c r="BJ14" s="1052" t="s">
        <v>175</v>
      </c>
      <c r="BK14" s="1054" t="s">
        <v>177</v>
      </c>
      <c r="BL14" s="1117" t="s">
        <v>1743</v>
      </c>
      <c r="BM14" s="1051">
        <v>4753684.8790588956</v>
      </c>
      <c r="BN14" s="1052">
        <v>4820034.62959891</v>
      </c>
      <c r="BO14" s="1054">
        <v>4820034.62959891</v>
      </c>
      <c r="BP14" s="1053">
        <v>1285421.6119052216</v>
      </c>
      <c r="BQ14" s="1051">
        <v>3331691.271510724</v>
      </c>
      <c r="BR14" s="1051">
        <v>1064529.4357399077</v>
      </c>
      <c r="BS14" s="1051">
        <v>357464.17180826399</v>
      </c>
      <c r="BT14" s="1052">
        <v>3331691.271510724</v>
      </c>
      <c r="BU14" s="1052">
        <v>1130879.186279922</v>
      </c>
      <c r="BV14" s="1052">
        <v>357464.17180826399</v>
      </c>
      <c r="BW14" s="1052" t="s">
        <v>1637</v>
      </c>
      <c r="BX14" s="1052" t="s">
        <v>1637</v>
      </c>
      <c r="BY14" s="1053">
        <v>296834.32585139462</v>
      </c>
      <c r="BZ14" s="1053" t="s">
        <v>1637</v>
      </c>
      <c r="CA14" s="1053">
        <v>988587.28605382703</v>
      </c>
      <c r="CB14" s="1053" t="s">
        <v>1637</v>
      </c>
      <c r="CC14" s="1053" t="s">
        <v>1637</v>
      </c>
      <c r="CD14" s="1053" t="s">
        <v>1637</v>
      </c>
      <c r="CE14" s="1053" t="s">
        <v>1637</v>
      </c>
      <c r="CF14" s="1051">
        <v>1962415.9205152853</v>
      </c>
      <c r="CG14" s="1051">
        <v>1331640.4878563925</v>
      </c>
      <c r="CH14" s="1051">
        <v>37269.060873798182</v>
      </c>
      <c r="CI14" s="1051" t="s">
        <v>1637</v>
      </c>
      <c r="CJ14" s="1051" t="s">
        <v>1637</v>
      </c>
      <c r="CK14" s="1051" t="s">
        <v>1637</v>
      </c>
      <c r="CL14" s="1051" t="s">
        <v>1637</v>
      </c>
      <c r="CM14" s="1051">
        <v>365.80226524816146</v>
      </c>
      <c r="CN14" s="1051">
        <v>1015754.0251876643</v>
      </c>
      <c r="CO14" s="1051">
        <v>48775.41055224336</v>
      </c>
      <c r="CP14" s="1051" t="s">
        <v>1637</v>
      </c>
      <c r="CQ14" s="1051" t="s">
        <v>1637</v>
      </c>
      <c r="CR14" s="1051" t="s">
        <v>1637</v>
      </c>
      <c r="CS14" s="1051">
        <v>334081.98494235403</v>
      </c>
      <c r="CT14" s="1051">
        <v>40.565692000000006</v>
      </c>
      <c r="CU14" s="1051" t="s">
        <v>1637</v>
      </c>
      <c r="CV14" s="1051">
        <v>23341.621173909993</v>
      </c>
      <c r="CW14" s="1118">
        <v>1962415.9205152853</v>
      </c>
      <c r="CX14" s="1118">
        <v>1331640.4878563925</v>
      </c>
      <c r="CY14" s="1118">
        <v>37269.060873798182</v>
      </c>
      <c r="CZ14" s="1118" t="s">
        <v>1637</v>
      </c>
      <c r="DA14" s="1118" t="s">
        <v>1637</v>
      </c>
      <c r="DB14" s="1118" t="s">
        <v>1637</v>
      </c>
      <c r="DC14" s="1118" t="s">
        <v>1637</v>
      </c>
      <c r="DD14" s="1118">
        <v>365.80226524816146</v>
      </c>
      <c r="DE14" s="1118">
        <v>1015754.0251876643</v>
      </c>
      <c r="DF14" s="1118">
        <v>48775.41055224336</v>
      </c>
      <c r="DG14" s="1118" t="s">
        <v>1637</v>
      </c>
      <c r="DH14" s="1118">
        <v>66349.7505400144</v>
      </c>
      <c r="DI14" s="1118" t="s">
        <v>1637</v>
      </c>
      <c r="DJ14" s="1118">
        <v>334081.98494235403</v>
      </c>
      <c r="DK14" s="1118">
        <v>40.565692000000006</v>
      </c>
      <c r="DL14" s="1118" t="s">
        <v>1637</v>
      </c>
      <c r="DM14" s="1118">
        <v>23341.621173909993</v>
      </c>
      <c r="DN14" s="1118" t="s">
        <v>1637</v>
      </c>
      <c r="DO14" s="1118" t="s">
        <v>1637</v>
      </c>
      <c r="DP14" s="1118" t="s">
        <v>1637</v>
      </c>
      <c r="DQ14" s="1118" t="s">
        <v>1637</v>
      </c>
      <c r="DR14" s="1118" t="s">
        <v>1637</v>
      </c>
      <c r="DS14" s="1119" t="s">
        <v>1637</v>
      </c>
      <c r="DT14" s="1120">
        <v>276488.06254906149</v>
      </c>
      <c r="DU14" s="1120">
        <v>713.89134517095306</v>
      </c>
      <c r="DV14" s="1120">
        <v>19266.569691914003</v>
      </c>
      <c r="DW14" s="1120" t="s">
        <v>1637</v>
      </c>
      <c r="DX14" s="1120" t="s">
        <v>1637</v>
      </c>
      <c r="DY14" s="1120" t="s">
        <v>1637</v>
      </c>
      <c r="DZ14" s="1120" t="s">
        <v>1637</v>
      </c>
      <c r="EA14" s="1120" t="s">
        <v>1637</v>
      </c>
      <c r="EB14" s="1120">
        <v>365.80226524816146</v>
      </c>
      <c r="EC14" s="1120">
        <v>988587.28605382703</v>
      </c>
      <c r="ED14" s="1120" t="s">
        <v>1637</v>
      </c>
      <c r="EE14" s="1120" t="s">
        <v>1637</v>
      </c>
      <c r="EF14" s="1120" t="s">
        <v>1637</v>
      </c>
      <c r="EG14" s="1120" t="s">
        <v>1637</v>
      </c>
      <c r="EH14" s="1120" t="s">
        <v>1637</v>
      </c>
      <c r="EI14" s="1120" t="s">
        <v>1637</v>
      </c>
      <c r="EJ14" s="1120" t="s">
        <v>1637</v>
      </c>
      <c r="EK14" s="1120" t="s">
        <v>1637</v>
      </c>
      <c r="EL14" s="1120" t="s">
        <v>1637</v>
      </c>
      <c r="EM14" s="1120" t="s">
        <v>1637</v>
      </c>
      <c r="EN14" s="1120" t="s">
        <v>1637</v>
      </c>
      <c r="EO14" s="1120" t="s">
        <v>1637</v>
      </c>
      <c r="EP14" s="1120" t="s">
        <v>1637</v>
      </c>
    </row>
    <row r="15" spans="1:146" s="1121" customFormat="1" ht="15" customHeight="1">
      <c r="A15" s="15"/>
      <c r="B15" s="1055" t="s">
        <v>1747</v>
      </c>
      <c r="C15" s="1055" t="s">
        <v>1748</v>
      </c>
      <c r="D15" s="1048" t="s">
        <v>1641</v>
      </c>
      <c r="E15" s="1055" t="s">
        <v>687</v>
      </c>
      <c r="F15" s="1049">
        <v>2012</v>
      </c>
      <c r="G15" s="1049">
        <v>7571345</v>
      </c>
      <c r="H15" s="1049">
        <v>1636.6</v>
      </c>
      <c r="I15" s="1043">
        <f>(1/1797)*122994*1000000000</f>
        <v>68444073455.759605</v>
      </c>
      <c r="J15" s="1051">
        <v>765140.46046302898</v>
      </c>
      <c r="K15" s="1051">
        <v>1394887.7965676526</v>
      </c>
      <c r="L15" s="1052" t="s">
        <v>177</v>
      </c>
      <c r="M15" s="1051">
        <v>1776265.5309885843</v>
      </c>
      <c r="N15" s="1051">
        <v>782986.45746494574</v>
      </c>
      <c r="O15" s="1052" t="s">
        <v>177</v>
      </c>
      <c r="P15" s="1051">
        <v>1672673.8942635136</v>
      </c>
      <c r="Q15" s="1051">
        <v>223495.33346062616</v>
      </c>
      <c r="R15" s="1052" t="s">
        <v>177</v>
      </c>
      <c r="S15" s="1051" t="s">
        <v>175</v>
      </c>
      <c r="T15" s="1051" t="s">
        <v>175</v>
      </c>
      <c r="U15" s="1052" t="s">
        <v>175</v>
      </c>
      <c r="V15" s="1053" t="s">
        <v>175</v>
      </c>
      <c r="W15" s="1051">
        <v>49732.085577456193</v>
      </c>
      <c r="X15" s="1051" t="s">
        <v>176</v>
      </c>
      <c r="Y15" s="1052" t="s">
        <v>177</v>
      </c>
      <c r="Z15" s="1051">
        <v>1374.7727342043763</v>
      </c>
      <c r="AA15" s="1051">
        <v>80028.249042327559</v>
      </c>
      <c r="AB15" s="1052" t="s">
        <v>177</v>
      </c>
      <c r="AC15" s="1051" t="s">
        <v>175</v>
      </c>
      <c r="AD15" s="1051">
        <v>38226.44732715407</v>
      </c>
      <c r="AE15" s="1051">
        <v>4691955.43</v>
      </c>
      <c r="AF15" s="1051" t="s">
        <v>175</v>
      </c>
      <c r="AG15" s="1052" t="s">
        <v>177</v>
      </c>
      <c r="AH15" s="1051">
        <v>213.26374879327605</v>
      </c>
      <c r="AI15" s="1051" t="s">
        <v>175</v>
      </c>
      <c r="AJ15" s="1052" t="s">
        <v>177</v>
      </c>
      <c r="AK15" s="1051" t="s">
        <v>175</v>
      </c>
      <c r="AL15" s="1051" t="s">
        <v>175</v>
      </c>
      <c r="AM15" s="1052" t="s">
        <v>175</v>
      </c>
      <c r="AN15" s="1051" t="s">
        <v>175</v>
      </c>
      <c r="AO15" s="1051" t="s">
        <v>175</v>
      </c>
      <c r="AP15" s="1052" t="s">
        <v>177</v>
      </c>
      <c r="AQ15" s="1051" t="s">
        <v>176</v>
      </c>
      <c r="AR15" s="1051" t="s">
        <v>175</v>
      </c>
      <c r="AS15" s="1052" t="s">
        <v>175</v>
      </c>
      <c r="AT15" s="1051">
        <v>47973.854107185711</v>
      </c>
      <c r="AU15" s="1051" t="s">
        <v>175</v>
      </c>
      <c r="AV15" s="1053">
        <v>98.376299401197585</v>
      </c>
      <c r="AW15" s="1051">
        <v>10.9619988</v>
      </c>
      <c r="AX15" s="1051" t="s">
        <v>175</v>
      </c>
      <c r="AY15" s="1053" t="s">
        <v>175</v>
      </c>
      <c r="AZ15" s="1051">
        <v>9.59558</v>
      </c>
      <c r="BA15" s="1051">
        <v>127.85769999999999</v>
      </c>
      <c r="BB15" s="1053" t="s">
        <v>175</v>
      </c>
      <c r="BC15" s="1051">
        <v>884380.95173532935</v>
      </c>
      <c r="BD15" s="1051" t="s">
        <v>175</v>
      </c>
      <c r="BE15" s="1053" t="s">
        <v>175</v>
      </c>
      <c r="BF15" s="1052">
        <v>425.67</v>
      </c>
      <c r="BG15" s="1052">
        <v>155136.10174985998</v>
      </c>
      <c r="BH15" s="1052">
        <v>65355.743233876252</v>
      </c>
      <c r="BI15" s="1052">
        <v>294849.74570664071</v>
      </c>
      <c r="BJ15" s="1052">
        <v>5103569.7805090211</v>
      </c>
      <c r="BK15" s="1054" t="s">
        <v>177</v>
      </c>
      <c r="BL15" s="1117" t="s">
        <v>1747</v>
      </c>
      <c r="BM15" s="1051">
        <v>12409482.942759601</v>
      </c>
      <c r="BN15" s="1052">
        <v>18028819.983958997</v>
      </c>
      <c r="BO15" s="1054">
        <v>18028819.983958997</v>
      </c>
      <c r="BP15" s="1053">
        <v>15547392.666022848</v>
      </c>
      <c r="BQ15" s="1051">
        <v>6784811.0278894939</v>
      </c>
      <c r="BR15" s="1051">
        <v>4692168.6937487926</v>
      </c>
      <c r="BS15" s="1051">
        <v>932503.22112131515</v>
      </c>
      <c r="BT15" s="1052">
        <v>6784811.0278894939</v>
      </c>
      <c r="BU15" s="1052">
        <v>4692168.6937487926</v>
      </c>
      <c r="BV15" s="1052">
        <v>932503.22112131515</v>
      </c>
      <c r="BW15" s="1052">
        <v>155561.77174986</v>
      </c>
      <c r="BX15" s="1052">
        <v>5463775.2694495376</v>
      </c>
      <c r="BY15" s="1053">
        <v>4303413.1913539413</v>
      </c>
      <c r="BZ15" s="1053" t="s">
        <v>1637</v>
      </c>
      <c r="CA15" s="1053">
        <v>4692168.6937487926</v>
      </c>
      <c r="CB15" s="1053">
        <v>932375.36342131509</v>
      </c>
      <c r="CC15" s="1053">
        <v>98.376299401197585</v>
      </c>
      <c r="CD15" s="1053">
        <v>155561.77174986</v>
      </c>
      <c r="CE15" s="1053">
        <v>5463775.2694495376</v>
      </c>
      <c r="CF15" s="1051">
        <v>2160028.2570306817</v>
      </c>
      <c r="CG15" s="1051">
        <v>2559251.9884535298</v>
      </c>
      <c r="CH15" s="1051">
        <v>1896169.2277241398</v>
      </c>
      <c r="CI15" s="1051" t="s">
        <v>1637</v>
      </c>
      <c r="CJ15" s="1051">
        <v>49732.085577456193</v>
      </c>
      <c r="CK15" s="1051">
        <v>81403.021776531939</v>
      </c>
      <c r="CL15" s="1051" t="s">
        <v>1637</v>
      </c>
      <c r="CM15" s="1051">
        <v>38226.44732715407</v>
      </c>
      <c r="CN15" s="1051">
        <v>4691955.43</v>
      </c>
      <c r="CO15" s="1051">
        <v>213.26374879327605</v>
      </c>
      <c r="CP15" s="1051" t="s">
        <v>1637</v>
      </c>
      <c r="CQ15" s="1051" t="s">
        <v>1637</v>
      </c>
      <c r="CR15" s="1051" t="s">
        <v>1637</v>
      </c>
      <c r="CS15" s="1051">
        <v>47973.854107185711</v>
      </c>
      <c r="CT15" s="1051">
        <v>10.9619988</v>
      </c>
      <c r="CU15" s="1051">
        <v>137.45328000000001</v>
      </c>
      <c r="CV15" s="1051">
        <v>884380.95173532935</v>
      </c>
      <c r="CW15" s="1118">
        <v>2160028.2570306817</v>
      </c>
      <c r="CX15" s="1118">
        <v>2559251.9884535298</v>
      </c>
      <c r="CY15" s="1118">
        <v>1896169.2277241398</v>
      </c>
      <c r="CZ15" s="1118" t="s">
        <v>1637</v>
      </c>
      <c r="DA15" s="1118">
        <v>49732.085577456193</v>
      </c>
      <c r="DB15" s="1118">
        <v>81403.021776531939</v>
      </c>
      <c r="DC15" s="1118" t="s">
        <v>1637</v>
      </c>
      <c r="DD15" s="1118">
        <v>38226.44732715407</v>
      </c>
      <c r="DE15" s="1118">
        <v>4691955.43</v>
      </c>
      <c r="DF15" s="1118">
        <v>213.26374879327605</v>
      </c>
      <c r="DG15" s="1118" t="s">
        <v>1637</v>
      </c>
      <c r="DH15" s="1118" t="s">
        <v>1637</v>
      </c>
      <c r="DI15" s="1118" t="s">
        <v>1637</v>
      </c>
      <c r="DJ15" s="1118">
        <v>47973.854107185711</v>
      </c>
      <c r="DK15" s="1118">
        <v>10.9619988</v>
      </c>
      <c r="DL15" s="1118">
        <v>137.45328000000001</v>
      </c>
      <c r="DM15" s="1118">
        <v>884380.95173532935</v>
      </c>
      <c r="DN15" s="1118">
        <v>425.67</v>
      </c>
      <c r="DO15" s="1118">
        <v>155136.10174985998</v>
      </c>
      <c r="DP15" s="1118">
        <v>65355.743233876252</v>
      </c>
      <c r="DQ15" s="1118">
        <v>294849.74570664071</v>
      </c>
      <c r="DR15" s="1118">
        <v>5103569.7805090211</v>
      </c>
      <c r="DS15" s="1119" t="s">
        <v>1637</v>
      </c>
      <c r="DT15" s="1120">
        <v>765140.46046302898</v>
      </c>
      <c r="DU15" s="1120">
        <v>1776265.5309885843</v>
      </c>
      <c r="DV15" s="1120">
        <v>1672673.8942635136</v>
      </c>
      <c r="DW15" s="1120" t="s">
        <v>1637</v>
      </c>
      <c r="DX15" s="1120" t="s">
        <v>1637</v>
      </c>
      <c r="DY15" s="1120">
        <v>49732.085577456193</v>
      </c>
      <c r="DZ15" s="1120">
        <v>1374.7727342043763</v>
      </c>
      <c r="EA15" s="1120" t="s">
        <v>1637</v>
      </c>
      <c r="EB15" s="1120">
        <v>38226.44732715407</v>
      </c>
      <c r="EC15" s="1120">
        <v>4691955.43</v>
      </c>
      <c r="ED15" s="1120">
        <v>213.26374879327605</v>
      </c>
      <c r="EE15" s="1120" t="s">
        <v>1637</v>
      </c>
      <c r="EF15" s="1120" t="s">
        <v>1637</v>
      </c>
      <c r="EG15" s="1120" t="s">
        <v>1637</v>
      </c>
      <c r="EH15" s="1120">
        <v>48072.23040658691</v>
      </c>
      <c r="EI15" s="1120">
        <v>10.9619988</v>
      </c>
      <c r="EJ15" s="1120">
        <v>9.59558</v>
      </c>
      <c r="EK15" s="1120">
        <v>884380.95173532935</v>
      </c>
      <c r="EL15" s="1120">
        <v>425.67</v>
      </c>
      <c r="EM15" s="1120">
        <v>155136.10174985998</v>
      </c>
      <c r="EN15" s="1120">
        <v>65355.743233876252</v>
      </c>
      <c r="EO15" s="1120">
        <v>294849.74570664071</v>
      </c>
      <c r="EP15" s="1120">
        <v>5103569.7805090211</v>
      </c>
    </row>
    <row r="16" spans="1:146" s="1121" customFormat="1" ht="15" customHeight="1">
      <c r="A16" s="15"/>
      <c r="B16" s="1055" t="s">
        <v>1752</v>
      </c>
      <c r="C16" s="1055" t="s">
        <v>1737</v>
      </c>
      <c r="D16" s="1048" t="s">
        <v>1141</v>
      </c>
      <c r="E16" s="1055" t="s">
        <v>687</v>
      </c>
      <c r="F16" s="1049">
        <v>2013</v>
      </c>
      <c r="G16" s="1049">
        <v>644710</v>
      </c>
      <c r="H16" s="1049">
        <v>125</v>
      </c>
      <c r="I16" s="1043">
        <v>109829400000</v>
      </c>
      <c r="J16" s="1051">
        <v>835785.2789264</v>
      </c>
      <c r="K16" s="1051">
        <v>453026.13390925678</v>
      </c>
      <c r="L16" s="1052" t="s">
        <v>177</v>
      </c>
      <c r="M16" s="1051">
        <v>1179180.4138613134</v>
      </c>
      <c r="N16" s="1051">
        <v>1920851.019574417</v>
      </c>
      <c r="O16" s="1052" t="s">
        <v>177</v>
      </c>
      <c r="P16" s="1051" t="s">
        <v>176</v>
      </c>
      <c r="Q16" s="1051" t="s">
        <v>176</v>
      </c>
      <c r="R16" s="1052" t="s">
        <v>177</v>
      </c>
      <c r="S16" s="1051" t="s">
        <v>175</v>
      </c>
      <c r="T16" s="1051" t="s">
        <v>175</v>
      </c>
      <c r="U16" s="1052" t="s">
        <v>175</v>
      </c>
      <c r="V16" s="1053">
        <v>184998.88686706795</v>
      </c>
      <c r="W16" s="1051" t="s">
        <v>175</v>
      </c>
      <c r="X16" s="1051" t="s">
        <v>175</v>
      </c>
      <c r="Y16" s="1052" t="s">
        <v>175</v>
      </c>
      <c r="Z16" s="1051" t="s">
        <v>175</v>
      </c>
      <c r="AA16" s="1051" t="s">
        <v>175</v>
      </c>
      <c r="AB16" s="1052" t="s">
        <v>175</v>
      </c>
      <c r="AC16" s="1051" t="s">
        <v>175</v>
      </c>
      <c r="AD16" s="1051">
        <v>22586.198969997196</v>
      </c>
      <c r="AE16" s="1051">
        <v>1506122.2340378426</v>
      </c>
      <c r="AF16" s="1051" t="s">
        <v>175</v>
      </c>
      <c r="AG16" s="1052" t="s">
        <v>177</v>
      </c>
      <c r="AH16" s="1051">
        <v>15466.198512840001</v>
      </c>
      <c r="AI16" s="1051">
        <v>55082.925822987258</v>
      </c>
      <c r="AJ16" s="1052" t="s">
        <v>177</v>
      </c>
      <c r="AK16" s="1051">
        <v>385.67362240000006</v>
      </c>
      <c r="AL16" s="1051" t="s">
        <v>175</v>
      </c>
      <c r="AM16" s="1052" t="s">
        <v>177</v>
      </c>
      <c r="AN16" s="1051" t="s">
        <v>175</v>
      </c>
      <c r="AO16" s="1051" t="s">
        <v>175</v>
      </c>
      <c r="AP16" s="1052" t="s">
        <v>177</v>
      </c>
      <c r="AQ16" s="1051">
        <v>19754.778761830741</v>
      </c>
      <c r="AR16" s="1051" t="s">
        <v>175</v>
      </c>
      <c r="AS16" s="1052" t="s">
        <v>177</v>
      </c>
      <c r="AT16" s="1051" t="s">
        <v>175</v>
      </c>
      <c r="AU16" s="1051" t="s">
        <v>175</v>
      </c>
      <c r="AV16" s="1053" t="s">
        <v>175</v>
      </c>
      <c r="AW16" s="1051" t="s">
        <v>175</v>
      </c>
      <c r="AX16" s="1051" t="s">
        <v>175</v>
      </c>
      <c r="AY16" s="1053" t="s">
        <v>175</v>
      </c>
      <c r="AZ16" s="1051" t="s">
        <v>175</v>
      </c>
      <c r="BA16" s="1051">
        <v>0</v>
      </c>
      <c r="BB16" s="1053" t="s">
        <v>175</v>
      </c>
      <c r="BC16" s="1051">
        <v>17120.961810486329</v>
      </c>
      <c r="BD16" s="1051" t="s">
        <v>175</v>
      </c>
      <c r="BE16" s="1053">
        <v>34760.740645532846</v>
      </c>
      <c r="BF16" s="1052" t="s">
        <v>177</v>
      </c>
      <c r="BG16" s="1052" t="s">
        <v>177</v>
      </c>
      <c r="BH16" s="1052" t="s">
        <v>177</v>
      </c>
      <c r="BI16" s="1052" t="s">
        <v>177</v>
      </c>
      <c r="BJ16" s="1052" t="s">
        <v>177</v>
      </c>
      <c r="BK16" s="1054" t="s">
        <v>177</v>
      </c>
      <c r="BL16" s="1055" t="s">
        <v>1752</v>
      </c>
      <c r="BM16" s="1051">
        <v>6025361.8178097717</v>
      </c>
      <c r="BN16" s="1052">
        <v>6025361.8178097717</v>
      </c>
      <c r="BO16" s="1054">
        <v>6025361.8178097717</v>
      </c>
      <c r="BP16" s="1053">
        <v>3816161.3660157113</v>
      </c>
      <c r="BQ16" s="1051">
        <v>4411429.0452413848</v>
      </c>
      <c r="BR16" s="1051">
        <v>1596811.8107579006</v>
      </c>
      <c r="BS16" s="1051">
        <v>17120.961810486329</v>
      </c>
      <c r="BT16" s="1052">
        <v>4411429.0452413848</v>
      </c>
      <c r="BU16" s="1052">
        <v>1596811.8107579006</v>
      </c>
      <c r="BV16" s="1052">
        <v>17120.961810486329</v>
      </c>
      <c r="BW16" s="1052" t="s">
        <v>1637</v>
      </c>
      <c r="BX16" s="1052" t="s">
        <v>1637</v>
      </c>
      <c r="BY16" s="1053">
        <v>2037551.8917577106</v>
      </c>
      <c r="BZ16" s="1053">
        <v>184998.88686706795</v>
      </c>
      <c r="CA16" s="1053">
        <v>1541728.8849349134</v>
      </c>
      <c r="CB16" s="1053">
        <v>17120.961810486329</v>
      </c>
      <c r="CC16" s="1053">
        <v>34760.740645532846</v>
      </c>
      <c r="CD16" s="1053" t="s">
        <v>1637</v>
      </c>
      <c r="CE16" s="1053" t="s">
        <v>1637</v>
      </c>
      <c r="CF16" s="1051">
        <v>1288811.4128356567</v>
      </c>
      <c r="CG16" s="1051">
        <v>3100031.4334357306</v>
      </c>
      <c r="CH16" s="1051" t="s">
        <v>1637</v>
      </c>
      <c r="CI16" s="1051" t="s">
        <v>1637</v>
      </c>
      <c r="CJ16" s="1051" t="s">
        <v>1637</v>
      </c>
      <c r="CK16" s="1051" t="s">
        <v>1637</v>
      </c>
      <c r="CL16" s="1051" t="s">
        <v>1637</v>
      </c>
      <c r="CM16" s="1051">
        <v>22586.198969997196</v>
      </c>
      <c r="CN16" s="1051">
        <v>1506122.2340378426</v>
      </c>
      <c r="CO16" s="1051">
        <v>70549.124335827262</v>
      </c>
      <c r="CP16" s="1051">
        <v>385.67362240000006</v>
      </c>
      <c r="CQ16" s="1051" t="s">
        <v>1637</v>
      </c>
      <c r="CR16" s="1051">
        <v>19754.778761830741</v>
      </c>
      <c r="CS16" s="1051" t="s">
        <v>1637</v>
      </c>
      <c r="CT16" s="1051" t="s">
        <v>1637</v>
      </c>
      <c r="CU16" s="1051" t="s">
        <v>1637</v>
      </c>
      <c r="CV16" s="1051">
        <v>17120.961810486329</v>
      </c>
      <c r="CW16" s="1118">
        <v>1288811.4128356567</v>
      </c>
      <c r="CX16" s="1118">
        <v>3100031.4334357306</v>
      </c>
      <c r="CY16" s="1118" t="s">
        <v>1637</v>
      </c>
      <c r="CZ16" s="1118" t="s">
        <v>1637</v>
      </c>
      <c r="DA16" s="1118" t="s">
        <v>1637</v>
      </c>
      <c r="DB16" s="1118" t="s">
        <v>1637</v>
      </c>
      <c r="DC16" s="1118" t="s">
        <v>1637</v>
      </c>
      <c r="DD16" s="1118">
        <v>22586.198969997196</v>
      </c>
      <c r="DE16" s="1118">
        <v>1506122.2340378426</v>
      </c>
      <c r="DF16" s="1118">
        <v>70549.124335827262</v>
      </c>
      <c r="DG16" s="1118">
        <v>385.67362240000006</v>
      </c>
      <c r="DH16" s="1118" t="s">
        <v>1637</v>
      </c>
      <c r="DI16" s="1118">
        <v>19754.778761830741</v>
      </c>
      <c r="DJ16" s="1118" t="s">
        <v>1637</v>
      </c>
      <c r="DK16" s="1118" t="s">
        <v>1637</v>
      </c>
      <c r="DL16" s="1118" t="s">
        <v>1637</v>
      </c>
      <c r="DM16" s="1118">
        <v>17120.961810486329</v>
      </c>
      <c r="DN16" s="1118" t="s">
        <v>1637</v>
      </c>
      <c r="DO16" s="1118" t="s">
        <v>1637</v>
      </c>
      <c r="DP16" s="1118" t="s">
        <v>1637</v>
      </c>
      <c r="DQ16" s="1118" t="s">
        <v>1637</v>
      </c>
      <c r="DR16" s="1118" t="s">
        <v>1637</v>
      </c>
      <c r="DS16" s="1119" t="s">
        <v>1637</v>
      </c>
      <c r="DT16" s="1120">
        <v>835785.2789264</v>
      </c>
      <c r="DU16" s="1120">
        <v>1179180.4138613134</v>
      </c>
      <c r="DV16" s="1120" t="s">
        <v>1637</v>
      </c>
      <c r="DW16" s="1120" t="s">
        <v>1637</v>
      </c>
      <c r="DX16" s="1120">
        <v>184998.88686706795</v>
      </c>
      <c r="DY16" s="1120" t="s">
        <v>1637</v>
      </c>
      <c r="DZ16" s="1120" t="s">
        <v>1637</v>
      </c>
      <c r="EA16" s="1120" t="s">
        <v>1637</v>
      </c>
      <c r="EB16" s="1120">
        <v>22586.198969997196</v>
      </c>
      <c r="EC16" s="1120">
        <v>1506122.2340378426</v>
      </c>
      <c r="ED16" s="1120">
        <v>15466.198512840001</v>
      </c>
      <c r="EE16" s="1120">
        <v>385.67362240000006</v>
      </c>
      <c r="EF16" s="1120" t="s">
        <v>1637</v>
      </c>
      <c r="EG16" s="1120">
        <v>19754.778761830741</v>
      </c>
      <c r="EH16" s="1120" t="s">
        <v>1637</v>
      </c>
      <c r="EI16" s="1120" t="s">
        <v>1637</v>
      </c>
      <c r="EJ16" s="1120" t="s">
        <v>1637</v>
      </c>
      <c r="EK16" s="1120">
        <v>51881.702456019178</v>
      </c>
      <c r="EL16" s="1120" t="s">
        <v>1637</v>
      </c>
      <c r="EM16" s="1120" t="s">
        <v>1637</v>
      </c>
      <c r="EN16" s="1120" t="s">
        <v>1637</v>
      </c>
      <c r="EO16" s="1120" t="s">
        <v>1637</v>
      </c>
      <c r="EP16" s="1120" t="s">
        <v>1637</v>
      </c>
    </row>
    <row r="17" spans="1:146" s="1121" customFormat="1" ht="15" customHeight="1">
      <c r="A17" s="15"/>
      <c r="B17" s="1055" t="s">
        <v>1740</v>
      </c>
      <c r="C17" s="1055" t="s">
        <v>1235</v>
      </c>
      <c r="D17" s="1048" t="s">
        <v>1641</v>
      </c>
      <c r="E17" s="1055" t="s">
        <v>687</v>
      </c>
      <c r="F17" s="1049">
        <v>2013</v>
      </c>
      <c r="G17" s="1049">
        <v>3079071</v>
      </c>
      <c r="H17" s="1049">
        <v>202.04</v>
      </c>
      <c r="I17" s="1043">
        <v>79384000000</v>
      </c>
      <c r="J17" s="1051">
        <v>2394807.3141091089</v>
      </c>
      <c r="K17" s="1051">
        <v>1454197.0477896938</v>
      </c>
      <c r="L17" s="1052">
        <v>214828.84228037242</v>
      </c>
      <c r="M17" s="1051">
        <v>846725.14632999885</v>
      </c>
      <c r="N17" s="1051">
        <v>2075330.0732117784</v>
      </c>
      <c r="O17" s="1052">
        <v>254434.50119400752</v>
      </c>
      <c r="P17" s="1051">
        <v>370560.2434413209</v>
      </c>
      <c r="Q17" s="1051">
        <v>369535.32667138078</v>
      </c>
      <c r="R17" s="1052">
        <v>49271.372881174597</v>
      </c>
      <c r="S17" s="1051" t="s">
        <v>176</v>
      </c>
      <c r="T17" s="1051" t="s">
        <v>176</v>
      </c>
      <c r="U17" s="1052" t="s">
        <v>176</v>
      </c>
      <c r="V17" s="1053">
        <v>9574078.306376053</v>
      </c>
      <c r="W17" s="1051" t="s">
        <v>175</v>
      </c>
      <c r="X17" s="1051" t="s">
        <v>175</v>
      </c>
      <c r="Y17" s="1052" t="s">
        <v>175</v>
      </c>
      <c r="Z17" s="1051" t="s">
        <v>175</v>
      </c>
      <c r="AA17" s="1051" t="s">
        <v>175</v>
      </c>
      <c r="AB17" s="1052" t="s">
        <v>175</v>
      </c>
      <c r="AC17" s="1051" t="s">
        <v>175</v>
      </c>
      <c r="AD17" s="1051">
        <v>147197.6506580743</v>
      </c>
      <c r="AE17" s="1051">
        <v>3994892.8588032145</v>
      </c>
      <c r="AF17" s="1051" t="s">
        <v>175</v>
      </c>
      <c r="AG17" s="1052" t="s">
        <v>177</v>
      </c>
      <c r="AH17" s="1051">
        <v>17541.769469090708</v>
      </c>
      <c r="AI17" s="1051">
        <v>78892.884675146299</v>
      </c>
      <c r="AJ17" s="1052">
        <v>17033.43541626689</v>
      </c>
      <c r="AK17" s="1051" t="s">
        <v>175</v>
      </c>
      <c r="AL17" s="1051" t="s">
        <v>175</v>
      </c>
      <c r="AM17" s="1052" t="s">
        <v>177</v>
      </c>
      <c r="AN17" s="1051" t="s">
        <v>175</v>
      </c>
      <c r="AO17" s="1051" t="s">
        <v>175</v>
      </c>
      <c r="AP17" s="1052" t="s">
        <v>177</v>
      </c>
      <c r="AQ17" s="1051" t="s">
        <v>176</v>
      </c>
      <c r="AR17" s="1051" t="s">
        <v>175</v>
      </c>
      <c r="AS17" s="1052" t="s">
        <v>177</v>
      </c>
      <c r="AT17" s="1051" t="s">
        <v>175</v>
      </c>
      <c r="AU17" s="1051">
        <v>1637774</v>
      </c>
      <c r="AV17" s="1053" t="s">
        <v>175</v>
      </c>
      <c r="AW17" s="1051" t="s">
        <v>175</v>
      </c>
      <c r="AX17" s="1051">
        <v>5261.6500000000005</v>
      </c>
      <c r="AY17" s="1053" t="s">
        <v>175</v>
      </c>
      <c r="AZ17" s="1051" t="s">
        <v>175</v>
      </c>
      <c r="BA17" s="1051" t="s">
        <v>175</v>
      </c>
      <c r="BB17" s="1053" t="s">
        <v>175</v>
      </c>
      <c r="BC17" s="1051">
        <v>55390.376263450562</v>
      </c>
      <c r="BD17" s="1051">
        <v>83186</v>
      </c>
      <c r="BE17" s="1053" t="s">
        <v>175</v>
      </c>
      <c r="BF17" s="1052" t="s">
        <v>175</v>
      </c>
      <c r="BG17" s="1052" t="s">
        <v>177</v>
      </c>
      <c r="BH17" s="1052" t="s">
        <v>175</v>
      </c>
      <c r="BI17" s="1052" t="s">
        <v>175</v>
      </c>
      <c r="BJ17" s="1052" t="s">
        <v>175</v>
      </c>
      <c r="BK17" s="1054" t="s">
        <v>175</v>
      </c>
      <c r="BL17" s="1117" t="s">
        <v>1740</v>
      </c>
      <c r="BM17" s="1051">
        <v>13531292.341422258</v>
      </c>
      <c r="BN17" s="1052">
        <v>14066860.493194081</v>
      </c>
      <c r="BO17" s="1054">
        <v>14066860.493194079</v>
      </c>
      <c r="BP17" s="1053">
        <v>17401193.665450312</v>
      </c>
      <c r="BQ17" s="1051">
        <v>7658352.8022113563</v>
      </c>
      <c r="BR17" s="1051">
        <v>4091327.5129474513</v>
      </c>
      <c r="BS17" s="1051">
        <v>1781612.0262634505</v>
      </c>
      <c r="BT17" s="1052">
        <v>8176887.5185669111</v>
      </c>
      <c r="BU17" s="1052">
        <v>4108360.9483637181</v>
      </c>
      <c r="BV17" s="1052">
        <v>1781612.0262634505</v>
      </c>
      <c r="BW17" s="1052" t="s">
        <v>1637</v>
      </c>
      <c r="BX17" s="1052" t="s">
        <v>1637</v>
      </c>
      <c r="BY17" s="1053">
        <v>3759290.3545385031</v>
      </c>
      <c r="BZ17" s="1053">
        <v>9574078.306376053</v>
      </c>
      <c r="CA17" s="1053">
        <v>4012434.6282723052</v>
      </c>
      <c r="CB17" s="1053">
        <v>55390.376263450562</v>
      </c>
      <c r="CC17" s="1053" t="s">
        <v>1637</v>
      </c>
      <c r="CD17" s="1053" t="s">
        <v>1637</v>
      </c>
      <c r="CE17" s="1053" t="s">
        <v>1637</v>
      </c>
      <c r="CF17" s="1051">
        <v>3849004.3618988027</v>
      </c>
      <c r="CG17" s="1051">
        <v>2922055.2195417774</v>
      </c>
      <c r="CH17" s="1051">
        <v>740095.57011270174</v>
      </c>
      <c r="CI17" s="1051" t="s">
        <v>1637</v>
      </c>
      <c r="CJ17" s="1051" t="s">
        <v>1637</v>
      </c>
      <c r="CK17" s="1051" t="s">
        <v>1637</v>
      </c>
      <c r="CL17" s="1051" t="s">
        <v>1637</v>
      </c>
      <c r="CM17" s="1051">
        <v>147197.6506580743</v>
      </c>
      <c r="CN17" s="1051">
        <v>3994892.8588032145</v>
      </c>
      <c r="CO17" s="1051">
        <v>96434.654144237007</v>
      </c>
      <c r="CP17" s="1051" t="s">
        <v>1637</v>
      </c>
      <c r="CQ17" s="1051" t="s">
        <v>1637</v>
      </c>
      <c r="CR17" s="1051" t="s">
        <v>1637</v>
      </c>
      <c r="CS17" s="1051">
        <v>1637774</v>
      </c>
      <c r="CT17" s="1051">
        <v>5261.6500000000005</v>
      </c>
      <c r="CU17" s="1051" t="s">
        <v>1637</v>
      </c>
      <c r="CV17" s="1051">
        <v>138576.37626345057</v>
      </c>
      <c r="CW17" s="1118">
        <v>4063833.2041791752</v>
      </c>
      <c r="CX17" s="1118">
        <v>3176489.7207357851</v>
      </c>
      <c r="CY17" s="1118">
        <v>789366.94299387629</v>
      </c>
      <c r="CZ17" s="1118" t="s">
        <v>1637</v>
      </c>
      <c r="DA17" s="1118" t="s">
        <v>1637</v>
      </c>
      <c r="DB17" s="1118" t="s">
        <v>1637</v>
      </c>
      <c r="DC17" s="1118" t="s">
        <v>1637</v>
      </c>
      <c r="DD17" s="1118">
        <v>147197.6506580743</v>
      </c>
      <c r="DE17" s="1118">
        <v>3994892.8588032145</v>
      </c>
      <c r="DF17" s="1118">
        <v>113468.0895605039</v>
      </c>
      <c r="DG17" s="1118" t="s">
        <v>1637</v>
      </c>
      <c r="DH17" s="1118" t="s">
        <v>1637</v>
      </c>
      <c r="DI17" s="1118" t="s">
        <v>1637</v>
      </c>
      <c r="DJ17" s="1118">
        <v>1637774</v>
      </c>
      <c r="DK17" s="1118">
        <v>5261.6500000000005</v>
      </c>
      <c r="DL17" s="1118" t="s">
        <v>1637</v>
      </c>
      <c r="DM17" s="1118">
        <v>138576.37626345057</v>
      </c>
      <c r="DN17" s="1118" t="s">
        <v>1637</v>
      </c>
      <c r="DO17" s="1118" t="s">
        <v>1637</v>
      </c>
      <c r="DP17" s="1118" t="s">
        <v>1637</v>
      </c>
      <c r="DQ17" s="1118" t="s">
        <v>1637</v>
      </c>
      <c r="DR17" s="1118" t="s">
        <v>1637</v>
      </c>
      <c r="DS17" s="1119" t="s">
        <v>1637</v>
      </c>
      <c r="DT17" s="1120">
        <v>2394807.3141091089</v>
      </c>
      <c r="DU17" s="1120">
        <v>846725.14632999885</v>
      </c>
      <c r="DV17" s="1120">
        <v>370560.2434413209</v>
      </c>
      <c r="DW17" s="1120" t="s">
        <v>1637</v>
      </c>
      <c r="DX17" s="1120">
        <v>9574078.306376053</v>
      </c>
      <c r="DY17" s="1120" t="s">
        <v>1637</v>
      </c>
      <c r="DZ17" s="1120" t="s">
        <v>1637</v>
      </c>
      <c r="EA17" s="1120" t="s">
        <v>1637</v>
      </c>
      <c r="EB17" s="1120">
        <v>147197.6506580743</v>
      </c>
      <c r="EC17" s="1120">
        <v>3994892.8588032145</v>
      </c>
      <c r="ED17" s="1120">
        <v>17541.769469090708</v>
      </c>
      <c r="EE17" s="1120" t="s">
        <v>1637</v>
      </c>
      <c r="EF17" s="1120" t="s">
        <v>1637</v>
      </c>
      <c r="EG17" s="1120" t="s">
        <v>1637</v>
      </c>
      <c r="EH17" s="1120" t="s">
        <v>1637</v>
      </c>
      <c r="EI17" s="1120" t="s">
        <v>1637</v>
      </c>
      <c r="EJ17" s="1120" t="s">
        <v>1637</v>
      </c>
      <c r="EK17" s="1120">
        <v>55390.376263450562</v>
      </c>
      <c r="EL17" s="1120" t="s">
        <v>1637</v>
      </c>
      <c r="EM17" s="1120" t="s">
        <v>1637</v>
      </c>
      <c r="EN17" s="1120" t="s">
        <v>1637</v>
      </c>
      <c r="EO17" s="1120" t="s">
        <v>1637</v>
      </c>
      <c r="EP17" s="1120" t="s">
        <v>1637</v>
      </c>
    </row>
    <row r="18" spans="1:146" s="1121" customFormat="1" ht="15" customHeight="1">
      <c r="A18" s="15"/>
      <c r="B18" s="1055" t="s">
        <v>1741</v>
      </c>
      <c r="C18" s="1055" t="s">
        <v>1030</v>
      </c>
      <c r="D18" s="1055" t="s">
        <v>1027</v>
      </c>
      <c r="E18" s="1055" t="s">
        <v>687</v>
      </c>
      <c r="F18" s="1049">
        <v>2012</v>
      </c>
      <c r="G18" s="1049">
        <v>3837414</v>
      </c>
      <c r="H18" s="1049">
        <v>2455</v>
      </c>
      <c r="I18" s="1043">
        <v>17454000000</v>
      </c>
      <c r="J18" s="1051">
        <v>153682.01889099999</v>
      </c>
      <c r="K18" s="1051">
        <v>4420213.5690900004</v>
      </c>
      <c r="L18" s="1052">
        <v>178594.48764000001</v>
      </c>
      <c r="M18" s="1051">
        <v>69967.809854000006</v>
      </c>
      <c r="N18" s="1051">
        <v>5652332.0756100006</v>
      </c>
      <c r="O18" s="1052">
        <v>228377.05356000003</v>
      </c>
      <c r="P18" s="1051">
        <v>663784.28619200003</v>
      </c>
      <c r="Q18" s="1051">
        <v>1433450.304</v>
      </c>
      <c r="R18" s="1052">
        <v>57917.184000000001</v>
      </c>
      <c r="S18" s="1051" t="s">
        <v>176</v>
      </c>
      <c r="T18" s="1051" t="s">
        <v>176</v>
      </c>
      <c r="U18" s="1052" t="s">
        <v>176</v>
      </c>
      <c r="V18" s="1053">
        <v>729083.78302399989</v>
      </c>
      <c r="W18" s="1051">
        <v>22.641521999999998</v>
      </c>
      <c r="X18" s="1051">
        <v>209156.85053999998</v>
      </c>
      <c r="Y18" s="1052">
        <v>8450.7818400000015</v>
      </c>
      <c r="Z18" s="1051" t="s">
        <v>175</v>
      </c>
      <c r="AA18" s="1051">
        <v>1042806.48615</v>
      </c>
      <c r="AB18" s="1052">
        <v>42133.595400000006</v>
      </c>
      <c r="AC18" s="1051" t="s">
        <v>175</v>
      </c>
      <c r="AD18" s="1051" t="s">
        <v>175</v>
      </c>
      <c r="AE18" s="1051">
        <v>5743301.3041220009</v>
      </c>
      <c r="AF18" s="1051" t="s">
        <v>175</v>
      </c>
      <c r="AG18" s="1052" t="s">
        <v>177</v>
      </c>
      <c r="AH18" s="1051" t="s">
        <v>175</v>
      </c>
      <c r="AI18" s="1051">
        <v>102152.22336</v>
      </c>
      <c r="AJ18" s="1052">
        <v>4127.3625600000005</v>
      </c>
      <c r="AK18" s="1051" t="s">
        <v>176</v>
      </c>
      <c r="AL18" s="1051" t="s">
        <v>175</v>
      </c>
      <c r="AM18" s="1052">
        <v>531665.96062999999</v>
      </c>
      <c r="AN18" s="1051" t="s">
        <v>176</v>
      </c>
      <c r="AO18" s="1051" t="s">
        <v>175</v>
      </c>
      <c r="AP18" s="1052">
        <v>740101.58374100004</v>
      </c>
      <c r="AQ18" s="1051" t="s">
        <v>176</v>
      </c>
      <c r="AR18" s="1051" t="s">
        <v>175</v>
      </c>
      <c r="AS18" s="1052" t="s">
        <v>177</v>
      </c>
      <c r="AT18" s="1051">
        <v>2286195.1755999997</v>
      </c>
      <c r="AU18" s="1051" t="s">
        <v>175</v>
      </c>
      <c r="AV18" s="1053" t="s">
        <v>176</v>
      </c>
      <c r="AW18" s="1051" t="s">
        <v>175</v>
      </c>
      <c r="AX18" s="1051" t="s">
        <v>175</v>
      </c>
      <c r="AY18" s="1053" t="s">
        <v>175</v>
      </c>
      <c r="AZ18" s="1051" t="s">
        <v>175</v>
      </c>
      <c r="BA18" s="1051" t="s">
        <v>175</v>
      </c>
      <c r="BB18" s="1053" t="s">
        <v>175</v>
      </c>
      <c r="BC18" s="1051">
        <v>137697</v>
      </c>
      <c r="BD18" s="1051" t="s">
        <v>175</v>
      </c>
      <c r="BE18" s="1053" t="s">
        <v>176</v>
      </c>
      <c r="BF18" s="1052" t="s">
        <v>177</v>
      </c>
      <c r="BG18" s="1052" t="s">
        <v>177</v>
      </c>
      <c r="BH18" s="1052" t="s">
        <v>177</v>
      </c>
      <c r="BI18" s="1052" t="s">
        <v>177</v>
      </c>
      <c r="BJ18" s="1052" t="s">
        <v>177</v>
      </c>
      <c r="BK18" s="1054" t="s">
        <v>177</v>
      </c>
      <c r="BL18" s="1117" t="s">
        <v>1741</v>
      </c>
      <c r="BM18" s="1051">
        <v>21914761.744931001</v>
      </c>
      <c r="BN18" s="1052">
        <v>23706129.754302002</v>
      </c>
      <c r="BO18" s="1054">
        <v>23706129.754302002</v>
      </c>
      <c r="BP18" s="1053">
        <v>9783734.0192050003</v>
      </c>
      <c r="BQ18" s="1051">
        <v>13645416.041849</v>
      </c>
      <c r="BR18" s="1051">
        <v>5845453.5274820011</v>
      </c>
      <c r="BS18" s="1051">
        <v>2423892.1755999997</v>
      </c>
      <c r="BT18" s="1052">
        <v>14160889.144289</v>
      </c>
      <c r="BU18" s="1052">
        <v>7121348.4344130009</v>
      </c>
      <c r="BV18" s="1052">
        <v>2423892.1755999997</v>
      </c>
      <c r="BW18" s="1052" t="s">
        <v>1637</v>
      </c>
      <c r="BX18" s="1052" t="s">
        <v>1637</v>
      </c>
      <c r="BY18" s="1053">
        <v>887456.75645899994</v>
      </c>
      <c r="BZ18" s="1053">
        <v>729083.78302399989</v>
      </c>
      <c r="CA18" s="1053">
        <v>5743301.3041220009</v>
      </c>
      <c r="CB18" s="1053">
        <v>2423892.1755999997</v>
      </c>
      <c r="CC18" s="1053" t="s">
        <v>1637</v>
      </c>
      <c r="CD18" s="1053" t="s">
        <v>1637</v>
      </c>
      <c r="CE18" s="1053" t="s">
        <v>1637</v>
      </c>
      <c r="CF18" s="1051">
        <v>4573895.5879810005</v>
      </c>
      <c r="CG18" s="1051">
        <v>5722299.8854640005</v>
      </c>
      <c r="CH18" s="1051">
        <v>2097234.5901919999</v>
      </c>
      <c r="CI18" s="1051" t="s">
        <v>1637</v>
      </c>
      <c r="CJ18" s="1051">
        <v>209179.49206199998</v>
      </c>
      <c r="CK18" s="1051">
        <v>1042806.48615</v>
      </c>
      <c r="CL18" s="1051" t="s">
        <v>1637</v>
      </c>
      <c r="CM18" s="1051" t="s">
        <v>1637</v>
      </c>
      <c r="CN18" s="1051">
        <v>5743301.3041220009</v>
      </c>
      <c r="CO18" s="1051">
        <v>102152.22336</v>
      </c>
      <c r="CP18" s="1051" t="s">
        <v>1637</v>
      </c>
      <c r="CQ18" s="1051" t="s">
        <v>1637</v>
      </c>
      <c r="CR18" s="1051" t="s">
        <v>1637</v>
      </c>
      <c r="CS18" s="1051">
        <v>2286195.1755999997</v>
      </c>
      <c r="CT18" s="1051" t="s">
        <v>1637</v>
      </c>
      <c r="CU18" s="1051" t="s">
        <v>1637</v>
      </c>
      <c r="CV18" s="1051">
        <v>137697</v>
      </c>
      <c r="CW18" s="1118">
        <v>4752490.0756210005</v>
      </c>
      <c r="CX18" s="1118">
        <v>5950676.9390240004</v>
      </c>
      <c r="CY18" s="1118">
        <v>2155151.7741919998</v>
      </c>
      <c r="CZ18" s="1118" t="s">
        <v>1637</v>
      </c>
      <c r="DA18" s="1118">
        <v>217630.27390199999</v>
      </c>
      <c r="DB18" s="1118">
        <v>1084940.08155</v>
      </c>
      <c r="DC18" s="1118" t="s">
        <v>1637</v>
      </c>
      <c r="DD18" s="1118" t="s">
        <v>1637</v>
      </c>
      <c r="DE18" s="1118">
        <v>5743301.3041220009</v>
      </c>
      <c r="DF18" s="1118">
        <v>106279.58592</v>
      </c>
      <c r="DG18" s="1118">
        <v>531665.96062999999</v>
      </c>
      <c r="DH18" s="1118">
        <v>740101.58374100004</v>
      </c>
      <c r="DI18" s="1118" t="s">
        <v>1637</v>
      </c>
      <c r="DJ18" s="1118">
        <v>2286195.1755999997</v>
      </c>
      <c r="DK18" s="1118" t="s">
        <v>1637</v>
      </c>
      <c r="DL18" s="1118" t="s">
        <v>1637</v>
      </c>
      <c r="DM18" s="1118">
        <v>137697</v>
      </c>
      <c r="DN18" s="1118" t="s">
        <v>1637</v>
      </c>
      <c r="DO18" s="1118" t="s">
        <v>1637</v>
      </c>
      <c r="DP18" s="1118" t="s">
        <v>1637</v>
      </c>
      <c r="DQ18" s="1118" t="s">
        <v>1637</v>
      </c>
      <c r="DR18" s="1118" t="s">
        <v>1637</v>
      </c>
      <c r="DS18" s="1119" t="s">
        <v>1637</v>
      </c>
      <c r="DT18" s="1120">
        <v>153682.01889099999</v>
      </c>
      <c r="DU18" s="1120">
        <v>69967.809854000006</v>
      </c>
      <c r="DV18" s="1120">
        <v>663784.28619200003</v>
      </c>
      <c r="DW18" s="1120" t="s">
        <v>1637</v>
      </c>
      <c r="DX18" s="1120">
        <v>729083.78302399989</v>
      </c>
      <c r="DY18" s="1120">
        <v>22.641521999999998</v>
      </c>
      <c r="DZ18" s="1120" t="s">
        <v>1637</v>
      </c>
      <c r="EA18" s="1120" t="s">
        <v>1637</v>
      </c>
      <c r="EB18" s="1120" t="s">
        <v>1637</v>
      </c>
      <c r="EC18" s="1120">
        <v>5743301.3041220009</v>
      </c>
      <c r="ED18" s="1120" t="s">
        <v>1637</v>
      </c>
      <c r="EE18" s="1120" t="s">
        <v>1637</v>
      </c>
      <c r="EF18" s="1120" t="s">
        <v>1637</v>
      </c>
      <c r="EG18" s="1120" t="s">
        <v>1637</v>
      </c>
      <c r="EH18" s="1120">
        <v>2286195.1755999997</v>
      </c>
      <c r="EI18" s="1120" t="s">
        <v>1637</v>
      </c>
      <c r="EJ18" s="1120" t="s">
        <v>1637</v>
      </c>
      <c r="EK18" s="1120">
        <v>137697</v>
      </c>
      <c r="EL18" s="1120" t="s">
        <v>1637</v>
      </c>
      <c r="EM18" s="1120" t="s">
        <v>1637</v>
      </c>
      <c r="EN18" s="1120" t="s">
        <v>1637</v>
      </c>
      <c r="EO18" s="1120" t="s">
        <v>1637</v>
      </c>
      <c r="EP18" s="1120" t="s">
        <v>1637</v>
      </c>
    </row>
    <row r="19" spans="1:146" s="1121" customFormat="1" ht="15" customHeight="1">
      <c r="A19" s="1151"/>
      <c r="B19" s="1055" t="s">
        <v>1924</v>
      </c>
      <c r="C19" s="1055" t="s">
        <v>1737</v>
      </c>
      <c r="D19" s="1055" t="s">
        <v>1134</v>
      </c>
      <c r="E19" s="1055" t="s">
        <v>687</v>
      </c>
      <c r="F19" s="1049">
        <v>2010</v>
      </c>
      <c r="G19" s="1152">
        <v>27000000</v>
      </c>
      <c r="H19" s="1049">
        <v>606</v>
      </c>
      <c r="I19" s="1043">
        <v>496400000000</v>
      </c>
      <c r="J19" s="1051">
        <v>5715207.9086837154</v>
      </c>
      <c r="K19" s="1051">
        <v>4062733.7041084813</v>
      </c>
      <c r="L19" s="1052" t="s">
        <v>177</v>
      </c>
      <c r="M19" s="1051">
        <v>2996949.1307490799</v>
      </c>
      <c r="N19" s="1051">
        <v>10747371.550037861</v>
      </c>
      <c r="O19" s="1052" t="s">
        <v>177</v>
      </c>
      <c r="P19" s="1051">
        <v>1350940.5697192827</v>
      </c>
      <c r="Q19" s="1051" t="s">
        <v>176</v>
      </c>
      <c r="R19" s="1052" t="s">
        <v>177</v>
      </c>
      <c r="S19" s="1051" t="s">
        <v>175</v>
      </c>
      <c r="T19" s="1051" t="s">
        <v>175</v>
      </c>
      <c r="U19" s="1052" t="s">
        <v>175</v>
      </c>
      <c r="V19" s="1053" t="s">
        <v>175</v>
      </c>
      <c r="W19" s="1051" t="s">
        <v>175</v>
      </c>
      <c r="X19" s="1051" t="s">
        <v>175</v>
      </c>
      <c r="Y19" s="1052" t="s">
        <v>175</v>
      </c>
      <c r="Z19" s="1051" t="s">
        <v>175</v>
      </c>
      <c r="AA19" s="1051" t="s">
        <v>175</v>
      </c>
      <c r="AB19" s="1052" t="s">
        <v>175</v>
      </c>
      <c r="AC19" s="1051" t="s">
        <v>175</v>
      </c>
      <c r="AD19" s="1051" t="s">
        <v>177</v>
      </c>
      <c r="AE19" s="1051">
        <v>6783031.2123398855</v>
      </c>
      <c r="AF19" s="1051" t="s">
        <v>176</v>
      </c>
      <c r="AG19" s="1052" t="s">
        <v>177</v>
      </c>
      <c r="AH19" s="1051">
        <v>62587.199999999997</v>
      </c>
      <c r="AI19" s="1051">
        <v>251555.59406062285</v>
      </c>
      <c r="AJ19" s="1052" t="s">
        <v>177</v>
      </c>
      <c r="AK19" s="1051">
        <v>246.86441798931068</v>
      </c>
      <c r="AL19" s="1051" t="s">
        <v>175</v>
      </c>
      <c r="AM19" s="1052" t="s">
        <v>175</v>
      </c>
      <c r="AN19" s="1051" t="s">
        <v>175</v>
      </c>
      <c r="AO19" s="1051" t="s">
        <v>175</v>
      </c>
      <c r="AP19" s="1052" t="s">
        <v>175</v>
      </c>
      <c r="AQ19" s="1051">
        <v>1011.6726599300484</v>
      </c>
      <c r="AR19" s="1051" t="s">
        <v>175</v>
      </c>
      <c r="AS19" s="1052" t="s">
        <v>175</v>
      </c>
      <c r="AT19" s="1051">
        <v>1291449.0378922205</v>
      </c>
      <c r="AU19" s="1051" t="s">
        <v>175</v>
      </c>
      <c r="AV19" s="1053" t="s">
        <v>175</v>
      </c>
      <c r="AW19" s="1051" t="s">
        <v>175</v>
      </c>
      <c r="AX19" s="1051" t="s">
        <v>175</v>
      </c>
      <c r="AY19" s="1053" t="s">
        <v>175</v>
      </c>
      <c r="AZ19" s="1051" t="s">
        <v>175</v>
      </c>
      <c r="BA19" s="1051" t="s">
        <v>175</v>
      </c>
      <c r="BB19" s="1053" t="s">
        <v>175</v>
      </c>
      <c r="BC19" s="1051">
        <v>35213.692568407758</v>
      </c>
      <c r="BD19" s="1051" t="s">
        <v>175</v>
      </c>
      <c r="BE19" s="1053" t="s">
        <v>175</v>
      </c>
      <c r="BF19" s="1052">
        <v>53738</v>
      </c>
      <c r="BG19" s="1052">
        <v>193540.9803106488</v>
      </c>
      <c r="BH19" s="1052" t="s">
        <v>177</v>
      </c>
      <c r="BI19" s="1052" t="s">
        <v>177</v>
      </c>
      <c r="BJ19" s="1052" t="s">
        <v>177</v>
      </c>
      <c r="BK19" s="1054" t="s">
        <v>177</v>
      </c>
      <c r="BL19" s="1055" t="s">
        <v>1924</v>
      </c>
      <c r="BM19" s="1051">
        <v>33298298.137237478</v>
      </c>
      <c r="BN19" s="1052">
        <v>33545577.117548127</v>
      </c>
      <c r="BO19" s="1054">
        <v>33545577.117548127</v>
      </c>
      <c r="BP19" s="1053">
        <v>18483916.269341163</v>
      </c>
      <c r="BQ19" s="1051">
        <v>24873202.86329842</v>
      </c>
      <c r="BR19" s="1051">
        <v>7098432.5434784284</v>
      </c>
      <c r="BS19" s="1051">
        <v>1326662.7304606284</v>
      </c>
      <c r="BT19" s="1052">
        <v>24873202.86329842</v>
      </c>
      <c r="BU19" s="1052">
        <v>7098432.5434784284</v>
      </c>
      <c r="BV19" s="1052">
        <v>1326662.7304606284</v>
      </c>
      <c r="BW19" s="1052">
        <v>247278.9803106488</v>
      </c>
      <c r="BX19" s="1052" t="s">
        <v>1637</v>
      </c>
      <c r="BY19" s="1053">
        <v>10063097.609152079</v>
      </c>
      <c r="BZ19" s="1053" t="s">
        <v>1637</v>
      </c>
      <c r="CA19" s="1053">
        <v>6846876.9494178053</v>
      </c>
      <c r="CB19" s="1053">
        <v>1326662.7304606284</v>
      </c>
      <c r="CC19" s="1053" t="s">
        <v>1637</v>
      </c>
      <c r="CD19" s="1053">
        <v>247278.9803106488</v>
      </c>
      <c r="CE19" s="1053" t="s">
        <v>1637</v>
      </c>
      <c r="CF19" s="1051">
        <v>9777941.6127921976</v>
      </c>
      <c r="CG19" s="1051">
        <v>13744320.680786941</v>
      </c>
      <c r="CH19" s="1051">
        <v>1350940.5697192827</v>
      </c>
      <c r="CI19" s="1051" t="s">
        <v>1637</v>
      </c>
      <c r="CJ19" s="1051" t="s">
        <v>1637</v>
      </c>
      <c r="CK19" s="1051" t="s">
        <v>1637</v>
      </c>
      <c r="CL19" s="1051" t="s">
        <v>1637</v>
      </c>
      <c r="CM19" s="1051" t="s">
        <v>1637</v>
      </c>
      <c r="CN19" s="1051">
        <v>6783031.2123398855</v>
      </c>
      <c r="CO19" s="1051">
        <v>314142.79406062287</v>
      </c>
      <c r="CP19" s="1051">
        <v>246.86441798931068</v>
      </c>
      <c r="CQ19" s="1051" t="s">
        <v>1637</v>
      </c>
      <c r="CR19" s="1051">
        <v>1011.6726599300484</v>
      </c>
      <c r="CS19" s="1051">
        <v>1291449.0378922205</v>
      </c>
      <c r="CT19" s="1051" t="s">
        <v>1637</v>
      </c>
      <c r="CU19" s="1051" t="s">
        <v>1637</v>
      </c>
      <c r="CV19" s="1051">
        <v>35213.692568407758</v>
      </c>
      <c r="CW19" s="1118">
        <v>9777941.6127921976</v>
      </c>
      <c r="CX19" s="1118">
        <v>13744320.680786941</v>
      </c>
      <c r="CY19" s="1118">
        <v>1350940.5697192827</v>
      </c>
      <c r="CZ19" s="1118" t="s">
        <v>1637</v>
      </c>
      <c r="DA19" s="1118" t="s">
        <v>1637</v>
      </c>
      <c r="DB19" s="1118" t="s">
        <v>1637</v>
      </c>
      <c r="DC19" s="1118" t="s">
        <v>1637</v>
      </c>
      <c r="DD19" s="1118" t="s">
        <v>1637</v>
      </c>
      <c r="DE19" s="1118">
        <v>6783031.2123398855</v>
      </c>
      <c r="DF19" s="1118">
        <v>314142.79406062287</v>
      </c>
      <c r="DG19" s="1118">
        <v>246.86441798931068</v>
      </c>
      <c r="DH19" s="1118" t="s">
        <v>1637</v>
      </c>
      <c r="DI19" s="1118">
        <v>1011.6726599300484</v>
      </c>
      <c r="DJ19" s="1118">
        <v>1291449.0378922205</v>
      </c>
      <c r="DK19" s="1118" t="s">
        <v>1637</v>
      </c>
      <c r="DL19" s="1118" t="s">
        <v>1637</v>
      </c>
      <c r="DM19" s="1118">
        <v>35213.692568407758</v>
      </c>
      <c r="DN19" s="1118">
        <v>53738</v>
      </c>
      <c r="DO19" s="1118">
        <v>193540.9803106488</v>
      </c>
      <c r="DP19" s="1118" t="s">
        <v>1637</v>
      </c>
      <c r="DQ19" s="1118" t="s">
        <v>1637</v>
      </c>
      <c r="DR19" s="1118" t="s">
        <v>1637</v>
      </c>
      <c r="DS19" s="1119" t="s">
        <v>1637</v>
      </c>
      <c r="DT19" s="1120">
        <v>5715207.9086837154</v>
      </c>
      <c r="DU19" s="1120">
        <v>2996949.1307490799</v>
      </c>
      <c r="DV19" s="1120">
        <v>1350940.5697192827</v>
      </c>
      <c r="DW19" s="1120" t="s">
        <v>1637</v>
      </c>
      <c r="DX19" s="1120" t="s">
        <v>1637</v>
      </c>
      <c r="DY19" s="1120" t="s">
        <v>1637</v>
      </c>
      <c r="DZ19" s="1120" t="s">
        <v>1637</v>
      </c>
      <c r="EA19" s="1120" t="s">
        <v>1637</v>
      </c>
      <c r="EB19" s="1120" t="s">
        <v>1637</v>
      </c>
      <c r="EC19" s="1120">
        <v>6783031.2123398855</v>
      </c>
      <c r="ED19" s="1120">
        <v>62587.199999999997</v>
      </c>
      <c r="EE19" s="1120">
        <v>246.86441798931068</v>
      </c>
      <c r="EF19" s="1120" t="s">
        <v>1637</v>
      </c>
      <c r="EG19" s="1120">
        <v>1011.6726599300484</v>
      </c>
      <c r="EH19" s="1120">
        <v>1291449.0378922205</v>
      </c>
      <c r="EI19" s="1120" t="s">
        <v>1637</v>
      </c>
      <c r="EJ19" s="1120" t="s">
        <v>1637</v>
      </c>
      <c r="EK19" s="1120">
        <v>35213.692568407758</v>
      </c>
      <c r="EL19" s="1120">
        <v>53738</v>
      </c>
      <c r="EM19" s="1120">
        <v>193540.9803106488</v>
      </c>
      <c r="EN19" s="1120" t="s">
        <v>1637</v>
      </c>
      <c r="EO19" s="1120" t="s">
        <v>1637</v>
      </c>
      <c r="EP19" s="1120" t="s">
        <v>1637</v>
      </c>
    </row>
    <row r="20" spans="1:146" s="1121" customFormat="1" ht="15" customHeight="1">
      <c r="A20" s="15"/>
      <c r="B20" s="1055" t="s">
        <v>1744</v>
      </c>
      <c r="C20" s="1055" t="s">
        <v>1172</v>
      </c>
      <c r="D20" s="1055" t="s">
        <v>1134</v>
      </c>
      <c r="E20" s="1055" t="s">
        <v>687</v>
      </c>
      <c r="F20" s="1049">
        <v>2014</v>
      </c>
      <c r="G20" s="1049">
        <v>580184</v>
      </c>
      <c r="H20" s="1049">
        <v>86.22</v>
      </c>
      <c r="I20" s="1043">
        <v>51910270000</v>
      </c>
      <c r="J20" s="1051">
        <v>18042.118571428571</v>
      </c>
      <c r="K20" s="1051">
        <v>423356.77251277125</v>
      </c>
      <c r="L20" s="1052">
        <v>48721.384733215884</v>
      </c>
      <c r="M20" s="1051">
        <v>9077.5999999999985</v>
      </c>
      <c r="N20" s="1051">
        <v>577454.55220211134</v>
      </c>
      <c r="O20" s="1052">
        <v>43996.499556875096</v>
      </c>
      <c r="P20" s="1051">
        <v>10672</v>
      </c>
      <c r="Q20" s="1051">
        <v>91105.080029116914</v>
      </c>
      <c r="R20" s="1052">
        <v>6213.2441789566346</v>
      </c>
      <c r="S20" s="1051" t="s">
        <v>176</v>
      </c>
      <c r="T20" s="1051" t="s">
        <v>176</v>
      </c>
      <c r="U20" s="1052" t="s">
        <v>176</v>
      </c>
      <c r="V20" s="1053">
        <v>1755238.487</v>
      </c>
      <c r="W20" s="1051" t="s">
        <v>176</v>
      </c>
      <c r="X20" s="1051">
        <v>64.129779990392024</v>
      </c>
      <c r="Y20" s="1052">
        <v>3.3150000000000004</v>
      </c>
      <c r="Z20" s="1051" t="s">
        <v>175</v>
      </c>
      <c r="AA20" s="1051" t="s">
        <v>175</v>
      </c>
      <c r="AB20" s="1052" t="s">
        <v>177</v>
      </c>
      <c r="AC20" s="1051" t="s">
        <v>175</v>
      </c>
      <c r="AD20" s="1051" t="s">
        <v>175</v>
      </c>
      <c r="AE20" s="1051">
        <v>349230.57939226693</v>
      </c>
      <c r="AF20" s="1051" t="s">
        <v>176</v>
      </c>
      <c r="AG20" s="1052" t="s">
        <v>177</v>
      </c>
      <c r="AH20" s="1051">
        <v>2930.6437489999998</v>
      </c>
      <c r="AI20" s="1051">
        <v>25544.033381946716</v>
      </c>
      <c r="AJ20" s="1052">
        <v>1320.4235329333728</v>
      </c>
      <c r="AK20" s="1051">
        <v>140000</v>
      </c>
      <c r="AL20" s="1051" t="s">
        <v>175</v>
      </c>
      <c r="AM20" s="1052" t="s">
        <v>177</v>
      </c>
      <c r="AN20" s="1051" t="s">
        <v>175</v>
      </c>
      <c r="AO20" s="1051" t="s">
        <v>175</v>
      </c>
      <c r="AP20" s="1052">
        <v>14400</v>
      </c>
      <c r="AQ20" s="1051">
        <v>62470</v>
      </c>
      <c r="AR20" s="1051" t="s">
        <v>176</v>
      </c>
      <c r="AS20" s="1052" t="s">
        <v>175</v>
      </c>
      <c r="AT20" s="1051" t="s">
        <v>175</v>
      </c>
      <c r="AU20" s="1051">
        <v>750</v>
      </c>
      <c r="AV20" s="1053" t="s">
        <v>175</v>
      </c>
      <c r="AW20" s="1051" t="s">
        <v>175</v>
      </c>
      <c r="AX20" s="1051" t="s">
        <v>175</v>
      </c>
      <c r="AY20" s="1053" t="s">
        <v>175</v>
      </c>
      <c r="AZ20" s="1051" t="s">
        <v>176</v>
      </c>
      <c r="BA20" s="1051" t="s">
        <v>176</v>
      </c>
      <c r="BB20" s="1053" t="s">
        <v>176</v>
      </c>
      <c r="BC20" s="1051">
        <v>16588</v>
      </c>
      <c r="BD20" s="1051" t="s">
        <v>175</v>
      </c>
      <c r="BE20" s="1053" t="s">
        <v>175</v>
      </c>
      <c r="BF20" s="1052">
        <v>3733.4</v>
      </c>
      <c r="BG20" s="1052">
        <v>80384</v>
      </c>
      <c r="BH20" s="1052" t="s">
        <v>175</v>
      </c>
      <c r="BI20" s="1052">
        <v>-2218.8294000000001</v>
      </c>
      <c r="BJ20" s="1052">
        <v>25</v>
      </c>
      <c r="BK20" s="1054" t="s">
        <v>177</v>
      </c>
      <c r="BL20" s="1117" t="s">
        <v>1744</v>
      </c>
      <c r="BM20" s="1051">
        <v>1727285.509618632</v>
      </c>
      <c r="BN20" s="1052">
        <v>1923863.947220613</v>
      </c>
      <c r="BO20" s="1054">
        <v>1923863.947220613</v>
      </c>
      <c r="BP20" s="1053">
        <v>2446172.9993126956</v>
      </c>
      <c r="BQ20" s="1051">
        <v>1129772.2530954184</v>
      </c>
      <c r="BR20" s="1051">
        <v>580175.2565232137</v>
      </c>
      <c r="BS20" s="1051">
        <v>17338</v>
      </c>
      <c r="BT20" s="1052">
        <v>1228706.696564466</v>
      </c>
      <c r="BU20" s="1052">
        <v>595895.68005614704</v>
      </c>
      <c r="BV20" s="1052">
        <v>17338</v>
      </c>
      <c r="BW20" s="1052">
        <v>84117.4</v>
      </c>
      <c r="BX20" s="1052">
        <v>-2193.8294000000001</v>
      </c>
      <c r="BY20" s="1053">
        <v>37791.718571428573</v>
      </c>
      <c r="BZ20" s="1053">
        <v>1755238.487</v>
      </c>
      <c r="CA20" s="1053">
        <v>554631.22314126696</v>
      </c>
      <c r="CB20" s="1053">
        <v>16588</v>
      </c>
      <c r="CC20" s="1053" t="s">
        <v>1637</v>
      </c>
      <c r="CD20" s="1053">
        <v>84117.4</v>
      </c>
      <c r="CE20" s="1053">
        <v>-2193.8294000000001</v>
      </c>
      <c r="CF20" s="1051">
        <v>441398.89108419983</v>
      </c>
      <c r="CG20" s="1051">
        <v>586532.15220211132</v>
      </c>
      <c r="CH20" s="1051">
        <v>101777.08002911691</v>
      </c>
      <c r="CI20" s="1051" t="s">
        <v>1637</v>
      </c>
      <c r="CJ20" s="1051">
        <v>64.129779990392024</v>
      </c>
      <c r="CK20" s="1051" t="s">
        <v>1637</v>
      </c>
      <c r="CL20" s="1051" t="s">
        <v>1637</v>
      </c>
      <c r="CM20" s="1051" t="s">
        <v>1637</v>
      </c>
      <c r="CN20" s="1051">
        <v>349230.57939226693</v>
      </c>
      <c r="CO20" s="1051">
        <v>28474.677130946715</v>
      </c>
      <c r="CP20" s="1051">
        <v>140000</v>
      </c>
      <c r="CQ20" s="1051" t="s">
        <v>1637</v>
      </c>
      <c r="CR20" s="1051">
        <v>62470</v>
      </c>
      <c r="CS20" s="1051">
        <v>750</v>
      </c>
      <c r="CT20" s="1051" t="s">
        <v>1637</v>
      </c>
      <c r="CU20" s="1051" t="s">
        <v>1637</v>
      </c>
      <c r="CV20" s="1051">
        <v>16588</v>
      </c>
      <c r="CW20" s="1118">
        <v>490120.27581741574</v>
      </c>
      <c r="CX20" s="1118">
        <v>630528.65175898641</v>
      </c>
      <c r="CY20" s="1118">
        <v>107990.32420807355</v>
      </c>
      <c r="CZ20" s="1118" t="s">
        <v>1637</v>
      </c>
      <c r="DA20" s="1118">
        <v>67.444779990392021</v>
      </c>
      <c r="DB20" s="1118" t="s">
        <v>1637</v>
      </c>
      <c r="DC20" s="1118" t="s">
        <v>1637</v>
      </c>
      <c r="DD20" s="1118" t="s">
        <v>1637</v>
      </c>
      <c r="DE20" s="1118">
        <v>349230.57939226693</v>
      </c>
      <c r="DF20" s="1118">
        <v>29795.100663880086</v>
      </c>
      <c r="DG20" s="1118">
        <v>140000</v>
      </c>
      <c r="DH20" s="1118">
        <v>14400</v>
      </c>
      <c r="DI20" s="1118">
        <v>62470</v>
      </c>
      <c r="DJ20" s="1118">
        <v>750</v>
      </c>
      <c r="DK20" s="1118" t="s">
        <v>1637</v>
      </c>
      <c r="DL20" s="1118" t="s">
        <v>1637</v>
      </c>
      <c r="DM20" s="1118">
        <v>16588</v>
      </c>
      <c r="DN20" s="1118">
        <v>3733.4</v>
      </c>
      <c r="DO20" s="1118">
        <v>80384</v>
      </c>
      <c r="DP20" s="1118" t="s">
        <v>1637</v>
      </c>
      <c r="DQ20" s="1118">
        <v>-2218.8294000000001</v>
      </c>
      <c r="DR20" s="1118">
        <v>25</v>
      </c>
      <c r="DS20" s="1119" t="s">
        <v>1637</v>
      </c>
      <c r="DT20" s="1120">
        <v>18042.118571428571</v>
      </c>
      <c r="DU20" s="1120">
        <v>9077.5999999999985</v>
      </c>
      <c r="DV20" s="1120">
        <v>10672</v>
      </c>
      <c r="DW20" s="1120" t="s">
        <v>1637</v>
      </c>
      <c r="DX20" s="1120">
        <v>1755238.487</v>
      </c>
      <c r="DY20" s="1120" t="s">
        <v>1637</v>
      </c>
      <c r="DZ20" s="1120" t="s">
        <v>1637</v>
      </c>
      <c r="EA20" s="1120" t="s">
        <v>1637</v>
      </c>
      <c r="EB20" s="1120" t="s">
        <v>1637</v>
      </c>
      <c r="EC20" s="1120">
        <v>349230.57939226693</v>
      </c>
      <c r="ED20" s="1120">
        <v>2930.6437489999998</v>
      </c>
      <c r="EE20" s="1120">
        <v>140000</v>
      </c>
      <c r="EF20" s="1120" t="s">
        <v>1637</v>
      </c>
      <c r="EG20" s="1120">
        <v>62470</v>
      </c>
      <c r="EH20" s="1120" t="s">
        <v>1637</v>
      </c>
      <c r="EI20" s="1120" t="s">
        <v>1637</v>
      </c>
      <c r="EJ20" s="1120" t="s">
        <v>1637</v>
      </c>
      <c r="EK20" s="1120">
        <v>16588</v>
      </c>
      <c r="EL20" s="1120">
        <v>3733.4</v>
      </c>
      <c r="EM20" s="1120">
        <v>80384</v>
      </c>
      <c r="EN20" s="1120" t="s">
        <v>1637</v>
      </c>
      <c r="EO20" s="1120">
        <v>-2218.8294000000001</v>
      </c>
      <c r="EP20" s="1120">
        <v>25</v>
      </c>
    </row>
    <row r="21" spans="1:146" s="1121" customFormat="1" ht="15" customHeight="1">
      <c r="A21" s="15"/>
      <c r="B21" s="1055" t="s">
        <v>1759</v>
      </c>
      <c r="C21" s="1055" t="s">
        <v>1142</v>
      </c>
      <c r="D21" s="1055" t="s">
        <v>1134</v>
      </c>
      <c r="E21" s="1055" t="s">
        <v>687</v>
      </c>
      <c r="F21" s="1049">
        <v>2013</v>
      </c>
      <c r="G21" s="1049">
        <v>649111</v>
      </c>
      <c r="H21" s="1049">
        <v>158</v>
      </c>
      <c r="I21" s="1043">
        <v>113362000000</v>
      </c>
      <c r="J21" s="1051">
        <v>599361.3757320001</v>
      </c>
      <c r="K21" s="1051">
        <v>835970.07342038478</v>
      </c>
      <c r="L21" s="1052" t="s">
        <v>177</v>
      </c>
      <c r="M21" s="1051">
        <v>1011169.493264</v>
      </c>
      <c r="N21" s="1051">
        <v>4002984.6193531207</v>
      </c>
      <c r="O21" s="1052" t="s">
        <v>177</v>
      </c>
      <c r="P21" s="1051" t="s">
        <v>175</v>
      </c>
      <c r="Q21" s="1051" t="s">
        <v>175</v>
      </c>
      <c r="R21" s="1052" t="s">
        <v>175</v>
      </c>
      <c r="S21" s="1051" t="s">
        <v>175</v>
      </c>
      <c r="T21" s="1051" t="s">
        <v>175</v>
      </c>
      <c r="U21" s="1052" t="s">
        <v>175</v>
      </c>
      <c r="V21" s="1053" t="s">
        <v>175</v>
      </c>
      <c r="W21" s="1051" t="s">
        <v>175</v>
      </c>
      <c r="X21" s="1051" t="s">
        <v>175</v>
      </c>
      <c r="Y21" s="1052" t="s">
        <v>175</v>
      </c>
      <c r="Z21" s="1051" t="s">
        <v>175</v>
      </c>
      <c r="AA21" s="1051" t="s">
        <v>175</v>
      </c>
      <c r="AB21" s="1052" t="s">
        <v>175</v>
      </c>
      <c r="AC21" s="1051" t="s">
        <v>175</v>
      </c>
      <c r="AD21" s="1051">
        <v>21897.049049259589</v>
      </c>
      <c r="AE21" s="1051">
        <v>1477997.8682300001</v>
      </c>
      <c r="AF21" s="1051" t="s">
        <v>176</v>
      </c>
      <c r="AG21" s="1052" t="s">
        <v>177</v>
      </c>
      <c r="AH21" s="1051" t="s">
        <v>175</v>
      </c>
      <c r="AI21" s="1051">
        <v>126294.63039770231</v>
      </c>
      <c r="AJ21" s="1052" t="s">
        <v>177</v>
      </c>
      <c r="AK21" s="1051" t="s">
        <v>175</v>
      </c>
      <c r="AL21" s="1051" t="s">
        <v>175</v>
      </c>
      <c r="AM21" s="1052" t="s">
        <v>175</v>
      </c>
      <c r="AN21" s="1051" t="s">
        <v>175</v>
      </c>
      <c r="AO21" s="1051" t="s">
        <v>175</v>
      </c>
      <c r="AP21" s="1052" t="s">
        <v>177</v>
      </c>
      <c r="AQ21" s="1051" t="s">
        <v>175</v>
      </c>
      <c r="AR21" s="1051" t="s">
        <v>175</v>
      </c>
      <c r="AS21" s="1052" t="s">
        <v>175</v>
      </c>
      <c r="AT21" s="1051" t="s">
        <v>175</v>
      </c>
      <c r="AU21" s="1051">
        <v>181385</v>
      </c>
      <c r="AV21" s="1053" t="s">
        <v>175</v>
      </c>
      <c r="AW21" s="1051" t="s">
        <v>175</v>
      </c>
      <c r="AX21" s="1051" t="s">
        <v>175</v>
      </c>
      <c r="AY21" s="1053" t="s">
        <v>175</v>
      </c>
      <c r="AZ21" s="1051" t="s">
        <v>175</v>
      </c>
      <c r="BA21" s="1051" t="s">
        <v>176</v>
      </c>
      <c r="BB21" s="1053" t="s">
        <v>175</v>
      </c>
      <c r="BC21" s="1051">
        <v>6006.1726960337119</v>
      </c>
      <c r="BD21" s="1051" t="s">
        <v>175</v>
      </c>
      <c r="BE21" s="1053">
        <v>16238.911363350402</v>
      </c>
      <c r="BF21" s="1052" t="s">
        <v>175</v>
      </c>
      <c r="BG21" s="1052" t="s">
        <v>177</v>
      </c>
      <c r="BH21" s="1052" t="s">
        <v>175</v>
      </c>
      <c r="BI21" s="1052" t="s">
        <v>175</v>
      </c>
      <c r="BJ21" s="1052" t="s">
        <v>175</v>
      </c>
      <c r="BK21" s="1054" t="s">
        <v>177</v>
      </c>
      <c r="BL21" s="1055" t="s">
        <v>1759</v>
      </c>
      <c r="BM21" s="1051">
        <v>8263066.2821425013</v>
      </c>
      <c r="BN21" s="1052">
        <v>8263066.2821425013</v>
      </c>
      <c r="BO21" s="1054">
        <v>8263066.2821425013</v>
      </c>
      <c r="BP21" s="1053">
        <v>3132670.8703346439</v>
      </c>
      <c r="BQ21" s="1051">
        <v>6471382.6108187651</v>
      </c>
      <c r="BR21" s="1051">
        <v>1604292.4986277025</v>
      </c>
      <c r="BS21" s="1051">
        <v>187391.17269603373</v>
      </c>
      <c r="BT21" s="1052">
        <v>6471382.6108187651</v>
      </c>
      <c r="BU21" s="1052">
        <v>1604292.4986277025</v>
      </c>
      <c r="BV21" s="1052">
        <v>187391.17269603373</v>
      </c>
      <c r="BW21" s="1052" t="s">
        <v>1637</v>
      </c>
      <c r="BX21" s="1052" t="s">
        <v>1637</v>
      </c>
      <c r="BY21" s="1053">
        <v>1632427.9180452598</v>
      </c>
      <c r="BZ21" s="1053" t="s">
        <v>1637</v>
      </c>
      <c r="CA21" s="1053">
        <v>1477997.8682300001</v>
      </c>
      <c r="CB21" s="1053">
        <v>6006.1726960337119</v>
      </c>
      <c r="CC21" s="1053">
        <v>16238.911363350402</v>
      </c>
      <c r="CD21" s="1053" t="s">
        <v>1637</v>
      </c>
      <c r="CE21" s="1053" t="s">
        <v>1637</v>
      </c>
      <c r="CF21" s="1051">
        <v>1435331.4491523849</v>
      </c>
      <c r="CG21" s="1051">
        <v>5014154.1126171211</v>
      </c>
      <c r="CH21" s="1051" t="s">
        <v>1637</v>
      </c>
      <c r="CI21" s="1051" t="s">
        <v>1637</v>
      </c>
      <c r="CJ21" s="1051" t="s">
        <v>1637</v>
      </c>
      <c r="CK21" s="1051" t="s">
        <v>1637</v>
      </c>
      <c r="CL21" s="1051" t="s">
        <v>1637</v>
      </c>
      <c r="CM21" s="1051">
        <v>21897.049049259589</v>
      </c>
      <c r="CN21" s="1051">
        <v>1477997.8682300001</v>
      </c>
      <c r="CO21" s="1051">
        <v>126294.63039770231</v>
      </c>
      <c r="CP21" s="1051" t="s">
        <v>1637</v>
      </c>
      <c r="CQ21" s="1051" t="s">
        <v>1637</v>
      </c>
      <c r="CR21" s="1051" t="s">
        <v>1637</v>
      </c>
      <c r="CS21" s="1051">
        <v>181385</v>
      </c>
      <c r="CT21" s="1051" t="s">
        <v>1637</v>
      </c>
      <c r="CU21" s="1051" t="s">
        <v>1637</v>
      </c>
      <c r="CV21" s="1051">
        <v>6006.1726960337119</v>
      </c>
      <c r="CW21" s="1118">
        <v>1435331.4491523849</v>
      </c>
      <c r="CX21" s="1118">
        <v>5014154.1126171211</v>
      </c>
      <c r="CY21" s="1118" t="s">
        <v>1637</v>
      </c>
      <c r="CZ21" s="1118" t="s">
        <v>1637</v>
      </c>
      <c r="DA21" s="1118" t="s">
        <v>1637</v>
      </c>
      <c r="DB21" s="1118" t="s">
        <v>1637</v>
      </c>
      <c r="DC21" s="1118" t="s">
        <v>1637</v>
      </c>
      <c r="DD21" s="1118">
        <v>21897.049049259589</v>
      </c>
      <c r="DE21" s="1118">
        <v>1477997.8682300001</v>
      </c>
      <c r="DF21" s="1118">
        <v>126294.63039770231</v>
      </c>
      <c r="DG21" s="1118" t="s">
        <v>1637</v>
      </c>
      <c r="DH21" s="1118" t="s">
        <v>1637</v>
      </c>
      <c r="DI21" s="1118" t="s">
        <v>1637</v>
      </c>
      <c r="DJ21" s="1118">
        <v>181385</v>
      </c>
      <c r="DK21" s="1118" t="s">
        <v>1637</v>
      </c>
      <c r="DL21" s="1118" t="s">
        <v>1637</v>
      </c>
      <c r="DM21" s="1118">
        <v>6006.1726960337119</v>
      </c>
      <c r="DN21" s="1118" t="s">
        <v>1637</v>
      </c>
      <c r="DO21" s="1118" t="s">
        <v>1637</v>
      </c>
      <c r="DP21" s="1118" t="s">
        <v>1637</v>
      </c>
      <c r="DQ21" s="1118" t="s">
        <v>1637</v>
      </c>
      <c r="DR21" s="1118" t="s">
        <v>1637</v>
      </c>
      <c r="DS21" s="1119" t="s">
        <v>1637</v>
      </c>
      <c r="DT21" s="1120">
        <v>599361.3757320001</v>
      </c>
      <c r="DU21" s="1120">
        <v>1011169.493264</v>
      </c>
      <c r="DV21" s="1120" t="s">
        <v>1637</v>
      </c>
      <c r="DW21" s="1120" t="s">
        <v>1637</v>
      </c>
      <c r="DX21" s="1120" t="s">
        <v>1637</v>
      </c>
      <c r="DY21" s="1120" t="s">
        <v>1637</v>
      </c>
      <c r="DZ21" s="1120" t="s">
        <v>1637</v>
      </c>
      <c r="EA21" s="1120" t="s">
        <v>1637</v>
      </c>
      <c r="EB21" s="1120">
        <v>21897.049049259589</v>
      </c>
      <c r="EC21" s="1120">
        <v>1477997.8682300001</v>
      </c>
      <c r="ED21" s="1120" t="s">
        <v>1637</v>
      </c>
      <c r="EE21" s="1120" t="s">
        <v>1637</v>
      </c>
      <c r="EF21" s="1120" t="s">
        <v>1637</v>
      </c>
      <c r="EG21" s="1120" t="s">
        <v>1637</v>
      </c>
      <c r="EH21" s="1120" t="s">
        <v>1637</v>
      </c>
      <c r="EI21" s="1120" t="s">
        <v>1637</v>
      </c>
      <c r="EJ21" s="1120" t="s">
        <v>1637</v>
      </c>
      <c r="EK21" s="1120">
        <v>22245.084059384113</v>
      </c>
      <c r="EL21" s="1120" t="s">
        <v>1637</v>
      </c>
      <c r="EM21" s="1120" t="s">
        <v>1637</v>
      </c>
      <c r="EN21" s="1120" t="s">
        <v>1637</v>
      </c>
      <c r="EO21" s="1120" t="s">
        <v>1637</v>
      </c>
      <c r="EP21" s="1120" t="s">
        <v>1637</v>
      </c>
    </row>
    <row r="22" spans="1:146" s="1121" customFormat="1" ht="15" customHeight="1">
      <c r="A22" s="15"/>
      <c r="B22" s="1055" t="s">
        <v>1742</v>
      </c>
      <c r="C22" s="1055" t="s">
        <v>1030</v>
      </c>
      <c r="D22" s="1055" t="s">
        <v>1027</v>
      </c>
      <c r="E22" s="1055" t="s">
        <v>687</v>
      </c>
      <c r="F22" s="1049">
        <v>2014</v>
      </c>
      <c r="G22" s="1049">
        <v>4765329</v>
      </c>
      <c r="H22" s="1049">
        <v>1648</v>
      </c>
      <c r="I22" s="1043">
        <v>35684773914.663498</v>
      </c>
      <c r="J22" s="1051">
        <v>111086.04174139972</v>
      </c>
      <c r="K22" s="1051">
        <v>7064517.8217781894</v>
      </c>
      <c r="L22" s="1052">
        <v>467706.93777428096</v>
      </c>
      <c r="M22" s="1051">
        <v>120611.9438723268</v>
      </c>
      <c r="N22" s="1051">
        <v>8227790.7469278369</v>
      </c>
      <c r="O22" s="1052">
        <v>657948.26290984929</v>
      </c>
      <c r="P22" s="1051">
        <v>207194.00789240401</v>
      </c>
      <c r="Q22" s="1051">
        <v>38550.671549999999</v>
      </c>
      <c r="R22" s="1052" t="s">
        <v>176</v>
      </c>
      <c r="S22" s="1051" t="s">
        <v>176</v>
      </c>
      <c r="T22" s="1051" t="s">
        <v>176</v>
      </c>
      <c r="U22" s="1052" t="s">
        <v>177</v>
      </c>
      <c r="V22" s="1053" t="s">
        <v>175</v>
      </c>
      <c r="W22" s="1051" t="s">
        <v>175</v>
      </c>
      <c r="X22" s="1051" t="s">
        <v>175</v>
      </c>
      <c r="Y22" s="1052" t="s">
        <v>175</v>
      </c>
      <c r="Z22" s="1051" t="s">
        <v>175</v>
      </c>
      <c r="AA22" s="1051" t="s">
        <v>175</v>
      </c>
      <c r="AB22" s="1052" t="s">
        <v>175</v>
      </c>
      <c r="AC22" s="1051" t="s">
        <v>175</v>
      </c>
      <c r="AD22" s="1051">
        <v>3222.5977544956122</v>
      </c>
      <c r="AE22" s="1051">
        <v>6875121.110458347</v>
      </c>
      <c r="AF22" s="1051" t="s">
        <v>175</v>
      </c>
      <c r="AG22" s="1052" t="s">
        <v>177</v>
      </c>
      <c r="AH22" s="1051" t="s">
        <v>175</v>
      </c>
      <c r="AI22" s="1051">
        <v>330171.96207917598</v>
      </c>
      <c r="AJ22" s="1052">
        <v>14049.514396056868</v>
      </c>
      <c r="AK22" s="1051" t="s">
        <v>175</v>
      </c>
      <c r="AL22" s="1051" t="s">
        <v>175</v>
      </c>
      <c r="AM22" s="1052" t="s">
        <v>175</v>
      </c>
      <c r="AN22" s="1051" t="s">
        <v>175</v>
      </c>
      <c r="AO22" s="1051" t="s">
        <v>175</v>
      </c>
      <c r="AP22" s="1052">
        <v>1494181.5135538871</v>
      </c>
      <c r="AQ22" s="1051" t="s">
        <v>176</v>
      </c>
      <c r="AR22" s="1051" t="s">
        <v>175</v>
      </c>
      <c r="AS22" s="1052" t="s">
        <v>175</v>
      </c>
      <c r="AT22" s="1051">
        <v>1619552.25</v>
      </c>
      <c r="AU22" s="1051" t="s">
        <v>175</v>
      </c>
      <c r="AV22" s="1053" t="s">
        <v>175</v>
      </c>
      <c r="AW22" s="1051">
        <v>3315</v>
      </c>
      <c r="AX22" s="1051" t="s">
        <v>175</v>
      </c>
      <c r="AY22" s="1053" t="s">
        <v>175</v>
      </c>
      <c r="AZ22" s="1051">
        <v>7228</v>
      </c>
      <c r="BA22" s="1051" t="s">
        <v>175</v>
      </c>
      <c r="BB22" s="1053" t="s">
        <v>175</v>
      </c>
      <c r="BC22" s="1051">
        <v>108350.70945459536</v>
      </c>
      <c r="BD22" s="1051" t="s">
        <v>175</v>
      </c>
      <c r="BE22" s="1053">
        <v>12675.890545404634</v>
      </c>
      <c r="BF22" s="1052" t="s">
        <v>177</v>
      </c>
      <c r="BG22" s="1052" t="s">
        <v>177</v>
      </c>
      <c r="BH22" s="1052" t="s">
        <v>177</v>
      </c>
      <c r="BI22" s="1052" t="s">
        <v>177</v>
      </c>
      <c r="BJ22" s="1052" t="s">
        <v>177</v>
      </c>
      <c r="BK22" s="1054" t="s">
        <v>177</v>
      </c>
      <c r="BL22" s="1117" t="s">
        <v>1742</v>
      </c>
      <c r="BM22" s="1051">
        <v>24716712.863508772</v>
      </c>
      <c r="BN22" s="1052">
        <v>27350599.092142846</v>
      </c>
      <c r="BO22" s="1054">
        <v>27350599.092142846</v>
      </c>
      <c r="BP22" s="1053">
        <v>9068357.5517189745</v>
      </c>
      <c r="BQ22" s="1051">
        <v>15772973.831516653</v>
      </c>
      <c r="BR22" s="1051">
        <v>7205293.0725375228</v>
      </c>
      <c r="BS22" s="1051">
        <v>1738445.9594545953</v>
      </c>
      <c r="BT22" s="1052">
        <v>16898629.032200783</v>
      </c>
      <c r="BU22" s="1052">
        <v>8713524.1004874669</v>
      </c>
      <c r="BV22" s="1052">
        <v>1738445.9594545953</v>
      </c>
      <c r="BW22" s="1052" t="s">
        <v>1637</v>
      </c>
      <c r="BX22" s="1052" t="s">
        <v>1637</v>
      </c>
      <c r="BY22" s="1053">
        <v>442114.59126062616</v>
      </c>
      <c r="BZ22" s="1053" t="s">
        <v>1637</v>
      </c>
      <c r="CA22" s="1053">
        <v>6875121.110458347</v>
      </c>
      <c r="CB22" s="1053">
        <v>1738445.9594545953</v>
      </c>
      <c r="CC22" s="1053">
        <v>12675.890545404634</v>
      </c>
      <c r="CD22" s="1053" t="s">
        <v>1637</v>
      </c>
      <c r="CE22" s="1053" t="s">
        <v>1637</v>
      </c>
      <c r="CF22" s="1051">
        <v>7175603.8635195894</v>
      </c>
      <c r="CG22" s="1051">
        <v>8348402.6908001639</v>
      </c>
      <c r="CH22" s="1051">
        <v>245744.67944240401</v>
      </c>
      <c r="CI22" s="1051" t="s">
        <v>1637</v>
      </c>
      <c r="CJ22" s="1051" t="s">
        <v>1637</v>
      </c>
      <c r="CK22" s="1051" t="s">
        <v>1637</v>
      </c>
      <c r="CL22" s="1051" t="s">
        <v>1637</v>
      </c>
      <c r="CM22" s="1051">
        <v>3222.5977544956122</v>
      </c>
      <c r="CN22" s="1051">
        <v>6875121.110458347</v>
      </c>
      <c r="CO22" s="1051">
        <v>330171.96207917598</v>
      </c>
      <c r="CP22" s="1051" t="s">
        <v>1637</v>
      </c>
      <c r="CQ22" s="1051" t="s">
        <v>1637</v>
      </c>
      <c r="CR22" s="1051" t="s">
        <v>1637</v>
      </c>
      <c r="CS22" s="1051">
        <v>1619552.25</v>
      </c>
      <c r="CT22" s="1051">
        <v>3315</v>
      </c>
      <c r="CU22" s="1051">
        <v>7228</v>
      </c>
      <c r="CV22" s="1051">
        <v>108350.70945459536</v>
      </c>
      <c r="CW22" s="1118">
        <v>7643310.8012938704</v>
      </c>
      <c r="CX22" s="1118">
        <v>9006350.953710014</v>
      </c>
      <c r="CY22" s="1118">
        <v>245744.67944240401</v>
      </c>
      <c r="CZ22" s="1118" t="s">
        <v>1637</v>
      </c>
      <c r="DA22" s="1118" t="s">
        <v>1637</v>
      </c>
      <c r="DB22" s="1118" t="s">
        <v>1637</v>
      </c>
      <c r="DC22" s="1118" t="s">
        <v>1637</v>
      </c>
      <c r="DD22" s="1118">
        <v>3222.5977544956122</v>
      </c>
      <c r="DE22" s="1118">
        <v>6875121.110458347</v>
      </c>
      <c r="DF22" s="1118">
        <v>344221.47647523286</v>
      </c>
      <c r="DG22" s="1118" t="s">
        <v>1637</v>
      </c>
      <c r="DH22" s="1118">
        <v>1494181.5135538871</v>
      </c>
      <c r="DI22" s="1118" t="s">
        <v>1637</v>
      </c>
      <c r="DJ22" s="1118">
        <v>1619552.25</v>
      </c>
      <c r="DK22" s="1118">
        <v>3315</v>
      </c>
      <c r="DL22" s="1118">
        <v>7228</v>
      </c>
      <c r="DM22" s="1118">
        <v>108350.70945459536</v>
      </c>
      <c r="DN22" s="1118" t="s">
        <v>1637</v>
      </c>
      <c r="DO22" s="1118" t="s">
        <v>1637</v>
      </c>
      <c r="DP22" s="1118" t="s">
        <v>1637</v>
      </c>
      <c r="DQ22" s="1118" t="s">
        <v>1637</v>
      </c>
      <c r="DR22" s="1118" t="s">
        <v>1637</v>
      </c>
      <c r="DS22" s="1119" t="s">
        <v>1637</v>
      </c>
      <c r="DT22" s="1120">
        <v>111086.04174139972</v>
      </c>
      <c r="DU22" s="1120">
        <v>120611.9438723268</v>
      </c>
      <c r="DV22" s="1120">
        <v>207194.00789240401</v>
      </c>
      <c r="DW22" s="1120" t="s">
        <v>1637</v>
      </c>
      <c r="DX22" s="1120" t="s">
        <v>1637</v>
      </c>
      <c r="DY22" s="1120" t="s">
        <v>1637</v>
      </c>
      <c r="DZ22" s="1120" t="s">
        <v>1637</v>
      </c>
      <c r="EA22" s="1120" t="s">
        <v>1637</v>
      </c>
      <c r="EB22" s="1120">
        <v>3222.5977544956122</v>
      </c>
      <c r="EC22" s="1120">
        <v>6875121.110458347</v>
      </c>
      <c r="ED22" s="1120" t="s">
        <v>1637</v>
      </c>
      <c r="EE22" s="1120" t="s">
        <v>1637</v>
      </c>
      <c r="EF22" s="1120" t="s">
        <v>1637</v>
      </c>
      <c r="EG22" s="1120" t="s">
        <v>1637</v>
      </c>
      <c r="EH22" s="1120">
        <v>1619552.25</v>
      </c>
      <c r="EI22" s="1120">
        <v>3315</v>
      </c>
      <c r="EJ22" s="1120">
        <v>7228</v>
      </c>
      <c r="EK22" s="1120">
        <v>121026.59999999999</v>
      </c>
      <c r="EL22" s="1120" t="s">
        <v>1637</v>
      </c>
      <c r="EM22" s="1120" t="s">
        <v>1637</v>
      </c>
      <c r="EN22" s="1120" t="s">
        <v>1637</v>
      </c>
      <c r="EO22" s="1120" t="s">
        <v>1637</v>
      </c>
      <c r="EP22" s="1120" t="s">
        <v>1637</v>
      </c>
    </row>
    <row r="23" spans="1:146" s="1039" customFormat="1" ht="15" customHeight="1">
      <c r="A23" s="642"/>
      <c r="B23" s="1055" t="s">
        <v>1615</v>
      </c>
      <c r="C23" s="1055" t="s">
        <v>1138</v>
      </c>
      <c r="D23" s="1055" t="s">
        <v>1134</v>
      </c>
      <c r="E23" s="1055" t="s">
        <v>687</v>
      </c>
      <c r="F23" s="1049">
        <v>2013</v>
      </c>
      <c r="G23" s="1049">
        <v>8416500</v>
      </c>
      <c r="H23" s="1049">
        <v>1595</v>
      </c>
      <c r="I23" s="1043">
        <v>481061890500</v>
      </c>
      <c r="J23" s="1051">
        <v>8332650.5438481253</v>
      </c>
      <c r="K23" s="1051">
        <v>5836566.4188330807</v>
      </c>
      <c r="L23" s="1052">
        <v>499045.55736139003</v>
      </c>
      <c r="M23" s="1051">
        <v>5371230.7406843342</v>
      </c>
      <c r="N23" s="1051">
        <v>11130687.466505319</v>
      </c>
      <c r="O23" s="1052">
        <v>951710.25769773626</v>
      </c>
      <c r="P23" s="1051" t="s">
        <v>176</v>
      </c>
      <c r="Q23" s="1051" t="s">
        <v>176</v>
      </c>
      <c r="R23" s="1052" t="s">
        <v>176</v>
      </c>
      <c r="S23" s="1051" t="s">
        <v>176</v>
      </c>
      <c r="T23" s="1051" t="s">
        <v>176</v>
      </c>
      <c r="U23" s="1052" t="s">
        <v>177</v>
      </c>
      <c r="V23" s="1053">
        <v>2558703.7892530733</v>
      </c>
      <c r="W23" s="1051" t="s">
        <v>176</v>
      </c>
      <c r="X23" s="1051" t="s">
        <v>176</v>
      </c>
      <c r="Y23" s="1052" t="s">
        <v>176</v>
      </c>
      <c r="Z23" s="1051" t="s">
        <v>175</v>
      </c>
      <c r="AA23" s="1051" t="s">
        <v>175</v>
      </c>
      <c r="AB23" s="1052" t="s">
        <v>175</v>
      </c>
      <c r="AC23" s="1051" t="s">
        <v>175</v>
      </c>
      <c r="AD23" s="1051">
        <v>11787.7</v>
      </c>
      <c r="AE23" s="1051">
        <v>6034654.4213315966</v>
      </c>
      <c r="AF23" s="1051" t="s">
        <v>176</v>
      </c>
      <c r="AG23" s="1052" t="s">
        <v>176</v>
      </c>
      <c r="AH23" s="1051">
        <v>133889.96835635888</v>
      </c>
      <c r="AI23" s="1051">
        <v>1064893.3006678231</v>
      </c>
      <c r="AJ23" s="1052">
        <v>91051.867249792107</v>
      </c>
      <c r="AK23" s="1051">
        <v>20258.495851789849</v>
      </c>
      <c r="AL23" s="1051" t="s">
        <v>176</v>
      </c>
      <c r="AM23" s="1052" t="s">
        <v>177</v>
      </c>
      <c r="AN23" s="1051" t="s">
        <v>176</v>
      </c>
      <c r="AO23" s="1051" t="s">
        <v>175</v>
      </c>
      <c r="AP23" s="1052">
        <v>943023.180779282</v>
      </c>
      <c r="AQ23" s="1051">
        <v>36153</v>
      </c>
      <c r="AR23" s="1051" t="s">
        <v>176</v>
      </c>
      <c r="AS23" s="1052" t="s">
        <v>175</v>
      </c>
      <c r="AT23" s="1051">
        <v>290890.71849776397</v>
      </c>
      <c r="AU23" s="1051">
        <v>1219506.3215999999</v>
      </c>
      <c r="AV23" s="1053" t="s">
        <v>175</v>
      </c>
      <c r="AW23" s="1051">
        <v>23.876478112901914</v>
      </c>
      <c r="AX23" s="1051">
        <v>55.71178226343779</v>
      </c>
      <c r="AY23" s="1046" t="s">
        <v>175</v>
      </c>
      <c r="AZ23" s="1051">
        <v>100585.61477551328</v>
      </c>
      <c r="BA23" s="1051">
        <v>234699.76780953095</v>
      </c>
      <c r="BB23" s="1046" t="s">
        <v>175</v>
      </c>
      <c r="BC23" s="1051">
        <v>5516.8898455531235</v>
      </c>
      <c r="BD23" s="1051">
        <v>1112.8895495167251</v>
      </c>
      <c r="BE23" s="1046" t="s">
        <v>175</v>
      </c>
      <c r="BF23" s="1052" t="s">
        <v>177</v>
      </c>
      <c r="BG23" s="1052" t="s">
        <v>177</v>
      </c>
      <c r="BH23" s="1052" t="s">
        <v>177</v>
      </c>
      <c r="BI23" s="1052" t="s">
        <v>177</v>
      </c>
      <c r="BJ23" s="1052" t="s">
        <v>177</v>
      </c>
      <c r="BK23" s="1054" t="s">
        <v>177</v>
      </c>
      <c r="BL23" s="1076" t="str">
        <f t="shared" ref="BL23" si="0">B23</f>
        <v>London</v>
      </c>
      <c r="BM23" s="1051">
        <v>39825163.846416682</v>
      </c>
      <c r="BN23" s="1052">
        <v>42309994.70950488</v>
      </c>
      <c r="BO23" s="1054">
        <v>42309994.70950488</v>
      </c>
      <c r="BP23" s="1053">
        <v>22896345.758922219</v>
      </c>
      <c r="BQ23" s="1051">
        <v>30682922.869870856</v>
      </c>
      <c r="BR23" s="1051">
        <v>7289849.1862075683</v>
      </c>
      <c r="BS23" s="1051">
        <v>1852391.7903382543</v>
      </c>
      <c r="BT23" s="1052">
        <v>32133678.684929982</v>
      </c>
      <c r="BU23" s="1052">
        <v>8323924.2342366427</v>
      </c>
      <c r="BV23" s="1052">
        <v>1852391.7903382543</v>
      </c>
      <c r="BW23" s="1052" t="s">
        <v>1637</v>
      </c>
      <c r="BX23" s="1052" t="s">
        <v>1637</v>
      </c>
      <c r="BY23" s="1053">
        <v>13715668.984532459</v>
      </c>
      <c r="BZ23" s="1053">
        <v>2558703.7892530733</v>
      </c>
      <c r="CA23" s="1053">
        <v>6224955.885539745</v>
      </c>
      <c r="CB23" s="1053">
        <v>397017.0995969433</v>
      </c>
      <c r="CC23" s="1053" t="s">
        <v>1637</v>
      </c>
      <c r="CD23" s="1053" t="s">
        <v>1637</v>
      </c>
      <c r="CE23" s="1053" t="s">
        <v>1637</v>
      </c>
      <c r="CF23" s="1051">
        <v>14169216.962681206</v>
      </c>
      <c r="CG23" s="1051">
        <v>16501918.207189653</v>
      </c>
      <c r="CH23" s="1051" t="s">
        <v>1637</v>
      </c>
      <c r="CI23" s="1051" t="s">
        <v>1637</v>
      </c>
      <c r="CJ23" s="1051" t="s">
        <v>1637</v>
      </c>
      <c r="CK23" s="1051" t="s">
        <v>1637</v>
      </c>
      <c r="CL23" s="1051" t="s">
        <v>1637</v>
      </c>
      <c r="CM23" s="1051">
        <v>11787.7</v>
      </c>
      <c r="CN23" s="1051">
        <v>6034654.4213315966</v>
      </c>
      <c r="CO23" s="1051">
        <v>1198783.2690241819</v>
      </c>
      <c r="CP23" s="1051">
        <v>20258.495851789849</v>
      </c>
      <c r="CQ23" s="1051" t="s">
        <v>1637</v>
      </c>
      <c r="CR23" s="1051">
        <v>36153</v>
      </c>
      <c r="CS23" s="1051">
        <v>1510397.0400977638</v>
      </c>
      <c r="CT23" s="1051">
        <v>79.588260376339704</v>
      </c>
      <c r="CU23" s="1051">
        <v>335285.38258504425</v>
      </c>
      <c r="CV23" s="1051">
        <v>6629.7793950698488</v>
      </c>
      <c r="CW23" s="1114">
        <v>14668262.520042596</v>
      </c>
      <c r="CX23" s="1114">
        <v>17453628.464887388</v>
      </c>
      <c r="CY23" s="1114" t="s">
        <v>1637</v>
      </c>
      <c r="CZ23" s="1114" t="s">
        <v>1637</v>
      </c>
      <c r="DA23" s="1114" t="s">
        <v>1637</v>
      </c>
      <c r="DB23" s="1114" t="s">
        <v>1637</v>
      </c>
      <c r="DC23" s="1114" t="s">
        <v>1637</v>
      </c>
      <c r="DD23" s="1114">
        <v>11787.7</v>
      </c>
      <c r="DE23" s="1114">
        <v>6034654.4213315966</v>
      </c>
      <c r="DF23" s="1114">
        <v>1289835.1362739741</v>
      </c>
      <c r="DG23" s="1114">
        <v>20258.495851789849</v>
      </c>
      <c r="DH23" s="1114">
        <v>943023.180779282</v>
      </c>
      <c r="DI23" s="1114">
        <v>36153</v>
      </c>
      <c r="DJ23" s="1114">
        <v>1510397.0400977638</v>
      </c>
      <c r="DK23" s="1114">
        <v>79.588260376339704</v>
      </c>
      <c r="DL23" s="1114">
        <v>335285.38258504425</v>
      </c>
      <c r="DM23" s="1114">
        <v>6629.7793950698488</v>
      </c>
      <c r="DN23" s="1114" t="s">
        <v>1637</v>
      </c>
      <c r="DO23" s="1114" t="s">
        <v>1637</v>
      </c>
      <c r="DP23" s="1114" t="s">
        <v>1637</v>
      </c>
      <c r="DQ23" s="1114" t="s">
        <v>1637</v>
      </c>
      <c r="DR23" s="1114" t="s">
        <v>1637</v>
      </c>
      <c r="DS23" s="1115" t="s">
        <v>1637</v>
      </c>
      <c r="DT23" s="1116">
        <v>8332650.5438481253</v>
      </c>
      <c r="DU23" s="1116">
        <v>5371230.7406843342</v>
      </c>
      <c r="DV23" s="1116" t="s">
        <v>1637</v>
      </c>
      <c r="DW23" s="1116" t="s">
        <v>1637</v>
      </c>
      <c r="DX23" s="1116">
        <v>2558703.7892530733</v>
      </c>
      <c r="DY23" s="1116" t="s">
        <v>1637</v>
      </c>
      <c r="DZ23" s="1116" t="s">
        <v>1637</v>
      </c>
      <c r="EA23" s="1116" t="s">
        <v>1637</v>
      </c>
      <c r="EB23" s="1116">
        <v>11787.7</v>
      </c>
      <c r="EC23" s="1116">
        <v>6034654.4213315966</v>
      </c>
      <c r="ED23" s="1116">
        <v>133889.96835635888</v>
      </c>
      <c r="EE23" s="1116">
        <v>20258.495851789849</v>
      </c>
      <c r="EF23" s="1116" t="s">
        <v>1637</v>
      </c>
      <c r="EG23" s="1116">
        <v>36153</v>
      </c>
      <c r="EH23" s="1116">
        <v>290890.71849776397</v>
      </c>
      <c r="EI23" s="1116">
        <v>23.876478112901914</v>
      </c>
      <c r="EJ23" s="1116">
        <v>100585.61477551328</v>
      </c>
      <c r="EK23" s="1116">
        <v>5516.8898455531235</v>
      </c>
      <c r="EL23" s="1116" t="s">
        <v>1637</v>
      </c>
      <c r="EM23" s="1116" t="s">
        <v>1637</v>
      </c>
      <c r="EN23" s="1116" t="s">
        <v>1637</v>
      </c>
      <c r="EO23" s="1116" t="s">
        <v>1637</v>
      </c>
      <c r="EP23" s="1116" t="s">
        <v>1637</v>
      </c>
    </row>
    <row r="24" spans="1:146" s="34" customFormat="1" ht="15" customHeight="1">
      <c r="A24" s="642"/>
      <c r="B24" s="1041" t="s">
        <v>1734</v>
      </c>
      <c r="C24" s="1048" t="s">
        <v>1394</v>
      </c>
      <c r="D24" s="1048" t="s">
        <v>1134</v>
      </c>
      <c r="E24" s="1048" t="s">
        <v>687</v>
      </c>
      <c r="F24" s="1049">
        <v>2013</v>
      </c>
      <c r="G24" s="1050">
        <v>3207247</v>
      </c>
      <c r="H24" s="1050">
        <v>606</v>
      </c>
      <c r="I24" s="1043">
        <v>103261000000</v>
      </c>
      <c r="J24" s="1051">
        <v>1690972.4176907854</v>
      </c>
      <c r="K24" s="1051">
        <v>1115983.2500104399</v>
      </c>
      <c r="L24" s="1052">
        <v>139838.35649208806</v>
      </c>
      <c r="M24" s="1051">
        <v>712706.49062100879</v>
      </c>
      <c r="N24" s="1051">
        <v>1686344.2572374691</v>
      </c>
      <c r="O24" s="1052">
        <v>211307.48101259817</v>
      </c>
      <c r="P24" s="1051">
        <v>323384.91365221376</v>
      </c>
      <c r="Q24" s="1051">
        <v>181414.07972758432</v>
      </c>
      <c r="R24" s="1052">
        <v>22732.103509073902</v>
      </c>
      <c r="S24" s="1051">
        <v>37818.168982663905</v>
      </c>
      <c r="T24" s="1051" t="s">
        <v>175</v>
      </c>
      <c r="U24" s="1052" t="s">
        <v>175</v>
      </c>
      <c r="V24" s="1053">
        <v>190899.55310656875</v>
      </c>
      <c r="W24" s="1051">
        <v>27971.650063522313</v>
      </c>
      <c r="X24" s="1051">
        <v>1311.1932314670059</v>
      </c>
      <c r="Y24" s="1052">
        <v>164.29915639879081</v>
      </c>
      <c r="Z24" s="1051">
        <v>49379.37165943643</v>
      </c>
      <c r="AA24" s="1051" t="s">
        <v>175</v>
      </c>
      <c r="AB24" s="1052" t="s">
        <v>175</v>
      </c>
      <c r="AC24" s="1051" t="s">
        <v>175</v>
      </c>
      <c r="AD24" s="1051">
        <v>17964.392896713704</v>
      </c>
      <c r="AE24" s="1051">
        <v>2149069.2879714854</v>
      </c>
      <c r="AF24" s="1051">
        <v>95.588835299722717</v>
      </c>
      <c r="AG24" s="1052">
        <v>11.977765461247801</v>
      </c>
      <c r="AH24" s="1051">
        <v>4676.4334073592154</v>
      </c>
      <c r="AI24" s="1051">
        <v>265654.99018543016</v>
      </c>
      <c r="AJ24" s="1052">
        <v>33287.916481815308</v>
      </c>
      <c r="AK24" s="1051" t="s">
        <v>175</v>
      </c>
      <c r="AL24" s="1051" t="s">
        <v>175</v>
      </c>
      <c r="AM24" s="1052" t="s">
        <v>175</v>
      </c>
      <c r="AN24" s="1051">
        <v>506167.72730000003</v>
      </c>
      <c r="AO24" s="1051" t="s">
        <v>175</v>
      </c>
      <c r="AP24" s="1052" t="s">
        <v>177</v>
      </c>
      <c r="AQ24" s="1051" t="s">
        <v>175</v>
      </c>
      <c r="AR24" s="1051" t="s">
        <v>175</v>
      </c>
      <c r="AS24" s="1052" t="s">
        <v>175</v>
      </c>
      <c r="AT24" s="1051">
        <v>338011.17891383066</v>
      </c>
      <c r="AU24" s="1051" t="s">
        <v>175</v>
      </c>
      <c r="AV24" s="1053">
        <v>5775.6181913673263</v>
      </c>
      <c r="AW24" s="1051">
        <v>3675.2000000000003</v>
      </c>
      <c r="AX24" s="1051" t="s">
        <v>175</v>
      </c>
      <c r="AY24" s="1053" t="s">
        <v>176</v>
      </c>
      <c r="AZ24" s="1051">
        <v>374.96522800000008</v>
      </c>
      <c r="BA24" s="1051" t="s">
        <v>175</v>
      </c>
      <c r="BB24" s="1053" t="s">
        <v>176</v>
      </c>
      <c r="BC24" s="1051">
        <v>89419.992247772228</v>
      </c>
      <c r="BD24" s="1051" t="s">
        <v>175</v>
      </c>
      <c r="BE24" s="1053" t="s">
        <v>175</v>
      </c>
      <c r="BF24" s="1052">
        <v>1175.1687465468124</v>
      </c>
      <c r="BG24" s="1052">
        <v>678567.17631955422</v>
      </c>
      <c r="BH24" s="1052">
        <v>2268.4796248140938</v>
      </c>
      <c r="BI24" s="1052">
        <v>-43398.890789941084</v>
      </c>
      <c r="BJ24" s="1052">
        <v>8698.028993038899</v>
      </c>
      <c r="BK24" s="1054" t="s">
        <v>177</v>
      </c>
      <c r="BL24" s="1076" t="s">
        <v>1734</v>
      </c>
      <c r="BM24" s="1051">
        <v>9202395.5498624835</v>
      </c>
      <c r="BN24" s="1052">
        <v>10257047.647173932</v>
      </c>
      <c r="BO24" s="1054">
        <v>10257047.647173932</v>
      </c>
      <c r="BP24" s="1053">
        <v>6795577.3248267416</v>
      </c>
      <c r="BQ24" s="1051">
        <v>5845250.1857733056</v>
      </c>
      <c r="BR24" s="1051">
        <v>2925664.0276995744</v>
      </c>
      <c r="BS24" s="1051">
        <v>431481.33638960292</v>
      </c>
      <c r="BT24" s="1052">
        <v>6219292.425943464</v>
      </c>
      <c r="BU24" s="1052">
        <v>2958963.9219468511</v>
      </c>
      <c r="BV24" s="1052">
        <v>431481.33638960292</v>
      </c>
      <c r="BW24" s="1052">
        <v>679742.34506610106</v>
      </c>
      <c r="BX24" s="1052">
        <v>-32432.382172088095</v>
      </c>
      <c r="BY24" s="1053">
        <v>2860197.4055663445</v>
      </c>
      <c r="BZ24" s="1053">
        <v>190899.55310656875</v>
      </c>
      <c r="CA24" s="1053">
        <v>2659913.4486788446</v>
      </c>
      <c r="CB24" s="1053">
        <v>431481.33638960292</v>
      </c>
      <c r="CC24" s="1053">
        <v>5775.6181913673263</v>
      </c>
      <c r="CD24" s="1053">
        <v>679742.34506610106</v>
      </c>
      <c r="CE24" s="1053">
        <v>-32432.382172088095</v>
      </c>
      <c r="CF24" s="1123">
        <v>2806955.6677012253</v>
      </c>
      <c r="CG24" s="1123">
        <v>2399050.7478584778</v>
      </c>
      <c r="CH24" s="1123">
        <v>504798.99337979808</v>
      </c>
      <c r="CI24" s="1123">
        <v>37818.168982663905</v>
      </c>
      <c r="CJ24" s="1123">
        <v>29282.843294989318</v>
      </c>
      <c r="CK24" s="1123">
        <v>49379.37165943643</v>
      </c>
      <c r="CL24" s="1123" t="s">
        <v>1637</v>
      </c>
      <c r="CM24" s="1123">
        <v>17964.392896713704</v>
      </c>
      <c r="CN24" s="1123">
        <v>2149164.8768067854</v>
      </c>
      <c r="CO24" s="1123">
        <v>270331.42359278939</v>
      </c>
      <c r="CP24" s="1123" t="s">
        <v>1637</v>
      </c>
      <c r="CQ24" s="1123">
        <v>506167.72730000003</v>
      </c>
      <c r="CR24" s="1123" t="s">
        <v>1637</v>
      </c>
      <c r="CS24" s="1123">
        <v>338011.17891383066</v>
      </c>
      <c r="CT24" s="1123">
        <v>3675.2000000000003</v>
      </c>
      <c r="CU24" s="1123">
        <v>374.96522800000008</v>
      </c>
      <c r="CV24" s="1123">
        <v>89419.992247772228</v>
      </c>
      <c r="CW24" s="1114">
        <v>2946794.0241933134</v>
      </c>
      <c r="CX24" s="1114">
        <v>2610358.2288710759</v>
      </c>
      <c r="CY24" s="1114">
        <v>527531.09688887198</v>
      </c>
      <c r="CZ24" s="1114">
        <v>37818.168982663905</v>
      </c>
      <c r="DA24" s="1114">
        <v>29447.14245138811</v>
      </c>
      <c r="DB24" s="1114">
        <v>49379.37165943643</v>
      </c>
      <c r="DC24" s="1114" t="s">
        <v>1637</v>
      </c>
      <c r="DD24" s="1114">
        <v>17964.392896713704</v>
      </c>
      <c r="DE24" s="1114">
        <v>2149176.8545722468</v>
      </c>
      <c r="DF24" s="1114">
        <v>303619.34007460473</v>
      </c>
      <c r="DG24" s="1114" t="s">
        <v>1637</v>
      </c>
      <c r="DH24" s="1114">
        <v>506167.72730000003</v>
      </c>
      <c r="DI24" s="1114" t="s">
        <v>1637</v>
      </c>
      <c r="DJ24" s="1114">
        <v>338011.17891383066</v>
      </c>
      <c r="DK24" s="1114">
        <v>3675.2000000000003</v>
      </c>
      <c r="DL24" s="1114">
        <v>374.96522800000008</v>
      </c>
      <c r="DM24" s="1114">
        <v>89419.992247772228</v>
      </c>
      <c r="DN24" s="1114">
        <v>1175.1687465468124</v>
      </c>
      <c r="DO24" s="1114">
        <v>678567.17631955422</v>
      </c>
      <c r="DP24" s="1114">
        <v>2268.4796248140938</v>
      </c>
      <c r="DQ24" s="1114">
        <v>-43398.890789941084</v>
      </c>
      <c r="DR24" s="1114">
        <v>8698.028993038899</v>
      </c>
      <c r="DS24" s="1115" t="s">
        <v>1637</v>
      </c>
      <c r="DT24" s="1116">
        <v>1690972.4176907854</v>
      </c>
      <c r="DU24" s="1116">
        <v>712706.49062100879</v>
      </c>
      <c r="DV24" s="1116">
        <v>323384.91365221376</v>
      </c>
      <c r="DW24" s="1116">
        <v>37818.168982663905</v>
      </c>
      <c r="DX24" s="1116">
        <v>190899.55310656875</v>
      </c>
      <c r="DY24" s="1116">
        <v>27971.650063522313</v>
      </c>
      <c r="DZ24" s="1116">
        <v>49379.37165943643</v>
      </c>
      <c r="EA24" s="1116" t="s">
        <v>1637</v>
      </c>
      <c r="EB24" s="1116">
        <v>17964.392896713704</v>
      </c>
      <c r="EC24" s="1116">
        <v>2149069.2879714854</v>
      </c>
      <c r="ED24" s="1116">
        <v>4676.4334073592154</v>
      </c>
      <c r="EE24" s="1116" t="s">
        <v>1637</v>
      </c>
      <c r="EF24" s="1116">
        <v>506167.72730000003</v>
      </c>
      <c r="EG24" s="1116" t="s">
        <v>1637</v>
      </c>
      <c r="EH24" s="1116">
        <v>343786.79710519797</v>
      </c>
      <c r="EI24" s="1116">
        <v>3675.2000000000003</v>
      </c>
      <c r="EJ24" s="1116">
        <v>374.96522800000008</v>
      </c>
      <c r="EK24" s="1116">
        <v>89419.992247772228</v>
      </c>
      <c r="EL24" s="1116">
        <v>1175.1687465468124</v>
      </c>
      <c r="EM24" s="1116">
        <v>678567.17631955422</v>
      </c>
      <c r="EN24" s="1116">
        <v>2268.4796248140938</v>
      </c>
      <c r="EO24" s="1116">
        <v>-43398.890789941084</v>
      </c>
      <c r="EP24" s="1116">
        <v>8698.028993038899</v>
      </c>
    </row>
    <row r="25" spans="1:146" s="34" customFormat="1" ht="15" customHeight="1">
      <c r="A25" s="642"/>
      <c r="B25" s="1041" t="s">
        <v>1922</v>
      </c>
      <c r="C25" s="1048" t="s">
        <v>1149</v>
      </c>
      <c r="D25" s="1048" t="s">
        <v>1925</v>
      </c>
      <c r="E25" s="1048" t="s">
        <v>687</v>
      </c>
      <c r="F25" s="1049" t="s">
        <v>1751</v>
      </c>
      <c r="G25" s="1050">
        <v>116431</v>
      </c>
      <c r="H25" s="1050">
        <v>37.6</v>
      </c>
      <c r="I25" s="1043">
        <v>67700000000</v>
      </c>
      <c r="J25" s="1051">
        <v>43262.172687650542</v>
      </c>
      <c r="K25" s="1051">
        <v>333044.23891802377</v>
      </c>
      <c r="L25" s="1052">
        <v>42336.13206585047</v>
      </c>
      <c r="M25" s="1051">
        <v>112602.27730931039</v>
      </c>
      <c r="N25" s="1051">
        <v>4241813.0011191145</v>
      </c>
      <c r="O25" s="1052">
        <v>539213.5170914128</v>
      </c>
      <c r="P25" s="1051">
        <v>120654.11276590444</v>
      </c>
      <c r="Q25" s="1051">
        <v>166757.40997694948</v>
      </c>
      <c r="R25" s="1052">
        <v>21197.975844527475</v>
      </c>
      <c r="S25" s="1051" t="s">
        <v>175</v>
      </c>
      <c r="T25" s="1051" t="s">
        <v>175</v>
      </c>
      <c r="U25" s="1052" t="s">
        <v>175</v>
      </c>
      <c r="V25" s="1053" t="s">
        <v>175</v>
      </c>
      <c r="W25" s="1051" t="s">
        <v>175</v>
      </c>
      <c r="X25" s="1051" t="s">
        <v>175</v>
      </c>
      <c r="Y25" s="1052" t="s">
        <v>175</v>
      </c>
      <c r="Z25" s="1051" t="s">
        <v>176</v>
      </c>
      <c r="AA25" s="1051" t="s">
        <v>176</v>
      </c>
      <c r="AB25" s="1052" t="s">
        <v>176</v>
      </c>
      <c r="AC25" s="1051" t="s">
        <v>175</v>
      </c>
      <c r="AD25" s="1051" t="s">
        <v>175</v>
      </c>
      <c r="AE25" s="1051">
        <v>447971.45541720005</v>
      </c>
      <c r="AF25" s="1051" t="s">
        <v>176</v>
      </c>
      <c r="AG25" s="1052">
        <v>7560.5794371999991</v>
      </c>
      <c r="AH25" s="1051" t="s">
        <v>175</v>
      </c>
      <c r="AI25" s="1051">
        <v>203757.1436035783</v>
      </c>
      <c r="AJ25" s="1052" t="s">
        <v>177</v>
      </c>
      <c r="AK25" s="1051" t="s">
        <v>175</v>
      </c>
      <c r="AL25" s="1051" t="s">
        <v>176</v>
      </c>
      <c r="AM25" s="1052">
        <v>228119</v>
      </c>
      <c r="AN25" s="1051" t="s">
        <v>175</v>
      </c>
      <c r="AO25" s="1051" t="s">
        <v>175</v>
      </c>
      <c r="AP25" s="1052" t="s">
        <v>177</v>
      </c>
      <c r="AQ25" s="1051">
        <v>5850.3187762000007</v>
      </c>
      <c r="AR25" s="1051" t="s">
        <v>175</v>
      </c>
      <c r="AS25" s="1052" t="s">
        <v>177</v>
      </c>
      <c r="AT25" s="1051" t="s">
        <v>175</v>
      </c>
      <c r="AU25" s="1051">
        <v>148917.6</v>
      </c>
      <c r="AV25" s="1053" t="s">
        <v>175</v>
      </c>
      <c r="AW25" s="1051" t="s">
        <v>175</v>
      </c>
      <c r="AX25" s="1051" t="s">
        <v>175</v>
      </c>
      <c r="AY25" s="1053" t="s">
        <v>175</v>
      </c>
      <c r="AZ25" s="1051" t="s">
        <v>175</v>
      </c>
      <c r="BA25" s="1051" t="s">
        <v>175</v>
      </c>
      <c r="BB25" s="1053" t="s">
        <v>175</v>
      </c>
      <c r="BC25" s="1051" t="s">
        <v>175</v>
      </c>
      <c r="BD25" s="1051">
        <v>2898</v>
      </c>
      <c r="BE25" s="1053" t="s">
        <v>175</v>
      </c>
      <c r="BF25" s="1052" t="s">
        <v>175</v>
      </c>
      <c r="BG25" s="1052" t="s">
        <v>177</v>
      </c>
      <c r="BH25" s="1052" t="s">
        <v>175</v>
      </c>
      <c r="BI25" s="1052" t="s">
        <v>175</v>
      </c>
      <c r="BJ25" s="1052" t="s">
        <v>175</v>
      </c>
      <c r="BK25" s="1054">
        <v>81581.807942888554</v>
      </c>
      <c r="BL25" s="1076" t="s">
        <v>1922</v>
      </c>
      <c r="BM25" s="1051">
        <v>5827527.7305739326</v>
      </c>
      <c r="BN25" s="1052">
        <v>6665954.9350129236</v>
      </c>
      <c r="BO25" s="1054">
        <v>6747536.7429558104</v>
      </c>
      <c r="BP25" s="1053">
        <v>730340.33695626538</v>
      </c>
      <c r="BQ25" s="1051">
        <v>5018133.2127769543</v>
      </c>
      <c r="BR25" s="1051">
        <v>657578.91779697838</v>
      </c>
      <c r="BS25" s="1051">
        <v>151815.6</v>
      </c>
      <c r="BT25" s="1052">
        <v>5620880.8377787452</v>
      </c>
      <c r="BU25" s="1052">
        <v>893258.49723417836</v>
      </c>
      <c r="BV25" s="1052">
        <v>151815.6</v>
      </c>
      <c r="BW25" s="1052" t="s">
        <v>1637</v>
      </c>
      <c r="BX25" s="1052" t="s">
        <v>1637</v>
      </c>
      <c r="BY25" s="1053">
        <v>276518.56276286539</v>
      </c>
      <c r="BZ25" s="1053" t="s">
        <v>1923</v>
      </c>
      <c r="CA25" s="1053">
        <v>453821.77419340005</v>
      </c>
      <c r="CB25" s="1053" t="s">
        <v>1923</v>
      </c>
      <c r="CC25" s="1053" t="s">
        <v>1923</v>
      </c>
      <c r="CD25" s="1053" t="s">
        <v>1637</v>
      </c>
      <c r="CE25" s="1053" t="s">
        <v>1637</v>
      </c>
      <c r="CF25" s="1123">
        <v>376306.41160567431</v>
      </c>
      <c r="CG25" s="1123">
        <v>4354415.2784284251</v>
      </c>
      <c r="CH25" s="1123">
        <v>287411.52274285391</v>
      </c>
      <c r="CI25" s="1123" t="s">
        <v>1637</v>
      </c>
      <c r="CJ25" s="1123" t="s">
        <v>1637</v>
      </c>
      <c r="CK25" s="1123" t="s">
        <v>1637</v>
      </c>
      <c r="CL25" s="1123" t="s">
        <v>1637</v>
      </c>
      <c r="CM25" s="1123" t="s">
        <v>1637</v>
      </c>
      <c r="CN25" s="1123">
        <v>447971.45541720005</v>
      </c>
      <c r="CO25" s="1123">
        <v>203757.1436035783</v>
      </c>
      <c r="CP25" s="1123" t="s">
        <v>1637</v>
      </c>
      <c r="CQ25" s="1123" t="s">
        <v>1637</v>
      </c>
      <c r="CR25" s="1123">
        <v>5850.3187762000007</v>
      </c>
      <c r="CS25" s="1123">
        <v>148917.6</v>
      </c>
      <c r="CT25" s="1123" t="s">
        <v>1637</v>
      </c>
      <c r="CU25" s="1123" t="s">
        <v>1637</v>
      </c>
      <c r="CV25" s="1123">
        <v>2898</v>
      </c>
      <c r="CW25" s="1114">
        <v>418642.54367152479</v>
      </c>
      <c r="CX25" s="1114">
        <v>4893628.7955198381</v>
      </c>
      <c r="CY25" s="1114">
        <v>308609.49858738139</v>
      </c>
      <c r="CZ25" s="1114" t="s">
        <v>1637</v>
      </c>
      <c r="DA25" s="1114" t="s">
        <v>1637</v>
      </c>
      <c r="DB25" s="1114" t="s">
        <v>1637</v>
      </c>
      <c r="DC25" s="1114" t="s">
        <v>1637</v>
      </c>
      <c r="DD25" s="1114" t="s">
        <v>1637</v>
      </c>
      <c r="DE25" s="1114">
        <v>455532.03485440003</v>
      </c>
      <c r="DF25" s="1114">
        <v>203757.1436035783</v>
      </c>
      <c r="DG25" s="1114">
        <v>228119</v>
      </c>
      <c r="DH25" s="1114" t="s">
        <v>1637</v>
      </c>
      <c r="DI25" s="1114">
        <v>5850.3187762000007</v>
      </c>
      <c r="DJ25" s="1114">
        <v>148917.6</v>
      </c>
      <c r="DK25" s="1114" t="s">
        <v>1637</v>
      </c>
      <c r="DL25" s="1114" t="s">
        <v>1637</v>
      </c>
      <c r="DM25" s="1114">
        <v>2898</v>
      </c>
      <c r="DN25" s="1114" t="s">
        <v>1637</v>
      </c>
      <c r="DO25" s="1114" t="s">
        <v>1637</v>
      </c>
      <c r="DP25" s="1114" t="s">
        <v>1637</v>
      </c>
      <c r="DQ25" s="1114" t="s">
        <v>1637</v>
      </c>
      <c r="DR25" s="1114" t="s">
        <v>1637</v>
      </c>
      <c r="DS25" s="1115">
        <v>81581.807942888554</v>
      </c>
      <c r="DT25" s="1116">
        <v>43262.172687650542</v>
      </c>
      <c r="DU25" s="1116">
        <v>112602.27730931039</v>
      </c>
      <c r="DV25" s="1116">
        <v>120654.11276590444</v>
      </c>
      <c r="DW25" s="1116" t="s">
        <v>1637</v>
      </c>
      <c r="DX25" s="1116" t="s">
        <v>1637</v>
      </c>
      <c r="DY25" s="1116" t="s">
        <v>1637</v>
      </c>
      <c r="DZ25" s="1116" t="s">
        <v>1637</v>
      </c>
      <c r="EA25" s="1116" t="s">
        <v>1637</v>
      </c>
      <c r="EB25" s="1116" t="s">
        <v>1637</v>
      </c>
      <c r="EC25" s="1116">
        <v>447971.45541720005</v>
      </c>
      <c r="ED25" s="1116" t="s">
        <v>1637</v>
      </c>
      <c r="EE25" s="1116" t="s">
        <v>1637</v>
      </c>
      <c r="EF25" s="1116" t="s">
        <v>1637</v>
      </c>
      <c r="EG25" s="1116">
        <v>5850.3187762000007</v>
      </c>
      <c r="EH25" s="1116" t="s">
        <v>1637</v>
      </c>
      <c r="EI25" s="1116" t="s">
        <v>1637</v>
      </c>
      <c r="EJ25" s="1116" t="s">
        <v>1637</v>
      </c>
      <c r="EK25" s="1116" t="s">
        <v>1637</v>
      </c>
      <c r="EL25" s="1116" t="s">
        <v>1637</v>
      </c>
      <c r="EM25" s="1116" t="s">
        <v>1637</v>
      </c>
      <c r="EN25" s="1116" t="s">
        <v>1637</v>
      </c>
      <c r="EO25" s="1116" t="s">
        <v>1637</v>
      </c>
      <c r="EP25" s="1116" t="s">
        <v>1637</v>
      </c>
    </row>
    <row r="26" spans="1:146" s="1121" customFormat="1" ht="15" customHeight="1">
      <c r="A26" s="15"/>
      <c r="B26" s="1055" t="s">
        <v>1640</v>
      </c>
      <c r="C26" s="1055" t="s">
        <v>1147</v>
      </c>
      <c r="D26" s="1048" t="s">
        <v>1641</v>
      </c>
      <c r="E26" s="1055" t="s">
        <v>1750</v>
      </c>
      <c r="F26" s="1049">
        <v>2012</v>
      </c>
      <c r="G26" s="1049">
        <v>8911664.7271708604</v>
      </c>
      <c r="H26" s="1049">
        <v>1485</v>
      </c>
      <c r="I26" s="1043">
        <v>169784923077</v>
      </c>
      <c r="J26" s="1051">
        <v>1974692.4294502581</v>
      </c>
      <c r="K26" s="1051">
        <v>2024295.6656560001</v>
      </c>
      <c r="L26" s="1052">
        <v>402917.14333200001</v>
      </c>
      <c r="M26" s="1051">
        <v>341201.14</v>
      </c>
      <c r="N26" s="1051">
        <v>2077054.7976772001</v>
      </c>
      <c r="O26" s="1052">
        <v>413419.04779120005</v>
      </c>
      <c r="P26" s="1051">
        <v>1259693.4803487947</v>
      </c>
      <c r="Q26" s="1051">
        <v>4107954.6661934</v>
      </c>
      <c r="R26" s="1052">
        <v>679119.15038218687</v>
      </c>
      <c r="S26" s="1051">
        <v>24036.725211199999</v>
      </c>
      <c r="T26" s="1051" t="s">
        <v>175</v>
      </c>
      <c r="U26" s="1052" t="s">
        <v>175</v>
      </c>
      <c r="V26" s="1053">
        <v>0</v>
      </c>
      <c r="W26" s="1051">
        <v>5503.1675999999998</v>
      </c>
      <c r="X26" s="1051">
        <v>944.20432700000003</v>
      </c>
      <c r="Y26" s="1052">
        <v>188.1874368</v>
      </c>
      <c r="Z26" s="1051" t="s">
        <v>175</v>
      </c>
      <c r="AA26" s="1051" t="s">
        <v>175</v>
      </c>
      <c r="AB26" s="1052" t="s">
        <v>175</v>
      </c>
      <c r="AC26" s="1051" t="s">
        <v>175</v>
      </c>
      <c r="AD26" s="1051">
        <v>600</v>
      </c>
      <c r="AE26" s="1051">
        <v>11457963</v>
      </c>
      <c r="AF26" s="1051">
        <v>30843.136777200001</v>
      </c>
      <c r="AG26" s="1052">
        <v>2759361.9616970001</v>
      </c>
      <c r="AH26" s="1051">
        <v>5108.3471456332591</v>
      </c>
      <c r="AI26" s="1051">
        <v>668562.65980460017</v>
      </c>
      <c r="AJ26" s="1052">
        <v>133071.38781860002</v>
      </c>
      <c r="AK26" s="1051" t="s">
        <v>175</v>
      </c>
      <c r="AL26" s="1051" t="s">
        <v>175</v>
      </c>
      <c r="AM26" s="1052" t="s">
        <v>175</v>
      </c>
      <c r="AN26" s="1051">
        <v>1398451.1388702944</v>
      </c>
      <c r="AO26" s="1051" t="s">
        <v>175</v>
      </c>
      <c r="AP26" s="1052">
        <v>1766282.4095717589</v>
      </c>
      <c r="AQ26" s="1051">
        <v>115264.06240507808</v>
      </c>
      <c r="AR26" s="1051" t="s">
        <v>175</v>
      </c>
      <c r="AS26" s="1052" t="s">
        <v>175</v>
      </c>
      <c r="AT26" s="1051">
        <v>114575</v>
      </c>
      <c r="AU26" s="1051">
        <v>3731450</v>
      </c>
      <c r="AV26" s="1053" t="s">
        <v>175</v>
      </c>
      <c r="AW26" s="1051">
        <v>616.87819999999999</v>
      </c>
      <c r="AX26" s="1051">
        <v>164578.9448</v>
      </c>
      <c r="AY26" s="1053" t="s">
        <v>175</v>
      </c>
      <c r="AZ26" s="1051" t="s">
        <v>175</v>
      </c>
      <c r="BA26" s="1051" t="s">
        <v>175</v>
      </c>
      <c r="BB26" s="1053" t="s">
        <v>175</v>
      </c>
      <c r="BC26" s="1051">
        <v>54269.285432995624</v>
      </c>
      <c r="BD26" s="1051">
        <v>615828.14132365957</v>
      </c>
      <c r="BE26" s="1053" t="s">
        <v>175</v>
      </c>
      <c r="BF26" s="1052">
        <v>40098.843749312669</v>
      </c>
      <c r="BG26" s="1052">
        <v>98347.229883404259</v>
      </c>
      <c r="BH26" s="1052">
        <v>19082.815994528086</v>
      </c>
      <c r="BI26" s="1052">
        <v>0</v>
      </c>
      <c r="BJ26" s="1052">
        <v>8642</v>
      </c>
      <c r="BK26" s="1054">
        <v>1080.1224319999999</v>
      </c>
      <c r="BL26" s="1117" t="s">
        <v>1640</v>
      </c>
      <c r="BM26" s="1051">
        <v>30173486.871223316</v>
      </c>
      <c r="BN26" s="1052">
        <v>36494017.048880115</v>
      </c>
      <c r="BO26" s="1054">
        <v>36495097.171312109</v>
      </c>
      <c r="BP26" s="1053">
        <v>16918145.5442915</v>
      </c>
      <c r="BQ26" s="1051">
        <v>11815976.276463853</v>
      </c>
      <c r="BR26" s="1051">
        <v>13676192.345002808</v>
      </c>
      <c r="BS26" s="1051">
        <v>4681318.2497566557</v>
      </c>
      <c r="BT26" s="1052">
        <v>13311619.80540604</v>
      </c>
      <c r="BU26" s="1052">
        <v>18334908.104090169</v>
      </c>
      <c r="BV26" s="1052">
        <v>4681318.2497566557</v>
      </c>
      <c r="BW26" s="1052">
        <v>138446.07363271693</v>
      </c>
      <c r="BX26" s="1052">
        <v>27724.815994528086</v>
      </c>
      <c r="BY26" s="1053">
        <v>3605726.9426102526</v>
      </c>
      <c r="BZ26" s="1053" t="s">
        <v>1637</v>
      </c>
      <c r="CA26" s="1053">
        <v>12976786.548421007</v>
      </c>
      <c r="CB26" s="1053">
        <v>169461.16363299562</v>
      </c>
      <c r="CC26" s="1053" t="s">
        <v>1637</v>
      </c>
      <c r="CD26" s="1053">
        <v>138446.07363271693</v>
      </c>
      <c r="CE26" s="1053">
        <v>27724.815994528086</v>
      </c>
      <c r="CF26" s="1051">
        <v>3998988.0951062581</v>
      </c>
      <c r="CG26" s="1051">
        <v>2418255.9376772</v>
      </c>
      <c r="CH26" s="1051">
        <v>5367648.1465421952</v>
      </c>
      <c r="CI26" s="1051">
        <v>24036.725211199999</v>
      </c>
      <c r="CJ26" s="1051">
        <v>6447.3719270000001</v>
      </c>
      <c r="CK26" s="1051" t="s">
        <v>1637</v>
      </c>
      <c r="CL26" s="1051" t="s">
        <v>1637</v>
      </c>
      <c r="CM26" s="1051">
        <v>600</v>
      </c>
      <c r="CN26" s="1051">
        <v>11488806.1367772</v>
      </c>
      <c r="CO26" s="1051">
        <v>673671.00695023348</v>
      </c>
      <c r="CP26" s="1051" t="s">
        <v>1637</v>
      </c>
      <c r="CQ26" s="1051">
        <v>1398451.1388702944</v>
      </c>
      <c r="CR26" s="1051">
        <v>115264.06240507808</v>
      </c>
      <c r="CS26" s="1051">
        <v>3846025</v>
      </c>
      <c r="CT26" s="1051">
        <v>165195.823</v>
      </c>
      <c r="CU26" s="1051" t="s">
        <v>1637</v>
      </c>
      <c r="CV26" s="1051">
        <v>670097.42675665522</v>
      </c>
      <c r="CW26" s="1118">
        <v>4401905.2384382579</v>
      </c>
      <c r="CX26" s="1118">
        <v>2831674.9854684002</v>
      </c>
      <c r="CY26" s="1118">
        <v>6046767.2969243824</v>
      </c>
      <c r="CZ26" s="1118">
        <v>24036.725211199999</v>
      </c>
      <c r="DA26" s="1118">
        <v>6635.5593638</v>
      </c>
      <c r="DB26" s="1118" t="s">
        <v>1637</v>
      </c>
      <c r="DC26" s="1118" t="s">
        <v>1637</v>
      </c>
      <c r="DD26" s="1118">
        <v>600</v>
      </c>
      <c r="DE26" s="1118">
        <v>14248168.098474201</v>
      </c>
      <c r="DF26" s="1118">
        <v>806742.39476883353</v>
      </c>
      <c r="DG26" s="1118" t="s">
        <v>1637</v>
      </c>
      <c r="DH26" s="1118">
        <v>3164733.5484420536</v>
      </c>
      <c r="DI26" s="1118">
        <v>115264.06240507808</v>
      </c>
      <c r="DJ26" s="1118">
        <v>3846025</v>
      </c>
      <c r="DK26" s="1118">
        <v>165195.823</v>
      </c>
      <c r="DL26" s="1118" t="s">
        <v>1637</v>
      </c>
      <c r="DM26" s="1118">
        <v>670097.42675665522</v>
      </c>
      <c r="DN26" s="1118">
        <v>40098.843749312669</v>
      </c>
      <c r="DO26" s="1118">
        <v>98347.229883404259</v>
      </c>
      <c r="DP26" s="1118">
        <v>19082.815994528086</v>
      </c>
      <c r="DQ26" s="1118" t="s">
        <v>1637</v>
      </c>
      <c r="DR26" s="1118">
        <v>8642</v>
      </c>
      <c r="DS26" s="1119">
        <v>1080.1224319999999</v>
      </c>
      <c r="DT26" s="1120">
        <v>1974692.4294502581</v>
      </c>
      <c r="DU26" s="1120">
        <v>341201.14</v>
      </c>
      <c r="DV26" s="1120">
        <v>1259693.4803487947</v>
      </c>
      <c r="DW26" s="1120">
        <v>24036.725211199999</v>
      </c>
      <c r="DX26" s="1120" t="s">
        <v>1637</v>
      </c>
      <c r="DY26" s="1120">
        <v>5503.1675999999998</v>
      </c>
      <c r="DZ26" s="1120" t="s">
        <v>1637</v>
      </c>
      <c r="EA26" s="1120" t="s">
        <v>1637</v>
      </c>
      <c r="EB26" s="1120">
        <v>600</v>
      </c>
      <c r="EC26" s="1120">
        <v>11457963</v>
      </c>
      <c r="ED26" s="1120">
        <v>5108.3471456332591</v>
      </c>
      <c r="EE26" s="1120" t="s">
        <v>1637</v>
      </c>
      <c r="EF26" s="1120">
        <v>1398451.1388702944</v>
      </c>
      <c r="EG26" s="1120">
        <v>115264.06240507808</v>
      </c>
      <c r="EH26" s="1120">
        <v>114575</v>
      </c>
      <c r="EI26" s="1120">
        <v>616.87819999999999</v>
      </c>
      <c r="EJ26" s="1120" t="s">
        <v>1637</v>
      </c>
      <c r="EK26" s="1120">
        <v>54269.285432995624</v>
      </c>
      <c r="EL26" s="1120">
        <v>40098.843749312669</v>
      </c>
      <c r="EM26" s="1120">
        <v>98347.229883404259</v>
      </c>
      <c r="EN26" s="1120">
        <v>19082.815994528086</v>
      </c>
      <c r="EO26" s="1120" t="s">
        <v>1637</v>
      </c>
      <c r="EP26" s="1120">
        <v>8642</v>
      </c>
    </row>
    <row r="27" spans="1:146" s="1121" customFormat="1" ht="15" customHeight="1">
      <c r="A27" s="15"/>
      <c r="B27" s="1055" t="s">
        <v>1736</v>
      </c>
      <c r="C27" s="1055" t="s">
        <v>1737</v>
      </c>
      <c r="D27" s="1048" t="s">
        <v>1141</v>
      </c>
      <c r="E27" s="1055" t="s">
        <v>687</v>
      </c>
      <c r="F27" s="1049">
        <v>2014</v>
      </c>
      <c r="G27" s="1049">
        <v>8491079</v>
      </c>
      <c r="H27" s="1049">
        <v>783.8</v>
      </c>
      <c r="I27" s="1043">
        <v>778000000000</v>
      </c>
      <c r="J27" s="1051">
        <v>12473016.674175525</v>
      </c>
      <c r="K27" s="1051">
        <v>4948626.6313407924</v>
      </c>
      <c r="L27" s="1052" t="s">
        <v>177</v>
      </c>
      <c r="M27" s="1051">
        <v>6726920.5643910356</v>
      </c>
      <c r="N27" s="1051">
        <v>7968472.6632246189</v>
      </c>
      <c r="O27" s="1052" t="s">
        <v>177</v>
      </c>
      <c r="P27" s="1051">
        <v>1574821.8984741361</v>
      </c>
      <c r="Q27" s="1051">
        <v>2894286.7229397646</v>
      </c>
      <c r="R27" s="1052" t="s">
        <v>177</v>
      </c>
      <c r="S27" s="1051" t="s">
        <v>176</v>
      </c>
      <c r="T27" s="1051" t="s">
        <v>176</v>
      </c>
      <c r="U27" s="1052" t="s">
        <v>177</v>
      </c>
      <c r="V27" s="1053">
        <v>11501119.360133234</v>
      </c>
      <c r="W27" s="1051" t="s">
        <v>175</v>
      </c>
      <c r="X27" s="1051" t="s">
        <v>175</v>
      </c>
      <c r="Y27" s="1052" t="s">
        <v>175</v>
      </c>
      <c r="Z27" s="1051" t="s">
        <v>175</v>
      </c>
      <c r="AA27" s="1051" t="s">
        <v>175</v>
      </c>
      <c r="AB27" s="1052" t="s">
        <v>175</v>
      </c>
      <c r="AC27" s="1051" t="s">
        <v>175</v>
      </c>
      <c r="AD27" s="1051">
        <v>220859.4716810603</v>
      </c>
      <c r="AE27" s="1051">
        <v>10909755.63631295</v>
      </c>
      <c r="AF27" s="1051" t="s">
        <v>176</v>
      </c>
      <c r="AG27" s="1052">
        <v>592.23559614710268</v>
      </c>
      <c r="AH27" s="1051">
        <v>14801.209979342193</v>
      </c>
      <c r="AI27" s="1051">
        <v>854337.52940495266</v>
      </c>
      <c r="AJ27" s="1052">
        <v>75451.635895589992</v>
      </c>
      <c r="AK27" s="1051">
        <v>37815.617446276767</v>
      </c>
      <c r="AL27" s="1051" t="s">
        <v>175</v>
      </c>
      <c r="AM27" s="1052" t="s">
        <v>175</v>
      </c>
      <c r="AN27" s="1051">
        <v>2338.0227676172349</v>
      </c>
      <c r="AO27" s="1051" t="s">
        <v>175</v>
      </c>
      <c r="AP27" s="1052">
        <v>16013185.586246293</v>
      </c>
      <c r="AQ27" s="1051" t="s">
        <v>175</v>
      </c>
      <c r="AR27" s="1051" t="s">
        <v>176</v>
      </c>
      <c r="AS27" s="1052" t="s">
        <v>177</v>
      </c>
      <c r="AT27" s="1051">
        <v>76625.640066178064</v>
      </c>
      <c r="AU27" s="1051">
        <v>2228483.5187383043</v>
      </c>
      <c r="AV27" s="1053" t="s">
        <v>175</v>
      </c>
      <c r="AW27" s="1051" t="s">
        <v>175</v>
      </c>
      <c r="AX27" s="1051" t="s">
        <v>175</v>
      </c>
      <c r="AY27" s="1053" t="s">
        <v>175</v>
      </c>
      <c r="AZ27" s="1051" t="s">
        <v>175</v>
      </c>
      <c r="BA27" s="1051">
        <v>162459.47862631147</v>
      </c>
      <c r="BB27" s="1053" t="s">
        <v>175</v>
      </c>
      <c r="BC27" s="1051">
        <v>217357.21084569639</v>
      </c>
      <c r="BD27" s="1051" t="s">
        <v>175</v>
      </c>
      <c r="BE27" s="1053" t="s">
        <v>175</v>
      </c>
      <c r="BF27" s="1052" t="s">
        <v>177</v>
      </c>
      <c r="BG27" s="1052">
        <v>172383.9346463336</v>
      </c>
      <c r="BH27" s="1052" t="s">
        <v>177</v>
      </c>
      <c r="BI27" s="1052" t="s">
        <v>177</v>
      </c>
      <c r="BJ27" s="1052" t="s">
        <v>177</v>
      </c>
      <c r="BK27" s="1054" t="s">
        <v>177</v>
      </c>
      <c r="BL27" s="1055" t="s">
        <v>1736</v>
      </c>
      <c r="BM27" s="1051">
        <v>51310978.49041456</v>
      </c>
      <c r="BN27" s="1052">
        <v>67572591.88279894</v>
      </c>
      <c r="BO27" s="1054">
        <v>67572591.882798925</v>
      </c>
      <c r="BP27" s="1053">
        <v>43927815.240919389</v>
      </c>
      <c r="BQ27" s="1051">
        <v>36807004.626226932</v>
      </c>
      <c r="BR27" s="1051">
        <v>11819048.01591114</v>
      </c>
      <c r="BS27" s="1051">
        <v>2684925.8482764899</v>
      </c>
      <c r="BT27" s="1052">
        <v>36807004.626226932</v>
      </c>
      <c r="BU27" s="1052">
        <v>27908277.47364917</v>
      </c>
      <c r="BV27" s="1052">
        <v>2684925.8482764899</v>
      </c>
      <c r="BW27" s="1052">
        <v>172383.9346463336</v>
      </c>
      <c r="BX27" s="1052" t="s">
        <v>1637</v>
      </c>
      <c r="BY27" s="1053">
        <v>20995618.608721759</v>
      </c>
      <c r="BZ27" s="1053">
        <v>11501119.360133234</v>
      </c>
      <c r="CA27" s="1053">
        <v>10964710.486506186</v>
      </c>
      <c r="CB27" s="1053">
        <v>293982.85091187444</v>
      </c>
      <c r="CC27" s="1053" t="s">
        <v>1637</v>
      </c>
      <c r="CD27" s="1053">
        <v>172383.9346463336</v>
      </c>
      <c r="CE27" s="1053" t="s">
        <v>1637</v>
      </c>
      <c r="CF27" s="1051">
        <v>17421643.305516317</v>
      </c>
      <c r="CG27" s="1051">
        <v>14695393.227615654</v>
      </c>
      <c r="CH27" s="1051">
        <v>4469108.6214139005</v>
      </c>
      <c r="CI27" s="1051" t="s">
        <v>1637</v>
      </c>
      <c r="CJ27" s="1051" t="s">
        <v>1637</v>
      </c>
      <c r="CK27" s="1051" t="s">
        <v>1637</v>
      </c>
      <c r="CL27" s="1051" t="s">
        <v>1637</v>
      </c>
      <c r="CM27" s="1051">
        <v>220859.4716810603</v>
      </c>
      <c r="CN27" s="1051">
        <v>10909755.63631295</v>
      </c>
      <c r="CO27" s="1051">
        <v>869138.73938429484</v>
      </c>
      <c r="CP27" s="1051">
        <v>37815.617446276767</v>
      </c>
      <c r="CQ27" s="1051">
        <v>2338.0227676172349</v>
      </c>
      <c r="CR27" s="1051" t="s">
        <v>1637</v>
      </c>
      <c r="CS27" s="1051">
        <v>2305109.1588044823</v>
      </c>
      <c r="CT27" s="1051" t="s">
        <v>1637</v>
      </c>
      <c r="CU27" s="1051">
        <v>162459.47862631147</v>
      </c>
      <c r="CV27" s="1051">
        <v>217357.21084569639</v>
      </c>
      <c r="CW27" s="1118">
        <v>17421643.305516317</v>
      </c>
      <c r="CX27" s="1118">
        <v>14695393.227615654</v>
      </c>
      <c r="CY27" s="1118">
        <v>4469108.6214139005</v>
      </c>
      <c r="CZ27" s="1118" t="s">
        <v>1637</v>
      </c>
      <c r="DA27" s="1118" t="s">
        <v>1637</v>
      </c>
      <c r="DB27" s="1118" t="s">
        <v>1637</v>
      </c>
      <c r="DC27" s="1118" t="s">
        <v>1637</v>
      </c>
      <c r="DD27" s="1118">
        <v>220859.4716810603</v>
      </c>
      <c r="DE27" s="1118">
        <v>10910347.871909097</v>
      </c>
      <c r="DF27" s="1118">
        <v>944590.37527988479</v>
      </c>
      <c r="DG27" s="1118">
        <v>37815.617446276767</v>
      </c>
      <c r="DH27" s="1118">
        <v>16015523.609013909</v>
      </c>
      <c r="DI27" s="1118" t="s">
        <v>1637</v>
      </c>
      <c r="DJ27" s="1118">
        <v>2305109.1588044823</v>
      </c>
      <c r="DK27" s="1118" t="s">
        <v>1637</v>
      </c>
      <c r="DL27" s="1118">
        <v>162459.47862631147</v>
      </c>
      <c r="DM27" s="1118">
        <v>217357.21084569639</v>
      </c>
      <c r="DN27" s="1118" t="s">
        <v>1637</v>
      </c>
      <c r="DO27" s="1118">
        <v>172383.9346463336</v>
      </c>
      <c r="DP27" s="1118" t="s">
        <v>1637</v>
      </c>
      <c r="DQ27" s="1118" t="s">
        <v>1637</v>
      </c>
      <c r="DR27" s="1118" t="s">
        <v>1637</v>
      </c>
      <c r="DS27" s="1119" t="s">
        <v>1637</v>
      </c>
      <c r="DT27" s="1120">
        <v>12473016.674175525</v>
      </c>
      <c r="DU27" s="1120">
        <v>6726920.5643910356</v>
      </c>
      <c r="DV27" s="1120">
        <v>1574821.8984741361</v>
      </c>
      <c r="DW27" s="1120" t="s">
        <v>1637</v>
      </c>
      <c r="DX27" s="1120">
        <v>11501119.360133234</v>
      </c>
      <c r="DY27" s="1120" t="s">
        <v>1637</v>
      </c>
      <c r="DZ27" s="1120" t="s">
        <v>1637</v>
      </c>
      <c r="EA27" s="1120" t="s">
        <v>1637</v>
      </c>
      <c r="EB27" s="1120">
        <v>220859.4716810603</v>
      </c>
      <c r="EC27" s="1120">
        <v>10909755.63631295</v>
      </c>
      <c r="ED27" s="1120">
        <v>14801.209979342193</v>
      </c>
      <c r="EE27" s="1120">
        <v>37815.617446276767</v>
      </c>
      <c r="EF27" s="1120">
        <v>2338.0227676172349</v>
      </c>
      <c r="EG27" s="1120" t="s">
        <v>1637</v>
      </c>
      <c r="EH27" s="1120">
        <v>76625.640066178064</v>
      </c>
      <c r="EI27" s="1120" t="s">
        <v>1637</v>
      </c>
      <c r="EJ27" s="1120" t="s">
        <v>1637</v>
      </c>
      <c r="EK27" s="1120">
        <v>217357.21084569639</v>
      </c>
      <c r="EL27" s="1120" t="s">
        <v>1637</v>
      </c>
      <c r="EM27" s="1120">
        <v>172383.9346463336</v>
      </c>
      <c r="EN27" s="1120" t="s">
        <v>1637</v>
      </c>
      <c r="EO27" s="1120" t="s">
        <v>1637</v>
      </c>
      <c r="EP27" s="1120" t="s">
        <v>1637</v>
      </c>
    </row>
    <row r="28" spans="1:146" s="1121" customFormat="1" ht="15" customHeight="1">
      <c r="A28"/>
      <c r="B28" s="1055" t="s">
        <v>1746</v>
      </c>
      <c r="C28" s="1055" t="s">
        <v>1174</v>
      </c>
      <c r="D28" s="1055" t="s">
        <v>1134</v>
      </c>
      <c r="E28" s="1055" t="s">
        <v>687</v>
      </c>
      <c r="F28" s="1049">
        <v>2012</v>
      </c>
      <c r="G28" s="1049">
        <v>881235</v>
      </c>
      <c r="H28" s="1049">
        <v>216</v>
      </c>
      <c r="I28" s="1043">
        <v>416797000000</v>
      </c>
      <c r="J28" s="1051">
        <v>81221.145000000004</v>
      </c>
      <c r="K28" s="1051">
        <v>613044.81095000007</v>
      </c>
      <c r="L28" s="1052">
        <v>31087.049449999995</v>
      </c>
      <c r="M28" s="1051">
        <v>61503.056500000006</v>
      </c>
      <c r="N28" s="1051">
        <v>414504.66404999996</v>
      </c>
      <c r="O28" s="1052">
        <v>21816.034950000001</v>
      </c>
      <c r="P28" s="1051">
        <v>13902.848499999998</v>
      </c>
      <c r="Q28" s="1051">
        <v>36599.89</v>
      </c>
      <c r="R28" s="1052">
        <v>1926.31</v>
      </c>
      <c r="S28" s="1051" t="s">
        <v>176</v>
      </c>
      <c r="T28" s="1051" t="s">
        <v>176</v>
      </c>
      <c r="U28" s="1052" t="s">
        <v>176</v>
      </c>
      <c r="V28" s="1053">
        <v>1006657.2699999998</v>
      </c>
      <c r="W28" s="1051" t="s">
        <v>175</v>
      </c>
      <c r="X28" s="1051" t="s">
        <v>175</v>
      </c>
      <c r="Y28" s="1052" t="s">
        <v>175</v>
      </c>
      <c r="Z28" s="1051" t="s">
        <v>175</v>
      </c>
      <c r="AA28" s="1051" t="s">
        <v>175</v>
      </c>
      <c r="AB28" s="1052" t="s">
        <v>175</v>
      </c>
      <c r="AC28" s="1051" t="s">
        <v>175</v>
      </c>
      <c r="AD28" s="1051">
        <v>33</v>
      </c>
      <c r="AE28" s="1051">
        <v>648378</v>
      </c>
      <c r="AF28" s="1051" t="s">
        <v>176</v>
      </c>
      <c r="AG28" s="1052" t="s">
        <v>177</v>
      </c>
      <c r="AH28" s="1051" t="s">
        <v>175</v>
      </c>
      <c r="AI28" s="1051">
        <v>33190.625</v>
      </c>
      <c r="AJ28" s="1052">
        <v>1746.875</v>
      </c>
      <c r="AK28" s="1051">
        <v>92000</v>
      </c>
      <c r="AL28" s="1051" t="s">
        <v>176</v>
      </c>
      <c r="AM28" s="1052" t="s">
        <v>177</v>
      </c>
      <c r="AN28" s="1051">
        <v>19900</v>
      </c>
      <c r="AO28" s="1051" t="s">
        <v>175</v>
      </c>
      <c r="AP28" s="1052" t="s">
        <v>177</v>
      </c>
      <c r="AQ28" s="1051">
        <v>121400</v>
      </c>
      <c r="AR28" s="1051" t="s">
        <v>176</v>
      </c>
      <c r="AS28" s="1052" t="s">
        <v>175</v>
      </c>
      <c r="AT28" s="1051" t="s">
        <v>175</v>
      </c>
      <c r="AU28" s="1051" t="s">
        <v>175</v>
      </c>
      <c r="AV28" s="1053" t="s">
        <v>175</v>
      </c>
      <c r="AW28" s="1051" t="s">
        <v>176</v>
      </c>
      <c r="AX28" s="1051" t="s">
        <v>176</v>
      </c>
      <c r="AY28" s="1053" t="s">
        <v>175</v>
      </c>
      <c r="AZ28" s="1051" t="s">
        <v>176</v>
      </c>
      <c r="BA28" s="1051" t="s">
        <v>175</v>
      </c>
      <c r="BB28" s="1053" t="s">
        <v>176</v>
      </c>
      <c r="BC28" s="1051">
        <v>7763.3378900000007</v>
      </c>
      <c r="BD28" s="1051" t="s">
        <v>176</v>
      </c>
      <c r="BE28" s="1053">
        <v>2318.9191100000003</v>
      </c>
      <c r="BF28" s="1052" t="s">
        <v>177</v>
      </c>
      <c r="BG28" s="1052" t="s">
        <v>177</v>
      </c>
      <c r="BH28" s="1052" t="s">
        <v>177</v>
      </c>
      <c r="BI28" s="1052" t="s">
        <v>177</v>
      </c>
      <c r="BJ28" s="1052" t="s">
        <v>177</v>
      </c>
      <c r="BK28" s="1054">
        <v>453622.99</v>
      </c>
      <c r="BL28" s="1117" t="s">
        <v>1746</v>
      </c>
      <c r="BM28" s="1051">
        <v>2143441.3778900001</v>
      </c>
      <c r="BN28" s="1052">
        <v>2200017.6472900002</v>
      </c>
      <c r="BO28" s="1054">
        <v>2653640.63729</v>
      </c>
      <c r="BP28" s="1053">
        <v>2055077.5769999998</v>
      </c>
      <c r="BQ28" s="1051">
        <v>1220809.415</v>
      </c>
      <c r="BR28" s="1051">
        <v>914868.625</v>
      </c>
      <c r="BS28" s="1051">
        <v>7763.3378900000007</v>
      </c>
      <c r="BT28" s="1052">
        <v>1275638.8094000001</v>
      </c>
      <c r="BU28" s="1052">
        <v>916615.5</v>
      </c>
      <c r="BV28" s="1052">
        <v>7763.3378900000007</v>
      </c>
      <c r="BW28" s="1052" t="s">
        <v>1637</v>
      </c>
      <c r="BX28" s="1052" t="s">
        <v>1637</v>
      </c>
      <c r="BY28" s="1053">
        <v>156660.05000000002</v>
      </c>
      <c r="BZ28" s="1053">
        <v>1006657.2699999998</v>
      </c>
      <c r="CA28" s="1053">
        <v>881678</v>
      </c>
      <c r="CB28" s="1053">
        <v>7763.3378900000007</v>
      </c>
      <c r="CC28" s="1053">
        <v>2318.9191100000003</v>
      </c>
      <c r="CD28" s="1053" t="s">
        <v>1637</v>
      </c>
      <c r="CE28" s="1053" t="s">
        <v>1637</v>
      </c>
      <c r="CF28" s="1051">
        <v>694265.95595000009</v>
      </c>
      <c r="CG28" s="1051">
        <v>476007.72054999997</v>
      </c>
      <c r="CH28" s="1051">
        <v>50502.738499999999</v>
      </c>
      <c r="CI28" s="1051" t="s">
        <v>1637</v>
      </c>
      <c r="CJ28" s="1051" t="s">
        <v>1637</v>
      </c>
      <c r="CK28" s="1051" t="s">
        <v>1637</v>
      </c>
      <c r="CL28" s="1051" t="s">
        <v>1637</v>
      </c>
      <c r="CM28" s="1051">
        <v>33</v>
      </c>
      <c r="CN28" s="1051">
        <v>648378</v>
      </c>
      <c r="CO28" s="1051">
        <v>33190.625</v>
      </c>
      <c r="CP28" s="1051">
        <v>92000</v>
      </c>
      <c r="CQ28" s="1051">
        <v>19900</v>
      </c>
      <c r="CR28" s="1051">
        <v>121400</v>
      </c>
      <c r="CS28" s="1051" t="s">
        <v>1637</v>
      </c>
      <c r="CT28" s="1051" t="s">
        <v>1637</v>
      </c>
      <c r="CU28" s="1051" t="s">
        <v>1637</v>
      </c>
      <c r="CV28" s="1051">
        <v>7763.3378900000007</v>
      </c>
      <c r="CW28" s="1118">
        <v>725353.00540000014</v>
      </c>
      <c r="CX28" s="1118">
        <v>497823.75549999997</v>
      </c>
      <c r="CY28" s="1118">
        <v>52429.048499999997</v>
      </c>
      <c r="CZ28" s="1118" t="s">
        <v>1637</v>
      </c>
      <c r="DA28" s="1118" t="s">
        <v>1637</v>
      </c>
      <c r="DB28" s="1118" t="s">
        <v>1637</v>
      </c>
      <c r="DC28" s="1118" t="s">
        <v>1637</v>
      </c>
      <c r="DD28" s="1118">
        <v>33</v>
      </c>
      <c r="DE28" s="1118">
        <v>648378</v>
      </c>
      <c r="DF28" s="1118">
        <v>34937.5</v>
      </c>
      <c r="DG28" s="1118">
        <v>92000</v>
      </c>
      <c r="DH28" s="1118">
        <v>19900</v>
      </c>
      <c r="DI28" s="1118">
        <v>121400</v>
      </c>
      <c r="DJ28" s="1118" t="s">
        <v>1637</v>
      </c>
      <c r="DK28" s="1118" t="s">
        <v>1637</v>
      </c>
      <c r="DL28" s="1118" t="s">
        <v>1637</v>
      </c>
      <c r="DM28" s="1118">
        <v>7763.3378900000007</v>
      </c>
      <c r="DN28" s="1118" t="s">
        <v>1637</v>
      </c>
      <c r="DO28" s="1118" t="s">
        <v>1637</v>
      </c>
      <c r="DP28" s="1118" t="s">
        <v>1637</v>
      </c>
      <c r="DQ28" s="1118" t="s">
        <v>1637</v>
      </c>
      <c r="DR28" s="1118" t="s">
        <v>1637</v>
      </c>
      <c r="DS28" s="1119">
        <v>453622.99</v>
      </c>
      <c r="DT28" s="1120">
        <v>81221.145000000004</v>
      </c>
      <c r="DU28" s="1120">
        <v>61503.056500000006</v>
      </c>
      <c r="DV28" s="1120">
        <v>13902.848499999998</v>
      </c>
      <c r="DW28" s="1120" t="s">
        <v>1637</v>
      </c>
      <c r="DX28" s="1120">
        <v>1006657.2699999998</v>
      </c>
      <c r="DY28" s="1120" t="s">
        <v>1637</v>
      </c>
      <c r="DZ28" s="1120" t="s">
        <v>1637</v>
      </c>
      <c r="EA28" s="1120" t="s">
        <v>1637</v>
      </c>
      <c r="EB28" s="1120">
        <v>33</v>
      </c>
      <c r="EC28" s="1120">
        <v>648378</v>
      </c>
      <c r="ED28" s="1120" t="s">
        <v>1637</v>
      </c>
      <c r="EE28" s="1120">
        <v>92000</v>
      </c>
      <c r="EF28" s="1120">
        <v>19900</v>
      </c>
      <c r="EG28" s="1120">
        <v>121400</v>
      </c>
      <c r="EH28" s="1120" t="s">
        <v>1637</v>
      </c>
      <c r="EI28" s="1120" t="s">
        <v>1637</v>
      </c>
      <c r="EJ28" s="1120" t="s">
        <v>1637</v>
      </c>
      <c r="EK28" s="1120">
        <v>10082.257000000001</v>
      </c>
      <c r="EL28" s="1120" t="s">
        <v>1637</v>
      </c>
      <c r="EM28" s="1120" t="s">
        <v>1637</v>
      </c>
      <c r="EN28" s="1120" t="s">
        <v>1637</v>
      </c>
      <c r="EO28" s="1120" t="s">
        <v>1637</v>
      </c>
      <c r="EP28" s="1120" t="s">
        <v>1637</v>
      </c>
    </row>
    <row r="29" spans="1:146" s="1121" customFormat="1" ht="15" customHeight="1">
      <c r="A29"/>
      <c r="B29" s="1055" t="s">
        <v>1745</v>
      </c>
      <c r="C29" s="1055" t="s">
        <v>1356</v>
      </c>
      <c r="D29" s="1055" t="s">
        <v>1134</v>
      </c>
      <c r="E29" s="1055" t="s">
        <v>687</v>
      </c>
      <c r="F29" s="1049">
        <v>2013</v>
      </c>
      <c r="G29" s="1049">
        <v>623966</v>
      </c>
      <c r="H29" s="1049">
        <v>454</v>
      </c>
      <c r="I29" s="1043">
        <v>54510377469</v>
      </c>
      <c r="J29" s="1051">
        <v>238000.00048000002</v>
      </c>
      <c r="K29" s="1051">
        <v>84242.568383999998</v>
      </c>
      <c r="L29" s="1052" t="s">
        <v>177</v>
      </c>
      <c r="M29" s="1051" t="s">
        <v>176</v>
      </c>
      <c r="N29" s="1051">
        <v>161757.43165399999</v>
      </c>
      <c r="O29" s="1052" t="s">
        <v>177</v>
      </c>
      <c r="P29" s="1051">
        <v>23999.998960000001</v>
      </c>
      <c r="Q29" s="1051">
        <v>0</v>
      </c>
      <c r="R29" s="1052" t="s">
        <v>177</v>
      </c>
      <c r="S29" s="1051" t="s">
        <v>175</v>
      </c>
      <c r="T29" s="1051">
        <v>0</v>
      </c>
      <c r="U29" s="1052" t="s">
        <v>177</v>
      </c>
      <c r="V29" s="1053">
        <v>245008.4995495991</v>
      </c>
      <c r="W29" s="1051" t="s">
        <v>176</v>
      </c>
      <c r="X29" s="1051">
        <v>0</v>
      </c>
      <c r="Y29" s="1052" t="s">
        <v>177</v>
      </c>
      <c r="Z29" s="1051" t="s">
        <v>175</v>
      </c>
      <c r="AA29" s="1051" t="s">
        <v>175</v>
      </c>
      <c r="AB29" s="1052" t="s">
        <v>177</v>
      </c>
      <c r="AC29" s="1051" t="s">
        <v>175</v>
      </c>
      <c r="AD29" s="1051" t="s">
        <v>175</v>
      </c>
      <c r="AE29" s="1051">
        <v>498000</v>
      </c>
      <c r="AF29" s="1051" t="s">
        <v>176</v>
      </c>
      <c r="AG29" s="1052" t="s">
        <v>177</v>
      </c>
      <c r="AH29" s="1051" t="s">
        <v>175</v>
      </c>
      <c r="AI29" s="1051">
        <v>0</v>
      </c>
      <c r="AJ29" s="1052" t="s">
        <v>177</v>
      </c>
      <c r="AK29" s="1051">
        <v>34992.997379</v>
      </c>
      <c r="AL29" s="1051">
        <v>0</v>
      </c>
      <c r="AM29" s="1052" t="s">
        <v>177</v>
      </c>
      <c r="AN29" s="1051" t="s">
        <v>175</v>
      </c>
      <c r="AO29" s="1051" t="s">
        <v>175</v>
      </c>
      <c r="AP29" s="1052" t="s">
        <v>177</v>
      </c>
      <c r="AQ29" s="1051">
        <v>244999.99982600001</v>
      </c>
      <c r="AR29" s="1051" t="s">
        <v>175</v>
      </c>
      <c r="AS29" s="1052" t="s">
        <v>177</v>
      </c>
      <c r="AT29" s="1051">
        <v>16000</v>
      </c>
      <c r="AU29" s="1051" t="s">
        <v>175</v>
      </c>
      <c r="AV29" s="1053" t="s">
        <v>175</v>
      </c>
      <c r="AW29" s="1051">
        <v>9429.3119999999999</v>
      </c>
      <c r="AX29" s="1051" t="s">
        <v>176</v>
      </c>
      <c r="AY29" s="1053" t="s">
        <v>175</v>
      </c>
      <c r="AZ29" s="1051" t="s">
        <v>176</v>
      </c>
      <c r="BA29" s="1051" t="s">
        <v>175</v>
      </c>
      <c r="BB29" s="1053" t="s">
        <v>176</v>
      </c>
      <c r="BC29" s="1051">
        <v>29000</v>
      </c>
      <c r="BD29" s="1051" t="s">
        <v>176</v>
      </c>
      <c r="BE29" s="1053" t="s">
        <v>175</v>
      </c>
      <c r="BF29" s="1052" t="s">
        <v>177</v>
      </c>
      <c r="BG29" s="1052" t="s">
        <v>177</v>
      </c>
      <c r="BH29" s="1052" t="s">
        <v>177</v>
      </c>
      <c r="BI29" s="1052" t="s">
        <v>177</v>
      </c>
      <c r="BJ29" s="1052" t="s">
        <v>177</v>
      </c>
      <c r="BK29" s="1054">
        <v>65000</v>
      </c>
      <c r="BL29" s="1117" t="s">
        <v>1745</v>
      </c>
      <c r="BM29" s="1051">
        <v>1340422.3086829998</v>
      </c>
      <c r="BN29" s="1052">
        <v>1340422.3086829998</v>
      </c>
      <c r="BO29" s="1054">
        <v>1405422.3086829998</v>
      </c>
      <c r="BP29" s="1053">
        <v>1339430.8081945989</v>
      </c>
      <c r="BQ29" s="1051">
        <v>507999.99947799998</v>
      </c>
      <c r="BR29" s="1051">
        <v>777992.99720499991</v>
      </c>
      <c r="BS29" s="1051">
        <v>54429.311999999998</v>
      </c>
      <c r="BT29" s="1052">
        <v>507999.99947799998</v>
      </c>
      <c r="BU29" s="1052">
        <v>777992.99720499991</v>
      </c>
      <c r="BV29" s="1052">
        <v>54429.311999999998</v>
      </c>
      <c r="BW29" s="1052" t="s">
        <v>1637</v>
      </c>
      <c r="BX29" s="1052" t="s">
        <v>1637</v>
      </c>
      <c r="BY29" s="1053">
        <v>261999.99944000001</v>
      </c>
      <c r="BZ29" s="1053">
        <v>245008.4995495991</v>
      </c>
      <c r="CA29" s="1053">
        <v>777992.99720499991</v>
      </c>
      <c r="CB29" s="1053">
        <v>54429.311999999998</v>
      </c>
      <c r="CC29" s="1053" t="s">
        <v>1637</v>
      </c>
      <c r="CD29" s="1053" t="s">
        <v>1637</v>
      </c>
      <c r="CE29" s="1053" t="s">
        <v>1637</v>
      </c>
      <c r="CF29" s="1051">
        <v>322242.56886400003</v>
      </c>
      <c r="CG29" s="1051">
        <v>161757.43165399999</v>
      </c>
      <c r="CH29" s="1051">
        <v>23999.998960000001</v>
      </c>
      <c r="CI29" s="1051" t="s">
        <v>1637</v>
      </c>
      <c r="CJ29" s="1051" t="s">
        <v>1637</v>
      </c>
      <c r="CK29" s="1051" t="s">
        <v>1637</v>
      </c>
      <c r="CL29" s="1051" t="s">
        <v>1637</v>
      </c>
      <c r="CM29" s="1051" t="s">
        <v>1637</v>
      </c>
      <c r="CN29" s="1051">
        <v>498000</v>
      </c>
      <c r="CO29" s="1051" t="s">
        <v>1637</v>
      </c>
      <c r="CP29" s="1051">
        <v>34992.997379</v>
      </c>
      <c r="CQ29" s="1051" t="s">
        <v>1637</v>
      </c>
      <c r="CR29" s="1051">
        <v>244999.99982600001</v>
      </c>
      <c r="CS29" s="1051">
        <v>16000</v>
      </c>
      <c r="CT29" s="1051">
        <v>9429.3119999999999</v>
      </c>
      <c r="CU29" s="1051" t="s">
        <v>1637</v>
      </c>
      <c r="CV29" s="1051">
        <v>29000</v>
      </c>
      <c r="CW29" s="1118">
        <v>322242.56886400003</v>
      </c>
      <c r="CX29" s="1118">
        <v>161757.43165399999</v>
      </c>
      <c r="CY29" s="1118">
        <v>23999.998960000001</v>
      </c>
      <c r="CZ29" s="1118" t="s">
        <v>1637</v>
      </c>
      <c r="DA29" s="1118" t="s">
        <v>1637</v>
      </c>
      <c r="DB29" s="1118" t="s">
        <v>1637</v>
      </c>
      <c r="DC29" s="1118" t="s">
        <v>1637</v>
      </c>
      <c r="DD29" s="1118" t="s">
        <v>1637</v>
      </c>
      <c r="DE29" s="1118">
        <v>498000</v>
      </c>
      <c r="DF29" s="1118" t="s">
        <v>1637</v>
      </c>
      <c r="DG29" s="1118">
        <v>34992.997379</v>
      </c>
      <c r="DH29" s="1118" t="s">
        <v>1637</v>
      </c>
      <c r="DI29" s="1118">
        <v>244999.99982600001</v>
      </c>
      <c r="DJ29" s="1118">
        <v>16000</v>
      </c>
      <c r="DK29" s="1118">
        <v>9429.3119999999999</v>
      </c>
      <c r="DL29" s="1118" t="s">
        <v>1637</v>
      </c>
      <c r="DM29" s="1118">
        <v>29000</v>
      </c>
      <c r="DN29" s="1118" t="s">
        <v>1637</v>
      </c>
      <c r="DO29" s="1118" t="s">
        <v>1637</v>
      </c>
      <c r="DP29" s="1118" t="s">
        <v>1637</v>
      </c>
      <c r="DQ29" s="1118" t="s">
        <v>1637</v>
      </c>
      <c r="DR29" s="1118" t="s">
        <v>1637</v>
      </c>
      <c r="DS29" s="1119">
        <v>65000</v>
      </c>
      <c r="DT29" s="1120">
        <v>238000.00048000002</v>
      </c>
      <c r="DU29" s="1120" t="s">
        <v>1637</v>
      </c>
      <c r="DV29" s="1120">
        <v>23999.998960000001</v>
      </c>
      <c r="DW29" s="1120" t="s">
        <v>1637</v>
      </c>
      <c r="DX29" s="1120">
        <v>245008.4995495991</v>
      </c>
      <c r="DY29" s="1120" t="s">
        <v>1637</v>
      </c>
      <c r="DZ29" s="1120" t="s">
        <v>1637</v>
      </c>
      <c r="EA29" s="1120" t="s">
        <v>1637</v>
      </c>
      <c r="EB29" s="1120" t="s">
        <v>1637</v>
      </c>
      <c r="EC29" s="1120">
        <v>498000</v>
      </c>
      <c r="ED29" s="1120" t="s">
        <v>1637</v>
      </c>
      <c r="EE29" s="1120">
        <v>34992.997379</v>
      </c>
      <c r="EF29" s="1120" t="s">
        <v>1637</v>
      </c>
      <c r="EG29" s="1120">
        <v>244999.99982600001</v>
      </c>
      <c r="EH29" s="1120">
        <v>16000</v>
      </c>
      <c r="EI29" s="1120">
        <v>9429.3119999999999</v>
      </c>
      <c r="EJ29" s="1120" t="s">
        <v>1637</v>
      </c>
      <c r="EK29" s="1120">
        <v>29000</v>
      </c>
      <c r="EL29" s="1120" t="s">
        <v>1637</v>
      </c>
      <c r="EM29" s="1120" t="s">
        <v>1637</v>
      </c>
      <c r="EN29" s="1120" t="s">
        <v>1637</v>
      </c>
      <c r="EO29" s="1120" t="s">
        <v>1637</v>
      </c>
      <c r="EP29" s="1120" t="s">
        <v>1637</v>
      </c>
    </row>
    <row r="30" spans="1:146" s="34" customFormat="1" ht="15" customHeight="1">
      <c r="A30" s="642"/>
      <c r="B30" s="1041" t="s">
        <v>1735</v>
      </c>
      <c r="C30" s="1048" t="s">
        <v>1139</v>
      </c>
      <c r="D30" s="1048" t="s">
        <v>1134</v>
      </c>
      <c r="E30" s="1048" t="s">
        <v>687</v>
      </c>
      <c r="F30" s="1049">
        <v>2009</v>
      </c>
      <c r="G30" s="1050">
        <v>2270000</v>
      </c>
      <c r="H30" s="1050">
        <v>105</v>
      </c>
      <c r="I30" s="1043">
        <v>715000000000</v>
      </c>
      <c r="J30" s="1051">
        <v>1512901.7666666664</v>
      </c>
      <c r="K30" s="1051">
        <v>780120.00000000047</v>
      </c>
      <c r="L30" s="1052">
        <v>327450.13549472787</v>
      </c>
      <c r="M30" s="1051">
        <v>1340493.3999999994</v>
      </c>
      <c r="N30" s="1051">
        <v>1050890.0000000007</v>
      </c>
      <c r="O30" s="1052">
        <v>294228.6652072802</v>
      </c>
      <c r="P30" s="1051" t="s">
        <v>175</v>
      </c>
      <c r="Q30" s="1051" t="s">
        <v>175</v>
      </c>
      <c r="R30" s="1052" t="s">
        <v>175</v>
      </c>
      <c r="S30" s="1051" t="s">
        <v>175</v>
      </c>
      <c r="T30" s="1051" t="s">
        <v>175</v>
      </c>
      <c r="U30" s="1052" t="s">
        <v>175</v>
      </c>
      <c r="V30" s="1053">
        <v>163579.88297318117</v>
      </c>
      <c r="W30" s="1051" t="s">
        <v>175</v>
      </c>
      <c r="X30" s="1051" t="s">
        <v>175</v>
      </c>
      <c r="Y30" s="1052" t="s">
        <v>175</v>
      </c>
      <c r="Z30" s="1051" t="s">
        <v>175</v>
      </c>
      <c r="AA30" s="1051" t="s">
        <v>175</v>
      </c>
      <c r="AB30" s="1052" t="s">
        <v>175</v>
      </c>
      <c r="AC30" s="1051" t="s">
        <v>175</v>
      </c>
      <c r="AD30" s="1051" t="s">
        <v>176</v>
      </c>
      <c r="AE30" s="1051">
        <v>805135.99930866656</v>
      </c>
      <c r="AF30" s="1051" t="s">
        <v>175</v>
      </c>
      <c r="AG30" s="1052">
        <v>1950927.8273099998</v>
      </c>
      <c r="AH30" s="1051">
        <v>77760.099999999991</v>
      </c>
      <c r="AI30" s="1051">
        <v>150421.03333333315</v>
      </c>
      <c r="AJ30" s="1052">
        <v>104.5</v>
      </c>
      <c r="AK30" s="1051" t="s">
        <v>175</v>
      </c>
      <c r="AL30" s="1051" t="s">
        <v>175</v>
      </c>
      <c r="AM30" s="1052">
        <v>10152.317712544978</v>
      </c>
      <c r="AN30" s="1051">
        <v>4949.1200000000008</v>
      </c>
      <c r="AO30" s="1051" t="s">
        <v>175</v>
      </c>
      <c r="AP30" s="1052">
        <v>432.58493023255818</v>
      </c>
      <c r="AQ30" s="1051" t="s">
        <v>176</v>
      </c>
      <c r="AR30" s="1051" t="s">
        <v>175</v>
      </c>
      <c r="AS30" s="1052" t="s">
        <v>175</v>
      </c>
      <c r="AT30" s="1051" t="s">
        <v>175</v>
      </c>
      <c r="AU30" s="1051">
        <v>58783.274000000005</v>
      </c>
      <c r="AV30" s="1053" t="s">
        <v>175</v>
      </c>
      <c r="AW30" s="1051" t="s">
        <v>175</v>
      </c>
      <c r="AX30" s="1051">
        <v>4425.5305919999992</v>
      </c>
      <c r="AY30" s="1053" t="s">
        <v>175</v>
      </c>
      <c r="AZ30" s="1051" t="s">
        <v>175</v>
      </c>
      <c r="BA30" s="1051">
        <v>403599.50033333345</v>
      </c>
      <c r="BB30" s="1053" t="s">
        <v>175</v>
      </c>
      <c r="BC30" s="1051" t="s">
        <v>175</v>
      </c>
      <c r="BD30" s="1051">
        <v>709.0625</v>
      </c>
      <c r="BE30" s="1053" t="s">
        <v>175</v>
      </c>
      <c r="BF30" s="1052">
        <v>2233000</v>
      </c>
      <c r="BG30" s="1052" t="s">
        <v>177</v>
      </c>
      <c r="BH30" s="1052" t="s">
        <v>175</v>
      </c>
      <c r="BI30" s="1052">
        <v>-11000</v>
      </c>
      <c r="BJ30" s="1052" t="s">
        <v>175</v>
      </c>
      <c r="BK30" s="1054">
        <v>7058894.2178288614</v>
      </c>
      <c r="BL30" s="1076" t="s">
        <v>1735</v>
      </c>
      <c r="BM30" s="1051">
        <v>6190188.7867339998</v>
      </c>
      <c r="BN30" s="1052">
        <v>10995484.817388786</v>
      </c>
      <c r="BO30" s="1054">
        <v>18054379.035217647</v>
      </c>
      <c r="BP30" s="1053">
        <v>6126820.268948514</v>
      </c>
      <c r="BQ30" s="1051">
        <v>4684405.166666667</v>
      </c>
      <c r="BR30" s="1051">
        <v>1038266.2526419996</v>
      </c>
      <c r="BS30" s="1051">
        <v>467517.36742533348</v>
      </c>
      <c r="BT30" s="1052">
        <v>5306083.9673686754</v>
      </c>
      <c r="BU30" s="1052">
        <v>2999883.4825947769</v>
      </c>
      <c r="BV30" s="1052">
        <v>467517.36742533348</v>
      </c>
      <c r="BW30" s="1052">
        <v>2233000</v>
      </c>
      <c r="BX30" s="1052">
        <v>-11000</v>
      </c>
      <c r="BY30" s="1053">
        <v>2853395.166666666</v>
      </c>
      <c r="BZ30" s="1053">
        <v>163579.88297318117</v>
      </c>
      <c r="CA30" s="1053">
        <v>887845.21930866654</v>
      </c>
      <c r="CB30" s="1053" t="s">
        <v>1637</v>
      </c>
      <c r="CC30" s="1053" t="s">
        <v>1637</v>
      </c>
      <c r="CD30" s="1053">
        <v>2233000</v>
      </c>
      <c r="CE30" s="1053">
        <v>-11000</v>
      </c>
      <c r="CF30" s="1123">
        <v>2293021.7666666666</v>
      </c>
      <c r="CG30" s="1123">
        <v>2391383.4000000004</v>
      </c>
      <c r="CH30" s="1123" t="s">
        <v>1637</v>
      </c>
      <c r="CI30" s="1123" t="s">
        <v>1637</v>
      </c>
      <c r="CJ30" s="1123" t="s">
        <v>1637</v>
      </c>
      <c r="CK30" s="1123" t="s">
        <v>1637</v>
      </c>
      <c r="CL30" s="1123" t="s">
        <v>1637</v>
      </c>
      <c r="CM30" s="1123" t="s">
        <v>1637</v>
      </c>
      <c r="CN30" s="1123">
        <v>805135.99930866656</v>
      </c>
      <c r="CO30" s="1123">
        <v>228181.13333333313</v>
      </c>
      <c r="CP30" s="1123" t="s">
        <v>1637</v>
      </c>
      <c r="CQ30" s="1123">
        <v>4949.1200000000008</v>
      </c>
      <c r="CR30" s="1123" t="s">
        <v>1637</v>
      </c>
      <c r="CS30" s="1123">
        <v>58783.274000000005</v>
      </c>
      <c r="CT30" s="1123">
        <v>4425.5305919999992</v>
      </c>
      <c r="CU30" s="1123">
        <v>403599.50033333345</v>
      </c>
      <c r="CV30" s="1123">
        <v>709.0625</v>
      </c>
      <c r="CW30" s="1114">
        <v>2620471.9021613942</v>
      </c>
      <c r="CX30" s="1114">
        <v>2685612.0652072807</v>
      </c>
      <c r="CY30" s="1114" t="s">
        <v>1637</v>
      </c>
      <c r="CZ30" s="1114" t="s">
        <v>1637</v>
      </c>
      <c r="DA30" s="1114" t="s">
        <v>1637</v>
      </c>
      <c r="DB30" s="1114" t="s">
        <v>1637</v>
      </c>
      <c r="DC30" s="1114" t="s">
        <v>1637</v>
      </c>
      <c r="DD30" s="1114" t="s">
        <v>1637</v>
      </c>
      <c r="DE30" s="1114">
        <v>2756063.8266186663</v>
      </c>
      <c r="DF30" s="1114">
        <v>228285.63333333313</v>
      </c>
      <c r="DG30" s="1114">
        <v>10152.317712544978</v>
      </c>
      <c r="DH30" s="1114">
        <v>5381.7049302325586</v>
      </c>
      <c r="DI30" s="1114" t="s">
        <v>1637</v>
      </c>
      <c r="DJ30" s="1114">
        <v>58783.274000000005</v>
      </c>
      <c r="DK30" s="1114">
        <v>4425.5305919999992</v>
      </c>
      <c r="DL30" s="1114">
        <v>403599.50033333345</v>
      </c>
      <c r="DM30" s="1114">
        <v>709.0625</v>
      </c>
      <c r="DN30" s="1114">
        <v>2233000</v>
      </c>
      <c r="DO30" s="1114" t="s">
        <v>1637</v>
      </c>
      <c r="DP30" s="1114" t="s">
        <v>1637</v>
      </c>
      <c r="DQ30" s="1114">
        <v>-11000</v>
      </c>
      <c r="DR30" s="1114" t="s">
        <v>1637</v>
      </c>
      <c r="DS30" s="1115">
        <v>7058894.2178288614</v>
      </c>
      <c r="DT30" s="1116">
        <v>1512901.7666666664</v>
      </c>
      <c r="DU30" s="1116">
        <v>1340493.3999999994</v>
      </c>
      <c r="DV30" s="1116" t="s">
        <v>1637</v>
      </c>
      <c r="DW30" s="1116" t="s">
        <v>1637</v>
      </c>
      <c r="DX30" s="1116">
        <v>163579.88297318117</v>
      </c>
      <c r="DY30" s="1116" t="s">
        <v>1637</v>
      </c>
      <c r="DZ30" s="1116" t="s">
        <v>1637</v>
      </c>
      <c r="EA30" s="1116" t="s">
        <v>1637</v>
      </c>
      <c r="EB30" s="1116" t="s">
        <v>1637</v>
      </c>
      <c r="EC30" s="1116">
        <v>805135.99930866656</v>
      </c>
      <c r="ED30" s="1116">
        <v>77760.099999999991</v>
      </c>
      <c r="EE30" s="1116" t="s">
        <v>1637</v>
      </c>
      <c r="EF30" s="1116">
        <v>4949.1200000000008</v>
      </c>
      <c r="EG30" s="1116" t="s">
        <v>1637</v>
      </c>
      <c r="EH30" s="1116" t="s">
        <v>1637</v>
      </c>
      <c r="EI30" s="1116" t="s">
        <v>1637</v>
      </c>
      <c r="EJ30" s="1116" t="s">
        <v>1637</v>
      </c>
      <c r="EK30" s="1116" t="s">
        <v>1637</v>
      </c>
      <c r="EL30" s="1116">
        <v>2233000</v>
      </c>
      <c r="EM30" s="1116" t="s">
        <v>1637</v>
      </c>
      <c r="EN30" s="1116" t="s">
        <v>1637</v>
      </c>
      <c r="EO30" s="1116">
        <v>-11000</v>
      </c>
      <c r="EP30" s="1116" t="s">
        <v>1637</v>
      </c>
    </row>
    <row r="31" spans="1:146" s="1039" customFormat="1" ht="15" customHeight="1">
      <c r="A31" s="642"/>
      <c r="B31" s="1055" t="s">
        <v>1738</v>
      </c>
      <c r="C31" s="1055" t="s">
        <v>1737</v>
      </c>
      <c r="D31" s="1048" t="s">
        <v>1141</v>
      </c>
      <c r="E31" s="1055" t="s">
        <v>687</v>
      </c>
      <c r="F31" s="1049">
        <v>2012</v>
      </c>
      <c r="G31" s="1049">
        <v>1547607</v>
      </c>
      <c r="H31" s="1049">
        <v>347.31741</v>
      </c>
      <c r="I31" s="1043">
        <v>367916000000</v>
      </c>
      <c r="J31" s="1051">
        <v>1923615.8201678949</v>
      </c>
      <c r="K31" s="1051">
        <v>1765192.6269305907</v>
      </c>
      <c r="L31" s="1052" t="s">
        <v>177</v>
      </c>
      <c r="M31" s="1051">
        <v>2153170.932409496</v>
      </c>
      <c r="N31" s="1051">
        <v>4451926.4292392386</v>
      </c>
      <c r="O31" s="1052" t="s">
        <v>177</v>
      </c>
      <c r="P31" s="1051">
        <v>2711505</v>
      </c>
      <c r="Q31" s="1051" t="s">
        <v>176</v>
      </c>
      <c r="R31" s="1052" t="s">
        <v>177</v>
      </c>
      <c r="S31" s="1051" t="s">
        <v>176</v>
      </c>
      <c r="T31" s="1051" t="s">
        <v>176</v>
      </c>
      <c r="U31" s="1052" t="s">
        <v>177</v>
      </c>
      <c r="V31" s="1053">
        <v>695301.23</v>
      </c>
      <c r="W31" s="1051" t="s">
        <v>175</v>
      </c>
      <c r="X31" s="1051" t="s">
        <v>175</v>
      </c>
      <c r="Y31" s="1052" t="s">
        <v>175</v>
      </c>
      <c r="Z31" s="1051" t="s">
        <v>175</v>
      </c>
      <c r="AA31" s="1051" t="s">
        <v>175</v>
      </c>
      <c r="AB31" s="1052" t="s">
        <v>175</v>
      </c>
      <c r="AC31" s="1051" t="s">
        <v>175</v>
      </c>
      <c r="AD31" s="1051">
        <v>487098</v>
      </c>
      <c r="AE31" s="1051">
        <v>2966057.44</v>
      </c>
      <c r="AF31" s="1051" t="s">
        <v>176</v>
      </c>
      <c r="AG31" s="1052" t="s">
        <v>177</v>
      </c>
      <c r="AH31" s="1051" t="s">
        <v>175</v>
      </c>
      <c r="AI31" s="1051">
        <v>328280.05796384555</v>
      </c>
      <c r="AJ31" s="1052" t="s">
        <v>177</v>
      </c>
      <c r="AK31" s="1051" t="s">
        <v>175</v>
      </c>
      <c r="AL31" s="1051" t="s">
        <v>175</v>
      </c>
      <c r="AM31" s="1052" t="s">
        <v>175</v>
      </c>
      <c r="AN31" s="1051" t="s">
        <v>175</v>
      </c>
      <c r="AO31" s="1051" t="s">
        <v>175</v>
      </c>
      <c r="AP31" s="1052" t="s">
        <v>177</v>
      </c>
      <c r="AQ31" s="1051" t="s">
        <v>176</v>
      </c>
      <c r="AR31" s="1051" t="s">
        <v>176</v>
      </c>
      <c r="AS31" s="1052" t="s">
        <v>175</v>
      </c>
      <c r="AT31" s="1051" t="s">
        <v>175</v>
      </c>
      <c r="AU31" s="1051">
        <v>1454390.9211399693</v>
      </c>
      <c r="AV31" s="1053" t="s">
        <v>175</v>
      </c>
      <c r="AW31" s="1051" t="s">
        <v>175</v>
      </c>
      <c r="AX31" s="1051" t="s">
        <v>175</v>
      </c>
      <c r="AY31" s="1046" t="s">
        <v>175</v>
      </c>
      <c r="AZ31" s="1051" t="s">
        <v>175</v>
      </c>
      <c r="BA31" s="1051">
        <v>216697.97588422181</v>
      </c>
      <c r="BB31" s="1046" t="s">
        <v>175</v>
      </c>
      <c r="BC31" s="1051">
        <v>29977</v>
      </c>
      <c r="BD31" s="1051" t="s">
        <v>175</v>
      </c>
      <c r="BE31" s="1046" t="s">
        <v>175</v>
      </c>
      <c r="BF31" s="1052">
        <v>1596444</v>
      </c>
      <c r="BG31" s="1052">
        <v>10873</v>
      </c>
      <c r="BH31" s="1052" t="s">
        <v>177</v>
      </c>
      <c r="BI31" s="1052" t="s">
        <v>177</v>
      </c>
      <c r="BJ31" s="1052" t="s">
        <v>177</v>
      </c>
      <c r="BK31" s="1054" t="s">
        <v>177</v>
      </c>
      <c r="BL31" s="1055" t="s">
        <v>1738</v>
      </c>
      <c r="BM31" s="1051">
        <v>18487912.203735258</v>
      </c>
      <c r="BN31" s="1052">
        <v>20095229.203735258</v>
      </c>
      <c r="BO31" s="1054">
        <v>20095229.203735258</v>
      </c>
      <c r="BP31" s="1053">
        <v>12574042.42257739</v>
      </c>
      <c r="BQ31" s="1051">
        <v>13492508.808747221</v>
      </c>
      <c r="BR31" s="1051">
        <v>3294337.4979638457</v>
      </c>
      <c r="BS31" s="1051">
        <v>1701065.897024191</v>
      </c>
      <c r="BT31" s="1052">
        <v>13492508.808747221</v>
      </c>
      <c r="BU31" s="1052">
        <v>3294337.4979638457</v>
      </c>
      <c r="BV31" s="1052">
        <v>1701065.897024191</v>
      </c>
      <c r="BW31" s="1052">
        <v>1607317</v>
      </c>
      <c r="BX31" s="1052" t="s">
        <v>1637</v>
      </c>
      <c r="BY31" s="1053">
        <v>7275389.7525773905</v>
      </c>
      <c r="BZ31" s="1053">
        <v>695301.23</v>
      </c>
      <c r="CA31" s="1053">
        <v>2966057.44</v>
      </c>
      <c r="CB31" s="1053">
        <v>29977</v>
      </c>
      <c r="CC31" s="1053" t="s">
        <v>1637</v>
      </c>
      <c r="CD31" s="1053">
        <v>1607317</v>
      </c>
      <c r="CE31" s="1053" t="s">
        <v>1637</v>
      </c>
      <c r="CF31" s="1051">
        <v>3688808.4470984857</v>
      </c>
      <c r="CG31" s="1051">
        <v>6605097.3616487347</v>
      </c>
      <c r="CH31" s="1051">
        <v>2711505</v>
      </c>
      <c r="CI31" s="1051" t="s">
        <v>1637</v>
      </c>
      <c r="CJ31" s="1051" t="s">
        <v>1637</v>
      </c>
      <c r="CK31" s="1051" t="s">
        <v>1637</v>
      </c>
      <c r="CL31" s="1051" t="s">
        <v>1637</v>
      </c>
      <c r="CM31" s="1051">
        <v>487098</v>
      </c>
      <c r="CN31" s="1051">
        <v>2966057.44</v>
      </c>
      <c r="CO31" s="1051">
        <v>328280.05796384555</v>
      </c>
      <c r="CP31" s="1051" t="s">
        <v>1637</v>
      </c>
      <c r="CQ31" s="1051" t="s">
        <v>1637</v>
      </c>
      <c r="CR31" s="1051" t="s">
        <v>1637</v>
      </c>
      <c r="CS31" s="1051">
        <v>1454390.9211399693</v>
      </c>
      <c r="CT31" s="1051" t="s">
        <v>1637</v>
      </c>
      <c r="CU31" s="1051">
        <v>216697.97588422181</v>
      </c>
      <c r="CV31" s="1051">
        <v>29977</v>
      </c>
      <c r="CW31" s="1114">
        <v>3688808.4470984857</v>
      </c>
      <c r="CX31" s="1114">
        <v>6605097.3616487347</v>
      </c>
      <c r="CY31" s="1114">
        <v>2711505</v>
      </c>
      <c r="CZ31" s="1114" t="s">
        <v>1637</v>
      </c>
      <c r="DA31" s="1114" t="s">
        <v>1637</v>
      </c>
      <c r="DB31" s="1114" t="s">
        <v>1637</v>
      </c>
      <c r="DC31" s="1114" t="s">
        <v>1637</v>
      </c>
      <c r="DD31" s="1114">
        <v>487098</v>
      </c>
      <c r="DE31" s="1114">
        <v>2966057.44</v>
      </c>
      <c r="DF31" s="1114">
        <v>328280.05796384555</v>
      </c>
      <c r="DG31" s="1114" t="s">
        <v>1637</v>
      </c>
      <c r="DH31" s="1114" t="s">
        <v>1637</v>
      </c>
      <c r="DI31" s="1114" t="s">
        <v>1637</v>
      </c>
      <c r="DJ31" s="1114">
        <v>1454390.9211399693</v>
      </c>
      <c r="DK31" s="1114" t="s">
        <v>1637</v>
      </c>
      <c r="DL31" s="1114">
        <v>216697.97588422181</v>
      </c>
      <c r="DM31" s="1114">
        <v>29977</v>
      </c>
      <c r="DN31" s="1114">
        <v>1596444</v>
      </c>
      <c r="DO31" s="1114">
        <v>10873</v>
      </c>
      <c r="DP31" s="1114" t="s">
        <v>1637</v>
      </c>
      <c r="DQ31" s="1114" t="s">
        <v>1637</v>
      </c>
      <c r="DR31" s="1114" t="s">
        <v>1637</v>
      </c>
      <c r="DS31" s="1115" t="s">
        <v>1637</v>
      </c>
      <c r="DT31" s="1116">
        <v>1923615.8201678949</v>
      </c>
      <c r="DU31" s="1116">
        <v>2153170.932409496</v>
      </c>
      <c r="DV31" s="1116">
        <v>2711505</v>
      </c>
      <c r="DW31" s="1116" t="s">
        <v>1637</v>
      </c>
      <c r="DX31" s="1116">
        <v>695301.23</v>
      </c>
      <c r="DY31" s="1116" t="s">
        <v>1637</v>
      </c>
      <c r="DZ31" s="1116" t="s">
        <v>1637</v>
      </c>
      <c r="EA31" s="1116" t="s">
        <v>1637</v>
      </c>
      <c r="EB31" s="1116">
        <v>487098</v>
      </c>
      <c r="EC31" s="1116">
        <v>2966057.44</v>
      </c>
      <c r="ED31" s="1116" t="s">
        <v>1637</v>
      </c>
      <c r="EE31" s="1116" t="s">
        <v>1637</v>
      </c>
      <c r="EF31" s="1116" t="s">
        <v>1637</v>
      </c>
      <c r="EG31" s="1116" t="s">
        <v>1637</v>
      </c>
      <c r="EH31" s="1116" t="s">
        <v>1637</v>
      </c>
      <c r="EI31" s="1116" t="s">
        <v>1637</v>
      </c>
      <c r="EJ31" s="1116" t="s">
        <v>1637</v>
      </c>
      <c r="EK31" s="1116">
        <v>29977</v>
      </c>
      <c r="EL31" s="1116">
        <v>1596444</v>
      </c>
      <c r="EM31" s="1116">
        <v>10873</v>
      </c>
      <c r="EN31" s="1116" t="s">
        <v>1637</v>
      </c>
      <c r="EO31" s="1116" t="s">
        <v>1637</v>
      </c>
      <c r="EP31" s="1116" t="s">
        <v>1637</v>
      </c>
    </row>
    <row r="32" spans="1:146" s="1121" customFormat="1" ht="15" customHeight="1">
      <c r="A32" s="15"/>
      <c r="B32" s="1055" t="s">
        <v>1754</v>
      </c>
      <c r="C32" s="1055" t="s">
        <v>1418</v>
      </c>
      <c r="D32" s="1048" t="s">
        <v>1141</v>
      </c>
      <c r="E32" s="1055" t="s">
        <v>1755</v>
      </c>
      <c r="F32" s="1049">
        <v>2013</v>
      </c>
      <c r="G32" s="1049">
        <v>766135</v>
      </c>
      <c r="H32" s="1049">
        <v>1206.2</v>
      </c>
      <c r="I32" s="1043">
        <v>163692000000</v>
      </c>
      <c r="J32" s="1051">
        <v>625101.80135526101</v>
      </c>
      <c r="K32" s="1051">
        <v>915327.55634858948</v>
      </c>
      <c r="L32" s="1052" t="s">
        <v>177</v>
      </c>
      <c r="M32" s="1051">
        <v>480556.67304030189</v>
      </c>
      <c r="N32" s="1051">
        <v>1403251.1809733764</v>
      </c>
      <c r="O32" s="1052" t="s">
        <v>177</v>
      </c>
      <c r="P32" s="1051">
        <v>706538.95974610059</v>
      </c>
      <c r="Q32" s="1051">
        <v>623990.7739873192</v>
      </c>
      <c r="R32" s="1052" t="s">
        <v>177</v>
      </c>
      <c r="S32" s="1051" t="s">
        <v>175</v>
      </c>
      <c r="T32" s="1051" t="s">
        <v>175</v>
      </c>
      <c r="U32" s="1052" t="s">
        <v>175</v>
      </c>
      <c r="V32" s="1053" t="s">
        <v>175</v>
      </c>
      <c r="W32" s="1051" t="s">
        <v>175</v>
      </c>
      <c r="X32" s="1051" t="s">
        <v>175</v>
      </c>
      <c r="Y32" s="1052" t="s">
        <v>175</v>
      </c>
      <c r="Z32" s="1051" t="s">
        <v>175</v>
      </c>
      <c r="AA32" s="1051" t="s">
        <v>175</v>
      </c>
      <c r="AB32" s="1052" t="s">
        <v>175</v>
      </c>
      <c r="AC32" s="1051" t="s">
        <v>175</v>
      </c>
      <c r="AD32" s="1051">
        <v>14778</v>
      </c>
      <c r="AE32" s="1051">
        <v>2830124.1746198987</v>
      </c>
      <c r="AF32" s="1051" t="s">
        <v>176</v>
      </c>
      <c r="AG32" s="1052" t="s">
        <v>177</v>
      </c>
      <c r="AH32" s="1051" t="s">
        <v>175</v>
      </c>
      <c r="AI32" s="1051" t="s">
        <v>176</v>
      </c>
      <c r="AJ32" s="1052" t="s">
        <v>177</v>
      </c>
      <c r="AK32" s="1051" t="s">
        <v>175</v>
      </c>
      <c r="AL32" s="1051" t="s">
        <v>175</v>
      </c>
      <c r="AM32" s="1052" t="s">
        <v>177</v>
      </c>
      <c r="AN32" s="1051" t="s">
        <v>175</v>
      </c>
      <c r="AO32" s="1051" t="s">
        <v>175</v>
      </c>
      <c r="AP32" s="1052" t="s">
        <v>177</v>
      </c>
      <c r="AQ32" s="1051" t="s">
        <v>176</v>
      </c>
      <c r="AR32" s="1051" t="s">
        <v>176</v>
      </c>
      <c r="AS32" s="1052" t="s">
        <v>177</v>
      </c>
      <c r="AT32" s="1051" t="s">
        <v>175</v>
      </c>
      <c r="AU32" s="1051">
        <v>93080</v>
      </c>
      <c r="AV32" s="1053" t="s">
        <v>175</v>
      </c>
      <c r="AW32" s="1051" t="s">
        <v>175</v>
      </c>
      <c r="AX32" s="1051" t="s">
        <v>175</v>
      </c>
      <c r="AY32" s="1053" t="s">
        <v>175</v>
      </c>
      <c r="AZ32" s="1051" t="s">
        <v>175</v>
      </c>
      <c r="BA32" s="1051" t="s">
        <v>175</v>
      </c>
      <c r="BB32" s="1053" t="s">
        <v>175</v>
      </c>
      <c r="BC32" s="1051">
        <v>17521</v>
      </c>
      <c r="BD32" s="1051" t="s">
        <v>175</v>
      </c>
      <c r="BE32" s="1053" t="s">
        <v>175</v>
      </c>
      <c r="BF32" s="1052" t="s">
        <v>177</v>
      </c>
      <c r="BG32" s="1052" t="s">
        <v>177</v>
      </c>
      <c r="BH32" s="1052" t="s">
        <v>177</v>
      </c>
      <c r="BI32" s="1052" t="s">
        <v>177</v>
      </c>
      <c r="BJ32" s="1052" t="s">
        <v>177</v>
      </c>
      <c r="BK32" s="1054" t="s">
        <v>177</v>
      </c>
      <c r="BL32" s="1055" t="s">
        <v>1754</v>
      </c>
      <c r="BM32" s="1051">
        <v>7710270.1200708468</v>
      </c>
      <c r="BN32" s="1052">
        <v>7710270.1200708468</v>
      </c>
      <c r="BO32" s="1054">
        <v>7710270.1200708468</v>
      </c>
      <c r="BP32" s="1053">
        <v>4674620.608761562</v>
      </c>
      <c r="BQ32" s="1051">
        <v>4769544.9454509486</v>
      </c>
      <c r="BR32" s="1051">
        <v>2830124.1746198987</v>
      </c>
      <c r="BS32" s="1051">
        <v>110601</v>
      </c>
      <c r="BT32" s="1052">
        <v>4769544.9454509486</v>
      </c>
      <c r="BU32" s="1052">
        <v>2830124.1746198987</v>
      </c>
      <c r="BV32" s="1052">
        <v>110601</v>
      </c>
      <c r="BW32" s="1052" t="s">
        <v>1637</v>
      </c>
      <c r="BX32" s="1052" t="s">
        <v>1637</v>
      </c>
      <c r="BY32" s="1053">
        <v>1826975.4341416634</v>
      </c>
      <c r="BZ32" s="1053" t="s">
        <v>1637</v>
      </c>
      <c r="CA32" s="1053">
        <v>2830124.1746198987</v>
      </c>
      <c r="CB32" s="1053">
        <v>17521</v>
      </c>
      <c r="CC32" s="1053" t="s">
        <v>1637</v>
      </c>
      <c r="CD32" s="1053" t="s">
        <v>1637</v>
      </c>
      <c r="CE32" s="1053" t="s">
        <v>1637</v>
      </c>
      <c r="CF32" s="1051">
        <v>1540429.3577038506</v>
      </c>
      <c r="CG32" s="1051">
        <v>1883807.8540136782</v>
      </c>
      <c r="CH32" s="1051">
        <v>1330529.7337334198</v>
      </c>
      <c r="CI32" s="1051" t="s">
        <v>1637</v>
      </c>
      <c r="CJ32" s="1051" t="s">
        <v>1637</v>
      </c>
      <c r="CK32" s="1051" t="s">
        <v>1637</v>
      </c>
      <c r="CL32" s="1051" t="s">
        <v>1637</v>
      </c>
      <c r="CM32" s="1051">
        <v>14778</v>
      </c>
      <c r="CN32" s="1051">
        <v>2830124.1746198987</v>
      </c>
      <c r="CO32" s="1051" t="s">
        <v>1637</v>
      </c>
      <c r="CP32" s="1051" t="s">
        <v>1637</v>
      </c>
      <c r="CQ32" s="1051" t="s">
        <v>1637</v>
      </c>
      <c r="CR32" s="1051" t="s">
        <v>1637</v>
      </c>
      <c r="CS32" s="1051">
        <v>93080</v>
      </c>
      <c r="CT32" s="1051" t="s">
        <v>1637</v>
      </c>
      <c r="CU32" s="1051" t="s">
        <v>1637</v>
      </c>
      <c r="CV32" s="1051">
        <v>17521</v>
      </c>
      <c r="CW32" s="1118">
        <v>1540429.3577038506</v>
      </c>
      <c r="CX32" s="1118">
        <v>1883807.8540136782</v>
      </c>
      <c r="CY32" s="1118">
        <v>1330529.7337334198</v>
      </c>
      <c r="CZ32" s="1118" t="s">
        <v>1637</v>
      </c>
      <c r="DA32" s="1118" t="s">
        <v>1637</v>
      </c>
      <c r="DB32" s="1118" t="s">
        <v>1637</v>
      </c>
      <c r="DC32" s="1118" t="s">
        <v>1637</v>
      </c>
      <c r="DD32" s="1118">
        <v>14778</v>
      </c>
      <c r="DE32" s="1118">
        <v>2830124.1746198987</v>
      </c>
      <c r="DF32" s="1118" t="s">
        <v>1637</v>
      </c>
      <c r="DG32" s="1118" t="s">
        <v>1637</v>
      </c>
      <c r="DH32" s="1118" t="s">
        <v>1637</v>
      </c>
      <c r="DI32" s="1118" t="s">
        <v>1637</v>
      </c>
      <c r="DJ32" s="1118">
        <v>93080</v>
      </c>
      <c r="DK32" s="1118" t="s">
        <v>1637</v>
      </c>
      <c r="DL32" s="1118" t="s">
        <v>1637</v>
      </c>
      <c r="DM32" s="1118">
        <v>17521</v>
      </c>
      <c r="DN32" s="1118" t="s">
        <v>1637</v>
      </c>
      <c r="DO32" s="1118" t="s">
        <v>1637</v>
      </c>
      <c r="DP32" s="1118" t="s">
        <v>1637</v>
      </c>
      <c r="DQ32" s="1118" t="s">
        <v>1637</v>
      </c>
      <c r="DR32" s="1118" t="s">
        <v>1637</v>
      </c>
      <c r="DS32" s="1119" t="s">
        <v>1637</v>
      </c>
      <c r="DT32" s="1120">
        <v>625101.80135526101</v>
      </c>
      <c r="DU32" s="1120">
        <v>480556.67304030189</v>
      </c>
      <c r="DV32" s="1120">
        <v>706538.95974610059</v>
      </c>
      <c r="DW32" s="1120" t="s">
        <v>1637</v>
      </c>
      <c r="DX32" s="1120" t="s">
        <v>1637</v>
      </c>
      <c r="DY32" s="1120" t="s">
        <v>1637</v>
      </c>
      <c r="DZ32" s="1120" t="s">
        <v>1637</v>
      </c>
      <c r="EA32" s="1120" t="s">
        <v>1637</v>
      </c>
      <c r="EB32" s="1120">
        <v>14778</v>
      </c>
      <c r="EC32" s="1120">
        <v>2830124.1746198987</v>
      </c>
      <c r="ED32" s="1120" t="s">
        <v>1637</v>
      </c>
      <c r="EE32" s="1120" t="s">
        <v>1637</v>
      </c>
      <c r="EF32" s="1120" t="s">
        <v>1637</v>
      </c>
      <c r="EG32" s="1120" t="s">
        <v>1637</v>
      </c>
      <c r="EH32" s="1120" t="s">
        <v>1637</v>
      </c>
      <c r="EI32" s="1120" t="s">
        <v>1637</v>
      </c>
      <c r="EJ32" s="1120" t="s">
        <v>1637</v>
      </c>
      <c r="EK32" s="1120">
        <v>17521</v>
      </c>
      <c r="EL32" s="1120" t="s">
        <v>1637</v>
      </c>
      <c r="EM32" s="1120" t="s">
        <v>1637</v>
      </c>
      <c r="EN32" s="1120" t="s">
        <v>1637</v>
      </c>
      <c r="EO32" s="1120" t="s">
        <v>1637</v>
      </c>
      <c r="EP32" s="1120" t="s">
        <v>1637</v>
      </c>
    </row>
    <row r="33" spans="1:146" s="34" customFormat="1" ht="15" customHeight="1">
      <c r="A33" s="642"/>
      <c r="B33" s="1041" t="s">
        <v>1749</v>
      </c>
      <c r="C33" s="1048" t="s">
        <v>1279</v>
      </c>
      <c r="D33" s="1048" t="s">
        <v>1641</v>
      </c>
      <c r="E33" s="1048" t="s">
        <v>320</v>
      </c>
      <c r="F33" s="1049">
        <v>2011</v>
      </c>
      <c r="G33" s="1050">
        <v>1607734</v>
      </c>
      <c r="H33" s="1050">
        <v>372.39</v>
      </c>
      <c r="I33" s="1043">
        <v>16511524155.5264</v>
      </c>
      <c r="J33" s="1051">
        <v>562852.16181189939</v>
      </c>
      <c r="K33" s="1051">
        <v>233107.36994991699</v>
      </c>
      <c r="L33" s="1052" t="s">
        <v>177</v>
      </c>
      <c r="M33" s="1051" t="s">
        <v>176</v>
      </c>
      <c r="N33" s="1051">
        <v>223380.30216740433</v>
      </c>
      <c r="O33" s="1052" t="s">
        <v>177</v>
      </c>
      <c r="P33" s="1051">
        <v>462586.51644866139</v>
      </c>
      <c r="Q33" s="1051">
        <v>122779.58299214127</v>
      </c>
      <c r="R33" s="1052" t="s">
        <v>177</v>
      </c>
      <c r="S33" s="1051" t="s">
        <v>176</v>
      </c>
      <c r="T33" s="1051" t="s">
        <v>176</v>
      </c>
      <c r="U33" s="1052" t="s">
        <v>177</v>
      </c>
      <c r="V33" s="1053">
        <v>15031.373537308731</v>
      </c>
      <c r="W33" s="1051" t="s">
        <v>175</v>
      </c>
      <c r="X33" s="1051" t="s">
        <v>175</v>
      </c>
      <c r="Y33" s="1052" t="s">
        <v>175</v>
      </c>
      <c r="Z33" s="1051" t="s">
        <v>175</v>
      </c>
      <c r="AA33" s="1051" t="s">
        <v>175</v>
      </c>
      <c r="AB33" s="1052" t="s">
        <v>177</v>
      </c>
      <c r="AC33" s="1051" t="s">
        <v>175</v>
      </c>
      <c r="AD33" s="1051" t="s">
        <v>175</v>
      </c>
      <c r="AE33" s="1051">
        <v>2901933.6822477826</v>
      </c>
      <c r="AF33" s="1051">
        <v>471.37279695396001</v>
      </c>
      <c r="AG33" s="1052" t="s">
        <v>177</v>
      </c>
      <c r="AH33" s="1051" t="s">
        <v>175</v>
      </c>
      <c r="AI33" s="1051" t="s">
        <v>175</v>
      </c>
      <c r="AJ33" s="1052" t="s">
        <v>177</v>
      </c>
      <c r="AK33" s="1051" t="s">
        <v>175</v>
      </c>
      <c r="AL33" s="1051" t="s">
        <v>175</v>
      </c>
      <c r="AM33" s="1052" t="s">
        <v>175</v>
      </c>
      <c r="AN33" s="1051" t="s">
        <v>175</v>
      </c>
      <c r="AO33" s="1051" t="s">
        <v>175</v>
      </c>
      <c r="AP33" s="1052" t="s">
        <v>177</v>
      </c>
      <c r="AQ33" s="1051" t="s">
        <v>176</v>
      </c>
      <c r="AR33" s="1051" t="s">
        <v>175</v>
      </c>
      <c r="AS33" s="1052" t="s">
        <v>175</v>
      </c>
      <c r="AT33" s="1051">
        <v>659092.478</v>
      </c>
      <c r="AU33" s="1051" t="s">
        <v>175</v>
      </c>
      <c r="AV33" s="1053" t="s">
        <v>175</v>
      </c>
      <c r="AW33" s="1051" t="s">
        <v>175</v>
      </c>
      <c r="AX33" s="1051" t="s">
        <v>175</v>
      </c>
      <c r="AY33" s="1053" t="s">
        <v>175</v>
      </c>
      <c r="AZ33" s="1051">
        <v>2596.4758839599999</v>
      </c>
      <c r="BA33" s="1051" t="s">
        <v>175</v>
      </c>
      <c r="BB33" s="1053" t="s">
        <v>175</v>
      </c>
      <c r="BC33" s="1051">
        <v>0</v>
      </c>
      <c r="BD33" s="1051" t="s">
        <v>175</v>
      </c>
      <c r="BE33" s="1053" t="s">
        <v>175</v>
      </c>
      <c r="BF33" s="1052" t="s">
        <v>177</v>
      </c>
      <c r="BG33" s="1052" t="s">
        <v>177</v>
      </c>
      <c r="BH33" s="1052" t="s">
        <v>177</v>
      </c>
      <c r="BI33" s="1052" t="s">
        <v>177</v>
      </c>
      <c r="BJ33" s="1052" t="s">
        <v>177</v>
      </c>
      <c r="BK33" s="1054" t="s">
        <v>177</v>
      </c>
      <c r="BL33" s="1076" t="s">
        <v>1749</v>
      </c>
      <c r="BM33" s="1051">
        <v>5168799.9422987206</v>
      </c>
      <c r="BN33" s="1052">
        <v>5168799.9422987206</v>
      </c>
      <c r="BO33" s="1054">
        <v>5168799.9422987206</v>
      </c>
      <c r="BP33" s="1053">
        <v>4604092.6879296126</v>
      </c>
      <c r="BQ33" s="1051">
        <v>1604705.9333700235</v>
      </c>
      <c r="BR33" s="1051">
        <v>2902405.0550447367</v>
      </c>
      <c r="BS33" s="1051">
        <v>661688.95388396003</v>
      </c>
      <c r="BT33" s="1052">
        <v>1604705.9333700235</v>
      </c>
      <c r="BU33" s="1052">
        <v>2902405.0550447367</v>
      </c>
      <c r="BV33" s="1052">
        <v>661688.95388396003</v>
      </c>
      <c r="BW33" s="1052" t="s">
        <v>1637</v>
      </c>
      <c r="BX33" s="1052" t="s">
        <v>1637</v>
      </c>
      <c r="BY33" s="1053">
        <v>1025438.6782605608</v>
      </c>
      <c r="BZ33" s="1053">
        <v>15031.373537308731</v>
      </c>
      <c r="CA33" s="1053">
        <v>2901933.6822477826</v>
      </c>
      <c r="CB33" s="1053">
        <v>661688.95388396003</v>
      </c>
      <c r="CC33" s="1053" t="s">
        <v>1637</v>
      </c>
      <c r="CD33" s="1053" t="s">
        <v>1637</v>
      </c>
      <c r="CE33" s="1053" t="s">
        <v>1637</v>
      </c>
      <c r="CF33" s="1123">
        <v>795959.53176181635</v>
      </c>
      <c r="CG33" s="1123">
        <v>223380.30216740433</v>
      </c>
      <c r="CH33" s="1123">
        <v>585366.0994408027</v>
      </c>
      <c r="CI33" s="1123" t="s">
        <v>1637</v>
      </c>
      <c r="CJ33" s="1123" t="s">
        <v>1637</v>
      </c>
      <c r="CK33" s="1123" t="s">
        <v>1637</v>
      </c>
      <c r="CL33" s="1123" t="s">
        <v>1637</v>
      </c>
      <c r="CM33" s="1123" t="s">
        <v>1637</v>
      </c>
      <c r="CN33" s="1123">
        <v>2902405.0550447367</v>
      </c>
      <c r="CO33" s="1123" t="s">
        <v>1637</v>
      </c>
      <c r="CP33" s="1123" t="s">
        <v>1637</v>
      </c>
      <c r="CQ33" s="1123" t="s">
        <v>1637</v>
      </c>
      <c r="CR33" s="1123" t="s">
        <v>1637</v>
      </c>
      <c r="CS33" s="1123">
        <v>659092.478</v>
      </c>
      <c r="CT33" s="1123" t="s">
        <v>1637</v>
      </c>
      <c r="CU33" s="1123">
        <v>2596.4758839599999</v>
      </c>
      <c r="CV33" s="1123" t="s">
        <v>1637</v>
      </c>
      <c r="CW33" s="1114">
        <v>795959.53176181635</v>
      </c>
      <c r="CX33" s="1114">
        <v>223380.30216740433</v>
      </c>
      <c r="CY33" s="1114">
        <v>585366.0994408027</v>
      </c>
      <c r="CZ33" s="1114" t="s">
        <v>1637</v>
      </c>
      <c r="DA33" s="1114" t="s">
        <v>1637</v>
      </c>
      <c r="DB33" s="1114" t="s">
        <v>1637</v>
      </c>
      <c r="DC33" s="1114" t="s">
        <v>1637</v>
      </c>
      <c r="DD33" s="1114" t="s">
        <v>1637</v>
      </c>
      <c r="DE33" s="1114">
        <v>2902405.0550447367</v>
      </c>
      <c r="DF33" s="1114" t="s">
        <v>1637</v>
      </c>
      <c r="DG33" s="1114" t="s">
        <v>1637</v>
      </c>
      <c r="DH33" s="1114" t="s">
        <v>1637</v>
      </c>
      <c r="DI33" s="1114" t="s">
        <v>1637</v>
      </c>
      <c r="DJ33" s="1114">
        <v>659092.478</v>
      </c>
      <c r="DK33" s="1114" t="s">
        <v>1637</v>
      </c>
      <c r="DL33" s="1114">
        <v>2596.4758839599999</v>
      </c>
      <c r="DM33" s="1114" t="s">
        <v>1637</v>
      </c>
      <c r="DN33" s="1114" t="s">
        <v>1637</v>
      </c>
      <c r="DO33" s="1114" t="s">
        <v>1637</v>
      </c>
      <c r="DP33" s="1114" t="s">
        <v>1637</v>
      </c>
      <c r="DQ33" s="1114" t="s">
        <v>1637</v>
      </c>
      <c r="DR33" s="1114" t="s">
        <v>1637</v>
      </c>
      <c r="DS33" s="1115" t="s">
        <v>1637</v>
      </c>
      <c r="DT33" s="1116">
        <v>562852.16181189939</v>
      </c>
      <c r="DU33" s="1116" t="s">
        <v>1637</v>
      </c>
      <c r="DV33" s="1116">
        <v>462586.51644866139</v>
      </c>
      <c r="DW33" s="1116" t="s">
        <v>1637</v>
      </c>
      <c r="DX33" s="1116">
        <v>15031.373537308731</v>
      </c>
      <c r="DY33" s="1116" t="s">
        <v>1637</v>
      </c>
      <c r="DZ33" s="1116" t="s">
        <v>1637</v>
      </c>
      <c r="EA33" s="1116" t="s">
        <v>1637</v>
      </c>
      <c r="EB33" s="1116" t="s">
        <v>1637</v>
      </c>
      <c r="EC33" s="1116">
        <v>2901933.6822477826</v>
      </c>
      <c r="ED33" s="1116" t="s">
        <v>1637</v>
      </c>
      <c r="EE33" s="1116" t="s">
        <v>1637</v>
      </c>
      <c r="EF33" s="1116" t="s">
        <v>1637</v>
      </c>
      <c r="EG33" s="1116" t="s">
        <v>1637</v>
      </c>
      <c r="EH33" s="1116">
        <v>659092.478</v>
      </c>
      <c r="EI33" s="1116" t="s">
        <v>1637</v>
      </c>
      <c r="EJ33" s="1116">
        <v>2596.4758839599999</v>
      </c>
      <c r="EK33" s="1116" t="s">
        <v>1637</v>
      </c>
      <c r="EL33" s="1116" t="s">
        <v>1637</v>
      </c>
      <c r="EM33" s="1116" t="s">
        <v>1637</v>
      </c>
      <c r="EN33" s="1116" t="s">
        <v>1637</v>
      </c>
      <c r="EO33" s="1116" t="s">
        <v>1637</v>
      </c>
      <c r="EP33" s="1116" t="s">
        <v>1637</v>
      </c>
    </row>
    <row r="34" spans="1:146" s="1121" customFormat="1" ht="15" customHeight="1">
      <c r="A34" s="15"/>
      <c r="B34" s="1055" t="s">
        <v>1642</v>
      </c>
      <c r="C34" s="1055" t="s">
        <v>1145</v>
      </c>
      <c r="D34" s="1048" t="s">
        <v>1641</v>
      </c>
      <c r="E34" s="1055" t="s">
        <v>687</v>
      </c>
      <c r="F34" s="1049">
        <v>2012</v>
      </c>
      <c r="G34" s="1049">
        <v>6390290</v>
      </c>
      <c r="H34" s="1049">
        <v>1224.56</v>
      </c>
      <c r="I34" s="1043">
        <v>75060683634</v>
      </c>
      <c r="J34" s="1051">
        <v>619474.94239871937</v>
      </c>
      <c r="K34" s="1051">
        <v>1364648.2412052159</v>
      </c>
      <c r="L34" s="1052" t="s">
        <v>177</v>
      </c>
      <c r="M34" s="1051">
        <v>120117.16649917484</v>
      </c>
      <c r="N34" s="1051">
        <v>2024690.3877564943</v>
      </c>
      <c r="O34" s="1052" t="s">
        <v>177</v>
      </c>
      <c r="P34" s="1051">
        <v>909588.59580063471</v>
      </c>
      <c r="Q34" s="1051">
        <v>601627.26418700593</v>
      </c>
      <c r="R34" s="1052" t="s">
        <v>177</v>
      </c>
      <c r="S34" s="1051">
        <v>1353546.5242982078</v>
      </c>
      <c r="T34" s="1051" t="s">
        <v>175</v>
      </c>
      <c r="U34" s="1052" t="s">
        <v>177</v>
      </c>
      <c r="V34" s="1053">
        <v>3251638.0102933897</v>
      </c>
      <c r="W34" s="1051">
        <v>62.053308308700011</v>
      </c>
      <c r="X34" s="1051">
        <v>601.32194827916567</v>
      </c>
      <c r="Y34" s="1052" t="s">
        <v>177</v>
      </c>
      <c r="Z34" s="1051">
        <v>29300.692913167924</v>
      </c>
      <c r="AA34" s="1051">
        <v>17850.596525771925</v>
      </c>
      <c r="AB34" s="1052">
        <v>1495373.8418812777</v>
      </c>
      <c r="AC34" s="1051">
        <v>921414</v>
      </c>
      <c r="AD34" s="1051">
        <v>121122.44316930753</v>
      </c>
      <c r="AE34" s="1051">
        <v>5336331.6780053079</v>
      </c>
      <c r="AF34" s="1051" t="s">
        <v>175</v>
      </c>
      <c r="AG34" s="1052" t="s">
        <v>177</v>
      </c>
      <c r="AH34" s="1051">
        <v>3699.7513027709656</v>
      </c>
      <c r="AI34" s="1051">
        <v>87093.65962275854</v>
      </c>
      <c r="AJ34" s="1052" t="s">
        <v>177</v>
      </c>
      <c r="AK34" s="1051">
        <v>9935.8456347251777</v>
      </c>
      <c r="AL34" s="1051" t="s">
        <v>175</v>
      </c>
      <c r="AM34" s="1052" t="s">
        <v>177</v>
      </c>
      <c r="AN34" s="1051" t="s">
        <v>176</v>
      </c>
      <c r="AO34" s="1051" t="s">
        <v>175</v>
      </c>
      <c r="AP34" s="1052">
        <v>1665804.7248953958</v>
      </c>
      <c r="AQ34" s="1051" t="s">
        <v>176</v>
      </c>
      <c r="AR34" s="1051" t="s">
        <v>175</v>
      </c>
      <c r="AS34" s="1052" t="s">
        <v>177</v>
      </c>
      <c r="AT34" s="1051">
        <v>462950.67</v>
      </c>
      <c r="AU34" s="1051">
        <v>1247412.4647619047</v>
      </c>
      <c r="AV34" s="1053" t="s">
        <v>175</v>
      </c>
      <c r="AW34" s="1051">
        <v>731.53</v>
      </c>
      <c r="AX34" s="1051" t="s">
        <v>175</v>
      </c>
      <c r="AY34" s="1053" t="s">
        <v>175</v>
      </c>
      <c r="AZ34" s="1051">
        <v>449.87899999999996</v>
      </c>
      <c r="BA34" s="1051" t="s">
        <v>175</v>
      </c>
      <c r="BB34" s="1053" t="s">
        <v>175</v>
      </c>
      <c r="BC34" s="1051">
        <v>624256.30000000005</v>
      </c>
      <c r="BD34" s="1051" t="s">
        <v>175</v>
      </c>
      <c r="BE34" s="1053" t="s">
        <v>175</v>
      </c>
      <c r="BF34" s="1052">
        <v>2304249.9363226704</v>
      </c>
      <c r="BG34" s="1052">
        <v>94078.038122067665</v>
      </c>
      <c r="BH34" s="1052">
        <v>14423.946378742858</v>
      </c>
      <c r="BI34" s="1052">
        <v>-11639.27708005071</v>
      </c>
      <c r="BJ34" s="1052">
        <v>5801.7343736654757</v>
      </c>
      <c r="BK34" s="1054">
        <v>1028166.6173436131</v>
      </c>
      <c r="BL34" s="1117" t="s">
        <v>1642</v>
      </c>
      <c r="BM34" s="1051">
        <v>15856906.008337755</v>
      </c>
      <c r="BN34" s="1052">
        <v>21424998.953231525</v>
      </c>
      <c r="BO34" s="1054">
        <v>22453165.570575137</v>
      </c>
      <c r="BP34" s="1053">
        <v>16171534.460740812</v>
      </c>
      <c r="BQ34" s="1051">
        <v>8084044.2300102878</v>
      </c>
      <c r="BR34" s="1051">
        <v>5437060.9345655628</v>
      </c>
      <c r="BS34" s="1051">
        <v>2335800.8437619051</v>
      </c>
      <c r="BT34" s="1052">
        <v>9579418.0718915649</v>
      </c>
      <c r="BU34" s="1052">
        <v>7102865.6594609581</v>
      </c>
      <c r="BV34" s="1052">
        <v>2335800.8437619051</v>
      </c>
      <c r="BW34" s="1052">
        <v>2398327.9744447381</v>
      </c>
      <c r="BX34" s="1052">
        <v>8586.4036723576246</v>
      </c>
      <c r="BY34" s="1053">
        <v>4074626.4183875211</v>
      </c>
      <c r="BZ34" s="1053">
        <v>3251638.0102933897</v>
      </c>
      <c r="CA34" s="1053">
        <v>5349967.2749428041</v>
      </c>
      <c r="CB34" s="1053">
        <v>1088388.3790000002</v>
      </c>
      <c r="CC34" s="1053" t="s">
        <v>1637</v>
      </c>
      <c r="CD34" s="1053">
        <v>2398327.9744447381</v>
      </c>
      <c r="CE34" s="1053">
        <v>8586.4036723576246</v>
      </c>
      <c r="CF34" s="1051">
        <v>1984123.1836039354</v>
      </c>
      <c r="CG34" s="1051">
        <v>2144807.554255669</v>
      </c>
      <c r="CH34" s="1051">
        <v>1511215.8599876408</v>
      </c>
      <c r="CI34" s="1051">
        <v>1353546.5242982078</v>
      </c>
      <c r="CJ34" s="1051">
        <v>663.37525658786569</v>
      </c>
      <c r="CK34" s="1051">
        <v>47151.28943893985</v>
      </c>
      <c r="CL34" s="1051">
        <v>921414</v>
      </c>
      <c r="CM34" s="1051">
        <v>121122.44316930753</v>
      </c>
      <c r="CN34" s="1051">
        <v>5336331.6780053079</v>
      </c>
      <c r="CO34" s="1051">
        <v>90793.410925529504</v>
      </c>
      <c r="CP34" s="1051">
        <v>9935.8456347251777</v>
      </c>
      <c r="CQ34" s="1051" t="s">
        <v>1637</v>
      </c>
      <c r="CR34" s="1051" t="s">
        <v>1637</v>
      </c>
      <c r="CS34" s="1051">
        <v>1710363.1347619046</v>
      </c>
      <c r="CT34" s="1051">
        <v>731.53</v>
      </c>
      <c r="CU34" s="1051">
        <v>449.87899999999996</v>
      </c>
      <c r="CV34" s="1051">
        <v>624256.30000000005</v>
      </c>
      <c r="CW34" s="1118">
        <v>1984123.1836039354</v>
      </c>
      <c r="CX34" s="1118">
        <v>2144807.554255669</v>
      </c>
      <c r="CY34" s="1118">
        <v>1511215.8599876408</v>
      </c>
      <c r="CZ34" s="1118">
        <v>1353546.5242982078</v>
      </c>
      <c r="DA34" s="1118">
        <v>663.37525658786569</v>
      </c>
      <c r="DB34" s="1118">
        <v>1542525.1313202176</v>
      </c>
      <c r="DC34" s="1118">
        <v>921414</v>
      </c>
      <c r="DD34" s="1118">
        <v>121122.44316930753</v>
      </c>
      <c r="DE34" s="1118">
        <v>5336331.6780053079</v>
      </c>
      <c r="DF34" s="1118">
        <v>90793.410925529504</v>
      </c>
      <c r="DG34" s="1118">
        <v>9935.8456347251777</v>
      </c>
      <c r="DH34" s="1118">
        <v>1665804.7248953958</v>
      </c>
      <c r="DI34" s="1118" t="s">
        <v>1637</v>
      </c>
      <c r="DJ34" s="1118">
        <v>1710363.1347619046</v>
      </c>
      <c r="DK34" s="1118">
        <v>731.53</v>
      </c>
      <c r="DL34" s="1118">
        <v>449.87899999999996</v>
      </c>
      <c r="DM34" s="1118">
        <v>624256.30000000005</v>
      </c>
      <c r="DN34" s="1118">
        <v>2304249.9363226704</v>
      </c>
      <c r="DO34" s="1118">
        <v>94078.038122067665</v>
      </c>
      <c r="DP34" s="1118">
        <v>14423.946378742858</v>
      </c>
      <c r="DQ34" s="1118">
        <v>-11639.27708005071</v>
      </c>
      <c r="DR34" s="1118">
        <v>5801.7343736654757</v>
      </c>
      <c r="DS34" s="1119">
        <v>1028166.6173436131</v>
      </c>
      <c r="DT34" s="1120">
        <v>619474.94239871937</v>
      </c>
      <c r="DU34" s="1120">
        <v>120117.16649917484</v>
      </c>
      <c r="DV34" s="1120">
        <v>909588.59580063471</v>
      </c>
      <c r="DW34" s="1120">
        <v>1353546.5242982078</v>
      </c>
      <c r="DX34" s="1120">
        <v>3251638.0102933897</v>
      </c>
      <c r="DY34" s="1120">
        <v>62.053308308700011</v>
      </c>
      <c r="DZ34" s="1120">
        <v>29300.692913167924</v>
      </c>
      <c r="EA34" s="1120">
        <v>921414</v>
      </c>
      <c r="EB34" s="1120">
        <v>121122.44316930753</v>
      </c>
      <c r="EC34" s="1120">
        <v>5336331.6780053079</v>
      </c>
      <c r="ED34" s="1120">
        <v>3699.7513027709656</v>
      </c>
      <c r="EE34" s="1120">
        <v>9935.8456347251777</v>
      </c>
      <c r="EF34" s="1120" t="s">
        <v>1637</v>
      </c>
      <c r="EG34" s="1120" t="s">
        <v>1637</v>
      </c>
      <c r="EH34" s="1120">
        <v>462950.67</v>
      </c>
      <c r="EI34" s="1120">
        <v>731.53</v>
      </c>
      <c r="EJ34" s="1120">
        <v>449.87899999999996</v>
      </c>
      <c r="EK34" s="1120">
        <v>624256.30000000005</v>
      </c>
      <c r="EL34" s="1120">
        <v>2304249.9363226704</v>
      </c>
      <c r="EM34" s="1120">
        <v>94078.038122067665</v>
      </c>
      <c r="EN34" s="1120">
        <v>14423.946378742858</v>
      </c>
      <c r="EO34" s="1120">
        <v>-11639.27708005071</v>
      </c>
      <c r="EP34" s="1120">
        <v>5801.7343736654757</v>
      </c>
    </row>
    <row r="35" spans="1:146" s="1121" customFormat="1" ht="15" customHeight="1">
      <c r="A35" s="15"/>
      <c r="B35" s="1055" t="s">
        <v>1757</v>
      </c>
      <c r="C35" s="1055" t="s">
        <v>1737</v>
      </c>
      <c r="D35" s="1055" t="s">
        <v>1134</v>
      </c>
      <c r="E35" s="1055" t="s">
        <v>687</v>
      </c>
      <c r="F35" s="1049">
        <v>2012</v>
      </c>
      <c r="G35" s="1049">
        <v>827420</v>
      </c>
      <c r="H35" s="1049">
        <v>121</v>
      </c>
      <c r="I35" s="1043">
        <v>89205219000</v>
      </c>
      <c r="J35" s="1051">
        <v>767434.603626</v>
      </c>
      <c r="K35" s="1051">
        <v>283079.60335203569</v>
      </c>
      <c r="L35" s="1052">
        <v>26539.097051081186</v>
      </c>
      <c r="M35" s="1051">
        <v>684387.22342888103</v>
      </c>
      <c r="N35" s="1051">
        <v>791168.20160823897</v>
      </c>
      <c r="O35" s="1052">
        <v>64480.793143729476</v>
      </c>
      <c r="P35" s="1051" t="s">
        <v>176</v>
      </c>
      <c r="Q35" s="1051" t="s">
        <v>176</v>
      </c>
      <c r="R35" s="1052" t="s">
        <v>176</v>
      </c>
      <c r="S35" s="1051">
        <v>70.5</v>
      </c>
      <c r="T35" s="1051" t="s">
        <v>175</v>
      </c>
      <c r="U35" s="1052" t="s">
        <v>175</v>
      </c>
      <c r="V35" s="1053">
        <v>64223.613422818788</v>
      </c>
      <c r="W35" s="1051">
        <v>109</v>
      </c>
      <c r="X35" s="1051" t="s">
        <v>175</v>
      </c>
      <c r="Y35" s="1052" t="s">
        <v>175</v>
      </c>
      <c r="Z35" s="1051">
        <v>169081</v>
      </c>
      <c r="AA35" s="1051" t="s">
        <v>175</v>
      </c>
      <c r="AB35" s="1052" t="s">
        <v>175</v>
      </c>
      <c r="AC35" s="1051">
        <v>0</v>
      </c>
      <c r="AD35" s="1051">
        <v>13279.46497460359</v>
      </c>
      <c r="AE35" s="1051">
        <v>1970894.4880138319</v>
      </c>
      <c r="AF35" s="1051" t="s">
        <v>176</v>
      </c>
      <c r="AG35" s="1052" t="s">
        <v>176</v>
      </c>
      <c r="AH35" s="1051">
        <v>11521.719372400403</v>
      </c>
      <c r="AI35" s="1051">
        <v>57103.92393852731</v>
      </c>
      <c r="AJ35" s="1052" t="s">
        <v>177</v>
      </c>
      <c r="AK35" s="1051">
        <v>554661</v>
      </c>
      <c r="AL35" s="1051" t="s">
        <v>175</v>
      </c>
      <c r="AM35" s="1052" t="s">
        <v>177</v>
      </c>
      <c r="AN35" s="1051" t="s">
        <v>175</v>
      </c>
      <c r="AO35" s="1051" t="s">
        <v>175</v>
      </c>
      <c r="AP35" s="1052" t="s">
        <v>177</v>
      </c>
      <c r="AQ35" s="1051" t="s">
        <v>175</v>
      </c>
      <c r="AR35" s="1051" t="s">
        <v>175</v>
      </c>
      <c r="AS35" s="1052" t="s">
        <v>177</v>
      </c>
      <c r="AT35" s="1051" t="s">
        <v>175</v>
      </c>
      <c r="AU35" s="1051">
        <v>180397.52506944002</v>
      </c>
      <c r="AV35" s="1053" t="s">
        <v>175</v>
      </c>
      <c r="AW35" s="1051" t="s">
        <v>175</v>
      </c>
      <c r="AX35" s="1051" t="s">
        <v>175</v>
      </c>
      <c r="AY35" s="1053" t="s">
        <v>175</v>
      </c>
      <c r="AZ35" s="1051" t="s">
        <v>175</v>
      </c>
      <c r="BA35" s="1051" t="s">
        <v>175</v>
      </c>
      <c r="BB35" s="1053" t="s">
        <v>175</v>
      </c>
      <c r="BC35" s="1051">
        <v>9324.9940362863308</v>
      </c>
      <c r="BD35" s="1051" t="s">
        <v>175</v>
      </c>
      <c r="BE35" s="1053" t="s">
        <v>175</v>
      </c>
      <c r="BF35" s="1052" t="s">
        <v>175</v>
      </c>
      <c r="BG35" s="1052" t="s">
        <v>177</v>
      </c>
      <c r="BH35" s="1052" t="s">
        <v>175</v>
      </c>
      <c r="BI35" s="1052">
        <v>5346.9</v>
      </c>
      <c r="BJ35" s="1052" t="s">
        <v>175</v>
      </c>
      <c r="BK35" s="1054" t="s">
        <v>177</v>
      </c>
      <c r="BL35" s="1055" t="s">
        <v>1757</v>
      </c>
      <c r="BM35" s="1051">
        <v>5492513.2474202449</v>
      </c>
      <c r="BN35" s="1052">
        <v>5588880.0376150552</v>
      </c>
      <c r="BO35" s="1054">
        <v>5588880.0376150561</v>
      </c>
      <c r="BP35" s="1053">
        <v>4250334.5068748221</v>
      </c>
      <c r="BQ35" s="1051">
        <v>2708609.5969897592</v>
      </c>
      <c r="BR35" s="1051">
        <v>2594181.1313247592</v>
      </c>
      <c r="BS35" s="1051">
        <v>189722.51910572636</v>
      </c>
      <c r="BT35" s="1052">
        <v>2799629.4871845697</v>
      </c>
      <c r="BU35" s="1052">
        <v>2594181.1313247592</v>
      </c>
      <c r="BV35" s="1052">
        <v>189722.51910572636</v>
      </c>
      <c r="BW35" s="1052" t="s">
        <v>1637</v>
      </c>
      <c r="BX35" s="1052">
        <v>5346.9</v>
      </c>
      <c r="BY35" s="1053">
        <v>1634361.7920294846</v>
      </c>
      <c r="BZ35" s="1053">
        <v>64223.613422818788</v>
      </c>
      <c r="CA35" s="1053">
        <v>2537077.207386232</v>
      </c>
      <c r="CB35" s="1053">
        <v>9324.9940362863308</v>
      </c>
      <c r="CC35" s="1053" t="s">
        <v>1637</v>
      </c>
      <c r="CD35" s="1053" t="s">
        <v>1637</v>
      </c>
      <c r="CE35" s="1053">
        <v>5346.9</v>
      </c>
      <c r="CF35" s="1051">
        <v>1050514.2069780356</v>
      </c>
      <c r="CG35" s="1051">
        <v>1475555.42503712</v>
      </c>
      <c r="CH35" s="1051" t="s">
        <v>1637</v>
      </c>
      <c r="CI35" s="1051">
        <v>70.5</v>
      </c>
      <c r="CJ35" s="1051">
        <v>109</v>
      </c>
      <c r="CK35" s="1051">
        <v>169081</v>
      </c>
      <c r="CL35" s="1051" t="s">
        <v>1637</v>
      </c>
      <c r="CM35" s="1051">
        <v>13279.46497460359</v>
      </c>
      <c r="CN35" s="1051">
        <v>1970894.4880138319</v>
      </c>
      <c r="CO35" s="1051">
        <v>68625.643310927713</v>
      </c>
      <c r="CP35" s="1051">
        <v>554661</v>
      </c>
      <c r="CQ35" s="1051" t="s">
        <v>1637</v>
      </c>
      <c r="CR35" s="1051" t="s">
        <v>1637</v>
      </c>
      <c r="CS35" s="1051">
        <v>180397.52506944002</v>
      </c>
      <c r="CT35" s="1051" t="s">
        <v>1637</v>
      </c>
      <c r="CU35" s="1051" t="s">
        <v>1637</v>
      </c>
      <c r="CV35" s="1051">
        <v>9324.9940362863308</v>
      </c>
      <c r="CW35" s="1118">
        <v>1077053.3040291169</v>
      </c>
      <c r="CX35" s="1118">
        <v>1540036.2181808494</v>
      </c>
      <c r="CY35" s="1118" t="s">
        <v>1637</v>
      </c>
      <c r="CZ35" s="1118">
        <v>70.5</v>
      </c>
      <c r="DA35" s="1118">
        <v>109</v>
      </c>
      <c r="DB35" s="1118">
        <v>169081</v>
      </c>
      <c r="DC35" s="1118" t="s">
        <v>1637</v>
      </c>
      <c r="DD35" s="1118">
        <v>13279.46497460359</v>
      </c>
      <c r="DE35" s="1118">
        <v>1970894.4880138319</v>
      </c>
      <c r="DF35" s="1118">
        <v>68625.643310927713</v>
      </c>
      <c r="DG35" s="1118">
        <v>554661</v>
      </c>
      <c r="DH35" s="1118" t="s">
        <v>1637</v>
      </c>
      <c r="DI35" s="1118" t="s">
        <v>1637</v>
      </c>
      <c r="DJ35" s="1118">
        <v>180397.52506944002</v>
      </c>
      <c r="DK35" s="1118" t="s">
        <v>1637</v>
      </c>
      <c r="DL35" s="1118" t="s">
        <v>1637</v>
      </c>
      <c r="DM35" s="1118">
        <v>9324.9940362863308</v>
      </c>
      <c r="DN35" s="1118" t="s">
        <v>1637</v>
      </c>
      <c r="DO35" s="1118" t="s">
        <v>1637</v>
      </c>
      <c r="DP35" s="1118" t="s">
        <v>1637</v>
      </c>
      <c r="DQ35" s="1118">
        <v>5346.9</v>
      </c>
      <c r="DR35" s="1118" t="s">
        <v>1637</v>
      </c>
      <c r="DS35" s="1119" t="s">
        <v>1637</v>
      </c>
      <c r="DT35" s="1120">
        <v>767434.603626</v>
      </c>
      <c r="DU35" s="1120">
        <v>684387.22342888103</v>
      </c>
      <c r="DV35" s="1120" t="s">
        <v>1637</v>
      </c>
      <c r="DW35" s="1120">
        <v>70.5</v>
      </c>
      <c r="DX35" s="1120">
        <v>64223.613422818788</v>
      </c>
      <c r="DY35" s="1120">
        <v>109</v>
      </c>
      <c r="DZ35" s="1120">
        <v>169081</v>
      </c>
      <c r="EA35" s="1120" t="s">
        <v>1637</v>
      </c>
      <c r="EB35" s="1120">
        <v>13279.46497460359</v>
      </c>
      <c r="EC35" s="1120">
        <v>1970894.4880138319</v>
      </c>
      <c r="ED35" s="1120">
        <v>11521.719372400403</v>
      </c>
      <c r="EE35" s="1120">
        <v>554661</v>
      </c>
      <c r="EF35" s="1120" t="s">
        <v>1637</v>
      </c>
      <c r="EG35" s="1120" t="s">
        <v>1637</v>
      </c>
      <c r="EH35" s="1120" t="s">
        <v>1637</v>
      </c>
      <c r="EI35" s="1120" t="s">
        <v>1637</v>
      </c>
      <c r="EJ35" s="1120" t="s">
        <v>1637</v>
      </c>
      <c r="EK35" s="1120">
        <v>9324.9940362863308</v>
      </c>
      <c r="EL35" s="1120" t="s">
        <v>1637</v>
      </c>
      <c r="EM35" s="1120" t="s">
        <v>1637</v>
      </c>
      <c r="EN35" s="1120" t="s">
        <v>1637</v>
      </c>
      <c r="EO35" s="1120">
        <v>5346.9</v>
      </c>
      <c r="EP35" s="1120" t="s">
        <v>1637</v>
      </c>
    </row>
    <row r="36" spans="1:146" s="1121" customFormat="1" ht="15" customHeight="1">
      <c r="A36" s="15"/>
      <c r="B36" s="1055" t="s">
        <v>1756</v>
      </c>
      <c r="C36" s="1055" t="s">
        <v>1737</v>
      </c>
      <c r="D36" s="1048" t="s">
        <v>1141</v>
      </c>
      <c r="E36" s="1055" t="s">
        <v>687</v>
      </c>
      <c r="F36" s="1049">
        <v>2012</v>
      </c>
      <c r="G36" s="1049">
        <v>634535</v>
      </c>
      <c r="H36" s="1049">
        <v>215</v>
      </c>
      <c r="I36" s="1043">
        <v>48900000000</v>
      </c>
      <c r="J36" s="1051">
        <v>528855.079794358</v>
      </c>
      <c r="K36" s="1051">
        <v>29183.962546194882</v>
      </c>
      <c r="L36" s="1052" t="s">
        <v>177</v>
      </c>
      <c r="M36" s="1051">
        <v>738344.41832332755</v>
      </c>
      <c r="N36" s="1051">
        <v>131044.14206086134</v>
      </c>
      <c r="O36" s="1052" t="s">
        <v>177</v>
      </c>
      <c r="P36" s="1051">
        <v>478144.64186621003</v>
      </c>
      <c r="Q36" s="1051">
        <v>10711.95427714908</v>
      </c>
      <c r="R36" s="1052" t="s">
        <v>177</v>
      </c>
      <c r="S36" s="1051" t="s">
        <v>175</v>
      </c>
      <c r="T36" s="1051" t="s">
        <v>175</v>
      </c>
      <c r="U36" s="1052" t="s">
        <v>175</v>
      </c>
      <c r="V36" s="1053">
        <v>76135.31563087285</v>
      </c>
      <c r="W36" s="1051" t="s">
        <v>175</v>
      </c>
      <c r="X36" s="1051" t="s">
        <v>175</v>
      </c>
      <c r="Y36" s="1052" t="s">
        <v>175</v>
      </c>
      <c r="Z36" s="1051" t="s">
        <v>175</v>
      </c>
      <c r="AA36" s="1051" t="s">
        <v>175</v>
      </c>
      <c r="AB36" s="1052" t="s">
        <v>175</v>
      </c>
      <c r="AC36" s="1051" t="s">
        <v>175</v>
      </c>
      <c r="AD36" s="1051">
        <v>14892.150118021164</v>
      </c>
      <c r="AE36" s="1051">
        <v>2142773.5754222055</v>
      </c>
      <c r="AF36" s="1051" t="s">
        <v>175</v>
      </c>
      <c r="AG36" s="1052" t="s">
        <v>177</v>
      </c>
      <c r="AH36" s="1051">
        <v>64352.532031178234</v>
      </c>
      <c r="AI36" s="1051">
        <v>228.5609457331839</v>
      </c>
      <c r="AJ36" s="1052" t="s">
        <v>177</v>
      </c>
      <c r="AK36" s="1051">
        <v>179760.36383026894</v>
      </c>
      <c r="AL36" s="1051" t="s">
        <v>175</v>
      </c>
      <c r="AM36" s="1052" t="s">
        <v>175</v>
      </c>
      <c r="AN36" s="1051" t="s">
        <v>175</v>
      </c>
      <c r="AO36" s="1051" t="s">
        <v>175</v>
      </c>
      <c r="AP36" s="1052">
        <v>913981.86843026942</v>
      </c>
      <c r="AQ36" s="1051" t="s">
        <v>175</v>
      </c>
      <c r="AR36" s="1051" t="s">
        <v>175</v>
      </c>
      <c r="AS36" s="1052" t="s">
        <v>175</v>
      </c>
      <c r="AT36" s="1051" t="s">
        <v>175</v>
      </c>
      <c r="AU36" s="1051">
        <v>45085</v>
      </c>
      <c r="AV36" s="1053" t="s">
        <v>175</v>
      </c>
      <c r="AW36" s="1051" t="s">
        <v>175</v>
      </c>
      <c r="AX36" s="1051" t="s">
        <v>175</v>
      </c>
      <c r="AY36" s="1053" t="s">
        <v>175</v>
      </c>
      <c r="AZ36" s="1051" t="s">
        <v>175</v>
      </c>
      <c r="BA36" s="1051" t="s">
        <v>175</v>
      </c>
      <c r="BB36" s="1053" t="s">
        <v>175</v>
      </c>
      <c r="BC36" s="1051">
        <v>1893.6372978030768</v>
      </c>
      <c r="BD36" s="1051" t="s">
        <v>175</v>
      </c>
      <c r="BE36" s="1053" t="s">
        <v>175</v>
      </c>
      <c r="BF36" s="1052">
        <v>408257</v>
      </c>
      <c r="BG36" s="1052">
        <v>235454.56268919128</v>
      </c>
      <c r="BH36" s="1052" t="s">
        <v>177</v>
      </c>
      <c r="BI36" s="1052" t="s">
        <v>177</v>
      </c>
      <c r="BJ36" s="1052" t="s">
        <v>177</v>
      </c>
      <c r="BK36" s="1054" t="s">
        <v>177</v>
      </c>
      <c r="BL36" s="1055" t="s">
        <v>1756</v>
      </c>
      <c r="BM36" s="1051">
        <v>4365270.0185133107</v>
      </c>
      <c r="BN36" s="1052">
        <v>5922963.4496327722</v>
      </c>
      <c r="BO36" s="1054">
        <v>5922963.4496327722</v>
      </c>
      <c r="BP36" s="1053">
        <v>4868863.2770034373</v>
      </c>
      <c r="BQ36" s="1051">
        <v>1931176.3489861221</v>
      </c>
      <c r="BR36" s="1051">
        <v>2387115.0322293853</v>
      </c>
      <c r="BS36" s="1051">
        <v>46978.637297803078</v>
      </c>
      <c r="BT36" s="1052">
        <v>1931176.3489861221</v>
      </c>
      <c r="BU36" s="1052">
        <v>3301096.9006596548</v>
      </c>
      <c r="BV36" s="1052">
        <v>46978.637297803078</v>
      </c>
      <c r="BW36" s="1052">
        <v>643711.56268919131</v>
      </c>
      <c r="BX36" s="1052" t="s">
        <v>1637</v>
      </c>
      <c r="BY36" s="1053">
        <v>1760236.2901019168</v>
      </c>
      <c r="BZ36" s="1053">
        <v>76135.31563087285</v>
      </c>
      <c r="CA36" s="1053">
        <v>2386886.4712836524</v>
      </c>
      <c r="CB36" s="1053">
        <v>1893.6372978030768</v>
      </c>
      <c r="CC36" s="1053" t="s">
        <v>1637</v>
      </c>
      <c r="CD36" s="1053">
        <v>643711.56268919131</v>
      </c>
      <c r="CE36" s="1053" t="s">
        <v>1637</v>
      </c>
      <c r="CF36" s="1051">
        <v>558039.0423405529</v>
      </c>
      <c r="CG36" s="1051">
        <v>869388.5603841889</v>
      </c>
      <c r="CH36" s="1051">
        <v>488856.59614335909</v>
      </c>
      <c r="CI36" s="1051" t="s">
        <v>1637</v>
      </c>
      <c r="CJ36" s="1051" t="s">
        <v>1637</v>
      </c>
      <c r="CK36" s="1051" t="s">
        <v>1637</v>
      </c>
      <c r="CL36" s="1051" t="s">
        <v>1637</v>
      </c>
      <c r="CM36" s="1051">
        <v>14892.150118021164</v>
      </c>
      <c r="CN36" s="1051">
        <v>2142773.5754222055</v>
      </c>
      <c r="CO36" s="1051">
        <v>64581.092976911415</v>
      </c>
      <c r="CP36" s="1051">
        <v>179760.36383026894</v>
      </c>
      <c r="CQ36" s="1051" t="s">
        <v>1637</v>
      </c>
      <c r="CR36" s="1051" t="s">
        <v>1637</v>
      </c>
      <c r="CS36" s="1051">
        <v>45085</v>
      </c>
      <c r="CT36" s="1051" t="s">
        <v>1637</v>
      </c>
      <c r="CU36" s="1051" t="s">
        <v>1637</v>
      </c>
      <c r="CV36" s="1051">
        <v>1893.6372978030768</v>
      </c>
      <c r="CW36" s="1118">
        <v>558039.0423405529</v>
      </c>
      <c r="CX36" s="1118">
        <v>869388.5603841889</v>
      </c>
      <c r="CY36" s="1118">
        <v>488856.59614335909</v>
      </c>
      <c r="CZ36" s="1118" t="s">
        <v>1637</v>
      </c>
      <c r="DA36" s="1118" t="s">
        <v>1637</v>
      </c>
      <c r="DB36" s="1118" t="s">
        <v>1637</v>
      </c>
      <c r="DC36" s="1118" t="s">
        <v>1637</v>
      </c>
      <c r="DD36" s="1118">
        <v>14892.150118021164</v>
      </c>
      <c r="DE36" s="1118">
        <v>2142773.5754222055</v>
      </c>
      <c r="DF36" s="1118">
        <v>64581.092976911415</v>
      </c>
      <c r="DG36" s="1118">
        <v>179760.36383026894</v>
      </c>
      <c r="DH36" s="1118">
        <v>913981.86843026942</v>
      </c>
      <c r="DI36" s="1118" t="s">
        <v>1637</v>
      </c>
      <c r="DJ36" s="1118">
        <v>45085</v>
      </c>
      <c r="DK36" s="1118" t="s">
        <v>1637</v>
      </c>
      <c r="DL36" s="1118" t="s">
        <v>1637</v>
      </c>
      <c r="DM36" s="1118">
        <v>1893.6372978030768</v>
      </c>
      <c r="DN36" s="1118">
        <v>408257</v>
      </c>
      <c r="DO36" s="1118">
        <v>235454.56268919128</v>
      </c>
      <c r="DP36" s="1118" t="s">
        <v>1637</v>
      </c>
      <c r="DQ36" s="1118" t="s">
        <v>1637</v>
      </c>
      <c r="DR36" s="1118" t="s">
        <v>1637</v>
      </c>
      <c r="DS36" s="1119" t="s">
        <v>1637</v>
      </c>
      <c r="DT36" s="1120">
        <v>528855.079794358</v>
      </c>
      <c r="DU36" s="1120">
        <v>738344.41832332755</v>
      </c>
      <c r="DV36" s="1120">
        <v>478144.64186621003</v>
      </c>
      <c r="DW36" s="1120" t="s">
        <v>1637</v>
      </c>
      <c r="DX36" s="1120">
        <v>76135.31563087285</v>
      </c>
      <c r="DY36" s="1120" t="s">
        <v>1637</v>
      </c>
      <c r="DZ36" s="1120" t="s">
        <v>1637</v>
      </c>
      <c r="EA36" s="1120" t="s">
        <v>1637</v>
      </c>
      <c r="EB36" s="1120">
        <v>14892.150118021164</v>
      </c>
      <c r="EC36" s="1120">
        <v>2142773.5754222055</v>
      </c>
      <c r="ED36" s="1120">
        <v>64352.532031178234</v>
      </c>
      <c r="EE36" s="1120">
        <v>179760.36383026894</v>
      </c>
      <c r="EF36" s="1120" t="s">
        <v>1637</v>
      </c>
      <c r="EG36" s="1120" t="s">
        <v>1637</v>
      </c>
      <c r="EH36" s="1120" t="s">
        <v>1637</v>
      </c>
      <c r="EI36" s="1120" t="s">
        <v>1637</v>
      </c>
      <c r="EJ36" s="1120" t="s">
        <v>1637</v>
      </c>
      <c r="EK36" s="1120">
        <v>1893.6372978030768</v>
      </c>
      <c r="EL36" s="1120">
        <v>408257</v>
      </c>
      <c r="EM36" s="1120">
        <v>235454.56268919128</v>
      </c>
      <c r="EN36" s="1120" t="s">
        <v>1637</v>
      </c>
      <c r="EO36" s="1120" t="s">
        <v>1637</v>
      </c>
      <c r="EP36" s="1120" t="s">
        <v>1637</v>
      </c>
    </row>
    <row r="37" spans="1:146" s="1121" customFormat="1" ht="15" customHeight="1">
      <c r="A37"/>
      <c r="B37" s="1055" t="s">
        <v>1746</v>
      </c>
      <c r="C37" s="1055" t="s">
        <v>1174</v>
      </c>
      <c r="D37" s="1055" t="s">
        <v>1134</v>
      </c>
      <c r="E37" s="1055" t="s">
        <v>687</v>
      </c>
      <c r="F37" s="1049">
        <v>2012</v>
      </c>
      <c r="G37" s="1049">
        <v>881235</v>
      </c>
      <c r="H37" s="1049">
        <v>216</v>
      </c>
      <c r="I37" s="1043">
        <v>416797000000</v>
      </c>
      <c r="J37" s="1051">
        <v>81221.145000000004</v>
      </c>
      <c r="K37" s="1051">
        <v>613044.81095000007</v>
      </c>
      <c r="L37" s="1052">
        <v>31087.049449999995</v>
      </c>
      <c r="M37" s="1051">
        <v>61503.056500000006</v>
      </c>
      <c r="N37" s="1051">
        <v>414504.66404999996</v>
      </c>
      <c r="O37" s="1052">
        <v>21816.034950000001</v>
      </c>
      <c r="P37" s="1051">
        <v>13902.848499999998</v>
      </c>
      <c r="Q37" s="1051">
        <v>36599.89</v>
      </c>
      <c r="R37" s="1052">
        <v>1926.31</v>
      </c>
      <c r="S37" s="1051" t="s">
        <v>176</v>
      </c>
      <c r="T37" s="1051" t="s">
        <v>176</v>
      </c>
      <c r="U37" s="1052" t="s">
        <v>176</v>
      </c>
      <c r="V37" s="1053">
        <v>1006657.2699999998</v>
      </c>
      <c r="W37" s="1051" t="s">
        <v>175</v>
      </c>
      <c r="X37" s="1051" t="s">
        <v>175</v>
      </c>
      <c r="Y37" s="1052" t="s">
        <v>175</v>
      </c>
      <c r="Z37" s="1051" t="s">
        <v>175</v>
      </c>
      <c r="AA37" s="1051" t="s">
        <v>175</v>
      </c>
      <c r="AB37" s="1052" t="s">
        <v>175</v>
      </c>
      <c r="AC37" s="1051" t="s">
        <v>175</v>
      </c>
      <c r="AD37" s="1051">
        <v>33</v>
      </c>
      <c r="AE37" s="1051">
        <v>648378</v>
      </c>
      <c r="AF37" s="1051" t="s">
        <v>176</v>
      </c>
      <c r="AG37" s="1052" t="s">
        <v>177</v>
      </c>
      <c r="AH37" s="1051" t="s">
        <v>175</v>
      </c>
      <c r="AI37" s="1051">
        <v>33190.625</v>
      </c>
      <c r="AJ37" s="1052">
        <v>1746.875</v>
      </c>
      <c r="AK37" s="1051">
        <v>92000</v>
      </c>
      <c r="AL37" s="1051" t="s">
        <v>176</v>
      </c>
      <c r="AM37" s="1052" t="s">
        <v>177</v>
      </c>
      <c r="AN37" s="1051">
        <v>19900</v>
      </c>
      <c r="AO37" s="1051" t="s">
        <v>175</v>
      </c>
      <c r="AP37" s="1052" t="s">
        <v>177</v>
      </c>
      <c r="AQ37" s="1051">
        <v>121400</v>
      </c>
      <c r="AR37" s="1051" t="s">
        <v>176</v>
      </c>
      <c r="AS37" s="1052" t="s">
        <v>175</v>
      </c>
      <c r="AT37" s="1051" t="s">
        <v>175</v>
      </c>
      <c r="AU37" s="1051" t="s">
        <v>175</v>
      </c>
      <c r="AV37" s="1053" t="s">
        <v>175</v>
      </c>
      <c r="AW37" s="1051" t="s">
        <v>176</v>
      </c>
      <c r="AX37" s="1051" t="s">
        <v>176</v>
      </c>
      <c r="AY37" s="1053" t="s">
        <v>175</v>
      </c>
      <c r="AZ37" s="1051" t="s">
        <v>176</v>
      </c>
      <c r="BA37" s="1051" t="s">
        <v>175</v>
      </c>
      <c r="BB37" s="1053" t="s">
        <v>176</v>
      </c>
      <c r="BC37" s="1051">
        <v>7763.3378900000007</v>
      </c>
      <c r="BD37" s="1051" t="s">
        <v>176</v>
      </c>
      <c r="BE37" s="1053">
        <v>2318.9191100000003</v>
      </c>
      <c r="BF37" s="1052" t="s">
        <v>177</v>
      </c>
      <c r="BG37" s="1052" t="s">
        <v>177</v>
      </c>
      <c r="BH37" s="1052" t="s">
        <v>177</v>
      </c>
      <c r="BI37" s="1052" t="s">
        <v>177</v>
      </c>
      <c r="BJ37" s="1052" t="s">
        <v>177</v>
      </c>
      <c r="BK37" s="1054">
        <v>453622.99</v>
      </c>
      <c r="BL37" s="1117" t="s">
        <v>1746</v>
      </c>
      <c r="BM37" s="1051">
        <v>2143441.3778900001</v>
      </c>
      <c r="BN37" s="1052">
        <v>2200017.6472900002</v>
      </c>
      <c r="BO37" s="1054">
        <v>2653640.63729</v>
      </c>
      <c r="BP37" s="1053">
        <v>2055077.5769999998</v>
      </c>
      <c r="BQ37" s="1051">
        <v>1220809.415</v>
      </c>
      <c r="BR37" s="1051">
        <v>914868.625</v>
      </c>
      <c r="BS37" s="1051">
        <v>7763.3378900000007</v>
      </c>
      <c r="BT37" s="1052">
        <v>1275638.8094000001</v>
      </c>
      <c r="BU37" s="1052">
        <v>916615.5</v>
      </c>
      <c r="BV37" s="1052">
        <v>7763.3378900000007</v>
      </c>
      <c r="BW37" s="1052" t="s">
        <v>1637</v>
      </c>
      <c r="BX37" s="1052" t="s">
        <v>1637</v>
      </c>
      <c r="BY37" s="1053">
        <v>156660.05000000002</v>
      </c>
      <c r="BZ37" s="1053">
        <v>1006657.2699999998</v>
      </c>
      <c r="CA37" s="1053">
        <v>881678</v>
      </c>
      <c r="CB37" s="1053">
        <v>7763.3378900000007</v>
      </c>
      <c r="CC37" s="1053">
        <v>2318.9191100000003</v>
      </c>
      <c r="CD37" s="1053" t="s">
        <v>1637</v>
      </c>
      <c r="CE37" s="1053" t="s">
        <v>1637</v>
      </c>
      <c r="CF37" s="1051">
        <v>694265.95595000009</v>
      </c>
      <c r="CG37" s="1051">
        <v>476007.72054999997</v>
      </c>
      <c r="CH37" s="1051">
        <v>50502.738499999999</v>
      </c>
      <c r="CI37" s="1051" t="s">
        <v>1637</v>
      </c>
      <c r="CJ37" s="1051" t="s">
        <v>1637</v>
      </c>
      <c r="CK37" s="1051" t="s">
        <v>1637</v>
      </c>
      <c r="CL37" s="1051" t="s">
        <v>1637</v>
      </c>
      <c r="CM37" s="1051">
        <v>33</v>
      </c>
      <c r="CN37" s="1051">
        <v>648378</v>
      </c>
      <c r="CO37" s="1051">
        <v>33190.625</v>
      </c>
      <c r="CP37" s="1051">
        <v>92000</v>
      </c>
      <c r="CQ37" s="1051">
        <v>19900</v>
      </c>
      <c r="CR37" s="1051">
        <v>121400</v>
      </c>
      <c r="CS37" s="1051" t="s">
        <v>1637</v>
      </c>
      <c r="CT37" s="1051" t="s">
        <v>1637</v>
      </c>
      <c r="CU37" s="1051" t="s">
        <v>1637</v>
      </c>
      <c r="CV37" s="1051">
        <v>7763.3378900000007</v>
      </c>
      <c r="CW37" s="1118">
        <v>725353.00540000014</v>
      </c>
      <c r="CX37" s="1118">
        <v>497823.75549999997</v>
      </c>
      <c r="CY37" s="1118">
        <v>52429.048499999997</v>
      </c>
      <c r="CZ37" s="1118" t="s">
        <v>1637</v>
      </c>
      <c r="DA37" s="1118" t="s">
        <v>1637</v>
      </c>
      <c r="DB37" s="1118" t="s">
        <v>1637</v>
      </c>
      <c r="DC37" s="1118" t="s">
        <v>1637</v>
      </c>
      <c r="DD37" s="1118">
        <v>33</v>
      </c>
      <c r="DE37" s="1118">
        <v>648378</v>
      </c>
      <c r="DF37" s="1118">
        <v>34937.5</v>
      </c>
      <c r="DG37" s="1118">
        <v>92000</v>
      </c>
      <c r="DH37" s="1118">
        <v>19900</v>
      </c>
      <c r="DI37" s="1118">
        <v>121400</v>
      </c>
      <c r="DJ37" s="1118" t="s">
        <v>1637</v>
      </c>
      <c r="DK37" s="1118" t="s">
        <v>1637</v>
      </c>
      <c r="DL37" s="1118" t="s">
        <v>1637</v>
      </c>
      <c r="DM37" s="1118">
        <v>7763.3378900000007</v>
      </c>
      <c r="DN37" s="1118" t="s">
        <v>1637</v>
      </c>
      <c r="DO37" s="1118" t="s">
        <v>1637</v>
      </c>
      <c r="DP37" s="1118" t="s">
        <v>1637</v>
      </c>
      <c r="DQ37" s="1118" t="s">
        <v>1637</v>
      </c>
      <c r="DR37" s="1118" t="s">
        <v>1637</v>
      </c>
      <c r="DS37" s="1119">
        <v>453622.99</v>
      </c>
      <c r="DT37" s="1120">
        <v>81221.145000000004</v>
      </c>
      <c r="DU37" s="1120">
        <v>61503.056500000006</v>
      </c>
      <c r="DV37" s="1120">
        <v>13902.848499999998</v>
      </c>
      <c r="DW37" s="1120" t="s">
        <v>1637</v>
      </c>
      <c r="DX37" s="1120">
        <v>1006657.2699999998</v>
      </c>
      <c r="DY37" s="1120" t="s">
        <v>1637</v>
      </c>
      <c r="DZ37" s="1120" t="s">
        <v>1637</v>
      </c>
      <c r="EA37" s="1120" t="s">
        <v>1637</v>
      </c>
      <c r="EB37" s="1120">
        <v>33</v>
      </c>
      <c r="EC37" s="1120">
        <v>648378</v>
      </c>
      <c r="ED37" s="1120" t="s">
        <v>1637</v>
      </c>
      <c r="EE37" s="1120">
        <v>92000</v>
      </c>
      <c r="EF37" s="1120">
        <v>19900</v>
      </c>
      <c r="EG37" s="1120">
        <v>121400</v>
      </c>
      <c r="EH37" s="1120" t="s">
        <v>1637</v>
      </c>
      <c r="EI37" s="1120" t="s">
        <v>1637</v>
      </c>
      <c r="EJ37" s="1120" t="s">
        <v>1637</v>
      </c>
      <c r="EK37" s="1120">
        <v>10082.257000000001</v>
      </c>
      <c r="EL37" s="1120" t="s">
        <v>1637</v>
      </c>
      <c r="EM37" s="1120" t="s">
        <v>1637</v>
      </c>
      <c r="EN37" s="1120" t="s">
        <v>1637</v>
      </c>
      <c r="EO37" s="1120" t="s">
        <v>1637</v>
      </c>
      <c r="EP37" s="1120" t="s">
        <v>1637</v>
      </c>
    </row>
    <row r="38" spans="1:146" s="1121" customFormat="1" ht="15" customHeight="1">
      <c r="A38" s="15"/>
      <c r="B38" s="1055" t="s">
        <v>1906</v>
      </c>
      <c r="C38" s="1055" t="s">
        <v>1149</v>
      </c>
      <c r="D38" s="1055" t="s">
        <v>1134</v>
      </c>
      <c r="E38" s="1055" t="s">
        <v>687</v>
      </c>
      <c r="F38" s="1049" t="s">
        <v>1975</v>
      </c>
      <c r="G38" s="1049">
        <v>205728.86297376096</v>
      </c>
      <c r="H38" s="1049">
        <v>26.15</v>
      </c>
      <c r="I38" s="1043">
        <v>73012549539.320007</v>
      </c>
      <c r="J38" s="1051">
        <v>68201.214473184664</v>
      </c>
      <c r="K38" s="1051">
        <v>345461.01185999997</v>
      </c>
      <c r="L38" s="1052" t="s">
        <v>176</v>
      </c>
      <c r="M38" s="1051">
        <v>111975.40561073429</v>
      </c>
      <c r="N38" s="1051">
        <v>2766482.2709999997</v>
      </c>
      <c r="O38" s="1052" t="s">
        <v>176</v>
      </c>
      <c r="P38" s="1051" t="s">
        <v>176</v>
      </c>
      <c r="Q38" s="1051" t="s">
        <v>176</v>
      </c>
      <c r="R38" s="1052" t="s">
        <v>176</v>
      </c>
      <c r="S38" s="1051" t="s">
        <v>175</v>
      </c>
      <c r="T38" s="1051" t="s">
        <v>175</v>
      </c>
      <c r="U38" s="1052" t="s">
        <v>175</v>
      </c>
      <c r="V38" s="1053" t="s">
        <v>175</v>
      </c>
      <c r="W38" s="1051" t="s">
        <v>175</v>
      </c>
      <c r="X38" s="1051" t="s">
        <v>175</v>
      </c>
      <c r="Y38" s="1052" t="s">
        <v>175</v>
      </c>
      <c r="Z38" s="1051" t="s">
        <v>175</v>
      </c>
      <c r="AA38" s="1051" t="s">
        <v>175</v>
      </c>
      <c r="AB38" s="1052" t="s">
        <v>175</v>
      </c>
      <c r="AC38" s="1051" t="s">
        <v>175</v>
      </c>
      <c r="AD38" s="1051">
        <v>15234.665096891125</v>
      </c>
      <c r="AE38" s="1051">
        <v>158795.11042066236</v>
      </c>
      <c r="AF38" s="1051" t="s">
        <v>175</v>
      </c>
      <c r="AG38" s="1052">
        <v>317590.22084132471</v>
      </c>
      <c r="AH38" s="1051" t="s">
        <v>175</v>
      </c>
      <c r="AI38" s="1051">
        <v>85521.344031772387</v>
      </c>
      <c r="AJ38" s="1052">
        <v>171042.68806354477</v>
      </c>
      <c r="AK38" s="1051">
        <v>4857.6167573512748</v>
      </c>
      <c r="AL38" s="1051" t="s">
        <v>175</v>
      </c>
      <c r="AM38" s="1052">
        <v>9715.2335147025497</v>
      </c>
      <c r="AN38" s="1051" t="s">
        <v>175</v>
      </c>
      <c r="AO38" s="1051" t="s">
        <v>175</v>
      </c>
      <c r="AP38" s="1052" t="s">
        <v>177</v>
      </c>
      <c r="AQ38" s="1051" t="s">
        <v>176</v>
      </c>
      <c r="AR38" s="1051" t="s">
        <v>175</v>
      </c>
      <c r="AS38" s="1052" t="s">
        <v>177</v>
      </c>
      <c r="AT38" s="1051" t="s">
        <v>175</v>
      </c>
      <c r="AU38" s="1051">
        <v>175018.5</v>
      </c>
      <c r="AV38" s="1053" t="s">
        <v>175</v>
      </c>
      <c r="AW38" s="1051" t="s">
        <v>175</v>
      </c>
      <c r="AX38" s="1051">
        <v>195.83959999999999</v>
      </c>
      <c r="AY38" s="1053" t="s">
        <v>175</v>
      </c>
      <c r="AZ38" s="1051" t="s">
        <v>175</v>
      </c>
      <c r="BA38" s="1051" t="s">
        <v>175</v>
      </c>
      <c r="BB38" s="1053" t="s">
        <v>175</v>
      </c>
      <c r="BC38" s="1051" t="s">
        <v>175</v>
      </c>
      <c r="BD38" s="1051">
        <v>5119.8869837900875</v>
      </c>
      <c r="BE38" s="1053" t="s">
        <v>175</v>
      </c>
      <c r="BF38" s="1052" t="s">
        <v>177</v>
      </c>
      <c r="BG38" s="1052" t="s">
        <v>177</v>
      </c>
      <c r="BH38" s="1052" t="s">
        <v>177</v>
      </c>
      <c r="BI38" s="1052" t="s">
        <v>177</v>
      </c>
      <c r="BJ38" s="1052" t="s">
        <v>177</v>
      </c>
      <c r="BK38" s="1054">
        <v>518805.89412175561</v>
      </c>
      <c r="BL38" s="1055" t="s">
        <v>1906</v>
      </c>
      <c r="BM38" s="1051">
        <v>3736862.8658343856</v>
      </c>
      <c r="BN38" s="1052">
        <v>4235211.0082539581</v>
      </c>
      <c r="BO38" s="1054">
        <v>4754016.9023757139</v>
      </c>
      <c r="BP38" s="1053">
        <v>359064.01235882367</v>
      </c>
      <c r="BQ38" s="1051">
        <v>3307354.5680408096</v>
      </c>
      <c r="BR38" s="1051">
        <v>249174.07120978599</v>
      </c>
      <c r="BS38" s="1051">
        <v>180334.22658379009</v>
      </c>
      <c r="BT38" s="1052">
        <v>3307354.5680408096</v>
      </c>
      <c r="BU38" s="1052">
        <v>747522.21362935798</v>
      </c>
      <c r="BV38" s="1052">
        <v>180334.22658379009</v>
      </c>
      <c r="BW38" s="1052" t="s">
        <v>1637</v>
      </c>
      <c r="BX38" s="1052" t="s">
        <v>1637</v>
      </c>
      <c r="BY38" s="1053">
        <v>195411.28518081008</v>
      </c>
      <c r="BZ38" s="1053" t="s">
        <v>1637</v>
      </c>
      <c r="CA38" s="1053">
        <v>163652.72717801362</v>
      </c>
      <c r="CB38" s="1053" t="s">
        <v>1637</v>
      </c>
      <c r="CC38" s="1053" t="s">
        <v>1637</v>
      </c>
      <c r="CD38" s="1053" t="s">
        <v>1637</v>
      </c>
      <c r="CE38" s="1053" t="s">
        <v>1637</v>
      </c>
      <c r="CF38" s="1051">
        <v>413662.22633318463</v>
      </c>
      <c r="CG38" s="1051">
        <v>2878457.6766107338</v>
      </c>
      <c r="CH38" s="1051" t="s">
        <v>1637</v>
      </c>
      <c r="CI38" s="1051" t="s">
        <v>1637</v>
      </c>
      <c r="CJ38" s="1051" t="s">
        <v>1637</v>
      </c>
      <c r="CK38" s="1051" t="s">
        <v>1637</v>
      </c>
      <c r="CL38" s="1051" t="s">
        <v>1637</v>
      </c>
      <c r="CM38" s="1051">
        <v>15234.665096891125</v>
      </c>
      <c r="CN38" s="1051">
        <v>158795.11042066236</v>
      </c>
      <c r="CO38" s="1051">
        <v>85521.344031772387</v>
      </c>
      <c r="CP38" s="1051">
        <v>4857.6167573512748</v>
      </c>
      <c r="CQ38" s="1051" t="s">
        <v>1637</v>
      </c>
      <c r="CR38" s="1051" t="s">
        <v>1637</v>
      </c>
      <c r="CS38" s="1051">
        <v>175018.5</v>
      </c>
      <c r="CT38" s="1051">
        <v>195.83959999999999</v>
      </c>
      <c r="CU38" s="1051" t="s">
        <v>1637</v>
      </c>
      <c r="CV38" s="1051">
        <v>5119.8869837900875</v>
      </c>
      <c r="CW38" s="1118">
        <v>413662.22633318463</v>
      </c>
      <c r="CX38" s="1118">
        <v>2878457.6766107338</v>
      </c>
      <c r="CY38" s="1118" t="s">
        <v>1637</v>
      </c>
      <c r="CZ38" s="1118" t="s">
        <v>1637</v>
      </c>
      <c r="DA38" s="1118" t="s">
        <v>1637</v>
      </c>
      <c r="DB38" s="1118" t="s">
        <v>1637</v>
      </c>
      <c r="DC38" s="1118" t="s">
        <v>1637</v>
      </c>
      <c r="DD38" s="1118">
        <v>15234.665096891125</v>
      </c>
      <c r="DE38" s="1118">
        <v>476385.3312619871</v>
      </c>
      <c r="DF38" s="1118">
        <v>256564.03209531715</v>
      </c>
      <c r="DG38" s="1118">
        <v>14572.850272053824</v>
      </c>
      <c r="DH38" s="1118" t="s">
        <v>1637</v>
      </c>
      <c r="DI38" s="1118" t="s">
        <v>1637</v>
      </c>
      <c r="DJ38" s="1118">
        <v>175018.5</v>
      </c>
      <c r="DK38" s="1118">
        <v>195.83959999999999</v>
      </c>
      <c r="DL38" s="1118" t="s">
        <v>1637</v>
      </c>
      <c r="DM38" s="1118">
        <v>5119.8869837900875</v>
      </c>
      <c r="DN38" s="1118" t="s">
        <v>1637</v>
      </c>
      <c r="DO38" s="1118" t="s">
        <v>1637</v>
      </c>
      <c r="DP38" s="1118" t="s">
        <v>1637</v>
      </c>
      <c r="DQ38" s="1118" t="s">
        <v>1637</v>
      </c>
      <c r="DR38" s="1118" t="s">
        <v>1637</v>
      </c>
      <c r="DS38" s="1119">
        <v>518805.89412175561</v>
      </c>
      <c r="DT38" s="1120">
        <v>68201.214473184664</v>
      </c>
      <c r="DU38" s="1120">
        <v>111975.40561073429</v>
      </c>
      <c r="DV38" s="1120" t="s">
        <v>1637</v>
      </c>
      <c r="DW38" s="1120" t="s">
        <v>1637</v>
      </c>
      <c r="DX38" s="1120" t="s">
        <v>1637</v>
      </c>
      <c r="DY38" s="1120" t="s">
        <v>1637</v>
      </c>
      <c r="DZ38" s="1120" t="s">
        <v>1637</v>
      </c>
      <c r="EA38" s="1120" t="s">
        <v>1637</v>
      </c>
      <c r="EB38" s="1120">
        <v>15234.665096891125</v>
      </c>
      <c r="EC38" s="1120">
        <v>158795.11042066236</v>
      </c>
      <c r="ED38" s="1120" t="s">
        <v>1637</v>
      </c>
      <c r="EE38" s="1120">
        <v>4857.6167573512748</v>
      </c>
      <c r="EF38" s="1120" t="s">
        <v>1637</v>
      </c>
      <c r="EG38" s="1120" t="s">
        <v>1637</v>
      </c>
      <c r="EH38" s="1120" t="s">
        <v>1637</v>
      </c>
      <c r="EI38" s="1120" t="s">
        <v>1637</v>
      </c>
      <c r="EJ38" s="1120" t="s">
        <v>1637</v>
      </c>
      <c r="EK38" s="1120" t="s">
        <v>1637</v>
      </c>
      <c r="EL38" s="1120" t="s">
        <v>1637</v>
      </c>
      <c r="EM38" s="1120" t="s">
        <v>1637</v>
      </c>
      <c r="EN38" s="1120" t="s">
        <v>1637</v>
      </c>
      <c r="EO38" s="1120" t="s">
        <v>1637</v>
      </c>
      <c r="EP38" s="1120" t="s">
        <v>1637</v>
      </c>
    </row>
    <row r="39" spans="1:146" s="1121" customFormat="1" ht="15" customHeight="1">
      <c r="A39" s="15"/>
      <c r="B39" s="1055" t="s">
        <v>1739</v>
      </c>
      <c r="C39" s="1055" t="s">
        <v>1143</v>
      </c>
      <c r="D39" s="1055" t="s">
        <v>1134</v>
      </c>
      <c r="E39" s="1055" t="s">
        <v>689</v>
      </c>
      <c r="F39" s="1049">
        <v>2013</v>
      </c>
      <c r="G39" s="1049">
        <v>2741280</v>
      </c>
      <c r="H39" s="1049">
        <v>641</v>
      </c>
      <c r="I39" s="1043">
        <v>157000000000</v>
      </c>
      <c r="J39" s="1051">
        <v>4207619.0211084448</v>
      </c>
      <c r="K39" s="1051">
        <v>438697.77231659583</v>
      </c>
      <c r="L39" s="1052" t="s">
        <v>177</v>
      </c>
      <c r="M39" s="1051">
        <v>2538630.171705625</v>
      </c>
      <c r="N39" s="1051">
        <v>1486576.374048304</v>
      </c>
      <c r="O39" s="1052" t="s">
        <v>177</v>
      </c>
      <c r="P39" s="1051">
        <v>1021372.86724439</v>
      </c>
      <c r="Q39" s="1051">
        <v>216616.62225834402</v>
      </c>
      <c r="R39" s="1052" t="s">
        <v>177</v>
      </c>
      <c r="S39" s="1051" t="s">
        <v>176</v>
      </c>
      <c r="T39" s="1051" t="s">
        <v>176</v>
      </c>
      <c r="U39" s="1052" t="s">
        <v>177</v>
      </c>
      <c r="V39" s="1053">
        <v>434466.1</v>
      </c>
      <c r="W39" s="1051" t="s">
        <v>175</v>
      </c>
      <c r="X39" s="1051" t="s">
        <v>175</v>
      </c>
      <c r="Y39" s="1052" t="s">
        <v>175</v>
      </c>
      <c r="Z39" s="1051" t="s">
        <v>175</v>
      </c>
      <c r="AA39" s="1051" t="s">
        <v>175</v>
      </c>
      <c r="AB39" s="1052" t="s">
        <v>175</v>
      </c>
      <c r="AC39" s="1051" t="s">
        <v>175</v>
      </c>
      <c r="AD39" s="1051">
        <v>126168.572054652</v>
      </c>
      <c r="AE39" s="1051">
        <v>6892923.9903200874</v>
      </c>
      <c r="AF39" s="1051" t="s">
        <v>176</v>
      </c>
      <c r="AG39" s="1052">
        <v>15197.340155400001</v>
      </c>
      <c r="AH39" s="1051">
        <v>127246.79618769999</v>
      </c>
      <c r="AI39" s="1051">
        <v>28056.248958584001</v>
      </c>
      <c r="AJ39" s="1052" t="s">
        <v>175</v>
      </c>
      <c r="AK39" s="1051">
        <v>1429.0060386829998</v>
      </c>
      <c r="AL39" s="1051" t="s">
        <v>175</v>
      </c>
      <c r="AM39" s="1052" t="s">
        <v>175</v>
      </c>
      <c r="AN39" s="1051" t="s">
        <v>175</v>
      </c>
      <c r="AO39" s="1051" t="s">
        <v>175</v>
      </c>
      <c r="AP39" s="1052" t="s">
        <v>175</v>
      </c>
      <c r="AQ39" s="1051" t="s">
        <v>175</v>
      </c>
      <c r="AR39" s="1051" t="s">
        <v>175</v>
      </c>
      <c r="AS39" s="1052" t="s">
        <v>175</v>
      </c>
      <c r="AT39" s="1051">
        <v>332584.44035270449</v>
      </c>
      <c r="AU39" s="1051">
        <v>1920253.28554313</v>
      </c>
      <c r="AV39" s="1053" t="s">
        <v>175</v>
      </c>
      <c r="AW39" s="1051" t="s">
        <v>175</v>
      </c>
      <c r="AX39" s="1051" t="s">
        <v>175</v>
      </c>
      <c r="AY39" s="1053" t="s">
        <v>175</v>
      </c>
      <c r="AZ39" s="1051" t="s">
        <v>175</v>
      </c>
      <c r="BA39" s="1051" t="s">
        <v>175</v>
      </c>
      <c r="BB39" s="1053" t="s">
        <v>175</v>
      </c>
      <c r="BC39" s="1051">
        <v>26049.807611995813</v>
      </c>
      <c r="BD39" s="1051" t="s">
        <v>175</v>
      </c>
      <c r="BE39" s="1053" t="s">
        <v>175</v>
      </c>
      <c r="BF39" s="1052" t="s">
        <v>177</v>
      </c>
      <c r="BG39" s="1052" t="s">
        <v>177</v>
      </c>
      <c r="BH39" s="1052" t="s">
        <v>177</v>
      </c>
      <c r="BI39" s="1052" t="s">
        <v>177</v>
      </c>
      <c r="BJ39" s="1052" t="s">
        <v>177</v>
      </c>
      <c r="BK39" s="1054" t="s">
        <v>177</v>
      </c>
      <c r="BL39" s="1055" t="s">
        <v>1739</v>
      </c>
      <c r="BM39" s="1051">
        <v>19364224.975749239</v>
      </c>
      <c r="BN39" s="1052">
        <v>19379422.31590464</v>
      </c>
      <c r="BO39" s="1054">
        <v>19379422.31590464</v>
      </c>
      <c r="BP39" s="1053">
        <v>15708490.772624282</v>
      </c>
      <c r="BQ39" s="1051">
        <v>10035681.400736354</v>
      </c>
      <c r="BR39" s="1051">
        <v>7049656.0415050536</v>
      </c>
      <c r="BS39" s="1051">
        <v>2278887.5335078305</v>
      </c>
      <c r="BT39" s="1052">
        <v>10035681.400736354</v>
      </c>
      <c r="BU39" s="1052">
        <v>7064853.381660454</v>
      </c>
      <c r="BV39" s="1052">
        <v>2278887.5335078305</v>
      </c>
      <c r="BW39" s="1052" t="s">
        <v>1637</v>
      </c>
      <c r="BX39" s="1052" t="s">
        <v>1637</v>
      </c>
      <c r="BY39" s="1053">
        <v>7893790.6321131112</v>
      </c>
      <c r="BZ39" s="1053">
        <v>434466.1</v>
      </c>
      <c r="CA39" s="1053">
        <v>7021599.7925464697</v>
      </c>
      <c r="CB39" s="1053">
        <v>358634.24796470033</v>
      </c>
      <c r="CC39" s="1053" t="s">
        <v>1637</v>
      </c>
      <c r="CD39" s="1053" t="s">
        <v>1637</v>
      </c>
      <c r="CE39" s="1053" t="s">
        <v>1637</v>
      </c>
      <c r="CF39" s="1051">
        <v>4646316.7934250403</v>
      </c>
      <c r="CG39" s="1051">
        <v>4025206.5457539288</v>
      </c>
      <c r="CH39" s="1051">
        <v>1237989.489502734</v>
      </c>
      <c r="CI39" s="1051" t="s">
        <v>1637</v>
      </c>
      <c r="CJ39" s="1051" t="s">
        <v>1637</v>
      </c>
      <c r="CK39" s="1051" t="s">
        <v>1637</v>
      </c>
      <c r="CL39" s="1051" t="s">
        <v>1637</v>
      </c>
      <c r="CM39" s="1051">
        <v>126168.572054652</v>
      </c>
      <c r="CN39" s="1051">
        <v>6892923.9903200874</v>
      </c>
      <c r="CO39" s="1051">
        <v>155303.04514628398</v>
      </c>
      <c r="CP39" s="1051">
        <v>1429.0060386829998</v>
      </c>
      <c r="CQ39" s="1051" t="s">
        <v>1637</v>
      </c>
      <c r="CR39" s="1051" t="s">
        <v>1637</v>
      </c>
      <c r="CS39" s="1051">
        <v>2252837.7258958346</v>
      </c>
      <c r="CT39" s="1051" t="s">
        <v>1637</v>
      </c>
      <c r="CU39" s="1051" t="s">
        <v>1637</v>
      </c>
      <c r="CV39" s="1051">
        <v>26049.807611995813</v>
      </c>
      <c r="CW39" s="1118">
        <v>4646316.7934250403</v>
      </c>
      <c r="CX39" s="1118">
        <v>4025206.5457539288</v>
      </c>
      <c r="CY39" s="1118">
        <v>1237989.489502734</v>
      </c>
      <c r="CZ39" s="1118" t="s">
        <v>1637</v>
      </c>
      <c r="DA39" s="1118" t="s">
        <v>1637</v>
      </c>
      <c r="DB39" s="1118" t="s">
        <v>1637</v>
      </c>
      <c r="DC39" s="1118" t="s">
        <v>1637</v>
      </c>
      <c r="DD39" s="1118">
        <v>126168.572054652</v>
      </c>
      <c r="DE39" s="1118">
        <v>6908121.3304754877</v>
      </c>
      <c r="DF39" s="1118">
        <v>155303.04514628398</v>
      </c>
      <c r="DG39" s="1118">
        <v>1429.0060386829998</v>
      </c>
      <c r="DH39" s="1118" t="s">
        <v>1637</v>
      </c>
      <c r="DI39" s="1118" t="s">
        <v>1637</v>
      </c>
      <c r="DJ39" s="1118">
        <v>2252837.7258958346</v>
      </c>
      <c r="DK39" s="1118" t="s">
        <v>1637</v>
      </c>
      <c r="DL39" s="1118" t="s">
        <v>1637</v>
      </c>
      <c r="DM39" s="1118">
        <v>26049.807611995813</v>
      </c>
      <c r="DN39" s="1118" t="s">
        <v>1637</v>
      </c>
      <c r="DO39" s="1118" t="s">
        <v>1637</v>
      </c>
      <c r="DP39" s="1118" t="s">
        <v>1637</v>
      </c>
      <c r="DQ39" s="1118" t="s">
        <v>1637</v>
      </c>
      <c r="DR39" s="1118" t="s">
        <v>1637</v>
      </c>
      <c r="DS39" s="1119" t="s">
        <v>1637</v>
      </c>
      <c r="DT39" s="1120">
        <v>4207619.0211084448</v>
      </c>
      <c r="DU39" s="1120">
        <v>2538630.171705625</v>
      </c>
      <c r="DV39" s="1120">
        <v>1021372.86724439</v>
      </c>
      <c r="DW39" s="1120" t="s">
        <v>1637</v>
      </c>
      <c r="DX39" s="1120">
        <v>434466.1</v>
      </c>
      <c r="DY39" s="1120" t="s">
        <v>1637</v>
      </c>
      <c r="DZ39" s="1120" t="s">
        <v>1637</v>
      </c>
      <c r="EA39" s="1120" t="s">
        <v>1637</v>
      </c>
      <c r="EB39" s="1120">
        <v>126168.572054652</v>
      </c>
      <c r="EC39" s="1120">
        <v>6892923.9903200874</v>
      </c>
      <c r="ED39" s="1120">
        <v>127246.79618769999</v>
      </c>
      <c r="EE39" s="1120">
        <v>1429.0060386829998</v>
      </c>
      <c r="EF39" s="1120" t="s">
        <v>1637</v>
      </c>
      <c r="EG39" s="1120" t="s">
        <v>1637</v>
      </c>
      <c r="EH39" s="1120">
        <v>332584.44035270449</v>
      </c>
      <c r="EI39" s="1120" t="s">
        <v>1637</v>
      </c>
      <c r="EJ39" s="1120" t="s">
        <v>1637</v>
      </c>
      <c r="EK39" s="1120">
        <v>26049.807611995813</v>
      </c>
      <c r="EL39" s="1120" t="s">
        <v>1637</v>
      </c>
      <c r="EM39" s="1120" t="s">
        <v>1637</v>
      </c>
      <c r="EN39" s="1120" t="s">
        <v>1637</v>
      </c>
      <c r="EO39" s="1120" t="s">
        <v>1637</v>
      </c>
      <c r="EP39" s="1120" t="s">
        <v>1637</v>
      </c>
    </row>
    <row r="40" spans="1:146" s="1121" customFormat="1" ht="15" customHeight="1">
      <c r="A40" s="15"/>
      <c r="B40" s="1055" t="s">
        <v>1758</v>
      </c>
      <c r="C40" s="1055" t="s">
        <v>1143</v>
      </c>
      <c r="D40" s="1055" t="s">
        <v>1134</v>
      </c>
      <c r="E40" s="1055" t="s">
        <v>687</v>
      </c>
      <c r="F40" s="1049">
        <v>2014</v>
      </c>
      <c r="G40" s="1049">
        <v>618502</v>
      </c>
      <c r="H40" s="1049">
        <v>114.97</v>
      </c>
      <c r="I40" s="1043">
        <v>84415033680.342926</v>
      </c>
      <c r="J40" s="1051">
        <v>466982.6893956</v>
      </c>
      <c r="K40" s="1051">
        <v>17750.205886706761</v>
      </c>
      <c r="L40" s="1052" t="s">
        <v>177</v>
      </c>
      <c r="M40" s="1051">
        <v>522081.42295680003</v>
      </c>
      <c r="N40" s="1051">
        <v>32733.08956221231</v>
      </c>
      <c r="O40" s="1052" t="s">
        <v>177</v>
      </c>
      <c r="P40" s="1051">
        <v>344905.79996880004</v>
      </c>
      <c r="Q40" s="1051">
        <v>2371.2336036487422</v>
      </c>
      <c r="R40" s="1052" t="s">
        <v>177</v>
      </c>
      <c r="S40" s="1051" t="s">
        <v>176</v>
      </c>
      <c r="T40" s="1051" t="s">
        <v>176</v>
      </c>
      <c r="U40" s="1052" t="s">
        <v>175</v>
      </c>
      <c r="V40" s="1053">
        <v>1864.937519999851</v>
      </c>
      <c r="W40" s="1051" t="s">
        <v>175</v>
      </c>
      <c r="X40" s="1051" t="s">
        <v>175</v>
      </c>
      <c r="Y40" s="1052" t="s">
        <v>175</v>
      </c>
      <c r="Z40" s="1051" t="s">
        <v>175</v>
      </c>
      <c r="AA40" s="1051" t="s">
        <v>175</v>
      </c>
      <c r="AB40" s="1052" t="s">
        <v>175</v>
      </c>
      <c r="AC40" s="1051" t="s">
        <v>175</v>
      </c>
      <c r="AD40" s="1051">
        <v>19307.147751417866</v>
      </c>
      <c r="AE40" s="1051">
        <v>1005807.2450496393</v>
      </c>
      <c r="AF40" s="1051" t="s">
        <v>176</v>
      </c>
      <c r="AG40" s="1052" t="s">
        <v>177</v>
      </c>
      <c r="AH40" s="1051">
        <v>12439.420904393815</v>
      </c>
      <c r="AI40" s="1051" t="s">
        <v>176</v>
      </c>
      <c r="AJ40" s="1052" t="s">
        <v>177</v>
      </c>
      <c r="AK40" s="1051" t="s">
        <v>175</v>
      </c>
      <c r="AL40" s="1051" t="s">
        <v>175</v>
      </c>
      <c r="AM40" s="1052" t="s">
        <v>177</v>
      </c>
      <c r="AN40" s="1051" t="s">
        <v>175</v>
      </c>
      <c r="AO40" s="1051" t="s">
        <v>175</v>
      </c>
      <c r="AP40" s="1052" t="s">
        <v>177</v>
      </c>
      <c r="AQ40" s="1051">
        <v>16359</v>
      </c>
      <c r="AR40" s="1051" t="s">
        <v>175</v>
      </c>
      <c r="AS40" s="1052" t="s">
        <v>177</v>
      </c>
      <c r="AT40" s="1051" t="s">
        <v>175</v>
      </c>
      <c r="AU40" s="1051">
        <v>99429.707476538504</v>
      </c>
      <c r="AV40" s="1053" t="s">
        <v>175</v>
      </c>
      <c r="AW40" s="1051" t="s">
        <v>175</v>
      </c>
      <c r="AX40" s="1051">
        <v>12990.567200000001</v>
      </c>
      <c r="AY40" s="1053" t="s">
        <v>175</v>
      </c>
      <c r="AZ40" s="1051" t="s">
        <v>175</v>
      </c>
      <c r="BA40" s="1051" t="s">
        <v>176</v>
      </c>
      <c r="BB40" s="1053" t="s">
        <v>175</v>
      </c>
      <c r="BC40" s="1051" t="s">
        <v>175</v>
      </c>
      <c r="BD40" s="1051">
        <v>5311.7452460005024</v>
      </c>
      <c r="BE40" s="1053" t="s">
        <v>175</v>
      </c>
      <c r="BF40" s="1052" t="s">
        <v>177</v>
      </c>
      <c r="BG40" s="1052" t="s">
        <v>177</v>
      </c>
      <c r="BH40" s="1052" t="s">
        <v>177</v>
      </c>
      <c r="BI40" s="1052" t="s">
        <v>177</v>
      </c>
      <c r="BJ40" s="1052" t="s">
        <v>177</v>
      </c>
      <c r="BK40" s="1054" t="s">
        <v>177</v>
      </c>
      <c r="BL40" s="1055" t="s">
        <v>1758</v>
      </c>
      <c r="BM40" s="1051">
        <v>2558469.2750017582</v>
      </c>
      <c r="BN40" s="1052">
        <v>2558469.2750017582</v>
      </c>
      <c r="BO40" s="1054">
        <v>2558469.2750017578</v>
      </c>
      <c r="BP40" s="1053">
        <v>2389747.6635466511</v>
      </c>
      <c r="BQ40" s="1051">
        <v>1406131.589125186</v>
      </c>
      <c r="BR40" s="1051">
        <v>1034605.665954033</v>
      </c>
      <c r="BS40" s="1051">
        <v>117732.01992253901</v>
      </c>
      <c r="BT40" s="1052">
        <v>1406131.589125186</v>
      </c>
      <c r="BU40" s="1052">
        <v>1034605.665954033</v>
      </c>
      <c r="BV40" s="1052">
        <v>117732.01992253901</v>
      </c>
      <c r="BW40" s="1052" t="s">
        <v>1637</v>
      </c>
      <c r="BX40" s="1052" t="s">
        <v>1637</v>
      </c>
      <c r="BY40" s="1053">
        <v>1353277.0600726181</v>
      </c>
      <c r="BZ40" s="1053">
        <v>1864.937519999851</v>
      </c>
      <c r="CA40" s="1053">
        <v>1034605.665954033</v>
      </c>
      <c r="CB40" s="1053" t="s">
        <v>1637</v>
      </c>
      <c r="CC40" s="1053" t="s">
        <v>1637</v>
      </c>
      <c r="CD40" s="1053" t="s">
        <v>1637</v>
      </c>
      <c r="CE40" s="1053" t="s">
        <v>1637</v>
      </c>
      <c r="CF40" s="1051">
        <v>484732.89528230677</v>
      </c>
      <c r="CG40" s="1051">
        <v>554814.51251901232</v>
      </c>
      <c r="CH40" s="1051">
        <v>347277.03357244877</v>
      </c>
      <c r="CI40" s="1051" t="s">
        <v>1637</v>
      </c>
      <c r="CJ40" s="1051" t="s">
        <v>1637</v>
      </c>
      <c r="CK40" s="1051" t="s">
        <v>1637</v>
      </c>
      <c r="CL40" s="1051" t="s">
        <v>1637</v>
      </c>
      <c r="CM40" s="1051">
        <v>19307.147751417866</v>
      </c>
      <c r="CN40" s="1051">
        <v>1005807.2450496393</v>
      </c>
      <c r="CO40" s="1051">
        <v>12439.420904393815</v>
      </c>
      <c r="CP40" s="1051" t="s">
        <v>1637</v>
      </c>
      <c r="CQ40" s="1051" t="s">
        <v>1637</v>
      </c>
      <c r="CR40" s="1051">
        <v>16359</v>
      </c>
      <c r="CS40" s="1051">
        <v>99429.707476538504</v>
      </c>
      <c r="CT40" s="1051">
        <v>12990.567200000001</v>
      </c>
      <c r="CU40" s="1051" t="s">
        <v>1637</v>
      </c>
      <c r="CV40" s="1051">
        <v>5311.7452460005024</v>
      </c>
      <c r="CW40" s="1118">
        <v>484732.89528230677</v>
      </c>
      <c r="CX40" s="1118">
        <v>554814.51251901232</v>
      </c>
      <c r="CY40" s="1118">
        <v>347277.03357244877</v>
      </c>
      <c r="CZ40" s="1118" t="s">
        <v>1637</v>
      </c>
      <c r="DA40" s="1118" t="s">
        <v>1637</v>
      </c>
      <c r="DB40" s="1118" t="s">
        <v>1637</v>
      </c>
      <c r="DC40" s="1118" t="s">
        <v>1637</v>
      </c>
      <c r="DD40" s="1118">
        <v>19307.147751417866</v>
      </c>
      <c r="DE40" s="1118">
        <v>1005807.2450496393</v>
      </c>
      <c r="DF40" s="1118">
        <v>12439.420904393815</v>
      </c>
      <c r="DG40" s="1118" t="s">
        <v>1637</v>
      </c>
      <c r="DH40" s="1118" t="s">
        <v>1637</v>
      </c>
      <c r="DI40" s="1118">
        <v>16359</v>
      </c>
      <c r="DJ40" s="1118">
        <v>99429.707476538504</v>
      </c>
      <c r="DK40" s="1118">
        <v>12990.567200000001</v>
      </c>
      <c r="DL40" s="1118" t="s">
        <v>1637</v>
      </c>
      <c r="DM40" s="1118">
        <v>5311.7452460005024</v>
      </c>
      <c r="DN40" s="1118" t="s">
        <v>1637</v>
      </c>
      <c r="DO40" s="1118" t="s">
        <v>1637</v>
      </c>
      <c r="DP40" s="1118" t="s">
        <v>1637</v>
      </c>
      <c r="DQ40" s="1118" t="s">
        <v>1637</v>
      </c>
      <c r="DR40" s="1118" t="s">
        <v>1637</v>
      </c>
      <c r="DS40" s="1119" t="s">
        <v>1637</v>
      </c>
      <c r="DT40" s="1120">
        <v>466982.6893956</v>
      </c>
      <c r="DU40" s="1120">
        <v>522081.42295680003</v>
      </c>
      <c r="DV40" s="1120">
        <v>344905.79996880004</v>
      </c>
      <c r="DW40" s="1120" t="s">
        <v>1637</v>
      </c>
      <c r="DX40" s="1120">
        <v>1864.937519999851</v>
      </c>
      <c r="DY40" s="1120" t="s">
        <v>1637</v>
      </c>
      <c r="DZ40" s="1120" t="s">
        <v>1637</v>
      </c>
      <c r="EA40" s="1120" t="s">
        <v>1637</v>
      </c>
      <c r="EB40" s="1120">
        <v>19307.147751417866</v>
      </c>
      <c r="EC40" s="1120">
        <v>1005807.2450496393</v>
      </c>
      <c r="ED40" s="1120">
        <v>12439.420904393815</v>
      </c>
      <c r="EE40" s="1120" t="s">
        <v>1637</v>
      </c>
      <c r="EF40" s="1120" t="s">
        <v>1637</v>
      </c>
      <c r="EG40" s="1120">
        <v>16359</v>
      </c>
      <c r="EH40" s="1120" t="s">
        <v>1637</v>
      </c>
      <c r="EI40" s="1120" t="s">
        <v>1637</v>
      </c>
      <c r="EJ40" s="1120" t="s">
        <v>1637</v>
      </c>
      <c r="EK40" s="1120" t="s">
        <v>1637</v>
      </c>
      <c r="EL40" s="1120" t="s">
        <v>1637</v>
      </c>
      <c r="EM40" s="1120" t="s">
        <v>1637</v>
      </c>
      <c r="EN40" s="1120" t="s">
        <v>1637</v>
      </c>
      <c r="EO40" s="1120" t="s">
        <v>1637</v>
      </c>
      <c r="EP40" s="1120" t="s">
        <v>1637</v>
      </c>
    </row>
    <row r="41" spans="1:146" s="1121" customFormat="1" ht="15" customHeight="1">
      <c r="A41" s="15"/>
      <c r="B41" s="1055"/>
      <c r="C41" s="1055"/>
      <c r="D41" s="1055"/>
      <c r="E41" s="1055"/>
      <c r="F41" s="1049"/>
      <c r="G41" s="1049"/>
      <c r="H41" s="1049"/>
      <c r="I41" s="1043"/>
      <c r="J41" s="1051"/>
      <c r="K41" s="1051"/>
      <c r="L41" s="1052"/>
      <c r="M41" s="1051"/>
      <c r="N41" s="1051"/>
      <c r="O41" s="1052"/>
      <c r="P41" s="1051"/>
      <c r="Q41" s="1051"/>
      <c r="R41" s="1052"/>
      <c r="S41" s="1051"/>
      <c r="T41" s="1051"/>
      <c r="U41" s="1052"/>
      <c r="V41" s="1053"/>
      <c r="W41" s="1051"/>
      <c r="X41" s="1051"/>
      <c r="Y41" s="1052"/>
      <c r="Z41" s="1051"/>
      <c r="AA41" s="1051"/>
      <c r="AB41" s="1052"/>
      <c r="AC41" s="1051"/>
      <c r="AD41" s="1051"/>
      <c r="AE41" s="1051"/>
      <c r="AF41" s="1051"/>
      <c r="AG41" s="1052"/>
      <c r="AH41" s="1051"/>
      <c r="AI41" s="1051"/>
      <c r="AJ41" s="1052"/>
      <c r="AK41" s="1051"/>
      <c r="AL41" s="1051"/>
      <c r="AM41" s="1052"/>
      <c r="AN41" s="1051"/>
      <c r="AO41" s="1051"/>
      <c r="AP41" s="1052"/>
      <c r="AQ41" s="1051"/>
      <c r="AR41" s="1051"/>
      <c r="AS41" s="1052"/>
      <c r="AT41" s="1051"/>
      <c r="AU41" s="1051"/>
      <c r="AV41" s="1053"/>
      <c r="AW41" s="1051"/>
      <c r="AX41" s="1051"/>
      <c r="AY41" s="1053"/>
      <c r="AZ41" s="1051"/>
      <c r="BA41" s="1051"/>
      <c r="BB41" s="1053"/>
      <c r="BC41" s="1051"/>
      <c r="BD41" s="1051"/>
      <c r="BE41" s="1053"/>
      <c r="BF41" s="1052"/>
      <c r="BG41" s="1052"/>
      <c r="BH41" s="1052"/>
      <c r="BI41" s="1052"/>
      <c r="BJ41" s="1052"/>
      <c r="BK41" s="1054"/>
      <c r="BL41" s="1055"/>
      <c r="BM41" s="1051"/>
      <c r="BN41" s="1052"/>
      <c r="BO41" s="1054"/>
      <c r="BP41" s="1053"/>
      <c r="BQ41" s="1051"/>
      <c r="BR41" s="1051"/>
      <c r="BS41" s="1051"/>
      <c r="BT41" s="1052"/>
      <c r="BU41" s="1052"/>
      <c r="BV41" s="1052"/>
      <c r="BW41" s="1052"/>
      <c r="BX41" s="1052"/>
      <c r="BY41" s="1053"/>
      <c r="BZ41" s="1053"/>
      <c r="CA41" s="1053"/>
      <c r="CB41" s="1053"/>
      <c r="CC41" s="1053"/>
      <c r="CD41" s="1053"/>
      <c r="CE41" s="1053"/>
      <c r="CF41" s="1051"/>
      <c r="CG41" s="1051"/>
      <c r="CH41" s="1051"/>
      <c r="CI41" s="1051"/>
      <c r="CJ41" s="1051"/>
      <c r="CK41" s="1051"/>
      <c r="CL41" s="1051"/>
      <c r="CM41" s="1051"/>
      <c r="CN41" s="1051"/>
      <c r="CO41" s="1051"/>
      <c r="CP41" s="1051"/>
      <c r="CQ41" s="1051"/>
      <c r="CR41" s="1051"/>
      <c r="CS41" s="1051"/>
      <c r="CT41" s="1051"/>
      <c r="CU41" s="1051"/>
      <c r="CV41" s="1051"/>
      <c r="CW41" s="1118"/>
      <c r="CX41" s="1118"/>
      <c r="CY41" s="1118"/>
      <c r="CZ41" s="1118"/>
      <c r="DA41" s="1118"/>
      <c r="DB41" s="1118"/>
      <c r="DC41" s="1118"/>
      <c r="DD41" s="1118"/>
      <c r="DE41" s="1118"/>
      <c r="DF41" s="1118"/>
      <c r="DG41" s="1118"/>
      <c r="DH41" s="1118"/>
      <c r="DI41" s="1118"/>
      <c r="DJ41" s="1118"/>
      <c r="DK41" s="1118"/>
      <c r="DL41" s="1118"/>
      <c r="DM41" s="1118"/>
      <c r="DN41" s="1118"/>
      <c r="DO41" s="1118"/>
      <c r="DP41" s="1118"/>
      <c r="DQ41" s="1118"/>
      <c r="DR41" s="1118"/>
      <c r="DS41" s="1119"/>
      <c r="DT41" s="1120"/>
      <c r="DU41" s="1120"/>
      <c r="DV41" s="1120"/>
      <c r="DW41" s="1120"/>
      <c r="DX41" s="1120"/>
      <c r="DY41" s="1120"/>
      <c r="DZ41" s="1120"/>
      <c r="EA41" s="1120"/>
      <c r="EB41" s="1120"/>
      <c r="EC41" s="1120"/>
      <c r="ED41" s="1120"/>
      <c r="EE41" s="1120"/>
      <c r="EF41" s="1120"/>
      <c r="EG41" s="1120"/>
      <c r="EH41" s="1120"/>
      <c r="EI41" s="1120"/>
      <c r="EJ41" s="1120"/>
      <c r="EK41" s="1120"/>
      <c r="EL41" s="1120"/>
      <c r="EM41" s="1120"/>
      <c r="EN41" s="1120"/>
      <c r="EO41" s="1120"/>
      <c r="EP41" s="1120"/>
    </row>
    <row r="42" spans="1:146" s="1121" customFormat="1" ht="15" customHeight="1">
      <c r="A42" s="15"/>
      <c r="B42" s="1055"/>
      <c r="C42" s="1055"/>
      <c r="D42" s="1055"/>
      <c r="E42" s="1055"/>
      <c r="F42" s="1049"/>
      <c r="G42" s="1049"/>
      <c r="H42" s="1049"/>
      <c r="I42" s="1043"/>
      <c r="J42" s="1051"/>
      <c r="K42" s="1051"/>
      <c r="L42" s="1052"/>
      <c r="M42" s="1051"/>
      <c r="N42" s="1051"/>
      <c r="O42" s="1052"/>
      <c r="P42" s="1051"/>
      <c r="Q42" s="1051"/>
      <c r="R42" s="1052"/>
      <c r="S42" s="1051"/>
      <c r="T42" s="1051"/>
      <c r="U42" s="1052"/>
      <c r="V42" s="1053"/>
      <c r="W42" s="1051"/>
      <c r="X42" s="1051"/>
      <c r="Y42" s="1052"/>
      <c r="Z42" s="1051"/>
      <c r="AA42" s="1051"/>
      <c r="AB42" s="1052"/>
      <c r="AC42" s="1051"/>
      <c r="AD42" s="1051"/>
      <c r="AE42" s="1051"/>
      <c r="AF42" s="1051"/>
      <c r="AG42" s="1052"/>
      <c r="AH42" s="1051"/>
      <c r="AI42" s="1051"/>
      <c r="AJ42" s="1052"/>
      <c r="AK42" s="1051"/>
      <c r="AL42" s="1051"/>
      <c r="AM42" s="1052"/>
      <c r="AN42" s="1051"/>
      <c r="AO42" s="1051"/>
      <c r="AP42" s="1052"/>
      <c r="AQ42" s="1051"/>
      <c r="AR42" s="1051"/>
      <c r="AS42" s="1052"/>
      <c r="AT42" s="1051"/>
      <c r="AU42" s="1051"/>
      <c r="AV42" s="1053"/>
      <c r="AW42" s="1051"/>
      <c r="AX42" s="1051"/>
      <c r="AY42" s="1053"/>
      <c r="AZ42" s="1051"/>
      <c r="BA42" s="1051"/>
      <c r="BB42" s="1053"/>
      <c r="BC42" s="1051"/>
      <c r="BD42" s="1051"/>
      <c r="BE42" s="1053"/>
      <c r="BF42" s="1052"/>
      <c r="BG42" s="1052"/>
      <c r="BH42" s="1052"/>
      <c r="BI42" s="1052"/>
      <c r="BJ42" s="1052"/>
      <c r="BK42" s="1054"/>
      <c r="BL42" s="1055"/>
      <c r="BM42" s="1051"/>
      <c r="BN42" s="1052"/>
      <c r="BO42" s="1054"/>
      <c r="BP42" s="1053"/>
      <c r="BQ42" s="1051"/>
      <c r="BR42" s="1051"/>
      <c r="BS42" s="1051"/>
      <c r="BT42" s="1052"/>
      <c r="BU42" s="1052"/>
      <c r="BV42" s="1052"/>
      <c r="BW42" s="1052"/>
      <c r="BX42" s="1052"/>
      <c r="BY42" s="1053"/>
      <c r="BZ42" s="1053"/>
      <c r="CA42" s="1053"/>
      <c r="CB42" s="1053"/>
      <c r="CC42" s="1053"/>
      <c r="CD42" s="1053"/>
      <c r="CE42" s="1053"/>
      <c r="CF42" s="1051"/>
      <c r="CG42" s="1051"/>
      <c r="CH42" s="1051"/>
      <c r="CI42" s="1051"/>
      <c r="CJ42" s="1051"/>
      <c r="CK42" s="1051"/>
      <c r="CL42" s="1051"/>
      <c r="CM42" s="1051"/>
      <c r="CN42" s="1051"/>
      <c r="CO42" s="1051"/>
      <c r="CP42" s="1051"/>
      <c r="CQ42" s="1051"/>
      <c r="CR42" s="1051"/>
      <c r="CS42" s="1051"/>
      <c r="CT42" s="1051"/>
      <c r="CU42" s="1051"/>
      <c r="CV42" s="1051"/>
      <c r="CW42" s="1118"/>
      <c r="CX42" s="1118"/>
      <c r="CY42" s="1118"/>
      <c r="CZ42" s="1118"/>
      <c r="DA42" s="1118"/>
      <c r="DB42" s="1118"/>
      <c r="DC42" s="1118"/>
      <c r="DD42" s="1118"/>
      <c r="DE42" s="1118"/>
      <c r="DF42" s="1118"/>
      <c r="DG42" s="1118"/>
      <c r="DH42" s="1118"/>
      <c r="DI42" s="1118"/>
      <c r="DJ42" s="1118"/>
      <c r="DK42" s="1118"/>
      <c r="DL42" s="1118"/>
      <c r="DM42" s="1118"/>
      <c r="DN42" s="1118"/>
      <c r="DO42" s="1118"/>
      <c r="DP42" s="1118"/>
      <c r="DQ42" s="1118"/>
      <c r="DR42" s="1118"/>
      <c r="DS42" s="1119"/>
      <c r="DT42" s="1120"/>
      <c r="DU42" s="1120"/>
      <c r="DV42" s="1120"/>
      <c r="DW42" s="1120"/>
      <c r="DX42" s="1120"/>
      <c r="DY42" s="1120"/>
      <c r="DZ42" s="1120"/>
      <c r="EA42" s="1120"/>
      <c r="EB42" s="1120"/>
      <c r="EC42" s="1120"/>
      <c r="ED42" s="1120"/>
      <c r="EE42" s="1120"/>
      <c r="EF42" s="1120"/>
      <c r="EG42" s="1120"/>
      <c r="EH42" s="1120"/>
      <c r="EI42" s="1120"/>
      <c r="EJ42" s="1120"/>
      <c r="EK42" s="1120"/>
      <c r="EL42" s="1120"/>
      <c r="EM42" s="1120"/>
      <c r="EN42" s="1120"/>
      <c r="EO42" s="1120"/>
      <c r="EP42" s="1120"/>
    </row>
    <row r="43" spans="1:146" s="1121" customFormat="1" ht="15" customHeight="1">
      <c r="A43" s="15"/>
      <c r="B43" s="1055"/>
      <c r="C43" s="1055"/>
      <c r="D43" s="1055"/>
      <c r="E43" s="1055"/>
      <c r="F43" s="1049"/>
      <c r="G43" s="1049"/>
      <c r="H43" s="1049"/>
      <c r="I43" s="1043"/>
      <c r="J43" s="1051"/>
      <c r="K43" s="1051"/>
      <c r="L43" s="1052"/>
      <c r="M43" s="1051"/>
      <c r="N43" s="1051"/>
      <c r="O43" s="1052"/>
      <c r="P43" s="1051"/>
      <c r="Q43" s="1051"/>
      <c r="R43" s="1052"/>
      <c r="S43" s="1051"/>
      <c r="T43" s="1051"/>
      <c r="U43" s="1052"/>
      <c r="V43" s="1053"/>
      <c r="W43" s="1051"/>
      <c r="X43" s="1051"/>
      <c r="Y43" s="1052"/>
      <c r="Z43" s="1051"/>
      <c r="AA43" s="1051"/>
      <c r="AB43" s="1052"/>
      <c r="AC43" s="1051"/>
      <c r="AD43" s="1051"/>
      <c r="AE43" s="1051"/>
      <c r="AF43" s="1051"/>
      <c r="AG43" s="1052"/>
      <c r="AH43" s="1051"/>
      <c r="AI43" s="1051"/>
      <c r="AJ43" s="1052"/>
      <c r="AK43" s="1051"/>
      <c r="AL43" s="1051"/>
      <c r="AM43" s="1052"/>
      <c r="AN43" s="1051"/>
      <c r="AO43" s="1051"/>
      <c r="AP43" s="1052"/>
      <c r="AQ43" s="1051"/>
      <c r="AR43" s="1051"/>
      <c r="AS43" s="1052"/>
      <c r="AT43" s="1051"/>
      <c r="AU43" s="1051"/>
      <c r="AV43" s="1053"/>
      <c r="AW43" s="1051"/>
      <c r="AX43" s="1051"/>
      <c r="AY43" s="1053"/>
      <c r="AZ43" s="1051"/>
      <c r="BA43" s="1051"/>
      <c r="BB43" s="1053"/>
      <c r="BC43" s="1051"/>
      <c r="BD43" s="1051"/>
      <c r="BE43" s="1053"/>
      <c r="BF43" s="1052"/>
      <c r="BG43" s="1052"/>
      <c r="BH43" s="1052"/>
      <c r="BI43" s="1052"/>
      <c r="BJ43" s="1052"/>
      <c r="BK43" s="1054"/>
      <c r="BL43" s="1055"/>
      <c r="BM43" s="1051"/>
      <c r="BN43" s="1052"/>
      <c r="BO43" s="1054"/>
      <c r="BP43" s="1053"/>
      <c r="BQ43" s="1051"/>
      <c r="BR43" s="1051"/>
      <c r="BS43" s="1051"/>
      <c r="BT43" s="1052"/>
      <c r="BU43" s="1052"/>
      <c r="BV43" s="1052"/>
      <c r="BW43" s="1052"/>
      <c r="BX43" s="1052"/>
      <c r="BY43" s="1053"/>
      <c r="BZ43" s="1053"/>
      <c r="CA43" s="1053"/>
      <c r="CB43" s="1053"/>
      <c r="CC43" s="1053"/>
      <c r="CD43" s="1053"/>
      <c r="CE43" s="1053"/>
      <c r="CF43" s="1051"/>
      <c r="CG43" s="1051"/>
      <c r="CH43" s="1051"/>
      <c r="CI43" s="1051"/>
      <c r="CJ43" s="1051"/>
      <c r="CK43" s="1051"/>
      <c r="CL43" s="1051"/>
      <c r="CM43" s="1051"/>
      <c r="CN43" s="1051"/>
      <c r="CO43" s="1051"/>
      <c r="CP43" s="1051"/>
      <c r="CQ43" s="1051"/>
      <c r="CR43" s="1051"/>
      <c r="CS43" s="1051"/>
      <c r="CT43" s="1051"/>
      <c r="CU43" s="1051"/>
      <c r="CV43" s="1051"/>
      <c r="CW43" s="1118"/>
      <c r="CX43" s="1118"/>
      <c r="CY43" s="1118"/>
      <c r="CZ43" s="1118"/>
      <c r="DA43" s="1118"/>
      <c r="DB43" s="1118"/>
      <c r="DC43" s="1118"/>
      <c r="DD43" s="1118"/>
      <c r="DE43" s="1118"/>
      <c r="DF43" s="1118"/>
      <c r="DG43" s="1118"/>
      <c r="DH43" s="1118"/>
      <c r="DI43" s="1118"/>
      <c r="DJ43" s="1118"/>
      <c r="DK43" s="1118"/>
      <c r="DL43" s="1118"/>
      <c r="DM43" s="1118"/>
      <c r="DN43" s="1118"/>
      <c r="DO43" s="1118"/>
      <c r="DP43" s="1118"/>
      <c r="DQ43" s="1118"/>
      <c r="DR43" s="1118"/>
      <c r="DS43" s="1119"/>
      <c r="DT43" s="1120"/>
      <c r="DU43" s="1120"/>
      <c r="DV43" s="1120"/>
      <c r="DW43" s="1120"/>
      <c r="DX43" s="1120"/>
      <c r="DY43" s="1120"/>
      <c r="DZ43" s="1120"/>
      <c r="EA43" s="1120"/>
      <c r="EB43" s="1120"/>
      <c r="EC43" s="1120"/>
      <c r="ED43" s="1120"/>
      <c r="EE43" s="1120"/>
      <c r="EF43" s="1120"/>
      <c r="EG43" s="1120"/>
      <c r="EH43" s="1120"/>
      <c r="EI43" s="1120"/>
      <c r="EJ43" s="1120"/>
      <c r="EK43" s="1120"/>
      <c r="EL43" s="1120"/>
      <c r="EM43" s="1120"/>
      <c r="EN43" s="1120"/>
      <c r="EO43" s="1120"/>
      <c r="EP43" s="1120"/>
    </row>
    <row r="44" spans="1:146" s="34" customFormat="1" ht="15" customHeight="1">
      <c r="A44" s="642"/>
      <c r="B44" s="1041"/>
      <c r="C44" s="1050"/>
      <c r="D44" s="1050"/>
      <c r="E44" s="1050"/>
      <c r="F44" s="1049"/>
      <c r="G44" s="1050"/>
      <c r="H44" s="1050"/>
      <c r="I44" s="1043"/>
      <c r="J44" s="1051"/>
      <c r="K44" s="1051"/>
      <c r="L44" s="1052"/>
      <c r="M44" s="1051"/>
      <c r="N44" s="1051"/>
      <c r="O44" s="1052"/>
      <c r="P44" s="1051"/>
      <c r="Q44" s="1051"/>
      <c r="R44" s="1052"/>
      <c r="S44" s="1051"/>
      <c r="T44" s="1051"/>
      <c r="U44" s="1052"/>
      <c r="V44" s="1053"/>
      <c r="W44" s="1051"/>
      <c r="X44" s="1051"/>
      <c r="Y44" s="1052"/>
      <c r="Z44" s="1051"/>
      <c r="AA44" s="1051"/>
      <c r="AB44" s="1052"/>
      <c r="AC44" s="1051"/>
      <c r="AD44" s="1051"/>
      <c r="AE44" s="1051"/>
      <c r="AF44" s="1051"/>
      <c r="AG44" s="1052"/>
      <c r="AH44" s="1051"/>
      <c r="AI44" s="1051"/>
      <c r="AJ44" s="1052"/>
      <c r="AK44" s="1051"/>
      <c r="AL44" s="1051"/>
      <c r="AM44" s="1052"/>
      <c r="AN44" s="1051"/>
      <c r="AO44" s="1051"/>
      <c r="AP44" s="1052"/>
      <c r="AQ44" s="1051"/>
      <c r="AR44" s="1051"/>
      <c r="AS44" s="1052"/>
      <c r="AT44" s="1051"/>
      <c r="AU44" s="1051"/>
      <c r="AV44" s="1053"/>
      <c r="AW44" s="1051"/>
      <c r="AX44" s="1051"/>
      <c r="AY44" s="1053"/>
      <c r="AZ44" s="1051"/>
      <c r="BA44" s="1051"/>
      <c r="BB44" s="1053"/>
      <c r="BC44" s="1051"/>
      <c r="BD44" s="1051"/>
      <c r="BE44" s="1053"/>
      <c r="BF44" s="1052"/>
      <c r="BG44" s="1052"/>
      <c r="BH44" s="1052"/>
      <c r="BI44" s="1052"/>
      <c r="BJ44" s="1052"/>
      <c r="BK44" s="1054"/>
      <c r="BL44" s="1076">
        <f t="shared" ref="BL44" si="1">B44</f>
        <v>0</v>
      </c>
      <c r="BM44" s="1051"/>
      <c r="BN44" s="1052"/>
      <c r="BO44" s="1054"/>
      <c r="BP44" s="1053"/>
      <c r="BQ44" s="1051"/>
      <c r="BR44" s="1051"/>
      <c r="BS44" s="1051"/>
      <c r="BT44" s="1052"/>
      <c r="BU44" s="1052"/>
      <c r="BV44" s="1052"/>
      <c r="BW44" s="1052"/>
      <c r="BX44" s="1052"/>
      <c r="BY44" s="1053"/>
      <c r="BZ44" s="1053"/>
      <c r="CA44" s="1053"/>
      <c r="CB44" s="1053"/>
      <c r="CC44" s="1053"/>
      <c r="CD44" s="1053"/>
      <c r="CE44" s="1053"/>
      <c r="CF44" s="1123"/>
      <c r="CG44" s="1123"/>
      <c r="CH44" s="1123"/>
      <c r="CI44" s="1123"/>
      <c r="CJ44" s="1123"/>
      <c r="CK44" s="1123"/>
      <c r="CL44" s="1123"/>
      <c r="CM44" s="1123"/>
      <c r="CN44" s="1123"/>
      <c r="CO44" s="1123"/>
      <c r="CP44" s="1123"/>
      <c r="CQ44" s="1123"/>
      <c r="CR44" s="1123"/>
      <c r="CS44" s="1123"/>
      <c r="CT44" s="1123"/>
      <c r="CU44" s="1123"/>
      <c r="CV44" s="1123"/>
      <c r="CW44" s="1114"/>
      <c r="CX44" s="1114"/>
      <c r="CY44" s="1114"/>
      <c r="CZ44" s="1114"/>
      <c r="DA44" s="1114"/>
      <c r="DB44" s="1114"/>
      <c r="DC44" s="1114"/>
      <c r="DD44" s="1114"/>
      <c r="DE44" s="1114"/>
      <c r="DF44" s="1114"/>
      <c r="DG44" s="1114"/>
      <c r="DH44" s="1114"/>
      <c r="DI44" s="1114"/>
      <c r="DJ44" s="1114"/>
      <c r="DK44" s="1114"/>
      <c r="DL44" s="1114"/>
      <c r="DM44" s="1114"/>
      <c r="DN44" s="1114"/>
      <c r="DO44" s="1114"/>
      <c r="DP44" s="1114"/>
      <c r="DQ44" s="1114"/>
      <c r="DR44" s="1114"/>
      <c r="DS44" s="1115"/>
      <c r="DT44" s="1116"/>
      <c r="DU44" s="1116"/>
      <c r="DV44" s="1116"/>
      <c r="DW44" s="1116"/>
      <c r="DX44" s="1116"/>
      <c r="DY44" s="1116"/>
      <c r="DZ44" s="1116"/>
      <c r="EA44" s="1116"/>
      <c r="EB44" s="1116"/>
      <c r="EC44" s="1116"/>
      <c r="ED44" s="1116"/>
      <c r="EE44" s="1116"/>
      <c r="EF44" s="1116"/>
      <c r="EG44" s="1116"/>
      <c r="EH44" s="1116"/>
      <c r="EI44" s="1116"/>
      <c r="EJ44" s="1116"/>
      <c r="EK44" s="1116"/>
      <c r="EL44" s="1116"/>
      <c r="EM44" s="1116"/>
      <c r="EN44" s="1116"/>
      <c r="EO44" s="1116"/>
      <c r="EP44" s="1116"/>
    </row>
    <row r="45" spans="1:146" s="15" customFormat="1" ht="15" customHeight="1">
      <c r="B45" s="621"/>
    </row>
    <row r="46" spans="1:146" s="15" customFormat="1" ht="18" customHeight="1">
      <c r="B46" s="1497" t="s">
        <v>2523</v>
      </c>
      <c r="S46" s="465" t="s">
        <v>2522</v>
      </c>
      <c r="AC46" s="465" t="s">
        <v>15</v>
      </c>
      <c r="AJ46" s="465" t="s">
        <v>21</v>
      </c>
      <c r="AP46" s="465" t="s">
        <v>208</v>
      </c>
      <c r="AT46" s="465" t="s">
        <v>209</v>
      </c>
      <c r="AW46" s="621"/>
      <c r="BG46" s="621" t="s">
        <v>1901</v>
      </c>
      <c r="BN46" s="621" t="s">
        <v>1902</v>
      </c>
      <c r="BT46" s="621" t="s">
        <v>1903</v>
      </c>
      <c r="BX46" s="621" t="s">
        <v>1904</v>
      </c>
    </row>
    <row r="47" spans="1:146" ht="15" customHeight="1">
      <c r="J47" s="33"/>
      <c r="K47" s="33"/>
      <c r="L47" s="33"/>
      <c r="M47" s="33"/>
      <c r="P47" s="34"/>
      <c r="Q47" s="34"/>
      <c r="S47" s="15"/>
      <c r="U47" s="15"/>
      <c r="V47" s="15"/>
      <c r="W47" s="15"/>
      <c r="X47" s="15"/>
      <c r="Y47" s="15"/>
      <c r="Z47" s="15"/>
      <c r="AA47" s="15"/>
      <c r="AB47" s="15"/>
      <c r="AC47" s="15"/>
      <c r="AD47" s="15"/>
      <c r="AE47" s="15"/>
      <c r="AF47" s="15"/>
      <c r="AG47" s="15"/>
      <c r="AH47" s="15"/>
      <c r="AI47" s="15"/>
      <c r="AJ47" s="15"/>
      <c r="AK47" s="15"/>
      <c r="AL47" s="15"/>
      <c r="AM47" s="15"/>
      <c r="AN47" s="15"/>
      <c r="AO47" s="15"/>
      <c r="AP47" s="15"/>
      <c r="AQ47" s="15"/>
      <c r="AR47" s="15"/>
      <c r="AS47" s="15"/>
      <c r="AT47" s="15"/>
      <c r="AU47" s="15"/>
      <c r="AW47" s="15"/>
      <c r="AX47" s="15"/>
      <c r="AY47" s="15"/>
      <c r="AZ47" s="15"/>
      <c r="BA47" s="15"/>
      <c r="BB47" s="15"/>
      <c r="BC47" s="15"/>
      <c r="BD47" s="15"/>
      <c r="BE47" s="15"/>
      <c r="BF47" s="15"/>
      <c r="BG47" s="15"/>
      <c r="BH47" s="15"/>
      <c r="BI47" s="15"/>
      <c r="BJ47" s="15"/>
      <c r="BK47" s="15"/>
      <c r="BL47" s="15"/>
      <c r="BM47" s="15"/>
      <c r="BN47" s="15"/>
      <c r="BO47" s="15"/>
      <c r="BP47" s="15"/>
      <c r="BQ47" s="15"/>
      <c r="BR47" s="15"/>
      <c r="BS47" s="15"/>
      <c r="BT47" s="15"/>
      <c r="BU47" s="15"/>
      <c r="BV47" s="15"/>
      <c r="BW47" s="15"/>
      <c r="BX47" s="15"/>
      <c r="BY47" s="15"/>
      <c r="BZ47" s="15"/>
      <c r="CA47" s="15"/>
      <c r="CB47" s="15"/>
      <c r="CC47" s="15"/>
      <c r="CD47" s="15"/>
      <c r="CE47" s="15"/>
      <c r="CF47" s="15"/>
      <c r="CG47" s="15"/>
      <c r="CH47" s="15"/>
      <c r="CI47" s="15"/>
      <c r="CJ47" s="15"/>
      <c r="CK47" s="15"/>
      <c r="CL47" s="15"/>
      <c r="CM47" s="15"/>
      <c r="CN47" s="15"/>
      <c r="CO47" s="15"/>
      <c r="CP47" s="15"/>
      <c r="CQ47" s="15"/>
      <c r="CR47" s="15"/>
      <c r="CS47" s="15"/>
      <c r="CT47" s="15"/>
    </row>
    <row r="48" spans="1:146" ht="18" customHeight="1" thickBot="1">
      <c r="A48" s="1192"/>
      <c r="B48" s="1496" t="s">
        <v>174</v>
      </c>
      <c r="J48" s="33"/>
      <c r="K48" s="33"/>
      <c r="L48" s="33"/>
      <c r="M48" s="33"/>
      <c r="N48" s="1463" t="str">
        <f>Benchmark!$D$11</f>
        <v>BASIC</v>
      </c>
      <c r="O48" s="1498"/>
      <c r="P48" s="1556" t="s">
        <v>2546</v>
      </c>
      <c r="Q48" s="34"/>
      <c r="S48" s="1463" t="str">
        <f>Benchmark!$D$11</f>
        <v>BASIC</v>
      </c>
      <c r="T48" s="1498"/>
      <c r="U48" s="15"/>
      <c r="V48" s="15"/>
      <c r="W48" s="15"/>
      <c r="X48" s="15"/>
      <c r="Y48" s="15"/>
      <c r="Z48" s="15"/>
      <c r="AA48" s="15"/>
      <c r="AB48" s="15"/>
      <c r="AC48" s="1463" t="str">
        <f>Benchmark!$D$11</f>
        <v>BASIC</v>
      </c>
      <c r="AD48" s="1498"/>
      <c r="AE48" s="15"/>
      <c r="AF48" s="15"/>
      <c r="AG48" s="15"/>
      <c r="AH48" s="15"/>
      <c r="AI48" s="15"/>
      <c r="AJ48" s="1463" t="str">
        <f>Benchmark!$D$11</f>
        <v>BASIC</v>
      </c>
      <c r="AK48" s="1498"/>
      <c r="AL48" s="15"/>
      <c r="AM48" s="15"/>
      <c r="AN48" s="15"/>
      <c r="AO48" s="15"/>
      <c r="AP48" s="1464" t="s">
        <v>2518</v>
      </c>
      <c r="AQ48" s="1465"/>
      <c r="AR48" s="15"/>
      <c r="AS48" s="15"/>
      <c r="AT48" s="1464" t="s">
        <v>2518</v>
      </c>
      <c r="AU48" s="1465"/>
      <c r="AW48" s="15"/>
      <c r="AX48" s="15"/>
      <c r="AY48" s="15"/>
      <c r="AZ48" s="15"/>
      <c r="BA48" s="15"/>
      <c r="BB48" s="15"/>
      <c r="BC48" s="15"/>
      <c r="BD48" s="15"/>
      <c r="BE48" s="15"/>
      <c r="BF48" s="15"/>
      <c r="BG48" s="15"/>
      <c r="BH48" s="15"/>
      <c r="BI48" s="15"/>
      <c r="BJ48" s="15"/>
      <c r="BK48" s="15"/>
      <c r="BL48" s="15"/>
      <c r="BM48" s="15"/>
      <c r="BN48" s="15"/>
      <c r="BO48" s="15"/>
      <c r="BP48" s="15"/>
      <c r="BQ48" s="15"/>
      <c r="BR48" s="15"/>
      <c r="BS48" s="15"/>
      <c r="BT48" s="15"/>
      <c r="BU48" s="15"/>
      <c r="BV48" s="15"/>
      <c r="BW48" s="15"/>
      <c r="BX48" s="15"/>
      <c r="BY48" s="15"/>
      <c r="BZ48" s="15"/>
      <c r="CA48" s="15"/>
      <c r="CB48" s="15"/>
      <c r="CC48" s="15"/>
      <c r="CD48" s="15"/>
      <c r="CE48" s="15"/>
      <c r="CF48" s="15"/>
      <c r="CG48" s="15"/>
      <c r="CH48" s="15"/>
      <c r="CI48" s="15"/>
      <c r="CJ48" s="15"/>
      <c r="CK48" s="15"/>
      <c r="CL48" s="15"/>
      <c r="CM48" s="15"/>
      <c r="CN48" s="15"/>
      <c r="CO48" s="15"/>
      <c r="CP48" s="15"/>
      <c r="CQ48" s="15"/>
      <c r="CR48" s="15"/>
      <c r="CS48" s="15"/>
      <c r="CT48" s="15"/>
    </row>
    <row r="49" spans="1:120" ht="15" customHeight="1">
      <c r="J49" s="33"/>
      <c r="K49" s="33"/>
      <c r="L49" s="33"/>
      <c r="M49" s="33"/>
      <c r="P49" s="34"/>
      <c r="Q49" s="34"/>
      <c r="S49" s="15"/>
      <c r="U49" s="15"/>
      <c r="V49" s="15"/>
      <c r="W49" s="15"/>
      <c r="X49" s="15"/>
      <c r="Y49" s="15"/>
      <c r="Z49" s="15"/>
      <c r="AA49" s="15"/>
      <c r="AB49" s="15"/>
      <c r="AC49" s="15"/>
      <c r="AD49" s="15"/>
      <c r="AE49" s="15"/>
      <c r="AF49" s="15"/>
      <c r="AG49" s="15"/>
      <c r="AH49" s="15"/>
      <c r="AI49" s="15"/>
      <c r="AJ49" s="15"/>
      <c r="AK49" s="15"/>
      <c r="AL49" s="15"/>
      <c r="AM49" s="15"/>
      <c r="AN49" s="15"/>
      <c r="AO49" s="15"/>
      <c r="AP49" s="15"/>
      <c r="AQ49" s="15"/>
      <c r="AR49" s="15"/>
      <c r="AS49" s="15"/>
      <c r="AT49" s="15"/>
      <c r="AU49" s="15"/>
      <c r="AV49" s="15"/>
      <c r="AW49" s="15"/>
      <c r="AX49" s="15"/>
      <c r="AY49" s="15"/>
      <c r="AZ49" s="15"/>
      <c r="BA49" s="15"/>
      <c r="BB49" s="15"/>
      <c r="BC49" s="15"/>
      <c r="BD49" s="15"/>
      <c r="BE49" s="15"/>
      <c r="BF49" s="15"/>
      <c r="BG49" s="15"/>
      <c r="BH49" s="15"/>
      <c r="BI49" s="15"/>
      <c r="BJ49" s="15"/>
      <c r="BK49" s="15"/>
      <c r="BL49" s="15"/>
      <c r="BM49" s="15"/>
      <c r="BN49" s="15"/>
      <c r="BO49" s="15"/>
      <c r="BP49" s="15"/>
      <c r="BQ49" s="15"/>
      <c r="BR49" s="15"/>
      <c r="BS49" s="15"/>
      <c r="BT49" s="15"/>
      <c r="BU49" s="15"/>
      <c r="BV49" s="15"/>
      <c r="BW49" s="15"/>
      <c r="BX49" s="15"/>
      <c r="BY49" s="15"/>
      <c r="BZ49" s="15"/>
      <c r="CA49" s="15"/>
      <c r="CB49" s="15"/>
      <c r="CC49" s="15"/>
      <c r="CD49" s="15"/>
      <c r="CE49" s="15"/>
      <c r="CF49" s="15"/>
      <c r="CG49" s="15"/>
      <c r="CH49" s="15"/>
      <c r="CI49" s="15"/>
      <c r="CJ49" s="15"/>
      <c r="CK49" s="15"/>
      <c r="CL49" s="15"/>
      <c r="CM49" s="15"/>
      <c r="CN49" s="15"/>
      <c r="CO49" s="15"/>
      <c r="CP49" s="15"/>
      <c r="CQ49" s="15"/>
      <c r="CR49" s="15"/>
      <c r="CS49" s="15"/>
      <c r="CT49" s="15"/>
    </row>
    <row r="50" spans="1:120" s="642" customFormat="1" ht="15" customHeight="1">
      <c r="B50" s="617" t="s">
        <v>1025</v>
      </c>
      <c r="C50" s="618" t="s">
        <v>620</v>
      </c>
      <c r="D50" s="618" t="s">
        <v>1117</v>
      </c>
      <c r="E50" s="618" t="s">
        <v>685</v>
      </c>
      <c r="F50" s="619" t="s">
        <v>1616</v>
      </c>
      <c r="G50" s="619" t="s">
        <v>729</v>
      </c>
      <c r="H50" s="618" t="s">
        <v>1034</v>
      </c>
      <c r="I50" s="618" t="s">
        <v>1614</v>
      </c>
      <c r="J50" s="618" t="s">
        <v>1613</v>
      </c>
      <c r="K50" s="618" t="s">
        <v>1636</v>
      </c>
      <c r="L50" s="618" t="s">
        <v>1643</v>
      </c>
      <c r="M50" s="619" t="s">
        <v>919</v>
      </c>
      <c r="N50" s="619" t="s">
        <v>174</v>
      </c>
      <c r="O50" s="619" t="s">
        <v>270</v>
      </c>
      <c r="P50" s="619" t="s">
        <v>760</v>
      </c>
      <c r="Q50" s="620" t="s">
        <v>761</v>
      </c>
      <c r="S50" s="1077" t="s">
        <v>1025</v>
      </c>
      <c r="T50" s="1078" t="s">
        <v>1897</v>
      </c>
      <c r="U50" s="1078" t="s">
        <v>1709</v>
      </c>
      <c r="V50" s="1078" t="s">
        <v>1710</v>
      </c>
      <c r="W50" s="1078" t="s">
        <v>9</v>
      </c>
      <c r="X50" s="1078" t="s">
        <v>768</v>
      </c>
      <c r="Y50" s="1078" t="s">
        <v>1712</v>
      </c>
      <c r="Z50" s="1078" t="s">
        <v>1713</v>
      </c>
      <c r="AA50" s="1079" t="s">
        <v>1896</v>
      </c>
      <c r="AB50" s="15"/>
      <c r="AC50" s="1066" t="s">
        <v>1025</v>
      </c>
      <c r="AD50" s="1067" t="s">
        <v>16</v>
      </c>
      <c r="AE50" s="1067" t="s">
        <v>267</v>
      </c>
      <c r="AF50" s="1067" t="s">
        <v>268</v>
      </c>
      <c r="AG50" s="1067" t="s">
        <v>269</v>
      </c>
      <c r="AH50" s="1069" t="s">
        <v>20</v>
      </c>
      <c r="AI50" s="15"/>
      <c r="AJ50" s="617" t="s">
        <v>1025</v>
      </c>
      <c r="AK50" s="618" t="s">
        <v>1898</v>
      </c>
      <c r="AL50" s="618" t="s">
        <v>1706</v>
      </c>
      <c r="AM50" s="618" t="s">
        <v>1605</v>
      </c>
      <c r="AN50" s="958" t="s">
        <v>775</v>
      </c>
      <c r="AO50" s="15"/>
      <c r="AP50" s="617" t="s">
        <v>1025</v>
      </c>
      <c r="AQ50" s="618" t="s">
        <v>1707</v>
      </c>
      <c r="AR50" s="958" t="s">
        <v>1708</v>
      </c>
      <c r="AS50" s="15"/>
      <c r="AT50" s="617" t="s">
        <v>1025</v>
      </c>
      <c r="AU50" s="618" t="s">
        <v>768</v>
      </c>
      <c r="AV50" s="958" t="s">
        <v>1905</v>
      </c>
      <c r="AW50" s="15"/>
      <c r="AX50" s="15"/>
      <c r="AY50" s="15"/>
      <c r="AZ50" s="15"/>
      <c r="BA50" s="15"/>
      <c r="BB50" s="15"/>
      <c r="BC50" s="15"/>
      <c r="BD50" s="15"/>
      <c r="BE50" s="15"/>
      <c r="BF50" s="15"/>
      <c r="BG50" s="15"/>
      <c r="BH50" s="15"/>
      <c r="BI50" s="15"/>
      <c r="BJ50" s="15"/>
      <c r="BK50" s="15"/>
      <c r="BL50" s="15"/>
      <c r="BM50" s="15"/>
      <c r="BN50" s="15"/>
      <c r="BO50" s="15"/>
      <c r="BP50" s="15"/>
      <c r="BQ50" s="15"/>
      <c r="BR50" s="15"/>
      <c r="BS50" s="15"/>
      <c r="CB50" s="15"/>
      <c r="CC50" s="15"/>
      <c r="CD50" s="15"/>
      <c r="CE50" s="15"/>
      <c r="CF50" s="15"/>
      <c r="CG50" s="15"/>
      <c r="CH50" s="15"/>
      <c r="CI50" s="15"/>
      <c r="CJ50" s="15"/>
      <c r="CK50" s="15"/>
      <c r="CL50" s="15"/>
      <c r="CM50" s="15"/>
      <c r="CN50" s="15"/>
      <c r="CO50" s="15"/>
      <c r="CP50" s="15"/>
      <c r="CQ50" s="15"/>
      <c r="CR50" s="15"/>
      <c r="CS50" s="15"/>
      <c r="CT50" s="15"/>
      <c r="CU50" s="641"/>
      <c r="CV50" s="641"/>
      <c r="CW50" s="641"/>
      <c r="CX50" s="641"/>
      <c r="CY50" s="641"/>
      <c r="CZ50" s="641"/>
      <c r="DA50" s="641"/>
      <c r="DB50" s="641"/>
      <c r="DC50" s="641"/>
      <c r="DD50" s="641"/>
      <c r="DE50" s="641"/>
      <c r="DF50" s="641"/>
      <c r="DG50" s="641"/>
      <c r="DH50" s="641"/>
      <c r="DI50" s="641"/>
      <c r="DJ50" s="641"/>
      <c r="DK50" s="641"/>
      <c r="DL50" s="641"/>
      <c r="DM50" s="641"/>
      <c r="DN50" s="641"/>
      <c r="DO50" s="641"/>
      <c r="DP50" s="641"/>
    </row>
    <row r="51" spans="1:120" s="33" customFormat="1" ht="15" customHeight="1">
      <c r="A51" s="316"/>
      <c r="B51" s="648" t="str">
        <f>B12</f>
        <v>Atlantis</v>
      </c>
      <c r="C51" s="902" t="str">
        <f t="shared" ref="C51:C79" si="2">VLOOKUP($B51,$B$10:$J$44,2,FALSE)</f>
        <v>Greece</v>
      </c>
      <c r="D51" s="902" t="str">
        <f t="shared" ref="D51:D79" si="3">VLOOKUP($B51,$B$10:$J$44,3,FALSE)</f>
        <v>Europe</v>
      </c>
      <c r="E51" s="902" t="str">
        <f t="shared" ref="E51:E79" si="4">VLOOKUP($B51,$B$10:$J$44,4,FALSE)</f>
        <v>A metropolitan area</v>
      </c>
      <c r="F51" s="643">
        <f t="shared" ref="F51:F69" si="5">VLOOKUP($B51,$B$10:$J$44,5,FALSE)</f>
        <v>2014</v>
      </c>
      <c r="G51" s="644">
        <f t="shared" ref="G51:G78" si="6">F51</f>
        <v>2014</v>
      </c>
      <c r="H51" s="643">
        <f t="shared" ref="H51:H79" si="7">VLOOKUP($B51,$B$10:$J$44,6,FALSE)</f>
        <v>1500000</v>
      </c>
      <c r="I51" s="643">
        <f t="shared" ref="I51:I79" si="8">VLOOKUP($B51,$B$10:$J$44,7,FALSE)</f>
        <v>1000</v>
      </c>
      <c r="J51" s="1038">
        <f t="shared" ref="J51:J79" si="9">VLOOKUP($B51,$B$10:$J$44,8,FALSE)</f>
        <v>200000000000</v>
      </c>
      <c r="K51" s="643" t="s">
        <v>172</v>
      </c>
      <c r="L51" s="643" t="s">
        <v>1556</v>
      </c>
      <c r="M51" s="643" t="s">
        <v>1617</v>
      </c>
      <c r="N51" s="644" t="str">
        <f>B51</f>
        <v>Atlantis</v>
      </c>
      <c r="O51" s="1499">
        <f t="shared" ref="O51:O79" si="10">VLOOKUP($B51,$BL$12:$EP$44,6,FALSE)</f>
        <v>6009856.5042582862</v>
      </c>
      <c r="P51" s="1499">
        <f t="shared" ref="P51:P79" si="11">VLOOKUP($B51,$BL$12:$EP$44,7,FALSE)</f>
        <v>3672734.1612893902</v>
      </c>
      <c r="Q51" s="1499">
        <f t="shared" ref="Q51:Q79" si="12">VLOOKUP($B51,$BL$12:$EP$44,8,FALSE)</f>
        <v>2050000</v>
      </c>
      <c r="R51" s="905"/>
      <c r="S51" s="1041" t="str">
        <f t="shared" ref="S51:S75" si="13">B51</f>
        <v>Atlantis</v>
      </c>
      <c r="T51" s="1500">
        <f t="shared" ref="T51:T79" si="14">VLOOKUP($B51,$BL$12:$EP$44,21,FALSE)</f>
        <v>2619228.8489350001</v>
      </c>
      <c r="U51" s="1500">
        <f t="shared" ref="U51:U79" si="15">VLOOKUP($B51,$BL$12:$EP$44,22,FALSE)</f>
        <v>3358485.3206000002</v>
      </c>
      <c r="V51" s="1500" t="str">
        <f t="shared" ref="V51:V79" si="16">VLOOKUP($B51,$BL$12:$EP$44,23,FALSE)</f>
        <v/>
      </c>
      <c r="W51" s="1500" t="str">
        <f t="shared" ref="W51:W79" si="17">VLOOKUP($B51,$BL$12:$EP$44,24,FALSE)</f>
        <v/>
      </c>
      <c r="X51" s="1500" t="str">
        <f t="shared" ref="X51:X79" si="18">VLOOKUP($B51,$BL$12:$EP$44,25,FALSE)</f>
        <v/>
      </c>
      <c r="Y51" s="1500" t="str">
        <f t="shared" ref="Y51:Y79" si="19">VLOOKUP($B51,$BL$12:$EP$44,26,FALSE)</f>
        <v/>
      </c>
      <c r="Z51" s="1500" t="str">
        <f t="shared" ref="Z51:Z79" si="20">VLOOKUP($B51,$BL$12:$EP$44,27,FALSE)</f>
        <v/>
      </c>
      <c r="AA51" s="1500">
        <f t="shared" ref="AA51:AA79" si="21">VLOOKUP($B51,$BL$12:$EP$44,28,FALSE)</f>
        <v>32142.33472328557</v>
      </c>
      <c r="AB51" s="15"/>
      <c r="AC51" s="1041" t="str">
        <f t="shared" ref="AC51:AC75" si="22">B51</f>
        <v>Atlantis</v>
      </c>
      <c r="AD51" s="1500">
        <f t="shared" ref="AD51:AD79" si="23">VLOOKUP($B51,$BL$12:$EP$44,29,FALSE)</f>
        <v>2791098.9412952</v>
      </c>
      <c r="AE51" s="1500">
        <f t="shared" ref="AE51:AE79" si="24">VLOOKUP($B51,$BL$12:$EP$44,30,FALSE)</f>
        <v>861376.72414239997</v>
      </c>
      <c r="AF51" s="1500">
        <f t="shared" ref="AF51:AF79" si="25">VLOOKUP($B51,$BL$12:$EP$44,31,FALSE)</f>
        <v>20258.495851789849</v>
      </c>
      <c r="AG51" s="1500" t="str">
        <f t="shared" ref="AG51:AG79" si="26">VLOOKUP($B51,$BL$12:$EP$44,32,FALSE)</f>
        <v/>
      </c>
      <c r="AH51" s="1500" t="str">
        <f t="shared" ref="AH51:AH79" si="27">VLOOKUP($B51,$BL$12:$EP$44,33,FALSE)</f>
        <v/>
      </c>
      <c r="AI51" s="15"/>
      <c r="AJ51" s="648" t="str">
        <f>B51</f>
        <v>Atlantis</v>
      </c>
      <c r="AK51" s="1461">
        <f t="shared" ref="AK51:AK79" si="28">VLOOKUP($B51,$BL$12:$EP$44,34,FALSE)</f>
        <v>2000000</v>
      </c>
      <c r="AL51" s="1461" t="str">
        <f t="shared" ref="AL51:AL79" si="29">VLOOKUP($B51,$BL$12:$EP$44,35,FALSE)</f>
        <v/>
      </c>
      <c r="AM51" s="1461" t="str">
        <f t="shared" ref="AM51:AM79" si="30">VLOOKUP($B51,$BL$12:$EP$44,36,FALSE)</f>
        <v/>
      </c>
      <c r="AN51" s="1461">
        <f t="shared" ref="AN51:AN79" si="31">VLOOKUP($B51,$BL$12:$EP$44,37,FALSE)</f>
        <v>50000</v>
      </c>
      <c r="AO51" s="15"/>
      <c r="AP51" s="648"/>
      <c r="AQ51" s="959"/>
      <c r="AR51" s="959"/>
      <c r="AS51" s="15"/>
      <c r="AT51" s="648"/>
      <c r="AU51" s="959"/>
      <c r="AV51" s="959"/>
      <c r="AW51" s="15"/>
      <c r="AX51" s="15"/>
      <c r="AY51" s="15"/>
      <c r="AZ51" s="15"/>
      <c r="BA51" s="15"/>
      <c r="BB51" s="15"/>
      <c r="BC51" s="15"/>
      <c r="BD51" s="15"/>
      <c r="BE51" s="15"/>
      <c r="BF51" s="15"/>
      <c r="BG51" s="15"/>
      <c r="BH51" s="15"/>
      <c r="BI51" s="15"/>
      <c r="BJ51" s="15"/>
      <c r="BK51" s="15"/>
      <c r="BL51" s="15"/>
      <c r="BM51" s="15"/>
      <c r="BN51" s="15"/>
      <c r="BO51" s="15"/>
      <c r="BP51" s="15"/>
      <c r="BQ51" s="15"/>
      <c r="BR51" s="15"/>
      <c r="BS51" s="15"/>
      <c r="CB51" s="15"/>
      <c r="CC51" s="15"/>
      <c r="CD51" s="15"/>
      <c r="CE51" s="15"/>
      <c r="CF51" s="15"/>
      <c r="CG51" s="15"/>
      <c r="CH51" s="15"/>
      <c r="CI51" s="15"/>
      <c r="CJ51" s="15"/>
      <c r="CK51" s="15"/>
      <c r="CL51" s="15"/>
      <c r="CM51" s="15"/>
      <c r="CN51" s="15"/>
      <c r="CO51" s="15"/>
      <c r="CP51" s="15"/>
      <c r="CQ51" s="15"/>
      <c r="CR51" s="15"/>
      <c r="CS51" s="15"/>
      <c r="CT51" s="15"/>
      <c r="CU51" s="645"/>
      <c r="CV51" s="645"/>
      <c r="CW51" s="645"/>
      <c r="CX51" s="645"/>
      <c r="CY51" s="645"/>
      <c r="CZ51" s="645"/>
      <c r="DA51" s="645"/>
      <c r="DB51" s="645"/>
      <c r="DC51" s="645"/>
      <c r="DD51" s="645"/>
      <c r="DE51" s="645"/>
      <c r="DF51" s="645"/>
      <c r="DG51" s="645"/>
      <c r="DH51" s="645"/>
      <c r="DI51" s="645"/>
      <c r="DJ51" s="645"/>
      <c r="DK51" s="645"/>
      <c r="DL51" s="645"/>
      <c r="DM51" s="645"/>
      <c r="DN51" s="645"/>
      <c r="DO51" s="645"/>
      <c r="DP51" s="645"/>
    </row>
    <row r="52" spans="1:120" s="33" customFormat="1" ht="15" customHeight="1">
      <c r="A52" s="316"/>
      <c r="B52" s="648" t="str">
        <f t="shared" ref="B52:B79" si="32">B13</f>
        <v>Amman</v>
      </c>
      <c r="C52" s="902" t="str">
        <f t="shared" si="2"/>
        <v>Jordan</v>
      </c>
      <c r="D52" s="902" t="str">
        <f t="shared" si="3"/>
        <v>South and West Asia</v>
      </c>
      <c r="E52" s="902" t="str">
        <f t="shared" si="4"/>
        <v>A metropolitan area</v>
      </c>
      <c r="F52" s="643">
        <f t="shared" si="5"/>
        <v>2014</v>
      </c>
      <c r="G52" s="644">
        <f t="shared" si="6"/>
        <v>2014</v>
      </c>
      <c r="H52" s="643">
        <f t="shared" si="7"/>
        <v>3400000</v>
      </c>
      <c r="I52" s="643">
        <f t="shared" si="8"/>
        <v>801.92</v>
      </c>
      <c r="J52" s="1038">
        <f t="shared" si="9"/>
        <v>15068000000</v>
      </c>
      <c r="K52" s="643" t="s">
        <v>172</v>
      </c>
      <c r="L52" s="643" t="s">
        <v>1556</v>
      </c>
      <c r="M52" s="643" t="s">
        <v>1617</v>
      </c>
      <c r="N52" s="644" t="str">
        <f t="shared" ref="N52:N79" si="33">IF(VLOOKUP($B52,$B$10:$CC$44,63,FALSE)="","",VLOOKUP($B52,$B$10:$CC$44,63,FALSE))</f>
        <v>Amman</v>
      </c>
      <c r="O52" s="647">
        <f t="shared" si="10"/>
        <v>4754677.6918054624</v>
      </c>
      <c r="P52" s="647">
        <f t="shared" si="11"/>
        <v>2267555.2573226788</v>
      </c>
      <c r="Q52" s="647">
        <f t="shared" si="12"/>
        <v>409188.86410000006</v>
      </c>
      <c r="R52" s="905"/>
      <c r="S52" s="1041" t="str">
        <f t="shared" si="13"/>
        <v>Amman</v>
      </c>
      <c r="T52" s="1080">
        <f t="shared" si="14"/>
        <v>2452195.6466325638</v>
      </c>
      <c r="U52" s="1080">
        <f t="shared" si="15"/>
        <v>1974328.0198790187</v>
      </c>
      <c r="V52" s="1080">
        <f t="shared" si="16"/>
        <v>328154.02529387985</v>
      </c>
      <c r="W52" s="1080" t="str">
        <f t="shared" si="17"/>
        <v/>
      </c>
      <c r="X52" s="1080" t="str">
        <f t="shared" si="18"/>
        <v/>
      </c>
      <c r="Y52" s="1080" t="str">
        <f t="shared" si="19"/>
        <v/>
      </c>
      <c r="Z52" s="1080" t="str">
        <f t="shared" si="20"/>
        <v/>
      </c>
      <c r="AA52" s="1080" t="str">
        <f t="shared" si="21"/>
        <v/>
      </c>
      <c r="AB52" s="15"/>
      <c r="AC52" s="1041" t="str">
        <f t="shared" si="22"/>
        <v>Amman</v>
      </c>
      <c r="AD52" s="1080">
        <f t="shared" si="23"/>
        <v>2267555.2573226788</v>
      </c>
      <c r="AE52" s="1080" t="str">
        <f t="shared" si="24"/>
        <v/>
      </c>
      <c r="AF52" s="1080" t="str">
        <f t="shared" si="25"/>
        <v/>
      </c>
      <c r="AG52" s="1080" t="str">
        <f t="shared" si="26"/>
        <v/>
      </c>
      <c r="AH52" s="1080" t="str">
        <f t="shared" si="27"/>
        <v/>
      </c>
      <c r="AI52" s="15"/>
      <c r="AJ52" s="648" t="str">
        <f t="shared" ref="AJ52:AJ75" si="34">B52</f>
        <v>Amman</v>
      </c>
      <c r="AK52" s="959">
        <f t="shared" si="28"/>
        <v>164198.02410000007</v>
      </c>
      <c r="AL52" s="959" t="str">
        <f t="shared" si="29"/>
        <v/>
      </c>
      <c r="AM52" s="959" t="str">
        <f t="shared" si="30"/>
        <v/>
      </c>
      <c r="AN52" s="959">
        <f t="shared" si="31"/>
        <v>244990.84</v>
      </c>
      <c r="AO52" s="15"/>
      <c r="AP52" s="648"/>
      <c r="AQ52" s="959"/>
      <c r="AR52" s="959"/>
      <c r="AS52" s="15"/>
      <c r="AT52" s="648"/>
      <c r="AU52" s="959"/>
      <c r="AV52" s="959"/>
      <c r="AW52" s="15"/>
      <c r="AX52" s="15"/>
      <c r="AY52" s="15"/>
      <c r="AZ52" s="15"/>
      <c r="BA52" s="15"/>
      <c r="BB52" s="15"/>
      <c r="BC52" s="15"/>
      <c r="BD52" s="15"/>
      <c r="BE52" s="15"/>
      <c r="BF52" s="15"/>
      <c r="BG52" s="15"/>
      <c r="BH52" s="15"/>
      <c r="BI52" s="15"/>
      <c r="BJ52" s="15"/>
      <c r="BK52" s="15"/>
      <c r="BL52" s="15"/>
      <c r="BM52" s="15"/>
      <c r="BN52" s="15"/>
      <c r="BO52" s="15"/>
      <c r="BP52" s="15"/>
      <c r="BQ52" s="15"/>
      <c r="BR52" s="15"/>
      <c r="BS52" s="15"/>
      <c r="CB52" s="15"/>
      <c r="CC52" s="15"/>
      <c r="CD52" s="15"/>
      <c r="CE52" s="15"/>
      <c r="CF52" s="15"/>
      <c r="CG52" s="15"/>
      <c r="CH52" s="15"/>
      <c r="CI52" s="15"/>
      <c r="CJ52" s="15"/>
      <c r="CK52" s="15"/>
      <c r="CL52" s="15"/>
      <c r="CM52" s="15"/>
      <c r="CN52" s="15"/>
      <c r="CO52" s="15"/>
      <c r="CP52" s="15"/>
      <c r="CQ52" s="15"/>
      <c r="CR52" s="15"/>
      <c r="CS52" s="15"/>
      <c r="CT52" s="15"/>
      <c r="CU52" s="645"/>
      <c r="CV52" s="645"/>
      <c r="CW52" s="645"/>
      <c r="CX52" s="645"/>
      <c r="CY52" s="645"/>
      <c r="CZ52" s="645"/>
      <c r="DA52" s="645"/>
      <c r="DB52" s="645"/>
      <c r="DC52" s="645"/>
      <c r="DD52" s="645"/>
      <c r="DE52" s="645"/>
      <c r="DF52" s="645"/>
      <c r="DG52" s="645"/>
      <c r="DH52" s="645"/>
      <c r="DI52" s="645"/>
      <c r="DJ52" s="645"/>
      <c r="DK52" s="645"/>
      <c r="DL52" s="645"/>
      <c r="DM52" s="645"/>
      <c r="DN52" s="645"/>
      <c r="DO52" s="645"/>
      <c r="DP52" s="645"/>
    </row>
    <row r="53" spans="1:120" s="33" customFormat="1" ht="15" customHeight="1">
      <c r="A53" s="316"/>
      <c r="B53" s="648" t="str">
        <f t="shared" si="32"/>
        <v>Athens</v>
      </c>
      <c r="C53" s="902" t="str">
        <f t="shared" si="2"/>
        <v>Greece</v>
      </c>
      <c r="D53" s="902" t="str">
        <f t="shared" si="3"/>
        <v>Europe</v>
      </c>
      <c r="E53" s="902" t="str">
        <f t="shared" si="4"/>
        <v xml:space="preserve">Administrative boundary of a local government </v>
      </c>
      <c r="F53" s="643">
        <f t="shared" si="5"/>
        <v>2014</v>
      </c>
      <c r="G53" s="644">
        <f t="shared" si="6"/>
        <v>2014</v>
      </c>
      <c r="H53" s="643">
        <f t="shared" si="7"/>
        <v>664046</v>
      </c>
      <c r="I53" s="643">
        <f t="shared" si="8"/>
        <v>39</v>
      </c>
      <c r="J53" s="1038">
        <f t="shared" si="9"/>
        <v>22249382330</v>
      </c>
      <c r="K53" s="643" t="s">
        <v>172</v>
      </c>
      <c r="L53" s="643" t="s">
        <v>1556</v>
      </c>
      <c r="M53" s="643" t="s">
        <v>1617</v>
      </c>
      <c r="N53" s="644" t="str">
        <f t="shared" si="33"/>
        <v>Athens</v>
      </c>
      <c r="O53" s="647">
        <f t="shared" si="10"/>
        <v>3331691.271510724</v>
      </c>
      <c r="P53" s="647">
        <f t="shared" si="11"/>
        <v>1064529.4357399077</v>
      </c>
      <c r="Q53" s="647">
        <f t="shared" si="12"/>
        <v>357464.17180826399</v>
      </c>
      <c r="R53" s="905"/>
      <c r="S53" s="1041" t="str">
        <f t="shared" si="13"/>
        <v>Athens</v>
      </c>
      <c r="T53" s="1080">
        <f t="shared" si="14"/>
        <v>1962415.9205152853</v>
      </c>
      <c r="U53" s="1080">
        <f t="shared" si="15"/>
        <v>1331640.4878563925</v>
      </c>
      <c r="V53" s="1080">
        <f t="shared" si="16"/>
        <v>37269.060873798182</v>
      </c>
      <c r="W53" s="1080" t="str">
        <f t="shared" si="17"/>
        <v/>
      </c>
      <c r="X53" s="1080" t="str">
        <f t="shared" si="18"/>
        <v/>
      </c>
      <c r="Y53" s="1080" t="str">
        <f t="shared" si="19"/>
        <v/>
      </c>
      <c r="Z53" s="1080" t="str">
        <f t="shared" si="20"/>
        <v/>
      </c>
      <c r="AA53" s="1080">
        <f t="shared" si="21"/>
        <v>365.80226524816146</v>
      </c>
      <c r="AB53" s="15"/>
      <c r="AC53" s="1041" t="str">
        <f t="shared" si="22"/>
        <v>Athens</v>
      </c>
      <c r="AD53" s="1080">
        <f t="shared" si="23"/>
        <v>1015754.0251876643</v>
      </c>
      <c r="AE53" s="1080">
        <f t="shared" si="24"/>
        <v>48775.41055224336</v>
      </c>
      <c r="AF53" s="1080" t="str">
        <f t="shared" si="25"/>
        <v/>
      </c>
      <c r="AG53" s="1080" t="str">
        <f t="shared" si="26"/>
        <v/>
      </c>
      <c r="AH53" s="1080" t="str">
        <f t="shared" si="27"/>
        <v/>
      </c>
      <c r="AI53" s="15"/>
      <c r="AJ53" s="648" t="str">
        <f t="shared" si="34"/>
        <v>Athens</v>
      </c>
      <c r="AK53" s="959">
        <f t="shared" si="28"/>
        <v>334081.98494235403</v>
      </c>
      <c r="AL53" s="959">
        <f t="shared" si="29"/>
        <v>40.565692000000006</v>
      </c>
      <c r="AM53" s="959" t="str">
        <f t="shared" si="30"/>
        <v/>
      </c>
      <c r="AN53" s="959">
        <f t="shared" si="31"/>
        <v>23341.621173909993</v>
      </c>
      <c r="AO53" s="15"/>
      <c r="AP53" s="648"/>
      <c r="AQ53" s="959"/>
      <c r="AR53" s="959"/>
      <c r="AS53" s="15"/>
      <c r="AT53" s="648"/>
      <c r="AU53" s="959"/>
      <c r="AV53" s="959"/>
      <c r="AW53" s="15"/>
      <c r="AX53" s="15"/>
      <c r="AY53" s="15"/>
      <c r="AZ53" s="15"/>
      <c r="BA53" s="15"/>
      <c r="BB53" s="15"/>
      <c r="BC53" s="15"/>
      <c r="BD53" s="15"/>
      <c r="BE53" s="15"/>
      <c r="BF53" s="15"/>
      <c r="BG53" s="15"/>
      <c r="BH53" s="15"/>
      <c r="BI53" s="15"/>
      <c r="BJ53" s="15"/>
      <c r="BK53" s="15"/>
      <c r="BL53" s="15"/>
      <c r="BM53" s="15"/>
      <c r="BN53" s="15"/>
      <c r="BO53" s="15"/>
      <c r="BP53" s="15"/>
      <c r="BQ53" s="15"/>
      <c r="BR53" s="15"/>
      <c r="BS53" s="15"/>
      <c r="CB53" s="15"/>
      <c r="CC53" s="15"/>
      <c r="CD53" s="15"/>
      <c r="CE53" s="15"/>
      <c r="CF53" s="15"/>
      <c r="CG53" s="15"/>
      <c r="CH53" s="15"/>
      <c r="CI53" s="15"/>
      <c r="CJ53" s="15"/>
      <c r="CK53" s="15"/>
      <c r="CL53" s="15"/>
      <c r="CM53" s="15"/>
      <c r="CN53" s="15"/>
      <c r="CO53" s="15"/>
      <c r="CP53" s="15"/>
      <c r="CQ53" s="15"/>
      <c r="CR53" s="15"/>
      <c r="CS53" s="15"/>
      <c r="CT53" s="15"/>
      <c r="CU53" s="645"/>
      <c r="CV53" s="645"/>
      <c r="CW53" s="645"/>
      <c r="CX53" s="645"/>
      <c r="CY53" s="645"/>
      <c r="CZ53" s="645"/>
      <c r="DA53" s="645"/>
      <c r="DB53" s="645"/>
      <c r="DC53" s="645"/>
      <c r="DD53" s="645"/>
      <c r="DE53" s="645"/>
      <c r="DF53" s="645"/>
      <c r="DG53" s="645"/>
      <c r="DH53" s="645"/>
      <c r="DI53" s="645"/>
      <c r="DJ53" s="645"/>
      <c r="DK53" s="645"/>
      <c r="DL53" s="645"/>
      <c r="DM53" s="645"/>
      <c r="DN53" s="645"/>
      <c r="DO53" s="645"/>
      <c r="DP53" s="645"/>
    </row>
    <row r="54" spans="1:120" s="33" customFormat="1" ht="15" customHeight="1">
      <c r="A54" s="316"/>
      <c r="B54" s="648" t="str">
        <f t="shared" si="32"/>
        <v xml:space="preserve">Bogota </v>
      </c>
      <c r="C54" s="902" t="str">
        <f t="shared" si="2"/>
        <v xml:space="preserve">Colombia </v>
      </c>
      <c r="D54" s="902" t="str">
        <f t="shared" si="3"/>
        <v>Latin America</v>
      </c>
      <c r="E54" s="902" t="str">
        <f t="shared" si="4"/>
        <v xml:space="preserve">Administrative boundary of a local government </v>
      </c>
      <c r="F54" s="643">
        <f t="shared" si="5"/>
        <v>2012</v>
      </c>
      <c r="G54" s="644">
        <f t="shared" si="6"/>
        <v>2012</v>
      </c>
      <c r="H54" s="643">
        <f t="shared" si="7"/>
        <v>7571345</v>
      </c>
      <c r="I54" s="643">
        <f t="shared" si="8"/>
        <v>1636.6</v>
      </c>
      <c r="J54" s="1038">
        <f t="shared" si="9"/>
        <v>68444073455.759605</v>
      </c>
      <c r="K54" s="643" t="s">
        <v>172</v>
      </c>
      <c r="L54" s="643" t="s">
        <v>1556</v>
      </c>
      <c r="M54" s="643" t="s">
        <v>1617</v>
      </c>
      <c r="N54" s="644" t="str">
        <f t="shared" si="33"/>
        <v xml:space="preserve">Bogota </v>
      </c>
      <c r="O54" s="647">
        <f t="shared" si="10"/>
        <v>6784811.0278894939</v>
      </c>
      <c r="P54" s="647">
        <f t="shared" si="11"/>
        <v>4692168.6937487926</v>
      </c>
      <c r="Q54" s="647">
        <f t="shared" si="12"/>
        <v>932503.22112131515</v>
      </c>
      <c r="R54" s="905"/>
      <c r="S54" s="1041" t="str">
        <f t="shared" si="13"/>
        <v xml:space="preserve">Bogota </v>
      </c>
      <c r="T54" s="1080">
        <f t="shared" si="14"/>
        <v>2160028.2570306817</v>
      </c>
      <c r="U54" s="1080">
        <f t="shared" si="15"/>
        <v>2559251.9884535298</v>
      </c>
      <c r="V54" s="1080">
        <f t="shared" si="16"/>
        <v>1896169.2277241398</v>
      </c>
      <c r="W54" s="1080" t="str">
        <f t="shared" si="17"/>
        <v/>
      </c>
      <c r="X54" s="1080">
        <f t="shared" si="18"/>
        <v>49732.085577456193</v>
      </c>
      <c r="Y54" s="1080">
        <f t="shared" si="19"/>
        <v>81403.021776531939</v>
      </c>
      <c r="Z54" s="1080" t="str">
        <f t="shared" si="20"/>
        <v/>
      </c>
      <c r="AA54" s="1080">
        <f t="shared" si="21"/>
        <v>38226.44732715407</v>
      </c>
      <c r="AB54" s="15"/>
      <c r="AC54" s="1041" t="str">
        <f t="shared" si="22"/>
        <v xml:space="preserve">Bogota </v>
      </c>
      <c r="AD54" s="1080">
        <f t="shared" si="23"/>
        <v>4691955.43</v>
      </c>
      <c r="AE54" s="1080">
        <f t="shared" si="24"/>
        <v>213.26374879327605</v>
      </c>
      <c r="AF54" s="1080" t="str">
        <f t="shared" si="25"/>
        <v/>
      </c>
      <c r="AG54" s="1080" t="str">
        <f t="shared" si="26"/>
        <v/>
      </c>
      <c r="AH54" s="1080" t="str">
        <f t="shared" si="27"/>
        <v/>
      </c>
      <c r="AI54" s="15"/>
      <c r="AJ54" s="648" t="str">
        <f t="shared" si="34"/>
        <v xml:space="preserve">Bogota </v>
      </c>
      <c r="AK54" s="959">
        <f t="shared" si="28"/>
        <v>47973.854107185711</v>
      </c>
      <c r="AL54" s="959">
        <f t="shared" si="29"/>
        <v>10.9619988</v>
      </c>
      <c r="AM54" s="959">
        <f t="shared" si="30"/>
        <v>137.45328000000001</v>
      </c>
      <c r="AN54" s="959">
        <f t="shared" si="31"/>
        <v>884380.95173532935</v>
      </c>
      <c r="AO54" s="15"/>
      <c r="AP54" s="648"/>
      <c r="AQ54" s="959"/>
      <c r="AR54" s="959"/>
      <c r="AS54" s="15"/>
      <c r="AT54" s="648"/>
      <c r="AU54" s="959"/>
      <c r="AV54" s="959"/>
      <c r="AW54" s="15"/>
      <c r="AX54" s="15"/>
      <c r="AY54" s="15"/>
      <c r="AZ54" s="15"/>
      <c r="BA54" s="15"/>
      <c r="BB54" s="15"/>
      <c r="BC54" s="15"/>
      <c r="BD54" s="15"/>
      <c r="BE54" s="15"/>
      <c r="BF54" s="15"/>
      <c r="BG54" s="15"/>
      <c r="BH54" s="15"/>
      <c r="BI54" s="15"/>
      <c r="BJ54" s="15"/>
      <c r="BK54" s="15"/>
      <c r="BL54" s="15"/>
      <c r="BM54" s="15"/>
      <c r="BN54" s="15"/>
      <c r="BO54" s="15"/>
      <c r="BP54" s="15"/>
      <c r="BQ54" s="15"/>
      <c r="BR54" s="15"/>
      <c r="BS54" s="15"/>
      <c r="CB54" s="15"/>
      <c r="CC54" s="15"/>
      <c r="CD54" s="15"/>
      <c r="CE54" s="15"/>
      <c r="CF54" s="15"/>
      <c r="CG54" s="15"/>
      <c r="CH54" s="15"/>
      <c r="CI54" s="15"/>
      <c r="CJ54" s="15"/>
      <c r="CK54" s="15"/>
      <c r="CL54" s="15"/>
      <c r="CM54" s="15"/>
      <c r="CN54" s="15"/>
      <c r="CO54" s="15"/>
      <c r="CP54" s="15"/>
      <c r="CQ54" s="15"/>
      <c r="CR54" s="15"/>
      <c r="CS54" s="15"/>
      <c r="CT54" s="15"/>
      <c r="CU54" s="645"/>
      <c r="CV54" s="645"/>
      <c r="CW54" s="645"/>
      <c r="CX54" s="645"/>
      <c r="CY54" s="645"/>
      <c r="CZ54" s="645"/>
      <c r="DA54" s="645"/>
      <c r="DB54" s="645"/>
      <c r="DC54" s="645"/>
      <c r="DD54" s="645"/>
      <c r="DE54" s="645"/>
      <c r="DF54" s="645"/>
      <c r="DG54" s="645"/>
      <c r="DH54" s="645"/>
      <c r="DI54" s="645"/>
      <c r="DJ54" s="645"/>
      <c r="DK54" s="645"/>
      <c r="DL54" s="645"/>
      <c r="DM54" s="645"/>
      <c r="DN54" s="645"/>
      <c r="DO54" s="645"/>
      <c r="DP54" s="645"/>
    </row>
    <row r="55" spans="1:120" s="33" customFormat="1" ht="15" customHeight="1">
      <c r="A55" s="316"/>
      <c r="B55" s="648" t="str">
        <f t="shared" si="32"/>
        <v>Boston</v>
      </c>
      <c r="C55" s="902" t="str">
        <f t="shared" si="2"/>
        <v>USA</v>
      </c>
      <c r="D55" s="902" t="str">
        <f t="shared" si="3"/>
        <v>North America</v>
      </c>
      <c r="E55" s="902" t="str">
        <f t="shared" si="4"/>
        <v xml:space="preserve">Administrative boundary of a local government </v>
      </c>
      <c r="F55" s="643">
        <f t="shared" si="5"/>
        <v>2013</v>
      </c>
      <c r="G55" s="644">
        <f t="shared" si="6"/>
        <v>2013</v>
      </c>
      <c r="H55" s="643">
        <f t="shared" si="7"/>
        <v>644710</v>
      </c>
      <c r="I55" s="643">
        <f t="shared" si="8"/>
        <v>125</v>
      </c>
      <c r="J55" s="1038">
        <f t="shared" si="9"/>
        <v>109829400000</v>
      </c>
      <c r="K55" s="643" t="s">
        <v>172</v>
      </c>
      <c r="L55" s="643" t="s">
        <v>1556</v>
      </c>
      <c r="M55" s="643" t="s">
        <v>1617</v>
      </c>
      <c r="N55" s="644" t="str">
        <f t="shared" si="33"/>
        <v>Boston</v>
      </c>
      <c r="O55" s="647">
        <f t="shared" si="10"/>
        <v>4411429.0452413848</v>
      </c>
      <c r="P55" s="647">
        <f t="shared" si="11"/>
        <v>1596811.8107579006</v>
      </c>
      <c r="Q55" s="647">
        <f t="shared" si="12"/>
        <v>17120.961810486329</v>
      </c>
      <c r="R55" s="905"/>
      <c r="S55" s="1041" t="str">
        <f t="shared" si="13"/>
        <v>Boston</v>
      </c>
      <c r="T55" s="1080">
        <f t="shared" si="14"/>
        <v>1288811.4128356567</v>
      </c>
      <c r="U55" s="1080">
        <f t="shared" si="15"/>
        <v>3100031.4334357306</v>
      </c>
      <c r="V55" s="1080" t="str">
        <f t="shared" si="16"/>
        <v/>
      </c>
      <c r="W55" s="1080" t="str">
        <f t="shared" si="17"/>
        <v/>
      </c>
      <c r="X55" s="1080" t="str">
        <f t="shared" si="18"/>
        <v/>
      </c>
      <c r="Y55" s="1080" t="str">
        <f t="shared" si="19"/>
        <v/>
      </c>
      <c r="Z55" s="1080" t="str">
        <f t="shared" si="20"/>
        <v/>
      </c>
      <c r="AA55" s="1080">
        <f t="shared" si="21"/>
        <v>22586.198969997196</v>
      </c>
      <c r="AB55" s="15"/>
      <c r="AC55" s="1041" t="str">
        <f t="shared" si="22"/>
        <v>Boston</v>
      </c>
      <c r="AD55" s="1080">
        <f t="shared" si="23"/>
        <v>1506122.2340378426</v>
      </c>
      <c r="AE55" s="1080">
        <f t="shared" si="24"/>
        <v>70549.124335827262</v>
      </c>
      <c r="AF55" s="1080">
        <f t="shared" si="25"/>
        <v>385.67362240000006</v>
      </c>
      <c r="AG55" s="1080" t="str">
        <f t="shared" si="26"/>
        <v/>
      </c>
      <c r="AH55" s="1080">
        <f t="shared" si="27"/>
        <v>19754.778761830741</v>
      </c>
      <c r="AI55" s="15"/>
      <c r="AJ55" s="648" t="str">
        <f t="shared" si="34"/>
        <v>Boston</v>
      </c>
      <c r="AK55" s="959" t="str">
        <f t="shared" si="28"/>
        <v/>
      </c>
      <c r="AL55" s="959" t="str">
        <f t="shared" si="29"/>
        <v/>
      </c>
      <c r="AM55" s="959" t="str">
        <f t="shared" si="30"/>
        <v/>
      </c>
      <c r="AN55" s="959">
        <f t="shared" si="31"/>
        <v>17120.961810486329</v>
      </c>
      <c r="AO55" s="15"/>
      <c r="AP55" s="648"/>
      <c r="AQ55" s="959"/>
      <c r="AR55" s="959"/>
      <c r="AS55" s="15"/>
      <c r="AT55" s="648"/>
      <c r="AU55" s="959"/>
      <c r="AV55" s="959"/>
      <c r="AW55" s="15"/>
      <c r="AX55" s="15"/>
      <c r="AY55" s="15"/>
      <c r="AZ55" s="15"/>
      <c r="BA55" s="15"/>
      <c r="BB55" s="15"/>
      <c r="BC55" s="15"/>
      <c r="BD55" s="15"/>
      <c r="BE55" s="15"/>
      <c r="BF55" s="15"/>
      <c r="BG55" s="15"/>
      <c r="BH55" s="15"/>
      <c r="BI55" s="15"/>
      <c r="BJ55" s="15"/>
      <c r="BK55" s="15"/>
      <c r="BL55" s="15"/>
      <c r="BM55" s="15"/>
      <c r="BN55" s="15"/>
      <c r="BO55" s="15"/>
      <c r="BP55" s="15"/>
      <c r="BQ55" s="15"/>
      <c r="BR55" s="15"/>
      <c r="BS55" s="15"/>
      <c r="CB55" s="15"/>
      <c r="CC55" s="15"/>
      <c r="CD55" s="15"/>
      <c r="CE55" s="15"/>
      <c r="CF55" s="15"/>
      <c r="CG55" s="15"/>
      <c r="CH55" s="15"/>
      <c r="CI55" s="15"/>
      <c r="CJ55" s="15"/>
      <c r="CK55" s="15"/>
      <c r="CL55" s="15"/>
      <c r="CM55" s="15"/>
      <c r="CN55" s="15"/>
      <c r="CO55" s="15"/>
      <c r="CP55" s="15"/>
      <c r="CQ55" s="15"/>
      <c r="CR55" s="15"/>
      <c r="CS55" s="15"/>
      <c r="CT55" s="15"/>
      <c r="CU55" s="645"/>
      <c r="CV55" s="645"/>
      <c r="CW55" s="645"/>
      <c r="CX55" s="645"/>
      <c r="CY55" s="645"/>
      <c r="CZ55" s="645"/>
      <c r="DA55" s="645"/>
      <c r="DB55" s="645"/>
      <c r="DC55" s="645"/>
      <c r="DD55" s="645"/>
      <c r="DE55" s="645"/>
      <c r="DF55" s="645"/>
      <c r="DG55" s="645"/>
      <c r="DH55" s="645"/>
      <c r="DI55" s="645"/>
      <c r="DJ55" s="645"/>
      <c r="DK55" s="645"/>
      <c r="DL55" s="645"/>
      <c r="DM55" s="645"/>
      <c r="DN55" s="645"/>
      <c r="DO55" s="645"/>
      <c r="DP55" s="645"/>
    </row>
    <row r="56" spans="1:120" s="33" customFormat="1" ht="15" customHeight="1">
      <c r="A56" s="316"/>
      <c r="B56" s="648" t="str">
        <f t="shared" si="32"/>
        <v xml:space="preserve">Buenos Aires </v>
      </c>
      <c r="C56" s="902" t="str">
        <f t="shared" si="2"/>
        <v>Argentina</v>
      </c>
      <c r="D56" s="902" t="str">
        <f t="shared" si="3"/>
        <v>Latin America</v>
      </c>
      <c r="E56" s="902" t="str">
        <f t="shared" si="4"/>
        <v xml:space="preserve">Administrative boundary of a local government </v>
      </c>
      <c r="F56" s="643">
        <f t="shared" si="5"/>
        <v>2013</v>
      </c>
      <c r="G56" s="644">
        <f t="shared" si="6"/>
        <v>2013</v>
      </c>
      <c r="H56" s="643">
        <f t="shared" si="7"/>
        <v>3079071</v>
      </c>
      <c r="I56" s="643">
        <f t="shared" si="8"/>
        <v>202.04</v>
      </c>
      <c r="J56" s="1038">
        <f t="shared" si="9"/>
        <v>79384000000</v>
      </c>
      <c r="K56" s="643" t="s">
        <v>172</v>
      </c>
      <c r="L56" s="643" t="s">
        <v>1556</v>
      </c>
      <c r="M56" s="643" t="s">
        <v>1617</v>
      </c>
      <c r="N56" s="644" t="str">
        <f t="shared" si="33"/>
        <v xml:space="preserve">Buenos Aires </v>
      </c>
      <c r="O56" s="647">
        <f t="shared" si="10"/>
        <v>7658352.8022113563</v>
      </c>
      <c r="P56" s="647">
        <f t="shared" si="11"/>
        <v>4091327.5129474513</v>
      </c>
      <c r="Q56" s="647">
        <f t="shared" si="12"/>
        <v>1781612.0262634505</v>
      </c>
      <c r="R56" s="905"/>
      <c r="S56" s="1041" t="str">
        <f t="shared" si="13"/>
        <v xml:space="preserve">Buenos Aires </v>
      </c>
      <c r="T56" s="1080">
        <f t="shared" si="14"/>
        <v>3849004.3618988027</v>
      </c>
      <c r="U56" s="1080">
        <f t="shared" si="15"/>
        <v>2922055.2195417774</v>
      </c>
      <c r="V56" s="1080">
        <f t="shared" si="16"/>
        <v>740095.57011270174</v>
      </c>
      <c r="W56" s="1080" t="str">
        <f t="shared" si="17"/>
        <v/>
      </c>
      <c r="X56" s="1080" t="str">
        <f t="shared" si="18"/>
        <v/>
      </c>
      <c r="Y56" s="1080" t="str">
        <f t="shared" si="19"/>
        <v/>
      </c>
      <c r="Z56" s="1080" t="str">
        <f t="shared" si="20"/>
        <v/>
      </c>
      <c r="AA56" s="1080">
        <f t="shared" si="21"/>
        <v>147197.6506580743</v>
      </c>
      <c r="AB56" s="15"/>
      <c r="AC56" s="1041" t="str">
        <f t="shared" si="22"/>
        <v xml:space="preserve">Buenos Aires </v>
      </c>
      <c r="AD56" s="1080">
        <f t="shared" si="23"/>
        <v>3994892.8588032145</v>
      </c>
      <c r="AE56" s="1080">
        <f t="shared" si="24"/>
        <v>96434.654144237007</v>
      </c>
      <c r="AF56" s="1080" t="str">
        <f t="shared" si="25"/>
        <v/>
      </c>
      <c r="AG56" s="1080" t="str">
        <f t="shared" si="26"/>
        <v/>
      </c>
      <c r="AH56" s="1080" t="str">
        <f t="shared" si="27"/>
        <v/>
      </c>
      <c r="AI56" s="15"/>
      <c r="AJ56" s="648" t="str">
        <f t="shared" si="34"/>
        <v xml:space="preserve">Buenos Aires </v>
      </c>
      <c r="AK56" s="959">
        <f t="shared" si="28"/>
        <v>1637774</v>
      </c>
      <c r="AL56" s="959">
        <f t="shared" si="29"/>
        <v>5261.6500000000005</v>
      </c>
      <c r="AM56" s="959" t="str">
        <f t="shared" si="30"/>
        <v/>
      </c>
      <c r="AN56" s="959">
        <f t="shared" si="31"/>
        <v>138576.37626345057</v>
      </c>
      <c r="AO56" s="15"/>
      <c r="AP56" s="648"/>
      <c r="AQ56" s="959"/>
      <c r="AR56" s="959"/>
      <c r="AS56" s="15"/>
      <c r="AT56" s="648"/>
      <c r="AU56" s="959"/>
      <c r="AV56" s="959"/>
      <c r="AW56" s="15"/>
      <c r="AX56" s="15"/>
      <c r="AY56" s="15"/>
      <c r="AZ56" s="15"/>
      <c r="BA56" s="15"/>
      <c r="BB56" s="15"/>
      <c r="BC56" s="15"/>
      <c r="BD56" s="15"/>
      <c r="BE56" s="15"/>
      <c r="BF56" s="15"/>
      <c r="BG56" s="15"/>
      <c r="BH56" s="15"/>
      <c r="BI56" s="15"/>
      <c r="BJ56" s="15"/>
      <c r="BK56" s="15"/>
      <c r="BL56" s="15"/>
      <c r="BM56" s="15"/>
      <c r="BN56" s="15"/>
      <c r="BO56" s="15"/>
      <c r="BP56" s="15"/>
      <c r="BQ56" s="15"/>
      <c r="BR56" s="15"/>
      <c r="BS56" s="15"/>
      <c r="CB56" s="15"/>
      <c r="CC56" s="15"/>
      <c r="CD56" s="15"/>
      <c r="CE56" s="15"/>
      <c r="CF56" s="15"/>
      <c r="CG56" s="15"/>
      <c r="CH56" s="15"/>
      <c r="CI56" s="15"/>
      <c r="CJ56" s="15"/>
      <c r="CK56" s="15"/>
      <c r="CL56" s="15"/>
      <c r="CM56" s="15"/>
      <c r="CN56" s="15"/>
      <c r="CO56" s="15"/>
      <c r="CP56" s="15"/>
      <c r="CQ56" s="15"/>
      <c r="CR56" s="15"/>
      <c r="CS56" s="15"/>
      <c r="CT56" s="15"/>
      <c r="CU56" s="645"/>
      <c r="CV56" s="645"/>
      <c r="CW56" s="645"/>
      <c r="CX56" s="645"/>
      <c r="CY56" s="645"/>
      <c r="CZ56" s="645"/>
      <c r="DA56" s="645"/>
      <c r="DB56" s="645"/>
      <c r="DC56" s="645"/>
      <c r="DD56" s="645"/>
      <c r="DE56" s="645"/>
      <c r="DF56" s="645"/>
      <c r="DG56" s="645"/>
      <c r="DH56" s="645"/>
      <c r="DI56" s="645"/>
      <c r="DJ56" s="645"/>
      <c r="DK56" s="645"/>
      <c r="DL56" s="645"/>
      <c r="DM56" s="645"/>
      <c r="DN56" s="645"/>
      <c r="DO56" s="645"/>
      <c r="DP56" s="645"/>
    </row>
    <row r="57" spans="1:120" s="33" customFormat="1" ht="15" customHeight="1">
      <c r="A57" s="316"/>
      <c r="B57" s="648" t="str">
        <f t="shared" si="32"/>
        <v>Cape Town</v>
      </c>
      <c r="C57" s="902" t="str">
        <f t="shared" si="2"/>
        <v>South Africa</v>
      </c>
      <c r="D57" s="902" t="str">
        <f t="shared" si="3"/>
        <v>Africa</v>
      </c>
      <c r="E57" s="902" t="str">
        <f t="shared" si="4"/>
        <v xml:space="preserve">Administrative boundary of a local government </v>
      </c>
      <c r="F57" s="643">
        <f t="shared" si="5"/>
        <v>2012</v>
      </c>
      <c r="G57" s="644">
        <f t="shared" si="6"/>
        <v>2012</v>
      </c>
      <c r="H57" s="643">
        <f t="shared" si="7"/>
        <v>3837414</v>
      </c>
      <c r="I57" s="643">
        <f t="shared" si="8"/>
        <v>2455</v>
      </c>
      <c r="J57" s="1038">
        <f t="shared" si="9"/>
        <v>17454000000</v>
      </c>
      <c r="K57" s="643" t="s">
        <v>172</v>
      </c>
      <c r="L57" s="643" t="s">
        <v>1556</v>
      </c>
      <c r="M57" s="643" t="s">
        <v>1617</v>
      </c>
      <c r="N57" s="644" t="str">
        <f t="shared" si="33"/>
        <v>Cape Town</v>
      </c>
      <c r="O57" s="647">
        <f t="shared" si="10"/>
        <v>13645416.041849</v>
      </c>
      <c r="P57" s="647">
        <f t="shared" si="11"/>
        <v>5845453.5274820011</v>
      </c>
      <c r="Q57" s="647">
        <f t="shared" si="12"/>
        <v>2423892.1755999997</v>
      </c>
      <c r="R57" s="905"/>
      <c r="S57" s="1041" t="str">
        <f t="shared" si="13"/>
        <v>Cape Town</v>
      </c>
      <c r="T57" s="1080">
        <f t="shared" si="14"/>
        <v>4573895.5879810005</v>
      </c>
      <c r="U57" s="1080">
        <f t="shared" si="15"/>
        <v>5722299.8854640005</v>
      </c>
      <c r="V57" s="1080">
        <f t="shared" si="16"/>
        <v>2097234.5901919999</v>
      </c>
      <c r="W57" s="1080" t="str">
        <f t="shared" si="17"/>
        <v/>
      </c>
      <c r="X57" s="1080">
        <f t="shared" si="18"/>
        <v>209179.49206199998</v>
      </c>
      <c r="Y57" s="1080">
        <f t="shared" si="19"/>
        <v>1042806.48615</v>
      </c>
      <c r="Z57" s="1080" t="str">
        <f t="shared" si="20"/>
        <v/>
      </c>
      <c r="AA57" s="1080" t="str">
        <f t="shared" si="21"/>
        <v/>
      </c>
      <c r="AB57" s="15"/>
      <c r="AC57" s="1041" t="str">
        <f t="shared" si="22"/>
        <v>Cape Town</v>
      </c>
      <c r="AD57" s="1080">
        <f t="shared" si="23"/>
        <v>5743301.3041220009</v>
      </c>
      <c r="AE57" s="1080">
        <f t="shared" si="24"/>
        <v>102152.22336</v>
      </c>
      <c r="AF57" s="1080" t="str">
        <f t="shared" si="25"/>
        <v/>
      </c>
      <c r="AG57" s="1080" t="str">
        <f t="shared" si="26"/>
        <v/>
      </c>
      <c r="AH57" s="1080" t="str">
        <f t="shared" si="27"/>
        <v/>
      </c>
      <c r="AI57" s="15"/>
      <c r="AJ57" s="648" t="str">
        <f t="shared" si="34"/>
        <v>Cape Town</v>
      </c>
      <c r="AK57" s="959">
        <f t="shared" si="28"/>
        <v>2286195.1755999997</v>
      </c>
      <c r="AL57" s="959" t="str">
        <f t="shared" si="29"/>
        <v/>
      </c>
      <c r="AM57" s="959" t="str">
        <f t="shared" si="30"/>
        <v/>
      </c>
      <c r="AN57" s="959">
        <f t="shared" si="31"/>
        <v>137697</v>
      </c>
      <c r="AO57" s="15"/>
      <c r="AP57" s="648"/>
      <c r="AQ57" s="959"/>
      <c r="AR57" s="959"/>
      <c r="AS57" s="15"/>
      <c r="AT57" s="648"/>
      <c r="AU57" s="959"/>
      <c r="AV57" s="959"/>
      <c r="AW57" s="15"/>
      <c r="AX57" s="15"/>
      <c r="AY57" s="15"/>
      <c r="AZ57" s="15"/>
      <c r="BA57" s="15"/>
      <c r="BB57" s="15"/>
      <c r="BC57" s="15"/>
      <c r="BD57" s="15"/>
      <c r="BE57" s="15"/>
      <c r="BF57" s="15"/>
      <c r="BG57" s="15"/>
      <c r="BH57" s="15"/>
      <c r="BI57" s="15"/>
      <c r="BJ57" s="15"/>
      <c r="BK57" s="15"/>
      <c r="BL57" s="15"/>
      <c r="BM57" s="15"/>
      <c r="BN57" s="15"/>
      <c r="BO57" s="15"/>
      <c r="BP57" s="15"/>
      <c r="BQ57" s="15"/>
      <c r="BR57" s="15"/>
      <c r="BS57" s="15"/>
      <c r="CB57" s="15"/>
      <c r="CC57" s="15"/>
      <c r="CD57" s="15"/>
      <c r="CE57" s="15"/>
      <c r="CF57" s="15"/>
      <c r="CG57" s="15"/>
      <c r="CH57" s="15"/>
      <c r="CI57" s="15"/>
      <c r="CJ57" s="15"/>
      <c r="CK57" s="15"/>
      <c r="CL57" s="15"/>
      <c r="CM57" s="15"/>
      <c r="CN57" s="15"/>
      <c r="CO57" s="15"/>
      <c r="CP57" s="15"/>
      <c r="CQ57" s="15"/>
      <c r="CR57" s="15"/>
      <c r="CS57" s="15"/>
      <c r="CT57" s="15"/>
      <c r="CU57" s="645"/>
      <c r="CV57" s="645"/>
      <c r="CW57" s="645"/>
      <c r="CX57" s="645"/>
      <c r="CY57" s="645"/>
      <c r="CZ57" s="645"/>
      <c r="DA57" s="645"/>
      <c r="DB57" s="645"/>
      <c r="DC57" s="645"/>
      <c r="DD57" s="645"/>
      <c r="DE57" s="645"/>
      <c r="DF57" s="645"/>
      <c r="DG57" s="645"/>
      <c r="DH57" s="645"/>
      <c r="DI57" s="645"/>
      <c r="DJ57" s="645"/>
      <c r="DK57" s="645"/>
      <c r="DL57" s="645"/>
      <c r="DM57" s="645"/>
      <c r="DN57" s="645"/>
      <c r="DO57" s="645"/>
      <c r="DP57" s="645"/>
    </row>
    <row r="58" spans="1:120" s="33" customFormat="1" ht="15" customHeight="1">
      <c r="A58" s="316"/>
      <c r="B58" s="648" t="str">
        <f t="shared" si="32"/>
        <v>Chicago</v>
      </c>
      <c r="C58" s="902" t="str">
        <f t="shared" si="2"/>
        <v>USA</v>
      </c>
      <c r="D58" s="902" t="str">
        <f t="shared" si="3"/>
        <v>Europe</v>
      </c>
      <c r="E58" s="902" t="str">
        <f t="shared" si="4"/>
        <v xml:space="preserve">Administrative boundary of a local government </v>
      </c>
      <c r="F58" s="643">
        <f t="shared" si="5"/>
        <v>2010</v>
      </c>
      <c r="G58" s="644">
        <f t="shared" si="6"/>
        <v>2010</v>
      </c>
      <c r="H58" s="643">
        <f t="shared" si="7"/>
        <v>27000000</v>
      </c>
      <c r="I58" s="643">
        <f t="shared" si="8"/>
        <v>606</v>
      </c>
      <c r="J58" s="1038">
        <f t="shared" si="9"/>
        <v>496400000000</v>
      </c>
      <c r="K58" s="643" t="s">
        <v>172</v>
      </c>
      <c r="L58" s="643" t="s">
        <v>1556</v>
      </c>
      <c r="M58" s="643" t="s">
        <v>1617</v>
      </c>
      <c r="N58" s="644" t="str">
        <f t="shared" si="33"/>
        <v>Chicago</v>
      </c>
      <c r="O58" s="647">
        <f t="shared" si="10"/>
        <v>24873202.86329842</v>
      </c>
      <c r="P58" s="647">
        <f t="shared" si="11"/>
        <v>7098432.5434784284</v>
      </c>
      <c r="Q58" s="647">
        <f t="shared" si="12"/>
        <v>1326662.7304606284</v>
      </c>
      <c r="R58" s="905"/>
      <c r="S58" s="1041" t="str">
        <f t="shared" si="13"/>
        <v>Chicago</v>
      </c>
      <c r="T58" s="1080">
        <f t="shared" si="14"/>
        <v>9777941.6127921976</v>
      </c>
      <c r="U58" s="1080">
        <f t="shared" si="15"/>
        <v>13744320.680786941</v>
      </c>
      <c r="V58" s="1080">
        <f t="shared" si="16"/>
        <v>1350940.5697192827</v>
      </c>
      <c r="W58" s="1080" t="str">
        <f t="shared" si="17"/>
        <v/>
      </c>
      <c r="X58" s="1080" t="str">
        <f t="shared" si="18"/>
        <v/>
      </c>
      <c r="Y58" s="1080" t="str">
        <f t="shared" si="19"/>
        <v/>
      </c>
      <c r="Z58" s="1080" t="str">
        <f t="shared" si="20"/>
        <v/>
      </c>
      <c r="AA58" s="1080" t="str">
        <f t="shared" si="21"/>
        <v/>
      </c>
      <c r="AB58" s="15"/>
      <c r="AC58" s="1041" t="str">
        <f t="shared" si="22"/>
        <v>Chicago</v>
      </c>
      <c r="AD58" s="1080">
        <f t="shared" si="23"/>
        <v>6783031.2123398855</v>
      </c>
      <c r="AE58" s="1080">
        <f t="shared" si="24"/>
        <v>314142.79406062287</v>
      </c>
      <c r="AF58" s="1080">
        <f t="shared" si="25"/>
        <v>246.86441798931068</v>
      </c>
      <c r="AG58" s="1080" t="str">
        <f t="shared" si="26"/>
        <v/>
      </c>
      <c r="AH58" s="1080">
        <f t="shared" si="27"/>
        <v>1011.6726599300484</v>
      </c>
      <c r="AI58" s="15"/>
      <c r="AJ58" s="648" t="str">
        <f t="shared" si="34"/>
        <v>Chicago</v>
      </c>
      <c r="AK58" s="959">
        <f t="shared" si="28"/>
        <v>1291449.0378922205</v>
      </c>
      <c r="AL58" s="959" t="str">
        <f t="shared" si="29"/>
        <v/>
      </c>
      <c r="AM58" s="959" t="str">
        <f t="shared" si="30"/>
        <v/>
      </c>
      <c r="AN58" s="959">
        <f t="shared" si="31"/>
        <v>35213.692568407758</v>
      </c>
      <c r="AO58" s="15"/>
      <c r="AP58" s="648"/>
      <c r="AQ58" s="959"/>
      <c r="AR58" s="959"/>
      <c r="AS58" s="15"/>
      <c r="AT58" s="648"/>
      <c r="AU58" s="959"/>
      <c r="AV58" s="959"/>
      <c r="AW58" s="15"/>
      <c r="AX58" s="15"/>
      <c r="AY58" s="15"/>
      <c r="AZ58" s="15"/>
      <c r="BA58" s="15"/>
      <c r="BB58" s="15"/>
      <c r="BC58" s="15"/>
      <c r="BD58" s="15"/>
      <c r="BE58" s="15"/>
      <c r="BF58" s="15"/>
      <c r="BG58" s="15"/>
      <c r="BH58" s="15"/>
      <c r="BI58" s="15"/>
      <c r="BJ58" s="15"/>
      <c r="BK58" s="15"/>
      <c r="BL58" s="15"/>
      <c r="BM58" s="15"/>
      <c r="BN58" s="15"/>
      <c r="BO58" s="15"/>
      <c r="BP58" s="15"/>
      <c r="BQ58" s="15"/>
      <c r="BR58" s="15"/>
      <c r="BS58" s="15"/>
      <c r="CB58" s="15"/>
      <c r="CC58" s="15"/>
      <c r="CD58" s="15"/>
      <c r="CE58" s="15"/>
      <c r="CF58" s="15"/>
      <c r="CG58" s="15"/>
      <c r="CH58" s="15"/>
      <c r="CI58" s="15"/>
      <c r="CJ58" s="15"/>
      <c r="CK58" s="15"/>
      <c r="CL58" s="15"/>
      <c r="CM58" s="15"/>
      <c r="CN58" s="15"/>
      <c r="CO58" s="15"/>
      <c r="CP58" s="15"/>
      <c r="CQ58" s="15"/>
      <c r="CR58" s="15"/>
      <c r="CS58" s="15"/>
      <c r="CT58" s="15"/>
      <c r="CU58" s="645"/>
      <c r="CV58" s="645"/>
      <c r="CW58" s="645"/>
      <c r="CX58" s="645"/>
      <c r="CY58" s="645"/>
      <c r="CZ58" s="645"/>
      <c r="DA58" s="645"/>
      <c r="DB58" s="645"/>
      <c r="DC58" s="645"/>
      <c r="DD58" s="645"/>
      <c r="DE58" s="645"/>
      <c r="DF58" s="645"/>
      <c r="DG58" s="645"/>
      <c r="DH58" s="645"/>
      <c r="DI58" s="645"/>
      <c r="DJ58" s="645"/>
      <c r="DK58" s="645"/>
      <c r="DL58" s="645"/>
      <c r="DM58" s="645"/>
      <c r="DN58" s="645"/>
      <c r="DO58" s="645"/>
      <c r="DP58" s="645"/>
    </row>
    <row r="59" spans="1:120" s="33" customFormat="1" ht="15" customHeight="1">
      <c r="A59" s="316"/>
      <c r="B59" s="648" t="str">
        <f t="shared" si="32"/>
        <v>Copenhagen</v>
      </c>
      <c r="C59" s="902" t="str">
        <f t="shared" si="2"/>
        <v>Denmark</v>
      </c>
      <c r="D59" s="902" t="str">
        <f t="shared" si="3"/>
        <v>Europe</v>
      </c>
      <c r="E59" s="902" t="str">
        <f t="shared" si="4"/>
        <v xml:space="preserve">Administrative boundary of a local government </v>
      </c>
      <c r="F59" s="643">
        <f t="shared" si="5"/>
        <v>2014</v>
      </c>
      <c r="G59" s="644">
        <f t="shared" si="6"/>
        <v>2014</v>
      </c>
      <c r="H59" s="643">
        <f t="shared" si="7"/>
        <v>580184</v>
      </c>
      <c r="I59" s="643">
        <f t="shared" si="8"/>
        <v>86.22</v>
      </c>
      <c r="J59" s="1038">
        <f t="shared" si="9"/>
        <v>51910270000</v>
      </c>
      <c r="K59" s="643" t="s">
        <v>172</v>
      </c>
      <c r="L59" s="643" t="s">
        <v>1556</v>
      </c>
      <c r="M59" s="643" t="s">
        <v>1617</v>
      </c>
      <c r="N59" s="644" t="str">
        <f t="shared" si="33"/>
        <v>Copenhagen</v>
      </c>
      <c r="O59" s="647">
        <f t="shared" si="10"/>
        <v>1129772.2530954184</v>
      </c>
      <c r="P59" s="647">
        <f t="shared" si="11"/>
        <v>580175.2565232137</v>
      </c>
      <c r="Q59" s="647">
        <f t="shared" si="12"/>
        <v>17338</v>
      </c>
      <c r="R59" s="905"/>
      <c r="S59" s="1041" t="str">
        <f t="shared" si="13"/>
        <v>Copenhagen</v>
      </c>
      <c r="T59" s="1080">
        <f t="shared" si="14"/>
        <v>441398.89108419983</v>
      </c>
      <c r="U59" s="1080">
        <f t="shared" si="15"/>
        <v>586532.15220211132</v>
      </c>
      <c r="V59" s="1080">
        <f t="shared" si="16"/>
        <v>101777.08002911691</v>
      </c>
      <c r="W59" s="1080" t="str">
        <f t="shared" si="17"/>
        <v/>
      </c>
      <c r="X59" s="1080">
        <f t="shared" si="18"/>
        <v>64.129779990392024</v>
      </c>
      <c r="Y59" s="1080" t="str">
        <f t="shared" si="19"/>
        <v/>
      </c>
      <c r="Z59" s="1080" t="str">
        <f t="shared" si="20"/>
        <v/>
      </c>
      <c r="AA59" s="1080" t="str">
        <f t="shared" si="21"/>
        <v/>
      </c>
      <c r="AB59" s="15"/>
      <c r="AC59" s="1041" t="str">
        <f t="shared" si="22"/>
        <v>Copenhagen</v>
      </c>
      <c r="AD59" s="1080">
        <f t="shared" si="23"/>
        <v>349230.57939226693</v>
      </c>
      <c r="AE59" s="1080">
        <f t="shared" si="24"/>
        <v>28474.677130946715</v>
      </c>
      <c r="AF59" s="1080">
        <f t="shared" si="25"/>
        <v>140000</v>
      </c>
      <c r="AG59" s="1080" t="str">
        <f t="shared" si="26"/>
        <v/>
      </c>
      <c r="AH59" s="1080">
        <f t="shared" si="27"/>
        <v>62470</v>
      </c>
      <c r="AI59" s="15"/>
      <c r="AJ59" s="648" t="str">
        <f t="shared" si="34"/>
        <v>Copenhagen</v>
      </c>
      <c r="AK59" s="959">
        <f t="shared" si="28"/>
        <v>750</v>
      </c>
      <c r="AL59" s="959" t="str">
        <f t="shared" si="29"/>
        <v/>
      </c>
      <c r="AM59" s="959" t="str">
        <f t="shared" si="30"/>
        <v/>
      </c>
      <c r="AN59" s="959">
        <f t="shared" si="31"/>
        <v>16588</v>
      </c>
      <c r="AO59" s="15"/>
      <c r="AP59" s="648"/>
      <c r="AQ59" s="959"/>
      <c r="AR59" s="959"/>
      <c r="AS59" s="15"/>
      <c r="AT59" s="648"/>
      <c r="AU59" s="959"/>
      <c r="AV59" s="959"/>
      <c r="AW59" s="15"/>
      <c r="AX59" s="15"/>
      <c r="AY59" s="15"/>
      <c r="AZ59" s="15"/>
      <c r="BA59" s="15"/>
      <c r="BB59" s="15"/>
      <c r="BC59" s="15"/>
      <c r="BD59" s="15"/>
      <c r="BE59" s="15"/>
      <c r="BF59" s="15"/>
      <c r="BG59" s="15"/>
      <c r="BH59" s="15"/>
      <c r="BI59" s="15"/>
      <c r="BJ59" s="15"/>
      <c r="BK59" s="15"/>
      <c r="BL59" s="15"/>
      <c r="BM59" s="15"/>
      <c r="BN59" s="15"/>
      <c r="BO59" s="15"/>
      <c r="BP59" s="15"/>
      <c r="BQ59" s="15"/>
      <c r="BR59" s="15"/>
      <c r="BS59" s="15"/>
      <c r="CB59" s="15"/>
      <c r="CC59" s="15"/>
      <c r="CD59" s="15"/>
      <c r="CE59" s="15"/>
      <c r="CF59" s="15"/>
      <c r="CG59" s="15"/>
      <c r="CH59" s="15"/>
      <c r="CI59" s="15"/>
      <c r="CJ59" s="15"/>
      <c r="CK59" s="15"/>
      <c r="CL59" s="15"/>
      <c r="CM59" s="15"/>
      <c r="CN59" s="15"/>
      <c r="CO59" s="15"/>
      <c r="CP59" s="15"/>
      <c r="CQ59" s="15"/>
      <c r="CR59" s="15"/>
      <c r="CS59" s="15"/>
      <c r="CT59" s="15"/>
      <c r="CU59" s="645"/>
      <c r="CV59" s="645"/>
      <c r="CW59" s="645"/>
      <c r="CX59" s="645"/>
      <c r="CY59" s="645"/>
      <c r="CZ59" s="645"/>
      <c r="DA59" s="645"/>
      <c r="DB59" s="645"/>
      <c r="DC59" s="645"/>
      <c r="DD59" s="645"/>
      <c r="DE59" s="645"/>
      <c r="DF59" s="645"/>
      <c r="DG59" s="645"/>
      <c r="DH59" s="645"/>
      <c r="DI59" s="645"/>
      <c r="DJ59" s="645"/>
      <c r="DK59" s="645"/>
      <c r="DL59" s="645"/>
      <c r="DM59" s="645"/>
      <c r="DN59" s="645"/>
      <c r="DO59" s="645"/>
      <c r="DP59" s="645"/>
    </row>
    <row r="60" spans="1:120" s="33" customFormat="1" ht="15" customHeight="1">
      <c r="A60" s="316"/>
      <c r="B60" s="648" t="str">
        <f t="shared" si="32"/>
        <v>District of Columbia</v>
      </c>
      <c r="C60" s="902" t="str">
        <f t="shared" si="2"/>
        <v>United States</v>
      </c>
      <c r="D60" s="902" t="str">
        <f t="shared" si="3"/>
        <v>Europe</v>
      </c>
      <c r="E60" s="902" t="str">
        <f t="shared" si="4"/>
        <v xml:space="preserve">Administrative boundary of a local government </v>
      </c>
      <c r="F60" s="643">
        <f t="shared" si="5"/>
        <v>2013</v>
      </c>
      <c r="G60" s="644">
        <f t="shared" si="6"/>
        <v>2013</v>
      </c>
      <c r="H60" s="643">
        <f t="shared" si="7"/>
        <v>649111</v>
      </c>
      <c r="I60" s="643">
        <f t="shared" si="8"/>
        <v>158</v>
      </c>
      <c r="J60" s="1038">
        <f t="shared" si="9"/>
        <v>113362000000</v>
      </c>
      <c r="K60" s="643" t="s">
        <v>172</v>
      </c>
      <c r="L60" s="643" t="s">
        <v>1556</v>
      </c>
      <c r="M60" s="643" t="s">
        <v>1617</v>
      </c>
      <c r="N60" s="644" t="str">
        <f t="shared" si="33"/>
        <v>District of Columbia</v>
      </c>
      <c r="O60" s="647">
        <f t="shared" si="10"/>
        <v>6471382.6108187651</v>
      </c>
      <c r="P60" s="647">
        <f t="shared" si="11"/>
        <v>1604292.4986277025</v>
      </c>
      <c r="Q60" s="647">
        <f t="shared" si="12"/>
        <v>187391.17269603373</v>
      </c>
      <c r="R60" s="905"/>
      <c r="S60" s="1041" t="str">
        <f t="shared" si="13"/>
        <v>District of Columbia</v>
      </c>
      <c r="T60" s="1080">
        <f t="shared" si="14"/>
        <v>1435331.4491523849</v>
      </c>
      <c r="U60" s="1080">
        <f t="shared" si="15"/>
        <v>5014154.1126171211</v>
      </c>
      <c r="V60" s="1080" t="str">
        <f t="shared" si="16"/>
        <v/>
      </c>
      <c r="W60" s="1080" t="str">
        <f t="shared" si="17"/>
        <v/>
      </c>
      <c r="X60" s="1080" t="str">
        <f t="shared" si="18"/>
        <v/>
      </c>
      <c r="Y60" s="1080" t="str">
        <f t="shared" si="19"/>
        <v/>
      </c>
      <c r="Z60" s="1080" t="str">
        <f t="shared" si="20"/>
        <v/>
      </c>
      <c r="AA60" s="1080">
        <f t="shared" si="21"/>
        <v>21897.049049259589</v>
      </c>
      <c r="AB60" s="15"/>
      <c r="AC60" s="1041" t="str">
        <f t="shared" si="22"/>
        <v>District of Columbia</v>
      </c>
      <c r="AD60" s="1080">
        <f t="shared" si="23"/>
        <v>1477997.8682300001</v>
      </c>
      <c r="AE60" s="1080">
        <f t="shared" si="24"/>
        <v>126294.63039770231</v>
      </c>
      <c r="AF60" s="1080" t="str">
        <f t="shared" si="25"/>
        <v/>
      </c>
      <c r="AG60" s="1080" t="str">
        <f t="shared" si="26"/>
        <v/>
      </c>
      <c r="AH60" s="1080" t="str">
        <f t="shared" si="27"/>
        <v/>
      </c>
      <c r="AI60" s="15"/>
      <c r="AJ60" s="648" t="str">
        <f t="shared" si="34"/>
        <v>District of Columbia</v>
      </c>
      <c r="AK60" s="959">
        <f t="shared" si="28"/>
        <v>181385</v>
      </c>
      <c r="AL60" s="959" t="str">
        <f t="shared" si="29"/>
        <v/>
      </c>
      <c r="AM60" s="959" t="str">
        <f t="shared" si="30"/>
        <v/>
      </c>
      <c r="AN60" s="959">
        <f t="shared" si="31"/>
        <v>6006.1726960337119</v>
      </c>
      <c r="AO60" s="15"/>
      <c r="AP60" s="648"/>
      <c r="AQ60" s="959"/>
      <c r="AR60" s="959"/>
      <c r="AS60" s="15"/>
      <c r="AT60" s="648"/>
      <c r="AU60" s="959"/>
      <c r="AV60" s="959"/>
      <c r="AW60" s="15"/>
      <c r="AX60" s="15"/>
      <c r="AY60" s="15"/>
      <c r="AZ60" s="15"/>
      <c r="BA60" s="15"/>
      <c r="BB60" s="15"/>
      <c r="BC60" s="15"/>
      <c r="BD60" s="15"/>
      <c r="BE60" s="15"/>
      <c r="BF60" s="15"/>
      <c r="BG60" s="15"/>
      <c r="BH60" s="15"/>
      <c r="BI60" s="15"/>
      <c r="BJ60" s="15"/>
      <c r="BK60" s="15"/>
      <c r="BL60" s="15"/>
      <c r="BM60" s="15"/>
      <c r="BN60" s="15"/>
      <c r="BO60" s="15"/>
      <c r="BP60" s="15"/>
      <c r="BQ60" s="15"/>
      <c r="BR60" s="15"/>
      <c r="BS60" s="15"/>
      <c r="CB60" s="15"/>
      <c r="CC60" s="15"/>
      <c r="CD60" s="15"/>
      <c r="CE60" s="15"/>
      <c r="CF60" s="15"/>
      <c r="CG60" s="15"/>
      <c r="CH60" s="15"/>
      <c r="CI60" s="15"/>
      <c r="CJ60" s="15"/>
      <c r="CK60" s="15"/>
      <c r="CL60" s="15"/>
      <c r="CM60" s="15"/>
      <c r="CN60" s="15"/>
      <c r="CO60" s="15"/>
      <c r="CP60" s="15"/>
      <c r="CQ60" s="15"/>
      <c r="CR60" s="15"/>
      <c r="CS60" s="15"/>
      <c r="CT60" s="15"/>
      <c r="CU60" s="645"/>
      <c r="CV60" s="645"/>
      <c r="CW60" s="645"/>
      <c r="CX60" s="645"/>
      <c r="CY60" s="645"/>
      <c r="CZ60" s="645"/>
      <c r="DA60" s="645"/>
      <c r="DB60" s="645"/>
      <c r="DC60" s="645"/>
      <c r="DD60" s="645"/>
      <c r="DE60" s="645"/>
      <c r="DF60" s="645"/>
      <c r="DG60" s="645"/>
      <c r="DH60" s="645"/>
      <c r="DI60" s="645"/>
      <c r="DJ60" s="645"/>
      <c r="DK60" s="645"/>
      <c r="DL60" s="645"/>
      <c r="DM60" s="645"/>
      <c r="DN60" s="645"/>
      <c r="DO60" s="645"/>
      <c r="DP60" s="645"/>
    </row>
    <row r="61" spans="1:120" s="33" customFormat="1" ht="15" customHeight="1">
      <c r="A61" s="316"/>
      <c r="B61" s="648" t="str">
        <f t="shared" si="32"/>
        <v>Johannesburg</v>
      </c>
      <c r="C61" s="902" t="str">
        <f t="shared" si="2"/>
        <v>South Africa</v>
      </c>
      <c r="D61" s="902" t="str">
        <f t="shared" si="3"/>
        <v>Africa</v>
      </c>
      <c r="E61" s="902" t="str">
        <f t="shared" si="4"/>
        <v xml:space="preserve">Administrative boundary of a local government </v>
      </c>
      <c r="F61" s="643">
        <f t="shared" si="5"/>
        <v>2014</v>
      </c>
      <c r="G61" s="644">
        <f t="shared" si="6"/>
        <v>2014</v>
      </c>
      <c r="H61" s="643">
        <f t="shared" si="7"/>
        <v>4765329</v>
      </c>
      <c r="I61" s="643">
        <f t="shared" si="8"/>
        <v>1648</v>
      </c>
      <c r="J61" s="1038">
        <f t="shared" si="9"/>
        <v>35684773914.663498</v>
      </c>
      <c r="K61" s="643" t="s">
        <v>172</v>
      </c>
      <c r="L61" s="643" t="s">
        <v>1556</v>
      </c>
      <c r="M61" s="643" t="s">
        <v>1617</v>
      </c>
      <c r="N61" s="644" t="str">
        <f t="shared" si="33"/>
        <v>Johannesburg</v>
      </c>
      <c r="O61" s="647">
        <f t="shared" si="10"/>
        <v>15772973.831516653</v>
      </c>
      <c r="P61" s="647">
        <f t="shared" si="11"/>
        <v>7205293.0725375228</v>
      </c>
      <c r="Q61" s="647">
        <f t="shared" si="12"/>
        <v>1738445.9594545953</v>
      </c>
      <c r="R61" s="905"/>
      <c r="S61" s="1041" t="str">
        <f t="shared" si="13"/>
        <v>Johannesburg</v>
      </c>
      <c r="T61" s="1080">
        <f t="shared" si="14"/>
        <v>7175603.8635195894</v>
      </c>
      <c r="U61" s="1080">
        <f t="shared" si="15"/>
        <v>8348402.6908001639</v>
      </c>
      <c r="V61" s="1080">
        <f t="shared" si="16"/>
        <v>245744.67944240401</v>
      </c>
      <c r="W61" s="1080" t="str">
        <f t="shared" si="17"/>
        <v/>
      </c>
      <c r="X61" s="1080" t="str">
        <f t="shared" si="18"/>
        <v/>
      </c>
      <c r="Y61" s="1080" t="str">
        <f t="shared" si="19"/>
        <v/>
      </c>
      <c r="Z61" s="1080" t="str">
        <f t="shared" si="20"/>
        <v/>
      </c>
      <c r="AA61" s="1080">
        <f t="shared" si="21"/>
        <v>3222.5977544956122</v>
      </c>
      <c r="AB61" s="15"/>
      <c r="AC61" s="1041" t="str">
        <f t="shared" si="22"/>
        <v>Johannesburg</v>
      </c>
      <c r="AD61" s="1080">
        <f t="shared" si="23"/>
        <v>6875121.110458347</v>
      </c>
      <c r="AE61" s="1080">
        <f t="shared" si="24"/>
        <v>330171.96207917598</v>
      </c>
      <c r="AF61" s="1080" t="str">
        <f t="shared" si="25"/>
        <v/>
      </c>
      <c r="AG61" s="1080" t="str">
        <f t="shared" si="26"/>
        <v/>
      </c>
      <c r="AH61" s="1080" t="str">
        <f t="shared" si="27"/>
        <v/>
      </c>
      <c r="AI61" s="15"/>
      <c r="AJ61" s="648" t="str">
        <f t="shared" si="34"/>
        <v>Johannesburg</v>
      </c>
      <c r="AK61" s="959">
        <f t="shared" si="28"/>
        <v>1619552.25</v>
      </c>
      <c r="AL61" s="959">
        <f t="shared" si="29"/>
        <v>3315</v>
      </c>
      <c r="AM61" s="959">
        <f t="shared" si="30"/>
        <v>7228</v>
      </c>
      <c r="AN61" s="959">
        <f t="shared" si="31"/>
        <v>108350.70945459536</v>
      </c>
      <c r="AO61" s="15"/>
      <c r="AP61" s="648"/>
      <c r="AQ61" s="959"/>
      <c r="AR61" s="959"/>
      <c r="AS61" s="15"/>
      <c r="AT61" s="648"/>
      <c r="AU61" s="959"/>
      <c r="AV61" s="959"/>
      <c r="AW61" s="15"/>
      <c r="AX61" s="15"/>
      <c r="AY61" s="15"/>
      <c r="AZ61" s="15"/>
      <c r="BA61" s="15"/>
      <c r="BB61" s="15"/>
      <c r="BC61" s="15"/>
      <c r="BD61" s="15"/>
      <c r="BE61" s="15"/>
      <c r="BF61" s="15"/>
      <c r="BG61" s="15"/>
      <c r="BH61" s="15"/>
      <c r="BI61" s="15"/>
      <c r="BJ61" s="15"/>
      <c r="BK61" s="15"/>
      <c r="BL61" s="15"/>
      <c r="BM61" s="15"/>
      <c r="BN61" s="15"/>
      <c r="BO61" s="15"/>
      <c r="BP61" s="15"/>
      <c r="BQ61" s="15"/>
      <c r="BR61" s="15"/>
      <c r="BS61" s="15"/>
      <c r="CB61" s="15"/>
      <c r="CC61" s="15"/>
      <c r="CD61" s="15"/>
      <c r="CE61" s="15"/>
      <c r="CF61" s="15"/>
      <c r="CG61" s="15"/>
      <c r="CH61" s="15"/>
      <c r="CI61" s="15"/>
      <c r="CJ61" s="15"/>
      <c r="CK61" s="15"/>
      <c r="CL61" s="15"/>
      <c r="CM61" s="15"/>
      <c r="CN61" s="15"/>
      <c r="CO61" s="15"/>
      <c r="CP61" s="15"/>
      <c r="CQ61" s="15"/>
      <c r="CR61" s="15"/>
      <c r="CS61" s="15"/>
      <c r="CT61" s="15"/>
      <c r="CU61" s="645"/>
      <c r="CV61" s="645"/>
      <c r="CW61" s="645"/>
      <c r="CX61" s="645"/>
      <c r="CY61" s="645"/>
      <c r="CZ61" s="645"/>
      <c r="DA61" s="645"/>
      <c r="DB61" s="645"/>
      <c r="DC61" s="645"/>
      <c r="DD61" s="645"/>
      <c r="DE61" s="645"/>
      <c r="DF61" s="645"/>
      <c r="DG61" s="645"/>
      <c r="DH61" s="645"/>
      <c r="DI61" s="645"/>
      <c r="DJ61" s="645"/>
      <c r="DK61" s="645"/>
      <c r="DL61" s="645"/>
      <c r="DM61" s="645"/>
      <c r="DN61" s="645"/>
      <c r="DO61" s="645"/>
      <c r="DP61" s="645"/>
    </row>
    <row r="62" spans="1:120" s="33" customFormat="1" ht="15" customHeight="1">
      <c r="A62" s="316"/>
      <c r="B62" s="648" t="str">
        <f t="shared" si="32"/>
        <v>London</v>
      </c>
      <c r="C62" s="902" t="str">
        <f t="shared" si="2"/>
        <v>United Kingdom</v>
      </c>
      <c r="D62" s="902" t="str">
        <f t="shared" si="3"/>
        <v>Europe</v>
      </c>
      <c r="E62" s="902" t="str">
        <f t="shared" si="4"/>
        <v xml:space="preserve">Administrative boundary of a local government </v>
      </c>
      <c r="F62" s="643">
        <f t="shared" si="5"/>
        <v>2013</v>
      </c>
      <c r="G62" s="644">
        <f t="shared" si="6"/>
        <v>2013</v>
      </c>
      <c r="H62" s="643">
        <f t="shared" si="7"/>
        <v>8416500</v>
      </c>
      <c r="I62" s="643">
        <f t="shared" si="8"/>
        <v>1595</v>
      </c>
      <c r="J62" s="1038">
        <f t="shared" si="9"/>
        <v>481061890500</v>
      </c>
      <c r="K62" s="643" t="s">
        <v>172</v>
      </c>
      <c r="L62" s="643" t="s">
        <v>1556</v>
      </c>
      <c r="M62" s="643" t="s">
        <v>1617</v>
      </c>
      <c r="N62" s="644" t="str">
        <f t="shared" si="33"/>
        <v>London</v>
      </c>
      <c r="O62" s="647">
        <f t="shared" si="10"/>
        <v>30682922.869870856</v>
      </c>
      <c r="P62" s="647">
        <f t="shared" si="11"/>
        <v>7289849.1862075683</v>
      </c>
      <c r="Q62" s="647">
        <f t="shared" si="12"/>
        <v>1852391.7903382543</v>
      </c>
      <c r="R62" s="905"/>
      <c r="S62" s="1041" t="str">
        <f t="shared" si="13"/>
        <v>London</v>
      </c>
      <c r="T62" s="1080">
        <f t="shared" si="14"/>
        <v>14169216.962681206</v>
      </c>
      <c r="U62" s="1080">
        <f t="shared" si="15"/>
        <v>16501918.207189653</v>
      </c>
      <c r="V62" s="1080" t="str">
        <f t="shared" si="16"/>
        <v/>
      </c>
      <c r="W62" s="1080" t="str">
        <f t="shared" si="17"/>
        <v/>
      </c>
      <c r="X62" s="1080" t="str">
        <f t="shared" si="18"/>
        <v/>
      </c>
      <c r="Y62" s="1080" t="str">
        <f t="shared" si="19"/>
        <v/>
      </c>
      <c r="Z62" s="1080" t="str">
        <f t="shared" si="20"/>
        <v/>
      </c>
      <c r="AA62" s="1080">
        <f t="shared" si="21"/>
        <v>11787.7</v>
      </c>
      <c r="AB62" s="15"/>
      <c r="AC62" s="1041" t="str">
        <f t="shared" si="22"/>
        <v>London</v>
      </c>
      <c r="AD62" s="1080">
        <f t="shared" si="23"/>
        <v>6034654.4213315966</v>
      </c>
      <c r="AE62" s="1080">
        <f t="shared" si="24"/>
        <v>1198783.2690241819</v>
      </c>
      <c r="AF62" s="1080">
        <f t="shared" si="25"/>
        <v>20258.495851789849</v>
      </c>
      <c r="AG62" s="1080" t="str">
        <f t="shared" si="26"/>
        <v/>
      </c>
      <c r="AH62" s="1080">
        <f t="shared" si="27"/>
        <v>36153</v>
      </c>
      <c r="AI62" s="15"/>
      <c r="AJ62" s="648" t="str">
        <f t="shared" si="34"/>
        <v>London</v>
      </c>
      <c r="AK62" s="959">
        <f t="shared" si="28"/>
        <v>1510397.0400977638</v>
      </c>
      <c r="AL62" s="959">
        <f t="shared" si="29"/>
        <v>79.588260376339704</v>
      </c>
      <c r="AM62" s="959">
        <f t="shared" si="30"/>
        <v>335285.38258504425</v>
      </c>
      <c r="AN62" s="959">
        <f t="shared" si="31"/>
        <v>6629.7793950698488</v>
      </c>
      <c r="AO62" s="15"/>
      <c r="AP62" s="648"/>
      <c r="AQ62" s="959"/>
      <c r="AR62" s="959"/>
      <c r="AS62" s="15"/>
      <c r="AT62" s="648"/>
      <c r="AU62" s="959"/>
      <c r="AV62" s="959"/>
      <c r="AW62" s="15"/>
      <c r="AX62" s="15"/>
      <c r="AY62" s="15"/>
      <c r="AZ62" s="15"/>
      <c r="BA62" s="15"/>
      <c r="BB62" s="15"/>
      <c r="BC62" s="15"/>
      <c r="BD62" s="15"/>
      <c r="BE62" s="15"/>
      <c r="BF62" s="15"/>
      <c r="BG62" s="15"/>
      <c r="BH62" s="15"/>
      <c r="BI62" s="15"/>
      <c r="BJ62" s="15"/>
      <c r="BK62" s="15"/>
      <c r="BL62" s="15"/>
      <c r="BM62" s="15"/>
      <c r="BN62" s="15"/>
      <c r="BO62" s="15"/>
      <c r="BP62" s="15"/>
      <c r="BQ62" s="15"/>
      <c r="BR62" s="15"/>
      <c r="BS62" s="15"/>
      <c r="CB62" s="15"/>
      <c r="CC62" s="15"/>
      <c r="CD62" s="15"/>
      <c r="CE62" s="15"/>
      <c r="CF62" s="15"/>
      <c r="CG62" s="15"/>
      <c r="CH62" s="15"/>
      <c r="CI62" s="15"/>
      <c r="CJ62" s="15"/>
      <c r="CK62" s="15"/>
      <c r="CL62" s="15"/>
      <c r="CM62" s="15"/>
      <c r="CN62" s="15"/>
      <c r="CO62" s="15"/>
      <c r="CP62" s="15"/>
      <c r="CQ62" s="15"/>
      <c r="CR62" s="15"/>
      <c r="CS62" s="15"/>
      <c r="CT62" s="15"/>
      <c r="CU62" s="645"/>
      <c r="CV62" s="645"/>
      <c r="CW62" s="645"/>
      <c r="CX62" s="645"/>
      <c r="CY62" s="645"/>
      <c r="CZ62" s="645"/>
      <c r="DA62" s="645"/>
      <c r="DB62" s="645"/>
      <c r="DC62" s="645"/>
      <c r="DD62" s="645"/>
      <c r="DE62" s="645"/>
      <c r="DF62" s="645"/>
      <c r="DG62" s="645"/>
      <c r="DH62" s="645"/>
      <c r="DI62" s="645"/>
      <c r="DJ62" s="645"/>
      <c r="DK62" s="645"/>
      <c r="DL62" s="645"/>
      <c r="DM62" s="645"/>
      <c r="DN62" s="645"/>
      <c r="DO62" s="645"/>
      <c r="DP62" s="645"/>
    </row>
    <row r="63" spans="1:120" s="33" customFormat="1" ht="15" customHeight="1">
      <c r="A63" s="316"/>
      <c r="B63" s="648" t="str">
        <f t="shared" si="32"/>
        <v>Madrid</v>
      </c>
      <c r="C63" s="902" t="str">
        <f t="shared" si="2"/>
        <v>Spain</v>
      </c>
      <c r="D63" s="902" t="str">
        <f t="shared" si="3"/>
        <v>Europe</v>
      </c>
      <c r="E63" s="902" t="str">
        <f t="shared" si="4"/>
        <v xml:space="preserve">Administrative boundary of a local government </v>
      </c>
      <c r="F63" s="643">
        <f t="shared" si="5"/>
        <v>2013</v>
      </c>
      <c r="G63" s="644">
        <f t="shared" si="6"/>
        <v>2013</v>
      </c>
      <c r="H63" s="643">
        <f t="shared" si="7"/>
        <v>3207247</v>
      </c>
      <c r="I63" s="643">
        <f t="shared" si="8"/>
        <v>606</v>
      </c>
      <c r="J63" s="1038">
        <f t="shared" si="9"/>
        <v>103261000000</v>
      </c>
      <c r="K63" s="643" t="s">
        <v>172</v>
      </c>
      <c r="L63" s="643" t="s">
        <v>1556</v>
      </c>
      <c r="M63" s="643" t="s">
        <v>1617</v>
      </c>
      <c r="N63" s="644" t="str">
        <f t="shared" si="33"/>
        <v>Madrid</v>
      </c>
      <c r="O63" s="647">
        <f t="shared" si="10"/>
        <v>5845250.1857733056</v>
      </c>
      <c r="P63" s="647">
        <f t="shared" si="11"/>
        <v>2925664.0276995744</v>
      </c>
      <c r="Q63" s="647">
        <f t="shared" si="12"/>
        <v>431481.33638960292</v>
      </c>
      <c r="R63" s="905"/>
      <c r="S63" s="1041" t="str">
        <f t="shared" si="13"/>
        <v>Madrid</v>
      </c>
      <c r="T63" s="1080">
        <f t="shared" si="14"/>
        <v>2806955.6677012253</v>
      </c>
      <c r="U63" s="1080">
        <f t="shared" si="15"/>
        <v>2399050.7478584778</v>
      </c>
      <c r="V63" s="1080">
        <f t="shared" si="16"/>
        <v>504798.99337979808</v>
      </c>
      <c r="W63" s="1080">
        <f t="shared" si="17"/>
        <v>37818.168982663905</v>
      </c>
      <c r="X63" s="1080">
        <f t="shared" si="18"/>
        <v>29282.843294989318</v>
      </c>
      <c r="Y63" s="1080">
        <f t="shared" si="19"/>
        <v>49379.37165943643</v>
      </c>
      <c r="Z63" s="1080" t="str">
        <f t="shared" si="20"/>
        <v/>
      </c>
      <c r="AA63" s="1080">
        <f t="shared" si="21"/>
        <v>17964.392896713704</v>
      </c>
      <c r="AB63" s="15"/>
      <c r="AC63" s="1041" t="str">
        <f t="shared" si="22"/>
        <v>Madrid</v>
      </c>
      <c r="AD63" s="1080">
        <f t="shared" si="23"/>
        <v>2149164.8768067854</v>
      </c>
      <c r="AE63" s="1080">
        <f t="shared" si="24"/>
        <v>270331.42359278939</v>
      </c>
      <c r="AF63" s="1080" t="str">
        <f t="shared" si="25"/>
        <v/>
      </c>
      <c r="AG63" s="1080">
        <f t="shared" si="26"/>
        <v>506167.72730000003</v>
      </c>
      <c r="AH63" s="1080" t="str">
        <f t="shared" si="27"/>
        <v/>
      </c>
      <c r="AI63" s="15"/>
      <c r="AJ63" s="648" t="str">
        <f t="shared" si="34"/>
        <v>Madrid</v>
      </c>
      <c r="AK63" s="959">
        <f t="shared" si="28"/>
        <v>338011.17891383066</v>
      </c>
      <c r="AL63" s="959">
        <f t="shared" si="29"/>
        <v>3675.2000000000003</v>
      </c>
      <c r="AM63" s="959">
        <f t="shared" si="30"/>
        <v>374.96522800000008</v>
      </c>
      <c r="AN63" s="959">
        <f t="shared" si="31"/>
        <v>89419.992247772228</v>
      </c>
      <c r="AO63" s="15"/>
      <c r="AP63" s="648"/>
      <c r="AQ63" s="959"/>
      <c r="AR63" s="959"/>
      <c r="AS63" s="15"/>
      <c r="AT63" s="648"/>
      <c r="AU63" s="959"/>
      <c r="AV63" s="959"/>
      <c r="AW63" s="15"/>
      <c r="AX63" s="15"/>
      <c r="AY63" s="15"/>
      <c r="AZ63" s="15"/>
      <c r="BA63" s="15"/>
      <c r="BB63" s="15"/>
      <c r="BC63" s="15"/>
      <c r="BD63" s="15"/>
      <c r="BE63" s="15"/>
      <c r="BF63" s="15"/>
      <c r="BG63" s="15"/>
      <c r="BH63" s="15"/>
      <c r="BI63" s="15"/>
      <c r="BJ63" s="15"/>
      <c r="BK63" s="15"/>
      <c r="BL63" s="15"/>
      <c r="BM63" s="15"/>
      <c r="BN63" s="15"/>
      <c r="BO63" s="15"/>
      <c r="BP63" s="15"/>
      <c r="BQ63" s="15"/>
      <c r="BR63" s="15"/>
      <c r="BS63" s="15"/>
      <c r="CB63" s="15"/>
      <c r="CC63" s="15"/>
      <c r="CD63" s="15"/>
      <c r="CE63" s="15"/>
      <c r="CF63" s="15"/>
      <c r="CG63" s="15"/>
      <c r="CH63" s="15"/>
      <c r="CI63" s="15"/>
      <c r="CJ63" s="15"/>
      <c r="CK63" s="15"/>
      <c r="CL63" s="15"/>
      <c r="CM63" s="15"/>
      <c r="CN63" s="15"/>
      <c r="CO63" s="15"/>
      <c r="CP63" s="15"/>
      <c r="CQ63" s="15"/>
      <c r="CR63" s="15"/>
      <c r="CS63" s="15"/>
      <c r="CT63" s="15"/>
      <c r="CU63" s="645"/>
      <c r="CV63" s="645"/>
      <c r="CW63" s="645"/>
      <c r="CX63" s="645"/>
      <c r="CY63" s="645"/>
      <c r="CZ63" s="645"/>
      <c r="DA63" s="645"/>
      <c r="DB63" s="645"/>
      <c r="DC63" s="645"/>
      <c r="DD63" s="645"/>
      <c r="DE63" s="645"/>
      <c r="DF63" s="645"/>
      <c r="DG63" s="645"/>
      <c r="DH63" s="645"/>
      <c r="DI63" s="645"/>
      <c r="DJ63" s="645"/>
      <c r="DK63" s="645"/>
      <c r="DL63" s="645"/>
      <c r="DM63" s="645"/>
      <c r="DN63" s="645"/>
      <c r="DO63" s="645"/>
      <c r="DP63" s="645"/>
    </row>
    <row r="64" spans="1:120" s="33" customFormat="1" ht="15" customHeight="1">
      <c r="A64" s="316"/>
      <c r="B64" s="648" t="str">
        <f t="shared" si="32"/>
        <v>City of Melbourne</v>
      </c>
      <c r="C64" s="902" t="str">
        <f t="shared" si="2"/>
        <v>Australia</v>
      </c>
      <c r="D64" s="902" t="str">
        <f t="shared" si="3"/>
        <v>East Asia and Oceania</v>
      </c>
      <c r="E64" s="902" t="str">
        <f t="shared" si="4"/>
        <v xml:space="preserve">Administrative boundary of a local government </v>
      </c>
      <c r="F64" s="643" t="str">
        <f t="shared" si="5"/>
        <v>2013-2014</v>
      </c>
      <c r="G64" s="644" t="str">
        <f t="shared" si="6"/>
        <v>2013-2014</v>
      </c>
      <c r="H64" s="643">
        <f t="shared" si="7"/>
        <v>116431</v>
      </c>
      <c r="I64" s="643">
        <f t="shared" si="8"/>
        <v>37.6</v>
      </c>
      <c r="J64" s="1038">
        <f t="shared" si="9"/>
        <v>67700000000</v>
      </c>
      <c r="K64" s="643" t="s">
        <v>172</v>
      </c>
      <c r="L64" s="643" t="s">
        <v>1556</v>
      </c>
      <c r="M64" s="643" t="s">
        <v>1617</v>
      </c>
      <c r="N64" s="644" t="str">
        <f t="shared" si="33"/>
        <v>City of Melbourne</v>
      </c>
      <c r="O64" s="647">
        <f t="shared" si="10"/>
        <v>5018133.2127769543</v>
      </c>
      <c r="P64" s="647">
        <f t="shared" si="11"/>
        <v>657578.91779697838</v>
      </c>
      <c r="Q64" s="647">
        <f t="shared" si="12"/>
        <v>151815.6</v>
      </c>
      <c r="R64" s="905"/>
      <c r="S64" s="1041" t="str">
        <f t="shared" si="13"/>
        <v>City of Melbourne</v>
      </c>
      <c r="T64" s="1080">
        <f t="shared" si="14"/>
        <v>376306.41160567431</v>
      </c>
      <c r="U64" s="1080">
        <f t="shared" si="15"/>
        <v>4354415.2784284251</v>
      </c>
      <c r="V64" s="1080">
        <f t="shared" si="16"/>
        <v>287411.52274285391</v>
      </c>
      <c r="W64" s="1080" t="str">
        <f t="shared" si="17"/>
        <v/>
      </c>
      <c r="X64" s="1080" t="str">
        <f t="shared" si="18"/>
        <v/>
      </c>
      <c r="Y64" s="1080" t="str">
        <f t="shared" si="19"/>
        <v/>
      </c>
      <c r="Z64" s="1080" t="str">
        <f t="shared" si="20"/>
        <v/>
      </c>
      <c r="AA64" s="1080" t="str">
        <f t="shared" si="21"/>
        <v/>
      </c>
      <c r="AB64" s="15"/>
      <c r="AC64" s="1041" t="str">
        <f t="shared" si="22"/>
        <v>City of Melbourne</v>
      </c>
      <c r="AD64" s="1080">
        <f t="shared" si="23"/>
        <v>447971.45541720005</v>
      </c>
      <c r="AE64" s="1080">
        <f t="shared" si="24"/>
        <v>203757.1436035783</v>
      </c>
      <c r="AF64" s="1080" t="str">
        <f t="shared" si="25"/>
        <v/>
      </c>
      <c r="AG64" s="1080" t="str">
        <f t="shared" si="26"/>
        <v/>
      </c>
      <c r="AH64" s="1080">
        <f t="shared" si="27"/>
        <v>5850.3187762000007</v>
      </c>
      <c r="AI64" s="15"/>
      <c r="AJ64" s="648" t="str">
        <f t="shared" si="34"/>
        <v>City of Melbourne</v>
      </c>
      <c r="AK64" s="959">
        <f t="shared" si="28"/>
        <v>148917.6</v>
      </c>
      <c r="AL64" s="959" t="str">
        <f t="shared" si="29"/>
        <v/>
      </c>
      <c r="AM64" s="959" t="str">
        <f t="shared" si="30"/>
        <v/>
      </c>
      <c r="AN64" s="959">
        <f t="shared" si="31"/>
        <v>2898</v>
      </c>
      <c r="AO64" s="15"/>
      <c r="AP64" s="648"/>
      <c r="AQ64" s="959"/>
      <c r="AR64" s="959"/>
      <c r="AS64" s="15"/>
      <c r="AT64" s="648"/>
      <c r="AU64" s="959"/>
      <c r="AV64" s="959"/>
      <c r="AW64" s="15"/>
      <c r="AX64" s="15"/>
      <c r="AY64" s="15"/>
      <c r="AZ64" s="15"/>
      <c r="BA64" s="15"/>
      <c r="BB64" s="15"/>
      <c r="BC64" s="15"/>
      <c r="BD64" s="15"/>
      <c r="BE64" s="15"/>
      <c r="BF64" s="15"/>
      <c r="BG64" s="15"/>
      <c r="BH64" s="15"/>
      <c r="BI64" s="15"/>
      <c r="BJ64" s="15"/>
      <c r="BK64" s="15"/>
      <c r="BL64" s="15"/>
      <c r="BM64" s="15"/>
      <c r="BN64" s="15"/>
      <c r="BO64" s="15"/>
      <c r="BP64" s="15"/>
      <c r="BQ64" s="15"/>
      <c r="BR64" s="15"/>
      <c r="BS64" s="15"/>
      <c r="CB64" s="15"/>
      <c r="CC64" s="15"/>
      <c r="CD64" s="15"/>
      <c r="CE64" s="15"/>
      <c r="CF64" s="15"/>
      <c r="CG64" s="15"/>
      <c r="CH64" s="15"/>
      <c r="CI64" s="15"/>
      <c r="CJ64" s="15"/>
      <c r="CK64" s="15"/>
      <c r="CL64" s="15"/>
      <c r="CM64" s="15"/>
      <c r="CN64" s="15"/>
      <c r="CO64" s="15"/>
      <c r="CP64" s="15"/>
      <c r="CQ64" s="15"/>
      <c r="CR64" s="15"/>
      <c r="CS64" s="15"/>
      <c r="CT64" s="15"/>
      <c r="CU64" s="645"/>
      <c r="CV64" s="645"/>
      <c r="CW64" s="645"/>
      <c r="CX64" s="645"/>
      <c r="CY64" s="645"/>
      <c r="CZ64" s="645"/>
      <c r="DA64" s="645"/>
      <c r="DB64" s="645"/>
      <c r="DC64" s="645"/>
      <c r="DD64" s="645"/>
      <c r="DE64" s="645"/>
      <c r="DF64" s="645"/>
      <c r="DG64" s="645"/>
      <c r="DH64" s="645"/>
      <c r="DI64" s="645"/>
      <c r="DJ64" s="645"/>
      <c r="DK64" s="645"/>
      <c r="DL64" s="645"/>
      <c r="DM64" s="645"/>
      <c r="DN64" s="645"/>
      <c r="DO64" s="645"/>
      <c r="DP64" s="645"/>
    </row>
    <row r="65" spans="1:120" s="33" customFormat="1" ht="15" customHeight="1">
      <c r="A65" s="316"/>
      <c r="B65" s="648" t="str">
        <f t="shared" si="32"/>
        <v>Mexico City</v>
      </c>
      <c r="C65" s="902" t="str">
        <f t="shared" si="2"/>
        <v>Mexico</v>
      </c>
      <c r="D65" s="902" t="str">
        <f t="shared" si="3"/>
        <v>Latin America</v>
      </c>
      <c r="E65" s="902" t="str">
        <f t="shared" si="4"/>
        <v>Administrative boundary of a local government .</v>
      </c>
      <c r="F65" s="643">
        <f t="shared" si="5"/>
        <v>2012</v>
      </c>
      <c r="G65" s="644">
        <f t="shared" si="6"/>
        <v>2012</v>
      </c>
      <c r="H65" s="643">
        <f t="shared" si="7"/>
        <v>8911664.7271708604</v>
      </c>
      <c r="I65" s="643">
        <f t="shared" si="8"/>
        <v>1485</v>
      </c>
      <c r="J65" s="1038">
        <f t="shared" si="9"/>
        <v>169784923077</v>
      </c>
      <c r="K65" s="643" t="s">
        <v>172</v>
      </c>
      <c r="L65" s="643" t="s">
        <v>1556</v>
      </c>
      <c r="M65" s="643" t="s">
        <v>1617</v>
      </c>
      <c r="N65" s="644" t="str">
        <f t="shared" si="33"/>
        <v>Mexico City</v>
      </c>
      <c r="O65" s="647">
        <f t="shared" si="10"/>
        <v>11815976.276463853</v>
      </c>
      <c r="P65" s="647">
        <f t="shared" si="11"/>
        <v>13676192.345002808</v>
      </c>
      <c r="Q65" s="647">
        <f t="shared" si="12"/>
        <v>4681318.2497566557</v>
      </c>
      <c r="R65" s="905"/>
      <c r="S65" s="1041" t="str">
        <f t="shared" si="13"/>
        <v>Mexico City</v>
      </c>
      <c r="T65" s="1080">
        <f t="shared" si="14"/>
        <v>3998988.0951062581</v>
      </c>
      <c r="U65" s="1080">
        <f t="shared" si="15"/>
        <v>2418255.9376772</v>
      </c>
      <c r="V65" s="1080">
        <f t="shared" si="16"/>
        <v>5367648.1465421952</v>
      </c>
      <c r="W65" s="1080">
        <f t="shared" si="17"/>
        <v>24036.725211199999</v>
      </c>
      <c r="X65" s="1080">
        <f t="shared" si="18"/>
        <v>6447.3719270000001</v>
      </c>
      <c r="Y65" s="1080" t="str">
        <f t="shared" si="19"/>
        <v/>
      </c>
      <c r="Z65" s="1080" t="str">
        <f t="shared" si="20"/>
        <v/>
      </c>
      <c r="AA65" s="1080">
        <f t="shared" si="21"/>
        <v>600</v>
      </c>
      <c r="AB65" s="15"/>
      <c r="AC65" s="1041" t="str">
        <f t="shared" si="22"/>
        <v>Mexico City</v>
      </c>
      <c r="AD65" s="1080">
        <f t="shared" si="23"/>
        <v>11488806.1367772</v>
      </c>
      <c r="AE65" s="1080">
        <f t="shared" si="24"/>
        <v>673671.00695023348</v>
      </c>
      <c r="AF65" s="1080" t="str">
        <f t="shared" si="25"/>
        <v/>
      </c>
      <c r="AG65" s="1080">
        <f t="shared" si="26"/>
        <v>1398451.1388702944</v>
      </c>
      <c r="AH65" s="1080">
        <f t="shared" si="27"/>
        <v>115264.06240507808</v>
      </c>
      <c r="AI65" s="15"/>
      <c r="AJ65" s="648" t="str">
        <f t="shared" si="34"/>
        <v>Mexico City</v>
      </c>
      <c r="AK65" s="959">
        <f t="shared" si="28"/>
        <v>3846025</v>
      </c>
      <c r="AL65" s="959">
        <f t="shared" si="29"/>
        <v>165195.823</v>
      </c>
      <c r="AM65" s="959" t="str">
        <f t="shared" si="30"/>
        <v/>
      </c>
      <c r="AN65" s="959">
        <f t="shared" si="31"/>
        <v>670097.42675665522</v>
      </c>
      <c r="AO65" s="15"/>
      <c r="AP65" s="648"/>
      <c r="AQ65" s="959"/>
      <c r="AR65" s="959"/>
      <c r="AS65" s="15"/>
      <c r="AT65" s="648"/>
      <c r="AU65" s="959"/>
      <c r="AV65" s="959"/>
      <c r="AW65" s="15"/>
      <c r="AX65" s="15"/>
      <c r="AY65" s="15"/>
      <c r="AZ65" s="15"/>
      <c r="BA65" s="15"/>
      <c r="BB65" s="15"/>
      <c r="BC65" s="15"/>
      <c r="BD65" s="15"/>
      <c r="BE65" s="15"/>
      <c r="BF65" s="15"/>
      <c r="BG65" s="15"/>
      <c r="BH65" s="15"/>
      <c r="BI65" s="15"/>
      <c r="BJ65" s="15"/>
      <c r="BK65" s="15"/>
      <c r="BL65" s="15"/>
      <c r="BM65" s="15"/>
      <c r="BN65" s="15"/>
      <c r="BO65" s="15"/>
      <c r="BP65" s="15"/>
      <c r="BQ65" s="15"/>
      <c r="BR65" s="15"/>
      <c r="BS65" s="15"/>
      <c r="CB65" s="15"/>
      <c r="CC65" s="15"/>
      <c r="CD65" s="15"/>
      <c r="CE65" s="15"/>
      <c r="CF65" s="15"/>
      <c r="CG65" s="15"/>
      <c r="CH65" s="15"/>
      <c r="CI65" s="15"/>
      <c r="CJ65" s="15"/>
      <c r="CK65" s="15"/>
      <c r="CL65" s="15"/>
      <c r="CM65" s="15"/>
      <c r="CN65" s="15"/>
      <c r="CO65" s="15"/>
      <c r="CP65" s="15"/>
      <c r="CQ65" s="15"/>
      <c r="CR65" s="15"/>
      <c r="CS65" s="15"/>
      <c r="CT65" s="15"/>
      <c r="CU65" s="645"/>
      <c r="CV65" s="645"/>
      <c r="CW65" s="645"/>
      <c r="CX65" s="645"/>
      <c r="CY65" s="645"/>
      <c r="CZ65" s="645"/>
      <c r="DA65" s="645"/>
      <c r="DB65" s="645"/>
      <c r="DC65" s="645"/>
      <c r="DD65" s="645"/>
      <c r="DE65" s="645"/>
      <c r="DF65" s="645"/>
      <c r="DG65" s="645"/>
      <c r="DH65" s="645"/>
      <c r="DI65" s="645"/>
      <c r="DJ65" s="645"/>
      <c r="DK65" s="645"/>
      <c r="DL65" s="645"/>
      <c r="DM65" s="645"/>
      <c r="DN65" s="645"/>
      <c r="DO65" s="645"/>
      <c r="DP65" s="645"/>
    </row>
    <row r="66" spans="1:120" s="33" customFormat="1" ht="15" customHeight="1">
      <c r="A66" s="316"/>
      <c r="B66" s="648" t="str">
        <f t="shared" si="32"/>
        <v>New York City</v>
      </c>
      <c r="C66" s="902" t="str">
        <f t="shared" si="2"/>
        <v>USA</v>
      </c>
      <c r="D66" s="902" t="str">
        <f t="shared" si="3"/>
        <v>North America</v>
      </c>
      <c r="E66" s="902" t="str">
        <f t="shared" si="4"/>
        <v xml:space="preserve">Administrative boundary of a local government </v>
      </c>
      <c r="F66" s="643">
        <f t="shared" si="5"/>
        <v>2014</v>
      </c>
      <c r="G66" s="644">
        <f t="shared" si="6"/>
        <v>2014</v>
      </c>
      <c r="H66" s="643">
        <f t="shared" si="7"/>
        <v>8491079</v>
      </c>
      <c r="I66" s="643">
        <f t="shared" si="8"/>
        <v>783.8</v>
      </c>
      <c r="J66" s="1038">
        <f t="shared" si="9"/>
        <v>778000000000</v>
      </c>
      <c r="K66" s="643" t="s">
        <v>172</v>
      </c>
      <c r="L66" s="643" t="s">
        <v>1556</v>
      </c>
      <c r="M66" s="643" t="s">
        <v>1617</v>
      </c>
      <c r="N66" s="644" t="str">
        <f t="shared" si="33"/>
        <v>New York City</v>
      </c>
      <c r="O66" s="647">
        <f t="shared" si="10"/>
        <v>36807004.626226932</v>
      </c>
      <c r="P66" s="647">
        <f t="shared" si="11"/>
        <v>11819048.01591114</v>
      </c>
      <c r="Q66" s="647">
        <f t="shared" si="12"/>
        <v>2684925.8482764899</v>
      </c>
      <c r="R66" s="905"/>
      <c r="S66" s="1041" t="str">
        <f t="shared" si="13"/>
        <v>New York City</v>
      </c>
      <c r="T66" s="1080">
        <f t="shared" si="14"/>
        <v>17421643.305516317</v>
      </c>
      <c r="U66" s="1080">
        <f t="shared" si="15"/>
        <v>14695393.227615654</v>
      </c>
      <c r="V66" s="1080">
        <f t="shared" si="16"/>
        <v>4469108.6214139005</v>
      </c>
      <c r="W66" s="1080" t="str">
        <f t="shared" si="17"/>
        <v/>
      </c>
      <c r="X66" s="1080" t="str">
        <f t="shared" si="18"/>
        <v/>
      </c>
      <c r="Y66" s="1080" t="str">
        <f t="shared" si="19"/>
        <v/>
      </c>
      <c r="Z66" s="1080" t="str">
        <f t="shared" si="20"/>
        <v/>
      </c>
      <c r="AA66" s="1080">
        <f t="shared" si="21"/>
        <v>220859.4716810603</v>
      </c>
      <c r="AB66" s="15"/>
      <c r="AC66" s="1041" t="str">
        <f t="shared" si="22"/>
        <v>New York City</v>
      </c>
      <c r="AD66" s="1080">
        <f t="shared" si="23"/>
        <v>10909755.63631295</v>
      </c>
      <c r="AE66" s="1080">
        <f t="shared" si="24"/>
        <v>869138.73938429484</v>
      </c>
      <c r="AF66" s="1080">
        <f t="shared" si="25"/>
        <v>37815.617446276767</v>
      </c>
      <c r="AG66" s="1080">
        <f t="shared" si="26"/>
        <v>2338.0227676172349</v>
      </c>
      <c r="AH66" s="1080" t="str">
        <f t="shared" si="27"/>
        <v/>
      </c>
      <c r="AI66" s="15"/>
      <c r="AJ66" s="648" t="str">
        <f t="shared" si="34"/>
        <v>New York City</v>
      </c>
      <c r="AK66" s="959">
        <f t="shared" si="28"/>
        <v>2305109.1588044823</v>
      </c>
      <c r="AL66" s="959" t="str">
        <f t="shared" si="29"/>
        <v/>
      </c>
      <c r="AM66" s="959">
        <f t="shared" si="30"/>
        <v>162459.47862631147</v>
      </c>
      <c r="AN66" s="959">
        <f t="shared" si="31"/>
        <v>217357.21084569639</v>
      </c>
      <c r="AO66" s="15"/>
      <c r="AP66" s="648"/>
      <c r="AQ66" s="959"/>
      <c r="AR66" s="959"/>
      <c r="AS66" s="15"/>
      <c r="AT66" s="648"/>
      <c r="AU66" s="959"/>
      <c r="AV66" s="959"/>
      <c r="AW66" s="15"/>
      <c r="AX66" s="15"/>
      <c r="AY66" s="15"/>
      <c r="AZ66" s="15"/>
      <c r="BA66" s="15"/>
      <c r="BB66" s="15"/>
      <c r="BC66" s="15"/>
      <c r="BD66" s="15"/>
      <c r="BE66" s="15"/>
      <c r="BF66" s="15"/>
      <c r="BG66" s="15"/>
      <c r="BH66" s="15"/>
      <c r="BI66" s="15"/>
      <c r="BJ66" s="15"/>
      <c r="BK66" s="15"/>
      <c r="BL66" s="15"/>
      <c r="BM66" s="15"/>
      <c r="BN66" s="15"/>
      <c r="BO66" s="15"/>
      <c r="BP66" s="15"/>
      <c r="BQ66" s="15"/>
      <c r="BR66" s="15"/>
      <c r="BS66" s="15"/>
      <c r="CB66" s="15"/>
      <c r="CC66" s="15"/>
      <c r="CD66" s="15"/>
      <c r="CE66" s="15"/>
      <c r="CF66" s="15"/>
      <c r="CG66" s="15"/>
      <c r="CH66" s="15"/>
      <c r="CI66" s="15"/>
      <c r="CJ66" s="15"/>
      <c r="CK66" s="15"/>
      <c r="CL66" s="15"/>
      <c r="CM66" s="15"/>
      <c r="CN66" s="15"/>
      <c r="CO66" s="15"/>
      <c r="CP66" s="15"/>
      <c r="CQ66" s="15"/>
      <c r="CR66" s="15"/>
      <c r="CS66" s="15"/>
      <c r="CT66" s="15"/>
      <c r="CU66" s="645"/>
      <c r="CV66" s="645"/>
      <c r="CW66" s="645"/>
      <c r="CX66" s="645"/>
      <c r="CY66" s="645"/>
      <c r="CZ66" s="645"/>
      <c r="DA66" s="645"/>
      <c r="DB66" s="645"/>
      <c r="DC66" s="645"/>
      <c r="DD66" s="645"/>
      <c r="DE66" s="645"/>
      <c r="DF66" s="645"/>
      <c r="DG66" s="645"/>
      <c r="DH66" s="645"/>
      <c r="DI66" s="645"/>
      <c r="DJ66" s="645"/>
      <c r="DK66" s="645"/>
      <c r="DL66" s="645"/>
      <c r="DM66" s="645"/>
      <c r="DN66" s="645"/>
      <c r="DO66" s="645"/>
      <c r="DP66" s="645"/>
    </row>
    <row r="67" spans="1:120" s="33" customFormat="1" ht="15" customHeight="1">
      <c r="A67" s="316"/>
      <c r="B67" s="648" t="str">
        <f t="shared" si="32"/>
        <v>Stockholm</v>
      </c>
      <c r="C67" s="902" t="str">
        <f t="shared" si="2"/>
        <v>Sweden</v>
      </c>
      <c r="D67" s="902" t="str">
        <f t="shared" si="3"/>
        <v>Europe</v>
      </c>
      <c r="E67" s="902" t="str">
        <f t="shared" si="4"/>
        <v xml:space="preserve">Administrative boundary of a local government </v>
      </c>
      <c r="F67" s="643">
        <f t="shared" si="5"/>
        <v>2012</v>
      </c>
      <c r="G67" s="644">
        <f t="shared" si="6"/>
        <v>2012</v>
      </c>
      <c r="H67" s="643">
        <f t="shared" si="7"/>
        <v>881235</v>
      </c>
      <c r="I67" s="643">
        <f t="shared" si="8"/>
        <v>216</v>
      </c>
      <c r="J67" s="1038">
        <f t="shared" si="9"/>
        <v>416797000000</v>
      </c>
      <c r="K67" s="643" t="s">
        <v>172</v>
      </c>
      <c r="L67" s="643" t="s">
        <v>1556</v>
      </c>
      <c r="M67" s="643" t="s">
        <v>1617</v>
      </c>
      <c r="N67" s="644" t="str">
        <f t="shared" si="33"/>
        <v>Stockholm</v>
      </c>
      <c r="O67" s="647">
        <f t="shared" si="10"/>
        <v>1220809.415</v>
      </c>
      <c r="P67" s="647">
        <f t="shared" si="11"/>
        <v>914868.625</v>
      </c>
      <c r="Q67" s="647">
        <f t="shared" si="12"/>
        <v>7763.3378900000007</v>
      </c>
      <c r="R67" s="905"/>
      <c r="S67" s="1041" t="str">
        <f t="shared" si="13"/>
        <v>Stockholm</v>
      </c>
      <c r="T67" s="1080">
        <f t="shared" si="14"/>
        <v>694265.95595000009</v>
      </c>
      <c r="U67" s="1080">
        <f t="shared" si="15"/>
        <v>476007.72054999997</v>
      </c>
      <c r="V67" s="1080">
        <f t="shared" si="16"/>
        <v>50502.738499999999</v>
      </c>
      <c r="W67" s="1080" t="str">
        <f t="shared" si="17"/>
        <v/>
      </c>
      <c r="X67" s="1080" t="str">
        <f t="shared" si="18"/>
        <v/>
      </c>
      <c r="Y67" s="1080" t="str">
        <f t="shared" si="19"/>
        <v/>
      </c>
      <c r="Z67" s="1080" t="str">
        <f t="shared" si="20"/>
        <v/>
      </c>
      <c r="AA67" s="1080">
        <f t="shared" si="21"/>
        <v>33</v>
      </c>
      <c r="AB67" s="15"/>
      <c r="AC67" s="1041" t="str">
        <f t="shared" si="22"/>
        <v>Stockholm</v>
      </c>
      <c r="AD67" s="1080">
        <f t="shared" si="23"/>
        <v>648378</v>
      </c>
      <c r="AE67" s="1080">
        <f t="shared" si="24"/>
        <v>33190.625</v>
      </c>
      <c r="AF67" s="1080">
        <f t="shared" si="25"/>
        <v>92000</v>
      </c>
      <c r="AG67" s="1080">
        <f t="shared" si="26"/>
        <v>19900</v>
      </c>
      <c r="AH67" s="1080">
        <f t="shared" si="27"/>
        <v>121400</v>
      </c>
      <c r="AI67" s="15"/>
      <c r="AJ67" s="648" t="str">
        <f t="shared" si="34"/>
        <v>Stockholm</v>
      </c>
      <c r="AK67" s="959" t="str">
        <f t="shared" si="28"/>
        <v/>
      </c>
      <c r="AL67" s="959" t="str">
        <f t="shared" si="29"/>
        <v/>
      </c>
      <c r="AM67" s="959" t="str">
        <f t="shared" si="30"/>
        <v/>
      </c>
      <c r="AN67" s="959">
        <f t="shared" si="31"/>
        <v>7763.3378900000007</v>
      </c>
      <c r="AO67" s="15"/>
      <c r="AP67" s="648"/>
      <c r="AQ67" s="959"/>
      <c r="AR67" s="959"/>
      <c r="AS67" s="15"/>
      <c r="AT67" s="648"/>
      <c r="AU67" s="959"/>
      <c r="AV67" s="959"/>
      <c r="AW67" s="15"/>
      <c r="AX67" s="15"/>
      <c r="AY67" s="15"/>
      <c r="AZ67" s="15"/>
      <c r="BA67" s="15"/>
      <c r="BB67" s="15"/>
      <c r="BC67" s="15"/>
      <c r="BD67" s="15"/>
      <c r="BE67" s="15"/>
      <c r="BF67" s="15"/>
      <c r="BG67" s="15"/>
      <c r="BH67" s="15"/>
      <c r="BI67" s="15"/>
      <c r="BJ67" s="15"/>
      <c r="BK67" s="15"/>
      <c r="BL67" s="15"/>
      <c r="BM67" s="15"/>
      <c r="BN67" s="15"/>
      <c r="BO67" s="15"/>
      <c r="BP67" s="15"/>
      <c r="BQ67" s="15"/>
      <c r="BR67" s="15"/>
      <c r="BS67" s="15"/>
      <c r="CB67" s="15"/>
      <c r="CC67" s="15"/>
      <c r="CD67" s="15"/>
      <c r="CE67" s="15"/>
      <c r="CF67" s="15"/>
      <c r="CG67" s="15"/>
      <c r="CH67" s="15"/>
      <c r="CI67" s="15"/>
      <c r="CJ67" s="15"/>
      <c r="CK67" s="15"/>
      <c r="CL67" s="15"/>
      <c r="CM67" s="15"/>
      <c r="CN67" s="15"/>
      <c r="CO67" s="15"/>
      <c r="CP67" s="15"/>
      <c r="CQ67" s="15"/>
      <c r="CR67" s="15"/>
      <c r="CS67" s="15"/>
      <c r="CT67" s="15"/>
      <c r="CU67" s="645"/>
      <c r="CV67" s="645"/>
      <c r="CW67" s="645"/>
      <c r="CX67" s="645"/>
      <c r="CY67" s="645"/>
      <c r="CZ67" s="645"/>
      <c r="DA67" s="645"/>
      <c r="DB67" s="645"/>
      <c r="DC67" s="645"/>
      <c r="DD67" s="645"/>
      <c r="DE67" s="645"/>
      <c r="DF67" s="645"/>
      <c r="DG67" s="645"/>
      <c r="DH67" s="645"/>
      <c r="DI67" s="645"/>
      <c r="DJ67" s="645"/>
      <c r="DK67" s="645"/>
      <c r="DL67" s="645"/>
      <c r="DM67" s="645"/>
      <c r="DN67" s="645"/>
      <c r="DO67" s="645"/>
      <c r="DP67" s="645"/>
    </row>
    <row r="68" spans="1:120" s="33" customFormat="1" ht="15" customHeight="1">
      <c r="A68" s="316"/>
      <c r="B68" s="648" t="str">
        <f t="shared" si="32"/>
        <v>Oslo</v>
      </c>
      <c r="C68" s="902" t="str">
        <f t="shared" si="2"/>
        <v>Norway</v>
      </c>
      <c r="D68" s="902" t="str">
        <f t="shared" si="3"/>
        <v>Europe</v>
      </c>
      <c r="E68" s="902" t="str">
        <f t="shared" si="4"/>
        <v xml:space="preserve">Administrative boundary of a local government </v>
      </c>
      <c r="F68" s="643">
        <f t="shared" si="5"/>
        <v>2013</v>
      </c>
      <c r="G68" s="644">
        <f t="shared" si="6"/>
        <v>2013</v>
      </c>
      <c r="H68" s="643">
        <f t="shared" si="7"/>
        <v>623966</v>
      </c>
      <c r="I68" s="643">
        <f t="shared" si="8"/>
        <v>454</v>
      </c>
      <c r="J68" s="1038">
        <f t="shared" si="9"/>
        <v>54510377469</v>
      </c>
      <c r="K68" s="643" t="s">
        <v>172</v>
      </c>
      <c r="L68" s="643" t="s">
        <v>1556</v>
      </c>
      <c r="M68" s="643" t="s">
        <v>1617</v>
      </c>
      <c r="N68" s="644" t="str">
        <f t="shared" si="33"/>
        <v>Oslo</v>
      </c>
      <c r="O68" s="647">
        <f t="shared" si="10"/>
        <v>507999.99947799998</v>
      </c>
      <c r="P68" s="647">
        <f t="shared" si="11"/>
        <v>777992.99720499991</v>
      </c>
      <c r="Q68" s="647">
        <f t="shared" si="12"/>
        <v>54429.311999999998</v>
      </c>
      <c r="R68" s="905"/>
      <c r="S68" s="1041" t="str">
        <f t="shared" si="13"/>
        <v>Oslo</v>
      </c>
      <c r="T68" s="1080">
        <f t="shared" si="14"/>
        <v>322242.56886400003</v>
      </c>
      <c r="U68" s="1080">
        <f t="shared" si="15"/>
        <v>161757.43165399999</v>
      </c>
      <c r="V68" s="1080">
        <f t="shared" si="16"/>
        <v>23999.998960000001</v>
      </c>
      <c r="W68" s="1080" t="str">
        <f t="shared" si="17"/>
        <v/>
      </c>
      <c r="X68" s="1080" t="str">
        <f t="shared" si="18"/>
        <v/>
      </c>
      <c r="Y68" s="1080" t="str">
        <f t="shared" si="19"/>
        <v/>
      </c>
      <c r="Z68" s="1080" t="str">
        <f t="shared" si="20"/>
        <v/>
      </c>
      <c r="AA68" s="1080" t="str">
        <f t="shared" si="21"/>
        <v/>
      </c>
      <c r="AB68" s="15"/>
      <c r="AC68" s="1041" t="str">
        <f t="shared" si="22"/>
        <v>Oslo</v>
      </c>
      <c r="AD68" s="1080">
        <f t="shared" si="23"/>
        <v>498000</v>
      </c>
      <c r="AE68" s="1080" t="str">
        <f t="shared" si="24"/>
        <v/>
      </c>
      <c r="AF68" s="1080">
        <f t="shared" si="25"/>
        <v>34992.997379</v>
      </c>
      <c r="AG68" s="1080" t="str">
        <f t="shared" si="26"/>
        <v/>
      </c>
      <c r="AH68" s="1080">
        <f t="shared" si="27"/>
        <v>244999.99982600001</v>
      </c>
      <c r="AI68" s="15"/>
      <c r="AJ68" s="648" t="str">
        <f t="shared" si="34"/>
        <v>Oslo</v>
      </c>
      <c r="AK68" s="959">
        <f t="shared" si="28"/>
        <v>16000</v>
      </c>
      <c r="AL68" s="959">
        <f t="shared" si="29"/>
        <v>9429.3119999999999</v>
      </c>
      <c r="AM68" s="959" t="str">
        <f t="shared" si="30"/>
        <v/>
      </c>
      <c r="AN68" s="959">
        <f t="shared" si="31"/>
        <v>29000</v>
      </c>
      <c r="AO68" s="15"/>
      <c r="AP68" s="648"/>
      <c r="AQ68" s="959"/>
      <c r="AR68" s="959"/>
      <c r="AS68" s="15"/>
      <c r="AT68" s="648"/>
      <c r="AU68" s="959"/>
      <c r="AV68" s="959"/>
      <c r="AW68" s="15"/>
      <c r="AX68" s="15"/>
      <c r="AY68" s="15"/>
      <c r="AZ68" s="15"/>
      <c r="BA68" s="15"/>
      <c r="BB68" s="15"/>
      <c r="BC68" s="15"/>
      <c r="BD68" s="15"/>
      <c r="BE68" s="15"/>
      <c r="BF68" s="15"/>
      <c r="BG68" s="15"/>
      <c r="BH68" s="15"/>
      <c r="BI68" s="15"/>
      <c r="BJ68" s="15"/>
      <c r="BK68" s="15"/>
      <c r="BL68" s="15"/>
      <c r="BM68" s="15"/>
      <c r="BN68" s="15"/>
      <c r="BO68" s="15"/>
      <c r="BP68" s="15"/>
      <c r="BQ68" s="15"/>
      <c r="BR68" s="15"/>
      <c r="BS68" s="15"/>
      <c r="CB68" s="15"/>
      <c r="CC68" s="15"/>
      <c r="CD68" s="15"/>
      <c r="CE68" s="15"/>
      <c r="CF68" s="15"/>
      <c r="CG68" s="15"/>
      <c r="CH68" s="15"/>
      <c r="CI68" s="15"/>
      <c r="CJ68" s="15"/>
      <c r="CK68" s="15"/>
      <c r="CL68" s="15"/>
      <c r="CM68" s="15"/>
      <c r="CN68" s="15"/>
      <c r="CO68" s="15"/>
      <c r="CP68" s="15"/>
      <c r="CQ68" s="15"/>
      <c r="CR68" s="15"/>
      <c r="CS68" s="15"/>
      <c r="CT68" s="15"/>
      <c r="CU68" s="645"/>
      <c r="CV68" s="645"/>
      <c r="CW68" s="645"/>
      <c r="CX68" s="645"/>
      <c r="CY68" s="645"/>
      <c r="CZ68" s="645"/>
      <c r="DA68" s="645"/>
      <c r="DB68" s="645"/>
      <c r="DC68" s="645"/>
      <c r="DD68" s="645"/>
      <c r="DE68" s="645"/>
      <c r="DF68" s="645"/>
      <c r="DG68" s="645"/>
      <c r="DH68" s="645"/>
      <c r="DI68" s="645"/>
      <c r="DJ68" s="645"/>
      <c r="DK68" s="645"/>
      <c r="DL68" s="645"/>
      <c r="DM68" s="645"/>
      <c r="DN68" s="645"/>
      <c r="DO68" s="645"/>
      <c r="DP68" s="645"/>
    </row>
    <row r="69" spans="1:120" s="33" customFormat="1" ht="15" customHeight="1">
      <c r="A69" s="316"/>
      <c r="B69" s="648" t="str">
        <f t="shared" si="32"/>
        <v>Paris</v>
      </c>
      <c r="C69" s="902" t="str">
        <f t="shared" si="2"/>
        <v>France</v>
      </c>
      <c r="D69" s="902" t="str">
        <f t="shared" si="3"/>
        <v>Europe</v>
      </c>
      <c r="E69" s="902" t="str">
        <f t="shared" si="4"/>
        <v xml:space="preserve">Administrative boundary of a local government </v>
      </c>
      <c r="F69" s="643">
        <f t="shared" si="5"/>
        <v>2009</v>
      </c>
      <c r="G69" s="644">
        <f t="shared" si="6"/>
        <v>2009</v>
      </c>
      <c r="H69" s="643">
        <f t="shared" si="7"/>
        <v>2270000</v>
      </c>
      <c r="I69" s="643">
        <f t="shared" si="8"/>
        <v>105</v>
      </c>
      <c r="J69" s="1038">
        <f t="shared" si="9"/>
        <v>715000000000</v>
      </c>
      <c r="K69" s="643" t="s">
        <v>172</v>
      </c>
      <c r="L69" s="643" t="s">
        <v>1556</v>
      </c>
      <c r="M69" s="643" t="s">
        <v>1617</v>
      </c>
      <c r="N69" s="644" t="str">
        <f t="shared" si="33"/>
        <v>Paris</v>
      </c>
      <c r="O69" s="647">
        <f t="shared" si="10"/>
        <v>4684405.166666667</v>
      </c>
      <c r="P69" s="647">
        <f t="shared" si="11"/>
        <v>1038266.2526419996</v>
      </c>
      <c r="Q69" s="647">
        <f t="shared" si="12"/>
        <v>467517.36742533348</v>
      </c>
      <c r="R69" s="905"/>
      <c r="S69" s="1041" t="str">
        <f t="shared" si="13"/>
        <v>Paris</v>
      </c>
      <c r="T69" s="1080">
        <f t="shared" si="14"/>
        <v>2293021.7666666666</v>
      </c>
      <c r="U69" s="1080">
        <f t="shared" si="15"/>
        <v>2391383.4000000004</v>
      </c>
      <c r="V69" s="1080" t="str">
        <f t="shared" si="16"/>
        <v/>
      </c>
      <c r="W69" s="1080" t="str">
        <f t="shared" si="17"/>
        <v/>
      </c>
      <c r="X69" s="1080" t="str">
        <f t="shared" si="18"/>
        <v/>
      </c>
      <c r="Y69" s="1080" t="str">
        <f t="shared" si="19"/>
        <v/>
      </c>
      <c r="Z69" s="1080" t="str">
        <f t="shared" si="20"/>
        <v/>
      </c>
      <c r="AA69" s="1080" t="str">
        <f t="shared" si="21"/>
        <v/>
      </c>
      <c r="AB69" s="15"/>
      <c r="AC69" s="1041" t="str">
        <f t="shared" si="22"/>
        <v>Paris</v>
      </c>
      <c r="AD69" s="1080">
        <f t="shared" si="23"/>
        <v>805135.99930866656</v>
      </c>
      <c r="AE69" s="1080">
        <f t="shared" si="24"/>
        <v>228181.13333333313</v>
      </c>
      <c r="AF69" s="1080" t="str">
        <f t="shared" si="25"/>
        <v/>
      </c>
      <c r="AG69" s="1080">
        <f t="shared" si="26"/>
        <v>4949.1200000000008</v>
      </c>
      <c r="AH69" s="1080" t="str">
        <f t="shared" si="27"/>
        <v/>
      </c>
      <c r="AI69" s="15"/>
      <c r="AJ69" s="648" t="str">
        <f t="shared" si="34"/>
        <v>Paris</v>
      </c>
      <c r="AK69" s="959">
        <f t="shared" si="28"/>
        <v>58783.274000000005</v>
      </c>
      <c r="AL69" s="959">
        <f t="shared" si="29"/>
        <v>4425.5305919999992</v>
      </c>
      <c r="AM69" s="959">
        <f t="shared" si="30"/>
        <v>403599.50033333345</v>
      </c>
      <c r="AN69" s="959">
        <f t="shared" si="31"/>
        <v>709.0625</v>
      </c>
      <c r="AO69" s="15"/>
      <c r="AP69" s="648"/>
      <c r="AQ69" s="959"/>
      <c r="AR69" s="959"/>
      <c r="AS69" s="15"/>
      <c r="AT69" s="648"/>
      <c r="AU69" s="959"/>
      <c r="AV69" s="959"/>
      <c r="AW69" s="15"/>
      <c r="AX69" s="15"/>
      <c r="AY69" s="15"/>
      <c r="AZ69" s="15"/>
      <c r="BA69" s="15"/>
      <c r="BB69" s="15"/>
      <c r="BC69" s="15"/>
      <c r="BD69" s="15"/>
      <c r="BE69" s="15"/>
      <c r="BF69" s="15"/>
      <c r="BG69" s="15"/>
      <c r="BH69" s="15"/>
      <c r="BI69" s="15"/>
      <c r="BJ69" s="15"/>
      <c r="BK69" s="15"/>
      <c r="BL69" s="15"/>
      <c r="BM69" s="15"/>
      <c r="BN69" s="15"/>
      <c r="BO69" s="15"/>
      <c r="BP69" s="15"/>
      <c r="BQ69" s="15"/>
      <c r="BR69" s="15"/>
      <c r="BS69" s="15"/>
      <c r="CB69" s="15"/>
      <c r="CC69" s="15"/>
      <c r="CD69" s="15"/>
      <c r="CE69" s="15"/>
      <c r="CF69" s="15"/>
      <c r="CG69" s="15"/>
      <c r="CH69" s="15"/>
      <c r="CI69" s="15"/>
      <c r="CJ69" s="15"/>
      <c r="CK69" s="15"/>
      <c r="CL69" s="15"/>
      <c r="CM69" s="15"/>
      <c r="CN69" s="15"/>
      <c r="CO69" s="15"/>
      <c r="CP69" s="15"/>
      <c r="CQ69" s="15"/>
      <c r="CR69" s="15"/>
      <c r="CS69" s="15"/>
      <c r="CT69" s="15"/>
      <c r="CU69" s="645"/>
      <c r="CV69" s="645"/>
      <c r="CW69" s="645"/>
      <c r="CX69" s="645"/>
      <c r="CY69" s="645"/>
      <c r="CZ69" s="645"/>
      <c r="DA69" s="645"/>
      <c r="DB69" s="645"/>
      <c r="DC69" s="645"/>
      <c r="DD69" s="645"/>
      <c r="DE69" s="645"/>
      <c r="DF69" s="645"/>
      <c r="DG69" s="645"/>
      <c r="DH69" s="645"/>
      <c r="DI69" s="645"/>
      <c r="DJ69" s="645"/>
      <c r="DK69" s="645"/>
      <c r="DL69" s="645"/>
      <c r="DM69" s="645"/>
      <c r="DN69" s="645"/>
      <c r="DO69" s="645"/>
      <c r="DP69" s="645"/>
    </row>
    <row r="70" spans="1:120" s="33" customFormat="1" ht="15" customHeight="1">
      <c r="A70" s="316"/>
      <c r="B70" s="648" t="str">
        <f t="shared" si="32"/>
        <v>Philadelphia</v>
      </c>
      <c r="C70" s="902" t="str">
        <f t="shared" si="2"/>
        <v>USA</v>
      </c>
      <c r="D70" s="902" t="str">
        <f t="shared" si="3"/>
        <v>North America</v>
      </c>
      <c r="E70" s="902" t="str">
        <f t="shared" si="4"/>
        <v xml:space="preserve">Administrative boundary of a local government </v>
      </c>
      <c r="F70" s="643">
        <v>2012</v>
      </c>
      <c r="G70" s="644">
        <f t="shared" si="6"/>
        <v>2012</v>
      </c>
      <c r="H70" s="643">
        <f t="shared" si="7"/>
        <v>1547607</v>
      </c>
      <c r="I70" s="643">
        <f t="shared" si="8"/>
        <v>347.31741</v>
      </c>
      <c r="J70" s="1038">
        <f t="shared" si="9"/>
        <v>367916000000</v>
      </c>
      <c r="K70" s="643" t="s">
        <v>172</v>
      </c>
      <c r="L70" s="643" t="s">
        <v>1556</v>
      </c>
      <c r="M70" s="643" t="s">
        <v>1617</v>
      </c>
      <c r="N70" s="644" t="str">
        <f t="shared" si="33"/>
        <v>Philadelphia</v>
      </c>
      <c r="O70" s="647">
        <f t="shared" si="10"/>
        <v>13492508.808747221</v>
      </c>
      <c r="P70" s="647">
        <f t="shared" si="11"/>
        <v>3294337.4979638457</v>
      </c>
      <c r="Q70" s="647">
        <f t="shared" si="12"/>
        <v>1701065.897024191</v>
      </c>
      <c r="R70" s="905"/>
      <c r="S70" s="1041" t="str">
        <f t="shared" si="13"/>
        <v>Philadelphia</v>
      </c>
      <c r="T70" s="1080">
        <f t="shared" si="14"/>
        <v>3688808.4470984857</v>
      </c>
      <c r="U70" s="1080">
        <f t="shared" si="15"/>
        <v>6605097.3616487347</v>
      </c>
      <c r="V70" s="1080">
        <f t="shared" si="16"/>
        <v>2711505</v>
      </c>
      <c r="W70" s="1080" t="str">
        <f t="shared" si="17"/>
        <v/>
      </c>
      <c r="X70" s="1080" t="str">
        <f t="shared" si="18"/>
        <v/>
      </c>
      <c r="Y70" s="1080" t="str">
        <f t="shared" si="19"/>
        <v/>
      </c>
      <c r="Z70" s="1080" t="str">
        <f t="shared" si="20"/>
        <v/>
      </c>
      <c r="AA70" s="1080">
        <f t="shared" si="21"/>
        <v>487098</v>
      </c>
      <c r="AB70" s="15"/>
      <c r="AC70" s="1041" t="str">
        <f t="shared" si="22"/>
        <v>Philadelphia</v>
      </c>
      <c r="AD70" s="1080">
        <f t="shared" si="23"/>
        <v>2966057.44</v>
      </c>
      <c r="AE70" s="1080">
        <f t="shared" si="24"/>
        <v>328280.05796384555</v>
      </c>
      <c r="AF70" s="1080" t="str">
        <f t="shared" si="25"/>
        <v/>
      </c>
      <c r="AG70" s="1080" t="str">
        <f t="shared" si="26"/>
        <v/>
      </c>
      <c r="AH70" s="1080" t="str">
        <f t="shared" si="27"/>
        <v/>
      </c>
      <c r="AI70" s="15"/>
      <c r="AJ70" s="648" t="str">
        <f t="shared" si="34"/>
        <v>Philadelphia</v>
      </c>
      <c r="AK70" s="959">
        <f t="shared" si="28"/>
        <v>1454390.9211399693</v>
      </c>
      <c r="AL70" s="959" t="str">
        <f t="shared" si="29"/>
        <v/>
      </c>
      <c r="AM70" s="959">
        <f t="shared" si="30"/>
        <v>216697.97588422181</v>
      </c>
      <c r="AN70" s="959">
        <f t="shared" si="31"/>
        <v>29977</v>
      </c>
      <c r="AO70" s="15"/>
      <c r="AP70" s="648"/>
      <c r="AQ70" s="959"/>
      <c r="AR70" s="959"/>
      <c r="AS70" s="15"/>
      <c r="AT70" s="648"/>
      <c r="AU70" s="959"/>
      <c r="AV70" s="959"/>
      <c r="AW70" s="15"/>
      <c r="AX70" s="15"/>
      <c r="AY70" s="15"/>
      <c r="AZ70" s="15"/>
      <c r="BA70" s="15"/>
      <c r="BB70" s="15"/>
      <c r="BC70" s="15"/>
      <c r="BD70" s="15"/>
      <c r="BE70" s="15"/>
      <c r="BF70" s="15"/>
      <c r="BG70" s="15"/>
      <c r="BH70" s="15"/>
      <c r="BI70" s="15"/>
      <c r="BJ70" s="15"/>
      <c r="BK70" s="15"/>
      <c r="BL70" s="15"/>
      <c r="BM70" s="15"/>
      <c r="BN70" s="15"/>
      <c r="BO70" s="15"/>
      <c r="BP70" s="15"/>
      <c r="BQ70" s="15"/>
      <c r="BR70" s="15"/>
      <c r="BS70" s="15"/>
      <c r="CB70" s="15"/>
      <c r="CC70" s="15"/>
      <c r="CD70" s="15"/>
      <c r="CE70" s="15"/>
      <c r="CF70" s="15"/>
      <c r="CG70" s="15"/>
      <c r="CH70" s="15"/>
      <c r="CI70" s="15"/>
      <c r="CJ70" s="15"/>
      <c r="CK70" s="15"/>
      <c r="CL70" s="15"/>
      <c r="CM70" s="15"/>
      <c r="CN70" s="15"/>
      <c r="CO70" s="15"/>
      <c r="CP70" s="15"/>
      <c r="CQ70" s="15"/>
      <c r="CR70" s="15"/>
      <c r="CS70" s="15"/>
      <c r="CT70" s="15"/>
      <c r="CU70" s="645"/>
      <c r="CV70" s="645"/>
      <c r="CW70" s="645"/>
      <c r="CX70" s="645"/>
      <c r="CY70" s="645"/>
      <c r="CZ70" s="645"/>
      <c r="DA70" s="645"/>
      <c r="DB70" s="645"/>
      <c r="DC70" s="645"/>
      <c r="DD70" s="645"/>
      <c r="DE70" s="645"/>
      <c r="DF70" s="645"/>
      <c r="DG70" s="645"/>
      <c r="DH70" s="645"/>
      <c r="DI70" s="645"/>
      <c r="DJ70" s="645"/>
      <c r="DK70" s="645"/>
      <c r="DL70" s="645"/>
      <c r="DM70" s="645"/>
      <c r="DN70" s="645"/>
      <c r="DO70" s="645"/>
      <c r="DP70" s="645"/>
    </row>
    <row r="71" spans="1:120" s="33" customFormat="1" ht="15" customHeight="1">
      <c r="A71" s="316"/>
      <c r="B71" s="648" t="str">
        <f t="shared" si="32"/>
        <v>Portland</v>
      </c>
      <c r="C71" s="902" t="str">
        <f t="shared" si="2"/>
        <v>United States of America</v>
      </c>
      <c r="D71" s="902" t="str">
        <f t="shared" si="3"/>
        <v>North America</v>
      </c>
      <c r="E71" s="902" t="str">
        <f t="shared" si="4"/>
        <v>Multnomah County</v>
      </c>
      <c r="F71" s="643">
        <f t="shared" ref="F71:F79" si="35">VLOOKUP($B71,$B$10:$J$44,5,FALSE)</f>
        <v>2013</v>
      </c>
      <c r="G71" s="644">
        <f t="shared" si="6"/>
        <v>2013</v>
      </c>
      <c r="H71" s="643">
        <f t="shared" si="7"/>
        <v>766135</v>
      </c>
      <c r="I71" s="643">
        <f t="shared" si="8"/>
        <v>1206.2</v>
      </c>
      <c r="J71" s="1038">
        <f t="shared" si="9"/>
        <v>163692000000</v>
      </c>
      <c r="K71" s="643" t="s">
        <v>172</v>
      </c>
      <c r="L71" s="643" t="s">
        <v>1556</v>
      </c>
      <c r="M71" s="643" t="s">
        <v>1617</v>
      </c>
      <c r="N71" s="644" t="str">
        <f t="shared" si="33"/>
        <v>Portland</v>
      </c>
      <c r="O71" s="647">
        <f t="shared" si="10"/>
        <v>4769544.9454509486</v>
      </c>
      <c r="P71" s="647">
        <f t="shared" si="11"/>
        <v>2830124.1746198987</v>
      </c>
      <c r="Q71" s="647">
        <f t="shared" si="12"/>
        <v>110601</v>
      </c>
      <c r="R71" s="905"/>
      <c r="S71" s="1041" t="str">
        <f t="shared" si="13"/>
        <v>Portland</v>
      </c>
      <c r="T71" s="1080">
        <f t="shared" si="14"/>
        <v>1540429.3577038506</v>
      </c>
      <c r="U71" s="1080">
        <f t="shared" si="15"/>
        <v>1883807.8540136782</v>
      </c>
      <c r="V71" s="1080">
        <f t="shared" si="16"/>
        <v>1330529.7337334198</v>
      </c>
      <c r="W71" s="1080" t="str">
        <f t="shared" si="17"/>
        <v/>
      </c>
      <c r="X71" s="1080" t="str">
        <f t="shared" si="18"/>
        <v/>
      </c>
      <c r="Y71" s="1080" t="str">
        <f t="shared" si="19"/>
        <v/>
      </c>
      <c r="Z71" s="1080" t="str">
        <f t="shared" si="20"/>
        <v/>
      </c>
      <c r="AA71" s="1080">
        <f t="shared" si="21"/>
        <v>14778</v>
      </c>
      <c r="AB71" s="284"/>
      <c r="AC71" s="1041" t="str">
        <f t="shared" si="22"/>
        <v>Portland</v>
      </c>
      <c r="AD71" s="1080">
        <f t="shared" si="23"/>
        <v>2830124.1746198987</v>
      </c>
      <c r="AE71" s="1080" t="str">
        <f t="shared" si="24"/>
        <v/>
      </c>
      <c r="AF71" s="1080" t="str">
        <f t="shared" si="25"/>
        <v/>
      </c>
      <c r="AG71" s="1080" t="str">
        <f t="shared" si="26"/>
        <v/>
      </c>
      <c r="AH71" s="1080" t="str">
        <f t="shared" si="27"/>
        <v/>
      </c>
      <c r="AI71" s="15"/>
      <c r="AJ71" s="648" t="str">
        <f t="shared" si="34"/>
        <v>Portland</v>
      </c>
      <c r="AK71" s="959">
        <f t="shared" si="28"/>
        <v>93080</v>
      </c>
      <c r="AL71" s="959" t="str">
        <f t="shared" si="29"/>
        <v/>
      </c>
      <c r="AM71" s="959" t="str">
        <f t="shared" si="30"/>
        <v/>
      </c>
      <c r="AN71" s="959">
        <f t="shared" si="31"/>
        <v>17521</v>
      </c>
      <c r="AO71" s="15"/>
      <c r="AP71" s="648"/>
      <c r="AQ71" s="959"/>
      <c r="AR71" s="959"/>
      <c r="AS71" s="15"/>
      <c r="AT71" s="648"/>
      <c r="AU71" s="959"/>
      <c r="AV71" s="959"/>
      <c r="AW71" s="15"/>
      <c r="AX71" s="15"/>
      <c r="AY71" s="15"/>
      <c r="AZ71" s="15"/>
      <c r="BA71" s="15"/>
      <c r="BB71" s="15"/>
      <c r="BC71" s="15"/>
      <c r="BD71" s="15"/>
      <c r="BE71" s="15"/>
      <c r="BF71" s="15"/>
      <c r="BG71" s="15"/>
      <c r="BH71" s="15"/>
      <c r="BI71" s="15"/>
      <c r="BJ71" s="15"/>
      <c r="BK71" s="15"/>
      <c r="BL71" s="15"/>
      <c r="BM71" s="15"/>
      <c r="BN71" s="15"/>
      <c r="BO71" s="15"/>
      <c r="BP71" s="15"/>
      <c r="BQ71" s="15"/>
      <c r="BR71" s="15"/>
      <c r="BS71" s="15"/>
      <c r="CB71" s="15"/>
      <c r="CC71" s="15"/>
      <c r="CD71" s="15"/>
      <c r="CE71" s="15"/>
      <c r="CF71" s="15"/>
      <c r="CG71" s="15"/>
      <c r="CH71" s="15"/>
      <c r="CI71" s="15"/>
      <c r="CJ71" s="15"/>
      <c r="CK71" s="15"/>
      <c r="CL71" s="15"/>
      <c r="CM71" s="15"/>
      <c r="CN71" s="15"/>
      <c r="CO71" s="15"/>
      <c r="CP71" s="15"/>
      <c r="CQ71" s="15"/>
      <c r="CR71" s="15"/>
      <c r="CS71" s="15"/>
      <c r="CT71" s="15"/>
      <c r="CU71" s="645"/>
      <c r="CV71" s="645"/>
      <c r="CW71" s="645"/>
      <c r="CX71" s="645"/>
      <c r="CY71" s="645"/>
      <c r="CZ71" s="645"/>
      <c r="DA71" s="645"/>
      <c r="DB71" s="645"/>
      <c r="DC71" s="645"/>
      <c r="DD71" s="645"/>
      <c r="DE71" s="645"/>
      <c r="DF71" s="645"/>
      <c r="DG71" s="645"/>
      <c r="DH71" s="645"/>
      <c r="DI71" s="645"/>
      <c r="DJ71" s="645"/>
      <c r="DK71" s="645"/>
      <c r="DL71" s="645"/>
      <c r="DM71" s="645"/>
      <c r="DN71" s="645"/>
      <c r="DO71" s="645"/>
      <c r="DP71" s="645"/>
    </row>
    <row r="72" spans="1:120" s="33" customFormat="1" ht="15" customHeight="1">
      <c r="A72" s="316"/>
      <c r="B72" s="648" t="str">
        <f t="shared" si="32"/>
        <v>Quito</v>
      </c>
      <c r="C72" s="902" t="str">
        <f t="shared" si="2"/>
        <v>Ecuador</v>
      </c>
      <c r="D72" s="902" t="str">
        <f t="shared" si="3"/>
        <v>Latin America</v>
      </c>
      <c r="E72" s="902" t="str">
        <f t="shared" si="4"/>
        <v>Other (please specify)</v>
      </c>
      <c r="F72" s="643">
        <f t="shared" si="35"/>
        <v>2011</v>
      </c>
      <c r="G72" s="644">
        <f t="shared" si="6"/>
        <v>2011</v>
      </c>
      <c r="H72" s="643">
        <f t="shared" si="7"/>
        <v>1607734</v>
      </c>
      <c r="I72" s="643">
        <f t="shared" si="8"/>
        <v>372.39</v>
      </c>
      <c r="J72" s="1038">
        <f t="shared" si="9"/>
        <v>16511524155.5264</v>
      </c>
      <c r="K72" s="643" t="s">
        <v>172</v>
      </c>
      <c r="L72" s="643" t="s">
        <v>1556</v>
      </c>
      <c r="M72" s="643" t="s">
        <v>1617</v>
      </c>
      <c r="N72" s="644" t="str">
        <f t="shared" si="33"/>
        <v>Quito</v>
      </c>
      <c r="O72" s="647">
        <f t="shared" si="10"/>
        <v>1604705.9333700235</v>
      </c>
      <c r="P72" s="647">
        <f t="shared" si="11"/>
        <v>2902405.0550447367</v>
      </c>
      <c r="Q72" s="647">
        <f t="shared" si="12"/>
        <v>661688.95388396003</v>
      </c>
      <c r="R72" s="905"/>
      <c r="S72" s="1041" t="str">
        <f t="shared" si="13"/>
        <v>Quito</v>
      </c>
      <c r="T72" s="1080">
        <f t="shared" si="14"/>
        <v>795959.53176181635</v>
      </c>
      <c r="U72" s="1080">
        <f t="shared" si="15"/>
        <v>223380.30216740433</v>
      </c>
      <c r="V72" s="1080">
        <f t="shared" si="16"/>
        <v>585366.0994408027</v>
      </c>
      <c r="W72" s="1080" t="str">
        <f t="shared" si="17"/>
        <v/>
      </c>
      <c r="X72" s="1080" t="str">
        <f t="shared" si="18"/>
        <v/>
      </c>
      <c r="Y72" s="1080" t="str">
        <f t="shared" si="19"/>
        <v/>
      </c>
      <c r="Z72" s="1080" t="str">
        <f t="shared" si="20"/>
        <v/>
      </c>
      <c r="AA72" s="1080" t="str">
        <f t="shared" si="21"/>
        <v/>
      </c>
      <c r="AB72" s="15"/>
      <c r="AC72" s="1041" t="str">
        <f t="shared" si="22"/>
        <v>Quito</v>
      </c>
      <c r="AD72" s="1080">
        <f t="shared" si="23"/>
        <v>2902405.0550447367</v>
      </c>
      <c r="AE72" s="1080" t="str">
        <f t="shared" si="24"/>
        <v/>
      </c>
      <c r="AF72" s="1080" t="str">
        <f t="shared" si="25"/>
        <v/>
      </c>
      <c r="AG72" s="1080" t="str">
        <f t="shared" si="26"/>
        <v/>
      </c>
      <c r="AH72" s="1080" t="str">
        <f t="shared" si="27"/>
        <v/>
      </c>
      <c r="AI72" s="15"/>
      <c r="AJ72" s="648" t="str">
        <f t="shared" si="34"/>
        <v>Quito</v>
      </c>
      <c r="AK72" s="959">
        <f t="shared" si="28"/>
        <v>659092.478</v>
      </c>
      <c r="AL72" s="959" t="str">
        <f t="shared" si="29"/>
        <v/>
      </c>
      <c r="AM72" s="959">
        <f t="shared" si="30"/>
        <v>2596.4758839599999</v>
      </c>
      <c r="AN72" s="959" t="str">
        <f t="shared" si="31"/>
        <v/>
      </c>
      <c r="AO72" s="15"/>
      <c r="AP72" s="648"/>
      <c r="AQ72" s="959"/>
      <c r="AR72" s="959"/>
      <c r="AS72" s="15"/>
      <c r="AT72" s="648"/>
      <c r="AU72" s="959"/>
      <c r="AV72" s="959"/>
      <c r="AW72" s="15"/>
      <c r="AX72" s="15"/>
      <c r="AY72" s="15"/>
      <c r="AZ72" s="15"/>
      <c r="BA72" s="15"/>
      <c r="BB72" s="15"/>
      <c r="BC72" s="15"/>
      <c r="BD72" s="15"/>
      <c r="BE72" s="15"/>
      <c r="BF72" s="15"/>
      <c r="BG72" s="15"/>
      <c r="BH72" s="15"/>
      <c r="BI72" s="15"/>
      <c r="BJ72" s="15"/>
      <c r="BK72" s="15"/>
      <c r="BL72" s="15"/>
      <c r="BM72" s="15"/>
      <c r="BN72" s="15"/>
      <c r="BO72" s="15"/>
      <c r="BP72" s="15"/>
      <c r="BQ72" s="15"/>
      <c r="BR72" s="15"/>
      <c r="BS72" s="15"/>
      <c r="CB72" s="15"/>
      <c r="CC72" s="15"/>
      <c r="CD72" s="15"/>
      <c r="CE72" s="15"/>
      <c r="CF72" s="15"/>
      <c r="CG72" s="15"/>
      <c r="CH72" s="15"/>
      <c r="CI72" s="15"/>
      <c r="CJ72" s="15"/>
      <c r="CK72" s="15"/>
      <c r="CL72" s="15"/>
      <c r="CM72" s="15"/>
      <c r="CN72" s="15"/>
      <c r="CO72" s="15"/>
      <c r="CP72" s="15"/>
      <c r="CQ72" s="15"/>
      <c r="CR72" s="15"/>
      <c r="CS72" s="15"/>
      <c r="CT72" s="15"/>
      <c r="CU72" s="645"/>
      <c r="CV72" s="645"/>
      <c r="CW72" s="645"/>
      <c r="CX72" s="645"/>
      <c r="CY72" s="645"/>
      <c r="CZ72" s="645"/>
      <c r="DA72" s="645"/>
      <c r="DB72" s="645"/>
      <c r="DC72" s="645"/>
      <c r="DD72" s="645"/>
      <c r="DE72" s="645"/>
      <c r="DF72" s="645"/>
      <c r="DG72" s="645"/>
      <c r="DH72" s="645"/>
      <c r="DI72" s="645"/>
      <c r="DJ72" s="645"/>
      <c r="DK72" s="645"/>
      <c r="DL72" s="645"/>
      <c r="DM72" s="645"/>
      <c r="DN72" s="645"/>
      <c r="DO72" s="645"/>
      <c r="DP72" s="645"/>
    </row>
    <row r="73" spans="1:120" s="33" customFormat="1" ht="15" customHeight="1">
      <c r="A73" s="316"/>
      <c r="B73" s="648" t="str">
        <f t="shared" si="32"/>
        <v>Rio de Janeiro</v>
      </c>
      <c r="C73" s="902" t="str">
        <f t="shared" si="2"/>
        <v>Brazil</v>
      </c>
      <c r="D73" s="902" t="str">
        <f t="shared" si="3"/>
        <v>Latin America</v>
      </c>
      <c r="E73" s="902" t="str">
        <f t="shared" si="4"/>
        <v xml:space="preserve">Administrative boundary of a local government </v>
      </c>
      <c r="F73" s="643">
        <f t="shared" si="35"/>
        <v>2012</v>
      </c>
      <c r="G73" s="644">
        <f t="shared" si="6"/>
        <v>2012</v>
      </c>
      <c r="H73" s="643">
        <f t="shared" si="7"/>
        <v>6390290</v>
      </c>
      <c r="I73" s="643">
        <f t="shared" si="8"/>
        <v>1224.56</v>
      </c>
      <c r="J73" s="1038">
        <f t="shared" si="9"/>
        <v>75060683634</v>
      </c>
      <c r="K73" s="643" t="s">
        <v>172</v>
      </c>
      <c r="L73" s="643" t="s">
        <v>1556</v>
      </c>
      <c r="M73" s="643" t="s">
        <v>1617</v>
      </c>
      <c r="N73" s="644" t="str">
        <f t="shared" si="33"/>
        <v>Rio de Janeiro</v>
      </c>
      <c r="O73" s="647">
        <f t="shared" si="10"/>
        <v>8084044.2300102878</v>
      </c>
      <c r="P73" s="647">
        <f t="shared" si="11"/>
        <v>5437060.9345655628</v>
      </c>
      <c r="Q73" s="647">
        <f t="shared" si="12"/>
        <v>2335800.8437619051</v>
      </c>
      <c r="R73" s="905"/>
      <c r="S73" s="1041" t="str">
        <f t="shared" si="13"/>
        <v>Rio de Janeiro</v>
      </c>
      <c r="T73" s="1080">
        <f t="shared" si="14"/>
        <v>1984123.1836039354</v>
      </c>
      <c r="U73" s="1080">
        <f t="shared" si="15"/>
        <v>2144807.554255669</v>
      </c>
      <c r="V73" s="1080">
        <f t="shared" si="16"/>
        <v>1511215.8599876408</v>
      </c>
      <c r="W73" s="1080">
        <f t="shared" si="17"/>
        <v>1353546.5242982078</v>
      </c>
      <c r="X73" s="1080">
        <f t="shared" si="18"/>
        <v>663.37525658786569</v>
      </c>
      <c r="Y73" s="1080">
        <f t="shared" si="19"/>
        <v>47151.28943893985</v>
      </c>
      <c r="Z73" s="1080">
        <f t="shared" si="20"/>
        <v>921414</v>
      </c>
      <c r="AA73" s="1080">
        <f t="shared" si="21"/>
        <v>121122.44316930753</v>
      </c>
      <c r="AB73" s="15"/>
      <c r="AC73" s="1041" t="str">
        <f t="shared" si="22"/>
        <v>Rio de Janeiro</v>
      </c>
      <c r="AD73" s="1080">
        <f t="shared" si="23"/>
        <v>5336331.6780053079</v>
      </c>
      <c r="AE73" s="1080">
        <f t="shared" si="24"/>
        <v>90793.410925529504</v>
      </c>
      <c r="AF73" s="1080">
        <f t="shared" si="25"/>
        <v>9935.8456347251777</v>
      </c>
      <c r="AG73" s="1080" t="str">
        <f t="shared" si="26"/>
        <v/>
      </c>
      <c r="AH73" s="1080" t="str">
        <f t="shared" si="27"/>
        <v/>
      </c>
      <c r="AI73" s="15"/>
      <c r="AJ73" s="648" t="str">
        <f t="shared" si="34"/>
        <v>Rio de Janeiro</v>
      </c>
      <c r="AK73" s="959">
        <f t="shared" si="28"/>
        <v>1710363.1347619046</v>
      </c>
      <c r="AL73" s="959">
        <f t="shared" si="29"/>
        <v>731.53</v>
      </c>
      <c r="AM73" s="959">
        <f t="shared" si="30"/>
        <v>449.87899999999996</v>
      </c>
      <c r="AN73" s="959">
        <f t="shared" si="31"/>
        <v>624256.30000000005</v>
      </c>
      <c r="AO73" s="15"/>
      <c r="AP73" s="648"/>
      <c r="AQ73" s="959"/>
      <c r="AR73" s="959"/>
      <c r="AS73" s="15"/>
      <c r="AT73" s="648"/>
      <c r="AU73" s="959"/>
      <c r="AV73" s="959"/>
      <c r="AW73" s="15"/>
      <c r="AX73" s="15"/>
      <c r="AY73" s="15"/>
      <c r="AZ73" s="15"/>
      <c r="BA73" s="15"/>
      <c r="BB73" s="15"/>
      <c r="BC73" s="15"/>
      <c r="BD73" s="15"/>
      <c r="BE73" s="15"/>
      <c r="BF73" s="15"/>
      <c r="BG73" s="15"/>
      <c r="BH73" s="15"/>
      <c r="BI73" s="15"/>
      <c r="BJ73" s="15"/>
      <c r="BK73" s="15"/>
      <c r="BL73" s="15"/>
      <c r="BM73" s="15"/>
      <c r="BN73" s="15"/>
      <c r="BO73" s="15"/>
      <c r="BP73" s="15"/>
      <c r="BQ73" s="15"/>
      <c r="BR73" s="15"/>
      <c r="BS73" s="15"/>
      <c r="CB73" s="15"/>
      <c r="CC73" s="15"/>
      <c r="CD73" s="15"/>
      <c r="CE73" s="15"/>
      <c r="CF73" s="15"/>
      <c r="CG73" s="15"/>
      <c r="CH73" s="15"/>
      <c r="CI73" s="15"/>
      <c r="CJ73" s="15"/>
      <c r="CK73" s="15"/>
      <c r="CL73" s="15"/>
      <c r="CM73" s="15"/>
      <c r="CN73" s="15"/>
      <c r="CO73" s="15"/>
      <c r="CP73" s="15"/>
      <c r="CQ73" s="15"/>
      <c r="CR73" s="15"/>
      <c r="CS73" s="15"/>
      <c r="CT73" s="15"/>
      <c r="CU73" s="645"/>
      <c r="CV73" s="645"/>
      <c r="CW73" s="645"/>
      <c r="CX73" s="645"/>
      <c r="CY73" s="645"/>
      <c r="CZ73" s="645"/>
      <c r="DA73" s="645"/>
      <c r="DB73" s="645"/>
      <c r="DC73" s="645"/>
      <c r="DD73" s="645"/>
      <c r="DE73" s="645"/>
      <c r="DF73" s="645"/>
      <c r="DG73" s="645"/>
      <c r="DH73" s="645"/>
      <c r="DI73" s="645"/>
      <c r="DJ73" s="645"/>
      <c r="DK73" s="645"/>
      <c r="DL73" s="645"/>
      <c r="DM73" s="645"/>
      <c r="DN73" s="645"/>
      <c r="DO73" s="645"/>
      <c r="DP73" s="645"/>
    </row>
    <row r="74" spans="1:120" s="33" customFormat="1" ht="15" customHeight="1">
      <c r="A74" s="316"/>
      <c r="B74" s="648" t="str">
        <f t="shared" si="32"/>
        <v>San Francisco</v>
      </c>
      <c r="C74" s="902" t="str">
        <f t="shared" si="2"/>
        <v>USA</v>
      </c>
      <c r="D74" s="902" t="str">
        <f t="shared" si="3"/>
        <v>Europe</v>
      </c>
      <c r="E74" s="902" t="str">
        <f t="shared" si="4"/>
        <v xml:space="preserve">Administrative boundary of a local government </v>
      </c>
      <c r="F74" s="643">
        <f t="shared" si="35"/>
        <v>2012</v>
      </c>
      <c r="G74" s="644">
        <f t="shared" si="6"/>
        <v>2012</v>
      </c>
      <c r="H74" s="643">
        <f t="shared" si="7"/>
        <v>827420</v>
      </c>
      <c r="I74" s="643">
        <f t="shared" si="8"/>
        <v>121</v>
      </c>
      <c r="J74" s="1038">
        <f t="shared" si="9"/>
        <v>89205219000</v>
      </c>
      <c r="K74" s="643" t="s">
        <v>172</v>
      </c>
      <c r="L74" s="643" t="s">
        <v>1556</v>
      </c>
      <c r="M74" s="643" t="s">
        <v>1617</v>
      </c>
      <c r="N74" s="644" t="str">
        <f t="shared" si="33"/>
        <v>San Francisco</v>
      </c>
      <c r="O74" s="647">
        <f t="shared" si="10"/>
        <v>2708609.5969897592</v>
      </c>
      <c r="P74" s="647">
        <f t="shared" si="11"/>
        <v>2594181.1313247592</v>
      </c>
      <c r="Q74" s="647">
        <f t="shared" si="12"/>
        <v>189722.51910572636</v>
      </c>
      <c r="R74" s="905"/>
      <c r="S74" s="1041" t="str">
        <f t="shared" si="13"/>
        <v>San Francisco</v>
      </c>
      <c r="T74" s="1080">
        <f t="shared" si="14"/>
        <v>1050514.2069780356</v>
      </c>
      <c r="U74" s="1080">
        <f t="shared" si="15"/>
        <v>1475555.42503712</v>
      </c>
      <c r="V74" s="1080" t="str">
        <f t="shared" si="16"/>
        <v/>
      </c>
      <c r="W74" s="1080">
        <f t="shared" si="17"/>
        <v>70.5</v>
      </c>
      <c r="X74" s="1080">
        <f t="shared" si="18"/>
        <v>109</v>
      </c>
      <c r="Y74" s="1080">
        <f t="shared" si="19"/>
        <v>169081</v>
      </c>
      <c r="Z74" s="1080" t="str">
        <f t="shared" si="20"/>
        <v/>
      </c>
      <c r="AA74" s="1080">
        <f t="shared" si="21"/>
        <v>13279.46497460359</v>
      </c>
      <c r="AB74" s="15"/>
      <c r="AC74" s="1041" t="str">
        <f t="shared" si="22"/>
        <v>San Francisco</v>
      </c>
      <c r="AD74" s="1080">
        <f t="shared" si="23"/>
        <v>1970894.4880138319</v>
      </c>
      <c r="AE74" s="1080">
        <f t="shared" si="24"/>
        <v>68625.643310927713</v>
      </c>
      <c r="AF74" s="1080">
        <f t="shared" si="25"/>
        <v>554661</v>
      </c>
      <c r="AG74" s="1080" t="str">
        <f t="shared" si="26"/>
        <v/>
      </c>
      <c r="AH74" s="1080" t="str">
        <f t="shared" si="27"/>
        <v/>
      </c>
      <c r="AI74" s="15"/>
      <c r="AJ74" s="648" t="str">
        <f t="shared" si="34"/>
        <v>San Francisco</v>
      </c>
      <c r="AK74" s="959">
        <f t="shared" si="28"/>
        <v>180397.52506944002</v>
      </c>
      <c r="AL74" s="959" t="str">
        <f t="shared" si="29"/>
        <v/>
      </c>
      <c r="AM74" s="959" t="str">
        <f t="shared" si="30"/>
        <v/>
      </c>
      <c r="AN74" s="959">
        <f t="shared" si="31"/>
        <v>9324.9940362863308</v>
      </c>
      <c r="AO74" s="15"/>
      <c r="AP74" s="648"/>
      <c r="AQ74" s="959"/>
      <c r="AR74" s="959"/>
      <c r="AS74" s="15"/>
      <c r="AT74" s="648"/>
      <c r="AU74" s="959"/>
      <c r="AV74" s="959"/>
      <c r="AW74" s="15"/>
      <c r="AX74" s="15"/>
      <c r="AY74" s="15"/>
      <c r="AZ74" s="15"/>
      <c r="BA74" s="15"/>
      <c r="BB74" s="15"/>
      <c r="BC74" s="15"/>
      <c r="BD74" s="15"/>
      <c r="BE74" s="15"/>
      <c r="BF74" s="15"/>
      <c r="BG74" s="15"/>
      <c r="BH74" s="15"/>
      <c r="BI74" s="15"/>
      <c r="BJ74" s="15"/>
      <c r="BK74" s="15"/>
      <c r="BL74" s="15"/>
      <c r="BM74" s="15"/>
      <c r="BN74" s="15"/>
      <c r="BO74" s="15"/>
      <c r="BP74" s="15"/>
      <c r="BQ74" s="15"/>
      <c r="BR74" s="15"/>
      <c r="BS74" s="15"/>
      <c r="CB74" s="15"/>
      <c r="CC74" s="15"/>
      <c r="CD74" s="15"/>
      <c r="CE74" s="15"/>
      <c r="CF74" s="15"/>
      <c r="CG74" s="15"/>
      <c r="CH74" s="15"/>
      <c r="CI74" s="15"/>
      <c r="CJ74" s="15"/>
      <c r="CK74" s="15"/>
      <c r="CL74" s="15"/>
      <c r="CM74" s="15"/>
      <c r="CN74" s="15"/>
      <c r="CO74" s="15"/>
      <c r="CP74" s="15"/>
      <c r="CQ74" s="15"/>
      <c r="CR74" s="15"/>
      <c r="CS74" s="15"/>
      <c r="CT74" s="15"/>
      <c r="CU74" s="645"/>
      <c r="CV74" s="645"/>
      <c r="CW74" s="645"/>
      <c r="CX74" s="645"/>
      <c r="CY74" s="645"/>
      <c r="CZ74" s="645"/>
      <c r="DA74" s="645"/>
      <c r="DB74" s="645"/>
      <c r="DC74" s="645"/>
      <c r="DD74" s="645"/>
      <c r="DE74" s="645"/>
      <c r="DF74" s="645"/>
      <c r="DG74" s="645"/>
      <c r="DH74" s="645"/>
      <c r="DI74" s="645"/>
      <c r="DJ74" s="645"/>
      <c r="DK74" s="645"/>
      <c r="DL74" s="645"/>
      <c r="DM74" s="645"/>
      <c r="DN74" s="645"/>
      <c r="DO74" s="645"/>
      <c r="DP74" s="645"/>
    </row>
    <row r="75" spans="1:120" s="33" customFormat="1" ht="15" customHeight="1">
      <c r="A75" s="316"/>
      <c r="B75" s="648" t="str">
        <f t="shared" si="32"/>
        <v>Seattle</v>
      </c>
      <c r="C75" s="902" t="str">
        <f t="shared" si="2"/>
        <v>USA</v>
      </c>
      <c r="D75" s="902" t="str">
        <f t="shared" si="3"/>
        <v>North America</v>
      </c>
      <c r="E75" s="902" t="str">
        <f t="shared" si="4"/>
        <v xml:space="preserve">Administrative boundary of a local government </v>
      </c>
      <c r="F75" s="643">
        <f t="shared" si="35"/>
        <v>2012</v>
      </c>
      <c r="G75" s="644">
        <f t="shared" si="6"/>
        <v>2012</v>
      </c>
      <c r="H75" s="643">
        <f t="shared" si="7"/>
        <v>634535</v>
      </c>
      <c r="I75" s="643">
        <f t="shared" si="8"/>
        <v>215</v>
      </c>
      <c r="J75" s="1038">
        <f t="shared" si="9"/>
        <v>48900000000</v>
      </c>
      <c r="K75" s="643" t="s">
        <v>172</v>
      </c>
      <c r="L75" s="643" t="s">
        <v>1556</v>
      </c>
      <c r="M75" s="643" t="s">
        <v>1617</v>
      </c>
      <c r="N75" s="644" t="str">
        <f t="shared" si="33"/>
        <v>Seattle</v>
      </c>
      <c r="O75" s="647">
        <f t="shared" si="10"/>
        <v>1931176.3489861221</v>
      </c>
      <c r="P75" s="647">
        <f t="shared" si="11"/>
        <v>2387115.0322293853</v>
      </c>
      <c r="Q75" s="647">
        <f t="shared" si="12"/>
        <v>46978.637297803078</v>
      </c>
      <c r="R75" s="905"/>
      <c r="S75" s="1041" t="str">
        <f t="shared" si="13"/>
        <v>Seattle</v>
      </c>
      <c r="T75" s="1080">
        <f t="shared" si="14"/>
        <v>558039.0423405529</v>
      </c>
      <c r="U75" s="1080">
        <f t="shared" si="15"/>
        <v>869388.5603841889</v>
      </c>
      <c r="V75" s="1080">
        <f t="shared" si="16"/>
        <v>488856.59614335909</v>
      </c>
      <c r="W75" s="1080" t="str">
        <f t="shared" si="17"/>
        <v/>
      </c>
      <c r="X75" s="1080" t="str">
        <f t="shared" si="18"/>
        <v/>
      </c>
      <c r="Y75" s="1080" t="str">
        <f t="shared" si="19"/>
        <v/>
      </c>
      <c r="Z75" s="1080" t="str">
        <f t="shared" si="20"/>
        <v/>
      </c>
      <c r="AA75" s="1080">
        <f t="shared" si="21"/>
        <v>14892.150118021164</v>
      </c>
      <c r="AB75" s="15"/>
      <c r="AC75" s="1041" t="str">
        <f t="shared" si="22"/>
        <v>Seattle</v>
      </c>
      <c r="AD75" s="1080">
        <f t="shared" si="23"/>
        <v>2142773.5754222055</v>
      </c>
      <c r="AE75" s="1080">
        <f t="shared" si="24"/>
        <v>64581.092976911415</v>
      </c>
      <c r="AF75" s="1080">
        <f t="shared" si="25"/>
        <v>179760.36383026894</v>
      </c>
      <c r="AG75" s="1080" t="str">
        <f t="shared" si="26"/>
        <v/>
      </c>
      <c r="AH75" s="1080" t="str">
        <f t="shared" si="27"/>
        <v/>
      </c>
      <c r="AI75" s="15"/>
      <c r="AJ75" s="648" t="str">
        <f t="shared" si="34"/>
        <v>Seattle</v>
      </c>
      <c r="AK75" s="959">
        <f t="shared" si="28"/>
        <v>45085</v>
      </c>
      <c r="AL75" s="959" t="str">
        <f t="shared" si="29"/>
        <v/>
      </c>
      <c r="AM75" s="959" t="str">
        <f t="shared" si="30"/>
        <v/>
      </c>
      <c r="AN75" s="959">
        <f t="shared" si="31"/>
        <v>1893.6372978030768</v>
      </c>
      <c r="AO75" s="15"/>
      <c r="AP75" s="648"/>
      <c r="AQ75" s="959"/>
      <c r="AR75" s="959"/>
      <c r="AS75" s="15"/>
      <c r="AT75" s="648"/>
      <c r="AU75" s="959"/>
      <c r="AV75" s="959"/>
      <c r="AW75" s="15"/>
      <c r="AX75" s="15"/>
      <c r="AY75" s="15"/>
      <c r="AZ75" s="15"/>
      <c r="BA75" s="15"/>
      <c r="BB75" s="15"/>
      <c r="BC75" s="15"/>
      <c r="BD75" s="15"/>
      <c r="BE75" s="15"/>
      <c r="BF75" s="15"/>
      <c r="BG75" s="15"/>
      <c r="BH75" s="15"/>
      <c r="BI75" s="15"/>
      <c r="BJ75" s="15"/>
      <c r="BK75" s="15"/>
      <c r="BL75" s="15"/>
      <c r="BM75" s="15"/>
      <c r="BN75" s="15"/>
      <c r="BO75" s="15"/>
      <c r="BP75" s="15"/>
      <c r="BQ75" s="15"/>
      <c r="BR75" s="15"/>
      <c r="BS75" s="15"/>
      <c r="CB75" s="15"/>
      <c r="CC75" s="15"/>
      <c r="CD75" s="15"/>
      <c r="CE75" s="15"/>
      <c r="CF75" s="15"/>
      <c r="CG75" s="15"/>
      <c r="CH75" s="15"/>
      <c r="CI75" s="15"/>
      <c r="CJ75" s="15"/>
      <c r="CK75" s="15"/>
      <c r="CL75" s="15"/>
      <c r="CM75" s="15"/>
      <c r="CN75" s="15"/>
      <c r="CO75" s="15"/>
      <c r="CP75" s="15"/>
      <c r="CQ75" s="15"/>
      <c r="CR75" s="15"/>
      <c r="CS75" s="15"/>
      <c r="CT75" s="15"/>
      <c r="CU75" s="645"/>
      <c r="CV75" s="645"/>
      <c r="CW75" s="645"/>
      <c r="CX75" s="645"/>
      <c r="CY75" s="645"/>
      <c r="CZ75" s="645"/>
      <c r="DA75" s="645"/>
      <c r="DB75" s="645"/>
      <c r="DC75" s="645"/>
      <c r="DD75" s="645"/>
      <c r="DE75" s="645"/>
      <c r="DF75" s="645"/>
      <c r="DG75" s="645"/>
      <c r="DH75" s="645"/>
      <c r="DI75" s="645"/>
      <c r="DJ75" s="645"/>
      <c r="DK75" s="645"/>
      <c r="DL75" s="645"/>
      <c r="DM75" s="645"/>
      <c r="DN75" s="645"/>
      <c r="DO75" s="645"/>
      <c r="DP75" s="645"/>
    </row>
    <row r="76" spans="1:120" s="33" customFormat="1" ht="15" customHeight="1">
      <c r="A76" s="316"/>
      <c r="B76" s="648" t="str">
        <f t="shared" si="32"/>
        <v>Stockholm</v>
      </c>
      <c r="C76" s="902" t="str">
        <f t="shared" si="2"/>
        <v>Sweden</v>
      </c>
      <c r="D76" s="902" t="str">
        <f t="shared" si="3"/>
        <v>Europe</v>
      </c>
      <c r="E76" s="902" t="str">
        <f t="shared" si="4"/>
        <v xml:space="preserve">Administrative boundary of a local government </v>
      </c>
      <c r="F76" s="643">
        <f t="shared" si="35"/>
        <v>2012</v>
      </c>
      <c r="G76" s="644">
        <f t="shared" si="6"/>
        <v>2012</v>
      </c>
      <c r="H76" s="643">
        <f t="shared" si="7"/>
        <v>881235</v>
      </c>
      <c r="I76" s="643">
        <f t="shared" si="8"/>
        <v>216</v>
      </c>
      <c r="J76" s="1038">
        <f t="shared" si="9"/>
        <v>416797000000</v>
      </c>
      <c r="K76" s="643" t="s">
        <v>172</v>
      </c>
      <c r="L76" s="643" t="s">
        <v>1556</v>
      </c>
      <c r="M76" s="643" t="s">
        <v>1617</v>
      </c>
      <c r="N76" s="644" t="str">
        <f t="shared" si="33"/>
        <v>Stockholm</v>
      </c>
      <c r="O76" s="647">
        <f t="shared" si="10"/>
        <v>1220809.415</v>
      </c>
      <c r="P76" s="647">
        <f t="shared" si="11"/>
        <v>914868.625</v>
      </c>
      <c r="Q76" s="647">
        <f t="shared" si="12"/>
        <v>7763.3378900000007</v>
      </c>
      <c r="S76" s="1041" t="str">
        <f>B76</f>
        <v>Stockholm</v>
      </c>
      <c r="T76" s="1080">
        <f t="shared" si="14"/>
        <v>694265.95595000009</v>
      </c>
      <c r="U76" s="1080">
        <f t="shared" si="15"/>
        <v>476007.72054999997</v>
      </c>
      <c r="V76" s="1080">
        <f t="shared" si="16"/>
        <v>50502.738499999999</v>
      </c>
      <c r="W76" s="1080" t="str">
        <f t="shared" si="17"/>
        <v/>
      </c>
      <c r="X76" s="1080" t="str">
        <f t="shared" si="18"/>
        <v/>
      </c>
      <c r="Y76" s="1080" t="str">
        <f t="shared" si="19"/>
        <v/>
      </c>
      <c r="Z76" s="1080" t="str">
        <f t="shared" si="20"/>
        <v/>
      </c>
      <c r="AA76" s="1080">
        <f t="shared" si="21"/>
        <v>33</v>
      </c>
      <c r="AB76" s="15"/>
      <c r="AC76" s="1041" t="str">
        <f t="shared" ref="AC76:AC78" si="36">B76</f>
        <v>Stockholm</v>
      </c>
      <c r="AD76" s="1080">
        <f t="shared" si="23"/>
        <v>648378</v>
      </c>
      <c r="AE76" s="1080">
        <f t="shared" si="24"/>
        <v>33190.625</v>
      </c>
      <c r="AF76" s="1080">
        <f t="shared" si="25"/>
        <v>92000</v>
      </c>
      <c r="AG76" s="1080">
        <f t="shared" si="26"/>
        <v>19900</v>
      </c>
      <c r="AH76" s="1080">
        <f t="shared" si="27"/>
        <v>121400</v>
      </c>
      <c r="AI76" s="15"/>
      <c r="AJ76" s="648" t="str">
        <f t="shared" ref="AJ76:AJ78" si="37">B76</f>
        <v>Stockholm</v>
      </c>
      <c r="AK76" s="959" t="str">
        <f t="shared" si="28"/>
        <v/>
      </c>
      <c r="AL76" s="959" t="str">
        <f t="shared" si="29"/>
        <v/>
      </c>
      <c r="AM76" s="959" t="str">
        <f t="shared" si="30"/>
        <v/>
      </c>
      <c r="AN76" s="959">
        <f t="shared" si="31"/>
        <v>7763.3378900000007</v>
      </c>
      <c r="AO76" s="15"/>
      <c r="AP76" s="648"/>
      <c r="AQ76" s="959"/>
      <c r="AR76" s="959"/>
      <c r="AS76" s="15"/>
      <c r="AT76" s="648"/>
      <c r="AU76" s="959"/>
      <c r="AV76" s="959"/>
      <c r="AW76" s="15"/>
      <c r="AX76" s="15"/>
      <c r="AY76" s="15"/>
      <c r="AZ76" s="15"/>
      <c r="BA76" s="15"/>
      <c r="BB76" s="15"/>
      <c r="BC76" s="15"/>
      <c r="BD76" s="15"/>
      <c r="BE76" s="15"/>
      <c r="BF76" s="15"/>
      <c r="BG76" s="15"/>
      <c r="BH76" s="15"/>
      <c r="BI76" s="15"/>
      <c r="BJ76" s="15"/>
      <c r="BK76" s="15"/>
      <c r="BL76" s="15"/>
      <c r="BM76" s="15"/>
      <c r="BN76" s="15"/>
      <c r="BO76" s="15"/>
      <c r="BP76" s="15"/>
      <c r="BQ76" s="15"/>
      <c r="BR76" s="15"/>
      <c r="BS76" s="15"/>
      <c r="CB76" s="15"/>
      <c r="CC76" s="15"/>
      <c r="CD76" s="15"/>
      <c r="CE76" s="15"/>
      <c r="CF76" s="15"/>
      <c r="CG76" s="15"/>
      <c r="CH76" s="15"/>
      <c r="CI76" s="15"/>
      <c r="CJ76" s="15"/>
      <c r="CK76" s="15"/>
      <c r="CL76" s="15"/>
      <c r="CM76" s="15"/>
      <c r="CN76" s="15"/>
      <c r="CO76" s="15"/>
      <c r="CP76" s="15"/>
      <c r="CQ76" s="15"/>
      <c r="CR76" s="15"/>
      <c r="CS76" s="15"/>
      <c r="CT76" s="15"/>
      <c r="CU76" s="645"/>
      <c r="CV76" s="645"/>
      <c r="CW76" s="645"/>
      <c r="CX76" s="645"/>
      <c r="CY76" s="645"/>
      <c r="CZ76" s="645"/>
      <c r="DA76" s="645"/>
      <c r="DB76" s="645"/>
      <c r="DC76" s="645"/>
      <c r="DD76" s="645"/>
      <c r="DE76" s="645"/>
      <c r="DF76" s="645"/>
      <c r="DG76" s="645"/>
      <c r="DH76" s="645"/>
      <c r="DI76" s="645"/>
      <c r="DJ76" s="645"/>
      <c r="DK76" s="645"/>
      <c r="DL76" s="645"/>
      <c r="DM76" s="645"/>
      <c r="DN76" s="645"/>
      <c r="DO76" s="645"/>
      <c r="DP76" s="645"/>
    </row>
    <row r="77" spans="1:120" s="33" customFormat="1" ht="15" customHeight="1">
      <c r="A77" s="316"/>
      <c r="B77" s="648" t="str">
        <f t="shared" si="32"/>
        <v>City of Sydney</v>
      </c>
      <c r="C77" s="902" t="str">
        <f t="shared" si="2"/>
        <v>Australia</v>
      </c>
      <c r="D77" s="902" t="str">
        <f t="shared" si="3"/>
        <v>Europe</v>
      </c>
      <c r="E77" s="902" t="str">
        <f t="shared" si="4"/>
        <v xml:space="preserve">Administrative boundary of a local government </v>
      </c>
      <c r="F77" s="643" t="str">
        <f t="shared" si="35"/>
        <v>2014-2015</v>
      </c>
      <c r="G77" s="644" t="str">
        <f t="shared" si="6"/>
        <v>2014-2015</v>
      </c>
      <c r="H77" s="643">
        <f t="shared" si="7"/>
        <v>205728.86297376096</v>
      </c>
      <c r="I77" s="643">
        <f t="shared" si="8"/>
        <v>26.15</v>
      </c>
      <c r="J77" s="1038">
        <f t="shared" si="9"/>
        <v>73012549539.320007</v>
      </c>
      <c r="K77" s="643" t="s">
        <v>172</v>
      </c>
      <c r="L77" s="643" t="s">
        <v>1556</v>
      </c>
      <c r="M77" s="643" t="s">
        <v>1617</v>
      </c>
      <c r="N77" s="644" t="str">
        <f t="shared" si="33"/>
        <v>City of Sydney</v>
      </c>
      <c r="O77" s="647">
        <f t="shared" si="10"/>
        <v>3307354.5680408096</v>
      </c>
      <c r="P77" s="647">
        <f t="shared" si="11"/>
        <v>249174.07120978599</v>
      </c>
      <c r="Q77" s="647">
        <f t="shared" si="12"/>
        <v>180334.22658379009</v>
      </c>
      <c r="S77" s="1041" t="str">
        <f t="shared" ref="S77:S78" si="38">B77</f>
        <v>City of Sydney</v>
      </c>
      <c r="T77" s="1080">
        <f t="shared" si="14"/>
        <v>413662.22633318463</v>
      </c>
      <c r="U77" s="1080">
        <f t="shared" si="15"/>
        <v>2878457.6766107338</v>
      </c>
      <c r="V77" s="1080" t="str">
        <f t="shared" si="16"/>
        <v/>
      </c>
      <c r="W77" s="1080" t="str">
        <f t="shared" si="17"/>
        <v/>
      </c>
      <c r="X77" s="1080" t="str">
        <f t="shared" si="18"/>
        <v/>
      </c>
      <c r="Y77" s="1080" t="str">
        <f t="shared" si="19"/>
        <v/>
      </c>
      <c r="Z77" s="1080" t="str">
        <f t="shared" si="20"/>
        <v/>
      </c>
      <c r="AA77" s="1080">
        <f t="shared" si="21"/>
        <v>15234.665096891125</v>
      </c>
      <c r="AB77" s="15"/>
      <c r="AC77" s="1041" t="str">
        <f t="shared" si="36"/>
        <v>City of Sydney</v>
      </c>
      <c r="AD77" s="1080">
        <f t="shared" si="23"/>
        <v>158795.11042066236</v>
      </c>
      <c r="AE77" s="1080">
        <f t="shared" si="24"/>
        <v>85521.344031772387</v>
      </c>
      <c r="AF77" s="1080">
        <f t="shared" si="25"/>
        <v>4857.6167573512748</v>
      </c>
      <c r="AG77" s="1080" t="str">
        <f t="shared" si="26"/>
        <v/>
      </c>
      <c r="AH77" s="1080" t="str">
        <f t="shared" si="27"/>
        <v/>
      </c>
      <c r="AI77" s="15"/>
      <c r="AJ77" s="648" t="str">
        <f t="shared" si="37"/>
        <v>City of Sydney</v>
      </c>
      <c r="AK77" s="959">
        <f t="shared" si="28"/>
        <v>175018.5</v>
      </c>
      <c r="AL77" s="959">
        <f t="shared" si="29"/>
        <v>195.83959999999999</v>
      </c>
      <c r="AM77" s="959" t="str">
        <f t="shared" si="30"/>
        <v/>
      </c>
      <c r="AN77" s="959">
        <f t="shared" si="31"/>
        <v>5119.8869837900875</v>
      </c>
      <c r="AO77" s="15"/>
      <c r="AP77" s="648"/>
      <c r="AQ77" s="959"/>
      <c r="AR77" s="959"/>
      <c r="AS77" s="15"/>
      <c r="AT77" s="648"/>
      <c r="AU77" s="959"/>
      <c r="AV77" s="959"/>
      <c r="AW77" s="15"/>
      <c r="AX77" s="15"/>
      <c r="AY77" s="15"/>
      <c r="AZ77" s="15"/>
      <c r="BA77" s="15"/>
      <c r="BB77" s="15"/>
      <c r="BC77" s="15"/>
      <c r="BD77" s="15"/>
      <c r="BE77" s="15"/>
      <c r="BF77" s="15"/>
      <c r="BG77" s="15"/>
      <c r="BH77" s="15"/>
      <c r="BI77" s="15"/>
      <c r="BJ77" s="15"/>
      <c r="BK77" s="15"/>
      <c r="BL77" s="15"/>
      <c r="BM77" s="15"/>
      <c r="BN77" s="15"/>
      <c r="BO77" s="15"/>
      <c r="BP77" s="15"/>
      <c r="BQ77" s="15"/>
      <c r="BR77" s="15"/>
      <c r="BS77" s="15"/>
      <c r="CB77" s="15"/>
      <c r="CC77" s="15"/>
      <c r="CD77" s="15"/>
      <c r="CE77" s="15"/>
      <c r="CF77" s="15"/>
      <c r="CG77" s="15"/>
      <c r="CH77" s="15"/>
      <c r="CI77" s="15"/>
      <c r="CJ77" s="15"/>
      <c r="CK77" s="15"/>
      <c r="CL77" s="15"/>
      <c r="CM77" s="15"/>
      <c r="CN77" s="15"/>
      <c r="CO77" s="15"/>
      <c r="CP77" s="15"/>
      <c r="CQ77" s="15"/>
      <c r="CR77" s="15"/>
      <c r="CS77" s="15"/>
      <c r="CT77" s="15"/>
      <c r="CU77" s="645"/>
      <c r="CV77" s="645"/>
      <c r="CW77" s="645"/>
      <c r="CX77" s="645"/>
      <c r="CY77" s="645"/>
      <c r="CZ77" s="645"/>
      <c r="DA77" s="645"/>
      <c r="DB77" s="645"/>
      <c r="DC77" s="645"/>
      <c r="DD77" s="645"/>
      <c r="DE77" s="645"/>
      <c r="DF77" s="645"/>
      <c r="DG77" s="645"/>
      <c r="DH77" s="645"/>
      <c r="DI77" s="645"/>
      <c r="DJ77" s="645"/>
      <c r="DK77" s="645"/>
      <c r="DL77" s="645"/>
      <c r="DM77" s="645"/>
      <c r="DN77" s="645"/>
      <c r="DO77" s="645"/>
      <c r="DP77" s="645"/>
    </row>
    <row r="78" spans="1:120" s="33" customFormat="1" ht="15" customHeight="1">
      <c r="A78" s="316"/>
      <c r="B78" s="648" t="str">
        <f t="shared" si="32"/>
        <v>Toronto</v>
      </c>
      <c r="C78" s="902" t="str">
        <f t="shared" si="2"/>
        <v>Canada</v>
      </c>
      <c r="D78" s="902" t="str">
        <f t="shared" si="3"/>
        <v>Europe</v>
      </c>
      <c r="E78" s="902" t="str">
        <f t="shared" si="4"/>
        <v>A metropolitan area</v>
      </c>
      <c r="F78" s="643">
        <f t="shared" si="35"/>
        <v>2013</v>
      </c>
      <c r="G78" s="644">
        <f t="shared" si="6"/>
        <v>2013</v>
      </c>
      <c r="H78" s="643">
        <f t="shared" si="7"/>
        <v>2741280</v>
      </c>
      <c r="I78" s="643">
        <f t="shared" si="8"/>
        <v>641</v>
      </c>
      <c r="J78" s="1038">
        <f t="shared" si="9"/>
        <v>157000000000</v>
      </c>
      <c r="K78" s="643" t="s">
        <v>172</v>
      </c>
      <c r="L78" s="643" t="s">
        <v>1556</v>
      </c>
      <c r="M78" s="643" t="s">
        <v>1617</v>
      </c>
      <c r="N78" s="644" t="str">
        <f t="shared" si="33"/>
        <v>Toronto</v>
      </c>
      <c r="O78" s="647">
        <f t="shared" si="10"/>
        <v>10035681.400736354</v>
      </c>
      <c r="P78" s="647">
        <f t="shared" si="11"/>
        <v>7049656.0415050536</v>
      </c>
      <c r="Q78" s="647">
        <f t="shared" si="12"/>
        <v>2278887.5335078305</v>
      </c>
      <c r="S78" s="1041" t="str">
        <f t="shared" si="38"/>
        <v>Toronto</v>
      </c>
      <c r="T78" s="1080">
        <f t="shared" si="14"/>
        <v>4646316.7934250403</v>
      </c>
      <c r="U78" s="1080">
        <f t="shared" si="15"/>
        <v>4025206.5457539288</v>
      </c>
      <c r="V78" s="1080">
        <f t="shared" si="16"/>
        <v>1237989.489502734</v>
      </c>
      <c r="W78" s="1080" t="str">
        <f t="shared" si="17"/>
        <v/>
      </c>
      <c r="X78" s="1080" t="str">
        <f t="shared" si="18"/>
        <v/>
      </c>
      <c r="Y78" s="1080" t="str">
        <f t="shared" si="19"/>
        <v/>
      </c>
      <c r="Z78" s="1080" t="str">
        <f t="shared" si="20"/>
        <v/>
      </c>
      <c r="AA78" s="1080">
        <f t="shared" si="21"/>
        <v>126168.572054652</v>
      </c>
      <c r="AB78" s="15"/>
      <c r="AC78" s="1041" t="str">
        <f t="shared" si="36"/>
        <v>Toronto</v>
      </c>
      <c r="AD78" s="1080">
        <f t="shared" si="23"/>
        <v>6892923.9903200874</v>
      </c>
      <c r="AE78" s="1080">
        <f t="shared" si="24"/>
        <v>155303.04514628398</v>
      </c>
      <c r="AF78" s="1080">
        <f t="shared" si="25"/>
        <v>1429.0060386829998</v>
      </c>
      <c r="AG78" s="1080" t="str">
        <f t="shared" si="26"/>
        <v/>
      </c>
      <c r="AH78" s="1080" t="str">
        <f t="shared" si="27"/>
        <v/>
      </c>
      <c r="AI78" s="15"/>
      <c r="AJ78" s="648" t="str">
        <f t="shared" si="37"/>
        <v>Toronto</v>
      </c>
      <c r="AK78" s="959">
        <f t="shared" si="28"/>
        <v>2252837.7258958346</v>
      </c>
      <c r="AL78" s="959" t="str">
        <f t="shared" si="29"/>
        <v/>
      </c>
      <c r="AM78" s="959" t="str">
        <f t="shared" si="30"/>
        <v/>
      </c>
      <c r="AN78" s="959">
        <f t="shared" si="31"/>
        <v>26049.807611995813</v>
      </c>
      <c r="AO78" s="15"/>
      <c r="AP78" s="648"/>
      <c r="AQ78" s="959"/>
      <c r="AR78" s="959"/>
      <c r="AS78" s="15"/>
      <c r="AT78" s="648"/>
      <c r="AU78" s="959"/>
      <c r="AV78" s="959"/>
      <c r="AW78" s="15"/>
      <c r="AX78" s="15"/>
      <c r="AY78" s="15"/>
      <c r="AZ78" s="15"/>
      <c r="BA78" s="15"/>
      <c r="BB78" s="15"/>
      <c r="BC78" s="15"/>
      <c r="BD78" s="15"/>
      <c r="BE78" s="15"/>
      <c r="BF78" s="15"/>
      <c r="BG78" s="15"/>
      <c r="BH78" s="15"/>
      <c r="BI78" s="15"/>
      <c r="BJ78" s="15"/>
      <c r="BK78" s="15"/>
      <c r="BL78" s="15"/>
      <c r="BM78" s="15"/>
      <c r="BN78" s="15"/>
      <c r="BO78" s="15"/>
      <c r="BP78" s="15"/>
      <c r="BQ78" s="15"/>
      <c r="BR78" s="15"/>
      <c r="BS78" s="15"/>
      <c r="CB78" s="15"/>
      <c r="CC78" s="15"/>
      <c r="CD78" s="15"/>
      <c r="CE78" s="15"/>
      <c r="CF78" s="15"/>
      <c r="CG78" s="15"/>
      <c r="CH78" s="15"/>
      <c r="CI78" s="15"/>
      <c r="CJ78" s="15"/>
      <c r="CK78" s="15"/>
      <c r="CL78" s="15"/>
      <c r="CM78" s="15"/>
      <c r="CN78" s="15"/>
      <c r="CO78" s="15"/>
      <c r="CP78" s="15"/>
      <c r="CQ78" s="15"/>
      <c r="CR78" s="15"/>
      <c r="CS78" s="15"/>
      <c r="CT78" s="15"/>
      <c r="CU78" s="645"/>
      <c r="CV78" s="645"/>
      <c r="CW78" s="645"/>
      <c r="CX78" s="645"/>
      <c r="CY78" s="645"/>
      <c r="CZ78" s="645"/>
      <c r="DA78" s="645"/>
      <c r="DB78" s="645"/>
      <c r="DC78" s="645"/>
      <c r="DD78" s="645"/>
      <c r="DE78" s="645"/>
      <c r="DF78" s="645"/>
      <c r="DG78" s="645"/>
      <c r="DH78" s="645"/>
      <c r="DI78" s="645"/>
      <c r="DJ78" s="645"/>
      <c r="DK78" s="645"/>
      <c r="DL78" s="645"/>
      <c r="DM78" s="645"/>
      <c r="DN78" s="645"/>
      <c r="DO78" s="645"/>
      <c r="DP78" s="645"/>
    </row>
    <row r="79" spans="1:120" s="33" customFormat="1" ht="15" customHeight="1">
      <c r="A79" s="316"/>
      <c r="B79" s="648" t="str">
        <f t="shared" si="32"/>
        <v>City of Vancouver</v>
      </c>
      <c r="C79" s="902" t="str">
        <f t="shared" si="2"/>
        <v>Canada</v>
      </c>
      <c r="D79" s="902" t="str">
        <f t="shared" si="3"/>
        <v>Europe</v>
      </c>
      <c r="E79" s="902" t="str">
        <f t="shared" si="4"/>
        <v xml:space="preserve">Administrative boundary of a local government </v>
      </c>
      <c r="F79" s="643">
        <f t="shared" si="35"/>
        <v>2014</v>
      </c>
      <c r="G79" s="644">
        <f t="shared" ref="G79" si="39">F79</f>
        <v>2014</v>
      </c>
      <c r="H79" s="643">
        <f t="shared" si="7"/>
        <v>618502</v>
      </c>
      <c r="I79" s="643">
        <f t="shared" si="8"/>
        <v>114.97</v>
      </c>
      <c r="J79" s="1038">
        <f t="shared" si="9"/>
        <v>84415033680.342926</v>
      </c>
      <c r="K79" s="643" t="s">
        <v>172</v>
      </c>
      <c r="L79" s="643" t="s">
        <v>1556</v>
      </c>
      <c r="M79" s="643" t="s">
        <v>1617</v>
      </c>
      <c r="N79" s="644" t="str">
        <f t="shared" si="33"/>
        <v>City of Vancouver</v>
      </c>
      <c r="O79" s="647">
        <f t="shared" si="10"/>
        <v>1406131.589125186</v>
      </c>
      <c r="P79" s="647">
        <f t="shared" si="11"/>
        <v>1034605.665954033</v>
      </c>
      <c r="Q79" s="647">
        <f t="shared" si="12"/>
        <v>117732.01992253901</v>
      </c>
      <c r="S79" s="1041" t="str">
        <f t="shared" ref="S79" si="40">B79</f>
        <v>City of Vancouver</v>
      </c>
      <c r="T79" s="1080">
        <f t="shared" si="14"/>
        <v>484732.89528230677</v>
      </c>
      <c r="U79" s="1080">
        <f t="shared" si="15"/>
        <v>554814.51251901232</v>
      </c>
      <c r="V79" s="1080">
        <f t="shared" si="16"/>
        <v>347277.03357244877</v>
      </c>
      <c r="W79" s="1080" t="str">
        <f t="shared" si="17"/>
        <v/>
      </c>
      <c r="X79" s="1080" t="str">
        <f t="shared" si="18"/>
        <v/>
      </c>
      <c r="Y79" s="1080" t="str">
        <f t="shared" si="19"/>
        <v/>
      </c>
      <c r="Z79" s="1080" t="str">
        <f t="shared" si="20"/>
        <v/>
      </c>
      <c r="AA79" s="1080">
        <f t="shared" si="21"/>
        <v>19307.147751417866</v>
      </c>
      <c r="AB79" s="15"/>
      <c r="AC79" s="1041" t="str">
        <f t="shared" ref="AC79" si="41">B79</f>
        <v>City of Vancouver</v>
      </c>
      <c r="AD79" s="1080">
        <f t="shared" si="23"/>
        <v>1005807.2450496393</v>
      </c>
      <c r="AE79" s="1080">
        <f t="shared" si="24"/>
        <v>12439.420904393815</v>
      </c>
      <c r="AF79" s="1080" t="str">
        <f t="shared" si="25"/>
        <v/>
      </c>
      <c r="AG79" s="1080" t="str">
        <f t="shared" si="26"/>
        <v/>
      </c>
      <c r="AH79" s="1080">
        <f t="shared" si="27"/>
        <v>16359</v>
      </c>
      <c r="AI79" s="15"/>
      <c r="AJ79" s="648" t="str">
        <f t="shared" ref="AJ79" si="42">B79</f>
        <v>City of Vancouver</v>
      </c>
      <c r="AK79" s="959">
        <f t="shared" si="28"/>
        <v>99429.707476538504</v>
      </c>
      <c r="AL79" s="959">
        <f t="shared" si="29"/>
        <v>12990.567200000001</v>
      </c>
      <c r="AM79" s="959" t="str">
        <f t="shared" si="30"/>
        <v/>
      </c>
      <c r="AN79" s="959">
        <f t="shared" si="31"/>
        <v>5311.7452460005024</v>
      </c>
      <c r="AO79" s="15"/>
      <c r="AP79" s="648"/>
      <c r="AQ79" s="959"/>
      <c r="AR79" s="959"/>
      <c r="AS79" s="15"/>
      <c r="AT79" s="648"/>
      <c r="AU79" s="959"/>
      <c r="AV79" s="959"/>
      <c r="AW79" s="15"/>
      <c r="AX79" s="15"/>
      <c r="AY79" s="15"/>
      <c r="AZ79" s="15"/>
      <c r="BA79" s="15"/>
      <c r="BB79" s="15"/>
      <c r="BC79" s="15"/>
      <c r="BD79" s="15"/>
      <c r="BE79" s="15"/>
      <c r="BF79" s="15"/>
      <c r="BG79" s="15"/>
      <c r="BH79" s="15"/>
      <c r="BI79" s="15"/>
      <c r="BJ79" s="15"/>
      <c r="BK79" s="15"/>
      <c r="BL79" s="15"/>
      <c r="BM79" s="15"/>
      <c r="BN79" s="15"/>
      <c r="BO79" s="15"/>
      <c r="BP79" s="15"/>
      <c r="BQ79" s="15"/>
      <c r="BR79" s="15"/>
      <c r="BS79" s="15"/>
      <c r="CB79" s="15"/>
      <c r="CC79" s="15"/>
      <c r="CD79" s="15"/>
      <c r="CE79" s="15"/>
      <c r="CF79" s="15"/>
      <c r="CG79" s="15"/>
      <c r="CH79" s="15"/>
      <c r="CI79" s="15"/>
      <c r="CJ79" s="15"/>
      <c r="CK79" s="15"/>
      <c r="CL79" s="15"/>
      <c r="CM79" s="15"/>
      <c r="CN79" s="15"/>
      <c r="CO79" s="15"/>
      <c r="CP79" s="15"/>
      <c r="CQ79" s="15"/>
      <c r="CR79" s="15"/>
      <c r="CS79" s="15"/>
      <c r="CT79" s="15"/>
      <c r="CU79" s="645"/>
      <c r="CV79" s="645"/>
      <c r="CW79" s="645"/>
      <c r="CX79" s="645"/>
      <c r="CY79" s="645"/>
      <c r="CZ79" s="645"/>
      <c r="DA79" s="645"/>
      <c r="DB79" s="645"/>
      <c r="DC79" s="645"/>
      <c r="DD79" s="645"/>
      <c r="DE79" s="645"/>
      <c r="DF79" s="645"/>
      <c r="DG79" s="645"/>
      <c r="DH79" s="645"/>
      <c r="DI79" s="645"/>
      <c r="DJ79" s="645"/>
      <c r="DK79" s="645"/>
      <c r="DL79" s="645"/>
      <c r="DM79" s="645"/>
      <c r="DN79" s="645"/>
      <c r="DO79" s="645"/>
      <c r="DP79" s="645"/>
    </row>
    <row r="80" spans="1:120" s="33" customFormat="1" ht="15" customHeight="1">
      <c r="A80" s="316"/>
      <c r="B80" s="648"/>
      <c r="C80" s="902"/>
      <c r="D80" s="902"/>
      <c r="E80" s="902"/>
      <c r="F80" s="643"/>
      <c r="G80" s="644"/>
      <c r="H80" s="643"/>
      <c r="I80" s="643"/>
      <c r="J80" s="1038"/>
      <c r="K80" s="643"/>
      <c r="L80" s="643"/>
      <c r="M80" s="643"/>
      <c r="N80" s="644"/>
      <c r="O80" s="647"/>
      <c r="P80" s="647"/>
      <c r="Q80" s="647"/>
      <c r="S80" s="1041"/>
      <c r="T80" s="1080"/>
      <c r="U80" s="1080"/>
      <c r="V80" s="1080"/>
      <c r="W80" s="1080"/>
      <c r="X80" s="1080"/>
      <c r="Y80" s="1080"/>
      <c r="Z80" s="1080"/>
      <c r="AA80" s="1080"/>
      <c r="AB80" s="15"/>
      <c r="AC80" s="1041"/>
      <c r="AD80" s="1080"/>
      <c r="AE80" s="1080"/>
      <c r="AF80" s="1080"/>
      <c r="AG80" s="1080"/>
      <c r="AH80" s="1080"/>
      <c r="AI80" s="15"/>
      <c r="AJ80" s="648"/>
      <c r="AK80" s="959"/>
      <c r="AL80" s="959"/>
      <c r="AM80" s="959"/>
      <c r="AN80" s="959"/>
      <c r="AO80" s="15"/>
      <c r="AP80" s="648"/>
      <c r="AQ80" s="959"/>
      <c r="AR80" s="959"/>
      <c r="AS80" s="15"/>
      <c r="AT80" s="648"/>
      <c r="AU80" s="959"/>
      <c r="AV80" s="959"/>
      <c r="AW80" s="15"/>
      <c r="AX80" s="15"/>
      <c r="AY80" s="15"/>
      <c r="AZ80" s="15"/>
      <c r="BA80" s="15"/>
      <c r="BB80" s="15"/>
      <c r="BC80" s="15"/>
      <c r="BD80" s="15"/>
      <c r="BE80" s="15"/>
      <c r="BF80" s="15"/>
      <c r="BG80" s="15"/>
      <c r="BH80" s="15"/>
      <c r="BI80" s="15"/>
      <c r="BJ80" s="15"/>
      <c r="BK80" s="15"/>
      <c r="BL80" s="15"/>
      <c r="BM80" s="15"/>
      <c r="BN80" s="15"/>
      <c r="BO80" s="15"/>
      <c r="BP80" s="15"/>
      <c r="BQ80" s="15"/>
      <c r="BR80" s="15"/>
      <c r="BS80" s="15"/>
      <c r="CB80" s="15"/>
      <c r="CC80" s="15"/>
      <c r="CD80" s="15"/>
      <c r="CE80" s="15"/>
      <c r="CF80" s="15"/>
      <c r="CG80" s="15"/>
      <c r="CH80" s="15"/>
      <c r="CI80" s="15"/>
      <c r="CJ80" s="15"/>
      <c r="CK80" s="15"/>
      <c r="CL80" s="15"/>
      <c r="CM80" s="15"/>
      <c r="CN80" s="15"/>
      <c r="CO80" s="15"/>
      <c r="CP80" s="15"/>
      <c r="CQ80" s="15"/>
      <c r="CR80" s="15"/>
      <c r="CS80" s="15"/>
      <c r="CT80" s="15"/>
      <c r="CU80" s="645"/>
      <c r="CV80" s="645"/>
      <c r="CW80" s="645"/>
      <c r="CX80" s="645"/>
      <c r="CY80" s="645"/>
      <c r="CZ80" s="645"/>
      <c r="DA80" s="645"/>
      <c r="DB80" s="645"/>
      <c r="DC80" s="645"/>
      <c r="DD80" s="645"/>
      <c r="DE80" s="645"/>
      <c r="DF80" s="645"/>
      <c r="DG80" s="645"/>
      <c r="DH80" s="645"/>
      <c r="DI80" s="645"/>
      <c r="DJ80" s="645"/>
      <c r="DK80" s="645"/>
      <c r="DL80" s="645"/>
      <c r="DM80" s="645"/>
      <c r="DN80" s="645"/>
      <c r="DO80" s="645"/>
      <c r="DP80" s="645"/>
    </row>
    <row r="81" spans="1:120" s="35" customFormat="1" ht="15" customHeight="1">
      <c r="A81" s="909"/>
      <c r="B81" s="911"/>
      <c r="C81" s="912"/>
      <c r="D81" s="913"/>
      <c r="E81" s="912"/>
      <c r="F81" s="914"/>
      <c r="G81" s="914"/>
      <c r="H81" s="910"/>
      <c r="I81" s="910"/>
      <c r="J81" s="913"/>
      <c r="K81" s="913"/>
      <c r="L81" s="913"/>
      <c r="M81" s="912"/>
      <c r="N81" s="910"/>
      <c r="O81" s="910"/>
      <c r="P81" s="910"/>
      <c r="Q81" s="910"/>
      <c r="S81" s="22"/>
      <c r="T81" s="22"/>
      <c r="U81" s="22"/>
      <c r="V81" s="22"/>
      <c r="W81" s="22"/>
      <c r="X81" s="22"/>
      <c r="Y81" s="22"/>
      <c r="Z81" s="22"/>
      <c r="AA81" s="22"/>
      <c r="AB81" s="15"/>
      <c r="AC81" s="15"/>
      <c r="AD81" s="22"/>
      <c r="AE81" s="22"/>
      <c r="AF81" s="22"/>
      <c r="AG81" s="22"/>
      <c r="AH81" s="22"/>
      <c r="AI81" s="22"/>
      <c r="AJ81" s="22"/>
      <c r="AK81" s="22"/>
      <c r="AL81" s="22"/>
      <c r="AM81" s="22"/>
      <c r="AN81" s="22"/>
      <c r="AO81" s="22"/>
      <c r="AP81" s="22"/>
      <c r="AQ81" s="22"/>
      <c r="AR81" s="22"/>
      <c r="AS81" s="22"/>
      <c r="AT81" s="22"/>
      <c r="AU81" s="22"/>
      <c r="AV81" s="22"/>
      <c r="AW81" s="15"/>
      <c r="AX81" s="22"/>
      <c r="AY81" s="22"/>
      <c r="AZ81" s="22"/>
      <c r="BA81" s="22"/>
      <c r="BB81" s="22"/>
      <c r="BC81" s="22"/>
      <c r="BD81" s="22"/>
      <c r="BE81" s="22"/>
      <c r="BF81" s="22"/>
      <c r="BG81" s="22"/>
      <c r="BH81" s="22"/>
      <c r="BI81" s="22"/>
      <c r="BJ81" s="22"/>
      <c r="BK81" s="22"/>
      <c r="BL81" s="22"/>
      <c r="BM81" s="22"/>
      <c r="BN81" s="22"/>
      <c r="BO81" s="22"/>
      <c r="BP81" s="22"/>
      <c r="BQ81" s="22"/>
      <c r="BR81" s="22"/>
      <c r="BS81" s="22"/>
      <c r="BT81" s="22"/>
      <c r="BU81" s="22"/>
      <c r="BV81" s="22"/>
      <c r="BW81" s="22"/>
      <c r="BX81" s="22"/>
      <c r="BY81" s="22"/>
      <c r="BZ81" s="22"/>
      <c r="CA81" s="22"/>
      <c r="CB81" s="22"/>
      <c r="CC81" s="22"/>
      <c r="CD81" s="22"/>
      <c r="CE81" s="22"/>
      <c r="CF81" s="22"/>
      <c r="CG81" s="22"/>
      <c r="CH81" s="22"/>
      <c r="CI81" s="22"/>
      <c r="CJ81" s="22"/>
      <c r="CK81" s="22"/>
      <c r="CL81" s="22"/>
      <c r="CM81" s="22"/>
      <c r="CN81" s="22"/>
      <c r="CO81" s="22"/>
      <c r="CP81" s="22"/>
      <c r="CQ81" s="22"/>
      <c r="CR81" s="22"/>
      <c r="CS81" s="22"/>
      <c r="CT81" s="22"/>
    </row>
    <row r="82" spans="1:120" s="35" customFormat="1" ht="18" customHeight="1" thickBot="1">
      <c r="A82" s="909"/>
      <c r="B82" s="1489" t="s">
        <v>2519</v>
      </c>
      <c r="C82" s="1489"/>
      <c r="D82" s="1489"/>
      <c r="E82" s="1489"/>
      <c r="F82" s="1489"/>
      <c r="G82" s="1489"/>
      <c r="H82" s="1489"/>
      <c r="I82" s="1489"/>
      <c r="J82" s="1489"/>
      <c r="K82" s="1489"/>
      <c r="L82" s="1489"/>
      <c r="M82" s="1489"/>
      <c r="N82" s="1489"/>
      <c r="O82" s="1489"/>
      <c r="P82" s="1489"/>
      <c r="Q82" s="1489"/>
      <c r="R82" s="1489"/>
      <c r="S82" s="1489"/>
      <c r="T82" s="1489"/>
      <c r="U82" s="1489"/>
      <c r="V82" s="1489"/>
      <c r="W82" s="1489"/>
      <c r="X82" s="1489"/>
      <c r="Y82" s="1489"/>
      <c r="Z82" s="1489"/>
      <c r="AA82" s="1489"/>
      <c r="AB82" s="1489"/>
      <c r="AC82" s="1489"/>
      <c r="AD82" s="1489"/>
      <c r="AE82" s="1489"/>
      <c r="AF82" s="1489"/>
      <c r="AG82" s="1489"/>
      <c r="AH82" s="1489"/>
      <c r="AI82" s="1489"/>
      <c r="AJ82" s="1489"/>
      <c r="AK82" s="1489"/>
      <c r="AL82" s="1489"/>
      <c r="AM82" s="1489"/>
      <c r="AN82" s="1489"/>
      <c r="AO82" s="1489"/>
      <c r="AP82" s="1489"/>
      <c r="AQ82" s="1489"/>
      <c r="AR82" s="1489"/>
      <c r="AS82" s="1489"/>
      <c r="AT82" s="1489"/>
      <c r="AU82" s="1489"/>
      <c r="AV82" s="1489"/>
      <c r="AW82" s="15"/>
      <c r="AX82" s="22"/>
      <c r="AY82" s="22"/>
      <c r="AZ82" s="22"/>
      <c r="BA82" s="22"/>
      <c r="BB82" s="22"/>
      <c r="BC82" s="22"/>
      <c r="BD82" s="22"/>
      <c r="BE82" s="22"/>
      <c r="BF82" s="22"/>
      <c r="BG82" s="22"/>
      <c r="BH82" s="22"/>
      <c r="BI82" s="22"/>
      <c r="BJ82" s="22"/>
      <c r="BK82" s="22"/>
      <c r="BL82" s="22"/>
      <c r="BM82" s="22"/>
      <c r="BN82" s="22"/>
      <c r="BO82" s="22"/>
      <c r="BP82" s="22"/>
      <c r="BQ82" s="22"/>
      <c r="BR82" s="22"/>
      <c r="BS82" s="22"/>
      <c r="BT82" s="22"/>
      <c r="BU82" s="22"/>
      <c r="BV82" s="22"/>
      <c r="BW82" s="22"/>
      <c r="BX82" s="22"/>
      <c r="BY82" s="22"/>
      <c r="BZ82" s="22"/>
      <c r="CA82" s="22"/>
      <c r="CB82" s="22"/>
      <c r="CC82" s="22"/>
      <c r="CD82" s="22"/>
      <c r="CE82" s="22"/>
      <c r="CF82" s="22"/>
      <c r="CG82" s="22"/>
      <c r="CH82" s="22"/>
      <c r="CI82" s="22"/>
      <c r="CJ82" s="22"/>
      <c r="CK82" s="22"/>
      <c r="CL82" s="22"/>
      <c r="CM82" s="22"/>
      <c r="CN82" s="22"/>
      <c r="CO82" s="22"/>
      <c r="CP82" s="22"/>
      <c r="CQ82" s="22"/>
      <c r="CR82" s="22"/>
      <c r="CS82" s="22"/>
      <c r="CT82" s="22"/>
    </row>
    <row r="83" spans="1:120" s="35" customFormat="1" ht="15" customHeight="1">
      <c r="A83" s="909"/>
      <c r="B83" s="911"/>
      <c r="C83" s="912"/>
      <c r="D83" s="913"/>
      <c r="E83" s="912"/>
      <c r="F83" s="914"/>
      <c r="G83" s="914"/>
      <c r="H83" s="910"/>
      <c r="I83" s="910"/>
      <c r="J83" s="913"/>
      <c r="K83" s="913"/>
      <c r="L83" s="913"/>
      <c r="M83" s="912"/>
      <c r="N83" s="910"/>
      <c r="O83" s="910"/>
      <c r="P83" s="910"/>
      <c r="Q83" s="910"/>
      <c r="S83" s="22"/>
      <c r="T83" s="22"/>
      <c r="U83" s="22"/>
      <c r="V83" s="22"/>
      <c r="W83" s="22"/>
      <c r="X83" s="22"/>
      <c r="Y83" s="22"/>
      <c r="Z83" s="22"/>
      <c r="AA83" s="22"/>
      <c r="AB83" s="15"/>
      <c r="AC83" s="15"/>
      <c r="AD83" s="22"/>
      <c r="AE83" s="22"/>
      <c r="AF83" s="22"/>
      <c r="AG83" s="22"/>
      <c r="AH83" s="22"/>
      <c r="AI83" s="22"/>
      <c r="AJ83" s="22"/>
      <c r="AK83" s="22"/>
      <c r="AL83" s="22"/>
      <c r="AM83" s="22"/>
      <c r="AN83" s="22"/>
      <c r="AO83" s="22"/>
      <c r="AP83" s="22"/>
      <c r="AQ83" s="22"/>
      <c r="AR83" s="22"/>
      <c r="AS83" s="22"/>
      <c r="AT83" s="22"/>
      <c r="AU83" s="22"/>
      <c r="AV83" s="22"/>
      <c r="AW83" s="22"/>
      <c r="AX83" s="22"/>
      <c r="AY83" s="22"/>
      <c r="AZ83" s="22"/>
      <c r="BA83" s="22"/>
      <c r="BB83" s="22"/>
      <c r="BC83" s="22"/>
      <c r="BD83" s="22"/>
      <c r="BE83" s="22"/>
      <c r="BF83" s="22"/>
      <c r="BG83" s="22"/>
      <c r="BH83" s="22"/>
      <c r="BI83" s="22"/>
      <c r="BJ83" s="22"/>
      <c r="BK83" s="22"/>
      <c r="BL83" s="22"/>
      <c r="BM83" s="22"/>
      <c r="BN83" s="22"/>
      <c r="BO83" s="22"/>
      <c r="BP83" s="22"/>
      <c r="BQ83" s="22"/>
      <c r="BR83" s="22"/>
      <c r="BS83" s="22"/>
      <c r="BT83" s="22"/>
      <c r="BU83" s="22"/>
      <c r="BV83" s="22"/>
      <c r="BW83" s="22"/>
      <c r="BX83" s="22"/>
      <c r="BY83" s="22"/>
      <c r="BZ83" s="22"/>
      <c r="CA83" s="22"/>
      <c r="CB83" s="22"/>
      <c r="CC83" s="22"/>
      <c r="CD83" s="22"/>
      <c r="CE83" s="22"/>
      <c r="CF83" s="22"/>
      <c r="CG83" s="22"/>
      <c r="CH83" s="22"/>
      <c r="CI83" s="22"/>
      <c r="CJ83" s="22"/>
      <c r="CK83" s="22"/>
      <c r="CL83" s="22"/>
      <c r="CM83" s="22"/>
      <c r="CN83" s="22"/>
      <c r="CO83" s="22"/>
      <c r="CP83" s="22"/>
      <c r="CQ83" s="22"/>
      <c r="CR83" s="22"/>
      <c r="CS83" s="22"/>
      <c r="CT83" s="22"/>
    </row>
    <row r="84" spans="1:120" s="642" customFormat="1" ht="15" customHeight="1">
      <c r="B84" s="906" t="s">
        <v>1025</v>
      </c>
      <c r="C84" s="907" t="s">
        <v>620</v>
      </c>
      <c r="D84" s="907" t="s">
        <v>1117</v>
      </c>
      <c r="E84" s="907" t="s">
        <v>685</v>
      </c>
      <c r="F84" s="908" t="s">
        <v>1616</v>
      </c>
      <c r="G84" s="908" t="s">
        <v>729</v>
      </c>
      <c r="H84" s="907" t="s">
        <v>1034</v>
      </c>
      <c r="I84" s="907" t="s">
        <v>1614</v>
      </c>
      <c r="J84" s="907" t="s">
        <v>1613</v>
      </c>
      <c r="K84" s="907" t="s">
        <v>1636</v>
      </c>
      <c r="L84" s="907" t="s">
        <v>1643</v>
      </c>
      <c r="M84" s="908" t="s">
        <v>919</v>
      </c>
      <c r="N84" s="908" t="s">
        <v>174</v>
      </c>
      <c r="O84" s="908" t="s">
        <v>46</v>
      </c>
      <c r="P84" s="908" t="s">
        <v>87</v>
      </c>
      <c r="Q84" s="620" t="s">
        <v>119</v>
      </c>
      <c r="S84" s="617" t="s">
        <v>1025</v>
      </c>
      <c r="T84" s="1078" t="s">
        <v>1897</v>
      </c>
      <c r="U84" s="1078" t="s">
        <v>1709</v>
      </c>
      <c r="V84" s="1078" t="s">
        <v>1710</v>
      </c>
      <c r="W84" s="1078" t="s">
        <v>9</v>
      </c>
      <c r="X84" s="1078" t="s">
        <v>768</v>
      </c>
      <c r="Y84" s="1078" t="s">
        <v>1712</v>
      </c>
      <c r="Z84" s="1078" t="s">
        <v>1713</v>
      </c>
      <c r="AA84" s="1079" t="s">
        <v>1896</v>
      </c>
      <c r="AB84" s="15"/>
      <c r="AC84" s="1066" t="s">
        <v>1025</v>
      </c>
      <c r="AD84" s="1067" t="s">
        <v>16</v>
      </c>
      <c r="AE84" s="1067" t="s">
        <v>267</v>
      </c>
      <c r="AF84" s="1067" t="s">
        <v>268</v>
      </c>
      <c r="AG84" s="1067" t="s">
        <v>269</v>
      </c>
      <c r="AH84" s="1069" t="s">
        <v>20</v>
      </c>
      <c r="AI84" s="15"/>
      <c r="AJ84" s="617" t="s">
        <v>1025</v>
      </c>
      <c r="AK84" s="618" t="s">
        <v>1898</v>
      </c>
      <c r="AL84" s="618" t="s">
        <v>1706</v>
      </c>
      <c r="AM84" s="618" t="s">
        <v>1605</v>
      </c>
      <c r="AN84" s="958" t="s">
        <v>775</v>
      </c>
      <c r="AO84" s="15"/>
      <c r="AP84" s="15"/>
      <c r="AQ84" s="15"/>
      <c r="AR84" s="15"/>
      <c r="AS84" s="15"/>
      <c r="AT84" s="15"/>
      <c r="AU84" s="15"/>
      <c r="AV84" s="15"/>
      <c r="AW84" s="15"/>
      <c r="AX84" s="15"/>
      <c r="AY84" s="15"/>
      <c r="AZ84" s="15"/>
      <c r="BA84" s="15"/>
      <c r="BB84" s="15"/>
      <c r="BC84" s="15"/>
      <c r="BD84" s="15"/>
      <c r="BE84" s="15"/>
      <c r="BF84" s="15"/>
      <c r="BG84" s="15"/>
      <c r="BH84" s="15"/>
      <c r="BI84" s="15"/>
      <c r="BJ84" s="15"/>
      <c r="BK84" s="15"/>
      <c r="BL84" s="15"/>
      <c r="BM84" s="15"/>
      <c r="BN84" s="15"/>
      <c r="BO84" s="15"/>
      <c r="BP84" s="15"/>
      <c r="BQ84" s="15"/>
      <c r="BR84" s="15"/>
      <c r="BS84" s="15"/>
      <c r="BT84" s="15"/>
      <c r="BU84" s="15"/>
      <c r="BV84" s="15"/>
      <c r="BW84" s="15"/>
      <c r="BX84" s="15"/>
      <c r="BY84" s="15"/>
      <c r="BZ84" s="15"/>
      <c r="CA84" s="15"/>
      <c r="CB84" s="15"/>
      <c r="CC84" s="15"/>
      <c r="CD84" s="15"/>
      <c r="CE84" s="15"/>
      <c r="CF84" s="15"/>
      <c r="CG84" s="15"/>
      <c r="CH84" s="15"/>
      <c r="CI84" s="15"/>
      <c r="CJ84" s="15"/>
      <c r="CK84" s="15"/>
      <c r="CL84" s="15"/>
      <c r="CM84" s="15"/>
      <c r="CN84" s="15"/>
      <c r="CO84" s="15"/>
      <c r="CP84" s="15"/>
      <c r="CQ84" s="15"/>
      <c r="CR84" s="15"/>
      <c r="CS84" s="15"/>
      <c r="CT84" s="15"/>
      <c r="CU84" s="641"/>
      <c r="CV84" s="641"/>
      <c r="CW84" s="641"/>
      <c r="CX84" s="641"/>
      <c r="CY84" s="641"/>
      <c r="CZ84" s="641"/>
      <c r="DA84" s="641"/>
      <c r="DB84" s="641"/>
      <c r="DC84" s="641"/>
      <c r="DD84" s="641"/>
      <c r="DE84" s="641"/>
      <c r="DF84" s="641"/>
      <c r="DG84" s="641"/>
      <c r="DH84" s="641"/>
      <c r="DI84" s="641"/>
      <c r="DJ84" s="641"/>
      <c r="DK84" s="641"/>
      <c r="DL84" s="641"/>
      <c r="DM84" s="641"/>
      <c r="DN84" s="641"/>
      <c r="DO84" s="641"/>
      <c r="DP84" s="641"/>
    </row>
    <row r="85" spans="1:120" s="33" customFormat="1" ht="15" customHeight="1">
      <c r="A85" s="316"/>
      <c r="B85" s="648" t="str">
        <f>B12</f>
        <v>Atlantis</v>
      </c>
      <c r="C85" s="902" t="str">
        <f t="shared" ref="C85:C113" si="43">VLOOKUP($B85,$B$10:$J$44,2,FALSE)</f>
        <v>Greece</v>
      </c>
      <c r="D85" s="902" t="str">
        <f t="shared" ref="D85:D113" si="44">VLOOKUP($B85,$B$10:$J$44,3,FALSE)</f>
        <v>Europe</v>
      </c>
      <c r="E85" s="902" t="str">
        <f t="shared" ref="E85:E113" si="45">VLOOKUP($B85,$B$10:$J$44,4,FALSE)</f>
        <v>A metropolitan area</v>
      </c>
      <c r="F85" s="643">
        <f t="shared" ref="F85:F113" si="46">VLOOKUP($B85,$B$10:$J$44,5,FALSE)</f>
        <v>2014</v>
      </c>
      <c r="G85" s="644">
        <f t="shared" ref="G85:G110" si="47">F85</f>
        <v>2014</v>
      </c>
      <c r="H85" s="643">
        <f t="shared" ref="H85:H113" si="48">VLOOKUP($B85,$B$10:$J$44,6,FALSE)</f>
        <v>1500000</v>
      </c>
      <c r="I85" s="643">
        <f t="shared" ref="I85:I113" si="49">VLOOKUP($B85,$B$10:$J$44,7,FALSE)</f>
        <v>1000</v>
      </c>
      <c r="J85" s="1038">
        <f t="shared" ref="J85:J113" si="50">VLOOKUP($B85,$B$10:$J$44,8,FALSE)</f>
        <v>200000000000</v>
      </c>
      <c r="K85" s="643" t="s">
        <v>172</v>
      </c>
      <c r="L85" s="643" t="s">
        <v>1556</v>
      </c>
      <c r="M85" s="643" t="s">
        <v>1618</v>
      </c>
      <c r="N85" s="646">
        <f t="shared" ref="N85:N100" si="51">SUM(O85:Q85)</f>
        <v>7.8217271103651171</v>
      </c>
      <c r="O85" s="646">
        <f t="shared" ref="O85:Q113" si="52">IF(ISERROR(O51/$H51),"",O51/$H51)</f>
        <v>4.0065710028388573</v>
      </c>
      <c r="P85" s="646">
        <f t="shared" si="52"/>
        <v>2.4484894408595936</v>
      </c>
      <c r="Q85" s="646">
        <f t="shared" si="52"/>
        <v>1.3666666666666667</v>
      </c>
      <c r="R85" s="642"/>
      <c r="S85" s="648" t="str">
        <f t="shared" ref="S85:S112" si="53">B85</f>
        <v>Atlantis</v>
      </c>
      <c r="T85" s="646">
        <f t="shared" ref="T85:AA94" si="54">IF(ISERROR(T51/$H51),"",T51/$H51)</f>
        <v>1.7461525659566668</v>
      </c>
      <c r="U85" s="646">
        <f t="shared" si="54"/>
        <v>2.2389902137333335</v>
      </c>
      <c r="V85" s="646" t="str">
        <f t="shared" si="54"/>
        <v/>
      </c>
      <c r="W85" s="646" t="str">
        <f t="shared" si="54"/>
        <v/>
      </c>
      <c r="X85" s="646" t="str">
        <f t="shared" si="54"/>
        <v/>
      </c>
      <c r="Y85" s="646" t="str">
        <f t="shared" si="54"/>
        <v/>
      </c>
      <c r="Z85" s="646" t="str">
        <f t="shared" si="54"/>
        <v/>
      </c>
      <c r="AA85" s="646">
        <f t="shared" si="54"/>
        <v>2.1428223148857048E-2</v>
      </c>
      <c r="AB85" s="15"/>
      <c r="AC85" s="1041" t="str">
        <f t="shared" ref="AC85:AC112" si="55">B85</f>
        <v>Atlantis</v>
      </c>
      <c r="AD85" s="646">
        <f t="shared" ref="AD85:AH113" si="56">IF(ISERROR(AD51/$H51),"",AD51/$H51)</f>
        <v>1.8607326275301332</v>
      </c>
      <c r="AE85" s="646">
        <f t="shared" si="56"/>
        <v>0.57425114942826661</v>
      </c>
      <c r="AF85" s="646">
        <f t="shared" si="56"/>
        <v>1.3505663901193232E-2</v>
      </c>
      <c r="AG85" s="646" t="str">
        <f t="shared" si="56"/>
        <v/>
      </c>
      <c r="AH85" s="646" t="str">
        <f t="shared" si="56"/>
        <v/>
      </c>
      <c r="AI85" s="15"/>
      <c r="AJ85" s="648" t="str">
        <f>B85</f>
        <v>Atlantis</v>
      </c>
      <c r="AK85" s="646">
        <f t="shared" ref="AK85:AN113" si="57">IF(ISERROR(AK51/$H51),"",AK51/$H51)</f>
        <v>1.3333333333333333</v>
      </c>
      <c r="AL85" s="646" t="str">
        <f t="shared" si="57"/>
        <v/>
      </c>
      <c r="AM85" s="646" t="str">
        <f t="shared" si="57"/>
        <v/>
      </c>
      <c r="AN85" s="646">
        <f t="shared" si="57"/>
        <v>3.3333333333333333E-2</v>
      </c>
      <c r="AO85" s="15"/>
      <c r="AP85" s="15"/>
      <c r="AQ85" s="15"/>
      <c r="AR85" s="15"/>
      <c r="AS85" s="15"/>
      <c r="AT85" s="15"/>
      <c r="AU85" s="15"/>
      <c r="AV85" s="15"/>
      <c r="AW85" s="15"/>
      <c r="AX85" s="15"/>
      <c r="AY85" s="15"/>
      <c r="AZ85" s="15"/>
      <c r="BA85" s="15"/>
      <c r="BB85" s="15"/>
      <c r="BC85" s="15"/>
      <c r="BD85" s="15"/>
      <c r="BE85" s="15"/>
      <c r="BF85" s="15"/>
      <c r="BG85" s="15"/>
      <c r="BH85" s="15"/>
      <c r="BI85" s="15"/>
      <c r="BJ85" s="15"/>
      <c r="BK85" s="15"/>
      <c r="BL85" s="15"/>
      <c r="BM85" s="15"/>
      <c r="BN85" s="15"/>
      <c r="BO85" s="15"/>
      <c r="BP85" s="15"/>
      <c r="BQ85" s="15"/>
      <c r="BR85" s="15"/>
      <c r="BS85" s="15"/>
      <c r="BT85" s="15"/>
      <c r="BU85" s="15"/>
      <c r="BV85" s="15"/>
      <c r="BW85" s="15"/>
      <c r="BX85" s="15"/>
      <c r="BY85" s="15"/>
      <c r="BZ85" s="15"/>
      <c r="CA85" s="15"/>
      <c r="CB85" s="15"/>
      <c r="CC85" s="15"/>
      <c r="CD85" s="15"/>
      <c r="CE85" s="15"/>
      <c r="CF85" s="15"/>
      <c r="CG85" s="15"/>
      <c r="CH85" s="15"/>
      <c r="CI85" s="15"/>
      <c r="CJ85" s="15"/>
      <c r="CK85" s="15"/>
      <c r="CL85" s="15"/>
      <c r="CM85" s="15"/>
      <c r="CN85" s="15"/>
      <c r="CO85" s="15"/>
      <c r="CP85" s="15"/>
      <c r="CQ85" s="15"/>
      <c r="CR85" s="15"/>
      <c r="CS85" s="15"/>
      <c r="CT85" s="15"/>
      <c r="CU85" s="645"/>
      <c r="CV85" s="645"/>
      <c r="CW85" s="645"/>
      <c r="CX85" s="645"/>
      <c r="CY85" s="645"/>
      <c r="CZ85" s="645"/>
      <c r="DA85" s="645"/>
      <c r="DB85" s="645"/>
      <c r="DC85" s="645"/>
      <c r="DD85" s="645"/>
      <c r="DE85" s="645"/>
      <c r="DF85" s="645"/>
      <c r="DG85" s="645"/>
      <c r="DH85" s="645"/>
      <c r="DI85" s="645"/>
      <c r="DJ85" s="645"/>
      <c r="DK85" s="645"/>
      <c r="DL85" s="645"/>
      <c r="DM85" s="645"/>
      <c r="DN85" s="645"/>
      <c r="DO85" s="645"/>
      <c r="DP85" s="645"/>
    </row>
    <row r="86" spans="1:120" s="33" customFormat="1" ht="15" customHeight="1">
      <c r="A86" s="316"/>
      <c r="B86" s="648" t="str">
        <f t="shared" ref="B86:B113" si="58">B13</f>
        <v>Amman</v>
      </c>
      <c r="C86" s="902" t="str">
        <f t="shared" si="43"/>
        <v>Jordan</v>
      </c>
      <c r="D86" s="902" t="str">
        <f t="shared" si="44"/>
        <v>South and West Asia</v>
      </c>
      <c r="E86" s="902" t="str">
        <f t="shared" si="45"/>
        <v>A metropolitan area</v>
      </c>
      <c r="F86" s="643">
        <f t="shared" si="46"/>
        <v>2014</v>
      </c>
      <c r="G86" s="644">
        <f t="shared" si="47"/>
        <v>2014</v>
      </c>
      <c r="H86" s="643">
        <f t="shared" si="48"/>
        <v>3400000</v>
      </c>
      <c r="I86" s="643">
        <f t="shared" si="49"/>
        <v>801.92</v>
      </c>
      <c r="J86" s="1038">
        <f t="shared" si="50"/>
        <v>15068000000</v>
      </c>
      <c r="K86" s="643" t="s">
        <v>172</v>
      </c>
      <c r="L86" s="643" t="s">
        <v>1556</v>
      </c>
      <c r="M86" s="643" t="s">
        <v>1618</v>
      </c>
      <c r="N86" s="646">
        <f t="shared" si="51"/>
        <v>2.1857122980082773</v>
      </c>
      <c r="O86" s="646">
        <f t="shared" si="52"/>
        <v>1.3984346152369007</v>
      </c>
      <c r="P86" s="646">
        <f t="shared" si="52"/>
        <v>0.66692801685961145</v>
      </c>
      <c r="Q86" s="646">
        <f t="shared" si="52"/>
        <v>0.12034966591176473</v>
      </c>
      <c r="R86" s="642"/>
      <c r="S86" s="648" t="str">
        <f t="shared" si="53"/>
        <v>Amman</v>
      </c>
      <c r="T86" s="646">
        <f t="shared" si="54"/>
        <v>0.72123401371545992</v>
      </c>
      <c r="U86" s="646">
        <f t="shared" si="54"/>
        <v>0.58068471172912317</v>
      </c>
      <c r="V86" s="646">
        <f t="shared" si="54"/>
        <v>9.6515889792317608E-2</v>
      </c>
      <c r="W86" s="646" t="str">
        <f t="shared" si="54"/>
        <v/>
      </c>
      <c r="X86" s="646" t="str">
        <f t="shared" si="54"/>
        <v/>
      </c>
      <c r="Y86" s="646" t="str">
        <f t="shared" si="54"/>
        <v/>
      </c>
      <c r="Z86" s="646" t="str">
        <f t="shared" si="54"/>
        <v/>
      </c>
      <c r="AA86" s="646" t="str">
        <f t="shared" si="54"/>
        <v/>
      </c>
      <c r="AB86" s="1081"/>
      <c r="AC86" s="1041" t="str">
        <f t="shared" si="55"/>
        <v>Amman</v>
      </c>
      <c r="AD86" s="646">
        <f t="shared" si="56"/>
        <v>0.66692801685961145</v>
      </c>
      <c r="AE86" s="646" t="str">
        <f t="shared" si="56"/>
        <v/>
      </c>
      <c r="AF86" s="646" t="str">
        <f t="shared" si="56"/>
        <v/>
      </c>
      <c r="AG86" s="646" t="str">
        <f t="shared" si="56"/>
        <v/>
      </c>
      <c r="AH86" s="646" t="str">
        <f t="shared" si="56"/>
        <v/>
      </c>
      <c r="AI86" s="15"/>
      <c r="AJ86" s="648" t="str">
        <f t="shared" ref="AJ86:AJ112" si="59">B86</f>
        <v>Amman</v>
      </c>
      <c r="AK86" s="646">
        <f t="shared" si="57"/>
        <v>4.8293536500000019E-2</v>
      </c>
      <c r="AL86" s="646" t="str">
        <f t="shared" si="57"/>
        <v/>
      </c>
      <c r="AM86" s="646" t="str">
        <f t="shared" si="57"/>
        <v/>
      </c>
      <c r="AN86" s="646">
        <f t="shared" si="57"/>
        <v>7.2056129411764702E-2</v>
      </c>
      <c r="AO86" s="15"/>
      <c r="AP86" s="15"/>
      <c r="AQ86" s="15"/>
      <c r="AR86" s="15"/>
      <c r="AS86" s="15"/>
      <c r="AT86" s="15"/>
      <c r="AU86" s="15"/>
      <c r="AV86" s="15"/>
      <c r="AW86" s="15"/>
      <c r="AX86" s="15"/>
      <c r="AY86" s="15"/>
      <c r="AZ86" s="15"/>
      <c r="BA86" s="15"/>
      <c r="BB86" s="15"/>
      <c r="BC86" s="15"/>
      <c r="BD86" s="15"/>
      <c r="BE86" s="15"/>
      <c r="BF86" s="15"/>
      <c r="BG86" s="15"/>
      <c r="BH86" s="15"/>
      <c r="BI86" s="15"/>
      <c r="BJ86" s="15"/>
      <c r="BK86" s="15"/>
      <c r="BL86" s="15"/>
      <c r="BM86" s="15"/>
      <c r="BN86" s="15"/>
      <c r="BO86" s="15"/>
      <c r="BP86" s="15"/>
      <c r="BQ86" s="15"/>
      <c r="BR86" s="15"/>
      <c r="BS86" s="15"/>
      <c r="BT86" s="15"/>
      <c r="BU86" s="15"/>
      <c r="BV86" s="15"/>
      <c r="BW86" s="15"/>
      <c r="BX86" s="15"/>
      <c r="BY86" s="15"/>
      <c r="BZ86" s="15"/>
      <c r="CA86" s="15"/>
      <c r="CB86" s="15"/>
      <c r="CC86" s="15"/>
      <c r="CD86" s="15"/>
      <c r="CE86" s="15"/>
      <c r="CF86" s="15"/>
      <c r="CG86" s="15"/>
      <c r="CH86" s="15"/>
      <c r="CI86" s="15"/>
      <c r="CJ86" s="15"/>
      <c r="CK86" s="15"/>
      <c r="CL86" s="15"/>
      <c r="CM86" s="15"/>
      <c r="CN86" s="15"/>
      <c r="CO86" s="15"/>
      <c r="CP86" s="15"/>
      <c r="CQ86" s="15"/>
      <c r="CR86" s="15"/>
      <c r="CS86" s="15"/>
      <c r="CT86" s="15"/>
      <c r="CU86" s="645"/>
      <c r="CV86" s="645"/>
      <c r="CW86" s="645"/>
      <c r="CX86" s="645"/>
      <c r="CY86" s="645"/>
      <c r="CZ86" s="645"/>
      <c r="DA86" s="645"/>
      <c r="DB86" s="645"/>
      <c r="DC86" s="645"/>
      <c r="DD86" s="645"/>
      <c r="DE86" s="645"/>
      <c r="DF86" s="645"/>
      <c r="DG86" s="645"/>
      <c r="DH86" s="645"/>
      <c r="DI86" s="645"/>
      <c r="DJ86" s="645"/>
      <c r="DK86" s="645"/>
      <c r="DL86" s="645"/>
      <c r="DM86" s="645"/>
      <c r="DN86" s="645"/>
      <c r="DO86" s="645"/>
      <c r="DP86" s="645"/>
    </row>
    <row r="87" spans="1:120" s="33" customFormat="1" ht="15" customHeight="1">
      <c r="A87" s="316"/>
      <c r="B87" s="648" t="str">
        <f t="shared" si="58"/>
        <v>Athens</v>
      </c>
      <c r="C87" s="902" t="str">
        <f t="shared" si="43"/>
        <v>Greece</v>
      </c>
      <c r="D87" s="902" t="str">
        <f t="shared" si="44"/>
        <v>Europe</v>
      </c>
      <c r="E87" s="902" t="str">
        <f t="shared" si="45"/>
        <v xml:space="preserve">Administrative boundary of a local government </v>
      </c>
      <c r="F87" s="643">
        <f t="shared" si="46"/>
        <v>2014</v>
      </c>
      <c r="G87" s="644">
        <f t="shared" si="47"/>
        <v>2014</v>
      </c>
      <c r="H87" s="643">
        <f t="shared" si="48"/>
        <v>664046</v>
      </c>
      <c r="I87" s="643">
        <f t="shared" si="49"/>
        <v>39</v>
      </c>
      <c r="J87" s="1038">
        <f t="shared" si="50"/>
        <v>22249382330</v>
      </c>
      <c r="K87" s="643" t="s">
        <v>172</v>
      </c>
      <c r="L87" s="643" t="s">
        <v>1556</v>
      </c>
      <c r="M87" s="643" t="s">
        <v>1618</v>
      </c>
      <c r="N87" s="646">
        <f t="shared" si="51"/>
        <v>7.1586680426640559</v>
      </c>
      <c r="O87" s="646">
        <f t="shared" si="52"/>
        <v>5.0172597553644236</v>
      </c>
      <c r="P87" s="646">
        <f t="shared" si="52"/>
        <v>1.6030959236858706</v>
      </c>
      <c r="Q87" s="646">
        <f t="shared" si="52"/>
        <v>0.53831236361376167</v>
      </c>
      <c r="R87" s="642"/>
      <c r="S87" s="648" t="str">
        <f t="shared" si="53"/>
        <v>Athens</v>
      </c>
      <c r="T87" s="646">
        <f t="shared" si="54"/>
        <v>2.9552409328800797</v>
      </c>
      <c r="U87" s="646">
        <f t="shared" si="54"/>
        <v>2.0053437380187407</v>
      </c>
      <c r="V87" s="646">
        <f t="shared" si="54"/>
        <v>5.6124215602229639E-2</v>
      </c>
      <c r="W87" s="646" t="str">
        <f t="shared" si="54"/>
        <v/>
      </c>
      <c r="X87" s="646" t="str">
        <f t="shared" si="54"/>
        <v/>
      </c>
      <c r="Y87" s="646" t="str">
        <f t="shared" si="54"/>
        <v/>
      </c>
      <c r="Z87" s="646" t="str">
        <f t="shared" si="54"/>
        <v/>
      </c>
      <c r="AA87" s="646">
        <f t="shared" si="54"/>
        <v>5.5086886337416604E-4</v>
      </c>
      <c r="AB87" s="15"/>
      <c r="AC87" s="1041" t="str">
        <f t="shared" si="55"/>
        <v>Athens</v>
      </c>
      <c r="AD87" s="646">
        <f t="shared" si="56"/>
        <v>1.5296440686152228</v>
      </c>
      <c r="AE87" s="646">
        <f t="shared" si="56"/>
        <v>7.3451855070647762E-2</v>
      </c>
      <c r="AF87" s="646" t="str">
        <f t="shared" si="56"/>
        <v/>
      </c>
      <c r="AG87" s="646" t="str">
        <f t="shared" si="56"/>
        <v/>
      </c>
      <c r="AH87" s="646" t="str">
        <f t="shared" si="56"/>
        <v/>
      </c>
      <c r="AI87" s="15"/>
      <c r="AJ87" s="648" t="str">
        <f t="shared" si="59"/>
        <v>Athens</v>
      </c>
      <c r="AK87" s="646">
        <f t="shared" si="57"/>
        <v>0.50310066613209636</v>
      </c>
      <c r="AL87" s="646">
        <f t="shared" si="57"/>
        <v>6.1088677591612643E-5</v>
      </c>
      <c r="AM87" s="646" t="str">
        <f t="shared" si="57"/>
        <v/>
      </c>
      <c r="AN87" s="646">
        <f t="shared" si="57"/>
        <v>3.51506088040738E-2</v>
      </c>
      <c r="AO87" s="15"/>
      <c r="AP87" s="15"/>
      <c r="AQ87" s="15"/>
      <c r="AR87" s="15"/>
      <c r="AS87" s="15"/>
      <c r="AT87" s="15"/>
      <c r="AU87" s="15"/>
      <c r="AV87" s="15"/>
      <c r="AW87" s="15"/>
      <c r="AX87" s="15"/>
      <c r="AY87" s="15"/>
      <c r="AZ87" s="15"/>
      <c r="BA87" s="15"/>
      <c r="BB87" s="15"/>
      <c r="BC87" s="15"/>
      <c r="BD87" s="15"/>
      <c r="BE87" s="15"/>
      <c r="BF87" s="15"/>
      <c r="BG87" s="15"/>
      <c r="BH87" s="15"/>
      <c r="BI87" s="15"/>
      <c r="BJ87" s="15"/>
      <c r="BK87" s="15"/>
      <c r="BL87" s="15"/>
      <c r="BM87" s="15"/>
      <c r="BN87" s="15"/>
      <c r="BO87" s="15"/>
      <c r="BP87" s="15"/>
      <c r="BQ87" s="15"/>
      <c r="BR87" s="15"/>
      <c r="BS87" s="15"/>
      <c r="BT87" s="15"/>
      <c r="BU87" s="15"/>
      <c r="BV87" s="15"/>
      <c r="BW87" s="15"/>
      <c r="BX87" s="15"/>
      <c r="BY87" s="15"/>
      <c r="BZ87" s="15"/>
      <c r="CA87" s="15"/>
      <c r="CB87" s="15"/>
      <c r="CC87" s="15"/>
      <c r="CD87" s="15"/>
      <c r="CE87" s="15"/>
      <c r="CF87" s="15"/>
      <c r="CG87" s="15"/>
      <c r="CH87" s="15"/>
      <c r="CI87" s="15"/>
      <c r="CJ87" s="15"/>
      <c r="CK87" s="15"/>
      <c r="CL87" s="15"/>
      <c r="CM87" s="15"/>
      <c r="CN87" s="15"/>
      <c r="CO87" s="15"/>
      <c r="CP87" s="15"/>
      <c r="CQ87" s="15"/>
      <c r="CR87" s="15"/>
      <c r="CS87" s="15"/>
      <c r="CT87" s="15"/>
      <c r="CU87" s="645"/>
      <c r="CV87" s="645"/>
      <c r="CW87" s="645"/>
      <c r="CX87" s="645"/>
      <c r="CY87" s="645"/>
      <c r="CZ87" s="645"/>
      <c r="DA87" s="645"/>
      <c r="DB87" s="645"/>
      <c r="DC87" s="645"/>
      <c r="DD87" s="645"/>
      <c r="DE87" s="645"/>
      <c r="DF87" s="645"/>
      <c r="DG87" s="645"/>
      <c r="DH87" s="645"/>
      <c r="DI87" s="645"/>
      <c r="DJ87" s="645"/>
      <c r="DK87" s="645"/>
      <c r="DL87" s="645"/>
      <c r="DM87" s="645"/>
      <c r="DN87" s="645"/>
      <c r="DO87" s="645"/>
      <c r="DP87" s="645"/>
    </row>
    <row r="88" spans="1:120" s="33" customFormat="1" ht="15" customHeight="1">
      <c r="A88" s="316"/>
      <c r="B88" s="648" t="str">
        <f t="shared" si="58"/>
        <v xml:space="preserve">Bogota </v>
      </c>
      <c r="C88" s="902" t="str">
        <f t="shared" si="43"/>
        <v xml:space="preserve">Colombia </v>
      </c>
      <c r="D88" s="902" t="str">
        <f t="shared" si="44"/>
        <v>Latin America</v>
      </c>
      <c r="E88" s="902" t="str">
        <f t="shared" si="45"/>
        <v xml:space="preserve">Administrative boundary of a local government </v>
      </c>
      <c r="F88" s="643">
        <f t="shared" si="46"/>
        <v>2012</v>
      </c>
      <c r="G88" s="644">
        <f t="shared" si="47"/>
        <v>2012</v>
      </c>
      <c r="H88" s="643">
        <f t="shared" si="48"/>
        <v>7571345</v>
      </c>
      <c r="I88" s="643">
        <f t="shared" si="49"/>
        <v>1636.6</v>
      </c>
      <c r="J88" s="1038">
        <f t="shared" si="50"/>
        <v>68444073455.759605</v>
      </c>
      <c r="K88" s="643" t="s">
        <v>172</v>
      </c>
      <c r="L88" s="643" t="s">
        <v>1556</v>
      </c>
      <c r="M88" s="643" t="s">
        <v>1618</v>
      </c>
      <c r="N88" s="646">
        <f t="shared" si="51"/>
        <v>1.6390064041144079</v>
      </c>
      <c r="O88" s="646">
        <f t="shared" si="52"/>
        <v>0.89611700799388927</v>
      </c>
      <c r="P88" s="646">
        <f t="shared" si="52"/>
        <v>0.61972723389949769</v>
      </c>
      <c r="Q88" s="646">
        <f t="shared" si="52"/>
        <v>0.12316216222102086</v>
      </c>
      <c r="R88" s="915"/>
      <c r="S88" s="648" t="str">
        <f t="shared" si="53"/>
        <v xml:space="preserve">Bogota </v>
      </c>
      <c r="T88" s="646">
        <f t="shared" si="54"/>
        <v>0.28528989988313591</v>
      </c>
      <c r="U88" s="646">
        <f t="shared" si="54"/>
        <v>0.33801814452432555</v>
      </c>
      <c r="V88" s="646">
        <f t="shared" si="54"/>
        <v>0.25044020946399087</v>
      </c>
      <c r="W88" s="646" t="str">
        <f t="shared" si="54"/>
        <v/>
      </c>
      <c r="X88" s="646">
        <f t="shared" si="54"/>
        <v>6.568461162112702E-3</v>
      </c>
      <c r="Y88" s="646">
        <f t="shared" si="54"/>
        <v>1.0751461170575629E-2</v>
      </c>
      <c r="Z88" s="646" t="str">
        <f t="shared" si="54"/>
        <v/>
      </c>
      <c r="AA88" s="646">
        <f t="shared" si="54"/>
        <v>5.0488317897485939E-3</v>
      </c>
      <c r="AB88" s="15"/>
      <c r="AC88" s="1041" t="str">
        <f t="shared" si="55"/>
        <v xml:space="preserve">Bogota </v>
      </c>
      <c r="AD88" s="646">
        <f t="shared" si="56"/>
        <v>0.61969906667837749</v>
      </c>
      <c r="AE88" s="646">
        <f t="shared" si="56"/>
        <v>2.8167221120326185E-5</v>
      </c>
      <c r="AF88" s="646" t="str">
        <f t="shared" si="56"/>
        <v/>
      </c>
      <c r="AG88" s="646" t="str">
        <f t="shared" si="56"/>
        <v/>
      </c>
      <c r="AH88" s="646" t="str">
        <f t="shared" si="56"/>
        <v/>
      </c>
      <c r="AI88" s="15"/>
      <c r="AJ88" s="648" t="str">
        <f t="shared" si="59"/>
        <v xml:space="preserve">Bogota </v>
      </c>
      <c r="AK88" s="646">
        <f t="shared" si="57"/>
        <v>6.3362393481192197E-3</v>
      </c>
      <c r="AL88" s="646">
        <f t="shared" si="57"/>
        <v>1.4478271429977105E-6</v>
      </c>
      <c r="AM88" s="646">
        <f t="shared" si="57"/>
        <v>1.8154407176003735E-5</v>
      </c>
      <c r="AN88" s="646">
        <f t="shared" si="57"/>
        <v>0.11680632063858262</v>
      </c>
      <c r="AO88" s="15"/>
      <c r="AP88" s="15"/>
      <c r="AQ88" s="15"/>
      <c r="AR88" s="15"/>
      <c r="AS88" s="15"/>
      <c r="AT88" s="15"/>
      <c r="AU88" s="15"/>
      <c r="AV88" s="15"/>
      <c r="AW88" s="15"/>
      <c r="AX88" s="15"/>
      <c r="AY88" s="15"/>
      <c r="AZ88" s="15"/>
      <c r="BA88" s="15"/>
      <c r="BB88" s="15"/>
      <c r="BC88" s="15"/>
      <c r="BD88" s="15"/>
      <c r="BE88" s="15"/>
      <c r="BF88" s="15"/>
      <c r="BG88" s="15"/>
      <c r="BH88" s="15"/>
      <c r="BI88" s="15"/>
      <c r="BJ88" s="15"/>
      <c r="BK88" s="15"/>
      <c r="BL88" s="15"/>
      <c r="BM88" s="15"/>
      <c r="BN88" s="15"/>
      <c r="BO88" s="15"/>
      <c r="BP88" s="15"/>
      <c r="BQ88" s="15"/>
      <c r="BR88" s="15"/>
      <c r="BS88" s="15"/>
      <c r="BT88" s="15"/>
      <c r="BU88" s="15"/>
      <c r="BV88" s="15"/>
      <c r="BW88" s="15"/>
      <c r="BX88" s="15"/>
      <c r="BY88" s="15"/>
      <c r="BZ88" s="15"/>
      <c r="CA88" s="15"/>
      <c r="CB88" s="15"/>
      <c r="CC88" s="15"/>
      <c r="CD88" s="15"/>
      <c r="CE88" s="15"/>
      <c r="CF88" s="15"/>
      <c r="CG88" s="15"/>
      <c r="CH88" s="15"/>
      <c r="CI88" s="15"/>
      <c r="CJ88" s="15"/>
      <c r="CK88" s="15"/>
      <c r="CL88" s="15"/>
      <c r="CM88" s="15"/>
      <c r="CN88" s="15"/>
      <c r="CO88" s="15"/>
      <c r="CP88" s="15"/>
      <c r="CQ88" s="15"/>
      <c r="CR88" s="15"/>
      <c r="CS88" s="15"/>
      <c r="CT88" s="15"/>
      <c r="CU88" s="645"/>
      <c r="CV88" s="645"/>
      <c r="CW88" s="645"/>
      <c r="CX88" s="645"/>
      <c r="CY88" s="645"/>
      <c r="CZ88" s="645"/>
      <c r="DA88" s="645"/>
      <c r="DB88" s="645"/>
      <c r="DC88" s="645"/>
      <c r="DD88" s="645"/>
      <c r="DE88" s="645"/>
      <c r="DF88" s="645"/>
      <c r="DG88" s="645"/>
      <c r="DH88" s="645"/>
      <c r="DI88" s="645"/>
      <c r="DJ88" s="645"/>
      <c r="DK88" s="645"/>
      <c r="DL88" s="645"/>
      <c r="DM88" s="645"/>
      <c r="DN88" s="645"/>
      <c r="DO88" s="645"/>
      <c r="DP88" s="645"/>
    </row>
    <row r="89" spans="1:120" s="33" customFormat="1" ht="15" customHeight="1">
      <c r="A89" s="316"/>
      <c r="B89" s="648" t="str">
        <f t="shared" si="58"/>
        <v>Boston</v>
      </c>
      <c r="C89" s="902" t="str">
        <f t="shared" si="43"/>
        <v>USA</v>
      </c>
      <c r="D89" s="902" t="str">
        <f t="shared" si="44"/>
        <v>North America</v>
      </c>
      <c r="E89" s="902" t="str">
        <f t="shared" si="45"/>
        <v xml:space="preserve">Administrative boundary of a local government </v>
      </c>
      <c r="F89" s="643">
        <f t="shared" si="46"/>
        <v>2013</v>
      </c>
      <c r="G89" s="644">
        <f t="shared" si="47"/>
        <v>2013</v>
      </c>
      <c r="H89" s="643">
        <f t="shared" si="48"/>
        <v>644710</v>
      </c>
      <c r="I89" s="643">
        <f t="shared" si="49"/>
        <v>125</v>
      </c>
      <c r="J89" s="1038">
        <f t="shared" si="50"/>
        <v>109829400000</v>
      </c>
      <c r="K89" s="643" t="s">
        <v>172</v>
      </c>
      <c r="L89" s="643" t="s">
        <v>1556</v>
      </c>
      <c r="M89" s="643" t="s">
        <v>1618</v>
      </c>
      <c r="N89" s="646">
        <f t="shared" si="51"/>
        <v>9.3458482384479407</v>
      </c>
      <c r="O89" s="646">
        <f t="shared" si="52"/>
        <v>6.8425013498183445</v>
      </c>
      <c r="P89" s="646">
        <f t="shared" si="52"/>
        <v>2.4767908218546331</v>
      </c>
      <c r="Q89" s="646">
        <f t="shared" si="52"/>
        <v>2.6556066774962896E-2</v>
      </c>
      <c r="R89" s="915"/>
      <c r="S89" s="648" t="str">
        <f t="shared" si="53"/>
        <v>Boston</v>
      </c>
      <c r="T89" s="646">
        <f t="shared" si="54"/>
        <v>1.9990560295879647</v>
      </c>
      <c r="U89" s="646">
        <f t="shared" si="54"/>
        <v>4.8084122061635943</v>
      </c>
      <c r="V89" s="646" t="str">
        <f t="shared" si="54"/>
        <v/>
      </c>
      <c r="W89" s="646" t="str">
        <f t="shared" si="54"/>
        <v/>
      </c>
      <c r="X89" s="646" t="str">
        <f t="shared" si="54"/>
        <v/>
      </c>
      <c r="Y89" s="646" t="str">
        <f t="shared" si="54"/>
        <v/>
      </c>
      <c r="Z89" s="646" t="str">
        <f t="shared" si="54"/>
        <v/>
      </c>
      <c r="AA89" s="646">
        <f t="shared" si="54"/>
        <v>3.5033114066785373E-2</v>
      </c>
      <c r="AB89" s="15"/>
      <c r="AC89" s="1041" t="str">
        <f t="shared" si="55"/>
        <v>Boston</v>
      </c>
      <c r="AD89" s="646">
        <f t="shared" si="56"/>
        <v>2.336123581203708</v>
      </c>
      <c r="AE89" s="646">
        <f t="shared" si="56"/>
        <v>0.10942768738786006</v>
      </c>
      <c r="AF89" s="646">
        <f t="shared" si="56"/>
        <v>5.9821256440880407E-4</v>
      </c>
      <c r="AG89" s="646" t="str">
        <f t="shared" si="56"/>
        <v/>
      </c>
      <c r="AH89" s="646">
        <f t="shared" si="56"/>
        <v>3.0641340698656358E-2</v>
      </c>
      <c r="AI89" s="15"/>
      <c r="AJ89" s="648" t="str">
        <f t="shared" si="59"/>
        <v>Boston</v>
      </c>
      <c r="AK89" s="646" t="str">
        <f t="shared" si="57"/>
        <v/>
      </c>
      <c r="AL89" s="646" t="str">
        <f t="shared" si="57"/>
        <v/>
      </c>
      <c r="AM89" s="646" t="str">
        <f t="shared" si="57"/>
        <v/>
      </c>
      <c r="AN89" s="646">
        <f t="shared" si="57"/>
        <v>2.6556066774962896E-2</v>
      </c>
      <c r="AO89" s="15"/>
      <c r="AP89" s="15"/>
      <c r="AQ89" s="15"/>
      <c r="AR89" s="15"/>
      <c r="AS89" s="15"/>
      <c r="AT89" s="15"/>
      <c r="AU89" s="15"/>
      <c r="AV89" s="15"/>
      <c r="AW89" s="15"/>
      <c r="AX89" s="15"/>
      <c r="AY89" s="15"/>
      <c r="AZ89" s="15"/>
      <c r="BA89" s="15"/>
      <c r="BB89" s="15"/>
      <c r="BC89" s="15"/>
      <c r="BD89" s="15"/>
      <c r="BE89" s="15"/>
      <c r="BF89" s="15"/>
      <c r="BG89" s="15"/>
      <c r="BH89" s="15"/>
      <c r="BI89" s="15"/>
      <c r="BJ89" s="15"/>
      <c r="BK89" s="15"/>
      <c r="BL89" s="15"/>
      <c r="BM89" s="15"/>
      <c r="BN89" s="15"/>
      <c r="BO89" s="15"/>
      <c r="BP89" s="15"/>
      <c r="BQ89" s="15"/>
      <c r="BR89" s="15"/>
      <c r="BS89" s="15"/>
      <c r="BT89" s="15"/>
      <c r="BU89" s="15"/>
      <c r="BV89" s="15"/>
      <c r="BW89" s="15"/>
      <c r="BX89" s="15"/>
      <c r="BY89" s="15"/>
      <c r="BZ89" s="15"/>
      <c r="CA89" s="15"/>
      <c r="CB89" s="15"/>
      <c r="CC89" s="15"/>
      <c r="CD89" s="15"/>
      <c r="CE89" s="15"/>
      <c r="CF89" s="15"/>
      <c r="CG89" s="15"/>
      <c r="CH89" s="15"/>
      <c r="CI89" s="15"/>
      <c r="CJ89" s="15"/>
      <c r="CK89" s="15"/>
      <c r="CL89" s="15"/>
      <c r="CM89" s="15"/>
      <c r="CN89" s="15"/>
      <c r="CO89" s="15"/>
      <c r="CP89" s="15"/>
      <c r="CQ89" s="15"/>
      <c r="CR89" s="15"/>
      <c r="CS89" s="15"/>
      <c r="CT89" s="15"/>
      <c r="CU89" s="645"/>
      <c r="CV89" s="645"/>
      <c r="CW89" s="645"/>
      <c r="CX89" s="645"/>
      <c r="CY89" s="645"/>
      <c r="CZ89" s="645"/>
      <c r="DA89" s="645"/>
      <c r="DB89" s="645"/>
      <c r="DC89" s="645"/>
      <c r="DD89" s="645"/>
      <c r="DE89" s="645"/>
      <c r="DF89" s="645"/>
      <c r="DG89" s="645"/>
      <c r="DH89" s="645"/>
      <c r="DI89" s="645"/>
      <c r="DJ89" s="645"/>
      <c r="DK89" s="645"/>
      <c r="DL89" s="645"/>
      <c r="DM89" s="645"/>
      <c r="DN89" s="645"/>
      <c r="DO89" s="645"/>
      <c r="DP89" s="645"/>
    </row>
    <row r="90" spans="1:120" s="33" customFormat="1" ht="15" customHeight="1">
      <c r="A90" s="316"/>
      <c r="B90" s="648" t="str">
        <f t="shared" si="58"/>
        <v xml:space="preserve">Buenos Aires </v>
      </c>
      <c r="C90" s="902" t="str">
        <f t="shared" si="43"/>
        <v>Argentina</v>
      </c>
      <c r="D90" s="902" t="str">
        <f t="shared" si="44"/>
        <v>Latin America</v>
      </c>
      <c r="E90" s="902" t="str">
        <f t="shared" si="45"/>
        <v xml:space="preserve">Administrative boundary of a local government </v>
      </c>
      <c r="F90" s="643">
        <f t="shared" si="46"/>
        <v>2013</v>
      </c>
      <c r="G90" s="644">
        <f t="shared" si="47"/>
        <v>2013</v>
      </c>
      <c r="H90" s="643">
        <f t="shared" si="48"/>
        <v>3079071</v>
      </c>
      <c r="I90" s="643">
        <f t="shared" si="49"/>
        <v>202.04</v>
      </c>
      <c r="J90" s="1038">
        <f t="shared" si="50"/>
        <v>79384000000</v>
      </c>
      <c r="K90" s="643" t="s">
        <v>172</v>
      </c>
      <c r="L90" s="643" t="s">
        <v>1556</v>
      </c>
      <c r="M90" s="643" t="s">
        <v>1618</v>
      </c>
      <c r="N90" s="646">
        <f t="shared" si="51"/>
        <v>4.3946022489972654</v>
      </c>
      <c r="O90" s="646">
        <f t="shared" si="52"/>
        <v>2.4872283887612063</v>
      </c>
      <c r="P90" s="646">
        <f t="shared" si="52"/>
        <v>1.3287538718488308</v>
      </c>
      <c r="Q90" s="646">
        <f t="shared" si="52"/>
        <v>0.57861998838722795</v>
      </c>
      <c r="R90" s="915"/>
      <c r="S90" s="648" t="str">
        <f t="shared" si="53"/>
        <v xml:space="preserve">Buenos Aires </v>
      </c>
      <c r="T90" s="646">
        <f t="shared" si="54"/>
        <v>1.2500537863202255</v>
      </c>
      <c r="U90" s="646">
        <f t="shared" si="54"/>
        <v>0.94900546935805552</v>
      </c>
      <c r="V90" s="646">
        <f t="shared" si="54"/>
        <v>0.24036326869783184</v>
      </c>
      <c r="W90" s="646" t="str">
        <f t="shared" si="54"/>
        <v/>
      </c>
      <c r="X90" s="646" t="str">
        <f t="shared" si="54"/>
        <v/>
      </c>
      <c r="Y90" s="646" t="str">
        <f t="shared" si="54"/>
        <v/>
      </c>
      <c r="Z90" s="646" t="str">
        <f t="shared" si="54"/>
        <v/>
      </c>
      <c r="AA90" s="646">
        <f t="shared" si="54"/>
        <v>4.7805864385093523E-2</v>
      </c>
      <c r="AB90" s="15"/>
      <c r="AC90" s="1041" t="str">
        <f t="shared" si="55"/>
        <v xml:space="preserve">Buenos Aires </v>
      </c>
      <c r="AD90" s="646">
        <f t="shared" si="56"/>
        <v>1.2974344725416251</v>
      </c>
      <c r="AE90" s="646">
        <f t="shared" si="56"/>
        <v>3.1319399307205648E-2</v>
      </c>
      <c r="AF90" s="646" t="str">
        <f t="shared" si="56"/>
        <v/>
      </c>
      <c r="AG90" s="646" t="str">
        <f t="shared" si="56"/>
        <v/>
      </c>
      <c r="AH90" s="646" t="str">
        <f t="shared" si="56"/>
        <v/>
      </c>
      <c r="AI90" s="15"/>
      <c r="AJ90" s="648" t="str">
        <f t="shared" si="59"/>
        <v xml:space="preserve">Buenos Aires </v>
      </c>
      <c r="AK90" s="646">
        <f t="shared" si="57"/>
        <v>0.53190524024941288</v>
      </c>
      <c r="AL90" s="646">
        <f t="shared" si="57"/>
        <v>1.7088433491790221E-3</v>
      </c>
      <c r="AM90" s="646" t="str">
        <f t="shared" si="57"/>
        <v/>
      </c>
      <c r="AN90" s="646">
        <f t="shared" si="57"/>
        <v>4.5005904788636107E-2</v>
      </c>
      <c r="AO90" s="15"/>
      <c r="AP90" s="15"/>
      <c r="AQ90" s="15"/>
      <c r="AR90" s="15"/>
      <c r="AS90" s="15"/>
      <c r="AT90" s="15"/>
      <c r="AU90" s="15"/>
      <c r="AV90" s="15"/>
      <c r="AW90" s="15"/>
      <c r="AX90" s="15"/>
      <c r="AY90" s="15"/>
      <c r="AZ90" s="15"/>
      <c r="BA90" s="15"/>
      <c r="BB90" s="15"/>
      <c r="BC90" s="15"/>
      <c r="BD90" s="15"/>
      <c r="BE90" s="15"/>
      <c r="BF90" s="15"/>
      <c r="BG90" s="15"/>
      <c r="BH90" s="15"/>
      <c r="BI90" s="15"/>
      <c r="BJ90" s="15"/>
      <c r="BK90" s="15"/>
      <c r="BL90" s="15"/>
      <c r="BM90" s="15"/>
      <c r="BN90" s="15"/>
      <c r="BO90" s="15"/>
      <c r="BP90" s="15"/>
      <c r="BQ90" s="15"/>
      <c r="BR90" s="15"/>
      <c r="BS90" s="15"/>
      <c r="BT90" s="15"/>
      <c r="BU90" s="15"/>
      <c r="BV90" s="15"/>
      <c r="BW90" s="15"/>
      <c r="BX90" s="15"/>
      <c r="BY90" s="15"/>
      <c r="BZ90" s="15"/>
      <c r="CA90" s="15"/>
      <c r="CB90" s="15"/>
      <c r="CC90" s="15"/>
      <c r="CD90" s="15"/>
      <c r="CE90" s="15"/>
      <c r="CF90" s="15"/>
      <c r="CG90" s="15"/>
      <c r="CH90" s="15"/>
      <c r="CI90" s="15"/>
      <c r="CJ90" s="15"/>
      <c r="CK90" s="15"/>
      <c r="CL90" s="15"/>
      <c r="CM90" s="15"/>
      <c r="CN90" s="15"/>
      <c r="CO90" s="15"/>
      <c r="CP90" s="15"/>
      <c r="CQ90" s="15"/>
      <c r="CR90" s="15"/>
      <c r="CS90" s="15"/>
      <c r="CT90" s="15"/>
      <c r="CU90" s="645"/>
      <c r="CV90" s="645"/>
      <c r="CW90" s="645"/>
      <c r="CX90" s="645"/>
      <c r="CY90" s="645"/>
      <c r="CZ90" s="645"/>
      <c r="DA90" s="645"/>
      <c r="DB90" s="645"/>
      <c r="DC90" s="645"/>
      <c r="DD90" s="645"/>
      <c r="DE90" s="645"/>
      <c r="DF90" s="645"/>
      <c r="DG90" s="645"/>
      <c r="DH90" s="645"/>
      <c r="DI90" s="645"/>
      <c r="DJ90" s="645"/>
      <c r="DK90" s="645"/>
      <c r="DL90" s="645"/>
      <c r="DM90" s="645"/>
      <c r="DN90" s="645"/>
      <c r="DO90" s="645"/>
      <c r="DP90" s="645"/>
    </row>
    <row r="91" spans="1:120" s="33" customFormat="1" ht="15" customHeight="1">
      <c r="A91" s="316"/>
      <c r="B91" s="648" t="str">
        <f t="shared" si="58"/>
        <v>Cape Town</v>
      </c>
      <c r="C91" s="902" t="str">
        <f t="shared" si="43"/>
        <v>South Africa</v>
      </c>
      <c r="D91" s="902" t="str">
        <f t="shared" si="44"/>
        <v>Africa</v>
      </c>
      <c r="E91" s="902" t="str">
        <f t="shared" si="45"/>
        <v xml:space="preserve">Administrative boundary of a local government </v>
      </c>
      <c r="F91" s="643">
        <f t="shared" si="46"/>
        <v>2012</v>
      </c>
      <c r="G91" s="644">
        <f t="shared" si="47"/>
        <v>2012</v>
      </c>
      <c r="H91" s="643">
        <f t="shared" si="48"/>
        <v>3837414</v>
      </c>
      <c r="I91" s="643">
        <f t="shared" si="49"/>
        <v>2455</v>
      </c>
      <c r="J91" s="1038">
        <f t="shared" si="50"/>
        <v>17454000000</v>
      </c>
      <c r="K91" s="643" t="s">
        <v>172</v>
      </c>
      <c r="L91" s="643" t="s">
        <v>1556</v>
      </c>
      <c r="M91" s="643" t="s">
        <v>1618</v>
      </c>
      <c r="N91" s="646">
        <f t="shared" si="51"/>
        <v>5.7108150814405221</v>
      </c>
      <c r="O91" s="646">
        <f t="shared" si="52"/>
        <v>3.5558884295124269</v>
      </c>
      <c r="P91" s="646">
        <f t="shared" si="52"/>
        <v>1.5232793562232276</v>
      </c>
      <c r="Q91" s="646">
        <f t="shared" si="52"/>
        <v>0.63164729570486788</v>
      </c>
      <c r="R91" s="915"/>
      <c r="S91" s="648" t="str">
        <f t="shared" si="53"/>
        <v>Cape Town</v>
      </c>
      <c r="T91" s="646">
        <f t="shared" si="54"/>
        <v>1.1919213272221867</v>
      </c>
      <c r="U91" s="646">
        <f t="shared" si="54"/>
        <v>1.4911864827365513</v>
      </c>
      <c r="V91" s="646">
        <f t="shared" si="54"/>
        <v>0.54652289020470557</v>
      </c>
      <c r="W91" s="646" t="str">
        <f t="shared" si="54"/>
        <v/>
      </c>
      <c r="X91" s="646">
        <f t="shared" si="54"/>
        <v>5.4510535496560958E-2</v>
      </c>
      <c r="Y91" s="646">
        <f t="shared" si="54"/>
        <v>0.27174719385242252</v>
      </c>
      <c r="Z91" s="646" t="str">
        <f t="shared" si="54"/>
        <v/>
      </c>
      <c r="AA91" s="646" t="str">
        <f t="shared" si="54"/>
        <v/>
      </c>
      <c r="AB91" s="15"/>
      <c r="AC91" s="1041" t="str">
        <f t="shared" si="55"/>
        <v>Cape Town</v>
      </c>
      <c r="AD91" s="646">
        <f t="shared" si="56"/>
        <v>1.4966592877708793</v>
      </c>
      <c r="AE91" s="646">
        <f t="shared" si="56"/>
        <v>2.6620068452348378E-2</v>
      </c>
      <c r="AF91" s="646" t="str">
        <f t="shared" si="56"/>
        <v/>
      </c>
      <c r="AG91" s="646" t="str">
        <f t="shared" si="56"/>
        <v/>
      </c>
      <c r="AH91" s="646" t="str">
        <f t="shared" si="56"/>
        <v/>
      </c>
      <c r="AI91" s="15"/>
      <c r="AJ91" s="648" t="str">
        <f t="shared" si="59"/>
        <v>Cape Town</v>
      </c>
      <c r="AK91" s="646">
        <f t="shared" si="57"/>
        <v>0.59576453715966005</v>
      </c>
      <c r="AL91" s="646" t="str">
        <f t="shared" si="57"/>
        <v/>
      </c>
      <c r="AM91" s="646" t="str">
        <f t="shared" si="57"/>
        <v/>
      </c>
      <c r="AN91" s="646">
        <f t="shared" si="57"/>
        <v>3.5882758545207789E-2</v>
      </c>
      <c r="AO91" s="15"/>
      <c r="AP91" s="15"/>
      <c r="AQ91" s="15"/>
      <c r="AR91" s="15"/>
      <c r="AS91" s="15"/>
      <c r="AT91" s="15"/>
      <c r="AU91" s="15"/>
      <c r="AV91" s="15"/>
      <c r="AW91" s="15"/>
      <c r="AX91" s="15"/>
      <c r="AY91" s="15"/>
      <c r="AZ91" s="15"/>
      <c r="BA91" s="15"/>
      <c r="BB91" s="15"/>
      <c r="BC91" s="15"/>
      <c r="BD91" s="15"/>
      <c r="BE91" s="15"/>
      <c r="BF91" s="15"/>
      <c r="BG91" s="15"/>
      <c r="BH91" s="15"/>
      <c r="BI91" s="15"/>
      <c r="BJ91" s="15"/>
      <c r="BK91" s="15"/>
      <c r="BL91" s="15"/>
      <c r="BM91" s="15"/>
      <c r="BN91" s="15"/>
      <c r="BO91" s="15"/>
      <c r="BP91" s="15"/>
      <c r="BQ91" s="15"/>
      <c r="BR91" s="15"/>
      <c r="BS91" s="15"/>
      <c r="BT91" s="15"/>
      <c r="BU91" s="15"/>
      <c r="BV91" s="15"/>
      <c r="BW91" s="15"/>
      <c r="BX91" s="15"/>
      <c r="BY91" s="15"/>
      <c r="BZ91" s="15"/>
      <c r="CA91" s="15"/>
      <c r="CB91" s="15"/>
      <c r="CC91" s="15"/>
      <c r="CD91" s="15"/>
      <c r="CE91" s="15"/>
      <c r="CF91" s="15"/>
      <c r="CG91" s="15"/>
      <c r="CH91" s="15"/>
      <c r="CI91" s="15"/>
      <c r="CJ91" s="15"/>
      <c r="CK91" s="15"/>
      <c r="CL91" s="15"/>
      <c r="CM91" s="15"/>
      <c r="CN91" s="15"/>
      <c r="CO91" s="15"/>
      <c r="CP91" s="15"/>
      <c r="CQ91" s="15"/>
      <c r="CR91" s="15"/>
      <c r="CS91" s="15"/>
      <c r="CT91" s="15"/>
      <c r="CU91" s="645"/>
      <c r="CV91" s="645"/>
      <c r="CW91" s="645"/>
      <c r="CX91" s="645"/>
      <c r="CY91" s="645"/>
      <c r="CZ91" s="645"/>
      <c r="DA91" s="645"/>
      <c r="DB91" s="645"/>
      <c r="DC91" s="645"/>
      <c r="DD91" s="645"/>
      <c r="DE91" s="645"/>
      <c r="DF91" s="645"/>
      <c r="DG91" s="645"/>
      <c r="DH91" s="645"/>
      <c r="DI91" s="645"/>
      <c r="DJ91" s="645"/>
      <c r="DK91" s="645"/>
      <c r="DL91" s="645"/>
      <c r="DM91" s="645"/>
      <c r="DN91" s="645"/>
      <c r="DO91" s="645"/>
      <c r="DP91" s="645"/>
    </row>
    <row r="92" spans="1:120" s="33" customFormat="1" ht="15" customHeight="1">
      <c r="A92" s="316"/>
      <c r="B92" s="648" t="str">
        <f t="shared" si="58"/>
        <v>Chicago</v>
      </c>
      <c r="C92" s="902" t="str">
        <f t="shared" si="43"/>
        <v>USA</v>
      </c>
      <c r="D92" s="902" t="str">
        <f t="shared" si="44"/>
        <v>Europe</v>
      </c>
      <c r="E92" s="902" t="str">
        <f t="shared" si="45"/>
        <v xml:space="preserve">Administrative boundary of a local government </v>
      </c>
      <c r="F92" s="643">
        <f t="shared" si="46"/>
        <v>2010</v>
      </c>
      <c r="G92" s="644">
        <f t="shared" si="47"/>
        <v>2010</v>
      </c>
      <c r="H92" s="643">
        <f t="shared" si="48"/>
        <v>27000000</v>
      </c>
      <c r="I92" s="643">
        <f t="shared" si="49"/>
        <v>606</v>
      </c>
      <c r="J92" s="1038">
        <f t="shared" si="50"/>
        <v>496400000000</v>
      </c>
      <c r="K92" s="643" t="s">
        <v>172</v>
      </c>
      <c r="L92" s="643" t="s">
        <v>1556</v>
      </c>
      <c r="M92" s="643" t="s">
        <v>1618</v>
      </c>
      <c r="N92" s="646">
        <f t="shared" si="51"/>
        <v>1.2332703013791657</v>
      </c>
      <c r="O92" s="646">
        <f t="shared" si="52"/>
        <v>0.92122973567771926</v>
      </c>
      <c r="P92" s="646">
        <f t="shared" si="52"/>
        <v>0.26290490901771957</v>
      </c>
      <c r="Q92" s="646">
        <f t="shared" si="52"/>
        <v>4.9135656683726978E-2</v>
      </c>
      <c r="R92" s="915"/>
      <c r="S92" s="648" t="str">
        <f t="shared" si="53"/>
        <v>Chicago</v>
      </c>
      <c r="T92" s="646">
        <f t="shared" si="54"/>
        <v>0.36214598565897027</v>
      </c>
      <c r="U92" s="646">
        <f t="shared" si="54"/>
        <v>0.50904891410322006</v>
      </c>
      <c r="V92" s="646">
        <f t="shared" si="54"/>
        <v>5.0034835915528986E-2</v>
      </c>
      <c r="W92" s="646" t="str">
        <f t="shared" si="54"/>
        <v/>
      </c>
      <c r="X92" s="646" t="str">
        <f t="shared" si="54"/>
        <v/>
      </c>
      <c r="Y92" s="646" t="str">
        <f t="shared" si="54"/>
        <v/>
      </c>
      <c r="Z92" s="646" t="str">
        <f t="shared" si="54"/>
        <v/>
      </c>
      <c r="AA92" s="646" t="str">
        <f t="shared" si="54"/>
        <v/>
      </c>
      <c r="AB92" s="15"/>
      <c r="AC92" s="1041" t="str">
        <f t="shared" si="55"/>
        <v>Chicago</v>
      </c>
      <c r="AD92" s="646">
        <f t="shared" si="56"/>
        <v>0.25122337823481056</v>
      </c>
      <c r="AE92" s="646">
        <f t="shared" si="56"/>
        <v>1.1634918298541588E-2</v>
      </c>
      <c r="AF92" s="646">
        <f t="shared" si="56"/>
        <v>9.1431265921966917E-6</v>
      </c>
      <c r="AG92" s="646" t="str">
        <f t="shared" si="56"/>
        <v/>
      </c>
      <c r="AH92" s="646">
        <f t="shared" si="56"/>
        <v>3.7469357775186982E-5</v>
      </c>
      <c r="AI92" s="15"/>
      <c r="AJ92" s="648" t="str">
        <f t="shared" si="59"/>
        <v>Chicago</v>
      </c>
      <c r="AK92" s="646">
        <f t="shared" si="57"/>
        <v>4.7831445847860019E-2</v>
      </c>
      <c r="AL92" s="646" t="str">
        <f t="shared" si="57"/>
        <v/>
      </c>
      <c r="AM92" s="646" t="str">
        <f t="shared" si="57"/>
        <v/>
      </c>
      <c r="AN92" s="646">
        <f t="shared" si="57"/>
        <v>1.3042108358669541E-3</v>
      </c>
      <c r="AO92" s="15"/>
      <c r="AP92" s="15"/>
      <c r="AQ92" s="15"/>
      <c r="AR92" s="15"/>
      <c r="AS92" s="15"/>
      <c r="AT92" s="15"/>
      <c r="AU92" s="15"/>
      <c r="AV92" s="15"/>
      <c r="AW92" s="15"/>
      <c r="AX92" s="15"/>
      <c r="AY92" s="15"/>
      <c r="AZ92" s="15"/>
      <c r="BA92" s="15"/>
      <c r="BB92" s="15"/>
      <c r="BC92" s="15"/>
      <c r="BD92" s="15"/>
      <c r="BE92" s="15"/>
      <c r="BF92" s="15"/>
      <c r="BG92" s="15"/>
      <c r="BH92" s="15"/>
      <c r="BI92" s="15"/>
      <c r="BJ92" s="15"/>
      <c r="BK92" s="15"/>
      <c r="BL92" s="15"/>
      <c r="BM92" s="15"/>
      <c r="BN92" s="15"/>
      <c r="BO92" s="15"/>
      <c r="BP92" s="15"/>
      <c r="BQ92" s="15"/>
      <c r="BR92" s="15"/>
      <c r="BS92" s="15"/>
      <c r="BT92" s="15"/>
      <c r="BU92" s="15"/>
      <c r="BV92" s="15"/>
      <c r="BW92" s="15"/>
      <c r="BX92" s="15"/>
      <c r="BY92" s="15"/>
      <c r="BZ92" s="15"/>
      <c r="CA92" s="15"/>
      <c r="CB92" s="15"/>
      <c r="CC92" s="15"/>
      <c r="CD92" s="15"/>
      <c r="CE92" s="15"/>
      <c r="CF92" s="15"/>
      <c r="CG92" s="15"/>
      <c r="CH92" s="15"/>
      <c r="CI92" s="15"/>
      <c r="CJ92" s="15"/>
      <c r="CK92" s="15"/>
      <c r="CL92" s="15"/>
      <c r="CM92" s="15"/>
      <c r="CN92" s="15"/>
      <c r="CO92" s="15"/>
      <c r="CP92" s="15"/>
      <c r="CQ92" s="15"/>
      <c r="CR92" s="15"/>
      <c r="CS92" s="15"/>
      <c r="CT92" s="15"/>
      <c r="CU92" s="645"/>
      <c r="CV92" s="645"/>
      <c r="CW92" s="645"/>
      <c r="CX92" s="645"/>
      <c r="CY92" s="645"/>
      <c r="CZ92" s="645"/>
      <c r="DA92" s="645"/>
      <c r="DB92" s="645"/>
      <c r="DC92" s="645"/>
      <c r="DD92" s="645"/>
      <c r="DE92" s="645"/>
      <c r="DF92" s="645"/>
      <c r="DG92" s="645"/>
      <c r="DH92" s="645"/>
      <c r="DI92" s="645"/>
      <c r="DJ92" s="645"/>
      <c r="DK92" s="645"/>
      <c r="DL92" s="645"/>
      <c r="DM92" s="645"/>
      <c r="DN92" s="645"/>
      <c r="DO92" s="645"/>
      <c r="DP92" s="645"/>
    </row>
    <row r="93" spans="1:120" s="33" customFormat="1" ht="15" customHeight="1">
      <c r="A93" s="316"/>
      <c r="B93" s="648" t="str">
        <f t="shared" si="58"/>
        <v>Copenhagen</v>
      </c>
      <c r="C93" s="902" t="str">
        <f t="shared" si="43"/>
        <v>Denmark</v>
      </c>
      <c r="D93" s="902" t="str">
        <f t="shared" si="44"/>
        <v>Europe</v>
      </c>
      <c r="E93" s="902" t="str">
        <f t="shared" si="45"/>
        <v xml:space="preserve">Administrative boundary of a local government </v>
      </c>
      <c r="F93" s="643">
        <f t="shared" si="46"/>
        <v>2014</v>
      </c>
      <c r="G93" s="644">
        <f t="shared" si="47"/>
        <v>2014</v>
      </c>
      <c r="H93" s="643">
        <f t="shared" si="48"/>
        <v>580184</v>
      </c>
      <c r="I93" s="643">
        <f t="shared" si="49"/>
        <v>86.22</v>
      </c>
      <c r="J93" s="1038">
        <f t="shared" si="50"/>
        <v>51910270000</v>
      </c>
      <c r="K93" s="643" t="s">
        <v>172</v>
      </c>
      <c r="L93" s="643" t="s">
        <v>1556</v>
      </c>
      <c r="M93" s="643" t="s">
        <v>1618</v>
      </c>
      <c r="N93" s="646">
        <f t="shared" si="51"/>
        <v>2.9771339947648197</v>
      </c>
      <c r="O93" s="646">
        <f t="shared" si="52"/>
        <v>1.9472654418174553</v>
      </c>
      <c r="P93" s="646">
        <f t="shared" si="52"/>
        <v>0.99998492982090803</v>
      </c>
      <c r="Q93" s="646">
        <f t="shared" si="52"/>
        <v>2.9883623126456434E-2</v>
      </c>
      <c r="R93" s="915"/>
      <c r="S93" s="648" t="str">
        <f t="shared" si="53"/>
        <v>Copenhagen</v>
      </c>
      <c r="T93" s="646">
        <f t="shared" si="54"/>
        <v>0.76079121637997571</v>
      </c>
      <c r="U93" s="646">
        <f t="shared" si="54"/>
        <v>1.0109416188693783</v>
      </c>
      <c r="V93" s="646">
        <f t="shared" si="54"/>
        <v>0.17542207304771748</v>
      </c>
      <c r="W93" s="646" t="str">
        <f t="shared" si="54"/>
        <v/>
      </c>
      <c r="X93" s="646">
        <f t="shared" si="54"/>
        <v>1.1053352038386447E-4</v>
      </c>
      <c r="Y93" s="646" t="str">
        <f t="shared" si="54"/>
        <v/>
      </c>
      <c r="Z93" s="646" t="str">
        <f t="shared" si="54"/>
        <v/>
      </c>
      <c r="AA93" s="646" t="str">
        <f t="shared" si="54"/>
        <v/>
      </c>
      <c r="AB93" s="15"/>
      <c r="AC93" s="1041" t="str">
        <f t="shared" si="55"/>
        <v>Copenhagen</v>
      </c>
      <c r="AD93" s="646">
        <f t="shared" si="56"/>
        <v>0.60193073127191876</v>
      </c>
      <c r="AE93" s="646">
        <f t="shared" si="56"/>
        <v>4.9078701120587112E-2</v>
      </c>
      <c r="AF93" s="646">
        <f t="shared" si="56"/>
        <v>0.24130275912469148</v>
      </c>
      <c r="AG93" s="646" t="str">
        <f t="shared" si="56"/>
        <v/>
      </c>
      <c r="AH93" s="646">
        <f t="shared" si="56"/>
        <v>0.10767273830371055</v>
      </c>
      <c r="AI93" s="15"/>
      <c r="AJ93" s="648" t="str">
        <f t="shared" si="59"/>
        <v>Copenhagen</v>
      </c>
      <c r="AK93" s="646">
        <f t="shared" si="57"/>
        <v>1.2926933524537044E-3</v>
      </c>
      <c r="AL93" s="646" t="str">
        <f t="shared" si="57"/>
        <v/>
      </c>
      <c r="AM93" s="646" t="str">
        <f t="shared" si="57"/>
        <v/>
      </c>
      <c r="AN93" s="646">
        <f t="shared" si="57"/>
        <v>2.8590929774002731E-2</v>
      </c>
      <c r="AO93" s="15"/>
      <c r="AP93" s="15"/>
      <c r="AQ93" s="15"/>
      <c r="AR93" s="15"/>
      <c r="AS93" s="15"/>
      <c r="AT93" s="15"/>
      <c r="AU93" s="15"/>
      <c r="AV93" s="15"/>
      <c r="AW93" s="15"/>
      <c r="AX93" s="15"/>
      <c r="AY93" s="15"/>
      <c r="AZ93" s="15"/>
      <c r="BA93" s="15"/>
      <c r="BB93" s="15"/>
      <c r="BC93" s="15"/>
      <c r="BD93" s="15"/>
      <c r="BE93" s="15"/>
      <c r="BF93" s="15"/>
      <c r="BG93" s="15"/>
      <c r="BH93" s="15"/>
      <c r="BI93" s="15"/>
      <c r="BJ93" s="15"/>
      <c r="BK93" s="15"/>
      <c r="BL93" s="15"/>
      <c r="BM93" s="15"/>
      <c r="BN93" s="15"/>
      <c r="BO93" s="15"/>
      <c r="BP93" s="15"/>
      <c r="BQ93" s="15"/>
      <c r="BR93" s="15"/>
      <c r="BS93" s="15"/>
      <c r="BT93" s="15"/>
      <c r="BU93" s="15"/>
      <c r="BV93" s="15"/>
      <c r="BW93" s="15"/>
      <c r="BX93" s="15"/>
      <c r="BY93" s="15"/>
      <c r="BZ93" s="15"/>
      <c r="CA93" s="15"/>
      <c r="CB93" s="15"/>
      <c r="CC93" s="15"/>
      <c r="CD93" s="15"/>
      <c r="CE93" s="15"/>
      <c r="CF93" s="15"/>
      <c r="CG93" s="15"/>
      <c r="CH93" s="15"/>
      <c r="CI93" s="15"/>
      <c r="CJ93" s="15"/>
      <c r="CK93" s="15"/>
      <c r="CL93" s="15"/>
      <c r="CM93" s="15"/>
      <c r="CN93" s="15"/>
      <c r="CO93" s="15"/>
      <c r="CP93" s="15"/>
      <c r="CQ93" s="15"/>
      <c r="CR93" s="15"/>
      <c r="CS93" s="15"/>
      <c r="CT93" s="15"/>
      <c r="CU93" s="645"/>
      <c r="CV93" s="645"/>
      <c r="CW93" s="645"/>
      <c r="CX93" s="645"/>
      <c r="CY93" s="645"/>
      <c r="CZ93" s="645"/>
      <c r="DA93" s="645"/>
      <c r="DB93" s="645"/>
      <c r="DC93" s="645"/>
      <c r="DD93" s="645"/>
      <c r="DE93" s="645"/>
      <c r="DF93" s="645"/>
      <c r="DG93" s="645"/>
      <c r="DH93" s="645"/>
      <c r="DI93" s="645"/>
      <c r="DJ93" s="645"/>
      <c r="DK93" s="645"/>
      <c r="DL93" s="645"/>
      <c r="DM93" s="645"/>
      <c r="DN93" s="645"/>
      <c r="DO93" s="645"/>
      <c r="DP93" s="645"/>
    </row>
    <row r="94" spans="1:120" s="33" customFormat="1" ht="15" customHeight="1">
      <c r="A94" s="316"/>
      <c r="B94" s="648" t="str">
        <f t="shared" si="58"/>
        <v>District of Columbia</v>
      </c>
      <c r="C94" s="902" t="str">
        <f t="shared" si="43"/>
        <v>United States</v>
      </c>
      <c r="D94" s="902" t="str">
        <f t="shared" si="44"/>
        <v>Europe</v>
      </c>
      <c r="E94" s="902" t="str">
        <f t="shared" si="45"/>
        <v xml:space="preserve">Administrative boundary of a local government </v>
      </c>
      <c r="F94" s="643">
        <f t="shared" si="46"/>
        <v>2013</v>
      </c>
      <c r="G94" s="644">
        <f t="shared" si="47"/>
        <v>2013</v>
      </c>
      <c r="H94" s="643">
        <f t="shared" si="48"/>
        <v>649111</v>
      </c>
      <c r="I94" s="643">
        <f t="shared" si="49"/>
        <v>158</v>
      </c>
      <c r="J94" s="1038">
        <f t="shared" si="50"/>
        <v>113362000000</v>
      </c>
      <c r="K94" s="643" t="s">
        <v>172</v>
      </c>
      <c r="L94" s="643" t="s">
        <v>1556</v>
      </c>
      <c r="M94" s="643" t="s">
        <v>1618</v>
      </c>
      <c r="N94" s="646">
        <f t="shared" si="51"/>
        <v>12.72982014192103</v>
      </c>
      <c r="O94" s="646">
        <f t="shared" si="52"/>
        <v>9.9696086044124428</v>
      </c>
      <c r="P94" s="646">
        <f t="shared" si="52"/>
        <v>2.4715225880129941</v>
      </c>
      <c r="Q94" s="646">
        <f t="shared" si="52"/>
        <v>0.28868894949559276</v>
      </c>
      <c r="R94" s="915"/>
      <c r="S94" s="648" t="str">
        <f t="shared" si="53"/>
        <v>District of Columbia</v>
      </c>
      <c r="T94" s="646">
        <f t="shared" si="54"/>
        <v>2.2112265069493273</v>
      </c>
      <c r="U94" s="646">
        <f t="shared" si="54"/>
        <v>7.7246481920921397</v>
      </c>
      <c r="V94" s="646" t="str">
        <f t="shared" si="54"/>
        <v/>
      </c>
      <c r="W94" s="646" t="str">
        <f t="shared" si="54"/>
        <v/>
      </c>
      <c r="X94" s="646" t="str">
        <f t="shared" si="54"/>
        <v/>
      </c>
      <c r="Y94" s="646" t="str">
        <f t="shared" si="54"/>
        <v/>
      </c>
      <c r="Z94" s="646" t="str">
        <f t="shared" si="54"/>
        <v/>
      </c>
      <c r="AA94" s="646">
        <f t="shared" si="54"/>
        <v>3.3733905370975981E-2</v>
      </c>
      <c r="AB94" s="15"/>
      <c r="AC94" s="1041" t="str">
        <f t="shared" si="55"/>
        <v>District of Columbia</v>
      </c>
      <c r="AD94" s="646">
        <f t="shared" si="56"/>
        <v>2.2769570508433845</v>
      </c>
      <c r="AE94" s="646">
        <f t="shared" si="56"/>
        <v>0.19456553716960936</v>
      </c>
      <c r="AF94" s="646" t="str">
        <f t="shared" si="56"/>
        <v/>
      </c>
      <c r="AG94" s="646" t="str">
        <f t="shared" si="56"/>
        <v/>
      </c>
      <c r="AH94" s="646" t="str">
        <f t="shared" si="56"/>
        <v/>
      </c>
      <c r="AI94" s="15"/>
      <c r="AJ94" s="648" t="str">
        <f t="shared" si="59"/>
        <v>District of Columbia</v>
      </c>
      <c r="AK94" s="646">
        <f t="shared" si="57"/>
        <v>0.27943602866073752</v>
      </c>
      <c r="AL94" s="646" t="str">
        <f t="shared" si="57"/>
        <v/>
      </c>
      <c r="AM94" s="646" t="str">
        <f t="shared" si="57"/>
        <v/>
      </c>
      <c r="AN94" s="646">
        <f t="shared" si="57"/>
        <v>9.2529208348552279E-3</v>
      </c>
      <c r="AO94" s="15"/>
      <c r="AP94" s="15"/>
      <c r="AQ94" s="15"/>
      <c r="AR94" s="15"/>
      <c r="AS94" s="15"/>
      <c r="AT94" s="15"/>
      <c r="AU94" s="15"/>
      <c r="AV94" s="15"/>
      <c r="AW94" s="15"/>
      <c r="AX94" s="15"/>
      <c r="AY94" s="15"/>
      <c r="AZ94" s="15"/>
      <c r="BA94" s="15"/>
      <c r="BB94" s="15"/>
      <c r="BC94" s="15"/>
      <c r="BD94" s="15"/>
      <c r="BE94" s="15"/>
      <c r="BF94" s="15"/>
      <c r="BG94" s="15"/>
      <c r="BH94" s="15"/>
      <c r="BI94" s="15"/>
      <c r="BJ94" s="15"/>
      <c r="BK94" s="15"/>
      <c r="BL94" s="15"/>
      <c r="BM94" s="15"/>
      <c r="BN94" s="15"/>
      <c r="BO94" s="15"/>
      <c r="BP94" s="15"/>
      <c r="BQ94" s="15"/>
      <c r="BR94" s="15"/>
      <c r="BS94" s="15"/>
      <c r="BT94" s="15"/>
      <c r="BU94" s="15"/>
      <c r="BV94" s="15"/>
      <c r="BW94" s="15"/>
      <c r="BX94" s="15"/>
      <c r="BY94" s="15"/>
      <c r="BZ94" s="15"/>
      <c r="CA94" s="15"/>
      <c r="CB94" s="15"/>
      <c r="CC94" s="15"/>
      <c r="CD94" s="15"/>
      <c r="CE94" s="15"/>
      <c r="CF94" s="15"/>
      <c r="CG94" s="15"/>
      <c r="CH94" s="15"/>
      <c r="CI94" s="15"/>
      <c r="CJ94" s="15"/>
      <c r="CK94" s="15"/>
      <c r="CL94" s="15"/>
      <c r="CM94" s="15"/>
      <c r="CN94" s="15"/>
      <c r="CO94" s="15"/>
      <c r="CP94" s="15"/>
      <c r="CQ94" s="15"/>
      <c r="CR94" s="15"/>
      <c r="CS94" s="15"/>
      <c r="CT94" s="15"/>
      <c r="CU94" s="645"/>
      <c r="CV94" s="645"/>
      <c r="CW94" s="645"/>
      <c r="CX94" s="645"/>
      <c r="CY94" s="645"/>
      <c r="CZ94" s="645"/>
      <c r="DA94" s="645"/>
      <c r="DB94" s="645"/>
      <c r="DC94" s="645"/>
      <c r="DD94" s="645"/>
      <c r="DE94" s="645"/>
      <c r="DF94" s="645"/>
      <c r="DG94" s="645"/>
      <c r="DH94" s="645"/>
      <c r="DI94" s="645"/>
      <c r="DJ94" s="645"/>
      <c r="DK94" s="645"/>
      <c r="DL94" s="645"/>
      <c r="DM94" s="645"/>
      <c r="DN94" s="645"/>
      <c r="DO94" s="645"/>
      <c r="DP94" s="645"/>
    </row>
    <row r="95" spans="1:120" s="33" customFormat="1" ht="15" customHeight="1">
      <c r="A95" s="316"/>
      <c r="B95" s="648" t="str">
        <f t="shared" si="58"/>
        <v>Johannesburg</v>
      </c>
      <c r="C95" s="902" t="str">
        <f t="shared" si="43"/>
        <v>South Africa</v>
      </c>
      <c r="D95" s="902" t="str">
        <f t="shared" si="44"/>
        <v>Africa</v>
      </c>
      <c r="E95" s="902" t="str">
        <f t="shared" si="45"/>
        <v xml:space="preserve">Administrative boundary of a local government </v>
      </c>
      <c r="F95" s="643">
        <f t="shared" si="46"/>
        <v>2014</v>
      </c>
      <c r="G95" s="644">
        <f t="shared" si="47"/>
        <v>2014</v>
      </c>
      <c r="H95" s="643">
        <f t="shared" si="48"/>
        <v>4765329</v>
      </c>
      <c r="I95" s="643">
        <f t="shared" si="49"/>
        <v>1648</v>
      </c>
      <c r="J95" s="1038">
        <f t="shared" si="50"/>
        <v>35684773914.663498</v>
      </c>
      <c r="K95" s="643" t="s">
        <v>172</v>
      </c>
      <c r="L95" s="643" t="s">
        <v>1556</v>
      </c>
      <c r="M95" s="643" t="s">
        <v>1618</v>
      </c>
      <c r="N95" s="646">
        <f t="shared" si="51"/>
        <v>5.1867799397499672</v>
      </c>
      <c r="O95" s="646">
        <f t="shared" si="52"/>
        <v>3.3099443567310156</v>
      </c>
      <c r="P95" s="646">
        <f t="shared" si="52"/>
        <v>1.512024263705092</v>
      </c>
      <c r="Q95" s="646">
        <f t="shared" si="52"/>
        <v>0.36481131931385963</v>
      </c>
      <c r="R95" s="915"/>
      <c r="S95" s="648" t="str">
        <f t="shared" si="53"/>
        <v>Johannesburg</v>
      </c>
      <c r="T95" s="646">
        <f t="shared" ref="T95:AA104" si="60">IF(ISERROR(T61/$H61),"",T61/$H61)</f>
        <v>1.5057940099245171</v>
      </c>
      <c r="U95" s="646">
        <f t="shared" si="60"/>
        <v>1.7519047878541363</v>
      </c>
      <c r="V95" s="646">
        <f t="shared" si="60"/>
        <v>5.1569299715172656E-2</v>
      </c>
      <c r="W95" s="646" t="str">
        <f t="shared" si="60"/>
        <v/>
      </c>
      <c r="X95" s="646" t="str">
        <f t="shared" si="60"/>
        <v/>
      </c>
      <c r="Y95" s="646" t="str">
        <f t="shared" si="60"/>
        <v/>
      </c>
      <c r="Z95" s="646" t="str">
        <f t="shared" si="60"/>
        <v/>
      </c>
      <c r="AA95" s="646">
        <f t="shared" si="60"/>
        <v>6.7625923718920818E-4</v>
      </c>
      <c r="AB95" s="15"/>
      <c r="AC95" s="1041" t="str">
        <f t="shared" si="55"/>
        <v>Johannesburg</v>
      </c>
      <c r="AD95" s="646">
        <f t="shared" si="56"/>
        <v>1.4427379747459927</v>
      </c>
      <c r="AE95" s="646">
        <f t="shared" si="56"/>
        <v>6.9286288959099357E-2</v>
      </c>
      <c r="AF95" s="646" t="str">
        <f t="shared" si="56"/>
        <v/>
      </c>
      <c r="AG95" s="646" t="str">
        <f t="shared" si="56"/>
        <v/>
      </c>
      <c r="AH95" s="646" t="str">
        <f t="shared" si="56"/>
        <v/>
      </c>
      <c r="AI95" s="15"/>
      <c r="AJ95" s="648" t="str">
        <f t="shared" si="59"/>
        <v>Johannesburg</v>
      </c>
      <c r="AK95" s="646">
        <f t="shared" si="57"/>
        <v>0.33986158143540562</v>
      </c>
      <c r="AL95" s="646">
        <f t="shared" si="57"/>
        <v>6.9564976521033488E-4</v>
      </c>
      <c r="AM95" s="646">
        <f t="shared" si="57"/>
        <v>1.5167892919880244E-3</v>
      </c>
      <c r="AN95" s="646">
        <f t="shared" si="57"/>
        <v>2.273729882125565E-2</v>
      </c>
      <c r="AO95" s="15"/>
      <c r="AP95" s="15"/>
      <c r="AQ95" s="15"/>
      <c r="AR95" s="15"/>
      <c r="AS95" s="15"/>
      <c r="AT95" s="15"/>
      <c r="AU95" s="15"/>
      <c r="AV95" s="15"/>
      <c r="AW95" s="15"/>
      <c r="AX95" s="15"/>
      <c r="AY95" s="15"/>
      <c r="AZ95" s="15"/>
      <c r="BA95" s="15"/>
      <c r="BB95" s="15"/>
      <c r="BC95" s="15"/>
      <c r="BD95" s="15"/>
      <c r="BE95" s="15"/>
      <c r="BF95" s="15"/>
      <c r="BG95" s="15"/>
      <c r="BH95" s="15"/>
      <c r="BI95" s="15"/>
      <c r="BJ95" s="15"/>
      <c r="BK95" s="15"/>
      <c r="BL95" s="15"/>
      <c r="BM95" s="15"/>
      <c r="BN95" s="15"/>
      <c r="BO95" s="15"/>
      <c r="BP95" s="15"/>
      <c r="BQ95" s="15"/>
      <c r="BR95" s="15"/>
      <c r="BS95" s="15"/>
      <c r="BT95" s="15"/>
      <c r="BU95" s="15"/>
      <c r="BV95" s="15"/>
      <c r="BW95" s="15"/>
      <c r="BX95" s="15"/>
      <c r="BY95" s="15"/>
      <c r="BZ95" s="15"/>
      <c r="CA95" s="15"/>
      <c r="CB95" s="15"/>
      <c r="CC95" s="15"/>
      <c r="CD95" s="15"/>
      <c r="CE95" s="15"/>
      <c r="CF95" s="15"/>
      <c r="CG95" s="15"/>
      <c r="CH95" s="15"/>
      <c r="CI95" s="15"/>
      <c r="CJ95" s="15"/>
      <c r="CK95" s="15"/>
      <c r="CL95" s="15"/>
      <c r="CM95" s="15"/>
      <c r="CN95" s="15"/>
      <c r="CO95" s="15"/>
      <c r="CP95" s="15"/>
      <c r="CQ95" s="15"/>
      <c r="CR95" s="15"/>
      <c r="CS95" s="15"/>
      <c r="CT95" s="15"/>
      <c r="CU95" s="645"/>
      <c r="CV95" s="645"/>
      <c r="CW95" s="645"/>
      <c r="CX95" s="645"/>
      <c r="CY95" s="645"/>
      <c r="CZ95" s="645"/>
      <c r="DA95" s="645"/>
      <c r="DB95" s="645"/>
      <c r="DC95" s="645"/>
      <c r="DD95" s="645"/>
      <c r="DE95" s="645"/>
      <c r="DF95" s="645"/>
      <c r="DG95" s="645"/>
      <c r="DH95" s="645"/>
      <c r="DI95" s="645"/>
      <c r="DJ95" s="645"/>
      <c r="DK95" s="645"/>
      <c r="DL95" s="645"/>
      <c r="DM95" s="645"/>
      <c r="DN95" s="645"/>
      <c r="DO95" s="645"/>
      <c r="DP95" s="645"/>
    </row>
    <row r="96" spans="1:120" s="33" customFormat="1" ht="15" customHeight="1">
      <c r="A96" s="316"/>
      <c r="B96" s="648" t="str">
        <f t="shared" si="58"/>
        <v>London</v>
      </c>
      <c r="C96" s="902" t="str">
        <f t="shared" si="43"/>
        <v>United Kingdom</v>
      </c>
      <c r="D96" s="902" t="str">
        <f t="shared" si="44"/>
        <v>Europe</v>
      </c>
      <c r="E96" s="902" t="str">
        <f t="shared" si="45"/>
        <v xml:space="preserve">Administrative boundary of a local government </v>
      </c>
      <c r="F96" s="643">
        <f t="shared" si="46"/>
        <v>2013</v>
      </c>
      <c r="G96" s="644">
        <f t="shared" si="47"/>
        <v>2013</v>
      </c>
      <c r="H96" s="643">
        <f t="shared" si="48"/>
        <v>8416500</v>
      </c>
      <c r="I96" s="643">
        <f t="shared" si="49"/>
        <v>1595</v>
      </c>
      <c r="J96" s="1038">
        <f t="shared" si="50"/>
        <v>481061890500</v>
      </c>
      <c r="K96" s="643" t="s">
        <v>172</v>
      </c>
      <c r="L96" s="643" t="s">
        <v>1556</v>
      </c>
      <c r="M96" s="643" t="s">
        <v>1618</v>
      </c>
      <c r="N96" s="646">
        <f t="shared" si="51"/>
        <v>4.731796334155133</v>
      </c>
      <c r="O96" s="646">
        <f t="shared" si="52"/>
        <v>3.6455679759841808</v>
      </c>
      <c r="P96" s="646">
        <f t="shared" si="52"/>
        <v>0.8661378466354861</v>
      </c>
      <c r="Q96" s="646">
        <f t="shared" si="52"/>
        <v>0.22009051153546655</v>
      </c>
      <c r="S96" s="648" t="str">
        <f t="shared" si="53"/>
        <v>London</v>
      </c>
      <c r="T96" s="646">
        <f t="shared" si="60"/>
        <v>1.6835046590246785</v>
      </c>
      <c r="U96" s="646">
        <f t="shared" si="60"/>
        <v>1.9606627704140265</v>
      </c>
      <c r="V96" s="646" t="str">
        <f t="shared" si="60"/>
        <v/>
      </c>
      <c r="W96" s="646" t="str">
        <f t="shared" si="60"/>
        <v/>
      </c>
      <c r="X96" s="646" t="str">
        <f t="shared" si="60"/>
        <v/>
      </c>
      <c r="Y96" s="646" t="str">
        <f t="shared" si="60"/>
        <v/>
      </c>
      <c r="Z96" s="646" t="str">
        <f t="shared" si="60"/>
        <v/>
      </c>
      <c r="AA96" s="646">
        <f t="shared" si="60"/>
        <v>1.4005465454761481E-3</v>
      </c>
      <c r="AB96" s="15"/>
      <c r="AC96" s="1041" t="str">
        <f t="shared" si="55"/>
        <v>London</v>
      </c>
      <c r="AD96" s="646">
        <f t="shared" si="56"/>
        <v>0.71700284219468857</v>
      </c>
      <c r="AE96" s="646">
        <f t="shared" si="56"/>
        <v>0.1424325157754627</v>
      </c>
      <c r="AF96" s="646">
        <f t="shared" si="56"/>
        <v>2.4069976655129626E-3</v>
      </c>
      <c r="AG96" s="646" t="str">
        <f t="shared" si="56"/>
        <v/>
      </c>
      <c r="AH96" s="646">
        <f t="shared" si="56"/>
        <v>4.2954909998217782E-3</v>
      </c>
      <c r="AI96" s="15"/>
      <c r="AJ96" s="648" t="str">
        <f t="shared" si="59"/>
        <v>London</v>
      </c>
      <c r="AK96" s="646">
        <f t="shared" si="57"/>
        <v>0.17945666727235357</v>
      </c>
      <c r="AL96" s="646">
        <f t="shared" si="57"/>
        <v>9.4562181876480372E-6</v>
      </c>
      <c r="AM96" s="646">
        <f t="shared" si="57"/>
        <v>3.9836675884874266E-2</v>
      </c>
      <c r="AN96" s="646">
        <f t="shared" si="57"/>
        <v>7.877121600510722E-4</v>
      </c>
      <c r="AO96" s="15"/>
      <c r="AP96" s="15"/>
      <c r="AQ96" s="15"/>
      <c r="AR96" s="15"/>
      <c r="AS96" s="15"/>
      <c r="AT96" s="15"/>
      <c r="AU96" s="15"/>
      <c r="AV96" s="15"/>
      <c r="AW96" s="15"/>
      <c r="AX96" s="15"/>
      <c r="AY96" s="15"/>
      <c r="AZ96" s="15"/>
      <c r="BA96" s="15"/>
      <c r="BB96" s="15"/>
      <c r="BC96" s="15"/>
      <c r="BD96" s="15"/>
      <c r="BE96" s="15"/>
      <c r="BF96" s="15"/>
      <c r="BG96" s="15"/>
      <c r="BH96" s="15"/>
      <c r="BI96" s="15"/>
      <c r="BJ96" s="15"/>
      <c r="BK96" s="15"/>
      <c r="BL96" s="15"/>
      <c r="BM96" s="15"/>
      <c r="BN96" s="15"/>
      <c r="BO96" s="15"/>
      <c r="BP96" s="15"/>
      <c r="BQ96" s="15"/>
      <c r="BR96" s="15"/>
      <c r="BS96" s="15"/>
      <c r="BT96" s="15"/>
      <c r="BU96" s="15"/>
      <c r="BV96" s="15"/>
      <c r="BW96" s="15"/>
      <c r="BX96" s="15"/>
      <c r="BY96" s="15"/>
      <c r="BZ96" s="15"/>
      <c r="CA96" s="15"/>
      <c r="CB96" s="15"/>
      <c r="CC96" s="15"/>
      <c r="CD96" s="15"/>
      <c r="CE96" s="15"/>
      <c r="CF96" s="15"/>
      <c r="CG96" s="15"/>
      <c r="CH96" s="15"/>
      <c r="CI96" s="15"/>
      <c r="CJ96" s="15"/>
      <c r="CK96" s="15"/>
      <c r="CL96" s="15"/>
      <c r="CM96" s="15"/>
      <c r="CN96" s="15"/>
      <c r="CO96" s="15"/>
      <c r="CP96" s="15"/>
      <c r="CQ96" s="15"/>
      <c r="CR96" s="15"/>
      <c r="CS96" s="15"/>
      <c r="CT96" s="15"/>
      <c r="CU96" s="645"/>
      <c r="CV96" s="645"/>
      <c r="CW96" s="645"/>
      <c r="CX96" s="645"/>
      <c r="CY96" s="645"/>
      <c r="CZ96" s="645"/>
      <c r="DA96" s="645"/>
      <c r="DB96" s="645"/>
      <c r="DC96" s="645"/>
      <c r="DD96" s="645"/>
      <c r="DE96" s="645"/>
      <c r="DF96" s="645"/>
      <c r="DG96" s="645"/>
      <c r="DH96" s="645"/>
      <c r="DI96" s="645"/>
      <c r="DJ96" s="645"/>
      <c r="DK96" s="645"/>
      <c r="DL96" s="645"/>
      <c r="DM96" s="645"/>
      <c r="DN96" s="645"/>
      <c r="DO96" s="645"/>
      <c r="DP96" s="645"/>
    </row>
    <row r="97" spans="1:120" s="33" customFormat="1" ht="15" customHeight="1">
      <c r="A97" s="316"/>
      <c r="B97" s="648" t="str">
        <f t="shared" si="58"/>
        <v>Madrid</v>
      </c>
      <c r="C97" s="902" t="str">
        <f t="shared" si="43"/>
        <v>Spain</v>
      </c>
      <c r="D97" s="902" t="str">
        <f t="shared" si="44"/>
        <v>Europe</v>
      </c>
      <c r="E97" s="902" t="str">
        <f t="shared" si="45"/>
        <v xml:space="preserve">Administrative boundary of a local government </v>
      </c>
      <c r="F97" s="643">
        <f t="shared" si="46"/>
        <v>2013</v>
      </c>
      <c r="G97" s="644">
        <f t="shared" si="47"/>
        <v>2013</v>
      </c>
      <c r="H97" s="643">
        <f t="shared" si="48"/>
        <v>3207247</v>
      </c>
      <c r="I97" s="643">
        <f t="shared" si="49"/>
        <v>606</v>
      </c>
      <c r="J97" s="1038">
        <f t="shared" si="50"/>
        <v>103261000000</v>
      </c>
      <c r="K97" s="643" t="s">
        <v>172</v>
      </c>
      <c r="L97" s="643" t="s">
        <v>1556</v>
      </c>
      <c r="M97" s="643" t="s">
        <v>1618</v>
      </c>
      <c r="N97" s="646">
        <f t="shared" si="51"/>
        <v>2.8692506532432591</v>
      </c>
      <c r="O97" s="646">
        <f t="shared" si="52"/>
        <v>1.8225132600555261</v>
      </c>
      <c r="P97" s="646">
        <f t="shared" si="52"/>
        <v>0.91220415131718091</v>
      </c>
      <c r="Q97" s="646">
        <f t="shared" si="52"/>
        <v>0.13453324187055218</v>
      </c>
      <c r="S97" s="648" t="str">
        <f t="shared" si="53"/>
        <v>Madrid</v>
      </c>
      <c r="T97" s="646">
        <f t="shared" si="60"/>
        <v>0.8751916106558757</v>
      </c>
      <c r="U97" s="646">
        <f t="shared" si="60"/>
        <v>0.74800935127805179</v>
      </c>
      <c r="V97" s="646">
        <f t="shared" si="60"/>
        <v>0.15739323893039672</v>
      </c>
      <c r="W97" s="646">
        <f t="shared" si="60"/>
        <v>1.1791473803752535E-2</v>
      </c>
      <c r="X97" s="646">
        <f t="shared" si="60"/>
        <v>9.1302114539320856E-3</v>
      </c>
      <c r="Y97" s="646">
        <f t="shared" si="60"/>
        <v>1.5396186093380532E-2</v>
      </c>
      <c r="Z97" s="646" t="str">
        <f t="shared" si="60"/>
        <v/>
      </c>
      <c r="AA97" s="646">
        <f t="shared" si="60"/>
        <v>5.6011878401363239E-3</v>
      </c>
      <c r="AB97" s="15"/>
      <c r="AC97" s="1041" t="str">
        <f t="shared" si="55"/>
        <v>Madrid</v>
      </c>
      <c r="AD97" s="646">
        <f t="shared" si="56"/>
        <v>0.67009646491423491</v>
      </c>
      <c r="AE97" s="646">
        <f t="shared" si="56"/>
        <v>8.4287684607013233E-2</v>
      </c>
      <c r="AF97" s="646" t="str">
        <f t="shared" si="56"/>
        <v/>
      </c>
      <c r="AG97" s="646">
        <f t="shared" si="56"/>
        <v>0.15782000179593278</v>
      </c>
      <c r="AH97" s="646" t="str">
        <f t="shared" si="56"/>
        <v/>
      </c>
      <c r="AI97" s="15"/>
      <c r="AJ97" s="648" t="str">
        <f t="shared" si="59"/>
        <v>Madrid</v>
      </c>
      <c r="AK97" s="646">
        <f t="shared" si="57"/>
        <v>0.10538981840620029</v>
      </c>
      <c r="AL97" s="646">
        <f t="shared" si="57"/>
        <v>1.1459048835340715E-3</v>
      </c>
      <c r="AM97" s="646">
        <f t="shared" si="57"/>
        <v>1.1691186491093455E-4</v>
      </c>
      <c r="AN97" s="646">
        <f t="shared" si="57"/>
        <v>2.7880606715906892E-2</v>
      </c>
      <c r="AO97" s="15"/>
      <c r="AP97" s="15"/>
      <c r="AQ97" s="15"/>
      <c r="AR97" s="15"/>
      <c r="AS97" s="15"/>
      <c r="AT97" s="15"/>
      <c r="AU97" s="15"/>
      <c r="AV97" s="15"/>
      <c r="AW97" s="15"/>
      <c r="AX97" s="15"/>
      <c r="AY97" s="15"/>
      <c r="AZ97" s="15"/>
      <c r="BA97" s="15"/>
      <c r="BB97" s="15"/>
      <c r="BC97" s="15"/>
      <c r="BD97" s="15"/>
      <c r="BE97" s="15"/>
      <c r="BF97" s="15"/>
      <c r="BG97" s="15"/>
      <c r="BH97" s="15"/>
      <c r="BI97" s="15"/>
      <c r="BJ97" s="15"/>
      <c r="BK97" s="15"/>
      <c r="BL97" s="15"/>
      <c r="BM97" s="15"/>
      <c r="BN97" s="15"/>
      <c r="BO97" s="15"/>
      <c r="BP97" s="15"/>
      <c r="BQ97" s="15"/>
      <c r="BR97" s="15"/>
      <c r="BS97" s="15"/>
      <c r="BT97" s="15"/>
      <c r="BU97" s="15"/>
      <c r="BV97" s="15"/>
      <c r="BW97" s="15"/>
      <c r="BX97" s="15"/>
      <c r="BY97" s="15"/>
      <c r="BZ97" s="15"/>
      <c r="CA97" s="15"/>
      <c r="CB97" s="15"/>
      <c r="CC97" s="15"/>
      <c r="CD97" s="15"/>
      <c r="CE97" s="15"/>
      <c r="CF97" s="15"/>
      <c r="CG97" s="15"/>
      <c r="CH97" s="15"/>
      <c r="CI97" s="15"/>
      <c r="CJ97" s="15"/>
      <c r="CK97" s="15"/>
      <c r="CL97" s="15"/>
      <c r="CM97" s="15"/>
      <c r="CN97" s="15"/>
      <c r="CO97" s="15"/>
      <c r="CP97" s="15"/>
      <c r="CQ97" s="15"/>
      <c r="CR97" s="15"/>
      <c r="CS97" s="15"/>
      <c r="CT97" s="15"/>
      <c r="CU97" s="645"/>
      <c r="CV97" s="645"/>
      <c r="CW97" s="645"/>
      <c r="CX97" s="645"/>
      <c r="CY97" s="645"/>
      <c r="CZ97" s="645"/>
      <c r="DA97" s="645"/>
      <c r="DB97" s="645"/>
      <c r="DC97" s="645"/>
      <c r="DD97" s="645"/>
      <c r="DE97" s="645"/>
      <c r="DF97" s="645"/>
      <c r="DG97" s="645"/>
      <c r="DH97" s="645"/>
      <c r="DI97" s="645"/>
      <c r="DJ97" s="645"/>
      <c r="DK97" s="645"/>
      <c r="DL97" s="645"/>
      <c r="DM97" s="645"/>
      <c r="DN97" s="645"/>
      <c r="DO97" s="645"/>
      <c r="DP97" s="645"/>
    </row>
    <row r="98" spans="1:120" s="33" customFormat="1" ht="15" customHeight="1">
      <c r="A98" s="316"/>
      <c r="B98" s="648" t="str">
        <f t="shared" si="58"/>
        <v>City of Melbourne</v>
      </c>
      <c r="C98" s="902" t="str">
        <f t="shared" si="43"/>
        <v>Australia</v>
      </c>
      <c r="D98" s="902" t="str">
        <f t="shared" si="44"/>
        <v>East Asia and Oceania</v>
      </c>
      <c r="E98" s="902" t="str">
        <f t="shared" si="45"/>
        <v xml:space="preserve">Administrative boundary of a local government </v>
      </c>
      <c r="F98" s="643" t="str">
        <f t="shared" si="46"/>
        <v>2013-2014</v>
      </c>
      <c r="G98" s="644" t="str">
        <f t="shared" si="47"/>
        <v>2013-2014</v>
      </c>
      <c r="H98" s="643">
        <f t="shared" si="48"/>
        <v>116431</v>
      </c>
      <c r="I98" s="643">
        <f t="shared" si="49"/>
        <v>37.6</v>
      </c>
      <c r="J98" s="1038">
        <f t="shared" si="50"/>
        <v>67700000000</v>
      </c>
      <c r="K98" s="643" t="s">
        <v>172</v>
      </c>
      <c r="L98" s="643" t="s">
        <v>1556</v>
      </c>
      <c r="M98" s="643" t="s">
        <v>1618</v>
      </c>
      <c r="N98" s="646">
        <f t="shared" si="51"/>
        <v>50.051341400262231</v>
      </c>
      <c r="O98" s="646">
        <f t="shared" si="52"/>
        <v>43.099631651166391</v>
      </c>
      <c r="P98" s="646">
        <f t="shared" si="52"/>
        <v>5.6477992785167039</v>
      </c>
      <c r="Q98" s="646">
        <f t="shared" si="52"/>
        <v>1.3039104705791413</v>
      </c>
      <c r="S98" s="648" t="str">
        <f t="shared" si="53"/>
        <v>City of Melbourne</v>
      </c>
      <c r="T98" s="646">
        <f t="shared" si="60"/>
        <v>3.2320121926778462</v>
      </c>
      <c r="U98" s="646">
        <f t="shared" si="60"/>
        <v>37.399105722946857</v>
      </c>
      <c r="V98" s="646">
        <f t="shared" si="60"/>
        <v>2.4685137355416846</v>
      </c>
      <c r="W98" s="646" t="str">
        <f t="shared" si="60"/>
        <v/>
      </c>
      <c r="X98" s="646" t="str">
        <f t="shared" si="60"/>
        <v/>
      </c>
      <c r="Y98" s="646" t="str">
        <f t="shared" si="60"/>
        <v/>
      </c>
      <c r="Z98" s="646" t="str">
        <f t="shared" si="60"/>
        <v/>
      </c>
      <c r="AA98" s="646" t="str">
        <f t="shared" si="60"/>
        <v/>
      </c>
      <c r="AB98" s="15"/>
      <c r="AC98" s="1041" t="str">
        <f t="shared" si="55"/>
        <v>City of Melbourne</v>
      </c>
      <c r="AD98" s="646">
        <f t="shared" si="56"/>
        <v>3.8475273373689141</v>
      </c>
      <c r="AE98" s="646">
        <f t="shared" si="56"/>
        <v>1.7500248525184727</v>
      </c>
      <c r="AF98" s="646" t="str">
        <f t="shared" si="56"/>
        <v/>
      </c>
      <c r="AG98" s="646" t="str">
        <f t="shared" si="56"/>
        <v/>
      </c>
      <c r="AH98" s="646">
        <f t="shared" si="56"/>
        <v>5.0247088629316941E-2</v>
      </c>
      <c r="AI98" s="15"/>
      <c r="AJ98" s="648" t="str">
        <f t="shared" si="59"/>
        <v>City of Melbourne</v>
      </c>
      <c r="AK98" s="646">
        <f t="shared" si="57"/>
        <v>1.2790201922168496</v>
      </c>
      <c r="AL98" s="646" t="str">
        <f t="shared" si="57"/>
        <v/>
      </c>
      <c r="AM98" s="646" t="str">
        <f t="shared" si="57"/>
        <v/>
      </c>
      <c r="AN98" s="646">
        <f t="shared" si="57"/>
        <v>2.489027836229183E-2</v>
      </c>
      <c r="AO98" s="15"/>
      <c r="AP98" s="15"/>
      <c r="AQ98" s="15"/>
      <c r="AR98" s="15"/>
      <c r="AS98" s="15"/>
      <c r="AT98" s="15"/>
      <c r="AU98" s="15"/>
      <c r="AV98" s="15"/>
      <c r="AW98" s="15"/>
      <c r="AX98" s="15"/>
      <c r="AY98" s="15"/>
      <c r="AZ98" s="15"/>
      <c r="BA98" s="15"/>
      <c r="BB98" s="15"/>
      <c r="BC98" s="15"/>
      <c r="BD98" s="15"/>
      <c r="BE98" s="15"/>
      <c r="BF98" s="15"/>
      <c r="BG98" s="15"/>
      <c r="BH98" s="15"/>
      <c r="BI98" s="15"/>
      <c r="BJ98" s="15"/>
      <c r="BK98" s="15"/>
      <c r="BL98" s="15"/>
      <c r="BM98" s="15"/>
      <c r="BN98" s="15"/>
      <c r="BO98" s="15"/>
      <c r="BP98" s="15"/>
      <c r="BQ98" s="15"/>
      <c r="BR98" s="15"/>
      <c r="BS98" s="15"/>
      <c r="BT98" s="15"/>
      <c r="BU98" s="15"/>
      <c r="BV98" s="15"/>
      <c r="BW98" s="15"/>
      <c r="BX98" s="15"/>
      <c r="BY98" s="15"/>
      <c r="BZ98" s="15"/>
      <c r="CA98" s="15"/>
      <c r="CB98" s="15"/>
      <c r="CC98" s="15"/>
      <c r="CD98" s="15"/>
      <c r="CE98" s="15"/>
      <c r="CF98" s="15"/>
      <c r="CG98" s="15"/>
      <c r="CH98" s="15"/>
      <c r="CI98" s="15"/>
      <c r="CJ98" s="15"/>
      <c r="CK98" s="15"/>
      <c r="CL98" s="15"/>
      <c r="CM98" s="15"/>
      <c r="CN98" s="15"/>
      <c r="CO98" s="15"/>
      <c r="CP98" s="15"/>
      <c r="CQ98" s="15"/>
      <c r="CR98" s="15"/>
      <c r="CS98" s="15"/>
      <c r="CT98" s="15"/>
      <c r="CU98" s="645"/>
      <c r="CV98" s="645"/>
      <c r="CW98" s="645"/>
      <c r="CX98" s="645"/>
      <c r="CY98" s="645"/>
      <c r="CZ98" s="645"/>
      <c r="DA98" s="645"/>
      <c r="DB98" s="645"/>
      <c r="DC98" s="645"/>
      <c r="DD98" s="645"/>
      <c r="DE98" s="645"/>
      <c r="DF98" s="645"/>
      <c r="DG98" s="645"/>
      <c r="DH98" s="645"/>
      <c r="DI98" s="645"/>
      <c r="DJ98" s="645"/>
      <c r="DK98" s="645"/>
      <c r="DL98" s="645"/>
      <c r="DM98" s="645"/>
      <c r="DN98" s="645"/>
      <c r="DO98" s="645"/>
      <c r="DP98" s="645"/>
    </row>
    <row r="99" spans="1:120" s="33" customFormat="1" ht="15" customHeight="1">
      <c r="A99" s="316"/>
      <c r="B99" s="648" t="str">
        <f t="shared" si="58"/>
        <v>Mexico City</v>
      </c>
      <c r="C99" s="902" t="str">
        <f t="shared" si="43"/>
        <v>Mexico</v>
      </c>
      <c r="D99" s="902" t="str">
        <f t="shared" si="44"/>
        <v>Latin America</v>
      </c>
      <c r="E99" s="902" t="str">
        <f t="shared" si="45"/>
        <v>Administrative boundary of a local government .</v>
      </c>
      <c r="F99" s="643">
        <f t="shared" si="46"/>
        <v>2012</v>
      </c>
      <c r="G99" s="644">
        <f t="shared" si="47"/>
        <v>2012</v>
      </c>
      <c r="H99" s="643">
        <f t="shared" si="48"/>
        <v>8911664.7271708604</v>
      </c>
      <c r="I99" s="643">
        <f t="shared" si="49"/>
        <v>1485</v>
      </c>
      <c r="J99" s="1038">
        <f t="shared" si="50"/>
        <v>169784923077</v>
      </c>
      <c r="K99" s="643" t="s">
        <v>172</v>
      </c>
      <c r="L99" s="643" t="s">
        <v>1556</v>
      </c>
      <c r="M99" s="643" t="s">
        <v>1618</v>
      </c>
      <c r="N99" s="646">
        <f t="shared" si="51"/>
        <v>3.385841792188061</v>
      </c>
      <c r="O99" s="646">
        <f t="shared" si="52"/>
        <v>1.3259000016504221</v>
      </c>
      <c r="P99" s="646">
        <f t="shared" si="52"/>
        <v>1.5346394600444666</v>
      </c>
      <c r="Q99" s="646">
        <f t="shared" si="52"/>
        <v>0.52530233049317254</v>
      </c>
      <c r="S99" s="648" t="str">
        <f t="shared" si="53"/>
        <v>Mexico City</v>
      </c>
      <c r="T99" s="646">
        <f t="shared" si="60"/>
        <v>0.44873637165833952</v>
      </c>
      <c r="U99" s="646">
        <f t="shared" si="60"/>
        <v>0.27135849605115375</v>
      </c>
      <c r="V99" s="646">
        <f t="shared" si="60"/>
        <v>0.60231711031236634</v>
      </c>
      <c r="W99" s="646">
        <f t="shared" si="60"/>
        <v>2.6972205471233893E-3</v>
      </c>
      <c r="X99" s="646">
        <f t="shared" si="60"/>
        <v>7.2347559343682952E-4</v>
      </c>
      <c r="Y99" s="646" t="str">
        <f t="shared" si="60"/>
        <v/>
      </c>
      <c r="Z99" s="646" t="str">
        <f t="shared" si="60"/>
        <v/>
      </c>
      <c r="AA99" s="646">
        <f t="shared" si="60"/>
        <v>6.7327488002399179E-5</v>
      </c>
      <c r="AB99" s="15"/>
      <c r="AC99" s="1041" t="str">
        <f t="shared" si="55"/>
        <v>Mexico City</v>
      </c>
      <c r="AD99" s="646">
        <f t="shared" si="56"/>
        <v>1.2891874288929281</v>
      </c>
      <c r="AE99" s="646">
        <f t="shared" si="56"/>
        <v>7.5594294396676684E-2</v>
      </c>
      <c r="AF99" s="646" t="str">
        <f t="shared" si="56"/>
        <v/>
      </c>
      <c r="AG99" s="646">
        <f t="shared" si="56"/>
        <v>0.15692367045705202</v>
      </c>
      <c r="AH99" s="646">
        <f t="shared" si="56"/>
        <v>1.2934066297809473E-2</v>
      </c>
      <c r="AI99" s="15"/>
      <c r="AJ99" s="648" t="str">
        <f t="shared" si="59"/>
        <v>Mexico City</v>
      </c>
      <c r="AK99" s="646">
        <f t="shared" si="57"/>
        <v>0.43157200340737878</v>
      </c>
      <c r="AL99" s="646">
        <f t="shared" si="57"/>
        <v>1.8537032985131596E-2</v>
      </c>
      <c r="AM99" s="646" t="str">
        <f t="shared" si="57"/>
        <v/>
      </c>
      <c r="AN99" s="646">
        <f t="shared" si="57"/>
        <v>7.5193294100662098E-2</v>
      </c>
      <c r="AO99" s="15"/>
      <c r="AP99" s="15"/>
      <c r="AQ99" s="15"/>
      <c r="AR99" s="15"/>
      <c r="AS99" s="15"/>
      <c r="AT99" s="15"/>
      <c r="AU99" s="15"/>
      <c r="AV99" s="15"/>
      <c r="AW99" s="15"/>
      <c r="AX99" s="15"/>
      <c r="AY99" s="15"/>
      <c r="AZ99" s="15"/>
      <c r="BA99" s="15"/>
      <c r="BB99" s="15"/>
      <c r="BC99" s="15"/>
      <c r="BD99" s="15"/>
      <c r="BE99" s="15"/>
      <c r="BF99" s="15"/>
      <c r="BG99" s="15"/>
      <c r="BH99" s="15"/>
      <c r="BI99" s="15"/>
      <c r="BJ99" s="15"/>
      <c r="BK99" s="15"/>
      <c r="BL99" s="15"/>
      <c r="BM99" s="15"/>
      <c r="BN99" s="15"/>
      <c r="BO99" s="15"/>
      <c r="BP99" s="15"/>
      <c r="BQ99" s="15"/>
      <c r="BR99" s="15"/>
      <c r="BS99" s="15"/>
      <c r="BT99" s="15"/>
      <c r="BU99" s="15"/>
      <c r="BV99" s="15"/>
      <c r="BW99" s="15"/>
      <c r="BX99" s="15"/>
      <c r="BY99" s="15"/>
      <c r="BZ99" s="15"/>
      <c r="CA99" s="15"/>
      <c r="CB99" s="15"/>
      <c r="CC99" s="15"/>
      <c r="CD99" s="15"/>
      <c r="CE99" s="15"/>
      <c r="CF99" s="15"/>
      <c r="CG99" s="15"/>
      <c r="CH99" s="15"/>
      <c r="CI99" s="15"/>
      <c r="CJ99" s="15"/>
      <c r="CK99" s="15"/>
      <c r="CL99" s="15"/>
      <c r="CM99" s="15"/>
      <c r="CN99" s="15"/>
      <c r="CO99" s="15"/>
      <c r="CP99" s="15"/>
      <c r="CQ99" s="15"/>
      <c r="CR99" s="15"/>
      <c r="CS99" s="15"/>
      <c r="CT99" s="15"/>
      <c r="CU99" s="645"/>
      <c r="CV99" s="645"/>
      <c r="CW99" s="645"/>
      <c r="CX99" s="645"/>
      <c r="CY99" s="645"/>
      <c r="CZ99" s="645"/>
      <c r="DA99" s="645"/>
      <c r="DB99" s="645"/>
      <c r="DC99" s="645"/>
      <c r="DD99" s="645"/>
      <c r="DE99" s="645"/>
      <c r="DF99" s="645"/>
      <c r="DG99" s="645"/>
      <c r="DH99" s="645"/>
      <c r="DI99" s="645"/>
      <c r="DJ99" s="645"/>
      <c r="DK99" s="645"/>
      <c r="DL99" s="645"/>
      <c r="DM99" s="645"/>
      <c r="DN99" s="645"/>
      <c r="DO99" s="645"/>
      <c r="DP99" s="645"/>
    </row>
    <row r="100" spans="1:120" s="33" customFormat="1" ht="15" customHeight="1">
      <c r="A100" s="316"/>
      <c r="B100" s="648" t="str">
        <f t="shared" si="58"/>
        <v>New York City</v>
      </c>
      <c r="C100" s="902" t="str">
        <f t="shared" si="43"/>
        <v>USA</v>
      </c>
      <c r="D100" s="902" t="str">
        <f t="shared" si="44"/>
        <v>North America</v>
      </c>
      <c r="E100" s="902" t="str">
        <f t="shared" si="45"/>
        <v xml:space="preserve">Administrative boundary of a local government </v>
      </c>
      <c r="F100" s="643">
        <f t="shared" si="46"/>
        <v>2014</v>
      </c>
      <c r="G100" s="644">
        <f t="shared" si="47"/>
        <v>2014</v>
      </c>
      <c r="H100" s="643">
        <f t="shared" si="48"/>
        <v>8491079</v>
      </c>
      <c r="I100" s="643">
        <f t="shared" si="49"/>
        <v>783.8</v>
      </c>
      <c r="J100" s="1038">
        <f t="shared" si="50"/>
        <v>778000000000</v>
      </c>
      <c r="K100" s="643" t="s">
        <v>172</v>
      </c>
      <c r="L100" s="643" t="s">
        <v>1556</v>
      </c>
      <c r="M100" s="643" t="s">
        <v>1618</v>
      </c>
      <c r="N100" s="646">
        <f t="shared" si="51"/>
        <v>6.0429279353559844</v>
      </c>
      <c r="O100" s="646">
        <f t="shared" si="52"/>
        <v>4.3347853230698865</v>
      </c>
      <c r="P100" s="646">
        <f t="shared" si="52"/>
        <v>1.3919371161086995</v>
      </c>
      <c r="Q100" s="646">
        <f t="shared" si="52"/>
        <v>0.31620549617739863</v>
      </c>
      <c r="S100" s="648" t="str">
        <f t="shared" si="53"/>
        <v>New York City</v>
      </c>
      <c r="T100" s="646">
        <f t="shared" si="60"/>
        <v>2.0517584756326395</v>
      </c>
      <c r="U100" s="646">
        <f t="shared" si="60"/>
        <v>1.7306861975510597</v>
      </c>
      <c r="V100" s="646">
        <f t="shared" si="60"/>
        <v>0.52632988356531607</v>
      </c>
      <c r="W100" s="646" t="str">
        <f t="shared" si="60"/>
        <v/>
      </c>
      <c r="X100" s="646" t="str">
        <f t="shared" si="60"/>
        <v/>
      </c>
      <c r="Y100" s="646" t="str">
        <f t="shared" si="60"/>
        <v/>
      </c>
      <c r="Z100" s="646" t="str">
        <f t="shared" si="60"/>
        <v/>
      </c>
      <c r="AA100" s="646">
        <f t="shared" si="60"/>
        <v>2.6010766320871622E-2</v>
      </c>
      <c r="AB100" s="15"/>
      <c r="AC100" s="1041" t="str">
        <f t="shared" si="55"/>
        <v>New York City</v>
      </c>
      <c r="AD100" s="646">
        <f t="shared" si="56"/>
        <v>1.2848491500683188</v>
      </c>
      <c r="AE100" s="646">
        <f t="shared" si="56"/>
        <v>0.10235904522667788</v>
      </c>
      <c r="AF100" s="646">
        <f t="shared" si="56"/>
        <v>4.4535703231917603E-3</v>
      </c>
      <c r="AG100" s="646">
        <f t="shared" si="56"/>
        <v>2.7535049051095097E-4</v>
      </c>
      <c r="AH100" s="646" t="str">
        <f t="shared" si="56"/>
        <v/>
      </c>
      <c r="AI100" s="15"/>
      <c r="AJ100" s="648" t="str">
        <f t="shared" si="59"/>
        <v>New York City</v>
      </c>
      <c r="AK100" s="646">
        <f t="shared" si="57"/>
        <v>0.27147423299258933</v>
      </c>
      <c r="AL100" s="646" t="str">
        <f t="shared" si="57"/>
        <v/>
      </c>
      <c r="AM100" s="646">
        <f t="shared" si="57"/>
        <v>1.9132960443108759E-2</v>
      </c>
      <c r="AN100" s="646">
        <f t="shared" si="57"/>
        <v>2.55983027417006E-2</v>
      </c>
      <c r="AO100" s="15"/>
      <c r="AP100" s="15"/>
      <c r="AQ100" s="15"/>
      <c r="AR100" s="15"/>
      <c r="AS100" s="15"/>
      <c r="AT100" s="15"/>
      <c r="AU100" s="15"/>
      <c r="AV100" s="15"/>
      <c r="AW100" s="15"/>
      <c r="AX100" s="15"/>
      <c r="AY100" s="15"/>
      <c r="AZ100" s="15"/>
      <c r="BA100" s="15"/>
      <c r="BB100" s="15"/>
      <c r="BC100" s="15"/>
      <c r="BD100" s="15"/>
      <c r="BE100" s="15"/>
      <c r="BF100" s="15"/>
      <c r="BG100" s="15"/>
      <c r="BH100" s="15"/>
      <c r="BI100" s="15"/>
      <c r="BJ100" s="15"/>
      <c r="BK100" s="15"/>
      <c r="BL100" s="15"/>
      <c r="BM100" s="15"/>
      <c r="BN100" s="15"/>
      <c r="BO100" s="15"/>
      <c r="BP100" s="15"/>
      <c r="BQ100" s="15"/>
      <c r="BR100" s="15"/>
      <c r="BS100" s="15"/>
      <c r="BT100" s="15"/>
      <c r="BU100" s="15"/>
      <c r="BV100" s="15"/>
      <c r="BW100" s="15"/>
      <c r="BX100" s="15"/>
      <c r="BY100" s="15"/>
      <c r="BZ100" s="15"/>
      <c r="CA100" s="15"/>
      <c r="CB100" s="15"/>
      <c r="CC100" s="15"/>
      <c r="CD100" s="15"/>
      <c r="CE100" s="15"/>
      <c r="CF100" s="15"/>
      <c r="CG100" s="15"/>
      <c r="CH100" s="15"/>
      <c r="CI100" s="15"/>
      <c r="CJ100" s="15"/>
      <c r="CK100" s="15"/>
      <c r="CL100" s="15"/>
      <c r="CM100" s="15"/>
      <c r="CN100" s="15"/>
      <c r="CO100" s="15"/>
      <c r="CP100" s="15"/>
      <c r="CQ100" s="15"/>
      <c r="CR100" s="15"/>
      <c r="CS100" s="15"/>
      <c r="CT100" s="15"/>
      <c r="CU100" s="645"/>
      <c r="CV100" s="645"/>
      <c r="CW100" s="645"/>
      <c r="CX100" s="645"/>
      <c r="CY100" s="645"/>
      <c r="CZ100" s="645"/>
      <c r="DA100" s="645"/>
      <c r="DB100" s="645"/>
      <c r="DC100" s="645"/>
      <c r="DD100" s="645"/>
      <c r="DE100" s="645"/>
      <c r="DF100" s="645"/>
      <c r="DG100" s="645"/>
      <c r="DH100" s="645"/>
      <c r="DI100" s="645"/>
      <c r="DJ100" s="645"/>
      <c r="DK100" s="645"/>
      <c r="DL100" s="645"/>
      <c r="DM100" s="645"/>
      <c r="DN100" s="645"/>
      <c r="DO100" s="645"/>
      <c r="DP100" s="645"/>
    </row>
    <row r="101" spans="1:120" s="33" customFormat="1" ht="15" customHeight="1">
      <c r="A101" s="316"/>
      <c r="B101" s="648" t="str">
        <f t="shared" si="58"/>
        <v>Stockholm</v>
      </c>
      <c r="C101" s="902" t="str">
        <f t="shared" si="43"/>
        <v>Sweden</v>
      </c>
      <c r="D101" s="902" t="str">
        <f t="shared" si="44"/>
        <v>Europe</v>
      </c>
      <c r="E101" s="902" t="str">
        <f t="shared" si="45"/>
        <v xml:space="preserve">Administrative boundary of a local government </v>
      </c>
      <c r="F101" s="643">
        <f t="shared" si="46"/>
        <v>2012</v>
      </c>
      <c r="G101" s="644">
        <f t="shared" si="47"/>
        <v>2012</v>
      </c>
      <c r="H101" s="643">
        <f t="shared" si="48"/>
        <v>881235</v>
      </c>
      <c r="I101" s="643">
        <f t="shared" si="49"/>
        <v>216</v>
      </c>
      <c r="J101" s="1038">
        <f t="shared" si="50"/>
        <v>416797000000</v>
      </c>
      <c r="K101" s="643" t="s">
        <v>172</v>
      </c>
      <c r="L101" s="643" t="s">
        <v>1556</v>
      </c>
      <c r="M101" s="643" t="s">
        <v>1618</v>
      </c>
      <c r="N101" s="646">
        <f t="shared" ref="N101:N112" si="61">SUM(O101:Q101)</f>
        <v>2.4323153051002286</v>
      </c>
      <c r="O101" s="646">
        <f t="shared" si="52"/>
        <v>1.385339228469137</v>
      </c>
      <c r="P101" s="646">
        <f t="shared" si="52"/>
        <v>1.0381664652447984</v>
      </c>
      <c r="Q101" s="646">
        <f t="shared" si="52"/>
        <v>8.8096113862931001E-3</v>
      </c>
      <c r="S101" s="648" t="str">
        <f t="shared" si="53"/>
        <v>Stockholm</v>
      </c>
      <c r="T101" s="646">
        <f t="shared" si="60"/>
        <v>0.78783293440455737</v>
      </c>
      <c r="U101" s="646">
        <f t="shared" si="60"/>
        <v>0.54015979908877876</v>
      </c>
      <c r="V101" s="646">
        <f t="shared" si="60"/>
        <v>5.7309047529887032E-2</v>
      </c>
      <c r="W101" s="646" t="str">
        <f t="shared" si="60"/>
        <v/>
      </c>
      <c r="X101" s="646" t="str">
        <f t="shared" si="60"/>
        <v/>
      </c>
      <c r="Y101" s="646" t="str">
        <f t="shared" si="60"/>
        <v/>
      </c>
      <c r="Z101" s="646" t="str">
        <f t="shared" si="60"/>
        <v/>
      </c>
      <c r="AA101" s="646">
        <f t="shared" si="60"/>
        <v>3.7447445913973005E-5</v>
      </c>
      <c r="AB101" s="15"/>
      <c r="AC101" s="1041" t="str">
        <f t="shared" si="55"/>
        <v>Stockholm</v>
      </c>
      <c r="AD101" s="646">
        <f t="shared" si="56"/>
        <v>0.73576060869121174</v>
      </c>
      <c r="AE101" s="646">
        <f t="shared" si="56"/>
        <v>3.7663761652680615E-2</v>
      </c>
      <c r="AF101" s="646">
        <f t="shared" si="56"/>
        <v>0.10439894012380353</v>
      </c>
      <c r="AG101" s="646">
        <f t="shared" si="56"/>
        <v>2.2581944657214022E-2</v>
      </c>
      <c r="AH101" s="646">
        <f t="shared" si="56"/>
        <v>0.13776121011988857</v>
      </c>
      <c r="AI101" s="15"/>
      <c r="AJ101" s="648" t="str">
        <f t="shared" si="59"/>
        <v>Stockholm</v>
      </c>
      <c r="AK101" s="646" t="str">
        <f t="shared" si="57"/>
        <v/>
      </c>
      <c r="AL101" s="646" t="str">
        <f t="shared" si="57"/>
        <v/>
      </c>
      <c r="AM101" s="646" t="str">
        <f t="shared" si="57"/>
        <v/>
      </c>
      <c r="AN101" s="646">
        <f t="shared" si="57"/>
        <v>8.8096113862931001E-3</v>
      </c>
      <c r="AO101" s="15"/>
      <c r="AP101" s="15"/>
      <c r="AQ101" s="15"/>
      <c r="AR101" s="15"/>
      <c r="AS101" s="15"/>
      <c r="AT101" s="15"/>
      <c r="AU101" s="15"/>
      <c r="AV101" s="15"/>
      <c r="AW101" s="15"/>
      <c r="AX101" s="15"/>
      <c r="AY101" s="15"/>
      <c r="AZ101" s="15"/>
      <c r="BA101" s="15"/>
      <c r="BB101" s="15"/>
      <c r="BC101" s="15"/>
      <c r="BD101" s="15"/>
      <c r="BE101" s="15"/>
      <c r="BF101" s="15"/>
      <c r="BG101" s="15"/>
      <c r="BH101" s="15"/>
      <c r="BI101" s="15"/>
      <c r="BJ101" s="15"/>
      <c r="BK101" s="15"/>
      <c r="BL101" s="15"/>
      <c r="BM101" s="15"/>
      <c r="BN101" s="15"/>
      <c r="BO101" s="15"/>
      <c r="BP101" s="15"/>
      <c r="BQ101" s="15"/>
      <c r="BR101" s="15"/>
      <c r="BS101" s="15"/>
      <c r="BT101" s="15"/>
      <c r="BU101" s="15"/>
      <c r="BV101" s="15"/>
      <c r="BW101" s="15"/>
      <c r="BX101" s="15"/>
      <c r="BY101" s="15"/>
      <c r="BZ101" s="15"/>
      <c r="CA101" s="15"/>
      <c r="CB101" s="15"/>
      <c r="CC101" s="15"/>
      <c r="CD101" s="15"/>
      <c r="CE101" s="15"/>
      <c r="CF101" s="15"/>
      <c r="CG101" s="15"/>
      <c r="CH101" s="15"/>
      <c r="CI101" s="15"/>
      <c r="CJ101" s="15"/>
      <c r="CK101" s="15"/>
      <c r="CL101" s="15"/>
      <c r="CM101" s="15"/>
      <c r="CN101" s="15"/>
      <c r="CO101" s="15"/>
      <c r="CP101" s="15"/>
      <c r="CQ101" s="15"/>
      <c r="CR101" s="15"/>
      <c r="CS101" s="15"/>
      <c r="CT101" s="15"/>
      <c r="CU101" s="645"/>
      <c r="CV101" s="645"/>
      <c r="CW101" s="645"/>
      <c r="CX101" s="645"/>
      <c r="CY101" s="645"/>
      <c r="CZ101" s="645"/>
      <c r="DA101" s="645"/>
      <c r="DB101" s="645"/>
      <c r="DC101" s="645"/>
      <c r="DD101" s="645"/>
      <c r="DE101" s="645"/>
      <c r="DF101" s="645"/>
      <c r="DG101" s="645"/>
      <c r="DH101" s="645"/>
      <c r="DI101" s="645"/>
      <c r="DJ101" s="645"/>
      <c r="DK101" s="645"/>
      <c r="DL101" s="645"/>
      <c r="DM101" s="645"/>
      <c r="DN101" s="645"/>
      <c r="DO101" s="645"/>
      <c r="DP101" s="645"/>
    </row>
    <row r="102" spans="1:120" s="33" customFormat="1" ht="15" customHeight="1">
      <c r="A102" s="316"/>
      <c r="B102" s="648" t="str">
        <f t="shared" si="58"/>
        <v>Oslo</v>
      </c>
      <c r="C102" s="902" t="str">
        <f t="shared" si="43"/>
        <v>Norway</v>
      </c>
      <c r="D102" s="902" t="str">
        <f t="shared" si="44"/>
        <v>Europe</v>
      </c>
      <c r="E102" s="902" t="str">
        <f t="shared" si="45"/>
        <v xml:space="preserve">Administrative boundary of a local government </v>
      </c>
      <c r="F102" s="643">
        <f t="shared" si="46"/>
        <v>2013</v>
      </c>
      <c r="G102" s="644">
        <f t="shared" si="47"/>
        <v>2013</v>
      </c>
      <c r="H102" s="643">
        <f t="shared" si="48"/>
        <v>623966</v>
      </c>
      <c r="I102" s="643">
        <f t="shared" si="49"/>
        <v>454</v>
      </c>
      <c r="J102" s="1038">
        <f t="shared" si="50"/>
        <v>54510377469</v>
      </c>
      <c r="K102" s="643" t="s">
        <v>172</v>
      </c>
      <c r="L102" s="643" t="s">
        <v>1556</v>
      </c>
      <c r="M102" s="643" t="s">
        <v>1618</v>
      </c>
      <c r="N102" s="646">
        <f t="shared" si="61"/>
        <v>2.1482297251500881</v>
      </c>
      <c r="O102" s="646">
        <f t="shared" si="52"/>
        <v>0.81414692383559362</v>
      </c>
      <c r="P102" s="646">
        <f t="shared" si="52"/>
        <v>1.2468515867931904</v>
      </c>
      <c r="Q102" s="646">
        <f t="shared" si="52"/>
        <v>8.7231214521304043E-2</v>
      </c>
      <c r="S102" s="648" t="str">
        <f t="shared" si="53"/>
        <v>Oslo</v>
      </c>
      <c r="T102" s="646">
        <f t="shared" si="60"/>
        <v>0.51644251267537022</v>
      </c>
      <c r="U102" s="646">
        <f t="shared" si="60"/>
        <v>0.2592407785905001</v>
      </c>
      <c r="V102" s="646">
        <f t="shared" si="60"/>
        <v>3.8463632569723349E-2</v>
      </c>
      <c r="W102" s="646" t="str">
        <f t="shared" si="60"/>
        <v/>
      </c>
      <c r="X102" s="646" t="str">
        <f t="shared" si="60"/>
        <v/>
      </c>
      <c r="Y102" s="646" t="str">
        <f t="shared" si="60"/>
        <v/>
      </c>
      <c r="Z102" s="646" t="str">
        <f t="shared" si="60"/>
        <v/>
      </c>
      <c r="AA102" s="646" t="str">
        <f t="shared" si="60"/>
        <v/>
      </c>
      <c r="AB102" s="15"/>
      <c r="AC102" s="1041" t="str">
        <f t="shared" si="55"/>
        <v>Oslo</v>
      </c>
      <c r="AD102" s="646">
        <f t="shared" si="56"/>
        <v>0.79812041040697734</v>
      </c>
      <c r="AE102" s="646" t="str">
        <f t="shared" si="56"/>
        <v/>
      </c>
      <c r="AF102" s="646">
        <f t="shared" si="56"/>
        <v>5.6081577167666187E-2</v>
      </c>
      <c r="AG102" s="646" t="str">
        <f t="shared" si="56"/>
        <v/>
      </c>
      <c r="AH102" s="646">
        <f t="shared" si="56"/>
        <v>0.3926495992185472</v>
      </c>
      <c r="AI102" s="15"/>
      <c r="AJ102" s="648" t="str">
        <f t="shared" si="59"/>
        <v>Oslo</v>
      </c>
      <c r="AK102" s="646">
        <f t="shared" si="57"/>
        <v>2.5642422824320554E-2</v>
      </c>
      <c r="AL102" s="646">
        <f t="shared" si="57"/>
        <v>1.5111900327902482E-2</v>
      </c>
      <c r="AM102" s="646" t="str">
        <f t="shared" si="57"/>
        <v/>
      </c>
      <c r="AN102" s="646">
        <f t="shared" si="57"/>
        <v>4.6476891369081008E-2</v>
      </c>
      <c r="AO102" s="15"/>
      <c r="AP102" s="15"/>
      <c r="AQ102" s="15"/>
      <c r="AR102" s="15"/>
      <c r="AS102" s="15"/>
      <c r="AT102" s="15"/>
      <c r="AU102" s="15"/>
      <c r="AV102" s="15"/>
      <c r="AW102" s="15"/>
      <c r="AX102" s="15"/>
      <c r="AY102" s="15"/>
      <c r="AZ102" s="15"/>
      <c r="BA102" s="15"/>
      <c r="BB102" s="15"/>
      <c r="BC102" s="15"/>
      <c r="BD102" s="15"/>
      <c r="BE102" s="15"/>
      <c r="BF102" s="15"/>
      <c r="BG102" s="15"/>
      <c r="BH102" s="15"/>
      <c r="BI102" s="15"/>
      <c r="BJ102" s="15"/>
      <c r="BK102" s="15"/>
      <c r="BL102" s="15"/>
      <c r="BM102" s="15"/>
      <c r="BN102" s="15"/>
      <c r="BO102" s="15"/>
      <c r="BP102" s="15"/>
      <c r="BQ102" s="15"/>
      <c r="BR102" s="15"/>
      <c r="BS102" s="15"/>
      <c r="BT102" s="15"/>
      <c r="BU102" s="15"/>
      <c r="BV102" s="15"/>
      <c r="BW102" s="15"/>
      <c r="BX102" s="15"/>
      <c r="BY102" s="15"/>
      <c r="BZ102" s="15"/>
      <c r="CA102" s="15"/>
      <c r="CB102" s="15"/>
      <c r="CC102" s="15"/>
      <c r="CD102" s="15"/>
      <c r="CE102" s="15"/>
      <c r="CF102" s="15"/>
      <c r="CG102" s="15"/>
      <c r="CH102" s="15"/>
      <c r="CI102" s="15"/>
      <c r="CJ102" s="15"/>
      <c r="CK102" s="15"/>
      <c r="CL102" s="15"/>
      <c r="CM102" s="15"/>
      <c r="CN102" s="15"/>
      <c r="CO102" s="15"/>
      <c r="CP102" s="15"/>
      <c r="CQ102" s="15"/>
      <c r="CR102" s="15"/>
      <c r="CS102" s="15"/>
      <c r="CT102" s="15"/>
      <c r="CU102" s="645"/>
      <c r="CV102" s="645"/>
      <c r="CW102" s="645"/>
      <c r="CX102" s="645"/>
      <c r="CY102" s="645"/>
      <c r="CZ102" s="645"/>
      <c r="DA102" s="645"/>
      <c r="DB102" s="645"/>
      <c r="DC102" s="645"/>
      <c r="DD102" s="645"/>
      <c r="DE102" s="645"/>
      <c r="DF102" s="645"/>
      <c r="DG102" s="645"/>
      <c r="DH102" s="645"/>
      <c r="DI102" s="645"/>
      <c r="DJ102" s="645"/>
      <c r="DK102" s="645"/>
      <c r="DL102" s="645"/>
      <c r="DM102" s="645"/>
      <c r="DN102" s="645"/>
      <c r="DO102" s="645"/>
      <c r="DP102" s="645"/>
    </row>
    <row r="103" spans="1:120" s="33" customFormat="1" ht="15" customHeight="1">
      <c r="A103" s="316"/>
      <c r="B103" s="648" t="str">
        <f t="shared" si="58"/>
        <v>Paris</v>
      </c>
      <c r="C103" s="902" t="str">
        <f t="shared" si="43"/>
        <v>France</v>
      </c>
      <c r="D103" s="902" t="str">
        <f t="shared" si="44"/>
        <v>Europe</v>
      </c>
      <c r="E103" s="902" t="str">
        <f t="shared" si="45"/>
        <v xml:space="preserve">Administrative boundary of a local government </v>
      </c>
      <c r="F103" s="643">
        <f t="shared" si="46"/>
        <v>2009</v>
      </c>
      <c r="G103" s="644">
        <f t="shared" si="47"/>
        <v>2009</v>
      </c>
      <c r="H103" s="643">
        <f t="shared" si="48"/>
        <v>2270000</v>
      </c>
      <c r="I103" s="643">
        <f t="shared" si="49"/>
        <v>105</v>
      </c>
      <c r="J103" s="1038">
        <f t="shared" si="50"/>
        <v>715000000000</v>
      </c>
      <c r="K103" s="643" t="s">
        <v>172</v>
      </c>
      <c r="L103" s="643" t="s">
        <v>1556</v>
      </c>
      <c r="M103" s="643" t="s">
        <v>1618</v>
      </c>
      <c r="N103" s="646">
        <f t="shared" si="61"/>
        <v>2.7269554126581501</v>
      </c>
      <c r="O103" s="646">
        <f t="shared" si="52"/>
        <v>2.0636146108663733</v>
      </c>
      <c r="P103" s="646">
        <f t="shared" si="52"/>
        <v>0.45738601437973553</v>
      </c>
      <c r="Q103" s="646">
        <f t="shared" si="52"/>
        <v>0.20595478741204118</v>
      </c>
      <c r="S103" s="648" t="str">
        <f t="shared" si="53"/>
        <v>Paris</v>
      </c>
      <c r="T103" s="646">
        <f t="shared" si="60"/>
        <v>1.0101417474302496</v>
      </c>
      <c r="U103" s="646">
        <f t="shared" si="60"/>
        <v>1.0534728634361235</v>
      </c>
      <c r="V103" s="646" t="str">
        <f t="shared" si="60"/>
        <v/>
      </c>
      <c r="W103" s="646" t="str">
        <f t="shared" si="60"/>
        <v/>
      </c>
      <c r="X103" s="646" t="str">
        <f t="shared" si="60"/>
        <v/>
      </c>
      <c r="Y103" s="646" t="str">
        <f t="shared" si="60"/>
        <v/>
      </c>
      <c r="Z103" s="646" t="str">
        <f t="shared" si="60"/>
        <v/>
      </c>
      <c r="AA103" s="646" t="str">
        <f t="shared" si="60"/>
        <v/>
      </c>
      <c r="AB103" s="15"/>
      <c r="AC103" s="1041" t="str">
        <f t="shared" si="55"/>
        <v>Paris</v>
      </c>
      <c r="AD103" s="646">
        <f t="shared" si="56"/>
        <v>0.35468546225051389</v>
      </c>
      <c r="AE103" s="646">
        <f t="shared" si="56"/>
        <v>0.10052032305433177</v>
      </c>
      <c r="AF103" s="646" t="str">
        <f t="shared" si="56"/>
        <v/>
      </c>
      <c r="AG103" s="646">
        <f t="shared" si="56"/>
        <v>2.1802290748898683E-3</v>
      </c>
      <c r="AH103" s="646" t="str">
        <f t="shared" si="56"/>
        <v/>
      </c>
      <c r="AI103" s="15"/>
      <c r="AJ103" s="648" t="str">
        <f t="shared" si="59"/>
        <v>Paris</v>
      </c>
      <c r="AK103" s="646">
        <f t="shared" si="57"/>
        <v>2.5895715418502205E-2</v>
      </c>
      <c r="AL103" s="646">
        <f t="shared" si="57"/>
        <v>1.9495729480176207E-3</v>
      </c>
      <c r="AM103" s="646">
        <f t="shared" si="57"/>
        <v>0.17779713671071959</v>
      </c>
      <c r="AN103" s="646">
        <f t="shared" si="57"/>
        <v>3.1236233480176211E-4</v>
      </c>
      <c r="AO103" s="15"/>
      <c r="AP103" s="15"/>
      <c r="AQ103" s="15"/>
      <c r="AR103" s="15"/>
      <c r="AS103" s="15"/>
      <c r="AT103" s="15"/>
      <c r="AU103" s="15"/>
      <c r="AV103" s="15"/>
      <c r="AW103" s="15"/>
      <c r="AX103" s="15"/>
      <c r="AY103" s="15"/>
      <c r="AZ103" s="15"/>
      <c r="BA103" s="15"/>
      <c r="BB103" s="15"/>
      <c r="BC103" s="15"/>
      <c r="BD103" s="15"/>
      <c r="BE103" s="15"/>
      <c r="BF103" s="15"/>
      <c r="BG103" s="15"/>
      <c r="BH103" s="15"/>
      <c r="BI103" s="15"/>
      <c r="BJ103" s="15"/>
      <c r="BK103" s="15"/>
      <c r="BL103" s="15"/>
      <c r="BM103" s="15"/>
      <c r="BN103" s="15"/>
      <c r="BO103" s="15"/>
      <c r="BP103" s="15"/>
      <c r="BQ103" s="15"/>
      <c r="BR103" s="15"/>
      <c r="BS103" s="15"/>
      <c r="BT103" s="15"/>
      <c r="BU103" s="15"/>
      <c r="BV103" s="15"/>
      <c r="BW103" s="15"/>
      <c r="BX103" s="15"/>
      <c r="BY103" s="15"/>
      <c r="BZ103" s="15"/>
      <c r="CA103" s="15"/>
      <c r="CB103" s="15"/>
      <c r="CC103" s="15"/>
      <c r="CD103" s="15"/>
      <c r="CE103" s="15"/>
      <c r="CF103" s="15"/>
      <c r="CG103" s="15"/>
      <c r="CH103" s="15"/>
      <c r="CI103" s="15"/>
      <c r="CJ103" s="15"/>
      <c r="CK103" s="15"/>
      <c r="CL103" s="15"/>
      <c r="CM103" s="15"/>
      <c r="CN103" s="15"/>
      <c r="CO103" s="15"/>
      <c r="CP103" s="15"/>
      <c r="CQ103" s="15"/>
      <c r="CR103" s="15"/>
      <c r="CS103" s="15"/>
      <c r="CT103" s="15"/>
      <c r="CU103" s="645"/>
      <c r="CV103" s="645"/>
      <c r="CW103" s="645"/>
      <c r="CX103" s="645"/>
      <c r="CY103" s="645"/>
      <c r="CZ103" s="645"/>
      <c r="DA103" s="645"/>
      <c r="DB103" s="645"/>
      <c r="DC103" s="645"/>
      <c r="DD103" s="645"/>
      <c r="DE103" s="645"/>
      <c r="DF103" s="645"/>
      <c r="DG103" s="645"/>
      <c r="DH103" s="645"/>
      <c r="DI103" s="645"/>
      <c r="DJ103" s="645"/>
      <c r="DK103" s="645"/>
      <c r="DL103" s="645"/>
      <c r="DM103" s="645"/>
      <c r="DN103" s="645"/>
      <c r="DO103" s="645"/>
      <c r="DP103" s="645"/>
    </row>
    <row r="104" spans="1:120" s="33" customFormat="1" ht="15" customHeight="1">
      <c r="A104" s="316"/>
      <c r="B104" s="648" t="str">
        <f t="shared" si="58"/>
        <v>Philadelphia</v>
      </c>
      <c r="C104" s="902" t="str">
        <f t="shared" si="43"/>
        <v>USA</v>
      </c>
      <c r="D104" s="902" t="str">
        <f t="shared" si="44"/>
        <v>North America</v>
      </c>
      <c r="E104" s="902" t="str">
        <f t="shared" si="45"/>
        <v xml:space="preserve">Administrative boundary of a local government </v>
      </c>
      <c r="F104" s="643">
        <f t="shared" si="46"/>
        <v>2012</v>
      </c>
      <c r="G104" s="644">
        <f t="shared" si="47"/>
        <v>2012</v>
      </c>
      <c r="H104" s="643">
        <f t="shared" si="48"/>
        <v>1547607</v>
      </c>
      <c r="I104" s="643">
        <f t="shared" si="49"/>
        <v>347.31741</v>
      </c>
      <c r="J104" s="1038">
        <f t="shared" si="50"/>
        <v>367916000000</v>
      </c>
      <c r="K104" s="643" t="s">
        <v>172</v>
      </c>
      <c r="L104" s="643" t="s">
        <v>1556</v>
      </c>
      <c r="M104" s="643" t="s">
        <v>1618</v>
      </c>
      <c r="N104" s="646">
        <f t="shared" si="61"/>
        <v>11.94612857381445</v>
      </c>
      <c r="O104" s="646">
        <f t="shared" si="52"/>
        <v>8.7183043296826792</v>
      </c>
      <c r="P104" s="646">
        <f t="shared" si="52"/>
        <v>2.1286654156797207</v>
      </c>
      <c r="Q104" s="646">
        <f t="shared" si="52"/>
        <v>1.0991588284520495</v>
      </c>
      <c r="S104" s="648" t="str">
        <f t="shared" si="53"/>
        <v>Philadelphia</v>
      </c>
      <c r="T104" s="646">
        <f t="shared" si="60"/>
        <v>2.3835563208866888</v>
      </c>
      <c r="U104" s="646">
        <f t="shared" si="60"/>
        <v>4.2679422887391532</v>
      </c>
      <c r="V104" s="646">
        <f t="shared" si="60"/>
        <v>1.7520630237521542</v>
      </c>
      <c r="W104" s="646" t="str">
        <f t="shared" si="60"/>
        <v/>
      </c>
      <c r="X104" s="646" t="str">
        <f t="shared" si="60"/>
        <v/>
      </c>
      <c r="Y104" s="646" t="str">
        <f t="shared" si="60"/>
        <v/>
      </c>
      <c r="Z104" s="646" t="str">
        <f t="shared" si="60"/>
        <v/>
      </c>
      <c r="AA104" s="646">
        <f t="shared" si="60"/>
        <v>0.31474269630468199</v>
      </c>
      <c r="AB104" s="15"/>
      <c r="AC104" s="1041" t="str">
        <f t="shared" si="55"/>
        <v>Philadelphia</v>
      </c>
      <c r="AD104" s="646">
        <f t="shared" si="56"/>
        <v>1.9165443423298034</v>
      </c>
      <c r="AE104" s="646">
        <f t="shared" si="56"/>
        <v>0.21212107334991737</v>
      </c>
      <c r="AF104" s="646" t="str">
        <f t="shared" si="56"/>
        <v/>
      </c>
      <c r="AG104" s="646" t="str">
        <f t="shared" si="56"/>
        <v/>
      </c>
      <c r="AH104" s="646" t="str">
        <f t="shared" si="56"/>
        <v/>
      </c>
      <c r="AI104" s="15"/>
      <c r="AJ104" s="648" t="str">
        <f t="shared" si="59"/>
        <v>Philadelphia</v>
      </c>
      <c r="AK104" s="646">
        <f t="shared" si="57"/>
        <v>0.93976760323516839</v>
      </c>
      <c r="AL104" s="646" t="str">
        <f t="shared" si="57"/>
        <v/>
      </c>
      <c r="AM104" s="646">
        <f t="shared" si="57"/>
        <v>0.14002132058346972</v>
      </c>
      <c r="AN104" s="646">
        <f t="shared" si="57"/>
        <v>1.9369904633411456E-2</v>
      </c>
      <c r="AO104" s="15"/>
      <c r="AP104" s="15"/>
      <c r="AQ104" s="15"/>
      <c r="AR104" s="15"/>
      <c r="AS104" s="15"/>
      <c r="AT104" s="15"/>
      <c r="AU104" s="15"/>
      <c r="AV104" s="15"/>
      <c r="AW104" s="15"/>
      <c r="AX104" s="15"/>
      <c r="AY104" s="15"/>
      <c r="AZ104" s="15"/>
      <c r="BA104" s="15"/>
      <c r="BB104" s="15"/>
      <c r="BC104" s="15"/>
      <c r="BD104" s="15"/>
      <c r="BE104" s="15"/>
      <c r="BF104" s="15"/>
      <c r="BG104" s="15"/>
      <c r="BH104" s="15"/>
      <c r="BI104" s="15"/>
      <c r="BJ104" s="15"/>
      <c r="BK104" s="15"/>
      <c r="BL104" s="15"/>
      <c r="BM104" s="15"/>
      <c r="BN104" s="15"/>
      <c r="BO104" s="15"/>
      <c r="BP104" s="15"/>
      <c r="BQ104" s="15"/>
      <c r="BR104" s="15"/>
      <c r="BS104" s="15"/>
      <c r="BT104" s="15"/>
      <c r="BU104" s="15"/>
      <c r="BV104" s="15"/>
      <c r="BW104" s="15"/>
      <c r="BX104" s="15"/>
      <c r="BY104" s="15"/>
      <c r="BZ104" s="15"/>
      <c r="CA104" s="15"/>
      <c r="CB104" s="15"/>
      <c r="CC104" s="15"/>
      <c r="CD104" s="15"/>
      <c r="CE104" s="15"/>
      <c r="CF104" s="15"/>
      <c r="CG104" s="15"/>
      <c r="CH104" s="15"/>
      <c r="CI104" s="15"/>
      <c r="CJ104" s="15"/>
      <c r="CK104" s="15"/>
      <c r="CL104" s="15"/>
      <c r="CM104" s="15"/>
      <c r="CN104" s="15"/>
      <c r="CO104" s="15"/>
      <c r="CP104" s="15"/>
      <c r="CQ104" s="15"/>
      <c r="CR104" s="15"/>
      <c r="CS104" s="15"/>
      <c r="CT104" s="15"/>
      <c r="CU104" s="645"/>
      <c r="CV104" s="645"/>
      <c r="CW104" s="645"/>
      <c r="CX104" s="645"/>
      <c r="CY104" s="645"/>
      <c r="CZ104" s="645"/>
      <c r="DA104" s="645"/>
      <c r="DB104" s="645"/>
      <c r="DC104" s="645"/>
      <c r="DD104" s="645"/>
      <c r="DE104" s="645"/>
      <c r="DF104" s="645"/>
      <c r="DG104" s="645"/>
      <c r="DH104" s="645"/>
      <c r="DI104" s="645"/>
      <c r="DJ104" s="645"/>
      <c r="DK104" s="645"/>
      <c r="DL104" s="645"/>
      <c r="DM104" s="645"/>
      <c r="DN104" s="645"/>
      <c r="DO104" s="645"/>
      <c r="DP104" s="645"/>
    </row>
    <row r="105" spans="1:120" s="33" customFormat="1" ht="15" customHeight="1">
      <c r="A105" s="316"/>
      <c r="B105" s="648" t="str">
        <f t="shared" si="58"/>
        <v>Portland</v>
      </c>
      <c r="C105" s="902" t="str">
        <f t="shared" si="43"/>
        <v>United States of America</v>
      </c>
      <c r="D105" s="902" t="str">
        <f t="shared" si="44"/>
        <v>North America</v>
      </c>
      <c r="E105" s="902" t="str">
        <f t="shared" si="45"/>
        <v>Multnomah County</v>
      </c>
      <c r="F105" s="643">
        <f t="shared" si="46"/>
        <v>2013</v>
      </c>
      <c r="G105" s="644">
        <f t="shared" si="47"/>
        <v>2013</v>
      </c>
      <c r="H105" s="643">
        <f t="shared" si="48"/>
        <v>766135</v>
      </c>
      <c r="I105" s="643">
        <f t="shared" si="49"/>
        <v>1206.2</v>
      </c>
      <c r="J105" s="1038">
        <f t="shared" si="50"/>
        <v>163692000000</v>
      </c>
      <c r="K105" s="643" t="s">
        <v>172</v>
      </c>
      <c r="L105" s="643" t="s">
        <v>1556</v>
      </c>
      <c r="M105" s="643" t="s">
        <v>1618</v>
      </c>
      <c r="N105" s="646">
        <f>SUM(O105:Q105)</f>
        <v>10.063853133025965</v>
      </c>
      <c r="O105" s="646">
        <f t="shared" si="52"/>
        <v>6.2254628041415003</v>
      </c>
      <c r="P105" s="646">
        <f t="shared" si="52"/>
        <v>3.6940280428643759</v>
      </c>
      <c r="Q105" s="646">
        <f t="shared" si="52"/>
        <v>0.14436228602008785</v>
      </c>
      <c r="S105" s="648" t="str">
        <f t="shared" si="53"/>
        <v>Portland</v>
      </c>
      <c r="T105" s="646">
        <f t="shared" ref="T105:AA113" si="62">IF(ISERROR(T71/$H71),"",T71/$H71)</f>
        <v>2.0106500260448232</v>
      </c>
      <c r="U105" s="646">
        <f t="shared" si="62"/>
        <v>2.4588458352818736</v>
      </c>
      <c r="V105" s="646">
        <f t="shared" si="62"/>
        <v>1.7366779141188169</v>
      </c>
      <c r="W105" s="646" t="str">
        <f t="shared" si="62"/>
        <v/>
      </c>
      <c r="X105" s="646" t="str">
        <f t="shared" si="62"/>
        <v/>
      </c>
      <c r="Y105" s="646" t="str">
        <f t="shared" si="62"/>
        <v/>
      </c>
      <c r="Z105" s="646" t="str">
        <f t="shared" si="62"/>
        <v/>
      </c>
      <c r="AA105" s="646">
        <f t="shared" si="62"/>
        <v>1.9289028695987E-2</v>
      </c>
      <c r="AB105" s="1081"/>
      <c r="AC105" s="1041" t="str">
        <f t="shared" si="55"/>
        <v>Portland</v>
      </c>
      <c r="AD105" s="646">
        <f t="shared" si="56"/>
        <v>3.6940280428643759</v>
      </c>
      <c r="AE105" s="646" t="str">
        <f t="shared" si="56"/>
        <v/>
      </c>
      <c r="AF105" s="646" t="str">
        <f t="shared" si="56"/>
        <v/>
      </c>
      <c r="AG105" s="646" t="str">
        <f t="shared" si="56"/>
        <v/>
      </c>
      <c r="AH105" s="646" t="str">
        <f t="shared" si="56"/>
        <v/>
      </c>
      <c r="AI105" s="15"/>
      <c r="AJ105" s="648" t="str">
        <f t="shared" si="59"/>
        <v>Portland</v>
      </c>
      <c r="AK105" s="646">
        <f t="shared" si="57"/>
        <v>0.12149294837071796</v>
      </c>
      <c r="AL105" s="646" t="str">
        <f t="shared" si="57"/>
        <v/>
      </c>
      <c r="AM105" s="646" t="str">
        <f t="shared" si="57"/>
        <v/>
      </c>
      <c r="AN105" s="646">
        <f t="shared" si="57"/>
        <v>2.2869337649369888E-2</v>
      </c>
      <c r="AO105" s="15"/>
      <c r="AP105" s="15"/>
      <c r="AQ105" s="15"/>
      <c r="AR105" s="15"/>
      <c r="AS105" s="15"/>
      <c r="AT105" s="15"/>
      <c r="AU105" s="15"/>
      <c r="AV105" s="15"/>
      <c r="AW105" s="15"/>
      <c r="AX105" s="15"/>
      <c r="AY105" s="15"/>
      <c r="AZ105" s="15"/>
      <c r="BA105" s="15"/>
      <c r="BB105" s="15"/>
      <c r="BC105" s="15"/>
      <c r="BD105" s="15"/>
      <c r="BE105" s="15"/>
      <c r="BF105" s="15"/>
      <c r="BG105" s="15"/>
      <c r="BH105" s="15"/>
      <c r="BI105" s="15"/>
      <c r="BJ105" s="15"/>
      <c r="BK105" s="15"/>
      <c r="BL105" s="15"/>
      <c r="BM105" s="15"/>
      <c r="BN105" s="15"/>
      <c r="BO105" s="15"/>
      <c r="BP105" s="15"/>
      <c r="BQ105" s="15"/>
      <c r="BR105" s="15"/>
      <c r="BS105" s="15"/>
      <c r="BT105" s="15"/>
      <c r="BU105" s="15"/>
      <c r="BV105" s="15"/>
      <c r="BW105" s="15"/>
      <c r="BX105" s="15"/>
      <c r="BY105" s="15"/>
      <c r="BZ105" s="15"/>
      <c r="CA105" s="15"/>
      <c r="CB105" s="15"/>
      <c r="CC105" s="15"/>
      <c r="CD105" s="15"/>
      <c r="CE105" s="15"/>
      <c r="CF105" s="15"/>
      <c r="CG105" s="15"/>
      <c r="CH105" s="15"/>
      <c r="CI105" s="15"/>
      <c r="CJ105" s="15"/>
      <c r="CK105" s="15"/>
      <c r="CL105" s="15"/>
      <c r="CM105" s="15"/>
      <c r="CN105" s="15"/>
      <c r="CO105" s="15"/>
      <c r="CP105" s="15"/>
      <c r="CQ105" s="15"/>
      <c r="CR105" s="15"/>
      <c r="CS105" s="15"/>
      <c r="CT105" s="15"/>
      <c r="CU105" s="645"/>
      <c r="CV105" s="645"/>
      <c r="CW105" s="645"/>
      <c r="CX105" s="645"/>
      <c r="CY105" s="645"/>
      <c r="CZ105" s="645"/>
      <c r="DA105" s="645"/>
      <c r="DB105" s="645"/>
      <c r="DC105" s="645"/>
      <c r="DD105" s="645"/>
      <c r="DE105" s="645"/>
      <c r="DF105" s="645"/>
      <c r="DG105" s="645"/>
      <c r="DH105" s="645"/>
      <c r="DI105" s="645"/>
      <c r="DJ105" s="645"/>
      <c r="DK105" s="645"/>
      <c r="DL105" s="645"/>
      <c r="DM105" s="645"/>
      <c r="DN105" s="645"/>
      <c r="DO105" s="645"/>
      <c r="DP105" s="645"/>
    </row>
    <row r="106" spans="1:120" s="33" customFormat="1" ht="15" customHeight="1">
      <c r="A106" s="316"/>
      <c r="B106" s="648" t="str">
        <f t="shared" si="58"/>
        <v>Quito</v>
      </c>
      <c r="C106" s="902" t="str">
        <f t="shared" si="43"/>
        <v>Ecuador</v>
      </c>
      <c r="D106" s="902" t="str">
        <f t="shared" si="44"/>
        <v>Latin America</v>
      </c>
      <c r="E106" s="902" t="str">
        <f t="shared" si="45"/>
        <v>Other (please specify)</v>
      </c>
      <c r="F106" s="643">
        <f t="shared" si="46"/>
        <v>2011</v>
      </c>
      <c r="G106" s="644">
        <f t="shared" si="47"/>
        <v>2011</v>
      </c>
      <c r="H106" s="643">
        <f t="shared" si="48"/>
        <v>1607734</v>
      </c>
      <c r="I106" s="643">
        <f t="shared" si="49"/>
        <v>372.39</v>
      </c>
      <c r="J106" s="1038">
        <f t="shared" si="50"/>
        <v>16511524155.5264</v>
      </c>
      <c r="K106" s="643" t="s">
        <v>172</v>
      </c>
      <c r="L106" s="643" t="s">
        <v>1556</v>
      </c>
      <c r="M106" s="643" t="s">
        <v>1618</v>
      </c>
      <c r="N106" s="646">
        <f t="shared" si="61"/>
        <v>3.214959652715387</v>
      </c>
      <c r="O106" s="646">
        <f t="shared" si="52"/>
        <v>0.99811656242265423</v>
      </c>
      <c r="P106" s="646">
        <f t="shared" si="52"/>
        <v>1.805276902177062</v>
      </c>
      <c r="Q106" s="646">
        <f t="shared" si="52"/>
        <v>0.41156618811567092</v>
      </c>
      <c r="S106" s="648" t="str">
        <f t="shared" si="53"/>
        <v>Quito</v>
      </c>
      <c r="T106" s="646">
        <f t="shared" si="62"/>
        <v>0.49508160663506301</v>
      </c>
      <c r="U106" s="646">
        <f t="shared" si="62"/>
        <v>0.13894108239758837</v>
      </c>
      <c r="V106" s="646">
        <f t="shared" si="62"/>
        <v>0.36409387339000276</v>
      </c>
      <c r="W106" s="646" t="str">
        <f t="shared" si="62"/>
        <v/>
      </c>
      <c r="X106" s="646" t="str">
        <f t="shared" si="62"/>
        <v/>
      </c>
      <c r="Y106" s="646" t="str">
        <f t="shared" si="62"/>
        <v/>
      </c>
      <c r="Z106" s="646" t="str">
        <f t="shared" si="62"/>
        <v/>
      </c>
      <c r="AA106" s="646" t="str">
        <f t="shared" si="62"/>
        <v/>
      </c>
      <c r="AB106" s="15"/>
      <c r="AC106" s="1041" t="str">
        <f t="shared" si="55"/>
        <v>Quito</v>
      </c>
      <c r="AD106" s="646">
        <f t="shared" si="56"/>
        <v>1.805276902177062</v>
      </c>
      <c r="AE106" s="646" t="str">
        <f t="shared" si="56"/>
        <v/>
      </c>
      <c r="AF106" s="646" t="str">
        <f t="shared" si="56"/>
        <v/>
      </c>
      <c r="AG106" s="646" t="str">
        <f t="shared" si="56"/>
        <v/>
      </c>
      <c r="AH106" s="646" t="str">
        <f t="shared" si="56"/>
        <v/>
      </c>
      <c r="AI106" s="15"/>
      <c r="AJ106" s="648" t="str">
        <f t="shared" si="59"/>
        <v>Quito</v>
      </c>
      <c r="AK106" s="646">
        <f t="shared" si="57"/>
        <v>0.40995119715077244</v>
      </c>
      <c r="AL106" s="646" t="str">
        <f t="shared" si="57"/>
        <v/>
      </c>
      <c r="AM106" s="646">
        <f t="shared" si="57"/>
        <v>1.6149909648984222E-3</v>
      </c>
      <c r="AN106" s="646" t="str">
        <f t="shared" si="57"/>
        <v/>
      </c>
      <c r="AO106" s="15"/>
      <c r="AP106" s="15"/>
      <c r="AQ106" s="15"/>
      <c r="AR106" s="15"/>
      <c r="AS106" s="15"/>
      <c r="AT106" s="15"/>
      <c r="AU106" s="15"/>
      <c r="AV106" s="15"/>
      <c r="AW106" s="15"/>
      <c r="AX106" s="15"/>
      <c r="AY106" s="15"/>
      <c r="AZ106" s="15"/>
      <c r="BA106" s="15"/>
      <c r="BB106" s="15"/>
      <c r="BC106" s="15"/>
      <c r="BD106" s="15"/>
      <c r="BE106" s="15"/>
      <c r="BF106" s="15"/>
      <c r="BG106" s="15"/>
      <c r="BH106" s="15"/>
      <c r="BI106" s="15"/>
      <c r="BJ106" s="15"/>
      <c r="BK106" s="15"/>
      <c r="BL106" s="15"/>
      <c r="BM106" s="15"/>
      <c r="BN106" s="15"/>
      <c r="BO106" s="15"/>
      <c r="BP106" s="15"/>
      <c r="BQ106" s="15"/>
      <c r="BR106" s="15"/>
      <c r="BS106" s="15"/>
      <c r="BT106" s="15"/>
      <c r="BU106" s="15"/>
      <c r="BV106" s="15"/>
      <c r="BW106" s="15"/>
      <c r="BX106" s="15"/>
      <c r="BY106" s="15"/>
      <c r="BZ106" s="15"/>
      <c r="CA106" s="15"/>
      <c r="CB106" s="15"/>
      <c r="CC106" s="15"/>
      <c r="CD106" s="15"/>
      <c r="CE106" s="15"/>
      <c r="CF106" s="15"/>
      <c r="CG106" s="15"/>
      <c r="CH106" s="15"/>
      <c r="CI106" s="15"/>
      <c r="CJ106" s="15"/>
      <c r="CK106" s="15"/>
      <c r="CL106" s="15"/>
      <c r="CM106" s="15"/>
      <c r="CN106" s="15"/>
      <c r="CO106" s="15"/>
      <c r="CP106" s="15"/>
      <c r="CQ106" s="15"/>
      <c r="CR106" s="15"/>
      <c r="CS106" s="15"/>
      <c r="CT106" s="15"/>
      <c r="CU106" s="645"/>
      <c r="CV106" s="645"/>
      <c r="CW106" s="645"/>
      <c r="CX106" s="645"/>
      <c r="CY106" s="645"/>
      <c r="CZ106" s="645"/>
      <c r="DA106" s="645"/>
      <c r="DB106" s="645"/>
      <c r="DC106" s="645"/>
      <c r="DD106" s="645"/>
      <c r="DE106" s="645"/>
      <c r="DF106" s="645"/>
      <c r="DG106" s="645"/>
      <c r="DH106" s="645"/>
      <c r="DI106" s="645"/>
      <c r="DJ106" s="645"/>
      <c r="DK106" s="645"/>
      <c r="DL106" s="645"/>
      <c r="DM106" s="645"/>
      <c r="DN106" s="645"/>
      <c r="DO106" s="645"/>
      <c r="DP106" s="645"/>
    </row>
    <row r="107" spans="1:120" s="33" customFormat="1" ht="15" customHeight="1">
      <c r="A107" s="316"/>
      <c r="B107" s="648" t="str">
        <f t="shared" si="58"/>
        <v>Rio de Janeiro</v>
      </c>
      <c r="C107" s="902" t="str">
        <f t="shared" si="43"/>
        <v>Brazil</v>
      </c>
      <c r="D107" s="902" t="str">
        <f t="shared" si="44"/>
        <v>Latin America</v>
      </c>
      <c r="E107" s="902" t="str">
        <f t="shared" si="45"/>
        <v xml:space="preserve">Administrative boundary of a local government </v>
      </c>
      <c r="F107" s="643">
        <f t="shared" si="46"/>
        <v>2012</v>
      </c>
      <c r="G107" s="644">
        <f t="shared" si="47"/>
        <v>2012</v>
      </c>
      <c r="H107" s="643">
        <f t="shared" si="48"/>
        <v>6390290</v>
      </c>
      <c r="I107" s="643">
        <f t="shared" si="49"/>
        <v>1224.56</v>
      </c>
      <c r="J107" s="1038">
        <f t="shared" si="50"/>
        <v>75060683634</v>
      </c>
      <c r="K107" s="643" t="s">
        <v>172</v>
      </c>
      <c r="L107" s="643" t="s">
        <v>1556</v>
      </c>
      <c r="M107" s="643" t="s">
        <v>1618</v>
      </c>
      <c r="N107" s="646">
        <f t="shared" si="61"/>
        <v>2.4814063224576279</v>
      </c>
      <c r="O107" s="646">
        <f t="shared" si="52"/>
        <v>1.2650512308534179</v>
      </c>
      <c r="P107" s="646">
        <f t="shared" si="52"/>
        <v>0.8508316421579557</v>
      </c>
      <c r="Q107" s="646">
        <f t="shared" si="52"/>
        <v>0.36552344944625442</v>
      </c>
      <c r="S107" s="648" t="str">
        <f t="shared" si="53"/>
        <v>Rio de Janeiro</v>
      </c>
      <c r="T107" s="646">
        <f t="shared" si="62"/>
        <v>0.31049031946968531</v>
      </c>
      <c r="U107" s="646">
        <f t="shared" si="62"/>
        <v>0.33563540218920723</v>
      </c>
      <c r="V107" s="646">
        <f t="shared" si="62"/>
        <v>0.23648627213907988</v>
      </c>
      <c r="W107" s="646">
        <f t="shared" si="62"/>
        <v>0.21181300446430568</v>
      </c>
      <c r="X107" s="646">
        <f t="shared" si="62"/>
        <v>1.0380988289856418E-4</v>
      </c>
      <c r="Y107" s="646">
        <f t="shared" si="62"/>
        <v>7.3785836697457937E-3</v>
      </c>
      <c r="Z107" s="646">
        <f t="shared" si="62"/>
        <v>0.1441897003109405</v>
      </c>
      <c r="AA107" s="646">
        <f t="shared" si="62"/>
        <v>1.8954138727555015E-2</v>
      </c>
      <c r="AB107" s="15"/>
      <c r="AC107" s="1041" t="str">
        <f t="shared" si="55"/>
        <v>Rio de Janeiro</v>
      </c>
      <c r="AD107" s="646">
        <f t="shared" si="56"/>
        <v>0.83506878060390188</v>
      </c>
      <c r="AE107" s="646">
        <f t="shared" si="56"/>
        <v>1.4208026697619279E-2</v>
      </c>
      <c r="AF107" s="646">
        <f t="shared" si="56"/>
        <v>1.5548348564345558E-3</v>
      </c>
      <c r="AG107" s="646" t="str">
        <f t="shared" si="56"/>
        <v/>
      </c>
      <c r="AH107" s="646" t="str">
        <f t="shared" si="56"/>
        <v/>
      </c>
      <c r="AI107" s="15"/>
      <c r="AJ107" s="648" t="str">
        <f t="shared" si="59"/>
        <v>Rio de Janeiro</v>
      </c>
      <c r="AK107" s="646">
        <f t="shared" si="57"/>
        <v>0.26765031551962504</v>
      </c>
      <c r="AL107" s="646">
        <f t="shared" si="57"/>
        <v>1.1447524290759887E-4</v>
      </c>
      <c r="AM107" s="646">
        <f t="shared" si="57"/>
        <v>7.0400404363495233E-5</v>
      </c>
      <c r="AN107" s="646">
        <f t="shared" si="57"/>
        <v>9.7688258279358217E-2</v>
      </c>
      <c r="AO107" s="15"/>
      <c r="AP107" s="15"/>
      <c r="AQ107" s="15"/>
      <c r="AR107" s="15"/>
      <c r="AS107" s="15"/>
      <c r="AT107" s="15"/>
      <c r="AU107" s="15"/>
      <c r="AV107" s="15"/>
      <c r="AW107" s="15"/>
      <c r="AX107" s="15"/>
      <c r="AY107" s="15"/>
      <c r="AZ107" s="15"/>
      <c r="BA107" s="15"/>
      <c r="BB107" s="15"/>
      <c r="BC107" s="15"/>
      <c r="BD107" s="15"/>
      <c r="BE107" s="15"/>
      <c r="BF107" s="15"/>
      <c r="BG107" s="15"/>
      <c r="BH107" s="15"/>
      <c r="BI107" s="15"/>
      <c r="BJ107" s="15"/>
      <c r="BK107" s="15"/>
      <c r="BL107" s="15"/>
      <c r="BM107" s="15"/>
      <c r="BN107" s="15"/>
      <c r="BO107" s="15"/>
      <c r="BP107" s="15"/>
      <c r="BQ107" s="15"/>
      <c r="BR107" s="15"/>
      <c r="BS107" s="15"/>
      <c r="BT107" s="15"/>
      <c r="BU107" s="15"/>
      <c r="BV107" s="15"/>
      <c r="BW107" s="15"/>
      <c r="BX107" s="15"/>
      <c r="BY107" s="15"/>
      <c r="BZ107" s="15"/>
      <c r="CA107" s="15"/>
      <c r="CB107" s="15"/>
      <c r="CC107" s="15"/>
      <c r="CD107" s="15"/>
      <c r="CE107" s="15"/>
      <c r="CF107" s="15"/>
      <c r="CG107" s="15"/>
      <c r="CH107" s="15"/>
      <c r="CI107" s="15"/>
      <c r="CJ107" s="15"/>
      <c r="CK107" s="15"/>
      <c r="CL107" s="15"/>
      <c r="CM107" s="15"/>
      <c r="CN107" s="15"/>
      <c r="CO107" s="15"/>
      <c r="CP107" s="15"/>
      <c r="CQ107" s="15"/>
      <c r="CR107" s="15"/>
      <c r="CS107" s="15"/>
      <c r="CT107" s="15"/>
      <c r="CU107" s="645"/>
      <c r="CV107" s="645"/>
      <c r="CW107" s="645"/>
      <c r="CX107" s="645"/>
      <c r="CY107" s="645"/>
      <c r="CZ107" s="645"/>
      <c r="DA107" s="645"/>
      <c r="DB107" s="645"/>
      <c r="DC107" s="645"/>
      <c r="DD107" s="645"/>
      <c r="DE107" s="645"/>
      <c r="DF107" s="645"/>
      <c r="DG107" s="645"/>
      <c r="DH107" s="645"/>
      <c r="DI107" s="645"/>
      <c r="DJ107" s="645"/>
      <c r="DK107" s="645"/>
      <c r="DL107" s="645"/>
      <c r="DM107" s="645"/>
      <c r="DN107" s="645"/>
      <c r="DO107" s="645"/>
      <c r="DP107" s="645"/>
    </row>
    <row r="108" spans="1:120" s="33" customFormat="1" ht="15" customHeight="1">
      <c r="A108" s="316"/>
      <c r="B108" s="648" t="str">
        <f t="shared" si="58"/>
        <v>San Francisco</v>
      </c>
      <c r="C108" s="902" t="str">
        <f t="shared" si="43"/>
        <v>USA</v>
      </c>
      <c r="D108" s="902" t="str">
        <f t="shared" si="44"/>
        <v>Europe</v>
      </c>
      <c r="E108" s="902" t="str">
        <f t="shared" si="45"/>
        <v xml:space="preserve">Administrative boundary of a local government </v>
      </c>
      <c r="F108" s="643">
        <f t="shared" si="46"/>
        <v>2012</v>
      </c>
      <c r="G108" s="644">
        <f t="shared" si="47"/>
        <v>2012</v>
      </c>
      <c r="H108" s="643">
        <f t="shared" si="48"/>
        <v>827420</v>
      </c>
      <c r="I108" s="643">
        <f t="shared" si="49"/>
        <v>121</v>
      </c>
      <c r="J108" s="1038">
        <f t="shared" si="50"/>
        <v>89205219000</v>
      </c>
      <c r="K108" s="643" t="s">
        <v>172</v>
      </c>
      <c r="L108" s="643" t="s">
        <v>1556</v>
      </c>
      <c r="M108" s="643" t="s">
        <v>1618</v>
      </c>
      <c r="N108" s="646">
        <f t="shared" si="61"/>
        <v>6.6381199963987383</v>
      </c>
      <c r="O108" s="646">
        <f t="shared" si="52"/>
        <v>3.2735607031371723</v>
      </c>
      <c r="P108" s="646">
        <f t="shared" si="52"/>
        <v>3.1352651994449725</v>
      </c>
      <c r="Q108" s="646">
        <f t="shared" si="52"/>
        <v>0.22929409381659419</v>
      </c>
      <c r="S108" s="648" t="str">
        <f t="shared" si="53"/>
        <v>San Francisco</v>
      </c>
      <c r="T108" s="646">
        <f t="shared" si="62"/>
        <v>1.2696263167170672</v>
      </c>
      <c r="U108" s="646">
        <f t="shared" si="62"/>
        <v>1.783320955545092</v>
      </c>
      <c r="V108" s="646" t="str">
        <f t="shared" si="62"/>
        <v/>
      </c>
      <c r="W108" s="646">
        <f t="shared" si="62"/>
        <v>8.5204611926228513E-5</v>
      </c>
      <c r="X108" s="646">
        <f t="shared" si="62"/>
        <v>1.3173479007033912E-4</v>
      </c>
      <c r="Y108" s="646">
        <f t="shared" si="62"/>
        <v>0.20434724807232119</v>
      </c>
      <c r="Z108" s="646" t="str">
        <f t="shared" si="62"/>
        <v/>
      </c>
      <c r="AA108" s="646">
        <f t="shared" si="62"/>
        <v>1.6049243400695645E-2</v>
      </c>
      <c r="AB108" s="15"/>
      <c r="AC108" s="1041" t="str">
        <f t="shared" si="55"/>
        <v>San Francisco</v>
      </c>
      <c r="AD108" s="646">
        <f t="shared" si="56"/>
        <v>2.3819758865072536</v>
      </c>
      <c r="AE108" s="646">
        <f t="shared" si="56"/>
        <v>8.2939309311991144E-2</v>
      </c>
      <c r="AF108" s="646">
        <f t="shared" si="56"/>
        <v>0.67035000362572816</v>
      </c>
      <c r="AG108" s="646" t="str">
        <f t="shared" si="56"/>
        <v/>
      </c>
      <c r="AH108" s="646" t="str">
        <f t="shared" si="56"/>
        <v/>
      </c>
      <c r="AI108" s="15"/>
      <c r="AJ108" s="648" t="str">
        <f t="shared" si="59"/>
        <v>San Francisco</v>
      </c>
      <c r="AK108" s="646">
        <f t="shared" si="57"/>
        <v>0.21802412930487541</v>
      </c>
      <c r="AL108" s="646" t="str">
        <f t="shared" si="57"/>
        <v/>
      </c>
      <c r="AM108" s="646" t="str">
        <f t="shared" si="57"/>
        <v/>
      </c>
      <c r="AN108" s="646">
        <f t="shared" si="57"/>
        <v>1.1269964511718753E-2</v>
      </c>
      <c r="AO108" s="15"/>
      <c r="AP108" s="15"/>
      <c r="AQ108" s="15"/>
      <c r="AR108" s="15"/>
      <c r="AS108" s="15"/>
      <c r="AT108" s="15"/>
      <c r="AU108" s="15"/>
      <c r="AV108" s="15"/>
      <c r="AW108" s="15"/>
      <c r="AX108" s="15"/>
      <c r="AY108" s="15"/>
      <c r="AZ108" s="15"/>
      <c r="BA108" s="15"/>
      <c r="BB108" s="15"/>
      <c r="BC108" s="15"/>
      <c r="BD108" s="15"/>
      <c r="BE108" s="15"/>
      <c r="BF108" s="15"/>
      <c r="BG108" s="15"/>
      <c r="BH108" s="15"/>
      <c r="BI108" s="15"/>
      <c r="BJ108" s="15"/>
      <c r="BK108" s="15"/>
      <c r="BL108" s="15"/>
      <c r="BM108" s="15"/>
      <c r="BN108" s="15"/>
      <c r="BO108" s="15"/>
      <c r="BP108" s="15"/>
      <c r="BQ108" s="15"/>
      <c r="BR108" s="15"/>
      <c r="BS108" s="15"/>
      <c r="BT108" s="15"/>
      <c r="BU108" s="15"/>
      <c r="BV108" s="15"/>
      <c r="BW108" s="15"/>
      <c r="BX108" s="15"/>
      <c r="BY108" s="15"/>
      <c r="BZ108" s="15"/>
      <c r="CA108" s="15"/>
      <c r="CB108" s="15"/>
      <c r="CC108" s="15"/>
      <c r="CD108" s="15"/>
      <c r="CE108" s="15"/>
      <c r="CF108" s="15"/>
      <c r="CG108" s="15"/>
      <c r="CH108" s="15"/>
      <c r="CI108" s="15"/>
      <c r="CJ108" s="15"/>
      <c r="CK108" s="15"/>
      <c r="CL108" s="15"/>
      <c r="CM108" s="15"/>
      <c r="CN108" s="15"/>
      <c r="CO108" s="15"/>
      <c r="CP108" s="15"/>
      <c r="CQ108" s="15"/>
      <c r="CR108" s="15"/>
      <c r="CS108" s="15"/>
      <c r="CT108" s="15"/>
      <c r="CU108" s="645"/>
      <c r="CV108" s="645"/>
      <c r="CW108" s="645"/>
      <c r="CX108" s="645"/>
      <c r="CY108" s="645"/>
      <c r="CZ108" s="645"/>
      <c r="DA108" s="645"/>
      <c r="DB108" s="645"/>
      <c r="DC108" s="645"/>
      <c r="DD108" s="645"/>
      <c r="DE108" s="645"/>
      <c r="DF108" s="645"/>
      <c r="DG108" s="645"/>
      <c r="DH108" s="645"/>
      <c r="DI108" s="645"/>
      <c r="DJ108" s="645"/>
      <c r="DK108" s="645"/>
      <c r="DL108" s="645"/>
      <c r="DM108" s="645"/>
      <c r="DN108" s="645"/>
      <c r="DO108" s="645"/>
      <c r="DP108" s="645"/>
    </row>
    <row r="109" spans="1:120" s="33" customFormat="1" ht="15" customHeight="1">
      <c r="A109" s="316"/>
      <c r="B109" s="648" t="str">
        <f t="shared" si="58"/>
        <v>Seattle</v>
      </c>
      <c r="C109" s="902" t="str">
        <f t="shared" si="43"/>
        <v>USA</v>
      </c>
      <c r="D109" s="902" t="str">
        <f t="shared" si="44"/>
        <v>North America</v>
      </c>
      <c r="E109" s="902" t="str">
        <f t="shared" si="45"/>
        <v xml:space="preserve">Administrative boundary of a local government </v>
      </c>
      <c r="F109" s="643">
        <f t="shared" si="46"/>
        <v>2012</v>
      </c>
      <c r="G109" s="644">
        <f t="shared" si="47"/>
        <v>2012</v>
      </c>
      <c r="H109" s="643">
        <f t="shared" si="48"/>
        <v>634535</v>
      </c>
      <c r="I109" s="643">
        <f t="shared" si="49"/>
        <v>215</v>
      </c>
      <c r="J109" s="1038">
        <f t="shared" si="50"/>
        <v>48900000000</v>
      </c>
      <c r="K109" s="643" t="s">
        <v>172</v>
      </c>
      <c r="L109" s="643" t="s">
        <v>1556</v>
      </c>
      <c r="M109" s="643" t="s">
        <v>1618</v>
      </c>
      <c r="N109" s="646">
        <f t="shared" si="61"/>
        <v>6.8794787025354172</v>
      </c>
      <c r="O109" s="646">
        <f t="shared" si="52"/>
        <v>3.0434512658657473</v>
      </c>
      <c r="P109" s="646">
        <f t="shared" si="52"/>
        <v>3.7619911151148249</v>
      </c>
      <c r="Q109" s="646">
        <f t="shared" si="52"/>
        <v>7.4036321554844214E-2</v>
      </c>
      <c r="S109" s="648" t="str">
        <f t="shared" si="53"/>
        <v>Seattle</v>
      </c>
      <c r="T109" s="646">
        <f t="shared" si="62"/>
        <v>0.87944564498499356</v>
      </c>
      <c r="U109" s="646">
        <f t="shared" si="62"/>
        <v>1.3701191587291306</v>
      </c>
      <c r="V109" s="646">
        <f t="shared" si="62"/>
        <v>0.77041707099428569</v>
      </c>
      <c r="W109" s="646" t="str">
        <f t="shared" si="62"/>
        <v/>
      </c>
      <c r="X109" s="646" t="str">
        <f t="shared" si="62"/>
        <v/>
      </c>
      <c r="Y109" s="646" t="str">
        <f t="shared" si="62"/>
        <v/>
      </c>
      <c r="Z109" s="646" t="str">
        <f t="shared" si="62"/>
        <v/>
      </c>
      <c r="AA109" s="646">
        <f t="shared" si="62"/>
        <v>2.3469391157337521E-2</v>
      </c>
      <c r="AB109" s="15"/>
      <c r="AC109" s="1041" t="str">
        <f t="shared" si="55"/>
        <v>Seattle</v>
      </c>
      <c r="AD109" s="646">
        <f t="shared" si="56"/>
        <v>3.3769194377334668</v>
      </c>
      <c r="AE109" s="646">
        <f t="shared" si="56"/>
        <v>0.10177703826725305</v>
      </c>
      <c r="AF109" s="646">
        <f t="shared" si="56"/>
        <v>0.28329463911410552</v>
      </c>
      <c r="AG109" s="646" t="str">
        <f t="shared" si="56"/>
        <v/>
      </c>
      <c r="AH109" s="646" t="str">
        <f t="shared" si="56"/>
        <v/>
      </c>
      <c r="AI109" s="15"/>
      <c r="AJ109" s="648" t="str">
        <f t="shared" si="59"/>
        <v>Seattle</v>
      </c>
      <c r="AK109" s="646">
        <f t="shared" si="57"/>
        <v>7.1052030226859034E-2</v>
      </c>
      <c r="AL109" s="646" t="str">
        <f t="shared" si="57"/>
        <v/>
      </c>
      <c r="AM109" s="646" t="str">
        <f t="shared" si="57"/>
        <v/>
      </c>
      <c r="AN109" s="646">
        <f t="shared" si="57"/>
        <v>2.9842913279851807E-3</v>
      </c>
      <c r="AO109" s="15"/>
      <c r="AP109" s="15"/>
      <c r="AQ109" s="15"/>
      <c r="AR109" s="15"/>
      <c r="AS109" s="15"/>
      <c r="AT109" s="15"/>
      <c r="AU109" s="15"/>
      <c r="AV109" s="15"/>
      <c r="AW109" s="15"/>
      <c r="AX109" s="15"/>
      <c r="AY109" s="15"/>
      <c r="AZ109" s="15"/>
      <c r="BA109" s="15"/>
      <c r="BB109" s="15"/>
      <c r="BC109" s="15"/>
      <c r="BD109" s="15"/>
      <c r="BE109" s="15"/>
      <c r="BF109" s="15"/>
      <c r="BG109" s="15"/>
      <c r="BH109" s="15"/>
      <c r="BI109" s="15"/>
      <c r="BJ109" s="15"/>
      <c r="BK109" s="15"/>
      <c r="BL109" s="15"/>
      <c r="BM109" s="15"/>
      <c r="BN109" s="15"/>
      <c r="BO109" s="15"/>
      <c r="BP109" s="15"/>
      <c r="BQ109" s="15"/>
      <c r="BR109" s="15"/>
      <c r="BS109" s="15"/>
      <c r="BT109" s="15"/>
      <c r="BU109" s="15"/>
      <c r="BV109" s="15"/>
      <c r="BW109" s="15"/>
      <c r="BX109" s="15"/>
      <c r="BY109" s="15"/>
      <c r="BZ109" s="15"/>
      <c r="CA109" s="15"/>
      <c r="CB109" s="15"/>
      <c r="CC109" s="15"/>
      <c r="CD109" s="15"/>
      <c r="CE109" s="15"/>
      <c r="CF109" s="15"/>
      <c r="CG109" s="15"/>
      <c r="CH109" s="15"/>
      <c r="CI109" s="15"/>
      <c r="CJ109" s="15"/>
      <c r="CK109" s="15"/>
      <c r="CL109" s="15"/>
      <c r="CM109" s="15"/>
      <c r="CN109" s="15"/>
      <c r="CO109" s="15"/>
      <c r="CP109" s="15"/>
      <c r="CQ109" s="15"/>
      <c r="CR109" s="15"/>
      <c r="CS109" s="15"/>
      <c r="CT109" s="15"/>
      <c r="CU109" s="645"/>
      <c r="CV109" s="645"/>
      <c r="CW109" s="645"/>
      <c r="CX109" s="645"/>
      <c r="CY109" s="645"/>
      <c r="CZ109" s="645"/>
      <c r="DA109" s="645"/>
      <c r="DB109" s="645"/>
      <c r="DC109" s="645"/>
      <c r="DD109" s="645"/>
      <c r="DE109" s="645"/>
      <c r="DF109" s="645"/>
      <c r="DG109" s="645"/>
      <c r="DH109" s="645"/>
      <c r="DI109" s="645"/>
      <c r="DJ109" s="645"/>
      <c r="DK109" s="645"/>
      <c r="DL109" s="645"/>
      <c r="DM109" s="645"/>
      <c r="DN109" s="645"/>
      <c r="DO109" s="645"/>
      <c r="DP109" s="645"/>
    </row>
    <row r="110" spans="1:120" s="33" customFormat="1" ht="15" customHeight="1">
      <c r="A110" s="316"/>
      <c r="B110" s="648" t="str">
        <f t="shared" si="58"/>
        <v>Stockholm</v>
      </c>
      <c r="C110" s="902" t="str">
        <f t="shared" si="43"/>
        <v>Sweden</v>
      </c>
      <c r="D110" s="902" t="str">
        <f t="shared" si="44"/>
        <v>Europe</v>
      </c>
      <c r="E110" s="902" t="str">
        <f t="shared" si="45"/>
        <v xml:space="preserve">Administrative boundary of a local government </v>
      </c>
      <c r="F110" s="643">
        <f t="shared" si="46"/>
        <v>2012</v>
      </c>
      <c r="G110" s="644">
        <f t="shared" si="47"/>
        <v>2012</v>
      </c>
      <c r="H110" s="643">
        <f t="shared" si="48"/>
        <v>881235</v>
      </c>
      <c r="I110" s="643">
        <f t="shared" si="49"/>
        <v>216</v>
      </c>
      <c r="J110" s="1038">
        <f t="shared" si="50"/>
        <v>416797000000</v>
      </c>
      <c r="K110" s="643" t="s">
        <v>172</v>
      </c>
      <c r="L110" s="643" t="s">
        <v>1556</v>
      </c>
      <c r="M110" s="643" t="s">
        <v>1618</v>
      </c>
      <c r="N110" s="646">
        <f t="shared" si="61"/>
        <v>2.4323153051002286</v>
      </c>
      <c r="O110" s="646">
        <f t="shared" si="52"/>
        <v>1.385339228469137</v>
      </c>
      <c r="P110" s="646">
        <f t="shared" si="52"/>
        <v>1.0381664652447984</v>
      </c>
      <c r="Q110" s="646">
        <f t="shared" si="52"/>
        <v>8.8096113862931001E-3</v>
      </c>
      <c r="S110" s="648" t="str">
        <f t="shared" si="53"/>
        <v>Stockholm</v>
      </c>
      <c r="T110" s="646">
        <f t="shared" si="62"/>
        <v>0.78783293440455737</v>
      </c>
      <c r="U110" s="646">
        <f t="shared" si="62"/>
        <v>0.54015979908877876</v>
      </c>
      <c r="V110" s="646">
        <f t="shared" si="62"/>
        <v>5.7309047529887032E-2</v>
      </c>
      <c r="W110" s="646" t="str">
        <f t="shared" si="62"/>
        <v/>
      </c>
      <c r="X110" s="646" t="str">
        <f t="shared" si="62"/>
        <v/>
      </c>
      <c r="Y110" s="646" t="str">
        <f t="shared" si="62"/>
        <v/>
      </c>
      <c r="Z110" s="646" t="str">
        <f t="shared" si="62"/>
        <v/>
      </c>
      <c r="AA110" s="646">
        <f t="shared" si="62"/>
        <v>3.7447445913973005E-5</v>
      </c>
      <c r="AB110" s="15"/>
      <c r="AC110" s="1041" t="str">
        <f t="shared" si="55"/>
        <v>Stockholm</v>
      </c>
      <c r="AD110" s="646">
        <f t="shared" si="56"/>
        <v>0.73576060869121174</v>
      </c>
      <c r="AE110" s="646">
        <f t="shared" si="56"/>
        <v>3.7663761652680615E-2</v>
      </c>
      <c r="AF110" s="646">
        <f t="shared" si="56"/>
        <v>0.10439894012380353</v>
      </c>
      <c r="AG110" s="646">
        <f t="shared" si="56"/>
        <v>2.2581944657214022E-2</v>
      </c>
      <c r="AH110" s="646">
        <f t="shared" si="56"/>
        <v>0.13776121011988857</v>
      </c>
      <c r="AI110" s="15"/>
      <c r="AJ110" s="648" t="str">
        <f t="shared" si="59"/>
        <v>Stockholm</v>
      </c>
      <c r="AK110" s="646" t="str">
        <f t="shared" si="57"/>
        <v/>
      </c>
      <c r="AL110" s="646" t="str">
        <f t="shared" si="57"/>
        <v/>
      </c>
      <c r="AM110" s="646" t="str">
        <f t="shared" si="57"/>
        <v/>
      </c>
      <c r="AN110" s="646">
        <f t="shared" si="57"/>
        <v>8.8096113862931001E-3</v>
      </c>
      <c r="AO110" s="15"/>
      <c r="AP110" s="15"/>
      <c r="AQ110" s="15"/>
      <c r="AR110" s="15"/>
      <c r="AS110" s="15"/>
      <c r="AT110" s="15"/>
      <c r="AU110" s="15"/>
      <c r="AV110" s="15"/>
      <c r="AW110" s="15"/>
      <c r="AX110" s="15"/>
      <c r="AY110" s="15"/>
      <c r="AZ110" s="15"/>
      <c r="BA110" s="15"/>
      <c r="BB110" s="15"/>
      <c r="BC110" s="15"/>
      <c r="BD110" s="15"/>
      <c r="BE110" s="15"/>
      <c r="BF110" s="15"/>
      <c r="BG110" s="15"/>
      <c r="BH110" s="15"/>
      <c r="BI110" s="15"/>
      <c r="BJ110" s="15"/>
      <c r="BK110" s="15"/>
      <c r="BL110" s="15"/>
      <c r="BM110" s="15"/>
      <c r="BN110" s="15"/>
      <c r="BO110" s="15"/>
      <c r="BP110" s="15"/>
      <c r="BQ110" s="15"/>
      <c r="BR110" s="15"/>
      <c r="BS110" s="15"/>
      <c r="BT110" s="15"/>
      <c r="BU110" s="15"/>
      <c r="BV110" s="15"/>
      <c r="BW110" s="15"/>
      <c r="BX110" s="15"/>
      <c r="BY110" s="15"/>
      <c r="BZ110" s="15"/>
      <c r="CA110" s="15"/>
      <c r="CB110" s="15"/>
      <c r="CC110" s="15"/>
      <c r="CD110" s="15"/>
      <c r="CE110" s="15"/>
      <c r="CF110" s="15"/>
      <c r="CG110" s="15"/>
      <c r="CH110" s="15"/>
      <c r="CI110" s="15"/>
      <c r="CJ110" s="15"/>
      <c r="CK110" s="15"/>
      <c r="CL110" s="15"/>
      <c r="CM110" s="15"/>
      <c r="CN110" s="15"/>
      <c r="CO110" s="15"/>
      <c r="CP110" s="15"/>
      <c r="CQ110" s="15"/>
      <c r="CR110" s="15"/>
      <c r="CS110" s="15"/>
      <c r="CT110" s="15"/>
      <c r="CU110" s="645"/>
      <c r="CV110" s="645"/>
      <c r="CW110" s="645"/>
      <c r="CX110" s="645"/>
      <c r="CY110" s="645"/>
      <c r="CZ110" s="645"/>
      <c r="DA110" s="645"/>
      <c r="DB110" s="645"/>
      <c r="DC110" s="645"/>
      <c r="DD110" s="645"/>
      <c r="DE110" s="645"/>
      <c r="DF110" s="645"/>
      <c r="DG110" s="645"/>
      <c r="DH110" s="645"/>
      <c r="DI110" s="645"/>
      <c r="DJ110" s="645"/>
      <c r="DK110" s="645"/>
      <c r="DL110" s="645"/>
      <c r="DM110" s="645"/>
      <c r="DN110" s="645"/>
      <c r="DO110" s="645"/>
      <c r="DP110" s="645"/>
    </row>
    <row r="111" spans="1:120" s="33" customFormat="1" ht="15" customHeight="1">
      <c r="A111" s="316"/>
      <c r="B111" s="648" t="str">
        <f t="shared" si="58"/>
        <v>City of Sydney</v>
      </c>
      <c r="C111" s="902" t="str">
        <f t="shared" si="43"/>
        <v>Australia</v>
      </c>
      <c r="D111" s="902" t="str">
        <f t="shared" si="44"/>
        <v>Europe</v>
      </c>
      <c r="E111" s="902" t="str">
        <f t="shared" si="45"/>
        <v xml:space="preserve">Administrative boundary of a local government </v>
      </c>
      <c r="F111" s="643" t="str">
        <f t="shared" si="46"/>
        <v>2014-2015</v>
      </c>
      <c r="G111" s="644" t="str">
        <f t="shared" ref="G111" si="63">F111</f>
        <v>2014-2015</v>
      </c>
      <c r="H111" s="643">
        <f t="shared" si="48"/>
        <v>205728.86297376096</v>
      </c>
      <c r="I111" s="643">
        <f t="shared" si="49"/>
        <v>26.15</v>
      </c>
      <c r="J111" s="1038">
        <f t="shared" si="50"/>
        <v>73012549539.320007</v>
      </c>
      <c r="K111" s="643" t="s">
        <v>172</v>
      </c>
      <c r="L111" s="643" t="s">
        <v>1556</v>
      </c>
      <c r="M111" s="643" t="s">
        <v>1618</v>
      </c>
      <c r="N111" s="646">
        <f t="shared" si="61"/>
        <v>18.164018464978305</v>
      </c>
      <c r="O111" s="646">
        <f t="shared" si="52"/>
        <v>16.0762788469921</v>
      </c>
      <c r="P111" s="646">
        <f t="shared" si="52"/>
        <v>1.2111770201226753</v>
      </c>
      <c r="Q111" s="646">
        <f t="shared" si="52"/>
        <v>0.87656259786352997</v>
      </c>
      <c r="S111" s="648" t="str">
        <f t="shared" si="53"/>
        <v>City of Sydney</v>
      </c>
      <c r="T111" s="646">
        <f t="shared" si="62"/>
        <v>2.01071556199649</v>
      </c>
      <c r="U111" s="646">
        <f t="shared" si="62"/>
        <v>13.991511132678829</v>
      </c>
      <c r="V111" s="646" t="str">
        <f t="shared" si="62"/>
        <v/>
      </c>
      <c r="W111" s="646" t="str">
        <f t="shared" si="62"/>
        <v/>
      </c>
      <c r="X111" s="646" t="str">
        <f t="shared" si="62"/>
        <v/>
      </c>
      <c r="Y111" s="646" t="str">
        <f t="shared" si="62"/>
        <v/>
      </c>
      <c r="Z111" s="646" t="str">
        <f t="shared" si="62"/>
        <v/>
      </c>
      <c r="AA111" s="646">
        <f t="shared" si="62"/>
        <v>7.4052152316781056E-2</v>
      </c>
      <c r="AB111" s="15"/>
      <c r="AC111" s="1041" t="str">
        <f t="shared" si="55"/>
        <v>City of Sydney</v>
      </c>
      <c r="AD111" s="646">
        <f t="shared" si="56"/>
        <v>0.77186597993746453</v>
      </c>
      <c r="AE111" s="646">
        <f t="shared" si="56"/>
        <v>0.4156992985601633</v>
      </c>
      <c r="AF111" s="646">
        <f t="shared" si="56"/>
        <v>2.3611741625047644E-2</v>
      </c>
      <c r="AG111" s="646" t="str">
        <f t="shared" si="56"/>
        <v/>
      </c>
      <c r="AH111" s="646" t="str">
        <f t="shared" si="56"/>
        <v/>
      </c>
      <c r="AI111" s="15"/>
      <c r="AJ111" s="648" t="str">
        <f t="shared" si="59"/>
        <v>City of Sydney</v>
      </c>
      <c r="AK111" s="646">
        <f t="shared" si="57"/>
        <v>0.85072409126337412</v>
      </c>
      <c r="AL111" s="646">
        <f t="shared" si="57"/>
        <v>9.5193060015588444E-4</v>
      </c>
      <c r="AM111" s="646" t="str">
        <f t="shared" si="57"/>
        <v/>
      </c>
      <c r="AN111" s="646">
        <f t="shared" si="57"/>
        <v>2.4886575999999997E-2</v>
      </c>
      <c r="AO111" s="15"/>
      <c r="AP111" s="15"/>
      <c r="AQ111" s="15"/>
      <c r="AR111" s="15"/>
      <c r="AS111" s="15"/>
      <c r="AT111" s="15"/>
      <c r="AU111" s="15"/>
      <c r="AV111" s="15"/>
      <c r="AW111" s="15"/>
      <c r="AX111" s="15"/>
      <c r="AY111" s="15"/>
      <c r="AZ111" s="15"/>
      <c r="BA111" s="15"/>
      <c r="BB111" s="15"/>
      <c r="BC111" s="15"/>
      <c r="BD111" s="15"/>
      <c r="BE111" s="15"/>
      <c r="BF111" s="15"/>
      <c r="BG111" s="15"/>
      <c r="BH111" s="15"/>
      <c r="BI111" s="15"/>
      <c r="BJ111" s="15"/>
      <c r="BK111" s="15"/>
      <c r="BL111" s="15"/>
      <c r="BM111" s="15"/>
      <c r="BN111" s="15"/>
      <c r="BO111" s="15"/>
      <c r="BP111" s="15"/>
      <c r="BQ111" s="15"/>
      <c r="BR111" s="15"/>
      <c r="BS111" s="15"/>
      <c r="BT111" s="15"/>
      <c r="BU111" s="15"/>
      <c r="BV111" s="15"/>
      <c r="BW111" s="15"/>
      <c r="BX111" s="15"/>
      <c r="BY111" s="15"/>
      <c r="BZ111" s="15"/>
      <c r="CA111" s="15"/>
      <c r="CB111" s="15"/>
      <c r="CC111" s="15"/>
      <c r="CD111" s="15"/>
      <c r="CE111" s="15"/>
      <c r="CF111" s="15"/>
      <c r="CG111" s="15"/>
      <c r="CH111" s="15"/>
      <c r="CI111" s="15"/>
      <c r="CJ111" s="15"/>
      <c r="CK111" s="15"/>
      <c r="CL111" s="15"/>
      <c r="CM111" s="15"/>
      <c r="CN111" s="15"/>
      <c r="CO111" s="15"/>
      <c r="CP111" s="15"/>
      <c r="CQ111" s="15"/>
      <c r="CR111" s="15"/>
      <c r="CS111" s="15"/>
      <c r="CT111" s="15"/>
      <c r="CU111" s="645"/>
      <c r="CV111" s="645"/>
      <c r="CW111" s="645"/>
      <c r="CX111" s="645"/>
      <c r="CY111" s="645"/>
      <c r="CZ111" s="645"/>
      <c r="DA111" s="645"/>
      <c r="DB111" s="645"/>
      <c r="DC111" s="645"/>
      <c r="DD111" s="645"/>
      <c r="DE111" s="645"/>
      <c r="DF111" s="645"/>
      <c r="DG111" s="645"/>
      <c r="DH111" s="645"/>
      <c r="DI111" s="645"/>
      <c r="DJ111" s="645"/>
      <c r="DK111" s="645"/>
      <c r="DL111" s="645"/>
      <c r="DM111" s="645"/>
      <c r="DN111" s="645"/>
      <c r="DO111" s="645"/>
      <c r="DP111" s="645"/>
    </row>
    <row r="112" spans="1:120" s="33" customFormat="1" ht="15" customHeight="1">
      <c r="A112" s="316"/>
      <c r="B112" s="648" t="str">
        <f t="shared" si="58"/>
        <v>Toronto</v>
      </c>
      <c r="C112" s="902" t="str">
        <f t="shared" si="43"/>
        <v>Canada</v>
      </c>
      <c r="D112" s="902" t="str">
        <f t="shared" si="44"/>
        <v>Europe</v>
      </c>
      <c r="E112" s="902" t="str">
        <f t="shared" si="45"/>
        <v>A metropolitan area</v>
      </c>
      <c r="F112" s="643">
        <f t="shared" si="46"/>
        <v>2013</v>
      </c>
      <c r="G112" s="644">
        <f t="shared" ref="G112" si="64">F112</f>
        <v>2013</v>
      </c>
      <c r="H112" s="643">
        <f t="shared" si="48"/>
        <v>2741280</v>
      </c>
      <c r="I112" s="643">
        <f t="shared" si="49"/>
        <v>641</v>
      </c>
      <c r="J112" s="1038">
        <f t="shared" si="50"/>
        <v>157000000000</v>
      </c>
      <c r="K112" s="643" t="s">
        <v>172</v>
      </c>
      <c r="L112" s="643" t="s">
        <v>1556</v>
      </c>
      <c r="M112" s="643" t="s">
        <v>1618</v>
      </c>
      <c r="N112" s="646">
        <f t="shared" si="61"/>
        <v>7.0639354519601198</v>
      </c>
      <c r="O112" s="646">
        <f t="shared" si="52"/>
        <v>3.6609472220044483</v>
      </c>
      <c r="P112" s="646">
        <f t="shared" si="52"/>
        <v>2.5716658063040088</v>
      </c>
      <c r="Q112" s="646">
        <f t="shared" si="52"/>
        <v>0.83132242365166287</v>
      </c>
      <c r="S112" s="648" t="str">
        <f t="shared" si="53"/>
        <v>Toronto</v>
      </c>
      <c r="T112" s="646">
        <f t="shared" si="62"/>
        <v>1.694944257217446</v>
      </c>
      <c r="U112" s="646">
        <f t="shared" si="62"/>
        <v>1.4683675311365234</v>
      </c>
      <c r="V112" s="646">
        <f t="shared" si="62"/>
        <v>0.45161001047055904</v>
      </c>
      <c r="W112" s="646" t="str">
        <f t="shared" si="62"/>
        <v/>
      </c>
      <c r="X112" s="646" t="str">
        <f t="shared" si="62"/>
        <v/>
      </c>
      <c r="Y112" s="646" t="str">
        <f t="shared" si="62"/>
        <v/>
      </c>
      <c r="Z112" s="646" t="str">
        <f t="shared" si="62"/>
        <v/>
      </c>
      <c r="AA112" s="646">
        <f t="shared" si="62"/>
        <v>4.6025423179920331E-2</v>
      </c>
      <c r="AB112" s="15"/>
      <c r="AC112" s="1041" t="str">
        <f t="shared" si="55"/>
        <v>Toronto</v>
      </c>
      <c r="AD112" s="646">
        <f t="shared" si="56"/>
        <v>2.51449103715056</v>
      </c>
      <c r="AE112" s="646">
        <f t="shared" si="56"/>
        <v>5.6653477625884255E-2</v>
      </c>
      <c r="AF112" s="646">
        <f t="shared" si="56"/>
        <v>5.2129152756486019E-4</v>
      </c>
      <c r="AG112" s="646" t="str">
        <f t="shared" si="56"/>
        <v/>
      </c>
      <c r="AH112" s="646" t="str">
        <f t="shared" si="56"/>
        <v/>
      </c>
      <c r="AI112" s="15"/>
      <c r="AJ112" s="648" t="str">
        <f t="shared" si="59"/>
        <v>Toronto</v>
      </c>
      <c r="AK112" s="646">
        <f t="shared" si="57"/>
        <v>0.82181963385565671</v>
      </c>
      <c r="AL112" s="646" t="str">
        <f t="shared" si="57"/>
        <v/>
      </c>
      <c r="AM112" s="646" t="str">
        <f t="shared" si="57"/>
        <v/>
      </c>
      <c r="AN112" s="646">
        <f t="shared" si="57"/>
        <v>9.502789796006177E-3</v>
      </c>
      <c r="AO112" s="15"/>
      <c r="AP112" s="15"/>
      <c r="AQ112" s="15"/>
      <c r="AR112" s="15"/>
      <c r="AS112" s="15"/>
      <c r="AT112" s="15"/>
      <c r="AU112" s="15"/>
      <c r="AV112" s="15"/>
      <c r="AW112" s="15"/>
      <c r="AX112" s="15"/>
      <c r="AY112" s="15"/>
      <c r="AZ112" s="15"/>
      <c r="BA112" s="15"/>
      <c r="BB112" s="15"/>
      <c r="BC112" s="15"/>
      <c r="BD112" s="15"/>
      <c r="BE112" s="15"/>
      <c r="BF112" s="15"/>
      <c r="BG112" s="15"/>
      <c r="BH112" s="15"/>
      <c r="BI112" s="15"/>
      <c r="BJ112" s="15"/>
      <c r="BK112" s="15"/>
      <c r="BL112" s="15"/>
      <c r="BM112" s="15"/>
      <c r="BN112" s="15"/>
      <c r="BO112" s="15"/>
      <c r="BP112" s="15"/>
      <c r="BQ112" s="15"/>
      <c r="BR112" s="15"/>
      <c r="BS112" s="15"/>
      <c r="BT112" s="15"/>
      <c r="BU112" s="15"/>
      <c r="BV112" s="15"/>
      <c r="BW112" s="15"/>
      <c r="BX112" s="15"/>
      <c r="BY112" s="15"/>
      <c r="BZ112" s="15"/>
      <c r="CA112" s="15"/>
      <c r="CB112" s="15"/>
      <c r="CC112" s="15"/>
      <c r="CD112" s="15"/>
      <c r="CE112" s="15"/>
      <c r="CF112" s="15"/>
      <c r="CG112" s="15"/>
      <c r="CH112" s="15"/>
      <c r="CI112" s="15"/>
      <c r="CJ112" s="15"/>
      <c r="CK112" s="15"/>
      <c r="CL112" s="15"/>
      <c r="CM112" s="15"/>
      <c r="CN112" s="15"/>
      <c r="CO112" s="15"/>
      <c r="CP112" s="15"/>
      <c r="CQ112" s="15"/>
      <c r="CR112" s="15"/>
      <c r="CS112" s="15"/>
      <c r="CT112" s="15"/>
      <c r="CU112" s="645"/>
      <c r="CV112" s="645"/>
      <c r="CW112" s="645"/>
      <c r="CX112" s="645"/>
      <c r="CY112" s="645"/>
      <c r="CZ112" s="645"/>
      <c r="DA112" s="645"/>
      <c r="DB112" s="645"/>
      <c r="DC112" s="645"/>
      <c r="DD112" s="645"/>
      <c r="DE112" s="645"/>
      <c r="DF112" s="645"/>
      <c r="DG112" s="645"/>
      <c r="DH112" s="645"/>
      <c r="DI112" s="645"/>
      <c r="DJ112" s="645"/>
      <c r="DK112" s="645"/>
      <c r="DL112" s="645"/>
      <c r="DM112" s="645"/>
      <c r="DN112" s="645"/>
      <c r="DO112" s="645"/>
      <c r="DP112" s="645"/>
    </row>
    <row r="113" spans="1:120" s="33" customFormat="1" ht="15" customHeight="1">
      <c r="A113" s="316"/>
      <c r="B113" s="648" t="str">
        <f t="shared" si="58"/>
        <v>City of Vancouver</v>
      </c>
      <c r="C113" s="902" t="str">
        <f t="shared" si="43"/>
        <v>Canada</v>
      </c>
      <c r="D113" s="902" t="str">
        <f t="shared" si="44"/>
        <v>Europe</v>
      </c>
      <c r="E113" s="902" t="str">
        <f t="shared" si="45"/>
        <v xml:space="preserve">Administrative boundary of a local government </v>
      </c>
      <c r="F113" s="643">
        <f t="shared" si="46"/>
        <v>2014</v>
      </c>
      <c r="G113" s="644">
        <f t="shared" ref="G113" si="65">F113</f>
        <v>2014</v>
      </c>
      <c r="H113" s="643">
        <f t="shared" si="48"/>
        <v>618502</v>
      </c>
      <c r="I113" s="643">
        <f t="shared" si="49"/>
        <v>114.97</v>
      </c>
      <c r="J113" s="1038">
        <f t="shared" si="50"/>
        <v>84415033680.342926</v>
      </c>
      <c r="K113" s="643" t="s">
        <v>172</v>
      </c>
      <c r="L113" s="643" t="s">
        <v>1556</v>
      </c>
      <c r="M113" s="643" t="s">
        <v>1618</v>
      </c>
      <c r="N113" s="646">
        <f t="shared" ref="N113" si="66">SUM(O113:Q113)</f>
        <v>4.1365578041813258</v>
      </c>
      <c r="O113" s="646">
        <f t="shared" si="52"/>
        <v>2.2734471175924833</v>
      </c>
      <c r="P113" s="646">
        <f t="shared" si="52"/>
        <v>1.6727604210722569</v>
      </c>
      <c r="Q113" s="646">
        <f t="shared" si="52"/>
        <v>0.19035026551658524</v>
      </c>
      <c r="S113" s="648" t="str">
        <f t="shared" ref="S113" si="67">B113</f>
        <v>City of Vancouver</v>
      </c>
      <c r="T113" s="646">
        <f t="shared" si="62"/>
        <v>0.78372082108434049</v>
      </c>
      <c r="U113" s="646">
        <f t="shared" si="62"/>
        <v>0.89702945587728466</v>
      </c>
      <c r="V113" s="646">
        <f t="shared" si="62"/>
        <v>0.56148085789932578</v>
      </c>
      <c r="W113" s="646" t="str">
        <f t="shared" si="62"/>
        <v/>
      </c>
      <c r="X113" s="646" t="str">
        <f t="shared" si="62"/>
        <v/>
      </c>
      <c r="Y113" s="646" t="str">
        <f t="shared" si="62"/>
        <v/>
      </c>
      <c r="Z113" s="646" t="str">
        <f t="shared" si="62"/>
        <v/>
      </c>
      <c r="AA113" s="646">
        <f t="shared" si="62"/>
        <v>3.1215982731531776E-2</v>
      </c>
      <c r="AB113" s="15"/>
      <c r="AC113" s="1041" t="str">
        <f t="shared" ref="AC113" si="68">B113</f>
        <v>City of Vancouver</v>
      </c>
      <c r="AD113" s="646">
        <f t="shared" si="56"/>
        <v>1.6261988563491132</v>
      </c>
      <c r="AE113" s="646">
        <f t="shared" si="56"/>
        <v>2.011217571550911E-2</v>
      </c>
      <c r="AF113" s="646" t="str">
        <f t="shared" si="56"/>
        <v/>
      </c>
      <c r="AG113" s="646" t="str">
        <f t="shared" si="56"/>
        <v/>
      </c>
      <c r="AH113" s="646">
        <f t="shared" si="56"/>
        <v>2.6449389007634574E-2</v>
      </c>
      <c r="AI113" s="15"/>
      <c r="AJ113" s="648" t="str">
        <f t="shared" ref="AJ113" si="69">B113</f>
        <v>City of Vancouver</v>
      </c>
      <c r="AK113" s="646">
        <f t="shared" si="57"/>
        <v>0.16075891020002928</v>
      </c>
      <c r="AL113" s="646">
        <f t="shared" si="57"/>
        <v>2.100327436289616E-2</v>
      </c>
      <c r="AM113" s="646" t="str">
        <f t="shared" si="57"/>
        <v/>
      </c>
      <c r="AN113" s="646">
        <f t="shared" si="57"/>
        <v>8.588080953659814E-3</v>
      </c>
      <c r="AO113" s="15"/>
      <c r="AP113" s="15"/>
      <c r="AQ113" s="15"/>
      <c r="AR113" s="15"/>
      <c r="AS113" s="15"/>
      <c r="AT113" s="15"/>
      <c r="AU113" s="15"/>
      <c r="AV113" s="15"/>
      <c r="AW113" s="15"/>
      <c r="AX113" s="15"/>
      <c r="AY113" s="15"/>
      <c r="AZ113" s="15"/>
      <c r="BA113" s="15"/>
      <c r="BB113" s="15"/>
      <c r="BC113" s="15"/>
      <c r="BD113" s="15"/>
      <c r="BE113" s="15"/>
      <c r="BF113" s="15"/>
      <c r="BG113" s="15"/>
      <c r="BH113" s="15"/>
      <c r="BI113" s="15"/>
      <c r="BJ113" s="15"/>
      <c r="BK113" s="15"/>
      <c r="BL113" s="15"/>
      <c r="BM113" s="15"/>
      <c r="BN113" s="15"/>
      <c r="BO113" s="15"/>
      <c r="BP113" s="15"/>
      <c r="BQ113" s="15"/>
      <c r="BR113" s="15"/>
      <c r="BS113" s="15"/>
      <c r="BT113" s="15"/>
      <c r="BU113" s="15"/>
      <c r="BV113" s="15"/>
      <c r="BW113" s="15"/>
      <c r="BX113" s="15"/>
      <c r="BY113" s="15"/>
      <c r="BZ113" s="15"/>
      <c r="CA113" s="15"/>
      <c r="CB113" s="15"/>
      <c r="CC113" s="15"/>
      <c r="CD113" s="15"/>
      <c r="CE113" s="15"/>
      <c r="CF113" s="15"/>
      <c r="CG113" s="15"/>
      <c r="CH113" s="15"/>
      <c r="CI113" s="15"/>
      <c r="CJ113" s="15"/>
      <c r="CK113" s="15"/>
      <c r="CL113" s="15"/>
      <c r="CM113" s="15"/>
      <c r="CN113" s="15"/>
      <c r="CO113" s="15"/>
      <c r="CP113" s="15"/>
      <c r="CQ113" s="15"/>
      <c r="CR113" s="15"/>
      <c r="CS113" s="15"/>
      <c r="CT113" s="15"/>
      <c r="CU113" s="645"/>
      <c r="CV113" s="645"/>
      <c r="CW113" s="645"/>
      <c r="CX113" s="645"/>
      <c r="CY113" s="645"/>
      <c r="CZ113" s="645"/>
      <c r="DA113" s="645"/>
      <c r="DB113" s="645"/>
      <c r="DC113" s="645"/>
      <c r="DD113" s="645"/>
      <c r="DE113" s="645"/>
      <c r="DF113" s="645"/>
      <c r="DG113" s="645"/>
      <c r="DH113" s="645"/>
      <c r="DI113" s="645"/>
      <c r="DJ113" s="645"/>
      <c r="DK113" s="645"/>
      <c r="DL113" s="645"/>
      <c r="DM113" s="645"/>
      <c r="DN113" s="645"/>
      <c r="DO113" s="645"/>
      <c r="DP113" s="645"/>
    </row>
    <row r="114" spans="1:120" s="33" customFormat="1" ht="15" customHeight="1">
      <c r="A114" s="316"/>
      <c r="B114" s="648"/>
      <c r="C114" s="902"/>
      <c r="D114" s="902"/>
      <c r="E114" s="902"/>
      <c r="F114" s="643"/>
      <c r="G114" s="644"/>
      <c r="H114" s="643"/>
      <c r="I114" s="643"/>
      <c r="J114" s="1038"/>
      <c r="K114" s="643"/>
      <c r="L114" s="643"/>
      <c r="M114" s="643"/>
      <c r="N114" s="646"/>
      <c r="O114" s="646"/>
      <c r="P114" s="646"/>
      <c r="Q114" s="646"/>
      <c r="S114" s="648"/>
      <c r="T114" s="646"/>
      <c r="U114" s="646"/>
      <c r="V114" s="646"/>
      <c r="W114" s="646"/>
      <c r="X114" s="646"/>
      <c r="Y114" s="646"/>
      <c r="Z114" s="646"/>
      <c r="AA114" s="646"/>
      <c r="AB114" s="15"/>
      <c r="AC114" s="1041"/>
      <c r="AD114" s="646"/>
      <c r="AE114" s="646"/>
      <c r="AF114" s="646"/>
      <c r="AG114" s="646"/>
      <c r="AH114" s="646"/>
      <c r="AI114" s="15"/>
      <c r="AJ114" s="648"/>
      <c r="AK114" s="646"/>
      <c r="AL114" s="646"/>
      <c r="AM114" s="646"/>
      <c r="AN114" s="646"/>
      <c r="AO114" s="15"/>
      <c r="AP114" s="15"/>
      <c r="AQ114" s="15"/>
      <c r="AR114" s="15"/>
      <c r="AS114" s="15"/>
      <c r="AT114" s="15"/>
      <c r="AU114" s="15"/>
      <c r="AV114" s="15"/>
      <c r="AW114" s="15"/>
      <c r="AX114" s="15"/>
      <c r="AY114" s="15"/>
      <c r="AZ114" s="15"/>
      <c r="BA114" s="15"/>
      <c r="BB114" s="15"/>
      <c r="BC114" s="15"/>
      <c r="BD114" s="15"/>
      <c r="BE114" s="15"/>
      <c r="BF114" s="15"/>
      <c r="BG114" s="15"/>
      <c r="BH114" s="15"/>
      <c r="BI114" s="15"/>
      <c r="BJ114" s="15"/>
      <c r="BK114" s="15"/>
      <c r="BL114" s="15"/>
      <c r="BM114" s="15"/>
      <c r="BN114" s="15"/>
      <c r="BO114" s="15"/>
      <c r="BP114" s="15"/>
      <c r="BQ114" s="15"/>
      <c r="BR114" s="15"/>
      <c r="BS114" s="15"/>
      <c r="BT114" s="15"/>
      <c r="BU114" s="15"/>
      <c r="BV114" s="15"/>
      <c r="BW114" s="15"/>
      <c r="BX114" s="15"/>
      <c r="BY114" s="15"/>
      <c r="BZ114" s="15"/>
      <c r="CA114" s="15"/>
      <c r="CB114" s="15"/>
      <c r="CC114" s="15"/>
      <c r="CD114" s="15"/>
      <c r="CE114" s="15"/>
      <c r="CF114" s="15"/>
      <c r="CG114" s="15"/>
      <c r="CH114" s="15"/>
      <c r="CI114" s="15"/>
      <c r="CJ114" s="15"/>
      <c r="CK114" s="15"/>
      <c r="CL114" s="15"/>
      <c r="CM114" s="15"/>
      <c r="CN114" s="15"/>
      <c r="CO114" s="15"/>
      <c r="CP114" s="15"/>
      <c r="CQ114" s="15"/>
      <c r="CR114" s="15"/>
      <c r="CS114" s="15"/>
      <c r="CT114" s="15"/>
      <c r="CU114" s="645"/>
      <c r="CV114" s="645"/>
      <c r="CW114" s="645"/>
      <c r="CX114" s="645"/>
      <c r="CY114" s="645"/>
      <c r="CZ114" s="645"/>
      <c r="DA114" s="645"/>
      <c r="DB114" s="645"/>
      <c r="DC114" s="645"/>
      <c r="DD114" s="645"/>
      <c r="DE114" s="645"/>
      <c r="DF114" s="645"/>
      <c r="DG114" s="645"/>
      <c r="DH114" s="645"/>
      <c r="DI114" s="645"/>
      <c r="DJ114" s="645"/>
      <c r="DK114" s="645"/>
      <c r="DL114" s="645"/>
      <c r="DM114" s="645"/>
      <c r="DN114" s="645"/>
      <c r="DO114" s="645"/>
      <c r="DP114" s="645"/>
    </row>
    <row r="115" spans="1:120" s="35" customFormat="1" ht="15" customHeight="1">
      <c r="A115" s="909"/>
      <c r="B115" s="911"/>
      <c r="C115" s="912"/>
      <c r="D115" s="913"/>
      <c r="E115" s="912"/>
      <c r="F115" s="914"/>
      <c r="G115" s="914"/>
      <c r="H115" s="910"/>
      <c r="I115" s="910"/>
      <c r="J115" s="913"/>
      <c r="K115" s="913"/>
      <c r="L115" s="913"/>
      <c r="M115" s="912"/>
      <c r="N115" s="910"/>
      <c r="O115" s="910"/>
      <c r="P115" s="910"/>
      <c r="Q115" s="910"/>
      <c r="R115" s="33"/>
      <c r="S115" s="22"/>
      <c r="T115" s="22"/>
      <c r="U115" s="22"/>
      <c r="V115" s="22"/>
      <c r="W115" s="22"/>
      <c r="X115" s="22"/>
      <c r="Y115" s="22"/>
      <c r="Z115" s="22"/>
      <c r="AA115" s="22"/>
      <c r="AB115" s="22"/>
      <c r="AC115" s="22"/>
      <c r="AD115" s="22"/>
      <c r="AE115" s="22"/>
      <c r="AF115" s="22"/>
      <c r="AG115" s="22"/>
      <c r="AH115" s="22"/>
      <c r="AI115" s="22"/>
      <c r="AJ115" s="22"/>
      <c r="AK115" s="22"/>
      <c r="AL115" s="22"/>
      <c r="AM115" s="22"/>
      <c r="AN115" s="22"/>
      <c r="AO115" s="22"/>
      <c r="AP115" s="22"/>
      <c r="AQ115" s="22"/>
      <c r="AR115" s="22"/>
      <c r="AS115" s="22"/>
      <c r="AT115" s="22"/>
      <c r="AU115" s="22"/>
      <c r="AV115" s="22"/>
      <c r="AW115" s="22"/>
      <c r="AX115" s="22"/>
      <c r="AY115" s="22"/>
      <c r="AZ115" s="22"/>
      <c r="BA115" s="22"/>
      <c r="BB115" s="22"/>
      <c r="BC115" s="22"/>
      <c r="BD115" s="22"/>
      <c r="BE115" s="22"/>
      <c r="BF115" s="22"/>
      <c r="BG115" s="22"/>
      <c r="BH115" s="22"/>
      <c r="BI115" s="22"/>
      <c r="BJ115" s="22"/>
      <c r="BK115" s="22"/>
      <c r="BL115" s="22"/>
      <c r="BM115" s="22"/>
      <c r="BN115" s="22"/>
      <c r="BO115" s="22"/>
      <c r="BP115" s="22"/>
      <c r="BQ115" s="22"/>
      <c r="BR115" s="22"/>
      <c r="BS115" s="22"/>
      <c r="BT115" s="22"/>
      <c r="BU115" s="22"/>
      <c r="BV115" s="22"/>
      <c r="BW115" s="22"/>
      <c r="BX115" s="22"/>
      <c r="BY115" s="22"/>
      <c r="BZ115" s="22"/>
      <c r="CA115" s="22"/>
      <c r="CB115" s="22"/>
      <c r="CC115" s="22"/>
      <c r="CD115" s="22"/>
      <c r="CE115" s="22"/>
      <c r="CF115" s="22"/>
      <c r="CG115" s="22"/>
      <c r="CH115" s="22"/>
      <c r="CI115" s="22"/>
      <c r="CJ115" s="22"/>
      <c r="CK115" s="22"/>
      <c r="CL115" s="22"/>
      <c r="CM115" s="22"/>
      <c r="CN115" s="22"/>
      <c r="CO115" s="22"/>
      <c r="CP115" s="22"/>
      <c r="CQ115" s="22"/>
      <c r="CR115" s="22"/>
      <c r="CS115" s="22"/>
      <c r="CT115" s="22"/>
    </row>
    <row r="116" spans="1:120" s="35" customFormat="1" ht="18" customHeight="1" thickBot="1">
      <c r="A116" s="909"/>
      <c r="B116" s="1496" t="s">
        <v>1899</v>
      </c>
      <c r="C116" s="1489"/>
      <c r="D116" s="1489"/>
      <c r="E116" s="1489"/>
      <c r="F116" s="1489"/>
      <c r="G116" s="1489"/>
      <c r="H116" s="1489"/>
      <c r="I116" s="1489"/>
      <c r="J116" s="1489"/>
      <c r="K116" s="1489"/>
      <c r="L116" s="1489"/>
      <c r="M116" s="1489"/>
      <c r="N116" s="1489"/>
      <c r="O116" s="1489"/>
      <c r="P116" s="1489"/>
      <c r="Q116" s="1489"/>
      <c r="R116" s="1489"/>
      <c r="S116" s="1489"/>
      <c r="T116" s="1489"/>
      <c r="U116" s="1489"/>
      <c r="V116" s="1489"/>
      <c r="W116" s="1489"/>
      <c r="X116" s="1489"/>
      <c r="Y116" s="1489"/>
      <c r="Z116" s="1489"/>
      <c r="AA116" s="1489"/>
      <c r="AB116" s="1489"/>
      <c r="AC116" s="1489"/>
      <c r="AD116" s="1489"/>
      <c r="AE116" s="1489"/>
      <c r="AF116" s="1489"/>
      <c r="AG116" s="1489"/>
      <c r="AH116" s="1489"/>
      <c r="AI116" s="1489"/>
      <c r="AJ116" s="1489"/>
      <c r="AK116" s="1489"/>
      <c r="AL116" s="1489"/>
      <c r="AM116" s="1489"/>
      <c r="AN116" s="1489"/>
      <c r="AO116" s="1489"/>
      <c r="AP116" s="1489"/>
      <c r="AQ116" s="1489"/>
      <c r="AR116" s="1489"/>
      <c r="AS116" s="1489"/>
      <c r="AT116" s="1489"/>
      <c r="AU116" s="1489"/>
      <c r="AV116" s="1489"/>
      <c r="AW116" s="15"/>
      <c r="AX116" s="22"/>
      <c r="AY116" s="22"/>
      <c r="AZ116" s="22"/>
      <c r="BA116" s="22"/>
      <c r="BB116" s="22"/>
      <c r="BC116" s="22"/>
      <c r="BD116" s="22"/>
      <c r="BE116" s="22"/>
      <c r="BF116" s="22"/>
      <c r="BG116" s="22"/>
      <c r="BH116" s="22"/>
      <c r="BI116" s="22"/>
      <c r="BJ116" s="22"/>
      <c r="BK116" s="22"/>
      <c r="BL116" s="22"/>
      <c r="BM116" s="22"/>
      <c r="BN116" s="22"/>
      <c r="BO116" s="22"/>
      <c r="BP116" s="22"/>
      <c r="BQ116" s="22"/>
      <c r="BR116" s="22"/>
      <c r="BS116" s="22"/>
      <c r="BT116" s="22"/>
      <c r="BU116" s="22"/>
      <c r="BV116" s="22"/>
      <c r="BW116" s="22"/>
      <c r="BX116" s="22"/>
      <c r="BY116" s="22"/>
      <c r="BZ116" s="22"/>
      <c r="CA116" s="22"/>
      <c r="CB116" s="22"/>
      <c r="CC116" s="22"/>
      <c r="CD116" s="22"/>
      <c r="CE116" s="22"/>
      <c r="CF116" s="22"/>
      <c r="CG116" s="22"/>
      <c r="CH116" s="22"/>
      <c r="CI116" s="22"/>
      <c r="CJ116" s="22"/>
      <c r="CK116" s="22"/>
      <c r="CL116" s="22"/>
      <c r="CM116" s="22"/>
      <c r="CN116" s="22"/>
      <c r="CO116" s="22"/>
      <c r="CP116" s="22"/>
      <c r="CQ116" s="22"/>
      <c r="CR116" s="22"/>
      <c r="CS116" s="22"/>
      <c r="CT116" s="22"/>
    </row>
    <row r="117" spans="1:120" s="35" customFormat="1" ht="15" customHeight="1">
      <c r="A117" s="909"/>
      <c r="B117" s="911"/>
      <c r="C117" s="912"/>
      <c r="D117" s="913"/>
      <c r="E117" s="912"/>
      <c r="F117" s="914"/>
      <c r="G117" s="914"/>
      <c r="H117" s="910"/>
      <c r="I117" s="910"/>
      <c r="J117" s="913"/>
      <c r="K117" s="913"/>
      <c r="L117" s="913"/>
      <c r="M117" s="912"/>
      <c r="N117" s="910"/>
      <c r="O117" s="910"/>
      <c r="P117" s="910"/>
      <c r="Q117" s="910"/>
      <c r="R117" s="33"/>
      <c r="S117" s="22"/>
      <c r="T117" s="22"/>
      <c r="U117" s="22"/>
      <c r="V117" s="22"/>
      <c r="W117" s="22"/>
      <c r="X117" s="22"/>
      <c r="Y117" s="22"/>
      <c r="Z117" s="22"/>
      <c r="AA117" s="22"/>
      <c r="AB117" s="22"/>
      <c r="AC117" s="22"/>
      <c r="AD117" s="22"/>
      <c r="AE117" s="22"/>
      <c r="AF117" s="22"/>
      <c r="AG117" s="22"/>
      <c r="AH117" s="22"/>
      <c r="AI117" s="22"/>
      <c r="AJ117" s="22"/>
      <c r="AK117" s="22"/>
      <c r="AL117" s="22"/>
      <c r="AM117" s="22"/>
      <c r="AN117" s="22"/>
      <c r="AO117" s="22"/>
      <c r="AP117" s="22"/>
      <c r="AQ117" s="22"/>
      <c r="AR117" s="22"/>
      <c r="AS117" s="22"/>
      <c r="AT117" s="22"/>
      <c r="AU117" s="22"/>
      <c r="AV117" s="22"/>
      <c r="AW117" s="22"/>
      <c r="AX117" s="22"/>
      <c r="AY117" s="22"/>
      <c r="AZ117" s="22"/>
      <c r="BA117" s="22"/>
      <c r="BB117" s="22"/>
      <c r="BC117" s="22"/>
      <c r="BD117" s="22"/>
      <c r="BE117" s="22"/>
      <c r="BF117" s="22"/>
      <c r="BG117" s="22"/>
      <c r="BH117" s="22"/>
      <c r="BI117" s="22"/>
      <c r="BJ117" s="22"/>
      <c r="BK117" s="22"/>
      <c r="BL117" s="22"/>
      <c r="BM117" s="22"/>
      <c r="BN117" s="22"/>
      <c r="BO117" s="22"/>
      <c r="BP117" s="22"/>
      <c r="BQ117" s="22"/>
      <c r="BR117" s="22"/>
      <c r="BS117" s="22"/>
      <c r="BT117" s="22"/>
      <c r="BU117" s="22"/>
      <c r="BV117" s="22"/>
      <c r="BW117" s="22"/>
      <c r="BX117" s="22"/>
      <c r="BY117" s="22"/>
      <c r="BZ117" s="22"/>
      <c r="CA117" s="22"/>
      <c r="CB117" s="22"/>
      <c r="CC117" s="22"/>
      <c r="CD117" s="22"/>
      <c r="CE117" s="22"/>
      <c r="CF117" s="22"/>
      <c r="CG117" s="22"/>
      <c r="CH117" s="22"/>
      <c r="CI117" s="22"/>
      <c r="CJ117" s="22"/>
      <c r="CK117" s="22"/>
      <c r="CL117" s="22"/>
      <c r="CM117" s="22"/>
      <c r="CN117" s="22"/>
      <c r="CO117" s="22"/>
      <c r="CP117" s="22"/>
      <c r="CQ117" s="22"/>
      <c r="CR117" s="22"/>
      <c r="CS117" s="22"/>
      <c r="CT117" s="22"/>
    </row>
    <row r="118" spans="1:120" s="642" customFormat="1" ht="15" customHeight="1">
      <c r="B118" s="906" t="s">
        <v>1025</v>
      </c>
      <c r="C118" s="907" t="s">
        <v>620</v>
      </c>
      <c r="D118" s="907" t="s">
        <v>1117</v>
      </c>
      <c r="E118" s="907" t="s">
        <v>685</v>
      </c>
      <c r="F118" s="908" t="s">
        <v>1616</v>
      </c>
      <c r="G118" s="908" t="s">
        <v>729</v>
      </c>
      <c r="H118" s="907" t="s">
        <v>1034</v>
      </c>
      <c r="I118" s="907" t="s">
        <v>1614</v>
      </c>
      <c r="J118" s="907" t="s">
        <v>1613</v>
      </c>
      <c r="K118" s="907" t="s">
        <v>1636</v>
      </c>
      <c r="L118" s="907" t="s">
        <v>1643</v>
      </c>
      <c r="M118" s="908" t="s">
        <v>919</v>
      </c>
      <c r="N118" s="908" t="s">
        <v>174</v>
      </c>
      <c r="O118" s="908" t="s">
        <v>46</v>
      </c>
      <c r="P118" s="908" t="s">
        <v>87</v>
      </c>
      <c r="Q118" s="620" t="s">
        <v>119</v>
      </c>
      <c r="R118" s="33"/>
      <c r="S118" s="617" t="s">
        <v>1025</v>
      </c>
      <c r="T118" s="1078" t="s">
        <v>1897</v>
      </c>
      <c r="U118" s="1078" t="s">
        <v>1709</v>
      </c>
      <c r="V118" s="1078" t="s">
        <v>1710</v>
      </c>
      <c r="W118" s="1078" t="s">
        <v>9</v>
      </c>
      <c r="X118" s="1078" t="s">
        <v>768</v>
      </c>
      <c r="Y118" s="1078" t="s">
        <v>1712</v>
      </c>
      <c r="Z118" s="1078" t="s">
        <v>1713</v>
      </c>
      <c r="AA118" s="1079" t="s">
        <v>1896</v>
      </c>
      <c r="AB118" s="15"/>
      <c r="AC118" s="1066" t="s">
        <v>1025</v>
      </c>
      <c r="AD118" s="1067" t="s">
        <v>16</v>
      </c>
      <c r="AE118" s="1067" t="s">
        <v>267</v>
      </c>
      <c r="AF118" s="1067" t="s">
        <v>268</v>
      </c>
      <c r="AG118" s="1067" t="s">
        <v>269</v>
      </c>
      <c r="AH118" s="1069" t="s">
        <v>20</v>
      </c>
      <c r="AI118" s="15"/>
      <c r="AJ118" s="617" t="s">
        <v>1025</v>
      </c>
      <c r="AK118" s="618" t="s">
        <v>1898</v>
      </c>
      <c r="AL118" s="618" t="s">
        <v>1706</v>
      </c>
      <c r="AM118" s="618" t="s">
        <v>1605</v>
      </c>
      <c r="AN118" s="958" t="s">
        <v>775</v>
      </c>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BL118" s="15"/>
      <c r="BM118" s="15"/>
      <c r="BN118" s="15"/>
      <c r="BO118" s="15"/>
      <c r="BP118" s="15"/>
      <c r="BQ118" s="15"/>
      <c r="BR118" s="15"/>
      <c r="BS118" s="15"/>
      <c r="BT118" s="15"/>
      <c r="BU118" s="15"/>
      <c r="BV118" s="15"/>
      <c r="BW118" s="15"/>
      <c r="BX118" s="15"/>
      <c r="BY118" s="15"/>
      <c r="BZ118" s="15"/>
      <c r="CA118" s="15"/>
      <c r="CB118" s="15"/>
      <c r="CC118" s="15"/>
      <c r="CD118" s="15"/>
      <c r="CE118" s="15"/>
      <c r="CF118" s="15"/>
      <c r="CG118" s="15"/>
      <c r="CH118" s="15"/>
      <c r="CI118" s="15"/>
      <c r="CJ118" s="15"/>
      <c r="CK118" s="15"/>
      <c r="CL118" s="15"/>
      <c r="CM118" s="15"/>
      <c r="CN118" s="15"/>
      <c r="CO118" s="15"/>
      <c r="CP118" s="15"/>
      <c r="CQ118" s="15"/>
      <c r="CR118" s="15"/>
      <c r="CS118" s="15"/>
      <c r="CT118" s="15"/>
      <c r="CU118" s="641"/>
      <c r="CV118" s="641"/>
      <c r="CW118" s="641"/>
      <c r="CX118" s="641"/>
      <c r="CY118" s="641"/>
      <c r="CZ118" s="641"/>
      <c r="DA118" s="641"/>
      <c r="DB118" s="641"/>
      <c r="DC118" s="641"/>
      <c r="DD118" s="641"/>
      <c r="DE118" s="641"/>
      <c r="DF118" s="641"/>
      <c r="DG118" s="641"/>
      <c r="DH118" s="641"/>
      <c r="DI118" s="641"/>
      <c r="DJ118" s="641"/>
      <c r="DK118" s="641"/>
      <c r="DL118" s="641"/>
      <c r="DM118" s="641"/>
      <c r="DN118" s="641"/>
      <c r="DO118" s="641"/>
      <c r="DP118" s="641"/>
    </row>
    <row r="119" spans="1:120" s="33" customFormat="1" ht="15" customHeight="1">
      <c r="A119" s="316"/>
      <c r="B119" s="648" t="str">
        <f>B12</f>
        <v>Atlantis</v>
      </c>
      <c r="C119" s="902" t="str">
        <f t="shared" ref="C119:C147" si="70">VLOOKUP($B119,$B$10:$J$44,2,FALSE)</f>
        <v>Greece</v>
      </c>
      <c r="D119" s="902" t="str">
        <f t="shared" ref="D119:D147" si="71">VLOOKUP($B119,$B$10:$J$44,3,FALSE)</f>
        <v>Europe</v>
      </c>
      <c r="E119" s="902" t="str">
        <f t="shared" ref="E119:E147" si="72">VLOOKUP($B119,$B$10:$J$44,4,FALSE)</f>
        <v>A metropolitan area</v>
      </c>
      <c r="F119" s="643">
        <f t="shared" ref="F119:F147" si="73">VLOOKUP($B119,$B$10:$J$44,5,FALSE)</f>
        <v>2014</v>
      </c>
      <c r="G119" s="644">
        <f t="shared" ref="G119:G144" si="74">F119</f>
        <v>2014</v>
      </c>
      <c r="H119" s="643">
        <f t="shared" ref="H119:H147" si="75">VLOOKUP($B119,$B$10:$J$44,6,FALSE)</f>
        <v>1500000</v>
      </c>
      <c r="I119" s="643">
        <f t="shared" ref="I119:I147" si="76">VLOOKUP($B119,$B$10:$J$44,7,FALSE)</f>
        <v>1000</v>
      </c>
      <c r="J119" s="1038">
        <f t="shared" ref="J119:J147" si="77">VLOOKUP($B119,$B$10:$J$44,8,FALSE)</f>
        <v>200000000000</v>
      </c>
      <c r="K119" s="643" t="s">
        <v>172</v>
      </c>
      <c r="L119" s="643" t="s">
        <v>1556</v>
      </c>
      <c r="M119" s="643" t="s">
        <v>1638</v>
      </c>
      <c r="N119" s="647">
        <f t="shared" ref="N119:N146" si="78">SUM(O119:Q119)</f>
        <v>11732.590665547676</v>
      </c>
      <c r="O119" s="647">
        <f t="shared" ref="O119:Q147" si="79">IF(ISERROR(O51/$I51),"",O51/$I51)</f>
        <v>6009.8565042582859</v>
      </c>
      <c r="P119" s="647">
        <f t="shared" si="79"/>
        <v>3672.7341612893902</v>
      </c>
      <c r="Q119" s="647">
        <f t="shared" si="79"/>
        <v>2050</v>
      </c>
      <c r="S119" s="648" t="str">
        <f t="shared" ref="S119:S145" si="80">B119</f>
        <v>Atlantis</v>
      </c>
      <c r="T119" s="647">
        <f t="shared" ref="T119:AA128" si="81">IF(ISERROR(T51/$I51),"",T51/$I51)</f>
        <v>2619.2288489350003</v>
      </c>
      <c r="U119" s="647">
        <f t="shared" si="81"/>
        <v>3358.4853206000003</v>
      </c>
      <c r="V119" s="647" t="str">
        <f t="shared" si="81"/>
        <v/>
      </c>
      <c r="W119" s="647" t="str">
        <f t="shared" si="81"/>
        <v/>
      </c>
      <c r="X119" s="647" t="str">
        <f t="shared" si="81"/>
        <v/>
      </c>
      <c r="Y119" s="647" t="str">
        <f t="shared" si="81"/>
        <v/>
      </c>
      <c r="Z119" s="647" t="str">
        <f t="shared" si="81"/>
        <v/>
      </c>
      <c r="AA119" s="647">
        <f t="shared" si="81"/>
        <v>32.142334723285572</v>
      </c>
      <c r="AB119" s="15"/>
      <c r="AC119" s="1041" t="str">
        <f t="shared" ref="AC119:AC146" si="82">B119</f>
        <v>Atlantis</v>
      </c>
      <c r="AD119" s="647">
        <f t="shared" ref="AD119:AH147" si="83">IF(ISERROR(AD51/$I51),"",AD51/$I51)</f>
        <v>2791.0989412951999</v>
      </c>
      <c r="AE119" s="647">
        <f t="shared" si="83"/>
        <v>861.37672414240001</v>
      </c>
      <c r="AF119" s="647">
        <f t="shared" si="83"/>
        <v>20.258495851789849</v>
      </c>
      <c r="AG119" s="647" t="str">
        <f t="shared" si="83"/>
        <v/>
      </c>
      <c r="AH119" s="647" t="str">
        <f t="shared" si="83"/>
        <v/>
      </c>
      <c r="AI119" s="15"/>
      <c r="AJ119" s="648" t="str">
        <f>B119</f>
        <v>Atlantis</v>
      </c>
      <c r="AK119" s="647">
        <f t="shared" ref="AK119:AN147" si="84">IF(ISERROR(AK51/$I51),"",AK51/$I51)</f>
        <v>2000</v>
      </c>
      <c r="AL119" s="647" t="str">
        <f t="shared" si="84"/>
        <v/>
      </c>
      <c r="AM119" s="647" t="str">
        <f t="shared" si="84"/>
        <v/>
      </c>
      <c r="AN119" s="647">
        <f t="shared" si="84"/>
        <v>50</v>
      </c>
      <c r="AO119" s="15"/>
      <c r="AP119" s="15"/>
      <c r="AQ119" s="15"/>
      <c r="AR119" s="15"/>
      <c r="AS119" s="15"/>
      <c r="AT119" s="15"/>
      <c r="AU119" s="15"/>
      <c r="AV119" s="15"/>
      <c r="AW119" s="15"/>
      <c r="AX119" s="15"/>
      <c r="AY119" s="15"/>
      <c r="AZ119" s="15"/>
      <c r="BA119" s="15"/>
      <c r="BB119" s="15"/>
      <c r="BC119" s="15"/>
      <c r="BD119" s="15"/>
      <c r="BE119" s="15"/>
      <c r="BF119" s="15"/>
      <c r="BG119" s="15"/>
      <c r="BH119" s="15"/>
      <c r="BI119" s="15"/>
      <c r="BJ119" s="15"/>
      <c r="BK119" s="15"/>
      <c r="BL119" s="15"/>
      <c r="BM119" s="15"/>
      <c r="BN119" s="15"/>
      <c r="BO119" s="15"/>
      <c r="BP119" s="15"/>
      <c r="BQ119" s="15"/>
      <c r="BR119" s="15"/>
      <c r="BS119" s="15"/>
      <c r="BT119" s="15"/>
      <c r="BU119" s="15"/>
      <c r="BV119" s="15"/>
      <c r="BW119" s="15"/>
      <c r="BX119" s="15"/>
      <c r="BY119" s="15"/>
      <c r="BZ119" s="15"/>
      <c r="CA119" s="15"/>
      <c r="CB119" s="15"/>
      <c r="CC119" s="15"/>
      <c r="CD119" s="15"/>
      <c r="CE119" s="15"/>
      <c r="CF119" s="15"/>
      <c r="CG119" s="15"/>
      <c r="CH119" s="15"/>
      <c r="CI119" s="15"/>
      <c r="CJ119" s="15"/>
      <c r="CK119" s="15"/>
      <c r="CL119" s="15"/>
      <c r="CM119" s="15"/>
      <c r="CN119" s="15"/>
      <c r="CO119" s="15"/>
      <c r="CP119" s="15"/>
      <c r="CQ119" s="15"/>
      <c r="CR119" s="15"/>
      <c r="CS119" s="15"/>
      <c r="CT119" s="15"/>
      <c r="CU119" s="645"/>
      <c r="CV119" s="645"/>
      <c r="CW119" s="645"/>
      <c r="CX119" s="645"/>
      <c r="CY119" s="645"/>
      <c r="CZ119" s="645"/>
      <c r="DA119" s="645"/>
      <c r="DB119" s="645"/>
      <c r="DC119" s="645"/>
      <c r="DD119" s="645"/>
      <c r="DE119" s="645"/>
      <c r="DF119" s="645"/>
      <c r="DG119" s="645"/>
      <c r="DH119" s="645"/>
      <c r="DI119" s="645"/>
      <c r="DJ119" s="645"/>
      <c r="DK119" s="645"/>
      <c r="DL119" s="645"/>
      <c r="DM119" s="645"/>
      <c r="DN119" s="645"/>
      <c r="DO119" s="645"/>
      <c r="DP119" s="645"/>
    </row>
    <row r="120" spans="1:120" s="33" customFormat="1" ht="15" customHeight="1">
      <c r="A120" s="316"/>
      <c r="B120" s="648" t="str">
        <f t="shared" ref="B120:B147" si="85">B13</f>
        <v>Amman</v>
      </c>
      <c r="C120" s="902" t="str">
        <f t="shared" si="70"/>
        <v>Jordan</v>
      </c>
      <c r="D120" s="902" t="str">
        <f t="shared" si="71"/>
        <v>South and West Asia</v>
      </c>
      <c r="E120" s="902" t="str">
        <f t="shared" si="72"/>
        <v>A metropolitan area</v>
      </c>
      <c r="F120" s="643">
        <f t="shared" si="73"/>
        <v>2014</v>
      </c>
      <c r="G120" s="644">
        <f t="shared" si="74"/>
        <v>2014</v>
      </c>
      <c r="H120" s="643">
        <f t="shared" si="75"/>
        <v>3400000</v>
      </c>
      <c r="I120" s="643">
        <f t="shared" si="76"/>
        <v>801.92</v>
      </c>
      <c r="J120" s="1038">
        <f t="shared" si="77"/>
        <v>15068000000</v>
      </c>
      <c r="K120" s="643" t="s">
        <v>172</v>
      </c>
      <c r="L120" s="643" t="s">
        <v>1556</v>
      </c>
      <c r="M120" s="643" t="s">
        <v>1638</v>
      </c>
      <c r="N120" s="647">
        <f t="shared" si="78"/>
        <v>9267.0363792250373</v>
      </c>
      <c r="O120" s="647">
        <f t="shared" si="79"/>
        <v>5929.1172333966761</v>
      </c>
      <c r="P120" s="647">
        <f t="shared" si="79"/>
        <v>2827.6576931896934</v>
      </c>
      <c r="Q120" s="647">
        <f t="shared" si="79"/>
        <v>510.26145263866732</v>
      </c>
      <c r="S120" s="648" t="str">
        <f t="shared" si="80"/>
        <v>Amman</v>
      </c>
      <c r="T120" s="647">
        <f t="shared" si="81"/>
        <v>3057.9055848869762</v>
      </c>
      <c r="U120" s="647">
        <f t="shared" si="81"/>
        <v>2462.0012219161745</v>
      </c>
      <c r="V120" s="647">
        <f t="shared" si="81"/>
        <v>409.21042659352537</v>
      </c>
      <c r="W120" s="647" t="str">
        <f t="shared" si="81"/>
        <v/>
      </c>
      <c r="X120" s="647" t="str">
        <f t="shared" si="81"/>
        <v/>
      </c>
      <c r="Y120" s="647" t="str">
        <f t="shared" si="81"/>
        <v/>
      </c>
      <c r="Z120" s="647" t="str">
        <f t="shared" si="81"/>
        <v/>
      </c>
      <c r="AA120" s="647" t="str">
        <f t="shared" si="81"/>
        <v/>
      </c>
      <c r="AB120" s="15"/>
      <c r="AC120" s="1041" t="str">
        <f t="shared" si="82"/>
        <v>Amman</v>
      </c>
      <c r="AD120" s="647">
        <f t="shared" si="83"/>
        <v>2827.6576931896934</v>
      </c>
      <c r="AE120" s="647" t="str">
        <f t="shared" si="83"/>
        <v/>
      </c>
      <c r="AF120" s="647" t="str">
        <f t="shared" si="83"/>
        <v/>
      </c>
      <c r="AG120" s="647" t="str">
        <f t="shared" si="83"/>
        <v/>
      </c>
      <c r="AH120" s="647" t="str">
        <f t="shared" si="83"/>
        <v/>
      </c>
      <c r="AI120" s="15"/>
      <c r="AJ120" s="648" t="str">
        <f t="shared" ref="AJ120:AJ146" si="86">B120</f>
        <v>Amman</v>
      </c>
      <c r="AK120" s="647">
        <f t="shared" si="84"/>
        <v>204.75611544792508</v>
      </c>
      <c r="AL120" s="647" t="str">
        <f t="shared" si="84"/>
        <v/>
      </c>
      <c r="AM120" s="647" t="str">
        <f t="shared" si="84"/>
        <v/>
      </c>
      <c r="AN120" s="647">
        <f t="shared" si="84"/>
        <v>305.50533719074224</v>
      </c>
      <c r="AO120" s="15"/>
      <c r="AP120" s="15"/>
      <c r="AQ120" s="15"/>
      <c r="AR120" s="15"/>
      <c r="AS120" s="15"/>
      <c r="AT120" s="15"/>
      <c r="AU120" s="15"/>
      <c r="AV120" s="15"/>
      <c r="AW120" s="15"/>
      <c r="AX120" s="15"/>
      <c r="AY120" s="15"/>
      <c r="AZ120" s="15"/>
      <c r="BA120" s="15"/>
      <c r="BB120" s="15"/>
      <c r="BC120" s="15"/>
      <c r="BD120" s="15"/>
      <c r="BE120" s="15"/>
      <c r="BF120" s="15"/>
      <c r="BG120" s="15"/>
      <c r="BH120" s="15"/>
      <c r="BI120" s="15"/>
      <c r="BJ120" s="15"/>
      <c r="BK120" s="15"/>
      <c r="BL120" s="15"/>
      <c r="BM120" s="15"/>
      <c r="BN120" s="15"/>
      <c r="BO120" s="15"/>
      <c r="BP120" s="15"/>
      <c r="BQ120" s="15"/>
      <c r="BR120" s="15"/>
      <c r="BS120" s="15"/>
      <c r="BT120" s="15"/>
      <c r="BU120" s="15"/>
      <c r="BV120" s="15"/>
      <c r="BW120" s="15"/>
      <c r="BX120" s="15"/>
      <c r="BY120" s="15"/>
      <c r="BZ120" s="15"/>
      <c r="CA120" s="15"/>
      <c r="CB120" s="15"/>
      <c r="CC120" s="15"/>
      <c r="CD120" s="15"/>
      <c r="CE120" s="15"/>
      <c r="CF120" s="15"/>
      <c r="CG120" s="15"/>
      <c r="CH120" s="15"/>
      <c r="CI120" s="15"/>
      <c r="CJ120" s="15"/>
      <c r="CK120" s="15"/>
      <c r="CL120" s="15"/>
      <c r="CM120" s="15"/>
      <c r="CN120" s="15"/>
      <c r="CO120" s="15"/>
      <c r="CP120" s="15"/>
      <c r="CQ120" s="15"/>
      <c r="CR120" s="15"/>
      <c r="CS120" s="15"/>
      <c r="CT120" s="15"/>
      <c r="CU120" s="645"/>
      <c r="CV120" s="645"/>
      <c r="CW120" s="645"/>
      <c r="CX120" s="645"/>
      <c r="CY120" s="645"/>
      <c r="CZ120" s="645"/>
      <c r="DA120" s="645"/>
      <c r="DB120" s="645"/>
      <c r="DC120" s="645"/>
      <c r="DD120" s="645"/>
      <c r="DE120" s="645"/>
      <c r="DF120" s="645"/>
      <c r="DG120" s="645"/>
      <c r="DH120" s="645"/>
      <c r="DI120" s="645"/>
      <c r="DJ120" s="645"/>
      <c r="DK120" s="645"/>
      <c r="DL120" s="645"/>
      <c r="DM120" s="645"/>
      <c r="DN120" s="645"/>
      <c r="DO120" s="645"/>
      <c r="DP120" s="645"/>
    </row>
    <row r="121" spans="1:120" s="33" customFormat="1" ht="15" customHeight="1">
      <c r="A121" s="316"/>
      <c r="B121" s="648" t="str">
        <f t="shared" si="85"/>
        <v>Athens</v>
      </c>
      <c r="C121" s="902" t="str">
        <f t="shared" si="70"/>
        <v>Greece</v>
      </c>
      <c r="D121" s="902" t="str">
        <f t="shared" si="71"/>
        <v>Europe</v>
      </c>
      <c r="E121" s="902" t="str">
        <f t="shared" si="72"/>
        <v xml:space="preserve">Administrative boundary of a local government </v>
      </c>
      <c r="F121" s="643">
        <f t="shared" si="73"/>
        <v>2014</v>
      </c>
      <c r="G121" s="644">
        <f t="shared" si="74"/>
        <v>2014</v>
      </c>
      <c r="H121" s="643">
        <f t="shared" si="75"/>
        <v>664046</v>
      </c>
      <c r="I121" s="643">
        <f t="shared" si="76"/>
        <v>39</v>
      </c>
      <c r="J121" s="1038">
        <f t="shared" si="77"/>
        <v>22249382330</v>
      </c>
      <c r="K121" s="643" t="s">
        <v>172</v>
      </c>
      <c r="L121" s="643" t="s">
        <v>1556</v>
      </c>
      <c r="M121" s="643" t="s">
        <v>1638</v>
      </c>
      <c r="N121" s="647">
        <f t="shared" si="78"/>
        <v>121889.355873305</v>
      </c>
      <c r="O121" s="647">
        <f t="shared" si="79"/>
        <v>85427.981320787789</v>
      </c>
      <c r="P121" s="647">
        <f t="shared" si="79"/>
        <v>27295.62655743353</v>
      </c>
      <c r="Q121" s="647">
        <f t="shared" si="79"/>
        <v>9165.7479950836914</v>
      </c>
      <c r="S121" s="648" t="str">
        <f t="shared" si="80"/>
        <v>Athens</v>
      </c>
      <c r="T121" s="647">
        <f t="shared" si="81"/>
        <v>50318.356936289369</v>
      </c>
      <c r="U121" s="647">
        <f t="shared" si="81"/>
        <v>34144.627893753655</v>
      </c>
      <c r="V121" s="647">
        <f t="shared" si="81"/>
        <v>955.61694548200467</v>
      </c>
      <c r="W121" s="647" t="str">
        <f t="shared" si="81"/>
        <v/>
      </c>
      <c r="X121" s="647" t="str">
        <f t="shared" si="81"/>
        <v/>
      </c>
      <c r="Y121" s="647" t="str">
        <f t="shared" si="81"/>
        <v/>
      </c>
      <c r="Z121" s="647" t="str">
        <f t="shared" si="81"/>
        <v/>
      </c>
      <c r="AA121" s="647">
        <f t="shared" si="81"/>
        <v>9.3795452627733713</v>
      </c>
      <c r="AB121" s="15"/>
      <c r="AC121" s="1041" t="str">
        <f t="shared" si="82"/>
        <v>Athens</v>
      </c>
      <c r="AD121" s="647">
        <f t="shared" si="83"/>
        <v>26044.975004811906</v>
      </c>
      <c r="AE121" s="647">
        <f t="shared" si="83"/>
        <v>1250.6515526216247</v>
      </c>
      <c r="AF121" s="647" t="str">
        <f t="shared" si="83"/>
        <v/>
      </c>
      <c r="AG121" s="647" t="str">
        <f t="shared" si="83"/>
        <v/>
      </c>
      <c r="AH121" s="647" t="str">
        <f t="shared" si="83"/>
        <v/>
      </c>
      <c r="AI121" s="15"/>
      <c r="AJ121" s="648" t="str">
        <f t="shared" si="86"/>
        <v>Athens</v>
      </c>
      <c r="AK121" s="647">
        <f t="shared" si="84"/>
        <v>8566.2047421116422</v>
      </c>
      <c r="AL121" s="647">
        <f t="shared" si="84"/>
        <v>1.040145948717949</v>
      </c>
      <c r="AM121" s="647" t="str">
        <f t="shared" si="84"/>
        <v/>
      </c>
      <c r="AN121" s="647">
        <f t="shared" si="84"/>
        <v>598.5031070233332</v>
      </c>
      <c r="AO121" s="15"/>
      <c r="AP121" s="15"/>
      <c r="AQ121" s="15"/>
      <c r="AR121" s="15"/>
      <c r="AS121" s="15"/>
      <c r="AT121" s="15"/>
      <c r="AU121" s="15"/>
      <c r="AV121" s="15"/>
      <c r="AW121" s="15"/>
      <c r="AX121" s="15"/>
      <c r="AY121" s="15"/>
      <c r="AZ121" s="15"/>
      <c r="BA121" s="15"/>
      <c r="BB121" s="15"/>
      <c r="BC121" s="15"/>
      <c r="BD121" s="15"/>
      <c r="BE121" s="15"/>
      <c r="BF121" s="15"/>
      <c r="BG121" s="15"/>
      <c r="BH121" s="15"/>
      <c r="BI121" s="15"/>
      <c r="BJ121" s="15"/>
      <c r="BK121" s="15"/>
      <c r="BL121" s="15"/>
      <c r="BM121" s="15"/>
      <c r="BN121" s="15"/>
      <c r="BO121" s="15"/>
      <c r="BP121" s="15"/>
      <c r="BQ121" s="15"/>
      <c r="BR121" s="15"/>
      <c r="BS121" s="15"/>
      <c r="BT121" s="15"/>
      <c r="BU121" s="15"/>
      <c r="BV121" s="15"/>
      <c r="BW121" s="15"/>
      <c r="BX121" s="15"/>
      <c r="BY121" s="15"/>
      <c r="BZ121" s="15"/>
      <c r="CA121" s="15"/>
      <c r="CB121" s="15"/>
      <c r="CC121" s="15"/>
      <c r="CD121" s="15"/>
      <c r="CE121" s="15"/>
      <c r="CF121" s="15"/>
      <c r="CG121" s="15"/>
      <c r="CH121" s="15"/>
      <c r="CI121" s="15"/>
      <c r="CJ121" s="15"/>
      <c r="CK121" s="15"/>
      <c r="CL121" s="15"/>
      <c r="CM121" s="15"/>
      <c r="CN121" s="15"/>
      <c r="CO121" s="15"/>
      <c r="CP121" s="15"/>
      <c r="CQ121" s="15"/>
      <c r="CR121" s="15"/>
      <c r="CS121" s="15"/>
      <c r="CT121" s="15"/>
      <c r="CU121" s="645"/>
      <c r="CV121" s="645"/>
      <c r="CW121" s="645"/>
      <c r="CX121" s="645"/>
      <c r="CY121" s="645"/>
      <c r="CZ121" s="645"/>
      <c r="DA121" s="645"/>
      <c r="DB121" s="645"/>
      <c r="DC121" s="645"/>
      <c r="DD121" s="645"/>
      <c r="DE121" s="645"/>
      <c r="DF121" s="645"/>
      <c r="DG121" s="645"/>
      <c r="DH121" s="645"/>
      <c r="DI121" s="645"/>
      <c r="DJ121" s="645"/>
      <c r="DK121" s="645"/>
      <c r="DL121" s="645"/>
      <c r="DM121" s="645"/>
      <c r="DN121" s="645"/>
      <c r="DO121" s="645"/>
      <c r="DP121" s="645"/>
    </row>
    <row r="122" spans="1:120" s="33" customFormat="1" ht="15" customHeight="1">
      <c r="A122" s="316"/>
      <c r="B122" s="648" t="str">
        <f t="shared" si="85"/>
        <v xml:space="preserve">Bogota </v>
      </c>
      <c r="C122" s="902" t="str">
        <f t="shared" si="70"/>
        <v xml:space="preserve">Colombia </v>
      </c>
      <c r="D122" s="902" t="str">
        <f t="shared" si="71"/>
        <v>Latin America</v>
      </c>
      <c r="E122" s="902" t="str">
        <f t="shared" si="72"/>
        <v xml:space="preserve">Administrative boundary of a local government </v>
      </c>
      <c r="F122" s="643">
        <f t="shared" si="73"/>
        <v>2012</v>
      </c>
      <c r="G122" s="644">
        <f t="shared" si="74"/>
        <v>2012</v>
      </c>
      <c r="H122" s="643">
        <f t="shared" si="75"/>
        <v>7571345</v>
      </c>
      <c r="I122" s="643">
        <f t="shared" si="76"/>
        <v>1636.6</v>
      </c>
      <c r="J122" s="1038">
        <f t="shared" si="77"/>
        <v>68444073455.759605</v>
      </c>
      <c r="K122" s="643" t="s">
        <v>172</v>
      </c>
      <c r="L122" s="643" t="s">
        <v>1556</v>
      </c>
      <c r="M122" s="643" t="s">
        <v>1638</v>
      </c>
      <c r="N122" s="647">
        <f t="shared" si="78"/>
        <v>7582.4776626907005</v>
      </c>
      <c r="O122" s="647">
        <f t="shared" si="79"/>
        <v>4145.6745862700072</v>
      </c>
      <c r="P122" s="647">
        <f t="shared" si="79"/>
        <v>2867.0222985144769</v>
      </c>
      <c r="Q122" s="647">
        <f t="shared" si="79"/>
        <v>569.78077790621728</v>
      </c>
      <c r="S122" s="648" t="str">
        <f t="shared" si="80"/>
        <v xml:space="preserve">Bogota </v>
      </c>
      <c r="T122" s="647">
        <f t="shared" si="81"/>
        <v>1319.82662656158</v>
      </c>
      <c r="U122" s="647">
        <f t="shared" si="81"/>
        <v>1563.7614496233227</v>
      </c>
      <c r="V122" s="647">
        <f t="shared" si="81"/>
        <v>1158.602729881547</v>
      </c>
      <c r="W122" s="647" t="str">
        <f t="shared" si="81"/>
        <v/>
      </c>
      <c r="X122" s="647">
        <f t="shared" si="81"/>
        <v>30.387440778110836</v>
      </c>
      <c r="Y122" s="647">
        <f t="shared" si="81"/>
        <v>49.739106548045918</v>
      </c>
      <c r="Z122" s="647" t="str">
        <f t="shared" si="81"/>
        <v/>
      </c>
      <c r="AA122" s="647">
        <f t="shared" si="81"/>
        <v>23.357232877400754</v>
      </c>
      <c r="AB122" s="15"/>
      <c r="AC122" s="1041" t="str">
        <f t="shared" si="82"/>
        <v xml:space="preserve">Bogota </v>
      </c>
      <c r="AD122" s="647">
        <f t="shared" si="83"/>
        <v>2866.891989490407</v>
      </c>
      <c r="AE122" s="647">
        <f t="shared" si="83"/>
        <v>0.1303090240701919</v>
      </c>
      <c r="AF122" s="647" t="str">
        <f t="shared" si="83"/>
        <v/>
      </c>
      <c r="AG122" s="647" t="str">
        <f t="shared" si="83"/>
        <v/>
      </c>
      <c r="AH122" s="647" t="str">
        <f t="shared" si="83"/>
        <v/>
      </c>
      <c r="AI122" s="15"/>
      <c r="AJ122" s="648" t="str">
        <f t="shared" si="86"/>
        <v xml:space="preserve">Bogota </v>
      </c>
      <c r="AK122" s="647">
        <f t="shared" si="84"/>
        <v>29.313121170222239</v>
      </c>
      <c r="AL122" s="647">
        <f t="shared" si="84"/>
        <v>6.6980317731883173E-3</v>
      </c>
      <c r="AM122" s="647">
        <f t="shared" si="84"/>
        <v>8.398709519736039E-2</v>
      </c>
      <c r="AN122" s="647">
        <f t="shared" si="84"/>
        <v>540.37697160902439</v>
      </c>
      <c r="AO122" s="15"/>
      <c r="AP122" s="15"/>
      <c r="AQ122" s="15"/>
      <c r="AR122" s="15"/>
      <c r="AS122" s="15"/>
      <c r="AT122" s="15"/>
      <c r="AU122" s="15"/>
      <c r="AV122" s="15"/>
      <c r="AW122" s="15"/>
      <c r="AX122" s="15"/>
      <c r="AY122" s="15"/>
      <c r="AZ122" s="15"/>
      <c r="BA122" s="15"/>
      <c r="BB122" s="15"/>
      <c r="BC122" s="15"/>
      <c r="BD122" s="15"/>
      <c r="BE122" s="15"/>
      <c r="BF122" s="15"/>
      <c r="BG122" s="15"/>
      <c r="BH122" s="15"/>
      <c r="BI122" s="15"/>
      <c r="BJ122" s="15"/>
      <c r="BK122" s="15"/>
      <c r="BL122" s="15"/>
      <c r="BM122" s="15"/>
      <c r="BN122" s="15"/>
      <c r="BO122" s="15"/>
      <c r="BP122" s="15"/>
      <c r="BQ122" s="15"/>
      <c r="BR122" s="15"/>
      <c r="BS122" s="15"/>
      <c r="BT122" s="15"/>
      <c r="BU122" s="15"/>
      <c r="BV122" s="15"/>
      <c r="BW122" s="15"/>
      <c r="BX122" s="15"/>
      <c r="BY122" s="15"/>
      <c r="BZ122" s="15"/>
      <c r="CA122" s="15"/>
      <c r="CB122" s="15"/>
      <c r="CC122" s="15"/>
      <c r="CD122" s="15"/>
      <c r="CE122" s="15"/>
      <c r="CF122" s="15"/>
      <c r="CG122" s="15"/>
      <c r="CH122" s="15"/>
      <c r="CI122" s="15"/>
      <c r="CJ122" s="15"/>
      <c r="CK122" s="15"/>
      <c r="CL122" s="15"/>
      <c r="CM122" s="15"/>
      <c r="CN122" s="15"/>
      <c r="CO122" s="15"/>
      <c r="CP122" s="15"/>
      <c r="CQ122" s="15"/>
      <c r="CR122" s="15"/>
      <c r="CS122" s="15"/>
      <c r="CT122" s="15"/>
      <c r="CU122" s="645"/>
      <c r="CV122" s="645"/>
      <c r="CW122" s="645"/>
      <c r="CX122" s="645"/>
      <c r="CY122" s="645"/>
      <c r="CZ122" s="645"/>
      <c r="DA122" s="645"/>
      <c r="DB122" s="645"/>
      <c r="DC122" s="645"/>
      <c r="DD122" s="645"/>
      <c r="DE122" s="645"/>
      <c r="DF122" s="645"/>
      <c r="DG122" s="645"/>
      <c r="DH122" s="645"/>
      <c r="DI122" s="645"/>
      <c r="DJ122" s="645"/>
      <c r="DK122" s="645"/>
      <c r="DL122" s="645"/>
      <c r="DM122" s="645"/>
      <c r="DN122" s="645"/>
      <c r="DO122" s="645"/>
      <c r="DP122" s="645"/>
    </row>
    <row r="123" spans="1:120" s="33" customFormat="1" ht="15" customHeight="1">
      <c r="A123" s="316"/>
      <c r="B123" s="648" t="str">
        <f t="shared" si="85"/>
        <v>Boston</v>
      </c>
      <c r="C123" s="902" t="str">
        <f t="shared" si="70"/>
        <v>USA</v>
      </c>
      <c r="D123" s="902" t="str">
        <f t="shared" si="71"/>
        <v>North America</v>
      </c>
      <c r="E123" s="902" t="str">
        <f t="shared" si="72"/>
        <v xml:space="preserve">Administrative boundary of a local government </v>
      </c>
      <c r="F123" s="643">
        <f t="shared" si="73"/>
        <v>2013</v>
      </c>
      <c r="G123" s="644">
        <f t="shared" si="74"/>
        <v>2013</v>
      </c>
      <c r="H123" s="643">
        <f t="shared" si="75"/>
        <v>644710</v>
      </c>
      <c r="I123" s="643">
        <f t="shared" si="76"/>
        <v>125</v>
      </c>
      <c r="J123" s="1038">
        <f t="shared" si="77"/>
        <v>109829400000</v>
      </c>
      <c r="K123" s="643" t="s">
        <v>172</v>
      </c>
      <c r="L123" s="643" t="s">
        <v>1556</v>
      </c>
      <c r="M123" s="643" t="s">
        <v>1638</v>
      </c>
      <c r="N123" s="647">
        <f t="shared" si="78"/>
        <v>48202.894542478178</v>
      </c>
      <c r="O123" s="647">
        <f t="shared" si="79"/>
        <v>35291.432361931082</v>
      </c>
      <c r="P123" s="647">
        <f t="shared" si="79"/>
        <v>12774.494486063204</v>
      </c>
      <c r="Q123" s="647">
        <f t="shared" si="79"/>
        <v>136.96769448389063</v>
      </c>
      <c r="S123" s="648" t="str">
        <f t="shared" si="80"/>
        <v>Boston</v>
      </c>
      <c r="T123" s="647">
        <f t="shared" si="81"/>
        <v>10310.491302685254</v>
      </c>
      <c r="U123" s="647">
        <f t="shared" si="81"/>
        <v>24800.251467485847</v>
      </c>
      <c r="V123" s="647" t="str">
        <f t="shared" si="81"/>
        <v/>
      </c>
      <c r="W123" s="647" t="str">
        <f t="shared" si="81"/>
        <v/>
      </c>
      <c r="X123" s="647" t="str">
        <f t="shared" si="81"/>
        <v/>
      </c>
      <c r="Y123" s="647" t="str">
        <f t="shared" si="81"/>
        <v/>
      </c>
      <c r="Z123" s="647" t="str">
        <f t="shared" si="81"/>
        <v/>
      </c>
      <c r="AA123" s="647">
        <f t="shared" si="81"/>
        <v>180.68959175997756</v>
      </c>
      <c r="AB123" s="15"/>
      <c r="AC123" s="1041" t="str">
        <f t="shared" si="82"/>
        <v>Boston</v>
      </c>
      <c r="AD123" s="647">
        <f t="shared" si="83"/>
        <v>12048.977872302741</v>
      </c>
      <c r="AE123" s="647">
        <f t="shared" si="83"/>
        <v>564.39299468661807</v>
      </c>
      <c r="AF123" s="647">
        <f t="shared" si="83"/>
        <v>3.0853889792000007</v>
      </c>
      <c r="AG123" s="647" t="str">
        <f t="shared" si="83"/>
        <v/>
      </c>
      <c r="AH123" s="647">
        <f t="shared" si="83"/>
        <v>158.03823009464594</v>
      </c>
      <c r="AI123" s="15"/>
      <c r="AJ123" s="648" t="str">
        <f t="shared" si="86"/>
        <v>Boston</v>
      </c>
      <c r="AK123" s="647" t="str">
        <f t="shared" si="84"/>
        <v/>
      </c>
      <c r="AL123" s="647" t="str">
        <f t="shared" si="84"/>
        <v/>
      </c>
      <c r="AM123" s="647" t="str">
        <f t="shared" si="84"/>
        <v/>
      </c>
      <c r="AN123" s="647">
        <f t="shared" si="84"/>
        <v>136.96769448389063</v>
      </c>
      <c r="AO123" s="15"/>
      <c r="AP123" s="15"/>
      <c r="AQ123" s="15"/>
      <c r="AR123" s="15"/>
      <c r="AS123" s="15"/>
      <c r="AT123" s="15"/>
      <c r="AU123" s="15"/>
      <c r="AV123" s="15"/>
      <c r="AW123" s="15"/>
      <c r="AX123" s="15"/>
      <c r="AY123" s="15"/>
      <c r="AZ123" s="15"/>
      <c r="BA123" s="15"/>
      <c r="BB123" s="15"/>
      <c r="BC123" s="15"/>
      <c r="BD123" s="15"/>
      <c r="BE123" s="15"/>
      <c r="BF123" s="15"/>
      <c r="BG123" s="15"/>
      <c r="BH123" s="15"/>
      <c r="BI123" s="15"/>
      <c r="BJ123" s="15"/>
      <c r="BK123" s="15"/>
      <c r="BL123" s="15"/>
      <c r="BM123" s="15"/>
      <c r="BN123" s="15"/>
      <c r="BO123" s="15"/>
      <c r="BP123" s="15"/>
      <c r="BQ123" s="15"/>
      <c r="BR123" s="15"/>
      <c r="BS123" s="15"/>
      <c r="BT123" s="15"/>
      <c r="BU123" s="15"/>
      <c r="BV123" s="15"/>
      <c r="BW123" s="15"/>
      <c r="BX123" s="15"/>
      <c r="BY123" s="15"/>
      <c r="BZ123" s="15"/>
      <c r="CA123" s="15"/>
      <c r="CB123" s="15"/>
      <c r="CC123" s="15"/>
      <c r="CD123" s="15"/>
      <c r="CE123" s="15"/>
      <c r="CF123" s="15"/>
      <c r="CG123" s="15"/>
      <c r="CH123" s="15"/>
      <c r="CI123" s="15"/>
      <c r="CJ123" s="15"/>
      <c r="CK123" s="15"/>
      <c r="CL123" s="15"/>
      <c r="CM123" s="15"/>
      <c r="CN123" s="15"/>
      <c r="CO123" s="15"/>
      <c r="CP123" s="15"/>
      <c r="CQ123" s="15"/>
      <c r="CR123" s="15"/>
      <c r="CS123" s="15"/>
      <c r="CT123" s="15"/>
      <c r="CU123" s="645"/>
      <c r="CV123" s="645"/>
      <c r="CW123" s="645"/>
      <c r="CX123" s="645"/>
      <c r="CY123" s="645"/>
      <c r="CZ123" s="645"/>
      <c r="DA123" s="645"/>
      <c r="DB123" s="645"/>
      <c r="DC123" s="645"/>
      <c r="DD123" s="645"/>
      <c r="DE123" s="645"/>
      <c r="DF123" s="645"/>
      <c r="DG123" s="645"/>
      <c r="DH123" s="645"/>
      <c r="DI123" s="645"/>
      <c r="DJ123" s="645"/>
      <c r="DK123" s="645"/>
      <c r="DL123" s="645"/>
      <c r="DM123" s="645"/>
      <c r="DN123" s="645"/>
      <c r="DO123" s="645"/>
      <c r="DP123" s="645"/>
    </row>
    <row r="124" spans="1:120" s="33" customFormat="1" ht="15" customHeight="1">
      <c r="A124" s="316"/>
      <c r="B124" s="648" t="str">
        <f t="shared" si="85"/>
        <v xml:space="preserve">Buenos Aires </v>
      </c>
      <c r="C124" s="902" t="str">
        <f t="shared" si="70"/>
        <v>Argentina</v>
      </c>
      <c r="D124" s="902" t="str">
        <f t="shared" si="71"/>
        <v>Latin America</v>
      </c>
      <c r="E124" s="902" t="str">
        <f t="shared" si="72"/>
        <v xml:space="preserve">Administrative boundary of a local government </v>
      </c>
      <c r="F124" s="643">
        <f t="shared" si="73"/>
        <v>2013</v>
      </c>
      <c r="G124" s="644">
        <f t="shared" si="74"/>
        <v>2013</v>
      </c>
      <c r="H124" s="643">
        <f t="shared" si="75"/>
        <v>3079071</v>
      </c>
      <c r="I124" s="643">
        <f t="shared" si="76"/>
        <v>202.04</v>
      </c>
      <c r="J124" s="1038">
        <f t="shared" si="77"/>
        <v>79384000000</v>
      </c>
      <c r="K124" s="643" t="s">
        <v>172</v>
      </c>
      <c r="L124" s="643" t="s">
        <v>1556</v>
      </c>
      <c r="M124" s="643" t="s">
        <v>1638</v>
      </c>
      <c r="N124" s="647">
        <f t="shared" si="78"/>
        <v>66973.333703337252</v>
      </c>
      <c r="O124" s="647">
        <f t="shared" si="79"/>
        <v>37905.131668042748</v>
      </c>
      <c r="P124" s="647">
        <f t="shared" si="79"/>
        <v>20250.086680595188</v>
      </c>
      <c r="Q124" s="647">
        <f t="shared" si="79"/>
        <v>8818.1153546993191</v>
      </c>
      <c r="S124" s="648" t="str">
        <f t="shared" si="80"/>
        <v xml:space="preserve">Buenos Aires </v>
      </c>
      <c r="T124" s="647">
        <f t="shared" si="81"/>
        <v>19050.704622346086</v>
      </c>
      <c r="U124" s="647">
        <f t="shared" si="81"/>
        <v>14462.755986645107</v>
      </c>
      <c r="V124" s="647">
        <f t="shared" si="81"/>
        <v>3663.1140868773596</v>
      </c>
      <c r="W124" s="647" t="str">
        <f t="shared" si="81"/>
        <v/>
      </c>
      <c r="X124" s="647" t="str">
        <f t="shared" si="81"/>
        <v/>
      </c>
      <c r="Y124" s="647" t="str">
        <f t="shared" si="81"/>
        <v/>
      </c>
      <c r="Z124" s="647" t="str">
        <f t="shared" si="81"/>
        <v/>
      </c>
      <c r="AA124" s="647">
        <f t="shared" si="81"/>
        <v>728.5569721741947</v>
      </c>
      <c r="AB124" s="15"/>
      <c r="AC124" s="1041" t="str">
        <f t="shared" si="82"/>
        <v xml:space="preserve">Buenos Aires </v>
      </c>
      <c r="AD124" s="647">
        <f t="shared" si="83"/>
        <v>19772.781918447905</v>
      </c>
      <c r="AE124" s="647">
        <f t="shared" si="83"/>
        <v>477.30476214728276</v>
      </c>
      <c r="AF124" s="647" t="str">
        <f t="shared" si="83"/>
        <v/>
      </c>
      <c r="AG124" s="647" t="str">
        <f t="shared" si="83"/>
        <v/>
      </c>
      <c r="AH124" s="647" t="str">
        <f t="shared" si="83"/>
        <v/>
      </c>
      <c r="AI124" s="15"/>
      <c r="AJ124" s="648" t="str">
        <f t="shared" si="86"/>
        <v xml:space="preserve">Buenos Aires </v>
      </c>
      <c r="AK124" s="647">
        <f t="shared" si="84"/>
        <v>8106.1868936844194</v>
      </c>
      <c r="AL124" s="647">
        <f t="shared" si="84"/>
        <v>26.042615323698282</v>
      </c>
      <c r="AM124" s="647" t="str">
        <f t="shared" si="84"/>
        <v/>
      </c>
      <c r="AN124" s="647">
        <f t="shared" si="84"/>
        <v>685.88584569120258</v>
      </c>
      <c r="AO124" s="15"/>
      <c r="AP124" s="15"/>
      <c r="AQ124" s="15"/>
      <c r="AR124" s="15"/>
      <c r="AS124" s="15"/>
      <c r="AT124" s="15"/>
      <c r="AU124" s="15"/>
      <c r="AV124" s="15"/>
      <c r="AW124" s="15"/>
      <c r="AX124" s="15"/>
      <c r="AY124" s="15"/>
      <c r="AZ124" s="15"/>
      <c r="BA124" s="15"/>
      <c r="BB124" s="15"/>
      <c r="BC124" s="15"/>
      <c r="BD124" s="15"/>
      <c r="BE124" s="15"/>
      <c r="BF124" s="15"/>
      <c r="BG124" s="15"/>
      <c r="BH124" s="15"/>
      <c r="BI124" s="15"/>
      <c r="BJ124" s="15"/>
      <c r="BK124" s="15"/>
      <c r="BL124" s="15"/>
      <c r="BM124" s="15"/>
      <c r="BN124" s="15"/>
      <c r="BO124" s="15"/>
      <c r="BP124" s="15"/>
      <c r="BQ124" s="15"/>
      <c r="BR124" s="15"/>
      <c r="BS124" s="15"/>
      <c r="BT124" s="15"/>
      <c r="BU124" s="15"/>
      <c r="BV124" s="15"/>
      <c r="BW124" s="15"/>
      <c r="BX124" s="15"/>
      <c r="BY124" s="15"/>
      <c r="BZ124" s="15"/>
      <c r="CA124" s="15"/>
      <c r="CB124" s="15"/>
      <c r="CC124" s="15"/>
      <c r="CD124" s="15"/>
      <c r="CE124" s="15"/>
      <c r="CF124" s="15"/>
      <c r="CG124" s="15"/>
      <c r="CH124" s="15"/>
      <c r="CI124" s="15"/>
      <c r="CJ124" s="15"/>
      <c r="CK124" s="15"/>
      <c r="CL124" s="15"/>
      <c r="CM124" s="15"/>
      <c r="CN124" s="15"/>
      <c r="CO124" s="15"/>
      <c r="CP124" s="15"/>
      <c r="CQ124" s="15"/>
      <c r="CR124" s="15"/>
      <c r="CS124" s="15"/>
      <c r="CT124" s="15"/>
      <c r="CU124" s="645"/>
      <c r="CV124" s="645"/>
      <c r="CW124" s="645"/>
      <c r="CX124" s="645"/>
      <c r="CY124" s="645"/>
      <c r="CZ124" s="645"/>
      <c r="DA124" s="645"/>
      <c r="DB124" s="645"/>
      <c r="DC124" s="645"/>
      <c r="DD124" s="645"/>
      <c r="DE124" s="645"/>
      <c r="DF124" s="645"/>
      <c r="DG124" s="645"/>
      <c r="DH124" s="645"/>
      <c r="DI124" s="645"/>
      <c r="DJ124" s="645"/>
      <c r="DK124" s="645"/>
      <c r="DL124" s="645"/>
      <c r="DM124" s="645"/>
      <c r="DN124" s="645"/>
      <c r="DO124" s="645"/>
      <c r="DP124" s="645"/>
    </row>
    <row r="125" spans="1:120" s="33" customFormat="1" ht="15" customHeight="1">
      <c r="A125" s="316"/>
      <c r="B125" s="648" t="str">
        <f t="shared" si="85"/>
        <v>Cape Town</v>
      </c>
      <c r="C125" s="902" t="str">
        <f t="shared" si="70"/>
        <v>South Africa</v>
      </c>
      <c r="D125" s="902" t="str">
        <f t="shared" si="71"/>
        <v>Africa</v>
      </c>
      <c r="E125" s="902" t="str">
        <f t="shared" si="72"/>
        <v xml:space="preserve">Administrative boundary of a local government </v>
      </c>
      <c r="F125" s="643">
        <f t="shared" si="73"/>
        <v>2012</v>
      </c>
      <c r="G125" s="644">
        <f t="shared" si="74"/>
        <v>2012</v>
      </c>
      <c r="H125" s="643">
        <f t="shared" si="75"/>
        <v>3837414</v>
      </c>
      <c r="I125" s="643">
        <f t="shared" si="76"/>
        <v>2455</v>
      </c>
      <c r="J125" s="1038">
        <f t="shared" si="77"/>
        <v>17454000000</v>
      </c>
      <c r="K125" s="643" t="s">
        <v>172</v>
      </c>
      <c r="L125" s="643" t="s">
        <v>1556</v>
      </c>
      <c r="M125" s="643" t="s">
        <v>1638</v>
      </c>
      <c r="N125" s="647">
        <f t="shared" si="78"/>
        <v>8926.5831954912428</v>
      </c>
      <c r="O125" s="647">
        <f t="shared" si="79"/>
        <v>5558.2142736655805</v>
      </c>
      <c r="P125" s="647">
        <f t="shared" si="79"/>
        <v>2381.0401333938903</v>
      </c>
      <c r="Q125" s="647">
        <f t="shared" si="79"/>
        <v>987.32878843177173</v>
      </c>
      <c r="S125" s="648" t="str">
        <f t="shared" si="80"/>
        <v>Cape Town</v>
      </c>
      <c r="T125" s="647">
        <f t="shared" si="81"/>
        <v>1863.0939258578414</v>
      </c>
      <c r="U125" s="647">
        <f t="shared" si="81"/>
        <v>2330.875717093279</v>
      </c>
      <c r="V125" s="647">
        <f t="shared" si="81"/>
        <v>854.2707088358452</v>
      </c>
      <c r="W125" s="647" t="str">
        <f t="shared" si="81"/>
        <v/>
      </c>
      <c r="X125" s="647">
        <f t="shared" si="81"/>
        <v>85.205495748268831</v>
      </c>
      <c r="Y125" s="647">
        <f t="shared" si="81"/>
        <v>424.76842613034626</v>
      </c>
      <c r="Z125" s="647" t="str">
        <f t="shared" si="81"/>
        <v/>
      </c>
      <c r="AA125" s="647" t="str">
        <f t="shared" si="81"/>
        <v/>
      </c>
      <c r="AB125" s="15"/>
      <c r="AC125" s="1041" t="str">
        <f t="shared" si="82"/>
        <v>Cape Town</v>
      </c>
      <c r="AD125" s="647">
        <f t="shared" si="83"/>
        <v>2339.4302664448069</v>
      </c>
      <c r="AE125" s="647">
        <f t="shared" si="83"/>
        <v>41.609866949083504</v>
      </c>
      <c r="AF125" s="647" t="str">
        <f t="shared" si="83"/>
        <v/>
      </c>
      <c r="AG125" s="647" t="str">
        <f t="shared" si="83"/>
        <v/>
      </c>
      <c r="AH125" s="647" t="str">
        <f t="shared" si="83"/>
        <v/>
      </c>
      <c r="AI125" s="15"/>
      <c r="AJ125" s="648" t="str">
        <f t="shared" si="86"/>
        <v>Cape Town</v>
      </c>
      <c r="AK125" s="647">
        <f t="shared" si="84"/>
        <v>931.24039739307523</v>
      </c>
      <c r="AL125" s="647" t="str">
        <f t="shared" si="84"/>
        <v/>
      </c>
      <c r="AM125" s="647" t="str">
        <f t="shared" si="84"/>
        <v/>
      </c>
      <c r="AN125" s="647">
        <f t="shared" si="84"/>
        <v>56.088391038696535</v>
      </c>
      <c r="AO125" s="15"/>
      <c r="AP125" s="15"/>
      <c r="AQ125" s="15"/>
      <c r="AR125" s="15"/>
      <c r="AS125" s="15"/>
      <c r="AT125" s="15"/>
      <c r="AU125" s="15"/>
      <c r="AV125" s="15"/>
      <c r="AW125" s="15"/>
      <c r="AX125" s="15"/>
      <c r="AY125" s="15"/>
      <c r="AZ125" s="15"/>
      <c r="BA125" s="15"/>
      <c r="BB125" s="15"/>
      <c r="BC125" s="15"/>
      <c r="BD125" s="15"/>
      <c r="BE125" s="15"/>
      <c r="BF125" s="15"/>
      <c r="BG125" s="15"/>
      <c r="BH125" s="15"/>
      <c r="BI125" s="15"/>
      <c r="BJ125" s="15"/>
      <c r="BK125" s="15"/>
      <c r="BL125" s="15"/>
      <c r="BM125" s="15"/>
      <c r="BN125" s="15"/>
      <c r="BO125" s="15"/>
      <c r="BP125" s="15"/>
      <c r="BQ125" s="15"/>
      <c r="BR125" s="15"/>
      <c r="BS125" s="15"/>
      <c r="BT125" s="15"/>
      <c r="BU125" s="15"/>
      <c r="BV125" s="15"/>
      <c r="BW125" s="15"/>
      <c r="BX125" s="15"/>
      <c r="BY125" s="15"/>
      <c r="BZ125" s="15"/>
      <c r="CA125" s="15"/>
      <c r="CB125" s="15"/>
      <c r="CC125" s="15"/>
      <c r="CD125" s="15"/>
      <c r="CE125" s="15"/>
      <c r="CF125" s="15"/>
      <c r="CG125" s="15"/>
      <c r="CH125" s="15"/>
      <c r="CI125" s="15"/>
      <c r="CJ125" s="15"/>
      <c r="CK125" s="15"/>
      <c r="CL125" s="15"/>
      <c r="CM125" s="15"/>
      <c r="CN125" s="15"/>
      <c r="CO125" s="15"/>
      <c r="CP125" s="15"/>
      <c r="CQ125" s="15"/>
      <c r="CR125" s="15"/>
      <c r="CS125" s="15"/>
      <c r="CT125" s="15"/>
      <c r="CU125" s="645"/>
      <c r="CV125" s="645"/>
      <c r="CW125" s="645"/>
      <c r="CX125" s="645"/>
      <c r="CY125" s="645"/>
      <c r="CZ125" s="645"/>
      <c r="DA125" s="645"/>
      <c r="DB125" s="645"/>
      <c r="DC125" s="645"/>
      <c r="DD125" s="645"/>
      <c r="DE125" s="645"/>
      <c r="DF125" s="645"/>
      <c r="DG125" s="645"/>
      <c r="DH125" s="645"/>
      <c r="DI125" s="645"/>
      <c r="DJ125" s="645"/>
      <c r="DK125" s="645"/>
      <c r="DL125" s="645"/>
      <c r="DM125" s="645"/>
      <c r="DN125" s="645"/>
      <c r="DO125" s="645"/>
      <c r="DP125" s="645"/>
    </row>
    <row r="126" spans="1:120" s="33" customFormat="1" ht="15" customHeight="1">
      <c r="A126" s="316"/>
      <c r="B126" s="648" t="str">
        <f t="shared" si="85"/>
        <v>Chicago</v>
      </c>
      <c r="C126" s="902" t="str">
        <f t="shared" si="70"/>
        <v>USA</v>
      </c>
      <c r="D126" s="902" t="str">
        <f t="shared" si="71"/>
        <v>Europe</v>
      </c>
      <c r="E126" s="902" t="str">
        <f t="shared" si="72"/>
        <v xml:space="preserve">Administrative boundary of a local government </v>
      </c>
      <c r="F126" s="643">
        <f t="shared" si="73"/>
        <v>2010</v>
      </c>
      <c r="G126" s="644">
        <f t="shared" si="74"/>
        <v>2010</v>
      </c>
      <c r="H126" s="643">
        <f t="shared" si="75"/>
        <v>27000000</v>
      </c>
      <c r="I126" s="643">
        <f t="shared" si="76"/>
        <v>606</v>
      </c>
      <c r="J126" s="1038">
        <f t="shared" si="77"/>
        <v>496400000000</v>
      </c>
      <c r="K126" s="643" t="s">
        <v>172</v>
      </c>
      <c r="L126" s="643" t="s">
        <v>1556</v>
      </c>
      <c r="M126" s="643" t="s">
        <v>1638</v>
      </c>
      <c r="N126" s="647">
        <f t="shared" si="78"/>
        <v>54947.686695111348</v>
      </c>
      <c r="O126" s="647">
        <f t="shared" si="79"/>
        <v>41044.889213363727</v>
      </c>
      <c r="P126" s="647">
        <f t="shared" si="79"/>
        <v>11713.585055244932</v>
      </c>
      <c r="Q126" s="647">
        <f t="shared" si="79"/>
        <v>2189.2124265026873</v>
      </c>
      <c r="S126" s="648" t="str">
        <f t="shared" si="80"/>
        <v>Chicago</v>
      </c>
      <c r="T126" s="647">
        <f t="shared" si="81"/>
        <v>16135.217182825409</v>
      </c>
      <c r="U126" s="647">
        <f t="shared" si="81"/>
        <v>22680.397163014753</v>
      </c>
      <c r="V126" s="647">
        <f t="shared" si="81"/>
        <v>2229.2748675235689</v>
      </c>
      <c r="W126" s="647" t="str">
        <f t="shared" si="81"/>
        <v/>
      </c>
      <c r="X126" s="647" t="str">
        <f t="shared" si="81"/>
        <v/>
      </c>
      <c r="Y126" s="647" t="str">
        <f t="shared" si="81"/>
        <v/>
      </c>
      <c r="Z126" s="647" t="str">
        <f t="shared" si="81"/>
        <v/>
      </c>
      <c r="AA126" s="647" t="str">
        <f t="shared" si="81"/>
        <v/>
      </c>
      <c r="AB126" s="15"/>
      <c r="AC126" s="1041" t="str">
        <f t="shared" si="82"/>
        <v>Chicago</v>
      </c>
      <c r="AD126" s="647">
        <f t="shared" si="83"/>
        <v>11193.120812442055</v>
      </c>
      <c r="AE126" s="647">
        <f t="shared" si="83"/>
        <v>518.3874489449222</v>
      </c>
      <c r="AF126" s="647">
        <f t="shared" si="83"/>
        <v>0.40736702638500111</v>
      </c>
      <c r="AG126" s="647" t="str">
        <f t="shared" si="83"/>
        <v/>
      </c>
      <c r="AH126" s="647">
        <f t="shared" si="83"/>
        <v>1.6694268315677367</v>
      </c>
      <c r="AI126" s="15"/>
      <c r="AJ126" s="648" t="str">
        <f t="shared" si="86"/>
        <v>Chicago</v>
      </c>
      <c r="AK126" s="647">
        <f t="shared" si="84"/>
        <v>2131.1040229244563</v>
      </c>
      <c r="AL126" s="647" t="str">
        <f t="shared" si="84"/>
        <v/>
      </c>
      <c r="AM126" s="647" t="str">
        <f t="shared" si="84"/>
        <v/>
      </c>
      <c r="AN126" s="647">
        <f t="shared" si="84"/>
        <v>58.108403578230622</v>
      </c>
      <c r="AO126" s="15"/>
      <c r="AP126" s="15"/>
      <c r="AQ126" s="15"/>
      <c r="AR126" s="15"/>
      <c r="AS126" s="15"/>
      <c r="AT126" s="15"/>
      <c r="AU126" s="15"/>
      <c r="AV126" s="15"/>
      <c r="AW126" s="15"/>
      <c r="AX126" s="15"/>
      <c r="AY126" s="15"/>
      <c r="AZ126" s="15"/>
      <c r="BA126" s="15"/>
      <c r="BB126" s="15"/>
      <c r="BC126" s="15"/>
      <c r="BD126" s="15"/>
      <c r="BE126" s="15"/>
      <c r="BF126" s="15"/>
      <c r="BG126" s="15"/>
      <c r="BH126" s="15"/>
      <c r="BI126" s="15"/>
      <c r="BJ126" s="15"/>
      <c r="BK126" s="15"/>
      <c r="BL126" s="15"/>
      <c r="BM126" s="15"/>
      <c r="BN126" s="15"/>
      <c r="BO126" s="15"/>
      <c r="BP126" s="15"/>
      <c r="BQ126" s="15"/>
      <c r="BR126" s="15"/>
      <c r="BS126" s="15"/>
      <c r="BT126" s="15"/>
      <c r="BU126" s="15"/>
      <c r="BV126" s="15"/>
      <c r="BW126" s="15"/>
      <c r="BX126" s="15"/>
      <c r="BY126" s="15"/>
      <c r="BZ126" s="15"/>
      <c r="CA126" s="15"/>
      <c r="CB126" s="15"/>
      <c r="CC126" s="15"/>
      <c r="CD126" s="15"/>
      <c r="CE126" s="15"/>
      <c r="CF126" s="15"/>
      <c r="CG126" s="15"/>
      <c r="CH126" s="15"/>
      <c r="CI126" s="15"/>
      <c r="CJ126" s="15"/>
      <c r="CK126" s="15"/>
      <c r="CL126" s="15"/>
      <c r="CM126" s="15"/>
      <c r="CN126" s="15"/>
      <c r="CO126" s="15"/>
      <c r="CP126" s="15"/>
      <c r="CQ126" s="15"/>
      <c r="CR126" s="15"/>
      <c r="CS126" s="15"/>
      <c r="CT126" s="15"/>
      <c r="CU126" s="645"/>
      <c r="CV126" s="645"/>
      <c r="CW126" s="645"/>
      <c r="CX126" s="645"/>
      <c r="CY126" s="645"/>
      <c r="CZ126" s="645"/>
      <c r="DA126" s="645"/>
      <c r="DB126" s="645"/>
      <c r="DC126" s="645"/>
      <c r="DD126" s="645"/>
      <c r="DE126" s="645"/>
      <c r="DF126" s="645"/>
      <c r="DG126" s="645"/>
      <c r="DH126" s="645"/>
      <c r="DI126" s="645"/>
      <c r="DJ126" s="645"/>
      <c r="DK126" s="645"/>
      <c r="DL126" s="645"/>
      <c r="DM126" s="645"/>
      <c r="DN126" s="645"/>
      <c r="DO126" s="645"/>
      <c r="DP126" s="645"/>
    </row>
    <row r="127" spans="1:120" s="33" customFormat="1" ht="15" customHeight="1">
      <c r="A127" s="316"/>
      <c r="B127" s="648" t="str">
        <f t="shared" si="85"/>
        <v>Copenhagen</v>
      </c>
      <c r="C127" s="902" t="str">
        <f t="shared" si="70"/>
        <v>Denmark</v>
      </c>
      <c r="D127" s="902" t="str">
        <f t="shared" si="71"/>
        <v>Europe</v>
      </c>
      <c r="E127" s="902" t="str">
        <f t="shared" si="72"/>
        <v xml:space="preserve">Administrative boundary of a local government </v>
      </c>
      <c r="F127" s="643">
        <f t="shared" si="73"/>
        <v>2014</v>
      </c>
      <c r="G127" s="644">
        <f t="shared" si="74"/>
        <v>2014</v>
      </c>
      <c r="H127" s="643">
        <f t="shared" si="75"/>
        <v>580184</v>
      </c>
      <c r="I127" s="643">
        <f t="shared" si="76"/>
        <v>86.22</v>
      </c>
      <c r="J127" s="1038">
        <f t="shared" si="77"/>
        <v>51910270000</v>
      </c>
      <c r="K127" s="643" t="s">
        <v>172</v>
      </c>
      <c r="L127" s="643" t="s">
        <v>1556</v>
      </c>
      <c r="M127" s="643" t="s">
        <v>1638</v>
      </c>
      <c r="N127" s="647">
        <f t="shared" si="78"/>
        <v>20033.46682461879</v>
      </c>
      <c r="O127" s="647">
        <f t="shared" si="79"/>
        <v>13103.366424210375</v>
      </c>
      <c r="P127" s="647">
        <f t="shared" si="79"/>
        <v>6729.0101661240278</v>
      </c>
      <c r="Q127" s="647">
        <f t="shared" si="79"/>
        <v>201.09023428438877</v>
      </c>
      <c r="S127" s="648" t="str">
        <f t="shared" si="80"/>
        <v>Copenhagen</v>
      </c>
      <c r="T127" s="647">
        <f t="shared" si="81"/>
        <v>5119.4489803317074</v>
      </c>
      <c r="U127" s="647">
        <f t="shared" si="81"/>
        <v>6802.7389492242091</v>
      </c>
      <c r="V127" s="647">
        <f t="shared" si="81"/>
        <v>1180.4347022630122</v>
      </c>
      <c r="W127" s="647" t="str">
        <f t="shared" si="81"/>
        <v/>
      </c>
      <c r="X127" s="647">
        <f t="shared" si="81"/>
        <v>0.74379239144504783</v>
      </c>
      <c r="Y127" s="647" t="str">
        <f t="shared" si="81"/>
        <v/>
      </c>
      <c r="Z127" s="647" t="str">
        <f t="shared" si="81"/>
        <v/>
      </c>
      <c r="AA127" s="647" t="str">
        <f t="shared" si="81"/>
        <v/>
      </c>
      <c r="AB127" s="15"/>
      <c r="AC127" s="1041" t="str">
        <f t="shared" si="82"/>
        <v>Copenhagen</v>
      </c>
      <c r="AD127" s="647">
        <f t="shared" si="83"/>
        <v>4050.4590511745178</v>
      </c>
      <c r="AE127" s="647">
        <f t="shared" si="83"/>
        <v>330.25605579850054</v>
      </c>
      <c r="AF127" s="647">
        <f t="shared" si="83"/>
        <v>1623.7531895151938</v>
      </c>
      <c r="AG127" s="647" t="str">
        <f t="shared" si="83"/>
        <v/>
      </c>
      <c r="AH127" s="647">
        <f t="shared" si="83"/>
        <v>724.54186963581537</v>
      </c>
      <c r="AI127" s="15"/>
      <c r="AJ127" s="648" t="str">
        <f t="shared" si="86"/>
        <v>Copenhagen</v>
      </c>
      <c r="AK127" s="647">
        <f t="shared" si="84"/>
        <v>8.6986778009742522</v>
      </c>
      <c r="AL127" s="647" t="str">
        <f t="shared" si="84"/>
        <v/>
      </c>
      <c r="AM127" s="647" t="str">
        <f t="shared" si="84"/>
        <v/>
      </c>
      <c r="AN127" s="647">
        <f t="shared" si="84"/>
        <v>192.39155648341452</v>
      </c>
      <c r="AO127" s="15"/>
      <c r="AP127" s="15"/>
      <c r="AQ127" s="15"/>
      <c r="AR127" s="15"/>
      <c r="AS127" s="15"/>
      <c r="AT127" s="15"/>
      <c r="AU127" s="15"/>
      <c r="AV127" s="15"/>
      <c r="AW127" s="15"/>
      <c r="AX127" s="15"/>
      <c r="AY127" s="15"/>
      <c r="AZ127" s="15"/>
      <c r="BA127" s="15"/>
      <c r="BB127" s="15"/>
      <c r="BC127" s="15"/>
      <c r="BD127" s="15"/>
      <c r="BE127" s="15"/>
      <c r="BF127" s="15"/>
      <c r="BG127" s="15"/>
      <c r="BH127" s="15"/>
      <c r="BI127" s="15"/>
      <c r="BJ127" s="15"/>
      <c r="BK127" s="15"/>
      <c r="BL127" s="15"/>
      <c r="BM127" s="15"/>
      <c r="BN127" s="15"/>
      <c r="BO127" s="15"/>
      <c r="BP127" s="15"/>
      <c r="BQ127" s="15"/>
      <c r="BR127" s="15"/>
      <c r="BS127" s="15"/>
      <c r="BT127" s="15"/>
      <c r="BU127" s="15"/>
      <c r="BV127" s="15"/>
      <c r="BW127" s="15"/>
      <c r="BX127" s="15"/>
      <c r="BY127" s="15"/>
      <c r="BZ127" s="15"/>
      <c r="CA127" s="15"/>
      <c r="CB127" s="15"/>
      <c r="CC127" s="15"/>
      <c r="CD127" s="15"/>
      <c r="CE127" s="15"/>
      <c r="CF127" s="15"/>
      <c r="CG127" s="15"/>
      <c r="CH127" s="15"/>
      <c r="CI127" s="15"/>
      <c r="CJ127" s="15"/>
      <c r="CK127" s="15"/>
      <c r="CL127" s="15"/>
      <c r="CM127" s="15"/>
      <c r="CN127" s="15"/>
      <c r="CO127" s="15"/>
      <c r="CP127" s="15"/>
      <c r="CQ127" s="15"/>
      <c r="CR127" s="15"/>
      <c r="CS127" s="15"/>
      <c r="CT127" s="15"/>
      <c r="CU127" s="645"/>
      <c r="CV127" s="645"/>
      <c r="CW127" s="645"/>
      <c r="CX127" s="645"/>
      <c r="CY127" s="645"/>
      <c r="CZ127" s="645"/>
      <c r="DA127" s="645"/>
      <c r="DB127" s="645"/>
      <c r="DC127" s="645"/>
      <c r="DD127" s="645"/>
      <c r="DE127" s="645"/>
      <c r="DF127" s="645"/>
      <c r="DG127" s="645"/>
      <c r="DH127" s="645"/>
      <c r="DI127" s="645"/>
      <c r="DJ127" s="645"/>
      <c r="DK127" s="645"/>
      <c r="DL127" s="645"/>
      <c r="DM127" s="645"/>
      <c r="DN127" s="645"/>
      <c r="DO127" s="645"/>
      <c r="DP127" s="645"/>
    </row>
    <row r="128" spans="1:120" s="33" customFormat="1" ht="15" customHeight="1">
      <c r="A128" s="316"/>
      <c r="B128" s="648" t="str">
        <f t="shared" si="85"/>
        <v>District of Columbia</v>
      </c>
      <c r="C128" s="902" t="str">
        <f t="shared" si="70"/>
        <v>United States</v>
      </c>
      <c r="D128" s="902" t="str">
        <f t="shared" si="71"/>
        <v>Europe</v>
      </c>
      <c r="E128" s="902" t="str">
        <f t="shared" si="72"/>
        <v xml:space="preserve">Administrative boundary of a local government </v>
      </c>
      <c r="F128" s="643">
        <f t="shared" si="73"/>
        <v>2013</v>
      </c>
      <c r="G128" s="644">
        <f t="shared" si="74"/>
        <v>2013</v>
      </c>
      <c r="H128" s="643">
        <f t="shared" si="75"/>
        <v>649111</v>
      </c>
      <c r="I128" s="643">
        <f t="shared" si="76"/>
        <v>158</v>
      </c>
      <c r="J128" s="1038">
        <f t="shared" si="77"/>
        <v>113362000000</v>
      </c>
      <c r="K128" s="643" t="s">
        <v>172</v>
      </c>
      <c r="L128" s="643" t="s">
        <v>1556</v>
      </c>
      <c r="M128" s="643" t="s">
        <v>1638</v>
      </c>
      <c r="N128" s="647">
        <f t="shared" si="78"/>
        <v>52297.887861661402</v>
      </c>
      <c r="O128" s="647">
        <f t="shared" si="79"/>
        <v>40958.117789992182</v>
      </c>
      <c r="P128" s="647">
        <f t="shared" si="79"/>
        <v>10153.749991314573</v>
      </c>
      <c r="Q128" s="647">
        <f t="shared" si="79"/>
        <v>1186.0200803546438</v>
      </c>
      <c r="S128" s="648" t="str">
        <f t="shared" si="80"/>
        <v>District of Columbia</v>
      </c>
      <c r="T128" s="647">
        <f t="shared" si="81"/>
        <v>9084.3762604581316</v>
      </c>
      <c r="U128" s="647">
        <f t="shared" si="81"/>
        <v>31735.152611500765</v>
      </c>
      <c r="V128" s="647" t="str">
        <f t="shared" si="81"/>
        <v/>
      </c>
      <c r="W128" s="647" t="str">
        <f t="shared" si="81"/>
        <v/>
      </c>
      <c r="X128" s="647" t="str">
        <f t="shared" si="81"/>
        <v/>
      </c>
      <c r="Y128" s="647" t="str">
        <f t="shared" si="81"/>
        <v/>
      </c>
      <c r="Z128" s="647" t="str">
        <f t="shared" si="81"/>
        <v/>
      </c>
      <c r="AA128" s="647">
        <f t="shared" si="81"/>
        <v>138.58891803328854</v>
      </c>
      <c r="AB128" s="15"/>
      <c r="AC128" s="1041" t="str">
        <f t="shared" si="82"/>
        <v>District of Columbia</v>
      </c>
      <c r="AD128" s="647">
        <f t="shared" si="83"/>
        <v>9354.4168875316464</v>
      </c>
      <c r="AE128" s="647">
        <f t="shared" si="83"/>
        <v>799.33310378292595</v>
      </c>
      <c r="AF128" s="647" t="str">
        <f t="shared" si="83"/>
        <v/>
      </c>
      <c r="AG128" s="647" t="str">
        <f t="shared" si="83"/>
        <v/>
      </c>
      <c r="AH128" s="647" t="str">
        <f t="shared" si="83"/>
        <v/>
      </c>
      <c r="AI128" s="15"/>
      <c r="AJ128" s="648" t="str">
        <f t="shared" si="86"/>
        <v>District of Columbia</v>
      </c>
      <c r="AK128" s="647">
        <f t="shared" si="84"/>
        <v>1148.006329113924</v>
      </c>
      <c r="AL128" s="647" t="str">
        <f t="shared" si="84"/>
        <v/>
      </c>
      <c r="AM128" s="647" t="str">
        <f t="shared" si="84"/>
        <v/>
      </c>
      <c r="AN128" s="647">
        <f t="shared" si="84"/>
        <v>38.013751240719692</v>
      </c>
      <c r="AO128" s="15"/>
      <c r="AP128" s="15"/>
      <c r="AQ128" s="15"/>
      <c r="AR128" s="15"/>
      <c r="AS128" s="15"/>
      <c r="AT128" s="15"/>
      <c r="AU128" s="15"/>
      <c r="AV128" s="15"/>
      <c r="AW128" s="15"/>
      <c r="AX128" s="15"/>
      <c r="AY128" s="15"/>
      <c r="AZ128" s="15"/>
      <c r="BA128" s="15"/>
      <c r="BB128" s="15"/>
      <c r="BC128" s="15"/>
      <c r="BD128" s="15"/>
      <c r="BE128" s="15"/>
      <c r="BF128" s="15"/>
      <c r="BG128" s="15"/>
      <c r="BH128" s="15"/>
      <c r="BI128" s="15"/>
      <c r="BJ128" s="15"/>
      <c r="BK128" s="15"/>
      <c r="BL128" s="15"/>
      <c r="BM128" s="15"/>
      <c r="BN128" s="15"/>
      <c r="BO128" s="15"/>
      <c r="BP128" s="15"/>
      <c r="BQ128" s="15"/>
      <c r="BR128" s="15"/>
      <c r="BS128" s="15"/>
      <c r="BT128" s="15"/>
      <c r="BU128" s="15"/>
      <c r="BV128" s="15"/>
      <c r="BW128" s="15"/>
      <c r="BX128" s="15"/>
      <c r="BY128" s="15"/>
      <c r="BZ128" s="15"/>
      <c r="CA128" s="15"/>
      <c r="CB128" s="15"/>
      <c r="CC128" s="15"/>
      <c r="CD128" s="15"/>
      <c r="CE128" s="15"/>
      <c r="CF128" s="15"/>
      <c r="CG128" s="15"/>
      <c r="CH128" s="15"/>
      <c r="CI128" s="15"/>
      <c r="CJ128" s="15"/>
      <c r="CK128" s="15"/>
      <c r="CL128" s="15"/>
      <c r="CM128" s="15"/>
      <c r="CN128" s="15"/>
      <c r="CO128" s="15"/>
      <c r="CP128" s="15"/>
      <c r="CQ128" s="15"/>
      <c r="CR128" s="15"/>
      <c r="CS128" s="15"/>
      <c r="CT128" s="15"/>
      <c r="CU128" s="645"/>
      <c r="CV128" s="645"/>
      <c r="CW128" s="645"/>
      <c r="CX128" s="645"/>
      <c r="CY128" s="645"/>
      <c r="CZ128" s="645"/>
      <c r="DA128" s="645"/>
      <c r="DB128" s="645"/>
      <c r="DC128" s="645"/>
      <c r="DD128" s="645"/>
      <c r="DE128" s="645"/>
      <c r="DF128" s="645"/>
      <c r="DG128" s="645"/>
      <c r="DH128" s="645"/>
      <c r="DI128" s="645"/>
      <c r="DJ128" s="645"/>
      <c r="DK128" s="645"/>
      <c r="DL128" s="645"/>
      <c r="DM128" s="645"/>
      <c r="DN128" s="645"/>
      <c r="DO128" s="645"/>
      <c r="DP128" s="645"/>
    </row>
    <row r="129" spans="1:120" s="33" customFormat="1" ht="15" customHeight="1">
      <c r="A129" s="316"/>
      <c r="B129" s="648" t="str">
        <f t="shared" si="85"/>
        <v>Johannesburg</v>
      </c>
      <c r="C129" s="902" t="str">
        <f t="shared" si="70"/>
        <v>South Africa</v>
      </c>
      <c r="D129" s="902" t="str">
        <f t="shared" si="71"/>
        <v>Africa</v>
      </c>
      <c r="E129" s="902" t="str">
        <f t="shared" si="72"/>
        <v xml:space="preserve">Administrative boundary of a local government </v>
      </c>
      <c r="F129" s="643">
        <f t="shared" si="73"/>
        <v>2014</v>
      </c>
      <c r="G129" s="644">
        <f t="shared" si="74"/>
        <v>2014</v>
      </c>
      <c r="H129" s="643">
        <f t="shared" si="75"/>
        <v>4765329</v>
      </c>
      <c r="I129" s="643">
        <f t="shared" si="76"/>
        <v>1648</v>
      </c>
      <c r="J129" s="1038">
        <f t="shared" si="77"/>
        <v>35684773914.663498</v>
      </c>
      <c r="K129" s="643" t="s">
        <v>172</v>
      </c>
      <c r="L129" s="643" t="s">
        <v>1556</v>
      </c>
      <c r="M129" s="643" t="s">
        <v>1638</v>
      </c>
      <c r="N129" s="647">
        <f t="shared" si="78"/>
        <v>14998.005378342703</v>
      </c>
      <c r="O129" s="647">
        <f t="shared" si="79"/>
        <v>9570.9792666969988</v>
      </c>
      <c r="P129" s="647">
        <f t="shared" si="79"/>
        <v>4372.1438546950985</v>
      </c>
      <c r="Q129" s="647">
        <f t="shared" si="79"/>
        <v>1054.882256950604</v>
      </c>
      <c r="S129" s="648" t="str">
        <f t="shared" si="80"/>
        <v>Johannesburg</v>
      </c>
      <c r="T129" s="647">
        <f t="shared" ref="T129:AA138" si="87">IF(ISERROR(T61/$I61),"",T61/$I61)</f>
        <v>4354.1285579609157</v>
      </c>
      <c r="U129" s="647">
        <f t="shared" si="87"/>
        <v>5065.7783317962158</v>
      </c>
      <c r="V129" s="647">
        <f t="shared" si="87"/>
        <v>149.11691713738108</v>
      </c>
      <c r="W129" s="647" t="str">
        <f t="shared" si="87"/>
        <v/>
      </c>
      <c r="X129" s="647" t="str">
        <f t="shared" si="87"/>
        <v/>
      </c>
      <c r="Y129" s="647" t="str">
        <f t="shared" si="87"/>
        <v/>
      </c>
      <c r="Z129" s="647" t="str">
        <f t="shared" si="87"/>
        <v/>
      </c>
      <c r="AA129" s="647">
        <f t="shared" si="87"/>
        <v>1.9554598024852017</v>
      </c>
      <c r="AB129" s="15"/>
      <c r="AC129" s="1041" t="str">
        <f t="shared" si="82"/>
        <v>Johannesburg</v>
      </c>
      <c r="AD129" s="647">
        <f t="shared" si="83"/>
        <v>4171.7967903266672</v>
      </c>
      <c r="AE129" s="647">
        <f t="shared" si="83"/>
        <v>200.34706436843203</v>
      </c>
      <c r="AF129" s="647" t="str">
        <f t="shared" si="83"/>
        <v/>
      </c>
      <c r="AG129" s="647" t="str">
        <f t="shared" si="83"/>
        <v/>
      </c>
      <c r="AH129" s="647" t="str">
        <f t="shared" si="83"/>
        <v/>
      </c>
      <c r="AI129" s="15"/>
      <c r="AJ129" s="648" t="str">
        <f t="shared" si="86"/>
        <v>Johannesburg</v>
      </c>
      <c r="AK129" s="647">
        <f t="shared" si="84"/>
        <v>982.73801577669906</v>
      </c>
      <c r="AL129" s="647">
        <f t="shared" si="84"/>
        <v>2.0115291262135924</v>
      </c>
      <c r="AM129" s="647">
        <f t="shared" si="84"/>
        <v>4.3859223300970873</v>
      </c>
      <c r="AN129" s="647">
        <f t="shared" si="84"/>
        <v>65.746789717594268</v>
      </c>
      <c r="AO129" s="15"/>
      <c r="AP129" s="15"/>
      <c r="AQ129" s="15"/>
      <c r="AR129" s="15"/>
      <c r="AS129" s="15"/>
      <c r="AT129" s="15"/>
      <c r="AU129" s="15"/>
      <c r="AV129" s="15"/>
      <c r="AW129" s="15"/>
      <c r="AX129" s="15"/>
      <c r="AY129" s="15"/>
      <c r="AZ129" s="15"/>
      <c r="BA129" s="15"/>
      <c r="BB129" s="15"/>
      <c r="BC129" s="15"/>
      <c r="BD129" s="15"/>
      <c r="BE129" s="15"/>
      <c r="BF129" s="15"/>
      <c r="BG129" s="15"/>
      <c r="BH129" s="15"/>
      <c r="BI129" s="15"/>
      <c r="BJ129" s="15"/>
      <c r="BK129" s="15"/>
      <c r="BL129" s="15"/>
      <c r="BM129" s="15"/>
      <c r="BN129" s="15"/>
      <c r="BO129" s="15"/>
      <c r="BP129" s="15"/>
      <c r="BQ129" s="15"/>
      <c r="BR129" s="15"/>
      <c r="BS129" s="15"/>
      <c r="BT129" s="15"/>
      <c r="BU129" s="15"/>
      <c r="BV129" s="15"/>
      <c r="BW129" s="15"/>
      <c r="BX129" s="15"/>
      <c r="BY129" s="15"/>
      <c r="BZ129" s="15"/>
      <c r="CA129" s="15"/>
      <c r="CB129" s="15"/>
      <c r="CC129" s="15"/>
      <c r="CD129" s="15"/>
      <c r="CE129" s="15"/>
      <c r="CF129" s="15"/>
      <c r="CG129" s="15"/>
      <c r="CH129" s="15"/>
      <c r="CI129" s="15"/>
      <c r="CJ129" s="15"/>
      <c r="CK129" s="15"/>
      <c r="CL129" s="15"/>
      <c r="CM129" s="15"/>
      <c r="CN129" s="15"/>
      <c r="CO129" s="15"/>
      <c r="CP129" s="15"/>
      <c r="CQ129" s="15"/>
      <c r="CR129" s="15"/>
      <c r="CS129" s="15"/>
      <c r="CT129" s="15"/>
      <c r="CU129" s="645"/>
      <c r="CV129" s="645"/>
      <c r="CW129" s="645"/>
      <c r="CX129" s="645"/>
      <c r="CY129" s="645"/>
      <c r="CZ129" s="645"/>
      <c r="DA129" s="645"/>
      <c r="DB129" s="645"/>
      <c r="DC129" s="645"/>
      <c r="DD129" s="645"/>
      <c r="DE129" s="645"/>
      <c r="DF129" s="645"/>
      <c r="DG129" s="645"/>
      <c r="DH129" s="645"/>
      <c r="DI129" s="645"/>
      <c r="DJ129" s="645"/>
      <c r="DK129" s="645"/>
      <c r="DL129" s="645"/>
      <c r="DM129" s="645"/>
      <c r="DN129" s="645"/>
      <c r="DO129" s="645"/>
      <c r="DP129" s="645"/>
    </row>
    <row r="130" spans="1:120" s="33" customFormat="1" ht="15" customHeight="1">
      <c r="A130" s="316"/>
      <c r="B130" s="648" t="str">
        <f t="shared" si="85"/>
        <v>London</v>
      </c>
      <c r="C130" s="902" t="str">
        <f t="shared" si="70"/>
        <v>United Kingdom</v>
      </c>
      <c r="D130" s="902" t="str">
        <f t="shared" si="71"/>
        <v>Europe</v>
      </c>
      <c r="E130" s="902" t="str">
        <f t="shared" si="72"/>
        <v xml:space="preserve">Administrative boundary of a local government </v>
      </c>
      <c r="F130" s="643">
        <f t="shared" si="73"/>
        <v>2013</v>
      </c>
      <c r="G130" s="644">
        <f t="shared" si="74"/>
        <v>2013</v>
      </c>
      <c r="H130" s="643">
        <f t="shared" si="75"/>
        <v>8416500</v>
      </c>
      <c r="I130" s="643">
        <f t="shared" si="76"/>
        <v>1595</v>
      </c>
      <c r="J130" s="1038">
        <f t="shared" si="77"/>
        <v>481061890500</v>
      </c>
      <c r="K130" s="643" t="s">
        <v>172</v>
      </c>
      <c r="L130" s="643" t="s">
        <v>1556</v>
      </c>
      <c r="M130" s="643" t="s">
        <v>1638</v>
      </c>
      <c r="N130" s="647">
        <f t="shared" si="78"/>
        <v>24968.754762643686</v>
      </c>
      <c r="O130" s="647">
        <f t="shared" si="79"/>
        <v>19236.942238163545</v>
      </c>
      <c r="P130" s="647">
        <f t="shared" si="79"/>
        <v>4570.4383612586635</v>
      </c>
      <c r="Q130" s="647">
        <f t="shared" si="79"/>
        <v>1161.374163221476</v>
      </c>
      <c r="S130" s="648" t="str">
        <f t="shared" si="80"/>
        <v>London</v>
      </c>
      <c r="T130" s="647">
        <f t="shared" si="87"/>
        <v>8883.5216066966805</v>
      </c>
      <c r="U130" s="647">
        <f t="shared" si="87"/>
        <v>10346.030223943357</v>
      </c>
      <c r="V130" s="647" t="str">
        <f t="shared" si="87"/>
        <v/>
      </c>
      <c r="W130" s="647" t="str">
        <f t="shared" si="87"/>
        <v/>
      </c>
      <c r="X130" s="647" t="str">
        <f t="shared" si="87"/>
        <v/>
      </c>
      <c r="Y130" s="647" t="str">
        <f t="shared" si="87"/>
        <v/>
      </c>
      <c r="Z130" s="647" t="str">
        <f t="shared" si="87"/>
        <v/>
      </c>
      <c r="AA130" s="647">
        <f t="shared" si="87"/>
        <v>7.3904075235109721</v>
      </c>
      <c r="AB130" s="15"/>
      <c r="AC130" s="1041" t="str">
        <f t="shared" si="82"/>
        <v>London</v>
      </c>
      <c r="AD130" s="647">
        <f t="shared" si="83"/>
        <v>3783.4823958191828</v>
      </c>
      <c r="AE130" s="647">
        <f t="shared" si="83"/>
        <v>751.58825644149329</v>
      </c>
      <c r="AF130" s="647">
        <f t="shared" si="83"/>
        <v>12.701251317736583</v>
      </c>
      <c r="AG130" s="647" t="str">
        <f t="shared" si="83"/>
        <v/>
      </c>
      <c r="AH130" s="647">
        <f t="shared" si="83"/>
        <v>22.666457680250783</v>
      </c>
      <c r="AI130" s="15"/>
      <c r="AJ130" s="648" t="str">
        <f t="shared" si="86"/>
        <v>London</v>
      </c>
      <c r="AK130" s="647">
        <f t="shared" si="84"/>
        <v>946.95739191082373</v>
      </c>
      <c r="AL130" s="647">
        <f t="shared" si="84"/>
        <v>4.9898595847234925E-2</v>
      </c>
      <c r="AM130" s="647">
        <f t="shared" si="84"/>
        <v>210.21027121319389</v>
      </c>
      <c r="AN130" s="647">
        <f t="shared" si="84"/>
        <v>4.1566015016111901</v>
      </c>
      <c r="AO130" s="15"/>
      <c r="AP130" s="15"/>
      <c r="AQ130" s="15"/>
      <c r="AR130" s="15"/>
      <c r="AS130" s="15"/>
      <c r="AT130" s="15"/>
      <c r="AU130" s="15"/>
      <c r="AV130" s="15"/>
      <c r="AW130" s="15"/>
      <c r="AX130" s="15"/>
      <c r="AY130" s="15"/>
      <c r="AZ130" s="15"/>
      <c r="BA130" s="15"/>
      <c r="BB130" s="15"/>
      <c r="BC130" s="15"/>
      <c r="BD130" s="15"/>
      <c r="BE130" s="15"/>
      <c r="BF130" s="15"/>
      <c r="BG130" s="15"/>
      <c r="BH130" s="15"/>
      <c r="BI130" s="15"/>
      <c r="BJ130" s="15"/>
      <c r="BK130" s="15"/>
      <c r="BL130" s="15"/>
      <c r="BM130" s="15"/>
      <c r="BN130" s="15"/>
      <c r="BO130" s="15"/>
      <c r="BP130" s="15"/>
      <c r="BQ130" s="15"/>
      <c r="BR130" s="15"/>
      <c r="BS130" s="15"/>
      <c r="BT130" s="15"/>
      <c r="BU130" s="15"/>
      <c r="BV130" s="15"/>
      <c r="BW130" s="15"/>
      <c r="BX130" s="15"/>
      <c r="BY130" s="15"/>
      <c r="BZ130" s="15"/>
      <c r="CA130" s="15"/>
      <c r="CB130" s="15"/>
      <c r="CC130" s="15"/>
      <c r="CD130" s="15"/>
      <c r="CE130" s="15"/>
      <c r="CF130" s="15"/>
      <c r="CG130" s="15"/>
      <c r="CH130" s="15"/>
      <c r="CI130" s="15"/>
      <c r="CJ130" s="15"/>
      <c r="CK130" s="15"/>
      <c r="CL130" s="15"/>
      <c r="CM130" s="15"/>
      <c r="CN130" s="15"/>
      <c r="CO130" s="15"/>
      <c r="CP130" s="15"/>
      <c r="CQ130" s="15"/>
      <c r="CR130" s="15"/>
      <c r="CS130" s="15"/>
      <c r="CT130" s="15"/>
      <c r="CU130" s="645"/>
      <c r="CV130" s="645"/>
      <c r="CW130" s="645"/>
      <c r="CX130" s="645"/>
      <c r="CY130" s="645"/>
      <c r="CZ130" s="645"/>
      <c r="DA130" s="645"/>
      <c r="DB130" s="645"/>
      <c r="DC130" s="645"/>
      <c r="DD130" s="645"/>
      <c r="DE130" s="645"/>
      <c r="DF130" s="645"/>
      <c r="DG130" s="645"/>
      <c r="DH130" s="645"/>
      <c r="DI130" s="645"/>
      <c r="DJ130" s="645"/>
      <c r="DK130" s="645"/>
      <c r="DL130" s="645"/>
      <c r="DM130" s="645"/>
      <c r="DN130" s="645"/>
      <c r="DO130" s="645"/>
      <c r="DP130" s="645"/>
    </row>
    <row r="131" spans="1:120" s="33" customFormat="1" ht="15" customHeight="1">
      <c r="A131" s="316"/>
      <c r="B131" s="648" t="str">
        <f t="shared" si="85"/>
        <v>Madrid</v>
      </c>
      <c r="C131" s="902" t="str">
        <f t="shared" si="70"/>
        <v>Spain</v>
      </c>
      <c r="D131" s="902" t="str">
        <f t="shared" si="71"/>
        <v>Europe</v>
      </c>
      <c r="E131" s="902" t="str">
        <f t="shared" si="72"/>
        <v xml:space="preserve">Administrative boundary of a local government </v>
      </c>
      <c r="F131" s="643">
        <f t="shared" si="73"/>
        <v>2013</v>
      </c>
      <c r="G131" s="644">
        <f t="shared" si="74"/>
        <v>2013</v>
      </c>
      <c r="H131" s="643">
        <f t="shared" si="75"/>
        <v>3207247</v>
      </c>
      <c r="I131" s="643">
        <f t="shared" si="76"/>
        <v>606</v>
      </c>
      <c r="J131" s="1038">
        <f t="shared" si="77"/>
        <v>103261000000</v>
      </c>
      <c r="K131" s="643" t="s">
        <v>172</v>
      </c>
      <c r="L131" s="643" t="s">
        <v>1556</v>
      </c>
      <c r="M131" s="643" t="s">
        <v>1638</v>
      </c>
      <c r="N131" s="647">
        <f t="shared" si="78"/>
        <v>15185.471204393536</v>
      </c>
      <c r="O131" s="647">
        <f t="shared" si="79"/>
        <v>9645.6273692628802</v>
      </c>
      <c r="P131" s="647">
        <f t="shared" si="79"/>
        <v>4827.8284285471527</v>
      </c>
      <c r="Q131" s="647">
        <f t="shared" si="79"/>
        <v>712.01540658350314</v>
      </c>
      <c r="S131" s="648" t="str">
        <f t="shared" si="80"/>
        <v>Madrid</v>
      </c>
      <c r="T131" s="647">
        <f t="shared" si="87"/>
        <v>4631.9400457115926</v>
      </c>
      <c r="U131" s="647">
        <f t="shared" si="87"/>
        <v>3958.8296169281812</v>
      </c>
      <c r="V131" s="647">
        <f t="shared" si="87"/>
        <v>833.00163924059086</v>
      </c>
      <c r="W131" s="647">
        <f t="shared" si="87"/>
        <v>62.406219443339779</v>
      </c>
      <c r="X131" s="647">
        <f t="shared" si="87"/>
        <v>48.321523589091285</v>
      </c>
      <c r="Y131" s="647">
        <f t="shared" si="87"/>
        <v>81.484111649235032</v>
      </c>
      <c r="Z131" s="647" t="str">
        <f t="shared" si="87"/>
        <v/>
      </c>
      <c r="AA131" s="647">
        <f t="shared" si="87"/>
        <v>29.644212700847696</v>
      </c>
      <c r="AB131" s="15"/>
      <c r="AC131" s="1041" t="str">
        <f t="shared" si="82"/>
        <v>Madrid</v>
      </c>
      <c r="AD131" s="647">
        <f t="shared" si="83"/>
        <v>3546.476694400636</v>
      </c>
      <c r="AE131" s="647">
        <f t="shared" si="83"/>
        <v>446.09145807390991</v>
      </c>
      <c r="AF131" s="647" t="str">
        <f t="shared" si="83"/>
        <v/>
      </c>
      <c r="AG131" s="647">
        <f t="shared" si="83"/>
        <v>835.26027607260733</v>
      </c>
      <c r="AH131" s="647" t="str">
        <f t="shared" si="83"/>
        <v/>
      </c>
      <c r="AI131" s="15"/>
      <c r="AJ131" s="648" t="str">
        <f t="shared" si="86"/>
        <v>Madrid</v>
      </c>
      <c r="AK131" s="647">
        <f t="shared" si="84"/>
        <v>557.77422263008361</v>
      </c>
      <c r="AL131" s="647">
        <f t="shared" si="84"/>
        <v>6.0646864686468653</v>
      </c>
      <c r="AM131" s="647">
        <f t="shared" si="84"/>
        <v>0.6187545016501651</v>
      </c>
      <c r="AN131" s="647">
        <f t="shared" si="84"/>
        <v>147.55774298312249</v>
      </c>
      <c r="AO131" s="15"/>
      <c r="AP131" s="15"/>
      <c r="AQ131" s="15"/>
      <c r="AR131" s="15"/>
      <c r="AS131" s="15"/>
      <c r="AT131" s="15"/>
      <c r="AU131" s="15"/>
      <c r="AV131" s="15"/>
      <c r="AW131" s="15"/>
      <c r="AX131" s="15"/>
      <c r="AY131" s="15"/>
      <c r="AZ131" s="15"/>
      <c r="BA131" s="15"/>
      <c r="BB131" s="15"/>
      <c r="BC131" s="15"/>
      <c r="BD131" s="15"/>
      <c r="BE131" s="15"/>
      <c r="BF131" s="15"/>
      <c r="BG131" s="15"/>
      <c r="BH131" s="15"/>
      <c r="BI131" s="15"/>
      <c r="BJ131" s="15"/>
      <c r="BK131" s="15"/>
      <c r="BL131" s="15"/>
      <c r="BM131" s="15"/>
      <c r="BN131" s="15"/>
      <c r="BO131" s="15"/>
      <c r="BP131" s="15"/>
      <c r="BQ131" s="15"/>
      <c r="BR131" s="15"/>
      <c r="BS131" s="15"/>
      <c r="BT131" s="15"/>
      <c r="BU131" s="15"/>
      <c r="BV131" s="15"/>
      <c r="BW131" s="15"/>
      <c r="BX131" s="15"/>
      <c r="BY131" s="15"/>
      <c r="BZ131" s="15"/>
      <c r="CA131" s="15"/>
      <c r="CB131" s="15"/>
      <c r="CC131" s="15"/>
      <c r="CD131" s="15"/>
      <c r="CE131" s="15"/>
      <c r="CF131" s="15"/>
      <c r="CG131" s="15"/>
      <c r="CH131" s="15"/>
      <c r="CI131" s="15"/>
      <c r="CJ131" s="15"/>
      <c r="CK131" s="15"/>
      <c r="CL131" s="15"/>
      <c r="CM131" s="15"/>
      <c r="CN131" s="15"/>
      <c r="CO131" s="15"/>
      <c r="CP131" s="15"/>
      <c r="CQ131" s="15"/>
      <c r="CR131" s="15"/>
      <c r="CS131" s="15"/>
      <c r="CT131" s="15"/>
      <c r="CU131" s="645"/>
      <c r="CV131" s="645"/>
      <c r="CW131" s="645"/>
      <c r="CX131" s="645"/>
      <c r="CY131" s="645"/>
      <c r="CZ131" s="645"/>
      <c r="DA131" s="645"/>
      <c r="DB131" s="645"/>
      <c r="DC131" s="645"/>
      <c r="DD131" s="645"/>
      <c r="DE131" s="645"/>
      <c r="DF131" s="645"/>
      <c r="DG131" s="645"/>
      <c r="DH131" s="645"/>
      <c r="DI131" s="645"/>
      <c r="DJ131" s="645"/>
      <c r="DK131" s="645"/>
      <c r="DL131" s="645"/>
      <c r="DM131" s="645"/>
      <c r="DN131" s="645"/>
      <c r="DO131" s="645"/>
      <c r="DP131" s="645"/>
    </row>
    <row r="132" spans="1:120" s="33" customFormat="1" ht="15" customHeight="1">
      <c r="A132" s="316"/>
      <c r="B132" s="648" t="str">
        <f t="shared" si="85"/>
        <v>City of Melbourne</v>
      </c>
      <c r="C132" s="902" t="str">
        <f t="shared" si="70"/>
        <v>Australia</v>
      </c>
      <c r="D132" s="902" t="str">
        <f t="shared" si="71"/>
        <v>East Asia and Oceania</v>
      </c>
      <c r="E132" s="902" t="str">
        <f t="shared" si="72"/>
        <v xml:space="preserve">Administrative boundary of a local government </v>
      </c>
      <c r="F132" s="643" t="str">
        <f t="shared" si="73"/>
        <v>2013-2014</v>
      </c>
      <c r="G132" s="644" t="str">
        <f t="shared" si="74"/>
        <v>2013-2014</v>
      </c>
      <c r="H132" s="643">
        <f t="shared" si="75"/>
        <v>116431</v>
      </c>
      <c r="I132" s="643">
        <f t="shared" si="76"/>
        <v>37.6</v>
      </c>
      <c r="J132" s="1038">
        <f t="shared" si="77"/>
        <v>67700000000</v>
      </c>
      <c r="K132" s="643" t="s">
        <v>172</v>
      </c>
      <c r="L132" s="643" t="s">
        <v>1556</v>
      </c>
      <c r="M132" s="643" t="s">
        <v>1638</v>
      </c>
      <c r="N132" s="647">
        <f t="shared" si="78"/>
        <v>154987.43964292374</v>
      </c>
      <c r="O132" s="647">
        <f t="shared" si="79"/>
        <v>133460.98970151474</v>
      </c>
      <c r="P132" s="647">
        <f t="shared" si="79"/>
        <v>17488.801005238787</v>
      </c>
      <c r="Q132" s="647">
        <f t="shared" si="79"/>
        <v>4037.6489361702129</v>
      </c>
      <c r="S132" s="648" t="str">
        <f t="shared" si="80"/>
        <v>City of Melbourne</v>
      </c>
      <c r="T132" s="647">
        <f t="shared" si="87"/>
        <v>10008.149244831764</v>
      </c>
      <c r="U132" s="647">
        <f t="shared" si="87"/>
        <v>115808.91697947939</v>
      </c>
      <c r="V132" s="647">
        <f t="shared" si="87"/>
        <v>7643.9234772035607</v>
      </c>
      <c r="W132" s="647" t="str">
        <f t="shared" si="87"/>
        <v/>
      </c>
      <c r="X132" s="647" t="str">
        <f t="shared" si="87"/>
        <v/>
      </c>
      <c r="Y132" s="647" t="str">
        <f t="shared" si="87"/>
        <v/>
      </c>
      <c r="Z132" s="647" t="str">
        <f t="shared" si="87"/>
        <v/>
      </c>
      <c r="AA132" s="647" t="str">
        <f t="shared" si="87"/>
        <v/>
      </c>
      <c r="AB132" s="15"/>
      <c r="AC132" s="1041" t="str">
        <f t="shared" si="82"/>
        <v>City of Melbourne</v>
      </c>
      <c r="AD132" s="647">
        <f t="shared" si="83"/>
        <v>11914.134452585107</v>
      </c>
      <c r="AE132" s="647">
        <f t="shared" si="83"/>
        <v>5419.0729681802741</v>
      </c>
      <c r="AF132" s="647" t="str">
        <f t="shared" si="83"/>
        <v/>
      </c>
      <c r="AG132" s="647" t="str">
        <f t="shared" si="83"/>
        <v/>
      </c>
      <c r="AH132" s="647">
        <f t="shared" si="83"/>
        <v>155.59358447340426</v>
      </c>
      <c r="AI132" s="15"/>
      <c r="AJ132" s="648" t="str">
        <f t="shared" si="86"/>
        <v>City of Melbourne</v>
      </c>
      <c r="AK132" s="647">
        <f t="shared" si="84"/>
        <v>3960.5744680851062</v>
      </c>
      <c r="AL132" s="647" t="str">
        <f t="shared" si="84"/>
        <v/>
      </c>
      <c r="AM132" s="647" t="str">
        <f t="shared" si="84"/>
        <v/>
      </c>
      <c r="AN132" s="647">
        <f t="shared" si="84"/>
        <v>77.074468085106375</v>
      </c>
      <c r="AO132" s="15"/>
      <c r="AP132" s="15"/>
      <c r="AQ132" s="15"/>
      <c r="AR132" s="15"/>
      <c r="AS132" s="15"/>
      <c r="AT132" s="15"/>
      <c r="AU132" s="15"/>
      <c r="AV132" s="15"/>
      <c r="AW132" s="15"/>
      <c r="AX132" s="15"/>
      <c r="AY132" s="15"/>
      <c r="AZ132" s="15"/>
      <c r="BA132" s="15"/>
      <c r="BB132" s="15"/>
      <c r="BC132" s="15"/>
      <c r="BD132" s="15"/>
      <c r="BE132" s="15"/>
      <c r="BF132" s="15"/>
      <c r="BG132" s="15"/>
      <c r="BH132" s="15"/>
      <c r="BI132" s="15"/>
      <c r="BJ132" s="15"/>
      <c r="BK132" s="15"/>
      <c r="BL132" s="15"/>
      <c r="BM132" s="15"/>
      <c r="BN132" s="15"/>
      <c r="BO132" s="15"/>
      <c r="BP132" s="15"/>
      <c r="BQ132" s="15"/>
      <c r="BR132" s="15"/>
      <c r="BS132" s="15"/>
      <c r="BT132" s="15"/>
      <c r="BU132" s="15"/>
      <c r="BV132" s="15"/>
      <c r="BW132" s="15"/>
      <c r="BX132" s="15"/>
      <c r="BY132" s="15"/>
      <c r="BZ132" s="15"/>
      <c r="CA132" s="15"/>
      <c r="CB132" s="15"/>
      <c r="CC132" s="15"/>
      <c r="CD132" s="15"/>
      <c r="CE132" s="15"/>
      <c r="CF132" s="15"/>
      <c r="CG132" s="15"/>
      <c r="CH132" s="15"/>
      <c r="CI132" s="15"/>
      <c r="CJ132" s="15"/>
      <c r="CK132" s="15"/>
      <c r="CL132" s="15"/>
      <c r="CM132" s="15"/>
      <c r="CN132" s="15"/>
      <c r="CO132" s="15"/>
      <c r="CP132" s="15"/>
      <c r="CQ132" s="15"/>
      <c r="CR132" s="15"/>
      <c r="CS132" s="15"/>
      <c r="CT132" s="15"/>
      <c r="CU132" s="645"/>
      <c r="CV132" s="645"/>
      <c r="CW132" s="645"/>
      <c r="CX132" s="645"/>
      <c r="CY132" s="645"/>
      <c r="CZ132" s="645"/>
      <c r="DA132" s="645"/>
      <c r="DB132" s="645"/>
      <c r="DC132" s="645"/>
      <c r="DD132" s="645"/>
      <c r="DE132" s="645"/>
      <c r="DF132" s="645"/>
      <c r="DG132" s="645"/>
      <c r="DH132" s="645"/>
      <c r="DI132" s="645"/>
      <c r="DJ132" s="645"/>
      <c r="DK132" s="645"/>
      <c r="DL132" s="645"/>
      <c r="DM132" s="645"/>
      <c r="DN132" s="645"/>
      <c r="DO132" s="645"/>
      <c r="DP132" s="645"/>
    </row>
    <row r="133" spans="1:120" s="33" customFormat="1" ht="15" customHeight="1">
      <c r="A133" s="316"/>
      <c r="B133" s="648" t="str">
        <f t="shared" si="85"/>
        <v>Mexico City</v>
      </c>
      <c r="C133" s="902" t="str">
        <f t="shared" si="70"/>
        <v>Mexico</v>
      </c>
      <c r="D133" s="902" t="str">
        <f t="shared" si="71"/>
        <v>Latin America</v>
      </c>
      <c r="E133" s="902" t="str">
        <f t="shared" si="72"/>
        <v>Administrative boundary of a local government .</v>
      </c>
      <c r="F133" s="643">
        <f t="shared" si="73"/>
        <v>2012</v>
      </c>
      <c r="G133" s="644">
        <f t="shared" si="74"/>
        <v>2012</v>
      </c>
      <c r="H133" s="643">
        <f t="shared" si="75"/>
        <v>8911664.7271708604</v>
      </c>
      <c r="I133" s="643">
        <f t="shared" si="76"/>
        <v>1485</v>
      </c>
      <c r="J133" s="1038">
        <f t="shared" si="77"/>
        <v>169784923077</v>
      </c>
      <c r="K133" s="643" t="s">
        <v>172</v>
      </c>
      <c r="L133" s="643" t="s">
        <v>1556</v>
      </c>
      <c r="M133" s="643" t="s">
        <v>1638</v>
      </c>
      <c r="N133" s="647">
        <f t="shared" si="78"/>
        <v>20318.846377928159</v>
      </c>
      <c r="O133" s="647">
        <f t="shared" si="79"/>
        <v>7956.8863814571405</v>
      </c>
      <c r="P133" s="647">
        <f t="shared" si="79"/>
        <v>9209.5571346820252</v>
      </c>
      <c r="Q133" s="647">
        <f t="shared" si="79"/>
        <v>3152.4028617889935</v>
      </c>
      <c r="S133" s="648" t="str">
        <f t="shared" si="80"/>
        <v>Mexico City</v>
      </c>
      <c r="T133" s="647">
        <f t="shared" si="87"/>
        <v>2692.9212761658305</v>
      </c>
      <c r="U133" s="647">
        <f t="shared" si="87"/>
        <v>1628.4551768870033</v>
      </c>
      <c r="V133" s="647">
        <f t="shared" si="87"/>
        <v>3614.5778764593906</v>
      </c>
      <c r="W133" s="647">
        <f t="shared" si="87"/>
        <v>16.186346943569024</v>
      </c>
      <c r="X133" s="647">
        <f t="shared" si="87"/>
        <v>4.341664597306397</v>
      </c>
      <c r="Y133" s="647" t="str">
        <f t="shared" si="87"/>
        <v/>
      </c>
      <c r="Z133" s="647" t="str">
        <f t="shared" si="87"/>
        <v/>
      </c>
      <c r="AA133" s="647">
        <f t="shared" si="87"/>
        <v>0.40404040404040403</v>
      </c>
      <c r="AB133" s="15"/>
      <c r="AC133" s="1041" t="str">
        <f t="shared" si="82"/>
        <v>Mexico City</v>
      </c>
      <c r="AD133" s="647">
        <f t="shared" si="83"/>
        <v>7736.5697890755555</v>
      </c>
      <c r="AE133" s="647">
        <f t="shared" si="83"/>
        <v>453.65050973079695</v>
      </c>
      <c r="AF133" s="647" t="str">
        <f t="shared" si="83"/>
        <v/>
      </c>
      <c r="AG133" s="647">
        <f t="shared" si="83"/>
        <v>941.71793863319488</v>
      </c>
      <c r="AH133" s="647">
        <f t="shared" si="83"/>
        <v>77.61889724247682</v>
      </c>
      <c r="AI133" s="15"/>
      <c r="AJ133" s="648" t="str">
        <f t="shared" si="86"/>
        <v>Mexico City</v>
      </c>
      <c r="AK133" s="647">
        <f t="shared" si="84"/>
        <v>2589.9158249158249</v>
      </c>
      <c r="AL133" s="647">
        <f t="shared" si="84"/>
        <v>111.24297845117846</v>
      </c>
      <c r="AM133" s="647" t="str">
        <f t="shared" si="84"/>
        <v/>
      </c>
      <c r="AN133" s="647">
        <f t="shared" si="84"/>
        <v>451.24405842199002</v>
      </c>
      <c r="AO133" s="15"/>
      <c r="AP133" s="15"/>
      <c r="AQ133" s="15"/>
      <c r="AR133" s="15"/>
      <c r="AS133" s="15"/>
      <c r="AT133" s="15"/>
      <c r="AU133" s="15"/>
      <c r="AV133" s="15"/>
      <c r="AW133" s="15"/>
      <c r="AX133" s="15"/>
      <c r="AY133" s="15"/>
      <c r="AZ133" s="15"/>
      <c r="BA133" s="15"/>
      <c r="BB133" s="15"/>
      <c r="BC133" s="15"/>
      <c r="BD133" s="15"/>
      <c r="BE133" s="15"/>
      <c r="BF133" s="15"/>
      <c r="BG133" s="15"/>
      <c r="BH133" s="15"/>
      <c r="BI133" s="15"/>
      <c r="BJ133" s="15"/>
      <c r="BK133" s="15"/>
      <c r="BL133" s="15"/>
      <c r="BM133" s="15"/>
      <c r="BN133" s="15"/>
      <c r="BO133" s="15"/>
      <c r="BP133" s="15"/>
      <c r="BQ133" s="15"/>
      <c r="BR133" s="15"/>
      <c r="BS133" s="15"/>
      <c r="BT133" s="15"/>
      <c r="BU133" s="15"/>
      <c r="BV133" s="15"/>
      <c r="BW133" s="15"/>
      <c r="BX133" s="15"/>
      <c r="BY133" s="15"/>
      <c r="BZ133" s="15"/>
      <c r="CA133" s="15"/>
      <c r="CB133" s="15"/>
      <c r="CC133" s="15"/>
      <c r="CD133" s="15"/>
      <c r="CE133" s="15"/>
      <c r="CF133" s="15"/>
      <c r="CG133" s="15"/>
      <c r="CH133" s="15"/>
      <c r="CI133" s="15"/>
      <c r="CJ133" s="15"/>
      <c r="CK133" s="15"/>
      <c r="CL133" s="15"/>
      <c r="CM133" s="15"/>
      <c r="CN133" s="15"/>
      <c r="CO133" s="15"/>
      <c r="CP133" s="15"/>
      <c r="CQ133" s="15"/>
      <c r="CR133" s="15"/>
      <c r="CS133" s="15"/>
      <c r="CT133" s="15"/>
      <c r="CU133" s="645"/>
      <c r="CV133" s="645"/>
      <c r="CW133" s="645"/>
      <c r="CX133" s="645"/>
      <c r="CY133" s="645"/>
      <c r="CZ133" s="645"/>
      <c r="DA133" s="645"/>
      <c r="DB133" s="645"/>
      <c r="DC133" s="645"/>
      <c r="DD133" s="645"/>
      <c r="DE133" s="645"/>
      <c r="DF133" s="645"/>
      <c r="DG133" s="645"/>
      <c r="DH133" s="645"/>
      <c r="DI133" s="645"/>
      <c r="DJ133" s="645"/>
      <c r="DK133" s="645"/>
      <c r="DL133" s="645"/>
      <c r="DM133" s="645"/>
      <c r="DN133" s="645"/>
      <c r="DO133" s="645"/>
      <c r="DP133" s="645"/>
    </row>
    <row r="134" spans="1:120" s="33" customFormat="1" ht="15" customHeight="1">
      <c r="A134" s="316"/>
      <c r="B134" s="648" t="str">
        <f t="shared" si="85"/>
        <v>New York City</v>
      </c>
      <c r="C134" s="902" t="str">
        <f t="shared" si="70"/>
        <v>USA</v>
      </c>
      <c r="D134" s="902" t="str">
        <f t="shared" si="71"/>
        <v>North America</v>
      </c>
      <c r="E134" s="902" t="str">
        <f t="shared" si="72"/>
        <v xml:space="preserve">Administrative boundary of a local government </v>
      </c>
      <c r="F134" s="643">
        <f t="shared" si="73"/>
        <v>2014</v>
      </c>
      <c r="G134" s="644">
        <f t="shared" si="74"/>
        <v>2014</v>
      </c>
      <c r="H134" s="643">
        <f t="shared" si="75"/>
        <v>8491079</v>
      </c>
      <c r="I134" s="643">
        <f t="shared" si="76"/>
        <v>783.8</v>
      </c>
      <c r="J134" s="1038">
        <f t="shared" si="77"/>
        <v>778000000000</v>
      </c>
      <c r="K134" s="643" t="s">
        <v>172</v>
      </c>
      <c r="L134" s="643" t="s">
        <v>1556</v>
      </c>
      <c r="M134" s="643" t="s">
        <v>1638</v>
      </c>
      <c r="N134" s="647">
        <f t="shared" si="78"/>
        <v>65464.376742044609</v>
      </c>
      <c r="O134" s="647">
        <f t="shared" si="79"/>
        <v>46959.689495058607</v>
      </c>
      <c r="P134" s="647">
        <f t="shared" si="79"/>
        <v>15079.163072098929</v>
      </c>
      <c r="Q134" s="647">
        <f t="shared" si="79"/>
        <v>3425.5241748870758</v>
      </c>
      <c r="S134" s="648" t="str">
        <f t="shared" si="80"/>
        <v>New York City</v>
      </c>
      <c r="T134" s="647">
        <f t="shared" si="87"/>
        <v>22227.154000403571</v>
      </c>
      <c r="U134" s="647">
        <f t="shared" si="87"/>
        <v>18748.906899228954</v>
      </c>
      <c r="V134" s="647">
        <f t="shared" si="87"/>
        <v>5701.8482028756071</v>
      </c>
      <c r="W134" s="647" t="str">
        <f t="shared" si="87"/>
        <v/>
      </c>
      <c r="X134" s="647" t="str">
        <f t="shared" si="87"/>
        <v/>
      </c>
      <c r="Y134" s="647" t="str">
        <f t="shared" si="87"/>
        <v/>
      </c>
      <c r="Z134" s="647" t="str">
        <f t="shared" si="87"/>
        <v/>
      </c>
      <c r="AA134" s="647">
        <f t="shared" si="87"/>
        <v>281.78039255047247</v>
      </c>
      <c r="AB134" s="15"/>
      <c r="AC134" s="1041" t="str">
        <f t="shared" si="82"/>
        <v>New York City</v>
      </c>
      <c r="AD134" s="647">
        <f t="shared" si="83"/>
        <v>13919.055417597539</v>
      </c>
      <c r="AE134" s="647">
        <f t="shared" si="83"/>
        <v>1108.8782079411774</v>
      </c>
      <c r="AF134" s="647">
        <f t="shared" si="83"/>
        <v>48.246513710483249</v>
      </c>
      <c r="AG134" s="647">
        <f t="shared" si="83"/>
        <v>2.982932849728547</v>
      </c>
      <c r="AH134" s="647" t="str">
        <f t="shared" si="83"/>
        <v/>
      </c>
      <c r="AI134" s="15"/>
      <c r="AJ134" s="648" t="str">
        <f t="shared" si="86"/>
        <v>New York City</v>
      </c>
      <c r="AK134" s="647">
        <f t="shared" si="84"/>
        <v>2940.940493498957</v>
      </c>
      <c r="AL134" s="647" t="str">
        <f t="shared" si="84"/>
        <v/>
      </c>
      <c r="AM134" s="647">
        <f t="shared" si="84"/>
        <v>207.27159814533232</v>
      </c>
      <c r="AN134" s="647">
        <f t="shared" si="84"/>
        <v>277.31208324278691</v>
      </c>
      <c r="AO134" s="15"/>
      <c r="AP134" s="15"/>
      <c r="AQ134" s="15"/>
      <c r="AR134" s="15"/>
      <c r="AS134" s="15"/>
      <c r="AT134" s="15"/>
      <c r="AU134" s="15"/>
      <c r="AV134" s="15"/>
      <c r="AW134" s="15"/>
      <c r="AX134" s="15"/>
      <c r="AY134" s="15"/>
      <c r="AZ134" s="15"/>
      <c r="BA134" s="15"/>
      <c r="BB134" s="15"/>
      <c r="BC134" s="15"/>
      <c r="BD134" s="15"/>
      <c r="BE134" s="15"/>
      <c r="BF134" s="15"/>
      <c r="BG134" s="15"/>
      <c r="BH134" s="15"/>
      <c r="BI134" s="15"/>
      <c r="BJ134" s="15"/>
      <c r="BK134" s="15"/>
      <c r="BL134" s="15"/>
      <c r="BM134" s="15"/>
      <c r="BN134" s="15"/>
      <c r="BO134" s="15"/>
      <c r="BP134" s="15"/>
      <c r="BQ134" s="15"/>
      <c r="BR134" s="15"/>
      <c r="BS134" s="15"/>
      <c r="BT134" s="15"/>
      <c r="BU134" s="15"/>
      <c r="BV134" s="15"/>
      <c r="BW134" s="15"/>
      <c r="BX134" s="15"/>
      <c r="BY134" s="15"/>
      <c r="BZ134" s="15"/>
      <c r="CA134" s="15"/>
      <c r="CB134" s="15"/>
      <c r="CC134" s="15"/>
      <c r="CD134" s="15"/>
      <c r="CE134" s="15"/>
      <c r="CF134" s="15"/>
      <c r="CG134" s="15"/>
      <c r="CH134" s="15"/>
      <c r="CI134" s="15"/>
      <c r="CJ134" s="15"/>
      <c r="CK134" s="15"/>
      <c r="CL134" s="15"/>
      <c r="CM134" s="15"/>
      <c r="CN134" s="15"/>
      <c r="CO134" s="15"/>
      <c r="CP134" s="15"/>
      <c r="CQ134" s="15"/>
      <c r="CR134" s="15"/>
      <c r="CS134" s="15"/>
      <c r="CT134" s="15"/>
      <c r="CU134" s="645"/>
      <c r="CV134" s="645"/>
      <c r="CW134" s="645"/>
      <c r="CX134" s="645"/>
      <c r="CY134" s="645"/>
      <c r="CZ134" s="645"/>
      <c r="DA134" s="645"/>
      <c r="DB134" s="645"/>
      <c r="DC134" s="645"/>
      <c r="DD134" s="645"/>
      <c r="DE134" s="645"/>
      <c r="DF134" s="645"/>
      <c r="DG134" s="645"/>
      <c r="DH134" s="645"/>
      <c r="DI134" s="645"/>
      <c r="DJ134" s="645"/>
      <c r="DK134" s="645"/>
      <c r="DL134" s="645"/>
      <c r="DM134" s="645"/>
      <c r="DN134" s="645"/>
      <c r="DO134" s="645"/>
      <c r="DP134" s="645"/>
    </row>
    <row r="135" spans="1:120" s="33" customFormat="1" ht="15" customHeight="1">
      <c r="A135" s="316"/>
      <c r="B135" s="648" t="str">
        <f t="shared" si="85"/>
        <v>Stockholm</v>
      </c>
      <c r="C135" s="902" t="str">
        <f t="shared" si="70"/>
        <v>Sweden</v>
      </c>
      <c r="D135" s="902" t="str">
        <f t="shared" si="71"/>
        <v>Europe</v>
      </c>
      <c r="E135" s="902" t="str">
        <f t="shared" si="72"/>
        <v xml:space="preserve">Administrative boundary of a local government </v>
      </c>
      <c r="F135" s="643">
        <f t="shared" si="73"/>
        <v>2012</v>
      </c>
      <c r="G135" s="644">
        <f t="shared" si="74"/>
        <v>2012</v>
      </c>
      <c r="H135" s="643">
        <f t="shared" si="75"/>
        <v>881235</v>
      </c>
      <c r="I135" s="643">
        <f t="shared" si="76"/>
        <v>216</v>
      </c>
      <c r="J135" s="1038">
        <f t="shared" si="77"/>
        <v>416797000000</v>
      </c>
      <c r="K135" s="643" t="s">
        <v>172</v>
      </c>
      <c r="L135" s="643" t="s">
        <v>1556</v>
      </c>
      <c r="M135" s="643" t="s">
        <v>1638</v>
      </c>
      <c r="N135" s="647">
        <f t="shared" si="78"/>
        <v>9923.3397124537041</v>
      </c>
      <c r="O135" s="647">
        <f t="shared" si="79"/>
        <v>5651.8954398148153</v>
      </c>
      <c r="P135" s="647">
        <f t="shared" si="79"/>
        <v>4235.5028935185182</v>
      </c>
      <c r="Q135" s="647">
        <f t="shared" si="79"/>
        <v>35.941379120370371</v>
      </c>
      <c r="S135" s="648" t="str">
        <f t="shared" si="80"/>
        <v>Stockholm</v>
      </c>
      <c r="T135" s="647">
        <f t="shared" si="87"/>
        <v>3214.1942405092595</v>
      </c>
      <c r="U135" s="647">
        <f t="shared" si="87"/>
        <v>2203.7394469907408</v>
      </c>
      <c r="V135" s="647">
        <f t="shared" si="87"/>
        <v>233.80897453703705</v>
      </c>
      <c r="W135" s="647" t="str">
        <f t="shared" si="87"/>
        <v/>
      </c>
      <c r="X135" s="647" t="str">
        <f t="shared" si="87"/>
        <v/>
      </c>
      <c r="Y135" s="647" t="str">
        <f t="shared" si="87"/>
        <v/>
      </c>
      <c r="Z135" s="647" t="str">
        <f t="shared" si="87"/>
        <v/>
      </c>
      <c r="AA135" s="647">
        <f t="shared" si="87"/>
        <v>0.15277777777777779</v>
      </c>
      <c r="AB135" s="15"/>
      <c r="AC135" s="1041" t="str">
        <f t="shared" si="82"/>
        <v>Stockholm</v>
      </c>
      <c r="AD135" s="647">
        <f t="shared" si="83"/>
        <v>3001.75</v>
      </c>
      <c r="AE135" s="647">
        <f t="shared" si="83"/>
        <v>153.66030092592592</v>
      </c>
      <c r="AF135" s="647">
        <f t="shared" si="83"/>
        <v>425.92592592592592</v>
      </c>
      <c r="AG135" s="647">
        <f t="shared" si="83"/>
        <v>92.129629629629633</v>
      </c>
      <c r="AH135" s="647">
        <f t="shared" si="83"/>
        <v>562.03703703703707</v>
      </c>
      <c r="AI135" s="15"/>
      <c r="AJ135" s="648" t="str">
        <f t="shared" si="86"/>
        <v>Stockholm</v>
      </c>
      <c r="AK135" s="647" t="str">
        <f t="shared" si="84"/>
        <v/>
      </c>
      <c r="AL135" s="647" t="str">
        <f t="shared" si="84"/>
        <v/>
      </c>
      <c r="AM135" s="647" t="str">
        <f t="shared" si="84"/>
        <v/>
      </c>
      <c r="AN135" s="647">
        <f t="shared" si="84"/>
        <v>35.941379120370371</v>
      </c>
      <c r="AO135" s="15"/>
      <c r="AP135" s="15"/>
      <c r="AQ135" s="15"/>
      <c r="AR135" s="15"/>
      <c r="AS135" s="15"/>
      <c r="AT135" s="15"/>
      <c r="AU135" s="15"/>
      <c r="AV135" s="15"/>
      <c r="AW135" s="15"/>
      <c r="AX135" s="15"/>
      <c r="AY135" s="15"/>
      <c r="AZ135" s="15"/>
      <c r="BA135" s="15"/>
      <c r="BB135" s="15"/>
      <c r="BC135" s="15"/>
      <c r="BD135" s="15"/>
      <c r="BE135" s="15"/>
      <c r="BF135" s="15"/>
      <c r="BG135" s="15"/>
      <c r="BH135" s="15"/>
      <c r="BI135" s="15"/>
      <c r="BJ135" s="15"/>
      <c r="BK135" s="15"/>
      <c r="BL135" s="15"/>
      <c r="BM135" s="15"/>
      <c r="BN135" s="15"/>
      <c r="BO135" s="15"/>
      <c r="BP135" s="15"/>
      <c r="BQ135" s="15"/>
      <c r="BR135" s="15"/>
      <c r="BS135" s="15"/>
      <c r="BT135" s="15"/>
      <c r="BU135" s="15"/>
      <c r="BV135" s="15"/>
      <c r="BW135" s="15"/>
      <c r="BX135" s="15"/>
      <c r="BY135" s="15"/>
      <c r="BZ135" s="15"/>
      <c r="CA135" s="15"/>
      <c r="CB135" s="15"/>
      <c r="CC135" s="15"/>
      <c r="CD135" s="15"/>
      <c r="CE135" s="15"/>
      <c r="CF135" s="15"/>
      <c r="CG135" s="15"/>
      <c r="CH135" s="15"/>
      <c r="CI135" s="15"/>
      <c r="CJ135" s="15"/>
      <c r="CK135" s="15"/>
      <c r="CL135" s="15"/>
      <c r="CM135" s="15"/>
      <c r="CN135" s="15"/>
      <c r="CO135" s="15"/>
      <c r="CP135" s="15"/>
      <c r="CQ135" s="15"/>
      <c r="CR135" s="15"/>
      <c r="CS135" s="15"/>
      <c r="CT135" s="15"/>
      <c r="CU135" s="645"/>
      <c r="CV135" s="645"/>
      <c r="CW135" s="645"/>
      <c r="CX135" s="645"/>
      <c r="CY135" s="645"/>
      <c r="CZ135" s="645"/>
      <c r="DA135" s="645"/>
      <c r="DB135" s="645"/>
      <c r="DC135" s="645"/>
      <c r="DD135" s="645"/>
      <c r="DE135" s="645"/>
      <c r="DF135" s="645"/>
      <c r="DG135" s="645"/>
      <c r="DH135" s="645"/>
      <c r="DI135" s="645"/>
      <c r="DJ135" s="645"/>
      <c r="DK135" s="645"/>
      <c r="DL135" s="645"/>
      <c r="DM135" s="645"/>
      <c r="DN135" s="645"/>
      <c r="DO135" s="645"/>
      <c r="DP135" s="645"/>
    </row>
    <row r="136" spans="1:120" s="33" customFormat="1" ht="15" customHeight="1">
      <c r="A136" s="316"/>
      <c r="B136" s="648" t="str">
        <f t="shared" si="85"/>
        <v>Oslo</v>
      </c>
      <c r="C136" s="902" t="str">
        <f t="shared" si="70"/>
        <v>Norway</v>
      </c>
      <c r="D136" s="902" t="str">
        <f t="shared" si="71"/>
        <v>Europe</v>
      </c>
      <c r="E136" s="902" t="str">
        <f t="shared" si="72"/>
        <v xml:space="preserve">Administrative boundary of a local government </v>
      </c>
      <c r="F136" s="643">
        <f t="shared" si="73"/>
        <v>2013</v>
      </c>
      <c r="G136" s="644">
        <f t="shared" si="74"/>
        <v>2013</v>
      </c>
      <c r="H136" s="643">
        <f t="shared" si="75"/>
        <v>623966</v>
      </c>
      <c r="I136" s="643">
        <f t="shared" si="76"/>
        <v>454</v>
      </c>
      <c r="J136" s="1038">
        <f t="shared" si="77"/>
        <v>54510377469</v>
      </c>
      <c r="K136" s="643" t="s">
        <v>172</v>
      </c>
      <c r="L136" s="643" t="s">
        <v>1556</v>
      </c>
      <c r="M136" s="643" t="s">
        <v>1638</v>
      </c>
      <c r="N136" s="647">
        <f t="shared" si="78"/>
        <v>2952.4720455572688</v>
      </c>
      <c r="O136" s="647">
        <f t="shared" si="79"/>
        <v>1118.9427301277533</v>
      </c>
      <c r="P136" s="647">
        <f t="shared" si="79"/>
        <v>1713.6409630066078</v>
      </c>
      <c r="Q136" s="647">
        <f t="shared" si="79"/>
        <v>119.88835242290749</v>
      </c>
      <c r="S136" s="648" t="str">
        <f t="shared" si="80"/>
        <v>Oslo</v>
      </c>
      <c r="T136" s="647">
        <f t="shared" si="87"/>
        <v>709.78539397356838</v>
      </c>
      <c r="U136" s="647">
        <f t="shared" si="87"/>
        <v>356.29390232158585</v>
      </c>
      <c r="V136" s="647">
        <f t="shared" si="87"/>
        <v>52.863433832599121</v>
      </c>
      <c r="W136" s="647" t="str">
        <f t="shared" si="87"/>
        <v/>
      </c>
      <c r="X136" s="647" t="str">
        <f t="shared" si="87"/>
        <v/>
      </c>
      <c r="Y136" s="647" t="str">
        <f t="shared" si="87"/>
        <v/>
      </c>
      <c r="Z136" s="647" t="str">
        <f t="shared" si="87"/>
        <v/>
      </c>
      <c r="AA136" s="647" t="str">
        <f t="shared" si="87"/>
        <v/>
      </c>
      <c r="AB136" s="15"/>
      <c r="AC136" s="1041" t="str">
        <f t="shared" si="82"/>
        <v>Oslo</v>
      </c>
      <c r="AD136" s="647">
        <f t="shared" si="83"/>
        <v>1096.9162995594713</v>
      </c>
      <c r="AE136" s="647" t="str">
        <f t="shared" si="83"/>
        <v/>
      </c>
      <c r="AF136" s="647">
        <f t="shared" si="83"/>
        <v>77.077086737885466</v>
      </c>
      <c r="AG136" s="647" t="str">
        <f t="shared" si="83"/>
        <v/>
      </c>
      <c r="AH136" s="647">
        <f t="shared" si="83"/>
        <v>539.6475767092511</v>
      </c>
      <c r="AI136" s="15"/>
      <c r="AJ136" s="648" t="str">
        <f t="shared" si="86"/>
        <v>Oslo</v>
      </c>
      <c r="AK136" s="647">
        <f t="shared" si="84"/>
        <v>35.242290748898675</v>
      </c>
      <c r="AL136" s="647">
        <f t="shared" si="84"/>
        <v>20.769409691629956</v>
      </c>
      <c r="AM136" s="647" t="str">
        <f t="shared" si="84"/>
        <v/>
      </c>
      <c r="AN136" s="647">
        <f t="shared" si="84"/>
        <v>63.876651982378853</v>
      </c>
      <c r="AO136" s="15"/>
      <c r="AP136" s="15"/>
      <c r="AQ136" s="15"/>
      <c r="AR136" s="15"/>
      <c r="AS136" s="15"/>
      <c r="AT136" s="15"/>
      <c r="AU136" s="15"/>
      <c r="AV136" s="15"/>
      <c r="AW136" s="15"/>
      <c r="AX136" s="15"/>
      <c r="AY136" s="15"/>
      <c r="AZ136" s="15"/>
      <c r="BA136" s="15"/>
      <c r="BB136" s="15"/>
      <c r="BC136" s="15"/>
      <c r="BD136" s="15"/>
      <c r="BE136" s="15"/>
      <c r="BF136" s="15"/>
      <c r="BG136" s="15"/>
      <c r="BH136" s="15"/>
      <c r="BI136" s="15"/>
      <c r="BJ136" s="15"/>
      <c r="BK136" s="15"/>
      <c r="BL136" s="15"/>
      <c r="BM136" s="15"/>
      <c r="BN136" s="15"/>
      <c r="BO136" s="15"/>
      <c r="BP136" s="15"/>
      <c r="BQ136" s="15"/>
      <c r="BR136" s="15"/>
      <c r="BS136" s="15"/>
      <c r="BT136" s="15"/>
      <c r="BU136" s="15"/>
      <c r="BV136" s="15"/>
      <c r="BW136" s="15"/>
      <c r="BX136" s="15"/>
      <c r="BY136" s="15"/>
      <c r="BZ136" s="15"/>
      <c r="CA136" s="15"/>
      <c r="CB136" s="15"/>
      <c r="CC136" s="15"/>
      <c r="CD136" s="15"/>
      <c r="CE136" s="15"/>
      <c r="CF136" s="15"/>
      <c r="CG136" s="15"/>
      <c r="CH136" s="15"/>
      <c r="CI136" s="15"/>
      <c r="CJ136" s="15"/>
      <c r="CK136" s="15"/>
      <c r="CL136" s="15"/>
      <c r="CM136" s="15"/>
      <c r="CN136" s="15"/>
      <c r="CO136" s="15"/>
      <c r="CP136" s="15"/>
      <c r="CQ136" s="15"/>
      <c r="CR136" s="15"/>
      <c r="CS136" s="15"/>
      <c r="CT136" s="15"/>
      <c r="CU136" s="645"/>
      <c r="CV136" s="645"/>
      <c r="CW136" s="645"/>
      <c r="CX136" s="645"/>
      <c r="CY136" s="645"/>
      <c r="CZ136" s="645"/>
      <c r="DA136" s="645"/>
      <c r="DB136" s="645"/>
      <c r="DC136" s="645"/>
      <c r="DD136" s="645"/>
      <c r="DE136" s="645"/>
      <c r="DF136" s="645"/>
      <c r="DG136" s="645"/>
      <c r="DH136" s="645"/>
      <c r="DI136" s="645"/>
      <c r="DJ136" s="645"/>
      <c r="DK136" s="645"/>
      <c r="DL136" s="645"/>
      <c r="DM136" s="645"/>
      <c r="DN136" s="645"/>
      <c r="DO136" s="645"/>
      <c r="DP136" s="645"/>
    </row>
    <row r="137" spans="1:120" s="33" customFormat="1" ht="15" customHeight="1">
      <c r="A137" s="316"/>
      <c r="B137" s="648" t="str">
        <f t="shared" si="85"/>
        <v>Paris</v>
      </c>
      <c r="C137" s="902" t="str">
        <f t="shared" si="70"/>
        <v>France</v>
      </c>
      <c r="D137" s="902" t="str">
        <f t="shared" si="71"/>
        <v>Europe</v>
      </c>
      <c r="E137" s="902" t="str">
        <f t="shared" si="72"/>
        <v xml:space="preserve">Administrative boundary of a local government </v>
      </c>
      <c r="F137" s="643">
        <f t="shared" si="73"/>
        <v>2009</v>
      </c>
      <c r="G137" s="644">
        <f t="shared" si="74"/>
        <v>2009</v>
      </c>
      <c r="H137" s="643">
        <f t="shared" si="75"/>
        <v>2270000</v>
      </c>
      <c r="I137" s="643">
        <f t="shared" si="76"/>
        <v>105</v>
      </c>
      <c r="J137" s="1038">
        <f t="shared" si="77"/>
        <v>715000000000</v>
      </c>
      <c r="K137" s="643" t="s">
        <v>172</v>
      </c>
      <c r="L137" s="643" t="s">
        <v>1556</v>
      </c>
      <c r="M137" s="643" t="s">
        <v>1638</v>
      </c>
      <c r="N137" s="647">
        <f t="shared" si="78"/>
        <v>58954.178921276187</v>
      </c>
      <c r="O137" s="647">
        <f t="shared" si="79"/>
        <v>44613.382539682541</v>
      </c>
      <c r="P137" s="647">
        <f t="shared" si="79"/>
        <v>9888.2500251619003</v>
      </c>
      <c r="Q137" s="647">
        <f t="shared" si="79"/>
        <v>4452.546356431747</v>
      </c>
      <c r="S137" s="648" t="str">
        <f t="shared" si="80"/>
        <v>Paris</v>
      </c>
      <c r="T137" s="647">
        <f t="shared" si="87"/>
        <v>21838.30253968254</v>
      </c>
      <c r="U137" s="647">
        <f t="shared" si="87"/>
        <v>22775.08</v>
      </c>
      <c r="V137" s="647" t="str">
        <f t="shared" si="87"/>
        <v/>
      </c>
      <c r="W137" s="647" t="str">
        <f t="shared" si="87"/>
        <v/>
      </c>
      <c r="X137" s="647" t="str">
        <f t="shared" si="87"/>
        <v/>
      </c>
      <c r="Y137" s="647" t="str">
        <f t="shared" si="87"/>
        <v/>
      </c>
      <c r="Z137" s="647" t="str">
        <f t="shared" si="87"/>
        <v/>
      </c>
      <c r="AA137" s="647" t="str">
        <f t="shared" si="87"/>
        <v/>
      </c>
      <c r="AB137" s="15"/>
      <c r="AC137" s="1041" t="str">
        <f t="shared" si="82"/>
        <v>Paris</v>
      </c>
      <c r="AD137" s="647">
        <f t="shared" si="83"/>
        <v>7667.9618981777767</v>
      </c>
      <c r="AE137" s="647">
        <f t="shared" si="83"/>
        <v>2173.1536507936489</v>
      </c>
      <c r="AF137" s="647" t="str">
        <f t="shared" si="83"/>
        <v/>
      </c>
      <c r="AG137" s="647">
        <f t="shared" si="83"/>
        <v>47.1344761904762</v>
      </c>
      <c r="AH137" s="647" t="str">
        <f t="shared" si="83"/>
        <v/>
      </c>
      <c r="AI137" s="15"/>
      <c r="AJ137" s="648" t="str">
        <f t="shared" si="86"/>
        <v>Paris</v>
      </c>
      <c r="AK137" s="647">
        <f t="shared" si="84"/>
        <v>559.84070476190482</v>
      </c>
      <c r="AL137" s="647">
        <f t="shared" si="84"/>
        <v>42.147910399999994</v>
      </c>
      <c r="AM137" s="647">
        <f t="shared" si="84"/>
        <v>3843.804765079366</v>
      </c>
      <c r="AN137" s="647">
        <f t="shared" si="84"/>
        <v>6.7529761904761907</v>
      </c>
      <c r="AO137" s="15"/>
      <c r="AP137" s="15"/>
      <c r="AQ137" s="15"/>
      <c r="AR137" s="15"/>
      <c r="AS137" s="15"/>
      <c r="AT137" s="15"/>
      <c r="AU137" s="15"/>
      <c r="AV137" s="15"/>
      <c r="AW137" s="15"/>
      <c r="AX137" s="15"/>
      <c r="AY137" s="15"/>
      <c r="AZ137" s="15"/>
      <c r="BA137" s="15"/>
      <c r="BB137" s="15"/>
      <c r="BC137" s="15"/>
      <c r="BD137" s="15"/>
      <c r="BE137" s="15"/>
      <c r="BF137" s="15"/>
      <c r="BG137" s="15"/>
      <c r="BH137" s="15"/>
      <c r="BI137" s="15"/>
      <c r="BJ137" s="15"/>
      <c r="BK137" s="15"/>
      <c r="BL137" s="15"/>
      <c r="BM137" s="15"/>
      <c r="BN137" s="15"/>
      <c r="BO137" s="15"/>
      <c r="BP137" s="15"/>
      <c r="BQ137" s="15"/>
      <c r="BR137" s="15"/>
      <c r="BS137" s="15"/>
      <c r="BT137" s="15"/>
      <c r="BU137" s="15"/>
      <c r="BV137" s="15"/>
      <c r="BW137" s="15"/>
      <c r="BX137" s="15"/>
      <c r="BY137" s="15"/>
      <c r="BZ137" s="15"/>
      <c r="CA137" s="15"/>
      <c r="CB137" s="15"/>
      <c r="CC137" s="15"/>
      <c r="CD137" s="15"/>
      <c r="CE137" s="15"/>
      <c r="CF137" s="15"/>
      <c r="CG137" s="15"/>
      <c r="CH137" s="15"/>
      <c r="CI137" s="15"/>
      <c r="CJ137" s="15"/>
      <c r="CK137" s="15"/>
      <c r="CL137" s="15"/>
      <c r="CM137" s="15"/>
      <c r="CN137" s="15"/>
      <c r="CO137" s="15"/>
      <c r="CP137" s="15"/>
      <c r="CQ137" s="15"/>
      <c r="CR137" s="15"/>
      <c r="CS137" s="15"/>
      <c r="CT137" s="15"/>
      <c r="CU137" s="645"/>
      <c r="CV137" s="645"/>
      <c r="CW137" s="645"/>
      <c r="CX137" s="645"/>
      <c r="CY137" s="645"/>
      <c r="CZ137" s="645"/>
      <c r="DA137" s="645"/>
      <c r="DB137" s="645"/>
      <c r="DC137" s="645"/>
      <c r="DD137" s="645"/>
      <c r="DE137" s="645"/>
      <c r="DF137" s="645"/>
      <c r="DG137" s="645"/>
      <c r="DH137" s="645"/>
      <c r="DI137" s="645"/>
      <c r="DJ137" s="645"/>
      <c r="DK137" s="645"/>
      <c r="DL137" s="645"/>
      <c r="DM137" s="645"/>
      <c r="DN137" s="645"/>
      <c r="DO137" s="645"/>
      <c r="DP137" s="645"/>
    </row>
    <row r="138" spans="1:120" s="33" customFormat="1" ht="15" customHeight="1">
      <c r="A138" s="316"/>
      <c r="B138" s="648" t="str">
        <f t="shared" si="85"/>
        <v>Philadelphia</v>
      </c>
      <c r="C138" s="902" t="str">
        <f t="shared" si="70"/>
        <v>USA</v>
      </c>
      <c r="D138" s="902" t="str">
        <f t="shared" si="71"/>
        <v>North America</v>
      </c>
      <c r="E138" s="902" t="str">
        <f t="shared" si="72"/>
        <v xml:space="preserve">Administrative boundary of a local government </v>
      </c>
      <c r="F138" s="643">
        <f t="shared" si="73"/>
        <v>2012</v>
      </c>
      <c r="G138" s="644">
        <f t="shared" si="74"/>
        <v>2012</v>
      </c>
      <c r="H138" s="643">
        <f t="shared" si="75"/>
        <v>1547607</v>
      </c>
      <c r="I138" s="643">
        <f t="shared" si="76"/>
        <v>347.31741</v>
      </c>
      <c r="J138" s="1038">
        <f t="shared" si="77"/>
        <v>367916000000</v>
      </c>
      <c r="K138" s="643" t="s">
        <v>172</v>
      </c>
      <c r="L138" s="643" t="s">
        <v>1556</v>
      </c>
      <c r="M138" s="643" t="s">
        <v>1638</v>
      </c>
      <c r="N138" s="647">
        <f t="shared" si="78"/>
        <v>53230.594469005337</v>
      </c>
      <c r="O138" s="647">
        <f t="shared" si="79"/>
        <v>38847.775608908349</v>
      </c>
      <c r="P138" s="647">
        <f t="shared" si="79"/>
        <v>9485.0917434972398</v>
      </c>
      <c r="Q138" s="647">
        <f t="shared" si="79"/>
        <v>4897.7271165997436</v>
      </c>
      <c r="S138" s="648" t="str">
        <f t="shared" si="80"/>
        <v>Philadelphia</v>
      </c>
      <c r="T138" s="647">
        <f t="shared" si="87"/>
        <v>10620.856717486422</v>
      </c>
      <c r="U138" s="647">
        <f t="shared" si="87"/>
        <v>19017.466937948015</v>
      </c>
      <c r="V138" s="647">
        <f t="shared" si="87"/>
        <v>7806.994184368702</v>
      </c>
      <c r="W138" s="647" t="str">
        <f t="shared" si="87"/>
        <v/>
      </c>
      <c r="X138" s="647" t="str">
        <f t="shared" si="87"/>
        <v/>
      </c>
      <c r="Y138" s="647" t="str">
        <f t="shared" si="87"/>
        <v/>
      </c>
      <c r="Z138" s="647" t="str">
        <f t="shared" si="87"/>
        <v/>
      </c>
      <c r="AA138" s="647">
        <f t="shared" si="87"/>
        <v>1402.4577691052114</v>
      </c>
      <c r="AB138" s="15"/>
      <c r="AC138" s="1041" t="str">
        <f t="shared" si="82"/>
        <v>Philadelphia</v>
      </c>
      <c r="AD138" s="647">
        <f t="shared" si="83"/>
        <v>8539.9042910057397</v>
      </c>
      <c r="AE138" s="647">
        <f t="shared" si="83"/>
        <v>945.18745249149924</v>
      </c>
      <c r="AF138" s="647" t="str">
        <f t="shared" si="83"/>
        <v/>
      </c>
      <c r="AG138" s="647" t="str">
        <f t="shared" si="83"/>
        <v/>
      </c>
      <c r="AH138" s="647" t="str">
        <f t="shared" si="83"/>
        <v/>
      </c>
      <c r="AI138" s="15"/>
      <c r="AJ138" s="648" t="str">
        <f t="shared" si="86"/>
        <v>Philadelphia</v>
      </c>
      <c r="AK138" s="647">
        <f t="shared" si="84"/>
        <v>4187.4978888618607</v>
      </c>
      <c r="AL138" s="647" t="str">
        <f t="shared" si="84"/>
        <v/>
      </c>
      <c r="AM138" s="647">
        <f t="shared" si="84"/>
        <v>623.91912885743852</v>
      </c>
      <c r="AN138" s="647">
        <f t="shared" si="84"/>
        <v>86.310098880444841</v>
      </c>
      <c r="AO138" s="15"/>
      <c r="AP138" s="15"/>
      <c r="AQ138" s="15"/>
      <c r="AR138" s="15"/>
      <c r="AS138" s="15"/>
      <c r="AT138" s="15"/>
      <c r="AU138" s="15"/>
      <c r="AV138" s="15"/>
      <c r="AW138" s="15"/>
      <c r="AX138" s="15"/>
      <c r="AY138" s="15"/>
      <c r="AZ138" s="15"/>
      <c r="BA138" s="15"/>
      <c r="BB138" s="15"/>
      <c r="BC138" s="15"/>
      <c r="BD138" s="15"/>
      <c r="BE138" s="15"/>
      <c r="BF138" s="15"/>
      <c r="BG138" s="15"/>
      <c r="BH138" s="15"/>
      <c r="BI138" s="15"/>
      <c r="BJ138" s="15"/>
      <c r="BK138" s="15"/>
      <c r="BL138" s="15"/>
      <c r="BM138" s="15"/>
      <c r="BN138" s="15"/>
      <c r="BO138" s="15"/>
      <c r="BP138" s="15"/>
      <c r="BQ138" s="15"/>
      <c r="BR138" s="15"/>
      <c r="BS138" s="15"/>
      <c r="BT138" s="15"/>
      <c r="BU138" s="15"/>
      <c r="BV138" s="15"/>
      <c r="BW138" s="15"/>
      <c r="BX138" s="15"/>
      <c r="BY138" s="15"/>
      <c r="BZ138" s="15"/>
      <c r="CA138" s="15"/>
      <c r="CB138" s="15"/>
      <c r="CC138" s="15"/>
      <c r="CD138" s="15"/>
      <c r="CE138" s="15"/>
      <c r="CF138" s="15"/>
      <c r="CG138" s="15"/>
      <c r="CH138" s="15"/>
      <c r="CI138" s="15"/>
      <c r="CJ138" s="15"/>
      <c r="CK138" s="15"/>
      <c r="CL138" s="15"/>
      <c r="CM138" s="15"/>
      <c r="CN138" s="15"/>
      <c r="CO138" s="15"/>
      <c r="CP138" s="15"/>
      <c r="CQ138" s="15"/>
      <c r="CR138" s="15"/>
      <c r="CS138" s="15"/>
      <c r="CT138" s="15"/>
      <c r="CU138" s="645"/>
      <c r="CV138" s="645"/>
      <c r="CW138" s="645"/>
      <c r="CX138" s="645"/>
      <c r="CY138" s="645"/>
      <c r="CZ138" s="645"/>
      <c r="DA138" s="645"/>
      <c r="DB138" s="645"/>
      <c r="DC138" s="645"/>
      <c r="DD138" s="645"/>
      <c r="DE138" s="645"/>
      <c r="DF138" s="645"/>
      <c r="DG138" s="645"/>
      <c r="DH138" s="645"/>
      <c r="DI138" s="645"/>
      <c r="DJ138" s="645"/>
      <c r="DK138" s="645"/>
      <c r="DL138" s="645"/>
      <c r="DM138" s="645"/>
      <c r="DN138" s="645"/>
      <c r="DO138" s="645"/>
      <c r="DP138" s="645"/>
    </row>
    <row r="139" spans="1:120" s="33" customFormat="1" ht="15" customHeight="1">
      <c r="A139" s="316"/>
      <c r="B139" s="648" t="str">
        <f t="shared" si="85"/>
        <v>Portland</v>
      </c>
      <c r="C139" s="902" t="str">
        <f t="shared" si="70"/>
        <v>United States of America</v>
      </c>
      <c r="D139" s="902" t="str">
        <f t="shared" si="71"/>
        <v>North America</v>
      </c>
      <c r="E139" s="902" t="str">
        <f t="shared" si="72"/>
        <v>Multnomah County</v>
      </c>
      <c r="F139" s="643">
        <f t="shared" si="73"/>
        <v>2013</v>
      </c>
      <c r="G139" s="644">
        <f t="shared" si="74"/>
        <v>2013</v>
      </c>
      <c r="H139" s="643">
        <f t="shared" si="75"/>
        <v>766135</v>
      </c>
      <c r="I139" s="643">
        <f t="shared" si="76"/>
        <v>1206.2</v>
      </c>
      <c r="J139" s="1038">
        <f t="shared" si="77"/>
        <v>163692000000</v>
      </c>
      <c r="K139" s="643" t="s">
        <v>172</v>
      </c>
      <c r="L139" s="643" t="s">
        <v>1556</v>
      </c>
      <c r="M139" s="643" t="s">
        <v>1638</v>
      </c>
      <c r="N139" s="647">
        <f t="shared" si="78"/>
        <v>6392.198739902874</v>
      </c>
      <c r="O139" s="647">
        <f t="shared" si="79"/>
        <v>3954.1908020651204</v>
      </c>
      <c r="P139" s="647">
        <f t="shared" si="79"/>
        <v>2346.3141888740661</v>
      </c>
      <c r="Q139" s="647">
        <f t="shared" si="79"/>
        <v>91.693748963687611</v>
      </c>
      <c r="S139" s="648" t="str">
        <f t="shared" si="80"/>
        <v>Portland</v>
      </c>
      <c r="T139" s="647">
        <f t="shared" ref="T139:AA147" si="88">IF(ISERROR(T71/$I71),"",T71/$I71)</f>
        <v>1277.0928185241673</v>
      </c>
      <c r="U139" s="647">
        <f t="shared" si="88"/>
        <v>1561.7707295752596</v>
      </c>
      <c r="V139" s="647">
        <f t="shared" si="88"/>
        <v>1103.0755544133806</v>
      </c>
      <c r="W139" s="647" t="str">
        <f t="shared" si="88"/>
        <v/>
      </c>
      <c r="X139" s="647" t="str">
        <f t="shared" si="88"/>
        <v/>
      </c>
      <c r="Y139" s="647" t="str">
        <f t="shared" si="88"/>
        <v/>
      </c>
      <c r="Z139" s="647" t="str">
        <f t="shared" si="88"/>
        <v/>
      </c>
      <c r="AA139" s="647">
        <f t="shared" si="88"/>
        <v>12.251699552313049</v>
      </c>
      <c r="AB139" s="15"/>
      <c r="AC139" s="1041" t="str">
        <f t="shared" si="82"/>
        <v>Portland</v>
      </c>
      <c r="AD139" s="647">
        <f t="shared" si="83"/>
        <v>2346.3141888740661</v>
      </c>
      <c r="AE139" s="647" t="str">
        <f t="shared" si="83"/>
        <v/>
      </c>
      <c r="AF139" s="647" t="str">
        <f t="shared" si="83"/>
        <v/>
      </c>
      <c r="AG139" s="647" t="str">
        <f t="shared" si="83"/>
        <v/>
      </c>
      <c r="AH139" s="647" t="str">
        <f t="shared" si="83"/>
        <v/>
      </c>
      <c r="AI139" s="15"/>
      <c r="AJ139" s="648" t="str">
        <f t="shared" si="86"/>
        <v>Portland</v>
      </c>
      <c r="AK139" s="647">
        <f t="shared" si="84"/>
        <v>77.167965511523789</v>
      </c>
      <c r="AL139" s="647" t="str">
        <f t="shared" si="84"/>
        <v/>
      </c>
      <c r="AM139" s="647" t="str">
        <f t="shared" si="84"/>
        <v/>
      </c>
      <c r="AN139" s="647">
        <f t="shared" si="84"/>
        <v>14.52578345216382</v>
      </c>
      <c r="AO139" s="15"/>
      <c r="AP139" s="15"/>
      <c r="AQ139" s="15"/>
      <c r="AR139" s="15"/>
      <c r="AS139" s="15"/>
      <c r="AT139" s="15"/>
      <c r="AU139" s="15"/>
      <c r="AV139" s="15"/>
      <c r="AW139" s="15"/>
      <c r="AX139" s="15"/>
      <c r="AY139" s="15"/>
      <c r="AZ139" s="15"/>
      <c r="BA139" s="15"/>
      <c r="BB139" s="15"/>
      <c r="BC139" s="15"/>
      <c r="BD139" s="15"/>
      <c r="BE139" s="15"/>
      <c r="BF139" s="15"/>
      <c r="BG139" s="15"/>
      <c r="BH139" s="15"/>
      <c r="BI139" s="15"/>
      <c r="BJ139" s="15"/>
      <c r="BK139" s="15"/>
      <c r="BL139" s="15"/>
      <c r="BM139" s="15"/>
      <c r="BN139" s="15"/>
      <c r="BO139" s="15"/>
      <c r="BP139" s="15"/>
      <c r="BQ139" s="15"/>
      <c r="BR139" s="15"/>
      <c r="BS139" s="15"/>
      <c r="BT139" s="15"/>
      <c r="BU139" s="15"/>
      <c r="BV139" s="15"/>
      <c r="BW139" s="15"/>
      <c r="BX139" s="15"/>
      <c r="BY139" s="15"/>
      <c r="BZ139" s="15"/>
      <c r="CA139" s="15"/>
      <c r="CB139" s="15"/>
      <c r="CC139" s="15"/>
      <c r="CD139" s="15"/>
      <c r="CE139" s="15"/>
      <c r="CF139" s="15"/>
      <c r="CG139" s="15"/>
      <c r="CH139" s="15"/>
      <c r="CI139" s="15"/>
      <c r="CJ139" s="15"/>
      <c r="CK139" s="15"/>
      <c r="CL139" s="15"/>
      <c r="CM139" s="15"/>
      <c r="CN139" s="15"/>
      <c r="CO139" s="15"/>
      <c r="CP139" s="15"/>
      <c r="CQ139" s="15"/>
      <c r="CR139" s="15"/>
      <c r="CS139" s="15"/>
      <c r="CT139" s="15"/>
      <c r="CU139" s="645"/>
      <c r="CV139" s="645"/>
      <c r="CW139" s="645"/>
      <c r="CX139" s="645"/>
      <c r="CY139" s="645"/>
      <c r="CZ139" s="645"/>
      <c r="DA139" s="645"/>
      <c r="DB139" s="645"/>
      <c r="DC139" s="645"/>
      <c r="DD139" s="645"/>
      <c r="DE139" s="645"/>
      <c r="DF139" s="645"/>
      <c r="DG139" s="645"/>
      <c r="DH139" s="645"/>
      <c r="DI139" s="645"/>
      <c r="DJ139" s="645"/>
      <c r="DK139" s="645"/>
      <c r="DL139" s="645"/>
      <c r="DM139" s="645"/>
      <c r="DN139" s="645"/>
      <c r="DO139" s="645"/>
      <c r="DP139" s="645"/>
    </row>
    <row r="140" spans="1:120" s="33" customFormat="1" ht="15" customHeight="1">
      <c r="A140" s="316"/>
      <c r="B140" s="648" t="str">
        <f t="shared" si="85"/>
        <v>Quito</v>
      </c>
      <c r="C140" s="902" t="str">
        <f t="shared" si="70"/>
        <v>Ecuador</v>
      </c>
      <c r="D140" s="902" t="str">
        <f t="shared" si="71"/>
        <v>Latin America</v>
      </c>
      <c r="E140" s="902" t="str">
        <f t="shared" si="72"/>
        <v>Other (please specify)</v>
      </c>
      <c r="F140" s="643">
        <f t="shared" si="73"/>
        <v>2011</v>
      </c>
      <c r="G140" s="644">
        <f t="shared" si="74"/>
        <v>2011</v>
      </c>
      <c r="H140" s="643">
        <f t="shared" si="75"/>
        <v>1607734</v>
      </c>
      <c r="I140" s="643">
        <f t="shared" si="76"/>
        <v>372.39</v>
      </c>
      <c r="J140" s="1038">
        <f t="shared" si="77"/>
        <v>16511524155.5264</v>
      </c>
      <c r="K140" s="643" t="s">
        <v>172</v>
      </c>
      <c r="L140" s="643" t="s">
        <v>1556</v>
      </c>
      <c r="M140" s="643" t="s">
        <v>1638</v>
      </c>
      <c r="N140" s="647">
        <f t="shared" si="78"/>
        <v>13880.07181261237</v>
      </c>
      <c r="O140" s="647">
        <f t="shared" si="79"/>
        <v>4309.2079093692728</v>
      </c>
      <c r="P140" s="647">
        <f t="shared" si="79"/>
        <v>7793.9930047658017</v>
      </c>
      <c r="Q140" s="647">
        <f t="shared" si="79"/>
        <v>1776.8708984772954</v>
      </c>
      <c r="S140" s="648" t="str">
        <f t="shared" si="80"/>
        <v>Quito</v>
      </c>
      <c r="T140" s="647">
        <f t="shared" si="88"/>
        <v>2137.4353010602226</v>
      </c>
      <c r="U140" s="647">
        <f t="shared" si="88"/>
        <v>599.855802162798</v>
      </c>
      <c r="V140" s="647">
        <f t="shared" si="88"/>
        <v>1571.9168061462519</v>
      </c>
      <c r="W140" s="647" t="str">
        <f t="shared" si="88"/>
        <v/>
      </c>
      <c r="X140" s="647" t="str">
        <f t="shared" si="88"/>
        <v/>
      </c>
      <c r="Y140" s="647" t="str">
        <f t="shared" si="88"/>
        <v/>
      </c>
      <c r="Z140" s="647" t="str">
        <f t="shared" si="88"/>
        <v/>
      </c>
      <c r="AA140" s="647" t="str">
        <f t="shared" si="88"/>
        <v/>
      </c>
      <c r="AB140" s="15"/>
      <c r="AC140" s="1041" t="str">
        <f t="shared" si="82"/>
        <v>Quito</v>
      </c>
      <c r="AD140" s="647">
        <f t="shared" si="83"/>
        <v>7793.9930047658017</v>
      </c>
      <c r="AE140" s="647" t="str">
        <f t="shared" si="83"/>
        <v/>
      </c>
      <c r="AF140" s="647" t="str">
        <f t="shared" si="83"/>
        <v/>
      </c>
      <c r="AG140" s="647" t="str">
        <f t="shared" si="83"/>
        <v/>
      </c>
      <c r="AH140" s="647" t="str">
        <f t="shared" si="83"/>
        <v/>
      </c>
      <c r="AI140" s="15"/>
      <c r="AJ140" s="648" t="str">
        <f t="shared" si="86"/>
        <v>Quito</v>
      </c>
      <c r="AK140" s="647">
        <f t="shared" si="84"/>
        <v>1769.8984344370151</v>
      </c>
      <c r="AL140" s="647" t="str">
        <f t="shared" si="84"/>
        <v/>
      </c>
      <c r="AM140" s="647">
        <f t="shared" si="84"/>
        <v>6.972464040280351</v>
      </c>
      <c r="AN140" s="647" t="str">
        <f t="shared" si="84"/>
        <v/>
      </c>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BL140" s="15"/>
      <c r="BM140" s="15"/>
      <c r="BN140" s="15"/>
      <c r="BO140" s="15"/>
      <c r="BP140" s="15"/>
      <c r="BQ140" s="15"/>
      <c r="BR140" s="15"/>
      <c r="BS140" s="15"/>
      <c r="BT140" s="15"/>
      <c r="BU140" s="15"/>
      <c r="BV140" s="15"/>
      <c r="BW140" s="15"/>
      <c r="BX140" s="15"/>
      <c r="BY140" s="15"/>
      <c r="BZ140" s="15"/>
      <c r="CA140" s="15"/>
      <c r="CB140" s="15"/>
      <c r="CC140" s="15"/>
      <c r="CD140" s="15"/>
      <c r="CE140" s="15"/>
      <c r="CF140" s="15"/>
      <c r="CG140" s="15"/>
      <c r="CH140" s="15"/>
      <c r="CI140" s="15"/>
      <c r="CJ140" s="15"/>
      <c r="CK140" s="15"/>
      <c r="CL140" s="15"/>
      <c r="CM140" s="15"/>
      <c r="CN140" s="15"/>
      <c r="CO140" s="15"/>
      <c r="CP140" s="15"/>
      <c r="CQ140" s="15"/>
      <c r="CR140" s="15"/>
      <c r="CS140" s="15"/>
      <c r="CT140" s="15"/>
      <c r="CU140" s="645"/>
      <c r="CV140" s="645"/>
      <c r="CW140" s="645"/>
      <c r="CX140" s="645"/>
      <c r="CY140" s="645"/>
      <c r="CZ140" s="645"/>
      <c r="DA140" s="645"/>
      <c r="DB140" s="645"/>
      <c r="DC140" s="645"/>
      <c r="DD140" s="645"/>
      <c r="DE140" s="645"/>
      <c r="DF140" s="645"/>
      <c r="DG140" s="645"/>
      <c r="DH140" s="645"/>
      <c r="DI140" s="645"/>
      <c r="DJ140" s="645"/>
      <c r="DK140" s="645"/>
      <c r="DL140" s="645"/>
      <c r="DM140" s="645"/>
      <c r="DN140" s="645"/>
      <c r="DO140" s="645"/>
      <c r="DP140" s="645"/>
    </row>
    <row r="141" spans="1:120" s="33" customFormat="1" ht="15" customHeight="1">
      <c r="A141" s="316"/>
      <c r="B141" s="648" t="str">
        <f t="shared" si="85"/>
        <v>Rio de Janeiro</v>
      </c>
      <c r="C141" s="902" t="str">
        <f t="shared" si="70"/>
        <v>Brazil</v>
      </c>
      <c r="D141" s="902" t="str">
        <f t="shared" si="71"/>
        <v>Latin America</v>
      </c>
      <c r="E141" s="902" t="str">
        <f t="shared" si="72"/>
        <v xml:space="preserve">Administrative boundary of a local government </v>
      </c>
      <c r="F141" s="643">
        <f t="shared" si="73"/>
        <v>2012</v>
      </c>
      <c r="G141" s="644">
        <f t="shared" si="74"/>
        <v>2012</v>
      </c>
      <c r="H141" s="643">
        <f t="shared" si="75"/>
        <v>6390290</v>
      </c>
      <c r="I141" s="643">
        <f t="shared" si="76"/>
        <v>1224.56</v>
      </c>
      <c r="J141" s="1038">
        <f t="shared" si="77"/>
        <v>75060683634</v>
      </c>
      <c r="K141" s="643" t="s">
        <v>172</v>
      </c>
      <c r="L141" s="643" t="s">
        <v>1556</v>
      </c>
      <c r="M141" s="643" t="s">
        <v>1638</v>
      </c>
      <c r="N141" s="647">
        <f t="shared" si="78"/>
        <v>12949.064160463968</v>
      </c>
      <c r="O141" s="647">
        <f t="shared" si="79"/>
        <v>6601.5909632931734</v>
      </c>
      <c r="P141" s="647">
        <f t="shared" si="79"/>
        <v>4440.011869214708</v>
      </c>
      <c r="Q141" s="647">
        <f t="shared" si="79"/>
        <v>1907.4613279560865</v>
      </c>
      <c r="S141" s="648" t="str">
        <f t="shared" si="80"/>
        <v>Rio de Janeiro</v>
      </c>
      <c r="T141" s="647">
        <f t="shared" si="88"/>
        <v>1620.2743708792837</v>
      </c>
      <c r="U141" s="647">
        <f t="shared" si="88"/>
        <v>1751.4924170768841</v>
      </c>
      <c r="V141" s="647">
        <f t="shared" si="88"/>
        <v>1234.0888645616717</v>
      </c>
      <c r="W141" s="647">
        <f t="shared" si="88"/>
        <v>1105.3329557540733</v>
      </c>
      <c r="X141" s="647">
        <f t="shared" si="88"/>
        <v>0.54172540062378793</v>
      </c>
      <c r="Y141" s="647">
        <f t="shared" si="88"/>
        <v>38.504678773551198</v>
      </c>
      <c r="Z141" s="647">
        <f t="shared" si="88"/>
        <v>752.44495982230353</v>
      </c>
      <c r="AA141" s="647">
        <f t="shared" si="88"/>
        <v>98.910991024782405</v>
      </c>
      <c r="AB141" s="15"/>
      <c r="AC141" s="1041" t="str">
        <f t="shared" si="82"/>
        <v>Rio de Janeiro</v>
      </c>
      <c r="AD141" s="647">
        <f t="shared" si="83"/>
        <v>4357.7543591210788</v>
      </c>
      <c r="AE141" s="647">
        <f t="shared" si="83"/>
        <v>74.143701350305008</v>
      </c>
      <c r="AF141" s="647">
        <f t="shared" si="83"/>
        <v>8.1138087433242774</v>
      </c>
      <c r="AG141" s="647" t="str">
        <f t="shared" si="83"/>
        <v/>
      </c>
      <c r="AH141" s="647" t="str">
        <f t="shared" si="83"/>
        <v/>
      </c>
      <c r="AI141" s="15"/>
      <c r="AJ141" s="648" t="str">
        <f t="shared" si="86"/>
        <v>Rio de Janeiro</v>
      </c>
      <c r="AK141" s="647">
        <f t="shared" si="84"/>
        <v>1396.7164816439413</v>
      </c>
      <c r="AL141" s="647">
        <f t="shared" si="84"/>
        <v>0.59738191677010521</v>
      </c>
      <c r="AM141" s="647">
        <f t="shared" si="84"/>
        <v>0.36738012020644151</v>
      </c>
      <c r="AN141" s="647">
        <f t="shared" si="84"/>
        <v>509.78008427516829</v>
      </c>
      <c r="AO141" s="15"/>
      <c r="AP141" s="15"/>
      <c r="AQ141" s="15"/>
      <c r="AR141" s="15"/>
      <c r="AS141" s="15"/>
      <c r="AT141" s="15"/>
      <c r="AU141" s="15"/>
      <c r="AV141" s="15"/>
      <c r="AW141" s="15"/>
      <c r="AX141" s="15"/>
      <c r="AY141" s="15"/>
      <c r="AZ141" s="15"/>
      <c r="BA141" s="15"/>
      <c r="BB141" s="15"/>
      <c r="BC141" s="15"/>
      <c r="BD141" s="15"/>
      <c r="BE141" s="15"/>
      <c r="BF141" s="15"/>
      <c r="BG141" s="15"/>
      <c r="BH141" s="15"/>
      <c r="BI141" s="15"/>
      <c r="BJ141" s="15"/>
      <c r="BK141" s="15"/>
      <c r="BL141" s="15"/>
      <c r="BM141" s="15"/>
      <c r="BN141" s="15"/>
      <c r="BO141" s="15"/>
      <c r="BP141" s="15"/>
      <c r="BQ141" s="15"/>
      <c r="BR141" s="15"/>
      <c r="BS141" s="15"/>
      <c r="BT141" s="15"/>
      <c r="BU141" s="15"/>
      <c r="BV141" s="15"/>
      <c r="BW141" s="15"/>
      <c r="BX141" s="15"/>
      <c r="BY141" s="15"/>
      <c r="BZ141" s="15"/>
      <c r="CA141" s="15"/>
      <c r="CB141" s="15"/>
      <c r="CC141" s="15"/>
      <c r="CD141" s="15"/>
      <c r="CE141" s="15"/>
      <c r="CF141" s="15"/>
      <c r="CG141" s="15"/>
      <c r="CH141" s="15"/>
      <c r="CI141" s="15"/>
      <c r="CJ141" s="15"/>
      <c r="CK141" s="15"/>
      <c r="CL141" s="15"/>
      <c r="CM141" s="15"/>
      <c r="CN141" s="15"/>
      <c r="CO141" s="15"/>
      <c r="CP141" s="15"/>
      <c r="CQ141" s="15"/>
      <c r="CR141" s="15"/>
      <c r="CS141" s="15"/>
      <c r="CT141" s="15"/>
      <c r="CU141" s="645"/>
      <c r="CV141" s="645"/>
      <c r="CW141" s="645"/>
      <c r="CX141" s="645"/>
      <c r="CY141" s="645"/>
      <c r="CZ141" s="645"/>
      <c r="DA141" s="645"/>
      <c r="DB141" s="645"/>
      <c r="DC141" s="645"/>
      <c r="DD141" s="645"/>
      <c r="DE141" s="645"/>
      <c r="DF141" s="645"/>
      <c r="DG141" s="645"/>
      <c r="DH141" s="645"/>
      <c r="DI141" s="645"/>
      <c r="DJ141" s="645"/>
      <c r="DK141" s="645"/>
      <c r="DL141" s="645"/>
      <c r="DM141" s="645"/>
      <c r="DN141" s="645"/>
      <c r="DO141" s="645"/>
      <c r="DP141" s="645"/>
    </row>
    <row r="142" spans="1:120" s="33" customFormat="1" ht="15" customHeight="1">
      <c r="A142" s="316"/>
      <c r="B142" s="648" t="str">
        <f t="shared" si="85"/>
        <v>San Francisco</v>
      </c>
      <c r="C142" s="902" t="str">
        <f t="shared" si="70"/>
        <v>USA</v>
      </c>
      <c r="D142" s="902" t="str">
        <f t="shared" si="71"/>
        <v>Europe</v>
      </c>
      <c r="E142" s="902" t="str">
        <f t="shared" si="72"/>
        <v xml:space="preserve">Administrative boundary of a local government </v>
      </c>
      <c r="F142" s="643">
        <f t="shared" si="73"/>
        <v>2012</v>
      </c>
      <c r="G142" s="644">
        <f t="shared" si="74"/>
        <v>2012</v>
      </c>
      <c r="H142" s="643">
        <f t="shared" si="75"/>
        <v>827420</v>
      </c>
      <c r="I142" s="643">
        <f t="shared" si="76"/>
        <v>121</v>
      </c>
      <c r="J142" s="1038">
        <f t="shared" si="77"/>
        <v>89205219000</v>
      </c>
      <c r="K142" s="643" t="s">
        <v>172</v>
      </c>
      <c r="L142" s="643" t="s">
        <v>1556</v>
      </c>
      <c r="M142" s="643" t="s">
        <v>1638</v>
      </c>
      <c r="N142" s="647">
        <f t="shared" si="78"/>
        <v>45392.67146628302</v>
      </c>
      <c r="O142" s="647">
        <f t="shared" si="79"/>
        <v>22385.203280907102</v>
      </c>
      <c r="P142" s="647">
        <f t="shared" si="79"/>
        <v>21439.513482022805</v>
      </c>
      <c r="Q142" s="647">
        <f t="shared" si="79"/>
        <v>1567.9547033531103</v>
      </c>
      <c r="S142" s="648" t="str">
        <f t="shared" si="80"/>
        <v>San Francisco</v>
      </c>
      <c r="T142" s="647">
        <f t="shared" si="88"/>
        <v>8681.9355948597986</v>
      </c>
      <c r="U142" s="647">
        <f t="shared" si="88"/>
        <v>12194.672934191074</v>
      </c>
      <c r="V142" s="647" t="str">
        <f t="shared" si="88"/>
        <v/>
      </c>
      <c r="W142" s="647">
        <f t="shared" si="88"/>
        <v>0.5826446280991735</v>
      </c>
      <c r="X142" s="647">
        <f t="shared" si="88"/>
        <v>0.90082644628099173</v>
      </c>
      <c r="Y142" s="647">
        <f t="shared" si="88"/>
        <v>1397.3636363636363</v>
      </c>
      <c r="Z142" s="647" t="str">
        <f t="shared" si="88"/>
        <v/>
      </c>
      <c r="AA142" s="647">
        <f t="shared" si="88"/>
        <v>109.74764441821149</v>
      </c>
      <c r="AB142" s="15"/>
      <c r="AC142" s="1041" t="str">
        <f t="shared" si="82"/>
        <v>San Francisco</v>
      </c>
      <c r="AD142" s="647">
        <f t="shared" si="83"/>
        <v>16288.384198461421</v>
      </c>
      <c r="AE142" s="647">
        <f t="shared" si="83"/>
        <v>567.15407694981582</v>
      </c>
      <c r="AF142" s="647">
        <f t="shared" si="83"/>
        <v>4583.9752066115707</v>
      </c>
      <c r="AG142" s="647" t="str">
        <f t="shared" si="83"/>
        <v/>
      </c>
      <c r="AH142" s="647" t="str">
        <f t="shared" si="83"/>
        <v/>
      </c>
      <c r="AI142" s="15"/>
      <c r="AJ142" s="648" t="str">
        <f t="shared" si="86"/>
        <v>San Francisco</v>
      </c>
      <c r="AK142" s="647">
        <f t="shared" si="84"/>
        <v>1490.8886369375207</v>
      </c>
      <c r="AL142" s="647" t="str">
        <f t="shared" si="84"/>
        <v/>
      </c>
      <c r="AM142" s="647" t="str">
        <f t="shared" si="84"/>
        <v/>
      </c>
      <c r="AN142" s="647">
        <f t="shared" si="84"/>
        <v>77.066066415589518</v>
      </c>
      <c r="AO142" s="15"/>
      <c r="AP142" s="15"/>
      <c r="AQ142" s="15"/>
      <c r="AR142" s="15"/>
      <c r="AS142" s="15"/>
      <c r="AT142" s="15"/>
      <c r="AU142" s="15"/>
      <c r="AV142" s="15"/>
      <c r="AW142" s="15"/>
      <c r="AX142" s="15"/>
      <c r="AY142" s="15"/>
      <c r="AZ142" s="15"/>
      <c r="BA142" s="15"/>
      <c r="BB142" s="15"/>
      <c r="BC142" s="15"/>
      <c r="BD142" s="15"/>
      <c r="BE142" s="15"/>
      <c r="BF142" s="15"/>
      <c r="BG142" s="15"/>
      <c r="BH142" s="15"/>
      <c r="BI142" s="15"/>
      <c r="BJ142" s="15"/>
      <c r="BK142" s="15"/>
      <c r="BL142" s="15"/>
      <c r="BM142" s="15"/>
      <c r="BN142" s="15"/>
      <c r="BO142" s="15"/>
      <c r="BP142" s="15"/>
      <c r="BQ142" s="15"/>
      <c r="BR142" s="15"/>
      <c r="BS142" s="15"/>
      <c r="BT142" s="15"/>
      <c r="BU142" s="15"/>
      <c r="BV142" s="15"/>
      <c r="BW142" s="15"/>
      <c r="BX142" s="15"/>
      <c r="BY142" s="15"/>
      <c r="BZ142" s="15"/>
      <c r="CA142" s="15"/>
      <c r="CB142" s="15"/>
      <c r="CC142" s="15"/>
      <c r="CD142" s="15"/>
      <c r="CE142" s="15"/>
      <c r="CF142" s="15"/>
      <c r="CG142" s="15"/>
      <c r="CH142" s="15"/>
      <c r="CI142" s="15"/>
      <c r="CJ142" s="15"/>
      <c r="CK142" s="15"/>
      <c r="CL142" s="15"/>
      <c r="CM142" s="15"/>
      <c r="CN142" s="15"/>
      <c r="CO142" s="15"/>
      <c r="CP142" s="15"/>
      <c r="CQ142" s="15"/>
      <c r="CR142" s="15"/>
      <c r="CS142" s="15"/>
      <c r="CT142" s="15"/>
      <c r="CU142" s="645"/>
      <c r="CV142" s="645"/>
      <c r="CW142" s="645"/>
      <c r="CX142" s="645"/>
      <c r="CY142" s="645"/>
      <c r="CZ142" s="645"/>
      <c r="DA142" s="645"/>
      <c r="DB142" s="645"/>
      <c r="DC142" s="645"/>
      <c r="DD142" s="645"/>
      <c r="DE142" s="645"/>
      <c r="DF142" s="645"/>
      <c r="DG142" s="645"/>
      <c r="DH142" s="645"/>
      <c r="DI142" s="645"/>
      <c r="DJ142" s="645"/>
      <c r="DK142" s="645"/>
      <c r="DL142" s="645"/>
      <c r="DM142" s="645"/>
      <c r="DN142" s="645"/>
      <c r="DO142" s="645"/>
      <c r="DP142" s="645"/>
    </row>
    <row r="143" spans="1:120" s="33" customFormat="1" ht="15" customHeight="1">
      <c r="A143" s="316"/>
      <c r="B143" s="648" t="str">
        <f t="shared" si="85"/>
        <v>Seattle</v>
      </c>
      <c r="C143" s="902" t="str">
        <f t="shared" si="70"/>
        <v>USA</v>
      </c>
      <c r="D143" s="902" t="str">
        <f t="shared" si="71"/>
        <v>North America</v>
      </c>
      <c r="E143" s="902" t="str">
        <f t="shared" si="72"/>
        <v xml:space="preserve">Administrative boundary of a local government </v>
      </c>
      <c r="F143" s="643">
        <f t="shared" si="73"/>
        <v>2012</v>
      </c>
      <c r="G143" s="644">
        <f t="shared" si="74"/>
        <v>2012</v>
      </c>
      <c r="H143" s="643">
        <f t="shared" si="75"/>
        <v>634535</v>
      </c>
      <c r="I143" s="643">
        <f t="shared" si="76"/>
        <v>215</v>
      </c>
      <c r="J143" s="1038">
        <f t="shared" si="77"/>
        <v>48900000000</v>
      </c>
      <c r="K143" s="643" t="s">
        <v>172</v>
      </c>
      <c r="L143" s="643" t="s">
        <v>1556</v>
      </c>
      <c r="M143" s="643" t="s">
        <v>1638</v>
      </c>
      <c r="N143" s="647">
        <f t="shared" si="78"/>
        <v>20303.581481457259</v>
      </c>
      <c r="O143" s="647">
        <f t="shared" si="79"/>
        <v>8982.2155766796368</v>
      </c>
      <c r="P143" s="647">
        <f t="shared" si="79"/>
        <v>11102.860615020398</v>
      </c>
      <c r="Q143" s="647">
        <f t="shared" si="79"/>
        <v>218.50528975722361</v>
      </c>
      <c r="S143" s="648" t="str">
        <f t="shared" si="80"/>
        <v>Seattle</v>
      </c>
      <c r="T143" s="647">
        <f t="shared" si="88"/>
        <v>2595.5304294909438</v>
      </c>
      <c r="U143" s="647">
        <f t="shared" si="88"/>
        <v>4043.6677227171576</v>
      </c>
      <c r="V143" s="647">
        <f t="shared" si="88"/>
        <v>2273.751609969112</v>
      </c>
      <c r="W143" s="647" t="str">
        <f t="shared" si="88"/>
        <v/>
      </c>
      <c r="X143" s="647" t="str">
        <f t="shared" si="88"/>
        <v/>
      </c>
      <c r="Y143" s="647" t="str">
        <f t="shared" si="88"/>
        <v/>
      </c>
      <c r="Z143" s="647" t="str">
        <f t="shared" si="88"/>
        <v/>
      </c>
      <c r="AA143" s="647">
        <f t="shared" si="88"/>
        <v>69.265814502424021</v>
      </c>
      <c r="AB143" s="15"/>
      <c r="AC143" s="1041" t="str">
        <f t="shared" si="82"/>
        <v>Seattle</v>
      </c>
      <c r="AD143" s="647">
        <f t="shared" si="83"/>
        <v>9966.3887228939784</v>
      </c>
      <c r="AE143" s="647">
        <f t="shared" si="83"/>
        <v>300.37717663679729</v>
      </c>
      <c r="AF143" s="647">
        <f t="shared" si="83"/>
        <v>836.09471548962301</v>
      </c>
      <c r="AG143" s="647" t="str">
        <f t="shared" si="83"/>
        <v/>
      </c>
      <c r="AH143" s="647" t="str">
        <f t="shared" si="83"/>
        <v/>
      </c>
      <c r="AI143" s="15"/>
      <c r="AJ143" s="648" t="str">
        <f t="shared" si="86"/>
        <v>Seattle</v>
      </c>
      <c r="AK143" s="647">
        <f t="shared" si="84"/>
        <v>209.69767441860466</v>
      </c>
      <c r="AL143" s="647" t="str">
        <f t="shared" si="84"/>
        <v/>
      </c>
      <c r="AM143" s="647" t="str">
        <f t="shared" si="84"/>
        <v/>
      </c>
      <c r="AN143" s="647">
        <f t="shared" si="84"/>
        <v>8.8076153386189624</v>
      </c>
      <c r="AO143" s="15"/>
      <c r="AP143" s="15"/>
      <c r="AQ143" s="15"/>
      <c r="AR143" s="15"/>
      <c r="AS143" s="15"/>
      <c r="AT143" s="15"/>
      <c r="AU143" s="15"/>
      <c r="AV143" s="15"/>
      <c r="AW143" s="15"/>
      <c r="AX143" s="15"/>
      <c r="AY143" s="15"/>
      <c r="AZ143" s="15"/>
      <c r="BA143" s="15"/>
      <c r="BB143" s="15"/>
      <c r="BC143" s="15"/>
      <c r="BD143" s="15"/>
      <c r="BE143" s="15"/>
      <c r="BF143" s="15"/>
      <c r="BG143" s="15"/>
      <c r="BH143" s="15"/>
      <c r="BI143" s="15"/>
      <c r="BJ143" s="15"/>
      <c r="BK143" s="15"/>
      <c r="BL143" s="15"/>
      <c r="BM143" s="15"/>
      <c r="BN143" s="15"/>
      <c r="BO143" s="15"/>
      <c r="BP143" s="15"/>
      <c r="BQ143" s="15"/>
      <c r="BR143" s="15"/>
      <c r="BS143" s="15"/>
      <c r="BT143" s="15"/>
      <c r="BU143" s="15"/>
      <c r="BV143" s="15"/>
      <c r="BW143" s="15"/>
      <c r="BX143" s="15"/>
      <c r="BY143" s="15"/>
      <c r="BZ143" s="15"/>
      <c r="CA143" s="15"/>
      <c r="CB143" s="15"/>
      <c r="CC143" s="15"/>
      <c r="CD143" s="15"/>
      <c r="CE143" s="15"/>
      <c r="CF143" s="15"/>
      <c r="CG143" s="15"/>
      <c r="CH143" s="15"/>
      <c r="CI143" s="15"/>
      <c r="CJ143" s="15"/>
      <c r="CK143" s="15"/>
      <c r="CL143" s="15"/>
      <c r="CM143" s="15"/>
      <c r="CN143" s="15"/>
      <c r="CO143" s="15"/>
      <c r="CP143" s="15"/>
      <c r="CQ143" s="15"/>
      <c r="CR143" s="15"/>
      <c r="CS143" s="15"/>
      <c r="CT143" s="15"/>
      <c r="CU143" s="645"/>
      <c r="CV143" s="645"/>
      <c r="CW143" s="645"/>
      <c r="CX143" s="645"/>
      <c r="CY143" s="645"/>
      <c r="CZ143" s="645"/>
      <c r="DA143" s="645"/>
      <c r="DB143" s="645"/>
      <c r="DC143" s="645"/>
      <c r="DD143" s="645"/>
      <c r="DE143" s="645"/>
      <c r="DF143" s="645"/>
      <c r="DG143" s="645"/>
      <c r="DH143" s="645"/>
      <c r="DI143" s="645"/>
      <c r="DJ143" s="645"/>
      <c r="DK143" s="645"/>
      <c r="DL143" s="645"/>
      <c r="DM143" s="645"/>
      <c r="DN143" s="645"/>
      <c r="DO143" s="645"/>
      <c r="DP143" s="645"/>
    </row>
    <row r="144" spans="1:120" s="33" customFormat="1" ht="15" customHeight="1">
      <c r="A144" s="316"/>
      <c r="B144" s="648" t="str">
        <f t="shared" si="85"/>
        <v>Stockholm</v>
      </c>
      <c r="C144" s="902" t="str">
        <f t="shared" si="70"/>
        <v>Sweden</v>
      </c>
      <c r="D144" s="902" t="str">
        <f t="shared" si="71"/>
        <v>Europe</v>
      </c>
      <c r="E144" s="902" t="str">
        <f t="shared" si="72"/>
        <v xml:space="preserve">Administrative boundary of a local government </v>
      </c>
      <c r="F144" s="643">
        <f t="shared" si="73"/>
        <v>2012</v>
      </c>
      <c r="G144" s="644">
        <f t="shared" si="74"/>
        <v>2012</v>
      </c>
      <c r="H144" s="643">
        <f t="shared" si="75"/>
        <v>881235</v>
      </c>
      <c r="I144" s="643">
        <f t="shared" si="76"/>
        <v>216</v>
      </c>
      <c r="J144" s="1038">
        <f t="shared" si="77"/>
        <v>416797000000</v>
      </c>
      <c r="K144" s="643" t="s">
        <v>172</v>
      </c>
      <c r="L144" s="643" t="s">
        <v>1556</v>
      </c>
      <c r="M144" s="643" t="s">
        <v>1638</v>
      </c>
      <c r="N144" s="647">
        <f t="shared" si="78"/>
        <v>9923.3397124537041</v>
      </c>
      <c r="O144" s="647">
        <f t="shared" si="79"/>
        <v>5651.8954398148153</v>
      </c>
      <c r="P144" s="647">
        <f t="shared" si="79"/>
        <v>4235.5028935185182</v>
      </c>
      <c r="Q144" s="647">
        <f t="shared" si="79"/>
        <v>35.941379120370371</v>
      </c>
      <c r="S144" s="648" t="str">
        <f t="shared" si="80"/>
        <v>Stockholm</v>
      </c>
      <c r="T144" s="647">
        <f t="shared" si="88"/>
        <v>3214.1942405092595</v>
      </c>
      <c r="U144" s="647">
        <f t="shared" si="88"/>
        <v>2203.7394469907408</v>
      </c>
      <c r="V144" s="647">
        <f t="shared" si="88"/>
        <v>233.80897453703705</v>
      </c>
      <c r="W144" s="647" t="str">
        <f t="shared" si="88"/>
        <v/>
      </c>
      <c r="X144" s="647" t="str">
        <f t="shared" si="88"/>
        <v/>
      </c>
      <c r="Y144" s="647" t="str">
        <f t="shared" si="88"/>
        <v/>
      </c>
      <c r="Z144" s="647" t="str">
        <f t="shared" si="88"/>
        <v/>
      </c>
      <c r="AA144" s="647">
        <f t="shared" si="88"/>
        <v>0.15277777777777779</v>
      </c>
      <c r="AB144" s="15"/>
      <c r="AC144" s="1041" t="str">
        <f t="shared" si="82"/>
        <v>Stockholm</v>
      </c>
      <c r="AD144" s="647">
        <f t="shared" si="83"/>
        <v>3001.75</v>
      </c>
      <c r="AE144" s="647">
        <f t="shared" si="83"/>
        <v>153.66030092592592</v>
      </c>
      <c r="AF144" s="647">
        <f t="shared" si="83"/>
        <v>425.92592592592592</v>
      </c>
      <c r="AG144" s="647">
        <f t="shared" si="83"/>
        <v>92.129629629629633</v>
      </c>
      <c r="AH144" s="647">
        <f t="shared" si="83"/>
        <v>562.03703703703707</v>
      </c>
      <c r="AI144" s="15"/>
      <c r="AJ144" s="648" t="str">
        <f t="shared" si="86"/>
        <v>Stockholm</v>
      </c>
      <c r="AK144" s="647" t="str">
        <f t="shared" si="84"/>
        <v/>
      </c>
      <c r="AL144" s="647" t="str">
        <f t="shared" si="84"/>
        <v/>
      </c>
      <c r="AM144" s="647" t="str">
        <f t="shared" si="84"/>
        <v/>
      </c>
      <c r="AN144" s="647">
        <f t="shared" si="84"/>
        <v>35.941379120370371</v>
      </c>
      <c r="AO144" s="15"/>
      <c r="AP144" s="15"/>
      <c r="AQ144" s="15"/>
      <c r="AR144" s="15"/>
      <c r="AS144" s="15"/>
      <c r="AT144" s="15"/>
      <c r="AU144" s="15"/>
      <c r="AV144" s="15"/>
      <c r="AW144" s="15"/>
      <c r="AX144" s="15"/>
      <c r="AY144" s="15"/>
      <c r="AZ144" s="15"/>
      <c r="BA144" s="15"/>
      <c r="BB144" s="15"/>
      <c r="BC144" s="15"/>
      <c r="BD144" s="15"/>
      <c r="BE144" s="15"/>
      <c r="BF144" s="15"/>
      <c r="BG144" s="15"/>
      <c r="BH144" s="15"/>
      <c r="BI144" s="15"/>
      <c r="BJ144" s="15"/>
      <c r="BK144" s="15"/>
      <c r="BL144" s="15"/>
      <c r="BM144" s="15"/>
      <c r="BN144" s="15"/>
      <c r="BO144" s="15"/>
      <c r="BP144" s="15"/>
      <c r="BQ144" s="15"/>
      <c r="BR144" s="15"/>
      <c r="BS144" s="15"/>
      <c r="BT144" s="15"/>
      <c r="BU144" s="15"/>
      <c r="BV144" s="15"/>
      <c r="BW144" s="15"/>
      <c r="BX144" s="15"/>
      <c r="BY144" s="15"/>
      <c r="BZ144" s="15"/>
      <c r="CA144" s="15"/>
      <c r="CB144" s="15"/>
      <c r="CC144" s="15"/>
      <c r="CD144" s="15"/>
      <c r="CE144" s="15"/>
      <c r="CF144" s="15"/>
      <c r="CG144" s="15"/>
      <c r="CH144" s="15"/>
      <c r="CI144" s="15"/>
      <c r="CJ144" s="15"/>
      <c r="CK144" s="15"/>
      <c r="CL144" s="15"/>
      <c r="CM144" s="15"/>
      <c r="CN144" s="15"/>
      <c r="CO144" s="15"/>
      <c r="CP144" s="15"/>
      <c r="CQ144" s="15"/>
      <c r="CR144" s="15"/>
      <c r="CS144" s="15"/>
      <c r="CT144" s="15"/>
      <c r="CU144" s="645"/>
      <c r="CV144" s="645"/>
      <c r="CW144" s="645"/>
      <c r="CX144" s="645"/>
      <c r="CY144" s="645"/>
      <c r="CZ144" s="645"/>
      <c r="DA144" s="645"/>
      <c r="DB144" s="645"/>
      <c r="DC144" s="645"/>
      <c r="DD144" s="645"/>
      <c r="DE144" s="645"/>
      <c r="DF144" s="645"/>
      <c r="DG144" s="645"/>
      <c r="DH144" s="645"/>
      <c r="DI144" s="645"/>
      <c r="DJ144" s="645"/>
      <c r="DK144" s="645"/>
      <c r="DL144" s="645"/>
      <c r="DM144" s="645"/>
      <c r="DN144" s="645"/>
      <c r="DO144" s="645"/>
      <c r="DP144" s="645"/>
    </row>
    <row r="145" spans="1:120" s="33" customFormat="1" ht="15" customHeight="1">
      <c r="A145" s="316"/>
      <c r="B145" s="648" t="str">
        <f t="shared" si="85"/>
        <v>City of Sydney</v>
      </c>
      <c r="C145" s="902" t="str">
        <f t="shared" si="70"/>
        <v>Australia</v>
      </c>
      <c r="D145" s="902" t="str">
        <f t="shared" si="71"/>
        <v>Europe</v>
      </c>
      <c r="E145" s="902" t="str">
        <f t="shared" si="72"/>
        <v xml:space="preserve">Administrative boundary of a local government </v>
      </c>
      <c r="F145" s="643" t="str">
        <f t="shared" si="73"/>
        <v>2014-2015</v>
      </c>
      <c r="G145" s="644" t="str">
        <f t="shared" ref="G145" si="89">F145</f>
        <v>2014-2015</v>
      </c>
      <c r="H145" s="643">
        <f t="shared" si="75"/>
        <v>205728.86297376096</v>
      </c>
      <c r="I145" s="643">
        <f t="shared" si="76"/>
        <v>26.15</v>
      </c>
      <c r="J145" s="1038">
        <f t="shared" si="77"/>
        <v>73012549539.320007</v>
      </c>
      <c r="K145" s="643" t="s">
        <v>172</v>
      </c>
      <c r="L145" s="643" t="s">
        <v>1556</v>
      </c>
      <c r="M145" s="643" t="s">
        <v>1638</v>
      </c>
      <c r="N145" s="647">
        <f t="shared" si="78"/>
        <v>142901.06561508166</v>
      </c>
      <c r="O145" s="647">
        <f t="shared" si="79"/>
        <v>126476.27411245926</v>
      </c>
      <c r="P145" s="647">
        <f t="shared" si="79"/>
        <v>9528.6451705463096</v>
      </c>
      <c r="Q145" s="647">
        <f t="shared" si="79"/>
        <v>6896.1463320761031</v>
      </c>
      <c r="S145" s="648" t="str">
        <f t="shared" si="80"/>
        <v>City of Sydney</v>
      </c>
      <c r="T145" s="647">
        <f t="shared" si="88"/>
        <v>15818.823186737463</v>
      </c>
      <c r="U145" s="647">
        <f t="shared" si="88"/>
        <v>110074.86335031487</v>
      </c>
      <c r="V145" s="647" t="str">
        <f t="shared" si="88"/>
        <v/>
      </c>
      <c r="W145" s="647" t="str">
        <f t="shared" si="88"/>
        <v/>
      </c>
      <c r="X145" s="647" t="str">
        <f t="shared" si="88"/>
        <v/>
      </c>
      <c r="Y145" s="647" t="str">
        <f t="shared" si="88"/>
        <v/>
      </c>
      <c r="Z145" s="647" t="str">
        <f t="shared" si="88"/>
        <v/>
      </c>
      <c r="AA145" s="647">
        <f t="shared" si="88"/>
        <v>582.58757540692648</v>
      </c>
      <c r="AB145" s="15"/>
      <c r="AC145" s="1041" t="str">
        <f t="shared" si="82"/>
        <v>City of Sydney</v>
      </c>
      <c r="AD145" s="647">
        <f t="shared" si="83"/>
        <v>6072.4707617844115</v>
      </c>
      <c r="AE145" s="647">
        <f t="shared" si="83"/>
        <v>3270.4146857274336</v>
      </c>
      <c r="AF145" s="647">
        <f t="shared" si="83"/>
        <v>185.75972303446559</v>
      </c>
      <c r="AG145" s="647" t="str">
        <f t="shared" si="83"/>
        <v/>
      </c>
      <c r="AH145" s="647" t="str">
        <f t="shared" si="83"/>
        <v/>
      </c>
      <c r="AI145" s="15"/>
      <c r="AJ145" s="648" t="str">
        <f t="shared" si="86"/>
        <v>City of Sydney</v>
      </c>
      <c r="AK145" s="647">
        <f t="shared" si="84"/>
        <v>6692.8680688336526</v>
      </c>
      <c r="AL145" s="647">
        <f t="shared" si="84"/>
        <v>7.4890860420650096</v>
      </c>
      <c r="AM145" s="647" t="str">
        <f t="shared" si="84"/>
        <v/>
      </c>
      <c r="AN145" s="647">
        <f t="shared" si="84"/>
        <v>195.78917720038575</v>
      </c>
      <c r="AO145" s="15"/>
      <c r="AP145" s="15"/>
      <c r="AQ145" s="15"/>
      <c r="AR145" s="15"/>
      <c r="AS145" s="15"/>
      <c r="AT145" s="15"/>
      <c r="AU145" s="15"/>
      <c r="AV145" s="15"/>
      <c r="AW145" s="15"/>
      <c r="AX145" s="15"/>
      <c r="AY145" s="15"/>
      <c r="AZ145" s="15"/>
      <c r="BA145" s="15"/>
      <c r="BB145" s="15"/>
      <c r="BC145" s="15"/>
      <c r="BD145" s="15"/>
      <c r="BE145" s="15"/>
      <c r="BF145" s="15"/>
      <c r="BG145" s="15"/>
      <c r="BH145" s="15"/>
      <c r="BI145" s="15"/>
      <c r="BJ145" s="15"/>
      <c r="BK145" s="15"/>
      <c r="BL145" s="15"/>
      <c r="BM145" s="15"/>
      <c r="BN145" s="15"/>
      <c r="BO145" s="15"/>
      <c r="BP145" s="15"/>
      <c r="BQ145" s="15"/>
      <c r="BR145" s="15"/>
      <c r="BS145" s="15"/>
      <c r="BT145" s="15"/>
      <c r="BU145" s="15"/>
      <c r="BV145" s="15"/>
      <c r="BW145" s="15"/>
      <c r="BX145" s="15"/>
      <c r="BY145" s="15"/>
      <c r="BZ145" s="15"/>
      <c r="CA145" s="15"/>
      <c r="CB145" s="15"/>
      <c r="CC145" s="15"/>
      <c r="CD145" s="15"/>
      <c r="CE145" s="15"/>
      <c r="CF145" s="15"/>
      <c r="CG145" s="15"/>
      <c r="CH145" s="15"/>
      <c r="CI145" s="15"/>
      <c r="CJ145" s="15"/>
      <c r="CK145" s="15"/>
      <c r="CL145" s="15"/>
      <c r="CM145" s="15"/>
      <c r="CN145" s="15"/>
      <c r="CO145" s="15"/>
      <c r="CP145" s="15"/>
      <c r="CQ145" s="15"/>
      <c r="CR145" s="15"/>
      <c r="CS145" s="15"/>
      <c r="CT145" s="15"/>
      <c r="CU145" s="645"/>
      <c r="CV145" s="645"/>
      <c r="CW145" s="645"/>
      <c r="CX145" s="645"/>
      <c r="CY145" s="645"/>
      <c r="CZ145" s="645"/>
      <c r="DA145" s="645"/>
      <c r="DB145" s="645"/>
      <c r="DC145" s="645"/>
      <c r="DD145" s="645"/>
      <c r="DE145" s="645"/>
      <c r="DF145" s="645"/>
      <c r="DG145" s="645"/>
      <c r="DH145" s="645"/>
      <c r="DI145" s="645"/>
      <c r="DJ145" s="645"/>
      <c r="DK145" s="645"/>
      <c r="DL145" s="645"/>
      <c r="DM145" s="645"/>
      <c r="DN145" s="645"/>
      <c r="DO145" s="645"/>
      <c r="DP145" s="645"/>
    </row>
    <row r="146" spans="1:120" s="33" customFormat="1" ht="15" customHeight="1">
      <c r="A146" s="316"/>
      <c r="B146" s="648" t="str">
        <f t="shared" si="85"/>
        <v>Toronto</v>
      </c>
      <c r="C146" s="902" t="str">
        <f t="shared" si="70"/>
        <v>Canada</v>
      </c>
      <c r="D146" s="902" t="str">
        <f t="shared" si="71"/>
        <v>Europe</v>
      </c>
      <c r="E146" s="902" t="str">
        <f t="shared" si="72"/>
        <v>A metropolitan area</v>
      </c>
      <c r="F146" s="643">
        <f t="shared" si="73"/>
        <v>2013</v>
      </c>
      <c r="G146" s="644">
        <f t="shared" ref="G146" si="90">F146</f>
        <v>2013</v>
      </c>
      <c r="H146" s="643">
        <f t="shared" si="75"/>
        <v>2741280</v>
      </c>
      <c r="I146" s="643">
        <f t="shared" si="76"/>
        <v>641</v>
      </c>
      <c r="J146" s="1038">
        <f t="shared" si="77"/>
        <v>157000000000</v>
      </c>
      <c r="K146" s="643" t="s">
        <v>172</v>
      </c>
      <c r="L146" s="643" t="s">
        <v>1556</v>
      </c>
      <c r="M146" s="643" t="s">
        <v>1638</v>
      </c>
      <c r="N146" s="647">
        <f t="shared" si="78"/>
        <v>30209.399338142339</v>
      </c>
      <c r="O146" s="647">
        <f t="shared" si="79"/>
        <v>15656.289236718181</v>
      </c>
      <c r="P146" s="647">
        <f t="shared" si="79"/>
        <v>10997.903340881519</v>
      </c>
      <c r="Q146" s="647">
        <f t="shared" si="79"/>
        <v>3555.2067605426373</v>
      </c>
      <c r="S146" s="648" t="str">
        <f>B146</f>
        <v>Toronto</v>
      </c>
      <c r="T146" s="647">
        <f t="shared" si="88"/>
        <v>7248.5441395086436</v>
      </c>
      <c r="U146" s="647">
        <f t="shared" si="88"/>
        <v>6279.5733943119012</v>
      </c>
      <c r="V146" s="647">
        <f t="shared" si="88"/>
        <v>1931.3408572585554</v>
      </c>
      <c r="W146" s="647" t="str">
        <f t="shared" si="88"/>
        <v/>
      </c>
      <c r="X146" s="647" t="str">
        <f t="shared" si="88"/>
        <v/>
      </c>
      <c r="Y146" s="647" t="str">
        <f t="shared" si="88"/>
        <v/>
      </c>
      <c r="Z146" s="647" t="str">
        <f t="shared" si="88"/>
        <v/>
      </c>
      <c r="AA146" s="647">
        <f t="shared" si="88"/>
        <v>196.8308456390827</v>
      </c>
      <c r="AB146" s="15"/>
      <c r="AC146" s="1041" t="str">
        <f t="shared" si="82"/>
        <v>Toronto</v>
      </c>
      <c r="AD146" s="647">
        <f t="shared" si="83"/>
        <v>10753.391560561759</v>
      </c>
      <c r="AE146" s="647">
        <f t="shared" si="83"/>
        <v>242.28244172587205</v>
      </c>
      <c r="AF146" s="647">
        <f t="shared" si="83"/>
        <v>2.2293385938892354</v>
      </c>
      <c r="AG146" s="647" t="str">
        <f t="shared" si="83"/>
        <v/>
      </c>
      <c r="AH146" s="647" t="str">
        <f t="shared" si="83"/>
        <v/>
      </c>
      <c r="AI146" s="15"/>
      <c r="AJ146" s="648" t="str">
        <f t="shared" si="86"/>
        <v>Toronto</v>
      </c>
      <c r="AK146" s="647">
        <f t="shared" si="84"/>
        <v>3514.5674350949057</v>
      </c>
      <c r="AL146" s="647" t="str">
        <f t="shared" si="84"/>
        <v/>
      </c>
      <c r="AM146" s="647" t="str">
        <f t="shared" si="84"/>
        <v/>
      </c>
      <c r="AN146" s="647">
        <f t="shared" si="84"/>
        <v>40.63932544773138</v>
      </c>
      <c r="AO146" s="15"/>
      <c r="AP146" s="15"/>
      <c r="AQ146" s="15"/>
      <c r="AR146" s="15"/>
      <c r="AS146" s="15"/>
      <c r="AT146" s="15"/>
      <c r="AU146" s="15"/>
      <c r="AV146" s="15"/>
      <c r="AW146" s="15"/>
      <c r="AX146" s="15"/>
      <c r="AY146" s="15"/>
      <c r="AZ146" s="15"/>
      <c r="BA146" s="15"/>
      <c r="BB146" s="15"/>
      <c r="BC146" s="15"/>
      <c r="BD146" s="15"/>
      <c r="BE146" s="15"/>
      <c r="BF146" s="15"/>
      <c r="BG146" s="15"/>
      <c r="BH146" s="15"/>
      <c r="BI146" s="15"/>
      <c r="BJ146" s="15"/>
      <c r="BK146" s="15"/>
      <c r="BL146" s="15"/>
      <c r="BM146" s="15"/>
      <c r="BN146" s="15"/>
      <c r="BO146" s="15"/>
      <c r="BP146" s="15"/>
      <c r="BQ146" s="15"/>
      <c r="BR146" s="15"/>
      <c r="BS146" s="15"/>
      <c r="BT146" s="15"/>
      <c r="BU146" s="15"/>
      <c r="BV146" s="15"/>
      <c r="BW146" s="15"/>
      <c r="BX146" s="15"/>
      <c r="BY146" s="15"/>
      <c r="BZ146" s="15"/>
      <c r="CA146" s="15"/>
      <c r="CB146" s="15"/>
      <c r="CC146" s="15"/>
      <c r="CD146" s="15"/>
      <c r="CE146" s="15"/>
      <c r="CF146" s="15"/>
      <c r="CG146" s="15"/>
      <c r="CH146" s="15"/>
      <c r="CI146" s="15"/>
      <c r="CJ146" s="15"/>
      <c r="CK146" s="15"/>
      <c r="CL146" s="15"/>
      <c r="CM146" s="15"/>
      <c r="CN146" s="15"/>
      <c r="CO146" s="15"/>
      <c r="CP146" s="15"/>
      <c r="CQ146" s="15"/>
      <c r="CR146" s="15"/>
      <c r="CS146" s="15"/>
      <c r="CT146" s="15"/>
      <c r="CU146" s="645"/>
      <c r="CV146" s="645"/>
      <c r="CW146" s="645"/>
      <c r="CX146" s="645"/>
      <c r="CY146" s="645"/>
      <c r="CZ146" s="645"/>
      <c r="DA146" s="645"/>
      <c r="DB146" s="645"/>
      <c r="DC146" s="645"/>
      <c r="DD146" s="645"/>
      <c r="DE146" s="645"/>
      <c r="DF146" s="645"/>
      <c r="DG146" s="645"/>
      <c r="DH146" s="645"/>
      <c r="DI146" s="645"/>
      <c r="DJ146" s="645"/>
      <c r="DK146" s="645"/>
      <c r="DL146" s="645"/>
      <c r="DM146" s="645"/>
      <c r="DN146" s="645"/>
      <c r="DO146" s="645"/>
      <c r="DP146" s="645"/>
    </row>
    <row r="147" spans="1:120" s="33" customFormat="1" ht="15" customHeight="1">
      <c r="A147" s="316"/>
      <c r="B147" s="648" t="str">
        <f t="shared" si="85"/>
        <v>City of Vancouver</v>
      </c>
      <c r="C147" s="902" t="str">
        <f t="shared" si="70"/>
        <v>Canada</v>
      </c>
      <c r="D147" s="902" t="str">
        <f t="shared" si="71"/>
        <v>Europe</v>
      </c>
      <c r="E147" s="902" t="str">
        <f t="shared" si="72"/>
        <v xml:space="preserve">Administrative boundary of a local government </v>
      </c>
      <c r="F147" s="643">
        <f t="shared" si="73"/>
        <v>2014</v>
      </c>
      <c r="G147" s="644">
        <f t="shared" ref="G147" si="91">F147</f>
        <v>2014</v>
      </c>
      <c r="H147" s="643">
        <f t="shared" si="75"/>
        <v>618502</v>
      </c>
      <c r="I147" s="643">
        <f t="shared" si="76"/>
        <v>114.97</v>
      </c>
      <c r="J147" s="1038">
        <f t="shared" si="77"/>
        <v>84415033680.342926</v>
      </c>
      <c r="K147" s="643" t="s">
        <v>172</v>
      </c>
      <c r="L147" s="643" t="s">
        <v>1556</v>
      </c>
      <c r="M147" s="643" t="s">
        <v>1638</v>
      </c>
      <c r="N147" s="647">
        <f t="shared" ref="N147" si="92">SUM(O147:Q147)</f>
        <v>22253.364138486198</v>
      </c>
      <c r="O147" s="647">
        <f t="shared" si="79"/>
        <v>12230.421754589772</v>
      </c>
      <c r="P147" s="647">
        <f t="shared" si="79"/>
        <v>8998.9185522660955</v>
      </c>
      <c r="Q147" s="647">
        <f t="shared" si="79"/>
        <v>1024.0238316303298</v>
      </c>
      <c r="S147" s="648" t="str">
        <f>B147</f>
        <v>City of Vancouver</v>
      </c>
      <c r="T147" s="647">
        <f t="shared" si="88"/>
        <v>4216.168524678671</v>
      </c>
      <c r="U147" s="647">
        <f t="shared" si="88"/>
        <v>4825.7329087502158</v>
      </c>
      <c r="V147" s="647">
        <f t="shared" si="88"/>
        <v>3020.5882714834197</v>
      </c>
      <c r="W147" s="647" t="str">
        <f t="shared" si="88"/>
        <v/>
      </c>
      <c r="X147" s="647" t="str">
        <f t="shared" si="88"/>
        <v/>
      </c>
      <c r="Y147" s="647" t="str">
        <f t="shared" si="88"/>
        <v/>
      </c>
      <c r="Z147" s="647" t="str">
        <f t="shared" si="88"/>
        <v/>
      </c>
      <c r="AA147" s="647">
        <f t="shared" si="88"/>
        <v>167.93204967746252</v>
      </c>
      <c r="AB147" s="15"/>
      <c r="AC147" s="1041" t="str">
        <f t="shared" ref="AC147" si="93">B147</f>
        <v>City of Vancouver</v>
      </c>
      <c r="AD147" s="647">
        <f t="shared" si="83"/>
        <v>8748.4321566464223</v>
      </c>
      <c r="AE147" s="647">
        <f t="shared" si="83"/>
        <v>108.1971027606664</v>
      </c>
      <c r="AF147" s="647" t="str">
        <f t="shared" si="83"/>
        <v/>
      </c>
      <c r="AG147" s="647" t="str">
        <f t="shared" si="83"/>
        <v/>
      </c>
      <c r="AH147" s="647">
        <f t="shared" si="83"/>
        <v>142.28929285900671</v>
      </c>
      <c r="AI147" s="15"/>
      <c r="AJ147" s="648" t="str">
        <f t="shared" ref="AJ147" si="94">B147</f>
        <v>City of Vancouver</v>
      </c>
      <c r="AK147" s="647">
        <f t="shared" si="84"/>
        <v>864.83176025518401</v>
      </c>
      <c r="AL147" s="647">
        <f t="shared" si="84"/>
        <v>112.99092980777596</v>
      </c>
      <c r="AM147" s="647" t="str">
        <f t="shared" si="84"/>
        <v/>
      </c>
      <c r="AN147" s="647">
        <f t="shared" si="84"/>
        <v>46.201141567369767</v>
      </c>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BL147" s="15"/>
      <c r="BM147" s="15"/>
      <c r="BN147" s="15"/>
      <c r="BO147" s="15"/>
      <c r="BP147" s="15"/>
      <c r="BQ147" s="15"/>
      <c r="BR147" s="15"/>
      <c r="BS147" s="15"/>
      <c r="BT147" s="15"/>
      <c r="BU147" s="15"/>
      <c r="BV147" s="15"/>
      <c r="BW147" s="15"/>
      <c r="BX147" s="15"/>
      <c r="BY147" s="15"/>
      <c r="BZ147" s="15"/>
      <c r="CA147" s="15"/>
      <c r="CB147" s="15"/>
      <c r="CC147" s="15"/>
      <c r="CD147" s="15"/>
      <c r="CE147" s="15"/>
      <c r="CF147" s="15"/>
      <c r="CG147" s="15"/>
      <c r="CH147" s="15"/>
      <c r="CI147" s="15"/>
      <c r="CJ147" s="15"/>
      <c r="CK147" s="15"/>
      <c r="CL147" s="15"/>
      <c r="CM147" s="15"/>
      <c r="CN147" s="15"/>
      <c r="CO147" s="15"/>
      <c r="CP147" s="15"/>
      <c r="CQ147" s="15"/>
      <c r="CR147" s="15"/>
      <c r="CS147" s="15"/>
      <c r="CT147" s="15"/>
      <c r="CU147" s="645"/>
      <c r="CV147" s="645"/>
      <c r="CW147" s="645"/>
      <c r="CX147" s="645"/>
      <c r="CY147" s="645"/>
      <c r="CZ147" s="645"/>
      <c r="DA147" s="645"/>
      <c r="DB147" s="645"/>
      <c r="DC147" s="645"/>
      <c r="DD147" s="645"/>
      <c r="DE147" s="645"/>
      <c r="DF147" s="645"/>
      <c r="DG147" s="645"/>
      <c r="DH147" s="645"/>
      <c r="DI147" s="645"/>
      <c r="DJ147" s="645"/>
      <c r="DK147" s="645"/>
      <c r="DL147" s="645"/>
      <c r="DM147" s="645"/>
      <c r="DN147" s="645"/>
      <c r="DO147" s="645"/>
      <c r="DP147" s="645"/>
    </row>
    <row r="148" spans="1:120" s="33" customFormat="1" ht="15" customHeight="1">
      <c r="A148" s="316"/>
      <c r="B148" s="648"/>
      <c r="C148" s="902"/>
      <c r="D148" s="902"/>
      <c r="E148" s="902"/>
      <c r="F148" s="643"/>
      <c r="G148" s="644"/>
      <c r="H148" s="643"/>
      <c r="I148" s="643"/>
      <c r="J148" s="1038"/>
      <c r="K148" s="643"/>
      <c r="L148" s="643"/>
      <c r="M148" s="643"/>
      <c r="N148" s="647"/>
      <c r="O148" s="647"/>
      <c r="P148" s="647"/>
      <c r="Q148" s="647"/>
      <c r="S148" s="648"/>
      <c r="T148" s="647"/>
      <c r="U148" s="647"/>
      <c r="V148" s="647"/>
      <c r="W148" s="647"/>
      <c r="X148" s="647"/>
      <c r="Y148" s="647"/>
      <c r="Z148" s="647"/>
      <c r="AA148" s="647"/>
      <c r="AB148" s="15"/>
      <c r="AC148" s="1041"/>
      <c r="AD148" s="647"/>
      <c r="AE148" s="647"/>
      <c r="AF148" s="647"/>
      <c r="AG148" s="647"/>
      <c r="AH148" s="647"/>
      <c r="AI148" s="15"/>
      <c r="AJ148" s="648"/>
      <c r="AK148" s="647"/>
      <c r="AL148" s="647"/>
      <c r="AM148" s="647"/>
      <c r="AN148" s="647"/>
      <c r="AO148" s="15"/>
      <c r="AP148" s="15"/>
      <c r="AQ148" s="15"/>
      <c r="AR148" s="15"/>
      <c r="AS148" s="15"/>
      <c r="AT148" s="15"/>
      <c r="AU148" s="15"/>
      <c r="AV148" s="15"/>
      <c r="AW148" s="15"/>
      <c r="AX148" s="15"/>
      <c r="AY148" s="15"/>
      <c r="AZ148" s="15"/>
      <c r="BA148" s="15"/>
      <c r="BB148" s="15"/>
      <c r="BC148" s="15"/>
      <c r="BD148" s="15"/>
      <c r="BE148" s="15"/>
      <c r="BF148" s="15"/>
      <c r="BG148" s="15"/>
      <c r="BH148" s="15"/>
      <c r="BI148" s="15"/>
      <c r="BJ148" s="15"/>
      <c r="BK148" s="15"/>
      <c r="BL148" s="15"/>
      <c r="BM148" s="15"/>
      <c r="BN148" s="15"/>
      <c r="BO148" s="15"/>
      <c r="BP148" s="15"/>
      <c r="BQ148" s="15"/>
      <c r="BR148" s="15"/>
      <c r="BS148" s="15"/>
      <c r="BT148" s="15"/>
      <c r="BU148" s="15"/>
      <c r="BV148" s="15"/>
      <c r="BW148" s="15"/>
      <c r="BX148" s="15"/>
      <c r="BY148" s="15"/>
      <c r="BZ148" s="15"/>
      <c r="CA148" s="15"/>
      <c r="CB148" s="15"/>
      <c r="CC148" s="15"/>
      <c r="CD148" s="15"/>
      <c r="CE148" s="15"/>
      <c r="CF148" s="15"/>
      <c r="CG148" s="15"/>
      <c r="CH148" s="15"/>
      <c r="CI148" s="15"/>
      <c r="CJ148" s="15"/>
      <c r="CK148" s="15"/>
      <c r="CL148" s="15"/>
      <c r="CM148" s="15"/>
      <c r="CN148" s="15"/>
      <c r="CO148" s="15"/>
      <c r="CP148" s="15"/>
      <c r="CQ148" s="15"/>
      <c r="CR148" s="15"/>
      <c r="CS148" s="15"/>
      <c r="CT148" s="15"/>
      <c r="CU148" s="645"/>
      <c r="CV148" s="645"/>
      <c r="CW148" s="645"/>
      <c r="CX148" s="645"/>
      <c r="CY148" s="645"/>
      <c r="CZ148" s="645"/>
      <c r="DA148" s="645"/>
      <c r="DB148" s="645"/>
      <c r="DC148" s="645"/>
      <c r="DD148" s="645"/>
      <c r="DE148" s="645"/>
      <c r="DF148" s="645"/>
      <c r="DG148" s="645"/>
      <c r="DH148" s="645"/>
      <c r="DI148" s="645"/>
      <c r="DJ148" s="645"/>
      <c r="DK148" s="645"/>
      <c r="DL148" s="645"/>
      <c r="DM148" s="645"/>
      <c r="DN148" s="645"/>
      <c r="DO148" s="645"/>
      <c r="DP148" s="645"/>
    </row>
    <row r="149" spans="1:120" s="35" customFormat="1" ht="15" customHeight="1">
      <c r="A149" s="909"/>
      <c r="B149" s="911"/>
      <c r="C149" s="912"/>
      <c r="D149" s="913"/>
      <c r="E149" s="912"/>
      <c r="F149" s="914"/>
      <c r="G149" s="914"/>
      <c r="H149" s="910"/>
      <c r="I149" s="910"/>
      <c r="J149" s="913"/>
      <c r="K149" s="913"/>
      <c r="L149" s="913"/>
      <c r="M149" s="912"/>
      <c r="N149" s="910"/>
      <c r="O149" s="910"/>
      <c r="P149" s="910"/>
      <c r="Q149" s="910"/>
      <c r="R149" s="33"/>
      <c r="S149" s="22"/>
      <c r="T149" s="22"/>
      <c r="U149" s="22"/>
      <c r="V149" s="22"/>
      <c r="W149" s="22"/>
      <c r="X149" s="22"/>
      <c r="Y149" s="22"/>
      <c r="Z149" s="22"/>
      <c r="AA149" s="22"/>
      <c r="AB149" s="22"/>
      <c r="AC149" s="22"/>
      <c r="AD149" s="22"/>
      <c r="AE149" s="22"/>
      <c r="AF149" s="22"/>
      <c r="AG149" s="22"/>
      <c r="AH149" s="22"/>
      <c r="AI149" s="22"/>
      <c r="AJ149" s="22"/>
      <c r="AK149" s="22"/>
      <c r="AL149" s="22"/>
      <c r="AM149" s="22"/>
      <c r="AN149" s="22"/>
      <c r="AO149" s="22"/>
      <c r="AP149" s="22"/>
      <c r="AQ149" s="22"/>
      <c r="AR149" s="22"/>
      <c r="AS149" s="22"/>
      <c r="AT149" s="22"/>
      <c r="AU149" s="22"/>
      <c r="AV149" s="22"/>
      <c r="AW149" s="22"/>
      <c r="AX149" s="22"/>
      <c r="AY149" s="22"/>
      <c r="AZ149" s="22"/>
      <c r="BA149" s="22"/>
      <c r="BB149" s="22"/>
      <c r="BC149" s="22"/>
      <c r="BD149" s="22"/>
      <c r="BE149" s="22"/>
      <c r="BF149" s="22"/>
      <c r="BG149" s="22"/>
      <c r="BH149" s="22"/>
      <c r="BI149" s="22"/>
      <c r="BJ149" s="22"/>
      <c r="BK149" s="22"/>
      <c r="BL149" s="22"/>
      <c r="BM149" s="22"/>
      <c r="BN149" s="22"/>
      <c r="BO149" s="22"/>
      <c r="BP149" s="22"/>
      <c r="BQ149" s="22"/>
      <c r="BR149" s="22"/>
      <c r="BS149" s="22"/>
      <c r="BT149" s="22"/>
      <c r="BU149" s="22"/>
      <c r="BV149" s="22"/>
      <c r="BW149" s="22"/>
      <c r="BX149" s="22"/>
      <c r="BY149" s="22"/>
      <c r="BZ149" s="22"/>
      <c r="CA149" s="22"/>
      <c r="CB149" s="22"/>
      <c r="CC149" s="22"/>
      <c r="CD149" s="22"/>
      <c r="CE149" s="22"/>
      <c r="CF149" s="22"/>
      <c r="CG149" s="22"/>
      <c r="CH149" s="22"/>
      <c r="CI149" s="22"/>
      <c r="CJ149" s="22"/>
      <c r="CK149" s="22"/>
      <c r="CL149" s="22"/>
      <c r="CM149" s="22"/>
      <c r="CN149" s="22"/>
      <c r="CO149" s="22"/>
      <c r="CP149" s="22"/>
      <c r="CQ149" s="22"/>
      <c r="CR149" s="22"/>
      <c r="CS149" s="22"/>
      <c r="CT149" s="22"/>
    </row>
    <row r="150" spans="1:120" s="35" customFormat="1" ht="19" customHeight="1" thickBot="1">
      <c r="A150" s="909"/>
      <c r="B150" s="1496" t="s">
        <v>1900</v>
      </c>
      <c r="C150" s="1489"/>
      <c r="D150" s="1489"/>
      <c r="E150" s="1489"/>
      <c r="F150" s="1489"/>
      <c r="G150" s="1489"/>
      <c r="H150" s="1489"/>
      <c r="I150" s="1489"/>
      <c r="J150" s="1489"/>
      <c r="K150" s="1489"/>
      <c r="L150" s="1489"/>
      <c r="M150" s="1489"/>
      <c r="N150" s="1489"/>
      <c r="O150" s="1489"/>
      <c r="P150" s="1489"/>
      <c r="Q150" s="1489"/>
      <c r="R150" s="1489"/>
      <c r="S150" s="1489"/>
      <c r="T150" s="1489"/>
      <c r="U150" s="1489"/>
      <c r="V150" s="1489"/>
      <c r="W150" s="1489"/>
      <c r="X150" s="1489"/>
      <c r="Y150" s="1489"/>
      <c r="Z150" s="1489"/>
      <c r="AA150" s="1489"/>
      <c r="AB150" s="1489"/>
      <c r="AC150" s="1489"/>
      <c r="AD150" s="1489"/>
      <c r="AE150" s="1489"/>
      <c r="AF150" s="1489"/>
      <c r="AG150" s="1489"/>
      <c r="AH150" s="1489"/>
      <c r="AI150" s="1489"/>
      <c r="AJ150" s="1489"/>
      <c r="AK150" s="1489"/>
      <c r="AL150" s="1489"/>
      <c r="AM150" s="1489"/>
      <c r="AN150" s="1489"/>
      <c r="AO150" s="1489"/>
      <c r="AP150" s="1489"/>
      <c r="AQ150" s="1489"/>
      <c r="AR150" s="1489"/>
      <c r="AS150" s="1489"/>
      <c r="AT150" s="1489"/>
      <c r="AU150" s="1489"/>
      <c r="AV150" s="1489"/>
      <c r="AW150" s="15"/>
      <c r="AX150" s="22"/>
      <c r="AY150" s="22"/>
      <c r="AZ150" s="22"/>
      <c r="BA150" s="22"/>
      <c r="BB150" s="22"/>
      <c r="BC150" s="22"/>
      <c r="BD150" s="22"/>
      <c r="BE150" s="22"/>
      <c r="BF150" s="22"/>
      <c r="BG150" s="22"/>
      <c r="BH150" s="22"/>
      <c r="BI150" s="22"/>
      <c r="BJ150" s="22"/>
      <c r="BK150" s="22"/>
      <c r="BL150" s="22"/>
      <c r="BM150" s="22"/>
      <c r="BN150" s="22"/>
      <c r="BO150" s="22"/>
      <c r="BP150" s="22"/>
      <c r="BQ150" s="22"/>
      <c r="BR150" s="22"/>
      <c r="BS150" s="22"/>
      <c r="BT150" s="22"/>
      <c r="BU150" s="22"/>
      <c r="BV150" s="22"/>
      <c r="BW150" s="22"/>
      <c r="BX150" s="22"/>
      <c r="BY150" s="22"/>
      <c r="BZ150" s="22"/>
      <c r="CA150" s="22"/>
      <c r="CB150" s="22"/>
      <c r="CC150" s="22"/>
      <c r="CD150" s="22"/>
      <c r="CE150" s="22"/>
      <c r="CF150" s="22"/>
      <c r="CG150" s="22"/>
      <c r="CH150" s="22"/>
      <c r="CI150" s="22"/>
      <c r="CJ150" s="22"/>
      <c r="CK150" s="22"/>
      <c r="CL150" s="22"/>
      <c r="CM150" s="22"/>
      <c r="CN150" s="22"/>
      <c r="CO150" s="22"/>
      <c r="CP150" s="22"/>
      <c r="CQ150" s="22"/>
      <c r="CR150" s="22"/>
      <c r="CS150" s="22"/>
      <c r="CT150" s="22"/>
    </row>
    <row r="151" spans="1:120" s="35" customFormat="1" ht="15" customHeight="1">
      <c r="A151" s="909"/>
      <c r="B151" s="911"/>
      <c r="C151" s="912"/>
      <c r="D151" s="913"/>
      <c r="E151" s="912"/>
      <c r="F151" s="914"/>
      <c r="G151" s="914"/>
      <c r="H151" s="910"/>
      <c r="I151" s="910"/>
      <c r="J151" s="913"/>
      <c r="K151" s="913"/>
      <c r="L151" s="913"/>
      <c r="M151" s="912"/>
      <c r="N151" s="910"/>
      <c r="O151" s="910"/>
      <c r="P151" s="910"/>
      <c r="Q151" s="910"/>
      <c r="R151" s="33"/>
      <c r="S151" s="22"/>
      <c r="T151" s="22"/>
      <c r="U151" s="22"/>
      <c r="V151" s="22"/>
      <c r="W151" s="22"/>
      <c r="X151" s="22"/>
      <c r="Y151" s="22"/>
      <c r="Z151" s="22"/>
      <c r="AA151" s="22"/>
      <c r="AB151" s="22"/>
      <c r="AC151" s="22"/>
      <c r="AD151" s="22"/>
      <c r="AE151" s="22"/>
      <c r="AF151" s="22"/>
      <c r="AG151" s="22"/>
      <c r="AH151" s="22"/>
      <c r="AI151" s="22"/>
      <c r="AJ151" s="22"/>
      <c r="AK151" s="22"/>
      <c r="AL151" s="22"/>
      <c r="AM151" s="22"/>
      <c r="AN151" s="22"/>
      <c r="AO151" s="22"/>
      <c r="AP151" s="22"/>
      <c r="AQ151" s="22"/>
      <c r="AR151" s="22"/>
      <c r="AS151" s="22"/>
      <c r="AT151" s="22"/>
      <c r="AU151" s="22"/>
      <c r="AV151" s="22"/>
      <c r="AW151" s="22"/>
      <c r="AX151" s="22"/>
      <c r="AY151" s="22"/>
      <c r="AZ151" s="22"/>
      <c r="BA151" s="22"/>
      <c r="BB151" s="22"/>
      <c r="BC151" s="22"/>
      <c r="BD151" s="22"/>
      <c r="BE151" s="22"/>
      <c r="BF151" s="22"/>
      <c r="BG151" s="22"/>
      <c r="BH151" s="22"/>
      <c r="BI151" s="22"/>
      <c r="BJ151" s="22"/>
      <c r="BK151" s="22"/>
      <c r="BL151" s="22"/>
      <c r="BM151" s="22"/>
      <c r="BN151" s="22"/>
      <c r="BO151" s="22"/>
      <c r="BP151" s="22"/>
      <c r="BQ151" s="22"/>
      <c r="BR151" s="22"/>
      <c r="BS151" s="22"/>
      <c r="BT151" s="22"/>
      <c r="BU151" s="22"/>
      <c r="BV151" s="22"/>
      <c r="BW151" s="22"/>
      <c r="BX151" s="22"/>
      <c r="BY151" s="22"/>
      <c r="BZ151" s="22"/>
      <c r="CA151" s="22"/>
      <c r="CB151" s="22"/>
      <c r="CC151" s="22"/>
      <c r="CD151" s="22"/>
      <c r="CE151" s="22"/>
      <c r="CF151" s="22"/>
      <c r="CG151" s="22"/>
      <c r="CH151" s="22"/>
      <c r="CI151" s="22"/>
      <c r="CJ151" s="22"/>
      <c r="CK151" s="22"/>
      <c r="CL151" s="22"/>
      <c r="CM151" s="22"/>
      <c r="CN151" s="22"/>
      <c r="CO151" s="22"/>
      <c r="CP151" s="22"/>
      <c r="CQ151" s="22"/>
      <c r="CR151" s="22"/>
      <c r="CS151" s="22"/>
      <c r="CT151" s="22"/>
    </row>
    <row r="152" spans="1:120" s="642" customFormat="1" ht="15" customHeight="1">
      <c r="B152" s="906" t="s">
        <v>1025</v>
      </c>
      <c r="C152" s="907" t="s">
        <v>620</v>
      </c>
      <c r="D152" s="907" t="s">
        <v>1117</v>
      </c>
      <c r="E152" s="907" t="s">
        <v>685</v>
      </c>
      <c r="F152" s="908" t="s">
        <v>1616</v>
      </c>
      <c r="G152" s="908" t="s">
        <v>729</v>
      </c>
      <c r="H152" s="907" t="s">
        <v>1034</v>
      </c>
      <c r="I152" s="907" t="s">
        <v>1614</v>
      </c>
      <c r="J152" s="907" t="s">
        <v>1613</v>
      </c>
      <c r="K152" s="907" t="s">
        <v>1636</v>
      </c>
      <c r="L152" s="907" t="s">
        <v>1643</v>
      </c>
      <c r="M152" s="908" t="s">
        <v>919</v>
      </c>
      <c r="N152" s="908" t="s">
        <v>174</v>
      </c>
      <c r="O152" s="908" t="s">
        <v>46</v>
      </c>
      <c r="P152" s="908" t="s">
        <v>87</v>
      </c>
      <c r="Q152" s="620" t="s">
        <v>119</v>
      </c>
      <c r="R152" s="33"/>
      <c r="S152" s="617" t="s">
        <v>1025</v>
      </c>
      <c r="T152" s="1078" t="s">
        <v>1897</v>
      </c>
      <c r="U152" s="1078" t="s">
        <v>1709</v>
      </c>
      <c r="V152" s="1078" t="s">
        <v>1710</v>
      </c>
      <c r="W152" s="1078" t="s">
        <v>9</v>
      </c>
      <c r="X152" s="1078" t="s">
        <v>768</v>
      </c>
      <c r="Y152" s="1078" t="s">
        <v>1712</v>
      </c>
      <c r="Z152" s="1078" t="s">
        <v>1713</v>
      </c>
      <c r="AA152" s="1079" t="s">
        <v>1896</v>
      </c>
      <c r="AB152" s="15"/>
      <c r="AC152" s="1066" t="s">
        <v>1025</v>
      </c>
      <c r="AD152" s="1067" t="s">
        <v>16</v>
      </c>
      <c r="AE152" s="1067" t="s">
        <v>267</v>
      </c>
      <c r="AF152" s="1067" t="s">
        <v>268</v>
      </c>
      <c r="AG152" s="1067" t="s">
        <v>269</v>
      </c>
      <c r="AH152" s="1069" t="s">
        <v>20</v>
      </c>
      <c r="AI152" s="15"/>
      <c r="AJ152" s="617" t="s">
        <v>1025</v>
      </c>
      <c r="AK152" s="618" t="s">
        <v>1898</v>
      </c>
      <c r="AL152" s="618" t="s">
        <v>1706</v>
      </c>
      <c r="AM152" s="618" t="s">
        <v>1605</v>
      </c>
      <c r="AN152" s="958" t="s">
        <v>775</v>
      </c>
      <c r="AO152" s="15"/>
      <c r="AP152" s="15"/>
      <c r="AQ152" s="15"/>
      <c r="AR152" s="15"/>
      <c r="AS152" s="15"/>
      <c r="AT152" s="15"/>
      <c r="AU152" s="15"/>
      <c r="AV152" s="15"/>
      <c r="AW152" s="15"/>
      <c r="AX152" s="15"/>
      <c r="AY152" s="15"/>
      <c r="AZ152" s="15"/>
      <c r="BA152" s="15"/>
      <c r="BB152" s="15"/>
      <c r="BC152" s="15"/>
      <c r="BD152" s="15"/>
      <c r="BE152" s="15"/>
      <c r="BF152" s="15"/>
      <c r="BG152" s="15"/>
      <c r="BH152" s="15"/>
      <c r="BI152" s="15"/>
      <c r="BJ152" s="15"/>
      <c r="BK152" s="15"/>
      <c r="BL152" s="15"/>
      <c r="BM152" s="15"/>
      <c r="BN152" s="15"/>
      <c r="BO152" s="15"/>
      <c r="BP152" s="15"/>
      <c r="BQ152" s="15"/>
      <c r="BR152" s="15"/>
      <c r="BS152" s="15"/>
      <c r="BT152" s="15"/>
      <c r="BU152" s="15"/>
      <c r="BV152" s="15"/>
      <c r="BW152" s="15"/>
      <c r="BX152" s="15"/>
      <c r="BY152" s="15"/>
      <c r="BZ152" s="15"/>
      <c r="CA152" s="15"/>
      <c r="CB152" s="15"/>
      <c r="CC152" s="15"/>
      <c r="CD152" s="15"/>
      <c r="CE152" s="15"/>
      <c r="CF152" s="15"/>
      <c r="CG152" s="15"/>
      <c r="CH152" s="15"/>
      <c r="CI152" s="15"/>
      <c r="CJ152" s="15"/>
      <c r="CK152" s="15"/>
      <c r="CL152" s="15"/>
      <c r="CM152" s="15"/>
      <c r="CN152" s="15"/>
      <c r="CO152" s="15"/>
      <c r="CP152" s="15"/>
      <c r="CQ152" s="15"/>
      <c r="CR152" s="15"/>
      <c r="CS152" s="15"/>
      <c r="CT152" s="15"/>
      <c r="CU152" s="641"/>
      <c r="CV152" s="641"/>
      <c r="CW152" s="641"/>
      <c r="CX152" s="641"/>
      <c r="CY152" s="641"/>
      <c r="CZ152" s="641"/>
      <c r="DA152" s="641"/>
      <c r="DB152" s="641"/>
      <c r="DC152" s="641"/>
      <c r="DD152" s="641"/>
      <c r="DE152" s="641"/>
      <c r="DF152" s="641"/>
      <c r="DG152" s="641"/>
      <c r="DH152" s="641"/>
      <c r="DI152" s="641"/>
      <c r="DJ152" s="641"/>
      <c r="DK152" s="641"/>
      <c r="DL152" s="641"/>
      <c r="DM152" s="641"/>
      <c r="DN152" s="641"/>
      <c r="DO152" s="641"/>
      <c r="DP152" s="641"/>
    </row>
    <row r="153" spans="1:120" s="33" customFormat="1" ht="15" customHeight="1">
      <c r="A153" s="316"/>
      <c r="B153" s="648" t="str">
        <f>B12</f>
        <v>Atlantis</v>
      </c>
      <c r="C153" s="902" t="str">
        <f t="shared" ref="C153:C181" si="95">VLOOKUP($B153,$B$10:$J$44,2,FALSE)</f>
        <v>Greece</v>
      </c>
      <c r="D153" s="902" t="str">
        <f t="shared" ref="D153:D181" si="96">VLOOKUP($B153,$B$10:$J$44,3,FALSE)</f>
        <v>Europe</v>
      </c>
      <c r="E153" s="902" t="str">
        <f t="shared" ref="E153:E181" si="97">VLOOKUP($B153,$B$10:$J$44,4,FALSE)</f>
        <v>A metropolitan area</v>
      </c>
      <c r="F153" s="643">
        <f t="shared" ref="F153:F181" si="98">VLOOKUP($B153,$B$10:$J$44,5,FALSE)</f>
        <v>2014</v>
      </c>
      <c r="G153" s="644">
        <f t="shared" ref="G153:G178" si="99">F153</f>
        <v>2014</v>
      </c>
      <c r="H153" s="643">
        <f t="shared" ref="H153:H181" si="100">VLOOKUP($B153,$B$10:$J$44,6,FALSE)</f>
        <v>1500000</v>
      </c>
      <c r="I153" s="643">
        <f t="shared" ref="I153:I181" si="101">VLOOKUP($B153,$B$10:$J$44,7,FALSE)</f>
        <v>1000</v>
      </c>
      <c r="J153" s="1038">
        <f t="shared" ref="J153:J181" si="102">VLOOKUP($B153,$B$10:$J$44,8,FALSE)</f>
        <v>200000000000</v>
      </c>
      <c r="K153" s="643" t="s">
        <v>172</v>
      </c>
      <c r="L153" s="643" t="s">
        <v>1556</v>
      </c>
      <c r="M153" s="643" t="s">
        <v>1639</v>
      </c>
      <c r="N153" s="647">
        <f t="shared" ref="N153:N180" si="103">SUM(O153:Q153)</f>
        <v>58.662953327738379</v>
      </c>
      <c r="O153" s="647">
        <f t="shared" ref="O153:Q181" si="104">IF(ISERROR(O51/$J51),"",O51/($J51/1000000))</f>
        <v>30.049282521291431</v>
      </c>
      <c r="P153" s="647">
        <f t="shared" si="104"/>
        <v>18.363670806446951</v>
      </c>
      <c r="Q153" s="647">
        <f t="shared" si="104"/>
        <v>10.25</v>
      </c>
      <c r="S153" s="648" t="str">
        <f t="shared" ref="S153:S180" si="105">B153</f>
        <v>Atlantis</v>
      </c>
      <c r="T153" s="647">
        <f t="shared" ref="T153:AA162" si="106">IF(ISERROR(T51/($J51/1000000)),"",T51/($J51/1000000))</f>
        <v>13.096144244675001</v>
      </c>
      <c r="U153" s="647">
        <f t="shared" si="106"/>
        <v>16.792426603000003</v>
      </c>
      <c r="V153" s="647" t="str">
        <f t="shared" si="106"/>
        <v/>
      </c>
      <c r="W153" s="647" t="str">
        <f t="shared" si="106"/>
        <v/>
      </c>
      <c r="X153" s="647" t="str">
        <f t="shared" si="106"/>
        <v/>
      </c>
      <c r="Y153" s="647" t="str">
        <f t="shared" si="106"/>
        <v/>
      </c>
      <c r="Z153" s="647" t="str">
        <f t="shared" si="106"/>
        <v/>
      </c>
      <c r="AA153" s="647">
        <f t="shared" si="106"/>
        <v>0.16071167361642785</v>
      </c>
      <c r="AB153" s="15"/>
      <c r="AC153" s="1041" t="str">
        <f t="shared" ref="AC153:AC180" si="107">B153</f>
        <v>Atlantis</v>
      </c>
      <c r="AD153" s="647">
        <f t="shared" ref="AD153:AH181" si="108">IF(ISERROR(AD51/($J51/1000000)),"",AD51/($J51/1000000))</f>
        <v>13.955494706475999</v>
      </c>
      <c r="AE153" s="647">
        <f t="shared" si="108"/>
        <v>4.306883620712</v>
      </c>
      <c r="AF153" s="647">
        <f t="shared" si="108"/>
        <v>0.10129247925894924</v>
      </c>
      <c r="AG153" s="647" t="str">
        <f t="shared" si="108"/>
        <v/>
      </c>
      <c r="AH153" s="647" t="str">
        <f t="shared" si="108"/>
        <v/>
      </c>
      <c r="AI153" s="15"/>
      <c r="AJ153" s="648" t="str">
        <f>B153</f>
        <v>Atlantis</v>
      </c>
      <c r="AK153" s="647">
        <f t="shared" ref="AK153:AN181" si="109">IF(ISERROR(AK51/($J51/1000000)),"",AK51/($J51/1000000))</f>
        <v>10</v>
      </c>
      <c r="AL153" s="647" t="str">
        <f t="shared" si="109"/>
        <v/>
      </c>
      <c r="AM153" s="647" t="str">
        <f t="shared" si="109"/>
        <v/>
      </c>
      <c r="AN153" s="647">
        <f t="shared" si="109"/>
        <v>0.25</v>
      </c>
      <c r="AO153" s="15"/>
      <c r="AP153" s="15"/>
      <c r="AQ153" s="15"/>
      <c r="AR153" s="15"/>
      <c r="AS153" s="15"/>
      <c r="AT153" s="15"/>
      <c r="AU153" s="15"/>
      <c r="AV153" s="15"/>
      <c r="AW153" s="15"/>
      <c r="AX153" s="15"/>
      <c r="AY153" s="15"/>
      <c r="AZ153" s="15"/>
      <c r="BA153" s="15"/>
      <c r="BB153" s="15"/>
      <c r="BC153" s="15"/>
      <c r="BD153" s="15"/>
      <c r="BE153" s="15"/>
      <c r="BF153" s="15"/>
      <c r="BG153" s="15"/>
      <c r="BH153" s="15"/>
      <c r="BI153" s="15"/>
      <c r="BJ153" s="15"/>
      <c r="BK153" s="15"/>
      <c r="BL153" s="15"/>
      <c r="BM153" s="15"/>
      <c r="BN153" s="15"/>
      <c r="BO153" s="15"/>
      <c r="BP153" s="15"/>
      <c r="BQ153" s="15"/>
      <c r="BR153" s="15"/>
      <c r="BS153" s="15"/>
      <c r="BT153" s="15"/>
      <c r="BU153" s="15"/>
      <c r="BV153" s="15"/>
      <c r="BW153" s="15"/>
      <c r="BX153" s="15"/>
      <c r="BY153" s="15"/>
      <c r="BZ153" s="15"/>
      <c r="CA153" s="15"/>
      <c r="CB153" s="15"/>
      <c r="CC153" s="15"/>
      <c r="CD153" s="15"/>
      <c r="CE153" s="15"/>
      <c r="CF153" s="15"/>
      <c r="CG153" s="15"/>
      <c r="CH153" s="15"/>
      <c r="CI153" s="15"/>
      <c r="CJ153" s="15"/>
      <c r="CK153" s="15"/>
      <c r="CL153" s="15"/>
      <c r="CM153" s="15"/>
      <c r="CN153" s="15"/>
      <c r="CO153" s="15"/>
      <c r="CP153" s="15"/>
      <c r="CQ153" s="15"/>
      <c r="CR153" s="15"/>
      <c r="CS153" s="15"/>
      <c r="CT153" s="15"/>
      <c r="CU153" s="645"/>
      <c r="CV153" s="645"/>
      <c r="CW153" s="645"/>
      <c r="CX153" s="645"/>
      <c r="CY153" s="645"/>
      <c r="CZ153" s="645"/>
      <c r="DA153" s="645"/>
      <c r="DB153" s="645"/>
      <c r="DC153" s="645"/>
      <c r="DD153" s="645"/>
      <c r="DE153" s="645"/>
      <c r="DF153" s="645"/>
      <c r="DG153" s="645"/>
      <c r="DH153" s="645"/>
      <c r="DI153" s="645"/>
      <c r="DJ153" s="645"/>
      <c r="DK153" s="645"/>
      <c r="DL153" s="645"/>
      <c r="DM153" s="645"/>
      <c r="DN153" s="645"/>
      <c r="DO153" s="645"/>
      <c r="DP153" s="645"/>
    </row>
    <row r="154" spans="1:120" s="33" customFormat="1" ht="15" customHeight="1">
      <c r="A154" s="316"/>
      <c r="B154" s="648" t="str">
        <f t="shared" ref="B154:B181" si="110">B13</f>
        <v>Amman</v>
      </c>
      <c r="C154" s="902" t="str">
        <f t="shared" si="95"/>
        <v>Jordan</v>
      </c>
      <c r="D154" s="902" t="str">
        <f t="shared" si="96"/>
        <v>South and West Asia</v>
      </c>
      <c r="E154" s="902" t="str">
        <f t="shared" si="97"/>
        <v>A metropolitan area</v>
      </c>
      <c r="F154" s="643">
        <f t="shared" si="98"/>
        <v>2014</v>
      </c>
      <c r="G154" s="644">
        <f t="shared" si="99"/>
        <v>2014</v>
      </c>
      <c r="H154" s="643">
        <f t="shared" si="100"/>
        <v>3400000</v>
      </c>
      <c r="I154" s="643">
        <f t="shared" si="101"/>
        <v>801.92</v>
      </c>
      <c r="J154" s="1038">
        <f t="shared" si="102"/>
        <v>15068000000</v>
      </c>
      <c r="K154" s="643" t="s">
        <v>172</v>
      </c>
      <c r="L154" s="643" t="s">
        <v>1556</v>
      </c>
      <c r="M154" s="643" t="s">
        <v>1639</v>
      </c>
      <c r="N154" s="647">
        <f t="shared" si="103"/>
        <v>493.19231571729102</v>
      </c>
      <c r="O154" s="647">
        <f t="shared" si="104"/>
        <v>315.54802839165529</v>
      </c>
      <c r="P154" s="647">
        <f t="shared" si="104"/>
        <v>150.48813759773552</v>
      </c>
      <c r="Q154" s="647">
        <f t="shared" si="104"/>
        <v>27.156149727900189</v>
      </c>
      <c r="S154" s="648" t="str">
        <f t="shared" si="105"/>
        <v>Amman</v>
      </c>
      <c r="T154" s="647">
        <f t="shared" si="106"/>
        <v>162.74194628567585</v>
      </c>
      <c r="U154" s="647">
        <f t="shared" si="106"/>
        <v>131.02787495878806</v>
      </c>
      <c r="V154" s="647">
        <f t="shared" si="106"/>
        <v>21.778207147191388</v>
      </c>
      <c r="W154" s="647" t="str">
        <f t="shared" si="106"/>
        <v/>
      </c>
      <c r="X154" s="647" t="str">
        <f t="shared" si="106"/>
        <v/>
      </c>
      <c r="Y154" s="647" t="str">
        <f t="shared" si="106"/>
        <v/>
      </c>
      <c r="Z154" s="647" t="str">
        <f t="shared" si="106"/>
        <v/>
      </c>
      <c r="AA154" s="647" t="str">
        <f t="shared" si="106"/>
        <v/>
      </c>
      <c r="AB154" s="15"/>
      <c r="AC154" s="1041" t="str">
        <f t="shared" si="107"/>
        <v>Amman</v>
      </c>
      <c r="AD154" s="647">
        <f t="shared" si="108"/>
        <v>150.48813759773552</v>
      </c>
      <c r="AE154" s="647" t="str">
        <f t="shared" si="108"/>
        <v/>
      </c>
      <c r="AF154" s="647" t="str">
        <f t="shared" si="108"/>
        <v/>
      </c>
      <c r="AG154" s="647" t="str">
        <f t="shared" si="108"/>
        <v/>
      </c>
      <c r="AH154" s="647" t="str">
        <f t="shared" si="108"/>
        <v/>
      </c>
      <c r="AI154" s="15"/>
      <c r="AJ154" s="648" t="str">
        <f t="shared" ref="AJ154:AJ180" si="111">B154</f>
        <v>Amman</v>
      </c>
      <c r="AK154" s="647">
        <f t="shared" si="109"/>
        <v>10.89713459649589</v>
      </c>
      <c r="AL154" s="647" t="str">
        <f t="shared" si="109"/>
        <v/>
      </c>
      <c r="AM154" s="647" t="str">
        <f t="shared" si="109"/>
        <v/>
      </c>
      <c r="AN154" s="647">
        <f t="shared" si="109"/>
        <v>16.259015131404301</v>
      </c>
      <c r="AO154" s="15"/>
      <c r="AP154" s="15"/>
      <c r="AQ154" s="15"/>
      <c r="AR154" s="15"/>
      <c r="AS154" s="15"/>
      <c r="AT154" s="15"/>
      <c r="AU154" s="15"/>
      <c r="AV154" s="15"/>
      <c r="AW154" s="15"/>
      <c r="AX154" s="15"/>
      <c r="AY154" s="15"/>
      <c r="AZ154" s="15"/>
      <c r="BA154" s="15"/>
      <c r="BB154" s="15"/>
      <c r="BC154" s="15"/>
      <c r="BD154" s="15"/>
      <c r="BE154" s="15"/>
      <c r="BF154" s="15"/>
      <c r="BG154" s="15"/>
      <c r="BH154" s="15"/>
      <c r="BI154" s="15"/>
      <c r="BJ154" s="15"/>
      <c r="BK154" s="15"/>
      <c r="BL154" s="15"/>
      <c r="BM154" s="15"/>
      <c r="BN154" s="15"/>
      <c r="BO154" s="15"/>
      <c r="BP154" s="15"/>
      <c r="BQ154" s="15"/>
      <c r="BR154" s="15"/>
      <c r="BS154" s="15"/>
      <c r="BT154" s="15"/>
      <c r="BU154" s="15"/>
      <c r="BV154" s="15"/>
      <c r="BW154" s="15"/>
      <c r="BX154" s="15"/>
      <c r="BY154" s="15"/>
      <c r="BZ154" s="15"/>
      <c r="CA154" s="15"/>
      <c r="CB154" s="15"/>
      <c r="CC154" s="15"/>
      <c r="CD154" s="15"/>
      <c r="CE154" s="15"/>
      <c r="CF154" s="15"/>
      <c r="CG154" s="15"/>
      <c r="CH154" s="15"/>
      <c r="CI154" s="15"/>
      <c r="CJ154" s="15"/>
      <c r="CK154" s="15"/>
      <c r="CL154" s="15"/>
      <c r="CM154" s="15"/>
      <c r="CN154" s="15"/>
      <c r="CO154" s="15"/>
      <c r="CP154" s="15"/>
      <c r="CQ154" s="15"/>
      <c r="CR154" s="15"/>
      <c r="CS154" s="15"/>
      <c r="CT154" s="15"/>
      <c r="CU154" s="645"/>
      <c r="CV154" s="645"/>
      <c r="CW154" s="645"/>
      <c r="CX154" s="645"/>
      <c r="CY154" s="645"/>
      <c r="CZ154" s="645"/>
      <c r="DA154" s="645"/>
      <c r="DB154" s="645"/>
      <c r="DC154" s="645"/>
      <c r="DD154" s="645"/>
      <c r="DE154" s="645"/>
      <c r="DF154" s="645"/>
      <c r="DG154" s="645"/>
      <c r="DH154" s="645"/>
      <c r="DI154" s="645"/>
      <c r="DJ154" s="645"/>
      <c r="DK154" s="645"/>
      <c r="DL154" s="645"/>
      <c r="DM154" s="645"/>
      <c r="DN154" s="645"/>
      <c r="DO154" s="645"/>
      <c r="DP154" s="645"/>
    </row>
    <row r="155" spans="1:120" s="33" customFormat="1" ht="15" customHeight="1">
      <c r="A155" s="316"/>
      <c r="B155" s="648" t="str">
        <f t="shared" si="110"/>
        <v>Athens</v>
      </c>
      <c r="C155" s="902" t="str">
        <f t="shared" si="95"/>
        <v>Greece</v>
      </c>
      <c r="D155" s="902" t="str">
        <f t="shared" si="96"/>
        <v>Europe</v>
      </c>
      <c r="E155" s="902" t="str">
        <f t="shared" si="97"/>
        <v xml:space="preserve">Administrative boundary of a local government </v>
      </c>
      <c r="F155" s="643">
        <f t="shared" si="98"/>
        <v>2014</v>
      </c>
      <c r="G155" s="644">
        <f t="shared" si="99"/>
        <v>2014</v>
      </c>
      <c r="H155" s="643">
        <f t="shared" si="100"/>
        <v>664046</v>
      </c>
      <c r="I155" s="643">
        <f t="shared" si="101"/>
        <v>39</v>
      </c>
      <c r="J155" s="1038">
        <f t="shared" si="102"/>
        <v>22249382330</v>
      </c>
      <c r="K155" s="643" t="s">
        <v>172</v>
      </c>
      <c r="L155" s="643" t="s">
        <v>1556</v>
      </c>
      <c r="M155" s="643" t="s">
        <v>1639</v>
      </c>
      <c r="N155" s="647">
        <f t="shared" si="103"/>
        <v>213.6546897596009</v>
      </c>
      <c r="O155" s="647">
        <f t="shared" si="104"/>
        <v>149.74309048653595</v>
      </c>
      <c r="P155" s="647">
        <f t="shared" si="104"/>
        <v>47.845347792174309</v>
      </c>
      <c r="Q155" s="647">
        <f t="shared" si="104"/>
        <v>16.066251480890614</v>
      </c>
      <c r="S155" s="648" t="str">
        <f t="shared" si="105"/>
        <v>Athens</v>
      </c>
      <c r="T155" s="647">
        <f t="shared" si="106"/>
        <v>88.200916834857836</v>
      </c>
      <c r="U155" s="647">
        <f t="shared" si="106"/>
        <v>59.850672171733606</v>
      </c>
      <c r="V155" s="647">
        <f t="shared" si="106"/>
        <v>1.675060472287645</v>
      </c>
      <c r="W155" s="647" t="str">
        <f t="shared" si="106"/>
        <v/>
      </c>
      <c r="X155" s="647" t="str">
        <f t="shared" si="106"/>
        <v/>
      </c>
      <c r="Y155" s="647" t="str">
        <f t="shared" si="106"/>
        <v/>
      </c>
      <c r="Z155" s="647" t="str">
        <f t="shared" si="106"/>
        <v/>
      </c>
      <c r="AA155" s="647">
        <f t="shared" si="106"/>
        <v>1.6441007656870153E-2</v>
      </c>
      <c r="AB155" s="15"/>
      <c r="AC155" s="1041" t="str">
        <f t="shared" si="107"/>
        <v>Athens</v>
      </c>
      <c r="AD155" s="647">
        <f t="shared" si="108"/>
        <v>45.653133652077628</v>
      </c>
      <c r="AE155" s="647">
        <f t="shared" si="108"/>
        <v>2.1922141400966866</v>
      </c>
      <c r="AF155" s="647" t="str">
        <f t="shared" si="108"/>
        <v/>
      </c>
      <c r="AG155" s="647" t="str">
        <f t="shared" si="108"/>
        <v/>
      </c>
      <c r="AH155" s="647" t="str">
        <f t="shared" si="108"/>
        <v/>
      </c>
      <c r="AI155" s="15"/>
      <c r="AJ155" s="648" t="str">
        <f t="shared" si="111"/>
        <v>Athens</v>
      </c>
      <c r="AK155" s="647">
        <f t="shared" si="109"/>
        <v>15.015337504084053</v>
      </c>
      <c r="AL155" s="647">
        <f t="shared" si="109"/>
        <v>1.8232277821619871E-3</v>
      </c>
      <c r="AM155" s="647" t="str">
        <f t="shared" si="109"/>
        <v/>
      </c>
      <c r="AN155" s="647">
        <f t="shared" si="109"/>
        <v>1.0490907490244019</v>
      </c>
      <c r="AO155" s="15"/>
      <c r="AP155" s="15"/>
      <c r="AQ155" s="15"/>
      <c r="AR155" s="15"/>
      <c r="AS155" s="15"/>
      <c r="AT155" s="15"/>
      <c r="AU155" s="15"/>
      <c r="AV155" s="15"/>
      <c r="AW155" s="15"/>
      <c r="AX155" s="15"/>
      <c r="AY155" s="15"/>
      <c r="AZ155" s="15"/>
      <c r="BA155" s="15"/>
      <c r="BB155" s="15"/>
      <c r="BC155" s="15"/>
      <c r="BD155" s="15"/>
      <c r="BE155" s="15"/>
      <c r="BF155" s="15"/>
      <c r="BG155" s="15"/>
      <c r="BH155" s="15"/>
      <c r="BI155" s="15"/>
      <c r="BJ155" s="15"/>
      <c r="BK155" s="15"/>
      <c r="BL155" s="15"/>
      <c r="BM155" s="15"/>
      <c r="BN155" s="15"/>
      <c r="BO155" s="15"/>
      <c r="BP155" s="15"/>
      <c r="BQ155" s="15"/>
      <c r="BR155" s="15"/>
      <c r="BS155" s="15"/>
      <c r="BT155" s="15"/>
      <c r="BU155" s="15"/>
      <c r="BV155" s="15"/>
      <c r="BW155" s="15"/>
      <c r="BX155" s="15"/>
      <c r="BY155" s="15"/>
      <c r="BZ155" s="15"/>
      <c r="CA155" s="15"/>
      <c r="CB155" s="15"/>
      <c r="CC155" s="15"/>
      <c r="CD155" s="15"/>
      <c r="CE155" s="15"/>
      <c r="CF155" s="15"/>
      <c r="CG155" s="15"/>
      <c r="CH155" s="15"/>
      <c r="CI155" s="15"/>
      <c r="CJ155" s="15"/>
      <c r="CK155" s="15"/>
      <c r="CL155" s="15"/>
      <c r="CM155" s="15"/>
      <c r="CN155" s="15"/>
      <c r="CO155" s="15"/>
      <c r="CP155" s="15"/>
      <c r="CQ155" s="15"/>
      <c r="CR155" s="15"/>
      <c r="CS155" s="15"/>
      <c r="CT155" s="15"/>
      <c r="CU155" s="645"/>
      <c r="CV155" s="645"/>
      <c r="CW155" s="645"/>
      <c r="CX155" s="645"/>
      <c r="CY155" s="645"/>
      <c r="CZ155" s="645"/>
      <c r="DA155" s="645"/>
      <c r="DB155" s="645"/>
      <c r="DC155" s="645"/>
      <c r="DD155" s="645"/>
      <c r="DE155" s="645"/>
      <c r="DF155" s="645"/>
      <c r="DG155" s="645"/>
      <c r="DH155" s="645"/>
      <c r="DI155" s="645"/>
      <c r="DJ155" s="645"/>
      <c r="DK155" s="645"/>
      <c r="DL155" s="645"/>
      <c r="DM155" s="645"/>
      <c r="DN155" s="645"/>
      <c r="DO155" s="645"/>
      <c r="DP155" s="645"/>
    </row>
    <row r="156" spans="1:120" s="33" customFormat="1" ht="15" customHeight="1">
      <c r="A156" s="316"/>
      <c r="B156" s="648" t="str">
        <f t="shared" si="110"/>
        <v xml:space="preserve">Bogota </v>
      </c>
      <c r="C156" s="902" t="str">
        <f t="shared" si="95"/>
        <v xml:space="preserve">Colombia </v>
      </c>
      <c r="D156" s="902" t="str">
        <f t="shared" si="96"/>
        <v>Latin America</v>
      </c>
      <c r="E156" s="902" t="str">
        <f t="shared" si="97"/>
        <v xml:space="preserve">Administrative boundary of a local government </v>
      </c>
      <c r="F156" s="643">
        <f t="shared" si="98"/>
        <v>2012</v>
      </c>
      <c r="G156" s="644">
        <f t="shared" si="99"/>
        <v>2012</v>
      </c>
      <c r="H156" s="643">
        <f t="shared" si="100"/>
        <v>7571345</v>
      </c>
      <c r="I156" s="643">
        <f t="shared" si="101"/>
        <v>1636.6</v>
      </c>
      <c r="J156" s="1038">
        <f t="shared" si="102"/>
        <v>68444073455.759605</v>
      </c>
      <c r="K156" s="643" t="s">
        <v>172</v>
      </c>
      <c r="L156" s="643" t="s">
        <v>1556</v>
      </c>
      <c r="M156" s="643" t="s">
        <v>1639</v>
      </c>
      <c r="N156" s="647">
        <f t="shared" si="103"/>
        <v>181.30836340097082</v>
      </c>
      <c r="O156" s="647">
        <f t="shared" si="104"/>
        <v>99.129269859646982</v>
      </c>
      <c r="P156" s="647">
        <f t="shared" si="104"/>
        <v>68.554784320101632</v>
      </c>
      <c r="Q156" s="647">
        <f t="shared" si="104"/>
        <v>13.6243092212222</v>
      </c>
      <c r="S156" s="648" t="str">
        <f t="shared" si="105"/>
        <v xml:space="preserve">Bogota </v>
      </c>
      <c r="T156" s="647">
        <f t="shared" si="106"/>
        <v>31.559025463714775</v>
      </c>
      <c r="U156" s="647">
        <f t="shared" si="106"/>
        <v>37.391871337227776</v>
      </c>
      <c r="V156" s="647">
        <f t="shared" si="106"/>
        <v>27.703921347547677</v>
      </c>
      <c r="W156" s="647" t="str">
        <f t="shared" si="106"/>
        <v/>
      </c>
      <c r="X156" s="647">
        <f t="shared" si="106"/>
        <v>0.72660908485526754</v>
      </c>
      <c r="Y156" s="647">
        <f t="shared" si="106"/>
        <v>1.1893363101649503</v>
      </c>
      <c r="Z156" s="647" t="str">
        <f t="shared" si="106"/>
        <v/>
      </c>
      <c r="AA156" s="647">
        <f t="shared" si="106"/>
        <v>0.5585063161365259</v>
      </c>
      <c r="AB156" s="15"/>
      <c r="AC156" s="1041" t="str">
        <f t="shared" si="107"/>
        <v xml:space="preserve">Bogota </v>
      </c>
      <c r="AD156" s="647">
        <f t="shared" si="108"/>
        <v>68.551668436753005</v>
      </c>
      <c r="AE156" s="647">
        <f t="shared" si="108"/>
        <v>3.1158833486309664E-3</v>
      </c>
      <c r="AF156" s="647" t="str">
        <f t="shared" si="108"/>
        <v/>
      </c>
      <c r="AG156" s="647" t="str">
        <f t="shared" si="108"/>
        <v/>
      </c>
      <c r="AH156" s="647" t="str">
        <f t="shared" si="108"/>
        <v/>
      </c>
      <c r="AI156" s="15"/>
      <c r="AJ156" s="648" t="str">
        <f t="shared" si="111"/>
        <v xml:space="preserve">Bogota </v>
      </c>
      <c r="AK156" s="647">
        <f t="shared" si="109"/>
        <v>0.70092049880980145</v>
      </c>
      <c r="AL156" s="647">
        <f t="shared" si="109"/>
        <v>1.6015994148982878E-4</v>
      </c>
      <c r="AM156" s="647">
        <f t="shared" si="109"/>
        <v>2.0082568593589932E-3</v>
      </c>
      <c r="AN156" s="647">
        <f t="shared" si="109"/>
        <v>12.921220305611548</v>
      </c>
      <c r="AO156" s="15"/>
      <c r="AP156" s="15"/>
      <c r="AQ156" s="15"/>
      <c r="AR156" s="15"/>
      <c r="AS156" s="15"/>
      <c r="AT156" s="15"/>
      <c r="AU156" s="15"/>
      <c r="AV156" s="15"/>
      <c r="AW156" s="15"/>
      <c r="AX156" s="15"/>
      <c r="AY156" s="15"/>
      <c r="AZ156" s="15"/>
      <c r="BA156" s="15"/>
      <c r="BB156" s="15"/>
      <c r="BC156" s="15"/>
      <c r="BD156" s="15"/>
      <c r="BE156" s="15"/>
      <c r="BF156" s="15"/>
      <c r="BG156" s="15"/>
      <c r="BH156" s="15"/>
      <c r="BI156" s="15"/>
      <c r="BJ156" s="15"/>
      <c r="BK156" s="15"/>
      <c r="BL156" s="15"/>
      <c r="BM156" s="15"/>
      <c r="BN156" s="15"/>
      <c r="BO156" s="15"/>
      <c r="BP156" s="15"/>
      <c r="BQ156" s="15"/>
      <c r="BR156" s="15"/>
      <c r="BS156" s="15"/>
      <c r="BT156" s="15"/>
      <c r="BU156" s="15"/>
      <c r="BV156" s="15"/>
      <c r="BW156" s="15"/>
      <c r="BX156" s="15"/>
      <c r="BY156" s="15"/>
      <c r="BZ156" s="15"/>
      <c r="CA156" s="15"/>
      <c r="CB156" s="15"/>
      <c r="CC156" s="15"/>
      <c r="CD156" s="15"/>
      <c r="CE156" s="15"/>
      <c r="CF156" s="15"/>
      <c r="CG156" s="15"/>
      <c r="CH156" s="15"/>
      <c r="CI156" s="15"/>
      <c r="CJ156" s="15"/>
      <c r="CK156" s="15"/>
      <c r="CL156" s="15"/>
      <c r="CM156" s="15"/>
      <c r="CN156" s="15"/>
      <c r="CO156" s="15"/>
      <c r="CP156" s="15"/>
      <c r="CQ156" s="15"/>
      <c r="CR156" s="15"/>
      <c r="CS156" s="15"/>
      <c r="CT156" s="15"/>
      <c r="CU156" s="645"/>
      <c r="CV156" s="645"/>
      <c r="CW156" s="645"/>
      <c r="CX156" s="645"/>
      <c r="CY156" s="645"/>
      <c r="CZ156" s="645"/>
      <c r="DA156" s="645"/>
      <c r="DB156" s="645"/>
      <c r="DC156" s="645"/>
      <c r="DD156" s="645"/>
      <c r="DE156" s="645"/>
      <c r="DF156" s="645"/>
      <c r="DG156" s="645"/>
      <c r="DH156" s="645"/>
      <c r="DI156" s="645"/>
      <c r="DJ156" s="645"/>
      <c r="DK156" s="645"/>
      <c r="DL156" s="645"/>
      <c r="DM156" s="645"/>
      <c r="DN156" s="645"/>
      <c r="DO156" s="645"/>
      <c r="DP156" s="645"/>
    </row>
    <row r="157" spans="1:120" s="33" customFormat="1" ht="15" customHeight="1">
      <c r="A157" s="316"/>
      <c r="B157" s="648" t="str">
        <f t="shared" si="110"/>
        <v>Boston</v>
      </c>
      <c r="C157" s="902" t="str">
        <f t="shared" si="95"/>
        <v>USA</v>
      </c>
      <c r="D157" s="902" t="str">
        <f t="shared" si="96"/>
        <v>North America</v>
      </c>
      <c r="E157" s="902" t="str">
        <f t="shared" si="97"/>
        <v xml:space="preserve">Administrative boundary of a local government </v>
      </c>
      <c r="F157" s="643">
        <f t="shared" si="98"/>
        <v>2013</v>
      </c>
      <c r="G157" s="644">
        <f t="shared" si="99"/>
        <v>2013</v>
      </c>
      <c r="H157" s="643">
        <f t="shared" si="100"/>
        <v>644710</v>
      </c>
      <c r="I157" s="643">
        <f t="shared" si="101"/>
        <v>125</v>
      </c>
      <c r="J157" s="1038">
        <f t="shared" si="102"/>
        <v>109829400000</v>
      </c>
      <c r="K157" s="643" t="s">
        <v>172</v>
      </c>
      <c r="L157" s="643" t="s">
        <v>1556</v>
      </c>
      <c r="M157" s="643" t="s">
        <v>1639</v>
      </c>
      <c r="N157" s="647">
        <f t="shared" si="103"/>
        <v>54.861101105985938</v>
      </c>
      <c r="O157" s="647">
        <f t="shared" si="104"/>
        <v>40.166194527525278</v>
      </c>
      <c r="P157" s="647">
        <f t="shared" si="104"/>
        <v>14.539019704722968</v>
      </c>
      <c r="Q157" s="647">
        <f t="shared" si="104"/>
        <v>0.15588687373769072</v>
      </c>
      <c r="S157" s="648" t="str">
        <f t="shared" si="105"/>
        <v>Boston</v>
      </c>
      <c r="T157" s="647">
        <f t="shared" si="106"/>
        <v>11.734666790819732</v>
      </c>
      <c r="U157" s="647">
        <f t="shared" si="106"/>
        <v>28.225879713771821</v>
      </c>
      <c r="V157" s="647" t="str">
        <f t="shared" si="106"/>
        <v/>
      </c>
      <c r="W157" s="647" t="str">
        <f t="shared" si="106"/>
        <v/>
      </c>
      <c r="X157" s="647" t="str">
        <f t="shared" si="106"/>
        <v/>
      </c>
      <c r="Y157" s="647" t="str">
        <f t="shared" si="106"/>
        <v/>
      </c>
      <c r="Z157" s="647" t="str">
        <f t="shared" si="106"/>
        <v/>
      </c>
      <c r="AA157" s="647">
        <f t="shared" si="106"/>
        <v>0.20564802293372447</v>
      </c>
      <c r="AB157" s="15"/>
      <c r="AC157" s="1041" t="str">
        <f t="shared" si="107"/>
        <v>Boston</v>
      </c>
      <c r="AD157" s="647">
        <f t="shared" si="108"/>
        <v>13.713288373038937</v>
      </c>
      <c r="AE157" s="647">
        <f t="shared" si="108"/>
        <v>0.64235190518956919</v>
      </c>
      <c r="AF157" s="647">
        <f t="shared" si="108"/>
        <v>3.5115699657832975E-3</v>
      </c>
      <c r="AG157" s="647" t="str">
        <f t="shared" si="108"/>
        <v/>
      </c>
      <c r="AH157" s="647">
        <f t="shared" si="108"/>
        <v>0.17986785652867759</v>
      </c>
      <c r="AI157" s="15"/>
      <c r="AJ157" s="648" t="str">
        <f t="shared" si="111"/>
        <v>Boston</v>
      </c>
      <c r="AK157" s="647" t="str">
        <f t="shared" si="109"/>
        <v/>
      </c>
      <c r="AL157" s="647" t="str">
        <f t="shared" si="109"/>
        <v/>
      </c>
      <c r="AM157" s="647" t="str">
        <f t="shared" si="109"/>
        <v/>
      </c>
      <c r="AN157" s="647">
        <f t="shared" si="109"/>
        <v>0.15588687373769072</v>
      </c>
      <c r="AO157" s="15"/>
      <c r="AP157" s="15"/>
      <c r="AQ157" s="15"/>
      <c r="AR157" s="15"/>
      <c r="AS157" s="15"/>
      <c r="AT157" s="15"/>
      <c r="AU157" s="15"/>
      <c r="AV157" s="15"/>
      <c r="AW157" s="15"/>
      <c r="AX157" s="15"/>
      <c r="AY157" s="15"/>
      <c r="AZ157" s="15"/>
      <c r="BA157" s="15"/>
      <c r="BB157" s="15"/>
      <c r="BC157" s="15"/>
      <c r="BD157" s="15"/>
      <c r="BE157" s="15"/>
      <c r="BF157" s="15"/>
      <c r="BG157" s="15"/>
      <c r="BH157" s="15"/>
      <c r="BI157" s="15"/>
      <c r="BJ157" s="15"/>
      <c r="BK157" s="15"/>
      <c r="BL157" s="15"/>
      <c r="BM157" s="15"/>
      <c r="BN157" s="15"/>
      <c r="BO157" s="15"/>
      <c r="BP157" s="15"/>
      <c r="BQ157" s="15"/>
      <c r="BR157" s="15"/>
      <c r="BS157" s="15"/>
      <c r="BT157" s="15"/>
      <c r="BU157" s="15"/>
      <c r="BV157" s="15"/>
      <c r="BW157" s="15"/>
      <c r="BX157" s="15"/>
      <c r="BY157" s="15"/>
      <c r="BZ157" s="15"/>
      <c r="CA157" s="15"/>
      <c r="CB157" s="15"/>
      <c r="CC157" s="15"/>
      <c r="CD157" s="15"/>
      <c r="CE157" s="15"/>
      <c r="CF157" s="15"/>
      <c r="CG157" s="15"/>
      <c r="CH157" s="15"/>
      <c r="CI157" s="15"/>
      <c r="CJ157" s="15"/>
      <c r="CK157" s="15"/>
      <c r="CL157" s="15"/>
      <c r="CM157" s="15"/>
      <c r="CN157" s="15"/>
      <c r="CO157" s="15"/>
      <c r="CP157" s="15"/>
      <c r="CQ157" s="15"/>
      <c r="CR157" s="15"/>
      <c r="CS157" s="15"/>
      <c r="CT157" s="15"/>
      <c r="CU157" s="645"/>
      <c r="CV157" s="645"/>
      <c r="CW157" s="645"/>
      <c r="CX157" s="645"/>
      <c r="CY157" s="645"/>
      <c r="CZ157" s="645"/>
      <c r="DA157" s="645"/>
      <c r="DB157" s="645"/>
      <c r="DC157" s="645"/>
      <c r="DD157" s="645"/>
      <c r="DE157" s="645"/>
      <c r="DF157" s="645"/>
      <c r="DG157" s="645"/>
      <c r="DH157" s="645"/>
      <c r="DI157" s="645"/>
      <c r="DJ157" s="645"/>
      <c r="DK157" s="645"/>
      <c r="DL157" s="645"/>
      <c r="DM157" s="645"/>
      <c r="DN157" s="645"/>
      <c r="DO157" s="645"/>
      <c r="DP157" s="645"/>
    </row>
    <row r="158" spans="1:120" s="33" customFormat="1" ht="15" customHeight="1">
      <c r="A158" s="316"/>
      <c r="B158" s="648" t="str">
        <f t="shared" si="110"/>
        <v xml:space="preserve">Buenos Aires </v>
      </c>
      <c r="C158" s="902" t="str">
        <f t="shared" si="95"/>
        <v>Argentina</v>
      </c>
      <c r="D158" s="902" t="str">
        <f t="shared" si="96"/>
        <v>Latin America</v>
      </c>
      <c r="E158" s="902" t="str">
        <f t="shared" si="97"/>
        <v xml:space="preserve">Administrative boundary of a local government </v>
      </c>
      <c r="F158" s="643">
        <f t="shared" si="98"/>
        <v>2013</v>
      </c>
      <c r="G158" s="644">
        <f t="shared" si="99"/>
        <v>2013</v>
      </c>
      <c r="H158" s="643">
        <f t="shared" si="100"/>
        <v>3079071</v>
      </c>
      <c r="I158" s="643">
        <f t="shared" si="101"/>
        <v>202.04</v>
      </c>
      <c r="J158" s="1038">
        <f t="shared" si="102"/>
        <v>79384000000</v>
      </c>
      <c r="K158" s="643" t="s">
        <v>172</v>
      </c>
      <c r="L158" s="643" t="s">
        <v>1556</v>
      </c>
      <c r="M158" s="643" t="s">
        <v>1639</v>
      </c>
      <c r="N158" s="647">
        <f t="shared" si="103"/>
        <v>170.45364735239164</v>
      </c>
      <c r="O158" s="647">
        <f t="shared" si="104"/>
        <v>96.472246324339366</v>
      </c>
      <c r="P158" s="647">
        <f t="shared" si="104"/>
        <v>51.538439899065949</v>
      </c>
      <c r="Q158" s="647">
        <f t="shared" si="104"/>
        <v>22.442961128986326</v>
      </c>
      <c r="S158" s="648" t="str">
        <f t="shared" si="105"/>
        <v xml:space="preserve">Buenos Aires </v>
      </c>
      <c r="T158" s="647">
        <f t="shared" si="106"/>
        <v>48.485895922337029</v>
      </c>
      <c r="U158" s="647">
        <f t="shared" si="106"/>
        <v>36.809120471905892</v>
      </c>
      <c r="V158" s="647">
        <f t="shared" si="106"/>
        <v>9.3229815846102699</v>
      </c>
      <c r="W158" s="647" t="str">
        <f t="shared" si="106"/>
        <v/>
      </c>
      <c r="X158" s="647" t="str">
        <f t="shared" si="106"/>
        <v/>
      </c>
      <c r="Y158" s="647" t="str">
        <f t="shared" si="106"/>
        <v/>
      </c>
      <c r="Z158" s="647" t="str">
        <f t="shared" si="106"/>
        <v/>
      </c>
      <c r="AA158" s="647">
        <f t="shared" si="106"/>
        <v>1.8542483454861722</v>
      </c>
      <c r="AB158" s="15"/>
      <c r="AC158" s="1041" t="str">
        <f t="shared" si="107"/>
        <v xml:space="preserve">Buenos Aires </v>
      </c>
      <c r="AD158" s="647">
        <f t="shared" si="108"/>
        <v>50.323652862078184</v>
      </c>
      <c r="AE158" s="647">
        <f t="shared" si="108"/>
        <v>1.2147870369877685</v>
      </c>
      <c r="AF158" s="647" t="str">
        <f t="shared" si="108"/>
        <v/>
      </c>
      <c r="AG158" s="647" t="str">
        <f t="shared" si="108"/>
        <v/>
      </c>
      <c r="AH158" s="647" t="str">
        <f t="shared" si="108"/>
        <v/>
      </c>
      <c r="AI158" s="15"/>
      <c r="AJ158" s="648" t="str">
        <f t="shared" si="111"/>
        <v xml:space="preserve">Buenos Aires </v>
      </c>
      <c r="AK158" s="647">
        <f t="shared" si="109"/>
        <v>20.631033961503576</v>
      </c>
      <c r="AL158" s="647">
        <f t="shared" si="109"/>
        <v>6.6280988612314837E-2</v>
      </c>
      <c r="AM158" s="647" t="str">
        <f t="shared" si="109"/>
        <v/>
      </c>
      <c r="AN158" s="647">
        <f t="shared" si="109"/>
        <v>1.7456461788704345</v>
      </c>
      <c r="AO158" s="15"/>
      <c r="AP158" s="15"/>
      <c r="AQ158" s="15"/>
      <c r="AR158" s="15"/>
      <c r="AS158" s="15"/>
      <c r="AT158" s="15"/>
      <c r="AU158" s="15"/>
      <c r="AV158" s="15"/>
      <c r="AW158" s="15"/>
      <c r="AX158" s="15"/>
      <c r="AY158" s="15"/>
      <c r="AZ158" s="15"/>
      <c r="BA158" s="15"/>
      <c r="BB158" s="15"/>
      <c r="BC158" s="15"/>
      <c r="BD158" s="15"/>
      <c r="BE158" s="15"/>
      <c r="BF158" s="15"/>
      <c r="BG158" s="15"/>
      <c r="BH158" s="15"/>
      <c r="BI158" s="15"/>
      <c r="BJ158" s="15"/>
      <c r="BK158" s="15"/>
      <c r="BL158" s="15"/>
      <c r="BM158" s="15"/>
      <c r="BN158" s="15"/>
      <c r="BO158" s="15"/>
      <c r="BP158" s="15"/>
      <c r="BQ158" s="15"/>
      <c r="BR158" s="15"/>
      <c r="BS158" s="15"/>
      <c r="BT158" s="15"/>
      <c r="BU158" s="15"/>
      <c r="BV158" s="15"/>
      <c r="BW158" s="15"/>
      <c r="BX158" s="15"/>
      <c r="BY158" s="15"/>
      <c r="BZ158" s="15"/>
      <c r="CA158" s="15"/>
      <c r="CB158" s="15"/>
      <c r="CC158" s="15"/>
      <c r="CD158" s="15"/>
      <c r="CE158" s="15"/>
      <c r="CF158" s="15"/>
      <c r="CG158" s="15"/>
      <c r="CH158" s="15"/>
      <c r="CI158" s="15"/>
      <c r="CJ158" s="15"/>
      <c r="CK158" s="15"/>
      <c r="CL158" s="15"/>
      <c r="CM158" s="15"/>
      <c r="CN158" s="15"/>
      <c r="CO158" s="15"/>
      <c r="CP158" s="15"/>
      <c r="CQ158" s="15"/>
      <c r="CR158" s="15"/>
      <c r="CS158" s="15"/>
      <c r="CT158" s="15"/>
      <c r="CU158" s="645"/>
      <c r="CV158" s="645"/>
      <c r="CW158" s="645"/>
      <c r="CX158" s="645"/>
      <c r="CY158" s="645"/>
      <c r="CZ158" s="645"/>
      <c r="DA158" s="645"/>
      <c r="DB158" s="645"/>
      <c r="DC158" s="645"/>
      <c r="DD158" s="645"/>
      <c r="DE158" s="645"/>
      <c r="DF158" s="645"/>
      <c r="DG158" s="645"/>
      <c r="DH158" s="645"/>
      <c r="DI158" s="645"/>
      <c r="DJ158" s="645"/>
      <c r="DK158" s="645"/>
      <c r="DL158" s="645"/>
      <c r="DM158" s="645"/>
      <c r="DN158" s="645"/>
      <c r="DO158" s="645"/>
      <c r="DP158" s="645"/>
    </row>
    <row r="159" spans="1:120" s="33" customFormat="1" ht="15" customHeight="1">
      <c r="A159" s="316"/>
      <c r="B159" s="648" t="str">
        <f t="shared" si="110"/>
        <v>Cape Town</v>
      </c>
      <c r="C159" s="902" t="str">
        <f t="shared" si="95"/>
        <v>South Africa</v>
      </c>
      <c r="D159" s="902" t="str">
        <f t="shared" si="96"/>
        <v>Africa</v>
      </c>
      <c r="E159" s="902" t="str">
        <f t="shared" si="97"/>
        <v xml:space="preserve">Administrative boundary of a local government </v>
      </c>
      <c r="F159" s="643">
        <f t="shared" si="98"/>
        <v>2012</v>
      </c>
      <c r="G159" s="644">
        <f t="shared" si="99"/>
        <v>2012</v>
      </c>
      <c r="H159" s="643">
        <f t="shared" si="100"/>
        <v>3837414</v>
      </c>
      <c r="I159" s="643">
        <f t="shared" si="101"/>
        <v>2455</v>
      </c>
      <c r="J159" s="1038">
        <f t="shared" si="102"/>
        <v>17454000000</v>
      </c>
      <c r="K159" s="643" t="s">
        <v>172</v>
      </c>
      <c r="L159" s="643" t="s">
        <v>1556</v>
      </c>
      <c r="M159" s="643" t="s">
        <v>1639</v>
      </c>
      <c r="N159" s="647">
        <f t="shared" si="103"/>
        <v>1255.5724616094305</v>
      </c>
      <c r="O159" s="647">
        <f t="shared" si="104"/>
        <v>781.79305843067493</v>
      </c>
      <c r="P159" s="647">
        <f t="shared" si="104"/>
        <v>334.90624083201567</v>
      </c>
      <c r="Q159" s="647">
        <f t="shared" si="104"/>
        <v>138.87316234673997</v>
      </c>
      <c r="S159" s="648" t="str">
        <f t="shared" si="105"/>
        <v>Cape Town</v>
      </c>
      <c r="T159" s="647">
        <f t="shared" si="106"/>
        <v>262.05429059132581</v>
      </c>
      <c r="U159" s="647">
        <f t="shared" si="106"/>
        <v>327.85034292792488</v>
      </c>
      <c r="V159" s="647">
        <f t="shared" si="106"/>
        <v>120.15781999495817</v>
      </c>
      <c r="W159" s="647" t="str">
        <f t="shared" si="106"/>
        <v/>
      </c>
      <c r="X159" s="647">
        <f t="shared" si="106"/>
        <v>11.984616251976624</v>
      </c>
      <c r="Y159" s="647">
        <f t="shared" si="106"/>
        <v>59.745988664489516</v>
      </c>
      <c r="Z159" s="647" t="str">
        <f t="shared" si="106"/>
        <v/>
      </c>
      <c r="AA159" s="647" t="str">
        <f t="shared" si="106"/>
        <v/>
      </c>
      <c r="AB159" s="15"/>
      <c r="AC159" s="1041" t="str">
        <f t="shared" si="107"/>
        <v>Cape Town</v>
      </c>
      <c r="AD159" s="647">
        <f t="shared" si="108"/>
        <v>329.05358680657736</v>
      </c>
      <c r="AE159" s="647">
        <f t="shared" si="108"/>
        <v>5.8526540254382953</v>
      </c>
      <c r="AF159" s="647" t="str">
        <f t="shared" si="108"/>
        <v/>
      </c>
      <c r="AG159" s="647" t="str">
        <f t="shared" si="108"/>
        <v/>
      </c>
      <c r="AH159" s="647" t="str">
        <f t="shared" si="108"/>
        <v/>
      </c>
      <c r="AI159" s="15"/>
      <c r="AJ159" s="648" t="str">
        <f t="shared" si="111"/>
        <v>Cape Town</v>
      </c>
      <c r="AK159" s="647">
        <f t="shared" si="109"/>
        <v>130.98402518620372</v>
      </c>
      <c r="AL159" s="647" t="str">
        <f t="shared" si="109"/>
        <v/>
      </c>
      <c r="AM159" s="647" t="str">
        <f t="shared" si="109"/>
        <v/>
      </c>
      <c r="AN159" s="647">
        <f t="shared" si="109"/>
        <v>7.8891371605362668</v>
      </c>
      <c r="AO159" s="15"/>
      <c r="AP159" s="15"/>
      <c r="AQ159" s="15"/>
      <c r="AR159" s="15"/>
      <c r="AS159" s="15"/>
      <c r="AT159" s="15"/>
      <c r="AU159" s="15"/>
      <c r="AV159" s="15"/>
      <c r="AW159" s="15"/>
      <c r="AX159" s="15"/>
      <c r="AY159" s="15"/>
      <c r="AZ159" s="15"/>
      <c r="BA159" s="15"/>
      <c r="BB159" s="15"/>
      <c r="BC159" s="15"/>
      <c r="BD159" s="15"/>
      <c r="BE159" s="15"/>
      <c r="BF159" s="15"/>
      <c r="BG159" s="15"/>
      <c r="BH159" s="15"/>
      <c r="BI159" s="15"/>
      <c r="BJ159" s="15"/>
      <c r="BK159" s="15"/>
      <c r="BL159" s="15"/>
      <c r="BM159" s="15"/>
      <c r="BN159" s="15"/>
      <c r="BO159" s="15"/>
      <c r="BP159" s="15"/>
      <c r="BQ159" s="15"/>
      <c r="BR159" s="15"/>
      <c r="BS159" s="15"/>
      <c r="BT159" s="15"/>
      <c r="BU159" s="15"/>
      <c r="BV159" s="15"/>
      <c r="BW159" s="15"/>
      <c r="BX159" s="15"/>
      <c r="BY159" s="15"/>
      <c r="BZ159" s="15"/>
      <c r="CA159" s="15"/>
      <c r="CB159" s="15"/>
      <c r="CC159" s="15"/>
      <c r="CD159" s="15"/>
      <c r="CE159" s="15"/>
      <c r="CF159" s="15"/>
      <c r="CG159" s="15"/>
      <c r="CH159" s="15"/>
      <c r="CI159" s="15"/>
      <c r="CJ159" s="15"/>
      <c r="CK159" s="15"/>
      <c r="CL159" s="15"/>
      <c r="CM159" s="15"/>
      <c r="CN159" s="15"/>
      <c r="CO159" s="15"/>
      <c r="CP159" s="15"/>
      <c r="CQ159" s="15"/>
      <c r="CR159" s="15"/>
      <c r="CS159" s="15"/>
      <c r="CT159" s="15"/>
      <c r="CU159" s="645"/>
      <c r="CV159" s="645"/>
      <c r="CW159" s="645"/>
      <c r="CX159" s="645"/>
      <c r="CY159" s="645"/>
      <c r="CZ159" s="645"/>
      <c r="DA159" s="645"/>
      <c r="DB159" s="645"/>
      <c r="DC159" s="645"/>
      <c r="DD159" s="645"/>
      <c r="DE159" s="645"/>
      <c r="DF159" s="645"/>
      <c r="DG159" s="645"/>
      <c r="DH159" s="645"/>
      <c r="DI159" s="645"/>
      <c r="DJ159" s="645"/>
      <c r="DK159" s="645"/>
      <c r="DL159" s="645"/>
      <c r="DM159" s="645"/>
      <c r="DN159" s="645"/>
      <c r="DO159" s="645"/>
      <c r="DP159" s="645"/>
    </row>
    <row r="160" spans="1:120" s="33" customFormat="1" ht="15" customHeight="1">
      <c r="A160" s="316"/>
      <c r="B160" s="648" t="str">
        <f t="shared" si="110"/>
        <v>Chicago</v>
      </c>
      <c r="C160" s="902" t="str">
        <f t="shared" si="95"/>
        <v>USA</v>
      </c>
      <c r="D160" s="902" t="str">
        <f t="shared" si="96"/>
        <v>Europe</v>
      </c>
      <c r="E160" s="902" t="str">
        <f t="shared" si="97"/>
        <v xml:space="preserve">Administrative boundary of a local government </v>
      </c>
      <c r="F160" s="643">
        <f t="shared" si="98"/>
        <v>2010</v>
      </c>
      <c r="G160" s="644">
        <f t="shared" si="99"/>
        <v>2010</v>
      </c>
      <c r="H160" s="643">
        <f t="shared" si="100"/>
        <v>27000000</v>
      </c>
      <c r="I160" s="643">
        <f t="shared" si="101"/>
        <v>606</v>
      </c>
      <c r="J160" s="1038">
        <f t="shared" si="102"/>
        <v>496400000000</v>
      </c>
      <c r="K160" s="643" t="s">
        <v>172</v>
      </c>
      <c r="L160" s="643" t="s">
        <v>1556</v>
      </c>
      <c r="M160" s="643" t="s">
        <v>1639</v>
      </c>
      <c r="N160" s="647">
        <f t="shared" si="103"/>
        <v>67.079569172517083</v>
      </c>
      <c r="O160" s="647">
        <f t="shared" si="104"/>
        <v>50.107177403904956</v>
      </c>
      <c r="P160" s="647">
        <f t="shared" si="104"/>
        <v>14.299823818449694</v>
      </c>
      <c r="Q160" s="647">
        <f t="shared" si="104"/>
        <v>2.6725679501624264</v>
      </c>
      <c r="S160" s="648" t="str">
        <f t="shared" si="105"/>
        <v>Chicago</v>
      </c>
      <c r="T160" s="647">
        <f t="shared" si="106"/>
        <v>19.697706713924653</v>
      </c>
      <c r="U160" s="647">
        <f t="shared" si="106"/>
        <v>27.687994925034129</v>
      </c>
      <c r="V160" s="647">
        <f t="shared" si="106"/>
        <v>2.7214757649461778</v>
      </c>
      <c r="W160" s="647" t="str">
        <f t="shared" si="106"/>
        <v/>
      </c>
      <c r="X160" s="647" t="str">
        <f t="shared" si="106"/>
        <v/>
      </c>
      <c r="Y160" s="647" t="str">
        <f t="shared" si="106"/>
        <v/>
      </c>
      <c r="Z160" s="647" t="str">
        <f t="shared" si="106"/>
        <v/>
      </c>
      <c r="AA160" s="647" t="str">
        <f t="shared" si="106"/>
        <v/>
      </c>
      <c r="AB160" s="15"/>
      <c r="AC160" s="1041" t="str">
        <f t="shared" si="107"/>
        <v>Chicago</v>
      </c>
      <c r="AD160" s="647">
        <f t="shared" si="108"/>
        <v>13.664446439040866</v>
      </c>
      <c r="AE160" s="647">
        <f t="shared" si="108"/>
        <v>0.63284205088763668</v>
      </c>
      <c r="AF160" s="647">
        <f t="shared" si="108"/>
        <v>4.9730946412028748E-4</v>
      </c>
      <c r="AG160" s="647" t="str">
        <f t="shared" si="108"/>
        <v/>
      </c>
      <c r="AH160" s="647">
        <f t="shared" si="108"/>
        <v>2.0380190570710079E-3</v>
      </c>
      <c r="AI160" s="15"/>
      <c r="AJ160" s="648" t="str">
        <f t="shared" si="111"/>
        <v>Chicago</v>
      </c>
      <c r="AK160" s="647">
        <f t="shared" si="109"/>
        <v>2.6016298104194613</v>
      </c>
      <c r="AL160" s="647" t="str">
        <f t="shared" si="109"/>
        <v/>
      </c>
      <c r="AM160" s="647" t="str">
        <f t="shared" si="109"/>
        <v/>
      </c>
      <c r="AN160" s="647">
        <f t="shared" si="109"/>
        <v>7.0938139742964867E-2</v>
      </c>
      <c r="AO160" s="15"/>
      <c r="AP160" s="15"/>
      <c r="AQ160" s="15"/>
      <c r="AR160" s="15"/>
      <c r="AS160" s="15"/>
      <c r="AT160" s="15"/>
      <c r="AU160" s="15"/>
      <c r="AV160" s="15"/>
      <c r="AW160" s="15"/>
      <c r="AX160" s="15"/>
      <c r="AY160" s="15"/>
      <c r="AZ160" s="15"/>
      <c r="BA160" s="15"/>
      <c r="BB160" s="15"/>
      <c r="BC160" s="15"/>
      <c r="BD160" s="15"/>
      <c r="BE160" s="15"/>
      <c r="BF160" s="15"/>
      <c r="BG160" s="15"/>
      <c r="BH160" s="15"/>
      <c r="BI160" s="15"/>
      <c r="BJ160" s="15"/>
      <c r="BK160" s="15"/>
      <c r="BL160" s="15"/>
      <c r="BM160" s="15"/>
      <c r="BN160" s="15"/>
      <c r="BO160" s="15"/>
      <c r="BP160" s="15"/>
      <c r="BQ160" s="15"/>
      <c r="BR160" s="15"/>
      <c r="BS160" s="15"/>
      <c r="BT160" s="15"/>
      <c r="BU160" s="15"/>
      <c r="BV160" s="15"/>
      <c r="BW160" s="15"/>
      <c r="BX160" s="15"/>
      <c r="BY160" s="15"/>
      <c r="BZ160" s="15"/>
      <c r="CA160" s="15"/>
      <c r="CB160" s="15"/>
      <c r="CC160" s="15"/>
      <c r="CD160" s="15"/>
      <c r="CE160" s="15"/>
      <c r="CF160" s="15"/>
      <c r="CG160" s="15"/>
      <c r="CH160" s="15"/>
      <c r="CI160" s="15"/>
      <c r="CJ160" s="15"/>
      <c r="CK160" s="15"/>
      <c r="CL160" s="15"/>
      <c r="CM160" s="15"/>
      <c r="CN160" s="15"/>
      <c r="CO160" s="15"/>
      <c r="CP160" s="15"/>
      <c r="CQ160" s="15"/>
      <c r="CR160" s="15"/>
      <c r="CS160" s="15"/>
      <c r="CT160" s="15"/>
      <c r="CU160" s="645"/>
      <c r="CV160" s="645"/>
      <c r="CW160" s="645"/>
      <c r="CX160" s="645"/>
      <c r="CY160" s="645"/>
      <c r="CZ160" s="645"/>
      <c r="DA160" s="645"/>
      <c r="DB160" s="645"/>
      <c r="DC160" s="645"/>
      <c r="DD160" s="645"/>
      <c r="DE160" s="645"/>
      <c r="DF160" s="645"/>
      <c r="DG160" s="645"/>
      <c r="DH160" s="645"/>
      <c r="DI160" s="645"/>
      <c r="DJ160" s="645"/>
      <c r="DK160" s="645"/>
      <c r="DL160" s="645"/>
      <c r="DM160" s="645"/>
      <c r="DN160" s="645"/>
      <c r="DO160" s="645"/>
      <c r="DP160" s="645"/>
    </row>
    <row r="161" spans="1:120" s="33" customFormat="1" ht="15" customHeight="1">
      <c r="A161" s="316"/>
      <c r="B161" s="648" t="str">
        <f t="shared" si="110"/>
        <v>Copenhagen</v>
      </c>
      <c r="C161" s="902" t="str">
        <f t="shared" si="95"/>
        <v>Denmark</v>
      </c>
      <c r="D161" s="902" t="str">
        <f t="shared" si="96"/>
        <v>Europe</v>
      </c>
      <c r="E161" s="902" t="str">
        <f t="shared" si="97"/>
        <v xml:space="preserve">Administrative boundary of a local government </v>
      </c>
      <c r="F161" s="643">
        <f t="shared" si="98"/>
        <v>2014</v>
      </c>
      <c r="G161" s="644">
        <f t="shared" si="99"/>
        <v>2014</v>
      </c>
      <c r="H161" s="643">
        <f t="shared" si="100"/>
        <v>580184</v>
      </c>
      <c r="I161" s="643">
        <f t="shared" si="101"/>
        <v>86.22</v>
      </c>
      <c r="J161" s="1038">
        <f t="shared" si="102"/>
        <v>51910270000</v>
      </c>
      <c r="K161" s="643" t="s">
        <v>172</v>
      </c>
      <c r="L161" s="643" t="s">
        <v>1556</v>
      </c>
      <c r="M161" s="643" t="s">
        <v>1639</v>
      </c>
      <c r="N161" s="647">
        <f t="shared" si="103"/>
        <v>33.274446648392164</v>
      </c>
      <c r="O161" s="647">
        <f t="shared" si="104"/>
        <v>21.763944843581406</v>
      </c>
      <c r="P161" s="647">
        <f t="shared" si="104"/>
        <v>11.176502386198603</v>
      </c>
      <c r="Q161" s="647">
        <f t="shared" si="104"/>
        <v>0.33399941861215521</v>
      </c>
      <c r="S161" s="648" t="str">
        <f t="shared" si="105"/>
        <v>Copenhagen</v>
      </c>
      <c r="T161" s="647">
        <f t="shared" si="106"/>
        <v>8.5031129887053147</v>
      </c>
      <c r="U161" s="647">
        <f t="shared" si="106"/>
        <v>11.29896169297735</v>
      </c>
      <c r="V161" s="647">
        <f t="shared" si="106"/>
        <v>1.9606347651267644</v>
      </c>
      <c r="W161" s="647" t="str">
        <f t="shared" si="106"/>
        <v/>
      </c>
      <c r="X161" s="647">
        <f t="shared" si="106"/>
        <v>1.2353967719757964E-3</v>
      </c>
      <c r="Y161" s="647" t="str">
        <f t="shared" si="106"/>
        <v/>
      </c>
      <c r="Z161" s="647" t="str">
        <f t="shared" si="106"/>
        <v/>
      </c>
      <c r="AA161" s="647" t="str">
        <f t="shared" si="106"/>
        <v/>
      </c>
      <c r="AB161" s="15"/>
      <c r="AC161" s="1041" t="str">
        <f t="shared" si="107"/>
        <v>Copenhagen</v>
      </c>
      <c r="AD161" s="647">
        <f t="shared" si="108"/>
        <v>6.7275816402470445</v>
      </c>
      <c r="AE161" s="647">
        <f t="shared" si="108"/>
        <v>0.54853648672886346</v>
      </c>
      <c r="AF161" s="647">
        <f t="shared" si="108"/>
        <v>2.6969615068463333</v>
      </c>
      <c r="AG161" s="647" t="str">
        <f t="shared" si="108"/>
        <v/>
      </c>
      <c r="AH161" s="647">
        <f t="shared" si="108"/>
        <v>1.2034227523763603</v>
      </c>
      <c r="AI161" s="15"/>
      <c r="AJ161" s="648" t="str">
        <f t="shared" si="111"/>
        <v>Copenhagen</v>
      </c>
      <c r="AK161" s="647">
        <f t="shared" si="109"/>
        <v>1.4448008072391071E-2</v>
      </c>
      <c r="AL161" s="647" t="str">
        <f t="shared" si="109"/>
        <v/>
      </c>
      <c r="AM161" s="647" t="str">
        <f t="shared" si="109"/>
        <v/>
      </c>
      <c r="AN161" s="647">
        <f t="shared" si="109"/>
        <v>0.3195514105397641</v>
      </c>
      <c r="AO161" s="15"/>
      <c r="AP161" s="15"/>
      <c r="AQ161" s="15"/>
      <c r="AR161" s="15"/>
      <c r="AS161" s="15"/>
      <c r="AT161" s="15"/>
      <c r="AU161" s="15"/>
      <c r="AV161" s="15"/>
      <c r="AW161" s="15"/>
      <c r="AX161" s="15"/>
      <c r="AY161" s="15"/>
      <c r="AZ161" s="15"/>
      <c r="BA161" s="15"/>
      <c r="BB161" s="15"/>
      <c r="BC161" s="15"/>
      <c r="BD161" s="15"/>
      <c r="BE161" s="15"/>
      <c r="BF161" s="15"/>
      <c r="BG161" s="15"/>
      <c r="BH161" s="15"/>
      <c r="BI161" s="15"/>
      <c r="BJ161" s="15"/>
      <c r="BK161" s="15"/>
      <c r="BL161" s="15"/>
      <c r="BM161" s="15"/>
      <c r="BN161" s="15"/>
      <c r="BO161" s="15"/>
      <c r="BP161" s="15"/>
      <c r="BQ161" s="15"/>
      <c r="BR161" s="15"/>
      <c r="BS161" s="15"/>
      <c r="BT161" s="15"/>
      <c r="BU161" s="15"/>
      <c r="BV161" s="15"/>
      <c r="BW161" s="15"/>
      <c r="BX161" s="15"/>
      <c r="BY161" s="15"/>
      <c r="BZ161" s="15"/>
      <c r="CA161" s="15"/>
      <c r="CB161" s="15"/>
      <c r="CC161" s="15"/>
      <c r="CD161" s="15"/>
      <c r="CE161" s="15"/>
      <c r="CF161" s="15"/>
      <c r="CG161" s="15"/>
      <c r="CH161" s="15"/>
      <c r="CI161" s="15"/>
      <c r="CJ161" s="15"/>
      <c r="CK161" s="15"/>
      <c r="CL161" s="15"/>
      <c r="CM161" s="15"/>
      <c r="CN161" s="15"/>
      <c r="CO161" s="15"/>
      <c r="CP161" s="15"/>
      <c r="CQ161" s="15"/>
      <c r="CR161" s="15"/>
      <c r="CS161" s="15"/>
      <c r="CT161" s="15"/>
      <c r="CU161" s="645"/>
      <c r="CV161" s="645"/>
      <c r="CW161" s="645"/>
      <c r="CX161" s="645"/>
      <c r="CY161" s="645"/>
      <c r="CZ161" s="645"/>
      <c r="DA161" s="645"/>
      <c r="DB161" s="645"/>
      <c r="DC161" s="645"/>
      <c r="DD161" s="645"/>
      <c r="DE161" s="645"/>
      <c r="DF161" s="645"/>
      <c r="DG161" s="645"/>
      <c r="DH161" s="645"/>
      <c r="DI161" s="645"/>
      <c r="DJ161" s="645"/>
      <c r="DK161" s="645"/>
      <c r="DL161" s="645"/>
      <c r="DM161" s="645"/>
      <c r="DN161" s="645"/>
      <c r="DO161" s="645"/>
      <c r="DP161" s="645"/>
    </row>
    <row r="162" spans="1:120" s="33" customFormat="1" ht="15" customHeight="1">
      <c r="A162" s="316"/>
      <c r="B162" s="648" t="str">
        <f t="shared" si="110"/>
        <v>District of Columbia</v>
      </c>
      <c r="C162" s="902" t="str">
        <f t="shared" si="95"/>
        <v>United States</v>
      </c>
      <c r="D162" s="902" t="str">
        <f t="shared" si="96"/>
        <v>Europe</v>
      </c>
      <c r="E162" s="902" t="str">
        <f t="shared" si="97"/>
        <v xml:space="preserve">Administrative boundary of a local government </v>
      </c>
      <c r="F162" s="643">
        <f t="shared" si="98"/>
        <v>2013</v>
      </c>
      <c r="G162" s="644">
        <f t="shared" si="99"/>
        <v>2013</v>
      </c>
      <c r="H162" s="643">
        <f t="shared" si="100"/>
        <v>649111</v>
      </c>
      <c r="I162" s="643">
        <f t="shared" si="101"/>
        <v>158</v>
      </c>
      <c r="J162" s="1038">
        <f t="shared" si="102"/>
        <v>113362000000</v>
      </c>
      <c r="K162" s="643" t="s">
        <v>172</v>
      </c>
      <c r="L162" s="643" t="s">
        <v>1556</v>
      </c>
      <c r="M162" s="643" t="s">
        <v>1639</v>
      </c>
      <c r="N162" s="647">
        <f t="shared" si="103"/>
        <v>72.890971243825092</v>
      </c>
      <c r="O162" s="647">
        <f t="shared" si="104"/>
        <v>57.085995402504942</v>
      </c>
      <c r="P162" s="647">
        <f t="shared" si="104"/>
        <v>14.151942437745474</v>
      </c>
      <c r="Q162" s="647">
        <f t="shared" si="104"/>
        <v>1.6530334035746874</v>
      </c>
      <c r="S162" s="648" t="str">
        <f t="shared" si="105"/>
        <v>District of Columbia</v>
      </c>
      <c r="T162" s="647">
        <f t="shared" si="106"/>
        <v>12.661486645898846</v>
      </c>
      <c r="U162" s="647">
        <f t="shared" si="106"/>
        <v>44.231348358507447</v>
      </c>
      <c r="V162" s="647" t="str">
        <f t="shared" si="106"/>
        <v/>
      </c>
      <c r="W162" s="647" t="str">
        <f t="shared" si="106"/>
        <v/>
      </c>
      <c r="X162" s="647" t="str">
        <f t="shared" si="106"/>
        <v/>
      </c>
      <c r="Y162" s="647" t="str">
        <f t="shared" si="106"/>
        <v/>
      </c>
      <c r="Z162" s="647" t="str">
        <f t="shared" si="106"/>
        <v/>
      </c>
      <c r="AA162" s="647">
        <f t="shared" si="106"/>
        <v>0.19316039809865376</v>
      </c>
      <c r="AB162" s="15"/>
      <c r="AC162" s="1041" t="str">
        <f t="shared" si="107"/>
        <v>District of Columbia</v>
      </c>
      <c r="AD162" s="647">
        <f t="shared" si="108"/>
        <v>13.037859849244017</v>
      </c>
      <c r="AE162" s="647">
        <f t="shared" si="108"/>
        <v>1.1140825885014582</v>
      </c>
      <c r="AF162" s="647" t="str">
        <f t="shared" si="108"/>
        <v/>
      </c>
      <c r="AG162" s="647" t="str">
        <f t="shared" si="108"/>
        <v/>
      </c>
      <c r="AH162" s="647" t="str">
        <f t="shared" si="108"/>
        <v/>
      </c>
      <c r="AI162" s="15"/>
      <c r="AJ162" s="648" t="str">
        <f t="shared" si="111"/>
        <v>District of Columbia</v>
      </c>
      <c r="AK162" s="647">
        <f t="shared" si="109"/>
        <v>1.6000511635292249</v>
      </c>
      <c r="AL162" s="647" t="str">
        <f t="shared" si="109"/>
        <v/>
      </c>
      <c r="AM162" s="647" t="str">
        <f t="shared" si="109"/>
        <v/>
      </c>
      <c r="AN162" s="647">
        <f t="shared" si="109"/>
        <v>5.2982240045462432E-2</v>
      </c>
      <c r="AO162" s="15"/>
      <c r="AP162" s="15"/>
      <c r="AQ162" s="15"/>
      <c r="AR162" s="15"/>
      <c r="AS162" s="15"/>
      <c r="AT162" s="15"/>
      <c r="AU162" s="15"/>
      <c r="AV162" s="15"/>
      <c r="AW162" s="15"/>
      <c r="AX162" s="15"/>
      <c r="AY162" s="15"/>
      <c r="AZ162" s="15"/>
      <c r="BA162" s="15"/>
      <c r="BB162" s="15"/>
      <c r="BC162" s="15"/>
      <c r="BD162" s="15"/>
      <c r="BE162" s="15"/>
      <c r="BF162" s="15"/>
      <c r="BG162" s="15"/>
      <c r="BH162" s="15"/>
      <c r="BI162" s="15"/>
      <c r="BJ162" s="15"/>
      <c r="BK162" s="15"/>
      <c r="BL162" s="15"/>
      <c r="BM162" s="15"/>
      <c r="BN162" s="15"/>
      <c r="BO162" s="15"/>
      <c r="BP162" s="15"/>
      <c r="BQ162" s="15"/>
      <c r="BR162" s="15"/>
      <c r="BS162" s="15"/>
      <c r="BT162" s="15"/>
      <c r="BU162" s="15"/>
      <c r="BV162" s="15"/>
      <c r="BW162" s="15"/>
      <c r="BX162" s="15"/>
      <c r="BY162" s="15"/>
      <c r="BZ162" s="15"/>
      <c r="CA162" s="15"/>
      <c r="CB162" s="15"/>
      <c r="CC162" s="15"/>
      <c r="CD162" s="15"/>
      <c r="CE162" s="15"/>
      <c r="CF162" s="15"/>
      <c r="CG162" s="15"/>
      <c r="CH162" s="15"/>
      <c r="CI162" s="15"/>
      <c r="CJ162" s="15"/>
      <c r="CK162" s="15"/>
      <c r="CL162" s="15"/>
      <c r="CM162" s="15"/>
      <c r="CN162" s="15"/>
      <c r="CO162" s="15"/>
      <c r="CP162" s="15"/>
      <c r="CQ162" s="15"/>
      <c r="CR162" s="15"/>
      <c r="CS162" s="15"/>
      <c r="CT162" s="15"/>
      <c r="CU162" s="645"/>
      <c r="CV162" s="645"/>
      <c r="CW162" s="645"/>
      <c r="CX162" s="645"/>
      <c r="CY162" s="645"/>
      <c r="CZ162" s="645"/>
      <c r="DA162" s="645"/>
      <c r="DB162" s="645"/>
      <c r="DC162" s="645"/>
      <c r="DD162" s="645"/>
      <c r="DE162" s="645"/>
      <c r="DF162" s="645"/>
      <c r="DG162" s="645"/>
      <c r="DH162" s="645"/>
      <c r="DI162" s="645"/>
      <c r="DJ162" s="645"/>
      <c r="DK162" s="645"/>
      <c r="DL162" s="645"/>
      <c r="DM162" s="645"/>
      <c r="DN162" s="645"/>
      <c r="DO162" s="645"/>
      <c r="DP162" s="645"/>
    </row>
    <row r="163" spans="1:120" s="33" customFormat="1" ht="15" customHeight="1">
      <c r="A163" s="316"/>
      <c r="B163" s="648" t="str">
        <f t="shared" si="110"/>
        <v>Johannesburg</v>
      </c>
      <c r="C163" s="902" t="str">
        <f t="shared" si="95"/>
        <v>South Africa</v>
      </c>
      <c r="D163" s="902" t="str">
        <f t="shared" si="96"/>
        <v>Africa</v>
      </c>
      <c r="E163" s="902" t="str">
        <f t="shared" si="97"/>
        <v xml:space="preserve">Administrative boundary of a local government </v>
      </c>
      <c r="F163" s="643">
        <f t="shared" si="98"/>
        <v>2014</v>
      </c>
      <c r="G163" s="644">
        <f t="shared" si="99"/>
        <v>2014</v>
      </c>
      <c r="H163" s="643">
        <f t="shared" si="100"/>
        <v>4765329</v>
      </c>
      <c r="I163" s="643">
        <f t="shared" si="101"/>
        <v>1648</v>
      </c>
      <c r="J163" s="1038">
        <f t="shared" si="102"/>
        <v>35684773914.663498</v>
      </c>
      <c r="K163" s="643" t="s">
        <v>172</v>
      </c>
      <c r="L163" s="643" t="s">
        <v>1556</v>
      </c>
      <c r="M163" s="643" t="s">
        <v>1639</v>
      </c>
      <c r="N163" s="647">
        <f t="shared" si="103"/>
        <v>692.64030991526727</v>
      </c>
      <c r="O163" s="647">
        <f t="shared" si="104"/>
        <v>442.00851234860318</v>
      </c>
      <c r="P163" s="647">
        <f t="shared" si="104"/>
        <v>201.9150545767292</v>
      </c>
      <c r="Q163" s="647">
        <f t="shared" si="104"/>
        <v>48.716742989934914</v>
      </c>
      <c r="S163" s="648" t="str">
        <f t="shared" si="105"/>
        <v>Johannesburg</v>
      </c>
      <c r="T163" s="647">
        <f t="shared" ref="T163:AA172" si="112">IF(ISERROR(T61/($J61/1000000)),"",T61/($J61/1000000))</f>
        <v>201.08306922945104</v>
      </c>
      <c r="U163" s="647">
        <f t="shared" si="112"/>
        <v>233.94859417533422</v>
      </c>
      <c r="V163" s="647">
        <f t="shared" si="112"/>
        <v>6.8865415829753429</v>
      </c>
      <c r="W163" s="647" t="str">
        <f t="shared" si="112"/>
        <v/>
      </c>
      <c r="X163" s="647" t="str">
        <f t="shared" si="112"/>
        <v/>
      </c>
      <c r="Y163" s="647" t="str">
        <f t="shared" si="112"/>
        <v/>
      </c>
      <c r="Z163" s="647" t="str">
        <f t="shared" si="112"/>
        <v/>
      </c>
      <c r="AA163" s="647">
        <f t="shared" si="112"/>
        <v>9.0307360842529827E-2</v>
      </c>
      <c r="AB163" s="15"/>
      <c r="AC163" s="1041" t="str">
        <f t="shared" si="107"/>
        <v>Johannesburg</v>
      </c>
      <c r="AD163" s="647">
        <f t="shared" si="108"/>
        <v>192.66259404920146</v>
      </c>
      <c r="AE163" s="647">
        <f t="shared" si="108"/>
        <v>9.2524605275277505</v>
      </c>
      <c r="AF163" s="647" t="str">
        <f t="shared" si="108"/>
        <v/>
      </c>
      <c r="AG163" s="647" t="str">
        <f t="shared" si="108"/>
        <v/>
      </c>
      <c r="AH163" s="647" t="str">
        <f t="shared" si="108"/>
        <v/>
      </c>
      <c r="AI163" s="15"/>
      <c r="AJ163" s="648" t="str">
        <f t="shared" si="111"/>
        <v>Johannesburg</v>
      </c>
      <c r="AK163" s="647">
        <f t="shared" si="109"/>
        <v>45.384965976609358</v>
      </c>
      <c r="AL163" s="647">
        <f t="shared" si="109"/>
        <v>9.2896763418691811E-2</v>
      </c>
      <c r="AM163" s="647">
        <f t="shared" si="109"/>
        <v>0.20255137435604961</v>
      </c>
      <c r="AN163" s="647">
        <f t="shared" si="109"/>
        <v>3.0363288755508173</v>
      </c>
      <c r="AO163" s="15"/>
      <c r="AP163" s="15"/>
      <c r="AQ163" s="15"/>
      <c r="AR163" s="15"/>
      <c r="AS163" s="15"/>
      <c r="AT163" s="15"/>
      <c r="AU163" s="15"/>
      <c r="AV163" s="15"/>
      <c r="AW163" s="15"/>
      <c r="AX163" s="15"/>
      <c r="AY163" s="15"/>
      <c r="AZ163" s="15"/>
      <c r="BA163" s="15"/>
      <c r="BB163" s="15"/>
      <c r="BC163" s="15"/>
      <c r="BD163" s="15"/>
      <c r="BE163" s="15"/>
      <c r="BF163" s="15"/>
      <c r="BG163" s="15"/>
      <c r="BH163" s="15"/>
      <c r="BI163" s="15"/>
      <c r="BJ163" s="15"/>
      <c r="BK163" s="15"/>
      <c r="BL163" s="15"/>
      <c r="BM163" s="15"/>
      <c r="BN163" s="15"/>
      <c r="BO163" s="15"/>
      <c r="BP163" s="15"/>
      <c r="BQ163" s="15"/>
      <c r="BR163" s="15"/>
      <c r="BS163" s="15"/>
      <c r="BT163" s="15"/>
      <c r="BU163" s="15"/>
      <c r="BV163" s="15"/>
      <c r="BW163" s="15"/>
      <c r="BX163" s="15"/>
      <c r="BY163" s="15"/>
      <c r="BZ163" s="15"/>
      <c r="CA163" s="15"/>
      <c r="CB163" s="15"/>
      <c r="CC163" s="15"/>
      <c r="CD163" s="15"/>
      <c r="CE163" s="15"/>
      <c r="CF163" s="15"/>
      <c r="CG163" s="15"/>
      <c r="CH163" s="15"/>
      <c r="CI163" s="15"/>
      <c r="CJ163" s="15"/>
      <c r="CK163" s="15"/>
      <c r="CL163" s="15"/>
      <c r="CM163" s="15"/>
      <c r="CN163" s="15"/>
      <c r="CO163" s="15"/>
      <c r="CP163" s="15"/>
      <c r="CQ163" s="15"/>
      <c r="CR163" s="15"/>
      <c r="CS163" s="15"/>
      <c r="CT163" s="15"/>
      <c r="CU163" s="645"/>
      <c r="CV163" s="645"/>
      <c r="CW163" s="645"/>
      <c r="CX163" s="645"/>
      <c r="CY163" s="645"/>
      <c r="CZ163" s="645"/>
      <c r="DA163" s="645"/>
      <c r="DB163" s="645"/>
      <c r="DC163" s="645"/>
      <c r="DD163" s="645"/>
      <c r="DE163" s="645"/>
      <c r="DF163" s="645"/>
      <c r="DG163" s="645"/>
      <c r="DH163" s="645"/>
      <c r="DI163" s="645"/>
      <c r="DJ163" s="645"/>
      <c r="DK163" s="645"/>
      <c r="DL163" s="645"/>
      <c r="DM163" s="645"/>
      <c r="DN163" s="645"/>
      <c r="DO163" s="645"/>
      <c r="DP163" s="645"/>
    </row>
    <row r="164" spans="1:120" s="33" customFormat="1" ht="15" customHeight="1">
      <c r="A164" s="316"/>
      <c r="B164" s="648" t="str">
        <f t="shared" si="110"/>
        <v>London</v>
      </c>
      <c r="C164" s="902" t="str">
        <f t="shared" si="95"/>
        <v>United Kingdom</v>
      </c>
      <c r="D164" s="902" t="str">
        <f t="shared" si="96"/>
        <v>Europe</v>
      </c>
      <c r="E164" s="902" t="str">
        <f t="shared" si="97"/>
        <v xml:space="preserve">Administrative boundary of a local government </v>
      </c>
      <c r="F164" s="643">
        <f t="shared" si="98"/>
        <v>2013</v>
      </c>
      <c r="G164" s="644">
        <f t="shared" si="99"/>
        <v>2013</v>
      </c>
      <c r="H164" s="643">
        <f t="shared" si="100"/>
        <v>8416500</v>
      </c>
      <c r="I164" s="643">
        <f t="shared" si="101"/>
        <v>1595</v>
      </c>
      <c r="J164" s="1038">
        <f t="shared" si="102"/>
        <v>481061890500</v>
      </c>
      <c r="K164" s="643" t="s">
        <v>172</v>
      </c>
      <c r="L164" s="643" t="s">
        <v>1556</v>
      </c>
      <c r="M164" s="643" t="s">
        <v>1639</v>
      </c>
      <c r="N164" s="647">
        <f t="shared" si="103"/>
        <v>82.785946325999149</v>
      </c>
      <c r="O164" s="647">
        <f t="shared" si="104"/>
        <v>63.781653620452104</v>
      </c>
      <c r="P164" s="647">
        <f t="shared" si="104"/>
        <v>15.153661784829261</v>
      </c>
      <c r="Q164" s="647">
        <f t="shared" si="104"/>
        <v>3.8506309207177871</v>
      </c>
      <c r="S164" s="648" t="str">
        <f t="shared" si="105"/>
        <v>London</v>
      </c>
      <c r="T164" s="647">
        <f t="shared" si="112"/>
        <v>29.454041657621612</v>
      </c>
      <c r="U164" s="647">
        <f t="shared" si="112"/>
        <v>34.303108462900894</v>
      </c>
      <c r="V164" s="647" t="str">
        <f t="shared" si="112"/>
        <v/>
      </c>
      <c r="W164" s="647" t="str">
        <f t="shared" si="112"/>
        <v/>
      </c>
      <c r="X164" s="647" t="str">
        <f t="shared" si="112"/>
        <v/>
      </c>
      <c r="Y164" s="647" t="str">
        <f t="shared" si="112"/>
        <v/>
      </c>
      <c r="Z164" s="647" t="str">
        <f t="shared" si="112"/>
        <v/>
      </c>
      <c r="AA164" s="647">
        <f t="shared" si="112"/>
        <v>2.4503499929600017E-2</v>
      </c>
      <c r="AB164" s="15"/>
      <c r="AC164" s="1041" t="str">
        <f t="shared" si="107"/>
        <v>London</v>
      </c>
      <c r="AD164" s="647">
        <f t="shared" si="108"/>
        <v>12.544444988272453</v>
      </c>
      <c r="AE164" s="647">
        <f t="shared" si="108"/>
        <v>2.491952267884296</v>
      </c>
      <c r="AF164" s="647">
        <f t="shared" si="108"/>
        <v>4.2112036417463521E-2</v>
      </c>
      <c r="AG164" s="647" t="str">
        <f t="shared" si="108"/>
        <v/>
      </c>
      <c r="AH164" s="647">
        <f t="shared" si="108"/>
        <v>7.5152492255048012E-2</v>
      </c>
      <c r="AI164" s="15"/>
      <c r="AJ164" s="648" t="str">
        <f t="shared" si="111"/>
        <v>London</v>
      </c>
      <c r="AK164" s="647">
        <f t="shared" si="109"/>
        <v>3.1397145979032066</v>
      </c>
      <c r="AL164" s="647">
        <f t="shared" si="109"/>
        <v>1.6544287117322529E-4</v>
      </c>
      <c r="AM164" s="647">
        <f t="shared" si="109"/>
        <v>0.69696932807660072</v>
      </c>
      <c r="AN164" s="647">
        <f t="shared" si="109"/>
        <v>1.3781551866806728E-2</v>
      </c>
      <c r="AO164" s="15"/>
      <c r="AP164" s="15"/>
      <c r="AQ164" s="15"/>
      <c r="AR164" s="15"/>
      <c r="AS164" s="15"/>
      <c r="AT164" s="15"/>
      <c r="AU164" s="15"/>
      <c r="AV164" s="15"/>
      <c r="AW164" s="15"/>
      <c r="AX164" s="15"/>
      <c r="AY164" s="15"/>
      <c r="AZ164" s="15"/>
      <c r="BA164" s="15"/>
      <c r="BB164" s="15"/>
      <c r="BC164" s="15"/>
      <c r="BD164" s="15"/>
      <c r="BE164" s="15"/>
      <c r="BF164" s="15"/>
      <c r="BG164" s="15"/>
      <c r="BH164" s="15"/>
      <c r="BI164" s="15"/>
      <c r="BJ164" s="15"/>
      <c r="BK164" s="15"/>
      <c r="BL164" s="15"/>
      <c r="BM164" s="15"/>
      <c r="BN164" s="15"/>
      <c r="BO164" s="15"/>
      <c r="BP164" s="15"/>
      <c r="BQ164" s="15"/>
      <c r="BR164" s="15"/>
      <c r="BS164" s="15"/>
      <c r="BT164" s="15"/>
      <c r="BU164" s="15"/>
      <c r="BV164" s="15"/>
      <c r="BW164" s="15"/>
      <c r="BX164" s="15"/>
      <c r="BY164" s="15"/>
      <c r="BZ164" s="15"/>
      <c r="CA164" s="15"/>
      <c r="CB164" s="15"/>
      <c r="CC164" s="15"/>
      <c r="CD164" s="15"/>
      <c r="CE164" s="15"/>
      <c r="CF164" s="15"/>
      <c r="CG164" s="15"/>
      <c r="CH164" s="15"/>
      <c r="CI164" s="15"/>
      <c r="CJ164" s="15"/>
      <c r="CK164" s="15"/>
      <c r="CL164" s="15"/>
      <c r="CM164" s="15"/>
      <c r="CN164" s="15"/>
      <c r="CO164" s="15"/>
      <c r="CP164" s="15"/>
      <c r="CQ164" s="15"/>
      <c r="CR164" s="15"/>
      <c r="CS164" s="15"/>
      <c r="CT164" s="15"/>
      <c r="CU164" s="645"/>
      <c r="CV164" s="645"/>
      <c r="CW164" s="645"/>
      <c r="CX164" s="645"/>
      <c r="CY164" s="645"/>
      <c r="CZ164" s="645"/>
      <c r="DA164" s="645"/>
      <c r="DB164" s="645"/>
      <c r="DC164" s="645"/>
      <c r="DD164" s="645"/>
      <c r="DE164" s="645"/>
      <c r="DF164" s="645"/>
      <c r="DG164" s="645"/>
      <c r="DH164" s="645"/>
      <c r="DI164" s="645"/>
      <c r="DJ164" s="645"/>
      <c r="DK164" s="645"/>
      <c r="DL164" s="645"/>
      <c r="DM164" s="645"/>
      <c r="DN164" s="645"/>
      <c r="DO164" s="645"/>
      <c r="DP164" s="645"/>
    </row>
    <row r="165" spans="1:120" s="33" customFormat="1" ht="15" customHeight="1">
      <c r="A165" s="316"/>
      <c r="B165" s="648" t="str">
        <f t="shared" si="110"/>
        <v>Madrid</v>
      </c>
      <c r="C165" s="902" t="str">
        <f t="shared" si="95"/>
        <v>Spain</v>
      </c>
      <c r="D165" s="902" t="str">
        <f t="shared" si="96"/>
        <v>Europe</v>
      </c>
      <c r="E165" s="902" t="str">
        <f t="shared" si="97"/>
        <v xml:space="preserve">Administrative boundary of a local government </v>
      </c>
      <c r="F165" s="643">
        <f t="shared" si="98"/>
        <v>2013</v>
      </c>
      <c r="G165" s="644">
        <f t="shared" si="99"/>
        <v>2013</v>
      </c>
      <c r="H165" s="643">
        <f t="shared" si="100"/>
        <v>3207247</v>
      </c>
      <c r="I165" s="643">
        <f t="shared" si="101"/>
        <v>606</v>
      </c>
      <c r="J165" s="1038">
        <f t="shared" si="102"/>
        <v>103261000000</v>
      </c>
      <c r="K165" s="643" t="s">
        <v>172</v>
      </c>
      <c r="L165" s="643" t="s">
        <v>1556</v>
      </c>
      <c r="M165" s="643" t="s">
        <v>1639</v>
      </c>
      <c r="N165" s="647">
        <f t="shared" si="103"/>
        <v>89.117823281417799</v>
      </c>
      <c r="O165" s="647">
        <f t="shared" si="104"/>
        <v>56.606561874989644</v>
      </c>
      <c r="P165" s="647">
        <f t="shared" si="104"/>
        <v>28.332710584824614</v>
      </c>
      <c r="Q165" s="647">
        <f t="shared" si="104"/>
        <v>4.1785508216035376</v>
      </c>
      <c r="S165" s="648" t="str">
        <f t="shared" si="105"/>
        <v>Madrid</v>
      </c>
      <c r="T165" s="647">
        <f t="shared" si="112"/>
        <v>27.183115287487293</v>
      </c>
      <c r="U165" s="647">
        <f t="shared" si="112"/>
        <v>23.232883158777057</v>
      </c>
      <c r="V165" s="647">
        <f t="shared" si="112"/>
        <v>4.8885735503219809</v>
      </c>
      <c r="W165" s="647">
        <f t="shared" si="112"/>
        <v>0.3662386475306641</v>
      </c>
      <c r="X165" s="647">
        <f t="shared" si="112"/>
        <v>0.28358086107038782</v>
      </c>
      <c r="Y165" s="647">
        <f t="shared" si="112"/>
        <v>0.47819962676554006</v>
      </c>
      <c r="Z165" s="647" t="str">
        <f t="shared" si="112"/>
        <v/>
      </c>
      <c r="AA165" s="647">
        <f t="shared" si="112"/>
        <v>0.17397074303670992</v>
      </c>
      <c r="AB165" s="15"/>
      <c r="AC165" s="1041" t="str">
        <f t="shared" si="107"/>
        <v>Madrid</v>
      </c>
      <c r="AD165" s="647">
        <f t="shared" si="108"/>
        <v>20.812938832732449</v>
      </c>
      <c r="AE165" s="647">
        <f t="shared" si="108"/>
        <v>2.6179431110757148</v>
      </c>
      <c r="AF165" s="647" t="str">
        <f t="shared" si="108"/>
        <v/>
      </c>
      <c r="AG165" s="647">
        <f t="shared" si="108"/>
        <v>4.9018286410164533</v>
      </c>
      <c r="AH165" s="647" t="str">
        <f t="shared" si="108"/>
        <v/>
      </c>
      <c r="AI165" s="15"/>
      <c r="AJ165" s="648" t="str">
        <f t="shared" si="111"/>
        <v>Madrid</v>
      </c>
      <c r="AK165" s="647">
        <f t="shared" si="109"/>
        <v>3.2733672820700037</v>
      </c>
      <c r="AL165" s="647">
        <f t="shared" si="109"/>
        <v>3.5591365568801388E-2</v>
      </c>
      <c r="AM165" s="647">
        <f t="shared" si="109"/>
        <v>3.6312376211735321E-3</v>
      </c>
      <c r="AN165" s="647">
        <f t="shared" si="109"/>
        <v>0.86596093634355886</v>
      </c>
      <c r="AO165" s="15"/>
      <c r="AP165" s="15"/>
      <c r="AQ165" s="15"/>
      <c r="AR165" s="15"/>
      <c r="AS165" s="15"/>
      <c r="AT165" s="15"/>
      <c r="AU165" s="15"/>
      <c r="AV165" s="15"/>
      <c r="AW165" s="15"/>
      <c r="AX165" s="15"/>
      <c r="AY165" s="15"/>
      <c r="AZ165" s="15"/>
      <c r="BA165" s="15"/>
      <c r="BB165" s="15"/>
      <c r="BC165" s="15"/>
      <c r="BD165" s="15"/>
      <c r="BE165" s="15"/>
      <c r="BF165" s="15"/>
      <c r="BG165" s="15"/>
      <c r="BH165" s="15"/>
      <c r="BI165" s="15"/>
      <c r="BJ165" s="15"/>
      <c r="BK165" s="15"/>
      <c r="BL165" s="15"/>
      <c r="BM165" s="15"/>
      <c r="BN165" s="15"/>
      <c r="BO165" s="15"/>
      <c r="BP165" s="15"/>
      <c r="BQ165" s="15"/>
      <c r="BR165" s="15"/>
      <c r="BS165" s="15"/>
      <c r="BT165" s="15"/>
      <c r="BU165" s="15"/>
      <c r="BV165" s="15"/>
      <c r="BW165" s="15"/>
      <c r="BX165" s="15"/>
      <c r="BY165" s="15"/>
      <c r="BZ165" s="15"/>
      <c r="CA165" s="15"/>
      <c r="CB165" s="15"/>
      <c r="CC165" s="15"/>
      <c r="CD165" s="15"/>
      <c r="CE165" s="15"/>
      <c r="CF165" s="15"/>
      <c r="CG165" s="15"/>
      <c r="CH165" s="15"/>
      <c r="CI165" s="15"/>
      <c r="CJ165" s="15"/>
      <c r="CK165" s="15"/>
      <c r="CL165" s="15"/>
      <c r="CM165" s="15"/>
      <c r="CN165" s="15"/>
      <c r="CO165" s="15"/>
      <c r="CP165" s="15"/>
      <c r="CQ165" s="15"/>
      <c r="CR165" s="15"/>
      <c r="CS165" s="15"/>
      <c r="CT165" s="15"/>
      <c r="CU165" s="645"/>
      <c r="CV165" s="645"/>
      <c r="CW165" s="645"/>
      <c r="CX165" s="645"/>
      <c r="CY165" s="645"/>
      <c r="CZ165" s="645"/>
      <c r="DA165" s="645"/>
      <c r="DB165" s="645"/>
      <c r="DC165" s="645"/>
      <c r="DD165" s="645"/>
      <c r="DE165" s="645"/>
      <c r="DF165" s="645"/>
      <c r="DG165" s="645"/>
      <c r="DH165" s="645"/>
      <c r="DI165" s="645"/>
      <c r="DJ165" s="645"/>
      <c r="DK165" s="645"/>
      <c r="DL165" s="645"/>
      <c r="DM165" s="645"/>
      <c r="DN165" s="645"/>
      <c r="DO165" s="645"/>
      <c r="DP165" s="645"/>
    </row>
    <row r="166" spans="1:120" s="33" customFormat="1" ht="15" customHeight="1">
      <c r="A166" s="316"/>
      <c r="B166" s="648" t="str">
        <f t="shared" si="110"/>
        <v>City of Melbourne</v>
      </c>
      <c r="C166" s="902" t="str">
        <f t="shared" si="95"/>
        <v>Australia</v>
      </c>
      <c r="D166" s="902" t="str">
        <f t="shared" si="96"/>
        <v>East Asia and Oceania</v>
      </c>
      <c r="E166" s="902" t="str">
        <f t="shared" si="97"/>
        <v xml:space="preserve">Administrative boundary of a local government </v>
      </c>
      <c r="F166" s="643" t="str">
        <f t="shared" si="98"/>
        <v>2013-2014</v>
      </c>
      <c r="G166" s="644" t="str">
        <f t="shared" si="99"/>
        <v>2013-2014</v>
      </c>
      <c r="H166" s="643">
        <f t="shared" si="100"/>
        <v>116431</v>
      </c>
      <c r="I166" s="643">
        <f t="shared" si="101"/>
        <v>37.6</v>
      </c>
      <c r="J166" s="1038">
        <f t="shared" si="102"/>
        <v>67700000000</v>
      </c>
      <c r="K166" s="643" t="s">
        <v>172</v>
      </c>
      <c r="L166" s="643" t="s">
        <v>1556</v>
      </c>
      <c r="M166" s="643" t="s">
        <v>1639</v>
      </c>
      <c r="N166" s="647">
        <f t="shared" si="103"/>
        <v>86.078696168004896</v>
      </c>
      <c r="O166" s="647">
        <f t="shared" si="104"/>
        <v>74.123090292126349</v>
      </c>
      <c r="P166" s="647">
        <f t="shared" si="104"/>
        <v>9.7131302481089872</v>
      </c>
      <c r="Q166" s="647">
        <f t="shared" si="104"/>
        <v>2.2424756277695717</v>
      </c>
      <c r="S166" s="648" t="str">
        <f t="shared" si="105"/>
        <v>City of Melbourne</v>
      </c>
      <c r="T166" s="647">
        <f t="shared" si="112"/>
        <v>5.5584403486805662</v>
      </c>
      <c r="U166" s="647">
        <f t="shared" si="112"/>
        <v>64.319280331291367</v>
      </c>
      <c r="V166" s="647">
        <f t="shared" si="112"/>
        <v>4.2453696121544153</v>
      </c>
      <c r="W166" s="647" t="str">
        <f t="shared" si="112"/>
        <v/>
      </c>
      <c r="X166" s="647" t="str">
        <f t="shared" si="112"/>
        <v/>
      </c>
      <c r="Y166" s="647" t="str">
        <f t="shared" si="112"/>
        <v/>
      </c>
      <c r="Z166" s="647" t="str">
        <f t="shared" si="112"/>
        <v/>
      </c>
      <c r="AA166" s="647" t="str">
        <f t="shared" si="112"/>
        <v/>
      </c>
      <c r="AB166" s="15"/>
      <c r="AC166" s="1041" t="str">
        <f t="shared" si="107"/>
        <v>City of Melbourne</v>
      </c>
      <c r="AD166" s="647">
        <f t="shared" si="108"/>
        <v>6.6170082040945353</v>
      </c>
      <c r="AE166" s="647">
        <f t="shared" si="108"/>
        <v>3.0097067002005655</v>
      </c>
      <c r="AF166" s="647" t="str">
        <f t="shared" si="108"/>
        <v/>
      </c>
      <c r="AG166" s="647" t="str">
        <f t="shared" si="108"/>
        <v/>
      </c>
      <c r="AH166" s="647">
        <f t="shared" si="108"/>
        <v>8.6415343813884798E-2</v>
      </c>
      <c r="AI166" s="15"/>
      <c r="AJ166" s="648" t="str">
        <f t="shared" si="111"/>
        <v>City of Melbourne</v>
      </c>
      <c r="AK166" s="647">
        <f t="shared" si="109"/>
        <v>2.1996691285081242</v>
      </c>
      <c r="AL166" s="647" t="str">
        <f t="shared" si="109"/>
        <v/>
      </c>
      <c r="AM166" s="647" t="str">
        <f t="shared" si="109"/>
        <v/>
      </c>
      <c r="AN166" s="647">
        <f t="shared" si="109"/>
        <v>4.2806499261447563E-2</v>
      </c>
      <c r="AO166" s="15"/>
      <c r="AP166" s="15"/>
      <c r="AQ166" s="15"/>
      <c r="AR166" s="15"/>
      <c r="AS166" s="15"/>
      <c r="AT166" s="15"/>
      <c r="AU166" s="15"/>
      <c r="AV166" s="15"/>
      <c r="AW166" s="15"/>
      <c r="AX166" s="15"/>
      <c r="AY166" s="15"/>
      <c r="AZ166" s="15"/>
      <c r="BA166" s="15"/>
      <c r="BB166" s="15"/>
      <c r="BC166" s="15"/>
      <c r="BD166" s="15"/>
      <c r="BE166" s="15"/>
      <c r="BF166" s="15"/>
      <c r="BG166" s="15"/>
      <c r="BH166" s="15"/>
      <c r="BI166" s="15"/>
      <c r="BJ166" s="15"/>
      <c r="BK166" s="15"/>
      <c r="BL166" s="15"/>
      <c r="BM166" s="15"/>
      <c r="BN166" s="15"/>
      <c r="BO166" s="15"/>
      <c r="BP166" s="15"/>
      <c r="BQ166" s="15"/>
      <c r="BR166" s="15"/>
      <c r="BS166" s="15"/>
      <c r="BT166" s="15"/>
      <c r="BU166" s="15"/>
      <c r="BV166" s="15"/>
      <c r="BW166" s="15"/>
      <c r="BX166" s="15"/>
      <c r="BY166" s="15"/>
      <c r="BZ166" s="15"/>
      <c r="CA166" s="15"/>
      <c r="CB166" s="15"/>
      <c r="CC166" s="15"/>
      <c r="CD166" s="15"/>
      <c r="CE166" s="15"/>
      <c r="CF166" s="15"/>
      <c r="CG166" s="15"/>
      <c r="CH166" s="15"/>
      <c r="CI166" s="15"/>
      <c r="CJ166" s="15"/>
      <c r="CK166" s="15"/>
      <c r="CL166" s="15"/>
      <c r="CM166" s="15"/>
      <c r="CN166" s="15"/>
      <c r="CO166" s="15"/>
      <c r="CP166" s="15"/>
      <c r="CQ166" s="15"/>
      <c r="CR166" s="15"/>
      <c r="CS166" s="15"/>
      <c r="CT166" s="15"/>
      <c r="CU166" s="645"/>
      <c r="CV166" s="645"/>
      <c r="CW166" s="645"/>
      <c r="CX166" s="645"/>
      <c r="CY166" s="645"/>
      <c r="CZ166" s="645"/>
      <c r="DA166" s="645"/>
      <c r="DB166" s="645"/>
      <c r="DC166" s="645"/>
      <c r="DD166" s="645"/>
      <c r="DE166" s="645"/>
      <c r="DF166" s="645"/>
      <c r="DG166" s="645"/>
      <c r="DH166" s="645"/>
      <c r="DI166" s="645"/>
      <c r="DJ166" s="645"/>
      <c r="DK166" s="645"/>
      <c r="DL166" s="645"/>
      <c r="DM166" s="645"/>
      <c r="DN166" s="645"/>
      <c r="DO166" s="645"/>
      <c r="DP166" s="645"/>
    </row>
    <row r="167" spans="1:120" s="33" customFormat="1" ht="15" customHeight="1">
      <c r="A167" s="316"/>
      <c r="B167" s="648" t="str">
        <f t="shared" si="110"/>
        <v>Mexico City</v>
      </c>
      <c r="C167" s="902" t="str">
        <f t="shared" si="95"/>
        <v>Mexico</v>
      </c>
      <c r="D167" s="902" t="str">
        <f t="shared" si="96"/>
        <v>Latin America</v>
      </c>
      <c r="E167" s="902" t="str">
        <f t="shared" si="97"/>
        <v>Administrative boundary of a local government .</v>
      </c>
      <c r="F167" s="643">
        <f t="shared" si="98"/>
        <v>2012</v>
      </c>
      <c r="G167" s="644">
        <f t="shared" si="99"/>
        <v>2012</v>
      </c>
      <c r="H167" s="643">
        <f t="shared" si="100"/>
        <v>8911664.7271708604</v>
      </c>
      <c r="I167" s="643">
        <f t="shared" si="101"/>
        <v>1485</v>
      </c>
      <c r="J167" s="1038">
        <f t="shared" si="102"/>
        <v>169784923077</v>
      </c>
      <c r="K167" s="643" t="s">
        <v>172</v>
      </c>
      <c r="L167" s="643" t="s">
        <v>1556</v>
      </c>
      <c r="M167" s="643" t="s">
        <v>1639</v>
      </c>
      <c r="N167" s="647">
        <f t="shared" si="103"/>
        <v>177.71593804909986</v>
      </c>
      <c r="O167" s="647">
        <f t="shared" si="104"/>
        <v>69.593789968648338</v>
      </c>
      <c r="P167" s="647">
        <f t="shared" si="104"/>
        <v>80.550098896593127</v>
      </c>
      <c r="Q167" s="647">
        <f t="shared" si="104"/>
        <v>27.572049183858379</v>
      </c>
      <c r="S167" s="648" t="str">
        <f t="shared" si="105"/>
        <v>Mexico City</v>
      </c>
      <c r="T167" s="647">
        <f t="shared" si="112"/>
        <v>23.553257984471664</v>
      </c>
      <c r="U167" s="647">
        <f t="shared" si="112"/>
        <v>14.243054647322746</v>
      </c>
      <c r="V167" s="647">
        <f t="shared" si="112"/>
        <v>31.614398082377939</v>
      </c>
      <c r="W167" s="647">
        <f t="shared" si="112"/>
        <v>0.14157161175199864</v>
      </c>
      <c r="X167" s="647">
        <f t="shared" si="112"/>
        <v>3.7973760038021866E-2</v>
      </c>
      <c r="Y167" s="647" t="str">
        <f t="shared" si="112"/>
        <v/>
      </c>
      <c r="Z167" s="647" t="str">
        <f t="shared" si="112"/>
        <v/>
      </c>
      <c r="AA167" s="647">
        <f t="shared" si="112"/>
        <v>3.5338826859667096E-3</v>
      </c>
      <c r="AB167" s="15"/>
      <c r="AC167" s="1041" t="str">
        <f t="shared" si="107"/>
        <v>Mexico City</v>
      </c>
      <c r="AD167" s="647">
        <f t="shared" si="108"/>
        <v>67.666821815308381</v>
      </c>
      <c r="AE167" s="647">
        <f t="shared" si="108"/>
        <v>3.9677905124986483</v>
      </c>
      <c r="AF167" s="647" t="str">
        <f t="shared" si="108"/>
        <v/>
      </c>
      <c r="AG167" s="647">
        <f t="shared" si="108"/>
        <v>8.2366037780402674</v>
      </c>
      <c r="AH167" s="647">
        <f t="shared" si="108"/>
        <v>0.67888279074581959</v>
      </c>
      <c r="AI167" s="15"/>
      <c r="AJ167" s="648" t="str">
        <f t="shared" si="111"/>
        <v>Mexico City</v>
      </c>
      <c r="AK167" s="647">
        <f t="shared" si="109"/>
        <v>22.652335262158523</v>
      </c>
      <c r="AL167" s="647">
        <f t="shared" si="109"/>
        <v>0.97297109782286861</v>
      </c>
      <c r="AM167" s="647" t="str">
        <f t="shared" si="109"/>
        <v/>
      </c>
      <c r="AN167" s="647">
        <f t="shared" si="109"/>
        <v>3.9467428238769822</v>
      </c>
      <c r="AO167" s="15"/>
      <c r="AP167" s="15"/>
      <c r="AQ167" s="15"/>
      <c r="AR167" s="15"/>
      <c r="AS167" s="15"/>
      <c r="AT167" s="15"/>
      <c r="AU167" s="15"/>
      <c r="AV167" s="15"/>
      <c r="AW167" s="15"/>
      <c r="AX167" s="15"/>
      <c r="AY167" s="15"/>
      <c r="AZ167" s="15"/>
      <c r="BA167" s="15"/>
      <c r="BB167" s="15"/>
      <c r="BC167" s="15"/>
      <c r="BD167" s="15"/>
      <c r="BE167" s="15"/>
      <c r="BF167" s="15"/>
      <c r="BG167" s="15"/>
      <c r="BH167" s="15"/>
      <c r="BI167" s="15"/>
      <c r="BJ167" s="15"/>
      <c r="BK167" s="15"/>
      <c r="BL167" s="15"/>
      <c r="BM167" s="15"/>
      <c r="BN167" s="15"/>
      <c r="BO167" s="15"/>
      <c r="BP167" s="15"/>
      <c r="BQ167" s="15"/>
      <c r="BR167" s="15"/>
      <c r="BS167" s="15"/>
      <c r="BT167" s="15"/>
      <c r="BU167" s="15"/>
      <c r="BV167" s="15"/>
      <c r="BW167" s="15"/>
      <c r="BX167" s="15"/>
      <c r="BY167" s="15"/>
      <c r="BZ167" s="15"/>
      <c r="CA167" s="15"/>
      <c r="CB167" s="15"/>
      <c r="CC167" s="15"/>
      <c r="CD167" s="15"/>
      <c r="CE167" s="15"/>
      <c r="CF167" s="15"/>
      <c r="CG167" s="15"/>
      <c r="CH167" s="15"/>
      <c r="CI167" s="15"/>
      <c r="CJ167" s="15"/>
      <c r="CK167" s="15"/>
      <c r="CL167" s="15"/>
      <c r="CM167" s="15"/>
      <c r="CN167" s="15"/>
      <c r="CO167" s="15"/>
      <c r="CP167" s="15"/>
      <c r="CQ167" s="15"/>
      <c r="CR167" s="15"/>
      <c r="CS167" s="15"/>
      <c r="CT167" s="15"/>
      <c r="CU167" s="645"/>
      <c r="CV167" s="645"/>
      <c r="CW167" s="645"/>
      <c r="CX167" s="645"/>
      <c r="CY167" s="645"/>
      <c r="CZ167" s="645"/>
      <c r="DA167" s="645"/>
      <c r="DB167" s="645"/>
      <c r="DC167" s="645"/>
      <c r="DD167" s="645"/>
      <c r="DE167" s="645"/>
      <c r="DF167" s="645"/>
      <c r="DG167" s="645"/>
      <c r="DH167" s="645"/>
      <c r="DI167" s="645"/>
      <c r="DJ167" s="645"/>
      <c r="DK167" s="645"/>
      <c r="DL167" s="645"/>
      <c r="DM167" s="645"/>
      <c r="DN167" s="645"/>
      <c r="DO167" s="645"/>
      <c r="DP167" s="645"/>
    </row>
    <row r="168" spans="1:120" s="33" customFormat="1" ht="15" customHeight="1">
      <c r="A168" s="316"/>
      <c r="B168" s="648" t="str">
        <f t="shared" si="110"/>
        <v>New York City</v>
      </c>
      <c r="C168" s="902" t="str">
        <f t="shared" si="95"/>
        <v>USA</v>
      </c>
      <c r="D168" s="902" t="str">
        <f t="shared" si="96"/>
        <v>North America</v>
      </c>
      <c r="E168" s="902" t="str">
        <f t="shared" si="97"/>
        <v xml:space="preserve">Administrative boundary of a local government </v>
      </c>
      <c r="F168" s="643">
        <f t="shared" si="98"/>
        <v>2014</v>
      </c>
      <c r="G168" s="644">
        <f t="shared" si="99"/>
        <v>2014</v>
      </c>
      <c r="H168" s="643">
        <f t="shared" si="100"/>
        <v>8491079</v>
      </c>
      <c r="I168" s="643">
        <f t="shared" si="101"/>
        <v>783.8</v>
      </c>
      <c r="J168" s="1038">
        <f t="shared" si="102"/>
        <v>778000000000</v>
      </c>
      <c r="K168" s="643" t="s">
        <v>172</v>
      </c>
      <c r="L168" s="643" t="s">
        <v>1556</v>
      </c>
      <c r="M168" s="643" t="s">
        <v>1639</v>
      </c>
      <c r="N168" s="647">
        <f t="shared" si="103"/>
        <v>65.952414512100972</v>
      </c>
      <c r="O168" s="647">
        <f t="shared" si="104"/>
        <v>47.309774583839243</v>
      </c>
      <c r="P168" s="647">
        <f t="shared" si="104"/>
        <v>15.191578426621001</v>
      </c>
      <c r="Q168" s="647">
        <f t="shared" si="104"/>
        <v>3.4510615016407327</v>
      </c>
      <c r="S168" s="648" t="str">
        <f t="shared" si="105"/>
        <v>New York City</v>
      </c>
      <c r="T168" s="647">
        <f t="shared" si="112"/>
        <v>22.392857719172646</v>
      </c>
      <c r="U168" s="647">
        <f t="shared" si="112"/>
        <v>18.888680241151228</v>
      </c>
      <c r="V168" s="647">
        <f t="shared" si="112"/>
        <v>5.7443555545165816</v>
      </c>
      <c r="W168" s="647" t="str">
        <f t="shared" si="112"/>
        <v/>
      </c>
      <c r="X168" s="647" t="str">
        <f t="shared" si="112"/>
        <v/>
      </c>
      <c r="Y168" s="647" t="str">
        <f t="shared" si="112"/>
        <v/>
      </c>
      <c r="Z168" s="647" t="str">
        <f t="shared" si="112"/>
        <v/>
      </c>
      <c r="AA168" s="647">
        <f t="shared" si="112"/>
        <v>0.28388106899879217</v>
      </c>
      <c r="AB168" s="15"/>
      <c r="AC168" s="1041" t="str">
        <f t="shared" si="107"/>
        <v>New York City</v>
      </c>
      <c r="AD168" s="647">
        <f t="shared" si="108"/>
        <v>14.022822154643896</v>
      </c>
      <c r="AE168" s="647">
        <f t="shared" si="108"/>
        <v>1.1171449092343122</v>
      </c>
      <c r="AF168" s="647">
        <f t="shared" si="108"/>
        <v>4.8606192090330035E-2</v>
      </c>
      <c r="AG168" s="647">
        <f t="shared" si="108"/>
        <v>3.0051706524643123E-3</v>
      </c>
      <c r="AH168" s="647" t="str">
        <f t="shared" si="108"/>
        <v/>
      </c>
      <c r="AI168" s="15"/>
      <c r="AJ168" s="648" t="str">
        <f t="shared" si="111"/>
        <v>New York City</v>
      </c>
      <c r="AK168" s="647">
        <f t="shared" si="109"/>
        <v>2.9628652426792832</v>
      </c>
      <c r="AL168" s="647" t="str">
        <f t="shared" si="109"/>
        <v/>
      </c>
      <c r="AM168" s="647">
        <f t="shared" si="109"/>
        <v>0.20881681057366513</v>
      </c>
      <c r="AN168" s="647">
        <f t="shared" si="109"/>
        <v>0.27937944838778456</v>
      </c>
      <c r="AO168" s="15"/>
      <c r="AP168" s="15"/>
      <c r="AQ168" s="15"/>
      <c r="AR168" s="15"/>
      <c r="AS168" s="15"/>
      <c r="AT168" s="15"/>
      <c r="AU168" s="15"/>
      <c r="AV168" s="15"/>
      <c r="AW168" s="15"/>
      <c r="AX168" s="15"/>
      <c r="AY168" s="15"/>
      <c r="AZ168" s="15"/>
      <c r="BA168" s="15"/>
      <c r="BB168" s="15"/>
      <c r="BC168" s="15"/>
      <c r="BD168" s="15"/>
      <c r="BE168" s="15"/>
      <c r="BF168" s="15"/>
      <c r="BG168" s="15"/>
      <c r="BH168" s="15"/>
      <c r="BI168" s="15"/>
      <c r="BJ168" s="15"/>
      <c r="BK168" s="15"/>
      <c r="BL168" s="15"/>
      <c r="BM168" s="15"/>
      <c r="BN168" s="15"/>
      <c r="BO168" s="15"/>
      <c r="BP168" s="15"/>
      <c r="BQ168" s="15"/>
      <c r="BR168" s="15"/>
      <c r="BS168" s="15"/>
      <c r="BT168" s="15"/>
      <c r="BU168" s="15"/>
      <c r="BV168" s="15"/>
      <c r="BW168" s="15"/>
      <c r="BX168" s="15"/>
      <c r="BY168" s="15"/>
      <c r="BZ168" s="15"/>
      <c r="CA168" s="15"/>
      <c r="CB168" s="15"/>
      <c r="CC168" s="15"/>
      <c r="CD168" s="15"/>
      <c r="CE168" s="15"/>
      <c r="CF168" s="15"/>
      <c r="CG168" s="15"/>
      <c r="CH168" s="15"/>
      <c r="CI168" s="15"/>
      <c r="CJ168" s="15"/>
      <c r="CK168" s="15"/>
      <c r="CL168" s="15"/>
      <c r="CM168" s="15"/>
      <c r="CN168" s="15"/>
      <c r="CO168" s="15"/>
      <c r="CP168" s="15"/>
      <c r="CQ168" s="15"/>
      <c r="CR168" s="15"/>
      <c r="CS168" s="15"/>
      <c r="CT168" s="15"/>
      <c r="CU168" s="645"/>
      <c r="CV168" s="645"/>
      <c r="CW168" s="645"/>
      <c r="CX168" s="645"/>
      <c r="CY168" s="645"/>
      <c r="CZ168" s="645"/>
      <c r="DA168" s="645"/>
      <c r="DB168" s="645"/>
      <c r="DC168" s="645"/>
      <c r="DD168" s="645"/>
      <c r="DE168" s="645"/>
      <c r="DF168" s="645"/>
      <c r="DG168" s="645"/>
      <c r="DH168" s="645"/>
      <c r="DI168" s="645"/>
      <c r="DJ168" s="645"/>
      <c r="DK168" s="645"/>
      <c r="DL168" s="645"/>
      <c r="DM168" s="645"/>
      <c r="DN168" s="645"/>
      <c r="DO168" s="645"/>
      <c r="DP168" s="645"/>
    </row>
    <row r="169" spans="1:120" s="33" customFormat="1" ht="15" customHeight="1">
      <c r="A169" s="316"/>
      <c r="B169" s="648" t="str">
        <f t="shared" si="110"/>
        <v>Stockholm</v>
      </c>
      <c r="C169" s="902" t="str">
        <f t="shared" si="95"/>
        <v>Sweden</v>
      </c>
      <c r="D169" s="902" t="str">
        <f t="shared" si="96"/>
        <v>Europe</v>
      </c>
      <c r="E169" s="902" t="str">
        <f t="shared" si="97"/>
        <v xml:space="preserve">Administrative boundary of a local government </v>
      </c>
      <c r="F169" s="643">
        <f t="shared" si="98"/>
        <v>2012</v>
      </c>
      <c r="G169" s="644">
        <f t="shared" si="99"/>
        <v>2012</v>
      </c>
      <c r="H169" s="643">
        <f t="shared" si="100"/>
        <v>881235</v>
      </c>
      <c r="I169" s="643">
        <f t="shared" si="101"/>
        <v>216</v>
      </c>
      <c r="J169" s="1038">
        <f t="shared" si="102"/>
        <v>416797000000</v>
      </c>
      <c r="K169" s="643" t="s">
        <v>172</v>
      </c>
      <c r="L169" s="643" t="s">
        <v>1556</v>
      </c>
      <c r="M169" s="643" t="s">
        <v>1639</v>
      </c>
      <c r="N169" s="647">
        <f t="shared" si="103"/>
        <v>5.142650685801482</v>
      </c>
      <c r="O169" s="647">
        <f t="shared" si="104"/>
        <v>2.9290263965431613</v>
      </c>
      <c r="P169" s="647">
        <f t="shared" si="104"/>
        <v>2.1949981045928832</v>
      </c>
      <c r="Q169" s="647">
        <f t="shared" si="104"/>
        <v>1.8626184665436654E-2</v>
      </c>
      <c r="S169" s="648" t="str">
        <f t="shared" si="105"/>
        <v>Stockholm</v>
      </c>
      <c r="T169" s="647">
        <f t="shared" si="112"/>
        <v>1.6657172579217223</v>
      </c>
      <c r="U169" s="647">
        <f t="shared" si="112"/>
        <v>1.142061292547691</v>
      </c>
      <c r="V169" s="647">
        <f t="shared" si="112"/>
        <v>0.12116867083976132</v>
      </c>
      <c r="W169" s="647" t="str">
        <f t="shared" si="112"/>
        <v/>
      </c>
      <c r="X169" s="647" t="str">
        <f t="shared" si="112"/>
        <v/>
      </c>
      <c r="Y169" s="647" t="str">
        <f t="shared" si="112"/>
        <v/>
      </c>
      <c r="Z169" s="647" t="str">
        <f t="shared" si="112"/>
        <v/>
      </c>
      <c r="AA169" s="647">
        <f t="shared" si="112"/>
        <v>7.9175233986808932E-5</v>
      </c>
      <c r="AB169" s="15"/>
      <c r="AC169" s="1041" t="str">
        <f t="shared" si="107"/>
        <v>Stockholm</v>
      </c>
      <c r="AD169" s="647">
        <f t="shared" si="108"/>
        <v>1.5556206018757333</v>
      </c>
      <c r="AE169" s="647">
        <f t="shared" si="108"/>
        <v>7.963259092555848E-2</v>
      </c>
      <c r="AF169" s="647">
        <f t="shared" si="108"/>
        <v>0.22073095535716428</v>
      </c>
      <c r="AG169" s="647">
        <f t="shared" si="108"/>
        <v>4.7745065343560537E-2</v>
      </c>
      <c r="AH169" s="647">
        <f t="shared" si="108"/>
        <v>0.29126889109086679</v>
      </c>
      <c r="AI169" s="15"/>
      <c r="AJ169" s="648" t="str">
        <f t="shared" si="111"/>
        <v>Stockholm</v>
      </c>
      <c r="AK169" s="647" t="str">
        <f t="shared" si="109"/>
        <v/>
      </c>
      <c r="AL169" s="647" t="str">
        <f t="shared" si="109"/>
        <v/>
      </c>
      <c r="AM169" s="647" t="str">
        <f t="shared" si="109"/>
        <v/>
      </c>
      <c r="AN169" s="647">
        <f t="shared" si="109"/>
        <v>1.8626184665436654E-2</v>
      </c>
      <c r="AO169" s="15"/>
      <c r="AP169" s="15"/>
      <c r="AQ169" s="15"/>
      <c r="AR169" s="15"/>
      <c r="AS169" s="15"/>
      <c r="AT169" s="15"/>
      <c r="AU169" s="15"/>
      <c r="AV169" s="15"/>
      <c r="AW169" s="15"/>
      <c r="AX169" s="15"/>
      <c r="AY169" s="15"/>
      <c r="AZ169" s="15"/>
      <c r="BA169" s="15"/>
      <c r="BB169" s="15"/>
      <c r="BC169" s="15"/>
      <c r="BD169" s="15"/>
      <c r="BE169" s="15"/>
      <c r="BF169" s="15"/>
      <c r="BG169" s="15"/>
      <c r="BH169" s="15"/>
      <c r="BI169" s="15"/>
      <c r="BJ169" s="15"/>
      <c r="BK169" s="15"/>
      <c r="BL169" s="15"/>
      <c r="BM169" s="15"/>
      <c r="BN169" s="15"/>
      <c r="BO169" s="15"/>
      <c r="BP169" s="15"/>
      <c r="BQ169" s="15"/>
      <c r="BR169" s="15"/>
      <c r="BS169" s="15"/>
      <c r="BT169" s="15"/>
      <c r="BU169" s="15"/>
      <c r="BV169" s="15"/>
      <c r="BW169" s="15"/>
      <c r="BX169" s="15"/>
      <c r="BY169" s="15"/>
      <c r="BZ169" s="15"/>
      <c r="CA169" s="15"/>
      <c r="CB169" s="15"/>
      <c r="CC169" s="15"/>
      <c r="CD169" s="15"/>
      <c r="CE169" s="15"/>
      <c r="CF169" s="15"/>
      <c r="CG169" s="15"/>
      <c r="CH169" s="15"/>
      <c r="CI169" s="15"/>
      <c r="CJ169" s="15"/>
      <c r="CK169" s="15"/>
      <c r="CL169" s="15"/>
      <c r="CM169" s="15"/>
      <c r="CN169" s="15"/>
      <c r="CO169" s="15"/>
      <c r="CP169" s="15"/>
      <c r="CQ169" s="15"/>
      <c r="CR169" s="15"/>
      <c r="CS169" s="15"/>
      <c r="CT169" s="15"/>
      <c r="CU169" s="645"/>
      <c r="CV169" s="645"/>
      <c r="CW169" s="645"/>
      <c r="CX169" s="645"/>
      <c r="CY169" s="645"/>
      <c r="CZ169" s="645"/>
      <c r="DA169" s="645"/>
      <c r="DB169" s="645"/>
      <c r="DC169" s="645"/>
      <c r="DD169" s="645"/>
      <c r="DE169" s="645"/>
      <c r="DF169" s="645"/>
      <c r="DG169" s="645"/>
      <c r="DH169" s="645"/>
      <c r="DI169" s="645"/>
      <c r="DJ169" s="645"/>
      <c r="DK169" s="645"/>
      <c r="DL169" s="645"/>
      <c r="DM169" s="645"/>
      <c r="DN169" s="645"/>
      <c r="DO169" s="645"/>
      <c r="DP169" s="645"/>
    </row>
    <row r="170" spans="1:120" s="33" customFormat="1" ht="15" customHeight="1">
      <c r="A170" s="316"/>
      <c r="B170" s="648" t="str">
        <f t="shared" si="110"/>
        <v>Oslo</v>
      </c>
      <c r="C170" s="902" t="str">
        <f t="shared" si="95"/>
        <v>Norway</v>
      </c>
      <c r="D170" s="902" t="str">
        <f t="shared" si="96"/>
        <v>Europe</v>
      </c>
      <c r="E170" s="902" t="str">
        <f t="shared" si="97"/>
        <v xml:space="preserve">Administrative boundary of a local government </v>
      </c>
      <c r="F170" s="643">
        <f t="shared" si="98"/>
        <v>2013</v>
      </c>
      <c r="G170" s="644">
        <f t="shared" si="99"/>
        <v>2013</v>
      </c>
      <c r="H170" s="643">
        <f t="shared" si="100"/>
        <v>623966</v>
      </c>
      <c r="I170" s="643">
        <f t="shared" si="101"/>
        <v>454</v>
      </c>
      <c r="J170" s="1038">
        <f t="shared" si="102"/>
        <v>54510377469</v>
      </c>
      <c r="K170" s="643" t="s">
        <v>172</v>
      </c>
      <c r="L170" s="643" t="s">
        <v>1556</v>
      </c>
      <c r="M170" s="643" t="s">
        <v>1639</v>
      </c>
      <c r="N170" s="647">
        <f t="shared" si="103"/>
        <v>24.590222466268862</v>
      </c>
      <c r="O170" s="647">
        <f t="shared" si="104"/>
        <v>9.3193263937109787</v>
      </c>
      <c r="P170" s="647">
        <f t="shared" si="104"/>
        <v>14.272383229183173</v>
      </c>
      <c r="Q170" s="647">
        <f t="shared" si="104"/>
        <v>0.99851284337471147</v>
      </c>
      <c r="S170" s="648" t="str">
        <f t="shared" si="105"/>
        <v>Oslo</v>
      </c>
      <c r="T170" s="647">
        <f t="shared" si="112"/>
        <v>5.9115820477900574</v>
      </c>
      <c r="U170" s="647">
        <f t="shared" si="112"/>
        <v>2.9674612278366865</v>
      </c>
      <c r="V170" s="647">
        <f t="shared" si="112"/>
        <v>0.44028311808423592</v>
      </c>
      <c r="W170" s="647" t="str">
        <f t="shared" si="112"/>
        <v/>
      </c>
      <c r="X170" s="647" t="str">
        <f t="shared" si="112"/>
        <v/>
      </c>
      <c r="Y170" s="647" t="str">
        <f t="shared" si="112"/>
        <v/>
      </c>
      <c r="Z170" s="647" t="str">
        <f t="shared" si="112"/>
        <v/>
      </c>
      <c r="AA170" s="647" t="str">
        <f t="shared" si="112"/>
        <v/>
      </c>
      <c r="AB170" s="15"/>
      <c r="AC170" s="1041" t="str">
        <f t="shared" si="107"/>
        <v>Oslo</v>
      </c>
      <c r="AD170" s="647">
        <f t="shared" si="108"/>
        <v>9.1358750961358162</v>
      </c>
      <c r="AE170" s="647" t="str">
        <f t="shared" si="108"/>
        <v/>
      </c>
      <c r="AF170" s="647">
        <f t="shared" si="108"/>
        <v>0.64195111103203217</v>
      </c>
      <c r="AG170" s="647" t="str">
        <f t="shared" si="108"/>
        <v/>
      </c>
      <c r="AH170" s="647">
        <f t="shared" si="108"/>
        <v>4.4945570220153268</v>
      </c>
      <c r="AI170" s="15"/>
      <c r="AJ170" s="648" t="str">
        <f t="shared" si="111"/>
        <v>Oslo</v>
      </c>
      <c r="AK170" s="647">
        <f t="shared" si="109"/>
        <v>0.29352209144211455</v>
      </c>
      <c r="AL170" s="647">
        <f t="shared" si="109"/>
        <v>0.17298196119376427</v>
      </c>
      <c r="AM170" s="647" t="str">
        <f t="shared" si="109"/>
        <v/>
      </c>
      <c r="AN170" s="647">
        <f t="shared" si="109"/>
        <v>0.53200879073883267</v>
      </c>
      <c r="AO170" s="15"/>
      <c r="AP170" s="15"/>
      <c r="AQ170" s="15"/>
      <c r="AR170" s="15"/>
      <c r="AS170" s="15"/>
      <c r="AT170" s="15"/>
      <c r="AU170" s="15"/>
      <c r="AV170" s="15"/>
      <c r="AW170" s="15"/>
      <c r="AX170" s="15"/>
      <c r="AY170" s="15"/>
      <c r="AZ170" s="15"/>
      <c r="BA170" s="15"/>
      <c r="BB170" s="15"/>
      <c r="BC170" s="15"/>
      <c r="BD170" s="15"/>
      <c r="BE170" s="15"/>
      <c r="BF170" s="15"/>
      <c r="BG170" s="15"/>
      <c r="BH170" s="15"/>
      <c r="BI170" s="15"/>
      <c r="BJ170" s="15"/>
      <c r="BK170" s="15"/>
      <c r="BL170" s="15"/>
      <c r="BM170" s="15"/>
      <c r="BN170" s="15"/>
      <c r="BO170" s="15"/>
      <c r="BP170" s="15"/>
      <c r="BQ170" s="15"/>
      <c r="BR170" s="15"/>
      <c r="BS170" s="15"/>
      <c r="BT170" s="15"/>
      <c r="BU170" s="15"/>
      <c r="BV170" s="15"/>
      <c r="BW170" s="15"/>
      <c r="BX170" s="15"/>
      <c r="BY170" s="15"/>
      <c r="BZ170" s="15"/>
      <c r="CA170" s="15"/>
      <c r="CB170" s="15"/>
      <c r="CC170" s="15"/>
      <c r="CD170" s="15"/>
      <c r="CE170" s="15"/>
      <c r="CF170" s="15"/>
      <c r="CG170" s="15"/>
      <c r="CH170" s="15"/>
      <c r="CI170" s="15"/>
      <c r="CJ170" s="15"/>
      <c r="CK170" s="15"/>
      <c r="CL170" s="15"/>
      <c r="CM170" s="15"/>
      <c r="CN170" s="15"/>
      <c r="CO170" s="15"/>
      <c r="CP170" s="15"/>
      <c r="CQ170" s="15"/>
      <c r="CR170" s="15"/>
      <c r="CS170" s="15"/>
      <c r="CT170" s="15"/>
      <c r="CU170" s="645"/>
      <c r="CV170" s="645"/>
      <c r="CW170" s="645"/>
      <c r="CX170" s="645"/>
      <c r="CY170" s="645"/>
      <c r="CZ170" s="645"/>
      <c r="DA170" s="645"/>
      <c r="DB170" s="645"/>
      <c r="DC170" s="645"/>
      <c r="DD170" s="645"/>
      <c r="DE170" s="645"/>
      <c r="DF170" s="645"/>
      <c r="DG170" s="645"/>
      <c r="DH170" s="645"/>
      <c r="DI170" s="645"/>
      <c r="DJ170" s="645"/>
      <c r="DK170" s="645"/>
      <c r="DL170" s="645"/>
      <c r="DM170" s="645"/>
      <c r="DN170" s="645"/>
      <c r="DO170" s="645"/>
      <c r="DP170" s="645"/>
    </row>
    <row r="171" spans="1:120" s="33" customFormat="1" ht="15" customHeight="1">
      <c r="A171" s="316"/>
      <c r="B171" s="648" t="str">
        <f t="shared" si="110"/>
        <v>Paris</v>
      </c>
      <c r="C171" s="902" t="str">
        <f t="shared" si="95"/>
        <v>France</v>
      </c>
      <c r="D171" s="902" t="str">
        <f t="shared" si="96"/>
        <v>Europe</v>
      </c>
      <c r="E171" s="902" t="str">
        <f t="shared" si="97"/>
        <v xml:space="preserve">Administrative boundary of a local government </v>
      </c>
      <c r="F171" s="643">
        <f t="shared" si="98"/>
        <v>2009</v>
      </c>
      <c r="G171" s="644">
        <f t="shared" si="99"/>
        <v>2009</v>
      </c>
      <c r="H171" s="643">
        <f t="shared" si="100"/>
        <v>2270000</v>
      </c>
      <c r="I171" s="643">
        <f t="shared" si="101"/>
        <v>105</v>
      </c>
      <c r="J171" s="1038">
        <f t="shared" si="102"/>
        <v>715000000000</v>
      </c>
      <c r="K171" s="643" t="s">
        <v>172</v>
      </c>
      <c r="L171" s="643" t="s">
        <v>1556</v>
      </c>
      <c r="M171" s="643" t="s">
        <v>1639</v>
      </c>
      <c r="N171" s="647">
        <f t="shared" si="103"/>
        <v>8.6576066947328663</v>
      </c>
      <c r="O171" s="647">
        <f t="shared" si="104"/>
        <v>6.5516156177156182</v>
      </c>
      <c r="P171" s="647">
        <f t="shared" si="104"/>
        <v>1.4521206330657337</v>
      </c>
      <c r="Q171" s="647">
        <f t="shared" si="104"/>
        <v>0.65387044395151539</v>
      </c>
      <c r="S171" s="648" t="str">
        <f t="shared" si="105"/>
        <v>Paris</v>
      </c>
      <c r="T171" s="647">
        <f t="shared" si="112"/>
        <v>3.20702344988345</v>
      </c>
      <c r="U171" s="647">
        <f t="shared" si="112"/>
        <v>3.3445921678321682</v>
      </c>
      <c r="V171" s="647" t="str">
        <f t="shared" si="112"/>
        <v/>
      </c>
      <c r="W171" s="647" t="str">
        <f t="shared" si="112"/>
        <v/>
      </c>
      <c r="X171" s="647" t="str">
        <f t="shared" si="112"/>
        <v/>
      </c>
      <c r="Y171" s="647" t="str">
        <f t="shared" si="112"/>
        <v/>
      </c>
      <c r="Z171" s="647" t="str">
        <f t="shared" si="112"/>
        <v/>
      </c>
      <c r="AA171" s="647" t="str">
        <f t="shared" si="112"/>
        <v/>
      </c>
      <c r="AB171" s="15"/>
      <c r="AC171" s="1041" t="str">
        <f t="shared" si="107"/>
        <v>Paris</v>
      </c>
      <c r="AD171" s="647">
        <f t="shared" si="108"/>
        <v>1.1260643346974357</v>
      </c>
      <c r="AE171" s="647">
        <f t="shared" si="108"/>
        <v>0.31913445221445191</v>
      </c>
      <c r="AF171" s="647" t="str">
        <f t="shared" si="108"/>
        <v/>
      </c>
      <c r="AG171" s="647">
        <f t="shared" si="108"/>
        <v>6.9218461538461552E-3</v>
      </c>
      <c r="AH171" s="647" t="str">
        <f t="shared" si="108"/>
        <v/>
      </c>
      <c r="AI171" s="15"/>
      <c r="AJ171" s="648" t="str">
        <f t="shared" si="111"/>
        <v>Paris</v>
      </c>
      <c r="AK171" s="647">
        <f t="shared" si="109"/>
        <v>8.2214369230769233E-2</v>
      </c>
      <c r="AL171" s="647">
        <f t="shared" si="109"/>
        <v>6.1895532755244743E-3</v>
      </c>
      <c r="AM171" s="647">
        <f t="shared" si="109"/>
        <v>0.5644748256410258</v>
      </c>
      <c r="AN171" s="647">
        <f t="shared" si="109"/>
        <v>9.9169580419580425E-4</v>
      </c>
      <c r="AO171" s="15"/>
      <c r="AP171" s="15"/>
      <c r="AQ171" s="15"/>
      <c r="AR171" s="15"/>
      <c r="AS171" s="15"/>
      <c r="AT171" s="15"/>
      <c r="AU171" s="15"/>
      <c r="AV171" s="15"/>
      <c r="AW171" s="15"/>
      <c r="AX171" s="15"/>
      <c r="AY171" s="15"/>
      <c r="AZ171" s="15"/>
      <c r="BA171" s="15"/>
      <c r="BB171" s="15"/>
      <c r="BC171" s="15"/>
      <c r="BD171" s="15"/>
      <c r="BE171" s="15"/>
      <c r="BF171" s="15"/>
      <c r="BG171" s="15"/>
      <c r="BH171" s="15"/>
      <c r="BI171" s="15"/>
      <c r="BJ171" s="15"/>
      <c r="BK171" s="15"/>
      <c r="BL171" s="15"/>
      <c r="BM171" s="15"/>
      <c r="BN171" s="15"/>
      <c r="BO171" s="15"/>
      <c r="BP171" s="15"/>
      <c r="BQ171" s="15"/>
      <c r="BR171" s="15"/>
      <c r="BS171" s="15"/>
      <c r="BT171" s="15"/>
      <c r="BU171" s="15"/>
      <c r="BV171" s="15"/>
      <c r="BW171" s="15"/>
      <c r="BX171" s="15"/>
      <c r="BY171" s="15"/>
      <c r="BZ171" s="15"/>
      <c r="CA171" s="15"/>
      <c r="CB171" s="15"/>
      <c r="CC171" s="15"/>
      <c r="CD171" s="15"/>
      <c r="CE171" s="15"/>
      <c r="CF171" s="15"/>
      <c r="CG171" s="15"/>
      <c r="CH171" s="15"/>
      <c r="CI171" s="15"/>
      <c r="CJ171" s="15"/>
      <c r="CK171" s="15"/>
      <c r="CL171" s="15"/>
      <c r="CM171" s="15"/>
      <c r="CN171" s="15"/>
      <c r="CO171" s="15"/>
      <c r="CP171" s="15"/>
      <c r="CQ171" s="15"/>
      <c r="CR171" s="15"/>
      <c r="CS171" s="15"/>
      <c r="CT171" s="15"/>
      <c r="CU171" s="645"/>
      <c r="CV171" s="645"/>
      <c r="CW171" s="645"/>
      <c r="CX171" s="645"/>
      <c r="CY171" s="645"/>
      <c r="CZ171" s="645"/>
      <c r="DA171" s="645"/>
      <c r="DB171" s="645"/>
      <c r="DC171" s="645"/>
      <c r="DD171" s="645"/>
      <c r="DE171" s="645"/>
      <c r="DF171" s="645"/>
      <c r="DG171" s="645"/>
      <c r="DH171" s="645"/>
      <c r="DI171" s="645"/>
      <c r="DJ171" s="645"/>
      <c r="DK171" s="645"/>
      <c r="DL171" s="645"/>
      <c r="DM171" s="645"/>
      <c r="DN171" s="645"/>
      <c r="DO171" s="645"/>
      <c r="DP171" s="645"/>
    </row>
    <row r="172" spans="1:120" s="33" customFormat="1" ht="15" customHeight="1">
      <c r="A172" s="316"/>
      <c r="B172" s="648" t="str">
        <f t="shared" si="110"/>
        <v>Philadelphia</v>
      </c>
      <c r="C172" s="902" t="str">
        <f t="shared" si="95"/>
        <v>USA</v>
      </c>
      <c r="D172" s="902" t="str">
        <f t="shared" si="96"/>
        <v>North America</v>
      </c>
      <c r="E172" s="902" t="str">
        <f t="shared" si="97"/>
        <v xml:space="preserve">Administrative boundary of a local government </v>
      </c>
      <c r="F172" s="643">
        <f t="shared" si="98"/>
        <v>2012</v>
      </c>
      <c r="G172" s="644">
        <f t="shared" si="99"/>
        <v>2012</v>
      </c>
      <c r="H172" s="643">
        <f t="shared" si="100"/>
        <v>1547607</v>
      </c>
      <c r="I172" s="643">
        <f t="shared" si="101"/>
        <v>347.31741</v>
      </c>
      <c r="J172" s="1038">
        <f t="shared" si="102"/>
        <v>367916000000</v>
      </c>
      <c r="K172" s="643" t="s">
        <v>172</v>
      </c>
      <c r="L172" s="643" t="s">
        <v>1556</v>
      </c>
      <c r="M172" s="643" t="s">
        <v>1639</v>
      </c>
      <c r="N172" s="647">
        <f t="shared" si="103"/>
        <v>50.250362049313587</v>
      </c>
      <c r="O172" s="647">
        <f t="shared" si="104"/>
        <v>36.672797075275938</v>
      </c>
      <c r="P172" s="647">
        <f t="shared" si="104"/>
        <v>8.9540479293204047</v>
      </c>
      <c r="Q172" s="647">
        <f t="shared" si="104"/>
        <v>4.6235170447172482</v>
      </c>
      <c r="S172" s="648" t="str">
        <f t="shared" si="105"/>
        <v>Philadelphia</v>
      </c>
      <c r="T172" s="647">
        <f t="shared" si="112"/>
        <v>10.026224592294126</v>
      </c>
      <c r="U172" s="647">
        <f t="shared" si="112"/>
        <v>17.952732041141822</v>
      </c>
      <c r="V172" s="647">
        <f t="shared" si="112"/>
        <v>7.3699023690190151</v>
      </c>
      <c r="W172" s="647" t="str">
        <f t="shared" si="112"/>
        <v/>
      </c>
      <c r="X172" s="647" t="str">
        <f t="shared" si="112"/>
        <v/>
      </c>
      <c r="Y172" s="647" t="str">
        <f t="shared" si="112"/>
        <v/>
      </c>
      <c r="Z172" s="647" t="str">
        <f t="shared" si="112"/>
        <v/>
      </c>
      <c r="AA172" s="647">
        <f t="shared" si="112"/>
        <v>1.32393807282097</v>
      </c>
      <c r="AB172" s="15"/>
      <c r="AC172" s="1041" t="str">
        <f t="shared" si="107"/>
        <v>Philadelphia</v>
      </c>
      <c r="AD172" s="647">
        <f t="shared" si="108"/>
        <v>8.0617788843105487</v>
      </c>
      <c r="AE172" s="647">
        <f t="shared" si="108"/>
        <v>0.89226904500985427</v>
      </c>
      <c r="AF172" s="647" t="str">
        <f t="shared" si="108"/>
        <v/>
      </c>
      <c r="AG172" s="647" t="str">
        <f t="shared" si="108"/>
        <v/>
      </c>
      <c r="AH172" s="647" t="str">
        <f t="shared" si="108"/>
        <v/>
      </c>
      <c r="AI172" s="15"/>
      <c r="AJ172" s="648" t="str">
        <f t="shared" si="111"/>
        <v>Philadelphia</v>
      </c>
      <c r="AK172" s="647">
        <f t="shared" si="109"/>
        <v>3.9530515692168029</v>
      </c>
      <c r="AL172" s="647" t="str">
        <f t="shared" si="109"/>
        <v/>
      </c>
      <c r="AM172" s="647">
        <f t="shared" si="109"/>
        <v>0.5889876381680107</v>
      </c>
      <c r="AN172" s="647">
        <f t="shared" si="109"/>
        <v>8.1477837332434577E-2</v>
      </c>
      <c r="AO172" s="15"/>
      <c r="AP172" s="15"/>
      <c r="AQ172" s="15"/>
      <c r="AR172" s="15"/>
      <c r="AS172" s="15"/>
      <c r="AT172" s="15"/>
      <c r="AU172" s="15"/>
      <c r="AV172" s="15"/>
      <c r="AW172" s="15"/>
      <c r="AX172" s="15"/>
      <c r="AY172" s="15"/>
      <c r="AZ172" s="15"/>
      <c r="BA172" s="15"/>
      <c r="BB172" s="15"/>
      <c r="BC172" s="15"/>
      <c r="BD172" s="15"/>
      <c r="BE172" s="15"/>
      <c r="BF172" s="15"/>
      <c r="BG172" s="15"/>
      <c r="BH172" s="15"/>
      <c r="BI172" s="15"/>
      <c r="BJ172" s="15"/>
      <c r="BK172" s="15"/>
      <c r="BL172" s="15"/>
      <c r="BM172" s="15"/>
      <c r="BN172" s="15"/>
      <c r="BO172" s="15"/>
      <c r="BP172" s="15"/>
      <c r="BQ172" s="15"/>
      <c r="BR172" s="15"/>
      <c r="BS172" s="15"/>
      <c r="BT172" s="15"/>
      <c r="BU172" s="15"/>
      <c r="BV172" s="15"/>
      <c r="BW172" s="15"/>
      <c r="BX172" s="15"/>
      <c r="BY172" s="15"/>
      <c r="BZ172" s="15"/>
      <c r="CA172" s="15"/>
      <c r="CB172" s="15"/>
      <c r="CC172" s="15"/>
      <c r="CD172" s="15"/>
      <c r="CE172" s="15"/>
      <c r="CF172" s="15"/>
      <c r="CG172" s="15"/>
      <c r="CH172" s="15"/>
      <c r="CI172" s="15"/>
      <c r="CJ172" s="15"/>
      <c r="CK172" s="15"/>
      <c r="CL172" s="15"/>
      <c r="CM172" s="15"/>
      <c r="CN172" s="15"/>
      <c r="CO172" s="15"/>
      <c r="CP172" s="15"/>
      <c r="CQ172" s="15"/>
      <c r="CR172" s="15"/>
      <c r="CS172" s="15"/>
      <c r="CT172" s="15"/>
      <c r="CU172" s="645"/>
      <c r="CV172" s="645"/>
      <c r="CW172" s="645"/>
      <c r="CX172" s="645"/>
      <c r="CY172" s="645"/>
      <c r="CZ172" s="645"/>
      <c r="DA172" s="645"/>
      <c r="DB172" s="645"/>
      <c r="DC172" s="645"/>
      <c r="DD172" s="645"/>
      <c r="DE172" s="645"/>
      <c r="DF172" s="645"/>
      <c r="DG172" s="645"/>
      <c r="DH172" s="645"/>
      <c r="DI172" s="645"/>
      <c r="DJ172" s="645"/>
      <c r="DK172" s="645"/>
      <c r="DL172" s="645"/>
      <c r="DM172" s="645"/>
      <c r="DN172" s="645"/>
      <c r="DO172" s="645"/>
      <c r="DP172" s="645"/>
    </row>
    <row r="173" spans="1:120" s="33" customFormat="1" ht="15" customHeight="1">
      <c r="A173" s="316"/>
      <c r="B173" s="648" t="str">
        <f t="shared" si="110"/>
        <v>Portland</v>
      </c>
      <c r="C173" s="902" t="str">
        <f t="shared" si="95"/>
        <v>United States of America</v>
      </c>
      <c r="D173" s="902" t="str">
        <f t="shared" si="96"/>
        <v>North America</v>
      </c>
      <c r="E173" s="902" t="str">
        <f t="shared" si="97"/>
        <v>Multnomah County</v>
      </c>
      <c r="F173" s="643">
        <f t="shared" si="98"/>
        <v>2013</v>
      </c>
      <c r="G173" s="644">
        <f t="shared" si="99"/>
        <v>2013</v>
      </c>
      <c r="H173" s="643">
        <f t="shared" si="100"/>
        <v>766135</v>
      </c>
      <c r="I173" s="643">
        <f t="shared" si="101"/>
        <v>1206.2</v>
      </c>
      <c r="J173" s="1038">
        <f t="shared" si="102"/>
        <v>163692000000</v>
      </c>
      <c r="K173" s="643" t="s">
        <v>172</v>
      </c>
      <c r="L173" s="643" t="s">
        <v>1556</v>
      </c>
      <c r="M173" s="643" t="s">
        <v>1639</v>
      </c>
      <c r="N173" s="647">
        <f t="shared" si="103"/>
        <v>47.102302617542989</v>
      </c>
      <c r="O173" s="647">
        <f t="shared" si="104"/>
        <v>29.137312424864675</v>
      </c>
      <c r="P173" s="647">
        <f t="shared" si="104"/>
        <v>17.289324918871408</v>
      </c>
      <c r="Q173" s="647">
        <f t="shared" si="104"/>
        <v>0.67566527380690566</v>
      </c>
      <c r="S173" s="648" t="str">
        <f t="shared" si="105"/>
        <v>Portland</v>
      </c>
      <c r="T173" s="647">
        <f t="shared" ref="T173:AA181" si="113">IF(ISERROR(T71/($J71/1000000)),"",T71/($J71/1000000))</f>
        <v>9.4105353817159703</v>
      </c>
      <c r="U173" s="647">
        <f t="shared" si="113"/>
        <v>11.508246304117966</v>
      </c>
      <c r="V173" s="647">
        <f t="shared" si="113"/>
        <v>8.1282514339944516</v>
      </c>
      <c r="W173" s="647" t="str">
        <f t="shared" si="113"/>
        <v/>
      </c>
      <c r="X173" s="647" t="str">
        <f t="shared" si="113"/>
        <v/>
      </c>
      <c r="Y173" s="647" t="str">
        <f t="shared" si="113"/>
        <v/>
      </c>
      <c r="Z173" s="647" t="str">
        <f t="shared" si="113"/>
        <v/>
      </c>
      <c r="AA173" s="647">
        <f t="shared" si="113"/>
        <v>9.0279305036287658E-2</v>
      </c>
      <c r="AB173" s="15"/>
      <c r="AC173" s="1041" t="str">
        <f t="shared" si="107"/>
        <v>Portland</v>
      </c>
      <c r="AD173" s="647">
        <f t="shared" si="108"/>
        <v>17.289324918871408</v>
      </c>
      <c r="AE173" s="647" t="str">
        <f t="shared" si="108"/>
        <v/>
      </c>
      <c r="AF173" s="647" t="str">
        <f t="shared" si="108"/>
        <v/>
      </c>
      <c r="AG173" s="647" t="str">
        <f t="shared" si="108"/>
        <v/>
      </c>
      <c r="AH173" s="647" t="str">
        <f t="shared" si="108"/>
        <v/>
      </c>
      <c r="AI173" s="15"/>
      <c r="AJ173" s="648" t="str">
        <f t="shared" si="111"/>
        <v>Portland</v>
      </c>
      <c r="AK173" s="647">
        <f t="shared" si="109"/>
        <v>0.56862888840016612</v>
      </c>
      <c r="AL173" s="647" t="str">
        <f t="shared" si="109"/>
        <v/>
      </c>
      <c r="AM173" s="647" t="str">
        <f t="shared" si="109"/>
        <v/>
      </c>
      <c r="AN173" s="647">
        <f t="shared" si="109"/>
        <v>0.10703638540673949</v>
      </c>
      <c r="AO173" s="15"/>
      <c r="AP173" s="15"/>
      <c r="AQ173" s="15"/>
      <c r="AR173" s="15"/>
      <c r="AS173" s="15"/>
      <c r="AT173" s="15"/>
      <c r="AU173" s="15"/>
      <c r="AV173" s="15"/>
      <c r="AW173" s="15"/>
      <c r="AX173" s="15"/>
      <c r="AY173" s="15"/>
      <c r="AZ173" s="15"/>
      <c r="BA173" s="15"/>
      <c r="BB173" s="15"/>
      <c r="BC173" s="15"/>
      <c r="BD173" s="15"/>
      <c r="BE173" s="15"/>
      <c r="BF173" s="15"/>
      <c r="BG173" s="15"/>
      <c r="BH173" s="15"/>
      <c r="BI173" s="15"/>
      <c r="BJ173" s="15"/>
      <c r="BK173" s="15"/>
      <c r="BL173" s="15"/>
      <c r="BM173" s="15"/>
      <c r="BN173" s="15"/>
      <c r="BO173" s="15"/>
      <c r="BP173" s="15"/>
      <c r="BQ173" s="15"/>
      <c r="BR173" s="15"/>
      <c r="BS173" s="15"/>
      <c r="BT173" s="15"/>
      <c r="BU173" s="15"/>
      <c r="BV173" s="15"/>
      <c r="BW173" s="15"/>
      <c r="BX173" s="15"/>
      <c r="BY173" s="15"/>
      <c r="BZ173" s="15"/>
      <c r="CA173" s="15"/>
      <c r="CB173" s="15"/>
      <c r="CC173" s="15"/>
      <c r="CD173" s="15"/>
      <c r="CE173" s="15"/>
      <c r="CF173" s="15"/>
      <c r="CG173" s="15"/>
      <c r="CH173" s="15"/>
      <c r="CI173" s="15"/>
      <c r="CJ173" s="15"/>
      <c r="CK173" s="15"/>
      <c r="CL173" s="15"/>
      <c r="CM173" s="15"/>
      <c r="CN173" s="15"/>
      <c r="CO173" s="15"/>
      <c r="CP173" s="15"/>
      <c r="CQ173" s="15"/>
      <c r="CR173" s="15"/>
      <c r="CS173" s="15"/>
      <c r="CT173" s="15"/>
      <c r="CU173" s="645"/>
      <c r="CV173" s="645"/>
      <c r="CW173" s="645"/>
      <c r="CX173" s="645"/>
      <c r="CY173" s="645"/>
      <c r="CZ173" s="645"/>
      <c r="DA173" s="645"/>
      <c r="DB173" s="645"/>
      <c r="DC173" s="645"/>
      <c r="DD173" s="645"/>
      <c r="DE173" s="645"/>
      <c r="DF173" s="645"/>
      <c r="DG173" s="645"/>
      <c r="DH173" s="645"/>
      <c r="DI173" s="645"/>
      <c r="DJ173" s="645"/>
      <c r="DK173" s="645"/>
      <c r="DL173" s="645"/>
      <c r="DM173" s="645"/>
      <c r="DN173" s="645"/>
      <c r="DO173" s="645"/>
      <c r="DP173" s="645"/>
    </row>
    <row r="174" spans="1:120" s="33" customFormat="1" ht="15" customHeight="1">
      <c r="A174" s="316"/>
      <c r="B174" s="648" t="str">
        <f t="shared" si="110"/>
        <v>Quito</v>
      </c>
      <c r="C174" s="902" t="str">
        <f t="shared" si="95"/>
        <v>Ecuador</v>
      </c>
      <c r="D174" s="902" t="str">
        <f t="shared" si="96"/>
        <v>Latin America</v>
      </c>
      <c r="E174" s="902" t="str">
        <f t="shared" si="97"/>
        <v>Other (please specify)</v>
      </c>
      <c r="F174" s="643">
        <f t="shared" si="98"/>
        <v>2011</v>
      </c>
      <c r="G174" s="644">
        <f t="shared" si="99"/>
        <v>2011</v>
      </c>
      <c r="H174" s="643">
        <f t="shared" si="100"/>
        <v>1607734</v>
      </c>
      <c r="I174" s="643">
        <f t="shared" si="101"/>
        <v>372.39</v>
      </c>
      <c r="J174" s="1038">
        <f t="shared" si="102"/>
        <v>16511524155.5264</v>
      </c>
      <c r="K174" s="643" t="s">
        <v>172</v>
      </c>
      <c r="L174" s="643" t="s">
        <v>1556</v>
      </c>
      <c r="M174" s="643" t="s">
        <v>1639</v>
      </c>
      <c r="N174" s="647">
        <f t="shared" si="103"/>
        <v>313.04196351665848</v>
      </c>
      <c r="O174" s="647">
        <f t="shared" si="104"/>
        <v>97.187026361399177</v>
      </c>
      <c r="P174" s="647">
        <f t="shared" si="104"/>
        <v>175.7805656041331</v>
      </c>
      <c r="Q174" s="647">
        <f t="shared" si="104"/>
        <v>40.074371551126191</v>
      </c>
      <c r="S174" s="648" t="str">
        <f t="shared" si="105"/>
        <v>Quito</v>
      </c>
      <c r="T174" s="647">
        <f t="shared" si="113"/>
        <v>48.206302717087993</v>
      </c>
      <c r="U174" s="647">
        <f t="shared" si="113"/>
        <v>13.528751196032925</v>
      </c>
      <c r="V174" s="647">
        <f t="shared" si="113"/>
        <v>35.451972448278248</v>
      </c>
      <c r="W174" s="647" t="str">
        <f t="shared" si="113"/>
        <v/>
      </c>
      <c r="X174" s="647" t="str">
        <f t="shared" si="113"/>
        <v/>
      </c>
      <c r="Y174" s="647" t="str">
        <f t="shared" si="113"/>
        <v/>
      </c>
      <c r="Z174" s="647" t="str">
        <f t="shared" si="113"/>
        <v/>
      </c>
      <c r="AA174" s="647" t="str">
        <f t="shared" si="113"/>
        <v/>
      </c>
      <c r="AB174" s="15"/>
      <c r="AC174" s="1041" t="str">
        <f t="shared" si="107"/>
        <v>Quito</v>
      </c>
      <c r="AD174" s="647">
        <f t="shared" si="108"/>
        <v>175.7805656041331</v>
      </c>
      <c r="AE174" s="647" t="str">
        <f t="shared" si="108"/>
        <v/>
      </c>
      <c r="AF174" s="647" t="str">
        <f t="shared" si="108"/>
        <v/>
      </c>
      <c r="AG174" s="647" t="str">
        <f t="shared" si="108"/>
        <v/>
      </c>
      <c r="AH174" s="647" t="str">
        <f t="shared" si="108"/>
        <v/>
      </c>
      <c r="AI174" s="15"/>
      <c r="AJ174" s="648" t="str">
        <f t="shared" si="111"/>
        <v>Quito</v>
      </c>
      <c r="AK174" s="647">
        <f t="shared" si="109"/>
        <v>39.91711920667251</v>
      </c>
      <c r="AL174" s="647" t="str">
        <f t="shared" si="109"/>
        <v/>
      </c>
      <c r="AM174" s="647">
        <f t="shared" si="109"/>
        <v>0.15725234445367423</v>
      </c>
      <c r="AN174" s="647" t="str">
        <f t="shared" si="109"/>
        <v/>
      </c>
      <c r="AO174" s="15"/>
      <c r="AP174" s="15"/>
      <c r="AQ174" s="15"/>
      <c r="AR174" s="15"/>
      <c r="AS174" s="15"/>
      <c r="AT174" s="15"/>
      <c r="AU174" s="15"/>
      <c r="AV174" s="15"/>
      <c r="AW174" s="15"/>
      <c r="AX174" s="15"/>
      <c r="AY174" s="15"/>
      <c r="AZ174" s="15"/>
      <c r="BA174" s="15"/>
      <c r="BB174" s="15"/>
      <c r="BC174" s="15"/>
      <c r="BD174" s="15"/>
      <c r="BE174" s="15"/>
      <c r="BF174" s="15"/>
      <c r="BG174" s="15"/>
      <c r="BH174" s="15"/>
      <c r="BI174" s="15"/>
      <c r="BJ174" s="15"/>
      <c r="BK174" s="15"/>
      <c r="BL174" s="15"/>
      <c r="BM174" s="15"/>
      <c r="BN174" s="15"/>
      <c r="BO174" s="15"/>
      <c r="BP174" s="15"/>
      <c r="BQ174" s="15"/>
      <c r="BR174" s="15"/>
      <c r="BS174" s="15"/>
      <c r="BT174" s="15"/>
      <c r="BU174" s="15"/>
      <c r="BV174" s="15"/>
      <c r="BW174" s="15"/>
      <c r="BX174" s="15"/>
      <c r="BY174" s="15"/>
      <c r="BZ174" s="15"/>
      <c r="CA174" s="15"/>
      <c r="CB174" s="15"/>
      <c r="CC174" s="15"/>
      <c r="CD174" s="15"/>
      <c r="CE174" s="15"/>
      <c r="CF174" s="15"/>
      <c r="CG174" s="15"/>
      <c r="CH174" s="15"/>
      <c r="CI174" s="15"/>
      <c r="CJ174" s="15"/>
      <c r="CK174" s="15"/>
      <c r="CL174" s="15"/>
      <c r="CM174" s="15"/>
      <c r="CN174" s="15"/>
      <c r="CO174" s="15"/>
      <c r="CP174" s="15"/>
      <c r="CQ174" s="15"/>
      <c r="CR174" s="15"/>
      <c r="CS174" s="15"/>
      <c r="CT174" s="15"/>
      <c r="CU174" s="645"/>
      <c r="CV174" s="645"/>
      <c r="CW174" s="645"/>
      <c r="CX174" s="645"/>
      <c r="CY174" s="645"/>
      <c r="CZ174" s="645"/>
      <c r="DA174" s="645"/>
      <c r="DB174" s="645"/>
      <c r="DC174" s="645"/>
      <c r="DD174" s="645"/>
      <c r="DE174" s="645"/>
      <c r="DF174" s="645"/>
      <c r="DG174" s="645"/>
      <c r="DH174" s="645"/>
      <c r="DI174" s="645"/>
      <c r="DJ174" s="645"/>
      <c r="DK174" s="645"/>
      <c r="DL174" s="645"/>
      <c r="DM174" s="645"/>
      <c r="DN174" s="645"/>
      <c r="DO174" s="645"/>
      <c r="DP174" s="645"/>
    </row>
    <row r="175" spans="1:120" s="33" customFormat="1" ht="15" customHeight="1">
      <c r="A175" s="316"/>
      <c r="B175" s="648" t="str">
        <f t="shared" si="110"/>
        <v>Rio de Janeiro</v>
      </c>
      <c r="C175" s="902" t="str">
        <f t="shared" si="95"/>
        <v>Brazil</v>
      </c>
      <c r="D175" s="902" t="str">
        <f t="shared" si="96"/>
        <v>Latin America</v>
      </c>
      <c r="E175" s="902" t="str">
        <f t="shared" si="97"/>
        <v xml:space="preserve">Administrative boundary of a local government </v>
      </c>
      <c r="F175" s="643">
        <f t="shared" si="98"/>
        <v>2012</v>
      </c>
      <c r="G175" s="644">
        <f t="shared" si="99"/>
        <v>2012</v>
      </c>
      <c r="H175" s="643">
        <f t="shared" si="100"/>
        <v>6390290</v>
      </c>
      <c r="I175" s="643">
        <f t="shared" si="101"/>
        <v>1224.56</v>
      </c>
      <c r="J175" s="1038">
        <f t="shared" si="102"/>
        <v>75060683634</v>
      </c>
      <c r="K175" s="643" t="s">
        <v>172</v>
      </c>
      <c r="L175" s="643" t="s">
        <v>1556</v>
      </c>
      <c r="M175" s="643" t="s">
        <v>1639</v>
      </c>
      <c r="N175" s="647">
        <f t="shared" si="103"/>
        <v>211.25448424713124</v>
      </c>
      <c r="O175" s="647">
        <f t="shared" si="104"/>
        <v>107.70011460898131</v>
      </c>
      <c r="P175" s="647">
        <f t="shared" si="104"/>
        <v>72.435537105909788</v>
      </c>
      <c r="Q175" s="647">
        <f t="shared" si="104"/>
        <v>31.118832532240152</v>
      </c>
      <c r="S175" s="648" t="str">
        <f t="shared" si="105"/>
        <v>Rio de Janeiro</v>
      </c>
      <c r="T175" s="647">
        <f t="shared" si="113"/>
        <v>26.433587965686918</v>
      </c>
      <c r="U175" s="647">
        <f t="shared" si="113"/>
        <v>28.574314147122188</v>
      </c>
      <c r="V175" s="647">
        <f t="shared" si="113"/>
        <v>20.133254679059572</v>
      </c>
      <c r="W175" s="647">
        <f t="shared" si="113"/>
        <v>18.032696463279962</v>
      </c>
      <c r="X175" s="647">
        <f t="shared" si="113"/>
        <v>8.8378525810199077E-3</v>
      </c>
      <c r="Y175" s="647">
        <f t="shared" si="113"/>
        <v>0.62817559281570245</v>
      </c>
      <c r="Z175" s="647">
        <f t="shared" si="113"/>
        <v>12.275587636436475</v>
      </c>
      <c r="AA175" s="647">
        <f t="shared" si="113"/>
        <v>1.6136602719994824</v>
      </c>
      <c r="AB175" s="15"/>
      <c r="AC175" s="1041" t="str">
        <f t="shared" si="107"/>
        <v>Rio de Janeiro</v>
      </c>
      <c r="AD175" s="647">
        <f t="shared" si="108"/>
        <v>71.093566160755387</v>
      </c>
      <c r="AE175" s="647">
        <f t="shared" si="108"/>
        <v>1.2096001066049857</v>
      </c>
      <c r="AF175" s="647">
        <f t="shared" si="108"/>
        <v>0.13237083854941828</v>
      </c>
      <c r="AG175" s="647" t="str">
        <f t="shared" si="108"/>
        <v/>
      </c>
      <c r="AH175" s="647" t="str">
        <f t="shared" si="108"/>
        <v/>
      </c>
      <c r="AI175" s="15"/>
      <c r="AJ175" s="648" t="str">
        <f t="shared" si="111"/>
        <v>Rio de Janeiro</v>
      </c>
      <c r="AK175" s="647">
        <f t="shared" si="109"/>
        <v>22.786404972032081</v>
      </c>
      <c r="AL175" s="647">
        <f t="shared" si="109"/>
        <v>9.745847820504543E-3</v>
      </c>
      <c r="AM175" s="647">
        <f t="shared" si="109"/>
        <v>5.9935372050917441E-3</v>
      </c>
      <c r="AN175" s="647">
        <f t="shared" si="109"/>
        <v>8.3166881751824686</v>
      </c>
      <c r="AO175" s="15"/>
      <c r="AP175" s="15"/>
      <c r="AQ175" s="15"/>
      <c r="AR175" s="15"/>
      <c r="AS175" s="15"/>
      <c r="AT175" s="15"/>
      <c r="AU175" s="15"/>
      <c r="AV175" s="15"/>
      <c r="AW175" s="15"/>
      <c r="AX175" s="15"/>
      <c r="AY175" s="15"/>
      <c r="AZ175" s="15"/>
      <c r="BA175" s="15"/>
      <c r="BB175" s="15"/>
      <c r="BC175" s="15"/>
      <c r="BD175" s="15"/>
      <c r="BE175" s="15"/>
      <c r="BF175" s="15"/>
      <c r="BG175" s="15"/>
      <c r="BH175" s="15"/>
      <c r="BI175" s="15"/>
      <c r="BJ175" s="15"/>
      <c r="BK175" s="15"/>
      <c r="BL175" s="15"/>
      <c r="BM175" s="15"/>
      <c r="BN175" s="15"/>
      <c r="BO175" s="15"/>
      <c r="BP175" s="15"/>
      <c r="BQ175" s="15"/>
      <c r="BR175" s="15"/>
      <c r="BS175" s="15"/>
      <c r="BT175" s="15"/>
      <c r="BU175" s="15"/>
      <c r="BV175" s="15"/>
      <c r="BW175" s="15"/>
      <c r="BX175" s="15"/>
      <c r="BY175" s="15"/>
      <c r="BZ175" s="15"/>
      <c r="CA175" s="15"/>
      <c r="CB175" s="15"/>
      <c r="CC175" s="15"/>
      <c r="CD175" s="15"/>
      <c r="CE175" s="15"/>
      <c r="CF175" s="15"/>
      <c r="CG175" s="15"/>
      <c r="CH175" s="15"/>
      <c r="CI175" s="15"/>
      <c r="CJ175" s="15"/>
      <c r="CK175" s="15"/>
      <c r="CL175" s="15"/>
      <c r="CM175" s="15"/>
      <c r="CN175" s="15"/>
      <c r="CO175" s="15"/>
      <c r="CP175" s="15"/>
      <c r="CQ175" s="15"/>
      <c r="CR175" s="15"/>
      <c r="CS175" s="15"/>
      <c r="CT175" s="15"/>
      <c r="CU175" s="645"/>
      <c r="CV175" s="645"/>
      <c r="CW175" s="645"/>
      <c r="CX175" s="645"/>
      <c r="CY175" s="645"/>
      <c r="CZ175" s="645"/>
      <c r="DA175" s="645"/>
      <c r="DB175" s="645"/>
      <c r="DC175" s="645"/>
      <c r="DD175" s="645"/>
      <c r="DE175" s="645"/>
      <c r="DF175" s="645"/>
      <c r="DG175" s="645"/>
      <c r="DH175" s="645"/>
      <c r="DI175" s="645"/>
      <c r="DJ175" s="645"/>
      <c r="DK175" s="645"/>
      <c r="DL175" s="645"/>
      <c r="DM175" s="645"/>
      <c r="DN175" s="645"/>
      <c r="DO175" s="645"/>
      <c r="DP175" s="645"/>
    </row>
    <row r="176" spans="1:120" s="33" customFormat="1" ht="15" customHeight="1">
      <c r="A176" s="316"/>
      <c r="B176" s="648" t="str">
        <f t="shared" si="110"/>
        <v>San Francisco</v>
      </c>
      <c r="C176" s="902" t="str">
        <f t="shared" si="95"/>
        <v>USA</v>
      </c>
      <c r="D176" s="902" t="str">
        <f t="shared" si="96"/>
        <v>Europe</v>
      </c>
      <c r="E176" s="902" t="str">
        <f t="shared" si="97"/>
        <v xml:space="preserve">Administrative boundary of a local government </v>
      </c>
      <c r="F176" s="643">
        <f t="shared" si="98"/>
        <v>2012</v>
      </c>
      <c r="G176" s="644">
        <f t="shared" si="99"/>
        <v>2012</v>
      </c>
      <c r="H176" s="643">
        <f t="shared" si="100"/>
        <v>827420</v>
      </c>
      <c r="I176" s="643">
        <f t="shared" si="101"/>
        <v>121</v>
      </c>
      <c r="J176" s="1038">
        <f t="shared" si="102"/>
        <v>89205219000</v>
      </c>
      <c r="K176" s="643" t="s">
        <v>172</v>
      </c>
      <c r="L176" s="643" t="s">
        <v>1556</v>
      </c>
      <c r="M176" s="643" t="s">
        <v>1639</v>
      </c>
      <c r="N176" s="647">
        <f t="shared" si="103"/>
        <v>61.571658127090579</v>
      </c>
      <c r="O176" s="647">
        <f t="shared" si="104"/>
        <v>30.363801886857757</v>
      </c>
      <c r="P176" s="647">
        <f t="shared" si="104"/>
        <v>29.081046606978894</v>
      </c>
      <c r="Q176" s="647">
        <f t="shared" si="104"/>
        <v>2.1268096332539286</v>
      </c>
      <c r="S176" s="648" t="str">
        <f t="shared" si="105"/>
        <v>San Francisco</v>
      </c>
      <c r="T176" s="647">
        <f t="shared" si="113"/>
        <v>11.776376077032396</v>
      </c>
      <c r="U176" s="647">
        <f t="shared" si="113"/>
        <v>16.541133372892904</v>
      </c>
      <c r="V176" s="647" t="str">
        <f t="shared" si="113"/>
        <v/>
      </c>
      <c r="W176" s="647">
        <f t="shared" si="113"/>
        <v>7.9031250402512886E-4</v>
      </c>
      <c r="X176" s="647">
        <f t="shared" si="113"/>
        <v>1.2219016019679298E-3</v>
      </c>
      <c r="Y176" s="647">
        <f t="shared" si="113"/>
        <v>1.8954160069939405</v>
      </c>
      <c r="Z176" s="647" t="str">
        <f t="shared" si="113"/>
        <v/>
      </c>
      <c r="AA176" s="647">
        <f t="shared" si="113"/>
        <v>0.14886421583252421</v>
      </c>
      <c r="AB176" s="15"/>
      <c r="AC176" s="1041" t="str">
        <f t="shared" si="107"/>
        <v>San Francisco</v>
      </c>
      <c r="AD176" s="647">
        <f t="shared" si="108"/>
        <v>22.093936992787743</v>
      </c>
      <c r="AE176" s="647">
        <f t="shared" si="108"/>
        <v>0.76930076603396613</v>
      </c>
      <c r="AF176" s="647">
        <f t="shared" si="108"/>
        <v>6.2178088481571914</v>
      </c>
      <c r="AG176" s="647" t="str">
        <f t="shared" si="108"/>
        <v/>
      </c>
      <c r="AH176" s="647" t="str">
        <f t="shared" si="108"/>
        <v/>
      </c>
      <c r="AI176" s="15"/>
      <c r="AJ176" s="648" t="str">
        <f t="shared" si="111"/>
        <v>San Francisco</v>
      </c>
      <c r="AK176" s="647">
        <f t="shared" si="109"/>
        <v>2.0222754575541151</v>
      </c>
      <c r="AL176" s="647" t="str">
        <f t="shared" si="109"/>
        <v/>
      </c>
      <c r="AM176" s="647" t="str">
        <f t="shared" si="109"/>
        <v/>
      </c>
      <c r="AN176" s="647">
        <f t="shared" si="109"/>
        <v>0.10453417569981338</v>
      </c>
      <c r="AO176" s="15"/>
      <c r="AP176" s="15"/>
      <c r="AQ176" s="15"/>
      <c r="AR176" s="15"/>
      <c r="AS176" s="15"/>
      <c r="AT176" s="15"/>
      <c r="AU176" s="15"/>
      <c r="AV176" s="15"/>
      <c r="AW176" s="15"/>
      <c r="AX176" s="15"/>
      <c r="AY176" s="15"/>
      <c r="AZ176" s="15"/>
      <c r="BA176" s="15"/>
      <c r="BB176" s="15"/>
      <c r="BC176" s="15"/>
      <c r="BD176" s="15"/>
      <c r="BE176" s="15"/>
      <c r="BF176" s="15"/>
      <c r="BG176" s="15"/>
      <c r="BH176" s="15"/>
      <c r="BI176" s="15"/>
      <c r="BJ176" s="15"/>
      <c r="BK176" s="15"/>
      <c r="BL176" s="15"/>
      <c r="BM176" s="15"/>
      <c r="BN176" s="15"/>
      <c r="BO176" s="15"/>
      <c r="BP176" s="15"/>
      <c r="BQ176" s="15"/>
      <c r="BR176" s="15"/>
      <c r="BS176" s="15"/>
      <c r="BT176" s="15"/>
      <c r="BU176" s="15"/>
      <c r="BV176" s="15"/>
      <c r="BW176" s="15"/>
      <c r="BX176" s="15"/>
      <c r="BY176" s="15"/>
      <c r="BZ176" s="15"/>
      <c r="CA176" s="15"/>
      <c r="CB176" s="15"/>
      <c r="CC176" s="15"/>
      <c r="CD176" s="15"/>
      <c r="CE176" s="15"/>
      <c r="CF176" s="15"/>
      <c r="CG176" s="15"/>
      <c r="CH176" s="15"/>
      <c r="CI176" s="15"/>
      <c r="CJ176" s="15"/>
      <c r="CK176" s="15"/>
      <c r="CL176" s="15"/>
      <c r="CM176" s="15"/>
      <c r="CN176" s="15"/>
      <c r="CO176" s="15"/>
      <c r="CP176" s="15"/>
      <c r="CQ176" s="15"/>
      <c r="CR176" s="15"/>
      <c r="CS176" s="15"/>
      <c r="CT176" s="15"/>
      <c r="CU176" s="645"/>
      <c r="CV176" s="645"/>
      <c r="CW176" s="645"/>
      <c r="CX176" s="645"/>
      <c r="CY176" s="645"/>
      <c r="CZ176" s="645"/>
      <c r="DA176" s="645"/>
      <c r="DB176" s="645"/>
      <c r="DC176" s="645"/>
      <c r="DD176" s="645"/>
      <c r="DE176" s="645"/>
      <c r="DF176" s="645"/>
      <c r="DG176" s="645"/>
      <c r="DH176" s="645"/>
      <c r="DI176" s="645"/>
      <c r="DJ176" s="645"/>
      <c r="DK176" s="645"/>
      <c r="DL176" s="645"/>
      <c r="DM176" s="645"/>
      <c r="DN176" s="645"/>
      <c r="DO176" s="645"/>
      <c r="DP176" s="645"/>
    </row>
    <row r="177" spans="1:120" s="33" customFormat="1" ht="15" customHeight="1">
      <c r="A177" s="316"/>
      <c r="B177" s="648" t="str">
        <f t="shared" si="110"/>
        <v>Seattle</v>
      </c>
      <c r="C177" s="902" t="str">
        <f t="shared" si="95"/>
        <v>USA</v>
      </c>
      <c r="D177" s="902" t="str">
        <f t="shared" si="96"/>
        <v>North America</v>
      </c>
      <c r="E177" s="902" t="str">
        <f t="shared" si="97"/>
        <v xml:space="preserve">Administrative boundary of a local government </v>
      </c>
      <c r="F177" s="643">
        <f t="shared" si="98"/>
        <v>2012</v>
      </c>
      <c r="G177" s="644">
        <f t="shared" si="99"/>
        <v>2012</v>
      </c>
      <c r="H177" s="643">
        <f t="shared" si="100"/>
        <v>634535</v>
      </c>
      <c r="I177" s="643">
        <f t="shared" si="101"/>
        <v>215</v>
      </c>
      <c r="J177" s="1038">
        <f t="shared" si="102"/>
        <v>48900000000</v>
      </c>
      <c r="K177" s="643" t="s">
        <v>172</v>
      </c>
      <c r="L177" s="643" t="s">
        <v>1556</v>
      </c>
      <c r="M177" s="643" t="s">
        <v>1639</v>
      </c>
      <c r="N177" s="647">
        <f t="shared" si="103"/>
        <v>89.269325531969528</v>
      </c>
      <c r="O177" s="647">
        <f t="shared" si="104"/>
        <v>39.492358874971821</v>
      </c>
      <c r="P177" s="647">
        <f t="shared" si="104"/>
        <v>48.816258327799289</v>
      </c>
      <c r="Q177" s="647">
        <f t="shared" si="104"/>
        <v>0.96070832919842697</v>
      </c>
      <c r="S177" s="648" t="str">
        <f t="shared" si="105"/>
        <v>Seattle</v>
      </c>
      <c r="T177" s="647">
        <f t="shared" si="113"/>
        <v>11.411841356657524</v>
      </c>
      <c r="U177" s="647">
        <f t="shared" si="113"/>
        <v>17.778907165320835</v>
      </c>
      <c r="V177" s="647">
        <f t="shared" si="113"/>
        <v>9.9970674057946649</v>
      </c>
      <c r="W177" s="647" t="str">
        <f t="shared" si="113"/>
        <v/>
      </c>
      <c r="X177" s="647" t="str">
        <f t="shared" si="113"/>
        <v/>
      </c>
      <c r="Y177" s="647" t="str">
        <f t="shared" si="113"/>
        <v/>
      </c>
      <c r="Z177" s="647" t="str">
        <f t="shared" si="113"/>
        <v/>
      </c>
      <c r="AA177" s="647">
        <f t="shared" si="113"/>
        <v>0.30454294719879682</v>
      </c>
      <c r="AB177" s="15"/>
      <c r="AC177" s="1041" t="str">
        <f t="shared" si="107"/>
        <v>Seattle</v>
      </c>
      <c r="AD177" s="647">
        <f t="shared" si="108"/>
        <v>43.819500519881501</v>
      </c>
      <c r="AE177" s="647">
        <f t="shared" si="108"/>
        <v>1.3206767479940984</v>
      </c>
      <c r="AF177" s="647">
        <f t="shared" si="108"/>
        <v>3.6760810599237002</v>
      </c>
      <c r="AG177" s="647" t="str">
        <f t="shared" si="108"/>
        <v/>
      </c>
      <c r="AH177" s="647" t="str">
        <f t="shared" si="108"/>
        <v/>
      </c>
      <c r="AI177" s="15"/>
      <c r="AJ177" s="648" t="str">
        <f t="shared" si="111"/>
        <v>Seattle</v>
      </c>
      <c r="AK177" s="647">
        <f t="shared" si="109"/>
        <v>0.92198364008179956</v>
      </c>
      <c r="AL177" s="647" t="str">
        <f t="shared" si="109"/>
        <v/>
      </c>
      <c r="AM177" s="647" t="str">
        <f t="shared" si="109"/>
        <v/>
      </c>
      <c r="AN177" s="647">
        <f t="shared" si="109"/>
        <v>3.8724689116627339E-2</v>
      </c>
      <c r="AO177" s="15"/>
      <c r="AP177" s="15"/>
      <c r="AQ177" s="15"/>
      <c r="AR177" s="15"/>
      <c r="AS177" s="15"/>
      <c r="AT177" s="15"/>
      <c r="AU177" s="15"/>
      <c r="AV177" s="15"/>
      <c r="AW177" s="15"/>
      <c r="AX177" s="15"/>
      <c r="AY177" s="15"/>
      <c r="AZ177" s="15"/>
      <c r="BA177" s="15"/>
      <c r="BB177" s="15"/>
      <c r="BC177" s="15"/>
      <c r="BD177" s="15"/>
      <c r="BE177" s="15"/>
      <c r="BF177" s="15"/>
      <c r="BG177" s="15"/>
      <c r="BH177" s="15"/>
      <c r="BI177" s="15"/>
      <c r="BJ177" s="15"/>
      <c r="BK177" s="15"/>
      <c r="BL177" s="15"/>
      <c r="BM177" s="15"/>
      <c r="BN177" s="15"/>
      <c r="BO177" s="15"/>
      <c r="BP177" s="15"/>
      <c r="BQ177" s="15"/>
      <c r="BR177" s="15"/>
      <c r="BS177" s="15"/>
      <c r="BT177" s="15"/>
      <c r="BU177" s="15"/>
      <c r="BV177" s="15"/>
      <c r="BW177" s="15"/>
      <c r="BX177" s="15"/>
      <c r="BY177" s="15"/>
      <c r="BZ177" s="15"/>
      <c r="CA177" s="15"/>
      <c r="CB177" s="15"/>
      <c r="CC177" s="15"/>
      <c r="CD177" s="15"/>
      <c r="CE177" s="15"/>
      <c r="CF177" s="15"/>
      <c r="CG177" s="15"/>
      <c r="CH177" s="15"/>
      <c r="CI177" s="15"/>
      <c r="CJ177" s="15"/>
      <c r="CK177" s="15"/>
      <c r="CL177" s="15"/>
      <c r="CM177" s="15"/>
      <c r="CN177" s="15"/>
      <c r="CO177" s="15"/>
      <c r="CP177" s="15"/>
      <c r="CQ177" s="15"/>
      <c r="CR177" s="15"/>
      <c r="CS177" s="15"/>
      <c r="CT177" s="15"/>
      <c r="CU177" s="645"/>
      <c r="CV177" s="645"/>
      <c r="CW177" s="645"/>
      <c r="CX177" s="645"/>
      <c r="CY177" s="645"/>
      <c r="CZ177" s="645"/>
      <c r="DA177" s="645"/>
      <c r="DB177" s="645"/>
      <c r="DC177" s="645"/>
      <c r="DD177" s="645"/>
      <c r="DE177" s="645"/>
      <c r="DF177" s="645"/>
      <c r="DG177" s="645"/>
      <c r="DH177" s="645"/>
      <c r="DI177" s="645"/>
      <c r="DJ177" s="645"/>
      <c r="DK177" s="645"/>
      <c r="DL177" s="645"/>
      <c r="DM177" s="645"/>
      <c r="DN177" s="645"/>
      <c r="DO177" s="645"/>
      <c r="DP177" s="645"/>
    </row>
    <row r="178" spans="1:120" s="33" customFormat="1" ht="15" customHeight="1">
      <c r="A178" s="316"/>
      <c r="B178" s="648" t="str">
        <f t="shared" si="110"/>
        <v>Stockholm</v>
      </c>
      <c r="C178" s="902" t="str">
        <f t="shared" si="95"/>
        <v>Sweden</v>
      </c>
      <c r="D178" s="902" t="str">
        <f t="shared" si="96"/>
        <v>Europe</v>
      </c>
      <c r="E178" s="902" t="str">
        <f t="shared" si="97"/>
        <v xml:space="preserve">Administrative boundary of a local government </v>
      </c>
      <c r="F178" s="643">
        <f t="shared" si="98"/>
        <v>2012</v>
      </c>
      <c r="G178" s="644">
        <f t="shared" si="99"/>
        <v>2012</v>
      </c>
      <c r="H178" s="643">
        <f t="shared" si="100"/>
        <v>881235</v>
      </c>
      <c r="I178" s="643">
        <f t="shared" si="101"/>
        <v>216</v>
      </c>
      <c r="J178" s="1038">
        <f t="shared" si="102"/>
        <v>416797000000</v>
      </c>
      <c r="K178" s="643" t="s">
        <v>172</v>
      </c>
      <c r="L178" s="643" t="s">
        <v>1556</v>
      </c>
      <c r="M178" s="643" t="s">
        <v>1639</v>
      </c>
      <c r="N178" s="647">
        <f t="shared" si="103"/>
        <v>5.142650685801482</v>
      </c>
      <c r="O178" s="647">
        <f t="shared" si="104"/>
        <v>2.9290263965431613</v>
      </c>
      <c r="P178" s="647">
        <f t="shared" si="104"/>
        <v>2.1949981045928832</v>
      </c>
      <c r="Q178" s="647">
        <f t="shared" si="104"/>
        <v>1.8626184665436654E-2</v>
      </c>
      <c r="S178" s="648" t="str">
        <f t="shared" si="105"/>
        <v>Stockholm</v>
      </c>
      <c r="T178" s="647">
        <f t="shared" si="113"/>
        <v>1.6657172579217223</v>
      </c>
      <c r="U178" s="647">
        <f t="shared" si="113"/>
        <v>1.142061292547691</v>
      </c>
      <c r="V178" s="647">
        <f t="shared" si="113"/>
        <v>0.12116867083976132</v>
      </c>
      <c r="W178" s="647" t="str">
        <f t="shared" si="113"/>
        <v/>
      </c>
      <c r="X178" s="647" t="str">
        <f t="shared" si="113"/>
        <v/>
      </c>
      <c r="Y178" s="647" t="str">
        <f t="shared" si="113"/>
        <v/>
      </c>
      <c r="Z178" s="647" t="str">
        <f t="shared" si="113"/>
        <v/>
      </c>
      <c r="AA178" s="647">
        <f t="shared" si="113"/>
        <v>7.9175233986808932E-5</v>
      </c>
      <c r="AB178" s="15"/>
      <c r="AC178" s="1041" t="str">
        <f t="shared" si="107"/>
        <v>Stockholm</v>
      </c>
      <c r="AD178" s="647">
        <f t="shared" si="108"/>
        <v>1.5556206018757333</v>
      </c>
      <c r="AE178" s="647">
        <f t="shared" si="108"/>
        <v>7.963259092555848E-2</v>
      </c>
      <c r="AF178" s="647">
        <f t="shared" si="108"/>
        <v>0.22073095535716428</v>
      </c>
      <c r="AG178" s="647">
        <f t="shared" si="108"/>
        <v>4.7745065343560537E-2</v>
      </c>
      <c r="AH178" s="647">
        <f t="shared" si="108"/>
        <v>0.29126889109086679</v>
      </c>
      <c r="AI178" s="15"/>
      <c r="AJ178" s="648" t="str">
        <f t="shared" si="111"/>
        <v>Stockholm</v>
      </c>
      <c r="AK178" s="647" t="str">
        <f t="shared" si="109"/>
        <v/>
      </c>
      <c r="AL178" s="647" t="str">
        <f t="shared" si="109"/>
        <v/>
      </c>
      <c r="AM178" s="647" t="str">
        <f t="shared" si="109"/>
        <v/>
      </c>
      <c r="AN178" s="647">
        <f t="shared" si="109"/>
        <v>1.8626184665436654E-2</v>
      </c>
      <c r="AO178" s="15"/>
      <c r="AP178" s="15"/>
      <c r="AQ178" s="15"/>
      <c r="AR178" s="15"/>
      <c r="AS178" s="15"/>
      <c r="AT178" s="15"/>
      <c r="AU178" s="15"/>
      <c r="AV178" s="15"/>
      <c r="AW178" s="15"/>
      <c r="AX178" s="15"/>
      <c r="AY178" s="15"/>
      <c r="AZ178" s="15"/>
      <c r="BA178" s="15"/>
      <c r="BB178" s="15"/>
      <c r="BC178" s="15"/>
      <c r="BD178" s="15"/>
      <c r="BE178" s="15"/>
      <c r="BF178" s="15"/>
      <c r="BG178" s="15"/>
      <c r="BH178" s="15"/>
      <c r="BI178" s="15"/>
      <c r="BJ178" s="15"/>
      <c r="BK178" s="15"/>
      <c r="BL178" s="15"/>
      <c r="BM178" s="15"/>
      <c r="BN178" s="15"/>
      <c r="BO178" s="15"/>
      <c r="BP178" s="15"/>
      <c r="BQ178" s="15"/>
      <c r="BR178" s="15"/>
      <c r="BS178" s="15"/>
      <c r="BT178" s="15"/>
      <c r="BU178" s="15"/>
      <c r="BV178" s="15"/>
      <c r="BW178" s="15"/>
      <c r="BX178" s="15"/>
      <c r="BY178" s="15"/>
      <c r="BZ178" s="15"/>
      <c r="CA178" s="15"/>
      <c r="CB178" s="15"/>
      <c r="CC178" s="15"/>
      <c r="CD178" s="15"/>
      <c r="CE178" s="15"/>
      <c r="CF178" s="15"/>
      <c r="CG178" s="15"/>
      <c r="CH178" s="15"/>
      <c r="CI178" s="15"/>
      <c r="CJ178" s="15"/>
      <c r="CK178" s="15"/>
      <c r="CL178" s="15"/>
      <c r="CM178" s="15"/>
      <c r="CN178" s="15"/>
      <c r="CO178" s="15"/>
      <c r="CP178" s="15"/>
      <c r="CQ178" s="15"/>
      <c r="CR178" s="15"/>
      <c r="CS178" s="15"/>
      <c r="CT178" s="15"/>
      <c r="CU178" s="645"/>
      <c r="CV178" s="645"/>
      <c r="CW178" s="645"/>
      <c r="CX178" s="645"/>
      <c r="CY178" s="645"/>
      <c r="CZ178" s="645"/>
      <c r="DA178" s="645"/>
      <c r="DB178" s="645"/>
      <c r="DC178" s="645"/>
      <c r="DD178" s="645"/>
      <c r="DE178" s="645"/>
      <c r="DF178" s="645"/>
      <c r="DG178" s="645"/>
      <c r="DH178" s="645"/>
      <c r="DI178" s="645"/>
      <c r="DJ178" s="645"/>
      <c r="DK178" s="645"/>
      <c r="DL178" s="645"/>
      <c r="DM178" s="645"/>
      <c r="DN178" s="645"/>
      <c r="DO178" s="645"/>
      <c r="DP178" s="645"/>
    </row>
    <row r="179" spans="1:120" s="33" customFormat="1" ht="15" customHeight="1">
      <c r="A179" s="316"/>
      <c r="B179" s="648" t="str">
        <f t="shared" si="110"/>
        <v>City of Sydney</v>
      </c>
      <c r="C179" s="902" t="str">
        <f t="shared" si="95"/>
        <v>Australia</v>
      </c>
      <c r="D179" s="902" t="str">
        <f t="shared" si="96"/>
        <v>Europe</v>
      </c>
      <c r="E179" s="902" t="str">
        <f t="shared" si="97"/>
        <v xml:space="preserve">Administrative boundary of a local government </v>
      </c>
      <c r="F179" s="643" t="str">
        <f t="shared" si="98"/>
        <v>2014-2015</v>
      </c>
      <c r="G179" s="644" t="str">
        <f t="shared" ref="G179" si="114">F179</f>
        <v>2014-2015</v>
      </c>
      <c r="H179" s="643">
        <f t="shared" si="100"/>
        <v>205728.86297376096</v>
      </c>
      <c r="I179" s="643">
        <f t="shared" si="101"/>
        <v>26.15</v>
      </c>
      <c r="J179" s="1038">
        <f t="shared" si="102"/>
        <v>73012549539.320007</v>
      </c>
      <c r="K179" s="643" t="s">
        <v>172</v>
      </c>
      <c r="L179" s="643" t="s">
        <v>1556</v>
      </c>
      <c r="M179" s="643" t="s">
        <v>1639</v>
      </c>
      <c r="N179" s="647">
        <f t="shared" si="103"/>
        <v>51.18110365152971</v>
      </c>
      <c r="O179" s="647">
        <f t="shared" si="104"/>
        <v>45.298439636869197</v>
      </c>
      <c r="P179" s="647">
        <f t="shared" si="104"/>
        <v>3.4127567491064856</v>
      </c>
      <c r="Q179" s="647">
        <f t="shared" si="104"/>
        <v>2.4699072655540308</v>
      </c>
      <c r="S179" s="648" t="str">
        <f t="shared" si="105"/>
        <v>City of Sydney</v>
      </c>
      <c r="T179" s="647">
        <f t="shared" si="113"/>
        <v>5.6656318529242968</v>
      </c>
      <c r="U179" s="647">
        <f t="shared" si="113"/>
        <v>39.424149612260507</v>
      </c>
      <c r="V179" s="647" t="str">
        <f t="shared" si="113"/>
        <v/>
      </c>
      <c r="W179" s="647" t="str">
        <f t="shared" si="113"/>
        <v/>
      </c>
      <c r="X179" s="647" t="str">
        <f t="shared" si="113"/>
        <v/>
      </c>
      <c r="Y179" s="647" t="str">
        <f t="shared" si="113"/>
        <v/>
      </c>
      <c r="Z179" s="647" t="str">
        <f t="shared" si="113"/>
        <v/>
      </c>
      <c r="AA179" s="647">
        <f t="shared" si="113"/>
        <v>0.20865817168439904</v>
      </c>
      <c r="AB179" s="15"/>
      <c r="AC179" s="1041" t="str">
        <f t="shared" si="107"/>
        <v>City of Sydney</v>
      </c>
      <c r="AD179" s="647">
        <f t="shared" si="108"/>
        <v>2.1749015946244312</v>
      </c>
      <c r="AE179" s="647">
        <f t="shared" si="108"/>
        <v>1.1713238966640374</v>
      </c>
      <c r="AF179" s="647">
        <f t="shared" si="108"/>
        <v>6.6531257818017511E-2</v>
      </c>
      <c r="AG179" s="647" t="str">
        <f t="shared" si="108"/>
        <v/>
      </c>
      <c r="AH179" s="647" t="str">
        <f t="shared" si="108"/>
        <v/>
      </c>
      <c r="AI179" s="15"/>
      <c r="AJ179" s="648" t="str">
        <f t="shared" si="111"/>
        <v>City of Sydney</v>
      </c>
      <c r="AK179" s="647">
        <f t="shared" si="109"/>
        <v>2.3971016093027395</v>
      </c>
      <c r="AL179" s="647">
        <f t="shared" si="109"/>
        <v>2.6822731329842549E-3</v>
      </c>
      <c r="AM179" s="647" t="str">
        <f t="shared" si="109"/>
        <v/>
      </c>
      <c r="AN179" s="647">
        <f t="shared" si="109"/>
        <v>7.0123383118306737E-2</v>
      </c>
      <c r="AO179" s="15"/>
      <c r="AP179" s="15"/>
      <c r="AQ179" s="15"/>
      <c r="AR179" s="15"/>
      <c r="AS179" s="15"/>
      <c r="AT179" s="15"/>
      <c r="AU179" s="15"/>
      <c r="AV179" s="15"/>
      <c r="AW179" s="15"/>
      <c r="AX179" s="15"/>
      <c r="AY179" s="15"/>
      <c r="AZ179" s="15"/>
      <c r="BA179" s="15"/>
      <c r="BB179" s="15"/>
      <c r="BC179" s="15"/>
      <c r="BD179" s="15"/>
      <c r="BE179" s="15"/>
      <c r="BF179" s="15"/>
      <c r="BG179" s="15"/>
      <c r="BH179" s="15"/>
      <c r="BI179" s="15"/>
      <c r="BJ179" s="15"/>
      <c r="BK179" s="15"/>
      <c r="BL179" s="15"/>
      <c r="BM179" s="15"/>
      <c r="BN179" s="15"/>
      <c r="BO179" s="15"/>
      <c r="BP179" s="15"/>
      <c r="BQ179" s="15"/>
      <c r="BR179" s="15"/>
      <c r="BS179" s="15"/>
      <c r="BT179" s="15"/>
      <c r="BU179" s="15"/>
      <c r="BV179" s="15"/>
      <c r="BW179" s="15"/>
      <c r="BX179" s="15"/>
      <c r="BY179" s="15"/>
      <c r="BZ179" s="15"/>
      <c r="CA179" s="15"/>
      <c r="CB179" s="15"/>
      <c r="CC179" s="15"/>
      <c r="CD179" s="15"/>
      <c r="CE179" s="15"/>
      <c r="CF179" s="15"/>
      <c r="CG179" s="15"/>
      <c r="CH179" s="15"/>
      <c r="CI179" s="15"/>
      <c r="CJ179" s="15"/>
      <c r="CK179" s="15"/>
      <c r="CL179" s="15"/>
      <c r="CM179" s="15"/>
      <c r="CN179" s="15"/>
      <c r="CO179" s="15"/>
      <c r="CP179" s="15"/>
      <c r="CQ179" s="15"/>
      <c r="CR179" s="15"/>
      <c r="CS179" s="15"/>
      <c r="CT179" s="15"/>
      <c r="CU179" s="645"/>
      <c r="CV179" s="645"/>
      <c r="CW179" s="645"/>
      <c r="CX179" s="645"/>
      <c r="CY179" s="645"/>
      <c r="CZ179" s="645"/>
      <c r="DA179" s="645"/>
      <c r="DB179" s="645"/>
      <c r="DC179" s="645"/>
      <c r="DD179" s="645"/>
      <c r="DE179" s="645"/>
      <c r="DF179" s="645"/>
      <c r="DG179" s="645"/>
      <c r="DH179" s="645"/>
      <c r="DI179" s="645"/>
      <c r="DJ179" s="645"/>
      <c r="DK179" s="645"/>
      <c r="DL179" s="645"/>
      <c r="DM179" s="645"/>
      <c r="DN179" s="645"/>
      <c r="DO179" s="645"/>
      <c r="DP179" s="645"/>
    </row>
    <row r="180" spans="1:120" s="33" customFormat="1" ht="15" customHeight="1">
      <c r="A180" s="316"/>
      <c r="B180" s="648" t="str">
        <f t="shared" si="110"/>
        <v>Toronto</v>
      </c>
      <c r="C180" s="902" t="str">
        <f t="shared" si="95"/>
        <v>Canada</v>
      </c>
      <c r="D180" s="902" t="str">
        <f t="shared" si="96"/>
        <v>Europe</v>
      </c>
      <c r="E180" s="902" t="str">
        <f t="shared" si="97"/>
        <v>A metropolitan area</v>
      </c>
      <c r="F180" s="643">
        <f t="shared" si="98"/>
        <v>2013</v>
      </c>
      <c r="G180" s="644">
        <f t="shared" ref="G180" si="115">F180</f>
        <v>2013</v>
      </c>
      <c r="H180" s="643">
        <f t="shared" si="100"/>
        <v>2741280</v>
      </c>
      <c r="I180" s="643">
        <f t="shared" si="101"/>
        <v>641</v>
      </c>
      <c r="J180" s="1038">
        <f t="shared" si="102"/>
        <v>157000000000</v>
      </c>
      <c r="K180" s="643" t="s">
        <v>172</v>
      </c>
      <c r="L180" s="643" t="s">
        <v>1556</v>
      </c>
      <c r="M180" s="643" t="s">
        <v>1639</v>
      </c>
      <c r="N180" s="647">
        <f t="shared" si="103"/>
        <v>123.33901258439006</v>
      </c>
      <c r="O180" s="647">
        <f t="shared" si="104"/>
        <v>63.921537584307991</v>
      </c>
      <c r="P180" s="647">
        <f t="shared" si="104"/>
        <v>44.902267780286962</v>
      </c>
      <c r="Q180" s="647">
        <f t="shared" si="104"/>
        <v>14.515207219795098</v>
      </c>
      <c r="S180" s="648" t="str">
        <f t="shared" si="105"/>
        <v>Toronto</v>
      </c>
      <c r="T180" s="647">
        <f t="shared" si="113"/>
        <v>29.59437448041427</v>
      </c>
      <c r="U180" s="647">
        <f t="shared" si="113"/>
        <v>25.638258253209738</v>
      </c>
      <c r="V180" s="647">
        <f t="shared" si="113"/>
        <v>7.8852833726288791</v>
      </c>
      <c r="W180" s="647" t="str">
        <f t="shared" si="113"/>
        <v/>
      </c>
      <c r="X180" s="647" t="str">
        <f t="shared" si="113"/>
        <v/>
      </c>
      <c r="Y180" s="647" t="str">
        <f t="shared" si="113"/>
        <v/>
      </c>
      <c r="Z180" s="647" t="str">
        <f t="shared" si="113"/>
        <v/>
      </c>
      <c r="AA180" s="647">
        <f t="shared" si="113"/>
        <v>0.80362147805510831</v>
      </c>
      <c r="AB180" s="15"/>
      <c r="AC180" s="1041" t="str">
        <f t="shared" si="107"/>
        <v>Toronto</v>
      </c>
      <c r="AD180" s="647">
        <f t="shared" si="108"/>
        <v>43.9039744606375</v>
      </c>
      <c r="AE180" s="647">
        <f t="shared" si="108"/>
        <v>0.98919137035849669</v>
      </c>
      <c r="AF180" s="647">
        <f t="shared" si="108"/>
        <v>9.1019492909745203E-3</v>
      </c>
      <c r="AG180" s="647" t="str">
        <f t="shared" si="108"/>
        <v/>
      </c>
      <c r="AH180" s="647" t="str">
        <f t="shared" si="108"/>
        <v/>
      </c>
      <c r="AI180" s="15"/>
      <c r="AJ180" s="648" t="str">
        <f t="shared" si="111"/>
        <v>Toronto</v>
      </c>
      <c r="AK180" s="647">
        <f t="shared" si="109"/>
        <v>14.349284878317418</v>
      </c>
      <c r="AL180" s="647" t="str">
        <f t="shared" si="109"/>
        <v/>
      </c>
      <c r="AM180" s="647" t="str">
        <f t="shared" si="109"/>
        <v/>
      </c>
      <c r="AN180" s="647">
        <f t="shared" si="109"/>
        <v>0.16592234147768034</v>
      </c>
      <c r="AO180" s="15"/>
      <c r="AP180" s="15"/>
      <c r="AQ180" s="15"/>
      <c r="AR180" s="15"/>
      <c r="AS180" s="15"/>
      <c r="AT180" s="15"/>
      <c r="AU180" s="15"/>
      <c r="AV180" s="15"/>
      <c r="AW180" s="15"/>
      <c r="AX180" s="15"/>
      <c r="AY180" s="15"/>
      <c r="AZ180" s="15"/>
      <c r="BA180" s="15"/>
      <c r="BB180" s="15"/>
      <c r="BC180" s="15"/>
      <c r="BD180" s="15"/>
      <c r="BE180" s="15"/>
      <c r="BF180" s="15"/>
      <c r="BG180" s="15"/>
      <c r="BH180" s="15"/>
      <c r="BI180" s="15"/>
      <c r="BJ180" s="15"/>
      <c r="BK180" s="15"/>
      <c r="BL180" s="15"/>
      <c r="BM180" s="15"/>
      <c r="BN180" s="15"/>
      <c r="BO180" s="15"/>
      <c r="BP180" s="15"/>
      <c r="BQ180" s="15"/>
      <c r="BR180" s="15"/>
      <c r="BS180" s="15"/>
      <c r="BT180" s="15"/>
      <c r="BU180" s="15"/>
      <c r="BV180" s="15"/>
      <c r="BW180" s="15"/>
      <c r="BX180" s="15"/>
      <c r="BY180" s="15"/>
      <c r="BZ180" s="15"/>
      <c r="CA180" s="15"/>
      <c r="CB180" s="15"/>
      <c r="CC180" s="15"/>
      <c r="CD180" s="15"/>
      <c r="CE180" s="15"/>
      <c r="CF180" s="15"/>
      <c r="CG180" s="15"/>
      <c r="CH180" s="15"/>
      <c r="CI180" s="15"/>
      <c r="CJ180" s="15"/>
      <c r="CK180" s="15"/>
      <c r="CL180" s="15"/>
      <c r="CM180" s="15"/>
      <c r="CN180" s="15"/>
      <c r="CO180" s="15"/>
      <c r="CP180" s="15"/>
      <c r="CQ180" s="15"/>
      <c r="CR180" s="15"/>
      <c r="CS180" s="15"/>
      <c r="CT180" s="15"/>
      <c r="CU180" s="645"/>
      <c r="CV180" s="645"/>
      <c r="CW180" s="645"/>
      <c r="CX180" s="645"/>
      <c r="CY180" s="645"/>
      <c r="CZ180" s="645"/>
      <c r="DA180" s="645"/>
      <c r="DB180" s="645"/>
      <c r="DC180" s="645"/>
      <c r="DD180" s="645"/>
      <c r="DE180" s="645"/>
      <c r="DF180" s="645"/>
      <c r="DG180" s="645"/>
      <c r="DH180" s="645"/>
      <c r="DI180" s="645"/>
      <c r="DJ180" s="645"/>
      <c r="DK180" s="645"/>
      <c r="DL180" s="645"/>
      <c r="DM180" s="645"/>
      <c r="DN180" s="645"/>
      <c r="DO180" s="645"/>
      <c r="DP180" s="645"/>
    </row>
    <row r="181" spans="1:120" s="33" customFormat="1" ht="15" customHeight="1">
      <c r="A181" s="316"/>
      <c r="B181" s="648" t="str">
        <f t="shared" si="110"/>
        <v>City of Vancouver</v>
      </c>
      <c r="C181" s="902" t="str">
        <f t="shared" si="95"/>
        <v>Canada</v>
      </c>
      <c r="D181" s="902" t="str">
        <f t="shared" si="96"/>
        <v>Europe</v>
      </c>
      <c r="E181" s="902" t="str">
        <f t="shared" si="97"/>
        <v xml:space="preserve">Administrative boundary of a local government </v>
      </c>
      <c r="F181" s="643">
        <f t="shared" si="98"/>
        <v>2014</v>
      </c>
      <c r="G181" s="644">
        <f t="shared" ref="G181" si="116">F181</f>
        <v>2014</v>
      </c>
      <c r="H181" s="643">
        <f t="shared" si="100"/>
        <v>618502</v>
      </c>
      <c r="I181" s="643">
        <f t="shared" si="101"/>
        <v>114.97</v>
      </c>
      <c r="J181" s="1038">
        <f t="shared" si="102"/>
        <v>84415033680.342926</v>
      </c>
      <c r="K181" s="643" t="s">
        <v>172</v>
      </c>
      <c r="L181" s="643" t="s">
        <v>1556</v>
      </c>
      <c r="M181" s="643" t="s">
        <v>1639</v>
      </c>
      <c r="N181" s="647">
        <f t="shared" ref="N181" si="117">SUM(O181:Q181)</f>
        <v>30.308218376006277</v>
      </c>
      <c r="O181" s="647">
        <f t="shared" si="104"/>
        <v>16.657359806901564</v>
      </c>
      <c r="P181" s="647">
        <f t="shared" si="104"/>
        <v>12.256177849455193</v>
      </c>
      <c r="Q181" s="647">
        <f t="shared" si="104"/>
        <v>1.3946807196495186</v>
      </c>
      <c r="S181" s="648" t="str">
        <f t="shared" ref="S181" si="118">B181</f>
        <v>City of Vancouver</v>
      </c>
      <c r="T181" s="647">
        <f t="shared" si="113"/>
        <v>5.7422579148384889</v>
      </c>
      <c r="U181" s="647">
        <f t="shared" si="113"/>
        <v>6.5724609507347465</v>
      </c>
      <c r="V181" s="647">
        <f t="shared" si="113"/>
        <v>4.1139240065637326</v>
      </c>
      <c r="W181" s="647" t="str">
        <f t="shared" si="113"/>
        <v/>
      </c>
      <c r="X181" s="647" t="str">
        <f t="shared" si="113"/>
        <v/>
      </c>
      <c r="Y181" s="647" t="str">
        <f t="shared" si="113"/>
        <v/>
      </c>
      <c r="Z181" s="647" t="str">
        <f t="shared" si="113"/>
        <v/>
      </c>
      <c r="AA181" s="647">
        <f t="shared" si="113"/>
        <v>0.22871693476459243</v>
      </c>
      <c r="AB181" s="15"/>
      <c r="AC181" s="1041" t="str">
        <f t="shared" ref="AC181" si="119">B181</f>
        <v>City of Vancouver</v>
      </c>
      <c r="AD181" s="647">
        <f t="shared" si="108"/>
        <v>11.915025099182705</v>
      </c>
      <c r="AE181" s="647">
        <f t="shared" si="108"/>
        <v>0.14736025518272686</v>
      </c>
      <c r="AF181" s="647" t="str">
        <f t="shared" si="108"/>
        <v/>
      </c>
      <c r="AG181" s="647" t="str">
        <f t="shared" si="108"/>
        <v/>
      </c>
      <c r="AH181" s="647">
        <f t="shared" si="108"/>
        <v>0.1937924950897626</v>
      </c>
      <c r="AI181" s="15"/>
      <c r="AJ181" s="648" t="str">
        <f t="shared" ref="AJ181" si="120">B181</f>
        <v>City of Vancouver</v>
      </c>
      <c r="AK181" s="647">
        <f t="shared" si="109"/>
        <v>1.1778672961625782</v>
      </c>
      <c r="AL181" s="647">
        <f t="shared" si="109"/>
        <v>0.15388926158806965</v>
      </c>
      <c r="AM181" s="647" t="str">
        <f t="shared" si="109"/>
        <v/>
      </c>
      <c r="AN181" s="647">
        <f t="shared" si="109"/>
        <v>6.2924161898870484E-2</v>
      </c>
      <c r="AO181" s="15"/>
      <c r="AP181" s="15"/>
      <c r="AQ181" s="15"/>
      <c r="AR181" s="15"/>
      <c r="AS181" s="15"/>
      <c r="AT181" s="15"/>
      <c r="AU181" s="15"/>
      <c r="AV181" s="15"/>
      <c r="AW181" s="15"/>
      <c r="AX181" s="15"/>
      <c r="AY181" s="15"/>
      <c r="AZ181" s="15"/>
      <c r="BA181" s="15"/>
      <c r="BB181" s="15"/>
      <c r="BC181" s="15"/>
      <c r="BD181" s="15"/>
      <c r="BE181" s="15"/>
      <c r="BF181" s="15"/>
      <c r="BG181" s="15"/>
      <c r="BH181" s="15"/>
      <c r="BI181" s="15"/>
      <c r="BJ181" s="15"/>
      <c r="BK181" s="15"/>
      <c r="BL181" s="15"/>
      <c r="BM181" s="15"/>
      <c r="BN181" s="15"/>
      <c r="BO181" s="15"/>
      <c r="BP181" s="15"/>
      <c r="BQ181" s="15"/>
      <c r="BR181" s="15"/>
      <c r="BS181" s="15"/>
      <c r="BT181" s="15"/>
      <c r="BU181" s="15"/>
      <c r="BV181" s="15"/>
      <c r="BW181" s="15"/>
      <c r="BX181" s="15"/>
      <c r="BY181" s="15"/>
      <c r="BZ181" s="15"/>
      <c r="CA181" s="15"/>
      <c r="CB181" s="15"/>
      <c r="CC181" s="15"/>
      <c r="CD181" s="15"/>
      <c r="CE181" s="15"/>
      <c r="CF181" s="15"/>
      <c r="CG181" s="15"/>
      <c r="CH181" s="15"/>
      <c r="CI181" s="15"/>
      <c r="CJ181" s="15"/>
      <c r="CK181" s="15"/>
      <c r="CL181" s="15"/>
      <c r="CM181" s="15"/>
      <c r="CN181" s="15"/>
      <c r="CO181" s="15"/>
      <c r="CP181" s="15"/>
      <c r="CQ181" s="15"/>
      <c r="CR181" s="15"/>
      <c r="CS181" s="15"/>
      <c r="CT181" s="15"/>
      <c r="CU181" s="645"/>
      <c r="CV181" s="645"/>
      <c r="CW181" s="645"/>
      <c r="CX181" s="645"/>
      <c r="CY181" s="645"/>
      <c r="CZ181" s="645"/>
      <c r="DA181" s="645"/>
      <c r="DB181" s="645"/>
      <c r="DC181" s="645"/>
      <c r="DD181" s="645"/>
      <c r="DE181" s="645"/>
      <c r="DF181" s="645"/>
      <c r="DG181" s="645"/>
      <c r="DH181" s="645"/>
      <c r="DI181" s="645"/>
      <c r="DJ181" s="645"/>
      <c r="DK181" s="645"/>
      <c r="DL181" s="645"/>
      <c r="DM181" s="645"/>
      <c r="DN181" s="645"/>
      <c r="DO181" s="645"/>
      <c r="DP181" s="645"/>
    </row>
    <row r="182" spans="1:120" s="33" customFormat="1" ht="15" customHeight="1">
      <c r="A182" s="316"/>
      <c r="B182" s="648"/>
      <c r="C182" s="902"/>
      <c r="D182" s="902"/>
      <c r="E182" s="902"/>
      <c r="F182" s="643"/>
      <c r="G182" s="644"/>
      <c r="H182" s="643"/>
      <c r="I182" s="643"/>
      <c r="J182" s="1038"/>
      <c r="K182" s="643"/>
      <c r="L182" s="643"/>
      <c r="M182" s="643"/>
      <c r="N182" s="647"/>
      <c r="O182" s="647"/>
      <c r="P182" s="647"/>
      <c r="Q182" s="647"/>
      <c r="S182" s="648"/>
      <c r="T182" s="647"/>
      <c r="U182" s="647"/>
      <c r="V182" s="647"/>
      <c r="W182" s="647"/>
      <c r="X182" s="647"/>
      <c r="Y182" s="647"/>
      <c r="Z182" s="647"/>
      <c r="AA182" s="647"/>
      <c r="AB182" s="15"/>
      <c r="AC182" s="1041"/>
      <c r="AD182" s="647"/>
      <c r="AE182" s="647"/>
      <c r="AF182" s="647"/>
      <c r="AG182" s="647"/>
      <c r="AH182" s="647"/>
      <c r="AI182" s="15"/>
      <c r="AJ182" s="648"/>
      <c r="AK182" s="647"/>
      <c r="AL182" s="647"/>
      <c r="AM182" s="647"/>
      <c r="AN182" s="647"/>
      <c r="AO182" s="15"/>
      <c r="AP182" s="15"/>
      <c r="AQ182" s="15"/>
      <c r="AR182" s="15"/>
      <c r="AS182" s="15"/>
      <c r="AT182" s="15"/>
      <c r="AU182" s="15"/>
      <c r="AV182" s="15"/>
      <c r="AW182" s="15"/>
      <c r="AX182" s="15"/>
      <c r="AY182" s="15"/>
      <c r="AZ182" s="15"/>
      <c r="BA182" s="15"/>
      <c r="BB182" s="15"/>
      <c r="BC182" s="15"/>
      <c r="BD182" s="15"/>
      <c r="BE182" s="15"/>
      <c r="BF182" s="15"/>
      <c r="BG182" s="15"/>
      <c r="BH182" s="15"/>
      <c r="BI182" s="15"/>
      <c r="BJ182" s="15"/>
      <c r="BK182" s="15"/>
      <c r="BL182" s="15"/>
      <c r="BM182" s="15"/>
      <c r="BN182" s="15"/>
      <c r="BO182" s="15"/>
      <c r="BP182" s="15"/>
      <c r="BQ182" s="15"/>
      <c r="BR182" s="15"/>
      <c r="BS182" s="15"/>
      <c r="BT182" s="15"/>
      <c r="BU182" s="15"/>
      <c r="BV182" s="15"/>
      <c r="BW182" s="15"/>
      <c r="BX182" s="15"/>
      <c r="BY182" s="15"/>
      <c r="BZ182" s="15"/>
      <c r="CA182" s="15"/>
      <c r="CB182" s="15"/>
      <c r="CC182" s="15"/>
      <c r="CD182" s="15"/>
      <c r="CE182" s="15"/>
      <c r="CF182" s="15"/>
      <c r="CG182" s="15"/>
      <c r="CH182" s="15"/>
      <c r="CI182" s="15"/>
      <c r="CJ182" s="15"/>
      <c r="CK182" s="15"/>
      <c r="CL182" s="15"/>
      <c r="CM182" s="15"/>
      <c r="CN182" s="15"/>
      <c r="CO182" s="15"/>
      <c r="CP182" s="15"/>
      <c r="CQ182" s="15"/>
      <c r="CR182" s="15"/>
      <c r="CS182" s="15"/>
      <c r="CT182" s="15"/>
      <c r="CU182" s="645"/>
      <c r="CV182" s="645"/>
      <c r="CW182" s="645"/>
      <c r="CX182" s="645"/>
      <c r="CY182" s="645"/>
      <c r="CZ182" s="645"/>
      <c r="DA182" s="645"/>
      <c r="DB182" s="645"/>
      <c r="DC182" s="645"/>
      <c r="DD182" s="645"/>
      <c r="DE182" s="645"/>
      <c r="DF182" s="645"/>
      <c r="DG182" s="645"/>
      <c r="DH182" s="645"/>
      <c r="DI182" s="645"/>
      <c r="DJ182" s="645"/>
      <c r="DK182" s="645"/>
      <c r="DL182" s="645"/>
      <c r="DM182" s="645"/>
      <c r="DN182" s="645"/>
      <c r="DO182" s="645"/>
      <c r="DP182" s="645"/>
    </row>
    <row r="183" spans="1:120" ht="15" customHeight="1">
      <c r="S183" s="15"/>
      <c r="U183" s="15"/>
      <c r="V183" s="15"/>
      <c r="W183" s="15"/>
      <c r="X183" s="15"/>
      <c r="Y183" s="15"/>
      <c r="Z183" s="15"/>
      <c r="AA183" s="15"/>
      <c r="AB183" s="15"/>
      <c r="AC183" s="15"/>
      <c r="AD183" s="15"/>
      <c r="AE183" s="15"/>
      <c r="AF183" s="15"/>
      <c r="AG183" s="15"/>
      <c r="AH183" s="15"/>
      <c r="AI183" s="15"/>
      <c r="AJ183" s="15"/>
      <c r="AK183" s="15"/>
      <c r="AL183" s="15"/>
      <c r="AM183" s="15"/>
      <c r="AN183" s="15"/>
      <c r="AO183" s="15"/>
      <c r="AP183" s="15"/>
      <c r="AQ183" s="15"/>
      <c r="AR183" s="15"/>
      <c r="AS183" s="15"/>
      <c r="AT183" s="15"/>
      <c r="AU183" s="15"/>
      <c r="AV183" s="15"/>
      <c r="AW183" s="15"/>
      <c r="AX183" s="15"/>
      <c r="AY183" s="15"/>
      <c r="AZ183" s="15"/>
      <c r="BA183" s="15"/>
      <c r="BB183" s="15"/>
      <c r="BC183" s="15"/>
      <c r="BD183" s="15"/>
      <c r="BE183" s="15"/>
      <c r="BF183" s="15"/>
      <c r="BG183" s="15"/>
      <c r="BH183" s="15"/>
      <c r="BI183" s="15"/>
      <c r="BJ183" s="15"/>
      <c r="BK183" s="15"/>
      <c r="BL183" s="15"/>
      <c r="BM183" s="15"/>
      <c r="BN183" s="15"/>
      <c r="BO183" s="15"/>
      <c r="BP183" s="15"/>
      <c r="BQ183" s="15"/>
      <c r="BR183" s="15"/>
      <c r="BS183" s="15"/>
      <c r="BT183" s="15"/>
      <c r="BU183" s="15"/>
      <c r="BV183" s="15"/>
      <c r="BW183" s="15"/>
      <c r="BX183" s="15"/>
      <c r="BY183" s="15"/>
      <c r="BZ183" s="15"/>
      <c r="CA183" s="15"/>
      <c r="CB183" s="15"/>
      <c r="CC183" s="15"/>
      <c r="CD183" s="15"/>
      <c r="CE183" s="15"/>
      <c r="CF183" s="15"/>
      <c r="CG183" s="15"/>
      <c r="CH183" s="15"/>
      <c r="CI183" s="15"/>
      <c r="CJ183" s="15"/>
      <c r="CK183" s="15"/>
      <c r="CL183" s="15"/>
      <c r="CM183" s="15"/>
      <c r="CN183" s="15"/>
      <c r="CO183" s="15"/>
      <c r="CP183" s="15"/>
      <c r="CQ183" s="15"/>
      <c r="CR183" s="15"/>
      <c r="CS183" s="15"/>
      <c r="CT183" s="15"/>
    </row>
    <row r="184" spans="1:120" ht="18" customHeight="1" thickBot="1">
      <c r="B184" s="1496" t="s">
        <v>1584</v>
      </c>
      <c r="N184" s="1096" t="str">
        <f>Benchmark!P17</f>
        <v>Please select</v>
      </c>
      <c r="O184" s="594"/>
      <c r="P184" s="15"/>
      <c r="S184" s="1463" t="str">
        <f>Benchmark!$P$45</f>
        <v>Please select</v>
      </c>
      <c r="T184" s="594"/>
      <c r="U184" s="15"/>
      <c r="V184" s="15"/>
      <c r="W184" s="15"/>
      <c r="X184" s="15"/>
      <c r="Y184" s="15"/>
      <c r="Z184" s="15"/>
      <c r="AA184" s="15"/>
      <c r="AB184" s="15"/>
      <c r="AC184" s="1096" t="str">
        <f>Benchmark!P73</f>
        <v>Please select</v>
      </c>
      <c r="AD184" s="594"/>
      <c r="AE184" s="15"/>
      <c r="AF184" s="15"/>
      <c r="AG184" s="15"/>
      <c r="AH184" s="15"/>
      <c r="AI184" s="15"/>
      <c r="AJ184" s="1096" t="str">
        <f>Benchmark!P101</f>
        <v>Wastewater</v>
      </c>
      <c r="AK184" s="594"/>
      <c r="AL184" s="15"/>
      <c r="AM184" s="15"/>
      <c r="AN184" s="15"/>
      <c r="AO184" s="15"/>
      <c r="AP184" s="15"/>
      <c r="AQ184" s="15"/>
      <c r="AR184" s="15"/>
      <c r="AS184" s="15"/>
      <c r="AT184" s="15"/>
      <c r="AU184" s="15"/>
      <c r="AV184" s="15"/>
      <c r="AW184" s="15"/>
      <c r="AX184" s="15"/>
      <c r="AY184" s="15"/>
      <c r="AZ184" s="15"/>
      <c r="BA184" s="15"/>
      <c r="BB184" s="15"/>
      <c r="BC184" s="15"/>
      <c r="BD184" s="15"/>
      <c r="BE184" s="15"/>
      <c r="BF184" s="15"/>
      <c r="BG184" s="15"/>
      <c r="BH184" s="15"/>
      <c r="BI184" s="15"/>
      <c r="BJ184" s="15"/>
      <c r="BK184" s="15"/>
      <c r="BL184" s="15"/>
      <c r="BM184" s="15"/>
      <c r="BN184" s="15"/>
      <c r="BO184" s="15"/>
      <c r="BP184" s="15"/>
      <c r="BQ184" s="15"/>
      <c r="BR184" s="15"/>
      <c r="BS184" s="15"/>
      <c r="BT184" s="15"/>
      <c r="BU184" s="15"/>
      <c r="BV184" s="15"/>
      <c r="BW184" s="15"/>
      <c r="BX184" s="15"/>
      <c r="BY184" s="15"/>
      <c r="BZ184" s="15"/>
      <c r="CA184" s="15"/>
      <c r="CB184" s="15"/>
      <c r="CC184" s="15"/>
      <c r="CD184" s="15"/>
      <c r="CE184" s="15"/>
      <c r="CF184" s="15"/>
      <c r="CG184" s="15"/>
      <c r="CH184" s="15"/>
      <c r="CI184" s="15"/>
      <c r="CJ184" s="15"/>
      <c r="CK184" s="15"/>
      <c r="CL184" s="15"/>
      <c r="CM184" s="15"/>
      <c r="CN184" s="15"/>
      <c r="CO184" s="15"/>
      <c r="CP184" s="15"/>
      <c r="CQ184" s="15"/>
      <c r="CR184" s="15"/>
      <c r="CS184" s="15"/>
      <c r="CT184" s="15"/>
    </row>
    <row r="185" spans="1:120" ht="15" customHeight="1">
      <c r="S185" s="15"/>
      <c r="U185" s="15"/>
      <c r="V185" s="15"/>
      <c r="W185" s="15"/>
      <c r="X185" s="15"/>
      <c r="Y185" s="15"/>
      <c r="Z185" s="15"/>
      <c r="AA185" s="15"/>
      <c r="AB185" s="15"/>
      <c r="AC185" s="15"/>
      <c r="AD185" s="15"/>
      <c r="AE185" s="15"/>
      <c r="AF185" s="15"/>
      <c r="AG185" s="15"/>
      <c r="AH185" s="15"/>
      <c r="AI185" s="15"/>
      <c r="AJ185" s="15"/>
      <c r="AK185" s="15"/>
      <c r="AL185" s="15"/>
      <c r="AM185" s="15"/>
      <c r="AN185" s="15"/>
      <c r="AO185" s="15"/>
      <c r="AP185" s="15"/>
      <c r="AQ185" s="15"/>
      <c r="AR185" s="15"/>
      <c r="AS185" s="15"/>
      <c r="AT185" s="15"/>
      <c r="AU185" s="15"/>
      <c r="AV185" s="15"/>
      <c r="AW185" s="15"/>
      <c r="AX185" s="15"/>
      <c r="AY185" s="15"/>
      <c r="AZ185" s="15"/>
      <c r="BA185" s="15"/>
      <c r="BB185" s="15"/>
      <c r="BC185" s="15"/>
      <c r="BD185" s="15"/>
      <c r="BE185" s="15"/>
      <c r="BF185" s="15"/>
      <c r="BG185" s="15"/>
      <c r="BH185" s="15"/>
      <c r="BI185" s="15"/>
      <c r="BJ185" s="15"/>
      <c r="BK185" s="15"/>
      <c r="BL185" s="15"/>
      <c r="BM185" s="15"/>
      <c r="BN185" s="15"/>
      <c r="BO185" s="15"/>
      <c r="BP185" s="15"/>
      <c r="BQ185" s="15"/>
      <c r="BR185" s="15"/>
      <c r="BS185" s="15"/>
      <c r="BT185" s="15"/>
      <c r="BU185" s="15"/>
      <c r="BV185" s="15"/>
      <c r="BW185" s="15"/>
      <c r="BX185" s="15"/>
      <c r="BY185" s="15"/>
      <c r="BZ185" s="15"/>
      <c r="CA185" s="15"/>
      <c r="CB185" s="15"/>
      <c r="CC185" s="15"/>
      <c r="CD185" s="15"/>
      <c r="CE185" s="15"/>
      <c r="CF185" s="15"/>
      <c r="CG185" s="15"/>
      <c r="CH185" s="15"/>
      <c r="CI185" s="15"/>
      <c r="CJ185" s="15"/>
      <c r="CK185" s="15"/>
      <c r="CL185" s="15"/>
      <c r="CM185" s="15"/>
      <c r="CN185" s="15"/>
      <c r="CO185" s="15"/>
      <c r="CP185" s="15"/>
      <c r="CQ185" s="15"/>
      <c r="CR185" s="15"/>
      <c r="CS185" s="15"/>
      <c r="CT185" s="15"/>
    </row>
    <row r="186" spans="1:120" ht="15" customHeight="1">
      <c r="B186" s="617" t="s">
        <v>919</v>
      </c>
      <c r="C186" s="618" t="s">
        <v>1025</v>
      </c>
      <c r="D186" s="618" t="s">
        <v>620</v>
      </c>
      <c r="E186" s="618" t="s">
        <v>1117</v>
      </c>
      <c r="F186" s="618" t="s">
        <v>685</v>
      </c>
      <c r="G186" s="619" t="s">
        <v>1616</v>
      </c>
      <c r="H186" s="619" t="s">
        <v>729</v>
      </c>
      <c r="I186" s="618" t="s">
        <v>1034</v>
      </c>
      <c r="J186" s="618" t="s">
        <v>1614</v>
      </c>
      <c r="K186" s="618" t="s">
        <v>1613</v>
      </c>
      <c r="L186" s="618" t="s">
        <v>1636</v>
      </c>
      <c r="M186" s="618" t="s">
        <v>1643</v>
      </c>
      <c r="N186" s="619" t="s">
        <v>174</v>
      </c>
      <c r="O186" s="619" t="s">
        <v>759</v>
      </c>
      <c r="P186" s="619" t="s">
        <v>760</v>
      </c>
      <c r="Q186" s="620" t="s">
        <v>761</v>
      </c>
      <c r="R186" s="176"/>
      <c r="S186" s="617" t="s">
        <v>1025</v>
      </c>
      <c r="T186" s="1078" t="s">
        <v>1897</v>
      </c>
      <c r="U186" s="1078" t="s">
        <v>1709</v>
      </c>
      <c r="V186" s="1078" t="s">
        <v>1710</v>
      </c>
      <c r="W186" s="1078" t="s">
        <v>9</v>
      </c>
      <c r="X186" s="1078" t="s">
        <v>768</v>
      </c>
      <c r="Y186" s="1078" t="s">
        <v>1712</v>
      </c>
      <c r="Z186" s="1078" t="s">
        <v>1713</v>
      </c>
      <c r="AA186" s="1079" t="s">
        <v>1896</v>
      </c>
      <c r="AC186" s="1066" t="s">
        <v>1025</v>
      </c>
      <c r="AD186" s="1067" t="s">
        <v>16</v>
      </c>
      <c r="AE186" s="1067" t="s">
        <v>267</v>
      </c>
      <c r="AF186" s="1067" t="s">
        <v>268</v>
      </c>
      <c r="AG186" s="1067" t="s">
        <v>269</v>
      </c>
      <c r="AH186" s="1069" t="s">
        <v>20</v>
      </c>
      <c r="AJ186" s="617" t="s">
        <v>1025</v>
      </c>
      <c r="AK186" s="618" t="s">
        <v>1898</v>
      </c>
      <c r="AL186" s="618" t="s">
        <v>1706</v>
      </c>
      <c r="AM186" s="618" t="s">
        <v>1605</v>
      </c>
      <c r="AN186" s="958" t="s">
        <v>775</v>
      </c>
    </row>
    <row r="187" spans="1:120" ht="15" customHeight="1">
      <c r="B187" s="957" t="str">
        <f>Benchmark!$B$11</f>
        <v>Per capita</v>
      </c>
      <c r="C187" s="648" t="str">
        <f>B12</f>
        <v>Atlantis</v>
      </c>
      <c r="D187" s="902" t="str">
        <f t="shared" ref="D187:D215" si="121">VLOOKUP($C187,$B$10:$J$44,2,FALSE)</f>
        <v>Greece</v>
      </c>
      <c r="E187" s="902" t="str">
        <f t="shared" ref="E187:E215" si="122">VLOOKUP($C187,$B$10:$J$44,3,FALSE)</f>
        <v>Europe</v>
      </c>
      <c r="F187" s="902" t="str">
        <f t="shared" ref="F187:F215" si="123">VLOOKUP($C187,$B$10:$J$44,4,FALSE)</f>
        <v>A metropolitan area</v>
      </c>
      <c r="G187" s="643">
        <f t="shared" ref="G187:G215" si="124">VLOOKUP($C187,$B$10:$J$44,5,FALSE)</f>
        <v>2014</v>
      </c>
      <c r="H187" s="644">
        <f t="shared" ref="H187" si="125">G187</f>
        <v>2014</v>
      </c>
      <c r="I187" s="643">
        <f t="shared" ref="I187:I215" si="126">VLOOKUP($C187,$B$10:$J$44,6,FALSE)</f>
        <v>1500000</v>
      </c>
      <c r="J187" s="643">
        <f t="shared" ref="J187:J215" si="127">VLOOKUP($C187,$B$10:$J$44,7,FALSE)</f>
        <v>1000</v>
      </c>
      <c r="K187" s="1038">
        <f t="shared" ref="K187:K215" si="128">VLOOKUP($C187,$B$10:$J$44,8,FALSE)</f>
        <v>200000000000</v>
      </c>
      <c r="L187" s="643" t="s">
        <v>172</v>
      </c>
      <c r="M187" s="643" t="s">
        <v>1556</v>
      </c>
      <c r="N187" s="960">
        <f t="shared" ref="N187:N196" si="129">IF($B187="Total GHG",VLOOKUP($C187,$B$51:$Q$80,13,FALSE),IF($B187="Per capita",VLOOKUP($C187,$B$85:$Q$114,13,FALSE),IF($B187="Per unit land area (km2)",VLOOKUP($C187,$B$119:$Q$148,13,FALSE),IF($B187="Per unit GDP ($m)",VLOOKUP(C187,$B$153:$Q$182,13,FALSE),""))))</f>
        <v>7.8217271103651171</v>
      </c>
      <c r="O187" s="960">
        <f t="shared" ref="O187:O215" si="130">IF($N$184="Transportation",0,IF($N$184="Waste",0,IF($N$184="IPPU",0,IF($N$184="AFOLU",0,IF($B187="Total GHG",VLOOKUP($C187,$B$51:$Q$80,14,FALSE),IF($B187="Per capita",VLOOKUP($C187,$B$85:$Q$114,14,FALSE),IF($B187="Per unit land area (km2)",VLOOKUP($C187,$B$119:$Q$148,14,FALSE),IF($B187="Per unit GDP ($m)",VLOOKUP(C187,$B$153:$Q$182,14,FALSE),""))))))))</f>
        <v>4.0065710028388573</v>
      </c>
      <c r="P187" s="960">
        <f t="shared" ref="P187:P215" si="131">IF($N$184="Stationary energy",0,IF($N$184="Waste",0,IF($N$184="IPPU",0,IF($N$184="AFOLU",0,IF($N$184=R185,0,IF($B187="Total GHG",VLOOKUP($C187,$B$51:$Q$80,15,FALSE),IF($B187="Per capita",VLOOKUP($C187,$B$85:$Q$114,15,FALSE),IF($B187="Per unit land area (km2)",VLOOKUP($C187,$B$119:$Q$148,15,FALSE),IF($B187="Per unit GDP ($m)",VLOOKUP($C187,$B$153:$Q$182,15,FALSE),"")))))))))</f>
        <v>2.4484894408595936</v>
      </c>
      <c r="Q187" s="960">
        <f t="shared" ref="Q187:Q215" si="132">IF($N$184="Stationary energy",0,IF($N$184="Transportation",0,IF($N$184="IPPU",0,IF($N$184="AFOLU",0,IF($B187="Total GHG",VLOOKUP($C187,$B$51:$Q$80,16,FALSE),IF($B187="Per capita",VLOOKUP($C187,$B$85:$Q$114,16,FALSE),IF($B187="Per unit land area (km2)",VLOOKUP($C187,$B$119:$Q$148,16,FALSE),IF($B187="Per unit GDP ($m)",VLOOKUP($C187,$B$153:$Q$182,16,FALSE),""))))))))</f>
        <v>1.3666666666666667</v>
      </c>
      <c r="R187" s="1098">
        <f>IF(SUM(O187:Q187)=0,"",SUM(O187:Q187))</f>
        <v>7.8217271103651171</v>
      </c>
      <c r="S187" s="648" t="str">
        <f t="shared" ref="S187:S214" si="133">B187</f>
        <v>Per capita</v>
      </c>
      <c r="T187" s="959">
        <f t="shared" ref="T187:T215" si="134">IF($S$184="Commercial",0,IF($S$184="Manufacturing",0,IF($S$184="Energy",0,IF($S$184="Agriculture",0,IF($S$184="Non-specified",0,IF($S$184="Fugitive (coal)",0,IF($S$184="Fugitive (oil and gas)",0,IF($B187="Total GHG",VLOOKUP($C187,$S$51:$AA$80,2,FALSE),IF($B187="Per capita",VLOOKUP($C187,$S$85:$AA$114,2,FALSE),IF($B187="Per unit land area (km2)",VLOOKUP($C187,$S$119:$AA$148,2,FALSE),IF($B187="Per unit GDP ($m)",VLOOKUP($C187,$S$153:$AA$182,2,FALSE),"")))))))))))</f>
        <v>1.7461525659566668</v>
      </c>
      <c r="U187" s="959">
        <f t="shared" ref="U187:U215" si="135">IF($S$184="Residential",0,IF($S$184="Manufacturing",0,IF($S$184="Energy",0,IF($S$184="Agriculture",0,IF($S$184="Non-specified",0,IF($S$184="Fugitive (coal)",0,IF($S$184="Fugitive (oil and gas)",0,IF($B187="Total GHG",VLOOKUP($C187,$S$51:$AA$80,3,FALSE),IF($B187="Per capita",VLOOKUP($C187,$S$85:$AA$114,3,FALSE),IF($B187="Per unit land area (km2)",VLOOKUP($C187,$S$119:$AA$148,3,FALSE),IF($B187="Per unit GDP ($m)",VLOOKUP($C187,$S$153:$AA$182,3,FALSE),"")))))))))))</f>
        <v>2.2389902137333335</v>
      </c>
      <c r="V187" s="959" t="str">
        <f t="shared" ref="V187:V215" si="136">IF($S$184="Residential",0,IF($S$184="Commercial",0,IF($S$184="Energy",0,IF($S$184="Agriculture",0,IF($S$184="Non-specified",0,IF($S$184="Fugitive (coal)",0,IF($S$184="Fugitive (oil and gas)",0,IF($B187="Total GHG",VLOOKUP($C187,$S$51:$AA$80,4,FALSE),IF($B187="Per capita",VLOOKUP($C187,$S$85:$AA$114,4,FALSE),IF($B187="Per unit land area (km2)",VLOOKUP($C187,$S$119:$AA$148,4,FALSE),IF($B187="Per unit GDP ($m)",VLOOKUP($C187,$S$153:$AA$182,4,FALSE),"")))))))))))</f>
        <v/>
      </c>
      <c r="W187" s="959" t="str">
        <f t="shared" ref="W187:W215" si="137">IF($S$184="Residential",0,IF($S$184="Commercial",0,IF($S$184="Manufacturing",0,IF($S$184="Agriculture",0,IF($S$184="Non-specified",0,IF($S$184="Fugitive (coal)",0,IF($S$184="Fugitive (oil and gas)",0,IF($B187="Total GHG",VLOOKUP($C187,$S$51:$AA$80,5,FALSE),IF($B187="Per capita",VLOOKUP($C187,$S$85:$AA$114,5,FALSE),IF($B187="Per unit land area (km2)",VLOOKUP($C187,$S$119:$AA$148,5,FALSE),IF($B187="Per unit GDP ($m)",VLOOKUP($C187,$S$153:$AA$182,5,FALSE),"")))))))))))</f>
        <v/>
      </c>
      <c r="X187" s="959" t="str">
        <f t="shared" ref="X187:X215" si="138">IF($S$184="Residential",0,IF($S$184="Commercial",0,IF($S$184="Manufacturing",0,IF($S$184="Energy",0,IF($S$184="Non-specified",0,IF($S$184="Fugitive (coal)",0,IF($S$184="Fugitive (oil and gas)",0,IF($B187="Total GHG",VLOOKUP($C187,$S$51:$AA$80,6,FALSE),IF($B187="Per capita",VLOOKUP($C187,$S$85:$AA$114,6,FALSE),IF($B187="Per unit land area (km2)",VLOOKUP($C187,$S$119:$AA$148,6,FALSE),IF($B187="Per unit GDP ($m)",VLOOKUP($C187,$S$153:$AA$182,6,FALSE),"")))))))))))</f>
        <v/>
      </c>
      <c r="Y187" s="959" t="str">
        <f t="shared" ref="Y187:Y215" si="139">IF($S$184="Residential",0,IF($S$184="Commercial",0,IF($S$184="Manufacturing",0,IF($S$184="Energy",0,IF($S$184="Agriculture",0,IF($S$184="Fugitive (coal)",0,IF($S$184="Fugitive (oil and gas)",0,IF($B187="Total GHG",VLOOKUP($C187,$S$51:$AA$80,7,FALSE),IF($B187="Per capita",VLOOKUP($C187,$S$85:$AA$114,7,FALSE),IF($B187="Per unit land area (km2)",VLOOKUP($C187,$S$119:$AA$148,7,FALSE),IF($B187="Per unit GDP ($m)",VLOOKUP($C187,$S$153:$AA$182,7,FALSE),"")))))))))))</f>
        <v/>
      </c>
      <c r="Z187" s="959" t="str">
        <f t="shared" ref="Z187:Z215" si="140">IF($S$184="Residential",0,IF($S$184="Commercial",0,IF($S$184="Manufacturing",0,IF($S$184="Energy",0,IF($S$184="Agriculture",0,IF($S$184="Non-specified",0,IF($S$184="Fugitive (oil and gas)",0,IF($B187="Total GHG",VLOOKUP($C187,$S$51:$AA$80,8,FALSE),IF($B187="Per capita",VLOOKUP($C187,$S$85:$AA$114,8,FALSE),IF($B187="Per unit land area (km2)",VLOOKUP($C187,$S$119:$AA$148,8,FALSE),IF($B187="Per unit GDP ($m)",VLOOKUP($C187,$S$153:$AA$182,8,FALSE),"")))))))))))</f>
        <v/>
      </c>
      <c r="AA187" s="959">
        <f t="shared" ref="AA187:AA215" si="141">IF($S$184="Residential",0,IF($S$184="Commercial",0,IF($S$184="Manufacturing",0,IF($S$184="Energy",0,IF($S$184="Agriculture",0,IF($S$184="Non-specified",0,IF($S$184="Fugitive (coal)",0,IF($B187="Total GHG",VLOOKUP($C187,$S$51:$AA$80,9,FALSE),IF($B187="Per capita",VLOOKUP($C187,$S$85:$AA$114,9,FALSE),IF($B187="Per unit land area (km2)",VLOOKUP($C187,$S$119:$AA$148,9,FALSE),IF($B187="Per unit GDP ($m)",VLOOKUP($C187,$S$153:$AA$182,9,FALSE),"")))))))))))</f>
        <v>2.1428223148857048E-2</v>
      </c>
      <c r="AB187" s="1098">
        <f>IF(SUM(T187:AA187)=0,"",SUM(T187:AA187))</f>
        <v>4.0065710028388573</v>
      </c>
      <c r="AC187" s="1041" t="str">
        <f t="shared" ref="AC187:AC214" si="142">B187</f>
        <v>Per capita</v>
      </c>
      <c r="AD187" s="959">
        <f t="shared" ref="AD187:AD215" si="143">IF($AC$184="Rail",0,IF($AC$184="Water",0,IF($AC$184="Air",0,IF($AC$184="Off-road",0,IF($B187="Total GHG",VLOOKUP($C187,$AC$51:$AH$80,2,FALSE),IF($B187="Per capita",VLOOKUP($C187,$AC$85:$AH$114,2,FALSE),IF($B187="Per unit land area (km2)",VLOOKUP($C187,$AC$119:$AH$148,2,FALSE),IF($B187="Per unit GDP ($m)",VLOOKUP($C187,$AC$153:$AH$182,2,FALSE),""))))))))</f>
        <v>1.8607326275301332</v>
      </c>
      <c r="AE187" s="959">
        <f t="shared" ref="AE187:AE215" si="144">IF($AC$184="On-road",0,IF($AC$184="Water",0,IF($AC$184="Air",0,IF($AC$184="Off-road",0,IF($B187="Total GHG",VLOOKUP($C187,$AC$51:$AH$80,3,FALSE),IF($B187="Per capita",VLOOKUP($C187,$AC$85:$AH$114,3,FALSE),IF($B187="Per unit land area (km2)",VLOOKUP($C187,$AC$119:$AH$148,3,FALSE),IF($B187="Per unit GDP ($m)",VLOOKUP($C187,$AC$153:$AH$182,3,FALSE),""))))))))</f>
        <v>0.57425114942826661</v>
      </c>
      <c r="AF187" s="959">
        <f t="shared" ref="AF187:AF215" si="145">IF($AC$184="On-road",0,IF($AC$184="Rail",0,IF($AC$184="Air",0,IF($AC$184="Off-road",0,IF($B187="Total GHG",VLOOKUP($C187,$AC$51:$AH$80,4,FALSE),IF($B187="Per capita",VLOOKUP($C187,$AC$85:$AH$114,4,FALSE),IF($B187="Per unit land area (km2)",VLOOKUP($C187,$AC$119:$AH$148,4,FALSE),IF($B187="Per unit GDP ($m)",VLOOKUP($C187,$AC$153:$AH$182,4,FALSE),""))))))))</f>
        <v>1.3505663901193232E-2</v>
      </c>
      <c r="AG187" s="959" t="str">
        <f t="shared" ref="AG187:AG215" si="146">IF($AC$184="On-road",0,IF($AC$184="Rail",0,IF($AC$184="Water",0,IF($AC$184="Off-road",0,IF($B187="Total GHG",VLOOKUP($C187,$AC$51:$AH$80,5,FALSE),IF($B187="Per capita",VLOOKUP($C187,$AC$85:$AH$114,5,FALSE),IF($B187="Per unit land area (km2)",VLOOKUP($C187,$AC$119:$AH$148,5,FALSE),IF($B187="Per unit GDP ($m)",VLOOKUP($C187,$AC$153:$AH$182,5,FALSE),""))))))))</f>
        <v/>
      </c>
      <c r="AH187" s="959" t="str">
        <f t="shared" ref="AH187:AH215" si="147">IF($AC$184="On-road",0,IF($AC$184="Rail",0,IF($AC$184="Water",0,IF($AC$184="Air",0,IF($B187="Total GHG",VLOOKUP($C187,$AC$51:$AH$80,6,FALSE),IF($B187="Per capita",VLOOKUP($C187,$AC$85:$AH$114,6,FALSE),IF($B187="Per unit land area (km2)",VLOOKUP($C187,$AC$119:$AH$148,6,FALSE),IF($B187="Per unit GDP ($m)",VLOOKUP($C187,$AC$153:$AH$182,6,FALSE),""))))))))</f>
        <v/>
      </c>
      <c r="AI187" s="1098">
        <f t="shared" ref="AI187:AI214" si="148">IF(SUM(AD187:AH187)=0,"",SUM(AD187:AH187))</f>
        <v>2.4484894408595927</v>
      </c>
      <c r="AJ187" s="648" t="str">
        <f>B187</f>
        <v>Per capita</v>
      </c>
      <c r="AK187" s="959">
        <f t="shared" ref="AK187:AK215" si="149">IF($AJ$184="Biological",0,IF($AJ$184="Incineration",0,IF($AJ$184="Wastewater",0,IF($B187="Total GHG",VLOOKUP($C187,$AJ$51:$AN$80,2,FALSE),IF($B187="Per capita",VLOOKUP($C187,$AJ$85:$AN$114,2,FALSE),IF($B187="Per unit land area (km2)",VLOOKUP($C187,$AJ$119:$AN$148,2,FALSE),IF($B187="Per unit GDP ($m)",VLOOKUP($C187,$AJ$153:$AN$182,2,FALSE),"")))))))</f>
        <v>0</v>
      </c>
      <c r="AL187" s="959">
        <f t="shared" ref="AL187:AL215" si="150">IF($AJ$184="Landfill",0,IF($AJ$184="Incineration",0,IF($AJ$184="Wastewater",0,IF($B187="Total GHG",VLOOKUP($C187,$AJ$51:$AN$80,3,FALSE),IF($B187="Per capita",VLOOKUP($C187,$AJ$85:$AN$114,3,FALSE),IF($B187="Per unit land area (km2)",VLOOKUP($C187,$AJ$119:$AN$148,3,FALSE),IF($B187="Per unit GDP ($m)",VLOOKUP($C187,$AJ$153:$AN$182,3,FALSE),"")))))))</f>
        <v>0</v>
      </c>
      <c r="AM187" s="959">
        <f t="shared" ref="AM187:AM215" si="151">IF($AJ$184="Landfill",0,IF($AJ$184="Biological",0,IF($AJ$184="Wastewater",0,IF($B187="Total GHG",VLOOKUP($C187,$AJ$51:$AN$80,4,FALSE),IF($B187="Per capita",VLOOKUP($C187,$AJ$85:$AN$114,4,FALSE),IF($B187="Per unit land area (km2)",VLOOKUP($C187,$AJ$119:$AN$148,4,FALSE),IF($B187="Per unit GDP ($m)",VLOOKUP($C187,$AJ$153:$AN$182,4,FALSE),"")))))))</f>
        <v>0</v>
      </c>
      <c r="AN187" s="959">
        <f t="shared" ref="AN187:AN215" si="152">IF($AJ$184="Landfill",0,IF($AJ$184="Biological",0,IF($AJ$184="Incineration",0,IF($B187="Total GHG",VLOOKUP($C187,$AJ$51:$AN$80,5,FALSE),IF($B187="Per capita",VLOOKUP($C187,$AJ$85:$AN$114,5,FALSE),IF($B187="Per unit land area (km2)",VLOOKUP($C187,$AJ$119:$AN$148,5,FALSE),IF($B187="Per unit GDP ($m)",VLOOKUP($C187,$AJ$153:$AN$182,5,FALSE),"")))))))</f>
        <v>3.3333333333333333E-2</v>
      </c>
      <c r="AO187" s="1098">
        <f>IF(SUM(AK187:AN187)=0,"",SUM(AK187:AN187))</f>
        <v>3.3333333333333333E-2</v>
      </c>
    </row>
    <row r="188" spans="1:120" ht="15" customHeight="1">
      <c r="B188" s="957" t="str">
        <f>Benchmark!$B$11</f>
        <v>Per capita</v>
      </c>
      <c r="C188" s="648" t="str">
        <f t="shared" ref="C188:C215" si="153">B13</f>
        <v>Amman</v>
      </c>
      <c r="D188" s="902" t="str">
        <f t="shared" si="121"/>
        <v>Jordan</v>
      </c>
      <c r="E188" s="902" t="str">
        <f t="shared" si="122"/>
        <v>South and West Asia</v>
      </c>
      <c r="F188" s="902" t="str">
        <f t="shared" si="123"/>
        <v>A metropolitan area</v>
      </c>
      <c r="G188" s="643">
        <f t="shared" si="124"/>
        <v>2014</v>
      </c>
      <c r="H188" s="644">
        <f t="shared" ref="H188" si="154">G188</f>
        <v>2014</v>
      </c>
      <c r="I188" s="643">
        <f t="shared" si="126"/>
        <v>3400000</v>
      </c>
      <c r="J188" s="643">
        <f t="shared" si="127"/>
        <v>801.92</v>
      </c>
      <c r="K188" s="1038">
        <f t="shared" si="128"/>
        <v>15068000000</v>
      </c>
      <c r="L188" s="643" t="s">
        <v>172</v>
      </c>
      <c r="M188" s="643" t="s">
        <v>1556</v>
      </c>
      <c r="N188" s="960">
        <f t="shared" si="129"/>
        <v>2.1857122980082773</v>
      </c>
      <c r="O188" s="960">
        <f t="shared" si="130"/>
        <v>1.3984346152369007</v>
      </c>
      <c r="P188" s="960">
        <f t="shared" si="131"/>
        <v>0.66692801685961145</v>
      </c>
      <c r="Q188" s="960">
        <f t="shared" si="132"/>
        <v>0.12034966591176473</v>
      </c>
      <c r="R188" s="1098">
        <f t="shared" ref="R188:R214" si="155">IF(SUM(O188:Q188)=0,"",SUM(O188:Q188))</f>
        <v>2.1857122980082773</v>
      </c>
      <c r="S188" s="648" t="str">
        <f t="shared" si="133"/>
        <v>Per capita</v>
      </c>
      <c r="T188" s="959">
        <f t="shared" si="134"/>
        <v>0.72123401371545992</v>
      </c>
      <c r="U188" s="959">
        <f t="shared" si="135"/>
        <v>0.58068471172912317</v>
      </c>
      <c r="V188" s="959">
        <f t="shared" si="136"/>
        <v>9.6515889792317608E-2</v>
      </c>
      <c r="W188" s="959" t="str">
        <f t="shared" si="137"/>
        <v/>
      </c>
      <c r="X188" s="959" t="str">
        <f t="shared" si="138"/>
        <v/>
      </c>
      <c r="Y188" s="959" t="str">
        <f t="shared" si="139"/>
        <v/>
      </c>
      <c r="Z188" s="959" t="str">
        <f t="shared" si="140"/>
        <v/>
      </c>
      <c r="AA188" s="959" t="str">
        <f t="shared" si="141"/>
        <v/>
      </c>
      <c r="AB188" s="1098">
        <f t="shared" ref="AB188:AB213" si="156">IF(SUM(T188:AA188)=0,"",SUM(T188:AA188))</f>
        <v>1.3984346152369007</v>
      </c>
      <c r="AC188" s="1041" t="str">
        <f t="shared" si="142"/>
        <v>Per capita</v>
      </c>
      <c r="AD188" s="959">
        <f t="shared" si="143"/>
        <v>0.66692801685961145</v>
      </c>
      <c r="AE188" s="959" t="str">
        <f t="shared" si="144"/>
        <v/>
      </c>
      <c r="AF188" s="959" t="str">
        <f t="shared" si="145"/>
        <v/>
      </c>
      <c r="AG188" s="959" t="str">
        <f t="shared" si="146"/>
        <v/>
      </c>
      <c r="AH188" s="959" t="str">
        <f t="shared" si="147"/>
        <v/>
      </c>
      <c r="AI188" s="1098">
        <f t="shared" si="148"/>
        <v>0.66692801685961145</v>
      </c>
      <c r="AJ188" s="648" t="str">
        <f t="shared" ref="AJ188:AJ214" si="157">B188</f>
        <v>Per capita</v>
      </c>
      <c r="AK188" s="959">
        <f t="shared" si="149"/>
        <v>0</v>
      </c>
      <c r="AL188" s="959">
        <f t="shared" si="150"/>
        <v>0</v>
      </c>
      <c r="AM188" s="959">
        <f t="shared" si="151"/>
        <v>0</v>
      </c>
      <c r="AN188" s="959">
        <f t="shared" si="152"/>
        <v>7.2056129411764702E-2</v>
      </c>
      <c r="AO188" s="1098">
        <f t="shared" ref="AO188:AO214" si="158">IF(SUM(AK188:AN188)=0,"",SUM(AK188:AN188))</f>
        <v>7.2056129411764702E-2</v>
      </c>
    </row>
    <row r="189" spans="1:120" ht="15" customHeight="1">
      <c r="B189" s="957" t="str">
        <f>Benchmark!$B$11</f>
        <v>Per capita</v>
      </c>
      <c r="C189" s="648" t="str">
        <f t="shared" si="153"/>
        <v>Athens</v>
      </c>
      <c r="D189" s="902" t="str">
        <f t="shared" si="121"/>
        <v>Greece</v>
      </c>
      <c r="E189" s="902" t="str">
        <f t="shared" si="122"/>
        <v>Europe</v>
      </c>
      <c r="F189" s="902" t="str">
        <f t="shared" si="123"/>
        <v xml:space="preserve">Administrative boundary of a local government </v>
      </c>
      <c r="G189" s="643">
        <f t="shared" si="124"/>
        <v>2014</v>
      </c>
      <c r="H189" s="644">
        <f t="shared" ref="H189:H196" si="159">G189</f>
        <v>2014</v>
      </c>
      <c r="I189" s="643">
        <f t="shared" si="126"/>
        <v>664046</v>
      </c>
      <c r="J189" s="643">
        <f t="shared" si="127"/>
        <v>39</v>
      </c>
      <c r="K189" s="1038">
        <f t="shared" si="128"/>
        <v>22249382330</v>
      </c>
      <c r="L189" s="643" t="s">
        <v>172</v>
      </c>
      <c r="M189" s="643" t="s">
        <v>1556</v>
      </c>
      <c r="N189" s="960">
        <f t="shared" si="129"/>
        <v>7.1586680426640559</v>
      </c>
      <c r="O189" s="960">
        <f t="shared" si="130"/>
        <v>5.0172597553644236</v>
      </c>
      <c r="P189" s="960">
        <f t="shared" si="131"/>
        <v>1.6030959236858706</v>
      </c>
      <c r="Q189" s="960">
        <f t="shared" si="132"/>
        <v>0.53831236361376167</v>
      </c>
      <c r="R189" s="1098">
        <f t="shared" si="155"/>
        <v>7.1586680426640559</v>
      </c>
      <c r="S189" s="648" t="str">
        <f t="shared" si="133"/>
        <v>Per capita</v>
      </c>
      <c r="T189" s="959">
        <f t="shared" si="134"/>
        <v>2.9552409328800797</v>
      </c>
      <c r="U189" s="959">
        <f t="shared" si="135"/>
        <v>2.0053437380187407</v>
      </c>
      <c r="V189" s="959">
        <f t="shared" si="136"/>
        <v>5.6124215602229639E-2</v>
      </c>
      <c r="W189" s="959" t="str">
        <f t="shared" si="137"/>
        <v/>
      </c>
      <c r="X189" s="959" t="str">
        <f t="shared" si="138"/>
        <v/>
      </c>
      <c r="Y189" s="959" t="str">
        <f t="shared" si="139"/>
        <v/>
      </c>
      <c r="Z189" s="959" t="str">
        <f t="shared" si="140"/>
        <v/>
      </c>
      <c r="AA189" s="959">
        <f t="shared" si="141"/>
        <v>5.5086886337416604E-4</v>
      </c>
      <c r="AB189" s="1098">
        <f t="shared" si="156"/>
        <v>5.0172597553644236</v>
      </c>
      <c r="AC189" s="1041" t="str">
        <f t="shared" si="142"/>
        <v>Per capita</v>
      </c>
      <c r="AD189" s="959">
        <f t="shared" si="143"/>
        <v>1.5296440686152228</v>
      </c>
      <c r="AE189" s="959">
        <f t="shared" si="144"/>
        <v>7.3451855070647762E-2</v>
      </c>
      <c r="AF189" s="959" t="str">
        <f t="shared" si="145"/>
        <v/>
      </c>
      <c r="AG189" s="959" t="str">
        <f t="shared" si="146"/>
        <v/>
      </c>
      <c r="AH189" s="959" t="str">
        <f t="shared" si="147"/>
        <v/>
      </c>
      <c r="AI189" s="1098">
        <f t="shared" si="148"/>
        <v>1.6030959236858706</v>
      </c>
      <c r="AJ189" s="648" t="str">
        <f t="shared" si="157"/>
        <v>Per capita</v>
      </c>
      <c r="AK189" s="959">
        <f t="shared" si="149"/>
        <v>0</v>
      </c>
      <c r="AL189" s="959">
        <f t="shared" si="150"/>
        <v>0</v>
      </c>
      <c r="AM189" s="959">
        <f t="shared" si="151"/>
        <v>0</v>
      </c>
      <c r="AN189" s="959">
        <f t="shared" si="152"/>
        <v>3.51506088040738E-2</v>
      </c>
      <c r="AO189" s="1098">
        <f t="shared" si="158"/>
        <v>3.51506088040738E-2</v>
      </c>
    </row>
    <row r="190" spans="1:120" ht="15" customHeight="1">
      <c r="B190" s="957" t="str">
        <f>Benchmark!$B$11</f>
        <v>Per capita</v>
      </c>
      <c r="C190" s="648" t="str">
        <f t="shared" si="153"/>
        <v xml:space="preserve">Bogota </v>
      </c>
      <c r="D190" s="902" t="str">
        <f t="shared" si="121"/>
        <v xml:space="preserve">Colombia </v>
      </c>
      <c r="E190" s="902" t="str">
        <f t="shared" si="122"/>
        <v>Latin America</v>
      </c>
      <c r="F190" s="902" t="str">
        <f t="shared" si="123"/>
        <v xml:space="preserve">Administrative boundary of a local government </v>
      </c>
      <c r="G190" s="643">
        <f t="shared" si="124"/>
        <v>2012</v>
      </c>
      <c r="H190" s="644">
        <f t="shared" si="159"/>
        <v>2012</v>
      </c>
      <c r="I190" s="643">
        <f t="shared" si="126"/>
        <v>7571345</v>
      </c>
      <c r="J190" s="643">
        <f t="shared" si="127"/>
        <v>1636.6</v>
      </c>
      <c r="K190" s="1038">
        <f t="shared" si="128"/>
        <v>68444073455.759605</v>
      </c>
      <c r="L190" s="643" t="s">
        <v>172</v>
      </c>
      <c r="M190" s="643" t="s">
        <v>1556</v>
      </c>
      <c r="N190" s="960">
        <f t="shared" si="129"/>
        <v>1.6390064041144079</v>
      </c>
      <c r="O190" s="960">
        <f t="shared" si="130"/>
        <v>0.89611700799388927</v>
      </c>
      <c r="P190" s="960">
        <f t="shared" si="131"/>
        <v>0.61972723389949769</v>
      </c>
      <c r="Q190" s="960">
        <f t="shared" si="132"/>
        <v>0.12316216222102086</v>
      </c>
      <c r="R190" s="1098">
        <f t="shared" si="155"/>
        <v>1.6390064041144079</v>
      </c>
      <c r="S190" s="648" t="str">
        <f t="shared" si="133"/>
        <v>Per capita</v>
      </c>
      <c r="T190" s="959">
        <f t="shared" si="134"/>
        <v>0.28528989988313591</v>
      </c>
      <c r="U190" s="959">
        <f t="shared" si="135"/>
        <v>0.33801814452432555</v>
      </c>
      <c r="V190" s="959">
        <f t="shared" si="136"/>
        <v>0.25044020946399087</v>
      </c>
      <c r="W190" s="959" t="str">
        <f t="shared" si="137"/>
        <v/>
      </c>
      <c r="X190" s="959">
        <f t="shared" si="138"/>
        <v>6.568461162112702E-3</v>
      </c>
      <c r="Y190" s="959">
        <f t="shared" si="139"/>
        <v>1.0751461170575629E-2</v>
      </c>
      <c r="Z190" s="959" t="str">
        <f t="shared" si="140"/>
        <v/>
      </c>
      <c r="AA190" s="959">
        <f t="shared" si="141"/>
        <v>5.0488317897485939E-3</v>
      </c>
      <c r="AB190" s="1098">
        <f t="shared" si="156"/>
        <v>0.89611700799388927</v>
      </c>
      <c r="AC190" s="1041" t="str">
        <f t="shared" si="142"/>
        <v>Per capita</v>
      </c>
      <c r="AD190" s="959">
        <f t="shared" si="143"/>
        <v>0.61969906667837749</v>
      </c>
      <c r="AE190" s="959">
        <f t="shared" si="144"/>
        <v>2.8167221120326185E-5</v>
      </c>
      <c r="AF190" s="959" t="str">
        <f t="shared" si="145"/>
        <v/>
      </c>
      <c r="AG190" s="959" t="str">
        <f t="shared" si="146"/>
        <v/>
      </c>
      <c r="AH190" s="959" t="str">
        <f t="shared" si="147"/>
        <v/>
      </c>
      <c r="AI190" s="1098">
        <f t="shared" si="148"/>
        <v>0.6197272338994978</v>
      </c>
      <c r="AJ190" s="648" t="str">
        <f t="shared" si="157"/>
        <v>Per capita</v>
      </c>
      <c r="AK190" s="959">
        <f t="shared" si="149"/>
        <v>0</v>
      </c>
      <c r="AL190" s="959">
        <f t="shared" si="150"/>
        <v>0</v>
      </c>
      <c r="AM190" s="959">
        <f t="shared" si="151"/>
        <v>0</v>
      </c>
      <c r="AN190" s="959">
        <f t="shared" si="152"/>
        <v>0.11680632063858262</v>
      </c>
      <c r="AO190" s="1098">
        <f t="shared" si="158"/>
        <v>0.11680632063858262</v>
      </c>
    </row>
    <row r="191" spans="1:120" ht="15" customHeight="1">
      <c r="B191" s="957" t="str">
        <f>Benchmark!$B$11</f>
        <v>Per capita</v>
      </c>
      <c r="C191" s="648" t="str">
        <f t="shared" si="153"/>
        <v>Boston</v>
      </c>
      <c r="D191" s="902" t="str">
        <f t="shared" si="121"/>
        <v>USA</v>
      </c>
      <c r="E191" s="902" t="str">
        <f t="shared" si="122"/>
        <v>North America</v>
      </c>
      <c r="F191" s="902" t="str">
        <f t="shared" si="123"/>
        <v xml:space="preserve">Administrative boundary of a local government </v>
      </c>
      <c r="G191" s="643">
        <f t="shared" si="124"/>
        <v>2013</v>
      </c>
      <c r="H191" s="644">
        <f t="shared" si="159"/>
        <v>2013</v>
      </c>
      <c r="I191" s="643">
        <f t="shared" si="126"/>
        <v>644710</v>
      </c>
      <c r="J191" s="643">
        <f t="shared" si="127"/>
        <v>125</v>
      </c>
      <c r="K191" s="1038">
        <f t="shared" si="128"/>
        <v>109829400000</v>
      </c>
      <c r="L191" s="643" t="s">
        <v>172</v>
      </c>
      <c r="M191" s="643" t="s">
        <v>1556</v>
      </c>
      <c r="N191" s="960">
        <f t="shared" si="129"/>
        <v>9.3458482384479407</v>
      </c>
      <c r="O191" s="960">
        <f t="shared" si="130"/>
        <v>6.8425013498183445</v>
      </c>
      <c r="P191" s="960">
        <f t="shared" si="131"/>
        <v>2.4767908218546331</v>
      </c>
      <c r="Q191" s="960">
        <f t="shared" si="132"/>
        <v>2.6556066774962896E-2</v>
      </c>
      <c r="R191" s="1098">
        <f t="shared" si="155"/>
        <v>9.3458482384479407</v>
      </c>
      <c r="S191" s="648" t="str">
        <f t="shared" si="133"/>
        <v>Per capita</v>
      </c>
      <c r="T191" s="959">
        <f t="shared" si="134"/>
        <v>1.9990560295879647</v>
      </c>
      <c r="U191" s="959">
        <f t="shared" si="135"/>
        <v>4.8084122061635943</v>
      </c>
      <c r="V191" s="959" t="str">
        <f t="shared" si="136"/>
        <v/>
      </c>
      <c r="W191" s="959" t="str">
        <f t="shared" si="137"/>
        <v/>
      </c>
      <c r="X191" s="959" t="str">
        <f t="shared" si="138"/>
        <v/>
      </c>
      <c r="Y191" s="959" t="str">
        <f t="shared" si="139"/>
        <v/>
      </c>
      <c r="Z191" s="959" t="str">
        <f t="shared" si="140"/>
        <v/>
      </c>
      <c r="AA191" s="959">
        <f t="shared" si="141"/>
        <v>3.5033114066785373E-2</v>
      </c>
      <c r="AB191" s="1098">
        <f t="shared" si="156"/>
        <v>6.8425013498183445</v>
      </c>
      <c r="AC191" s="1041" t="str">
        <f t="shared" si="142"/>
        <v>Per capita</v>
      </c>
      <c r="AD191" s="959">
        <f t="shared" si="143"/>
        <v>2.336123581203708</v>
      </c>
      <c r="AE191" s="959">
        <f t="shared" si="144"/>
        <v>0.10942768738786006</v>
      </c>
      <c r="AF191" s="959">
        <f t="shared" si="145"/>
        <v>5.9821256440880407E-4</v>
      </c>
      <c r="AG191" s="959" t="str">
        <f t="shared" si="146"/>
        <v/>
      </c>
      <c r="AH191" s="959">
        <f t="shared" si="147"/>
        <v>3.0641340698656358E-2</v>
      </c>
      <c r="AI191" s="1098">
        <f t="shared" si="148"/>
        <v>2.4767908218546335</v>
      </c>
      <c r="AJ191" s="648" t="str">
        <f t="shared" si="157"/>
        <v>Per capita</v>
      </c>
      <c r="AK191" s="959">
        <f t="shared" si="149"/>
        <v>0</v>
      </c>
      <c r="AL191" s="959">
        <f t="shared" si="150"/>
        <v>0</v>
      </c>
      <c r="AM191" s="959">
        <f t="shared" si="151"/>
        <v>0</v>
      </c>
      <c r="AN191" s="959">
        <f t="shared" si="152"/>
        <v>2.6556066774962896E-2</v>
      </c>
      <c r="AO191" s="1098">
        <f t="shared" si="158"/>
        <v>2.6556066774962896E-2</v>
      </c>
    </row>
    <row r="192" spans="1:120" ht="15" customHeight="1">
      <c r="B192" s="957" t="str">
        <f>Benchmark!$B$11</f>
        <v>Per capita</v>
      </c>
      <c r="C192" s="648" t="str">
        <f t="shared" si="153"/>
        <v xml:space="preserve">Buenos Aires </v>
      </c>
      <c r="D192" s="902" t="str">
        <f t="shared" si="121"/>
        <v>Argentina</v>
      </c>
      <c r="E192" s="902" t="str">
        <f t="shared" si="122"/>
        <v>Latin America</v>
      </c>
      <c r="F192" s="902" t="str">
        <f t="shared" si="123"/>
        <v xml:space="preserve">Administrative boundary of a local government </v>
      </c>
      <c r="G192" s="643">
        <f t="shared" si="124"/>
        <v>2013</v>
      </c>
      <c r="H192" s="644">
        <f t="shared" si="159"/>
        <v>2013</v>
      </c>
      <c r="I192" s="643">
        <f t="shared" si="126"/>
        <v>3079071</v>
      </c>
      <c r="J192" s="643">
        <f t="shared" si="127"/>
        <v>202.04</v>
      </c>
      <c r="K192" s="1038">
        <f t="shared" si="128"/>
        <v>79384000000</v>
      </c>
      <c r="L192" s="643" t="s">
        <v>172</v>
      </c>
      <c r="M192" s="643" t="s">
        <v>1556</v>
      </c>
      <c r="N192" s="960">
        <f t="shared" si="129"/>
        <v>4.3946022489972654</v>
      </c>
      <c r="O192" s="960">
        <f t="shared" si="130"/>
        <v>2.4872283887612063</v>
      </c>
      <c r="P192" s="960">
        <f t="shared" si="131"/>
        <v>1.3287538718488308</v>
      </c>
      <c r="Q192" s="960">
        <f t="shared" si="132"/>
        <v>0.57861998838722795</v>
      </c>
      <c r="R192" s="1098">
        <f t="shared" si="155"/>
        <v>4.3946022489972654</v>
      </c>
      <c r="S192" s="648" t="str">
        <f t="shared" si="133"/>
        <v>Per capita</v>
      </c>
      <c r="T192" s="959">
        <f t="shared" si="134"/>
        <v>1.2500537863202255</v>
      </c>
      <c r="U192" s="959">
        <f t="shared" si="135"/>
        <v>0.94900546935805552</v>
      </c>
      <c r="V192" s="959">
        <f t="shared" si="136"/>
        <v>0.24036326869783184</v>
      </c>
      <c r="W192" s="959" t="str">
        <f t="shared" si="137"/>
        <v/>
      </c>
      <c r="X192" s="959" t="str">
        <f t="shared" si="138"/>
        <v/>
      </c>
      <c r="Y192" s="959" t="str">
        <f t="shared" si="139"/>
        <v/>
      </c>
      <c r="Z192" s="959" t="str">
        <f t="shared" si="140"/>
        <v/>
      </c>
      <c r="AA192" s="959">
        <f t="shared" si="141"/>
        <v>4.7805864385093523E-2</v>
      </c>
      <c r="AB192" s="1098">
        <f t="shared" si="156"/>
        <v>2.4872283887612063</v>
      </c>
      <c r="AC192" s="1041" t="str">
        <f t="shared" si="142"/>
        <v>Per capita</v>
      </c>
      <c r="AD192" s="959">
        <f t="shared" si="143"/>
        <v>1.2974344725416251</v>
      </c>
      <c r="AE192" s="959">
        <f t="shared" si="144"/>
        <v>3.1319399307205648E-2</v>
      </c>
      <c r="AF192" s="959" t="str">
        <f t="shared" si="145"/>
        <v/>
      </c>
      <c r="AG192" s="959" t="str">
        <f t="shared" si="146"/>
        <v/>
      </c>
      <c r="AH192" s="959" t="str">
        <f t="shared" si="147"/>
        <v/>
      </c>
      <c r="AI192" s="1098">
        <f t="shared" si="148"/>
        <v>1.3287538718488308</v>
      </c>
      <c r="AJ192" s="648" t="str">
        <f t="shared" si="157"/>
        <v>Per capita</v>
      </c>
      <c r="AK192" s="959">
        <f t="shared" si="149"/>
        <v>0</v>
      </c>
      <c r="AL192" s="959">
        <f t="shared" si="150"/>
        <v>0</v>
      </c>
      <c r="AM192" s="959">
        <f t="shared" si="151"/>
        <v>0</v>
      </c>
      <c r="AN192" s="959">
        <f t="shared" si="152"/>
        <v>4.5005904788636107E-2</v>
      </c>
      <c r="AO192" s="1098">
        <f t="shared" si="158"/>
        <v>4.5005904788636107E-2</v>
      </c>
    </row>
    <row r="193" spans="2:41" ht="15" customHeight="1">
      <c r="B193" s="957" t="str">
        <f>Benchmark!$B$11</f>
        <v>Per capita</v>
      </c>
      <c r="C193" s="648" t="str">
        <f t="shared" si="153"/>
        <v>Cape Town</v>
      </c>
      <c r="D193" s="902" t="str">
        <f t="shared" si="121"/>
        <v>South Africa</v>
      </c>
      <c r="E193" s="902" t="str">
        <f t="shared" si="122"/>
        <v>Africa</v>
      </c>
      <c r="F193" s="902" t="str">
        <f t="shared" si="123"/>
        <v xml:space="preserve">Administrative boundary of a local government </v>
      </c>
      <c r="G193" s="643">
        <f t="shared" si="124"/>
        <v>2012</v>
      </c>
      <c r="H193" s="644">
        <f t="shared" si="159"/>
        <v>2012</v>
      </c>
      <c r="I193" s="643">
        <f t="shared" si="126"/>
        <v>3837414</v>
      </c>
      <c r="J193" s="643">
        <f t="shared" si="127"/>
        <v>2455</v>
      </c>
      <c r="K193" s="1038">
        <f t="shared" si="128"/>
        <v>17454000000</v>
      </c>
      <c r="L193" s="643" t="s">
        <v>172</v>
      </c>
      <c r="M193" s="643" t="s">
        <v>1556</v>
      </c>
      <c r="N193" s="960">
        <f t="shared" si="129"/>
        <v>5.7108150814405221</v>
      </c>
      <c r="O193" s="960">
        <f t="shared" si="130"/>
        <v>3.5558884295124269</v>
      </c>
      <c r="P193" s="960">
        <f t="shared" si="131"/>
        <v>1.5232793562232276</v>
      </c>
      <c r="Q193" s="960">
        <f t="shared" si="132"/>
        <v>0.63164729570486788</v>
      </c>
      <c r="R193" s="1098">
        <f t="shared" si="155"/>
        <v>5.7108150814405221</v>
      </c>
      <c r="S193" s="648" t="str">
        <f t="shared" si="133"/>
        <v>Per capita</v>
      </c>
      <c r="T193" s="959">
        <f t="shared" si="134"/>
        <v>1.1919213272221867</v>
      </c>
      <c r="U193" s="959">
        <f t="shared" si="135"/>
        <v>1.4911864827365513</v>
      </c>
      <c r="V193" s="959">
        <f t="shared" si="136"/>
        <v>0.54652289020470557</v>
      </c>
      <c r="W193" s="959" t="str">
        <f t="shared" si="137"/>
        <v/>
      </c>
      <c r="X193" s="959">
        <f t="shared" si="138"/>
        <v>5.4510535496560958E-2</v>
      </c>
      <c r="Y193" s="959">
        <f t="shared" si="139"/>
        <v>0.27174719385242252</v>
      </c>
      <c r="Z193" s="959" t="str">
        <f t="shared" si="140"/>
        <v/>
      </c>
      <c r="AA193" s="959" t="str">
        <f t="shared" si="141"/>
        <v/>
      </c>
      <c r="AB193" s="1098">
        <f t="shared" si="156"/>
        <v>3.5558884295124269</v>
      </c>
      <c r="AC193" s="1041" t="str">
        <f t="shared" si="142"/>
        <v>Per capita</v>
      </c>
      <c r="AD193" s="959">
        <f t="shared" si="143"/>
        <v>1.4966592877708793</v>
      </c>
      <c r="AE193" s="959">
        <f t="shared" si="144"/>
        <v>2.6620068452348378E-2</v>
      </c>
      <c r="AF193" s="959" t="str">
        <f t="shared" si="145"/>
        <v/>
      </c>
      <c r="AG193" s="959" t="str">
        <f t="shared" si="146"/>
        <v/>
      </c>
      <c r="AH193" s="959" t="str">
        <f t="shared" si="147"/>
        <v/>
      </c>
      <c r="AI193" s="1098">
        <f t="shared" si="148"/>
        <v>1.5232793562232276</v>
      </c>
      <c r="AJ193" s="648" t="str">
        <f t="shared" si="157"/>
        <v>Per capita</v>
      </c>
      <c r="AK193" s="959">
        <f t="shared" si="149"/>
        <v>0</v>
      </c>
      <c r="AL193" s="959">
        <f t="shared" si="150"/>
        <v>0</v>
      </c>
      <c r="AM193" s="959">
        <f t="shared" si="151"/>
        <v>0</v>
      </c>
      <c r="AN193" s="959">
        <f t="shared" si="152"/>
        <v>3.5882758545207789E-2</v>
      </c>
      <c r="AO193" s="1098">
        <f t="shared" si="158"/>
        <v>3.5882758545207789E-2</v>
      </c>
    </row>
    <row r="194" spans="2:41" ht="15" customHeight="1">
      <c r="B194" s="957" t="str">
        <f>Benchmark!$B$11</f>
        <v>Per capita</v>
      </c>
      <c r="C194" s="648" t="str">
        <f t="shared" si="153"/>
        <v>Chicago</v>
      </c>
      <c r="D194" s="902" t="str">
        <f t="shared" si="121"/>
        <v>USA</v>
      </c>
      <c r="E194" s="902" t="str">
        <f t="shared" si="122"/>
        <v>Europe</v>
      </c>
      <c r="F194" s="902" t="str">
        <f t="shared" si="123"/>
        <v xml:space="preserve">Administrative boundary of a local government </v>
      </c>
      <c r="G194" s="643">
        <f t="shared" si="124"/>
        <v>2010</v>
      </c>
      <c r="H194" s="644">
        <f t="shared" si="159"/>
        <v>2010</v>
      </c>
      <c r="I194" s="643">
        <f t="shared" si="126"/>
        <v>27000000</v>
      </c>
      <c r="J194" s="643">
        <f t="shared" si="127"/>
        <v>606</v>
      </c>
      <c r="K194" s="1038">
        <f t="shared" si="128"/>
        <v>496400000000</v>
      </c>
      <c r="L194" s="643" t="s">
        <v>172</v>
      </c>
      <c r="M194" s="643" t="s">
        <v>1556</v>
      </c>
      <c r="N194" s="960">
        <f t="shared" si="129"/>
        <v>1.2332703013791657</v>
      </c>
      <c r="O194" s="960">
        <f t="shared" si="130"/>
        <v>0.92122973567771926</v>
      </c>
      <c r="P194" s="960">
        <f t="shared" si="131"/>
        <v>0.26290490901771957</v>
      </c>
      <c r="Q194" s="960">
        <f t="shared" si="132"/>
        <v>4.9135656683726978E-2</v>
      </c>
      <c r="R194" s="1098">
        <f t="shared" si="155"/>
        <v>1.2332703013791657</v>
      </c>
      <c r="S194" s="648" t="str">
        <f t="shared" si="133"/>
        <v>Per capita</v>
      </c>
      <c r="T194" s="959">
        <f t="shared" si="134"/>
        <v>0.36214598565897027</v>
      </c>
      <c r="U194" s="959">
        <f t="shared" si="135"/>
        <v>0.50904891410322006</v>
      </c>
      <c r="V194" s="959">
        <f t="shared" si="136"/>
        <v>5.0034835915528986E-2</v>
      </c>
      <c r="W194" s="959" t="str">
        <f t="shared" si="137"/>
        <v/>
      </c>
      <c r="X194" s="959" t="str">
        <f t="shared" si="138"/>
        <v/>
      </c>
      <c r="Y194" s="959" t="str">
        <f t="shared" si="139"/>
        <v/>
      </c>
      <c r="Z194" s="959" t="str">
        <f t="shared" si="140"/>
        <v/>
      </c>
      <c r="AA194" s="959" t="str">
        <f t="shared" si="141"/>
        <v/>
      </c>
      <c r="AB194" s="1098">
        <f t="shared" si="156"/>
        <v>0.92122973567771926</v>
      </c>
      <c r="AC194" s="1041" t="str">
        <f t="shared" si="142"/>
        <v>Per capita</v>
      </c>
      <c r="AD194" s="959">
        <f t="shared" si="143"/>
        <v>0.25122337823481056</v>
      </c>
      <c r="AE194" s="959">
        <f t="shared" si="144"/>
        <v>1.1634918298541588E-2</v>
      </c>
      <c r="AF194" s="959">
        <f t="shared" si="145"/>
        <v>9.1431265921966917E-6</v>
      </c>
      <c r="AG194" s="959" t="str">
        <f t="shared" si="146"/>
        <v/>
      </c>
      <c r="AH194" s="959">
        <f t="shared" si="147"/>
        <v>3.7469357775186982E-5</v>
      </c>
      <c r="AI194" s="1098">
        <f t="shared" si="148"/>
        <v>0.26290490901771951</v>
      </c>
      <c r="AJ194" s="648" t="str">
        <f t="shared" si="157"/>
        <v>Per capita</v>
      </c>
      <c r="AK194" s="959">
        <f t="shared" si="149"/>
        <v>0</v>
      </c>
      <c r="AL194" s="959">
        <f t="shared" si="150"/>
        <v>0</v>
      </c>
      <c r="AM194" s="959">
        <f t="shared" si="151"/>
        <v>0</v>
      </c>
      <c r="AN194" s="959">
        <f t="shared" si="152"/>
        <v>1.3042108358669541E-3</v>
      </c>
      <c r="AO194" s="1098">
        <f t="shared" si="158"/>
        <v>1.3042108358669541E-3</v>
      </c>
    </row>
    <row r="195" spans="2:41" ht="15" customHeight="1">
      <c r="B195" s="957" t="str">
        <f>Benchmark!$B$11</f>
        <v>Per capita</v>
      </c>
      <c r="C195" s="648" t="str">
        <f t="shared" si="153"/>
        <v>Copenhagen</v>
      </c>
      <c r="D195" s="902" t="str">
        <f t="shared" si="121"/>
        <v>Denmark</v>
      </c>
      <c r="E195" s="902" t="str">
        <f t="shared" si="122"/>
        <v>Europe</v>
      </c>
      <c r="F195" s="902" t="str">
        <f t="shared" si="123"/>
        <v xml:space="preserve">Administrative boundary of a local government </v>
      </c>
      <c r="G195" s="643">
        <f t="shared" si="124"/>
        <v>2014</v>
      </c>
      <c r="H195" s="644">
        <f t="shared" si="159"/>
        <v>2014</v>
      </c>
      <c r="I195" s="643">
        <f t="shared" si="126"/>
        <v>580184</v>
      </c>
      <c r="J195" s="643">
        <f t="shared" si="127"/>
        <v>86.22</v>
      </c>
      <c r="K195" s="1038">
        <f t="shared" si="128"/>
        <v>51910270000</v>
      </c>
      <c r="L195" s="643" t="s">
        <v>172</v>
      </c>
      <c r="M195" s="643" t="s">
        <v>1556</v>
      </c>
      <c r="N195" s="960">
        <f t="shared" si="129"/>
        <v>2.9771339947648197</v>
      </c>
      <c r="O195" s="960">
        <f t="shared" si="130"/>
        <v>1.9472654418174553</v>
      </c>
      <c r="P195" s="960">
        <f t="shared" si="131"/>
        <v>0.99998492982090803</v>
      </c>
      <c r="Q195" s="960">
        <f t="shared" si="132"/>
        <v>2.9883623126456434E-2</v>
      </c>
      <c r="R195" s="1098">
        <f t="shared" si="155"/>
        <v>2.9771339947648197</v>
      </c>
      <c r="S195" s="648" t="str">
        <f t="shared" si="133"/>
        <v>Per capita</v>
      </c>
      <c r="T195" s="959">
        <f t="shared" si="134"/>
        <v>0.76079121637997571</v>
      </c>
      <c r="U195" s="959">
        <f t="shared" si="135"/>
        <v>1.0109416188693783</v>
      </c>
      <c r="V195" s="959">
        <f t="shared" si="136"/>
        <v>0.17542207304771748</v>
      </c>
      <c r="W195" s="959" t="str">
        <f t="shared" si="137"/>
        <v/>
      </c>
      <c r="X195" s="959">
        <f t="shared" si="138"/>
        <v>1.1053352038386447E-4</v>
      </c>
      <c r="Y195" s="959" t="str">
        <f t="shared" si="139"/>
        <v/>
      </c>
      <c r="Z195" s="959" t="str">
        <f t="shared" si="140"/>
        <v/>
      </c>
      <c r="AA195" s="959" t="str">
        <f t="shared" si="141"/>
        <v/>
      </c>
      <c r="AB195" s="1098">
        <f t="shared" si="156"/>
        <v>1.9472654418174553</v>
      </c>
      <c r="AC195" s="1041" t="str">
        <f t="shared" si="142"/>
        <v>Per capita</v>
      </c>
      <c r="AD195" s="959">
        <f t="shared" si="143"/>
        <v>0.60193073127191876</v>
      </c>
      <c r="AE195" s="959">
        <f t="shared" si="144"/>
        <v>4.9078701120587112E-2</v>
      </c>
      <c r="AF195" s="959">
        <f t="shared" si="145"/>
        <v>0.24130275912469148</v>
      </c>
      <c r="AG195" s="959" t="str">
        <f t="shared" si="146"/>
        <v/>
      </c>
      <c r="AH195" s="959">
        <f t="shared" si="147"/>
        <v>0.10767273830371055</v>
      </c>
      <c r="AI195" s="1098">
        <f t="shared" si="148"/>
        <v>0.99998492982090781</v>
      </c>
      <c r="AJ195" s="648" t="str">
        <f t="shared" si="157"/>
        <v>Per capita</v>
      </c>
      <c r="AK195" s="959">
        <f t="shared" si="149"/>
        <v>0</v>
      </c>
      <c r="AL195" s="959">
        <f t="shared" si="150"/>
        <v>0</v>
      </c>
      <c r="AM195" s="959">
        <f t="shared" si="151"/>
        <v>0</v>
      </c>
      <c r="AN195" s="959">
        <f t="shared" si="152"/>
        <v>2.8590929774002731E-2</v>
      </c>
      <c r="AO195" s="1098">
        <f t="shared" si="158"/>
        <v>2.8590929774002731E-2</v>
      </c>
    </row>
    <row r="196" spans="2:41" ht="15" customHeight="1">
      <c r="B196" s="957" t="str">
        <f>Benchmark!$B$11</f>
        <v>Per capita</v>
      </c>
      <c r="C196" s="648" t="str">
        <f t="shared" si="153"/>
        <v>District of Columbia</v>
      </c>
      <c r="D196" s="902" t="str">
        <f t="shared" si="121"/>
        <v>United States</v>
      </c>
      <c r="E196" s="902" t="str">
        <f t="shared" si="122"/>
        <v>Europe</v>
      </c>
      <c r="F196" s="902" t="str">
        <f t="shared" si="123"/>
        <v xml:space="preserve">Administrative boundary of a local government </v>
      </c>
      <c r="G196" s="643">
        <f t="shared" si="124"/>
        <v>2013</v>
      </c>
      <c r="H196" s="644">
        <f t="shared" si="159"/>
        <v>2013</v>
      </c>
      <c r="I196" s="643">
        <f t="shared" si="126"/>
        <v>649111</v>
      </c>
      <c r="J196" s="643">
        <f t="shared" si="127"/>
        <v>158</v>
      </c>
      <c r="K196" s="1038">
        <f t="shared" si="128"/>
        <v>113362000000</v>
      </c>
      <c r="L196" s="643" t="s">
        <v>172</v>
      </c>
      <c r="M196" s="643" t="s">
        <v>1556</v>
      </c>
      <c r="N196" s="960">
        <f t="shared" si="129"/>
        <v>12.72982014192103</v>
      </c>
      <c r="O196" s="960">
        <f t="shared" si="130"/>
        <v>9.9696086044124428</v>
      </c>
      <c r="P196" s="960">
        <f t="shared" si="131"/>
        <v>2.4715225880129941</v>
      </c>
      <c r="Q196" s="960">
        <f t="shared" si="132"/>
        <v>0.28868894949559276</v>
      </c>
      <c r="R196" s="1098">
        <f t="shared" si="155"/>
        <v>12.72982014192103</v>
      </c>
      <c r="S196" s="648" t="str">
        <f t="shared" si="133"/>
        <v>Per capita</v>
      </c>
      <c r="T196" s="959">
        <f t="shared" si="134"/>
        <v>2.2112265069493273</v>
      </c>
      <c r="U196" s="959">
        <f t="shared" si="135"/>
        <v>7.7246481920921397</v>
      </c>
      <c r="V196" s="959" t="str">
        <f t="shared" si="136"/>
        <v/>
      </c>
      <c r="W196" s="959" t="str">
        <f t="shared" si="137"/>
        <v/>
      </c>
      <c r="X196" s="959" t="str">
        <f t="shared" si="138"/>
        <v/>
      </c>
      <c r="Y196" s="959" t="str">
        <f t="shared" si="139"/>
        <v/>
      </c>
      <c r="Z196" s="959" t="str">
        <f t="shared" si="140"/>
        <v/>
      </c>
      <c r="AA196" s="959">
        <f t="shared" si="141"/>
        <v>3.3733905370975981E-2</v>
      </c>
      <c r="AB196" s="1098">
        <f t="shared" si="156"/>
        <v>9.9696086044124428</v>
      </c>
      <c r="AC196" s="1041" t="str">
        <f t="shared" si="142"/>
        <v>Per capita</v>
      </c>
      <c r="AD196" s="959">
        <f t="shared" si="143"/>
        <v>2.2769570508433845</v>
      </c>
      <c r="AE196" s="959">
        <f t="shared" si="144"/>
        <v>0.19456553716960936</v>
      </c>
      <c r="AF196" s="959" t="str">
        <f t="shared" si="145"/>
        <v/>
      </c>
      <c r="AG196" s="959" t="str">
        <f t="shared" si="146"/>
        <v/>
      </c>
      <c r="AH196" s="959" t="str">
        <f t="shared" si="147"/>
        <v/>
      </c>
      <c r="AI196" s="1098">
        <f t="shared" si="148"/>
        <v>2.4715225880129941</v>
      </c>
      <c r="AJ196" s="648" t="str">
        <f t="shared" si="157"/>
        <v>Per capita</v>
      </c>
      <c r="AK196" s="959">
        <f t="shared" si="149"/>
        <v>0</v>
      </c>
      <c r="AL196" s="959">
        <f t="shared" si="150"/>
        <v>0</v>
      </c>
      <c r="AM196" s="959">
        <f t="shared" si="151"/>
        <v>0</v>
      </c>
      <c r="AN196" s="959">
        <f t="shared" si="152"/>
        <v>9.2529208348552279E-3</v>
      </c>
      <c r="AO196" s="1098">
        <f t="shared" si="158"/>
        <v>9.2529208348552279E-3</v>
      </c>
    </row>
    <row r="197" spans="2:41" ht="15" customHeight="1">
      <c r="B197" s="957" t="str">
        <f>Benchmark!$B$11</f>
        <v>Per capita</v>
      </c>
      <c r="C197" s="648" t="str">
        <f t="shared" si="153"/>
        <v>Johannesburg</v>
      </c>
      <c r="D197" s="902" t="str">
        <f t="shared" si="121"/>
        <v>South Africa</v>
      </c>
      <c r="E197" s="902" t="str">
        <f t="shared" si="122"/>
        <v>Africa</v>
      </c>
      <c r="F197" s="902" t="str">
        <f t="shared" si="123"/>
        <v xml:space="preserve">Administrative boundary of a local government </v>
      </c>
      <c r="G197" s="643">
        <f t="shared" si="124"/>
        <v>2014</v>
      </c>
      <c r="H197" s="644">
        <f t="shared" ref="H197:H213" si="160">G197</f>
        <v>2014</v>
      </c>
      <c r="I197" s="643">
        <f t="shared" si="126"/>
        <v>4765329</v>
      </c>
      <c r="J197" s="643">
        <f t="shared" si="127"/>
        <v>1648</v>
      </c>
      <c r="K197" s="1038">
        <f t="shared" si="128"/>
        <v>35684773914.663498</v>
      </c>
      <c r="L197" s="643" t="s">
        <v>172</v>
      </c>
      <c r="M197" s="643" t="s">
        <v>1556</v>
      </c>
      <c r="N197" s="960">
        <f t="shared" ref="N197:N213" si="161">IF($B197="Total GHG",VLOOKUP($C197,$B$51:$Q$80,13,FALSE),IF($B197="Per capita",VLOOKUP($C197,$B$85:$Q$114,13,FALSE),IF($B197="Per unit land area (km2)",VLOOKUP($C197,$B$119:$Q$148,13,FALSE),IF($B197="Per unit GDP ($m)",VLOOKUP(C197,$B$153:$Q$182,13,FALSE),""))))</f>
        <v>5.1867799397499672</v>
      </c>
      <c r="O197" s="960">
        <f t="shared" si="130"/>
        <v>3.3099443567310156</v>
      </c>
      <c r="P197" s="960">
        <f t="shared" si="131"/>
        <v>1.512024263705092</v>
      </c>
      <c r="Q197" s="960">
        <f t="shared" si="132"/>
        <v>0.36481131931385963</v>
      </c>
      <c r="R197" s="1098">
        <f t="shared" si="155"/>
        <v>5.1867799397499672</v>
      </c>
      <c r="S197" s="648" t="str">
        <f t="shared" si="133"/>
        <v>Per capita</v>
      </c>
      <c r="T197" s="959">
        <f t="shared" si="134"/>
        <v>1.5057940099245171</v>
      </c>
      <c r="U197" s="959">
        <f t="shared" si="135"/>
        <v>1.7519047878541363</v>
      </c>
      <c r="V197" s="959">
        <f t="shared" si="136"/>
        <v>5.1569299715172656E-2</v>
      </c>
      <c r="W197" s="959" t="str">
        <f t="shared" si="137"/>
        <v/>
      </c>
      <c r="X197" s="959" t="str">
        <f t="shared" si="138"/>
        <v/>
      </c>
      <c r="Y197" s="959" t="str">
        <f t="shared" si="139"/>
        <v/>
      </c>
      <c r="Z197" s="959" t="str">
        <f t="shared" si="140"/>
        <v/>
      </c>
      <c r="AA197" s="959">
        <f t="shared" si="141"/>
        <v>6.7625923718920818E-4</v>
      </c>
      <c r="AB197" s="1098">
        <f t="shared" si="156"/>
        <v>3.3099443567310152</v>
      </c>
      <c r="AC197" s="1041" t="str">
        <f t="shared" si="142"/>
        <v>Per capita</v>
      </c>
      <c r="AD197" s="959">
        <f t="shared" si="143"/>
        <v>1.4427379747459927</v>
      </c>
      <c r="AE197" s="959">
        <f t="shared" si="144"/>
        <v>6.9286288959099357E-2</v>
      </c>
      <c r="AF197" s="959" t="str">
        <f t="shared" si="145"/>
        <v/>
      </c>
      <c r="AG197" s="959" t="str">
        <f t="shared" si="146"/>
        <v/>
      </c>
      <c r="AH197" s="959" t="str">
        <f t="shared" si="147"/>
        <v/>
      </c>
      <c r="AI197" s="1098">
        <f t="shared" si="148"/>
        <v>1.512024263705092</v>
      </c>
      <c r="AJ197" s="648" t="str">
        <f t="shared" si="157"/>
        <v>Per capita</v>
      </c>
      <c r="AK197" s="959">
        <f t="shared" si="149"/>
        <v>0</v>
      </c>
      <c r="AL197" s="959">
        <f t="shared" si="150"/>
        <v>0</v>
      </c>
      <c r="AM197" s="959">
        <f t="shared" si="151"/>
        <v>0</v>
      </c>
      <c r="AN197" s="959">
        <f t="shared" si="152"/>
        <v>2.273729882125565E-2</v>
      </c>
      <c r="AO197" s="1098">
        <f t="shared" si="158"/>
        <v>2.273729882125565E-2</v>
      </c>
    </row>
    <row r="198" spans="2:41" ht="15" customHeight="1">
      <c r="B198" s="957" t="str">
        <f>Benchmark!$B$11</f>
        <v>Per capita</v>
      </c>
      <c r="C198" s="648" t="str">
        <f t="shared" si="153"/>
        <v>London</v>
      </c>
      <c r="D198" s="902" t="str">
        <f t="shared" si="121"/>
        <v>United Kingdom</v>
      </c>
      <c r="E198" s="902" t="str">
        <f t="shared" si="122"/>
        <v>Europe</v>
      </c>
      <c r="F198" s="902" t="str">
        <f t="shared" si="123"/>
        <v xml:space="preserve">Administrative boundary of a local government </v>
      </c>
      <c r="G198" s="643">
        <f t="shared" si="124"/>
        <v>2013</v>
      </c>
      <c r="H198" s="644">
        <f t="shared" si="160"/>
        <v>2013</v>
      </c>
      <c r="I198" s="643">
        <f t="shared" si="126"/>
        <v>8416500</v>
      </c>
      <c r="J198" s="643">
        <f t="shared" si="127"/>
        <v>1595</v>
      </c>
      <c r="K198" s="1038">
        <f t="shared" si="128"/>
        <v>481061890500</v>
      </c>
      <c r="L198" s="643" t="s">
        <v>172</v>
      </c>
      <c r="M198" s="643" t="s">
        <v>1556</v>
      </c>
      <c r="N198" s="960">
        <f t="shared" si="161"/>
        <v>4.731796334155133</v>
      </c>
      <c r="O198" s="960">
        <f t="shared" si="130"/>
        <v>3.6455679759841808</v>
      </c>
      <c r="P198" s="960">
        <f t="shared" si="131"/>
        <v>0.8661378466354861</v>
      </c>
      <c r="Q198" s="960">
        <f t="shared" si="132"/>
        <v>0.22009051153546655</v>
      </c>
      <c r="R198" s="1098">
        <f t="shared" si="155"/>
        <v>4.731796334155133</v>
      </c>
      <c r="S198" s="648" t="str">
        <f t="shared" si="133"/>
        <v>Per capita</v>
      </c>
      <c r="T198" s="959">
        <f t="shared" si="134"/>
        <v>1.6835046590246785</v>
      </c>
      <c r="U198" s="959">
        <f t="shared" si="135"/>
        <v>1.9606627704140265</v>
      </c>
      <c r="V198" s="959" t="str">
        <f t="shared" si="136"/>
        <v/>
      </c>
      <c r="W198" s="959" t="str">
        <f t="shared" si="137"/>
        <v/>
      </c>
      <c r="X198" s="959" t="str">
        <f t="shared" si="138"/>
        <v/>
      </c>
      <c r="Y198" s="959" t="str">
        <f t="shared" si="139"/>
        <v/>
      </c>
      <c r="Z198" s="959" t="str">
        <f t="shared" si="140"/>
        <v/>
      </c>
      <c r="AA198" s="959">
        <f t="shared" si="141"/>
        <v>1.4005465454761481E-3</v>
      </c>
      <c r="AB198" s="1098">
        <f t="shared" si="156"/>
        <v>3.6455679759841813</v>
      </c>
      <c r="AC198" s="1041" t="str">
        <f t="shared" si="142"/>
        <v>Per capita</v>
      </c>
      <c r="AD198" s="959">
        <f t="shared" si="143"/>
        <v>0.71700284219468857</v>
      </c>
      <c r="AE198" s="959">
        <f t="shared" si="144"/>
        <v>0.1424325157754627</v>
      </c>
      <c r="AF198" s="959">
        <f t="shared" si="145"/>
        <v>2.4069976655129626E-3</v>
      </c>
      <c r="AG198" s="959" t="str">
        <f t="shared" si="146"/>
        <v/>
      </c>
      <c r="AH198" s="959">
        <f t="shared" si="147"/>
        <v>4.2954909998217782E-3</v>
      </c>
      <c r="AI198" s="1098">
        <f t="shared" si="148"/>
        <v>0.86613784663548599</v>
      </c>
      <c r="AJ198" s="648" t="str">
        <f t="shared" si="157"/>
        <v>Per capita</v>
      </c>
      <c r="AK198" s="959">
        <f t="shared" si="149"/>
        <v>0</v>
      </c>
      <c r="AL198" s="959">
        <f t="shared" si="150"/>
        <v>0</v>
      </c>
      <c r="AM198" s="959">
        <f t="shared" si="151"/>
        <v>0</v>
      </c>
      <c r="AN198" s="959">
        <f t="shared" si="152"/>
        <v>7.877121600510722E-4</v>
      </c>
      <c r="AO198" s="1098">
        <f t="shared" si="158"/>
        <v>7.877121600510722E-4</v>
      </c>
    </row>
    <row r="199" spans="2:41" ht="15" customHeight="1">
      <c r="B199" s="957" t="str">
        <f>Benchmark!$B$11</f>
        <v>Per capita</v>
      </c>
      <c r="C199" s="648" t="str">
        <f t="shared" si="153"/>
        <v>Madrid</v>
      </c>
      <c r="D199" s="902" t="str">
        <f t="shared" si="121"/>
        <v>Spain</v>
      </c>
      <c r="E199" s="902" t="str">
        <f t="shared" si="122"/>
        <v>Europe</v>
      </c>
      <c r="F199" s="902" t="str">
        <f t="shared" si="123"/>
        <v xml:space="preserve">Administrative boundary of a local government </v>
      </c>
      <c r="G199" s="643">
        <f t="shared" si="124"/>
        <v>2013</v>
      </c>
      <c r="H199" s="644">
        <f t="shared" si="160"/>
        <v>2013</v>
      </c>
      <c r="I199" s="643">
        <f t="shared" si="126"/>
        <v>3207247</v>
      </c>
      <c r="J199" s="643">
        <f t="shared" si="127"/>
        <v>606</v>
      </c>
      <c r="K199" s="1038">
        <f t="shared" si="128"/>
        <v>103261000000</v>
      </c>
      <c r="L199" s="643" t="s">
        <v>172</v>
      </c>
      <c r="M199" s="643" t="s">
        <v>1556</v>
      </c>
      <c r="N199" s="960">
        <f t="shared" si="161"/>
        <v>2.8692506532432591</v>
      </c>
      <c r="O199" s="960">
        <f t="shared" si="130"/>
        <v>1.8225132600555261</v>
      </c>
      <c r="P199" s="960">
        <f t="shared" si="131"/>
        <v>0.91220415131718091</v>
      </c>
      <c r="Q199" s="960">
        <f t="shared" si="132"/>
        <v>0.13453324187055218</v>
      </c>
      <c r="R199" s="1098">
        <f t="shared" si="155"/>
        <v>2.8692506532432591</v>
      </c>
      <c r="S199" s="648" t="str">
        <f t="shared" si="133"/>
        <v>Per capita</v>
      </c>
      <c r="T199" s="959">
        <f t="shared" si="134"/>
        <v>0.8751916106558757</v>
      </c>
      <c r="U199" s="959">
        <f t="shared" si="135"/>
        <v>0.74800935127805179</v>
      </c>
      <c r="V199" s="959">
        <f t="shared" si="136"/>
        <v>0.15739323893039672</v>
      </c>
      <c r="W199" s="959">
        <f t="shared" si="137"/>
        <v>1.1791473803752535E-2</v>
      </c>
      <c r="X199" s="959">
        <f t="shared" si="138"/>
        <v>9.1302114539320856E-3</v>
      </c>
      <c r="Y199" s="959">
        <f t="shared" si="139"/>
        <v>1.5396186093380532E-2</v>
      </c>
      <c r="Z199" s="959" t="str">
        <f t="shared" si="140"/>
        <v/>
      </c>
      <c r="AA199" s="959">
        <f t="shared" si="141"/>
        <v>5.6011878401363239E-3</v>
      </c>
      <c r="AB199" s="1098">
        <f t="shared" si="156"/>
        <v>1.8225132600555254</v>
      </c>
      <c r="AC199" s="1041" t="str">
        <f t="shared" si="142"/>
        <v>Per capita</v>
      </c>
      <c r="AD199" s="959">
        <f t="shared" si="143"/>
        <v>0.67009646491423491</v>
      </c>
      <c r="AE199" s="959">
        <f t="shared" si="144"/>
        <v>8.4287684607013233E-2</v>
      </c>
      <c r="AF199" s="959" t="str">
        <f t="shared" si="145"/>
        <v/>
      </c>
      <c r="AG199" s="959">
        <f t="shared" si="146"/>
        <v>0.15782000179593278</v>
      </c>
      <c r="AH199" s="959" t="str">
        <f t="shared" si="147"/>
        <v/>
      </c>
      <c r="AI199" s="1098">
        <f t="shared" si="148"/>
        <v>0.91220415131718091</v>
      </c>
      <c r="AJ199" s="648" t="str">
        <f t="shared" si="157"/>
        <v>Per capita</v>
      </c>
      <c r="AK199" s="959">
        <f t="shared" si="149"/>
        <v>0</v>
      </c>
      <c r="AL199" s="959">
        <f t="shared" si="150"/>
        <v>0</v>
      </c>
      <c r="AM199" s="959">
        <f t="shared" si="151"/>
        <v>0</v>
      </c>
      <c r="AN199" s="959">
        <f t="shared" si="152"/>
        <v>2.7880606715906892E-2</v>
      </c>
      <c r="AO199" s="1098">
        <f t="shared" si="158"/>
        <v>2.7880606715906892E-2</v>
      </c>
    </row>
    <row r="200" spans="2:41" ht="15" customHeight="1">
      <c r="B200" s="957" t="str">
        <f>Benchmark!$B$11</f>
        <v>Per capita</v>
      </c>
      <c r="C200" s="648" t="str">
        <f t="shared" si="153"/>
        <v>City of Melbourne</v>
      </c>
      <c r="D200" s="902" t="str">
        <f t="shared" si="121"/>
        <v>Australia</v>
      </c>
      <c r="E200" s="902" t="str">
        <f t="shared" si="122"/>
        <v>East Asia and Oceania</v>
      </c>
      <c r="F200" s="902" t="str">
        <f t="shared" si="123"/>
        <v xml:space="preserve">Administrative boundary of a local government </v>
      </c>
      <c r="G200" s="643" t="str">
        <f t="shared" si="124"/>
        <v>2013-2014</v>
      </c>
      <c r="H200" s="644" t="str">
        <f t="shared" si="160"/>
        <v>2013-2014</v>
      </c>
      <c r="I200" s="643">
        <f t="shared" si="126"/>
        <v>116431</v>
      </c>
      <c r="J200" s="643">
        <f t="shared" si="127"/>
        <v>37.6</v>
      </c>
      <c r="K200" s="1038">
        <f t="shared" si="128"/>
        <v>67700000000</v>
      </c>
      <c r="L200" s="643" t="s">
        <v>172</v>
      </c>
      <c r="M200" s="643" t="s">
        <v>1556</v>
      </c>
      <c r="N200" s="960">
        <f t="shared" si="161"/>
        <v>50.051341400262231</v>
      </c>
      <c r="O200" s="960">
        <f t="shared" si="130"/>
        <v>43.099631651166391</v>
      </c>
      <c r="P200" s="960">
        <f t="shared" si="131"/>
        <v>5.6477992785167039</v>
      </c>
      <c r="Q200" s="960">
        <f t="shared" si="132"/>
        <v>1.3039104705791413</v>
      </c>
      <c r="R200" s="1098">
        <f t="shared" si="155"/>
        <v>50.051341400262231</v>
      </c>
      <c r="S200" s="648" t="str">
        <f t="shared" si="133"/>
        <v>Per capita</v>
      </c>
      <c r="T200" s="959">
        <f t="shared" si="134"/>
        <v>3.2320121926778462</v>
      </c>
      <c r="U200" s="959">
        <f t="shared" si="135"/>
        <v>37.399105722946857</v>
      </c>
      <c r="V200" s="959">
        <f t="shared" si="136"/>
        <v>2.4685137355416846</v>
      </c>
      <c r="W200" s="959" t="str">
        <f t="shared" si="137"/>
        <v/>
      </c>
      <c r="X200" s="959" t="str">
        <f t="shared" si="138"/>
        <v/>
      </c>
      <c r="Y200" s="959" t="str">
        <f t="shared" si="139"/>
        <v/>
      </c>
      <c r="Z200" s="959" t="str">
        <f t="shared" si="140"/>
        <v/>
      </c>
      <c r="AA200" s="959" t="str">
        <f t="shared" si="141"/>
        <v/>
      </c>
      <c r="AB200" s="1098">
        <f t="shared" si="156"/>
        <v>43.099631651166384</v>
      </c>
      <c r="AC200" s="1041" t="str">
        <f t="shared" si="142"/>
        <v>Per capita</v>
      </c>
      <c r="AD200" s="959">
        <f t="shared" si="143"/>
        <v>3.8475273373689141</v>
      </c>
      <c r="AE200" s="959">
        <f t="shared" si="144"/>
        <v>1.7500248525184727</v>
      </c>
      <c r="AF200" s="959" t="str">
        <f t="shared" si="145"/>
        <v/>
      </c>
      <c r="AG200" s="959" t="str">
        <f t="shared" si="146"/>
        <v/>
      </c>
      <c r="AH200" s="959">
        <f t="shared" si="147"/>
        <v>5.0247088629316941E-2</v>
      </c>
      <c r="AI200" s="1098">
        <f t="shared" si="148"/>
        <v>5.6477992785167039</v>
      </c>
      <c r="AJ200" s="648" t="str">
        <f t="shared" si="157"/>
        <v>Per capita</v>
      </c>
      <c r="AK200" s="959">
        <f t="shared" si="149"/>
        <v>0</v>
      </c>
      <c r="AL200" s="959">
        <f t="shared" si="150"/>
        <v>0</v>
      </c>
      <c r="AM200" s="959">
        <f t="shared" si="151"/>
        <v>0</v>
      </c>
      <c r="AN200" s="959">
        <f t="shared" si="152"/>
        <v>2.489027836229183E-2</v>
      </c>
      <c r="AO200" s="1098">
        <f t="shared" si="158"/>
        <v>2.489027836229183E-2</v>
      </c>
    </row>
    <row r="201" spans="2:41" ht="15" customHeight="1">
      <c r="B201" s="957" t="str">
        <f>Benchmark!$B$11</f>
        <v>Per capita</v>
      </c>
      <c r="C201" s="648" t="str">
        <f t="shared" si="153"/>
        <v>Mexico City</v>
      </c>
      <c r="D201" s="902" t="str">
        <f t="shared" si="121"/>
        <v>Mexico</v>
      </c>
      <c r="E201" s="902" t="str">
        <f t="shared" si="122"/>
        <v>Latin America</v>
      </c>
      <c r="F201" s="902" t="str">
        <f t="shared" si="123"/>
        <v>Administrative boundary of a local government .</v>
      </c>
      <c r="G201" s="643">
        <f t="shared" si="124"/>
        <v>2012</v>
      </c>
      <c r="H201" s="644">
        <f t="shared" si="160"/>
        <v>2012</v>
      </c>
      <c r="I201" s="643">
        <f t="shared" si="126"/>
        <v>8911664.7271708604</v>
      </c>
      <c r="J201" s="643">
        <f t="shared" si="127"/>
        <v>1485</v>
      </c>
      <c r="K201" s="1038">
        <f t="shared" si="128"/>
        <v>169784923077</v>
      </c>
      <c r="L201" s="643" t="s">
        <v>172</v>
      </c>
      <c r="M201" s="643" t="s">
        <v>1556</v>
      </c>
      <c r="N201" s="960">
        <f t="shared" si="161"/>
        <v>3.385841792188061</v>
      </c>
      <c r="O201" s="960">
        <f t="shared" si="130"/>
        <v>1.3259000016504221</v>
      </c>
      <c r="P201" s="960">
        <f t="shared" si="131"/>
        <v>1.5346394600444666</v>
      </c>
      <c r="Q201" s="960">
        <f t="shared" si="132"/>
        <v>0.52530233049317254</v>
      </c>
      <c r="R201" s="1098">
        <f t="shared" si="155"/>
        <v>3.385841792188061</v>
      </c>
      <c r="S201" s="648" t="str">
        <f t="shared" si="133"/>
        <v>Per capita</v>
      </c>
      <c r="T201" s="959">
        <f t="shared" si="134"/>
        <v>0.44873637165833952</v>
      </c>
      <c r="U201" s="959">
        <f t="shared" si="135"/>
        <v>0.27135849605115375</v>
      </c>
      <c r="V201" s="959">
        <f t="shared" si="136"/>
        <v>0.60231711031236634</v>
      </c>
      <c r="W201" s="959">
        <f t="shared" si="137"/>
        <v>2.6972205471233893E-3</v>
      </c>
      <c r="X201" s="959">
        <f t="shared" si="138"/>
        <v>7.2347559343682952E-4</v>
      </c>
      <c r="Y201" s="959" t="str">
        <f t="shared" si="139"/>
        <v/>
      </c>
      <c r="Z201" s="959" t="str">
        <f t="shared" si="140"/>
        <v/>
      </c>
      <c r="AA201" s="959">
        <f t="shared" si="141"/>
        <v>6.7327488002399179E-5</v>
      </c>
      <c r="AB201" s="1098">
        <f t="shared" si="156"/>
        <v>1.3259000016504223</v>
      </c>
      <c r="AC201" s="1041" t="str">
        <f t="shared" si="142"/>
        <v>Per capita</v>
      </c>
      <c r="AD201" s="959">
        <f t="shared" si="143"/>
        <v>1.2891874288929281</v>
      </c>
      <c r="AE201" s="959">
        <f t="shared" si="144"/>
        <v>7.5594294396676684E-2</v>
      </c>
      <c r="AF201" s="959" t="str">
        <f t="shared" si="145"/>
        <v/>
      </c>
      <c r="AG201" s="959">
        <f t="shared" si="146"/>
        <v>0.15692367045705202</v>
      </c>
      <c r="AH201" s="959">
        <f t="shared" si="147"/>
        <v>1.2934066297809473E-2</v>
      </c>
      <c r="AI201" s="1098">
        <f t="shared" si="148"/>
        <v>1.5346394600444664</v>
      </c>
      <c r="AJ201" s="648" t="str">
        <f t="shared" si="157"/>
        <v>Per capita</v>
      </c>
      <c r="AK201" s="959">
        <f t="shared" si="149"/>
        <v>0</v>
      </c>
      <c r="AL201" s="959">
        <f t="shared" si="150"/>
        <v>0</v>
      </c>
      <c r="AM201" s="959">
        <f t="shared" si="151"/>
        <v>0</v>
      </c>
      <c r="AN201" s="959">
        <f t="shared" si="152"/>
        <v>7.5193294100662098E-2</v>
      </c>
      <c r="AO201" s="1098">
        <f t="shared" si="158"/>
        <v>7.5193294100662098E-2</v>
      </c>
    </row>
    <row r="202" spans="2:41" ht="15" customHeight="1">
      <c r="B202" s="957" t="str">
        <f>Benchmark!$B$11</f>
        <v>Per capita</v>
      </c>
      <c r="C202" s="648" t="str">
        <f t="shared" si="153"/>
        <v>New York City</v>
      </c>
      <c r="D202" s="902" t="str">
        <f t="shared" si="121"/>
        <v>USA</v>
      </c>
      <c r="E202" s="902" t="str">
        <f t="shared" si="122"/>
        <v>North America</v>
      </c>
      <c r="F202" s="902" t="str">
        <f t="shared" si="123"/>
        <v xml:space="preserve">Administrative boundary of a local government </v>
      </c>
      <c r="G202" s="643">
        <f t="shared" si="124"/>
        <v>2014</v>
      </c>
      <c r="H202" s="644">
        <f t="shared" si="160"/>
        <v>2014</v>
      </c>
      <c r="I202" s="643">
        <f t="shared" si="126"/>
        <v>8491079</v>
      </c>
      <c r="J202" s="643">
        <f t="shared" si="127"/>
        <v>783.8</v>
      </c>
      <c r="K202" s="1038">
        <f t="shared" si="128"/>
        <v>778000000000</v>
      </c>
      <c r="L202" s="643" t="s">
        <v>172</v>
      </c>
      <c r="M202" s="643" t="s">
        <v>1556</v>
      </c>
      <c r="N202" s="960">
        <f t="shared" si="161"/>
        <v>6.0429279353559844</v>
      </c>
      <c r="O202" s="960">
        <f t="shared" si="130"/>
        <v>4.3347853230698865</v>
      </c>
      <c r="P202" s="960">
        <f t="shared" si="131"/>
        <v>1.3919371161086995</v>
      </c>
      <c r="Q202" s="960">
        <f t="shared" si="132"/>
        <v>0.31620549617739863</v>
      </c>
      <c r="R202" s="1098">
        <f t="shared" si="155"/>
        <v>6.0429279353559844</v>
      </c>
      <c r="S202" s="648" t="str">
        <f t="shared" si="133"/>
        <v>Per capita</v>
      </c>
      <c r="T202" s="959">
        <f t="shared" si="134"/>
        <v>2.0517584756326395</v>
      </c>
      <c r="U202" s="959">
        <f t="shared" si="135"/>
        <v>1.7306861975510597</v>
      </c>
      <c r="V202" s="959">
        <f t="shared" si="136"/>
        <v>0.52632988356531607</v>
      </c>
      <c r="W202" s="959" t="str">
        <f t="shared" si="137"/>
        <v/>
      </c>
      <c r="X202" s="959" t="str">
        <f t="shared" si="138"/>
        <v/>
      </c>
      <c r="Y202" s="959" t="str">
        <f t="shared" si="139"/>
        <v/>
      </c>
      <c r="Z202" s="959" t="str">
        <f t="shared" si="140"/>
        <v/>
      </c>
      <c r="AA202" s="959">
        <f t="shared" si="141"/>
        <v>2.6010766320871622E-2</v>
      </c>
      <c r="AB202" s="1098">
        <f t="shared" si="156"/>
        <v>4.3347853230698865</v>
      </c>
      <c r="AC202" s="1041" t="str">
        <f t="shared" si="142"/>
        <v>Per capita</v>
      </c>
      <c r="AD202" s="959">
        <f t="shared" si="143"/>
        <v>1.2848491500683188</v>
      </c>
      <c r="AE202" s="959">
        <f t="shared" si="144"/>
        <v>0.10235904522667788</v>
      </c>
      <c r="AF202" s="959">
        <f t="shared" si="145"/>
        <v>4.4535703231917603E-3</v>
      </c>
      <c r="AG202" s="959">
        <f t="shared" si="146"/>
        <v>2.7535049051095097E-4</v>
      </c>
      <c r="AH202" s="959" t="str">
        <f t="shared" si="147"/>
        <v/>
      </c>
      <c r="AI202" s="1098">
        <f t="shared" si="148"/>
        <v>1.3919371161086993</v>
      </c>
      <c r="AJ202" s="648" t="str">
        <f t="shared" si="157"/>
        <v>Per capita</v>
      </c>
      <c r="AK202" s="959">
        <f t="shared" si="149"/>
        <v>0</v>
      </c>
      <c r="AL202" s="959">
        <f t="shared" si="150"/>
        <v>0</v>
      </c>
      <c r="AM202" s="959">
        <f t="shared" si="151"/>
        <v>0</v>
      </c>
      <c r="AN202" s="959">
        <f t="shared" si="152"/>
        <v>2.55983027417006E-2</v>
      </c>
      <c r="AO202" s="1098">
        <f t="shared" si="158"/>
        <v>2.55983027417006E-2</v>
      </c>
    </row>
    <row r="203" spans="2:41" ht="15" customHeight="1">
      <c r="B203" s="957" t="str">
        <f>Benchmark!$B$11</f>
        <v>Per capita</v>
      </c>
      <c r="C203" s="648" t="str">
        <f t="shared" si="153"/>
        <v>Stockholm</v>
      </c>
      <c r="D203" s="902" t="str">
        <f t="shared" si="121"/>
        <v>Sweden</v>
      </c>
      <c r="E203" s="902" t="str">
        <f t="shared" si="122"/>
        <v>Europe</v>
      </c>
      <c r="F203" s="902" t="str">
        <f t="shared" si="123"/>
        <v xml:space="preserve">Administrative boundary of a local government </v>
      </c>
      <c r="G203" s="643">
        <f t="shared" si="124"/>
        <v>2012</v>
      </c>
      <c r="H203" s="644">
        <f t="shared" si="160"/>
        <v>2012</v>
      </c>
      <c r="I203" s="643">
        <f t="shared" si="126"/>
        <v>881235</v>
      </c>
      <c r="J203" s="643">
        <f t="shared" si="127"/>
        <v>216</v>
      </c>
      <c r="K203" s="1038">
        <f t="shared" si="128"/>
        <v>416797000000</v>
      </c>
      <c r="L203" s="643" t="s">
        <v>172</v>
      </c>
      <c r="M203" s="643" t="s">
        <v>1556</v>
      </c>
      <c r="N203" s="960">
        <f t="shared" si="161"/>
        <v>2.4323153051002286</v>
      </c>
      <c r="O203" s="960">
        <f t="shared" si="130"/>
        <v>1.385339228469137</v>
      </c>
      <c r="P203" s="960">
        <f t="shared" si="131"/>
        <v>1.0381664652447984</v>
      </c>
      <c r="Q203" s="960">
        <f t="shared" si="132"/>
        <v>8.8096113862931001E-3</v>
      </c>
      <c r="R203" s="1098">
        <f t="shared" si="155"/>
        <v>2.4323153051002286</v>
      </c>
      <c r="S203" s="648" t="str">
        <f t="shared" si="133"/>
        <v>Per capita</v>
      </c>
      <c r="T203" s="959">
        <f t="shared" si="134"/>
        <v>0.78783293440455737</v>
      </c>
      <c r="U203" s="959">
        <f t="shared" si="135"/>
        <v>0.54015979908877876</v>
      </c>
      <c r="V203" s="959">
        <f t="shared" si="136"/>
        <v>5.7309047529887032E-2</v>
      </c>
      <c r="W203" s="959" t="str">
        <f t="shared" si="137"/>
        <v/>
      </c>
      <c r="X203" s="959" t="str">
        <f t="shared" si="138"/>
        <v/>
      </c>
      <c r="Y203" s="959" t="str">
        <f t="shared" si="139"/>
        <v/>
      </c>
      <c r="Z203" s="959" t="str">
        <f t="shared" si="140"/>
        <v/>
      </c>
      <c r="AA203" s="959">
        <f t="shared" si="141"/>
        <v>3.7447445913973005E-5</v>
      </c>
      <c r="AB203" s="1098">
        <f t="shared" si="156"/>
        <v>1.385339228469137</v>
      </c>
      <c r="AC203" s="1041" t="str">
        <f t="shared" si="142"/>
        <v>Per capita</v>
      </c>
      <c r="AD203" s="959">
        <f t="shared" si="143"/>
        <v>0.73576060869121174</v>
      </c>
      <c r="AE203" s="959">
        <f t="shared" si="144"/>
        <v>3.7663761652680615E-2</v>
      </c>
      <c r="AF203" s="959">
        <f t="shared" si="145"/>
        <v>0.10439894012380353</v>
      </c>
      <c r="AG203" s="959">
        <f t="shared" si="146"/>
        <v>2.2581944657214022E-2</v>
      </c>
      <c r="AH203" s="959">
        <f t="shared" si="147"/>
        <v>0.13776121011988857</v>
      </c>
      <c r="AI203" s="1098">
        <f t="shared" si="148"/>
        <v>1.0381664652447984</v>
      </c>
      <c r="AJ203" s="648" t="str">
        <f t="shared" si="157"/>
        <v>Per capita</v>
      </c>
      <c r="AK203" s="959">
        <f t="shared" si="149"/>
        <v>0</v>
      </c>
      <c r="AL203" s="959">
        <f t="shared" si="150"/>
        <v>0</v>
      </c>
      <c r="AM203" s="959">
        <f t="shared" si="151"/>
        <v>0</v>
      </c>
      <c r="AN203" s="959">
        <f t="shared" si="152"/>
        <v>8.8096113862931001E-3</v>
      </c>
      <c r="AO203" s="1098">
        <f t="shared" si="158"/>
        <v>8.8096113862931001E-3</v>
      </c>
    </row>
    <row r="204" spans="2:41" ht="15" customHeight="1">
      <c r="B204" s="957" t="str">
        <f>Benchmark!$B$11</f>
        <v>Per capita</v>
      </c>
      <c r="C204" s="648" t="str">
        <f t="shared" si="153"/>
        <v>Oslo</v>
      </c>
      <c r="D204" s="902" t="str">
        <f t="shared" si="121"/>
        <v>Norway</v>
      </c>
      <c r="E204" s="902" t="str">
        <f t="shared" si="122"/>
        <v>Europe</v>
      </c>
      <c r="F204" s="902" t="str">
        <f t="shared" si="123"/>
        <v xml:space="preserve">Administrative boundary of a local government </v>
      </c>
      <c r="G204" s="643">
        <f t="shared" si="124"/>
        <v>2013</v>
      </c>
      <c r="H204" s="644">
        <f t="shared" si="160"/>
        <v>2013</v>
      </c>
      <c r="I204" s="643">
        <f t="shared" si="126"/>
        <v>623966</v>
      </c>
      <c r="J204" s="643">
        <f t="shared" si="127"/>
        <v>454</v>
      </c>
      <c r="K204" s="1038">
        <f t="shared" si="128"/>
        <v>54510377469</v>
      </c>
      <c r="L204" s="643" t="s">
        <v>172</v>
      </c>
      <c r="M204" s="643" t="s">
        <v>1556</v>
      </c>
      <c r="N204" s="960">
        <f t="shared" si="161"/>
        <v>2.1482297251500881</v>
      </c>
      <c r="O204" s="960">
        <f t="shared" si="130"/>
        <v>0.81414692383559362</v>
      </c>
      <c r="P204" s="960">
        <f t="shared" si="131"/>
        <v>1.2468515867931904</v>
      </c>
      <c r="Q204" s="960">
        <f t="shared" si="132"/>
        <v>8.7231214521304043E-2</v>
      </c>
      <c r="R204" s="1098">
        <f t="shared" si="155"/>
        <v>2.1482297251500881</v>
      </c>
      <c r="S204" s="648" t="str">
        <f t="shared" si="133"/>
        <v>Per capita</v>
      </c>
      <c r="T204" s="959">
        <f t="shared" si="134"/>
        <v>0.51644251267537022</v>
      </c>
      <c r="U204" s="959">
        <f t="shared" si="135"/>
        <v>0.2592407785905001</v>
      </c>
      <c r="V204" s="959">
        <f t="shared" si="136"/>
        <v>3.8463632569723349E-2</v>
      </c>
      <c r="W204" s="959" t="str">
        <f t="shared" si="137"/>
        <v/>
      </c>
      <c r="X204" s="959" t="str">
        <f t="shared" si="138"/>
        <v/>
      </c>
      <c r="Y204" s="959" t="str">
        <f t="shared" si="139"/>
        <v/>
      </c>
      <c r="Z204" s="959" t="str">
        <f t="shared" si="140"/>
        <v/>
      </c>
      <c r="AA204" s="959" t="str">
        <f t="shared" si="141"/>
        <v/>
      </c>
      <c r="AB204" s="1098">
        <f t="shared" si="156"/>
        <v>0.81414692383559362</v>
      </c>
      <c r="AC204" s="1041" t="str">
        <f t="shared" si="142"/>
        <v>Per capita</v>
      </c>
      <c r="AD204" s="959">
        <f t="shared" si="143"/>
        <v>0.79812041040697734</v>
      </c>
      <c r="AE204" s="959" t="str">
        <f t="shared" si="144"/>
        <v/>
      </c>
      <c r="AF204" s="959">
        <f t="shared" si="145"/>
        <v>5.6081577167666187E-2</v>
      </c>
      <c r="AG204" s="959" t="str">
        <f t="shared" si="146"/>
        <v/>
      </c>
      <c r="AH204" s="959">
        <f t="shared" si="147"/>
        <v>0.3926495992185472</v>
      </c>
      <c r="AI204" s="1098">
        <f t="shared" si="148"/>
        <v>1.2468515867931906</v>
      </c>
      <c r="AJ204" s="648" t="str">
        <f t="shared" si="157"/>
        <v>Per capita</v>
      </c>
      <c r="AK204" s="959">
        <f t="shared" si="149"/>
        <v>0</v>
      </c>
      <c r="AL204" s="959">
        <f t="shared" si="150"/>
        <v>0</v>
      </c>
      <c r="AM204" s="959">
        <f t="shared" si="151"/>
        <v>0</v>
      </c>
      <c r="AN204" s="959">
        <f t="shared" si="152"/>
        <v>4.6476891369081008E-2</v>
      </c>
      <c r="AO204" s="1098">
        <f t="shared" si="158"/>
        <v>4.6476891369081008E-2</v>
      </c>
    </row>
    <row r="205" spans="2:41" ht="15" customHeight="1">
      <c r="B205" s="957" t="str">
        <f>Benchmark!$B$11</f>
        <v>Per capita</v>
      </c>
      <c r="C205" s="648" t="str">
        <f t="shared" si="153"/>
        <v>Paris</v>
      </c>
      <c r="D205" s="902" t="str">
        <f t="shared" si="121"/>
        <v>France</v>
      </c>
      <c r="E205" s="902" t="str">
        <f t="shared" si="122"/>
        <v>Europe</v>
      </c>
      <c r="F205" s="902" t="str">
        <f t="shared" si="123"/>
        <v xml:space="preserve">Administrative boundary of a local government </v>
      </c>
      <c r="G205" s="643">
        <f t="shared" si="124"/>
        <v>2009</v>
      </c>
      <c r="H205" s="644">
        <f t="shared" si="160"/>
        <v>2009</v>
      </c>
      <c r="I205" s="643">
        <f t="shared" si="126"/>
        <v>2270000</v>
      </c>
      <c r="J205" s="643">
        <f t="shared" si="127"/>
        <v>105</v>
      </c>
      <c r="K205" s="1038">
        <f t="shared" si="128"/>
        <v>715000000000</v>
      </c>
      <c r="L205" s="643" t="s">
        <v>172</v>
      </c>
      <c r="M205" s="643" t="s">
        <v>1556</v>
      </c>
      <c r="N205" s="960">
        <f t="shared" si="161"/>
        <v>2.7269554126581501</v>
      </c>
      <c r="O205" s="960">
        <f t="shared" si="130"/>
        <v>2.0636146108663733</v>
      </c>
      <c r="P205" s="960">
        <f t="shared" si="131"/>
        <v>0.45738601437973553</v>
      </c>
      <c r="Q205" s="960">
        <f t="shared" si="132"/>
        <v>0.20595478741204118</v>
      </c>
      <c r="R205" s="1098">
        <f t="shared" si="155"/>
        <v>2.7269554126581501</v>
      </c>
      <c r="S205" s="648" t="str">
        <f t="shared" si="133"/>
        <v>Per capita</v>
      </c>
      <c r="T205" s="959">
        <f t="shared" si="134"/>
        <v>1.0101417474302496</v>
      </c>
      <c r="U205" s="959">
        <f t="shared" si="135"/>
        <v>1.0534728634361235</v>
      </c>
      <c r="V205" s="959" t="str">
        <f t="shared" si="136"/>
        <v/>
      </c>
      <c r="W205" s="959" t="str">
        <f t="shared" si="137"/>
        <v/>
      </c>
      <c r="X205" s="959" t="str">
        <f t="shared" si="138"/>
        <v/>
      </c>
      <c r="Y205" s="959" t="str">
        <f t="shared" si="139"/>
        <v/>
      </c>
      <c r="Z205" s="959" t="str">
        <f t="shared" si="140"/>
        <v/>
      </c>
      <c r="AA205" s="959" t="str">
        <f t="shared" si="141"/>
        <v/>
      </c>
      <c r="AB205" s="1098">
        <f t="shared" si="156"/>
        <v>2.0636146108663729</v>
      </c>
      <c r="AC205" s="1041" t="str">
        <f t="shared" si="142"/>
        <v>Per capita</v>
      </c>
      <c r="AD205" s="959">
        <f t="shared" si="143"/>
        <v>0.35468546225051389</v>
      </c>
      <c r="AE205" s="959">
        <f t="shared" si="144"/>
        <v>0.10052032305433177</v>
      </c>
      <c r="AF205" s="959" t="str">
        <f t="shared" si="145"/>
        <v/>
      </c>
      <c r="AG205" s="959">
        <f t="shared" si="146"/>
        <v>2.1802290748898683E-3</v>
      </c>
      <c r="AH205" s="959" t="str">
        <f t="shared" si="147"/>
        <v/>
      </c>
      <c r="AI205" s="1098">
        <f t="shared" si="148"/>
        <v>0.45738601437973553</v>
      </c>
      <c r="AJ205" s="648" t="str">
        <f t="shared" si="157"/>
        <v>Per capita</v>
      </c>
      <c r="AK205" s="959">
        <f t="shared" si="149"/>
        <v>0</v>
      </c>
      <c r="AL205" s="959">
        <f t="shared" si="150"/>
        <v>0</v>
      </c>
      <c r="AM205" s="959">
        <f t="shared" si="151"/>
        <v>0</v>
      </c>
      <c r="AN205" s="959">
        <f t="shared" si="152"/>
        <v>3.1236233480176211E-4</v>
      </c>
      <c r="AO205" s="1098">
        <f t="shared" si="158"/>
        <v>3.1236233480176211E-4</v>
      </c>
    </row>
    <row r="206" spans="2:41" ht="15" customHeight="1">
      <c r="B206" s="957" t="str">
        <f>Benchmark!$B$11</f>
        <v>Per capita</v>
      </c>
      <c r="C206" s="648" t="str">
        <f t="shared" si="153"/>
        <v>Philadelphia</v>
      </c>
      <c r="D206" s="902" t="str">
        <f t="shared" si="121"/>
        <v>USA</v>
      </c>
      <c r="E206" s="902" t="str">
        <f t="shared" si="122"/>
        <v>North America</v>
      </c>
      <c r="F206" s="902" t="str">
        <f t="shared" si="123"/>
        <v xml:space="preserve">Administrative boundary of a local government </v>
      </c>
      <c r="G206" s="643">
        <f t="shared" si="124"/>
        <v>2012</v>
      </c>
      <c r="H206" s="644">
        <f t="shared" si="160"/>
        <v>2012</v>
      </c>
      <c r="I206" s="643">
        <f t="shared" si="126"/>
        <v>1547607</v>
      </c>
      <c r="J206" s="643">
        <f t="shared" si="127"/>
        <v>347.31741</v>
      </c>
      <c r="K206" s="1038">
        <f t="shared" si="128"/>
        <v>367916000000</v>
      </c>
      <c r="L206" s="643" t="s">
        <v>172</v>
      </c>
      <c r="M206" s="643" t="s">
        <v>1556</v>
      </c>
      <c r="N206" s="960">
        <f t="shared" si="161"/>
        <v>11.94612857381445</v>
      </c>
      <c r="O206" s="960">
        <f t="shared" si="130"/>
        <v>8.7183043296826792</v>
      </c>
      <c r="P206" s="960">
        <f t="shared" si="131"/>
        <v>2.1286654156797207</v>
      </c>
      <c r="Q206" s="960">
        <f t="shared" si="132"/>
        <v>1.0991588284520495</v>
      </c>
      <c r="R206" s="1098">
        <f t="shared" si="155"/>
        <v>11.94612857381445</v>
      </c>
      <c r="S206" s="648" t="str">
        <f t="shared" si="133"/>
        <v>Per capita</v>
      </c>
      <c r="T206" s="959">
        <f t="shared" si="134"/>
        <v>2.3835563208866888</v>
      </c>
      <c r="U206" s="959">
        <f t="shared" si="135"/>
        <v>4.2679422887391532</v>
      </c>
      <c r="V206" s="959">
        <f t="shared" si="136"/>
        <v>1.7520630237521542</v>
      </c>
      <c r="W206" s="959" t="str">
        <f t="shared" si="137"/>
        <v/>
      </c>
      <c r="X206" s="959" t="str">
        <f t="shared" si="138"/>
        <v/>
      </c>
      <c r="Y206" s="959" t="str">
        <f t="shared" si="139"/>
        <v/>
      </c>
      <c r="Z206" s="959" t="str">
        <f t="shared" si="140"/>
        <v/>
      </c>
      <c r="AA206" s="959">
        <f t="shared" si="141"/>
        <v>0.31474269630468199</v>
      </c>
      <c r="AB206" s="1098">
        <f t="shared" si="156"/>
        <v>8.7183043296826774</v>
      </c>
      <c r="AC206" s="1041" t="str">
        <f t="shared" si="142"/>
        <v>Per capita</v>
      </c>
      <c r="AD206" s="959">
        <f t="shared" si="143"/>
        <v>1.9165443423298034</v>
      </c>
      <c r="AE206" s="959">
        <f t="shared" si="144"/>
        <v>0.21212107334991737</v>
      </c>
      <c r="AF206" s="959" t="str">
        <f t="shared" si="145"/>
        <v/>
      </c>
      <c r="AG206" s="959" t="str">
        <f t="shared" si="146"/>
        <v/>
      </c>
      <c r="AH206" s="959" t="str">
        <f t="shared" si="147"/>
        <v/>
      </c>
      <c r="AI206" s="1098">
        <f t="shared" si="148"/>
        <v>2.1286654156797207</v>
      </c>
      <c r="AJ206" s="648" t="str">
        <f t="shared" si="157"/>
        <v>Per capita</v>
      </c>
      <c r="AK206" s="959">
        <f t="shared" si="149"/>
        <v>0</v>
      </c>
      <c r="AL206" s="959">
        <f t="shared" si="150"/>
        <v>0</v>
      </c>
      <c r="AM206" s="959">
        <f t="shared" si="151"/>
        <v>0</v>
      </c>
      <c r="AN206" s="959">
        <f t="shared" si="152"/>
        <v>1.9369904633411456E-2</v>
      </c>
      <c r="AO206" s="1098">
        <f t="shared" si="158"/>
        <v>1.9369904633411456E-2</v>
      </c>
    </row>
    <row r="207" spans="2:41" ht="15" customHeight="1">
      <c r="B207" s="957" t="str">
        <f>Benchmark!$B$11</f>
        <v>Per capita</v>
      </c>
      <c r="C207" s="648" t="str">
        <f t="shared" si="153"/>
        <v>Portland</v>
      </c>
      <c r="D207" s="902" t="str">
        <f t="shared" si="121"/>
        <v>United States of America</v>
      </c>
      <c r="E207" s="902" t="str">
        <f t="shared" si="122"/>
        <v>North America</v>
      </c>
      <c r="F207" s="902" t="str">
        <f t="shared" si="123"/>
        <v>Multnomah County</v>
      </c>
      <c r="G207" s="643">
        <f t="shared" si="124"/>
        <v>2013</v>
      </c>
      <c r="H207" s="644">
        <f t="shared" si="160"/>
        <v>2013</v>
      </c>
      <c r="I207" s="643">
        <f t="shared" si="126"/>
        <v>766135</v>
      </c>
      <c r="J207" s="643">
        <f t="shared" si="127"/>
        <v>1206.2</v>
      </c>
      <c r="K207" s="1038">
        <f t="shared" si="128"/>
        <v>163692000000</v>
      </c>
      <c r="L207" s="643" t="s">
        <v>172</v>
      </c>
      <c r="M207" s="643" t="s">
        <v>1556</v>
      </c>
      <c r="N207" s="960">
        <f t="shared" si="161"/>
        <v>10.063853133025965</v>
      </c>
      <c r="O207" s="960">
        <f t="shared" si="130"/>
        <v>6.2254628041415003</v>
      </c>
      <c r="P207" s="960">
        <f t="shared" si="131"/>
        <v>3.6940280428643759</v>
      </c>
      <c r="Q207" s="960">
        <f t="shared" si="132"/>
        <v>0.14436228602008785</v>
      </c>
      <c r="R207" s="1098">
        <f t="shared" si="155"/>
        <v>10.063853133025965</v>
      </c>
      <c r="S207" s="648" t="str">
        <f t="shared" si="133"/>
        <v>Per capita</v>
      </c>
      <c r="T207" s="959">
        <f t="shared" si="134"/>
        <v>2.0106500260448232</v>
      </c>
      <c r="U207" s="959">
        <f t="shared" si="135"/>
        <v>2.4588458352818736</v>
      </c>
      <c r="V207" s="959">
        <f t="shared" si="136"/>
        <v>1.7366779141188169</v>
      </c>
      <c r="W207" s="959" t="str">
        <f t="shared" si="137"/>
        <v/>
      </c>
      <c r="X207" s="959" t="str">
        <f t="shared" si="138"/>
        <v/>
      </c>
      <c r="Y207" s="959" t="str">
        <f t="shared" si="139"/>
        <v/>
      </c>
      <c r="Z207" s="959" t="str">
        <f t="shared" si="140"/>
        <v/>
      </c>
      <c r="AA207" s="959">
        <f t="shared" si="141"/>
        <v>1.9289028695987E-2</v>
      </c>
      <c r="AB207" s="1098">
        <f t="shared" si="156"/>
        <v>6.2254628041415003</v>
      </c>
      <c r="AC207" s="1041" t="str">
        <f t="shared" si="142"/>
        <v>Per capita</v>
      </c>
      <c r="AD207" s="959">
        <f t="shared" si="143"/>
        <v>3.6940280428643759</v>
      </c>
      <c r="AE207" s="959" t="str">
        <f t="shared" si="144"/>
        <v/>
      </c>
      <c r="AF207" s="959" t="str">
        <f t="shared" si="145"/>
        <v/>
      </c>
      <c r="AG207" s="959" t="str">
        <f t="shared" si="146"/>
        <v/>
      </c>
      <c r="AH207" s="959" t="str">
        <f t="shared" si="147"/>
        <v/>
      </c>
      <c r="AI207" s="1098">
        <f t="shared" si="148"/>
        <v>3.6940280428643759</v>
      </c>
      <c r="AJ207" s="648" t="str">
        <f t="shared" si="157"/>
        <v>Per capita</v>
      </c>
      <c r="AK207" s="959">
        <f t="shared" si="149"/>
        <v>0</v>
      </c>
      <c r="AL207" s="959">
        <f t="shared" si="150"/>
        <v>0</v>
      </c>
      <c r="AM207" s="959">
        <f t="shared" si="151"/>
        <v>0</v>
      </c>
      <c r="AN207" s="959">
        <f t="shared" si="152"/>
        <v>2.2869337649369888E-2</v>
      </c>
      <c r="AO207" s="1098">
        <f t="shared" si="158"/>
        <v>2.2869337649369888E-2</v>
      </c>
    </row>
    <row r="208" spans="2:41" ht="15" customHeight="1">
      <c r="B208" s="957" t="str">
        <f>Benchmark!$B$11</f>
        <v>Per capita</v>
      </c>
      <c r="C208" s="648" t="str">
        <f t="shared" si="153"/>
        <v>Quito</v>
      </c>
      <c r="D208" s="902" t="str">
        <f t="shared" si="121"/>
        <v>Ecuador</v>
      </c>
      <c r="E208" s="902" t="str">
        <f t="shared" si="122"/>
        <v>Latin America</v>
      </c>
      <c r="F208" s="902" t="str">
        <f t="shared" si="123"/>
        <v>Other (please specify)</v>
      </c>
      <c r="G208" s="643">
        <f t="shared" si="124"/>
        <v>2011</v>
      </c>
      <c r="H208" s="644">
        <f t="shared" si="160"/>
        <v>2011</v>
      </c>
      <c r="I208" s="643">
        <f t="shared" si="126"/>
        <v>1607734</v>
      </c>
      <c r="J208" s="643">
        <f t="shared" si="127"/>
        <v>372.39</v>
      </c>
      <c r="K208" s="1038">
        <f t="shared" si="128"/>
        <v>16511524155.5264</v>
      </c>
      <c r="L208" s="643" t="s">
        <v>172</v>
      </c>
      <c r="M208" s="643" t="s">
        <v>1556</v>
      </c>
      <c r="N208" s="960">
        <f t="shared" si="161"/>
        <v>3.214959652715387</v>
      </c>
      <c r="O208" s="960">
        <f t="shared" si="130"/>
        <v>0.99811656242265423</v>
      </c>
      <c r="P208" s="960">
        <f t="shared" si="131"/>
        <v>1.805276902177062</v>
      </c>
      <c r="Q208" s="960">
        <f t="shared" si="132"/>
        <v>0.41156618811567092</v>
      </c>
      <c r="R208" s="1098">
        <f t="shared" si="155"/>
        <v>3.214959652715387</v>
      </c>
      <c r="S208" s="648" t="str">
        <f t="shared" si="133"/>
        <v>Per capita</v>
      </c>
      <c r="T208" s="959">
        <f t="shared" si="134"/>
        <v>0.49508160663506301</v>
      </c>
      <c r="U208" s="959">
        <f t="shared" si="135"/>
        <v>0.13894108239758837</v>
      </c>
      <c r="V208" s="959">
        <f t="shared" si="136"/>
        <v>0.36409387339000276</v>
      </c>
      <c r="W208" s="959" t="str">
        <f t="shared" si="137"/>
        <v/>
      </c>
      <c r="X208" s="959" t="str">
        <f t="shared" si="138"/>
        <v/>
      </c>
      <c r="Y208" s="959" t="str">
        <f t="shared" si="139"/>
        <v/>
      </c>
      <c r="Z208" s="959" t="str">
        <f t="shared" si="140"/>
        <v/>
      </c>
      <c r="AA208" s="959" t="str">
        <f t="shared" si="141"/>
        <v/>
      </c>
      <c r="AB208" s="1098">
        <f t="shared" si="156"/>
        <v>0.99811656242265412</v>
      </c>
      <c r="AC208" s="1041" t="str">
        <f t="shared" si="142"/>
        <v>Per capita</v>
      </c>
      <c r="AD208" s="959">
        <f t="shared" si="143"/>
        <v>1.805276902177062</v>
      </c>
      <c r="AE208" s="959" t="str">
        <f t="shared" si="144"/>
        <v/>
      </c>
      <c r="AF208" s="959" t="str">
        <f t="shared" si="145"/>
        <v/>
      </c>
      <c r="AG208" s="959" t="str">
        <f t="shared" si="146"/>
        <v/>
      </c>
      <c r="AH208" s="959" t="str">
        <f t="shared" si="147"/>
        <v/>
      </c>
      <c r="AI208" s="1098">
        <f t="shared" si="148"/>
        <v>1.805276902177062</v>
      </c>
      <c r="AJ208" s="648" t="str">
        <f t="shared" si="157"/>
        <v>Per capita</v>
      </c>
      <c r="AK208" s="959">
        <f t="shared" si="149"/>
        <v>0</v>
      </c>
      <c r="AL208" s="959">
        <f t="shared" si="150"/>
        <v>0</v>
      </c>
      <c r="AM208" s="959">
        <f t="shared" si="151"/>
        <v>0</v>
      </c>
      <c r="AN208" s="959" t="str">
        <f t="shared" si="152"/>
        <v/>
      </c>
      <c r="AO208" s="1098" t="str">
        <f t="shared" si="158"/>
        <v/>
      </c>
    </row>
    <row r="209" spans="2:41" ht="15" customHeight="1">
      <c r="B209" s="957" t="str">
        <f>Benchmark!$B$11</f>
        <v>Per capita</v>
      </c>
      <c r="C209" s="648" t="str">
        <f t="shared" si="153"/>
        <v>Rio de Janeiro</v>
      </c>
      <c r="D209" s="902" t="str">
        <f t="shared" si="121"/>
        <v>Brazil</v>
      </c>
      <c r="E209" s="902" t="str">
        <f t="shared" si="122"/>
        <v>Latin America</v>
      </c>
      <c r="F209" s="902" t="str">
        <f t="shared" si="123"/>
        <v xml:space="preserve">Administrative boundary of a local government </v>
      </c>
      <c r="G209" s="643">
        <f t="shared" si="124"/>
        <v>2012</v>
      </c>
      <c r="H209" s="644">
        <f t="shared" si="160"/>
        <v>2012</v>
      </c>
      <c r="I209" s="643">
        <f t="shared" si="126"/>
        <v>6390290</v>
      </c>
      <c r="J209" s="643">
        <f t="shared" si="127"/>
        <v>1224.56</v>
      </c>
      <c r="K209" s="1038">
        <f t="shared" si="128"/>
        <v>75060683634</v>
      </c>
      <c r="L209" s="643" t="s">
        <v>172</v>
      </c>
      <c r="M209" s="643" t="s">
        <v>1556</v>
      </c>
      <c r="N209" s="960">
        <f t="shared" si="161"/>
        <v>2.4814063224576279</v>
      </c>
      <c r="O209" s="960">
        <f t="shared" si="130"/>
        <v>1.2650512308534179</v>
      </c>
      <c r="P209" s="960">
        <f t="shared" si="131"/>
        <v>0.8508316421579557</v>
      </c>
      <c r="Q209" s="960">
        <f t="shared" si="132"/>
        <v>0.36552344944625442</v>
      </c>
      <c r="R209" s="1098">
        <f t="shared" si="155"/>
        <v>2.4814063224576279</v>
      </c>
      <c r="S209" s="648" t="str">
        <f t="shared" si="133"/>
        <v>Per capita</v>
      </c>
      <c r="T209" s="959">
        <f t="shared" si="134"/>
        <v>0.31049031946968531</v>
      </c>
      <c r="U209" s="959">
        <f t="shared" si="135"/>
        <v>0.33563540218920723</v>
      </c>
      <c r="V209" s="959">
        <f t="shared" si="136"/>
        <v>0.23648627213907988</v>
      </c>
      <c r="W209" s="959">
        <f t="shared" si="137"/>
        <v>0.21181300446430568</v>
      </c>
      <c r="X209" s="959">
        <f t="shared" si="138"/>
        <v>1.0380988289856418E-4</v>
      </c>
      <c r="Y209" s="959">
        <f t="shared" si="139"/>
        <v>7.3785836697457937E-3</v>
      </c>
      <c r="Z209" s="959">
        <f t="shared" si="140"/>
        <v>0.1441897003109405</v>
      </c>
      <c r="AA209" s="959">
        <f t="shared" si="141"/>
        <v>1.8954138727555015E-2</v>
      </c>
      <c r="AB209" s="1098">
        <f t="shared" si="156"/>
        <v>1.2650512308534176</v>
      </c>
      <c r="AC209" s="1041" t="str">
        <f t="shared" si="142"/>
        <v>Per capita</v>
      </c>
      <c r="AD209" s="959">
        <f t="shared" si="143"/>
        <v>0.83506878060390188</v>
      </c>
      <c r="AE209" s="959">
        <f t="shared" si="144"/>
        <v>1.4208026697619279E-2</v>
      </c>
      <c r="AF209" s="959">
        <f t="shared" si="145"/>
        <v>1.5548348564345558E-3</v>
      </c>
      <c r="AG209" s="959" t="str">
        <f t="shared" si="146"/>
        <v/>
      </c>
      <c r="AH209" s="959" t="str">
        <f t="shared" si="147"/>
        <v/>
      </c>
      <c r="AI209" s="1098">
        <f t="shared" si="148"/>
        <v>0.8508316421579557</v>
      </c>
      <c r="AJ209" s="648" t="str">
        <f t="shared" si="157"/>
        <v>Per capita</v>
      </c>
      <c r="AK209" s="959">
        <f t="shared" si="149"/>
        <v>0</v>
      </c>
      <c r="AL209" s="959">
        <f t="shared" si="150"/>
        <v>0</v>
      </c>
      <c r="AM209" s="959">
        <f t="shared" si="151"/>
        <v>0</v>
      </c>
      <c r="AN209" s="959">
        <f t="shared" si="152"/>
        <v>9.7688258279358217E-2</v>
      </c>
      <c r="AO209" s="1098">
        <f t="shared" si="158"/>
        <v>9.7688258279358217E-2</v>
      </c>
    </row>
    <row r="210" spans="2:41" ht="15" customHeight="1">
      <c r="B210" s="957" t="str">
        <f>Benchmark!$B$11</f>
        <v>Per capita</v>
      </c>
      <c r="C210" s="648" t="str">
        <f t="shared" si="153"/>
        <v>San Francisco</v>
      </c>
      <c r="D210" s="902" t="str">
        <f t="shared" si="121"/>
        <v>USA</v>
      </c>
      <c r="E210" s="902" t="str">
        <f t="shared" si="122"/>
        <v>Europe</v>
      </c>
      <c r="F210" s="902" t="str">
        <f t="shared" si="123"/>
        <v xml:space="preserve">Administrative boundary of a local government </v>
      </c>
      <c r="G210" s="643">
        <f t="shared" si="124"/>
        <v>2012</v>
      </c>
      <c r="H210" s="644">
        <f t="shared" si="160"/>
        <v>2012</v>
      </c>
      <c r="I210" s="643">
        <f t="shared" si="126"/>
        <v>827420</v>
      </c>
      <c r="J210" s="643">
        <f t="shared" si="127"/>
        <v>121</v>
      </c>
      <c r="K210" s="1038">
        <f t="shared" si="128"/>
        <v>89205219000</v>
      </c>
      <c r="L210" s="643" t="s">
        <v>172</v>
      </c>
      <c r="M210" s="643" t="s">
        <v>1556</v>
      </c>
      <c r="N210" s="960">
        <f t="shared" si="161"/>
        <v>6.6381199963987383</v>
      </c>
      <c r="O210" s="960">
        <f t="shared" si="130"/>
        <v>3.2735607031371723</v>
      </c>
      <c r="P210" s="960">
        <f t="shared" si="131"/>
        <v>3.1352651994449725</v>
      </c>
      <c r="Q210" s="960">
        <f t="shared" si="132"/>
        <v>0.22929409381659419</v>
      </c>
      <c r="R210" s="1098">
        <f t="shared" si="155"/>
        <v>6.6381199963987383</v>
      </c>
      <c r="S210" s="648" t="str">
        <f t="shared" si="133"/>
        <v>Per capita</v>
      </c>
      <c r="T210" s="959">
        <f t="shared" si="134"/>
        <v>1.2696263167170672</v>
      </c>
      <c r="U210" s="959">
        <f t="shared" si="135"/>
        <v>1.783320955545092</v>
      </c>
      <c r="V210" s="959" t="str">
        <f t="shared" si="136"/>
        <v/>
      </c>
      <c r="W210" s="959">
        <f t="shared" si="137"/>
        <v>8.5204611926228513E-5</v>
      </c>
      <c r="X210" s="959">
        <f t="shared" si="138"/>
        <v>1.3173479007033912E-4</v>
      </c>
      <c r="Y210" s="959">
        <f t="shared" si="139"/>
        <v>0.20434724807232119</v>
      </c>
      <c r="Z210" s="959" t="str">
        <f t="shared" si="140"/>
        <v/>
      </c>
      <c r="AA210" s="959">
        <f t="shared" si="141"/>
        <v>1.6049243400695645E-2</v>
      </c>
      <c r="AB210" s="1098">
        <f t="shared" si="156"/>
        <v>3.2735607031371727</v>
      </c>
      <c r="AC210" s="1041" t="str">
        <f t="shared" si="142"/>
        <v>Per capita</v>
      </c>
      <c r="AD210" s="959">
        <f t="shared" si="143"/>
        <v>2.3819758865072536</v>
      </c>
      <c r="AE210" s="959">
        <f t="shared" si="144"/>
        <v>8.2939309311991144E-2</v>
      </c>
      <c r="AF210" s="959">
        <f t="shared" si="145"/>
        <v>0.67035000362572816</v>
      </c>
      <c r="AG210" s="959" t="str">
        <f t="shared" si="146"/>
        <v/>
      </c>
      <c r="AH210" s="959" t="str">
        <f t="shared" si="147"/>
        <v/>
      </c>
      <c r="AI210" s="1098">
        <f t="shared" si="148"/>
        <v>3.135265199444973</v>
      </c>
      <c r="AJ210" s="648" t="str">
        <f t="shared" si="157"/>
        <v>Per capita</v>
      </c>
      <c r="AK210" s="959">
        <f t="shared" si="149"/>
        <v>0</v>
      </c>
      <c r="AL210" s="959">
        <f t="shared" si="150"/>
        <v>0</v>
      </c>
      <c r="AM210" s="959">
        <f t="shared" si="151"/>
        <v>0</v>
      </c>
      <c r="AN210" s="959">
        <f t="shared" si="152"/>
        <v>1.1269964511718753E-2</v>
      </c>
      <c r="AO210" s="1098">
        <f t="shared" si="158"/>
        <v>1.1269964511718753E-2</v>
      </c>
    </row>
    <row r="211" spans="2:41" ht="15" customHeight="1">
      <c r="B211" s="957" t="str">
        <f>Benchmark!$B$11</f>
        <v>Per capita</v>
      </c>
      <c r="C211" s="648" t="str">
        <f t="shared" si="153"/>
        <v>Seattle</v>
      </c>
      <c r="D211" s="902" t="str">
        <f t="shared" si="121"/>
        <v>USA</v>
      </c>
      <c r="E211" s="902" t="str">
        <f t="shared" si="122"/>
        <v>North America</v>
      </c>
      <c r="F211" s="902" t="str">
        <f t="shared" si="123"/>
        <v xml:space="preserve">Administrative boundary of a local government </v>
      </c>
      <c r="G211" s="643">
        <f t="shared" si="124"/>
        <v>2012</v>
      </c>
      <c r="H211" s="644">
        <f t="shared" si="160"/>
        <v>2012</v>
      </c>
      <c r="I211" s="643">
        <f t="shared" si="126"/>
        <v>634535</v>
      </c>
      <c r="J211" s="643">
        <f t="shared" si="127"/>
        <v>215</v>
      </c>
      <c r="K211" s="1038">
        <f t="shared" si="128"/>
        <v>48900000000</v>
      </c>
      <c r="L211" s="643" t="s">
        <v>172</v>
      </c>
      <c r="M211" s="643" t="s">
        <v>1556</v>
      </c>
      <c r="N211" s="960">
        <f t="shared" si="161"/>
        <v>6.8794787025354172</v>
      </c>
      <c r="O211" s="960">
        <f t="shared" si="130"/>
        <v>3.0434512658657473</v>
      </c>
      <c r="P211" s="960">
        <f t="shared" si="131"/>
        <v>3.7619911151148249</v>
      </c>
      <c r="Q211" s="960">
        <f t="shared" si="132"/>
        <v>7.4036321554844214E-2</v>
      </c>
      <c r="R211" s="1098">
        <f t="shared" si="155"/>
        <v>6.8794787025354172</v>
      </c>
      <c r="S211" s="648" t="str">
        <f t="shared" si="133"/>
        <v>Per capita</v>
      </c>
      <c r="T211" s="959">
        <f t="shared" si="134"/>
        <v>0.87944564498499356</v>
      </c>
      <c r="U211" s="959">
        <f t="shared" si="135"/>
        <v>1.3701191587291306</v>
      </c>
      <c r="V211" s="959">
        <f t="shared" si="136"/>
        <v>0.77041707099428569</v>
      </c>
      <c r="W211" s="959" t="str">
        <f t="shared" si="137"/>
        <v/>
      </c>
      <c r="X211" s="959" t="str">
        <f t="shared" si="138"/>
        <v/>
      </c>
      <c r="Y211" s="959" t="str">
        <f t="shared" si="139"/>
        <v/>
      </c>
      <c r="Z211" s="959" t="str">
        <f t="shared" si="140"/>
        <v/>
      </c>
      <c r="AA211" s="959">
        <f t="shared" si="141"/>
        <v>2.3469391157337521E-2</v>
      </c>
      <c r="AB211" s="1098">
        <f t="shared" si="156"/>
        <v>3.0434512658657473</v>
      </c>
      <c r="AC211" s="1041" t="str">
        <f t="shared" si="142"/>
        <v>Per capita</v>
      </c>
      <c r="AD211" s="959">
        <f t="shared" si="143"/>
        <v>3.3769194377334668</v>
      </c>
      <c r="AE211" s="959">
        <f t="shared" si="144"/>
        <v>0.10177703826725305</v>
      </c>
      <c r="AF211" s="959">
        <f t="shared" si="145"/>
        <v>0.28329463911410552</v>
      </c>
      <c r="AG211" s="959" t="str">
        <f t="shared" si="146"/>
        <v/>
      </c>
      <c r="AH211" s="959" t="str">
        <f t="shared" si="147"/>
        <v/>
      </c>
      <c r="AI211" s="1098">
        <f t="shared" si="148"/>
        <v>3.7619911151148253</v>
      </c>
      <c r="AJ211" s="648" t="str">
        <f t="shared" si="157"/>
        <v>Per capita</v>
      </c>
      <c r="AK211" s="959">
        <f t="shared" si="149"/>
        <v>0</v>
      </c>
      <c r="AL211" s="959">
        <f t="shared" si="150"/>
        <v>0</v>
      </c>
      <c r="AM211" s="959">
        <f t="shared" si="151"/>
        <v>0</v>
      </c>
      <c r="AN211" s="959">
        <f t="shared" si="152"/>
        <v>2.9842913279851807E-3</v>
      </c>
      <c r="AO211" s="1098">
        <f t="shared" si="158"/>
        <v>2.9842913279851807E-3</v>
      </c>
    </row>
    <row r="212" spans="2:41" ht="15" customHeight="1">
      <c r="B212" s="957" t="str">
        <f>Benchmark!$B$11</f>
        <v>Per capita</v>
      </c>
      <c r="C212" s="648" t="str">
        <f t="shared" si="153"/>
        <v>Stockholm</v>
      </c>
      <c r="D212" s="902" t="str">
        <f t="shared" si="121"/>
        <v>Sweden</v>
      </c>
      <c r="E212" s="902" t="str">
        <f t="shared" si="122"/>
        <v>Europe</v>
      </c>
      <c r="F212" s="902" t="str">
        <f t="shared" si="123"/>
        <v xml:space="preserve">Administrative boundary of a local government </v>
      </c>
      <c r="G212" s="643">
        <f t="shared" si="124"/>
        <v>2012</v>
      </c>
      <c r="H212" s="644">
        <f t="shared" si="160"/>
        <v>2012</v>
      </c>
      <c r="I212" s="643">
        <f t="shared" si="126"/>
        <v>881235</v>
      </c>
      <c r="J212" s="643">
        <f t="shared" si="127"/>
        <v>216</v>
      </c>
      <c r="K212" s="1038">
        <f t="shared" si="128"/>
        <v>416797000000</v>
      </c>
      <c r="L212" s="643" t="s">
        <v>172</v>
      </c>
      <c r="M212" s="643" t="s">
        <v>1556</v>
      </c>
      <c r="N212" s="960">
        <f t="shared" si="161"/>
        <v>2.4323153051002286</v>
      </c>
      <c r="O212" s="960">
        <f t="shared" si="130"/>
        <v>1.385339228469137</v>
      </c>
      <c r="P212" s="960">
        <f t="shared" si="131"/>
        <v>1.0381664652447984</v>
      </c>
      <c r="Q212" s="960">
        <f t="shared" si="132"/>
        <v>8.8096113862931001E-3</v>
      </c>
      <c r="R212" s="1098">
        <f t="shared" si="155"/>
        <v>2.4323153051002286</v>
      </c>
      <c r="S212" s="648" t="str">
        <f t="shared" si="133"/>
        <v>Per capita</v>
      </c>
      <c r="T212" s="959">
        <f t="shared" si="134"/>
        <v>0.78783293440455737</v>
      </c>
      <c r="U212" s="959">
        <f t="shared" si="135"/>
        <v>0.54015979908877876</v>
      </c>
      <c r="V212" s="959">
        <f t="shared" si="136"/>
        <v>5.7309047529887032E-2</v>
      </c>
      <c r="W212" s="959" t="str">
        <f t="shared" si="137"/>
        <v/>
      </c>
      <c r="X212" s="959" t="str">
        <f t="shared" si="138"/>
        <v/>
      </c>
      <c r="Y212" s="959" t="str">
        <f t="shared" si="139"/>
        <v/>
      </c>
      <c r="Z212" s="959" t="str">
        <f t="shared" si="140"/>
        <v/>
      </c>
      <c r="AA212" s="959">
        <f t="shared" si="141"/>
        <v>3.7447445913973005E-5</v>
      </c>
      <c r="AB212" s="1098">
        <f t="shared" si="156"/>
        <v>1.385339228469137</v>
      </c>
      <c r="AC212" s="1041" t="str">
        <f t="shared" si="142"/>
        <v>Per capita</v>
      </c>
      <c r="AD212" s="959">
        <f t="shared" si="143"/>
        <v>0.73576060869121174</v>
      </c>
      <c r="AE212" s="959">
        <f t="shared" si="144"/>
        <v>3.7663761652680615E-2</v>
      </c>
      <c r="AF212" s="959">
        <f t="shared" si="145"/>
        <v>0.10439894012380353</v>
      </c>
      <c r="AG212" s="959">
        <f t="shared" si="146"/>
        <v>2.2581944657214022E-2</v>
      </c>
      <c r="AH212" s="959">
        <f t="shared" si="147"/>
        <v>0.13776121011988857</v>
      </c>
      <c r="AI212" s="1098">
        <f t="shared" si="148"/>
        <v>1.0381664652447984</v>
      </c>
      <c r="AJ212" s="648" t="str">
        <f t="shared" si="157"/>
        <v>Per capita</v>
      </c>
      <c r="AK212" s="959">
        <f t="shared" si="149"/>
        <v>0</v>
      </c>
      <c r="AL212" s="959">
        <f t="shared" si="150"/>
        <v>0</v>
      </c>
      <c r="AM212" s="959">
        <f t="shared" si="151"/>
        <v>0</v>
      </c>
      <c r="AN212" s="959">
        <f t="shared" si="152"/>
        <v>8.8096113862931001E-3</v>
      </c>
      <c r="AO212" s="1098">
        <f t="shared" si="158"/>
        <v>8.8096113862931001E-3</v>
      </c>
    </row>
    <row r="213" spans="2:41" ht="15" customHeight="1">
      <c r="B213" s="957" t="str">
        <f>Benchmark!$B$11</f>
        <v>Per capita</v>
      </c>
      <c r="C213" s="648" t="str">
        <f t="shared" si="153"/>
        <v>City of Sydney</v>
      </c>
      <c r="D213" s="902" t="str">
        <f t="shared" si="121"/>
        <v>Australia</v>
      </c>
      <c r="E213" s="902" t="str">
        <f t="shared" si="122"/>
        <v>Europe</v>
      </c>
      <c r="F213" s="902" t="str">
        <f t="shared" si="123"/>
        <v xml:space="preserve">Administrative boundary of a local government </v>
      </c>
      <c r="G213" s="643" t="str">
        <f t="shared" si="124"/>
        <v>2014-2015</v>
      </c>
      <c r="H213" s="644" t="str">
        <f t="shared" si="160"/>
        <v>2014-2015</v>
      </c>
      <c r="I213" s="643">
        <f t="shared" si="126"/>
        <v>205728.86297376096</v>
      </c>
      <c r="J213" s="643">
        <f t="shared" si="127"/>
        <v>26.15</v>
      </c>
      <c r="K213" s="1038">
        <f t="shared" si="128"/>
        <v>73012549539.320007</v>
      </c>
      <c r="L213" s="643" t="s">
        <v>172</v>
      </c>
      <c r="M213" s="643" t="s">
        <v>1556</v>
      </c>
      <c r="N213" s="960">
        <f t="shared" si="161"/>
        <v>18.164018464978305</v>
      </c>
      <c r="O213" s="960">
        <f t="shared" si="130"/>
        <v>16.0762788469921</v>
      </c>
      <c r="P213" s="960">
        <f t="shared" si="131"/>
        <v>1.2111770201226753</v>
      </c>
      <c r="Q213" s="960">
        <f t="shared" si="132"/>
        <v>0.87656259786352997</v>
      </c>
      <c r="R213" s="1098">
        <f t="shared" si="155"/>
        <v>18.164018464978305</v>
      </c>
      <c r="S213" s="648" t="str">
        <f t="shared" si="133"/>
        <v>Per capita</v>
      </c>
      <c r="T213" s="959">
        <f t="shared" si="134"/>
        <v>2.01071556199649</v>
      </c>
      <c r="U213" s="959">
        <f t="shared" si="135"/>
        <v>13.991511132678829</v>
      </c>
      <c r="V213" s="959" t="str">
        <f t="shared" si="136"/>
        <v/>
      </c>
      <c r="W213" s="959" t="str">
        <f t="shared" si="137"/>
        <v/>
      </c>
      <c r="X213" s="959" t="str">
        <f t="shared" si="138"/>
        <v/>
      </c>
      <c r="Y213" s="959" t="str">
        <f t="shared" si="139"/>
        <v/>
      </c>
      <c r="Z213" s="959" t="str">
        <f t="shared" si="140"/>
        <v/>
      </c>
      <c r="AA213" s="959">
        <f t="shared" si="141"/>
        <v>7.4052152316781056E-2</v>
      </c>
      <c r="AB213" s="1098">
        <f t="shared" si="156"/>
        <v>16.0762788469921</v>
      </c>
      <c r="AC213" s="1041" t="str">
        <f t="shared" si="142"/>
        <v>Per capita</v>
      </c>
      <c r="AD213" s="959">
        <f t="shared" si="143"/>
        <v>0.77186597993746453</v>
      </c>
      <c r="AE213" s="959">
        <f t="shared" si="144"/>
        <v>0.4156992985601633</v>
      </c>
      <c r="AF213" s="959">
        <f t="shared" si="145"/>
        <v>2.3611741625047644E-2</v>
      </c>
      <c r="AG213" s="959" t="str">
        <f t="shared" si="146"/>
        <v/>
      </c>
      <c r="AH213" s="959" t="str">
        <f t="shared" si="147"/>
        <v/>
      </c>
      <c r="AI213" s="1098">
        <f t="shared" si="148"/>
        <v>1.2111770201226755</v>
      </c>
      <c r="AJ213" s="648" t="str">
        <f t="shared" si="157"/>
        <v>Per capita</v>
      </c>
      <c r="AK213" s="959">
        <f t="shared" si="149"/>
        <v>0</v>
      </c>
      <c r="AL213" s="959">
        <f t="shared" si="150"/>
        <v>0</v>
      </c>
      <c r="AM213" s="959">
        <f t="shared" si="151"/>
        <v>0</v>
      </c>
      <c r="AN213" s="959">
        <f t="shared" si="152"/>
        <v>2.4886575999999997E-2</v>
      </c>
      <c r="AO213" s="1098">
        <f t="shared" si="158"/>
        <v>2.4886575999999997E-2</v>
      </c>
    </row>
    <row r="214" spans="2:41" ht="15" customHeight="1">
      <c r="B214" s="957" t="str">
        <f>Benchmark!$B$11</f>
        <v>Per capita</v>
      </c>
      <c r="C214" s="648" t="str">
        <f t="shared" si="153"/>
        <v>Toronto</v>
      </c>
      <c r="D214" s="902" t="str">
        <f t="shared" si="121"/>
        <v>Canada</v>
      </c>
      <c r="E214" s="902" t="str">
        <f t="shared" si="122"/>
        <v>Europe</v>
      </c>
      <c r="F214" s="902" t="str">
        <f t="shared" si="123"/>
        <v>A metropolitan area</v>
      </c>
      <c r="G214" s="643">
        <f t="shared" si="124"/>
        <v>2013</v>
      </c>
      <c r="H214" s="644">
        <f t="shared" ref="H214" si="162">G214</f>
        <v>2013</v>
      </c>
      <c r="I214" s="643">
        <f t="shared" si="126"/>
        <v>2741280</v>
      </c>
      <c r="J214" s="643">
        <f t="shared" si="127"/>
        <v>641</v>
      </c>
      <c r="K214" s="1038">
        <f t="shared" si="128"/>
        <v>157000000000</v>
      </c>
      <c r="L214" s="643" t="s">
        <v>172</v>
      </c>
      <c r="M214" s="643" t="s">
        <v>1556</v>
      </c>
      <c r="N214" s="960">
        <f t="shared" ref="N214" si="163">IF($B214="Total GHG",VLOOKUP($C214,$B$51:$Q$80,13,FALSE),IF($B214="Per capita",VLOOKUP($C214,$B$85:$Q$114,13,FALSE),IF($B214="Per unit land area (km2)",VLOOKUP($C214,$B$119:$Q$148,13,FALSE),IF($B214="Per unit GDP ($m)",VLOOKUP(C214,$B$153:$Q$182,13,FALSE),""))))</f>
        <v>7.0639354519601198</v>
      </c>
      <c r="O214" s="960">
        <f t="shared" si="130"/>
        <v>3.6609472220044483</v>
      </c>
      <c r="P214" s="960">
        <f t="shared" si="131"/>
        <v>2.5716658063040088</v>
      </c>
      <c r="Q214" s="960">
        <f t="shared" si="132"/>
        <v>0.83132242365166287</v>
      </c>
      <c r="R214" s="1098">
        <f t="shared" si="155"/>
        <v>7.0639354519601198</v>
      </c>
      <c r="S214" s="648" t="str">
        <f t="shared" si="133"/>
        <v>Per capita</v>
      </c>
      <c r="T214" s="959">
        <f t="shared" si="134"/>
        <v>1.694944257217446</v>
      </c>
      <c r="U214" s="959">
        <f t="shared" si="135"/>
        <v>1.4683675311365234</v>
      </c>
      <c r="V214" s="959">
        <f t="shared" si="136"/>
        <v>0.45161001047055904</v>
      </c>
      <c r="W214" s="959" t="str">
        <f t="shared" si="137"/>
        <v/>
      </c>
      <c r="X214" s="959" t="str">
        <f t="shared" si="138"/>
        <v/>
      </c>
      <c r="Y214" s="959" t="str">
        <f t="shared" si="139"/>
        <v/>
      </c>
      <c r="Z214" s="959" t="str">
        <f t="shared" si="140"/>
        <v/>
      </c>
      <c r="AA214" s="959">
        <f t="shared" si="141"/>
        <v>4.6025423179920331E-2</v>
      </c>
      <c r="AB214" s="1098"/>
      <c r="AC214" s="1041" t="str">
        <f t="shared" si="142"/>
        <v>Per capita</v>
      </c>
      <c r="AD214" s="959">
        <f t="shared" si="143"/>
        <v>2.51449103715056</v>
      </c>
      <c r="AE214" s="959">
        <f t="shared" si="144"/>
        <v>5.6653477625884255E-2</v>
      </c>
      <c r="AF214" s="959">
        <f t="shared" si="145"/>
        <v>5.2129152756486019E-4</v>
      </c>
      <c r="AG214" s="959" t="str">
        <f t="shared" si="146"/>
        <v/>
      </c>
      <c r="AH214" s="959" t="str">
        <f t="shared" si="147"/>
        <v/>
      </c>
      <c r="AI214" s="1098">
        <f t="shared" si="148"/>
        <v>2.5716658063040092</v>
      </c>
      <c r="AJ214" s="648" t="str">
        <f t="shared" si="157"/>
        <v>Per capita</v>
      </c>
      <c r="AK214" s="959">
        <f t="shared" si="149"/>
        <v>0</v>
      </c>
      <c r="AL214" s="959">
        <f t="shared" si="150"/>
        <v>0</v>
      </c>
      <c r="AM214" s="959">
        <f t="shared" si="151"/>
        <v>0</v>
      </c>
      <c r="AN214" s="959">
        <f t="shared" si="152"/>
        <v>9.502789796006177E-3</v>
      </c>
      <c r="AO214" s="1098">
        <f t="shared" si="158"/>
        <v>9.502789796006177E-3</v>
      </c>
    </row>
    <row r="215" spans="2:41" ht="15" customHeight="1">
      <c r="B215" s="957" t="str">
        <f>Benchmark!$B$11</f>
        <v>Per capita</v>
      </c>
      <c r="C215" s="648" t="str">
        <f t="shared" si="153"/>
        <v>City of Vancouver</v>
      </c>
      <c r="D215" s="902" t="str">
        <f t="shared" si="121"/>
        <v>Canada</v>
      </c>
      <c r="E215" s="902" t="str">
        <f t="shared" si="122"/>
        <v>Europe</v>
      </c>
      <c r="F215" s="902" t="str">
        <f t="shared" si="123"/>
        <v xml:space="preserve">Administrative boundary of a local government </v>
      </c>
      <c r="G215" s="643">
        <f t="shared" si="124"/>
        <v>2014</v>
      </c>
      <c r="H215" s="644">
        <f t="shared" ref="H215" si="164">G215</f>
        <v>2014</v>
      </c>
      <c r="I215" s="643">
        <f t="shared" si="126"/>
        <v>618502</v>
      </c>
      <c r="J215" s="643">
        <f t="shared" si="127"/>
        <v>114.97</v>
      </c>
      <c r="K215" s="1038">
        <f t="shared" si="128"/>
        <v>84415033680.342926</v>
      </c>
      <c r="L215" s="643" t="s">
        <v>172</v>
      </c>
      <c r="M215" s="643" t="s">
        <v>1556</v>
      </c>
      <c r="N215" s="960">
        <f t="shared" ref="N215" si="165">IF($B215="Total GHG",VLOOKUP($C215,$B$51:$Q$80,13,FALSE),IF($B215="Per capita",VLOOKUP($C215,$B$85:$Q$114,13,FALSE),IF($B215="Per unit land area (km2)",VLOOKUP($C215,$B$119:$Q$148,13,FALSE),IF($B215="Per unit GDP ($m)",VLOOKUP(C215,$B$153:$Q$182,13,FALSE),""))))</f>
        <v>4.1365578041813258</v>
      </c>
      <c r="O215" s="960">
        <f t="shared" si="130"/>
        <v>2.2734471175924833</v>
      </c>
      <c r="P215" s="960">
        <f t="shared" si="131"/>
        <v>1.6727604210722569</v>
      </c>
      <c r="Q215" s="960">
        <f t="shared" si="132"/>
        <v>0.19035026551658524</v>
      </c>
      <c r="R215" s="1098">
        <f t="shared" ref="R215" si="166">IF(SUM(O215:Q215)=0,"",SUM(O215:Q215))</f>
        <v>4.1365578041813258</v>
      </c>
      <c r="S215" s="648" t="str">
        <f t="shared" ref="S215" si="167">B215</f>
        <v>Per capita</v>
      </c>
      <c r="T215" s="959">
        <f t="shared" si="134"/>
        <v>0.78372082108434049</v>
      </c>
      <c r="U215" s="959">
        <f t="shared" si="135"/>
        <v>0.89702945587728466</v>
      </c>
      <c r="V215" s="959">
        <f t="shared" si="136"/>
        <v>0.56148085789932578</v>
      </c>
      <c r="W215" s="959" t="str">
        <f t="shared" si="137"/>
        <v/>
      </c>
      <c r="X215" s="959" t="str">
        <f t="shared" si="138"/>
        <v/>
      </c>
      <c r="Y215" s="959" t="str">
        <f t="shared" si="139"/>
        <v/>
      </c>
      <c r="Z215" s="959" t="str">
        <f t="shared" si="140"/>
        <v/>
      </c>
      <c r="AA215" s="959">
        <f t="shared" si="141"/>
        <v>3.1215982731531776E-2</v>
      </c>
      <c r="AB215" s="1098"/>
      <c r="AC215" s="1041" t="str">
        <f t="shared" ref="AC215" si="168">B215</f>
        <v>Per capita</v>
      </c>
      <c r="AD215" s="959">
        <f t="shared" si="143"/>
        <v>1.6261988563491132</v>
      </c>
      <c r="AE215" s="959">
        <f t="shared" si="144"/>
        <v>2.011217571550911E-2</v>
      </c>
      <c r="AF215" s="959" t="str">
        <f t="shared" si="145"/>
        <v/>
      </c>
      <c r="AG215" s="959" t="str">
        <f t="shared" si="146"/>
        <v/>
      </c>
      <c r="AH215" s="959">
        <f t="shared" si="147"/>
        <v>2.6449389007634574E-2</v>
      </c>
      <c r="AI215" s="1098">
        <f t="shared" ref="AI215" si="169">IF(SUM(AD215:AH215)=0,"",SUM(AD215:AH215))</f>
        <v>1.6727604210722569</v>
      </c>
      <c r="AJ215" s="648" t="str">
        <f t="shared" ref="AJ215" si="170">B215</f>
        <v>Per capita</v>
      </c>
      <c r="AK215" s="959">
        <f t="shared" si="149"/>
        <v>0</v>
      </c>
      <c r="AL215" s="959">
        <f t="shared" si="150"/>
        <v>0</v>
      </c>
      <c r="AM215" s="959">
        <f t="shared" si="151"/>
        <v>0</v>
      </c>
      <c r="AN215" s="959">
        <f t="shared" si="152"/>
        <v>8.588080953659814E-3</v>
      </c>
      <c r="AO215" s="1098">
        <f t="shared" ref="AO215" si="171">IF(SUM(AK215:AN215)=0,"",SUM(AK215:AN215))</f>
        <v>8.588080953659814E-3</v>
      </c>
    </row>
    <row r="216" spans="2:41" ht="15" customHeight="1">
      <c r="B216" s="957"/>
      <c r="C216" s="648"/>
      <c r="D216" s="902"/>
      <c r="E216" s="902"/>
      <c r="F216" s="902"/>
      <c r="G216" s="643"/>
      <c r="H216" s="644"/>
      <c r="I216" s="643"/>
      <c r="J216" s="643"/>
      <c r="K216" s="1038"/>
      <c r="L216" s="643"/>
      <c r="M216" s="643"/>
      <c r="N216" s="960"/>
      <c r="O216" s="960"/>
      <c r="P216" s="960"/>
      <c r="Q216" s="960"/>
      <c r="R216" s="1098"/>
      <c r="S216" s="648"/>
      <c r="T216" s="959"/>
      <c r="U216" s="959"/>
      <c r="V216" s="959"/>
      <c r="W216" s="959"/>
      <c r="X216" s="959"/>
      <c r="Y216" s="959"/>
      <c r="Z216" s="959"/>
      <c r="AA216" s="959"/>
      <c r="AB216" s="1098"/>
      <c r="AC216" s="1041"/>
      <c r="AD216" s="959"/>
      <c r="AE216" s="959"/>
      <c r="AF216" s="959"/>
      <c r="AG216" s="959"/>
      <c r="AH216" s="959"/>
      <c r="AI216" s="1098"/>
      <c r="AJ216" s="648"/>
      <c r="AK216" s="959"/>
      <c r="AL216" s="959"/>
      <c r="AM216" s="959"/>
      <c r="AN216" s="959"/>
      <c r="AO216" s="1098"/>
    </row>
    <row r="217" spans="2:41" ht="15" customHeight="1">
      <c r="R217" s="176"/>
    </row>
    <row r="218" spans="2:41" ht="15" customHeight="1">
      <c r="R218" s="176"/>
    </row>
    <row r="219" spans="2:41" ht="15" customHeight="1">
      <c r="R219" s="176"/>
    </row>
    <row r="220" spans="2:41" ht="15" customHeight="1">
      <c r="R220" s="176"/>
    </row>
    <row r="221" spans="2:41" ht="15" customHeight="1">
      <c r="R221" s="176"/>
    </row>
    <row r="222" spans="2:41" ht="15" customHeight="1">
      <c r="R222" s="176"/>
    </row>
    <row r="223" spans="2:41" ht="15" customHeight="1">
      <c r="R223" s="176"/>
    </row>
    <row r="224" spans="2:41" ht="15" customHeight="1">
      <c r="R224" s="176"/>
    </row>
    <row r="225" spans="18:18" ht="15" customHeight="1">
      <c r="R225" s="176"/>
    </row>
    <row r="226" spans="18:18" ht="15" customHeight="1">
      <c r="R226" s="176"/>
    </row>
    <row r="227" spans="18:18" ht="15" customHeight="1">
      <c r="R227" s="176"/>
    </row>
    <row r="228" spans="18:18" ht="15" customHeight="1">
      <c r="R228" s="176"/>
    </row>
    <row r="229" spans="18:18" ht="15" customHeight="1">
      <c r="R229" s="176"/>
    </row>
    <row r="230" spans="18:18" ht="15" customHeight="1">
      <c r="R230" s="176"/>
    </row>
    <row r="231" spans="18:18" ht="15" customHeight="1">
      <c r="R231" s="176"/>
    </row>
    <row r="232" spans="18:18" ht="15" customHeight="1">
      <c r="R232" s="176"/>
    </row>
    <row r="233" spans="18:18" ht="15" customHeight="1">
      <c r="R233" s="176"/>
    </row>
    <row r="234" spans="18:18" ht="15" customHeight="1">
      <c r="R234" s="176"/>
    </row>
    <row r="235" spans="18:18" ht="15" customHeight="1">
      <c r="R235" s="176"/>
    </row>
  </sheetData>
  <sheetProtection password="892F" sheet="1" objects="1" scenarios="1" selectLockedCells="1" selectUnlockedCells="1"/>
  <mergeCells count="20">
    <mergeCell ref="P3:Q3"/>
    <mergeCell ref="L2:M2"/>
    <mergeCell ref="N2:O2"/>
    <mergeCell ref="B2:B3"/>
    <mergeCell ref="C2:C3"/>
    <mergeCell ref="D2:E2"/>
    <mergeCell ref="F2:G2"/>
    <mergeCell ref="D3:E3"/>
    <mergeCell ref="F3:G3"/>
    <mergeCell ref="H2:I2"/>
    <mergeCell ref="J2:K2"/>
    <mergeCell ref="J3:K3"/>
    <mergeCell ref="H3:I3"/>
    <mergeCell ref="L3:M3"/>
    <mergeCell ref="N3:O3"/>
    <mergeCell ref="R3:S3"/>
    <mergeCell ref="T3:U3"/>
    <mergeCell ref="V3:W3"/>
    <mergeCell ref="X3:Y3"/>
    <mergeCell ref="Z3:AA3"/>
  </mergeCells>
  <hyperlinks>
    <hyperlink ref="E2" location="Home!A1" display="Home!A1"/>
    <hyperlink ref="D2" location="Home!A1" display="Introduction"/>
    <hyperlink ref="M2" location="Results!A1" display="Results!A1"/>
    <hyperlink ref="L2" location="Results!A1" display="Results"/>
    <hyperlink ref="J2" location="Calculators!A1" display="Calculators"/>
    <hyperlink ref="H2" location="Inventory!A1" display="Inventory"/>
    <hyperlink ref="G2" location="'City information'!A1" display="'City information'!A1"/>
    <hyperlink ref="F2" location="'City information'!A1" display="Set-up"/>
    <hyperlink ref="N2" location="Analysis!A1" display="Analysis"/>
    <hyperlink ref="O2" location="Analysis!A1" display="Analysis!A1"/>
    <hyperlink ref="H3" location="Benchmark!A1" display="Benchmarking"/>
    <hyperlink ref="G3" location="Progress!A1" display="Progress!A1"/>
    <hyperlink ref="F3" location="Progress!A1" display="Progress"/>
    <hyperlink ref="D3" location="Data!A1" display="Data"/>
    <hyperlink ref="E3" location="Data!A1" display="Data!A1"/>
    <hyperlink ref="I3" location="Benchmark!A1" display="Benchmark!A1"/>
    <hyperlink ref="J3" location="'Heat map'!A1" display="Heat map"/>
    <hyperlink ref="K3" location="'Heat map'!A1" display="'Heat map'!A1"/>
    <hyperlink ref="L3" location="Overview_2!A1" display="Overview"/>
    <hyperlink ref="M3" location="Overview_2!A1" display="Overview_2!A1"/>
    <hyperlink ref="N3" location="Output!A1" display="Output"/>
    <hyperlink ref="O3" location="Output!A1" display="Output!A1"/>
  </hyperlinks>
  <pageMargins left="0.25" right="0.25" top="0.75" bottom="0.75" header="0.3" footer="0.3"/>
  <pageSetup paperSize="9" scale="10" orientation="portrait" horizontalDpi="4294967292" verticalDpi="4294967292"/>
  <headerFooter>
    <oddHeader>&amp;CTable 4.1</oddHeader>
  </headerFooter>
  <drawing r:id="rId1"/>
  <extLst>
    <ext xmlns:mx="http://schemas.microsoft.com/office/mac/excel/2008/main" uri="{64002731-A6B0-56B0-2670-7721B7C09600}">
      <mx:PLV Mode="0" OnePage="0" WScale="71"/>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4"/>
    <outlinePr summaryBelow="0"/>
    <pageSetUpPr fitToPage="1"/>
  </sheetPr>
  <dimension ref="A1:EH112"/>
  <sheetViews>
    <sheetView workbookViewId="0">
      <selection activeCell="M31" sqref="M31"/>
    </sheetView>
  </sheetViews>
  <sheetFormatPr baseColWidth="10" defaultColWidth="10.83203125" defaultRowHeight="15" customHeight="1" x14ac:dyDescent="0"/>
  <cols>
    <col min="1" max="1" width="4.83203125" style="31" customWidth="1"/>
    <col min="2" max="2" width="12.83203125" style="32" customWidth="1"/>
    <col min="3" max="10" width="12.83203125" style="33" customWidth="1"/>
    <col min="11" max="12" width="12.83203125" style="34" customWidth="1"/>
    <col min="13" max="16" width="12.6640625" style="34" customWidth="1"/>
    <col min="17" max="20" width="12.83203125" style="31" customWidth="1"/>
    <col min="21" max="21" width="12.83203125" style="15" customWidth="1"/>
    <col min="22" max="137" width="12.83203125" style="31" customWidth="1"/>
    <col min="138" max="138" width="5.83203125" style="31" customWidth="1"/>
    <col min="139" max="16384" width="10.83203125" style="31"/>
  </cols>
  <sheetData>
    <row r="1" spans="1:138" s="498" customFormat="1">
      <c r="U1" s="499"/>
      <c r="V1" s="499"/>
      <c r="W1" s="499"/>
      <c r="X1" s="500"/>
      <c r="Y1" s="500"/>
    </row>
    <row r="2" spans="1:138" s="464" customFormat="1" ht="31" customHeight="1">
      <c r="A2" s="494"/>
      <c r="B2" s="1817" t="s">
        <v>1965</v>
      </c>
      <c r="C2" s="1819">
        <v>400</v>
      </c>
      <c r="D2" s="2653" t="s">
        <v>1555</v>
      </c>
      <c r="E2" s="2653"/>
      <c r="F2" s="2654" t="s">
        <v>1563</v>
      </c>
      <c r="G2" s="2655"/>
      <c r="H2" s="2654" t="s">
        <v>794</v>
      </c>
      <c r="I2" s="2655"/>
      <c r="J2" s="2654" t="s">
        <v>1570</v>
      </c>
      <c r="K2" s="2655"/>
      <c r="L2" s="2654" t="s">
        <v>1564</v>
      </c>
      <c r="M2" s="2655"/>
      <c r="N2" s="2651" t="s">
        <v>1602</v>
      </c>
      <c r="O2" s="2652"/>
      <c r="P2" s="1165"/>
      <c r="Q2" s="1165"/>
      <c r="R2" s="1165"/>
      <c r="S2" s="1165"/>
      <c r="T2" s="496"/>
      <c r="U2" s="494"/>
      <c r="V2" s="494"/>
      <c r="W2" s="494"/>
      <c r="X2" s="494"/>
      <c r="Y2" s="494"/>
      <c r="Z2" s="494"/>
      <c r="AA2" s="494"/>
      <c r="AB2" s="494"/>
      <c r="AC2" s="494"/>
      <c r="AD2" s="494"/>
      <c r="AE2" s="494"/>
      <c r="AF2" s="494"/>
      <c r="AG2" s="494"/>
      <c r="AH2" s="494"/>
      <c r="AI2" s="494"/>
      <c r="AJ2" s="494"/>
      <c r="AK2" s="494"/>
      <c r="AL2" s="494"/>
      <c r="AM2" s="494"/>
      <c r="AN2" s="494"/>
      <c r="AO2" s="494"/>
      <c r="AP2" s="494"/>
      <c r="AQ2" s="494"/>
      <c r="AR2" s="494"/>
      <c r="AS2" s="494"/>
      <c r="AT2" s="494"/>
      <c r="AU2" s="494"/>
      <c r="AV2" s="494"/>
      <c r="AW2" s="494"/>
      <c r="AX2" s="494"/>
      <c r="AY2" s="494"/>
      <c r="AZ2" s="494"/>
      <c r="BA2" s="494"/>
      <c r="BB2" s="494"/>
      <c r="BC2" s="494"/>
      <c r="BD2" s="494"/>
      <c r="BE2" s="494"/>
      <c r="BF2" s="494"/>
      <c r="BG2" s="494"/>
      <c r="BH2" s="494"/>
      <c r="BI2" s="494"/>
      <c r="BJ2" s="494"/>
      <c r="BK2" s="494"/>
      <c r="BL2" s="494"/>
      <c r="BM2" s="494"/>
      <c r="BN2" s="494"/>
      <c r="BO2" s="494"/>
      <c r="BP2" s="494"/>
      <c r="BQ2" s="494"/>
      <c r="BR2" s="494"/>
      <c r="BS2" s="494"/>
      <c r="BT2" s="494"/>
      <c r="BU2" s="494"/>
      <c r="BV2" s="494"/>
      <c r="BW2" s="494"/>
      <c r="BX2" s="494"/>
      <c r="BY2" s="494"/>
      <c r="BZ2" s="494"/>
      <c r="CA2" s="494"/>
      <c r="CB2" s="494"/>
      <c r="CC2" s="494"/>
      <c r="CD2" s="494"/>
      <c r="CE2" s="494"/>
      <c r="CF2" s="494"/>
      <c r="CG2" s="494"/>
      <c r="CH2" s="494"/>
      <c r="CI2" s="494"/>
      <c r="CJ2" s="494"/>
      <c r="CK2" s="494"/>
      <c r="CL2" s="494"/>
      <c r="CM2" s="494"/>
      <c r="CN2" s="494"/>
      <c r="CO2" s="494"/>
      <c r="CP2" s="494"/>
      <c r="CQ2" s="494"/>
      <c r="CR2" s="494"/>
      <c r="CS2" s="494"/>
      <c r="CT2" s="494"/>
      <c r="CU2" s="494"/>
      <c r="CV2" s="494"/>
      <c r="CW2" s="494"/>
      <c r="CX2" s="494"/>
      <c r="CY2" s="494"/>
      <c r="CZ2" s="494"/>
      <c r="DA2" s="494"/>
      <c r="DB2" s="494"/>
      <c r="DC2" s="494"/>
      <c r="DD2" s="494"/>
      <c r="DE2" s="494"/>
      <c r="DF2" s="494"/>
      <c r="DG2" s="494"/>
      <c r="DH2" s="494"/>
      <c r="DI2" s="494"/>
      <c r="DJ2" s="494"/>
      <c r="DK2" s="494"/>
      <c r="DL2" s="494"/>
      <c r="DM2" s="494"/>
      <c r="DN2" s="494"/>
      <c r="DO2" s="494"/>
      <c r="DP2" s="494"/>
      <c r="DQ2" s="494"/>
      <c r="DR2" s="494"/>
      <c r="DS2" s="494"/>
      <c r="DT2" s="494"/>
      <c r="DU2" s="494"/>
      <c r="DV2" s="494"/>
      <c r="DW2" s="494"/>
      <c r="DX2" s="494"/>
      <c r="DY2" s="494"/>
      <c r="DZ2" s="494"/>
      <c r="EA2" s="494"/>
      <c r="EB2" s="494"/>
      <c r="EC2" s="494"/>
      <c r="ED2" s="494"/>
      <c r="EE2" s="494"/>
      <c r="EF2" s="494"/>
      <c r="EG2" s="494"/>
    </row>
    <row r="3" spans="1:138" s="464" customFormat="1" ht="31" customHeight="1">
      <c r="A3" s="494"/>
      <c r="B3" s="1818"/>
      <c r="C3" s="1820"/>
      <c r="D3" s="1843" t="s">
        <v>722</v>
      </c>
      <c r="E3" s="1844"/>
      <c r="F3" s="1843" t="s">
        <v>1608</v>
      </c>
      <c r="G3" s="1844"/>
      <c r="H3" s="1843" t="s">
        <v>1609</v>
      </c>
      <c r="I3" s="1844"/>
      <c r="J3" s="1843" t="s">
        <v>1909</v>
      </c>
      <c r="K3" s="1844"/>
      <c r="L3" s="1843" t="s">
        <v>1568</v>
      </c>
      <c r="M3" s="1844"/>
      <c r="N3" s="1843" t="s">
        <v>2004</v>
      </c>
      <c r="O3" s="1844"/>
      <c r="P3" s="2104" t="s">
        <v>2019</v>
      </c>
      <c r="Q3" s="2105"/>
      <c r="R3" s="2651" t="s">
        <v>2461</v>
      </c>
      <c r="S3" s="2652"/>
      <c r="T3" s="2104" t="s">
        <v>2608</v>
      </c>
      <c r="U3" s="2105"/>
      <c r="V3" s="2104" t="s">
        <v>2607</v>
      </c>
      <c r="W3" s="2105"/>
      <c r="X3" s="2104" t="s">
        <v>2460</v>
      </c>
      <c r="Y3" s="2105"/>
      <c r="Z3" s="2104" t="s">
        <v>2022</v>
      </c>
      <c r="AA3" s="2105"/>
      <c r="AB3" s="494"/>
      <c r="AC3" s="494"/>
      <c r="AD3" s="494"/>
      <c r="AE3" s="494"/>
      <c r="AF3" s="494"/>
      <c r="AG3" s="494"/>
      <c r="AH3" s="494"/>
      <c r="AI3" s="494"/>
      <c r="AJ3" s="494"/>
      <c r="AK3" s="494"/>
      <c r="AL3" s="494"/>
      <c r="AM3" s="494"/>
      <c r="AN3" s="494"/>
      <c r="AO3" s="494"/>
      <c r="AP3" s="494"/>
      <c r="AQ3" s="494"/>
      <c r="AR3" s="494"/>
      <c r="AS3" s="494"/>
      <c r="AT3" s="494"/>
      <c r="AU3" s="494"/>
      <c r="AV3" s="494"/>
      <c r="AW3" s="494"/>
      <c r="AX3" s="494"/>
      <c r="AY3" s="494"/>
      <c r="AZ3" s="494"/>
      <c r="BA3" s="494"/>
      <c r="BB3" s="494"/>
      <c r="BC3" s="494"/>
      <c r="BD3" s="494"/>
      <c r="BE3" s="494"/>
      <c r="BF3" s="494"/>
      <c r="BG3" s="494"/>
      <c r="BH3" s="494"/>
      <c r="BI3" s="494"/>
      <c r="BJ3" s="494"/>
      <c r="BK3" s="494"/>
      <c r="BL3" s="494"/>
      <c r="BM3" s="494"/>
      <c r="BN3" s="494"/>
      <c r="BO3" s="494"/>
      <c r="BP3" s="494"/>
      <c r="BQ3" s="494"/>
      <c r="BR3" s="494"/>
      <c r="BS3" s="494"/>
      <c r="BT3" s="494"/>
      <c r="BU3" s="494"/>
      <c r="BV3" s="494"/>
      <c r="BW3" s="494"/>
      <c r="BX3" s="494"/>
      <c r="BY3" s="494"/>
      <c r="BZ3" s="494"/>
      <c r="CA3" s="494"/>
      <c r="CB3" s="494"/>
      <c r="CC3" s="494"/>
      <c r="CD3" s="494"/>
      <c r="CE3" s="494"/>
      <c r="CF3" s="494"/>
      <c r="CG3" s="494"/>
      <c r="CH3" s="494"/>
      <c r="CI3" s="494"/>
      <c r="CJ3" s="494"/>
      <c r="CK3" s="494"/>
      <c r="CL3" s="494"/>
      <c r="CM3" s="494"/>
      <c r="CN3" s="494"/>
      <c r="CO3" s="494"/>
      <c r="CP3" s="494"/>
      <c r="CQ3" s="494"/>
      <c r="CR3" s="494"/>
      <c r="CS3" s="494"/>
      <c r="CT3" s="494"/>
      <c r="CU3" s="494"/>
      <c r="CV3" s="494"/>
      <c r="CW3" s="494"/>
      <c r="CX3" s="494"/>
      <c r="CY3" s="494"/>
      <c r="CZ3" s="494"/>
      <c r="DA3" s="494"/>
      <c r="DB3" s="494"/>
      <c r="DC3" s="494"/>
      <c r="DD3" s="494"/>
      <c r="DE3" s="494"/>
      <c r="DF3" s="494"/>
      <c r="DG3" s="494"/>
      <c r="DH3" s="494"/>
      <c r="DI3" s="494"/>
      <c r="DJ3" s="494"/>
      <c r="DK3" s="494"/>
      <c r="DL3" s="494"/>
      <c r="DM3" s="494"/>
      <c r="DN3" s="494"/>
      <c r="DO3" s="494"/>
      <c r="DP3" s="494"/>
      <c r="DQ3" s="494"/>
      <c r="DR3" s="494"/>
      <c r="DS3" s="494"/>
      <c r="DT3" s="494"/>
      <c r="DU3" s="494"/>
      <c r="DV3" s="494"/>
      <c r="DW3" s="494"/>
      <c r="DX3" s="494"/>
      <c r="DY3" s="494"/>
      <c r="DZ3" s="494"/>
      <c r="EA3" s="494"/>
      <c r="EB3" s="494"/>
      <c r="EC3" s="494"/>
      <c r="ED3" s="494"/>
      <c r="EE3" s="494"/>
      <c r="EF3" s="494"/>
      <c r="EG3" s="494"/>
    </row>
    <row r="4" spans="1:138" s="494" customFormat="1" ht="15" customHeight="1">
      <c r="B4" s="492"/>
      <c r="C4" s="495"/>
      <c r="D4" s="497"/>
      <c r="E4" s="497"/>
      <c r="F4" s="497"/>
      <c r="G4" s="497"/>
      <c r="H4" s="497"/>
      <c r="I4" s="497"/>
      <c r="J4" s="497"/>
      <c r="K4" s="497"/>
      <c r="L4" s="497"/>
      <c r="M4" s="496"/>
      <c r="N4" s="496"/>
      <c r="O4" s="496"/>
      <c r="P4" s="496"/>
      <c r="Q4" s="496"/>
      <c r="R4" s="496"/>
      <c r="S4" s="496"/>
      <c r="T4" s="496"/>
    </row>
    <row r="5" spans="1:138" ht="31" customHeight="1">
      <c r="U5" s="31"/>
    </row>
    <row r="6" spans="1:138" s="29" customFormat="1" ht="31" customHeight="1" thickBot="1">
      <c r="A6" s="31"/>
      <c r="B6" s="491" t="s">
        <v>2730</v>
      </c>
      <c r="C6" s="466"/>
      <c r="D6" s="466"/>
      <c r="E6" s="466"/>
      <c r="F6" s="466"/>
      <c r="G6" s="466"/>
      <c r="H6" s="466"/>
      <c r="I6" s="466"/>
      <c r="J6" s="466"/>
      <c r="K6" s="467"/>
      <c r="L6" s="467"/>
      <c r="M6" s="467"/>
      <c r="N6" s="467"/>
      <c r="O6" s="467"/>
      <c r="P6" s="467"/>
      <c r="Q6" s="468"/>
      <c r="R6" s="468"/>
      <c r="S6" s="468"/>
      <c r="T6" s="468"/>
      <c r="U6" s="468"/>
      <c r="V6" s="468"/>
      <c r="W6" s="468"/>
      <c r="X6" s="468"/>
      <c r="Y6" s="468"/>
      <c r="Z6" s="468"/>
      <c r="AA6" s="468"/>
      <c r="AB6" s="468"/>
      <c r="AC6" s="468"/>
      <c r="AD6" s="468"/>
      <c r="AE6" s="468"/>
      <c r="AF6" s="468"/>
      <c r="AG6" s="468"/>
      <c r="AH6" s="468"/>
      <c r="AI6" s="468"/>
      <c r="AJ6" s="468"/>
      <c r="AK6" s="468"/>
      <c r="AL6" s="468"/>
      <c r="AM6" s="468"/>
      <c r="AN6" s="468"/>
      <c r="AO6" s="468"/>
      <c r="AP6" s="468"/>
      <c r="AQ6" s="468"/>
      <c r="AR6" s="468"/>
      <c r="AS6" s="468"/>
      <c r="AT6" s="468"/>
      <c r="AU6" s="468"/>
      <c r="AV6" s="468"/>
      <c r="AW6" s="468"/>
      <c r="AX6" s="468"/>
      <c r="AY6" s="468"/>
      <c r="AZ6" s="468"/>
      <c r="BA6" s="468"/>
      <c r="BB6" s="468"/>
      <c r="BC6" s="468"/>
      <c r="BD6" s="468"/>
      <c r="BE6" s="468"/>
      <c r="BF6" s="468"/>
      <c r="BG6" s="468"/>
      <c r="BH6" s="468"/>
      <c r="BI6" s="468"/>
      <c r="BJ6" s="468"/>
      <c r="BK6" s="468"/>
      <c r="BL6" s="468"/>
      <c r="BM6" s="468"/>
      <c r="BN6" s="468"/>
      <c r="BO6" s="468"/>
      <c r="BP6" s="468"/>
      <c r="BQ6" s="468"/>
      <c r="BR6" s="468"/>
      <c r="BS6" s="468"/>
      <c r="BT6" s="468"/>
      <c r="BU6" s="234"/>
      <c r="BV6" s="234"/>
    </row>
    <row r="7" spans="1:138" s="29" customFormat="1" ht="15" customHeight="1" thickTop="1">
      <c r="B7" s="229"/>
      <c r="C7" s="230"/>
      <c r="D7" s="230"/>
      <c r="E7" s="230"/>
      <c r="F7" s="230"/>
      <c r="G7" s="230"/>
      <c r="H7" s="230"/>
      <c r="I7" s="230"/>
      <c r="J7" s="230"/>
      <c r="K7" s="30"/>
      <c r="L7" s="30"/>
      <c r="M7" s="30"/>
      <c r="N7" s="30"/>
      <c r="O7" s="30"/>
      <c r="P7" s="30"/>
    </row>
    <row r="8" spans="1:138" s="15" customFormat="1" ht="15" customHeight="1">
      <c r="B8" s="465" t="s">
        <v>2018</v>
      </c>
    </row>
    <row r="9" spans="1:138" s="15" customFormat="1" ht="15" customHeight="1">
      <c r="B9" s="904">
        <v>1</v>
      </c>
      <c r="C9" s="904">
        <v>2</v>
      </c>
      <c r="D9" s="904">
        <v>3</v>
      </c>
      <c r="E9" s="904">
        <v>4</v>
      </c>
      <c r="F9" s="904">
        <v>5</v>
      </c>
      <c r="G9" s="904">
        <v>6</v>
      </c>
      <c r="H9" s="904">
        <v>7</v>
      </c>
      <c r="I9" s="904">
        <v>8</v>
      </c>
      <c r="J9" s="904">
        <v>9</v>
      </c>
      <c r="K9" s="904">
        <v>10</v>
      </c>
      <c r="L9" s="904">
        <v>11</v>
      </c>
      <c r="M9" s="904">
        <v>12</v>
      </c>
      <c r="N9" s="904">
        <v>13</v>
      </c>
      <c r="O9" s="904">
        <v>14</v>
      </c>
      <c r="P9" s="904">
        <v>15</v>
      </c>
      <c r="Q9" s="904">
        <v>16</v>
      </c>
      <c r="R9" s="904">
        <v>17</v>
      </c>
      <c r="S9" s="904">
        <v>18</v>
      </c>
      <c r="T9" s="904">
        <v>19</v>
      </c>
      <c r="U9" s="904">
        <v>20</v>
      </c>
      <c r="V9" s="904">
        <v>21</v>
      </c>
      <c r="W9" s="904">
        <v>22</v>
      </c>
      <c r="X9" s="904">
        <v>23</v>
      </c>
      <c r="Y9" s="904">
        <v>24</v>
      </c>
    </row>
    <row r="10" spans="1:138" s="642" customFormat="1" ht="15" customHeight="1">
      <c r="B10" s="2656" t="s">
        <v>1025</v>
      </c>
      <c r="C10" s="2657"/>
      <c r="D10" s="2660" t="s">
        <v>2419</v>
      </c>
      <c r="E10" s="2661"/>
      <c r="F10" s="2661"/>
      <c r="G10" s="2661"/>
      <c r="H10" s="2661"/>
      <c r="I10" s="2661"/>
      <c r="J10" s="2661"/>
      <c r="K10" s="2661"/>
      <c r="L10" s="2661"/>
      <c r="M10" s="2661"/>
      <c r="N10" s="2661"/>
      <c r="O10" s="2661"/>
      <c r="P10" s="2661"/>
      <c r="Q10" s="2661"/>
      <c r="R10" s="2661"/>
      <c r="S10" s="2661"/>
      <c r="T10" s="2661"/>
      <c r="U10" s="2661"/>
      <c r="V10" s="2661"/>
      <c r="W10" s="2661"/>
      <c r="X10" s="2661"/>
      <c r="Y10" s="2662"/>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5"/>
      <c r="AZ10" s="15"/>
      <c r="BA10" s="15"/>
      <c r="BB10" s="15"/>
      <c r="BC10" s="15"/>
      <c r="BD10" s="15"/>
      <c r="BE10" s="15"/>
      <c r="BF10" s="15"/>
      <c r="BG10" s="15"/>
      <c r="BH10" s="15"/>
      <c r="BI10" s="15"/>
      <c r="BJ10" s="15"/>
      <c r="BK10" s="15"/>
      <c r="BL10" s="15"/>
      <c r="BM10" s="15"/>
      <c r="BN10" s="15"/>
      <c r="BO10" s="15"/>
      <c r="BP10" s="15"/>
      <c r="BQ10" s="15"/>
      <c r="BR10" s="15"/>
      <c r="BS10" s="15"/>
      <c r="BT10" s="15"/>
      <c r="BU10" s="15"/>
      <c r="BV10" s="15"/>
      <c r="BW10" s="15"/>
      <c r="BX10" s="15"/>
      <c r="BY10" s="15"/>
      <c r="BZ10" s="15"/>
      <c r="CA10" s="15"/>
      <c r="CB10" s="15"/>
      <c r="CC10" s="15"/>
      <c r="CD10" s="15"/>
      <c r="CE10" s="15"/>
      <c r="CF10" s="15"/>
      <c r="CG10" s="15"/>
      <c r="CH10" s="15"/>
      <c r="CI10" s="15"/>
      <c r="CJ10" s="15"/>
      <c r="CK10" s="15"/>
      <c r="CL10" s="15"/>
      <c r="CM10" s="15"/>
      <c r="CN10" s="15"/>
      <c r="CO10" s="15"/>
      <c r="CP10" s="15"/>
      <c r="CQ10" s="15"/>
      <c r="CR10" s="15"/>
      <c r="CS10" s="15"/>
      <c r="CT10" s="15"/>
      <c r="CU10" s="15"/>
      <c r="CV10" s="15"/>
      <c r="CW10" s="15"/>
      <c r="CX10" s="15"/>
      <c r="CY10" s="15"/>
      <c r="CZ10" s="15"/>
      <c r="DA10" s="15"/>
      <c r="DB10" s="15"/>
      <c r="DC10" s="15"/>
      <c r="DD10" s="15"/>
      <c r="DE10" s="15"/>
      <c r="DF10" s="15"/>
      <c r="DG10" s="15"/>
      <c r="DH10" s="15"/>
      <c r="DI10" s="15"/>
      <c r="DJ10" s="15"/>
      <c r="DK10" s="15"/>
      <c r="DL10" s="15"/>
      <c r="DM10" s="15"/>
      <c r="DN10" s="15"/>
      <c r="DO10" s="15"/>
      <c r="DP10" s="15"/>
      <c r="DQ10" s="15"/>
      <c r="DR10" s="15"/>
      <c r="DS10" s="15"/>
      <c r="DT10" s="15"/>
      <c r="DU10" s="15"/>
      <c r="DV10" s="15"/>
      <c r="DW10" s="15"/>
      <c r="DX10" s="15"/>
      <c r="DY10" s="15"/>
      <c r="DZ10" s="15"/>
      <c r="EA10" s="15"/>
      <c r="EB10" s="15"/>
      <c r="EC10" s="15"/>
      <c r="ED10" s="15"/>
      <c r="EE10" s="15"/>
      <c r="EF10" s="15"/>
      <c r="EG10" s="15"/>
      <c r="EH10" s="15"/>
    </row>
    <row r="11" spans="1:138" s="642" customFormat="1" ht="15" customHeight="1">
      <c r="B11" s="2658"/>
      <c r="C11" s="2659"/>
      <c r="D11" s="1389"/>
      <c r="E11" s="1389">
        <v>2000</v>
      </c>
      <c r="F11" s="1389">
        <v>2001</v>
      </c>
      <c r="G11" s="1389">
        <v>2002</v>
      </c>
      <c r="H11" s="1389">
        <v>2003</v>
      </c>
      <c r="I11" s="1389">
        <v>2004</v>
      </c>
      <c r="J11" s="1389">
        <v>2005</v>
      </c>
      <c r="K11" s="1389">
        <v>2006</v>
      </c>
      <c r="L11" s="1389">
        <v>2007</v>
      </c>
      <c r="M11" s="1389">
        <v>2008</v>
      </c>
      <c r="N11" s="1389">
        <v>2009</v>
      </c>
      <c r="O11" s="1389">
        <v>2010</v>
      </c>
      <c r="P11" s="1389">
        <v>2011</v>
      </c>
      <c r="Q11" s="1389">
        <v>2012</v>
      </c>
      <c r="R11" s="1389">
        <v>2013</v>
      </c>
      <c r="S11" s="1389">
        <v>2014</v>
      </c>
      <c r="T11" s="1389">
        <v>2015</v>
      </c>
      <c r="U11" s="1389">
        <v>2016</v>
      </c>
      <c r="V11" s="1389">
        <v>2017</v>
      </c>
      <c r="W11" s="1389">
        <v>2018</v>
      </c>
      <c r="X11" s="1389">
        <v>2019</v>
      </c>
      <c r="Y11" s="1346">
        <v>2020</v>
      </c>
      <c r="Z11" s="15"/>
      <c r="AA11" s="15"/>
      <c r="AB11" s="15"/>
      <c r="AC11" s="15"/>
      <c r="AD11" s="15"/>
      <c r="AE11" s="15"/>
      <c r="AF11" s="15"/>
      <c r="AG11" s="15"/>
      <c r="AH11" s="15"/>
      <c r="AI11" s="15"/>
      <c r="AJ11" s="15"/>
      <c r="AK11" s="15"/>
      <c r="AL11" s="15"/>
      <c r="AM11" s="15"/>
      <c r="AN11" s="15"/>
      <c r="AO11" s="15"/>
      <c r="AP11" s="15"/>
      <c r="AQ11" s="15"/>
      <c r="AR11" s="15"/>
      <c r="AS11" s="15"/>
      <c r="AT11" s="15"/>
      <c r="AU11" s="15"/>
      <c r="AV11" s="15"/>
      <c r="AW11" s="15"/>
      <c r="AX11" s="15"/>
      <c r="AY11" s="15"/>
      <c r="AZ11" s="15"/>
      <c r="BA11" s="15"/>
      <c r="BB11" s="15"/>
      <c r="BC11" s="15"/>
      <c r="BD11" s="15"/>
      <c r="BE11" s="15"/>
      <c r="BF11" s="15"/>
      <c r="BG11" s="15"/>
      <c r="BH11" s="15"/>
      <c r="BI11" s="15"/>
      <c r="BJ11" s="15"/>
      <c r="BK11" s="15"/>
      <c r="BL11" s="15"/>
      <c r="BM11" s="15"/>
      <c r="BN11" s="15"/>
      <c r="BO11" s="15"/>
      <c r="BP11" s="15"/>
      <c r="BQ11" s="15"/>
      <c r="BR11" s="15"/>
      <c r="BS11" s="15"/>
      <c r="BT11" s="15"/>
      <c r="BU11" s="15"/>
      <c r="BV11" s="15"/>
      <c r="BW11" s="15"/>
      <c r="BX11" s="15"/>
      <c r="BY11" s="15"/>
      <c r="BZ11" s="15"/>
      <c r="CA11" s="15"/>
      <c r="CB11" s="15"/>
      <c r="CC11" s="15"/>
      <c r="CD11" s="15"/>
      <c r="CE11" s="15"/>
      <c r="CF11" s="15"/>
      <c r="CG11" s="15"/>
      <c r="CH11" s="15"/>
      <c r="CI11" s="15"/>
      <c r="CJ11" s="15"/>
      <c r="CK11" s="15"/>
      <c r="CL11" s="15"/>
      <c r="CM11" s="15"/>
      <c r="CN11" s="15"/>
      <c r="CO11" s="15"/>
      <c r="CP11" s="15"/>
      <c r="CQ11" s="15"/>
      <c r="CR11" s="15"/>
      <c r="CS11" s="15"/>
      <c r="CT11" s="15"/>
      <c r="CU11" s="15"/>
      <c r="CV11" s="15"/>
      <c r="CW11" s="15"/>
      <c r="CX11" s="15"/>
      <c r="CY11" s="15"/>
      <c r="CZ11" s="15"/>
      <c r="DA11" s="15"/>
      <c r="DB11" s="15"/>
      <c r="DC11" s="15"/>
      <c r="DD11" s="15"/>
      <c r="DE11" s="15"/>
      <c r="DF11" s="15"/>
      <c r="DG11" s="15"/>
      <c r="DH11" s="15"/>
      <c r="DI11" s="15"/>
      <c r="DJ11" s="15"/>
      <c r="DK11" s="15"/>
      <c r="DL11" s="15"/>
      <c r="DM11" s="15"/>
      <c r="DN11" s="15"/>
      <c r="DO11" s="15"/>
      <c r="DP11" s="15"/>
      <c r="DQ11" s="15"/>
      <c r="DR11" s="15"/>
      <c r="DS11" s="15"/>
      <c r="DT11" s="15"/>
      <c r="DU11" s="15"/>
      <c r="DV11" s="15"/>
      <c r="DW11" s="15"/>
      <c r="DX11" s="15"/>
      <c r="DY11" s="15"/>
      <c r="DZ11" s="15"/>
      <c r="EA11" s="15"/>
      <c r="EB11" s="15"/>
      <c r="EC11" s="15"/>
      <c r="ED11" s="15"/>
      <c r="EE11" s="15"/>
      <c r="EF11" s="15"/>
      <c r="EG11" s="15"/>
      <c r="EH11" s="15"/>
    </row>
    <row r="12" spans="1:138" s="34" customFormat="1" ht="15" customHeight="1">
      <c r="A12" s="642"/>
      <c r="B12" s="1347" t="s">
        <v>182</v>
      </c>
      <c r="C12" s="1348"/>
      <c r="D12" s="484"/>
      <c r="E12" s="484"/>
      <c r="F12" s="484"/>
      <c r="G12" s="484"/>
      <c r="H12" s="484"/>
      <c r="I12" s="484"/>
      <c r="J12" s="484"/>
      <c r="K12" s="484"/>
      <c r="L12" s="484"/>
      <c r="M12" s="484"/>
      <c r="N12" s="484"/>
      <c r="O12" s="484"/>
      <c r="P12" s="484"/>
      <c r="Q12" s="484"/>
      <c r="R12" s="484"/>
      <c r="S12" s="484"/>
      <c r="T12" s="484"/>
      <c r="U12" s="484"/>
      <c r="V12" s="484"/>
      <c r="W12" s="484"/>
      <c r="X12" s="484"/>
      <c r="Y12" s="48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row>
    <row r="13" spans="1:138" s="1039" customFormat="1" ht="15" customHeight="1">
      <c r="A13" s="642"/>
      <c r="B13" s="1455" t="str">
        <f t="array" ref="B13">IFERROR(INDEX(Data!$B$16:$B$96,MATCH(0,COUNTIF($B$12:B12,Data!$B$16:$B$96),0)),"")</f>
        <v>Atlantis</v>
      </c>
      <c r="C13" s="1345">
        <v>1</v>
      </c>
      <c r="D13" s="1336" t="s">
        <v>182</v>
      </c>
      <c r="E13" s="1424" t="str">
        <f>IF(COUNTIF(Data!$H$16:$H$100,CONCATENATE(Data_3!$B13,"_",Data_3!E$11))=1,E$11,"")</f>
        <v/>
      </c>
      <c r="F13" s="1424" t="str">
        <f>IF(COUNTIF(Data!$H$16:$H$100,CONCATENATE(Data_3!$B13,"_",Data_3!F$11))=1,F$11,"")</f>
        <v/>
      </c>
      <c r="G13" s="1424" t="str">
        <f>IF(COUNTIF(Data!$H$16:$H$100,CONCATENATE(Data_3!$B13,"_",Data_3!G$11))=1,G$11,"")</f>
        <v/>
      </c>
      <c r="H13" s="1424" t="str">
        <f>IF(COUNTIF(Data!$H$16:$H$100,CONCATENATE(Data_3!$B13,"_",Data_3!H$11))=1,H$11,"")</f>
        <v/>
      </c>
      <c r="I13" s="1424" t="str">
        <f>IF(COUNTIF(Data!$H$16:$H$100,CONCATENATE(Data_3!$B13,"_",Data_3!I$11))=1,I$11,"")</f>
        <v/>
      </c>
      <c r="J13" s="1424" t="str">
        <f>IF(COUNTIF(Data!$H$16:$H$100,CONCATENATE(Data_3!$B13,"_",Data_3!J$11))=1,J$11,"")</f>
        <v/>
      </c>
      <c r="K13" s="1424" t="str">
        <f>IF(COUNTIF(Data!$H$16:$H$100,CONCATENATE(Data_3!$B13,"_",Data_3!K$11))=1,K$11,"")</f>
        <v/>
      </c>
      <c r="L13" s="1424" t="str">
        <f>IF(COUNTIF(Data!$H$16:$H$100,CONCATENATE(Data_3!$B13,"_",Data_3!L$11))=1,L$11,"")</f>
        <v/>
      </c>
      <c r="M13" s="1424" t="str">
        <f>IF(COUNTIF(Data!$H$16:$H$100,CONCATENATE(Data_3!$B13,"_",Data_3!M$11))=1,M$11,"")</f>
        <v/>
      </c>
      <c r="N13" s="1424" t="str">
        <f>IF(COUNTIF(Data!$H$16:$H$100,CONCATENATE(Data_3!$B13,"_",Data_3!N$11))=1,N$11,"")</f>
        <v/>
      </c>
      <c r="O13" s="1424" t="str">
        <f>IF(COUNTIF(Data!$H$16:$H$100,CONCATENATE(Data_3!$B13,"_",Data_3!O$11))=1,O$11,"")</f>
        <v/>
      </c>
      <c r="P13" s="1424" t="str">
        <f>IF(COUNTIF(Data!$H$16:$H$100,CONCATENATE(Data_3!$B13,"_",Data_3!P$11))=1,P$11,"")</f>
        <v/>
      </c>
      <c r="Q13" s="1424" t="str">
        <f>IF(COUNTIF(Data!$H$16:$H$100,CONCATENATE(Data_3!$B13,"_",Data_3!Q$11))=1,Q$11,"")</f>
        <v/>
      </c>
      <c r="R13" s="1424" t="str">
        <f>IF(COUNTIF(Data!$H$16:$H$100,CONCATENATE(Data_3!$B13,"_",Data_3!R$11))=1,R$11,"")</f>
        <v/>
      </c>
      <c r="S13" s="1424">
        <f>IF(COUNTIF(Data!$H$16:$H$100,CONCATENATE(Data_3!$B13,"_",Data_3!S$11))=1,S$11,"")</f>
        <v>2014</v>
      </c>
      <c r="T13" s="1424" t="str">
        <f>IF(COUNTIF(Data!$H$16:$H$100,CONCATENATE(Data_3!$B13,"_",Data_3!T$11))=1,T$11,"")</f>
        <v/>
      </c>
      <c r="U13" s="1424" t="str">
        <f>IF(COUNTIF(Data!$H$16:$H$100,CONCATENATE(Data_3!$B13,"_",Data_3!U$11))=1,U$11,"")</f>
        <v/>
      </c>
      <c r="V13" s="1424" t="str">
        <f>IF(COUNTIF(Data!$H$16:$H$100,CONCATENATE(Data_3!$B13,"_",Data_3!V$11))=1,V$11,"")</f>
        <v/>
      </c>
      <c r="W13" s="1424" t="str">
        <f>IF(COUNTIF(Data!$H$16:$H$100,CONCATENATE(Data_3!$B13,"_",Data_3!W$11))=1,W$11,"")</f>
        <v/>
      </c>
      <c r="X13" s="1424" t="str">
        <f>IF(COUNTIF(Data!$H$16:$H$100,CONCATENATE(Data_3!$B13,"_",Data_3!X$11))=1,X$11,"")</f>
        <v/>
      </c>
      <c r="Y13" s="1424" t="str">
        <f>IF(COUNTIF(Data!$H$16:$H$100,CONCATENATE(Data_3!$B13,"_",Data_3!Y$11))=1,Y$11,"")</f>
        <v/>
      </c>
      <c r="Z13" s="15"/>
      <c r="AA13" s="15"/>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15"/>
      <c r="BA13" s="15"/>
      <c r="BB13" s="15"/>
      <c r="BC13" s="15"/>
      <c r="BD13" s="15"/>
      <c r="BE13" s="15"/>
      <c r="BF13" s="15"/>
      <c r="BG13" s="15"/>
      <c r="BH13" s="15"/>
      <c r="BI13" s="15"/>
      <c r="BJ13" s="15"/>
      <c r="BK13" s="15"/>
      <c r="BL13" s="15"/>
      <c r="BM13" s="15"/>
      <c r="BN13" s="15"/>
      <c r="BO13" s="15"/>
      <c r="BP13" s="15"/>
      <c r="BQ13" s="15"/>
      <c r="BR13" s="15"/>
      <c r="BS13" s="15"/>
      <c r="BT13" s="15"/>
      <c r="BU13" s="15"/>
      <c r="BV13" s="15"/>
      <c r="BW13" s="15"/>
      <c r="BX13" s="15"/>
      <c r="BY13" s="15"/>
      <c r="BZ13" s="15"/>
      <c r="CA13" s="15"/>
      <c r="CB13" s="15"/>
      <c r="CC13" s="15"/>
      <c r="CD13" s="15"/>
      <c r="CE13" s="15"/>
      <c r="CF13" s="15"/>
      <c r="CG13" s="15"/>
      <c r="CH13" s="15"/>
      <c r="CI13" s="15"/>
      <c r="CJ13" s="15"/>
      <c r="CK13" s="15"/>
      <c r="CL13" s="15"/>
      <c r="CM13" s="15"/>
      <c r="CN13" s="15"/>
      <c r="CO13" s="15"/>
      <c r="CP13" s="15"/>
      <c r="CQ13" s="15"/>
      <c r="CR13" s="15"/>
      <c r="CS13" s="15"/>
      <c r="CT13" s="15"/>
      <c r="CU13" s="15"/>
      <c r="CV13" s="15"/>
      <c r="CW13" s="15"/>
      <c r="CX13" s="15"/>
      <c r="CY13" s="15"/>
      <c r="CZ13" s="15"/>
      <c r="DA13" s="15"/>
      <c r="DB13" s="15"/>
      <c r="DC13" s="15"/>
      <c r="DD13" s="15"/>
      <c r="DE13" s="15"/>
      <c r="DF13" s="15"/>
      <c r="DG13" s="15"/>
      <c r="DH13" s="15"/>
      <c r="DI13" s="15"/>
      <c r="DJ13" s="15"/>
      <c r="DK13" s="15"/>
      <c r="DL13" s="15"/>
      <c r="DM13" s="15"/>
      <c r="DN13" s="15"/>
      <c r="DO13" s="15"/>
      <c r="DP13" s="15"/>
      <c r="DQ13" s="15"/>
      <c r="DR13" s="15"/>
      <c r="DS13" s="15"/>
      <c r="DT13" s="15"/>
      <c r="DU13" s="15"/>
      <c r="DV13" s="15"/>
      <c r="DW13" s="15"/>
      <c r="DX13" s="15"/>
      <c r="DY13" s="15"/>
      <c r="DZ13" s="15"/>
      <c r="EA13" s="15"/>
      <c r="EB13" s="15"/>
      <c r="EC13" s="15"/>
      <c r="ED13" s="15"/>
      <c r="EE13" s="15"/>
      <c r="EF13" s="15"/>
      <c r="EG13" s="15"/>
      <c r="EH13" s="15"/>
    </row>
    <row r="14" spans="1:138" s="1121" customFormat="1" ht="15" customHeight="1">
      <c r="A14" s="15"/>
      <c r="B14" s="1455" t="str">
        <f t="array" ref="B14">IFERROR(INDEX(Data!$B$16:$B$96,MATCH(0,COUNTIF($B$12:B13,Data!$B$16:$B$96),0)),"")</f>
        <v>Amman</v>
      </c>
      <c r="C14" s="1345">
        <v>2</v>
      </c>
      <c r="D14" s="1336" t="s">
        <v>182</v>
      </c>
      <c r="E14" s="1424" t="str">
        <f>IF(COUNTIF(Data!$H$16:$H$100,CONCATENATE(Data_3!$B14,"_",Data_3!E$11))=1,E$11,"")</f>
        <v/>
      </c>
      <c r="F14" s="1424" t="str">
        <f>IF(COUNTIF(Data!$H$16:$H$100,CONCATENATE(Data_3!$B14,"_",Data_3!F$11))=1,F$11,"")</f>
        <v/>
      </c>
      <c r="G14" s="1424" t="str">
        <f>IF(COUNTIF(Data!$H$16:$H$100,CONCATENATE(Data_3!$B14,"_",Data_3!G$11))=1,G$11,"")</f>
        <v/>
      </c>
      <c r="H14" s="1424" t="str">
        <f>IF(COUNTIF(Data!$H$16:$H$100,CONCATENATE(Data_3!$B14,"_",Data_3!H$11))=1,H$11,"")</f>
        <v/>
      </c>
      <c r="I14" s="1424" t="str">
        <f>IF(COUNTIF(Data!$H$16:$H$100,CONCATENATE(Data_3!$B14,"_",Data_3!I$11))=1,I$11,"")</f>
        <v/>
      </c>
      <c r="J14" s="1424" t="str">
        <f>IF(COUNTIF(Data!$H$16:$H$100,CONCATENATE(Data_3!$B14,"_",Data_3!J$11))=1,J$11,"")</f>
        <v/>
      </c>
      <c r="K14" s="1424" t="str">
        <f>IF(COUNTIF(Data!$H$16:$H$100,CONCATENATE(Data_3!$B14,"_",Data_3!K$11))=1,K$11,"")</f>
        <v/>
      </c>
      <c r="L14" s="1424" t="str">
        <f>IF(COUNTIF(Data!$H$16:$H$100,CONCATENATE(Data_3!$B14,"_",Data_3!L$11))=1,L$11,"")</f>
        <v/>
      </c>
      <c r="M14" s="1424" t="str">
        <f>IF(COUNTIF(Data!$H$16:$H$100,CONCATENATE(Data_3!$B14,"_",Data_3!M$11))=1,M$11,"")</f>
        <v/>
      </c>
      <c r="N14" s="1424" t="str">
        <f>IF(COUNTIF(Data!$H$16:$H$100,CONCATENATE(Data_3!$B14,"_",Data_3!N$11))=1,N$11,"")</f>
        <v/>
      </c>
      <c r="O14" s="1424" t="str">
        <f>IF(COUNTIF(Data!$H$16:$H$100,CONCATENATE(Data_3!$B14,"_",Data_3!O$11))=1,O$11,"")</f>
        <v/>
      </c>
      <c r="P14" s="1424" t="str">
        <f>IF(COUNTIF(Data!$H$16:$H$100,CONCATENATE(Data_3!$B14,"_",Data_3!P$11))=1,P$11,"")</f>
        <v/>
      </c>
      <c r="Q14" s="1424" t="str">
        <f>IF(COUNTIF(Data!$H$16:$H$100,CONCATENATE(Data_3!$B14,"_",Data_3!Q$11))=1,Q$11,"")</f>
        <v/>
      </c>
      <c r="R14" s="1424" t="str">
        <f>IF(COUNTIF(Data!$H$16:$H$100,CONCATENATE(Data_3!$B14,"_",Data_3!R$11))=1,R$11,"")</f>
        <v/>
      </c>
      <c r="S14" s="1424">
        <f>IF(COUNTIF(Data!$H$16:$H$100,CONCATENATE(Data_3!$B14,"_",Data_3!S$11))=1,S$11,"")</f>
        <v>2014</v>
      </c>
      <c r="T14" s="1424" t="str">
        <f>IF(COUNTIF(Data!$H$16:$H$100,CONCATENATE(Data_3!$B14,"_",Data_3!T$11))=1,T$11,"")</f>
        <v/>
      </c>
      <c r="U14" s="1424" t="str">
        <f>IF(COUNTIF(Data!$H$16:$H$100,CONCATENATE(Data_3!$B14,"_",Data_3!U$11))=1,U$11,"")</f>
        <v/>
      </c>
      <c r="V14" s="1424" t="str">
        <f>IF(COUNTIF(Data!$H$16:$H$100,CONCATENATE(Data_3!$B14,"_",Data_3!V$11))=1,V$11,"")</f>
        <v/>
      </c>
      <c r="W14" s="1424" t="str">
        <f>IF(COUNTIF(Data!$H$16:$H$100,CONCATENATE(Data_3!$B14,"_",Data_3!W$11))=1,W$11,"")</f>
        <v/>
      </c>
      <c r="X14" s="1424" t="str">
        <f>IF(COUNTIF(Data!$H$16:$H$100,CONCATENATE(Data_3!$B14,"_",Data_3!X$11))=1,X$11,"")</f>
        <v/>
      </c>
      <c r="Y14" s="1424" t="str">
        <f>IF(COUNTIF(Data!$H$16:$H$100,CONCATENATE(Data_3!$B14,"_",Data_3!Y$11))=1,Y$11,"")</f>
        <v/>
      </c>
      <c r="Z14" s="15"/>
      <c r="AA14" s="15"/>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c r="BA14" s="15"/>
      <c r="BB14" s="15"/>
      <c r="BC14" s="15"/>
      <c r="BD14" s="15"/>
      <c r="BE14" s="15"/>
      <c r="BF14" s="15"/>
      <c r="BG14" s="15"/>
      <c r="BH14" s="15"/>
      <c r="BI14" s="15"/>
      <c r="BJ14" s="15"/>
      <c r="BK14" s="15"/>
      <c r="BL14" s="15"/>
      <c r="BM14" s="15"/>
      <c r="BN14" s="15"/>
      <c r="BO14" s="15"/>
      <c r="BP14" s="15"/>
      <c r="BQ14" s="15"/>
      <c r="BR14" s="15"/>
      <c r="BS14" s="15"/>
      <c r="BT14" s="15"/>
      <c r="BU14" s="15"/>
      <c r="BV14" s="15"/>
      <c r="BW14" s="15"/>
      <c r="BX14" s="15"/>
      <c r="BY14" s="15"/>
      <c r="BZ14" s="15"/>
      <c r="CA14" s="15"/>
      <c r="CB14" s="15"/>
      <c r="CC14" s="15"/>
      <c r="CD14" s="15"/>
      <c r="CE14" s="15"/>
      <c r="CF14" s="15"/>
      <c r="CG14" s="15"/>
      <c r="CH14" s="15"/>
      <c r="CI14" s="15"/>
      <c r="CJ14" s="15"/>
      <c r="CK14" s="15"/>
      <c r="CL14" s="15"/>
      <c r="CM14" s="15"/>
      <c r="CN14" s="15"/>
      <c r="CO14" s="15"/>
      <c r="CP14" s="15"/>
      <c r="CQ14" s="15"/>
      <c r="CR14" s="15"/>
      <c r="CS14" s="15"/>
      <c r="CT14" s="15"/>
      <c r="CU14" s="15"/>
      <c r="CV14" s="15"/>
      <c r="CW14" s="15"/>
      <c r="CX14" s="15"/>
      <c r="CY14" s="15"/>
      <c r="CZ14" s="15"/>
      <c r="DA14" s="15"/>
      <c r="DB14" s="15"/>
      <c r="DC14" s="15"/>
      <c r="DD14" s="15"/>
      <c r="DE14" s="15"/>
      <c r="DF14" s="15"/>
      <c r="DG14" s="15"/>
      <c r="DH14" s="15"/>
      <c r="DI14" s="15"/>
      <c r="DJ14" s="15"/>
      <c r="DK14" s="15"/>
      <c r="DL14" s="15"/>
      <c r="DM14" s="15"/>
      <c r="DN14" s="15"/>
      <c r="DO14" s="15"/>
      <c r="DP14" s="15"/>
      <c r="DQ14" s="15"/>
      <c r="DR14" s="15"/>
      <c r="DS14" s="15"/>
      <c r="DT14" s="15"/>
      <c r="DU14" s="15"/>
      <c r="DV14" s="15"/>
      <c r="DW14" s="15"/>
      <c r="DX14" s="15"/>
      <c r="DY14" s="15"/>
      <c r="DZ14" s="15"/>
      <c r="EA14" s="15"/>
      <c r="EB14" s="15"/>
      <c r="EC14" s="15"/>
      <c r="ED14" s="15"/>
      <c r="EE14" s="15"/>
      <c r="EF14" s="15"/>
      <c r="EG14" s="15"/>
      <c r="EH14" s="15"/>
    </row>
    <row r="15" spans="1:138" s="1121" customFormat="1" ht="15" customHeight="1">
      <c r="A15" s="15"/>
      <c r="B15" s="1455" t="str">
        <f t="array" ref="B15">IFERROR(INDEX(Data!$B$16:$B$96,MATCH(0,COUNTIF($B$12:B14,Data!$B$16:$B$96),0)),"")</f>
        <v>Athens</v>
      </c>
      <c r="C15" s="1345">
        <v>3</v>
      </c>
      <c r="D15" s="1336" t="s">
        <v>182</v>
      </c>
      <c r="E15" s="1424" t="str">
        <f>IF(COUNTIF(Data!$H$16:$H$100,CONCATENATE(Data_3!$B15,"_",Data_3!E$11))=1,E$11,"")</f>
        <v/>
      </c>
      <c r="F15" s="1424" t="str">
        <f>IF(COUNTIF(Data!$H$16:$H$100,CONCATENATE(Data_3!$B15,"_",Data_3!F$11))=1,F$11,"")</f>
        <v/>
      </c>
      <c r="G15" s="1424" t="str">
        <f>IF(COUNTIF(Data!$H$16:$H$100,CONCATENATE(Data_3!$B15,"_",Data_3!G$11))=1,G$11,"")</f>
        <v/>
      </c>
      <c r="H15" s="1424" t="str">
        <f>IF(COUNTIF(Data!$H$16:$H$100,CONCATENATE(Data_3!$B15,"_",Data_3!H$11))=1,H$11,"")</f>
        <v/>
      </c>
      <c r="I15" s="1424" t="str">
        <f>IF(COUNTIF(Data!$H$16:$H$100,CONCATENATE(Data_3!$B15,"_",Data_3!I$11))=1,I$11,"")</f>
        <v/>
      </c>
      <c r="J15" s="1424" t="str">
        <f>IF(COUNTIF(Data!$H$16:$H$100,CONCATENATE(Data_3!$B15,"_",Data_3!J$11))=1,J$11,"")</f>
        <v/>
      </c>
      <c r="K15" s="1424" t="str">
        <f>IF(COUNTIF(Data!$H$16:$H$100,CONCATENATE(Data_3!$B15,"_",Data_3!K$11))=1,K$11,"")</f>
        <v/>
      </c>
      <c r="L15" s="1424" t="str">
        <f>IF(COUNTIF(Data!$H$16:$H$100,CONCATENATE(Data_3!$B15,"_",Data_3!L$11))=1,L$11,"")</f>
        <v/>
      </c>
      <c r="M15" s="1424" t="str">
        <f>IF(COUNTIF(Data!$H$16:$H$100,CONCATENATE(Data_3!$B15,"_",Data_3!M$11))=1,M$11,"")</f>
        <v/>
      </c>
      <c r="N15" s="1424" t="str">
        <f>IF(COUNTIF(Data!$H$16:$H$100,CONCATENATE(Data_3!$B15,"_",Data_3!N$11))=1,N$11,"")</f>
        <v/>
      </c>
      <c r="O15" s="1424" t="str">
        <f>IF(COUNTIF(Data!$H$16:$H$100,CONCATENATE(Data_3!$B15,"_",Data_3!O$11))=1,O$11,"")</f>
        <v/>
      </c>
      <c r="P15" s="1424" t="str">
        <f>IF(COUNTIF(Data!$H$16:$H$100,CONCATENATE(Data_3!$B15,"_",Data_3!P$11))=1,P$11,"")</f>
        <v/>
      </c>
      <c r="Q15" s="1424" t="str">
        <f>IF(COUNTIF(Data!$H$16:$H$100,CONCATENATE(Data_3!$B15,"_",Data_3!Q$11))=1,Q$11,"")</f>
        <v/>
      </c>
      <c r="R15" s="1424" t="str">
        <f>IF(COUNTIF(Data!$H$16:$H$100,CONCATENATE(Data_3!$B15,"_",Data_3!R$11))=1,R$11,"")</f>
        <v/>
      </c>
      <c r="S15" s="1424">
        <f>IF(COUNTIF(Data!$H$16:$H$100,CONCATENATE(Data_3!$B15,"_",Data_3!S$11))=1,S$11,"")</f>
        <v>2014</v>
      </c>
      <c r="T15" s="1424" t="str">
        <f>IF(COUNTIF(Data!$H$16:$H$100,CONCATENATE(Data_3!$B15,"_",Data_3!T$11))=1,T$11,"")</f>
        <v/>
      </c>
      <c r="U15" s="1424" t="str">
        <f>IF(COUNTIF(Data!$H$16:$H$100,CONCATENATE(Data_3!$B15,"_",Data_3!U$11))=1,U$11,"")</f>
        <v/>
      </c>
      <c r="V15" s="1424" t="str">
        <f>IF(COUNTIF(Data!$H$16:$H$100,CONCATENATE(Data_3!$B15,"_",Data_3!V$11))=1,V$11,"")</f>
        <v/>
      </c>
      <c r="W15" s="1424" t="str">
        <f>IF(COUNTIF(Data!$H$16:$H$100,CONCATENATE(Data_3!$B15,"_",Data_3!W$11))=1,W$11,"")</f>
        <v/>
      </c>
      <c r="X15" s="1424" t="str">
        <f>IF(COUNTIF(Data!$H$16:$H$100,CONCATENATE(Data_3!$B15,"_",Data_3!X$11))=1,X$11,"")</f>
        <v/>
      </c>
      <c r="Y15" s="1424" t="str">
        <f>IF(COUNTIF(Data!$H$16:$H$100,CONCATENATE(Data_3!$B15,"_",Data_3!Y$11))=1,Y$11,"")</f>
        <v/>
      </c>
      <c r="Z15" s="15"/>
      <c r="AA15" s="15"/>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c r="BA15" s="15"/>
      <c r="BB15" s="15"/>
      <c r="BC15" s="15"/>
      <c r="BD15" s="15"/>
      <c r="BE15" s="15"/>
      <c r="BF15" s="15"/>
      <c r="BG15" s="15"/>
      <c r="BH15" s="15"/>
      <c r="BI15" s="15"/>
      <c r="BJ15" s="15"/>
      <c r="BK15" s="15"/>
      <c r="BL15" s="15"/>
      <c r="BM15" s="15"/>
      <c r="BN15" s="15"/>
      <c r="BO15" s="15"/>
      <c r="BP15" s="15"/>
      <c r="BQ15" s="15"/>
      <c r="BR15" s="15"/>
      <c r="BS15" s="15"/>
      <c r="BT15" s="15"/>
      <c r="BU15" s="15"/>
      <c r="BV15" s="15"/>
      <c r="BW15" s="15"/>
      <c r="BX15" s="15"/>
      <c r="BY15" s="15"/>
      <c r="BZ15" s="15"/>
      <c r="CA15" s="15"/>
      <c r="CB15" s="15"/>
      <c r="CC15" s="15"/>
      <c r="CD15" s="15"/>
      <c r="CE15" s="15"/>
      <c r="CF15" s="15"/>
      <c r="CG15" s="15"/>
      <c r="CH15" s="15"/>
      <c r="CI15" s="15"/>
      <c r="CJ15" s="15"/>
      <c r="CK15" s="15"/>
      <c r="CL15" s="15"/>
      <c r="CM15" s="15"/>
      <c r="CN15" s="15"/>
      <c r="CO15" s="15"/>
      <c r="CP15" s="15"/>
      <c r="CQ15" s="15"/>
      <c r="CR15" s="15"/>
      <c r="CS15" s="15"/>
      <c r="CT15" s="15"/>
      <c r="CU15" s="15"/>
      <c r="CV15" s="15"/>
      <c r="CW15" s="15"/>
      <c r="CX15" s="15"/>
      <c r="CY15" s="15"/>
      <c r="CZ15" s="15"/>
      <c r="DA15" s="15"/>
      <c r="DB15" s="15"/>
      <c r="DC15" s="15"/>
      <c r="DD15" s="15"/>
      <c r="DE15" s="15"/>
      <c r="DF15" s="15"/>
      <c r="DG15" s="15"/>
      <c r="DH15" s="15"/>
      <c r="DI15" s="15"/>
      <c r="DJ15" s="15"/>
      <c r="DK15" s="15"/>
      <c r="DL15" s="15"/>
      <c r="DM15" s="15"/>
      <c r="DN15" s="15"/>
      <c r="DO15" s="15"/>
      <c r="DP15" s="15"/>
      <c r="DQ15" s="15"/>
      <c r="DR15" s="15"/>
      <c r="DS15" s="15"/>
      <c r="DT15" s="15"/>
      <c r="DU15" s="15"/>
      <c r="DV15" s="15"/>
      <c r="DW15" s="15"/>
      <c r="DX15" s="15"/>
      <c r="DY15" s="15"/>
      <c r="DZ15" s="15"/>
      <c r="EA15" s="15"/>
      <c r="EB15" s="15"/>
      <c r="EC15" s="15"/>
      <c r="ED15" s="15"/>
      <c r="EE15" s="15"/>
      <c r="EF15" s="15"/>
      <c r="EG15" s="15"/>
      <c r="EH15" s="15"/>
    </row>
    <row r="16" spans="1:138" s="1121" customFormat="1" ht="15" customHeight="1">
      <c r="A16" s="15"/>
      <c r="B16" s="1455" t="str">
        <f t="array" ref="B16">IFERROR(INDEX(Data!$B$16:$B$96,MATCH(0,COUNTIF($B$12:B15,Data!$B$16:$B$96),0)),"")</f>
        <v>Bogota</v>
      </c>
      <c r="C16" s="1345">
        <v>4</v>
      </c>
      <c r="D16" s="1336" t="s">
        <v>182</v>
      </c>
      <c r="E16" s="1424" t="str">
        <f>IF(COUNTIF(Data!$H$16:$H$100,CONCATENATE(Data_3!$B16,"_",Data_3!E$11))=1,E$11,"")</f>
        <v/>
      </c>
      <c r="F16" s="1424" t="str">
        <f>IF(COUNTIF(Data!$H$16:$H$100,CONCATENATE(Data_3!$B16,"_",Data_3!F$11))=1,F$11,"")</f>
        <v/>
      </c>
      <c r="G16" s="1424" t="str">
        <f>IF(COUNTIF(Data!$H$16:$H$100,CONCATENATE(Data_3!$B16,"_",Data_3!G$11))=1,G$11,"")</f>
        <v/>
      </c>
      <c r="H16" s="1424" t="str">
        <f>IF(COUNTIF(Data!$H$16:$H$100,CONCATENATE(Data_3!$B16,"_",Data_3!H$11))=1,H$11,"")</f>
        <v/>
      </c>
      <c r="I16" s="1424" t="str">
        <f>IF(COUNTIF(Data!$H$16:$H$100,CONCATENATE(Data_3!$B16,"_",Data_3!I$11))=1,I$11,"")</f>
        <v/>
      </c>
      <c r="J16" s="1424" t="str">
        <f>IF(COUNTIF(Data!$H$16:$H$100,CONCATENATE(Data_3!$B16,"_",Data_3!J$11))=1,J$11,"")</f>
        <v/>
      </c>
      <c r="K16" s="1424" t="str">
        <f>IF(COUNTIF(Data!$H$16:$H$100,CONCATENATE(Data_3!$B16,"_",Data_3!K$11))=1,K$11,"")</f>
        <v/>
      </c>
      <c r="L16" s="1424" t="str">
        <f>IF(COUNTIF(Data!$H$16:$H$100,CONCATENATE(Data_3!$B16,"_",Data_3!L$11))=1,L$11,"")</f>
        <v/>
      </c>
      <c r="M16" s="1424" t="str">
        <f>IF(COUNTIF(Data!$H$16:$H$100,CONCATENATE(Data_3!$B16,"_",Data_3!M$11))=1,M$11,"")</f>
        <v/>
      </c>
      <c r="N16" s="1424" t="str">
        <f>IF(COUNTIF(Data!$H$16:$H$100,CONCATENATE(Data_3!$B16,"_",Data_3!N$11))=1,N$11,"")</f>
        <v/>
      </c>
      <c r="O16" s="1424" t="str">
        <f>IF(COUNTIF(Data!$H$16:$H$100,CONCATENATE(Data_3!$B16,"_",Data_3!O$11))=1,O$11,"")</f>
        <v/>
      </c>
      <c r="P16" s="1424" t="str">
        <f>IF(COUNTIF(Data!$H$16:$H$100,CONCATENATE(Data_3!$B16,"_",Data_3!P$11))=1,P$11,"")</f>
        <v/>
      </c>
      <c r="Q16" s="1424">
        <f>IF(COUNTIF(Data!$H$16:$H$100,CONCATENATE(Data_3!$B16,"_",Data_3!Q$11))=1,Q$11,"")</f>
        <v>2012</v>
      </c>
      <c r="R16" s="1424" t="str">
        <f>IF(COUNTIF(Data!$H$16:$H$100,CONCATENATE(Data_3!$B16,"_",Data_3!R$11))=1,R$11,"")</f>
        <v/>
      </c>
      <c r="S16" s="1424" t="str">
        <f>IF(COUNTIF(Data!$H$16:$H$100,CONCATENATE(Data_3!$B16,"_",Data_3!S$11))=1,S$11,"")</f>
        <v/>
      </c>
      <c r="T16" s="1424" t="str">
        <f>IF(COUNTIF(Data!$H$16:$H$100,CONCATENATE(Data_3!$B16,"_",Data_3!T$11))=1,T$11,"")</f>
        <v/>
      </c>
      <c r="U16" s="1424" t="str">
        <f>IF(COUNTIF(Data!$H$16:$H$100,CONCATENATE(Data_3!$B16,"_",Data_3!U$11))=1,U$11,"")</f>
        <v/>
      </c>
      <c r="V16" s="1424" t="str">
        <f>IF(COUNTIF(Data!$H$16:$H$100,CONCATENATE(Data_3!$B16,"_",Data_3!V$11))=1,V$11,"")</f>
        <v/>
      </c>
      <c r="W16" s="1424" t="str">
        <f>IF(COUNTIF(Data!$H$16:$H$100,CONCATENATE(Data_3!$B16,"_",Data_3!W$11))=1,W$11,"")</f>
        <v/>
      </c>
      <c r="X16" s="1424" t="str">
        <f>IF(COUNTIF(Data!$H$16:$H$100,CONCATENATE(Data_3!$B16,"_",Data_3!X$11))=1,X$11,"")</f>
        <v/>
      </c>
      <c r="Y16" s="1424" t="str">
        <f>IF(COUNTIF(Data!$H$16:$H$100,CONCATENATE(Data_3!$B16,"_",Data_3!Y$11))=1,Y$11,"")</f>
        <v/>
      </c>
      <c r="Z16" s="15"/>
      <c r="AA16" s="15"/>
      <c r="AB16" s="15"/>
      <c r="AC16" s="15"/>
      <c r="AD16" s="15"/>
      <c r="AE16" s="15"/>
      <c r="AF16" s="15"/>
      <c r="AG16" s="15"/>
      <c r="AH16" s="15"/>
      <c r="AI16" s="15"/>
      <c r="AJ16" s="15"/>
      <c r="AK16" s="15"/>
      <c r="AL16" s="15"/>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c r="BO16" s="15"/>
      <c r="BP16" s="15"/>
      <c r="BQ16" s="15"/>
      <c r="BR16" s="15"/>
      <c r="BS16" s="15"/>
      <c r="BT16" s="15"/>
      <c r="BU16" s="15"/>
      <c r="BV16" s="15"/>
      <c r="BW16" s="15"/>
      <c r="BX16" s="15"/>
      <c r="BY16" s="15"/>
      <c r="BZ16" s="15"/>
      <c r="CA16" s="15"/>
      <c r="CB16" s="15"/>
      <c r="CC16" s="15"/>
      <c r="CD16" s="15"/>
      <c r="CE16" s="15"/>
      <c r="CF16" s="15"/>
      <c r="CG16" s="15"/>
      <c r="CH16" s="15"/>
      <c r="CI16" s="15"/>
      <c r="CJ16" s="15"/>
      <c r="CK16" s="15"/>
      <c r="CL16" s="15"/>
      <c r="CM16" s="15"/>
      <c r="CN16" s="15"/>
      <c r="CO16" s="15"/>
      <c r="CP16" s="15"/>
      <c r="CQ16" s="15"/>
      <c r="CR16" s="15"/>
      <c r="CS16" s="15"/>
      <c r="CT16" s="15"/>
      <c r="CU16" s="15"/>
      <c r="CV16" s="15"/>
      <c r="CW16" s="15"/>
      <c r="CX16" s="15"/>
      <c r="CY16" s="15"/>
      <c r="CZ16" s="15"/>
      <c r="DA16" s="15"/>
      <c r="DB16" s="15"/>
      <c r="DC16" s="15"/>
      <c r="DD16" s="15"/>
      <c r="DE16" s="15"/>
      <c r="DF16" s="15"/>
      <c r="DG16" s="15"/>
      <c r="DH16" s="15"/>
      <c r="DI16" s="15"/>
      <c r="DJ16" s="15"/>
      <c r="DK16" s="15"/>
      <c r="DL16" s="15"/>
      <c r="DM16" s="15"/>
      <c r="DN16" s="15"/>
      <c r="DO16" s="15"/>
      <c r="DP16" s="15"/>
      <c r="DQ16" s="15"/>
      <c r="DR16" s="15"/>
      <c r="DS16" s="15"/>
      <c r="DT16" s="15"/>
      <c r="DU16" s="15"/>
      <c r="DV16" s="15"/>
      <c r="DW16" s="15"/>
      <c r="DX16" s="15"/>
      <c r="DY16" s="15"/>
      <c r="DZ16" s="15"/>
      <c r="EA16" s="15"/>
      <c r="EB16" s="15"/>
      <c r="EC16" s="15"/>
      <c r="ED16" s="15"/>
      <c r="EE16" s="15"/>
      <c r="EF16" s="15"/>
      <c r="EG16" s="15"/>
      <c r="EH16" s="15"/>
    </row>
    <row r="17" spans="1:138" s="1121" customFormat="1" ht="15" customHeight="1">
      <c r="A17" s="15"/>
      <c r="B17" s="1455" t="str">
        <f t="array" ref="B17">IFERROR(INDEX(Data!$B$16:$B$96,MATCH(0,COUNTIF($B$12:B16,Data!$B$16:$B$96),0)),"")</f>
        <v>Boston</v>
      </c>
      <c r="C17" s="1345">
        <v>5</v>
      </c>
      <c r="D17" s="1336" t="s">
        <v>182</v>
      </c>
      <c r="E17" s="1424" t="str">
        <f>IF(COUNTIF(Data!$H$16:$H$100,CONCATENATE(Data_3!$B17,"_",Data_3!E$11))=1,E$11,"")</f>
        <v/>
      </c>
      <c r="F17" s="1424" t="str">
        <f>IF(COUNTIF(Data!$H$16:$H$100,CONCATENATE(Data_3!$B17,"_",Data_3!F$11))=1,F$11,"")</f>
        <v/>
      </c>
      <c r="G17" s="1424" t="str">
        <f>IF(COUNTIF(Data!$H$16:$H$100,CONCATENATE(Data_3!$B17,"_",Data_3!G$11))=1,G$11,"")</f>
        <v/>
      </c>
      <c r="H17" s="1424" t="str">
        <f>IF(COUNTIF(Data!$H$16:$H$100,CONCATENATE(Data_3!$B17,"_",Data_3!H$11))=1,H$11,"")</f>
        <v/>
      </c>
      <c r="I17" s="1424" t="str">
        <f>IF(COUNTIF(Data!$H$16:$H$100,CONCATENATE(Data_3!$B17,"_",Data_3!I$11))=1,I$11,"")</f>
        <v/>
      </c>
      <c r="J17" s="1424" t="str">
        <f>IF(COUNTIF(Data!$H$16:$H$100,CONCATENATE(Data_3!$B17,"_",Data_3!J$11))=1,J$11,"")</f>
        <v/>
      </c>
      <c r="K17" s="1424" t="str">
        <f>IF(COUNTIF(Data!$H$16:$H$100,CONCATENATE(Data_3!$B17,"_",Data_3!K$11))=1,K$11,"")</f>
        <v/>
      </c>
      <c r="L17" s="1424" t="str">
        <f>IF(COUNTIF(Data!$H$16:$H$100,CONCATENATE(Data_3!$B17,"_",Data_3!L$11))=1,L$11,"")</f>
        <v/>
      </c>
      <c r="M17" s="1424" t="str">
        <f>IF(COUNTIF(Data!$H$16:$H$100,CONCATENATE(Data_3!$B17,"_",Data_3!M$11))=1,M$11,"")</f>
        <v/>
      </c>
      <c r="N17" s="1424" t="str">
        <f>IF(COUNTIF(Data!$H$16:$H$100,CONCATENATE(Data_3!$B17,"_",Data_3!N$11))=1,N$11,"")</f>
        <v/>
      </c>
      <c r="O17" s="1424" t="str">
        <f>IF(COUNTIF(Data!$H$16:$H$100,CONCATENATE(Data_3!$B17,"_",Data_3!O$11))=1,O$11,"")</f>
        <v/>
      </c>
      <c r="P17" s="1424" t="str">
        <f>IF(COUNTIF(Data!$H$16:$H$100,CONCATENATE(Data_3!$B17,"_",Data_3!P$11))=1,P$11,"")</f>
        <v/>
      </c>
      <c r="Q17" s="1424" t="str">
        <f>IF(COUNTIF(Data!$H$16:$H$100,CONCATENATE(Data_3!$B17,"_",Data_3!Q$11))=1,Q$11,"")</f>
        <v/>
      </c>
      <c r="R17" s="1424">
        <f>IF(COUNTIF(Data!$H$16:$H$100,CONCATENATE(Data_3!$B17,"_",Data_3!R$11))=1,R$11,"")</f>
        <v>2013</v>
      </c>
      <c r="S17" s="1424" t="str">
        <f>IF(COUNTIF(Data!$H$16:$H$100,CONCATENATE(Data_3!$B17,"_",Data_3!S$11))=1,S$11,"")</f>
        <v/>
      </c>
      <c r="T17" s="1424" t="str">
        <f>IF(COUNTIF(Data!$H$16:$H$100,CONCATENATE(Data_3!$B17,"_",Data_3!T$11))=1,T$11,"")</f>
        <v/>
      </c>
      <c r="U17" s="1424" t="str">
        <f>IF(COUNTIF(Data!$H$16:$H$100,CONCATENATE(Data_3!$B17,"_",Data_3!U$11))=1,U$11,"")</f>
        <v/>
      </c>
      <c r="V17" s="1424" t="str">
        <f>IF(COUNTIF(Data!$H$16:$H$100,CONCATENATE(Data_3!$B17,"_",Data_3!V$11))=1,V$11,"")</f>
        <v/>
      </c>
      <c r="W17" s="1424" t="str">
        <f>IF(COUNTIF(Data!$H$16:$H$100,CONCATENATE(Data_3!$B17,"_",Data_3!W$11))=1,W$11,"")</f>
        <v/>
      </c>
      <c r="X17" s="1424" t="str">
        <f>IF(COUNTIF(Data!$H$16:$H$100,CONCATENATE(Data_3!$B17,"_",Data_3!X$11))=1,X$11,"")</f>
        <v/>
      </c>
      <c r="Y17" s="1424" t="str">
        <f>IF(COUNTIF(Data!$H$16:$H$100,CONCATENATE(Data_3!$B17,"_",Data_3!Y$11))=1,Y$11,"")</f>
        <v/>
      </c>
      <c r="Z17" s="15"/>
      <c r="AA17" s="15"/>
      <c r="AB17" s="15"/>
      <c r="AC17" s="15"/>
      <c r="AD17" s="15"/>
      <c r="AE17" s="15"/>
      <c r="AF17" s="15"/>
      <c r="AG17" s="15"/>
      <c r="AH17" s="15"/>
      <c r="AI17" s="15"/>
      <c r="AJ17" s="15"/>
      <c r="AK17" s="15"/>
      <c r="AL17" s="15"/>
      <c r="AM17" s="15"/>
      <c r="AN17" s="15"/>
      <c r="AO17" s="15"/>
      <c r="AP17" s="15"/>
      <c r="AQ17" s="15"/>
      <c r="AR17" s="15"/>
      <c r="AS17" s="15"/>
      <c r="AT17" s="15"/>
      <c r="AU17" s="15"/>
      <c r="AV17" s="15"/>
      <c r="AW17" s="15"/>
      <c r="AX17" s="15"/>
      <c r="AY17" s="15"/>
      <c r="AZ17" s="15"/>
      <c r="BA17" s="15"/>
      <c r="BB17" s="15"/>
      <c r="BC17" s="15"/>
      <c r="BD17" s="15"/>
      <c r="BE17" s="15"/>
      <c r="BF17" s="15"/>
      <c r="BG17" s="15"/>
      <c r="BH17" s="15"/>
      <c r="BI17" s="15"/>
      <c r="BJ17" s="15"/>
      <c r="BK17" s="15"/>
      <c r="BL17" s="15"/>
      <c r="BM17" s="15"/>
      <c r="BN17" s="15"/>
      <c r="BO17" s="15"/>
      <c r="BP17" s="15"/>
      <c r="BQ17" s="15"/>
      <c r="BR17" s="15"/>
      <c r="BS17" s="15"/>
      <c r="BT17" s="15"/>
      <c r="BU17" s="15"/>
      <c r="BV17" s="15"/>
      <c r="BW17" s="15"/>
      <c r="BX17" s="15"/>
      <c r="BY17" s="15"/>
      <c r="BZ17" s="15"/>
      <c r="CA17" s="15"/>
      <c r="CB17" s="15"/>
      <c r="CC17" s="15"/>
      <c r="CD17" s="15"/>
      <c r="CE17" s="15"/>
      <c r="CF17" s="15"/>
      <c r="CG17" s="15"/>
      <c r="CH17" s="15"/>
      <c r="CI17" s="15"/>
      <c r="CJ17" s="15"/>
      <c r="CK17" s="15"/>
      <c r="CL17" s="15"/>
      <c r="CM17" s="15"/>
      <c r="CN17" s="15"/>
      <c r="CO17" s="15"/>
      <c r="CP17" s="15"/>
      <c r="CQ17" s="15"/>
      <c r="CR17" s="15"/>
      <c r="CS17" s="15"/>
      <c r="CT17" s="15"/>
      <c r="CU17" s="15"/>
      <c r="CV17" s="15"/>
      <c r="CW17" s="15"/>
      <c r="CX17" s="15"/>
      <c r="CY17" s="15"/>
      <c r="CZ17" s="15"/>
      <c r="DA17" s="15"/>
      <c r="DB17" s="15"/>
      <c r="DC17" s="15"/>
      <c r="DD17" s="15"/>
      <c r="DE17" s="15"/>
      <c r="DF17" s="15"/>
      <c r="DG17" s="15"/>
      <c r="DH17" s="15"/>
      <c r="DI17" s="15"/>
      <c r="DJ17" s="15"/>
      <c r="DK17" s="15"/>
      <c r="DL17" s="15"/>
      <c r="DM17" s="15"/>
      <c r="DN17" s="15"/>
      <c r="DO17" s="15"/>
      <c r="DP17" s="15"/>
      <c r="DQ17" s="15"/>
      <c r="DR17" s="15"/>
      <c r="DS17" s="15"/>
      <c r="DT17" s="15"/>
      <c r="DU17" s="15"/>
      <c r="DV17" s="15"/>
      <c r="DW17" s="15"/>
      <c r="DX17" s="15"/>
      <c r="DY17" s="15"/>
      <c r="DZ17" s="15"/>
      <c r="EA17" s="15"/>
      <c r="EB17" s="15"/>
      <c r="EC17" s="15"/>
      <c r="ED17" s="15"/>
      <c r="EE17" s="15"/>
      <c r="EF17" s="15"/>
      <c r="EG17" s="15"/>
      <c r="EH17" s="15"/>
    </row>
    <row r="18" spans="1:138" s="34" customFormat="1" ht="15" customHeight="1">
      <c r="A18" s="642"/>
      <c r="B18" s="1455" t="str">
        <f t="array" ref="B18">IFERROR(INDEX(Data!$B$16:$B$96,MATCH(0,COUNTIF($B$12:B17,Data!$B$16:$B$96),0)),"")</f>
        <v>Buenos Aires</v>
      </c>
      <c r="C18" s="1345">
        <v>6</v>
      </c>
      <c r="D18" s="1336" t="s">
        <v>182</v>
      </c>
      <c r="E18" s="1424">
        <f>IF(COUNTIF(Data!$H$16:$H$100,CONCATENATE(Data_3!$B18,"_",Data_3!E$11))=1,E$11,"")</f>
        <v>2000</v>
      </c>
      <c r="F18" s="1424">
        <f>IF(COUNTIF(Data!$H$16:$H$100,CONCATENATE(Data_3!$B18,"_",Data_3!F$11))=1,F$11,"")</f>
        <v>2001</v>
      </c>
      <c r="G18" s="1424">
        <f>IF(COUNTIF(Data!$H$16:$H$100,CONCATENATE(Data_3!$B18,"_",Data_3!G$11))=1,G$11,"")</f>
        <v>2002</v>
      </c>
      <c r="H18" s="1424">
        <f>IF(COUNTIF(Data!$H$16:$H$100,CONCATENATE(Data_3!$B18,"_",Data_3!H$11))=1,H$11,"")</f>
        <v>2003</v>
      </c>
      <c r="I18" s="1424">
        <f>IF(COUNTIF(Data!$H$16:$H$100,CONCATENATE(Data_3!$B18,"_",Data_3!I$11))=1,I$11,"")</f>
        <v>2004</v>
      </c>
      <c r="J18" s="1424">
        <f>IF(COUNTIF(Data!$H$16:$H$100,CONCATENATE(Data_3!$B18,"_",Data_3!J$11))=1,J$11,"")</f>
        <v>2005</v>
      </c>
      <c r="K18" s="1424">
        <f>IF(COUNTIF(Data!$H$16:$H$100,CONCATENATE(Data_3!$B18,"_",Data_3!K$11))=1,K$11,"")</f>
        <v>2006</v>
      </c>
      <c r="L18" s="1424">
        <f>IF(COUNTIF(Data!$H$16:$H$100,CONCATENATE(Data_3!$B18,"_",Data_3!L$11))=1,L$11,"")</f>
        <v>2007</v>
      </c>
      <c r="M18" s="1424">
        <f>IF(COUNTIF(Data!$H$16:$H$100,CONCATENATE(Data_3!$B18,"_",Data_3!M$11))=1,M$11,"")</f>
        <v>2008</v>
      </c>
      <c r="N18" s="1424">
        <f>IF(COUNTIF(Data!$H$16:$H$100,CONCATENATE(Data_3!$B18,"_",Data_3!N$11))=1,N$11,"")</f>
        <v>2009</v>
      </c>
      <c r="O18" s="1424">
        <f>IF(COUNTIF(Data!$H$16:$H$100,CONCATENATE(Data_3!$B18,"_",Data_3!O$11))=1,O$11,"")</f>
        <v>2010</v>
      </c>
      <c r="P18" s="1424">
        <f>IF(COUNTIF(Data!$H$16:$H$100,CONCATENATE(Data_3!$B18,"_",Data_3!P$11))=1,P$11,"")</f>
        <v>2011</v>
      </c>
      <c r="Q18" s="1424">
        <f>IF(COUNTIF(Data!$H$16:$H$100,CONCATENATE(Data_3!$B18,"_",Data_3!Q$11))=1,Q$11,"")</f>
        <v>2012</v>
      </c>
      <c r="R18" s="1424">
        <f>IF(COUNTIF(Data!$H$16:$H$100,CONCATENATE(Data_3!$B18,"_",Data_3!R$11))=1,R$11,"")</f>
        <v>2013</v>
      </c>
      <c r="S18" s="1424">
        <f>IF(COUNTIF(Data!$H$16:$H$100,CONCATENATE(Data_3!$B18,"_",Data_3!S$11))=1,S$11,"")</f>
        <v>2014</v>
      </c>
      <c r="T18" s="1424" t="str">
        <f>IF(COUNTIF(Data!$H$16:$H$100,CONCATENATE(Data_3!$B18,"_",Data_3!T$11))=1,T$11,"")</f>
        <v/>
      </c>
      <c r="U18" s="1424" t="str">
        <f>IF(COUNTIF(Data!$H$16:$H$100,CONCATENATE(Data_3!$B18,"_",Data_3!U$11))=1,U$11,"")</f>
        <v/>
      </c>
      <c r="V18" s="1424" t="str">
        <f>IF(COUNTIF(Data!$H$16:$H$100,CONCATENATE(Data_3!$B18,"_",Data_3!V$11))=1,V$11,"")</f>
        <v/>
      </c>
      <c r="W18" s="1424" t="str">
        <f>IF(COUNTIF(Data!$H$16:$H$100,CONCATENATE(Data_3!$B18,"_",Data_3!W$11))=1,W$11,"")</f>
        <v/>
      </c>
      <c r="X18" s="1424" t="str">
        <f>IF(COUNTIF(Data!$H$16:$H$100,CONCATENATE(Data_3!$B18,"_",Data_3!X$11))=1,X$11,"")</f>
        <v/>
      </c>
      <c r="Y18" s="1424" t="str">
        <f>IF(COUNTIF(Data!$H$16:$H$100,CONCATENATE(Data_3!$B18,"_",Data_3!Y$11))=1,Y$11,"")</f>
        <v/>
      </c>
      <c r="Z18" s="15"/>
      <c r="AA18" s="15"/>
      <c r="AB18" s="15"/>
      <c r="AC18" s="15"/>
      <c r="AD18" s="15"/>
      <c r="AE18" s="15"/>
      <c r="AF18" s="15"/>
      <c r="AG18" s="15"/>
      <c r="AH18" s="15"/>
      <c r="AI18" s="15"/>
      <c r="AJ18" s="15"/>
      <c r="AK18" s="15"/>
      <c r="AL18" s="15"/>
      <c r="AM18" s="15"/>
      <c r="AN18" s="15"/>
      <c r="AO18" s="15"/>
      <c r="AP18" s="15"/>
      <c r="AQ18" s="15"/>
      <c r="AR18" s="15"/>
      <c r="AS18" s="15"/>
      <c r="AT18" s="15"/>
      <c r="AU18" s="15"/>
      <c r="AV18" s="15"/>
      <c r="AW18" s="15"/>
      <c r="AX18" s="15"/>
      <c r="AY18" s="15"/>
      <c r="AZ18" s="15"/>
      <c r="BA18" s="15"/>
      <c r="BB18" s="15"/>
      <c r="BC18" s="15"/>
      <c r="BD18" s="15"/>
      <c r="BE18" s="15"/>
      <c r="BF18" s="15"/>
      <c r="BG18" s="15"/>
      <c r="BH18" s="15"/>
      <c r="BI18" s="15"/>
      <c r="BJ18" s="15"/>
      <c r="BK18" s="15"/>
      <c r="BL18" s="15"/>
      <c r="BM18" s="15"/>
      <c r="BN18" s="15"/>
      <c r="BO18" s="15"/>
      <c r="BP18" s="15"/>
      <c r="BQ18" s="15"/>
      <c r="BR18" s="15"/>
      <c r="BS18" s="15"/>
      <c r="BT18" s="15"/>
      <c r="BU18" s="15"/>
      <c r="BV18" s="15"/>
      <c r="BW18" s="15"/>
      <c r="BX18" s="15"/>
      <c r="BY18" s="15"/>
      <c r="BZ18" s="15"/>
      <c r="CA18" s="15"/>
      <c r="CB18" s="15"/>
      <c r="CC18" s="15"/>
      <c r="CD18" s="15"/>
      <c r="CE18" s="15"/>
      <c r="CF18" s="15"/>
      <c r="CG18" s="15"/>
      <c r="CH18" s="15"/>
      <c r="CI18" s="15"/>
      <c r="CJ18" s="15"/>
      <c r="CK18" s="15"/>
      <c r="CL18" s="15"/>
      <c r="CM18" s="15"/>
      <c r="CN18" s="15"/>
      <c r="CO18" s="15"/>
      <c r="CP18" s="15"/>
      <c r="CQ18" s="15"/>
      <c r="CR18" s="15"/>
      <c r="CS18" s="15"/>
      <c r="CT18" s="15"/>
      <c r="CU18" s="15"/>
      <c r="CV18" s="15"/>
      <c r="CW18" s="15"/>
      <c r="CX18" s="15"/>
      <c r="CY18" s="15"/>
      <c r="CZ18" s="15"/>
      <c r="DA18" s="15"/>
      <c r="DB18" s="15"/>
      <c r="DC18" s="15"/>
      <c r="DD18" s="15"/>
      <c r="DE18" s="15"/>
      <c r="DF18" s="15"/>
      <c r="DG18" s="15"/>
      <c r="DH18" s="15"/>
      <c r="DI18" s="15"/>
      <c r="DJ18" s="15"/>
      <c r="DK18" s="15"/>
      <c r="DL18" s="15"/>
      <c r="DM18" s="15"/>
      <c r="DN18" s="15"/>
      <c r="DO18" s="15"/>
      <c r="DP18" s="15"/>
      <c r="DQ18" s="15"/>
      <c r="DR18" s="15"/>
      <c r="DS18" s="15"/>
      <c r="DT18" s="15"/>
      <c r="DU18" s="15"/>
      <c r="DV18" s="15"/>
      <c r="DW18" s="15"/>
      <c r="DX18" s="15"/>
      <c r="DY18" s="15"/>
      <c r="DZ18" s="15"/>
      <c r="EA18" s="15"/>
      <c r="EB18" s="15"/>
      <c r="EC18" s="15"/>
      <c r="ED18" s="15"/>
      <c r="EE18" s="15"/>
      <c r="EF18" s="15"/>
      <c r="EG18" s="15"/>
      <c r="EH18" s="15"/>
    </row>
    <row r="19" spans="1:138" s="1121" customFormat="1" ht="15" customHeight="1">
      <c r="A19"/>
      <c r="B19" s="1455" t="str">
        <f t="array" ref="B19">IFERROR(INDEX(Data!$B$16:$B$96,MATCH(0,COUNTIF($B$12:B18,Data!$B$16:$B$96),0)),"")</f>
        <v>Cape Town</v>
      </c>
      <c r="C19" s="1345">
        <v>7</v>
      </c>
      <c r="D19" s="1336" t="s">
        <v>182</v>
      </c>
      <c r="E19" s="1424" t="str">
        <f>IF(COUNTIF(Data!$H$16:$H$100,CONCATENATE(Data_3!$B19,"_",Data_3!E$11))=1,E$11,"")</f>
        <v/>
      </c>
      <c r="F19" s="1424" t="str">
        <f>IF(COUNTIF(Data!$H$16:$H$100,CONCATENATE(Data_3!$B19,"_",Data_3!F$11))=1,F$11,"")</f>
        <v/>
      </c>
      <c r="G19" s="1424" t="str">
        <f>IF(COUNTIF(Data!$H$16:$H$100,CONCATENATE(Data_3!$B19,"_",Data_3!G$11))=1,G$11,"")</f>
        <v/>
      </c>
      <c r="H19" s="1424" t="str">
        <f>IF(COUNTIF(Data!$H$16:$H$100,CONCATENATE(Data_3!$B19,"_",Data_3!H$11))=1,H$11,"")</f>
        <v/>
      </c>
      <c r="I19" s="1424" t="str">
        <f>IF(COUNTIF(Data!$H$16:$H$100,CONCATENATE(Data_3!$B19,"_",Data_3!I$11))=1,I$11,"")</f>
        <v/>
      </c>
      <c r="J19" s="1424" t="str">
        <f>IF(COUNTIF(Data!$H$16:$H$100,CONCATENATE(Data_3!$B19,"_",Data_3!J$11))=1,J$11,"")</f>
        <v/>
      </c>
      <c r="K19" s="1424" t="str">
        <f>IF(COUNTIF(Data!$H$16:$H$100,CONCATENATE(Data_3!$B19,"_",Data_3!K$11))=1,K$11,"")</f>
        <v/>
      </c>
      <c r="L19" s="1424" t="str">
        <f>IF(COUNTIF(Data!$H$16:$H$100,CONCATENATE(Data_3!$B19,"_",Data_3!L$11))=1,L$11,"")</f>
        <v/>
      </c>
      <c r="M19" s="1424" t="str">
        <f>IF(COUNTIF(Data!$H$16:$H$100,CONCATENATE(Data_3!$B19,"_",Data_3!M$11))=1,M$11,"")</f>
        <v/>
      </c>
      <c r="N19" s="1424" t="str">
        <f>IF(COUNTIF(Data!$H$16:$H$100,CONCATENATE(Data_3!$B19,"_",Data_3!N$11))=1,N$11,"")</f>
        <v/>
      </c>
      <c r="O19" s="1424" t="str">
        <f>IF(COUNTIF(Data!$H$16:$H$100,CONCATENATE(Data_3!$B19,"_",Data_3!O$11))=1,O$11,"")</f>
        <v/>
      </c>
      <c r="P19" s="1424" t="str">
        <f>IF(COUNTIF(Data!$H$16:$H$100,CONCATENATE(Data_3!$B19,"_",Data_3!P$11))=1,P$11,"")</f>
        <v/>
      </c>
      <c r="Q19" s="1424">
        <f>IF(COUNTIF(Data!$H$16:$H$100,CONCATENATE(Data_3!$B19,"_",Data_3!Q$11))=1,Q$11,"")</f>
        <v>2012</v>
      </c>
      <c r="R19" s="1424" t="str">
        <f>IF(COUNTIF(Data!$H$16:$H$100,CONCATENATE(Data_3!$B19,"_",Data_3!R$11))=1,R$11,"")</f>
        <v/>
      </c>
      <c r="S19" s="1424" t="str">
        <f>IF(COUNTIF(Data!$H$16:$H$100,CONCATENATE(Data_3!$B19,"_",Data_3!S$11))=1,S$11,"")</f>
        <v/>
      </c>
      <c r="T19" s="1424" t="str">
        <f>IF(COUNTIF(Data!$H$16:$H$100,CONCATENATE(Data_3!$B19,"_",Data_3!T$11))=1,T$11,"")</f>
        <v/>
      </c>
      <c r="U19" s="1424" t="str">
        <f>IF(COUNTIF(Data!$H$16:$H$100,CONCATENATE(Data_3!$B19,"_",Data_3!U$11))=1,U$11,"")</f>
        <v/>
      </c>
      <c r="V19" s="1424" t="str">
        <f>IF(COUNTIF(Data!$H$16:$H$100,CONCATENATE(Data_3!$B19,"_",Data_3!V$11))=1,V$11,"")</f>
        <v/>
      </c>
      <c r="W19" s="1424" t="str">
        <f>IF(COUNTIF(Data!$H$16:$H$100,CONCATENATE(Data_3!$B19,"_",Data_3!W$11))=1,W$11,"")</f>
        <v/>
      </c>
      <c r="X19" s="1424" t="str">
        <f>IF(COUNTIF(Data!$H$16:$H$100,CONCATENATE(Data_3!$B19,"_",Data_3!X$11))=1,X$11,"")</f>
        <v/>
      </c>
      <c r="Y19" s="1424" t="str">
        <f>IF(COUNTIF(Data!$H$16:$H$100,CONCATENATE(Data_3!$B19,"_",Data_3!Y$11))=1,Y$11,"")</f>
        <v/>
      </c>
      <c r="Z19" s="15"/>
      <c r="AA19" s="15"/>
      <c r="AB19" s="15"/>
      <c r="AC19" s="15"/>
      <c r="AD19" s="15"/>
      <c r="AE19" s="15"/>
      <c r="AF19" s="15"/>
      <c r="AG19" s="15"/>
      <c r="AH19" s="15"/>
      <c r="AI19" s="15"/>
      <c r="AJ19" s="15"/>
      <c r="AK19" s="15"/>
      <c r="AL19" s="15"/>
      <c r="AM19" s="15"/>
      <c r="AN19" s="15"/>
      <c r="AO19" s="15"/>
      <c r="AP19" s="15"/>
      <c r="AQ19" s="15"/>
      <c r="AR19" s="15"/>
      <c r="AS19" s="15"/>
      <c r="AT19" s="15"/>
      <c r="AU19" s="15"/>
      <c r="AV19" s="15"/>
      <c r="AW19" s="15"/>
      <c r="AX19" s="15"/>
      <c r="AY19" s="15"/>
      <c r="AZ19" s="15"/>
      <c r="BA19" s="15"/>
      <c r="BB19" s="15"/>
      <c r="BC19" s="15"/>
      <c r="BD19" s="15"/>
      <c r="BE19" s="15"/>
      <c r="BF19" s="15"/>
      <c r="BG19" s="15"/>
      <c r="BH19" s="15"/>
      <c r="BI19" s="15"/>
      <c r="BJ19" s="15"/>
      <c r="BK19" s="15"/>
      <c r="BL19" s="15"/>
      <c r="BM19" s="15"/>
      <c r="BN19" s="15"/>
      <c r="BO19" s="15"/>
      <c r="BP19" s="15"/>
      <c r="BQ19" s="15"/>
      <c r="BR19" s="15"/>
      <c r="BS19" s="15"/>
      <c r="BT19" s="15"/>
      <c r="BU19" s="15"/>
      <c r="BV19" s="15"/>
      <c r="BW19" s="15"/>
      <c r="BX19" s="15"/>
      <c r="BY19" s="15"/>
      <c r="BZ19" s="15"/>
      <c r="CA19" s="15"/>
      <c r="CB19" s="15"/>
      <c r="CC19" s="15"/>
      <c r="CD19" s="15"/>
      <c r="CE19" s="15"/>
      <c r="CF19" s="15"/>
      <c r="CG19" s="15"/>
      <c r="CH19" s="15"/>
      <c r="CI19" s="15"/>
      <c r="CJ19" s="15"/>
      <c r="CK19" s="15"/>
      <c r="CL19" s="15"/>
      <c r="CM19" s="15"/>
      <c r="CN19" s="15"/>
      <c r="CO19" s="15"/>
      <c r="CP19" s="15"/>
      <c r="CQ19" s="15"/>
      <c r="CR19" s="15"/>
      <c r="CS19" s="15"/>
      <c r="CT19" s="15"/>
      <c r="CU19" s="15"/>
      <c r="CV19" s="15"/>
      <c r="CW19" s="15"/>
      <c r="CX19" s="15"/>
      <c r="CY19" s="15"/>
      <c r="CZ19" s="15"/>
      <c r="DA19" s="15"/>
      <c r="DB19" s="15"/>
      <c r="DC19" s="15"/>
      <c r="DD19" s="15"/>
      <c r="DE19" s="15"/>
      <c r="DF19" s="15"/>
      <c r="DG19" s="15"/>
      <c r="DH19" s="15"/>
      <c r="DI19" s="15"/>
      <c r="DJ19" s="15"/>
      <c r="DK19" s="15"/>
      <c r="DL19" s="15"/>
      <c r="DM19" s="15"/>
      <c r="DN19" s="15"/>
      <c r="DO19" s="15"/>
      <c r="DP19" s="15"/>
      <c r="DQ19" s="15"/>
      <c r="DR19" s="15"/>
      <c r="DS19" s="15"/>
      <c r="DT19" s="15"/>
      <c r="DU19" s="15"/>
      <c r="DV19" s="15"/>
      <c r="DW19" s="15"/>
      <c r="DX19" s="15"/>
      <c r="DY19" s="15"/>
      <c r="DZ19" s="15"/>
      <c r="EA19" s="15"/>
      <c r="EB19" s="15"/>
      <c r="EC19" s="15"/>
      <c r="ED19" s="15"/>
      <c r="EE19" s="15"/>
      <c r="EF19" s="15"/>
      <c r="EG19" s="15"/>
      <c r="EH19" s="15"/>
    </row>
    <row r="20" spans="1:138" s="34" customFormat="1" ht="15" customHeight="1">
      <c r="A20" s="642"/>
      <c r="B20" s="1455" t="str">
        <f t="array" ref="B20">IFERROR(INDEX(Data!$B$16:$B$96,MATCH(0,COUNTIF($B$12:B19,Data!$B$16:$B$96),0)),"")</f>
        <v>Chicago</v>
      </c>
      <c r="C20" s="1345">
        <v>8</v>
      </c>
      <c r="D20" s="1336" t="s">
        <v>182</v>
      </c>
      <c r="E20" s="1424" t="str">
        <f>IF(COUNTIF(Data!$H$16:$H$100,CONCATENATE(Data_3!$B20,"_",Data_3!E$11))=1,E$11,"")</f>
        <v/>
      </c>
      <c r="F20" s="1424" t="str">
        <f>IF(COUNTIF(Data!$H$16:$H$100,CONCATENATE(Data_3!$B20,"_",Data_3!F$11))=1,F$11,"")</f>
        <v/>
      </c>
      <c r="G20" s="1424" t="str">
        <f>IF(COUNTIF(Data!$H$16:$H$100,CONCATENATE(Data_3!$B20,"_",Data_3!G$11))=1,G$11,"")</f>
        <v/>
      </c>
      <c r="H20" s="1424" t="str">
        <f>IF(COUNTIF(Data!$H$16:$H$100,CONCATENATE(Data_3!$B20,"_",Data_3!H$11))=1,H$11,"")</f>
        <v/>
      </c>
      <c r="I20" s="1424" t="str">
        <f>IF(COUNTIF(Data!$H$16:$H$100,CONCATENATE(Data_3!$B20,"_",Data_3!I$11))=1,I$11,"")</f>
        <v/>
      </c>
      <c r="J20" s="1424" t="str">
        <f>IF(COUNTIF(Data!$H$16:$H$100,CONCATENATE(Data_3!$B20,"_",Data_3!J$11))=1,J$11,"")</f>
        <v/>
      </c>
      <c r="K20" s="1424" t="str">
        <f>IF(COUNTIF(Data!$H$16:$H$100,CONCATENATE(Data_3!$B20,"_",Data_3!K$11))=1,K$11,"")</f>
        <v/>
      </c>
      <c r="L20" s="1424" t="str">
        <f>IF(COUNTIF(Data!$H$16:$H$100,CONCATENATE(Data_3!$B20,"_",Data_3!L$11))=1,L$11,"")</f>
        <v/>
      </c>
      <c r="M20" s="1424" t="str">
        <f>IF(COUNTIF(Data!$H$16:$H$100,CONCATENATE(Data_3!$B20,"_",Data_3!M$11))=1,M$11,"")</f>
        <v/>
      </c>
      <c r="N20" s="1424" t="str">
        <f>IF(COUNTIF(Data!$H$16:$H$100,CONCATENATE(Data_3!$B20,"_",Data_3!N$11))=1,N$11,"")</f>
        <v/>
      </c>
      <c r="O20" s="1424">
        <f>IF(COUNTIF(Data!$H$16:$H$100,CONCATENATE(Data_3!$B20,"_",Data_3!O$11))=1,O$11,"")</f>
        <v>2010</v>
      </c>
      <c r="P20" s="1424" t="str">
        <f>IF(COUNTIF(Data!$H$16:$H$100,CONCATENATE(Data_3!$B20,"_",Data_3!P$11))=1,P$11,"")</f>
        <v/>
      </c>
      <c r="Q20" s="1424" t="str">
        <f>IF(COUNTIF(Data!$H$16:$H$100,CONCATENATE(Data_3!$B20,"_",Data_3!Q$11))=1,Q$11,"")</f>
        <v/>
      </c>
      <c r="R20" s="1424" t="str">
        <f>IF(COUNTIF(Data!$H$16:$H$100,CONCATENATE(Data_3!$B20,"_",Data_3!R$11))=1,R$11,"")</f>
        <v/>
      </c>
      <c r="S20" s="1424" t="str">
        <f>IF(COUNTIF(Data!$H$16:$H$100,CONCATENATE(Data_3!$B20,"_",Data_3!S$11))=1,S$11,"")</f>
        <v/>
      </c>
      <c r="T20" s="1424" t="str">
        <f>IF(COUNTIF(Data!$H$16:$H$100,CONCATENATE(Data_3!$B20,"_",Data_3!T$11))=1,T$11,"")</f>
        <v/>
      </c>
      <c r="U20" s="1424" t="str">
        <f>IF(COUNTIF(Data!$H$16:$H$100,CONCATENATE(Data_3!$B20,"_",Data_3!U$11))=1,U$11,"")</f>
        <v/>
      </c>
      <c r="V20" s="1424" t="str">
        <f>IF(COUNTIF(Data!$H$16:$H$100,CONCATENATE(Data_3!$B20,"_",Data_3!V$11))=1,V$11,"")</f>
        <v/>
      </c>
      <c r="W20" s="1424" t="str">
        <f>IF(COUNTIF(Data!$H$16:$H$100,CONCATENATE(Data_3!$B20,"_",Data_3!W$11))=1,W$11,"")</f>
        <v/>
      </c>
      <c r="X20" s="1424" t="str">
        <f>IF(COUNTIF(Data!$H$16:$H$100,CONCATENATE(Data_3!$B20,"_",Data_3!X$11))=1,X$11,"")</f>
        <v/>
      </c>
      <c r="Y20" s="1424" t="str">
        <f>IF(COUNTIF(Data!$H$16:$H$100,CONCATENATE(Data_3!$B20,"_",Data_3!Y$11))=1,Y$11,"")</f>
        <v/>
      </c>
      <c r="Z20" s="15"/>
      <c r="AA20" s="15"/>
      <c r="AB20" s="15"/>
      <c r="AC20" s="15"/>
      <c r="AD20" s="15"/>
      <c r="AE20" s="15"/>
      <c r="AF20" s="15"/>
      <c r="AG20" s="15"/>
      <c r="AH20" s="15"/>
      <c r="AI20" s="15"/>
      <c r="AJ20" s="15"/>
      <c r="AK20" s="15"/>
      <c r="AL20" s="15"/>
      <c r="AM20" s="15"/>
      <c r="AN20" s="15"/>
      <c r="AO20" s="15"/>
      <c r="AP20" s="15"/>
      <c r="AQ20" s="15"/>
      <c r="AR20" s="15"/>
      <c r="AS20" s="15"/>
      <c r="AT20" s="15"/>
      <c r="AU20" s="15"/>
      <c r="AV20" s="15"/>
      <c r="AW20" s="15"/>
      <c r="AX20" s="15"/>
      <c r="AY20" s="15"/>
      <c r="AZ20" s="15"/>
      <c r="BA20" s="15"/>
      <c r="BB20" s="15"/>
      <c r="BC20" s="15"/>
      <c r="BD20" s="15"/>
      <c r="BE20" s="15"/>
      <c r="BF20" s="15"/>
      <c r="BG20" s="15"/>
      <c r="BH20" s="15"/>
      <c r="BI20" s="15"/>
      <c r="BJ20" s="15"/>
      <c r="BK20" s="15"/>
      <c r="BL20" s="15"/>
      <c r="BM20" s="15"/>
      <c r="BN20" s="15"/>
      <c r="BO20" s="15"/>
      <c r="BP20" s="15"/>
      <c r="BQ20" s="15"/>
      <c r="BR20" s="15"/>
      <c r="BS20" s="15"/>
      <c r="BT20" s="15"/>
      <c r="BU20" s="15"/>
      <c r="BV20" s="15"/>
      <c r="BW20" s="15"/>
      <c r="BX20" s="15"/>
      <c r="BY20" s="15"/>
      <c r="BZ20" s="15"/>
      <c r="CA20" s="15"/>
      <c r="CB20" s="15"/>
      <c r="CC20" s="15"/>
      <c r="CD20" s="15"/>
      <c r="CE20" s="15"/>
      <c r="CF20" s="15"/>
      <c r="CG20" s="15"/>
      <c r="CH20" s="15"/>
      <c r="CI20" s="15"/>
      <c r="CJ20" s="15"/>
      <c r="CK20" s="15"/>
      <c r="CL20" s="15"/>
      <c r="CM20" s="15"/>
      <c r="CN20" s="15"/>
      <c r="CO20" s="15"/>
      <c r="CP20" s="15"/>
      <c r="CQ20" s="15"/>
      <c r="CR20" s="15"/>
      <c r="CS20" s="15"/>
      <c r="CT20" s="15"/>
      <c r="CU20" s="15"/>
      <c r="CV20" s="15"/>
      <c r="CW20" s="15"/>
      <c r="CX20" s="15"/>
      <c r="CY20" s="15"/>
      <c r="CZ20" s="15"/>
      <c r="DA20" s="15"/>
      <c r="DB20" s="15"/>
      <c r="DC20" s="15"/>
      <c r="DD20" s="15"/>
      <c r="DE20" s="15"/>
      <c r="DF20" s="15"/>
      <c r="DG20" s="15"/>
      <c r="DH20" s="15"/>
      <c r="DI20" s="15"/>
      <c r="DJ20" s="15"/>
      <c r="DK20" s="15"/>
      <c r="DL20" s="15"/>
      <c r="DM20" s="15"/>
      <c r="DN20" s="15"/>
      <c r="DO20" s="15"/>
      <c r="DP20" s="15"/>
      <c r="DQ20" s="15"/>
      <c r="DR20" s="15"/>
      <c r="DS20" s="15"/>
      <c r="DT20" s="15"/>
      <c r="DU20" s="15"/>
      <c r="DV20" s="15"/>
      <c r="DW20" s="15"/>
      <c r="DX20" s="15"/>
      <c r="DY20" s="15"/>
      <c r="DZ20" s="15"/>
      <c r="EA20" s="15"/>
      <c r="EB20" s="15"/>
      <c r="EC20" s="15"/>
      <c r="ED20" s="15"/>
      <c r="EE20" s="15"/>
      <c r="EF20" s="15"/>
      <c r="EG20" s="15"/>
      <c r="EH20" s="15"/>
    </row>
    <row r="21" spans="1:138" s="1121" customFormat="1" ht="15" customHeight="1">
      <c r="A21"/>
      <c r="B21" s="1455" t="str">
        <f t="array" ref="B21">IFERROR(INDEX(Data!$B$16:$B$96,MATCH(0,COUNTIF($B$12:B20,Data!$B$16:$B$96),0)),"")</f>
        <v>Copenhagen</v>
      </c>
      <c r="C21" s="1345">
        <v>9</v>
      </c>
      <c r="D21" s="1336" t="s">
        <v>182</v>
      </c>
      <c r="E21" s="1424" t="str">
        <f>IF(COUNTIF(Data!$H$16:$H$100,CONCATENATE(Data_3!$B21,"_",Data_3!E$11))=1,E$11,"")</f>
        <v/>
      </c>
      <c r="F21" s="1424" t="str">
        <f>IF(COUNTIF(Data!$H$16:$H$100,CONCATENATE(Data_3!$B21,"_",Data_3!F$11))=1,F$11,"")</f>
        <v/>
      </c>
      <c r="G21" s="1424" t="str">
        <f>IF(COUNTIF(Data!$H$16:$H$100,CONCATENATE(Data_3!$B21,"_",Data_3!G$11))=1,G$11,"")</f>
        <v/>
      </c>
      <c r="H21" s="1424" t="str">
        <f>IF(COUNTIF(Data!$H$16:$H$100,CONCATENATE(Data_3!$B21,"_",Data_3!H$11))=1,H$11,"")</f>
        <v/>
      </c>
      <c r="I21" s="1424" t="str">
        <f>IF(COUNTIF(Data!$H$16:$H$100,CONCATENATE(Data_3!$B21,"_",Data_3!I$11))=1,I$11,"")</f>
        <v/>
      </c>
      <c r="J21" s="1424" t="str">
        <f>IF(COUNTIF(Data!$H$16:$H$100,CONCATENATE(Data_3!$B21,"_",Data_3!J$11))=1,J$11,"")</f>
        <v/>
      </c>
      <c r="K21" s="1424" t="str">
        <f>IF(COUNTIF(Data!$H$16:$H$100,CONCATENATE(Data_3!$B21,"_",Data_3!K$11))=1,K$11,"")</f>
        <v/>
      </c>
      <c r="L21" s="1424" t="str">
        <f>IF(COUNTIF(Data!$H$16:$H$100,CONCATENATE(Data_3!$B21,"_",Data_3!L$11))=1,L$11,"")</f>
        <v/>
      </c>
      <c r="M21" s="1424" t="str">
        <f>IF(COUNTIF(Data!$H$16:$H$100,CONCATENATE(Data_3!$B21,"_",Data_3!M$11))=1,M$11,"")</f>
        <v/>
      </c>
      <c r="N21" s="1424" t="str">
        <f>IF(COUNTIF(Data!$H$16:$H$100,CONCATENATE(Data_3!$B21,"_",Data_3!N$11))=1,N$11,"")</f>
        <v/>
      </c>
      <c r="O21" s="1424" t="str">
        <f>IF(COUNTIF(Data!$H$16:$H$100,CONCATENATE(Data_3!$B21,"_",Data_3!O$11))=1,O$11,"")</f>
        <v/>
      </c>
      <c r="P21" s="1424" t="str">
        <f>IF(COUNTIF(Data!$H$16:$H$100,CONCATENATE(Data_3!$B21,"_",Data_3!P$11))=1,P$11,"")</f>
        <v/>
      </c>
      <c r="Q21" s="1424" t="str">
        <f>IF(COUNTIF(Data!$H$16:$H$100,CONCATENATE(Data_3!$B21,"_",Data_3!Q$11))=1,Q$11,"")</f>
        <v/>
      </c>
      <c r="R21" s="1424" t="str">
        <f>IF(COUNTIF(Data!$H$16:$H$100,CONCATENATE(Data_3!$B21,"_",Data_3!R$11))=1,R$11,"")</f>
        <v/>
      </c>
      <c r="S21" s="1424">
        <f>IF(COUNTIF(Data!$H$16:$H$100,CONCATENATE(Data_3!$B21,"_",Data_3!S$11))=1,S$11,"")</f>
        <v>2014</v>
      </c>
      <c r="T21" s="1424" t="str">
        <f>IF(COUNTIF(Data!$H$16:$H$100,CONCATENATE(Data_3!$B21,"_",Data_3!T$11))=1,T$11,"")</f>
        <v/>
      </c>
      <c r="U21" s="1424" t="str">
        <f>IF(COUNTIF(Data!$H$16:$H$100,CONCATENATE(Data_3!$B21,"_",Data_3!U$11))=1,U$11,"")</f>
        <v/>
      </c>
      <c r="V21" s="1424" t="str">
        <f>IF(COUNTIF(Data!$H$16:$H$100,CONCATENATE(Data_3!$B21,"_",Data_3!V$11))=1,V$11,"")</f>
        <v/>
      </c>
      <c r="W21" s="1424" t="str">
        <f>IF(COUNTIF(Data!$H$16:$H$100,CONCATENATE(Data_3!$B21,"_",Data_3!W$11))=1,W$11,"")</f>
        <v/>
      </c>
      <c r="X21" s="1424" t="str">
        <f>IF(COUNTIF(Data!$H$16:$H$100,CONCATENATE(Data_3!$B21,"_",Data_3!X$11))=1,X$11,"")</f>
        <v/>
      </c>
      <c r="Y21" s="1424" t="str">
        <f>IF(COUNTIF(Data!$H$16:$H$100,CONCATENATE(Data_3!$B21,"_",Data_3!Y$11))=1,Y$11,"")</f>
        <v/>
      </c>
      <c r="Z21" s="15"/>
      <c r="AA21" s="15"/>
      <c r="AB21" s="15"/>
      <c r="AC21" s="15"/>
      <c r="AD21" s="15"/>
      <c r="AE21" s="15"/>
      <c r="AF21" s="15"/>
      <c r="AG21" s="15"/>
      <c r="AH21" s="15"/>
      <c r="AI21" s="15"/>
      <c r="AJ21" s="15"/>
      <c r="AK21" s="15"/>
      <c r="AL21" s="15"/>
      <c r="AM21" s="15"/>
      <c r="AN21" s="15"/>
      <c r="AO21" s="15"/>
      <c r="AP21" s="15"/>
      <c r="AQ21" s="15"/>
      <c r="AR21" s="15"/>
      <c r="AS21" s="15"/>
      <c r="AT21" s="15"/>
      <c r="AU21" s="15"/>
      <c r="AV21" s="15"/>
      <c r="AW21" s="15"/>
      <c r="AX21" s="15"/>
      <c r="AY21" s="15"/>
      <c r="AZ21" s="15"/>
      <c r="BA21" s="15"/>
      <c r="BB21" s="15"/>
      <c r="BC21" s="15"/>
      <c r="BD21" s="15"/>
      <c r="BE21" s="15"/>
      <c r="BF21" s="15"/>
      <c r="BG21" s="15"/>
      <c r="BH21" s="15"/>
      <c r="BI21" s="15"/>
      <c r="BJ21" s="15"/>
      <c r="BK21" s="15"/>
      <c r="BL21" s="15"/>
      <c r="BM21" s="15"/>
      <c r="BN21" s="15"/>
      <c r="BO21" s="15"/>
      <c r="BP21" s="15"/>
      <c r="BQ21" s="15"/>
      <c r="BR21" s="15"/>
      <c r="BS21" s="15"/>
      <c r="BT21" s="15"/>
      <c r="BU21" s="15"/>
      <c r="BV21" s="15"/>
      <c r="BW21" s="15"/>
      <c r="BX21" s="15"/>
      <c r="BY21" s="15"/>
      <c r="BZ21" s="15"/>
      <c r="CA21" s="15"/>
      <c r="CB21" s="15"/>
      <c r="CC21" s="15"/>
      <c r="CD21" s="15"/>
      <c r="CE21" s="15"/>
      <c r="CF21" s="15"/>
      <c r="CG21" s="15"/>
      <c r="CH21" s="15"/>
      <c r="CI21" s="15"/>
      <c r="CJ21" s="15"/>
      <c r="CK21" s="15"/>
      <c r="CL21" s="15"/>
      <c r="CM21" s="15"/>
      <c r="CN21" s="15"/>
      <c r="CO21" s="15"/>
      <c r="CP21" s="15"/>
      <c r="CQ21" s="15"/>
      <c r="CR21" s="15"/>
      <c r="CS21" s="15"/>
      <c r="CT21" s="15"/>
      <c r="CU21" s="15"/>
      <c r="CV21" s="15"/>
      <c r="CW21" s="15"/>
      <c r="CX21" s="15"/>
      <c r="CY21" s="15"/>
      <c r="CZ21" s="15"/>
      <c r="DA21" s="15"/>
      <c r="DB21" s="15"/>
      <c r="DC21" s="15"/>
      <c r="DD21" s="15"/>
      <c r="DE21" s="15"/>
      <c r="DF21" s="15"/>
      <c r="DG21" s="15"/>
      <c r="DH21" s="15"/>
      <c r="DI21" s="15"/>
      <c r="DJ21" s="15"/>
      <c r="DK21" s="15"/>
      <c r="DL21" s="15"/>
      <c r="DM21" s="15"/>
      <c r="DN21" s="15"/>
      <c r="DO21" s="15"/>
      <c r="DP21" s="15"/>
      <c r="DQ21" s="15"/>
      <c r="DR21" s="15"/>
      <c r="DS21" s="15"/>
      <c r="DT21" s="15"/>
      <c r="DU21" s="15"/>
      <c r="DV21" s="15"/>
      <c r="DW21" s="15"/>
      <c r="DX21" s="15"/>
      <c r="DY21" s="15"/>
      <c r="DZ21" s="15"/>
      <c r="EA21" s="15"/>
      <c r="EB21" s="15"/>
      <c r="EC21" s="15"/>
      <c r="ED21" s="15"/>
      <c r="EE21" s="15"/>
      <c r="EF21" s="15"/>
      <c r="EG21" s="15"/>
      <c r="EH21" s="15"/>
    </row>
    <row r="22" spans="1:138" s="1121" customFormat="1" ht="15" customHeight="1">
      <c r="A22" s="15"/>
      <c r="B22" s="1455" t="str">
        <f t="array" ref="B22">IFERROR(INDEX(Data!$B$16:$B$96,MATCH(0,COUNTIF($B$12:B21,Data!$B$16:$B$96),0)),"")</f>
        <v>District of Columbia</v>
      </c>
      <c r="C22" s="1345">
        <v>10</v>
      </c>
      <c r="D22" s="1336" t="s">
        <v>182</v>
      </c>
      <c r="E22" s="1424" t="str">
        <f>IF(COUNTIF(Data!$H$16:$H$100,CONCATENATE(Data_3!$B22,"_",Data_3!E$11))=1,E$11,"")</f>
        <v/>
      </c>
      <c r="F22" s="1424" t="str">
        <f>IF(COUNTIF(Data!$H$16:$H$100,CONCATENATE(Data_3!$B22,"_",Data_3!F$11))=1,F$11,"")</f>
        <v/>
      </c>
      <c r="G22" s="1424" t="str">
        <f>IF(COUNTIF(Data!$H$16:$H$100,CONCATENATE(Data_3!$B22,"_",Data_3!G$11))=1,G$11,"")</f>
        <v/>
      </c>
      <c r="H22" s="1424" t="str">
        <f>IF(COUNTIF(Data!$H$16:$H$100,CONCATENATE(Data_3!$B22,"_",Data_3!H$11))=1,H$11,"")</f>
        <v/>
      </c>
      <c r="I22" s="1424" t="str">
        <f>IF(COUNTIF(Data!$H$16:$H$100,CONCATENATE(Data_3!$B22,"_",Data_3!I$11))=1,I$11,"")</f>
        <v/>
      </c>
      <c r="J22" s="1424" t="str">
        <f>IF(COUNTIF(Data!$H$16:$H$100,CONCATENATE(Data_3!$B22,"_",Data_3!J$11))=1,J$11,"")</f>
        <v/>
      </c>
      <c r="K22" s="1424" t="str">
        <f>IF(COUNTIF(Data!$H$16:$H$100,CONCATENATE(Data_3!$B22,"_",Data_3!K$11))=1,K$11,"")</f>
        <v/>
      </c>
      <c r="L22" s="1424" t="str">
        <f>IF(COUNTIF(Data!$H$16:$H$100,CONCATENATE(Data_3!$B22,"_",Data_3!L$11))=1,L$11,"")</f>
        <v/>
      </c>
      <c r="M22" s="1424" t="str">
        <f>IF(COUNTIF(Data!$H$16:$H$100,CONCATENATE(Data_3!$B22,"_",Data_3!M$11))=1,M$11,"")</f>
        <v/>
      </c>
      <c r="N22" s="1424" t="str">
        <f>IF(COUNTIF(Data!$H$16:$H$100,CONCATENATE(Data_3!$B22,"_",Data_3!N$11))=1,N$11,"")</f>
        <v/>
      </c>
      <c r="O22" s="1424" t="str">
        <f>IF(COUNTIF(Data!$H$16:$H$100,CONCATENATE(Data_3!$B22,"_",Data_3!O$11))=1,O$11,"")</f>
        <v/>
      </c>
      <c r="P22" s="1424" t="str">
        <f>IF(COUNTIF(Data!$H$16:$H$100,CONCATENATE(Data_3!$B22,"_",Data_3!P$11))=1,P$11,"")</f>
        <v/>
      </c>
      <c r="Q22" s="1424" t="str">
        <f>IF(COUNTIF(Data!$H$16:$H$100,CONCATENATE(Data_3!$B22,"_",Data_3!Q$11))=1,Q$11,"")</f>
        <v/>
      </c>
      <c r="R22" s="1424">
        <f>IF(COUNTIF(Data!$H$16:$H$100,CONCATENATE(Data_3!$B22,"_",Data_3!R$11))=1,R$11,"")</f>
        <v>2013</v>
      </c>
      <c r="S22" s="1424" t="str">
        <f>IF(COUNTIF(Data!$H$16:$H$100,CONCATENATE(Data_3!$B22,"_",Data_3!S$11))=1,S$11,"")</f>
        <v/>
      </c>
      <c r="T22" s="1424" t="str">
        <f>IF(COUNTIF(Data!$H$16:$H$100,CONCATENATE(Data_3!$B22,"_",Data_3!T$11))=1,T$11,"")</f>
        <v/>
      </c>
      <c r="U22" s="1424" t="str">
        <f>IF(COUNTIF(Data!$H$16:$H$100,CONCATENATE(Data_3!$B22,"_",Data_3!U$11))=1,U$11,"")</f>
        <v/>
      </c>
      <c r="V22" s="1424" t="str">
        <f>IF(COUNTIF(Data!$H$16:$H$100,CONCATENATE(Data_3!$B22,"_",Data_3!V$11))=1,V$11,"")</f>
        <v/>
      </c>
      <c r="W22" s="1424" t="str">
        <f>IF(COUNTIF(Data!$H$16:$H$100,CONCATENATE(Data_3!$B22,"_",Data_3!W$11))=1,W$11,"")</f>
        <v/>
      </c>
      <c r="X22" s="1424" t="str">
        <f>IF(COUNTIF(Data!$H$16:$H$100,CONCATENATE(Data_3!$B22,"_",Data_3!X$11))=1,X$11,"")</f>
        <v/>
      </c>
      <c r="Y22" s="1424" t="str">
        <f>IF(COUNTIF(Data!$H$16:$H$100,CONCATENATE(Data_3!$B22,"_",Data_3!Y$11))=1,Y$11,"")</f>
        <v/>
      </c>
      <c r="Z22" s="15"/>
      <c r="AA22" s="15"/>
      <c r="AB22" s="15"/>
      <c r="AC22" s="15"/>
      <c r="AD22" s="15"/>
      <c r="AE22" s="15"/>
      <c r="AF22" s="15"/>
      <c r="AG22" s="15"/>
      <c r="AH22" s="15"/>
      <c r="AI22" s="15"/>
      <c r="AJ22" s="15"/>
      <c r="AK22" s="15"/>
      <c r="AL22" s="15"/>
      <c r="AM22" s="15"/>
      <c r="AN22" s="15"/>
      <c r="AO22" s="15"/>
      <c r="AP22" s="15"/>
      <c r="AQ22" s="15"/>
      <c r="AR22" s="15"/>
      <c r="AS22" s="15"/>
      <c r="AT22" s="15"/>
      <c r="AU22" s="15"/>
      <c r="AV22" s="15"/>
      <c r="AW22" s="15"/>
      <c r="AX22" s="15"/>
      <c r="AY22" s="15"/>
      <c r="AZ22" s="15"/>
      <c r="BA22" s="15"/>
      <c r="BB22" s="15"/>
      <c r="BC22" s="15"/>
      <c r="BD22" s="15"/>
      <c r="BE22" s="15"/>
      <c r="BF22" s="15"/>
      <c r="BG22" s="15"/>
      <c r="BH22" s="15"/>
      <c r="BI22" s="15"/>
      <c r="BJ22" s="15"/>
      <c r="BK22" s="15"/>
      <c r="BL22" s="15"/>
      <c r="BM22" s="15"/>
      <c r="BN22" s="15"/>
      <c r="BO22" s="15"/>
      <c r="BP22" s="15"/>
      <c r="BQ22" s="15"/>
      <c r="BR22" s="15"/>
      <c r="BS22" s="15"/>
      <c r="BT22" s="15"/>
      <c r="BU22" s="15"/>
      <c r="BV22" s="15"/>
      <c r="BW22" s="15"/>
      <c r="BX22" s="15"/>
      <c r="BY22" s="15"/>
      <c r="BZ22" s="15"/>
      <c r="CA22" s="15"/>
      <c r="CB22" s="15"/>
      <c r="CC22" s="15"/>
      <c r="CD22" s="15"/>
      <c r="CE22" s="15"/>
      <c r="CF22" s="15"/>
      <c r="CG22" s="15"/>
      <c r="CH22" s="15"/>
      <c r="CI22" s="15"/>
      <c r="CJ22" s="15"/>
      <c r="CK22" s="15"/>
      <c r="CL22" s="15"/>
      <c r="CM22" s="15"/>
      <c r="CN22" s="15"/>
      <c r="CO22" s="15"/>
      <c r="CP22" s="15"/>
      <c r="CQ22" s="15"/>
      <c r="CR22" s="15"/>
      <c r="CS22" s="15"/>
      <c r="CT22" s="15"/>
      <c r="CU22" s="15"/>
      <c r="CV22" s="15"/>
      <c r="CW22" s="15"/>
      <c r="CX22" s="15"/>
      <c r="CY22" s="15"/>
      <c r="CZ22" s="15"/>
      <c r="DA22" s="15"/>
      <c r="DB22" s="15"/>
      <c r="DC22" s="15"/>
      <c r="DD22" s="15"/>
      <c r="DE22" s="15"/>
      <c r="DF22" s="15"/>
      <c r="DG22" s="15"/>
      <c r="DH22" s="15"/>
      <c r="DI22" s="15"/>
      <c r="DJ22" s="15"/>
      <c r="DK22" s="15"/>
      <c r="DL22" s="15"/>
      <c r="DM22" s="15"/>
      <c r="DN22" s="15"/>
      <c r="DO22" s="15"/>
      <c r="DP22" s="15"/>
      <c r="DQ22" s="15"/>
      <c r="DR22" s="15"/>
      <c r="DS22" s="15"/>
      <c r="DT22" s="15"/>
      <c r="DU22" s="15"/>
      <c r="DV22" s="15"/>
      <c r="DW22" s="15"/>
      <c r="DX22" s="15"/>
      <c r="DY22" s="15"/>
      <c r="DZ22" s="15"/>
      <c r="EA22" s="15"/>
      <c r="EB22" s="15"/>
      <c r="EC22" s="15"/>
      <c r="ED22" s="15"/>
      <c r="EE22" s="15"/>
      <c r="EF22" s="15"/>
      <c r="EG22" s="15"/>
      <c r="EH22" s="15"/>
    </row>
    <row r="23" spans="1:138" s="1121" customFormat="1" ht="15" customHeight="1">
      <c r="A23" s="642"/>
      <c r="B23" s="1455" t="str">
        <f t="array" ref="B23">IFERROR(INDEX(Data!$B$16:$B$96,MATCH(0,COUNTIF($B$12:B22,Data!$B$16:$B$96),0)),"")</f>
        <v>Johannesburg</v>
      </c>
      <c r="C23" s="1345">
        <v>11</v>
      </c>
      <c r="D23" s="1336" t="s">
        <v>182</v>
      </c>
      <c r="E23" s="1424" t="str">
        <f>IF(COUNTIF(Data!$H$16:$H$100,CONCATENATE(Data_3!$B23,"_",Data_3!E$11))=1,E$11,"")</f>
        <v/>
      </c>
      <c r="F23" s="1424" t="str">
        <f>IF(COUNTIF(Data!$H$16:$H$100,CONCATENATE(Data_3!$B23,"_",Data_3!F$11))=1,F$11,"")</f>
        <v/>
      </c>
      <c r="G23" s="1424" t="str">
        <f>IF(COUNTIF(Data!$H$16:$H$100,CONCATENATE(Data_3!$B23,"_",Data_3!G$11))=1,G$11,"")</f>
        <v/>
      </c>
      <c r="H23" s="1424" t="str">
        <f>IF(COUNTIF(Data!$H$16:$H$100,CONCATENATE(Data_3!$B23,"_",Data_3!H$11))=1,H$11,"")</f>
        <v/>
      </c>
      <c r="I23" s="1424" t="str">
        <f>IF(COUNTIF(Data!$H$16:$H$100,CONCATENATE(Data_3!$B23,"_",Data_3!I$11))=1,I$11,"")</f>
        <v/>
      </c>
      <c r="J23" s="1424" t="str">
        <f>IF(COUNTIF(Data!$H$16:$H$100,CONCATENATE(Data_3!$B23,"_",Data_3!J$11))=1,J$11,"")</f>
        <v/>
      </c>
      <c r="K23" s="1424" t="str">
        <f>IF(COUNTIF(Data!$H$16:$H$100,CONCATENATE(Data_3!$B23,"_",Data_3!K$11))=1,K$11,"")</f>
        <v/>
      </c>
      <c r="L23" s="1424" t="str">
        <f>IF(COUNTIF(Data!$H$16:$H$100,CONCATENATE(Data_3!$B23,"_",Data_3!L$11))=1,L$11,"")</f>
        <v/>
      </c>
      <c r="M23" s="1424" t="str">
        <f>IF(COUNTIF(Data!$H$16:$H$100,CONCATENATE(Data_3!$B23,"_",Data_3!M$11))=1,M$11,"")</f>
        <v/>
      </c>
      <c r="N23" s="1424" t="str">
        <f>IF(COUNTIF(Data!$H$16:$H$100,CONCATENATE(Data_3!$B23,"_",Data_3!N$11))=1,N$11,"")</f>
        <v/>
      </c>
      <c r="O23" s="1424" t="str">
        <f>IF(COUNTIF(Data!$H$16:$H$100,CONCATENATE(Data_3!$B23,"_",Data_3!O$11))=1,O$11,"")</f>
        <v/>
      </c>
      <c r="P23" s="1424" t="str">
        <f>IF(COUNTIF(Data!$H$16:$H$100,CONCATENATE(Data_3!$B23,"_",Data_3!P$11))=1,P$11,"")</f>
        <v/>
      </c>
      <c r="Q23" s="1424" t="str">
        <f>IF(COUNTIF(Data!$H$16:$H$100,CONCATENATE(Data_3!$B23,"_",Data_3!Q$11))=1,Q$11,"")</f>
        <v/>
      </c>
      <c r="R23" s="1424" t="str">
        <f>IF(COUNTIF(Data!$H$16:$H$100,CONCATENATE(Data_3!$B23,"_",Data_3!R$11))=1,R$11,"")</f>
        <v/>
      </c>
      <c r="S23" s="1424">
        <f>IF(COUNTIF(Data!$H$16:$H$100,CONCATENATE(Data_3!$B23,"_",Data_3!S$11))=1,S$11,"")</f>
        <v>2014</v>
      </c>
      <c r="T23" s="1424" t="str">
        <f>IF(COUNTIF(Data!$H$16:$H$100,CONCATENATE(Data_3!$B23,"_",Data_3!T$11))=1,T$11,"")</f>
        <v/>
      </c>
      <c r="U23" s="1424" t="str">
        <f>IF(COUNTIF(Data!$H$16:$H$100,CONCATENATE(Data_3!$B23,"_",Data_3!U$11))=1,U$11,"")</f>
        <v/>
      </c>
      <c r="V23" s="1424" t="str">
        <f>IF(COUNTIF(Data!$H$16:$H$100,CONCATENATE(Data_3!$B23,"_",Data_3!V$11))=1,V$11,"")</f>
        <v/>
      </c>
      <c r="W23" s="1424" t="str">
        <f>IF(COUNTIF(Data!$H$16:$H$100,CONCATENATE(Data_3!$B23,"_",Data_3!W$11))=1,W$11,"")</f>
        <v/>
      </c>
      <c r="X23" s="1424" t="str">
        <f>IF(COUNTIF(Data!$H$16:$H$100,CONCATENATE(Data_3!$B23,"_",Data_3!X$11))=1,X$11,"")</f>
        <v/>
      </c>
      <c r="Y23" s="1424" t="str">
        <f>IF(COUNTIF(Data!$H$16:$H$100,CONCATENATE(Data_3!$B23,"_",Data_3!Y$11))=1,Y$11,"")</f>
        <v/>
      </c>
      <c r="Z23" s="15"/>
      <c r="AA23" s="15"/>
      <c r="AB23" s="15"/>
      <c r="AC23" s="15"/>
      <c r="AD23" s="15"/>
      <c r="AE23" s="15"/>
      <c r="AF23" s="15"/>
      <c r="AG23" s="15"/>
      <c r="AH23" s="15"/>
      <c r="AI23" s="15"/>
      <c r="AJ23" s="15"/>
      <c r="AK23" s="15"/>
      <c r="AL23" s="15"/>
      <c r="AM23" s="15"/>
      <c r="AN23" s="15"/>
      <c r="AO23" s="15"/>
      <c r="AP23" s="15"/>
      <c r="AQ23" s="15"/>
      <c r="AR23" s="15"/>
      <c r="AS23" s="15"/>
      <c r="AT23" s="15"/>
      <c r="AU23" s="15"/>
      <c r="AV23" s="15"/>
      <c r="AW23" s="15"/>
      <c r="AX23" s="15"/>
      <c r="AY23" s="15"/>
      <c r="AZ23" s="15"/>
      <c r="BA23" s="15"/>
      <c r="BB23" s="15"/>
      <c r="BC23" s="15"/>
      <c r="BD23" s="15"/>
      <c r="BE23" s="15"/>
      <c r="BF23" s="15"/>
      <c r="BG23" s="15"/>
      <c r="BH23" s="15"/>
      <c r="BI23" s="15"/>
      <c r="BJ23" s="15"/>
      <c r="BK23" s="15"/>
      <c r="BL23" s="15"/>
      <c r="BM23" s="15"/>
      <c r="BN23" s="15"/>
      <c r="BO23" s="15"/>
      <c r="BP23" s="15"/>
      <c r="BQ23" s="15"/>
      <c r="BR23" s="15"/>
      <c r="BS23" s="15"/>
      <c r="BT23" s="15"/>
      <c r="BU23" s="15"/>
      <c r="BV23" s="15"/>
      <c r="BW23" s="15"/>
      <c r="BX23" s="15"/>
      <c r="BY23" s="15"/>
      <c r="BZ23" s="15"/>
      <c r="CA23" s="15"/>
      <c r="CB23" s="15"/>
      <c r="CC23" s="15"/>
      <c r="CD23" s="15"/>
      <c r="CE23" s="15"/>
      <c r="CF23" s="15"/>
      <c r="CG23" s="15"/>
      <c r="CH23" s="15"/>
      <c r="CI23" s="15"/>
      <c r="CJ23" s="15"/>
      <c r="CK23" s="15"/>
      <c r="CL23" s="15"/>
      <c r="CM23" s="15"/>
      <c r="CN23" s="15"/>
      <c r="CO23" s="15"/>
      <c r="CP23" s="15"/>
      <c r="CQ23" s="15"/>
      <c r="CR23" s="15"/>
      <c r="CS23" s="15"/>
      <c r="CT23" s="15"/>
      <c r="CU23" s="15"/>
      <c r="CV23" s="15"/>
      <c r="CW23" s="15"/>
      <c r="CX23" s="15"/>
      <c r="CY23" s="15"/>
      <c r="CZ23" s="15"/>
      <c r="DA23" s="15"/>
      <c r="DB23" s="15"/>
      <c r="DC23" s="15"/>
      <c r="DD23" s="15"/>
      <c r="DE23" s="15"/>
      <c r="DF23" s="15"/>
      <c r="DG23" s="15"/>
      <c r="DH23" s="15"/>
      <c r="DI23" s="15"/>
      <c r="DJ23" s="15"/>
      <c r="DK23" s="15"/>
      <c r="DL23" s="15"/>
      <c r="DM23" s="15"/>
      <c r="DN23" s="15"/>
      <c r="DO23" s="15"/>
      <c r="DP23" s="15"/>
      <c r="DQ23" s="15"/>
      <c r="DR23" s="15"/>
      <c r="DS23" s="15"/>
      <c r="DT23" s="15"/>
      <c r="DU23" s="15"/>
      <c r="DV23" s="15"/>
      <c r="DW23" s="15"/>
      <c r="DX23" s="15"/>
      <c r="DY23" s="15"/>
      <c r="DZ23" s="15"/>
      <c r="EA23" s="15"/>
      <c r="EB23" s="15"/>
      <c r="EC23" s="15"/>
      <c r="ED23" s="15"/>
      <c r="EE23" s="15"/>
      <c r="EF23" s="15"/>
      <c r="EG23" s="15"/>
      <c r="EH23" s="15"/>
    </row>
    <row r="24" spans="1:138" s="34" customFormat="1" ht="15" customHeight="1">
      <c r="A24" s="642"/>
      <c r="B24" s="1455" t="str">
        <f t="array" ref="B24">IFERROR(INDEX(Data!$B$16:$B$96,MATCH(0,COUNTIF($B$12:B23,Data!$B$16:$B$96),0)),"")</f>
        <v>London</v>
      </c>
      <c r="C24" s="1345">
        <v>12</v>
      </c>
      <c r="D24" s="1336" t="s">
        <v>182</v>
      </c>
      <c r="E24" s="1424" t="str">
        <f>IF(COUNTIF(Data!$H$16:$H$100,CONCATENATE(Data_3!$B24,"_",Data_3!E$11))=1,E$11,"")</f>
        <v/>
      </c>
      <c r="F24" s="1424" t="str">
        <f>IF(COUNTIF(Data!$H$16:$H$100,CONCATENATE(Data_3!$B24,"_",Data_3!F$11))=1,F$11,"")</f>
        <v/>
      </c>
      <c r="G24" s="1424" t="str">
        <f>IF(COUNTIF(Data!$H$16:$H$100,CONCATENATE(Data_3!$B24,"_",Data_3!G$11))=1,G$11,"")</f>
        <v/>
      </c>
      <c r="H24" s="1424" t="str">
        <f>IF(COUNTIF(Data!$H$16:$H$100,CONCATENATE(Data_3!$B24,"_",Data_3!H$11))=1,H$11,"")</f>
        <v/>
      </c>
      <c r="I24" s="1424" t="str">
        <f>IF(COUNTIF(Data!$H$16:$H$100,CONCATENATE(Data_3!$B24,"_",Data_3!I$11))=1,I$11,"")</f>
        <v/>
      </c>
      <c r="J24" s="1424" t="str">
        <f>IF(COUNTIF(Data!$H$16:$H$100,CONCATENATE(Data_3!$B24,"_",Data_3!J$11))=1,J$11,"")</f>
        <v/>
      </c>
      <c r="K24" s="1424" t="str">
        <f>IF(COUNTIF(Data!$H$16:$H$100,CONCATENATE(Data_3!$B24,"_",Data_3!K$11))=1,K$11,"")</f>
        <v/>
      </c>
      <c r="L24" s="1424" t="str">
        <f>IF(COUNTIF(Data!$H$16:$H$100,CONCATENATE(Data_3!$B24,"_",Data_3!L$11))=1,L$11,"")</f>
        <v/>
      </c>
      <c r="M24" s="1424" t="str">
        <f>IF(COUNTIF(Data!$H$16:$H$100,CONCATENATE(Data_3!$B24,"_",Data_3!M$11))=1,M$11,"")</f>
        <v/>
      </c>
      <c r="N24" s="1424" t="str">
        <f>IF(COUNTIF(Data!$H$16:$H$100,CONCATENATE(Data_3!$B24,"_",Data_3!N$11))=1,N$11,"")</f>
        <v/>
      </c>
      <c r="O24" s="1424" t="str">
        <f>IF(COUNTIF(Data!$H$16:$H$100,CONCATENATE(Data_3!$B24,"_",Data_3!O$11))=1,O$11,"")</f>
        <v/>
      </c>
      <c r="P24" s="1424" t="str">
        <f>IF(COUNTIF(Data!$H$16:$H$100,CONCATENATE(Data_3!$B24,"_",Data_3!P$11))=1,P$11,"")</f>
        <v/>
      </c>
      <c r="Q24" s="1424" t="str">
        <f>IF(COUNTIF(Data!$H$16:$H$100,CONCATENATE(Data_3!$B24,"_",Data_3!Q$11))=1,Q$11,"")</f>
        <v/>
      </c>
      <c r="R24" s="1424">
        <f>IF(COUNTIF(Data!$H$16:$H$100,CONCATENATE(Data_3!$B24,"_",Data_3!R$11))=1,R$11,"")</f>
        <v>2013</v>
      </c>
      <c r="S24" s="1424" t="str">
        <f>IF(COUNTIF(Data!$H$16:$H$100,CONCATENATE(Data_3!$B24,"_",Data_3!S$11))=1,S$11,"")</f>
        <v/>
      </c>
      <c r="T24" s="1424" t="str">
        <f>IF(COUNTIF(Data!$H$16:$H$100,CONCATENATE(Data_3!$B24,"_",Data_3!T$11))=1,T$11,"")</f>
        <v/>
      </c>
      <c r="U24" s="1424" t="str">
        <f>IF(COUNTIF(Data!$H$16:$H$100,CONCATENATE(Data_3!$B24,"_",Data_3!U$11))=1,U$11,"")</f>
        <v/>
      </c>
      <c r="V24" s="1424" t="str">
        <f>IF(COUNTIF(Data!$H$16:$H$100,CONCATENATE(Data_3!$B24,"_",Data_3!V$11))=1,V$11,"")</f>
        <v/>
      </c>
      <c r="W24" s="1424" t="str">
        <f>IF(COUNTIF(Data!$H$16:$H$100,CONCATENATE(Data_3!$B24,"_",Data_3!W$11))=1,W$11,"")</f>
        <v/>
      </c>
      <c r="X24" s="1424" t="str">
        <f>IF(COUNTIF(Data!$H$16:$H$100,CONCATENATE(Data_3!$B24,"_",Data_3!X$11))=1,X$11,"")</f>
        <v/>
      </c>
      <c r="Y24" s="1424" t="str">
        <f>IF(COUNTIF(Data!$H$16:$H$100,CONCATENATE(Data_3!$B24,"_",Data_3!Y$11))=1,Y$11,"")</f>
        <v/>
      </c>
      <c r="Z24" s="15"/>
      <c r="AA24" s="15"/>
      <c r="AB24" s="15"/>
      <c r="AC24" s="15"/>
      <c r="AD24" s="15"/>
      <c r="AE24" s="15"/>
      <c r="AF24" s="15"/>
      <c r="AG24" s="15"/>
      <c r="AH24" s="15"/>
      <c r="AI24" s="15"/>
      <c r="AJ24" s="15"/>
      <c r="AK24" s="15"/>
      <c r="AL24" s="15"/>
      <c r="AM24" s="15"/>
      <c r="AN24" s="15"/>
      <c r="AO24" s="15"/>
      <c r="AP24" s="15"/>
      <c r="AQ24" s="15"/>
      <c r="AR24" s="15"/>
      <c r="AS24" s="15"/>
      <c r="AT24" s="15"/>
      <c r="AU24" s="15"/>
      <c r="AV24" s="15"/>
      <c r="AW24" s="15"/>
      <c r="AX24" s="15"/>
      <c r="AY24" s="15"/>
      <c r="AZ24" s="15"/>
      <c r="BA24" s="15"/>
      <c r="BB24" s="15"/>
      <c r="BC24" s="15"/>
      <c r="BD24" s="15"/>
      <c r="BE24" s="15"/>
      <c r="BF24" s="15"/>
      <c r="BG24" s="15"/>
      <c r="BH24" s="15"/>
      <c r="BI24" s="15"/>
      <c r="BJ24" s="15"/>
      <c r="BK24" s="15"/>
      <c r="BL24" s="15"/>
      <c r="BM24" s="15"/>
      <c r="BN24" s="15"/>
      <c r="BO24" s="15"/>
      <c r="BP24" s="15"/>
      <c r="BQ24" s="15"/>
      <c r="BR24" s="15"/>
      <c r="BS24" s="15"/>
      <c r="BT24" s="15"/>
      <c r="BU24" s="15"/>
      <c r="BV24" s="15"/>
      <c r="BW24" s="15"/>
      <c r="BX24" s="15"/>
      <c r="BY24" s="15"/>
      <c r="BZ24" s="15"/>
      <c r="CA24" s="15"/>
      <c r="CB24" s="15"/>
      <c r="CC24" s="15"/>
      <c r="CD24" s="15"/>
      <c r="CE24" s="15"/>
      <c r="CF24" s="15"/>
      <c r="CG24" s="15"/>
      <c r="CH24" s="15"/>
      <c r="CI24" s="15"/>
      <c r="CJ24" s="15"/>
      <c r="CK24" s="15"/>
      <c r="CL24" s="15"/>
      <c r="CM24" s="15"/>
      <c r="CN24" s="15"/>
      <c r="CO24" s="15"/>
      <c r="CP24" s="15"/>
      <c r="CQ24" s="15"/>
      <c r="CR24" s="15"/>
      <c r="CS24" s="15"/>
      <c r="CT24" s="15"/>
      <c r="CU24" s="15"/>
      <c r="CV24" s="15"/>
      <c r="CW24" s="15"/>
      <c r="CX24" s="15"/>
      <c r="CY24" s="15"/>
      <c r="CZ24" s="15"/>
      <c r="DA24" s="15"/>
      <c r="DB24" s="15"/>
      <c r="DC24" s="15"/>
      <c r="DD24" s="15"/>
      <c r="DE24" s="15"/>
      <c r="DF24" s="15"/>
      <c r="DG24" s="15"/>
      <c r="DH24" s="15"/>
      <c r="DI24" s="15"/>
      <c r="DJ24" s="15"/>
      <c r="DK24" s="15"/>
      <c r="DL24" s="15"/>
      <c r="DM24" s="15"/>
      <c r="DN24" s="15"/>
      <c r="DO24" s="15"/>
      <c r="DP24" s="15"/>
      <c r="DQ24" s="15"/>
      <c r="DR24" s="15"/>
      <c r="DS24" s="15"/>
      <c r="DT24" s="15"/>
      <c r="DU24" s="15"/>
      <c r="DV24" s="15"/>
      <c r="DW24" s="15"/>
      <c r="DX24" s="15"/>
      <c r="DY24" s="15"/>
      <c r="DZ24" s="15"/>
      <c r="EA24" s="15"/>
      <c r="EB24" s="15"/>
      <c r="EC24" s="15"/>
      <c r="ED24" s="15"/>
      <c r="EE24" s="15"/>
      <c r="EF24" s="15"/>
      <c r="EG24" s="15"/>
      <c r="EH24" s="15"/>
    </row>
    <row r="25" spans="1:138" s="1121" customFormat="1" ht="15" customHeight="1">
      <c r="A25" s="15"/>
      <c r="B25" s="1455" t="str">
        <f t="array" ref="B25">IFERROR(INDEX(Data!$B$16:$B$96,MATCH(0,COUNTIF($B$12:B24,Data!$B$16:$B$96),0)),"")</f>
        <v>Madrid</v>
      </c>
      <c r="C25" s="1345">
        <v>13</v>
      </c>
      <c r="D25" s="1336" t="s">
        <v>182</v>
      </c>
      <c r="E25" s="1424" t="str">
        <f>IF(COUNTIF(Data!$H$16:$H$100,CONCATENATE(Data_3!$B25,"_",Data_3!E$11))=1,E$11,"")</f>
        <v/>
      </c>
      <c r="F25" s="1424" t="str">
        <f>IF(COUNTIF(Data!$H$16:$H$100,CONCATENATE(Data_3!$B25,"_",Data_3!F$11))=1,F$11,"")</f>
        <v/>
      </c>
      <c r="G25" s="1424" t="str">
        <f>IF(COUNTIF(Data!$H$16:$H$100,CONCATENATE(Data_3!$B25,"_",Data_3!G$11))=1,G$11,"")</f>
        <v/>
      </c>
      <c r="H25" s="1424" t="str">
        <f>IF(COUNTIF(Data!$H$16:$H$100,CONCATENATE(Data_3!$B25,"_",Data_3!H$11))=1,H$11,"")</f>
        <v/>
      </c>
      <c r="I25" s="1424" t="str">
        <f>IF(COUNTIF(Data!$H$16:$H$100,CONCATENATE(Data_3!$B25,"_",Data_3!I$11))=1,I$11,"")</f>
        <v/>
      </c>
      <c r="J25" s="1424" t="str">
        <f>IF(COUNTIF(Data!$H$16:$H$100,CONCATENATE(Data_3!$B25,"_",Data_3!J$11))=1,J$11,"")</f>
        <v/>
      </c>
      <c r="K25" s="1424" t="str">
        <f>IF(COUNTIF(Data!$H$16:$H$100,CONCATENATE(Data_3!$B25,"_",Data_3!K$11))=1,K$11,"")</f>
        <v/>
      </c>
      <c r="L25" s="1424" t="str">
        <f>IF(COUNTIF(Data!$H$16:$H$100,CONCATENATE(Data_3!$B25,"_",Data_3!L$11))=1,L$11,"")</f>
        <v/>
      </c>
      <c r="M25" s="1424" t="str">
        <f>IF(COUNTIF(Data!$H$16:$H$100,CONCATENATE(Data_3!$B25,"_",Data_3!M$11))=1,M$11,"")</f>
        <v/>
      </c>
      <c r="N25" s="1424" t="str">
        <f>IF(COUNTIF(Data!$H$16:$H$100,CONCATENATE(Data_3!$B25,"_",Data_3!N$11))=1,N$11,"")</f>
        <v/>
      </c>
      <c r="O25" s="1424" t="str">
        <f>IF(COUNTIF(Data!$H$16:$H$100,CONCATENATE(Data_3!$B25,"_",Data_3!O$11))=1,O$11,"")</f>
        <v/>
      </c>
      <c r="P25" s="1424" t="str">
        <f>IF(COUNTIF(Data!$H$16:$H$100,CONCATENATE(Data_3!$B25,"_",Data_3!P$11))=1,P$11,"")</f>
        <v/>
      </c>
      <c r="Q25" s="1424" t="str">
        <f>IF(COUNTIF(Data!$H$16:$H$100,CONCATENATE(Data_3!$B25,"_",Data_3!Q$11))=1,Q$11,"")</f>
        <v/>
      </c>
      <c r="R25" s="1424">
        <f>IF(COUNTIF(Data!$H$16:$H$100,CONCATENATE(Data_3!$B25,"_",Data_3!R$11))=1,R$11,"")</f>
        <v>2013</v>
      </c>
      <c r="S25" s="1424" t="str">
        <f>IF(COUNTIF(Data!$H$16:$H$100,CONCATENATE(Data_3!$B25,"_",Data_3!S$11))=1,S$11,"")</f>
        <v/>
      </c>
      <c r="T25" s="1424" t="str">
        <f>IF(COUNTIF(Data!$H$16:$H$100,CONCATENATE(Data_3!$B25,"_",Data_3!T$11))=1,T$11,"")</f>
        <v/>
      </c>
      <c r="U25" s="1424" t="str">
        <f>IF(COUNTIF(Data!$H$16:$H$100,CONCATENATE(Data_3!$B25,"_",Data_3!U$11))=1,U$11,"")</f>
        <v/>
      </c>
      <c r="V25" s="1424" t="str">
        <f>IF(COUNTIF(Data!$H$16:$H$100,CONCATENATE(Data_3!$B25,"_",Data_3!V$11))=1,V$11,"")</f>
        <v/>
      </c>
      <c r="W25" s="1424" t="str">
        <f>IF(COUNTIF(Data!$H$16:$H$100,CONCATENATE(Data_3!$B25,"_",Data_3!W$11))=1,W$11,"")</f>
        <v/>
      </c>
      <c r="X25" s="1424" t="str">
        <f>IF(COUNTIF(Data!$H$16:$H$100,CONCATENATE(Data_3!$B25,"_",Data_3!X$11))=1,X$11,"")</f>
        <v/>
      </c>
      <c r="Y25" s="1424" t="str">
        <f>IF(COUNTIF(Data!$H$16:$H$100,CONCATENATE(Data_3!$B25,"_",Data_3!Y$11))=1,Y$11,"")</f>
        <v/>
      </c>
      <c r="Z25" s="15"/>
      <c r="AA25" s="15"/>
      <c r="AB25" s="15"/>
      <c r="AC25" s="15"/>
      <c r="AD25" s="15"/>
      <c r="AE25" s="15"/>
      <c r="AF25" s="15"/>
      <c r="AG25" s="15"/>
      <c r="AH25" s="15"/>
      <c r="AI25" s="15"/>
      <c r="AJ25" s="15"/>
      <c r="AK25" s="15"/>
      <c r="AL25" s="15"/>
      <c r="AM25" s="15"/>
      <c r="AN25" s="15"/>
      <c r="AO25" s="15"/>
      <c r="AP25" s="15"/>
      <c r="AQ25" s="15"/>
      <c r="AR25" s="15"/>
      <c r="AS25" s="15"/>
      <c r="AT25" s="15"/>
      <c r="AU25" s="15"/>
      <c r="AV25" s="15"/>
      <c r="AW25" s="15"/>
      <c r="AX25" s="15"/>
      <c r="AY25" s="15"/>
      <c r="AZ25" s="15"/>
      <c r="BA25" s="15"/>
      <c r="BB25" s="15"/>
      <c r="BC25" s="15"/>
      <c r="BD25" s="15"/>
      <c r="BE25" s="15"/>
      <c r="BF25" s="15"/>
      <c r="BG25" s="15"/>
      <c r="BH25" s="15"/>
      <c r="BI25" s="15"/>
      <c r="BJ25" s="15"/>
      <c r="BK25" s="15"/>
      <c r="BL25" s="15"/>
      <c r="BM25" s="15"/>
      <c r="BN25" s="15"/>
      <c r="BO25" s="15"/>
      <c r="BP25" s="15"/>
      <c r="BQ25" s="15"/>
      <c r="BR25" s="15"/>
      <c r="BS25" s="15"/>
      <c r="BT25" s="15"/>
      <c r="BU25" s="15"/>
      <c r="BV25" s="15"/>
      <c r="BW25" s="15"/>
      <c r="BX25" s="15"/>
      <c r="BY25" s="15"/>
      <c r="BZ25" s="15"/>
      <c r="CA25" s="15"/>
      <c r="CB25" s="15"/>
      <c r="CC25" s="15"/>
      <c r="CD25" s="15"/>
      <c r="CE25" s="15"/>
      <c r="CF25" s="15"/>
      <c r="CG25" s="15"/>
      <c r="CH25" s="15"/>
      <c r="CI25" s="15"/>
      <c r="CJ25" s="15"/>
      <c r="CK25" s="15"/>
      <c r="CL25" s="15"/>
      <c r="CM25" s="15"/>
      <c r="CN25" s="15"/>
      <c r="CO25" s="15"/>
      <c r="CP25" s="15"/>
      <c r="CQ25" s="15"/>
      <c r="CR25" s="15"/>
      <c r="CS25" s="15"/>
      <c r="CT25" s="15"/>
      <c r="CU25" s="15"/>
      <c r="CV25" s="15"/>
      <c r="CW25" s="15"/>
      <c r="CX25" s="15"/>
      <c r="CY25" s="15"/>
      <c r="CZ25" s="15"/>
      <c r="DA25" s="15"/>
      <c r="DB25" s="15"/>
      <c r="DC25" s="15"/>
      <c r="DD25" s="15"/>
      <c r="DE25" s="15"/>
      <c r="DF25" s="15"/>
      <c r="DG25" s="15"/>
      <c r="DH25" s="15"/>
      <c r="DI25" s="15"/>
      <c r="DJ25" s="15"/>
      <c r="DK25" s="15"/>
      <c r="DL25" s="15"/>
      <c r="DM25" s="15"/>
      <c r="DN25" s="15"/>
      <c r="DO25" s="15"/>
      <c r="DP25" s="15"/>
      <c r="DQ25" s="15"/>
      <c r="DR25" s="15"/>
      <c r="DS25" s="15"/>
      <c r="DT25" s="15"/>
      <c r="DU25" s="15"/>
      <c r="DV25" s="15"/>
      <c r="DW25" s="15"/>
      <c r="DX25" s="15"/>
      <c r="DY25" s="15"/>
      <c r="DZ25" s="15"/>
      <c r="EA25" s="15"/>
      <c r="EB25" s="15"/>
      <c r="EC25" s="15"/>
      <c r="ED25" s="15"/>
      <c r="EE25" s="15"/>
      <c r="EF25" s="15"/>
      <c r="EG25" s="15"/>
      <c r="EH25" s="15"/>
    </row>
    <row r="26" spans="1:138" s="1121" customFormat="1" ht="15" customHeight="1">
      <c r="A26" s="15"/>
      <c r="B26" s="1455" t="str">
        <f t="array" ref="B26">IFERROR(INDEX(Data!$B$16:$B$96,MATCH(0,COUNTIF($B$12:B25,Data!$B$16:$B$96),0)),"")</f>
        <v>City of Melbourne</v>
      </c>
      <c r="C26" s="1345">
        <v>14</v>
      </c>
      <c r="D26" s="1336" t="s">
        <v>182</v>
      </c>
      <c r="E26" s="1424" t="str">
        <f>IF(COUNTIF(Data!$H$16:$H$100,CONCATENATE(Data_3!$B26,"_",Data_3!E$11))=1,E$11,"")</f>
        <v/>
      </c>
      <c r="F26" s="1424" t="str">
        <f>IF(COUNTIF(Data!$H$16:$H$100,CONCATENATE(Data_3!$B26,"_",Data_3!F$11))=1,F$11,"")</f>
        <v/>
      </c>
      <c r="G26" s="1424" t="str">
        <f>IF(COUNTIF(Data!$H$16:$H$100,CONCATENATE(Data_3!$B26,"_",Data_3!G$11))=1,G$11,"")</f>
        <v/>
      </c>
      <c r="H26" s="1424" t="str">
        <f>IF(COUNTIF(Data!$H$16:$H$100,CONCATENATE(Data_3!$B26,"_",Data_3!H$11))=1,H$11,"")</f>
        <v/>
      </c>
      <c r="I26" s="1424" t="str">
        <f>IF(COUNTIF(Data!$H$16:$H$100,CONCATENATE(Data_3!$B26,"_",Data_3!I$11))=1,I$11,"")</f>
        <v/>
      </c>
      <c r="J26" s="1424" t="str">
        <f>IF(COUNTIF(Data!$H$16:$H$100,CONCATENATE(Data_3!$B26,"_",Data_3!J$11))=1,J$11,"")</f>
        <v/>
      </c>
      <c r="K26" s="1424" t="str">
        <f>IF(COUNTIF(Data!$H$16:$H$100,CONCATENATE(Data_3!$B26,"_",Data_3!K$11))=1,K$11,"")</f>
        <v/>
      </c>
      <c r="L26" s="1424" t="str">
        <f>IF(COUNTIF(Data!$H$16:$H$100,CONCATENATE(Data_3!$B26,"_",Data_3!L$11))=1,L$11,"")</f>
        <v/>
      </c>
      <c r="M26" s="1424" t="str">
        <f>IF(COUNTIF(Data!$H$16:$H$100,CONCATENATE(Data_3!$B26,"_",Data_3!M$11))=1,M$11,"")</f>
        <v/>
      </c>
      <c r="N26" s="1424" t="str">
        <f>IF(COUNTIF(Data!$H$16:$H$100,CONCATENATE(Data_3!$B26,"_",Data_3!N$11))=1,N$11,"")</f>
        <v/>
      </c>
      <c r="O26" s="1424" t="str">
        <f>IF(COUNTIF(Data!$H$16:$H$100,CONCATENATE(Data_3!$B26,"_",Data_3!O$11))=1,O$11,"")</f>
        <v/>
      </c>
      <c r="P26" s="1424" t="str">
        <f>IF(COUNTIF(Data!$H$16:$H$100,CONCATENATE(Data_3!$B26,"_",Data_3!P$11))=1,P$11,"")</f>
        <v/>
      </c>
      <c r="Q26" s="1424" t="str">
        <f>IF(COUNTIF(Data!$H$16:$H$100,CONCATENATE(Data_3!$B26,"_",Data_3!Q$11))=1,Q$11,"")</f>
        <v/>
      </c>
      <c r="R26" s="1424">
        <f>IF(COUNTIF(Data!$H$16:$H$100,CONCATENATE(Data_3!$B26,"_",Data_3!R$11))=1,R$11,"")</f>
        <v>2013</v>
      </c>
      <c r="S26" s="1424" t="str">
        <f>IF(COUNTIF(Data!$H$16:$H$100,CONCATENATE(Data_3!$B26,"_",Data_3!S$11))=1,S$11,"")</f>
        <v/>
      </c>
      <c r="T26" s="1424" t="str">
        <f>IF(COUNTIF(Data!$H$16:$H$100,CONCATENATE(Data_3!$B26,"_",Data_3!T$11))=1,T$11,"")</f>
        <v/>
      </c>
      <c r="U26" s="1424" t="str">
        <f>IF(COUNTIF(Data!$H$16:$H$100,CONCATENATE(Data_3!$B26,"_",Data_3!U$11))=1,U$11,"")</f>
        <v/>
      </c>
      <c r="V26" s="1424" t="str">
        <f>IF(COUNTIF(Data!$H$16:$H$100,CONCATENATE(Data_3!$B26,"_",Data_3!V$11))=1,V$11,"")</f>
        <v/>
      </c>
      <c r="W26" s="1424" t="str">
        <f>IF(COUNTIF(Data!$H$16:$H$100,CONCATENATE(Data_3!$B26,"_",Data_3!W$11))=1,W$11,"")</f>
        <v/>
      </c>
      <c r="X26" s="1424" t="str">
        <f>IF(COUNTIF(Data!$H$16:$H$100,CONCATENATE(Data_3!$B26,"_",Data_3!X$11))=1,X$11,"")</f>
        <v/>
      </c>
      <c r="Y26" s="1424" t="str">
        <f>IF(COUNTIF(Data!$H$16:$H$100,CONCATENATE(Data_3!$B26,"_",Data_3!Y$11))=1,Y$11,"")</f>
        <v/>
      </c>
      <c r="Z26" s="15"/>
      <c r="AA26" s="15"/>
      <c r="AB26" s="15"/>
      <c r="AC26" s="15"/>
      <c r="AD26" s="15"/>
      <c r="AE26" s="15"/>
      <c r="AF26" s="15"/>
      <c r="AG26" s="15"/>
      <c r="AH26" s="15"/>
      <c r="AI26" s="15"/>
      <c r="AJ26" s="15"/>
      <c r="AK26" s="15"/>
      <c r="AL26" s="15"/>
      <c r="AM26" s="15"/>
      <c r="AN26" s="15"/>
      <c r="AO26" s="15"/>
      <c r="AP26" s="15"/>
      <c r="AQ26" s="15"/>
      <c r="AR26" s="15"/>
      <c r="AS26" s="15"/>
      <c r="AT26" s="15"/>
      <c r="AU26" s="15"/>
      <c r="AV26" s="15"/>
      <c r="AW26" s="15"/>
      <c r="AX26" s="15"/>
      <c r="AY26" s="15"/>
      <c r="AZ26" s="15"/>
      <c r="BA26" s="15"/>
      <c r="BB26" s="15"/>
      <c r="BC26" s="15"/>
      <c r="BD26" s="15"/>
      <c r="BE26" s="15"/>
      <c r="BF26" s="15"/>
      <c r="BG26" s="15"/>
      <c r="BH26" s="15"/>
      <c r="BI26" s="15"/>
      <c r="BJ26" s="15"/>
      <c r="BK26" s="15"/>
      <c r="BL26" s="15"/>
      <c r="BM26" s="15"/>
      <c r="BN26" s="15"/>
      <c r="BO26" s="15"/>
      <c r="BP26" s="15"/>
      <c r="BQ26" s="15"/>
      <c r="BR26" s="15"/>
      <c r="BS26" s="15"/>
      <c r="BT26" s="15"/>
      <c r="BU26" s="15"/>
      <c r="BV26" s="15"/>
      <c r="BW26" s="15"/>
      <c r="BX26" s="15"/>
      <c r="BY26" s="15"/>
      <c r="BZ26" s="15"/>
      <c r="CA26" s="15"/>
      <c r="CB26" s="15"/>
      <c r="CC26" s="15"/>
      <c r="CD26" s="15"/>
      <c r="CE26" s="15"/>
      <c r="CF26" s="15"/>
      <c r="CG26" s="15"/>
      <c r="CH26" s="15"/>
      <c r="CI26" s="15"/>
      <c r="CJ26" s="15"/>
      <c r="CK26" s="15"/>
      <c r="CL26" s="15"/>
      <c r="CM26" s="15"/>
      <c r="CN26" s="15"/>
      <c r="CO26" s="15"/>
      <c r="CP26" s="15"/>
      <c r="CQ26" s="15"/>
      <c r="CR26" s="15"/>
      <c r="CS26" s="15"/>
      <c r="CT26" s="15"/>
      <c r="CU26" s="15"/>
      <c r="CV26" s="15"/>
      <c r="CW26" s="15"/>
      <c r="CX26" s="15"/>
      <c r="CY26" s="15"/>
      <c r="CZ26" s="15"/>
      <c r="DA26" s="15"/>
      <c r="DB26" s="15"/>
      <c r="DC26" s="15"/>
      <c r="DD26" s="15"/>
      <c r="DE26" s="15"/>
      <c r="DF26" s="15"/>
      <c r="DG26" s="15"/>
      <c r="DH26" s="15"/>
      <c r="DI26" s="15"/>
      <c r="DJ26" s="15"/>
      <c r="DK26" s="15"/>
      <c r="DL26" s="15"/>
      <c r="DM26" s="15"/>
      <c r="DN26" s="15"/>
      <c r="DO26" s="15"/>
      <c r="DP26" s="15"/>
      <c r="DQ26" s="15"/>
      <c r="DR26" s="15"/>
      <c r="DS26" s="15"/>
      <c r="DT26" s="15"/>
      <c r="DU26" s="15"/>
      <c r="DV26" s="15"/>
      <c r="DW26" s="15"/>
      <c r="DX26" s="15"/>
      <c r="DY26" s="15"/>
      <c r="DZ26" s="15"/>
      <c r="EA26" s="15"/>
      <c r="EB26" s="15"/>
      <c r="EC26" s="15"/>
      <c r="ED26" s="15"/>
      <c r="EE26" s="15"/>
      <c r="EF26" s="15"/>
      <c r="EG26" s="15"/>
      <c r="EH26" s="15"/>
    </row>
    <row r="27" spans="1:138" s="1121" customFormat="1" ht="15" customHeight="1">
      <c r="A27" s="1150"/>
      <c r="B27" s="1455" t="str">
        <f t="array" ref="B27">IFERROR(INDEX(Data!$B$16:$B$96,MATCH(0,COUNTIF($B$12:B26,Data!$B$16:$B$96),0)),"")</f>
        <v>Mexico City</v>
      </c>
      <c r="C27" s="1345">
        <v>15</v>
      </c>
      <c r="D27" s="1336" t="s">
        <v>182</v>
      </c>
      <c r="E27" s="1424" t="str">
        <f>IF(COUNTIF(Data!$H$16:$H$100,CONCATENATE(Data_3!$B27,"_",Data_3!E$11))=1,E$11,"")</f>
        <v/>
      </c>
      <c r="F27" s="1424" t="str">
        <f>IF(COUNTIF(Data!$H$16:$H$100,CONCATENATE(Data_3!$B27,"_",Data_3!F$11))=1,F$11,"")</f>
        <v/>
      </c>
      <c r="G27" s="1424" t="str">
        <f>IF(COUNTIF(Data!$H$16:$H$100,CONCATENATE(Data_3!$B27,"_",Data_3!G$11))=1,G$11,"")</f>
        <v/>
      </c>
      <c r="H27" s="1424" t="str">
        <f>IF(COUNTIF(Data!$H$16:$H$100,CONCATENATE(Data_3!$B27,"_",Data_3!H$11))=1,H$11,"")</f>
        <v/>
      </c>
      <c r="I27" s="1424" t="str">
        <f>IF(COUNTIF(Data!$H$16:$H$100,CONCATENATE(Data_3!$B27,"_",Data_3!I$11))=1,I$11,"")</f>
        <v/>
      </c>
      <c r="J27" s="1424" t="str">
        <f>IF(COUNTIF(Data!$H$16:$H$100,CONCATENATE(Data_3!$B27,"_",Data_3!J$11))=1,J$11,"")</f>
        <v/>
      </c>
      <c r="K27" s="1424" t="str">
        <f>IF(COUNTIF(Data!$H$16:$H$100,CONCATENATE(Data_3!$B27,"_",Data_3!K$11))=1,K$11,"")</f>
        <v/>
      </c>
      <c r="L27" s="1424" t="str">
        <f>IF(COUNTIF(Data!$H$16:$H$100,CONCATENATE(Data_3!$B27,"_",Data_3!L$11))=1,L$11,"")</f>
        <v/>
      </c>
      <c r="M27" s="1424" t="str">
        <f>IF(COUNTIF(Data!$H$16:$H$100,CONCATENATE(Data_3!$B27,"_",Data_3!M$11))=1,M$11,"")</f>
        <v/>
      </c>
      <c r="N27" s="1424" t="str">
        <f>IF(COUNTIF(Data!$H$16:$H$100,CONCATENATE(Data_3!$B27,"_",Data_3!N$11))=1,N$11,"")</f>
        <v/>
      </c>
      <c r="O27" s="1424" t="str">
        <f>IF(COUNTIF(Data!$H$16:$H$100,CONCATENATE(Data_3!$B27,"_",Data_3!O$11))=1,O$11,"")</f>
        <v/>
      </c>
      <c r="P27" s="1424" t="str">
        <f>IF(COUNTIF(Data!$H$16:$H$100,CONCATENATE(Data_3!$B27,"_",Data_3!P$11))=1,P$11,"")</f>
        <v/>
      </c>
      <c r="Q27" s="1424">
        <f>IF(COUNTIF(Data!$H$16:$H$100,CONCATENATE(Data_3!$B27,"_",Data_3!Q$11))=1,Q$11,"")</f>
        <v>2012</v>
      </c>
      <c r="R27" s="1424" t="str">
        <f>IF(COUNTIF(Data!$H$16:$H$100,CONCATENATE(Data_3!$B27,"_",Data_3!R$11))=1,R$11,"")</f>
        <v/>
      </c>
      <c r="S27" s="1424" t="str">
        <f>IF(COUNTIF(Data!$H$16:$H$100,CONCATENATE(Data_3!$B27,"_",Data_3!S$11))=1,S$11,"")</f>
        <v/>
      </c>
      <c r="T27" s="1424" t="str">
        <f>IF(COUNTIF(Data!$H$16:$H$100,CONCATENATE(Data_3!$B27,"_",Data_3!T$11))=1,T$11,"")</f>
        <v/>
      </c>
      <c r="U27" s="1424" t="str">
        <f>IF(COUNTIF(Data!$H$16:$H$100,CONCATENATE(Data_3!$B27,"_",Data_3!U$11))=1,U$11,"")</f>
        <v/>
      </c>
      <c r="V27" s="1424" t="str">
        <f>IF(COUNTIF(Data!$H$16:$H$100,CONCATENATE(Data_3!$B27,"_",Data_3!V$11))=1,V$11,"")</f>
        <v/>
      </c>
      <c r="W27" s="1424" t="str">
        <f>IF(COUNTIF(Data!$H$16:$H$100,CONCATENATE(Data_3!$B27,"_",Data_3!W$11))=1,W$11,"")</f>
        <v/>
      </c>
      <c r="X27" s="1424" t="str">
        <f>IF(COUNTIF(Data!$H$16:$H$100,CONCATENATE(Data_3!$B27,"_",Data_3!X$11))=1,X$11,"")</f>
        <v/>
      </c>
      <c r="Y27" s="1424" t="str">
        <f>IF(COUNTIF(Data!$H$16:$H$100,CONCATENATE(Data_3!$B27,"_",Data_3!Y$11))=1,Y$11,"")</f>
        <v/>
      </c>
      <c r="Z27" s="15"/>
      <c r="AA27" s="15"/>
      <c r="AB27" s="15"/>
      <c r="AC27" s="15"/>
      <c r="AD27" s="15"/>
      <c r="AE27" s="15"/>
      <c r="AF27" s="15"/>
      <c r="AG27" s="15"/>
      <c r="AH27" s="15"/>
      <c r="AI27" s="15"/>
      <c r="AJ27" s="15"/>
      <c r="AK27" s="15"/>
      <c r="AL27" s="15"/>
      <c r="AM27" s="15"/>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BN27" s="15"/>
      <c r="BO27" s="15"/>
      <c r="BP27" s="15"/>
      <c r="BQ27" s="15"/>
      <c r="BR27" s="15"/>
      <c r="BS27" s="15"/>
      <c r="BT27" s="15"/>
      <c r="BU27" s="15"/>
      <c r="BV27" s="15"/>
      <c r="BW27" s="15"/>
      <c r="BX27" s="15"/>
      <c r="BY27" s="15"/>
      <c r="BZ27" s="15"/>
      <c r="CA27" s="15"/>
      <c r="CB27" s="15"/>
      <c r="CC27" s="15"/>
      <c r="CD27" s="15"/>
      <c r="CE27" s="15"/>
      <c r="CF27" s="15"/>
      <c r="CG27" s="15"/>
      <c r="CH27" s="15"/>
      <c r="CI27" s="15"/>
      <c r="CJ27" s="15"/>
      <c r="CK27" s="15"/>
      <c r="CL27" s="15"/>
      <c r="CM27" s="15"/>
      <c r="CN27" s="15"/>
      <c r="CO27" s="15"/>
      <c r="CP27" s="15"/>
      <c r="CQ27" s="15"/>
      <c r="CR27" s="15"/>
      <c r="CS27" s="15"/>
      <c r="CT27" s="15"/>
      <c r="CU27" s="15"/>
      <c r="CV27" s="15"/>
      <c r="CW27" s="15"/>
      <c r="CX27" s="15"/>
      <c r="CY27" s="15"/>
      <c r="CZ27" s="15"/>
      <c r="DA27" s="15"/>
      <c r="DB27" s="15"/>
      <c r="DC27" s="15"/>
      <c r="DD27" s="15"/>
      <c r="DE27" s="15"/>
      <c r="DF27" s="15"/>
      <c r="DG27" s="15"/>
      <c r="DH27" s="15"/>
      <c r="DI27" s="15"/>
      <c r="DJ27" s="15"/>
      <c r="DK27" s="15"/>
      <c r="DL27" s="15"/>
      <c r="DM27" s="15"/>
      <c r="DN27" s="15"/>
      <c r="DO27" s="15"/>
      <c r="DP27" s="15"/>
      <c r="DQ27" s="15"/>
      <c r="DR27" s="15"/>
      <c r="DS27" s="15"/>
      <c r="DT27" s="15"/>
      <c r="DU27" s="15"/>
      <c r="DV27" s="15"/>
      <c r="DW27" s="15"/>
      <c r="DX27" s="15"/>
      <c r="DY27" s="15"/>
      <c r="DZ27" s="15"/>
      <c r="EA27" s="15"/>
      <c r="EB27" s="15"/>
      <c r="EC27" s="15"/>
      <c r="ED27" s="15"/>
      <c r="EE27" s="15"/>
      <c r="EF27" s="15"/>
      <c r="EG27" s="15"/>
      <c r="EH27" s="15"/>
    </row>
    <row r="28" spans="1:138" s="34" customFormat="1" ht="15" customHeight="1">
      <c r="A28" s="1150"/>
      <c r="B28" s="1455" t="str">
        <f t="array" ref="B28">IFERROR(INDEX(Data!$B$16:$B$96,MATCH(0,COUNTIF($B$12:B27,Data!$B$16:$B$96),0)),"")</f>
        <v>New York City</v>
      </c>
      <c r="C28" s="1345">
        <v>16</v>
      </c>
      <c r="D28" s="1336" t="s">
        <v>182</v>
      </c>
      <c r="E28" s="1424" t="str">
        <f>IF(COUNTIF(Data!$H$16:$H$100,CONCATENATE(Data_3!$B28,"_",Data_3!E$11))=1,E$11,"")</f>
        <v/>
      </c>
      <c r="F28" s="1424" t="str">
        <f>IF(COUNTIF(Data!$H$16:$H$100,CONCATENATE(Data_3!$B28,"_",Data_3!F$11))=1,F$11,"")</f>
        <v/>
      </c>
      <c r="G28" s="1424" t="str">
        <f>IF(COUNTIF(Data!$H$16:$H$100,CONCATENATE(Data_3!$B28,"_",Data_3!G$11))=1,G$11,"")</f>
        <v/>
      </c>
      <c r="H28" s="1424" t="str">
        <f>IF(COUNTIF(Data!$H$16:$H$100,CONCATENATE(Data_3!$B28,"_",Data_3!H$11))=1,H$11,"")</f>
        <v/>
      </c>
      <c r="I28" s="1424" t="str">
        <f>IF(COUNTIF(Data!$H$16:$H$100,CONCATENATE(Data_3!$B28,"_",Data_3!I$11))=1,I$11,"")</f>
        <v/>
      </c>
      <c r="J28" s="1424" t="str">
        <f>IF(COUNTIF(Data!$H$16:$H$100,CONCATENATE(Data_3!$B28,"_",Data_3!J$11))=1,J$11,"")</f>
        <v/>
      </c>
      <c r="K28" s="1424" t="str">
        <f>IF(COUNTIF(Data!$H$16:$H$100,CONCATENATE(Data_3!$B28,"_",Data_3!K$11))=1,K$11,"")</f>
        <v/>
      </c>
      <c r="L28" s="1424" t="str">
        <f>IF(COUNTIF(Data!$H$16:$H$100,CONCATENATE(Data_3!$B28,"_",Data_3!L$11))=1,L$11,"")</f>
        <v/>
      </c>
      <c r="M28" s="1424" t="str">
        <f>IF(COUNTIF(Data!$H$16:$H$100,CONCATENATE(Data_3!$B28,"_",Data_3!M$11))=1,M$11,"")</f>
        <v/>
      </c>
      <c r="N28" s="1424" t="str">
        <f>IF(COUNTIF(Data!$H$16:$H$100,CONCATENATE(Data_3!$B28,"_",Data_3!N$11))=1,N$11,"")</f>
        <v/>
      </c>
      <c r="O28" s="1424" t="str">
        <f>IF(COUNTIF(Data!$H$16:$H$100,CONCATENATE(Data_3!$B28,"_",Data_3!O$11))=1,O$11,"")</f>
        <v/>
      </c>
      <c r="P28" s="1424" t="str">
        <f>IF(COUNTIF(Data!$H$16:$H$100,CONCATENATE(Data_3!$B28,"_",Data_3!P$11))=1,P$11,"")</f>
        <v/>
      </c>
      <c r="Q28" s="1424" t="str">
        <f>IF(COUNTIF(Data!$H$16:$H$100,CONCATENATE(Data_3!$B28,"_",Data_3!Q$11))=1,Q$11,"")</f>
        <v/>
      </c>
      <c r="R28" s="1424" t="str">
        <f>IF(COUNTIF(Data!$H$16:$H$100,CONCATENATE(Data_3!$B28,"_",Data_3!R$11))=1,R$11,"")</f>
        <v/>
      </c>
      <c r="S28" s="1424">
        <f>IF(COUNTIF(Data!$H$16:$H$100,CONCATENATE(Data_3!$B28,"_",Data_3!S$11))=1,S$11,"")</f>
        <v>2014</v>
      </c>
      <c r="T28" s="1424" t="str">
        <f>IF(COUNTIF(Data!$H$16:$H$100,CONCATENATE(Data_3!$B28,"_",Data_3!T$11))=1,T$11,"")</f>
        <v/>
      </c>
      <c r="U28" s="1424" t="str">
        <f>IF(COUNTIF(Data!$H$16:$H$100,CONCATENATE(Data_3!$B28,"_",Data_3!U$11))=1,U$11,"")</f>
        <v/>
      </c>
      <c r="V28" s="1424" t="str">
        <f>IF(COUNTIF(Data!$H$16:$H$100,CONCATENATE(Data_3!$B28,"_",Data_3!V$11))=1,V$11,"")</f>
        <v/>
      </c>
      <c r="W28" s="1424" t="str">
        <f>IF(COUNTIF(Data!$H$16:$H$100,CONCATENATE(Data_3!$B28,"_",Data_3!W$11))=1,W$11,"")</f>
        <v/>
      </c>
      <c r="X28" s="1424" t="str">
        <f>IF(COUNTIF(Data!$H$16:$H$100,CONCATENATE(Data_3!$B28,"_",Data_3!X$11))=1,X$11,"")</f>
        <v/>
      </c>
      <c r="Y28" s="1424" t="str">
        <f>IF(COUNTIF(Data!$H$16:$H$100,CONCATENATE(Data_3!$B28,"_",Data_3!Y$11))=1,Y$11,"")</f>
        <v/>
      </c>
      <c r="Z28" s="15"/>
      <c r="AA28" s="15"/>
      <c r="AB28" s="15"/>
      <c r="AC28" s="15"/>
      <c r="AD28" s="15"/>
      <c r="AE28" s="15"/>
      <c r="AF28" s="15"/>
      <c r="AG28" s="15"/>
      <c r="AH28" s="15"/>
      <c r="AI28" s="15"/>
      <c r="AJ28" s="15"/>
      <c r="AK28" s="15"/>
      <c r="AL28" s="15"/>
      <c r="AM28" s="15"/>
      <c r="AN28" s="15"/>
      <c r="AO28" s="15"/>
      <c r="AP28" s="15"/>
      <c r="AQ28" s="15"/>
      <c r="AR28" s="15"/>
      <c r="AS28" s="15"/>
      <c r="AT28" s="15"/>
      <c r="AU28" s="15"/>
      <c r="AV28" s="15"/>
      <c r="AW28" s="15"/>
      <c r="AX28" s="15"/>
      <c r="AY28" s="15"/>
      <c r="AZ28" s="15"/>
      <c r="BA28" s="15"/>
      <c r="BB28" s="15"/>
      <c r="BC28" s="15"/>
      <c r="BD28" s="15"/>
      <c r="BE28" s="15"/>
      <c r="BF28" s="15"/>
      <c r="BG28" s="15"/>
      <c r="BH28" s="15"/>
      <c r="BI28" s="15"/>
      <c r="BJ28" s="15"/>
      <c r="BK28" s="15"/>
      <c r="BL28" s="15"/>
      <c r="BM28" s="15"/>
      <c r="BN28" s="15"/>
      <c r="BO28" s="15"/>
      <c r="BP28" s="15"/>
      <c r="BQ28" s="15"/>
      <c r="BR28" s="15"/>
      <c r="BS28" s="15"/>
      <c r="BT28" s="15"/>
      <c r="BU28" s="15"/>
      <c r="BV28" s="15"/>
      <c r="BW28" s="15"/>
      <c r="BX28" s="15"/>
      <c r="BY28" s="15"/>
      <c r="BZ28" s="15"/>
      <c r="CA28" s="15"/>
      <c r="CB28" s="15"/>
      <c r="CC28" s="15"/>
      <c r="CD28" s="15"/>
      <c r="CE28" s="15"/>
      <c r="CF28" s="15"/>
      <c r="CG28" s="15"/>
      <c r="CH28" s="15"/>
      <c r="CI28" s="15"/>
      <c r="CJ28" s="15"/>
      <c r="CK28" s="15"/>
      <c r="CL28" s="15"/>
      <c r="CM28" s="15"/>
      <c r="CN28" s="15"/>
      <c r="CO28" s="15"/>
      <c r="CP28" s="15"/>
      <c r="CQ28" s="15"/>
      <c r="CR28" s="15"/>
      <c r="CS28" s="15"/>
      <c r="CT28" s="15"/>
      <c r="CU28" s="15"/>
      <c r="CV28" s="15"/>
      <c r="CW28" s="15"/>
      <c r="CX28" s="15"/>
      <c r="CY28" s="15"/>
      <c r="CZ28" s="15"/>
      <c r="DA28" s="15"/>
      <c r="DB28" s="15"/>
      <c r="DC28" s="15"/>
      <c r="DD28" s="15"/>
      <c r="DE28" s="15"/>
      <c r="DF28" s="15"/>
      <c r="DG28" s="15"/>
      <c r="DH28" s="15"/>
      <c r="DI28" s="15"/>
      <c r="DJ28" s="15"/>
      <c r="DK28" s="15"/>
      <c r="DL28" s="15"/>
      <c r="DM28" s="15"/>
      <c r="DN28" s="15"/>
      <c r="DO28" s="15"/>
      <c r="DP28" s="15"/>
      <c r="DQ28" s="15"/>
      <c r="DR28" s="15"/>
      <c r="DS28" s="15"/>
      <c r="DT28" s="15"/>
      <c r="DU28" s="15"/>
      <c r="DV28" s="15"/>
      <c r="DW28" s="15"/>
      <c r="DX28" s="15"/>
      <c r="DY28" s="15"/>
      <c r="DZ28" s="15"/>
      <c r="EA28" s="15"/>
      <c r="EB28" s="15"/>
      <c r="EC28" s="15"/>
      <c r="ED28" s="15"/>
      <c r="EE28" s="15"/>
      <c r="EF28" s="15"/>
      <c r="EG28" s="15"/>
      <c r="EH28" s="15"/>
    </row>
    <row r="29" spans="1:138" s="1121" customFormat="1" ht="15" customHeight="1">
      <c r="A29" s="15"/>
      <c r="B29" s="1455" t="str">
        <f t="array" ref="B29">IFERROR(INDEX(Data!$B$16:$B$96,MATCH(0,COUNTIF($B$12:B28,Data!$B$16:$B$96),0)),"")</f>
        <v>Oslo</v>
      </c>
      <c r="C29" s="1345">
        <v>17</v>
      </c>
      <c r="D29" s="1336" t="s">
        <v>182</v>
      </c>
      <c r="E29" s="1424" t="str">
        <f>IF(COUNTIF(Data!$H$16:$H$100,CONCATENATE(Data_3!$B29,"_",Data_3!E$11))=1,E$11,"")</f>
        <v/>
      </c>
      <c r="F29" s="1424" t="str">
        <f>IF(COUNTIF(Data!$H$16:$H$100,CONCATENATE(Data_3!$B29,"_",Data_3!F$11))=1,F$11,"")</f>
        <v/>
      </c>
      <c r="G29" s="1424" t="str">
        <f>IF(COUNTIF(Data!$H$16:$H$100,CONCATENATE(Data_3!$B29,"_",Data_3!G$11))=1,G$11,"")</f>
        <v/>
      </c>
      <c r="H29" s="1424" t="str">
        <f>IF(COUNTIF(Data!$H$16:$H$100,CONCATENATE(Data_3!$B29,"_",Data_3!H$11))=1,H$11,"")</f>
        <v/>
      </c>
      <c r="I29" s="1424" t="str">
        <f>IF(COUNTIF(Data!$H$16:$H$100,CONCATENATE(Data_3!$B29,"_",Data_3!I$11))=1,I$11,"")</f>
        <v/>
      </c>
      <c r="J29" s="1424" t="str">
        <f>IF(COUNTIF(Data!$H$16:$H$100,CONCATENATE(Data_3!$B29,"_",Data_3!J$11))=1,J$11,"")</f>
        <v/>
      </c>
      <c r="K29" s="1424" t="str">
        <f>IF(COUNTIF(Data!$H$16:$H$100,CONCATENATE(Data_3!$B29,"_",Data_3!K$11))=1,K$11,"")</f>
        <v/>
      </c>
      <c r="L29" s="1424" t="str">
        <f>IF(COUNTIF(Data!$H$16:$H$100,CONCATENATE(Data_3!$B29,"_",Data_3!L$11))=1,L$11,"")</f>
        <v/>
      </c>
      <c r="M29" s="1424" t="str">
        <f>IF(COUNTIF(Data!$H$16:$H$100,CONCATENATE(Data_3!$B29,"_",Data_3!M$11))=1,M$11,"")</f>
        <v/>
      </c>
      <c r="N29" s="1424" t="str">
        <f>IF(COUNTIF(Data!$H$16:$H$100,CONCATENATE(Data_3!$B29,"_",Data_3!N$11))=1,N$11,"")</f>
        <v/>
      </c>
      <c r="O29" s="1424" t="str">
        <f>IF(COUNTIF(Data!$H$16:$H$100,CONCATENATE(Data_3!$B29,"_",Data_3!O$11))=1,O$11,"")</f>
        <v/>
      </c>
      <c r="P29" s="1424" t="str">
        <f>IF(COUNTIF(Data!$H$16:$H$100,CONCATENATE(Data_3!$B29,"_",Data_3!P$11))=1,P$11,"")</f>
        <v/>
      </c>
      <c r="Q29" s="1424" t="str">
        <f>IF(COUNTIF(Data!$H$16:$H$100,CONCATENATE(Data_3!$B29,"_",Data_3!Q$11))=1,Q$11,"")</f>
        <v/>
      </c>
      <c r="R29" s="1424">
        <f>IF(COUNTIF(Data!$H$16:$H$100,CONCATENATE(Data_3!$B29,"_",Data_3!R$11))=1,R$11,"")</f>
        <v>2013</v>
      </c>
      <c r="S29" s="1424" t="str">
        <f>IF(COUNTIF(Data!$H$16:$H$100,CONCATENATE(Data_3!$B29,"_",Data_3!S$11))=1,S$11,"")</f>
        <v/>
      </c>
      <c r="T29" s="1424" t="str">
        <f>IF(COUNTIF(Data!$H$16:$H$100,CONCATENATE(Data_3!$B29,"_",Data_3!T$11))=1,T$11,"")</f>
        <v/>
      </c>
      <c r="U29" s="1424" t="str">
        <f>IF(COUNTIF(Data!$H$16:$H$100,CONCATENATE(Data_3!$B29,"_",Data_3!U$11))=1,U$11,"")</f>
        <v/>
      </c>
      <c r="V29" s="1424" t="str">
        <f>IF(COUNTIF(Data!$H$16:$H$100,CONCATENATE(Data_3!$B29,"_",Data_3!V$11))=1,V$11,"")</f>
        <v/>
      </c>
      <c r="W29" s="1424" t="str">
        <f>IF(COUNTIF(Data!$H$16:$H$100,CONCATENATE(Data_3!$B29,"_",Data_3!W$11))=1,W$11,"")</f>
        <v/>
      </c>
      <c r="X29" s="1424" t="str">
        <f>IF(COUNTIF(Data!$H$16:$H$100,CONCATENATE(Data_3!$B29,"_",Data_3!X$11))=1,X$11,"")</f>
        <v/>
      </c>
      <c r="Y29" s="1424" t="str">
        <f>IF(COUNTIF(Data!$H$16:$H$100,CONCATENATE(Data_3!$B29,"_",Data_3!Y$11))=1,Y$11,"")</f>
        <v/>
      </c>
      <c r="Z29" s="15"/>
      <c r="AA29" s="15"/>
      <c r="AB29" s="15"/>
      <c r="AC29" s="15"/>
      <c r="AD29" s="15"/>
      <c r="AE29" s="15"/>
      <c r="AF29" s="15"/>
      <c r="AG29" s="15"/>
      <c r="AH29" s="15"/>
      <c r="AI29" s="15"/>
      <c r="AJ29" s="15"/>
      <c r="AK29" s="15"/>
      <c r="AL29" s="15"/>
      <c r="AM29" s="15"/>
      <c r="AN29" s="15"/>
      <c r="AO29" s="15"/>
      <c r="AP29" s="15"/>
      <c r="AQ29" s="15"/>
      <c r="AR29" s="15"/>
      <c r="AS29" s="15"/>
      <c r="AT29" s="15"/>
      <c r="AU29" s="15"/>
      <c r="AV29" s="15"/>
      <c r="AW29" s="15"/>
      <c r="AX29" s="15"/>
      <c r="AY29" s="15"/>
      <c r="AZ29" s="15"/>
      <c r="BA29" s="15"/>
      <c r="BB29" s="15"/>
      <c r="BC29" s="15"/>
      <c r="BD29" s="15"/>
      <c r="BE29" s="15"/>
      <c r="BF29" s="15"/>
      <c r="BG29" s="15"/>
      <c r="BH29" s="15"/>
      <c r="BI29" s="15"/>
      <c r="BJ29" s="15"/>
      <c r="BK29" s="15"/>
      <c r="BL29" s="15"/>
      <c r="BM29" s="15"/>
      <c r="BN29" s="15"/>
      <c r="BO29" s="15"/>
      <c r="BP29" s="15"/>
      <c r="BQ29" s="15"/>
      <c r="BR29" s="15"/>
      <c r="BS29" s="15"/>
      <c r="BT29" s="15"/>
      <c r="BU29" s="15"/>
      <c r="BV29" s="15"/>
      <c r="BW29" s="15"/>
      <c r="BX29" s="15"/>
      <c r="BY29" s="15"/>
      <c r="BZ29" s="15"/>
      <c r="CA29" s="15"/>
      <c r="CB29" s="15"/>
      <c r="CC29" s="15"/>
      <c r="CD29" s="15"/>
      <c r="CE29" s="15"/>
      <c r="CF29" s="15"/>
      <c r="CG29" s="15"/>
      <c r="CH29" s="15"/>
      <c r="CI29" s="15"/>
      <c r="CJ29" s="15"/>
      <c r="CK29" s="15"/>
      <c r="CL29" s="15"/>
      <c r="CM29" s="15"/>
      <c r="CN29" s="15"/>
      <c r="CO29" s="15"/>
      <c r="CP29" s="15"/>
      <c r="CQ29" s="15"/>
      <c r="CR29" s="15"/>
      <c r="CS29" s="15"/>
      <c r="CT29" s="15"/>
      <c r="CU29" s="15"/>
      <c r="CV29" s="15"/>
      <c r="CW29" s="15"/>
      <c r="CX29" s="15"/>
      <c r="CY29" s="15"/>
      <c r="CZ29" s="15"/>
      <c r="DA29" s="15"/>
      <c r="DB29" s="15"/>
      <c r="DC29" s="15"/>
      <c r="DD29" s="15"/>
      <c r="DE29" s="15"/>
      <c r="DF29" s="15"/>
      <c r="DG29" s="15"/>
      <c r="DH29" s="15"/>
      <c r="DI29" s="15"/>
      <c r="DJ29" s="15"/>
      <c r="DK29" s="15"/>
      <c r="DL29" s="15"/>
      <c r="DM29" s="15"/>
      <c r="DN29" s="15"/>
      <c r="DO29" s="15"/>
      <c r="DP29" s="15"/>
      <c r="DQ29" s="15"/>
      <c r="DR29" s="15"/>
      <c r="DS29" s="15"/>
      <c r="DT29" s="15"/>
      <c r="DU29" s="15"/>
      <c r="DV29" s="15"/>
      <c r="DW29" s="15"/>
      <c r="DX29" s="15"/>
      <c r="DY29" s="15"/>
      <c r="DZ29" s="15"/>
      <c r="EA29" s="15"/>
      <c r="EB29" s="15"/>
      <c r="EC29" s="15"/>
      <c r="ED29" s="15"/>
      <c r="EE29" s="15"/>
      <c r="EF29" s="15"/>
      <c r="EG29" s="15"/>
      <c r="EH29" s="15"/>
    </row>
    <row r="30" spans="1:138" s="1121" customFormat="1" ht="15" customHeight="1">
      <c r="A30" s="15"/>
      <c r="B30" s="1455" t="str">
        <f t="array" ref="B30">IFERROR(INDEX(Data!$B$16:$B$96,MATCH(0,COUNTIF($B$12:B29,Data!$B$16:$B$96),0)),"")</f>
        <v>Paris</v>
      </c>
      <c r="C30" s="1345">
        <v>18</v>
      </c>
      <c r="D30" s="1336" t="s">
        <v>182</v>
      </c>
      <c r="E30" s="1424" t="str">
        <f>IF(COUNTIF(Data!$H$16:$H$100,CONCATENATE(Data_3!$B30,"_",Data_3!E$11))=1,E$11,"")</f>
        <v/>
      </c>
      <c r="F30" s="1424" t="str">
        <f>IF(COUNTIF(Data!$H$16:$H$100,CONCATENATE(Data_3!$B30,"_",Data_3!F$11))=1,F$11,"")</f>
        <v/>
      </c>
      <c r="G30" s="1424" t="str">
        <f>IF(COUNTIF(Data!$H$16:$H$100,CONCATENATE(Data_3!$B30,"_",Data_3!G$11))=1,G$11,"")</f>
        <v/>
      </c>
      <c r="H30" s="1424" t="str">
        <f>IF(COUNTIF(Data!$H$16:$H$100,CONCATENATE(Data_3!$B30,"_",Data_3!H$11))=1,H$11,"")</f>
        <v/>
      </c>
      <c r="I30" s="1424" t="str">
        <f>IF(COUNTIF(Data!$H$16:$H$100,CONCATENATE(Data_3!$B30,"_",Data_3!I$11))=1,I$11,"")</f>
        <v/>
      </c>
      <c r="J30" s="1424" t="str">
        <f>IF(COUNTIF(Data!$H$16:$H$100,CONCATENATE(Data_3!$B30,"_",Data_3!J$11))=1,J$11,"")</f>
        <v/>
      </c>
      <c r="K30" s="1424" t="str">
        <f>IF(COUNTIF(Data!$H$16:$H$100,CONCATENATE(Data_3!$B30,"_",Data_3!K$11))=1,K$11,"")</f>
        <v/>
      </c>
      <c r="L30" s="1424" t="str">
        <f>IF(COUNTIF(Data!$H$16:$H$100,CONCATENATE(Data_3!$B30,"_",Data_3!L$11))=1,L$11,"")</f>
        <v/>
      </c>
      <c r="M30" s="1424" t="str">
        <f>IF(COUNTIF(Data!$H$16:$H$100,CONCATENATE(Data_3!$B30,"_",Data_3!M$11))=1,M$11,"")</f>
        <v/>
      </c>
      <c r="N30" s="1424">
        <f>IF(COUNTIF(Data!$H$16:$H$100,CONCATENATE(Data_3!$B30,"_",Data_3!N$11))=1,N$11,"")</f>
        <v>2009</v>
      </c>
      <c r="O30" s="1424" t="str">
        <f>IF(COUNTIF(Data!$H$16:$H$100,CONCATENATE(Data_3!$B30,"_",Data_3!O$11))=1,O$11,"")</f>
        <v/>
      </c>
      <c r="P30" s="1424" t="str">
        <f>IF(COUNTIF(Data!$H$16:$H$100,CONCATENATE(Data_3!$B30,"_",Data_3!P$11))=1,P$11,"")</f>
        <v/>
      </c>
      <c r="Q30" s="1424" t="str">
        <f>IF(COUNTIF(Data!$H$16:$H$100,CONCATENATE(Data_3!$B30,"_",Data_3!Q$11))=1,Q$11,"")</f>
        <v/>
      </c>
      <c r="R30" s="1424" t="str">
        <f>IF(COUNTIF(Data!$H$16:$H$100,CONCATENATE(Data_3!$B30,"_",Data_3!R$11))=1,R$11,"")</f>
        <v/>
      </c>
      <c r="S30" s="1424" t="str">
        <f>IF(COUNTIF(Data!$H$16:$H$100,CONCATENATE(Data_3!$B30,"_",Data_3!S$11))=1,S$11,"")</f>
        <v/>
      </c>
      <c r="T30" s="1424" t="str">
        <f>IF(COUNTIF(Data!$H$16:$H$100,CONCATENATE(Data_3!$B30,"_",Data_3!T$11))=1,T$11,"")</f>
        <v/>
      </c>
      <c r="U30" s="1424" t="str">
        <f>IF(COUNTIF(Data!$H$16:$H$100,CONCATENATE(Data_3!$B30,"_",Data_3!U$11))=1,U$11,"")</f>
        <v/>
      </c>
      <c r="V30" s="1424" t="str">
        <f>IF(COUNTIF(Data!$H$16:$H$100,CONCATENATE(Data_3!$B30,"_",Data_3!V$11))=1,V$11,"")</f>
        <v/>
      </c>
      <c r="W30" s="1424" t="str">
        <f>IF(COUNTIF(Data!$H$16:$H$100,CONCATENATE(Data_3!$B30,"_",Data_3!W$11))=1,W$11,"")</f>
        <v/>
      </c>
      <c r="X30" s="1424" t="str">
        <f>IF(COUNTIF(Data!$H$16:$H$100,CONCATENATE(Data_3!$B30,"_",Data_3!X$11))=1,X$11,"")</f>
        <v/>
      </c>
      <c r="Y30" s="1424" t="str">
        <f>IF(COUNTIF(Data!$H$16:$H$100,CONCATENATE(Data_3!$B30,"_",Data_3!Y$11))=1,Y$11,"")</f>
        <v/>
      </c>
      <c r="Z30" s="15"/>
      <c r="AA30" s="15"/>
      <c r="AB30" s="15"/>
      <c r="AC30" s="15"/>
      <c r="AD30" s="15"/>
      <c r="AE30" s="15"/>
      <c r="AF30" s="15"/>
      <c r="AG30" s="15"/>
      <c r="AH30" s="15"/>
      <c r="AI30" s="15"/>
      <c r="AJ30" s="15"/>
      <c r="AK30" s="15"/>
      <c r="AL30" s="15"/>
      <c r="AM30" s="15"/>
      <c r="AN30" s="15"/>
      <c r="AO30" s="15"/>
      <c r="AP30" s="15"/>
      <c r="AQ30" s="15"/>
      <c r="AR30" s="15"/>
      <c r="AS30" s="15"/>
      <c r="AT30" s="15"/>
      <c r="AU30" s="15"/>
      <c r="AV30" s="15"/>
      <c r="AW30" s="15"/>
      <c r="AX30" s="15"/>
      <c r="AY30" s="15"/>
      <c r="AZ30" s="15"/>
      <c r="BA30" s="15"/>
      <c r="BB30" s="15"/>
      <c r="BC30" s="15"/>
      <c r="BD30" s="15"/>
      <c r="BE30" s="15"/>
      <c r="BF30" s="15"/>
      <c r="BG30" s="15"/>
      <c r="BH30" s="15"/>
      <c r="BI30" s="15"/>
      <c r="BJ30" s="15"/>
      <c r="BK30" s="15"/>
      <c r="BL30" s="15"/>
      <c r="BM30" s="15"/>
      <c r="BN30" s="15"/>
      <c r="BO30" s="15"/>
      <c r="BP30" s="15"/>
      <c r="BQ30" s="15"/>
      <c r="BR30" s="15"/>
      <c r="BS30" s="15"/>
      <c r="BT30" s="15"/>
      <c r="BU30" s="15"/>
      <c r="BV30" s="15"/>
      <c r="BW30" s="15"/>
      <c r="BX30" s="15"/>
      <c r="BY30" s="15"/>
      <c r="BZ30" s="15"/>
      <c r="CA30" s="15"/>
      <c r="CB30" s="15"/>
      <c r="CC30" s="15"/>
      <c r="CD30" s="15"/>
      <c r="CE30" s="15"/>
      <c r="CF30" s="15"/>
      <c r="CG30" s="15"/>
      <c r="CH30" s="15"/>
      <c r="CI30" s="15"/>
      <c r="CJ30" s="15"/>
      <c r="CK30" s="15"/>
      <c r="CL30" s="15"/>
      <c r="CM30" s="15"/>
      <c r="CN30" s="15"/>
      <c r="CO30" s="15"/>
      <c r="CP30" s="15"/>
      <c r="CQ30" s="15"/>
      <c r="CR30" s="15"/>
      <c r="CS30" s="15"/>
      <c r="CT30" s="15"/>
      <c r="CU30" s="15"/>
      <c r="CV30" s="15"/>
      <c r="CW30" s="15"/>
      <c r="CX30" s="15"/>
      <c r="CY30" s="15"/>
      <c r="CZ30" s="15"/>
      <c r="DA30" s="15"/>
      <c r="DB30" s="15"/>
      <c r="DC30" s="15"/>
      <c r="DD30" s="15"/>
      <c r="DE30" s="15"/>
      <c r="DF30" s="15"/>
      <c r="DG30" s="15"/>
      <c r="DH30" s="15"/>
      <c r="DI30" s="15"/>
      <c r="DJ30" s="15"/>
      <c r="DK30" s="15"/>
      <c r="DL30" s="15"/>
      <c r="DM30" s="15"/>
      <c r="DN30" s="15"/>
      <c r="DO30" s="15"/>
      <c r="DP30" s="15"/>
      <c r="DQ30" s="15"/>
      <c r="DR30" s="15"/>
      <c r="DS30" s="15"/>
      <c r="DT30" s="15"/>
      <c r="DU30" s="15"/>
      <c r="DV30" s="15"/>
      <c r="DW30" s="15"/>
      <c r="DX30" s="15"/>
      <c r="DY30" s="15"/>
      <c r="DZ30" s="15"/>
      <c r="EA30" s="15"/>
      <c r="EB30" s="15"/>
      <c r="EC30" s="15"/>
      <c r="ED30" s="15"/>
      <c r="EE30" s="15"/>
      <c r="EF30" s="15"/>
      <c r="EG30" s="15"/>
      <c r="EH30" s="15"/>
    </row>
    <row r="31" spans="1:138" s="1121" customFormat="1" ht="15" customHeight="1">
      <c r="A31" s="15"/>
      <c r="B31" s="1455" t="str">
        <f t="array" ref="B31">IFERROR(INDEX(Data!$B$16:$B$96,MATCH(0,COUNTIF($B$12:B30,Data!$B$16:$B$96),0)),"")</f>
        <v>Philadelphia</v>
      </c>
      <c r="C31" s="1345">
        <v>19</v>
      </c>
      <c r="D31" s="1336" t="s">
        <v>182</v>
      </c>
      <c r="E31" s="1424" t="str">
        <f>IF(COUNTIF(Data!$H$16:$H$100,CONCATENATE(Data_3!$B31,"_",Data_3!E$11))=1,E$11,"")</f>
        <v/>
      </c>
      <c r="F31" s="1424" t="str">
        <f>IF(COUNTIF(Data!$H$16:$H$100,CONCATENATE(Data_3!$B31,"_",Data_3!F$11))=1,F$11,"")</f>
        <v/>
      </c>
      <c r="G31" s="1424" t="str">
        <f>IF(COUNTIF(Data!$H$16:$H$100,CONCATENATE(Data_3!$B31,"_",Data_3!G$11))=1,G$11,"")</f>
        <v/>
      </c>
      <c r="H31" s="1424" t="str">
        <f>IF(COUNTIF(Data!$H$16:$H$100,CONCATENATE(Data_3!$B31,"_",Data_3!H$11))=1,H$11,"")</f>
        <v/>
      </c>
      <c r="I31" s="1424" t="str">
        <f>IF(COUNTIF(Data!$H$16:$H$100,CONCATENATE(Data_3!$B31,"_",Data_3!I$11))=1,I$11,"")</f>
        <v/>
      </c>
      <c r="J31" s="1424" t="str">
        <f>IF(COUNTIF(Data!$H$16:$H$100,CONCATENATE(Data_3!$B31,"_",Data_3!J$11))=1,J$11,"")</f>
        <v/>
      </c>
      <c r="K31" s="1424" t="str">
        <f>IF(COUNTIF(Data!$H$16:$H$100,CONCATENATE(Data_3!$B31,"_",Data_3!K$11))=1,K$11,"")</f>
        <v/>
      </c>
      <c r="L31" s="1424" t="str">
        <f>IF(COUNTIF(Data!$H$16:$H$100,CONCATENATE(Data_3!$B31,"_",Data_3!L$11))=1,L$11,"")</f>
        <v/>
      </c>
      <c r="M31" s="1424" t="str">
        <f>IF(COUNTIF(Data!$H$16:$H$100,CONCATENATE(Data_3!$B31,"_",Data_3!M$11))=1,M$11,"")</f>
        <v/>
      </c>
      <c r="N31" s="1424" t="str">
        <f>IF(COUNTIF(Data!$H$16:$H$100,CONCATENATE(Data_3!$B31,"_",Data_3!N$11))=1,N$11,"")</f>
        <v/>
      </c>
      <c r="O31" s="1424" t="str">
        <f>IF(COUNTIF(Data!$H$16:$H$100,CONCATENATE(Data_3!$B31,"_",Data_3!O$11))=1,O$11,"")</f>
        <v/>
      </c>
      <c r="P31" s="1424" t="str">
        <f>IF(COUNTIF(Data!$H$16:$H$100,CONCATENATE(Data_3!$B31,"_",Data_3!P$11))=1,P$11,"")</f>
        <v/>
      </c>
      <c r="Q31" s="1424">
        <f>IF(COUNTIF(Data!$H$16:$H$100,CONCATENATE(Data_3!$B31,"_",Data_3!Q$11))=1,Q$11,"")</f>
        <v>2012</v>
      </c>
      <c r="R31" s="1424" t="str">
        <f>IF(COUNTIF(Data!$H$16:$H$100,CONCATENATE(Data_3!$B31,"_",Data_3!R$11))=1,R$11,"")</f>
        <v/>
      </c>
      <c r="S31" s="1424" t="str">
        <f>IF(COUNTIF(Data!$H$16:$H$100,CONCATENATE(Data_3!$B31,"_",Data_3!S$11))=1,S$11,"")</f>
        <v/>
      </c>
      <c r="T31" s="1424" t="str">
        <f>IF(COUNTIF(Data!$H$16:$H$100,CONCATENATE(Data_3!$B31,"_",Data_3!T$11))=1,T$11,"")</f>
        <v/>
      </c>
      <c r="U31" s="1424" t="str">
        <f>IF(COUNTIF(Data!$H$16:$H$100,CONCATENATE(Data_3!$B31,"_",Data_3!U$11))=1,U$11,"")</f>
        <v/>
      </c>
      <c r="V31" s="1424" t="str">
        <f>IF(COUNTIF(Data!$H$16:$H$100,CONCATENATE(Data_3!$B31,"_",Data_3!V$11))=1,V$11,"")</f>
        <v/>
      </c>
      <c r="W31" s="1424" t="str">
        <f>IF(COUNTIF(Data!$H$16:$H$100,CONCATENATE(Data_3!$B31,"_",Data_3!W$11))=1,W$11,"")</f>
        <v/>
      </c>
      <c r="X31" s="1424" t="str">
        <f>IF(COUNTIF(Data!$H$16:$H$100,CONCATENATE(Data_3!$B31,"_",Data_3!X$11))=1,X$11,"")</f>
        <v/>
      </c>
      <c r="Y31" s="1424" t="str">
        <f>IF(COUNTIF(Data!$H$16:$H$100,CONCATENATE(Data_3!$B31,"_",Data_3!Y$11))=1,Y$11,"")</f>
        <v/>
      </c>
      <c r="Z31" s="15"/>
      <c r="AA31" s="15"/>
      <c r="AB31" s="15"/>
      <c r="AC31" s="15"/>
      <c r="AD31" s="15"/>
      <c r="AE31" s="15"/>
      <c r="AF31" s="15"/>
      <c r="AG31" s="15"/>
      <c r="AH31" s="15"/>
      <c r="AI31" s="15"/>
      <c r="AJ31" s="15"/>
      <c r="AK31" s="15"/>
      <c r="AL31" s="15"/>
      <c r="AM31" s="15"/>
      <c r="AN31" s="15"/>
      <c r="AO31" s="15"/>
      <c r="AP31" s="15"/>
      <c r="AQ31" s="15"/>
      <c r="AR31" s="15"/>
      <c r="AS31" s="15"/>
      <c r="AT31" s="15"/>
      <c r="AU31" s="15"/>
      <c r="AV31" s="15"/>
      <c r="AW31" s="15"/>
      <c r="AX31" s="15"/>
      <c r="AY31" s="15"/>
      <c r="AZ31" s="15"/>
      <c r="BA31" s="15"/>
      <c r="BB31" s="15"/>
      <c r="BC31" s="15"/>
      <c r="BD31" s="15"/>
      <c r="BE31" s="15"/>
      <c r="BF31" s="15"/>
      <c r="BG31" s="15"/>
      <c r="BH31" s="15"/>
      <c r="BI31" s="15"/>
      <c r="BJ31" s="15"/>
      <c r="BK31" s="15"/>
      <c r="BL31" s="15"/>
      <c r="BM31" s="15"/>
      <c r="BN31" s="15"/>
      <c r="BO31" s="15"/>
      <c r="BP31" s="15"/>
      <c r="BQ31" s="15"/>
      <c r="BR31" s="15"/>
      <c r="BS31" s="15"/>
      <c r="BT31" s="15"/>
      <c r="BU31" s="15"/>
      <c r="BV31" s="15"/>
      <c r="BW31" s="15"/>
      <c r="BX31" s="15"/>
      <c r="BY31" s="15"/>
      <c r="BZ31" s="15"/>
      <c r="CA31" s="15"/>
      <c r="CB31" s="15"/>
      <c r="CC31" s="15"/>
      <c r="CD31" s="15"/>
      <c r="CE31" s="15"/>
      <c r="CF31" s="15"/>
      <c r="CG31" s="15"/>
      <c r="CH31" s="15"/>
      <c r="CI31" s="15"/>
      <c r="CJ31" s="15"/>
      <c r="CK31" s="15"/>
      <c r="CL31" s="15"/>
      <c r="CM31" s="15"/>
      <c r="CN31" s="15"/>
      <c r="CO31" s="15"/>
      <c r="CP31" s="15"/>
      <c r="CQ31" s="15"/>
      <c r="CR31" s="15"/>
      <c r="CS31" s="15"/>
      <c r="CT31" s="15"/>
      <c r="CU31" s="15"/>
      <c r="CV31" s="15"/>
      <c r="CW31" s="15"/>
      <c r="CX31" s="15"/>
      <c r="CY31" s="15"/>
      <c r="CZ31" s="15"/>
      <c r="DA31" s="15"/>
      <c r="DB31" s="15"/>
      <c r="DC31" s="15"/>
      <c r="DD31" s="15"/>
      <c r="DE31" s="15"/>
      <c r="DF31" s="15"/>
      <c r="DG31" s="15"/>
      <c r="DH31" s="15"/>
      <c r="DI31" s="15"/>
      <c r="DJ31" s="15"/>
      <c r="DK31" s="15"/>
      <c r="DL31" s="15"/>
      <c r="DM31" s="15"/>
      <c r="DN31" s="15"/>
      <c r="DO31" s="15"/>
      <c r="DP31" s="15"/>
      <c r="DQ31" s="15"/>
      <c r="DR31" s="15"/>
      <c r="DS31" s="15"/>
      <c r="DT31" s="15"/>
      <c r="DU31" s="15"/>
      <c r="DV31" s="15"/>
      <c r="DW31" s="15"/>
      <c r="DX31" s="15"/>
      <c r="DY31" s="15"/>
      <c r="DZ31" s="15"/>
      <c r="EA31" s="15"/>
      <c r="EB31" s="15"/>
      <c r="EC31" s="15"/>
      <c r="ED31" s="15"/>
      <c r="EE31" s="15"/>
      <c r="EF31" s="15"/>
      <c r="EG31" s="15"/>
      <c r="EH31" s="15"/>
    </row>
    <row r="32" spans="1:138" s="1039" customFormat="1" ht="15" customHeight="1">
      <c r="A32" s="642"/>
      <c r="B32" s="1455" t="str">
        <f t="array" ref="B32">IFERROR(INDEX(Data!$B$16:$B$96,MATCH(0,COUNTIF($B$12:B31,Data!$B$16:$B$96),0)),"")</f>
        <v>Portland</v>
      </c>
      <c r="C32" s="1345">
        <v>20</v>
      </c>
      <c r="D32" s="1336" t="s">
        <v>182</v>
      </c>
      <c r="E32" s="1424" t="str">
        <f>IF(COUNTIF(Data!$H$16:$H$100,CONCATENATE(Data_3!$B32,"_",Data_3!E$11))=1,E$11,"")</f>
        <v/>
      </c>
      <c r="F32" s="1424" t="str">
        <f>IF(COUNTIF(Data!$H$16:$H$100,CONCATENATE(Data_3!$B32,"_",Data_3!F$11))=1,F$11,"")</f>
        <v/>
      </c>
      <c r="G32" s="1424" t="str">
        <f>IF(COUNTIF(Data!$H$16:$H$100,CONCATENATE(Data_3!$B32,"_",Data_3!G$11))=1,G$11,"")</f>
        <v/>
      </c>
      <c r="H32" s="1424" t="str">
        <f>IF(COUNTIF(Data!$H$16:$H$100,CONCATENATE(Data_3!$B32,"_",Data_3!H$11))=1,H$11,"")</f>
        <v/>
      </c>
      <c r="I32" s="1424" t="str">
        <f>IF(COUNTIF(Data!$H$16:$H$100,CONCATENATE(Data_3!$B32,"_",Data_3!I$11))=1,I$11,"")</f>
        <v/>
      </c>
      <c r="J32" s="1424" t="str">
        <f>IF(COUNTIF(Data!$H$16:$H$100,CONCATENATE(Data_3!$B32,"_",Data_3!J$11))=1,J$11,"")</f>
        <v/>
      </c>
      <c r="K32" s="1424" t="str">
        <f>IF(COUNTIF(Data!$H$16:$H$100,CONCATENATE(Data_3!$B32,"_",Data_3!K$11))=1,K$11,"")</f>
        <v/>
      </c>
      <c r="L32" s="1424" t="str">
        <f>IF(COUNTIF(Data!$H$16:$H$100,CONCATENATE(Data_3!$B32,"_",Data_3!L$11))=1,L$11,"")</f>
        <v/>
      </c>
      <c r="M32" s="1424" t="str">
        <f>IF(COUNTIF(Data!$H$16:$H$100,CONCATENATE(Data_3!$B32,"_",Data_3!M$11))=1,M$11,"")</f>
        <v/>
      </c>
      <c r="N32" s="1424" t="str">
        <f>IF(COUNTIF(Data!$H$16:$H$100,CONCATENATE(Data_3!$B32,"_",Data_3!N$11))=1,N$11,"")</f>
        <v/>
      </c>
      <c r="O32" s="1424" t="str">
        <f>IF(COUNTIF(Data!$H$16:$H$100,CONCATENATE(Data_3!$B32,"_",Data_3!O$11))=1,O$11,"")</f>
        <v/>
      </c>
      <c r="P32" s="1424" t="str">
        <f>IF(COUNTIF(Data!$H$16:$H$100,CONCATENATE(Data_3!$B32,"_",Data_3!P$11))=1,P$11,"")</f>
        <v/>
      </c>
      <c r="Q32" s="1424" t="str">
        <f>IF(COUNTIF(Data!$H$16:$H$100,CONCATENATE(Data_3!$B32,"_",Data_3!Q$11))=1,Q$11,"")</f>
        <v/>
      </c>
      <c r="R32" s="1424">
        <f>IF(COUNTIF(Data!$H$16:$H$100,CONCATENATE(Data_3!$B32,"_",Data_3!R$11))=1,R$11,"")</f>
        <v>2013</v>
      </c>
      <c r="S32" s="1424" t="str">
        <f>IF(COUNTIF(Data!$H$16:$H$100,CONCATENATE(Data_3!$B32,"_",Data_3!S$11))=1,S$11,"")</f>
        <v/>
      </c>
      <c r="T32" s="1424" t="str">
        <f>IF(COUNTIF(Data!$H$16:$H$100,CONCATENATE(Data_3!$B32,"_",Data_3!T$11))=1,T$11,"")</f>
        <v/>
      </c>
      <c r="U32" s="1424" t="str">
        <f>IF(COUNTIF(Data!$H$16:$H$100,CONCATENATE(Data_3!$B32,"_",Data_3!U$11))=1,U$11,"")</f>
        <v/>
      </c>
      <c r="V32" s="1424" t="str">
        <f>IF(COUNTIF(Data!$H$16:$H$100,CONCATENATE(Data_3!$B32,"_",Data_3!V$11))=1,V$11,"")</f>
        <v/>
      </c>
      <c r="W32" s="1424" t="str">
        <f>IF(COUNTIF(Data!$H$16:$H$100,CONCATENATE(Data_3!$B32,"_",Data_3!W$11))=1,W$11,"")</f>
        <v/>
      </c>
      <c r="X32" s="1424" t="str">
        <f>IF(COUNTIF(Data!$H$16:$H$100,CONCATENATE(Data_3!$B32,"_",Data_3!X$11))=1,X$11,"")</f>
        <v/>
      </c>
      <c r="Y32" s="1424" t="str">
        <f>IF(COUNTIF(Data!$H$16:$H$100,CONCATENATE(Data_3!$B32,"_",Data_3!Y$11))=1,Y$11,"")</f>
        <v/>
      </c>
      <c r="Z32" s="15"/>
      <c r="AA32" s="15"/>
      <c r="AB32" s="15"/>
      <c r="AC32" s="15"/>
      <c r="AD32" s="15"/>
      <c r="AE32" s="15"/>
      <c r="AF32" s="15"/>
      <c r="AG32" s="15"/>
      <c r="AH32" s="15"/>
      <c r="AI32" s="15"/>
      <c r="AJ32" s="15"/>
      <c r="AK32" s="15"/>
      <c r="AL32" s="15"/>
      <c r="AM32" s="15"/>
      <c r="AN32" s="15"/>
      <c r="AO32" s="15"/>
      <c r="AP32" s="15"/>
      <c r="AQ32" s="15"/>
      <c r="AR32" s="15"/>
      <c r="AS32" s="15"/>
      <c r="AT32" s="15"/>
      <c r="AU32" s="15"/>
      <c r="AV32" s="15"/>
      <c r="AW32" s="15"/>
      <c r="AX32" s="15"/>
      <c r="AY32" s="15"/>
      <c r="AZ32" s="15"/>
      <c r="BA32" s="15"/>
      <c r="BB32" s="15"/>
      <c r="BC32" s="15"/>
      <c r="BD32" s="15"/>
      <c r="BE32" s="15"/>
      <c r="BF32" s="15"/>
      <c r="BG32" s="15"/>
      <c r="BH32" s="15"/>
      <c r="BI32" s="15"/>
      <c r="BJ32" s="15"/>
      <c r="BK32" s="15"/>
      <c r="BL32" s="15"/>
      <c r="BM32" s="15"/>
      <c r="BN32" s="15"/>
      <c r="BO32" s="15"/>
      <c r="BP32" s="15"/>
      <c r="BQ32" s="15"/>
      <c r="BR32" s="15"/>
      <c r="BS32" s="15"/>
      <c r="BT32" s="15"/>
      <c r="BU32" s="15"/>
      <c r="BV32" s="15"/>
      <c r="BW32" s="15"/>
      <c r="BX32" s="15"/>
      <c r="BY32" s="15"/>
      <c r="BZ32" s="15"/>
      <c r="CA32" s="15"/>
      <c r="CB32" s="15"/>
      <c r="CC32" s="15"/>
      <c r="CD32" s="15"/>
      <c r="CE32" s="15"/>
      <c r="CF32" s="15"/>
      <c r="CG32" s="15"/>
      <c r="CH32" s="15"/>
      <c r="CI32" s="15"/>
      <c r="CJ32" s="15"/>
      <c r="CK32" s="15"/>
      <c r="CL32" s="15"/>
      <c r="CM32" s="15"/>
      <c r="CN32" s="15"/>
      <c r="CO32" s="15"/>
      <c r="CP32" s="15"/>
      <c r="CQ32" s="15"/>
      <c r="CR32" s="15"/>
      <c r="CS32" s="15"/>
      <c r="CT32" s="15"/>
      <c r="CU32" s="15"/>
      <c r="CV32" s="15"/>
      <c r="CW32" s="15"/>
      <c r="CX32" s="15"/>
      <c r="CY32" s="15"/>
      <c r="CZ32" s="15"/>
      <c r="DA32" s="15"/>
      <c r="DB32" s="15"/>
      <c r="DC32" s="15"/>
      <c r="DD32" s="15"/>
      <c r="DE32" s="15"/>
      <c r="DF32" s="15"/>
      <c r="DG32" s="15"/>
      <c r="DH32" s="15"/>
      <c r="DI32" s="15"/>
      <c r="DJ32" s="15"/>
      <c r="DK32" s="15"/>
      <c r="DL32" s="15"/>
      <c r="DM32" s="15"/>
      <c r="DN32" s="15"/>
      <c r="DO32" s="15"/>
      <c r="DP32" s="15"/>
      <c r="DQ32" s="15"/>
      <c r="DR32" s="15"/>
      <c r="DS32" s="15"/>
      <c r="DT32" s="15"/>
      <c r="DU32" s="15"/>
      <c r="DV32" s="15"/>
      <c r="DW32" s="15"/>
      <c r="DX32" s="15"/>
      <c r="DY32" s="15"/>
      <c r="DZ32" s="15"/>
      <c r="EA32" s="15"/>
      <c r="EB32" s="15"/>
      <c r="EC32" s="15"/>
      <c r="ED32" s="15"/>
      <c r="EE32" s="15"/>
      <c r="EF32" s="15"/>
      <c r="EG32" s="15"/>
      <c r="EH32" s="15"/>
    </row>
    <row r="33" spans="1:138" s="1121" customFormat="1" ht="15" customHeight="1">
      <c r="A33" s="15"/>
      <c r="B33" s="1455" t="str">
        <f t="array" ref="B33">IFERROR(INDEX(Data!$B$16:$B$96,MATCH(0,COUNTIF($B$12:B32,Data!$B$16:$B$96),0)),"")</f>
        <v>Quito</v>
      </c>
      <c r="C33" s="1345">
        <v>21</v>
      </c>
      <c r="D33" s="1336" t="s">
        <v>182</v>
      </c>
      <c r="E33" s="1424" t="str">
        <f>IF(COUNTIF(Data!$H$16:$H$100,CONCATENATE(Data_3!$B33,"_",Data_3!E$11))=1,E$11,"")</f>
        <v/>
      </c>
      <c r="F33" s="1424" t="str">
        <f>IF(COUNTIF(Data!$H$16:$H$100,CONCATENATE(Data_3!$B33,"_",Data_3!F$11))=1,F$11,"")</f>
        <v/>
      </c>
      <c r="G33" s="1424" t="str">
        <f>IF(COUNTIF(Data!$H$16:$H$100,CONCATENATE(Data_3!$B33,"_",Data_3!G$11))=1,G$11,"")</f>
        <v/>
      </c>
      <c r="H33" s="1424" t="str">
        <f>IF(COUNTIF(Data!$H$16:$H$100,CONCATENATE(Data_3!$B33,"_",Data_3!H$11))=1,H$11,"")</f>
        <v/>
      </c>
      <c r="I33" s="1424" t="str">
        <f>IF(COUNTIF(Data!$H$16:$H$100,CONCATENATE(Data_3!$B33,"_",Data_3!I$11))=1,I$11,"")</f>
        <v/>
      </c>
      <c r="J33" s="1424" t="str">
        <f>IF(COUNTIF(Data!$H$16:$H$100,CONCATENATE(Data_3!$B33,"_",Data_3!J$11))=1,J$11,"")</f>
        <v/>
      </c>
      <c r="K33" s="1424" t="str">
        <f>IF(COUNTIF(Data!$H$16:$H$100,CONCATENATE(Data_3!$B33,"_",Data_3!K$11))=1,K$11,"")</f>
        <v/>
      </c>
      <c r="L33" s="1424" t="str">
        <f>IF(COUNTIF(Data!$H$16:$H$100,CONCATENATE(Data_3!$B33,"_",Data_3!L$11))=1,L$11,"")</f>
        <v/>
      </c>
      <c r="M33" s="1424" t="str">
        <f>IF(COUNTIF(Data!$H$16:$H$100,CONCATENATE(Data_3!$B33,"_",Data_3!M$11))=1,M$11,"")</f>
        <v/>
      </c>
      <c r="N33" s="1424" t="str">
        <f>IF(COUNTIF(Data!$H$16:$H$100,CONCATENATE(Data_3!$B33,"_",Data_3!N$11))=1,N$11,"")</f>
        <v/>
      </c>
      <c r="O33" s="1424" t="str">
        <f>IF(COUNTIF(Data!$H$16:$H$100,CONCATENATE(Data_3!$B33,"_",Data_3!O$11))=1,O$11,"")</f>
        <v/>
      </c>
      <c r="P33" s="1424">
        <f>IF(COUNTIF(Data!$H$16:$H$100,CONCATENATE(Data_3!$B33,"_",Data_3!P$11))=1,P$11,"")</f>
        <v>2011</v>
      </c>
      <c r="Q33" s="1424" t="str">
        <f>IF(COUNTIF(Data!$H$16:$H$100,CONCATENATE(Data_3!$B33,"_",Data_3!Q$11))=1,Q$11,"")</f>
        <v/>
      </c>
      <c r="R33" s="1424" t="str">
        <f>IF(COUNTIF(Data!$H$16:$H$100,CONCATENATE(Data_3!$B33,"_",Data_3!R$11))=1,R$11,"")</f>
        <v/>
      </c>
      <c r="S33" s="1424" t="str">
        <f>IF(COUNTIF(Data!$H$16:$H$100,CONCATENATE(Data_3!$B33,"_",Data_3!S$11))=1,S$11,"")</f>
        <v/>
      </c>
      <c r="T33" s="1424" t="str">
        <f>IF(COUNTIF(Data!$H$16:$H$100,CONCATENATE(Data_3!$B33,"_",Data_3!T$11))=1,T$11,"")</f>
        <v/>
      </c>
      <c r="U33" s="1424" t="str">
        <f>IF(COUNTIF(Data!$H$16:$H$100,CONCATENATE(Data_3!$B33,"_",Data_3!U$11))=1,U$11,"")</f>
        <v/>
      </c>
      <c r="V33" s="1424" t="str">
        <f>IF(COUNTIF(Data!$H$16:$H$100,CONCATENATE(Data_3!$B33,"_",Data_3!V$11))=1,V$11,"")</f>
        <v/>
      </c>
      <c r="W33" s="1424" t="str">
        <f>IF(COUNTIF(Data!$H$16:$H$100,CONCATENATE(Data_3!$B33,"_",Data_3!W$11))=1,W$11,"")</f>
        <v/>
      </c>
      <c r="X33" s="1424" t="str">
        <f>IF(COUNTIF(Data!$H$16:$H$100,CONCATENATE(Data_3!$B33,"_",Data_3!X$11))=1,X$11,"")</f>
        <v/>
      </c>
      <c r="Y33" s="1424" t="str">
        <f>IF(COUNTIF(Data!$H$16:$H$100,CONCATENATE(Data_3!$B33,"_",Data_3!Y$11))=1,Y$11,"")</f>
        <v/>
      </c>
      <c r="Z33" s="15"/>
      <c r="AA33" s="15"/>
      <c r="AB33" s="15"/>
      <c r="AC33" s="15"/>
      <c r="AD33" s="15"/>
      <c r="AE33" s="15"/>
      <c r="AF33" s="15"/>
      <c r="AG33" s="15"/>
      <c r="AH33" s="15"/>
      <c r="AI33" s="15"/>
      <c r="AJ33" s="15"/>
      <c r="AK33" s="15"/>
      <c r="AL33" s="15"/>
      <c r="AM33" s="15"/>
      <c r="AN33" s="15"/>
      <c r="AO33" s="15"/>
      <c r="AP33" s="15"/>
      <c r="AQ33" s="15"/>
      <c r="AR33" s="15"/>
      <c r="AS33" s="15"/>
      <c r="AT33" s="15"/>
      <c r="AU33" s="15"/>
      <c r="AV33" s="15"/>
      <c r="AW33" s="15"/>
      <c r="AX33" s="15"/>
      <c r="AY33" s="15"/>
      <c r="AZ33" s="15"/>
      <c r="BA33" s="15"/>
      <c r="BB33" s="15"/>
      <c r="BC33" s="15"/>
      <c r="BD33" s="15"/>
      <c r="BE33" s="15"/>
      <c r="BF33" s="15"/>
      <c r="BG33" s="15"/>
      <c r="BH33" s="15"/>
      <c r="BI33" s="15"/>
      <c r="BJ33" s="15"/>
      <c r="BK33" s="15"/>
      <c r="BL33" s="15"/>
      <c r="BM33" s="15"/>
      <c r="BN33" s="15"/>
      <c r="BO33" s="15"/>
      <c r="BP33" s="15"/>
      <c r="BQ33" s="15"/>
      <c r="BR33" s="15"/>
      <c r="BS33" s="15"/>
      <c r="BT33" s="15"/>
      <c r="BU33" s="15"/>
      <c r="BV33" s="15"/>
      <c r="BW33" s="15"/>
      <c r="BX33" s="15"/>
      <c r="BY33" s="15"/>
      <c r="BZ33" s="15"/>
      <c r="CA33" s="15"/>
      <c r="CB33" s="15"/>
      <c r="CC33" s="15"/>
      <c r="CD33" s="15"/>
      <c r="CE33" s="15"/>
      <c r="CF33" s="15"/>
      <c r="CG33" s="15"/>
      <c r="CH33" s="15"/>
      <c r="CI33" s="15"/>
      <c r="CJ33" s="15"/>
      <c r="CK33" s="15"/>
      <c r="CL33" s="15"/>
      <c r="CM33" s="15"/>
      <c r="CN33" s="15"/>
      <c r="CO33" s="15"/>
      <c r="CP33" s="15"/>
      <c r="CQ33" s="15"/>
      <c r="CR33" s="15"/>
      <c r="CS33" s="15"/>
      <c r="CT33" s="15"/>
      <c r="CU33" s="15"/>
      <c r="CV33" s="15"/>
      <c r="CW33" s="15"/>
      <c r="CX33" s="15"/>
      <c r="CY33" s="15"/>
      <c r="CZ33" s="15"/>
      <c r="DA33" s="15"/>
      <c r="DB33" s="15"/>
      <c r="DC33" s="15"/>
      <c r="DD33" s="15"/>
      <c r="DE33" s="15"/>
      <c r="DF33" s="15"/>
      <c r="DG33" s="15"/>
      <c r="DH33" s="15"/>
      <c r="DI33" s="15"/>
      <c r="DJ33" s="15"/>
      <c r="DK33" s="15"/>
      <c r="DL33" s="15"/>
      <c r="DM33" s="15"/>
      <c r="DN33" s="15"/>
      <c r="DO33" s="15"/>
      <c r="DP33" s="15"/>
      <c r="DQ33" s="15"/>
      <c r="DR33" s="15"/>
      <c r="DS33" s="15"/>
      <c r="DT33" s="15"/>
      <c r="DU33" s="15"/>
      <c r="DV33" s="15"/>
      <c r="DW33" s="15"/>
      <c r="DX33" s="15"/>
      <c r="DY33" s="15"/>
      <c r="DZ33" s="15"/>
      <c r="EA33" s="15"/>
      <c r="EB33" s="15"/>
      <c r="EC33" s="15"/>
      <c r="ED33" s="15"/>
      <c r="EE33" s="15"/>
      <c r="EF33" s="15"/>
      <c r="EG33" s="15"/>
      <c r="EH33" s="15"/>
    </row>
    <row r="34" spans="1:138" s="1121" customFormat="1" ht="15" customHeight="1">
      <c r="A34" s="15"/>
      <c r="B34" s="1455" t="str">
        <f t="array" ref="B34">IFERROR(INDEX(Data!$B$16:$B$96,MATCH(0,COUNTIF($B$12:B33,Data!$B$16:$B$96),0)),"")</f>
        <v>Rio de Janeiro</v>
      </c>
      <c r="C34" s="1345">
        <v>22</v>
      </c>
      <c r="D34" s="1336" t="s">
        <v>182</v>
      </c>
      <c r="E34" s="1424" t="str">
        <f>IF(COUNTIF(Data!$H$16:$H$100,CONCATENATE(Data_3!$B34,"_",Data_3!E$11))=1,E$11,"")</f>
        <v/>
      </c>
      <c r="F34" s="1424" t="str">
        <f>IF(COUNTIF(Data!$H$16:$H$100,CONCATENATE(Data_3!$B34,"_",Data_3!F$11))=1,F$11,"")</f>
        <v/>
      </c>
      <c r="G34" s="1424" t="str">
        <f>IF(COUNTIF(Data!$H$16:$H$100,CONCATENATE(Data_3!$B34,"_",Data_3!G$11))=1,G$11,"")</f>
        <v/>
      </c>
      <c r="H34" s="1424" t="str">
        <f>IF(COUNTIF(Data!$H$16:$H$100,CONCATENATE(Data_3!$B34,"_",Data_3!H$11))=1,H$11,"")</f>
        <v/>
      </c>
      <c r="I34" s="1424" t="str">
        <f>IF(COUNTIF(Data!$H$16:$H$100,CONCATENATE(Data_3!$B34,"_",Data_3!I$11))=1,I$11,"")</f>
        <v/>
      </c>
      <c r="J34" s="1424" t="str">
        <f>IF(COUNTIF(Data!$H$16:$H$100,CONCATENATE(Data_3!$B34,"_",Data_3!J$11))=1,J$11,"")</f>
        <v/>
      </c>
      <c r="K34" s="1424" t="str">
        <f>IF(COUNTIF(Data!$H$16:$H$100,CONCATENATE(Data_3!$B34,"_",Data_3!K$11))=1,K$11,"")</f>
        <v/>
      </c>
      <c r="L34" s="1424" t="str">
        <f>IF(COUNTIF(Data!$H$16:$H$100,CONCATENATE(Data_3!$B34,"_",Data_3!L$11))=1,L$11,"")</f>
        <v/>
      </c>
      <c r="M34" s="1424" t="str">
        <f>IF(COUNTIF(Data!$H$16:$H$100,CONCATENATE(Data_3!$B34,"_",Data_3!M$11))=1,M$11,"")</f>
        <v/>
      </c>
      <c r="N34" s="1424" t="str">
        <f>IF(COUNTIF(Data!$H$16:$H$100,CONCATENATE(Data_3!$B34,"_",Data_3!N$11))=1,N$11,"")</f>
        <v/>
      </c>
      <c r="O34" s="1424" t="str">
        <f>IF(COUNTIF(Data!$H$16:$H$100,CONCATENATE(Data_3!$B34,"_",Data_3!O$11))=1,O$11,"")</f>
        <v/>
      </c>
      <c r="P34" s="1424" t="str">
        <f>IF(COUNTIF(Data!$H$16:$H$100,CONCATENATE(Data_3!$B34,"_",Data_3!P$11))=1,P$11,"")</f>
        <v/>
      </c>
      <c r="Q34" s="1424">
        <f>IF(COUNTIF(Data!$H$16:$H$100,CONCATENATE(Data_3!$B34,"_",Data_3!Q$11))=1,Q$11,"")</f>
        <v>2012</v>
      </c>
      <c r="R34" s="1424" t="str">
        <f>IF(COUNTIF(Data!$H$16:$H$100,CONCATENATE(Data_3!$B34,"_",Data_3!R$11))=1,R$11,"")</f>
        <v/>
      </c>
      <c r="S34" s="1424" t="str">
        <f>IF(COUNTIF(Data!$H$16:$H$100,CONCATENATE(Data_3!$B34,"_",Data_3!S$11))=1,S$11,"")</f>
        <v/>
      </c>
      <c r="T34" s="1424" t="str">
        <f>IF(COUNTIF(Data!$H$16:$H$100,CONCATENATE(Data_3!$B34,"_",Data_3!T$11))=1,T$11,"")</f>
        <v/>
      </c>
      <c r="U34" s="1424" t="str">
        <f>IF(COUNTIF(Data!$H$16:$H$100,CONCATENATE(Data_3!$B34,"_",Data_3!U$11))=1,U$11,"")</f>
        <v/>
      </c>
      <c r="V34" s="1424" t="str">
        <f>IF(COUNTIF(Data!$H$16:$H$100,CONCATENATE(Data_3!$B34,"_",Data_3!V$11))=1,V$11,"")</f>
        <v/>
      </c>
      <c r="W34" s="1424" t="str">
        <f>IF(COUNTIF(Data!$H$16:$H$100,CONCATENATE(Data_3!$B34,"_",Data_3!W$11))=1,W$11,"")</f>
        <v/>
      </c>
      <c r="X34" s="1424" t="str">
        <f>IF(COUNTIF(Data!$H$16:$H$100,CONCATENATE(Data_3!$B34,"_",Data_3!X$11))=1,X$11,"")</f>
        <v/>
      </c>
      <c r="Y34" s="1424" t="str">
        <f>IF(COUNTIF(Data!$H$16:$H$100,CONCATENATE(Data_3!$B34,"_",Data_3!Y$11))=1,Y$11,"")</f>
        <v/>
      </c>
      <c r="Z34" s="15"/>
      <c r="AA34" s="15"/>
      <c r="AB34" s="15"/>
      <c r="AC34" s="15"/>
      <c r="AD34" s="15"/>
      <c r="AE34" s="15"/>
      <c r="AF34" s="15"/>
      <c r="AG34" s="15"/>
      <c r="AH34" s="15"/>
      <c r="AI34" s="15"/>
      <c r="AJ34" s="15"/>
      <c r="AK34" s="15"/>
      <c r="AL34" s="15"/>
      <c r="AM34" s="15"/>
      <c r="AN34" s="15"/>
      <c r="AO34" s="15"/>
      <c r="AP34" s="15"/>
      <c r="AQ34" s="15"/>
      <c r="AR34" s="15"/>
      <c r="AS34" s="15"/>
      <c r="AT34" s="15"/>
      <c r="AU34" s="15"/>
      <c r="AV34" s="15"/>
      <c r="AW34" s="15"/>
      <c r="AX34" s="15"/>
      <c r="AY34" s="15"/>
      <c r="AZ34" s="15"/>
      <c r="BA34" s="15"/>
      <c r="BB34" s="15"/>
      <c r="BC34" s="15"/>
      <c r="BD34" s="15"/>
      <c r="BE34" s="15"/>
      <c r="BF34" s="15"/>
      <c r="BG34" s="15"/>
      <c r="BH34" s="15"/>
      <c r="BI34" s="15"/>
      <c r="BJ34" s="15"/>
      <c r="BK34" s="15"/>
      <c r="BL34" s="15"/>
      <c r="BM34" s="15"/>
      <c r="BN34" s="15"/>
      <c r="BO34" s="15"/>
      <c r="BP34" s="15"/>
      <c r="BQ34" s="15"/>
      <c r="BR34" s="15"/>
      <c r="BS34" s="15"/>
      <c r="BT34" s="15"/>
      <c r="BU34" s="15"/>
      <c r="BV34" s="15"/>
      <c r="BW34" s="15"/>
      <c r="BX34" s="15"/>
      <c r="BY34" s="15"/>
      <c r="BZ34" s="15"/>
      <c r="CA34" s="15"/>
      <c r="CB34" s="15"/>
      <c r="CC34" s="15"/>
      <c r="CD34" s="15"/>
      <c r="CE34" s="15"/>
      <c r="CF34" s="15"/>
      <c r="CG34" s="15"/>
      <c r="CH34" s="15"/>
      <c r="CI34" s="15"/>
      <c r="CJ34" s="15"/>
      <c r="CK34" s="15"/>
      <c r="CL34" s="15"/>
      <c r="CM34" s="15"/>
      <c r="CN34" s="15"/>
      <c r="CO34" s="15"/>
      <c r="CP34" s="15"/>
      <c r="CQ34" s="15"/>
      <c r="CR34" s="15"/>
      <c r="CS34" s="15"/>
      <c r="CT34" s="15"/>
      <c r="CU34" s="15"/>
      <c r="CV34" s="15"/>
      <c r="CW34" s="15"/>
      <c r="CX34" s="15"/>
      <c r="CY34" s="15"/>
      <c r="CZ34" s="15"/>
      <c r="DA34" s="15"/>
      <c r="DB34" s="15"/>
      <c r="DC34" s="15"/>
      <c r="DD34" s="15"/>
      <c r="DE34" s="15"/>
      <c r="DF34" s="15"/>
      <c r="DG34" s="15"/>
      <c r="DH34" s="15"/>
      <c r="DI34" s="15"/>
      <c r="DJ34" s="15"/>
      <c r="DK34" s="15"/>
      <c r="DL34" s="15"/>
      <c r="DM34" s="15"/>
      <c r="DN34" s="15"/>
      <c r="DO34" s="15"/>
      <c r="DP34" s="15"/>
      <c r="DQ34" s="15"/>
      <c r="DR34" s="15"/>
      <c r="DS34" s="15"/>
      <c r="DT34" s="15"/>
      <c r="DU34" s="15"/>
      <c r="DV34" s="15"/>
      <c r="DW34" s="15"/>
      <c r="DX34" s="15"/>
      <c r="DY34" s="15"/>
      <c r="DZ34" s="15"/>
      <c r="EA34" s="15"/>
      <c r="EB34" s="15"/>
      <c r="EC34" s="15"/>
      <c r="ED34" s="15"/>
      <c r="EE34" s="15"/>
      <c r="EF34" s="15"/>
      <c r="EG34" s="15"/>
      <c r="EH34" s="15"/>
    </row>
    <row r="35" spans="1:138" s="1121" customFormat="1" ht="15" customHeight="1">
      <c r="A35" s="15"/>
      <c r="B35" s="1455" t="str">
        <f t="array" ref="B35">IFERROR(INDEX(Data!$B$16:$B$96,MATCH(0,COUNTIF($B$12:B34,Data!$B$16:$B$96),0)),"")</f>
        <v>San Francisco</v>
      </c>
      <c r="C35" s="1345">
        <v>23</v>
      </c>
      <c r="D35" s="1336" t="s">
        <v>182</v>
      </c>
      <c r="E35" s="1424" t="str">
        <f>IF(COUNTIF(Data!$H$16:$H$100,CONCATENATE(Data_3!$B35,"_",Data_3!E$11))=1,E$11,"")</f>
        <v/>
      </c>
      <c r="F35" s="1424" t="str">
        <f>IF(COUNTIF(Data!$H$16:$H$100,CONCATENATE(Data_3!$B35,"_",Data_3!F$11))=1,F$11,"")</f>
        <v/>
      </c>
      <c r="G35" s="1424" t="str">
        <f>IF(COUNTIF(Data!$H$16:$H$100,CONCATENATE(Data_3!$B35,"_",Data_3!G$11))=1,G$11,"")</f>
        <v/>
      </c>
      <c r="H35" s="1424" t="str">
        <f>IF(COUNTIF(Data!$H$16:$H$100,CONCATENATE(Data_3!$B35,"_",Data_3!H$11))=1,H$11,"")</f>
        <v/>
      </c>
      <c r="I35" s="1424" t="str">
        <f>IF(COUNTIF(Data!$H$16:$H$100,CONCATENATE(Data_3!$B35,"_",Data_3!I$11))=1,I$11,"")</f>
        <v/>
      </c>
      <c r="J35" s="1424" t="str">
        <f>IF(COUNTIF(Data!$H$16:$H$100,CONCATENATE(Data_3!$B35,"_",Data_3!J$11))=1,J$11,"")</f>
        <v/>
      </c>
      <c r="K35" s="1424" t="str">
        <f>IF(COUNTIF(Data!$H$16:$H$100,CONCATENATE(Data_3!$B35,"_",Data_3!K$11))=1,K$11,"")</f>
        <v/>
      </c>
      <c r="L35" s="1424" t="str">
        <f>IF(COUNTIF(Data!$H$16:$H$100,CONCATENATE(Data_3!$B35,"_",Data_3!L$11))=1,L$11,"")</f>
        <v/>
      </c>
      <c r="M35" s="1424" t="str">
        <f>IF(COUNTIF(Data!$H$16:$H$100,CONCATENATE(Data_3!$B35,"_",Data_3!M$11))=1,M$11,"")</f>
        <v/>
      </c>
      <c r="N35" s="1424" t="str">
        <f>IF(COUNTIF(Data!$H$16:$H$100,CONCATENATE(Data_3!$B35,"_",Data_3!N$11))=1,N$11,"")</f>
        <v/>
      </c>
      <c r="O35" s="1424" t="str">
        <f>IF(COUNTIF(Data!$H$16:$H$100,CONCATENATE(Data_3!$B35,"_",Data_3!O$11))=1,O$11,"")</f>
        <v/>
      </c>
      <c r="P35" s="1424" t="str">
        <f>IF(COUNTIF(Data!$H$16:$H$100,CONCATENATE(Data_3!$B35,"_",Data_3!P$11))=1,P$11,"")</f>
        <v/>
      </c>
      <c r="Q35" s="1424">
        <f>IF(COUNTIF(Data!$H$16:$H$100,CONCATENATE(Data_3!$B35,"_",Data_3!Q$11))=1,Q$11,"")</f>
        <v>2012</v>
      </c>
      <c r="R35" s="1424" t="str">
        <f>IF(COUNTIF(Data!$H$16:$H$100,CONCATENATE(Data_3!$B35,"_",Data_3!R$11))=1,R$11,"")</f>
        <v/>
      </c>
      <c r="S35" s="1424" t="str">
        <f>IF(COUNTIF(Data!$H$16:$H$100,CONCATENATE(Data_3!$B35,"_",Data_3!S$11))=1,S$11,"")</f>
        <v/>
      </c>
      <c r="T35" s="1424" t="str">
        <f>IF(COUNTIF(Data!$H$16:$H$100,CONCATENATE(Data_3!$B35,"_",Data_3!T$11))=1,T$11,"")</f>
        <v/>
      </c>
      <c r="U35" s="1424" t="str">
        <f>IF(COUNTIF(Data!$H$16:$H$100,CONCATENATE(Data_3!$B35,"_",Data_3!U$11))=1,U$11,"")</f>
        <v/>
      </c>
      <c r="V35" s="1424" t="str">
        <f>IF(COUNTIF(Data!$H$16:$H$100,CONCATENATE(Data_3!$B35,"_",Data_3!V$11))=1,V$11,"")</f>
        <v/>
      </c>
      <c r="W35" s="1424" t="str">
        <f>IF(COUNTIF(Data!$H$16:$H$100,CONCATENATE(Data_3!$B35,"_",Data_3!W$11))=1,W$11,"")</f>
        <v/>
      </c>
      <c r="X35" s="1424" t="str">
        <f>IF(COUNTIF(Data!$H$16:$H$100,CONCATENATE(Data_3!$B35,"_",Data_3!X$11))=1,X$11,"")</f>
        <v/>
      </c>
      <c r="Y35" s="1424" t="str">
        <f>IF(COUNTIF(Data!$H$16:$H$100,CONCATENATE(Data_3!$B35,"_",Data_3!Y$11))=1,Y$11,"")</f>
        <v/>
      </c>
      <c r="Z35" s="15"/>
      <c r="AA35" s="15"/>
      <c r="AB35" s="15"/>
      <c r="AC35" s="15"/>
      <c r="AD35" s="15"/>
      <c r="AE35" s="15"/>
      <c r="AF35" s="15"/>
      <c r="AG35" s="15"/>
      <c r="AH35" s="15"/>
      <c r="AI35" s="15"/>
      <c r="AJ35" s="15"/>
      <c r="AK35" s="15"/>
      <c r="AL35" s="15"/>
      <c r="AM35" s="15"/>
      <c r="AN35" s="15"/>
      <c r="AO35" s="15"/>
      <c r="AP35" s="15"/>
      <c r="AQ35" s="15"/>
      <c r="AR35" s="15"/>
      <c r="AS35" s="15"/>
      <c r="AT35" s="15"/>
      <c r="AU35" s="15"/>
      <c r="AV35" s="15"/>
      <c r="AW35" s="15"/>
      <c r="AX35" s="15"/>
      <c r="AY35" s="15"/>
      <c r="AZ35" s="15"/>
      <c r="BA35" s="15"/>
      <c r="BB35" s="15"/>
      <c r="BC35" s="15"/>
      <c r="BD35" s="15"/>
      <c r="BE35" s="15"/>
      <c r="BF35" s="15"/>
      <c r="BG35" s="15"/>
      <c r="BH35" s="15"/>
      <c r="BI35" s="15"/>
      <c r="BJ35" s="15"/>
      <c r="BK35" s="15"/>
      <c r="BL35" s="15"/>
      <c r="BM35" s="15"/>
      <c r="BN35" s="15"/>
      <c r="BO35" s="15"/>
      <c r="BP35" s="15"/>
      <c r="BQ35" s="15"/>
      <c r="BR35" s="15"/>
      <c r="BS35" s="15"/>
      <c r="BT35" s="15"/>
      <c r="BU35" s="15"/>
      <c r="BV35" s="15"/>
      <c r="BW35" s="15"/>
      <c r="BX35" s="15"/>
      <c r="BY35" s="15"/>
      <c r="BZ35" s="15"/>
      <c r="CA35" s="15"/>
      <c r="CB35" s="15"/>
      <c r="CC35" s="15"/>
      <c r="CD35" s="15"/>
      <c r="CE35" s="15"/>
      <c r="CF35" s="15"/>
      <c r="CG35" s="15"/>
      <c r="CH35" s="15"/>
      <c r="CI35" s="15"/>
      <c r="CJ35" s="15"/>
      <c r="CK35" s="15"/>
      <c r="CL35" s="15"/>
      <c r="CM35" s="15"/>
      <c r="CN35" s="15"/>
      <c r="CO35" s="15"/>
      <c r="CP35" s="15"/>
      <c r="CQ35" s="15"/>
      <c r="CR35" s="15"/>
      <c r="CS35" s="15"/>
      <c r="CT35" s="15"/>
      <c r="CU35" s="15"/>
      <c r="CV35" s="15"/>
      <c r="CW35" s="15"/>
      <c r="CX35" s="15"/>
      <c r="CY35" s="15"/>
      <c r="CZ35" s="15"/>
      <c r="DA35" s="15"/>
      <c r="DB35" s="15"/>
      <c r="DC35" s="15"/>
      <c r="DD35" s="15"/>
      <c r="DE35" s="15"/>
      <c r="DF35" s="15"/>
      <c r="DG35" s="15"/>
      <c r="DH35" s="15"/>
      <c r="DI35" s="15"/>
      <c r="DJ35" s="15"/>
      <c r="DK35" s="15"/>
      <c r="DL35" s="15"/>
      <c r="DM35" s="15"/>
      <c r="DN35" s="15"/>
      <c r="DO35" s="15"/>
      <c r="DP35" s="15"/>
      <c r="DQ35" s="15"/>
      <c r="DR35" s="15"/>
      <c r="DS35" s="15"/>
      <c r="DT35" s="15"/>
      <c r="DU35" s="15"/>
      <c r="DV35" s="15"/>
      <c r="DW35" s="15"/>
      <c r="DX35" s="15"/>
      <c r="DY35" s="15"/>
      <c r="DZ35" s="15"/>
      <c r="EA35" s="15"/>
      <c r="EB35" s="15"/>
      <c r="EC35" s="15"/>
      <c r="ED35" s="15"/>
      <c r="EE35" s="15"/>
      <c r="EF35" s="15"/>
      <c r="EG35" s="15"/>
      <c r="EH35" s="15"/>
    </row>
    <row r="36" spans="1:138" s="1121" customFormat="1" ht="15" customHeight="1">
      <c r="A36" s="15"/>
      <c r="B36" s="1455" t="str">
        <f t="array" ref="B36">IFERROR(INDEX(Data!$B$16:$B$96,MATCH(0,COUNTIF($B$12:B35,Data!$B$16:$B$96),0)),"")</f>
        <v>Seattle</v>
      </c>
      <c r="C36" s="1345">
        <v>24</v>
      </c>
      <c r="D36" s="1336" t="s">
        <v>182</v>
      </c>
      <c r="E36" s="1424" t="str">
        <f>IF(COUNTIF(Data!$H$16:$H$100,CONCATENATE(Data_3!$B36,"_",Data_3!E$11))=1,E$11,"")</f>
        <v/>
      </c>
      <c r="F36" s="1424" t="str">
        <f>IF(COUNTIF(Data!$H$16:$H$100,CONCATENATE(Data_3!$B36,"_",Data_3!F$11))=1,F$11,"")</f>
        <v/>
      </c>
      <c r="G36" s="1424" t="str">
        <f>IF(COUNTIF(Data!$H$16:$H$100,CONCATENATE(Data_3!$B36,"_",Data_3!G$11))=1,G$11,"")</f>
        <v/>
      </c>
      <c r="H36" s="1424" t="str">
        <f>IF(COUNTIF(Data!$H$16:$H$100,CONCATENATE(Data_3!$B36,"_",Data_3!H$11))=1,H$11,"")</f>
        <v/>
      </c>
      <c r="I36" s="1424" t="str">
        <f>IF(COUNTIF(Data!$H$16:$H$100,CONCATENATE(Data_3!$B36,"_",Data_3!I$11))=1,I$11,"")</f>
        <v/>
      </c>
      <c r="J36" s="1424" t="str">
        <f>IF(COUNTIF(Data!$H$16:$H$100,CONCATENATE(Data_3!$B36,"_",Data_3!J$11))=1,J$11,"")</f>
        <v/>
      </c>
      <c r="K36" s="1424" t="str">
        <f>IF(COUNTIF(Data!$H$16:$H$100,CONCATENATE(Data_3!$B36,"_",Data_3!K$11))=1,K$11,"")</f>
        <v/>
      </c>
      <c r="L36" s="1424" t="str">
        <f>IF(COUNTIF(Data!$H$16:$H$100,CONCATENATE(Data_3!$B36,"_",Data_3!L$11))=1,L$11,"")</f>
        <v/>
      </c>
      <c r="M36" s="1424" t="str">
        <f>IF(COUNTIF(Data!$H$16:$H$100,CONCATENATE(Data_3!$B36,"_",Data_3!M$11))=1,M$11,"")</f>
        <v/>
      </c>
      <c r="N36" s="1424" t="str">
        <f>IF(COUNTIF(Data!$H$16:$H$100,CONCATENATE(Data_3!$B36,"_",Data_3!N$11))=1,N$11,"")</f>
        <v/>
      </c>
      <c r="O36" s="1424" t="str">
        <f>IF(COUNTIF(Data!$H$16:$H$100,CONCATENATE(Data_3!$B36,"_",Data_3!O$11))=1,O$11,"")</f>
        <v/>
      </c>
      <c r="P36" s="1424" t="str">
        <f>IF(COUNTIF(Data!$H$16:$H$100,CONCATENATE(Data_3!$B36,"_",Data_3!P$11))=1,P$11,"")</f>
        <v/>
      </c>
      <c r="Q36" s="1424">
        <f>IF(COUNTIF(Data!$H$16:$H$100,CONCATENATE(Data_3!$B36,"_",Data_3!Q$11))=1,Q$11,"")</f>
        <v>2012</v>
      </c>
      <c r="R36" s="1424" t="str">
        <f>IF(COUNTIF(Data!$H$16:$H$100,CONCATENATE(Data_3!$B36,"_",Data_3!R$11))=1,R$11,"")</f>
        <v/>
      </c>
      <c r="S36" s="1424" t="str">
        <f>IF(COUNTIF(Data!$H$16:$H$100,CONCATENATE(Data_3!$B36,"_",Data_3!S$11))=1,S$11,"")</f>
        <v/>
      </c>
      <c r="T36" s="1424" t="str">
        <f>IF(COUNTIF(Data!$H$16:$H$100,CONCATENATE(Data_3!$B36,"_",Data_3!T$11))=1,T$11,"")</f>
        <v/>
      </c>
      <c r="U36" s="1424" t="str">
        <f>IF(COUNTIF(Data!$H$16:$H$100,CONCATENATE(Data_3!$B36,"_",Data_3!U$11))=1,U$11,"")</f>
        <v/>
      </c>
      <c r="V36" s="1424" t="str">
        <f>IF(COUNTIF(Data!$H$16:$H$100,CONCATENATE(Data_3!$B36,"_",Data_3!V$11))=1,V$11,"")</f>
        <v/>
      </c>
      <c r="W36" s="1424" t="str">
        <f>IF(COUNTIF(Data!$H$16:$H$100,CONCATENATE(Data_3!$B36,"_",Data_3!W$11))=1,W$11,"")</f>
        <v/>
      </c>
      <c r="X36" s="1424" t="str">
        <f>IF(COUNTIF(Data!$H$16:$H$100,CONCATENATE(Data_3!$B36,"_",Data_3!X$11))=1,X$11,"")</f>
        <v/>
      </c>
      <c r="Y36" s="1424" t="str">
        <f>IF(COUNTIF(Data!$H$16:$H$100,CONCATENATE(Data_3!$B36,"_",Data_3!Y$11))=1,Y$11,"")</f>
        <v/>
      </c>
      <c r="Z36" s="15"/>
      <c r="AA36" s="15"/>
      <c r="AB36" s="15"/>
      <c r="AC36" s="15"/>
      <c r="AD36" s="15"/>
      <c r="AE36" s="15"/>
      <c r="AF36" s="15"/>
      <c r="AG36" s="15"/>
      <c r="AH36" s="15"/>
      <c r="AI36" s="15"/>
      <c r="AJ36" s="15"/>
      <c r="AK36" s="15"/>
      <c r="AL36" s="15"/>
      <c r="AM36" s="15"/>
      <c r="AN36" s="15"/>
      <c r="AO36" s="15"/>
      <c r="AP36" s="15"/>
      <c r="AQ36" s="15"/>
      <c r="AR36" s="15"/>
      <c r="AS36" s="15"/>
      <c r="AT36" s="15"/>
      <c r="AU36" s="15"/>
      <c r="AV36" s="15"/>
      <c r="AW36" s="15"/>
      <c r="AX36" s="15"/>
      <c r="AY36" s="15"/>
      <c r="AZ36" s="15"/>
      <c r="BA36" s="15"/>
      <c r="BB36" s="15"/>
      <c r="BC36" s="15"/>
      <c r="BD36" s="15"/>
      <c r="BE36" s="15"/>
      <c r="BF36" s="15"/>
      <c r="BG36" s="15"/>
      <c r="BH36" s="15"/>
      <c r="BI36" s="15"/>
      <c r="BJ36" s="15"/>
      <c r="BK36" s="15"/>
      <c r="BL36" s="15"/>
      <c r="BM36" s="15"/>
      <c r="BN36" s="15"/>
      <c r="BO36" s="15"/>
      <c r="BP36" s="15"/>
      <c r="BQ36" s="15"/>
      <c r="BR36" s="15"/>
      <c r="BS36" s="15"/>
      <c r="BT36" s="15"/>
      <c r="BU36" s="15"/>
      <c r="BV36" s="15"/>
      <c r="BW36" s="15"/>
      <c r="BX36" s="15"/>
      <c r="BY36" s="15"/>
      <c r="BZ36" s="15"/>
      <c r="CA36" s="15"/>
      <c r="CB36" s="15"/>
      <c r="CC36" s="15"/>
      <c r="CD36" s="15"/>
      <c r="CE36" s="15"/>
      <c r="CF36" s="15"/>
      <c r="CG36" s="15"/>
      <c r="CH36" s="15"/>
      <c r="CI36" s="15"/>
      <c r="CJ36" s="15"/>
      <c r="CK36" s="15"/>
      <c r="CL36" s="15"/>
      <c r="CM36" s="15"/>
      <c r="CN36" s="15"/>
      <c r="CO36" s="15"/>
      <c r="CP36" s="15"/>
      <c r="CQ36" s="15"/>
      <c r="CR36" s="15"/>
      <c r="CS36" s="15"/>
      <c r="CT36" s="15"/>
      <c r="CU36" s="15"/>
      <c r="CV36" s="15"/>
      <c r="CW36" s="15"/>
      <c r="CX36" s="15"/>
      <c r="CY36" s="15"/>
      <c r="CZ36" s="15"/>
      <c r="DA36" s="15"/>
      <c r="DB36" s="15"/>
      <c r="DC36" s="15"/>
      <c r="DD36" s="15"/>
      <c r="DE36" s="15"/>
      <c r="DF36" s="15"/>
      <c r="DG36" s="15"/>
      <c r="DH36" s="15"/>
      <c r="DI36" s="15"/>
      <c r="DJ36" s="15"/>
      <c r="DK36" s="15"/>
      <c r="DL36" s="15"/>
      <c r="DM36" s="15"/>
      <c r="DN36" s="15"/>
      <c r="DO36" s="15"/>
      <c r="DP36" s="15"/>
      <c r="DQ36" s="15"/>
      <c r="DR36" s="15"/>
      <c r="DS36" s="15"/>
      <c r="DT36" s="15"/>
      <c r="DU36" s="15"/>
      <c r="DV36" s="15"/>
      <c r="DW36" s="15"/>
      <c r="DX36" s="15"/>
      <c r="DY36" s="15"/>
      <c r="DZ36" s="15"/>
      <c r="EA36" s="15"/>
      <c r="EB36" s="15"/>
      <c r="EC36" s="15"/>
      <c r="ED36" s="15"/>
      <c r="EE36" s="15"/>
      <c r="EF36" s="15"/>
      <c r="EG36" s="15"/>
      <c r="EH36" s="15"/>
    </row>
    <row r="37" spans="1:138" s="1121" customFormat="1" ht="15" customHeight="1">
      <c r="A37" s="15"/>
      <c r="B37" s="1455" t="str">
        <f t="array" ref="B37">IFERROR(INDEX(Data!$B$16:$B$96,MATCH(0,COUNTIF($B$12:B36,Data!$B$16:$B$96),0)),"")</f>
        <v>Stockholm</v>
      </c>
      <c r="C37" s="1345">
        <v>25</v>
      </c>
      <c r="D37" s="1336" t="s">
        <v>182</v>
      </c>
      <c r="E37" s="1424" t="str">
        <f>IF(COUNTIF(Data!$H$16:$H$100,CONCATENATE(Data_3!$B37,"_",Data_3!E$11))=1,E$11,"")</f>
        <v/>
      </c>
      <c r="F37" s="1424" t="str">
        <f>IF(COUNTIF(Data!$H$16:$H$100,CONCATENATE(Data_3!$B37,"_",Data_3!F$11))=1,F$11,"")</f>
        <v/>
      </c>
      <c r="G37" s="1424" t="str">
        <f>IF(COUNTIF(Data!$H$16:$H$100,CONCATENATE(Data_3!$B37,"_",Data_3!G$11))=1,G$11,"")</f>
        <v/>
      </c>
      <c r="H37" s="1424" t="str">
        <f>IF(COUNTIF(Data!$H$16:$H$100,CONCATENATE(Data_3!$B37,"_",Data_3!H$11))=1,H$11,"")</f>
        <v/>
      </c>
      <c r="I37" s="1424" t="str">
        <f>IF(COUNTIF(Data!$H$16:$H$100,CONCATENATE(Data_3!$B37,"_",Data_3!I$11))=1,I$11,"")</f>
        <v/>
      </c>
      <c r="J37" s="1424" t="str">
        <f>IF(COUNTIF(Data!$H$16:$H$100,CONCATENATE(Data_3!$B37,"_",Data_3!J$11))=1,J$11,"")</f>
        <v/>
      </c>
      <c r="K37" s="1424" t="str">
        <f>IF(COUNTIF(Data!$H$16:$H$100,CONCATENATE(Data_3!$B37,"_",Data_3!K$11))=1,K$11,"")</f>
        <v/>
      </c>
      <c r="L37" s="1424" t="str">
        <f>IF(COUNTIF(Data!$H$16:$H$100,CONCATENATE(Data_3!$B37,"_",Data_3!L$11))=1,L$11,"")</f>
        <v/>
      </c>
      <c r="M37" s="1424" t="str">
        <f>IF(COUNTIF(Data!$H$16:$H$100,CONCATENATE(Data_3!$B37,"_",Data_3!M$11))=1,M$11,"")</f>
        <v/>
      </c>
      <c r="N37" s="1424" t="str">
        <f>IF(COUNTIF(Data!$H$16:$H$100,CONCATENATE(Data_3!$B37,"_",Data_3!N$11))=1,N$11,"")</f>
        <v/>
      </c>
      <c r="O37" s="1424" t="str">
        <f>IF(COUNTIF(Data!$H$16:$H$100,CONCATENATE(Data_3!$B37,"_",Data_3!O$11))=1,O$11,"")</f>
        <v/>
      </c>
      <c r="P37" s="1424" t="str">
        <f>IF(COUNTIF(Data!$H$16:$H$100,CONCATENATE(Data_3!$B37,"_",Data_3!P$11))=1,P$11,"")</f>
        <v/>
      </c>
      <c r="Q37" s="1424">
        <f>IF(COUNTIF(Data!$H$16:$H$100,CONCATENATE(Data_3!$B37,"_",Data_3!Q$11))=1,Q$11,"")</f>
        <v>2012</v>
      </c>
      <c r="R37" s="1424" t="str">
        <f>IF(COUNTIF(Data!$H$16:$H$100,CONCATENATE(Data_3!$B37,"_",Data_3!R$11))=1,R$11,"")</f>
        <v/>
      </c>
      <c r="S37" s="1424" t="str">
        <f>IF(COUNTIF(Data!$H$16:$H$100,CONCATENATE(Data_3!$B37,"_",Data_3!S$11))=1,S$11,"")</f>
        <v/>
      </c>
      <c r="T37" s="1424" t="str">
        <f>IF(COUNTIF(Data!$H$16:$H$100,CONCATENATE(Data_3!$B37,"_",Data_3!T$11))=1,T$11,"")</f>
        <v/>
      </c>
      <c r="U37" s="1424" t="str">
        <f>IF(COUNTIF(Data!$H$16:$H$100,CONCATENATE(Data_3!$B37,"_",Data_3!U$11))=1,U$11,"")</f>
        <v/>
      </c>
      <c r="V37" s="1424" t="str">
        <f>IF(COUNTIF(Data!$H$16:$H$100,CONCATENATE(Data_3!$B37,"_",Data_3!V$11))=1,V$11,"")</f>
        <v/>
      </c>
      <c r="W37" s="1424" t="str">
        <f>IF(COUNTIF(Data!$H$16:$H$100,CONCATENATE(Data_3!$B37,"_",Data_3!W$11))=1,W$11,"")</f>
        <v/>
      </c>
      <c r="X37" s="1424" t="str">
        <f>IF(COUNTIF(Data!$H$16:$H$100,CONCATENATE(Data_3!$B37,"_",Data_3!X$11))=1,X$11,"")</f>
        <v/>
      </c>
      <c r="Y37" s="1424" t="str">
        <f>IF(COUNTIF(Data!$H$16:$H$100,CONCATENATE(Data_3!$B37,"_",Data_3!Y$11))=1,Y$11,"")</f>
        <v/>
      </c>
      <c r="Z37" s="15"/>
      <c r="AA37" s="15"/>
      <c r="AB37" s="15"/>
      <c r="AC37" s="15"/>
      <c r="AD37" s="15"/>
      <c r="AE37" s="15"/>
      <c r="AF37" s="15"/>
      <c r="AG37" s="15"/>
      <c r="AH37" s="15"/>
      <c r="AI37" s="15"/>
      <c r="AJ37" s="15"/>
      <c r="AK37" s="15"/>
      <c r="AL37" s="15"/>
      <c r="AM37" s="15"/>
      <c r="AN37" s="15"/>
      <c r="AO37" s="15"/>
      <c r="AP37" s="15"/>
      <c r="AQ37" s="15"/>
      <c r="AR37" s="15"/>
      <c r="AS37" s="15"/>
      <c r="AT37" s="15"/>
      <c r="AU37" s="15"/>
      <c r="AV37" s="15"/>
      <c r="AW37" s="15"/>
      <c r="AX37" s="15"/>
      <c r="AY37" s="15"/>
      <c r="AZ37" s="15"/>
      <c r="BA37" s="15"/>
      <c r="BB37" s="15"/>
      <c r="BC37" s="15"/>
      <c r="BD37" s="15"/>
      <c r="BE37" s="15"/>
      <c r="BF37" s="15"/>
      <c r="BG37" s="15"/>
      <c r="BH37" s="15"/>
      <c r="BI37" s="15"/>
      <c r="BJ37" s="15"/>
      <c r="BK37" s="15"/>
      <c r="BL37" s="15"/>
      <c r="BM37" s="15"/>
      <c r="BN37" s="15"/>
      <c r="BO37" s="15"/>
      <c r="BP37" s="15"/>
      <c r="BQ37" s="15"/>
      <c r="BR37" s="15"/>
      <c r="BS37" s="15"/>
      <c r="BT37" s="15"/>
      <c r="BU37" s="15"/>
      <c r="BV37" s="15"/>
      <c r="BW37" s="15"/>
      <c r="BX37" s="15"/>
      <c r="BY37" s="15"/>
      <c r="BZ37" s="15"/>
      <c r="CA37" s="15"/>
      <c r="CB37" s="15"/>
      <c r="CC37" s="15"/>
      <c r="CD37" s="15"/>
      <c r="CE37" s="15"/>
      <c r="CF37" s="15"/>
      <c r="CG37" s="15"/>
      <c r="CH37" s="15"/>
      <c r="CI37" s="15"/>
      <c r="CJ37" s="15"/>
      <c r="CK37" s="15"/>
      <c r="CL37" s="15"/>
      <c r="CM37" s="15"/>
      <c r="CN37" s="15"/>
      <c r="CO37" s="15"/>
      <c r="CP37" s="15"/>
      <c r="CQ37" s="15"/>
      <c r="CR37" s="15"/>
      <c r="CS37" s="15"/>
      <c r="CT37" s="15"/>
      <c r="CU37" s="15"/>
      <c r="CV37" s="15"/>
      <c r="CW37" s="15"/>
      <c r="CX37" s="15"/>
      <c r="CY37" s="15"/>
      <c r="CZ37" s="15"/>
      <c r="DA37" s="15"/>
      <c r="DB37" s="15"/>
      <c r="DC37" s="15"/>
      <c r="DD37" s="15"/>
      <c r="DE37" s="15"/>
      <c r="DF37" s="15"/>
      <c r="DG37" s="15"/>
      <c r="DH37" s="15"/>
      <c r="DI37" s="15"/>
      <c r="DJ37" s="15"/>
      <c r="DK37" s="15"/>
      <c r="DL37" s="15"/>
      <c r="DM37" s="15"/>
      <c r="DN37" s="15"/>
      <c r="DO37" s="15"/>
      <c r="DP37" s="15"/>
      <c r="DQ37" s="15"/>
      <c r="DR37" s="15"/>
      <c r="DS37" s="15"/>
      <c r="DT37" s="15"/>
      <c r="DU37" s="15"/>
      <c r="DV37" s="15"/>
      <c r="DW37" s="15"/>
      <c r="DX37" s="15"/>
      <c r="DY37" s="15"/>
      <c r="DZ37" s="15"/>
      <c r="EA37" s="15"/>
      <c r="EB37" s="15"/>
      <c r="EC37" s="15"/>
      <c r="ED37" s="15"/>
      <c r="EE37" s="15"/>
      <c r="EF37" s="15"/>
      <c r="EG37" s="15"/>
      <c r="EH37" s="15"/>
    </row>
    <row r="38" spans="1:138" s="1121" customFormat="1" ht="15" customHeight="1">
      <c r="A38" s="15"/>
      <c r="B38" s="1455" t="str">
        <f t="array" ref="B38">IFERROR(INDEX(Data!$B$16:$B$96,MATCH(0,COUNTIF($B$12:B37,Data!$B$16:$B$96),0)),"")</f>
        <v>City of Sydney</v>
      </c>
      <c r="C38" s="1345">
        <v>26</v>
      </c>
      <c r="D38" s="1424" t="s">
        <v>182</v>
      </c>
      <c r="E38" s="1424" t="str">
        <f>IF(COUNTIF(Data!$H$16:$H$100,CONCATENATE(Data_3!$B38,"_",Data_3!E$11))=1,E$11,"")</f>
        <v/>
      </c>
      <c r="F38" s="1424" t="str">
        <f>IF(COUNTIF(Data!$H$16:$H$100,CONCATENATE(Data_3!$B38,"_",Data_3!F$11))=1,F$11,"")</f>
        <v/>
      </c>
      <c r="G38" s="1424" t="str">
        <f>IF(COUNTIF(Data!$H$16:$H$100,CONCATENATE(Data_3!$B38,"_",Data_3!G$11))=1,G$11,"")</f>
        <v/>
      </c>
      <c r="H38" s="1424" t="str">
        <f>IF(COUNTIF(Data!$H$16:$H$100,CONCATENATE(Data_3!$B38,"_",Data_3!H$11))=1,H$11,"")</f>
        <v/>
      </c>
      <c r="I38" s="1424" t="str">
        <f>IF(COUNTIF(Data!$H$16:$H$100,CONCATENATE(Data_3!$B38,"_",Data_3!I$11))=1,I$11,"")</f>
        <v/>
      </c>
      <c r="J38" s="1424">
        <f>IF(COUNTIF(Data!$H$16:$H$100,CONCATENATE(Data_3!$B38,"_",Data_3!J$11))=1,J$11,"")</f>
        <v>2005</v>
      </c>
      <c r="K38" s="1424" t="str">
        <f>IF(COUNTIF(Data!$H$16:$H$100,CONCATENATE(Data_3!$B38,"_",Data_3!K$11))=1,K$11,"")</f>
        <v/>
      </c>
      <c r="L38" s="1424" t="str">
        <f>IF(COUNTIF(Data!$H$16:$H$100,CONCATENATE(Data_3!$B38,"_",Data_3!L$11))=1,L$11,"")</f>
        <v/>
      </c>
      <c r="M38" s="1424" t="str">
        <f>IF(COUNTIF(Data!$H$16:$H$100,CONCATENATE(Data_3!$B38,"_",Data_3!M$11))=1,M$11,"")</f>
        <v/>
      </c>
      <c r="N38" s="1424" t="str">
        <f>IF(COUNTIF(Data!$H$16:$H$100,CONCATENATE(Data_3!$B38,"_",Data_3!N$11))=1,N$11,"")</f>
        <v/>
      </c>
      <c r="O38" s="1424" t="str">
        <f>IF(COUNTIF(Data!$H$16:$H$100,CONCATENATE(Data_3!$B38,"_",Data_3!O$11))=1,O$11,"")</f>
        <v/>
      </c>
      <c r="P38" s="1424" t="str">
        <f>IF(COUNTIF(Data!$H$16:$H$100,CONCATENATE(Data_3!$B38,"_",Data_3!P$11))=1,P$11,"")</f>
        <v/>
      </c>
      <c r="Q38" s="1424" t="str">
        <f>IF(COUNTIF(Data!$H$16:$H$100,CONCATENATE(Data_3!$B38,"_",Data_3!Q$11))=1,Q$11,"")</f>
        <v/>
      </c>
      <c r="R38" s="1424">
        <f>IF(COUNTIF(Data!$H$16:$H$100,CONCATENATE(Data_3!$B38,"_",Data_3!R$11))=1,R$11,"")</f>
        <v>2013</v>
      </c>
      <c r="S38" s="1424">
        <f>IF(COUNTIF(Data!$H$16:$H$100,CONCATENATE(Data_3!$B38,"_",Data_3!S$11))=1,S$11,"")</f>
        <v>2014</v>
      </c>
      <c r="T38" s="1424" t="str">
        <f>IF(COUNTIF(Data!$H$16:$H$100,CONCATENATE(Data_3!$B38,"_",Data_3!T$11))=1,T$11,"")</f>
        <v/>
      </c>
      <c r="U38" s="1424" t="str">
        <f>IF(COUNTIF(Data!$H$16:$H$100,CONCATENATE(Data_3!$B38,"_",Data_3!U$11))=1,U$11,"")</f>
        <v/>
      </c>
      <c r="V38" s="1424" t="str">
        <f>IF(COUNTIF(Data!$H$16:$H$100,CONCATENATE(Data_3!$B38,"_",Data_3!V$11))=1,V$11,"")</f>
        <v/>
      </c>
      <c r="W38" s="1424" t="str">
        <f>IF(COUNTIF(Data!$H$16:$H$100,CONCATENATE(Data_3!$B38,"_",Data_3!W$11))=1,W$11,"")</f>
        <v/>
      </c>
      <c r="X38" s="1424" t="str">
        <f>IF(COUNTIF(Data!$H$16:$H$100,CONCATENATE(Data_3!$B38,"_",Data_3!X$11))=1,X$11,"")</f>
        <v/>
      </c>
      <c r="Y38" s="1424" t="str">
        <f>IF(COUNTIF(Data!$H$16:$H$100,CONCATENATE(Data_3!$B38,"_",Data_3!Y$11))=1,Y$11,"")</f>
        <v/>
      </c>
      <c r="Z38" s="15"/>
      <c r="AA38" s="15"/>
      <c r="AB38" s="15"/>
      <c r="AC38" s="15"/>
      <c r="AD38" s="15"/>
      <c r="AE38" s="15"/>
      <c r="AF38" s="15"/>
      <c r="AG38" s="15"/>
      <c r="AH38" s="15"/>
      <c r="AI38" s="15"/>
      <c r="AJ38" s="15"/>
      <c r="AK38" s="15"/>
      <c r="AL38" s="15"/>
      <c r="AM38" s="15"/>
      <c r="AN38" s="15"/>
      <c r="AO38" s="15"/>
      <c r="AP38" s="15"/>
      <c r="AQ38" s="15"/>
      <c r="AR38" s="15"/>
      <c r="AS38" s="15"/>
      <c r="AT38" s="15"/>
      <c r="AU38" s="15"/>
      <c r="AV38" s="15"/>
      <c r="AW38" s="15"/>
      <c r="AX38" s="15"/>
      <c r="AY38" s="15"/>
      <c r="AZ38" s="15"/>
      <c r="BA38" s="15"/>
      <c r="BB38" s="15"/>
      <c r="BC38" s="15"/>
      <c r="BD38" s="15"/>
      <c r="BE38" s="15"/>
      <c r="BF38" s="15"/>
      <c r="BG38" s="15"/>
      <c r="BH38" s="15"/>
      <c r="BI38" s="15"/>
      <c r="BJ38" s="15"/>
      <c r="BK38" s="15"/>
      <c r="BL38" s="15"/>
      <c r="BM38" s="15"/>
      <c r="BN38" s="15"/>
      <c r="BO38" s="15"/>
      <c r="BP38" s="15"/>
      <c r="BQ38" s="15"/>
      <c r="BR38" s="15"/>
      <c r="BS38" s="15"/>
      <c r="BT38" s="15"/>
      <c r="BU38" s="15"/>
      <c r="BV38" s="15"/>
      <c r="BW38" s="15"/>
      <c r="BX38" s="15"/>
      <c r="BY38" s="15"/>
      <c r="BZ38" s="15"/>
      <c r="CA38" s="15"/>
      <c r="CB38" s="15"/>
      <c r="CC38" s="15"/>
      <c r="CD38" s="15"/>
      <c r="CE38" s="15"/>
      <c r="CF38" s="15"/>
      <c r="CG38" s="15"/>
      <c r="CH38" s="15"/>
      <c r="CI38" s="15"/>
      <c r="CJ38" s="15"/>
      <c r="CK38" s="15"/>
      <c r="CL38" s="15"/>
      <c r="CM38" s="15"/>
      <c r="CN38" s="15"/>
      <c r="CO38" s="15"/>
      <c r="CP38" s="15"/>
      <c r="CQ38" s="15"/>
      <c r="CR38" s="15"/>
      <c r="CS38" s="15"/>
      <c r="CT38" s="15"/>
      <c r="CU38" s="15"/>
      <c r="CV38" s="15"/>
      <c r="CW38" s="15"/>
      <c r="CX38" s="15"/>
      <c r="CY38" s="15"/>
      <c r="CZ38" s="15"/>
      <c r="DA38" s="15"/>
      <c r="DB38" s="15"/>
      <c r="DC38" s="15"/>
      <c r="DD38" s="15"/>
      <c r="DE38" s="15"/>
      <c r="DF38" s="15"/>
      <c r="DG38" s="15"/>
      <c r="DH38" s="15"/>
      <c r="DI38" s="15"/>
      <c r="DJ38" s="15"/>
      <c r="DK38" s="15"/>
      <c r="DL38" s="15"/>
      <c r="DM38" s="15"/>
      <c r="DN38" s="15"/>
      <c r="DO38" s="15"/>
      <c r="DP38" s="15"/>
      <c r="DQ38" s="15"/>
      <c r="DR38" s="15"/>
      <c r="DS38" s="15"/>
      <c r="DT38" s="15"/>
      <c r="DU38" s="15"/>
      <c r="DV38" s="15"/>
      <c r="DW38" s="15"/>
      <c r="DX38" s="15"/>
      <c r="DY38" s="15"/>
      <c r="DZ38" s="15"/>
      <c r="EA38" s="15"/>
      <c r="EB38" s="15"/>
      <c r="EC38" s="15"/>
      <c r="ED38" s="15"/>
      <c r="EE38" s="15"/>
      <c r="EF38" s="15"/>
      <c r="EG38" s="15"/>
      <c r="EH38" s="15"/>
    </row>
    <row r="39" spans="1:138" s="1121" customFormat="1" ht="15" customHeight="1">
      <c r="A39" s="1151"/>
      <c r="B39" s="1455" t="str">
        <f t="array" ref="B39">IFERROR(INDEX(Data!$B$16:$B$96,MATCH(0,COUNTIF($B$12:B38,Data!$B$16:$B$96),0)),"")</f>
        <v>Toronto</v>
      </c>
      <c r="C39" s="1345">
        <v>27</v>
      </c>
      <c r="D39" s="1424" t="s">
        <v>182</v>
      </c>
      <c r="E39" s="1424" t="str">
        <f>IF(COUNTIF(Data!$H$16:$H$100,CONCATENATE(Data_3!$B39,"_",Data_3!E$11))=1,E$11,"")</f>
        <v/>
      </c>
      <c r="F39" s="1424" t="str">
        <f>IF(COUNTIF(Data!$H$16:$H$100,CONCATENATE(Data_3!$B39,"_",Data_3!F$11))=1,F$11,"")</f>
        <v/>
      </c>
      <c r="G39" s="1424" t="str">
        <f>IF(COUNTIF(Data!$H$16:$H$100,CONCATENATE(Data_3!$B39,"_",Data_3!G$11))=1,G$11,"")</f>
        <v/>
      </c>
      <c r="H39" s="1424" t="str">
        <f>IF(COUNTIF(Data!$H$16:$H$100,CONCATENATE(Data_3!$B39,"_",Data_3!H$11))=1,H$11,"")</f>
        <v/>
      </c>
      <c r="I39" s="1424" t="str">
        <f>IF(COUNTIF(Data!$H$16:$H$100,CONCATENATE(Data_3!$B39,"_",Data_3!I$11))=1,I$11,"")</f>
        <v/>
      </c>
      <c r="J39" s="1424" t="str">
        <f>IF(COUNTIF(Data!$H$16:$H$100,CONCATENATE(Data_3!$B39,"_",Data_3!J$11))=1,J$11,"")</f>
        <v/>
      </c>
      <c r="K39" s="1424" t="str">
        <f>IF(COUNTIF(Data!$H$16:$H$100,CONCATENATE(Data_3!$B39,"_",Data_3!K$11))=1,K$11,"")</f>
        <v/>
      </c>
      <c r="L39" s="1424" t="str">
        <f>IF(COUNTIF(Data!$H$16:$H$100,CONCATENATE(Data_3!$B39,"_",Data_3!L$11))=1,L$11,"")</f>
        <v/>
      </c>
      <c r="M39" s="1424" t="str">
        <f>IF(COUNTIF(Data!$H$16:$H$100,CONCATENATE(Data_3!$B39,"_",Data_3!M$11))=1,M$11,"")</f>
        <v/>
      </c>
      <c r="N39" s="1424" t="str">
        <f>IF(COUNTIF(Data!$H$16:$H$100,CONCATENATE(Data_3!$B39,"_",Data_3!N$11))=1,N$11,"")</f>
        <v/>
      </c>
      <c r="O39" s="1424" t="str">
        <f>IF(COUNTIF(Data!$H$16:$H$100,CONCATENATE(Data_3!$B39,"_",Data_3!O$11))=1,O$11,"")</f>
        <v/>
      </c>
      <c r="P39" s="1424" t="str">
        <f>IF(COUNTIF(Data!$H$16:$H$100,CONCATENATE(Data_3!$B39,"_",Data_3!P$11))=1,P$11,"")</f>
        <v/>
      </c>
      <c r="Q39" s="1424" t="str">
        <f>IF(COUNTIF(Data!$H$16:$H$100,CONCATENATE(Data_3!$B39,"_",Data_3!Q$11))=1,Q$11,"")</f>
        <v/>
      </c>
      <c r="R39" s="1424">
        <f>IF(COUNTIF(Data!$H$16:$H$100,CONCATENATE(Data_3!$B39,"_",Data_3!R$11))=1,R$11,"")</f>
        <v>2013</v>
      </c>
      <c r="S39" s="1424" t="str">
        <f>IF(COUNTIF(Data!$H$16:$H$100,CONCATENATE(Data_3!$B39,"_",Data_3!S$11))=1,S$11,"")</f>
        <v/>
      </c>
      <c r="T39" s="1424" t="str">
        <f>IF(COUNTIF(Data!$H$16:$H$100,CONCATENATE(Data_3!$B39,"_",Data_3!T$11))=1,T$11,"")</f>
        <v/>
      </c>
      <c r="U39" s="1424" t="str">
        <f>IF(COUNTIF(Data!$H$16:$H$100,CONCATENATE(Data_3!$B39,"_",Data_3!U$11))=1,U$11,"")</f>
        <v/>
      </c>
      <c r="V39" s="1424" t="str">
        <f>IF(COUNTIF(Data!$H$16:$H$100,CONCATENATE(Data_3!$B39,"_",Data_3!V$11))=1,V$11,"")</f>
        <v/>
      </c>
      <c r="W39" s="1424" t="str">
        <f>IF(COUNTIF(Data!$H$16:$H$100,CONCATENATE(Data_3!$B39,"_",Data_3!W$11))=1,W$11,"")</f>
        <v/>
      </c>
      <c r="X39" s="1424" t="str">
        <f>IF(COUNTIF(Data!$H$16:$H$100,CONCATENATE(Data_3!$B39,"_",Data_3!X$11))=1,X$11,"")</f>
        <v/>
      </c>
      <c r="Y39" s="1424" t="str">
        <f>IF(COUNTIF(Data!$H$16:$H$100,CONCATENATE(Data_3!$B39,"_",Data_3!Y$11))=1,Y$11,"")</f>
        <v/>
      </c>
      <c r="Z39" s="15"/>
      <c r="AA39" s="15"/>
      <c r="AB39" s="15"/>
      <c r="AC39" s="15"/>
      <c r="AD39" s="15"/>
      <c r="AE39" s="15"/>
      <c r="AF39" s="15"/>
      <c r="AG39" s="15"/>
      <c r="AH39" s="15"/>
      <c r="AI39" s="15"/>
      <c r="AJ39" s="15"/>
      <c r="AK39" s="15"/>
      <c r="AL39" s="15"/>
      <c r="AM39" s="15"/>
      <c r="AN39" s="15"/>
      <c r="AO39" s="15"/>
      <c r="AP39" s="15"/>
      <c r="AQ39" s="15"/>
      <c r="AR39" s="15"/>
      <c r="AS39" s="15"/>
      <c r="AT39" s="15"/>
      <c r="AU39" s="15"/>
      <c r="AV39" s="15"/>
      <c r="AW39" s="15"/>
      <c r="AX39" s="15"/>
      <c r="AY39" s="15"/>
      <c r="AZ39" s="15"/>
      <c r="BA39" s="15"/>
      <c r="BB39" s="15"/>
      <c r="BC39" s="15"/>
      <c r="BD39" s="15"/>
      <c r="BE39" s="15"/>
      <c r="BF39" s="15"/>
      <c r="BG39" s="15"/>
      <c r="BH39" s="15"/>
      <c r="BI39" s="15"/>
      <c r="BJ39" s="15"/>
      <c r="BK39" s="15"/>
      <c r="BL39" s="15"/>
      <c r="BM39" s="15"/>
      <c r="BN39" s="15"/>
      <c r="BO39" s="15"/>
      <c r="BP39" s="15"/>
      <c r="BQ39" s="15"/>
      <c r="BR39" s="15"/>
      <c r="BS39" s="15"/>
      <c r="BT39" s="15"/>
      <c r="BU39" s="15"/>
      <c r="BV39" s="15"/>
      <c r="BW39" s="15"/>
      <c r="BX39" s="15"/>
      <c r="BY39" s="15"/>
      <c r="BZ39" s="15"/>
      <c r="CA39" s="15"/>
      <c r="CB39" s="15"/>
      <c r="CC39" s="15"/>
      <c r="CD39" s="15"/>
      <c r="CE39" s="15"/>
      <c r="CF39" s="15"/>
      <c r="CG39" s="15"/>
      <c r="CH39" s="15"/>
      <c r="CI39" s="15"/>
      <c r="CJ39" s="15"/>
      <c r="CK39" s="15"/>
      <c r="CL39" s="15"/>
      <c r="CM39" s="15"/>
      <c r="CN39" s="15"/>
      <c r="CO39" s="15"/>
      <c r="CP39" s="15"/>
      <c r="CQ39" s="15"/>
      <c r="CR39" s="15"/>
      <c r="CS39" s="15"/>
      <c r="CT39" s="15"/>
      <c r="CU39" s="15"/>
      <c r="CV39" s="15"/>
      <c r="CW39" s="15"/>
      <c r="CX39" s="15"/>
      <c r="CY39" s="15"/>
      <c r="CZ39" s="15"/>
      <c r="DA39" s="15"/>
      <c r="DB39" s="15"/>
      <c r="DC39" s="15"/>
      <c r="DD39" s="15"/>
      <c r="DE39" s="15"/>
      <c r="DF39" s="15"/>
      <c r="DG39" s="15"/>
      <c r="DH39" s="15"/>
      <c r="DI39" s="15"/>
      <c r="DJ39" s="15"/>
      <c r="DK39" s="15"/>
      <c r="DL39" s="15"/>
      <c r="DM39" s="15"/>
      <c r="DN39" s="15"/>
      <c r="DO39" s="15"/>
      <c r="DP39" s="15"/>
      <c r="DQ39" s="15"/>
      <c r="DR39" s="15"/>
      <c r="DS39" s="15"/>
      <c r="DT39" s="15"/>
      <c r="DU39" s="15"/>
      <c r="DV39" s="15"/>
      <c r="DW39" s="15"/>
      <c r="DX39" s="15"/>
      <c r="DY39" s="15"/>
      <c r="DZ39" s="15"/>
      <c r="EA39" s="15"/>
      <c r="EB39" s="15"/>
      <c r="EC39" s="15"/>
      <c r="ED39" s="15"/>
      <c r="EE39" s="15"/>
      <c r="EF39" s="15"/>
      <c r="EG39" s="15"/>
      <c r="EH39" s="15"/>
    </row>
    <row r="40" spans="1:138" s="1121" customFormat="1" ht="15" customHeight="1">
      <c r="A40" s="15"/>
      <c r="B40" s="1455" t="str">
        <f t="array" ref="B40">IFERROR(INDEX(Data!$B$16:$B$96,MATCH(0,COUNTIF($B$12:B39,Data!$B$16:$B$96),0)),"")</f>
        <v>City of Vancouver</v>
      </c>
      <c r="C40" s="1345">
        <v>28</v>
      </c>
      <c r="D40" s="1424" t="s">
        <v>182</v>
      </c>
      <c r="E40" s="1424" t="str">
        <f>IF(COUNTIF(Data!$H$16:$H$100,CONCATENATE(Data_3!$B40,"_",Data_3!E$11))=1,E$11,"")</f>
        <v/>
      </c>
      <c r="F40" s="1424" t="str">
        <f>IF(COUNTIF(Data!$H$16:$H$100,CONCATENATE(Data_3!$B40,"_",Data_3!F$11))=1,F$11,"")</f>
        <v/>
      </c>
      <c r="G40" s="1424" t="str">
        <f>IF(COUNTIF(Data!$H$16:$H$100,CONCATENATE(Data_3!$B40,"_",Data_3!G$11))=1,G$11,"")</f>
        <v/>
      </c>
      <c r="H40" s="1424" t="str">
        <f>IF(COUNTIF(Data!$H$16:$H$100,CONCATENATE(Data_3!$B40,"_",Data_3!H$11))=1,H$11,"")</f>
        <v/>
      </c>
      <c r="I40" s="1424" t="str">
        <f>IF(COUNTIF(Data!$H$16:$H$100,CONCATENATE(Data_3!$B40,"_",Data_3!I$11))=1,I$11,"")</f>
        <v/>
      </c>
      <c r="J40" s="1424" t="str">
        <f>IF(COUNTIF(Data!$H$16:$H$100,CONCATENATE(Data_3!$B40,"_",Data_3!J$11))=1,J$11,"")</f>
        <v/>
      </c>
      <c r="K40" s="1424" t="str">
        <f>IF(COUNTIF(Data!$H$16:$H$100,CONCATENATE(Data_3!$B40,"_",Data_3!K$11))=1,K$11,"")</f>
        <v/>
      </c>
      <c r="L40" s="1424" t="str">
        <f>IF(COUNTIF(Data!$H$16:$H$100,CONCATENATE(Data_3!$B40,"_",Data_3!L$11))=1,L$11,"")</f>
        <v/>
      </c>
      <c r="M40" s="1424" t="str">
        <f>IF(COUNTIF(Data!$H$16:$H$100,CONCATENATE(Data_3!$B40,"_",Data_3!M$11))=1,M$11,"")</f>
        <v/>
      </c>
      <c r="N40" s="1424" t="str">
        <f>IF(COUNTIF(Data!$H$16:$H$100,CONCATENATE(Data_3!$B40,"_",Data_3!N$11))=1,N$11,"")</f>
        <v/>
      </c>
      <c r="O40" s="1424" t="str">
        <f>IF(COUNTIF(Data!$H$16:$H$100,CONCATENATE(Data_3!$B40,"_",Data_3!O$11))=1,O$11,"")</f>
        <v/>
      </c>
      <c r="P40" s="1424" t="str">
        <f>IF(COUNTIF(Data!$H$16:$H$100,CONCATENATE(Data_3!$B40,"_",Data_3!P$11))=1,P$11,"")</f>
        <v/>
      </c>
      <c r="Q40" s="1424" t="str">
        <f>IF(COUNTIF(Data!$H$16:$H$100,CONCATENATE(Data_3!$B40,"_",Data_3!Q$11))=1,Q$11,"")</f>
        <v/>
      </c>
      <c r="R40" s="1424" t="str">
        <f>IF(COUNTIF(Data!$H$16:$H$100,CONCATENATE(Data_3!$B40,"_",Data_3!R$11))=1,R$11,"")</f>
        <v/>
      </c>
      <c r="S40" s="1424">
        <f>IF(COUNTIF(Data!$H$16:$H$100,CONCATENATE(Data_3!$B40,"_",Data_3!S$11))=1,S$11,"")</f>
        <v>2014</v>
      </c>
      <c r="T40" s="1424" t="str">
        <f>IF(COUNTIF(Data!$H$16:$H$100,CONCATENATE(Data_3!$B40,"_",Data_3!T$11))=1,T$11,"")</f>
        <v/>
      </c>
      <c r="U40" s="1424" t="str">
        <f>IF(COUNTIF(Data!$H$16:$H$100,CONCATENATE(Data_3!$B40,"_",Data_3!U$11))=1,U$11,"")</f>
        <v/>
      </c>
      <c r="V40" s="1424" t="str">
        <f>IF(COUNTIF(Data!$H$16:$H$100,CONCATENATE(Data_3!$B40,"_",Data_3!V$11))=1,V$11,"")</f>
        <v/>
      </c>
      <c r="W40" s="1424" t="str">
        <f>IF(COUNTIF(Data!$H$16:$H$100,CONCATENATE(Data_3!$B40,"_",Data_3!W$11))=1,W$11,"")</f>
        <v/>
      </c>
      <c r="X40" s="1424" t="str">
        <f>IF(COUNTIF(Data!$H$16:$H$100,CONCATENATE(Data_3!$B40,"_",Data_3!X$11))=1,X$11,"")</f>
        <v/>
      </c>
      <c r="Y40" s="1424" t="str">
        <f>IF(COUNTIF(Data!$H$16:$H$100,CONCATENATE(Data_3!$B40,"_",Data_3!Y$11))=1,Y$11,"")</f>
        <v/>
      </c>
      <c r="Z40" s="15"/>
      <c r="AA40" s="15"/>
      <c r="AB40" s="15"/>
      <c r="AC40" s="15"/>
      <c r="AD40" s="15"/>
      <c r="AE40" s="15"/>
      <c r="AF40" s="15"/>
      <c r="AG40" s="15"/>
      <c r="AH40" s="15"/>
      <c r="AI40" s="15"/>
      <c r="AJ40" s="15"/>
      <c r="AK40" s="15"/>
      <c r="AL40" s="15"/>
      <c r="AM40" s="15"/>
      <c r="AN40" s="15"/>
      <c r="AO40" s="15"/>
      <c r="AP40" s="15"/>
      <c r="AQ40" s="15"/>
      <c r="AR40" s="15"/>
      <c r="AS40" s="15"/>
      <c r="AT40" s="15"/>
      <c r="AU40" s="15"/>
      <c r="AV40" s="15"/>
      <c r="AW40" s="15"/>
      <c r="AX40" s="15"/>
      <c r="AY40" s="15"/>
      <c r="AZ40" s="15"/>
      <c r="BA40" s="15"/>
      <c r="BB40" s="15"/>
      <c r="BC40" s="15"/>
      <c r="BD40" s="15"/>
      <c r="BE40" s="15"/>
      <c r="BF40" s="15"/>
      <c r="BG40" s="15"/>
      <c r="BH40" s="15"/>
      <c r="BI40" s="15"/>
      <c r="BJ40" s="15"/>
      <c r="BK40" s="15"/>
      <c r="BL40" s="15"/>
      <c r="BM40" s="15"/>
      <c r="BN40" s="15"/>
      <c r="BO40" s="15"/>
      <c r="BP40" s="15"/>
      <c r="BQ40" s="15"/>
      <c r="BR40" s="15"/>
      <c r="BS40" s="15"/>
      <c r="BT40" s="15"/>
      <c r="BU40" s="15"/>
      <c r="BV40" s="15"/>
      <c r="BW40" s="15"/>
      <c r="BX40" s="15"/>
      <c r="BY40" s="15"/>
      <c r="BZ40" s="15"/>
      <c r="CA40" s="15"/>
      <c r="CB40" s="15"/>
      <c r="CC40" s="15"/>
      <c r="CD40" s="15"/>
      <c r="CE40" s="15"/>
      <c r="CF40" s="15"/>
      <c r="CG40" s="15"/>
      <c r="CH40" s="15"/>
      <c r="CI40" s="15"/>
      <c r="CJ40" s="15"/>
      <c r="CK40" s="15"/>
      <c r="CL40" s="15"/>
      <c r="CM40" s="15"/>
      <c r="CN40" s="15"/>
      <c r="CO40" s="15"/>
      <c r="CP40" s="15"/>
      <c r="CQ40" s="15"/>
      <c r="CR40" s="15"/>
      <c r="CS40" s="15"/>
      <c r="CT40" s="15"/>
      <c r="CU40" s="15"/>
      <c r="CV40" s="15"/>
      <c r="CW40" s="15"/>
      <c r="CX40" s="15"/>
      <c r="CY40" s="15"/>
      <c r="CZ40" s="15"/>
      <c r="DA40" s="15"/>
      <c r="DB40" s="15"/>
      <c r="DC40" s="15"/>
      <c r="DD40" s="15"/>
      <c r="DE40" s="15"/>
      <c r="DF40" s="15"/>
      <c r="DG40" s="15"/>
      <c r="DH40" s="15"/>
      <c r="DI40" s="15"/>
      <c r="DJ40" s="15"/>
      <c r="DK40" s="15"/>
      <c r="DL40" s="15"/>
      <c r="DM40" s="15"/>
      <c r="DN40" s="15"/>
      <c r="DO40" s="15"/>
      <c r="DP40" s="15"/>
      <c r="DQ40" s="15"/>
      <c r="DR40" s="15"/>
      <c r="DS40" s="15"/>
      <c r="DT40" s="15"/>
      <c r="DU40" s="15"/>
      <c r="DV40" s="15"/>
      <c r="DW40" s="15"/>
      <c r="DX40" s="15"/>
      <c r="DY40" s="15"/>
      <c r="DZ40" s="15"/>
      <c r="EA40" s="15"/>
      <c r="EB40" s="15"/>
      <c r="EC40" s="15"/>
      <c r="ED40" s="15"/>
      <c r="EE40" s="15"/>
      <c r="EF40" s="15"/>
      <c r="EG40" s="15"/>
      <c r="EH40" s="15"/>
    </row>
    <row r="41" spans="1:138" s="1121" customFormat="1" ht="15" customHeight="1">
      <c r="A41" s="15"/>
      <c r="B41" s="1455">
        <f t="array" aca="1" ref="B41" ca="1">IFERROR(INDEX(Data!$B$16:$B$96,MATCH(0,COUNTIF($B$10:B41,Data!$B$16:$B$96),0)),"")</f>
        <v>0</v>
      </c>
      <c r="C41" s="1345">
        <v>29</v>
      </c>
      <c r="D41" s="1424" t="s">
        <v>182</v>
      </c>
      <c r="E41" s="1424" t="str">
        <f ca="1">IF(COUNTIF(Data!$H$16:$H$100,CONCATENATE(Data_3!$B41,"_",Data_3!E$11))=1,E$11,"")</f>
        <v/>
      </c>
      <c r="F41" s="1424" t="str">
        <f ca="1">IF(COUNTIF(Data!$H$16:$H$100,CONCATENATE(Data_3!$B41,"_",Data_3!F$11))=1,F$11,"")</f>
        <v/>
      </c>
      <c r="G41" s="1424" t="str">
        <f ca="1">IF(COUNTIF(Data!$H$16:$H$100,CONCATENATE(Data_3!$B41,"_",Data_3!G$11))=1,G$11,"")</f>
        <v/>
      </c>
      <c r="H41" s="1424" t="str">
        <f ca="1">IF(COUNTIF(Data!$H$16:$H$100,CONCATENATE(Data_3!$B41,"_",Data_3!H$11))=1,H$11,"")</f>
        <v/>
      </c>
      <c r="I41" s="1424" t="str">
        <f ca="1">IF(COUNTIF(Data!$H$16:$H$100,CONCATENATE(Data_3!$B41,"_",Data_3!I$11))=1,I$11,"")</f>
        <v/>
      </c>
      <c r="J41" s="1424" t="str">
        <f ca="1">IF(COUNTIF(Data!$H$16:$H$100,CONCATENATE(Data_3!$B41,"_",Data_3!J$11))=1,J$11,"")</f>
        <v/>
      </c>
      <c r="K41" s="1424" t="str">
        <f ca="1">IF(COUNTIF(Data!$H$16:$H$100,CONCATENATE(Data_3!$B41,"_",Data_3!K$11))=1,K$11,"")</f>
        <v/>
      </c>
      <c r="L41" s="1424" t="str">
        <f ca="1">IF(COUNTIF(Data!$H$16:$H$100,CONCATENATE(Data_3!$B41,"_",Data_3!L$11))=1,L$11,"")</f>
        <v/>
      </c>
      <c r="M41" s="1424" t="str">
        <f ca="1">IF(COUNTIF(Data!$H$16:$H$100,CONCATENATE(Data_3!$B41,"_",Data_3!M$11))=1,M$11,"")</f>
        <v/>
      </c>
      <c r="N41" s="1424" t="str">
        <f ca="1">IF(COUNTIF(Data!$H$16:$H$100,CONCATENATE(Data_3!$B41,"_",Data_3!N$11))=1,N$11,"")</f>
        <v/>
      </c>
      <c r="O41" s="1424" t="str">
        <f ca="1">IF(COUNTIF(Data!$H$16:$H$100,CONCATENATE(Data_3!$B41,"_",Data_3!O$11))=1,O$11,"")</f>
        <v/>
      </c>
      <c r="P41" s="1424" t="str">
        <f ca="1">IF(COUNTIF(Data!$H$16:$H$100,CONCATENATE(Data_3!$B41,"_",Data_3!P$11))=1,P$11,"")</f>
        <v/>
      </c>
      <c r="Q41" s="1424" t="str">
        <f ca="1">IF(COUNTIF(Data!$H$16:$H$100,CONCATENATE(Data_3!$B41,"_",Data_3!Q$11))=1,Q$11,"")</f>
        <v/>
      </c>
      <c r="R41" s="1424" t="str">
        <f ca="1">IF(COUNTIF(Data!$H$16:$H$100,CONCATENATE(Data_3!$B41,"_",Data_3!R$11))=1,R$11,"")</f>
        <v/>
      </c>
      <c r="S41" s="1424" t="str">
        <f ca="1">IF(COUNTIF(Data!$H$16:$H$100,CONCATENATE(Data_3!$B41,"_",Data_3!S$11))=1,S$11,"")</f>
        <v/>
      </c>
      <c r="T41" s="1424" t="str">
        <f ca="1">IF(COUNTIF(Data!$H$16:$H$100,CONCATENATE(Data_3!$B41,"_",Data_3!T$11))=1,T$11,"")</f>
        <v/>
      </c>
      <c r="U41" s="1424" t="str">
        <f ca="1">IF(COUNTIF(Data!$H$16:$H$100,CONCATENATE(Data_3!$B41,"_",Data_3!U$11))=1,U$11,"")</f>
        <v/>
      </c>
      <c r="V41" s="1424" t="str">
        <f ca="1">IF(COUNTIF(Data!$H$16:$H$100,CONCATENATE(Data_3!$B41,"_",Data_3!V$11))=1,V$11,"")</f>
        <v/>
      </c>
      <c r="W41" s="1424" t="str">
        <f ca="1">IF(COUNTIF(Data!$H$16:$H$100,CONCATENATE(Data_3!$B41,"_",Data_3!W$11))=1,W$11,"")</f>
        <v/>
      </c>
      <c r="X41" s="1424" t="str">
        <f ca="1">IF(COUNTIF(Data!$H$16:$H$100,CONCATENATE(Data_3!$B41,"_",Data_3!X$11))=1,X$11,"")</f>
        <v/>
      </c>
      <c r="Y41" s="1424" t="str">
        <f ca="1">IF(COUNTIF(Data!$H$16:$H$100,CONCATENATE(Data_3!$B41,"_",Data_3!Y$11))=1,Y$11,"")</f>
        <v/>
      </c>
      <c r="Z41" s="15"/>
      <c r="AA41" s="15"/>
      <c r="AB41" s="15"/>
      <c r="AC41" s="15"/>
      <c r="AD41" s="15"/>
      <c r="AE41" s="15"/>
      <c r="AF41" s="15"/>
      <c r="AG41" s="15"/>
      <c r="AH41" s="15"/>
      <c r="AI41" s="15"/>
      <c r="AJ41" s="15"/>
      <c r="AK41" s="15"/>
      <c r="AL41" s="15"/>
      <c r="AM41" s="15"/>
      <c r="AN41" s="15"/>
      <c r="AO41" s="15"/>
      <c r="AP41" s="15"/>
      <c r="AQ41" s="15"/>
      <c r="AR41" s="15"/>
      <c r="AS41" s="15"/>
      <c r="AT41" s="15"/>
      <c r="AU41" s="15"/>
      <c r="AV41" s="15"/>
      <c r="AW41" s="15"/>
      <c r="AX41" s="15"/>
      <c r="AY41" s="15"/>
      <c r="AZ41" s="15"/>
      <c r="BA41" s="15"/>
      <c r="BB41" s="15"/>
      <c r="BC41" s="15"/>
      <c r="BD41" s="15"/>
      <c r="BE41" s="15"/>
      <c r="BF41" s="15"/>
      <c r="BG41" s="15"/>
      <c r="BH41" s="15"/>
      <c r="BI41" s="15"/>
      <c r="BJ41" s="15"/>
      <c r="BK41" s="15"/>
      <c r="BL41" s="15"/>
      <c r="BM41" s="15"/>
      <c r="BN41" s="15"/>
      <c r="BO41" s="15"/>
      <c r="BP41" s="15"/>
      <c r="BQ41" s="15"/>
      <c r="BR41" s="15"/>
      <c r="BS41" s="15"/>
      <c r="BT41" s="15"/>
      <c r="BU41" s="15"/>
      <c r="BV41" s="15"/>
      <c r="BW41" s="15"/>
      <c r="BX41" s="15"/>
      <c r="BY41" s="15"/>
      <c r="BZ41" s="15"/>
      <c r="CA41" s="15"/>
      <c r="CB41" s="15"/>
      <c r="CC41" s="15"/>
      <c r="CD41" s="15"/>
      <c r="CE41" s="15"/>
      <c r="CF41" s="15"/>
      <c r="CG41" s="15"/>
      <c r="CH41" s="15"/>
      <c r="CI41" s="15"/>
      <c r="CJ41" s="15"/>
      <c r="CK41" s="15"/>
      <c r="CL41" s="15"/>
      <c r="CM41" s="15"/>
      <c r="CN41" s="15"/>
      <c r="CO41" s="15"/>
      <c r="CP41" s="15"/>
      <c r="CQ41" s="15"/>
      <c r="CR41" s="15"/>
      <c r="CS41" s="15"/>
      <c r="CT41" s="15"/>
      <c r="CU41" s="15"/>
      <c r="CV41" s="15"/>
      <c r="CW41" s="15"/>
      <c r="CX41" s="15"/>
      <c r="CY41" s="15"/>
      <c r="CZ41" s="15"/>
      <c r="DA41" s="15"/>
      <c r="DB41" s="15"/>
      <c r="DC41" s="15"/>
      <c r="DD41" s="15"/>
      <c r="DE41" s="15"/>
      <c r="DF41" s="15"/>
      <c r="DG41" s="15"/>
      <c r="DH41" s="15"/>
      <c r="DI41" s="15"/>
      <c r="DJ41" s="15"/>
      <c r="DK41" s="15"/>
      <c r="DL41" s="15"/>
      <c r="DM41" s="15"/>
      <c r="DN41" s="15"/>
      <c r="DO41" s="15"/>
      <c r="DP41" s="15"/>
      <c r="DQ41" s="15"/>
      <c r="DR41" s="15"/>
      <c r="DS41" s="15"/>
      <c r="DT41" s="15"/>
      <c r="DU41" s="15"/>
      <c r="DV41" s="15"/>
      <c r="DW41" s="15"/>
      <c r="DX41" s="15"/>
      <c r="DY41" s="15"/>
      <c r="DZ41" s="15"/>
      <c r="EA41" s="15"/>
      <c r="EB41" s="15"/>
      <c r="EC41" s="15"/>
      <c r="ED41" s="15"/>
      <c r="EE41" s="15"/>
      <c r="EF41" s="15"/>
      <c r="EG41" s="15"/>
      <c r="EH41" s="15"/>
    </row>
    <row r="42" spans="1:138" s="34" customFormat="1" ht="15" customHeight="1">
      <c r="A42" s="642"/>
      <c r="B42" s="1455" t="str">
        <f t="array" aca="1" ref="B42" ca="1">IFERROR(INDEX(Data!$B$16:$B$96,MATCH(0,COUNTIF($B$12:B41,Data!$B$16:$B$96),0)),"")</f>
        <v/>
      </c>
      <c r="C42" s="1345">
        <v>30</v>
      </c>
      <c r="D42" s="1424" t="s">
        <v>182</v>
      </c>
      <c r="E42" s="1424" t="str">
        <f ca="1">IF(COUNTIF(Data!$H$16:$H$100,CONCATENATE(Data_3!$B42,"_",Data_3!E$11))=1,E$11,"")</f>
        <v/>
      </c>
      <c r="F42" s="1424" t="str">
        <f ca="1">IF(COUNTIF(Data!$H$16:$H$100,CONCATENATE(Data_3!$B42,"_",Data_3!F$11))=1,F$11,"")</f>
        <v/>
      </c>
      <c r="G42" s="1424" t="str">
        <f ca="1">IF(COUNTIF(Data!$H$16:$H$100,CONCATENATE(Data_3!$B42,"_",Data_3!G$11))=1,G$11,"")</f>
        <v/>
      </c>
      <c r="H42" s="1424" t="str">
        <f ca="1">IF(COUNTIF(Data!$H$16:$H$100,CONCATENATE(Data_3!$B42,"_",Data_3!H$11))=1,H$11,"")</f>
        <v/>
      </c>
      <c r="I42" s="1424" t="str">
        <f ca="1">IF(COUNTIF(Data!$H$16:$H$100,CONCATENATE(Data_3!$B42,"_",Data_3!I$11))=1,I$11,"")</f>
        <v/>
      </c>
      <c r="J42" s="1424" t="str">
        <f ca="1">IF(COUNTIF(Data!$H$16:$H$100,CONCATENATE(Data_3!$B42,"_",Data_3!J$11))=1,J$11,"")</f>
        <v/>
      </c>
      <c r="K42" s="1424" t="str">
        <f ca="1">IF(COUNTIF(Data!$H$16:$H$100,CONCATENATE(Data_3!$B42,"_",Data_3!K$11))=1,K$11,"")</f>
        <v/>
      </c>
      <c r="L42" s="1424" t="str">
        <f ca="1">IF(COUNTIF(Data!$H$16:$H$100,CONCATENATE(Data_3!$B42,"_",Data_3!L$11))=1,L$11,"")</f>
        <v/>
      </c>
      <c r="M42" s="1424" t="str">
        <f ca="1">IF(COUNTIF(Data!$H$16:$H$100,CONCATENATE(Data_3!$B42,"_",Data_3!M$11))=1,M$11,"")</f>
        <v/>
      </c>
      <c r="N42" s="1424" t="str">
        <f ca="1">IF(COUNTIF(Data!$H$16:$H$100,CONCATENATE(Data_3!$B42,"_",Data_3!N$11))=1,N$11,"")</f>
        <v/>
      </c>
      <c r="O42" s="1424" t="str">
        <f ca="1">IF(COUNTIF(Data!$H$16:$H$100,CONCATENATE(Data_3!$B42,"_",Data_3!O$11))=1,O$11,"")</f>
        <v/>
      </c>
      <c r="P42" s="1424" t="str">
        <f ca="1">IF(COUNTIF(Data!$H$16:$H$100,CONCATENATE(Data_3!$B42,"_",Data_3!P$11))=1,P$11,"")</f>
        <v/>
      </c>
      <c r="Q42" s="1424" t="str">
        <f ca="1">IF(COUNTIF(Data!$H$16:$H$100,CONCATENATE(Data_3!$B42,"_",Data_3!Q$11))=1,Q$11,"")</f>
        <v/>
      </c>
      <c r="R42" s="1424" t="str">
        <f ca="1">IF(COUNTIF(Data!$H$16:$H$100,CONCATENATE(Data_3!$B42,"_",Data_3!R$11))=1,R$11,"")</f>
        <v/>
      </c>
      <c r="S42" s="1424" t="str">
        <f ca="1">IF(COUNTIF(Data!$H$16:$H$100,CONCATENATE(Data_3!$B42,"_",Data_3!S$11))=1,S$11,"")</f>
        <v/>
      </c>
      <c r="T42" s="1424" t="str">
        <f ca="1">IF(COUNTIF(Data!$H$16:$H$100,CONCATENATE(Data_3!$B42,"_",Data_3!T$11))=1,T$11,"")</f>
        <v/>
      </c>
      <c r="U42" s="1424" t="str">
        <f ca="1">IF(COUNTIF(Data!$H$16:$H$100,CONCATENATE(Data_3!$B42,"_",Data_3!U$11))=1,U$11,"")</f>
        <v/>
      </c>
      <c r="V42" s="1424" t="str">
        <f ca="1">IF(COUNTIF(Data!$H$16:$H$100,CONCATENATE(Data_3!$B42,"_",Data_3!V$11))=1,V$11,"")</f>
        <v/>
      </c>
      <c r="W42" s="1424" t="str">
        <f ca="1">IF(COUNTIF(Data!$H$16:$H$100,CONCATENATE(Data_3!$B42,"_",Data_3!W$11))=1,W$11,"")</f>
        <v/>
      </c>
      <c r="X42" s="1424" t="str">
        <f ca="1">IF(COUNTIF(Data!$H$16:$H$100,CONCATENATE(Data_3!$B42,"_",Data_3!X$11))=1,X$11,"")</f>
        <v/>
      </c>
      <c r="Y42" s="1424" t="str">
        <f ca="1">IF(COUNTIF(Data!$H$16:$H$100,CONCATENATE(Data_3!$B42,"_",Data_3!Y$11))=1,Y$11,"")</f>
        <v/>
      </c>
      <c r="Z42" s="15"/>
      <c r="AA42" s="15"/>
      <c r="AB42" s="15"/>
      <c r="AC42" s="15"/>
      <c r="AD42" s="15"/>
      <c r="AE42" s="15"/>
      <c r="AF42" s="15"/>
      <c r="AG42" s="15"/>
      <c r="AH42" s="15"/>
      <c r="AI42" s="15"/>
      <c r="AJ42" s="15"/>
      <c r="AK42" s="15"/>
      <c r="AL42" s="15"/>
      <c r="AM42" s="15"/>
      <c r="AN42" s="15"/>
      <c r="AO42" s="15"/>
      <c r="AP42" s="15"/>
      <c r="AQ42" s="15"/>
      <c r="AR42" s="15"/>
      <c r="AS42" s="15"/>
      <c r="AT42" s="15"/>
      <c r="AU42" s="15"/>
      <c r="AV42" s="15"/>
      <c r="AW42" s="15"/>
      <c r="AX42" s="15"/>
      <c r="AY42" s="15"/>
      <c r="AZ42" s="15"/>
      <c r="BA42" s="15"/>
      <c r="BB42" s="15"/>
      <c r="BC42" s="15"/>
      <c r="BD42" s="15"/>
      <c r="BE42" s="15"/>
      <c r="BF42" s="15"/>
      <c r="BG42" s="15"/>
      <c r="BH42" s="15"/>
      <c r="BI42" s="15"/>
      <c r="BJ42" s="15"/>
      <c r="BK42" s="15"/>
      <c r="BL42" s="15"/>
      <c r="BM42" s="15"/>
      <c r="BN42" s="15"/>
      <c r="BO42" s="15"/>
      <c r="BP42" s="15"/>
      <c r="BQ42" s="15"/>
      <c r="BR42" s="15"/>
      <c r="BS42" s="15"/>
      <c r="BT42" s="15"/>
      <c r="BU42" s="15"/>
      <c r="BV42" s="15"/>
      <c r="BW42" s="15"/>
      <c r="BX42" s="15"/>
      <c r="BY42" s="15"/>
      <c r="BZ42" s="15"/>
      <c r="CA42" s="15"/>
      <c r="CB42" s="15"/>
      <c r="CC42" s="15"/>
      <c r="CD42" s="15"/>
      <c r="CE42" s="15"/>
      <c r="CF42" s="15"/>
      <c r="CG42" s="15"/>
      <c r="CH42" s="15"/>
      <c r="CI42" s="15"/>
      <c r="CJ42" s="15"/>
      <c r="CK42" s="15"/>
      <c r="CL42" s="15"/>
      <c r="CM42" s="15"/>
      <c r="CN42" s="15"/>
      <c r="CO42" s="15"/>
      <c r="CP42" s="15"/>
      <c r="CQ42" s="15"/>
      <c r="CR42" s="15"/>
      <c r="CS42" s="15"/>
      <c r="CT42" s="15"/>
      <c r="CU42" s="15"/>
      <c r="CV42" s="15"/>
      <c r="CW42" s="15"/>
      <c r="CX42" s="15"/>
      <c r="CY42" s="15"/>
      <c r="CZ42" s="15"/>
      <c r="DA42" s="15"/>
      <c r="DB42" s="15"/>
      <c r="DC42" s="15"/>
      <c r="DD42" s="15"/>
      <c r="DE42" s="15"/>
      <c r="DF42" s="15"/>
      <c r="DG42" s="15"/>
      <c r="DH42" s="15"/>
      <c r="DI42" s="15"/>
      <c r="DJ42" s="15"/>
      <c r="DK42" s="15"/>
      <c r="DL42" s="15"/>
      <c r="DM42" s="15"/>
      <c r="DN42" s="15"/>
      <c r="DO42" s="15"/>
      <c r="DP42" s="15"/>
      <c r="DQ42" s="15"/>
      <c r="DR42" s="15"/>
      <c r="DS42" s="15"/>
      <c r="DT42" s="15"/>
      <c r="DU42" s="15"/>
      <c r="DV42" s="15"/>
      <c r="DW42" s="15"/>
      <c r="DX42" s="15"/>
      <c r="DY42" s="15"/>
      <c r="DZ42" s="15"/>
      <c r="EA42" s="15"/>
      <c r="EB42" s="15"/>
      <c r="EC42" s="15"/>
      <c r="ED42" s="15"/>
      <c r="EE42" s="15"/>
      <c r="EF42" s="15"/>
      <c r="EG42" s="15"/>
      <c r="EH42" s="15"/>
    </row>
    <row r="43" spans="1:138" s="34" customFormat="1" ht="15" customHeight="1">
      <c r="A43" s="642"/>
      <c r="B43" s="1455" t="str">
        <f t="array" aca="1" ref="B43" ca="1">IFERROR(INDEX(Data!$B$16:$B$96,MATCH(0,COUNTIF($B$12:B42,Data!$B$16:$B$96),0)),"")</f>
        <v/>
      </c>
      <c r="C43" s="1345">
        <v>31</v>
      </c>
      <c r="D43" s="1424" t="s">
        <v>182</v>
      </c>
      <c r="E43" s="1424" t="str">
        <f ca="1">IF(COUNTIF(Data!$H$16:$H$100,CONCATENATE(Data_3!$B43,"_",Data_3!E$11))=1,E$11,"")</f>
        <v/>
      </c>
      <c r="F43" s="1424" t="str">
        <f ca="1">IF(COUNTIF(Data!$H$16:$H$100,CONCATENATE(Data_3!$B43,"_",Data_3!F$11))=1,F$11,"")</f>
        <v/>
      </c>
      <c r="G43" s="1424" t="str">
        <f ca="1">IF(COUNTIF(Data!$H$16:$H$100,CONCATENATE(Data_3!$B43,"_",Data_3!G$11))=1,G$11,"")</f>
        <v/>
      </c>
      <c r="H43" s="1424" t="str">
        <f ca="1">IF(COUNTIF(Data!$H$16:$H$100,CONCATENATE(Data_3!$B43,"_",Data_3!H$11))=1,H$11,"")</f>
        <v/>
      </c>
      <c r="I43" s="1424" t="str">
        <f ca="1">IF(COUNTIF(Data!$H$16:$H$100,CONCATENATE(Data_3!$B43,"_",Data_3!I$11))=1,I$11,"")</f>
        <v/>
      </c>
      <c r="J43" s="1424" t="str">
        <f ca="1">IF(COUNTIF(Data!$H$16:$H$100,CONCATENATE(Data_3!$B43,"_",Data_3!J$11))=1,J$11,"")</f>
        <v/>
      </c>
      <c r="K43" s="1424" t="str">
        <f ca="1">IF(COUNTIF(Data!$H$16:$H$100,CONCATENATE(Data_3!$B43,"_",Data_3!K$11))=1,K$11,"")</f>
        <v/>
      </c>
      <c r="L43" s="1424" t="str">
        <f ca="1">IF(COUNTIF(Data!$H$16:$H$100,CONCATENATE(Data_3!$B43,"_",Data_3!L$11))=1,L$11,"")</f>
        <v/>
      </c>
      <c r="M43" s="1424" t="str">
        <f ca="1">IF(COUNTIF(Data!$H$16:$H$100,CONCATENATE(Data_3!$B43,"_",Data_3!M$11))=1,M$11,"")</f>
        <v/>
      </c>
      <c r="N43" s="1424" t="str">
        <f ca="1">IF(COUNTIF(Data!$H$16:$H$100,CONCATENATE(Data_3!$B43,"_",Data_3!N$11))=1,N$11,"")</f>
        <v/>
      </c>
      <c r="O43" s="1424" t="str">
        <f ca="1">IF(COUNTIF(Data!$H$16:$H$100,CONCATENATE(Data_3!$B43,"_",Data_3!O$11))=1,O$11,"")</f>
        <v/>
      </c>
      <c r="P43" s="1424" t="str">
        <f ca="1">IF(COUNTIF(Data!$H$16:$H$100,CONCATENATE(Data_3!$B43,"_",Data_3!P$11))=1,P$11,"")</f>
        <v/>
      </c>
      <c r="Q43" s="1424" t="str">
        <f ca="1">IF(COUNTIF(Data!$H$16:$H$100,CONCATENATE(Data_3!$B43,"_",Data_3!Q$11))=1,Q$11,"")</f>
        <v/>
      </c>
      <c r="R43" s="1424" t="str">
        <f ca="1">IF(COUNTIF(Data!$H$16:$H$100,CONCATENATE(Data_3!$B43,"_",Data_3!R$11))=1,R$11,"")</f>
        <v/>
      </c>
      <c r="S43" s="1424" t="str">
        <f ca="1">IF(COUNTIF(Data!$H$16:$H$100,CONCATENATE(Data_3!$B43,"_",Data_3!S$11))=1,S$11,"")</f>
        <v/>
      </c>
      <c r="T43" s="1424" t="str">
        <f ca="1">IF(COUNTIF(Data!$H$16:$H$100,CONCATENATE(Data_3!$B43,"_",Data_3!T$11))=1,T$11,"")</f>
        <v/>
      </c>
      <c r="U43" s="1424" t="str">
        <f ca="1">IF(COUNTIF(Data!$H$16:$H$100,CONCATENATE(Data_3!$B43,"_",Data_3!U$11))=1,U$11,"")</f>
        <v/>
      </c>
      <c r="V43" s="1424" t="str">
        <f ca="1">IF(COUNTIF(Data!$H$16:$H$100,CONCATENATE(Data_3!$B43,"_",Data_3!V$11))=1,V$11,"")</f>
        <v/>
      </c>
      <c r="W43" s="1424" t="str">
        <f ca="1">IF(COUNTIF(Data!$H$16:$H$100,CONCATENATE(Data_3!$B43,"_",Data_3!W$11))=1,W$11,"")</f>
        <v/>
      </c>
      <c r="X43" s="1424" t="str">
        <f ca="1">IF(COUNTIF(Data!$H$16:$H$100,CONCATENATE(Data_3!$B43,"_",Data_3!X$11))=1,X$11,"")</f>
        <v/>
      </c>
      <c r="Y43" s="1424" t="str">
        <f ca="1">IF(COUNTIF(Data!$H$16:$H$100,CONCATENATE(Data_3!$B43,"_",Data_3!Y$11))=1,Y$11,"")</f>
        <v/>
      </c>
      <c r="Z43" s="15"/>
      <c r="AA43" s="15"/>
      <c r="AB43" s="15"/>
      <c r="AC43" s="15"/>
      <c r="AD43" s="15"/>
      <c r="AE43" s="15"/>
      <c r="AF43" s="15"/>
      <c r="AG43" s="15"/>
      <c r="AH43" s="15"/>
      <c r="AI43" s="15"/>
      <c r="AJ43" s="15"/>
      <c r="AK43" s="15"/>
      <c r="AL43" s="15"/>
      <c r="AM43" s="15"/>
      <c r="AN43" s="15"/>
      <c r="AO43" s="15"/>
      <c r="AP43" s="15"/>
      <c r="AQ43" s="15"/>
      <c r="AR43" s="15"/>
      <c r="AS43" s="15"/>
      <c r="AT43" s="15"/>
      <c r="AU43" s="15"/>
      <c r="AV43" s="15"/>
      <c r="AW43" s="15"/>
      <c r="AX43" s="15"/>
      <c r="AY43" s="15"/>
      <c r="AZ43" s="15"/>
      <c r="BA43" s="15"/>
      <c r="BB43" s="15"/>
      <c r="BC43" s="15"/>
      <c r="BD43" s="15"/>
      <c r="BE43" s="15"/>
      <c r="BF43" s="15"/>
      <c r="BG43" s="15"/>
      <c r="BH43" s="15"/>
      <c r="BI43" s="15"/>
      <c r="BJ43" s="15"/>
      <c r="BK43" s="15"/>
      <c r="BL43" s="15"/>
      <c r="BM43" s="15"/>
      <c r="BN43" s="15"/>
      <c r="BO43" s="15"/>
      <c r="BP43" s="15"/>
      <c r="BQ43" s="15"/>
      <c r="BR43" s="15"/>
      <c r="BS43" s="15"/>
      <c r="BT43" s="15"/>
      <c r="BU43" s="15"/>
      <c r="BV43" s="15"/>
      <c r="BW43" s="15"/>
      <c r="BX43" s="15"/>
      <c r="BY43" s="15"/>
      <c r="BZ43" s="15"/>
      <c r="CA43" s="15"/>
      <c r="CB43" s="15"/>
      <c r="CC43" s="15"/>
      <c r="CD43" s="15"/>
      <c r="CE43" s="15"/>
      <c r="CF43" s="15"/>
      <c r="CG43" s="15"/>
      <c r="CH43" s="15"/>
      <c r="CI43" s="15"/>
      <c r="CJ43" s="15"/>
      <c r="CK43" s="15"/>
      <c r="CL43" s="15"/>
      <c r="CM43" s="15"/>
      <c r="CN43" s="15"/>
      <c r="CO43" s="15"/>
      <c r="CP43" s="15"/>
      <c r="CQ43" s="15"/>
      <c r="CR43" s="15"/>
      <c r="CS43" s="15"/>
      <c r="CT43" s="15"/>
      <c r="CU43" s="15"/>
      <c r="CV43" s="15"/>
      <c r="CW43" s="15"/>
      <c r="CX43" s="15"/>
      <c r="CY43" s="15"/>
      <c r="CZ43" s="15"/>
      <c r="DA43" s="15"/>
      <c r="DB43" s="15"/>
      <c r="DC43" s="15"/>
      <c r="DD43" s="15"/>
      <c r="DE43" s="15"/>
      <c r="DF43" s="15"/>
      <c r="DG43" s="15"/>
      <c r="DH43" s="15"/>
      <c r="DI43" s="15"/>
      <c r="DJ43" s="15"/>
      <c r="DK43" s="15"/>
      <c r="DL43" s="15"/>
      <c r="DM43" s="15"/>
      <c r="DN43" s="15"/>
      <c r="DO43" s="15"/>
      <c r="DP43" s="15"/>
      <c r="DQ43" s="15"/>
      <c r="DR43" s="15"/>
      <c r="DS43" s="15"/>
      <c r="DT43" s="15"/>
      <c r="DU43" s="15"/>
      <c r="DV43" s="15"/>
      <c r="DW43" s="15"/>
      <c r="DX43" s="15"/>
      <c r="DY43" s="15"/>
      <c r="DZ43" s="15"/>
      <c r="EA43" s="15"/>
      <c r="EB43" s="15"/>
      <c r="EC43" s="15"/>
      <c r="ED43" s="15"/>
      <c r="EE43" s="15"/>
      <c r="EF43" s="15"/>
      <c r="EG43" s="15"/>
      <c r="EH43" s="15"/>
    </row>
    <row r="44" spans="1:138" s="34" customFormat="1" ht="15" customHeight="1">
      <c r="A44" s="642"/>
      <c r="B44" s="1455" t="str">
        <f t="array" aca="1" ref="B44" ca="1">IFERROR(INDEX(Data!$B$16:$B$96,MATCH(0,COUNTIF($B$12:B43,Data!$B$16:$B$96),0)),"")</f>
        <v/>
      </c>
      <c r="C44" s="1345">
        <v>32</v>
      </c>
      <c r="D44" s="1424" t="s">
        <v>182</v>
      </c>
      <c r="E44" s="1424" t="str">
        <f ca="1">IF(COUNTIF(Data!$H$16:$H$100,CONCATENATE(Data_3!$B44,"_",Data_3!E$11))=1,E$11,"")</f>
        <v/>
      </c>
      <c r="F44" s="1424" t="str">
        <f ca="1">IF(COUNTIF(Data!$H$16:$H$100,CONCATENATE(Data_3!$B44,"_",Data_3!F$11))=1,F$11,"")</f>
        <v/>
      </c>
      <c r="G44" s="1424" t="str">
        <f ca="1">IF(COUNTIF(Data!$H$16:$H$100,CONCATENATE(Data_3!$B44,"_",Data_3!G$11))=1,G$11,"")</f>
        <v/>
      </c>
      <c r="H44" s="1424" t="str">
        <f ca="1">IF(COUNTIF(Data!$H$16:$H$100,CONCATENATE(Data_3!$B44,"_",Data_3!H$11))=1,H$11,"")</f>
        <v/>
      </c>
      <c r="I44" s="1424" t="str">
        <f ca="1">IF(COUNTIF(Data!$H$16:$H$100,CONCATENATE(Data_3!$B44,"_",Data_3!I$11))=1,I$11,"")</f>
        <v/>
      </c>
      <c r="J44" s="1424" t="str">
        <f ca="1">IF(COUNTIF(Data!$H$16:$H$100,CONCATENATE(Data_3!$B44,"_",Data_3!J$11))=1,J$11,"")</f>
        <v/>
      </c>
      <c r="K44" s="1424" t="str">
        <f ca="1">IF(COUNTIF(Data!$H$16:$H$100,CONCATENATE(Data_3!$B44,"_",Data_3!K$11))=1,K$11,"")</f>
        <v/>
      </c>
      <c r="L44" s="1424" t="str">
        <f ca="1">IF(COUNTIF(Data!$H$16:$H$100,CONCATENATE(Data_3!$B44,"_",Data_3!L$11))=1,L$11,"")</f>
        <v/>
      </c>
      <c r="M44" s="1424" t="str">
        <f ca="1">IF(COUNTIF(Data!$H$16:$H$100,CONCATENATE(Data_3!$B44,"_",Data_3!M$11))=1,M$11,"")</f>
        <v/>
      </c>
      <c r="N44" s="1424" t="str">
        <f ca="1">IF(COUNTIF(Data!$H$16:$H$100,CONCATENATE(Data_3!$B44,"_",Data_3!N$11))=1,N$11,"")</f>
        <v/>
      </c>
      <c r="O44" s="1424" t="str">
        <f ca="1">IF(COUNTIF(Data!$H$16:$H$100,CONCATENATE(Data_3!$B44,"_",Data_3!O$11))=1,O$11,"")</f>
        <v/>
      </c>
      <c r="P44" s="1424" t="str">
        <f ca="1">IF(COUNTIF(Data!$H$16:$H$100,CONCATENATE(Data_3!$B44,"_",Data_3!P$11))=1,P$11,"")</f>
        <v/>
      </c>
      <c r="Q44" s="1424" t="str">
        <f ca="1">IF(COUNTIF(Data!$H$16:$H$100,CONCATENATE(Data_3!$B44,"_",Data_3!Q$11))=1,Q$11,"")</f>
        <v/>
      </c>
      <c r="R44" s="1424" t="str">
        <f ca="1">IF(COUNTIF(Data!$H$16:$H$100,CONCATENATE(Data_3!$B44,"_",Data_3!R$11))=1,R$11,"")</f>
        <v/>
      </c>
      <c r="S44" s="1424" t="str">
        <f ca="1">IF(COUNTIF(Data!$H$16:$H$100,CONCATENATE(Data_3!$B44,"_",Data_3!S$11))=1,S$11,"")</f>
        <v/>
      </c>
      <c r="T44" s="1424" t="str">
        <f ca="1">IF(COUNTIF(Data!$H$16:$H$100,CONCATENATE(Data_3!$B44,"_",Data_3!T$11))=1,T$11,"")</f>
        <v/>
      </c>
      <c r="U44" s="1424" t="str">
        <f ca="1">IF(COUNTIF(Data!$H$16:$H$100,CONCATENATE(Data_3!$B44,"_",Data_3!U$11))=1,U$11,"")</f>
        <v/>
      </c>
      <c r="V44" s="1424" t="str">
        <f ca="1">IF(COUNTIF(Data!$H$16:$H$100,CONCATENATE(Data_3!$B44,"_",Data_3!V$11))=1,V$11,"")</f>
        <v/>
      </c>
      <c r="W44" s="1424" t="str">
        <f ca="1">IF(COUNTIF(Data!$H$16:$H$100,CONCATENATE(Data_3!$B44,"_",Data_3!W$11))=1,W$11,"")</f>
        <v/>
      </c>
      <c r="X44" s="1424" t="str">
        <f ca="1">IF(COUNTIF(Data!$H$16:$H$100,CONCATENATE(Data_3!$B44,"_",Data_3!X$11))=1,X$11,"")</f>
        <v/>
      </c>
      <c r="Y44" s="1424" t="str">
        <f ca="1">IF(COUNTIF(Data!$H$16:$H$100,CONCATENATE(Data_3!$B44,"_",Data_3!Y$11))=1,Y$11,"")</f>
        <v/>
      </c>
      <c r="Z44" s="15"/>
      <c r="AA44" s="15"/>
      <c r="AB44" s="15"/>
      <c r="AC44" s="15"/>
      <c r="AD44" s="15"/>
      <c r="AE44" s="15"/>
      <c r="AF44" s="15"/>
      <c r="AG44" s="15"/>
      <c r="AH44" s="15"/>
      <c r="AI44" s="15"/>
      <c r="AJ44" s="15"/>
      <c r="AK44" s="15"/>
      <c r="AL44" s="15"/>
      <c r="AM44" s="15"/>
      <c r="AN44" s="15"/>
      <c r="AO44" s="15"/>
      <c r="AP44" s="15"/>
      <c r="AQ44" s="15"/>
      <c r="AR44" s="15"/>
      <c r="AS44" s="15"/>
      <c r="AT44" s="15"/>
      <c r="AU44" s="15"/>
      <c r="AV44" s="15"/>
      <c r="AW44" s="15"/>
      <c r="AX44" s="15"/>
      <c r="AY44" s="15"/>
      <c r="AZ44" s="15"/>
      <c r="BA44" s="15"/>
      <c r="BB44" s="15"/>
      <c r="BC44" s="15"/>
      <c r="BD44" s="15"/>
      <c r="BE44" s="15"/>
      <c r="BF44" s="15"/>
      <c r="BG44" s="15"/>
      <c r="BH44" s="15"/>
      <c r="BI44" s="15"/>
      <c r="BJ44" s="15"/>
      <c r="BK44" s="15"/>
      <c r="BL44" s="15"/>
      <c r="BM44" s="15"/>
      <c r="BN44" s="15"/>
      <c r="BO44" s="15"/>
      <c r="BP44" s="15"/>
      <c r="BQ44" s="15"/>
      <c r="BR44" s="15"/>
      <c r="BS44" s="15"/>
      <c r="BT44" s="15"/>
      <c r="BU44" s="15"/>
      <c r="BV44" s="15"/>
      <c r="BW44" s="15"/>
      <c r="BX44" s="15"/>
      <c r="BY44" s="15"/>
      <c r="BZ44" s="15"/>
      <c r="CA44" s="15"/>
      <c r="CB44" s="15"/>
      <c r="CC44" s="15"/>
      <c r="CD44" s="15"/>
      <c r="CE44" s="15"/>
      <c r="CF44" s="15"/>
      <c r="CG44" s="15"/>
      <c r="CH44" s="15"/>
      <c r="CI44" s="15"/>
      <c r="CJ44" s="15"/>
      <c r="CK44" s="15"/>
      <c r="CL44" s="15"/>
      <c r="CM44" s="15"/>
      <c r="CN44" s="15"/>
      <c r="CO44" s="15"/>
      <c r="CP44" s="15"/>
      <c r="CQ44" s="15"/>
      <c r="CR44" s="15"/>
      <c r="CS44" s="15"/>
      <c r="CT44" s="15"/>
      <c r="CU44" s="15"/>
      <c r="CV44" s="15"/>
      <c r="CW44" s="15"/>
      <c r="CX44" s="15"/>
      <c r="CY44" s="15"/>
      <c r="CZ44" s="15"/>
      <c r="DA44" s="15"/>
      <c r="DB44" s="15"/>
      <c r="DC44" s="15"/>
      <c r="DD44" s="15"/>
      <c r="DE44" s="15"/>
      <c r="DF44" s="15"/>
      <c r="DG44" s="15"/>
      <c r="DH44" s="15"/>
      <c r="DI44" s="15"/>
      <c r="DJ44" s="15"/>
      <c r="DK44" s="15"/>
      <c r="DL44" s="15"/>
      <c r="DM44" s="15"/>
      <c r="DN44" s="15"/>
      <c r="DO44" s="15"/>
      <c r="DP44" s="15"/>
      <c r="DQ44" s="15"/>
      <c r="DR44" s="15"/>
      <c r="DS44" s="15"/>
      <c r="DT44" s="15"/>
      <c r="DU44" s="15"/>
      <c r="DV44" s="15"/>
      <c r="DW44" s="15"/>
      <c r="DX44" s="15"/>
      <c r="DY44" s="15"/>
      <c r="DZ44" s="15"/>
      <c r="EA44" s="15"/>
      <c r="EB44" s="15"/>
      <c r="EC44" s="15"/>
      <c r="ED44" s="15"/>
      <c r="EE44" s="15"/>
      <c r="EF44" s="15"/>
      <c r="EG44" s="15"/>
      <c r="EH44" s="15"/>
    </row>
    <row r="45" spans="1:138" s="34" customFormat="1" ht="15" customHeight="1">
      <c r="A45" s="642"/>
      <c r="B45" s="1455" t="str">
        <f t="array" aca="1" ref="B45" ca="1">IFERROR(INDEX(Data!$B$16:$B$96,MATCH(0,COUNTIF($B$12:B44,Data!$B$16:$B$96),0)),"")</f>
        <v/>
      </c>
      <c r="C45" s="1345">
        <v>33</v>
      </c>
      <c r="D45" s="1424" t="s">
        <v>182</v>
      </c>
      <c r="E45" s="1424" t="str">
        <f ca="1">IF(COUNTIF(Data!$H$16:$H$100,CONCATENATE(Data_3!$B45,"_",Data_3!E$11))=1,E$11,"")</f>
        <v/>
      </c>
      <c r="F45" s="1424" t="str">
        <f ca="1">IF(COUNTIF(Data!$H$16:$H$100,CONCATENATE(Data_3!$B45,"_",Data_3!F$11))=1,F$11,"")</f>
        <v/>
      </c>
      <c r="G45" s="1424" t="str">
        <f ca="1">IF(COUNTIF(Data!$H$16:$H$100,CONCATENATE(Data_3!$B45,"_",Data_3!G$11))=1,G$11,"")</f>
        <v/>
      </c>
      <c r="H45" s="1424" t="str">
        <f ca="1">IF(COUNTIF(Data!$H$16:$H$100,CONCATENATE(Data_3!$B45,"_",Data_3!H$11))=1,H$11,"")</f>
        <v/>
      </c>
      <c r="I45" s="1424" t="str">
        <f ca="1">IF(COUNTIF(Data!$H$16:$H$100,CONCATENATE(Data_3!$B45,"_",Data_3!I$11))=1,I$11,"")</f>
        <v/>
      </c>
      <c r="J45" s="1424" t="str">
        <f ca="1">IF(COUNTIF(Data!$H$16:$H$100,CONCATENATE(Data_3!$B45,"_",Data_3!J$11))=1,J$11,"")</f>
        <v/>
      </c>
      <c r="K45" s="1424" t="str">
        <f ca="1">IF(COUNTIF(Data!$H$16:$H$100,CONCATENATE(Data_3!$B45,"_",Data_3!K$11))=1,K$11,"")</f>
        <v/>
      </c>
      <c r="L45" s="1424" t="str">
        <f ca="1">IF(COUNTIF(Data!$H$16:$H$100,CONCATENATE(Data_3!$B45,"_",Data_3!L$11))=1,L$11,"")</f>
        <v/>
      </c>
      <c r="M45" s="1424" t="str">
        <f ca="1">IF(COUNTIF(Data!$H$16:$H$100,CONCATENATE(Data_3!$B45,"_",Data_3!M$11))=1,M$11,"")</f>
        <v/>
      </c>
      <c r="N45" s="1424" t="str">
        <f ca="1">IF(COUNTIF(Data!$H$16:$H$100,CONCATENATE(Data_3!$B45,"_",Data_3!N$11))=1,N$11,"")</f>
        <v/>
      </c>
      <c r="O45" s="1424" t="str">
        <f ca="1">IF(COUNTIF(Data!$H$16:$H$100,CONCATENATE(Data_3!$B45,"_",Data_3!O$11))=1,O$11,"")</f>
        <v/>
      </c>
      <c r="P45" s="1424" t="str">
        <f ca="1">IF(COUNTIF(Data!$H$16:$H$100,CONCATENATE(Data_3!$B45,"_",Data_3!P$11))=1,P$11,"")</f>
        <v/>
      </c>
      <c r="Q45" s="1424" t="str">
        <f ca="1">IF(COUNTIF(Data!$H$16:$H$100,CONCATENATE(Data_3!$B45,"_",Data_3!Q$11))=1,Q$11,"")</f>
        <v/>
      </c>
      <c r="R45" s="1424" t="str">
        <f ca="1">IF(COUNTIF(Data!$H$16:$H$100,CONCATENATE(Data_3!$B45,"_",Data_3!R$11))=1,R$11,"")</f>
        <v/>
      </c>
      <c r="S45" s="1424" t="str">
        <f ca="1">IF(COUNTIF(Data!$H$16:$H$100,CONCATENATE(Data_3!$B45,"_",Data_3!S$11))=1,S$11,"")</f>
        <v/>
      </c>
      <c r="T45" s="1424" t="str">
        <f ca="1">IF(COUNTIF(Data!$H$16:$H$100,CONCATENATE(Data_3!$B45,"_",Data_3!T$11))=1,T$11,"")</f>
        <v/>
      </c>
      <c r="U45" s="1424" t="str">
        <f ca="1">IF(COUNTIF(Data!$H$16:$H$100,CONCATENATE(Data_3!$B45,"_",Data_3!U$11))=1,U$11,"")</f>
        <v/>
      </c>
      <c r="V45" s="1424" t="str">
        <f ca="1">IF(COUNTIF(Data!$H$16:$H$100,CONCATENATE(Data_3!$B45,"_",Data_3!V$11))=1,V$11,"")</f>
        <v/>
      </c>
      <c r="W45" s="1424" t="str">
        <f ca="1">IF(COUNTIF(Data!$H$16:$H$100,CONCATENATE(Data_3!$B45,"_",Data_3!W$11))=1,W$11,"")</f>
        <v/>
      </c>
      <c r="X45" s="1424" t="str">
        <f ca="1">IF(COUNTIF(Data!$H$16:$H$100,CONCATENATE(Data_3!$B45,"_",Data_3!X$11))=1,X$11,"")</f>
        <v/>
      </c>
      <c r="Y45" s="1424" t="str">
        <f ca="1">IF(COUNTIF(Data!$H$16:$H$100,CONCATENATE(Data_3!$B45,"_",Data_3!Y$11))=1,Y$11,"")</f>
        <v/>
      </c>
      <c r="Z45" s="15"/>
      <c r="AA45" s="15"/>
      <c r="AB45" s="15"/>
      <c r="AC45" s="15"/>
      <c r="AD45" s="15"/>
      <c r="AE45" s="15"/>
      <c r="AF45" s="15"/>
      <c r="AG45" s="15"/>
      <c r="AH45" s="15"/>
      <c r="AI45" s="15"/>
      <c r="AJ45" s="15"/>
      <c r="AK45" s="15"/>
      <c r="AL45" s="15"/>
      <c r="AM45" s="15"/>
      <c r="AN45" s="15"/>
      <c r="AO45" s="15"/>
      <c r="AP45" s="15"/>
      <c r="AQ45" s="15"/>
      <c r="AR45" s="15"/>
      <c r="AS45" s="15"/>
      <c r="AT45" s="15"/>
      <c r="AU45" s="15"/>
      <c r="AV45" s="15"/>
      <c r="AW45" s="15"/>
      <c r="AX45" s="15"/>
      <c r="AY45" s="15"/>
      <c r="AZ45" s="15"/>
      <c r="BA45" s="15"/>
      <c r="BB45" s="15"/>
      <c r="BC45" s="15"/>
      <c r="BD45" s="15"/>
      <c r="BE45" s="15"/>
      <c r="BF45" s="15"/>
      <c r="BG45" s="15"/>
      <c r="BH45" s="15"/>
      <c r="BI45" s="15"/>
      <c r="BJ45" s="15"/>
      <c r="BK45" s="15"/>
      <c r="BL45" s="15"/>
      <c r="BM45" s="15"/>
      <c r="BN45" s="15"/>
      <c r="BO45" s="15"/>
      <c r="BP45" s="15"/>
      <c r="BQ45" s="15"/>
      <c r="BR45" s="15"/>
      <c r="BS45" s="15"/>
      <c r="BT45" s="15"/>
      <c r="BU45" s="15"/>
      <c r="BV45" s="15"/>
      <c r="BW45" s="15"/>
      <c r="BX45" s="15"/>
      <c r="BY45" s="15"/>
      <c r="BZ45" s="15"/>
      <c r="CA45" s="15"/>
      <c r="CB45" s="15"/>
      <c r="CC45" s="15"/>
      <c r="CD45" s="15"/>
      <c r="CE45" s="15"/>
      <c r="CF45" s="15"/>
      <c r="CG45" s="15"/>
      <c r="CH45" s="15"/>
      <c r="CI45" s="15"/>
      <c r="CJ45" s="15"/>
      <c r="CK45" s="15"/>
      <c r="CL45" s="15"/>
      <c r="CM45" s="15"/>
      <c r="CN45" s="15"/>
      <c r="CO45" s="15"/>
      <c r="CP45" s="15"/>
      <c r="CQ45" s="15"/>
      <c r="CR45" s="15"/>
      <c r="CS45" s="15"/>
      <c r="CT45" s="15"/>
      <c r="CU45" s="15"/>
      <c r="CV45" s="15"/>
      <c r="CW45" s="15"/>
      <c r="CX45" s="15"/>
      <c r="CY45" s="15"/>
      <c r="CZ45" s="15"/>
      <c r="DA45" s="15"/>
      <c r="DB45" s="15"/>
      <c r="DC45" s="15"/>
      <c r="DD45" s="15"/>
      <c r="DE45" s="15"/>
      <c r="DF45" s="15"/>
      <c r="DG45" s="15"/>
      <c r="DH45" s="15"/>
      <c r="DI45" s="15"/>
      <c r="DJ45" s="15"/>
      <c r="DK45" s="15"/>
      <c r="DL45" s="15"/>
      <c r="DM45" s="15"/>
      <c r="DN45" s="15"/>
      <c r="DO45" s="15"/>
      <c r="DP45" s="15"/>
      <c r="DQ45" s="15"/>
      <c r="DR45" s="15"/>
      <c r="DS45" s="15"/>
      <c r="DT45" s="15"/>
      <c r="DU45" s="15"/>
      <c r="DV45" s="15"/>
      <c r="DW45" s="15"/>
      <c r="DX45" s="15"/>
      <c r="DY45" s="15"/>
      <c r="DZ45" s="15"/>
      <c r="EA45" s="15"/>
      <c r="EB45" s="15"/>
      <c r="EC45" s="15"/>
      <c r="ED45" s="15"/>
      <c r="EE45" s="15"/>
      <c r="EF45" s="15"/>
      <c r="EG45" s="15"/>
      <c r="EH45" s="15"/>
    </row>
    <row r="46" spans="1:138" s="34" customFormat="1" ht="15" customHeight="1">
      <c r="A46" s="642"/>
      <c r="B46" s="1455" t="str">
        <f t="array" aca="1" ref="B46" ca="1">IFERROR(INDEX(Data!$B$16:$B$96,MATCH(0,COUNTIF($B$12:B45,Data!$B$16:$B$96),0)),"")</f>
        <v/>
      </c>
      <c r="C46" s="1345">
        <v>34</v>
      </c>
      <c r="D46" s="1424" t="s">
        <v>182</v>
      </c>
      <c r="E46" s="1424" t="str">
        <f ca="1">IF(COUNTIF(Data!$H$16:$H$100,CONCATENATE(Data_3!$B46,"_",Data_3!E$11))=1,E$11,"")</f>
        <v/>
      </c>
      <c r="F46" s="1424" t="str">
        <f ca="1">IF(COUNTIF(Data!$H$16:$H$100,CONCATENATE(Data_3!$B46,"_",Data_3!F$11))=1,F$11,"")</f>
        <v/>
      </c>
      <c r="G46" s="1424" t="str">
        <f ca="1">IF(COUNTIF(Data!$H$16:$H$100,CONCATENATE(Data_3!$B46,"_",Data_3!G$11))=1,G$11,"")</f>
        <v/>
      </c>
      <c r="H46" s="1424" t="str">
        <f ca="1">IF(COUNTIF(Data!$H$16:$H$100,CONCATENATE(Data_3!$B46,"_",Data_3!H$11))=1,H$11,"")</f>
        <v/>
      </c>
      <c r="I46" s="1424" t="str">
        <f ca="1">IF(COUNTIF(Data!$H$16:$H$100,CONCATENATE(Data_3!$B46,"_",Data_3!I$11))=1,I$11,"")</f>
        <v/>
      </c>
      <c r="J46" s="1424" t="str">
        <f ca="1">IF(COUNTIF(Data!$H$16:$H$100,CONCATENATE(Data_3!$B46,"_",Data_3!J$11))=1,J$11,"")</f>
        <v/>
      </c>
      <c r="K46" s="1424" t="str">
        <f ca="1">IF(COUNTIF(Data!$H$16:$H$100,CONCATENATE(Data_3!$B46,"_",Data_3!K$11))=1,K$11,"")</f>
        <v/>
      </c>
      <c r="L46" s="1424" t="str">
        <f ca="1">IF(COUNTIF(Data!$H$16:$H$100,CONCATENATE(Data_3!$B46,"_",Data_3!L$11))=1,L$11,"")</f>
        <v/>
      </c>
      <c r="M46" s="1424" t="str">
        <f ca="1">IF(COUNTIF(Data!$H$16:$H$100,CONCATENATE(Data_3!$B46,"_",Data_3!M$11))=1,M$11,"")</f>
        <v/>
      </c>
      <c r="N46" s="1424" t="str">
        <f ca="1">IF(COUNTIF(Data!$H$16:$H$100,CONCATENATE(Data_3!$B46,"_",Data_3!N$11))=1,N$11,"")</f>
        <v/>
      </c>
      <c r="O46" s="1424" t="str">
        <f ca="1">IF(COUNTIF(Data!$H$16:$H$100,CONCATENATE(Data_3!$B46,"_",Data_3!O$11))=1,O$11,"")</f>
        <v/>
      </c>
      <c r="P46" s="1424" t="str">
        <f ca="1">IF(COUNTIF(Data!$H$16:$H$100,CONCATENATE(Data_3!$B46,"_",Data_3!P$11))=1,P$11,"")</f>
        <v/>
      </c>
      <c r="Q46" s="1424" t="str">
        <f ca="1">IF(COUNTIF(Data!$H$16:$H$100,CONCATENATE(Data_3!$B46,"_",Data_3!Q$11))=1,Q$11,"")</f>
        <v/>
      </c>
      <c r="R46" s="1424" t="str">
        <f ca="1">IF(COUNTIF(Data!$H$16:$H$100,CONCATENATE(Data_3!$B46,"_",Data_3!R$11))=1,R$11,"")</f>
        <v/>
      </c>
      <c r="S46" s="1424" t="str">
        <f ca="1">IF(COUNTIF(Data!$H$16:$H$100,CONCATENATE(Data_3!$B46,"_",Data_3!S$11))=1,S$11,"")</f>
        <v/>
      </c>
      <c r="T46" s="1424" t="str">
        <f ca="1">IF(COUNTIF(Data!$H$16:$H$100,CONCATENATE(Data_3!$B46,"_",Data_3!T$11))=1,T$11,"")</f>
        <v/>
      </c>
      <c r="U46" s="1424" t="str">
        <f ca="1">IF(COUNTIF(Data!$H$16:$H$100,CONCATENATE(Data_3!$B46,"_",Data_3!U$11))=1,U$11,"")</f>
        <v/>
      </c>
      <c r="V46" s="1424" t="str">
        <f ca="1">IF(COUNTIF(Data!$H$16:$H$100,CONCATENATE(Data_3!$B46,"_",Data_3!V$11))=1,V$11,"")</f>
        <v/>
      </c>
      <c r="W46" s="1424" t="str">
        <f ca="1">IF(COUNTIF(Data!$H$16:$H$100,CONCATENATE(Data_3!$B46,"_",Data_3!W$11))=1,W$11,"")</f>
        <v/>
      </c>
      <c r="X46" s="1424" t="str">
        <f ca="1">IF(COUNTIF(Data!$H$16:$H$100,CONCATENATE(Data_3!$B46,"_",Data_3!X$11))=1,X$11,"")</f>
        <v/>
      </c>
      <c r="Y46" s="1424" t="str">
        <f ca="1">IF(COUNTIF(Data!$H$16:$H$100,CONCATENATE(Data_3!$B46,"_",Data_3!Y$11))=1,Y$11,"")</f>
        <v/>
      </c>
      <c r="Z46" s="15"/>
      <c r="AA46" s="15"/>
      <c r="AB46" s="15"/>
      <c r="AC46" s="15"/>
      <c r="AD46" s="15"/>
      <c r="AE46" s="15"/>
      <c r="AF46" s="15"/>
      <c r="AG46" s="15"/>
      <c r="AH46" s="15"/>
      <c r="AI46" s="15"/>
      <c r="AJ46" s="15"/>
      <c r="AK46" s="15"/>
      <c r="AL46" s="15"/>
      <c r="AM46" s="15"/>
      <c r="AN46" s="15"/>
      <c r="AO46" s="15"/>
      <c r="AP46" s="15"/>
      <c r="AQ46" s="15"/>
      <c r="AR46" s="15"/>
      <c r="AS46" s="15"/>
      <c r="AT46" s="15"/>
      <c r="AU46" s="15"/>
      <c r="AV46" s="15"/>
      <c r="AW46" s="15"/>
      <c r="AX46" s="15"/>
      <c r="AY46" s="15"/>
      <c r="AZ46" s="15"/>
      <c r="BA46" s="15"/>
      <c r="BB46" s="15"/>
      <c r="BC46" s="15"/>
      <c r="BD46" s="15"/>
      <c r="BE46" s="15"/>
      <c r="BF46" s="15"/>
      <c r="BG46" s="15"/>
      <c r="BH46" s="15"/>
      <c r="BI46" s="15"/>
      <c r="BJ46" s="15"/>
      <c r="BK46" s="15"/>
      <c r="BL46" s="15"/>
      <c r="BM46" s="15"/>
      <c r="BN46" s="15"/>
      <c r="BO46" s="15"/>
      <c r="BP46" s="15"/>
      <c r="BQ46" s="15"/>
      <c r="BR46" s="15"/>
      <c r="BS46" s="15"/>
      <c r="BT46" s="15"/>
      <c r="BU46" s="15"/>
      <c r="BV46" s="15"/>
      <c r="BW46" s="15"/>
      <c r="BX46" s="15"/>
      <c r="BY46" s="15"/>
      <c r="BZ46" s="15"/>
      <c r="CA46" s="15"/>
      <c r="CB46" s="15"/>
      <c r="CC46" s="15"/>
      <c r="CD46" s="15"/>
      <c r="CE46" s="15"/>
      <c r="CF46" s="15"/>
      <c r="CG46" s="15"/>
      <c r="CH46" s="15"/>
      <c r="CI46" s="15"/>
      <c r="CJ46" s="15"/>
      <c r="CK46" s="15"/>
      <c r="CL46" s="15"/>
      <c r="CM46" s="15"/>
      <c r="CN46" s="15"/>
      <c r="CO46" s="15"/>
      <c r="CP46" s="15"/>
      <c r="CQ46" s="15"/>
      <c r="CR46" s="15"/>
      <c r="CS46" s="15"/>
      <c r="CT46" s="15"/>
      <c r="CU46" s="15"/>
      <c r="CV46" s="15"/>
      <c r="CW46" s="15"/>
      <c r="CX46" s="15"/>
      <c r="CY46" s="15"/>
      <c r="CZ46" s="15"/>
      <c r="DA46" s="15"/>
      <c r="DB46" s="15"/>
      <c r="DC46" s="15"/>
      <c r="DD46" s="15"/>
      <c r="DE46" s="15"/>
      <c r="DF46" s="15"/>
      <c r="DG46" s="15"/>
      <c r="DH46" s="15"/>
      <c r="DI46" s="15"/>
      <c r="DJ46" s="15"/>
      <c r="DK46" s="15"/>
      <c r="DL46" s="15"/>
      <c r="DM46" s="15"/>
      <c r="DN46" s="15"/>
      <c r="DO46" s="15"/>
      <c r="DP46" s="15"/>
      <c r="DQ46" s="15"/>
      <c r="DR46" s="15"/>
      <c r="DS46" s="15"/>
      <c r="DT46" s="15"/>
      <c r="DU46" s="15"/>
      <c r="DV46" s="15"/>
      <c r="DW46" s="15"/>
      <c r="DX46" s="15"/>
      <c r="DY46" s="15"/>
      <c r="DZ46" s="15"/>
      <c r="EA46" s="15"/>
      <c r="EB46" s="15"/>
      <c r="EC46" s="15"/>
      <c r="ED46" s="15"/>
      <c r="EE46" s="15"/>
      <c r="EF46" s="15"/>
      <c r="EG46" s="15"/>
      <c r="EH46" s="15"/>
    </row>
    <row r="47" spans="1:138" s="34" customFormat="1" ht="15" customHeight="1">
      <c r="A47" s="642"/>
      <c r="B47" s="1455" t="str">
        <f t="array" aca="1" ref="B47" ca="1">IFERROR(INDEX(Data!$B$16:$B$96,MATCH(0,COUNTIF($B$12:B46,Data!$B$16:$B$96),0)),"")</f>
        <v/>
      </c>
      <c r="C47" s="1345">
        <v>35</v>
      </c>
      <c r="D47" s="1424" t="s">
        <v>182</v>
      </c>
      <c r="E47" s="1424" t="str">
        <f ca="1">IF(COUNTIF(Data!$H$16:$H$100,CONCATENATE(Data_3!$B47,"_",Data_3!E$11))=1,E$11,"")</f>
        <v/>
      </c>
      <c r="F47" s="1424" t="str">
        <f ca="1">IF(COUNTIF(Data!$H$16:$H$100,CONCATENATE(Data_3!$B47,"_",Data_3!F$11))=1,F$11,"")</f>
        <v/>
      </c>
      <c r="G47" s="1424" t="str">
        <f ca="1">IF(COUNTIF(Data!$H$16:$H$100,CONCATENATE(Data_3!$B47,"_",Data_3!G$11))=1,G$11,"")</f>
        <v/>
      </c>
      <c r="H47" s="1424" t="str">
        <f ca="1">IF(COUNTIF(Data!$H$16:$H$100,CONCATENATE(Data_3!$B47,"_",Data_3!H$11))=1,H$11,"")</f>
        <v/>
      </c>
      <c r="I47" s="1424" t="str">
        <f ca="1">IF(COUNTIF(Data!$H$16:$H$100,CONCATENATE(Data_3!$B47,"_",Data_3!I$11))=1,I$11,"")</f>
        <v/>
      </c>
      <c r="J47" s="1424" t="str">
        <f ca="1">IF(COUNTIF(Data!$H$16:$H$100,CONCATENATE(Data_3!$B47,"_",Data_3!J$11))=1,J$11,"")</f>
        <v/>
      </c>
      <c r="K47" s="1424" t="str">
        <f ca="1">IF(COUNTIF(Data!$H$16:$H$100,CONCATENATE(Data_3!$B47,"_",Data_3!K$11))=1,K$11,"")</f>
        <v/>
      </c>
      <c r="L47" s="1424" t="str">
        <f ca="1">IF(COUNTIF(Data!$H$16:$H$100,CONCATENATE(Data_3!$B47,"_",Data_3!L$11))=1,L$11,"")</f>
        <v/>
      </c>
      <c r="M47" s="1424" t="str">
        <f ca="1">IF(COUNTIF(Data!$H$16:$H$100,CONCATENATE(Data_3!$B47,"_",Data_3!M$11))=1,M$11,"")</f>
        <v/>
      </c>
      <c r="N47" s="1424" t="str">
        <f ca="1">IF(COUNTIF(Data!$H$16:$H$100,CONCATENATE(Data_3!$B47,"_",Data_3!N$11))=1,N$11,"")</f>
        <v/>
      </c>
      <c r="O47" s="1424" t="str">
        <f ca="1">IF(COUNTIF(Data!$H$16:$H$100,CONCATENATE(Data_3!$B47,"_",Data_3!O$11))=1,O$11,"")</f>
        <v/>
      </c>
      <c r="P47" s="1424" t="str">
        <f ca="1">IF(COUNTIF(Data!$H$16:$H$100,CONCATENATE(Data_3!$B47,"_",Data_3!P$11))=1,P$11,"")</f>
        <v/>
      </c>
      <c r="Q47" s="1424" t="str">
        <f ca="1">IF(COUNTIF(Data!$H$16:$H$100,CONCATENATE(Data_3!$B47,"_",Data_3!Q$11))=1,Q$11,"")</f>
        <v/>
      </c>
      <c r="R47" s="1424" t="str">
        <f ca="1">IF(COUNTIF(Data!$H$16:$H$100,CONCATENATE(Data_3!$B47,"_",Data_3!R$11))=1,R$11,"")</f>
        <v/>
      </c>
      <c r="S47" s="1424" t="str">
        <f ca="1">IF(COUNTIF(Data!$H$16:$H$100,CONCATENATE(Data_3!$B47,"_",Data_3!S$11))=1,S$11,"")</f>
        <v/>
      </c>
      <c r="T47" s="1424" t="str">
        <f ca="1">IF(COUNTIF(Data!$H$16:$H$100,CONCATENATE(Data_3!$B47,"_",Data_3!T$11))=1,T$11,"")</f>
        <v/>
      </c>
      <c r="U47" s="1424" t="str">
        <f ca="1">IF(COUNTIF(Data!$H$16:$H$100,CONCATENATE(Data_3!$B47,"_",Data_3!U$11))=1,U$11,"")</f>
        <v/>
      </c>
      <c r="V47" s="1424" t="str">
        <f ca="1">IF(COUNTIF(Data!$H$16:$H$100,CONCATENATE(Data_3!$B47,"_",Data_3!V$11))=1,V$11,"")</f>
        <v/>
      </c>
      <c r="W47" s="1424" t="str">
        <f ca="1">IF(COUNTIF(Data!$H$16:$H$100,CONCATENATE(Data_3!$B47,"_",Data_3!W$11))=1,W$11,"")</f>
        <v/>
      </c>
      <c r="X47" s="1424" t="str">
        <f ca="1">IF(COUNTIF(Data!$H$16:$H$100,CONCATENATE(Data_3!$B47,"_",Data_3!X$11))=1,X$11,"")</f>
        <v/>
      </c>
      <c r="Y47" s="1424" t="str">
        <f ca="1">IF(COUNTIF(Data!$H$16:$H$100,CONCATENATE(Data_3!$B47,"_",Data_3!Y$11))=1,Y$11,"")</f>
        <v/>
      </c>
      <c r="Z47" s="15"/>
      <c r="AA47" s="15"/>
      <c r="AB47" s="15"/>
      <c r="AC47" s="15"/>
      <c r="AD47" s="15"/>
      <c r="AE47" s="15"/>
      <c r="AF47" s="15"/>
      <c r="AG47" s="15"/>
      <c r="AH47" s="15"/>
      <c r="AI47" s="15"/>
      <c r="AJ47" s="15"/>
      <c r="AK47" s="15"/>
      <c r="AL47" s="15"/>
      <c r="AM47" s="15"/>
      <c r="AN47" s="15"/>
      <c r="AO47" s="15"/>
      <c r="AP47" s="15"/>
      <c r="AQ47" s="15"/>
      <c r="AR47" s="15"/>
      <c r="AS47" s="15"/>
      <c r="AT47" s="15"/>
      <c r="AU47" s="15"/>
      <c r="AV47" s="15"/>
      <c r="AW47" s="15"/>
      <c r="AX47" s="15"/>
      <c r="AY47" s="15"/>
      <c r="AZ47" s="15"/>
      <c r="BA47" s="15"/>
      <c r="BB47" s="15"/>
      <c r="BC47" s="15"/>
      <c r="BD47" s="15"/>
      <c r="BE47" s="15"/>
      <c r="BF47" s="15"/>
      <c r="BG47" s="15"/>
      <c r="BH47" s="15"/>
      <c r="BI47" s="15"/>
      <c r="BJ47" s="15"/>
      <c r="BK47" s="15"/>
      <c r="BL47" s="15"/>
      <c r="BM47" s="15"/>
      <c r="BN47" s="15"/>
      <c r="BO47" s="15"/>
      <c r="BP47" s="15"/>
      <c r="BQ47" s="15"/>
      <c r="BR47" s="15"/>
      <c r="BS47" s="15"/>
      <c r="BT47" s="15"/>
      <c r="BU47" s="15"/>
      <c r="BV47" s="15"/>
      <c r="BW47" s="15"/>
      <c r="BX47" s="15"/>
      <c r="BY47" s="15"/>
      <c r="BZ47" s="15"/>
      <c r="CA47" s="15"/>
      <c r="CB47" s="15"/>
      <c r="CC47" s="15"/>
      <c r="CD47" s="15"/>
      <c r="CE47" s="15"/>
      <c r="CF47" s="15"/>
      <c r="CG47" s="15"/>
      <c r="CH47" s="15"/>
      <c r="CI47" s="15"/>
      <c r="CJ47" s="15"/>
      <c r="CK47" s="15"/>
      <c r="CL47" s="15"/>
      <c r="CM47" s="15"/>
      <c r="CN47" s="15"/>
      <c r="CO47" s="15"/>
      <c r="CP47" s="15"/>
      <c r="CQ47" s="15"/>
      <c r="CR47" s="15"/>
      <c r="CS47" s="15"/>
      <c r="CT47" s="15"/>
      <c r="CU47" s="15"/>
      <c r="CV47" s="15"/>
      <c r="CW47" s="15"/>
      <c r="CX47" s="15"/>
      <c r="CY47" s="15"/>
      <c r="CZ47" s="15"/>
      <c r="DA47" s="15"/>
      <c r="DB47" s="15"/>
      <c r="DC47" s="15"/>
      <c r="DD47" s="15"/>
      <c r="DE47" s="15"/>
      <c r="DF47" s="15"/>
      <c r="DG47" s="15"/>
      <c r="DH47" s="15"/>
      <c r="DI47" s="15"/>
      <c r="DJ47" s="15"/>
      <c r="DK47" s="15"/>
      <c r="DL47" s="15"/>
      <c r="DM47" s="15"/>
      <c r="DN47" s="15"/>
      <c r="DO47" s="15"/>
      <c r="DP47" s="15"/>
      <c r="DQ47" s="15"/>
      <c r="DR47" s="15"/>
      <c r="DS47" s="15"/>
      <c r="DT47" s="15"/>
      <c r="DU47" s="15"/>
      <c r="DV47" s="15"/>
      <c r="DW47" s="15"/>
      <c r="DX47" s="15"/>
      <c r="DY47" s="15"/>
      <c r="DZ47" s="15"/>
      <c r="EA47" s="15"/>
      <c r="EB47" s="15"/>
      <c r="EC47" s="15"/>
      <c r="ED47" s="15"/>
      <c r="EE47" s="15"/>
      <c r="EF47" s="15"/>
      <c r="EG47" s="15"/>
      <c r="EH47" s="15"/>
    </row>
    <row r="48" spans="1:138" s="34" customFormat="1" ht="15" customHeight="1">
      <c r="A48" s="642"/>
      <c r="B48" s="1455" t="str">
        <f t="array" aca="1" ref="B48" ca="1">IFERROR(INDEX(Data!$B$16:$B$96,MATCH(0,COUNTIF($B$12:B47,Data!$B$16:$B$96),0)),"")</f>
        <v/>
      </c>
      <c r="C48" s="1345">
        <v>36</v>
      </c>
      <c r="D48" s="1424" t="s">
        <v>182</v>
      </c>
      <c r="E48" s="1424" t="str">
        <f ca="1">IF(COUNTIF(Data!$H$16:$H$100,CONCATENATE(Data_3!$B48,"_",Data_3!E$11))=1,E$11,"")</f>
        <v/>
      </c>
      <c r="F48" s="1424" t="str">
        <f ca="1">IF(COUNTIF(Data!$H$16:$H$100,CONCATENATE(Data_3!$B48,"_",Data_3!F$11))=1,F$11,"")</f>
        <v/>
      </c>
      <c r="G48" s="1424" t="str">
        <f ca="1">IF(COUNTIF(Data!$H$16:$H$100,CONCATENATE(Data_3!$B48,"_",Data_3!G$11))=1,G$11,"")</f>
        <v/>
      </c>
      <c r="H48" s="1424" t="str">
        <f ca="1">IF(COUNTIF(Data!$H$16:$H$100,CONCATENATE(Data_3!$B48,"_",Data_3!H$11))=1,H$11,"")</f>
        <v/>
      </c>
      <c r="I48" s="1424" t="str">
        <f ca="1">IF(COUNTIF(Data!$H$16:$H$100,CONCATENATE(Data_3!$B48,"_",Data_3!I$11))=1,I$11,"")</f>
        <v/>
      </c>
      <c r="J48" s="1424" t="str">
        <f ca="1">IF(COUNTIF(Data!$H$16:$H$100,CONCATENATE(Data_3!$B48,"_",Data_3!J$11))=1,J$11,"")</f>
        <v/>
      </c>
      <c r="K48" s="1424" t="str">
        <f ca="1">IF(COUNTIF(Data!$H$16:$H$100,CONCATENATE(Data_3!$B48,"_",Data_3!K$11))=1,K$11,"")</f>
        <v/>
      </c>
      <c r="L48" s="1424" t="str">
        <f ca="1">IF(COUNTIF(Data!$H$16:$H$100,CONCATENATE(Data_3!$B48,"_",Data_3!L$11))=1,L$11,"")</f>
        <v/>
      </c>
      <c r="M48" s="1424" t="str">
        <f ca="1">IF(COUNTIF(Data!$H$16:$H$100,CONCATENATE(Data_3!$B48,"_",Data_3!M$11))=1,M$11,"")</f>
        <v/>
      </c>
      <c r="N48" s="1424" t="str">
        <f ca="1">IF(COUNTIF(Data!$H$16:$H$100,CONCATENATE(Data_3!$B48,"_",Data_3!N$11))=1,N$11,"")</f>
        <v/>
      </c>
      <c r="O48" s="1424" t="str">
        <f ca="1">IF(COUNTIF(Data!$H$16:$H$100,CONCATENATE(Data_3!$B48,"_",Data_3!O$11))=1,O$11,"")</f>
        <v/>
      </c>
      <c r="P48" s="1424" t="str">
        <f ca="1">IF(COUNTIF(Data!$H$16:$H$100,CONCATENATE(Data_3!$B48,"_",Data_3!P$11))=1,P$11,"")</f>
        <v/>
      </c>
      <c r="Q48" s="1424" t="str">
        <f ca="1">IF(COUNTIF(Data!$H$16:$H$100,CONCATENATE(Data_3!$B48,"_",Data_3!Q$11))=1,Q$11,"")</f>
        <v/>
      </c>
      <c r="R48" s="1424" t="str">
        <f ca="1">IF(COUNTIF(Data!$H$16:$H$100,CONCATENATE(Data_3!$B48,"_",Data_3!R$11))=1,R$11,"")</f>
        <v/>
      </c>
      <c r="S48" s="1424" t="str">
        <f ca="1">IF(COUNTIF(Data!$H$16:$H$100,CONCATENATE(Data_3!$B48,"_",Data_3!S$11))=1,S$11,"")</f>
        <v/>
      </c>
      <c r="T48" s="1424" t="str">
        <f ca="1">IF(COUNTIF(Data!$H$16:$H$100,CONCATENATE(Data_3!$B48,"_",Data_3!T$11))=1,T$11,"")</f>
        <v/>
      </c>
      <c r="U48" s="1424" t="str">
        <f ca="1">IF(COUNTIF(Data!$H$16:$H$100,CONCATENATE(Data_3!$B48,"_",Data_3!U$11))=1,U$11,"")</f>
        <v/>
      </c>
      <c r="V48" s="1424" t="str">
        <f ca="1">IF(COUNTIF(Data!$H$16:$H$100,CONCATENATE(Data_3!$B48,"_",Data_3!V$11))=1,V$11,"")</f>
        <v/>
      </c>
      <c r="W48" s="1424" t="str">
        <f ca="1">IF(COUNTIF(Data!$H$16:$H$100,CONCATENATE(Data_3!$B48,"_",Data_3!W$11))=1,W$11,"")</f>
        <v/>
      </c>
      <c r="X48" s="1424" t="str">
        <f ca="1">IF(COUNTIF(Data!$H$16:$H$100,CONCATENATE(Data_3!$B48,"_",Data_3!X$11))=1,X$11,"")</f>
        <v/>
      </c>
      <c r="Y48" s="1424" t="str">
        <f ca="1">IF(COUNTIF(Data!$H$16:$H$100,CONCATENATE(Data_3!$B48,"_",Data_3!Y$11))=1,Y$11,"")</f>
        <v/>
      </c>
      <c r="Z48" s="15"/>
      <c r="AA48" s="15"/>
      <c r="AB48" s="15"/>
      <c r="AC48" s="15"/>
      <c r="AD48" s="15"/>
      <c r="AE48" s="15"/>
      <c r="AF48" s="15"/>
      <c r="AG48" s="15"/>
      <c r="AH48" s="15"/>
      <c r="AI48" s="15"/>
      <c r="AJ48" s="15"/>
      <c r="AK48" s="15"/>
      <c r="AL48" s="15"/>
      <c r="AM48" s="15"/>
      <c r="AN48" s="15"/>
      <c r="AO48" s="15"/>
      <c r="AP48" s="15"/>
      <c r="AQ48" s="15"/>
      <c r="AR48" s="15"/>
      <c r="AS48" s="15"/>
      <c r="AT48" s="15"/>
      <c r="AU48" s="15"/>
      <c r="AV48" s="15"/>
      <c r="AW48" s="15"/>
      <c r="AX48" s="15"/>
      <c r="AY48" s="15"/>
      <c r="AZ48" s="15"/>
      <c r="BA48" s="15"/>
      <c r="BB48" s="15"/>
      <c r="BC48" s="15"/>
      <c r="BD48" s="15"/>
      <c r="BE48" s="15"/>
      <c r="BF48" s="15"/>
      <c r="BG48" s="15"/>
      <c r="BH48" s="15"/>
      <c r="BI48" s="15"/>
      <c r="BJ48" s="15"/>
      <c r="BK48" s="15"/>
      <c r="BL48" s="15"/>
      <c r="BM48" s="15"/>
      <c r="BN48" s="15"/>
      <c r="BO48" s="15"/>
      <c r="BP48" s="15"/>
      <c r="BQ48" s="15"/>
      <c r="BR48" s="15"/>
      <c r="BS48" s="15"/>
      <c r="BT48" s="15"/>
      <c r="BU48" s="15"/>
      <c r="BV48" s="15"/>
      <c r="BW48" s="15"/>
      <c r="BX48" s="15"/>
      <c r="BY48" s="15"/>
      <c r="BZ48" s="15"/>
      <c r="CA48" s="15"/>
      <c r="CB48" s="15"/>
      <c r="CC48" s="15"/>
      <c r="CD48" s="15"/>
      <c r="CE48" s="15"/>
      <c r="CF48" s="15"/>
      <c r="CG48" s="15"/>
      <c r="CH48" s="15"/>
      <c r="CI48" s="15"/>
      <c r="CJ48" s="15"/>
      <c r="CK48" s="15"/>
      <c r="CL48" s="15"/>
      <c r="CM48" s="15"/>
      <c r="CN48" s="15"/>
      <c r="CO48" s="15"/>
      <c r="CP48" s="15"/>
      <c r="CQ48" s="15"/>
      <c r="CR48" s="15"/>
      <c r="CS48" s="15"/>
      <c r="CT48" s="15"/>
      <c r="CU48" s="15"/>
      <c r="CV48" s="15"/>
      <c r="CW48" s="15"/>
      <c r="CX48" s="15"/>
      <c r="CY48" s="15"/>
      <c r="CZ48" s="15"/>
      <c r="DA48" s="15"/>
      <c r="DB48" s="15"/>
      <c r="DC48" s="15"/>
      <c r="DD48" s="15"/>
      <c r="DE48" s="15"/>
      <c r="DF48" s="15"/>
      <c r="DG48" s="15"/>
      <c r="DH48" s="15"/>
      <c r="DI48" s="15"/>
      <c r="DJ48" s="15"/>
      <c r="DK48" s="15"/>
      <c r="DL48" s="15"/>
      <c r="DM48" s="15"/>
      <c r="DN48" s="15"/>
      <c r="DO48" s="15"/>
      <c r="DP48" s="15"/>
      <c r="DQ48" s="15"/>
      <c r="DR48" s="15"/>
      <c r="DS48" s="15"/>
      <c r="DT48" s="15"/>
      <c r="DU48" s="15"/>
      <c r="DV48" s="15"/>
      <c r="DW48" s="15"/>
      <c r="DX48" s="15"/>
      <c r="DY48" s="15"/>
      <c r="DZ48" s="15"/>
      <c r="EA48" s="15"/>
      <c r="EB48" s="15"/>
      <c r="EC48" s="15"/>
      <c r="ED48" s="15"/>
      <c r="EE48" s="15"/>
      <c r="EF48" s="15"/>
      <c r="EG48" s="15"/>
      <c r="EH48" s="15"/>
    </row>
    <row r="49" spans="1:138" s="34" customFormat="1" ht="15" customHeight="1">
      <c r="A49" s="642"/>
      <c r="B49" s="1455" t="str">
        <f t="array" aca="1" ref="B49" ca="1">IFERROR(INDEX(Data!$B$16:$B$96,MATCH(0,COUNTIF($B$12:B48,Data!$B$16:$B$96),0)),"")</f>
        <v/>
      </c>
      <c r="C49" s="1345">
        <v>37</v>
      </c>
      <c r="D49" s="1424" t="s">
        <v>182</v>
      </c>
      <c r="E49" s="1424" t="str">
        <f ca="1">IF(COUNTIF(Data!$H$16:$H$100,CONCATENATE(Data_3!$B49,"_",Data_3!E$11))=1,E$11,"")</f>
        <v/>
      </c>
      <c r="F49" s="1424" t="str">
        <f ca="1">IF(COUNTIF(Data!$H$16:$H$100,CONCATENATE(Data_3!$B49,"_",Data_3!F$11))=1,F$11,"")</f>
        <v/>
      </c>
      <c r="G49" s="1424" t="str">
        <f ca="1">IF(COUNTIF(Data!$H$16:$H$100,CONCATENATE(Data_3!$B49,"_",Data_3!G$11))=1,G$11,"")</f>
        <v/>
      </c>
      <c r="H49" s="1424" t="str">
        <f ca="1">IF(COUNTIF(Data!$H$16:$H$100,CONCATENATE(Data_3!$B49,"_",Data_3!H$11))=1,H$11,"")</f>
        <v/>
      </c>
      <c r="I49" s="1424" t="str">
        <f ca="1">IF(COUNTIF(Data!$H$16:$H$100,CONCATENATE(Data_3!$B49,"_",Data_3!I$11))=1,I$11,"")</f>
        <v/>
      </c>
      <c r="J49" s="1424" t="str">
        <f ca="1">IF(COUNTIF(Data!$H$16:$H$100,CONCATENATE(Data_3!$B49,"_",Data_3!J$11))=1,J$11,"")</f>
        <v/>
      </c>
      <c r="K49" s="1424" t="str">
        <f ca="1">IF(COUNTIF(Data!$H$16:$H$100,CONCATENATE(Data_3!$B49,"_",Data_3!K$11))=1,K$11,"")</f>
        <v/>
      </c>
      <c r="L49" s="1424" t="str">
        <f ca="1">IF(COUNTIF(Data!$H$16:$H$100,CONCATENATE(Data_3!$B49,"_",Data_3!L$11))=1,L$11,"")</f>
        <v/>
      </c>
      <c r="M49" s="1424" t="str">
        <f ca="1">IF(COUNTIF(Data!$H$16:$H$100,CONCATENATE(Data_3!$B49,"_",Data_3!M$11))=1,M$11,"")</f>
        <v/>
      </c>
      <c r="N49" s="1424" t="str">
        <f ca="1">IF(COUNTIF(Data!$H$16:$H$100,CONCATENATE(Data_3!$B49,"_",Data_3!N$11))=1,N$11,"")</f>
        <v/>
      </c>
      <c r="O49" s="1424" t="str">
        <f ca="1">IF(COUNTIF(Data!$H$16:$H$100,CONCATENATE(Data_3!$B49,"_",Data_3!O$11))=1,O$11,"")</f>
        <v/>
      </c>
      <c r="P49" s="1424" t="str">
        <f ca="1">IF(COUNTIF(Data!$H$16:$H$100,CONCATENATE(Data_3!$B49,"_",Data_3!P$11))=1,P$11,"")</f>
        <v/>
      </c>
      <c r="Q49" s="1424" t="str">
        <f ca="1">IF(COUNTIF(Data!$H$16:$H$100,CONCATENATE(Data_3!$B49,"_",Data_3!Q$11))=1,Q$11,"")</f>
        <v/>
      </c>
      <c r="R49" s="1424" t="str">
        <f ca="1">IF(COUNTIF(Data!$H$16:$H$100,CONCATENATE(Data_3!$B49,"_",Data_3!R$11))=1,R$11,"")</f>
        <v/>
      </c>
      <c r="S49" s="1424" t="str">
        <f ca="1">IF(COUNTIF(Data!$H$16:$H$100,CONCATENATE(Data_3!$B49,"_",Data_3!S$11))=1,S$11,"")</f>
        <v/>
      </c>
      <c r="T49" s="1424" t="str">
        <f ca="1">IF(COUNTIF(Data!$H$16:$H$100,CONCATENATE(Data_3!$B49,"_",Data_3!T$11))=1,T$11,"")</f>
        <v/>
      </c>
      <c r="U49" s="1424" t="str">
        <f ca="1">IF(COUNTIF(Data!$H$16:$H$100,CONCATENATE(Data_3!$B49,"_",Data_3!U$11))=1,U$11,"")</f>
        <v/>
      </c>
      <c r="V49" s="1424" t="str">
        <f ca="1">IF(COUNTIF(Data!$H$16:$H$100,CONCATENATE(Data_3!$B49,"_",Data_3!V$11))=1,V$11,"")</f>
        <v/>
      </c>
      <c r="W49" s="1424" t="str">
        <f ca="1">IF(COUNTIF(Data!$H$16:$H$100,CONCATENATE(Data_3!$B49,"_",Data_3!W$11))=1,W$11,"")</f>
        <v/>
      </c>
      <c r="X49" s="1424" t="str">
        <f ca="1">IF(COUNTIF(Data!$H$16:$H$100,CONCATENATE(Data_3!$B49,"_",Data_3!X$11))=1,X$11,"")</f>
        <v/>
      </c>
      <c r="Y49" s="1424" t="str">
        <f ca="1">IF(COUNTIF(Data!$H$16:$H$100,CONCATENATE(Data_3!$B49,"_",Data_3!Y$11))=1,Y$11,"")</f>
        <v/>
      </c>
      <c r="Z49" s="15"/>
      <c r="AA49" s="15"/>
      <c r="AB49" s="15"/>
      <c r="AC49" s="15"/>
      <c r="AD49" s="15"/>
      <c r="AE49" s="15"/>
      <c r="AF49" s="15"/>
      <c r="AG49" s="15"/>
      <c r="AH49" s="15"/>
      <c r="AI49" s="15"/>
      <c r="AJ49" s="15"/>
      <c r="AK49" s="15"/>
      <c r="AL49" s="15"/>
      <c r="AM49" s="15"/>
      <c r="AN49" s="15"/>
      <c r="AO49" s="15"/>
      <c r="AP49" s="15"/>
      <c r="AQ49" s="15"/>
      <c r="AR49" s="15"/>
      <c r="AS49" s="15"/>
      <c r="AT49" s="15"/>
      <c r="AU49" s="15"/>
      <c r="AV49" s="15"/>
      <c r="AW49" s="15"/>
      <c r="AX49" s="15"/>
      <c r="AY49" s="15"/>
      <c r="AZ49" s="15"/>
      <c r="BA49" s="15"/>
      <c r="BB49" s="15"/>
      <c r="BC49" s="15"/>
      <c r="BD49" s="15"/>
      <c r="BE49" s="15"/>
      <c r="BF49" s="15"/>
      <c r="BG49" s="15"/>
      <c r="BH49" s="15"/>
      <c r="BI49" s="15"/>
      <c r="BJ49" s="15"/>
      <c r="BK49" s="15"/>
      <c r="BL49" s="15"/>
      <c r="BM49" s="15"/>
      <c r="BN49" s="15"/>
      <c r="BO49" s="15"/>
      <c r="BP49" s="15"/>
      <c r="BQ49" s="15"/>
      <c r="BR49" s="15"/>
      <c r="BS49" s="15"/>
      <c r="BT49" s="15"/>
      <c r="BU49" s="15"/>
      <c r="BV49" s="15"/>
      <c r="BW49" s="15"/>
      <c r="BX49" s="15"/>
      <c r="BY49" s="15"/>
      <c r="BZ49" s="15"/>
      <c r="CA49" s="15"/>
      <c r="CB49" s="15"/>
      <c r="CC49" s="15"/>
      <c r="CD49" s="15"/>
      <c r="CE49" s="15"/>
      <c r="CF49" s="15"/>
      <c r="CG49" s="15"/>
      <c r="CH49" s="15"/>
      <c r="CI49" s="15"/>
      <c r="CJ49" s="15"/>
      <c r="CK49" s="15"/>
      <c r="CL49" s="15"/>
      <c r="CM49" s="15"/>
      <c r="CN49" s="15"/>
      <c r="CO49" s="15"/>
      <c r="CP49" s="15"/>
      <c r="CQ49" s="15"/>
      <c r="CR49" s="15"/>
      <c r="CS49" s="15"/>
      <c r="CT49" s="15"/>
      <c r="CU49" s="15"/>
      <c r="CV49" s="15"/>
      <c r="CW49" s="15"/>
      <c r="CX49" s="15"/>
      <c r="CY49" s="15"/>
      <c r="CZ49" s="15"/>
      <c r="DA49" s="15"/>
      <c r="DB49" s="15"/>
      <c r="DC49" s="15"/>
      <c r="DD49" s="15"/>
      <c r="DE49" s="15"/>
      <c r="DF49" s="15"/>
      <c r="DG49" s="15"/>
      <c r="DH49" s="15"/>
      <c r="DI49" s="15"/>
      <c r="DJ49" s="15"/>
      <c r="DK49" s="15"/>
      <c r="DL49" s="15"/>
      <c r="DM49" s="15"/>
      <c r="DN49" s="15"/>
      <c r="DO49" s="15"/>
      <c r="DP49" s="15"/>
      <c r="DQ49" s="15"/>
      <c r="DR49" s="15"/>
      <c r="DS49" s="15"/>
      <c r="DT49" s="15"/>
      <c r="DU49" s="15"/>
      <c r="DV49" s="15"/>
      <c r="DW49" s="15"/>
      <c r="DX49" s="15"/>
      <c r="DY49" s="15"/>
      <c r="DZ49" s="15"/>
      <c r="EA49" s="15"/>
      <c r="EB49" s="15"/>
      <c r="EC49" s="15"/>
      <c r="ED49" s="15"/>
      <c r="EE49" s="15"/>
      <c r="EF49" s="15"/>
      <c r="EG49" s="15"/>
      <c r="EH49" s="15"/>
    </row>
    <row r="50" spans="1:138" s="34" customFormat="1" ht="15" customHeight="1">
      <c r="A50" s="642"/>
      <c r="B50" s="1455" t="str">
        <f t="array" aca="1" ref="B50" ca="1">IFERROR(INDEX(Data!$B$16:$B$96,MATCH(0,COUNTIF($B$12:B49,Data!$B$16:$B$96),0)),"")</f>
        <v/>
      </c>
      <c r="C50" s="1345">
        <v>38</v>
      </c>
      <c r="D50" s="1424" t="s">
        <v>182</v>
      </c>
      <c r="E50" s="1424" t="str">
        <f ca="1">IF(COUNTIF(Data!$H$16:$H$100,CONCATENATE(Data_3!$B50,"_",Data_3!E$11))=1,E$11,"")</f>
        <v/>
      </c>
      <c r="F50" s="1424" t="str">
        <f ca="1">IF(COUNTIF(Data!$H$16:$H$100,CONCATENATE(Data_3!$B50,"_",Data_3!F$11))=1,F$11,"")</f>
        <v/>
      </c>
      <c r="G50" s="1424" t="str">
        <f ca="1">IF(COUNTIF(Data!$H$16:$H$100,CONCATENATE(Data_3!$B50,"_",Data_3!G$11))=1,G$11,"")</f>
        <v/>
      </c>
      <c r="H50" s="1424" t="str">
        <f ca="1">IF(COUNTIF(Data!$H$16:$H$100,CONCATENATE(Data_3!$B50,"_",Data_3!H$11))=1,H$11,"")</f>
        <v/>
      </c>
      <c r="I50" s="1424" t="str">
        <f ca="1">IF(COUNTIF(Data!$H$16:$H$100,CONCATENATE(Data_3!$B50,"_",Data_3!I$11))=1,I$11,"")</f>
        <v/>
      </c>
      <c r="J50" s="1424" t="str">
        <f ca="1">IF(COUNTIF(Data!$H$16:$H$100,CONCATENATE(Data_3!$B50,"_",Data_3!J$11))=1,J$11,"")</f>
        <v/>
      </c>
      <c r="K50" s="1424" t="str">
        <f ca="1">IF(COUNTIF(Data!$H$16:$H$100,CONCATENATE(Data_3!$B50,"_",Data_3!K$11))=1,K$11,"")</f>
        <v/>
      </c>
      <c r="L50" s="1424" t="str">
        <f ca="1">IF(COUNTIF(Data!$H$16:$H$100,CONCATENATE(Data_3!$B50,"_",Data_3!L$11))=1,L$11,"")</f>
        <v/>
      </c>
      <c r="M50" s="1424" t="str">
        <f ca="1">IF(COUNTIF(Data!$H$16:$H$100,CONCATENATE(Data_3!$B50,"_",Data_3!M$11))=1,M$11,"")</f>
        <v/>
      </c>
      <c r="N50" s="1424" t="str">
        <f ca="1">IF(COUNTIF(Data!$H$16:$H$100,CONCATENATE(Data_3!$B50,"_",Data_3!N$11))=1,N$11,"")</f>
        <v/>
      </c>
      <c r="O50" s="1424" t="str">
        <f ca="1">IF(COUNTIF(Data!$H$16:$H$100,CONCATENATE(Data_3!$B50,"_",Data_3!O$11))=1,O$11,"")</f>
        <v/>
      </c>
      <c r="P50" s="1424" t="str">
        <f ca="1">IF(COUNTIF(Data!$H$16:$H$100,CONCATENATE(Data_3!$B50,"_",Data_3!P$11))=1,P$11,"")</f>
        <v/>
      </c>
      <c r="Q50" s="1424" t="str">
        <f ca="1">IF(COUNTIF(Data!$H$16:$H$100,CONCATENATE(Data_3!$B50,"_",Data_3!Q$11))=1,Q$11,"")</f>
        <v/>
      </c>
      <c r="R50" s="1424" t="str">
        <f ca="1">IF(COUNTIF(Data!$H$16:$H$100,CONCATENATE(Data_3!$B50,"_",Data_3!R$11))=1,R$11,"")</f>
        <v/>
      </c>
      <c r="S50" s="1424" t="str">
        <f ca="1">IF(COUNTIF(Data!$H$16:$H$100,CONCATENATE(Data_3!$B50,"_",Data_3!S$11))=1,S$11,"")</f>
        <v/>
      </c>
      <c r="T50" s="1424" t="str">
        <f ca="1">IF(COUNTIF(Data!$H$16:$H$100,CONCATENATE(Data_3!$B50,"_",Data_3!T$11))=1,T$11,"")</f>
        <v/>
      </c>
      <c r="U50" s="1424" t="str">
        <f ca="1">IF(COUNTIF(Data!$H$16:$H$100,CONCATENATE(Data_3!$B50,"_",Data_3!U$11))=1,U$11,"")</f>
        <v/>
      </c>
      <c r="V50" s="1424" t="str">
        <f ca="1">IF(COUNTIF(Data!$H$16:$H$100,CONCATENATE(Data_3!$B50,"_",Data_3!V$11))=1,V$11,"")</f>
        <v/>
      </c>
      <c r="W50" s="1424" t="str">
        <f ca="1">IF(COUNTIF(Data!$H$16:$H$100,CONCATENATE(Data_3!$B50,"_",Data_3!W$11))=1,W$11,"")</f>
        <v/>
      </c>
      <c r="X50" s="1424" t="str">
        <f ca="1">IF(COUNTIF(Data!$H$16:$H$100,CONCATENATE(Data_3!$B50,"_",Data_3!X$11))=1,X$11,"")</f>
        <v/>
      </c>
      <c r="Y50" s="1424" t="str">
        <f ca="1">IF(COUNTIF(Data!$H$16:$H$100,CONCATENATE(Data_3!$B50,"_",Data_3!Y$11))=1,Y$11,"")</f>
        <v/>
      </c>
      <c r="Z50" s="15"/>
      <c r="AA50" s="15"/>
      <c r="AB50" s="15"/>
      <c r="AC50" s="15"/>
      <c r="AD50" s="15"/>
      <c r="AE50" s="15"/>
      <c r="AF50" s="15"/>
      <c r="AG50" s="15"/>
      <c r="AH50" s="15"/>
      <c r="AI50" s="15"/>
      <c r="AJ50" s="15"/>
      <c r="AK50" s="15"/>
      <c r="AL50" s="15"/>
      <c r="AM50" s="15"/>
      <c r="AN50" s="15"/>
      <c r="AO50" s="15"/>
      <c r="AP50" s="15"/>
      <c r="AQ50" s="15"/>
      <c r="AR50" s="15"/>
      <c r="AS50" s="15"/>
      <c r="AT50" s="15"/>
      <c r="AU50" s="15"/>
      <c r="AV50" s="15"/>
      <c r="AW50" s="15"/>
      <c r="AX50" s="15"/>
      <c r="AY50" s="15"/>
      <c r="AZ50" s="15"/>
      <c r="BA50" s="15"/>
      <c r="BB50" s="15"/>
      <c r="BC50" s="15"/>
      <c r="BD50" s="15"/>
      <c r="BE50" s="15"/>
      <c r="BF50" s="15"/>
      <c r="BG50" s="15"/>
      <c r="BH50" s="15"/>
      <c r="BI50" s="15"/>
      <c r="BJ50" s="15"/>
      <c r="BK50" s="15"/>
      <c r="BL50" s="15"/>
      <c r="BM50" s="15"/>
      <c r="BN50" s="15"/>
      <c r="BO50" s="15"/>
      <c r="BP50" s="15"/>
      <c r="BQ50" s="15"/>
      <c r="BR50" s="15"/>
      <c r="BS50" s="15"/>
      <c r="BT50" s="15"/>
      <c r="BU50" s="15"/>
      <c r="BV50" s="15"/>
      <c r="BW50" s="15"/>
      <c r="BX50" s="15"/>
      <c r="BY50" s="15"/>
      <c r="BZ50" s="15"/>
      <c r="CA50" s="15"/>
      <c r="CB50" s="15"/>
      <c r="CC50" s="15"/>
      <c r="CD50" s="15"/>
      <c r="CE50" s="15"/>
      <c r="CF50" s="15"/>
      <c r="CG50" s="15"/>
      <c r="CH50" s="15"/>
      <c r="CI50" s="15"/>
      <c r="CJ50" s="15"/>
      <c r="CK50" s="15"/>
      <c r="CL50" s="15"/>
      <c r="CM50" s="15"/>
      <c r="CN50" s="15"/>
      <c r="CO50" s="15"/>
      <c r="CP50" s="15"/>
      <c r="CQ50" s="15"/>
      <c r="CR50" s="15"/>
      <c r="CS50" s="15"/>
      <c r="CT50" s="15"/>
      <c r="CU50" s="15"/>
      <c r="CV50" s="15"/>
      <c r="CW50" s="15"/>
      <c r="CX50" s="15"/>
      <c r="CY50" s="15"/>
      <c r="CZ50" s="15"/>
      <c r="DA50" s="15"/>
      <c r="DB50" s="15"/>
      <c r="DC50" s="15"/>
      <c r="DD50" s="15"/>
      <c r="DE50" s="15"/>
      <c r="DF50" s="15"/>
      <c r="DG50" s="15"/>
      <c r="DH50" s="15"/>
      <c r="DI50" s="15"/>
      <c r="DJ50" s="15"/>
      <c r="DK50" s="15"/>
      <c r="DL50" s="15"/>
      <c r="DM50" s="15"/>
      <c r="DN50" s="15"/>
      <c r="DO50" s="15"/>
      <c r="DP50" s="15"/>
      <c r="DQ50" s="15"/>
      <c r="DR50" s="15"/>
      <c r="DS50" s="15"/>
      <c r="DT50" s="15"/>
      <c r="DU50" s="15"/>
      <c r="DV50" s="15"/>
      <c r="DW50" s="15"/>
      <c r="DX50" s="15"/>
      <c r="DY50" s="15"/>
      <c r="DZ50" s="15"/>
      <c r="EA50" s="15"/>
      <c r="EB50" s="15"/>
      <c r="EC50" s="15"/>
      <c r="ED50" s="15"/>
      <c r="EE50" s="15"/>
      <c r="EF50" s="15"/>
      <c r="EG50" s="15"/>
      <c r="EH50" s="15"/>
    </row>
    <row r="51" spans="1:138" s="34" customFormat="1" ht="15" customHeight="1">
      <c r="A51" s="642"/>
      <c r="B51" s="1455" t="str">
        <f t="array" aca="1" ref="B51" ca="1">IFERROR(INDEX(Data!$B$16:$B$96,MATCH(0,COUNTIF($B$12:B50,Data!$B$16:$B$96),0)),"")</f>
        <v/>
      </c>
      <c r="C51" s="1345">
        <v>39</v>
      </c>
      <c r="D51" s="1424" t="s">
        <v>182</v>
      </c>
      <c r="E51" s="1424" t="str">
        <f ca="1">IF(COUNTIF(Data!$H$16:$H$100,CONCATENATE(Data_3!$B51,"_",Data_3!E$11))=1,E$11,"")</f>
        <v/>
      </c>
      <c r="F51" s="1424" t="str">
        <f ca="1">IF(COUNTIF(Data!$H$16:$H$100,CONCATENATE(Data_3!$B51,"_",Data_3!F$11))=1,F$11,"")</f>
        <v/>
      </c>
      <c r="G51" s="1424" t="str">
        <f ca="1">IF(COUNTIF(Data!$H$16:$H$100,CONCATENATE(Data_3!$B51,"_",Data_3!G$11))=1,G$11,"")</f>
        <v/>
      </c>
      <c r="H51" s="1424" t="str">
        <f ca="1">IF(COUNTIF(Data!$H$16:$H$100,CONCATENATE(Data_3!$B51,"_",Data_3!H$11))=1,H$11,"")</f>
        <v/>
      </c>
      <c r="I51" s="1424" t="str">
        <f ca="1">IF(COUNTIF(Data!$H$16:$H$100,CONCATENATE(Data_3!$B51,"_",Data_3!I$11))=1,I$11,"")</f>
        <v/>
      </c>
      <c r="J51" s="1424" t="str">
        <f ca="1">IF(COUNTIF(Data!$H$16:$H$100,CONCATENATE(Data_3!$B51,"_",Data_3!J$11))=1,J$11,"")</f>
        <v/>
      </c>
      <c r="K51" s="1424" t="str">
        <f ca="1">IF(COUNTIF(Data!$H$16:$H$100,CONCATENATE(Data_3!$B51,"_",Data_3!K$11))=1,K$11,"")</f>
        <v/>
      </c>
      <c r="L51" s="1424" t="str">
        <f ca="1">IF(COUNTIF(Data!$H$16:$H$100,CONCATENATE(Data_3!$B51,"_",Data_3!L$11))=1,L$11,"")</f>
        <v/>
      </c>
      <c r="M51" s="1424" t="str">
        <f ca="1">IF(COUNTIF(Data!$H$16:$H$100,CONCATENATE(Data_3!$B51,"_",Data_3!M$11))=1,M$11,"")</f>
        <v/>
      </c>
      <c r="N51" s="1424" t="str">
        <f ca="1">IF(COUNTIF(Data!$H$16:$H$100,CONCATENATE(Data_3!$B51,"_",Data_3!N$11))=1,N$11,"")</f>
        <v/>
      </c>
      <c r="O51" s="1424" t="str">
        <f ca="1">IF(COUNTIF(Data!$H$16:$H$100,CONCATENATE(Data_3!$B51,"_",Data_3!O$11))=1,O$11,"")</f>
        <v/>
      </c>
      <c r="P51" s="1424" t="str">
        <f ca="1">IF(COUNTIF(Data!$H$16:$H$100,CONCATENATE(Data_3!$B51,"_",Data_3!P$11))=1,P$11,"")</f>
        <v/>
      </c>
      <c r="Q51" s="1424" t="str">
        <f ca="1">IF(COUNTIF(Data!$H$16:$H$100,CONCATENATE(Data_3!$B51,"_",Data_3!Q$11))=1,Q$11,"")</f>
        <v/>
      </c>
      <c r="R51" s="1424" t="str">
        <f ca="1">IF(COUNTIF(Data!$H$16:$H$100,CONCATENATE(Data_3!$B51,"_",Data_3!R$11))=1,R$11,"")</f>
        <v/>
      </c>
      <c r="S51" s="1424" t="str">
        <f ca="1">IF(COUNTIF(Data!$H$16:$H$100,CONCATENATE(Data_3!$B51,"_",Data_3!S$11))=1,S$11,"")</f>
        <v/>
      </c>
      <c r="T51" s="1424" t="str">
        <f ca="1">IF(COUNTIF(Data!$H$16:$H$100,CONCATENATE(Data_3!$B51,"_",Data_3!T$11))=1,T$11,"")</f>
        <v/>
      </c>
      <c r="U51" s="1424" t="str">
        <f ca="1">IF(COUNTIF(Data!$H$16:$H$100,CONCATENATE(Data_3!$B51,"_",Data_3!U$11))=1,U$11,"")</f>
        <v/>
      </c>
      <c r="V51" s="1424" t="str">
        <f ca="1">IF(COUNTIF(Data!$H$16:$H$100,CONCATENATE(Data_3!$B51,"_",Data_3!V$11))=1,V$11,"")</f>
        <v/>
      </c>
      <c r="W51" s="1424" t="str">
        <f ca="1">IF(COUNTIF(Data!$H$16:$H$100,CONCATENATE(Data_3!$B51,"_",Data_3!W$11))=1,W$11,"")</f>
        <v/>
      </c>
      <c r="X51" s="1424" t="str">
        <f ca="1">IF(COUNTIF(Data!$H$16:$H$100,CONCATENATE(Data_3!$B51,"_",Data_3!X$11))=1,X$11,"")</f>
        <v/>
      </c>
      <c r="Y51" s="1424" t="str">
        <f ca="1">IF(COUNTIF(Data!$H$16:$H$100,CONCATENATE(Data_3!$B51,"_",Data_3!Y$11))=1,Y$11,"")</f>
        <v/>
      </c>
      <c r="Z51" s="15"/>
      <c r="AA51" s="15"/>
      <c r="AB51" s="15"/>
      <c r="AC51" s="15"/>
      <c r="AD51" s="15"/>
      <c r="AE51" s="15"/>
      <c r="AF51" s="15"/>
      <c r="AG51" s="15"/>
      <c r="AH51" s="15"/>
      <c r="AI51" s="15"/>
      <c r="AJ51" s="15"/>
      <c r="AK51" s="15"/>
      <c r="AL51" s="15"/>
      <c r="AM51" s="15"/>
      <c r="AN51" s="15"/>
      <c r="AO51" s="15"/>
      <c r="AP51" s="15"/>
      <c r="AQ51" s="15"/>
      <c r="AR51" s="15"/>
      <c r="AS51" s="15"/>
      <c r="AT51" s="15"/>
      <c r="AU51" s="15"/>
      <c r="AV51" s="15"/>
      <c r="AW51" s="15"/>
      <c r="AX51" s="15"/>
      <c r="AY51" s="15"/>
      <c r="AZ51" s="15"/>
      <c r="BA51" s="15"/>
      <c r="BB51" s="15"/>
      <c r="BC51" s="15"/>
      <c r="BD51" s="15"/>
      <c r="BE51" s="15"/>
      <c r="BF51" s="15"/>
      <c r="BG51" s="15"/>
      <c r="BH51" s="15"/>
      <c r="BI51" s="15"/>
      <c r="BJ51" s="15"/>
      <c r="BK51" s="15"/>
      <c r="BL51" s="15"/>
      <c r="BM51" s="15"/>
      <c r="BN51" s="15"/>
      <c r="BO51" s="15"/>
      <c r="BP51" s="15"/>
      <c r="BQ51" s="15"/>
      <c r="BR51" s="15"/>
      <c r="BS51" s="15"/>
      <c r="BT51" s="15"/>
      <c r="BU51" s="15"/>
      <c r="BV51" s="15"/>
      <c r="BW51" s="15"/>
      <c r="BX51" s="15"/>
      <c r="BY51" s="15"/>
      <c r="BZ51" s="15"/>
      <c r="CA51" s="15"/>
      <c r="CB51" s="15"/>
      <c r="CC51" s="15"/>
      <c r="CD51" s="15"/>
      <c r="CE51" s="15"/>
      <c r="CF51" s="15"/>
      <c r="CG51" s="15"/>
      <c r="CH51" s="15"/>
      <c r="CI51" s="15"/>
      <c r="CJ51" s="15"/>
      <c r="CK51" s="15"/>
      <c r="CL51" s="15"/>
      <c r="CM51" s="15"/>
      <c r="CN51" s="15"/>
      <c r="CO51" s="15"/>
      <c r="CP51" s="15"/>
      <c r="CQ51" s="15"/>
      <c r="CR51" s="15"/>
      <c r="CS51" s="15"/>
      <c r="CT51" s="15"/>
      <c r="CU51" s="15"/>
      <c r="CV51" s="15"/>
      <c r="CW51" s="15"/>
      <c r="CX51" s="15"/>
      <c r="CY51" s="15"/>
      <c r="CZ51" s="15"/>
      <c r="DA51" s="15"/>
      <c r="DB51" s="15"/>
      <c r="DC51" s="15"/>
      <c r="DD51" s="15"/>
      <c r="DE51" s="15"/>
      <c r="DF51" s="15"/>
      <c r="DG51" s="15"/>
      <c r="DH51" s="15"/>
      <c r="DI51" s="15"/>
      <c r="DJ51" s="15"/>
      <c r="DK51" s="15"/>
      <c r="DL51" s="15"/>
      <c r="DM51" s="15"/>
      <c r="DN51" s="15"/>
      <c r="DO51" s="15"/>
      <c r="DP51" s="15"/>
      <c r="DQ51" s="15"/>
      <c r="DR51" s="15"/>
      <c r="DS51" s="15"/>
      <c r="DT51" s="15"/>
      <c r="DU51" s="15"/>
      <c r="DV51" s="15"/>
      <c r="DW51" s="15"/>
      <c r="DX51" s="15"/>
      <c r="DY51" s="15"/>
      <c r="DZ51" s="15"/>
      <c r="EA51" s="15"/>
      <c r="EB51" s="15"/>
      <c r="EC51" s="15"/>
      <c r="ED51" s="15"/>
      <c r="EE51" s="15"/>
      <c r="EF51" s="15"/>
      <c r="EG51" s="15"/>
      <c r="EH51" s="15"/>
    </row>
    <row r="52" spans="1:138" s="34" customFormat="1" ht="15" customHeight="1">
      <c r="A52" s="642"/>
      <c r="B52" s="1455" t="str">
        <f t="array" aca="1" ref="B52" ca="1">IFERROR(INDEX(Data!$B$16:$B$96,MATCH(0,COUNTIF($B$12:B51,Data!$B$16:$B$96),0)),"")</f>
        <v/>
      </c>
      <c r="C52" s="1345">
        <v>40</v>
      </c>
      <c r="D52" s="1424" t="s">
        <v>182</v>
      </c>
      <c r="E52" s="1424" t="str">
        <f ca="1">IF(COUNTIF(Data!$H$16:$H$100,CONCATENATE(Data_3!$B52,"_",Data_3!E$11))=1,E$11,"")</f>
        <v/>
      </c>
      <c r="F52" s="1424" t="str">
        <f ca="1">IF(COUNTIF(Data!$H$16:$H$100,CONCATENATE(Data_3!$B52,"_",Data_3!F$11))=1,F$11,"")</f>
        <v/>
      </c>
      <c r="G52" s="1424" t="str">
        <f ca="1">IF(COUNTIF(Data!$H$16:$H$100,CONCATENATE(Data_3!$B52,"_",Data_3!G$11))=1,G$11,"")</f>
        <v/>
      </c>
      <c r="H52" s="1424" t="str">
        <f ca="1">IF(COUNTIF(Data!$H$16:$H$100,CONCATENATE(Data_3!$B52,"_",Data_3!H$11))=1,H$11,"")</f>
        <v/>
      </c>
      <c r="I52" s="1424" t="str">
        <f ca="1">IF(COUNTIF(Data!$H$16:$H$100,CONCATENATE(Data_3!$B52,"_",Data_3!I$11))=1,I$11,"")</f>
        <v/>
      </c>
      <c r="J52" s="1424" t="str">
        <f ca="1">IF(COUNTIF(Data!$H$16:$H$100,CONCATENATE(Data_3!$B52,"_",Data_3!J$11))=1,J$11,"")</f>
        <v/>
      </c>
      <c r="K52" s="1424" t="str">
        <f ca="1">IF(COUNTIF(Data!$H$16:$H$100,CONCATENATE(Data_3!$B52,"_",Data_3!K$11))=1,K$11,"")</f>
        <v/>
      </c>
      <c r="L52" s="1424" t="str">
        <f ca="1">IF(COUNTIF(Data!$H$16:$H$100,CONCATENATE(Data_3!$B52,"_",Data_3!L$11))=1,L$11,"")</f>
        <v/>
      </c>
      <c r="M52" s="1424" t="str">
        <f ca="1">IF(COUNTIF(Data!$H$16:$H$100,CONCATENATE(Data_3!$B52,"_",Data_3!M$11))=1,M$11,"")</f>
        <v/>
      </c>
      <c r="N52" s="1424" t="str">
        <f ca="1">IF(COUNTIF(Data!$H$16:$H$100,CONCATENATE(Data_3!$B52,"_",Data_3!N$11))=1,N$11,"")</f>
        <v/>
      </c>
      <c r="O52" s="1424" t="str">
        <f ca="1">IF(COUNTIF(Data!$H$16:$H$100,CONCATENATE(Data_3!$B52,"_",Data_3!O$11))=1,O$11,"")</f>
        <v/>
      </c>
      <c r="P52" s="1424" t="str">
        <f ca="1">IF(COUNTIF(Data!$H$16:$H$100,CONCATENATE(Data_3!$B52,"_",Data_3!P$11))=1,P$11,"")</f>
        <v/>
      </c>
      <c r="Q52" s="1424" t="str">
        <f ca="1">IF(COUNTIF(Data!$H$16:$H$100,CONCATENATE(Data_3!$B52,"_",Data_3!Q$11))=1,Q$11,"")</f>
        <v/>
      </c>
      <c r="R52" s="1424" t="str">
        <f ca="1">IF(COUNTIF(Data!$H$16:$H$100,CONCATENATE(Data_3!$B52,"_",Data_3!R$11))=1,R$11,"")</f>
        <v/>
      </c>
      <c r="S52" s="1424" t="str">
        <f ca="1">IF(COUNTIF(Data!$H$16:$H$100,CONCATENATE(Data_3!$B52,"_",Data_3!S$11))=1,S$11,"")</f>
        <v/>
      </c>
      <c r="T52" s="1424" t="str">
        <f ca="1">IF(COUNTIF(Data!$H$16:$H$100,CONCATENATE(Data_3!$B52,"_",Data_3!T$11))=1,T$11,"")</f>
        <v/>
      </c>
      <c r="U52" s="1424" t="str">
        <f ca="1">IF(COUNTIF(Data!$H$16:$H$100,CONCATENATE(Data_3!$B52,"_",Data_3!U$11))=1,U$11,"")</f>
        <v/>
      </c>
      <c r="V52" s="1424" t="str">
        <f ca="1">IF(COUNTIF(Data!$H$16:$H$100,CONCATENATE(Data_3!$B52,"_",Data_3!V$11))=1,V$11,"")</f>
        <v/>
      </c>
      <c r="W52" s="1424" t="str">
        <f ca="1">IF(COUNTIF(Data!$H$16:$H$100,CONCATENATE(Data_3!$B52,"_",Data_3!W$11))=1,W$11,"")</f>
        <v/>
      </c>
      <c r="X52" s="1424" t="str">
        <f ca="1">IF(COUNTIF(Data!$H$16:$H$100,CONCATENATE(Data_3!$B52,"_",Data_3!X$11))=1,X$11,"")</f>
        <v/>
      </c>
      <c r="Y52" s="1424" t="str">
        <f ca="1">IF(COUNTIF(Data!$H$16:$H$100,CONCATENATE(Data_3!$B52,"_",Data_3!Y$11))=1,Y$11,"")</f>
        <v/>
      </c>
      <c r="Z52" s="15"/>
      <c r="AA52" s="15"/>
      <c r="AB52" s="15"/>
      <c r="AC52" s="15"/>
      <c r="AD52" s="15"/>
      <c r="AE52" s="15"/>
      <c r="AF52" s="15"/>
      <c r="AG52" s="15"/>
      <c r="AH52" s="15"/>
      <c r="AI52" s="15"/>
      <c r="AJ52" s="15"/>
      <c r="AK52" s="15"/>
      <c r="AL52" s="15"/>
      <c r="AM52" s="15"/>
      <c r="AN52" s="15"/>
      <c r="AO52" s="15"/>
      <c r="AP52" s="15"/>
      <c r="AQ52" s="15"/>
      <c r="AR52" s="15"/>
      <c r="AS52" s="15"/>
      <c r="AT52" s="15"/>
      <c r="AU52" s="15"/>
      <c r="AV52" s="15"/>
      <c r="AW52" s="15"/>
      <c r="AX52" s="15"/>
      <c r="AY52" s="15"/>
      <c r="AZ52" s="15"/>
      <c r="BA52" s="15"/>
      <c r="BB52" s="15"/>
      <c r="BC52" s="15"/>
      <c r="BD52" s="15"/>
      <c r="BE52" s="15"/>
      <c r="BF52" s="15"/>
      <c r="BG52" s="15"/>
      <c r="BH52" s="15"/>
      <c r="BI52" s="15"/>
      <c r="BJ52" s="15"/>
      <c r="BK52" s="15"/>
      <c r="BL52" s="15"/>
      <c r="BM52" s="15"/>
      <c r="BN52" s="15"/>
      <c r="BO52" s="15"/>
      <c r="BP52" s="15"/>
      <c r="BQ52" s="15"/>
      <c r="BR52" s="15"/>
      <c r="BS52" s="15"/>
      <c r="BT52" s="15"/>
      <c r="BU52" s="15"/>
      <c r="BV52" s="15"/>
      <c r="BW52" s="15"/>
      <c r="BX52" s="15"/>
      <c r="BY52" s="15"/>
      <c r="BZ52" s="15"/>
      <c r="CA52" s="15"/>
      <c r="CB52" s="15"/>
      <c r="CC52" s="15"/>
      <c r="CD52" s="15"/>
      <c r="CE52" s="15"/>
      <c r="CF52" s="15"/>
      <c r="CG52" s="15"/>
      <c r="CH52" s="15"/>
      <c r="CI52" s="15"/>
      <c r="CJ52" s="15"/>
      <c r="CK52" s="15"/>
      <c r="CL52" s="15"/>
      <c r="CM52" s="15"/>
      <c r="CN52" s="15"/>
      <c r="CO52" s="15"/>
      <c r="CP52" s="15"/>
      <c r="CQ52" s="15"/>
      <c r="CR52" s="15"/>
      <c r="CS52" s="15"/>
      <c r="CT52" s="15"/>
      <c r="CU52" s="15"/>
      <c r="CV52" s="15"/>
      <c r="CW52" s="15"/>
      <c r="CX52" s="15"/>
      <c r="CY52" s="15"/>
      <c r="CZ52" s="15"/>
      <c r="DA52" s="15"/>
      <c r="DB52" s="15"/>
      <c r="DC52" s="15"/>
      <c r="DD52" s="15"/>
      <c r="DE52" s="15"/>
      <c r="DF52" s="15"/>
      <c r="DG52" s="15"/>
      <c r="DH52" s="15"/>
      <c r="DI52" s="15"/>
      <c r="DJ52" s="15"/>
      <c r="DK52" s="15"/>
      <c r="DL52" s="15"/>
      <c r="DM52" s="15"/>
      <c r="DN52" s="15"/>
      <c r="DO52" s="15"/>
      <c r="DP52" s="15"/>
      <c r="DQ52" s="15"/>
      <c r="DR52" s="15"/>
      <c r="DS52" s="15"/>
      <c r="DT52" s="15"/>
      <c r="DU52" s="15"/>
      <c r="DV52" s="15"/>
      <c r="DW52" s="15"/>
      <c r="DX52" s="15"/>
      <c r="DY52" s="15"/>
      <c r="DZ52" s="15"/>
      <c r="EA52" s="15"/>
      <c r="EB52" s="15"/>
      <c r="EC52" s="15"/>
      <c r="ED52" s="15"/>
      <c r="EE52" s="15"/>
      <c r="EF52" s="15"/>
      <c r="EG52" s="15"/>
      <c r="EH52" s="15"/>
    </row>
    <row r="53" spans="1:138" s="34" customFormat="1" ht="15" customHeight="1">
      <c r="A53" s="642"/>
      <c r="B53" s="1455" t="str">
        <f t="array" aca="1" ref="B53" ca="1">IFERROR(INDEX(Data!$B$16:$B$96,MATCH(0,COUNTIF($B$12:B52,Data!$B$16:$B$96),0)),"")</f>
        <v/>
      </c>
      <c r="C53" s="1345">
        <v>41</v>
      </c>
      <c r="D53" s="1424" t="s">
        <v>182</v>
      </c>
      <c r="E53" s="1424" t="str">
        <f ca="1">IF(COUNTIF(Data!$H$16:$H$100,CONCATENATE(Data_3!$B53,"_",Data_3!E$11))=1,E$11,"")</f>
        <v/>
      </c>
      <c r="F53" s="1424" t="str">
        <f ca="1">IF(COUNTIF(Data!$H$16:$H$100,CONCATENATE(Data_3!$B53,"_",Data_3!F$11))=1,F$11,"")</f>
        <v/>
      </c>
      <c r="G53" s="1424" t="str">
        <f ca="1">IF(COUNTIF(Data!$H$16:$H$100,CONCATENATE(Data_3!$B53,"_",Data_3!G$11))=1,G$11,"")</f>
        <v/>
      </c>
      <c r="H53" s="1424" t="str">
        <f ca="1">IF(COUNTIF(Data!$H$16:$H$100,CONCATENATE(Data_3!$B53,"_",Data_3!H$11))=1,H$11,"")</f>
        <v/>
      </c>
      <c r="I53" s="1424" t="str">
        <f ca="1">IF(COUNTIF(Data!$H$16:$H$100,CONCATENATE(Data_3!$B53,"_",Data_3!I$11))=1,I$11,"")</f>
        <v/>
      </c>
      <c r="J53" s="1424" t="str">
        <f ca="1">IF(COUNTIF(Data!$H$16:$H$100,CONCATENATE(Data_3!$B53,"_",Data_3!J$11))=1,J$11,"")</f>
        <v/>
      </c>
      <c r="K53" s="1424" t="str">
        <f ca="1">IF(COUNTIF(Data!$H$16:$H$100,CONCATENATE(Data_3!$B53,"_",Data_3!K$11))=1,K$11,"")</f>
        <v/>
      </c>
      <c r="L53" s="1424" t="str">
        <f ca="1">IF(COUNTIF(Data!$H$16:$H$100,CONCATENATE(Data_3!$B53,"_",Data_3!L$11))=1,L$11,"")</f>
        <v/>
      </c>
      <c r="M53" s="1424" t="str">
        <f ca="1">IF(COUNTIF(Data!$H$16:$H$100,CONCATENATE(Data_3!$B53,"_",Data_3!M$11))=1,M$11,"")</f>
        <v/>
      </c>
      <c r="N53" s="1424" t="str">
        <f ca="1">IF(COUNTIF(Data!$H$16:$H$100,CONCATENATE(Data_3!$B53,"_",Data_3!N$11))=1,N$11,"")</f>
        <v/>
      </c>
      <c r="O53" s="1424" t="str">
        <f ca="1">IF(COUNTIF(Data!$H$16:$H$100,CONCATENATE(Data_3!$B53,"_",Data_3!O$11))=1,O$11,"")</f>
        <v/>
      </c>
      <c r="P53" s="1424" t="str">
        <f ca="1">IF(COUNTIF(Data!$H$16:$H$100,CONCATENATE(Data_3!$B53,"_",Data_3!P$11))=1,P$11,"")</f>
        <v/>
      </c>
      <c r="Q53" s="1424" t="str">
        <f ca="1">IF(COUNTIF(Data!$H$16:$H$100,CONCATENATE(Data_3!$B53,"_",Data_3!Q$11))=1,Q$11,"")</f>
        <v/>
      </c>
      <c r="R53" s="1424" t="str">
        <f ca="1">IF(COUNTIF(Data!$H$16:$H$100,CONCATENATE(Data_3!$B53,"_",Data_3!R$11))=1,R$11,"")</f>
        <v/>
      </c>
      <c r="S53" s="1424" t="str">
        <f ca="1">IF(COUNTIF(Data!$H$16:$H$100,CONCATENATE(Data_3!$B53,"_",Data_3!S$11))=1,S$11,"")</f>
        <v/>
      </c>
      <c r="T53" s="1424" t="str">
        <f ca="1">IF(COUNTIF(Data!$H$16:$H$100,CONCATENATE(Data_3!$B53,"_",Data_3!T$11))=1,T$11,"")</f>
        <v/>
      </c>
      <c r="U53" s="1424" t="str">
        <f ca="1">IF(COUNTIF(Data!$H$16:$H$100,CONCATENATE(Data_3!$B53,"_",Data_3!U$11))=1,U$11,"")</f>
        <v/>
      </c>
      <c r="V53" s="1424" t="str">
        <f ca="1">IF(COUNTIF(Data!$H$16:$H$100,CONCATENATE(Data_3!$B53,"_",Data_3!V$11))=1,V$11,"")</f>
        <v/>
      </c>
      <c r="W53" s="1424" t="str">
        <f ca="1">IF(COUNTIF(Data!$H$16:$H$100,CONCATENATE(Data_3!$B53,"_",Data_3!W$11))=1,W$11,"")</f>
        <v/>
      </c>
      <c r="X53" s="1424" t="str">
        <f ca="1">IF(COUNTIF(Data!$H$16:$H$100,CONCATENATE(Data_3!$B53,"_",Data_3!X$11))=1,X$11,"")</f>
        <v/>
      </c>
      <c r="Y53" s="1424" t="str">
        <f ca="1">IF(COUNTIF(Data!$H$16:$H$100,CONCATENATE(Data_3!$B53,"_",Data_3!Y$11))=1,Y$11,"")</f>
        <v/>
      </c>
      <c r="Z53" s="15"/>
      <c r="AA53" s="15"/>
      <c r="AB53" s="15"/>
      <c r="AC53" s="15"/>
      <c r="AD53" s="15"/>
      <c r="AE53" s="15"/>
      <c r="AF53" s="15"/>
      <c r="AG53" s="15"/>
      <c r="AH53" s="15"/>
      <c r="AI53" s="15"/>
      <c r="AJ53" s="15"/>
      <c r="AK53" s="15"/>
      <c r="AL53" s="15"/>
      <c r="AM53" s="15"/>
      <c r="AN53" s="15"/>
      <c r="AO53" s="15"/>
      <c r="AP53" s="15"/>
      <c r="AQ53" s="15"/>
      <c r="AR53" s="15"/>
      <c r="AS53" s="15"/>
      <c r="AT53" s="15"/>
      <c r="AU53" s="15"/>
      <c r="AV53" s="15"/>
      <c r="AW53" s="15"/>
      <c r="AX53" s="15"/>
      <c r="AY53" s="15"/>
      <c r="AZ53" s="15"/>
      <c r="BA53" s="15"/>
      <c r="BB53" s="15"/>
      <c r="BC53" s="15"/>
      <c r="BD53" s="15"/>
      <c r="BE53" s="15"/>
      <c r="BF53" s="15"/>
      <c r="BG53" s="15"/>
      <c r="BH53" s="15"/>
      <c r="BI53" s="15"/>
      <c r="BJ53" s="15"/>
      <c r="BK53" s="15"/>
      <c r="BL53" s="15"/>
      <c r="BM53" s="15"/>
      <c r="BN53" s="15"/>
      <c r="BO53" s="15"/>
      <c r="BP53" s="15"/>
      <c r="BQ53" s="15"/>
      <c r="BR53" s="15"/>
      <c r="BS53" s="15"/>
      <c r="BT53" s="15"/>
      <c r="BU53" s="15"/>
      <c r="BV53" s="15"/>
      <c r="BW53" s="15"/>
      <c r="BX53" s="15"/>
      <c r="BY53" s="15"/>
      <c r="BZ53" s="15"/>
      <c r="CA53" s="15"/>
      <c r="CB53" s="15"/>
      <c r="CC53" s="15"/>
      <c r="CD53" s="15"/>
      <c r="CE53" s="15"/>
      <c r="CF53" s="15"/>
      <c r="CG53" s="15"/>
      <c r="CH53" s="15"/>
      <c r="CI53" s="15"/>
      <c r="CJ53" s="15"/>
      <c r="CK53" s="15"/>
      <c r="CL53" s="15"/>
      <c r="CM53" s="15"/>
      <c r="CN53" s="15"/>
      <c r="CO53" s="15"/>
      <c r="CP53" s="15"/>
      <c r="CQ53" s="15"/>
      <c r="CR53" s="15"/>
      <c r="CS53" s="15"/>
      <c r="CT53" s="15"/>
      <c r="CU53" s="15"/>
      <c r="CV53" s="15"/>
      <c r="CW53" s="15"/>
      <c r="CX53" s="15"/>
      <c r="CY53" s="15"/>
      <c r="CZ53" s="15"/>
      <c r="DA53" s="15"/>
      <c r="DB53" s="15"/>
      <c r="DC53" s="15"/>
      <c r="DD53" s="15"/>
      <c r="DE53" s="15"/>
      <c r="DF53" s="15"/>
      <c r="DG53" s="15"/>
      <c r="DH53" s="15"/>
      <c r="DI53" s="15"/>
      <c r="DJ53" s="15"/>
      <c r="DK53" s="15"/>
      <c r="DL53" s="15"/>
      <c r="DM53" s="15"/>
      <c r="DN53" s="15"/>
      <c r="DO53" s="15"/>
      <c r="DP53" s="15"/>
      <c r="DQ53" s="15"/>
      <c r="DR53" s="15"/>
      <c r="DS53" s="15"/>
      <c r="DT53" s="15"/>
      <c r="DU53" s="15"/>
      <c r="DV53" s="15"/>
      <c r="DW53" s="15"/>
      <c r="DX53" s="15"/>
      <c r="DY53" s="15"/>
      <c r="DZ53" s="15"/>
      <c r="EA53" s="15"/>
      <c r="EB53" s="15"/>
      <c r="EC53" s="15"/>
      <c r="ED53" s="15"/>
      <c r="EE53" s="15"/>
      <c r="EF53" s="15"/>
      <c r="EG53" s="15"/>
      <c r="EH53" s="15"/>
    </row>
    <row r="54" spans="1:138" s="34" customFormat="1" ht="15" customHeight="1">
      <c r="A54" s="642"/>
      <c r="B54" s="1455" t="str">
        <f t="array" aca="1" ref="B54" ca="1">IFERROR(INDEX(Data!$B$16:$B$96,MATCH(0,COUNTIF($B$12:B53,Data!$B$16:$B$96),0)),"")</f>
        <v/>
      </c>
      <c r="C54" s="1345">
        <v>42</v>
      </c>
      <c r="D54" s="1424" t="s">
        <v>182</v>
      </c>
      <c r="E54" s="1424" t="str">
        <f ca="1">IF(COUNTIF(Data!$H$16:$H$100,CONCATENATE(Data_3!$B54,"_",Data_3!E$11))=1,E$11,"")</f>
        <v/>
      </c>
      <c r="F54" s="1424" t="str">
        <f ca="1">IF(COUNTIF(Data!$H$16:$H$100,CONCATENATE(Data_3!$B54,"_",Data_3!F$11))=1,F$11,"")</f>
        <v/>
      </c>
      <c r="G54" s="1424" t="str">
        <f ca="1">IF(COUNTIF(Data!$H$16:$H$100,CONCATENATE(Data_3!$B54,"_",Data_3!G$11))=1,G$11,"")</f>
        <v/>
      </c>
      <c r="H54" s="1424" t="str">
        <f ca="1">IF(COUNTIF(Data!$H$16:$H$100,CONCATENATE(Data_3!$B54,"_",Data_3!H$11))=1,H$11,"")</f>
        <v/>
      </c>
      <c r="I54" s="1424" t="str">
        <f ca="1">IF(COUNTIF(Data!$H$16:$H$100,CONCATENATE(Data_3!$B54,"_",Data_3!I$11))=1,I$11,"")</f>
        <v/>
      </c>
      <c r="J54" s="1424" t="str">
        <f ca="1">IF(COUNTIF(Data!$H$16:$H$100,CONCATENATE(Data_3!$B54,"_",Data_3!J$11))=1,J$11,"")</f>
        <v/>
      </c>
      <c r="K54" s="1424" t="str">
        <f ca="1">IF(COUNTIF(Data!$H$16:$H$100,CONCATENATE(Data_3!$B54,"_",Data_3!K$11))=1,K$11,"")</f>
        <v/>
      </c>
      <c r="L54" s="1424" t="str">
        <f ca="1">IF(COUNTIF(Data!$H$16:$H$100,CONCATENATE(Data_3!$B54,"_",Data_3!L$11))=1,L$11,"")</f>
        <v/>
      </c>
      <c r="M54" s="1424" t="str">
        <f ca="1">IF(COUNTIF(Data!$H$16:$H$100,CONCATENATE(Data_3!$B54,"_",Data_3!M$11))=1,M$11,"")</f>
        <v/>
      </c>
      <c r="N54" s="1424" t="str">
        <f ca="1">IF(COUNTIF(Data!$H$16:$H$100,CONCATENATE(Data_3!$B54,"_",Data_3!N$11))=1,N$11,"")</f>
        <v/>
      </c>
      <c r="O54" s="1424" t="str">
        <f ca="1">IF(COUNTIF(Data!$H$16:$H$100,CONCATENATE(Data_3!$B54,"_",Data_3!O$11))=1,O$11,"")</f>
        <v/>
      </c>
      <c r="P54" s="1424" t="str">
        <f ca="1">IF(COUNTIF(Data!$H$16:$H$100,CONCATENATE(Data_3!$B54,"_",Data_3!P$11))=1,P$11,"")</f>
        <v/>
      </c>
      <c r="Q54" s="1424" t="str">
        <f ca="1">IF(COUNTIF(Data!$H$16:$H$100,CONCATENATE(Data_3!$B54,"_",Data_3!Q$11))=1,Q$11,"")</f>
        <v/>
      </c>
      <c r="R54" s="1424" t="str">
        <f ca="1">IF(COUNTIF(Data!$H$16:$H$100,CONCATENATE(Data_3!$B54,"_",Data_3!R$11))=1,R$11,"")</f>
        <v/>
      </c>
      <c r="S54" s="1424" t="str">
        <f ca="1">IF(COUNTIF(Data!$H$16:$H$100,CONCATENATE(Data_3!$B54,"_",Data_3!S$11))=1,S$11,"")</f>
        <v/>
      </c>
      <c r="T54" s="1424" t="str">
        <f ca="1">IF(COUNTIF(Data!$H$16:$H$100,CONCATENATE(Data_3!$B54,"_",Data_3!T$11))=1,T$11,"")</f>
        <v/>
      </c>
      <c r="U54" s="1424" t="str">
        <f ca="1">IF(COUNTIF(Data!$H$16:$H$100,CONCATENATE(Data_3!$B54,"_",Data_3!U$11))=1,U$11,"")</f>
        <v/>
      </c>
      <c r="V54" s="1424" t="str">
        <f ca="1">IF(COUNTIF(Data!$H$16:$H$100,CONCATENATE(Data_3!$B54,"_",Data_3!V$11))=1,V$11,"")</f>
        <v/>
      </c>
      <c r="W54" s="1424" t="str">
        <f ca="1">IF(COUNTIF(Data!$H$16:$H$100,CONCATENATE(Data_3!$B54,"_",Data_3!W$11))=1,W$11,"")</f>
        <v/>
      </c>
      <c r="X54" s="1424" t="str">
        <f ca="1">IF(COUNTIF(Data!$H$16:$H$100,CONCATENATE(Data_3!$B54,"_",Data_3!X$11))=1,X$11,"")</f>
        <v/>
      </c>
      <c r="Y54" s="1424" t="str">
        <f ca="1">IF(COUNTIF(Data!$H$16:$H$100,CONCATENATE(Data_3!$B54,"_",Data_3!Y$11))=1,Y$11,"")</f>
        <v/>
      </c>
      <c r="Z54" s="15"/>
      <c r="AA54" s="15"/>
      <c r="AB54" s="15"/>
      <c r="AC54" s="15"/>
      <c r="AD54" s="15"/>
      <c r="AE54" s="15"/>
      <c r="AF54" s="15"/>
      <c r="AG54" s="15"/>
      <c r="AH54" s="15"/>
      <c r="AI54" s="15"/>
      <c r="AJ54" s="15"/>
      <c r="AK54" s="15"/>
      <c r="AL54" s="15"/>
      <c r="AM54" s="15"/>
      <c r="AN54" s="15"/>
      <c r="AO54" s="15"/>
      <c r="AP54" s="15"/>
      <c r="AQ54" s="15"/>
      <c r="AR54" s="15"/>
      <c r="AS54" s="15"/>
      <c r="AT54" s="15"/>
      <c r="AU54" s="15"/>
      <c r="AV54" s="15"/>
      <c r="AW54" s="15"/>
      <c r="AX54" s="15"/>
      <c r="AY54" s="15"/>
      <c r="AZ54" s="15"/>
      <c r="BA54" s="15"/>
      <c r="BB54" s="15"/>
      <c r="BC54" s="15"/>
      <c r="BD54" s="15"/>
      <c r="BE54" s="15"/>
      <c r="BF54" s="15"/>
      <c r="BG54" s="15"/>
      <c r="BH54" s="15"/>
      <c r="BI54" s="15"/>
      <c r="BJ54" s="15"/>
      <c r="BK54" s="15"/>
      <c r="BL54" s="15"/>
      <c r="BM54" s="15"/>
      <c r="BN54" s="15"/>
      <c r="BO54" s="15"/>
      <c r="BP54" s="15"/>
      <c r="BQ54" s="15"/>
      <c r="BR54" s="15"/>
      <c r="BS54" s="15"/>
      <c r="BT54" s="15"/>
      <c r="BU54" s="15"/>
      <c r="BV54" s="15"/>
      <c r="BW54" s="15"/>
      <c r="BX54" s="15"/>
      <c r="BY54" s="15"/>
      <c r="BZ54" s="15"/>
      <c r="CA54" s="15"/>
      <c r="CB54" s="15"/>
      <c r="CC54" s="15"/>
      <c r="CD54" s="15"/>
      <c r="CE54" s="15"/>
      <c r="CF54" s="15"/>
      <c r="CG54" s="15"/>
      <c r="CH54" s="15"/>
      <c r="CI54" s="15"/>
      <c r="CJ54" s="15"/>
      <c r="CK54" s="15"/>
      <c r="CL54" s="15"/>
      <c r="CM54" s="15"/>
      <c r="CN54" s="15"/>
      <c r="CO54" s="15"/>
      <c r="CP54" s="15"/>
      <c r="CQ54" s="15"/>
      <c r="CR54" s="15"/>
      <c r="CS54" s="15"/>
      <c r="CT54" s="15"/>
      <c r="CU54" s="15"/>
      <c r="CV54" s="15"/>
      <c r="CW54" s="15"/>
      <c r="CX54" s="15"/>
      <c r="CY54" s="15"/>
      <c r="CZ54" s="15"/>
      <c r="DA54" s="15"/>
      <c r="DB54" s="15"/>
      <c r="DC54" s="15"/>
      <c r="DD54" s="15"/>
      <c r="DE54" s="15"/>
      <c r="DF54" s="15"/>
      <c r="DG54" s="15"/>
      <c r="DH54" s="15"/>
      <c r="DI54" s="15"/>
      <c r="DJ54" s="15"/>
      <c r="DK54" s="15"/>
      <c r="DL54" s="15"/>
      <c r="DM54" s="15"/>
      <c r="DN54" s="15"/>
      <c r="DO54" s="15"/>
      <c r="DP54" s="15"/>
      <c r="DQ54" s="15"/>
      <c r="DR54" s="15"/>
      <c r="DS54" s="15"/>
      <c r="DT54" s="15"/>
      <c r="DU54" s="15"/>
      <c r="DV54" s="15"/>
      <c r="DW54" s="15"/>
      <c r="DX54" s="15"/>
      <c r="DY54" s="15"/>
      <c r="DZ54" s="15"/>
      <c r="EA54" s="15"/>
      <c r="EB54" s="15"/>
      <c r="EC54" s="15"/>
      <c r="ED54" s="15"/>
      <c r="EE54" s="15"/>
      <c r="EF54" s="15"/>
      <c r="EG54" s="15"/>
      <c r="EH54" s="15"/>
    </row>
    <row r="55" spans="1:138" s="34" customFormat="1" ht="15" customHeight="1">
      <c r="A55" s="642"/>
      <c r="B55" s="1455" t="str">
        <f t="array" aca="1" ref="B55" ca="1">IFERROR(INDEX(Data!$B$16:$B$96,MATCH(0,COUNTIF($B$12:B54,Data!$B$16:$B$96),0)),"")</f>
        <v/>
      </c>
      <c r="C55" s="1345">
        <v>43</v>
      </c>
      <c r="D55" s="1424" t="s">
        <v>182</v>
      </c>
      <c r="E55" s="1424" t="str">
        <f ca="1">IF(COUNTIF(Data!$H$16:$H$100,CONCATENATE(Data_3!$B55,"_",Data_3!E$11))=1,E$11,"")</f>
        <v/>
      </c>
      <c r="F55" s="1424" t="str">
        <f ca="1">IF(COUNTIF(Data!$H$16:$H$100,CONCATENATE(Data_3!$B55,"_",Data_3!F$11))=1,F$11,"")</f>
        <v/>
      </c>
      <c r="G55" s="1424" t="str">
        <f ca="1">IF(COUNTIF(Data!$H$16:$H$100,CONCATENATE(Data_3!$B55,"_",Data_3!G$11))=1,G$11,"")</f>
        <v/>
      </c>
      <c r="H55" s="1424" t="str">
        <f ca="1">IF(COUNTIF(Data!$H$16:$H$100,CONCATENATE(Data_3!$B55,"_",Data_3!H$11))=1,H$11,"")</f>
        <v/>
      </c>
      <c r="I55" s="1424" t="str">
        <f ca="1">IF(COUNTIF(Data!$H$16:$H$100,CONCATENATE(Data_3!$B55,"_",Data_3!I$11))=1,I$11,"")</f>
        <v/>
      </c>
      <c r="J55" s="1424" t="str">
        <f ca="1">IF(COUNTIF(Data!$H$16:$H$100,CONCATENATE(Data_3!$B55,"_",Data_3!J$11))=1,J$11,"")</f>
        <v/>
      </c>
      <c r="K55" s="1424" t="str">
        <f ca="1">IF(COUNTIF(Data!$H$16:$H$100,CONCATENATE(Data_3!$B55,"_",Data_3!K$11))=1,K$11,"")</f>
        <v/>
      </c>
      <c r="L55" s="1424" t="str">
        <f ca="1">IF(COUNTIF(Data!$H$16:$H$100,CONCATENATE(Data_3!$B55,"_",Data_3!L$11))=1,L$11,"")</f>
        <v/>
      </c>
      <c r="M55" s="1424" t="str">
        <f ca="1">IF(COUNTIF(Data!$H$16:$H$100,CONCATENATE(Data_3!$B55,"_",Data_3!M$11))=1,M$11,"")</f>
        <v/>
      </c>
      <c r="N55" s="1424" t="str">
        <f ca="1">IF(COUNTIF(Data!$H$16:$H$100,CONCATENATE(Data_3!$B55,"_",Data_3!N$11))=1,N$11,"")</f>
        <v/>
      </c>
      <c r="O55" s="1424" t="str">
        <f ca="1">IF(COUNTIF(Data!$H$16:$H$100,CONCATENATE(Data_3!$B55,"_",Data_3!O$11))=1,O$11,"")</f>
        <v/>
      </c>
      <c r="P55" s="1424" t="str">
        <f ca="1">IF(COUNTIF(Data!$H$16:$H$100,CONCATENATE(Data_3!$B55,"_",Data_3!P$11))=1,P$11,"")</f>
        <v/>
      </c>
      <c r="Q55" s="1424" t="str">
        <f ca="1">IF(COUNTIF(Data!$H$16:$H$100,CONCATENATE(Data_3!$B55,"_",Data_3!Q$11))=1,Q$11,"")</f>
        <v/>
      </c>
      <c r="R55" s="1424" t="str">
        <f ca="1">IF(COUNTIF(Data!$H$16:$H$100,CONCATENATE(Data_3!$B55,"_",Data_3!R$11))=1,R$11,"")</f>
        <v/>
      </c>
      <c r="S55" s="1424" t="str">
        <f ca="1">IF(COUNTIF(Data!$H$16:$H$100,CONCATENATE(Data_3!$B55,"_",Data_3!S$11))=1,S$11,"")</f>
        <v/>
      </c>
      <c r="T55" s="1424" t="str">
        <f ca="1">IF(COUNTIF(Data!$H$16:$H$100,CONCATENATE(Data_3!$B55,"_",Data_3!T$11))=1,T$11,"")</f>
        <v/>
      </c>
      <c r="U55" s="1424" t="str">
        <f ca="1">IF(COUNTIF(Data!$H$16:$H$100,CONCATENATE(Data_3!$B55,"_",Data_3!U$11))=1,U$11,"")</f>
        <v/>
      </c>
      <c r="V55" s="1424" t="str">
        <f ca="1">IF(COUNTIF(Data!$H$16:$H$100,CONCATENATE(Data_3!$B55,"_",Data_3!V$11))=1,V$11,"")</f>
        <v/>
      </c>
      <c r="W55" s="1424" t="str">
        <f ca="1">IF(COUNTIF(Data!$H$16:$H$100,CONCATENATE(Data_3!$B55,"_",Data_3!W$11))=1,W$11,"")</f>
        <v/>
      </c>
      <c r="X55" s="1424" t="str">
        <f ca="1">IF(COUNTIF(Data!$H$16:$H$100,CONCATENATE(Data_3!$B55,"_",Data_3!X$11))=1,X$11,"")</f>
        <v/>
      </c>
      <c r="Y55" s="1424" t="str">
        <f ca="1">IF(COUNTIF(Data!$H$16:$H$100,CONCATENATE(Data_3!$B55,"_",Data_3!Y$11))=1,Y$11,"")</f>
        <v/>
      </c>
      <c r="Z55" s="15"/>
      <c r="AA55" s="15"/>
      <c r="AB55" s="15"/>
      <c r="AC55" s="15"/>
      <c r="AD55" s="15"/>
      <c r="AE55" s="15"/>
      <c r="AF55" s="15"/>
      <c r="AG55" s="15"/>
      <c r="AH55" s="15"/>
      <c r="AI55" s="15"/>
      <c r="AJ55" s="15"/>
      <c r="AK55" s="15"/>
      <c r="AL55" s="15"/>
      <c r="AM55" s="15"/>
      <c r="AN55" s="15"/>
      <c r="AO55" s="15"/>
      <c r="AP55" s="15"/>
      <c r="AQ55" s="15"/>
      <c r="AR55" s="15"/>
      <c r="AS55" s="15"/>
      <c r="AT55" s="15"/>
      <c r="AU55" s="15"/>
      <c r="AV55" s="15"/>
      <c r="AW55" s="15"/>
      <c r="AX55" s="15"/>
      <c r="AY55" s="15"/>
      <c r="AZ55" s="15"/>
      <c r="BA55" s="15"/>
      <c r="BB55" s="15"/>
      <c r="BC55" s="15"/>
      <c r="BD55" s="15"/>
      <c r="BE55" s="15"/>
      <c r="BF55" s="15"/>
      <c r="BG55" s="15"/>
      <c r="BH55" s="15"/>
      <c r="BI55" s="15"/>
      <c r="BJ55" s="15"/>
      <c r="BK55" s="15"/>
      <c r="BL55" s="15"/>
      <c r="BM55" s="15"/>
      <c r="BN55" s="15"/>
      <c r="BO55" s="15"/>
      <c r="BP55" s="15"/>
      <c r="BQ55" s="15"/>
      <c r="BR55" s="15"/>
      <c r="BS55" s="15"/>
      <c r="BT55" s="15"/>
      <c r="BU55" s="15"/>
      <c r="BV55" s="15"/>
      <c r="BW55" s="15"/>
      <c r="BX55" s="15"/>
      <c r="BY55" s="15"/>
      <c r="BZ55" s="15"/>
      <c r="CA55" s="15"/>
      <c r="CB55" s="15"/>
      <c r="CC55" s="15"/>
      <c r="CD55" s="15"/>
      <c r="CE55" s="15"/>
      <c r="CF55" s="15"/>
      <c r="CG55" s="15"/>
      <c r="CH55" s="15"/>
      <c r="CI55" s="15"/>
      <c r="CJ55" s="15"/>
      <c r="CK55" s="15"/>
      <c r="CL55" s="15"/>
      <c r="CM55" s="15"/>
      <c r="CN55" s="15"/>
      <c r="CO55" s="15"/>
      <c r="CP55" s="15"/>
      <c r="CQ55" s="15"/>
      <c r="CR55" s="15"/>
      <c r="CS55" s="15"/>
      <c r="CT55" s="15"/>
      <c r="CU55" s="15"/>
      <c r="CV55" s="15"/>
      <c r="CW55" s="15"/>
      <c r="CX55" s="15"/>
      <c r="CY55" s="15"/>
      <c r="CZ55" s="15"/>
      <c r="DA55" s="15"/>
      <c r="DB55" s="15"/>
      <c r="DC55" s="15"/>
      <c r="DD55" s="15"/>
      <c r="DE55" s="15"/>
      <c r="DF55" s="15"/>
      <c r="DG55" s="15"/>
      <c r="DH55" s="15"/>
      <c r="DI55" s="15"/>
      <c r="DJ55" s="15"/>
      <c r="DK55" s="15"/>
      <c r="DL55" s="15"/>
      <c r="DM55" s="15"/>
      <c r="DN55" s="15"/>
      <c r="DO55" s="15"/>
      <c r="DP55" s="15"/>
      <c r="DQ55" s="15"/>
      <c r="DR55" s="15"/>
      <c r="DS55" s="15"/>
      <c r="DT55" s="15"/>
      <c r="DU55" s="15"/>
      <c r="DV55" s="15"/>
      <c r="DW55" s="15"/>
      <c r="DX55" s="15"/>
      <c r="DY55" s="15"/>
      <c r="DZ55" s="15"/>
      <c r="EA55" s="15"/>
      <c r="EB55" s="15"/>
      <c r="EC55" s="15"/>
      <c r="ED55" s="15"/>
      <c r="EE55" s="15"/>
      <c r="EF55" s="15"/>
      <c r="EG55" s="15"/>
      <c r="EH55" s="15"/>
    </row>
    <row r="56" spans="1:138" s="34" customFormat="1" ht="15" customHeight="1">
      <c r="A56" s="642"/>
      <c r="B56" s="1455" t="str">
        <f t="array" aca="1" ref="B56" ca="1">IFERROR(INDEX(Data!$B$16:$B$96,MATCH(0,COUNTIF($B$12:B55,Data!$B$16:$B$96),0)),"")</f>
        <v/>
      </c>
      <c r="C56" s="1345">
        <v>44</v>
      </c>
      <c r="D56" s="1424" t="s">
        <v>182</v>
      </c>
      <c r="E56" s="1424" t="str">
        <f ca="1">IF(COUNTIF(Data!$H$16:$H$100,CONCATENATE(Data_3!$B56,"_",Data_3!E$11))=1,E$11,"")</f>
        <v/>
      </c>
      <c r="F56" s="1424" t="str">
        <f ca="1">IF(COUNTIF(Data!$H$16:$H$100,CONCATENATE(Data_3!$B56,"_",Data_3!F$11))=1,F$11,"")</f>
        <v/>
      </c>
      <c r="G56" s="1424" t="str">
        <f ca="1">IF(COUNTIF(Data!$H$16:$H$100,CONCATENATE(Data_3!$B56,"_",Data_3!G$11))=1,G$11,"")</f>
        <v/>
      </c>
      <c r="H56" s="1424" t="str">
        <f ca="1">IF(COUNTIF(Data!$H$16:$H$100,CONCATENATE(Data_3!$B56,"_",Data_3!H$11))=1,H$11,"")</f>
        <v/>
      </c>
      <c r="I56" s="1424" t="str">
        <f ca="1">IF(COUNTIF(Data!$H$16:$H$100,CONCATENATE(Data_3!$B56,"_",Data_3!I$11))=1,I$11,"")</f>
        <v/>
      </c>
      <c r="J56" s="1424" t="str">
        <f ca="1">IF(COUNTIF(Data!$H$16:$H$100,CONCATENATE(Data_3!$B56,"_",Data_3!J$11))=1,J$11,"")</f>
        <v/>
      </c>
      <c r="K56" s="1424" t="str">
        <f ca="1">IF(COUNTIF(Data!$H$16:$H$100,CONCATENATE(Data_3!$B56,"_",Data_3!K$11))=1,K$11,"")</f>
        <v/>
      </c>
      <c r="L56" s="1424" t="str">
        <f ca="1">IF(COUNTIF(Data!$H$16:$H$100,CONCATENATE(Data_3!$B56,"_",Data_3!L$11))=1,L$11,"")</f>
        <v/>
      </c>
      <c r="M56" s="1424" t="str">
        <f ca="1">IF(COUNTIF(Data!$H$16:$H$100,CONCATENATE(Data_3!$B56,"_",Data_3!M$11))=1,M$11,"")</f>
        <v/>
      </c>
      <c r="N56" s="1424" t="str">
        <f ca="1">IF(COUNTIF(Data!$H$16:$H$100,CONCATENATE(Data_3!$B56,"_",Data_3!N$11))=1,N$11,"")</f>
        <v/>
      </c>
      <c r="O56" s="1424" t="str">
        <f ca="1">IF(COUNTIF(Data!$H$16:$H$100,CONCATENATE(Data_3!$B56,"_",Data_3!O$11))=1,O$11,"")</f>
        <v/>
      </c>
      <c r="P56" s="1424" t="str">
        <f ca="1">IF(COUNTIF(Data!$H$16:$H$100,CONCATENATE(Data_3!$B56,"_",Data_3!P$11))=1,P$11,"")</f>
        <v/>
      </c>
      <c r="Q56" s="1424" t="str">
        <f ca="1">IF(COUNTIF(Data!$H$16:$H$100,CONCATENATE(Data_3!$B56,"_",Data_3!Q$11))=1,Q$11,"")</f>
        <v/>
      </c>
      <c r="R56" s="1424" t="str">
        <f ca="1">IF(COUNTIF(Data!$H$16:$H$100,CONCATENATE(Data_3!$B56,"_",Data_3!R$11))=1,R$11,"")</f>
        <v/>
      </c>
      <c r="S56" s="1424" t="str">
        <f ca="1">IF(COUNTIF(Data!$H$16:$H$100,CONCATENATE(Data_3!$B56,"_",Data_3!S$11))=1,S$11,"")</f>
        <v/>
      </c>
      <c r="T56" s="1424" t="str">
        <f ca="1">IF(COUNTIF(Data!$H$16:$H$100,CONCATENATE(Data_3!$B56,"_",Data_3!T$11))=1,T$11,"")</f>
        <v/>
      </c>
      <c r="U56" s="1424" t="str">
        <f ca="1">IF(COUNTIF(Data!$H$16:$H$100,CONCATENATE(Data_3!$B56,"_",Data_3!U$11))=1,U$11,"")</f>
        <v/>
      </c>
      <c r="V56" s="1424" t="str">
        <f ca="1">IF(COUNTIF(Data!$H$16:$H$100,CONCATENATE(Data_3!$B56,"_",Data_3!V$11))=1,V$11,"")</f>
        <v/>
      </c>
      <c r="W56" s="1424" t="str">
        <f ca="1">IF(COUNTIF(Data!$H$16:$H$100,CONCATENATE(Data_3!$B56,"_",Data_3!W$11))=1,W$11,"")</f>
        <v/>
      </c>
      <c r="X56" s="1424" t="str">
        <f ca="1">IF(COUNTIF(Data!$H$16:$H$100,CONCATENATE(Data_3!$B56,"_",Data_3!X$11))=1,X$11,"")</f>
        <v/>
      </c>
      <c r="Y56" s="1424" t="str">
        <f ca="1">IF(COUNTIF(Data!$H$16:$H$100,CONCATENATE(Data_3!$B56,"_",Data_3!Y$11))=1,Y$11,"")</f>
        <v/>
      </c>
      <c r="Z56" s="15"/>
      <c r="AA56" s="15"/>
      <c r="AB56" s="15"/>
      <c r="AC56" s="15"/>
      <c r="AD56" s="15"/>
      <c r="AE56" s="15"/>
      <c r="AF56" s="15"/>
      <c r="AG56" s="15"/>
      <c r="AH56" s="15"/>
      <c r="AI56" s="15"/>
      <c r="AJ56" s="15"/>
      <c r="AK56" s="15"/>
      <c r="AL56" s="15"/>
      <c r="AM56" s="15"/>
      <c r="AN56" s="15"/>
      <c r="AO56" s="15"/>
      <c r="AP56" s="15"/>
      <c r="AQ56" s="15"/>
      <c r="AR56" s="15"/>
      <c r="AS56" s="15"/>
      <c r="AT56" s="15"/>
      <c r="AU56" s="15"/>
      <c r="AV56" s="15"/>
      <c r="AW56" s="15"/>
      <c r="AX56" s="15"/>
      <c r="AY56" s="15"/>
      <c r="AZ56" s="15"/>
      <c r="BA56" s="15"/>
      <c r="BB56" s="15"/>
      <c r="BC56" s="15"/>
      <c r="BD56" s="15"/>
      <c r="BE56" s="15"/>
      <c r="BF56" s="15"/>
      <c r="BG56" s="15"/>
      <c r="BH56" s="15"/>
      <c r="BI56" s="15"/>
      <c r="BJ56" s="15"/>
      <c r="BK56" s="15"/>
      <c r="BL56" s="15"/>
      <c r="BM56" s="15"/>
      <c r="BN56" s="15"/>
      <c r="BO56" s="15"/>
      <c r="BP56" s="15"/>
      <c r="BQ56" s="15"/>
      <c r="BR56" s="15"/>
      <c r="BS56" s="15"/>
      <c r="BT56" s="15"/>
      <c r="BU56" s="15"/>
      <c r="BV56" s="15"/>
      <c r="BW56" s="15"/>
      <c r="BX56" s="15"/>
      <c r="BY56" s="15"/>
      <c r="BZ56" s="15"/>
      <c r="CA56" s="15"/>
      <c r="CB56" s="15"/>
      <c r="CC56" s="15"/>
      <c r="CD56" s="15"/>
      <c r="CE56" s="15"/>
      <c r="CF56" s="15"/>
      <c r="CG56" s="15"/>
      <c r="CH56" s="15"/>
      <c r="CI56" s="15"/>
      <c r="CJ56" s="15"/>
      <c r="CK56" s="15"/>
      <c r="CL56" s="15"/>
      <c r="CM56" s="15"/>
      <c r="CN56" s="15"/>
      <c r="CO56" s="15"/>
      <c r="CP56" s="15"/>
      <c r="CQ56" s="15"/>
      <c r="CR56" s="15"/>
      <c r="CS56" s="15"/>
      <c r="CT56" s="15"/>
      <c r="CU56" s="15"/>
      <c r="CV56" s="15"/>
      <c r="CW56" s="15"/>
      <c r="CX56" s="15"/>
      <c r="CY56" s="15"/>
      <c r="CZ56" s="15"/>
      <c r="DA56" s="15"/>
      <c r="DB56" s="15"/>
      <c r="DC56" s="15"/>
      <c r="DD56" s="15"/>
      <c r="DE56" s="15"/>
      <c r="DF56" s="15"/>
      <c r="DG56" s="15"/>
      <c r="DH56" s="15"/>
      <c r="DI56" s="15"/>
      <c r="DJ56" s="15"/>
      <c r="DK56" s="15"/>
      <c r="DL56" s="15"/>
      <c r="DM56" s="15"/>
      <c r="DN56" s="15"/>
      <c r="DO56" s="15"/>
      <c r="DP56" s="15"/>
      <c r="DQ56" s="15"/>
      <c r="DR56" s="15"/>
      <c r="DS56" s="15"/>
      <c r="DT56" s="15"/>
      <c r="DU56" s="15"/>
      <c r="DV56" s="15"/>
      <c r="DW56" s="15"/>
      <c r="DX56" s="15"/>
      <c r="DY56" s="15"/>
      <c r="DZ56" s="15"/>
      <c r="EA56" s="15"/>
      <c r="EB56" s="15"/>
      <c r="EC56" s="15"/>
      <c r="ED56" s="15"/>
      <c r="EE56" s="15"/>
      <c r="EF56" s="15"/>
      <c r="EG56" s="15"/>
      <c r="EH56" s="15"/>
    </row>
    <row r="57" spans="1:138" s="34" customFormat="1" ht="15" customHeight="1">
      <c r="A57" s="642"/>
      <c r="B57" s="1455" t="str">
        <f t="array" aca="1" ref="B57" ca="1">IFERROR(INDEX(Data!$B$16:$B$96,MATCH(0,COUNTIF($B$12:B56,Data!$B$16:$B$96),0)),"")</f>
        <v/>
      </c>
      <c r="C57" s="1345">
        <v>45</v>
      </c>
      <c r="D57" s="1424" t="s">
        <v>182</v>
      </c>
      <c r="E57" s="1424" t="str">
        <f ca="1">IF(COUNTIF(Data!$H$16:$H$100,CONCATENATE(Data_3!$B57,"_",Data_3!E$11))=1,E$11,"")</f>
        <v/>
      </c>
      <c r="F57" s="1424" t="str">
        <f ca="1">IF(COUNTIF(Data!$H$16:$H$100,CONCATENATE(Data_3!$B57,"_",Data_3!F$11))=1,F$11,"")</f>
        <v/>
      </c>
      <c r="G57" s="1424" t="str">
        <f ca="1">IF(COUNTIF(Data!$H$16:$H$100,CONCATENATE(Data_3!$B57,"_",Data_3!G$11))=1,G$11,"")</f>
        <v/>
      </c>
      <c r="H57" s="1424" t="str">
        <f ca="1">IF(COUNTIF(Data!$H$16:$H$100,CONCATENATE(Data_3!$B57,"_",Data_3!H$11))=1,H$11,"")</f>
        <v/>
      </c>
      <c r="I57" s="1424" t="str">
        <f ca="1">IF(COUNTIF(Data!$H$16:$H$100,CONCATENATE(Data_3!$B57,"_",Data_3!I$11))=1,I$11,"")</f>
        <v/>
      </c>
      <c r="J57" s="1424" t="str">
        <f ca="1">IF(COUNTIF(Data!$H$16:$H$100,CONCATENATE(Data_3!$B57,"_",Data_3!J$11))=1,J$11,"")</f>
        <v/>
      </c>
      <c r="K57" s="1424" t="str">
        <f ca="1">IF(COUNTIF(Data!$H$16:$H$100,CONCATENATE(Data_3!$B57,"_",Data_3!K$11))=1,K$11,"")</f>
        <v/>
      </c>
      <c r="L57" s="1424" t="str">
        <f ca="1">IF(COUNTIF(Data!$H$16:$H$100,CONCATENATE(Data_3!$B57,"_",Data_3!L$11))=1,L$11,"")</f>
        <v/>
      </c>
      <c r="M57" s="1424" t="str">
        <f ca="1">IF(COUNTIF(Data!$H$16:$H$100,CONCATENATE(Data_3!$B57,"_",Data_3!M$11))=1,M$11,"")</f>
        <v/>
      </c>
      <c r="N57" s="1424" t="str">
        <f ca="1">IF(COUNTIF(Data!$H$16:$H$100,CONCATENATE(Data_3!$B57,"_",Data_3!N$11))=1,N$11,"")</f>
        <v/>
      </c>
      <c r="O57" s="1424" t="str">
        <f ca="1">IF(COUNTIF(Data!$H$16:$H$100,CONCATENATE(Data_3!$B57,"_",Data_3!O$11))=1,O$11,"")</f>
        <v/>
      </c>
      <c r="P57" s="1424" t="str">
        <f ca="1">IF(COUNTIF(Data!$H$16:$H$100,CONCATENATE(Data_3!$B57,"_",Data_3!P$11))=1,P$11,"")</f>
        <v/>
      </c>
      <c r="Q57" s="1424" t="str">
        <f ca="1">IF(COUNTIF(Data!$H$16:$H$100,CONCATENATE(Data_3!$B57,"_",Data_3!Q$11))=1,Q$11,"")</f>
        <v/>
      </c>
      <c r="R57" s="1424" t="str">
        <f ca="1">IF(COUNTIF(Data!$H$16:$H$100,CONCATENATE(Data_3!$B57,"_",Data_3!R$11))=1,R$11,"")</f>
        <v/>
      </c>
      <c r="S57" s="1424" t="str">
        <f ca="1">IF(COUNTIF(Data!$H$16:$H$100,CONCATENATE(Data_3!$B57,"_",Data_3!S$11))=1,S$11,"")</f>
        <v/>
      </c>
      <c r="T57" s="1424" t="str">
        <f ca="1">IF(COUNTIF(Data!$H$16:$H$100,CONCATENATE(Data_3!$B57,"_",Data_3!T$11))=1,T$11,"")</f>
        <v/>
      </c>
      <c r="U57" s="1424" t="str">
        <f ca="1">IF(COUNTIF(Data!$H$16:$H$100,CONCATENATE(Data_3!$B57,"_",Data_3!U$11))=1,U$11,"")</f>
        <v/>
      </c>
      <c r="V57" s="1424" t="str">
        <f ca="1">IF(COUNTIF(Data!$H$16:$H$100,CONCATENATE(Data_3!$B57,"_",Data_3!V$11))=1,V$11,"")</f>
        <v/>
      </c>
      <c r="W57" s="1424" t="str">
        <f ca="1">IF(COUNTIF(Data!$H$16:$H$100,CONCATENATE(Data_3!$B57,"_",Data_3!W$11))=1,W$11,"")</f>
        <v/>
      </c>
      <c r="X57" s="1424" t="str">
        <f ca="1">IF(COUNTIF(Data!$H$16:$H$100,CONCATENATE(Data_3!$B57,"_",Data_3!X$11))=1,X$11,"")</f>
        <v/>
      </c>
      <c r="Y57" s="1424" t="str">
        <f ca="1">IF(COUNTIF(Data!$H$16:$H$100,CONCATENATE(Data_3!$B57,"_",Data_3!Y$11))=1,Y$11,"")</f>
        <v/>
      </c>
      <c r="Z57" s="15"/>
      <c r="AA57" s="15"/>
      <c r="AB57" s="15"/>
      <c r="AC57" s="15"/>
      <c r="AD57" s="15"/>
      <c r="AE57" s="15"/>
      <c r="AF57" s="15"/>
      <c r="AG57" s="15"/>
      <c r="AH57" s="15"/>
      <c r="AI57" s="15"/>
      <c r="AJ57" s="15"/>
      <c r="AK57" s="15"/>
      <c r="AL57" s="15"/>
      <c r="AM57" s="15"/>
      <c r="AN57" s="15"/>
      <c r="AO57" s="15"/>
      <c r="AP57" s="15"/>
      <c r="AQ57" s="15"/>
      <c r="AR57" s="15"/>
      <c r="AS57" s="15"/>
      <c r="AT57" s="15"/>
      <c r="AU57" s="15"/>
      <c r="AV57" s="15"/>
      <c r="AW57" s="15"/>
      <c r="AX57" s="15"/>
      <c r="AY57" s="15"/>
      <c r="AZ57" s="15"/>
      <c r="BA57" s="15"/>
      <c r="BB57" s="15"/>
      <c r="BC57" s="15"/>
      <c r="BD57" s="15"/>
      <c r="BE57" s="15"/>
      <c r="BF57" s="15"/>
      <c r="BG57" s="15"/>
      <c r="BH57" s="15"/>
      <c r="BI57" s="15"/>
      <c r="BJ57" s="15"/>
      <c r="BK57" s="15"/>
      <c r="BL57" s="15"/>
      <c r="BM57" s="15"/>
      <c r="BN57" s="15"/>
      <c r="BO57" s="15"/>
      <c r="BP57" s="15"/>
      <c r="BQ57" s="15"/>
      <c r="BR57" s="15"/>
      <c r="BS57" s="15"/>
      <c r="BT57" s="15"/>
      <c r="BU57" s="15"/>
      <c r="BV57" s="15"/>
      <c r="BW57" s="15"/>
      <c r="BX57" s="15"/>
      <c r="BY57" s="15"/>
      <c r="BZ57" s="15"/>
      <c r="CA57" s="15"/>
      <c r="CB57" s="15"/>
      <c r="CC57" s="15"/>
      <c r="CD57" s="15"/>
      <c r="CE57" s="15"/>
      <c r="CF57" s="15"/>
      <c r="CG57" s="15"/>
      <c r="CH57" s="15"/>
      <c r="CI57" s="15"/>
      <c r="CJ57" s="15"/>
      <c r="CK57" s="15"/>
      <c r="CL57" s="15"/>
      <c r="CM57" s="15"/>
      <c r="CN57" s="15"/>
      <c r="CO57" s="15"/>
      <c r="CP57" s="15"/>
      <c r="CQ57" s="15"/>
      <c r="CR57" s="15"/>
      <c r="CS57" s="15"/>
      <c r="CT57" s="15"/>
      <c r="CU57" s="15"/>
      <c r="CV57" s="15"/>
      <c r="CW57" s="15"/>
      <c r="CX57" s="15"/>
      <c r="CY57" s="15"/>
      <c r="CZ57" s="15"/>
      <c r="DA57" s="15"/>
      <c r="DB57" s="15"/>
      <c r="DC57" s="15"/>
      <c r="DD57" s="15"/>
      <c r="DE57" s="15"/>
      <c r="DF57" s="15"/>
      <c r="DG57" s="15"/>
      <c r="DH57" s="15"/>
      <c r="DI57" s="15"/>
      <c r="DJ57" s="15"/>
      <c r="DK57" s="15"/>
      <c r="DL57" s="15"/>
      <c r="DM57" s="15"/>
      <c r="DN57" s="15"/>
      <c r="DO57" s="15"/>
      <c r="DP57" s="15"/>
      <c r="DQ57" s="15"/>
      <c r="DR57" s="15"/>
      <c r="DS57" s="15"/>
      <c r="DT57" s="15"/>
      <c r="DU57" s="15"/>
      <c r="DV57" s="15"/>
      <c r="DW57" s="15"/>
      <c r="DX57" s="15"/>
      <c r="DY57" s="15"/>
      <c r="DZ57" s="15"/>
      <c r="EA57" s="15"/>
      <c r="EB57" s="15"/>
      <c r="EC57" s="15"/>
      <c r="ED57" s="15"/>
      <c r="EE57" s="15"/>
      <c r="EF57" s="15"/>
      <c r="EG57" s="15"/>
      <c r="EH57" s="15"/>
    </row>
    <row r="58" spans="1:138" s="34" customFormat="1" ht="15" customHeight="1">
      <c r="A58" s="642"/>
      <c r="B58" s="1455" t="str">
        <f t="array" aca="1" ref="B58" ca="1">IFERROR(INDEX(Data!$B$16:$B$96,MATCH(0,COUNTIF($B$12:B57,Data!$B$16:$B$96),0)),"")</f>
        <v/>
      </c>
      <c r="C58" s="1345">
        <v>46</v>
      </c>
      <c r="D58" s="1424" t="s">
        <v>182</v>
      </c>
      <c r="E58" s="1424" t="str">
        <f ca="1">IF(COUNTIF(Data!$H$16:$H$100,CONCATENATE(Data_3!$B58,"_",Data_3!E$11))=1,E$11,"")</f>
        <v/>
      </c>
      <c r="F58" s="1424" t="str">
        <f ca="1">IF(COUNTIF(Data!$H$16:$H$100,CONCATENATE(Data_3!$B58,"_",Data_3!F$11))=1,F$11,"")</f>
        <v/>
      </c>
      <c r="G58" s="1424" t="str">
        <f ca="1">IF(COUNTIF(Data!$H$16:$H$100,CONCATENATE(Data_3!$B58,"_",Data_3!G$11))=1,G$11,"")</f>
        <v/>
      </c>
      <c r="H58" s="1424" t="str">
        <f ca="1">IF(COUNTIF(Data!$H$16:$H$100,CONCATENATE(Data_3!$B58,"_",Data_3!H$11))=1,H$11,"")</f>
        <v/>
      </c>
      <c r="I58" s="1424" t="str">
        <f ca="1">IF(COUNTIF(Data!$H$16:$H$100,CONCATENATE(Data_3!$B58,"_",Data_3!I$11))=1,I$11,"")</f>
        <v/>
      </c>
      <c r="J58" s="1424" t="str">
        <f ca="1">IF(COUNTIF(Data!$H$16:$H$100,CONCATENATE(Data_3!$B58,"_",Data_3!J$11))=1,J$11,"")</f>
        <v/>
      </c>
      <c r="K58" s="1424" t="str">
        <f ca="1">IF(COUNTIF(Data!$H$16:$H$100,CONCATENATE(Data_3!$B58,"_",Data_3!K$11))=1,K$11,"")</f>
        <v/>
      </c>
      <c r="L58" s="1424" t="str">
        <f ca="1">IF(COUNTIF(Data!$H$16:$H$100,CONCATENATE(Data_3!$B58,"_",Data_3!L$11))=1,L$11,"")</f>
        <v/>
      </c>
      <c r="M58" s="1424" t="str">
        <f ca="1">IF(COUNTIF(Data!$H$16:$H$100,CONCATENATE(Data_3!$B58,"_",Data_3!M$11))=1,M$11,"")</f>
        <v/>
      </c>
      <c r="N58" s="1424" t="str">
        <f ca="1">IF(COUNTIF(Data!$H$16:$H$100,CONCATENATE(Data_3!$B58,"_",Data_3!N$11))=1,N$11,"")</f>
        <v/>
      </c>
      <c r="O58" s="1424" t="str">
        <f ca="1">IF(COUNTIF(Data!$H$16:$H$100,CONCATENATE(Data_3!$B58,"_",Data_3!O$11))=1,O$11,"")</f>
        <v/>
      </c>
      <c r="P58" s="1424" t="str">
        <f ca="1">IF(COUNTIF(Data!$H$16:$H$100,CONCATENATE(Data_3!$B58,"_",Data_3!P$11))=1,P$11,"")</f>
        <v/>
      </c>
      <c r="Q58" s="1424" t="str">
        <f ca="1">IF(COUNTIF(Data!$H$16:$H$100,CONCATENATE(Data_3!$B58,"_",Data_3!Q$11))=1,Q$11,"")</f>
        <v/>
      </c>
      <c r="R58" s="1424" t="str">
        <f ca="1">IF(COUNTIF(Data!$H$16:$H$100,CONCATENATE(Data_3!$B58,"_",Data_3!R$11))=1,R$11,"")</f>
        <v/>
      </c>
      <c r="S58" s="1424" t="str">
        <f ca="1">IF(COUNTIF(Data!$H$16:$H$100,CONCATENATE(Data_3!$B58,"_",Data_3!S$11))=1,S$11,"")</f>
        <v/>
      </c>
      <c r="T58" s="1424" t="str">
        <f ca="1">IF(COUNTIF(Data!$H$16:$H$100,CONCATENATE(Data_3!$B58,"_",Data_3!T$11))=1,T$11,"")</f>
        <v/>
      </c>
      <c r="U58" s="1424" t="str">
        <f ca="1">IF(COUNTIF(Data!$H$16:$H$100,CONCATENATE(Data_3!$B58,"_",Data_3!U$11))=1,U$11,"")</f>
        <v/>
      </c>
      <c r="V58" s="1424" t="str">
        <f ca="1">IF(COUNTIF(Data!$H$16:$H$100,CONCATENATE(Data_3!$B58,"_",Data_3!V$11))=1,V$11,"")</f>
        <v/>
      </c>
      <c r="W58" s="1424" t="str">
        <f ca="1">IF(COUNTIF(Data!$H$16:$H$100,CONCATENATE(Data_3!$B58,"_",Data_3!W$11))=1,W$11,"")</f>
        <v/>
      </c>
      <c r="X58" s="1424" t="str">
        <f ca="1">IF(COUNTIF(Data!$H$16:$H$100,CONCATENATE(Data_3!$B58,"_",Data_3!X$11))=1,X$11,"")</f>
        <v/>
      </c>
      <c r="Y58" s="1424" t="str">
        <f ca="1">IF(COUNTIF(Data!$H$16:$H$100,CONCATENATE(Data_3!$B58,"_",Data_3!Y$11))=1,Y$11,"")</f>
        <v/>
      </c>
      <c r="Z58" s="15"/>
      <c r="AA58" s="15"/>
      <c r="AB58" s="15"/>
      <c r="AC58" s="15"/>
      <c r="AD58" s="15"/>
      <c r="AE58" s="15"/>
      <c r="AF58" s="15"/>
      <c r="AG58" s="15"/>
      <c r="AH58" s="15"/>
      <c r="AI58" s="15"/>
      <c r="AJ58" s="15"/>
      <c r="AK58" s="15"/>
      <c r="AL58" s="15"/>
      <c r="AM58" s="15"/>
      <c r="AN58" s="15"/>
      <c r="AO58" s="15"/>
      <c r="AP58" s="15"/>
      <c r="AQ58" s="15"/>
      <c r="AR58" s="15"/>
      <c r="AS58" s="15"/>
      <c r="AT58" s="15"/>
      <c r="AU58" s="15"/>
      <c r="AV58" s="15"/>
      <c r="AW58" s="15"/>
      <c r="AX58" s="15"/>
      <c r="AY58" s="15"/>
      <c r="AZ58" s="15"/>
      <c r="BA58" s="15"/>
      <c r="BB58" s="15"/>
      <c r="BC58" s="15"/>
      <c r="BD58" s="15"/>
      <c r="BE58" s="15"/>
      <c r="BF58" s="15"/>
      <c r="BG58" s="15"/>
      <c r="BH58" s="15"/>
      <c r="BI58" s="15"/>
      <c r="BJ58" s="15"/>
      <c r="BK58" s="15"/>
      <c r="BL58" s="15"/>
      <c r="BM58" s="15"/>
      <c r="BN58" s="15"/>
      <c r="BO58" s="15"/>
      <c r="BP58" s="15"/>
      <c r="BQ58" s="15"/>
      <c r="BR58" s="15"/>
      <c r="BS58" s="15"/>
      <c r="BT58" s="15"/>
      <c r="BU58" s="15"/>
      <c r="BV58" s="15"/>
      <c r="BW58" s="15"/>
      <c r="BX58" s="15"/>
      <c r="BY58" s="15"/>
      <c r="BZ58" s="15"/>
      <c r="CA58" s="15"/>
      <c r="CB58" s="15"/>
      <c r="CC58" s="15"/>
      <c r="CD58" s="15"/>
      <c r="CE58" s="15"/>
      <c r="CF58" s="15"/>
      <c r="CG58" s="15"/>
      <c r="CH58" s="15"/>
      <c r="CI58" s="15"/>
      <c r="CJ58" s="15"/>
      <c r="CK58" s="15"/>
      <c r="CL58" s="15"/>
      <c r="CM58" s="15"/>
      <c r="CN58" s="15"/>
      <c r="CO58" s="15"/>
      <c r="CP58" s="15"/>
      <c r="CQ58" s="15"/>
      <c r="CR58" s="15"/>
      <c r="CS58" s="15"/>
      <c r="CT58" s="15"/>
      <c r="CU58" s="15"/>
      <c r="CV58" s="15"/>
      <c r="CW58" s="15"/>
      <c r="CX58" s="15"/>
      <c r="CY58" s="15"/>
      <c r="CZ58" s="15"/>
      <c r="DA58" s="15"/>
      <c r="DB58" s="15"/>
      <c r="DC58" s="15"/>
      <c r="DD58" s="15"/>
      <c r="DE58" s="15"/>
      <c r="DF58" s="15"/>
      <c r="DG58" s="15"/>
      <c r="DH58" s="15"/>
      <c r="DI58" s="15"/>
      <c r="DJ58" s="15"/>
      <c r="DK58" s="15"/>
      <c r="DL58" s="15"/>
      <c r="DM58" s="15"/>
      <c r="DN58" s="15"/>
      <c r="DO58" s="15"/>
      <c r="DP58" s="15"/>
      <c r="DQ58" s="15"/>
      <c r="DR58" s="15"/>
      <c r="DS58" s="15"/>
      <c r="DT58" s="15"/>
      <c r="DU58" s="15"/>
      <c r="DV58" s="15"/>
      <c r="DW58" s="15"/>
      <c r="DX58" s="15"/>
      <c r="DY58" s="15"/>
      <c r="DZ58" s="15"/>
      <c r="EA58" s="15"/>
      <c r="EB58" s="15"/>
      <c r="EC58" s="15"/>
      <c r="ED58" s="15"/>
      <c r="EE58" s="15"/>
      <c r="EF58" s="15"/>
      <c r="EG58" s="15"/>
      <c r="EH58" s="15"/>
    </row>
    <row r="59" spans="1:138" s="34" customFormat="1" ht="15" customHeight="1">
      <c r="A59" s="642"/>
      <c r="B59" s="1455" t="str">
        <f t="array" aca="1" ref="B59" ca="1">IFERROR(INDEX(Data!$B$16:$B$96,MATCH(0,COUNTIF($B$12:B58,Data!$B$16:$B$96),0)),"")</f>
        <v/>
      </c>
      <c r="C59" s="1345">
        <v>47</v>
      </c>
      <c r="D59" s="1424" t="s">
        <v>182</v>
      </c>
      <c r="E59" s="1424" t="str">
        <f ca="1">IF(COUNTIF(Data!$H$16:$H$100,CONCATENATE(Data_3!$B59,"_",Data_3!E$11))=1,E$11,"")</f>
        <v/>
      </c>
      <c r="F59" s="1424" t="str">
        <f ca="1">IF(COUNTIF(Data!$H$16:$H$100,CONCATENATE(Data_3!$B59,"_",Data_3!F$11))=1,F$11,"")</f>
        <v/>
      </c>
      <c r="G59" s="1424" t="str">
        <f ca="1">IF(COUNTIF(Data!$H$16:$H$100,CONCATENATE(Data_3!$B59,"_",Data_3!G$11))=1,G$11,"")</f>
        <v/>
      </c>
      <c r="H59" s="1424" t="str">
        <f ca="1">IF(COUNTIF(Data!$H$16:$H$100,CONCATENATE(Data_3!$B59,"_",Data_3!H$11))=1,H$11,"")</f>
        <v/>
      </c>
      <c r="I59" s="1424" t="str">
        <f ca="1">IF(COUNTIF(Data!$H$16:$H$100,CONCATENATE(Data_3!$B59,"_",Data_3!I$11))=1,I$11,"")</f>
        <v/>
      </c>
      <c r="J59" s="1424" t="str">
        <f ca="1">IF(COUNTIF(Data!$H$16:$H$100,CONCATENATE(Data_3!$B59,"_",Data_3!J$11))=1,J$11,"")</f>
        <v/>
      </c>
      <c r="K59" s="1424" t="str">
        <f ca="1">IF(COUNTIF(Data!$H$16:$H$100,CONCATENATE(Data_3!$B59,"_",Data_3!K$11))=1,K$11,"")</f>
        <v/>
      </c>
      <c r="L59" s="1424" t="str">
        <f ca="1">IF(COUNTIF(Data!$H$16:$H$100,CONCATENATE(Data_3!$B59,"_",Data_3!L$11))=1,L$11,"")</f>
        <v/>
      </c>
      <c r="M59" s="1424" t="str">
        <f ca="1">IF(COUNTIF(Data!$H$16:$H$100,CONCATENATE(Data_3!$B59,"_",Data_3!M$11))=1,M$11,"")</f>
        <v/>
      </c>
      <c r="N59" s="1424" t="str">
        <f ca="1">IF(COUNTIF(Data!$H$16:$H$100,CONCATENATE(Data_3!$B59,"_",Data_3!N$11))=1,N$11,"")</f>
        <v/>
      </c>
      <c r="O59" s="1424" t="str">
        <f ca="1">IF(COUNTIF(Data!$H$16:$H$100,CONCATENATE(Data_3!$B59,"_",Data_3!O$11))=1,O$11,"")</f>
        <v/>
      </c>
      <c r="P59" s="1424" t="str">
        <f ca="1">IF(COUNTIF(Data!$H$16:$H$100,CONCATENATE(Data_3!$B59,"_",Data_3!P$11))=1,P$11,"")</f>
        <v/>
      </c>
      <c r="Q59" s="1424" t="str">
        <f ca="1">IF(COUNTIF(Data!$H$16:$H$100,CONCATENATE(Data_3!$B59,"_",Data_3!Q$11))=1,Q$11,"")</f>
        <v/>
      </c>
      <c r="R59" s="1424" t="str">
        <f ca="1">IF(COUNTIF(Data!$H$16:$H$100,CONCATENATE(Data_3!$B59,"_",Data_3!R$11))=1,R$11,"")</f>
        <v/>
      </c>
      <c r="S59" s="1424" t="str">
        <f ca="1">IF(COUNTIF(Data!$H$16:$H$100,CONCATENATE(Data_3!$B59,"_",Data_3!S$11))=1,S$11,"")</f>
        <v/>
      </c>
      <c r="T59" s="1424" t="str">
        <f ca="1">IF(COUNTIF(Data!$H$16:$H$100,CONCATENATE(Data_3!$B59,"_",Data_3!T$11))=1,T$11,"")</f>
        <v/>
      </c>
      <c r="U59" s="1424" t="str">
        <f ca="1">IF(COUNTIF(Data!$H$16:$H$100,CONCATENATE(Data_3!$B59,"_",Data_3!U$11))=1,U$11,"")</f>
        <v/>
      </c>
      <c r="V59" s="1424" t="str">
        <f ca="1">IF(COUNTIF(Data!$H$16:$H$100,CONCATENATE(Data_3!$B59,"_",Data_3!V$11))=1,V$11,"")</f>
        <v/>
      </c>
      <c r="W59" s="1424" t="str">
        <f ca="1">IF(COUNTIF(Data!$H$16:$H$100,CONCATENATE(Data_3!$B59,"_",Data_3!W$11))=1,W$11,"")</f>
        <v/>
      </c>
      <c r="X59" s="1424" t="str">
        <f ca="1">IF(COUNTIF(Data!$H$16:$H$100,CONCATENATE(Data_3!$B59,"_",Data_3!X$11))=1,X$11,"")</f>
        <v/>
      </c>
      <c r="Y59" s="1424" t="str">
        <f ca="1">IF(COUNTIF(Data!$H$16:$H$100,CONCATENATE(Data_3!$B59,"_",Data_3!Y$11))=1,Y$11,"")</f>
        <v/>
      </c>
      <c r="Z59" s="15"/>
      <c r="AA59" s="15"/>
      <c r="AB59" s="15"/>
      <c r="AC59" s="15"/>
      <c r="AD59" s="15"/>
      <c r="AE59" s="15"/>
      <c r="AF59" s="15"/>
      <c r="AG59" s="15"/>
      <c r="AH59" s="15"/>
      <c r="AI59" s="15"/>
      <c r="AJ59" s="15"/>
      <c r="AK59" s="15"/>
      <c r="AL59" s="15"/>
      <c r="AM59" s="15"/>
      <c r="AN59" s="15"/>
      <c r="AO59" s="15"/>
      <c r="AP59" s="15"/>
      <c r="AQ59" s="15"/>
      <c r="AR59" s="15"/>
      <c r="AS59" s="15"/>
      <c r="AT59" s="15"/>
      <c r="AU59" s="15"/>
      <c r="AV59" s="15"/>
      <c r="AW59" s="15"/>
      <c r="AX59" s="15"/>
      <c r="AY59" s="15"/>
      <c r="AZ59" s="15"/>
      <c r="BA59" s="15"/>
      <c r="BB59" s="15"/>
      <c r="BC59" s="15"/>
      <c r="BD59" s="15"/>
      <c r="BE59" s="15"/>
      <c r="BF59" s="15"/>
      <c r="BG59" s="15"/>
      <c r="BH59" s="15"/>
      <c r="BI59" s="15"/>
      <c r="BJ59" s="15"/>
      <c r="BK59" s="15"/>
      <c r="BL59" s="15"/>
      <c r="BM59" s="15"/>
      <c r="BN59" s="15"/>
      <c r="BO59" s="15"/>
      <c r="BP59" s="15"/>
      <c r="BQ59" s="15"/>
      <c r="BR59" s="15"/>
      <c r="BS59" s="15"/>
      <c r="BT59" s="15"/>
      <c r="BU59" s="15"/>
      <c r="BV59" s="15"/>
      <c r="BW59" s="15"/>
      <c r="BX59" s="15"/>
      <c r="BY59" s="15"/>
      <c r="BZ59" s="15"/>
      <c r="CA59" s="15"/>
      <c r="CB59" s="15"/>
      <c r="CC59" s="15"/>
      <c r="CD59" s="15"/>
      <c r="CE59" s="15"/>
      <c r="CF59" s="15"/>
      <c r="CG59" s="15"/>
      <c r="CH59" s="15"/>
      <c r="CI59" s="15"/>
      <c r="CJ59" s="15"/>
      <c r="CK59" s="15"/>
      <c r="CL59" s="15"/>
      <c r="CM59" s="15"/>
      <c r="CN59" s="15"/>
      <c r="CO59" s="15"/>
      <c r="CP59" s="15"/>
      <c r="CQ59" s="15"/>
      <c r="CR59" s="15"/>
      <c r="CS59" s="15"/>
      <c r="CT59" s="15"/>
      <c r="CU59" s="15"/>
      <c r="CV59" s="15"/>
      <c r="CW59" s="15"/>
      <c r="CX59" s="15"/>
      <c r="CY59" s="15"/>
      <c r="CZ59" s="15"/>
      <c r="DA59" s="15"/>
      <c r="DB59" s="15"/>
      <c r="DC59" s="15"/>
      <c r="DD59" s="15"/>
      <c r="DE59" s="15"/>
      <c r="DF59" s="15"/>
      <c r="DG59" s="15"/>
      <c r="DH59" s="15"/>
      <c r="DI59" s="15"/>
      <c r="DJ59" s="15"/>
      <c r="DK59" s="15"/>
      <c r="DL59" s="15"/>
      <c r="DM59" s="15"/>
      <c r="DN59" s="15"/>
      <c r="DO59" s="15"/>
      <c r="DP59" s="15"/>
      <c r="DQ59" s="15"/>
      <c r="DR59" s="15"/>
      <c r="DS59" s="15"/>
      <c r="DT59" s="15"/>
      <c r="DU59" s="15"/>
      <c r="DV59" s="15"/>
      <c r="DW59" s="15"/>
      <c r="DX59" s="15"/>
      <c r="DY59" s="15"/>
      <c r="DZ59" s="15"/>
      <c r="EA59" s="15"/>
      <c r="EB59" s="15"/>
      <c r="EC59" s="15"/>
      <c r="ED59" s="15"/>
      <c r="EE59" s="15"/>
      <c r="EF59" s="15"/>
      <c r="EG59" s="15"/>
      <c r="EH59" s="15"/>
    </row>
    <row r="60" spans="1:138" s="34" customFormat="1" ht="15" customHeight="1">
      <c r="A60" s="642"/>
      <c r="B60" s="1455" t="str">
        <f t="array" aca="1" ref="B60" ca="1">IFERROR(INDEX(Data!$B$16:$B$96,MATCH(0,COUNTIF($B$12:B59,Data!$B$16:$B$96),0)),"")</f>
        <v/>
      </c>
      <c r="C60" s="1345">
        <v>48</v>
      </c>
      <c r="D60" s="1424" t="s">
        <v>182</v>
      </c>
      <c r="E60" s="1424" t="str">
        <f ca="1">IF(COUNTIF(Data!$H$16:$H$100,CONCATENATE(Data_3!$B60,"_",Data_3!E$11))=1,E$11,"")</f>
        <v/>
      </c>
      <c r="F60" s="1424" t="str">
        <f ca="1">IF(COUNTIF(Data!$H$16:$H$100,CONCATENATE(Data_3!$B60,"_",Data_3!F$11))=1,F$11,"")</f>
        <v/>
      </c>
      <c r="G60" s="1424" t="str">
        <f ca="1">IF(COUNTIF(Data!$H$16:$H$100,CONCATENATE(Data_3!$B60,"_",Data_3!G$11))=1,G$11,"")</f>
        <v/>
      </c>
      <c r="H60" s="1424" t="str">
        <f ca="1">IF(COUNTIF(Data!$H$16:$H$100,CONCATENATE(Data_3!$B60,"_",Data_3!H$11))=1,H$11,"")</f>
        <v/>
      </c>
      <c r="I60" s="1424" t="str">
        <f ca="1">IF(COUNTIF(Data!$H$16:$H$100,CONCATENATE(Data_3!$B60,"_",Data_3!I$11))=1,I$11,"")</f>
        <v/>
      </c>
      <c r="J60" s="1424" t="str">
        <f ca="1">IF(COUNTIF(Data!$H$16:$H$100,CONCATENATE(Data_3!$B60,"_",Data_3!J$11))=1,J$11,"")</f>
        <v/>
      </c>
      <c r="K60" s="1424" t="str">
        <f ca="1">IF(COUNTIF(Data!$H$16:$H$100,CONCATENATE(Data_3!$B60,"_",Data_3!K$11))=1,K$11,"")</f>
        <v/>
      </c>
      <c r="L60" s="1424" t="str">
        <f ca="1">IF(COUNTIF(Data!$H$16:$H$100,CONCATENATE(Data_3!$B60,"_",Data_3!L$11))=1,L$11,"")</f>
        <v/>
      </c>
      <c r="M60" s="1424" t="str">
        <f ca="1">IF(COUNTIF(Data!$H$16:$H$100,CONCATENATE(Data_3!$B60,"_",Data_3!M$11))=1,M$11,"")</f>
        <v/>
      </c>
      <c r="N60" s="1424" t="str">
        <f ca="1">IF(COUNTIF(Data!$H$16:$H$100,CONCATENATE(Data_3!$B60,"_",Data_3!N$11))=1,N$11,"")</f>
        <v/>
      </c>
      <c r="O60" s="1424" t="str">
        <f ca="1">IF(COUNTIF(Data!$H$16:$H$100,CONCATENATE(Data_3!$B60,"_",Data_3!O$11))=1,O$11,"")</f>
        <v/>
      </c>
      <c r="P60" s="1424" t="str">
        <f ca="1">IF(COUNTIF(Data!$H$16:$H$100,CONCATENATE(Data_3!$B60,"_",Data_3!P$11))=1,P$11,"")</f>
        <v/>
      </c>
      <c r="Q60" s="1424" t="str">
        <f ca="1">IF(COUNTIF(Data!$H$16:$H$100,CONCATENATE(Data_3!$B60,"_",Data_3!Q$11))=1,Q$11,"")</f>
        <v/>
      </c>
      <c r="R60" s="1424" t="str">
        <f ca="1">IF(COUNTIF(Data!$H$16:$H$100,CONCATENATE(Data_3!$B60,"_",Data_3!R$11))=1,R$11,"")</f>
        <v/>
      </c>
      <c r="S60" s="1424" t="str">
        <f ca="1">IF(COUNTIF(Data!$H$16:$H$100,CONCATENATE(Data_3!$B60,"_",Data_3!S$11))=1,S$11,"")</f>
        <v/>
      </c>
      <c r="T60" s="1424" t="str">
        <f ca="1">IF(COUNTIF(Data!$H$16:$H$100,CONCATENATE(Data_3!$B60,"_",Data_3!T$11))=1,T$11,"")</f>
        <v/>
      </c>
      <c r="U60" s="1424" t="str">
        <f ca="1">IF(COUNTIF(Data!$H$16:$H$100,CONCATENATE(Data_3!$B60,"_",Data_3!U$11))=1,U$11,"")</f>
        <v/>
      </c>
      <c r="V60" s="1424" t="str">
        <f ca="1">IF(COUNTIF(Data!$H$16:$H$100,CONCATENATE(Data_3!$B60,"_",Data_3!V$11))=1,V$11,"")</f>
        <v/>
      </c>
      <c r="W60" s="1424" t="str">
        <f ca="1">IF(COUNTIF(Data!$H$16:$H$100,CONCATENATE(Data_3!$B60,"_",Data_3!W$11))=1,W$11,"")</f>
        <v/>
      </c>
      <c r="X60" s="1424" t="str">
        <f ca="1">IF(COUNTIF(Data!$H$16:$H$100,CONCATENATE(Data_3!$B60,"_",Data_3!X$11))=1,X$11,"")</f>
        <v/>
      </c>
      <c r="Y60" s="1424" t="str">
        <f ca="1">IF(COUNTIF(Data!$H$16:$H$100,CONCATENATE(Data_3!$B60,"_",Data_3!Y$11))=1,Y$11,"")</f>
        <v/>
      </c>
      <c r="Z60" s="15"/>
      <c r="AA60" s="15"/>
      <c r="AB60" s="15"/>
      <c r="AC60" s="15"/>
      <c r="AD60" s="15"/>
      <c r="AE60" s="15"/>
      <c r="AF60" s="15"/>
      <c r="AG60" s="15"/>
      <c r="AH60" s="15"/>
      <c r="AI60" s="15"/>
      <c r="AJ60" s="15"/>
      <c r="AK60" s="15"/>
      <c r="AL60" s="15"/>
      <c r="AM60" s="15"/>
      <c r="AN60" s="15"/>
      <c r="AO60" s="15"/>
      <c r="AP60" s="15"/>
      <c r="AQ60" s="15"/>
      <c r="AR60" s="15"/>
      <c r="AS60" s="15"/>
      <c r="AT60" s="15"/>
      <c r="AU60" s="15"/>
      <c r="AV60" s="15"/>
      <c r="AW60" s="15"/>
      <c r="AX60" s="15"/>
      <c r="AY60" s="15"/>
      <c r="AZ60" s="15"/>
      <c r="BA60" s="15"/>
      <c r="BB60" s="15"/>
      <c r="BC60" s="15"/>
      <c r="BD60" s="15"/>
      <c r="BE60" s="15"/>
      <c r="BF60" s="15"/>
      <c r="BG60" s="15"/>
      <c r="BH60" s="15"/>
      <c r="BI60" s="15"/>
      <c r="BJ60" s="15"/>
      <c r="BK60" s="15"/>
      <c r="BL60" s="15"/>
      <c r="BM60" s="15"/>
      <c r="BN60" s="15"/>
      <c r="BO60" s="15"/>
      <c r="BP60" s="15"/>
      <c r="BQ60" s="15"/>
      <c r="BR60" s="15"/>
      <c r="BS60" s="15"/>
      <c r="BT60" s="15"/>
      <c r="BU60" s="15"/>
      <c r="BV60" s="15"/>
      <c r="BW60" s="15"/>
      <c r="BX60" s="15"/>
      <c r="BY60" s="15"/>
      <c r="BZ60" s="15"/>
      <c r="CA60" s="15"/>
      <c r="CB60" s="15"/>
      <c r="CC60" s="15"/>
      <c r="CD60" s="15"/>
      <c r="CE60" s="15"/>
      <c r="CF60" s="15"/>
      <c r="CG60" s="15"/>
      <c r="CH60" s="15"/>
      <c r="CI60" s="15"/>
      <c r="CJ60" s="15"/>
      <c r="CK60" s="15"/>
      <c r="CL60" s="15"/>
      <c r="CM60" s="15"/>
      <c r="CN60" s="15"/>
      <c r="CO60" s="15"/>
      <c r="CP60" s="15"/>
      <c r="CQ60" s="15"/>
      <c r="CR60" s="15"/>
      <c r="CS60" s="15"/>
      <c r="CT60" s="15"/>
      <c r="CU60" s="15"/>
      <c r="CV60" s="15"/>
      <c r="CW60" s="15"/>
      <c r="CX60" s="15"/>
      <c r="CY60" s="15"/>
      <c r="CZ60" s="15"/>
      <c r="DA60" s="15"/>
      <c r="DB60" s="15"/>
      <c r="DC60" s="15"/>
      <c r="DD60" s="15"/>
      <c r="DE60" s="15"/>
      <c r="DF60" s="15"/>
      <c r="DG60" s="15"/>
      <c r="DH60" s="15"/>
      <c r="DI60" s="15"/>
      <c r="DJ60" s="15"/>
      <c r="DK60" s="15"/>
      <c r="DL60" s="15"/>
      <c r="DM60" s="15"/>
      <c r="DN60" s="15"/>
      <c r="DO60" s="15"/>
      <c r="DP60" s="15"/>
      <c r="DQ60" s="15"/>
      <c r="DR60" s="15"/>
      <c r="DS60" s="15"/>
      <c r="DT60" s="15"/>
      <c r="DU60" s="15"/>
      <c r="DV60" s="15"/>
      <c r="DW60" s="15"/>
      <c r="DX60" s="15"/>
      <c r="DY60" s="15"/>
      <c r="DZ60" s="15"/>
      <c r="EA60" s="15"/>
      <c r="EB60" s="15"/>
      <c r="EC60" s="15"/>
      <c r="ED60" s="15"/>
      <c r="EE60" s="15"/>
      <c r="EF60" s="15"/>
      <c r="EG60" s="15"/>
      <c r="EH60" s="15"/>
    </row>
    <row r="61" spans="1:138" s="34" customFormat="1" ht="15" customHeight="1">
      <c r="A61" s="642"/>
      <c r="B61" s="1455" t="str">
        <f t="array" aca="1" ref="B61" ca="1">IFERROR(INDEX(Data!$B$16:$B$96,MATCH(0,COUNTIF($B$12:B60,Data!$B$16:$B$96),0)),"")</f>
        <v/>
      </c>
      <c r="C61" s="1345">
        <v>49</v>
      </c>
      <c r="D61" s="1424" t="s">
        <v>182</v>
      </c>
      <c r="E61" s="1424" t="str">
        <f ca="1">IF(COUNTIF(Data!$H$16:$H$100,CONCATENATE(Data_3!$B61,"_",Data_3!E$11))=1,E$11,"")</f>
        <v/>
      </c>
      <c r="F61" s="1424" t="str">
        <f ca="1">IF(COUNTIF(Data!$H$16:$H$100,CONCATENATE(Data_3!$B61,"_",Data_3!F$11))=1,F$11,"")</f>
        <v/>
      </c>
      <c r="G61" s="1424" t="str">
        <f ca="1">IF(COUNTIF(Data!$H$16:$H$100,CONCATENATE(Data_3!$B61,"_",Data_3!G$11))=1,G$11,"")</f>
        <v/>
      </c>
      <c r="H61" s="1424" t="str">
        <f ca="1">IF(COUNTIF(Data!$H$16:$H$100,CONCATENATE(Data_3!$B61,"_",Data_3!H$11))=1,H$11,"")</f>
        <v/>
      </c>
      <c r="I61" s="1424" t="str">
        <f ca="1">IF(COUNTIF(Data!$H$16:$H$100,CONCATENATE(Data_3!$B61,"_",Data_3!I$11))=1,I$11,"")</f>
        <v/>
      </c>
      <c r="J61" s="1424" t="str">
        <f ca="1">IF(COUNTIF(Data!$H$16:$H$100,CONCATENATE(Data_3!$B61,"_",Data_3!J$11))=1,J$11,"")</f>
        <v/>
      </c>
      <c r="K61" s="1424" t="str">
        <f ca="1">IF(COUNTIF(Data!$H$16:$H$100,CONCATENATE(Data_3!$B61,"_",Data_3!K$11))=1,K$11,"")</f>
        <v/>
      </c>
      <c r="L61" s="1424" t="str">
        <f ca="1">IF(COUNTIF(Data!$H$16:$H$100,CONCATENATE(Data_3!$B61,"_",Data_3!L$11))=1,L$11,"")</f>
        <v/>
      </c>
      <c r="M61" s="1424" t="str">
        <f ca="1">IF(COUNTIF(Data!$H$16:$H$100,CONCATENATE(Data_3!$B61,"_",Data_3!M$11))=1,M$11,"")</f>
        <v/>
      </c>
      <c r="N61" s="1424" t="str">
        <f ca="1">IF(COUNTIF(Data!$H$16:$H$100,CONCATENATE(Data_3!$B61,"_",Data_3!N$11))=1,N$11,"")</f>
        <v/>
      </c>
      <c r="O61" s="1424" t="str">
        <f ca="1">IF(COUNTIF(Data!$H$16:$H$100,CONCATENATE(Data_3!$B61,"_",Data_3!O$11))=1,O$11,"")</f>
        <v/>
      </c>
      <c r="P61" s="1424" t="str">
        <f ca="1">IF(COUNTIF(Data!$H$16:$H$100,CONCATENATE(Data_3!$B61,"_",Data_3!P$11))=1,P$11,"")</f>
        <v/>
      </c>
      <c r="Q61" s="1424" t="str">
        <f ca="1">IF(COUNTIF(Data!$H$16:$H$100,CONCATENATE(Data_3!$B61,"_",Data_3!Q$11))=1,Q$11,"")</f>
        <v/>
      </c>
      <c r="R61" s="1424" t="str">
        <f ca="1">IF(COUNTIF(Data!$H$16:$H$100,CONCATENATE(Data_3!$B61,"_",Data_3!R$11))=1,R$11,"")</f>
        <v/>
      </c>
      <c r="S61" s="1424" t="str">
        <f ca="1">IF(COUNTIF(Data!$H$16:$H$100,CONCATENATE(Data_3!$B61,"_",Data_3!S$11))=1,S$11,"")</f>
        <v/>
      </c>
      <c r="T61" s="1424" t="str">
        <f ca="1">IF(COUNTIF(Data!$H$16:$H$100,CONCATENATE(Data_3!$B61,"_",Data_3!T$11))=1,T$11,"")</f>
        <v/>
      </c>
      <c r="U61" s="1424" t="str">
        <f ca="1">IF(COUNTIF(Data!$H$16:$H$100,CONCATENATE(Data_3!$B61,"_",Data_3!U$11))=1,U$11,"")</f>
        <v/>
      </c>
      <c r="V61" s="1424" t="str">
        <f ca="1">IF(COUNTIF(Data!$H$16:$H$100,CONCATENATE(Data_3!$B61,"_",Data_3!V$11))=1,V$11,"")</f>
        <v/>
      </c>
      <c r="W61" s="1424" t="str">
        <f ca="1">IF(COUNTIF(Data!$H$16:$H$100,CONCATENATE(Data_3!$B61,"_",Data_3!W$11))=1,W$11,"")</f>
        <v/>
      </c>
      <c r="X61" s="1424" t="str">
        <f ca="1">IF(COUNTIF(Data!$H$16:$H$100,CONCATENATE(Data_3!$B61,"_",Data_3!X$11))=1,X$11,"")</f>
        <v/>
      </c>
      <c r="Y61" s="1424" t="str">
        <f ca="1">IF(COUNTIF(Data!$H$16:$H$100,CONCATENATE(Data_3!$B61,"_",Data_3!Y$11))=1,Y$11,"")</f>
        <v/>
      </c>
      <c r="Z61" s="15"/>
      <c r="AA61" s="15"/>
      <c r="AB61" s="15"/>
      <c r="AC61" s="15"/>
      <c r="AD61" s="15"/>
      <c r="AE61" s="15"/>
      <c r="AF61" s="15"/>
      <c r="AG61" s="15"/>
      <c r="AH61" s="15"/>
      <c r="AI61" s="15"/>
      <c r="AJ61" s="15"/>
      <c r="AK61" s="15"/>
      <c r="AL61" s="15"/>
      <c r="AM61" s="15"/>
      <c r="AN61" s="15"/>
      <c r="AO61" s="15"/>
      <c r="AP61" s="15"/>
      <c r="AQ61" s="15"/>
      <c r="AR61" s="15"/>
      <c r="AS61" s="15"/>
      <c r="AT61" s="15"/>
      <c r="AU61" s="15"/>
      <c r="AV61" s="15"/>
      <c r="AW61" s="15"/>
      <c r="AX61" s="15"/>
      <c r="AY61" s="15"/>
      <c r="AZ61" s="15"/>
      <c r="BA61" s="15"/>
      <c r="BB61" s="15"/>
      <c r="BC61" s="15"/>
      <c r="BD61" s="15"/>
      <c r="BE61" s="15"/>
      <c r="BF61" s="15"/>
      <c r="BG61" s="15"/>
      <c r="BH61" s="15"/>
      <c r="BI61" s="15"/>
      <c r="BJ61" s="15"/>
      <c r="BK61" s="15"/>
      <c r="BL61" s="15"/>
      <c r="BM61" s="15"/>
      <c r="BN61" s="15"/>
      <c r="BO61" s="15"/>
      <c r="BP61" s="15"/>
      <c r="BQ61" s="15"/>
      <c r="BR61" s="15"/>
      <c r="BS61" s="15"/>
      <c r="BT61" s="15"/>
      <c r="BU61" s="15"/>
      <c r="BV61" s="15"/>
      <c r="BW61" s="15"/>
      <c r="BX61" s="15"/>
      <c r="BY61" s="15"/>
      <c r="BZ61" s="15"/>
      <c r="CA61" s="15"/>
      <c r="CB61" s="15"/>
      <c r="CC61" s="15"/>
      <c r="CD61" s="15"/>
      <c r="CE61" s="15"/>
      <c r="CF61" s="15"/>
      <c r="CG61" s="15"/>
      <c r="CH61" s="15"/>
      <c r="CI61" s="15"/>
      <c r="CJ61" s="15"/>
      <c r="CK61" s="15"/>
      <c r="CL61" s="15"/>
      <c r="CM61" s="15"/>
      <c r="CN61" s="15"/>
      <c r="CO61" s="15"/>
      <c r="CP61" s="15"/>
      <c r="CQ61" s="15"/>
      <c r="CR61" s="15"/>
      <c r="CS61" s="15"/>
      <c r="CT61" s="15"/>
      <c r="CU61" s="15"/>
      <c r="CV61" s="15"/>
      <c r="CW61" s="15"/>
      <c r="CX61" s="15"/>
      <c r="CY61" s="15"/>
      <c r="CZ61" s="15"/>
      <c r="DA61" s="15"/>
      <c r="DB61" s="15"/>
      <c r="DC61" s="15"/>
      <c r="DD61" s="15"/>
      <c r="DE61" s="15"/>
      <c r="DF61" s="15"/>
      <c r="DG61" s="15"/>
      <c r="DH61" s="15"/>
      <c r="DI61" s="15"/>
      <c r="DJ61" s="15"/>
      <c r="DK61" s="15"/>
      <c r="DL61" s="15"/>
      <c r="DM61" s="15"/>
      <c r="DN61" s="15"/>
      <c r="DO61" s="15"/>
      <c r="DP61" s="15"/>
      <c r="DQ61" s="15"/>
      <c r="DR61" s="15"/>
      <c r="DS61" s="15"/>
      <c r="DT61" s="15"/>
      <c r="DU61" s="15"/>
      <c r="DV61" s="15"/>
      <c r="DW61" s="15"/>
      <c r="DX61" s="15"/>
      <c r="DY61" s="15"/>
      <c r="DZ61" s="15"/>
      <c r="EA61" s="15"/>
      <c r="EB61" s="15"/>
      <c r="EC61" s="15"/>
      <c r="ED61" s="15"/>
      <c r="EE61" s="15"/>
      <c r="EF61" s="15"/>
      <c r="EG61" s="15"/>
      <c r="EH61" s="15"/>
    </row>
    <row r="62" spans="1:138" s="34" customFormat="1" ht="15" customHeight="1">
      <c r="A62" s="642"/>
      <c r="B62" s="1455" t="str">
        <f t="array" aca="1" ref="B62" ca="1">IFERROR(INDEX(Data!$B$16:$B$96,MATCH(0,COUNTIF($B$12:B61,Data!$B$16:$B$96),0)),"")</f>
        <v/>
      </c>
      <c r="C62" s="1345">
        <v>50</v>
      </c>
      <c r="D62" s="1424" t="s">
        <v>182</v>
      </c>
      <c r="E62" s="1424" t="str">
        <f ca="1">IF(COUNTIF(Data!$H$16:$H$100,CONCATENATE(Data_3!$B62,"_",Data_3!E$11))=1,E$11,"")</f>
        <v/>
      </c>
      <c r="F62" s="1424" t="str">
        <f ca="1">IF(COUNTIF(Data!$H$16:$H$100,CONCATENATE(Data_3!$B62,"_",Data_3!F$11))=1,F$11,"")</f>
        <v/>
      </c>
      <c r="G62" s="1424" t="str">
        <f ca="1">IF(COUNTIF(Data!$H$16:$H$100,CONCATENATE(Data_3!$B62,"_",Data_3!G$11))=1,G$11,"")</f>
        <v/>
      </c>
      <c r="H62" s="1424" t="str">
        <f ca="1">IF(COUNTIF(Data!$H$16:$H$100,CONCATENATE(Data_3!$B62,"_",Data_3!H$11))=1,H$11,"")</f>
        <v/>
      </c>
      <c r="I62" s="1424" t="str">
        <f ca="1">IF(COUNTIF(Data!$H$16:$H$100,CONCATENATE(Data_3!$B62,"_",Data_3!I$11))=1,I$11,"")</f>
        <v/>
      </c>
      <c r="J62" s="1424" t="str">
        <f ca="1">IF(COUNTIF(Data!$H$16:$H$100,CONCATENATE(Data_3!$B62,"_",Data_3!J$11))=1,J$11,"")</f>
        <v/>
      </c>
      <c r="K62" s="1424" t="str">
        <f ca="1">IF(COUNTIF(Data!$H$16:$H$100,CONCATENATE(Data_3!$B62,"_",Data_3!K$11))=1,K$11,"")</f>
        <v/>
      </c>
      <c r="L62" s="1424" t="str">
        <f ca="1">IF(COUNTIF(Data!$H$16:$H$100,CONCATENATE(Data_3!$B62,"_",Data_3!L$11))=1,L$11,"")</f>
        <v/>
      </c>
      <c r="M62" s="1424" t="str">
        <f ca="1">IF(COUNTIF(Data!$H$16:$H$100,CONCATENATE(Data_3!$B62,"_",Data_3!M$11))=1,M$11,"")</f>
        <v/>
      </c>
      <c r="N62" s="1424" t="str">
        <f ca="1">IF(COUNTIF(Data!$H$16:$H$100,CONCATENATE(Data_3!$B62,"_",Data_3!N$11))=1,N$11,"")</f>
        <v/>
      </c>
      <c r="O62" s="1424" t="str">
        <f ca="1">IF(COUNTIF(Data!$H$16:$H$100,CONCATENATE(Data_3!$B62,"_",Data_3!O$11))=1,O$11,"")</f>
        <v/>
      </c>
      <c r="P62" s="1424" t="str">
        <f ca="1">IF(COUNTIF(Data!$H$16:$H$100,CONCATENATE(Data_3!$B62,"_",Data_3!P$11))=1,P$11,"")</f>
        <v/>
      </c>
      <c r="Q62" s="1424" t="str">
        <f ca="1">IF(COUNTIF(Data!$H$16:$H$100,CONCATENATE(Data_3!$B62,"_",Data_3!Q$11))=1,Q$11,"")</f>
        <v/>
      </c>
      <c r="R62" s="1424" t="str">
        <f ca="1">IF(COUNTIF(Data!$H$16:$H$100,CONCATENATE(Data_3!$B62,"_",Data_3!R$11))=1,R$11,"")</f>
        <v/>
      </c>
      <c r="S62" s="1424" t="str">
        <f ca="1">IF(COUNTIF(Data!$H$16:$H$100,CONCATENATE(Data_3!$B62,"_",Data_3!S$11))=1,S$11,"")</f>
        <v/>
      </c>
      <c r="T62" s="1424" t="str">
        <f ca="1">IF(COUNTIF(Data!$H$16:$H$100,CONCATENATE(Data_3!$B62,"_",Data_3!T$11))=1,T$11,"")</f>
        <v/>
      </c>
      <c r="U62" s="1424" t="str">
        <f ca="1">IF(COUNTIF(Data!$H$16:$H$100,CONCATENATE(Data_3!$B62,"_",Data_3!U$11))=1,U$11,"")</f>
        <v/>
      </c>
      <c r="V62" s="1424" t="str">
        <f ca="1">IF(COUNTIF(Data!$H$16:$H$100,CONCATENATE(Data_3!$B62,"_",Data_3!V$11))=1,V$11,"")</f>
        <v/>
      </c>
      <c r="W62" s="1424" t="str">
        <f ca="1">IF(COUNTIF(Data!$H$16:$H$100,CONCATENATE(Data_3!$B62,"_",Data_3!W$11))=1,W$11,"")</f>
        <v/>
      </c>
      <c r="X62" s="1424" t="str">
        <f ca="1">IF(COUNTIF(Data!$H$16:$H$100,CONCATENATE(Data_3!$B62,"_",Data_3!X$11))=1,X$11,"")</f>
        <v/>
      </c>
      <c r="Y62" s="1424" t="str">
        <f ca="1">IF(COUNTIF(Data!$H$16:$H$100,CONCATENATE(Data_3!$B62,"_",Data_3!Y$11))=1,Y$11,"")</f>
        <v/>
      </c>
      <c r="Z62" s="15"/>
      <c r="AA62" s="15"/>
      <c r="AB62" s="15"/>
      <c r="AC62" s="15"/>
      <c r="AD62" s="15"/>
      <c r="AE62" s="15"/>
      <c r="AF62" s="15"/>
      <c r="AG62" s="15"/>
      <c r="AH62" s="15"/>
      <c r="AI62" s="15"/>
      <c r="AJ62" s="15"/>
      <c r="AK62" s="15"/>
      <c r="AL62" s="15"/>
      <c r="AM62" s="15"/>
      <c r="AN62" s="15"/>
      <c r="AO62" s="15"/>
      <c r="AP62" s="15"/>
      <c r="AQ62" s="15"/>
      <c r="AR62" s="15"/>
      <c r="AS62" s="15"/>
      <c r="AT62" s="15"/>
      <c r="AU62" s="15"/>
      <c r="AV62" s="15"/>
      <c r="AW62" s="15"/>
      <c r="AX62" s="15"/>
      <c r="AY62" s="15"/>
      <c r="AZ62" s="15"/>
      <c r="BA62" s="15"/>
      <c r="BB62" s="15"/>
      <c r="BC62" s="15"/>
      <c r="BD62" s="15"/>
      <c r="BE62" s="15"/>
      <c r="BF62" s="15"/>
      <c r="BG62" s="15"/>
      <c r="BH62" s="15"/>
      <c r="BI62" s="15"/>
      <c r="BJ62" s="15"/>
      <c r="BK62" s="15"/>
      <c r="BL62" s="15"/>
      <c r="BM62" s="15"/>
      <c r="BN62" s="15"/>
      <c r="BO62" s="15"/>
      <c r="BP62" s="15"/>
      <c r="BQ62" s="15"/>
      <c r="BR62" s="15"/>
      <c r="BS62" s="15"/>
      <c r="BT62" s="15"/>
      <c r="BU62" s="15"/>
      <c r="BV62" s="15"/>
      <c r="BW62" s="15"/>
      <c r="BX62" s="15"/>
      <c r="BY62" s="15"/>
      <c r="BZ62" s="15"/>
      <c r="CA62" s="15"/>
      <c r="CB62" s="15"/>
      <c r="CC62" s="15"/>
      <c r="CD62" s="15"/>
      <c r="CE62" s="15"/>
      <c r="CF62" s="15"/>
      <c r="CG62" s="15"/>
      <c r="CH62" s="15"/>
      <c r="CI62" s="15"/>
      <c r="CJ62" s="15"/>
      <c r="CK62" s="15"/>
      <c r="CL62" s="15"/>
      <c r="CM62" s="15"/>
      <c r="CN62" s="15"/>
      <c r="CO62" s="15"/>
      <c r="CP62" s="15"/>
      <c r="CQ62" s="15"/>
      <c r="CR62" s="15"/>
      <c r="CS62" s="15"/>
      <c r="CT62" s="15"/>
      <c r="CU62" s="15"/>
      <c r="CV62" s="15"/>
      <c r="CW62" s="15"/>
      <c r="CX62" s="15"/>
      <c r="CY62" s="15"/>
      <c r="CZ62" s="15"/>
      <c r="DA62" s="15"/>
      <c r="DB62" s="15"/>
      <c r="DC62" s="15"/>
      <c r="DD62" s="15"/>
      <c r="DE62" s="15"/>
      <c r="DF62" s="15"/>
      <c r="DG62" s="15"/>
      <c r="DH62" s="15"/>
      <c r="DI62" s="15"/>
      <c r="DJ62" s="15"/>
      <c r="DK62" s="15"/>
      <c r="DL62" s="15"/>
      <c r="DM62" s="15"/>
      <c r="DN62" s="15"/>
      <c r="DO62" s="15"/>
      <c r="DP62" s="15"/>
      <c r="DQ62" s="15"/>
      <c r="DR62" s="15"/>
      <c r="DS62" s="15"/>
      <c r="DT62" s="15"/>
      <c r="DU62" s="15"/>
      <c r="DV62" s="15"/>
      <c r="DW62" s="15"/>
      <c r="DX62" s="15"/>
      <c r="DY62" s="15"/>
      <c r="DZ62" s="15"/>
      <c r="EA62" s="15"/>
      <c r="EB62" s="15"/>
      <c r="EC62" s="15"/>
      <c r="ED62" s="15"/>
      <c r="EE62" s="15"/>
      <c r="EF62" s="15"/>
      <c r="EG62" s="15"/>
      <c r="EH62" s="15"/>
    </row>
    <row r="63" spans="1:138" s="34" customFormat="1" ht="15" customHeight="1">
      <c r="A63" s="642"/>
      <c r="B63" s="1455" t="str">
        <f t="array" aca="1" ref="B63" ca="1">IFERROR(INDEX(Data!$B$16:$B$96,MATCH(0,COUNTIF($B$12:B62,Data!$B$16:$B$96),0)),"")</f>
        <v/>
      </c>
      <c r="C63" s="1345">
        <v>51</v>
      </c>
      <c r="D63" s="1424" t="s">
        <v>182</v>
      </c>
      <c r="E63" s="1424" t="str">
        <f ca="1">IF(COUNTIF(Data!$H$16:$H$100,CONCATENATE(Data_3!$B63,"_",Data_3!E$11))=1,E$11,"")</f>
        <v/>
      </c>
      <c r="F63" s="1424" t="str">
        <f ca="1">IF(COUNTIF(Data!$H$16:$H$100,CONCATENATE(Data_3!$B63,"_",Data_3!F$11))=1,F$11,"")</f>
        <v/>
      </c>
      <c r="G63" s="1424" t="str">
        <f ca="1">IF(COUNTIF(Data!$H$16:$H$100,CONCATENATE(Data_3!$B63,"_",Data_3!G$11))=1,G$11,"")</f>
        <v/>
      </c>
      <c r="H63" s="1424" t="str">
        <f ca="1">IF(COUNTIF(Data!$H$16:$H$100,CONCATENATE(Data_3!$B63,"_",Data_3!H$11))=1,H$11,"")</f>
        <v/>
      </c>
      <c r="I63" s="1424" t="str">
        <f ca="1">IF(COUNTIF(Data!$H$16:$H$100,CONCATENATE(Data_3!$B63,"_",Data_3!I$11))=1,I$11,"")</f>
        <v/>
      </c>
      <c r="J63" s="1424" t="str">
        <f ca="1">IF(COUNTIF(Data!$H$16:$H$100,CONCATENATE(Data_3!$B63,"_",Data_3!J$11))=1,J$11,"")</f>
        <v/>
      </c>
      <c r="K63" s="1424" t="str">
        <f ca="1">IF(COUNTIF(Data!$H$16:$H$100,CONCATENATE(Data_3!$B63,"_",Data_3!K$11))=1,K$11,"")</f>
        <v/>
      </c>
      <c r="L63" s="1424" t="str">
        <f ca="1">IF(COUNTIF(Data!$H$16:$H$100,CONCATENATE(Data_3!$B63,"_",Data_3!L$11))=1,L$11,"")</f>
        <v/>
      </c>
      <c r="M63" s="1424" t="str">
        <f ca="1">IF(COUNTIF(Data!$H$16:$H$100,CONCATENATE(Data_3!$B63,"_",Data_3!M$11))=1,M$11,"")</f>
        <v/>
      </c>
      <c r="N63" s="1424" t="str">
        <f ca="1">IF(COUNTIF(Data!$H$16:$H$100,CONCATENATE(Data_3!$B63,"_",Data_3!N$11))=1,N$11,"")</f>
        <v/>
      </c>
      <c r="O63" s="1424" t="str">
        <f ca="1">IF(COUNTIF(Data!$H$16:$H$100,CONCATENATE(Data_3!$B63,"_",Data_3!O$11))=1,O$11,"")</f>
        <v/>
      </c>
      <c r="P63" s="1424" t="str">
        <f ca="1">IF(COUNTIF(Data!$H$16:$H$100,CONCATENATE(Data_3!$B63,"_",Data_3!P$11))=1,P$11,"")</f>
        <v/>
      </c>
      <c r="Q63" s="1424" t="str">
        <f ca="1">IF(COUNTIF(Data!$H$16:$H$100,CONCATENATE(Data_3!$B63,"_",Data_3!Q$11))=1,Q$11,"")</f>
        <v/>
      </c>
      <c r="R63" s="1424" t="str">
        <f ca="1">IF(COUNTIF(Data!$H$16:$H$100,CONCATENATE(Data_3!$B63,"_",Data_3!R$11))=1,R$11,"")</f>
        <v/>
      </c>
      <c r="S63" s="1424" t="str">
        <f ca="1">IF(COUNTIF(Data!$H$16:$H$100,CONCATENATE(Data_3!$B63,"_",Data_3!S$11))=1,S$11,"")</f>
        <v/>
      </c>
      <c r="T63" s="1424" t="str">
        <f ca="1">IF(COUNTIF(Data!$H$16:$H$100,CONCATENATE(Data_3!$B63,"_",Data_3!T$11))=1,T$11,"")</f>
        <v/>
      </c>
      <c r="U63" s="1424" t="str">
        <f ca="1">IF(COUNTIF(Data!$H$16:$H$100,CONCATENATE(Data_3!$B63,"_",Data_3!U$11))=1,U$11,"")</f>
        <v/>
      </c>
      <c r="V63" s="1424" t="str">
        <f ca="1">IF(COUNTIF(Data!$H$16:$H$100,CONCATENATE(Data_3!$B63,"_",Data_3!V$11))=1,V$11,"")</f>
        <v/>
      </c>
      <c r="W63" s="1424" t="str">
        <f ca="1">IF(COUNTIF(Data!$H$16:$H$100,CONCATENATE(Data_3!$B63,"_",Data_3!W$11))=1,W$11,"")</f>
        <v/>
      </c>
      <c r="X63" s="1424" t="str">
        <f ca="1">IF(COUNTIF(Data!$H$16:$H$100,CONCATENATE(Data_3!$B63,"_",Data_3!X$11))=1,X$11,"")</f>
        <v/>
      </c>
      <c r="Y63" s="1424" t="str">
        <f ca="1">IF(COUNTIF(Data!$H$16:$H$100,CONCATENATE(Data_3!$B63,"_",Data_3!Y$11))=1,Y$11,"")</f>
        <v/>
      </c>
      <c r="Z63" s="15"/>
      <c r="AA63" s="15"/>
      <c r="AB63" s="15"/>
      <c r="AC63" s="15"/>
      <c r="AD63" s="15"/>
      <c r="AE63" s="15"/>
      <c r="AF63" s="15"/>
      <c r="AG63" s="15"/>
      <c r="AH63" s="15"/>
      <c r="AI63" s="15"/>
      <c r="AJ63" s="15"/>
      <c r="AK63" s="15"/>
      <c r="AL63" s="15"/>
      <c r="AM63" s="15"/>
      <c r="AN63" s="15"/>
      <c r="AO63" s="15"/>
      <c r="AP63" s="15"/>
      <c r="AQ63" s="15"/>
      <c r="AR63" s="15"/>
      <c r="AS63" s="15"/>
      <c r="AT63" s="15"/>
      <c r="AU63" s="15"/>
      <c r="AV63" s="15"/>
      <c r="AW63" s="15"/>
      <c r="AX63" s="15"/>
      <c r="AY63" s="15"/>
      <c r="AZ63" s="15"/>
      <c r="BA63" s="15"/>
      <c r="BB63" s="15"/>
      <c r="BC63" s="15"/>
      <c r="BD63" s="15"/>
      <c r="BE63" s="15"/>
      <c r="BF63" s="15"/>
      <c r="BG63" s="15"/>
      <c r="BH63" s="15"/>
      <c r="BI63" s="15"/>
      <c r="BJ63" s="15"/>
      <c r="BK63" s="15"/>
      <c r="BL63" s="15"/>
      <c r="BM63" s="15"/>
      <c r="BN63" s="15"/>
      <c r="BO63" s="15"/>
      <c r="BP63" s="15"/>
      <c r="BQ63" s="15"/>
      <c r="BR63" s="15"/>
      <c r="BS63" s="15"/>
      <c r="BT63" s="15"/>
      <c r="BU63" s="15"/>
      <c r="BV63" s="15"/>
      <c r="BW63" s="15"/>
      <c r="BX63" s="15"/>
      <c r="BY63" s="15"/>
      <c r="BZ63" s="15"/>
      <c r="CA63" s="15"/>
      <c r="CB63" s="15"/>
      <c r="CC63" s="15"/>
      <c r="CD63" s="15"/>
      <c r="CE63" s="15"/>
      <c r="CF63" s="15"/>
      <c r="CG63" s="15"/>
      <c r="CH63" s="15"/>
      <c r="CI63" s="15"/>
      <c r="CJ63" s="15"/>
      <c r="CK63" s="15"/>
      <c r="CL63" s="15"/>
      <c r="CM63" s="15"/>
      <c r="CN63" s="15"/>
      <c r="CO63" s="15"/>
      <c r="CP63" s="15"/>
      <c r="CQ63" s="15"/>
      <c r="CR63" s="15"/>
      <c r="CS63" s="15"/>
      <c r="CT63" s="15"/>
      <c r="CU63" s="15"/>
      <c r="CV63" s="15"/>
      <c r="CW63" s="15"/>
      <c r="CX63" s="15"/>
      <c r="CY63" s="15"/>
      <c r="CZ63" s="15"/>
      <c r="DA63" s="15"/>
      <c r="DB63" s="15"/>
      <c r="DC63" s="15"/>
      <c r="DD63" s="15"/>
      <c r="DE63" s="15"/>
      <c r="DF63" s="15"/>
      <c r="DG63" s="15"/>
      <c r="DH63" s="15"/>
      <c r="DI63" s="15"/>
      <c r="DJ63" s="15"/>
      <c r="DK63" s="15"/>
      <c r="DL63" s="15"/>
      <c r="DM63" s="15"/>
      <c r="DN63" s="15"/>
      <c r="DO63" s="15"/>
      <c r="DP63" s="15"/>
      <c r="DQ63" s="15"/>
      <c r="DR63" s="15"/>
      <c r="DS63" s="15"/>
      <c r="DT63" s="15"/>
      <c r="DU63" s="15"/>
      <c r="DV63" s="15"/>
      <c r="DW63" s="15"/>
      <c r="DX63" s="15"/>
      <c r="DY63" s="15"/>
      <c r="DZ63" s="15"/>
      <c r="EA63" s="15"/>
      <c r="EB63" s="15"/>
      <c r="EC63" s="15"/>
      <c r="ED63" s="15"/>
      <c r="EE63" s="15"/>
      <c r="EF63" s="15"/>
      <c r="EG63" s="15"/>
      <c r="EH63" s="15"/>
    </row>
    <row r="64" spans="1:138" s="34" customFormat="1" ht="15" customHeight="1">
      <c r="A64" s="642"/>
      <c r="B64" s="1455" t="str">
        <f t="array" aca="1" ref="B64" ca="1">IFERROR(INDEX(Data!$B$16:$B$96,MATCH(0,COUNTIF($B$12:B63,Data!$B$16:$B$96),0)),"")</f>
        <v/>
      </c>
      <c r="C64" s="1345">
        <v>52</v>
      </c>
      <c r="D64" s="1424" t="s">
        <v>182</v>
      </c>
      <c r="E64" s="1424" t="str">
        <f ca="1">IF(COUNTIF(Data!$H$16:$H$100,CONCATENATE(Data_3!$B64,"_",Data_3!E$11))=1,E$11,"")</f>
        <v/>
      </c>
      <c r="F64" s="1424" t="str">
        <f ca="1">IF(COUNTIF(Data!$H$16:$H$100,CONCATENATE(Data_3!$B64,"_",Data_3!F$11))=1,F$11,"")</f>
        <v/>
      </c>
      <c r="G64" s="1424" t="str">
        <f ca="1">IF(COUNTIF(Data!$H$16:$H$100,CONCATENATE(Data_3!$B64,"_",Data_3!G$11))=1,G$11,"")</f>
        <v/>
      </c>
      <c r="H64" s="1424" t="str">
        <f ca="1">IF(COUNTIF(Data!$H$16:$H$100,CONCATENATE(Data_3!$B64,"_",Data_3!H$11))=1,H$11,"")</f>
        <v/>
      </c>
      <c r="I64" s="1424" t="str">
        <f ca="1">IF(COUNTIF(Data!$H$16:$H$100,CONCATENATE(Data_3!$B64,"_",Data_3!I$11))=1,I$11,"")</f>
        <v/>
      </c>
      <c r="J64" s="1424" t="str">
        <f ca="1">IF(COUNTIF(Data!$H$16:$H$100,CONCATENATE(Data_3!$B64,"_",Data_3!J$11))=1,J$11,"")</f>
        <v/>
      </c>
      <c r="K64" s="1424" t="str">
        <f ca="1">IF(COUNTIF(Data!$H$16:$H$100,CONCATENATE(Data_3!$B64,"_",Data_3!K$11))=1,K$11,"")</f>
        <v/>
      </c>
      <c r="L64" s="1424" t="str">
        <f ca="1">IF(COUNTIF(Data!$H$16:$H$100,CONCATENATE(Data_3!$B64,"_",Data_3!L$11))=1,L$11,"")</f>
        <v/>
      </c>
      <c r="M64" s="1424" t="str">
        <f ca="1">IF(COUNTIF(Data!$H$16:$H$100,CONCATENATE(Data_3!$B64,"_",Data_3!M$11))=1,M$11,"")</f>
        <v/>
      </c>
      <c r="N64" s="1424" t="str">
        <f ca="1">IF(COUNTIF(Data!$H$16:$H$100,CONCATENATE(Data_3!$B64,"_",Data_3!N$11))=1,N$11,"")</f>
        <v/>
      </c>
      <c r="O64" s="1424" t="str">
        <f ca="1">IF(COUNTIF(Data!$H$16:$H$100,CONCATENATE(Data_3!$B64,"_",Data_3!O$11))=1,O$11,"")</f>
        <v/>
      </c>
      <c r="P64" s="1424" t="str">
        <f ca="1">IF(COUNTIF(Data!$H$16:$H$100,CONCATENATE(Data_3!$B64,"_",Data_3!P$11))=1,P$11,"")</f>
        <v/>
      </c>
      <c r="Q64" s="1424" t="str">
        <f ca="1">IF(COUNTIF(Data!$H$16:$H$100,CONCATENATE(Data_3!$B64,"_",Data_3!Q$11))=1,Q$11,"")</f>
        <v/>
      </c>
      <c r="R64" s="1424" t="str">
        <f ca="1">IF(COUNTIF(Data!$H$16:$H$100,CONCATENATE(Data_3!$B64,"_",Data_3!R$11))=1,R$11,"")</f>
        <v/>
      </c>
      <c r="S64" s="1424" t="str">
        <f ca="1">IF(COUNTIF(Data!$H$16:$H$100,CONCATENATE(Data_3!$B64,"_",Data_3!S$11))=1,S$11,"")</f>
        <v/>
      </c>
      <c r="T64" s="1424" t="str">
        <f ca="1">IF(COUNTIF(Data!$H$16:$H$100,CONCATENATE(Data_3!$B64,"_",Data_3!T$11))=1,T$11,"")</f>
        <v/>
      </c>
      <c r="U64" s="1424" t="str">
        <f ca="1">IF(COUNTIF(Data!$H$16:$H$100,CONCATENATE(Data_3!$B64,"_",Data_3!U$11))=1,U$11,"")</f>
        <v/>
      </c>
      <c r="V64" s="1424" t="str">
        <f ca="1">IF(COUNTIF(Data!$H$16:$H$100,CONCATENATE(Data_3!$B64,"_",Data_3!V$11))=1,V$11,"")</f>
        <v/>
      </c>
      <c r="W64" s="1424" t="str">
        <f ca="1">IF(COUNTIF(Data!$H$16:$H$100,CONCATENATE(Data_3!$B64,"_",Data_3!W$11))=1,W$11,"")</f>
        <v/>
      </c>
      <c r="X64" s="1424" t="str">
        <f ca="1">IF(COUNTIF(Data!$H$16:$H$100,CONCATENATE(Data_3!$B64,"_",Data_3!X$11))=1,X$11,"")</f>
        <v/>
      </c>
      <c r="Y64" s="1424" t="str">
        <f ca="1">IF(COUNTIF(Data!$H$16:$H$100,CONCATENATE(Data_3!$B64,"_",Data_3!Y$11))=1,Y$11,"")</f>
        <v/>
      </c>
      <c r="Z64" s="15"/>
      <c r="AA64" s="15"/>
      <c r="AB64" s="15"/>
      <c r="AC64" s="15"/>
      <c r="AD64" s="15"/>
      <c r="AE64" s="15"/>
      <c r="AF64" s="15"/>
      <c r="AG64" s="15"/>
      <c r="AH64" s="15"/>
      <c r="AI64" s="15"/>
      <c r="AJ64" s="15"/>
      <c r="AK64" s="15"/>
      <c r="AL64" s="15"/>
      <c r="AM64" s="15"/>
      <c r="AN64" s="15"/>
      <c r="AO64" s="15"/>
      <c r="AP64" s="15"/>
      <c r="AQ64" s="15"/>
      <c r="AR64" s="15"/>
      <c r="AS64" s="15"/>
      <c r="AT64" s="15"/>
      <c r="AU64" s="15"/>
      <c r="AV64" s="15"/>
      <c r="AW64" s="15"/>
      <c r="AX64" s="15"/>
      <c r="AY64" s="15"/>
      <c r="AZ64" s="15"/>
      <c r="BA64" s="15"/>
      <c r="BB64" s="15"/>
      <c r="BC64" s="15"/>
      <c r="BD64" s="15"/>
      <c r="BE64" s="15"/>
      <c r="BF64" s="15"/>
      <c r="BG64" s="15"/>
      <c r="BH64" s="15"/>
      <c r="BI64" s="15"/>
      <c r="BJ64" s="15"/>
      <c r="BK64" s="15"/>
      <c r="BL64" s="15"/>
      <c r="BM64" s="15"/>
      <c r="BN64" s="15"/>
      <c r="BO64" s="15"/>
      <c r="BP64" s="15"/>
      <c r="BQ64" s="15"/>
      <c r="BR64" s="15"/>
      <c r="BS64" s="15"/>
      <c r="BT64" s="15"/>
      <c r="BU64" s="15"/>
      <c r="BV64" s="15"/>
      <c r="BW64" s="15"/>
      <c r="BX64" s="15"/>
      <c r="BY64" s="15"/>
      <c r="BZ64" s="15"/>
      <c r="CA64" s="15"/>
      <c r="CB64" s="15"/>
      <c r="CC64" s="15"/>
      <c r="CD64" s="15"/>
      <c r="CE64" s="15"/>
      <c r="CF64" s="15"/>
      <c r="CG64" s="15"/>
      <c r="CH64" s="15"/>
      <c r="CI64" s="15"/>
      <c r="CJ64" s="15"/>
      <c r="CK64" s="15"/>
      <c r="CL64" s="15"/>
      <c r="CM64" s="15"/>
      <c r="CN64" s="15"/>
      <c r="CO64" s="15"/>
      <c r="CP64" s="15"/>
      <c r="CQ64" s="15"/>
      <c r="CR64" s="15"/>
      <c r="CS64" s="15"/>
      <c r="CT64" s="15"/>
      <c r="CU64" s="15"/>
      <c r="CV64" s="15"/>
      <c r="CW64" s="15"/>
      <c r="CX64" s="15"/>
      <c r="CY64" s="15"/>
      <c r="CZ64" s="15"/>
      <c r="DA64" s="15"/>
      <c r="DB64" s="15"/>
      <c r="DC64" s="15"/>
      <c r="DD64" s="15"/>
      <c r="DE64" s="15"/>
      <c r="DF64" s="15"/>
      <c r="DG64" s="15"/>
      <c r="DH64" s="15"/>
      <c r="DI64" s="15"/>
      <c r="DJ64" s="15"/>
      <c r="DK64" s="15"/>
      <c r="DL64" s="15"/>
      <c r="DM64" s="15"/>
      <c r="DN64" s="15"/>
      <c r="DO64" s="15"/>
      <c r="DP64" s="15"/>
      <c r="DQ64" s="15"/>
      <c r="DR64" s="15"/>
      <c r="DS64" s="15"/>
      <c r="DT64" s="15"/>
      <c r="DU64" s="15"/>
      <c r="DV64" s="15"/>
      <c r="DW64" s="15"/>
      <c r="DX64" s="15"/>
      <c r="DY64" s="15"/>
      <c r="DZ64" s="15"/>
      <c r="EA64" s="15"/>
      <c r="EB64" s="15"/>
      <c r="EC64" s="15"/>
      <c r="ED64" s="15"/>
      <c r="EE64" s="15"/>
      <c r="EF64" s="15"/>
      <c r="EG64" s="15"/>
      <c r="EH64" s="15"/>
    </row>
    <row r="65" spans="1:138" s="34" customFormat="1" ht="15" customHeight="1">
      <c r="A65" s="642"/>
      <c r="B65" s="1455" t="str">
        <f t="array" aca="1" ref="B65" ca="1">IFERROR(INDEX(Data!$B$16:$B$96,MATCH(0,COUNTIF($B$12:B64,Data!$B$16:$B$96),0)),"")</f>
        <v/>
      </c>
      <c r="C65" s="1345">
        <v>53</v>
      </c>
      <c r="D65" s="1424" t="s">
        <v>182</v>
      </c>
      <c r="E65" s="1424" t="str">
        <f ca="1">IF(COUNTIF(Data!$H$16:$H$100,CONCATENATE(Data_3!$B65,"_",Data_3!E$11))=1,E$11,"")</f>
        <v/>
      </c>
      <c r="F65" s="1424" t="str">
        <f ca="1">IF(COUNTIF(Data!$H$16:$H$100,CONCATENATE(Data_3!$B65,"_",Data_3!F$11))=1,F$11,"")</f>
        <v/>
      </c>
      <c r="G65" s="1424" t="str">
        <f ca="1">IF(COUNTIF(Data!$H$16:$H$100,CONCATENATE(Data_3!$B65,"_",Data_3!G$11))=1,G$11,"")</f>
        <v/>
      </c>
      <c r="H65" s="1424" t="str">
        <f ca="1">IF(COUNTIF(Data!$H$16:$H$100,CONCATENATE(Data_3!$B65,"_",Data_3!H$11))=1,H$11,"")</f>
        <v/>
      </c>
      <c r="I65" s="1424" t="str">
        <f ca="1">IF(COUNTIF(Data!$H$16:$H$100,CONCATENATE(Data_3!$B65,"_",Data_3!I$11))=1,I$11,"")</f>
        <v/>
      </c>
      <c r="J65" s="1424" t="str">
        <f ca="1">IF(COUNTIF(Data!$H$16:$H$100,CONCATENATE(Data_3!$B65,"_",Data_3!J$11))=1,J$11,"")</f>
        <v/>
      </c>
      <c r="K65" s="1424" t="str">
        <f ca="1">IF(COUNTIF(Data!$H$16:$H$100,CONCATENATE(Data_3!$B65,"_",Data_3!K$11))=1,K$11,"")</f>
        <v/>
      </c>
      <c r="L65" s="1424" t="str">
        <f ca="1">IF(COUNTIF(Data!$H$16:$H$100,CONCATENATE(Data_3!$B65,"_",Data_3!L$11))=1,L$11,"")</f>
        <v/>
      </c>
      <c r="M65" s="1424" t="str">
        <f ca="1">IF(COUNTIF(Data!$H$16:$H$100,CONCATENATE(Data_3!$B65,"_",Data_3!M$11))=1,M$11,"")</f>
        <v/>
      </c>
      <c r="N65" s="1424" t="str">
        <f ca="1">IF(COUNTIF(Data!$H$16:$H$100,CONCATENATE(Data_3!$B65,"_",Data_3!N$11))=1,N$11,"")</f>
        <v/>
      </c>
      <c r="O65" s="1424" t="str">
        <f ca="1">IF(COUNTIF(Data!$H$16:$H$100,CONCATENATE(Data_3!$B65,"_",Data_3!O$11))=1,O$11,"")</f>
        <v/>
      </c>
      <c r="P65" s="1424" t="str">
        <f ca="1">IF(COUNTIF(Data!$H$16:$H$100,CONCATENATE(Data_3!$B65,"_",Data_3!P$11))=1,P$11,"")</f>
        <v/>
      </c>
      <c r="Q65" s="1424" t="str">
        <f ca="1">IF(COUNTIF(Data!$H$16:$H$100,CONCATENATE(Data_3!$B65,"_",Data_3!Q$11))=1,Q$11,"")</f>
        <v/>
      </c>
      <c r="R65" s="1424" t="str">
        <f ca="1">IF(COUNTIF(Data!$H$16:$H$100,CONCATENATE(Data_3!$B65,"_",Data_3!R$11))=1,R$11,"")</f>
        <v/>
      </c>
      <c r="S65" s="1424" t="str">
        <f ca="1">IF(COUNTIF(Data!$H$16:$H$100,CONCATENATE(Data_3!$B65,"_",Data_3!S$11))=1,S$11,"")</f>
        <v/>
      </c>
      <c r="T65" s="1424" t="str">
        <f ca="1">IF(COUNTIF(Data!$H$16:$H$100,CONCATENATE(Data_3!$B65,"_",Data_3!T$11))=1,T$11,"")</f>
        <v/>
      </c>
      <c r="U65" s="1424" t="str">
        <f ca="1">IF(COUNTIF(Data!$H$16:$H$100,CONCATENATE(Data_3!$B65,"_",Data_3!U$11))=1,U$11,"")</f>
        <v/>
      </c>
      <c r="V65" s="1424" t="str">
        <f ca="1">IF(COUNTIF(Data!$H$16:$H$100,CONCATENATE(Data_3!$B65,"_",Data_3!V$11))=1,V$11,"")</f>
        <v/>
      </c>
      <c r="W65" s="1424" t="str">
        <f ca="1">IF(COUNTIF(Data!$H$16:$H$100,CONCATENATE(Data_3!$B65,"_",Data_3!W$11))=1,W$11,"")</f>
        <v/>
      </c>
      <c r="X65" s="1424" t="str">
        <f ca="1">IF(COUNTIF(Data!$H$16:$H$100,CONCATENATE(Data_3!$B65,"_",Data_3!X$11))=1,X$11,"")</f>
        <v/>
      </c>
      <c r="Y65" s="1424" t="str">
        <f ca="1">IF(COUNTIF(Data!$H$16:$H$100,CONCATENATE(Data_3!$B65,"_",Data_3!Y$11))=1,Y$11,"")</f>
        <v/>
      </c>
      <c r="Z65" s="15"/>
      <c r="AA65" s="15"/>
      <c r="AB65" s="15"/>
      <c r="AC65" s="15"/>
      <c r="AD65" s="15"/>
      <c r="AE65" s="15"/>
      <c r="AF65" s="15"/>
      <c r="AG65" s="15"/>
      <c r="AH65" s="15"/>
      <c r="AI65" s="15"/>
      <c r="AJ65" s="15"/>
      <c r="AK65" s="15"/>
      <c r="AL65" s="15"/>
      <c r="AM65" s="15"/>
      <c r="AN65" s="15"/>
      <c r="AO65" s="15"/>
      <c r="AP65" s="15"/>
      <c r="AQ65" s="15"/>
      <c r="AR65" s="15"/>
      <c r="AS65" s="15"/>
      <c r="AT65" s="15"/>
      <c r="AU65" s="15"/>
      <c r="AV65" s="15"/>
      <c r="AW65" s="15"/>
      <c r="AX65" s="15"/>
      <c r="AY65" s="15"/>
      <c r="AZ65" s="15"/>
      <c r="BA65" s="15"/>
      <c r="BB65" s="15"/>
      <c r="BC65" s="15"/>
      <c r="BD65" s="15"/>
      <c r="BE65" s="15"/>
      <c r="BF65" s="15"/>
      <c r="BG65" s="15"/>
      <c r="BH65" s="15"/>
      <c r="BI65" s="15"/>
      <c r="BJ65" s="15"/>
      <c r="BK65" s="15"/>
      <c r="BL65" s="15"/>
      <c r="BM65" s="15"/>
      <c r="BN65" s="15"/>
      <c r="BO65" s="15"/>
      <c r="BP65" s="15"/>
      <c r="BQ65" s="15"/>
      <c r="BR65" s="15"/>
      <c r="BS65" s="15"/>
      <c r="BT65" s="15"/>
      <c r="BU65" s="15"/>
      <c r="BV65" s="15"/>
      <c r="BW65" s="15"/>
      <c r="BX65" s="15"/>
      <c r="BY65" s="15"/>
      <c r="BZ65" s="15"/>
      <c r="CA65" s="15"/>
      <c r="CB65" s="15"/>
      <c r="CC65" s="15"/>
      <c r="CD65" s="15"/>
      <c r="CE65" s="15"/>
      <c r="CF65" s="15"/>
      <c r="CG65" s="15"/>
      <c r="CH65" s="15"/>
      <c r="CI65" s="15"/>
      <c r="CJ65" s="15"/>
      <c r="CK65" s="15"/>
      <c r="CL65" s="15"/>
      <c r="CM65" s="15"/>
      <c r="CN65" s="15"/>
      <c r="CO65" s="15"/>
      <c r="CP65" s="15"/>
      <c r="CQ65" s="15"/>
      <c r="CR65" s="15"/>
      <c r="CS65" s="15"/>
      <c r="CT65" s="15"/>
      <c r="CU65" s="15"/>
      <c r="CV65" s="15"/>
      <c r="CW65" s="15"/>
      <c r="CX65" s="15"/>
      <c r="CY65" s="15"/>
      <c r="CZ65" s="15"/>
      <c r="DA65" s="15"/>
      <c r="DB65" s="15"/>
      <c r="DC65" s="15"/>
      <c r="DD65" s="15"/>
      <c r="DE65" s="15"/>
      <c r="DF65" s="15"/>
      <c r="DG65" s="15"/>
      <c r="DH65" s="15"/>
      <c r="DI65" s="15"/>
      <c r="DJ65" s="15"/>
      <c r="DK65" s="15"/>
      <c r="DL65" s="15"/>
      <c r="DM65" s="15"/>
      <c r="DN65" s="15"/>
      <c r="DO65" s="15"/>
      <c r="DP65" s="15"/>
      <c r="DQ65" s="15"/>
      <c r="DR65" s="15"/>
      <c r="DS65" s="15"/>
      <c r="DT65" s="15"/>
      <c r="DU65" s="15"/>
      <c r="DV65" s="15"/>
      <c r="DW65" s="15"/>
      <c r="DX65" s="15"/>
      <c r="DY65" s="15"/>
      <c r="DZ65" s="15"/>
      <c r="EA65" s="15"/>
      <c r="EB65" s="15"/>
      <c r="EC65" s="15"/>
      <c r="ED65" s="15"/>
      <c r="EE65" s="15"/>
      <c r="EF65" s="15"/>
      <c r="EG65" s="15"/>
      <c r="EH65" s="15"/>
    </row>
    <row r="66" spans="1:138" s="34" customFormat="1" ht="15" customHeight="1">
      <c r="A66" s="642"/>
      <c r="B66" s="1455" t="str">
        <f t="array" aca="1" ref="B66" ca="1">IFERROR(INDEX(Data!$B$16:$B$96,MATCH(0,COUNTIF($B$12:B65,Data!$B$16:$B$96),0)),"")</f>
        <v/>
      </c>
      <c r="C66" s="1345">
        <v>54</v>
      </c>
      <c r="D66" s="1424" t="s">
        <v>182</v>
      </c>
      <c r="E66" s="1424" t="str">
        <f ca="1">IF(COUNTIF(Data!$H$16:$H$100,CONCATENATE(Data_3!$B66,"_",Data_3!E$11))=1,E$11,"")</f>
        <v/>
      </c>
      <c r="F66" s="1424" t="str">
        <f ca="1">IF(COUNTIF(Data!$H$16:$H$100,CONCATENATE(Data_3!$B66,"_",Data_3!F$11))=1,F$11,"")</f>
        <v/>
      </c>
      <c r="G66" s="1424" t="str">
        <f ca="1">IF(COUNTIF(Data!$H$16:$H$100,CONCATENATE(Data_3!$B66,"_",Data_3!G$11))=1,G$11,"")</f>
        <v/>
      </c>
      <c r="H66" s="1424" t="str">
        <f ca="1">IF(COUNTIF(Data!$H$16:$H$100,CONCATENATE(Data_3!$B66,"_",Data_3!H$11))=1,H$11,"")</f>
        <v/>
      </c>
      <c r="I66" s="1424" t="str">
        <f ca="1">IF(COUNTIF(Data!$H$16:$H$100,CONCATENATE(Data_3!$B66,"_",Data_3!I$11))=1,I$11,"")</f>
        <v/>
      </c>
      <c r="J66" s="1424" t="str">
        <f ca="1">IF(COUNTIF(Data!$H$16:$H$100,CONCATENATE(Data_3!$B66,"_",Data_3!J$11))=1,J$11,"")</f>
        <v/>
      </c>
      <c r="K66" s="1424" t="str">
        <f ca="1">IF(COUNTIF(Data!$H$16:$H$100,CONCATENATE(Data_3!$B66,"_",Data_3!K$11))=1,K$11,"")</f>
        <v/>
      </c>
      <c r="L66" s="1424" t="str">
        <f ca="1">IF(COUNTIF(Data!$H$16:$H$100,CONCATENATE(Data_3!$B66,"_",Data_3!L$11))=1,L$11,"")</f>
        <v/>
      </c>
      <c r="M66" s="1424" t="str">
        <f ca="1">IF(COUNTIF(Data!$H$16:$H$100,CONCATENATE(Data_3!$B66,"_",Data_3!M$11))=1,M$11,"")</f>
        <v/>
      </c>
      <c r="N66" s="1424" t="str">
        <f ca="1">IF(COUNTIF(Data!$H$16:$H$100,CONCATENATE(Data_3!$B66,"_",Data_3!N$11))=1,N$11,"")</f>
        <v/>
      </c>
      <c r="O66" s="1424" t="str">
        <f ca="1">IF(COUNTIF(Data!$H$16:$H$100,CONCATENATE(Data_3!$B66,"_",Data_3!O$11))=1,O$11,"")</f>
        <v/>
      </c>
      <c r="P66" s="1424" t="str">
        <f ca="1">IF(COUNTIF(Data!$H$16:$H$100,CONCATENATE(Data_3!$B66,"_",Data_3!P$11))=1,P$11,"")</f>
        <v/>
      </c>
      <c r="Q66" s="1424" t="str">
        <f ca="1">IF(COUNTIF(Data!$H$16:$H$100,CONCATENATE(Data_3!$B66,"_",Data_3!Q$11))=1,Q$11,"")</f>
        <v/>
      </c>
      <c r="R66" s="1424" t="str">
        <f ca="1">IF(COUNTIF(Data!$H$16:$H$100,CONCATENATE(Data_3!$B66,"_",Data_3!R$11))=1,R$11,"")</f>
        <v/>
      </c>
      <c r="S66" s="1424" t="str">
        <f ca="1">IF(COUNTIF(Data!$H$16:$H$100,CONCATENATE(Data_3!$B66,"_",Data_3!S$11))=1,S$11,"")</f>
        <v/>
      </c>
      <c r="T66" s="1424" t="str">
        <f ca="1">IF(COUNTIF(Data!$H$16:$H$100,CONCATENATE(Data_3!$B66,"_",Data_3!T$11))=1,T$11,"")</f>
        <v/>
      </c>
      <c r="U66" s="1424" t="str">
        <f ca="1">IF(COUNTIF(Data!$H$16:$H$100,CONCATENATE(Data_3!$B66,"_",Data_3!U$11))=1,U$11,"")</f>
        <v/>
      </c>
      <c r="V66" s="1424" t="str">
        <f ca="1">IF(COUNTIF(Data!$H$16:$H$100,CONCATENATE(Data_3!$B66,"_",Data_3!V$11))=1,V$11,"")</f>
        <v/>
      </c>
      <c r="W66" s="1424" t="str">
        <f ca="1">IF(COUNTIF(Data!$H$16:$H$100,CONCATENATE(Data_3!$B66,"_",Data_3!W$11))=1,W$11,"")</f>
        <v/>
      </c>
      <c r="X66" s="1424" t="str">
        <f ca="1">IF(COUNTIF(Data!$H$16:$H$100,CONCATENATE(Data_3!$B66,"_",Data_3!X$11))=1,X$11,"")</f>
        <v/>
      </c>
      <c r="Y66" s="1424" t="str">
        <f ca="1">IF(COUNTIF(Data!$H$16:$H$100,CONCATENATE(Data_3!$B66,"_",Data_3!Y$11))=1,Y$11,"")</f>
        <v/>
      </c>
      <c r="Z66" s="15"/>
      <c r="AA66" s="15"/>
      <c r="AB66" s="15"/>
      <c r="AC66" s="15"/>
      <c r="AD66" s="15"/>
      <c r="AE66" s="15"/>
      <c r="AF66" s="15"/>
      <c r="AG66" s="15"/>
      <c r="AH66" s="15"/>
      <c r="AI66" s="15"/>
      <c r="AJ66" s="15"/>
      <c r="AK66" s="15"/>
      <c r="AL66" s="15"/>
      <c r="AM66" s="15"/>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BN66" s="15"/>
      <c r="BO66" s="15"/>
      <c r="BP66" s="15"/>
      <c r="BQ66" s="15"/>
      <c r="BR66" s="15"/>
      <c r="BS66" s="15"/>
      <c r="BT66" s="15"/>
      <c r="BU66" s="15"/>
      <c r="BV66" s="15"/>
      <c r="BW66" s="15"/>
      <c r="BX66" s="15"/>
      <c r="BY66" s="15"/>
      <c r="BZ66" s="15"/>
      <c r="CA66" s="15"/>
      <c r="CB66" s="15"/>
      <c r="CC66" s="15"/>
      <c r="CD66" s="15"/>
      <c r="CE66" s="15"/>
      <c r="CF66" s="15"/>
      <c r="CG66" s="15"/>
      <c r="CH66" s="15"/>
      <c r="CI66" s="15"/>
      <c r="CJ66" s="15"/>
      <c r="CK66" s="15"/>
      <c r="CL66" s="15"/>
      <c r="CM66" s="15"/>
      <c r="CN66" s="15"/>
      <c r="CO66" s="15"/>
      <c r="CP66" s="15"/>
      <c r="CQ66" s="15"/>
      <c r="CR66" s="15"/>
      <c r="CS66" s="15"/>
      <c r="CT66" s="15"/>
      <c r="CU66" s="15"/>
      <c r="CV66" s="15"/>
      <c r="CW66" s="15"/>
      <c r="CX66" s="15"/>
      <c r="CY66" s="15"/>
      <c r="CZ66" s="15"/>
      <c r="DA66" s="15"/>
      <c r="DB66" s="15"/>
      <c r="DC66" s="15"/>
      <c r="DD66" s="15"/>
      <c r="DE66" s="15"/>
      <c r="DF66" s="15"/>
      <c r="DG66" s="15"/>
      <c r="DH66" s="15"/>
      <c r="DI66" s="15"/>
      <c r="DJ66" s="15"/>
      <c r="DK66" s="15"/>
      <c r="DL66" s="15"/>
      <c r="DM66" s="15"/>
      <c r="DN66" s="15"/>
      <c r="DO66" s="15"/>
      <c r="DP66" s="15"/>
      <c r="DQ66" s="15"/>
      <c r="DR66" s="15"/>
      <c r="DS66" s="15"/>
      <c r="DT66" s="15"/>
      <c r="DU66" s="15"/>
      <c r="DV66" s="15"/>
      <c r="DW66" s="15"/>
      <c r="DX66" s="15"/>
      <c r="DY66" s="15"/>
      <c r="DZ66" s="15"/>
      <c r="EA66" s="15"/>
      <c r="EB66" s="15"/>
      <c r="EC66" s="15"/>
      <c r="ED66" s="15"/>
      <c r="EE66" s="15"/>
      <c r="EF66" s="15"/>
      <c r="EG66" s="15"/>
      <c r="EH66" s="15"/>
    </row>
    <row r="67" spans="1:138" s="34" customFormat="1" ht="15" customHeight="1">
      <c r="A67" s="642"/>
      <c r="B67" s="1455" t="str">
        <f t="array" aca="1" ref="B67" ca="1">IFERROR(INDEX(Data!$B$16:$B$96,MATCH(0,COUNTIF($B$12:B66,Data!$B$16:$B$96),0)),"")</f>
        <v/>
      </c>
      <c r="C67" s="1345">
        <v>55</v>
      </c>
      <c r="D67" s="1424" t="s">
        <v>182</v>
      </c>
      <c r="E67" s="1424" t="str">
        <f ca="1">IF(COUNTIF(Data!$H$16:$H$100,CONCATENATE(Data_3!$B67,"_",Data_3!E$11))=1,E$11,"")</f>
        <v/>
      </c>
      <c r="F67" s="1424" t="str">
        <f ca="1">IF(COUNTIF(Data!$H$16:$H$100,CONCATENATE(Data_3!$B67,"_",Data_3!F$11))=1,F$11,"")</f>
        <v/>
      </c>
      <c r="G67" s="1424" t="str">
        <f ca="1">IF(COUNTIF(Data!$H$16:$H$100,CONCATENATE(Data_3!$B67,"_",Data_3!G$11))=1,G$11,"")</f>
        <v/>
      </c>
      <c r="H67" s="1424" t="str">
        <f ca="1">IF(COUNTIF(Data!$H$16:$H$100,CONCATENATE(Data_3!$B67,"_",Data_3!H$11))=1,H$11,"")</f>
        <v/>
      </c>
      <c r="I67" s="1424" t="str">
        <f ca="1">IF(COUNTIF(Data!$H$16:$H$100,CONCATENATE(Data_3!$B67,"_",Data_3!I$11))=1,I$11,"")</f>
        <v/>
      </c>
      <c r="J67" s="1424" t="str">
        <f ca="1">IF(COUNTIF(Data!$H$16:$H$100,CONCATENATE(Data_3!$B67,"_",Data_3!J$11))=1,J$11,"")</f>
        <v/>
      </c>
      <c r="K67" s="1424" t="str">
        <f ca="1">IF(COUNTIF(Data!$H$16:$H$100,CONCATENATE(Data_3!$B67,"_",Data_3!K$11))=1,K$11,"")</f>
        <v/>
      </c>
      <c r="L67" s="1424" t="str">
        <f ca="1">IF(COUNTIF(Data!$H$16:$H$100,CONCATENATE(Data_3!$B67,"_",Data_3!L$11))=1,L$11,"")</f>
        <v/>
      </c>
      <c r="M67" s="1424" t="str">
        <f ca="1">IF(COUNTIF(Data!$H$16:$H$100,CONCATENATE(Data_3!$B67,"_",Data_3!M$11))=1,M$11,"")</f>
        <v/>
      </c>
      <c r="N67" s="1424" t="str">
        <f ca="1">IF(COUNTIF(Data!$H$16:$H$100,CONCATENATE(Data_3!$B67,"_",Data_3!N$11))=1,N$11,"")</f>
        <v/>
      </c>
      <c r="O67" s="1424" t="str">
        <f ca="1">IF(COUNTIF(Data!$H$16:$H$100,CONCATENATE(Data_3!$B67,"_",Data_3!O$11))=1,O$11,"")</f>
        <v/>
      </c>
      <c r="P67" s="1424" t="str">
        <f ca="1">IF(COUNTIF(Data!$H$16:$H$100,CONCATENATE(Data_3!$B67,"_",Data_3!P$11))=1,P$11,"")</f>
        <v/>
      </c>
      <c r="Q67" s="1424" t="str">
        <f ca="1">IF(COUNTIF(Data!$H$16:$H$100,CONCATENATE(Data_3!$B67,"_",Data_3!Q$11))=1,Q$11,"")</f>
        <v/>
      </c>
      <c r="R67" s="1424" t="str">
        <f ca="1">IF(COUNTIF(Data!$H$16:$H$100,CONCATENATE(Data_3!$B67,"_",Data_3!R$11))=1,R$11,"")</f>
        <v/>
      </c>
      <c r="S67" s="1424" t="str">
        <f ca="1">IF(COUNTIF(Data!$H$16:$H$100,CONCATENATE(Data_3!$B67,"_",Data_3!S$11))=1,S$11,"")</f>
        <v/>
      </c>
      <c r="T67" s="1424" t="str">
        <f ca="1">IF(COUNTIF(Data!$H$16:$H$100,CONCATENATE(Data_3!$B67,"_",Data_3!T$11))=1,T$11,"")</f>
        <v/>
      </c>
      <c r="U67" s="1424" t="str">
        <f ca="1">IF(COUNTIF(Data!$H$16:$H$100,CONCATENATE(Data_3!$B67,"_",Data_3!U$11))=1,U$11,"")</f>
        <v/>
      </c>
      <c r="V67" s="1424" t="str">
        <f ca="1">IF(COUNTIF(Data!$H$16:$H$100,CONCATENATE(Data_3!$B67,"_",Data_3!V$11))=1,V$11,"")</f>
        <v/>
      </c>
      <c r="W67" s="1424" t="str">
        <f ca="1">IF(COUNTIF(Data!$H$16:$H$100,CONCATENATE(Data_3!$B67,"_",Data_3!W$11))=1,W$11,"")</f>
        <v/>
      </c>
      <c r="X67" s="1424" t="str">
        <f ca="1">IF(COUNTIF(Data!$H$16:$H$100,CONCATENATE(Data_3!$B67,"_",Data_3!X$11))=1,X$11,"")</f>
        <v/>
      </c>
      <c r="Y67" s="1424" t="str">
        <f ca="1">IF(COUNTIF(Data!$H$16:$H$100,CONCATENATE(Data_3!$B67,"_",Data_3!Y$11))=1,Y$11,"")</f>
        <v/>
      </c>
      <c r="Z67" s="15"/>
      <c r="AA67" s="15"/>
      <c r="AB67" s="15"/>
      <c r="AC67" s="15"/>
      <c r="AD67" s="15"/>
      <c r="AE67" s="15"/>
      <c r="AF67" s="15"/>
      <c r="AG67" s="15"/>
      <c r="AH67" s="15"/>
      <c r="AI67" s="15"/>
      <c r="AJ67" s="15"/>
      <c r="AK67" s="15"/>
      <c r="AL67" s="15"/>
      <c r="AM67" s="15"/>
      <c r="AN67" s="15"/>
      <c r="AO67" s="15"/>
      <c r="AP67" s="15"/>
      <c r="AQ67" s="15"/>
      <c r="AR67" s="15"/>
      <c r="AS67" s="15"/>
      <c r="AT67" s="15"/>
      <c r="AU67" s="15"/>
      <c r="AV67" s="15"/>
      <c r="AW67" s="15"/>
      <c r="AX67" s="15"/>
      <c r="AY67" s="15"/>
      <c r="AZ67" s="15"/>
      <c r="BA67" s="15"/>
      <c r="BB67" s="15"/>
      <c r="BC67" s="15"/>
      <c r="BD67" s="15"/>
      <c r="BE67" s="15"/>
      <c r="BF67" s="15"/>
      <c r="BG67" s="15"/>
      <c r="BH67" s="15"/>
      <c r="BI67" s="15"/>
      <c r="BJ67" s="15"/>
      <c r="BK67" s="15"/>
      <c r="BL67" s="15"/>
      <c r="BM67" s="15"/>
      <c r="BN67" s="15"/>
      <c r="BO67" s="15"/>
      <c r="BP67" s="15"/>
      <c r="BQ67" s="15"/>
      <c r="BR67" s="15"/>
      <c r="BS67" s="15"/>
      <c r="BT67" s="15"/>
      <c r="BU67" s="15"/>
      <c r="BV67" s="15"/>
      <c r="BW67" s="15"/>
      <c r="BX67" s="15"/>
      <c r="BY67" s="15"/>
      <c r="BZ67" s="15"/>
      <c r="CA67" s="15"/>
      <c r="CB67" s="15"/>
      <c r="CC67" s="15"/>
      <c r="CD67" s="15"/>
      <c r="CE67" s="15"/>
      <c r="CF67" s="15"/>
      <c r="CG67" s="15"/>
      <c r="CH67" s="15"/>
      <c r="CI67" s="15"/>
      <c r="CJ67" s="15"/>
      <c r="CK67" s="15"/>
      <c r="CL67" s="15"/>
      <c r="CM67" s="15"/>
      <c r="CN67" s="15"/>
      <c r="CO67" s="15"/>
      <c r="CP67" s="15"/>
      <c r="CQ67" s="15"/>
      <c r="CR67" s="15"/>
      <c r="CS67" s="15"/>
      <c r="CT67" s="15"/>
      <c r="CU67" s="15"/>
      <c r="CV67" s="15"/>
      <c r="CW67" s="15"/>
      <c r="CX67" s="15"/>
      <c r="CY67" s="15"/>
      <c r="CZ67" s="15"/>
      <c r="DA67" s="15"/>
      <c r="DB67" s="15"/>
      <c r="DC67" s="15"/>
      <c r="DD67" s="15"/>
      <c r="DE67" s="15"/>
      <c r="DF67" s="15"/>
      <c r="DG67" s="15"/>
      <c r="DH67" s="15"/>
      <c r="DI67" s="15"/>
      <c r="DJ67" s="15"/>
      <c r="DK67" s="15"/>
      <c r="DL67" s="15"/>
      <c r="DM67" s="15"/>
      <c r="DN67" s="15"/>
      <c r="DO67" s="15"/>
      <c r="DP67" s="15"/>
      <c r="DQ67" s="15"/>
      <c r="DR67" s="15"/>
      <c r="DS67" s="15"/>
      <c r="DT67" s="15"/>
      <c r="DU67" s="15"/>
      <c r="DV67" s="15"/>
      <c r="DW67" s="15"/>
      <c r="DX67" s="15"/>
      <c r="DY67" s="15"/>
      <c r="DZ67" s="15"/>
      <c r="EA67" s="15"/>
      <c r="EB67" s="15"/>
      <c r="EC67" s="15"/>
      <c r="ED67" s="15"/>
      <c r="EE67" s="15"/>
      <c r="EF67" s="15"/>
      <c r="EG67" s="15"/>
      <c r="EH67" s="15"/>
    </row>
    <row r="68" spans="1:138" s="34" customFormat="1" ht="15" customHeight="1">
      <c r="A68" s="642"/>
      <c r="B68" s="1455" t="str">
        <f t="array" aca="1" ref="B68" ca="1">IFERROR(INDEX(Data!$B$16:$B$96,MATCH(0,COUNTIF($B$12:B67,Data!$B$16:$B$96),0)),"")</f>
        <v/>
      </c>
      <c r="C68" s="1345">
        <v>56</v>
      </c>
      <c r="D68" s="1424" t="s">
        <v>182</v>
      </c>
      <c r="E68" s="1424" t="str">
        <f ca="1">IF(COUNTIF(Data!$H$16:$H$100,CONCATENATE(Data_3!$B68,"_",Data_3!E$11))=1,E$11,"")</f>
        <v/>
      </c>
      <c r="F68" s="1424" t="str">
        <f ca="1">IF(COUNTIF(Data!$H$16:$H$100,CONCATENATE(Data_3!$B68,"_",Data_3!F$11))=1,F$11,"")</f>
        <v/>
      </c>
      <c r="G68" s="1424" t="str">
        <f ca="1">IF(COUNTIF(Data!$H$16:$H$100,CONCATENATE(Data_3!$B68,"_",Data_3!G$11))=1,G$11,"")</f>
        <v/>
      </c>
      <c r="H68" s="1424" t="str">
        <f ca="1">IF(COUNTIF(Data!$H$16:$H$100,CONCATENATE(Data_3!$B68,"_",Data_3!H$11))=1,H$11,"")</f>
        <v/>
      </c>
      <c r="I68" s="1424" t="str">
        <f ca="1">IF(COUNTIF(Data!$H$16:$H$100,CONCATENATE(Data_3!$B68,"_",Data_3!I$11))=1,I$11,"")</f>
        <v/>
      </c>
      <c r="J68" s="1424" t="str">
        <f ca="1">IF(COUNTIF(Data!$H$16:$H$100,CONCATENATE(Data_3!$B68,"_",Data_3!J$11))=1,J$11,"")</f>
        <v/>
      </c>
      <c r="K68" s="1424" t="str">
        <f ca="1">IF(COUNTIF(Data!$H$16:$H$100,CONCATENATE(Data_3!$B68,"_",Data_3!K$11))=1,K$11,"")</f>
        <v/>
      </c>
      <c r="L68" s="1424" t="str">
        <f ca="1">IF(COUNTIF(Data!$H$16:$H$100,CONCATENATE(Data_3!$B68,"_",Data_3!L$11))=1,L$11,"")</f>
        <v/>
      </c>
      <c r="M68" s="1424" t="str">
        <f ca="1">IF(COUNTIF(Data!$H$16:$H$100,CONCATENATE(Data_3!$B68,"_",Data_3!M$11))=1,M$11,"")</f>
        <v/>
      </c>
      <c r="N68" s="1424" t="str">
        <f ca="1">IF(COUNTIF(Data!$H$16:$H$100,CONCATENATE(Data_3!$B68,"_",Data_3!N$11))=1,N$11,"")</f>
        <v/>
      </c>
      <c r="O68" s="1424" t="str">
        <f ca="1">IF(COUNTIF(Data!$H$16:$H$100,CONCATENATE(Data_3!$B68,"_",Data_3!O$11))=1,O$11,"")</f>
        <v/>
      </c>
      <c r="P68" s="1424" t="str">
        <f ca="1">IF(COUNTIF(Data!$H$16:$H$100,CONCATENATE(Data_3!$B68,"_",Data_3!P$11))=1,P$11,"")</f>
        <v/>
      </c>
      <c r="Q68" s="1424" t="str">
        <f ca="1">IF(COUNTIF(Data!$H$16:$H$100,CONCATENATE(Data_3!$B68,"_",Data_3!Q$11))=1,Q$11,"")</f>
        <v/>
      </c>
      <c r="R68" s="1424" t="str">
        <f ca="1">IF(COUNTIF(Data!$H$16:$H$100,CONCATENATE(Data_3!$B68,"_",Data_3!R$11))=1,R$11,"")</f>
        <v/>
      </c>
      <c r="S68" s="1424" t="str">
        <f ca="1">IF(COUNTIF(Data!$H$16:$H$100,CONCATENATE(Data_3!$B68,"_",Data_3!S$11))=1,S$11,"")</f>
        <v/>
      </c>
      <c r="T68" s="1424" t="str">
        <f ca="1">IF(COUNTIF(Data!$H$16:$H$100,CONCATENATE(Data_3!$B68,"_",Data_3!T$11))=1,T$11,"")</f>
        <v/>
      </c>
      <c r="U68" s="1424" t="str">
        <f ca="1">IF(COUNTIF(Data!$H$16:$H$100,CONCATENATE(Data_3!$B68,"_",Data_3!U$11))=1,U$11,"")</f>
        <v/>
      </c>
      <c r="V68" s="1424" t="str">
        <f ca="1">IF(COUNTIF(Data!$H$16:$H$100,CONCATENATE(Data_3!$B68,"_",Data_3!V$11))=1,V$11,"")</f>
        <v/>
      </c>
      <c r="W68" s="1424" t="str">
        <f ca="1">IF(COUNTIF(Data!$H$16:$H$100,CONCATENATE(Data_3!$B68,"_",Data_3!W$11))=1,W$11,"")</f>
        <v/>
      </c>
      <c r="X68" s="1424" t="str">
        <f ca="1">IF(COUNTIF(Data!$H$16:$H$100,CONCATENATE(Data_3!$B68,"_",Data_3!X$11))=1,X$11,"")</f>
        <v/>
      </c>
      <c r="Y68" s="1424" t="str">
        <f ca="1">IF(COUNTIF(Data!$H$16:$H$100,CONCATENATE(Data_3!$B68,"_",Data_3!Y$11))=1,Y$11,"")</f>
        <v/>
      </c>
      <c r="Z68" s="15"/>
      <c r="AA68" s="15"/>
      <c r="AB68" s="15"/>
      <c r="AC68" s="15"/>
      <c r="AD68" s="15"/>
      <c r="AE68" s="15"/>
      <c r="AF68" s="15"/>
      <c r="AG68" s="15"/>
      <c r="AH68" s="15"/>
      <c r="AI68" s="15"/>
      <c r="AJ68" s="15"/>
      <c r="AK68" s="15"/>
      <c r="AL68" s="15"/>
      <c r="AM68" s="15"/>
      <c r="AN68" s="15"/>
      <c r="AO68" s="15"/>
      <c r="AP68" s="15"/>
      <c r="AQ68" s="15"/>
      <c r="AR68" s="15"/>
      <c r="AS68" s="15"/>
      <c r="AT68" s="15"/>
      <c r="AU68" s="15"/>
      <c r="AV68" s="15"/>
      <c r="AW68" s="15"/>
      <c r="AX68" s="15"/>
      <c r="AY68" s="15"/>
      <c r="AZ68" s="15"/>
      <c r="BA68" s="15"/>
      <c r="BB68" s="15"/>
      <c r="BC68" s="15"/>
      <c r="BD68" s="15"/>
      <c r="BE68" s="15"/>
      <c r="BF68" s="15"/>
      <c r="BG68" s="15"/>
      <c r="BH68" s="15"/>
      <c r="BI68" s="15"/>
      <c r="BJ68" s="15"/>
      <c r="BK68" s="15"/>
      <c r="BL68" s="15"/>
      <c r="BM68" s="15"/>
      <c r="BN68" s="15"/>
      <c r="BO68" s="15"/>
      <c r="BP68" s="15"/>
      <c r="BQ68" s="15"/>
      <c r="BR68" s="15"/>
      <c r="BS68" s="15"/>
      <c r="BT68" s="15"/>
      <c r="BU68" s="15"/>
      <c r="BV68" s="15"/>
      <c r="BW68" s="15"/>
      <c r="BX68" s="15"/>
      <c r="BY68" s="15"/>
      <c r="BZ68" s="15"/>
      <c r="CA68" s="15"/>
      <c r="CB68" s="15"/>
      <c r="CC68" s="15"/>
      <c r="CD68" s="15"/>
      <c r="CE68" s="15"/>
      <c r="CF68" s="15"/>
      <c r="CG68" s="15"/>
      <c r="CH68" s="15"/>
      <c r="CI68" s="15"/>
      <c r="CJ68" s="15"/>
      <c r="CK68" s="15"/>
      <c r="CL68" s="15"/>
      <c r="CM68" s="15"/>
      <c r="CN68" s="15"/>
      <c r="CO68" s="15"/>
      <c r="CP68" s="15"/>
      <c r="CQ68" s="15"/>
      <c r="CR68" s="15"/>
      <c r="CS68" s="15"/>
      <c r="CT68" s="15"/>
      <c r="CU68" s="15"/>
      <c r="CV68" s="15"/>
      <c r="CW68" s="15"/>
      <c r="CX68" s="15"/>
      <c r="CY68" s="15"/>
      <c r="CZ68" s="15"/>
      <c r="DA68" s="15"/>
      <c r="DB68" s="15"/>
      <c r="DC68" s="15"/>
      <c r="DD68" s="15"/>
      <c r="DE68" s="15"/>
      <c r="DF68" s="15"/>
      <c r="DG68" s="15"/>
      <c r="DH68" s="15"/>
      <c r="DI68" s="15"/>
      <c r="DJ68" s="15"/>
      <c r="DK68" s="15"/>
      <c r="DL68" s="15"/>
      <c r="DM68" s="15"/>
      <c r="DN68" s="15"/>
      <c r="DO68" s="15"/>
      <c r="DP68" s="15"/>
      <c r="DQ68" s="15"/>
      <c r="DR68" s="15"/>
      <c r="DS68" s="15"/>
      <c r="DT68" s="15"/>
      <c r="DU68" s="15"/>
      <c r="DV68" s="15"/>
      <c r="DW68" s="15"/>
      <c r="DX68" s="15"/>
      <c r="DY68" s="15"/>
      <c r="DZ68" s="15"/>
      <c r="EA68" s="15"/>
      <c r="EB68" s="15"/>
      <c r="EC68" s="15"/>
      <c r="ED68" s="15"/>
      <c r="EE68" s="15"/>
      <c r="EF68" s="15"/>
      <c r="EG68" s="15"/>
      <c r="EH68" s="15"/>
    </row>
    <row r="69" spans="1:138" s="34" customFormat="1" ht="15" customHeight="1">
      <c r="A69" s="642"/>
      <c r="B69" s="1455" t="str">
        <f t="array" aca="1" ref="B69" ca="1">IFERROR(INDEX(Data!$B$16:$B$96,MATCH(0,COUNTIF($B$12:B68,Data!$B$16:$B$96),0)),"")</f>
        <v/>
      </c>
      <c r="C69" s="1345">
        <v>57</v>
      </c>
      <c r="D69" s="1424" t="s">
        <v>182</v>
      </c>
      <c r="E69" s="1424" t="str">
        <f ca="1">IF(COUNTIF(Data!$H$16:$H$100,CONCATENATE(Data_3!$B69,"_",Data_3!E$11))=1,E$11,"")</f>
        <v/>
      </c>
      <c r="F69" s="1424" t="str">
        <f ca="1">IF(COUNTIF(Data!$H$16:$H$100,CONCATENATE(Data_3!$B69,"_",Data_3!F$11))=1,F$11,"")</f>
        <v/>
      </c>
      <c r="G69" s="1424" t="str">
        <f ca="1">IF(COUNTIF(Data!$H$16:$H$100,CONCATENATE(Data_3!$B69,"_",Data_3!G$11))=1,G$11,"")</f>
        <v/>
      </c>
      <c r="H69" s="1424" t="str">
        <f ca="1">IF(COUNTIF(Data!$H$16:$H$100,CONCATENATE(Data_3!$B69,"_",Data_3!H$11))=1,H$11,"")</f>
        <v/>
      </c>
      <c r="I69" s="1424" t="str">
        <f ca="1">IF(COUNTIF(Data!$H$16:$H$100,CONCATENATE(Data_3!$B69,"_",Data_3!I$11))=1,I$11,"")</f>
        <v/>
      </c>
      <c r="J69" s="1424" t="str">
        <f ca="1">IF(COUNTIF(Data!$H$16:$H$100,CONCATENATE(Data_3!$B69,"_",Data_3!J$11))=1,J$11,"")</f>
        <v/>
      </c>
      <c r="K69" s="1424" t="str">
        <f ca="1">IF(COUNTIF(Data!$H$16:$H$100,CONCATENATE(Data_3!$B69,"_",Data_3!K$11))=1,K$11,"")</f>
        <v/>
      </c>
      <c r="L69" s="1424" t="str">
        <f ca="1">IF(COUNTIF(Data!$H$16:$H$100,CONCATENATE(Data_3!$B69,"_",Data_3!L$11))=1,L$11,"")</f>
        <v/>
      </c>
      <c r="M69" s="1424" t="str">
        <f ca="1">IF(COUNTIF(Data!$H$16:$H$100,CONCATENATE(Data_3!$B69,"_",Data_3!M$11))=1,M$11,"")</f>
        <v/>
      </c>
      <c r="N69" s="1424" t="str">
        <f ca="1">IF(COUNTIF(Data!$H$16:$H$100,CONCATENATE(Data_3!$B69,"_",Data_3!N$11))=1,N$11,"")</f>
        <v/>
      </c>
      <c r="O69" s="1424" t="str">
        <f ca="1">IF(COUNTIF(Data!$H$16:$H$100,CONCATENATE(Data_3!$B69,"_",Data_3!O$11))=1,O$11,"")</f>
        <v/>
      </c>
      <c r="P69" s="1424" t="str">
        <f ca="1">IF(COUNTIF(Data!$H$16:$H$100,CONCATENATE(Data_3!$B69,"_",Data_3!P$11))=1,P$11,"")</f>
        <v/>
      </c>
      <c r="Q69" s="1424" t="str">
        <f ca="1">IF(COUNTIF(Data!$H$16:$H$100,CONCATENATE(Data_3!$B69,"_",Data_3!Q$11))=1,Q$11,"")</f>
        <v/>
      </c>
      <c r="R69" s="1424" t="str">
        <f ca="1">IF(COUNTIF(Data!$H$16:$H$100,CONCATENATE(Data_3!$B69,"_",Data_3!R$11))=1,R$11,"")</f>
        <v/>
      </c>
      <c r="S69" s="1424" t="str">
        <f ca="1">IF(COUNTIF(Data!$H$16:$H$100,CONCATENATE(Data_3!$B69,"_",Data_3!S$11))=1,S$11,"")</f>
        <v/>
      </c>
      <c r="T69" s="1424" t="str">
        <f ca="1">IF(COUNTIF(Data!$H$16:$H$100,CONCATENATE(Data_3!$B69,"_",Data_3!T$11))=1,T$11,"")</f>
        <v/>
      </c>
      <c r="U69" s="1424" t="str">
        <f ca="1">IF(COUNTIF(Data!$H$16:$H$100,CONCATENATE(Data_3!$B69,"_",Data_3!U$11))=1,U$11,"")</f>
        <v/>
      </c>
      <c r="V69" s="1424" t="str">
        <f ca="1">IF(COUNTIF(Data!$H$16:$H$100,CONCATENATE(Data_3!$B69,"_",Data_3!V$11))=1,V$11,"")</f>
        <v/>
      </c>
      <c r="W69" s="1424" t="str">
        <f ca="1">IF(COUNTIF(Data!$H$16:$H$100,CONCATENATE(Data_3!$B69,"_",Data_3!W$11))=1,W$11,"")</f>
        <v/>
      </c>
      <c r="X69" s="1424" t="str">
        <f ca="1">IF(COUNTIF(Data!$H$16:$H$100,CONCATENATE(Data_3!$B69,"_",Data_3!X$11))=1,X$11,"")</f>
        <v/>
      </c>
      <c r="Y69" s="1424" t="str">
        <f ca="1">IF(COUNTIF(Data!$H$16:$H$100,CONCATENATE(Data_3!$B69,"_",Data_3!Y$11))=1,Y$11,"")</f>
        <v/>
      </c>
      <c r="Z69" s="15"/>
      <c r="AA69" s="15"/>
      <c r="AB69" s="15"/>
      <c r="AC69" s="15"/>
      <c r="AD69" s="15"/>
      <c r="AE69" s="15"/>
      <c r="AF69" s="15"/>
      <c r="AG69" s="15"/>
      <c r="AH69" s="15"/>
      <c r="AI69" s="15"/>
      <c r="AJ69" s="15"/>
      <c r="AK69" s="15"/>
      <c r="AL69" s="15"/>
      <c r="AM69" s="15"/>
      <c r="AN69" s="15"/>
      <c r="AO69" s="15"/>
      <c r="AP69" s="15"/>
      <c r="AQ69" s="15"/>
      <c r="AR69" s="15"/>
      <c r="AS69" s="15"/>
      <c r="AT69" s="15"/>
      <c r="AU69" s="15"/>
      <c r="AV69" s="15"/>
      <c r="AW69" s="15"/>
      <c r="AX69" s="15"/>
      <c r="AY69" s="15"/>
      <c r="AZ69" s="15"/>
      <c r="BA69" s="15"/>
      <c r="BB69" s="15"/>
      <c r="BC69" s="15"/>
      <c r="BD69" s="15"/>
      <c r="BE69" s="15"/>
      <c r="BF69" s="15"/>
      <c r="BG69" s="15"/>
      <c r="BH69" s="15"/>
      <c r="BI69" s="15"/>
      <c r="BJ69" s="15"/>
      <c r="BK69" s="15"/>
      <c r="BL69" s="15"/>
      <c r="BM69" s="15"/>
      <c r="BN69" s="15"/>
      <c r="BO69" s="15"/>
      <c r="BP69" s="15"/>
      <c r="BQ69" s="15"/>
      <c r="BR69" s="15"/>
      <c r="BS69" s="15"/>
      <c r="BT69" s="15"/>
      <c r="BU69" s="15"/>
      <c r="BV69" s="15"/>
      <c r="BW69" s="15"/>
      <c r="BX69" s="15"/>
      <c r="BY69" s="15"/>
      <c r="BZ69" s="15"/>
      <c r="CA69" s="15"/>
      <c r="CB69" s="15"/>
      <c r="CC69" s="15"/>
      <c r="CD69" s="15"/>
      <c r="CE69" s="15"/>
      <c r="CF69" s="15"/>
      <c r="CG69" s="15"/>
      <c r="CH69" s="15"/>
      <c r="CI69" s="15"/>
      <c r="CJ69" s="15"/>
      <c r="CK69" s="15"/>
      <c r="CL69" s="15"/>
      <c r="CM69" s="15"/>
      <c r="CN69" s="15"/>
      <c r="CO69" s="15"/>
      <c r="CP69" s="15"/>
      <c r="CQ69" s="15"/>
      <c r="CR69" s="15"/>
      <c r="CS69" s="15"/>
      <c r="CT69" s="15"/>
      <c r="CU69" s="15"/>
      <c r="CV69" s="15"/>
      <c r="CW69" s="15"/>
      <c r="CX69" s="15"/>
      <c r="CY69" s="15"/>
      <c r="CZ69" s="15"/>
      <c r="DA69" s="15"/>
      <c r="DB69" s="15"/>
      <c r="DC69" s="15"/>
      <c r="DD69" s="15"/>
      <c r="DE69" s="15"/>
      <c r="DF69" s="15"/>
      <c r="DG69" s="15"/>
      <c r="DH69" s="15"/>
      <c r="DI69" s="15"/>
      <c r="DJ69" s="15"/>
      <c r="DK69" s="15"/>
      <c r="DL69" s="15"/>
      <c r="DM69" s="15"/>
      <c r="DN69" s="15"/>
      <c r="DO69" s="15"/>
      <c r="DP69" s="15"/>
      <c r="DQ69" s="15"/>
      <c r="DR69" s="15"/>
      <c r="DS69" s="15"/>
      <c r="DT69" s="15"/>
      <c r="DU69" s="15"/>
      <c r="DV69" s="15"/>
      <c r="DW69" s="15"/>
      <c r="DX69" s="15"/>
      <c r="DY69" s="15"/>
      <c r="DZ69" s="15"/>
      <c r="EA69" s="15"/>
      <c r="EB69" s="15"/>
      <c r="EC69" s="15"/>
      <c r="ED69" s="15"/>
      <c r="EE69" s="15"/>
      <c r="EF69" s="15"/>
      <c r="EG69" s="15"/>
      <c r="EH69" s="15"/>
    </row>
    <row r="70" spans="1:138" s="34" customFormat="1" ht="15" customHeight="1">
      <c r="A70" s="642"/>
      <c r="B70" s="1455" t="str">
        <f t="array" aca="1" ref="B70" ca="1">IFERROR(INDEX(Data!$B$16:$B$96,MATCH(0,COUNTIF($B$12:B69,Data!$B$16:$B$96),0)),"")</f>
        <v/>
      </c>
      <c r="C70" s="1345">
        <v>58</v>
      </c>
      <c r="D70" s="1424" t="s">
        <v>182</v>
      </c>
      <c r="E70" s="1424" t="str">
        <f ca="1">IF(COUNTIF(Data!$H$16:$H$100,CONCATENATE(Data_3!$B70,"_",Data_3!E$11))=1,E$11,"")</f>
        <v/>
      </c>
      <c r="F70" s="1424" t="str">
        <f ca="1">IF(COUNTIF(Data!$H$16:$H$100,CONCATENATE(Data_3!$B70,"_",Data_3!F$11))=1,F$11,"")</f>
        <v/>
      </c>
      <c r="G70" s="1424" t="str">
        <f ca="1">IF(COUNTIF(Data!$H$16:$H$100,CONCATENATE(Data_3!$B70,"_",Data_3!G$11))=1,G$11,"")</f>
        <v/>
      </c>
      <c r="H70" s="1424" t="str">
        <f ca="1">IF(COUNTIF(Data!$H$16:$H$100,CONCATENATE(Data_3!$B70,"_",Data_3!H$11))=1,H$11,"")</f>
        <v/>
      </c>
      <c r="I70" s="1424" t="str">
        <f ca="1">IF(COUNTIF(Data!$H$16:$H$100,CONCATENATE(Data_3!$B70,"_",Data_3!I$11))=1,I$11,"")</f>
        <v/>
      </c>
      <c r="J70" s="1424" t="str">
        <f ca="1">IF(COUNTIF(Data!$H$16:$H$100,CONCATENATE(Data_3!$B70,"_",Data_3!J$11))=1,J$11,"")</f>
        <v/>
      </c>
      <c r="K70" s="1424" t="str">
        <f ca="1">IF(COUNTIF(Data!$H$16:$H$100,CONCATENATE(Data_3!$B70,"_",Data_3!K$11))=1,K$11,"")</f>
        <v/>
      </c>
      <c r="L70" s="1424" t="str">
        <f ca="1">IF(COUNTIF(Data!$H$16:$H$100,CONCATENATE(Data_3!$B70,"_",Data_3!L$11))=1,L$11,"")</f>
        <v/>
      </c>
      <c r="M70" s="1424" t="str">
        <f ca="1">IF(COUNTIF(Data!$H$16:$H$100,CONCATENATE(Data_3!$B70,"_",Data_3!M$11))=1,M$11,"")</f>
        <v/>
      </c>
      <c r="N70" s="1424" t="str">
        <f ca="1">IF(COUNTIF(Data!$H$16:$H$100,CONCATENATE(Data_3!$B70,"_",Data_3!N$11))=1,N$11,"")</f>
        <v/>
      </c>
      <c r="O70" s="1424" t="str">
        <f ca="1">IF(COUNTIF(Data!$H$16:$H$100,CONCATENATE(Data_3!$B70,"_",Data_3!O$11))=1,O$11,"")</f>
        <v/>
      </c>
      <c r="P70" s="1424" t="str">
        <f ca="1">IF(COUNTIF(Data!$H$16:$H$100,CONCATENATE(Data_3!$B70,"_",Data_3!P$11))=1,P$11,"")</f>
        <v/>
      </c>
      <c r="Q70" s="1424" t="str">
        <f ca="1">IF(COUNTIF(Data!$H$16:$H$100,CONCATENATE(Data_3!$B70,"_",Data_3!Q$11))=1,Q$11,"")</f>
        <v/>
      </c>
      <c r="R70" s="1424" t="str">
        <f ca="1">IF(COUNTIF(Data!$H$16:$H$100,CONCATENATE(Data_3!$B70,"_",Data_3!R$11))=1,R$11,"")</f>
        <v/>
      </c>
      <c r="S70" s="1424" t="str">
        <f ca="1">IF(COUNTIF(Data!$H$16:$H$100,CONCATENATE(Data_3!$B70,"_",Data_3!S$11))=1,S$11,"")</f>
        <v/>
      </c>
      <c r="T70" s="1424" t="str">
        <f ca="1">IF(COUNTIF(Data!$H$16:$H$100,CONCATENATE(Data_3!$B70,"_",Data_3!T$11))=1,T$11,"")</f>
        <v/>
      </c>
      <c r="U70" s="1424" t="str">
        <f ca="1">IF(COUNTIF(Data!$H$16:$H$100,CONCATENATE(Data_3!$B70,"_",Data_3!U$11))=1,U$11,"")</f>
        <v/>
      </c>
      <c r="V70" s="1424" t="str">
        <f ca="1">IF(COUNTIF(Data!$H$16:$H$100,CONCATENATE(Data_3!$B70,"_",Data_3!V$11))=1,V$11,"")</f>
        <v/>
      </c>
      <c r="W70" s="1424" t="str">
        <f ca="1">IF(COUNTIF(Data!$H$16:$H$100,CONCATENATE(Data_3!$B70,"_",Data_3!W$11))=1,W$11,"")</f>
        <v/>
      </c>
      <c r="X70" s="1424" t="str">
        <f ca="1">IF(COUNTIF(Data!$H$16:$H$100,CONCATENATE(Data_3!$B70,"_",Data_3!X$11))=1,X$11,"")</f>
        <v/>
      </c>
      <c r="Y70" s="1424" t="str">
        <f ca="1">IF(COUNTIF(Data!$H$16:$H$100,CONCATENATE(Data_3!$B70,"_",Data_3!Y$11))=1,Y$11,"")</f>
        <v/>
      </c>
      <c r="Z70" s="15"/>
      <c r="AA70" s="15"/>
      <c r="AB70" s="15"/>
      <c r="AC70" s="15"/>
      <c r="AD70" s="15"/>
      <c r="AE70" s="15"/>
      <c r="AF70" s="15"/>
      <c r="AG70" s="15"/>
      <c r="AH70" s="15"/>
      <c r="AI70" s="15"/>
      <c r="AJ70" s="15"/>
      <c r="AK70" s="15"/>
      <c r="AL70" s="15"/>
      <c r="AM70" s="15"/>
      <c r="AN70" s="15"/>
      <c r="AO70" s="15"/>
      <c r="AP70" s="15"/>
      <c r="AQ70" s="15"/>
      <c r="AR70" s="15"/>
      <c r="AS70" s="15"/>
      <c r="AT70" s="15"/>
      <c r="AU70" s="15"/>
      <c r="AV70" s="15"/>
      <c r="AW70" s="15"/>
      <c r="AX70" s="15"/>
      <c r="AY70" s="15"/>
      <c r="AZ70" s="15"/>
      <c r="BA70" s="15"/>
      <c r="BB70" s="15"/>
      <c r="BC70" s="15"/>
      <c r="BD70" s="15"/>
      <c r="BE70" s="15"/>
      <c r="BF70" s="15"/>
      <c r="BG70" s="15"/>
      <c r="BH70" s="15"/>
      <c r="BI70" s="15"/>
      <c r="BJ70" s="15"/>
      <c r="BK70" s="15"/>
      <c r="BL70" s="15"/>
      <c r="BM70" s="15"/>
      <c r="BN70" s="15"/>
      <c r="BO70" s="15"/>
      <c r="BP70" s="15"/>
      <c r="BQ70" s="15"/>
      <c r="BR70" s="15"/>
      <c r="BS70" s="15"/>
      <c r="BT70" s="15"/>
      <c r="BU70" s="15"/>
      <c r="BV70" s="15"/>
      <c r="BW70" s="15"/>
      <c r="BX70" s="15"/>
      <c r="BY70" s="15"/>
      <c r="BZ70" s="15"/>
      <c r="CA70" s="15"/>
      <c r="CB70" s="15"/>
      <c r="CC70" s="15"/>
      <c r="CD70" s="15"/>
      <c r="CE70" s="15"/>
      <c r="CF70" s="15"/>
      <c r="CG70" s="15"/>
      <c r="CH70" s="15"/>
      <c r="CI70" s="15"/>
      <c r="CJ70" s="15"/>
      <c r="CK70" s="15"/>
      <c r="CL70" s="15"/>
      <c r="CM70" s="15"/>
      <c r="CN70" s="15"/>
      <c r="CO70" s="15"/>
      <c r="CP70" s="15"/>
      <c r="CQ70" s="15"/>
      <c r="CR70" s="15"/>
      <c r="CS70" s="15"/>
      <c r="CT70" s="15"/>
      <c r="CU70" s="15"/>
      <c r="CV70" s="15"/>
      <c r="CW70" s="15"/>
      <c r="CX70" s="15"/>
      <c r="CY70" s="15"/>
      <c r="CZ70" s="15"/>
      <c r="DA70" s="15"/>
      <c r="DB70" s="15"/>
      <c r="DC70" s="15"/>
      <c r="DD70" s="15"/>
      <c r="DE70" s="15"/>
      <c r="DF70" s="15"/>
      <c r="DG70" s="15"/>
      <c r="DH70" s="15"/>
      <c r="DI70" s="15"/>
      <c r="DJ70" s="15"/>
      <c r="DK70" s="15"/>
      <c r="DL70" s="15"/>
      <c r="DM70" s="15"/>
      <c r="DN70" s="15"/>
      <c r="DO70" s="15"/>
      <c r="DP70" s="15"/>
      <c r="DQ70" s="15"/>
      <c r="DR70" s="15"/>
      <c r="DS70" s="15"/>
      <c r="DT70" s="15"/>
      <c r="DU70" s="15"/>
      <c r="DV70" s="15"/>
      <c r="DW70" s="15"/>
      <c r="DX70" s="15"/>
      <c r="DY70" s="15"/>
      <c r="DZ70" s="15"/>
      <c r="EA70" s="15"/>
      <c r="EB70" s="15"/>
      <c r="EC70" s="15"/>
      <c r="ED70" s="15"/>
      <c r="EE70" s="15"/>
      <c r="EF70" s="15"/>
      <c r="EG70" s="15"/>
      <c r="EH70" s="15"/>
    </row>
    <row r="71" spans="1:138" s="34" customFormat="1" ht="15" customHeight="1">
      <c r="A71" s="642"/>
      <c r="B71" s="1455" t="str">
        <f t="array" aca="1" ref="B71" ca="1">IFERROR(INDEX(Data!$B$16:$B$96,MATCH(0,COUNTIF($B$12:B70,Data!$B$16:$B$96),0)),"")</f>
        <v/>
      </c>
      <c r="C71" s="1345">
        <v>59</v>
      </c>
      <c r="D71" s="1424" t="s">
        <v>182</v>
      </c>
      <c r="E71" s="1424" t="str">
        <f ca="1">IF(COUNTIF(Data!$H$16:$H$100,CONCATENATE(Data_3!$B71,"_",Data_3!E$11))=1,E$11,"")</f>
        <v/>
      </c>
      <c r="F71" s="1424" t="str">
        <f ca="1">IF(COUNTIF(Data!$H$16:$H$100,CONCATENATE(Data_3!$B71,"_",Data_3!F$11))=1,F$11,"")</f>
        <v/>
      </c>
      <c r="G71" s="1424" t="str">
        <f ca="1">IF(COUNTIF(Data!$H$16:$H$100,CONCATENATE(Data_3!$B71,"_",Data_3!G$11))=1,G$11,"")</f>
        <v/>
      </c>
      <c r="H71" s="1424" t="str">
        <f ca="1">IF(COUNTIF(Data!$H$16:$H$100,CONCATENATE(Data_3!$B71,"_",Data_3!H$11))=1,H$11,"")</f>
        <v/>
      </c>
      <c r="I71" s="1424" t="str">
        <f ca="1">IF(COUNTIF(Data!$H$16:$H$100,CONCATENATE(Data_3!$B71,"_",Data_3!I$11))=1,I$11,"")</f>
        <v/>
      </c>
      <c r="J71" s="1424" t="str">
        <f ca="1">IF(COUNTIF(Data!$H$16:$H$100,CONCATENATE(Data_3!$B71,"_",Data_3!J$11))=1,J$11,"")</f>
        <v/>
      </c>
      <c r="K71" s="1424" t="str">
        <f ca="1">IF(COUNTIF(Data!$H$16:$H$100,CONCATENATE(Data_3!$B71,"_",Data_3!K$11))=1,K$11,"")</f>
        <v/>
      </c>
      <c r="L71" s="1424" t="str">
        <f ca="1">IF(COUNTIF(Data!$H$16:$H$100,CONCATENATE(Data_3!$B71,"_",Data_3!L$11))=1,L$11,"")</f>
        <v/>
      </c>
      <c r="M71" s="1424" t="str">
        <f ca="1">IF(COUNTIF(Data!$H$16:$H$100,CONCATENATE(Data_3!$B71,"_",Data_3!M$11))=1,M$11,"")</f>
        <v/>
      </c>
      <c r="N71" s="1424" t="str">
        <f ca="1">IF(COUNTIF(Data!$H$16:$H$100,CONCATENATE(Data_3!$B71,"_",Data_3!N$11))=1,N$11,"")</f>
        <v/>
      </c>
      <c r="O71" s="1424" t="str">
        <f ca="1">IF(COUNTIF(Data!$H$16:$H$100,CONCATENATE(Data_3!$B71,"_",Data_3!O$11))=1,O$11,"")</f>
        <v/>
      </c>
      <c r="P71" s="1424" t="str">
        <f ca="1">IF(COUNTIF(Data!$H$16:$H$100,CONCATENATE(Data_3!$B71,"_",Data_3!P$11))=1,P$11,"")</f>
        <v/>
      </c>
      <c r="Q71" s="1424" t="str">
        <f ca="1">IF(COUNTIF(Data!$H$16:$H$100,CONCATENATE(Data_3!$B71,"_",Data_3!Q$11))=1,Q$11,"")</f>
        <v/>
      </c>
      <c r="R71" s="1424" t="str">
        <f ca="1">IF(COUNTIF(Data!$H$16:$H$100,CONCATENATE(Data_3!$B71,"_",Data_3!R$11))=1,R$11,"")</f>
        <v/>
      </c>
      <c r="S71" s="1424" t="str">
        <f ca="1">IF(COUNTIF(Data!$H$16:$H$100,CONCATENATE(Data_3!$B71,"_",Data_3!S$11))=1,S$11,"")</f>
        <v/>
      </c>
      <c r="T71" s="1424" t="str">
        <f ca="1">IF(COUNTIF(Data!$H$16:$H$100,CONCATENATE(Data_3!$B71,"_",Data_3!T$11))=1,T$11,"")</f>
        <v/>
      </c>
      <c r="U71" s="1424" t="str">
        <f ca="1">IF(COUNTIF(Data!$H$16:$H$100,CONCATENATE(Data_3!$B71,"_",Data_3!U$11))=1,U$11,"")</f>
        <v/>
      </c>
      <c r="V71" s="1424" t="str">
        <f ca="1">IF(COUNTIF(Data!$H$16:$H$100,CONCATENATE(Data_3!$B71,"_",Data_3!V$11))=1,V$11,"")</f>
        <v/>
      </c>
      <c r="W71" s="1424" t="str">
        <f ca="1">IF(COUNTIF(Data!$H$16:$H$100,CONCATENATE(Data_3!$B71,"_",Data_3!W$11))=1,W$11,"")</f>
        <v/>
      </c>
      <c r="X71" s="1424" t="str">
        <f ca="1">IF(COUNTIF(Data!$H$16:$H$100,CONCATENATE(Data_3!$B71,"_",Data_3!X$11))=1,X$11,"")</f>
        <v/>
      </c>
      <c r="Y71" s="1424" t="str">
        <f ca="1">IF(COUNTIF(Data!$H$16:$H$100,CONCATENATE(Data_3!$B71,"_",Data_3!Y$11))=1,Y$11,"")</f>
        <v/>
      </c>
      <c r="Z71" s="15"/>
      <c r="AA71" s="15"/>
      <c r="AB71" s="15"/>
      <c r="AC71" s="15"/>
      <c r="AD71" s="15"/>
      <c r="AE71" s="15"/>
      <c r="AF71" s="15"/>
      <c r="AG71" s="15"/>
      <c r="AH71" s="15"/>
      <c r="AI71" s="15"/>
      <c r="AJ71" s="15"/>
      <c r="AK71" s="15"/>
      <c r="AL71" s="15"/>
      <c r="AM71" s="15"/>
      <c r="AN71" s="15"/>
      <c r="AO71" s="15"/>
      <c r="AP71" s="15"/>
      <c r="AQ71" s="15"/>
      <c r="AR71" s="15"/>
      <c r="AS71" s="15"/>
      <c r="AT71" s="15"/>
      <c r="AU71" s="15"/>
      <c r="AV71" s="15"/>
      <c r="AW71" s="15"/>
      <c r="AX71" s="15"/>
      <c r="AY71" s="15"/>
      <c r="AZ71" s="15"/>
      <c r="BA71" s="15"/>
      <c r="BB71" s="15"/>
      <c r="BC71" s="15"/>
      <c r="BD71" s="15"/>
      <c r="BE71" s="15"/>
      <c r="BF71" s="15"/>
      <c r="BG71" s="15"/>
      <c r="BH71" s="15"/>
      <c r="BI71" s="15"/>
      <c r="BJ71" s="15"/>
      <c r="BK71" s="15"/>
      <c r="BL71" s="15"/>
      <c r="BM71" s="15"/>
      <c r="BN71" s="15"/>
      <c r="BO71" s="15"/>
      <c r="BP71" s="15"/>
      <c r="BQ71" s="15"/>
      <c r="BR71" s="15"/>
      <c r="BS71" s="15"/>
      <c r="BT71" s="15"/>
      <c r="BU71" s="15"/>
      <c r="BV71" s="15"/>
      <c r="BW71" s="15"/>
      <c r="BX71" s="15"/>
      <c r="BY71" s="15"/>
      <c r="BZ71" s="15"/>
      <c r="CA71" s="15"/>
      <c r="CB71" s="15"/>
      <c r="CC71" s="15"/>
      <c r="CD71" s="15"/>
      <c r="CE71" s="15"/>
      <c r="CF71" s="15"/>
      <c r="CG71" s="15"/>
      <c r="CH71" s="15"/>
      <c r="CI71" s="15"/>
      <c r="CJ71" s="15"/>
      <c r="CK71" s="15"/>
      <c r="CL71" s="15"/>
      <c r="CM71" s="15"/>
      <c r="CN71" s="15"/>
      <c r="CO71" s="15"/>
      <c r="CP71" s="15"/>
      <c r="CQ71" s="15"/>
      <c r="CR71" s="15"/>
      <c r="CS71" s="15"/>
      <c r="CT71" s="15"/>
      <c r="CU71" s="15"/>
      <c r="CV71" s="15"/>
      <c r="CW71" s="15"/>
      <c r="CX71" s="15"/>
      <c r="CY71" s="15"/>
      <c r="CZ71" s="15"/>
      <c r="DA71" s="15"/>
      <c r="DB71" s="15"/>
      <c r="DC71" s="15"/>
      <c r="DD71" s="15"/>
      <c r="DE71" s="15"/>
      <c r="DF71" s="15"/>
      <c r="DG71" s="15"/>
      <c r="DH71" s="15"/>
      <c r="DI71" s="15"/>
      <c r="DJ71" s="15"/>
      <c r="DK71" s="15"/>
      <c r="DL71" s="15"/>
      <c r="DM71" s="15"/>
      <c r="DN71" s="15"/>
      <c r="DO71" s="15"/>
      <c r="DP71" s="15"/>
      <c r="DQ71" s="15"/>
      <c r="DR71" s="15"/>
      <c r="DS71" s="15"/>
      <c r="DT71" s="15"/>
      <c r="DU71" s="15"/>
      <c r="DV71" s="15"/>
      <c r="DW71" s="15"/>
      <c r="DX71" s="15"/>
      <c r="DY71" s="15"/>
      <c r="DZ71" s="15"/>
      <c r="EA71" s="15"/>
      <c r="EB71" s="15"/>
      <c r="EC71" s="15"/>
      <c r="ED71" s="15"/>
      <c r="EE71" s="15"/>
      <c r="EF71" s="15"/>
      <c r="EG71" s="15"/>
      <c r="EH71" s="15"/>
    </row>
    <row r="72" spans="1:138" s="34" customFormat="1" ht="15" customHeight="1">
      <c r="A72" s="642"/>
      <c r="B72" s="1455" t="str">
        <f t="array" aca="1" ref="B72" ca="1">IFERROR(INDEX(Data!$B$16:$B$96,MATCH(0,COUNTIF($B$12:B71,Data!$B$16:$B$96),0)),"")</f>
        <v/>
      </c>
      <c r="C72" s="1345">
        <v>60</v>
      </c>
      <c r="D72" s="1424" t="s">
        <v>182</v>
      </c>
      <c r="E72" s="1424" t="str">
        <f ca="1">IF(COUNTIF(Data!$H$16:$H$100,CONCATENATE(Data_3!$B72,"_",Data_3!E$11))=1,E$11,"")</f>
        <v/>
      </c>
      <c r="F72" s="1424" t="str">
        <f ca="1">IF(COUNTIF(Data!$H$16:$H$100,CONCATENATE(Data_3!$B72,"_",Data_3!F$11))=1,F$11,"")</f>
        <v/>
      </c>
      <c r="G72" s="1424" t="str">
        <f ca="1">IF(COUNTIF(Data!$H$16:$H$100,CONCATENATE(Data_3!$B72,"_",Data_3!G$11))=1,G$11,"")</f>
        <v/>
      </c>
      <c r="H72" s="1424" t="str">
        <f ca="1">IF(COUNTIF(Data!$H$16:$H$100,CONCATENATE(Data_3!$B72,"_",Data_3!H$11))=1,H$11,"")</f>
        <v/>
      </c>
      <c r="I72" s="1424" t="str">
        <f ca="1">IF(COUNTIF(Data!$H$16:$H$100,CONCATENATE(Data_3!$B72,"_",Data_3!I$11))=1,I$11,"")</f>
        <v/>
      </c>
      <c r="J72" s="1424" t="str">
        <f ca="1">IF(COUNTIF(Data!$H$16:$H$100,CONCATENATE(Data_3!$B72,"_",Data_3!J$11))=1,J$11,"")</f>
        <v/>
      </c>
      <c r="K72" s="1424" t="str">
        <f ca="1">IF(COUNTIF(Data!$H$16:$H$100,CONCATENATE(Data_3!$B72,"_",Data_3!K$11))=1,K$11,"")</f>
        <v/>
      </c>
      <c r="L72" s="1424" t="str">
        <f ca="1">IF(COUNTIF(Data!$H$16:$H$100,CONCATENATE(Data_3!$B72,"_",Data_3!L$11))=1,L$11,"")</f>
        <v/>
      </c>
      <c r="M72" s="1424" t="str">
        <f ca="1">IF(COUNTIF(Data!$H$16:$H$100,CONCATENATE(Data_3!$B72,"_",Data_3!M$11))=1,M$11,"")</f>
        <v/>
      </c>
      <c r="N72" s="1424" t="str">
        <f ca="1">IF(COUNTIF(Data!$H$16:$H$100,CONCATENATE(Data_3!$B72,"_",Data_3!N$11))=1,N$11,"")</f>
        <v/>
      </c>
      <c r="O72" s="1424" t="str">
        <f ca="1">IF(COUNTIF(Data!$H$16:$H$100,CONCATENATE(Data_3!$B72,"_",Data_3!O$11))=1,O$11,"")</f>
        <v/>
      </c>
      <c r="P72" s="1424" t="str">
        <f ca="1">IF(COUNTIF(Data!$H$16:$H$100,CONCATENATE(Data_3!$B72,"_",Data_3!P$11))=1,P$11,"")</f>
        <v/>
      </c>
      <c r="Q72" s="1424" t="str">
        <f ca="1">IF(COUNTIF(Data!$H$16:$H$100,CONCATENATE(Data_3!$B72,"_",Data_3!Q$11))=1,Q$11,"")</f>
        <v/>
      </c>
      <c r="R72" s="1424" t="str">
        <f ca="1">IF(COUNTIF(Data!$H$16:$H$100,CONCATENATE(Data_3!$B72,"_",Data_3!R$11))=1,R$11,"")</f>
        <v/>
      </c>
      <c r="S72" s="1424" t="str">
        <f ca="1">IF(COUNTIF(Data!$H$16:$H$100,CONCATENATE(Data_3!$B72,"_",Data_3!S$11))=1,S$11,"")</f>
        <v/>
      </c>
      <c r="T72" s="1424" t="str">
        <f ca="1">IF(COUNTIF(Data!$H$16:$H$100,CONCATENATE(Data_3!$B72,"_",Data_3!T$11))=1,T$11,"")</f>
        <v/>
      </c>
      <c r="U72" s="1424" t="str">
        <f ca="1">IF(COUNTIF(Data!$H$16:$H$100,CONCATENATE(Data_3!$B72,"_",Data_3!U$11))=1,U$11,"")</f>
        <v/>
      </c>
      <c r="V72" s="1424" t="str">
        <f ca="1">IF(COUNTIF(Data!$H$16:$H$100,CONCATENATE(Data_3!$B72,"_",Data_3!V$11))=1,V$11,"")</f>
        <v/>
      </c>
      <c r="W72" s="1424" t="str">
        <f ca="1">IF(COUNTIF(Data!$H$16:$H$100,CONCATENATE(Data_3!$B72,"_",Data_3!W$11))=1,W$11,"")</f>
        <v/>
      </c>
      <c r="X72" s="1424" t="str">
        <f ca="1">IF(COUNTIF(Data!$H$16:$H$100,CONCATENATE(Data_3!$B72,"_",Data_3!X$11))=1,X$11,"")</f>
        <v/>
      </c>
      <c r="Y72" s="1424" t="str">
        <f ca="1">IF(COUNTIF(Data!$H$16:$H$100,CONCATENATE(Data_3!$B72,"_",Data_3!Y$11))=1,Y$11,"")</f>
        <v/>
      </c>
      <c r="Z72" s="15"/>
      <c r="AA72" s="15"/>
      <c r="AB72" s="15"/>
      <c r="AC72" s="15"/>
      <c r="AD72" s="15"/>
      <c r="AE72" s="15"/>
      <c r="AF72" s="15"/>
      <c r="AG72" s="15"/>
      <c r="AH72" s="15"/>
      <c r="AI72" s="15"/>
      <c r="AJ72" s="15"/>
      <c r="AK72" s="15"/>
      <c r="AL72" s="15"/>
      <c r="AM72" s="15"/>
      <c r="AN72" s="15"/>
      <c r="AO72" s="15"/>
      <c r="AP72" s="15"/>
      <c r="AQ72" s="15"/>
      <c r="AR72" s="15"/>
      <c r="AS72" s="15"/>
      <c r="AT72" s="15"/>
      <c r="AU72" s="15"/>
      <c r="AV72" s="15"/>
      <c r="AW72" s="15"/>
      <c r="AX72" s="15"/>
      <c r="AY72" s="15"/>
      <c r="AZ72" s="15"/>
      <c r="BA72" s="15"/>
      <c r="BB72" s="15"/>
      <c r="BC72" s="15"/>
      <c r="BD72" s="15"/>
      <c r="BE72" s="15"/>
      <c r="BF72" s="15"/>
      <c r="BG72" s="15"/>
      <c r="BH72" s="15"/>
      <c r="BI72" s="15"/>
      <c r="BJ72" s="15"/>
      <c r="BK72" s="15"/>
      <c r="BL72" s="15"/>
      <c r="BM72" s="15"/>
      <c r="BN72" s="15"/>
      <c r="BO72" s="15"/>
      <c r="BP72" s="15"/>
      <c r="BQ72" s="15"/>
      <c r="BR72" s="15"/>
      <c r="BS72" s="15"/>
      <c r="BT72" s="15"/>
      <c r="BU72" s="15"/>
      <c r="BV72" s="15"/>
      <c r="BW72" s="15"/>
      <c r="BX72" s="15"/>
      <c r="BY72" s="15"/>
      <c r="BZ72" s="15"/>
      <c r="CA72" s="15"/>
      <c r="CB72" s="15"/>
      <c r="CC72" s="15"/>
      <c r="CD72" s="15"/>
      <c r="CE72" s="15"/>
      <c r="CF72" s="15"/>
      <c r="CG72" s="15"/>
      <c r="CH72" s="15"/>
      <c r="CI72" s="15"/>
      <c r="CJ72" s="15"/>
      <c r="CK72" s="15"/>
      <c r="CL72" s="15"/>
      <c r="CM72" s="15"/>
      <c r="CN72" s="15"/>
      <c r="CO72" s="15"/>
      <c r="CP72" s="15"/>
      <c r="CQ72" s="15"/>
      <c r="CR72" s="15"/>
      <c r="CS72" s="15"/>
      <c r="CT72" s="15"/>
      <c r="CU72" s="15"/>
      <c r="CV72" s="15"/>
      <c r="CW72" s="15"/>
      <c r="CX72" s="15"/>
      <c r="CY72" s="15"/>
      <c r="CZ72" s="15"/>
      <c r="DA72" s="15"/>
      <c r="DB72" s="15"/>
      <c r="DC72" s="15"/>
      <c r="DD72" s="15"/>
      <c r="DE72" s="15"/>
      <c r="DF72" s="15"/>
      <c r="DG72" s="15"/>
      <c r="DH72" s="15"/>
      <c r="DI72" s="15"/>
      <c r="DJ72" s="15"/>
      <c r="DK72" s="15"/>
      <c r="DL72" s="15"/>
      <c r="DM72" s="15"/>
      <c r="DN72" s="15"/>
      <c r="DO72" s="15"/>
      <c r="DP72" s="15"/>
      <c r="DQ72" s="15"/>
      <c r="DR72" s="15"/>
      <c r="DS72" s="15"/>
      <c r="DT72" s="15"/>
      <c r="DU72" s="15"/>
      <c r="DV72" s="15"/>
      <c r="DW72" s="15"/>
      <c r="DX72" s="15"/>
      <c r="DY72" s="15"/>
      <c r="DZ72" s="15"/>
      <c r="EA72" s="15"/>
      <c r="EB72" s="15"/>
      <c r="EC72" s="15"/>
      <c r="ED72" s="15"/>
      <c r="EE72" s="15"/>
      <c r="EF72" s="15"/>
      <c r="EG72" s="15"/>
      <c r="EH72" s="15"/>
    </row>
    <row r="73" spans="1:138" s="34" customFormat="1" ht="15" customHeight="1">
      <c r="A73" s="642"/>
      <c r="B73" s="1455" t="str">
        <f t="array" aca="1" ref="B73" ca="1">IFERROR(INDEX(Data!$B$16:$B$96,MATCH(0,COUNTIF($B$12:B72,Data!$B$16:$B$96),0)),"")</f>
        <v/>
      </c>
      <c r="C73" s="1345">
        <v>61</v>
      </c>
      <c r="D73" s="1424" t="s">
        <v>182</v>
      </c>
      <c r="E73" s="1424" t="str">
        <f ca="1">IF(COUNTIF(Data!$H$16:$H$100,CONCATENATE(Data_3!$B73,"_",Data_3!E$11))=1,E$11,"")</f>
        <v/>
      </c>
      <c r="F73" s="1424" t="str">
        <f ca="1">IF(COUNTIF(Data!$H$16:$H$100,CONCATENATE(Data_3!$B73,"_",Data_3!F$11))=1,F$11,"")</f>
        <v/>
      </c>
      <c r="G73" s="1424" t="str">
        <f ca="1">IF(COUNTIF(Data!$H$16:$H$100,CONCATENATE(Data_3!$B73,"_",Data_3!G$11))=1,G$11,"")</f>
        <v/>
      </c>
      <c r="H73" s="1424" t="str">
        <f ca="1">IF(COUNTIF(Data!$H$16:$H$100,CONCATENATE(Data_3!$B73,"_",Data_3!H$11))=1,H$11,"")</f>
        <v/>
      </c>
      <c r="I73" s="1424" t="str">
        <f ca="1">IF(COUNTIF(Data!$H$16:$H$100,CONCATENATE(Data_3!$B73,"_",Data_3!I$11))=1,I$11,"")</f>
        <v/>
      </c>
      <c r="J73" s="1424" t="str">
        <f ca="1">IF(COUNTIF(Data!$H$16:$H$100,CONCATENATE(Data_3!$B73,"_",Data_3!J$11))=1,J$11,"")</f>
        <v/>
      </c>
      <c r="K73" s="1424" t="str">
        <f ca="1">IF(COUNTIF(Data!$H$16:$H$100,CONCATENATE(Data_3!$B73,"_",Data_3!K$11))=1,K$11,"")</f>
        <v/>
      </c>
      <c r="L73" s="1424" t="str">
        <f ca="1">IF(COUNTIF(Data!$H$16:$H$100,CONCATENATE(Data_3!$B73,"_",Data_3!L$11))=1,L$11,"")</f>
        <v/>
      </c>
      <c r="M73" s="1424" t="str">
        <f ca="1">IF(COUNTIF(Data!$H$16:$H$100,CONCATENATE(Data_3!$B73,"_",Data_3!M$11))=1,M$11,"")</f>
        <v/>
      </c>
      <c r="N73" s="1424" t="str">
        <f ca="1">IF(COUNTIF(Data!$H$16:$H$100,CONCATENATE(Data_3!$B73,"_",Data_3!N$11))=1,N$11,"")</f>
        <v/>
      </c>
      <c r="O73" s="1424" t="str">
        <f ca="1">IF(COUNTIF(Data!$H$16:$H$100,CONCATENATE(Data_3!$B73,"_",Data_3!O$11))=1,O$11,"")</f>
        <v/>
      </c>
      <c r="P73" s="1424" t="str">
        <f ca="1">IF(COUNTIF(Data!$H$16:$H$100,CONCATENATE(Data_3!$B73,"_",Data_3!P$11))=1,P$11,"")</f>
        <v/>
      </c>
      <c r="Q73" s="1424" t="str">
        <f ca="1">IF(COUNTIF(Data!$H$16:$H$100,CONCATENATE(Data_3!$B73,"_",Data_3!Q$11))=1,Q$11,"")</f>
        <v/>
      </c>
      <c r="R73" s="1424" t="str">
        <f ca="1">IF(COUNTIF(Data!$H$16:$H$100,CONCATENATE(Data_3!$B73,"_",Data_3!R$11))=1,R$11,"")</f>
        <v/>
      </c>
      <c r="S73" s="1424" t="str">
        <f ca="1">IF(COUNTIF(Data!$H$16:$H$100,CONCATENATE(Data_3!$B73,"_",Data_3!S$11))=1,S$11,"")</f>
        <v/>
      </c>
      <c r="T73" s="1424" t="str">
        <f ca="1">IF(COUNTIF(Data!$H$16:$H$100,CONCATENATE(Data_3!$B73,"_",Data_3!T$11))=1,T$11,"")</f>
        <v/>
      </c>
      <c r="U73" s="1424" t="str">
        <f ca="1">IF(COUNTIF(Data!$H$16:$H$100,CONCATENATE(Data_3!$B73,"_",Data_3!U$11))=1,U$11,"")</f>
        <v/>
      </c>
      <c r="V73" s="1424" t="str">
        <f ca="1">IF(COUNTIF(Data!$H$16:$H$100,CONCATENATE(Data_3!$B73,"_",Data_3!V$11))=1,V$11,"")</f>
        <v/>
      </c>
      <c r="W73" s="1424" t="str">
        <f ca="1">IF(COUNTIF(Data!$H$16:$H$100,CONCATENATE(Data_3!$B73,"_",Data_3!W$11))=1,W$11,"")</f>
        <v/>
      </c>
      <c r="X73" s="1424" t="str">
        <f ca="1">IF(COUNTIF(Data!$H$16:$H$100,CONCATENATE(Data_3!$B73,"_",Data_3!X$11))=1,X$11,"")</f>
        <v/>
      </c>
      <c r="Y73" s="1424" t="str">
        <f ca="1">IF(COUNTIF(Data!$H$16:$H$100,CONCATENATE(Data_3!$B73,"_",Data_3!Y$11))=1,Y$11,"")</f>
        <v/>
      </c>
      <c r="Z73" s="15"/>
      <c r="AA73" s="15"/>
      <c r="AB73" s="15"/>
      <c r="AC73" s="15"/>
      <c r="AD73" s="15"/>
      <c r="AE73" s="15"/>
      <c r="AF73" s="15"/>
      <c r="AG73" s="15"/>
      <c r="AH73" s="15"/>
      <c r="AI73" s="15"/>
      <c r="AJ73" s="15"/>
      <c r="AK73" s="15"/>
      <c r="AL73" s="15"/>
      <c r="AM73" s="15"/>
      <c r="AN73" s="15"/>
      <c r="AO73" s="15"/>
      <c r="AP73" s="15"/>
      <c r="AQ73" s="15"/>
      <c r="AR73" s="15"/>
      <c r="AS73" s="15"/>
      <c r="AT73" s="15"/>
      <c r="AU73" s="15"/>
      <c r="AV73" s="15"/>
      <c r="AW73" s="15"/>
      <c r="AX73" s="15"/>
      <c r="AY73" s="15"/>
      <c r="AZ73" s="15"/>
      <c r="BA73" s="15"/>
      <c r="BB73" s="15"/>
      <c r="BC73" s="15"/>
      <c r="BD73" s="15"/>
      <c r="BE73" s="15"/>
      <c r="BF73" s="15"/>
      <c r="BG73" s="15"/>
      <c r="BH73" s="15"/>
      <c r="BI73" s="15"/>
      <c r="BJ73" s="15"/>
      <c r="BK73" s="15"/>
      <c r="BL73" s="15"/>
      <c r="BM73" s="15"/>
      <c r="BN73" s="15"/>
      <c r="BO73" s="15"/>
      <c r="BP73" s="15"/>
      <c r="BQ73" s="15"/>
      <c r="BR73" s="15"/>
      <c r="BS73" s="15"/>
      <c r="BT73" s="15"/>
      <c r="BU73" s="15"/>
      <c r="BV73" s="15"/>
      <c r="BW73" s="15"/>
      <c r="BX73" s="15"/>
      <c r="BY73" s="15"/>
      <c r="BZ73" s="15"/>
      <c r="CA73" s="15"/>
      <c r="CB73" s="15"/>
      <c r="CC73" s="15"/>
      <c r="CD73" s="15"/>
      <c r="CE73" s="15"/>
      <c r="CF73" s="15"/>
      <c r="CG73" s="15"/>
      <c r="CH73" s="15"/>
      <c r="CI73" s="15"/>
      <c r="CJ73" s="15"/>
      <c r="CK73" s="15"/>
      <c r="CL73" s="15"/>
      <c r="CM73" s="15"/>
      <c r="CN73" s="15"/>
      <c r="CO73" s="15"/>
      <c r="CP73" s="15"/>
      <c r="CQ73" s="15"/>
      <c r="CR73" s="15"/>
      <c r="CS73" s="15"/>
      <c r="CT73" s="15"/>
      <c r="CU73" s="15"/>
      <c r="CV73" s="15"/>
      <c r="CW73" s="15"/>
      <c r="CX73" s="15"/>
      <c r="CY73" s="15"/>
      <c r="CZ73" s="15"/>
      <c r="DA73" s="15"/>
      <c r="DB73" s="15"/>
      <c r="DC73" s="15"/>
      <c r="DD73" s="15"/>
      <c r="DE73" s="15"/>
      <c r="DF73" s="15"/>
      <c r="DG73" s="15"/>
      <c r="DH73" s="15"/>
      <c r="DI73" s="15"/>
      <c r="DJ73" s="15"/>
      <c r="DK73" s="15"/>
      <c r="DL73" s="15"/>
      <c r="DM73" s="15"/>
      <c r="DN73" s="15"/>
      <c r="DO73" s="15"/>
      <c r="DP73" s="15"/>
      <c r="DQ73" s="15"/>
      <c r="DR73" s="15"/>
      <c r="DS73" s="15"/>
      <c r="DT73" s="15"/>
      <c r="DU73" s="15"/>
      <c r="DV73" s="15"/>
      <c r="DW73" s="15"/>
      <c r="DX73" s="15"/>
      <c r="DY73" s="15"/>
      <c r="DZ73" s="15"/>
      <c r="EA73" s="15"/>
      <c r="EB73" s="15"/>
      <c r="EC73" s="15"/>
      <c r="ED73" s="15"/>
      <c r="EE73" s="15"/>
      <c r="EF73" s="15"/>
      <c r="EG73" s="15"/>
      <c r="EH73" s="15"/>
    </row>
    <row r="74" spans="1:138" s="34" customFormat="1" ht="15" customHeight="1">
      <c r="A74" s="642"/>
      <c r="B74" s="1455" t="str">
        <f t="array" aca="1" ref="B74" ca="1">IFERROR(INDEX(Data!$B$16:$B$96,MATCH(0,COUNTIF($B$12:B73,Data!$B$16:$B$96),0)),"")</f>
        <v/>
      </c>
      <c r="C74" s="1345">
        <v>62</v>
      </c>
      <c r="D74" s="1424" t="s">
        <v>182</v>
      </c>
      <c r="E74" s="1424" t="str">
        <f ca="1">IF(COUNTIF(Data!$H$16:$H$100,CONCATENATE(Data_3!$B74,"_",Data_3!E$11))=1,E$11,"")</f>
        <v/>
      </c>
      <c r="F74" s="1424" t="str">
        <f ca="1">IF(COUNTIF(Data!$H$16:$H$100,CONCATENATE(Data_3!$B74,"_",Data_3!F$11))=1,F$11,"")</f>
        <v/>
      </c>
      <c r="G74" s="1424" t="str">
        <f ca="1">IF(COUNTIF(Data!$H$16:$H$100,CONCATENATE(Data_3!$B74,"_",Data_3!G$11))=1,G$11,"")</f>
        <v/>
      </c>
      <c r="H74" s="1424" t="str">
        <f ca="1">IF(COUNTIF(Data!$H$16:$H$100,CONCATENATE(Data_3!$B74,"_",Data_3!H$11))=1,H$11,"")</f>
        <v/>
      </c>
      <c r="I74" s="1424" t="str">
        <f ca="1">IF(COUNTIF(Data!$H$16:$H$100,CONCATENATE(Data_3!$B74,"_",Data_3!I$11))=1,I$11,"")</f>
        <v/>
      </c>
      <c r="J74" s="1424" t="str">
        <f ca="1">IF(COUNTIF(Data!$H$16:$H$100,CONCATENATE(Data_3!$B74,"_",Data_3!J$11))=1,J$11,"")</f>
        <v/>
      </c>
      <c r="K74" s="1424" t="str">
        <f ca="1">IF(COUNTIF(Data!$H$16:$H$100,CONCATENATE(Data_3!$B74,"_",Data_3!K$11))=1,K$11,"")</f>
        <v/>
      </c>
      <c r="L74" s="1424" t="str">
        <f ca="1">IF(COUNTIF(Data!$H$16:$H$100,CONCATENATE(Data_3!$B74,"_",Data_3!L$11))=1,L$11,"")</f>
        <v/>
      </c>
      <c r="M74" s="1424" t="str">
        <f ca="1">IF(COUNTIF(Data!$H$16:$H$100,CONCATENATE(Data_3!$B74,"_",Data_3!M$11))=1,M$11,"")</f>
        <v/>
      </c>
      <c r="N74" s="1424" t="str">
        <f ca="1">IF(COUNTIF(Data!$H$16:$H$100,CONCATENATE(Data_3!$B74,"_",Data_3!N$11))=1,N$11,"")</f>
        <v/>
      </c>
      <c r="O74" s="1424" t="str">
        <f ca="1">IF(COUNTIF(Data!$H$16:$H$100,CONCATENATE(Data_3!$B74,"_",Data_3!O$11))=1,O$11,"")</f>
        <v/>
      </c>
      <c r="P74" s="1424" t="str">
        <f ca="1">IF(COUNTIF(Data!$H$16:$H$100,CONCATENATE(Data_3!$B74,"_",Data_3!P$11))=1,P$11,"")</f>
        <v/>
      </c>
      <c r="Q74" s="1424" t="str">
        <f ca="1">IF(COUNTIF(Data!$H$16:$H$100,CONCATENATE(Data_3!$B74,"_",Data_3!Q$11))=1,Q$11,"")</f>
        <v/>
      </c>
      <c r="R74" s="1424" t="str">
        <f ca="1">IF(COUNTIF(Data!$H$16:$H$100,CONCATENATE(Data_3!$B74,"_",Data_3!R$11))=1,R$11,"")</f>
        <v/>
      </c>
      <c r="S74" s="1424" t="str">
        <f ca="1">IF(COUNTIF(Data!$H$16:$H$100,CONCATENATE(Data_3!$B74,"_",Data_3!S$11))=1,S$11,"")</f>
        <v/>
      </c>
      <c r="T74" s="1424" t="str">
        <f ca="1">IF(COUNTIF(Data!$H$16:$H$100,CONCATENATE(Data_3!$B74,"_",Data_3!T$11))=1,T$11,"")</f>
        <v/>
      </c>
      <c r="U74" s="1424" t="str">
        <f ca="1">IF(COUNTIF(Data!$H$16:$H$100,CONCATENATE(Data_3!$B74,"_",Data_3!U$11))=1,U$11,"")</f>
        <v/>
      </c>
      <c r="V74" s="1424" t="str">
        <f ca="1">IF(COUNTIF(Data!$H$16:$H$100,CONCATENATE(Data_3!$B74,"_",Data_3!V$11))=1,V$11,"")</f>
        <v/>
      </c>
      <c r="W74" s="1424" t="str">
        <f ca="1">IF(COUNTIF(Data!$H$16:$H$100,CONCATENATE(Data_3!$B74,"_",Data_3!W$11))=1,W$11,"")</f>
        <v/>
      </c>
      <c r="X74" s="1424" t="str">
        <f ca="1">IF(COUNTIF(Data!$H$16:$H$100,CONCATENATE(Data_3!$B74,"_",Data_3!X$11))=1,X$11,"")</f>
        <v/>
      </c>
      <c r="Y74" s="1424" t="str">
        <f ca="1">IF(COUNTIF(Data!$H$16:$H$100,CONCATENATE(Data_3!$B74,"_",Data_3!Y$11))=1,Y$11,"")</f>
        <v/>
      </c>
      <c r="Z74" s="15"/>
      <c r="AA74" s="15"/>
      <c r="AB74" s="15"/>
      <c r="AC74" s="15"/>
      <c r="AD74" s="15"/>
      <c r="AE74" s="15"/>
      <c r="AF74" s="15"/>
      <c r="AG74" s="15"/>
      <c r="AH74" s="15"/>
      <c r="AI74" s="15"/>
      <c r="AJ74" s="15"/>
      <c r="AK74" s="15"/>
      <c r="AL74" s="15"/>
      <c r="AM74" s="15"/>
      <c r="AN74" s="15"/>
      <c r="AO74" s="15"/>
      <c r="AP74" s="15"/>
      <c r="AQ74" s="15"/>
      <c r="AR74" s="15"/>
      <c r="AS74" s="15"/>
      <c r="AT74" s="15"/>
      <c r="AU74" s="15"/>
      <c r="AV74" s="15"/>
      <c r="AW74" s="15"/>
      <c r="AX74" s="15"/>
      <c r="AY74" s="15"/>
      <c r="AZ74" s="15"/>
      <c r="BA74" s="15"/>
      <c r="BB74" s="15"/>
      <c r="BC74" s="15"/>
      <c r="BD74" s="15"/>
      <c r="BE74" s="15"/>
      <c r="BF74" s="15"/>
      <c r="BG74" s="15"/>
      <c r="BH74" s="15"/>
      <c r="BI74" s="15"/>
      <c r="BJ74" s="15"/>
      <c r="BK74" s="15"/>
      <c r="BL74" s="15"/>
      <c r="BM74" s="15"/>
      <c r="BN74" s="15"/>
      <c r="BO74" s="15"/>
      <c r="BP74" s="15"/>
      <c r="BQ74" s="15"/>
      <c r="BR74" s="15"/>
      <c r="BS74" s="15"/>
      <c r="BT74" s="15"/>
      <c r="BU74" s="15"/>
      <c r="BV74" s="15"/>
      <c r="BW74" s="15"/>
      <c r="BX74" s="15"/>
      <c r="BY74" s="15"/>
      <c r="BZ74" s="15"/>
      <c r="CA74" s="15"/>
      <c r="CB74" s="15"/>
      <c r="CC74" s="15"/>
      <c r="CD74" s="15"/>
      <c r="CE74" s="15"/>
      <c r="CF74" s="15"/>
      <c r="CG74" s="15"/>
      <c r="CH74" s="15"/>
      <c r="CI74" s="15"/>
      <c r="CJ74" s="15"/>
      <c r="CK74" s="15"/>
      <c r="CL74" s="15"/>
      <c r="CM74" s="15"/>
      <c r="CN74" s="15"/>
      <c r="CO74" s="15"/>
      <c r="CP74" s="15"/>
      <c r="CQ74" s="15"/>
      <c r="CR74" s="15"/>
      <c r="CS74" s="15"/>
      <c r="CT74" s="15"/>
      <c r="CU74" s="15"/>
      <c r="CV74" s="15"/>
      <c r="CW74" s="15"/>
      <c r="CX74" s="15"/>
      <c r="CY74" s="15"/>
      <c r="CZ74" s="15"/>
      <c r="DA74" s="15"/>
      <c r="DB74" s="15"/>
      <c r="DC74" s="15"/>
      <c r="DD74" s="15"/>
      <c r="DE74" s="15"/>
      <c r="DF74" s="15"/>
      <c r="DG74" s="15"/>
      <c r="DH74" s="15"/>
      <c r="DI74" s="15"/>
      <c r="DJ74" s="15"/>
      <c r="DK74" s="15"/>
      <c r="DL74" s="15"/>
      <c r="DM74" s="15"/>
      <c r="DN74" s="15"/>
      <c r="DO74" s="15"/>
      <c r="DP74" s="15"/>
      <c r="DQ74" s="15"/>
      <c r="DR74" s="15"/>
      <c r="DS74" s="15"/>
      <c r="DT74" s="15"/>
      <c r="DU74" s="15"/>
      <c r="DV74" s="15"/>
      <c r="DW74" s="15"/>
      <c r="DX74" s="15"/>
      <c r="DY74" s="15"/>
      <c r="DZ74" s="15"/>
      <c r="EA74" s="15"/>
      <c r="EB74" s="15"/>
      <c r="EC74" s="15"/>
      <c r="ED74" s="15"/>
      <c r="EE74" s="15"/>
      <c r="EF74" s="15"/>
      <c r="EG74" s="15"/>
      <c r="EH74" s="15"/>
    </row>
    <row r="75" spans="1:138" s="34" customFormat="1" ht="15" customHeight="1">
      <c r="A75" s="642"/>
      <c r="B75" s="1455" t="str">
        <f t="array" aca="1" ref="B75" ca="1">IFERROR(INDEX(Data!$B$16:$B$96,MATCH(0,COUNTIF($B$12:B74,Data!$B$16:$B$96),0)),"")</f>
        <v/>
      </c>
      <c r="C75" s="1345">
        <v>63</v>
      </c>
      <c r="D75" s="1424" t="s">
        <v>182</v>
      </c>
      <c r="E75" s="1424" t="str">
        <f ca="1">IF(COUNTIF(Data!$H$16:$H$100,CONCATENATE(Data_3!$B75,"_",Data_3!E$11))=1,E$11,"")</f>
        <v/>
      </c>
      <c r="F75" s="1424" t="str">
        <f ca="1">IF(COUNTIF(Data!$H$16:$H$100,CONCATENATE(Data_3!$B75,"_",Data_3!F$11))=1,F$11,"")</f>
        <v/>
      </c>
      <c r="G75" s="1424" t="str">
        <f ca="1">IF(COUNTIF(Data!$H$16:$H$100,CONCATENATE(Data_3!$B75,"_",Data_3!G$11))=1,G$11,"")</f>
        <v/>
      </c>
      <c r="H75" s="1424" t="str">
        <f ca="1">IF(COUNTIF(Data!$H$16:$H$100,CONCATENATE(Data_3!$B75,"_",Data_3!H$11))=1,H$11,"")</f>
        <v/>
      </c>
      <c r="I75" s="1424" t="str">
        <f ca="1">IF(COUNTIF(Data!$H$16:$H$100,CONCATENATE(Data_3!$B75,"_",Data_3!I$11))=1,I$11,"")</f>
        <v/>
      </c>
      <c r="J75" s="1424" t="str">
        <f ca="1">IF(COUNTIF(Data!$H$16:$H$100,CONCATENATE(Data_3!$B75,"_",Data_3!J$11))=1,J$11,"")</f>
        <v/>
      </c>
      <c r="K75" s="1424" t="str">
        <f ca="1">IF(COUNTIF(Data!$H$16:$H$100,CONCATENATE(Data_3!$B75,"_",Data_3!K$11))=1,K$11,"")</f>
        <v/>
      </c>
      <c r="L75" s="1424" t="str">
        <f ca="1">IF(COUNTIF(Data!$H$16:$H$100,CONCATENATE(Data_3!$B75,"_",Data_3!L$11))=1,L$11,"")</f>
        <v/>
      </c>
      <c r="M75" s="1424" t="str">
        <f ca="1">IF(COUNTIF(Data!$H$16:$H$100,CONCATENATE(Data_3!$B75,"_",Data_3!M$11))=1,M$11,"")</f>
        <v/>
      </c>
      <c r="N75" s="1424" t="str">
        <f ca="1">IF(COUNTIF(Data!$H$16:$H$100,CONCATENATE(Data_3!$B75,"_",Data_3!N$11))=1,N$11,"")</f>
        <v/>
      </c>
      <c r="O75" s="1424" t="str">
        <f ca="1">IF(COUNTIF(Data!$H$16:$H$100,CONCATENATE(Data_3!$B75,"_",Data_3!O$11))=1,O$11,"")</f>
        <v/>
      </c>
      <c r="P75" s="1424" t="str">
        <f ca="1">IF(COUNTIF(Data!$H$16:$H$100,CONCATENATE(Data_3!$B75,"_",Data_3!P$11))=1,P$11,"")</f>
        <v/>
      </c>
      <c r="Q75" s="1424" t="str">
        <f ca="1">IF(COUNTIF(Data!$H$16:$H$100,CONCATENATE(Data_3!$B75,"_",Data_3!Q$11))=1,Q$11,"")</f>
        <v/>
      </c>
      <c r="R75" s="1424" t="str">
        <f ca="1">IF(COUNTIF(Data!$H$16:$H$100,CONCATENATE(Data_3!$B75,"_",Data_3!R$11))=1,R$11,"")</f>
        <v/>
      </c>
      <c r="S75" s="1424" t="str">
        <f ca="1">IF(COUNTIF(Data!$H$16:$H$100,CONCATENATE(Data_3!$B75,"_",Data_3!S$11))=1,S$11,"")</f>
        <v/>
      </c>
      <c r="T75" s="1424" t="str">
        <f ca="1">IF(COUNTIF(Data!$H$16:$H$100,CONCATENATE(Data_3!$B75,"_",Data_3!T$11))=1,T$11,"")</f>
        <v/>
      </c>
      <c r="U75" s="1424" t="str">
        <f ca="1">IF(COUNTIF(Data!$H$16:$H$100,CONCATENATE(Data_3!$B75,"_",Data_3!U$11))=1,U$11,"")</f>
        <v/>
      </c>
      <c r="V75" s="1424" t="str">
        <f ca="1">IF(COUNTIF(Data!$H$16:$H$100,CONCATENATE(Data_3!$B75,"_",Data_3!V$11))=1,V$11,"")</f>
        <v/>
      </c>
      <c r="W75" s="1424" t="str">
        <f ca="1">IF(COUNTIF(Data!$H$16:$H$100,CONCATENATE(Data_3!$B75,"_",Data_3!W$11))=1,W$11,"")</f>
        <v/>
      </c>
      <c r="X75" s="1424" t="str">
        <f ca="1">IF(COUNTIF(Data!$H$16:$H$100,CONCATENATE(Data_3!$B75,"_",Data_3!X$11))=1,X$11,"")</f>
        <v/>
      </c>
      <c r="Y75" s="1424" t="str">
        <f ca="1">IF(COUNTIF(Data!$H$16:$H$100,CONCATENATE(Data_3!$B75,"_",Data_3!Y$11))=1,Y$11,"")</f>
        <v/>
      </c>
      <c r="Z75" s="15"/>
      <c r="AA75" s="15"/>
      <c r="AB75" s="15"/>
      <c r="AC75" s="15"/>
      <c r="AD75" s="15"/>
      <c r="AE75" s="15"/>
      <c r="AF75" s="15"/>
      <c r="AG75" s="15"/>
      <c r="AH75" s="15"/>
      <c r="AI75" s="15"/>
      <c r="AJ75" s="15"/>
      <c r="AK75" s="15"/>
      <c r="AL75" s="15"/>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c r="BQ75" s="15"/>
      <c r="BR75" s="15"/>
      <c r="BS75" s="15"/>
      <c r="BT75" s="15"/>
      <c r="BU75" s="15"/>
      <c r="BV75" s="15"/>
      <c r="BW75" s="15"/>
      <c r="BX75" s="15"/>
      <c r="BY75" s="15"/>
      <c r="BZ75" s="15"/>
      <c r="CA75" s="15"/>
      <c r="CB75" s="15"/>
      <c r="CC75" s="15"/>
      <c r="CD75" s="15"/>
      <c r="CE75" s="15"/>
      <c r="CF75" s="15"/>
      <c r="CG75" s="15"/>
      <c r="CH75" s="15"/>
      <c r="CI75" s="15"/>
      <c r="CJ75" s="15"/>
      <c r="CK75" s="15"/>
      <c r="CL75" s="15"/>
      <c r="CM75" s="15"/>
      <c r="CN75" s="15"/>
      <c r="CO75" s="15"/>
      <c r="CP75" s="15"/>
      <c r="CQ75" s="15"/>
      <c r="CR75" s="15"/>
      <c r="CS75" s="15"/>
      <c r="CT75" s="15"/>
      <c r="CU75" s="15"/>
      <c r="CV75" s="15"/>
      <c r="CW75" s="15"/>
      <c r="CX75" s="15"/>
      <c r="CY75" s="15"/>
      <c r="CZ75" s="15"/>
      <c r="DA75" s="15"/>
      <c r="DB75" s="15"/>
      <c r="DC75" s="15"/>
      <c r="DD75" s="15"/>
      <c r="DE75" s="15"/>
      <c r="DF75" s="15"/>
      <c r="DG75" s="15"/>
      <c r="DH75" s="15"/>
      <c r="DI75" s="15"/>
      <c r="DJ75" s="15"/>
      <c r="DK75" s="15"/>
      <c r="DL75" s="15"/>
      <c r="DM75" s="15"/>
      <c r="DN75" s="15"/>
      <c r="DO75" s="15"/>
      <c r="DP75" s="15"/>
      <c r="DQ75" s="15"/>
      <c r="DR75" s="15"/>
      <c r="DS75" s="15"/>
      <c r="DT75" s="15"/>
      <c r="DU75" s="15"/>
      <c r="DV75" s="15"/>
      <c r="DW75" s="15"/>
      <c r="DX75" s="15"/>
      <c r="DY75" s="15"/>
      <c r="DZ75" s="15"/>
      <c r="EA75" s="15"/>
      <c r="EB75" s="15"/>
      <c r="EC75" s="15"/>
      <c r="ED75" s="15"/>
      <c r="EE75" s="15"/>
      <c r="EF75" s="15"/>
      <c r="EG75" s="15"/>
      <c r="EH75" s="15"/>
    </row>
    <row r="76" spans="1:138" s="34" customFormat="1" ht="15" customHeight="1">
      <c r="A76" s="642"/>
      <c r="B76" s="1455" t="str">
        <f t="array" aca="1" ref="B76" ca="1">IFERROR(INDEX(Data!$B$16:$B$96,MATCH(0,COUNTIF($B$12:B75,Data!$B$16:$B$96),0)),"")</f>
        <v/>
      </c>
      <c r="C76" s="1345">
        <v>64</v>
      </c>
      <c r="D76" s="1424" t="s">
        <v>182</v>
      </c>
      <c r="E76" s="1424" t="str">
        <f ca="1">IF(COUNTIF(Data!$H$16:$H$100,CONCATENATE(Data_3!$B76,"_",Data_3!E$11))=1,E$11,"")</f>
        <v/>
      </c>
      <c r="F76" s="1424" t="str">
        <f ca="1">IF(COUNTIF(Data!$H$16:$H$100,CONCATENATE(Data_3!$B76,"_",Data_3!F$11))=1,F$11,"")</f>
        <v/>
      </c>
      <c r="G76" s="1424" t="str">
        <f ca="1">IF(COUNTIF(Data!$H$16:$H$100,CONCATENATE(Data_3!$B76,"_",Data_3!G$11))=1,G$11,"")</f>
        <v/>
      </c>
      <c r="H76" s="1424" t="str">
        <f ca="1">IF(COUNTIF(Data!$H$16:$H$100,CONCATENATE(Data_3!$B76,"_",Data_3!H$11))=1,H$11,"")</f>
        <v/>
      </c>
      <c r="I76" s="1424" t="str">
        <f ca="1">IF(COUNTIF(Data!$H$16:$H$100,CONCATENATE(Data_3!$B76,"_",Data_3!I$11))=1,I$11,"")</f>
        <v/>
      </c>
      <c r="J76" s="1424" t="str">
        <f ca="1">IF(COUNTIF(Data!$H$16:$H$100,CONCATENATE(Data_3!$B76,"_",Data_3!J$11))=1,J$11,"")</f>
        <v/>
      </c>
      <c r="K76" s="1424" t="str">
        <f ca="1">IF(COUNTIF(Data!$H$16:$H$100,CONCATENATE(Data_3!$B76,"_",Data_3!K$11))=1,K$11,"")</f>
        <v/>
      </c>
      <c r="L76" s="1424" t="str">
        <f ca="1">IF(COUNTIF(Data!$H$16:$H$100,CONCATENATE(Data_3!$B76,"_",Data_3!L$11))=1,L$11,"")</f>
        <v/>
      </c>
      <c r="M76" s="1424" t="str">
        <f ca="1">IF(COUNTIF(Data!$H$16:$H$100,CONCATENATE(Data_3!$B76,"_",Data_3!M$11))=1,M$11,"")</f>
        <v/>
      </c>
      <c r="N76" s="1424" t="str">
        <f ca="1">IF(COUNTIF(Data!$H$16:$H$100,CONCATENATE(Data_3!$B76,"_",Data_3!N$11))=1,N$11,"")</f>
        <v/>
      </c>
      <c r="O76" s="1424" t="str">
        <f ca="1">IF(COUNTIF(Data!$H$16:$H$100,CONCATENATE(Data_3!$B76,"_",Data_3!O$11))=1,O$11,"")</f>
        <v/>
      </c>
      <c r="P76" s="1424" t="str">
        <f ca="1">IF(COUNTIF(Data!$H$16:$H$100,CONCATENATE(Data_3!$B76,"_",Data_3!P$11))=1,P$11,"")</f>
        <v/>
      </c>
      <c r="Q76" s="1424" t="str">
        <f ca="1">IF(COUNTIF(Data!$H$16:$H$100,CONCATENATE(Data_3!$B76,"_",Data_3!Q$11))=1,Q$11,"")</f>
        <v/>
      </c>
      <c r="R76" s="1424" t="str">
        <f ca="1">IF(COUNTIF(Data!$H$16:$H$100,CONCATENATE(Data_3!$B76,"_",Data_3!R$11))=1,R$11,"")</f>
        <v/>
      </c>
      <c r="S76" s="1424" t="str">
        <f ca="1">IF(COUNTIF(Data!$H$16:$H$100,CONCATENATE(Data_3!$B76,"_",Data_3!S$11))=1,S$11,"")</f>
        <v/>
      </c>
      <c r="T76" s="1424" t="str">
        <f ca="1">IF(COUNTIF(Data!$H$16:$H$100,CONCATENATE(Data_3!$B76,"_",Data_3!T$11))=1,T$11,"")</f>
        <v/>
      </c>
      <c r="U76" s="1424" t="str">
        <f ca="1">IF(COUNTIF(Data!$H$16:$H$100,CONCATENATE(Data_3!$B76,"_",Data_3!U$11))=1,U$11,"")</f>
        <v/>
      </c>
      <c r="V76" s="1424" t="str">
        <f ca="1">IF(COUNTIF(Data!$H$16:$H$100,CONCATENATE(Data_3!$B76,"_",Data_3!V$11))=1,V$11,"")</f>
        <v/>
      </c>
      <c r="W76" s="1424" t="str">
        <f ca="1">IF(COUNTIF(Data!$H$16:$H$100,CONCATENATE(Data_3!$B76,"_",Data_3!W$11))=1,W$11,"")</f>
        <v/>
      </c>
      <c r="X76" s="1424" t="str">
        <f ca="1">IF(COUNTIF(Data!$H$16:$H$100,CONCATENATE(Data_3!$B76,"_",Data_3!X$11))=1,X$11,"")</f>
        <v/>
      </c>
      <c r="Y76" s="1424" t="str">
        <f ca="1">IF(COUNTIF(Data!$H$16:$H$100,CONCATENATE(Data_3!$B76,"_",Data_3!Y$11))=1,Y$11,"")</f>
        <v/>
      </c>
      <c r="Z76" s="15"/>
      <c r="AA76" s="15"/>
      <c r="AB76" s="15"/>
      <c r="AC76" s="15"/>
      <c r="AD76" s="15"/>
      <c r="AE76" s="15"/>
      <c r="AF76" s="15"/>
      <c r="AG76" s="15"/>
      <c r="AH76" s="15"/>
      <c r="AI76" s="15"/>
      <c r="AJ76" s="15"/>
      <c r="AK76" s="15"/>
      <c r="AL76" s="15"/>
      <c r="AM76" s="15"/>
      <c r="AN76" s="15"/>
      <c r="AO76" s="15"/>
      <c r="AP76" s="15"/>
      <c r="AQ76" s="15"/>
      <c r="AR76" s="15"/>
      <c r="AS76" s="15"/>
      <c r="AT76" s="15"/>
      <c r="AU76" s="15"/>
      <c r="AV76" s="15"/>
      <c r="AW76" s="15"/>
      <c r="AX76" s="15"/>
      <c r="AY76" s="15"/>
      <c r="AZ76" s="15"/>
      <c r="BA76" s="15"/>
      <c r="BB76" s="15"/>
      <c r="BC76" s="15"/>
      <c r="BD76" s="15"/>
      <c r="BE76" s="15"/>
      <c r="BF76" s="15"/>
      <c r="BG76" s="15"/>
      <c r="BH76" s="15"/>
      <c r="BI76" s="15"/>
      <c r="BJ76" s="15"/>
      <c r="BK76" s="15"/>
      <c r="BL76" s="15"/>
      <c r="BM76" s="15"/>
      <c r="BN76" s="15"/>
      <c r="BO76" s="15"/>
      <c r="BP76" s="15"/>
      <c r="BQ76" s="15"/>
      <c r="BR76" s="15"/>
      <c r="BS76" s="15"/>
      <c r="BT76" s="15"/>
      <c r="BU76" s="15"/>
      <c r="BV76" s="15"/>
      <c r="BW76" s="15"/>
      <c r="BX76" s="15"/>
      <c r="BY76" s="15"/>
      <c r="BZ76" s="15"/>
      <c r="CA76" s="15"/>
      <c r="CB76" s="15"/>
      <c r="CC76" s="15"/>
      <c r="CD76" s="15"/>
      <c r="CE76" s="15"/>
      <c r="CF76" s="15"/>
      <c r="CG76" s="15"/>
      <c r="CH76" s="15"/>
      <c r="CI76" s="15"/>
      <c r="CJ76" s="15"/>
      <c r="CK76" s="15"/>
      <c r="CL76" s="15"/>
      <c r="CM76" s="15"/>
      <c r="CN76" s="15"/>
      <c r="CO76" s="15"/>
      <c r="CP76" s="15"/>
      <c r="CQ76" s="15"/>
      <c r="CR76" s="15"/>
      <c r="CS76" s="15"/>
      <c r="CT76" s="15"/>
      <c r="CU76" s="15"/>
      <c r="CV76" s="15"/>
      <c r="CW76" s="15"/>
      <c r="CX76" s="15"/>
      <c r="CY76" s="15"/>
      <c r="CZ76" s="15"/>
      <c r="DA76" s="15"/>
      <c r="DB76" s="15"/>
      <c r="DC76" s="15"/>
      <c r="DD76" s="15"/>
      <c r="DE76" s="15"/>
      <c r="DF76" s="15"/>
      <c r="DG76" s="15"/>
      <c r="DH76" s="15"/>
      <c r="DI76" s="15"/>
      <c r="DJ76" s="15"/>
      <c r="DK76" s="15"/>
      <c r="DL76" s="15"/>
      <c r="DM76" s="15"/>
      <c r="DN76" s="15"/>
      <c r="DO76" s="15"/>
      <c r="DP76" s="15"/>
      <c r="DQ76" s="15"/>
      <c r="DR76" s="15"/>
      <c r="DS76" s="15"/>
      <c r="DT76" s="15"/>
      <c r="DU76" s="15"/>
      <c r="DV76" s="15"/>
      <c r="DW76" s="15"/>
      <c r="DX76" s="15"/>
      <c r="DY76" s="15"/>
      <c r="DZ76" s="15"/>
      <c r="EA76" s="15"/>
      <c r="EB76" s="15"/>
      <c r="EC76" s="15"/>
      <c r="ED76" s="15"/>
      <c r="EE76" s="15"/>
      <c r="EF76" s="15"/>
      <c r="EG76" s="15"/>
      <c r="EH76" s="15"/>
    </row>
    <row r="77" spans="1:138" s="34" customFormat="1" ht="15" customHeight="1">
      <c r="A77" s="642"/>
      <c r="B77" s="1455" t="str">
        <f t="array" aca="1" ref="B77" ca="1">IFERROR(INDEX(Data!$B$16:$B$96,MATCH(0,COUNTIF($B$12:B76,Data!$B$16:$B$96),0)),"")</f>
        <v/>
      </c>
      <c r="C77" s="1345">
        <v>65</v>
      </c>
      <c r="D77" s="1424" t="s">
        <v>182</v>
      </c>
      <c r="E77" s="1424" t="str">
        <f ca="1">IF(COUNTIF(Data!$H$16:$H$100,CONCATENATE(Data_3!$B77,"_",Data_3!E$11))=1,E$11,"")</f>
        <v/>
      </c>
      <c r="F77" s="1424" t="str">
        <f ca="1">IF(COUNTIF(Data!$H$16:$H$100,CONCATENATE(Data_3!$B77,"_",Data_3!F$11))=1,F$11,"")</f>
        <v/>
      </c>
      <c r="G77" s="1424" t="str">
        <f ca="1">IF(COUNTIF(Data!$H$16:$H$100,CONCATENATE(Data_3!$B77,"_",Data_3!G$11))=1,G$11,"")</f>
        <v/>
      </c>
      <c r="H77" s="1424" t="str">
        <f ca="1">IF(COUNTIF(Data!$H$16:$H$100,CONCATENATE(Data_3!$B77,"_",Data_3!H$11))=1,H$11,"")</f>
        <v/>
      </c>
      <c r="I77" s="1424" t="str">
        <f ca="1">IF(COUNTIF(Data!$H$16:$H$100,CONCATENATE(Data_3!$B77,"_",Data_3!I$11))=1,I$11,"")</f>
        <v/>
      </c>
      <c r="J77" s="1424" t="str">
        <f ca="1">IF(COUNTIF(Data!$H$16:$H$100,CONCATENATE(Data_3!$B77,"_",Data_3!J$11))=1,J$11,"")</f>
        <v/>
      </c>
      <c r="K77" s="1424" t="str">
        <f ca="1">IF(COUNTIF(Data!$H$16:$H$100,CONCATENATE(Data_3!$B77,"_",Data_3!K$11))=1,K$11,"")</f>
        <v/>
      </c>
      <c r="L77" s="1424" t="str">
        <f ca="1">IF(COUNTIF(Data!$H$16:$H$100,CONCATENATE(Data_3!$B77,"_",Data_3!L$11))=1,L$11,"")</f>
        <v/>
      </c>
      <c r="M77" s="1424" t="str">
        <f ca="1">IF(COUNTIF(Data!$H$16:$H$100,CONCATENATE(Data_3!$B77,"_",Data_3!M$11))=1,M$11,"")</f>
        <v/>
      </c>
      <c r="N77" s="1424" t="str">
        <f ca="1">IF(COUNTIF(Data!$H$16:$H$100,CONCATENATE(Data_3!$B77,"_",Data_3!N$11))=1,N$11,"")</f>
        <v/>
      </c>
      <c r="O77" s="1424" t="str">
        <f ca="1">IF(COUNTIF(Data!$H$16:$H$100,CONCATENATE(Data_3!$B77,"_",Data_3!O$11))=1,O$11,"")</f>
        <v/>
      </c>
      <c r="P77" s="1424" t="str">
        <f ca="1">IF(COUNTIF(Data!$H$16:$H$100,CONCATENATE(Data_3!$B77,"_",Data_3!P$11))=1,P$11,"")</f>
        <v/>
      </c>
      <c r="Q77" s="1424" t="str">
        <f ca="1">IF(COUNTIF(Data!$H$16:$H$100,CONCATENATE(Data_3!$B77,"_",Data_3!Q$11))=1,Q$11,"")</f>
        <v/>
      </c>
      <c r="R77" s="1424" t="str">
        <f ca="1">IF(COUNTIF(Data!$H$16:$H$100,CONCATENATE(Data_3!$B77,"_",Data_3!R$11))=1,R$11,"")</f>
        <v/>
      </c>
      <c r="S77" s="1424" t="str">
        <f ca="1">IF(COUNTIF(Data!$H$16:$H$100,CONCATENATE(Data_3!$B77,"_",Data_3!S$11))=1,S$11,"")</f>
        <v/>
      </c>
      <c r="T77" s="1424" t="str">
        <f ca="1">IF(COUNTIF(Data!$H$16:$H$100,CONCATENATE(Data_3!$B77,"_",Data_3!T$11))=1,T$11,"")</f>
        <v/>
      </c>
      <c r="U77" s="1424" t="str">
        <f ca="1">IF(COUNTIF(Data!$H$16:$H$100,CONCATENATE(Data_3!$B77,"_",Data_3!U$11))=1,U$11,"")</f>
        <v/>
      </c>
      <c r="V77" s="1424" t="str">
        <f ca="1">IF(COUNTIF(Data!$H$16:$H$100,CONCATENATE(Data_3!$B77,"_",Data_3!V$11))=1,V$11,"")</f>
        <v/>
      </c>
      <c r="W77" s="1424" t="str">
        <f ca="1">IF(COUNTIF(Data!$H$16:$H$100,CONCATENATE(Data_3!$B77,"_",Data_3!W$11))=1,W$11,"")</f>
        <v/>
      </c>
      <c r="X77" s="1424" t="str">
        <f ca="1">IF(COUNTIF(Data!$H$16:$H$100,CONCATENATE(Data_3!$B77,"_",Data_3!X$11))=1,X$11,"")</f>
        <v/>
      </c>
      <c r="Y77" s="1424" t="str">
        <f ca="1">IF(COUNTIF(Data!$H$16:$H$100,CONCATENATE(Data_3!$B77,"_",Data_3!Y$11))=1,Y$11,"")</f>
        <v/>
      </c>
      <c r="Z77" s="15"/>
      <c r="AA77" s="15"/>
      <c r="AB77" s="15"/>
      <c r="AC77" s="15"/>
      <c r="AD77" s="15"/>
      <c r="AE77" s="15"/>
      <c r="AF77" s="15"/>
      <c r="AG77" s="15"/>
      <c r="AH77" s="15"/>
      <c r="AI77" s="15"/>
      <c r="AJ77" s="15"/>
      <c r="AK77" s="15"/>
      <c r="AL77" s="15"/>
      <c r="AM77" s="15"/>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BN77" s="15"/>
      <c r="BO77" s="15"/>
      <c r="BP77" s="15"/>
      <c r="BQ77" s="15"/>
      <c r="BR77" s="15"/>
      <c r="BS77" s="15"/>
      <c r="BT77" s="15"/>
      <c r="BU77" s="15"/>
      <c r="BV77" s="15"/>
      <c r="BW77" s="15"/>
      <c r="BX77" s="15"/>
      <c r="BY77" s="15"/>
      <c r="BZ77" s="15"/>
      <c r="CA77" s="15"/>
      <c r="CB77" s="15"/>
      <c r="CC77" s="15"/>
      <c r="CD77" s="15"/>
      <c r="CE77" s="15"/>
      <c r="CF77" s="15"/>
      <c r="CG77" s="15"/>
      <c r="CH77" s="15"/>
      <c r="CI77" s="15"/>
      <c r="CJ77" s="15"/>
      <c r="CK77" s="15"/>
      <c r="CL77" s="15"/>
      <c r="CM77" s="15"/>
      <c r="CN77" s="15"/>
      <c r="CO77" s="15"/>
      <c r="CP77" s="15"/>
      <c r="CQ77" s="15"/>
      <c r="CR77" s="15"/>
      <c r="CS77" s="15"/>
      <c r="CT77" s="15"/>
      <c r="CU77" s="15"/>
      <c r="CV77" s="15"/>
      <c r="CW77" s="15"/>
      <c r="CX77" s="15"/>
      <c r="CY77" s="15"/>
      <c r="CZ77" s="15"/>
      <c r="DA77" s="15"/>
      <c r="DB77" s="15"/>
      <c r="DC77" s="15"/>
      <c r="DD77" s="15"/>
      <c r="DE77" s="15"/>
      <c r="DF77" s="15"/>
      <c r="DG77" s="15"/>
      <c r="DH77" s="15"/>
      <c r="DI77" s="15"/>
      <c r="DJ77" s="15"/>
      <c r="DK77" s="15"/>
      <c r="DL77" s="15"/>
      <c r="DM77" s="15"/>
      <c r="DN77" s="15"/>
      <c r="DO77" s="15"/>
      <c r="DP77" s="15"/>
      <c r="DQ77" s="15"/>
      <c r="DR77" s="15"/>
      <c r="DS77" s="15"/>
      <c r="DT77" s="15"/>
      <c r="DU77" s="15"/>
      <c r="DV77" s="15"/>
      <c r="DW77" s="15"/>
      <c r="DX77" s="15"/>
      <c r="DY77" s="15"/>
      <c r="DZ77" s="15"/>
      <c r="EA77" s="15"/>
      <c r="EB77" s="15"/>
      <c r="EC77" s="15"/>
      <c r="ED77" s="15"/>
      <c r="EE77" s="15"/>
      <c r="EF77" s="15"/>
      <c r="EG77" s="15"/>
      <c r="EH77" s="15"/>
    </row>
    <row r="78" spans="1:138" s="34" customFormat="1" ht="15" customHeight="1">
      <c r="A78" s="642"/>
      <c r="B78" s="1455" t="str">
        <f t="array" aca="1" ref="B78" ca="1">IFERROR(INDEX(Data!$B$16:$B$96,MATCH(0,COUNTIF($B$12:B77,Data!$B$16:$B$96),0)),"")</f>
        <v/>
      </c>
      <c r="C78" s="1345">
        <v>66</v>
      </c>
      <c r="D78" s="1424" t="s">
        <v>182</v>
      </c>
      <c r="E78" s="1424" t="str">
        <f ca="1">IF(COUNTIF(Data!$H$16:$H$100,CONCATENATE(Data_3!$B78,"_",Data_3!E$11))=1,E$11,"")</f>
        <v/>
      </c>
      <c r="F78" s="1424" t="str">
        <f ca="1">IF(COUNTIF(Data!$H$16:$H$100,CONCATENATE(Data_3!$B78,"_",Data_3!F$11))=1,F$11,"")</f>
        <v/>
      </c>
      <c r="G78" s="1424" t="str">
        <f ca="1">IF(COUNTIF(Data!$H$16:$H$100,CONCATENATE(Data_3!$B78,"_",Data_3!G$11))=1,G$11,"")</f>
        <v/>
      </c>
      <c r="H78" s="1424" t="str">
        <f ca="1">IF(COUNTIF(Data!$H$16:$H$100,CONCATENATE(Data_3!$B78,"_",Data_3!H$11))=1,H$11,"")</f>
        <v/>
      </c>
      <c r="I78" s="1424" t="str">
        <f ca="1">IF(COUNTIF(Data!$H$16:$H$100,CONCATENATE(Data_3!$B78,"_",Data_3!I$11))=1,I$11,"")</f>
        <v/>
      </c>
      <c r="J78" s="1424" t="str">
        <f ca="1">IF(COUNTIF(Data!$H$16:$H$100,CONCATENATE(Data_3!$B78,"_",Data_3!J$11))=1,J$11,"")</f>
        <v/>
      </c>
      <c r="K78" s="1424" t="str">
        <f ca="1">IF(COUNTIF(Data!$H$16:$H$100,CONCATENATE(Data_3!$B78,"_",Data_3!K$11))=1,K$11,"")</f>
        <v/>
      </c>
      <c r="L78" s="1424" t="str">
        <f ca="1">IF(COUNTIF(Data!$H$16:$H$100,CONCATENATE(Data_3!$B78,"_",Data_3!L$11))=1,L$11,"")</f>
        <v/>
      </c>
      <c r="M78" s="1424" t="str">
        <f ca="1">IF(COUNTIF(Data!$H$16:$H$100,CONCATENATE(Data_3!$B78,"_",Data_3!M$11))=1,M$11,"")</f>
        <v/>
      </c>
      <c r="N78" s="1424" t="str">
        <f ca="1">IF(COUNTIF(Data!$H$16:$H$100,CONCATENATE(Data_3!$B78,"_",Data_3!N$11))=1,N$11,"")</f>
        <v/>
      </c>
      <c r="O78" s="1424" t="str">
        <f ca="1">IF(COUNTIF(Data!$H$16:$H$100,CONCATENATE(Data_3!$B78,"_",Data_3!O$11))=1,O$11,"")</f>
        <v/>
      </c>
      <c r="P78" s="1424" t="str">
        <f ca="1">IF(COUNTIF(Data!$H$16:$H$100,CONCATENATE(Data_3!$B78,"_",Data_3!P$11))=1,P$11,"")</f>
        <v/>
      </c>
      <c r="Q78" s="1424" t="str">
        <f ca="1">IF(COUNTIF(Data!$H$16:$H$100,CONCATENATE(Data_3!$B78,"_",Data_3!Q$11))=1,Q$11,"")</f>
        <v/>
      </c>
      <c r="R78" s="1424" t="str">
        <f ca="1">IF(COUNTIF(Data!$H$16:$H$100,CONCATENATE(Data_3!$B78,"_",Data_3!R$11))=1,R$11,"")</f>
        <v/>
      </c>
      <c r="S78" s="1424" t="str">
        <f ca="1">IF(COUNTIF(Data!$H$16:$H$100,CONCATENATE(Data_3!$B78,"_",Data_3!S$11))=1,S$11,"")</f>
        <v/>
      </c>
      <c r="T78" s="1424" t="str">
        <f ca="1">IF(COUNTIF(Data!$H$16:$H$100,CONCATENATE(Data_3!$B78,"_",Data_3!T$11))=1,T$11,"")</f>
        <v/>
      </c>
      <c r="U78" s="1424" t="str">
        <f ca="1">IF(COUNTIF(Data!$H$16:$H$100,CONCATENATE(Data_3!$B78,"_",Data_3!U$11))=1,U$11,"")</f>
        <v/>
      </c>
      <c r="V78" s="1424" t="str">
        <f ca="1">IF(COUNTIF(Data!$H$16:$H$100,CONCATENATE(Data_3!$B78,"_",Data_3!V$11))=1,V$11,"")</f>
        <v/>
      </c>
      <c r="W78" s="1424" t="str">
        <f ca="1">IF(COUNTIF(Data!$H$16:$H$100,CONCATENATE(Data_3!$B78,"_",Data_3!W$11))=1,W$11,"")</f>
        <v/>
      </c>
      <c r="X78" s="1424" t="str">
        <f ca="1">IF(COUNTIF(Data!$H$16:$H$100,CONCATENATE(Data_3!$B78,"_",Data_3!X$11))=1,X$11,"")</f>
        <v/>
      </c>
      <c r="Y78" s="1424" t="str">
        <f ca="1">IF(COUNTIF(Data!$H$16:$H$100,CONCATENATE(Data_3!$B78,"_",Data_3!Y$11))=1,Y$11,"")</f>
        <v/>
      </c>
      <c r="Z78" s="15"/>
      <c r="AA78" s="15"/>
      <c r="AB78" s="15"/>
      <c r="AC78" s="15"/>
      <c r="AD78" s="15"/>
      <c r="AE78" s="15"/>
      <c r="AF78" s="15"/>
      <c r="AG78" s="15"/>
      <c r="AH78" s="15"/>
      <c r="AI78" s="15"/>
      <c r="AJ78" s="15"/>
      <c r="AK78" s="15"/>
      <c r="AL78" s="15"/>
      <c r="AM78" s="15"/>
      <c r="AN78" s="15"/>
      <c r="AO78" s="15"/>
      <c r="AP78" s="15"/>
      <c r="AQ78" s="15"/>
      <c r="AR78" s="15"/>
      <c r="AS78" s="15"/>
      <c r="AT78" s="15"/>
      <c r="AU78" s="15"/>
      <c r="AV78" s="15"/>
      <c r="AW78" s="15"/>
      <c r="AX78" s="15"/>
      <c r="AY78" s="15"/>
      <c r="AZ78" s="15"/>
      <c r="BA78" s="15"/>
      <c r="BB78" s="15"/>
      <c r="BC78" s="15"/>
      <c r="BD78" s="15"/>
      <c r="BE78" s="15"/>
      <c r="BF78" s="15"/>
      <c r="BG78" s="15"/>
      <c r="BH78" s="15"/>
      <c r="BI78" s="15"/>
      <c r="BJ78" s="15"/>
      <c r="BK78" s="15"/>
      <c r="BL78" s="15"/>
      <c r="BM78" s="15"/>
      <c r="BN78" s="15"/>
      <c r="BO78" s="15"/>
      <c r="BP78" s="15"/>
      <c r="BQ78" s="15"/>
      <c r="BR78" s="15"/>
      <c r="BS78" s="15"/>
      <c r="BT78" s="15"/>
      <c r="BU78" s="15"/>
      <c r="BV78" s="15"/>
      <c r="BW78" s="15"/>
      <c r="BX78" s="15"/>
      <c r="BY78" s="15"/>
      <c r="BZ78" s="15"/>
      <c r="CA78" s="15"/>
      <c r="CB78" s="15"/>
      <c r="CC78" s="15"/>
      <c r="CD78" s="15"/>
      <c r="CE78" s="15"/>
      <c r="CF78" s="15"/>
      <c r="CG78" s="15"/>
      <c r="CH78" s="15"/>
      <c r="CI78" s="15"/>
      <c r="CJ78" s="15"/>
      <c r="CK78" s="15"/>
      <c r="CL78" s="15"/>
      <c r="CM78" s="15"/>
      <c r="CN78" s="15"/>
      <c r="CO78" s="15"/>
      <c r="CP78" s="15"/>
      <c r="CQ78" s="15"/>
      <c r="CR78" s="15"/>
      <c r="CS78" s="15"/>
      <c r="CT78" s="15"/>
      <c r="CU78" s="15"/>
      <c r="CV78" s="15"/>
      <c r="CW78" s="15"/>
      <c r="CX78" s="15"/>
      <c r="CY78" s="15"/>
      <c r="CZ78" s="15"/>
      <c r="DA78" s="15"/>
      <c r="DB78" s="15"/>
      <c r="DC78" s="15"/>
      <c r="DD78" s="15"/>
      <c r="DE78" s="15"/>
      <c r="DF78" s="15"/>
      <c r="DG78" s="15"/>
      <c r="DH78" s="15"/>
      <c r="DI78" s="15"/>
      <c r="DJ78" s="15"/>
      <c r="DK78" s="15"/>
      <c r="DL78" s="15"/>
      <c r="DM78" s="15"/>
      <c r="DN78" s="15"/>
      <c r="DO78" s="15"/>
      <c r="DP78" s="15"/>
      <c r="DQ78" s="15"/>
      <c r="DR78" s="15"/>
      <c r="DS78" s="15"/>
      <c r="DT78" s="15"/>
      <c r="DU78" s="15"/>
      <c r="DV78" s="15"/>
      <c r="DW78" s="15"/>
      <c r="DX78" s="15"/>
      <c r="DY78" s="15"/>
      <c r="DZ78" s="15"/>
      <c r="EA78" s="15"/>
      <c r="EB78" s="15"/>
      <c r="EC78" s="15"/>
      <c r="ED78" s="15"/>
      <c r="EE78" s="15"/>
      <c r="EF78" s="15"/>
      <c r="EG78" s="15"/>
      <c r="EH78" s="15"/>
    </row>
    <row r="79" spans="1:138" s="34" customFormat="1" ht="15" customHeight="1">
      <c r="A79" s="642"/>
      <c r="B79" s="1455" t="str">
        <f t="array" aca="1" ref="B79" ca="1">IFERROR(INDEX(Data!$B$16:$B$96,MATCH(0,COUNTIF($B$12:B78,Data!$B$16:$B$96),0)),"")</f>
        <v/>
      </c>
      <c r="C79" s="1345">
        <v>67</v>
      </c>
      <c r="D79" s="1424" t="s">
        <v>182</v>
      </c>
      <c r="E79" s="1424" t="str">
        <f ca="1">IF(COUNTIF(Data!$H$16:$H$100,CONCATENATE(Data_3!$B79,"_",Data_3!E$11))=1,E$11,"")</f>
        <v/>
      </c>
      <c r="F79" s="1424" t="str">
        <f ca="1">IF(COUNTIF(Data!$H$16:$H$100,CONCATENATE(Data_3!$B79,"_",Data_3!F$11))=1,F$11,"")</f>
        <v/>
      </c>
      <c r="G79" s="1424" t="str">
        <f ca="1">IF(COUNTIF(Data!$H$16:$H$100,CONCATENATE(Data_3!$B79,"_",Data_3!G$11))=1,G$11,"")</f>
        <v/>
      </c>
      <c r="H79" s="1424" t="str">
        <f ca="1">IF(COUNTIF(Data!$H$16:$H$100,CONCATENATE(Data_3!$B79,"_",Data_3!H$11))=1,H$11,"")</f>
        <v/>
      </c>
      <c r="I79" s="1424" t="str">
        <f ca="1">IF(COUNTIF(Data!$H$16:$H$100,CONCATENATE(Data_3!$B79,"_",Data_3!I$11))=1,I$11,"")</f>
        <v/>
      </c>
      <c r="J79" s="1424" t="str">
        <f ca="1">IF(COUNTIF(Data!$H$16:$H$100,CONCATENATE(Data_3!$B79,"_",Data_3!J$11))=1,J$11,"")</f>
        <v/>
      </c>
      <c r="K79" s="1424" t="str">
        <f ca="1">IF(COUNTIF(Data!$H$16:$H$100,CONCATENATE(Data_3!$B79,"_",Data_3!K$11))=1,K$11,"")</f>
        <v/>
      </c>
      <c r="L79" s="1424" t="str">
        <f ca="1">IF(COUNTIF(Data!$H$16:$H$100,CONCATENATE(Data_3!$B79,"_",Data_3!L$11))=1,L$11,"")</f>
        <v/>
      </c>
      <c r="M79" s="1424" t="str">
        <f ca="1">IF(COUNTIF(Data!$H$16:$H$100,CONCATENATE(Data_3!$B79,"_",Data_3!M$11))=1,M$11,"")</f>
        <v/>
      </c>
      <c r="N79" s="1424" t="str">
        <f ca="1">IF(COUNTIF(Data!$H$16:$H$100,CONCATENATE(Data_3!$B79,"_",Data_3!N$11))=1,N$11,"")</f>
        <v/>
      </c>
      <c r="O79" s="1424" t="str">
        <f ca="1">IF(COUNTIF(Data!$H$16:$H$100,CONCATENATE(Data_3!$B79,"_",Data_3!O$11))=1,O$11,"")</f>
        <v/>
      </c>
      <c r="P79" s="1424" t="str">
        <f ca="1">IF(COUNTIF(Data!$H$16:$H$100,CONCATENATE(Data_3!$B79,"_",Data_3!P$11))=1,P$11,"")</f>
        <v/>
      </c>
      <c r="Q79" s="1424" t="str">
        <f ca="1">IF(COUNTIF(Data!$H$16:$H$100,CONCATENATE(Data_3!$B79,"_",Data_3!Q$11))=1,Q$11,"")</f>
        <v/>
      </c>
      <c r="R79" s="1424" t="str">
        <f ca="1">IF(COUNTIF(Data!$H$16:$H$100,CONCATENATE(Data_3!$B79,"_",Data_3!R$11))=1,R$11,"")</f>
        <v/>
      </c>
      <c r="S79" s="1424" t="str">
        <f ca="1">IF(COUNTIF(Data!$H$16:$H$100,CONCATENATE(Data_3!$B79,"_",Data_3!S$11))=1,S$11,"")</f>
        <v/>
      </c>
      <c r="T79" s="1424" t="str">
        <f ca="1">IF(COUNTIF(Data!$H$16:$H$100,CONCATENATE(Data_3!$B79,"_",Data_3!T$11))=1,T$11,"")</f>
        <v/>
      </c>
      <c r="U79" s="1424" t="str">
        <f ca="1">IF(COUNTIF(Data!$H$16:$H$100,CONCATENATE(Data_3!$B79,"_",Data_3!U$11))=1,U$11,"")</f>
        <v/>
      </c>
      <c r="V79" s="1424" t="str">
        <f ca="1">IF(COUNTIF(Data!$H$16:$H$100,CONCATENATE(Data_3!$B79,"_",Data_3!V$11))=1,V$11,"")</f>
        <v/>
      </c>
      <c r="W79" s="1424" t="str">
        <f ca="1">IF(COUNTIF(Data!$H$16:$H$100,CONCATENATE(Data_3!$B79,"_",Data_3!W$11))=1,W$11,"")</f>
        <v/>
      </c>
      <c r="X79" s="1424" t="str">
        <f ca="1">IF(COUNTIF(Data!$H$16:$H$100,CONCATENATE(Data_3!$B79,"_",Data_3!X$11))=1,X$11,"")</f>
        <v/>
      </c>
      <c r="Y79" s="1424" t="str">
        <f ca="1">IF(COUNTIF(Data!$H$16:$H$100,CONCATENATE(Data_3!$B79,"_",Data_3!Y$11))=1,Y$11,"")</f>
        <v/>
      </c>
      <c r="Z79" s="15"/>
      <c r="AA79" s="15"/>
      <c r="AB79" s="15"/>
      <c r="AC79" s="15"/>
      <c r="AD79" s="15"/>
      <c r="AE79" s="15"/>
      <c r="AF79" s="15"/>
      <c r="AG79" s="15"/>
      <c r="AH79" s="15"/>
      <c r="AI79" s="15"/>
      <c r="AJ79" s="15"/>
      <c r="AK79" s="15"/>
      <c r="AL79" s="15"/>
      <c r="AM79" s="15"/>
      <c r="AN79" s="15"/>
      <c r="AO79" s="15"/>
      <c r="AP79" s="15"/>
      <c r="AQ79" s="15"/>
      <c r="AR79" s="15"/>
      <c r="AS79" s="15"/>
      <c r="AT79" s="15"/>
      <c r="AU79" s="15"/>
      <c r="AV79" s="15"/>
      <c r="AW79" s="15"/>
      <c r="AX79" s="15"/>
      <c r="AY79" s="15"/>
      <c r="AZ79" s="15"/>
      <c r="BA79" s="15"/>
      <c r="BB79" s="15"/>
      <c r="BC79" s="15"/>
      <c r="BD79" s="15"/>
      <c r="BE79" s="15"/>
      <c r="BF79" s="15"/>
      <c r="BG79" s="15"/>
      <c r="BH79" s="15"/>
      <c r="BI79" s="15"/>
      <c r="BJ79" s="15"/>
      <c r="BK79" s="15"/>
      <c r="BL79" s="15"/>
      <c r="BM79" s="15"/>
      <c r="BN79" s="15"/>
      <c r="BO79" s="15"/>
      <c r="BP79" s="15"/>
      <c r="BQ79" s="15"/>
      <c r="BR79" s="15"/>
      <c r="BS79" s="15"/>
      <c r="BT79" s="15"/>
      <c r="BU79" s="15"/>
      <c r="BV79" s="15"/>
      <c r="BW79" s="15"/>
      <c r="BX79" s="15"/>
      <c r="BY79" s="15"/>
      <c r="BZ79" s="15"/>
      <c r="CA79" s="15"/>
      <c r="CB79" s="15"/>
      <c r="CC79" s="15"/>
      <c r="CD79" s="15"/>
      <c r="CE79" s="15"/>
      <c r="CF79" s="15"/>
      <c r="CG79" s="15"/>
      <c r="CH79" s="15"/>
      <c r="CI79" s="15"/>
      <c r="CJ79" s="15"/>
      <c r="CK79" s="15"/>
      <c r="CL79" s="15"/>
      <c r="CM79" s="15"/>
      <c r="CN79" s="15"/>
      <c r="CO79" s="15"/>
      <c r="CP79" s="15"/>
      <c r="CQ79" s="15"/>
      <c r="CR79" s="15"/>
      <c r="CS79" s="15"/>
      <c r="CT79" s="15"/>
      <c r="CU79" s="15"/>
      <c r="CV79" s="15"/>
      <c r="CW79" s="15"/>
      <c r="CX79" s="15"/>
      <c r="CY79" s="15"/>
      <c r="CZ79" s="15"/>
      <c r="DA79" s="15"/>
      <c r="DB79" s="15"/>
      <c r="DC79" s="15"/>
      <c r="DD79" s="15"/>
      <c r="DE79" s="15"/>
      <c r="DF79" s="15"/>
      <c r="DG79" s="15"/>
      <c r="DH79" s="15"/>
      <c r="DI79" s="15"/>
      <c r="DJ79" s="15"/>
      <c r="DK79" s="15"/>
      <c r="DL79" s="15"/>
      <c r="DM79" s="15"/>
      <c r="DN79" s="15"/>
      <c r="DO79" s="15"/>
      <c r="DP79" s="15"/>
      <c r="DQ79" s="15"/>
      <c r="DR79" s="15"/>
      <c r="DS79" s="15"/>
      <c r="DT79" s="15"/>
      <c r="DU79" s="15"/>
      <c r="DV79" s="15"/>
      <c r="DW79" s="15"/>
      <c r="DX79" s="15"/>
      <c r="DY79" s="15"/>
      <c r="DZ79" s="15"/>
      <c r="EA79" s="15"/>
      <c r="EB79" s="15"/>
      <c r="EC79" s="15"/>
      <c r="ED79" s="15"/>
      <c r="EE79" s="15"/>
      <c r="EF79" s="15"/>
      <c r="EG79" s="15"/>
      <c r="EH79" s="15"/>
    </row>
    <row r="80" spans="1:138" s="34" customFormat="1" ht="15" customHeight="1">
      <c r="A80" s="642"/>
      <c r="B80" s="1455" t="str">
        <f t="array" aca="1" ref="B80" ca="1">IFERROR(INDEX(Data!$B$16:$B$96,MATCH(0,COUNTIF($B$12:B79,Data!$B$16:$B$96),0)),"")</f>
        <v/>
      </c>
      <c r="C80" s="1345">
        <v>68</v>
      </c>
      <c r="D80" s="1424" t="s">
        <v>182</v>
      </c>
      <c r="E80" s="1424" t="str">
        <f ca="1">IF(COUNTIF(Data!$H$16:$H$100,CONCATENATE(Data_3!$B80,"_",Data_3!E$11))=1,E$11,"")</f>
        <v/>
      </c>
      <c r="F80" s="1424" t="str">
        <f ca="1">IF(COUNTIF(Data!$H$16:$H$100,CONCATENATE(Data_3!$B80,"_",Data_3!F$11))=1,F$11,"")</f>
        <v/>
      </c>
      <c r="G80" s="1424" t="str">
        <f ca="1">IF(COUNTIF(Data!$H$16:$H$100,CONCATENATE(Data_3!$B80,"_",Data_3!G$11))=1,G$11,"")</f>
        <v/>
      </c>
      <c r="H80" s="1424" t="str">
        <f ca="1">IF(COUNTIF(Data!$H$16:$H$100,CONCATENATE(Data_3!$B80,"_",Data_3!H$11))=1,H$11,"")</f>
        <v/>
      </c>
      <c r="I80" s="1424" t="str">
        <f ca="1">IF(COUNTIF(Data!$H$16:$H$100,CONCATENATE(Data_3!$B80,"_",Data_3!I$11))=1,I$11,"")</f>
        <v/>
      </c>
      <c r="J80" s="1424" t="str">
        <f ca="1">IF(COUNTIF(Data!$H$16:$H$100,CONCATENATE(Data_3!$B80,"_",Data_3!J$11))=1,J$11,"")</f>
        <v/>
      </c>
      <c r="K80" s="1424" t="str">
        <f ca="1">IF(COUNTIF(Data!$H$16:$H$100,CONCATENATE(Data_3!$B80,"_",Data_3!K$11))=1,K$11,"")</f>
        <v/>
      </c>
      <c r="L80" s="1424" t="str">
        <f ca="1">IF(COUNTIF(Data!$H$16:$H$100,CONCATENATE(Data_3!$B80,"_",Data_3!L$11))=1,L$11,"")</f>
        <v/>
      </c>
      <c r="M80" s="1424" t="str">
        <f ca="1">IF(COUNTIF(Data!$H$16:$H$100,CONCATENATE(Data_3!$B80,"_",Data_3!M$11))=1,M$11,"")</f>
        <v/>
      </c>
      <c r="N80" s="1424" t="str">
        <f ca="1">IF(COUNTIF(Data!$H$16:$H$100,CONCATENATE(Data_3!$B80,"_",Data_3!N$11))=1,N$11,"")</f>
        <v/>
      </c>
      <c r="O80" s="1424" t="str">
        <f ca="1">IF(COUNTIF(Data!$H$16:$H$100,CONCATENATE(Data_3!$B80,"_",Data_3!O$11))=1,O$11,"")</f>
        <v/>
      </c>
      <c r="P80" s="1424" t="str">
        <f ca="1">IF(COUNTIF(Data!$H$16:$H$100,CONCATENATE(Data_3!$B80,"_",Data_3!P$11))=1,P$11,"")</f>
        <v/>
      </c>
      <c r="Q80" s="1424" t="str">
        <f ca="1">IF(COUNTIF(Data!$H$16:$H$100,CONCATENATE(Data_3!$B80,"_",Data_3!Q$11))=1,Q$11,"")</f>
        <v/>
      </c>
      <c r="R80" s="1424" t="str">
        <f ca="1">IF(COUNTIF(Data!$H$16:$H$100,CONCATENATE(Data_3!$B80,"_",Data_3!R$11))=1,R$11,"")</f>
        <v/>
      </c>
      <c r="S80" s="1424" t="str">
        <f ca="1">IF(COUNTIF(Data!$H$16:$H$100,CONCATENATE(Data_3!$B80,"_",Data_3!S$11))=1,S$11,"")</f>
        <v/>
      </c>
      <c r="T80" s="1424" t="str">
        <f ca="1">IF(COUNTIF(Data!$H$16:$H$100,CONCATENATE(Data_3!$B80,"_",Data_3!T$11))=1,T$11,"")</f>
        <v/>
      </c>
      <c r="U80" s="1424" t="str">
        <f ca="1">IF(COUNTIF(Data!$H$16:$H$100,CONCATENATE(Data_3!$B80,"_",Data_3!U$11))=1,U$11,"")</f>
        <v/>
      </c>
      <c r="V80" s="1424" t="str">
        <f ca="1">IF(COUNTIF(Data!$H$16:$H$100,CONCATENATE(Data_3!$B80,"_",Data_3!V$11))=1,V$11,"")</f>
        <v/>
      </c>
      <c r="W80" s="1424" t="str">
        <f ca="1">IF(COUNTIF(Data!$H$16:$H$100,CONCATENATE(Data_3!$B80,"_",Data_3!W$11))=1,W$11,"")</f>
        <v/>
      </c>
      <c r="X80" s="1424" t="str">
        <f ca="1">IF(COUNTIF(Data!$H$16:$H$100,CONCATENATE(Data_3!$B80,"_",Data_3!X$11))=1,X$11,"")</f>
        <v/>
      </c>
      <c r="Y80" s="1424" t="str">
        <f ca="1">IF(COUNTIF(Data!$H$16:$H$100,CONCATENATE(Data_3!$B80,"_",Data_3!Y$11))=1,Y$11,"")</f>
        <v/>
      </c>
      <c r="Z80" s="15"/>
      <c r="AA80" s="15"/>
      <c r="AB80" s="15"/>
      <c r="AC80" s="15"/>
      <c r="AD80" s="15"/>
      <c r="AE80" s="15"/>
      <c r="AF80" s="15"/>
      <c r="AG80" s="15"/>
      <c r="AH80" s="15"/>
      <c r="AI80" s="15"/>
      <c r="AJ80" s="15"/>
      <c r="AK80" s="15"/>
      <c r="AL80" s="15"/>
      <c r="AM80" s="15"/>
      <c r="AN80" s="15"/>
      <c r="AO80" s="15"/>
      <c r="AP80" s="15"/>
      <c r="AQ80" s="15"/>
      <c r="AR80" s="15"/>
      <c r="AS80" s="15"/>
      <c r="AT80" s="15"/>
      <c r="AU80" s="15"/>
      <c r="AV80" s="15"/>
      <c r="AW80" s="15"/>
      <c r="AX80" s="15"/>
      <c r="AY80" s="15"/>
      <c r="AZ80" s="15"/>
      <c r="BA80" s="15"/>
      <c r="BB80" s="15"/>
      <c r="BC80" s="15"/>
      <c r="BD80" s="15"/>
      <c r="BE80" s="15"/>
      <c r="BF80" s="15"/>
      <c r="BG80" s="15"/>
      <c r="BH80" s="15"/>
      <c r="BI80" s="15"/>
      <c r="BJ80" s="15"/>
      <c r="BK80" s="15"/>
      <c r="BL80" s="15"/>
      <c r="BM80" s="15"/>
      <c r="BN80" s="15"/>
      <c r="BO80" s="15"/>
      <c r="BP80" s="15"/>
      <c r="BQ80" s="15"/>
      <c r="BR80" s="15"/>
      <c r="BS80" s="15"/>
      <c r="BT80" s="15"/>
      <c r="BU80" s="15"/>
      <c r="BV80" s="15"/>
      <c r="BW80" s="15"/>
      <c r="BX80" s="15"/>
      <c r="BY80" s="15"/>
      <c r="BZ80" s="15"/>
      <c r="CA80" s="15"/>
      <c r="CB80" s="15"/>
      <c r="CC80" s="15"/>
      <c r="CD80" s="15"/>
      <c r="CE80" s="15"/>
      <c r="CF80" s="15"/>
      <c r="CG80" s="15"/>
      <c r="CH80" s="15"/>
      <c r="CI80" s="15"/>
      <c r="CJ80" s="15"/>
      <c r="CK80" s="15"/>
      <c r="CL80" s="15"/>
      <c r="CM80" s="15"/>
      <c r="CN80" s="15"/>
      <c r="CO80" s="15"/>
      <c r="CP80" s="15"/>
      <c r="CQ80" s="15"/>
      <c r="CR80" s="15"/>
      <c r="CS80" s="15"/>
      <c r="CT80" s="15"/>
      <c r="CU80" s="15"/>
      <c r="CV80" s="15"/>
      <c r="CW80" s="15"/>
      <c r="CX80" s="15"/>
      <c r="CY80" s="15"/>
      <c r="CZ80" s="15"/>
      <c r="DA80" s="15"/>
      <c r="DB80" s="15"/>
      <c r="DC80" s="15"/>
      <c r="DD80" s="15"/>
      <c r="DE80" s="15"/>
      <c r="DF80" s="15"/>
      <c r="DG80" s="15"/>
      <c r="DH80" s="15"/>
      <c r="DI80" s="15"/>
      <c r="DJ80" s="15"/>
      <c r="DK80" s="15"/>
      <c r="DL80" s="15"/>
      <c r="DM80" s="15"/>
      <c r="DN80" s="15"/>
      <c r="DO80" s="15"/>
      <c r="DP80" s="15"/>
      <c r="DQ80" s="15"/>
      <c r="DR80" s="15"/>
      <c r="DS80" s="15"/>
      <c r="DT80" s="15"/>
      <c r="DU80" s="15"/>
      <c r="DV80" s="15"/>
      <c r="DW80" s="15"/>
      <c r="DX80" s="15"/>
      <c r="DY80" s="15"/>
      <c r="DZ80" s="15"/>
      <c r="EA80" s="15"/>
      <c r="EB80" s="15"/>
      <c r="EC80" s="15"/>
      <c r="ED80" s="15"/>
      <c r="EE80" s="15"/>
      <c r="EF80" s="15"/>
      <c r="EG80" s="15"/>
      <c r="EH80" s="15"/>
    </row>
    <row r="81" spans="1:138" s="34" customFormat="1" ht="15" customHeight="1">
      <c r="A81" s="642"/>
      <c r="B81" s="1455" t="str">
        <f t="array" aca="1" ref="B81" ca="1">IFERROR(INDEX(Data!$B$16:$B$96,MATCH(0,COUNTIF($B$12:B80,Data!$B$16:$B$96),0)),"")</f>
        <v/>
      </c>
      <c r="C81" s="1345">
        <v>69</v>
      </c>
      <c r="D81" s="1424" t="s">
        <v>182</v>
      </c>
      <c r="E81" s="1424" t="str">
        <f ca="1">IF(COUNTIF(Data!$H$16:$H$100,CONCATENATE(Data_3!$B81,"_",Data_3!E$11))=1,E$11,"")</f>
        <v/>
      </c>
      <c r="F81" s="1424" t="str">
        <f ca="1">IF(COUNTIF(Data!$H$16:$H$100,CONCATENATE(Data_3!$B81,"_",Data_3!F$11))=1,F$11,"")</f>
        <v/>
      </c>
      <c r="G81" s="1424" t="str">
        <f ca="1">IF(COUNTIF(Data!$H$16:$H$100,CONCATENATE(Data_3!$B81,"_",Data_3!G$11))=1,G$11,"")</f>
        <v/>
      </c>
      <c r="H81" s="1424" t="str">
        <f ca="1">IF(COUNTIF(Data!$H$16:$H$100,CONCATENATE(Data_3!$B81,"_",Data_3!H$11))=1,H$11,"")</f>
        <v/>
      </c>
      <c r="I81" s="1424" t="str">
        <f ca="1">IF(COUNTIF(Data!$H$16:$H$100,CONCATENATE(Data_3!$B81,"_",Data_3!I$11))=1,I$11,"")</f>
        <v/>
      </c>
      <c r="J81" s="1424" t="str">
        <f ca="1">IF(COUNTIF(Data!$H$16:$H$100,CONCATENATE(Data_3!$B81,"_",Data_3!J$11))=1,J$11,"")</f>
        <v/>
      </c>
      <c r="K81" s="1424" t="str">
        <f ca="1">IF(COUNTIF(Data!$H$16:$H$100,CONCATENATE(Data_3!$B81,"_",Data_3!K$11))=1,K$11,"")</f>
        <v/>
      </c>
      <c r="L81" s="1424" t="str">
        <f ca="1">IF(COUNTIF(Data!$H$16:$H$100,CONCATENATE(Data_3!$B81,"_",Data_3!L$11))=1,L$11,"")</f>
        <v/>
      </c>
      <c r="M81" s="1424" t="str">
        <f ca="1">IF(COUNTIF(Data!$H$16:$H$100,CONCATENATE(Data_3!$B81,"_",Data_3!M$11))=1,M$11,"")</f>
        <v/>
      </c>
      <c r="N81" s="1424" t="str">
        <f ca="1">IF(COUNTIF(Data!$H$16:$H$100,CONCATENATE(Data_3!$B81,"_",Data_3!N$11))=1,N$11,"")</f>
        <v/>
      </c>
      <c r="O81" s="1424" t="str">
        <f ca="1">IF(COUNTIF(Data!$H$16:$H$100,CONCATENATE(Data_3!$B81,"_",Data_3!O$11))=1,O$11,"")</f>
        <v/>
      </c>
      <c r="P81" s="1424" t="str">
        <f ca="1">IF(COUNTIF(Data!$H$16:$H$100,CONCATENATE(Data_3!$B81,"_",Data_3!P$11))=1,P$11,"")</f>
        <v/>
      </c>
      <c r="Q81" s="1424" t="str">
        <f ca="1">IF(COUNTIF(Data!$H$16:$H$100,CONCATENATE(Data_3!$B81,"_",Data_3!Q$11))=1,Q$11,"")</f>
        <v/>
      </c>
      <c r="R81" s="1424" t="str">
        <f ca="1">IF(COUNTIF(Data!$H$16:$H$100,CONCATENATE(Data_3!$B81,"_",Data_3!R$11))=1,R$11,"")</f>
        <v/>
      </c>
      <c r="S81" s="1424" t="str">
        <f ca="1">IF(COUNTIF(Data!$H$16:$H$100,CONCATENATE(Data_3!$B81,"_",Data_3!S$11))=1,S$11,"")</f>
        <v/>
      </c>
      <c r="T81" s="1424" t="str">
        <f ca="1">IF(COUNTIF(Data!$H$16:$H$100,CONCATENATE(Data_3!$B81,"_",Data_3!T$11))=1,T$11,"")</f>
        <v/>
      </c>
      <c r="U81" s="1424" t="str">
        <f ca="1">IF(COUNTIF(Data!$H$16:$H$100,CONCATENATE(Data_3!$B81,"_",Data_3!U$11))=1,U$11,"")</f>
        <v/>
      </c>
      <c r="V81" s="1424" t="str">
        <f ca="1">IF(COUNTIF(Data!$H$16:$H$100,CONCATENATE(Data_3!$B81,"_",Data_3!V$11))=1,V$11,"")</f>
        <v/>
      </c>
      <c r="W81" s="1424" t="str">
        <f ca="1">IF(COUNTIF(Data!$H$16:$H$100,CONCATENATE(Data_3!$B81,"_",Data_3!W$11))=1,W$11,"")</f>
        <v/>
      </c>
      <c r="X81" s="1424" t="str">
        <f ca="1">IF(COUNTIF(Data!$H$16:$H$100,CONCATENATE(Data_3!$B81,"_",Data_3!X$11))=1,X$11,"")</f>
        <v/>
      </c>
      <c r="Y81" s="1424" t="str">
        <f ca="1">IF(COUNTIF(Data!$H$16:$H$100,CONCATENATE(Data_3!$B81,"_",Data_3!Y$11))=1,Y$11,"")</f>
        <v/>
      </c>
      <c r="Z81" s="15"/>
      <c r="AA81" s="15"/>
      <c r="AB81" s="15"/>
      <c r="AC81" s="15"/>
      <c r="AD81" s="15"/>
      <c r="AE81" s="15"/>
      <c r="AF81" s="15"/>
      <c r="AG81" s="15"/>
      <c r="AH81" s="15"/>
      <c r="AI81" s="15"/>
      <c r="AJ81" s="15"/>
      <c r="AK81" s="15"/>
      <c r="AL81" s="15"/>
      <c r="AM81" s="15"/>
      <c r="AN81" s="15"/>
      <c r="AO81" s="15"/>
      <c r="AP81" s="15"/>
      <c r="AQ81" s="15"/>
      <c r="AR81" s="15"/>
      <c r="AS81" s="15"/>
      <c r="AT81" s="15"/>
      <c r="AU81" s="15"/>
      <c r="AV81" s="15"/>
      <c r="AW81" s="15"/>
      <c r="AX81" s="15"/>
      <c r="AY81" s="15"/>
      <c r="AZ81" s="15"/>
      <c r="BA81" s="15"/>
      <c r="BB81" s="15"/>
      <c r="BC81" s="15"/>
      <c r="BD81" s="15"/>
      <c r="BE81" s="15"/>
      <c r="BF81" s="15"/>
      <c r="BG81" s="15"/>
      <c r="BH81" s="15"/>
      <c r="BI81" s="15"/>
      <c r="BJ81" s="15"/>
      <c r="BK81" s="15"/>
      <c r="BL81" s="15"/>
      <c r="BM81" s="15"/>
      <c r="BN81" s="15"/>
      <c r="BO81" s="15"/>
      <c r="BP81" s="15"/>
      <c r="BQ81" s="15"/>
      <c r="BR81" s="15"/>
      <c r="BS81" s="15"/>
      <c r="BT81" s="15"/>
      <c r="BU81" s="15"/>
      <c r="BV81" s="15"/>
      <c r="BW81" s="15"/>
      <c r="BX81" s="15"/>
      <c r="BY81" s="15"/>
      <c r="BZ81" s="15"/>
      <c r="CA81" s="15"/>
      <c r="CB81" s="15"/>
      <c r="CC81" s="15"/>
      <c r="CD81" s="15"/>
      <c r="CE81" s="15"/>
      <c r="CF81" s="15"/>
      <c r="CG81" s="15"/>
      <c r="CH81" s="15"/>
      <c r="CI81" s="15"/>
      <c r="CJ81" s="15"/>
      <c r="CK81" s="15"/>
      <c r="CL81" s="15"/>
      <c r="CM81" s="15"/>
      <c r="CN81" s="15"/>
      <c r="CO81" s="15"/>
      <c r="CP81" s="15"/>
      <c r="CQ81" s="15"/>
      <c r="CR81" s="15"/>
      <c r="CS81" s="15"/>
      <c r="CT81" s="15"/>
      <c r="CU81" s="15"/>
      <c r="CV81" s="15"/>
      <c r="CW81" s="15"/>
      <c r="CX81" s="15"/>
      <c r="CY81" s="15"/>
      <c r="CZ81" s="15"/>
      <c r="DA81" s="15"/>
      <c r="DB81" s="15"/>
      <c r="DC81" s="15"/>
      <c r="DD81" s="15"/>
      <c r="DE81" s="15"/>
      <c r="DF81" s="15"/>
      <c r="DG81" s="15"/>
      <c r="DH81" s="15"/>
      <c r="DI81" s="15"/>
      <c r="DJ81" s="15"/>
      <c r="DK81" s="15"/>
      <c r="DL81" s="15"/>
      <c r="DM81" s="15"/>
      <c r="DN81" s="15"/>
      <c r="DO81" s="15"/>
      <c r="DP81" s="15"/>
      <c r="DQ81" s="15"/>
      <c r="DR81" s="15"/>
      <c r="DS81" s="15"/>
      <c r="DT81" s="15"/>
      <c r="DU81" s="15"/>
      <c r="DV81" s="15"/>
      <c r="DW81" s="15"/>
      <c r="DX81" s="15"/>
      <c r="DY81" s="15"/>
      <c r="DZ81" s="15"/>
      <c r="EA81" s="15"/>
      <c r="EB81" s="15"/>
      <c r="EC81" s="15"/>
      <c r="ED81" s="15"/>
      <c r="EE81" s="15"/>
      <c r="EF81" s="15"/>
      <c r="EG81" s="15"/>
      <c r="EH81" s="15"/>
    </row>
    <row r="82" spans="1:138" s="34" customFormat="1" ht="15" customHeight="1">
      <c r="A82" s="642"/>
      <c r="B82" s="1455" t="str">
        <f t="array" aca="1" ref="B82" ca="1">IFERROR(INDEX(Data!$B$16:$B$96,MATCH(0,COUNTIF($B$12:B81,Data!$B$16:$B$96),0)),"")</f>
        <v/>
      </c>
      <c r="C82" s="1345">
        <v>70</v>
      </c>
      <c r="D82" s="1424" t="s">
        <v>182</v>
      </c>
      <c r="E82" s="1424" t="str">
        <f ca="1">IF(COUNTIF(Data!$H$16:$H$100,CONCATENATE(Data_3!$B82,"_",Data_3!E$11))=1,E$11,"")</f>
        <v/>
      </c>
      <c r="F82" s="1424" t="str">
        <f ca="1">IF(COUNTIF(Data!$H$16:$H$100,CONCATENATE(Data_3!$B82,"_",Data_3!F$11))=1,F$11,"")</f>
        <v/>
      </c>
      <c r="G82" s="1424" t="str">
        <f ca="1">IF(COUNTIF(Data!$H$16:$H$100,CONCATENATE(Data_3!$B82,"_",Data_3!G$11))=1,G$11,"")</f>
        <v/>
      </c>
      <c r="H82" s="1424" t="str">
        <f ca="1">IF(COUNTIF(Data!$H$16:$H$100,CONCATENATE(Data_3!$B82,"_",Data_3!H$11))=1,H$11,"")</f>
        <v/>
      </c>
      <c r="I82" s="1424" t="str">
        <f ca="1">IF(COUNTIF(Data!$H$16:$H$100,CONCATENATE(Data_3!$B82,"_",Data_3!I$11))=1,I$11,"")</f>
        <v/>
      </c>
      <c r="J82" s="1424" t="str">
        <f ca="1">IF(COUNTIF(Data!$H$16:$H$100,CONCATENATE(Data_3!$B82,"_",Data_3!J$11))=1,J$11,"")</f>
        <v/>
      </c>
      <c r="K82" s="1424" t="str">
        <f ca="1">IF(COUNTIF(Data!$H$16:$H$100,CONCATENATE(Data_3!$B82,"_",Data_3!K$11))=1,K$11,"")</f>
        <v/>
      </c>
      <c r="L82" s="1424" t="str">
        <f ca="1">IF(COUNTIF(Data!$H$16:$H$100,CONCATENATE(Data_3!$B82,"_",Data_3!L$11))=1,L$11,"")</f>
        <v/>
      </c>
      <c r="M82" s="1424" t="str">
        <f ca="1">IF(COUNTIF(Data!$H$16:$H$100,CONCATENATE(Data_3!$B82,"_",Data_3!M$11))=1,M$11,"")</f>
        <v/>
      </c>
      <c r="N82" s="1424" t="str">
        <f ca="1">IF(COUNTIF(Data!$H$16:$H$100,CONCATENATE(Data_3!$B82,"_",Data_3!N$11))=1,N$11,"")</f>
        <v/>
      </c>
      <c r="O82" s="1424" t="str">
        <f ca="1">IF(COUNTIF(Data!$H$16:$H$100,CONCATENATE(Data_3!$B82,"_",Data_3!O$11))=1,O$11,"")</f>
        <v/>
      </c>
      <c r="P82" s="1424" t="str">
        <f ca="1">IF(COUNTIF(Data!$H$16:$H$100,CONCATENATE(Data_3!$B82,"_",Data_3!P$11))=1,P$11,"")</f>
        <v/>
      </c>
      <c r="Q82" s="1424" t="str">
        <f ca="1">IF(COUNTIF(Data!$H$16:$H$100,CONCATENATE(Data_3!$B82,"_",Data_3!Q$11))=1,Q$11,"")</f>
        <v/>
      </c>
      <c r="R82" s="1424" t="str">
        <f ca="1">IF(COUNTIF(Data!$H$16:$H$100,CONCATENATE(Data_3!$B82,"_",Data_3!R$11))=1,R$11,"")</f>
        <v/>
      </c>
      <c r="S82" s="1424" t="str">
        <f ca="1">IF(COUNTIF(Data!$H$16:$H$100,CONCATENATE(Data_3!$B82,"_",Data_3!S$11))=1,S$11,"")</f>
        <v/>
      </c>
      <c r="T82" s="1424" t="str">
        <f ca="1">IF(COUNTIF(Data!$H$16:$H$100,CONCATENATE(Data_3!$B82,"_",Data_3!T$11))=1,T$11,"")</f>
        <v/>
      </c>
      <c r="U82" s="1424" t="str">
        <f ca="1">IF(COUNTIF(Data!$H$16:$H$100,CONCATENATE(Data_3!$B82,"_",Data_3!U$11))=1,U$11,"")</f>
        <v/>
      </c>
      <c r="V82" s="1424" t="str">
        <f ca="1">IF(COUNTIF(Data!$H$16:$H$100,CONCATENATE(Data_3!$B82,"_",Data_3!V$11))=1,V$11,"")</f>
        <v/>
      </c>
      <c r="W82" s="1424" t="str">
        <f ca="1">IF(COUNTIF(Data!$H$16:$H$100,CONCATENATE(Data_3!$B82,"_",Data_3!W$11))=1,W$11,"")</f>
        <v/>
      </c>
      <c r="X82" s="1424" t="str">
        <f ca="1">IF(COUNTIF(Data!$H$16:$H$100,CONCATENATE(Data_3!$B82,"_",Data_3!X$11))=1,X$11,"")</f>
        <v/>
      </c>
      <c r="Y82" s="1424" t="str">
        <f ca="1">IF(COUNTIF(Data!$H$16:$H$100,CONCATENATE(Data_3!$B82,"_",Data_3!Y$11))=1,Y$11,"")</f>
        <v/>
      </c>
      <c r="Z82" s="15"/>
      <c r="AA82" s="15"/>
      <c r="AB82" s="15"/>
      <c r="AC82" s="15"/>
      <c r="AD82" s="15"/>
      <c r="AE82" s="15"/>
      <c r="AF82" s="15"/>
      <c r="AG82" s="15"/>
      <c r="AH82" s="15"/>
      <c r="AI82" s="15"/>
      <c r="AJ82" s="15"/>
      <c r="AK82" s="15"/>
      <c r="AL82" s="15"/>
      <c r="AM82" s="15"/>
      <c r="AN82" s="15"/>
      <c r="AO82" s="15"/>
      <c r="AP82" s="15"/>
      <c r="AQ82" s="15"/>
      <c r="AR82" s="15"/>
      <c r="AS82" s="15"/>
      <c r="AT82" s="15"/>
      <c r="AU82" s="15"/>
      <c r="AV82" s="15"/>
      <c r="AW82" s="15"/>
      <c r="AX82" s="15"/>
      <c r="AY82" s="15"/>
      <c r="AZ82" s="15"/>
      <c r="BA82" s="15"/>
      <c r="BB82" s="15"/>
      <c r="BC82" s="15"/>
      <c r="BD82" s="15"/>
      <c r="BE82" s="15"/>
      <c r="BF82" s="15"/>
      <c r="BG82" s="15"/>
      <c r="BH82" s="15"/>
      <c r="BI82" s="15"/>
      <c r="BJ82" s="15"/>
      <c r="BK82" s="15"/>
      <c r="BL82" s="15"/>
      <c r="BM82" s="15"/>
      <c r="BN82" s="15"/>
      <c r="BO82" s="15"/>
      <c r="BP82" s="15"/>
      <c r="BQ82" s="15"/>
      <c r="BR82" s="15"/>
      <c r="BS82" s="15"/>
      <c r="BT82" s="15"/>
      <c r="BU82" s="15"/>
      <c r="BV82" s="15"/>
      <c r="BW82" s="15"/>
      <c r="BX82" s="15"/>
      <c r="BY82" s="15"/>
      <c r="BZ82" s="15"/>
      <c r="CA82" s="15"/>
      <c r="CB82" s="15"/>
      <c r="CC82" s="15"/>
      <c r="CD82" s="15"/>
      <c r="CE82" s="15"/>
      <c r="CF82" s="15"/>
      <c r="CG82" s="15"/>
      <c r="CH82" s="15"/>
      <c r="CI82" s="15"/>
      <c r="CJ82" s="15"/>
      <c r="CK82" s="15"/>
      <c r="CL82" s="15"/>
      <c r="CM82" s="15"/>
      <c r="CN82" s="15"/>
      <c r="CO82" s="15"/>
      <c r="CP82" s="15"/>
      <c r="CQ82" s="15"/>
      <c r="CR82" s="15"/>
      <c r="CS82" s="15"/>
      <c r="CT82" s="15"/>
      <c r="CU82" s="15"/>
      <c r="CV82" s="15"/>
      <c r="CW82" s="15"/>
      <c r="CX82" s="15"/>
      <c r="CY82" s="15"/>
      <c r="CZ82" s="15"/>
      <c r="DA82" s="15"/>
      <c r="DB82" s="15"/>
      <c r="DC82" s="15"/>
      <c r="DD82" s="15"/>
      <c r="DE82" s="15"/>
      <c r="DF82" s="15"/>
      <c r="DG82" s="15"/>
      <c r="DH82" s="15"/>
      <c r="DI82" s="15"/>
      <c r="DJ82" s="15"/>
      <c r="DK82" s="15"/>
      <c r="DL82" s="15"/>
      <c r="DM82" s="15"/>
      <c r="DN82" s="15"/>
      <c r="DO82" s="15"/>
      <c r="DP82" s="15"/>
      <c r="DQ82" s="15"/>
      <c r="DR82" s="15"/>
      <c r="DS82" s="15"/>
      <c r="DT82" s="15"/>
      <c r="DU82" s="15"/>
      <c r="DV82" s="15"/>
      <c r="DW82" s="15"/>
      <c r="DX82" s="15"/>
      <c r="DY82" s="15"/>
      <c r="DZ82" s="15"/>
      <c r="EA82" s="15"/>
      <c r="EB82" s="15"/>
      <c r="EC82" s="15"/>
      <c r="ED82" s="15"/>
      <c r="EE82" s="15"/>
      <c r="EF82" s="15"/>
      <c r="EG82" s="15"/>
      <c r="EH82" s="15"/>
    </row>
    <row r="83" spans="1:138" s="34" customFormat="1" ht="15" customHeight="1">
      <c r="A83" s="642"/>
      <c r="B83" s="1455" t="str">
        <f t="array" aca="1" ref="B83" ca="1">IFERROR(INDEX(Data!$B$16:$B$96,MATCH(0,COUNTIF($B$12:B82,Data!$B$16:$B$96),0)),"")</f>
        <v/>
      </c>
      <c r="C83" s="1345">
        <v>71</v>
      </c>
      <c r="D83" s="1424" t="s">
        <v>182</v>
      </c>
      <c r="E83" s="1424" t="str">
        <f ca="1">IF(COUNTIF(Data!$H$16:$H$100,CONCATENATE(Data_3!$B83,"_",Data_3!E$11))=1,E$11,"")</f>
        <v/>
      </c>
      <c r="F83" s="1424" t="str">
        <f ca="1">IF(COUNTIF(Data!$H$16:$H$100,CONCATENATE(Data_3!$B83,"_",Data_3!F$11))=1,F$11,"")</f>
        <v/>
      </c>
      <c r="G83" s="1424" t="str">
        <f ca="1">IF(COUNTIF(Data!$H$16:$H$100,CONCATENATE(Data_3!$B83,"_",Data_3!G$11))=1,G$11,"")</f>
        <v/>
      </c>
      <c r="H83" s="1424" t="str">
        <f ca="1">IF(COUNTIF(Data!$H$16:$H$100,CONCATENATE(Data_3!$B83,"_",Data_3!H$11))=1,H$11,"")</f>
        <v/>
      </c>
      <c r="I83" s="1424" t="str">
        <f ca="1">IF(COUNTIF(Data!$H$16:$H$100,CONCATENATE(Data_3!$B83,"_",Data_3!I$11))=1,I$11,"")</f>
        <v/>
      </c>
      <c r="J83" s="1424" t="str">
        <f ca="1">IF(COUNTIF(Data!$H$16:$H$100,CONCATENATE(Data_3!$B83,"_",Data_3!J$11))=1,J$11,"")</f>
        <v/>
      </c>
      <c r="K83" s="1424" t="str">
        <f ca="1">IF(COUNTIF(Data!$H$16:$H$100,CONCATENATE(Data_3!$B83,"_",Data_3!K$11))=1,K$11,"")</f>
        <v/>
      </c>
      <c r="L83" s="1424" t="str">
        <f ca="1">IF(COUNTIF(Data!$H$16:$H$100,CONCATENATE(Data_3!$B83,"_",Data_3!L$11))=1,L$11,"")</f>
        <v/>
      </c>
      <c r="M83" s="1424" t="str">
        <f ca="1">IF(COUNTIF(Data!$H$16:$H$100,CONCATENATE(Data_3!$B83,"_",Data_3!M$11))=1,M$11,"")</f>
        <v/>
      </c>
      <c r="N83" s="1424" t="str">
        <f ca="1">IF(COUNTIF(Data!$H$16:$H$100,CONCATENATE(Data_3!$B83,"_",Data_3!N$11))=1,N$11,"")</f>
        <v/>
      </c>
      <c r="O83" s="1424" t="str">
        <f ca="1">IF(COUNTIF(Data!$H$16:$H$100,CONCATENATE(Data_3!$B83,"_",Data_3!O$11))=1,O$11,"")</f>
        <v/>
      </c>
      <c r="P83" s="1424" t="str">
        <f ca="1">IF(COUNTIF(Data!$H$16:$H$100,CONCATENATE(Data_3!$B83,"_",Data_3!P$11))=1,P$11,"")</f>
        <v/>
      </c>
      <c r="Q83" s="1424" t="str">
        <f ca="1">IF(COUNTIF(Data!$H$16:$H$100,CONCATENATE(Data_3!$B83,"_",Data_3!Q$11))=1,Q$11,"")</f>
        <v/>
      </c>
      <c r="R83" s="1424" t="str">
        <f ca="1">IF(COUNTIF(Data!$H$16:$H$100,CONCATENATE(Data_3!$B83,"_",Data_3!R$11))=1,R$11,"")</f>
        <v/>
      </c>
      <c r="S83" s="1424" t="str">
        <f ca="1">IF(COUNTIF(Data!$H$16:$H$100,CONCATENATE(Data_3!$B83,"_",Data_3!S$11))=1,S$11,"")</f>
        <v/>
      </c>
      <c r="T83" s="1424" t="str">
        <f ca="1">IF(COUNTIF(Data!$H$16:$H$100,CONCATENATE(Data_3!$B83,"_",Data_3!T$11))=1,T$11,"")</f>
        <v/>
      </c>
      <c r="U83" s="1424" t="str">
        <f ca="1">IF(COUNTIF(Data!$H$16:$H$100,CONCATENATE(Data_3!$B83,"_",Data_3!U$11))=1,U$11,"")</f>
        <v/>
      </c>
      <c r="V83" s="1424" t="str">
        <f ca="1">IF(COUNTIF(Data!$H$16:$H$100,CONCATENATE(Data_3!$B83,"_",Data_3!V$11))=1,V$11,"")</f>
        <v/>
      </c>
      <c r="W83" s="1424" t="str">
        <f ca="1">IF(COUNTIF(Data!$H$16:$H$100,CONCATENATE(Data_3!$B83,"_",Data_3!W$11))=1,W$11,"")</f>
        <v/>
      </c>
      <c r="X83" s="1424" t="str">
        <f ca="1">IF(COUNTIF(Data!$H$16:$H$100,CONCATENATE(Data_3!$B83,"_",Data_3!X$11))=1,X$11,"")</f>
        <v/>
      </c>
      <c r="Y83" s="1424" t="str">
        <f ca="1">IF(COUNTIF(Data!$H$16:$H$100,CONCATENATE(Data_3!$B83,"_",Data_3!Y$11))=1,Y$11,"")</f>
        <v/>
      </c>
      <c r="Z83" s="15"/>
      <c r="AA83" s="15"/>
      <c r="AB83" s="15"/>
      <c r="AC83" s="15"/>
      <c r="AD83" s="15"/>
      <c r="AE83" s="15"/>
      <c r="AF83" s="15"/>
      <c r="AG83" s="15"/>
      <c r="AH83" s="15"/>
      <c r="AI83" s="15"/>
      <c r="AJ83" s="15"/>
      <c r="AK83" s="15"/>
      <c r="AL83" s="15"/>
      <c r="AM83" s="15"/>
      <c r="AN83" s="15"/>
      <c r="AO83" s="15"/>
      <c r="AP83" s="15"/>
      <c r="AQ83" s="15"/>
      <c r="AR83" s="15"/>
      <c r="AS83" s="15"/>
      <c r="AT83" s="15"/>
      <c r="AU83" s="15"/>
      <c r="AV83" s="15"/>
      <c r="AW83" s="15"/>
      <c r="AX83" s="15"/>
      <c r="AY83" s="15"/>
      <c r="AZ83" s="15"/>
      <c r="BA83" s="15"/>
      <c r="BB83" s="15"/>
      <c r="BC83" s="15"/>
      <c r="BD83" s="15"/>
      <c r="BE83" s="15"/>
      <c r="BF83" s="15"/>
      <c r="BG83" s="15"/>
      <c r="BH83" s="15"/>
      <c r="BI83" s="15"/>
      <c r="BJ83" s="15"/>
      <c r="BK83" s="15"/>
      <c r="BL83" s="15"/>
      <c r="BM83" s="15"/>
      <c r="BN83" s="15"/>
      <c r="BO83" s="15"/>
      <c r="BP83" s="15"/>
      <c r="BQ83" s="15"/>
      <c r="BR83" s="15"/>
      <c r="BS83" s="15"/>
      <c r="BT83" s="15"/>
      <c r="BU83" s="15"/>
      <c r="BV83" s="15"/>
      <c r="BW83" s="15"/>
      <c r="BX83" s="15"/>
      <c r="BY83" s="15"/>
      <c r="BZ83" s="15"/>
      <c r="CA83" s="15"/>
      <c r="CB83" s="15"/>
      <c r="CC83" s="15"/>
      <c r="CD83" s="15"/>
      <c r="CE83" s="15"/>
      <c r="CF83" s="15"/>
      <c r="CG83" s="15"/>
      <c r="CH83" s="15"/>
      <c r="CI83" s="15"/>
      <c r="CJ83" s="15"/>
      <c r="CK83" s="15"/>
      <c r="CL83" s="15"/>
      <c r="CM83" s="15"/>
      <c r="CN83" s="15"/>
      <c r="CO83" s="15"/>
      <c r="CP83" s="15"/>
      <c r="CQ83" s="15"/>
      <c r="CR83" s="15"/>
      <c r="CS83" s="15"/>
      <c r="CT83" s="15"/>
      <c r="CU83" s="15"/>
      <c r="CV83" s="15"/>
      <c r="CW83" s="15"/>
      <c r="CX83" s="15"/>
      <c r="CY83" s="15"/>
      <c r="CZ83" s="15"/>
      <c r="DA83" s="15"/>
      <c r="DB83" s="15"/>
      <c r="DC83" s="15"/>
      <c r="DD83" s="15"/>
      <c r="DE83" s="15"/>
      <c r="DF83" s="15"/>
      <c r="DG83" s="15"/>
      <c r="DH83" s="15"/>
      <c r="DI83" s="15"/>
      <c r="DJ83" s="15"/>
      <c r="DK83" s="15"/>
      <c r="DL83" s="15"/>
      <c r="DM83" s="15"/>
      <c r="DN83" s="15"/>
      <c r="DO83" s="15"/>
      <c r="DP83" s="15"/>
      <c r="DQ83" s="15"/>
      <c r="DR83" s="15"/>
      <c r="DS83" s="15"/>
      <c r="DT83" s="15"/>
      <c r="DU83" s="15"/>
      <c r="DV83" s="15"/>
      <c r="DW83" s="15"/>
      <c r="DX83" s="15"/>
      <c r="DY83" s="15"/>
      <c r="DZ83" s="15"/>
      <c r="EA83" s="15"/>
      <c r="EB83" s="15"/>
      <c r="EC83" s="15"/>
      <c r="ED83" s="15"/>
      <c r="EE83" s="15"/>
      <c r="EF83" s="15"/>
      <c r="EG83" s="15"/>
      <c r="EH83" s="15"/>
    </row>
    <row r="84" spans="1:138" s="34" customFormat="1" ht="15" customHeight="1">
      <c r="A84" s="642"/>
      <c r="B84" s="1455" t="str">
        <f t="array" aca="1" ref="B84" ca="1">IFERROR(INDEX(Data!$B$16:$B$96,MATCH(0,COUNTIF($B$12:B83,Data!$B$16:$B$96),0)),"")</f>
        <v/>
      </c>
      <c r="C84" s="1345">
        <v>72</v>
      </c>
      <c r="D84" s="1424" t="s">
        <v>182</v>
      </c>
      <c r="E84" s="1424" t="str">
        <f ca="1">IF(COUNTIF(Data!$H$16:$H$100,CONCATENATE(Data_3!$B84,"_",Data_3!E$11))=1,E$11,"")</f>
        <v/>
      </c>
      <c r="F84" s="1424" t="str">
        <f ca="1">IF(COUNTIF(Data!$H$16:$H$100,CONCATENATE(Data_3!$B84,"_",Data_3!F$11))=1,F$11,"")</f>
        <v/>
      </c>
      <c r="G84" s="1424" t="str">
        <f ca="1">IF(COUNTIF(Data!$H$16:$H$100,CONCATENATE(Data_3!$B84,"_",Data_3!G$11))=1,G$11,"")</f>
        <v/>
      </c>
      <c r="H84" s="1424" t="str">
        <f ca="1">IF(COUNTIF(Data!$H$16:$H$100,CONCATENATE(Data_3!$B84,"_",Data_3!H$11))=1,H$11,"")</f>
        <v/>
      </c>
      <c r="I84" s="1424" t="str">
        <f ca="1">IF(COUNTIF(Data!$H$16:$H$100,CONCATENATE(Data_3!$B84,"_",Data_3!I$11))=1,I$11,"")</f>
        <v/>
      </c>
      <c r="J84" s="1424" t="str">
        <f ca="1">IF(COUNTIF(Data!$H$16:$H$100,CONCATENATE(Data_3!$B84,"_",Data_3!J$11))=1,J$11,"")</f>
        <v/>
      </c>
      <c r="K84" s="1424" t="str">
        <f ca="1">IF(COUNTIF(Data!$H$16:$H$100,CONCATENATE(Data_3!$B84,"_",Data_3!K$11))=1,K$11,"")</f>
        <v/>
      </c>
      <c r="L84" s="1424" t="str">
        <f ca="1">IF(COUNTIF(Data!$H$16:$H$100,CONCATENATE(Data_3!$B84,"_",Data_3!L$11))=1,L$11,"")</f>
        <v/>
      </c>
      <c r="M84" s="1424" t="str">
        <f ca="1">IF(COUNTIF(Data!$H$16:$H$100,CONCATENATE(Data_3!$B84,"_",Data_3!M$11))=1,M$11,"")</f>
        <v/>
      </c>
      <c r="N84" s="1424" t="str">
        <f ca="1">IF(COUNTIF(Data!$H$16:$H$100,CONCATENATE(Data_3!$B84,"_",Data_3!N$11))=1,N$11,"")</f>
        <v/>
      </c>
      <c r="O84" s="1424" t="str">
        <f ca="1">IF(COUNTIF(Data!$H$16:$H$100,CONCATENATE(Data_3!$B84,"_",Data_3!O$11))=1,O$11,"")</f>
        <v/>
      </c>
      <c r="P84" s="1424" t="str">
        <f ca="1">IF(COUNTIF(Data!$H$16:$H$100,CONCATENATE(Data_3!$B84,"_",Data_3!P$11))=1,P$11,"")</f>
        <v/>
      </c>
      <c r="Q84" s="1424" t="str">
        <f ca="1">IF(COUNTIF(Data!$H$16:$H$100,CONCATENATE(Data_3!$B84,"_",Data_3!Q$11))=1,Q$11,"")</f>
        <v/>
      </c>
      <c r="R84" s="1424" t="str">
        <f ca="1">IF(COUNTIF(Data!$H$16:$H$100,CONCATENATE(Data_3!$B84,"_",Data_3!R$11))=1,R$11,"")</f>
        <v/>
      </c>
      <c r="S84" s="1424" t="str">
        <f ca="1">IF(COUNTIF(Data!$H$16:$H$100,CONCATENATE(Data_3!$B84,"_",Data_3!S$11))=1,S$11,"")</f>
        <v/>
      </c>
      <c r="T84" s="1424" t="str">
        <f ca="1">IF(COUNTIF(Data!$H$16:$H$100,CONCATENATE(Data_3!$B84,"_",Data_3!T$11))=1,T$11,"")</f>
        <v/>
      </c>
      <c r="U84" s="1424" t="str">
        <f ca="1">IF(COUNTIF(Data!$H$16:$H$100,CONCATENATE(Data_3!$B84,"_",Data_3!U$11))=1,U$11,"")</f>
        <v/>
      </c>
      <c r="V84" s="1424" t="str">
        <f ca="1">IF(COUNTIF(Data!$H$16:$H$100,CONCATENATE(Data_3!$B84,"_",Data_3!V$11))=1,V$11,"")</f>
        <v/>
      </c>
      <c r="W84" s="1424" t="str">
        <f ca="1">IF(COUNTIF(Data!$H$16:$H$100,CONCATENATE(Data_3!$B84,"_",Data_3!W$11))=1,W$11,"")</f>
        <v/>
      </c>
      <c r="X84" s="1424" t="str">
        <f ca="1">IF(COUNTIF(Data!$H$16:$H$100,CONCATENATE(Data_3!$B84,"_",Data_3!X$11))=1,X$11,"")</f>
        <v/>
      </c>
      <c r="Y84" s="1424" t="str">
        <f ca="1">IF(COUNTIF(Data!$H$16:$H$100,CONCATENATE(Data_3!$B84,"_",Data_3!Y$11))=1,Y$11,"")</f>
        <v/>
      </c>
      <c r="Z84" s="15"/>
      <c r="AA84" s="15"/>
      <c r="AB84" s="15"/>
      <c r="AC84" s="15"/>
      <c r="AD84" s="15"/>
      <c r="AE84" s="15"/>
      <c r="AF84" s="15"/>
      <c r="AG84" s="15"/>
      <c r="AH84" s="15"/>
      <c r="AI84" s="15"/>
      <c r="AJ84" s="15"/>
      <c r="AK84" s="15"/>
      <c r="AL84" s="15"/>
      <c r="AM84" s="15"/>
      <c r="AN84" s="15"/>
      <c r="AO84" s="15"/>
      <c r="AP84" s="15"/>
      <c r="AQ84" s="15"/>
      <c r="AR84" s="15"/>
      <c r="AS84" s="15"/>
      <c r="AT84" s="15"/>
      <c r="AU84" s="15"/>
      <c r="AV84" s="15"/>
      <c r="AW84" s="15"/>
      <c r="AX84" s="15"/>
      <c r="AY84" s="15"/>
      <c r="AZ84" s="15"/>
      <c r="BA84" s="15"/>
      <c r="BB84" s="15"/>
      <c r="BC84" s="15"/>
      <c r="BD84" s="15"/>
      <c r="BE84" s="15"/>
      <c r="BF84" s="15"/>
      <c r="BG84" s="15"/>
      <c r="BH84" s="15"/>
      <c r="BI84" s="15"/>
      <c r="BJ84" s="15"/>
      <c r="BK84" s="15"/>
      <c r="BL84" s="15"/>
      <c r="BM84" s="15"/>
      <c r="BN84" s="15"/>
      <c r="BO84" s="15"/>
      <c r="BP84" s="15"/>
      <c r="BQ84" s="15"/>
      <c r="BR84" s="15"/>
      <c r="BS84" s="15"/>
      <c r="BT84" s="15"/>
      <c r="BU84" s="15"/>
      <c r="BV84" s="15"/>
      <c r="BW84" s="15"/>
      <c r="BX84" s="15"/>
      <c r="BY84" s="15"/>
      <c r="BZ84" s="15"/>
      <c r="CA84" s="15"/>
      <c r="CB84" s="15"/>
      <c r="CC84" s="15"/>
      <c r="CD84" s="15"/>
      <c r="CE84" s="15"/>
      <c r="CF84" s="15"/>
      <c r="CG84" s="15"/>
      <c r="CH84" s="15"/>
      <c r="CI84" s="15"/>
      <c r="CJ84" s="15"/>
      <c r="CK84" s="15"/>
      <c r="CL84" s="15"/>
      <c r="CM84" s="15"/>
      <c r="CN84" s="15"/>
      <c r="CO84" s="15"/>
      <c r="CP84" s="15"/>
      <c r="CQ84" s="15"/>
      <c r="CR84" s="15"/>
      <c r="CS84" s="15"/>
      <c r="CT84" s="15"/>
      <c r="CU84" s="15"/>
      <c r="CV84" s="15"/>
      <c r="CW84" s="15"/>
      <c r="CX84" s="15"/>
      <c r="CY84" s="15"/>
      <c r="CZ84" s="15"/>
      <c r="DA84" s="15"/>
      <c r="DB84" s="15"/>
      <c r="DC84" s="15"/>
      <c r="DD84" s="15"/>
      <c r="DE84" s="15"/>
      <c r="DF84" s="15"/>
      <c r="DG84" s="15"/>
      <c r="DH84" s="15"/>
      <c r="DI84" s="15"/>
      <c r="DJ84" s="15"/>
      <c r="DK84" s="15"/>
      <c r="DL84" s="15"/>
      <c r="DM84" s="15"/>
      <c r="DN84" s="15"/>
      <c r="DO84" s="15"/>
      <c r="DP84" s="15"/>
      <c r="DQ84" s="15"/>
      <c r="DR84" s="15"/>
      <c r="DS84" s="15"/>
      <c r="DT84" s="15"/>
      <c r="DU84" s="15"/>
      <c r="DV84" s="15"/>
      <c r="DW84" s="15"/>
      <c r="DX84" s="15"/>
      <c r="DY84" s="15"/>
      <c r="DZ84" s="15"/>
      <c r="EA84" s="15"/>
      <c r="EB84" s="15"/>
      <c r="EC84" s="15"/>
      <c r="ED84" s="15"/>
      <c r="EE84" s="15"/>
      <c r="EF84" s="15"/>
      <c r="EG84" s="15"/>
      <c r="EH84" s="15"/>
    </row>
    <row r="85" spans="1:138" s="34" customFormat="1" ht="15" customHeight="1">
      <c r="A85" s="642"/>
      <c r="B85" s="1455" t="str">
        <f t="array" aca="1" ref="B85" ca="1">IFERROR(INDEX(Data!$B$16:$B$96,MATCH(0,COUNTIF($B$12:B84,Data!$B$16:$B$96),0)),"")</f>
        <v/>
      </c>
      <c r="C85" s="1345">
        <v>73</v>
      </c>
      <c r="D85" s="1424" t="s">
        <v>182</v>
      </c>
      <c r="E85" s="1424" t="str">
        <f ca="1">IF(COUNTIF(Data!$H$16:$H$100,CONCATENATE(Data_3!$B85,"_",Data_3!E$11))=1,E$11,"")</f>
        <v/>
      </c>
      <c r="F85" s="1424" t="str">
        <f ca="1">IF(COUNTIF(Data!$H$16:$H$100,CONCATENATE(Data_3!$B85,"_",Data_3!F$11))=1,F$11,"")</f>
        <v/>
      </c>
      <c r="G85" s="1424" t="str">
        <f ca="1">IF(COUNTIF(Data!$H$16:$H$100,CONCATENATE(Data_3!$B85,"_",Data_3!G$11))=1,G$11,"")</f>
        <v/>
      </c>
      <c r="H85" s="1424" t="str">
        <f ca="1">IF(COUNTIF(Data!$H$16:$H$100,CONCATENATE(Data_3!$B85,"_",Data_3!H$11))=1,H$11,"")</f>
        <v/>
      </c>
      <c r="I85" s="1424" t="str">
        <f ca="1">IF(COUNTIF(Data!$H$16:$H$100,CONCATENATE(Data_3!$B85,"_",Data_3!I$11))=1,I$11,"")</f>
        <v/>
      </c>
      <c r="J85" s="1424" t="str">
        <f ca="1">IF(COUNTIF(Data!$H$16:$H$100,CONCATENATE(Data_3!$B85,"_",Data_3!J$11))=1,J$11,"")</f>
        <v/>
      </c>
      <c r="K85" s="1424" t="str">
        <f ca="1">IF(COUNTIF(Data!$H$16:$H$100,CONCATENATE(Data_3!$B85,"_",Data_3!K$11))=1,K$11,"")</f>
        <v/>
      </c>
      <c r="L85" s="1424" t="str">
        <f ca="1">IF(COUNTIF(Data!$H$16:$H$100,CONCATENATE(Data_3!$B85,"_",Data_3!L$11))=1,L$11,"")</f>
        <v/>
      </c>
      <c r="M85" s="1424" t="str">
        <f ca="1">IF(COUNTIF(Data!$H$16:$H$100,CONCATENATE(Data_3!$B85,"_",Data_3!M$11))=1,M$11,"")</f>
        <v/>
      </c>
      <c r="N85" s="1424" t="str">
        <f ca="1">IF(COUNTIF(Data!$H$16:$H$100,CONCATENATE(Data_3!$B85,"_",Data_3!N$11))=1,N$11,"")</f>
        <v/>
      </c>
      <c r="O85" s="1424" t="str">
        <f ca="1">IF(COUNTIF(Data!$H$16:$H$100,CONCATENATE(Data_3!$B85,"_",Data_3!O$11))=1,O$11,"")</f>
        <v/>
      </c>
      <c r="P85" s="1424" t="str">
        <f ca="1">IF(COUNTIF(Data!$H$16:$H$100,CONCATENATE(Data_3!$B85,"_",Data_3!P$11))=1,P$11,"")</f>
        <v/>
      </c>
      <c r="Q85" s="1424" t="str">
        <f ca="1">IF(COUNTIF(Data!$H$16:$H$100,CONCATENATE(Data_3!$B85,"_",Data_3!Q$11))=1,Q$11,"")</f>
        <v/>
      </c>
      <c r="R85" s="1424" t="str">
        <f ca="1">IF(COUNTIF(Data!$H$16:$H$100,CONCATENATE(Data_3!$B85,"_",Data_3!R$11))=1,R$11,"")</f>
        <v/>
      </c>
      <c r="S85" s="1424" t="str">
        <f ca="1">IF(COUNTIF(Data!$H$16:$H$100,CONCATENATE(Data_3!$B85,"_",Data_3!S$11))=1,S$11,"")</f>
        <v/>
      </c>
      <c r="T85" s="1424" t="str">
        <f ca="1">IF(COUNTIF(Data!$H$16:$H$100,CONCATENATE(Data_3!$B85,"_",Data_3!T$11))=1,T$11,"")</f>
        <v/>
      </c>
      <c r="U85" s="1424" t="str">
        <f ca="1">IF(COUNTIF(Data!$H$16:$H$100,CONCATENATE(Data_3!$B85,"_",Data_3!U$11))=1,U$11,"")</f>
        <v/>
      </c>
      <c r="V85" s="1424" t="str">
        <f ca="1">IF(COUNTIF(Data!$H$16:$H$100,CONCATENATE(Data_3!$B85,"_",Data_3!V$11))=1,V$11,"")</f>
        <v/>
      </c>
      <c r="W85" s="1424" t="str">
        <f ca="1">IF(COUNTIF(Data!$H$16:$H$100,CONCATENATE(Data_3!$B85,"_",Data_3!W$11))=1,W$11,"")</f>
        <v/>
      </c>
      <c r="X85" s="1424" t="str">
        <f ca="1">IF(COUNTIF(Data!$H$16:$H$100,CONCATENATE(Data_3!$B85,"_",Data_3!X$11))=1,X$11,"")</f>
        <v/>
      </c>
      <c r="Y85" s="1424" t="str">
        <f ca="1">IF(COUNTIF(Data!$H$16:$H$100,CONCATENATE(Data_3!$B85,"_",Data_3!Y$11))=1,Y$11,"")</f>
        <v/>
      </c>
      <c r="Z85" s="15"/>
      <c r="AA85" s="15"/>
      <c r="AB85" s="15"/>
      <c r="AC85" s="15"/>
      <c r="AD85" s="15"/>
      <c r="AE85" s="15"/>
      <c r="AF85" s="15"/>
      <c r="AG85" s="15"/>
      <c r="AH85" s="15"/>
      <c r="AI85" s="15"/>
      <c r="AJ85" s="15"/>
      <c r="AK85" s="15"/>
      <c r="AL85" s="15"/>
      <c r="AM85" s="15"/>
      <c r="AN85" s="15"/>
      <c r="AO85" s="15"/>
      <c r="AP85" s="15"/>
      <c r="AQ85" s="15"/>
      <c r="AR85" s="15"/>
      <c r="AS85" s="15"/>
      <c r="AT85" s="15"/>
      <c r="AU85" s="15"/>
      <c r="AV85" s="15"/>
      <c r="AW85" s="15"/>
      <c r="AX85" s="15"/>
      <c r="AY85" s="15"/>
      <c r="AZ85" s="15"/>
      <c r="BA85" s="15"/>
      <c r="BB85" s="15"/>
      <c r="BC85" s="15"/>
      <c r="BD85" s="15"/>
      <c r="BE85" s="15"/>
      <c r="BF85" s="15"/>
      <c r="BG85" s="15"/>
      <c r="BH85" s="15"/>
      <c r="BI85" s="15"/>
      <c r="BJ85" s="15"/>
      <c r="BK85" s="15"/>
      <c r="BL85" s="15"/>
      <c r="BM85" s="15"/>
      <c r="BN85" s="15"/>
      <c r="BO85" s="15"/>
      <c r="BP85" s="15"/>
      <c r="BQ85" s="15"/>
      <c r="BR85" s="15"/>
      <c r="BS85" s="15"/>
      <c r="BT85" s="15"/>
      <c r="BU85" s="15"/>
      <c r="BV85" s="15"/>
      <c r="BW85" s="15"/>
      <c r="BX85" s="15"/>
      <c r="BY85" s="15"/>
      <c r="BZ85" s="15"/>
      <c r="CA85" s="15"/>
      <c r="CB85" s="15"/>
      <c r="CC85" s="15"/>
      <c r="CD85" s="15"/>
      <c r="CE85" s="15"/>
      <c r="CF85" s="15"/>
      <c r="CG85" s="15"/>
      <c r="CH85" s="15"/>
      <c r="CI85" s="15"/>
      <c r="CJ85" s="15"/>
      <c r="CK85" s="15"/>
      <c r="CL85" s="15"/>
      <c r="CM85" s="15"/>
      <c r="CN85" s="15"/>
      <c r="CO85" s="15"/>
      <c r="CP85" s="15"/>
      <c r="CQ85" s="15"/>
      <c r="CR85" s="15"/>
      <c r="CS85" s="15"/>
      <c r="CT85" s="15"/>
      <c r="CU85" s="15"/>
      <c r="CV85" s="15"/>
      <c r="CW85" s="15"/>
      <c r="CX85" s="15"/>
      <c r="CY85" s="15"/>
      <c r="CZ85" s="15"/>
      <c r="DA85" s="15"/>
      <c r="DB85" s="15"/>
      <c r="DC85" s="15"/>
      <c r="DD85" s="15"/>
      <c r="DE85" s="15"/>
      <c r="DF85" s="15"/>
      <c r="DG85" s="15"/>
      <c r="DH85" s="15"/>
      <c r="DI85" s="15"/>
      <c r="DJ85" s="15"/>
      <c r="DK85" s="15"/>
      <c r="DL85" s="15"/>
      <c r="DM85" s="15"/>
      <c r="DN85" s="15"/>
      <c r="DO85" s="15"/>
      <c r="DP85" s="15"/>
      <c r="DQ85" s="15"/>
      <c r="DR85" s="15"/>
      <c r="DS85" s="15"/>
      <c r="DT85" s="15"/>
      <c r="DU85" s="15"/>
      <c r="DV85" s="15"/>
      <c r="DW85" s="15"/>
      <c r="DX85" s="15"/>
      <c r="DY85" s="15"/>
      <c r="DZ85" s="15"/>
      <c r="EA85" s="15"/>
      <c r="EB85" s="15"/>
      <c r="EC85" s="15"/>
      <c r="ED85" s="15"/>
      <c r="EE85" s="15"/>
      <c r="EF85" s="15"/>
      <c r="EG85" s="15"/>
      <c r="EH85" s="15"/>
    </row>
    <row r="86" spans="1:138" s="34" customFormat="1" ht="15" customHeight="1">
      <c r="A86" s="642"/>
      <c r="B86" s="1455" t="str">
        <f t="array" aca="1" ref="B86" ca="1">IFERROR(INDEX(Data!$B$16:$B$96,MATCH(0,COUNTIF($B$12:B85,Data!$B$16:$B$96),0)),"")</f>
        <v/>
      </c>
      <c r="C86" s="1345">
        <v>74</v>
      </c>
      <c r="D86" s="1424" t="s">
        <v>182</v>
      </c>
      <c r="E86" s="1424" t="str">
        <f ca="1">IF(COUNTIF(Data!$H$16:$H$100,CONCATENATE(Data_3!$B86,"_",Data_3!E$11))=1,E$11,"")</f>
        <v/>
      </c>
      <c r="F86" s="1424" t="str">
        <f ca="1">IF(COUNTIF(Data!$H$16:$H$100,CONCATENATE(Data_3!$B86,"_",Data_3!F$11))=1,F$11,"")</f>
        <v/>
      </c>
      <c r="G86" s="1424" t="str">
        <f ca="1">IF(COUNTIF(Data!$H$16:$H$100,CONCATENATE(Data_3!$B86,"_",Data_3!G$11))=1,G$11,"")</f>
        <v/>
      </c>
      <c r="H86" s="1424" t="str">
        <f ca="1">IF(COUNTIF(Data!$H$16:$H$100,CONCATENATE(Data_3!$B86,"_",Data_3!H$11))=1,H$11,"")</f>
        <v/>
      </c>
      <c r="I86" s="1424" t="str">
        <f ca="1">IF(COUNTIF(Data!$H$16:$H$100,CONCATENATE(Data_3!$B86,"_",Data_3!I$11))=1,I$11,"")</f>
        <v/>
      </c>
      <c r="J86" s="1424" t="str">
        <f ca="1">IF(COUNTIF(Data!$H$16:$H$100,CONCATENATE(Data_3!$B86,"_",Data_3!J$11))=1,J$11,"")</f>
        <v/>
      </c>
      <c r="K86" s="1424" t="str">
        <f ca="1">IF(COUNTIF(Data!$H$16:$H$100,CONCATENATE(Data_3!$B86,"_",Data_3!K$11))=1,K$11,"")</f>
        <v/>
      </c>
      <c r="L86" s="1424" t="str">
        <f ca="1">IF(COUNTIF(Data!$H$16:$H$100,CONCATENATE(Data_3!$B86,"_",Data_3!L$11))=1,L$11,"")</f>
        <v/>
      </c>
      <c r="M86" s="1424" t="str">
        <f ca="1">IF(COUNTIF(Data!$H$16:$H$100,CONCATENATE(Data_3!$B86,"_",Data_3!M$11))=1,M$11,"")</f>
        <v/>
      </c>
      <c r="N86" s="1424" t="str">
        <f ca="1">IF(COUNTIF(Data!$H$16:$H$100,CONCATENATE(Data_3!$B86,"_",Data_3!N$11))=1,N$11,"")</f>
        <v/>
      </c>
      <c r="O86" s="1424" t="str">
        <f ca="1">IF(COUNTIF(Data!$H$16:$H$100,CONCATENATE(Data_3!$B86,"_",Data_3!O$11))=1,O$11,"")</f>
        <v/>
      </c>
      <c r="P86" s="1424" t="str">
        <f ca="1">IF(COUNTIF(Data!$H$16:$H$100,CONCATENATE(Data_3!$B86,"_",Data_3!P$11))=1,P$11,"")</f>
        <v/>
      </c>
      <c r="Q86" s="1424" t="str">
        <f ca="1">IF(COUNTIF(Data!$H$16:$H$100,CONCATENATE(Data_3!$B86,"_",Data_3!Q$11))=1,Q$11,"")</f>
        <v/>
      </c>
      <c r="R86" s="1424" t="str">
        <f ca="1">IF(COUNTIF(Data!$H$16:$H$100,CONCATENATE(Data_3!$B86,"_",Data_3!R$11))=1,R$11,"")</f>
        <v/>
      </c>
      <c r="S86" s="1424" t="str">
        <f ca="1">IF(COUNTIF(Data!$H$16:$H$100,CONCATENATE(Data_3!$B86,"_",Data_3!S$11))=1,S$11,"")</f>
        <v/>
      </c>
      <c r="T86" s="1424" t="str">
        <f ca="1">IF(COUNTIF(Data!$H$16:$H$100,CONCATENATE(Data_3!$B86,"_",Data_3!T$11))=1,T$11,"")</f>
        <v/>
      </c>
      <c r="U86" s="1424" t="str">
        <f ca="1">IF(COUNTIF(Data!$H$16:$H$100,CONCATENATE(Data_3!$B86,"_",Data_3!U$11))=1,U$11,"")</f>
        <v/>
      </c>
      <c r="V86" s="1424" t="str">
        <f ca="1">IF(COUNTIF(Data!$H$16:$H$100,CONCATENATE(Data_3!$B86,"_",Data_3!V$11))=1,V$11,"")</f>
        <v/>
      </c>
      <c r="W86" s="1424" t="str">
        <f ca="1">IF(COUNTIF(Data!$H$16:$H$100,CONCATENATE(Data_3!$B86,"_",Data_3!W$11))=1,W$11,"")</f>
        <v/>
      </c>
      <c r="X86" s="1424" t="str">
        <f ca="1">IF(COUNTIF(Data!$H$16:$H$100,CONCATENATE(Data_3!$B86,"_",Data_3!X$11))=1,X$11,"")</f>
        <v/>
      </c>
      <c r="Y86" s="1424" t="str">
        <f ca="1">IF(COUNTIF(Data!$H$16:$H$100,CONCATENATE(Data_3!$B86,"_",Data_3!Y$11))=1,Y$11,"")</f>
        <v/>
      </c>
      <c r="Z86" s="15"/>
      <c r="AA86" s="15"/>
      <c r="AB86" s="15"/>
      <c r="AC86" s="15"/>
      <c r="AD86" s="15"/>
      <c r="AE86" s="15"/>
      <c r="AF86" s="15"/>
      <c r="AG86" s="15"/>
      <c r="AH86" s="15"/>
      <c r="AI86" s="15"/>
      <c r="AJ86" s="15"/>
      <c r="AK86" s="15"/>
      <c r="AL86" s="15"/>
      <c r="AM86" s="15"/>
      <c r="AN86" s="15"/>
      <c r="AO86" s="15"/>
      <c r="AP86" s="15"/>
      <c r="AQ86" s="15"/>
      <c r="AR86" s="15"/>
      <c r="AS86" s="15"/>
      <c r="AT86" s="15"/>
      <c r="AU86" s="15"/>
      <c r="AV86" s="15"/>
      <c r="AW86" s="15"/>
      <c r="AX86" s="15"/>
      <c r="AY86" s="15"/>
      <c r="AZ86" s="15"/>
      <c r="BA86" s="15"/>
      <c r="BB86" s="15"/>
      <c r="BC86" s="15"/>
      <c r="BD86" s="15"/>
      <c r="BE86" s="15"/>
      <c r="BF86" s="15"/>
      <c r="BG86" s="15"/>
      <c r="BH86" s="15"/>
      <c r="BI86" s="15"/>
      <c r="BJ86" s="15"/>
      <c r="BK86" s="15"/>
      <c r="BL86" s="15"/>
      <c r="BM86" s="15"/>
      <c r="BN86" s="15"/>
      <c r="BO86" s="15"/>
      <c r="BP86" s="15"/>
      <c r="BQ86" s="15"/>
      <c r="BR86" s="15"/>
      <c r="BS86" s="15"/>
      <c r="BT86" s="15"/>
      <c r="BU86" s="15"/>
      <c r="BV86" s="15"/>
      <c r="BW86" s="15"/>
      <c r="BX86" s="15"/>
      <c r="BY86" s="15"/>
      <c r="BZ86" s="15"/>
      <c r="CA86" s="15"/>
      <c r="CB86" s="15"/>
      <c r="CC86" s="15"/>
      <c r="CD86" s="15"/>
      <c r="CE86" s="15"/>
      <c r="CF86" s="15"/>
      <c r="CG86" s="15"/>
      <c r="CH86" s="15"/>
      <c r="CI86" s="15"/>
      <c r="CJ86" s="15"/>
      <c r="CK86" s="15"/>
      <c r="CL86" s="15"/>
      <c r="CM86" s="15"/>
      <c r="CN86" s="15"/>
      <c r="CO86" s="15"/>
      <c r="CP86" s="15"/>
      <c r="CQ86" s="15"/>
      <c r="CR86" s="15"/>
      <c r="CS86" s="15"/>
      <c r="CT86" s="15"/>
      <c r="CU86" s="15"/>
      <c r="CV86" s="15"/>
      <c r="CW86" s="15"/>
      <c r="CX86" s="15"/>
      <c r="CY86" s="15"/>
      <c r="CZ86" s="15"/>
      <c r="DA86" s="15"/>
      <c r="DB86" s="15"/>
      <c r="DC86" s="15"/>
      <c r="DD86" s="15"/>
      <c r="DE86" s="15"/>
      <c r="DF86" s="15"/>
      <c r="DG86" s="15"/>
      <c r="DH86" s="15"/>
      <c r="DI86" s="15"/>
      <c r="DJ86" s="15"/>
      <c r="DK86" s="15"/>
      <c r="DL86" s="15"/>
      <c r="DM86" s="15"/>
      <c r="DN86" s="15"/>
      <c r="DO86" s="15"/>
      <c r="DP86" s="15"/>
      <c r="DQ86" s="15"/>
      <c r="DR86" s="15"/>
      <c r="DS86" s="15"/>
      <c r="DT86" s="15"/>
      <c r="DU86" s="15"/>
      <c r="DV86" s="15"/>
      <c r="DW86" s="15"/>
      <c r="DX86" s="15"/>
      <c r="DY86" s="15"/>
      <c r="DZ86" s="15"/>
      <c r="EA86" s="15"/>
      <c r="EB86" s="15"/>
      <c r="EC86" s="15"/>
      <c r="ED86" s="15"/>
      <c r="EE86" s="15"/>
      <c r="EF86" s="15"/>
      <c r="EG86" s="15"/>
      <c r="EH86" s="15"/>
    </row>
    <row r="87" spans="1:138" s="34" customFormat="1" ht="15" customHeight="1">
      <c r="A87" s="642"/>
      <c r="B87" s="1455" t="str">
        <f t="array" aca="1" ref="B87" ca="1">IFERROR(INDEX(Data!$B$16:$B$96,MATCH(0,COUNTIF($B$12:B86,Data!$B$16:$B$96),0)),"")</f>
        <v/>
      </c>
      <c r="C87" s="1345">
        <v>75</v>
      </c>
      <c r="D87" s="1424" t="s">
        <v>182</v>
      </c>
      <c r="E87" s="1424" t="str">
        <f ca="1">IF(COUNTIF(Data!$H$16:$H$100,CONCATENATE(Data_3!$B87,"_",Data_3!E$11))=1,E$11,"")</f>
        <v/>
      </c>
      <c r="F87" s="1424" t="str">
        <f ca="1">IF(COUNTIF(Data!$H$16:$H$100,CONCATENATE(Data_3!$B87,"_",Data_3!F$11))=1,F$11,"")</f>
        <v/>
      </c>
      <c r="G87" s="1424" t="str">
        <f ca="1">IF(COUNTIF(Data!$H$16:$H$100,CONCATENATE(Data_3!$B87,"_",Data_3!G$11))=1,G$11,"")</f>
        <v/>
      </c>
      <c r="H87" s="1424" t="str">
        <f ca="1">IF(COUNTIF(Data!$H$16:$H$100,CONCATENATE(Data_3!$B87,"_",Data_3!H$11))=1,H$11,"")</f>
        <v/>
      </c>
      <c r="I87" s="1424" t="str">
        <f ca="1">IF(COUNTIF(Data!$H$16:$H$100,CONCATENATE(Data_3!$B87,"_",Data_3!I$11))=1,I$11,"")</f>
        <v/>
      </c>
      <c r="J87" s="1424" t="str">
        <f ca="1">IF(COUNTIF(Data!$H$16:$H$100,CONCATENATE(Data_3!$B87,"_",Data_3!J$11))=1,J$11,"")</f>
        <v/>
      </c>
      <c r="K87" s="1424" t="str">
        <f ca="1">IF(COUNTIF(Data!$H$16:$H$100,CONCATENATE(Data_3!$B87,"_",Data_3!K$11))=1,K$11,"")</f>
        <v/>
      </c>
      <c r="L87" s="1424" t="str">
        <f ca="1">IF(COUNTIF(Data!$H$16:$H$100,CONCATENATE(Data_3!$B87,"_",Data_3!L$11))=1,L$11,"")</f>
        <v/>
      </c>
      <c r="M87" s="1424" t="str">
        <f ca="1">IF(COUNTIF(Data!$H$16:$H$100,CONCATENATE(Data_3!$B87,"_",Data_3!M$11))=1,M$11,"")</f>
        <v/>
      </c>
      <c r="N87" s="1424" t="str">
        <f ca="1">IF(COUNTIF(Data!$H$16:$H$100,CONCATENATE(Data_3!$B87,"_",Data_3!N$11))=1,N$11,"")</f>
        <v/>
      </c>
      <c r="O87" s="1424" t="str">
        <f ca="1">IF(COUNTIF(Data!$H$16:$H$100,CONCATENATE(Data_3!$B87,"_",Data_3!O$11))=1,O$11,"")</f>
        <v/>
      </c>
      <c r="P87" s="1424" t="str">
        <f ca="1">IF(COUNTIF(Data!$H$16:$H$100,CONCATENATE(Data_3!$B87,"_",Data_3!P$11))=1,P$11,"")</f>
        <v/>
      </c>
      <c r="Q87" s="1424" t="str">
        <f ca="1">IF(COUNTIF(Data!$H$16:$H$100,CONCATENATE(Data_3!$B87,"_",Data_3!Q$11))=1,Q$11,"")</f>
        <v/>
      </c>
      <c r="R87" s="1424" t="str">
        <f ca="1">IF(COUNTIF(Data!$H$16:$H$100,CONCATENATE(Data_3!$B87,"_",Data_3!R$11))=1,R$11,"")</f>
        <v/>
      </c>
      <c r="S87" s="1424" t="str">
        <f ca="1">IF(COUNTIF(Data!$H$16:$H$100,CONCATENATE(Data_3!$B87,"_",Data_3!S$11))=1,S$11,"")</f>
        <v/>
      </c>
      <c r="T87" s="1424" t="str">
        <f ca="1">IF(COUNTIF(Data!$H$16:$H$100,CONCATENATE(Data_3!$B87,"_",Data_3!T$11))=1,T$11,"")</f>
        <v/>
      </c>
      <c r="U87" s="1424" t="str">
        <f ca="1">IF(COUNTIF(Data!$H$16:$H$100,CONCATENATE(Data_3!$B87,"_",Data_3!U$11))=1,U$11,"")</f>
        <v/>
      </c>
      <c r="V87" s="1424" t="str">
        <f ca="1">IF(COUNTIF(Data!$H$16:$H$100,CONCATENATE(Data_3!$B87,"_",Data_3!V$11))=1,V$11,"")</f>
        <v/>
      </c>
      <c r="W87" s="1424" t="str">
        <f ca="1">IF(COUNTIF(Data!$H$16:$H$100,CONCATENATE(Data_3!$B87,"_",Data_3!W$11))=1,W$11,"")</f>
        <v/>
      </c>
      <c r="X87" s="1424" t="str">
        <f ca="1">IF(COUNTIF(Data!$H$16:$H$100,CONCATENATE(Data_3!$B87,"_",Data_3!X$11))=1,X$11,"")</f>
        <v/>
      </c>
      <c r="Y87" s="1424" t="str">
        <f ca="1">IF(COUNTIF(Data!$H$16:$H$100,CONCATENATE(Data_3!$B87,"_",Data_3!Y$11))=1,Y$11,"")</f>
        <v/>
      </c>
      <c r="Z87" s="15"/>
      <c r="AA87" s="15"/>
      <c r="AB87" s="15"/>
      <c r="AC87" s="15"/>
      <c r="AD87" s="15"/>
      <c r="AE87" s="15"/>
      <c r="AF87" s="15"/>
      <c r="AG87" s="15"/>
      <c r="AH87" s="15"/>
      <c r="AI87" s="15"/>
      <c r="AJ87" s="15"/>
      <c r="AK87" s="15"/>
      <c r="AL87" s="15"/>
      <c r="AM87" s="15"/>
      <c r="AN87" s="15"/>
      <c r="AO87" s="15"/>
      <c r="AP87" s="15"/>
      <c r="AQ87" s="15"/>
      <c r="AR87" s="15"/>
      <c r="AS87" s="15"/>
      <c r="AT87" s="15"/>
      <c r="AU87" s="15"/>
      <c r="AV87" s="15"/>
      <c r="AW87" s="15"/>
      <c r="AX87" s="15"/>
      <c r="AY87" s="15"/>
      <c r="AZ87" s="15"/>
      <c r="BA87" s="15"/>
      <c r="BB87" s="15"/>
      <c r="BC87" s="15"/>
      <c r="BD87" s="15"/>
      <c r="BE87" s="15"/>
      <c r="BF87" s="15"/>
      <c r="BG87" s="15"/>
      <c r="BH87" s="15"/>
      <c r="BI87" s="15"/>
      <c r="BJ87" s="15"/>
      <c r="BK87" s="15"/>
      <c r="BL87" s="15"/>
      <c r="BM87" s="15"/>
      <c r="BN87" s="15"/>
      <c r="BO87" s="15"/>
      <c r="BP87" s="15"/>
      <c r="BQ87" s="15"/>
      <c r="BR87" s="15"/>
      <c r="BS87" s="15"/>
      <c r="BT87" s="15"/>
      <c r="BU87" s="15"/>
      <c r="BV87" s="15"/>
      <c r="BW87" s="15"/>
      <c r="BX87" s="15"/>
      <c r="BY87" s="15"/>
      <c r="BZ87" s="15"/>
      <c r="CA87" s="15"/>
      <c r="CB87" s="15"/>
      <c r="CC87" s="15"/>
      <c r="CD87" s="15"/>
      <c r="CE87" s="15"/>
      <c r="CF87" s="15"/>
      <c r="CG87" s="15"/>
      <c r="CH87" s="15"/>
      <c r="CI87" s="15"/>
      <c r="CJ87" s="15"/>
      <c r="CK87" s="15"/>
      <c r="CL87" s="15"/>
      <c r="CM87" s="15"/>
      <c r="CN87" s="15"/>
      <c r="CO87" s="15"/>
      <c r="CP87" s="15"/>
      <c r="CQ87" s="15"/>
      <c r="CR87" s="15"/>
      <c r="CS87" s="15"/>
      <c r="CT87" s="15"/>
      <c r="CU87" s="15"/>
      <c r="CV87" s="15"/>
      <c r="CW87" s="15"/>
      <c r="CX87" s="15"/>
      <c r="CY87" s="15"/>
      <c r="CZ87" s="15"/>
      <c r="DA87" s="15"/>
      <c r="DB87" s="15"/>
      <c r="DC87" s="15"/>
      <c r="DD87" s="15"/>
      <c r="DE87" s="15"/>
      <c r="DF87" s="15"/>
      <c r="DG87" s="15"/>
      <c r="DH87" s="15"/>
      <c r="DI87" s="15"/>
      <c r="DJ87" s="15"/>
      <c r="DK87" s="15"/>
      <c r="DL87" s="15"/>
      <c r="DM87" s="15"/>
      <c r="DN87" s="15"/>
      <c r="DO87" s="15"/>
      <c r="DP87" s="15"/>
      <c r="DQ87" s="15"/>
      <c r="DR87" s="15"/>
      <c r="DS87" s="15"/>
      <c r="DT87" s="15"/>
      <c r="DU87" s="15"/>
      <c r="DV87" s="15"/>
      <c r="DW87" s="15"/>
      <c r="DX87" s="15"/>
      <c r="DY87" s="15"/>
      <c r="DZ87" s="15"/>
      <c r="EA87" s="15"/>
      <c r="EB87" s="15"/>
      <c r="EC87" s="15"/>
      <c r="ED87" s="15"/>
      <c r="EE87" s="15"/>
      <c r="EF87" s="15"/>
      <c r="EG87" s="15"/>
      <c r="EH87" s="15"/>
    </row>
    <row r="88" spans="1:138" s="34" customFormat="1" ht="15" customHeight="1">
      <c r="A88" s="642"/>
      <c r="B88" s="1455" t="str">
        <f t="array" aca="1" ref="B88" ca="1">IFERROR(INDEX(Data!$B$16:$B$96,MATCH(0,COUNTIF($B$12:B87,Data!$B$16:$B$96),0)),"")</f>
        <v/>
      </c>
      <c r="C88" s="1345">
        <v>76</v>
      </c>
      <c r="D88" s="1424" t="s">
        <v>182</v>
      </c>
      <c r="E88" s="1424" t="str">
        <f ca="1">IF(COUNTIF(Data!$H$16:$H$100,CONCATENATE(Data_3!$B88,"_",Data_3!E$11))=1,E$11,"")</f>
        <v/>
      </c>
      <c r="F88" s="1424" t="str">
        <f ca="1">IF(COUNTIF(Data!$H$16:$H$100,CONCATENATE(Data_3!$B88,"_",Data_3!F$11))=1,F$11,"")</f>
        <v/>
      </c>
      <c r="G88" s="1424" t="str">
        <f ca="1">IF(COUNTIF(Data!$H$16:$H$100,CONCATENATE(Data_3!$B88,"_",Data_3!G$11))=1,G$11,"")</f>
        <v/>
      </c>
      <c r="H88" s="1424" t="str">
        <f ca="1">IF(COUNTIF(Data!$H$16:$H$100,CONCATENATE(Data_3!$B88,"_",Data_3!H$11))=1,H$11,"")</f>
        <v/>
      </c>
      <c r="I88" s="1424" t="str">
        <f ca="1">IF(COUNTIF(Data!$H$16:$H$100,CONCATENATE(Data_3!$B88,"_",Data_3!I$11))=1,I$11,"")</f>
        <v/>
      </c>
      <c r="J88" s="1424" t="str">
        <f ca="1">IF(COUNTIF(Data!$H$16:$H$100,CONCATENATE(Data_3!$B88,"_",Data_3!J$11))=1,J$11,"")</f>
        <v/>
      </c>
      <c r="K88" s="1424" t="str">
        <f ca="1">IF(COUNTIF(Data!$H$16:$H$100,CONCATENATE(Data_3!$B88,"_",Data_3!K$11))=1,K$11,"")</f>
        <v/>
      </c>
      <c r="L88" s="1424" t="str">
        <f ca="1">IF(COUNTIF(Data!$H$16:$H$100,CONCATENATE(Data_3!$B88,"_",Data_3!L$11))=1,L$11,"")</f>
        <v/>
      </c>
      <c r="M88" s="1424" t="str">
        <f ca="1">IF(COUNTIF(Data!$H$16:$H$100,CONCATENATE(Data_3!$B88,"_",Data_3!M$11))=1,M$11,"")</f>
        <v/>
      </c>
      <c r="N88" s="1424" t="str">
        <f ca="1">IF(COUNTIF(Data!$H$16:$H$100,CONCATENATE(Data_3!$B88,"_",Data_3!N$11))=1,N$11,"")</f>
        <v/>
      </c>
      <c r="O88" s="1424" t="str">
        <f ca="1">IF(COUNTIF(Data!$H$16:$H$100,CONCATENATE(Data_3!$B88,"_",Data_3!O$11))=1,O$11,"")</f>
        <v/>
      </c>
      <c r="P88" s="1424" t="str">
        <f ca="1">IF(COUNTIF(Data!$H$16:$H$100,CONCATENATE(Data_3!$B88,"_",Data_3!P$11))=1,P$11,"")</f>
        <v/>
      </c>
      <c r="Q88" s="1424" t="str">
        <f ca="1">IF(COUNTIF(Data!$H$16:$H$100,CONCATENATE(Data_3!$B88,"_",Data_3!Q$11))=1,Q$11,"")</f>
        <v/>
      </c>
      <c r="R88" s="1424" t="str">
        <f ca="1">IF(COUNTIF(Data!$H$16:$H$100,CONCATENATE(Data_3!$B88,"_",Data_3!R$11))=1,R$11,"")</f>
        <v/>
      </c>
      <c r="S88" s="1424" t="str">
        <f ca="1">IF(COUNTIF(Data!$H$16:$H$100,CONCATENATE(Data_3!$B88,"_",Data_3!S$11))=1,S$11,"")</f>
        <v/>
      </c>
      <c r="T88" s="1424" t="str">
        <f ca="1">IF(COUNTIF(Data!$H$16:$H$100,CONCATENATE(Data_3!$B88,"_",Data_3!T$11))=1,T$11,"")</f>
        <v/>
      </c>
      <c r="U88" s="1424" t="str">
        <f ca="1">IF(COUNTIF(Data!$H$16:$H$100,CONCATENATE(Data_3!$B88,"_",Data_3!U$11))=1,U$11,"")</f>
        <v/>
      </c>
      <c r="V88" s="1424" t="str">
        <f ca="1">IF(COUNTIF(Data!$H$16:$H$100,CONCATENATE(Data_3!$B88,"_",Data_3!V$11))=1,V$11,"")</f>
        <v/>
      </c>
      <c r="W88" s="1424" t="str">
        <f ca="1">IF(COUNTIF(Data!$H$16:$H$100,CONCATENATE(Data_3!$B88,"_",Data_3!W$11))=1,W$11,"")</f>
        <v/>
      </c>
      <c r="X88" s="1424" t="str">
        <f ca="1">IF(COUNTIF(Data!$H$16:$H$100,CONCATENATE(Data_3!$B88,"_",Data_3!X$11))=1,X$11,"")</f>
        <v/>
      </c>
      <c r="Y88" s="1424" t="str">
        <f ca="1">IF(COUNTIF(Data!$H$16:$H$100,CONCATENATE(Data_3!$B88,"_",Data_3!Y$11))=1,Y$11,"")</f>
        <v/>
      </c>
      <c r="Z88" s="15"/>
      <c r="AA88" s="15"/>
      <c r="AB88" s="15"/>
      <c r="AC88" s="15"/>
      <c r="AD88" s="15"/>
      <c r="AE88" s="15"/>
      <c r="AF88" s="15"/>
      <c r="AG88" s="15"/>
      <c r="AH88" s="15"/>
      <c r="AI88" s="15"/>
      <c r="AJ88" s="15"/>
      <c r="AK88" s="15"/>
      <c r="AL88" s="15"/>
      <c r="AM88" s="15"/>
      <c r="AN88" s="15"/>
      <c r="AO88" s="15"/>
      <c r="AP88" s="15"/>
      <c r="AQ88" s="15"/>
      <c r="AR88" s="15"/>
      <c r="AS88" s="15"/>
      <c r="AT88" s="15"/>
      <c r="AU88" s="15"/>
      <c r="AV88" s="15"/>
      <c r="AW88" s="15"/>
      <c r="AX88" s="15"/>
      <c r="AY88" s="15"/>
      <c r="AZ88" s="15"/>
      <c r="BA88" s="15"/>
      <c r="BB88" s="15"/>
      <c r="BC88" s="15"/>
      <c r="BD88" s="15"/>
      <c r="BE88" s="15"/>
      <c r="BF88" s="15"/>
      <c r="BG88" s="15"/>
      <c r="BH88" s="15"/>
      <c r="BI88" s="15"/>
      <c r="BJ88" s="15"/>
      <c r="BK88" s="15"/>
      <c r="BL88" s="15"/>
      <c r="BM88" s="15"/>
      <c r="BN88" s="15"/>
      <c r="BO88" s="15"/>
      <c r="BP88" s="15"/>
      <c r="BQ88" s="15"/>
      <c r="BR88" s="15"/>
      <c r="BS88" s="15"/>
      <c r="BT88" s="15"/>
      <c r="BU88" s="15"/>
      <c r="BV88" s="15"/>
      <c r="BW88" s="15"/>
      <c r="BX88" s="15"/>
      <c r="BY88" s="15"/>
      <c r="BZ88" s="15"/>
      <c r="CA88" s="15"/>
      <c r="CB88" s="15"/>
      <c r="CC88" s="15"/>
      <c r="CD88" s="15"/>
      <c r="CE88" s="15"/>
      <c r="CF88" s="15"/>
      <c r="CG88" s="15"/>
      <c r="CH88" s="15"/>
      <c r="CI88" s="15"/>
      <c r="CJ88" s="15"/>
      <c r="CK88" s="15"/>
      <c r="CL88" s="15"/>
      <c r="CM88" s="15"/>
      <c r="CN88" s="15"/>
      <c r="CO88" s="15"/>
      <c r="CP88" s="15"/>
      <c r="CQ88" s="15"/>
      <c r="CR88" s="15"/>
      <c r="CS88" s="15"/>
      <c r="CT88" s="15"/>
      <c r="CU88" s="15"/>
      <c r="CV88" s="15"/>
      <c r="CW88" s="15"/>
      <c r="CX88" s="15"/>
      <c r="CY88" s="15"/>
      <c r="CZ88" s="15"/>
      <c r="DA88" s="15"/>
      <c r="DB88" s="15"/>
      <c r="DC88" s="15"/>
      <c r="DD88" s="15"/>
      <c r="DE88" s="15"/>
      <c r="DF88" s="15"/>
      <c r="DG88" s="15"/>
      <c r="DH88" s="15"/>
      <c r="DI88" s="15"/>
      <c r="DJ88" s="15"/>
      <c r="DK88" s="15"/>
      <c r="DL88" s="15"/>
      <c r="DM88" s="15"/>
      <c r="DN88" s="15"/>
      <c r="DO88" s="15"/>
      <c r="DP88" s="15"/>
      <c r="DQ88" s="15"/>
      <c r="DR88" s="15"/>
      <c r="DS88" s="15"/>
      <c r="DT88" s="15"/>
      <c r="DU88" s="15"/>
      <c r="DV88" s="15"/>
      <c r="DW88" s="15"/>
      <c r="DX88" s="15"/>
      <c r="DY88" s="15"/>
      <c r="DZ88" s="15"/>
      <c r="EA88" s="15"/>
      <c r="EB88" s="15"/>
      <c r="EC88" s="15"/>
      <c r="ED88" s="15"/>
      <c r="EE88" s="15"/>
      <c r="EF88" s="15"/>
      <c r="EG88" s="15"/>
      <c r="EH88" s="15"/>
    </row>
    <row r="89" spans="1:138" s="34" customFormat="1" ht="15" customHeight="1">
      <c r="A89" s="642"/>
      <c r="B89" s="1455" t="str">
        <f t="array" aca="1" ref="B89" ca="1">IFERROR(INDEX(Data!$B$16:$B$96,MATCH(0,COUNTIF($B$12:B88,Data!$B$16:$B$96),0)),"")</f>
        <v/>
      </c>
      <c r="C89" s="1345">
        <v>77</v>
      </c>
      <c r="D89" s="1424" t="s">
        <v>182</v>
      </c>
      <c r="E89" s="1424" t="str">
        <f ca="1">IF(COUNTIF(Data!$H$16:$H$100,CONCATENATE(Data_3!$B89,"_",Data_3!E$11))=1,E$11,"")</f>
        <v/>
      </c>
      <c r="F89" s="1424" t="str">
        <f ca="1">IF(COUNTIF(Data!$H$16:$H$100,CONCATENATE(Data_3!$B89,"_",Data_3!F$11))=1,F$11,"")</f>
        <v/>
      </c>
      <c r="G89" s="1424" t="str">
        <f ca="1">IF(COUNTIF(Data!$H$16:$H$100,CONCATENATE(Data_3!$B89,"_",Data_3!G$11))=1,G$11,"")</f>
        <v/>
      </c>
      <c r="H89" s="1424" t="str">
        <f ca="1">IF(COUNTIF(Data!$H$16:$H$100,CONCATENATE(Data_3!$B89,"_",Data_3!H$11))=1,H$11,"")</f>
        <v/>
      </c>
      <c r="I89" s="1424" t="str">
        <f ca="1">IF(COUNTIF(Data!$H$16:$H$100,CONCATENATE(Data_3!$B89,"_",Data_3!I$11))=1,I$11,"")</f>
        <v/>
      </c>
      <c r="J89" s="1424" t="str">
        <f ca="1">IF(COUNTIF(Data!$H$16:$H$100,CONCATENATE(Data_3!$B89,"_",Data_3!J$11))=1,J$11,"")</f>
        <v/>
      </c>
      <c r="K89" s="1424" t="str">
        <f ca="1">IF(COUNTIF(Data!$H$16:$H$100,CONCATENATE(Data_3!$B89,"_",Data_3!K$11))=1,K$11,"")</f>
        <v/>
      </c>
      <c r="L89" s="1424" t="str">
        <f ca="1">IF(COUNTIF(Data!$H$16:$H$100,CONCATENATE(Data_3!$B89,"_",Data_3!L$11))=1,L$11,"")</f>
        <v/>
      </c>
      <c r="M89" s="1424" t="str">
        <f ca="1">IF(COUNTIF(Data!$H$16:$H$100,CONCATENATE(Data_3!$B89,"_",Data_3!M$11))=1,M$11,"")</f>
        <v/>
      </c>
      <c r="N89" s="1424" t="str">
        <f ca="1">IF(COUNTIF(Data!$H$16:$H$100,CONCATENATE(Data_3!$B89,"_",Data_3!N$11))=1,N$11,"")</f>
        <v/>
      </c>
      <c r="O89" s="1424" t="str">
        <f ca="1">IF(COUNTIF(Data!$H$16:$H$100,CONCATENATE(Data_3!$B89,"_",Data_3!O$11))=1,O$11,"")</f>
        <v/>
      </c>
      <c r="P89" s="1424" t="str">
        <f ca="1">IF(COUNTIF(Data!$H$16:$H$100,CONCATENATE(Data_3!$B89,"_",Data_3!P$11))=1,P$11,"")</f>
        <v/>
      </c>
      <c r="Q89" s="1424" t="str">
        <f ca="1">IF(COUNTIF(Data!$H$16:$H$100,CONCATENATE(Data_3!$B89,"_",Data_3!Q$11))=1,Q$11,"")</f>
        <v/>
      </c>
      <c r="R89" s="1424" t="str">
        <f ca="1">IF(COUNTIF(Data!$H$16:$H$100,CONCATENATE(Data_3!$B89,"_",Data_3!R$11))=1,R$11,"")</f>
        <v/>
      </c>
      <c r="S89" s="1424" t="str">
        <f ca="1">IF(COUNTIF(Data!$H$16:$H$100,CONCATENATE(Data_3!$B89,"_",Data_3!S$11))=1,S$11,"")</f>
        <v/>
      </c>
      <c r="T89" s="1424" t="str">
        <f ca="1">IF(COUNTIF(Data!$H$16:$H$100,CONCATENATE(Data_3!$B89,"_",Data_3!T$11))=1,T$11,"")</f>
        <v/>
      </c>
      <c r="U89" s="1424" t="str">
        <f ca="1">IF(COUNTIF(Data!$H$16:$H$100,CONCATENATE(Data_3!$B89,"_",Data_3!U$11))=1,U$11,"")</f>
        <v/>
      </c>
      <c r="V89" s="1424" t="str">
        <f ca="1">IF(COUNTIF(Data!$H$16:$H$100,CONCATENATE(Data_3!$B89,"_",Data_3!V$11))=1,V$11,"")</f>
        <v/>
      </c>
      <c r="W89" s="1424" t="str">
        <f ca="1">IF(COUNTIF(Data!$H$16:$H$100,CONCATENATE(Data_3!$B89,"_",Data_3!W$11))=1,W$11,"")</f>
        <v/>
      </c>
      <c r="X89" s="1424" t="str">
        <f ca="1">IF(COUNTIF(Data!$H$16:$H$100,CONCATENATE(Data_3!$B89,"_",Data_3!X$11))=1,X$11,"")</f>
        <v/>
      </c>
      <c r="Y89" s="1424" t="str">
        <f ca="1">IF(COUNTIF(Data!$H$16:$H$100,CONCATENATE(Data_3!$B89,"_",Data_3!Y$11))=1,Y$11,"")</f>
        <v/>
      </c>
      <c r="Z89" s="15"/>
      <c r="AA89" s="15"/>
      <c r="AB89" s="15"/>
      <c r="AC89" s="15"/>
      <c r="AD89" s="15"/>
      <c r="AE89" s="15"/>
      <c r="AF89" s="15"/>
      <c r="AG89" s="15"/>
      <c r="AH89" s="15"/>
      <c r="AI89" s="15"/>
      <c r="AJ89" s="15"/>
      <c r="AK89" s="15"/>
      <c r="AL89" s="15"/>
      <c r="AM89" s="15"/>
      <c r="AN89" s="15"/>
      <c r="AO89" s="15"/>
      <c r="AP89" s="15"/>
      <c r="AQ89" s="15"/>
      <c r="AR89" s="15"/>
      <c r="AS89" s="15"/>
      <c r="AT89" s="15"/>
      <c r="AU89" s="15"/>
      <c r="AV89" s="15"/>
      <c r="AW89" s="15"/>
      <c r="AX89" s="15"/>
      <c r="AY89" s="15"/>
      <c r="AZ89" s="15"/>
      <c r="BA89" s="15"/>
      <c r="BB89" s="15"/>
      <c r="BC89" s="15"/>
      <c r="BD89" s="15"/>
      <c r="BE89" s="15"/>
      <c r="BF89" s="15"/>
      <c r="BG89" s="15"/>
      <c r="BH89" s="15"/>
      <c r="BI89" s="15"/>
      <c r="BJ89" s="15"/>
      <c r="BK89" s="15"/>
      <c r="BL89" s="15"/>
      <c r="BM89" s="15"/>
      <c r="BN89" s="15"/>
      <c r="BO89" s="15"/>
      <c r="BP89" s="15"/>
      <c r="BQ89" s="15"/>
      <c r="BR89" s="15"/>
      <c r="BS89" s="15"/>
      <c r="BT89" s="15"/>
      <c r="BU89" s="15"/>
      <c r="BV89" s="15"/>
      <c r="BW89" s="15"/>
      <c r="BX89" s="15"/>
      <c r="BY89" s="15"/>
      <c r="BZ89" s="15"/>
      <c r="CA89" s="15"/>
      <c r="CB89" s="15"/>
      <c r="CC89" s="15"/>
      <c r="CD89" s="15"/>
      <c r="CE89" s="15"/>
      <c r="CF89" s="15"/>
      <c r="CG89" s="15"/>
      <c r="CH89" s="15"/>
      <c r="CI89" s="15"/>
      <c r="CJ89" s="15"/>
      <c r="CK89" s="15"/>
      <c r="CL89" s="15"/>
      <c r="CM89" s="15"/>
      <c r="CN89" s="15"/>
      <c r="CO89" s="15"/>
      <c r="CP89" s="15"/>
      <c r="CQ89" s="15"/>
      <c r="CR89" s="15"/>
      <c r="CS89" s="15"/>
      <c r="CT89" s="15"/>
      <c r="CU89" s="15"/>
      <c r="CV89" s="15"/>
      <c r="CW89" s="15"/>
      <c r="CX89" s="15"/>
      <c r="CY89" s="15"/>
      <c r="CZ89" s="15"/>
      <c r="DA89" s="15"/>
      <c r="DB89" s="15"/>
      <c r="DC89" s="15"/>
      <c r="DD89" s="15"/>
      <c r="DE89" s="15"/>
      <c r="DF89" s="15"/>
      <c r="DG89" s="15"/>
      <c r="DH89" s="15"/>
      <c r="DI89" s="15"/>
      <c r="DJ89" s="15"/>
      <c r="DK89" s="15"/>
      <c r="DL89" s="15"/>
      <c r="DM89" s="15"/>
      <c r="DN89" s="15"/>
      <c r="DO89" s="15"/>
      <c r="DP89" s="15"/>
      <c r="DQ89" s="15"/>
      <c r="DR89" s="15"/>
      <c r="DS89" s="15"/>
      <c r="DT89" s="15"/>
      <c r="DU89" s="15"/>
      <c r="DV89" s="15"/>
      <c r="DW89" s="15"/>
      <c r="DX89" s="15"/>
      <c r="DY89" s="15"/>
      <c r="DZ89" s="15"/>
      <c r="EA89" s="15"/>
      <c r="EB89" s="15"/>
      <c r="EC89" s="15"/>
      <c r="ED89" s="15"/>
      <c r="EE89" s="15"/>
      <c r="EF89" s="15"/>
      <c r="EG89" s="15"/>
      <c r="EH89" s="15"/>
    </row>
    <row r="90" spans="1:138" s="34" customFormat="1" ht="15" customHeight="1">
      <c r="A90" s="642"/>
      <c r="B90" s="1455" t="str">
        <f t="array" aca="1" ref="B90" ca="1">IFERROR(INDEX(Data!$B$16:$B$96,MATCH(0,COUNTIF($B$12:B89,Data!$B$16:$B$96),0)),"")</f>
        <v/>
      </c>
      <c r="C90" s="1345">
        <v>78</v>
      </c>
      <c r="D90" s="1424" t="s">
        <v>182</v>
      </c>
      <c r="E90" s="1424" t="str">
        <f ca="1">IF(COUNTIF(Data!$H$16:$H$100,CONCATENATE(Data_3!$B90,"_",Data_3!E$11))=1,E$11,"")</f>
        <v/>
      </c>
      <c r="F90" s="1424" t="str">
        <f ca="1">IF(COUNTIF(Data!$H$16:$H$100,CONCATENATE(Data_3!$B90,"_",Data_3!F$11))=1,F$11,"")</f>
        <v/>
      </c>
      <c r="G90" s="1424" t="str">
        <f ca="1">IF(COUNTIF(Data!$H$16:$H$100,CONCATENATE(Data_3!$B90,"_",Data_3!G$11))=1,G$11,"")</f>
        <v/>
      </c>
      <c r="H90" s="1424" t="str">
        <f ca="1">IF(COUNTIF(Data!$H$16:$H$100,CONCATENATE(Data_3!$B90,"_",Data_3!H$11))=1,H$11,"")</f>
        <v/>
      </c>
      <c r="I90" s="1424" t="str">
        <f ca="1">IF(COUNTIF(Data!$H$16:$H$100,CONCATENATE(Data_3!$B90,"_",Data_3!I$11))=1,I$11,"")</f>
        <v/>
      </c>
      <c r="J90" s="1424" t="str">
        <f ca="1">IF(COUNTIF(Data!$H$16:$H$100,CONCATENATE(Data_3!$B90,"_",Data_3!J$11))=1,J$11,"")</f>
        <v/>
      </c>
      <c r="K90" s="1424" t="str">
        <f ca="1">IF(COUNTIF(Data!$H$16:$H$100,CONCATENATE(Data_3!$B90,"_",Data_3!K$11))=1,K$11,"")</f>
        <v/>
      </c>
      <c r="L90" s="1424" t="str">
        <f ca="1">IF(COUNTIF(Data!$H$16:$H$100,CONCATENATE(Data_3!$B90,"_",Data_3!L$11))=1,L$11,"")</f>
        <v/>
      </c>
      <c r="M90" s="1424" t="str">
        <f ca="1">IF(COUNTIF(Data!$H$16:$H$100,CONCATENATE(Data_3!$B90,"_",Data_3!M$11))=1,M$11,"")</f>
        <v/>
      </c>
      <c r="N90" s="1424" t="str">
        <f ca="1">IF(COUNTIF(Data!$H$16:$H$100,CONCATENATE(Data_3!$B90,"_",Data_3!N$11))=1,N$11,"")</f>
        <v/>
      </c>
      <c r="O90" s="1424" t="str">
        <f ca="1">IF(COUNTIF(Data!$H$16:$H$100,CONCATENATE(Data_3!$B90,"_",Data_3!O$11))=1,O$11,"")</f>
        <v/>
      </c>
      <c r="P90" s="1424" t="str">
        <f ca="1">IF(COUNTIF(Data!$H$16:$H$100,CONCATENATE(Data_3!$B90,"_",Data_3!P$11))=1,P$11,"")</f>
        <v/>
      </c>
      <c r="Q90" s="1424" t="str">
        <f ca="1">IF(COUNTIF(Data!$H$16:$H$100,CONCATENATE(Data_3!$B90,"_",Data_3!Q$11))=1,Q$11,"")</f>
        <v/>
      </c>
      <c r="R90" s="1424" t="str">
        <f ca="1">IF(COUNTIF(Data!$H$16:$H$100,CONCATENATE(Data_3!$B90,"_",Data_3!R$11))=1,R$11,"")</f>
        <v/>
      </c>
      <c r="S90" s="1424" t="str">
        <f ca="1">IF(COUNTIF(Data!$H$16:$H$100,CONCATENATE(Data_3!$B90,"_",Data_3!S$11))=1,S$11,"")</f>
        <v/>
      </c>
      <c r="T90" s="1424" t="str">
        <f ca="1">IF(COUNTIF(Data!$H$16:$H$100,CONCATENATE(Data_3!$B90,"_",Data_3!T$11))=1,T$11,"")</f>
        <v/>
      </c>
      <c r="U90" s="1424" t="str">
        <f ca="1">IF(COUNTIF(Data!$H$16:$H$100,CONCATENATE(Data_3!$B90,"_",Data_3!U$11))=1,U$11,"")</f>
        <v/>
      </c>
      <c r="V90" s="1424" t="str">
        <f ca="1">IF(COUNTIF(Data!$H$16:$H$100,CONCATENATE(Data_3!$B90,"_",Data_3!V$11))=1,V$11,"")</f>
        <v/>
      </c>
      <c r="W90" s="1424" t="str">
        <f ca="1">IF(COUNTIF(Data!$H$16:$H$100,CONCATENATE(Data_3!$B90,"_",Data_3!W$11))=1,W$11,"")</f>
        <v/>
      </c>
      <c r="X90" s="1424" t="str">
        <f ca="1">IF(COUNTIF(Data!$H$16:$H$100,CONCATENATE(Data_3!$B90,"_",Data_3!X$11))=1,X$11,"")</f>
        <v/>
      </c>
      <c r="Y90" s="1424" t="str">
        <f ca="1">IF(COUNTIF(Data!$H$16:$H$100,CONCATENATE(Data_3!$B90,"_",Data_3!Y$11))=1,Y$11,"")</f>
        <v/>
      </c>
      <c r="Z90" s="15"/>
      <c r="AA90" s="15"/>
      <c r="AB90" s="15"/>
      <c r="AC90" s="15"/>
      <c r="AD90" s="15"/>
      <c r="AE90" s="15"/>
      <c r="AF90" s="15"/>
      <c r="AG90" s="15"/>
      <c r="AH90" s="15"/>
      <c r="AI90" s="15"/>
      <c r="AJ90" s="15"/>
      <c r="AK90" s="15"/>
      <c r="AL90" s="15"/>
      <c r="AM90" s="15"/>
      <c r="AN90" s="15"/>
      <c r="AO90" s="15"/>
      <c r="AP90" s="15"/>
      <c r="AQ90" s="15"/>
      <c r="AR90" s="15"/>
      <c r="AS90" s="15"/>
      <c r="AT90" s="15"/>
      <c r="AU90" s="15"/>
      <c r="AV90" s="15"/>
      <c r="AW90" s="15"/>
      <c r="AX90" s="15"/>
      <c r="AY90" s="15"/>
      <c r="AZ90" s="15"/>
      <c r="BA90" s="15"/>
      <c r="BB90" s="15"/>
      <c r="BC90" s="15"/>
      <c r="BD90" s="15"/>
      <c r="BE90" s="15"/>
      <c r="BF90" s="15"/>
      <c r="BG90" s="15"/>
      <c r="BH90" s="15"/>
      <c r="BI90" s="15"/>
      <c r="BJ90" s="15"/>
      <c r="BK90" s="15"/>
      <c r="BL90" s="15"/>
      <c r="BM90" s="15"/>
      <c r="BN90" s="15"/>
      <c r="BO90" s="15"/>
      <c r="BP90" s="15"/>
      <c r="BQ90" s="15"/>
      <c r="BR90" s="15"/>
      <c r="BS90" s="15"/>
      <c r="BT90" s="15"/>
      <c r="BU90" s="15"/>
      <c r="BV90" s="15"/>
      <c r="BW90" s="15"/>
      <c r="BX90" s="15"/>
      <c r="BY90" s="15"/>
      <c r="BZ90" s="15"/>
      <c r="CA90" s="15"/>
      <c r="CB90" s="15"/>
      <c r="CC90" s="15"/>
      <c r="CD90" s="15"/>
      <c r="CE90" s="15"/>
      <c r="CF90" s="15"/>
      <c r="CG90" s="15"/>
      <c r="CH90" s="15"/>
      <c r="CI90" s="15"/>
      <c r="CJ90" s="15"/>
      <c r="CK90" s="15"/>
      <c r="CL90" s="15"/>
      <c r="CM90" s="15"/>
      <c r="CN90" s="15"/>
      <c r="CO90" s="15"/>
      <c r="CP90" s="15"/>
      <c r="CQ90" s="15"/>
      <c r="CR90" s="15"/>
      <c r="CS90" s="15"/>
      <c r="CT90" s="15"/>
      <c r="CU90" s="15"/>
      <c r="CV90" s="15"/>
      <c r="CW90" s="15"/>
      <c r="CX90" s="15"/>
      <c r="CY90" s="15"/>
      <c r="CZ90" s="15"/>
      <c r="DA90" s="15"/>
      <c r="DB90" s="15"/>
      <c r="DC90" s="15"/>
      <c r="DD90" s="15"/>
      <c r="DE90" s="15"/>
      <c r="DF90" s="15"/>
      <c r="DG90" s="15"/>
      <c r="DH90" s="15"/>
      <c r="DI90" s="15"/>
      <c r="DJ90" s="15"/>
      <c r="DK90" s="15"/>
      <c r="DL90" s="15"/>
      <c r="DM90" s="15"/>
      <c r="DN90" s="15"/>
      <c r="DO90" s="15"/>
      <c r="DP90" s="15"/>
      <c r="DQ90" s="15"/>
      <c r="DR90" s="15"/>
      <c r="DS90" s="15"/>
      <c r="DT90" s="15"/>
      <c r="DU90" s="15"/>
      <c r="DV90" s="15"/>
      <c r="DW90" s="15"/>
      <c r="DX90" s="15"/>
      <c r="DY90" s="15"/>
      <c r="DZ90" s="15"/>
      <c r="EA90" s="15"/>
      <c r="EB90" s="15"/>
      <c r="EC90" s="15"/>
      <c r="ED90" s="15"/>
      <c r="EE90" s="15"/>
      <c r="EF90" s="15"/>
      <c r="EG90" s="15"/>
      <c r="EH90" s="15"/>
    </row>
    <row r="91" spans="1:138" s="34" customFormat="1" ht="15" customHeight="1">
      <c r="A91" s="642"/>
      <c r="B91" s="1455" t="str">
        <f t="array" aca="1" ref="B91" ca="1">IFERROR(INDEX(Data!$B$16:$B$96,MATCH(0,COUNTIF($B$12:B90,Data!$B$16:$B$96),0)),"")</f>
        <v/>
      </c>
      <c r="C91" s="1345">
        <v>79</v>
      </c>
      <c r="D91" s="1424" t="s">
        <v>182</v>
      </c>
      <c r="E91" s="1424" t="str">
        <f ca="1">IF(COUNTIF(Data!$H$16:$H$100,CONCATENATE(Data_3!$B91,"_",Data_3!E$11))=1,E$11,"")</f>
        <v/>
      </c>
      <c r="F91" s="1424" t="str">
        <f ca="1">IF(COUNTIF(Data!$H$16:$H$100,CONCATENATE(Data_3!$B91,"_",Data_3!F$11))=1,F$11,"")</f>
        <v/>
      </c>
      <c r="G91" s="1424" t="str">
        <f ca="1">IF(COUNTIF(Data!$H$16:$H$100,CONCATENATE(Data_3!$B91,"_",Data_3!G$11))=1,G$11,"")</f>
        <v/>
      </c>
      <c r="H91" s="1424" t="str">
        <f ca="1">IF(COUNTIF(Data!$H$16:$H$100,CONCATENATE(Data_3!$B91,"_",Data_3!H$11))=1,H$11,"")</f>
        <v/>
      </c>
      <c r="I91" s="1424" t="str">
        <f ca="1">IF(COUNTIF(Data!$H$16:$H$100,CONCATENATE(Data_3!$B91,"_",Data_3!I$11))=1,I$11,"")</f>
        <v/>
      </c>
      <c r="J91" s="1424" t="str">
        <f ca="1">IF(COUNTIF(Data!$H$16:$H$100,CONCATENATE(Data_3!$B91,"_",Data_3!J$11))=1,J$11,"")</f>
        <v/>
      </c>
      <c r="K91" s="1424" t="str">
        <f ca="1">IF(COUNTIF(Data!$H$16:$H$100,CONCATENATE(Data_3!$B91,"_",Data_3!K$11))=1,K$11,"")</f>
        <v/>
      </c>
      <c r="L91" s="1424" t="str">
        <f ca="1">IF(COUNTIF(Data!$H$16:$H$100,CONCATENATE(Data_3!$B91,"_",Data_3!L$11))=1,L$11,"")</f>
        <v/>
      </c>
      <c r="M91" s="1424" t="str">
        <f ca="1">IF(COUNTIF(Data!$H$16:$H$100,CONCATENATE(Data_3!$B91,"_",Data_3!M$11))=1,M$11,"")</f>
        <v/>
      </c>
      <c r="N91" s="1424" t="str">
        <f ca="1">IF(COUNTIF(Data!$H$16:$H$100,CONCATENATE(Data_3!$B91,"_",Data_3!N$11))=1,N$11,"")</f>
        <v/>
      </c>
      <c r="O91" s="1424" t="str">
        <f ca="1">IF(COUNTIF(Data!$H$16:$H$100,CONCATENATE(Data_3!$B91,"_",Data_3!O$11))=1,O$11,"")</f>
        <v/>
      </c>
      <c r="P91" s="1424" t="str">
        <f ca="1">IF(COUNTIF(Data!$H$16:$H$100,CONCATENATE(Data_3!$B91,"_",Data_3!P$11))=1,P$11,"")</f>
        <v/>
      </c>
      <c r="Q91" s="1424" t="str">
        <f ca="1">IF(COUNTIF(Data!$H$16:$H$100,CONCATENATE(Data_3!$B91,"_",Data_3!Q$11))=1,Q$11,"")</f>
        <v/>
      </c>
      <c r="R91" s="1424" t="str">
        <f ca="1">IF(COUNTIF(Data!$H$16:$H$100,CONCATENATE(Data_3!$B91,"_",Data_3!R$11))=1,R$11,"")</f>
        <v/>
      </c>
      <c r="S91" s="1424" t="str">
        <f ca="1">IF(COUNTIF(Data!$H$16:$H$100,CONCATENATE(Data_3!$B91,"_",Data_3!S$11))=1,S$11,"")</f>
        <v/>
      </c>
      <c r="T91" s="1424" t="str">
        <f ca="1">IF(COUNTIF(Data!$H$16:$H$100,CONCATENATE(Data_3!$B91,"_",Data_3!T$11))=1,T$11,"")</f>
        <v/>
      </c>
      <c r="U91" s="1424" t="str">
        <f ca="1">IF(COUNTIF(Data!$H$16:$H$100,CONCATENATE(Data_3!$B91,"_",Data_3!U$11))=1,U$11,"")</f>
        <v/>
      </c>
      <c r="V91" s="1424" t="str">
        <f ca="1">IF(COUNTIF(Data!$H$16:$H$100,CONCATENATE(Data_3!$B91,"_",Data_3!V$11))=1,V$11,"")</f>
        <v/>
      </c>
      <c r="W91" s="1424" t="str">
        <f ca="1">IF(COUNTIF(Data!$H$16:$H$100,CONCATENATE(Data_3!$B91,"_",Data_3!W$11))=1,W$11,"")</f>
        <v/>
      </c>
      <c r="X91" s="1424" t="str">
        <f ca="1">IF(COUNTIF(Data!$H$16:$H$100,CONCATENATE(Data_3!$B91,"_",Data_3!X$11))=1,X$11,"")</f>
        <v/>
      </c>
      <c r="Y91" s="1424" t="str">
        <f ca="1">IF(COUNTIF(Data!$H$16:$H$100,CONCATENATE(Data_3!$B91,"_",Data_3!Y$11))=1,Y$11,"")</f>
        <v/>
      </c>
      <c r="Z91" s="15"/>
      <c r="AA91" s="15"/>
      <c r="AB91" s="15"/>
      <c r="AC91" s="15"/>
      <c r="AD91" s="15"/>
      <c r="AE91" s="15"/>
      <c r="AF91" s="15"/>
      <c r="AG91" s="15"/>
      <c r="AH91" s="15"/>
      <c r="AI91" s="15"/>
      <c r="AJ91" s="15"/>
      <c r="AK91" s="15"/>
      <c r="AL91" s="15"/>
      <c r="AM91" s="15"/>
      <c r="AN91" s="15"/>
      <c r="AO91" s="15"/>
      <c r="AP91" s="15"/>
      <c r="AQ91" s="15"/>
      <c r="AR91" s="15"/>
      <c r="AS91" s="15"/>
      <c r="AT91" s="15"/>
      <c r="AU91" s="15"/>
      <c r="AV91" s="15"/>
      <c r="AW91" s="15"/>
      <c r="AX91" s="15"/>
      <c r="AY91" s="15"/>
      <c r="AZ91" s="15"/>
      <c r="BA91" s="15"/>
      <c r="BB91" s="15"/>
      <c r="BC91" s="15"/>
      <c r="BD91" s="15"/>
      <c r="BE91" s="15"/>
      <c r="BF91" s="15"/>
      <c r="BG91" s="15"/>
      <c r="BH91" s="15"/>
      <c r="BI91" s="15"/>
      <c r="BJ91" s="15"/>
      <c r="BK91" s="15"/>
      <c r="BL91" s="15"/>
      <c r="BM91" s="15"/>
      <c r="BN91" s="15"/>
      <c r="BO91" s="15"/>
      <c r="BP91" s="15"/>
      <c r="BQ91" s="15"/>
      <c r="BR91" s="15"/>
      <c r="BS91" s="15"/>
      <c r="BT91" s="15"/>
      <c r="BU91" s="15"/>
      <c r="BV91" s="15"/>
      <c r="BW91" s="15"/>
      <c r="BX91" s="15"/>
      <c r="BY91" s="15"/>
      <c r="BZ91" s="15"/>
      <c r="CA91" s="15"/>
      <c r="CB91" s="15"/>
      <c r="CC91" s="15"/>
      <c r="CD91" s="15"/>
      <c r="CE91" s="15"/>
      <c r="CF91" s="15"/>
      <c r="CG91" s="15"/>
      <c r="CH91" s="15"/>
      <c r="CI91" s="15"/>
      <c r="CJ91" s="15"/>
      <c r="CK91" s="15"/>
      <c r="CL91" s="15"/>
      <c r="CM91" s="15"/>
      <c r="CN91" s="15"/>
      <c r="CO91" s="15"/>
      <c r="CP91" s="15"/>
      <c r="CQ91" s="15"/>
      <c r="CR91" s="15"/>
      <c r="CS91" s="15"/>
      <c r="CT91" s="15"/>
      <c r="CU91" s="15"/>
      <c r="CV91" s="15"/>
      <c r="CW91" s="15"/>
      <c r="CX91" s="15"/>
      <c r="CY91" s="15"/>
      <c r="CZ91" s="15"/>
      <c r="DA91" s="15"/>
      <c r="DB91" s="15"/>
      <c r="DC91" s="15"/>
      <c r="DD91" s="15"/>
      <c r="DE91" s="15"/>
      <c r="DF91" s="15"/>
      <c r="DG91" s="15"/>
      <c r="DH91" s="15"/>
      <c r="DI91" s="15"/>
      <c r="DJ91" s="15"/>
      <c r="DK91" s="15"/>
      <c r="DL91" s="15"/>
      <c r="DM91" s="15"/>
      <c r="DN91" s="15"/>
      <c r="DO91" s="15"/>
      <c r="DP91" s="15"/>
      <c r="DQ91" s="15"/>
      <c r="DR91" s="15"/>
      <c r="DS91" s="15"/>
      <c r="DT91" s="15"/>
      <c r="DU91" s="15"/>
      <c r="DV91" s="15"/>
      <c r="DW91" s="15"/>
      <c r="DX91" s="15"/>
      <c r="DY91" s="15"/>
      <c r="DZ91" s="15"/>
      <c r="EA91" s="15"/>
      <c r="EB91" s="15"/>
      <c r="EC91" s="15"/>
      <c r="ED91" s="15"/>
      <c r="EE91" s="15"/>
      <c r="EF91" s="15"/>
      <c r="EG91" s="15"/>
      <c r="EH91" s="15"/>
    </row>
    <row r="92" spans="1:138" s="34" customFormat="1" ht="15" customHeight="1">
      <c r="A92" s="642"/>
      <c r="B92" s="1455" t="str">
        <f t="array" aca="1" ref="B92" ca="1">IFERROR(INDEX(Data!$B$16:$B$96,MATCH(0,COUNTIF($B$12:B91,Data!$B$16:$B$96),0)),"")</f>
        <v/>
      </c>
      <c r="C92" s="1345">
        <v>80</v>
      </c>
      <c r="D92" s="1424" t="s">
        <v>182</v>
      </c>
      <c r="E92" s="1424" t="str">
        <f ca="1">IF(COUNTIF(Data!$H$16:$H$100,CONCATENATE(Data_3!$B92,"_",Data_3!E$11))=1,E$11,"")</f>
        <v/>
      </c>
      <c r="F92" s="1424" t="str">
        <f ca="1">IF(COUNTIF(Data!$H$16:$H$100,CONCATENATE(Data_3!$B92,"_",Data_3!F$11))=1,F$11,"")</f>
        <v/>
      </c>
      <c r="G92" s="1424" t="str">
        <f ca="1">IF(COUNTIF(Data!$H$16:$H$100,CONCATENATE(Data_3!$B92,"_",Data_3!G$11))=1,G$11,"")</f>
        <v/>
      </c>
      <c r="H92" s="1424" t="str">
        <f ca="1">IF(COUNTIF(Data!$H$16:$H$100,CONCATENATE(Data_3!$B92,"_",Data_3!H$11))=1,H$11,"")</f>
        <v/>
      </c>
      <c r="I92" s="1424" t="str">
        <f ca="1">IF(COUNTIF(Data!$H$16:$H$100,CONCATENATE(Data_3!$B92,"_",Data_3!I$11))=1,I$11,"")</f>
        <v/>
      </c>
      <c r="J92" s="1424" t="str">
        <f ca="1">IF(COUNTIF(Data!$H$16:$H$100,CONCATENATE(Data_3!$B92,"_",Data_3!J$11))=1,J$11,"")</f>
        <v/>
      </c>
      <c r="K92" s="1424" t="str">
        <f ca="1">IF(COUNTIF(Data!$H$16:$H$100,CONCATENATE(Data_3!$B92,"_",Data_3!K$11))=1,K$11,"")</f>
        <v/>
      </c>
      <c r="L92" s="1424" t="str">
        <f ca="1">IF(COUNTIF(Data!$H$16:$H$100,CONCATENATE(Data_3!$B92,"_",Data_3!L$11))=1,L$11,"")</f>
        <v/>
      </c>
      <c r="M92" s="1424" t="str">
        <f ca="1">IF(COUNTIF(Data!$H$16:$H$100,CONCATENATE(Data_3!$B92,"_",Data_3!M$11))=1,M$11,"")</f>
        <v/>
      </c>
      <c r="N92" s="1424" t="str">
        <f ca="1">IF(COUNTIF(Data!$H$16:$H$100,CONCATENATE(Data_3!$B92,"_",Data_3!N$11))=1,N$11,"")</f>
        <v/>
      </c>
      <c r="O92" s="1424" t="str">
        <f ca="1">IF(COUNTIF(Data!$H$16:$H$100,CONCATENATE(Data_3!$B92,"_",Data_3!O$11))=1,O$11,"")</f>
        <v/>
      </c>
      <c r="P92" s="1424" t="str">
        <f ca="1">IF(COUNTIF(Data!$H$16:$H$100,CONCATENATE(Data_3!$B92,"_",Data_3!P$11))=1,P$11,"")</f>
        <v/>
      </c>
      <c r="Q92" s="1424" t="str">
        <f ca="1">IF(COUNTIF(Data!$H$16:$H$100,CONCATENATE(Data_3!$B92,"_",Data_3!Q$11))=1,Q$11,"")</f>
        <v/>
      </c>
      <c r="R92" s="1424" t="str">
        <f ca="1">IF(COUNTIF(Data!$H$16:$H$100,CONCATENATE(Data_3!$B92,"_",Data_3!R$11))=1,R$11,"")</f>
        <v/>
      </c>
      <c r="S92" s="1424" t="str">
        <f ca="1">IF(COUNTIF(Data!$H$16:$H$100,CONCATENATE(Data_3!$B92,"_",Data_3!S$11))=1,S$11,"")</f>
        <v/>
      </c>
      <c r="T92" s="1424" t="str">
        <f ca="1">IF(COUNTIF(Data!$H$16:$H$100,CONCATENATE(Data_3!$B92,"_",Data_3!T$11))=1,T$11,"")</f>
        <v/>
      </c>
      <c r="U92" s="1424" t="str">
        <f ca="1">IF(COUNTIF(Data!$H$16:$H$100,CONCATENATE(Data_3!$B92,"_",Data_3!U$11))=1,U$11,"")</f>
        <v/>
      </c>
      <c r="V92" s="1424" t="str">
        <f ca="1">IF(COUNTIF(Data!$H$16:$H$100,CONCATENATE(Data_3!$B92,"_",Data_3!V$11))=1,V$11,"")</f>
        <v/>
      </c>
      <c r="W92" s="1424" t="str">
        <f ca="1">IF(COUNTIF(Data!$H$16:$H$100,CONCATENATE(Data_3!$B92,"_",Data_3!W$11))=1,W$11,"")</f>
        <v/>
      </c>
      <c r="X92" s="1424" t="str">
        <f ca="1">IF(COUNTIF(Data!$H$16:$H$100,CONCATENATE(Data_3!$B92,"_",Data_3!X$11))=1,X$11,"")</f>
        <v/>
      </c>
      <c r="Y92" s="1424" t="str">
        <f ca="1">IF(COUNTIF(Data!$H$16:$H$100,CONCATENATE(Data_3!$B92,"_",Data_3!Y$11))=1,Y$11,"")</f>
        <v/>
      </c>
      <c r="Z92" s="15"/>
      <c r="AA92" s="15"/>
      <c r="AB92" s="15"/>
      <c r="AC92" s="15"/>
      <c r="AD92" s="15"/>
      <c r="AE92" s="15"/>
      <c r="AF92" s="15"/>
      <c r="AG92" s="15"/>
      <c r="AH92" s="15"/>
      <c r="AI92" s="15"/>
      <c r="AJ92" s="15"/>
      <c r="AK92" s="15"/>
      <c r="AL92" s="15"/>
      <c r="AM92" s="15"/>
      <c r="AN92" s="15"/>
      <c r="AO92" s="15"/>
      <c r="AP92" s="15"/>
      <c r="AQ92" s="15"/>
      <c r="AR92" s="15"/>
      <c r="AS92" s="15"/>
      <c r="AT92" s="15"/>
      <c r="AU92" s="15"/>
      <c r="AV92" s="15"/>
      <c r="AW92" s="15"/>
      <c r="AX92" s="15"/>
      <c r="AY92" s="15"/>
      <c r="AZ92" s="15"/>
      <c r="BA92" s="15"/>
      <c r="BB92" s="15"/>
      <c r="BC92" s="15"/>
      <c r="BD92" s="15"/>
      <c r="BE92" s="15"/>
      <c r="BF92" s="15"/>
      <c r="BG92" s="15"/>
      <c r="BH92" s="15"/>
      <c r="BI92" s="15"/>
      <c r="BJ92" s="15"/>
      <c r="BK92" s="15"/>
      <c r="BL92" s="15"/>
      <c r="BM92" s="15"/>
      <c r="BN92" s="15"/>
      <c r="BO92" s="15"/>
      <c r="BP92" s="15"/>
      <c r="BQ92" s="15"/>
      <c r="BR92" s="15"/>
      <c r="BS92" s="15"/>
      <c r="BT92" s="15"/>
      <c r="BU92" s="15"/>
      <c r="BV92" s="15"/>
      <c r="BW92" s="15"/>
      <c r="BX92" s="15"/>
      <c r="BY92" s="15"/>
      <c r="BZ92" s="15"/>
      <c r="CA92" s="15"/>
      <c r="CB92" s="15"/>
      <c r="CC92" s="15"/>
      <c r="CD92" s="15"/>
      <c r="CE92" s="15"/>
      <c r="CF92" s="15"/>
      <c r="CG92" s="15"/>
      <c r="CH92" s="15"/>
      <c r="CI92" s="15"/>
      <c r="CJ92" s="15"/>
      <c r="CK92" s="15"/>
      <c r="CL92" s="15"/>
      <c r="CM92" s="15"/>
      <c r="CN92" s="15"/>
      <c r="CO92" s="15"/>
      <c r="CP92" s="15"/>
      <c r="CQ92" s="15"/>
      <c r="CR92" s="15"/>
      <c r="CS92" s="15"/>
      <c r="CT92" s="15"/>
      <c r="CU92" s="15"/>
      <c r="CV92" s="15"/>
      <c r="CW92" s="15"/>
      <c r="CX92" s="15"/>
      <c r="CY92" s="15"/>
      <c r="CZ92" s="15"/>
      <c r="DA92" s="15"/>
      <c r="DB92" s="15"/>
      <c r="DC92" s="15"/>
      <c r="DD92" s="15"/>
      <c r="DE92" s="15"/>
      <c r="DF92" s="15"/>
      <c r="DG92" s="15"/>
      <c r="DH92" s="15"/>
      <c r="DI92" s="15"/>
      <c r="DJ92" s="15"/>
      <c r="DK92" s="15"/>
      <c r="DL92" s="15"/>
      <c r="DM92" s="15"/>
      <c r="DN92" s="15"/>
      <c r="DO92" s="15"/>
      <c r="DP92" s="15"/>
      <c r="DQ92" s="15"/>
      <c r="DR92" s="15"/>
      <c r="DS92" s="15"/>
      <c r="DT92" s="15"/>
      <c r="DU92" s="15"/>
      <c r="DV92" s="15"/>
      <c r="DW92" s="15"/>
      <c r="DX92" s="15"/>
      <c r="DY92" s="15"/>
      <c r="DZ92" s="15"/>
      <c r="EA92" s="15"/>
      <c r="EB92" s="15"/>
      <c r="EC92" s="15"/>
      <c r="ED92" s="15"/>
      <c r="EE92" s="15"/>
      <c r="EF92" s="15"/>
      <c r="EG92" s="15"/>
      <c r="EH92" s="15"/>
    </row>
    <row r="93" spans="1:138" ht="15" customHeight="1">
      <c r="B93" s="1455" t="str">
        <f t="array" aca="1" ref="B93" ca="1">IFERROR(INDEX(Data!$B$16:$B$96,MATCH(0,COUNTIF($B$12:B92,Data!$B$16:$B$96),0)),"")</f>
        <v/>
      </c>
      <c r="C93" s="1345">
        <v>81</v>
      </c>
      <c r="D93" s="1424" t="s">
        <v>182</v>
      </c>
      <c r="E93" s="1424" t="str">
        <f ca="1">IF(COUNTIF(Data!$H$16:$H$100,CONCATENATE(Data_3!$B93,"_",Data_3!E$11))=1,E$11,"")</f>
        <v/>
      </c>
      <c r="F93" s="1424" t="str">
        <f ca="1">IF(COUNTIF(Data!$H$16:$H$100,CONCATENATE(Data_3!$B93,"_",Data_3!F$11))=1,F$11,"")</f>
        <v/>
      </c>
      <c r="G93" s="1424" t="str">
        <f ca="1">IF(COUNTIF(Data!$H$16:$H$100,CONCATENATE(Data_3!$B93,"_",Data_3!G$11))=1,G$11,"")</f>
        <v/>
      </c>
      <c r="H93" s="1424" t="str">
        <f ca="1">IF(COUNTIF(Data!$H$16:$H$100,CONCATENATE(Data_3!$B93,"_",Data_3!H$11))=1,H$11,"")</f>
        <v/>
      </c>
      <c r="I93" s="1424" t="str">
        <f ca="1">IF(COUNTIF(Data!$H$16:$H$100,CONCATENATE(Data_3!$B93,"_",Data_3!I$11))=1,I$11,"")</f>
        <v/>
      </c>
      <c r="J93" s="1424" t="str">
        <f ca="1">IF(COUNTIF(Data!$H$16:$H$100,CONCATENATE(Data_3!$B93,"_",Data_3!J$11))=1,J$11,"")</f>
        <v/>
      </c>
      <c r="K93" s="1424" t="str">
        <f ca="1">IF(COUNTIF(Data!$H$16:$H$100,CONCATENATE(Data_3!$B93,"_",Data_3!K$11))=1,K$11,"")</f>
        <v/>
      </c>
      <c r="L93" s="1424" t="str">
        <f ca="1">IF(COUNTIF(Data!$H$16:$H$100,CONCATENATE(Data_3!$B93,"_",Data_3!L$11))=1,L$11,"")</f>
        <v/>
      </c>
      <c r="M93" s="1424" t="str">
        <f ca="1">IF(COUNTIF(Data!$H$16:$H$100,CONCATENATE(Data_3!$B93,"_",Data_3!M$11))=1,M$11,"")</f>
        <v/>
      </c>
      <c r="N93" s="1424" t="str">
        <f ca="1">IF(COUNTIF(Data!$H$16:$H$100,CONCATENATE(Data_3!$B93,"_",Data_3!N$11))=1,N$11,"")</f>
        <v/>
      </c>
      <c r="O93" s="1424" t="str">
        <f ca="1">IF(COUNTIF(Data!$H$16:$H$100,CONCATENATE(Data_3!$B93,"_",Data_3!O$11))=1,O$11,"")</f>
        <v/>
      </c>
      <c r="P93" s="1424" t="str">
        <f ca="1">IF(COUNTIF(Data!$H$16:$H$100,CONCATENATE(Data_3!$B93,"_",Data_3!P$11))=1,P$11,"")</f>
        <v/>
      </c>
      <c r="Q93" s="1424" t="str">
        <f ca="1">IF(COUNTIF(Data!$H$16:$H$100,CONCATENATE(Data_3!$B93,"_",Data_3!Q$11))=1,Q$11,"")</f>
        <v/>
      </c>
      <c r="R93" s="1424" t="str">
        <f ca="1">IF(COUNTIF(Data!$H$16:$H$100,CONCATENATE(Data_3!$B93,"_",Data_3!R$11))=1,R$11,"")</f>
        <v/>
      </c>
      <c r="S93" s="1424" t="str">
        <f ca="1">IF(COUNTIF(Data!$H$16:$H$100,CONCATENATE(Data_3!$B93,"_",Data_3!S$11))=1,S$11,"")</f>
        <v/>
      </c>
      <c r="T93" s="1424" t="str">
        <f ca="1">IF(COUNTIF(Data!$H$16:$H$100,CONCATENATE(Data_3!$B93,"_",Data_3!T$11))=1,T$11,"")</f>
        <v/>
      </c>
      <c r="U93" s="1424" t="str">
        <f ca="1">IF(COUNTIF(Data!$H$16:$H$100,CONCATENATE(Data_3!$B93,"_",Data_3!U$11))=1,U$11,"")</f>
        <v/>
      </c>
      <c r="V93" s="1424" t="str">
        <f ca="1">IF(COUNTIF(Data!$H$16:$H$100,CONCATENATE(Data_3!$B93,"_",Data_3!V$11))=1,V$11,"")</f>
        <v/>
      </c>
      <c r="W93" s="1424" t="str">
        <f ca="1">IF(COUNTIF(Data!$H$16:$H$100,CONCATENATE(Data_3!$B93,"_",Data_3!W$11))=1,W$11,"")</f>
        <v/>
      </c>
      <c r="X93" s="1424" t="str">
        <f ca="1">IF(COUNTIF(Data!$H$16:$H$100,CONCATENATE(Data_3!$B93,"_",Data_3!X$11))=1,X$11,"")</f>
        <v/>
      </c>
      <c r="Y93" s="1424" t="str">
        <f ca="1">IF(COUNTIF(Data!$H$16:$H$100,CONCATENATE(Data_3!$B93,"_",Data_3!Y$11))=1,Y$11,"")</f>
        <v/>
      </c>
      <c r="Z93" s="15"/>
      <c r="AA93" s="15"/>
      <c r="AB93" s="15"/>
      <c r="AC93" s="15"/>
      <c r="AD93" s="15"/>
      <c r="AE93" s="15"/>
      <c r="AF93" s="15"/>
      <c r="AG93" s="15"/>
      <c r="AH93" s="15"/>
      <c r="AI93" s="15"/>
      <c r="AJ93" s="15"/>
      <c r="AK93" s="15"/>
      <c r="AL93" s="15"/>
      <c r="AM93" s="15"/>
      <c r="AN93" s="15"/>
      <c r="AO93" s="15"/>
      <c r="AP93" s="15"/>
      <c r="AQ93" s="15"/>
      <c r="AR93" s="15"/>
      <c r="AS93" s="15"/>
      <c r="AT93" s="15"/>
      <c r="AU93" s="15"/>
      <c r="AV93" s="15"/>
      <c r="AW93" s="15"/>
      <c r="AX93" s="15"/>
      <c r="AY93" s="15"/>
      <c r="AZ93" s="15"/>
      <c r="BA93" s="15"/>
      <c r="BB93" s="15"/>
      <c r="BC93" s="15"/>
      <c r="BD93" s="15"/>
      <c r="BE93" s="15"/>
      <c r="BF93" s="15"/>
      <c r="BG93" s="15"/>
      <c r="BH93" s="15"/>
      <c r="BI93" s="15"/>
      <c r="BJ93" s="15"/>
      <c r="BK93" s="15"/>
      <c r="BL93" s="15"/>
      <c r="BM93" s="15"/>
      <c r="BN93" s="15"/>
      <c r="BO93" s="15"/>
      <c r="BP93" s="15"/>
      <c r="BQ93" s="15"/>
      <c r="BR93" s="15"/>
      <c r="BS93" s="15"/>
      <c r="BT93" s="15"/>
      <c r="BU93" s="15"/>
      <c r="BV93" s="15"/>
      <c r="BW93" s="15"/>
      <c r="BX93" s="15"/>
      <c r="BY93" s="15"/>
      <c r="BZ93" s="15"/>
      <c r="CA93" s="15"/>
      <c r="CB93" s="15"/>
      <c r="CC93" s="15"/>
      <c r="CD93" s="15"/>
      <c r="CE93" s="15"/>
      <c r="CF93" s="15"/>
      <c r="CG93" s="15"/>
      <c r="CH93" s="15"/>
      <c r="CI93" s="15"/>
      <c r="CJ93" s="15"/>
      <c r="CK93" s="15"/>
      <c r="CL93" s="15"/>
      <c r="CM93" s="15"/>
      <c r="CN93" s="15"/>
      <c r="CO93" s="15"/>
      <c r="CP93" s="15"/>
      <c r="CQ93" s="15"/>
      <c r="CR93" s="15"/>
      <c r="CS93" s="15"/>
      <c r="CT93" s="15"/>
      <c r="CU93" s="15"/>
      <c r="CV93" s="15"/>
      <c r="CW93" s="15"/>
      <c r="CX93" s="15"/>
      <c r="CY93" s="15"/>
      <c r="CZ93" s="15"/>
      <c r="DA93" s="15"/>
      <c r="DB93" s="15"/>
      <c r="DC93" s="15"/>
      <c r="DD93" s="15"/>
      <c r="DE93" s="15"/>
      <c r="DF93" s="15"/>
      <c r="DG93" s="15"/>
      <c r="DH93" s="15"/>
      <c r="DI93" s="15"/>
      <c r="DJ93" s="15"/>
      <c r="DK93" s="15"/>
      <c r="DL93" s="15"/>
      <c r="DM93" s="15"/>
      <c r="DN93" s="15"/>
      <c r="DO93" s="15"/>
      <c r="DP93" s="15"/>
      <c r="DQ93" s="15"/>
      <c r="DR93" s="15"/>
      <c r="DS93" s="15"/>
      <c r="DT93" s="15"/>
      <c r="DU93" s="15"/>
      <c r="DV93" s="15"/>
      <c r="DW93" s="15"/>
      <c r="DX93" s="15"/>
      <c r="DY93" s="15"/>
      <c r="DZ93" s="15"/>
      <c r="EA93" s="15"/>
      <c r="EB93" s="15"/>
      <c r="EC93" s="15"/>
      <c r="ED93" s="15"/>
      <c r="EE93" s="15"/>
      <c r="EF93" s="15"/>
      <c r="EG93" s="15"/>
      <c r="EH93" s="15"/>
    </row>
    <row r="94" spans="1:138" ht="15" customHeight="1">
      <c r="B94" s="1455" t="str">
        <f t="array" aca="1" ref="B94" ca="1">IFERROR(INDEX(Data!$B$16:$B$96,MATCH(0,COUNTIF($B$12:B93,Data!$B$16:$B$96),0)),"")</f>
        <v/>
      </c>
      <c r="C94" s="1345">
        <v>82</v>
      </c>
      <c r="D94" s="1424" t="s">
        <v>182</v>
      </c>
      <c r="E94" s="1424" t="str">
        <f ca="1">IF(COUNTIF(Data!$H$16:$H$100,CONCATENATE(Data_3!$B94,"_",Data_3!E$11))=1,E$11,"")</f>
        <v/>
      </c>
      <c r="F94" s="1424" t="str">
        <f ca="1">IF(COUNTIF(Data!$H$16:$H$100,CONCATENATE(Data_3!$B94,"_",Data_3!F$11))=1,F$11,"")</f>
        <v/>
      </c>
      <c r="G94" s="1424" t="str">
        <f ca="1">IF(COUNTIF(Data!$H$16:$H$100,CONCATENATE(Data_3!$B94,"_",Data_3!G$11))=1,G$11,"")</f>
        <v/>
      </c>
      <c r="H94" s="1424" t="str">
        <f ca="1">IF(COUNTIF(Data!$H$16:$H$100,CONCATENATE(Data_3!$B94,"_",Data_3!H$11))=1,H$11,"")</f>
        <v/>
      </c>
      <c r="I94" s="1424" t="str">
        <f ca="1">IF(COUNTIF(Data!$H$16:$H$100,CONCATENATE(Data_3!$B94,"_",Data_3!I$11))=1,I$11,"")</f>
        <v/>
      </c>
      <c r="J94" s="1424" t="str">
        <f ca="1">IF(COUNTIF(Data!$H$16:$H$100,CONCATENATE(Data_3!$B94,"_",Data_3!J$11))=1,J$11,"")</f>
        <v/>
      </c>
      <c r="K94" s="1424" t="str">
        <f ca="1">IF(COUNTIF(Data!$H$16:$H$100,CONCATENATE(Data_3!$B94,"_",Data_3!K$11))=1,K$11,"")</f>
        <v/>
      </c>
      <c r="L94" s="1424" t="str">
        <f ca="1">IF(COUNTIF(Data!$H$16:$H$100,CONCATENATE(Data_3!$B94,"_",Data_3!L$11))=1,L$11,"")</f>
        <v/>
      </c>
      <c r="M94" s="1424" t="str">
        <f ca="1">IF(COUNTIF(Data!$H$16:$H$100,CONCATENATE(Data_3!$B94,"_",Data_3!M$11))=1,M$11,"")</f>
        <v/>
      </c>
      <c r="N94" s="1424" t="str">
        <f ca="1">IF(COUNTIF(Data!$H$16:$H$100,CONCATENATE(Data_3!$B94,"_",Data_3!N$11))=1,N$11,"")</f>
        <v/>
      </c>
      <c r="O94" s="1424" t="str">
        <f ca="1">IF(COUNTIF(Data!$H$16:$H$100,CONCATENATE(Data_3!$B94,"_",Data_3!O$11))=1,O$11,"")</f>
        <v/>
      </c>
      <c r="P94" s="1424" t="str">
        <f ca="1">IF(COUNTIF(Data!$H$16:$H$100,CONCATENATE(Data_3!$B94,"_",Data_3!P$11))=1,P$11,"")</f>
        <v/>
      </c>
      <c r="Q94" s="1424" t="str">
        <f ca="1">IF(COUNTIF(Data!$H$16:$H$100,CONCATENATE(Data_3!$B94,"_",Data_3!Q$11))=1,Q$11,"")</f>
        <v/>
      </c>
      <c r="R94" s="1424" t="str">
        <f ca="1">IF(COUNTIF(Data!$H$16:$H$100,CONCATENATE(Data_3!$B94,"_",Data_3!R$11))=1,R$11,"")</f>
        <v/>
      </c>
      <c r="S94" s="1424" t="str">
        <f ca="1">IF(COUNTIF(Data!$H$16:$H$100,CONCATENATE(Data_3!$B94,"_",Data_3!S$11))=1,S$11,"")</f>
        <v/>
      </c>
      <c r="T94" s="1424" t="str">
        <f ca="1">IF(COUNTIF(Data!$H$16:$H$100,CONCATENATE(Data_3!$B94,"_",Data_3!T$11))=1,T$11,"")</f>
        <v/>
      </c>
      <c r="U94" s="1424" t="str">
        <f ca="1">IF(COUNTIF(Data!$H$16:$H$100,CONCATENATE(Data_3!$B94,"_",Data_3!U$11))=1,U$11,"")</f>
        <v/>
      </c>
      <c r="V94" s="1424" t="str">
        <f ca="1">IF(COUNTIF(Data!$H$16:$H$100,CONCATENATE(Data_3!$B94,"_",Data_3!V$11))=1,V$11,"")</f>
        <v/>
      </c>
      <c r="W94" s="1424" t="str">
        <f ca="1">IF(COUNTIF(Data!$H$16:$H$100,CONCATENATE(Data_3!$B94,"_",Data_3!W$11))=1,W$11,"")</f>
        <v/>
      </c>
      <c r="X94" s="1424" t="str">
        <f ca="1">IF(COUNTIF(Data!$H$16:$H$100,CONCATENATE(Data_3!$B94,"_",Data_3!X$11))=1,X$11,"")</f>
        <v/>
      </c>
      <c r="Y94" s="1424" t="str">
        <f ca="1">IF(COUNTIF(Data!$H$16:$H$100,CONCATENATE(Data_3!$B94,"_",Data_3!Y$11))=1,Y$11,"")</f>
        <v/>
      </c>
    </row>
    <row r="95" spans="1:138" ht="15" customHeight="1">
      <c r="B95" s="1455" t="str">
        <f t="array" aca="1" ref="B95" ca="1">IFERROR(INDEX(Data!$B$16:$B$96,MATCH(0,COUNTIF($B$12:B94,Data!$B$16:$B$96),0)),"")</f>
        <v/>
      </c>
      <c r="C95" s="1345">
        <v>83</v>
      </c>
      <c r="D95" s="1424" t="s">
        <v>182</v>
      </c>
      <c r="E95" s="1424" t="str">
        <f ca="1">IF(COUNTIF(Data!$H$16:$H$100,CONCATENATE(Data_3!$B95,"_",Data_3!E$11))=1,E$11,"")</f>
        <v/>
      </c>
      <c r="F95" s="1424" t="str">
        <f ca="1">IF(COUNTIF(Data!$H$16:$H$100,CONCATENATE(Data_3!$B95,"_",Data_3!F$11))=1,F$11,"")</f>
        <v/>
      </c>
      <c r="G95" s="1424" t="str">
        <f ca="1">IF(COUNTIF(Data!$H$16:$H$100,CONCATENATE(Data_3!$B95,"_",Data_3!G$11))=1,G$11,"")</f>
        <v/>
      </c>
      <c r="H95" s="1424" t="str">
        <f ca="1">IF(COUNTIF(Data!$H$16:$H$100,CONCATENATE(Data_3!$B95,"_",Data_3!H$11))=1,H$11,"")</f>
        <v/>
      </c>
      <c r="I95" s="1424" t="str">
        <f ca="1">IF(COUNTIF(Data!$H$16:$H$100,CONCATENATE(Data_3!$B95,"_",Data_3!I$11))=1,I$11,"")</f>
        <v/>
      </c>
      <c r="J95" s="1424" t="str">
        <f ca="1">IF(COUNTIF(Data!$H$16:$H$100,CONCATENATE(Data_3!$B95,"_",Data_3!J$11))=1,J$11,"")</f>
        <v/>
      </c>
      <c r="K95" s="1424" t="str">
        <f ca="1">IF(COUNTIF(Data!$H$16:$H$100,CONCATENATE(Data_3!$B95,"_",Data_3!K$11))=1,K$11,"")</f>
        <v/>
      </c>
      <c r="L95" s="1424" t="str">
        <f ca="1">IF(COUNTIF(Data!$H$16:$H$100,CONCATENATE(Data_3!$B95,"_",Data_3!L$11))=1,L$11,"")</f>
        <v/>
      </c>
      <c r="M95" s="1424" t="str">
        <f ca="1">IF(COUNTIF(Data!$H$16:$H$100,CONCATENATE(Data_3!$B95,"_",Data_3!M$11))=1,M$11,"")</f>
        <v/>
      </c>
      <c r="N95" s="1424" t="str">
        <f ca="1">IF(COUNTIF(Data!$H$16:$H$100,CONCATENATE(Data_3!$B95,"_",Data_3!N$11))=1,N$11,"")</f>
        <v/>
      </c>
      <c r="O95" s="1424" t="str">
        <f ca="1">IF(COUNTIF(Data!$H$16:$H$100,CONCATENATE(Data_3!$B95,"_",Data_3!O$11))=1,O$11,"")</f>
        <v/>
      </c>
      <c r="P95" s="1424" t="str">
        <f ca="1">IF(COUNTIF(Data!$H$16:$H$100,CONCATENATE(Data_3!$B95,"_",Data_3!P$11))=1,P$11,"")</f>
        <v/>
      </c>
      <c r="Q95" s="1424" t="str">
        <f ca="1">IF(COUNTIF(Data!$H$16:$H$100,CONCATENATE(Data_3!$B95,"_",Data_3!Q$11))=1,Q$11,"")</f>
        <v/>
      </c>
      <c r="R95" s="1424" t="str">
        <f ca="1">IF(COUNTIF(Data!$H$16:$H$100,CONCATENATE(Data_3!$B95,"_",Data_3!R$11))=1,R$11,"")</f>
        <v/>
      </c>
      <c r="S95" s="1424" t="str">
        <f ca="1">IF(COUNTIF(Data!$H$16:$H$100,CONCATENATE(Data_3!$B95,"_",Data_3!S$11))=1,S$11,"")</f>
        <v/>
      </c>
      <c r="T95" s="1424" t="str">
        <f ca="1">IF(COUNTIF(Data!$H$16:$H$100,CONCATENATE(Data_3!$B95,"_",Data_3!T$11))=1,T$11,"")</f>
        <v/>
      </c>
      <c r="U95" s="1424" t="str">
        <f ca="1">IF(COUNTIF(Data!$H$16:$H$100,CONCATENATE(Data_3!$B95,"_",Data_3!U$11))=1,U$11,"")</f>
        <v/>
      </c>
      <c r="V95" s="1424" t="str">
        <f ca="1">IF(COUNTIF(Data!$H$16:$H$100,CONCATENATE(Data_3!$B95,"_",Data_3!V$11))=1,V$11,"")</f>
        <v/>
      </c>
      <c r="W95" s="1424" t="str">
        <f ca="1">IF(COUNTIF(Data!$H$16:$H$100,CONCATENATE(Data_3!$B95,"_",Data_3!W$11))=1,W$11,"")</f>
        <v/>
      </c>
      <c r="X95" s="1424" t="str">
        <f ca="1">IF(COUNTIF(Data!$H$16:$H$100,CONCATENATE(Data_3!$B95,"_",Data_3!X$11))=1,X$11,"")</f>
        <v/>
      </c>
      <c r="Y95" s="1424" t="str">
        <f ca="1">IF(COUNTIF(Data!$H$16:$H$100,CONCATENATE(Data_3!$B95,"_",Data_3!Y$11))=1,Y$11,"")</f>
        <v/>
      </c>
    </row>
    <row r="96" spans="1:138" ht="15" customHeight="1">
      <c r="B96" s="1455" t="str">
        <f t="array" aca="1" ref="B96" ca="1">IFERROR(INDEX(Data!$B$16:$B$96,MATCH(0,COUNTIF($B$12:B95,Data!$B$16:$B$96),0)),"")</f>
        <v/>
      </c>
      <c r="C96" s="1345">
        <v>84</v>
      </c>
      <c r="D96" s="1424" t="s">
        <v>182</v>
      </c>
      <c r="E96" s="1424" t="str">
        <f ca="1">IF(COUNTIF(Data!$H$16:$H$100,CONCATENATE(Data_3!$B96,"_",Data_3!E$11))=1,E$11,"")</f>
        <v/>
      </c>
      <c r="F96" s="1424" t="str">
        <f ca="1">IF(COUNTIF(Data!$H$16:$H$100,CONCATENATE(Data_3!$B96,"_",Data_3!F$11))=1,F$11,"")</f>
        <v/>
      </c>
      <c r="G96" s="1424" t="str">
        <f ca="1">IF(COUNTIF(Data!$H$16:$H$100,CONCATENATE(Data_3!$B96,"_",Data_3!G$11))=1,G$11,"")</f>
        <v/>
      </c>
      <c r="H96" s="1424" t="str">
        <f ca="1">IF(COUNTIF(Data!$H$16:$H$100,CONCATENATE(Data_3!$B96,"_",Data_3!H$11))=1,H$11,"")</f>
        <v/>
      </c>
      <c r="I96" s="1424" t="str">
        <f ca="1">IF(COUNTIF(Data!$H$16:$H$100,CONCATENATE(Data_3!$B96,"_",Data_3!I$11))=1,I$11,"")</f>
        <v/>
      </c>
      <c r="J96" s="1424" t="str">
        <f ca="1">IF(COUNTIF(Data!$H$16:$H$100,CONCATENATE(Data_3!$B96,"_",Data_3!J$11))=1,J$11,"")</f>
        <v/>
      </c>
      <c r="K96" s="1424" t="str">
        <f ca="1">IF(COUNTIF(Data!$H$16:$H$100,CONCATENATE(Data_3!$B96,"_",Data_3!K$11))=1,K$11,"")</f>
        <v/>
      </c>
      <c r="L96" s="1424" t="str">
        <f ca="1">IF(COUNTIF(Data!$H$16:$H$100,CONCATENATE(Data_3!$B96,"_",Data_3!L$11))=1,L$11,"")</f>
        <v/>
      </c>
      <c r="M96" s="1424" t="str">
        <f ca="1">IF(COUNTIF(Data!$H$16:$H$100,CONCATENATE(Data_3!$B96,"_",Data_3!M$11))=1,M$11,"")</f>
        <v/>
      </c>
      <c r="N96" s="1424" t="str">
        <f ca="1">IF(COUNTIF(Data!$H$16:$H$100,CONCATENATE(Data_3!$B96,"_",Data_3!N$11))=1,N$11,"")</f>
        <v/>
      </c>
      <c r="O96" s="1424" t="str">
        <f ca="1">IF(COUNTIF(Data!$H$16:$H$100,CONCATENATE(Data_3!$B96,"_",Data_3!O$11))=1,O$11,"")</f>
        <v/>
      </c>
      <c r="P96" s="1424" t="str">
        <f ca="1">IF(COUNTIF(Data!$H$16:$H$100,CONCATENATE(Data_3!$B96,"_",Data_3!P$11))=1,P$11,"")</f>
        <v/>
      </c>
      <c r="Q96" s="1424" t="str">
        <f ca="1">IF(COUNTIF(Data!$H$16:$H$100,CONCATENATE(Data_3!$B96,"_",Data_3!Q$11))=1,Q$11,"")</f>
        <v/>
      </c>
      <c r="R96" s="1424" t="str">
        <f ca="1">IF(COUNTIF(Data!$H$16:$H$100,CONCATENATE(Data_3!$B96,"_",Data_3!R$11))=1,R$11,"")</f>
        <v/>
      </c>
      <c r="S96" s="1424" t="str">
        <f ca="1">IF(COUNTIF(Data!$H$16:$H$100,CONCATENATE(Data_3!$B96,"_",Data_3!S$11))=1,S$11,"")</f>
        <v/>
      </c>
      <c r="T96" s="1424" t="str">
        <f ca="1">IF(COUNTIF(Data!$H$16:$H$100,CONCATENATE(Data_3!$B96,"_",Data_3!T$11))=1,T$11,"")</f>
        <v/>
      </c>
      <c r="U96" s="1424" t="str">
        <f ca="1">IF(COUNTIF(Data!$H$16:$H$100,CONCATENATE(Data_3!$B96,"_",Data_3!U$11))=1,U$11,"")</f>
        <v/>
      </c>
      <c r="V96" s="1424" t="str">
        <f ca="1">IF(COUNTIF(Data!$H$16:$H$100,CONCATENATE(Data_3!$B96,"_",Data_3!V$11))=1,V$11,"")</f>
        <v/>
      </c>
      <c r="W96" s="1424" t="str">
        <f ca="1">IF(COUNTIF(Data!$H$16:$H$100,CONCATENATE(Data_3!$B96,"_",Data_3!W$11))=1,W$11,"")</f>
        <v/>
      </c>
      <c r="X96" s="1424" t="str">
        <f ca="1">IF(COUNTIF(Data!$H$16:$H$100,CONCATENATE(Data_3!$B96,"_",Data_3!X$11))=1,X$11,"")</f>
        <v/>
      </c>
      <c r="Y96" s="1424" t="str">
        <f ca="1">IF(COUNTIF(Data!$H$16:$H$100,CONCATENATE(Data_3!$B96,"_",Data_3!Y$11))=1,Y$11,"")</f>
        <v/>
      </c>
    </row>
    <row r="97" spans="2:25" ht="15" customHeight="1">
      <c r="B97" s="1455" t="str">
        <f t="array" aca="1" ref="B97" ca="1">IFERROR(INDEX(Data!$B$16:$B$96,MATCH(0,COUNTIF($B$12:B96,Data!$B$16:$B$96),0)),"")</f>
        <v/>
      </c>
      <c r="C97" s="1345">
        <v>85</v>
      </c>
      <c r="D97" s="1424" t="s">
        <v>182</v>
      </c>
      <c r="E97" s="1424" t="str">
        <f ca="1">IF(COUNTIF(Data!$H$16:$H$100,CONCATENATE(Data_3!$B97,"_",Data_3!E$11))=1,E$11,"")</f>
        <v/>
      </c>
      <c r="F97" s="1424" t="str">
        <f ca="1">IF(COUNTIF(Data!$H$16:$H$100,CONCATENATE(Data_3!$B97,"_",Data_3!F$11))=1,F$11,"")</f>
        <v/>
      </c>
      <c r="G97" s="1424" t="str">
        <f ca="1">IF(COUNTIF(Data!$H$16:$H$100,CONCATENATE(Data_3!$B97,"_",Data_3!G$11))=1,G$11,"")</f>
        <v/>
      </c>
      <c r="H97" s="1424" t="str">
        <f ca="1">IF(COUNTIF(Data!$H$16:$H$100,CONCATENATE(Data_3!$B97,"_",Data_3!H$11))=1,H$11,"")</f>
        <v/>
      </c>
      <c r="I97" s="1424" t="str">
        <f ca="1">IF(COUNTIF(Data!$H$16:$H$100,CONCATENATE(Data_3!$B97,"_",Data_3!I$11))=1,I$11,"")</f>
        <v/>
      </c>
      <c r="J97" s="1424" t="str">
        <f ca="1">IF(COUNTIF(Data!$H$16:$H$100,CONCATENATE(Data_3!$B97,"_",Data_3!J$11))=1,J$11,"")</f>
        <v/>
      </c>
      <c r="K97" s="1424" t="str">
        <f ca="1">IF(COUNTIF(Data!$H$16:$H$100,CONCATENATE(Data_3!$B97,"_",Data_3!K$11))=1,K$11,"")</f>
        <v/>
      </c>
      <c r="L97" s="1424" t="str">
        <f ca="1">IF(COUNTIF(Data!$H$16:$H$100,CONCATENATE(Data_3!$B97,"_",Data_3!L$11))=1,L$11,"")</f>
        <v/>
      </c>
      <c r="M97" s="1424" t="str">
        <f ca="1">IF(COUNTIF(Data!$H$16:$H$100,CONCATENATE(Data_3!$B97,"_",Data_3!M$11))=1,M$11,"")</f>
        <v/>
      </c>
      <c r="N97" s="1424" t="str">
        <f ca="1">IF(COUNTIF(Data!$H$16:$H$100,CONCATENATE(Data_3!$B97,"_",Data_3!N$11))=1,N$11,"")</f>
        <v/>
      </c>
      <c r="O97" s="1424" t="str">
        <f ca="1">IF(COUNTIF(Data!$H$16:$H$100,CONCATENATE(Data_3!$B97,"_",Data_3!O$11))=1,O$11,"")</f>
        <v/>
      </c>
      <c r="P97" s="1424" t="str">
        <f ca="1">IF(COUNTIF(Data!$H$16:$H$100,CONCATENATE(Data_3!$B97,"_",Data_3!P$11))=1,P$11,"")</f>
        <v/>
      </c>
      <c r="Q97" s="1424" t="str">
        <f ca="1">IF(COUNTIF(Data!$H$16:$H$100,CONCATENATE(Data_3!$B97,"_",Data_3!Q$11))=1,Q$11,"")</f>
        <v/>
      </c>
      <c r="R97" s="1424" t="str">
        <f ca="1">IF(COUNTIF(Data!$H$16:$H$100,CONCATENATE(Data_3!$B97,"_",Data_3!R$11))=1,R$11,"")</f>
        <v/>
      </c>
      <c r="S97" s="1424" t="str">
        <f ca="1">IF(COUNTIF(Data!$H$16:$H$100,CONCATENATE(Data_3!$B97,"_",Data_3!S$11))=1,S$11,"")</f>
        <v/>
      </c>
      <c r="T97" s="1424" t="str">
        <f ca="1">IF(COUNTIF(Data!$H$16:$H$100,CONCATENATE(Data_3!$B97,"_",Data_3!T$11))=1,T$11,"")</f>
        <v/>
      </c>
      <c r="U97" s="1424" t="str">
        <f ca="1">IF(COUNTIF(Data!$H$16:$H$100,CONCATENATE(Data_3!$B97,"_",Data_3!U$11))=1,U$11,"")</f>
        <v/>
      </c>
      <c r="V97" s="1424" t="str">
        <f ca="1">IF(COUNTIF(Data!$H$16:$H$100,CONCATENATE(Data_3!$B97,"_",Data_3!V$11))=1,V$11,"")</f>
        <v/>
      </c>
      <c r="W97" s="1424" t="str">
        <f ca="1">IF(COUNTIF(Data!$H$16:$H$100,CONCATENATE(Data_3!$B97,"_",Data_3!W$11))=1,W$11,"")</f>
        <v/>
      </c>
      <c r="X97" s="1424" t="str">
        <f ca="1">IF(COUNTIF(Data!$H$16:$H$100,CONCATENATE(Data_3!$B97,"_",Data_3!X$11))=1,X$11,"")</f>
        <v/>
      </c>
      <c r="Y97" s="1424" t="str">
        <f ca="1">IF(COUNTIF(Data!$H$16:$H$100,CONCATENATE(Data_3!$B97,"_",Data_3!Y$11))=1,Y$11,"")</f>
        <v/>
      </c>
    </row>
    <row r="98" spans="2:25" ht="15" customHeight="1">
      <c r="B98" s="1455" t="str">
        <f t="array" aca="1" ref="B98" ca="1">IFERROR(INDEX(Data!$B$16:$B$96,MATCH(0,COUNTIF($B$12:B97,Data!$B$16:$B$96),0)),"")</f>
        <v/>
      </c>
      <c r="C98" s="1345">
        <v>86</v>
      </c>
      <c r="D98" s="1424" t="s">
        <v>182</v>
      </c>
      <c r="E98" s="1424" t="str">
        <f ca="1">IF(COUNTIF(Data!$H$16:$H$100,CONCATENATE(Data_3!$B98,"_",Data_3!E$11))=1,E$11,"")</f>
        <v/>
      </c>
      <c r="F98" s="1424" t="str">
        <f ca="1">IF(COUNTIF(Data!$H$16:$H$100,CONCATENATE(Data_3!$B98,"_",Data_3!F$11))=1,F$11,"")</f>
        <v/>
      </c>
      <c r="G98" s="1424" t="str">
        <f ca="1">IF(COUNTIF(Data!$H$16:$H$100,CONCATENATE(Data_3!$B98,"_",Data_3!G$11))=1,G$11,"")</f>
        <v/>
      </c>
      <c r="H98" s="1424" t="str">
        <f ca="1">IF(COUNTIF(Data!$H$16:$H$100,CONCATENATE(Data_3!$B98,"_",Data_3!H$11))=1,H$11,"")</f>
        <v/>
      </c>
      <c r="I98" s="1424" t="str">
        <f ca="1">IF(COUNTIF(Data!$H$16:$H$100,CONCATENATE(Data_3!$B98,"_",Data_3!I$11))=1,I$11,"")</f>
        <v/>
      </c>
      <c r="J98" s="1424" t="str">
        <f ca="1">IF(COUNTIF(Data!$H$16:$H$100,CONCATENATE(Data_3!$B98,"_",Data_3!J$11))=1,J$11,"")</f>
        <v/>
      </c>
      <c r="K98" s="1424" t="str">
        <f ca="1">IF(COUNTIF(Data!$H$16:$H$100,CONCATENATE(Data_3!$B98,"_",Data_3!K$11))=1,K$11,"")</f>
        <v/>
      </c>
      <c r="L98" s="1424" t="str">
        <f ca="1">IF(COUNTIF(Data!$H$16:$H$100,CONCATENATE(Data_3!$B98,"_",Data_3!L$11))=1,L$11,"")</f>
        <v/>
      </c>
      <c r="M98" s="1424" t="str">
        <f ca="1">IF(COUNTIF(Data!$H$16:$H$100,CONCATENATE(Data_3!$B98,"_",Data_3!M$11))=1,M$11,"")</f>
        <v/>
      </c>
      <c r="N98" s="1424" t="str">
        <f ca="1">IF(COUNTIF(Data!$H$16:$H$100,CONCATENATE(Data_3!$B98,"_",Data_3!N$11))=1,N$11,"")</f>
        <v/>
      </c>
      <c r="O98" s="1424" t="str">
        <f ca="1">IF(COUNTIF(Data!$H$16:$H$100,CONCATENATE(Data_3!$B98,"_",Data_3!O$11))=1,O$11,"")</f>
        <v/>
      </c>
      <c r="P98" s="1424" t="str">
        <f ca="1">IF(COUNTIF(Data!$H$16:$H$100,CONCATENATE(Data_3!$B98,"_",Data_3!P$11))=1,P$11,"")</f>
        <v/>
      </c>
      <c r="Q98" s="1424" t="str">
        <f ca="1">IF(COUNTIF(Data!$H$16:$H$100,CONCATENATE(Data_3!$B98,"_",Data_3!Q$11))=1,Q$11,"")</f>
        <v/>
      </c>
      <c r="R98" s="1424" t="str">
        <f ca="1">IF(COUNTIF(Data!$H$16:$H$100,CONCATENATE(Data_3!$B98,"_",Data_3!R$11))=1,R$11,"")</f>
        <v/>
      </c>
      <c r="S98" s="1424" t="str">
        <f ca="1">IF(COUNTIF(Data!$H$16:$H$100,CONCATENATE(Data_3!$B98,"_",Data_3!S$11))=1,S$11,"")</f>
        <v/>
      </c>
      <c r="T98" s="1424" t="str">
        <f ca="1">IF(COUNTIF(Data!$H$16:$H$100,CONCATENATE(Data_3!$B98,"_",Data_3!T$11))=1,T$11,"")</f>
        <v/>
      </c>
      <c r="U98" s="1424" t="str">
        <f ca="1">IF(COUNTIF(Data!$H$16:$H$100,CONCATENATE(Data_3!$B98,"_",Data_3!U$11))=1,U$11,"")</f>
        <v/>
      </c>
      <c r="V98" s="1424" t="str">
        <f ca="1">IF(COUNTIF(Data!$H$16:$H$100,CONCATENATE(Data_3!$B98,"_",Data_3!V$11))=1,V$11,"")</f>
        <v/>
      </c>
      <c r="W98" s="1424" t="str">
        <f ca="1">IF(COUNTIF(Data!$H$16:$H$100,CONCATENATE(Data_3!$B98,"_",Data_3!W$11))=1,W$11,"")</f>
        <v/>
      </c>
      <c r="X98" s="1424" t="str">
        <f ca="1">IF(COUNTIF(Data!$H$16:$H$100,CONCATENATE(Data_3!$B98,"_",Data_3!X$11))=1,X$11,"")</f>
        <v/>
      </c>
      <c r="Y98" s="1424" t="str">
        <f ca="1">IF(COUNTIF(Data!$H$16:$H$100,CONCATENATE(Data_3!$B98,"_",Data_3!Y$11))=1,Y$11,"")</f>
        <v/>
      </c>
    </row>
    <row r="99" spans="2:25" ht="15" customHeight="1">
      <c r="B99" s="1455" t="str">
        <f t="array" aca="1" ref="B99" ca="1">IFERROR(INDEX(Data!$B$16:$B$96,MATCH(0,COUNTIF($B$12:B98,Data!$B$16:$B$96),0)),"")</f>
        <v/>
      </c>
      <c r="C99" s="1345">
        <v>87</v>
      </c>
      <c r="D99" s="1424" t="s">
        <v>182</v>
      </c>
      <c r="E99" s="1424" t="str">
        <f ca="1">IF(COUNTIF(Data!$H$16:$H$100,CONCATENATE(Data_3!$B99,"_",Data_3!E$11))=1,E$11,"")</f>
        <v/>
      </c>
      <c r="F99" s="1424" t="str">
        <f ca="1">IF(COUNTIF(Data!$H$16:$H$100,CONCATENATE(Data_3!$B99,"_",Data_3!F$11))=1,F$11,"")</f>
        <v/>
      </c>
      <c r="G99" s="1424" t="str">
        <f ca="1">IF(COUNTIF(Data!$H$16:$H$100,CONCATENATE(Data_3!$B99,"_",Data_3!G$11))=1,G$11,"")</f>
        <v/>
      </c>
      <c r="H99" s="1424" t="str">
        <f ca="1">IF(COUNTIF(Data!$H$16:$H$100,CONCATENATE(Data_3!$B99,"_",Data_3!H$11))=1,H$11,"")</f>
        <v/>
      </c>
      <c r="I99" s="1424" t="str">
        <f ca="1">IF(COUNTIF(Data!$H$16:$H$100,CONCATENATE(Data_3!$B99,"_",Data_3!I$11))=1,I$11,"")</f>
        <v/>
      </c>
      <c r="J99" s="1424" t="str">
        <f ca="1">IF(COUNTIF(Data!$H$16:$H$100,CONCATENATE(Data_3!$B99,"_",Data_3!J$11))=1,J$11,"")</f>
        <v/>
      </c>
      <c r="K99" s="1424" t="str">
        <f ca="1">IF(COUNTIF(Data!$H$16:$H$100,CONCATENATE(Data_3!$B99,"_",Data_3!K$11))=1,K$11,"")</f>
        <v/>
      </c>
      <c r="L99" s="1424" t="str">
        <f ca="1">IF(COUNTIF(Data!$H$16:$H$100,CONCATENATE(Data_3!$B99,"_",Data_3!L$11))=1,L$11,"")</f>
        <v/>
      </c>
      <c r="M99" s="1424" t="str">
        <f ca="1">IF(COUNTIF(Data!$H$16:$H$100,CONCATENATE(Data_3!$B99,"_",Data_3!M$11))=1,M$11,"")</f>
        <v/>
      </c>
      <c r="N99" s="1424" t="str">
        <f ca="1">IF(COUNTIF(Data!$H$16:$H$100,CONCATENATE(Data_3!$B99,"_",Data_3!N$11))=1,N$11,"")</f>
        <v/>
      </c>
      <c r="O99" s="1424" t="str">
        <f ca="1">IF(COUNTIF(Data!$H$16:$H$100,CONCATENATE(Data_3!$B99,"_",Data_3!O$11))=1,O$11,"")</f>
        <v/>
      </c>
      <c r="P99" s="1424" t="str">
        <f ca="1">IF(COUNTIF(Data!$H$16:$H$100,CONCATENATE(Data_3!$B99,"_",Data_3!P$11))=1,P$11,"")</f>
        <v/>
      </c>
      <c r="Q99" s="1424" t="str">
        <f ca="1">IF(COUNTIF(Data!$H$16:$H$100,CONCATENATE(Data_3!$B99,"_",Data_3!Q$11))=1,Q$11,"")</f>
        <v/>
      </c>
      <c r="R99" s="1424" t="str">
        <f ca="1">IF(COUNTIF(Data!$H$16:$H$100,CONCATENATE(Data_3!$B99,"_",Data_3!R$11))=1,R$11,"")</f>
        <v/>
      </c>
      <c r="S99" s="1424" t="str">
        <f ca="1">IF(COUNTIF(Data!$H$16:$H$100,CONCATENATE(Data_3!$B99,"_",Data_3!S$11))=1,S$11,"")</f>
        <v/>
      </c>
      <c r="T99" s="1424" t="str">
        <f ca="1">IF(COUNTIF(Data!$H$16:$H$100,CONCATENATE(Data_3!$B99,"_",Data_3!T$11))=1,T$11,"")</f>
        <v/>
      </c>
      <c r="U99" s="1424" t="str">
        <f ca="1">IF(COUNTIF(Data!$H$16:$H$100,CONCATENATE(Data_3!$B99,"_",Data_3!U$11))=1,U$11,"")</f>
        <v/>
      </c>
      <c r="V99" s="1424" t="str">
        <f ca="1">IF(COUNTIF(Data!$H$16:$H$100,CONCATENATE(Data_3!$B99,"_",Data_3!V$11))=1,V$11,"")</f>
        <v/>
      </c>
      <c r="W99" s="1424" t="str">
        <f ca="1">IF(COUNTIF(Data!$H$16:$H$100,CONCATENATE(Data_3!$B99,"_",Data_3!W$11))=1,W$11,"")</f>
        <v/>
      </c>
      <c r="X99" s="1424" t="str">
        <f ca="1">IF(COUNTIF(Data!$H$16:$H$100,CONCATENATE(Data_3!$B99,"_",Data_3!X$11))=1,X$11,"")</f>
        <v/>
      </c>
      <c r="Y99" s="1424" t="str">
        <f ca="1">IF(COUNTIF(Data!$H$16:$H$100,CONCATENATE(Data_3!$B99,"_",Data_3!Y$11))=1,Y$11,"")</f>
        <v/>
      </c>
    </row>
    <row r="100" spans="2:25" ht="15" customHeight="1">
      <c r="B100" s="1455" t="str">
        <f t="array" aca="1" ref="B100" ca="1">IFERROR(INDEX(Data!$B$16:$B$96,MATCH(0,COUNTIF($B$12:B99,Data!$B$16:$B$96),0)),"")</f>
        <v/>
      </c>
      <c r="C100" s="1345">
        <v>88</v>
      </c>
      <c r="D100" s="1424" t="s">
        <v>182</v>
      </c>
      <c r="E100" s="1424" t="str">
        <f ca="1">IF(COUNTIF(Data!$H$16:$H$100,CONCATENATE(Data_3!$B100,"_",Data_3!E$11))=1,E$11,"")</f>
        <v/>
      </c>
      <c r="F100" s="1424" t="str">
        <f ca="1">IF(COUNTIF(Data!$H$16:$H$100,CONCATENATE(Data_3!$B100,"_",Data_3!F$11))=1,F$11,"")</f>
        <v/>
      </c>
      <c r="G100" s="1424" t="str">
        <f ca="1">IF(COUNTIF(Data!$H$16:$H$100,CONCATENATE(Data_3!$B100,"_",Data_3!G$11))=1,G$11,"")</f>
        <v/>
      </c>
      <c r="H100" s="1424" t="str">
        <f ca="1">IF(COUNTIF(Data!$H$16:$H$100,CONCATENATE(Data_3!$B100,"_",Data_3!H$11))=1,H$11,"")</f>
        <v/>
      </c>
      <c r="I100" s="1424" t="str">
        <f ca="1">IF(COUNTIF(Data!$H$16:$H$100,CONCATENATE(Data_3!$B100,"_",Data_3!I$11))=1,I$11,"")</f>
        <v/>
      </c>
      <c r="J100" s="1424" t="str">
        <f ca="1">IF(COUNTIF(Data!$H$16:$H$100,CONCATENATE(Data_3!$B100,"_",Data_3!J$11))=1,J$11,"")</f>
        <v/>
      </c>
      <c r="K100" s="1424" t="str">
        <f ca="1">IF(COUNTIF(Data!$H$16:$H$100,CONCATENATE(Data_3!$B100,"_",Data_3!K$11))=1,K$11,"")</f>
        <v/>
      </c>
      <c r="L100" s="1424" t="str">
        <f ca="1">IF(COUNTIF(Data!$H$16:$H$100,CONCATENATE(Data_3!$B100,"_",Data_3!L$11))=1,L$11,"")</f>
        <v/>
      </c>
      <c r="M100" s="1424" t="str">
        <f ca="1">IF(COUNTIF(Data!$H$16:$H$100,CONCATENATE(Data_3!$B100,"_",Data_3!M$11))=1,M$11,"")</f>
        <v/>
      </c>
      <c r="N100" s="1424" t="str">
        <f ca="1">IF(COUNTIF(Data!$H$16:$H$100,CONCATENATE(Data_3!$B100,"_",Data_3!N$11))=1,N$11,"")</f>
        <v/>
      </c>
      <c r="O100" s="1424" t="str">
        <f ca="1">IF(COUNTIF(Data!$H$16:$H$100,CONCATENATE(Data_3!$B100,"_",Data_3!O$11))=1,O$11,"")</f>
        <v/>
      </c>
      <c r="P100" s="1424" t="str">
        <f ca="1">IF(COUNTIF(Data!$H$16:$H$100,CONCATENATE(Data_3!$B100,"_",Data_3!P$11))=1,P$11,"")</f>
        <v/>
      </c>
      <c r="Q100" s="1424" t="str">
        <f ca="1">IF(COUNTIF(Data!$H$16:$H$100,CONCATENATE(Data_3!$B100,"_",Data_3!Q$11))=1,Q$11,"")</f>
        <v/>
      </c>
      <c r="R100" s="1424" t="str">
        <f ca="1">IF(COUNTIF(Data!$H$16:$H$100,CONCATENATE(Data_3!$B100,"_",Data_3!R$11))=1,R$11,"")</f>
        <v/>
      </c>
      <c r="S100" s="1424" t="str">
        <f ca="1">IF(COUNTIF(Data!$H$16:$H$100,CONCATENATE(Data_3!$B100,"_",Data_3!S$11))=1,S$11,"")</f>
        <v/>
      </c>
      <c r="T100" s="1424" t="str">
        <f ca="1">IF(COUNTIF(Data!$H$16:$H$100,CONCATENATE(Data_3!$B100,"_",Data_3!T$11))=1,T$11,"")</f>
        <v/>
      </c>
      <c r="U100" s="1424" t="str">
        <f ca="1">IF(COUNTIF(Data!$H$16:$H$100,CONCATENATE(Data_3!$B100,"_",Data_3!U$11))=1,U$11,"")</f>
        <v/>
      </c>
      <c r="V100" s="1424" t="str">
        <f ca="1">IF(COUNTIF(Data!$H$16:$H$100,CONCATENATE(Data_3!$B100,"_",Data_3!V$11))=1,V$11,"")</f>
        <v/>
      </c>
      <c r="W100" s="1424" t="str">
        <f ca="1">IF(COUNTIF(Data!$H$16:$H$100,CONCATENATE(Data_3!$B100,"_",Data_3!W$11))=1,W$11,"")</f>
        <v/>
      </c>
      <c r="X100" s="1424" t="str">
        <f ca="1">IF(COUNTIF(Data!$H$16:$H$100,CONCATENATE(Data_3!$B100,"_",Data_3!X$11))=1,X$11,"")</f>
        <v/>
      </c>
      <c r="Y100" s="1424" t="str">
        <f ca="1">IF(COUNTIF(Data!$H$16:$H$100,CONCATENATE(Data_3!$B100,"_",Data_3!Y$11))=1,Y$11,"")</f>
        <v/>
      </c>
    </row>
    <row r="101" spans="2:25" ht="15" customHeight="1">
      <c r="B101" s="1455" t="str">
        <f t="array" aca="1" ref="B101" ca="1">IFERROR(INDEX(Data!$B$16:$B$96,MATCH(0,COUNTIF($B$12:B100,Data!$B$16:$B$96),0)),"")</f>
        <v/>
      </c>
      <c r="C101" s="1345">
        <v>89</v>
      </c>
      <c r="D101" s="1424" t="s">
        <v>182</v>
      </c>
      <c r="E101" s="1424" t="str">
        <f ca="1">IF(COUNTIF(Data!$H$16:$H$100,CONCATENATE(Data_3!$B101,"_",Data_3!E$11))=1,E$11,"")</f>
        <v/>
      </c>
      <c r="F101" s="1424" t="str">
        <f ca="1">IF(COUNTIF(Data!$H$16:$H$100,CONCATENATE(Data_3!$B101,"_",Data_3!F$11))=1,F$11,"")</f>
        <v/>
      </c>
      <c r="G101" s="1424" t="str">
        <f ca="1">IF(COUNTIF(Data!$H$16:$H$100,CONCATENATE(Data_3!$B101,"_",Data_3!G$11))=1,G$11,"")</f>
        <v/>
      </c>
      <c r="H101" s="1424" t="str">
        <f ca="1">IF(COUNTIF(Data!$H$16:$H$100,CONCATENATE(Data_3!$B101,"_",Data_3!H$11))=1,H$11,"")</f>
        <v/>
      </c>
      <c r="I101" s="1424" t="str">
        <f ca="1">IF(COUNTIF(Data!$H$16:$H$100,CONCATENATE(Data_3!$B101,"_",Data_3!I$11))=1,I$11,"")</f>
        <v/>
      </c>
      <c r="J101" s="1424" t="str">
        <f ca="1">IF(COUNTIF(Data!$H$16:$H$100,CONCATENATE(Data_3!$B101,"_",Data_3!J$11))=1,J$11,"")</f>
        <v/>
      </c>
      <c r="K101" s="1424" t="str">
        <f ca="1">IF(COUNTIF(Data!$H$16:$H$100,CONCATENATE(Data_3!$B101,"_",Data_3!K$11))=1,K$11,"")</f>
        <v/>
      </c>
      <c r="L101" s="1424" t="str">
        <f ca="1">IF(COUNTIF(Data!$H$16:$H$100,CONCATENATE(Data_3!$B101,"_",Data_3!L$11))=1,L$11,"")</f>
        <v/>
      </c>
      <c r="M101" s="1424" t="str">
        <f ca="1">IF(COUNTIF(Data!$H$16:$H$100,CONCATENATE(Data_3!$B101,"_",Data_3!M$11))=1,M$11,"")</f>
        <v/>
      </c>
      <c r="N101" s="1424" t="str">
        <f ca="1">IF(COUNTIF(Data!$H$16:$H$100,CONCATENATE(Data_3!$B101,"_",Data_3!N$11))=1,N$11,"")</f>
        <v/>
      </c>
      <c r="O101" s="1424" t="str">
        <f ca="1">IF(COUNTIF(Data!$H$16:$H$100,CONCATENATE(Data_3!$B101,"_",Data_3!O$11))=1,O$11,"")</f>
        <v/>
      </c>
      <c r="P101" s="1424" t="str">
        <f ca="1">IF(COUNTIF(Data!$H$16:$H$100,CONCATENATE(Data_3!$B101,"_",Data_3!P$11))=1,P$11,"")</f>
        <v/>
      </c>
      <c r="Q101" s="1424" t="str">
        <f ca="1">IF(COUNTIF(Data!$H$16:$H$100,CONCATENATE(Data_3!$B101,"_",Data_3!Q$11))=1,Q$11,"")</f>
        <v/>
      </c>
      <c r="R101" s="1424" t="str">
        <f ca="1">IF(COUNTIF(Data!$H$16:$H$100,CONCATENATE(Data_3!$B101,"_",Data_3!R$11))=1,R$11,"")</f>
        <v/>
      </c>
      <c r="S101" s="1424" t="str">
        <f ca="1">IF(COUNTIF(Data!$H$16:$H$100,CONCATENATE(Data_3!$B101,"_",Data_3!S$11))=1,S$11,"")</f>
        <v/>
      </c>
      <c r="T101" s="1424" t="str">
        <f ca="1">IF(COUNTIF(Data!$H$16:$H$100,CONCATENATE(Data_3!$B101,"_",Data_3!T$11))=1,T$11,"")</f>
        <v/>
      </c>
      <c r="U101" s="1424" t="str">
        <f ca="1">IF(COUNTIF(Data!$H$16:$H$100,CONCATENATE(Data_3!$B101,"_",Data_3!U$11))=1,U$11,"")</f>
        <v/>
      </c>
      <c r="V101" s="1424" t="str">
        <f ca="1">IF(COUNTIF(Data!$H$16:$H$100,CONCATENATE(Data_3!$B101,"_",Data_3!V$11))=1,V$11,"")</f>
        <v/>
      </c>
      <c r="W101" s="1424" t="str">
        <f ca="1">IF(COUNTIF(Data!$H$16:$H$100,CONCATENATE(Data_3!$B101,"_",Data_3!W$11))=1,W$11,"")</f>
        <v/>
      </c>
      <c r="X101" s="1424" t="str">
        <f ca="1">IF(COUNTIF(Data!$H$16:$H$100,CONCATENATE(Data_3!$B101,"_",Data_3!X$11))=1,X$11,"")</f>
        <v/>
      </c>
      <c r="Y101" s="1424" t="str">
        <f ca="1">IF(COUNTIF(Data!$H$16:$H$100,CONCATENATE(Data_3!$B101,"_",Data_3!Y$11))=1,Y$11,"")</f>
        <v/>
      </c>
    </row>
    <row r="102" spans="2:25" ht="15" customHeight="1">
      <c r="B102" s="1455" t="str">
        <f t="array" aca="1" ref="B102" ca="1">IFERROR(INDEX(Data!$B$16:$B$96,MATCH(0,COUNTIF($B$12:B101,Data!$B$16:$B$96),0)),"")</f>
        <v/>
      </c>
      <c r="C102" s="1345">
        <v>90</v>
      </c>
      <c r="D102" s="1424" t="s">
        <v>182</v>
      </c>
      <c r="E102" s="1424" t="str">
        <f ca="1">IF(COUNTIF(Data!$H$16:$H$100,CONCATENATE(Data_3!$B102,"_",Data_3!E$11))=1,E$11,"")</f>
        <v/>
      </c>
      <c r="F102" s="1424" t="str">
        <f ca="1">IF(COUNTIF(Data!$H$16:$H$100,CONCATENATE(Data_3!$B102,"_",Data_3!F$11))=1,F$11,"")</f>
        <v/>
      </c>
      <c r="G102" s="1424" t="str">
        <f ca="1">IF(COUNTIF(Data!$H$16:$H$100,CONCATENATE(Data_3!$B102,"_",Data_3!G$11))=1,G$11,"")</f>
        <v/>
      </c>
      <c r="H102" s="1424" t="str">
        <f ca="1">IF(COUNTIF(Data!$H$16:$H$100,CONCATENATE(Data_3!$B102,"_",Data_3!H$11))=1,H$11,"")</f>
        <v/>
      </c>
      <c r="I102" s="1424" t="str">
        <f ca="1">IF(COUNTIF(Data!$H$16:$H$100,CONCATENATE(Data_3!$B102,"_",Data_3!I$11))=1,I$11,"")</f>
        <v/>
      </c>
      <c r="J102" s="1424" t="str">
        <f ca="1">IF(COUNTIF(Data!$H$16:$H$100,CONCATENATE(Data_3!$B102,"_",Data_3!J$11))=1,J$11,"")</f>
        <v/>
      </c>
      <c r="K102" s="1424" t="str">
        <f ca="1">IF(COUNTIF(Data!$H$16:$H$100,CONCATENATE(Data_3!$B102,"_",Data_3!K$11))=1,K$11,"")</f>
        <v/>
      </c>
      <c r="L102" s="1424" t="str">
        <f ca="1">IF(COUNTIF(Data!$H$16:$H$100,CONCATENATE(Data_3!$B102,"_",Data_3!L$11))=1,L$11,"")</f>
        <v/>
      </c>
      <c r="M102" s="1424" t="str">
        <f ca="1">IF(COUNTIF(Data!$H$16:$H$100,CONCATENATE(Data_3!$B102,"_",Data_3!M$11))=1,M$11,"")</f>
        <v/>
      </c>
      <c r="N102" s="1424" t="str">
        <f ca="1">IF(COUNTIF(Data!$H$16:$H$100,CONCATENATE(Data_3!$B102,"_",Data_3!N$11))=1,N$11,"")</f>
        <v/>
      </c>
      <c r="O102" s="1424" t="str">
        <f ca="1">IF(COUNTIF(Data!$H$16:$H$100,CONCATENATE(Data_3!$B102,"_",Data_3!O$11))=1,O$11,"")</f>
        <v/>
      </c>
      <c r="P102" s="1424" t="str">
        <f ca="1">IF(COUNTIF(Data!$H$16:$H$100,CONCATENATE(Data_3!$B102,"_",Data_3!P$11))=1,P$11,"")</f>
        <v/>
      </c>
      <c r="Q102" s="1424" t="str">
        <f ca="1">IF(COUNTIF(Data!$H$16:$H$100,CONCATENATE(Data_3!$B102,"_",Data_3!Q$11))=1,Q$11,"")</f>
        <v/>
      </c>
      <c r="R102" s="1424" t="str">
        <f ca="1">IF(COUNTIF(Data!$H$16:$H$100,CONCATENATE(Data_3!$B102,"_",Data_3!R$11))=1,R$11,"")</f>
        <v/>
      </c>
      <c r="S102" s="1424" t="str">
        <f ca="1">IF(COUNTIF(Data!$H$16:$H$100,CONCATENATE(Data_3!$B102,"_",Data_3!S$11))=1,S$11,"")</f>
        <v/>
      </c>
      <c r="T102" s="1424" t="str">
        <f ca="1">IF(COUNTIF(Data!$H$16:$H$100,CONCATENATE(Data_3!$B102,"_",Data_3!T$11))=1,T$11,"")</f>
        <v/>
      </c>
      <c r="U102" s="1424" t="str">
        <f ca="1">IF(COUNTIF(Data!$H$16:$H$100,CONCATENATE(Data_3!$B102,"_",Data_3!U$11))=1,U$11,"")</f>
        <v/>
      </c>
      <c r="V102" s="1424" t="str">
        <f ca="1">IF(COUNTIF(Data!$H$16:$H$100,CONCATENATE(Data_3!$B102,"_",Data_3!V$11))=1,V$11,"")</f>
        <v/>
      </c>
      <c r="W102" s="1424" t="str">
        <f ca="1">IF(COUNTIF(Data!$H$16:$H$100,CONCATENATE(Data_3!$B102,"_",Data_3!W$11))=1,W$11,"")</f>
        <v/>
      </c>
      <c r="X102" s="1424" t="str">
        <f ca="1">IF(COUNTIF(Data!$H$16:$H$100,CONCATENATE(Data_3!$B102,"_",Data_3!X$11))=1,X$11,"")</f>
        <v/>
      </c>
      <c r="Y102" s="1424" t="str">
        <f ca="1">IF(COUNTIF(Data!$H$16:$H$100,CONCATENATE(Data_3!$B102,"_",Data_3!Y$11))=1,Y$11,"")</f>
        <v/>
      </c>
    </row>
    <row r="103" spans="2:25" ht="15" customHeight="1">
      <c r="B103" s="1455" t="str">
        <f t="array" aca="1" ref="B103" ca="1">IFERROR(INDEX(Data!$B$16:$B$96,MATCH(0,COUNTIF($B$12:B102,Data!$B$16:$B$96),0)),"")</f>
        <v/>
      </c>
      <c r="C103" s="1345">
        <v>91</v>
      </c>
      <c r="D103" s="1424" t="s">
        <v>182</v>
      </c>
      <c r="E103" s="1424" t="str">
        <f ca="1">IF(COUNTIF(Data!$H$16:$H$100,CONCATENATE(Data_3!$B103,"_",Data_3!E$11))=1,E$11,"")</f>
        <v/>
      </c>
      <c r="F103" s="1424" t="str">
        <f ca="1">IF(COUNTIF(Data!$H$16:$H$100,CONCATENATE(Data_3!$B103,"_",Data_3!F$11))=1,F$11,"")</f>
        <v/>
      </c>
      <c r="G103" s="1424" t="str">
        <f ca="1">IF(COUNTIF(Data!$H$16:$H$100,CONCATENATE(Data_3!$B103,"_",Data_3!G$11))=1,G$11,"")</f>
        <v/>
      </c>
      <c r="H103" s="1424" t="str">
        <f ca="1">IF(COUNTIF(Data!$H$16:$H$100,CONCATENATE(Data_3!$B103,"_",Data_3!H$11))=1,H$11,"")</f>
        <v/>
      </c>
      <c r="I103" s="1424" t="str">
        <f ca="1">IF(COUNTIF(Data!$H$16:$H$100,CONCATENATE(Data_3!$B103,"_",Data_3!I$11))=1,I$11,"")</f>
        <v/>
      </c>
      <c r="J103" s="1424" t="str">
        <f ca="1">IF(COUNTIF(Data!$H$16:$H$100,CONCATENATE(Data_3!$B103,"_",Data_3!J$11))=1,J$11,"")</f>
        <v/>
      </c>
      <c r="K103" s="1424" t="str">
        <f ca="1">IF(COUNTIF(Data!$H$16:$H$100,CONCATENATE(Data_3!$B103,"_",Data_3!K$11))=1,K$11,"")</f>
        <v/>
      </c>
      <c r="L103" s="1424" t="str">
        <f ca="1">IF(COUNTIF(Data!$H$16:$H$100,CONCATENATE(Data_3!$B103,"_",Data_3!L$11))=1,L$11,"")</f>
        <v/>
      </c>
      <c r="M103" s="1424" t="str">
        <f ca="1">IF(COUNTIF(Data!$H$16:$H$100,CONCATENATE(Data_3!$B103,"_",Data_3!M$11))=1,M$11,"")</f>
        <v/>
      </c>
      <c r="N103" s="1424" t="str">
        <f ca="1">IF(COUNTIF(Data!$H$16:$H$100,CONCATENATE(Data_3!$B103,"_",Data_3!N$11))=1,N$11,"")</f>
        <v/>
      </c>
      <c r="O103" s="1424" t="str">
        <f ca="1">IF(COUNTIF(Data!$H$16:$H$100,CONCATENATE(Data_3!$B103,"_",Data_3!O$11))=1,O$11,"")</f>
        <v/>
      </c>
      <c r="P103" s="1424" t="str">
        <f ca="1">IF(COUNTIF(Data!$H$16:$H$100,CONCATENATE(Data_3!$B103,"_",Data_3!P$11))=1,P$11,"")</f>
        <v/>
      </c>
      <c r="Q103" s="1424" t="str">
        <f ca="1">IF(COUNTIF(Data!$H$16:$H$100,CONCATENATE(Data_3!$B103,"_",Data_3!Q$11))=1,Q$11,"")</f>
        <v/>
      </c>
      <c r="R103" s="1424" t="str">
        <f ca="1">IF(COUNTIF(Data!$H$16:$H$100,CONCATENATE(Data_3!$B103,"_",Data_3!R$11))=1,R$11,"")</f>
        <v/>
      </c>
      <c r="S103" s="1424" t="str">
        <f ca="1">IF(COUNTIF(Data!$H$16:$H$100,CONCATENATE(Data_3!$B103,"_",Data_3!S$11))=1,S$11,"")</f>
        <v/>
      </c>
      <c r="T103" s="1424" t="str">
        <f ca="1">IF(COUNTIF(Data!$H$16:$H$100,CONCATENATE(Data_3!$B103,"_",Data_3!T$11))=1,T$11,"")</f>
        <v/>
      </c>
      <c r="U103" s="1424" t="str">
        <f ca="1">IF(COUNTIF(Data!$H$16:$H$100,CONCATENATE(Data_3!$B103,"_",Data_3!U$11))=1,U$11,"")</f>
        <v/>
      </c>
      <c r="V103" s="1424" t="str">
        <f ca="1">IF(COUNTIF(Data!$H$16:$H$100,CONCATENATE(Data_3!$B103,"_",Data_3!V$11))=1,V$11,"")</f>
        <v/>
      </c>
      <c r="W103" s="1424" t="str">
        <f ca="1">IF(COUNTIF(Data!$H$16:$H$100,CONCATENATE(Data_3!$B103,"_",Data_3!W$11))=1,W$11,"")</f>
        <v/>
      </c>
      <c r="X103" s="1424" t="str">
        <f ca="1">IF(COUNTIF(Data!$H$16:$H$100,CONCATENATE(Data_3!$B103,"_",Data_3!X$11))=1,X$11,"")</f>
        <v/>
      </c>
      <c r="Y103" s="1424" t="str">
        <f ca="1">IF(COUNTIF(Data!$H$16:$H$100,CONCATENATE(Data_3!$B103,"_",Data_3!Y$11))=1,Y$11,"")</f>
        <v/>
      </c>
    </row>
    <row r="104" spans="2:25" ht="15" customHeight="1">
      <c r="B104" s="1455" t="str">
        <f t="array" aca="1" ref="B104" ca="1">IFERROR(INDEX(Data!$B$16:$B$96,MATCH(0,COUNTIF($B$12:B103,Data!$B$16:$B$96),0)),"")</f>
        <v/>
      </c>
      <c r="C104" s="1345">
        <v>92</v>
      </c>
      <c r="D104" s="1424" t="s">
        <v>182</v>
      </c>
      <c r="E104" s="1424" t="str">
        <f ca="1">IF(COUNTIF(Data!$H$16:$H$100,CONCATENATE(Data_3!$B104,"_",Data_3!E$11))=1,E$11,"")</f>
        <v/>
      </c>
      <c r="F104" s="1424" t="str">
        <f ca="1">IF(COUNTIF(Data!$H$16:$H$100,CONCATENATE(Data_3!$B104,"_",Data_3!F$11))=1,F$11,"")</f>
        <v/>
      </c>
      <c r="G104" s="1424" t="str">
        <f ca="1">IF(COUNTIF(Data!$H$16:$H$100,CONCATENATE(Data_3!$B104,"_",Data_3!G$11))=1,G$11,"")</f>
        <v/>
      </c>
      <c r="H104" s="1424" t="str">
        <f ca="1">IF(COUNTIF(Data!$H$16:$H$100,CONCATENATE(Data_3!$B104,"_",Data_3!H$11))=1,H$11,"")</f>
        <v/>
      </c>
      <c r="I104" s="1424" t="str">
        <f ca="1">IF(COUNTIF(Data!$H$16:$H$100,CONCATENATE(Data_3!$B104,"_",Data_3!I$11))=1,I$11,"")</f>
        <v/>
      </c>
      <c r="J104" s="1424" t="str">
        <f ca="1">IF(COUNTIF(Data!$H$16:$H$100,CONCATENATE(Data_3!$B104,"_",Data_3!J$11))=1,J$11,"")</f>
        <v/>
      </c>
      <c r="K104" s="1424" t="str">
        <f ca="1">IF(COUNTIF(Data!$H$16:$H$100,CONCATENATE(Data_3!$B104,"_",Data_3!K$11))=1,K$11,"")</f>
        <v/>
      </c>
      <c r="L104" s="1424" t="str">
        <f ca="1">IF(COUNTIF(Data!$H$16:$H$100,CONCATENATE(Data_3!$B104,"_",Data_3!L$11))=1,L$11,"")</f>
        <v/>
      </c>
      <c r="M104" s="1424" t="str">
        <f ca="1">IF(COUNTIF(Data!$H$16:$H$100,CONCATENATE(Data_3!$B104,"_",Data_3!M$11))=1,M$11,"")</f>
        <v/>
      </c>
      <c r="N104" s="1424" t="str">
        <f ca="1">IF(COUNTIF(Data!$H$16:$H$100,CONCATENATE(Data_3!$B104,"_",Data_3!N$11))=1,N$11,"")</f>
        <v/>
      </c>
      <c r="O104" s="1424" t="str">
        <f ca="1">IF(COUNTIF(Data!$H$16:$H$100,CONCATENATE(Data_3!$B104,"_",Data_3!O$11))=1,O$11,"")</f>
        <v/>
      </c>
      <c r="P104" s="1424" t="str">
        <f ca="1">IF(COUNTIF(Data!$H$16:$H$100,CONCATENATE(Data_3!$B104,"_",Data_3!P$11))=1,P$11,"")</f>
        <v/>
      </c>
      <c r="Q104" s="1424" t="str">
        <f ca="1">IF(COUNTIF(Data!$H$16:$H$100,CONCATENATE(Data_3!$B104,"_",Data_3!Q$11))=1,Q$11,"")</f>
        <v/>
      </c>
      <c r="R104" s="1424" t="str">
        <f ca="1">IF(COUNTIF(Data!$H$16:$H$100,CONCATENATE(Data_3!$B104,"_",Data_3!R$11))=1,R$11,"")</f>
        <v/>
      </c>
      <c r="S104" s="1424" t="str">
        <f ca="1">IF(COUNTIF(Data!$H$16:$H$100,CONCATENATE(Data_3!$B104,"_",Data_3!S$11))=1,S$11,"")</f>
        <v/>
      </c>
      <c r="T104" s="1424" t="str">
        <f ca="1">IF(COUNTIF(Data!$H$16:$H$100,CONCATENATE(Data_3!$B104,"_",Data_3!T$11))=1,T$11,"")</f>
        <v/>
      </c>
      <c r="U104" s="1424" t="str">
        <f ca="1">IF(COUNTIF(Data!$H$16:$H$100,CONCATENATE(Data_3!$B104,"_",Data_3!U$11))=1,U$11,"")</f>
        <v/>
      </c>
      <c r="V104" s="1424" t="str">
        <f ca="1">IF(COUNTIF(Data!$H$16:$H$100,CONCATENATE(Data_3!$B104,"_",Data_3!V$11))=1,V$11,"")</f>
        <v/>
      </c>
      <c r="W104" s="1424" t="str">
        <f ca="1">IF(COUNTIF(Data!$H$16:$H$100,CONCATENATE(Data_3!$B104,"_",Data_3!W$11))=1,W$11,"")</f>
        <v/>
      </c>
      <c r="X104" s="1424" t="str">
        <f ca="1">IF(COUNTIF(Data!$H$16:$H$100,CONCATENATE(Data_3!$B104,"_",Data_3!X$11))=1,X$11,"")</f>
        <v/>
      </c>
      <c r="Y104" s="1424" t="str">
        <f ca="1">IF(COUNTIF(Data!$H$16:$H$100,CONCATENATE(Data_3!$B104,"_",Data_3!Y$11))=1,Y$11,"")</f>
        <v/>
      </c>
    </row>
    <row r="105" spans="2:25" ht="15" customHeight="1">
      <c r="B105" s="1455" t="str">
        <f t="array" aca="1" ref="B105" ca="1">IFERROR(INDEX(Data!$B$16:$B$96,MATCH(0,COUNTIF($B$12:B104,Data!$B$16:$B$96),0)),"")</f>
        <v/>
      </c>
      <c r="C105" s="1345">
        <v>93</v>
      </c>
      <c r="D105" s="1424" t="s">
        <v>182</v>
      </c>
      <c r="E105" s="1424" t="str">
        <f ca="1">IF(COUNTIF(Data!$H$16:$H$100,CONCATENATE(Data_3!$B105,"_",Data_3!E$11))=1,E$11,"")</f>
        <v/>
      </c>
      <c r="F105" s="1424" t="str">
        <f ca="1">IF(COUNTIF(Data!$H$16:$H$100,CONCATENATE(Data_3!$B105,"_",Data_3!F$11))=1,F$11,"")</f>
        <v/>
      </c>
      <c r="G105" s="1424" t="str">
        <f ca="1">IF(COUNTIF(Data!$H$16:$H$100,CONCATENATE(Data_3!$B105,"_",Data_3!G$11))=1,G$11,"")</f>
        <v/>
      </c>
      <c r="H105" s="1424" t="str">
        <f ca="1">IF(COUNTIF(Data!$H$16:$H$100,CONCATENATE(Data_3!$B105,"_",Data_3!H$11))=1,H$11,"")</f>
        <v/>
      </c>
      <c r="I105" s="1424" t="str">
        <f ca="1">IF(COUNTIF(Data!$H$16:$H$100,CONCATENATE(Data_3!$B105,"_",Data_3!I$11))=1,I$11,"")</f>
        <v/>
      </c>
      <c r="J105" s="1424" t="str">
        <f ca="1">IF(COUNTIF(Data!$H$16:$H$100,CONCATENATE(Data_3!$B105,"_",Data_3!J$11))=1,J$11,"")</f>
        <v/>
      </c>
      <c r="K105" s="1424" t="str">
        <f ca="1">IF(COUNTIF(Data!$H$16:$H$100,CONCATENATE(Data_3!$B105,"_",Data_3!K$11))=1,K$11,"")</f>
        <v/>
      </c>
      <c r="L105" s="1424" t="str">
        <f ca="1">IF(COUNTIF(Data!$H$16:$H$100,CONCATENATE(Data_3!$B105,"_",Data_3!L$11))=1,L$11,"")</f>
        <v/>
      </c>
      <c r="M105" s="1424" t="str">
        <f ca="1">IF(COUNTIF(Data!$H$16:$H$100,CONCATENATE(Data_3!$B105,"_",Data_3!M$11))=1,M$11,"")</f>
        <v/>
      </c>
      <c r="N105" s="1424" t="str">
        <f ca="1">IF(COUNTIF(Data!$H$16:$H$100,CONCATENATE(Data_3!$B105,"_",Data_3!N$11))=1,N$11,"")</f>
        <v/>
      </c>
      <c r="O105" s="1424" t="str">
        <f ca="1">IF(COUNTIF(Data!$H$16:$H$100,CONCATENATE(Data_3!$B105,"_",Data_3!O$11))=1,O$11,"")</f>
        <v/>
      </c>
      <c r="P105" s="1424" t="str">
        <f ca="1">IF(COUNTIF(Data!$H$16:$H$100,CONCATENATE(Data_3!$B105,"_",Data_3!P$11))=1,P$11,"")</f>
        <v/>
      </c>
      <c r="Q105" s="1424" t="str">
        <f ca="1">IF(COUNTIF(Data!$H$16:$H$100,CONCATENATE(Data_3!$B105,"_",Data_3!Q$11))=1,Q$11,"")</f>
        <v/>
      </c>
      <c r="R105" s="1424" t="str">
        <f ca="1">IF(COUNTIF(Data!$H$16:$H$100,CONCATENATE(Data_3!$B105,"_",Data_3!R$11))=1,R$11,"")</f>
        <v/>
      </c>
      <c r="S105" s="1424" t="str">
        <f ca="1">IF(COUNTIF(Data!$H$16:$H$100,CONCATENATE(Data_3!$B105,"_",Data_3!S$11))=1,S$11,"")</f>
        <v/>
      </c>
      <c r="T105" s="1424" t="str">
        <f ca="1">IF(COUNTIF(Data!$H$16:$H$100,CONCATENATE(Data_3!$B105,"_",Data_3!T$11))=1,T$11,"")</f>
        <v/>
      </c>
      <c r="U105" s="1424" t="str">
        <f ca="1">IF(COUNTIF(Data!$H$16:$H$100,CONCATENATE(Data_3!$B105,"_",Data_3!U$11))=1,U$11,"")</f>
        <v/>
      </c>
      <c r="V105" s="1424" t="str">
        <f ca="1">IF(COUNTIF(Data!$H$16:$H$100,CONCATENATE(Data_3!$B105,"_",Data_3!V$11))=1,V$11,"")</f>
        <v/>
      </c>
      <c r="W105" s="1424" t="str">
        <f ca="1">IF(COUNTIF(Data!$H$16:$H$100,CONCATENATE(Data_3!$B105,"_",Data_3!W$11))=1,W$11,"")</f>
        <v/>
      </c>
      <c r="X105" s="1424" t="str">
        <f ca="1">IF(COUNTIF(Data!$H$16:$H$100,CONCATENATE(Data_3!$B105,"_",Data_3!X$11))=1,X$11,"")</f>
        <v/>
      </c>
      <c r="Y105" s="1424" t="str">
        <f ca="1">IF(COUNTIF(Data!$H$16:$H$100,CONCATENATE(Data_3!$B105,"_",Data_3!Y$11))=1,Y$11,"")</f>
        <v/>
      </c>
    </row>
    <row r="106" spans="2:25" ht="15" customHeight="1">
      <c r="B106" s="1455" t="str">
        <f t="array" aca="1" ref="B106" ca="1">IFERROR(INDEX(Data!$B$16:$B$96,MATCH(0,COUNTIF($B$12:B105,Data!$B$16:$B$96),0)),"")</f>
        <v/>
      </c>
      <c r="C106" s="1345">
        <v>94</v>
      </c>
      <c r="D106" s="1424" t="s">
        <v>182</v>
      </c>
      <c r="E106" s="1424" t="str">
        <f ca="1">IF(COUNTIF(Data!$H$16:$H$100,CONCATENATE(Data_3!$B106,"_",Data_3!E$11))=1,E$11,"")</f>
        <v/>
      </c>
      <c r="F106" s="1424" t="str">
        <f ca="1">IF(COUNTIF(Data!$H$16:$H$100,CONCATENATE(Data_3!$B106,"_",Data_3!F$11))=1,F$11,"")</f>
        <v/>
      </c>
      <c r="G106" s="1424" t="str">
        <f ca="1">IF(COUNTIF(Data!$H$16:$H$100,CONCATENATE(Data_3!$B106,"_",Data_3!G$11))=1,G$11,"")</f>
        <v/>
      </c>
      <c r="H106" s="1424" t="str">
        <f ca="1">IF(COUNTIF(Data!$H$16:$H$100,CONCATENATE(Data_3!$B106,"_",Data_3!H$11))=1,H$11,"")</f>
        <v/>
      </c>
      <c r="I106" s="1424" t="str">
        <f ca="1">IF(COUNTIF(Data!$H$16:$H$100,CONCATENATE(Data_3!$B106,"_",Data_3!I$11))=1,I$11,"")</f>
        <v/>
      </c>
      <c r="J106" s="1424" t="str">
        <f ca="1">IF(COUNTIF(Data!$H$16:$H$100,CONCATENATE(Data_3!$B106,"_",Data_3!J$11))=1,J$11,"")</f>
        <v/>
      </c>
      <c r="K106" s="1424" t="str">
        <f ca="1">IF(COUNTIF(Data!$H$16:$H$100,CONCATENATE(Data_3!$B106,"_",Data_3!K$11))=1,K$11,"")</f>
        <v/>
      </c>
      <c r="L106" s="1424" t="str">
        <f ca="1">IF(COUNTIF(Data!$H$16:$H$100,CONCATENATE(Data_3!$B106,"_",Data_3!L$11))=1,L$11,"")</f>
        <v/>
      </c>
      <c r="M106" s="1424" t="str">
        <f ca="1">IF(COUNTIF(Data!$H$16:$H$100,CONCATENATE(Data_3!$B106,"_",Data_3!M$11))=1,M$11,"")</f>
        <v/>
      </c>
      <c r="N106" s="1424" t="str">
        <f ca="1">IF(COUNTIF(Data!$H$16:$H$100,CONCATENATE(Data_3!$B106,"_",Data_3!N$11))=1,N$11,"")</f>
        <v/>
      </c>
      <c r="O106" s="1424" t="str">
        <f ca="1">IF(COUNTIF(Data!$H$16:$H$100,CONCATENATE(Data_3!$B106,"_",Data_3!O$11))=1,O$11,"")</f>
        <v/>
      </c>
      <c r="P106" s="1424" t="str">
        <f ca="1">IF(COUNTIF(Data!$H$16:$H$100,CONCATENATE(Data_3!$B106,"_",Data_3!P$11))=1,P$11,"")</f>
        <v/>
      </c>
      <c r="Q106" s="1424" t="str">
        <f ca="1">IF(COUNTIF(Data!$H$16:$H$100,CONCATENATE(Data_3!$B106,"_",Data_3!Q$11))=1,Q$11,"")</f>
        <v/>
      </c>
      <c r="R106" s="1424" t="str">
        <f ca="1">IF(COUNTIF(Data!$H$16:$H$100,CONCATENATE(Data_3!$B106,"_",Data_3!R$11))=1,R$11,"")</f>
        <v/>
      </c>
      <c r="S106" s="1424" t="str">
        <f ca="1">IF(COUNTIF(Data!$H$16:$H$100,CONCATENATE(Data_3!$B106,"_",Data_3!S$11))=1,S$11,"")</f>
        <v/>
      </c>
      <c r="T106" s="1424" t="str">
        <f ca="1">IF(COUNTIF(Data!$H$16:$H$100,CONCATENATE(Data_3!$B106,"_",Data_3!T$11))=1,T$11,"")</f>
        <v/>
      </c>
      <c r="U106" s="1424" t="str">
        <f ca="1">IF(COUNTIF(Data!$H$16:$H$100,CONCATENATE(Data_3!$B106,"_",Data_3!U$11))=1,U$11,"")</f>
        <v/>
      </c>
      <c r="V106" s="1424" t="str">
        <f ca="1">IF(COUNTIF(Data!$H$16:$H$100,CONCATENATE(Data_3!$B106,"_",Data_3!V$11))=1,V$11,"")</f>
        <v/>
      </c>
      <c r="W106" s="1424" t="str">
        <f ca="1">IF(COUNTIF(Data!$H$16:$H$100,CONCATENATE(Data_3!$B106,"_",Data_3!W$11))=1,W$11,"")</f>
        <v/>
      </c>
      <c r="X106" s="1424" t="str">
        <f ca="1">IF(COUNTIF(Data!$H$16:$H$100,CONCATENATE(Data_3!$B106,"_",Data_3!X$11))=1,X$11,"")</f>
        <v/>
      </c>
      <c r="Y106" s="1424" t="str">
        <f ca="1">IF(COUNTIF(Data!$H$16:$H$100,CONCATENATE(Data_3!$B106,"_",Data_3!Y$11))=1,Y$11,"")</f>
        <v/>
      </c>
    </row>
    <row r="107" spans="2:25" ht="15" customHeight="1">
      <c r="B107" s="1455" t="str">
        <f t="array" aca="1" ref="B107" ca="1">IFERROR(INDEX(Data!$B$16:$B$96,MATCH(0,COUNTIF($B$12:B106,Data!$B$16:$B$96),0)),"")</f>
        <v/>
      </c>
      <c r="C107" s="1345">
        <v>95</v>
      </c>
      <c r="D107" s="1424" t="s">
        <v>182</v>
      </c>
      <c r="E107" s="1424" t="str">
        <f ca="1">IF(COUNTIF(Data!$H$16:$H$100,CONCATENATE(Data_3!$B107,"_",Data_3!E$11))=1,E$11,"")</f>
        <v/>
      </c>
      <c r="F107" s="1424" t="str">
        <f ca="1">IF(COUNTIF(Data!$H$16:$H$100,CONCATENATE(Data_3!$B107,"_",Data_3!F$11))=1,F$11,"")</f>
        <v/>
      </c>
      <c r="G107" s="1424" t="str">
        <f ca="1">IF(COUNTIF(Data!$H$16:$H$100,CONCATENATE(Data_3!$B107,"_",Data_3!G$11))=1,G$11,"")</f>
        <v/>
      </c>
      <c r="H107" s="1424" t="str">
        <f ca="1">IF(COUNTIF(Data!$H$16:$H$100,CONCATENATE(Data_3!$B107,"_",Data_3!H$11))=1,H$11,"")</f>
        <v/>
      </c>
      <c r="I107" s="1424" t="str">
        <f ca="1">IF(COUNTIF(Data!$H$16:$H$100,CONCATENATE(Data_3!$B107,"_",Data_3!I$11))=1,I$11,"")</f>
        <v/>
      </c>
      <c r="J107" s="1424" t="str">
        <f ca="1">IF(COUNTIF(Data!$H$16:$H$100,CONCATENATE(Data_3!$B107,"_",Data_3!J$11))=1,J$11,"")</f>
        <v/>
      </c>
      <c r="K107" s="1424" t="str">
        <f ca="1">IF(COUNTIF(Data!$H$16:$H$100,CONCATENATE(Data_3!$B107,"_",Data_3!K$11))=1,K$11,"")</f>
        <v/>
      </c>
      <c r="L107" s="1424" t="str">
        <f ca="1">IF(COUNTIF(Data!$H$16:$H$100,CONCATENATE(Data_3!$B107,"_",Data_3!L$11))=1,L$11,"")</f>
        <v/>
      </c>
      <c r="M107" s="1424" t="str">
        <f ca="1">IF(COUNTIF(Data!$H$16:$H$100,CONCATENATE(Data_3!$B107,"_",Data_3!M$11))=1,M$11,"")</f>
        <v/>
      </c>
      <c r="N107" s="1424" t="str">
        <f ca="1">IF(COUNTIF(Data!$H$16:$H$100,CONCATENATE(Data_3!$B107,"_",Data_3!N$11))=1,N$11,"")</f>
        <v/>
      </c>
      <c r="O107" s="1424" t="str">
        <f ca="1">IF(COUNTIF(Data!$H$16:$H$100,CONCATENATE(Data_3!$B107,"_",Data_3!O$11))=1,O$11,"")</f>
        <v/>
      </c>
      <c r="P107" s="1424" t="str">
        <f ca="1">IF(COUNTIF(Data!$H$16:$H$100,CONCATENATE(Data_3!$B107,"_",Data_3!P$11))=1,P$11,"")</f>
        <v/>
      </c>
      <c r="Q107" s="1424" t="str">
        <f ca="1">IF(COUNTIF(Data!$H$16:$H$100,CONCATENATE(Data_3!$B107,"_",Data_3!Q$11))=1,Q$11,"")</f>
        <v/>
      </c>
      <c r="R107" s="1424" t="str">
        <f ca="1">IF(COUNTIF(Data!$H$16:$H$100,CONCATENATE(Data_3!$B107,"_",Data_3!R$11))=1,R$11,"")</f>
        <v/>
      </c>
      <c r="S107" s="1424" t="str">
        <f ca="1">IF(COUNTIF(Data!$H$16:$H$100,CONCATENATE(Data_3!$B107,"_",Data_3!S$11))=1,S$11,"")</f>
        <v/>
      </c>
      <c r="T107" s="1424" t="str">
        <f ca="1">IF(COUNTIF(Data!$H$16:$H$100,CONCATENATE(Data_3!$B107,"_",Data_3!T$11))=1,T$11,"")</f>
        <v/>
      </c>
      <c r="U107" s="1424" t="str">
        <f ca="1">IF(COUNTIF(Data!$H$16:$H$100,CONCATENATE(Data_3!$B107,"_",Data_3!U$11))=1,U$11,"")</f>
        <v/>
      </c>
      <c r="V107" s="1424" t="str">
        <f ca="1">IF(COUNTIF(Data!$H$16:$H$100,CONCATENATE(Data_3!$B107,"_",Data_3!V$11))=1,V$11,"")</f>
        <v/>
      </c>
      <c r="W107" s="1424" t="str">
        <f ca="1">IF(COUNTIF(Data!$H$16:$H$100,CONCATENATE(Data_3!$B107,"_",Data_3!W$11))=1,W$11,"")</f>
        <v/>
      </c>
      <c r="X107" s="1424" t="str">
        <f ca="1">IF(COUNTIF(Data!$H$16:$H$100,CONCATENATE(Data_3!$B107,"_",Data_3!X$11))=1,X$11,"")</f>
        <v/>
      </c>
      <c r="Y107" s="1424" t="str">
        <f ca="1">IF(COUNTIF(Data!$H$16:$H$100,CONCATENATE(Data_3!$B107,"_",Data_3!Y$11))=1,Y$11,"")</f>
        <v/>
      </c>
    </row>
    <row r="108" spans="2:25" ht="15" customHeight="1">
      <c r="B108" s="1455" t="str">
        <f t="array" aca="1" ref="B108" ca="1">IFERROR(INDEX(Data!$B$16:$B$96,MATCH(0,COUNTIF($B$12:B107,Data!$B$16:$B$96),0)),"")</f>
        <v/>
      </c>
      <c r="C108" s="1345">
        <v>96</v>
      </c>
      <c r="D108" s="1424" t="s">
        <v>182</v>
      </c>
      <c r="E108" s="1424" t="str">
        <f ca="1">IF(COUNTIF(Data!$H$16:$H$100,CONCATENATE(Data_3!$B108,"_",Data_3!E$11))=1,E$11,"")</f>
        <v/>
      </c>
      <c r="F108" s="1424" t="str">
        <f ca="1">IF(COUNTIF(Data!$H$16:$H$100,CONCATENATE(Data_3!$B108,"_",Data_3!F$11))=1,F$11,"")</f>
        <v/>
      </c>
      <c r="G108" s="1424" t="str">
        <f ca="1">IF(COUNTIF(Data!$H$16:$H$100,CONCATENATE(Data_3!$B108,"_",Data_3!G$11))=1,G$11,"")</f>
        <v/>
      </c>
      <c r="H108" s="1424" t="str">
        <f ca="1">IF(COUNTIF(Data!$H$16:$H$100,CONCATENATE(Data_3!$B108,"_",Data_3!H$11))=1,H$11,"")</f>
        <v/>
      </c>
      <c r="I108" s="1424" t="str">
        <f ca="1">IF(COUNTIF(Data!$H$16:$H$100,CONCATENATE(Data_3!$B108,"_",Data_3!I$11))=1,I$11,"")</f>
        <v/>
      </c>
      <c r="J108" s="1424" t="str">
        <f ca="1">IF(COUNTIF(Data!$H$16:$H$100,CONCATENATE(Data_3!$B108,"_",Data_3!J$11))=1,J$11,"")</f>
        <v/>
      </c>
      <c r="K108" s="1424" t="str">
        <f ca="1">IF(COUNTIF(Data!$H$16:$H$100,CONCATENATE(Data_3!$B108,"_",Data_3!K$11))=1,K$11,"")</f>
        <v/>
      </c>
      <c r="L108" s="1424" t="str">
        <f ca="1">IF(COUNTIF(Data!$H$16:$H$100,CONCATENATE(Data_3!$B108,"_",Data_3!L$11))=1,L$11,"")</f>
        <v/>
      </c>
      <c r="M108" s="1424" t="str">
        <f ca="1">IF(COUNTIF(Data!$H$16:$H$100,CONCATENATE(Data_3!$B108,"_",Data_3!M$11))=1,M$11,"")</f>
        <v/>
      </c>
      <c r="N108" s="1424" t="str">
        <f ca="1">IF(COUNTIF(Data!$H$16:$H$100,CONCATENATE(Data_3!$B108,"_",Data_3!N$11))=1,N$11,"")</f>
        <v/>
      </c>
      <c r="O108" s="1424" t="str">
        <f ca="1">IF(COUNTIF(Data!$H$16:$H$100,CONCATENATE(Data_3!$B108,"_",Data_3!O$11))=1,O$11,"")</f>
        <v/>
      </c>
      <c r="P108" s="1424" t="str">
        <f ca="1">IF(COUNTIF(Data!$H$16:$H$100,CONCATENATE(Data_3!$B108,"_",Data_3!P$11))=1,P$11,"")</f>
        <v/>
      </c>
      <c r="Q108" s="1424" t="str">
        <f ca="1">IF(COUNTIF(Data!$H$16:$H$100,CONCATENATE(Data_3!$B108,"_",Data_3!Q$11))=1,Q$11,"")</f>
        <v/>
      </c>
      <c r="R108" s="1424" t="str">
        <f ca="1">IF(COUNTIF(Data!$H$16:$H$100,CONCATENATE(Data_3!$B108,"_",Data_3!R$11))=1,R$11,"")</f>
        <v/>
      </c>
      <c r="S108" s="1424" t="str">
        <f ca="1">IF(COUNTIF(Data!$H$16:$H$100,CONCATENATE(Data_3!$B108,"_",Data_3!S$11))=1,S$11,"")</f>
        <v/>
      </c>
      <c r="T108" s="1424" t="str">
        <f ca="1">IF(COUNTIF(Data!$H$16:$H$100,CONCATENATE(Data_3!$B108,"_",Data_3!T$11))=1,T$11,"")</f>
        <v/>
      </c>
      <c r="U108" s="1424" t="str">
        <f ca="1">IF(COUNTIF(Data!$H$16:$H$100,CONCATENATE(Data_3!$B108,"_",Data_3!U$11))=1,U$11,"")</f>
        <v/>
      </c>
      <c r="V108" s="1424" t="str">
        <f ca="1">IF(COUNTIF(Data!$H$16:$H$100,CONCATENATE(Data_3!$B108,"_",Data_3!V$11))=1,V$11,"")</f>
        <v/>
      </c>
      <c r="W108" s="1424" t="str">
        <f ca="1">IF(COUNTIF(Data!$H$16:$H$100,CONCATENATE(Data_3!$B108,"_",Data_3!W$11))=1,W$11,"")</f>
        <v/>
      </c>
      <c r="X108" s="1424" t="str">
        <f ca="1">IF(COUNTIF(Data!$H$16:$H$100,CONCATENATE(Data_3!$B108,"_",Data_3!X$11))=1,X$11,"")</f>
        <v/>
      </c>
      <c r="Y108" s="1424" t="str">
        <f ca="1">IF(COUNTIF(Data!$H$16:$H$100,CONCATENATE(Data_3!$B108,"_",Data_3!Y$11))=1,Y$11,"")</f>
        <v/>
      </c>
    </row>
    <row r="109" spans="2:25" ht="15" customHeight="1">
      <c r="B109" s="1455" t="str">
        <f t="array" aca="1" ref="B109" ca="1">IFERROR(INDEX(Data!$B$16:$B$96,MATCH(0,COUNTIF($B$12:B108,Data!$B$16:$B$96),0)),"")</f>
        <v/>
      </c>
      <c r="C109" s="1345">
        <v>97</v>
      </c>
      <c r="D109" s="1424" t="s">
        <v>182</v>
      </c>
      <c r="E109" s="1424" t="str">
        <f ca="1">IF(COUNTIF(Data!$H$16:$H$100,CONCATENATE(Data_3!$B109,"_",Data_3!E$11))=1,E$11,"")</f>
        <v/>
      </c>
      <c r="F109" s="1424" t="str">
        <f ca="1">IF(COUNTIF(Data!$H$16:$H$100,CONCATENATE(Data_3!$B109,"_",Data_3!F$11))=1,F$11,"")</f>
        <v/>
      </c>
      <c r="G109" s="1424" t="str">
        <f ca="1">IF(COUNTIF(Data!$H$16:$H$100,CONCATENATE(Data_3!$B109,"_",Data_3!G$11))=1,G$11,"")</f>
        <v/>
      </c>
      <c r="H109" s="1424" t="str">
        <f ca="1">IF(COUNTIF(Data!$H$16:$H$100,CONCATENATE(Data_3!$B109,"_",Data_3!H$11))=1,H$11,"")</f>
        <v/>
      </c>
      <c r="I109" s="1424" t="str">
        <f ca="1">IF(COUNTIF(Data!$H$16:$H$100,CONCATENATE(Data_3!$B109,"_",Data_3!I$11))=1,I$11,"")</f>
        <v/>
      </c>
      <c r="J109" s="1424" t="str">
        <f ca="1">IF(COUNTIF(Data!$H$16:$H$100,CONCATENATE(Data_3!$B109,"_",Data_3!J$11))=1,J$11,"")</f>
        <v/>
      </c>
      <c r="K109" s="1424" t="str">
        <f ca="1">IF(COUNTIF(Data!$H$16:$H$100,CONCATENATE(Data_3!$B109,"_",Data_3!K$11))=1,K$11,"")</f>
        <v/>
      </c>
      <c r="L109" s="1424" t="str">
        <f ca="1">IF(COUNTIF(Data!$H$16:$H$100,CONCATENATE(Data_3!$B109,"_",Data_3!L$11))=1,L$11,"")</f>
        <v/>
      </c>
      <c r="M109" s="1424" t="str">
        <f ca="1">IF(COUNTIF(Data!$H$16:$H$100,CONCATENATE(Data_3!$B109,"_",Data_3!M$11))=1,M$11,"")</f>
        <v/>
      </c>
      <c r="N109" s="1424" t="str">
        <f ca="1">IF(COUNTIF(Data!$H$16:$H$100,CONCATENATE(Data_3!$B109,"_",Data_3!N$11))=1,N$11,"")</f>
        <v/>
      </c>
      <c r="O109" s="1424" t="str">
        <f ca="1">IF(COUNTIF(Data!$H$16:$H$100,CONCATENATE(Data_3!$B109,"_",Data_3!O$11))=1,O$11,"")</f>
        <v/>
      </c>
      <c r="P109" s="1424" t="str">
        <f ca="1">IF(COUNTIF(Data!$H$16:$H$100,CONCATENATE(Data_3!$B109,"_",Data_3!P$11))=1,P$11,"")</f>
        <v/>
      </c>
      <c r="Q109" s="1424" t="str">
        <f ca="1">IF(COUNTIF(Data!$H$16:$H$100,CONCATENATE(Data_3!$B109,"_",Data_3!Q$11))=1,Q$11,"")</f>
        <v/>
      </c>
      <c r="R109" s="1424" t="str">
        <f ca="1">IF(COUNTIF(Data!$H$16:$H$100,CONCATENATE(Data_3!$B109,"_",Data_3!R$11))=1,R$11,"")</f>
        <v/>
      </c>
      <c r="S109" s="1424" t="str">
        <f ca="1">IF(COUNTIF(Data!$H$16:$H$100,CONCATENATE(Data_3!$B109,"_",Data_3!S$11))=1,S$11,"")</f>
        <v/>
      </c>
      <c r="T109" s="1424" t="str">
        <f ca="1">IF(COUNTIF(Data!$H$16:$H$100,CONCATENATE(Data_3!$B109,"_",Data_3!T$11))=1,T$11,"")</f>
        <v/>
      </c>
      <c r="U109" s="1424" t="str">
        <f ca="1">IF(COUNTIF(Data!$H$16:$H$100,CONCATENATE(Data_3!$B109,"_",Data_3!U$11))=1,U$11,"")</f>
        <v/>
      </c>
      <c r="V109" s="1424" t="str">
        <f ca="1">IF(COUNTIF(Data!$H$16:$H$100,CONCATENATE(Data_3!$B109,"_",Data_3!V$11))=1,V$11,"")</f>
        <v/>
      </c>
      <c r="W109" s="1424" t="str">
        <f ca="1">IF(COUNTIF(Data!$H$16:$H$100,CONCATENATE(Data_3!$B109,"_",Data_3!W$11))=1,W$11,"")</f>
        <v/>
      </c>
      <c r="X109" s="1424" t="str">
        <f ca="1">IF(COUNTIF(Data!$H$16:$H$100,CONCATENATE(Data_3!$B109,"_",Data_3!X$11))=1,X$11,"")</f>
        <v/>
      </c>
      <c r="Y109" s="1424" t="str">
        <f ca="1">IF(COUNTIF(Data!$H$16:$H$100,CONCATENATE(Data_3!$B109,"_",Data_3!Y$11))=1,Y$11,"")</f>
        <v/>
      </c>
    </row>
    <row r="110" spans="2:25" ht="15" customHeight="1">
      <c r="B110" s="1455" t="str">
        <f t="array" aca="1" ref="B110" ca="1">IFERROR(INDEX(Data!$B$16:$B$96,MATCH(0,COUNTIF($B$12:B109,Data!$B$16:$B$96),0)),"")</f>
        <v/>
      </c>
      <c r="C110" s="1345">
        <v>98</v>
      </c>
      <c r="D110" s="1424" t="s">
        <v>182</v>
      </c>
      <c r="E110" s="1424" t="str">
        <f ca="1">IF(COUNTIF(Data!$H$16:$H$100,CONCATENATE(Data_3!$B110,"_",Data_3!E$11))=1,E$11,"")</f>
        <v/>
      </c>
      <c r="F110" s="1424" t="str">
        <f ca="1">IF(COUNTIF(Data!$H$16:$H$100,CONCATENATE(Data_3!$B110,"_",Data_3!F$11))=1,F$11,"")</f>
        <v/>
      </c>
      <c r="G110" s="1424" t="str">
        <f ca="1">IF(COUNTIF(Data!$H$16:$H$100,CONCATENATE(Data_3!$B110,"_",Data_3!G$11))=1,G$11,"")</f>
        <v/>
      </c>
      <c r="H110" s="1424" t="str">
        <f ca="1">IF(COUNTIF(Data!$H$16:$H$100,CONCATENATE(Data_3!$B110,"_",Data_3!H$11))=1,H$11,"")</f>
        <v/>
      </c>
      <c r="I110" s="1424" t="str">
        <f ca="1">IF(COUNTIF(Data!$H$16:$H$100,CONCATENATE(Data_3!$B110,"_",Data_3!I$11))=1,I$11,"")</f>
        <v/>
      </c>
      <c r="J110" s="1424" t="str">
        <f ca="1">IF(COUNTIF(Data!$H$16:$H$100,CONCATENATE(Data_3!$B110,"_",Data_3!J$11))=1,J$11,"")</f>
        <v/>
      </c>
      <c r="K110" s="1424" t="str">
        <f ca="1">IF(COUNTIF(Data!$H$16:$H$100,CONCATENATE(Data_3!$B110,"_",Data_3!K$11))=1,K$11,"")</f>
        <v/>
      </c>
      <c r="L110" s="1424" t="str">
        <f ca="1">IF(COUNTIF(Data!$H$16:$H$100,CONCATENATE(Data_3!$B110,"_",Data_3!L$11))=1,L$11,"")</f>
        <v/>
      </c>
      <c r="M110" s="1424" t="str">
        <f ca="1">IF(COUNTIF(Data!$H$16:$H$100,CONCATENATE(Data_3!$B110,"_",Data_3!M$11))=1,M$11,"")</f>
        <v/>
      </c>
      <c r="N110" s="1424" t="str">
        <f ca="1">IF(COUNTIF(Data!$H$16:$H$100,CONCATENATE(Data_3!$B110,"_",Data_3!N$11))=1,N$11,"")</f>
        <v/>
      </c>
      <c r="O110" s="1424" t="str">
        <f ca="1">IF(COUNTIF(Data!$H$16:$H$100,CONCATENATE(Data_3!$B110,"_",Data_3!O$11))=1,O$11,"")</f>
        <v/>
      </c>
      <c r="P110" s="1424" t="str">
        <f ca="1">IF(COUNTIF(Data!$H$16:$H$100,CONCATENATE(Data_3!$B110,"_",Data_3!P$11))=1,P$11,"")</f>
        <v/>
      </c>
      <c r="Q110" s="1424" t="str">
        <f ca="1">IF(COUNTIF(Data!$H$16:$H$100,CONCATENATE(Data_3!$B110,"_",Data_3!Q$11))=1,Q$11,"")</f>
        <v/>
      </c>
      <c r="R110" s="1424" t="str">
        <f ca="1">IF(COUNTIF(Data!$H$16:$H$100,CONCATENATE(Data_3!$B110,"_",Data_3!R$11))=1,R$11,"")</f>
        <v/>
      </c>
      <c r="S110" s="1424" t="str">
        <f ca="1">IF(COUNTIF(Data!$H$16:$H$100,CONCATENATE(Data_3!$B110,"_",Data_3!S$11))=1,S$11,"")</f>
        <v/>
      </c>
      <c r="T110" s="1424" t="str">
        <f ca="1">IF(COUNTIF(Data!$H$16:$H$100,CONCATENATE(Data_3!$B110,"_",Data_3!T$11))=1,T$11,"")</f>
        <v/>
      </c>
      <c r="U110" s="1424" t="str">
        <f ca="1">IF(COUNTIF(Data!$H$16:$H$100,CONCATENATE(Data_3!$B110,"_",Data_3!U$11))=1,U$11,"")</f>
        <v/>
      </c>
      <c r="V110" s="1424" t="str">
        <f ca="1">IF(COUNTIF(Data!$H$16:$H$100,CONCATENATE(Data_3!$B110,"_",Data_3!V$11))=1,V$11,"")</f>
        <v/>
      </c>
      <c r="W110" s="1424" t="str">
        <f ca="1">IF(COUNTIF(Data!$H$16:$H$100,CONCATENATE(Data_3!$B110,"_",Data_3!W$11))=1,W$11,"")</f>
        <v/>
      </c>
      <c r="X110" s="1424" t="str">
        <f ca="1">IF(COUNTIF(Data!$H$16:$H$100,CONCATENATE(Data_3!$B110,"_",Data_3!X$11))=1,X$11,"")</f>
        <v/>
      </c>
      <c r="Y110" s="1424" t="str">
        <f ca="1">IF(COUNTIF(Data!$H$16:$H$100,CONCATENATE(Data_3!$B110,"_",Data_3!Y$11))=1,Y$11,"")</f>
        <v/>
      </c>
    </row>
    <row r="111" spans="2:25" ht="15" customHeight="1">
      <c r="B111" s="1455" t="str">
        <f t="array" aca="1" ref="B111" ca="1">IFERROR(INDEX(Data!$B$16:$B$96,MATCH(0,COUNTIF($B$12:B110,Data!$B$16:$B$96),0)),"")</f>
        <v/>
      </c>
      <c r="C111" s="1345">
        <v>99</v>
      </c>
      <c r="D111" s="1424" t="s">
        <v>182</v>
      </c>
      <c r="E111" s="1424" t="str">
        <f ca="1">IF(COUNTIF(Data!$H$16:$H$100,CONCATENATE(Data_3!$B111,"_",Data_3!E$11))=1,E$11,"")</f>
        <v/>
      </c>
      <c r="F111" s="1424" t="str">
        <f ca="1">IF(COUNTIF(Data!$H$16:$H$100,CONCATENATE(Data_3!$B111,"_",Data_3!F$11))=1,F$11,"")</f>
        <v/>
      </c>
      <c r="G111" s="1424" t="str">
        <f ca="1">IF(COUNTIF(Data!$H$16:$H$100,CONCATENATE(Data_3!$B111,"_",Data_3!G$11))=1,G$11,"")</f>
        <v/>
      </c>
      <c r="H111" s="1424" t="str">
        <f ca="1">IF(COUNTIF(Data!$H$16:$H$100,CONCATENATE(Data_3!$B111,"_",Data_3!H$11))=1,H$11,"")</f>
        <v/>
      </c>
      <c r="I111" s="1424" t="str">
        <f ca="1">IF(COUNTIF(Data!$H$16:$H$100,CONCATENATE(Data_3!$B111,"_",Data_3!I$11))=1,I$11,"")</f>
        <v/>
      </c>
      <c r="J111" s="1424" t="str">
        <f ca="1">IF(COUNTIF(Data!$H$16:$H$100,CONCATENATE(Data_3!$B111,"_",Data_3!J$11))=1,J$11,"")</f>
        <v/>
      </c>
      <c r="K111" s="1424" t="str">
        <f ca="1">IF(COUNTIF(Data!$H$16:$H$100,CONCATENATE(Data_3!$B111,"_",Data_3!K$11))=1,K$11,"")</f>
        <v/>
      </c>
      <c r="L111" s="1424" t="str">
        <f ca="1">IF(COUNTIF(Data!$H$16:$H$100,CONCATENATE(Data_3!$B111,"_",Data_3!L$11))=1,L$11,"")</f>
        <v/>
      </c>
      <c r="M111" s="1424" t="str">
        <f ca="1">IF(COUNTIF(Data!$H$16:$H$100,CONCATENATE(Data_3!$B111,"_",Data_3!M$11))=1,M$11,"")</f>
        <v/>
      </c>
      <c r="N111" s="1424" t="str">
        <f ca="1">IF(COUNTIF(Data!$H$16:$H$100,CONCATENATE(Data_3!$B111,"_",Data_3!N$11))=1,N$11,"")</f>
        <v/>
      </c>
      <c r="O111" s="1424" t="str">
        <f ca="1">IF(COUNTIF(Data!$H$16:$H$100,CONCATENATE(Data_3!$B111,"_",Data_3!O$11))=1,O$11,"")</f>
        <v/>
      </c>
      <c r="P111" s="1424" t="str">
        <f ca="1">IF(COUNTIF(Data!$H$16:$H$100,CONCATENATE(Data_3!$B111,"_",Data_3!P$11))=1,P$11,"")</f>
        <v/>
      </c>
      <c r="Q111" s="1424" t="str">
        <f ca="1">IF(COUNTIF(Data!$H$16:$H$100,CONCATENATE(Data_3!$B111,"_",Data_3!Q$11))=1,Q$11,"")</f>
        <v/>
      </c>
      <c r="R111" s="1424" t="str">
        <f ca="1">IF(COUNTIF(Data!$H$16:$H$100,CONCATENATE(Data_3!$B111,"_",Data_3!R$11))=1,R$11,"")</f>
        <v/>
      </c>
      <c r="S111" s="1424" t="str">
        <f ca="1">IF(COUNTIF(Data!$H$16:$H$100,CONCATENATE(Data_3!$B111,"_",Data_3!S$11))=1,S$11,"")</f>
        <v/>
      </c>
      <c r="T111" s="1424" t="str">
        <f ca="1">IF(COUNTIF(Data!$H$16:$H$100,CONCATENATE(Data_3!$B111,"_",Data_3!T$11))=1,T$11,"")</f>
        <v/>
      </c>
      <c r="U111" s="1424" t="str">
        <f ca="1">IF(COUNTIF(Data!$H$16:$H$100,CONCATENATE(Data_3!$B111,"_",Data_3!U$11))=1,U$11,"")</f>
        <v/>
      </c>
      <c r="V111" s="1424" t="str">
        <f ca="1">IF(COUNTIF(Data!$H$16:$H$100,CONCATENATE(Data_3!$B111,"_",Data_3!V$11))=1,V$11,"")</f>
        <v/>
      </c>
      <c r="W111" s="1424" t="str">
        <f ca="1">IF(COUNTIF(Data!$H$16:$H$100,CONCATENATE(Data_3!$B111,"_",Data_3!W$11))=1,W$11,"")</f>
        <v/>
      </c>
      <c r="X111" s="1424" t="str">
        <f ca="1">IF(COUNTIF(Data!$H$16:$H$100,CONCATENATE(Data_3!$B111,"_",Data_3!X$11))=1,X$11,"")</f>
        <v/>
      </c>
      <c r="Y111" s="1424" t="str">
        <f ca="1">IF(COUNTIF(Data!$H$16:$H$100,CONCATENATE(Data_3!$B111,"_",Data_3!Y$11))=1,Y$11,"")</f>
        <v/>
      </c>
    </row>
    <row r="112" spans="2:25" ht="15" customHeight="1">
      <c r="B112" s="1455" t="str">
        <f t="array" aca="1" ref="B112" ca="1">IFERROR(INDEX(Data!$B$16:$B$96,MATCH(0,COUNTIF($B$12:B111,Data!$B$16:$B$96),0)),"")</f>
        <v/>
      </c>
      <c r="C112" s="1345">
        <v>100</v>
      </c>
      <c r="D112" s="1424" t="s">
        <v>182</v>
      </c>
      <c r="E112" s="1424" t="str">
        <f ca="1">IF(COUNTIF(Data!$H$16:$H$100,CONCATENATE(Data_3!$B112,"_",Data_3!E$11))=1,E$11,"")</f>
        <v/>
      </c>
      <c r="F112" s="1424" t="str">
        <f ca="1">IF(COUNTIF(Data!$H$16:$H$100,CONCATENATE(Data_3!$B112,"_",Data_3!F$11))=1,F$11,"")</f>
        <v/>
      </c>
      <c r="G112" s="1424" t="str">
        <f ca="1">IF(COUNTIF(Data!$H$16:$H$100,CONCATENATE(Data_3!$B112,"_",Data_3!G$11))=1,G$11,"")</f>
        <v/>
      </c>
      <c r="H112" s="1424" t="str">
        <f ca="1">IF(COUNTIF(Data!$H$16:$H$100,CONCATENATE(Data_3!$B112,"_",Data_3!H$11))=1,H$11,"")</f>
        <v/>
      </c>
      <c r="I112" s="1424" t="str">
        <f ca="1">IF(COUNTIF(Data!$H$16:$H$100,CONCATENATE(Data_3!$B112,"_",Data_3!I$11))=1,I$11,"")</f>
        <v/>
      </c>
      <c r="J112" s="1424" t="str">
        <f ca="1">IF(COUNTIF(Data!$H$16:$H$100,CONCATENATE(Data_3!$B112,"_",Data_3!J$11))=1,J$11,"")</f>
        <v/>
      </c>
      <c r="K112" s="1424" t="str">
        <f ca="1">IF(COUNTIF(Data!$H$16:$H$100,CONCATENATE(Data_3!$B112,"_",Data_3!K$11))=1,K$11,"")</f>
        <v/>
      </c>
      <c r="L112" s="1424" t="str">
        <f ca="1">IF(COUNTIF(Data!$H$16:$H$100,CONCATENATE(Data_3!$B112,"_",Data_3!L$11))=1,L$11,"")</f>
        <v/>
      </c>
      <c r="M112" s="1424" t="str">
        <f ca="1">IF(COUNTIF(Data!$H$16:$H$100,CONCATENATE(Data_3!$B112,"_",Data_3!M$11))=1,M$11,"")</f>
        <v/>
      </c>
      <c r="N112" s="1424" t="str">
        <f ca="1">IF(COUNTIF(Data!$H$16:$H$100,CONCATENATE(Data_3!$B112,"_",Data_3!N$11))=1,N$11,"")</f>
        <v/>
      </c>
      <c r="O112" s="1424" t="str">
        <f ca="1">IF(COUNTIF(Data!$H$16:$H$100,CONCATENATE(Data_3!$B112,"_",Data_3!O$11))=1,O$11,"")</f>
        <v/>
      </c>
      <c r="P112" s="1424" t="str">
        <f ca="1">IF(COUNTIF(Data!$H$16:$H$100,CONCATENATE(Data_3!$B112,"_",Data_3!P$11))=1,P$11,"")</f>
        <v/>
      </c>
      <c r="Q112" s="1424" t="str">
        <f ca="1">IF(COUNTIF(Data!$H$16:$H$100,CONCATENATE(Data_3!$B112,"_",Data_3!Q$11))=1,Q$11,"")</f>
        <v/>
      </c>
      <c r="R112" s="1424" t="str">
        <f ca="1">IF(COUNTIF(Data!$H$16:$H$100,CONCATENATE(Data_3!$B112,"_",Data_3!R$11))=1,R$11,"")</f>
        <v/>
      </c>
      <c r="S112" s="1424" t="str">
        <f ca="1">IF(COUNTIF(Data!$H$16:$H$100,CONCATENATE(Data_3!$B112,"_",Data_3!S$11))=1,S$11,"")</f>
        <v/>
      </c>
      <c r="T112" s="1424" t="str">
        <f ca="1">IF(COUNTIF(Data!$H$16:$H$100,CONCATENATE(Data_3!$B112,"_",Data_3!T$11))=1,T$11,"")</f>
        <v/>
      </c>
      <c r="U112" s="1424" t="str">
        <f ca="1">IF(COUNTIF(Data!$H$16:$H$100,CONCATENATE(Data_3!$B112,"_",Data_3!U$11))=1,U$11,"")</f>
        <v/>
      </c>
      <c r="V112" s="1424" t="str">
        <f ca="1">IF(COUNTIF(Data!$H$16:$H$100,CONCATENATE(Data_3!$B112,"_",Data_3!V$11))=1,V$11,"")</f>
        <v/>
      </c>
      <c r="W112" s="1424" t="str">
        <f ca="1">IF(COUNTIF(Data!$H$16:$H$100,CONCATENATE(Data_3!$B112,"_",Data_3!W$11))=1,W$11,"")</f>
        <v/>
      </c>
      <c r="X112" s="1424" t="str">
        <f ca="1">IF(COUNTIF(Data!$H$16:$H$100,CONCATENATE(Data_3!$B112,"_",Data_3!X$11))=1,X$11,"")</f>
        <v/>
      </c>
      <c r="Y112" s="1424" t="str">
        <f ca="1">IF(COUNTIF(Data!$H$16:$H$100,CONCATENATE(Data_3!$B112,"_",Data_3!Y$11))=1,Y$11,"")</f>
        <v/>
      </c>
    </row>
  </sheetData>
  <sheetProtection password="892F" sheet="1" objects="1" scenarios="1" selectLockedCells="1" selectUnlockedCells="1"/>
  <mergeCells count="22">
    <mergeCell ref="Z3:AA3"/>
    <mergeCell ref="B2:B3"/>
    <mergeCell ref="C2:C3"/>
    <mergeCell ref="B10:C11"/>
    <mergeCell ref="D10:Y10"/>
    <mergeCell ref="L2:M2"/>
    <mergeCell ref="N2:O2"/>
    <mergeCell ref="D3:E3"/>
    <mergeCell ref="F3:G3"/>
    <mergeCell ref="H3:I3"/>
    <mergeCell ref="J3:K3"/>
    <mergeCell ref="L3:M3"/>
    <mergeCell ref="N3:O3"/>
    <mergeCell ref="D2:E2"/>
    <mergeCell ref="F2:G2"/>
    <mergeCell ref="H2:I2"/>
    <mergeCell ref="J2:K2"/>
    <mergeCell ref="P3:Q3"/>
    <mergeCell ref="R3:S3"/>
    <mergeCell ref="T3:U3"/>
    <mergeCell ref="X3:Y3"/>
    <mergeCell ref="V3:W3"/>
  </mergeCells>
  <hyperlinks>
    <hyperlink ref="H3" location="Benchmark!A1" display="Benchmarking"/>
    <hyperlink ref="G3" location="Progress!A1" display="Progress!A1"/>
    <hyperlink ref="F3" location="Progress!A1" display="Progress"/>
    <hyperlink ref="D3" location="Data!A1" display="Data"/>
    <hyperlink ref="E3" location="Data!A1" display="Data!A1"/>
    <hyperlink ref="I3" location="Benchmark!A1" display="Benchmark!A1"/>
    <hyperlink ref="J3" location="'Heat map'!A1" display="Heat map"/>
    <hyperlink ref="K3" location="'Heat map'!A1" display="'Heat map'!A1"/>
    <hyperlink ref="L3" location="Overview_2!A1" display="Overview"/>
    <hyperlink ref="M3" location="Overview_2!A1" display="Overview_2!A1"/>
    <hyperlink ref="N3" location="Output!A1" display="Output"/>
    <hyperlink ref="O3" location="Output!A1" display="Output!A1"/>
  </hyperlinks>
  <pageMargins left="0.25" right="0.25" top="0.75" bottom="0.75" header="0.3" footer="0.3"/>
  <pageSetup paperSize="9" scale="10" orientation="portrait" horizontalDpi="4294967292" verticalDpi="4294967292"/>
  <headerFooter>
    <oddHeader>&amp;CTable 4.1</oddHeader>
  </headerFooter>
  <ignoredErrors>
    <ignoredError sqref="B13:D13 B49:C112 B38:C38 B37:D37 B39:C39 B36:D36 B35:D35 B34:D34 B33:D33 B32:D32 B31:D31 B30:D30 B29:D29 B28:D28 B27:D27 B26:D26 B25:D25 B24:D24 B23:D23 B22:D22 B21:D21 B20:D20 B19:D19 C18:D18 B17:D17 C16:D16 B15:D15 B14:D14 B41:C41 B42:C42 B43:C43 B44:C44 B45:C45 B46:C46 B47:C47 B48:C48 B40:C40" emptyCellReference="1"/>
  </ignoredErrors>
  <drawing r:id="rId1"/>
  <extLst>
    <ext xmlns:mx="http://schemas.microsoft.com/office/mac/excel/2008/main" uri="{64002731-A6B0-56B0-2670-7721B7C09600}">
      <mx:PLV Mode="0" OnePage="0" WScale="71"/>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4"/>
    <outlinePr summaryBelow="0"/>
    <pageSetUpPr fitToPage="1"/>
  </sheetPr>
  <dimension ref="A1:ET110"/>
  <sheetViews>
    <sheetView showRowColHeaders="0" workbookViewId="0"/>
  </sheetViews>
  <sheetFormatPr baseColWidth="10" defaultColWidth="0" defaultRowHeight="0" customHeight="1" zeroHeight="1" x14ac:dyDescent="0"/>
  <cols>
    <col min="1" max="1" width="4.83203125" style="31" customWidth="1"/>
    <col min="2" max="2" width="12.83203125" style="32" customWidth="1"/>
    <col min="3" max="11" width="12.83203125" style="33" customWidth="1"/>
    <col min="12" max="13" width="12.83203125" style="34" customWidth="1"/>
    <col min="14" max="17" width="12.6640625" style="34" customWidth="1"/>
    <col min="18" max="21" width="12.83203125" style="31" customWidth="1"/>
    <col min="22" max="22" width="12.83203125" style="15" customWidth="1"/>
    <col min="23" max="26" width="12.83203125" style="31" customWidth="1"/>
    <col min="27" max="31" width="12.83203125" style="26" customWidth="1"/>
    <col min="32" max="56" width="12.83203125" style="31" customWidth="1"/>
    <col min="57" max="57" width="12.83203125" style="34" customWidth="1"/>
    <col min="58" max="139" width="12.83203125" style="31" customWidth="1"/>
    <col min="140" max="140" width="4.83203125" style="31" customWidth="1"/>
    <col min="141" max="141" width="12.83203125" style="26" hidden="1" customWidth="1"/>
    <col min="142" max="148" width="12.83203125" style="31" hidden="1" customWidth="1"/>
    <col min="149" max="150" width="5.83203125" style="31" hidden="1" customWidth="1"/>
    <col min="151" max="16384" width="10.83203125" style="31" hidden="1"/>
  </cols>
  <sheetData>
    <row r="1" spans="1:148" s="498" customFormat="1" ht="15">
      <c r="V1" s="499"/>
      <c r="W1" s="499"/>
      <c r="X1" s="499"/>
      <c r="Y1" s="500"/>
      <c r="Z1" s="500"/>
      <c r="AA1" s="500"/>
      <c r="BE1" s="1182"/>
      <c r="EK1" s="1184"/>
    </row>
    <row r="2" spans="1:148" s="464" customFormat="1" ht="31" customHeight="1">
      <c r="A2" s="494"/>
      <c r="B2" s="1817" t="s">
        <v>1965</v>
      </c>
      <c r="C2" s="1819">
        <v>400</v>
      </c>
      <c r="D2" s="2653" t="s">
        <v>1555</v>
      </c>
      <c r="E2" s="2653"/>
      <c r="F2" s="2654" t="s">
        <v>1563</v>
      </c>
      <c r="G2" s="2655"/>
      <c r="H2" s="2654" t="s">
        <v>794</v>
      </c>
      <c r="I2" s="2655"/>
      <c r="J2" s="2654" t="s">
        <v>1570</v>
      </c>
      <c r="K2" s="2655"/>
      <c r="L2" s="2654" t="s">
        <v>1564</v>
      </c>
      <c r="M2" s="2655"/>
      <c r="N2" s="2664" t="s">
        <v>1602</v>
      </c>
      <c r="O2" s="2664"/>
      <c r="P2" s="1165"/>
      <c r="Q2" s="1165"/>
      <c r="R2" s="1165"/>
      <c r="S2" s="1165"/>
      <c r="T2" s="496"/>
      <c r="U2" s="496"/>
      <c r="V2" s="494"/>
      <c r="W2" s="494"/>
      <c r="X2" s="494"/>
      <c r="Y2" s="494"/>
      <c r="Z2" s="494"/>
      <c r="AA2" s="494"/>
      <c r="AB2" s="494"/>
      <c r="AC2" s="494"/>
      <c r="AD2" s="494"/>
      <c r="AE2" s="494"/>
      <c r="AF2" s="494"/>
      <c r="AG2" s="494"/>
      <c r="AH2" s="494"/>
      <c r="AI2" s="494"/>
      <c r="AJ2" s="494"/>
      <c r="AK2" s="494"/>
      <c r="AL2" s="494"/>
      <c r="AM2" s="494"/>
      <c r="AN2" s="494"/>
      <c r="AO2" s="494"/>
      <c r="AP2" s="494"/>
      <c r="AQ2" s="494"/>
      <c r="AR2" s="494"/>
      <c r="AS2" s="494"/>
      <c r="AT2" s="494"/>
      <c r="AU2" s="494"/>
      <c r="AV2" s="494"/>
      <c r="AW2" s="494"/>
      <c r="AX2" s="494"/>
      <c r="AY2" s="494"/>
      <c r="AZ2" s="494"/>
      <c r="BA2" s="494"/>
      <c r="BB2" s="494"/>
      <c r="BC2" s="494"/>
      <c r="BD2" s="494"/>
      <c r="BE2" s="494"/>
      <c r="BF2" s="494"/>
      <c r="BG2" s="494"/>
      <c r="BH2" s="494"/>
      <c r="BI2" s="494"/>
      <c r="BJ2" s="494"/>
      <c r="BK2" s="494"/>
      <c r="BL2" s="494"/>
      <c r="BM2" s="494"/>
      <c r="BN2" s="494"/>
      <c r="BO2" s="494"/>
      <c r="BP2" s="494"/>
      <c r="BQ2" s="494"/>
      <c r="BR2" s="494"/>
      <c r="BS2" s="494"/>
      <c r="BT2" s="494"/>
      <c r="BU2" s="494"/>
      <c r="BV2" s="494"/>
      <c r="BW2" s="494"/>
      <c r="BX2" s="494"/>
      <c r="BY2" s="494"/>
      <c r="BZ2" s="494"/>
      <c r="CA2" s="494"/>
      <c r="CB2" s="494"/>
      <c r="CC2" s="494"/>
      <c r="CD2" s="494"/>
      <c r="CE2" s="494"/>
      <c r="CF2" s="494"/>
      <c r="CG2" s="494"/>
      <c r="CH2" s="494"/>
      <c r="CI2" s="494"/>
      <c r="CJ2" s="494"/>
      <c r="CK2" s="494"/>
      <c r="CL2" s="494"/>
      <c r="CM2" s="494"/>
      <c r="CN2" s="494"/>
      <c r="CO2" s="494"/>
      <c r="CP2" s="494"/>
      <c r="CQ2" s="494"/>
      <c r="CR2" s="494"/>
      <c r="CS2" s="494"/>
      <c r="CT2" s="494"/>
      <c r="CU2" s="494"/>
      <c r="CV2" s="494"/>
      <c r="CW2" s="494"/>
      <c r="CX2" s="494"/>
      <c r="CY2" s="494"/>
      <c r="CZ2" s="494"/>
      <c r="DA2" s="494"/>
      <c r="DB2" s="494"/>
      <c r="DC2" s="494"/>
      <c r="DD2" s="494"/>
      <c r="DE2" s="494"/>
      <c r="DF2" s="494"/>
      <c r="DG2" s="494"/>
      <c r="DH2" s="494"/>
      <c r="DI2" s="494"/>
      <c r="DJ2" s="494"/>
      <c r="DK2" s="494"/>
      <c r="DL2" s="494"/>
      <c r="DM2" s="494"/>
      <c r="DN2" s="494"/>
      <c r="DO2" s="494"/>
      <c r="DP2" s="494"/>
      <c r="DQ2" s="494"/>
      <c r="DR2" s="494"/>
      <c r="DS2" s="494"/>
      <c r="DT2" s="494"/>
      <c r="DU2" s="494"/>
      <c r="DV2" s="494"/>
      <c r="DW2" s="494"/>
      <c r="DX2" s="494"/>
      <c r="DY2" s="494"/>
      <c r="DZ2" s="494"/>
      <c r="EA2" s="494"/>
      <c r="EB2" s="494"/>
      <c r="EC2" s="494"/>
      <c r="ED2" s="494"/>
      <c r="EE2" s="494"/>
      <c r="EF2" s="494"/>
      <c r="EG2" s="494"/>
      <c r="EH2" s="494"/>
      <c r="EI2" s="494"/>
      <c r="EJ2" s="494"/>
      <c r="EK2" s="495"/>
      <c r="EL2" s="494"/>
      <c r="EM2" s="494"/>
      <c r="EN2" s="494"/>
      <c r="EO2" s="494"/>
      <c r="EP2" s="494"/>
      <c r="EQ2" s="494"/>
      <c r="ER2" s="494"/>
    </row>
    <row r="3" spans="1:148" s="464" customFormat="1" ht="31" customHeight="1">
      <c r="A3" s="494"/>
      <c r="B3" s="1818"/>
      <c r="C3" s="1820"/>
      <c r="D3" s="1843" t="s">
        <v>722</v>
      </c>
      <c r="E3" s="1844"/>
      <c r="F3" s="1843" t="s">
        <v>1608</v>
      </c>
      <c r="G3" s="1844"/>
      <c r="H3" s="1843" t="s">
        <v>1609</v>
      </c>
      <c r="I3" s="1844"/>
      <c r="J3" s="1843" t="s">
        <v>1909</v>
      </c>
      <c r="K3" s="1844"/>
      <c r="L3" s="1843" t="s">
        <v>1568</v>
      </c>
      <c r="M3" s="1844"/>
      <c r="N3" s="1843" t="s">
        <v>2004</v>
      </c>
      <c r="O3" s="1844"/>
      <c r="P3" s="2663" t="s">
        <v>2019</v>
      </c>
      <c r="Q3" s="2663"/>
      <c r="R3" s="2104" t="s">
        <v>2461</v>
      </c>
      <c r="S3" s="2105"/>
      <c r="T3" s="2651" t="s">
        <v>2608</v>
      </c>
      <c r="U3" s="2652"/>
      <c r="V3" s="1453" t="s">
        <v>2607</v>
      </c>
      <c r="W3" s="1454"/>
      <c r="X3" s="1453" t="s">
        <v>2460</v>
      </c>
      <c r="Y3" s="1454"/>
      <c r="Z3" s="1453" t="s">
        <v>2022</v>
      </c>
      <c r="AA3" s="1454"/>
      <c r="AB3" s="494"/>
      <c r="AC3" s="494"/>
      <c r="AD3" s="494"/>
      <c r="AE3" s="494"/>
      <c r="AF3" s="494"/>
      <c r="AG3" s="494"/>
      <c r="AH3" s="494"/>
      <c r="AI3" s="494"/>
      <c r="AJ3" s="494"/>
      <c r="AK3" s="494"/>
      <c r="AL3" s="494"/>
      <c r="AM3" s="494"/>
      <c r="AN3" s="494"/>
      <c r="AO3" s="494"/>
      <c r="AP3" s="494"/>
      <c r="AQ3" s="494"/>
      <c r="AR3" s="494"/>
      <c r="AS3" s="494"/>
      <c r="AT3" s="494"/>
      <c r="AU3" s="494"/>
      <c r="AV3" s="494"/>
      <c r="AW3" s="494"/>
      <c r="AX3" s="494"/>
      <c r="AY3" s="494"/>
      <c r="AZ3" s="494"/>
      <c r="BA3" s="494"/>
      <c r="BB3" s="494"/>
      <c r="BC3" s="494"/>
      <c r="BD3" s="494"/>
      <c r="BE3" s="494"/>
      <c r="BF3" s="494"/>
      <c r="BG3" s="494"/>
      <c r="BH3" s="494"/>
      <c r="BI3" s="494"/>
      <c r="BJ3" s="494"/>
      <c r="BK3" s="494"/>
      <c r="BL3" s="494"/>
      <c r="BM3" s="494"/>
      <c r="BN3" s="494"/>
      <c r="BO3" s="494"/>
      <c r="BP3" s="494"/>
      <c r="BQ3" s="494"/>
      <c r="BR3" s="494"/>
      <c r="BS3" s="494"/>
      <c r="BT3" s="494"/>
      <c r="BU3" s="494"/>
      <c r="BV3" s="494"/>
      <c r="BW3" s="494"/>
      <c r="BX3" s="494"/>
      <c r="BY3" s="494"/>
      <c r="BZ3" s="494"/>
      <c r="CA3" s="494"/>
      <c r="CB3" s="494"/>
      <c r="CC3" s="494"/>
      <c r="CD3" s="494"/>
      <c r="CE3" s="494"/>
      <c r="CF3" s="494"/>
      <c r="CG3" s="494"/>
      <c r="CH3" s="494"/>
      <c r="CI3" s="494"/>
      <c r="CJ3" s="494"/>
      <c r="CK3" s="494"/>
      <c r="CL3" s="494"/>
      <c r="CM3" s="494"/>
      <c r="CN3" s="494"/>
      <c r="CO3" s="494"/>
      <c r="CP3" s="494"/>
      <c r="CQ3" s="494"/>
      <c r="CR3" s="494"/>
      <c r="CS3" s="494"/>
      <c r="CT3" s="494"/>
      <c r="CU3" s="494"/>
      <c r="CV3" s="494"/>
      <c r="CW3" s="494"/>
      <c r="CX3" s="494"/>
      <c r="CY3" s="494"/>
      <c r="CZ3" s="494"/>
      <c r="DA3" s="494"/>
      <c r="DB3" s="494"/>
      <c r="DC3" s="494"/>
      <c r="DD3" s="494"/>
      <c r="DE3" s="494"/>
      <c r="DF3" s="494"/>
      <c r="DG3" s="494"/>
      <c r="DH3" s="494"/>
      <c r="DI3" s="494"/>
      <c r="DJ3" s="494"/>
      <c r="DK3" s="494"/>
      <c r="DL3" s="494"/>
      <c r="DM3" s="494"/>
      <c r="DN3" s="494"/>
      <c r="DO3" s="494"/>
      <c r="DP3" s="494"/>
      <c r="DQ3" s="494"/>
      <c r="DR3" s="494"/>
      <c r="DS3" s="494"/>
      <c r="DT3" s="494"/>
      <c r="DU3" s="494"/>
      <c r="DV3" s="494"/>
      <c r="DW3" s="494"/>
      <c r="DX3" s="494"/>
      <c r="DY3" s="494"/>
      <c r="DZ3" s="494"/>
      <c r="EA3" s="494"/>
      <c r="EB3" s="494"/>
      <c r="EC3" s="494"/>
      <c r="ED3" s="494"/>
      <c r="EE3" s="494"/>
      <c r="EF3" s="494"/>
      <c r="EG3" s="494"/>
      <c r="EH3" s="494"/>
      <c r="EI3" s="494"/>
      <c r="EJ3" s="494"/>
      <c r="EK3" s="495"/>
      <c r="EL3" s="494"/>
      <c r="EM3" s="494"/>
      <c r="EN3" s="494"/>
      <c r="EO3" s="494"/>
      <c r="EP3" s="494"/>
      <c r="EQ3" s="494"/>
      <c r="ER3" s="494"/>
    </row>
    <row r="4" spans="1:148" s="494" customFormat="1" ht="15" customHeight="1">
      <c r="B4" s="492"/>
      <c r="C4" s="495"/>
      <c r="D4" s="497"/>
      <c r="E4" s="497"/>
      <c r="F4" s="497"/>
      <c r="G4" s="497"/>
      <c r="H4" s="497"/>
      <c r="I4" s="497"/>
      <c r="J4" s="497"/>
      <c r="K4" s="497"/>
      <c r="L4" s="497"/>
      <c r="M4" s="497"/>
      <c r="N4" s="496"/>
      <c r="O4" s="496"/>
      <c r="P4" s="496"/>
      <c r="Q4" s="496"/>
      <c r="R4" s="496"/>
      <c r="S4" s="496"/>
      <c r="T4" s="496"/>
      <c r="U4" s="496"/>
      <c r="EK4" s="495"/>
    </row>
    <row r="5" spans="1:148" ht="31" customHeight="1">
      <c r="V5" s="31"/>
    </row>
    <row r="6" spans="1:148" s="29" customFormat="1" ht="31" customHeight="1" thickBot="1">
      <c r="A6" s="1442"/>
      <c r="B6" s="1385" t="s">
        <v>2504</v>
      </c>
      <c r="C6" s="466"/>
      <c r="D6" s="466"/>
      <c r="E6" s="466"/>
      <c r="F6" s="466"/>
      <c r="G6" s="466"/>
      <c r="H6" s="466"/>
      <c r="I6" s="466"/>
      <c r="J6" s="466"/>
      <c r="K6" s="466"/>
      <c r="L6" s="467"/>
      <c r="M6" s="467"/>
      <c r="N6" s="467"/>
      <c r="O6" s="467"/>
      <c r="P6" s="467"/>
      <c r="Q6" s="467"/>
      <c r="R6" s="468"/>
      <c r="S6" s="468"/>
      <c r="T6" s="468"/>
      <c r="U6" s="468"/>
      <c r="V6" s="468"/>
      <c r="W6" s="468"/>
      <c r="X6" s="468"/>
      <c r="Y6" s="468"/>
      <c r="Z6" s="468"/>
      <c r="AA6" s="468"/>
      <c r="AB6" s="468"/>
      <c r="AC6" s="468"/>
      <c r="AD6" s="468"/>
      <c r="AE6" s="468"/>
      <c r="AF6" s="468"/>
      <c r="AG6" s="468"/>
      <c r="AH6" s="468"/>
      <c r="AI6" s="468"/>
      <c r="AJ6" s="468"/>
      <c r="AK6" s="468"/>
      <c r="AL6" s="468"/>
      <c r="AM6" s="468"/>
      <c r="AN6" s="468"/>
      <c r="AO6" s="468"/>
      <c r="AP6" s="468"/>
      <c r="AQ6" s="468"/>
      <c r="AR6" s="468"/>
      <c r="AS6" s="468"/>
      <c r="AT6" s="468"/>
      <c r="AU6" s="468"/>
      <c r="AV6" s="468"/>
      <c r="AW6" s="468"/>
      <c r="AX6" s="468"/>
      <c r="AY6" s="468"/>
      <c r="AZ6" s="468"/>
      <c r="BA6" s="468"/>
      <c r="BB6" s="468"/>
      <c r="BC6" s="468"/>
      <c r="BD6" s="468"/>
      <c r="BE6" s="467"/>
      <c r="BF6" s="468"/>
      <c r="BG6" s="468"/>
      <c r="BH6" s="468"/>
      <c r="BI6" s="468"/>
      <c r="BJ6" s="468"/>
      <c r="BK6" s="468"/>
      <c r="BL6" s="468"/>
      <c r="BM6" s="468"/>
      <c r="BN6" s="468"/>
      <c r="BO6" s="468"/>
      <c r="BP6" s="468"/>
      <c r="BQ6" s="468"/>
      <c r="BR6" s="468"/>
      <c r="BS6" s="468"/>
      <c r="BT6" s="468"/>
      <c r="BU6" s="468"/>
      <c r="BV6" s="468"/>
      <c r="BW6" s="468"/>
      <c r="BX6" s="468"/>
      <c r="BY6" s="468"/>
      <c r="BZ6" s="468"/>
      <c r="CA6" s="468"/>
      <c r="CB6" s="468"/>
      <c r="CC6" s="468"/>
      <c r="CD6" s="468"/>
      <c r="CE6" s="468"/>
      <c r="CF6" s="468"/>
      <c r="CG6" s="468"/>
      <c r="CH6" s="468"/>
      <c r="CI6" s="468"/>
      <c r="CJ6" s="468"/>
      <c r="CK6" s="468"/>
      <c r="CL6" s="468"/>
      <c r="CM6" s="468"/>
      <c r="CN6" s="468"/>
      <c r="CO6" s="468"/>
      <c r="CP6" s="468"/>
      <c r="CQ6" s="468"/>
      <c r="CR6" s="468"/>
      <c r="CS6" s="468"/>
      <c r="CT6" s="468"/>
      <c r="CU6" s="468"/>
      <c r="CV6" s="468"/>
      <c r="CW6" s="468"/>
      <c r="CX6" s="468"/>
      <c r="CY6" s="468"/>
      <c r="CZ6" s="468"/>
      <c r="DA6" s="468"/>
      <c r="DB6" s="468"/>
      <c r="DC6" s="468"/>
      <c r="DD6" s="468"/>
      <c r="DE6" s="468"/>
      <c r="DF6" s="468"/>
      <c r="DG6" s="468"/>
      <c r="DH6" s="468"/>
      <c r="DI6" s="468"/>
      <c r="DJ6" s="468"/>
      <c r="DK6" s="468"/>
      <c r="DL6" s="468"/>
      <c r="DM6" s="468"/>
      <c r="DN6" s="468"/>
      <c r="DO6" s="468"/>
      <c r="DP6" s="468"/>
      <c r="DQ6" s="468"/>
      <c r="DR6" s="468"/>
      <c r="DS6" s="468"/>
      <c r="DT6" s="468"/>
      <c r="DU6" s="468"/>
      <c r="DV6" s="468"/>
      <c r="DW6" s="468"/>
      <c r="DX6" s="468"/>
      <c r="DY6" s="468"/>
      <c r="DZ6" s="468"/>
      <c r="EA6" s="468"/>
      <c r="EB6" s="468"/>
      <c r="EC6" s="468"/>
      <c r="ED6" s="468"/>
      <c r="EE6" s="468"/>
      <c r="EF6" s="468"/>
      <c r="EG6" s="468"/>
      <c r="EH6" s="468"/>
      <c r="EI6" s="468"/>
      <c r="EK6" s="234"/>
    </row>
    <row r="7" spans="1:148" s="29" customFormat="1" ht="15" customHeight="1" thickTop="1">
      <c r="B7" s="229"/>
      <c r="C7" s="230"/>
      <c r="D7" s="230"/>
      <c r="E7" s="230"/>
      <c r="F7" s="230"/>
      <c r="G7" s="230"/>
      <c r="H7" s="230"/>
      <c r="I7" s="230"/>
      <c r="J7" s="230"/>
      <c r="K7" s="230"/>
      <c r="L7" s="30"/>
      <c r="M7" s="30"/>
      <c r="N7" s="30"/>
      <c r="O7" s="30"/>
      <c r="P7" s="30"/>
      <c r="Q7" s="30"/>
      <c r="AA7" s="234"/>
      <c r="AB7" s="234"/>
      <c r="AC7" s="234"/>
      <c r="AD7" s="234"/>
      <c r="AE7" s="234"/>
      <c r="BE7" s="30"/>
      <c r="EK7" s="234"/>
    </row>
    <row r="8" spans="1:148" s="29" customFormat="1" ht="18" customHeight="1">
      <c r="B8" s="1187" t="str">
        <f>Progress!L9</f>
        <v>Buenos Aires</v>
      </c>
      <c r="C8" s="1188"/>
      <c r="D8" s="1189"/>
      <c r="E8" s="230"/>
      <c r="I8" s="230"/>
      <c r="J8" s="230"/>
      <c r="K8" s="230"/>
      <c r="L8" s="30"/>
      <c r="M8" s="30"/>
      <c r="N8" s="30"/>
      <c r="O8" s="30"/>
      <c r="AA8" s="234"/>
      <c r="AB8" s="234"/>
      <c r="AC8" s="234"/>
      <c r="AD8" s="234"/>
      <c r="AE8" s="234"/>
      <c r="BE8" s="30"/>
      <c r="EK8" s="234"/>
    </row>
    <row r="9" spans="1:148" s="29" customFormat="1" ht="15" customHeight="1">
      <c r="B9" s="229"/>
      <c r="C9" s="230"/>
      <c r="D9" s="230"/>
      <c r="E9" s="230"/>
      <c r="I9" s="230"/>
      <c r="J9" s="230"/>
      <c r="K9" s="230"/>
      <c r="L9" s="30"/>
      <c r="M9" s="30"/>
      <c r="N9" s="30"/>
      <c r="O9" s="30"/>
      <c r="AA9" s="234"/>
      <c r="AB9" s="234"/>
      <c r="AC9" s="234"/>
      <c r="AD9" s="234"/>
      <c r="AE9" s="234"/>
      <c r="BE9" s="30"/>
      <c r="EK9" s="234"/>
    </row>
    <row r="10" spans="1:148" s="15" customFormat="1" ht="15" customHeight="1">
      <c r="B10" s="465" t="s">
        <v>2018</v>
      </c>
      <c r="BE10" s="16"/>
      <c r="BF10" s="29"/>
      <c r="EK10" s="22"/>
    </row>
    <row r="11" spans="1:148" s="15" customFormat="1" ht="15" customHeight="1">
      <c r="B11" s="904">
        <v>1</v>
      </c>
      <c r="C11" s="904">
        <v>5</v>
      </c>
      <c r="D11" s="904">
        <v>6</v>
      </c>
      <c r="E11" s="904">
        <v>7</v>
      </c>
      <c r="F11" s="904">
        <v>8</v>
      </c>
      <c r="G11" s="904">
        <v>9</v>
      </c>
      <c r="H11" s="904">
        <v>10</v>
      </c>
      <c r="I11" s="904">
        <v>11</v>
      </c>
      <c r="J11" s="904">
        <v>12</v>
      </c>
      <c r="K11" s="904">
        <v>13</v>
      </c>
      <c r="L11" s="904">
        <v>14</v>
      </c>
      <c r="M11" s="904">
        <v>15</v>
      </c>
      <c r="N11" s="904">
        <v>16</v>
      </c>
      <c r="O11" s="904">
        <v>17</v>
      </c>
      <c r="P11" s="904">
        <v>18</v>
      </c>
      <c r="Q11" s="904">
        <v>19</v>
      </c>
      <c r="R11" s="904">
        <v>20</v>
      </c>
      <c r="S11" s="904">
        <v>21</v>
      </c>
      <c r="T11" s="904">
        <v>22</v>
      </c>
      <c r="U11" s="904">
        <v>23</v>
      </c>
      <c r="V11" s="904">
        <v>24</v>
      </c>
      <c r="W11" s="904">
        <v>25</v>
      </c>
      <c r="X11" s="904">
        <v>26</v>
      </c>
      <c r="Y11" s="904">
        <v>27</v>
      </c>
      <c r="Z11" s="904">
        <v>28</v>
      </c>
      <c r="AA11" s="904">
        <v>29</v>
      </c>
      <c r="AB11" s="904">
        <v>30</v>
      </c>
      <c r="AC11" s="904">
        <v>31</v>
      </c>
      <c r="AD11" s="904">
        <v>32</v>
      </c>
      <c r="AE11" s="904">
        <v>33</v>
      </c>
      <c r="AF11" s="904">
        <v>34</v>
      </c>
      <c r="AG11" s="904">
        <v>35</v>
      </c>
      <c r="AH11" s="904">
        <v>36</v>
      </c>
      <c r="AI11" s="904">
        <v>37</v>
      </c>
      <c r="AJ11" s="904">
        <v>38</v>
      </c>
      <c r="AK11" s="904">
        <v>39</v>
      </c>
      <c r="AL11" s="904">
        <v>40</v>
      </c>
      <c r="AM11" s="904">
        <v>41</v>
      </c>
      <c r="AN11" s="904">
        <v>42</v>
      </c>
      <c r="AO11" s="904">
        <v>43</v>
      </c>
      <c r="AP11" s="904">
        <v>44</v>
      </c>
      <c r="AQ11" s="904">
        <v>45</v>
      </c>
      <c r="AR11" s="904">
        <v>46</v>
      </c>
      <c r="AS11" s="904">
        <v>47</v>
      </c>
      <c r="AT11" s="904">
        <v>48</v>
      </c>
      <c r="AU11" s="904">
        <v>49</v>
      </c>
      <c r="AV11" s="904">
        <v>50</v>
      </c>
      <c r="AW11" s="904">
        <v>51</v>
      </c>
      <c r="AX11" s="904">
        <v>52</v>
      </c>
      <c r="AY11" s="904">
        <v>53</v>
      </c>
      <c r="AZ11" s="904">
        <v>54</v>
      </c>
      <c r="BA11" s="904">
        <v>55</v>
      </c>
      <c r="BB11" s="904">
        <v>56</v>
      </c>
      <c r="BC11" s="904">
        <v>57</v>
      </c>
      <c r="BD11" s="904">
        <v>58</v>
      </c>
      <c r="BE11" s="904">
        <v>1</v>
      </c>
      <c r="BF11" s="904">
        <v>2</v>
      </c>
      <c r="BG11" s="904">
        <v>3</v>
      </c>
      <c r="BH11" s="904">
        <v>4</v>
      </c>
      <c r="BI11" s="904">
        <v>5</v>
      </c>
      <c r="BJ11" s="904">
        <v>6</v>
      </c>
      <c r="BK11" s="904">
        <v>7</v>
      </c>
      <c r="BL11" s="904">
        <v>8</v>
      </c>
      <c r="BM11" s="904">
        <v>9</v>
      </c>
      <c r="BN11" s="904">
        <v>10</v>
      </c>
      <c r="BO11" s="904">
        <v>11</v>
      </c>
      <c r="BP11" s="904">
        <v>12</v>
      </c>
      <c r="BQ11" s="904">
        <v>13</v>
      </c>
      <c r="BR11" s="904">
        <v>14</v>
      </c>
      <c r="BS11" s="904">
        <v>15</v>
      </c>
      <c r="BT11" s="904">
        <v>16</v>
      </c>
      <c r="BU11" s="904">
        <v>17</v>
      </c>
      <c r="BV11" s="904">
        <v>18</v>
      </c>
      <c r="BW11" s="904">
        <v>19</v>
      </c>
      <c r="BX11" s="904">
        <v>20</v>
      </c>
      <c r="BY11" s="904">
        <v>21</v>
      </c>
      <c r="BZ11" s="904">
        <v>22</v>
      </c>
      <c r="CA11" s="904">
        <v>23</v>
      </c>
      <c r="CB11" s="904">
        <v>24</v>
      </c>
      <c r="CC11" s="904">
        <v>25</v>
      </c>
      <c r="CD11" s="904">
        <v>26</v>
      </c>
      <c r="CE11" s="904">
        <v>27</v>
      </c>
      <c r="CF11" s="904">
        <v>28</v>
      </c>
      <c r="CG11" s="904">
        <v>29</v>
      </c>
      <c r="CH11" s="904">
        <v>30</v>
      </c>
      <c r="CI11" s="904">
        <v>31</v>
      </c>
      <c r="CJ11" s="904">
        <v>32</v>
      </c>
      <c r="CK11" s="904">
        <v>33</v>
      </c>
      <c r="CL11" s="904">
        <v>34</v>
      </c>
      <c r="CM11" s="904">
        <v>35</v>
      </c>
      <c r="CN11" s="904">
        <v>36</v>
      </c>
      <c r="CO11" s="904">
        <v>37</v>
      </c>
      <c r="CP11" s="904">
        <v>38</v>
      </c>
      <c r="CQ11" s="904">
        <v>39</v>
      </c>
      <c r="CR11" s="904">
        <v>40</v>
      </c>
      <c r="CS11" s="904">
        <v>41</v>
      </c>
      <c r="CT11" s="904">
        <v>42</v>
      </c>
      <c r="CU11" s="904">
        <v>43</v>
      </c>
      <c r="CV11" s="904">
        <v>44</v>
      </c>
      <c r="CW11" s="904">
        <v>45</v>
      </c>
      <c r="CX11" s="904">
        <v>46</v>
      </c>
      <c r="CY11" s="904">
        <v>47</v>
      </c>
      <c r="CZ11" s="904">
        <v>48</v>
      </c>
      <c r="DA11" s="904">
        <v>49</v>
      </c>
      <c r="DB11" s="904">
        <v>50</v>
      </c>
      <c r="DC11" s="904">
        <v>51</v>
      </c>
      <c r="DD11" s="904">
        <v>52</v>
      </c>
      <c r="DE11" s="904">
        <v>53</v>
      </c>
      <c r="DF11" s="904">
        <v>54</v>
      </c>
      <c r="DG11" s="904">
        <v>55</v>
      </c>
      <c r="DH11" s="904">
        <v>56</v>
      </c>
      <c r="DI11" s="904">
        <v>57</v>
      </c>
      <c r="DJ11" s="904">
        <v>58</v>
      </c>
      <c r="DK11" s="904">
        <v>59</v>
      </c>
      <c r="DL11" s="904">
        <v>60</v>
      </c>
      <c r="DM11" s="904">
        <v>61</v>
      </c>
      <c r="DN11" s="904">
        <v>62</v>
      </c>
      <c r="DO11" s="904">
        <v>63</v>
      </c>
      <c r="DP11" s="904">
        <v>64</v>
      </c>
      <c r="DQ11" s="904">
        <v>65</v>
      </c>
      <c r="DR11" s="904">
        <v>66</v>
      </c>
      <c r="DS11" s="904">
        <v>67</v>
      </c>
      <c r="DT11" s="904">
        <v>68</v>
      </c>
      <c r="DU11" s="904">
        <v>69</v>
      </c>
      <c r="DV11" s="904">
        <v>70</v>
      </c>
      <c r="DW11" s="904">
        <v>71</v>
      </c>
      <c r="DX11" s="904">
        <v>72</v>
      </c>
      <c r="DY11" s="904">
        <v>73</v>
      </c>
      <c r="DZ11" s="904">
        <v>74</v>
      </c>
      <c r="EA11" s="904">
        <v>75</v>
      </c>
      <c r="EB11" s="904">
        <v>76</v>
      </c>
      <c r="EC11" s="904">
        <v>77</v>
      </c>
      <c r="ED11" s="904">
        <v>78</v>
      </c>
      <c r="EE11" s="904">
        <v>79</v>
      </c>
      <c r="EF11" s="904">
        <v>80</v>
      </c>
      <c r="EG11" s="904">
        <v>81</v>
      </c>
      <c r="EH11" s="904">
        <v>82</v>
      </c>
      <c r="EI11" s="904">
        <v>83</v>
      </c>
      <c r="EJ11" s="904"/>
      <c r="EK11" s="1185"/>
      <c r="EL11" s="904"/>
      <c r="EM11" s="904"/>
      <c r="EN11" s="904"/>
      <c r="EO11" s="904"/>
      <c r="EP11" s="904"/>
      <c r="EQ11" s="904"/>
      <c r="ER11" s="904"/>
    </row>
    <row r="12" spans="1:148" s="642" customFormat="1" ht="31" customHeight="1">
      <c r="B12" s="1066" t="s">
        <v>729</v>
      </c>
      <c r="C12" s="1388" t="s">
        <v>49</v>
      </c>
      <c r="D12" s="1388" t="s">
        <v>51</v>
      </c>
      <c r="E12" s="1388" t="s">
        <v>53</v>
      </c>
      <c r="F12" s="1388" t="s">
        <v>57</v>
      </c>
      <c r="G12" s="1388" t="s">
        <v>58</v>
      </c>
      <c r="H12" s="1388" t="s">
        <v>59</v>
      </c>
      <c r="I12" s="1388" t="s">
        <v>61</v>
      </c>
      <c r="J12" s="1388" t="s">
        <v>62</v>
      </c>
      <c r="K12" s="1388" t="s">
        <v>63</v>
      </c>
      <c r="L12" s="1388" t="s">
        <v>65</v>
      </c>
      <c r="M12" s="1388" t="s">
        <v>67</v>
      </c>
      <c r="N12" s="1388" t="s">
        <v>69</v>
      </c>
      <c r="O12" s="1388" t="s">
        <v>71</v>
      </c>
      <c r="P12" s="1388" t="s">
        <v>75</v>
      </c>
      <c r="Q12" s="1388" t="s">
        <v>76</v>
      </c>
      <c r="R12" s="1388" t="s">
        <v>77</v>
      </c>
      <c r="S12" s="1388" t="s">
        <v>79</v>
      </c>
      <c r="T12" s="1388" t="s">
        <v>80</v>
      </c>
      <c r="U12" s="1388" t="s">
        <v>81</v>
      </c>
      <c r="V12" s="1388" t="s">
        <v>83</v>
      </c>
      <c r="W12" s="1388" t="s">
        <v>86</v>
      </c>
      <c r="X12" s="1388" t="s">
        <v>90</v>
      </c>
      <c r="Y12" s="1388" t="s">
        <v>92</v>
      </c>
      <c r="Z12" s="1388" t="s">
        <v>94</v>
      </c>
      <c r="AA12" s="1388" t="s">
        <v>96</v>
      </c>
      <c r="AB12" s="1388" t="s">
        <v>98</v>
      </c>
      <c r="AC12" s="1388" t="s">
        <v>100</v>
      </c>
      <c r="AD12" s="1388" t="s">
        <v>102</v>
      </c>
      <c r="AE12" s="1388" t="s">
        <v>104</v>
      </c>
      <c r="AF12" s="1388" t="s">
        <v>106</v>
      </c>
      <c r="AG12" s="1388" t="s">
        <v>108</v>
      </c>
      <c r="AH12" s="1388" t="s">
        <v>110</v>
      </c>
      <c r="AI12" s="1388" t="s">
        <v>112</v>
      </c>
      <c r="AJ12" s="1388" t="s">
        <v>115</v>
      </c>
      <c r="AK12" s="1388" t="s">
        <v>117</v>
      </c>
      <c r="AL12" s="1388" t="s">
        <v>623</v>
      </c>
      <c r="AM12" s="1388" t="s">
        <v>122</v>
      </c>
      <c r="AN12" s="1388" t="s">
        <v>124</v>
      </c>
      <c r="AO12" s="1388" t="s">
        <v>126</v>
      </c>
      <c r="AP12" s="1388" t="s">
        <v>129</v>
      </c>
      <c r="AQ12" s="1388" t="s">
        <v>130</v>
      </c>
      <c r="AR12" s="1388" t="s">
        <v>132</v>
      </c>
      <c r="AS12" s="1388" t="s">
        <v>135</v>
      </c>
      <c r="AT12" s="1388" t="s">
        <v>137</v>
      </c>
      <c r="AU12" s="1388" t="s">
        <v>139</v>
      </c>
      <c r="AV12" s="1388" t="s">
        <v>142</v>
      </c>
      <c r="AW12" s="1388" t="s">
        <v>144</v>
      </c>
      <c r="AX12" s="1388" t="s">
        <v>146</v>
      </c>
      <c r="AY12" s="1388" t="s">
        <v>150</v>
      </c>
      <c r="AZ12" s="1388" t="s">
        <v>152</v>
      </c>
      <c r="BA12" s="1388" t="s">
        <v>156</v>
      </c>
      <c r="BB12" s="1388" t="s">
        <v>167</v>
      </c>
      <c r="BC12" s="1170" t="s">
        <v>168</v>
      </c>
      <c r="BD12" s="1170" t="s">
        <v>161</v>
      </c>
      <c r="BE12" s="1170" t="s">
        <v>729</v>
      </c>
      <c r="BF12" s="1166" t="s">
        <v>172</v>
      </c>
      <c r="BG12" s="1067" t="s">
        <v>173</v>
      </c>
      <c r="BH12" s="1067" t="s">
        <v>1760</v>
      </c>
      <c r="BI12" s="1067" t="s">
        <v>1714</v>
      </c>
      <c r="BJ12" s="1067" t="s">
        <v>1765</v>
      </c>
      <c r="BK12" s="1067" t="s">
        <v>1764</v>
      </c>
      <c r="BL12" s="1067" t="s">
        <v>1763</v>
      </c>
      <c r="BM12" s="1067" t="s">
        <v>1762</v>
      </c>
      <c r="BN12" s="1067" t="s">
        <v>1761</v>
      </c>
      <c r="BO12" s="1067" t="s">
        <v>1766</v>
      </c>
      <c r="BP12" s="1067" t="s">
        <v>1767</v>
      </c>
      <c r="BQ12" s="1067" t="s">
        <v>1768</v>
      </c>
      <c r="BR12" s="1067" t="s">
        <v>1769</v>
      </c>
      <c r="BS12" s="1067" t="s">
        <v>1771</v>
      </c>
      <c r="BT12" s="1067" t="s">
        <v>1770</v>
      </c>
      <c r="BU12" s="1067" t="s">
        <v>1772</v>
      </c>
      <c r="BV12" s="1067" t="s">
        <v>1773</v>
      </c>
      <c r="BW12" s="1166" t="s">
        <v>1893</v>
      </c>
      <c r="BX12" s="1166" t="s">
        <v>1894</v>
      </c>
      <c r="BY12" s="1067" t="s">
        <v>1833</v>
      </c>
      <c r="BZ12" s="1067" t="s">
        <v>1834</v>
      </c>
      <c r="CA12" s="1067" t="s">
        <v>1835</v>
      </c>
      <c r="CB12" s="1067" t="s">
        <v>1836</v>
      </c>
      <c r="CC12" s="1067" t="s">
        <v>1837</v>
      </c>
      <c r="CD12" s="1067" t="s">
        <v>1838</v>
      </c>
      <c r="CE12" s="1067" t="s">
        <v>1839</v>
      </c>
      <c r="CF12" s="1067" t="s">
        <v>1840</v>
      </c>
      <c r="CG12" s="1067" t="s">
        <v>1841</v>
      </c>
      <c r="CH12" s="1067" t="s">
        <v>1842</v>
      </c>
      <c r="CI12" s="1067" t="s">
        <v>1843</v>
      </c>
      <c r="CJ12" s="1067" t="s">
        <v>1844</v>
      </c>
      <c r="CK12" s="1067" t="s">
        <v>1845</v>
      </c>
      <c r="CL12" s="1067" t="s">
        <v>1846</v>
      </c>
      <c r="CM12" s="1067" t="s">
        <v>1847</v>
      </c>
      <c r="CN12" s="1067" t="s">
        <v>1848</v>
      </c>
      <c r="CO12" s="1067" t="s">
        <v>1849</v>
      </c>
      <c r="CP12" s="1067" t="s">
        <v>1850</v>
      </c>
      <c r="CQ12" s="1067" t="s">
        <v>1851</v>
      </c>
      <c r="CR12" s="1067" t="s">
        <v>1852</v>
      </c>
      <c r="CS12" s="1067" t="s">
        <v>1853</v>
      </c>
      <c r="CT12" s="1067" t="s">
        <v>1854</v>
      </c>
      <c r="CU12" s="1067" t="s">
        <v>1855</v>
      </c>
      <c r="CV12" s="1067" t="s">
        <v>1856</v>
      </c>
      <c r="CW12" s="1067" t="s">
        <v>1857</v>
      </c>
      <c r="CX12" s="1067" t="s">
        <v>1895</v>
      </c>
      <c r="CY12" s="1067" t="s">
        <v>1858</v>
      </c>
      <c r="CZ12" s="1067" t="s">
        <v>1859</v>
      </c>
      <c r="DA12" s="1067" t="s">
        <v>1860</v>
      </c>
      <c r="DB12" s="1067" t="s">
        <v>1861</v>
      </c>
      <c r="DC12" s="1067" t="s">
        <v>1862</v>
      </c>
      <c r="DD12" s="1067" t="s">
        <v>1863</v>
      </c>
      <c r="DE12" s="1067" t="s">
        <v>1864</v>
      </c>
      <c r="DF12" s="1067" t="s">
        <v>1865</v>
      </c>
      <c r="DG12" s="1067" t="s">
        <v>1866</v>
      </c>
      <c r="DH12" s="1067" t="s">
        <v>1867</v>
      </c>
      <c r="DI12" s="1067" t="s">
        <v>1868</v>
      </c>
      <c r="DJ12" s="1067" t="s">
        <v>1869</v>
      </c>
      <c r="DK12" s="1067" t="s">
        <v>1870</v>
      </c>
      <c r="DL12" s="1067" t="s">
        <v>1871</v>
      </c>
      <c r="DM12" s="1067" t="s">
        <v>1872</v>
      </c>
      <c r="DN12" s="1067" t="s">
        <v>1873</v>
      </c>
      <c r="DO12" s="1067" t="s">
        <v>1874</v>
      </c>
      <c r="DP12" s="1067" t="s">
        <v>1875</v>
      </c>
      <c r="DQ12" s="1067" t="s">
        <v>1876</v>
      </c>
      <c r="DR12" s="1067" t="s">
        <v>1877</v>
      </c>
      <c r="DS12" s="1067" t="s">
        <v>1878</v>
      </c>
      <c r="DT12" s="1067" t="s">
        <v>1879</v>
      </c>
      <c r="DU12" s="1067" t="s">
        <v>1880</v>
      </c>
      <c r="DV12" s="1067" t="s">
        <v>1881</v>
      </c>
      <c r="DW12" s="1067" t="s">
        <v>1882</v>
      </c>
      <c r="DX12" s="1067" t="s">
        <v>1883</v>
      </c>
      <c r="DY12" s="1067" t="s">
        <v>1884</v>
      </c>
      <c r="DZ12" s="1067" t="s">
        <v>1885</v>
      </c>
      <c r="EA12" s="1067" t="s">
        <v>1886</v>
      </c>
      <c r="EB12" s="1067" t="s">
        <v>1887</v>
      </c>
      <c r="EC12" s="1067" t="s">
        <v>1888</v>
      </c>
      <c r="ED12" s="1067" t="s">
        <v>1889</v>
      </c>
      <c r="EE12" s="1067" t="s">
        <v>1890</v>
      </c>
      <c r="EF12" s="1067" t="s">
        <v>1891</v>
      </c>
      <c r="EG12" s="1067" t="s">
        <v>2482</v>
      </c>
      <c r="EH12" s="1067" t="s">
        <v>1892</v>
      </c>
      <c r="EI12" s="1069" t="s">
        <v>2483</v>
      </c>
      <c r="EK12" s="1186"/>
    </row>
    <row r="13" spans="1:148" s="1436" customFormat="1" ht="15" customHeight="1">
      <c r="A13" s="984"/>
      <c r="B13" s="1427">
        <f>IF(Progress!$D$14&lt;&gt;"",Progress!$D$14,Progress!$D$15)</f>
        <v>2000</v>
      </c>
      <c r="C13" s="1428">
        <f>IFERROR(VLOOKUP(CONCATENATE($B$8,"_",$B13),Data!$H$16:$BN$1015,C$11,FALSE),"")</f>
        <v>0</v>
      </c>
      <c r="D13" s="1428">
        <f>IFERROR(VLOOKUP(CONCATENATE($B$8,"_",$B13),Data!$H$16:$BN$1015,D$11,FALSE),"")</f>
        <v>0</v>
      </c>
      <c r="E13" s="1429">
        <f>IFERROR(VLOOKUP(CONCATENATE($B$8,"_",$B13),Data!$H$16:$BN$1015,E$11,FALSE),"")</f>
        <v>0</v>
      </c>
      <c r="F13" s="1428">
        <f>IFERROR(VLOOKUP(CONCATENATE($B$8,"_",$B13),Data!$H$16:$BN$1015,F$11,FALSE),"")</f>
        <v>0</v>
      </c>
      <c r="G13" s="1428">
        <f>IFERROR(VLOOKUP(CONCATENATE($B$8,"_",$B13),Data!$H$16:$BN$1015,G$11,FALSE),"")</f>
        <v>0</v>
      </c>
      <c r="H13" s="1429">
        <f>IFERROR(VLOOKUP(CONCATENATE($B$8,"_",$B13),Data!$H$16:$BN$1015,H$11,FALSE),"")</f>
        <v>0</v>
      </c>
      <c r="I13" s="1428">
        <f>IFERROR(VLOOKUP(CONCATENATE($B$8,"_",$B13),Data!$H$16:$BN$1015,I$11,FALSE),"")</f>
        <v>0</v>
      </c>
      <c r="J13" s="1428">
        <f>IFERROR(VLOOKUP(CONCATENATE($B$8,"_",$B13),Data!$H$16:$BN$1015,J$11,FALSE),"")</f>
        <v>0</v>
      </c>
      <c r="K13" s="1429">
        <f>IFERROR(VLOOKUP(CONCATENATE($B$8,"_",$B13),Data!$H$16:$BN$1015,K$11,FALSE),"")</f>
        <v>0</v>
      </c>
      <c r="L13" s="1428">
        <f>IFERROR(VLOOKUP(CONCATENATE($B$8,"_",$B13),Data!$H$16:$BN$1015,L$11,FALSE),"")</f>
        <v>0</v>
      </c>
      <c r="M13" s="1428">
        <f>IFERROR(VLOOKUP(CONCATENATE($B$8,"_",$B13),Data!$H$16:$BN$1015,M$11,FALSE),"")</f>
        <v>0</v>
      </c>
      <c r="N13" s="1429">
        <f>IFERROR(VLOOKUP(CONCATENATE($B$8,"_",$B13),Data!$H$16:$BN$1015,N$11,FALSE),"")</f>
        <v>0</v>
      </c>
      <c r="O13" s="1430">
        <f>IFERROR(VLOOKUP(CONCATENATE($B$8,"_",$B13),Data!$H$16:$BN$1015,O$11,FALSE),"")</f>
        <v>0</v>
      </c>
      <c r="P13" s="1428">
        <f>IFERROR(VLOOKUP(CONCATENATE($B$8,"_",$B13),Data!$H$16:$BN$1015,P$11,FALSE),"")</f>
        <v>0</v>
      </c>
      <c r="Q13" s="1428">
        <f>IFERROR(VLOOKUP(CONCATENATE($B$8,"_",$B13),Data!$H$16:$BN$1015,Q$11,FALSE),"")</f>
        <v>0</v>
      </c>
      <c r="R13" s="1429">
        <f>IFERROR(VLOOKUP(CONCATENATE($B$8,"_",$B13),Data!$H$16:$BN$1015,R$11,FALSE),"")</f>
        <v>0</v>
      </c>
      <c r="S13" s="1428">
        <f>IFERROR(VLOOKUP(CONCATENATE($B$8,"_",$B13),Data!$H$16:$BN$1015,S$11,FALSE),"")</f>
        <v>0</v>
      </c>
      <c r="T13" s="1428">
        <f>IFERROR(VLOOKUP(CONCATENATE($B$8,"_",$B13),Data!$H$16:$BN$1015,T$11,FALSE),"")</f>
        <v>0</v>
      </c>
      <c r="U13" s="1429">
        <f>IFERROR(VLOOKUP(CONCATENATE($B$8,"_",$B13),Data!$H$16:$BN$1015,U$11,FALSE),"")</f>
        <v>0</v>
      </c>
      <c r="V13" s="1428">
        <f>IFERROR(VLOOKUP(CONCATENATE($B$8,"_",$B13),Data!$H$16:$BN$1015,V$11,FALSE),"")</f>
        <v>0</v>
      </c>
      <c r="W13" s="1428">
        <f>IFERROR(VLOOKUP(CONCATENATE($B$8,"_",$B13),Data!$H$16:$BN$1015,W$11,FALSE),"")</f>
        <v>0</v>
      </c>
      <c r="X13" s="1428">
        <f>IFERROR(VLOOKUP(CONCATENATE($B$8,"_",$B13),Data!$H$16:$BN$1015,X$11,FALSE),"")</f>
        <v>0</v>
      </c>
      <c r="Y13" s="1428">
        <f>IFERROR(VLOOKUP(CONCATENATE($B$8,"_",$B13),Data!$H$16:$BN$1015,Y$11,FALSE),"")</f>
        <v>0</v>
      </c>
      <c r="Z13" s="1429">
        <f>IFERROR(VLOOKUP(CONCATENATE($B$8,"_",$B13),Data!$H$16:$BN$1015,Z$11,FALSE),"")</f>
        <v>0</v>
      </c>
      <c r="AA13" s="1428">
        <f>IFERROR(VLOOKUP(CONCATENATE($B$8,"_",$B13),Data!$H$16:$BN$1015,AA$11,FALSE),"")</f>
        <v>0</v>
      </c>
      <c r="AB13" s="1428">
        <f>IFERROR(VLOOKUP(CONCATENATE($B$8,"_",$B13),Data!$H$16:$BN$1015,AB$11,FALSE),"")</f>
        <v>0</v>
      </c>
      <c r="AC13" s="1429">
        <f>IFERROR(VLOOKUP(CONCATENATE($B$8,"_",$B13),Data!$H$16:$BN$1015,AC$11,FALSE),"")</f>
        <v>0</v>
      </c>
      <c r="AD13" s="1428">
        <f>IFERROR(VLOOKUP(CONCATENATE($B$8,"_",$B13),Data!$H$16:$BN$1015,AD$11,FALSE),"")</f>
        <v>0</v>
      </c>
      <c r="AE13" s="1428">
        <f>IFERROR(VLOOKUP(CONCATENATE($B$8,"_",$B13),Data!$H$16:$BN$1015,AE$11,FALSE),"")</f>
        <v>0</v>
      </c>
      <c r="AF13" s="1429">
        <f>IFERROR(VLOOKUP(CONCATENATE($B$8,"_",$B13),Data!$H$16:$BN$1015,AF$11,FALSE),"")</f>
        <v>0</v>
      </c>
      <c r="AG13" s="1428">
        <f>IFERROR(VLOOKUP(CONCATENATE($B$8,"_",$B13),Data!$H$16:$BN$1015,AG$11,FALSE),"")</f>
        <v>0</v>
      </c>
      <c r="AH13" s="1428">
        <f>IFERROR(VLOOKUP(CONCATENATE($B$8,"_",$B13),Data!$H$16:$BN$1015,AH$11,FALSE),"")</f>
        <v>0</v>
      </c>
      <c r="AI13" s="1429">
        <f>IFERROR(VLOOKUP(CONCATENATE($B$8,"_",$B13),Data!$H$16:$BN$1015,AI$11,FALSE),"")</f>
        <v>0</v>
      </c>
      <c r="AJ13" s="1428">
        <f>IFERROR(VLOOKUP(CONCATENATE($B$8,"_",$B13),Data!$H$16:$BN$1015,AJ$11,FALSE),"")</f>
        <v>0</v>
      </c>
      <c r="AK13" s="1428">
        <f>IFERROR(VLOOKUP(CONCATENATE($B$8,"_",$B13),Data!$H$16:$BN$1015,AK$11,FALSE),"")</f>
        <v>0</v>
      </c>
      <c r="AL13" s="1429">
        <f>IFERROR(VLOOKUP(CONCATENATE($B$8,"_",$B13),Data!$H$16:$BN$1015,AL$11,FALSE),"")</f>
        <v>0</v>
      </c>
      <c r="AM13" s="1428">
        <f>IFERROR(VLOOKUP(CONCATENATE($B$8,"_",$B13),Data!$H$16:$BN$1015,AM$11,FALSE),"")</f>
        <v>0</v>
      </c>
      <c r="AN13" s="1428">
        <f>IFERROR(VLOOKUP(CONCATENATE($B$8,"_",$B13),Data!$H$16:$BN$1015,AN$11,FALSE),"")</f>
        <v>0</v>
      </c>
      <c r="AO13" s="1430">
        <f>IFERROR(VLOOKUP(CONCATENATE($B$8,"_",$B13),Data!$H$16:$BN$1015,AO$11,FALSE),"")</f>
        <v>0</v>
      </c>
      <c r="AP13" s="1428">
        <f>IFERROR(VLOOKUP(CONCATENATE($B$8,"_",$B13),Data!$H$16:$BN$1015,AP$11,FALSE),"")</f>
        <v>0</v>
      </c>
      <c r="AQ13" s="1428">
        <f>IFERROR(VLOOKUP(CONCATENATE($B$8,"_",$B13),Data!$H$16:$BN$1015,AQ$11,FALSE),"")</f>
        <v>0</v>
      </c>
      <c r="AR13" s="1430">
        <f>IFERROR(VLOOKUP(CONCATENATE($B$8,"_",$B13),Data!$H$16:$BN$1015,AR$11,FALSE),"")</f>
        <v>0</v>
      </c>
      <c r="AS13" s="1428">
        <f>IFERROR(VLOOKUP(CONCATENATE($B$8,"_",$B13),Data!$H$16:$BN$1015,AS$11,FALSE),"")</f>
        <v>0</v>
      </c>
      <c r="AT13" s="1428">
        <f>IFERROR(VLOOKUP(CONCATENATE($B$8,"_",$B13),Data!$H$16:$BN$1015,AT$11,FALSE),"")</f>
        <v>0</v>
      </c>
      <c r="AU13" s="1430">
        <f>IFERROR(VLOOKUP(CONCATENATE($B$8,"_",$B13),Data!$H$16:$BN$1015,AU$11,FALSE),"")</f>
        <v>0</v>
      </c>
      <c r="AV13" s="1428">
        <f>IFERROR(VLOOKUP(CONCATENATE($B$8,"_",$B13),Data!$H$16:$BN$1015,AV$11,FALSE),"")</f>
        <v>0</v>
      </c>
      <c r="AW13" s="1428">
        <f>IFERROR(VLOOKUP(CONCATENATE($B$8,"_",$B13),Data!$H$16:$BN$1015,AW$11,FALSE),"")</f>
        <v>0</v>
      </c>
      <c r="AX13" s="1430">
        <f>IFERROR(VLOOKUP(CONCATENATE($B$8,"_",$B13),Data!$H$16:$BN$1015,AX$11,FALSE),"")</f>
        <v>0</v>
      </c>
      <c r="AY13" s="1429">
        <f>IFERROR(VLOOKUP(CONCATENATE($B$8,"_",$B13),Data!$H$16:$BN$1015,AY$11,FALSE),"")</f>
        <v>0</v>
      </c>
      <c r="AZ13" s="1429">
        <f>IFERROR(VLOOKUP(CONCATENATE($B$8,"_",$B13),Data!$H$16:$BN$1015,AZ$11,FALSE),"")</f>
        <v>0</v>
      </c>
      <c r="BA13" s="1429">
        <f>IFERROR(VLOOKUP(CONCATENATE($B$8,"_",$B13),Data!$H$16:$BN$1015,BA$11,FALSE),"")</f>
        <v>0</v>
      </c>
      <c r="BB13" s="1429">
        <f>IFERROR(VLOOKUP(CONCATENATE($B$8,"_",$B13),Data!$H$16:$BN$1015,BB$11,FALSE),"")</f>
        <v>0</v>
      </c>
      <c r="BC13" s="1429">
        <f>IFERROR(VLOOKUP(CONCATENATE($B$8,"_",$B13),Data!$H$16:$BN$1015,BC$11,FALSE),"")</f>
        <v>0</v>
      </c>
      <c r="BD13" s="1431">
        <f>IFERROR(VLOOKUP(CONCATENATE($B$8,"_",$B13),Data!$H$16:$BN$1015,BD$11,FALSE),"")</f>
        <v>0</v>
      </c>
      <c r="BE13" s="1432">
        <f>B13</f>
        <v>2000</v>
      </c>
      <c r="BF13" s="1428">
        <f>IFERROR(VLOOKUP(CONCATENATE($B$8,"_",$B13),Data!$BO$16:$ES$1015,BF$11,FALSE),"")</f>
        <v>11057020.161364088</v>
      </c>
      <c r="BG13" s="1433">
        <f>IFERROR(VLOOKUP(CONCATENATE($B$8,"_",$B13),Data!$BO$16:$ES$1015,BG$11,FALSE),"")</f>
        <v>0</v>
      </c>
      <c r="BH13" s="1435">
        <f>IFERROR(VLOOKUP(CONCATENATE($B$8,"_",$B13),Data!$BO$16:$ES$1015,BH$11,FALSE),"")</f>
        <v>0</v>
      </c>
      <c r="BI13" s="1434">
        <f>IFERROR(VLOOKUP(CONCATENATE($B$8,"_",$B13),Data!$BO$16:$ES$1015,BI$11,FALSE),"")</f>
        <v>0</v>
      </c>
      <c r="BJ13" s="1428">
        <f>IFERROR(VLOOKUP(CONCATENATE($B$8,"_",$B13),Data!$BO$16:$ES$1015,BJ$11,FALSE),"")</f>
        <v>5937834.7268060381</v>
      </c>
      <c r="BK13" s="1428">
        <f>IFERROR(VLOOKUP(CONCATENATE($B$8,"_",$B13),Data!$BO$16:$ES$1015,BK$11,FALSE),"")</f>
        <v>3455392.7964259563</v>
      </c>
      <c r="BL13" s="1428">
        <f>IFERROR(VLOOKUP(CONCATENATE($B$8,"_",$B13),Data!$BO$16:$ES$1015,BL$11,FALSE),"")</f>
        <v>1663792.6381320932</v>
      </c>
      <c r="BM13" s="1433">
        <f>IFERROR(VLOOKUP(CONCATENATE($B$8,"_",$B13),Data!$BO$16:$ES$1015,BM$11,FALSE),"")</f>
        <v>0</v>
      </c>
      <c r="BN13" s="1433">
        <f>IFERROR(VLOOKUP(CONCATENATE($B$8,"_",$B13),Data!$BO$16:$ES$1015,BN$11,FALSE),"")</f>
        <v>0</v>
      </c>
      <c r="BO13" s="1433">
        <f>IFERROR(VLOOKUP(CONCATENATE($B$8,"_",$B13),Data!$BO$16:$ES$1015,BO$11,FALSE),"")</f>
        <v>0</v>
      </c>
      <c r="BP13" s="1433">
        <f>IFERROR(VLOOKUP(CONCATENATE($B$8,"_",$B13),Data!$BO$16:$ES$1015,BP$11,FALSE),"")</f>
        <v>0</v>
      </c>
      <c r="BQ13" s="1433">
        <f>IFERROR(VLOOKUP(CONCATENATE($B$8,"_",$B13),Data!$BO$16:$ES$1015,BQ$11,FALSE),"")</f>
        <v>0</v>
      </c>
      <c r="BR13" s="1434">
        <f>IFERROR(VLOOKUP(CONCATENATE($B$8,"_",$B13),Data!$BO$16:$ES$1015,BR$11,FALSE),"")</f>
        <v>0</v>
      </c>
      <c r="BS13" s="1434">
        <f>IFERROR(VLOOKUP(CONCATENATE($B$8,"_",$B13),Data!$BO$16:$ES$1015,BS$11,FALSE),"")</f>
        <v>0</v>
      </c>
      <c r="BT13" s="1434">
        <f>IFERROR(VLOOKUP(CONCATENATE($B$8,"_",$B13),Data!$BO$16:$ES$1015,BT$11,FALSE),"")</f>
        <v>0</v>
      </c>
      <c r="BU13" s="1434">
        <f>IFERROR(VLOOKUP(CONCATENATE($B$8,"_",$B13),Data!$BO$16:$ES$1015,BU$11,FALSE),"")</f>
        <v>0</v>
      </c>
      <c r="BV13" s="1434">
        <f>IFERROR(VLOOKUP(CONCATENATE($B$8,"_",$B13),Data!$BO$16:$ES$1015,BV$11,FALSE),"")</f>
        <v>0</v>
      </c>
      <c r="BW13" s="1434">
        <f>IFERROR(VLOOKUP(CONCATENATE($B$8,"_",$B13),Data!$BO$16:$ES$1015,BW$11,FALSE),"")</f>
        <v>0</v>
      </c>
      <c r="BX13" s="1434">
        <f>IFERROR(VLOOKUP(CONCATENATE($B$8,"_",$B13),Data!$BO$16:$ES$1015,BX$11,FALSE),"")</f>
        <v>0</v>
      </c>
      <c r="BY13" s="1428">
        <f>IFERROR(VLOOKUP(CONCATENATE($B$8,"_",$B13),Data!$BO$16:$ES$1015,BY$11,FALSE),"")</f>
        <v>0</v>
      </c>
      <c r="BZ13" s="1428">
        <f>IFERROR(VLOOKUP(CONCATENATE($B$8,"_",$B13),Data!$BO$16:$ES$1015,BZ$11,FALSE),"")</f>
        <v>0</v>
      </c>
      <c r="CA13" s="1428">
        <f>IFERROR(VLOOKUP(CONCATENATE($B$8,"_",$B13),Data!$BO$16:$ES$1015,CA$11,FALSE),"")</f>
        <v>0</v>
      </c>
      <c r="CB13" s="1428">
        <f>IFERROR(VLOOKUP(CONCATENATE($B$8,"_",$B13),Data!$BO$16:$ES$1015,CB$11,FALSE),"")</f>
        <v>0</v>
      </c>
      <c r="CC13" s="1428">
        <f>IFERROR(VLOOKUP(CONCATENATE($B$8,"_",$B13),Data!$BO$16:$ES$1015,CC$11,FALSE),"")</f>
        <v>0</v>
      </c>
      <c r="CD13" s="1428">
        <f>IFERROR(VLOOKUP(CONCATENATE($B$8,"_",$B13),Data!$BO$16:$ES$1015,CD$11,FALSE),"")</f>
        <v>0</v>
      </c>
      <c r="CE13" s="1428">
        <f>IFERROR(VLOOKUP(CONCATENATE($B$8,"_",$B13),Data!$BO$16:$ES$1015,CE$11,FALSE),"")</f>
        <v>0</v>
      </c>
      <c r="CF13" s="1428">
        <f>IFERROR(VLOOKUP(CONCATENATE($B$8,"_",$B13),Data!$BO$16:$ES$1015,CF$11,FALSE),"")</f>
        <v>0</v>
      </c>
      <c r="CG13" s="1428">
        <f>IFERROR(VLOOKUP(CONCATENATE($B$8,"_",$B13),Data!$BO$16:$ES$1015,CG$11,FALSE),"")</f>
        <v>0</v>
      </c>
      <c r="CH13" s="1428">
        <f>IFERROR(VLOOKUP(CONCATENATE($B$8,"_",$B13),Data!$BO$16:$ES$1015,CH$11,FALSE),"")</f>
        <v>0</v>
      </c>
      <c r="CI13" s="1428">
        <f>IFERROR(VLOOKUP(CONCATENATE($B$8,"_",$B13),Data!$BO$16:$ES$1015,CI$11,FALSE),"")</f>
        <v>0</v>
      </c>
      <c r="CJ13" s="1428">
        <f>IFERROR(VLOOKUP(CONCATENATE($B$8,"_",$B13),Data!$BO$16:$ES$1015,CJ$11,FALSE),"")</f>
        <v>0</v>
      </c>
      <c r="CK13" s="1428">
        <f>IFERROR(VLOOKUP(CONCATENATE($B$8,"_",$B13),Data!$BO$16:$ES$1015,CK$11,FALSE),"")</f>
        <v>0</v>
      </c>
      <c r="CL13" s="1428">
        <f>IFERROR(VLOOKUP(CONCATENATE($B$8,"_",$B13),Data!$BO$16:$ES$1015,CL$11,FALSE),"")</f>
        <v>0</v>
      </c>
      <c r="CM13" s="1428">
        <f>IFERROR(VLOOKUP(CONCATENATE($B$8,"_",$B13),Data!$BO$16:$ES$1015,CM$11,FALSE),"")</f>
        <v>0</v>
      </c>
      <c r="CN13" s="1428">
        <f>IFERROR(VLOOKUP(CONCATENATE($B$8,"_",$B13),Data!$BO$16:$ES$1015,CN$11,FALSE),"")</f>
        <v>0</v>
      </c>
      <c r="CO13" s="1428">
        <f>IFERROR(VLOOKUP(CONCATENATE($B$8,"_",$B13),Data!$BO$16:$ES$1015,CO$11,FALSE),"")</f>
        <v>0</v>
      </c>
      <c r="CP13" s="1433">
        <f>IFERROR(VLOOKUP(CONCATENATE($B$8,"_",$B13),Data!$BO$16:$ES$1015,CP$11,FALSE),"")</f>
        <v>0</v>
      </c>
      <c r="CQ13" s="1433">
        <f>IFERROR(VLOOKUP(CONCATENATE($B$8,"_",$B13),Data!$BO$16:$ES$1015,CQ$11,FALSE),"")</f>
        <v>0</v>
      </c>
      <c r="CR13" s="1433">
        <f>IFERROR(VLOOKUP(CONCATENATE($B$8,"_",$B13),Data!$BO$16:$ES$1015,CR$11,FALSE),"")</f>
        <v>0</v>
      </c>
      <c r="CS13" s="1433">
        <f>IFERROR(VLOOKUP(CONCATENATE($B$8,"_",$B13),Data!$BO$16:$ES$1015,CS$11,FALSE),"")</f>
        <v>0</v>
      </c>
      <c r="CT13" s="1433">
        <f>IFERROR(VLOOKUP(CONCATENATE($B$8,"_",$B13),Data!$BO$16:$ES$1015,CT$11,FALSE),"")</f>
        <v>0</v>
      </c>
      <c r="CU13" s="1433">
        <f>IFERROR(VLOOKUP(CONCATENATE($B$8,"_",$B13),Data!$BO$16:$ES$1015,CU$11,FALSE),"")</f>
        <v>0</v>
      </c>
      <c r="CV13" s="1433">
        <f>IFERROR(VLOOKUP(CONCATENATE($B$8,"_",$B13),Data!$BO$16:$ES$1015,CV$11,FALSE),"")</f>
        <v>0</v>
      </c>
      <c r="CW13" s="1433">
        <f>IFERROR(VLOOKUP(CONCATENATE($B$8,"_",$B13),Data!$BO$16:$ES$1015,CW$11,FALSE),"")</f>
        <v>0</v>
      </c>
      <c r="CX13" s="1433">
        <f>IFERROR(VLOOKUP(CONCATENATE($B$8,"_",$B13),Data!$BO$16:$ES$1015,CX$11,FALSE),"")</f>
        <v>0</v>
      </c>
      <c r="CY13" s="1433">
        <f>IFERROR(VLOOKUP(CONCATENATE($B$8,"_",$B13),Data!$BO$16:$ES$1015,CY$11,FALSE),"")</f>
        <v>0</v>
      </c>
      <c r="CZ13" s="1433">
        <f>IFERROR(VLOOKUP(CONCATENATE($B$8,"_",$B13),Data!$BO$16:$ES$1015,CZ$11,FALSE),"")</f>
        <v>0</v>
      </c>
      <c r="DA13" s="1433">
        <f>IFERROR(VLOOKUP(CONCATENATE($B$8,"_",$B13),Data!$BO$16:$ES$1015,DA$11,FALSE),"")</f>
        <v>0</v>
      </c>
      <c r="DB13" s="1433">
        <f>IFERROR(VLOOKUP(CONCATENATE($B$8,"_",$B13),Data!$BO$16:$ES$1015,DB$11,FALSE),"")</f>
        <v>0</v>
      </c>
      <c r="DC13" s="1433">
        <f>IFERROR(VLOOKUP(CONCATENATE($B$8,"_",$B13),Data!$BO$16:$ES$1015,DC$11,FALSE),"")</f>
        <v>0</v>
      </c>
      <c r="DD13" s="1433">
        <f>IFERROR(VLOOKUP(CONCATENATE($B$8,"_",$B13),Data!$BO$16:$ES$1015,DD$11,FALSE),"")</f>
        <v>0</v>
      </c>
      <c r="DE13" s="1433">
        <f>IFERROR(VLOOKUP(CONCATENATE($B$8,"_",$B13),Data!$BO$16:$ES$1015,DE$11,FALSE),"")</f>
        <v>0</v>
      </c>
      <c r="DF13" s="1433">
        <f>IFERROR(VLOOKUP(CONCATENATE($B$8,"_",$B13),Data!$BO$16:$ES$1015,DF$11,FALSE),"")</f>
        <v>0</v>
      </c>
      <c r="DG13" s="1433">
        <f>IFERROR(VLOOKUP(CONCATENATE($B$8,"_",$B13),Data!$BO$16:$ES$1015,DG$11,FALSE),"")</f>
        <v>0</v>
      </c>
      <c r="DH13" s="1433">
        <f>IFERROR(VLOOKUP(CONCATENATE($B$8,"_",$B13),Data!$BO$16:$ES$1015,DH$11,FALSE),"")</f>
        <v>0</v>
      </c>
      <c r="DI13" s="1433">
        <f>IFERROR(VLOOKUP(CONCATENATE($B$8,"_",$B13),Data!$BO$16:$ES$1015,DI$11,FALSE),"")</f>
        <v>0</v>
      </c>
      <c r="DJ13" s="1433">
        <f>IFERROR(VLOOKUP(CONCATENATE($B$8,"_",$B13),Data!$BO$16:$ES$1015,DJ$11,FALSE),"")</f>
        <v>0</v>
      </c>
      <c r="DK13" s="1433">
        <f>IFERROR(VLOOKUP(CONCATENATE($B$8,"_",$B13),Data!$BO$16:$ES$1015,DK$11,FALSE),"")</f>
        <v>0</v>
      </c>
      <c r="DL13" s="1435">
        <f>IFERROR(VLOOKUP(CONCATENATE($B$8,"_",$B13),Data!$BO$16:$ES$1015,DL$11,FALSE),"")</f>
        <v>0</v>
      </c>
      <c r="DM13" s="1434">
        <f>IFERROR(VLOOKUP(CONCATENATE($B$8,"_",$B13),Data!$BO$16:$ES$1015,DM$11,FALSE),"")</f>
        <v>0</v>
      </c>
      <c r="DN13" s="1434">
        <f>IFERROR(VLOOKUP(CONCATENATE($B$8,"_",$B13),Data!$BO$16:$ES$1015,DN$11,FALSE),"")</f>
        <v>0</v>
      </c>
      <c r="DO13" s="1434">
        <f>IFERROR(VLOOKUP(CONCATENATE($B$8,"_",$B13),Data!$BO$16:$ES$1015,DO$11,FALSE),"")</f>
        <v>0</v>
      </c>
      <c r="DP13" s="1434">
        <f>IFERROR(VLOOKUP(CONCATENATE($B$8,"_",$B13),Data!$BO$16:$ES$1015,DP$11,FALSE),"")</f>
        <v>0</v>
      </c>
      <c r="DQ13" s="1434">
        <f>IFERROR(VLOOKUP(CONCATENATE($B$8,"_",$B13),Data!$BO$16:$ES$1015,DQ$11,FALSE),"")</f>
        <v>0</v>
      </c>
      <c r="DR13" s="1434">
        <f>IFERROR(VLOOKUP(CONCATENATE($B$8,"_",$B13),Data!$BO$16:$ES$1015,DR$11,FALSE),"")</f>
        <v>0</v>
      </c>
      <c r="DS13" s="1434">
        <f>IFERROR(VLOOKUP(CONCATENATE($B$8,"_",$B13),Data!$BO$16:$ES$1015,DS$11,FALSE),"")</f>
        <v>0</v>
      </c>
      <c r="DT13" s="1434">
        <f>IFERROR(VLOOKUP(CONCATENATE($B$8,"_",$B13),Data!$BO$16:$ES$1015,DT$11,FALSE),"")</f>
        <v>0</v>
      </c>
      <c r="DU13" s="1434">
        <f>IFERROR(VLOOKUP(CONCATENATE($B$8,"_",$B13),Data!$BO$16:$ES$1015,DU$11,FALSE),"")</f>
        <v>0</v>
      </c>
      <c r="DV13" s="1434">
        <f>IFERROR(VLOOKUP(CONCATENATE($B$8,"_",$B13),Data!$BO$16:$ES$1015,DV$11,FALSE),"")</f>
        <v>0</v>
      </c>
      <c r="DW13" s="1434">
        <f>IFERROR(VLOOKUP(CONCATENATE($B$8,"_",$B13),Data!$BO$16:$ES$1015,DW$11,FALSE),"")</f>
        <v>0</v>
      </c>
      <c r="DX13" s="1434">
        <f>IFERROR(VLOOKUP(CONCATENATE($B$8,"_",$B13),Data!$BO$16:$ES$1015,DX$11,FALSE),"")</f>
        <v>0</v>
      </c>
      <c r="DY13" s="1434">
        <f>IFERROR(VLOOKUP(CONCATENATE($B$8,"_",$B13),Data!$BO$16:$ES$1015,DY$11,FALSE),"")</f>
        <v>0</v>
      </c>
      <c r="DZ13" s="1434">
        <f>IFERROR(VLOOKUP(CONCATENATE($B$8,"_",$B13),Data!$BO$16:$ES$1015,DZ$11,FALSE),"")</f>
        <v>0</v>
      </c>
      <c r="EA13" s="1434">
        <f>IFERROR(VLOOKUP(CONCATENATE($B$8,"_",$B13),Data!$BO$16:$ES$1015,EA$11,FALSE),"")</f>
        <v>0</v>
      </c>
      <c r="EB13" s="1434">
        <f>IFERROR(VLOOKUP(CONCATENATE($B$8,"_",$B13),Data!$BO$16:$ES$1015,EB$11,FALSE),"")</f>
        <v>0</v>
      </c>
      <c r="EC13" s="1434">
        <f>IFERROR(VLOOKUP(CONCATENATE($B$8,"_",$B13),Data!$BO$16:$ES$1015,EC$11,FALSE),"")</f>
        <v>0</v>
      </c>
      <c r="ED13" s="1434">
        <f>IFERROR(VLOOKUP(CONCATENATE($B$8,"_",$B13),Data!$BO$16:$ES$1015,ED$11,FALSE),"")</f>
        <v>0</v>
      </c>
      <c r="EE13" s="1434">
        <f>IFERROR(VLOOKUP(CONCATENATE($B$8,"_",$B13),Data!$BO$16:$ES$1015,EE$11,FALSE),"")</f>
        <v>0</v>
      </c>
      <c r="EF13" s="1434">
        <f>IFERROR(VLOOKUP(CONCATENATE($B$8,"_",$B13),Data!$BO$16:$ES$1015,EF$11,FALSE),"")</f>
        <v>0</v>
      </c>
      <c r="EG13" s="1434">
        <f>IFERROR(VLOOKUP(CONCATENATE($B$8,"_",$B13),Data!$BO$16:$ES$1015,EG$11,FALSE),"")</f>
        <v>0</v>
      </c>
      <c r="EH13" s="1434">
        <f>IFERROR(VLOOKUP(CONCATENATE($B$8,"_",$B13),Data!$BO$16:$ES$1015,EH$11,FALSE),"")</f>
        <v>0</v>
      </c>
      <c r="EI13" s="1434">
        <f>IFERROR(VLOOKUP(CONCATENATE($B$8,"_",$B13),Data!$BO$16:$ES$1015,EI$11,FALSE),"")</f>
        <v>0</v>
      </c>
      <c r="EK13" s="1437"/>
    </row>
    <row r="14" spans="1:148" s="1436" customFormat="1" ht="15" customHeight="1">
      <c r="A14" s="1438">
        <v>1</v>
      </c>
      <c r="B14" s="1738">
        <f>IF($B$13+A14&lt;=Progress!$D$18,$B$13+A14,"")</f>
        <v>2001</v>
      </c>
      <c r="C14" s="1737">
        <f>IFERROR(VLOOKUP(CONCATENATE($B$8,"_",$B14),Data!$H$16:$BN$1015,C$11,FALSE),"")</f>
        <v>0</v>
      </c>
      <c r="D14" s="1428">
        <f>IFERROR(VLOOKUP(CONCATENATE($B$8,"_",$B14),Data!$H$16:$BN$1015,D$11,FALSE),"")</f>
        <v>0</v>
      </c>
      <c r="E14" s="1429">
        <f>IFERROR(VLOOKUP(CONCATENATE($B$8,"_",$B14),Data!$H$16:$BN$1015,E$11,FALSE),"")</f>
        <v>0</v>
      </c>
      <c r="F14" s="1428">
        <f>IFERROR(VLOOKUP(CONCATENATE($B$8,"_",$B14),Data!$H$16:$BN$1015,F$11,FALSE),"")</f>
        <v>0</v>
      </c>
      <c r="G14" s="1428">
        <f>IFERROR(VLOOKUP(CONCATENATE($B$8,"_",$B14),Data!$H$16:$BN$1015,G$11,FALSE),"")</f>
        <v>0</v>
      </c>
      <c r="H14" s="1429">
        <f>IFERROR(VLOOKUP(CONCATENATE($B$8,"_",$B14),Data!$H$16:$BN$1015,H$11,FALSE),"")</f>
        <v>0</v>
      </c>
      <c r="I14" s="1428">
        <f>IFERROR(VLOOKUP(CONCATENATE($B$8,"_",$B14),Data!$H$16:$BN$1015,I$11,FALSE),"")</f>
        <v>0</v>
      </c>
      <c r="J14" s="1428">
        <f>IFERROR(VLOOKUP(CONCATENATE($B$8,"_",$B14),Data!$H$16:$BN$1015,J$11,FALSE),"")</f>
        <v>0</v>
      </c>
      <c r="K14" s="1429">
        <f>IFERROR(VLOOKUP(CONCATENATE($B$8,"_",$B14),Data!$H$16:$BN$1015,K$11,FALSE),"")</f>
        <v>0</v>
      </c>
      <c r="L14" s="1428">
        <f>IFERROR(VLOOKUP(CONCATENATE($B$8,"_",$B14),Data!$H$16:$BN$1015,L$11,FALSE),"")</f>
        <v>0</v>
      </c>
      <c r="M14" s="1428">
        <f>IFERROR(VLOOKUP(CONCATENATE($B$8,"_",$B14),Data!$H$16:$BN$1015,M$11,FALSE),"")</f>
        <v>0</v>
      </c>
      <c r="N14" s="1429">
        <f>IFERROR(VLOOKUP(CONCATENATE($B$8,"_",$B14),Data!$H$16:$BN$1015,N$11,FALSE),"")</f>
        <v>0</v>
      </c>
      <c r="O14" s="1430">
        <f>IFERROR(VLOOKUP(CONCATENATE($B$8,"_",$B14),Data!$H$16:$BN$1015,O$11,FALSE),"")</f>
        <v>0</v>
      </c>
      <c r="P14" s="1428">
        <f>IFERROR(VLOOKUP(CONCATENATE($B$8,"_",$B14),Data!$H$16:$BN$1015,P$11,FALSE),"")</f>
        <v>0</v>
      </c>
      <c r="Q14" s="1428">
        <f>IFERROR(VLOOKUP(CONCATENATE($B$8,"_",$B14),Data!$H$16:$BN$1015,Q$11,FALSE),"")</f>
        <v>0</v>
      </c>
      <c r="R14" s="1429">
        <f>IFERROR(VLOOKUP(CONCATENATE($B$8,"_",$B14),Data!$H$16:$BN$1015,R$11,FALSE),"")</f>
        <v>0</v>
      </c>
      <c r="S14" s="1428">
        <f>IFERROR(VLOOKUP(CONCATENATE($B$8,"_",$B14),Data!$H$16:$BN$1015,S$11,FALSE),"")</f>
        <v>0</v>
      </c>
      <c r="T14" s="1428">
        <f>IFERROR(VLOOKUP(CONCATENATE($B$8,"_",$B14),Data!$H$16:$BN$1015,T$11,FALSE),"")</f>
        <v>0</v>
      </c>
      <c r="U14" s="1429">
        <f>IFERROR(VLOOKUP(CONCATENATE($B$8,"_",$B14),Data!$H$16:$BN$1015,U$11,FALSE),"")</f>
        <v>0</v>
      </c>
      <c r="V14" s="1428">
        <f>IFERROR(VLOOKUP(CONCATENATE($B$8,"_",$B14),Data!$H$16:$BN$1015,V$11,FALSE),"")</f>
        <v>0</v>
      </c>
      <c r="W14" s="1428">
        <f>IFERROR(VLOOKUP(CONCATENATE($B$8,"_",$B14),Data!$H$16:$BN$1015,W$11,FALSE),"")</f>
        <v>0</v>
      </c>
      <c r="X14" s="1428">
        <f>IFERROR(VLOOKUP(CONCATENATE($B$8,"_",$B14),Data!$H$16:$BN$1015,X$11,FALSE),"")</f>
        <v>0</v>
      </c>
      <c r="Y14" s="1428">
        <f>IFERROR(VLOOKUP(CONCATENATE($B$8,"_",$B14),Data!$H$16:$BN$1015,Y$11,FALSE),"")</f>
        <v>0</v>
      </c>
      <c r="Z14" s="1429">
        <f>IFERROR(VLOOKUP(CONCATENATE($B$8,"_",$B14),Data!$H$16:$BN$1015,Z$11,FALSE),"")</f>
        <v>0</v>
      </c>
      <c r="AA14" s="1428">
        <f>IFERROR(VLOOKUP(CONCATENATE($B$8,"_",$B14),Data!$H$16:$BN$1015,AA$11,FALSE),"")</f>
        <v>0</v>
      </c>
      <c r="AB14" s="1428">
        <f>IFERROR(VLOOKUP(CONCATENATE($B$8,"_",$B14),Data!$H$16:$BN$1015,AB$11,FALSE),"")</f>
        <v>0</v>
      </c>
      <c r="AC14" s="1429">
        <f>IFERROR(VLOOKUP(CONCATENATE($B$8,"_",$B14),Data!$H$16:$BN$1015,AC$11,FALSE),"")</f>
        <v>0</v>
      </c>
      <c r="AD14" s="1428">
        <f>IFERROR(VLOOKUP(CONCATENATE($B$8,"_",$B14),Data!$H$16:$BN$1015,AD$11,FALSE),"")</f>
        <v>0</v>
      </c>
      <c r="AE14" s="1428">
        <f>IFERROR(VLOOKUP(CONCATENATE($B$8,"_",$B14),Data!$H$16:$BN$1015,AE$11,FALSE),"")</f>
        <v>0</v>
      </c>
      <c r="AF14" s="1429">
        <f>IFERROR(VLOOKUP(CONCATENATE($B$8,"_",$B14),Data!$H$16:$BN$1015,AF$11,FALSE),"")</f>
        <v>0</v>
      </c>
      <c r="AG14" s="1428">
        <f>IFERROR(VLOOKUP(CONCATENATE($B$8,"_",$B14),Data!$H$16:$BN$1015,AG$11,FALSE),"")</f>
        <v>0</v>
      </c>
      <c r="AH14" s="1428">
        <f>IFERROR(VLOOKUP(CONCATENATE($B$8,"_",$B14),Data!$H$16:$BN$1015,AH$11,FALSE),"")</f>
        <v>0</v>
      </c>
      <c r="AI14" s="1429">
        <f>IFERROR(VLOOKUP(CONCATENATE($B$8,"_",$B14),Data!$H$16:$BN$1015,AI$11,FALSE),"")</f>
        <v>0</v>
      </c>
      <c r="AJ14" s="1428">
        <f>IFERROR(VLOOKUP(CONCATENATE($B$8,"_",$B14),Data!$H$16:$BN$1015,AJ$11,FALSE),"")</f>
        <v>0</v>
      </c>
      <c r="AK14" s="1428">
        <f>IFERROR(VLOOKUP(CONCATENATE($B$8,"_",$B14),Data!$H$16:$BN$1015,AK$11,FALSE),"")</f>
        <v>0</v>
      </c>
      <c r="AL14" s="1429">
        <f>IFERROR(VLOOKUP(CONCATENATE($B$8,"_",$B14),Data!$H$16:$BN$1015,AL$11,FALSE),"")</f>
        <v>0</v>
      </c>
      <c r="AM14" s="1428">
        <f>IFERROR(VLOOKUP(CONCATENATE($B$8,"_",$B14),Data!$H$16:$BN$1015,AM$11,FALSE),"")</f>
        <v>0</v>
      </c>
      <c r="AN14" s="1428">
        <f>IFERROR(VLOOKUP(CONCATENATE($B$8,"_",$B14),Data!$H$16:$BN$1015,AN$11,FALSE),"")</f>
        <v>0</v>
      </c>
      <c r="AO14" s="1430">
        <f>IFERROR(VLOOKUP(CONCATENATE($B$8,"_",$B14),Data!$H$16:$BN$1015,AO$11,FALSE),"")</f>
        <v>0</v>
      </c>
      <c r="AP14" s="1428">
        <f>IFERROR(VLOOKUP(CONCATENATE($B$8,"_",$B14),Data!$H$16:$BN$1015,AP$11,FALSE),"")</f>
        <v>0</v>
      </c>
      <c r="AQ14" s="1428">
        <f>IFERROR(VLOOKUP(CONCATENATE($B$8,"_",$B14),Data!$H$16:$BN$1015,AQ$11,FALSE),"")</f>
        <v>0</v>
      </c>
      <c r="AR14" s="1430">
        <f>IFERROR(VLOOKUP(CONCATENATE($B$8,"_",$B14),Data!$H$16:$BN$1015,AR$11,FALSE),"")</f>
        <v>0</v>
      </c>
      <c r="AS14" s="1428">
        <f>IFERROR(VLOOKUP(CONCATENATE($B$8,"_",$B14),Data!$H$16:$BN$1015,AS$11,FALSE),"")</f>
        <v>0</v>
      </c>
      <c r="AT14" s="1428">
        <f>IFERROR(VLOOKUP(CONCATENATE($B$8,"_",$B14),Data!$H$16:$BN$1015,AT$11,FALSE),"")</f>
        <v>0</v>
      </c>
      <c r="AU14" s="1430">
        <f>IFERROR(VLOOKUP(CONCATENATE($B$8,"_",$B14),Data!$H$16:$BN$1015,AU$11,FALSE),"")</f>
        <v>0</v>
      </c>
      <c r="AV14" s="1428">
        <f>IFERROR(VLOOKUP(CONCATENATE($B$8,"_",$B14),Data!$H$16:$BN$1015,AV$11,FALSE),"")</f>
        <v>0</v>
      </c>
      <c r="AW14" s="1428">
        <f>IFERROR(VLOOKUP(CONCATENATE($B$8,"_",$B14),Data!$H$16:$BN$1015,AW$11,FALSE),"")</f>
        <v>0</v>
      </c>
      <c r="AX14" s="1430">
        <f>IFERROR(VLOOKUP(CONCATENATE($B$8,"_",$B14),Data!$H$16:$BN$1015,AX$11,FALSE),"")</f>
        <v>0</v>
      </c>
      <c r="AY14" s="1429">
        <f>IFERROR(VLOOKUP(CONCATENATE($B$8,"_",$B14),Data!$H$16:$BN$1015,AY$11,FALSE),"")</f>
        <v>0</v>
      </c>
      <c r="AZ14" s="1429">
        <f>IFERROR(VLOOKUP(CONCATENATE($B$8,"_",$B14),Data!$H$16:$BN$1015,AZ$11,FALSE),"")</f>
        <v>0</v>
      </c>
      <c r="BA14" s="1429">
        <f>IFERROR(VLOOKUP(CONCATENATE($B$8,"_",$B14),Data!$H$16:$BN$1015,BA$11,FALSE),"")</f>
        <v>0</v>
      </c>
      <c r="BB14" s="1429">
        <f>IFERROR(VLOOKUP(CONCATENATE($B$8,"_",$B14),Data!$H$16:$BN$1015,BB$11,FALSE),"")</f>
        <v>0</v>
      </c>
      <c r="BC14" s="1429">
        <f>IFERROR(VLOOKUP(CONCATENATE($B$8,"_",$B14),Data!$H$16:$BN$1015,BC$11,FALSE),"")</f>
        <v>0</v>
      </c>
      <c r="BD14" s="1431">
        <f>IFERROR(VLOOKUP(CONCATENATE($B$8,"_",$B14),Data!$H$16:$BN$1015,BD$11,FALSE),"")</f>
        <v>0</v>
      </c>
      <c r="BE14" s="1439">
        <f t="shared" ref="BE14:BE72" si="0">B14</f>
        <v>2001</v>
      </c>
      <c r="BF14" s="1428">
        <f>IFERROR(VLOOKUP(CONCATENATE($B$8,"_",$B14),Data!$BO$16:$ES$1015,BF$11,FALSE),"")</f>
        <v>10619165.146137672</v>
      </c>
      <c r="BG14" s="1433">
        <f>IFERROR(VLOOKUP(CONCATENATE($B$8,"_",$B14),Data!$BO$16:$ES$1015,BG$11,FALSE),"")</f>
        <v>0</v>
      </c>
      <c r="BH14" s="1435">
        <f>IFERROR(VLOOKUP(CONCATENATE($B$8,"_",$B14),Data!$BO$16:$ES$1015,BH$11,FALSE),"")</f>
        <v>0</v>
      </c>
      <c r="BI14" s="1434">
        <f>IFERROR(VLOOKUP(CONCATENATE($B$8,"_",$B14),Data!$BO$16:$ES$1015,BI$11,FALSE),"")</f>
        <v>0</v>
      </c>
      <c r="BJ14" s="1428">
        <f>IFERROR(VLOOKUP(CONCATENATE($B$8,"_",$B14),Data!$BO$16:$ES$1015,BJ$11,FALSE),"")</f>
        <v>5356910.321424311</v>
      </c>
      <c r="BK14" s="1428">
        <f>IFERROR(VLOOKUP(CONCATENATE($B$8,"_",$B14),Data!$BO$16:$ES$1015,BK$11,FALSE),"")</f>
        <v>3593863.5685165208</v>
      </c>
      <c r="BL14" s="1428">
        <f>IFERROR(VLOOKUP(CONCATENATE($B$8,"_",$B14),Data!$BO$16:$ES$1015,BL$11,FALSE),"")</f>
        <v>1668391.2561968388</v>
      </c>
      <c r="BM14" s="1433">
        <f>IFERROR(VLOOKUP(CONCATENATE($B$8,"_",$B14),Data!$BO$16:$ES$1015,BM$11,FALSE),"")</f>
        <v>0</v>
      </c>
      <c r="BN14" s="1433">
        <f>IFERROR(VLOOKUP(CONCATENATE($B$8,"_",$B14),Data!$BO$16:$ES$1015,BN$11,FALSE),"")</f>
        <v>0</v>
      </c>
      <c r="BO14" s="1433">
        <f>IFERROR(VLOOKUP(CONCATENATE($B$8,"_",$B14),Data!$BO$16:$ES$1015,BO$11,FALSE),"")</f>
        <v>0</v>
      </c>
      <c r="BP14" s="1433">
        <f>IFERROR(VLOOKUP(CONCATENATE($B$8,"_",$B14),Data!$BO$16:$ES$1015,BP$11,FALSE),"")</f>
        <v>0</v>
      </c>
      <c r="BQ14" s="1433">
        <f>IFERROR(VLOOKUP(CONCATENATE($B$8,"_",$B14),Data!$BO$16:$ES$1015,BQ$11,FALSE),"")</f>
        <v>0</v>
      </c>
      <c r="BR14" s="1434">
        <f>IFERROR(VLOOKUP(CONCATENATE($B$8,"_",$B14),Data!$BO$16:$ES$1015,BR$11,FALSE),"")</f>
        <v>0</v>
      </c>
      <c r="BS14" s="1434">
        <f>IFERROR(VLOOKUP(CONCATENATE($B$8,"_",$B14),Data!$BO$16:$ES$1015,BS$11,FALSE),"")</f>
        <v>0</v>
      </c>
      <c r="BT14" s="1434">
        <f>IFERROR(VLOOKUP(CONCATENATE($B$8,"_",$B14),Data!$BO$16:$ES$1015,BT$11,FALSE),"")</f>
        <v>0</v>
      </c>
      <c r="BU14" s="1434">
        <f>IFERROR(VLOOKUP(CONCATENATE($B$8,"_",$B14),Data!$BO$16:$ES$1015,BU$11,FALSE),"")</f>
        <v>0</v>
      </c>
      <c r="BV14" s="1434">
        <f>IFERROR(VLOOKUP(CONCATENATE($B$8,"_",$B14),Data!$BO$16:$ES$1015,BV$11,FALSE),"")</f>
        <v>0</v>
      </c>
      <c r="BW14" s="1434">
        <f>IFERROR(VLOOKUP(CONCATENATE($B$8,"_",$B14),Data!$BO$16:$ES$1015,BW$11,FALSE),"")</f>
        <v>0</v>
      </c>
      <c r="BX14" s="1434">
        <f>IFERROR(VLOOKUP(CONCATENATE($B$8,"_",$B14),Data!$BO$16:$ES$1015,BX$11,FALSE),"")</f>
        <v>0</v>
      </c>
      <c r="BY14" s="1428">
        <f>IFERROR(VLOOKUP(CONCATENATE($B$8,"_",$B14),Data!$BO$16:$ES$1015,BY$11,FALSE),"")</f>
        <v>0</v>
      </c>
      <c r="BZ14" s="1428">
        <f>IFERROR(VLOOKUP(CONCATENATE($B$8,"_",$B14),Data!$BO$16:$ES$1015,BZ$11,FALSE),"")</f>
        <v>0</v>
      </c>
      <c r="CA14" s="1428">
        <f>IFERROR(VLOOKUP(CONCATENATE($B$8,"_",$B14),Data!$BO$16:$ES$1015,CA$11,FALSE),"")</f>
        <v>0</v>
      </c>
      <c r="CB14" s="1428">
        <f>IFERROR(VLOOKUP(CONCATENATE($B$8,"_",$B14),Data!$BO$16:$ES$1015,CB$11,FALSE),"")</f>
        <v>0</v>
      </c>
      <c r="CC14" s="1428">
        <f>IFERROR(VLOOKUP(CONCATENATE($B$8,"_",$B14),Data!$BO$16:$ES$1015,CC$11,FALSE),"")</f>
        <v>0</v>
      </c>
      <c r="CD14" s="1428">
        <f>IFERROR(VLOOKUP(CONCATENATE($B$8,"_",$B14),Data!$BO$16:$ES$1015,CD$11,FALSE),"")</f>
        <v>0</v>
      </c>
      <c r="CE14" s="1428">
        <f>IFERROR(VLOOKUP(CONCATENATE($B$8,"_",$B14),Data!$BO$16:$ES$1015,CE$11,FALSE),"")</f>
        <v>0</v>
      </c>
      <c r="CF14" s="1428">
        <f>IFERROR(VLOOKUP(CONCATENATE($B$8,"_",$B14),Data!$BO$16:$ES$1015,CF$11,FALSE),"")</f>
        <v>0</v>
      </c>
      <c r="CG14" s="1428">
        <f>IFERROR(VLOOKUP(CONCATENATE($B$8,"_",$B14),Data!$BO$16:$ES$1015,CG$11,FALSE),"")</f>
        <v>0</v>
      </c>
      <c r="CH14" s="1428">
        <f>IFERROR(VLOOKUP(CONCATENATE($B$8,"_",$B14),Data!$BO$16:$ES$1015,CH$11,FALSE),"")</f>
        <v>0</v>
      </c>
      <c r="CI14" s="1428">
        <f>IFERROR(VLOOKUP(CONCATENATE($B$8,"_",$B14),Data!$BO$16:$ES$1015,CI$11,FALSE),"")</f>
        <v>0</v>
      </c>
      <c r="CJ14" s="1428">
        <f>IFERROR(VLOOKUP(CONCATENATE($B$8,"_",$B14),Data!$BO$16:$ES$1015,CJ$11,FALSE),"")</f>
        <v>0</v>
      </c>
      <c r="CK14" s="1428">
        <f>IFERROR(VLOOKUP(CONCATENATE($B$8,"_",$B14),Data!$BO$16:$ES$1015,CK$11,FALSE),"")</f>
        <v>0</v>
      </c>
      <c r="CL14" s="1428">
        <f>IFERROR(VLOOKUP(CONCATENATE($B$8,"_",$B14),Data!$BO$16:$ES$1015,CL$11,FALSE),"")</f>
        <v>0</v>
      </c>
      <c r="CM14" s="1428">
        <f>IFERROR(VLOOKUP(CONCATENATE($B$8,"_",$B14),Data!$BO$16:$ES$1015,CM$11,FALSE),"")</f>
        <v>0</v>
      </c>
      <c r="CN14" s="1428">
        <f>IFERROR(VLOOKUP(CONCATENATE($B$8,"_",$B14),Data!$BO$16:$ES$1015,CN$11,FALSE),"")</f>
        <v>0</v>
      </c>
      <c r="CO14" s="1428">
        <f>IFERROR(VLOOKUP(CONCATENATE($B$8,"_",$B14),Data!$BO$16:$ES$1015,CO$11,FALSE),"")</f>
        <v>0</v>
      </c>
      <c r="CP14" s="1433">
        <f>IFERROR(VLOOKUP(CONCATENATE($B$8,"_",$B14),Data!$BO$16:$ES$1015,CP$11,FALSE),"")</f>
        <v>0</v>
      </c>
      <c r="CQ14" s="1433">
        <f>IFERROR(VLOOKUP(CONCATENATE($B$8,"_",$B14),Data!$BO$16:$ES$1015,CQ$11,FALSE),"")</f>
        <v>0</v>
      </c>
      <c r="CR14" s="1433">
        <f>IFERROR(VLOOKUP(CONCATENATE($B$8,"_",$B14),Data!$BO$16:$ES$1015,CR$11,FALSE),"")</f>
        <v>0</v>
      </c>
      <c r="CS14" s="1433">
        <f>IFERROR(VLOOKUP(CONCATENATE($B$8,"_",$B14),Data!$BO$16:$ES$1015,CS$11,FALSE),"")</f>
        <v>0</v>
      </c>
      <c r="CT14" s="1433">
        <f>IFERROR(VLOOKUP(CONCATENATE($B$8,"_",$B14),Data!$BO$16:$ES$1015,CT$11,FALSE),"")</f>
        <v>0</v>
      </c>
      <c r="CU14" s="1433">
        <f>IFERROR(VLOOKUP(CONCATENATE($B$8,"_",$B14),Data!$BO$16:$ES$1015,CU$11,FALSE),"")</f>
        <v>0</v>
      </c>
      <c r="CV14" s="1433">
        <f>IFERROR(VLOOKUP(CONCATENATE($B$8,"_",$B14),Data!$BO$16:$ES$1015,CV$11,FALSE),"")</f>
        <v>0</v>
      </c>
      <c r="CW14" s="1433">
        <f>IFERROR(VLOOKUP(CONCATENATE($B$8,"_",$B14),Data!$BO$16:$ES$1015,CW$11,FALSE),"")</f>
        <v>0</v>
      </c>
      <c r="CX14" s="1433">
        <f>IFERROR(VLOOKUP(CONCATENATE($B$8,"_",$B14),Data!$BO$16:$ES$1015,CX$11,FALSE),"")</f>
        <v>0</v>
      </c>
      <c r="CY14" s="1433">
        <f>IFERROR(VLOOKUP(CONCATENATE($B$8,"_",$B14),Data!$BO$16:$ES$1015,CY$11,FALSE),"")</f>
        <v>0</v>
      </c>
      <c r="CZ14" s="1433">
        <f>IFERROR(VLOOKUP(CONCATENATE($B$8,"_",$B14),Data!$BO$16:$ES$1015,CZ$11,FALSE),"")</f>
        <v>0</v>
      </c>
      <c r="DA14" s="1433">
        <f>IFERROR(VLOOKUP(CONCATENATE($B$8,"_",$B14),Data!$BO$16:$ES$1015,DA$11,FALSE),"")</f>
        <v>0</v>
      </c>
      <c r="DB14" s="1433">
        <f>IFERROR(VLOOKUP(CONCATENATE($B$8,"_",$B14),Data!$BO$16:$ES$1015,DB$11,FALSE),"")</f>
        <v>0</v>
      </c>
      <c r="DC14" s="1433">
        <f>IFERROR(VLOOKUP(CONCATENATE($B$8,"_",$B14),Data!$BO$16:$ES$1015,DC$11,FALSE),"")</f>
        <v>0</v>
      </c>
      <c r="DD14" s="1433">
        <f>IFERROR(VLOOKUP(CONCATENATE($B$8,"_",$B14),Data!$BO$16:$ES$1015,DD$11,FALSE),"")</f>
        <v>0</v>
      </c>
      <c r="DE14" s="1433">
        <f>IFERROR(VLOOKUP(CONCATENATE($B$8,"_",$B14),Data!$BO$16:$ES$1015,DE$11,FALSE),"")</f>
        <v>0</v>
      </c>
      <c r="DF14" s="1433">
        <f>IFERROR(VLOOKUP(CONCATENATE($B$8,"_",$B14),Data!$BO$16:$ES$1015,DF$11,FALSE),"")</f>
        <v>0</v>
      </c>
      <c r="DG14" s="1433">
        <f>IFERROR(VLOOKUP(CONCATENATE($B$8,"_",$B14),Data!$BO$16:$ES$1015,DG$11,FALSE),"")</f>
        <v>0</v>
      </c>
      <c r="DH14" s="1433">
        <f>IFERROR(VLOOKUP(CONCATENATE($B$8,"_",$B14),Data!$BO$16:$ES$1015,DH$11,FALSE),"")</f>
        <v>0</v>
      </c>
      <c r="DI14" s="1433">
        <f>IFERROR(VLOOKUP(CONCATENATE($B$8,"_",$B14),Data!$BO$16:$ES$1015,DI$11,FALSE),"")</f>
        <v>0</v>
      </c>
      <c r="DJ14" s="1433">
        <f>IFERROR(VLOOKUP(CONCATENATE($B$8,"_",$B14),Data!$BO$16:$ES$1015,DJ$11,FALSE),"")</f>
        <v>0</v>
      </c>
      <c r="DK14" s="1433">
        <f>IFERROR(VLOOKUP(CONCATENATE($B$8,"_",$B14),Data!$BO$16:$ES$1015,DK$11,FALSE),"")</f>
        <v>0</v>
      </c>
      <c r="DL14" s="1435">
        <f>IFERROR(VLOOKUP(CONCATENATE($B$8,"_",$B14),Data!$BO$16:$ES$1015,DL$11,FALSE),"")</f>
        <v>0</v>
      </c>
      <c r="DM14" s="1434">
        <f>IFERROR(VLOOKUP(CONCATENATE($B$8,"_",$B14),Data!$BO$16:$ES$1015,DM$11,FALSE),"")</f>
        <v>0</v>
      </c>
      <c r="DN14" s="1434">
        <f>IFERROR(VLOOKUP(CONCATENATE($B$8,"_",$B14),Data!$BO$16:$ES$1015,DN$11,FALSE),"")</f>
        <v>0</v>
      </c>
      <c r="DO14" s="1434">
        <f>IFERROR(VLOOKUP(CONCATENATE($B$8,"_",$B14),Data!$BO$16:$ES$1015,DO$11,FALSE),"")</f>
        <v>0</v>
      </c>
      <c r="DP14" s="1434">
        <f>IFERROR(VLOOKUP(CONCATENATE($B$8,"_",$B14),Data!$BO$16:$ES$1015,DP$11,FALSE),"")</f>
        <v>0</v>
      </c>
      <c r="DQ14" s="1434">
        <f>IFERROR(VLOOKUP(CONCATENATE($B$8,"_",$B14),Data!$BO$16:$ES$1015,DQ$11,FALSE),"")</f>
        <v>0</v>
      </c>
      <c r="DR14" s="1434">
        <f>IFERROR(VLOOKUP(CONCATENATE($B$8,"_",$B14),Data!$BO$16:$ES$1015,DR$11,FALSE),"")</f>
        <v>0</v>
      </c>
      <c r="DS14" s="1434">
        <f>IFERROR(VLOOKUP(CONCATENATE($B$8,"_",$B14),Data!$BO$16:$ES$1015,DS$11,FALSE),"")</f>
        <v>0</v>
      </c>
      <c r="DT14" s="1434">
        <f>IFERROR(VLOOKUP(CONCATENATE($B$8,"_",$B14),Data!$BO$16:$ES$1015,DT$11,FALSE),"")</f>
        <v>0</v>
      </c>
      <c r="DU14" s="1434">
        <f>IFERROR(VLOOKUP(CONCATENATE($B$8,"_",$B14),Data!$BO$16:$ES$1015,DU$11,FALSE),"")</f>
        <v>0</v>
      </c>
      <c r="DV14" s="1434">
        <f>IFERROR(VLOOKUP(CONCATENATE($B$8,"_",$B14),Data!$BO$16:$ES$1015,DV$11,FALSE),"")</f>
        <v>0</v>
      </c>
      <c r="DW14" s="1434">
        <f>IFERROR(VLOOKUP(CONCATENATE($B$8,"_",$B14),Data!$BO$16:$ES$1015,DW$11,FALSE),"")</f>
        <v>0</v>
      </c>
      <c r="DX14" s="1434">
        <f>IFERROR(VLOOKUP(CONCATENATE($B$8,"_",$B14),Data!$BO$16:$ES$1015,DX$11,FALSE),"")</f>
        <v>0</v>
      </c>
      <c r="DY14" s="1434">
        <f>IFERROR(VLOOKUP(CONCATENATE($B$8,"_",$B14),Data!$BO$16:$ES$1015,DY$11,FALSE),"")</f>
        <v>0</v>
      </c>
      <c r="DZ14" s="1434">
        <f>IFERROR(VLOOKUP(CONCATENATE($B$8,"_",$B14),Data!$BO$16:$ES$1015,DZ$11,FALSE),"")</f>
        <v>0</v>
      </c>
      <c r="EA14" s="1434">
        <f>IFERROR(VLOOKUP(CONCATENATE($B$8,"_",$B14),Data!$BO$16:$ES$1015,EA$11,FALSE),"")</f>
        <v>0</v>
      </c>
      <c r="EB14" s="1434">
        <f>IFERROR(VLOOKUP(CONCATENATE($B$8,"_",$B14),Data!$BO$16:$ES$1015,EB$11,FALSE),"")</f>
        <v>0</v>
      </c>
      <c r="EC14" s="1434">
        <f>IFERROR(VLOOKUP(CONCATENATE($B$8,"_",$B14),Data!$BO$16:$ES$1015,EC$11,FALSE),"")</f>
        <v>0</v>
      </c>
      <c r="ED14" s="1434">
        <f>IFERROR(VLOOKUP(CONCATENATE($B$8,"_",$B14),Data!$BO$16:$ES$1015,ED$11,FALSE),"")</f>
        <v>0</v>
      </c>
      <c r="EE14" s="1434">
        <f>IFERROR(VLOOKUP(CONCATENATE($B$8,"_",$B14),Data!$BO$16:$ES$1015,EE$11,FALSE),"")</f>
        <v>0</v>
      </c>
      <c r="EF14" s="1434">
        <f>IFERROR(VLOOKUP(CONCATENATE($B$8,"_",$B14),Data!$BO$16:$ES$1015,EF$11,FALSE),"")</f>
        <v>0</v>
      </c>
      <c r="EG14" s="1434">
        <f>IFERROR(VLOOKUP(CONCATENATE($B$8,"_",$B14),Data!$BO$16:$ES$1015,EG$11,FALSE),"")</f>
        <v>0</v>
      </c>
      <c r="EH14" s="1434">
        <f>IFERROR(VLOOKUP(CONCATENATE($B$8,"_",$B14),Data!$BO$16:$ES$1015,EH$11,FALSE),"")</f>
        <v>0</v>
      </c>
      <c r="EI14" s="1434">
        <f>IFERROR(VLOOKUP(CONCATENATE($B$8,"_",$B14),Data!$BO$16:$ES$1015,EI$11,FALSE),"")</f>
        <v>0</v>
      </c>
      <c r="EK14" s="1437"/>
    </row>
    <row r="15" spans="1:148" s="1440" customFormat="1" ht="15" customHeight="1">
      <c r="A15" s="1438">
        <v>2</v>
      </c>
      <c r="B15" s="1738">
        <f>IF($B$13+A15&lt;=Progress!$D$18,$B$13+A15,"")</f>
        <v>2002</v>
      </c>
      <c r="C15" s="1737">
        <f>IFERROR(VLOOKUP(CONCATENATE($B$8,"_",$B15),Data!$H$16:$BN$1015,C$11,FALSE),"")</f>
        <v>0</v>
      </c>
      <c r="D15" s="1428">
        <f>IFERROR(VLOOKUP(CONCATENATE($B$8,"_",$B15),Data!$H$16:$BN$1015,D$11,FALSE),"")</f>
        <v>0</v>
      </c>
      <c r="E15" s="1429">
        <f>IFERROR(VLOOKUP(CONCATENATE($B$8,"_",$B15),Data!$H$16:$BN$1015,E$11,FALSE),"")</f>
        <v>0</v>
      </c>
      <c r="F15" s="1428">
        <f>IFERROR(VLOOKUP(CONCATENATE($B$8,"_",$B15),Data!$H$16:$BN$1015,F$11,FALSE),"")</f>
        <v>0</v>
      </c>
      <c r="G15" s="1428">
        <f>IFERROR(VLOOKUP(CONCATENATE($B$8,"_",$B15),Data!$H$16:$BN$1015,G$11,FALSE),"")</f>
        <v>0</v>
      </c>
      <c r="H15" s="1429">
        <f>IFERROR(VLOOKUP(CONCATENATE($B$8,"_",$B15),Data!$H$16:$BN$1015,H$11,FALSE),"")</f>
        <v>0</v>
      </c>
      <c r="I15" s="1428">
        <f>IFERROR(VLOOKUP(CONCATENATE($B$8,"_",$B15),Data!$H$16:$BN$1015,I$11,FALSE),"")</f>
        <v>0</v>
      </c>
      <c r="J15" s="1428">
        <f>IFERROR(VLOOKUP(CONCATENATE($B$8,"_",$B15),Data!$H$16:$BN$1015,J$11,FALSE),"")</f>
        <v>0</v>
      </c>
      <c r="K15" s="1429">
        <f>IFERROR(VLOOKUP(CONCATENATE($B$8,"_",$B15),Data!$H$16:$BN$1015,K$11,FALSE),"")</f>
        <v>0</v>
      </c>
      <c r="L15" s="1428">
        <f>IFERROR(VLOOKUP(CONCATENATE($B$8,"_",$B15),Data!$H$16:$BN$1015,L$11,FALSE),"")</f>
        <v>0</v>
      </c>
      <c r="M15" s="1428">
        <f>IFERROR(VLOOKUP(CONCATENATE($B$8,"_",$B15),Data!$H$16:$BN$1015,M$11,FALSE),"")</f>
        <v>0</v>
      </c>
      <c r="N15" s="1429">
        <f>IFERROR(VLOOKUP(CONCATENATE($B$8,"_",$B15),Data!$H$16:$BN$1015,N$11,FALSE),"")</f>
        <v>0</v>
      </c>
      <c r="O15" s="1430">
        <f>IFERROR(VLOOKUP(CONCATENATE($B$8,"_",$B15),Data!$H$16:$BN$1015,O$11,FALSE),"")</f>
        <v>0</v>
      </c>
      <c r="P15" s="1428">
        <f>IFERROR(VLOOKUP(CONCATENATE($B$8,"_",$B15),Data!$H$16:$BN$1015,P$11,FALSE),"")</f>
        <v>0</v>
      </c>
      <c r="Q15" s="1428">
        <f>IFERROR(VLOOKUP(CONCATENATE($B$8,"_",$B15),Data!$H$16:$BN$1015,Q$11,FALSE),"")</f>
        <v>0</v>
      </c>
      <c r="R15" s="1429">
        <f>IFERROR(VLOOKUP(CONCATENATE($B$8,"_",$B15),Data!$H$16:$BN$1015,R$11,FALSE),"")</f>
        <v>0</v>
      </c>
      <c r="S15" s="1428">
        <f>IFERROR(VLOOKUP(CONCATENATE($B$8,"_",$B15),Data!$H$16:$BN$1015,S$11,FALSE),"")</f>
        <v>0</v>
      </c>
      <c r="T15" s="1428">
        <f>IFERROR(VLOOKUP(CONCATENATE($B$8,"_",$B15),Data!$H$16:$BN$1015,T$11,FALSE),"")</f>
        <v>0</v>
      </c>
      <c r="U15" s="1429">
        <f>IFERROR(VLOOKUP(CONCATENATE($B$8,"_",$B15),Data!$H$16:$BN$1015,U$11,FALSE),"")</f>
        <v>0</v>
      </c>
      <c r="V15" s="1428">
        <f>IFERROR(VLOOKUP(CONCATENATE($B$8,"_",$B15),Data!$H$16:$BN$1015,V$11,FALSE),"")</f>
        <v>0</v>
      </c>
      <c r="W15" s="1428">
        <f>IFERROR(VLOOKUP(CONCATENATE($B$8,"_",$B15),Data!$H$16:$BN$1015,W$11,FALSE),"")</f>
        <v>0</v>
      </c>
      <c r="X15" s="1428">
        <f>IFERROR(VLOOKUP(CONCATENATE($B$8,"_",$B15),Data!$H$16:$BN$1015,X$11,FALSE),"")</f>
        <v>0</v>
      </c>
      <c r="Y15" s="1428">
        <f>IFERROR(VLOOKUP(CONCATENATE($B$8,"_",$B15),Data!$H$16:$BN$1015,Y$11,FALSE),"")</f>
        <v>0</v>
      </c>
      <c r="Z15" s="1429">
        <f>IFERROR(VLOOKUP(CONCATENATE($B$8,"_",$B15),Data!$H$16:$BN$1015,Z$11,FALSE),"")</f>
        <v>0</v>
      </c>
      <c r="AA15" s="1428">
        <f>IFERROR(VLOOKUP(CONCATENATE($B$8,"_",$B15),Data!$H$16:$BN$1015,AA$11,FALSE),"")</f>
        <v>0</v>
      </c>
      <c r="AB15" s="1428">
        <f>IFERROR(VLOOKUP(CONCATENATE($B$8,"_",$B15),Data!$H$16:$BN$1015,AB$11,FALSE),"")</f>
        <v>0</v>
      </c>
      <c r="AC15" s="1429">
        <f>IFERROR(VLOOKUP(CONCATENATE($B$8,"_",$B15),Data!$H$16:$BN$1015,AC$11,FALSE),"")</f>
        <v>0</v>
      </c>
      <c r="AD15" s="1428">
        <f>IFERROR(VLOOKUP(CONCATENATE($B$8,"_",$B15),Data!$H$16:$BN$1015,AD$11,FALSE),"")</f>
        <v>0</v>
      </c>
      <c r="AE15" s="1428">
        <f>IFERROR(VLOOKUP(CONCATENATE($B$8,"_",$B15),Data!$H$16:$BN$1015,AE$11,FALSE),"")</f>
        <v>0</v>
      </c>
      <c r="AF15" s="1429">
        <f>IFERROR(VLOOKUP(CONCATENATE($B$8,"_",$B15),Data!$H$16:$BN$1015,AF$11,FALSE),"")</f>
        <v>0</v>
      </c>
      <c r="AG15" s="1428">
        <f>IFERROR(VLOOKUP(CONCATENATE($B$8,"_",$B15),Data!$H$16:$BN$1015,AG$11,FALSE),"")</f>
        <v>0</v>
      </c>
      <c r="AH15" s="1428">
        <f>IFERROR(VLOOKUP(CONCATENATE($B$8,"_",$B15),Data!$H$16:$BN$1015,AH$11,FALSE),"")</f>
        <v>0</v>
      </c>
      <c r="AI15" s="1429">
        <f>IFERROR(VLOOKUP(CONCATENATE($B$8,"_",$B15),Data!$H$16:$BN$1015,AI$11,FALSE),"")</f>
        <v>0</v>
      </c>
      <c r="AJ15" s="1428">
        <f>IFERROR(VLOOKUP(CONCATENATE($B$8,"_",$B15),Data!$H$16:$BN$1015,AJ$11,FALSE),"")</f>
        <v>0</v>
      </c>
      <c r="AK15" s="1428">
        <f>IFERROR(VLOOKUP(CONCATENATE($B$8,"_",$B15),Data!$H$16:$BN$1015,AK$11,FALSE),"")</f>
        <v>0</v>
      </c>
      <c r="AL15" s="1429">
        <f>IFERROR(VLOOKUP(CONCATENATE($B$8,"_",$B15),Data!$H$16:$BN$1015,AL$11,FALSE),"")</f>
        <v>0</v>
      </c>
      <c r="AM15" s="1428">
        <f>IFERROR(VLOOKUP(CONCATENATE($B$8,"_",$B15),Data!$H$16:$BN$1015,AM$11,FALSE),"")</f>
        <v>0</v>
      </c>
      <c r="AN15" s="1428">
        <f>IFERROR(VLOOKUP(CONCATENATE($B$8,"_",$B15),Data!$H$16:$BN$1015,AN$11,FALSE),"")</f>
        <v>0</v>
      </c>
      <c r="AO15" s="1430">
        <f>IFERROR(VLOOKUP(CONCATENATE($B$8,"_",$B15),Data!$H$16:$BN$1015,AO$11,FALSE),"")</f>
        <v>0</v>
      </c>
      <c r="AP15" s="1428">
        <f>IFERROR(VLOOKUP(CONCATENATE($B$8,"_",$B15),Data!$H$16:$BN$1015,AP$11,FALSE),"")</f>
        <v>0</v>
      </c>
      <c r="AQ15" s="1428">
        <f>IFERROR(VLOOKUP(CONCATENATE($B$8,"_",$B15),Data!$H$16:$BN$1015,AQ$11,FALSE),"")</f>
        <v>0</v>
      </c>
      <c r="AR15" s="1430">
        <f>IFERROR(VLOOKUP(CONCATENATE($B$8,"_",$B15),Data!$H$16:$BN$1015,AR$11,FALSE),"")</f>
        <v>0</v>
      </c>
      <c r="AS15" s="1428">
        <f>IFERROR(VLOOKUP(CONCATENATE($B$8,"_",$B15),Data!$H$16:$BN$1015,AS$11,FALSE),"")</f>
        <v>0</v>
      </c>
      <c r="AT15" s="1428">
        <f>IFERROR(VLOOKUP(CONCATENATE($B$8,"_",$B15),Data!$H$16:$BN$1015,AT$11,FALSE),"")</f>
        <v>0</v>
      </c>
      <c r="AU15" s="1430">
        <f>IFERROR(VLOOKUP(CONCATENATE($B$8,"_",$B15),Data!$H$16:$BN$1015,AU$11,FALSE),"")</f>
        <v>0</v>
      </c>
      <c r="AV15" s="1428">
        <f>IFERROR(VLOOKUP(CONCATENATE($B$8,"_",$B15),Data!$H$16:$BN$1015,AV$11,FALSE),"")</f>
        <v>0</v>
      </c>
      <c r="AW15" s="1428">
        <f>IFERROR(VLOOKUP(CONCATENATE($B$8,"_",$B15),Data!$H$16:$BN$1015,AW$11,FALSE),"")</f>
        <v>0</v>
      </c>
      <c r="AX15" s="1430">
        <f>IFERROR(VLOOKUP(CONCATENATE($B$8,"_",$B15),Data!$H$16:$BN$1015,AX$11,FALSE),"")</f>
        <v>0</v>
      </c>
      <c r="AY15" s="1429">
        <f>IFERROR(VLOOKUP(CONCATENATE($B$8,"_",$B15),Data!$H$16:$BN$1015,AY$11,FALSE),"")</f>
        <v>0</v>
      </c>
      <c r="AZ15" s="1429">
        <f>IFERROR(VLOOKUP(CONCATENATE($B$8,"_",$B15),Data!$H$16:$BN$1015,AZ$11,FALSE),"")</f>
        <v>0</v>
      </c>
      <c r="BA15" s="1429">
        <f>IFERROR(VLOOKUP(CONCATENATE($B$8,"_",$B15),Data!$H$16:$BN$1015,BA$11,FALSE),"")</f>
        <v>0</v>
      </c>
      <c r="BB15" s="1429">
        <f>IFERROR(VLOOKUP(CONCATENATE($B$8,"_",$B15),Data!$H$16:$BN$1015,BB$11,FALSE),"")</f>
        <v>0</v>
      </c>
      <c r="BC15" s="1429">
        <f>IFERROR(VLOOKUP(CONCATENATE($B$8,"_",$B15),Data!$H$16:$BN$1015,BC$11,FALSE),"")</f>
        <v>0</v>
      </c>
      <c r="BD15" s="1431">
        <f>IFERROR(VLOOKUP(CONCATENATE($B$8,"_",$B15),Data!$H$16:$BN$1015,BD$11,FALSE),"")</f>
        <v>0</v>
      </c>
      <c r="BE15" s="1439">
        <f t="shared" si="0"/>
        <v>2002</v>
      </c>
      <c r="BF15" s="1428">
        <f>IFERROR(VLOOKUP(CONCATENATE($B$8,"_",$B15),Data!$BO$16:$ES$1015,BF$11,FALSE),"")</f>
        <v>10083642.440074343</v>
      </c>
      <c r="BG15" s="1433">
        <f>IFERROR(VLOOKUP(CONCATENATE($B$8,"_",$B15),Data!$BO$16:$ES$1015,BG$11,FALSE),"")</f>
        <v>0</v>
      </c>
      <c r="BH15" s="1435">
        <f>IFERROR(VLOOKUP(CONCATENATE($B$8,"_",$B15),Data!$BO$16:$ES$1015,BH$11,FALSE),"")</f>
        <v>0</v>
      </c>
      <c r="BI15" s="1434">
        <f>IFERROR(VLOOKUP(CONCATENATE($B$8,"_",$B15),Data!$BO$16:$ES$1015,BI$11,FALSE),"")</f>
        <v>0</v>
      </c>
      <c r="BJ15" s="1428">
        <f>IFERROR(VLOOKUP(CONCATENATE($B$8,"_",$B15),Data!$BO$16:$ES$1015,BJ$11,FALSE),"")</f>
        <v>4920970.0677615916</v>
      </c>
      <c r="BK15" s="1428">
        <f>IFERROR(VLOOKUP(CONCATENATE($B$8,"_",$B15),Data!$BO$16:$ES$1015,BK$11,FALSE),"")</f>
        <v>3487261.772628325</v>
      </c>
      <c r="BL15" s="1428">
        <f>IFERROR(VLOOKUP(CONCATENATE($B$8,"_",$B15),Data!$BO$16:$ES$1015,BL$11,FALSE),"")</f>
        <v>1675410.5996844266</v>
      </c>
      <c r="BM15" s="1433">
        <f>IFERROR(VLOOKUP(CONCATENATE($B$8,"_",$B15),Data!$BO$16:$ES$1015,BM$11,FALSE),"")</f>
        <v>0</v>
      </c>
      <c r="BN15" s="1433">
        <f>IFERROR(VLOOKUP(CONCATENATE($B$8,"_",$B15),Data!$BO$16:$ES$1015,BN$11,FALSE),"")</f>
        <v>0</v>
      </c>
      <c r="BO15" s="1433">
        <f>IFERROR(VLOOKUP(CONCATENATE($B$8,"_",$B15),Data!$BO$16:$ES$1015,BO$11,FALSE),"")</f>
        <v>0</v>
      </c>
      <c r="BP15" s="1433">
        <f>IFERROR(VLOOKUP(CONCATENATE($B$8,"_",$B15),Data!$BO$16:$ES$1015,BP$11,FALSE),"")</f>
        <v>0</v>
      </c>
      <c r="BQ15" s="1433">
        <f>IFERROR(VLOOKUP(CONCATENATE($B$8,"_",$B15),Data!$BO$16:$ES$1015,BQ$11,FALSE),"")</f>
        <v>0</v>
      </c>
      <c r="BR15" s="1434">
        <f>IFERROR(VLOOKUP(CONCATENATE($B$8,"_",$B15),Data!$BO$16:$ES$1015,BR$11,FALSE),"")</f>
        <v>0</v>
      </c>
      <c r="BS15" s="1434">
        <f>IFERROR(VLOOKUP(CONCATENATE($B$8,"_",$B15),Data!$BO$16:$ES$1015,BS$11,FALSE),"")</f>
        <v>0</v>
      </c>
      <c r="BT15" s="1434">
        <f>IFERROR(VLOOKUP(CONCATENATE($B$8,"_",$B15),Data!$BO$16:$ES$1015,BT$11,FALSE),"")</f>
        <v>0</v>
      </c>
      <c r="BU15" s="1434">
        <f>IFERROR(VLOOKUP(CONCATENATE($B$8,"_",$B15),Data!$BO$16:$ES$1015,BU$11,FALSE),"")</f>
        <v>0</v>
      </c>
      <c r="BV15" s="1434">
        <f>IFERROR(VLOOKUP(CONCATENATE($B$8,"_",$B15),Data!$BO$16:$ES$1015,BV$11,FALSE),"")</f>
        <v>0</v>
      </c>
      <c r="BW15" s="1434">
        <f>IFERROR(VLOOKUP(CONCATENATE($B$8,"_",$B15),Data!$BO$16:$ES$1015,BW$11,FALSE),"")</f>
        <v>0</v>
      </c>
      <c r="BX15" s="1434">
        <f>IFERROR(VLOOKUP(CONCATENATE($B$8,"_",$B15),Data!$BO$16:$ES$1015,BX$11,FALSE),"")</f>
        <v>0</v>
      </c>
      <c r="BY15" s="1428">
        <f>IFERROR(VLOOKUP(CONCATENATE($B$8,"_",$B15),Data!$BO$16:$ES$1015,BY$11,FALSE),"")</f>
        <v>0</v>
      </c>
      <c r="BZ15" s="1428">
        <f>IFERROR(VLOOKUP(CONCATENATE($B$8,"_",$B15),Data!$BO$16:$ES$1015,BZ$11,FALSE),"")</f>
        <v>0</v>
      </c>
      <c r="CA15" s="1428">
        <f>IFERROR(VLOOKUP(CONCATENATE($B$8,"_",$B15),Data!$BO$16:$ES$1015,CA$11,FALSE),"")</f>
        <v>0</v>
      </c>
      <c r="CB15" s="1428">
        <f>IFERROR(VLOOKUP(CONCATENATE($B$8,"_",$B15),Data!$BO$16:$ES$1015,CB$11,FALSE),"")</f>
        <v>0</v>
      </c>
      <c r="CC15" s="1428">
        <f>IFERROR(VLOOKUP(CONCATENATE($B$8,"_",$B15),Data!$BO$16:$ES$1015,CC$11,FALSE),"")</f>
        <v>0</v>
      </c>
      <c r="CD15" s="1428">
        <f>IFERROR(VLOOKUP(CONCATENATE($B$8,"_",$B15),Data!$BO$16:$ES$1015,CD$11,FALSE),"")</f>
        <v>0</v>
      </c>
      <c r="CE15" s="1428">
        <f>IFERROR(VLOOKUP(CONCATENATE($B$8,"_",$B15),Data!$BO$16:$ES$1015,CE$11,FALSE),"")</f>
        <v>0</v>
      </c>
      <c r="CF15" s="1428">
        <f>IFERROR(VLOOKUP(CONCATENATE($B$8,"_",$B15),Data!$BO$16:$ES$1015,CF$11,FALSE),"")</f>
        <v>0</v>
      </c>
      <c r="CG15" s="1428">
        <f>IFERROR(VLOOKUP(CONCATENATE($B$8,"_",$B15),Data!$BO$16:$ES$1015,CG$11,FALSE),"")</f>
        <v>0</v>
      </c>
      <c r="CH15" s="1428">
        <f>IFERROR(VLOOKUP(CONCATENATE($B$8,"_",$B15),Data!$BO$16:$ES$1015,CH$11,FALSE),"")</f>
        <v>0</v>
      </c>
      <c r="CI15" s="1428">
        <f>IFERROR(VLOOKUP(CONCATENATE($B$8,"_",$B15),Data!$BO$16:$ES$1015,CI$11,FALSE),"")</f>
        <v>0</v>
      </c>
      <c r="CJ15" s="1428">
        <f>IFERROR(VLOOKUP(CONCATENATE($B$8,"_",$B15),Data!$BO$16:$ES$1015,CJ$11,FALSE),"")</f>
        <v>0</v>
      </c>
      <c r="CK15" s="1428">
        <f>IFERROR(VLOOKUP(CONCATENATE($B$8,"_",$B15),Data!$BO$16:$ES$1015,CK$11,FALSE),"")</f>
        <v>0</v>
      </c>
      <c r="CL15" s="1428">
        <f>IFERROR(VLOOKUP(CONCATENATE($B$8,"_",$B15),Data!$BO$16:$ES$1015,CL$11,FALSE),"")</f>
        <v>0</v>
      </c>
      <c r="CM15" s="1428">
        <f>IFERROR(VLOOKUP(CONCATENATE($B$8,"_",$B15),Data!$BO$16:$ES$1015,CM$11,FALSE),"")</f>
        <v>0</v>
      </c>
      <c r="CN15" s="1428">
        <f>IFERROR(VLOOKUP(CONCATENATE($B$8,"_",$B15),Data!$BO$16:$ES$1015,CN$11,FALSE),"")</f>
        <v>0</v>
      </c>
      <c r="CO15" s="1428">
        <f>IFERROR(VLOOKUP(CONCATENATE($B$8,"_",$B15),Data!$BO$16:$ES$1015,CO$11,FALSE),"")</f>
        <v>0</v>
      </c>
      <c r="CP15" s="1433">
        <f>IFERROR(VLOOKUP(CONCATENATE($B$8,"_",$B15),Data!$BO$16:$ES$1015,CP$11,FALSE),"")</f>
        <v>0</v>
      </c>
      <c r="CQ15" s="1433">
        <f>IFERROR(VLOOKUP(CONCATENATE($B$8,"_",$B15),Data!$BO$16:$ES$1015,CQ$11,FALSE),"")</f>
        <v>0</v>
      </c>
      <c r="CR15" s="1433">
        <f>IFERROR(VLOOKUP(CONCATENATE($B$8,"_",$B15),Data!$BO$16:$ES$1015,CR$11,FALSE),"")</f>
        <v>0</v>
      </c>
      <c r="CS15" s="1433">
        <f>IFERROR(VLOOKUP(CONCATENATE($B$8,"_",$B15),Data!$BO$16:$ES$1015,CS$11,FALSE),"")</f>
        <v>0</v>
      </c>
      <c r="CT15" s="1433">
        <f>IFERROR(VLOOKUP(CONCATENATE($B$8,"_",$B15),Data!$BO$16:$ES$1015,CT$11,FALSE),"")</f>
        <v>0</v>
      </c>
      <c r="CU15" s="1433">
        <f>IFERROR(VLOOKUP(CONCATENATE($B$8,"_",$B15),Data!$BO$16:$ES$1015,CU$11,FALSE),"")</f>
        <v>0</v>
      </c>
      <c r="CV15" s="1433">
        <f>IFERROR(VLOOKUP(CONCATENATE($B$8,"_",$B15),Data!$BO$16:$ES$1015,CV$11,FALSE),"")</f>
        <v>0</v>
      </c>
      <c r="CW15" s="1433">
        <f>IFERROR(VLOOKUP(CONCATENATE($B$8,"_",$B15),Data!$BO$16:$ES$1015,CW$11,FALSE),"")</f>
        <v>0</v>
      </c>
      <c r="CX15" s="1433">
        <f>IFERROR(VLOOKUP(CONCATENATE($B$8,"_",$B15),Data!$BO$16:$ES$1015,CX$11,FALSE),"")</f>
        <v>0</v>
      </c>
      <c r="CY15" s="1433">
        <f>IFERROR(VLOOKUP(CONCATENATE($B$8,"_",$B15),Data!$BO$16:$ES$1015,CY$11,FALSE),"")</f>
        <v>0</v>
      </c>
      <c r="CZ15" s="1433">
        <f>IFERROR(VLOOKUP(CONCATENATE($B$8,"_",$B15),Data!$BO$16:$ES$1015,CZ$11,FALSE),"")</f>
        <v>0</v>
      </c>
      <c r="DA15" s="1433">
        <f>IFERROR(VLOOKUP(CONCATENATE($B$8,"_",$B15),Data!$BO$16:$ES$1015,DA$11,FALSE),"")</f>
        <v>0</v>
      </c>
      <c r="DB15" s="1433">
        <f>IFERROR(VLOOKUP(CONCATENATE($B$8,"_",$B15),Data!$BO$16:$ES$1015,DB$11,FALSE),"")</f>
        <v>0</v>
      </c>
      <c r="DC15" s="1433">
        <f>IFERROR(VLOOKUP(CONCATENATE($B$8,"_",$B15),Data!$BO$16:$ES$1015,DC$11,FALSE),"")</f>
        <v>0</v>
      </c>
      <c r="DD15" s="1433">
        <f>IFERROR(VLOOKUP(CONCATENATE($B$8,"_",$B15),Data!$BO$16:$ES$1015,DD$11,FALSE),"")</f>
        <v>0</v>
      </c>
      <c r="DE15" s="1433">
        <f>IFERROR(VLOOKUP(CONCATENATE($B$8,"_",$B15),Data!$BO$16:$ES$1015,DE$11,FALSE),"")</f>
        <v>0</v>
      </c>
      <c r="DF15" s="1433">
        <f>IFERROR(VLOOKUP(CONCATENATE($B$8,"_",$B15),Data!$BO$16:$ES$1015,DF$11,FALSE),"")</f>
        <v>0</v>
      </c>
      <c r="DG15" s="1433">
        <f>IFERROR(VLOOKUP(CONCATENATE($B$8,"_",$B15),Data!$BO$16:$ES$1015,DG$11,FALSE),"")</f>
        <v>0</v>
      </c>
      <c r="DH15" s="1433">
        <f>IFERROR(VLOOKUP(CONCATENATE($B$8,"_",$B15),Data!$BO$16:$ES$1015,DH$11,FALSE),"")</f>
        <v>0</v>
      </c>
      <c r="DI15" s="1433">
        <f>IFERROR(VLOOKUP(CONCATENATE($B$8,"_",$B15),Data!$BO$16:$ES$1015,DI$11,FALSE),"")</f>
        <v>0</v>
      </c>
      <c r="DJ15" s="1433">
        <f>IFERROR(VLOOKUP(CONCATENATE($B$8,"_",$B15),Data!$BO$16:$ES$1015,DJ$11,FALSE),"")</f>
        <v>0</v>
      </c>
      <c r="DK15" s="1433">
        <f>IFERROR(VLOOKUP(CONCATENATE($B$8,"_",$B15),Data!$BO$16:$ES$1015,DK$11,FALSE),"")</f>
        <v>0</v>
      </c>
      <c r="DL15" s="1435">
        <f>IFERROR(VLOOKUP(CONCATENATE($B$8,"_",$B15),Data!$BO$16:$ES$1015,DL$11,FALSE),"")</f>
        <v>0</v>
      </c>
      <c r="DM15" s="1434">
        <f>IFERROR(VLOOKUP(CONCATENATE($B$8,"_",$B15),Data!$BO$16:$ES$1015,DM$11,FALSE),"")</f>
        <v>0</v>
      </c>
      <c r="DN15" s="1434">
        <f>IFERROR(VLOOKUP(CONCATENATE($B$8,"_",$B15),Data!$BO$16:$ES$1015,DN$11,FALSE),"")</f>
        <v>0</v>
      </c>
      <c r="DO15" s="1434">
        <f>IFERROR(VLOOKUP(CONCATENATE($B$8,"_",$B15),Data!$BO$16:$ES$1015,DO$11,FALSE),"")</f>
        <v>0</v>
      </c>
      <c r="DP15" s="1434">
        <f>IFERROR(VLOOKUP(CONCATENATE($B$8,"_",$B15),Data!$BO$16:$ES$1015,DP$11,FALSE),"")</f>
        <v>0</v>
      </c>
      <c r="DQ15" s="1434">
        <f>IFERROR(VLOOKUP(CONCATENATE($B$8,"_",$B15),Data!$BO$16:$ES$1015,DQ$11,FALSE),"")</f>
        <v>0</v>
      </c>
      <c r="DR15" s="1434">
        <f>IFERROR(VLOOKUP(CONCATENATE($B$8,"_",$B15),Data!$BO$16:$ES$1015,DR$11,FALSE),"")</f>
        <v>0</v>
      </c>
      <c r="DS15" s="1434">
        <f>IFERROR(VLOOKUP(CONCATENATE($B$8,"_",$B15),Data!$BO$16:$ES$1015,DS$11,FALSE),"")</f>
        <v>0</v>
      </c>
      <c r="DT15" s="1434">
        <f>IFERROR(VLOOKUP(CONCATENATE($B$8,"_",$B15),Data!$BO$16:$ES$1015,DT$11,FALSE),"")</f>
        <v>0</v>
      </c>
      <c r="DU15" s="1434">
        <f>IFERROR(VLOOKUP(CONCATENATE($B$8,"_",$B15),Data!$BO$16:$ES$1015,DU$11,FALSE),"")</f>
        <v>0</v>
      </c>
      <c r="DV15" s="1434">
        <f>IFERROR(VLOOKUP(CONCATENATE($B$8,"_",$B15),Data!$BO$16:$ES$1015,DV$11,FALSE),"")</f>
        <v>0</v>
      </c>
      <c r="DW15" s="1434">
        <f>IFERROR(VLOOKUP(CONCATENATE($B$8,"_",$B15),Data!$BO$16:$ES$1015,DW$11,FALSE),"")</f>
        <v>0</v>
      </c>
      <c r="DX15" s="1434">
        <f>IFERROR(VLOOKUP(CONCATENATE($B$8,"_",$B15),Data!$BO$16:$ES$1015,DX$11,FALSE),"")</f>
        <v>0</v>
      </c>
      <c r="DY15" s="1434">
        <f>IFERROR(VLOOKUP(CONCATENATE($B$8,"_",$B15),Data!$BO$16:$ES$1015,DY$11,FALSE),"")</f>
        <v>0</v>
      </c>
      <c r="DZ15" s="1434">
        <f>IFERROR(VLOOKUP(CONCATENATE($B$8,"_",$B15),Data!$BO$16:$ES$1015,DZ$11,FALSE),"")</f>
        <v>0</v>
      </c>
      <c r="EA15" s="1434">
        <f>IFERROR(VLOOKUP(CONCATENATE($B$8,"_",$B15),Data!$BO$16:$ES$1015,EA$11,FALSE),"")</f>
        <v>0</v>
      </c>
      <c r="EB15" s="1434">
        <f>IFERROR(VLOOKUP(CONCATENATE($B$8,"_",$B15),Data!$BO$16:$ES$1015,EB$11,FALSE),"")</f>
        <v>0</v>
      </c>
      <c r="EC15" s="1434">
        <f>IFERROR(VLOOKUP(CONCATENATE($B$8,"_",$B15),Data!$BO$16:$ES$1015,EC$11,FALSE),"")</f>
        <v>0</v>
      </c>
      <c r="ED15" s="1434">
        <f>IFERROR(VLOOKUP(CONCATENATE($B$8,"_",$B15),Data!$BO$16:$ES$1015,ED$11,FALSE),"")</f>
        <v>0</v>
      </c>
      <c r="EE15" s="1434">
        <f>IFERROR(VLOOKUP(CONCATENATE($B$8,"_",$B15),Data!$BO$16:$ES$1015,EE$11,FALSE),"")</f>
        <v>0</v>
      </c>
      <c r="EF15" s="1434">
        <f>IFERROR(VLOOKUP(CONCATENATE($B$8,"_",$B15),Data!$BO$16:$ES$1015,EF$11,FALSE),"")</f>
        <v>0</v>
      </c>
      <c r="EG15" s="1434">
        <f>IFERROR(VLOOKUP(CONCATENATE($B$8,"_",$B15),Data!$BO$16:$ES$1015,EG$11,FALSE),"")</f>
        <v>0</v>
      </c>
      <c r="EH15" s="1434">
        <f>IFERROR(VLOOKUP(CONCATENATE($B$8,"_",$B15),Data!$BO$16:$ES$1015,EH$11,FALSE),"")</f>
        <v>0</v>
      </c>
      <c r="EI15" s="1434">
        <f>IFERROR(VLOOKUP(CONCATENATE($B$8,"_",$B15),Data!$BO$16:$ES$1015,EI$11,FALSE),"")</f>
        <v>0</v>
      </c>
      <c r="EK15" s="1441"/>
    </row>
    <row r="16" spans="1:148" s="1441" customFormat="1" ht="15" customHeight="1">
      <c r="A16" s="1438">
        <v>3</v>
      </c>
      <c r="B16" s="1738">
        <f>IF($B$13+A16&lt;=Progress!$D$18,$B$13+A16,"")</f>
        <v>2003</v>
      </c>
      <c r="C16" s="1737">
        <f>IFERROR(VLOOKUP(CONCATENATE($B$8,"_",$B16),Data!$H$16:$BN$1015,C$11,FALSE),"")</f>
        <v>0</v>
      </c>
      <c r="D16" s="1428">
        <f>IFERROR(VLOOKUP(CONCATENATE($B$8,"_",$B16),Data!$H$16:$BN$1015,D$11,FALSE),"")</f>
        <v>0</v>
      </c>
      <c r="E16" s="1429">
        <f>IFERROR(VLOOKUP(CONCATENATE($B$8,"_",$B16),Data!$H$16:$BN$1015,E$11,FALSE),"")</f>
        <v>0</v>
      </c>
      <c r="F16" s="1428">
        <f>IFERROR(VLOOKUP(CONCATENATE($B$8,"_",$B16),Data!$H$16:$BN$1015,F$11,FALSE),"")</f>
        <v>0</v>
      </c>
      <c r="G16" s="1428">
        <f>IFERROR(VLOOKUP(CONCATENATE($B$8,"_",$B16),Data!$H$16:$BN$1015,G$11,FALSE),"")</f>
        <v>0</v>
      </c>
      <c r="H16" s="1429">
        <f>IFERROR(VLOOKUP(CONCATENATE($B$8,"_",$B16),Data!$H$16:$BN$1015,H$11,FALSE),"")</f>
        <v>0</v>
      </c>
      <c r="I16" s="1428">
        <f>IFERROR(VLOOKUP(CONCATENATE($B$8,"_",$B16),Data!$H$16:$BN$1015,I$11,FALSE),"")</f>
        <v>0</v>
      </c>
      <c r="J16" s="1428">
        <f>IFERROR(VLOOKUP(CONCATENATE($B$8,"_",$B16),Data!$H$16:$BN$1015,J$11,FALSE),"")</f>
        <v>0</v>
      </c>
      <c r="K16" s="1429">
        <f>IFERROR(VLOOKUP(CONCATENATE($B$8,"_",$B16),Data!$H$16:$BN$1015,K$11,FALSE),"")</f>
        <v>0</v>
      </c>
      <c r="L16" s="1428">
        <f>IFERROR(VLOOKUP(CONCATENATE($B$8,"_",$B16),Data!$H$16:$BN$1015,L$11,FALSE),"")</f>
        <v>0</v>
      </c>
      <c r="M16" s="1428">
        <f>IFERROR(VLOOKUP(CONCATENATE($B$8,"_",$B16),Data!$H$16:$BN$1015,M$11,FALSE),"")</f>
        <v>0</v>
      </c>
      <c r="N16" s="1429">
        <f>IFERROR(VLOOKUP(CONCATENATE($B$8,"_",$B16),Data!$H$16:$BN$1015,N$11,FALSE),"")</f>
        <v>0</v>
      </c>
      <c r="O16" s="1430">
        <f>IFERROR(VLOOKUP(CONCATENATE($B$8,"_",$B16),Data!$H$16:$BN$1015,O$11,FALSE),"")</f>
        <v>0</v>
      </c>
      <c r="P16" s="1428">
        <f>IFERROR(VLOOKUP(CONCATENATE($B$8,"_",$B16),Data!$H$16:$BN$1015,P$11,FALSE),"")</f>
        <v>0</v>
      </c>
      <c r="Q16" s="1428">
        <f>IFERROR(VLOOKUP(CONCATENATE($B$8,"_",$B16),Data!$H$16:$BN$1015,Q$11,FALSE),"")</f>
        <v>0</v>
      </c>
      <c r="R16" s="1429">
        <f>IFERROR(VLOOKUP(CONCATENATE($B$8,"_",$B16),Data!$H$16:$BN$1015,R$11,FALSE),"")</f>
        <v>0</v>
      </c>
      <c r="S16" s="1428">
        <f>IFERROR(VLOOKUP(CONCATENATE($B$8,"_",$B16),Data!$H$16:$BN$1015,S$11,FALSE),"")</f>
        <v>0</v>
      </c>
      <c r="T16" s="1428">
        <f>IFERROR(VLOOKUP(CONCATENATE($B$8,"_",$B16),Data!$H$16:$BN$1015,T$11,FALSE),"")</f>
        <v>0</v>
      </c>
      <c r="U16" s="1429">
        <f>IFERROR(VLOOKUP(CONCATENATE($B$8,"_",$B16),Data!$H$16:$BN$1015,U$11,FALSE),"")</f>
        <v>0</v>
      </c>
      <c r="V16" s="1428">
        <f>IFERROR(VLOOKUP(CONCATENATE($B$8,"_",$B16),Data!$H$16:$BN$1015,V$11,FALSE),"")</f>
        <v>0</v>
      </c>
      <c r="W16" s="1428">
        <f>IFERROR(VLOOKUP(CONCATENATE($B$8,"_",$B16),Data!$H$16:$BN$1015,W$11,FALSE),"")</f>
        <v>0</v>
      </c>
      <c r="X16" s="1428">
        <f>IFERROR(VLOOKUP(CONCATENATE($B$8,"_",$B16),Data!$H$16:$BN$1015,X$11,FALSE),"")</f>
        <v>0</v>
      </c>
      <c r="Y16" s="1428">
        <f>IFERROR(VLOOKUP(CONCATENATE($B$8,"_",$B16),Data!$H$16:$BN$1015,Y$11,FALSE),"")</f>
        <v>0</v>
      </c>
      <c r="Z16" s="1429">
        <f>IFERROR(VLOOKUP(CONCATENATE($B$8,"_",$B16),Data!$H$16:$BN$1015,Z$11,FALSE),"")</f>
        <v>0</v>
      </c>
      <c r="AA16" s="1428">
        <f>IFERROR(VLOOKUP(CONCATENATE($B$8,"_",$B16),Data!$H$16:$BN$1015,AA$11,FALSE),"")</f>
        <v>0</v>
      </c>
      <c r="AB16" s="1428">
        <f>IFERROR(VLOOKUP(CONCATENATE($B$8,"_",$B16),Data!$H$16:$BN$1015,AB$11,FALSE),"")</f>
        <v>0</v>
      </c>
      <c r="AC16" s="1429">
        <f>IFERROR(VLOOKUP(CONCATENATE($B$8,"_",$B16),Data!$H$16:$BN$1015,AC$11,FALSE),"")</f>
        <v>0</v>
      </c>
      <c r="AD16" s="1428">
        <f>IFERROR(VLOOKUP(CONCATENATE($B$8,"_",$B16),Data!$H$16:$BN$1015,AD$11,FALSE),"")</f>
        <v>0</v>
      </c>
      <c r="AE16" s="1428">
        <f>IFERROR(VLOOKUP(CONCATENATE($B$8,"_",$B16),Data!$H$16:$BN$1015,AE$11,FALSE),"")</f>
        <v>0</v>
      </c>
      <c r="AF16" s="1429">
        <f>IFERROR(VLOOKUP(CONCATENATE($B$8,"_",$B16),Data!$H$16:$BN$1015,AF$11,FALSE),"")</f>
        <v>0</v>
      </c>
      <c r="AG16" s="1428">
        <f>IFERROR(VLOOKUP(CONCATENATE($B$8,"_",$B16),Data!$H$16:$BN$1015,AG$11,FALSE),"")</f>
        <v>0</v>
      </c>
      <c r="AH16" s="1428">
        <f>IFERROR(VLOOKUP(CONCATENATE($B$8,"_",$B16),Data!$H$16:$BN$1015,AH$11,FALSE),"")</f>
        <v>0</v>
      </c>
      <c r="AI16" s="1429">
        <f>IFERROR(VLOOKUP(CONCATENATE($B$8,"_",$B16),Data!$H$16:$BN$1015,AI$11,FALSE),"")</f>
        <v>0</v>
      </c>
      <c r="AJ16" s="1428">
        <f>IFERROR(VLOOKUP(CONCATENATE($B$8,"_",$B16),Data!$H$16:$BN$1015,AJ$11,FALSE),"")</f>
        <v>0</v>
      </c>
      <c r="AK16" s="1428">
        <f>IFERROR(VLOOKUP(CONCATENATE($B$8,"_",$B16),Data!$H$16:$BN$1015,AK$11,FALSE),"")</f>
        <v>0</v>
      </c>
      <c r="AL16" s="1429">
        <f>IFERROR(VLOOKUP(CONCATENATE($B$8,"_",$B16),Data!$H$16:$BN$1015,AL$11,FALSE),"")</f>
        <v>0</v>
      </c>
      <c r="AM16" s="1428">
        <f>IFERROR(VLOOKUP(CONCATENATE($B$8,"_",$B16),Data!$H$16:$BN$1015,AM$11,FALSE),"")</f>
        <v>0</v>
      </c>
      <c r="AN16" s="1428">
        <f>IFERROR(VLOOKUP(CONCATENATE($B$8,"_",$B16),Data!$H$16:$BN$1015,AN$11,FALSE),"")</f>
        <v>0</v>
      </c>
      <c r="AO16" s="1430">
        <f>IFERROR(VLOOKUP(CONCATENATE($B$8,"_",$B16),Data!$H$16:$BN$1015,AO$11,FALSE),"")</f>
        <v>0</v>
      </c>
      <c r="AP16" s="1428">
        <f>IFERROR(VLOOKUP(CONCATENATE($B$8,"_",$B16),Data!$H$16:$BN$1015,AP$11,FALSE),"")</f>
        <v>0</v>
      </c>
      <c r="AQ16" s="1428">
        <f>IFERROR(VLOOKUP(CONCATENATE($B$8,"_",$B16),Data!$H$16:$BN$1015,AQ$11,FALSE),"")</f>
        <v>0</v>
      </c>
      <c r="AR16" s="1430">
        <f>IFERROR(VLOOKUP(CONCATENATE($B$8,"_",$B16),Data!$H$16:$BN$1015,AR$11,FALSE),"")</f>
        <v>0</v>
      </c>
      <c r="AS16" s="1428">
        <f>IFERROR(VLOOKUP(CONCATENATE($B$8,"_",$B16),Data!$H$16:$BN$1015,AS$11,FALSE),"")</f>
        <v>0</v>
      </c>
      <c r="AT16" s="1428">
        <f>IFERROR(VLOOKUP(CONCATENATE($B$8,"_",$B16),Data!$H$16:$BN$1015,AT$11,FALSE),"")</f>
        <v>0</v>
      </c>
      <c r="AU16" s="1430">
        <f>IFERROR(VLOOKUP(CONCATENATE($B$8,"_",$B16),Data!$H$16:$BN$1015,AU$11,FALSE),"")</f>
        <v>0</v>
      </c>
      <c r="AV16" s="1428">
        <f>IFERROR(VLOOKUP(CONCATENATE($B$8,"_",$B16),Data!$H$16:$BN$1015,AV$11,FALSE),"")</f>
        <v>0</v>
      </c>
      <c r="AW16" s="1428">
        <f>IFERROR(VLOOKUP(CONCATENATE($B$8,"_",$B16),Data!$H$16:$BN$1015,AW$11,FALSE),"")</f>
        <v>0</v>
      </c>
      <c r="AX16" s="1430">
        <f>IFERROR(VLOOKUP(CONCATENATE($B$8,"_",$B16),Data!$H$16:$BN$1015,AX$11,FALSE),"")</f>
        <v>0</v>
      </c>
      <c r="AY16" s="1429">
        <f>IFERROR(VLOOKUP(CONCATENATE($B$8,"_",$B16),Data!$H$16:$BN$1015,AY$11,FALSE),"")</f>
        <v>0</v>
      </c>
      <c r="AZ16" s="1429">
        <f>IFERROR(VLOOKUP(CONCATENATE($B$8,"_",$B16),Data!$H$16:$BN$1015,AZ$11,FALSE),"")</f>
        <v>0</v>
      </c>
      <c r="BA16" s="1429">
        <f>IFERROR(VLOOKUP(CONCATENATE($B$8,"_",$B16),Data!$H$16:$BN$1015,BA$11,FALSE),"")</f>
        <v>0</v>
      </c>
      <c r="BB16" s="1429">
        <f>IFERROR(VLOOKUP(CONCATENATE($B$8,"_",$B16),Data!$H$16:$BN$1015,BB$11,FALSE),"")</f>
        <v>0</v>
      </c>
      <c r="BC16" s="1429">
        <f>IFERROR(VLOOKUP(CONCATENATE($B$8,"_",$B16),Data!$H$16:$BN$1015,BC$11,FALSE),"")</f>
        <v>0</v>
      </c>
      <c r="BD16" s="1431">
        <f>IFERROR(VLOOKUP(CONCATENATE($B$8,"_",$B16),Data!$H$16:$BN$1015,BD$11,FALSE),"")</f>
        <v>0</v>
      </c>
      <c r="BE16" s="1439">
        <f t="shared" si="0"/>
        <v>2003</v>
      </c>
      <c r="BF16" s="1428">
        <f>IFERROR(VLOOKUP(CONCATENATE($B$8,"_",$B16),Data!$BO$16:$ES$1015,BF$11,FALSE),"")</f>
        <v>10705140.408090981</v>
      </c>
      <c r="BG16" s="1433">
        <f>IFERROR(VLOOKUP(CONCATENATE($B$8,"_",$B16),Data!$BO$16:$ES$1015,BG$11,FALSE),"")</f>
        <v>0</v>
      </c>
      <c r="BH16" s="1435">
        <f>IFERROR(VLOOKUP(CONCATENATE($B$8,"_",$B16),Data!$BO$16:$ES$1015,BH$11,FALSE),"")</f>
        <v>0</v>
      </c>
      <c r="BI16" s="1434">
        <f>IFERROR(VLOOKUP(CONCATENATE($B$8,"_",$B16),Data!$BO$16:$ES$1015,BI$11,FALSE),"")</f>
        <v>0</v>
      </c>
      <c r="BJ16" s="1428">
        <f>IFERROR(VLOOKUP(CONCATENATE($B$8,"_",$B16),Data!$BO$16:$ES$1015,BJ$11,FALSE),"")</f>
        <v>5479268.6676445641</v>
      </c>
      <c r="BK16" s="1428">
        <f>IFERROR(VLOOKUP(CONCATENATE($B$8,"_",$B16),Data!$BO$16:$ES$1015,BK$11,FALSE),"")</f>
        <v>3575510.2153425352</v>
      </c>
      <c r="BL16" s="1428">
        <f>IFERROR(VLOOKUP(CONCATENATE($B$8,"_",$B16),Data!$BO$16:$ES$1015,BL$11,FALSE),"")</f>
        <v>1650361.5251038815</v>
      </c>
      <c r="BM16" s="1433">
        <f>IFERROR(VLOOKUP(CONCATENATE($B$8,"_",$B16),Data!$BO$16:$ES$1015,BM$11,FALSE),"")</f>
        <v>0</v>
      </c>
      <c r="BN16" s="1433">
        <f>IFERROR(VLOOKUP(CONCATENATE($B$8,"_",$B16),Data!$BO$16:$ES$1015,BN$11,FALSE),"")</f>
        <v>0</v>
      </c>
      <c r="BO16" s="1433">
        <f>IFERROR(VLOOKUP(CONCATENATE($B$8,"_",$B16),Data!$BO$16:$ES$1015,BO$11,FALSE),"")</f>
        <v>0</v>
      </c>
      <c r="BP16" s="1433">
        <f>IFERROR(VLOOKUP(CONCATENATE($B$8,"_",$B16),Data!$BO$16:$ES$1015,BP$11,FALSE),"")</f>
        <v>0</v>
      </c>
      <c r="BQ16" s="1433">
        <f>IFERROR(VLOOKUP(CONCATENATE($B$8,"_",$B16),Data!$BO$16:$ES$1015,BQ$11,FALSE),"")</f>
        <v>0</v>
      </c>
      <c r="BR16" s="1434">
        <f>IFERROR(VLOOKUP(CONCATENATE($B$8,"_",$B16),Data!$BO$16:$ES$1015,BR$11,FALSE),"")</f>
        <v>0</v>
      </c>
      <c r="BS16" s="1434">
        <f>IFERROR(VLOOKUP(CONCATENATE($B$8,"_",$B16),Data!$BO$16:$ES$1015,BS$11,FALSE),"")</f>
        <v>0</v>
      </c>
      <c r="BT16" s="1434">
        <f>IFERROR(VLOOKUP(CONCATENATE($B$8,"_",$B16),Data!$BO$16:$ES$1015,BT$11,FALSE),"")</f>
        <v>0</v>
      </c>
      <c r="BU16" s="1434">
        <f>IFERROR(VLOOKUP(CONCATENATE($B$8,"_",$B16),Data!$BO$16:$ES$1015,BU$11,FALSE),"")</f>
        <v>0</v>
      </c>
      <c r="BV16" s="1434">
        <f>IFERROR(VLOOKUP(CONCATENATE($B$8,"_",$B16),Data!$BO$16:$ES$1015,BV$11,FALSE),"")</f>
        <v>0</v>
      </c>
      <c r="BW16" s="1434">
        <f>IFERROR(VLOOKUP(CONCATENATE($B$8,"_",$B16),Data!$BO$16:$ES$1015,BW$11,FALSE),"")</f>
        <v>0</v>
      </c>
      <c r="BX16" s="1434">
        <f>IFERROR(VLOOKUP(CONCATENATE($B$8,"_",$B16),Data!$BO$16:$ES$1015,BX$11,FALSE),"")</f>
        <v>0</v>
      </c>
      <c r="BY16" s="1428">
        <f>IFERROR(VLOOKUP(CONCATENATE($B$8,"_",$B16),Data!$BO$16:$ES$1015,BY$11,FALSE),"")</f>
        <v>0</v>
      </c>
      <c r="BZ16" s="1428">
        <f>IFERROR(VLOOKUP(CONCATENATE($B$8,"_",$B16),Data!$BO$16:$ES$1015,BZ$11,FALSE),"")</f>
        <v>0</v>
      </c>
      <c r="CA16" s="1428">
        <f>IFERROR(VLOOKUP(CONCATENATE($B$8,"_",$B16),Data!$BO$16:$ES$1015,CA$11,FALSE),"")</f>
        <v>0</v>
      </c>
      <c r="CB16" s="1428">
        <f>IFERROR(VLOOKUP(CONCATENATE($B$8,"_",$B16),Data!$BO$16:$ES$1015,CB$11,FALSE),"")</f>
        <v>0</v>
      </c>
      <c r="CC16" s="1428">
        <f>IFERROR(VLOOKUP(CONCATENATE($B$8,"_",$B16),Data!$BO$16:$ES$1015,CC$11,FALSE),"")</f>
        <v>0</v>
      </c>
      <c r="CD16" s="1428">
        <f>IFERROR(VLOOKUP(CONCATENATE($B$8,"_",$B16),Data!$BO$16:$ES$1015,CD$11,FALSE),"")</f>
        <v>0</v>
      </c>
      <c r="CE16" s="1428">
        <f>IFERROR(VLOOKUP(CONCATENATE($B$8,"_",$B16),Data!$BO$16:$ES$1015,CE$11,FALSE),"")</f>
        <v>0</v>
      </c>
      <c r="CF16" s="1428">
        <f>IFERROR(VLOOKUP(CONCATENATE($B$8,"_",$B16),Data!$BO$16:$ES$1015,CF$11,FALSE),"")</f>
        <v>0</v>
      </c>
      <c r="CG16" s="1428">
        <f>IFERROR(VLOOKUP(CONCATENATE($B$8,"_",$B16),Data!$BO$16:$ES$1015,CG$11,FALSE),"")</f>
        <v>0</v>
      </c>
      <c r="CH16" s="1428">
        <f>IFERROR(VLOOKUP(CONCATENATE($B$8,"_",$B16),Data!$BO$16:$ES$1015,CH$11,FALSE),"")</f>
        <v>0</v>
      </c>
      <c r="CI16" s="1428">
        <f>IFERROR(VLOOKUP(CONCATENATE($B$8,"_",$B16),Data!$BO$16:$ES$1015,CI$11,FALSE),"")</f>
        <v>0</v>
      </c>
      <c r="CJ16" s="1428">
        <f>IFERROR(VLOOKUP(CONCATENATE($B$8,"_",$B16),Data!$BO$16:$ES$1015,CJ$11,FALSE),"")</f>
        <v>0</v>
      </c>
      <c r="CK16" s="1428">
        <f>IFERROR(VLOOKUP(CONCATENATE($B$8,"_",$B16),Data!$BO$16:$ES$1015,CK$11,FALSE),"")</f>
        <v>0</v>
      </c>
      <c r="CL16" s="1428">
        <f>IFERROR(VLOOKUP(CONCATENATE($B$8,"_",$B16),Data!$BO$16:$ES$1015,CL$11,FALSE),"")</f>
        <v>0</v>
      </c>
      <c r="CM16" s="1428">
        <f>IFERROR(VLOOKUP(CONCATENATE($B$8,"_",$B16),Data!$BO$16:$ES$1015,CM$11,FALSE),"")</f>
        <v>0</v>
      </c>
      <c r="CN16" s="1428">
        <f>IFERROR(VLOOKUP(CONCATENATE($B$8,"_",$B16),Data!$BO$16:$ES$1015,CN$11,FALSE),"")</f>
        <v>0</v>
      </c>
      <c r="CO16" s="1428">
        <f>IFERROR(VLOOKUP(CONCATENATE($B$8,"_",$B16),Data!$BO$16:$ES$1015,CO$11,FALSE),"")</f>
        <v>0</v>
      </c>
      <c r="CP16" s="1433">
        <f>IFERROR(VLOOKUP(CONCATENATE($B$8,"_",$B16),Data!$BO$16:$ES$1015,CP$11,FALSE),"")</f>
        <v>0</v>
      </c>
      <c r="CQ16" s="1433">
        <f>IFERROR(VLOOKUP(CONCATENATE($B$8,"_",$B16),Data!$BO$16:$ES$1015,CQ$11,FALSE),"")</f>
        <v>0</v>
      </c>
      <c r="CR16" s="1433">
        <f>IFERROR(VLOOKUP(CONCATENATE($B$8,"_",$B16),Data!$BO$16:$ES$1015,CR$11,FALSE),"")</f>
        <v>0</v>
      </c>
      <c r="CS16" s="1433">
        <f>IFERROR(VLOOKUP(CONCATENATE($B$8,"_",$B16),Data!$BO$16:$ES$1015,CS$11,FALSE),"")</f>
        <v>0</v>
      </c>
      <c r="CT16" s="1433">
        <f>IFERROR(VLOOKUP(CONCATENATE($B$8,"_",$B16),Data!$BO$16:$ES$1015,CT$11,FALSE),"")</f>
        <v>0</v>
      </c>
      <c r="CU16" s="1433">
        <f>IFERROR(VLOOKUP(CONCATENATE($B$8,"_",$B16),Data!$BO$16:$ES$1015,CU$11,FALSE),"")</f>
        <v>0</v>
      </c>
      <c r="CV16" s="1433">
        <f>IFERROR(VLOOKUP(CONCATENATE($B$8,"_",$B16),Data!$BO$16:$ES$1015,CV$11,FALSE),"")</f>
        <v>0</v>
      </c>
      <c r="CW16" s="1433">
        <f>IFERROR(VLOOKUP(CONCATENATE($B$8,"_",$B16),Data!$BO$16:$ES$1015,CW$11,FALSE),"")</f>
        <v>0</v>
      </c>
      <c r="CX16" s="1433">
        <f>IFERROR(VLOOKUP(CONCATENATE($B$8,"_",$B16),Data!$BO$16:$ES$1015,CX$11,FALSE),"")</f>
        <v>0</v>
      </c>
      <c r="CY16" s="1433">
        <f>IFERROR(VLOOKUP(CONCATENATE($B$8,"_",$B16),Data!$BO$16:$ES$1015,CY$11,FALSE),"")</f>
        <v>0</v>
      </c>
      <c r="CZ16" s="1433">
        <f>IFERROR(VLOOKUP(CONCATENATE($B$8,"_",$B16),Data!$BO$16:$ES$1015,CZ$11,FALSE),"")</f>
        <v>0</v>
      </c>
      <c r="DA16" s="1433">
        <f>IFERROR(VLOOKUP(CONCATENATE($B$8,"_",$B16),Data!$BO$16:$ES$1015,DA$11,FALSE),"")</f>
        <v>0</v>
      </c>
      <c r="DB16" s="1433">
        <f>IFERROR(VLOOKUP(CONCATENATE($B$8,"_",$B16),Data!$BO$16:$ES$1015,DB$11,FALSE),"")</f>
        <v>0</v>
      </c>
      <c r="DC16" s="1433">
        <f>IFERROR(VLOOKUP(CONCATENATE($B$8,"_",$B16),Data!$BO$16:$ES$1015,DC$11,FALSE),"")</f>
        <v>0</v>
      </c>
      <c r="DD16" s="1433">
        <f>IFERROR(VLOOKUP(CONCATENATE($B$8,"_",$B16),Data!$BO$16:$ES$1015,DD$11,FALSE),"")</f>
        <v>0</v>
      </c>
      <c r="DE16" s="1433">
        <f>IFERROR(VLOOKUP(CONCATENATE($B$8,"_",$B16),Data!$BO$16:$ES$1015,DE$11,FALSE),"")</f>
        <v>0</v>
      </c>
      <c r="DF16" s="1433">
        <f>IFERROR(VLOOKUP(CONCATENATE($B$8,"_",$B16),Data!$BO$16:$ES$1015,DF$11,FALSE),"")</f>
        <v>0</v>
      </c>
      <c r="DG16" s="1433">
        <f>IFERROR(VLOOKUP(CONCATENATE($B$8,"_",$B16),Data!$BO$16:$ES$1015,DG$11,FALSE),"")</f>
        <v>0</v>
      </c>
      <c r="DH16" s="1433">
        <f>IFERROR(VLOOKUP(CONCATENATE($B$8,"_",$B16),Data!$BO$16:$ES$1015,DH$11,FALSE),"")</f>
        <v>0</v>
      </c>
      <c r="DI16" s="1433">
        <f>IFERROR(VLOOKUP(CONCATENATE($B$8,"_",$B16),Data!$BO$16:$ES$1015,DI$11,FALSE),"")</f>
        <v>0</v>
      </c>
      <c r="DJ16" s="1433">
        <f>IFERROR(VLOOKUP(CONCATENATE($B$8,"_",$B16),Data!$BO$16:$ES$1015,DJ$11,FALSE),"")</f>
        <v>0</v>
      </c>
      <c r="DK16" s="1433">
        <f>IFERROR(VLOOKUP(CONCATENATE($B$8,"_",$B16),Data!$BO$16:$ES$1015,DK$11,FALSE),"")</f>
        <v>0</v>
      </c>
      <c r="DL16" s="1435">
        <f>IFERROR(VLOOKUP(CONCATENATE($B$8,"_",$B16),Data!$BO$16:$ES$1015,DL$11,FALSE),"")</f>
        <v>0</v>
      </c>
      <c r="DM16" s="1434">
        <f>IFERROR(VLOOKUP(CONCATENATE($B$8,"_",$B16),Data!$BO$16:$ES$1015,DM$11,FALSE),"")</f>
        <v>0</v>
      </c>
      <c r="DN16" s="1434">
        <f>IFERROR(VLOOKUP(CONCATENATE($B$8,"_",$B16),Data!$BO$16:$ES$1015,DN$11,FALSE),"")</f>
        <v>0</v>
      </c>
      <c r="DO16" s="1434">
        <f>IFERROR(VLOOKUP(CONCATENATE($B$8,"_",$B16),Data!$BO$16:$ES$1015,DO$11,FALSE),"")</f>
        <v>0</v>
      </c>
      <c r="DP16" s="1434">
        <f>IFERROR(VLOOKUP(CONCATENATE($B$8,"_",$B16),Data!$BO$16:$ES$1015,DP$11,FALSE),"")</f>
        <v>0</v>
      </c>
      <c r="DQ16" s="1434">
        <f>IFERROR(VLOOKUP(CONCATENATE($B$8,"_",$B16),Data!$BO$16:$ES$1015,DQ$11,FALSE),"")</f>
        <v>0</v>
      </c>
      <c r="DR16" s="1434">
        <f>IFERROR(VLOOKUP(CONCATENATE($B$8,"_",$B16),Data!$BO$16:$ES$1015,DR$11,FALSE),"")</f>
        <v>0</v>
      </c>
      <c r="DS16" s="1434">
        <f>IFERROR(VLOOKUP(CONCATENATE($B$8,"_",$B16),Data!$BO$16:$ES$1015,DS$11,FALSE),"")</f>
        <v>0</v>
      </c>
      <c r="DT16" s="1434">
        <f>IFERROR(VLOOKUP(CONCATENATE($B$8,"_",$B16),Data!$BO$16:$ES$1015,DT$11,FALSE),"")</f>
        <v>0</v>
      </c>
      <c r="DU16" s="1434">
        <f>IFERROR(VLOOKUP(CONCATENATE($B$8,"_",$B16),Data!$BO$16:$ES$1015,DU$11,FALSE),"")</f>
        <v>0</v>
      </c>
      <c r="DV16" s="1434">
        <f>IFERROR(VLOOKUP(CONCATENATE($B$8,"_",$B16),Data!$BO$16:$ES$1015,DV$11,FALSE),"")</f>
        <v>0</v>
      </c>
      <c r="DW16" s="1434">
        <f>IFERROR(VLOOKUP(CONCATENATE($B$8,"_",$B16),Data!$BO$16:$ES$1015,DW$11,FALSE),"")</f>
        <v>0</v>
      </c>
      <c r="DX16" s="1434">
        <f>IFERROR(VLOOKUP(CONCATENATE($B$8,"_",$B16),Data!$BO$16:$ES$1015,DX$11,FALSE),"")</f>
        <v>0</v>
      </c>
      <c r="DY16" s="1434">
        <f>IFERROR(VLOOKUP(CONCATENATE($B$8,"_",$B16),Data!$BO$16:$ES$1015,DY$11,FALSE),"")</f>
        <v>0</v>
      </c>
      <c r="DZ16" s="1434">
        <f>IFERROR(VLOOKUP(CONCATENATE($B$8,"_",$B16),Data!$BO$16:$ES$1015,DZ$11,FALSE),"")</f>
        <v>0</v>
      </c>
      <c r="EA16" s="1434">
        <f>IFERROR(VLOOKUP(CONCATENATE($B$8,"_",$B16),Data!$BO$16:$ES$1015,EA$11,FALSE),"")</f>
        <v>0</v>
      </c>
      <c r="EB16" s="1434">
        <f>IFERROR(VLOOKUP(CONCATENATE($B$8,"_",$B16),Data!$BO$16:$ES$1015,EB$11,FALSE),"")</f>
        <v>0</v>
      </c>
      <c r="EC16" s="1434">
        <f>IFERROR(VLOOKUP(CONCATENATE($B$8,"_",$B16),Data!$BO$16:$ES$1015,EC$11,FALSE),"")</f>
        <v>0</v>
      </c>
      <c r="ED16" s="1434">
        <f>IFERROR(VLOOKUP(CONCATENATE($B$8,"_",$B16),Data!$BO$16:$ES$1015,ED$11,FALSE),"")</f>
        <v>0</v>
      </c>
      <c r="EE16" s="1434">
        <f>IFERROR(VLOOKUP(CONCATENATE($B$8,"_",$B16),Data!$BO$16:$ES$1015,EE$11,FALSE),"")</f>
        <v>0</v>
      </c>
      <c r="EF16" s="1434">
        <f>IFERROR(VLOOKUP(CONCATENATE($B$8,"_",$B16),Data!$BO$16:$ES$1015,EF$11,FALSE),"")</f>
        <v>0</v>
      </c>
      <c r="EG16" s="1434">
        <f>IFERROR(VLOOKUP(CONCATENATE($B$8,"_",$B16),Data!$BO$16:$ES$1015,EG$11,FALSE),"")</f>
        <v>0</v>
      </c>
      <c r="EH16" s="1434">
        <f>IFERROR(VLOOKUP(CONCATENATE($B$8,"_",$B16),Data!$BO$16:$ES$1015,EH$11,FALSE),"")</f>
        <v>0</v>
      </c>
      <c r="EI16" s="1434">
        <f>IFERROR(VLOOKUP(CONCATENATE($B$8,"_",$B16),Data!$BO$16:$ES$1015,EI$11,FALSE),"")</f>
        <v>0</v>
      </c>
    </row>
    <row r="17" spans="1:141" s="1441" customFormat="1" ht="15" customHeight="1">
      <c r="A17" s="1438">
        <v>4</v>
      </c>
      <c r="B17" s="1738">
        <f>IF($B$13+A17&lt;=Progress!$D$18,$B$13+A17,"")</f>
        <v>2004</v>
      </c>
      <c r="C17" s="1737">
        <f>IFERROR(VLOOKUP(CONCATENATE($B$8,"_",$B17),Data!$H$16:$BN$1015,C$11,FALSE),"")</f>
        <v>0</v>
      </c>
      <c r="D17" s="1428">
        <f>IFERROR(VLOOKUP(CONCATENATE($B$8,"_",$B17),Data!$H$16:$BN$1015,D$11,FALSE),"")</f>
        <v>0</v>
      </c>
      <c r="E17" s="1429">
        <f>IFERROR(VLOOKUP(CONCATENATE($B$8,"_",$B17),Data!$H$16:$BN$1015,E$11,FALSE),"")</f>
        <v>0</v>
      </c>
      <c r="F17" s="1428">
        <f>IFERROR(VLOOKUP(CONCATENATE($B$8,"_",$B17),Data!$H$16:$BN$1015,F$11,FALSE),"")</f>
        <v>0</v>
      </c>
      <c r="G17" s="1428">
        <f>IFERROR(VLOOKUP(CONCATENATE($B$8,"_",$B17),Data!$H$16:$BN$1015,G$11,FALSE),"")</f>
        <v>0</v>
      </c>
      <c r="H17" s="1429">
        <f>IFERROR(VLOOKUP(CONCATENATE($B$8,"_",$B17),Data!$H$16:$BN$1015,H$11,FALSE),"")</f>
        <v>0</v>
      </c>
      <c r="I17" s="1428">
        <f>IFERROR(VLOOKUP(CONCATENATE($B$8,"_",$B17),Data!$H$16:$BN$1015,I$11,FALSE),"")</f>
        <v>0</v>
      </c>
      <c r="J17" s="1428">
        <f>IFERROR(VLOOKUP(CONCATENATE($B$8,"_",$B17),Data!$H$16:$BN$1015,J$11,FALSE),"")</f>
        <v>0</v>
      </c>
      <c r="K17" s="1429">
        <f>IFERROR(VLOOKUP(CONCATENATE($B$8,"_",$B17),Data!$H$16:$BN$1015,K$11,FALSE),"")</f>
        <v>0</v>
      </c>
      <c r="L17" s="1428">
        <f>IFERROR(VLOOKUP(CONCATENATE($B$8,"_",$B17),Data!$H$16:$BN$1015,L$11,FALSE),"")</f>
        <v>0</v>
      </c>
      <c r="M17" s="1428">
        <f>IFERROR(VLOOKUP(CONCATENATE($B$8,"_",$B17),Data!$H$16:$BN$1015,M$11,FALSE),"")</f>
        <v>0</v>
      </c>
      <c r="N17" s="1429">
        <f>IFERROR(VLOOKUP(CONCATENATE($B$8,"_",$B17),Data!$H$16:$BN$1015,N$11,FALSE),"")</f>
        <v>0</v>
      </c>
      <c r="O17" s="1430">
        <f>IFERROR(VLOOKUP(CONCATENATE($B$8,"_",$B17),Data!$H$16:$BN$1015,O$11,FALSE),"")</f>
        <v>0</v>
      </c>
      <c r="P17" s="1428">
        <f>IFERROR(VLOOKUP(CONCATENATE($B$8,"_",$B17),Data!$H$16:$BN$1015,P$11,FALSE),"")</f>
        <v>0</v>
      </c>
      <c r="Q17" s="1428">
        <f>IFERROR(VLOOKUP(CONCATENATE($B$8,"_",$B17),Data!$H$16:$BN$1015,Q$11,FALSE),"")</f>
        <v>0</v>
      </c>
      <c r="R17" s="1429">
        <f>IFERROR(VLOOKUP(CONCATENATE($B$8,"_",$B17),Data!$H$16:$BN$1015,R$11,FALSE),"")</f>
        <v>0</v>
      </c>
      <c r="S17" s="1428">
        <f>IFERROR(VLOOKUP(CONCATENATE($B$8,"_",$B17),Data!$H$16:$BN$1015,S$11,FALSE),"")</f>
        <v>0</v>
      </c>
      <c r="T17" s="1428">
        <f>IFERROR(VLOOKUP(CONCATENATE($B$8,"_",$B17),Data!$H$16:$BN$1015,T$11,FALSE),"")</f>
        <v>0</v>
      </c>
      <c r="U17" s="1429">
        <f>IFERROR(VLOOKUP(CONCATENATE($B$8,"_",$B17),Data!$H$16:$BN$1015,U$11,FALSE),"")</f>
        <v>0</v>
      </c>
      <c r="V17" s="1428">
        <f>IFERROR(VLOOKUP(CONCATENATE($B$8,"_",$B17),Data!$H$16:$BN$1015,V$11,FALSE),"")</f>
        <v>0</v>
      </c>
      <c r="W17" s="1428">
        <f>IFERROR(VLOOKUP(CONCATENATE($B$8,"_",$B17),Data!$H$16:$BN$1015,W$11,FALSE),"")</f>
        <v>0</v>
      </c>
      <c r="X17" s="1428">
        <f>IFERROR(VLOOKUP(CONCATENATE($B$8,"_",$B17),Data!$H$16:$BN$1015,X$11,FALSE),"")</f>
        <v>0</v>
      </c>
      <c r="Y17" s="1428">
        <f>IFERROR(VLOOKUP(CONCATENATE($B$8,"_",$B17),Data!$H$16:$BN$1015,Y$11,FALSE),"")</f>
        <v>0</v>
      </c>
      <c r="Z17" s="1429">
        <f>IFERROR(VLOOKUP(CONCATENATE($B$8,"_",$B17),Data!$H$16:$BN$1015,Z$11,FALSE),"")</f>
        <v>0</v>
      </c>
      <c r="AA17" s="1428">
        <f>IFERROR(VLOOKUP(CONCATENATE($B$8,"_",$B17),Data!$H$16:$BN$1015,AA$11,FALSE),"")</f>
        <v>0</v>
      </c>
      <c r="AB17" s="1428">
        <f>IFERROR(VLOOKUP(CONCATENATE($B$8,"_",$B17),Data!$H$16:$BN$1015,AB$11,FALSE),"")</f>
        <v>0</v>
      </c>
      <c r="AC17" s="1429">
        <f>IFERROR(VLOOKUP(CONCATENATE($B$8,"_",$B17),Data!$H$16:$BN$1015,AC$11,FALSE),"")</f>
        <v>0</v>
      </c>
      <c r="AD17" s="1428">
        <f>IFERROR(VLOOKUP(CONCATENATE($B$8,"_",$B17),Data!$H$16:$BN$1015,AD$11,FALSE),"")</f>
        <v>0</v>
      </c>
      <c r="AE17" s="1428">
        <f>IFERROR(VLOOKUP(CONCATENATE($B$8,"_",$B17),Data!$H$16:$BN$1015,AE$11,FALSE),"")</f>
        <v>0</v>
      </c>
      <c r="AF17" s="1429">
        <f>IFERROR(VLOOKUP(CONCATENATE($B$8,"_",$B17),Data!$H$16:$BN$1015,AF$11,FALSE),"")</f>
        <v>0</v>
      </c>
      <c r="AG17" s="1428">
        <f>IFERROR(VLOOKUP(CONCATENATE($B$8,"_",$B17),Data!$H$16:$BN$1015,AG$11,FALSE),"")</f>
        <v>0</v>
      </c>
      <c r="AH17" s="1428">
        <f>IFERROR(VLOOKUP(CONCATENATE($B$8,"_",$B17),Data!$H$16:$BN$1015,AH$11,FALSE),"")</f>
        <v>0</v>
      </c>
      <c r="AI17" s="1429">
        <f>IFERROR(VLOOKUP(CONCATENATE($B$8,"_",$B17),Data!$H$16:$BN$1015,AI$11,FALSE),"")</f>
        <v>0</v>
      </c>
      <c r="AJ17" s="1428">
        <f>IFERROR(VLOOKUP(CONCATENATE($B$8,"_",$B17),Data!$H$16:$BN$1015,AJ$11,FALSE),"")</f>
        <v>0</v>
      </c>
      <c r="AK17" s="1428">
        <f>IFERROR(VLOOKUP(CONCATENATE($B$8,"_",$B17),Data!$H$16:$BN$1015,AK$11,FALSE),"")</f>
        <v>0</v>
      </c>
      <c r="AL17" s="1429">
        <f>IFERROR(VLOOKUP(CONCATENATE($B$8,"_",$B17),Data!$H$16:$BN$1015,AL$11,FALSE),"")</f>
        <v>0</v>
      </c>
      <c r="AM17" s="1428">
        <f>IFERROR(VLOOKUP(CONCATENATE($B$8,"_",$B17),Data!$H$16:$BN$1015,AM$11,FALSE),"")</f>
        <v>0</v>
      </c>
      <c r="AN17" s="1428">
        <f>IFERROR(VLOOKUP(CONCATENATE($B$8,"_",$B17),Data!$H$16:$BN$1015,AN$11,FALSE),"")</f>
        <v>0</v>
      </c>
      <c r="AO17" s="1430">
        <f>IFERROR(VLOOKUP(CONCATENATE($B$8,"_",$B17),Data!$H$16:$BN$1015,AO$11,FALSE),"")</f>
        <v>0</v>
      </c>
      <c r="AP17" s="1428">
        <f>IFERROR(VLOOKUP(CONCATENATE($B$8,"_",$B17),Data!$H$16:$BN$1015,AP$11,FALSE),"")</f>
        <v>0</v>
      </c>
      <c r="AQ17" s="1428">
        <f>IFERROR(VLOOKUP(CONCATENATE($B$8,"_",$B17),Data!$H$16:$BN$1015,AQ$11,FALSE),"")</f>
        <v>0</v>
      </c>
      <c r="AR17" s="1430">
        <f>IFERROR(VLOOKUP(CONCATENATE($B$8,"_",$B17),Data!$H$16:$BN$1015,AR$11,FALSE),"")</f>
        <v>0</v>
      </c>
      <c r="AS17" s="1428">
        <f>IFERROR(VLOOKUP(CONCATENATE($B$8,"_",$B17),Data!$H$16:$BN$1015,AS$11,FALSE),"")</f>
        <v>0</v>
      </c>
      <c r="AT17" s="1428">
        <f>IFERROR(VLOOKUP(CONCATENATE($B$8,"_",$B17),Data!$H$16:$BN$1015,AT$11,FALSE),"")</f>
        <v>0</v>
      </c>
      <c r="AU17" s="1430">
        <f>IFERROR(VLOOKUP(CONCATENATE($B$8,"_",$B17),Data!$H$16:$BN$1015,AU$11,FALSE),"")</f>
        <v>0</v>
      </c>
      <c r="AV17" s="1428">
        <f>IFERROR(VLOOKUP(CONCATENATE($B$8,"_",$B17),Data!$H$16:$BN$1015,AV$11,FALSE),"")</f>
        <v>0</v>
      </c>
      <c r="AW17" s="1428">
        <f>IFERROR(VLOOKUP(CONCATENATE($B$8,"_",$B17),Data!$H$16:$BN$1015,AW$11,FALSE),"")</f>
        <v>0</v>
      </c>
      <c r="AX17" s="1430">
        <f>IFERROR(VLOOKUP(CONCATENATE($B$8,"_",$B17),Data!$H$16:$BN$1015,AX$11,FALSE),"")</f>
        <v>0</v>
      </c>
      <c r="AY17" s="1429">
        <f>IFERROR(VLOOKUP(CONCATENATE($B$8,"_",$B17),Data!$H$16:$BN$1015,AY$11,FALSE),"")</f>
        <v>0</v>
      </c>
      <c r="AZ17" s="1429">
        <f>IFERROR(VLOOKUP(CONCATENATE($B$8,"_",$B17),Data!$H$16:$BN$1015,AZ$11,FALSE),"")</f>
        <v>0</v>
      </c>
      <c r="BA17" s="1429">
        <f>IFERROR(VLOOKUP(CONCATENATE($B$8,"_",$B17),Data!$H$16:$BN$1015,BA$11,FALSE),"")</f>
        <v>0</v>
      </c>
      <c r="BB17" s="1429">
        <f>IFERROR(VLOOKUP(CONCATENATE($B$8,"_",$B17),Data!$H$16:$BN$1015,BB$11,FALSE),"")</f>
        <v>0</v>
      </c>
      <c r="BC17" s="1429">
        <f>IFERROR(VLOOKUP(CONCATENATE($B$8,"_",$B17),Data!$H$16:$BN$1015,BC$11,FALSE),"")</f>
        <v>0</v>
      </c>
      <c r="BD17" s="1431">
        <f>IFERROR(VLOOKUP(CONCATENATE($B$8,"_",$B17),Data!$H$16:$BN$1015,BD$11,FALSE),"")</f>
        <v>0</v>
      </c>
      <c r="BE17" s="1439">
        <f t="shared" si="0"/>
        <v>2004</v>
      </c>
      <c r="BF17" s="1428">
        <f>IFERROR(VLOOKUP(CONCATENATE($B$8,"_",$B17),Data!$BO$16:$ES$1015,BF$11,FALSE),"")</f>
        <v>11492856.970562156</v>
      </c>
      <c r="BG17" s="1433">
        <f>IFERROR(VLOOKUP(CONCATENATE($B$8,"_",$B17),Data!$BO$16:$ES$1015,BG$11,FALSE),"")</f>
        <v>0</v>
      </c>
      <c r="BH17" s="1435">
        <f>IFERROR(VLOOKUP(CONCATENATE($B$8,"_",$B17),Data!$BO$16:$ES$1015,BH$11,FALSE),"")</f>
        <v>0</v>
      </c>
      <c r="BI17" s="1434">
        <f>IFERROR(VLOOKUP(CONCATENATE($B$8,"_",$B17),Data!$BO$16:$ES$1015,BI$11,FALSE),"")</f>
        <v>0</v>
      </c>
      <c r="BJ17" s="1428">
        <f>IFERROR(VLOOKUP(CONCATENATE($B$8,"_",$B17),Data!$BO$16:$ES$1015,BJ$11,FALSE),"")</f>
        <v>6317377.8287884407</v>
      </c>
      <c r="BK17" s="1428">
        <f>IFERROR(VLOOKUP(CONCATENATE($B$8,"_",$B17),Data!$BO$16:$ES$1015,BK$11,FALSE),"")</f>
        <v>3544821.8676974261</v>
      </c>
      <c r="BL17" s="1428">
        <f>IFERROR(VLOOKUP(CONCATENATE($B$8,"_",$B17),Data!$BO$16:$ES$1015,BL$11,FALSE),"")</f>
        <v>1630657.2740762897</v>
      </c>
      <c r="BM17" s="1433">
        <f>IFERROR(VLOOKUP(CONCATENATE($B$8,"_",$B17),Data!$BO$16:$ES$1015,BM$11,FALSE),"")</f>
        <v>0</v>
      </c>
      <c r="BN17" s="1433">
        <f>IFERROR(VLOOKUP(CONCATENATE($B$8,"_",$B17),Data!$BO$16:$ES$1015,BN$11,FALSE),"")</f>
        <v>0</v>
      </c>
      <c r="BO17" s="1433">
        <f>IFERROR(VLOOKUP(CONCATENATE($B$8,"_",$B17),Data!$BO$16:$ES$1015,BO$11,FALSE),"")</f>
        <v>0</v>
      </c>
      <c r="BP17" s="1433">
        <f>IFERROR(VLOOKUP(CONCATENATE($B$8,"_",$B17),Data!$BO$16:$ES$1015,BP$11,FALSE),"")</f>
        <v>0</v>
      </c>
      <c r="BQ17" s="1433">
        <f>IFERROR(VLOOKUP(CONCATENATE($B$8,"_",$B17),Data!$BO$16:$ES$1015,BQ$11,FALSE),"")</f>
        <v>0</v>
      </c>
      <c r="BR17" s="1434">
        <f>IFERROR(VLOOKUP(CONCATENATE($B$8,"_",$B17),Data!$BO$16:$ES$1015,BR$11,FALSE),"")</f>
        <v>0</v>
      </c>
      <c r="BS17" s="1434">
        <f>IFERROR(VLOOKUP(CONCATENATE($B$8,"_",$B17),Data!$BO$16:$ES$1015,BS$11,FALSE),"")</f>
        <v>0</v>
      </c>
      <c r="BT17" s="1434">
        <f>IFERROR(VLOOKUP(CONCATENATE($B$8,"_",$B17),Data!$BO$16:$ES$1015,BT$11,FALSE),"")</f>
        <v>0</v>
      </c>
      <c r="BU17" s="1434">
        <f>IFERROR(VLOOKUP(CONCATENATE($B$8,"_",$B17),Data!$BO$16:$ES$1015,BU$11,FALSE),"")</f>
        <v>0</v>
      </c>
      <c r="BV17" s="1434">
        <f>IFERROR(VLOOKUP(CONCATENATE($B$8,"_",$B17),Data!$BO$16:$ES$1015,BV$11,FALSE),"")</f>
        <v>0</v>
      </c>
      <c r="BW17" s="1434">
        <f>IFERROR(VLOOKUP(CONCATENATE($B$8,"_",$B17),Data!$BO$16:$ES$1015,BW$11,FALSE),"")</f>
        <v>0</v>
      </c>
      <c r="BX17" s="1434">
        <f>IFERROR(VLOOKUP(CONCATENATE($B$8,"_",$B17),Data!$BO$16:$ES$1015,BX$11,FALSE),"")</f>
        <v>0</v>
      </c>
      <c r="BY17" s="1428">
        <f>IFERROR(VLOOKUP(CONCATENATE($B$8,"_",$B17),Data!$BO$16:$ES$1015,BY$11,FALSE),"")</f>
        <v>0</v>
      </c>
      <c r="BZ17" s="1428">
        <f>IFERROR(VLOOKUP(CONCATENATE($B$8,"_",$B17),Data!$BO$16:$ES$1015,BZ$11,FALSE),"")</f>
        <v>0</v>
      </c>
      <c r="CA17" s="1428">
        <f>IFERROR(VLOOKUP(CONCATENATE($B$8,"_",$B17),Data!$BO$16:$ES$1015,CA$11,FALSE),"")</f>
        <v>0</v>
      </c>
      <c r="CB17" s="1428">
        <f>IFERROR(VLOOKUP(CONCATENATE($B$8,"_",$B17),Data!$BO$16:$ES$1015,CB$11,FALSE),"")</f>
        <v>0</v>
      </c>
      <c r="CC17" s="1428">
        <f>IFERROR(VLOOKUP(CONCATENATE($B$8,"_",$B17),Data!$BO$16:$ES$1015,CC$11,FALSE),"")</f>
        <v>0</v>
      </c>
      <c r="CD17" s="1428">
        <f>IFERROR(VLOOKUP(CONCATENATE($B$8,"_",$B17),Data!$BO$16:$ES$1015,CD$11,FALSE),"")</f>
        <v>0</v>
      </c>
      <c r="CE17" s="1428">
        <f>IFERROR(VLOOKUP(CONCATENATE($B$8,"_",$B17),Data!$BO$16:$ES$1015,CE$11,FALSE),"")</f>
        <v>0</v>
      </c>
      <c r="CF17" s="1428">
        <f>IFERROR(VLOOKUP(CONCATENATE($B$8,"_",$B17),Data!$BO$16:$ES$1015,CF$11,FALSE),"")</f>
        <v>0</v>
      </c>
      <c r="CG17" s="1428">
        <f>IFERROR(VLOOKUP(CONCATENATE($B$8,"_",$B17),Data!$BO$16:$ES$1015,CG$11,FALSE),"")</f>
        <v>0</v>
      </c>
      <c r="CH17" s="1428">
        <f>IFERROR(VLOOKUP(CONCATENATE($B$8,"_",$B17),Data!$BO$16:$ES$1015,CH$11,FALSE),"")</f>
        <v>0</v>
      </c>
      <c r="CI17" s="1428">
        <f>IFERROR(VLOOKUP(CONCATENATE($B$8,"_",$B17),Data!$BO$16:$ES$1015,CI$11,FALSE),"")</f>
        <v>0</v>
      </c>
      <c r="CJ17" s="1428">
        <f>IFERROR(VLOOKUP(CONCATENATE($B$8,"_",$B17),Data!$BO$16:$ES$1015,CJ$11,FALSE),"")</f>
        <v>0</v>
      </c>
      <c r="CK17" s="1428">
        <f>IFERROR(VLOOKUP(CONCATENATE($B$8,"_",$B17),Data!$BO$16:$ES$1015,CK$11,FALSE),"")</f>
        <v>0</v>
      </c>
      <c r="CL17" s="1428">
        <f>IFERROR(VLOOKUP(CONCATENATE($B$8,"_",$B17),Data!$BO$16:$ES$1015,CL$11,FALSE),"")</f>
        <v>0</v>
      </c>
      <c r="CM17" s="1428">
        <f>IFERROR(VLOOKUP(CONCATENATE($B$8,"_",$B17),Data!$BO$16:$ES$1015,CM$11,FALSE),"")</f>
        <v>0</v>
      </c>
      <c r="CN17" s="1428">
        <f>IFERROR(VLOOKUP(CONCATENATE($B$8,"_",$B17),Data!$BO$16:$ES$1015,CN$11,FALSE),"")</f>
        <v>0</v>
      </c>
      <c r="CO17" s="1428">
        <f>IFERROR(VLOOKUP(CONCATENATE($B$8,"_",$B17),Data!$BO$16:$ES$1015,CO$11,FALSE),"")</f>
        <v>0</v>
      </c>
      <c r="CP17" s="1433">
        <f>IFERROR(VLOOKUP(CONCATENATE($B$8,"_",$B17),Data!$BO$16:$ES$1015,CP$11,FALSE),"")</f>
        <v>0</v>
      </c>
      <c r="CQ17" s="1433">
        <f>IFERROR(VLOOKUP(CONCATENATE($B$8,"_",$B17),Data!$BO$16:$ES$1015,CQ$11,FALSE),"")</f>
        <v>0</v>
      </c>
      <c r="CR17" s="1433">
        <f>IFERROR(VLOOKUP(CONCATENATE($B$8,"_",$B17),Data!$BO$16:$ES$1015,CR$11,FALSE),"")</f>
        <v>0</v>
      </c>
      <c r="CS17" s="1433">
        <f>IFERROR(VLOOKUP(CONCATENATE($B$8,"_",$B17),Data!$BO$16:$ES$1015,CS$11,FALSE),"")</f>
        <v>0</v>
      </c>
      <c r="CT17" s="1433">
        <f>IFERROR(VLOOKUP(CONCATENATE($B$8,"_",$B17),Data!$BO$16:$ES$1015,CT$11,FALSE),"")</f>
        <v>0</v>
      </c>
      <c r="CU17" s="1433">
        <f>IFERROR(VLOOKUP(CONCATENATE($B$8,"_",$B17),Data!$BO$16:$ES$1015,CU$11,FALSE),"")</f>
        <v>0</v>
      </c>
      <c r="CV17" s="1433">
        <f>IFERROR(VLOOKUP(CONCATENATE($B$8,"_",$B17),Data!$BO$16:$ES$1015,CV$11,FALSE),"")</f>
        <v>0</v>
      </c>
      <c r="CW17" s="1433">
        <f>IFERROR(VLOOKUP(CONCATENATE($B$8,"_",$B17),Data!$BO$16:$ES$1015,CW$11,FALSE),"")</f>
        <v>0</v>
      </c>
      <c r="CX17" s="1433">
        <f>IFERROR(VLOOKUP(CONCATENATE($B$8,"_",$B17),Data!$BO$16:$ES$1015,CX$11,FALSE),"")</f>
        <v>0</v>
      </c>
      <c r="CY17" s="1433">
        <f>IFERROR(VLOOKUP(CONCATENATE($B$8,"_",$B17),Data!$BO$16:$ES$1015,CY$11,FALSE),"")</f>
        <v>0</v>
      </c>
      <c r="CZ17" s="1433">
        <f>IFERROR(VLOOKUP(CONCATENATE($B$8,"_",$B17),Data!$BO$16:$ES$1015,CZ$11,FALSE),"")</f>
        <v>0</v>
      </c>
      <c r="DA17" s="1433">
        <f>IFERROR(VLOOKUP(CONCATENATE($B$8,"_",$B17),Data!$BO$16:$ES$1015,DA$11,FALSE),"")</f>
        <v>0</v>
      </c>
      <c r="DB17" s="1433">
        <f>IFERROR(VLOOKUP(CONCATENATE($B$8,"_",$B17),Data!$BO$16:$ES$1015,DB$11,FALSE),"")</f>
        <v>0</v>
      </c>
      <c r="DC17" s="1433">
        <f>IFERROR(VLOOKUP(CONCATENATE($B$8,"_",$B17),Data!$BO$16:$ES$1015,DC$11,FALSE),"")</f>
        <v>0</v>
      </c>
      <c r="DD17" s="1433">
        <f>IFERROR(VLOOKUP(CONCATENATE($B$8,"_",$B17),Data!$BO$16:$ES$1015,DD$11,FALSE),"")</f>
        <v>0</v>
      </c>
      <c r="DE17" s="1433">
        <f>IFERROR(VLOOKUP(CONCATENATE($B$8,"_",$B17),Data!$BO$16:$ES$1015,DE$11,FALSE),"")</f>
        <v>0</v>
      </c>
      <c r="DF17" s="1433">
        <f>IFERROR(VLOOKUP(CONCATENATE($B$8,"_",$B17),Data!$BO$16:$ES$1015,DF$11,FALSE),"")</f>
        <v>0</v>
      </c>
      <c r="DG17" s="1433">
        <f>IFERROR(VLOOKUP(CONCATENATE($B$8,"_",$B17),Data!$BO$16:$ES$1015,DG$11,FALSE),"")</f>
        <v>0</v>
      </c>
      <c r="DH17" s="1433">
        <f>IFERROR(VLOOKUP(CONCATENATE($B$8,"_",$B17),Data!$BO$16:$ES$1015,DH$11,FALSE),"")</f>
        <v>0</v>
      </c>
      <c r="DI17" s="1433">
        <f>IFERROR(VLOOKUP(CONCATENATE($B$8,"_",$B17),Data!$BO$16:$ES$1015,DI$11,FALSE),"")</f>
        <v>0</v>
      </c>
      <c r="DJ17" s="1433">
        <f>IFERROR(VLOOKUP(CONCATENATE($B$8,"_",$B17),Data!$BO$16:$ES$1015,DJ$11,FALSE),"")</f>
        <v>0</v>
      </c>
      <c r="DK17" s="1433">
        <f>IFERROR(VLOOKUP(CONCATENATE($B$8,"_",$B17),Data!$BO$16:$ES$1015,DK$11,FALSE),"")</f>
        <v>0</v>
      </c>
      <c r="DL17" s="1435">
        <f>IFERROR(VLOOKUP(CONCATENATE($B$8,"_",$B17),Data!$BO$16:$ES$1015,DL$11,FALSE),"")</f>
        <v>0</v>
      </c>
      <c r="DM17" s="1434">
        <f>IFERROR(VLOOKUP(CONCATENATE($B$8,"_",$B17),Data!$BO$16:$ES$1015,DM$11,FALSE),"")</f>
        <v>0</v>
      </c>
      <c r="DN17" s="1434">
        <f>IFERROR(VLOOKUP(CONCATENATE($B$8,"_",$B17),Data!$BO$16:$ES$1015,DN$11,FALSE),"")</f>
        <v>0</v>
      </c>
      <c r="DO17" s="1434">
        <f>IFERROR(VLOOKUP(CONCATENATE($B$8,"_",$B17),Data!$BO$16:$ES$1015,DO$11,FALSE),"")</f>
        <v>0</v>
      </c>
      <c r="DP17" s="1434">
        <f>IFERROR(VLOOKUP(CONCATENATE($B$8,"_",$B17),Data!$BO$16:$ES$1015,DP$11,FALSE),"")</f>
        <v>0</v>
      </c>
      <c r="DQ17" s="1434">
        <f>IFERROR(VLOOKUP(CONCATENATE($B$8,"_",$B17),Data!$BO$16:$ES$1015,DQ$11,FALSE),"")</f>
        <v>0</v>
      </c>
      <c r="DR17" s="1434">
        <f>IFERROR(VLOOKUP(CONCATENATE($B$8,"_",$B17),Data!$BO$16:$ES$1015,DR$11,FALSE),"")</f>
        <v>0</v>
      </c>
      <c r="DS17" s="1434">
        <f>IFERROR(VLOOKUP(CONCATENATE($B$8,"_",$B17),Data!$BO$16:$ES$1015,DS$11,FALSE),"")</f>
        <v>0</v>
      </c>
      <c r="DT17" s="1434">
        <f>IFERROR(VLOOKUP(CONCATENATE($B$8,"_",$B17),Data!$BO$16:$ES$1015,DT$11,FALSE),"")</f>
        <v>0</v>
      </c>
      <c r="DU17" s="1434">
        <f>IFERROR(VLOOKUP(CONCATENATE($B$8,"_",$B17),Data!$BO$16:$ES$1015,DU$11,FALSE),"")</f>
        <v>0</v>
      </c>
      <c r="DV17" s="1434">
        <f>IFERROR(VLOOKUP(CONCATENATE($B$8,"_",$B17),Data!$BO$16:$ES$1015,DV$11,FALSE),"")</f>
        <v>0</v>
      </c>
      <c r="DW17" s="1434">
        <f>IFERROR(VLOOKUP(CONCATENATE($B$8,"_",$B17),Data!$BO$16:$ES$1015,DW$11,FALSE),"")</f>
        <v>0</v>
      </c>
      <c r="DX17" s="1434">
        <f>IFERROR(VLOOKUP(CONCATENATE($B$8,"_",$B17),Data!$BO$16:$ES$1015,DX$11,FALSE),"")</f>
        <v>0</v>
      </c>
      <c r="DY17" s="1434">
        <f>IFERROR(VLOOKUP(CONCATENATE($B$8,"_",$B17),Data!$BO$16:$ES$1015,DY$11,FALSE),"")</f>
        <v>0</v>
      </c>
      <c r="DZ17" s="1434">
        <f>IFERROR(VLOOKUP(CONCATENATE($B$8,"_",$B17),Data!$BO$16:$ES$1015,DZ$11,FALSE),"")</f>
        <v>0</v>
      </c>
      <c r="EA17" s="1434">
        <f>IFERROR(VLOOKUP(CONCATENATE($B$8,"_",$B17),Data!$BO$16:$ES$1015,EA$11,FALSE),"")</f>
        <v>0</v>
      </c>
      <c r="EB17" s="1434">
        <f>IFERROR(VLOOKUP(CONCATENATE($B$8,"_",$B17),Data!$BO$16:$ES$1015,EB$11,FALSE),"")</f>
        <v>0</v>
      </c>
      <c r="EC17" s="1434">
        <f>IFERROR(VLOOKUP(CONCATENATE($B$8,"_",$B17),Data!$BO$16:$ES$1015,EC$11,FALSE),"")</f>
        <v>0</v>
      </c>
      <c r="ED17" s="1434">
        <f>IFERROR(VLOOKUP(CONCATENATE($B$8,"_",$B17),Data!$BO$16:$ES$1015,ED$11,FALSE),"")</f>
        <v>0</v>
      </c>
      <c r="EE17" s="1434">
        <f>IFERROR(VLOOKUP(CONCATENATE($B$8,"_",$B17),Data!$BO$16:$ES$1015,EE$11,FALSE),"")</f>
        <v>0</v>
      </c>
      <c r="EF17" s="1434">
        <f>IFERROR(VLOOKUP(CONCATENATE($B$8,"_",$B17),Data!$BO$16:$ES$1015,EF$11,FALSE),"")</f>
        <v>0</v>
      </c>
      <c r="EG17" s="1434">
        <f>IFERROR(VLOOKUP(CONCATENATE($B$8,"_",$B17),Data!$BO$16:$ES$1015,EG$11,FALSE),"")</f>
        <v>0</v>
      </c>
      <c r="EH17" s="1434">
        <f>IFERROR(VLOOKUP(CONCATENATE($B$8,"_",$B17),Data!$BO$16:$ES$1015,EH$11,FALSE),"")</f>
        <v>0</v>
      </c>
      <c r="EI17" s="1434">
        <f>IFERROR(VLOOKUP(CONCATENATE($B$8,"_",$B17),Data!$BO$16:$ES$1015,EI$11,FALSE),"")</f>
        <v>0</v>
      </c>
    </row>
    <row r="18" spans="1:141" s="1441" customFormat="1" ht="15" customHeight="1">
      <c r="A18" s="1438">
        <v>5</v>
      </c>
      <c r="B18" s="1738">
        <f>IF($B$13+A18&lt;=Progress!$D$18,$B$13+A18,"")</f>
        <v>2005</v>
      </c>
      <c r="C18" s="1737">
        <f>IFERROR(VLOOKUP(CONCATENATE($B$8,"_",$B18),Data!$H$16:$BN$1015,C$11,FALSE),"")</f>
        <v>0</v>
      </c>
      <c r="D18" s="1428">
        <f>IFERROR(VLOOKUP(CONCATENATE($B$8,"_",$B18),Data!$H$16:$BN$1015,D$11,FALSE),"")</f>
        <v>0</v>
      </c>
      <c r="E18" s="1429">
        <f>IFERROR(VLOOKUP(CONCATENATE($B$8,"_",$B18),Data!$H$16:$BN$1015,E$11,FALSE),"")</f>
        <v>0</v>
      </c>
      <c r="F18" s="1428">
        <f>IFERROR(VLOOKUP(CONCATENATE($B$8,"_",$B18),Data!$H$16:$BN$1015,F$11,FALSE),"")</f>
        <v>0</v>
      </c>
      <c r="G18" s="1428">
        <f>IFERROR(VLOOKUP(CONCATENATE($B$8,"_",$B18),Data!$H$16:$BN$1015,G$11,FALSE),"")</f>
        <v>0</v>
      </c>
      <c r="H18" s="1429">
        <f>IFERROR(VLOOKUP(CONCATENATE($B$8,"_",$B18),Data!$H$16:$BN$1015,H$11,FALSE),"")</f>
        <v>0</v>
      </c>
      <c r="I18" s="1428">
        <f>IFERROR(VLOOKUP(CONCATENATE($B$8,"_",$B18),Data!$H$16:$BN$1015,I$11,FALSE),"")</f>
        <v>0</v>
      </c>
      <c r="J18" s="1428">
        <f>IFERROR(VLOOKUP(CONCATENATE($B$8,"_",$B18),Data!$H$16:$BN$1015,J$11,FALSE),"")</f>
        <v>0</v>
      </c>
      <c r="K18" s="1429">
        <f>IFERROR(VLOOKUP(CONCATENATE($B$8,"_",$B18),Data!$H$16:$BN$1015,K$11,FALSE),"")</f>
        <v>0</v>
      </c>
      <c r="L18" s="1428">
        <f>IFERROR(VLOOKUP(CONCATENATE($B$8,"_",$B18),Data!$H$16:$BN$1015,L$11,FALSE),"")</f>
        <v>0</v>
      </c>
      <c r="M18" s="1428">
        <f>IFERROR(VLOOKUP(CONCATENATE($B$8,"_",$B18),Data!$H$16:$BN$1015,M$11,FALSE),"")</f>
        <v>0</v>
      </c>
      <c r="N18" s="1429">
        <f>IFERROR(VLOOKUP(CONCATENATE($B$8,"_",$B18),Data!$H$16:$BN$1015,N$11,FALSE),"")</f>
        <v>0</v>
      </c>
      <c r="O18" s="1430">
        <f>IFERROR(VLOOKUP(CONCATENATE($B$8,"_",$B18),Data!$H$16:$BN$1015,O$11,FALSE),"")</f>
        <v>0</v>
      </c>
      <c r="P18" s="1428">
        <f>IFERROR(VLOOKUP(CONCATENATE($B$8,"_",$B18),Data!$H$16:$BN$1015,P$11,FALSE),"")</f>
        <v>0</v>
      </c>
      <c r="Q18" s="1428">
        <f>IFERROR(VLOOKUP(CONCATENATE($B$8,"_",$B18),Data!$H$16:$BN$1015,Q$11,FALSE),"")</f>
        <v>0</v>
      </c>
      <c r="R18" s="1429">
        <f>IFERROR(VLOOKUP(CONCATENATE($B$8,"_",$B18),Data!$H$16:$BN$1015,R$11,FALSE),"")</f>
        <v>0</v>
      </c>
      <c r="S18" s="1428">
        <f>IFERROR(VLOOKUP(CONCATENATE($B$8,"_",$B18),Data!$H$16:$BN$1015,S$11,FALSE),"")</f>
        <v>0</v>
      </c>
      <c r="T18" s="1428">
        <f>IFERROR(VLOOKUP(CONCATENATE($B$8,"_",$B18),Data!$H$16:$BN$1015,T$11,FALSE),"")</f>
        <v>0</v>
      </c>
      <c r="U18" s="1429">
        <f>IFERROR(VLOOKUP(CONCATENATE($B$8,"_",$B18),Data!$H$16:$BN$1015,U$11,FALSE),"")</f>
        <v>0</v>
      </c>
      <c r="V18" s="1428">
        <f>IFERROR(VLOOKUP(CONCATENATE($B$8,"_",$B18),Data!$H$16:$BN$1015,V$11,FALSE),"")</f>
        <v>0</v>
      </c>
      <c r="W18" s="1428">
        <f>IFERROR(VLOOKUP(CONCATENATE($B$8,"_",$B18),Data!$H$16:$BN$1015,W$11,FALSE),"")</f>
        <v>0</v>
      </c>
      <c r="X18" s="1428">
        <f>IFERROR(VLOOKUP(CONCATENATE($B$8,"_",$B18),Data!$H$16:$BN$1015,X$11,FALSE),"")</f>
        <v>0</v>
      </c>
      <c r="Y18" s="1428">
        <f>IFERROR(VLOOKUP(CONCATENATE($B$8,"_",$B18),Data!$H$16:$BN$1015,Y$11,FALSE),"")</f>
        <v>0</v>
      </c>
      <c r="Z18" s="1429">
        <f>IFERROR(VLOOKUP(CONCATENATE($B$8,"_",$B18),Data!$H$16:$BN$1015,Z$11,FALSE),"")</f>
        <v>0</v>
      </c>
      <c r="AA18" s="1428">
        <f>IFERROR(VLOOKUP(CONCATENATE($B$8,"_",$B18),Data!$H$16:$BN$1015,AA$11,FALSE),"")</f>
        <v>0</v>
      </c>
      <c r="AB18" s="1428">
        <f>IFERROR(VLOOKUP(CONCATENATE($B$8,"_",$B18),Data!$H$16:$BN$1015,AB$11,FALSE),"")</f>
        <v>0</v>
      </c>
      <c r="AC18" s="1429">
        <f>IFERROR(VLOOKUP(CONCATENATE($B$8,"_",$B18),Data!$H$16:$BN$1015,AC$11,FALSE),"")</f>
        <v>0</v>
      </c>
      <c r="AD18" s="1428">
        <f>IFERROR(VLOOKUP(CONCATENATE($B$8,"_",$B18),Data!$H$16:$BN$1015,AD$11,FALSE),"")</f>
        <v>0</v>
      </c>
      <c r="AE18" s="1428">
        <f>IFERROR(VLOOKUP(CONCATENATE($B$8,"_",$B18),Data!$H$16:$BN$1015,AE$11,FALSE),"")</f>
        <v>0</v>
      </c>
      <c r="AF18" s="1429">
        <f>IFERROR(VLOOKUP(CONCATENATE($B$8,"_",$B18),Data!$H$16:$BN$1015,AF$11,FALSE),"")</f>
        <v>0</v>
      </c>
      <c r="AG18" s="1428">
        <f>IFERROR(VLOOKUP(CONCATENATE($B$8,"_",$B18),Data!$H$16:$BN$1015,AG$11,FALSE),"")</f>
        <v>0</v>
      </c>
      <c r="AH18" s="1428">
        <f>IFERROR(VLOOKUP(CONCATENATE($B$8,"_",$B18),Data!$H$16:$BN$1015,AH$11,FALSE),"")</f>
        <v>0</v>
      </c>
      <c r="AI18" s="1429">
        <f>IFERROR(VLOOKUP(CONCATENATE($B$8,"_",$B18),Data!$H$16:$BN$1015,AI$11,FALSE),"")</f>
        <v>0</v>
      </c>
      <c r="AJ18" s="1428">
        <f>IFERROR(VLOOKUP(CONCATENATE($B$8,"_",$B18),Data!$H$16:$BN$1015,AJ$11,FALSE),"")</f>
        <v>0</v>
      </c>
      <c r="AK18" s="1428">
        <f>IFERROR(VLOOKUP(CONCATENATE($B$8,"_",$B18),Data!$H$16:$BN$1015,AK$11,FALSE),"")</f>
        <v>0</v>
      </c>
      <c r="AL18" s="1429">
        <f>IFERROR(VLOOKUP(CONCATENATE($B$8,"_",$B18),Data!$H$16:$BN$1015,AL$11,FALSE),"")</f>
        <v>0</v>
      </c>
      <c r="AM18" s="1428">
        <f>IFERROR(VLOOKUP(CONCATENATE($B$8,"_",$B18),Data!$H$16:$BN$1015,AM$11,FALSE),"")</f>
        <v>0</v>
      </c>
      <c r="AN18" s="1428">
        <f>IFERROR(VLOOKUP(CONCATENATE($B$8,"_",$B18),Data!$H$16:$BN$1015,AN$11,FALSE),"")</f>
        <v>0</v>
      </c>
      <c r="AO18" s="1430">
        <f>IFERROR(VLOOKUP(CONCATENATE($B$8,"_",$B18),Data!$H$16:$BN$1015,AO$11,FALSE),"")</f>
        <v>0</v>
      </c>
      <c r="AP18" s="1428">
        <f>IFERROR(VLOOKUP(CONCATENATE($B$8,"_",$B18),Data!$H$16:$BN$1015,AP$11,FALSE),"")</f>
        <v>0</v>
      </c>
      <c r="AQ18" s="1428">
        <f>IFERROR(VLOOKUP(CONCATENATE($B$8,"_",$B18),Data!$H$16:$BN$1015,AQ$11,FALSE),"")</f>
        <v>0</v>
      </c>
      <c r="AR18" s="1430">
        <f>IFERROR(VLOOKUP(CONCATENATE($B$8,"_",$B18),Data!$H$16:$BN$1015,AR$11,FALSE),"")</f>
        <v>0</v>
      </c>
      <c r="AS18" s="1428">
        <f>IFERROR(VLOOKUP(CONCATENATE($B$8,"_",$B18),Data!$H$16:$BN$1015,AS$11,FALSE),"")</f>
        <v>0</v>
      </c>
      <c r="AT18" s="1428">
        <f>IFERROR(VLOOKUP(CONCATENATE($B$8,"_",$B18),Data!$H$16:$BN$1015,AT$11,FALSE),"")</f>
        <v>0</v>
      </c>
      <c r="AU18" s="1430">
        <f>IFERROR(VLOOKUP(CONCATENATE($B$8,"_",$B18),Data!$H$16:$BN$1015,AU$11,FALSE),"")</f>
        <v>0</v>
      </c>
      <c r="AV18" s="1428">
        <f>IFERROR(VLOOKUP(CONCATENATE($B$8,"_",$B18),Data!$H$16:$BN$1015,AV$11,FALSE),"")</f>
        <v>0</v>
      </c>
      <c r="AW18" s="1428">
        <f>IFERROR(VLOOKUP(CONCATENATE($B$8,"_",$B18),Data!$H$16:$BN$1015,AW$11,FALSE),"")</f>
        <v>0</v>
      </c>
      <c r="AX18" s="1430">
        <f>IFERROR(VLOOKUP(CONCATENATE($B$8,"_",$B18),Data!$H$16:$BN$1015,AX$11,FALSE),"")</f>
        <v>0</v>
      </c>
      <c r="AY18" s="1429">
        <f>IFERROR(VLOOKUP(CONCATENATE($B$8,"_",$B18),Data!$H$16:$BN$1015,AY$11,FALSE),"")</f>
        <v>0</v>
      </c>
      <c r="AZ18" s="1429">
        <f>IFERROR(VLOOKUP(CONCATENATE($B$8,"_",$B18),Data!$H$16:$BN$1015,AZ$11,FALSE),"")</f>
        <v>0</v>
      </c>
      <c r="BA18" s="1429">
        <f>IFERROR(VLOOKUP(CONCATENATE($B$8,"_",$B18),Data!$H$16:$BN$1015,BA$11,FALSE),"")</f>
        <v>0</v>
      </c>
      <c r="BB18" s="1429">
        <f>IFERROR(VLOOKUP(CONCATENATE($B$8,"_",$B18),Data!$H$16:$BN$1015,BB$11,FALSE),"")</f>
        <v>0</v>
      </c>
      <c r="BC18" s="1429">
        <f>IFERROR(VLOOKUP(CONCATENATE($B$8,"_",$B18),Data!$H$16:$BN$1015,BC$11,FALSE),"")</f>
        <v>0</v>
      </c>
      <c r="BD18" s="1431">
        <f>IFERROR(VLOOKUP(CONCATENATE($B$8,"_",$B18),Data!$H$16:$BN$1015,BD$11,FALSE),"")</f>
        <v>0</v>
      </c>
      <c r="BE18" s="1439">
        <f t="shared" si="0"/>
        <v>2005</v>
      </c>
      <c r="BF18" s="1428">
        <f>IFERROR(VLOOKUP(CONCATENATE($B$8,"_",$B18),Data!$BO$16:$ES$1015,BF$11,FALSE),"")</f>
        <v>11440872.066532677</v>
      </c>
      <c r="BG18" s="1433">
        <f>IFERROR(VLOOKUP(CONCATENATE($B$8,"_",$B18),Data!$BO$16:$ES$1015,BG$11,FALSE),"")</f>
        <v>0</v>
      </c>
      <c r="BH18" s="1435">
        <f>IFERROR(VLOOKUP(CONCATENATE($B$8,"_",$B18),Data!$BO$16:$ES$1015,BH$11,FALSE),"")</f>
        <v>0</v>
      </c>
      <c r="BI18" s="1434">
        <f>IFERROR(VLOOKUP(CONCATENATE($B$8,"_",$B18),Data!$BO$16:$ES$1015,BI$11,FALSE),"")</f>
        <v>0</v>
      </c>
      <c r="BJ18" s="1428">
        <f>IFERROR(VLOOKUP(CONCATENATE($B$8,"_",$B18),Data!$BO$16:$ES$1015,BJ$11,FALSE),"")</f>
        <v>6377457.3421082143</v>
      </c>
      <c r="BK18" s="1428">
        <f>IFERROR(VLOOKUP(CONCATENATE($B$8,"_",$B18),Data!$BO$16:$ES$1015,BK$11,FALSE),"")</f>
        <v>3437972.5997500056</v>
      </c>
      <c r="BL18" s="1428">
        <f>IFERROR(VLOOKUP(CONCATENATE($B$8,"_",$B18),Data!$BO$16:$ES$1015,BL$11,FALSE),"")</f>
        <v>1625442.1246744585</v>
      </c>
      <c r="BM18" s="1433">
        <f>IFERROR(VLOOKUP(CONCATENATE($B$8,"_",$B18),Data!$BO$16:$ES$1015,BM$11,FALSE),"")</f>
        <v>0</v>
      </c>
      <c r="BN18" s="1433">
        <f>IFERROR(VLOOKUP(CONCATENATE($B$8,"_",$B18),Data!$BO$16:$ES$1015,BN$11,FALSE),"")</f>
        <v>0</v>
      </c>
      <c r="BO18" s="1433">
        <f>IFERROR(VLOOKUP(CONCATENATE($B$8,"_",$B18),Data!$BO$16:$ES$1015,BO$11,FALSE),"")</f>
        <v>0</v>
      </c>
      <c r="BP18" s="1433">
        <f>IFERROR(VLOOKUP(CONCATENATE($B$8,"_",$B18),Data!$BO$16:$ES$1015,BP$11,FALSE),"")</f>
        <v>0</v>
      </c>
      <c r="BQ18" s="1433">
        <f>IFERROR(VLOOKUP(CONCATENATE($B$8,"_",$B18),Data!$BO$16:$ES$1015,BQ$11,FALSE),"")</f>
        <v>0</v>
      </c>
      <c r="BR18" s="1434">
        <f>IFERROR(VLOOKUP(CONCATENATE($B$8,"_",$B18),Data!$BO$16:$ES$1015,BR$11,FALSE),"")</f>
        <v>0</v>
      </c>
      <c r="BS18" s="1434">
        <f>IFERROR(VLOOKUP(CONCATENATE($B$8,"_",$B18),Data!$BO$16:$ES$1015,BS$11,FALSE),"")</f>
        <v>0</v>
      </c>
      <c r="BT18" s="1434">
        <f>IFERROR(VLOOKUP(CONCATENATE($B$8,"_",$B18),Data!$BO$16:$ES$1015,BT$11,FALSE),"")</f>
        <v>0</v>
      </c>
      <c r="BU18" s="1434">
        <f>IFERROR(VLOOKUP(CONCATENATE($B$8,"_",$B18),Data!$BO$16:$ES$1015,BU$11,FALSE),"")</f>
        <v>0</v>
      </c>
      <c r="BV18" s="1434">
        <f>IFERROR(VLOOKUP(CONCATENATE($B$8,"_",$B18),Data!$BO$16:$ES$1015,BV$11,FALSE),"")</f>
        <v>0</v>
      </c>
      <c r="BW18" s="1434">
        <f>IFERROR(VLOOKUP(CONCATENATE($B$8,"_",$B18),Data!$BO$16:$ES$1015,BW$11,FALSE),"")</f>
        <v>0</v>
      </c>
      <c r="BX18" s="1434">
        <f>IFERROR(VLOOKUP(CONCATENATE($B$8,"_",$B18),Data!$BO$16:$ES$1015,BX$11,FALSE),"")</f>
        <v>0</v>
      </c>
      <c r="BY18" s="1428">
        <f>IFERROR(VLOOKUP(CONCATENATE($B$8,"_",$B18),Data!$BO$16:$ES$1015,BY$11,FALSE),"")</f>
        <v>0</v>
      </c>
      <c r="BZ18" s="1428">
        <f>IFERROR(VLOOKUP(CONCATENATE($B$8,"_",$B18),Data!$BO$16:$ES$1015,BZ$11,FALSE),"")</f>
        <v>0</v>
      </c>
      <c r="CA18" s="1428">
        <f>IFERROR(VLOOKUP(CONCATENATE($B$8,"_",$B18),Data!$BO$16:$ES$1015,CA$11,FALSE),"")</f>
        <v>0</v>
      </c>
      <c r="CB18" s="1428">
        <f>IFERROR(VLOOKUP(CONCATENATE($B$8,"_",$B18),Data!$BO$16:$ES$1015,CB$11,FALSE),"")</f>
        <v>0</v>
      </c>
      <c r="CC18" s="1428">
        <f>IFERROR(VLOOKUP(CONCATENATE($B$8,"_",$B18),Data!$BO$16:$ES$1015,CC$11,FALSE),"")</f>
        <v>0</v>
      </c>
      <c r="CD18" s="1428">
        <f>IFERROR(VLOOKUP(CONCATENATE($B$8,"_",$B18),Data!$BO$16:$ES$1015,CD$11,FALSE),"")</f>
        <v>0</v>
      </c>
      <c r="CE18" s="1428">
        <f>IFERROR(VLOOKUP(CONCATENATE($B$8,"_",$B18),Data!$BO$16:$ES$1015,CE$11,FALSE),"")</f>
        <v>0</v>
      </c>
      <c r="CF18" s="1428">
        <f>IFERROR(VLOOKUP(CONCATENATE($B$8,"_",$B18),Data!$BO$16:$ES$1015,CF$11,FALSE),"")</f>
        <v>0</v>
      </c>
      <c r="CG18" s="1428">
        <f>IFERROR(VLOOKUP(CONCATENATE($B$8,"_",$B18),Data!$BO$16:$ES$1015,CG$11,FALSE),"")</f>
        <v>0</v>
      </c>
      <c r="CH18" s="1428">
        <f>IFERROR(VLOOKUP(CONCATENATE($B$8,"_",$B18),Data!$BO$16:$ES$1015,CH$11,FALSE),"")</f>
        <v>0</v>
      </c>
      <c r="CI18" s="1428">
        <f>IFERROR(VLOOKUP(CONCATENATE($B$8,"_",$B18),Data!$BO$16:$ES$1015,CI$11,FALSE),"")</f>
        <v>0</v>
      </c>
      <c r="CJ18" s="1428">
        <f>IFERROR(VLOOKUP(CONCATENATE($B$8,"_",$B18),Data!$BO$16:$ES$1015,CJ$11,FALSE),"")</f>
        <v>0</v>
      </c>
      <c r="CK18" s="1428">
        <f>IFERROR(VLOOKUP(CONCATENATE($B$8,"_",$B18),Data!$BO$16:$ES$1015,CK$11,FALSE),"")</f>
        <v>0</v>
      </c>
      <c r="CL18" s="1428">
        <f>IFERROR(VLOOKUP(CONCATENATE($B$8,"_",$B18),Data!$BO$16:$ES$1015,CL$11,FALSE),"")</f>
        <v>0</v>
      </c>
      <c r="CM18" s="1428">
        <f>IFERROR(VLOOKUP(CONCATENATE($B$8,"_",$B18),Data!$BO$16:$ES$1015,CM$11,FALSE),"")</f>
        <v>0</v>
      </c>
      <c r="CN18" s="1428">
        <f>IFERROR(VLOOKUP(CONCATENATE($B$8,"_",$B18),Data!$BO$16:$ES$1015,CN$11,FALSE),"")</f>
        <v>0</v>
      </c>
      <c r="CO18" s="1428">
        <f>IFERROR(VLOOKUP(CONCATENATE($B$8,"_",$B18),Data!$BO$16:$ES$1015,CO$11,FALSE),"")</f>
        <v>0</v>
      </c>
      <c r="CP18" s="1433">
        <f>IFERROR(VLOOKUP(CONCATENATE($B$8,"_",$B18),Data!$BO$16:$ES$1015,CP$11,FALSE),"")</f>
        <v>0</v>
      </c>
      <c r="CQ18" s="1433">
        <f>IFERROR(VLOOKUP(CONCATENATE($B$8,"_",$B18),Data!$BO$16:$ES$1015,CQ$11,FALSE),"")</f>
        <v>0</v>
      </c>
      <c r="CR18" s="1433">
        <f>IFERROR(VLOOKUP(CONCATENATE($B$8,"_",$B18),Data!$BO$16:$ES$1015,CR$11,FALSE),"")</f>
        <v>0</v>
      </c>
      <c r="CS18" s="1433">
        <f>IFERROR(VLOOKUP(CONCATENATE($B$8,"_",$B18),Data!$BO$16:$ES$1015,CS$11,FALSE),"")</f>
        <v>0</v>
      </c>
      <c r="CT18" s="1433">
        <f>IFERROR(VLOOKUP(CONCATENATE($B$8,"_",$B18),Data!$BO$16:$ES$1015,CT$11,FALSE),"")</f>
        <v>0</v>
      </c>
      <c r="CU18" s="1433">
        <f>IFERROR(VLOOKUP(CONCATENATE($B$8,"_",$B18),Data!$BO$16:$ES$1015,CU$11,FALSE),"")</f>
        <v>0</v>
      </c>
      <c r="CV18" s="1433">
        <f>IFERROR(VLOOKUP(CONCATENATE($B$8,"_",$B18),Data!$BO$16:$ES$1015,CV$11,FALSE),"")</f>
        <v>0</v>
      </c>
      <c r="CW18" s="1433">
        <f>IFERROR(VLOOKUP(CONCATENATE($B$8,"_",$B18),Data!$BO$16:$ES$1015,CW$11,FALSE),"")</f>
        <v>0</v>
      </c>
      <c r="CX18" s="1433">
        <f>IFERROR(VLOOKUP(CONCATENATE($B$8,"_",$B18),Data!$BO$16:$ES$1015,CX$11,FALSE),"")</f>
        <v>0</v>
      </c>
      <c r="CY18" s="1433">
        <f>IFERROR(VLOOKUP(CONCATENATE($B$8,"_",$B18),Data!$BO$16:$ES$1015,CY$11,FALSE),"")</f>
        <v>0</v>
      </c>
      <c r="CZ18" s="1433">
        <f>IFERROR(VLOOKUP(CONCATENATE($B$8,"_",$B18),Data!$BO$16:$ES$1015,CZ$11,FALSE),"")</f>
        <v>0</v>
      </c>
      <c r="DA18" s="1433">
        <f>IFERROR(VLOOKUP(CONCATENATE($B$8,"_",$B18),Data!$BO$16:$ES$1015,DA$11,FALSE),"")</f>
        <v>0</v>
      </c>
      <c r="DB18" s="1433">
        <f>IFERROR(VLOOKUP(CONCATENATE($B$8,"_",$B18),Data!$BO$16:$ES$1015,DB$11,FALSE),"")</f>
        <v>0</v>
      </c>
      <c r="DC18" s="1433">
        <f>IFERROR(VLOOKUP(CONCATENATE($B$8,"_",$B18),Data!$BO$16:$ES$1015,DC$11,FALSE),"")</f>
        <v>0</v>
      </c>
      <c r="DD18" s="1433">
        <f>IFERROR(VLOOKUP(CONCATENATE($B$8,"_",$B18),Data!$BO$16:$ES$1015,DD$11,FALSE),"")</f>
        <v>0</v>
      </c>
      <c r="DE18" s="1433">
        <f>IFERROR(VLOOKUP(CONCATENATE($B$8,"_",$B18),Data!$BO$16:$ES$1015,DE$11,FALSE),"")</f>
        <v>0</v>
      </c>
      <c r="DF18" s="1433">
        <f>IFERROR(VLOOKUP(CONCATENATE($B$8,"_",$B18),Data!$BO$16:$ES$1015,DF$11,FALSE),"")</f>
        <v>0</v>
      </c>
      <c r="DG18" s="1433">
        <f>IFERROR(VLOOKUP(CONCATENATE($B$8,"_",$B18),Data!$BO$16:$ES$1015,DG$11,FALSE),"")</f>
        <v>0</v>
      </c>
      <c r="DH18" s="1433">
        <f>IFERROR(VLOOKUP(CONCATENATE($B$8,"_",$B18),Data!$BO$16:$ES$1015,DH$11,FALSE),"")</f>
        <v>0</v>
      </c>
      <c r="DI18" s="1433">
        <f>IFERROR(VLOOKUP(CONCATENATE($B$8,"_",$B18),Data!$BO$16:$ES$1015,DI$11,FALSE),"")</f>
        <v>0</v>
      </c>
      <c r="DJ18" s="1433">
        <f>IFERROR(VLOOKUP(CONCATENATE($B$8,"_",$B18),Data!$BO$16:$ES$1015,DJ$11,FALSE),"")</f>
        <v>0</v>
      </c>
      <c r="DK18" s="1433">
        <f>IFERROR(VLOOKUP(CONCATENATE($B$8,"_",$B18),Data!$BO$16:$ES$1015,DK$11,FALSE),"")</f>
        <v>0</v>
      </c>
      <c r="DL18" s="1435">
        <f>IFERROR(VLOOKUP(CONCATENATE($B$8,"_",$B18),Data!$BO$16:$ES$1015,DL$11,FALSE),"")</f>
        <v>0</v>
      </c>
      <c r="DM18" s="1434">
        <f>IFERROR(VLOOKUP(CONCATENATE($B$8,"_",$B18),Data!$BO$16:$ES$1015,DM$11,FALSE),"")</f>
        <v>0</v>
      </c>
      <c r="DN18" s="1434">
        <f>IFERROR(VLOOKUP(CONCATENATE($B$8,"_",$B18),Data!$BO$16:$ES$1015,DN$11,FALSE),"")</f>
        <v>0</v>
      </c>
      <c r="DO18" s="1434">
        <f>IFERROR(VLOOKUP(CONCATENATE($B$8,"_",$B18),Data!$BO$16:$ES$1015,DO$11,FALSE),"")</f>
        <v>0</v>
      </c>
      <c r="DP18" s="1434">
        <f>IFERROR(VLOOKUP(CONCATENATE($B$8,"_",$B18),Data!$BO$16:$ES$1015,DP$11,FALSE),"")</f>
        <v>0</v>
      </c>
      <c r="DQ18" s="1434">
        <f>IFERROR(VLOOKUP(CONCATENATE($B$8,"_",$B18),Data!$BO$16:$ES$1015,DQ$11,FALSE),"")</f>
        <v>0</v>
      </c>
      <c r="DR18" s="1434">
        <f>IFERROR(VLOOKUP(CONCATENATE($B$8,"_",$B18),Data!$BO$16:$ES$1015,DR$11,FALSE),"")</f>
        <v>0</v>
      </c>
      <c r="DS18" s="1434">
        <f>IFERROR(VLOOKUP(CONCATENATE($B$8,"_",$B18),Data!$BO$16:$ES$1015,DS$11,FALSE),"")</f>
        <v>0</v>
      </c>
      <c r="DT18" s="1434">
        <f>IFERROR(VLOOKUP(CONCATENATE($B$8,"_",$B18),Data!$BO$16:$ES$1015,DT$11,FALSE),"")</f>
        <v>0</v>
      </c>
      <c r="DU18" s="1434">
        <f>IFERROR(VLOOKUP(CONCATENATE($B$8,"_",$B18),Data!$BO$16:$ES$1015,DU$11,FALSE),"")</f>
        <v>0</v>
      </c>
      <c r="DV18" s="1434">
        <f>IFERROR(VLOOKUP(CONCATENATE($B$8,"_",$B18),Data!$BO$16:$ES$1015,DV$11,FALSE),"")</f>
        <v>0</v>
      </c>
      <c r="DW18" s="1434">
        <f>IFERROR(VLOOKUP(CONCATENATE($B$8,"_",$B18),Data!$BO$16:$ES$1015,DW$11,FALSE),"")</f>
        <v>0</v>
      </c>
      <c r="DX18" s="1434">
        <f>IFERROR(VLOOKUP(CONCATENATE($B$8,"_",$B18),Data!$BO$16:$ES$1015,DX$11,FALSE),"")</f>
        <v>0</v>
      </c>
      <c r="DY18" s="1434">
        <f>IFERROR(VLOOKUP(CONCATENATE($B$8,"_",$B18),Data!$BO$16:$ES$1015,DY$11,FALSE),"")</f>
        <v>0</v>
      </c>
      <c r="DZ18" s="1434">
        <f>IFERROR(VLOOKUP(CONCATENATE($B$8,"_",$B18),Data!$BO$16:$ES$1015,DZ$11,FALSE),"")</f>
        <v>0</v>
      </c>
      <c r="EA18" s="1434">
        <f>IFERROR(VLOOKUP(CONCATENATE($B$8,"_",$B18),Data!$BO$16:$ES$1015,EA$11,FALSE),"")</f>
        <v>0</v>
      </c>
      <c r="EB18" s="1434">
        <f>IFERROR(VLOOKUP(CONCATENATE($B$8,"_",$B18),Data!$BO$16:$ES$1015,EB$11,FALSE),"")</f>
        <v>0</v>
      </c>
      <c r="EC18" s="1434">
        <f>IFERROR(VLOOKUP(CONCATENATE($B$8,"_",$B18),Data!$BO$16:$ES$1015,EC$11,FALSE),"")</f>
        <v>0</v>
      </c>
      <c r="ED18" s="1434">
        <f>IFERROR(VLOOKUP(CONCATENATE($B$8,"_",$B18),Data!$BO$16:$ES$1015,ED$11,FALSE),"")</f>
        <v>0</v>
      </c>
      <c r="EE18" s="1434">
        <f>IFERROR(VLOOKUP(CONCATENATE($B$8,"_",$B18),Data!$BO$16:$ES$1015,EE$11,FALSE),"")</f>
        <v>0</v>
      </c>
      <c r="EF18" s="1434">
        <f>IFERROR(VLOOKUP(CONCATENATE($B$8,"_",$B18),Data!$BO$16:$ES$1015,EF$11,FALSE),"")</f>
        <v>0</v>
      </c>
      <c r="EG18" s="1434">
        <f>IFERROR(VLOOKUP(CONCATENATE($B$8,"_",$B18),Data!$BO$16:$ES$1015,EG$11,FALSE),"")</f>
        <v>0</v>
      </c>
      <c r="EH18" s="1434">
        <f>IFERROR(VLOOKUP(CONCATENATE($B$8,"_",$B18),Data!$BO$16:$ES$1015,EH$11,FALSE),"")</f>
        <v>0</v>
      </c>
      <c r="EI18" s="1434">
        <f>IFERROR(VLOOKUP(CONCATENATE($B$8,"_",$B18),Data!$BO$16:$ES$1015,EI$11,FALSE),"")</f>
        <v>0</v>
      </c>
    </row>
    <row r="19" spans="1:141" s="1441" customFormat="1" ht="15" customHeight="1">
      <c r="A19" s="1438">
        <v>6</v>
      </c>
      <c r="B19" s="1738">
        <f>IF($B$13+A19&lt;=Progress!$D$18,$B$13+A19,"")</f>
        <v>2006</v>
      </c>
      <c r="C19" s="1737">
        <f>IFERROR(VLOOKUP(CONCATENATE($B$8,"_",$B19),Data!$H$16:$BN$1015,C$11,FALSE),"")</f>
        <v>0</v>
      </c>
      <c r="D19" s="1428">
        <f>IFERROR(VLOOKUP(CONCATENATE($B$8,"_",$B19),Data!$H$16:$BN$1015,D$11,FALSE),"")</f>
        <v>0</v>
      </c>
      <c r="E19" s="1429">
        <f>IFERROR(VLOOKUP(CONCATENATE($B$8,"_",$B19),Data!$H$16:$BN$1015,E$11,FALSE),"")</f>
        <v>0</v>
      </c>
      <c r="F19" s="1428">
        <f>IFERROR(VLOOKUP(CONCATENATE($B$8,"_",$B19),Data!$H$16:$BN$1015,F$11,FALSE),"")</f>
        <v>0</v>
      </c>
      <c r="G19" s="1428">
        <f>IFERROR(VLOOKUP(CONCATENATE($B$8,"_",$B19),Data!$H$16:$BN$1015,G$11,FALSE),"")</f>
        <v>0</v>
      </c>
      <c r="H19" s="1429">
        <f>IFERROR(VLOOKUP(CONCATENATE($B$8,"_",$B19),Data!$H$16:$BN$1015,H$11,FALSE),"")</f>
        <v>0</v>
      </c>
      <c r="I19" s="1428">
        <f>IFERROR(VLOOKUP(CONCATENATE($B$8,"_",$B19),Data!$H$16:$BN$1015,I$11,FALSE),"")</f>
        <v>0</v>
      </c>
      <c r="J19" s="1428">
        <f>IFERROR(VLOOKUP(CONCATENATE($B$8,"_",$B19),Data!$H$16:$BN$1015,J$11,FALSE),"")</f>
        <v>0</v>
      </c>
      <c r="K19" s="1429">
        <f>IFERROR(VLOOKUP(CONCATENATE($B$8,"_",$B19),Data!$H$16:$BN$1015,K$11,FALSE),"")</f>
        <v>0</v>
      </c>
      <c r="L19" s="1428">
        <f>IFERROR(VLOOKUP(CONCATENATE($B$8,"_",$B19),Data!$H$16:$BN$1015,L$11,FALSE),"")</f>
        <v>0</v>
      </c>
      <c r="M19" s="1428">
        <f>IFERROR(VLOOKUP(CONCATENATE($B$8,"_",$B19),Data!$H$16:$BN$1015,M$11,FALSE),"")</f>
        <v>0</v>
      </c>
      <c r="N19" s="1429">
        <f>IFERROR(VLOOKUP(CONCATENATE($B$8,"_",$B19),Data!$H$16:$BN$1015,N$11,FALSE),"")</f>
        <v>0</v>
      </c>
      <c r="O19" s="1430">
        <f>IFERROR(VLOOKUP(CONCATENATE($B$8,"_",$B19),Data!$H$16:$BN$1015,O$11,FALSE),"")</f>
        <v>0</v>
      </c>
      <c r="P19" s="1428">
        <f>IFERROR(VLOOKUP(CONCATENATE($B$8,"_",$B19),Data!$H$16:$BN$1015,P$11,FALSE),"")</f>
        <v>0</v>
      </c>
      <c r="Q19" s="1428">
        <f>IFERROR(VLOOKUP(CONCATENATE($B$8,"_",$B19),Data!$H$16:$BN$1015,Q$11,FALSE),"")</f>
        <v>0</v>
      </c>
      <c r="R19" s="1429">
        <f>IFERROR(VLOOKUP(CONCATENATE($B$8,"_",$B19),Data!$H$16:$BN$1015,R$11,FALSE),"")</f>
        <v>0</v>
      </c>
      <c r="S19" s="1428">
        <f>IFERROR(VLOOKUP(CONCATENATE($B$8,"_",$B19),Data!$H$16:$BN$1015,S$11,FALSE),"")</f>
        <v>0</v>
      </c>
      <c r="T19" s="1428">
        <f>IFERROR(VLOOKUP(CONCATENATE($B$8,"_",$B19),Data!$H$16:$BN$1015,T$11,FALSE),"")</f>
        <v>0</v>
      </c>
      <c r="U19" s="1429">
        <f>IFERROR(VLOOKUP(CONCATENATE($B$8,"_",$B19),Data!$H$16:$BN$1015,U$11,FALSE),"")</f>
        <v>0</v>
      </c>
      <c r="V19" s="1428">
        <f>IFERROR(VLOOKUP(CONCATENATE($B$8,"_",$B19),Data!$H$16:$BN$1015,V$11,FALSE),"")</f>
        <v>0</v>
      </c>
      <c r="W19" s="1428">
        <f>IFERROR(VLOOKUP(CONCATENATE($B$8,"_",$B19),Data!$H$16:$BN$1015,W$11,FALSE),"")</f>
        <v>0</v>
      </c>
      <c r="X19" s="1428">
        <f>IFERROR(VLOOKUP(CONCATENATE($B$8,"_",$B19),Data!$H$16:$BN$1015,X$11,FALSE),"")</f>
        <v>0</v>
      </c>
      <c r="Y19" s="1428">
        <f>IFERROR(VLOOKUP(CONCATENATE($B$8,"_",$B19),Data!$H$16:$BN$1015,Y$11,FALSE),"")</f>
        <v>0</v>
      </c>
      <c r="Z19" s="1429">
        <f>IFERROR(VLOOKUP(CONCATENATE($B$8,"_",$B19),Data!$H$16:$BN$1015,Z$11,FALSE),"")</f>
        <v>0</v>
      </c>
      <c r="AA19" s="1428">
        <f>IFERROR(VLOOKUP(CONCATENATE($B$8,"_",$B19),Data!$H$16:$BN$1015,AA$11,FALSE),"")</f>
        <v>0</v>
      </c>
      <c r="AB19" s="1428">
        <f>IFERROR(VLOOKUP(CONCATENATE($B$8,"_",$B19),Data!$H$16:$BN$1015,AB$11,FALSE),"")</f>
        <v>0</v>
      </c>
      <c r="AC19" s="1429">
        <f>IFERROR(VLOOKUP(CONCATENATE($B$8,"_",$B19),Data!$H$16:$BN$1015,AC$11,FALSE),"")</f>
        <v>0</v>
      </c>
      <c r="AD19" s="1428">
        <f>IFERROR(VLOOKUP(CONCATENATE($B$8,"_",$B19),Data!$H$16:$BN$1015,AD$11,FALSE),"")</f>
        <v>0</v>
      </c>
      <c r="AE19" s="1428">
        <f>IFERROR(VLOOKUP(CONCATENATE($B$8,"_",$B19),Data!$H$16:$BN$1015,AE$11,FALSE),"")</f>
        <v>0</v>
      </c>
      <c r="AF19" s="1429">
        <f>IFERROR(VLOOKUP(CONCATENATE($B$8,"_",$B19),Data!$H$16:$BN$1015,AF$11,FALSE),"")</f>
        <v>0</v>
      </c>
      <c r="AG19" s="1428">
        <f>IFERROR(VLOOKUP(CONCATENATE($B$8,"_",$B19),Data!$H$16:$BN$1015,AG$11,FALSE),"")</f>
        <v>0</v>
      </c>
      <c r="AH19" s="1428">
        <f>IFERROR(VLOOKUP(CONCATENATE($B$8,"_",$B19),Data!$H$16:$BN$1015,AH$11,FALSE),"")</f>
        <v>0</v>
      </c>
      <c r="AI19" s="1429">
        <f>IFERROR(VLOOKUP(CONCATENATE($B$8,"_",$B19),Data!$H$16:$BN$1015,AI$11,FALSE),"")</f>
        <v>0</v>
      </c>
      <c r="AJ19" s="1428">
        <f>IFERROR(VLOOKUP(CONCATENATE($B$8,"_",$B19),Data!$H$16:$BN$1015,AJ$11,FALSE),"")</f>
        <v>0</v>
      </c>
      <c r="AK19" s="1428">
        <f>IFERROR(VLOOKUP(CONCATENATE($B$8,"_",$B19),Data!$H$16:$BN$1015,AK$11,FALSE),"")</f>
        <v>0</v>
      </c>
      <c r="AL19" s="1429">
        <f>IFERROR(VLOOKUP(CONCATENATE($B$8,"_",$B19),Data!$H$16:$BN$1015,AL$11,FALSE),"")</f>
        <v>0</v>
      </c>
      <c r="AM19" s="1428">
        <f>IFERROR(VLOOKUP(CONCATENATE($B$8,"_",$B19),Data!$H$16:$BN$1015,AM$11,FALSE),"")</f>
        <v>0</v>
      </c>
      <c r="AN19" s="1428">
        <f>IFERROR(VLOOKUP(CONCATENATE($B$8,"_",$B19),Data!$H$16:$BN$1015,AN$11,FALSE),"")</f>
        <v>0</v>
      </c>
      <c r="AO19" s="1430">
        <f>IFERROR(VLOOKUP(CONCATENATE($B$8,"_",$B19),Data!$H$16:$BN$1015,AO$11,FALSE),"")</f>
        <v>0</v>
      </c>
      <c r="AP19" s="1428">
        <f>IFERROR(VLOOKUP(CONCATENATE($B$8,"_",$B19),Data!$H$16:$BN$1015,AP$11,FALSE),"")</f>
        <v>0</v>
      </c>
      <c r="AQ19" s="1428">
        <f>IFERROR(VLOOKUP(CONCATENATE($B$8,"_",$B19),Data!$H$16:$BN$1015,AQ$11,FALSE),"")</f>
        <v>0</v>
      </c>
      <c r="AR19" s="1430">
        <f>IFERROR(VLOOKUP(CONCATENATE($B$8,"_",$B19),Data!$H$16:$BN$1015,AR$11,FALSE),"")</f>
        <v>0</v>
      </c>
      <c r="AS19" s="1428">
        <f>IFERROR(VLOOKUP(CONCATENATE($B$8,"_",$B19),Data!$H$16:$BN$1015,AS$11,FALSE),"")</f>
        <v>0</v>
      </c>
      <c r="AT19" s="1428">
        <f>IFERROR(VLOOKUP(CONCATENATE($B$8,"_",$B19),Data!$H$16:$BN$1015,AT$11,FALSE),"")</f>
        <v>0</v>
      </c>
      <c r="AU19" s="1430">
        <f>IFERROR(VLOOKUP(CONCATENATE($B$8,"_",$B19),Data!$H$16:$BN$1015,AU$11,FALSE),"")</f>
        <v>0</v>
      </c>
      <c r="AV19" s="1428">
        <f>IFERROR(VLOOKUP(CONCATENATE($B$8,"_",$B19),Data!$H$16:$BN$1015,AV$11,FALSE),"")</f>
        <v>0</v>
      </c>
      <c r="AW19" s="1428">
        <f>IFERROR(VLOOKUP(CONCATENATE($B$8,"_",$B19),Data!$H$16:$BN$1015,AW$11,FALSE),"")</f>
        <v>0</v>
      </c>
      <c r="AX19" s="1430">
        <f>IFERROR(VLOOKUP(CONCATENATE($B$8,"_",$B19),Data!$H$16:$BN$1015,AX$11,FALSE),"")</f>
        <v>0</v>
      </c>
      <c r="AY19" s="1429">
        <f>IFERROR(VLOOKUP(CONCATENATE($B$8,"_",$B19),Data!$H$16:$BN$1015,AY$11,FALSE),"")</f>
        <v>0</v>
      </c>
      <c r="AZ19" s="1429">
        <f>IFERROR(VLOOKUP(CONCATENATE($B$8,"_",$B19),Data!$H$16:$BN$1015,AZ$11,FALSE),"")</f>
        <v>0</v>
      </c>
      <c r="BA19" s="1429">
        <f>IFERROR(VLOOKUP(CONCATENATE($B$8,"_",$B19),Data!$H$16:$BN$1015,BA$11,FALSE),"")</f>
        <v>0</v>
      </c>
      <c r="BB19" s="1429">
        <f>IFERROR(VLOOKUP(CONCATENATE($B$8,"_",$B19),Data!$H$16:$BN$1015,BB$11,FALSE),"")</f>
        <v>0</v>
      </c>
      <c r="BC19" s="1429">
        <f>IFERROR(VLOOKUP(CONCATENATE($B$8,"_",$B19),Data!$H$16:$BN$1015,BC$11,FALSE),"")</f>
        <v>0</v>
      </c>
      <c r="BD19" s="1431">
        <f>IFERROR(VLOOKUP(CONCATENATE($B$8,"_",$B19),Data!$H$16:$BN$1015,BD$11,FALSE),"")</f>
        <v>0</v>
      </c>
      <c r="BE19" s="1439">
        <f t="shared" si="0"/>
        <v>2006</v>
      </c>
      <c r="BF19" s="1428">
        <f>IFERROR(VLOOKUP(CONCATENATE($B$8,"_",$B19),Data!$BO$16:$ES$1015,BF$11,FALSE),"")</f>
        <v>11298569.588887533</v>
      </c>
      <c r="BG19" s="1433">
        <f>IFERROR(VLOOKUP(CONCATENATE($B$8,"_",$B19),Data!$BO$16:$ES$1015,BG$11,FALSE),"")</f>
        <v>0</v>
      </c>
      <c r="BH19" s="1435">
        <f>IFERROR(VLOOKUP(CONCATENATE($B$8,"_",$B19),Data!$BO$16:$ES$1015,BH$11,FALSE),"")</f>
        <v>0</v>
      </c>
      <c r="BI19" s="1434">
        <f>IFERROR(VLOOKUP(CONCATENATE($B$8,"_",$B19),Data!$BO$16:$ES$1015,BI$11,FALSE),"")</f>
        <v>0</v>
      </c>
      <c r="BJ19" s="1428">
        <f>IFERROR(VLOOKUP(CONCATENATE($B$8,"_",$B19),Data!$BO$16:$ES$1015,BJ$11,FALSE),"")</f>
        <v>6398197.1101883724</v>
      </c>
      <c r="BK19" s="1428">
        <f>IFERROR(VLOOKUP(CONCATENATE($B$8,"_",$B19),Data!$BO$16:$ES$1015,BK$11,FALSE),"")</f>
        <v>3282210.5928544537</v>
      </c>
      <c r="BL19" s="1428">
        <f>IFERROR(VLOOKUP(CONCATENATE($B$8,"_",$B19),Data!$BO$16:$ES$1015,BL$11,FALSE),"")</f>
        <v>1618161.885844707</v>
      </c>
      <c r="BM19" s="1433">
        <f>IFERROR(VLOOKUP(CONCATENATE($B$8,"_",$B19),Data!$BO$16:$ES$1015,BM$11,FALSE),"")</f>
        <v>0</v>
      </c>
      <c r="BN19" s="1433">
        <f>IFERROR(VLOOKUP(CONCATENATE($B$8,"_",$B19),Data!$BO$16:$ES$1015,BN$11,FALSE),"")</f>
        <v>0</v>
      </c>
      <c r="BO19" s="1433">
        <f>IFERROR(VLOOKUP(CONCATENATE($B$8,"_",$B19),Data!$BO$16:$ES$1015,BO$11,FALSE),"")</f>
        <v>0</v>
      </c>
      <c r="BP19" s="1433">
        <f>IFERROR(VLOOKUP(CONCATENATE($B$8,"_",$B19),Data!$BO$16:$ES$1015,BP$11,FALSE),"")</f>
        <v>0</v>
      </c>
      <c r="BQ19" s="1433">
        <f>IFERROR(VLOOKUP(CONCATENATE($B$8,"_",$B19),Data!$BO$16:$ES$1015,BQ$11,FALSE),"")</f>
        <v>0</v>
      </c>
      <c r="BR19" s="1434">
        <f>IFERROR(VLOOKUP(CONCATENATE($B$8,"_",$B19),Data!$BO$16:$ES$1015,BR$11,FALSE),"")</f>
        <v>0</v>
      </c>
      <c r="BS19" s="1434">
        <f>IFERROR(VLOOKUP(CONCATENATE($B$8,"_",$B19),Data!$BO$16:$ES$1015,BS$11,FALSE),"")</f>
        <v>0</v>
      </c>
      <c r="BT19" s="1434">
        <f>IFERROR(VLOOKUP(CONCATENATE($B$8,"_",$B19),Data!$BO$16:$ES$1015,BT$11,FALSE),"")</f>
        <v>0</v>
      </c>
      <c r="BU19" s="1434">
        <f>IFERROR(VLOOKUP(CONCATENATE($B$8,"_",$B19),Data!$BO$16:$ES$1015,BU$11,FALSE),"")</f>
        <v>0</v>
      </c>
      <c r="BV19" s="1434">
        <f>IFERROR(VLOOKUP(CONCATENATE($B$8,"_",$B19),Data!$BO$16:$ES$1015,BV$11,FALSE),"")</f>
        <v>0</v>
      </c>
      <c r="BW19" s="1434">
        <f>IFERROR(VLOOKUP(CONCATENATE($B$8,"_",$B19),Data!$BO$16:$ES$1015,BW$11,FALSE),"")</f>
        <v>0</v>
      </c>
      <c r="BX19" s="1434">
        <f>IFERROR(VLOOKUP(CONCATENATE($B$8,"_",$B19),Data!$BO$16:$ES$1015,BX$11,FALSE),"")</f>
        <v>0</v>
      </c>
      <c r="BY19" s="1428">
        <f>IFERROR(VLOOKUP(CONCATENATE($B$8,"_",$B19),Data!$BO$16:$ES$1015,BY$11,FALSE),"")</f>
        <v>0</v>
      </c>
      <c r="BZ19" s="1428">
        <f>IFERROR(VLOOKUP(CONCATENATE($B$8,"_",$B19),Data!$BO$16:$ES$1015,BZ$11,FALSE),"")</f>
        <v>0</v>
      </c>
      <c r="CA19" s="1428">
        <f>IFERROR(VLOOKUP(CONCATENATE($B$8,"_",$B19),Data!$BO$16:$ES$1015,CA$11,FALSE),"")</f>
        <v>0</v>
      </c>
      <c r="CB19" s="1428">
        <f>IFERROR(VLOOKUP(CONCATENATE($B$8,"_",$B19),Data!$BO$16:$ES$1015,CB$11,FALSE),"")</f>
        <v>0</v>
      </c>
      <c r="CC19" s="1428">
        <f>IFERROR(VLOOKUP(CONCATENATE($B$8,"_",$B19),Data!$BO$16:$ES$1015,CC$11,FALSE),"")</f>
        <v>0</v>
      </c>
      <c r="CD19" s="1428">
        <f>IFERROR(VLOOKUP(CONCATENATE($B$8,"_",$B19),Data!$BO$16:$ES$1015,CD$11,FALSE),"")</f>
        <v>0</v>
      </c>
      <c r="CE19" s="1428">
        <f>IFERROR(VLOOKUP(CONCATENATE($B$8,"_",$B19),Data!$BO$16:$ES$1015,CE$11,FALSE),"")</f>
        <v>0</v>
      </c>
      <c r="CF19" s="1428">
        <f>IFERROR(VLOOKUP(CONCATENATE($B$8,"_",$B19),Data!$BO$16:$ES$1015,CF$11,FALSE),"")</f>
        <v>0</v>
      </c>
      <c r="CG19" s="1428">
        <f>IFERROR(VLOOKUP(CONCATENATE($B$8,"_",$B19),Data!$BO$16:$ES$1015,CG$11,FALSE),"")</f>
        <v>0</v>
      </c>
      <c r="CH19" s="1428">
        <f>IFERROR(VLOOKUP(CONCATENATE($B$8,"_",$B19),Data!$BO$16:$ES$1015,CH$11,FALSE),"")</f>
        <v>0</v>
      </c>
      <c r="CI19" s="1428">
        <f>IFERROR(VLOOKUP(CONCATENATE($B$8,"_",$B19),Data!$BO$16:$ES$1015,CI$11,FALSE),"")</f>
        <v>0</v>
      </c>
      <c r="CJ19" s="1428">
        <f>IFERROR(VLOOKUP(CONCATENATE($B$8,"_",$B19),Data!$BO$16:$ES$1015,CJ$11,FALSE),"")</f>
        <v>0</v>
      </c>
      <c r="CK19" s="1428">
        <f>IFERROR(VLOOKUP(CONCATENATE($B$8,"_",$B19),Data!$BO$16:$ES$1015,CK$11,FALSE),"")</f>
        <v>0</v>
      </c>
      <c r="CL19" s="1428">
        <f>IFERROR(VLOOKUP(CONCATENATE($B$8,"_",$B19),Data!$BO$16:$ES$1015,CL$11,FALSE),"")</f>
        <v>0</v>
      </c>
      <c r="CM19" s="1428">
        <f>IFERROR(VLOOKUP(CONCATENATE($B$8,"_",$B19),Data!$BO$16:$ES$1015,CM$11,FALSE),"")</f>
        <v>0</v>
      </c>
      <c r="CN19" s="1428">
        <f>IFERROR(VLOOKUP(CONCATENATE($B$8,"_",$B19),Data!$BO$16:$ES$1015,CN$11,FALSE),"")</f>
        <v>0</v>
      </c>
      <c r="CO19" s="1428">
        <f>IFERROR(VLOOKUP(CONCATENATE($B$8,"_",$B19),Data!$BO$16:$ES$1015,CO$11,FALSE),"")</f>
        <v>0</v>
      </c>
      <c r="CP19" s="1433">
        <f>IFERROR(VLOOKUP(CONCATENATE($B$8,"_",$B19),Data!$BO$16:$ES$1015,CP$11,FALSE),"")</f>
        <v>0</v>
      </c>
      <c r="CQ19" s="1433">
        <f>IFERROR(VLOOKUP(CONCATENATE($B$8,"_",$B19),Data!$BO$16:$ES$1015,CQ$11,FALSE),"")</f>
        <v>0</v>
      </c>
      <c r="CR19" s="1433">
        <f>IFERROR(VLOOKUP(CONCATENATE($B$8,"_",$B19),Data!$BO$16:$ES$1015,CR$11,FALSE),"")</f>
        <v>0</v>
      </c>
      <c r="CS19" s="1433">
        <f>IFERROR(VLOOKUP(CONCATENATE($B$8,"_",$B19),Data!$BO$16:$ES$1015,CS$11,FALSE),"")</f>
        <v>0</v>
      </c>
      <c r="CT19" s="1433">
        <f>IFERROR(VLOOKUP(CONCATENATE($B$8,"_",$B19),Data!$BO$16:$ES$1015,CT$11,FALSE),"")</f>
        <v>0</v>
      </c>
      <c r="CU19" s="1433">
        <f>IFERROR(VLOOKUP(CONCATENATE($B$8,"_",$B19),Data!$BO$16:$ES$1015,CU$11,FALSE),"")</f>
        <v>0</v>
      </c>
      <c r="CV19" s="1433">
        <f>IFERROR(VLOOKUP(CONCATENATE($B$8,"_",$B19),Data!$BO$16:$ES$1015,CV$11,FALSE),"")</f>
        <v>0</v>
      </c>
      <c r="CW19" s="1433">
        <f>IFERROR(VLOOKUP(CONCATENATE($B$8,"_",$B19),Data!$BO$16:$ES$1015,CW$11,FALSE),"")</f>
        <v>0</v>
      </c>
      <c r="CX19" s="1433">
        <f>IFERROR(VLOOKUP(CONCATENATE($B$8,"_",$B19),Data!$BO$16:$ES$1015,CX$11,FALSE),"")</f>
        <v>0</v>
      </c>
      <c r="CY19" s="1433">
        <f>IFERROR(VLOOKUP(CONCATENATE($B$8,"_",$B19),Data!$BO$16:$ES$1015,CY$11,FALSE),"")</f>
        <v>0</v>
      </c>
      <c r="CZ19" s="1433">
        <f>IFERROR(VLOOKUP(CONCATENATE($B$8,"_",$B19),Data!$BO$16:$ES$1015,CZ$11,FALSE),"")</f>
        <v>0</v>
      </c>
      <c r="DA19" s="1433">
        <f>IFERROR(VLOOKUP(CONCATENATE($B$8,"_",$B19),Data!$BO$16:$ES$1015,DA$11,FALSE),"")</f>
        <v>0</v>
      </c>
      <c r="DB19" s="1433">
        <f>IFERROR(VLOOKUP(CONCATENATE($B$8,"_",$B19),Data!$BO$16:$ES$1015,DB$11,FALSE),"")</f>
        <v>0</v>
      </c>
      <c r="DC19" s="1433">
        <f>IFERROR(VLOOKUP(CONCATENATE($B$8,"_",$B19),Data!$BO$16:$ES$1015,DC$11,FALSE),"")</f>
        <v>0</v>
      </c>
      <c r="DD19" s="1433">
        <f>IFERROR(VLOOKUP(CONCATENATE($B$8,"_",$B19),Data!$BO$16:$ES$1015,DD$11,FALSE),"")</f>
        <v>0</v>
      </c>
      <c r="DE19" s="1433">
        <f>IFERROR(VLOOKUP(CONCATENATE($B$8,"_",$B19),Data!$BO$16:$ES$1015,DE$11,FALSE),"")</f>
        <v>0</v>
      </c>
      <c r="DF19" s="1433">
        <f>IFERROR(VLOOKUP(CONCATENATE($B$8,"_",$B19),Data!$BO$16:$ES$1015,DF$11,FALSE),"")</f>
        <v>0</v>
      </c>
      <c r="DG19" s="1433">
        <f>IFERROR(VLOOKUP(CONCATENATE($B$8,"_",$B19),Data!$BO$16:$ES$1015,DG$11,FALSE),"")</f>
        <v>0</v>
      </c>
      <c r="DH19" s="1433">
        <f>IFERROR(VLOOKUP(CONCATENATE($B$8,"_",$B19),Data!$BO$16:$ES$1015,DH$11,FALSE),"")</f>
        <v>0</v>
      </c>
      <c r="DI19" s="1433">
        <f>IFERROR(VLOOKUP(CONCATENATE($B$8,"_",$B19),Data!$BO$16:$ES$1015,DI$11,FALSE),"")</f>
        <v>0</v>
      </c>
      <c r="DJ19" s="1433">
        <f>IFERROR(VLOOKUP(CONCATENATE($B$8,"_",$B19),Data!$BO$16:$ES$1015,DJ$11,FALSE),"")</f>
        <v>0</v>
      </c>
      <c r="DK19" s="1433">
        <f>IFERROR(VLOOKUP(CONCATENATE($B$8,"_",$B19),Data!$BO$16:$ES$1015,DK$11,FALSE),"")</f>
        <v>0</v>
      </c>
      <c r="DL19" s="1435">
        <f>IFERROR(VLOOKUP(CONCATENATE($B$8,"_",$B19),Data!$BO$16:$ES$1015,DL$11,FALSE),"")</f>
        <v>0</v>
      </c>
      <c r="DM19" s="1434">
        <f>IFERROR(VLOOKUP(CONCATENATE($B$8,"_",$B19),Data!$BO$16:$ES$1015,DM$11,FALSE),"")</f>
        <v>0</v>
      </c>
      <c r="DN19" s="1434">
        <f>IFERROR(VLOOKUP(CONCATENATE($B$8,"_",$B19),Data!$BO$16:$ES$1015,DN$11,FALSE),"")</f>
        <v>0</v>
      </c>
      <c r="DO19" s="1434">
        <f>IFERROR(VLOOKUP(CONCATENATE($B$8,"_",$B19),Data!$BO$16:$ES$1015,DO$11,FALSE),"")</f>
        <v>0</v>
      </c>
      <c r="DP19" s="1434">
        <f>IFERROR(VLOOKUP(CONCATENATE($B$8,"_",$B19),Data!$BO$16:$ES$1015,DP$11,FALSE),"")</f>
        <v>0</v>
      </c>
      <c r="DQ19" s="1434">
        <f>IFERROR(VLOOKUP(CONCATENATE($B$8,"_",$B19),Data!$BO$16:$ES$1015,DQ$11,FALSE),"")</f>
        <v>0</v>
      </c>
      <c r="DR19" s="1434">
        <f>IFERROR(VLOOKUP(CONCATENATE($B$8,"_",$B19),Data!$BO$16:$ES$1015,DR$11,FALSE),"")</f>
        <v>0</v>
      </c>
      <c r="DS19" s="1434">
        <f>IFERROR(VLOOKUP(CONCATENATE($B$8,"_",$B19),Data!$BO$16:$ES$1015,DS$11,FALSE),"")</f>
        <v>0</v>
      </c>
      <c r="DT19" s="1434">
        <f>IFERROR(VLOOKUP(CONCATENATE($B$8,"_",$B19),Data!$BO$16:$ES$1015,DT$11,FALSE),"")</f>
        <v>0</v>
      </c>
      <c r="DU19" s="1434">
        <f>IFERROR(VLOOKUP(CONCATENATE($B$8,"_",$B19),Data!$BO$16:$ES$1015,DU$11,FALSE),"")</f>
        <v>0</v>
      </c>
      <c r="DV19" s="1434">
        <f>IFERROR(VLOOKUP(CONCATENATE($B$8,"_",$B19),Data!$BO$16:$ES$1015,DV$11,FALSE),"")</f>
        <v>0</v>
      </c>
      <c r="DW19" s="1434">
        <f>IFERROR(VLOOKUP(CONCATENATE($B$8,"_",$B19),Data!$BO$16:$ES$1015,DW$11,FALSE),"")</f>
        <v>0</v>
      </c>
      <c r="DX19" s="1434">
        <f>IFERROR(VLOOKUP(CONCATENATE($B$8,"_",$B19),Data!$BO$16:$ES$1015,DX$11,FALSE),"")</f>
        <v>0</v>
      </c>
      <c r="DY19" s="1434">
        <f>IFERROR(VLOOKUP(CONCATENATE($B$8,"_",$B19),Data!$BO$16:$ES$1015,DY$11,FALSE),"")</f>
        <v>0</v>
      </c>
      <c r="DZ19" s="1434">
        <f>IFERROR(VLOOKUP(CONCATENATE($B$8,"_",$B19),Data!$BO$16:$ES$1015,DZ$11,FALSE),"")</f>
        <v>0</v>
      </c>
      <c r="EA19" s="1434">
        <f>IFERROR(VLOOKUP(CONCATENATE($B$8,"_",$B19),Data!$BO$16:$ES$1015,EA$11,FALSE),"")</f>
        <v>0</v>
      </c>
      <c r="EB19" s="1434">
        <f>IFERROR(VLOOKUP(CONCATENATE($B$8,"_",$B19),Data!$BO$16:$ES$1015,EB$11,FALSE),"")</f>
        <v>0</v>
      </c>
      <c r="EC19" s="1434">
        <f>IFERROR(VLOOKUP(CONCATENATE($B$8,"_",$B19),Data!$BO$16:$ES$1015,EC$11,FALSE),"")</f>
        <v>0</v>
      </c>
      <c r="ED19" s="1434">
        <f>IFERROR(VLOOKUP(CONCATENATE($B$8,"_",$B19),Data!$BO$16:$ES$1015,ED$11,FALSE),"")</f>
        <v>0</v>
      </c>
      <c r="EE19" s="1434">
        <f>IFERROR(VLOOKUP(CONCATENATE($B$8,"_",$B19),Data!$BO$16:$ES$1015,EE$11,FALSE),"")</f>
        <v>0</v>
      </c>
      <c r="EF19" s="1434">
        <f>IFERROR(VLOOKUP(CONCATENATE($B$8,"_",$B19),Data!$BO$16:$ES$1015,EF$11,FALSE),"")</f>
        <v>0</v>
      </c>
      <c r="EG19" s="1434">
        <f>IFERROR(VLOOKUP(CONCATENATE($B$8,"_",$B19),Data!$BO$16:$ES$1015,EG$11,FALSE),"")</f>
        <v>0</v>
      </c>
      <c r="EH19" s="1434">
        <f>IFERROR(VLOOKUP(CONCATENATE($B$8,"_",$B19),Data!$BO$16:$ES$1015,EH$11,FALSE),"")</f>
        <v>0</v>
      </c>
      <c r="EI19" s="1434">
        <f>IFERROR(VLOOKUP(CONCATENATE($B$8,"_",$B19),Data!$BO$16:$ES$1015,EI$11,FALSE),"")</f>
        <v>0</v>
      </c>
    </row>
    <row r="20" spans="1:141" s="1436" customFormat="1" ht="15" customHeight="1">
      <c r="A20" s="1438">
        <v>7</v>
      </c>
      <c r="B20" s="1738">
        <f>IF($B$13+A20&lt;=Progress!$D$18,$B$13+A20,"")</f>
        <v>2007</v>
      </c>
      <c r="C20" s="1737">
        <f>IFERROR(VLOOKUP(CONCATENATE($B$8,"_",$B20),Data!$H$16:$BN$1015,C$11,FALSE),"")</f>
        <v>0</v>
      </c>
      <c r="D20" s="1428">
        <f>IFERROR(VLOOKUP(CONCATENATE($B$8,"_",$B20),Data!$H$16:$BN$1015,D$11,FALSE),"")</f>
        <v>0</v>
      </c>
      <c r="E20" s="1429">
        <f>IFERROR(VLOOKUP(CONCATENATE($B$8,"_",$B20),Data!$H$16:$BN$1015,E$11,FALSE),"")</f>
        <v>0</v>
      </c>
      <c r="F20" s="1428">
        <f>IFERROR(VLOOKUP(CONCATENATE($B$8,"_",$B20),Data!$H$16:$BN$1015,F$11,FALSE),"")</f>
        <v>0</v>
      </c>
      <c r="G20" s="1428">
        <f>IFERROR(VLOOKUP(CONCATENATE($B$8,"_",$B20),Data!$H$16:$BN$1015,G$11,FALSE),"")</f>
        <v>0</v>
      </c>
      <c r="H20" s="1429">
        <f>IFERROR(VLOOKUP(CONCATENATE($B$8,"_",$B20),Data!$H$16:$BN$1015,H$11,FALSE),"")</f>
        <v>0</v>
      </c>
      <c r="I20" s="1428">
        <f>IFERROR(VLOOKUP(CONCATENATE($B$8,"_",$B20),Data!$H$16:$BN$1015,I$11,FALSE),"")</f>
        <v>0</v>
      </c>
      <c r="J20" s="1428">
        <f>IFERROR(VLOOKUP(CONCATENATE($B$8,"_",$B20),Data!$H$16:$BN$1015,J$11,FALSE),"")</f>
        <v>0</v>
      </c>
      <c r="K20" s="1429">
        <f>IFERROR(VLOOKUP(CONCATENATE($B$8,"_",$B20),Data!$H$16:$BN$1015,K$11,FALSE),"")</f>
        <v>0</v>
      </c>
      <c r="L20" s="1428">
        <f>IFERROR(VLOOKUP(CONCATENATE($B$8,"_",$B20),Data!$H$16:$BN$1015,L$11,FALSE),"")</f>
        <v>0</v>
      </c>
      <c r="M20" s="1428">
        <f>IFERROR(VLOOKUP(CONCATENATE($B$8,"_",$B20),Data!$H$16:$BN$1015,M$11,FALSE),"")</f>
        <v>0</v>
      </c>
      <c r="N20" s="1429">
        <f>IFERROR(VLOOKUP(CONCATENATE($B$8,"_",$B20),Data!$H$16:$BN$1015,N$11,FALSE),"")</f>
        <v>0</v>
      </c>
      <c r="O20" s="1430">
        <f>IFERROR(VLOOKUP(CONCATENATE($B$8,"_",$B20),Data!$H$16:$BN$1015,O$11,FALSE),"")</f>
        <v>0</v>
      </c>
      <c r="P20" s="1428">
        <f>IFERROR(VLOOKUP(CONCATENATE($B$8,"_",$B20),Data!$H$16:$BN$1015,P$11,FALSE),"")</f>
        <v>0</v>
      </c>
      <c r="Q20" s="1428">
        <f>IFERROR(VLOOKUP(CONCATENATE($B$8,"_",$B20),Data!$H$16:$BN$1015,Q$11,FALSE),"")</f>
        <v>0</v>
      </c>
      <c r="R20" s="1429">
        <f>IFERROR(VLOOKUP(CONCATENATE($B$8,"_",$B20),Data!$H$16:$BN$1015,R$11,FALSE),"")</f>
        <v>0</v>
      </c>
      <c r="S20" s="1428">
        <f>IFERROR(VLOOKUP(CONCATENATE($B$8,"_",$B20),Data!$H$16:$BN$1015,S$11,FALSE),"")</f>
        <v>0</v>
      </c>
      <c r="T20" s="1428">
        <f>IFERROR(VLOOKUP(CONCATENATE($B$8,"_",$B20),Data!$H$16:$BN$1015,T$11,FALSE),"")</f>
        <v>0</v>
      </c>
      <c r="U20" s="1429">
        <f>IFERROR(VLOOKUP(CONCATENATE($B$8,"_",$B20),Data!$H$16:$BN$1015,U$11,FALSE),"")</f>
        <v>0</v>
      </c>
      <c r="V20" s="1428">
        <f>IFERROR(VLOOKUP(CONCATENATE($B$8,"_",$B20),Data!$H$16:$BN$1015,V$11,FALSE),"")</f>
        <v>0</v>
      </c>
      <c r="W20" s="1428">
        <f>IFERROR(VLOOKUP(CONCATENATE($B$8,"_",$B20),Data!$H$16:$BN$1015,W$11,FALSE),"")</f>
        <v>0</v>
      </c>
      <c r="X20" s="1428">
        <f>IFERROR(VLOOKUP(CONCATENATE($B$8,"_",$B20),Data!$H$16:$BN$1015,X$11,FALSE),"")</f>
        <v>0</v>
      </c>
      <c r="Y20" s="1428">
        <f>IFERROR(VLOOKUP(CONCATENATE($B$8,"_",$B20),Data!$H$16:$BN$1015,Y$11,FALSE),"")</f>
        <v>0</v>
      </c>
      <c r="Z20" s="1429">
        <f>IFERROR(VLOOKUP(CONCATENATE($B$8,"_",$B20),Data!$H$16:$BN$1015,Z$11,FALSE),"")</f>
        <v>0</v>
      </c>
      <c r="AA20" s="1428">
        <f>IFERROR(VLOOKUP(CONCATENATE($B$8,"_",$B20),Data!$H$16:$BN$1015,AA$11,FALSE),"")</f>
        <v>0</v>
      </c>
      <c r="AB20" s="1428">
        <f>IFERROR(VLOOKUP(CONCATENATE($B$8,"_",$B20),Data!$H$16:$BN$1015,AB$11,FALSE),"")</f>
        <v>0</v>
      </c>
      <c r="AC20" s="1429">
        <f>IFERROR(VLOOKUP(CONCATENATE($B$8,"_",$B20),Data!$H$16:$BN$1015,AC$11,FALSE),"")</f>
        <v>0</v>
      </c>
      <c r="AD20" s="1428">
        <f>IFERROR(VLOOKUP(CONCATENATE($B$8,"_",$B20),Data!$H$16:$BN$1015,AD$11,FALSE),"")</f>
        <v>0</v>
      </c>
      <c r="AE20" s="1428">
        <f>IFERROR(VLOOKUP(CONCATENATE($B$8,"_",$B20),Data!$H$16:$BN$1015,AE$11,FALSE),"")</f>
        <v>0</v>
      </c>
      <c r="AF20" s="1429">
        <f>IFERROR(VLOOKUP(CONCATENATE($B$8,"_",$B20),Data!$H$16:$BN$1015,AF$11,FALSE),"")</f>
        <v>0</v>
      </c>
      <c r="AG20" s="1428">
        <f>IFERROR(VLOOKUP(CONCATENATE($B$8,"_",$B20),Data!$H$16:$BN$1015,AG$11,FALSE),"")</f>
        <v>0</v>
      </c>
      <c r="AH20" s="1428">
        <f>IFERROR(VLOOKUP(CONCATENATE($B$8,"_",$B20),Data!$H$16:$BN$1015,AH$11,FALSE),"")</f>
        <v>0</v>
      </c>
      <c r="AI20" s="1429">
        <f>IFERROR(VLOOKUP(CONCATENATE($B$8,"_",$B20),Data!$H$16:$BN$1015,AI$11,FALSE),"")</f>
        <v>0</v>
      </c>
      <c r="AJ20" s="1428">
        <f>IFERROR(VLOOKUP(CONCATENATE($B$8,"_",$B20),Data!$H$16:$BN$1015,AJ$11,FALSE),"")</f>
        <v>0</v>
      </c>
      <c r="AK20" s="1428">
        <f>IFERROR(VLOOKUP(CONCATENATE($B$8,"_",$B20),Data!$H$16:$BN$1015,AK$11,FALSE),"")</f>
        <v>0</v>
      </c>
      <c r="AL20" s="1429">
        <f>IFERROR(VLOOKUP(CONCATENATE($B$8,"_",$B20),Data!$H$16:$BN$1015,AL$11,FALSE),"")</f>
        <v>0</v>
      </c>
      <c r="AM20" s="1428">
        <f>IFERROR(VLOOKUP(CONCATENATE($B$8,"_",$B20),Data!$H$16:$BN$1015,AM$11,FALSE),"")</f>
        <v>0</v>
      </c>
      <c r="AN20" s="1428">
        <f>IFERROR(VLOOKUP(CONCATENATE($B$8,"_",$B20),Data!$H$16:$BN$1015,AN$11,FALSE),"")</f>
        <v>0</v>
      </c>
      <c r="AO20" s="1430">
        <f>IFERROR(VLOOKUP(CONCATENATE($B$8,"_",$B20),Data!$H$16:$BN$1015,AO$11,FALSE),"")</f>
        <v>0</v>
      </c>
      <c r="AP20" s="1428">
        <f>IFERROR(VLOOKUP(CONCATENATE($B$8,"_",$B20),Data!$H$16:$BN$1015,AP$11,FALSE),"")</f>
        <v>0</v>
      </c>
      <c r="AQ20" s="1428">
        <f>IFERROR(VLOOKUP(CONCATENATE($B$8,"_",$B20),Data!$H$16:$BN$1015,AQ$11,FALSE),"")</f>
        <v>0</v>
      </c>
      <c r="AR20" s="1430">
        <f>IFERROR(VLOOKUP(CONCATENATE($B$8,"_",$B20),Data!$H$16:$BN$1015,AR$11,FALSE),"")</f>
        <v>0</v>
      </c>
      <c r="AS20" s="1428">
        <f>IFERROR(VLOOKUP(CONCATENATE($B$8,"_",$B20),Data!$H$16:$BN$1015,AS$11,FALSE),"")</f>
        <v>0</v>
      </c>
      <c r="AT20" s="1428">
        <f>IFERROR(VLOOKUP(CONCATENATE($B$8,"_",$B20),Data!$H$16:$BN$1015,AT$11,FALSE),"")</f>
        <v>0</v>
      </c>
      <c r="AU20" s="1430">
        <f>IFERROR(VLOOKUP(CONCATENATE($B$8,"_",$B20),Data!$H$16:$BN$1015,AU$11,FALSE),"")</f>
        <v>0</v>
      </c>
      <c r="AV20" s="1428">
        <f>IFERROR(VLOOKUP(CONCATENATE($B$8,"_",$B20),Data!$H$16:$BN$1015,AV$11,FALSE),"")</f>
        <v>0</v>
      </c>
      <c r="AW20" s="1428">
        <f>IFERROR(VLOOKUP(CONCATENATE($B$8,"_",$B20),Data!$H$16:$BN$1015,AW$11,FALSE),"")</f>
        <v>0</v>
      </c>
      <c r="AX20" s="1430">
        <f>IFERROR(VLOOKUP(CONCATENATE($B$8,"_",$B20),Data!$H$16:$BN$1015,AX$11,FALSE),"")</f>
        <v>0</v>
      </c>
      <c r="AY20" s="1429">
        <f>IFERROR(VLOOKUP(CONCATENATE($B$8,"_",$B20),Data!$H$16:$BN$1015,AY$11,FALSE),"")</f>
        <v>0</v>
      </c>
      <c r="AZ20" s="1429">
        <f>IFERROR(VLOOKUP(CONCATENATE($B$8,"_",$B20),Data!$H$16:$BN$1015,AZ$11,FALSE),"")</f>
        <v>0</v>
      </c>
      <c r="BA20" s="1429">
        <f>IFERROR(VLOOKUP(CONCATENATE($B$8,"_",$B20),Data!$H$16:$BN$1015,BA$11,FALSE),"")</f>
        <v>0</v>
      </c>
      <c r="BB20" s="1429">
        <f>IFERROR(VLOOKUP(CONCATENATE($B$8,"_",$B20),Data!$H$16:$BN$1015,BB$11,FALSE),"")</f>
        <v>0</v>
      </c>
      <c r="BC20" s="1429">
        <f>IFERROR(VLOOKUP(CONCATENATE($B$8,"_",$B20),Data!$H$16:$BN$1015,BC$11,FALSE),"")</f>
        <v>0</v>
      </c>
      <c r="BD20" s="1431">
        <f>IFERROR(VLOOKUP(CONCATENATE($B$8,"_",$B20),Data!$H$16:$BN$1015,BD$11,FALSE),"")</f>
        <v>0</v>
      </c>
      <c r="BE20" s="1439">
        <f t="shared" si="0"/>
        <v>2007</v>
      </c>
      <c r="BF20" s="1428">
        <f>IFERROR(VLOOKUP(CONCATENATE($B$8,"_",$B20),Data!$BO$16:$ES$1015,BF$11,FALSE),"")</f>
        <v>12551729.050772822</v>
      </c>
      <c r="BG20" s="1433">
        <f>IFERROR(VLOOKUP(CONCATENATE($B$8,"_",$B20),Data!$BO$16:$ES$1015,BG$11,FALSE),"")</f>
        <v>0</v>
      </c>
      <c r="BH20" s="1435">
        <f>IFERROR(VLOOKUP(CONCATENATE($B$8,"_",$B20),Data!$BO$16:$ES$1015,BH$11,FALSE),"")</f>
        <v>0</v>
      </c>
      <c r="BI20" s="1434">
        <f>IFERROR(VLOOKUP(CONCATENATE($B$8,"_",$B20),Data!$BO$16:$ES$1015,BI$11,FALSE),"")</f>
        <v>0</v>
      </c>
      <c r="BJ20" s="1428">
        <f>IFERROR(VLOOKUP(CONCATENATE($B$8,"_",$B20),Data!$BO$16:$ES$1015,BJ$11,FALSE),"")</f>
        <v>7350058.4963835571</v>
      </c>
      <c r="BK20" s="1428">
        <f>IFERROR(VLOOKUP(CONCATENATE($B$8,"_",$B20),Data!$BO$16:$ES$1015,BK$11,FALSE),"")</f>
        <v>3570334.6289775167</v>
      </c>
      <c r="BL20" s="1428">
        <f>IFERROR(VLOOKUP(CONCATENATE($B$8,"_",$B20),Data!$BO$16:$ES$1015,BL$11,FALSE),"")</f>
        <v>1631335.9254117478</v>
      </c>
      <c r="BM20" s="1433">
        <f>IFERROR(VLOOKUP(CONCATENATE($B$8,"_",$B20),Data!$BO$16:$ES$1015,BM$11,FALSE),"")</f>
        <v>0</v>
      </c>
      <c r="BN20" s="1433">
        <f>IFERROR(VLOOKUP(CONCATENATE($B$8,"_",$B20),Data!$BO$16:$ES$1015,BN$11,FALSE),"")</f>
        <v>0</v>
      </c>
      <c r="BO20" s="1433">
        <f>IFERROR(VLOOKUP(CONCATENATE($B$8,"_",$B20),Data!$BO$16:$ES$1015,BO$11,FALSE),"")</f>
        <v>0</v>
      </c>
      <c r="BP20" s="1433">
        <f>IFERROR(VLOOKUP(CONCATENATE($B$8,"_",$B20),Data!$BO$16:$ES$1015,BP$11,FALSE),"")</f>
        <v>0</v>
      </c>
      <c r="BQ20" s="1433">
        <f>IFERROR(VLOOKUP(CONCATENATE($B$8,"_",$B20),Data!$BO$16:$ES$1015,BQ$11,FALSE),"")</f>
        <v>0</v>
      </c>
      <c r="BR20" s="1434">
        <f>IFERROR(VLOOKUP(CONCATENATE($B$8,"_",$B20),Data!$BO$16:$ES$1015,BR$11,FALSE),"")</f>
        <v>0</v>
      </c>
      <c r="BS20" s="1434">
        <f>IFERROR(VLOOKUP(CONCATENATE($B$8,"_",$B20),Data!$BO$16:$ES$1015,BS$11,FALSE),"")</f>
        <v>0</v>
      </c>
      <c r="BT20" s="1434">
        <f>IFERROR(VLOOKUP(CONCATENATE($B$8,"_",$B20),Data!$BO$16:$ES$1015,BT$11,FALSE),"")</f>
        <v>0</v>
      </c>
      <c r="BU20" s="1434">
        <f>IFERROR(VLOOKUP(CONCATENATE($B$8,"_",$B20),Data!$BO$16:$ES$1015,BU$11,FALSE),"")</f>
        <v>0</v>
      </c>
      <c r="BV20" s="1434">
        <f>IFERROR(VLOOKUP(CONCATENATE($B$8,"_",$B20),Data!$BO$16:$ES$1015,BV$11,FALSE),"")</f>
        <v>0</v>
      </c>
      <c r="BW20" s="1434">
        <f>IFERROR(VLOOKUP(CONCATENATE($B$8,"_",$B20),Data!$BO$16:$ES$1015,BW$11,FALSE),"")</f>
        <v>0</v>
      </c>
      <c r="BX20" s="1434">
        <f>IFERROR(VLOOKUP(CONCATENATE($B$8,"_",$B20),Data!$BO$16:$ES$1015,BX$11,FALSE),"")</f>
        <v>0</v>
      </c>
      <c r="BY20" s="1428">
        <f>IFERROR(VLOOKUP(CONCATENATE($B$8,"_",$B20),Data!$BO$16:$ES$1015,BY$11,FALSE),"")</f>
        <v>0</v>
      </c>
      <c r="BZ20" s="1428">
        <f>IFERROR(VLOOKUP(CONCATENATE($B$8,"_",$B20),Data!$BO$16:$ES$1015,BZ$11,FALSE),"")</f>
        <v>0</v>
      </c>
      <c r="CA20" s="1428">
        <f>IFERROR(VLOOKUP(CONCATENATE($B$8,"_",$B20),Data!$BO$16:$ES$1015,CA$11,FALSE),"")</f>
        <v>0</v>
      </c>
      <c r="CB20" s="1428">
        <f>IFERROR(VLOOKUP(CONCATENATE($B$8,"_",$B20),Data!$BO$16:$ES$1015,CB$11,FALSE),"")</f>
        <v>0</v>
      </c>
      <c r="CC20" s="1428">
        <f>IFERROR(VLOOKUP(CONCATENATE($B$8,"_",$B20),Data!$BO$16:$ES$1015,CC$11,FALSE),"")</f>
        <v>0</v>
      </c>
      <c r="CD20" s="1428">
        <f>IFERROR(VLOOKUP(CONCATENATE($B$8,"_",$B20),Data!$BO$16:$ES$1015,CD$11,FALSE),"")</f>
        <v>0</v>
      </c>
      <c r="CE20" s="1428">
        <f>IFERROR(VLOOKUP(CONCATENATE($B$8,"_",$B20),Data!$BO$16:$ES$1015,CE$11,FALSE),"")</f>
        <v>0</v>
      </c>
      <c r="CF20" s="1428">
        <f>IFERROR(VLOOKUP(CONCATENATE($B$8,"_",$B20),Data!$BO$16:$ES$1015,CF$11,FALSE),"")</f>
        <v>0</v>
      </c>
      <c r="CG20" s="1428">
        <f>IFERROR(VLOOKUP(CONCATENATE($B$8,"_",$B20),Data!$BO$16:$ES$1015,CG$11,FALSE),"")</f>
        <v>0</v>
      </c>
      <c r="CH20" s="1428">
        <f>IFERROR(VLOOKUP(CONCATENATE($B$8,"_",$B20),Data!$BO$16:$ES$1015,CH$11,FALSE),"")</f>
        <v>0</v>
      </c>
      <c r="CI20" s="1428">
        <f>IFERROR(VLOOKUP(CONCATENATE($B$8,"_",$B20),Data!$BO$16:$ES$1015,CI$11,FALSE),"")</f>
        <v>0</v>
      </c>
      <c r="CJ20" s="1428">
        <f>IFERROR(VLOOKUP(CONCATENATE($B$8,"_",$B20),Data!$BO$16:$ES$1015,CJ$11,FALSE),"")</f>
        <v>0</v>
      </c>
      <c r="CK20" s="1428">
        <f>IFERROR(VLOOKUP(CONCATENATE($B$8,"_",$B20),Data!$BO$16:$ES$1015,CK$11,FALSE),"")</f>
        <v>0</v>
      </c>
      <c r="CL20" s="1428">
        <f>IFERROR(VLOOKUP(CONCATENATE($B$8,"_",$B20),Data!$BO$16:$ES$1015,CL$11,FALSE),"")</f>
        <v>0</v>
      </c>
      <c r="CM20" s="1428">
        <f>IFERROR(VLOOKUP(CONCATENATE($B$8,"_",$B20),Data!$BO$16:$ES$1015,CM$11,FALSE),"")</f>
        <v>0</v>
      </c>
      <c r="CN20" s="1428">
        <f>IFERROR(VLOOKUP(CONCATENATE($B$8,"_",$B20),Data!$BO$16:$ES$1015,CN$11,FALSE),"")</f>
        <v>0</v>
      </c>
      <c r="CO20" s="1428">
        <f>IFERROR(VLOOKUP(CONCATENATE($B$8,"_",$B20),Data!$BO$16:$ES$1015,CO$11,FALSE),"")</f>
        <v>0</v>
      </c>
      <c r="CP20" s="1433">
        <f>IFERROR(VLOOKUP(CONCATENATE($B$8,"_",$B20),Data!$BO$16:$ES$1015,CP$11,FALSE),"")</f>
        <v>0</v>
      </c>
      <c r="CQ20" s="1433">
        <f>IFERROR(VLOOKUP(CONCATENATE($B$8,"_",$B20),Data!$BO$16:$ES$1015,CQ$11,FALSE),"")</f>
        <v>0</v>
      </c>
      <c r="CR20" s="1433">
        <f>IFERROR(VLOOKUP(CONCATENATE($B$8,"_",$B20),Data!$BO$16:$ES$1015,CR$11,FALSE),"")</f>
        <v>0</v>
      </c>
      <c r="CS20" s="1433">
        <f>IFERROR(VLOOKUP(CONCATENATE($B$8,"_",$B20),Data!$BO$16:$ES$1015,CS$11,FALSE),"")</f>
        <v>0</v>
      </c>
      <c r="CT20" s="1433">
        <f>IFERROR(VLOOKUP(CONCATENATE($B$8,"_",$B20),Data!$BO$16:$ES$1015,CT$11,FALSE),"")</f>
        <v>0</v>
      </c>
      <c r="CU20" s="1433">
        <f>IFERROR(VLOOKUP(CONCATENATE($B$8,"_",$B20),Data!$BO$16:$ES$1015,CU$11,FALSE),"")</f>
        <v>0</v>
      </c>
      <c r="CV20" s="1433">
        <f>IFERROR(VLOOKUP(CONCATENATE($B$8,"_",$B20),Data!$BO$16:$ES$1015,CV$11,FALSE),"")</f>
        <v>0</v>
      </c>
      <c r="CW20" s="1433">
        <f>IFERROR(VLOOKUP(CONCATENATE($B$8,"_",$B20),Data!$BO$16:$ES$1015,CW$11,FALSE),"")</f>
        <v>0</v>
      </c>
      <c r="CX20" s="1433">
        <f>IFERROR(VLOOKUP(CONCATENATE($B$8,"_",$B20),Data!$BO$16:$ES$1015,CX$11,FALSE),"")</f>
        <v>0</v>
      </c>
      <c r="CY20" s="1433">
        <f>IFERROR(VLOOKUP(CONCATENATE($B$8,"_",$B20),Data!$BO$16:$ES$1015,CY$11,FALSE),"")</f>
        <v>0</v>
      </c>
      <c r="CZ20" s="1433">
        <f>IFERROR(VLOOKUP(CONCATENATE($B$8,"_",$B20),Data!$BO$16:$ES$1015,CZ$11,FALSE),"")</f>
        <v>0</v>
      </c>
      <c r="DA20" s="1433">
        <f>IFERROR(VLOOKUP(CONCATENATE($B$8,"_",$B20),Data!$BO$16:$ES$1015,DA$11,FALSE),"")</f>
        <v>0</v>
      </c>
      <c r="DB20" s="1433">
        <f>IFERROR(VLOOKUP(CONCATENATE($B$8,"_",$B20),Data!$BO$16:$ES$1015,DB$11,FALSE),"")</f>
        <v>0</v>
      </c>
      <c r="DC20" s="1433">
        <f>IFERROR(VLOOKUP(CONCATENATE($B$8,"_",$B20),Data!$BO$16:$ES$1015,DC$11,FALSE),"")</f>
        <v>0</v>
      </c>
      <c r="DD20" s="1433">
        <f>IFERROR(VLOOKUP(CONCATENATE($B$8,"_",$B20),Data!$BO$16:$ES$1015,DD$11,FALSE),"")</f>
        <v>0</v>
      </c>
      <c r="DE20" s="1433">
        <f>IFERROR(VLOOKUP(CONCATENATE($B$8,"_",$B20),Data!$BO$16:$ES$1015,DE$11,FALSE),"")</f>
        <v>0</v>
      </c>
      <c r="DF20" s="1433">
        <f>IFERROR(VLOOKUP(CONCATENATE($B$8,"_",$B20),Data!$BO$16:$ES$1015,DF$11,FALSE),"")</f>
        <v>0</v>
      </c>
      <c r="DG20" s="1433">
        <f>IFERROR(VLOOKUP(CONCATENATE($B$8,"_",$B20),Data!$BO$16:$ES$1015,DG$11,FALSE),"")</f>
        <v>0</v>
      </c>
      <c r="DH20" s="1433">
        <f>IFERROR(VLOOKUP(CONCATENATE($B$8,"_",$B20),Data!$BO$16:$ES$1015,DH$11,FALSE),"")</f>
        <v>0</v>
      </c>
      <c r="DI20" s="1433">
        <f>IFERROR(VLOOKUP(CONCATENATE($B$8,"_",$B20),Data!$BO$16:$ES$1015,DI$11,FALSE),"")</f>
        <v>0</v>
      </c>
      <c r="DJ20" s="1433">
        <f>IFERROR(VLOOKUP(CONCATENATE($B$8,"_",$B20),Data!$BO$16:$ES$1015,DJ$11,FALSE),"")</f>
        <v>0</v>
      </c>
      <c r="DK20" s="1433">
        <f>IFERROR(VLOOKUP(CONCATENATE($B$8,"_",$B20),Data!$BO$16:$ES$1015,DK$11,FALSE),"")</f>
        <v>0</v>
      </c>
      <c r="DL20" s="1435">
        <f>IFERROR(VLOOKUP(CONCATENATE($B$8,"_",$B20),Data!$BO$16:$ES$1015,DL$11,FALSE),"")</f>
        <v>0</v>
      </c>
      <c r="DM20" s="1434">
        <f>IFERROR(VLOOKUP(CONCATENATE($B$8,"_",$B20),Data!$BO$16:$ES$1015,DM$11,FALSE),"")</f>
        <v>0</v>
      </c>
      <c r="DN20" s="1434">
        <f>IFERROR(VLOOKUP(CONCATENATE($B$8,"_",$B20),Data!$BO$16:$ES$1015,DN$11,FALSE),"")</f>
        <v>0</v>
      </c>
      <c r="DO20" s="1434">
        <f>IFERROR(VLOOKUP(CONCATENATE($B$8,"_",$B20),Data!$BO$16:$ES$1015,DO$11,FALSE),"")</f>
        <v>0</v>
      </c>
      <c r="DP20" s="1434">
        <f>IFERROR(VLOOKUP(CONCATENATE($B$8,"_",$B20),Data!$BO$16:$ES$1015,DP$11,FALSE),"")</f>
        <v>0</v>
      </c>
      <c r="DQ20" s="1434">
        <f>IFERROR(VLOOKUP(CONCATENATE($B$8,"_",$B20),Data!$BO$16:$ES$1015,DQ$11,FALSE),"")</f>
        <v>0</v>
      </c>
      <c r="DR20" s="1434">
        <f>IFERROR(VLOOKUP(CONCATENATE($B$8,"_",$B20),Data!$BO$16:$ES$1015,DR$11,FALSE),"")</f>
        <v>0</v>
      </c>
      <c r="DS20" s="1434">
        <f>IFERROR(VLOOKUP(CONCATENATE($B$8,"_",$B20),Data!$BO$16:$ES$1015,DS$11,FALSE),"")</f>
        <v>0</v>
      </c>
      <c r="DT20" s="1434">
        <f>IFERROR(VLOOKUP(CONCATENATE($B$8,"_",$B20),Data!$BO$16:$ES$1015,DT$11,FALSE),"")</f>
        <v>0</v>
      </c>
      <c r="DU20" s="1434">
        <f>IFERROR(VLOOKUP(CONCATENATE($B$8,"_",$B20),Data!$BO$16:$ES$1015,DU$11,FALSE),"")</f>
        <v>0</v>
      </c>
      <c r="DV20" s="1434">
        <f>IFERROR(VLOOKUP(CONCATENATE($B$8,"_",$B20),Data!$BO$16:$ES$1015,DV$11,FALSE),"")</f>
        <v>0</v>
      </c>
      <c r="DW20" s="1434">
        <f>IFERROR(VLOOKUP(CONCATENATE($B$8,"_",$B20),Data!$BO$16:$ES$1015,DW$11,FALSE),"")</f>
        <v>0</v>
      </c>
      <c r="DX20" s="1434">
        <f>IFERROR(VLOOKUP(CONCATENATE($B$8,"_",$B20),Data!$BO$16:$ES$1015,DX$11,FALSE),"")</f>
        <v>0</v>
      </c>
      <c r="DY20" s="1434">
        <f>IFERROR(VLOOKUP(CONCATENATE($B$8,"_",$B20),Data!$BO$16:$ES$1015,DY$11,FALSE),"")</f>
        <v>0</v>
      </c>
      <c r="DZ20" s="1434">
        <f>IFERROR(VLOOKUP(CONCATENATE($B$8,"_",$B20),Data!$BO$16:$ES$1015,DZ$11,FALSE),"")</f>
        <v>0</v>
      </c>
      <c r="EA20" s="1434">
        <f>IFERROR(VLOOKUP(CONCATENATE($B$8,"_",$B20),Data!$BO$16:$ES$1015,EA$11,FALSE),"")</f>
        <v>0</v>
      </c>
      <c r="EB20" s="1434">
        <f>IFERROR(VLOOKUP(CONCATENATE($B$8,"_",$B20),Data!$BO$16:$ES$1015,EB$11,FALSE),"")</f>
        <v>0</v>
      </c>
      <c r="EC20" s="1434">
        <f>IFERROR(VLOOKUP(CONCATENATE($B$8,"_",$B20),Data!$BO$16:$ES$1015,EC$11,FALSE),"")</f>
        <v>0</v>
      </c>
      <c r="ED20" s="1434">
        <f>IFERROR(VLOOKUP(CONCATENATE($B$8,"_",$B20),Data!$BO$16:$ES$1015,ED$11,FALSE),"")</f>
        <v>0</v>
      </c>
      <c r="EE20" s="1434">
        <f>IFERROR(VLOOKUP(CONCATENATE($B$8,"_",$B20),Data!$BO$16:$ES$1015,EE$11,FALSE),"")</f>
        <v>0</v>
      </c>
      <c r="EF20" s="1434">
        <f>IFERROR(VLOOKUP(CONCATENATE($B$8,"_",$B20),Data!$BO$16:$ES$1015,EF$11,FALSE),"")</f>
        <v>0</v>
      </c>
      <c r="EG20" s="1434">
        <f>IFERROR(VLOOKUP(CONCATENATE($B$8,"_",$B20),Data!$BO$16:$ES$1015,EG$11,FALSE),"")</f>
        <v>0</v>
      </c>
      <c r="EH20" s="1434">
        <f>IFERROR(VLOOKUP(CONCATENATE($B$8,"_",$B20),Data!$BO$16:$ES$1015,EH$11,FALSE),"")</f>
        <v>0</v>
      </c>
      <c r="EI20" s="1434">
        <f>IFERROR(VLOOKUP(CONCATENATE($B$8,"_",$B20),Data!$BO$16:$ES$1015,EI$11,FALSE),"")</f>
        <v>0</v>
      </c>
      <c r="EK20" s="1437"/>
    </row>
    <row r="21" spans="1:141" s="1441" customFormat="1" ht="15" customHeight="1">
      <c r="A21" s="1438">
        <v>8</v>
      </c>
      <c r="B21" s="1738">
        <f>IF($B$13+A21&lt;=Progress!$D$18,$B$13+A21,"")</f>
        <v>2008</v>
      </c>
      <c r="C21" s="1737">
        <f>IFERROR(VLOOKUP(CONCATENATE($B$8,"_",$B21),Data!$H$16:$BN$1015,C$11,FALSE),"")</f>
        <v>0</v>
      </c>
      <c r="D21" s="1428">
        <f>IFERROR(VLOOKUP(CONCATENATE($B$8,"_",$B21),Data!$H$16:$BN$1015,D$11,FALSE),"")</f>
        <v>0</v>
      </c>
      <c r="E21" s="1429">
        <f>IFERROR(VLOOKUP(CONCATENATE($B$8,"_",$B21),Data!$H$16:$BN$1015,E$11,FALSE),"")</f>
        <v>0</v>
      </c>
      <c r="F21" s="1428">
        <f>IFERROR(VLOOKUP(CONCATENATE($B$8,"_",$B21),Data!$H$16:$BN$1015,F$11,FALSE),"")</f>
        <v>0</v>
      </c>
      <c r="G21" s="1428">
        <f>IFERROR(VLOOKUP(CONCATENATE($B$8,"_",$B21),Data!$H$16:$BN$1015,G$11,FALSE),"")</f>
        <v>0</v>
      </c>
      <c r="H21" s="1429">
        <f>IFERROR(VLOOKUP(CONCATENATE($B$8,"_",$B21),Data!$H$16:$BN$1015,H$11,FALSE),"")</f>
        <v>0</v>
      </c>
      <c r="I21" s="1428">
        <f>IFERROR(VLOOKUP(CONCATENATE($B$8,"_",$B21),Data!$H$16:$BN$1015,I$11,FALSE),"")</f>
        <v>0</v>
      </c>
      <c r="J21" s="1428">
        <f>IFERROR(VLOOKUP(CONCATENATE($B$8,"_",$B21),Data!$H$16:$BN$1015,J$11,FALSE),"")</f>
        <v>0</v>
      </c>
      <c r="K21" s="1429">
        <f>IFERROR(VLOOKUP(CONCATENATE($B$8,"_",$B21),Data!$H$16:$BN$1015,K$11,FALSE),"")</f>
        <v>0</v>
      </c>
      <c r="L21" s="1428">
        <f>IFERROR(VLOOKUP(CONCATENATE($B$8,"_",$B21),Data!$H$16:$BN$1015,L$11,FALSE),"")</f>
        <v>0</v>
      </c>
      <c r="M21" s="1428">
        <f>IFERROR(VLOOKUP(CONCATENATE($B$8,"_",$B21),Data!$H$16:$BN$1015,M$11,FALSE),"")</f>
        <v>0</v>
      </c>
      <c r="N21" s="1429">
        <f>IFERROR(VLOOKUP(CONCATENATE($B$8,"_",$B21),Data!$H$16:$BN$1015,N$11,FALSE),"")</f>
        <v>0</v>
      </c>
      <c r="O21" s="1430">
        <f>IFERROR(VLOOKUP(CONCATENATE($B$8,"_",$B21),Data!$H$16:$BN$1015,O$11,FALSE),"")</f>
        <v>0</v>
      </c>
      <c r="P21" s="1428">
        <f>IFERROR(VLOOKUP(CONCATENATE($B$8,"_",$B21),Data!$H$16:$BN$1015,P$11,FALSE),"")</f>
        <v>0</v>
      </c>
      <c r="Q21" s="1428">
        <f>IFERROR(VLOOKUP(CONCATENATE($B$8,"_",$B21),Data!$H$16:$BN$1015,Q$11,FALSE),"")</f>
        <v>0</v>
      </c>
      <c r="R21" s="1429">
        <f>IFERROR(VLOOKUP(CONCATENATE($B$8,"_",$B21),Data!$H$16:$BN$1015,R$11,FALSE),"")</f>
        <v>0</v>
      </c>
      <c r="S21" s="1428">
        <f>IFERROR(VLOOKUP(CONCATENATE($B$8,"_",$B21),Data!$H$16:$BN$1015,S$11,FALSE),"")</f>
        <v>0</v>
      </c>
      <c r="T21" s="1428">
        <f>IFERROR(VLOOKUP(CONCATENATE($B$8,"_",$B21),Data!$H$16:$BN$1015,T$11,FALSE),"")</f>
        <v>0</v>
      </c>
      <c r="U21" s="1429">
        <f>IFERROR(VLOOKUP(CONCATENATE($B$8,"_",$B21),Data!$H$16:$BN$1015,U$11,FALSE),"")</f>
        <v>0</v>
      </c>
      <c r="V21" s="1428">
        <f>IFERROR(VLOOKUP(CONCATENATE($B$8,"_",$B21),Data!$H$16:$BN$1015,V$11,FALSE),"")</f>
        <v>0</v>
      </c>
      <c r="W21" s="1428">
        <f>IFERROR(VLOOKUP(CONCATENATE($B$8,"_",$B21),Data!$H$16:$BN$1015,W$11,FALSE),"")</f>
        <v>0</v>
      </c>
      <c r="X21" s="1428">
        <f>IFERROR(VLOOKUP(CONCATENATE($B$8,"_",$B21),Data!$H$16:$BN$1015,X$11,FALSE),"")</f>
        <v>0</v>
      </c>
      <c r="Y21" s="1428">
        <f>IFERROR(VLOOKUP(CONCATENATE($B$8,"_",$B21),Data!$H$16:$BN$1015,Y$11,FALSE),"")</f>
        <v>0</v>
      </c>
      <c r="Z21" s="1429">
        <f>IFERROR(VLOOKUP(CONCATENATE($B$8,"_",$B21),Data!$H$16:$BN$1015,Z$11,FALSE),"")</f>
        <v>0</v>
      </c>
      <c r="AA21" s="1428">
        <f>IFERROR(VLOOKUP(CONCATENATE($B$8,"_",$B21),Data!$H$16:$BN$1015,AA$11,FALSE),"")</f>
        <v>0</v>
      </c>
      <c r="AB21" s="1428">
        <f>IFERROR(VLOOKUP(CONCATENATE($B$8,"_",$B21),Data!$H$16:$BN$1015,AB$11,FALSE),"")</f>
        <v>0</v>
      </c>
      <c r="AC21" s="1429">
        <f>IFERROR(VLOOKUP(CONCATENATE($B$8,"_",$B21),Data!$H$16:$BN$1015,AC$11,FALSE),"")</f>
        <v>0</v>
      </c>
      <c r="AD21" s="1428">
        <f>IFERROR(VLOOKUP(CONCATENATE($B$8,"_",$B21),Data!$H$16:$BN$1015,AD$11,FALSE),"")</f>
        <v>0</v>
      </c>
      <c r="AE21" s="1428">
        <f>IFERROR(VLOOKUP(CONCATENATE($B$8,"_",$B21),Data!$H$16:$BN$1015,AE$11,FALSE),"")</f>
        <v>0</v>
      </c>
      <c r="AF21" s="1429">
        <f>IFERROR(VLOOKUP(CONCATENATE($B$8,"_",$B21),Data!$H$16:$BN$1015,AF$11,FALSE),"")</f>
        <v>0</v>
      </c>
      <c r="AG21" s="1428">
        <f>IFERROR(VLOOKUP(CONCATENATE($B$8,"_",$B21),Data!$H$16:$BN$1015,AG$11,FALSE),"")</f>
        <v>0</v>
      </c>
      <c r="AH21" s="1428">
        <f>IFERROR(VLOOKUP(CONCATENATE($B$8,"_",$B21),Data!$H$16:$BN$1015,AH$11,FALSE),"")</f>
        <v>0</v>
      </c>
      <c r="AI21" s="1429">
        <f>IFERROR(VLOOKUP(CONCATENATE($B$8,"_",$B21),Data!$H$16:$BN$1015,AI$11,FALSE),"")</f>
        <v>0</v>
      </c>
      <c r="AJ21" s="1428">
        <f>IFERROR(VLOOKUP(CONCATENATE($B$8,"_",$B21),Data!$H$16:$BN$1015,AJ$11,FALSE),"")</f>
        <v>0</v>
      </c>
      <c r="AK21" s="1428">
        <f>IFERROR(VLOOKUP(CONCATENATE($B$8,"_",$B21),Data!$H$16:$BN$1015,AK$11,FALSE),"")</f>
        <v>0</v>
      </c>
      <c r="AL21" s="1429">
        <f>IFERROR(VLOOKUP(CONCATENATE($B$8,"_",$B21),Data!$H$16:$BN$1015,AL$11,FALSE),"")</f>
        <v>0</v>
      </c>
      <c r="AM21" s="1428">
        <f>IFERROR(VLOOKUP(CONCATENATE($B$8,"_",$B21),Data!$H$16:$BN$1015,AM$11,FALSE),"")</f>
        <v>0</v>
      </c>
      <c r="AN21" s="1428">
        <f>IFERROR(VLOOKUP(CONCATENATE($B$8,"_",$B21),Data!$H$16:$BN$1015,AN$11,FALSE),"")</f>
        <v>0</v>
      </c>
      <c r="AO21" s="1430">
        <f>IFERROR(VLOOKUP(CONCATENATE($B$8,"_",$B21),Data!$H$16:$BN$1015,AO$11,FALSE),"")</f>
        <v>0</v>
      </c>
      <c r="AP21" s="1428">
        <f>IFERROR(VLOOKUP(CONCATENATE($B$8,"_",$B21),Data!$H$16:$BN$1015,AP$11,FALSE),"")</f>
        <v>0</v>
      </c>
      <c r="AQ21" s="1428">
        <f>IFERROR(VLOOKUP(CONCATENATE($B$8,"_",$B21),Data!$H$16:$BN$1015,AQ$11,FALSE),"")</f>
        <v>0</v>
      </c>
      <c r="AR21" s="1430">
        <f>IFERROR(VLOOKUP(CONCATENATE($B$8,"_",$B21),Data!$H$16:$BN$1015,AR$11,FALSE),"")</f>
        <v>0</v>
      </c>
      <c r="AS21" s="1428">
        <f>IFERROR(VLOOKUP(CONCATENATE($B$8,"_",$B21),Data!$H$16:$BN$1015,AS$11,FALSE),"")</f>
        <v>0</v>
      </c>
      <c r="AT21" s="1428">
        <f>IFERROR(VLOOKUP(CONCATENATE($B$8,"_",$B21),Data!$H$16:$BN$1015,AT$11,FALSE),"")</f>
        <v>0</v>
      </c>
      <c r="AU21" s="1430">
        <f>IFERROR(VLOOKUP(CONCATENATE($B$8,"_",$B21),Data!$H$16:$BN$1015,AU$11,FALSE),"")</f>
        <v>0</v>
      </c>
      <c r="AV21" s="1428">
        <f>IFERROR(VLOOKUP(CONCATENATE($B$8,"_",$B21),Data!$H$16:$BN$1015,AV$11,FALSE),"")</f>
        <v>0</v>
      </c>
      <c r="AW21" s="1428">
        <f>IFERROR(VLOOKUP(CONCATENATE($B$8,"_",$B21),Data!$H$16:$BN$1015,AW$11,FALSE),"")</f>
        <v>0</v>
      </c>
      <c r="AX21" s="1430">
        <f>IFERROR(VLOOKUP(CONCATENATE($B$8,"_",$B21),Data!$H$16:$BN$1015,AX$11,FALSE),"")</f>
        <v>0</v>
      </c>
      <c r="AY21" s="1429">
        <f>IFERROR(VLOOKUP(CONCATENATE($B$8,"_",$B21),Data!$H$16:$BN$1015,AY$11,FALSE),"")</f>
        <v>0</v>
      </c>
      <c r="AZ21" s="1429">
        <f>IFERROR(VLOOKUP(CONCATENATE($B$8,"_",$B21),Data!$H$16:$BN$1015,AZ$11,FALSE),"")</f>
        <v>0</v>
      </c>
      <c r="BA21" s="1429">
        <f>IFERROR(VLOOKUP(CONCATENATE($B$8,"_",$B21),Data!$H$16:$BN$1015,BA$11,FALSE),"")</f>
        <v>0</v>
      </c>
      <c r="BB21" s="1429">
        <f>IFERROR(VLOOKUP(CONCATENATE($B$8,"_",$B21),Data!$H$16:$BN$1015,BB$11,FALSE),"")</f>
        <v>0</v>
      </c>
      <c r="BC21" s="1429">
        <f>IFERROR(VLOOKUP(CONCATENATE($B$8,"_",$B21),Data!$H$16:$BN$1015,BC$11,FALSE),"")</f>
        <v>0</v>
      </c>
      <c r="BD21" s="1431">
        <f>IFERROR(VLOOKUP(CONCATENATE($B$8,"_",$B21),Data!$H$16:$BN$1015,BD$11,FALSE),"")</f>
        <v>0</v>
      </c>
      <c r="BE21" s="1439">
        <f t="shared" si="0"/>
        <v>2008</v>
      </c>
      <c r="BF21" s="1428">
        <f>IFERROR(VLOOKUP(CONCATENATE($B$8,"_",$B21),Data!$BO$16:$ES$1015,BF$11,FALSE),"")</f>
        <v>12742478.276032597</v>
      </c>
      <c r="BG21" s="1433">
        <f>IFERROR(VLOOKUP(CONCATENATE($B$8,"_",$B21),Data!$BO$16:$ES$1015,BG$11,FALSE),"")</f>
        <v>0</v>
      </c>
      <c r="BH21" s="1435">
        <f>IFERROR(VLOOKUP(CONCATENATE($B$8,"_",$B21),Data!$BO$16:$ES$1015,BH$11,FALSE),"")</f>
        <v>0</v>
      </c>
      <c r="BI21" s="1434">
        <f>IFERROR(VLOOKUP(CONCATENATE($B$8,"_",$B21),Data!$BO$16:$ES$1015,BI$11,FALSE),"")</f>
        <v>0</v>
      </c>
      <c r="BJ21" s="1428">
        <f>IFERROR(VLOOKUP(CONCATENATE($B$8,"_",$B21),Data!$BO$16:$ES$1015,BJ$11,FALSE),"")</f>
        <v>7508607.9555215836</v>
      </c>
      <c r="BK21" s="1428">
        <f>IFERROR(VLOOKUP(CONCATENATE($B$8,"_",$B21),Data!$BO$16:$ES$1015,BK$11,FALSE),"")</f>
        <v>3650739.4465314052</v>
      </c>
      <c r="BL21" s="1428">
        <f>IFERROR(VLOOKUP(CONCATENATE($B$8,"_",$B21),Data!$BO$16:$ES$1015,BL$11,FALSE),"")</f>
        <v>1583130.8739796069</v>
      </c>
      <c r="BM21" s="1433">
        <f>IFERROR(VLOOKUP(CONCATENATE($B$8,"_",$B21),Data!$BO$16:$ES$1015,BM$11,FALSE),"")</f>
        <v>0</v>
      </c>
      <c r="BN21" s="1433">
        <f>IFERROR(VLOOKUP(CONCATENATE($B$8,"_",$B21),Data!$BO$16:$ES$1015,BN$11,FALSE),"")</f>
        <v>0</v>
      </c>
      <c r="BO21" s="1433">
        <f>IFERROR(VLOOKUP(CONCATENATE($B$8,"_",$B21),Data!$BO$16:$ES$1015,BO$11,FALSE),"")</f>
        <v>0</v>
      </c>
      <c r="BP21" s="1433">
        <f>IFERROR(VLOOKUP(CONCATENATE($B$8,"_",$B21),Data!$BO$16:$ES$1015,BP$11,FALSE),"")</f>
        <v>0</v>
      </c>
      <c r="BQ21" s="1433">
        <f>IFERROR(VLOOKUP(CONCATENATE($B$8,"_",$B21),Data!$BO$16:$ES$1015,BQ$11,FALSE),"")</f>
        <v>0</v>
      </c>
      <c r="BR21" s="1434">
        <f>IFERROR(VLOOKUP(CONCATENATE($B$8,"_",$B21),Data!$BO$16:$ES$1015,BR$11,FALSE),"")</f>
        <v>0</v>
      </c>
      <c r="BS21" s="1434">
        <f>IFERROR(VLOOKUP(CONCATENATE($B$8,"_",$B21),Data!$BO$16:$ES$1015,BS$11,FALSE),"")</f>
        <v>0</v>
      </c>
      <c r="BT21" s="1434">
        <f>IFERROR(VLOOKUP(CONCATENATE($B$8,"_",$B21),Data!$BO$16:$ES$1015,BT$11,FALSE),"")</f>
        <v>0</v>
      </c>
      <c r="BU21" s="1434">
        <f>IFERROR(VLOOKUP(CONCATENATE($B$8,"_",$B21),Data!$BO$16:$ES$1015,BU$11,FALSE),"")</f>
        <v>0</v>
      </c>
      <c r="BV21" s="1434">
        <f>IFERROR(VLOOKUP(CONCATENATE($B$8,"_",$B21),Data!$BO$16:$ES$1015,BV$11,FALSE),"")</f>
        <v>0</v>
      </c>
      <c r="BW21" s="1434">
        <f>IFERROR(VLOOKUP(CONCATENATE($B$8,"_",$B21),Data!$BO$16:$ES$1015,BW$11,FALSE),"")</f>
        <v>0</v>
      </c>
      <c r="BX21" s="1434">
        <f>IFERROR(VLOOKUP(CONCATENATE($B$8,"_",$B21),Data!$BO$16:$ES$1015,BX$11,FALSE),"")</f>
        <v>0</v>
      </c>
      <c r="BY21" s="1428">
        <f>IFERROR(VLOOKUP(CONCATENATE($B$8,"_",$B21),Data!$BO$16:$ES$1015,BY$11,FALSE),"")</f>
        <v>0</v>
      </c>
      <c r="BZ21" s="1428">
        <f>IFERROR(VLOOKUP(CONCATENATE($B$8,"_",$B21),Data!$BO$16:$ES$1015,BZ$11,FALSE),"")</f>
        <v>0</v>
      </c>
      <c r="CA21" s="1428">
        <f>IFERROR(VLOOKUP(CONCATENATE($B$8,"_",$B21),Data!$BO$16:$ES$1015,CA$11,FALSE),"")</f>
        <v>0</v>
      </c>
      <c r="CB21" s="1428">
        <f>IFERROR(VLOOKUP(CONCATENATE($B$8,"_",$B21),Data!$BO$16:$ES$1015,CB$11,FALSE),"")</f>
        <v>0</v>
      </c>
      <c r="CC21" s="1428">
        <f>IFERROR(VLOOKUP(CONCATENATE($B$8,"_",$B21),Data!$BO$16:$ES$1015,CC$11,FALSE),"")</f>
        <v>0</v>
      </c>
      <c r="CD21" s="1428">
        <f>IFERROR(VLOOKUP(CONCATENATE($B$8,"_",$B21),Data!$BO$16:$ES$1015,CD$11,FALSE),"")</f>
        <v>0</v>
      </c>
      <c r="CE21" s="1428">
        <f>IFERROR(VLOOKUP(CONCATENATE($B$8,"_",$B21),Data!$BO$16:$ES$1015,CE$11,FALSE),"")</f>
        <v>0</v>
      </c>
      <c r="CF21" s="1428">
        <f>IFERROR(VLOOKUP(CONCATENATE($B$8,"_",$B21),Data!$BO$16:$ES$1015,CF$11,FALSE),"")</f>
        <v>0</v>
      </c>
      <c r="CG21" s="1428">
        <f>IFERROR(VLOOKUP(CONCATENATE($B$8,"_",$B21),Data!$BO$16:$ES$1015,CG$11,FALSE),"")</f>
        <v>0</v>
      </c>
      <c r="CH21" s="1428">
        <f>IFERROR(VLOOKUP(CONCATENATE($B$8,"_",$B21),Data!$BO$16:$ES$1015,CH$11,FALSE),"")</f>
        <v>0</v>
      </c>
      <c r="CI21" s="1428">
        <f>IFERROR(VLOOKUP(CONCATENATE($B$8,"_",$B21),Data!$BO$16:$ES$1015,CI$11,FALSE),"")</f>
        <v>0</v>
      </c>
      <c r="CJ21" s="1428">
        <f>IFERROR(VLOOKUP(CONCATENATE($B$8,"_",$B21),Data!$BO$16:$ES$1015,CJ$11,FALSE),"")</f>
        <v>0</v>
      </c>
      <c r="CK21" s="1428">
        <f>IFERROR(VLOOKUP(CONCATENATE($B$8,"_",$B21),Data!$BO$16:$ES$1015,CK$11,FALSE),"")</f>
        <v>0</v>
      </c>
      <c r="CL21" s="1428">
        <f>IFERROR(VLOOKUP(CONCATENATE($B$8,"_",$B21),Data!$BO$16:$ES$1015,CL$11,FALSE),"")</f>
        <v>0</v>
      </c>
      <c r="CM21" s="1428">
        <f>IFERROR(VLOOKUP(CONCATENATE($B$8,"_",$B21),Data!$BO$16:$ES$1015,CM$11,FALSE),"")</f>
        <v>0</v>
      </c>
      <c r="CN21" s="1428">
        <f>IFERROR(VLOOKUP(CONCATENATE($B$8,"_",$B21),Data!$BO$16:$ES$1015,CN$11,FALSE),"")</f>
        <v>0</v>
      </c>
      <c r="CO21" s="1428">
        <f>IFERROR(VLOOKUP(CONCATENATE($B$8,"_",$B21),Data!$BO$16:$ES$1015,CO$11,FALSE),"")</f>
        <v>0</v>
      </c>
      <c r="CP21" s="1433">
        <f>IFERROR(VLOOKUP(CONCATENATE($B$8,"_",$B21),Data!$BO$16:$ES$1015,CP$11,FALSE),"")</f>
        <v>0</v>
      </c>
      <c r="CQ21" s="1433">
        <f>IFERROR(VLOOKUP(CONCATENATE($B$8,"_",$B21),Data!$BO$16:$ES$1015,CQ$11,FALSE),"")</f>
        <v>0</v>
      </c>
      <c r="CR21" s="1433">
        <f>IFERROR(VLOOKUP(CONCATENATE($B$8,"_",$B21),Data!$BO$16:$ES$1015,CR$11,FALSE),"")</f>
        <v>0</v>
      </c>
      <c r="CS21" s="1433">
        <f>IFERROR(VLOOKUP(CONCATENATE($B$8,"_",$B21),Data!$BO$16:$ES$1015,CS$11,FALSE),"")</f>
        <v>0</v>
      </c>
      <c r="CT21" s="1433">
        <f>IFERROR(VLOOKUP(CONCATENATE($B$8,"_",$B21),Data!$BO$16:$ES$1015,CT$11,FALSE),"")</f>
        <v>0</v>
      </c>
      <c r="CU21" s="1433">
        <f>IFERROR(VLOOKUP(CONCATENATE($B$8,"_",$B21),Data!$BO$16:$ES$1015,CU$11,FALSE),"")</f>
        <v>0</v>
      </c>
      <c r="CV21" s="1433">
        <f>IFERROR(VLOOKUP(CONCATENATE($B$8,"_",$B21),Data!$BO$16:$ES$1015,CV$11,FALSE),"")</f>
        <v>0</v>
      </c>
      <c r="CW21" s="1433">
        <f>IFERROR(VLOOKUP(CONCATENATE($B$8,"_",$B21),Data!$BO$16:$ES$1015,CW$11,FALSE),"")</f>
        <v>0</v>
      </c>
      <c r="CX21" s="1433">
        <f>IFERROR(VLOOKUP(CONCATENATE($B$8,"_",$B21),Data!$BO$16:$ES$1015,CX$11,FALSE),"")</f>
        <v>0</v>
      </c>
      <c r="CY21" s="1433">
        <f>IFERROR(VLOOKUP(CONCATENATE($B$8,"_",$B21),Data!$BO$16:$ES$1015,CY$11,FALSE),"")</f>
        <v>0</v>
      </c>
      <c r="CZ21" s="1433">
        <f>IFERROR(VLOOKUP(CONCATENATE($B$8,"_",$B21),Data!$BO$16:$ES$1015,CZ$11,FALSE),"")</f>
        <v>0</v>
      </c>
      <c r="DA21" s="1433">
        <f>IFERROR(VLOOKUP(CONCATENATE($B$8,"_",$B21),Data!$BO$16:$ES$1015,DA$11,FALSE),"")</f>
        <v>0</v>
      </c>
      <c r="DB21" s="1433">
        <f>IFERROR(VLOOKUP(CONCATENATE($B$8,"_",$B21),Data!$BO$16:$ES$1015,DB$11,FALSE),"")</f>
        <v>0</v>
      </c>
      <c r="DC21" s="1433">
        <f>IFERROR(VLOOKUP(CONCATENATE($B$8,"_",$B21),Data!$BO$16:$ES$1015,DC$11,FALSE),"")</f>
        <v>0</v>
      </c>
      <c r="DD21" s="1433">
        <f>IFERROR(VLOOKUP(CONCATENATE($B$8,"_",$B21),Data!$BO$16:$ES$1015,DD$11,FALSE),"")</f>
        <v>0</v>
      </c>
      <c r="DE21" s="1433">
        <f>IFERROR(VLOOKUP(CONCATENATE($B$8,"_",$B21),Data!$BO$16:$ES$1015,DE$11,FALSE),"")</f>
        <v>0</v>
      </c>
      <c r="DF21" s="1433">
        <f>IFERROR(VLOOKUP(CONCATENATE($B$8,"_",$B21),Data!$BO$16:$ES$1015,DF$11,FALSE),"")</f>
        <v>0</v>
      </c>
      <c r="DG21" s="1433">
        <f>IFERROR(VLOOKUP(CONCATENATE($B$8,"_",$B21),Data!$BO$16:$ES$1015,DG$11,FALSE),"")</f>
        <v>0</v>
      </c>
      <c r="DH21" s="1433">
        <f>IFERROR(VLOOKUP(CONCATENATE($B$8,"_",$B21),Data!$BO$16:$ES$1015,DH$11,FALSE),"")</f>
        <v>0</v>
      </c>
      <c r="DI21" s="1433">
        <f>IFERROR(VLOOKUP(CONCATENATE($B$8,"_",$B21),Data!$BO$16:$ES$1015,DI$11,FALSE),"")</f>
        <v>0</v>
      </c>
      <c r="DJ21" s="1433">
        <f>IFERROR(VLOOKUP(CONCATENATE($B$8,"_",$B21),Data!$BO$16:$ES$1015,DJ$11,FALSE),"")</f>
        <v>0</v>
      </c>
      <c r="DK21" s="1433">
        <f>IFERROR(VLOOKUP(CONCATENATE($B$8,"_",$B21),Data!$BO$16:$ES$1015,DK$11,FALSE),"")</f>
        <v>0</v>
      </c>
      <c r="DL21" s="1435">
        <f>IFERROR(VLOOKUP(CONCATENATE($B$8,"_",$B21),Data!$BO$16:$ES$1015,DL$11,FALSE),"")</f>
        <v>0</v>
      </c>
      <c r="DM21" s="1434">
        <f>IFERROR(VLOOKUP(CONCATENATE($B$8,"_",$B21),Data!$BO$16:$ES$1015,DM$11,FALSE),"")</f>
        <v>0</v>
      </c>
      <c r="DN21" s="1434">
        <f>IFERROR(VLOOKUP(CONCATENATE($B$8,"_",$B21),Data!$BO$16:$ES$1015,DN$11,FALSE),"")</f>
        <v>0</v>
      </c>
      <c r="DO21" s="1434">
        <f>IFERROR(VLOOKUP(CONCATENATE($B$8,"_",$B21),Data!$BO$16:$ES$1015,DO$11,FALSE),"")</f>
        <v>0</v>
      </c>
      <c r="DP21" s="1434">
        <f>IFERROR(VLOOKUP(CONCATENATE($B$8,"_",$B21),Data!$BO$16:$ES$1015,DP$11,FALSE),"")</f>
        <v>0</v>
      </c>
      <c r="DQ21" s="1434">
        <f>IFERROR(VLOOKUP(CONCATENATE($B$8,"_",$B21),Data!$BO$16:$ES$1015,DQ$11,FALSE),"")</f>
        <v>0</v>
      </c>
      <c r="DR21" s="1434">
        <f>IFERROR(VLOOKUP(CONCATENATE($B$8,"_",$B21),Data!$BO$16:$ES$1015,DR$11,FALSE),"")</f>
        <v>0</v>
      </c>
      <c r="DS21" s="1434">
        <f>IFERROR(VLOOKUP(CONCATENATE($B$8,"_",$B21),Data!$BO$16:$ES$1015,DS$11,FALSE),"")</f>
        <v>0</v>
      </c>
      <c r="DT21" s="1434">
        <f>IFERROR(VLOOKUP(CONCATENATE($B$8,"_",$B21),Data!$BO$16:$ES$1015,DT$11,FALSE),"")</f>
        <v>0</v>
      </c>
      <c r="DU21" s="1434">
        <f>IFERROR(VLOOKUP(CONCATENATE($B$8,"_",$B21),Data!$BO$16:$ES$1015,DU$11,FALSE),"")</f>
        <v>0</v>
      </c>
      <c r="DV21" s="1434">
        <f>IFERROR(VLOOKUP(CONCATENATE($B$8,"_",$B21),Data!$BO$16:$ES$1015,DV$11,FALSE),"")</f>
        <v>0</v>
      </c>
      <c r="DW21" s="1434">
        <f>IFERROR(VLOOKUP(CONCATENATE($B$8,"_",$B21),Data!$BO$16:$ES$1015,DW$11,FALSE),"")</f>
        <v>0</v>
      </c>
      <c r="DX21" s="1434">
        <f>IFERROR(VLOOKUP(CONCATENATE($B$8,"_",$B21),Data!$BO$16:$ES$1015,DX$11,FALSE),"")</f>
        <v>0</v>
      </c>
      <c r="DY21" s="1434">
        <f>IFERROR(VLOOKUP(CONCATENATE($B$8,"_",$B21),Data!$BO$16:$ES$1015,DY$11,FALSE),"")</f>
        <v>0</v>
      </c>
      <c r="DZ21" s="1434">
        <f>IFERROR(VLOOKUP(CONCATENATE($B$8,"_",$B21),Data!$BO$16:$ES$1015,DZ$11,FALSE),"")</f>
        <v>0</v>
      </c>
      <c r="EA21" s="1434">
        <f>IFERROR(VLOOKUP(CONCATENATE($B$8,"_",$B21),Data!$BO$16:$ES$1015,EA$11,FALSE),"")</f>
        <v>0</v>
      </c>
      <c r="EB21" s="1434">
        <f>IFERROR(VLOOKUP(CONCATENATE($B$8,"_",$B21),Data!$BO$16:$ES$1015,EB$11,FALSE),"")</f>
        <v>0</v>
      </c>
      <c r="EC21" s="1434">
        <f>IFERROR(VLOOKUP(CONCATENATE($B$8,"_",$B21),Data!$BO$16:$ES$1015,EC$11,FALSE),"")</f>
        <v>0</v>
      </c>
      <c r="ED21" s="1434">
        <f>IFERROR(VLOOKUP(CONCATENATE($B$8,"_",$B21),Data!$BO$16:$ES$1015,ED$11,FALSE),"")</f>
        <v>0</v>
      </c>
      <c r="EE21" s="1434">
        <f>IFERROR(VLOOKUP(CONCATENATE($B$8,"_",$B21),Data!$BO$16:$ES$1015,EE$11,FALSE),"")</f>
        <v>0</v>
      </c>
      <c r="EF21" s="1434">
        <f>IFERROR(VLOOKUP(CONCATENATE($B$8,"_",$B21),Data!$BO$16:$ES$1015,EF$11,FALSE),"")</f>
        <v>0</v>
      </c>
      <c r="EG21" s="1434">
        <f>IFERROR(VLOOKUP(CONCATENATE($B$8,"_",$B21),Data!$BO$16:$ES$1015,EG$11,FALSE),"")</f>
        <v>0</v>
      </c>
      <c r="EH21" s="1434">
        <f>IFERROR(VLOOKUP(CONCATENATE($B$8,"_",$B21),Data!$BO$16:$ES$1015,EH$11,FALSE),"")</f>
        <v>0</v>
      </c>
      <c r="EI21" s="1434">
        <f>IFERROR(VLOOKUP(CONCATENATE($B$8,"_",$B21),Data!$BO$16:$ES$1015,EI$11,FALSE),"")</f>
        <v>0</v>
      </c>
    </row>
    <row r="22" spans="1:141" s="1436" customFormat="1" ht="15" customHeight="1">
      <c r="A22" s="1438">
        <v>9</v>
      </c>
      <c r="B22" s="1738">
        <f>IF($B$13+A22&lt;=Progress!$D$18,$B$13+A22,"")</f>
        <v>2009</v>
      </c>
      <c r="C22" s="1737">
        <f>IFERROR(VLOOKUP(CONCATENATE($B$8,"_",$B22),Data!$H$16:$BN$1015,C$11,FALSE),"")</f>
        <v>0</v>
      </c>
      <c r="D22" s="1428">
        <f>IFERROR(VLOOKUP(CONCATENATE($B$8,"_",$B22),Data!$H$16:$BN$1015,D$11,FALSE),"")</f>
        <v>0</v>
      </c>
      <c r="E22" s="1429">
        <f>IFERROR(VLOOKUP(CONCATENATE($B$8,"_",$B22),Data!$H$16:$BN$1015,E$11,FALSE),"")</f>
        <v>0</v>
      </c>
      <c r="F22" s="1428">
        <f>IFERROR(VLOOKUP(CONCATENATE($B$8,"_",$B22),Data!$H$16:$BN$1015,F$11,FALSE),"")</f>
        <v>0</v>
      </c>
      <c r="G22" s="1428">
        <f>IFERROR(VLOOKUP(CONCATENATE($B$8,"_",$B22),Data!$H$16:$BN$1015,G$11,FALSE),"")</f>
        <v>0</v>
      </c>
      <c r="H22" s="1429">
        <f>IFERROR(VLOOKUP(CONCATENATE($B$8,"_",$B22),Data!$H$16:$BN$1015,H$11,FALSE),"")</f>
        <v>0</v>
      </c>
      <c r="I22" s="1428">
        <f>IFERROR(VLOOKUP(CONCATENATE($B$8,"_",$B22),Data!$H$16:$BN$1015,I$11,FALSE),"")</f>
        <v>0</v>
      </c>
      <c r="J22" s="1428">
        <f>IFERROR(VLOOKUP(CONCATENATE($B$8,"_",$B22),Data!$H$16:$BN$1015,J$11,FALSE),"")</f>
        <v>0</v>
      </c>
      <c r="K22" s="1429">
        <f>IFERROR(VLOOKUP(CONCATENATE($B$8,"_",$B22),Data!$H$16:$BN$1015,K$11,FALSE),"")</f>
        <v>0</v>
      </c>
      <c r="L22" s="1428">
        <f>IFERROR(VLOOKUP(CONCATENATE($B$8,"_",$B22),Data!$H$16:$BN$1015,L$11,FALSE),"")</f>
        <v>0</v>
      </c>
      <c r="M22" s="1428">
        <f>IFERROR(VLOOKUP(CONCATENATE($B$8,"_",$B22),Data!$H$16:$BN$1015,M$11,FALSE),"")</f>
        <v>0</v>
      </c>
      <c r="N22" s="1429">
        <f>IFERROR(VLOOKUP(CONCATENATE($B$8,"_",$B22),Data!$H$16:$BN$1015,N$11,FALSE),"")</f>
        <v>0</v>
      </c>
      <c r="O22" s="1430">
        <f>IFERROR(VLOOKUP(CONCATENATE($B$8,"_",$B22),Data!$H$16:$BN$1015,O$11,FALSE),"")</f>
        <v>0</v>
      </c>
      <c r="P22" s="1428">
        <f>IFERROR(VLOOKUP(CONCATENATE($B$8,"_",$B22),Data!$H$16:$BN$1015,P$11,FALSE),"")</f>
        <v>0</v>
      </c>
      <c r="Q22" s="1428">
        <f>IFERROR(VLOOKUP(CONCATENATE($B$8,"_",$B22),Data!$H$16:$BN$1015,Q$11,FALSE),"")</f>
        <v>0</v>
      </c>
      <c r="R22" s="1429">
        <f>IFERROR(VLOOKUP(CONCATENATE($B$8,"_",$B22),Data!$H$16:$BN$1015,R$11,FALSE),"")</f>
        <v>0</v>
      </c>
      <c r="S22" s="1428">
        <f>IFERROR(VLOOKUP(CONCATENATE($B$8,"_",$B22),Data!$H$16:$BN$1015,S$11,FALSE),"")</f>
        <v>0</v>
      </c>
      <c r="T22" s="1428">
        <f>IFERROR(VLOOKUP(CONCATENATE($B$8,"_",$B22),Data!$H$16:$BN$1015,T$11,FALSE),"")</f>
        <v>0</v>
      </c>
      <c r="U22" s="1429">
        <f>IFERROR(VLOOKUP(CONCATENATE($B$8,"_",$B22),Data!$H$16:$BN$1015,U$11,FALSE),"")</f>
        <v>0</v>
      </c>
      <c r="V22" s="1428">
        <f>IFERROR(VLOOKUP(CONCATENATE($B$8,"_",$B22),Data!$H$16:$BN$1015,V$11,FALSE),"")</f>
        <v>0</v>
      </c>
      <c r="W22" s="1428">
        <f>IFERROR(VLOOKUP(CONCATENATE($B$8,"_",$B22),Data!$H$16:$BN$1015,W$11,FALSE),"")</f>
        <v>0</v>
      </c>
      <c r="X22" s="1428">
        <f>IFERROR(VLOOKUP(CONCATENATE($B$8,"_",$B22),Data!$H$16:$BN$1015,X$11,FALSE),"")</f>
        <v>0</v>
      </c>
      <c r="Y22" s="1428">
        <f>IFERROR(VLOOKUP(CONCATENATE($B$8,"_",$B22),Data!$H$16:$BN$1015,Y$11,FALSE),"")</f>
        <v>0</v>
      </c>
      <c r="Z22" s="1429">
        <f>IFERROR(VLOOKUP(CONCATENATE($B$8,"_",$B22),Data!$H$16:$BN$1015,Z$11,FALSE),"")</f>
        <v>0</v>
      </c>
      <c r="AA22" s="1428">
        <f>IFERROR(VLOOKUP(CONCATENATE($B$8,"_",$B22),Data!$H$16:$BN$1015,AA$11,FALSE),"")</f>
        <v>0</v>
      </c>
      <c r="AB22" s="1428">
        <f>IFERROR(VLOOKUP(CONCATENATE($B$8,"_",$B22),Data!$H$16:$BN$1015,AB$11,FALSE),"")</f>
        <v>0</v>
      </c>
      <c r="AC22" s="1429">
        <f>IFERROR(VLOOKUP(CONCATENATE($B$8,"_",$B22),Data!$H$16:$BN$1015,AC$11,FALSE),"")</f>
        <v>0</v>
      </c>
      <c r="AD22" s="1428">
        <f>IFERROR(VLOOKUP(CONCATENATE($B$8,"_",$B22),Data!$H$16:$BN$1015,AD$11,FALSE),"")</f>
        <v>0</v>
      </c>
      <c r="AE22" s="1428">
        <f>IFERROR(VLOOKUP(CONCATENATE($B$8,"_",$B22),Data!$H$16:$BN$1015,AE$11,FALSE),"")</f>
        <v>0</v>
      </c>
      <c r="AF22" s="1429">
        <f>IFERROR(VLOOKUP(CONCATENATE($B$8,"_",$B22),Data!$H$16:$BN$1015,AF$11,FALSE),"")</f>
        <v>0</v>
      </c>
      <c r="AG22" s="1428">
        <f>IFERROR(VLOOKUP(CONCATENATE($B$8,"_",$B22),Data!$H$16:$BN$1015,AG$11,FALSE),"")</f>
        <v>0</v>
      </c>
      <c r="AH22" s="1428">
        <f>IFERROR(VLOOKUP(CONCATENATE($B$8,"_",$B22),Data!$H$16:$BN$1015,AH$11,FALSE),"")</f>
        <v>0</v>
      </c>
      <c r="AI22" s="1429">
        <f>IFERROR(VLOOKUP(CONCATENATE($B$8,"_",$B22),Data!$H$16:$BN$1015,AI$11,FALSE),"")</f>
        <v>0</v>
      </c>
      <c r="AJ22" s="1428">
        <f>IFERROR(VLOOKUP(CONCATENATE($B$8,"_",$B22),Data!$H$16:$BN$1015,AJ$11,FALSE),"")</f>
        <v>0</v>
      </c>
      <c r="AK22" s="1428">
        <f>IFERROR(VLOOKUP(CONCATENATE($B$8,"_",$B22),Data!$H$16:$BN$1015,AK$11,FALSE),"")</f>
        <v>0</v>
      </c>
      <c r="AL22" s="1429">
        <f>IFERROR(VLOOKUP(CONCATENATE($B$8,"_",$B22),Data!$H$16:$BN$1015,AL$11,FALSE),"")</f>
        <v>0</v>
      </c>
      <c r="AM22" s="1428">
        <f>IFERROR(VLOOKUP(CONCATENATE($B$8,"_",$B22),Data!$H$16:$BN$1015,AM$11,FALSE),"")</f>
        <v>0</v>
      </c>
      <c r="AN22" s="1428">
        <f>IFERROR(VLOOKUP(CONCATENATE($B$8,"_",$B22),Data!$H$16:$BN$1015,AN$11,FALSE),"")</f>
        <v>0</v>
      </c>
      <c r="AO22" s="1430">
        <f>IFERROR(VLOOKUP(CONCATENATE($B$8,"_",$B22),Data!$H$16:$BN$1015,AO$11,FALSE),"")</f>
        <v>0</v>
      </c>
      <c r="AP22" s="1428">
        <f>IFERROR(VLOOKUP(CONCATENATE($B$8,"_",$B22),Data!$H$16:$BN$1015,AP$11,FALSE),"")</f>
        <v>0</v>
      </c>
      <c r="AQ22" s="1428">
        <f>IFERROR(VLOOKUP(CONCATENATE($B$8,"_",$B22),Data!$H$16:$BN$1015,AQ$11,FALSE),"")</f>
        <v>0</v>
      </c>
      <c r="AR22" s="1430">
        <f>IFERROR(VLOOKUP(CONCATENATE($B$8,"_",$B22),Data!$H$16:$BN$1015,AR$11,FALSE),"")</f>
        <v>0</v>
      </c>
      <c r="AS22" s="1428">
        <f>IFERROR(VLOOKUP(CONCATENATE($B$8,"_",$B22),Data!$H$16:$BN$1015,AS$11,FALSE),"")</f>
        <v>0</v>
      </c>
      <c r="AT22" s="1428">
        <f>IFERROR(VLOOKUP(CONCATENATE($B$8,"_",$B22),Data!$H$16:$BN$1015,AT$11,FALSE),"")</f>
        <v>0</v>
      </c>
      <c r="AU22" s="1430">
        <f>IFERROR(VLOOKUP(CONCATENATE($B$8,"_",$B22),Data!$H$16:$BN$1015,AU$11,FALSE),"")</f>
        <v>0</v>
      </c>
      <c r="AV22" s="1428">
        <f>IFERROR(VLOOKUP(CONCATENATE($B$8,"_",$B22),Data!$H$16:$BN$1015,AV$11,FALSE),"")</f>
        <v>0</v>
      </c>
      <c r="AW22" s="1428">
        <f>IFERROR(VLOOKUP(CONCATENATE($B$8,"_",$B22),Data!$H$16:$BN$1015,AW$11,FALSE),"")</f>
        <v>0</v>
      </c>
      <c r="AX22" s="1430">
        <f>IFERROR(VLOOKUP(CONCATENATE($B$8,"_",$B22),Data!$H$16:$BN$1015,AX$11,FALSE),"")</f>
        <v>0</v>
      </c>
      <c r="AY22" s="1429">
        <f>IFERROR(VLOOKUP(CONCATENATE($B$8,"_",$B22),Data!$H$16:$BN$1015,AY$11,FALSE),"")</f>
        <v>0</v>
      </c>
      <c r="AZ22" s="1429">
        <f>IFERROR(VLOOKUP(CONCATENATE($B$8,"_",$B22),Data!$H$16:$BN$1015,AZ$11,FALSE),"")</f>
        <v>0</v>
      </c>
      <c r="BA22" s="1429">
        <f>IFERROR(VLOOKUP(CONCATENATE($B$8,"_",$B22),Data!$H$16:$BN$1015,BA$11,FALSE),"")</f>
        <v>0</v>
      </c>
      <c r="BB22" s="1429">
        <f>IFERROR(VLOOKUP(CONCATENATE($B$8,"_",$B22),Data!$H$16:$BN$1015,BB$11,FALSE),"")</f>
        <v>0</v>
      </c>
      <c r="BC22" s="1429">
        <f>IFERROR(VLOOKUP(CONCATENATE($B$8,"_",$B22),Data!$H$16:$BN$1015,BC$11,FALSE),"")</f>
        <v>0</v>
      </c>
      <c r="BD22" s="1431">
        <f>IFERROR(VLOOKUP(CONCATENATE($B$8,"_",$B22),Data!$H$16:$BN$1015,BD$11,FALSE),"")</f>
        <v>0</v>
      </c>
      <c r="BE22" s="1439">
        <f t="shared" si="0"/>
        <v>2009</v>
      </c>
      <c r="BF22" s="1428">
        <f>IFERROR(VLOOKUP(CONCATENATE($B$8,"_",$B22),Data!$BO$16:$ES$1015,BF$11,FALSE),"")</f>
        <v>12296278.254700819</v>
      </c>
      <c r="BG22" s="1433">
        <f>IFERROR(VLOOKUP(CONCATENATE($B$8,"_",$B22),Data!$BO$16:$ES$1015,BG$11,FALSE),"")</f>
        <v>0</v>
      </c>
      <c r="BH22" s="1435">
        <f>IFERROR(VLOOKUP(CONCATENATE($B$8,"_",$B22),Data!$BO$16:$ES$1015,BH$11,FALSE),"")</f>
        <v>0</v>
      </c>
      <c r="BI22" s="1434">
        <f>IFERROR(VLOOKUP(CONCATENATE($B$8,"_",$B22),Data!$BO$16:$ES$1015,BI$11,FALSE),"")</f>
        <v>0</v>
      </c>
      <c r="BJ22" s="1428">
        <f>IFERROR(VLOOKUP(CONCATENATE($B$8,"_",$B22),Data!$BO$16:$ES$1015,BJ$11,FALSE),"")</f>
        <v>7137983.6383096632</v>
      </c>
      <c r="BK22" s="1428">
        <f>IFERROR(VLOOKUP(CONCATENATE($B$8,"_",$B22),Data!$BO$16:$ES$1015,BK$11,FALSE),"")</f>
        <v>3615911.828781229</v>
      </c>
      <c r="BL22" s="1428">
        <f>IFERROR(VLOOKUP(CONCATENATE($B$8,"_",$B22),Data!$BO$16:$ES$1015,BL$11,FALSE),"")</f>
        <v>1542382.7876099269</v>
      </c>
      <c r="BM22" s="1433">
        <f>IFERROR(VLOOKUP(CONCATENATE($B$8,"_",$B22),Data!$BO$16:$ES$1015,BM$11,FALSE),"")</f>
        <v>0</v>
      </c>
      <c r="BN22" s="1433">
        <f>IFERROR(VLOOKUP(CONCATENATE($B$8,"_",$B22),Data!$BO$16:$ES$1015,BN$11,FALSE),"")</f>
        <v>0</v>
      </c>
      <c r="BO22" s="1433">
        <f>IFERROR(VLOOKUP(CONCATENATE($B$8,"_",$B22),Data!$BO$16:$ES$1015,BO$11,FALSE),"")</f>
        <v>0</v>
      </c>
      <c r="BP22" s="1433">
        <f>IFERROR(VLOOKUP(CONCATENATE($B$8,"_",$B22),Data!$BO$16:$ES$1015,BP$11,FALSE),"")</f>
        <v>0</v>
      </c>
      <c r="BQ22" s="1433">
        <f>IFERROR(VLOOKUP(CONCATENATE($B$8,"_",$B22),Data!$BO$16:$ES$1015,BQ$11,FALSE),"")</f>
        <v>0</v>
      </c>
      <c r="BR22" s="1434">
        <f>IFERROR(VLOOKUP(CONCATENATE($B$8,"_",$B22),Data!$BO$16:$ES$1015,BR$11,FALSE),"")</f>
        <v>0</v>
      </c>
      <c r="BS22" s="1434">
        <f>IFERROR(VLOOKUP(CONCATENATE($B$8,"_",$B22),Data!$BO$16:$ES$1015,BS$11,FALSE),"")</f>
        <v>0</v>
      </c>
      <c r="BT22" s="1434">
        <f>IFERROR(VLOOKUP(CONCATENATE($B$8,"_",$B22),Data!$BO$16:$ES$1015,BT$11,FALSE),"")</f>
        <v>0</v>
      </c>
      <c r="BU22" s="1434">
        <f>IFERROR(VLOOKUP(CONCATENATE($B$8,"_",$B22),Data!$BO$16:$ES$1015,BU$11,FALSE),"")</f>
        <v>0</v>
      </c>
      <c r="BV22" s="1434">
        <f>IFERROR(VLOOKUP(CONCATENATE($B$8,"_",$B22),Data!$BO$16:$ES$1015,BV$11,FALSE),"")</f>
        <v>0</v>
      </c>
      <c r="BW22" s="1434">
        <f>IFERROR(VLOOKUP(CONCATENATE($B$8,"_",$B22),Data!$BO$16:$ES$1015,BW$11,FALSE),"")</f>
        <v>0</v>
      </c>
      <c r="BX22" s="1434">
        <f>IFERROR(VLOOKUP(CONCATENATE($B$8,"_",$B22),Data!$BO$16:$ES$1015,BX$11,FALSE),"")</f>
        <v>0</v>
      </c>
      <c r="BY22" s="1428">
        <f>IFERROR(VLOOKUP(CONCATENATE($B$8,"_",$B22),Data!$BO$16:$ES$1015,BY$11,FALSE),"")</f>
        <v>0</v>
      </c>
      <c r="BZ22" s="1428">
        <f>IFERROR(VLOOKUP(CONCATENATE($B$8,"_",$B22),Data!$BO$16:$ES$1015,BZ$11,FALSE),"")</f>
        <v>0</v>
      </c>
      <c r="CA22" s="1428">
        <f>IFERROR(VLOOKUP(CONCATENATE($B$8,"_",$B22),Data!$BO$16:$ES$1015,CA$11,FALSE),"")</f>
        <v>0</v>
      </c>
      <c r="CB22" s="1428">
        <f>IFERROR(VLOOKUP(CONCATENATE($B$8,"_",$B22),Data!$BO$16:$ES$1015,CB$11,FALSE),"")</f>
        <v>0</v>
      </c>
      <c r="CC22" s="1428">
        <f>IFERROR(VLOOKUP(CONCATENATE($B$8,"_",$B22),Data!$BO$16:$ES$1015,CC$11,FALSE),"")</f>
        <v>0</v>
      </c>
      <c r="CD22" s="1428">
        <f>IFERROR(VLOOKUP(CONCATENATE($B$8,"_",$B22),Data!$BO$16:$ES$1015,CD$11,FALSE),"")</f>
        <v>0</v>
      </c>
      <c r="CE22" s="1428">
        <f>IFERROR(VLOOKUP(CONCATENATE($B$8,"_",$B22),Data!$BO$16:$ES$1015,CE$11,FALSE),"")</f>
        <v>0</v>
      </c>
      <c r="CF22" s="1428">
        <f>IFERROR(VLOOKUP(CONCATENATE($B$8,"_",$B22),Data!$BO$16:$ES$1015,CF$11,FALSE),"")</f>
        <v>0</v>
      </c>
      <c r="CG22" s="1428">
        <f>IFERROR(VLOOKUP(CONCATENATE($B$8,"_",$B22),Data!$BO$16:$ES$1015,CG$11,FALSE),"")</f>
        <v>0</v>
      </c>
      <c r="CH22" s="1428">
        <f>IFERROR(VLOOKUP(CONCATENATE($B$8,"_",$B22),Data!$BO$16:$ES$1015,CH$11,FALSE),"")</f>
        <v>0</v>
      </c>
      <c r="CI22" s="1428">
        <f>IFERROR(VLOOKUP(CONCATENATE($B$8,"_",$B22),Data!$BO$16:$ES$1015,CI$11,FALSE),"")</f>
        <v>0</v>
      </c>
      <c r="CJ22" s="1428">
        <f>IFERROR(VLOOKUP(CONCATENATE($B$8,"_",$B22),Data!$BO$16:$ES$1015,CJ$11,FALSE),"")</f>
        <v>0</v>
      </c>
      <c r="CK22" s="1428">
        <f>IFERROR(VLOOKUP(CONCATENATE($B$8,"_",$B22),Data!$BO$16:$ES$1015,CK$11,FALSE),"")</f>
        <v>0</v>
      </c>
      <c r="CL22" s="1428">
        <f>IFERROR(VLOOKUP(CONCATENATE($B$8,"_",$B22),Data!$BO$16:$ES$1015,CL$11,FALSE),"")</f>
        <v>0</v>
      </c>
      <c r="CM22" s="1428">
        <f>IFERROR(VLOOKUP(CONCATENATE($B$8,"_",$B22),Data!$BO$16:$ES$1015,CM$11,FALSE),"")</f>
        <v>0</v>
      </c>
      <c r="CN22" s="1428">
        <f>IFERROR(VLOOKUP(CONCATENATE($B$8,"_",$B22),Data!$BO$16:$ES$1015,CN$11,FALSE),"")</f>
        <v>0</v>
      </c>
      <c r="CO22" s="1428">
        <f>IFERROR(VLOOKUP(CONCATENATE($B$8,"_",$B22),Data!$BO$16:$ES$1015,CO$11,FALSE),"")</f>
        <v>0</v>
      </c>
      <c r="CP22" s="1433">
        <f>IFERROR(VLOOKUP(CONCATENATE($B$8,"_",$B22),Data!$BO$16:$ES$1015,CP$11,FALSE),"")</f>
        <v>0</v>
      </c>
      <c r="CQ22" s="1433">
        <f>IFERROR(VLOOKUP(CONCATENATE($B$8,"_",$B22),Data!$BO$16:$ES$1015,CQ$11,FALSE),"")</f>
        <v>0</v>
      </c>
      <c r="CR22" s="1433">
        <f>IFERROR(VLOOKUP(CONCATENATE($B$8,"_",$B22),Data!$BO$16:$ES$1015,CR$11,FALSE),"")</f>
        <v>0</v>
      </c>
      <c r="CS22" s="1433">
        <f>IFERROR(VLOOKUP(CONCATENATE($B$8,"_",$B22),Data!$BO$16:$ES$1015,CS$11,FALSE),"")</f>
        <v>0</v>
      </c>
      <c r="CT22" s="1433">
        <f>IFERROR(VLOOKUP(CONCATENATE($B$8,"_",$B22),Data!$BO$16:$ES$1015,CT$11,FALSE),"")</f>
        <v>0</v>
      </c>
      <c r="CU22" s="1433">
        <f>IFERROR(VLOOKUP(CONCATENATE($B$8,"_",$B22),Data!$BO$16:$ES$1015,CU$11,FALSE),"")</f>
        <v>0</v>
      </c>
      <c r="CV22" s="1433">
        <f>IFERROR(VLOOKUP(CONCATENATE($B$8,"_",$B22),Data!$BO$16:$ES$1015,CV$11,FALSE),"")</f>
        <v>0</v>
      </c>
      <c r="CW22" s="1433">
        <f>IFERROR(VLOOKUP(CONCATENATE($B$8,"_",$B22),Data!$BO$16:$ES$1015,CW$11,FALSE),"")</f>
        <v>0</v>
      </c>
      <c r="CX22" s="1433">
        <f>IFERROR(VLOOKUP(CONCATENATE($B$8,"_",$B22),Data!$BO$16:$ES$1015,CX$11,FALSE),"")</f>
        <v>0</v>
      </c>
      <c r="CY22" s="1433">
        <f>IFERROR(VLOOKUP(CONCATENATE($B$8,"_",$B22),Data!$BO$16:$ES$1015,CY$11,FALSE),"")</f>
        <v>0</v>
      </c>
      <c r="CZ22" s="1433">
        <f>IFERROR(VLOOKUP(CONCATENATE($B$8,"_",$B22),Data!$BO$16:$ES$1015,CZ$11,FALSE),"")</f>
        <v>0</v>
      </c>
      <c r="DA22" s="1433">
        <f>IFERROR(VLOOKUP(CONCATENATE($B$8,"_",$B22),Data!$BO$16:$ES$1015,DA$11,FALSE),"")</f>
        <v>0</v>
      </c>
      <c r="DB22" s="1433">
        <f>IFERROR(VLOOKUP(CONCATENATE($B$8,"_",$B22),Data!$BO$16:$ES$1015,DB$11,FALSE),"")</f>
        <v>0</v>
      </c>
      <c r="DC22" s="1433">
        <f>IFERROR(VLOOKUP(CONCATENATE($B$8,"_",$B22),Data!$BO$16:$ES$1015,DC$11,FALSE),"")</f>
        <v>0</v>
      </c>
      <c r="DD22" s="1433">
        <f>IFERROR(VLOOKUP(CONCATENATE($B$8,"_",$B22),Data!$BO$16:$ES$1015,DD$11,FALSE),"")</f>
        <v>0</v>
      </c>
      <c r="DE22" s="1433">
        <f>IFERROR(VLOOKUP(CONCATENATE($B$8,"_",$B22),Data!$BO$16:$ES$1015,DE$11,FALSE),"")</f>
        <v>0</v>
      </c>
      <c r="DF22" s="1433">
        <f>IFERROR(VLOOKUP(CONCATENATE($B$8,"_",$B22),Data!$BO$16:$ES$1015,DF$11,FALSE),"")</f>
        <v>0</v>
      </c>
      <c r="DG22" s="1433">
        <f>IFERROR(VLOOKUP(CONCATENATE($B$8,"_",$B22),Data!$BO$16:$ES$1015,DG$11,FALSE),"")</f>
        <v>0</v>
      </c>
      <c r="DH22" s="1433">
        <f>IFERROR(VLOOKUP(CONCATENATE($B$8,"_",$B22),Data!$BO$16:$ES$1015,DH$11,FALSE),"")</f>
        <v>0</v>
      </c>
      <c r="DI22" s="1433">
        <f>IFERROR(VLOOKUP(CONCATENATE($B$8,"_",$B22),Data!$BO$16:$ES$1015,DI$11,FALSE),"")</f>
        <v>0</v>
      </c>
      <c r="DJ22" s="1433">
        <f>IFERROR(VLOOKUP(CONCATENATE($B$8,"_",$B22),Data!$BO$16:$ES$1015,DJ$11,FALSE),"")</f>
        <v>0</v>
      </c>
      <c r="DK22" s="1433">
        <f>IFERROR(VLOOKUP(CONCATENATE($B$8,"_",$B22),Data!$BO$16:$ES$1015,DK$11,FALSE),"")</f>
        <v>0</v>
      </c>
      <c r="DL22" s="1435">
        <f>IFERROR(VLOOKUP(CONCATENATE($B$8,"_",$B22),Data!$BO$16:$ES$1015,DL$11,FALSE),"")</f>
        <v>0</v>
      </c>
      <c r="DM22" s="1434">
        <f>IFERROR(VLOOKUP(CONCATENATE($B$8,"_",$B22),Data!$BO$16:$ES$1015,DM$11,FALSE),"")</f>
        <v>0</v>
      </c>
      <c r="DN22" s="1434">
        <f>IFERROR(VLOOKUP(CONCATENATE($B$8,"_",$B22),Data!$BO$16:$ES$1015,DN$11,FALSE),"")</f>
        <v>0</v>
      </c>
      <c r="DO22" s="1434">
        <f>IFERROR(VLOOKUP(CONCATENATE($B$8,"_",$B22),Data!$BO$16:$ES$1015,DO$11,FALSE),"")</f>
        <v>0</v>
      </c>
      <c r="DP22" s="1434">
        <f>IFERROR(VLOOKUP(CONCATENATE($B$8,"_",$B22),Data!$BO$16:$ES$1015,DP$11,FALSE),"")</f>
        <v>0</v>
      </c>
      <c r="DQ22" s="1434">
        <f>IFERROR(VLOOKUP(CONCATENATE($B$8,"_",$B22),Data!$BO$16:$ES$1015,DQ$11,FALSE),"")</f>
        <v>0</v>
      </c>
      <c r="DR22" s="1434">
        <f>IFERROR(VLOOKUP(CONCATENATE($B$8,"_",$B22),Data!$BO$16:$ES$1015,DR$11,FALSE),"")</f>
        <v>0</v>
      </c>
      <c r="DS22" s="1434">
        <f>IFERROR(VLOOKUP(CONCATENATE($B$8,"_",$B22),Data!$BO$16:$ES$1015,DS$11,FALSE),"")</f>
        <v>0</v>
      </c>
      <c r="DT22" s="1434">
        <f>IFERROR(VLOOKUP(CONCATENATE($B$8,"_",$B22),Data!$BO$16:$ES$1015,DT$11,FALSE),"")</f>
        <v>0</v>
      </c>
      <c r="DU22" s="1434">
        <f>IFERROR(VLOOKUP(CONCATENATE($B$8,"_",$B22),Data!$BO$16:$ES$1015,DU$11,FALSE),"")</f>
        <v>0</v>
      </c>
      <c r="DV22" s="1434">
        <f>IFERROR(VLOOKUP(CONCATENATE($B$8,"_",$B22),Data!$BO$16:$ES$1015,DV$11,FALSE),"")</f>
        <v>0</v>
      </c>
      <c r="DW22" s="1434">
        <f>IFERROR(VLOOKUP(CONCATENATE($B$8,"_",$B22),Data!$BO$16:$ES$1015,DW$11,FALSE),"")</f>
        <v>0</v>
      </c>
      <c r="DX22" s="1434">
        <f>IFERROR(VLOOKUP(CONCATENATE($B$8,"_",$B22),Data!$BO$16:$ES$1015,DX$11,FALSE),"")</f>
        <v>0</v>
      </c>
      <c r="DY22" s="1434">
        <f>IFERROR(VLOOKUP(CONCATENATE($B$8,"_",$B22),Data!$BO$16:$ES$1015,DY$11,FALSE),"")</f>
        <v>0</v>
      </c>
      <c r="DZ22" s="1434">
        <f>IFERROR(VLOOKUP(CONCATENATE($B$8,"_",$B22),Data!$BO$16:$ES$1015,DZ$11,FALSE),"")</f>
        <v>0</v>
      </c>
      <c r="EA22" s="1434">
        <f>IFERROR(VLOOKUP(CONCATENATE($B$8,"_",$B22),Data!$BO$16:$ES$1015,EA$11,FALSE),"")</f>
        <v>0</v>
      </c>
      <c r="EB22" s="1434">
        <f>IFERROR(VLOOKUP(CONCATENATE($B$8,"_",$B22),Data!$BO$16:$ES$1015,EB$11,FALSE),"")</f>
        <v>0</v>
      </c>
      <c r="EC22" s="1434">
        <f>IFERROR(VLOOKUP(CONCATENATE($B$8,"_",$B22),Data!$BO$16:$ES$1015,EC$11,FALSE),"")</f>
        <v>0</v>
      </c>
      <c r="ED22" s="1434">
        <f>IFERROR(VLOOKUP(CONCATENATE($B$8,"_",$B22),Data!$BO$16:$ES$1015,ED$11,FALSE),"")</f>
        <v>0</v>
      </c>
      <c r="EE22" s="1434">
        <f>IFERROR(VLOOKUP(CONCATENATE($B$8,"_",$B22),Data!$BO$16:$ES$1015,EE$11,FALSE),"")</f>
        <v>0</v>
      </c>
      <c r="EF22" s="1434">
        <f>IFERROR(VLOOKUP(CONCATENATE($B$8,"_",$B22),Data!$BO$16:$ES$1015,EF$11,FALSE),"")</f>
        <v>0</v>
      </c>
      <c r="EG22" s="1434">
        <f>IFERROR(VLOOKUP(CONCATENATE($B$8,"_",$B22),Data!$BO$16:$ES$1015,EG$11,FALSE),"")</f>
        <v>0</v>
      </c>
      <c r="EH22" s="1434">
        <f>IFERROR(VLOOKUP(CONCATENATE($B$8,"_",$B22),Data!$BO$16:$ES$1015,EH$11,FALSE),"")</f>
        <v>0</v>
      </c>
      <c r="EI22" s="1434">
        <f>IFERROR(VLOOKUP(CONCATENATE($B$8,"_",$B22),Data!$BO$16:$ES$1015,EI$11,FALSE),"")</f>
        <v>0</v>
      </c>
      <c r="EK22" s="1437"/>
    </row>
    <row r="23" spans="1:141" s="1441" customFormat="1" ht="15" customHeight="1">
      <c r="A23" s="1438">
        <v>10</v>
      </c>
      <c r="B23" s="1738">
        <f>IF($B$13+A23&lt;=Progress!$D$18,$B$13+A23,"")</f>
        <v>2010</v>
      </c>
      <c r="C23" s="1737">
        <f>IFERROR(VLOOKUP(CONCATENATE($B$8,"_",$B23),Data!$H$16:$BN$1015,C$11,FALSE),"")</f>
        <v>0</v>
      </c>
      <c r="D23" s="1428">
        <f>IFERROR(VLOOKUP(CONCATENATE($B$8,"_",$B23),Data!$H$16:$BN$1015,D$11,FALSE),"")</f>
        <v>0</v>
      </c>
      <c r="E23" s="1429">
        <f>IFERROR(VLOOKUP(CONCATENATE($B$8,"_",$B23),Data!$H$16:$BN$1015,E$11,FALSE),"")</f>
        <v>0</v>
      </c>
      <c r="F23" s="1428">
        <f>IFERROR(VLOOKUP(CONCATENATE($B$8,"_",$B23),Data!$H$16:$BN$1015,F$11,FALSE),"")</f>
        <v>0</v>
      </c>
      <c r="G23" s="1428">
        <f>IFERROR(VLOOKUP(CONCATENATE($B$8,"_",$B23),Data!$H$16:$BN$1015,G$11,FALSE),"")</f>
        <v>0</v>
      </c>
      <c r="H23" s="1429">
        <f>IFERROR(VLOOKUP(CONCATENATE($B$8,"_",$B23),Data!$H$16:$BN$1015,H$11,FALSE),"")</f>
        <v>0</v>
      </c>
      <c r="I23" s="1428">
        <f>IFERROR(VLOOKUP(CONCATENATE($B$8,"_",$B23),Data!$H$16:$BN$1015,I$11,FALSE),"")</f>
        <v>0</v>
      </c>
      <c r="J23" s="1428">
        <f>IFERROR(VLOOKUP(CONCATENATE($B$8,"_",$B23),Data!$H$16:$BN$1015,J$11,FALSE),"")</f>
        <v>0</v>
      </c>
      <c r="K23" s="1429">
        <f>IFERROR(VLOOKUP(CONCATENATE($B$8,"_",$B23),Data!$H$16:$BN$1015,K$11,FALSE),"")</f>
        <v>0</v>
      </c>
      <c r="L23" s="1428">
        <f>IFERROR(VLOOKUP(CONCATENATE($B$8,"_",$B23),Data!$H$16:$BN$1015,L$11,FALSE),"")</f>
        <v>0</v>
      </c>
      <c r="M23" s="1428">
        <f>IFERROR(VLOOKUP(CONCATENATE($B$8,"_",$B23),Data!$H$16:$BN$1015,M$11,FALSE),"")</f>
        <v>0</v>
      </c>
      <c r="N23" s="1429">
        <f>IFERROR(VLOOKUP(CONCATENATE($B$8,"_",$B23),Data!$H$16:$BN$1015,N$11,FALSE),"")</f>
        <v>0</v>
      </c>
      <c r="O23" s="1430">
        <f>IFERROR(VLOOKUP(CONCATENATE($B$8,"_",$B23),Data!$H$16:$BN$1015,O$11,FALSE),"")</f>
        <v>0</v>
      </c>
      <c r="P23" s="1428">
        <f>IFERROR(VLOOKUP(CONCATENATE($B$8,"_",$B23),Data!$H$16:$BN$1015,P$11,FALSE),"")</f>
        <v>0</v>
      </c>
      <c r="Q23" s="1428">
        <f>IFERROR(VLOOKUP(CONCATENATE($B$8,"_",$B23),Data!$H$16:$BN$1015,Q$11,FALSE),"")</f>
        <v>0</v>
      </c>
      <c r="R23" s="1429">
        <f>IFERROR(VLOOKUP(CONCATENATE($B$8,"_",$B23),Data!$H$16:$BN$1015,R$11,FALSE),"")</f>
        <v>0</v>
      </c>
      <c r="S23" s="1428">
        <f>IFERROR(VLOOKUP(CONCATENATE($B$8,"_",$B23),Data!$H$16:$BN$1015,S$11,FALSE),"")</f>
        <v>0</v>
      </c>
      <c r="T23" s="1428">
        <f>IFERROR(VLOOKUP(CONCATENATE($B$8,"_",$B23),Data!$H$16:$BN$1015,T$11,FALSE),"")</f>
        <v>0</v>
      </c>
      <c r="U23" s="1429">
        <f>IFERROR(VLOOKUP(CONCATENATE($B$8,"_",$B23),Data!$H$16:$BN$1015,U$11,FALSE),"")</f>
        <v>0</v>
      </c>
      <c r="V23" s="1428">
        <f>IFERROR(VLOOKUP(CONCATENATE($B$8,"_",$B23),Data!$H$16:$BN$1015,V$11,FALSE),"")</f>
        <v>0</v>
      </c>
      <c r="W23" s="1428">
        <f>IFERROR(VLOOKUP(CONCATENATE($B$8,"_",$B23),Data!$H$16:$BN$1015,W$11,FALSE),"")</f>
        <v>0</v>
      </c>
      <c r="X23" s="1428">
        <f>IFERROR(VLOOKUP(CONCATENATE($B$8,"_",$B23),Data!$H$16:$BN$1015,X$11,FALSE),"")</f>
        <v>0</v>
      </c>
      <c r="Y23" s="1428">
        <f>IFERROR(VLOOKUP(CONCATENATE($B$8,"_",$B23),Data!$H$16:$BN$1015,Y$11,FALSE),"")</f>
        <v>0</v>
      </c>
      <c r="Z23" s="1429">
        <f>IFERROR(VLOOKUP(CONCATENATE($B$8,"_",$B23),Data!$H$16:$BN$1015,Z$11,FALSE),"")</f>
        <v>0</v>
      </c>
      <c r="AA23" s="1428">
        <f>IFERROR(VLOOKUP(CONCATENATE($B$8,"_",$B23),Data!$H$16:$BN$1015,AA$11,FALSE),"")</f>
        <v>0</v>
      </c>
      <c r="AB23" s="1428">
        <f>IFERROR(VLOOKUP(CONCATENATE($B$8,"_",$B23),Data!$H$16:$BN$1015,AB$11,FALSE),"")</f>
        <v>0</v>
      </c>
      <c r="AC23" s="1429">
        <f>IFERROR(VLOOKUP(CONCATENATE($B$8,"_",$B23),Data!$H$16:$BN$1015,AC$11,FALSE),"")</f>
        <v>0</v>
      </c>
      <c r="AD23" s="1428">
        <f>IFERROR(VLOOKUP(CONCATENATE($B$8,"_",$B23),Data!$H$16:$BN$1015,AD$11,FALSE),"")</f>
        <v>0</v>
      </c>
      <c r="AE23" s="1428">
        <f>IFERROR(VLOOKUP(CONCATENATE($B$8,"_",$B23),Data!$H$16:$BN$1015,AE$11,FALSE),"")</f>
        <v>0</v>
      </c>
      <c r="AF23" s="1429">
        <f>IFERROR(VLOOKUP(CONCATENATE($B$8,"_",$B23),Data!$H$16:$BN$1015,AF$11,FALSE),"")</f>
        <v>0</v>
      </c>
      <c r="AG23" s="1428">
        <f>IFERROR(VLOOKUP(CONCATENATE($B$8,"_",$B23),Data!$H$16:$BN$1015,AG$11,FALSE),"")</f>
        <v>0</v>
      </c>
      <c r="AH23" s="1428">
        <f>IFERROR(VLOOKUP(CONCATENATE($B$8,"_",$B23),Data!$H$16:$BN$1015,AH$11,FALSE),"")</f>
        <v>0</v>
      </c>
      <c r="AI23" s="1429">
        <f>IFERROR(VLOOKUP(CONCATENATE($B$8,"_",$B23),Data!$H$16:$BN$1015,AI$11,FALSE),"")</f>
        <v>0</v>
      </c>
      <c r="AJ23" s="1428">
        <f>IFERROR(VLOOKUP(CONCATENATE($B$8,"_",$B23),Data!$H$16:$BN$1015,AJ$11,FALSE),"")</f>
        <v>0</v>
      </c>
      <c r="AK23" s="1428">
        <f>IFERROR(VLOOKUP(CONCATENATE($B$8,"_",$B23),Data!$H$16:$BN$1015,AK$11,FALSE),"")</f>
        <v>0</v>
      </c>
      <c r="AL23" s="1429">
        <f>IFERROR(VLOOKUP(CONCATENATE($B$8,"_",$B23),Data!$H$16:$BN$1015,AL$11,FALSE),"")</f>
        <v>0</v>
      </c>
      <c r="AM23" s="1428">
        <f>IFERROR(VLOOKUP(CONCATENATE($B$8,"_",$B23),Data!$H$16:$BN$1015,AM$11,FALSE),"")</f>
        <v>0</v>
      </c>
      <c r="AN23" s="1428">
        <f>IFERROR(VLOOKUP(CONCATENATE($B$8,"_",$B23),Data!$H$16:$BN$1015,AN$11,FALSE),"")</f>
        <v>0</v>
      </c>
      <c r="AO23" s="1430">
        <f>IFERROR(VLOOKUP(CONCATENATE($B$8,"_",$B23),Data!$H$16:$BN$1015,AO$11,FALSE),"")</f>
        <v>0</v>
      </c>
      <c r="AP23" s="1428">
        <f>IFERROR(VLOOKUP(CONCATENATE($B$8,"_",$B23),Data!$H$16:$BN$1015,AP$11,FALSE),"")</f>
        <v>0</v>
      </c>
      <c r="AQ23" s="1428">
        <f>IFERROR(VLOOKUP(CONCATENATE($B$8,"_",$B23),Data!$H$16:$BN$1015,AQ$11,FALSE),"")</f>
        <v>0</v>
      </c>
      <c r="AR23" s="1430">
        <f>IFERROR(VLOOKUP(CONCATENATE($B$8,"_",$B23),Data!$H$16:$BN$1015,AR$11,FALSE),"")</f>
        <v>0</v>
      </c>
      <c r="AS23" s="1428">
        <f>IFERROR(VLOOKUP(CONCATENATE($B$8,"_",$B23),Data!$H$16:$BN$1015,AS$11,FALSE),"")</f>
        <v>0</v>
      </c>
      <c r="AT23" s="1428">
        <f>IFERROR(VLOOKUP(CONCATENATE($B$8,"_",$B23),Data!$H$16:$BN$1015,AT$11,FALSE),"")</f>
        <v>0</v>
      </c>
      <c r="AU23" s="1430">
        <f>IFERROR(VLOOKUP(CONCATENATE($B$8,"_",$B23),Data!$H$16:$BN$1015,AU$11,FALSE),"")</f>
        <v>0</v>
      </c>
      <c r="AV23" s="1428">
        <f>IFERROR(VLOOKUP(CONCATENATE($B$8,"_",$B23),Data!$H$16:$BN$1015,AV$11,FALSE),"")</f>
        <v>0</v>
      </c>
      <c r="AW23" s="1428">
        <f>IFERROR(VLOOKUP(CONCATENATE($B$8,"_",$B23),Data!$H$16:$BN$1015,AW$11,FALSE),"")</f>
        <v>0</v>
      </c>
      <c r="AX23" s="1430">
        <f>IFERROR(VLOOKUP(CONCATENATE($B$8,"_",$B23),Data!$H$16:$BN$1015,AX$11,FALSE),"")</f>
        <v>0</v>
      </c>
      <c r="AY23" s="1429">
        <f>IFERROR(VLOOKUP(CONCATENATE($B$8,"_",$B23),Data!$H$16:$BN$1015,AY$11,FALSE),"")</f>
        <v>0</v>
      </c>
      <c r="AZ23" s="1429">
        <f>IFERROR(VLOOKUP(CONCATENATE($B$8,"_",$B23),Data!$H$16:$BN$1015,AZ$11,FALSE),"")</f>
        <v>0</v>
      </c>
      <c r="BA23" s="1429">
        <f>IFERROR(VLOOKUP(CONCATENATE($B$8,"_",$B23),Data!$H$16:$BN$1015,BA$11,FALSE),"")</f>
        <v>0</v>
      </c>
      <c r="BB23" s="1429">
        <f>IFERROR(VLOOKUP(CONCATENATE($B$8,"_",$B23),Data!$H$16:$BN$1015,BB$11,FALSE),"")</f>
        <v>0</v>
      </c>
      <c r="BC23" s="1429">
        <f>IFERROR(VLOOKUP(CONCATENATE($B$8,"_",$B23),Data!$H$16:$BN$1015,BC$11,FALSE),"")</f>
        <v>0</v>
      </c>
      <c r="BD23" s="1431">
        <f>IFERROR(VLOOKUP(CONCATENATE($B$8,"_",$B23),Data!$H$16:$BN$1015,BD$11,FALSE),"")</f>
        <v>0</v>
      </c>
      <c r="BE23" s="1439">
        <f t="shared" si="0"/>
        <v>2010</v>
      </c>
      <c r="BF23" s="1428">
        <f>IFERROR(VLOOKUP(CONCATENATE($B$8,"_",$B23),Data!$BO$16:$ES$1015,BF$11,FALSE),"")</f>
        <v>12919018.780264398</v>
      </c>
      <c r="BG23" s="1433">
        <f>IFERROR(VLOOKUP(CONCATENATE($B$8,"_",$B23),Data!$BO$16:$ES$1015,BG$11,FALSE),"")</f>
        <v>0</v>
      </c>
      <c r="BH23" s="1435">
        <f>IFERROR(VLOOKUP(CONCATENATE($B$8,"_",$B23),Data!$BO$16:$ES$1015,BH$11,FALSE),"")</f>
        <v>0</v>
      </c>
      <c r="BI23" s="1434">
        <f>IFERROR(VLOOKUP(CONCATENATE($B$8,"_",$B23),Data!$BO$16:$ES$1015,BI$11,FALSE),"")</f>
        <v>0</v>
      </c>
      <c r="BJ23" s="1428">
        <f>IFERROR(VLOOKUP(CONCATENATE($B$8,"_",$B23),Data!$BO$16:$ES$1015,BJ$11,FALSE),"")</f>
        <v>7235582.1049556658</v>
      </c>
      <c r="BK23" s="1428">
        <f>IFERROR(VLOOKUP(CONCATENATE($B$8,"_",$B23),Data!$BO$16:$ES$1015,BK$11,FALSE),"")</f>
        <v>4197498.4725974631</v>
      </c>
      <c r="BL23" s="1428">
        <f>IFERROR(VLOOKUP(CONCATENATE($B$8,"_",$B23),Data!$BO$16:$ES$1015,BL$11,FALSE),"")</f>
        <v>1485938.2027112674</v>
      </c>
      <c r="BM23" s="1433">
        <f>IFERROR(VLOOKUP(CONCATENATE($B$8,"_",$B23),Data!$BO$16:$ES$1015,BM$11,FALSE),"")</f>
        <v>0</v>
      </c>
      <c r="BN23" s="1433">
        <f>IFERROR(VLOOKUP(CONCATENATE($B$8,"_",$B23),Data!$BO$16:$ES$1015,BN$11,FALSE),"")</f>
        <v>0</v>
      </c>
      <c r="BO23" s="1433">
        <f>IFERROR(VLOOKUP(CONCATENATE($B$8,"_",$B23),Data!$BO$16:$ES$1015,BO$11,FALSE),"")</f>
        <v>0</v>
      </c>
      <c r="BP23" s="1433">
        <f>IFERROR(VLOOKUP(CONCATENATE($B$8,"_",$B23),Data!$BO$16:$ES$1015,BP$11,FALSE),"")</f>
        <v>0</v>
      </c>
      <c r="BQ23" s="1433">
        <f>IFERROR(VLOOKUP(CONCATENATE($B$8,"_",$B23),Data!$BO$16:$ES$1015,BQ$11,FALSE),"")</f>
        <v>0</v>
      </c>
      <c r="BR23" s="1434">
        <f>IFERROR(VLOOKUP(CONCATENATE($B$8,"_",$B23),Data!$BO$16:$ES$1015,BR$11,FALSE),"")</f>
        <v>0</v>
      </c>
      <c r="BS23" s="1434">
        <f>IFERROR(VLOOKUP(CONCATENATE($B$8,"_",$B23),Data!$BO$16:$ES$1015,BS$11,FALSE),"")</f>
        <v>0</v>
      </c>
      <c r="BT23" s="1434">
        <f>IFERROR(VLOOKUP(CONCATENATE($B$8,"_",$B23),Data!$BO$16:$ES$1015,BT$11,FALSE),"")</f>
        <v>0</v>
      </c>
      <c r="BU23" s="1434">
        <f>IFERROR(VLOOKUP(CONCATENATE($B$8,"_",$B23),Data!$BO$16:$ES$1015,BU$11,FALSE),"")</f>
        <v>0</v>
      </c>
      <c r="BV23" s="1434">
        <f>IFERROR(VLOOKUP(CONCATENATE($B$8,"_",$B23),Data!$BO$16:$ES$1015,BV$11,FALSE),"")</f>
        <v>0</v>
      </c>
      <c r="BW23" s="1434">
        <f>IFERROR(VLOOKUP(CONCATENATE($B$8,"_",$B23),Data!$BO$16:$ES$1015,BW$11,FALSE),"")</f>
        <v>0</v>
      </c>
      <c r="BX23" s="1434">
        <f>IFERROR(VLOOKUP(CONCATENATE($B$8,"_",$B23),Data!$BO$16:$ES$1015,BX$11,FALSE),"")</f>
        <v>0</v>
      </c>
      <c r="BY23" s="1428">
        <f>IFERROR(VLOOKUP(CONCATENATE($B$8,"_",$B23),Data!$BO$16:$ES$1015,BY$11,FALSE),"")</f>
        <v>0</v>
      </c>
      <c r="BZ23" s="1428">
        <f>IFERROR(VLOOKUP(CONCATENATE($B$8,"_",$B23),Data!$BO$16:$ES$1015,BZ$11,FALSE),"")</f>
        <v>0</v>
      </c>
      <c r="CA23" s="1428">
        <f>IFERROR(VLOOKUP(CONCATENATE($B$8,"_",$B23),Data!$BO$16:$ES$1015,CA$11,FALSE),"")</f>
        <v>0</v>
      </c>
      <c r="CB23" s="1428">
        <f>IFERROR(VLOOKUP(CONCATENATE($B$8,"_",$B23),Data!$BO$16:$ES$1015,CB$11,FALSE),"")</f>
        <v>0</v>
      </c>
      <c r="CC23" s="1428">
        <f>IFERROR(VLOOKUP(CONCATENATE($B$8,"_",$B23),Data!$BO$16:$ES$1015,CC$11,FALSE),"")</f>
        <v>0</v>
      </c>
      <c r="CD23" s="1428">
        <f>IFERROR(VLOOKUP(CONCATENATE($B$8,"_",$B23),Data!$BO$16:$ES$1015,CD$11,FALSE),"")</f>
        <v>0</v>
      </c>
      <c r="CE23" s="1428">
        <f>IFERROR(VLOOKUP(CONCATENATE($B$8,"_",$B23),Data!$BO$16:$ES$1015,CE$11,FALSE),"")</f>
        <v>0</v>
      </c>
      <c r="CF23" s="1428">
        <f>IFERROR(VLOOKUP(CONCATENATE($B$8,"_",$B23),Data!$BO$16:$ES$1015,CF$11,FALSE),"")</f>
        <v>0</v>
      </c>
      <c r="CG23" s="1428">
        <f>IFERROR(VLOOKUP(CONCATENATE($B$8,"_",$B23),Data!$BO$16:$ES$1015,CG$11,FALSE),"")</f>
        <v>0</v>
      </c>
      <c r="CH23" s="1428">
        <f>IFERROR(VLOOKUP(CONCATENATE($B$8,"_",$B23),Data!$BO$16:$ES$1015,CH$11,FALSE),"")</f>
        <v>0</v>
      </c>
      <c r="CI23" s="1428">
        <f>IFERROR(VLOOKUP(CONCATENATE($B$8,"_",$B23),Data!$BO$16:$ES$1015,CI$11,FALSE),"")</f>
        <v>0</v>
      </c>
      <c r="CJ23" s="1428">
        <f>IFERROR(VLOOKUP(CONCATENATE($B$8,"_",$B23),Data!$BO$16:$ES$1015,CJ$11,FALSE),"")</f>
        <v>0</v>
      </c>
      <c r="CK23" s="1428">
        <f>IFERROR(VLOOKUP(CONCATENATE($B$8,"_",$B23),Data!$BO$16:$ES$1015,CK$11,FALSE),"")</f>
        <v>0</v>
      </c>
      <c r="CL23" s="1428">
        <f>IFERROR(VLOOKUP(CONCATENATE($B$8,"_",$B23),Data!$BO$16:$ES$1015,CL$11,FALSE),"")</f>
        <v>0</v>
      </c>
      <c r="CM23" s="1428">
        <f>IFERROR(VLOOKUP(CONCATENATE($B$8,"_",$B23),Data!$BO$16:$ES$1015,CM$11,FALSE),"")</f>
        <v>0</v>
      </c>
      <c r="CN23" s="1428">
        <f>IFERROR(VLOOKUP(CONCATENATE($B$8,"_",$B23),Data!$BO$16:$ES$1015,CN$11,FALSE),"")</f>
        <v>0</v>
      </c>
      <c r="CO23" s="1428">
        <f>IFERROR(VLOOKUP(CONCATENATE($B$8,"_",$B23),Data!$BO$16:$ES$1015,CO$11,FALSE),"")</f>
        <v>0</v>
      </c>
      <c r="CP23" s="1433">
        <f>IFERROR(VLOOKUP(CONCATENATE($B$8,"_",$B23),Data!$BO$16:$ES$1015,CP$11,FALSE),"")</f>
        <v>0</v>
      </c>
      <c r="CQ23" s="1433">
        <f>IFERROR(VLOOKUP(CONCATENATE($B$8,"_",$B23),Data!$BO$16:$ES$1015,CQ$11,FALSE),"")</f>
        <v>0</v>
      </c>
      <c r="CR23" s="1433">
        <f>IFERROR(VLOOKUP(CONCATENATE($B$8,"_",$B23),Data!$BO$16:$ES$1015,CR$11,FALSE),"")</f>
        <v>0</v>
      </c>
      <c r="CS23" s="1433">
        <f>IFERROR(VLOOKUP(CONCATENATE($B$8,"_",$B23),Data!$BO$16:$ES$1015,CS$11,FALSE),"")</f>
        <v>0</v>
      </c>
      <c r="CT23" s="1433">
        <f>IFERROR(VLOOKUP(CONCATENATE($B$8,"_",$B23),Data!$BO$16:$ES$1015,CT$11,FALSE),"")</f>
        <v>0</v>
      </c>
      <c r="CU23" s="1433">
        <f>IFERROR(VLOOKUP(CONCATENATE($B$8,"_",$B23),Data!$BO$16:$ES$1015,CU$11,FALSE),"")</f>
        <v>0</v>
      </c>
      <c r="CV23" s="1433">
        <f>IFERROR(VLOOKUP(CONCATENATE($B$8,"_",$B23),Data!$BO$16:$ES$1015,CV$11,FALSE),"")</f>
        <v>0</v>
      </c>
      <c r="CW23" s="1433">
        <f>IFERROR(VLOOKUP(CONCATENATE($B$8,"_",$B23),Data!$BO$16:$ES$1015,CW$11,FALSE),"")</f>
        <v>0</v>
      </c>
      <c r="CX23" s="1433">
        <f>IFERROR(VLOOKUP(CONCATENATE($B$8,"_",$B23),Data!$BO$16:$ES$1015,CX$11,FALSE),"")</f>
        <v>0</v>
      </c>
      <c r="CY23" s="1433">
        <f>IFERROR(VLOOKUP(CONCATENATE($B$8,"_",$B23),Data!$BO$16:$ES$1015,CY$11,FALSE),"")</f>
        <v>0</v>
      </c>
      <c r="CZ23" s="1433">
        <f>IFERROR(VLOOKUP(CONCATENATE($B$8,"_",$B23),Data!$BO$16:$ES$1015,CZ$11,FALSE),"")</f>
        <v>0</v>
      </c>
      <c r="DA23" s="1433">
        <f>IFERROR(VLOOKUP(CONCATENATE($B$8,"_",$B23),Data!$BO$16:$ES$1015,DA$11,FALSE),"")</f>
        <v>0</v>
      </c>
      <c r="DB23" s="1433">
        <f>IFERROR(VLOOKUP(CONCATENATE($B$8,"_",$B23),Data!$BO$16:$ES$1015,DB$11,FALSE),"")</f>
        <v>0</v>
      </c>
      <c r="DC23" s="1433">
        <f>IFERROR(VLOOKUP(CONCATENATE($B$8,"_",$B23),Data!$BO$16:$ES$1015,DC$11,FALSE),"")</f>
        <v>0</v>
      </c>
      <c r="DD23" s="1433">
        <f>IFERROR(VLOOKUP(CONCATENATE($B$8,"_",$B23),Data!$BO$16:$ES$1015,DD$11,FALSE),"")</f>
        <v>0</v>
      </c>
      <c r="DE23" s="1433">
        <f>IFERROR(VLOOKUP(CONCATENATE($B$8,"_",$B23),Data!$BO$16:$ES$1015,DE$11,FALSE),"")</f>
        <v>0</v>
      </c>
      <c r="DF23" s="1433">
        <f>IFERROR(VLOOKUP(CONCATENATE($B$8,"_",$B23),Data!$BO$16:$ES$1015,DF$11,FALSE),"")</f>
        <v>0</v>
      </c>
      <c r="DG23" s="1433">
        <f>IFERROR(VLOOKUP(CONCATENATE($B$8,"_",$B23),Data!$BO$16:$ES$1015,DG$11,FALSE),"")</f>
        <v>0</v>
      </c>
      <c r="DH23" s="1433">
        <f>IFERROR(VLOOKUP(CONCATENATE($B$8,"_",$B23),Data!$BO$16:$ES$1015,DH$11,FALSE),"")</f>
        <v>0</v>
      </c>
      <c r="DI23" s="1433">
        <f>IFERROR(VLOOKUP(CONCATENATE($B$8,"_",$B23),Data!$BO$16:$ES$1015,DI$11,FALSE),"")</f>
        <v>0</v>
      </c>
      <c r="DJ23" s="1433">
        <f>IFERROR(VLOOKUP(CONCATENATE($B$8,"_",$B23),Data!$BO$16:$ES$1015,DJ$11,FALSE),"")</f>
        <v>0</v>
      </c>
      <c r="DK23" s="1433">
        <f>IFERROR(VLOOKUP(CONCATENATE($B$8,"_",$B23),Data!$BO$16:$ES$1015,DK$11,FALSE),"")</f>
        <v>0</v>
      </c>
      <c r="DL23" s="1435">
        <f>IFERROR(VLOOKUP(CONCATENATE($B$8,"_",$B23),Data!$BO$16:$ES$1015,DL$11,FALSE),"")</f>
        <v>0</v>
      </c>
      <c r="DM23" s="1434">
        <f>IFERROR(VLOOKUP(CONCATENATE($B$8,"_",$B23),Data!$BO$16:$ES$1015,DM$11,FALSE),"")</f>
        <v>0</v>
      </c>
      <c r="DN23" s="1434">
        <f>IFERROR(VLOOKUP(CONCATENATE($B$8,"_",$B23),Data!$BO$16:$ES$1015,DN$11,FALSE),"")</f>
        <v>0</v>
      </c>
      <c r="DO23" s="1434">
        <f>IFERROR(VLOOKUP(CONCATENATE($B$8,"_",$B23),Data!$BO$16:$ES$1015,DO$11,FALSE),"")</f>
        <v>0</v>
      </c>
      <c r="DP23" s="1434">
        <f>IFERROR(VLOOKUP(CONCATENATE($B$8,"_",$B23),Data!$BO$16:$ES$1015,DP$11,FALSE),"")</f>
        <v>0</v>
      </c>
      <c r="DQ23" s="1434">
        <f>IFERROR(VLOOKUP(CONCATENATE($B$8,"_",$B23),Data!$BO$16:$ES$1015,DQ$11,FALSE),"")</f>
        <v>0</v>
      </c>
      <c r="DR23" s="1434">
        <f>IFERROR(VLOOKUP(CONCATENATE($B$8,"_",$B23),Data!$BO$16:$ES$1015,DR$11,FALSE),"")</f>
        <v>0</v>
      </c>
      <c r="DS23" s="1434">
        <f>IFERROR(VLOOKUP(CONCATENATE($B$8,"_",$B23),Data!$BO$16:$ES$1015,DS$11,FALSE),"")</f>
        <v>0</v>
      </c>
      <c r="DT23" s="1434">
        <f>IFERROR(VLOOKUP(CONCATENATE($B$8,"_",$B23),Data!$BO$16:$ES$1015,DT$11,FALSE),"")</f>
        <v>0</v>
      </c>
      <c r="DU23" s="1434">
        <f>IFERROR(VLOOKUP(CONCATENATE($B$8,"_",$B23),Data!$BO$16:$ES$1015,DU$11,FALSE),"")</f>
        <v>0</v>
      </c>
      <c r="DV23" s="1434">
        <f>IFERROR(VLOOKUP(CONCATENATE($B$8,"_",$B23),Data!$BO$16:$ES$1015,DV$11,FALSE),"")</f>
        <v>0</v>
      </c>
      <c r="DW23" s="1434">
        <f>IFERROR(VLOOKUP(CONCATENATE($B$8,"_",$B23),Data!$BO$16:$ES$1015,DW$11,FALSE),"")</f>
        <v>0</v>
      </c>
      <c r="DX23" s="1434">
        <f>IFERROR(VLOOKUP(CONCATENATE($B$8,"_",$B23),Data!$BO$16:$ES$1015,DX$11,FALSE),"")</f>
        <v>0</v>
      </c>
      <c r="DY23" s="1434">
        <f>IFERROR(VLOOKUP(CONCATENATE($B$8,"_",$B23),Data!$BO$16:$ES$1015,DY$11,FALSE),"")</f>
        <v>0</v>
      </c>
      <c r="DZ23" s="1434">
        <f>IFERROR(VLOOKUP(CONCATENATE($B$8,"_",$B23),Data!$BO$16:$ES$1015,DZ$11,FALSE),"")</f>
        <v>0</v>
      </c>
      <c r="EA23" s="1434">
        <f>IFERROR(VLOOKUP(CONCATENATE($B$8,"_",$B23),Data!$BO$16:$ES$1015,EA$11,FALSE),"")</f>
        <v>0</v>
      </c>
      <c r="EB23" s="1434">
        <f>IFERROR(VLOOKUP(CONCATENATE($B$8,"_",$B23),Data!$BO$16:$ES$1015,EB$11,FALSE),"")</f>
        <v>0</v>
      </c>
      <c r="EC23" s="1434">
        <f>IFERROR(VLOOKUP(CONCATENATE($B$8,"_",$B23),Data!$BO$16:$ES$1015,EC$11,FALSE),"")</f>
        <v>0</v>
      </c>
      <c r="ED23" s="1434">
        <f>IFERROR(VLOOKUP(CONCATENATE($B$8,"_",$B23),Data!$BO$16:$ES$1015,ED$11,FALSE),"")</f>
        <v>0</v>
      </c>
      <c r="EE23" s="1434">
        <f>IFERROR(VLOOKUP(CONCATENATE($B$8,"_",$B23),Data!$BO$16:$ES$1015,EE$11,FALSE),"")</f>
        <v>0</v>
      </c>
      <c r="EF23" s="1434">
        <f>IFERROR(VLOOKUP(CONCATENATE($B$8,"_",$B23),Data!$BO$16:$ES$1015,EF$11,FALSE),"")</f>
        <v>0</v>
      </c>
      <c r="EG23" s="1434">
        <f>IFERROR(VLOOKUP(CONCATENATE($B$8,"_",$B23),Data!$BO$16:$ES$1015,EG$11,FALSE),"")</f>
        <v>0</v>
      </c>
      <c r="EH23" s="1434">
        <f>IFERROR(VLOOKUP(CONCATENATE($B$8,"_",$B23),Data!$BO$16:$ES$1015,EH$11,FALSE),"")</f>
        <v>0</v>
      </c>
      <c r="EI23" s="1434">
        <f>IFERROR(VLOOKUP(CONCATENATE($B$8,"_",$B23),Data!$BO$16:$ES$1015,EI$11,FALSE),"")</f>
        <v>0</v>
      </c>
    </row>
    <row r="24" spans="1:141" s="1441" customFormat="1" ht="15" customHeight="1">
      <c r="A24" s="1438">
        <v>11</v>
      </c>
      <c r="B24" s="1738">
        <f>IF($B$13+A24&lt;=Progress!$D$18,$B$13+A24,"")</f>
        <v>2011</v>
      </c>
      <c r="C24" s="1737">
        <f>IFERROR(VLOOKUP(CONCATENATE($B$8,"_",$B24),Data!$H$16:$BN$1015,C$11,FALSE),"")</f>
        <v>0</v>
      </c>
      <c r="D24" s="1428">
        <f>IFERROR(VLOOKUP(CONCATENATE($B$8,"_",$B24),Data!$H$16:$BN$1015,D$11,FALSE),"")</f>
        <v>0</v>
      </c>
      <c r="E24" s="1429">
        <f>IFERROR(VLOOKUP(CONCATENATE($B$8,"_",$B24),Data!$H$16:$BN$1015,E$11,FALSE),"")</f>
        <v>0</v>
      </c>
      <c r="F24" s="1428">
        <f>IFERROR(VLOOKUP(CONCATENATE($B$8,"_",$B24),Data!$H$16:$BN$1015,F$11,FALSE),"")</f>
        <v>0</v>
      </c>
      <c r="G24" s="1428">
        <f>IFERROR(VLOOKUP(CONCATENATE($B$8,"_",$B24),Data!$H$16:$BN$1015,G$11,FALSE),"")</f>
        <v>0</v>
      </c>
      <c r="H24" s="1429">
        <f>IFERROR(VLOOKUP(CONCATENATE($B$8,"_",$B24),Data!$H$16:$BN$1015,H$11,FALSE),"")</f>
        <v>0</v>
      </c>
      <c r="I24" s="1428">
        <f>IFERROR(VLOOKUP(CONCATENATE($B$8,"_",$B24),Data!$H$16:$BN$1015,I$11,FALSE),"")</f>
        <v>0</v>
      </c>
      <c r="J24" s="1428">
        <f>IFERROR(VLOOKUP(CONCATENATE($B$8,"_",$B24),Data!$H$16:$BN$1015,J$11,FALSE),"")</f>
        <v>0</v>
      </c>
      <c r="K24" s="1429">
        <f>IFERROR(VLOOKUP(CONCATENATE($B$8,"_",$B24),Data!$H$16:$BN$1015,K$11,FALSE),"")</f>
        <v>0</v>
      </c>
      <c r="L24" s="1428">
        <f>IFERROR(VLOOKUP(CONCATENATE($B$8,"_",$B24),Data!$H$16:$BN$1015,L$11,FALSE),"")</f>
        <v>0</v>
      </c>
      <c r="M24" s="1428">
        <f>IFERROR(VLOOKUP(CONCATENATE($B$8,"_",$B24),Data!$H$16:$BN$1015,M$11,FALSE),"")</f>
        <v>0</v>
      </c>
      <c r="N24" s="1429">
        <f>IFERROR(VLOOKUP(CONCATENATE($B$8,"_",$B24),Data!$H$16:$BN$1015,N$11,FALSE),"")</f>
        <v>0</v>
      </c>
      <c r="O24" s="1430">
        <f>IFERROR(VLOOKUP(CONCATENATE($B$8,"_",$B24),Data!$H$16:$BN$1015,O$11,FALSE),"")</f>
        <v>0</v>
      </c>
      <c r="P24" s="1428">
        <f>IFERROR(VLOOKUP(CONCATENATE($B$8,"_",$B24),Data!$H$16:$BN$1015,P$11,FALSE),"")</f>
        <v>0</v>
      </c>
      <c r="Q24" s="1428">
        <f>IFERROR(VLOOKUP(CONCATENATE($B$8,"_",$B24),Data!$H$16:$BN$1015,Q$11,FALSE),"")</f>
        <v>0</v>
      </c>
      <c r="R24" s="1429">
        <f>IFERROR(VLOOKUP(CONCATENATE($B$8,"_",$B24),Data!$H$16:$BN$1015,R$11,FALSE),"")</f>
        <v>0</v>
      </c>
      <c r="S24" s="1428">
        <f>IFERROR(VLOOKUP(CONCATENATE($B$8,"_",$B24),Data!$H$16:$BN$1015,S$11,FALSE),"")</f>
        <v>0</v>
      </c>
      <c r="T24" s="1428">
        <f>IFERROR(VLOOKUP(CONCATENATE($B$8,"_",$B24),Data!$H$16:$BN$1015,T$11,FALSE),"")</f>
        <v>0</v>
      </c>
      <c r="U24" s="1429">
        <f>IFERROR(VLOOKUP(CONCATENATE($B$8,"_",$B24),Data!$H$16:$BN$1015,U$11,FALSE),"")</f>
        <v>0</v>
      </c>
      <c r="V24" s="1428">
        <f>IFERROR(VLOOKUP(CONCATENATE($B$8,"_",$B24),Data!$H$16:$BN$1015,V$11,FALSE),"")</f>
        <v>0</v>
      </c>
      <c r="W24" s="1428">
        <f>IFERROR(VLOOKUP(CONCATENATE($B$8,"_",$B24),Data!$H$16:$BN$1015,W$11,FALSE),"")</f>
        <v>0</v>
      </c>
      <c r="X24" s="1428">
        <f>IFERROR(VLOOKUP(CONCATENATE($B$8,"_",$B24),Data!$H$16:$BN$1015,X$11,FALSE),"")</f>
        <v>0</v>
      </c>
      <c r="Y24" s="1428">
        <f>IFERROR(VLOOKUP(CONCATENATE($B$8,"_",$B24),Data!$H$16:$BN$1015,Y$11,FALSE),"")</f>
        <v>0</v>
      </c>
      <c r="Z24" s="1429">
        <f>IFERROR(VLOOKUP(CONCATENATE($B$8,"_",$B24),Data!$H$16:$BN$1015,Z$11,FALSE),"")</f>
        <v>0</v>
      </c>
      <c r="AA24" s="1428">
        <f>IFERROR(VLOOKUP(CONCATENATE($B$8,"_",$B24),Data!$H$16:$BN$1015,AA$11,FALSE),"")</f>
        <v>0</v>
      </c>
      <c r="AB24" s="1428">
        <f>IFERROR(VLOOKUP(CONCATENATE($B$8,"_",$B24),Data!$H$16:$BN$1015,AB$11,FALSE),"")</f>
        <v>0</v>
      </c>
      <c r="AC24" s="1429">
        <f>IFERROR(VLOOKUP(CONCATENATE($B$8,"_",$B24),Data!$H$16:$BN$1015,AC$11,FALSE),"")</f>
        <v>0</v>
      </c>
      <c r="AD24" s="1428">
        <f>IFERROR(VLOOKUP(CONCATENATE($B$8,"_",$B24),Data!$H$16:$BN$1015,AD$11,FALSE),"")</f>
        <v>0</v>
      </c>
      <c r="AE24" s="1428">
        <f>IFERROR(VLOOKUP(CONCATENATE($B$8,"_",$B24),Data!$H$16:$BN$1015,AE$11,FALSE),"")</f>
        <v>0</v>
      </c>
      <c r="AF24" s="1429">
        <f>IFERROR(VLOOKUP(CONCATENATE($B$8,"_",$B24),Data!$H$16:$BN$1015,AF$11,FALSE),"")</f>
        <v>0</v>
      </c>
      <c r="AG24" s="1428">
        <f>IFERROR(VLOOKUP(CONCATENATE($B$8,"_",$B24),Data!$H$16:$BN$1015,AG$11,FALSE),"")</f>
        <v>0</v>
      </c>
      <c r="AH24" s="1428">
        <f>IFERROR(VLOOKUP(CONCATENATE($B$8,"_",$B24),Data!$H$16:$BN$1015,AH$11,FALSE),"")</f>
        <v>0</v>
      </c>
      <c r="AI24" s="1429">
        <f>IFERROR(VLOOKUP(CONCATENATE($B$8,"_",$B24),Data!$H$16:$BN$1015,AI$11,FALSE),"")</f>
        <v>0</v>
      </c>
      <c r="AJ24" s="1428">
        <f>IFERROR(VLOOKUP(CONCATENATE($B$8,"_",$B24),Data!$H$16:$BN$1015,AJ$11,FALSE),"")</f>
        <v>0</v>
      </c>
      <c r="AK24" s="1428">
        <f>IFERROR(VLOOKUP(CONCATENATE($B$8,"_",$B24),Data!$H$16:$BN$1015,AK$11,FALSE),"")</f>
        <v>0</v>
      </c>
      <c r="AL24" s="1429">
        <f>IFERROR(VLOOKUP(CONCATENATE($B$8,"_",$B24),Data!$H$16:$BN$1015,AL$11,FALSE),"")</f>
        <v>0</v>
      </c>
      <c r="AM24" s="1428">
        <f>IFERROR(VLOOKUP(CONCATENATE($B$8,"_",$B24),Data!$H$16:$BN$1015,AM$11,FALSE),"")</f>
        <v>0</v>
      </c>
      <c r="AN24" s="1428">
        <f>IFERROR(VLOOKUP(CONCATENATE($B$8,"_",$B24),Data!$H$16:$BN$1015,AN$11,FALSE),"")</f>
        <v>0</v>
      </c>
      <c r="AO24" s="1430">
        <f>IFERROR(VLOOKUP(CONCATENATE($B$8,"_",$B24),Data!$H$16:$BN$1015,AO$11,FALSE),"")</f>
        <v>0</v>
      </c>
      <c r="AP24" s="1428">
        <f>IFERROR(VLOOKUP(CONCATENATE($B$8,"_",$B24),Data!$H$16:$BN$1015,AP$11,FALSE),"")</f>
        <v>0</v>
      </c>
      <c r="AQ24" s="1428">
        <f>IFERROR(VLOOKUP(CONCATENATE($B$8,"_",$B24),Data!$H$16:$BN$1015,AQ$11,FALSE),"")</f>
        <v>0</v>
      </c>
      <c r="AR24" s="1430">
        <f>IFERROR(VLOOKUP(CONCATENATE($B$8,"_",$B24),Data!$H$16:$BN$1015,AR$11,FALSE),"")</f>
        <v>0</v>
      </c>
      <c r="AS24" s="1428">
        <f>IFERROR(VLOOKUP(CONCATENATE($B$8,"_",$B24),Data!$H$16:$BN$1015,AS$11,FALSE),"")</f>
        <v>0</v>
      </c>
      <c r="AT24" s="1428">
        <f>IFERROR(VLOOKUP(CONCATENATE($B$8,"_",$B24),Data!$H$16:$BN$1015,AT$11,FALSE),"")</f>
        <v>0</v>
      </c>
      <c r="AU24" s="1430">
        <f>IFERROR(VLOOKUP(CONCATENATE($B$8,"_",$B24),Data!$H$16:$BN$1015,AU$11,FALSE),"")</f>
        <v>0</v>
      </c>
      <c r="AV24" s="1428">
        <f>IFERROR(VLOOKUP(CONCATENATE($B$8,"_",$B24),Data!$H$16:$BN$1015,AV$11,FALSE),"")</f>
        <v>0</v>
      </c>
      <c r="AW24" s="1428">
        <f>IFERROR(VLOOKUP(CONCATENATE($B$8,"_",$B24),Data!$H$16:$BN$1015,AW$11,FALSE),"")</f>
        <v>0</v>
      </c>
      <c r="AX24" s="1430">
        <f>IFERROR(VLOOKUP(CONCATENATE($B$8,"_",$B24),Data!$H$16:$BN$1015,AX$11,FALSE),"")</f>
        <v>0</v>
      </c>
      <c r="AY24" s="1429">
        <f>IFERROR(VLOOKUP(CONCATENATE($B$8,"_",$B24),Data!$H$16:$BN$1015,AY$11,FALSE),"")</f>
        <v>0</v>
      </c>
      <c r="AZ24" s="1429">
        <f>IFERROR(VLOOKUP(CONCATENATE($B$8,"_",$B24),Data!$H$16:$BN$1015,AZ$11,FALSE),"")</f>
        <v>0</v>
      </c>
      <c r="BA24" s="1429">
        <f>IFERROR(VLOOKUP(CONCATENATE($B$8,"_",$B24),Data!$H$16:$BN$1015,BA$11,FALSE),"")</f>
        <v>0</v>
      </c>
      <c r="BB24" s="1429">
        <f>IFERROR(VLOOKUP(CONCATENATE($B$8,"_",$B24),Data!$H$16:$BN$1015,BB$11,FALSE),"")</f>
        <v>0</v>
      </c>
      <c r="BC24" s="1429">
        <f>IFERROR(VLOOKUP(CONCATENATE($B$8,"_",$B24),Data!$H$16:$BN$1015,BC$11,FALSE),"")</f>
        <v>0</v>
      </c>
      <c r="BD24" s="1431">
        <f>IFERROR(VLOOKUP(CONCATENATE($B$8,"_",$B24),Data!$H$16:$BN$1015,BD$11,FALSE),"")</f>
        <v>0</v>
      </c>
      <c r="BE24" s="1439">
        <f t="shared" si="0"/>
        <v>2011</v>
      </c>
      <c r="BF24" s="1428">
        <f>IFERROR(VLOOKUP(CONCATENATE($B$8,"_",$B24),Data!$BO$16:$ES$1015,BF$11,FALSE),"")</f>
        <v>12782056.549339209</v>
      </c>
      <c r="BG24" s="1433">
        <f>IFERROR(VLOOKUP(CONCATENATE($B$8,"_",$B24),Data!$BO$16:$ES$1015,BG$11,FALSE),"")</f>
        <v>0</v>
      </c>
      <c r="BH24" s="1435">
        <f>IFERROR(VLOOKUP(CONCATENATE($B$8,"_",$B24),Data!$BO$16:$ES$1015,BH$11,FALSE),"")</f>
        <v>0</v>
      </c>
      <c r="BI24" s="1434">
        <f>IFERROR(VLOOKUP(CONCATENATE($B$8,"_",$B24),Data!$BO$16:$ES$1015,BI$11,FALSE),"")</f>
        <v>0</v>
      </c>
      <c r="BJ24" s="1428">
        <f>IFERROR(VLOOKUP(CONCATENATE($B$8,"_",$B24),Data!$BO$16:$ES$1015,BJ$11,FALSE),"")</f>
        <v>7537607.4992190842</v>
      </c>
      <c r="BK24" s="1428">
        <f>IFERROR(VLOOKUP(CONCATENATE($B$8,"_",$B24),Data!$BO$16:$ES$1015,BK$11,FALSE),"")</f>
        <v>3715647.823259369</v>
      </c>
      <c r="BL24" s="1428">
        <f>IFERROR(VLOOKUP(CONCATENATE($B$8,"_",$B24),Data!$BO$16:$ES$1015,BL$11,FALSE),"")</f>
        <v>1528801.2268607554</v>
      </c>
      <c r="BM24" s="1433">
        <f>IFERROR(VLOOKUP(CONCATENATE($B$8,"_",$B24),Data!$BO$16:$ES$1015,BM$11,FALSE),"")</f>
        <v>0</v>
      </c>
      <c r="BN24" s="1433">
        <f>IFERROR(VLOOKUP(CONCATENATE($B$8,"_",$B24),Data!$BO$16:$ES$1015,BN$11,FALSE),"")</f>
        <v>0</v>
      </c>
      <c r="BO24" s="1433">
        <f>IFERROR(VLOOKUP(CONCATENATE($B$8,"_",$B24),Data!$BO$16:$ES$1015,BO$11,FALSE),"")</f>
        <v>0</v>
      </c>
      <c r="BP24" s="1433">
        <f>IFERROR(VLOOKUP(CONCATENATE($B$8,"_",$B24),Data!$BO$16:$ES$1015,BP$11,FALSE),"")</f>
        <v>0</v>
      </c>
      <c r="BQ24" s="1433">
        <f>IFERROR(VLOOKUP(CONCATENATE($B$8,"_",$B24),Data!$BO$16:$ES$1015,BQ$11,FALSE),"")</f>
        <v>0</v>
      </c>
      <c r="BR24" s="1434">
        <f>IFERROR(VLOOKUP(CONCATENATE($B$8,"_",$B24),Data!$BO$16:$ES$1015,BR$11,FALSE),"")</f>
        <v>0</v>
      </c>
      <c r="BS24" s="1434">
        <f>IFERROR(VLOOKUP(CONCATENATE($B$8,"_",$B24),Data!$BO$16:$ES$1015,BS$11,FALSE),"")</f>
        <v>0</v>
      </c>
      <c r="BT24" s="1434">
        <f>IFERROR(VLOOKUP(CONCATENATE($B$8,"_",$B24),Data!$BO$16:$ES$1015,BT$11,FALSE),"")</f>
        <v>0</v>
      </c>
      <c r="BU24" s="1434">
        <f>IFERROR(VLOOKUP(CONCATENATE($B$8,"_",$B24),Data!$BO$16:$ES$1015,BU$11,FALSE),"")</f>
        <v>0</v>
      </c>
      <c r="BV24" s="1434">
        <f>IFERROR(VLOOKUP(CONCATENATE($B$8,"_",$B24),Data!$BO$16:$ES$1015,BV$11,FALSE),"")</f>
        <v>0</v>
      </c>
      <c r="BW24" s="1434">
        <f>IFERROR(VLOOKUP(CONCATENATE($B$8,"_",$B24),Data!$BO$16:$ES$1015,BW$11,FALSE),"")</f>
        <v>0</v>
      </c>
      <c r="BX24" s="1434">
        <f>IFERROR(VLOOKUP(CONCATENATE($B$8,"_",$B24),Data!$BO$16:$ES$1015,BX$11,FALSE),"")</f>
        <v>0</v>
      </c>
      <c r="BY24" s="1428">
        <f>IFERROR(VLOOKUP(CONCATENATE($B$8,"_",$B24),Data!$BO$16:$ES$1015,BY$11,FALSE),"")</f>
        <v>0</v>
      </c>
      <c r="BZ24" s="1428">
        <f>IFERROR(VLOOKUP(CONCATENATE($B$8,"_",$B24),Data!$BO$16:$ES$1015,BZ$11,FALSE),"")</f>
        <v>0</v>
      </c>
      <c r="CA24" s="1428">
        <f>IFERROR(VLOOKUP(CONCATENATE($B$8,"_",$B24),Data!$BO$16:$ES$1015,CA$11,FALSE),"")</f>
        <v>0</v>
      </c>
      <c r="CB24" s="1428">
        <f>IFERROR(VLOOKUP(CONCATENATE($B$8,"_",$B24),Data!$BO$16:$ES$1015,CB$11,FALSE),"")</f>
        <v>0</v>
      </c>
      <c r="CC24" s="1428">
        <f>IFERROR(VLOOKUP(CONCATENATE($B$8,"_",$B24),Data!$BO$16:$ES$1015,CC$11,FALSE),"")</f>
        <v>0</v>
      </c>
      <c r="CD24" s="1428">
        <f>IFERROR(VLOOKUP(CONCATENATE($B$8,"_",$B24),Data!$BO$16:$ES$1015,CD$11,FALSE),"")</f>
        <v>0</v>
      </c>
      <c r="CE24" s="1428">
        <f>IFERROR(VLOOKUP(CONCATENATE($B$8,"_",$B24),Data!$BO$16:$ES$1015,CE$11,FALSE),"")</f>
        <v>0</v>
      </c>
      <c r="CF24" s="1428">
        <f>IFERROR(VLOOKUP(CONCATENATE($B$8,"_",$B24),Data!$BO$16:$ES$1015,CF$11,FALSE),"")</f>
        <v>0</v>
      </c>
      <c r="CG24" s="1428">
        <f>IFERROR(VLOOKUP(CONCATENATE($B$8,"_",$B24),Data!$BO$16:$ES$1015,CG$11,FALSE),"")</f>
        <v>0</v>
      </c>
      <c r="CH24" s="1428">
        <f>IFERROR(VLOOKUP(CONCATENATE($B$8,"_",$B24),Data!$BO$16:$ES$1015,CH$11,FALSE),"")</f>
        <v>0</v>
      </c>
      <c r="CI24" s="1428">
        <f>IFERROR(VLOOKUP(CONCATENATE($B$8,"_",$B24),Data!$BO$16:$ES$1015,CI$11,FALSE),"")</f>
        <v>0</v>
      </c>
      <c r="CJ24" s="1428">
        <f>IFERROR(VLOOKUP(CONCATENATE($B$8,"_",$B24),Data!$BO$16:$ES$1015,CJ$11,FALSE),"")</f>
        <v>0</v>
      </c>
      <c r="CK24" s="1428">
        <f>IFERROR(VLOOKUP(CONCATENATE($B$8,"_",$B24),Data!$BO$16:$ES$1015,CK$11,FALSE),"")</f>
        <v>0</v>
      </c>
      <c r="CL24" s="1428">
        <f>IFERROR(VLOOKUP(CONCATENATE($B$8,"_",$B24),Data!$BO$16:$ES$1015,CL$11,FALSE),"")</f>
        <v>0</v>
      </c>
      <c r="CM24" s="1428">
        <f>IFERROR(VLOOKUP(CONCATENATE($B$8,"_",$B24),Data!$BO$16:$ES$1015,CM$11,FALSE),"")</f>
        <v>0</v>
      </c>
      <c r="CN24" s="1428">
        <f>IFERROR(VLOOKUP(CONCATENATE($B$8,"_",$B24),Data!$BO$16:$ES$1015,CN$11,FALSE),"")</f>
        <v>0</v>
      </c>
      <c r="CO24" s="1428">
        <f>IFERROR(VLOOKUP(CONCATENATE($B$8,"_",$B24),Data!$BO$16:$ES$1015,CO$11,FALSE),"")</f>
        <v>0</v>
      </c>
      <c r="CP24" s="1433">
        <f>IFERROR(VLOOKUP(CONCATENATE($B$8,"_",$B24),Data!$BO$16:$ES$1015,CP$11,FALSE),"")</f>
        <v>0</v>
      </c>
      <c r="CQ24" s="1433">
        <f>IFERROR(VLOOKUP(CONCATENATE($B$8,"_",$B24),Data!$BO$16:$ES$1015,CQ$11,FALSE),"")</f>
        <v>0</v>
      </c>
      <c r="CR24" s="1433">
        <f>IFERROR(VLOOKUP(CONCATENATE($B$8,"_",$B24),Data!$BO$16:$ES$1015,CR$11,FALSE),"")</f>
        <v>0</v>
      </c>
      <c r="CS24" s="1433">
        <f>IFERROR(VLOOKUP(CONCATENATE($B$8,"_",$B24),Data!$BO$16:$ES$1015,CS$11,FALSE),"")</f>
        <v>0</v>
      </c>
      <c r="CT24" s="1433">
        <f>IFERROR(VLOOKUP(CONCATENATE($B$8,"_",$B24),Data!$BO$16:$ES$1015,CT$11,FALSE),"")</f>
        <v>0</v>
      </c>
      <c r="CU24" s="1433">
        <f>IFERROR(VLOOKUP(CONCATENATE($B$8,"_",$B24),Data!$BO$16:$ES$1015,CU$11,FALSE),"")</f>
        <v>0</v>
      </c>
      <c r="CV24" s="1433">
        <f>IFERROR(VLOOKUP(CONCATENATE($B$8,"_",$B24),Data!$BO$16:$ES$1015,CV$11,FALSE),"")</f>
        <v>0</v>
      </c>
      <c r="CW24" s="1433">
        <f>IFERROR(VLOOKUP(CONCATENATE($B$8,"_",$B24),Data!$BO$16:$ES$1015,CW$11,FALSE),"")</f>
        <v>0</v>
      </c>
      <c r="CX24" s="1433">
        <f>IFERROR(VLOOKUP(CONCATENATE($B$8,"_",$B24),Data!$BO$16:$ES$1015,CX$11,FALSE),"")</f>
        <v>0</v>
      </c>
      <c r="CY24" s="1433">
        <f>IFERROR(VLOOKUP(CONCATENATE($B$8,"_",$B24),Data!$BO$16:$ES$1015,CY$11,FALSE),"")</f>
        <v>0</v>
      </c>
      <c r="CZ24" s="1433">
        <f>IFERROR(VLOOKUP(CONCATENATE($B$8,"_",$B24),Data!$BO$16:$ES$1015,CZ$11,FALSE),"")</f>
        <v>0</v>
      </c>
      <c r="DA24" s="1433">
        <f>IFERROR(VLOOKUP(CONCATENATE($B$8,"_",$B24),Data!$BO$16:$ES$1015,DA$11,FALSE),"")</f>
        <v>0</v>
      </c>
      <c r="DB24" s="1433">
        <f>IFERROR(VLOOKUP(CONCATENATE($B$8,"_",$B24),Data!$BO$16:$ES$1015,DB$11,FALSE),"")</f>
        <v>0</v>
      </c>
      <c r="DC24" s="1433">
        <f>IFERROR(VLOOKUP(CONCATENATE($B$8,"_",$B24),Data!$BO$16:$ES$1015,DC$11,FALSE),"")</f>
        <v>0</v>
      </c>
      <c r="DD24" s="1433">
        <f>IFERROR(VLOOKUP(CONCATENATE($B$8,"_",$B24),Data!$BO$16:$ES$1015,DD$11,FALSE),"")</f>
        <v>0</v>
      </c>
      <c r="DE24" s="1433">
        <f>IFERROR(VLOOKUP(CONCATENATE($B$8,"_",$B24),Data!$BO$16:$ES$1015,DE$11,FALSE),"")</f>
        <v>0</v>
      </c>
      <c r="DF24" s="1433">
        <f>IFERROR(VLOOKUP(CONCATENATE($B$8,"_",$B24),Data!$BO$16:$ES$1015,DF$11,FALSE),"")</f>
        <v>0</v>
      </c>
      <c r="DG24" s="1433">
        <f>IFERROR(VLOOKUP(CONCATENATE($B$8,"_",$B24),Data!$BO$16:$ES$1015,DG$11,FALSE),"")</f>
        <v>0</v>
      </c>
      <c r="DH24" s="1433">
        <f>IFERROR(VLOOKUP(CONCATENATE($B$8,"_",$B24),Data!$BO$16:$ES$1015,DH$11,FALSE),"")</f>
        <v>0</v>
      </c>
      <c r="DI24" s="1433">
        <f>IFERROR(VLOOKUP(CONCATENATE($B$8,"_",$B24),Data!$BO$16:$ES$1015,DI$11,FALSE),"")</f>
        <v>0</v>
      </c>
      <c r="DJ24" s="1433">
        <f>IFERROR(VLOOKUP(CONCATENATE($B$8,"_",$B24),Data!$BO$16:$ES$1015,DJ$11,FALSE),"")</f>
        <v>0</v>
      </c>
      <c r="DK24" s="1433">
        <f>IFERROR(VLOOKUP(CONCATENATE($B$8,"_",$B24),Data!$BO$16:$ES$1015,DK$11,FALSE),"")</f>
        <v>0</v>
      </c>
      <c r="DL24" s="1435">
        <f>IFERROR(VLOOKUP(CONCATENATE($B$8,"_",$B24),Data!$BO$16:$ES$1015,DL$11,FALSE),"")</f>
        <v>0</v>
      </c>
      <c r="DM24" s="1434">
        <f>IFERROR(VLOOKUP(CONCATENATE($B$8,"_",$B24),Data!$BO$16:$ES$1015,DM$11,FALSE),"")</f>
        <v>0</v>
      </c>
      <c r="DN24" s="1434">
        <f>IFERROR(VLOOKUP(CONCATENATE($B$8,"_",$B24),Data!$BO$16:$ES$1015,DN$11,FALSE),"")</f>
        <v>0</v>
      </c>
      <c r="DO24" s="1434">
        <f>IFERROR(VLOOKUP(CONCATENATE($B$8,"_",$B24),Data!$BO$16:$ES$1015,DO$11,FALSE),"")</f>
        <v>0</v>
      </c>
      <c r="DP24" s="1434">
        <f>IFERROR(VLOOKUP(CONCATENATE($B$8,"_",$B24),Data!$BO$16:$ES$1015,DP$11,FALSE),"")</f>
        <v>0</v>
      </c>
      <c r="DQ24" s="1434">
        <f>IFERROR(VLOOKUP(CONCATENATE($B$8,"_",$B24),Data!$BO$16:$ES$1015,DQ$11,FALSE),"")</f>
        <v>0</v>
      </c>
      <c r="DR24" s="1434">
        <f>IFERROR(VLOOKUP(CONCATENATE($B$8,"_",$B24),Data!$BO$16:$ES$1015,DR$11,FALSE),"")</f>
        <v>0</v>
      </c>
      <c r="DS24" s="1434">
        <f>IFERROR(VLOOKUP(CONCATENATE($B$8,"_",$B24),Data!$BO$16:$ES$1015,DS$11,FALSE),"")</f>
        <v>0</v>
      </c>
      <c r="DT24" s="1434">
        <f>IFERROR(VLOOKUP(CONCATENATE($B$8,"_",$B24),Data!$BO$16:$ES$1015,DT$11,FALSE),"")</f>
        <v>0</v>
      </c>
      <c r="DU24" s="1434">
        <f>IFERROR(VLOOKUP(CONCATENATE($B$8,"_",$B24),Data!$BO$16:$ES$1015,DU$11,FALSE),"")</f>
        <v>0</v>
      </c>
      <c r="DV24" s="1434">
        <f>IFERROR(VLOOKUP(CONCATENATE($B$8,"_",$B24),Data!$BO$16:$ES$1015,DV$11,FALSE),"")</f>
        <v>0</v>
      </c>
      <c r="DW24" s="1434">
        <f>IFERROR(VLOOKUP(CONCATENATE($B$8,"_",$B24),Data!$BO$16:$ES$1015,DW$11,FALSE),"")</f>
        <v>0</v>
      </c>
      <c r="DX24" s="1434">
        <f>IFERROR(VLOOKUP(CONCATENATE($B$8,"_",$B24),Data!$BO$16:$ES$1015,DX$11,FALSE),"")</f>
        <v>0</v>
      </c>
      <c r="DY24" s="1434">
        <f>IFERROR(VLOOKUP(CONCATENATE($B$8,"_",$B24),Data!$BO$16:$ES$1015,DY$11,FALSE),"")</f>
        <v>0</v>
      </c>
      <c r="DZ24" s="1434">
        <f>IFERROR(VLOOKUP(CONCATENATE($B$8,"_",$B24),Data!$BO$16:$ES$1015,DZ$11,FALSE),"")</f>
        <v>0</v>
      </c>
      <c r="EA24" s="1434">
        <f>IFERROR(VLOOKUP(CONCATENATE($B$8,"_",$B24),Data!$BO$16:$ES$1015,EA$11,FALSE),"")</f>
        <v>0</v>
      </c>
      <c r="EB24" s="1434">
        <f>IFERROR(VLOOKUP(CONCATENATE($B$8,"_",$B24),Data!$BO$16:$ES$1015,EB$11,FALSE),"")</f>
        <v>0</v>
      </c>
      <c r="EC24" s="1434">
        <f>IFERROR(VLOOKUP(CONCATENATE($B$8,"_",$B24),Data!$BO$16:$ES$1015,EC$11,FALSE),"")</f>
        <v>0</v>
      </c>
      <c r="ED24" s="1434">
        <f>IFERROR(VLOOKUP(CONCATENATE($B$8,"_",$B24),Data!$BO$16:$ES$1015,ED$11,FALSE),"")</f>
        <v>0</v>
      </c>
      <c r="EE24" s="1434">
        <f>IFERROR(VLOOKUP(CONCATENATE($B$8,"_",$B24),Data!$BO$16:$ES$1015,EE$11,FALSE),"")</f>
        <v>0</v>
      </c>
      <c r="EF24" s="1434">
        <f>IFERROR(VLOOKUP(CONCATENATE($B$8,"_",$B24),Data!$BO$16:$ES$1015,EF$11,FALSE),"")</f>
        <v>0</v>
      </c>
      <c r="EG24" s="1434">
        <f>IFERROR(VLOOKUP(CONCATENATE($B$8,"_",$B24),Data!$BO$16:$ES$1015,EG$11,FALSE),"")</f>
        <v>0</v>
      </c>
      <c r="EH24" s="1434">
        <f>IFERROR(VLOOKUP(CONCATENATE($B$8,"_",$B24),Data!$BO$16:$ES$1015,EH$11,FALSE),"")</f>
        <v>0</v>
      </c>
      <c r="EI24" s="1434">
        <f>IFERROR(VLOOKUP(CONCATENATE($B$8,"_",$B24),Data!$BO$16:$ES$1015,EI$11,FALSE),"")</f>
        <v>0</v>
      </c>
    </row>
    <row r="25" spans="1:141" s="1441" customFormat="1" ht="15" customHeight="1">
      <c r="A25" s="1438">
        <v>12</v>
      </c>
      <c r="B25" s="1738">
        <f>IF($B$13+A25&lt;=Progress!$D$18,$B$13+A25,"")</f>
        <v>2012</v>
      </c>
      <c r="C25" s="1737">
        <f>IFERROR(VLOOKUP(CONCATENATE($B$8,"_",$B25),Data!$H$16:$BN$1015,C$11,FALSE),"")</f>
        <v>0</v>
      </c>
      <c r="D25" s="1428">
        <f>IFERROR(VLOOKUP(CONCATENATE($B$8,"_",$B25),Data!$H$16:$BN$1015,D$11,FALSE),"")</f>
        <v>0</v>
      </c>
      <c r="E25" s="1429">
        <f>IFERROR(VLOOKUP(CONCATENATE($B$8,"_",$B25),Data!$H$16:$BN$1015,E$11,FALSE),"")</f>
        <v>0</v>
      </c>
      <c r="F25" s="1428">
        <f>IFERROR(VLOOKUP(CONCATENATE($B$8,"_",$B25),Data!$H$16:$BN$1015,F$11,FALSE),"")</f>
        <v>0</v>
      </c>
      <c r="G25" s="1428">
        <f>IFERROR(VLOOKUP(CONCATENATE($B$8,"_",$B25),Data!$H$16:$BN$1015,G$11,FALSE),"")</f>
        <v>0</v>
      </c>
      <c r="H25" s="1429">
        <f>IFERROR(VLOOKUP(CONCATENATE($B$8,"_",$B25),Data!$H$16:$BN$1015,H$11,FALSE),"")</f>
        <v>0</v>
      </c>
      <c r="I25" s="1428">
        <f>IFERROR(VLOOKUP(CONCATENATE($B$8,"_",$B25),Data!$H$16:$BN$1015,I$11,FALSE),"")</f>
        <v>0</v>
      </c>
      <c r="J25" s="1428">
        <f>IFERROR(VLOOKUP(CONCATENATE($B$8,"_",$B25),Data!$H$16:$BN$1015,J$11,FALSE),"")</f>
        <v>0</v>
      </c>
      <c r="K25" s="1429">
        <f>IFERROR(VLOOKUP(CONCATENATE($B$8,"_",$B25),Data!$H$16:$BN$1015,K$11,FALSE),"")</f>
        <v>0</v>
      </c>
      <c r="L25" s="1428">
        <f>IFERROR(VLOOKUP(CONCATENATE($B$8,"_",$B25),Data!$H$16:$BN$1015,L$11,FALSE),"")</f>
        <v>0</v>
      </c>
      <c r="M25" s="1428">
        <f>IFERROR(VLOOKUP(CONCATENATE($B$8,"_",$B25),Data!$H$16:$BN$1015,M$11,FALSE),"")</f>
        <v>0</v>
      </c>
      <c r="N25" s="1429">
        <f>IFERROR(VLOOKUP(CONCATENATE($B$8,"_",$B25),Data!$H$16:$BN$1015,N$11,FALSE),"")</f>
        <v>0</v>
      </c>
      <c r="O25" s="1430">
        <f>IFERROR(VLOOKUP(CONCATENATE($B$8,"_",$B25),Data!$H$16:$BN$1015,O$11,FALSE),"")</f>
        <v>0</v>
      </c>
      <c r="P25" s="1428">
        <f>IFERROR(VLOOKUP(CONCATENATE($B$8,"_",$B25),Data!$H$16:$BN$1015,P$11,FALSE),"")</f>
        <v>0</v>
      </c>
      <c r="Q25" s="1428">
        <f>IFERROR(VLOOKUP(CONCATENATE($B$8,"_",$B25),Data!$H$16:$BN$1015,Q$11,FALSE),"")</f>
        <v>0</v>
      </c>
      <c r="R25" s="1429">
        <f>IFERROR(VLOOKUP(CONCATENATE($B$8,"_",$B25),Data!$H$16:$BN$1015,R$11,FALSE),"")</f>
        <v>0</v>
      </c>
      <c r="S25" s="1428">
        <f>IFERROR(VLOOKUP(CONCATENATE($B$8,"_",$B25),Data!$H$16:$BN$1015,S$11,FALSE),"")</f>
        <v>0</v>
      </c>
      <c r="T25" s="1428">
        <f>IFERROR(VLOOKUP(CONCATENATE($B$8,"_",$B25),Data!$H$16:$BN$1015,T$11,FALSE),"")</f>
        <v>0</v>
      </c>
      <c r="U25" s="1429">
        <f>IFERROR(VLOOKUP(CONCATENATE($B$8,"_",$B25),Data!$H$16:$BN$1015,U$11,FALSE),"")</f>
        <v>0</v>
      </c>
      <c r="V25" s="1428">
        <f>IFERROR(VLOOKUP(CONCATENATE($B$8,"_",$B25),Data!$H$16:$BN$1015,V$11,FALSE),"")</f>
        <v>0</v>
      </c>
      <c r="W25" s="1428">
        <f>IFERROR(VLOOKUP(CONCATENATE($B$8,"_",$B25),Data!$H$16:$BN$1015,W$11,FALSE),"")</f>
        <v>0</v>
      </c>
      <c r="X25" s="1428">
        <f>IFERROR(VLOOKUP(CONCATENATE($B$8,"_",$B25),Data!$H$16:$BN$1015,X$11,FALSE),"")</f>
        <v>0</v>
      </c>
      <c r="Y25" s="1428">
        <f>IFERROR(VLOOKUP(CONCATENATE($B$8,"_",$B25),Data!$H$16:$BN$1015,Y$11,FALSE),"")</f>
        <v>0</v>
      </c>
      <c r="Z25" s="1429">
        <f>IFERROR(VLOOKUP(CONCATENATE($B$8,"_",$B25),Data!$H$16:$BN$1015,Z$11,FALSE),"")</f>
        <v>0</v>
      </c>
      <c r="AA25" s="1428">
        <f>IFERROR(VLOOKUP(CONCATENATE($B$8,"_",$B25),Data!$H$16:$BN$1015,AA$11,FALSE),"")</f>
        <v>0</v>
      </c>
      <c r="AB25" s="1428">
        <f>IFERROR(VLOOKUP(CONCATENATE($B$8,"_",$B25),Data!$H$16:$BN$1015,AB$11,FALSE),"")</f>
        <v>0</v>
      </c>
      <c r="AC25" s="1429">
        <f>IFERROR(VLOOKUP(CONCATENATE($B$8,"_",$B25),Data!$H$16:$BN$1015,AC$11,FALSE),"")</f>
        <v>0</v>
      </c>
      <c r="AD25" s="1428">
        <f>IFERROR(VLOOKUP(CONCATENATE($B$8,"_",$B25),Data!$H$16:$BN$1015,AD$11,FALSE),"")</f>
        <v>0</v>
      </c>
      <c r="AE25" s="1428">
        <f>IFERROR(VLOOKUP(CONCATENATE($B$8,"_",$B25),Data!$H$16:$BN$1015,AE$11,FALSE),"")</f>
        <v>0</v>
      </c>
      <c r="AF25" s="1429">
        <f>IFERROR(VLOOKUP(CONCATENATE($B$8,"_",$B25),Data!$H$16:$BN$1015,AF$11,FALSE),"")</f>
        <v>0</v>
      </c>
      <c r="AG25" s="1428">
        <f>IFERROR(VLOOKUP(CONCATENATE($B$8,"_",$B25),Data!$H$16:$BN$1015,AG$11,FALSE),"")</f>
        <v>0</v>
      </c>
      <c r="AH25" s="1428">
        <f>IFERROR(VLOOKUP(CONCATENATE($B$8,"_",$B25),Data!$H$16:$BN$1015,AH$11,FALSE),"")</f>
        <v>0</v>
      </c>
      <c r="AI25" s="1429">
        <f>IFERROR(VLOOKUP(CONCATENATE($B$8,"_",$B25),Data!$H$16:$BN$1015,AI$11,FALSE),"")</f>
        <v>0</v>
      </c>
      <c r="AJ25" s="1428">
        <f>IFERROR(VLOOKUP(CONCATENATE($B$8,"_",$B25),Data!$H$16:$BN$1015,AJ$11,FALSE),"")</f>
        <v>0</v>
      </c>
      <c r="AK25" s="1428">
        <f>IFERROR(VLOOKUP(CONCATENATE($B$8,"_",$B25),Data!$H$16:$BN$1015,AK$11,FALSE),"")</f>
        <v>0</v>
      </c>
      <c r="AL25" s="1429">
        <f>IFERROR(VLOOKUP(CONCATENATE($B$8,"_",$B25),Data!$H$16:$BN$1015,AL$11,FALSE),"")</f>
        <v>0</v>
      </c>
      <c r="AM25" s="1428">
        <f>IFERROR(VLOOKUP(CONCATENATE($B$8,"_",$B25),Data!$H$16:$BN$1015,AM$11,FALSE),"")</f>
        <v>0</v>
      </c>
      <c r="AN25" s="1428">
        <f>IFERROR(VLOOKUP(CONCATENATE($B$8,"_",$B25),Data!$H$16:$BN$1015,AN$11,FALSE),"")</f>
        <v>0</v>
      </c>
      <c r="AO25" s="1430">
        <f>IFERROR(VLOOKUP(CONCATENATE($B$8,"_",$B25),Data!$H$16:$BN$1015,AO$11,FALSE),"")</f>
        <v>0</v>
      </c>
      <c r="AP25" s="1428">
        <f>IFERROR(VLOOKUP(CONCATENATE($B$8,"_",$B25),Data!$H$16:$BN$1015,AP$11,FALSE),"")</f>
        <v>0</v>
      </c>
      <c r="AQ25" s="1428">
        <f>IFERROR(VLOOKUP(CONCATENATE($B$8,"_",$B25),Data!$H$16:$BN$1015,AQ$11,FALSE),"")</f>
        <v>0</v>
      </c>
      <c r="AR25" s="1430">
        <f>IFERROR(VLOOKUP(CONCATENATE($B$8,"_",$B25),Data!$H$16:$BN$1015,AR$11,FALSE),"")</f>
        <v>0</v>
      </c>
      <c r="AS25" s="1428">
        <f>IFERROR(VLOOKUP(CONCATENATE($B$8,"_",$B25),Data!$H$16:$BN$1015,AS$11,FALSE),"")</f>
        <v>0</v>
      </c>
      <c r="AT25" s="1428">
        <f>IFERROR(VLOOKUP(CONCATENATE($B$8,"_",$B25),Data!$H$16:$BN$1015,AT$11,FALSE),"")</f>
        <v>0</v>
      </c>
      <c r="AU25" s="1430">
        <f>IFERROR(VLOOKUP(CONCATENATE($B$8,"_",$B25),Data!$H$16:$BN$1015,AU$11,FALSE),"")</f>
        <v>0</v>
      </c>
      <c r="AV25" s="1428">
        <f>IFERROR(VLOOKUP(CONCATENATE($B$8,"_",$B25),Data!$H$16:$BN$1015,AV$11,FALSE),"")</f>
        <v>0</v>
      </c>
      <c r="AW25" s="1428">
        <f>IFERROR(VLOOKUP(CONCATENATE($B$8,"_",$B25),Data!$H$16:$BN$1015,AW$11,FALSE),"")</f>
        <v>0</v>
      </c>
      <c r="AX25" s="1430">
        <f>IFERROR(VLOOKUP(CONCATENATE($B$8,"_",$B25),Data!$H$16:$BN$1015,AX$11,FALSE),"")</f>
        <v>0</v>
      </c>
      <c r="AY25" s="1429">
        <f>IFERROR(VLOOKUP(CONCATENATE($B$8,"_",$B25),Data!$H$16:$BN$1015,AY$11,FALSE),"")</f>
        <v>0</v>
      </c>
      <c r="AZ25" s="1429">
        <f>IFERROR(VLOOKUP(CONCATENATE($B$8,"_",$B25),Data!$H$16:$BN$1015,AZ$11,FALSE),"")</f>
        <v>0</v>
      </c>
      <c r="BA25" s="1429">
        <f>IFERROR(VLOOKUP(CONCATENATE($B$8,"_",$B25),Data!$H$16:$BN$1015,BA$11,FALSE),"")</f>
        <v>0</v>
      </c>
      <c r="BB25" s="1429">
        <f>IFERROR(VLOOKUP(CONCATENATE($B$8,"_",$B25),Data!$H$16:$BN$1015,BB$11,FALSE),"")</f>
        <v>0</v>
      </c>
      <c r="BC25" s="1429">
        <f>IFERROR(VLOOKUP(CONCATENATE($B$8,"_",$B25),Data!$H$16:$BN$1015,BC$11,FALSE),"")</f>
        <v>0</v>
      </c>
      <c r="BD25" s="1431">
        <f>IFERROR(VLOOKUP(CONCATENATE($B$8,"_",$B25),Data!$H$16:$BN$1015,BD$11,FALSE),"")</f>
        <v>0</v>
      </c>
      <c r="BE25" s="1439">
        <f t="shared" si="0"/>
        <v>2012</v>
      </c>
      <c r="BF25" s="1428">
        <f>IFERROR(VLOOKUP(CONCATENATE($B$8,"_",$B25),Data!$BO$16:$ES$1015,BF$11,FALSE),"")</f>
        <v>13434140.053075185</v>
      </c>
      <c r="BG25" s="1433">
        <f>IFERROR(VLOOKUP(CONCATENATE($B$8,"_",$B25),Data!$BO$16:$ES$1015,BG$11,FALSE),"")</f>
        <v>0</v>
      </c>
      <c r="BH25" s="1435">
        <f>IFERROR(VLOOKUP(CONCATENATE($B$8,"_",$B25),Data!$BO$16:$ES$1015,BH$11,FALSE),"")</f>
        <v>0</v>
      </c>
      <c r="BI25" s="1434">
        <f>IFERROR(VLOOKUP(CONCATENATE($B$8,"_",$B25),Data!$BO$16:$ES$1015,BI$11,FALSE),"")</f>
        <v>0</v>
      </c>
      <c r="BJ25" s="1428">
        <f>IFERROR(VLOOKUP(CONCATENATE($B$8,"_",$B25),Data!$BO$16:$ES$1015,BJ$11,FALSE),"")</f>
        <v>7929095.8966760449</v>
      </c>
      <c r="BK25" s="1428">
        <f>IFERROR(VLOOKUP(CONCATENATE($B$8,"_",$B25),Data!$BO$16:$ES$1015,BK$11,FALSE),"")</f>
        <v>3804757.1748643974</v>
      </c>
      <c r="BL25" s="1428">
        <f>IFERROR(VLOOKUP(CONCATENATE($B$8,"_",$B25),Data!$BO$16:$ES$1015,BL$11,FALSE),"")</f>
        <v>1700286.9815347409</v>
      </c>
      <c r="BM25" s="1433">
        <f>IFERROR(VLOOKUP(CONCATENATE($B$8,"_",$B25),Data!$BO$16:$ES$1015,BM$11,FALSE),"")</f>
        <v>0</v>
      </c>
      <c r="BN25" s="1433">
        <f>IFERROR(VLOOKUP(CONCATENATE($B$8,"_",$B25),Data!$BO$16:$ES$1015,BN$11,FALSE),"")</f>
        <v>0</v>
      </c>
      <c r="BO25" s="1433">
        <f>IFERROR(VLOOKUP(CONCATENATE($B$8,"_",$B25),Data!$BO$16:$ES$1015,BO$11,FALSE),"")</f>
        <v>0</v>
      </c>
      <c r="BP25" s="1433">
        <f>IFERROR(VLOOKUP(CONCATENATE($B$8,"_",$B25),Data!$BO$16:$ES$1015,BP$11,FALSE),"")</f>
        <v>0</v>
      </c>
      <c r="BQ25" s="1433">
        <f>IFERROR(VLOOKUP(CONCATENATE($B$8,"_",$B25),Data!$BO$16:$ES$1015,BQ$11,FALSE),"")</f>
        <v>0</v>
      </c>
      <c r="BR25" s="1434">
        <f>IFERROR(VLOOKUP(CONCATENATE($B$8,"_",$B25),Data!$BO$16:$ES$1015,BR$11,FALSE),"")</f>
        <v>0</v>
      </c>
      <c r="BS25" s="1434">
        <f>IFERROR(VLOOKUP(CONCATENATE($B$8,"_",$B25),Data!$BO$16:$ES$1015,BS$11,FALSE),"")</f>
        <v>0</v>
      </c>
      <c r="BT25" s="1434">
        <f>IFERROR(VLOOKUP(CONCATENATE($B$8,"_",$B25),Data!$BO$16:$ES$1015,BT$11,FALSE),"")</f>
        <v>0</v>
      </c>
      <c r="BU25" s="1434">
        <f>IFERROR(VLOOKUP(CONCATENATE($B$8,"_",$B25),Data!$BO$16:$ES$1015,BU$11,FALSE),"")</f>
        <v>0</v>
      </c>
      <c r="BV25" s="1434">
        <f>IFERROR(VLOOKUP(CONCATENATE($B$8,"_",$B25),Data!$BO$16:$ES$1015,BV$11,FALSE),"")</f>
        <v>0</v>
      </c>
      <c r="BW25" s="1434">
        <f>IFERROR(VLOOKUP(CONCATENATE($B$8,"_",$B25),Data!$BO$16:$ES$1015,BW$11,FALSE),"")</f>
        <v>0</v>
      </c>
      <c r="BX25" s="1434">
        <f>IFERROR(VLOOKUP(CONCATENATE($B$8,"_",$B25),Data!$BO$16:$ES$1015,BX$11,FALSE),"")</f>
        <v>0</v>
      </c>
      <c r="BY25" s="1428">
        <f>IFERROR(VLOOKUP(CONCATENATE($B$8,"_",$B25),Data!$BO$16:$ES$1015,BY$11,FALSE),"")</f>
        <v>0</v>
      </c>
      <c r="BZ25" s="1428">
        <f>IFERROR(VLOOKUP(CONCATENATE($B$8,"_",$B25),Data!$BO$16:$ES$1015,BZ$11,FALSE),"")</f>
        <v>0</v>
      </c>
      <c r="CA25" s="1428">
        <f>IFERROR(VLOOKUP(CONCATENATE($B$8,"_",$B25),Data!$BO$16:$ES$1015,CA$11,FALSE),"")</f>
        <v>0</v>
      </c>
      <c r="CB25" s="1428">
        <f>IFERROR(VLOOKUP(CONCATENATE($B$8,"_",$B25),Data!$BO$16:$ES$1015,CB$11,FALSE),"")</f>
        <v>0</v>
      </c>
      <c r="CC25" s="1428">
        <f>IFERROR(VLOOKUP(CONCATENATE($B$8,"_",$B25),Data!$BO$16:$ES$1015,CC$11,FALSE),"")</f>
        <v>0</v>
      </c>
      <c r="CD25" s="1428">
        <f>IFERROR(VLOOKUP(CONCATENATE($B$8,"_",$B25),Data!$BO$16:$ES$1015,CD$11,FALSE),"")</f>
        <v>0</v>
      </c>
      <c r="CE25" s="1428">
        <f>IFERROR(VLOOKUP(CONCATENATE($B$8,"_",$B25),Data!$BO$16:$ES$1015,CE$11,FALSE),"")</f>
        <v>0</v>
      </c>
      <c r="CF25" s="1428">
        <f>IFERROR(VLOOKUP(CONCATENATE($B$8,"_",$B25),Data!$BO$16:$ES$1015,CF$11,FALSE),"")</f>
        <v>0</v>
      </c>
      <c r="CG25" s="1428">
        <f>IFERROR(VLOOKUP(CONCATENATE($B$8,"_",$B25),Data!$BO$16:$ES$1015,CG$11,FALSE),"")</f>
        <v>0</v>
      </c>
      <c r="CH25" s="1428">
        <f>IFERROR(VLOOKUP(CONCATENATE($B$8,"_",$B25),Data!$BO$16:$ES$1015,CH$11,FALSE),"")</f>
        <v>0</v>
      </c>
      <c r="CI25" s="1428">
        <f>IFERROR(VLOOKUP(CONCATENATE($B$8,"_",$B25),Data!$BO$16:$ES$1015,CI$11,FALSE),"")</f>
        <v>0</v>
      </c>
      <c r="CJ25" s="1428">
        <f>IFERROR(VLOOKUP(CONCATENATE($B$8,"_",$B25),Data!$BO$16:$ES$1015,CJ$11,FALSE),"")</f>
        <v>0</v>
      </c>
      <c r="CK25" s="1428">
        <f>IFERROR(VLOOKUP(CONCATENATE($B$8,"_",$B25),Data!$BO$16:$ES$1015,CK$11,FALSE),"")</f>
        <v>0</v>
      </c>
      <c r="CL25" s="1428">
        <f>IFERROR(VLOOKUP(CONCATENATE($B$8,"_",$B25),Data!$BO$16:$ES$1015,CL$11,FALSE),"")</f>
        <v>0</v>
      </c>
      <c r="CM25" s="1428">
        <f>IFERROR(VLOOKUP(CONCATENATE($B$8,"_",$B25),Data!$BO$16:$ES$1015,CM$11,FALSE),"")</f>
        <v>0</v>
      </c>
      <c r="CN25" s="1428">
        <f>IFERROR(VLOOKUP(CONCATENATE($B$8,"_",$B25),Data!$BO$16:$ES$1015,CN$11,FALSE),"")</f>
        <v>0</v>
      </c>
      <c r="CO25" s="1428">
        <f>IFERROR(VLOOKUP(CONCATENATE($B$8,"_",$B25),Data!$BO$16:$ES$1015,CO$11,FALSE),"")</f>
        <v>0</v>
      </c>
      <c r="CP25" s="1433">
        <f>IFERROR(VLOOKUP(CONCATENATE($B$8,"_",$B25),Data!$BO$16:$ES$1015,CP$11,FALSE),"")</f>
        <v>0</v>
      </c>
      <c r="CQ25" s="1433">
        <f>IFERROR(VLOOKUP(CONCATENATE($B$8,"_",$B25),Data!$BO$16:$ES$1015,CQ$11,FALSE),"")</f>
        <v>0</v>
      </c>
      <c r="CR25" s="1433">
        <f>IFERROR(VLOOKUP(CONCATENATE($B$8,"_",$B25),Data!$BO$16:$ES$1015,CR$11,FALSE),"")</f>
        <v>0</v>
      </c>
      <c r="CS25" s="1433">
        <f>IFERROR(VLOOKUP(CONCATENATE($B$8,"_",$B25),Data!$BO$16:$ES$1015,CS$11,FALSE),"")</f>
        <v>0</v>
      </c>
      <c r="CT25" s="1433">
        <f>IFERROR(VLOOKUP(CONCATENATE($B$8,"_",$B25),Data!$BO$16:$ES$1015,CT$11,FALSE),"")</f>
        <v>0</v>
      </c>
      <c r="CU25" s="1433">
        <f>IFERROR(VLOOKUP(CONCATENATE($B$8,"_",$B25),Data!$BO$16:$ES$1015,CU$11,FALSE),"")</f>
        <v>0</v>
      </c>
      <c r="CV25" s="1433">
        <f>IFERROR(VLOOKUP(CONCATENATE($B$8,"_",$B25),Data!$BO$16:$ES$1015,CV$11,FALSE),"")</f>
        <v>0</v>
      </c>
      <c r="CW25" s="1433">
        <f>IFERROR(VLOOKUP(CONCATENATE($B$8,"_",$B25),Data!$BO$16:$ES$1015,CW$11,FALSE),"")</f>
        <v>0</v>
      </c>
      <c r="CX25" s="1433">
        <f>IFERROR(VLOOKUP(CONCATENATE($B$8,"_",$B25),Data!$BO$16:$ES$1015,CX$11,FALSE),"")</f>
        <v>0</v>
      </c>
      <c r="CY25" s="1433">
        <f>IFERROR(VLOOKUP(CONCATENATE($B$8,"_",$B25),Data!$BO$16:$ES$1015,CY$11,FALSE),"")</f>
        <v>0</v>
      </c>
      <c r="CZ25" s="1433">
        <f>IFERROR(VLOOKUP(CONCATENATE($B$8,"_",$B25),Data!$BO$16:$ES$1015,CZ$11,FALSE),"")</f>
        <v>0</v>
      </c>
      <c r="DA25" s="1433">
        <f>IFERROR(VLOOKUP(CONCATENATE($B$8,"_",$B25),Data!$BO$16:$ES$1015,DA$11,FALSE),"")</f>
        <v>0</v>
      </c>
      <c r="DB25" s="1433">
        <f>IFERROR(VLOOKUP(CONCATENATE($B$8,"_",$B25),Data!$BO$16:$ES$1015,DB$11,FALSE),"")</f>
        <v>0</v>
      </c>
      <c r="DC25" s="1433">
        <f>IFERROR(VLOOKUP(CONCATENATE($B$8,"_",$B25),Data!$BO$16:$ES$1015,DC$11,FALSE),"")</f>
        <v>0</v>
      </c>
      <c r="DD25" s="1433">
        <f>IFERROR(VLOOKUP(CONCATENATE($B$8,"_",$B25),Data!$BO$16:$ES$1015,DD$11,FALSE),"")</f>
        <v>0</v>
      </c>
      <c r="DE25" s="1433">
        <f>IFERROR(VLOOKUP(CONCATENATE($B$8,"_",$B25),Data!$BO$16:$ES$1015,DE$11,FALSE),"")</f>
        <v>0</v>
      </c>
      <c r="DF25" s="1433">
        <f>IFERROR(VLOOKUP(CONCATENATE($B$8,"_",$B25),Data!$BO$16:$ES$1015,DF$11,FALSE),"")</f>
        <v>0</v>
      </c>
      <c r="DG25" s="1433">
        <f>IFERROR(VLOOKUP(CONCATENATE($B$8,"_",$B25),Data!$BO$16:$ES$1015,DG$11,FALSE),"")</f>
        <v>0</v>
      </c>
      <c r="DH25" s="1433">
        <f>IFERROR(VLOOKUP(CONCATENATE($B$8,"_",$B25),Data!$BO$16:$ES$1015,DH$11,FALSE),"")</f>
        <v>0</v>
      </c>
      <c r="DI25" s="1433">
        <f>IFERROR(VLOOKUP(CONCATENATE($B$8,"_",$B25),Data!$BO$16:$ES$1015,DI$11,FALSE),"")</f>
        <v>0</v>
      </c>
      <c r="DJ25" s="1433">
        <f>IFERROR(VLOOKUP(CONCATENATE($B$8,"_",$B25),Data!$BO$16:$ES$1015,DJ$11,FALSE),"")</f>
        <v>0</v>
      </c>
      <c r="DK25" s="1433">
        <f>IFERROR(VLOOKUP(CONCATENATE($B$8,"_",$B25),Data!$BO$16:$ES$1015,DK$11,FALSE),"")</f>
        <v>0</v>
      </c>
      <c r="DL25" s="1435">
        <f>IFERROR(VLOOKUP(CONCATENATE($B$8,"_",$B25),Data!$BO$16:$ES$1015,DL$11,FALSE),"")</f>
        <v>0</v>
      </c>
      <c r="DM25" s="1434">
        <f>IFERROR(VLOOKUP(CONCATENATE($B$8,"_",$B25),Data!$BO$16:$ES$1015,DM$11,FALSE),"")</f>
        <v>0</v>
      </c>
      <c r="DN25" s="1434">
        <f>IFERROR(VLOOKUP(CONCATENATE($B$8,"_",$B25),Data!$BO$16:$ES$1015,DN$11,FALSE),"")</f>
        <v>0</v>
      </c>
      <c r="DO25" s="1434">
        <f>IFERROR(VLOOKUP(CONCATENATE($B$8,"_",$B25),Data!$BO$16:$ES$1015,DO$11,FALSE),"")</f>
        <v>0</v>
      </c>
      <c r="DP25" s="1434">
        <f>IFERROR(VLOOKUP(CONCATENATE($B$8,"_",$B25),Data!$BO$16:$ES$1015,DP$11,FALSE),"")</f>
        <v>0</v>
      </c>
      <c r="DQ25" s="1434">
        <f>IFERROR(VLOOKUP(CONCATENATE($B$8,"_",$B25),Data!$BO$16:$ES$1015,DQ$11,FALSE),"")</f>
        <v>0</v>
      </c>
      <c r="DR25" s="1434">
        <f>IFERROR(VLOOKUP(CONCATENATE($B$8,"_",$B25),Data!$BO$16:$ES$1015,DR$11,FALSE),"")</f>
        <v>0</v>
      </c>
      <c r="DS25" s="1434">
        <f>IFERROR(VLOOKUP(CONCATENATE($B$8,"_",$B25),Data!$BO$16:$ES$1015,DS$11,FALSE),"")</f>
        <v>0</v>
      </c>
      <c r="DT25" s="1434">
        <f>IFERROR(VLOOKUP(CONCATENATE($B$8,"_",$B25),Data!$BO$16:$ES$1015,DT$11,FALSE),"")</f>
        <v>0</v>
      </c>
      <c r="DU25" s="1434">
        <f>IFERROR(VLOOKUP(CONCATENATE($B$8,"_",$B25),Data!$BO$16:$ES$1015,DU$11,FALSE),"")</f>
        <v>0</v>
      </c>
      <c r="DV25" s="1434">
        <f>IFERROR(VLOOKUP(CONCATENATE($B$8,"_",$B25),Data!$BO$16:$ES$1015,DV$11,FALSE),"")</f>
        <v>0</v>
      </c>
      <c r="DW25" s="1434">
        <f>IFERROR(VLOOKUP(CONCATENATE($B$8,"_",$B25),Data!$BO$16:$ES$1015,DW$11,FALSE),"")</f>
        <v>0</v>
      </c>
      <c r="DX25" s="1434">
        <f>IFERROR(VLOOKUP(CONCATENATE($B$8,"_",$B25),Data!$BO$16:$ES$1015,DX$11,FALSE),"")</f>
        <v>0</v>
      </c>
      <c r="DY25" s="1434">
        <f>IFERROR(VLOOKUP(CONCATENATE($B$8,"_",$B25),Data!$BO$16:$ES$1015,DY$11,FALSE),"")</f>
        <v>0</v>
      </c>
      <c r="DZ25" s="1434">
        <f>IFERROR(VLOOKUP(CONCATENATE($B$8,"_",$B25),Data!$BO$16:$ES$1015,DZ$11,FALSE),"")</f>
        <v>0</v>
      </c>
      <c r="EA25" s="1434">
        <f>IFERROR(VLOOKUP(CONCATENATE($B$8,"_",$B25),Data!$BO$16:$ES$1015,EA$11,FALSE),"")</f>
        <v>0</v>
      </c>
      <c r="EB25" s="1434">
        <f>IFERROR(VLOOKUP(CONCATENATE($B$8,"_",$B25),Data!$BO$16:$ES$1015,EB$11,FALSE),"")</f>
        <v>0</v>
      </c>
      <c r="EC25" s="1434">
        <f>IFERROR(VLOOKUP(CONCATENATE($B$8,"_",$B25),Data!$BO$16:$ES$1015,EC$11,FALSE),"")</f>
        <v>0</v>
      </c>
      <c r="ED25" s="1434">
        <f>IFERROR(VLOOKUP(CONCATENATE($B$8,"_",$B25),Data!$BO$16:$ES$1015,ED$11,FALSE),"")</f>
        <v>0</v>
      </c>
      <c r="EE25" s="1434">
        <f>IFERROR(VLOOKUP(CONCATENATE($B$8,"_",$B25),Data!$BO$16:$ES$1015,EE$11,FALSE),"")</f>
        <v>0</v>
      </c>
      <c r="EF25" s="1434">
        <f>IFERROR(VLOOKUP(CONCATENATE($B$8,"_",$B25),Data!$BO$16:$ES$1015,EF$11,FALSE),"")</f>
        <v>0</v>
      </c>
      <c r="EG25" s="1434">
        <f>IFERROR(VLOOKUP(CONCATENATE($B$8,"_",$B25),Data!$BO$16:$ES$1015,EG$11,FALSE),"")</f>
        <v>0</v>
      </c>
      <c r="EH25" s="1434">
        <f>IFERROR(VLOOKUP(CONCATENATE($B$8,"_",$B25),Data!$BO$16:$ES$1015,EH$11,FALSE),"")</f>
        <v>0</v>
      </c>
      <c r="EI25" s="1434">
        <f>IFERROR(VLOOKUP(CONCATENATE($B$8,"_",$B25),Data!$BO$16:$ES$1015,EI$11,FALSE),"")</f>
        <v>0</v>
      </c>
    </row>
    <row r="26" spans="1:141" s="1436" customFormat="1" ht="15" customHeight="1">
      <c r="A26" s="1438">
        <v>13</v>
      </c>
      <c r="B26" s="1738">
        <f>IF($B$13+A26&lt;=Progress!$D$18,$B$13+A26,"")</f>
        <v>2013</v>
      </c>
      <c r="C26" s="1737">
        <f>IFERROR(VLOOKUP(CONCATENATE($B$8,"_",$B26),Data!$H$16:$BN$1015,C$11,FALSE),"")</f>
        <v>79384000000</v>
      </c>
      <c r="D26" s="1428">
        <f>IFERROR(VLOOKUP(CONCATENATE($B$8,"_",$B26),Data!$H$16:$BN$1015,D$11,FALSE),"")</f>
        <v>2394807.3141091089</v>
      </c>
      <c r="E26" s="1429">
        <f>IFERROR(VLOOKUP(CONCATENATE($B$8,"_",$B26),Data!$H$16:$BN$1015,E$11,FALSE),"")</f>
        <v>1454197.0477896938</v>
      </c>
      <c r="F26" s="1428">
        <f>IFERROR(VLOOKUP(CONCATENATE($B$8,"_",$B26),Data!$H$16:$BN$1015,F$11,FALSE),"")</f>
        <v>214828.84228037242</v>
      </c>
      <c r="G26" s="1428">
        <f>IFERROR(VLOOKUP(CONCATENATE($B$8,"_",$B26),Data!$H$16:$BN$1015,G$11,FALSE),"")</f>
        <v>846725.14632999885</v>
      </c>
      <c r="H26" s="1429">
        <f>IFERROR(VLOOKUP(CONCATENATE($B$8,"_",$B26),Data!$H$16:$BN$1015,H$11,FALSE),"")</f>
        <v>2075330.0732117784</v>
      </c>
      <c r="I26" s="1428">
        <f>IFERROR(VLOOKUP(CONCATENATE($B$8,"_",$B26),Data!$H$16:$BN$1015,I$11,FALSE),"")</f>
        <v>254434.50119400752</v>
      </c>
      <c r="J26" s="1428">
        <f>IFERROR(VLOOKUP(CONCATENATE($B$8,"_",$B26),Data!$H$16:$BN$1015,J$11,FALSE),"")</f>
        <v>370560.2434413209</v>
      </c>
      <c r="K26" s="1429">
        <f>IFERROR(VLOOKUP(CONCATENATE($B$8,"_",$B26),Data!$H$16:$BN$1015,K$11,FALSE),"")</f>
        <v>369535.32667138078</v>
      </c>
      <c r="L26" s="1428">
        <f>IFERROR(VLOOKUP(CONCATENATE($B$8,"_",$B26),Data!$H$16:$BN$1015,L$11,FALSE),"")</f>
        <v>49271.372881174597</v>
      </c>
      <c r="M26" s="1428" t="str">
        <f>IFERROR(VLOOKUP(CONCATENATE($B$8,"_",$B26),Data!$H$16:$BN$1015,M$11,FALSE),"")</f>
        <v>IE</v>
      </c>
      <c r="N26" s="1429" t="str">
        <f>IFERROR(VLOOKUP(CONCATENATE($B$8,"_",$B26),Data!$H$16:$BN$1015,N$11,FALSE),"")</f>
        <v>IE</v>
      </c>
      <c r="O26" s="1430" t="str">
        <f>IFERROR(VLOOKUP(CONCATENATE($B$8,"_",$B26),Data!$H$16:$BN$1015,O$11,FALSE),"")</f>
        <v>IE</v>
      </c>
      <c r="P26" s="1428">
        <f>IFERROR(VLOOKUP(CONCATENATE($B$8,"_",$B26),Data!$H$16:$BN$1015,P$11,FALSE),"")</f>
        <v>9574078.306376053</v>
      </c>
      <c r="Q26" s="1428" t="str">
        <f>IFERROR(VLOOKUP(CONCATENATE($B$8,"_",$B26),Data!$H$16:$BN$1015,Q$11,FALSE),"")</f>
        <v>NO</v>
      </c>
      <c r="R26" s="1429" t="str">
        <f>IFERROR(VLOOKUP(CONCATENATE($B$8,"_",$B26),Data!$H$16:$BN$1015,R$11,FALSE),"")</f>
        <v>NO</v>
      </c>
      <c r="S26" s="1428" t="str">
        <f>IFERROR(VLOOKUP(CONCATENATE($B$8,"_",$B26),Data!$H$16:$BN$1015,S$11,FALSE),"")</f>
        <v>NO</v>
      </c>
      <c r="T26" s="1428" t="str">
        <f>IFERROR(VLOOKUP(CONCATENATE($B$8,"_",$B26),Data!$H$16:$BN$1015,T$11,FALSE),"")</f>
        <v>NO</v>
      </c>
      <c r="U26" s="1429" t="str">
        <f>IFERROR(VLOOKUP(CONCATENATE($B$8,"_",$B26),Data!$H$16:$BN$1015,U$11,FALSE),"")</f>
        <v>NO</v>
      </c>
      <c r="V26" s="1428" t="str">
        <f>IFERROR(VLOOKUP(CONCATENATE($B$8,"_",$B26),Data!$H$16:$BN$1015,V$11,FALSE),"")</f>
        <v>NO</v>
      </c>
      <c r="W26" s="1428" t="str">
        <f>IFERROR(VLOOKUP(CONCATENATE($B$8,"_",$B26),Data!$H$16:$BN$1015,W$11,FALSE),"")</f>
        <v>NO</v>
      </c>
      <c r="X26" s="1428">
        <f>IFERROR(VLOOKUP(CONCATENATE($B$8,"_",$B26),Data!$H$16:$BN$1015,X$11,FALSE),"")</f>
        <v>147197.6506580743</v>
      </c>
      <c r="Y26" s="1428">
        <f>IFERROR(VLOOKUP(CONCATENATE($B$8,"_",$B26),Data!$H$16:$BN$1015,Y$11,FALSE),"")</f>
        <v>3994892.8588032145</v>
      </c>
      <c r="Z26" s="1429" t="str">
        <f>IFERROR(VLOOKUP(CONCATENATE($B$8,"_",$B26),Data!$H$16:$BN$1015,Z$11,FALSE),"")</f>
        <v>NO</v>
      </c>
      <c r="AA26" s="1428" t="str">
        <f>IFERROR(VLOOKUP(CONCATENATE($B$8,"_",$B26),Data!$H$16:$BN$1015,AA$11,FALSE),"")</f>
        <v>NE</v>
      </c>
      <c r="AB26" s="1428">
        <f>IFERROR(VLOOKUP(CONCATENATE($B$8,"_",$B26),Data!$H$16:$BN$1015,AB$11,FALSE),"")</f>
        <v>17541.769469090708</v>
      </c>
      <c r="AC26" s="1429">
        <f>IFERROR(VLOOKUP(CONCATENATE($B$8,"_",$B26),Data!$H$16:$BN$1015,AC$11,FALSE),"")</f>
        <v>78892.884675146299</v>
      </c>
      <c r="AD26" s="1428">
        <f>IFERROR(VLOOKUP(CONCATENATE($B$8,"_",$B26),Data!$H$16:$BN$1015,AD$11,FALSE),"")</f>
        <v>17033.43541626689</v>
      </c>
      <c r="AE26" s="1428" t="str">
        <f>IFERROR(VLOOKUP(CONCATENATE($B$8,"_",$B26),Data!$H$16:$BN$1015,AE$11,FALSE),"")</f>
        <v>NO</v>
      </c>
      <c r="AF26" s="1429" t="str">
        <f>IFERROR(VLOOKUP(CONCATENATE($B$8,"_",$B26),Data!$H$16:$BN$1015,AF$11,FALSE),"")</f>
        <v>NO</v>
      </c>
      <c r="AG26" s="1428" t="str">
        <f>IFERROR(VLOOKUP(CONCATENATE($B$8,"_",$B26),Data!$H$16:$BN$1015,AG$11,FALSE),"")</f>
        <v>NE</v>
      </c>
      <c r="AH26" s="1428" t="str">
        <f>IFERROR(VLOOKUP(CONCATENATE($B$8,"_",$B26),Data!$H$16:$BN$1015,AH$11,FALSE),"")</f>
        <v>NO</v>
      </c>
      <c r="AI26" s="1429" t="str">
        <f>IFERROR(VLOOKUP(CONCATENATE($B$8,"_",$B26),Data!$H$16:$BN$1015,AI$11,FALSE),"")</f>
        <v>NO</v>
      </c>
      <c r="AJ26" s="1428" t="str">
        <f>IFERROR(VLOOKUP(CONCATENATE($B$8,"_",$B26),Data!$H$16:$BN$1015,AJ$11,FALSE),"")</f>
        <v>NE</v>
      </c>
      <c r="AK26" s="1428" t="str">
        <f>IFERROR(VLOOKUP(CONCATENATE($B$8,"_",$B26),Data!$H$16:$BN$1015,AK$11,FALSE),"")</f>
        <v>IE</v>
      </c>
      <c r="AL26" s="1429" t="str">
        <f>IFERROR(VLOOKUP(CONCATENATE($B$8,"_",$B26),Data!$H$16:$BN$1015,AL$11,FALSE),"")</f>
        <v>NO</v>
      </c>
      <c r="AM26" s="1428" t="str">
        <f>IFERROR(VLOOKUP(CONCATENATE($B$8,"_",$B26),Data!$H$16:$BN$1015,AM$11,FALSE),"")</f>
        <v>NE</v>
      </c>
      <c r="AN26" s="1428" t="str">
        <f>IFERROR(VLOOKUP(CONCATENATE($B$8,"_",$B26),Data!$H$16:$BN$1015,AN$11,FALSE),"")</f>
        <v>NO</v>
      </c>
      <c r="AO26" s="1430">
        <f>IFERROR(VLOOKUP(CONCATENATE($B$8,"_",$B26),Data!$H$16:$BN$1015,AO$11,FALSE),"")</f>
        <v>1637774</v>
      </c>
      <c r="AP26" s="1428" t="str">
        <f>IFERROR(VLOOKUP(CONCATENATE($B$8,"_",$B26),Data!$H$16:$BN$1015,AP$11,FALSE),"")</f>
        <v>NO</v>
      </c>
      <c r="AQ26" s="1428" t="str">
        <f>IFERROR(VLOOKUP(CONCATENATE($B$8,"_",$B26),Data!$H$16:$BN$1015,AQ$11,FALSE),"")</f>
        <v>NO</v>
      </c>
      <c r="AR26" s="1430">
        <f>IFERROR(VLOOKUP(CONCATENATE($B$8,"_",$B26),Data!$H$16:$BN$1015,AR$11,FALSE),"")</f>
        <v>5261.6500000000005</v>
      </c>
      <c r="AS26" s="1428" t="str">
        <f>IFERROR(VLOOKUP(CONCATENATE($B$8,"_",$B26),Data!$H$16:$BN$1015,AS$11,FALSE),"")</f>
        <v>NO</v>
      </c>
      <c r="AT26" s="1428" t="str">
        <f>IFERROR(VLOOKUP(CONCATENATE($B$8,"_",$B26),Data!$H$16:$BN$1015,AT$11,FALSE),"")</f>
        <v>NO</v>
      </c>
      <c r="AU26" s="1430" t="str">
        <f>IFERROR(VLOOKUP(CONCATENATE($B$8,"_",$B26),Data!$H$16:$BN$1015,AU$11,FALSE),"")</f>
        <v>NO</v>
      </c>
      <c r="AV26" s="1428" t="str">
        <f>IFERROR(VLOOKUP(CONCATENATE($B$8,"_",$B26),Data!$H$16:$BN$1015,AV$11,FALSE),"")</f>
        <v>NO</v>
      </c>
      <c r="AW26" s="1428">
        <f>IFERROR(VLOOKUP(CONCATENATE($B$8,"_",$B26),Data!$H$16:$BN$1015,AW$11,FALSE),"")</f>
        <v>55390.376263450562</v>
      </c>
      <c r="AX26" s="1430">
        <f>IFERROR(VLOOKUP(CONCATENATE($B$8,"_",$B26),Data!$H$16:$BN$1015,AX$11,FALSE),"")</f>
        <v>83186</v>
      </c>
      <c r="AY26" s="1429" t="str">
        <f>IFERROR(VLOOKUP(CONCATENATE($B$8,"_",$B26),Data!$H$16:$BN$1015,AY$11,FALSE),"")</f>
        <v>NO</v>
      </c>
      <c r="AZ26" s="1429" t="str">
        <f>IFERROR(VLOOKUP(CONCATENATE($B$8,"_",$B26),Data!$H$16:$BN$1015,AZ$11,FALSE),"")</f>
        <v>NO</v>
      </c>
      <c r="BA26" s="1429" t="str">
        <f>IFERROR(VLOOKUP(CONCATENATE($B$8,"_",$B26),Data!$H$16:$BN$1015,BA$11,FALSE),"")</f>
        <v>NE</v>
      </c>
      <c r="BB26" s="1429" t="str">
        <f>IFERROR(VLOOKUP(CONCATENATE($B$8,"_",$B26),Data!$H$16:$BN$1015,BB$11,FALSE),"")</f>
        <v>NO</v>
      </c>
      <c r="BC26" s="1429" t="str">
        <f>IFERROR(VLOOKUP(CONCATENATE($B$8,"_",$B26),Data!$H$16:$BN$1015,BC$11,FALSE),"")</f>
        <v>NO</v>
      </c>
      <c r="BD26" s="1431" t="str">
        <f>IFERROR(VLOOKUP(CONCATENATE($B$8,"_",$B26),Data!$H$16:$BN$1015,BD$11,FALSE),"")</f>
        <v>NO</v>
      </c>
      <c r="BE26" s="1439">
        <f t="shared" si="0"/>
        <v>2013</v>
      </c>
      <c r="BF26" s="1428">
        <f>IFERROR(VLOOKUP(CONCATENATE($B$8,"_",$B26),Data!$BO$16:$ES$1015,BF$11,FALSE),"")</f>
        <v>13531292.341422258</v>
      </c>
      <c r="BG26" s="1433">
        <f>IFERROR(VLOOKUP(CONCATENATE($B$8,"_",$B26),Data!$BO$16:$ES$1015,BG$11,FALSE),"")</f>
        <v>14066860.493194081</v>
      </c>
      <c r="BH26" s="1435">
        <f>IFERROR(VLOOKUP(CONCATENATE($B$8,"_",$B26),Data!$BO$16:$ES$1015,BH$11,FALSE),"")</f>
        <v>14066860.493194079</v>
      </c>
      <c r="BI26" s="1434">
        <f>IFERROR(VLOOKUP(CONCATENATE($B$8,"_",$B26),Data!$BO$16:$ES$1015,BI$11,FALSE),"")</f>
        <v>17401193.665450312</v>
      </c>
      <c r="BJ26" s="1428">
        <f>IFERROR(VLOOKUP(CONCATENATE($B$8,"_",$B26),Data!$BO$16:$ES$1015,BJ$11,FALSE),"")</f>
        <v>7658352.8022113563</v>
      </c>
      <c r="BK26" s="1428">
        <f>IFERROR(VLOOKUP(CONCATENATE($B$8,"_",$B26),Data!$BO$16:$ES$1015,BK$11,FALSE),"")</f>
        <v>4091327.5129474513</v>
      </c>
      <c r="BL26" s="1428">
        <f>IFERROR(VLOOKUP(CONCATENATE($B$8,"_",$B26),Data!$BO$16:$ES$1015,BL$11,FALSE),"")</f>
        <v>1781612.0262634505</v>
      </c>
      <c r="BM26" s="1433">
        <f>IFERROR(VLOOKUP(CONCATENATE($B$8,"_",$B26),Data!$BO$16:$ES$1015,BM$11,FALSE),"")</f>
        <v>8176887.5185669111</v>
      </c>
      <c r="BN26" s="1433">
        <f>IFERROR(VLOOKUP(CONCATENATE($B$8,"_",$B26),Data!$BO$16:$ES$1015,BN$11,FALSE),"")</f>
        <v>4108360.9483637181</v>
      </c>
      <c r="BO26" s="1433">
        <f>IFERROR(VLOOKUP(CONCATENATE($B$8,"_",$B26),Data!$BO$16:$ES$1015,BO$11,FALSE),"")</f>
        <v>1781612.0262634505</v>
      </c>
      <c r="BP26" s="1433" t="str">
        <f>IFERROR(VLOOKUP(CONCATENATE($B$8,"_",$B26),Data!$BO$16:$ES$1015,BP$11,FALSE),"")</f>
        <v/>
      </c>
      <c r="BQ26" s="1433" t="str">
        <f>IFERROR(VLOOKUP(CONCATENATE($B$8,"_",$B26),Data!$BO$16:$ES$1015,BQ$11,FALSE),"")</f>
        <v/>
      </c>
      <c r="BR26" s="1434">
        <f>IFERROR(VLOOKUP(CONCATENATE($B$8,"_",$B26),Data!$BO$16:$ES$1015,BR$11,FALSE),"")</f>
        <v>3759290.3545385031</v>
      </c>
      <c r="BS26" s="1434">
        <f>IFERROR(VLOOKUP(CONCATENATE($B$8,"_",$B26),Data!$BO$16:$ES$1015,BS$11,FALSE),"")</f>
        <v>9574078.306376053</v>
      </c>
      <c r="BT26" s="1434">
        <f>IFERROR(VLOOKUP(CONCATENATE($B$8,"_",$B26),Data!$BO$16:$ES$1015,BT$11,FALSE),"")</f>
        <v>4012434.6282723052</v>
      </c>
      <c r="BU26" s="1434">
        <f>IFERROR(VLOOKUP(CONCATENATE($B$8,"_",$B26),Data!$BO$16:$ES$1015,BU$11,FALSE),"")</f>
        <v>55390.376263450562</v>
      </c>
      <c r="BV26" s="1434" t="str">
        <f>IFERROR(VLOOKUP(CONCATENATE($B$8,"_",$B26),Data!$BO$16:$ES$1015,BV$11,FALSE),"")</f>
        <v/>
      </c>
      <c r="BW26" s="1434" t="str">
        <f>IFERROR(VLOOKUP(CONCATENATE($B$8,"_",$B26),Data!$BO$16:$ES$1015,BW$11,FALSE),"")</f>
        <v/>
      </c>
      <c r="BX26" s="1434" t="str">
        <f>IFERROR(VLOOKUP(CONCATENATE($B$8,"_",$B26),Data!$BO$16:$ES$1015,BX$11,FALSE),"")</f>
        <v/>
      </c>
      <c r="BY26" s="1428">
        <f>IFERROR(VLOOKUP(CONCATENATE($B$8,"_",$B26),Data!$BO$16:$ES$1015,BY$11,FALSE),"")</f>
        <v>3849004.3618988027</v>
      </c>
      <c r="BZ26" s="1428">
        <f>IFERROR(VLOOKUP(CONCATENATE($B$8,"_",$B26),Data!$BO$16:$ES$1015,BZ$11,FALSE),"")</f>
        <v>2922055.2195417774</v>
      </c>
      <c r="CA26" s="1428">
        <f>IFERROR(VLOOKUP(CONCATENATE($B$8,"_",$B26),Data!$BO$16:$ES$1015,CA$11,FALSE),"")</f>
        <v>740095.57011270174</v>
      </c>
      <c r="CB26" s="1428" t="str">
        <f>IFERROR(VLOOKUP(CONCATENATE($B$8,"_",$B26),Data!$BO$16:$ES$1015,CB$11,FALSE),"")</f>
        <v/>
      </c>
      <c r="CC26" s="1428" t="str">
        <f>IFERROR(VLOOKUP(CONCATENATE($B$8,"_",$B26),Data!$BO$16:$ES$1015,CC$11,FALSE),"")</f>
        <v/>
      </c>
      <c r="CD26" s="1428" t="str">
        <f>IFERROR(VLOOKUP(CONCATENATE($B$8,"_",$B26),Data!$BO$16:$ES$1015,CD$11,FALSE),"")</f>
        <v/>
      </c>
      <c r="CE26" s="1428" t="str">
        <f>IFERROR(VLOOKUP(CONCATENATE($B$8,"_",$B26),Data!$BO$16:$ES$1015,CE$11,FALSE),"")</f>
        <v/>
      </c>
      <c r="CF26" s="1428">
        <f>IFERROR(VLOOKUP(CONCATENATE($B$8,"_",$B26),Data!$BO$16:$ES$1015,CF$11,FALSE),"")</f>
        <v>147197.6506580743</v>
      </c>
      <c r="CG26" s="1428">
        <f>IFERROR(VLOOKUP(CONCATENATE($B$8,"_",$B26),Data!$BO$16:$ES$1015,CG$11,FALSE),"")</f>
        <v>3994892.8588032145</v>
      </c>
      <c r="CH26" s="1428">
        <f>IFERROR(VLOOKUP(CONCATENATE($B$8,"_",$B26),Data!$BO$16:$ES$1015,CH$11,FALSE),"")</f>
        <v>96434.654144237007</v>
      </c>
      <c r="CI26" s="1428" t="str">
        <f>IFERROR(VLOOKUP(CONCATENATE($B$8,"_",$B26),Data!$BO$16:$ES$1015,CI$11,FALSE),"")</f>
        <v/>
      </c>
      <c r="CJ26" s="1428" t="str">
        <f>IFERROR(VLOOKUP(CONCATENATE($B$8,"_",$B26),Data!$BO$16:$ES$1015,CJ$11,FALSE),"")</f>
        <v/>
      </c>
      <c r="CK26" s="1428" t="str">
        <f>IFERROR(VLOOKUP(CONCATENATE($B$8,"_",$B26),Data!$BO$16:$ES$1015,CK$11,FALSE),"")</f>
        <v/>
      </c>
      <c r="CL26" s="1428">
        <f>IFERROR(VLOOKUP(CONCATENATE($B$8,"_",$B26),Data!$BO$16:$ES$1015,CL$11,FALSE),"")</f>
        <v>1637774</v>
      </c>
      <c r="CM26" s="1428">
        <f>IFERROR(VLOOKUP(CONCATENATE($B$8,"_",$B26),Data!$BO$16:$ES$1015,CM$11,FALSE),"")</f>
        <v>5261.6500000000005</v>
      </c>
      <c r="CN26" s="1428" t="str">
        <f>IFERROR(VLOOKUP(CONCATENATE($B$8,"_",$B26),Data!$BO$16:$ES$1015,CN$11,FALSE),"")</f>
        <v/>
      </c>
      <c r="CO26" s="1428">
        <f>IFERROR(VLOOKUP(CONCATENATE($B$8,"_",$B26),Data!$BO$16:$ES$1015,CO$11,FALSE),"")</f>
        <v>138576.37626345057</v>
      </c>
      <c r="CP26" s="1433">
        <f>IFERROR(VLOOKUP(CONCATENATE($B$8,"_",$B26),Data!$BO$16:$ES$1015,CP$11,FALSE),"")</f>
        <v>4063833.2041791752</v>
      </c>
      <c r="CQ26" s="1433">
        <f>IFERROR(VLOOKUP(CONCATENATE($B$8,"_",$B26),Data!$BO$16:$ES$1015,CQ$11,FALSE),"")</f>
        <v>3176489.7207357851</v>
      </c>
      <c r="CR26" s="1433">
        <f>IFERROR(VLOOKUP(CONCATENATE($B$8,"_",$B26),Data!$BO$16:$ES$1015,CR$11,FALSE),"")</f>
        <v>789366.94299387629</v>
      </c>
      <c r="CS26" s="1433" t="str">
        <f>IFERROR(VLOOKUP(CONCATENATE($B$8,"_",$B26),Data!$BO$16:$ES$1015,CS$11,FALSE),"")</f>
        <v/>
      </c>
      <c r="CT26" s="1433" t="str">
        <f>IFERROR(VLOOKUP(CONCATENATE($B$8,"_",$B26),Data!$BO$16:$ES$1015,CT$11,FALSE),"")</f>
        <v/>
      </c>
      <c r="CU26" s="1433" t="str">
        <f>IFERROR(VLOOKUP(CONCATENATE($B$8,"_",$B26),Data!$BO$16:$ES$1015,CU$11,FALSE),"")</f>
        <v/>
      </c>
      <c r="CV26" s="1433" t="str">
        <f>IFERROR(VLOOKUP(CONCATENATE($B$8,"_",$B26),Data!$BO$16:$ES$1015,CV$11,FALSE),"")</f>
        <v/>
      </c>
      <c r="CW26" s="1433">
        <f>IFERROR(VLOOKUP(CONCATENATE($B$8,"_",$B26),Data!$BO$16:$ES$1015,CW$11,FALSE),"")</f>
        <v>147197.6506580743</v>
      </c>
      <c r="CX26" s="1433">
        <f>IFERROR(VLOOKUP(CONCATENATE($B$8,"_",$B26),Data!$BO$16:$ES$1015,CX$11,FALSE),"")</f>
        <v>3994892.8588032145</v>
      </c>
      <c r="CY26" s="1433">
        <f>IFERROR(VLOOKUP(CONCATENATE($B$8,"_",$B26),Data!$BO$16:$ES$1015,CY$11,FALSE),"")</f>
        <v>113468.0895605039</v>
      </c>
      <c r="CZ26" s="1433" t="str">
        <f>IFERROR(VLOOKUP(CONCATENATE($B$8,"_",$B26),Data!$BO$16:$ES$1015,CZ$11,FALSE),"")</f>
        <v/>
      </c>
      <c r="DA26" s="1433" t="str">
        <f>IFERROR(VLOOKUP(CONCATENATE($B$8,"_",$B26),Data!$BO$16:$ES$1015,DA$11,FALSE),"")</f>
        <v/>
      </c>
      <c r="DB26" s="1433" t="str">
        <f>IFERROR(VLOOKUP(CONCATENATE($B$8,"_",$B26),Data!$BO$16:$ES$1015,DB$11,FALSE),"")</f>
        <v/>
      </c>
      <c r="DC26" s="1433">
        <f>IFERROR(VLOOKUP(CONCATENATE($B$8,"_",$B26),Data!$BO$16:$ES$1015,DC$11,FALSE),"")</f>
        <v>1637774</v>
      </c>
      <c r="DD26" s="1433">
        <f>IFERROR(VLOOKUP(CONCATENATE($B$8,"_",$B26),Data!$BO$16:$ES$1015,DD$11,FALSE),"")</f>
        <v>5261.6500000000005</v>
      </c>
      <c r="DE26" s="1433" t="str">
        <f>IFERROR(VLOOKUP(CONCATENATE($B$8,"_",$B26),Data!$BO$16:$ES$1015,DE$11,FALSE),"")</f>
        <v/>
      </c>
      <c r="DF26" s="1433">
        <f>IFERROR(VLOOKUP(CONCATENATE($B$8,"_",$B26),Data!$BO$16:$ES$1015,DF$11,FALSE),"")</f>
        <v>138576.37626345057</v>
      </c>
      <c r="DG26" s="1433" t="str">
        <f>IFERROR(VLOOKUP(CONCATENATE($B$8,"_",$B26),Data!$BO$16:$ES$1015,DG$11,FALSE),"")</f>
        <v/>
      </c>
      <c r="DH26" s="1433" t="str">
        <f>IFERROR(VLOOKUP(CONCATENATE($B$8,"_",$B26),Data!$BO$16:$ES$1015,DH$11,FALSE),"")</f>
        <v/>
      </c>
      <c r="DI26" s="1433" t="str">
        <f>IFERROR(VLOOKUP(CONCATENATE($B$8,"_",$B26),Data!$BO$16:$ES$1015,DI$11,FALSE),"")</f>
        <v/>
      </c>
      <c r="DJ26" s="1433" t="str">
        <f>IFERROR(VLOOKUP(CONCATENATE($B$8,"_",$B26),Data!$BO$16:$ES$1015,DJ$11,FALSE),"")</f>
        <v/>
      </c>
      <c r="DK26" s="1433" t="str">
        <f>IFERROR(VLOOKUP(CONCATENATE($B$8,"_",$B26),Data!$BO$16:$ES$1015,DK$11,FALSE),"")</f>
        <v/>
      </c>
      <c r="DL26" s="1435" t="str">
        <f>IFERROR(VLOOKUP(CONCATENATE($B$8,"_",$B26),Data!$BO$16:$ES$1015,DL$11,FALSE),"")</f>
        <v/>
      </c>
      <c r="DM26" s="1434">
        <f>IFERROR(VLOOKUP(CONCATENATE($B$8,"_",$B26),Data!$BO$16:$ES$1015,DM$11,FALSE),"")</f>
        <v>2394807.3141091089</v>
      </c>
      <c r="DN26" s="1434">
        <f>IFERROR(VLOOKUP(CONCATENATE($B$8,"_",$B26),Data!$BO$16:$ES$1015,DN$11,FALSE),"")</f>
        <v>846725.14632999885</v>
      </c>
      <c r="DO26" s="1434">
        <f>IFERROR(VLOOKUP(CONCATENATE($B$8,"_",$B26),Data!$BO$16:$ES$1015,DO$11,FALSE),"")</f>
        <v>370560.2434413209</v>
      </c>
      <c r="DP26" s="1434" t="str">
        <f>IFERROR(VLOOKUP(CONCATENATE($B$8,"_",$B26),Data!$BO$16:$ES$1015,DP$11,FALSE),"")</f>
        <v/>
      </c>
      <c r="DQ26" s="1434">
        <f>IFERROR(VLOOKUP(CONCATENATE($B$8,"_",$B26),Data!$BO$16:$ES$1015,DQ$11,FALSE),"")</f>
        <v>9574078.306376053</v>
      </c>
      <c r="DR26" s="1434" t="str">
        <f>IFERROR(VLOOKUP(CONCATENATE($B$8,"_",$B26),Data!$BO$16:$ES$1015,DR$11,FALSE),"")</f>
        <v/>
      </c>
      <c r="DS26" s="1434" t="str">
        <f>IFERROR(VLOOKUP(CONCATENATE($B$8,"_",$B26),Data!$BO$16:$ES$1015,DS$11,FALSE),"")</f>
        <v/>
      </c>
      <c r="DT26" s="1434" t="str">
        <f>IFERROR(VLOOKUP(CONCATENATE($B$8,"_",$B26),Data!$BO$16:$ES$1015,DT$11,FALSE),"")</f>
        <v/>
      </c>
      <c r="DU26" s="1434">
        <f>IFERROR(VLOOKUP(CONCATENATE($B$8,"_",$B26),Data!$BO$16:$ES$1015,DU$11,FALSE),"")</f>
        <v>147197.6506580743</v>
      </c>
      <c r="DV26" s="1434">
        <f>IFERROR(VLOOKUP(CONCATENATE($B$8,"_",$B26),Data!$BO$16:$ES$1015,DV$11,FALSE),"")</f>
        <v>3994892.8588032145</v>
      </c>
      <c r="DW26" s="1434">
        <f>IFERROR(VLOOKUP(CONCATENATE($B$8,"_",$B26),Data!$BO$16:$ES$1015,DW$11,FALSE),"")</f>
        <v>17541.769469090708</v>
      </c>
      <c r="DX26" s="1434" t="str">
        <f>IFERROR(VLOOKUP(CONCATENATE($B$8,"_",$B26),Data!$BO$16:$ES$1015,DX$11,FALSE),"")</f>
        <v/>
      </c>
      <c r="DY26" s="1434" t="str">
        <f>IFERROR(VLOOKUP(CONCATENATE($B$8,"_",$B26),Data!$BO$16:$ES$1015,DY$11,FALSE),"")</f>
        <v/>
      </c>
      <c r="DZ26" s="1434" t="str">
        <f>IFERROR(VLOOKUP(CONCATENATE($B$8,"_",$B26),Data!$BO$16:$ES$1015,DZ$11,FALSE),"")</f>
        <v/>
      </c>
      <c r="EA26" s="1434" t="str">
        <f>IFERROR(VLOOKUP(CONCATENATE($B$8,"_",$B26),Data!$BO$16:$ES$1015,EA$11,FALSE),"")</f>
        <v/>
      </c>
      <c r="EB26" s="1434" t="str">
        <f>IFERROR(VLOOKUP(CONCATENATE($B$8,"_",$B26),Data!$BO$16:$ES$1015,EB$11,FALSE),"")</f>
        <v/>
      </c>
      <c r="EC26" s="1434" t="str">
        <f>IFERROR(VLOOKUP(CONCATENATE($B$8,"_",$B26),Data!$BO$16:$ES$1015,EC$11,FALSE),"")</f>
        <v/>
      </c>
      <c r="ED26" s="1434">
        <f>IFERROR(VLOOKUP(CONCATENATE($B$8,"_",$B26),Data!$BO$16:$ES$1015,ED$11,FALSE),"")</f>
        <v>55390.376263450562</v>
      </c>
      <c r="EE26" s="1434" t="str">
        <f>IFERROR(VLOOKUP(CONCATENATE($B$8,"_",$B26),Data!$BO$16:$ES$1015,EE$11,FALSE),"")</f>
        <v/>
      </c>
      <c r="EF26" s="1434" t="str">
        <f>IFERROR(VLOOKUP(CONCATENATE($B$8,"_",$B26),Data!$BO$16:$ES$1015,EF$11,FALSE),"")</f>
        <v/>
      </c>
      <c r="EG26" s="1434" t="str">
        <f>IFERROR(VLOOKUP(CONCATENATE($B$8,"_",$B26),Data!$BO$16:$ES$1015,EG$11,FALSE),"")</f>
        <v/>
      </c>
      <c r="EH26" s="1434" t="str">
        <f>IFERROR(VLOOKUP(CONCATENATE($B$8,"_",$B26),Data!$BO$16:$ES$1015,EH$11,FALSE),"")</f>
        <v/>
      </c>
      <c r="EI26" s="1434" t="str">
        <f>IFERROR(VLOOKUP(CONCATENATE($B$8,"_",$B26),Data!$BO$16:$ES$1015,EI$11,FALSE),"")</f>
        <v/>
      </c>
      <c r="EK26" s="1437"/>
    </row>
    <row r="27" spans="1:141" s="1441" customFormat="1" ht="15" customHeight="1">
      <c r="A27" s="1438">
        <v>14</v>
      </c>
      <c r="B27" s="1738">
        <f>IF($B$13+A27&lt;=Progress!$D$18,$B$13+A27,"")</f>
        <v>2014</v>
      </c>
      <c r="C27" s="1737">
        <f>IFERROR(VLOOKUP(CONCATENATE($B$8,"_",$B27),Data!$H$16:$BN$1015,C$11,FALSE),"")</f>
        <v>0</v>
      </c>
      <c r="D27" s="1428">
        <f>IFERROR(VLOOKUP(CONCATENATE($B$8,"_",$B27),Data!$H$16:$BN$1015,D$11,FALSE),"")</f>
        <v>0</v>
      </c>
      <c r="E27" s="1429">
        <f>IFERROR(VLOOKUP(CONCATENATE($B$8,"_",$B27),Data!$H$16:$BN$1015,E$11,FALSE),"")</f>
        <v>0</v>
      </c>
      <c r="F27" s="1428">
        <f>IFERROR(VLOOKUP(CONCATENATE($B$8,"_",$B27),Data!$H$16:$BN$1015,F$11,FALSE),"")</f>
        <v>0</v>
      </c>
      <c r="G27" s="1428">
        <f>IFERROR(VLOOKUP(CONCATENATE($B$8,"_",$B27),Data!$H$16:$BN$1015,G$11,FALSE),"")</f>
        <v>0</v>
      </c>
      <c r="H27" s="1429">
        <f>IFERROR(VLOOKUP(CONCATENATE($B$8,"_",$B27),Data!$H$16:$BN$1015,H$11,FALSE),"")</f>
        <v>0</v>
      </c>
      <c r="I27" s="1428">
        <f>IFERROR(VLOOKUP(CONCATENATE($B$8,"_",$B27),Data!$H$16:$BN$1015,I$11,FALSE),"")</f>
        <v>0</v>
      </c>
      <c r="J27" s="1428">
        <f>IFERROR(VLOOKUP(CONCATENATE($B$8,"_",$B27),Data!$H$16:$BN$1015,J$11,FALSE),"")</f>
        <v>0</v>
      </c>
      <c r="K27" s="1429">
        <f>IFERROR(VLOOKUP(CONCATENATE($B$8,"_",$B27),Data!$H$16:$BN$1015,K$11,FALSE),"")</f>
        <v>0</v>
      </c>
      <c r="L27" s="1428">
        <f>IFERROR(VLOOKUP(CONCATENATE($B$8,"_",$B27),Data!$H$16:$BN$1015,L$11,FALSE),"")</f>
        <v>0</v>
      </c>
      <c r="M27" s="1428">
        <f>IFERROR(VLOOKUP(CONCATENATE($B$8,"_",$B27),Data!$H$16:$BN$1015,M$11,FALSE),"")</f>
        <v>0</v>
      </c>
      <c r="N27" s="1429">
        <f>IFERROR(VLOOKUP(CONCATENATE($B$8,"_",$B27),Data!$H$16:$BN$1015,N$11,FALSE),"")</f>
        <v>0</v>
      </c>
      <c r="O27" s="1430">
        <f>IFERROR(VLOOKUP(CONCATENATE($B$8,"_",$B27),Data!$H$16:$BN$1015,O$11,FALSE),"")</f>
        <v>0</v>
      </c>
      <c r="P27" s="1428">
        <f>IFERROR(VLOOKUP(CONCATENATE($B$8,"_",$B27),Data!$H$16:$BN$1015,P$11,FALSE),"")</f>
        <v>0</v>
      </c>
      <c r="Q27" s="1428">
        <f>IFERROR(VLOOKUP(CONCATENATE($B$8,"_",$B27),Data!$H$16:$BN$1015,Q$11,FALSE),"")</f>
        <v>0</v>
      </c>
      <c r="R27" s="1429">
        <f>IFERROR(VLOOKUP(CONCATENATE($B$8,"_",$B27),Data!$H$16:$BN$1015,R$11,FALSE),"")</f>
        <v>0</v>
      </c>
      <c r="S27" s="1428">
        <f>IFERROR(VLOOKUP(CONCATENATE($B$8,"_",$B27),Data!$H$16:$BN$1015,S$11,FALSE),"")</f>
        <v>0</v>
      </c>
      <c r="T27" s="1428">
        <f>IFERROR(VLOOKUP(CONCATENATE($B$8,"_",$B27),Data!$H$16:$BN$1015,T$11,FALSE),"")</f>
        <v>0</v>
      </c>
      <c r="U27" s="1429">
        <f>IFERROR(VLOOKUP(CONCATENATE($B$8,"_",$B27),Data!$H$16:$BN$1015,U$11,FALSE),"")</f>
        <v>0</v>
      </c>
      <c r="V27" s="1428">
        <f>IFERROR(VLOOKUP(CONCATENATE($B$8,"_",$B27),Data!$H$16:$BN$1015,V$11,FALSE),"")</f>
        <v>0</v>
      </c>
      <c r="W27" s="1428">
        <f>IFERROR(VLOOKUP(CONCATENATE($B$8,"_",$B27),Data!$H$16:$BN$1015,W$11,FALSE),"")</f>
        <v>0</v>
      </c>
      <c r="X27" s="1428">
        <f>IFERROR(VLOOKUP(CONCATENATE($B$8,"_",$B27),Data!$H$16:$BN$1015,X$11,FALSE),"")</f>
        <v>0</v>
      </c>
      <c r="Y27" s="1428">
        <f>IFERROR(VLOOKUP(CONCATENATE($B$8,"_",$B27),Data!$H$16:$BN$1015,Y$11,FALSE),"")</f>
        <v>0</v>
      </c>
      <c r="Z27" s="1429">
        <f>IFERROR(VLOOKUP(CONCATENATE($B$8,"_",$B27),Data!$H$16:$BN$1015,Z$11,FALSE),"")</f>
        <v>0</v>
      </c>
      <c r="AA27" s="1428">
        <f>IFERROR(VLOOKUP(CONCATENATE($B$8,"_",$B27),Data!$H$16:$BN$1015,AA$11,FALSE),"")</f>
        <v>0</v>
      </c>
      <c r="AB27" s="1428">
        <f>IFERROR(VLOOKUP(CONCATENATE($B$8,"_",$B27),Data!$H$16:$BN$1015,AB$11,FALSE),"")</f>
        <v>0</v>
      </c>
      <c r="AC27" s="1429">
        <f>IFERROR(VLOOKUP(CONCATENATE($B$8,"_",$B27),Data!$H$16:$BN$1015,AC$11,FALSE),"")</f>
        <v>0</v>
      </c>
      <c r="AD27" s="1428">
        <f>IFERROR(VLOOKUP(CONCATENATE($B$8,"_",$B27),Data!$H$16:$BN$1015,AD$11,FALSE),"")</f>
        <v>0</v>
      </c>
      <c r="AE27" s="1428">
        <f>IFERROR(VLOOKUP(CONCATENATE($B$8,"_",$B27),Data!$H$16:$BN$1015,AE$11,FALSE),"")</f>
        <v>0</v>
      </c>
      <c r="AF27" s="1429">
        <f>IFERROR(VLOOKUP(CONCATENATE($B$8,"_",$B27),Data!$H$16:$BN$1015,AF$11,FALSE),"")</f>
        <v>0</v>
      </c>
      <c r="AG27" s="1428">
        <f>IFERROR(VLOOKUP(CONCATENATE($B$8,"_",$B27),Data!$H$16:$BN$1015,AG$11,FALSE),"")</f>
        <v>0</v>
      </c>
      <c r="AH27" s="1428">
        <f>IFERROR(VLOOKUP(CONCATENATE($B$8,"_",$B27),Data!$H$16:$BN$1015,AH$11,FALSE),"")</f>
        <v>0</v>
      </c>
      <c r="AI27" s="1429">
        <f>IFERROR(VLOOKUP(CONCATENATE($B$8,"_",$B27),Data!$H$16:$BN$1015,AI$11,FALSE),"")</f>
        <v>0</v>
      </c>
      <c r="AJ27" s="1428">
        <f>IFERROR(VLOOKUP(CONCATENATE($B$8,"_",$B27),Data!$H$16:$BN$1015,AJ$11,FALSE),"")</f>
        <v>0</v>
      </c>
      <c r="AK27" s="1428">
        <f>IFERROR(VLOOKUP(CONCATENATE($B$8,"_",$B27),Data!$H$16:$BN$1015,AK$11,FALSE),"")</f>
        <v>0</v>
      </c>
      <c r="AL27" s="1429">
        <f>IFERROR(VLOOKUP(CONCATENATE($B$8,"_",$B27),Data!$H$16:$BN$1015,AL$11,FALSE),"")</f>
        <v>0</v>
      </c>
      <c r="AM27" s="1428">
        <f>IFERROR(VLOOKUP(CONCATENATE($B$8,"_",$B27),Data!$H$16:$BN$1015,AM$11,FALSE),"")</f>
        <v>0</v>
      </c>
      <c r="AN27" s="1428">
        <f>IFERROR(VLOOKUP(CONCATENATE($B$8,"_",$B27),Data!$H$16:$BN$1015,AN$11,FALSE),"")</f>
        <v>0</v>
      </c>
      <c r="AO27" s="1430">
        <f>IFERROR(VLOOKUP(CONCATENATE($B$8,"_",$B27),Data!$H$16:$BN$1015,AO$11,FALSE),"")</f>
        <v>0</v>
      </c>
      <c r="AP27" s="1428">
        <f>IFERROR(VLOOKUP(CONCATENATE($B$8,"_",$B27),Data!$H$16:$BN$1015,AP$11,FALSE),"")</f>
        <v>0</v>
      </c>
      <c r="AQ27" s="1428">
        <f>IFERROR(VLOOKUP(CONCATENATE($B$8,"_",$B27),Data!$H$16:$BN$1015,AQ$11,FALSE),"")</f>
        <v>0</v>
      </c>
      <c r="AR27" s="1430">
        <f>IFERROR(VLOOKUP(CONCATENATE($B$8,"_",$B27),Data!$H$16:$BN$1015,AR$11,FALSE),"")</f>
        <v>0</v>
      </c>
      <c r="AS27" s="1428">
        <f>IFERROR(VLOOKUP(CONCATENATE($B$8,"_",$B27),Data!$H$16:$BN$1015,AS$11,FALSE),"")</f>
        <v>0</v>
      </c>
      <c r="AT27" s="1428">
        <f>IFERROR(VLOOKUP(CONCATENATE($B$8,"_",$B27),Data!$H$16:$BN$1015,AT$11,FALSE),"")</f>
        <v>0</v>
      </c>
      <c r="AU27" s="1430">
        <f>IFERROR(VLOOKUP(CONCATENATE($B$8,"_",$B27),Data!$H$16:$BN$1015,AU$11,FALSE),"")</f>
        <v>0</v>
      </c>
      <c r="AV27" s="1428">
        <f>IFERROR(VLOOKUP(CONCATENATE($B$8,"_",$B27),Data!$H$16:$BN$1015,AV$11,FALSE),"")</f>
        <v>0</v>
      </c>
      <c r="AW27" s="1428">
        <f>IFERROR(VLOOKUP(CONCATENATE($B$8,"_",$B27),Data!$H$16:$BN$1015,AW$11,FALSE),"")</f>
        <v>0</v>
      </c>
      <c r="AX27" s="1430">
        <f>IFERROR(VLOOKUP(CONCATENATE($B$8,"_",$B27),Data!$H$16:$BN$1015,AX$11,FALSE),"")</f>
        <v>0</v>
      </c>
      <c r="AY27" s="1429">
        <f>IFERROR(VLOOKUP(CONCATENATE($B$8,"_",$B27),Data!$H$16:$BN$1015,AY$11,FALSE),"")</f>
        <v>0</v>
      </c>
      <c r="AZ27" s="1429">
        <f>IFERROR(VLOOKUP(CONCATENATE($B$8,"_",$B27),Data!$H$16:$BN$1015,AZ$11,FALSE),"")</f>
        <v>0</v>
      </c>
      <c r="BA27" s="1429">
        <f>IFERROR(VLOOKUP(CONCATENATE($B$8,"_",$B27),Data!$H$16:$BN$1015,BA$11,FALSE),"")</f>
        <v>0</v>
      </c>
      <c r="BB27" s="1429">
        <f>IFERROR(VLOOKUP(CONCATENATE($B$8,"_",$B27),Data!$H$16:$BN$1015,BB$11,FALSE),"")</f>
        <v>0</v>
      </c>
      <c r="BC27" s="1429">
        <f>IFERROR(VLOOKUP(CONCATENATE($B$8,"_",$B27),Data!$H$16:$BN$1015,BC$11,FALSE),"")</f>
        <v>0</v>
      </c>
      <c r="BD27" s="1431">
        <f>IFERROR(VLOOKUP(CONCATENATE($B$8,"_",$B27),Data!$H$16:$BN$1015,BD$11,FALSE),"")</f>
        <v>0</v>
      </c>
      <c r="BE27" s="1439">
        <f t="shared" si="0"/>
        <v>2014</v>
      </c>
      <c r="BF27" s="1428">
        <f>IFERROR(VLOOKUP(CONCATENATE($B$8,"_",$B27),Data!$BO$16:$ES$1015,BF$11,FALSE),"")</f>
        <v>12928645.752935115</v>
      </c>
      <c r="BG27" s="1433">
        <f>IFERROR(VLOOKUP(CONCATENATE($B$8,"_",$B27),Data!$BO$16:$ES$1015,BG$11,FALSE),"")</f>
        <v>0</v>
      </c>
      <c r="BH27" s="1435">
        <f>IFERROR(VLOOKUP(CONCATENATE($B$8,"_",$B27),Data!$BO$16:$ES$1015,BH$11,FALSE),"")</f>
        <v>0</v>
      </c>
      <c r="BI27" s="1434">
        <f>IFERROR(VLOOKUP(CONCATENATE($B$8,"_",$B27),Data!$BO$16:$ES$1015,BI$11,FALSE),"")</f>
        <v>0</v>
      </c>
      <c r="BJ27" s="1428">
        <f>IFERROR(VLOOKUP(CONCATENATE($B$8,"_",$B27),Data!$BO$16:$ES$1015,BJ$11,FALSE),"")</f>
        <v>7481617.2258303259</v>
      </c>
      <c r="BK27" s="1428">
        <f>IFERROR(VLOOKUP(CONCATENATE($B$8,"_",$B27),Data!$BO$16:$ES$1015,BK$11,FALSE),"")</f>
        <v>3654887.7894731089</v>
      </c>
      <c r="BL27" s="1428">
        <f>IFERROR(VLOOKUP(CONCATENATE($B$8,"_",$B27),Data!$BO$16:$ES$1015,BL$11,FALSE),"")</f>
        <v>1792140.7376316802</v>
      </c>
      <c r="BM27" s="1433">
        <f>IFERROR(VLOOKUP(CONCATENATE($B$8,"_",$B27),Data!$BO$16:$ES$1015,BM$11,FALSE),"")</f>
        <v>0</v>
      </c>
      <c r="BN27" s="1433">
        <f>IFERROR(VLOOKUP(CONCATENATE($B$8,"_",$B27),Data!$BO$16:$ES$1015,BN$11,FALSE),"")</f>
        <v>0</v>
      </c>
      <c r="BO27" s="1433">
        <f>IFERROR(VLOOKUP(CONCATENATE($B$8,"_",$B27),Data!$BO$16:$ES$1015,BO$11,FALSE),"")</f>
        <v>0</v>
      </c>
      <c r="BP27" s="1433">
        <f>IFERROR(VLOOKUP(CONCATENATE($B$8,"_",$B27),Data!$BO$16:$ES$1015,BP$11,FALSE),"")</f>
        <v>0</v>
      </c>
      <c r="BQ27" s="1433">
        <f>IFERROR(VLOOKUP(CONCATENATE($B$8,"_",$B27),Data!$BO$16:$ES$1015,BQ$11,FALSE),"")</f>
        <v>0</v>
      </c>
      <c r="BR27" s="1434">
        <f>IFERROR(VLOOKUP(CONCATENATE($B$8,"_",$B27),Data!$BO$16:$ES$1015,BR$11,FALSE),"")</f>
        <v>0</v>
      </c>
      <c r="BS27" s="1434">
        <f>IFERROR(VLOOKUP(CONCATENATE($B$8,"_",$B27),Data!$BO$16:$ES$1015,BS$11,FALSE),"")</f>
        <v>0</v>
      </c>
      <c r="BT27" s="1434">
        <f>IFERROR(VLOOKUP(CONCATENATE($B$8,"_",$B27),Data!$BO$16:$ES$1015,BT$11,FALSE),"")</f>
        <v>0</v>
      </c>
      <c r="BU27" s="1434">
        <f>IFERROR(VLOOKUP(CONCATENATE($B$8,"_",$B27),Data!$BO$16:$ES$1015,BU$11,FALSE),"")</f>
        <v>0</v>
      </c>
      <c r="BV27" s="1434">
        <f>IFERROR(VLOOKUP(CONCATENATE($B$8,"_",$B27),Data!$BO$16:$ES$1015,BV$11,FALSE),"")</f>
        <v>0</v>
      </c>
      <c r="BW27" s="1434">
        <f>IFERROR(VLOOKUP(CONCATENATE($B$8,"_",$B27),Data!$BO$16:$ES$1015,BW$11,FALSE),"")</f>
        <v>0</v>
      </c>
      <c r="BX27" s="1434">
        <f>IFERROR(VLOOKUP(CONCATENATE($B$8,"_",$B27),Data!$BO$16:$ES$1015,BX$11,FALSE),"")</f>
        <v>0</v>
      </c>
      <c r="BY27" s="1428">
        <f>IFERROR(VLOOKUP(CONCATENATE($B$8,"_",$B27),Data!$BO$16:$ES$1015,BY$11,FALSE),"")</f>
        <v>0</v>
      </c>
      <c r="BZ27" s="1428">
        <f>IFERROR(VLOOKUP(CONCATENATE($B$8,"_",$B27),Data!$BO$16:$ES$1015,BZ$11,FALSE),"")</f>
        <v>0</v>
      </c>
      <c r="CA27" s="1428">
        <f>IFERROR(VLOOKUP(CONCATENATE($B$8,"_",$B27),Data!$BO$16:$ES$1015,CA$11,FALSE),"")</f>
        <v>0</v>
      </c>
      <c r="CB27" s="1428">
        <f>IFERROR(VLOOKUP(CONCATENATE($B$8,"_",$B27),Data!$BO$16:$ES$1015,CB$11,FALSE),"")</f>
        <v>0</v>
      </c>
      <c r="CC27" s="1428">
        <f>IFERROR(VLOOKUP(CONCATENATE($B$8,"_",$B27),Data!$BO$16:$ES$1015,CC$11,FALSE),"")</f>
        <v>0</v>
      </c>
      <c r="CD27" s="1428">
        <f>IFERROR(VLOOKUP(CONCATENATE($B$8,"_",$B27),Data!$BO$16:$ES$1015,CD$11,FALSE),"")</f>
        <v>0</v>
      </c>
      <c r="CE27" s="1428">
        <f>IFERROR(VLOOKUP(CONCATENATE($B$8,"_",$B27),Data!$BO$16:$ES$1015,CE$11,FALSE),"")</f>
        <v>0</v>
      </c>
      <c r="CF27" s="1428">
        <f>IFERROR(VLOOKUP(CONCATENATE($B$8,"_",$B27),Data!$BO$16:$ES$1015,CF$11,FALSE),"")</f>
        <v>0</v>
      </c>
      <c r="CG27" s="1428">
        <f>IFERROR(VLOOKUP(CONCATENATE($B$8,"_",$B27),Data!$BO$16:$ES$1015,CG$11,FALSE),"")</f>
        <v>0</v>
      </c>
      <c r="CH27" s="1428">
        <f>IFERROR(VLOOKUP(CONCATENATE($B$8,"_",$B27),Data!$BO$16:$ES$1015,CH$11,FALSE),"")</f>
        <v>0</v>
      </c>
      <c r="CI27" s="1428">
        <f>IFERROR(VLOOKUP(CONCATENATE($B$8,"_",$B27),Data!$BO$16:$ES$1015,CI$11,FALSE),"")</f>
        <v>0</v>
      </c>
      <c r="CJ27" s="1428">
        <f>IFERROR(VLOOKUP(CONCATENATE($B$8,"_",$B27),Data!$BO$16:$ES$1015,CJ$11,FALSE),"")</f>
        <v>0</v>
      </c>
      <c r="CK27" s="1428">
        <f>IFERROR(VLOOKUP(CONCATENATE($B$8,"_",$B27),Data!$BO$16:$ES$1015,CK$11,FALSE),"")</f>
        <v>0</v>
      </c>
      <c r="CL27" s="1428">
        <f>IFERROR(VLOOKUP(CONCATENATE($B$8,"_",$B27),Data!$BO$16:$ES$1015,CL$11,FALSE),"")</f>
        <v>0</v>
      </c>
      <c r="CM27" s="1428">
        <f>IFERROR(VLOOKUP(CONCATENATE($B$8,"_",$B27),Data!$BO$16:$ES$1015,CM$11,FALSE),"")</f>
        <v>0</v>
      </c>
      <c r="CN27" s="1428">
        <f>IFERROR(VLOOKUP(CONCATENATE($B$8,"_",$B27),Data!$BO$16:$ES$1015,CN$11,FALSE),"")</f>
        <v>0</v>
      </c>
      <c r="CO27" s="1428">
        <f>IFERROR(VLOOKUP(CONCATENATE($B$8,"_",$B27),Data!$BO$16:$ES$1015,CO$11,FALSE),"")</f>
        <v>0</v>
      </c>
      <c r="CP27" s="1433">
        <f>IFERROR(VLOOKUP(CONCATENATE($B$8,"_",$B27),Data!$BO$16:$ES$1015,CP$11,FALSE),"")</f>
        <v>0</v>
      </c>
      <c r="CQ27" s="1433">
        <f>IFERROR(VLOOKUP(CONCATENATE($B$8,"_",$B27),Data!$BO$16:$ES$1015,CQ$11,FALSE),"")</f>
        <v>0</v>
      </c>
      <c r="CR27" s="1433">
        <f>IFERROR(VLOOKUP(CONCATENATE($B$8,"_",$B27),Data!$BO$16:$ES$1015,CR$11,FALSE),"")</f>
        <v>0</v>
      </c>
      <c r="CS27" s="1433">
        <f>IFERROR(VLOOKUP(CONCATENATE($B$8,"_",$B27),Data!$BO$16:$ES$1015,CS$11,FALSE),"")</f>
        <v>0</v>
      </c>
      <c r="CT27" s="1433">
        <f>IFERROR(VLOOKUP(CONCATENATE($B$8,"_",$B27),Data!$BO$16:$ES$1015,CT$11,FALSE),"")</f>
        <v>0</v>
      </c>
      <c r="CU27" s="1433">
        <f>IFERROR(VLOOKUP(CONCATENATE($B$8,"_",$B27),Data!$BO$16:$ES$1015,CU$11,FALSE),"")</f>
        <v>0</v>
      </c>
      <c r="CV27" s="1433">
        <f>IFERROR(VLOOKUP(CONCATENATE($B$8,"_",$B27),Data!$BO$16:$ES$1015,CV$11,FALSE),"")</f>
        <v>0</v>
      </c>
      <c r="CW27" s="1433">
        <f>IFERROR(VLOOKUP(CONCATENATE($B$8,"_",$B27),Data!$BO$16:$ES$1015,CW$11,FALSE),"")</f>
        <v>0</v>
      </c>
      <c r="CX27" s="1433">
        <f>IFERROR(VLOOKUP(CONCATENATE($B$8,"_",$B27),Data!$BO$16:$ES$1015,CX$11,FALSE),"")</f>
        <v>0</v>
      </c>
      <c r="CY27" s="1433">
        <f>IFERROR(VLOOKUP(CONCATENATE($B$8,"_",$B27),Data!$BO$16:$ES$1015,CY$11,FALSE),"")</f>
        <v>0</v>
      </c>
      <c r="CZ27" s="1433">
        <f>IFERROR(VLOOKUP(CONCATENATE($B$8,"_",$B27),Data!$BO$16:$ES$1015,CZ$11,FALSE),"")</f>
        <v>0</v>
      </c>
      <c r="DA27" s="1433">
        <f>IFERROR(VLOOKUP(CONCATENATE($B$8,"_",$B27),Data!$BO$16:$ES$1015,DA$11,FALSE),"")</f>
        <v>0</v>
      </c>
      <c r="DB27" s="1433">
        <f>IFERROR(VLOOKUP(CONCATENATE($B$8,"_",$B27),Data!$BO$16:$ES$1015,DB$11,FALSE),"")</f>
        <v>0</v>
      </c>
      <c r="DC27" s="1433">
        <f>IFERROR(VLOOKUP(CONCATENATE($B$8,"_",$B27),Data!$BO$16:$ES$1015,DC$11,FALSE),"")</f>
        <v>0</v>
      </c>
      <c r="DD27" s="1433">
        <f>IFERROR(VLOOKUP(CONCATENATE($B$8,"_",$B27),Data!$BO$16:$ES$1015,DD$11,FALSE),"")</f>
        <v>0</v>
      </c>
      <c r="DE27" s="1433">
        <f>IFERROR(VLOOKUP(CONCATENATE($B$8,"_",$B27),Data!$BO$16:$ES$1015,DE$11,FALSE),"")</f>
        <v>0</v>
      </c>
      <c r="DF27" s="1433">
        <f>IFERROR(VLOOKUP(CONCATENATE($B$8,"_",$B27),Data!$BO$16:$ES$1015,DF$11,FALSE),"")</f>
        <v>0</v>
      </c>
      <c r="DG27" s="1433">
        <f>IFERROR(VLOOKUP(CONCATENATE($B$8,"_",$B27),Data!$BO$16:$ES$1015,DG$11,FALSE),"")</f>
        <v>0</v>
      </c>
      <c r="DH27" s="1433">
        <f>IFERROR(VLOOKUP(CONCATENATE($B$8,"_",$B27),Data!$BO$16:$ES$1015,DH$11,FALSE),"")</f>
        <v>0</v>
      </c>
      <c r="DI27" s="1433">
        <f>IFERROR(VLOOKUP(CONCATENATE($B$8,"_",$B27),Data!$BO$16:$ES$1015,DI$11,FALSE),"")</f>
        <v>0</v>
      </c>
      <c r="DJ27" s="1433">
        <f>IFERROR(VLOOKUP(CONCATENATE($B$8,"_",$B27),Data!$BO$16:$ES$1015,DJ$11,FALSE),"")</f>
        <v>0</v>
      </c>
      <c r="DK27" s="1433">
        <f>IFERROR(VLOOKUP(CONCATENATE($B$8,"_",$B27),Data!$BO$16:$ES$1015,DK$11,FALSE),"")</f>
        <v>0</v>
      </c>
      <c r="DL27" s="1435">
        <f>IFERROR(VLOOKUP(CONCATENATE($B$8,"_",$B27),Data!$BO$16:$ES$1015,DL$11,FALSE),"")</f>
        <v>0</v>
      </c>
      <c r="DM27" s="1434">
        <f>IFERROR(VLOOKUP(CONCATENATE($B$8,"_",$B27),Data!$BO$16:$ES$1015,DM$11,FALSE),"")</f>
        <v>0</v>
      </c>
      <c r="DN27" s="1434">
        <f>IFERROR(VLOOKUP(CONCATENATE($B$8,"_",$B27),Data!$BO$16:$ES$1015,DN$11,FALSE),"")</f>
        <v>0</v>
      </c>
      <c r="DO27" s="1434">
        <f>IFERROR(VLOOKUP(CONCATENATE($B$8,"_",$B27),Data!$BO$16:$ES$1015,DO$11,FALSE),"")</f>
        <v>0</v>
      </c>
      <c r="DP27" s="1434">
        <f>IFERROR(VLOOKUP(CONCATENATE($B$8,"_",$B27),Data!$BO$16:$ES$1015,DP$11,FALSE),"")</f>
        <v>0</v>
      </c>
      <c r="DQ27" s="1434">
        <f>IFERROR(VLOOKUP(CONCATENATE($B$8,"_",$B27),Data!$BO$16:$ES$1015,DQ$11,FALSE),"")</f>
        <v>0</v>
      </c>
      <c r="DR27" s="1434">
        <f>IFERROR(VLOOKUP(CONCATENATE($B$8,"_",$B27),Data!$BO$16:$ES$1015,DR$11,FALSE),"")</f>
        <v>0</v>
      </c>
      <c r="DS27" s="1434">
        <f>IFERROR(VLOOKUP(CONCATENATE($B$8,"_",$B27),Data!$BO$16:$ES$1015,DS$11,FALSE),"")</f>
        <v>0</v>
      </c>
      <c r="DT27" s="1434">
        <f>IFERROR(VLOOKUP(CONCATENATE($B$8,"_",$B27),Data!$BO$16:$ES$1015,DT$11,FALSE),"")</f>
        <v>0</v>
      </c>
      <c r="DU27" s="1434">
        <f>IFERROR(VLOOKUP(CONCATENATE($B$8,"_",$B27),Data!$BO$16:$ES$1015,DU$11,FALSE),"")</f>
        <v>0</v>
      </c>
      <c r="DV27" s="1434">
        <f>IFERROR(VLOOKUP(CONCATENATE($B$8,"_",$B27),Data!$BO$16:$ES$1015,DV$11,FALSE),"")</f>
        <v>0</v>
      </c>
      <c r="DW27" s="1434">
        <f>IFERROR(VLOOKUP(CONCATENATE($B$8,"_",$B27),Data!$BO$16:$ES$1015,DW$11,FALSE),"")</f>
        <v>0</v>
      </c>
      <c r="DX27" s="1434">
        <f>IFERROR(VLOOKUP(CONCATENATE($B$8,"_",$B27),Data!$BO$16:$ES$1015,DX$11,FALSE),"")</f>
        <v>0</v>
      </c>
      <c r="DY27" s="1434">
        <f>IFERROR(VLOOKUP(CONCATENATE($B$8,"_",$B27),Data!$BO$16:$ES$1015,DY$11,FALSE),"")</f>
        <v>0</v>
      </c>
      <c r="DZ27" s="1434">
        <f>IFERROR(VLOOKUP(CONCATENATE($B$8,"_",$B27),Data!$BO$16:$ES$1015,DZ$11,FALSE),"")</f>
        <v>0</v>
      </c>
      <c r="EA27" s="1434">
        <f>IFERROR(VLOOKUP(CONCATENATE($B$8,"_",$B27),Data!$BO$16:$ES$1015,EA$11,FALSE),"")</f>
        <v>0</v>
      </c>
      <c r="EB27" s="1434">
        <f>IFERROR(VLOOKUP(CONCATENATE($B$8,"_",$B27),Data!$BO$16:$ES$1015,EB$11,FALSE),"")</f>
        <v>0</v>
      </c>
      <c r="EC27" s="1434">
        <f>IFERROR(VLOOKUP(CONCATENATE($B$8,"_",$B27),Data!$BO$16:$ES$1015,EC$11,FALSE),"")</f>
        <v>0</v>
      </c>
      <c r="ED27" s="1434">
        <f>IFERROR(VLOOKUP(CONCATENATE($B$8,"_",$B27),Data!$BO$16:$ES$1015,ED$11,FALSE),"")</f>
        <v>0</v>
      </c>
      <c r="EE27" s="1434">
        <f>IFERROR(VLOOKUP(CONCATENATE($B$8,"_",$B27),Data!$BO$16:$ES$1015,EE$11,FALSE),"")</f>
        <v>0</v>
      </c>
      <c r="EF27" s="1434">
        <f>IFERROR(VLOOKUP(CONCATENATE($B$8,"_",$B27),Data!$BO$16:$ES$1015,EF$11,FALSE),"")</f>
        <v>0</v>
      </c>
      <c r="EG27" s="1434">
        <f>IFERROR(VLOOKUP(CONCATENATE($B$8,"_",$B27),Data!$BO$16:$ES$1015,EG$11,FALSE),"")</f>
        <v>0</v>
      </c>
      <c r="EH27" s="1434">
        <f>IFERROR(VLOOKUP(CONCATENATE($B$8,"_",$B27),Data!$BO$16:$ES$1015,EH$11,FALSE),"")</f>
        <v>0</v>
      </c>
      <c r="EI27" s="1434">
        <f>IFERROR(VLOOKUP(CONCATENATE($B$8,"_",$B27),Data!$BO$16:$ES$1015,EI$11,FALSE),"")</f>
        <v>0</v>
      </c>
    </row>
    <row r="28" spans="1:141" s="1441" customFormat="1" ht="15" customHeight="1">
      <c r="A28" s="1438">
        <v>15</v>
      </c>
      <c r="B28" s="1738">
        <f>IF($B$13+A28&lt;=Progress!$D$18,$B$13+A28,"")</f>
        <v>2015</v>
      </c>
      <c r="C28" s="1737" t="str">
        <f>IFERROR(VLOOKUP(CONCATENATE($B$8,"_",$B28),Data!$H$16:$BN$1015,C$11,FALSE),"")</f>
        <v/>
      </c>
      <c r="D28" s="1428" t="str">
        <f>IFERROR(VLOOKUP(CONCATENATE($B$8,"_",$B28),Data!$H$16:$BN$1015,D$11,FALSE),"")</f>
        <v/>
      </c>
      <c r="E28" s="1429" t="str">
        <f>IFERROR(VLOOKUP(CONCATENATE($B$8,"_",$B28),Data!$H$16:$BN$1015,E$11,FALSE),"")</f>
        <v/>
      </c>
      <c r="F28" s="1428" t="str">
        <f>IFERROR(VLOOKUP(CONCATENATE($B$8,"_",$B28),Data!$H$16:$BN$1015,F$11,FALSE),"")</f>
        <v/>
      </c>
      <c r="G28" s="1428" t="str">
        <f>IFERROR(VLOOKUP(CONCATENATE($B$8,"_",$B28),Data!$H$16:$BN$1015,G$11,FALSE),"")</f>
        <v/>
      </c>
      <c r="H28" s="1429" t="str">
        <f>IFERROR(VLOOKUP(CONCATENATE($B$8,"_",$B28),Data!$H$16:$BN$1015,H$11,FALSE),"")</f>
        <v/>
      </c>
      <c r="I28" s="1428" t="str">
        <f>IFERROR(VLOOKUP(CONCATENATE($B$8,"_",$B28),Data!$H$16:$BN$1015,I$11,FALSE),"")</f>
        <v/>
      </c>
      <c r="J28" s="1428" t="str">
        <f>IFERROR(VLOOKUP(CONCATENATE($B$8,"_",$B28),Data!$H$16:$BN$1015,J$11,FALSE),"")</f>
        <v/>
      </c>
      <c r="K28" s="1429" t="str">
        <f>IFERROR(VLOOKUP(CONCATENATE($B$8,"_",$B28),Data!$H$16:$BN$1015,K$11,FALSE),"")</f>
        <v/>
      </c>
      <c r="L28" s="1428" t="str">
        <f>IFERROR(VLOOKUP(CONCATENATE($B$8,"_",$B28),Data!$H$16:$BN$1015,L$11,FALSE),"")</f>
        <v/>
      </c>
      <c r="M28" s="1428" t="str">
        <f>IFERROR(VLOOKUP(CONCATENATE($B$8,"_",$B28),Data!$H$16:$BN$1015,M$11,FALSE),"")</f>
        <v/>
      </c>
      <c r="N28" s="1429" t="str">
        <f>IFERROR(VLOOKUP(CONCATENATE($B$8,"_",$B28),Data!$H$16:$BN$1015,N$11,FALSE),"")</f>
        <v/>
      </c>
      <c r="O28" s="1430" t="str">
        <f>IFERROR(VLOOKUP(CONCATENATE($B$8,"_",$B28),Data!$H$16:$BN$1015,O$11,FALSE),"")</f>
        <v/>
      </c>
      <c r="P28" s="1428" t="str">
        <f>IFERROR(VLOOKUP(CONCATENATE($B$8,"_",$B28),Data!$H$16:$BN$1015,P$11,FALSE),"")</f>
        <v/>
      </c>
      <c r="Q28" s="1428" t="str">
        <f>IFERROR(VLOOKUP(CONCATENATE($B$8,"_",$B28),Data!$H$16:$BN$1015,Q$11,FALSE),"")</f>
        <v/>
      </c>
      <c r="R28" s="1429" t="str">
        <f>IFERROR(VLOOKUP(CONCATENATE($B$8,"_",$B28),Data!$H$16:$BN$1015,R$11,FALSE),"")</f>
        <v/>
      </c>
      <c r="S28" s="1428" t="str">
        <f>IFERROR(VLOOKUP(CONCATENATE($B$8,"_",$B28),Data!$H$16:$BN$1015,S$11,FALSE),"")</f>
        <v/>
      </c>
      <c r="T28" s="1428" t="str">
        <f>IFERROR(VLOOKUP(CONCATENATE($B$8,"_",$B28),Data!$H$16:$BN$1015,T$11,FALSE),"")</f>
        <v/>
      </c>
      <c r="U28" s="1429" t="str">
        <f>IFERROR(VLOOKUP(CONCATENATE($B$8,"_",$B28),Data!$H$16:$BN$1015,U$11,FALSE),"")</f>
        <v/>
      </c>
      <c r="V28" s="1428" t="str">
        <f>IFERROR(VLOOKUP(CONCATENATE($B$8,"_",$B28),Data!$H$16:$BN$1015,V$11,FALSE),"")</f>
        <v/>
      </c>
      <c r="W28" s="1428" t="str">
        <f>IFERROR(VLOOKUP(CONCATENATE($B$8,"_",$B28),Data!$H$16:$BN$1015,W$11,FALSE),"")</f>
        <v/>
      </c>
      <c r="X28" s="1428" t="str">
        <f>IFERROR(VLOOKUP(CONCATENATE($B$8,"_",$B28),Data!$H$16:$BN$1015,X$11,FALSE),"")</f>
        <v/>
      </c>
      <c r="Y28" s="1428" t="str">
        <f>IFERROR(VLOOKUP(CONCATENATE($B$8,"_",$B28),Data!$H$16:$BN$1015,Y$11,FALSE),"")</f>
        <v/>
      </c>
      <c r="Z28" s="1429" t="str">
        <f>IFERROR(VLOOKUP(CONCATENATE($B$8,"_",$B28),Data!$H$16:$BN$1015,Z$11,FALSE),"")</f>
        <v/>
      </c>
      <c r="AA28" s="1428" t="str">
        <f>IFERROR(VLOOKUP(CONCATENATE($B$8,"_",$B28),Data!$H$16:$BN$1015,AA$11,FALSE),"")</f>
        <v/>
      </c>
      <c r="AB28" s="1428" t="str">
        <f>IFERROR(VLOOKUP(CONCATENATE($B$8,"_",$B28),Data!$H$16:$BN$1015,AB$11,FALSE),"")</f>
        <v/>
      </c>
      <c r="AC28" s="1429" t="str">
        <f>IFERROR(VLOOKUP(CONCATENATE($B$8,"_",$B28),Data!$H$16:$BN$1015,AC$11,FALSE),"")</f>
        <v/>
      </c>
      <c r="AD28" s="1428" t="str">
        <f>IFERROR(VLOOKUP(CONCATENATE($B$8,"_",$B28),Data!$H$16:$BN$1015,AD$11,FALSE),"")</f>
        <v/>
      </c>
      <c r="AE28" s="1428" t="str">
        <f>IFERROR(VLOOKUP(CONCATENATE($B$8,"_",$B28),Data!$H$16:$BN$1015,AE$11,FALSE),"")</f>
        <v/>
      </c>
      <c r="AF28" s="1429" t="str">
        <f>IFERROR(VLOOKUP(CONCATENATE($B$8,"_",$B28),Data!$H$16:$BN$1015,AF$11,FALSE),"")</f>
        <v/>
      </c>
      <c r="AG28" s="1428" t="str">
        <f>IFERROR(VLOOKUP(CONCATENATE($B$8,"_",$B28),Data!$H$16:$BN$1015,AG$11,FALSE),"")</f>
        <v/>
      </c>
      <c r="AH28" s="1428" t="str">
        <f>IFERROR(VLOOKUP(CONCATENATE($B$8,"_",$B28),Data!$H$16:$BN$1015,AH$11,FALSE),"")</f>
        <v/>
      </c>
      <c r="AI28" s="1429" t="str">
        <f>IFERROR(VLOOKUP(CONCATENATE($B$8,"_",$B28),Data!$H$16:$BN$1015,AI$11,FALSE),"")</f>
        <v/>
      </c>
      <c r="AJ28" s="1428" t="str">
        <f>IFERROR(VLOOKUP(CONCATENATE($B$8,"_",$B28),Data!$H$16:$BN$1015,AJ$11,FALSE),"")</f>
        <v/>
      </c>
      <c r="AK28" s="1428" t="str">
        <f>IFERROR(VLOOKUP(CONCATENATE($B$8,"_",$B28),Data!$H$16:$BN$1015,AK$11,FALSE),"")</f>
        <v/>
      </c>
      <c r="AL28" s="1429" t="str">
        <f>IFERROR(VLOOKUP(CONCATENATE($B$8,"_",$B28),Data!$H$16:$BN$1015,AL$11,FALSE),"")</f>
        <v/>
      </c>
      <c r="AM28" s="1428" t="str">
        <f>IFERROR(VLOOKUP(CONCATENATE($B$8,"_",$B28),Data!$H$16:$BN$1015,AM$11,FALSE),"")</f>
        <v/>
      </c>
      <c r="AN28" s="1428" t="str">
        <f>IFERROR(VLOOKUP(CONCATENATE($B$8,"_",$B28),Data!$H$16:$BN$1015,AN$11,FALSE),"")</f>
        <v/>
      </c>
      <c r="AO28" s="1430" t="str">
        <f>IFERROR(VLOOKUP(CONCATENATE($B$8,"_",$B28),Data!$H$16:$BN$1015,AO$11,FALSE),"")</f>
        <v/>
      </c>
      <c r="AP28" s="1428" t="str">
        <f>IFERROR(VLOOKUP(CONCATENATE($B$8,"_",$B28),Data!$H$16:$BN$1015,AP$11,FALSE),"")</f>
        <v/>
      </c>
      <c r="AQ28" s="1428" t="str">
        <f>IFERROR(VLOOKUP(CONCATENATE($B$8,"_",$B28),Data!$H$16:$BN$1015,AQ$11,FALSE),"")</f>
        <v/>
      </c>
      <c r="AR28" s="1430" t="str">
        <f>IFERROR(VLOOKUP(CONCATENATE($B$8,"_",$B28),Data!$H$16:$BN$1015,AR$11,FALSE),"")</f>
        <v/>
      </c>
      <c r="AS28" s="1428" t="str">
        <f>IFERROR(VLOOKUP(CONCATENATE($B$8,"_",$B28),Data!$H$16:$BN$1015,AS$11,FALSE),"")</f>
        <v/>
      </c>
      <c r="AT28" s="1428" t="str">
        <f>IFERROR(VLOOKUP(CONCATENATE($B$8,"_",$B28),Data!$H$16:$BN$1015,AT$11,FALSE),"")</f>
        <v/>
      </c>
      <c r="AU28" s="1430" t="str">
        <f>IFERROR(VLOOKUP(CONCATENATE($B$8,"_",$B28),Data!$H$16:$BN$1015,AU$11,FALSE),"")</f>
        <v/>
      </c>
      <c r="AV28" s="1428" t="str">
        <f>IFERROR(VLOOKUP(CONCATENATE($B$8,"_",$B28),Data!$H$16:$BN$1015,AV$11,FALSE),"")</f>
        <v/>
      </c>
      <c r="AW28" s="1428" t="str">
        <f>IFERROR(VLOOKUP(CONCATENATE($B$8,"_",$B28),Data!$H$16:$BN$1015,AW$11,FALSE),"")</f>
        <v/>
      </c>
      <c r="AX28" s="1430" t="str">
        <f>IFERROR(VLOOKUP(CONCATENATE($B$8,"_",$B28),Data!$H$16:$BN$1015,AX$11,FALSE),"")</f>
        <v/>
      </c>
      <c r="AY28" s="1429" t="str">
        <f>IFERROR(VLOOKUP(CONCATENATE($B$8,"_",$B28),Data!$H$16:$BN$1015,AY$11,FALSE),"")</f>
        <v/>
      </c>
      <c r="AZ28" s="1429" t="str">
        <f>IFERROR(VLOOKUP(CONCATENATE($B$8,"_",$B28),Data!$H$16:$BN$1015,AZ$11,FALSE),"")</f>
        <v/>
      </c>
      <c r="BA28" s="1429" t="str">
        <f>IFERROR(VLOOKUP(CONCATENATE($B$8,"_",$B28),Data!$H$16:$BN$1015,BA$11,FALSE),"")</f>
        <v/>
      </c>
      <c r="BB28" s="1429" t="str">
        <f>IFERROR(VLOOKUP(CONCATENATE($B$8,"_",$B28),Data!$H$16:$BN$1015,BB$11,FALSE),"")</f>
        <v/>
      </c>
      <c r="BC28" s="1429" t="str">
        <f>IFERROR(VLOOKUP(CONCATENATE($B$8,"_",$B28),Data!$H$16:$BN$1015,BC$11,FALSE),"")</f>
        <v/>
      </c>
      <c r="BD28" s="1431" t="str">
        <f>IFERROR(VLOOKUP(CONCATENATE($B$8,"_",$B28),Data!$H$16:$BN$1015,BD$11,FALSE),"")</f>
        <v/>
      </c>
      <c r="BE28" s="1439">
        <f t="shared" si="0"/>
        <v>2015</v>
      </c>
      <c r="BF28" s="1428" t="str">
        <f>IFERROR(VLOOKUP(CONCATENATE($B$8,"_",$B28),Data!$BO$16:$ES$1015,BF$11,FALSE),"")</f>
        <v/>
      </c>
      <c r="BG28" s="1433" t="str">
        <f>IFERROR(VLOOKUP(CONCATENATE($B$8,"_",$B28),Data!$BO$16:$ES$1015,BG$11,FALSE),"")</f>
        <v/>
      </c>
      <c r="BH28" s="1435" t="str">
        <f>IFERROR(VLOOKUP(CONCATENATE($B$8,"_",$B28),Data!$BO$16:$ES$1015,BH$11,FALSE),"")</f>
        <v/>
      </c>
      <c r="BI28" s="1434" t="str">
        <f>IFERROR(VLOOKUP(CONCATENATE($B$8,"_",$B28),Data!$BO$16:$ES$1015,BI$11,FALSE),"")</f>
        <v/>
      </c>
      <c r="BJ28" s="1428" t="str">
        <f>IFERROR(VLOOKUP(CONCATENATE($B$8,"_",$B28),Data!$BO$16:$ES$1015,BJ$11,FALSE),"")</f>
        <v/>
      </c>
      <c r="BK28" s="1428" t="str">
        <f>IFERROR(VLOOKUP(CONCATENATE($B$8,"_",$B28),Data!$BO$16:$ES$1015,BK$11,FALSE),"")</f>
        <v/>
      </c>
      <c r="BL28" s="1428" t="str">
        <f>IFERROR(VLOOKUP(CONCATENATE($B$8,"_",$B28),Data!$BO$16:$ES$1015,BL$11,FALSE),"")</f>
        <v/>
      </c>
      <c r="BM28" s="1433" t="str">
        <f>IFERROR(VLOOKUP(CONCATENATE($B$8,"_",$B28),Data!$BO$16:$ES$1015,BM$11,FALSE),"")</f>
        <v/>
      </c>
      <c r="BN28" s="1433" t="str">
        <f>IFERROR(VLOOKUP(CONCATENATE($B$8,"_",$B28),Data!$BO$16:$ES$1015,BN$11,FALSE),"")</f>
        <v/>
      </c>
      <c r="BO28" s="1433" t="str">
        <f>IFERROR(VLOOKUP(CONCATENATE($B$8,"_",$B28),Data!$BO$16:$ES$1015,BO$11,FALSE),"")</f>
        <v/>
      </c>
      <c r="BP28" s="1433" t="str">
        <f>IFERROR(VLOOKUP(CONCATENATE($B$8,"_",$B28),Data!$BO$16:$ES$1015,BP$11,FALSE),"")</f>
        <v/>
      </c>
      <c r="BQ28" s="1433" t="str">
        <f>IFERROR(VLOOKUP(CONCATENATE($B$8,"_",$B28),Data!$BO$16:$ES$1015,BQ$11,FALSE),"")</f>
        <v/>
      </c>
      <c r="BR28" s="1434" t="str">
        <f>IFERROR(VLOOKUP(CONCATENATE($B$8,"_",$B28),Data!$BO$16:$ES$1015,BR$11,FALSE),"")</f>
        <v/>
      </c>
      <c r="BS28" s="1434" t="str">
        <f>IFERROR(VLOOKUP(CONCATENATE($B$8,"_",$B28),Data!$BO$16:$ES$1015,BS$11,FALSE),"")</f>
        <v/>
      </c>
      <c r="BT28" s="1434" t="str">
        <f>IFERROR(VLOOKUP(CONCATENATE($B$8,"_",$B28),Data!$BO$16:$ES$1015,BT$11,FALSE),"")</f>
        <v/>
      </c>
      <c r="BU28" s="1434" t="str">
        <f>IFERROR(VLOOKUP(CONCATENATE($B$8,"_",$B28),Data!$BO$16:$ES$1015,BU$11,FALSE),"")</f>
        <v/>
      </c>
      <c r="BV28" s="1434" t="str">
        <f>IFERROR(VLOOKUP(CONCATENATE($B$8,"_",$B28),Data!$BO$16:$ES$1015,BV$11,FALSE),"")</f>
        <v/>
      </c>
      <c r="BW28" s="1434" t="str">
        <f>IFERROR(VLOOKUP(CONCATENATE($B$8,"_",$B28),Data!$BO$16:$ES$1015,BW$11,FALSE),"")</f>
        <v/>
      </c>
      <c r="BX28" s="1434" t="str">
        <f>IFERROR(VLOOKUP(CONCATENATE($B$8,"_",$B28),Data!$BO$16:$ES$1015,BX$11,FALSE),"")</f>
        <v/>
      </c>
      <c r="BY28" s="1428" t="str">
        <f>IFERROR(VLOOKUP(CONCATENATE($B$8,"_",$B28),Data!$BO$16:$ES$1015,BY$11,FALSE),"")</f>
        <v/>
      </c>
      <c r="BZ28" s="1428" t="str">
        <f>IFERROR(VLOOKUP(CONCATENATE($B$8,"_",$B28),Data!$BO$16:$ES$1015,BZ$11,FALSE),"")</f>
        <v/>
      </c>
      <c r="CA28" s="1428" t="str">
        <f>IFERROR(VLOOKUP(CONCATENATE($B$8,"_",$B28),Data!$BO$16:$ES$1015,CA$11,FALSE),"")</f>
        <v/>
      </c>
      <c r="CB28" s="1428" t="str">
        <f>IFERROR(VLOOKUP(CONCATENATE($B$8,"_",$B28),Data!$BO$16:$ES$1015,CB$11,FALSE),"")</f>
        <v/>
      </c>
      <c r="CC28" s="1428" t="str">
        <f>IFERROR(VLOOKUP(CONCATENATE($B$8,"_",$B28),Data!$BO$16:$ES$1015,CC$11,FALSE),"")</f>
        <v/>
      </c>
      <c r="CD28" s="1428" t="str">
        <f>IFERROR(VLOOKUP(CONCATENATE($B$8,"_",$B28),Data!$BO$16:$ES$1015,CD$11,FALSE),"")</f>
        <v/>
      </c>
      <c r="CE28" s="1428" t="str">
        <f>IFERROR(VLOOKUP(CONCATENATE($B$8,"_",$B28),Data!$BO$16:$ES$1015,CE$11,FALSE),"")</f>
        <v/>
      </c>
      <c r="CF28" s="1428" t="str">
        <f>IFERROR(VLOOKUP(CONCATENATE($B$8,"_",$B28),Data!$BO$16:$ES$1015,CF$11,FALSE),"")</f>
        <v/>
      </c>
      <c r="CG28" s="1428" t="str">
        <f>IFERROR(VLOOKUP(CONCATENATE($B$8,"_",$B28),Data!$BO$16:$ES$1015,CG$11,FALSE),"")</f>
        <v/>
      </c>
      <c r="CH28" s="1428" t="str">
        <f>IFERROR(VLOOKUP(CONCATENATE($B$8,"_",$B28),Data!$BO$16:$ES$1015,CH$11,FALSE),"")</f>
        <v/>
      </c>
      <c r="CI28" s="1428" t="str">
        <f>IFERROR(VLOOKUP(CONCATENATE($B$8,"_",$B28),Data!$BO$16:$ES$1015,CI$11,FALSE),"")</f>
        <v/>
      </c>
      <c r="CJ28" s="1428" t="str">
        <f>IFERROR(VLOOKUP(CONCATENATE($B$8,"_",$B28),Data!$BO$16:$ES$1015,CJ$11,FALSE),"")</f>
        <v/>
      </c>
      <c r="CK28" s="1428" t="str">
        <f>IFERROR(VLOOKUP(CONCATENATE($B$8,"_",$B28),Data!$BO$16:$ES$1015,CK$11,FALSE),"")</f>
        <v/>
      </c>
      <c r="CL28" s="1428" t="str">
        <f>IFERROR(VLOOKUP(CONCATENATE($B$8,"_",$B28),Data!$BO$16:$ES$1015,CL$11,FALSE),"")</f>
        <v/>
      </c>
      <c r="CM28" s="1428" t="str">
        <f>IFERROR(VLOOKUP(CONCATENATE($B$8,"_",$B28),Data!$BO$16:$ES$1015,CM$11,FALSE),"")</f>
        <v/>
      </c>
      <c r="CN28" s="1428" t="str">
        <f>IFERROR(VLOOKUP(CONCATENATE($B$8,"_",$B28),Data!$BO$16:$ES$1015,CN$11,FALSE),"")</f>
        <v/>
      </c>
      <c r="CO28" s="1428" t="str">
        <f>IFERROR(VLOOKUP(CONCATENATE($B$8,"_",$B28),Data!$BO$16:$ES$1015,CO$11,FALSE),"")</f>
        <v/>
      </c>
      <c r="CP28" s="1433" t="str">
        <f>IFERROR(VLOOKUP(CONCATENATE($B$8,"_",$B28),Data!$BO$16:$ES$1015,CP$11,FALSE),"")</f>
        <v/>
      </c>
      <c r="CQ28" s="1433" t="str">
        <f>IFERROR(VLOOKUP(CONCATENATE($B$8,"_",$B28),Data!$BO$16:$ES$1015,CQ$11,FALSE),"")</f>
        <v/>
      </c>
      <c r="CR28" s="1433" t="str">
        <f>IFERROR(VLOOKUP(CONCATENATE($B$8,"_",$B28),Data!$BO$16:$ES$1015,CR$11,FALSE),"")</f>
        <v/>
      </c>
      <c r="CS28" s="1433" t="str">
        <f>IFERROR(VLOOKUP(CONCATENATE($B$8,"_",$B28),Data!$BO$16:$ES$1015,CS$11,FALSE),"")</f>
        <v/>
      </c>
      <c r="CT28" s="1433" t="str">
        <f>IFERROR(VLOOKUP(CONCATENATE($B$8,"_",$B28),Data!$BO$16:$ES$1015,CT$11,FALSE),"")</f>
        <v/>
      </c>
      <c r="CU28" s="1433" t="str">
        <f>IFERROR(VLOOKUP(CONCATENATE($B$8,"_",$B28),Data!$BO$16:$ES$1015,CU$11,FALSE),"")</f>
        <v/>
      </c>
      <c r="CV28" s="1433" t="str">
        <f>IFERROR(VLOOKUP(CONCATENATE($B$8,"_",$B28),Data!$BO$16:$ES$1015,CV$11,FALSE),"")</f>
        <v/>
      </c>
      <c r="CW28" s="1433" t="str">
        <f>IFERROR(VLOOKUP(CONCATENATE($B$8,"_",$B28),Data!$BO$16:$ES$1015,CW$11,FALSE),"")</f>
        <v/>
      </c>
      <c r="CX28" s="1433" t="str">
        <f>IFERROR(VLOOKUP(CONCATENATE($B$8,"_",$B28),Data!$BO$16:$ES$1015,CX$11,FALSE),"")</f>
        <v/>
      </c>
      <c r="CY28" s="1433" t="str">
        <f>IFERROR(VLOOKUP(CONCATENATE($B$8,"_",$B28),Data!$BO$16:$ES$1015,CY$11,FALSE),"")</f>
        <v/>
      </c>
      <c r="CZ28" s="1433" t="str">
        <f>IFERROR(VLOOKUP(CONCATENATE($B$8,"_",$B28),Data!$BO$16:$ES$1015,CZ$11,FALSE),"")</f>
        <v/>
      </c>
      <c r="DA28" s="1433" t="str">
        <f>IFERROR(VLOOKUP(CONCATENATE($B$8,"_",$B28),Data!$BO$16:$ES$1015,DA$11,FALSE),"")</f>
        <v/>
      </c>
      <c r="DB28" s="1433" t="str">
        <f>IFERROR(VLOOKUP(CONCATENATE($B$8,"_",$B28),Data!$BO$16:$ES$1015,DB$11,FALSE),"")</f>
        <v/>
      </c>
      <c r="DC28" s="1433" t="str">
        <f>IFERROR(VLOOKUP(CONCATENATE($B$8,"_",$B28),Data!$BO$16:$ES$1015,DC$11,FALSE),"")</f>
        <v/>
      </c>
      <c r="DD28" s="1433" t="str">
        <f>IFERROR(VLOOKUP(CONCATENATE($B$8,"_",$B28),Data!$BO$16:$ES$1015,DD$11,FALSE),"")</f>
        <v/>
      </c>
      <c r="DE28" s="1433" t="str">
        <f>IFERROR(VLOOKUP(CONCATENATE($B$8,"_",$B28),Data!$BO$16:$ES$1015,DE$11,FALSE),"")</f>
        <v/>
      </c>
      <c r="DF28" s="1433" t="str">
        <f>IFERROR(VLOOKUP(CONCATENATE($B$8,"_",$B28),Data!$BO$16:$ES$1015,DF$11,FALSE),"")</f>
        <v/>
      </c>
      <c r="DG28" s="1433" t="str">
        <f>IFERROR(VLOOKUP(CONCATENATE($B$8,"_",$B28),Data!$BO$16:$ES$1015,DG$11,FALSE),"")</f>
        <v/>
      </c>
      <c r="DH28" s="1433" t="str">
        <f>IFERROR(VLOOKUP(CONCATENATE($B$8,"_",$B28),Data!$BO$16:$ES$1015,DH$11,FALSE),"")</f>
        <v/>
      </c>
      <c r="DI28" s="1433" t="str">
        <f>IFERROR(VLOOKUP(CONCATENATE($B$8,"_",$B28),Data!$BO$16:$ES$1015,DI$11,FALSE),"")</f>
        <v/>
      </c>
      <c r="DJ28" s="1433" t="str">
        <f>IFERROR(VLOOKUP(CONCATENATE($B$8,"_",$B28),Data!$BO$16:$ES$1015,DJ$11,FALSE),"")</f>
        <v/>
      </c>
      <c r="DK28" s="1433" t="str">
        <f>IFERROR(VLOOKUP(CONCATENATE($B$8,"_",$B28),Data!$BO$16:$ES$1015,DK$11,FALSE),"")</f>
        <v/>
      </c>
      <c r="DL28" s="1435" t="str">
        <f>IFERROR(VLOOKUP(CONCATENATE($B$8,"_",$B28),Data!$BO$16:$ES$1015,DL$11,FALSE),"")</f>
        <v/>
      </c>
      <c r="DM28" s="1434" t="str">
        <f>IFERROR(VLOOKUP(CONCATENATE($B$8,"_",$B28),Data!$BO$16:$ES$1015,DM$11,FALSE),"")</f>
        <v/>
      </c>
      <c r="DN28" s="1434" t="str">
        <f>IFERROR(VLOOKUP(CONCATENATE($B$8,"_",$B28),Data!$BO$16:$ES$1015,DN$11,FALSE),"")</f>
        <v/>
      </c>
      <c r="DO28" s="1434" t="str">
        <f>IFERROR(VLOOKUP(CONCATENATE($B$8,"_",$B28),Data!$BO$16:$ES$1015,DO$11,FALSE),"")</f>
        <v/>
      </c>
      <c r="DP28" s="1434" t="str">
        <f>IFERROR(VLOOKUP(CONCATENATE($B$8,"_",$B28),Data!$BO$16:$ES$1015,DP$11,FALSE),"")</f>
        <v/>
      </c>
      <c r="DQ28" s="1434" t="str">
        <f>IFERROR(VLOOKUP(CONCATENATE($B$8,"_",$B28),Data!$BO$16:$ES$1015,DQ$11,FALSE),"")</f>
        <v/>
      </c>
      <c r="DR28" s="1434" t="str">
        <f>IFERROR(VLOOKUP(CONCATENATE($B$8,"_",$B28),Data!$BO$16:$ES$1015,DR$11,FALSE),"")</f>
        <v/>
      </c>
      <c r="DS28" s="1434" t="str">
        <f>IFERROR(VLOOKUP(CONCATENATE($B$8,"_",$B28),Data!$BO$16:$ES$1015,DS$11,FALSE),"")</f>
        <v/>
      </c>
      <c r="DT28" s="1434" t="str">
        <f>IFERROR(VLOOKUP(CONCATENATE($B$8,"_",$B28),Data!$BO$16:$ES$1015,DT$11,FALSE),"")</f>
        <v/>
      </c>
      <c r="DU28" s="1434" t="str">
        <f>IFERROR(VLOOKUP(CONCATENATE($B$8,"_",$B28),Data!$BO$16:$ES$1015,DU$11,FALSE),"")</f>
        <v/>
      </c>
      <c r="DV28" s="1434" t="str">
        <f>IFERROR(VLOOKUP(CONCATENATE($B$8,"_",$B28),Data!$BO$16:$ES$1015,DV$11,FALSE),"")</f>
        <v/>
      </c>
      <c r="DW28" s="1434" t="str">
        <f>IFERROR(VLOOKUP(CONCATENATE($B$8,"_",$B28),Data!$BO$16:$ES$1015,DW$11,FALSE),"")</f>
        <v/>
      </c>
      <c r="DX28" s="1434" t="str">
        <f>IFERROR(VLOOKUP(CONCATENATE($B$8,"_",$B28),Data!$BO$16:$ES$1015,DX$11,FALSE),"")</f>
        <v/>
      </c>
      <c r="DY28" s="1434" t="str">
        <f>IFERROR(VLOOKUP(CONCATENATE($B$8,"_",$B28),Data!$BO$16:$ES$1015,DY$11,FALSE),"")</f>
        <v/>
      </c>
      <c r="DZ28" s="1434" t="str">
        <f>IFERROR(VLOOKUP(CONCATENATE($B$8,"_",$B28),Data!$BO$16:$ES$1015,DZ$11,FALSE),"")</f>
        <v/>
      </c>
      <c r="EA28" s="1434" t="str">
        <f>IFERROR(VLOOKUP(CONCATENATE($B$8,"_",$B28),Data!$BO$16:$ES$1015,EA$11,FALSE),"")</f>
        <v/>
      </c>
      <c r="EB28" s="1434" t="str">
        <f>IFERROR(VLOOKUP(CONCATENATE($B$8,"_",$B28),Data!$BO$16:$ES$1015,EB$11,FALSE),"")</f>
        <v/>
      </c>
      <c r="EC28" s="1434" t="str">
        <f>IFERROR(VLOOKUP(CONCATENATE($B$8,"_",$B28),Data!$BO$16:$ES$1015,EC$11,FALSE),"")</f>
        <v/>
      </c>
      <c r="ED28" s="1434" t="str">
        <f>IFERROR(VLOOKUP(CONCATENATE($B$8,"_",$B28),Data!$BO$16:$ES$1015,ED$11,FALSE),"")</f>
        <v/>
      </c>
      <c r="EE28" s="1434" t="str">
        <f>IFERROR(VLOOKUP(CONCATENATE($B$8,"_",$B28),Data!$BO$16:$ES$1015,EE$11,FALSE),"")</f>
        <v/>
      </c>
      <c r="EF28" s="1434" t="str">
        <f>IFERROR(VLOOKUP(CONCATENATE($B$8,"_",$B28),Data!$BO$16:$ES$1015,EF$11,FALSE),"")</f>
        <v/>
      </c>
      <c r="EG28" s="1434" t="str">
        <f>IFERROR(VLOOKUP(CONCATENATE($B$8,"_",$B28),Data!$BO$16:$ES$1015,EG$11,FALSE),"")</f>
        <v/>
      </c>
      <c r="EH28" s="1434" t="str">
        <f>IFERROR(VLOOKUP(CONCATENATE($B$8,"_",$B28),Data!$BO$16:$ES$1015,EH$11,FALSE),"")</f>
        <v/>
      </c>
      <c r="EI28" s="1434" t="str">
        <f>IFERROR(VLOOKUP(CONCATENATE($B$8,"_",$B28),Data!$BO$16:$ES$1015,EI$11,FALSE),"")</f>
        <v/>
      </c>
    </row>
    <row r="29" spans="1:141" s="1441" customFormat="1" ht="15" customHeight="1">
      <c r="A29" s="1438">
        <v>16</v>
      </c>
      <c r="B29" s="1738">
        <f>IF($B$13+A29&lt;=Progress!$D$18,$B$13+A29,"")</f>
        <v>2016</v>
      </c>
      <c r="C29" s="1737" t="str">
        <f>IFERROR(VLOOKUP(CONCATENATE($B$8,"_",$B29),Data!$H$16:$BN$1015,C$11,FALSE),"")</f>
        <v/>
      </c>
      <c r="D29" s="1428" t="str">
        <f>IFERROR(VLOOKUP(CONCATENATE($B$8,"_",$B29),Data!$H$16:$BN$1015,D$11,FALSE),"")</f>
        <v/>
      </c>
      <c r="E29" s="1429" t="str">
        <f>IFERROR(VLOOKUP(CONCATENATE($B$8,"_",$B29),Data!$H$16:$BN$1015,E$11,FALSE),"")</f>
        <v/>
      </c>
      <c r="F29" s="1428" t="str">
        <f>IFERROR(VLOOKUP(CONCATENATE($B$8,"_",$B29),Data!$H$16:$BN$1015,F$11,FALSE),"")</f>
        <v/>
      </c>
      <c r="G29" s="1428" t="str">
        <f>IFERROR(VLOOKUP(CONCATENATE($B$8,"_",$B29),Data!$H$16:$BN$1015,G$11,FALSE),"")</f>
        <v/>
      </c>
      <c r="H29" s="1429" t="str">
        <f>IFERROR(VLOOKUP(CONCATENATE($B$8,"_",$B29),Data!$H$16:$BN$1015,H$11,FALSE),"")</f>
        <v/>
      </c>
      <c r="I29" s="1428" t="str">
        <f>IFERROR(VLOOKUP(CONCATENATE($B$8,"_",$B29),Data!$H$16:$BN$1015,I$11,FALSE),"")</f>
        <v/>
      </c>
      <c r="J29" s="1428" t="str">
        <f>IFERROR(VLOOKUP(CONCATENATE($B$8,"_",$B29),Data!$H$16:$BN$1015,J$11,FALSE),"")</f>
        <v/>
      </c>
      <c r="K29" s="1429" t="str">
        <f>IFERROR(VLOOKUP(CONCATENATE($B$8,"_",$B29),Data!$H$16:$BN$1015,K$11,FALSE),"")</f>
        <v/>
      </c>
      <c r="L29" s="1428" t="str">
        <f>IFERROR(VLOOKUP(CONCATENATE($B$8,"_",$B29),Data!$H$16:$BN$1015,L$11,FALSE),"")</f>
        <v/>
      </c>
      <c r="M29" s="1428" t="str">
        <f>IFERROR(VLOOKUP(CONCATENATE($B$8,"_",$B29),Data!$H$16:$BN$1015,M$11,FALSE),"")</f>
        <v/>
      </c>
      <c r="N29" s="1429" t="str">
        <f>IFERROR(VLOOKUP(CONCATENATE($B$8,"_",$B29),Data!$H$16:$BN$1015,N$11,FALSE),"")</f>
        <v/>
      </c>
      <c r="O29" s="1430" t="str">
        <f>IFERROR(VLOOKUP(CONCATENATE($B$8,"_",$B29),Data!$H$16:$BN$1015,O$11,FALSE),"")</f>
        <v/>
      </c>
      <c r="P29" s="1428" t="str">
        <f>IFERROR(VLOOKUP(CONCATENATE($B$8,"_",$B29),Data!$H$16:$BN$1015,P$11,FALSE),"")</f>
        <v/>
      </c>
      <c r="Q29" s="1428" t="str">
        <f>IFERROR(VLOOKUP(CONCATENATE($B$8,"_",$B29),Data!$H$16:$BN$1015,Q$11,FALSE),"")</f>
        <v/>
      </c>
      <c r="R29" s="1429" t="str">
        <f>IFERROR(VLOOKUP(CONCATENATE($B$8,"_",$B29),Data!$H$16:$BN$1015,R$11,FALSE),"")</f>
        <v/>
      </c>
      <c r="S29" s="1428" t="str">
        <f>IFERROR(VLOOKUP(CONCATENATE($B$8,"_",$B29),Data!$H$16:$BN$1015,S$11,FALSE),"")</f>
        <v/>
      </c>
      <c r="T29" s="1428" t="str">
        <f>IFERROR(VLOOKUP(CONCATENATE($B$8,"_",$B29),Data!$H$16:$BN$1015,T$11,FALSE),"")</f>
        <v/>
      </c>
      <c r="U29" s="1429" t="str">
        <f>IFERROR(VLOOKUP(CONCATENATE($B$8,"_",$B29),Data!$H$16:$BN$1015,U$11,FALSE),"")</f>
        <v/>
      </c>
      <c r="V29" s="1428" t="str">
        <f>IFERROR(VLOOKUP(CONCATENATE($B$8,"_",$B29),Data!$H$16:$BN$1015,V$11,FALSE),"")</f>
        <v/>
      </c>
      <c r="W29" s="1428" t="str">
        <f>IFERROR(VLOOKUP(CONCATENATE($B$8,"_",$B29),Data!$H$16:$BN$1015,W$11,FALSE),"")</f>
        <v/>
      </c>
      <c r="X29" s="1428" t="str">
        <f>IFERROR(VLOOKUP(CONCATENATE($B$8,"_",$B29),Data!$H$16:$BN$1015,X$11,FALSE),"")</f>
        <v/>
      </c>
      <c r="Y29" s="1428" t="str">
        <f>IFERROR(VLOOKUP(CONCATENATE($B$8,"_",$B29),Data!$H$16:$BN$1015,Y$11,FALSE),"")</f>
        <v/>
      </c>
      <c r="Z29" s="1429" t="str">
        <f>IFERROR(VLOOKUP(CONCATENATE($B$8,"_",$B29),Data!$H$16:$BN$1015,Z$11,FALSE),"")</f>
        <v/>
      </c>
      <c r="AA29" s="1428" t="str">
        <f>IFERROR(VLOOKUP(CONCATENATE($B$8,"_",$B29),Data!$H$16:$BN$1015,AA$11,FALSE),"")</f>
        <v/>
      </c>
      <c r="AB29" s="1428" t="str">
        <f>IFERROR(VLOOKUP(CONCATENATE($B$8,"_",$B29),Data!$H$16:$BN$1015,AB$11,FALSE),"")</f>
        <v/>
      </c>
      <c r="AC29" s="1429" t="str">
        <f>IFERROR(VLOOKUP(CONCATENATE($B$8,"_",$B29),Data!$H$16:$BN$1015,AC$11,FALSE),"")</f>
        <v/>
      </c>
      <c r="AD29" s="1428" t="str">
        <f>IFERROR(VLOOKUP(CONCATENATE($B$8,"_",$B29),Data!$H$16:$BN$1015,AD$11,FALSE),"")</f>
        <v/>
      </c>
      <c r="AE29" s="1428" t="str">
        <f>IFERROR(VLOOKUP(CONCATENATE($B$8,"_",$B29),Data!$H$16:$BN$1015,AE$11,FALSE),"")</f>
        <v/>
      </c>
      <c r="AF29" s="1429" t="str">
        <f>IFERROR(VLOOKUP(CONCATENATE($B$8,"_",$B29),Data!$H$16:$BN$1015,AF$11,FALSE),"")</f>
        <v/>
      </c>
      <c r="AG29" s="1428" t="str">
        <f>IFERROR(VLOOKUP(CONCATENATE($B$8,"_",$B29),Data!$H$16:$BN$1015,AG$11,FALSE),"")</f>
        <v/>
      </c>
      <c r="AH29" s="1428" t="str">
        <f>IFERROR(VLOOKUP(CONCATENATE($B$8,"_",$B29),Data!$H$16:$BN$1015,AH$11,FALSE),"")</f>
        <v/>
      </c>
      <c r="AI29" s="1429" t="str">
        <f>IFERROR(VLOOKUP(CONCATENATE($B$8,"_",$B29),Data!$H$16:$BN$1015,AI$11,FALSE),"")</f>
        <v/>
      </c>
      <c r="AJ29" s="1428" t="str">
        <f>IFERROR(VLOOKUP(CONCATENATE($B$8,"_",$B29),Data!$H$16:$BN$1015,AJ$11,FALSE),"")</f>
        <v/>
      </c>
      <c r="AK29" s="1428" t="str">
        <f>IFERROR(VLOOKUP(CONCATENATE($B$8,"_",$B29),Data!$H$16:$BN$1015,AK$11,FALSE),"")</f>
        <v/>
      </c>
      <c r="AL29" s="1429" t="str">
        <f>IFERROR(VLOOKUP(CONCATENATE($B$8,"_",$B29),Data!$H$16:$BN$1015,AL$11,FALSE),"")</f>
        <v/>
      </c>
      <c r="AM29" s="1428" t="str">
        <f>IFERROR(VLOOKUP(CONCATENATE($B$8,"_",$B29),Data!$H$16:$BN$1015,AM$11,FALSE),"")</f>
        <v/>
      </c>
      <c r="AN29" s="1428" t="str">
        <f>IFERROR(VLOOKUP(CONCATENATE($B$8,"_",$B29),Data!$H$16:$BN$1015,AN$11,FALSE),"")</f>
        <v/>
      </c>
      <c r="AO29" s="1430" t="str">
        <f>IFERROR(VLOOKUP(CONCATENATE($B$8,"_",$B29),Data!$H$16:$BN$1015,AO$11,FALSE),"")</f>
        <v/>
      </c>
      <c r="AP29" s="1428" t="str">
        <f>IFERROR(VLOOKUP(CONCATENATE($B$8,"_",$B29),Data!$H$16:$BN$1015,AP$11,FALSE),"")</f>
        <v/>
      </c>
      <c r="AQ29" s="1428" t="str">
        <f>IFERROR(VLOOKUP(CONCATENATE($B$8,"_",$B29),Data!$H$16:$BN$1015,AQ$11,FALSE),"")</f>
        <v/>
      </c>
      <c r="AR29" s="1430" t="str">
        <f>IFERROR(VLOOKUP(CONCATENATE($B$8,"_",$B29),Data!$H$16:$BN$1015,AR$11,FALSE),"")</f>
        <v/>
      </c>
      <c r="AS29" s="1428" t="str">
        <f>IFERROR(VLOOKUP(CONCATENATE($B$8,"_",$B29),Data!$H$16:$BN$1015,AS$11,FALSE),"")</f>
        <v/>
      </c>
      <c r="AT29" s="1428" t="str">
        <f>IFERROR(VLOOKUP(CONCATENATE($B$8,"_",$B29),Data!$H$16:$BN$1015,AT$11,FALSE),"")</f>
        <v/>
      </c>
      <c r="AU29" s="1430" t="str">
        <f>IFERROR(VLOOKUP(CONCATENATE($B$8,"_",$B29),Data!$H$16:$BN$1015,AU$11,FALSE),"")</f>
        <v/>
      </c>
      <c r="AV29" s="1428" t="str">
        <f>IFERROR(VLOOKUP(CONCATENATE($B$8,"_",$B29),Data!$H$16:$BN$1015,AV$11,FALSE),"")</f>
        <v/>
      </c>
      <c r="AW29" s="1428" t="str">
        <f>IFERROR(VLOOKUP(CONCATENATE($B$8,"_",$B29),Data!$H$16:$BN$1015,AW$11,FALSE),"")</f>
        <v/>
      </c>
      <c r="AX29" s="1430" t="str">
        <f>IFERROR(VLOOKUP(CONCATENATE($B$8,"_",$B29),Data!$H$16:$BN$1015,AX$11,FALSE),"")</f>
        <v/>
      </c>
      <c r="AY29" s="1429" t="str">
        <f>IFERROR(VLOOKUP(CONCATENATE($B$8,"_",$B29),Data!$H$16:$BN$1015,AY$11,FALSE),"")</f>
        <v/>
      </c>
      <c r="AZ29" s="1429" t="str">
        <f>IFERROR(VLOOKUP(CONCATENATE($B$8,"_",$B29),Data!$H$16:$BN$1015,AZ$11,FALSE),"")</f>
        <v/>
      </c>
      <c r="BA29" s="1429" t="str">
        <f>IFERROR(VLOOKUP(CONCATENATE($B$8,"_",$B29),Data!$H$16:$BN$1015,BA$11,FALSE),"")</f>
        <v/>
      </c>
      <c r="BB29" s="1429" t="str">
        <f>IFERROR(VLOOKUP(CONCATENATE($B$8,"_",$B29),Data!$H$16:$BN$1015,BB$11,FALSE),"")</f>
        <v/>
      </c>
      <c r="BC29" s="1429" t="str">
        <f>IFERROR(VLOOKUP(CONCATENATE($B$8,"_",$B29),Data!$H$16:$BN$1015,BC$11,FALSE),"")</f>
        <v/>
      </c>
      <c r="BD29" s="1431" t="str">
        <f>IFERROR(VLOOKUP(CONCATENATE($B$8,"_",$B29),Data!$H$16:$BN$1015,BD$11,FALSE),"")</f>
        <v/>
      </c>
      <c r="BE29" s="1439">
        <f t="shared" si="0"/>
        <v>2016</v>
      </c>
      <c r="BF29" s="1428" t="str">
        <f>IFERROR(VLOOKUP(CONCATENATE($B$8,"_",$B29),Data!$BO$16:$ES$1015,BF$11,FALSE),"")</f>
        <v/>
      </c>
      <c r="BG29" s="1433" t="str">
        <f>IFERROR(VLOOKUP(CONCATENATE($B$8,"_",$B29),Data!$BO$16:$ES$1015,BG$11,FALSE),"")</f>
        <v/>
      </c>
      <c r="BH29" s="1435" t="str">
        <f>IFERROR(VLOOKUP(CONCATENATE($B$8,"_",$B29),Data!$BO$16:$ES$1015,BH$11,FALSE),"")</f>
        <v/>
      </c>
      <c r="BI29" s="1434" t="str">
        <f>IFERROR(VLOOKUP(CONCATENATE($B$8,"_",$B29),Data!$BO$16:$ES$1015,BI$11,FALSE),"")</f>
        <v/>
      </c>
      <c r="BJ29" s="1428" t="str">
        <f>IFERROR(VLOOKUP(CONCATENATE($B$8,"_",$B29),Data!$BO$16:$ES$1015,BJ$11,FALSE),"")</f>
        <v/>
      </c>
      <c r="BK29" s="1428" t="str">
        <f>IFERROR(VLOOKUP(CONCATENATE($B$8,"_",$B29),Data!$BO$16:$ES$1015,BK$11,FALSE),"")</f>
        <v/>
      </c>
      <c r="BL29" s="1428" t="str">
        <f>IFERROR(VLOOKUP(CONCATENATE($B$8,"_",$B29),Data!$BO$16:$ES$1015,BL$11,FALSE),"")</f>
        <v/>
      </c>
      <c r="BM29" s="1433" t="str">
        <f>IFERROR(VLOOKUP(CONCATENATE($B$8,"_",$B29),Data!$BO$16:$ES$1015,BM$11,FALSE),"")</f>
        <v/>
      </c>
      <c r="BN29" s="1433" t="str">
        <f>IFERROR(VLOOKUP(CONCATENATE($B$8,"_",$B29),Data!$BO$16:$ES$1015,BN$11,FALSE),"")</f>
        <v/>
      </c>
      <c r="BO29" s="1433" t="str">
        <f>IFERROR(VLOOKUP(CONCATENATE($B$8,"_",$B29),Data!$BO$16:$ES$1015,BO$11,FALSE),"")</f>
        <v/>
      </c>
      <c r="BP29" s="1433" t="str">
        <f>IFERROR(VLOOKUP(CONCATENATE($B$8,"_",$B29),Data!$BO$16:$ES$1015,BP$11,FALSE),"")</f>
        <v/>
      </c>
      <c r="BQ29" s="1433" t="str">
        <f>IFERROR(VLOOKUP(CONCATENATE($B$8,"_",$B29),Data!$BO$16:$ES$1015,BQ$11,FALSE),"")</f>
        <v/>
      </c>
      <c r="BR29" s="1434" t="str">
        <f>IFERROR(VLOOKUP(CONCATENATE($B$8,"_",$B29),Data!$BO$16:$ES$1015,BR$11,FALSE),"")</f>
        <v/>
      </c>
      <c r="BS29" s="1434" t="str">
        <f>IFERROR(VLOOKUP(CONCATENATE($B$8,"_",$B29),Data!$BO$16:$ES$1015,BS$11,FALSE),"")</f>
        <v/>
      </c>
      <c r="BT29" s="1434" t="str">
        <f>IFERROR(VLOOKUP(CONCATENATE($B$8,"_",$B29),Data!$BO$16:$ES$1015,BT$11,FALSE),"")</f>
        <v/>
      </c>
      <c r="BU29" s="1434" t="str">
        <f>IFERROR(VLOOKUP(CONCATENATE($B$8,"_",$B29),Data!$BO$16:$ES$1015,BU$11,FALSE),"")</f>
        <v/>
      </c>
      <c r="BV29" s="1434" t="str">
        <f>IFERROR(VLOOKUP(CONCATENATE($B$8,"_",$B29),Data!$BO$16:$ES$1015,BV$11,FALSE),"")</f>
        <v/>
      </c>
      <c r="BW29" s="1434" t="str">
        <f>IFERROR(VLOOKUP(CONCATENATE($B$8,"_",$B29),Data!$BO$16:$ES$1015,BW$11,FALSE),"")</f>
        <v/>
      </c>
      <c r="BX29" s="1434" t="str">
        <f>IFERROR(VLOOKUP(CONCATENATE($B$8,"_",$B29),Data!$BO$16:$ES$1015,BX$11,FALSE),"")</f>
        <v/>
      </c>
      <c r="BY29" s="1428" t="str">
        <f>IFERROR(VLOOKUP(CONCATENATE($B$8,"_",$B29),Data!$BO$16:$ES$1015,BY$11,FALSE),"")</f>
        <v/>
      </c>
      <c r="BZ29" s="1428" t="str">
        <f>IFERROR(VLOOKUP(CONCATENATE($B$8,"_",$B29),Data!$BO$16:$ES$1015,BZ$11,FALSE),"")</f>
        <v/>
      </c>
      <c r="CA29" s="1428" t="str">
        <f>IFERROR(VLOOKUP(CONCATENATE($B$8,"_",$B29),Data!$BO$16:$ES$1015,CA$11,FALSE),"")</f>
        <v/>
      </c>
      <c r="CB29" s="1428" t="str">
        <f>IFERROR(VLOOKUP(CONCATENATE($B$8,"_",$B29),Data!$BO$16:$ES$1015,CB$11,FALSE),"")</f>
        <v/>
      </c>
      <c r="CC29" s="1428" t="str">
        <f>IFERROR(VLOOKUP(CONCATENATE($B$8,"_",$B29),Data!$BO$16:$ES$1015,CC$11,FALSE),"")</f>
        <v/>
      </c>
      <c r="CD29" s="1428" t="str">
        <f>IFERROR(VLOOKUP(CONCATENATE($B$8,"_",$B29),Data!$BO$16:$ES$1015,CD$11,FALSE),"")</f>
        <v/>
      </c>
      <c r="CE29" s="1428" t="str">
        <f>IFERROR(VLOOKUP(CONCATENATE($B$8,"_",$B29),Data!$BO$16:$ES$1015,CE$11,FALSE),"")</f>
        <v/>
      </c>
      <c r="CF29" s="1428" t="str">
        <f>IFERROR(VLOOKUP(CONCATENATE($B$8,"_",$B29),Data!$BO$16:$ES$1015,CF$11,FALSE),"")</f>
        <v/>
      </c>
      <c r="CG29" s="1428" t="str">
        <f>IFERROR(VLOOKUP(CONCATENATE($B$8,"_",$B29),Data!$BO$16:$ES$1015,CG$11,FALSE),"")</f>
        <v/>
      </c>
      <c r="CH29" s="1428" t="str">
        <f>IFERROR(VLOOKUP(CONCATENATE($B$8,"_",$B29),Data!$BO$16:$ES$1015,CH$11,FALSE),"")</f>
        <v/>
      </c>
      <c r="CI29" s="1428" t="str">
        <f>IFERROR(VLOOKUP(CONCATENATE($B$8,"_",$B29),Data!$BO$16:$ES$1015,CI$11,FALSE),"")</f>
        <v/>
      </c>
      <c r="CJ29" s="1428" t="str">
        <f>IFERROR(VLOOKUP(CONCATENATE($B$8,"_",$B29),Data!$BO$16:$ES$1015,CJ$11,FALSE),"")</f>
        <v/>
      </c>
      <c r="CK29" s="1428" t="str">
        <f>IFERROR(VLOOKUP(CONCATENATE($B$8,"_",$B29),Data!$BO$16:$ES$1015,CK$11,FALSE),"")</f>
        <v/>
      </c>
      <c r="CL29" s="1428" t="str">
        <f>IFERROR(VLOOKUP(CONCATENATE($B$8,"_",$B29),Data!$BO$16:$ES$1015,CL$11,FALSE),"")</f>
        <v/>
      </c>
      <c r="CM29" s="1428" t="str">
        <f>IFERROR(VLOOKUP(CONCATENATE($B$8,"_",$B29),Data!$BO$16:$ES$1015,CM$11,FALSE),"")</f>
        <v/>
      </c>
      <c r="CN29" s="1428" t="str">
        <f>IFERROR(VLOOKUP(CONCATENATE($B$8,"_",$B29),Data!$BO$16:$ES$1015,CN$11,FALSE),"")</f>
        <v/>
      </c>
      <c r="CO29" s="1428" t="str">
        <f>IFERROR(VLOOKUP(CONCATENATE($B$8,"_",$B29),Data!$BO$16:$ES$1015,CO$11,FALSE),"")</f>
        <v/>
      </c>
      <c r="CP29" s="1433" t="str">
        <f>IFERROR(VLOOKUP(CONCATENATE($B$8,"_",$B29),Data!$BO$16:$ES$1015,CP$11,FALSE),"")</f>
        <v/>
      </c>
      <c r="CQ29" s="1433" t="str">
        <f>IFERROR(VLOOKUP(CONCATENATE($B$8,"_",$B29),Data!$BO$16:$ES$1015,CQ$11,FALSE),"")</f>
        <v/>
      </c>
      <c r="CR29" s="1433" t="str">
        <f>IFERROR(VLOOKUP(CONCATENATE($B$8,"_",$B29),Data!$BO$16:$ES$1015,CR$11,FALSE),"")</f>
        <v/>
      </c>
      <c r="CS29" s="1433" t="str">
        <f>IFERROR(VLOOKUP(CONCATENATE($B$8,"_",$B29),Data!$BO$16:$ES$1015,CS$11,FALSE),"")</f>
        <v/>
      </c>
      <c r="CT29" s="1433" t="str">
        <f>IFERROR(VLOOKUP(CONCATENATE($B$8,"_",$B29),Data!$BO$16:$ES$1015,CT$11,FALSE),"")</f>
        <v/>
      </c>
      <c r="CU29" s="1433" t="str">
        <f>IFERROR(VLOOKUP(CONCATENATE($B$8,"_",$B29),Data!$BO$16:$ES$1015,CU$11,FALSE),"")</f>
        <v/>
      </c>
      <c r="CV29" s="1433" t="str">
        <f>IFERROR(VLOOKUP(CONCATENATE($B$8,"_",$B29),Data!$BO$16:$ES$1015,CV$11,FALSE),"")</f>
        <v/>
      </c>
      <c r="CW29" s="1433" t="str">
        <f>IFERROR(VLOOKUP(CONCATENATE($B$8,"_",$B29),Data!$BO$16:$ES$1015,CW$11,FALSE),"")</f>
        <v/>
      </c>
      <c r="CX29" s="1433" t="str">
        <f>IFERROR(VLOOKUP(CONCATENATE($B$8,"_",$B29),Data!$BO$16:$ES$1015,CX$11,FALSE),"")</f>
        <v/>
      </c>
      <c r="CY29" s="1433" t="str">
        <f>IFERROR(VLOOKUP(CONCATENATE($B$8,"_",$B29),Data!$BO$16:$ES$1015,CY$11,FALSE),"")</f>
        <v/>
      </c>
      <c r="CZ29" s="1433" t="str">
        <f>IFERROR(VLOOKUP(CONCATENATE($B$8,"_",$B29),Data!$BO$16:$ES$1015,CZ$11,FALSE),"")</f>
        <v/>
      </c>
      <c r="DA29" s="1433" t="str">
        <f>IFERROR(VLOOKUP(CONCATENATE($B$8,"_",$B29),Data!$BO$16:$ES$1015,DA$11,FALSE),"")</f>
        <v/>
      </c>
      <c r="DB29" s="1433" t="str">
        <f>IFERROR(VLOOKUP(CONCATENATE($B$8,"_",$B29),Data!$BO$16:$ES$1015,DB$11,FALSE),"")</f>
        <v/>
      </c>
      <c r="DC29" s="1433" t="str">
        <f>IFERROR(VLOOKUP(CONCATENATE($B$8,"_",$B29),Data!$BO$16:$ES$1015,DC$11,FALSE),"")</f>
        <v/>
      </c>
      <c r="DD29" s="1433" t="str">
        <f>IFERROR(VLOOKUP(CONCATENATE($B$8,"_",$B29),Data!$BO$16:$ES$1015,DD$11,FALSE),"")</f>
        <v/>
      </c>
      <c r="DE29" s="1433" t="str">
        <f>IFERROR(VLOOKUP(CONCATENATE($B$8,"_",$B29),Data!$BO$16:$ES$1015,DE$11,FALSE),"")</f>
        <v/>
      </c>
      <c r="DF29" s="1433" t="str">
        <f>IFERROR(VLOOKUP(CONCATENATE($B$8,"_",$B29),Data!$BO$16:$ES$1015,DF$11,FALSE),"")</f>
        <v/>
      </c>
      <c r="DG29" s="1433" t="str">
        <f>IFERROR(VLOOKUP(CONCATENATE($B$8,"_",$B29),Data!$BO$16:$ES$1015,DG$11,FALSE),"")</f>
        <v/>
      </c>
      <c r="DH29" s="1433" t="str">
        <f>IFERROR(VLOOKUP(CONCATENATE($B$8,"_",$B29),Data!$BO$16:$ES$1015,DH$11,FALSE),"")</f>
        <v/>
      </c>
      <c r="DI29" s="1433" t="str">
        <f>IFERROR(VLOOKUP(CONCATENATE($B$8,"_",$B29),Data!$BO$16:$ES$1015,DI$11,FALSE),"")</f>
        <v/>
      </c>
      <c r="DJ29" s="1433" t="str">
        <f>IFERROR(VLOOKUP(CONCATENATE($B$8,"_",$B29),Data!$BO$16:$ES$1015,DJ$11,FALSE),"")</f>
        <v/>
      </c>
      <c r="DK29" s="1433" t="str">
        <f>IFERROR(VLOOKUP(CONCATENATE($B$8,"_",$B29),Data!$BO$16:$ES$1015,DK$11,FALSE),"")</f>
        <v/>
      </c>
      <c r="DL29" s="1435" t="str">
        <f>IFERROR(VLOOKUP(CONCATENATE($B$8,"_",$B29),Data!$BO$16:$ES$1015,DL$11,FALSE),"")</f>
        <v/>
      </c>
      <c r="DM29" s="1434" t="str">
        <f>IFERROR(VLOOKUP(CONCATENATE($B$8,"_",$B29),Data!$BO$16:$ES$1015,DM$11,FALSE),"")</f>
        <v/>
      </c>
      <c r="DN29" s="1434" t="str">
        <f>IFERROR(VLOOKUP(CONCATENATE($B$8,"_",$B29),Data!$BO$16:$ES$1015,DN$11,FALSE),"")</f>
        <v/>
      </c>
      <c r="DO29" s="1434" t="str">
        <f>IFERROR(VLOOKUP(CONCATENATE($B$8,"_",$B29),Data!$BO$16:$ES$1015,DO$11,FALSE),"")</f>
        <v/>
      </c>
      <c r="DP29" s="1434" t="str">
        <f>IFERROR(VLOOKUP(CONCATENATE($B$8,"_",$B29),Data!$BO$16:$ES$1015,DP$11,FALSE),"")</f>
        <v/>
      </c>
      <c r="DQ29" s="1434" t="str">
        <f>IFERROR(VLOOKUP(CONCATENATE($B$8,"_",$B29),Data!$BO$16:$ES$1015,DQ$11,FALSE),"")</f>
        <v/>
      </c>
      <c r="DR29" s="1434" t="str">
        <f>IFERROR(VLOOKUP(CONCATENATE($B$8,"_",$B29),Data!$BO$16:$ES$1015,DR$11,FALSE),"")</f>
        <v/>
      </c>
      <c r="DS29" s="1434" t="str">
        <f>IFERROR(VLOOKUP(CONCATENATE($B$8,"_",$B29),Data!$BO$16:$ES$1015,DS$11,FALSE),"")</f>
        <v/>
      </c>
      <c r="DT29" s="1434" t="str">
        <f>IFERROR(VLOOKUP(CONCATENATE($B$8,"_",$B29),Data!$BO$16:$ES$1015,DT$11,FALSE),"")</f>
        <v/>
      </c>
      <c r="DU29" s="1434" t="str">
        <f>IFERROR(VLOOKUP(CONCATENATE($B$8,"_",$B29),Data!$BO$16:$ES$1015,DU$11,FALSE),"")</f>
        <v/>
      </c>
      <c r="DV29" s="1434" t="str">
        <f>IFERROR(VLOOKUP(CONCATENATE($B$8,"_",$B29),Data!$BO$16:$ES$1015,DV$11,FALSE),"")</f>
        <v/>
      </c>
      <c r="DW29" s="1434" t="str">
        <f>IFERROR(VLOOKUP(CONCATENATE($B$8,"_",$B29),Data!$BO$16:$ES$1015,DW$11,FALSE),"")</f>
        <v/>
      </c>
      <c r="DX29" s="1434" t="str">
        <f>IFERROR(VLOOKUP(CONCATENATE($B$8,"_",$B29),Data!$BO$16:$ES$1015,DX$11,FALSE),"")</f>
        <v/>
      </c>
      <c r="DY29" s="1434" t="str">
        <f>IFERROR(VLOOKUP(CONCATENATE($B$8,"_",$B29),Data!$BO$16:$ES$1015,DY$11,FALSE),"")</f>
        <v/>
      </c>
      <c r="DZ29" s="1434" t="str">
        <f>IFERROR(VLOOKUP(CONCATENATE($B$8,"_",$B29),Data!$BO$16:$ES$1015,DZ$11,FALSE),"")</f>
        <v/>
      </c>
      <c r="EA29" s="1434" t="str">
        <f>IFERROR(VLOOKUP(CONCATENATE($B$8,"_",$B29),Data!$BO$16:$ES$1015,EA$11,FALSE),"")</f>
        <v/>
      </c>
      <c r="EB29" s="1434" t="str">
        <f>IFERROR(VLOOKUP(CONCATENATE($B$8,"_",$B29),Data!$BO$16:$ES$1015,EB$11,FALSE),"")</f>
        <v/>
      </c>
      <c r="EC29" s="1434" t="str">
        <f>IFERROR(VLOOKUP(CONCATENATE($B$8,"_",$B29),Data!$BO$16:$ES$1015,EC$11,FALSE),"")</f>
        <v/>
      </c>
      <c r="ED29" s="1434" t="str">
        <f>IFERROR(VLOOKUP(CONCATENATE($B$8,"_",$B29),Data!$BO$16:$ES$1015,ED$11,FALSE),"")</f>
        <v/>
      </c>
      <c r="EE29" s="1434" t="str">
        <f>IFERROR(VLOOKUP(CONCATENATE($B$8,"_",$B29),Data!$BO$16:$ES$1015,EE$11,FALSE),"")</f>
        <v/>
      </c>
      <c r="EF29" s="1434" t="str">
        <f>IFERROR(VLOOKUP(CONCATENATE($B$8,"_",$B29),Data!$BO$16:$ES$1015,EF$11,FALSE),"")</f>
        <v/>
      </c>
      <c r="EG29" s="1434" t="str">
        <f>IFERROR(VLOOKUP(CONCATENATE($B$8,"_",$B29),Data!$BO$16:$ES$1015,EG$11,FALSE),"")</f>
        <v/>
      </c>
      <c r="EH29" s="1434" t="str">
        <f>IFERROR(VLOOKUP(CONCATENATE($B$8,"_",$B29),Data!$BO$16:$ES$1015,EH$11,FALSE),"")</f>
        <v/>
      </c>
      <c r="EI29" s="1434" t="str">
        <f>IFERROR(VLOOKUP(CONCATENATE($B$8,"_",$B29),Data!$BO$16:$ES$1015,EI$11,FALSE),"")</f>
        <v/>
      </c>
    </row>
    <row r="30" spans="1:141" s="1436" customFormat="1" ht="15" customHeight="1">
      <c r="A30" s="1438">
        <v>17</v>
      </c>
      <c r="B30" s="1738">
        <f>IF($B$13+A30&lt;=Progress!$D$18,$B$13+A30,"")</f>
        <v>2017</v>
      </c>
      <c r="C30" s="1737" t="str">
        <f>IFERROR(VLOOKUP(CONCATENATE($B$8,"_",$B30),Data!$H$16:$BN$1015,C$11,FALSE),"")</f>
        <v/>
      </c>
      <c r="D30" s="1428" t="str">
        <f>IFERROR(VLOOKUP(CONCATENATE($B$8,"_",$B30),Data!$H$16:$BN$1015,D$11,FALSE),"")</f>
        <v/>
      </c>
      <c r="E30" s="1429" t="str">
        <f>IFERROR(VLOOKUP(CONCATENATE($B$8,"_",$B30),Data!$H$16:$BN$1015,E$11,FALSE),"")</f>
        <v/>
      </c>
      <c r="F30" s="1428" t="str">
        <f>IFERROR(VLOOKUP(CONCATENATE($B$8,"_",$B30),Data!$H$16:$BN$1015,F$11,FALSE),"")</f>
        <v/>
      </c>
      <c r="G30" s="1428" t="str">
        <f>IFERROR(VLOOKUP(CONCATENATE($B$8,"_",$B30),Data!$H$16:$BN$1015,G$11,FALSE),"")</f>
        <v/>
      </c>
      <c r="H30" s="1429" t="str">
        <f>IFERROR(VLOOKUP(CONCATENATE($B$8,"_",$B30),Data!$H$16:$BN$1015,H$11,FALSE),"")</f>
        <v/>
      </c>
      <c r="I30" s="1428" t="str">
        <f>IFERROR(VLOOKUP(CONCATENATE($B$8,"_",$B30),Data!$H$16:$BN$1015,I$11,FALSE),"")</f>
        <v/>
      </c>
      <c r="J30" s="1428" t="str">
        <f>IFERROR(VLOOKUP(CONCATENATE($B$8,"_",$B30),Data!$H$16:$BN$1015,J$11,FALSE),"")</f>
        <v/>
      </c>
      <c r="K30" s="1429" t="str">
        <f>IFERROR(VLOOKUP(CONCATENATE($B$8,"_",$B30),Data!$H$16:$BN$1015,K$11,FALSE),"")</f>
        <v/>
      </c>
      <c r="L30" s="1428" t="str">
        <f>IFERROR(VLOOKUP(CONCATENATE($B$8,"_",$B30),Data!$H$16:$BN$1015,L$11,FALSE),"")</f>
        <v/>
      </c>
      <c r="M30" s="1428" t="str">
        <f>IFERROR(VLOOKUP(CONCATENATE($B$8,"_",$B30),Data!$H$16:$BN$1015,M$11,FALSE),"")</f>
        <v/>
      </c>
      <c r="N30" s="1429" t="str">
        <f>IFERROR(VLOOKUP(CONCATENATE($B$8,"_",$B30),Data!$H$16:$BN$1015,N$11,FALSE),"")</f>
        <v/>
      </c>
      <c r="O30" s="1430" t="str">
        <f>IFERROR(VLOOKUP(CONCATENATE($B$8,"_",$B30),Data!$H$16:$BN$1015,O$11,FALSE),"")</f>
        <v/>
      </c>
      <c r="P30" s="1428" t="str">
        <f>IFERROR(VLOOKUP(CONCATENATE($B$8,"_",$B30),Data!$H$16:$BN$1015,P$11,FALSE),"")</f>
        <v/>
      </c>
      <c r="Q30" s="1428" t="str">
        <f>IFERROR(VLOOKUP(CONCATENATE($B$8,"_",$B30),Data!$H$16:$BN$1015,Q$11,FALSE),"")</f>
        <v/>
      </c>
      <c r="R30" s="1429" t="str">
        <f>IFERROR(VLOOKUP(CONCATENATE($B$8,"_",$B30),Data!$H$16:$BN$1015,R$11,FALSE),"")</f>
        <v/>
      </c>
      <c r="S30" s="1428" t="str">
        <f>IFERROR(VLOOKUP(CONCATENATE($B$8,"_",$B30),Data!$H$16:$BN$1015,S$11,FALSE),"")</f>
        <v/>
      </c>
      <c r="T30" s="1428" t="str">
        <f>IFERROR(VLOOKUP(CONCATENATE($B$8,"_",$B30),Data!$H$16:$BN$1015,T$11,FALSE),"")</f>
        <v/>
      </c>
      <c r="U30" s="1429" t="str">
        <f>IFERROR(VLOOKUP(CONCATENATE($B$8,"_",$B30),Data!$H$16:$BN$1015,U$11,FALSE),"")</f>
        <v/>
      </c>
      <c r="V30" s="1428" t="str">
        <f>IFERROR(VLOOKUP(CONCATENATE($B$8,"_",$B30),Data!$H$16:$BN$1015,V$11,FALSE),"")</f>
        <v/>
      </c>
      <c r="W30" s="1428" t="str">
        <f>IFERROR(VLOOKUP(CONCATENATE($B$8,"_",$B30),Data!$H$16:$BN$1015,W$11,FALSE),"")</f>
        <v/>
      </c>
      <c r="X30" s="1428" t="str">
        <f>IFERROR(VLOOKUP(CONCATENATE($B$8,"_",$B30),Data!$H$16:$BN$1015,X$11,FALSE),"")</f>
        <v/>
      </c>
      <c r="Y30" s="1428" t="str">
        <f>IFERROR(VLOOKUP(CONCATENATE($B$8,"_",$B30),Data!$H$16:$BN$1015,Y$11,FALSE),"")</f>
        <v/>
      </c>
      <c r="Z30" s="1429" t="str">
        <f>IFERROR(VLOOKUP(CONCATENATE($B$8,"_",$B30),Data!$H$16:$BN$1015,Z$11,FALSE),"")</f>
        <v/>
      </c>
      <c r="AA30" s="1428" t="str">
        <f>IFERROR(VLOOKUP(CONCATENATE($B$8,"_",$B30),Data!$H$16:$BN$1015,AA$11,FALSE),"")</f>
        <v/>
      </c>
      <c r="AB30" s="1428" t="str">
        <f>IFERROR(VLOOKUP(CONCATENATE($B$8,"_",$B30),Data!$H$16:$BN$1015,AB$11,FALSE),"")</f>
        <v/>
      </c>
      <c r="AC30" s="1429" t="str">
        <f>IFERROR(VLOOKUP(CONCATENATE($B$8,"_",$B30),Data!$H$16:$BN$1015,AC$11,FALSE),"")</f>
        <v/>
      </c>
      <c r="AD30" s="1428" t="str">
        <f>IFERROR(VLOOKUP(CONCATENATE($B$8,"_",$B30),Data!$H$16:$BN$1015,AD$11,FALSE),"")</f>
        <v/>
      </c>
      <c r="AE30" s="1428" t="str">
        <f>IFERROR(VLOOKUP(CONCATENATE($B$8,"_",$B30),Data!$H$16:$BN$1015,AE$11,FALSE),"")</f>
        <v/>
      </c>
      <c r="AF30" s="1429" t="str">
        <f>IFERROR(VLOOKUP(CONCATENATE($B$8,"_",$B30),Data!$H$16:$BN$1015,AF$11,FALSE),"")</f>
        <v/>
      </c>
      <c r="AG30" s="1428" t="str">
        <f>IFERROR(VLOOKUP(CONCATENATE($B$8,"_",$B30),Data!$H$16:$BN$1015,AG$11,FALSE),"")</f>
        <v/>
      </c>
      <c r="AH30" s="1428" t="str">
        <f>IFERROR(VLOOKUP(CONCATENATE($B$8,"_",$B30),Data!$H$16:$BN$1015,AH$11,FALSE),"")</f>
        <v/>
      </c>
      <c r="AI30" s="1429" t="str">
        <f>IFERROR(VLOOKUP(CONCATENATE($B$8,"_",$B30),Data!$H$16:$BN$1015,AI$11,FALSE),"")</f>
        <v/>
      </c>
      <c r="AJ30" s="1428" t="str">
        <f>IFERROR(VLOOKUP(CONCATENATE($B$8,"_",$B30),Data!$H$16:$BN$1015,AJ$11,FALSE),"")</f>
        <v/>
      </c>
      <c r="AK30" s="1428" t="str">
        <f>IFERROR(VLOOKUP(CONCATENATE($B$8,"_",$B30),Data!$H$16:$BN$1015,AK$11,FALSE),"")</f>
        <v/>
      </c>
      <c r="AL30" s="1429" t="str">
        <f>IFERROR(VLOOKUP(CONCATENATE($B$8,"_",$B30),Data!$H$16:$BN$1015,AL$11,FALSE),"")</f>
        <v/>
      </c>
      <c r="AM30" s="1428" t="str">
        <f>IFERROR(VLOOKUP(CONCATENATE($B$8,"_",$B30),Data!$H$16:$BN$1015,AM$11,FALSE),"")</f>
        <v/>
      </c>
      <c r="AN30" s="1428" t="str">
        <f>IFERROR(VLOOKUP(CONCATENATE($B$8,"_",$B30),Data!$H$16:$BN$1015,AN$11,FALSE),"")</f>
        <v/>
      </c>
      <c r="AO30" s="1430" t="str">
        <f>IFERROR(VLOOKUP(CONCATENATE($B$8,"_",$B30),Data!$H$16:$BN$1015,AO$11,FALSE),"")</f>
        <v/>
      </c>
      <c r="AP30" s="1428" t="str">
        <f>IFERROR(VLOOKUP(CONCATENATE($B$8,"_",$B30),Data!$H$16:$BN$1015,AP$11,FALSE),"")</f>
        <v/>
      </c>
      <c r="AQ30" s="1428" t="str">
        <f>IFERROR(VLOOKUP(CONCATENATE($B$8,"_",$B30),Data!$H$16:$BN$1015,AQ$11,FALSE),"")</f>
        <v/>
      </c>
      <c r="AR30" s="1430" t="str">
        <f>IFERROR(VLOOKUP(CONCATENATE($B$8,"_",$B30),Data!$H$16:$BN$1015,AR$11,FALSE),"")</f>
        <v/>
      </c>
      <c r="AS30" s="1428" t="str">
        <f>IFERROR(VLOOKUP(CONCATENATE($B$8,"_",$B30),Data!$H$16:$BN$1015,AS$11,FALSE),"")</f>
        <v/>
      </c>
      <c r="AT30" s="1428" t="str">
        <f>IFERROR(VLOOKUP(CONCATENATE($B$8,"_",$B30),Data!$H$16:$BN$1015,AT$11,FALSE),"")</f>
        <v/>
      </c>
      <c r="AU30" s="1430" t="str">
        <f>IFERROR(VLOOKUP(CONCATENATE($B$8,"_",$B30),Data!$H$16:$BN$1015,AU$11,FALSE),"")</f>
        <v/>
      </c>
      <c r="AV30" s="1428" t="str">
        <f>IFERROR(VLOOKUP(CONCATENATE($B$8,"_",$B30),Data!$H$16:$BN$1015,AV$11,FALSE),"")</f>
        <v/>
      </c>
      <c r="AW30" s="1428" t="str">
        <f>IFERROR(VLOOKUP(CONCATENATE($B$8,"_",$B30),Data!$H$16:$BN$1015,AW$11,FALSE),"")</f>
        <v/>
      </c>
      <c r="AX30" s="1430" t="str">
        <f>IFERROR(VLOOKUP(CONCATENATE($B$8,"_",$B30),Data!$H$16:$BN$1015,AX$11,FALSE),"")</f>
        <v/>
      </c>
      <c r="AY30" s="1429" t="str">
        <f>IFERROR(VLOOKUP(CONCATENATE($B$8,"_",$B30),Data!$H$16:$BN$1015,AY$11,FALSE),"")</f>
        <v/>
      </c>
      <c r="AZ30" s="1429" t="str">
        <f>IFERROR(VLOOKUP(CONCATENATE($B$8,"_",$B30),Data!$H$16:$BN$1015,AZ$11,FALSE),"")</f>
        <v/>
      </c>
      <c r="BA30" s="1429" t="str">
        <f>IFERROR(VLOOKUP(CONCATENATE($B$8,"_",$B30),Data!$H$16:$BN$1015,BA$11,FALSE),"")</f>
        <v/>
      </c>
      <c r="BB30" s="1429" t="str">
        <f>IFERROR(VLOOKUP(CONCATENATE($B$8,"_",$B30),Data!$H$16:$BN$1015,BB$11,FALSE),"")</f>
        <v/>
      </c>
      <c r="BC30" s="1429" t="str">
        <f>IFERROR(VLOOKUP(CONCATENATE($B$8,"_",$B30),Data!$H$16:$BN$1015,BC$11,FALSE),"")</f>
        <v/>
      </c>
      <c r="BD30" s="1431" t="str">
        <f>IFERROR(VLOOKUP(CONCATENATE($B$8,"_",$B30),Data!$H$16:$BN$1015,BD$11,FALSE),"")</f>
        <v/>
      </c>
      <c r="BE30" s="1439">
        <f t="shared" si="0"/>
        <v>2017</v>
      </c>
      <c r="BF30" s="1428" t="str">
        <f>IFERROR(VLOOKUP(CONCATENATE($B$8,"_",$B30),Data!$BO$16:$ES$1015,BF$11,FALSE),"")</f>
        <v/>
      </c>
      <c r="BG30" s="1433" t="str">
        <f>IFERROR(VLOOKUP(CONCATENATE($B$8,"_",$B30),Data!$BO$16:$ES$1015,BG$11,FALSE),"")</f>
        <v/>
      </c>
      <c r="BH30" s="1435" t="str">
        <f>IFERROR(VLOOKUP(CONCATENATE($B$8,"_",$B30),Data!$BO$16:$ES$1015,BH$11,FALSE),"")</f>
        <v/>
      </c>
      <c r="BI30" s="1434" t="str">
        <f>IFERROR(VLOOKUP(CONCATENATE($B$8,"_",$B30),Data!$BO$16:$ES$1015,BI$11,FALSE),"")</f>
        <v/>
      </c>
      <c r="BJ30" s="1428" t="str">
        <f>IFERROR(VLOOKUP(CONCATENATE($B$8,"_",$B30),Data!$BO$16:$ES$1015,BJ$11,FALSE),"")</f>
        <v/>
      </c>
      <c r="BK30" s="1428" t="str">
        <f>IFERROR(VLOOKUP(CONCATENATE($B$8,"_",$B30),Data!$BO$16:$ES$1015,BK$11,FALSE),"")</f>
        <v/>
      </c>
      <c r="BL30" s="1428" t="str">
        <f>IFERROR(VLOOKUP(CONCATENATE($B$8,"_",$B30),Data!$BO$16:$ES$1015,BL$11,FALSE),"")</f>
        <v/>
      </c>
      <c r="BM30" s="1433" t="str">
        <f>IFERROR(VLOOKUP(CONCATENATE($B$8,"_",$B30),Data!$BO$16:$ES$1015,BM$11,FALSE),"")</f>
        <v/>
      </c>
      <c r="BN30" s="1433" t="str">
        <f>IFERROR(VLOOKUP(CONCATENATE($B$8,"_",$B30),Data!$BO$16:$ES$1015,BN$11,FALSE),"")</f>
        <v/>
      </c>
      <c r="BO30" s="1433" t="str">
        <f>IFERROR(VLOOKUP(CONCATENATE($B$8,"_",$B30),Data!$BO$16:$ES$1015,BO$11,FALSE),"")</f>
        <v/>
      </c>
      <c r="BP30" s="1433" t="str">
        <f>IFERROR(VLOOKUP(CONCATENATE($B$8,"_",$B30),Data!$BO$16:$ES$1015,BP$11,FALSE),"")</f>
        <v/>
      </c>
      <c r="BQ30" s="1433" t="str">
        <f>IFERROR(VLOOKUP(CONCATENATE($B$8,"_",$B30),Data!$BO$16:$ES$1015,BQ$11,FALSE),"")</f>
        <v/>
      </c>
      <c r="BR30" s="1434" t="str">
        <f>IFERROR(VLOOKUP(CONCATENATE($B$8,"_",$B30),Data!$BO$16:$ES$1015,BR$11,FALSE),"")</f>
        <v/>
      </c>
      <c r="BS30" s="1434" t="str">
        <f>IFERROR(VLOOKUP(CONCATENATE($B$8,"_",$B30),Data!$BO$16:$ES$1015,BS$11,FALSE),"")</f>
        <v/>
      </c>
      <c r="BT30" s="1434" t="str">
        <f>IFERROR(VLOOKUP(CONCATENATE($B$8,"_",$B30),Data!$BO$16:$ES$1015,BT$11,FALSE),"")</f>
        <v/>
      </c>
      <c r="BU30" s="1434" t="str">
        <f>IFERROR(VLOOKUP(CONCATENATE($B$8,"_",$B30),Data!$BO$16:$ES$1015,BU$11,FALSE),"")</f>
        <v/>
      </c>
      <c r="BV30" s="1434" t="str">
        <f>IFERROR(VLOOKUP(CONCATENATE($B$8,"_",$B30),Data!$BO$16:$ES$1015,BV$11,FALSE),"")</f>
        <v/>
      </c>
      <c r="BW30" s="1434" t="str">
        <f>IFERROR(VLOOKUP(CONCATENATE($B$8,"_",$B30),Data!$BO$16:$ES$1015,BW$11,FALSE),"")</f>
        <v/>
      </c>
      <c r="BX30" s="1434" t="str">
        <f>IFERROR(VLOOKUP(CONCATENATE($B$8,"_",$B30),Data!$BO$16:$ES$1015,BX$11,FALSE),"")</f>
        <v/>
      </c>
      <c r="BY30" s="1428" t="str">
        <f>IFERROR(VLOOKUP(CONCATENATE($B$8,"_",$B30),Data!$BO$16:$ES$1015,BY$11,FALSE),"")</f>
        <v/>
      </c>
      <c r="BZ30" s="1428" t="str">
        <f>IFERROR(VLOOKUP(CONCATENATE($B$8,"_",$B30),Data!$BO$16:$ES$1015,BZ$11,FALSE),"")</f>
        <v/>
      </c>
      <c r="CA30" s="1428" t="str">
        <f>IFERROR(VLOOKUP(CONCATENATE($B$8,"_",$B30),Data!$BO$16:$ES$1015,CA$11,FALSE),"")</f>
        <v/>
      </c>
      <c r="CB30" s="1428" t="str">
        <f>IFERROR(VLOOKUP(CONCATENATE($B$8,"_",$B30),Data!$BO$16:$ES$1015,CB$11,FALSE),"")</f>
        <v/>
      </c>
      <c r="CC30" s="1428" t="str">
        <f>IFERROR(VLOOKUP(CONCATENATE($B$8,"_",$B30),Data!$BO$16:$ES$1015,CC$11,FALSE),"")</f>
        <v/>
      </c>
      <c r="CD30" s="1428" t="str">
        <f>IFERROR(VLOOKUP(CONCATENATE($B$8,"_",$B30),Data!$BO$16:$ES$1015,CD$11,FALSE),"")</f>
        <v/>
      </c>
      <c r="CE30" s="1428" t="str">
        <f>IFERROR(VLOOKUP(CONCATENATE($B$8,"_",$B30),Data!$BO$16:$ES$1015,CE$11,FALSE),"")</f>
        <v/>
      </c>
      <c r="CF30" s="1428" t="str">
        <f>IFERROR(VLOOKUP(CONCATENATE($B$8,"_",$B30),Data!$BO$16:$ES$1015,CF$11,FALSE),"")</f>
        <v/>
      </c>
      <c r="CG30" s="1428" t="str">
        <f>IFERROR(VLOOKUP(CONCATENATE($B$8,"_",$B30),Data!$BO$16:$ES$1015,CG$11,FALSE),"")</f>
        <v/>
      </c>
      <c r="CH30" s="1428" t="str">
        <f>IFERROR(VLOOKUP(CONCATENATE($B$8,"_",$B30),Data!$BO$16:$ES$1015,CH$11,FALSE),"")</f>
        <v/>
      </c>
      <c r="CI30" s="1428" t="str">
        <f>IFERROR(VLOOKUP(CONCATENATE($B$8,"_",$B30),Data!$BO$16:$ES$1015,CI$11,FALSE),"")</f>
        <v/>
      </c>
      <c r="CJ30" s="1428" t="str">
        <f>IFERROR(VLOOKUP(CONCATENATE($B$8,"_",$B30),Data!$BO$16:$ES$1015,CJ$11,FALSE),"")</f>
        <v/>
      </c>
      <c r="CK30" s="1428" t="str">
        <f>IFERROR(VLOOKUP(CONCATENATE($B$8,"_",$B30),Data!$BO$16:$ES$1015,CK$11,FALSE),"")</f>
        <v/>
      </c>
      <c r="CL30" s="1428" t="str">
        <f>IFERROR(VLOOKUP(CONCATENATE($B$8,"_",$B30),Data!$BO$16:$ES$1015,CL$11,FALSE),"")</f>
        <v/>
      </c>
      <c r="CM30" s="1428" t="str">
        <f>IFERROR(VLOOKUP(CONCATENATE($B$8,"_",$B30),Data!$BO$16:$ES$1015,CM$11,FALSE),"")</f>
        <v/>
      </c>
      <c r="CN30" s="1428" t="str">
        <f>IFERROR(VLOOKUP(CONCATENATE($B$8,"_",$B30),Data!$BO$16:$ES$1015,CN$11,FALSE),"")</f>
        <v/>
      </c>
      <c r="CO30" s="1428" t="str">
        <f>IFERROR(VLOOKUP(CONCATENATE($B$8,"_",$B30),Data!$BO$16:$ES$1015,CO$11,FALSE),"")</f>
        <v/>
      </c>
      <c r="CP30" s="1433" t="str">
        <f>IFERROR(VLOOKUP(CONCATENATE($B$8,"_",$B30),Data!$BO$16:$ES$1015,CP$11,FALSE),"")</f>
        <v/>
      </c>
      <c r="CQ30" s="1433" t="str">
        <f>IFERROR(VLOOKUP(CONCATENATE($B$8,"_",$B30),Data!$BO$16:$ES$1015,CQ$11,FALSE),"")</f>
        <v/>
      </c>
      <c r="CR30" s="1433" t="str">
        <f>IFERROR(VLOOKUP(CONCATENATE($B$8,"_",$B30),Data!$BO$16:$ES$1015,CR$11,FALSE),"")</f>
        <v/>
      </c>
      <c r="CS30" s="1433" t="str">
        <f>IFERROR(VLOOKUP(CONCATENATE($B$8,"_",$B30),Data!$BO$16:$ES$1015,CS$11,FALSE),"")</f>
        <v/>
      </c>
      <c r="CT30" s="1433" t="str">
        <f>IFERROR(VLOOKUP(CONCATENATE($B$8,"_",$B30),Data!$BO$16:$ES$1015,CT$11,FALSE),"")</f>
        <v/>
      </c>
      <c r="CU30" s="1433" t="str">
        <f>IFERROR(VLOOKUP(CONCATENATE($B$8,"_",$B30),Data!$BO$16:$ES$1015,CU$11,FALSE),"")</f>
        <v/>
      </c>
      <c r="CV30" s="1433" t="str">
        <f>IFERROR(VLOOKUP(CONCATENATE($B$8,"_",$B30),Data!$BO$16:$ES$1015,CV$11,FALSE),"")</f>
        <v/>
      </c>
      <c r="CW30" s="1433" t="str">
        <f>IFERROR(VLOOKUP(CONCATENATE($B$8,"_",$B30),Data!$BO$16:$ES$1015,CW$11,FALSE),"")</f>
        <v/>
      </c>
      <c r="CX30" s="1433" t="str">
        <f>IFERROR(VLOOKUP(CONCATENATE($B$8,"_",$B30),Data!$BO$16:$ES$1015,CX$11,FALSE),"")</f>
        <v/>
      </c>
      <c r="CY30" s="1433" t="str">
        <f>IFERROR(VLOOKUP(CONCATENATE($B$8,"_",$B30),Data!$BO$16:$ES$1015,CY$11,FALSE),"")</f>
        <v/>
      </c>
      <c r="CZ30" s="1433" t="str">
        <f>IFERROR(VLOOKUP(CONCATENATE($B$8,"_",$B30),Data!$BO$16:$ES$1015,CZ$11,FALSE),"")</f>
        <v/>
      </c>
      <c r="DA30" s="1433" t="str">
        <f>IFERROR(VLOOKUP(CONCATENATE($B$8,"_",$B30),Data!$BO$16:$ES$1015,DA$11,FALSE),"")</f>
        <v/>
      </c>
      <c r="DB30" s="1433" t="str">
        <f>IFERROR(VLOOKUP(CONCATENATE($B$8,"_",$B30),Data!$BO$16:$ES$1015,DB$11,FALSE),"")</f>
        <v/>
      </c>
      <c r="DC30" s="1433" t="str">
        <f>IFERROR(VLOOKUP(CONCATENATE($B$8,"_",$B30),Data!$BO$16:$ES$1015,DC$11,FALSE),"")</f>
        <v/>
      </c>
      <c r="DD30" s="1433" t="str">
        <f>IFERROR(VLOOKUP(CONCATENATE($B$8,"_",$B30),Data!$BO$16:$ES$1015,DD$11,FALSE),"")</f>
        <v/>
      </c>
      <c r="DE30" s="1433" t="str">
        <f>IFERROR(VLOOKUP(CONCATENATE($B$8,"_",$B30),Data!$BO$16:$ES$1015,DE$11,FALSE),"")</f>
        <v/>
      </c>
      <c r="DF30" s="1433" t="str">
        <f>IFERROR(VLOOKUP(CONCATENATE($B$8,"_",$B30),Data!$BO$16:$ES$1015,DF$11,FALSE),"")</f>
        <v/>
      </c>
      <c r="DG30" s="1433" t="str">
        <f>IFERROR(VLOOKUP(CONCATENATE($B$8,"_",$B30),Data!$BO$16:$ES$1015,DG$11,FALSE),"")</f>
        <v/>
      </c>
      <c r="DH30" s="1433" t="str">
        <f>IFERROR(VLOOKUP(CONCATENATE($B$8,"_",$B30),Data!$BO$16:$ES$1015,DH$11,FALSE),"")</f>
        <v/>
      </c>
      <c r="DI30" s="1433" t="str">
        <f>IFERROR(VLOOKUP(CONCATENATE($B$8,"_",$B30),Data!$BO$16:$ES$1015,DI$11,FALSE),"")</f>
        <v/>
      </c>
      <c r="DJ30" s="1433" t="str">
        <f>IFERROR(VLOOKUP(CONCATENATE($B$8,"_",$B30),Data!$BO$16:$ES$1015,DJ$11,FALSE),"")</f>
        <v/>
      </c>
      <c r="DK30" s="1433" t="str">
        <f>IFERROR(VLOOKUP(CONCATENATE($B$8,"_",$B30),Data!$BO$16:$ES$1015,DK$11,FALSE),"")</f>
        <v/>
      </c>
      <c r="DL30" s="1435" t="str">
        <f>IFERROR(VLOOKUP(CONCATENATE($B$8,"_",$B30),Data!$BO$16:$ES$1015,DL$11,FALSE),"")</f>
        <v/>
      </c>
      <c r="DM30" s="1434" t="str">
        <f>IFERROR(VLOOKUP(CONCATENATE($B$8,"_",$B30),Data!$BO$16:$ES$1015,DM$11,FALSE),"")</f>
        <v/>
      </c>
      <c r="DN30" s="1434" t="str">
        <f>IFERROR(VLOOKUP(CONCATENATE($B$8,"_",$B30),Data!$BO$16:$ES$1015,DN$11,FALSE),"")</f>
        <v/>
      </c>
      <c r="DO30" s="1434" t="str">
        <f>IFERROR(VLOOKUP(CONCATENATE($B$8,"_",$B30),Data!$BO$16:$ES$1015,DO$11,FALSE),"")</f>
        <v/>
      </c>
      <c r="DP30" s="1434" t="str">
        <f>IFERROR(VLOOKUP(CONCATENATE($B$8,"_",$B30),Data!$BO$16:$ES$1015,DP$11,FALSE),"")</f>
        <v/>
      </c>
      <c r="DQ30" s="1434" t="str">
        <f>IFERROR(VLOOKUP(CONCATENATE($B$8,"_",$B30),Data!$BO$16:$ES$1015,DQ$11,FALSE),"")</f>
        <v/>
      </c>
      <c r="DR30" s="1434" t="str">
        <f>IFERROR(VLOOKUP(CONCATENATE($B$8,"_",$B30),Data!$BO$16:$ES$1015,DR$11,FALSE),"")</f>
        <v/>
      </c>
      <c r="DS30" s="1434" t="str">
        <f>IFERROR(VLOOKUP(CONCATENATE($B$8,"_",$B30),Data!$BO$16:$ES$1015,DS$11,FALSE),"")</f>
        <v/>
      </c>
      <c r="DT30" s="1434" t="str">
        <f>IFERROR(VLOOKUP(CONCATENATE($B$8,"_",$B30),Data!$BO$16:$ES$1015,DT$11,FALSE),"")</f>
        <v/>
      </c>
      <c r="DU30" s="1434" t="str">
        <f>IFERROR(VLOOKUP(CONCATENATE($B$8,"_",$B30),Data!$BO$16:$ES$1015,DU$11,FALSE),"")</f>
        <v/>
      </c>
      <c r="DV30" s="1434" t="str">
        <f>IFERROR(VLOOKUP(CONCATENATE($B$8,"_",$B30),Data!$BO$16:$ES$1015,DV$11,FALSE),"")</f>
        <v/>
      </c>
      <c r="DW30" s="1434" t="str">
        <f>IFERROR(VLOOKUP(CONCATENATE($B$8,"_",$B30),Data!$BO$16:$ES$1015,DW$11,FALSE),"")</f>
        <v/>
      </c>
      <c r="DX30" s="1434" t="str">
        <f>IFERROR(VLOOKUP(CONCATENATE($B$8,"_",$B30),Data!$BO$16:$ES$1015,DX$11,FALSE),"")</f>
        <v/>
      </c>
      <c r="DY30" s="1434" t="str">
        <f>IFERROR(VLOOKUP(CONCATENATE($B$8,"_",$B30),Data!$BO$16:$ES$1015,DY$11,FALSE),"")</f>
        <v/>
      </c>
      <c r="DZ30" s="1434" t="str">
        <f>IFERROR(VLOOKUP(CONCATENATE($B$8,"_",$B30),Data!$BO$16:$ES$1015,DZ$11,FALSE),"")</f>
        <v/>
      </c>
      <c r="EA30" s="1434" t="str">
        <f>IFERROR(VLOOKUP(CONCATENATE($B$8,"_",$B30),Data!$BO$16:$ES$1015,EA$11,FALSE),"")</f>
        <v/>
      </c>
      <c r="EB30" s="1434" t="str">
        <f>IFERROR(VLOOKUP(CONCATENATE($B$8,"_",$B30),Data!$BO$16:$ES$1015,EB$11,FALSE),"")</f>
        <v/>
      </c>
      <c r="EC30" s="1434" t="str">
        <f>IFERROR(VLOOKUP(CONCATENATE($B$8,"_",$B30),Data!$BO$16:$ES$1015,EC$11,FALSE),"")</f>
        <v/>
      </c>
      <c r="ED30" s="1434" t="str">
        <f>IFERROR(VLOOKUP(CONCATENATE($B$8,"_",$B30),Data!$BO$16:$ES$1015,ED$11,FALSE),"")</f>
        <v/>
      </c>
      <c r="EE30" s="1434" t="str">
        <f>IFERROR(VLOOKUP(CONCATENATE($B$8,"_",$B30),Data!$BO$16:$ES$1015,EE$11,FALSE),"")</f>
        <v/>
      </c>
      <c r="EF30" s="1434" t="str">
        <f>IFERROR(VLOOKUP(CONCATENATE($B$8,"_",$B30),Data!$BO$16:$ES$1015,EF$11,FALSE),"")</f>
        <v/>
      </c>
      <c r="EG30" s="1434" t="str">
        <f>IFERROR(VLOOKUP(CONCATENATE($B$8,"_",$B30),Data!$BO$16:$ES$1015,EG$11,FALSE),"")</f>
        <v/>
      </c>
      <c r="EH30" s="1434" t="str">
        <f>IFERROR(VLOOKUP(CONCATENATE($B$8,"_",$B30),Data!$BO$16:$ES$1015,EH$11,FALSE),"")</f>
        <v/>
      </c>
      <c r="EI30" s="1434" t="str">
        <f>IFERROR(VLOOKUP(CONCATENATE($B$8,"_",$B30),Data!$BO$16:$ES$1015,EI$11,FALSE),"")</f>
        <v/>
      </c>
      <c r="EK30" s="1437"/>
    </row>
    <row r="31" spans="1:141" s="1441" customFormat="1" ht="15" customHeight="1">
      <c r="A31" s="1438">
        <v>18</v>
      </c>
      <c r="B31" s="1738">
        <f>IF($B$13+A31&lt;=Progress!$D$18,$B$13+A31,"")</f>
        <v>2018</v>
      </c>
      <c r="C31" s="1737" t="str">
        <f>IFERROR(VLOOKUP(CONCATENATE($B$8,"_",$B31),Data!$H$16:$BN$1015,C$11,FALSE),"")</f>
        <v/>
      </c>
      <c r="D31" s="1428" t="str">
        <f>IFERROR(VLOOKUP(CONCATENATE($B$8,"_",$B31),Data!$H$16:$BN$1015,D$11,FALSE),"")</f>
        <v/>
      </c>
      <c r="E31" s="1429" t="str">
        <f>IFERROR(VLOOKUP(CONCATENATE($B$8,"_",$B31),Data!$H$16:$BN$1015,E$11,FALSE),"")</f>
        <v/>
      </c>
      <c r="F31" s="1428" t="str">
        <f>IFERROR(VLOOKUP(CONCATENATE($B$8,"_",$B31),Data!$H$16:$BN$1015,F$11,FALSE),"")</f>
        <v/>
      </c>
      <c r="G31" s="1428" t="str">
        <f>IFERROR(VLOOKUP(CONCATENATE($B$8,"_",$B31),Data!$H$16:$BN$1015,G$11,FALSE),"")</f>
        <v/>
      </c>
      <c r="H31" s="1429" t="str">
        <f>IFERROR(VLOOKUP(CONCATENATE($B$8,"_",$B31),Data!$H$16:$BN$1015,H$11,FALSE),"")</f>
        <v/>
      </c>
      <c r="I31" s="1428" t="str">
        <f>IFERROR(VLOOKUP(CONCATENATE($B$8,"_",$B31),Data!$H$16:$BN$1015,I$11,FALSE),"")</f>
        <v/>
      </c>
      <c r="J31" s="1428" t="str">
        <f>IFERROR(VLOOKUP(CONCATENATE($B$8,"_",$B31),Data!$H$16:$BN$1015,J$11,FALSE),"")</f>
        <v/>
      </c>
      <c r="K31" s="1429" t="str">
        <f>IFERROR(VLOOKUP(CONCATENATE($B$8,"_",$B31),Data!$H$16:$BN$1015,K$11,FALSE),"")</f>
        <v/>
      </c>
      <c r="L31" s="1428" t="str">
        <f>IFERROR(VLOOKUP(CONCATENATE($B$8,"_",$B31),Data!$H$16:$BN$1015,L$11,FALSE),"")</f>
        <v/>
      </c>
      <c r="M31" s="1428" t="str">
        <f>IFERROR(VLOOKUP(CONCATENATE($B$8,"_",$B31),Data!$H$16:$BN$1015,M$11,FALSE),"")</f>
        <v/>
      </c>
      <c r="N31" s="1429" t="str">
        <f>IFERROR(VLOOKUP(CONCATENATE($B$8,"_",$B31),Data!$H$16:$BN$1015,N$11,FALSE),"")</f>
        <v/>
      </c>
      <c r="O31" s="1430" t="str">
        <f>IFERROR(VLOOKUP(CONCATENATE($B$8,"_",$B31),Data!$H$16:$BN$1015,O$11,FALSE),"")</f>
        <v/>
      </c>
      <c r="P31" s="1428" t="str">
        <f>IFERROR(VLOOKUP(CONCATENATE($B$8,"_",$B31),Data!$H$16:$BN$1015,P$11,FALSE),"")</f>
        <v/>
      </c>
      <c r="Q31" s="1428" t="str">
        <f>IFERROR(VLOOKUP(CONCATENATE($B$8,"_",$B31),Data!$H$16:$BN$1015,Q$11,FALSE),"")</f>
        <v/>
      </c>
      <c r="R31" s="1429" t="str">
        <f>IFERROR(VLOOKUP(CONCATENATE($B$8,"_",$B31),Data!$H$16:$BN$1015,R$11,FALSE),"")</f>
        <v/>
      </c>
      <c r="S31" s="1428" t="str">
        <f>IFERROR(VLOOKUP(CONCATENATE($B$8,"_",$B31),Data!$H$16:$BN$1015,S$11,FALSE),"")</f>
        <v/>
      </c>
      <c r="T31" s="1428" t="str">
        <f>IFERROR(VLOOKUP(CONCATENATE($B$8,"_",$B31),Data!$H$16:$BN$1015,T$11,FALSE),"")</f>
        <v/>
      </c>
      <c r="U31" s="1429" t="str">
        <f>IFERROR(VLOOKUP(CONCATENATE($B$8,"_",$B31),Data!$H$16:$BN$1015,U$11,FALSE),"")</f>
        <v/>
      </c>
      <c r="V31" s="1428" t="str">
        <f>IFERROR(VLOOKUP(CONCATENATE($B$8,"_",$B31),Data!$H$16:$BN$1015,V$11,FALSE),"")</f>
        <v/>
      </c>
      <c r="W31" s="1428" t="str">
        <f>IFERROR(VLOOKUP(CONCATENATE($B$8,"_",$B31),Data!$H$16:$BN$1015,W$11,FALSE),"")</f>
        <v/>
      </c>
      <c r="X31" s="1428" t="str">
        <f>IFERROR(VLOOKUP(CONCATENATE($B$8,"_",$B31),Data!$H$16:$BN$1015,X$11,FALSE),"")</f>
        <v/>
      </c>
      <c r="Y31" s="1428" t="str">
        <f>IFERROR(VLOOKUP(CONCATENATE($B$8,"_",$B31),Data!$H$16:$BN$1015,Y$11,FALSE),"")</f>
        <v/>
      </c>
      <c r="Z31" s="1429" t="str">
        <f>IFERROR(VLOOKUP(CONCATENATE($B$8,"_",$B31),Data!$H$16:$BN$1015,Z$11,FALSE),"")</f>
        <v/>
      </c>
      <c r="AA31" s="1428" t="str">
        <f>IFERROR(VLOOKUP(CONCATENATE($B$8,"_",$B31),Data!$H$16:$BN$1015,AA$11,FALSE),"")</f>
        <v/>
      </c>
      <c r="AB31" s="1428" t="str">
        <f>IFERROR(VLOOKUP(CONCATENATE($B$8,"_",$B31),Data!$H$16:$BN$1015,AB$11,FALSE),"")</f>
        <v/>
      </c>
      <c r="AC31" s="1429" t="str">
        <f>IFERROR(VLOOKUP(CONCATENATE($B$8,"_",$B31),Data!$H$16:$BN$1015,AC$11,FALSE),"")</f>
        <v/>
      </c>
      <c r="AD31" s="1428" t="str">
        <f>IFERROR(VLOOKUP(CONCATENATE($B$8,"_",$B31),Data!$H$16:$BN$1015,AD$11,FALSE),"")</f>
        <v/>
      </c>
      <c r="AE31" s="1428" t="str">
        <f>IFERROR(VLOOKUP(CONCATENATE($B$8,"_",$B31),Data!$H$16:$BN$1015,AE$11,FALSE),"")</f>
        <v/>
      </c>
      <c r="AF31" s="1429" t="str">
        <f>IFERROR(VLOOKUP(CONCATENATE($B$8,"_",$B31),Data!$H$16:$BN$1015,AF$11,FALSE),"")</f>
        <v/>
      </c>
      <c r="AG31" s="1428" t="str">
        <f>IFERROR(VLOOKUP(CONCATENATE($B$8,"_",$B31),Data!$H$16:$BN$1015,AG$11,FALSE),"")</f>
        <v/>
      </c>
      <c r="AH31" s="1428" t="str">
        <f>IFERROR(VLOOKUP(CONCATENATE($B$8,"_",$B31),Data!$H$16:$BN$1015,AH$11,FALSE),"")</f>
        <v/>
      </c>
      <c r="AI31" s="1429" t="str">
        <f>IFERROR(VLOOKUP(CONCATENATE($B$8,"_",$B31),Data!$H$16:$BN$1015,AI$11,FALSE),"")</f>
        <v/>
      </c>
      <c r="AJ31" s="1428" t="str">
        <f>IFERROR(VLOOKUP(CONCATENATE($B$8,"_",$B31),Data!$H$16:$BN$1015,AJ$11,FALSE),"")</f>
        <v/>
      </c>
      <c r="AK31" s="1428" t="str">
        <f>IFERROR(VLOOKUP(CONCATENATE($B$8,"_",$B31),Data!$H$16:$BN$1015,AK$11,FALSE),"")</f>
        <v/>
      </c>
      <c r="AL31" s="1429" t="str">
        <f>IFERROR(VLOOKUP(CONCATENATE($B$8,"_",$B31),Data!$H$16:$BN$1015,AL$11,FALSE),"")</f>
        <v/>
      </c>
      <c r="AM31" s="1428" t="str">
        <f>IFERROR(VLOOKUP(CONCATENATE($B$8,"_",$B31),Data!$H$16:$BN$1015,AM$11,FALSE),"")</f>
        <v/>
      </c>
      <c r="AN31" s="1428" t="str">
        <f>IFERROR(VLOOKUP(CONCATENATE($B$8,"_",$B31),Data!$H$16:$BN$1015,AN$11,FALSE),"")</f>
        <v/>
      </c>
      <c r="AO31" s="1430" t="str">
        <f>IFERROR(VLOOKUP(CONCATENATE($B$8,"_",$B31),Data!$H$16:$BN$1015,AO$11,FALSE),"")</f>
        <v/>
      </c>
      <c r="AP31" s="1428" t="str">
        <f>IFERROR(VLOOKUP(CONCATENATE($B$8,"_",$B31),Data!$H$16:$BN$1015,AP$11,FALSE),"")</f>
        <v/>
      </c>
      <c r="AQ31" s="1428" t="str">
        <f>IFERROR(VLOOKUP(CONCATENATE($B$8,"_",$B31),Data!$H$16:$BN$1015,AQ$11,FALSE),"")</f>
        <v/>
      </c>
      <c r="AR31" s="1430" t="str">
        <f>IFERROR(VLOOKUP(CONCATENATE($B$8,"_",$B31),Data!$H$16:$BN$1015,AR$11,FALSE),"")</f>
        <v/>
      </c>
      <c r="AS31" s="1428" t="str">
        <f>IFERROR(VLOOKUP(CONCATENATE($B$8,"_",$B31),Data!$H$16:$BN$1015,AS$11,FALSE),"")</f>
        <v/>
      </c>
      <c r="AT31" s="1428" t="str">
        <f>IFERROR(VLOOKUP(CONCATENATE($B$8,"_",$B31),Data!$H$16:$BN$1015,AT$11,FALSE),"")</f>
        <v/>
      </c>
      <c r="AU31" s="1430" t="str">
        <f>IFERROR(VLOOKUP(CONCATENATE($B$8,"_",$B31),Data!$H$16:$BN$1015,AU$11,FALSE),"")</f>
        <v/>
      </c>
      <c r="AV31" s="1428" t="str">
        <f>IFERROR(VLOOKUP(CONCATENATE($B$8,"_",$B31),Data!$H$16:$BN$1015,AV$11,FALSE),"")</f>
        <v/>
      </c>
      <c r="AW31" s="1428" t="str">
        <f>IFERROR(VLOOKUP(CONCATENATE($B$8,"_",$B31),Data!$H$16:$BN$1015,AW$11,FALSE),"")</f>
        <v/>
      </c>
      <c r="AX31" s="1430" t="str">
        <f>IFERROR(VLOOKUP(CONCATENATE($B$8,"_",$B31),Data!$H$16:$BN$1015,AX$11,FALSE),"")</f>
        <v/>
      </c>
      <c r="AY31" s="1429" t="str">
        <f>IFERROR(VLOOKUP(CONCATENATE($B$8,"_",$B31),Data!$H$16:$BN$1015,AY$11,FALSE),"")</f>
        <v/>
      </c>
      <c r="AZ31" s="1429" t="str">
        <f>IFERROR(VLOOKUP(CONCATENATE($B$8,"_",$B31),Data!$H$16:$BN$1015,AZ$11,FALSE),"")</f>
        <v/>
      </c>
      <c r="BA31" s="1429" t="str">
        <f>IFERROR(VLOOKUP(CONCATENATE($B$8,"_",$B31),Data!$H$16:$BN$1015,BA$11,FALSE),"")</f>
        <v/>
      </c>
      <c r="BB31" s="1429" t="str">
        <f>IFERROR(VLOOKUP(CONCATENATE($B$8,"_",$B31),Data!$H$16:$BN$1015,BB$11,FALSE),"")</f>
        <v/>
      </c>
      <c r="BC31" s="1429" t="str">
        <f>IFERROR(VLOOKUP(CONCATENATE($B$8,"_",$B31),Data!$H$16:$BN$1015,BC$11,FALSE),"")</f>
        <v/>
      </c>
      <c r="BD31" s="1431" t="str">
        <f>IFERROR(VLOOKUP(CONCATENATE($B$8,"_",$B31),Data!$H$16:$BN$1015,BD$11,FALSE),"")</f>
        <v/>
      </c>
      <c r="BE31" s="1439">
        <f t="shared" si="0"/>
        <v>2018</v>
      </c>
      <c r="BF31" s="1428" t="str">
        <f>IFERROR(VLOOKUP(CONCATENATE($B$8,"_",$B31),Data!$BO$16:$ES$1015,BF$11,FALSE),"")</f>
        <v/>
      </c>
      <c r="BG31" s="1433" t="str">
        <f>IFERROR(VLOOKUP(CONCATENATE($B$8,"_",$B31),Data!$BO$16:$ES$1015,BG$11,FALSE),"")</f>
        <v/>
      </c>
      <c r="BH31" s="1435" t="str">
        <f>IFERROR(VLOOKUP(CONCATENATE($B$8,"_",$B31),Data!$BO$16:$ES$1015,BH$11,FALSE),"")</f>
        <v/>
      </c>
      <c r="BI31" s="1434" t="str">
        <f>IFERROR(VLOOKUP(CONCATENATE($B$8,"_",$B31),Data!$BO$16:$ES$1015,BI$11,FALSE),"")</f>
        <v/>
      </c>
      <c r="BJ31" s="1428" t="str">
        <f>IFERROR(VLOOKUP(CONCATENATE($B$8,"_",$B31),Data!$BO$16:$ES$1015,BJ$11,FALSE),"")</f>
        <v/>
      </c>
      <c r="BK31" s="1428" t="str">
        <f>IFERROR(VLOOKUP(CONCATENATE($B$8,"_",$B31),Data!$BO$16:$ES$1015,BK$11,FALSE),"")</f>
        <v/>
      </c>
      <c r="BL31" s="1428" t="str">
        <f>IFERROR(VLOOKUP(CONCATENATE($B$8,"_",$B31),Data!$BO$16:$ES$1015,BL$11,FALSE),"")</f>
        <v/>
      </c>
      <c r="BM31" s="1433" t="str">
        <f>IFERROR(VLOOKUP(CONCATENATE($B$8,"_",$B31),Data!$BO$16:$ES$1015,BM$11,FALSE),"")</f>
        <v/>
      </c>
      <c r="BN31" s="1433" t="str">
        <f>IFERROR(VLOOKUP(CONCATENATE($B$8,"_",$B31),Data!$BO$16:$ES$1015,BN$11,FALSE),"")</f>
        <v/>
      </c>
      <c r="BO31" s="1433" t="str">
        <f>IFERROR(VLOOKUP(CONCATENATE($B$8,"_",$B31),Data!$BO$16:$ES$1015,BO$11,FALSE),"")</f>
        <v/>
      </c>
      <c r="BP31" s="1433" t="str">
        <f>IFERROR(VLOOKUP(CONCATENATE($B$8,"_",$B31),Data!$BO$16:$ES$1015,BP$11,FALSE),"")</f>
        <v/>
      </c>
      <c r="BQ31" s="1433" t="str">
        <f>IFERROR(VLOOKUP(CONCATENATE($B$8,"_",$B31),Data!$BO$16:$ES$1015,BQ$11,FALSE),"")</f>
        <v/>
      </c>
      <c r="BR31" s="1434" t="str">
        <f>IFERROR(VLOOKUP(CONCATENATE($B$8,"_",$B31),Data!$BO$16:$ES$1015,BR$11,FALSE),"")</f>
        <v/>
      </c>
      <c r="BS31" s="1434" t="str">
        <f>IFERROR(VLOOKUP(CONCATENATE($B$8,"_",$B31),Data!$BO$16:$ES$1015,BS$11,FALSE),"")</f>
        <v/>
      </c>
      <c r="BT31" s="1434" t="str">
        <f>IFERROR(VLOOKUP(CONCATENATE($B$8,"_",$B31),Data!$BO$16:$ES$1015,BT$11,FALSE),"")</f>
        <v/>
      </c>
      <c r="BU31" s="1434" t="str">
        <f>IFERROR(VLOOKUP(CONCATENATE($B$8,"_",$B31),Data!$BO$16:$ES$1015,BU$11,FALSE),"")</f>
        <v/>
      </c>
      <c r="BV31" s="1434" t="str">
        <f>IFERROR(VLOOKUP(CONCATENATE($B$8,"_",$B31),Data!$BO$16:$ES$1015,BV$11,FALSE),"")</f>
        <v/>
      </c>
      <c r="BW31" s="1434" t="str">
        <f>IFERROR(VLOOKUP(CONCATENATE($B$8,"_",$B31),Data!$BO$16:$ES$1015,BW$11,FALSE),"")</f>
        <v/>
      </c>
      <c r="BX31" s="1434" t="str">
        <f>IFERROR(VLOOKUP(CONCATENATE($B$8,"_",$B31),Data!$BO$16:$ES$1015,BX$11,FALSE),"")</f>
        <v/>
      </c>
      <c r="BY31" s="1428" t="str">
        <f>IFERROR(VLOOKUP(CONCATENATE($B$8,"_",$B31),Data!$BO$16:$ES$1015,BY$11,FALSE),"")</f>
        <v/>
      </c>
      <c r="BZ31" s="1428" t="str">
        <f>IFERROR(VLOOKUP(CONCATENATE($B$8,"_",$B31),Data!$BO$16:$ES$1015,BZ$11,FALSE),"")</f>
        <v/>
      </c>
      <c r="CA31" s="1428" t="str">
        <f>IFERROR(VLOOKUP(CONCATENATE($B$8,"_",$B31),Data!$BO$16:$ES$1015,CA$11,FALSE),"")</f>
        <v/>
      </c>
      <c r="CB31" s="1428" t="str">
        <f>IFERROR(VLOOKUP(CONCATENATE($B$8,"_",$B31),Data!$BO$16:$ES$1015,CB$11,FALSE),"")</f>
        <v/>
      </c>
      <c r="CC31" s="1428" t="str">
        <f>IFERROR(VLOOKUP(CONCATENATE($B$8,"_",$B31),Data!$BO$16:$ES$1015,CC$11,FALSE),"")</f>
        <v/>
      </c>
      <c r="CD31" s="1428" t="str">
        <f>IFERROR(VLOOKUP(CONCATENATE($B$8,"_",$B31),Data!$BO$16:$ES$1015,CD$11,FALSE),"")</f>
        <v/>
      </c>
      <c r="CE31" s="1428" t="str">
        <f>IFERROR(VLOOKUP(CONCATENATE($B$8,"_",$B31),Data!$BO$16:$ES$1015,CE$11,FALSE),"")</f>
        <v/>
      </c>
      <c r="CF31" s="1428" t="str">
        <f>IFERROR(VLOOKUP(CONCATENATE($B$8,"_",$B31),Data!$BO$16:$ES$1015,CF$11,FALSE),"")</f>
        <v/>
      </c>
      <c r="CG31" s="1428" t="str">
        <f>IFERROR(VLOOKUP(CONCATENATE($B$8,"_",$B31),Data!$BO$16:$ES$1015,CG$11,FALSE),"")</f>
        <v/>
      </c>
      <c r="CH31" s="1428" t="str">
        <f>IFERROR(VLOOKUP(CONCATENATE($B$8,"_",$B31),Data!$BO$16:$ES$1015,CH$11,FALSE),"")</f>
        <v/>
      </c>
      <c r="CI31" s="1428" t="str">
        <f>IFERROR(VLOOKUP(CONCATENATE($B$8,"_",$B31),Data!$BO$16:$ES$1015,CI$11,FALSE),"")</f>
        <v/>
      </c>
      <c r="CJ31" s="1428" t="str">
        <f>IFERROR(VLOOKUP(CONCATENATE($B$8,"_",$B31),Data!$BO$16:$ES$1015,CJ$11,FALSE),"")</f>
        <v/>
      </c>
      <c r="CK31" s="1428" t="str">
        <f>IFERROR(VLOOKUP(CONCATENATE($B$8,"_",$B31),Data!$BO$16:$ES$1015,CK$11,FALSE),"")</f>
        <v/>
      </c>
      <c r="CL31" s="1428" t="str">
        <f>IFERROR(VLOOKUP(CONCATENATE($B$8,"_",$B31),Data!$BO$16:$ES$1015,CL$11,FALSE),"")</f>
        <v/>
      </c>
      <c r="CM31" s="1428" t="str">
        <f>IFERROR(VLOOKUP(CONCATENATE($B$8,"_",$B31),Data!$BO$16:$ES$1015,CM$11,FALSE),"")</f>
        <v/>
      </c>
      <c r="CN31" s="1428" t="str">
        <f>IFERROR(VLOOKUP(CONCATENATE($B$8,"_",$B31),Data!$BO$16:$ES$1015,CN$11,FALSE),"")</f>
        <v/>
      </c>
      <c r="CO31" s="1428" t="str">
        <f>IFERROR(VLOOKUP(CONCATENATE($B$8,"_",$B31),Data!$BO$16:$ES$1015,CO$11,FALSE),"")</f>
        <v/>
      </c>
      <c r="CP31" s="1433" t="str">
        <f>IFERROR(VLOOKUP(CONCATENATE($B$8,"_",$B31),Data!$BO$16:$ES$1015,CP$11,FALSE),"")</f>
        <v/>
      </c>
      <c r="CQ31" s="1433" t="str">
        <f>IFERROR(VLOOKUP(CONCATENATE($B$8,"_",$B31),Data!$BO$16:$ES$1015,CQ$11,FALSE),"")</f>
        <v/>
      </c>
      <c r="CR31" s="1433" t="str">
        <f>IFERROR(VLOOKUP(CONCATENATE($B$8,"_",$B31),Data!$BO$16:$ES$1015,CR$11,FALSE),"")</f>
        <v/>
      </c>
      <c r="CS31" s="1433" t="str">
        <f>IFERROR(VLOOKUP(CONCATENATE($B$8,"_",$B31),Data!$BO$16:$ES$1015,CS$11,FALSE),"")</f>
        <v/>
      </c>
      <c r="CT31" s="1433" t="str">
        <f>IFERROR(VLOOKUP(CONCATENATE($B$8,"_",$B31),Data!$BO$16:$ES$1015,CT$11,FALSE),"")</f>
        <v/>
      </c>
      <c r="CU31" s="1433" t="str">
        <f>IFERROR(VLOOKUP(CONCATENATE($B$8,"_",$B31),Data!$BO$16:$ES$1015,CU$11,FALSE),"")</f>
        <v/>
      </c>
      <c r="CV31" s="1433" t="str">
        <f>IFERROR(VLOOKUP(CONCATENATE($B$8,"_",$B31),Data!$BO$16:$ES$1015,CV$11,FALSE),"")</f>
        <v/>
      </c>
      <c r="CW31" s="1433" t="str">
        <f>IFERROR(VLOOKUP(CONCATENATE($B$8,"_",$B31),Data!$BO$16:$ES$1015,CW$11,FALSE),"")</f>
        <v/>
      </c>
      <c r="CX31" s="1433" t="str">
        <f>IFERROR(VLOOKUP(CONCATENATE($B$8,"_",$B31),Data!$BO$16:$ES$1015,CX$11,FALSE),"")</f>
        <v/>
      </c>
      <c r="CY31" s="1433" t="str">
        <f>IFERROR(VLOOKUP(CONCATENATE($B$8,"_",$B31),Data!$BO$16:$ES$1015,CY$11,FALSE),"")</f>
        <v/>
      </c>
      <c r="CZ31" s="1433" t="str">
        <f>IFERROR(VLOOKUP(CONCATENATE($B$8,"_",$B31),Data!$BO$16:$ES$1015,CZ$11,FALSE),"")</f>
        <v/>
      </c>
      <c r="DA31" s="1433" t="str">
        <f>IFERROR(VLOOKUP(CONCATENATE($B$8,"_",$B31),Data!$BO$16:$ES$1015,DA$11,FALSE),"")</f>
        <v/>
      </c>
      <c r="DB31" s="1433" t="str">
        <f>IFERROR(VLOOKUP(CONCATENATE($B$8,"_",$B31),Data!$BO$16:$ES$1015,DB$11,FALSE),"")</f>
        <v/>
      </c>
      <c r="DC31" s="1433" t="str">
        <f>IFERROR(VLOOKUP(CONCATENATE($B$8,"_",$B31),Data!$BO$16:$ES$1015,DC$11,FALSE),"")</f>
        <v/>
      </c>
      <c r="DD31" s="1433" t="str">
        <f>IFERROR(VLOOKUP(CONCATENATE($B$8,"_",$B31),Data!$BO$16:$ES$1015,DD$11,FALSE),"")</f>
        <v/>
      </c>
      <c r="DE31" s="1433" t="str">
        <f>IFERROR(VLOOKUP(CONCATENATE($B$8,"_",$B31),Data!$BO$16:$ES$1015,DE$11,FALSE),"")</f>
        <v/>
      </c>
      <c r="DF31" s="1433" t="str">
        <f>IFERROR(VLOOKUP(CONCATENATE($B$8,"_",$B31),Data!$BO$16:$ES$1015,DF$11,FALSE),"")</f>
        <v/>
      </c>
      <c r="DG31" s="1433" t="str">
        <f>IFERROR(VLOOKUP(CONCATENATE($B$8,"_",$B31),Data!$BO$16:$ES$1015,DG$11,FALSE),"")</f>
        <v/>
      </c>
      <c r="DH31" s="1433" t="str">
        <f>IFERROR(VLOOKUP(CONCATENATE($B$8,"_",$B31),Data!$BO$16:$ES$1015,DH$11,FALSE),"")</f>
        <v/>
      </c>
      <c r="DI31" s="1433" t="str">
        <f>IFERROR(VLOOKUP(CONCATENATE($B$8,"_",$B31),Data!$BO$16:$ES$1015,DI$11,FALSE),"")</f>
        <v/>
      </c>
      <c r="DJ31" s="1433" t="str">
        <f>IFERROR(VLOOKUP(CONCATENATE($B$8,"_",$B31),Data!$BO$16:$ES$1015,DJ$11,FALSE),"")</f>
        <v/>
      </c>
      <c r="DK31" s="1433" t="str">
        <f>IFERROR(VLOOKUP(CONCATENATE($B$8,"_",$B31),Data!$BO$16:$ES$1015,DK$11,FALSE),"")</f>
        <v/>
      </c>
      <c r="DL31" s="1435" t="str">
        <f>IFERROR(VLOOKUP(CONCATENATE($B$8,"_",$B31),Data!$BO$16:$ES$1015,DL$11,FALSE),"")</f>
        <v/>
      </c>
      <c r="DM31" s="1434" t="str">
        <f>IFERROR(VLOOKUP(CONCATENATE($B$8,"_",$B31),Data!$BO$16:$ES$1015,DM$11,FALSE),"")</f>
        <v/>
      </c>
      <c r="DN31" s="1434" t="str">
        <f>IFERROR(VLOOKUP(CONCATENATE($B$8,"_",$B31),Data!$BO$16:$ES$1015,DN$11,FALSE),"")</f>
        <v/>
      </c>
      <c r="DO31" s="1434" t="str">
        <f>IFERROR(VLOOKUP(CONCATENATE($B$8,"_",$B31),Data!$BO$16:$ES$1015,DO$11,FALSE),"")</f>
        <v/>
      </c>
      <c r="DP31" s="1434" t="str">
        <f>IFERROR(VLOOKUP(CONCATENATE($B$8,"_",$B31),Data!$BO$16:$ES$1015,DP$11,FALSE),"")</f>
        <v/>
      </c>
      <c r="DQ31" s="1434" t="str">
        <f>IFERROR(VLOOKUP(CONCATENATE($B$8,"_",$B31),Data!$BO$16:$ES$1015,DQ$11,FALSE),"")</f>
        <v/>
      </c>
      <c r="DR31" s="1434" t="str">
        <f>IFERROR(VLOOKUP(CONCATENATE($B$8,"_",$B31),Data!$BO$16:$ES$1015,DR$11,FALSE),"")</f>
        <v/>
      </c>
      <c r="DS31" s="1434" t="str">
        <f>IFERROR(VLOOKUP(CONCATENATE($B$8,"_",$B31),Data!$BO$16:$ES$1015,DS$11,FALSE),"")</f>
        <v/>
      </c>
      <c r="DT31" s="1434" t="str">
        <f>IFERROR(VLOOKUP(CONCATENATE($B$8,"_",$B31),Data!$BO$16:$ES$1015,DT$11,FALSE),"")</f>
        <v/>
      </c>
      <c r="DU31" s="1434" t="str">
        <f>IFERROR(VLOOKUP(CONCATENATE($B$8,"_",$B31),Data!$BO$16:$ES$1015,DU$11,FALSE),"")</f>
        <v/>
      </c>
      <c r="DV31" s="1434" t="str">
        <f>IFERROR(VLOOKUP(CONCATENATE($B$8,"_",$B31),Data!$BO$16:$ES$1015,DV$11,FALSE),"")</f>
        <v/>
      </c>
      <c r="DW31" s="1434" t="str">
        <f>IFERROR(VLOOKUP(CONCATENATE($B$8,"_",$B31),Data!$BO$16:$ES$1015,DW$11,FALSE),"")</f>
        <v/>
      </c>
      <c r="DX31" s="1434" t="str">
        <f>IFERROR(VLOOKUP(CONCATENATE($B$8,"_",$B31),Data!$BO$16:$ES$1015,DX$11,FALSE),"")</f>
        <v/>
      </c>
      <c r="DY31" s="1434" t="str">
        <f>IFERROR(VLOOKUP(CONCATENATE($B$8,"_",$B31),Data!$BO$16:$ES$1015,DY$11,FALSE),"")</f>
        <v/>
      </c>
      <c r="DZ31" s="1434" t="str">
        <f>IFERROR(VLOOKUP(CONCATENATE($B$8,"_",$B31),Data!$BO$16:$ES$1015,DZ$11,FALSE),"")</f>
        <v/>
      </c>
      <c r="EA31" s="1434" t="str">
        <f>IFERROR(VLOOKUP(CONCATENATE($B$8,"_",$B31),Data!$BO$16:$ES$1015,EA$11,FALSE),"")</f>
        <v/>
      </c>
      <c r="EB31" s="1434" t="str">
        <f>IFERROR(VLOOKUP(CONCATENATE($B$8,"_",$B31),Data!$BO$16:$ES$1015,EB$11,FALSE),"")</f>
        <v/>
      </c>
      <c r="EC31" s="1434" t="str">
        <f>IFERROR(VLOOKUP(CONCATENATE($B$8,"_",$B31),Data!$BO$16:$ES$1015,EC$11,FALSE),"")</f>
        <v/>
      </c>
      <c r="ED31" s="1434" t="str">
        <f>IFERROR(VLOOKUP(CONCATENATE($B$8,"_",$B31),Data!$BO$16:$ES$1015,ED$11,FALSE),"")</f>
        <v/>
      </c>
      <c r="EE31" s="1434" t="str">
        <f>IFERROR(VLOOKUP(CONCATENATE($B$8,"_",$B31),Data!$BO$16:$ES$1015,EE$11,FALSE),"")</f>
        <v/>
      </c>
      <c r="EF31" s="1434" t="str">
        <f>IFERROR(VLOOKUP(CONCATENATE($B$8,"_",$B31),Data!$BO$16:$ES$1015,EF$11,FALSE),"")</f>
        <v/>
      </c>
      <c r="EG31" s="1434" t="str">
        <f>IFERROR(VLOOKUP(CONCATENATE($B$8,"_",$B31),Data!$BO$16:$ES$1015,EG$11,FALSE),"")</f>
        <v/>
      </c>
      <c r="EH31" s="1434" t="str">
        <f>IFERROR(VLOOKUP(CONCATENATE($B$8,"_",$B31),Data!$BO$16:$ES$1015,EH$11,FALSE),"")</f>
        <v/>
      </c>
      <c r="EI31" s="1434" t="str">
        <f>IFERROR(VLOOKUP(CONCATENATE($B$8,"_",$B31),Data!$BO$16:$ES$1015,EI$11,FALSE),"")</f>
        <v/>
      </c>
    </row>
    <row r="32" spans="1:141" s="1441" customFormat="1" ht="15" customHeight="1">
      <c r="A32" s="1438">
        <v>19</v>
      </c>
      <c r="B32" s="1738">
        <f>IF($B$13+A32&lt;=Progress!$D$18,$B$13+A32,"")</f>
        <v>2019</v>
      </c>
      <c r="C32" s="1737" t="str">
        <f>IFERROR(VLOOKUP(CONCATENATE($B$8,"_",$B32),Data!$H$16:$BN$1015,C$11,FALSE),"")</f>
        <v/>
      </c>
      <c r="D32" s="1428" t="str">
        <f>IFERROR(VLOOKUP(CONCATENATE($B$8,"_",$B32),Data!$H$16:$BN$1015,D$11,FALSE),"")</f>
        <v/>
      </c>
      <c r="E32" s="1429" t="str">
        <f>IFERROR(VLOOKUP(CONCATENATE($B$8,"_",$B32),Data!$H$16:$BN$1015,E$11,FALSE),"")</f>
        <v/>
      </c>
      <c r="F32" s="1428" t="str">
        <f>IFERROR(VLOOKUP(CONCATENATE($B$8,"_",$B32),Data!$H$16:$BN$1015,F$11,FALSE),"")</f>
        <v/>
      </c>
      <c r="G32" s="1428" t="str">
        <f>IFERROR(VLOOKUP(CONCATENATE($B$8,"_",$B32),Data!$H$16:$BN$1015,G$11,FALSE),"")</f>
        <v/>
      </c>
      <c r="H32" s="1429" t="str">
        <f>IFERROR(VLOOKUP(CONCATENATE($B$8,"_",$B32),Data!$H$16:$BN$1015,H$11,FALSE),"")</f>
        <v/>
      </c>
      <c r="I32" s="1428" t="str">
        <f>IFERROR(VLOOKUP(CONCATENATE($B$8,"_",$B32),Data!$H$16:$BN$1015,I$11,FALSE),"")</f>
        <v/>
      </c>
      <c r="J32" s="1428" t="str">
        <f>IFERROR(VLOOKUP(CONCATENATE($B$8,"_",$B32),Data!$H$16:$BN$1015,J$11,FALSE),"")</f>
        <v/>
      </c>
      <c r="K32" s="1429" t="str">
        <f>IFERROR(VLOOKUP(CONCATENATE($B$8,"_",$B32),Data!$H$16:$BN$1015,K$11,FALSE),"")</f>
        <v/>
      </c>
      <c r="L32" s="1428" t="str">
        <f>IFERROR(VLOOKUP(CONCATENATE($B$8,"_",$B32),Data!$H$16:$BN$1015,L$11,FALSE),"")</f>
        <v/>
      </c>
      <c r="M32" s="1428" t="str">
        <f>IFERROR(VLOOKUP(CONCATENATE($B$8,"_",$B32),Data!$H$16:$BN$1015,M$11,FALSE),"")</f>
        <v/>
      </c>
      <c r="N32" s="1429" t="str">
        <f>IFERROR(VLOOKUP(CONCATENATE($B$8,"_",$B32),Data!$H$16:$BN$1015,N$11,FALSE),"")</f>
        <v/>
      </c>
      <c r="O32" s="1430" t="str">
        <f>IFERROR(VLOOKUP(CONCATENATE($B$8,"_",$B32),Data!$H$16:$BN$1015,O$11,FALSE),"")</f>
        <v/>
      </c>
      <c r="P32" s="1428" t="str">
        <f>IFERROR(VLOOKUP(CONCATENATE($B$8,"_",$B32),Data!$H$16:$BN$1015,P$11,FALSE),"")</f>
        <v/>
      </c>
      <c r="Q32" s="1428" t="str">
        <f>IFERROR(VLOOKUP(CONCATENATE($B$8,"_",$B32),Data!$H$16:$BN$1015,Q$11,FALSE),"")</f>
        <v/>
      </c>
      <c r="R32" s="1429" t="str">
        <f>IFERROR(VLOOKUP(CONCATENATE($B$8,"_",$B32),Data!$H$16:$BN$1015,R$11,FALSE),"")</f>
        <v/>
      </c>
      <c r="S32" s="1428" t="str">
        <f>IFERROR(VLOOKUP(CONCATENATE($B$8,"_",$B32),Data!$H$16:$BN$1015,S$11,FALSE),"")</f>
        <v/>
      </c>
      <c r="T32" s="1428" t="str">
        <f>IFERROR(VLOOKUP(CONCATENATE($B$8,"_",$B32),Data!$H$16:$BN$1015,T$11,FALSE),"")</f>
        <v/>
      </c>
      <c r="U32" s="1429" t="str">
        <f>IFERROR(VLOOKUP(CONCATENATE($B$8,"_",$B32),Data!$H$16:$BN$1015,U$11,FALSE),"")</f>
        <v/>
      </c>
      <c r="V32" s="1428" t="str">
        <f>IFERROR(VLOOKUP(CONCATENATE($B$8,"_",$B32),Data!$H$16:$BN$1015,V$11,FALSE),"")</f>
        <v/>
      </c>
      <c r="W32" s="1428" t="str">
        <f>IFERROR(VLOOKUP(CONCATENATE($B$8,"_",$B32),Data!$H$16:$BN$1015,W$11,FALSE),"")</f>
        <v/>
      </c>
      <c r="X32" s="1428" t="str">
        <f>IFERROR(VLOOKUP(CONCATENATE($B$8,"_",$B32),Data!$H$16:$BN$1015,X$11,FALSE),"")</f>
        <v/>
      </c>
      <c r="Y32" s="1428" t="str">
        <f>IFERROR(VLOOKUP(CONCATENATE($B$8,"_",$B32),Data!$H$16:$BN$1015,Y$11,FALSE),"")</f>
        <v/>
      </c>
      <c r="Z32" s="1429" t="str">
        <f>IFERROR(VLOOKUP(CONCATENATE($B$8,"_",$B32),Data!$H$16:$BN$1015,Z$11,FALSE),"")</f>
        <v/>
      </c>
      <c r="AA32" s="1428" t="str">
        <f>IFERROR(VLOOKUP(CONCATENATE($B$8,"_",$B32),Data!$H$16:$BN$1015,AA$11,FALSE),"")</f>
        <v/>
      </c>
      <c r="AB32" s="1428" t="str">
        <f>IFERROR(VLOOKUP(CONCATENATE($B$8,"_",$B32),Data!$H$16:$BN$1015,AB$11,FALSE),"")</f>
        <v/>
      </c>
      <c r="AC32" s="1429" t="str">
        <f>IFERROR(VLOOKUP(CONCATENATE($B$8,"_",$B32),Data!$H$16:$BN$1015,AC$11,FALSE),"")</f>
        <v/>
      </c>
      <c r="AD32" s="1428" t="str">
        <f>IFERROR(VLOOKUP(CONCATENATE($B$8,"_",$B32),Data!$H$16:$BN$1015,AD$11,FALSE),"")</f>
        <v/>
      </c>
      <c r="AE32" s="1428" t="str">
        <f>IFERROR(VLOOKUP(CONCATENATE($B$8,"_",$B32),Data!$H$16:$BN$1015,AE$11,FALSE),"")</f>
        <v/>
      </c>
      <c r="AF32" s="1429" t="str">
        <f>IFERROR(VLOOKUP(CONCATENATE($B$8,"_",$B32),Data!$H$16:$BN$1015,AF$11,FALSE),"")</f>
        <v/>
      </c>
      <c r="AG32" s="1428" t="str">
        <f>IFERROR(VLOOKUP(CONCATENATE($B$8,"_",$B32),Data!$H$16:$BN$1015,AG$11,FALSE),"")</f>
        <v/>
      </c>
      <c r="AH32" s="1428" t="str">
        <f>IFERROR(VLOOKUP(CONCATENATE($B$8,"_",$B32),Data!$H$16:$BN$1015,AH$11,FALSE),"")</f>
        <v/>
      </c>
      <c r="AI32" s="1429" t="str">
        <f>IFERROR(VLOOKUP(CONCATENATE($B$8,"_",$B32),Data!$H$16:$BN$1015,AI$11,FALSE),"")</f>
        <v/>
      </c>
      <c r="AJ32" s="1428" t="str">
        <f>IFERROR(VLOOKUP(CONCATENATE($B$8,"_",$B32),Data!$H$16:$BN$1015,AJ$11,FALSE),"")</f>
        <v/>
      </c>
      <c r="AK32" s="1428" t="str">
        <f>IFERROR(VLOOKUP(CONCATENATE($B$8,"_",$B32),Data!$H$16:$BN$1015,AK$11,FALSE),"")</f>
        <v/>
      </c>
      <c r="AL32" s="1429" t="str">
        <f>IFERROR(VLOOKUP(CONCATENATE($B$8,"_",$B32),Data!$H$16:$BN$1015,AL$11,FALSE),"")</f>
        <v/>
      </c>
      <c r="AM32" s="1428" t="str">
        <f>IFERROR(VLOOKUP(CONCATENATE($B$8,"_",$B32),Data!$H$16:$BN$1015,AM$11,FALSE),"")</f>
        <v/>
      </c>
      <c r="AN32" s="1428" t="str">
        <f>IFERROR(VLOOKUP(CONCATENATE($B$8,"_",$B32),Data!$H$16:$BN$1015,AN$11,FALSE),"")</f>
        <v/>
      </c>
      <c r="AO32" s="1430" t="str">
        <f>IFERROR(VLOOKUP(CONCATENATE($B$8,"_",$B32),Data!$H$16:$BN$1015,AO$11,FALSE),"")</f>
        <v/>
      </c>
      <c r="AP32" s="1428" t="str">
        <f>IFERROR(VLOOKUP(CONCATENATE($B$8,"_",$B32),Data!$H$16:$BN$1015,AP$11,FALSE),"")</f>
        <v/>
      </c>
      <c r="AQ32" s="1428" t="str">
        <f>IFERROR(VLOOKUP(CONCATENATE($B$8,"_",$B32),Data!$H$16:$BN$1015,AQ$11,FALSE),"")</f>
        <v/>
      </c>
      <c r="AR32" s="1430" t="str">
        <f>IFERROR(VLOOKUP(CONCATENATE($B$8,"_",$B32),Data!$H$16:$BN$1015,AR$11,FALSE),"")</f>
        <v/>
      </c>
      <c r="AS32" s="1428" t="str">
        <f>IFERROR(VLOOKUP(CONCATENATE($B$8,"_",$B32),Data!$H$16:$BN$1015,AS$11,FALSE),"")</f>
        <v/>
      </c>
      <c r="AT32" s="1428" t="str">
        <f>IFERROR(VLOOKUP(CONCATENATE($B$8,"_",$B32),Data!$H$16:$BN$1015,AT$11,FALSE),"")</f>
        <v/>
      </c>
      <c r="AU32" s="1430" t="str">
        <f>IFERROR(VLOOKUP(CONCATENATE($B$8,"_",$B32),Data!$H$16:$BN$1015,AU$11,FALSE),"")</f>
        <v/>
      </c>
      <c r="AV32" s="1428" t="str">
        <f>IFERROR(VLOOKUP(CONCATENATE($B$8,"_",$B32),Data!$H$16:$BN$1015,AV$11,FALSE),"")</f>
        <v/>
      </c>
      <c r="AW32" s="1428" t="str">
        <f>IFERROR(VLOOKUP(CONCATENATE($B$8,"_",$B32),Data!$H$16:$BN$1015,AW$11,FALSE),"")</f>
        <v/>
      </c>
      <c r="AX32" s="1430" t="str">
        <f>IFERROR(VLOOKUP(CONCATENATE($B$8,"_",$B32),Data!$H$16:$BN$1015,AX$11,FALSE),"")</f>
        <v/>
      </c>
      <c r="AY32" s="1429" t="str">
        <f>IFERROR(VLOOKUP(CONCATENATE($B$8,"_",$B32),Data!$H$16:$BN$1015,AY$11,FALSE),"")</f>
        <v/>
      </c>
      <c r="AZ32" s="1429" t="str">
        <f>IFERROR(VLOOKUP(CONCATENATE($B$8,"_",$B32),Data!$H$16:$BN$1015,AZ$11,FALSE),"")</f>
        <v/>
      </c>
      <c r="BA32" s="1429" t="str">
        <f>IFERROR(VLOOKUP(CONCATENATE($B$8,"_",$B32),Data!$H$16:$BN$1015,BA$11,FALSE),"")</f>
        <v/>
      </c>
      <c r="BB32" s="1429" t="str">
        <f>IFERROR(VLOOKUP(CONCATENATE($B$8,"_",$B32),Data!$H$16:$BN$1015,BB$11,FALSE),"")</f>
        <v/>
      </c>
      <c r="BC32" s="1429" t="str">
        <f>IFERROR(VLOOKUP(CONCATENATE($B$8,"_",$B32),Data!$H$16:$BN$1015,BC$11,FALSE),"")</f>
        <v/>
      </c>
      <c r="BD32" s="1431" t="str">
        <f>IFERROR(VLOOKUP(CONCATENATE($B$8,"_",$B32),Data!$H$16:$BN$1015,BD$11,FALSE),"")</f>
        <v/>
      </c>
      <c r="BE32" s="1439">
        <f t="shared" si="0"/>
        <v>2019</v>
      </c>
      <c r="BF32" s="1428" t="str">
        <f>IFERROR(VLOOKUP(CONCATENATE($B$8,"_",$B32),Data!$BO$16:$ES$1015,BF$11,FALSE),"")</f>
        <v/>
      </c>
      <c r="BG32" s="1433" t="str">
        <f>IFERROR(VLOOKUP(CONCATENATE($B$8,"_",$B32),Data!$BO$16:$ES$1015,BG$11,FALSE),"")</f>
        <v/>
      </c>
      <c r="BH32" s="1435" t="str">
        <f>IFERROR(VLOOKUP(CONCATENATE($B$8,"_",$B32),Data!$BO$16:$ES$1015,BH$11,FALSE),"")</f>
        <v/>
      </c>
      <c r="BI32" s="1434" t="str">
        <f>IFERROR(VLOOKUP(CONCATENATE($B$8,"_",$B32),Data!$BO$16:$ES$1015,BI$11,FALSE),"")</f>
        <v/>
      </c>
      <c r="BJ32" s="1428" t="str">
        <f>IFERROR(VLOOKUP(CONCATENATE($B$8,"_",$B32),Data!$BO$16:$ES$1015,BJ$11,FALSE),"")</f>
        <v/>
      </c>
      <c r="BK32" s="1428" t="str">
        <f>IFERROR(VLOOKUP(CONCATENATE($B$8,"_",$B32),Data!$BO$16:$ES$1015,BK$11,FALSE),"")</f>
        <v/>
      </c>
      <c r="BL32" s="1428" t="str">
        <f>IFERROR(VLOOKUP(CONCATENATE($B$8,"_",$B32),Data!$BO$16:$ES$1015,BL$11,FALSE),"")</f>
        <v/>
      </c>
      <c r="BM32" s="1433" t="str">
        <f>IFERROR(VLOOKUP(CONCATENATE($B$8,"_",$B32),Data!$BO$16:$ES$1015,BM$11,FALSE),"")</f>
        <v/>
      </c>
      <c r="BN32" s="1433" t="str">
        <f>IFERROR(VLOOKUP(CONCATENATE($B$8,"_",$B32),Data!$BO$16:$ES$1015,BN$11,FALSE),"")</f>
        <v/>
      </c>
      <c r="BO32" s="1433" t="str">
        <f>IFERROR(VLOOKUP(CONCATENATE($B$8,"_",$B32),Data!$BO$16:$ES$1015,BO$11,FALSE),"")</f>
        <v/>
      </c>
      <c r="BP32" s="1433" t="str">
        <f>IFERROR(VLOOKUP(CONCATENATE($B$8,"_",$B32),Data!$BO$16:$ES$1015,BP$11,FALSE),"")</f>
        <v/>
      </c>
      <c r="BQ32" s="1433" t="str">
        <f>IFERROR(VLOOKUP(CONCATENATE($B$8,"_",$B32),Data!$BO$16:$ES$1015,BQ$11,FALSE),"")</f>
        <v/>
      </c>
      <c r="BR32" s="1434" t="str">
        <f>IFERROR(VLOOKUP(CONCATENATE($B$8,"_",$B32),Data!$BO$16:$ES$1015,BR$11,FALSE),"")</f>
        <v/>
      </c>
      <c r="BS32" s="1434" t="str">
        <f>IFERROR(VLOOKUP(CONCATENATE($B$8,"_",$B32),Data!$BO$16:$ES$1015,BS$11,FALSE),"")</f>
        <v/>
      </c>
      <c r="BT32" s="1434" t="str">
        <f>IFERROR(VLOOKUP(CONCATENATE($B$8,"_",$B32),Data!$BO$16:$ES$1015,BT$11,FALSE),"")</f>
        <v/>
      </c>
      <c r="BU32" s="1434" t="str">
        <f>IFERROR(VLOOKUP(CONCATENATE($B$8,"_",$B32),Data!$BO$16:$ES$1015,BU$11,FALSE),"")</f>
        <v/>
      </c>
      <c r="BV32" s="1434" t="str">
        <f>IFERROR(VLOOKUP(CONCATENATE($B$8,"_",$B32),Data!$BO$16:$ES$1015,BV$11,FALSE),"")</f>
        <v/>
      </c>
      <c r="BW32" s="1434" t="str">
        <f>IFERROR(VLOOKUP(CONCATENATE($B$8,"_",$B32),Data!$BO$16:$ES$1015,BW$11,FALSE),"")</f>
        <v/>
      </c>
      <c r="BX32" s="1434" t="str">
        <f>IFERROR(VLOOKUP(CONCATENATE($B$8,"_",$B32),Data!$BO$16:$ES$1015,BX$11,FALSE),"")</f>
        <v/>
      </c>
      <c r="BY32" s="1428" t="str">
        <f>IFERROR(VLOOKUP(CONCATENATE($B$8,"_",$B32),Data!$BO$16:$ES$1015,BY$11,FALSE),"")</f>
        <v/>
      </c>
      <c r="BZ32" s="1428" t="str">
        <f>IFERROR(VLOOKUP(CONCATENATE($B$8,"_",$B32),Data!$BO$16:$ES$1015,BZ$11,FALSE),"")</f>
        <v/>
      </c>
      <c r="CA32" s="1428" t="str">
        <f>IFERROR(VLOOKUP(CONCATENATE($B$8,"_",$B32),Data!$BO$16:$ES$1015,CA$11,FALSE),"")</f>
        <v/>
      </c>
      <c r="CB32" s="1428" t="str">
        <f>IFERROR(VLOOKUP(CONCATENATE($B$8,"_",$B32),Data!$BO$16:$ES$1015,CB$11,FALSE),"")</f>
        <v/>
      </c>
      <c r="CC32" s="1428" t="str">
        <f>IFERROR(VLOOKUP(CONCATENATE($B$8,"_",$B32),Data!$BO$16:$ES$1015,CC$11,FALSE),"")</f>
        <v/>
      </c>
      <c r="CD32" s="1428" t="str">
        <f>IFERROR(VLOOKUP(CONCATENATE($B$8,"_",$B32),Data!$BO$16:$ES$1015,CD$11,FALSE),"")</f>
        <v/>
      </c>
      <c r="CE32" s="1428" t="str">
        <f>IFERROR(VLOOKUP(CONCATENATE($B$8,"_",$B32),Data!$BO$16:$ES$1015,CE$11,FALSE),"")</f>
        <v/>
      </c>
      <c r="CF32" s="1428" t="str">
        <f>IFERROR(VLOOKUP(CONCATENATE($B$8,"_",$B32),Data!$BO$16:$ES$1015,CF$11,FALSE),"")</f>
        <v/>
      </c>
      <c r="CG32" s="1428" t="str">
        <f>IFERROR(VLOOKUP(CONCATENATE($B$8,"_",$B32),Data!$BO$16:$ES$1015,CG$11,FALSE),"")</f>
        <v/>
      </c>
      <c r="CH32" s="1428" t="str">
        <f>IFERROR(VLOOKUP(CONCATENATE($B$8,"_",$B32),Data!$BO$16:$ES$1015,CH$11,FALSE),"")</f>
        <v/>
      </c>
      <c r="CI32" s="1428" t="str">
        <f>IFERROR(VLOOKUP(CONCATENATE($B$8,"_",$B32),Data!$BO$16:$ES$1015,CI$11,FALSE),"")</f>
        <v/>
      </c>
      <c r="CJ32" s="1428" t="str">
        <f>IFERROR(VLOOKUP(CONCATENATE($B$8,"_",$B32),Data!$BO$16:$ES$1015,CJ$11,FALSE),"")</f>
        <v/>
      </c>
      <c r="CK32" s="1428" t="str">
        <f>IFERROR(VLOOKUP(CONCATENATE($B$8,"_",$B32),Data!$BO$16:$ES$1015,CK$11,FALSE),"")</f>
        <v/>
      </c>
      <c r="CL32" s="1428" t="str">
        <f>IFERROR(VLOOKUP(CONCATENATE($B$8,"_",$B32),Data!$BO$16:$ES$1015,CL$11,FALSE),"")</f>
        <v/>
      </c>
      <c r="CM32" s="1428" t="str">
        <f>IFERROR(VLOOKUP(CONCATENATE($B$8,"_",$B32),Data!$BO$16:$ES$1015,CM$11,FALSE),"")</f>
        <v/>
      </c>
      <c r="CN32" s="1428" t="str">
        <f>IFERROR(VLOOKUP(CONCATENATE($B$8,"_",$B32),Data!$BO$16:$ES$1015,CN$11,FALSE),"")</f>
        <v/>
      </c>
      <c r="CO32" s="1428" t="str">
        <f>IFERROR(VLOOKUP(CONCATENATE($B$8,"_",$B32),Data!$BO$16:$ES$1015,CO$11,FALSE),"")</f>
        <v/>
      </c>
      <c r="CP32" s="1433" t="str">
        <f>IFERROR(VLOOKUP(CONCATENATE($B$8,"_",$B32),Data!$BO$16:$ES$1015,CP$11,FALSE),"")</f>
        <v/>
      </c>
      <c r="CQ32" s="1433" t="str">
        <f>IFERROR(VLOOKUP(CONCATENATE($B$8,"_",$B32),Data!$BO$16:$ES$1015,CQ$11,FALSE),"")</f>
        <v/>
      </c>
      <c r="CR32" s="1433" t="str">
        <f>IFERROR(VLOOKUP(CONCATENATE($B$8,"_",$B32),Data!$BO$16:$ES$1015,CR$11,FALSE),"")</f>
        <v/>
      </c>
      <c r="CS32" s="1433" t="str">
        <f>IFERROR(VLOOKUP(CONCATENATE($B$8,"_",$B32),Data!$BO$16:$ES$1015,CS$11,FALSE),"")</f>
        <v/>
      </c>
      <c r="CT32" s="1433" t="str">
        <f>IFERROR(VLOOKUP(CONCATENATE($B$8,"_",$B32),Data!$BO$16:$ES$1015,CT$11,FALSE),"")</f>
        <v/>
      </c>
      <c r="CU32" s="1433" t="str">
        <f>IFERROR(VLOOKUP(CONCATENATE($B$8,"_",$B32),Data!$BO$16:$ES$1015,CU$11,FALSE),"")</f>
        <v/>
      </c>
      <c r="CV32" s="1433" t="str">
        <f>IFERROR(VLOOKUP(CONCATENATE($B$8,"_",$B32),Data!$BO$16:$ES$1015,CV$11,FALSE),"")</f>
        <v/>
      </c>
      <c r="CW32" s="1433" t="str">
        <f>IFERROR(VLOOKUP(CONCATENATE($B$8,"_",$B32),Data!$BO$16:$ES$1015,CW$11,FALSE),"")</f>
        <v/>
      </c>
      <c r="CX32" s="1433" t="str">
        <f>IFERROR(VLOOKUP(CONCATENATE($B$8,"_",$B32),Data!$BO$16:$ES$1015,CX$11,FALSE),"")</f>
        <v/>
      </c>
      <c r="CY32" s="1433" t="str">
        <f>IFERROR(VLOOKUP(CONCATENATE($B$8,"_",$B32),Data!$BO$16:$ES$1015,CY$11,FALSE),"")</f>
        <v/>
      </c>
      <c r="CZ32" s="1433" t="str">
        <f>IFERROR(VLOOKUP(CONCATENATE($B$8,"_",$B32),Data!$BO$16:$ES$1015,CZ$11,FALSE),"")</f>
        <v/>
      </c>
      <c r="DA32" s="1433" t="str">
        <f>IFERROR(VLOOKUP(CONCATENATE($B$8,"_",$B32),Data!$BO$16:$ES$1015,DA$11,FALSE),"")</f>
        <v/>
      </c>
      <c r="DB32" s="1433" t="str">
        <f>IFERROR(VLOOKUP(CONCATENATE($B$8,"_",$B32),Data!$BO$16:$ES$1015,DB$11,FALSE),"")</f>
        <v/>
      </c>
      <c r="DC32" s="1433" t="str">
        <f>IFERROR(VLOOKUP(CONCATENATE($B$8,"_",$B32),Data!$BO$16:$ES$1015,DC$11,FALSE),"")</f>
        <v/>
      </c>
      <c r="DD32" s="1433" t="str">
        <f>IFERROR(VLOOKUP(CONCATENATE($B$8,"_",$B32),Data!$BO$16:$ES$1015,DD$11,FALSE),"")</f>
        <v/>
      </c>
      <c r="DE32" s="1433" t="str">
        <f>IFERROR(VLOOKUP(CONCATENATE($B$8,"_",$B32),Data!$BO$16:$ES$1015,DE$11,FALSE),"")</f>
        <v/>
      </c>
      <c r="DF32" s="1433" t="str">
        <f>IFERROR(VLOOKUP(CONCATENATE($B$8,"_",$B32),Data!$BO$16:$ES$1015,DF$11,FALSE),"")</f>
        <v/>
      </c>
      <c r="DG32" s="1433" t="str">
        <f>IFERROR(VLOOKUP(CONCATENATE($B$8,"_",$B32),Data!$BO$16:$ES$1015,DG$11,FALSE),"")</f>
        <v/>
      </c>
      <c r="DH32" s="1433" t="str">
        <f>IFERROR(VLOOKUP(CONCATENATE($B$8,"_",$B32),Data!$BO$16:$ES$1015,DH$11,FALSE),"")</f>
        <v/>
      </c>
      <c r="DI32" s="1433" t="str">
        <f>IFERROR(VLOOKUP(CONCATENATE($B$8,"_",$B32),Data!$BO$16:$ES$1015,DI$11,FALSE),"")</f>
        <v/>
      </c>
      <c r="DJ32" s="1433" t="str">
        <f>IFERROR(VLOOKUP(CONCATENATE($B$8,"_",$B32),Data!$BO$16:$ES$1015,DJ$11,FALSE),"")</f>
        <v/>
      </c>
      <c r="DK32" s="1433" t="str">
        <f>IFERROR(VLOOKUP(CONCATENATE($B$8,"_",$B32),Data!$BO$16:$ES$1015,DK$11,FALSE),"")</f>
        <v/>
      </c>
      <c r="DL32" s="1435" t="str">
        <f>IFERROR(VLOOKUP(CONCATENATE($B$8,"_",$B32),Data!$BO$16:$ES$1015,DL$11,FALSE),"")</f>
        <v/>
      </c>
      <c r="DM32" s="1434" t="str">
        <f>IFERROR(VLOOKUP(CONCATENATE($B$8,"_",$B32),Data!$BO$16:$ES$1015,DM$11,FALSE),"")</f>
        <v/>
      </c>
      <c r="DN32" s="1434" t="str">
        <f>IFERROR(VLOOKUP(CONCATENATE($B$8,"_",$B32),Data!$BO$16:$ES$1015,DN$11,FALSE),"")</f>
        <v/>
      </c>
      <c r="DO32" s="1434" t="str">
        <f>IFERROR(VLOOKUP(CONCATENATE($B$8,"_",$B32),Data!$BO$16:$ES$1015,DO$11,FALSE),"")</f>
        <v/>
      </c>
      <c r="DP32" s="1434" t="str">
        <f>IFERROR(VLOOKUP(CONCATENATE($B$8,"_",$B32),Data!$BO$16:$ES$1015,DP$11,FALSE),"")</f>
        <v/>
      </c>
      <c r="DQ32" s="1434" t="str">
        <f>IFERROR(VLOOKUP(CONCATENATE($B$8,"_",$B32),Data!$BO$16:$ES$1015,DQ$11,FALSE),"")</f>
        <v/>
      </c>
      <c r="DR32" s="1434" t="str">
        <f>IFERROR(VLOOKUP(CONCATENATE($B$8,"_",$B32),Data!$BO$16:$ES$1015,DR$11,FALSE),"")</f>
        <v/>
      </c>
      <c r="DS32" s="1434" t="str">
        <f>IFERROR(VLOOKUP(CONCATENATE($B$8,"_",$B32),Data!$BO$16:$ES$1015,DS$11,FALSE),"")</f>
        <v/>
      </c>
      <c r="DT32" s="1434" t="str">
        <f>IFERROR(VLOOKUP(CONCATENATE($B$8,"_",$B32),Data!$BO$16:$ES$1015,DT$11,FALSE),"")</f>
        <v/>
      </c>
      <c r="DU32" s="1434" t="str">
        <f>IFERROR(VLOOKUP(CONCATENATE($B$8,"_",$B32),Data!$BO$16:$ES$1015,DU$11,FALSE),"")</f>
        <v/>
      </c>
      <c r="DV32" s="1434" t="str">
        <f>IFERROR(VLOOKUP(CONCATENATE($B$8,"_",$B32),Data!$BO$16:$ES$1015,DV$11,FALSE),"")</f>
        <v/>
      </c>
      <c r="DW32" s="1434" t="str">
        <f>IFERROR(VLOOKUP(CONCATENATE($B$8,"_",$B32),Data!$BO$16:$ES$1015,DW$11,FALSE),"")</f>
        <v/>
      </c>
      <c r="DX32" s="1434" t="str">
        <f>IFERROR(VLOOKUP(CONCATENATE($B$8,"_",$B32),Data!$BO$16:$ES$1015,DX$11,FALSE),"")</f>
        <v/>
      </c>
      <c r="DY32" s="1434" t="str">
        <f>IFERROR(VLOOKUP(CONCATENATE($B$8,"_",$B32),Data!$BO$16:$ES$1015,DY$11,FALSE),"")</f>
        <v/>
      </c>
      <c r="DZ32" s="1434" t="str">
        <f>IFERROR(VLOOKUP(CONCATENATE($B$8,"_",$B32),Data!$BO$16:$ES$1015,DZ$11,FALSE),"")</f>
        <v/>
      </c>
      <c r="EA32" s="1434" t="str">
        <f>IFERROR(VLOOKUP(CONCATENATE($B$8,"_",$B32),Data!$BO$16:$ES$1015,EA$11,FALSE),"")</f>
        <v/>
      </c>
      <c r="EB32" s="1434" t="str">
        <f>IFERROR(VLOOKUP(CONCATENATE($B$8,"_",$B32),Data!$BO$16:$ES$1015,EB$11,FALSE),"")</f>
        <v/>
      </c>
      <c r="EC32" s="1434" t="str">
        <f>IFERROR(VLOOKUP(CONCATENATE($B$8,"_",$B32),Data!$BO$16:$ES$1015,EC$11,FALSE),"")</f>
        <v/>
      </c>
      <c r="ED32" s="1434" t="str">
        <f>IFERROR(VLOOKUP(CONCATENATE($B$8,"_",$B32),Data!$BO$16:$ES$1015,ED$11,FALSE),"")</f>
        <v/>
      </c>
      <c r="EE32" s="1434" t="str">
        <f>IFERROR(VLOOKUP(CONCATENATE($B$8,"_",$B32),Data!$BO$16:$ES$1015,EE$11,FALSE),"")</f>
        <v/>
      </c>
      <c r="EF32" s="1434" t="str">
        <f>IFERROR(VLOOKUP(CONCATENATE($B$8,"_",$B32),Data!$BO$16:$ES$1015,EF$11,FALSE),"")</f>
        <v/>
      </c>
      <c r="EG32" s="1434" t="str">
        <f>IFERROR(VLOOKUP(CONCATENATE($B$8,"_",$B32),Data!$BO$16:$ES$1015,EG$11,FALSE),"")</f>
        <v/>
      </c>
      <c r="EH32" s="1434" t="str">
        <f>IFERROR(VLOOKUP(CONCATENATE($B$8,"_",$B32),Data!$BO$16:$ES$1015,EH$11,FALSE),"")</f>
        <v/>
      </c>
      <c r="EI32" s="1434" t="str">
        <f>IFERROR(VLOOKUP(CONCATENATE($B$8,"_",$B32),Data!$BO$16:$ES$1015,EI$11,FALSE),"")</f>
        <v/>
      </c>
    </row>
    <row r="33" spans="1:141" s="1441" customFormat="1" ht="15" customHeight="1">
      <c r="A33" s="1438">
        <v>20</v>
      </c>
      <c r="B33" s="1738">
        <f>IF($B$13+A33&lt;=Progress!$D$18,$B$13+A33,"")</f>
        <v>2020</v>
      </c>
      <c r="C33" s="1737" t="str">
        <f>IFERROR(VLOOKUP(CONCATENATE($B$8,"_",$B33),Data!$H$16:$BN$1015,C$11,FALSE),"")</f>
        <v/>
      </c>
      <c r="D33" s="1428" t="str">
        <f>IFERROR(VLOOKUP(CONCATENATE($B$8,"_",$B33),Data!$H$16:$BN$1015,D$11,FALSE),"")</f>
        <v/>
      </c>
      <c r="E33" s="1429" t="str">
        <f>IFERROR(VLOOKUP(CONCATENATE($B$8,"_",$B33),Data!$H$16:$BN$1015,E$11,FALSE),"")</f>
        <v/>
      </c>
      <c r="F33" s="1428" t="str">
        <f>IFERROR(VLOOKUP(CONCATENATE($B$8,"_",$B33),Data!$H$16:$BN$1015,F$11,FALSE),"")</f>
        <v/>
      </c>
      <c r="G33" s="1428" t="str">
        <f>IFERROR(VLOOKUP(CONCATENATE($B$8,"_",$B33),Data!$H$16:$BN$1015,G$11,FALSE),"")</f>
        <v/>
      </c>
      <c r="H33" s="1429" t="str">
        <f>IFERROR(VLOOKUP(CONCATENATE($B$8,"_",$B33),Data!$H$16:$BN$1015,H$11,FALSE),"")</f>
        <v/>
      </c>
      <c r="I33" s="1428" t="str">
        <f>IFERROR(VLOOKUP(CONCATENATE($B$8,"_",$B33),Data!$H$16:$BN$1015,I$11,FALSE),"")</f>
        <v/>
      </c>
      <c r="J33" s="1428" t="str">
        <f>IFERROR(VLOOKUP(CONCATENATE($B$8,"_",$B33),Data!$H$16:$BN$1015,J$11,FALSE),"")</f>
        <v/>
      </c>
      <c r="K33" s="1429" t="str">
        <f>IFERROR(VLOOKUP(CONCATENATE($B$8,"_",$B33),Data!$H$16:$BN$1015,K$11,FALSE),"")</f>
        <v/>
      </c>
      <c r="L33" s="1428" t="str">
        <f>IFERROR(VLOOKUP(CONCATENATE($B$8,"_",$B33),Data!$H$16:$BN$1015,L$11,FALSE),"")</f>
        <v/>
      </c>
      <c r="M33" s="1428" t="str">
        <f>IFERROR(VLOOKUP(CONCATENATE($B$8,"_",$B33),Data!$H$16:$BN$1015,M$11,FALSE),"")</f>
        <v/>
      </c>
      <c r="N33" s="1429" t="str">
        <f>IFERROR(VLOOKUP(CONCATENATE($B$8,"_",$B33),Data!$H$16:$BN$1015,N$11,FALSE),"")</f>
        <v/>
      </c>
      <c r="O33" s="1430" t="str">
        <f>IFERROR(VLOOKUP(CONCATENATE($B$8,"_",$B33),Data!$H$16:$BN$1015,O$11,FALSE),"")</f>
        <v/>
      </c>
      <c r="P33" s="1428" t="str">
        <f>IFERROR(VLOOKUP(CONCATENATE($B$8,"_",$B33),Data!$H$16:$BN$1015,P$11,FALSE),"")</f>
        <v/>
      </c>
      <c r="Q33" s="1428" t="str">
        <f>IFERROR(VLOOKUP(CONCATENATE($B$8,"_",$B33),Data!$H$16:$BN$1015,Q$11,FALSE),"")</f>
        <v/>
      </c>
      <c r="R33" s="1429" t="str">
        <f>IFERROR(VLOOKUP(CONCATENATE($B$8,"_",$B33),Data!$H$16:$BN$1015,R$11,FALSE),"")</f>
        <v/>
      </c>
      <c r="S33" s="1428" t="str">
        <f>IFERROR(VLOOKUP(CONCATENATE($B$8,"_",$B33),Data!$H$16:$BN$1015,S$11,FALSE),"")</f>
        <v/>
      </c>
      <c r="T33" s="1428" t="str">
        <f>IFERROR(VLOOKUP(CONCATENATE($B$8,"_",$B33),Data!$H$16:$BN$1015,T$11,FALSE),"")</f>
        <v/>
      </c>
      <c r="U33" s="1429" t="str">
        <f>IFERROR(VLOOKUP(CONCATENATE($B$8,"_",$B33),Data!$H$16:$BN$1015,U$11,FALSE),"")</f>
        <v/>
      </c>
      <c r="V33" s="1428" t="str">
        <f>IFERROR(VLOOKUP(CONCATENATE($B$8,"_",$B33),Data!$H$16:$BN$1015,V$11,FALSE),"")</f>
        <v/>
      </c>
      <c r="W33" s="1428" t="str">
        <f>IFERROR(VLOOKUP(CONCATENATE($B$8,"_",$B33),Data!$H$16:$BN$1015,W$11,FALSE),"")</f>
        <v/>
      </c>
      <c r="X33" s="1428" t="str">
        <f>IFERROR(VLOOKUP(CONCATENATE($B$8,"_",$B33),Data!$H$16:$BN$1015,X$11,FALSE),"")</f>
        <v/>
      </c>
      <c r="Y33" s="1428" t="str">
        <f>IFERROR(VLOOKUP(CONCATENATE($B$8,"_",$B33),Data!$H$16:$BN$1015,Y$11,FALSE),"")</f>
        <v/>
      </c>
      <c r="Z33" s="1429" t="str">
        <f>IFERROR(VLOOKUP(CONCATENATE($B$8,"_",$B33),Data!$H$16:$BN$1015,Z$11,FALSE),"")</f>
        <v/>
      </c>
      <c r="AA33" s="1428" t="str">
        <f>IFERROR(VLOOKUP(CONCATENATE($B$8,"_",$B33),Data!$H$16:$BN$1015,AA$11,FALSE),"")</f>
        <v/>
      </c>
      <c r="AB33" s="1428" t="str">
        <f>IFERROR(VLOOKUP(CONCATENATE($B$8,"_",$B33),Data!$H$16:$BN$1015,AB$11,FALSE),"")</f>
        <v/>
      </c>
      <c r="AC33" s="1429" t="str">
        <f>IFERROR(VLOOKUP(CONCATENATE($B$8,"_",$B33),Data!$H$16:$BN$1015,AC$11,FALSE),"")</f>
        <v/>
      </c>
      <c r="AD33" s="1428" t="str">
        <f>IFERROR(VLOOKUP(CONCATENATE($B$8,"_",$B33),Data!$H$16:$BN$1015,AD$11,FALSE),"")</f>
        <v/>
      </c>
      <c r="AE33" s="1428" t="str">
        <f>IFERROR(VLOOKUP(CONCATENATE($B$8,"_",$B33),Data!$H$16:$BN$1015,AE$11,FALSE),"")</f>
        <v/>
      </c>
      <c r="AF33" s="1429" t="str">
        <f>IFERROR(VLOOKUP(CONCATENATE($B$8,"_",$B33),Data!$H$16:$BN$1015,AF$11,FALSE),"")</f>
        <v/>
      </c>
      <c r="AG33" s="1428" t="str">
        <f>IFERROR(VLOOKUP(CONCATENATE($B$8,"_",$B33),Data!$H$16:$BN$1015,AG$11,FALSE),"")</f>
        <v/>
      </c>
      <c r="AH33" s="1428" t="str">
        <f>IFERROR(VLOOKUP(CONCATENATE($B$8,"_",$B33),Data!$H$16:$BN$1015,AH$11,FALSE),"")</f>
        <v/>
      </c>
      <c r="AI33" s="1429" t="str">
        <f>IFERROR(VLOOKUP(CONCATENATE($B$8,"_",$B33),Data!$H$16:$BN$1015,AI$11,FALSE),"")</f>
        <v/>
      </c>
      <c r="AJ33" s="1428" t="str">
        <f>IFERROR(VLOOKUP(CONCATENATE($B$8,"_",$B33),Data!$H$16:$BN$1015,AJ$11,FALSE),"")</f>
        <v/>
      </c>
      <c r="AK33" s="1428" t="str">
        <f>IFERROR(VLOOKUP(CONCATENATE($B$8,"_",$B33),Data!$H$16:$BN$1015,AK$11,FALSE),"")</f>
        <v/>
      </c>
      <c r="AL33" s="1429" t="str">
        <f>IFERROR(VLOOKUP(CONCATENATE($B$8,"_",$B33),Data!$H$16:$BN$1015,AL$11,FALSE),"")</f>
        <v/>
      </c>
      <c r="AM33" s="1428" t="str">
        <f>IFERROR(VLOOKUP(CONCATENATE($B$8,"_",$B33),Data!$H$16:$BN$1015,AM$11,FALSE),"")</f>
        <v/>
      </c>
      <c r="AN33" s="1428" t="str">
        <f>IFERROR(VLOOKUP(CONCATENATE($B$8,"_",$B33),Data!$H$16:$BN$1015,AN$11,FALSE),"")</f>
        <v/>
      </c>
      <c r="AO33" s="1430" t="str">
        <f>IFERROR(VLOOKUP(CONCATENATE($B$8,"_",$B33),Data!$H$16:$BN$1015,AO$11,FALSE),"")</f>
        <v/>
      </c>
      <c r="AP33" s="1428" t="str">
        <f>IFERROR(VLOOKUP(CONCATENATE($B$8,"_",$B33),Data!$H$16:$BN$1015,AP$11,FALSE),"")</f>
        <v/>
      </c>
      <c r="AQ33" s="1428" t="str">
        <f>IFERROR(VLOOKUP(CONCATENATE($B$8,"_",$B33),Data!$H$16:$BN$1015,AQ$11,FALSE),"")</f>
        <v/>
      </c>
      <c r="AR33" s="1430" t="str">
        <f>IFERROR(VLOOKUP(CONCATENATE($B$8,"_",$B33),Data!$H$16:$BN$1015,AR$11,FALSE),"")</f>
        <v/>
      </c>
      <c r="AS33" s="1428" t="str">
        <f>IFERROR(VLOOKUP(CONCATENATE($B$8,"_",$B33),Data!$H$16:$BN$1015,AS$11,FALSE),"")</f>
        <v/>
      </c>
      <c r="AT33" s="1428" t="str">
        <f>IFERROR(VLOOKUP(CONCATENATE($B$8,"_",$B33),Data!$H$16:$BN$1015,AT$11,FALSE),"")</f>
        <v/>
      </c>
      <c r="AU33" s="1430" t="str">
        <f>IFERROR(VLOOKUP(CONCATENATE($B$8,"_",$B33),Data!$H$16:$BN$1015,AU$11,FALSE),"")</f>
        <v/>
      </c>
      <c r="AV33" s="1428" t="str">
        <f>IFERROR(VLOOKUP(CONCATENATE($B$8,"_",$B33),Data!$H$16:$BN$1015,AV$11,FALSE),"")</f>
        <v/>
      </c>
      <c r="AW33" s="1428" t="str">
        <f>IFERROR(VLOOKUP(CONCATENATE($B$8,"_",$B33),Data!$H$16:$BN$1015,AW$11,FALSE),"")</f>
        <v/>
      </c>
      <c r="AX33" s="1430" t="str">
        <f>IFERROR(VLOOKUP(CONCATENATE($B$8,"_",$B33),Data!$H$16:$BN$1015,AX$11,FALSE),"")</f>
        <v/>
      </c>
      <c r="AY33" s="1429" t="str">
        <f>IFERROR(VLOOKUP(CONCATENATE($B$8,"_",$B33),Data!$H$16:$BN$1015,AY$11,FALSE),"")</f>
        <v/>
      </c>
      <c r="AZ33" s="1429" t="str">
        <f>IFERROR(VLOOKUP(CONCATENATE($B$8,"_",$B33),Data!$H$16:$BN$1015,AZ$11,FALSE),"")</f>
        <v/>
      </c>
      <c r="BA33" s="1429" t="str">
        <f>IFERROR(VLOOKUP(CONCATENATE($B$8,"_",$B33),Data!$H$16:$BN$1015,BA$11,FALSE),"")</f>
        <v/>
      </c>
      <c r="BB33" s="1429" t="str">
        <f>IFERROR(VLOOKUP(CONCATENATE($B$8,"_",$B33),Data!$H$16:$BN$1015,BB$11,FALSE),"")</f>
        <v/>
      </c>
      <c r="BC33" s="1429" t="str">
        <f>IFERROR(VLOOKUP(CONCATENATE($B$8,"_",$B33),Data!$H$16:$BN$1015,BC$11,FALSE),"")</f>
        <v/>
      </c>
      <c r="BD33" s="1431" t="str">
        <f>IFERROR(VLOOKUP(CONCATENATE($B$8,"_",$B33),Data!$H$16:$BN$1015,BD$11,FALSE),"")</f>
        <v/>
      </c>
      <c r="BE33" s="1439">
        <f t="shared" si="0"/>
        <v>2020</v>
      </c>
      <c r="BF33" s="1428" t="str">
        <f>IFERROR(VLOOKUP(CONCATENATE($B$8,"_",$B33),Data!$BO$16:$ES$1015,BF$11,FALSE),"")</f>
        <v/>
      </c>
      <c r="BG33" s="1433" t="str">
        <f>IFERROR(VLOOKUP(CONCATENATE($B$8,"_",$B33),Data!$BO$16:$ES$1015,BG$11,FALSE),"")</f>
        <v/>
      </c>
      <c r="BH33" s="1435" t="str">
        <f>IFERROR(VLOOKUP(CONCATENATE($B$8,"_",$B33),Data!$BO$16:$ES$1015,BH$11,FALSE),"")</f>
        <v/>
      </c>
      <c r="BI33" s="1434" t="str">
        <f>IFERROR(VLOOKUP(CONCATENATE($B$8,"_",$B33),Data!$BO$16:$ES$1015,BI$11,FALSE),"")</f>
        <v/>
      </c>
      <c r="BJ33" s="1428" t="str">
        <f>IFERROR(VLOOKUP(CONCATENATE($B$8,"_",$B33),Data!$BO$16:$ES$1015,BJ$11,FALSE),"")</f>
        <v/>
      </c>
      <c r="BK33" s="1428" t="str">
        <f>IFERROR(VLOOKUP(CONCATENATE($B$8,"_",$B33),Data!$BO$16:$ES$1015,BK$11,FALSE),"")</f>
        <v/>
      </c>
      <c r="BL33" s="1428" t="str">
        <f>IFERROR(VLOOKUP(CONCATENATE($B$8,"_",$B33),Data!$BO$16:$ES$1015,BL$11,FALSE),"")</f>
        <v/>
      </c>
      <c r="BM33" s="1433" t="str">
        <f>IFERROR(VLOOKUP(CONCATENATE($B$8,"_",$B33),Data!$BO$16:$ES$1015,BM$11,FALSE),"")</f>
        <v/>
      </c>
      <c r="BN33" s="1433" t="str">
        <f>IFERROR(VLOOKUP(CONCATENATE($B$8,"_",$B33),Data!$BO$16:$ES$1015,BN$11,FALSE),"")</f>
        <v/>
      </c>
      <c r="BO33" s="1433" t="str">
        <f>IFERROR(VLOOKUP(CONCATENATE($B$8,"_",$B33),Data!$BO$16:$ES$1015,BO$11,FALSE),"")</f>
        <v/>
      </c>
      <c r="BP33" s="1433" t="str">
        <f>IFERROR(VLOOKUP(CONCATENATE($B$8,"_",$B33),Data!$BO$16:$ES$1015,BP$11,FALSE),"")</f>
        <v/>
      </c>
      <c r="BQ33" s="1433" t="str">
        <f>IFERROR(VLOOKUP(CONCATENATE($B$8,"_",$B33),Data!$BO$16:$ES$1015,BQ$11,FALSE),"")</f>
        <v/>
      </c>
      <c r="BR33" s="1434" t="str">
        <f>IFERROR(VLOOKUP(CONCATENATE($B$8,"_",$B33),Data!$BO$16:$ES$1015,BR$11,FALSE),"")</f>
        <v/>
      </c>
      <c r="BS33" s="1434" t="str">
        <f>IFERROR(VLOOKUP(CONCATENATE($B$8,"_",$B33),Data!$BO$16:$ES$1015,BS$11,FALSE),"")</f>
        <v/>
      </c>
      <c r="BT33" s="1434" t="str">
        <f>IFERROR(VLOOKUP(CONCATENATE($B$8,"_",$B33),Data!$BO$16:$ES$1015,BT$11,FALSE),"")</f>
        <v/>
      </c>
      <c r="BU33" s="1434" t="str">
        <f>IFERROR(VLOOKUP(CONCATENATE($B$8,"_",$B33),Data!$BO$16:$ES$1015,BU$11,FALSE),"")</f>
        <v/>
      </c>
      <c r="BV33" s="1434" t="str">
        <f>IFERROR(VLOOKUP(CONCATENATE($B$8,"_",$B33),Data!$BO$16:$ES$1015,BV$11,FALSE),"")</f>
        <v/>
      </c>
      <c r="BW33" s="1434" t="str">
        <f>IFERROR(VLOOKUP(CONCATENATE($B$8,"_",$B33),Data!$BO$16:$ES$1015,BW$11,FALSE),"")</f>
        <v/>
      </c>
      <c r="BX33" s="1434" t="str">
        <f>IFERROR(VLOOKUP(CONCATENATE($B$8,"_",$B33),Data!$BO$16:$ES$1015,BX$11,FALSE),"")</f>
        <v/>
      </c>
      <c r="BY33" s="1428" t="str">
        <f>IFERROR(VLOOKUP(CONCATENATE($B$8,"_",$B33),Data!$BO$16:$ES$1015,BY$11,FALSE),"")</f>
        <v/>
      </c>
      <c r="BZ33" s="1428" t="str">
        <f>IFERROR(VLOOKUP(CONCATENATE($B$8,"_",$B33),Data!$BO$16:$ES$1015,BZ$11,FALSE),"")</f>
        <v/>
      </c>
      <c r="CA33" s="1428" t="str">
        <f>IFERROR(VLOOKUP(CONCATENATE($B$8,"_",$B33),Data!$BO$16:$ES$1015,CA$11,FALSE),"")</f>
        <v/>
      </c>
      <c r="CB33" s="1428" t="str">
        <f>IFERROR(VLOOKUP(CONCATENATE($B$8,"_",$B33),Data!$BO$16:$ES$1015,CB$11,FALSE),"")</f>
        <v/>
      </c>
      <c r="CC33" s="1428" t="str">
        <f>IFERROR(VLOOKUP(CONCATENATE($B$8,"_",$B33),Data!$BO$16:$ES$1015,CC$11,FALSE),"")</f>
        <v/>
      </c>
      <c r="CD33" s="1428" t="str">
        <f>IFERROR(VLOOKUP(CONCATENATE($B$8,"_",$B33),Data!$BO$16:$ES$1015,CD$11,FALSE),"")</f>
        <v/>
      </c>
      <c r="CE33" s="1428" t="str">
        <f>IFERROR(VLOOKUP(CONCATENATE($B$8,"_",$B33),Data!$BO$16:$ES$1015,CE$11,FALSE),"")</f>
        <v/>
      </c>
      <c r="CF33" s="1428" t="str">
        <f>IFERROR(VLOOKUP(CONCATENATE($B$8,"_",$B33),Data!$BO$16:$ES$1015,CF$11,FALSE),"")</f>
        <v/>
      </c>
      <c r="CG33" s="1428" t="str">
        <f>IFERROR(VLOOKUP(CONCATENATE($B$8,"_",$B33),Data!$BO$16:$ES$1015,CG$11,FALSE),"")</f>
        <v/>
      </c>
      <c r="CH33" s="1428" t="str">
        <f>IFERROR(VLOOKUP(CONCATENATE($B$8,"_",$B33),Data!$BO$16:$ES$1015,CH$11,FALSE),"")</f>
        <v/>
      </c>
      <c r="CI33" s="1428" t="str">
        <f>IFERROR(VLOOKUP(CONCATENATE($B$8,"_",$B33),Data!$BO$16:$ES$1015,CI$11,FALSE),"")</f>
        <v/>
      </c>
      <c r="CJ33" s="1428" t="str">
        <f>IFERROR(VLOOKUP(CONCATENATE($B$8,"_",$B33),Data!$BO$16:$ES$1015,CJ$11,FALSE),"")</f>
        <v/>
      </c>
      <c r="CK33" s="1428" t="str">
        <f>IFERROR(VLOOKUP(CONCATENATE($B$8,"_",$B33),Data!$BO$16:$ES$1015,CK$11,FALSE),"")</f>
        <v/>
      </c>
      <c r="CL33" s="1428" t="str">
        <f>IFERROR(VLOOKUP(CONCATENATE($B$8,"_",$B33),Data!$BO$16:$ES$1015,CL$11,FALSE),"")</f>
        <v/>
      </c>
      <c r="CM33" s="1428" t="str">
        <f>IFERROR(VLOOKUP(CONCATENATE($B$8,"_",$B33),Data!$BO$16:$ES$1015,CM$11,FALSE),"")</f>
        <v/>
      </c>
      <c r="CN33" s="1428" t="str">
        <f>IFERROR(VLOOKUP(CONCATENATE($B$8,"_",$B33),Data!$BO$16:$ES$1015,CN$11,FALSE),"")</f>
        <v/>
      </c>
      <c r="CO33" s="1428" t="str">
        <f>IFERROR(VLOOKUP(CONCATENATE($B$8,"_",$B33),Data!$BO$16:$ES$1015,CO$11,FALSE),"")</f>
        <v/>
      </c>
      <c r="CP33" s="1433" t="str">
        <f>IFERROR(VLOOKUP(CONCATENATE($B$8,"_",$B33),Data!$BO$16:$ES$1015,CP$11,FALSE),"")</f>
        <v/>
      </c>
      <c r="CQ33" s="1433" t="str">
        <f>IFERROR(VLOOKUP(CONCATENATE($B$8,"_",$B33),Data!$BO$16:$ES$1015,CQ$11,FALSE),"")</f>
        <v/>
      </c>
      <c r="CR33" s="1433" t="str">
        <f>IFERROR(VLOOKUP(CONCATENATE($B$8,"_",$B33),Data!$BO$16:$ES$1015,CR$11,FALSE),"")</f>
        <v/>
      </c>
      <c r="CS33" s="1433" t="str">
        <f>IFERROR(VLOOKUP(CONCATENATE($B$8,"_",$B33),Data!$BO$16:$ES$1015,CS$11,FALSE),"")</f>
        <v/>
      </c>
      <c r="CT33" s="1433" t="str">
        <f>IFERROR(VLOOKUP(CONCATENATE($B$8,"_",$B33),Data!$BO$16:$ES$1015,CT$11,FALSE),"")</f>
        <v/>
      </c>
      <c r="CU33" s="1433" t="str">
        <f>IFERROR(VLOOKUP(CONCATENATE($B$8,"_",$B33),Data!$BO$16:$ES$1015,CU$11,FALSE),"")</f>
        <v/>
      </c>
      <c r="CV33" s="1433" t="str">
        <f>IFERROR(VLOOKUP(CONCATENATE($B$8,"_",$B33),Data!$BO$16:$ES$1015,CV$11,FALSE),"")</f>
        <v/>
      </c>
      <c r="CW33" s="1433" t="str">
        <f>IFERROR(VLOOKUP(CONCATENATE($B$8,"_",$B33),Data!$BO$16:$ES$1015,CW$11,FALSE),"")</f>
        <v/>
      </c>
      <c r="CX33" s="1433" t="str">
        <f>IFERROR(VLOOKUP(CONCATENATE($B$8,"_",$B33),Data!$BO$16:$ES$1015,CX$11,FALSE),"")</f>
        <v/>
      </c>
      <c r="CY33" s="1433" t="str">
        <f>IFERROR(VLOOKUP(CONCATENATE($B$8,"_",$B33),Data!$BO$16:$ES$1015,CY$11,FALSE),"")</f>
        <v/>
      </c>
      <c r="CZ33" s="1433" t="str">
        <f>IFERROR(VLOOKUP(CONCATENATE($B$8,"_",$B33),Data!$BO$16:$ES$1015,CZ$11,FALSE),"")</f>
        <v/>
      </c>
      <c r="DA33" s="1433" t="str">
        <f>IFERROR(VLOOKUP(CONCATENATE($B$8,"_",$B33),Data!$BO$16:$ES$1015,DA$11,FALSE),"")</f>
        <v/>
      </c>
      <c r="DB33" s="1433" t="str">
        <f>IFERROR(VLOOKUP(CONCATENATE($B$8,"_",$B33),Data!$BO$16:$ES$1015,DB$11,FALSE),"")</f>
        <v/>
      </c>
      <c r="DC33" s="1433" t="str">
        <f>IFERROR(VLOOKUP(CONCATENATE($B$8,"_",$B33),Data!$BO$16:$ES$1015,DC$11,FALSE),"")</f>
        <v/>
      </c>
      <c r="DD33" s="1433" t="str">
        <f>IFERROR(VLOOKUP(CONCATENATE($B$8,"_",$B33),Data!$BO$16:$ES$1015,DD$11,FALSE),"")</f>
        <v/>
      </c>
      <c r="DE33" s="1433" t="str">
        <f>IFERROR(VLOOKUP(CONCATENATE($B$8,"_",$B33),Data!$BO$16:$ES$1015,DE$11,FALSE),"")</f>
        <v/>
      </c>
      <c r="DF33" s="1433" t="str">
        <f>IFERROR(VLOOKUP(CONCATENATE($B$8,"_",$B33),Data!$BO$16:$ES$1015,DF$11,FALSE),"")</f>
        <v/>
      </c>
      <c r="DG33" s="1433" t="str">
        <f>IFERROR(VLOOKUP(CONCATENATE($B$8,"_",$B33),Data!$BO$16:$ES$1015,DG$11,FALSE),"")</f>
        <v/>
      </c>
      <c r="DH33" s="1433" t="str">
        <f>IFERROR(VLOOKUP(CONCATENATE($B$8,"_",$B33),Data!$BO$16:$ES$1015,DH$11,FALSE),"")</f>
        <v/>
      </c>
      <c r="DI33" s="1433" t="str">
        <f>IFERROR(VLOOKUP(CONCATENATE($B$8,"_",$B33),Data!$BO$16:$ES$1015,DI$11,FALSE),"")</f>
        <v/>
      </c>
      <c r="DJ33" s="1433" t="str">
        <f>IFERROR(VLOOKUP(CONCATENATE($B$8,"_",$B33),Data!$BO$16:$ES$1015,DJ$11,FALSE),"")</f>
        <v/>
      </c>
      <c r="DK33" s="1433" t="str">
        <f>IFERROR(VLOOKUP(CONCATENATE($B$8,"_",$B33),Data!$BO$16:$ES$1015,DK$11,FALSE),"")</f>
        <v/>
      </c>
      <c r="DL33" s="1435" t="str">
        <f>IFERROR(VLOOKUP(CONCATENATE($B$8,"_",$B33),Data!$BO$16:$ES$1015,DL$11,FALSE),"")</f>
        <v/>
      </c>
      <c r="DM33" s="1434" t="str">
        <f>IFERROR(VLOOKUP(CONCATENATE($B$8,"_",$B33),Data!$BO$16:$ES$1015,DM$11,FALSE),"")</f>
        <v/>
      </c>
      <c r="DN33" s="1434" t="str">
        <f>IFERROR(VLOOKUP(CONCATENATE($B$8,"_",$B33),Data!$BO$16:$ES$1015,DN$11,FALSE),"")</f>
        <v/>
      </c>
      <c r="DO33" s="1434" t="str">
        <f>IFERROR(VLOOKUP(CONCATENATE($B$8,"_",$B33),Data!$BO$16:$ES$1015,DO$11,FALSE),"")</f>
        <v/>
      </c>
      <c r="DP33" s="1434" t="str">
        <f>IFERROR(VLOOKUP(CONCATENATE($B$8,"_",$B33),Data!$BO$16:$ES$1015,DP$11,FALSE),"")</f>
        <v/>
      </c>
      <c r="DQ33" s="1434" t="str">
        <f>IFERROR(VLOOKUP(CONCATENATE($B$8,"_",$B33),Data!$BO$16:$ES$1015,DQ$11,FALSE),"")</f>
        <v/>
      </c>
      <c r="DR33" s="1434" t="str">
        <f>IFERROR(VLOOKUP(CONCATENATE($B$8,"_",$B33),Data!$BO$16:$ES$1015,DR$11,FALSE),"")</f>
        <v/>
      </c>
      <c r="DS33" s="1434" t="str">
        <f>IFERROR(VLOOKUP(CONCATENATE($B$8,"_",$B33),Data!$BO$16:$ES$1015,DS$11,FALSE),"")</f>
        <v/>
      </c>
      <c r="DT33" s="1434" t="str">
        <f>IFERROR(VLOOKUP(CONCATENATE($B$8,"_",$B33),Data!$BO$16:$ES$1015,DT$11,FALSE),"")</f>
        <v/>
      </c>
      <c r="DU33" s="1434" t="str">
        <f>IFERROR(VLOOKUP(CONCATENATE($B$8,"_",$B33),Data!$BO$16:$ES$1015,DU$11,FALSE),"")</f>
        <v/>
      </c>
      <c r="DV33" s="1434" t="str">
        <f>IFERROR(VLOOKUP(CONCATENATE($B$8,"_",$B33),Data!$BO$16:$ES$1015,DV$11,FALSE),"")</f>
        <v/>
      </c>
      <c r="DW33" s="1434" t="str">
        <f>IFERROR(VLOOKUP(CONCATENATE($B$8,"_",$B33),Data!$BO$16:$ES$1015,DW$11,FALSE),"")</f>
        <v/>
      </c>
      <c r="DX33" s="1434" t="str">
        <f>IFERROR(VLOOKUP(CONCATENATE($B$8,"_",$B33),Data!$BO$16:$ES$1015,DX$11,FALSE),"")</f>
        <v/>
      </c>
      <c r="DY33" s="1434" t="str">
        <f>IFERROR(VLOOKUP(CONCATENATE($B$8,"_",$B33),Data!$BO$16:$ES$1015,DY$11,FALSE),"")</f>
        <v/>
      </c>
      <c r="DZ33" s="1434" t="str">
        <f>IFERROR(VLOOKUP(CONCATENATE($B$8,"_",$B33),Data!$BO$16:$ES$1015,DZ$11,FALSE),"")</f>
        <v/>
      </c>
      <c r="EA33" s="1434" t="str">
        <f>IFERROR(VLOOKUP(CONCATENATE($B$8,"_",$B33),Data!$BO$16:$ES$1015,EA$11,FALSE),"")</f>
        <v/>
      </c>
      <c r="EB33" s="1434" t="str">
        <f>IFERROR(VLOOKUP(CONCATENATE($B$8,"_",$B33),Data!$BO$16:$ES$1015,EB$11,FALSE),"")</f>
        <v/>
      </c>
      <c r="EC33" s="1434" t="str">
        <f>IFERROR(VLOOKUP(CONCATENATE($B$8,"_",$B33),Data!$BO$16:$ES$1015,EC$11,FALSE),"")</f>
        <v/>
      </c>
      <c r="ED33" s="1434" t="str">
        <f>IFERROR(VLOOKUP(CONCATENATE($B$8,"_",$B33),Data!$BO$16:$ES$1015,ED$11,FALSE),"")</f>
        <v/>
      </c>
      <c r="EE33" s="1434" t="str">
        <f>IFERROR(VLOOKUP(CONCATENATE($B$8,"_",$B33),Data!$BO$16:$ES$1015,EE$11,FALSE),"")</f>
        <v/>
      </c>
      <c r="EF33" s="1434" t="str">
        <f>IFERROR(VLOOKUP(CONCATENATE($B$8,"_",$B33),Data!$BO$16:$ES$1015,EF$11,FALSE),"")</f>
        <v/>
      </c>
      <c r="EG33" s="1434" t="str">
        <f>IFERROR(VLOOKUP(CONCATENATE($B$8,"_",$B33),Data!$BO$16:$ES$1015,EG$11,FALSE),"")</f>
        <v/>
      </c>
      <c r="EH33" s="1434" t="str">
        <f>IFERROR(VLOOKUP(CONCATENATE($B$8,"_",$B33),Data!$BO$16:$ES$1015,EH$11,FALSE),"")</f>
        <v/>
      </c>
      <c r="EI33" s="1434" t="str">
        <f>IFERROR(VLOOKUP(CONCATENATE($B$8,"_",$B33),Data!$BO$16:$ES$1015,EI$11,FALSE),"")</f>
        <v/>
      </c>
    </row>
    <row r="34" spans="1:141" s="1440" customFormat="1" ht="15" customHeight="1">
      <c r="A34" s="1438">
        <v>21</v>
      </c>
      <c r="B34" s="1738">
        <f>IF($B$13+A34&lt;=Progress!$D$18,$B$13+A34,"")</f>
        <v>2021</v>
      </c>
      <c r="C34" s="1737" t="str">
        <f>IFERROR(VLOOKUP(CONCATENATE($B$8,"_",$B34),Data!$H$16:$BN$1015,C$11,FALSE),"")</f>
        <v/>
      </c>
      <c r="D34" s="1428" t="str">
        <f>IFERROR(VLOOKUP(CONCATENATE($B$8,"_",$B34),Data!$H$16:$BN$1015,D$11,FALSE),"")</f>
        <v/>
      </c>
      <c r="E34" s="1429" t="str">
        <f>IFERROR(VLOOKUP(CONCATENATE($B$8,"_",$B34),Data!$H$16:$BN$1015,E$11,FALSE),"")</f>
        <v/>
      </c>
      <c r="F34" s="1428" t="str">
        <f>IFERROR(VLOOKUP(CONCATENATE($B$8,"_",$B34),Data!$H$16:$BN$1015,F$11,FALSE),"")</f>
        <v/>
      </c>
      <c r="G34" s="1428" t="str">
        <f>IFERROR(VLOOKUP(CONCATENATE($B$8,"_",$B34),Data!$H$16:$BN$1015,G$11,FALSE),"")</f>
        <v/>
      </c>
      <c r="H34" s="1429" t="str">
        <f>IFERROR(VLOOKUP(CONCATENATE($B$8,"_",$B34),Data!$H$16:$BN$1015,H$11,FALSE),"")</f>
        <v/>
      </c>
      <c r="I34" s="1428" t="str">
        <f>IFERROR(VLOOKUP(CONCATENATE($B$8,"_",$B34),Data!$H$16:$BN$1015,I$11,FALSE),"")</f>
        <v/>
      </c>
      <c r="J34" s="1428" t="str">
        <f>IFERROR(VLOOKUP(CONCATENATE($B$8,"_",$B34),Data!$H$16:$BN$1015,J$11,FALSE),"")</f>
        <v/>
      </c>
      <c r="K34" s="1429" t="str">
        <f>IFERROR(VLOOKUP(CONCATENATE($B$8,"_",$B34),Data!$H$16:$BN$1015,K$11,FALSE),"")</f>
        <v/>
      </c>
      <c r="L34" s="1428" t="str">
        <f>IFERROR(VLOOKUP(CONCATENATE($B$8,"_",$B34),Data!$H$16:$BN$1015,L$11,FALSE),"")</f>
        <v/>
      </c>
      <c r="M34" s="1428" t="str">
        <f>IFERROR(VLOOKUP(CONCATENATE($B$8,"_",$B34),Data!$H$16:$BN$1015,M$11,FALSE),"")</f>
        <v/>
      </c>
      <c r="N34" s="1429" t="str">
        <f>IFERROR(VLOOKUP(CONCATENATE($B$8,"_",$B34),Data!$H$16:$BN$1015,N$11,FALSE),"")</f>
        <v/>
      </c>
      <c r="O34" s="1430" t="str">
        <f>IFERROR(VLOOKUP(CONCATENATE($B$8,"_",$B34),Data!$H$16:$BN$1015,O$11,FALSE),"")</f>
        <v/>
      </c>
      <c r="P34" s="1428" t="str">
        <f>IFERROR(VLOOKUP(CONCATENATE($B$8,"_",$B34),Data!$H$16:$BN$1015,P$11,FALSE),"")</f>
        <v/>
      </c>
      <c r="Q34" s="1428" t="str">
        <f>IFERROR(VLOOKUP(CONCATENATE($B$8,"_",$B34),Data!$H$16:$BN$1015,Q$11,FALSE),"")</f>
        <v/>
      </c>
      <c r="R34" s="1429" t="str">
        <f>IFERROR(VLOOKUP(CONCATENATE($B$8,"_",$B34),Data!$H$16:$BN$1015,R$11,FALSE),"")</f>
        <v/>
      </c>
      <c r="S34" s="1428" t="str">
        <f>IFERROR(VLOOKUP(CONCATENATE($B$8,"_",$B34),Data!$H$16:$BN$1015,S$11,FALSE),"")</f>
        <v/>
      </c>
      <c r="T34" s="1428" t="str">
        <f>IFERROR(VLOOKUP(CONCATENATE($B$8,"_",$B34),Data!$H$16:$BN$1015,T$11,FALSE),"")</f>
        <v/>
      </c>
      <c r="U34" s="1429" t="str">
        <f>IFERROR(VLOOKUP(CONCATENATE($B$8,"_",$B34),Data!$H$16:$BN$1015,U$11,FALSE),"")</f>
        <v/>
      </c>
      <c r="V34" s="1428" t="str">
        <f>IFERROR(VLOOKUP(CONCATENATE($B$8,"_",$B34),Data!$H$16:$BN$1015,V$11,FALSE),"")</f>
        <v/>
      </c>
      <c r="W34" s="1428" t="str">
        <f>IFERROR(VLOOKUP(CONCATENATE($B$8,"_",$B34),Data!$H$16:$BN$1015,W$11,FALSE),"")</f>
        <v/>
      </c>
      <c r="X34" s="1428" t="str">
        <f>IFERROR(VLOOKUP(CONCATENATE($B$8,"_",$B34),Data!$H$16:$BN$1015,X$11,FALSE),"")</f>
        <v/>
      </c>
      <c r="Y34" s="1428" t="str">
        <f>IFERROR(VLOOKUP(CONCATENATE($B$8,"_",$B34),Data!$H$16:$BN$1015,Y$11,FALSE),"")</f>
        <v/>
      </c>
      <c r="Z34" s="1429" t="str">
        <f>IFERROR(VLOOKUP(CONCATENATE($B$8,"_",$B34),Data!$H$16:$BN$1015,Z$11,FALSE),"")</f>
        <v/>
      </c>
      <c r="AA34" s="1428" t="str">
        <f>IFERROR(VLOOKUP(CONCATENATE($B$8,"_",$B34),Data!$H$16:$BN$1015,AA$11,FALSE),"")</f>
        <v/>
      </c>
      <c r="AB34" s="1428" t="str">
        <f>IFERROR(VLOOKUP(CONCATENATE($B$8,"_",$B34),Data!$H$16:$BN$1015,AB$11,FALSE),"")</f>
        <v/>
      </c>
      <c r="AC34" s="1429" t="str">
        <f>IFERROR(VLOOKUP(CONCATENATE($B$8,"_",$B34),Data!$H$16:$BN$1015,AC$11,FALSE),"")</f>
        <v/>
      </c>
      <c r="AD34" s="1428" t="str">
        <f>IFERROR(VLOOKUP(CONCATENATE($B$8,"_",$B34),Data!$H$16:$BN$1015,AD$11,FALSE),"")</f>
        <v/>
      </c>
      <c r="AE34" s="1428" t="str">
        <f>IFERROR(VLOOKUP(CONCATENATE($B$8,"_",$B34),Data!$H$16:$BN$1015,AE$11,FALSE),"")</f>
        <v/>
      </c>
      <c r="AF34" s="1429" t="str">
        <f>IFERROR(VLOOKUP(CONCATENATE($B$8,"_",$B34),Data!$H$16:$BN$1015,AF$11,FALSE),"")</f>
        <v/>
      </c>
      <c r="AG34" s="1428" t="str">
        <f>IFERROR(VLOOKUP(CONCATENATE($B$8,"_",$B34),Data!$H$16:$BN$1015,AG$11,FALSE),"")</f>
        <v/>
      </c>
      <c r="AH34" s="1428" t="str">
        <f>IFERROR(VLOOKUP(CONCATENATE($B$8,"_",$B34),Data!$H$16:$BN$1015,AH$11,FALSE),"")</f>
        <v/>
      </c>
      <c r="AI34" s="1429" t="str">
        <f>IFERROR(VLOOKUP(CONCATENATE($B$8,"_",$B34),Data!$H$16:$BN$1015,AI$11,FALSE),"")</f>
        <v/>
      </c>
      <c r="AJ34" s="1428" t="str">
        <f>IFERROR(VLOOKUP(CONCATENATE($B$8,"_",$B34),Data!$H$16:$BN$1015,AJ$11,FALSE),"")</f>
        <v/>
      </c>
      <c r="AK34" s="1428" t="str">
        <f>IFERROR(VLOOKUP(CONCATENATE($B$8,"_",$B34),Data!$H$16:$BN$1015,AK$11,FALSE),"")</f>
        <v/>
      </c>
      <c r="AL34" s="1429" t="str">
        <f>IFERROR(VLOOKUP(CONCATENATE($B$8,"_",$B34),Data!$H$16:$BN$1015,AL$11,FALSE),"")</f>
        <v/>
      </c>
      <c r="AM34" s="1428" t="str">
        <f>IFERROR(VLOOKUP(CONCATENATE($B$8,"_",$B34),Data!$H$16:$BN$1015,AM$11,FALSE),"")</f>
        <v/>
      </c>
      <c r="AN34" s="1428" t="str">
        <f>IFERROR(VLOOKUP(CONCATENATE($B$8,"_",$B34),Data!$H$16:$BN$1015,AN$11,FALSE),"")</f>
        <v/>
      </c>
      <c r="AO34" s="1430" t="str">
        <f>IFERROR(VLOOKUP(CONCATENATE($B$8,"_",$B34),Data!$H$16:$BN$1015,AO$11,FALSE),"")</f>
        <v/>
      </c>
      <c r="AP34" s="1428" t="str">
        <f>IFERROR(VLOOKUP(CONCATENATE($B$8,"_",$B34),Data!$H$16:$BN$1015,AP$11,FALSE),"")</f>
        <v/>
      </c>
      <c r="AQ34" s="1428" t="str">
        <f>IFERROR(VLOOKUP(CONCATENATE($B$8,"_",$B34),Data!$H$16:$BN$1015,AQ$11,FALSE),"")</f>
        <v/>
      </c>
      <c r="AR34" s="1430" t="str">
        <f>IFERROR(VLOOKUP(CONCATENATE($B$8,"_",$B34),Data!$H$16:$BN$1015,AR$11,FALSE),"")</f>
        <v/>
      </c>
      <c r="AS34" s="1428" t="str">
        <f>IFERROR(VLOOKUP(CONCATENATE($B$8,"_",$B34),Data!$H$16:$BN$1015,AS$11,FALSE),"")</f>
        <v/>
      </c>
      <c r="AT34" s="1428" t="str">
        <f>IFERROR(VLOOKUP(CONCATENATE($B$8,"_",$B34),Data!$H$16:$BN$1015,AT$11,FALSE),"")</f>
        <v/>
      </c>
      <c r="AU34" s="1430" t="str">
        <f>IFERROR(VLOOKUP(CONCATENATE($B$8,"_",$B34),Data!$H$16:$BN$1015,AU$11,FALSE),"")</f>
        <v/>
      </c>
      <c r="AV34" s="1428" t="str">
        <f>IFERROR(VLOOKUP(CONCATENATE($B$8,"_",$B34),Data!$H$16:$BN$1015,AV$11,FALSE),"")</f>
        <v/>
      </c>
      <c r="AW34" s="1428" t="str">
        <f>IFERROR(VLOOKUP(CONCATENATE($B$8,"_",$B34),Data!$H$16:$BN$1015,AW$11,FALSE),"")</f>
        <v/>
      </c>
      <c r="AX34" s="1430" t="str">
        <f>IFERROR(VLOOKUP(CONCATENATE($B$8,"_",$B34),Data!$H$16:$BN$1015,AX$11,FALSE),"")</f>
        <v/>
      </c>
      <c r="AY34" s="1429" t="str">
        <f>IFERROR(VLOOKUP(CONCATENATE($B$8,"_",$B34),Data!$H$16:$BN$1015,AY$11,FALSE),"")</f>
        <v/>
      </c>
      <c r="AZ34" s="1429" t="str">
        <f>IFERROR(VLOOKUP(CONCATENATE($B$8,"_",$B34),Data!$H$16:$BN$1015,AZ$11,FALSE),"")</f>
        <v/>
      </c>
      <c r="BA34" s="1429" t="str">
        <f>IFERROR(VLOOKUP(CONCATENATE($B$8,"_",$B34),Data!$H$16:$BN$1015,BA$11,FALSE),"")</f>
        <v/>
      </c>
      <c r="BB34" s="1429" t="str">
        <f>IFERROR(VLOOKUP(CONCATENATE($B$8,"_",$B34),Data!$H$16:$BN$1015,BB$11,FALSE),"")</f>
        <v/>
      </c>
      <c r="BC34" s="1429" t="str">
        <f>IFERROR(VLOOKUP(CONCATENATE($B$8,"_",$B34),Data!$H$16:$BN$1015,BC$11,FALSE),"")</f>
        <v/>
      </c>
      <c r="BD34" s="1431" t="str">
        <f>IFERROR(VLOOKUP(CONCATENATE($B$8,"_",$B34),Data!$H$16:$BN$1015,BD$11,FALSE),"")</f>
        <v/>
      </c>
      <c r="BE34" s="1439">
        <f t="shared" si="0"/>
        <v>2021</v>
      </c>
      <c r="BF34" s="1428" t="str">
        <f>IFERROR(VLOOKUP(CONCATENATE($B$8,"_",$B34),Data!$BO$16:$ES$1015,BF$11,FALSE),"")</f>
        <v/>
      </c>
      <c r="BG34" s="1433" t="str">
        <f>IFERROR(VLOOKUP(CONCATENATE($B$8,"_",$B34),Data!$BO$16:$ES$1015,BG$11,FALSE),"")</f>
        <v/>
      </c>
      <c r="BH34" s="1435" t="str">
        <f>IFERROR(VLOOKUP(CONCATENATE($B$8,"_",$B34),Data!$BO$16:$ES$1015,BH$11,FALSE),"")</f>
        <v/>
      </c>
      <c r="BI34" s="1434" t="str">
        <f>IFERROR(VLOOKUP(CONCATENATE($B$8,"_",$B34),Data!$BO$16:$ES$1015,BI$11,FALSE),"")</f>
        <v/>
      </c>
      <c r="BJ34" s="1428" t="str">
        <f>IFERROR(VLOOKUP(CONCATENATE($B$8,"_",$B34),Data!$BO$16:$ES$1015,BJ$11,FALSE),"")</f>
        <v/>
      </c>
      <c r="BK34" s="1428" t="str">
        <f>IFERROR(VLOOKUP(CONCATENATE($B$8,"_",$B34),Data!$BO$16:$ES$1015,BK$11,FALSE),"")</f>
        <v/>
      </c>
      <c r="BL34" s="1428" t="str">
        <f>IFERROR(VLOOKUP(CONCATENATE($B$8,"_",$B34),Data!$BO$16:$ES$1015,BL$11,FALSE),"")</f>
        <v/>
      </c>
      <c r="BM34" s="1433" t="str">
        <f>IFERROR(VLOOKUP(CONCATENATE($B$8,"_",$B34),Data!$BO$16:$ES$1015,BM$11,FALSE),"")</f>
        <v/>
      </c>
      <c r="BN34" s="1433" t="str">
        <f>IFERROR(VLOOKUP(CONCATENATE($B$8,"_",$B34),Data!$BO$16:$ES$1015,BN$11,FALSE),"")</f>
        <v/>
      </c>
      <c r="BO34" s="1433" t="str">
        <f>IFERROR(VLOOKUP(CONCATENATE($B$8,"_",$B34),Data!$BO$16:$ES$1015,BO$11,FALSE),"")</f>
        <v/>
      </c>
      <c r="BP34" s="1433" t="str">
        <f>IFERROR(VLOOKUP(CONCATENATE($B$8,"_",$B34),Data!$BO$16:$ES$1015,BP$11,FALSE),"")</f>
        <v/>
      </c>
      <c r="BQ34" s="1433" t="str">
        <f>IFERROR(VLOOKUP(CONCATENATE($B$8,"_",$B34),Data!$BO$16:$ES$1015,BQ$11,FALSE),"")</f>
        <v/>
      </c>
      <c r="BR34" s="1434" t="str">
        <f>IFERROR(VLOOKUP(CONCATENATE($B$8,"_",$B34),Data!$BO$16:$ES$1015,BR$11,FALSE),"")</f>
        <v/>
      </c>
      <c r="BS34" s="1434" t="str">
        <f>IFERROR(VLOOKUP(CONCATENATE($B$8,"_",$B34),Data!$BO$16:$ES$1015,BS$11,FALSE),"")</f>
        <v/>
      </c>
      <c r="BT34" s="1434" t="str">
        <f>IFERROR(VLOOKUP(CONCATENATE($B$8,"_",$B34),Data!$BO$16:$ES$1015,BT$11,FALSE),"")</f>
        <v/>
      </c>
      <c r="BU34" s="1434" t="str">
        <f>IFERROR(VLOOKUP(CONCATENATE($B$8,"_",$B34),Data!$BO$16:$ES$1015,BU$11,FALSE),"")</f>
        <v/>
      </c>
      <c r="BV34" s="1434" t="str">
        <f>IFERROR(VLOOKUP(CONCATENATE($B$8,"_",$B34),Data!$BO$16:$ES$1015,BV$11,FALSE),"")</f>
        <v/>
      </c>
      <c r="BW34" s="1434" t="str">
        <f>IFERROR(VLOOKUP(CONCATENATE($B$8,"_",$B34),Data!$BO$16:$ES$1015,BW$11,FALSE),"")</f>
        <v/>
      </c>
      <c r="BX34" s="1434" t="str">
        <f>IFERROR(VLOOKUP(CONCATENATE($B$8,"_",$B34),Data!$BO$16:$ES$1015,BX$11,FALSE),"")</f>
        <v/>
      </c>
      <c r="BY34" s="1428" t="str">
        <f>IFERROR(VLOOKUP(CONCATENATE($B$8,"_",$B34),Data!$BO$16:$ES$1015,BY$11,FALSE),"")</f>
        <v/>
      </c>
      <c r="BZ34" s="1428" t="str">
        <f>IFERROR(VLOOKUP(CONCATENATE($B$8,"_",$B34),Data!$BO$16:$ES$1015,BZ$11,FALSE),"")</f>
        <v/>
      </c>
      <c r="CA34" s="1428" t="str">
        <f>IFERROR(VLOOKUP(CONCATENATE($B$8,"_",$B34),Data!$BO$16:$ES$1015,CA$11,FALSE),"")</f>
        <v/>
      </c>
      <c r="CB34" s="1428" t="str">
        <f>IFERROR(VLOOKUP(CONCATENATE($B$8,"_",$B34),Data!$BO$16:$ES$1015,CB$11,FALSE),"")</f>
        <v/>
      </c>
      <c r="CC34" s="1428" t="str">
        <f>IFERROR(VLOOKUP(CONCATENATE($B$8,"_",$B34),Data!$BO$16:$ES$1015,CC$11,FALSE),"")</f>
        <v/>
      </c>
      <c r="CD34" s="1428" t="str">
        <f>IFERROR(VLOOKUP(CONCATENATE($B$8,"_",$B34),Data!$BO$16:$ES$1015,CD$11,FALSE),"")</f>
        <v/>
      </c>
      <c r="CE34" s="1428" t="str">
        <f>IFERROR(VLOOKUP(CONCATENATE($B$8,"_",$B34),Data!$BO$16:$ES$1015,CE$11,FALSE),"")</f>
        <v/>
      </c>
      <c r="CF34" s="1428" t="str">
        <f>IFERROR(VLOOKUP(CONCATENATE($B$8,"_",$B34),Data!$BO$16:$ES$1015,CF$11,FALSE),"")</f>
        <v/>
      </c>
      <c r="CG34" s="1428" t="str">
        <f>IFERROR(VLOOKUP(CONCATENATE($B$8,"_",$B34),Data!$BO$16:$ES$1015,CG$11,FALSE),"")</f>
        <v/>
      </c>
      <c r="CH34" s="1428" t="str">
        <f>IFERROR(VLOOKUP(CONCATENATE($B$8,"_",$B34),Data!$BO$16:$ES$1015,CH$11,FALSE),"")</f>
        <v/>
      </c>
      <c r="CI34" s="1428" t="str">
        <f>IFERROR(VLOOKUP(CONCATENATE($B$8,"_",$B34),Data!$BO$16:$ES$1015,CI$11,FALSE),"")</f>
        <v/>
      </c>
      <c r="CJ34" s="1428" t="str">
        <f>IFERROR(VLOOKUP(CONCATENATE($B$8,"_",$B34),Data!$BO$16:$ES$1015,CJ$11,FALSE),"")</f>
        <v/>
      </c>
      <c r="CK34" s="1428" t="str">
        <f>IFERROR(VLOOKUP(CONCATENATE($B$8,"_",$B34),Data!$BO$16:$ES$1015,CK$11,FALSE),"")</f>
        <v/>
      </c>
      <c r="CL34" s="1428" t="str">
        <f>IFERROR(VLOOKUP(CONCATENATE($B$8,"_",$B34),Data!$BO$16:$ES$1015,CL$11,FALSE),"")</f>
        <v/>
      </c>
      <c r="CM34" s="1428" t="str">
        <f>IFERROR(VLOOKUP(CONCATENATE($B$8,"_",$B34),Data!$BO$16:$ES$1015,CM$11,FALSE),"")</f>
        <v/>
      </c>
      <c r="CN34" s="1428" t="str">
        <f>IFERROR(VLOOKUP(CONCATENATE($B$8,"_",$B34),Data!$BO$16:$ES$1015,CN$11,FALSE),"")</f>
        <v/>
      </c>
      <c r="CO34" s="1428" t="str">
        <f>IFERROR(VLOOKUP(CONCATENATE($B$8,"_",$B34),Data!$BO$16:$ES$1015,CO$11,FALSE),"")</f>
        <v/>
      </c>
      <c r="CP34" s="1433" t="str">
        <f>IFERROR(VLOOKUP(CONCATENATE($B$8,"_",$B34),Data!$BO$16:$ES$1015,CP$11,FALSE),"")</f>
        <v/>
      </c>
      <c r="CQ34" s="1433" t="str">
        <f>IFERROR(VLOOKUP(CONCATENATE($B$8,"_",$B34),Data!$BO$16:$ES$1015,CQ$11,FALSE),"")</f>
        <v/>
      </c>
      <c r="CR34" s="1433" t="str">
        <f>IFERROR(VLOOKUP(CONCATENATE($B$8,"_",$B34),Data!$BO$16:$ES$1015,CR$11,FALSE),"")</f>
        <v/>
      </c>
      <c r="CS34" s="1433" t="str">
        <f>IFERROR(VLOOKUP(CONCATENATE($B$8,"_",$B34),Data!$BO$16:$ES$1015,CS$11,FALSE),"")</f>
        <v/>
      </c>
      <c r="CT34" s="1433" t="str">
        <f>IFERROR(VLOOKUP(CONCATENATE($B$8,"_",$B34),Data!$BO$16:$ES$1015,CT$11,FALSE),"")</f>
        <v/>
      </c>
      <c r="CU34" s="1433" t="str">
        <f>IFERROR(VLOOKUP(CONCATENATE($B$8,"_",$B34),Data!$BO$16:$ES$1015,CU$11,FALSE),"")</f>
        <v/>
      </c>
      <c r="CV34" s="1433" t="str">
        <f>IFERROR(VLOOKUP(CONCATENATE($B$8,"_",$B34),Data!$BO$16:$ES$1015,CV$11,FALSE),"")</f>
        <v/>
      </c>
      <c r="CW34" s="1433" t="str">
        <f>IFERROR(VLOOKUP(CONCATENATE($B$8,"_",$B34),Data!$BO$16:$ES$1015,CW$11,FALSE),"")</f>
        <v/>
      </c>
      <c r="CX34" s="1433" t="str">
        <f>IFERROR(VLOOKUP(CONCATENATE($B$8,"_",$B34),Data!$BO$16:$ES$1015,CX$11,FALSE),"")</f>
        <v/>
      </c>
      <c r="CY34" s="1433" t="str">
        <f>IFERROR(VLOOKUP(CONCATENATE($B$8,"_",$B34),Data!$BO$16:$ES$1015,CY$11,FALSE),"")</f>
        <v/>
      </c>
      <c r="CZ34" s="1433" t="str">
        <f>IFERROR(VLOOKUP(CONCATENATE($B$8,"_",$B34),Data!$BO$16:$ES$1015,CZ$11,FALSE),"")</f>
        <v/>
      </c>
      <c r="DA34" s="1433" t="str">
        <f>IFERROR(VLOOKUP(CONCATENATE($B$8,"_",$B34),Data!$BO$16:$ES$1015,DA$11,FALSE),"")</f>
        <v/>
      </c>
      <c r="DB34" s="1433" t="str">
        <f>IFERROR(VLOOKUP(CONCATENATE($B$8,"_",$B34),Data!$BO$16:$ES$1015,DB$11,FALSE),"")</f>
        <v/>
      </c>
      <c r="DC34" s="1433" t="str">
        <f>IFERROR(VLOOKUP(CONCATENATE($B$8,"_",$B34),Data!$BO$16:$ES$1015,DC$11,FALSE),"")</f>
        <v/>
      </c>
      <c r="DD34" s="1433" t="str">
        <f>IFERROR(VLOOKUP(CONCATENATE($B$8,"_",$B34),Data!$BO$16:$ES$1015,DD$11,FALSE),"")</f>
        <v/>
      </c>
      <c r="DE34" s="1433" t="str">
        <f>IFERROR(VLOOKUP(CONCATENATE($B$8,"_",$B34),Data!$BO$16:$ES$1015,DE$11,FALSE),"")</f>
        <v/>
      </c>
      <c r="DF34" s="1433" t="str">
        <f>IFERROR(VLOOKUP(CONCATENATE($B$8,"_",$B34),Data!$BO$16:$ES$1015,DF$11,FALSE),"")</f>
        <v/>
      </c>
      <c r="DG34" s="1433" t="str">
        <f>IFERROR(VLOOKUP(CONCATENATE($B$8,"_",$B34),Data!$BO$16:$ES$1015,DG$11,FALSE),"")</f>
        <v/>
      </c>
      <c r="DH34" s="1433" t="str">
        <f>IFERROR(VLOOKUP(CONCATENATE($B$8,"_",$B34),Data!$BO$16:$ES$1015,DH$11,FALSE),"")</f>
        <v/>
      </c>
      <c r="DI34" s="1433" t="str">
        <f>IFERROR(VLOOKUP(CONCATENATE($B$8,"_",$B34),Data!$BO$16:$ES$1015,DI$11,FALSE),"")</f>
        <v/>
      </c>
      <c r="DJ34" s="1433" t="str">
        <f>IFERROR(VLOOKUP(CONCATENATE($B$8,"_",$B34),Data!$BO$16:$ES$1015,DJ$11,FALSE),"")</f>
        <v/>
      </c>
      <c r="DK34" s="1433" t="str">
        <f>IFERROR(VLOOKUP(CONCATENATE($B$8,"_",$B34),Data!$BO$16:$ES$1015,DK$11,FALSE),"")</f>
        <v/>
      </c>
      <c r="DL34" s="1435" t="str">
        <f>IFERROR(VLOOKUP(CONCATENATE($B$8,"_",$B34),Data!$BO$16:$ES$1015,DL$11,FALSE),"")</f>
        <v/>
      </c>
      <c r="DM34" s="1434" t="str">
        <f>IFERROR(VLOOKUP(CONCATENATE($B$8,"_",$B34),Data!$BO$16:$ES$1015,DM$11,FALSE),"")</f>
        <v/>
      </c>
      <c r="DN34" s="1434" t="str">
        <f>IFERROR(VLOOKUP(CONCATENATE($B$8,"_",$B34),Data!$BO$16:$ES$1015,DN$11,FALSE),"")</f>
        <v/>
      </c>
      <c r="DO34" s="1434" t="str">
        <f>IFERROR(VLOOKUP(CONCATENATE($B$8,"_",$B34),Data!$BO$16:$ES$1015,DO$11,FALSE),"")</f>
        <v/>
      </c>
      <c r="DP34" s="1434" t="str">
        <f>IFERROR(VLOOKUP(CONCATENATE($B$8,"_",$B34),Data!$BO$16:$ES$1015,DP$11,FALSE),"")</f>
        <v/>
      </c>
      <c r="DQ34" s="1434" t="str">
        <f>IFERROR(VLOOKUP(CONCATENATE($B$8,"_",$B34),Data!$BO$16:$ES$1015,DQ$11,FALSE),"")</f>
        <v/>
      </c>
      <c r="DR34" s="1434" t="str">
        <f>IFERROR(VLOOKUP(CONCATENATE($B$8,"_",$B34),Data!$BO$16:$ES$1015,DR$11,FALSE),"")</f>
        <v/>
      </c>
      <c r="DS34" s="1434" t="str">
        <f>IFERROR(VLOOKUP(CONCATENATE($B$8,"_",$B34),Data!$BO$16:$ES$1015,DS$11,FALSE),"")</f>
        <v/>
      </c>
      <c r="DT34" s="1434" t="str">
        <f>IFERROR(VLOOKUP(CONCATENATE($B$8,"_",$B34),Data!$BO$16:$ES$1015,DT$11,FALSE),"")</f>
        <v/>
      </c>
      <c r="DU34" s="1434" t="str">
        <f>IFERROR(VLOOKUP(CONCATENATE($B$8,"_",$B34),Data!$BO$16:$ES$1015,DU$11,FALSE),"")</f>
        <v/>
      </c>
      <c r="DV34" s="1434" t="str">
        <f>IFERROR(VLOOKUP(CONCATENATE($B$8,"_",$B34),Data!$BO$16:$ES$1015,DV$11,FALSE),"")</f>
        <v/>
      </c>
      <c r="DW34" s="1434" t="str">
        <f>IFERROR(VLOOKUP(CONCATENATE($B$8,"_",$B34),Data!$BO$16:$ES$1015,DW$11,FALSE),"")</f>
        <v/>
      </c>
      <c r="DX34" s="1434" t="str">
        <f>IFERROR(VLOOKUP(CONCATENATE($B$8,"_",$B34),Data!$BO$16:$ES$1015,DX$11,FALSE),"")</f>
        <v/>
      </c>
      <c r="DY34" s="1434" t="str">
        <f>IFERROR(VLOOKUP(CONCATENATE($B$8,"_",$B34),Data!$BO$16:$ES$1015,DY$11,FALSE),"")</f>
        <v/>
      </c>
      <c r="DZ34" s="1434" t="str">
        <f>IFERROR(VLOOKUP(CONCATENATE($B$8,"_",$B34),Data!$BO$16:$ES$1015,DZ$11,FALSE),"")</f>
        <v/>
      </c>
      <c r="EA34" s="1434" t="str">
        <f>IFERROR(VLOOKUP(CONCATENATE($B$8,"_",$B34),Data!$BO$16:$ES$1015,EA$11,FALSE),"")</f>
        <v/>
      </c>
      <c r="EB34" s="1434" t="str">
        <f>IFERROR(VLOOKUP(CONCATENATE($B$8,"_",$B34),Data!$BO$16:$ES$1015,EB$11,FALSE),"")</f>
        <v/>
      </c>
      <c r="EC34" s="1434" t="str">
        <f>IFERROR(VLOOKUP(CONCATENATE($B$8,"_",$B34),Data!$BO$16:$ES$1015,EC$11,FALSE),"")</f>
        <v/>
      </c>
      <c r="ED34" s="1434" t="str">
        <f>IFERROR(VLOOKUP(CONCATENATE($B$8,"_",$B34),Data!$BO$16:$ES$1015,ED$11,FALSE),"")</f>
        <v/>
      </c>
      <c r="EE34" s="1434" t="str">
        <f>IFERROR(VLOOKUP(CONCATENATE($B$8,"_",$B34),Data!$BO$16:$ES$1015,EE$11,FALSE),"")</f>
        <v/>
      </c>
      <c r="EF34" s="1434" t="str">
        <f>IFERROR(VLOOKUP(CONCATENATE($B$8,"_",$B34),Data!$BO$16:$ES$1015,EF$11,FALSE),"")</f>
        <v/>
      </c>
      <c r="EG34" s="1434" t="str">
        <f>IFERROR(VLOOKUP(CONCATENATE($B$8,"_",$B34),Data!$BO$16:$ES$1015,EG$11,FALSE),"")</f>
        <v/>
      </c>
      <c r="EH34" s="1434" t="str">
        <f>IFERROR(VLOOKUP(CONCATENATE($B$8,"_",$B34),Data!$BO$16:$ES$1015,EH$11,FALSE),"")</f>
        <v/>
      </c>
      <c r="EI34" s="1434" t="str">
        <f>IFERROR(VLOOKUP(CONCATENATE($B$8,"_",$B34),Data!$BO$16:$ES$1015,EI$11,FALSE),"")</f>
        <v/>
      </c>
      <c r="EK34" s="1441"/>
    </row>
    <row r="35" spans="1:141" s="1441" customFormat="1" ht="15" customHeight="1">
      <c r="A35" s="1438">
        <v>22</v>
      </c>
      <c r="B35" s="1738">
        <f>IF($B$13+A35&lt;=Progress!$D$18,$B$13+A35,"")</f>
        <v>2022</v>
      </c>
      <c r="C35" s="1737" t="str">
        <f>IFERROR(VLOOKUP(CONCATENATE($B$8,"_",$B35),Data!$H$16:$BN$1015,C$11,FALSE),"")</f>
        <v/>
      </c>
      <c r="D35" s="1428" t="str">
        <f>IFERROR(VLOOKUP(CONCATENATE($B$8,"_",$B35),Data!$H$16:$BN$1015,D$11,FALSE),"")</f>
        <v/>
      </c>
      <c r="E35" s="1429" t="str">
        <f>IFERROR(VLOOKUP(CONCATENATE($B$8,"_",$B35),Data!$H$16:$BN$1015,E$11,FALSE),"")</f>
        <v/>
      </c>
      <c r="F35" s="1428" t="str">
        <f>IFERROR(VLOOKUP(CONCATENATE($B$8,"_",$B35),Data!$H$16:$BN$1015,F$11,FALSE),"")</f>
        <v/>
      </c>
      <c r="G35" s="1428" t="str">
        <f>IFERROR(VLOOKUP(CONCATENATE($B$8,"_",$B35),Data!$H$16:$BN$1015,G$11,FALSE),"")</f>
        <v/>
      </c>
      <c r="H35" s="1429" t="str">
        <f>IFERROR(VLOOKUP(CONCATENATE($B$8,"_",$B35),Data!$H$16:$BN$1015,H$11,FALSE),"")</f>
        <v/>
      </c>
      <c r="I35" s="1428" t="str">
        <f>IFERROR(VLOOKUP(CONCATENATE($B$8,"_",$B35),Data!$H$16:$BN$1015,I$11,FALSE),"")</f>
        <v/>
      </c>
      <c r="J35" s="1428" t="str">
        <f>IFERROR(VLOOKUP(CONCATENATE($B$8,"_",$B35),Data!$H$16:$BN$1015,J$11,FALSE),"")</f>
        <v/>
      </c>
      <c r="K35" s="1429" t="str">
        <f>IFERROR(VLOOKUP(CONCATENATE($B$8,"_",$B35),Data!$H$16:$BN$1015,K$11,FALSE),"")</f>
        <v/>
      </c>
      <c r="L35" s="1428" t="str">
        <f>IFERROR(VLOOKUP(CONCATENATE($B$8,"_",$B35),Data!$H$16:$BN$1015,L$11,FALSE),"")</f>
        <v/>
      </c>
      <c r="M35" s="1428" t="str">
        <f>IFERROR(VLOOKUP(CONCATENATE($B$8,"_",$B35),Data!$H$16:$BN$1015,M$11,FALSE),"")</f>
        <v/>
      </c>
      <c r="N35" s="1429" t="str">
        <f>IFERROR(VLOOKUP(CONCATENATE($B$8,"_",$B35),Data!$H$16:$BN$1015,N$11,FALSE),"")</f>
        <v/>
      </c>
      <c r="O35" s="1430" t="str">
        <f>IFERROR(VLOOKUP(CONCATENATE($B$8,"_",$B35),Data!$H$16:$BN$1015,O$11,FALSE),"")</f>
        <v/>
      </c>
      <c r="P35" s="1428" t="str">
        <f>IFERROR(VLOOKUP(CONCATENATE($B$8,"_",$B35),Data!$H$16:$BN$1015,P$11,FALSE),"")</f>
        <v/>
      </c>
      <c r="Q35" s="1428" t="str">
        <f>IFERROR(VLOOKUP(CONCATENATE($B$8,"_",$B35),Data!$H$16:$BN$1015,Q$11,FALSE),"")</f>
        <v/>
      </c>
      <c r="R35" s="1429" t="str">
        <f>IFERROR(VLOOKUP(CONCATENATE($B$8,"_",$B35),Data!$H$16:$BN$1015,R$11,FALSE),"")</f>
        <v/>
      </c>
      <c r="S35" s="1428" t="str">
        <f>IFERROR(VLOOKUP(CONCATENATE($B$8,"_",$B35),Data!$H$16:$BN$1015,S$11,FALSE),"")</f>
        <v/>
      </c>
      <c r="T35" s="1428" t="str">
        <f>IFERROR(VLOOKUP(CONCATENATE($B$8,"_",$B35),Data!$H$16:$BN$1015,T$11,FALSE),"")</f>
        <v/>
      </c>
      <c r="U35" s="1429" t="str">
        <f>IFERROR(VLOOKUP(CONCATENATE($B$8,"_",$B35),Data!$H$16:$BN$1015,U$11,FALSE),"")</f>
        <v/>
      </c>
      <c r="V35" s="1428" t="str">
        <f>IFERROR(VLOOKUP(CONCATENATE($B$8,"_",$B35),Data!$H$16:$BN$1015,V$11,FALSE),"")</f>
        <v/>
      </c>
      <c r="W35" s="1428" t="str">
        <f>IFERROR(VLOOKUP(CONCATENATE($B$8,"_",$B35),Data!$H$16:$BN$1015,W$11,FALSE),"")</f>
        <v/>
      </c>
      <c r="X35" s="1428" t="str">
        <f>IFERROR(VLOOKUP(CONCATENATE($B$8,"_",$B35),Data!$H$16:$BN$1015,X$11,FALSE),"")</f>
        <v/>
      </c>
      <c r="Y35" s="1428" t="str">
        <f>IFERROR(VLOOKUP(CONCATENATE($B$8,"_",$B35),Data!$H$16:$BN$1015,Y$11,FALSE),"")</f>
        <v/>
      </c>
      <c r="Z35" s="1429" t="str">
        <f>IFERROR(VLOOKUP(CONCATENATE($B$8,"_",$B35),Data!$H$16:$BN$1015,Z$11,FALSE),"")</f>
        <v/>
      </c>
      <c r="AA35" s="1428" t="str">
        <f>IFERROR(VLOOKUP(CONCATENATE($B$8,"_",$B35),Data!$H$16:$BN$1015,AA$11,FALSE),"")</f>
        <v/>
      </c>
      <c r="AB35" s="1428" t="str">
        <f>IFERROR(VLOOKUP(CONCATENATE($B$8,"_",$B35),Data!$H$16:$BN$1015,AB$11,FALSE),"")</f>
        <v/>
      </c>
      <c r="AC35" s="1429" t="str">
        <f>IFERROR(VLOOKUP(CONCATENATE($B$8,"_",$B35),Data!$H$16:$BN$1015,AC$11,FALSE),"")</f>
        <v/>
      </c>
      <c r="AD35" s="1428" t="str">
        <f>IFERROR(VLOOKUP(CONCATENATE($B$8,"_",$B35),Data!$H$16:$BN$1015,AD$11,FALSE),"")</f>
        <v/>
      </c>
      <c r="AE35" s="1428" t="str">
        <f>IFERROR(VLOOKUP(CONCATENATE($B$8,"_",$B35),Data!$H$16:$BN$1015,AE$11,FALSE),"")</f>
        <v/>
      </c>
      <c r="AF35" s="1429" t="str">
        <f>IFERROR(VLOOKUP(CONCATENATE($B$8,"_",$B35),Data!$H$16:$BN$1015,AF$11,FALSE),"")</f>
        <v/>
      </c>
      <c r="AG35" s="1428" t="str">
        <f>IFERROR(VLOOKUP(CONCATENATE($B$8,"_",$B35),Data!$H$16:$BN$1015,AG$11,FALSE),"")</f>
        <v/>
      </c>
      <c r="AH35" s="1428" t="str">
        <f>IFERROR(VLOOKUP(CONCATENATE($B$8,"_",$B35),Data!$H$16:$BN$1015,AH$11,FALSE),"")</f>
        <v/>
      </c>
      <c r="AI35" s="1429" t="str">
        <f>IFERROR(VLOOKUP(CONCATENATE($B$8,"_",$B35),Data!$H$16:$BN$1015,AI$11,FALSE),"")</f>
        <v/>
      </c>
      <c r="AJ35" s="1428" t="str">
        <f>IFERROR(VLOOKUP(CONCATENATE($B$8,"_",$B35),Data!$H$16:$BN$1015,AJ$11,FALSE),"")</f>
        <v/>
      </c>
      <c r="AK35" s="1428" t="str">
        <f>IFERROR(VLOOKUP(CONCATENATE($B$8,"_",$B35),Data!$H$16:$BN$1015,AK$11,FALSE),"")</f>
        <v/>
      </c>
      <c r="AL35" s="1429" t="str">
        <f>IFERROR(VLOOKUP(CONCATENATE($B$8,"_",$B35),Data!$H$16:$BN$1015,AL$11,FALSE),"")</f>
        <v/>
      </c>
      <c r="AM35" s="1428" t="str">
        <f>IFERROR(VLOOKUP(CONCATENATE($B$8,"_",$B35),Data!$H$16:$BN$1015,AM$11,FALSE),"")</f>
        <v/>
      </c>
      <c r="AN35" s="1428" t="str">
        <f>IFERROR(VLOOKUP(CONCATENATE($B$8,"_",$B35),Data!$H$16:$BN$1015,AN$11,FALSE),"")</f>
        <v/>
      </c>
      <c r="AO35" s="1430" t="str">
        <f>IFERROR(VLOOKUP(CONCATENATE($B$8,"_",$B35),Data!$H$16:$BN$1015,AO$11,FALSE),"")</f>
        <v/>
      </c>
      <c r="AP35" s="1428" t="str">
        <f>IFERROR(VLOOKUP(CONCATENATE($B$8,"_",$B35),Data!$H$16:$BN$1015,AP$11,FALSE),"")</f>
        <v/>
      </c>
      <c r="AQ35" s="1428" t="str">
        <f>IFERROR(VLOOKUP(CONCATENATE($B$8,"_",$B35),Data!$H$16:$BN$1015,AQ$11,FALSE),"")</f>
        <v/>
      </c>
      <c r="AR35" s="1430" t="str">
        <f>IFERROR(VLOOKUP(CONCATENATE($B$8,"_",$B35),Data!$H$16:$BN$1015,AR$11,FALSE),"")</f>
        <v/>
      </c>
      <c r="AS35" s="1428" t="str">
        <f>IFERROR(VLOOKUP(CONCATENATE($B$8,"_",$B35),Data!$H$16:$BN$1015,AS$11,FALSE),"")</f>
        <v/>
      </c>
      <c r="AT35" s="1428" t="str">
        <f>IFERROR(VLOOKUP(CONCATENATE($B$8,"_",$B35),Data!$H$16:$BN$1015,AT$11,FALSE),"")</f>
        <v/>
      </c>
      <c r="AU35" s="1430" t="str">
        <f>IFERROR(VLOOKUP(CONCATENATE($B$8,"_",$B35),Data!$H$16:$BN$1015,AU$11,FALSE),"")</f>
        <v/>
      </c>
      <c r="AV35" s="1428" t="str">
        <f>IFERROR(VLOOKUP(CONCATENATE($B$8,"_",$B35),Data!$H$16:$BN$1015,AV$11,FALSE),"")</f>
        <v/>
      </c>
      <c r="AW35" s="1428" t="str">
        <f>IFERROR(VLOOKUP(CONCATENATE($B$8,"_",$B35),Data!$H$16:$BN$1015,AW$11,FALSE),"")</f>
        <v/>
      </c>
      <c r="AX35" s="1430" t="str">
        <f>IFERROR(VLOOKUP(CONCATENATE($B$8,"_",$B35),Data!$H$16:$BN$1015,AX$11,FALSE),"")</f>
        <v/>
      </c>
      <c r="AY35" s="1429" t="str">
        <f>IFERROR(VLOOKUP(CONCATENATE($B$8,"_",$B35),Data!$H$16:$BN$1015,AY$11,FALSE),"")</f>
        <v/>
      </c>
      <c r="AZ35" s="1429" t="str">
        <f>IFERROR(VLOOKUP(CONCATENATE($B$8,"_",$B35),Data!$H$16:$BN$1015,AZ$11,FALSE),"")</f>
        <v/>
      </c>
      <c r="BA35" s="1429" t="str">
        <f>IFERROR(VLOOKUP(CONCATENATE($B$8,"_",$B35),Data!$H$16:$BN$1015,BA$11,FALSE),"")</f>
        <v/>
      </c>
      <c r="BB35" s="1429" t="str">
        <f>IFERROR(VLOOKUP(CONCATENATE($B$8,"_",$B35),Data!$H$16:$BN$1015,BB$11,FALSE),"")</f>
        <v/>
      </c>
      <c r="BC35" s="1429" t="str">
        <f>IFERROR(VLOOKUP(CONCATENATE($B$8,"_",$B35),Data!$H$16:$BN$1015,BC$11,FALSE),"")</f>
        <v/>
      </c>
      <c r="BD35" s="1431" t="str">
        <f>IFERROR(VLOOKUP(CONCATENATE($B$8,"_",$B35),Data!$H$16:$BN$1015,BD$11,FALSE),"")</f>
        <v/>
      </c>
      <c r="BE35" s="1439">
        <f t="shared" si="0"/>
        <v>2022</v>
      </c>
      <c r="BF35" s="1428" t="str">
        <f>IFERROR(VLOOKUP(CONCATENATE($B$8,"_",$B35),Data!$BO$16:$ES$1015,BF$11,FALSE),"")</f>
        <v/>
      </c>
      <c r="BG35" s="1433" t="str">
        <f>IFERROR(VLOOKUP(CONCATENATE($B$8,"_",$B35),Data!$BO$16:$ES$1015,BG$11,FALSE),"")</f>
        <v/>
      </c>
      <c r="BH35" s="1435" t="str">
        <f>IFERROR(VLOOKUP(CONCATENATE($B$8,"_",$B35),Data!$BO$16:$ES$1015,BH$11,FALSE),"")</f>
        <v/>
      </c>
      <c r="BI35" s="1434" t="str">
        <f>IFERROR(VLOOKUP(CONCATENATE($B$8,"_",$B35),Data!$BO$16:$ES$1015,BI$11,FALSE),"")</f>
        <v/>
      </c>
      <c r="BJ35" s="1428" t="str">
        <f>IFERROR(VLOOKUP(CONCATENATE($B$8,"_",$B35),Data!$BO$16:$ES$1015,BJ$11,FALSE),"")</f>
        <v/>
      </c>
      <c r="BK35" s="1428" t="str">
        <f>IFERROR(VLOOKUP(CONCATENATE($B$8,"_",$B35),Data!$BO$16:$ES$1015,BK$11,FALSE),"")</f>
        <v/>
      </c>
      <c r="BL35" s="1428" t="str">
        <f>IFERROR(VLOOKUP(CONCATENATE($B$8,"_",$B35),Data!$BO$16:$ES$1015,BL$11,FALSE),"")</f>
        <v/>
      </c>
      <c r="BM35" s="1433" t="str">
        <f>IFERROR(VLOOKUP(CONCATENATE($B$8,"_",$B35),Data!$BO$16:$ES$1015,BM$11,FALSE),"")</f>
        <v/>
      </c>
      <c r="BN35" s="1433" t="str">
        <f>IFERROR(VLOOKUP(CONCATENATE($B$8,"_",$B35),Data!$BO$16:$ES$1015,BN$11,FALSE),"")</f>
        <v/>
      </c>
      <c r="BO35" s="1433" t="str">
        <f>IFERROR(VLOOKUP(CONCATENATE($B$8,"_",$B35),Data!$BO$16:$ES$1015,BO$11,FALSE),"")</f>
        <v/>
      </c>
      <c r="BP35" s="1433" t="str">
        <f>IFERROR(VLOOKUP(CONCATENATE($B$8,"_",$B35),Data!$BO$16:$ES$1015,BP$11,FALSE),"")</f>
        <v/>
      </c>
      <c r="BQ35" s="1433" t="str">
        <f>IFERROR(VLOOKUP(CONCATENATE($B$8,"_",$B35),Data!$BO$16:$ES$1015,BQ$11,FALSE),"")</f>
        <v/>
      </c>
      <c r="BR35" s="1434" t="str">
        <f>IFERROR(VLOOKUP(CONCATENATE($B$8,"_",$B35),Data!$BO$16:$ES$1015,BR$11,FALSE),"")</f>
        <v/>
      </c>
      <c r="BS35" s="1434" t="str">
        <f>IFERROR(VLOOKUP(CONCATENATE($B$8,"_",$B35),Data!$BO$16:$ES$1015,BS$11,FALSE),"")</f>
        <v/>
      </c>
      <c r="BT35" s="1434" t="str">
        <f>IFERROR(VLOOKUP(CONCATENATE($B$8,"_",$B35),Data!$BO$16:$ES$1015,BT$11,FALSE),"")</f>
        <v/>
      </c>
      <c r="BU35" s="1434" t="str">
        <f>IFERROR(VLOOKUP(CONCATENATE($B$8,"_",$B35),Data!$BO$16:$ES$1015,BU$11,FALSE),"")</f>
        <v/>
      </c>
      <c r="BV35" s="1434" t="str">
        <f>IFERROR(VLOOKUP(CONCATENATE($B$8,"_",$B35),Data!$BO$16:$ES$1015,BV$11,FALSE),"")</f>
        <v/>
      </c>
      <c r="BW35" s="1434" t="str">
        <f>IFERROR(VLOOKUP(CONCATENATE($B$8,"_",$B35),Data!$BO$16:$ES$1015,BW$11,FALSE),"")</f>
        <v/>
      </c>
      <c r="BX35" s="1434" t="str">
        <f>IFERROR(VLOOKUP(CONCATENATE($B$8,"_",$B35),Data!$BO$16:$ES$1015,BX$11,FALSE),"")</f>
        <v/>
      </c>
      <c r="BY35" s="1428" t="str">
        <f>IFERROR(VLOOKUP(CONCATENATE($B$8,"_",$B35),Data!$BO$16:$ES$1015,BY$11,FALSE),"")</f>
        <v/>
      </c>
      <c r="BZ35" s="1428" t="str">
        <f>IFERROR(VLOOKUP(CONCATENATE($B$8,"_",$B35),Data!$BO$16:$ES$1015,BZ$11,FALSE),"")</f>
        <v/>
      </c>
      <c r="CA35" s="1428" t="str">
        <f>IFERROR(VLOOKUP(CONCATENATE($B$8,"_",$B35),Data!$BO$16:$ES$1015,CA$11,FALSE),"")</f>
        <v/>
      </c>
      <c r="CB35" s="1428" t="str">
        <f>IFERROR(VLOOKUP(CONCATENATE($B$8,"_",$B35),Data!$BO$16:$ES$1015,CB$11,FALSE),"")</f>
        <v/>
      </c>
      <c r="CC35" s="1428" t="str">
        <f>IFERROR(VLOOKUP(CONCATENATE($B$8,"_",$B35),Data!$BO$16:$ES$1015,CC$11,FALSE),"")</f>
        <v/>
      </c>
      <c r="CD35" s="1428" t="str">
        <f>IFERROR(VLOOKUP(CONCATENATE($B$8,"_",$B35),Data!$BO$16:$ES$1015,CD$11,FALSE),"")</f>
        <v/>
      </c>
      <c r="CE35" s="1428" t="str">
        <f>IFERROR(VLOOKUP(CONCATENATE($B$8,"_",$B35),Data!$BO$16:$ES$1015,CE$11,FALSE),"")</f>
        <v/>
      </c>
      <c r="CF35" s="1428" t="str">
        <f>IFERROR(VLOOKUP(CONCATENATE($B$8,"_",$B35),Data!$BO$16:$ES$1015,CF$11,FALSE),"")</f>
        <v/>
      </c>
      <c r="CG35" s="1428" t="str">
        <f>IFERROR(VLOOKUP(CONCATENATE($B$8,"_",$B35),Data!$BO$16:$ES$1015,CG$11,FALSE),"")</f>
        <v/>
      </c>
      <c r="CH35" s="1428" t="str">
        <f>IFERROR(VLOOKUP(CONCATENATE($B$8,"_",$B35),Data!$BO$16:$ES$1015,CH$11,FALSE),"")</f>
        <v/>
      </c>
      <c r="CI35" s="1428" t="str">
        <f>IFERROR(VLOOKUP(CONCATENATE($B$8,"_",$B35),Data!$BO$16:$ES$1015,CI$11,FALSE),"")</f>
        <v/>
      </c>
      <c r="CJ35" s="1428" t="str">
        <f>IFERROR(VLOOKUP(CONCATENATE($B$8,"_",$B35),Data!$BO$16:$ES$1015,CJ$11,FALSE),"")</f>
        <v/>
      </c>
      <c r="CK35" s="1428" t="str">
        <f>IFERROR(VLOOKUP(CONCATENATE($B$8,"_",$B35),Data!$BO$16:$ES$1015,CK$11,FALSE),"")</f>
        <v/>
      </c>
      <c r="CL35" s="1428" t="str">
        <f>IFERROR(VLOOKUP(CONCATENATE($B$8,"_",$B35),Data!$BO$16:$ES$1015,CL$11,FALSE),"")</f>
        <v/>
      </c>
      <c r="CM35" s="1428" t="str">
        <f>IFERROR(VLOOKUP(CONCATENATE($B$8,"_",$B35),Data!$BO$16:$ES$1015,CM$11,FALSE),"")</f>
        <v/>
      </c>
      <c r="CN35" s="1428" t="str">
        <f>IFERROR(VLOOKUP(CONCATENATE($B$8,"_",$B35),Data!$BO$16:$ES$1015,CN$11,FALSE),"")</f>
        <v/>
      </c>
      <c r="CO35" s="1428" t="str">
        <f>IFERROR(VLOOKUP(CONCATENATE($B$8,"_",$B35),Data!$BO$16:$ES$1015,CO$11,FALSE),"")</f>
        <v/>
      </c>
      <c r="CP35" s="1433" t="str">
        <f>IFERROR(VLOOKUP(CONCATENATE($B$8,"_",$B35),Data!$BO$16:$ES$1015,CP$11,FALSE),"")</f>
        <v/>
      </c>
      <c r="CQ35" s="1433" t="str">
        <f>IFERROR(VLOOKUP(CONCATENATE($B$8,"_",$B35),Data!$BO$16:$ES$1015,CQ$11,FALSE),"")</f>
        <v/>
      </c>
      <c r="CR35" s="1433" t="str">
        <f>IFERROR(VLOOKUP(CONCATENATE($B$8,"_",$B35),Data!$BO$16:$ES$1015,CR$11,FALSE),"")</f>
        <v/>
      </c>
      <c r="CS35" s="1433" t="str">
        <f>IFERROR(VLOOKUP(CONCATENATE($B$8,"_",$B35),Data!$BO$16:$ES$1015,CS$11,FALSE),"")</f>
        <v/>
      </c>
      <c r="CT35" s="1433" t="str">
        <f>IFERROR(VLOOKUP(CONCATENATE($B$8,"_",$B35),Data!$BO$16:$ES$1015,CT$11,FALSE),"")</f>
        <v/>
      </c>
      <c r="CU35" s="1433" t="str">
        <f>IFERROR(VLOOKUP(CONCATENATE($B$8,"_",$B35),Data!$BO$16:$ES$1015,CU$11,FALSE),"")</f>
        <v/>
      </c>
      <c r="CV35" s="1433" t="str">
        <f>IFERROR(VLOOKUP(CONCATENATE($B$8,"_",$B35),Data!$BO$16:$ES$1015,CV$11,FALSE),"")</f>
        <v/>
      </c>
      <c r="CW35" s="1433" t="str">
        <f>IFERROR(VLOOKUP(CONCATENATE($B$8,"_",$B35),Data!$BO$16:$ES$1015,CW$11,FALSE),"")</f>
        <v/>
      </c>
      <c r="CX35" s="1433" t="str">
        <f>IFERROR(VLOOKUP(CONCATENATE($B$8,"_",$B35),Data!$BO$16:$ES$1015,CX$11,FALSE),"")</f>
        <v/>
      </c>
      <c r="CY35" s="1433" t="str">
        <f>IFERROR(VLOOKUP(CONCATENATE($B$8,"_",$B35),Data!$BO$16:$ES$1015,CY$11,FALSE),"")</f>
        <v/>
      </c>
      <c r="CZ35" s="1433" t="str">
        <f>IFERROR(VLOOKUP(CONCATENATE($B$8,"_",$B35),Data!$BO$16:$ES$1015,CZ$11,FALSE),"")</f>
        <v/>
      </c>
      <c r="DA35" s="1433" t="str">
        <f>IFERROR(VLOOKUP(CONCATENATE($B$8,"_",$B35),Data!$BO$16:$ES$1015,DA$11,FALSE),"")</f>
        <v/>
      </c>
      <c r="DB35" s="1433" t="str">
        <f>IFERROR(VLOOKUP(CONCATENATE($B$8,"_",$B35),Data!$BO$16:$ES$1015,DB$11,FALSE),"")</f>
        <v/>
      </c>
      <c r="DC35" s="1433" t="str">
        <f>IFERROR(VLOOKUP(CONCATENATE($B$8,"_",$B35),Data!$BO$16:$ES$1015,DC$11,FALSE),"")</f>
        <v/>
      </c>
      <c r="DD35" s="1433" t="str">
        <f>IFERROR(VLOOKUP(CONCATENATE($B$8,"_",$B35),Data!$BO$16:$ES$1015,DD$11,FALSE),"")</f>
        <v/>
      </c>
      <c r="DE35" s="1433" t="str">
        <f>IFERROR(VLOOKUP(CONCATENATE($B$8,"_",$B35),Data!$BO$16:$ES$1015,DE$11,FALSE),"")</f>
        <v/>
      </c>
      <c r="DF35" s="1433" t="str">
        <f>IFERROR(VLOOKUP(CONCATENATE($B$8,"_",$B35),Data!$BO$16:$ES$1015,DF$11,FALSE),"")</f>
        <v/>
      </c>
      <c r="DG35" s="1433" t="str">
        <f>IFERROR(VLOOKUP(CONCATENATE($B$8,"_",$B35),Data!$BO$16:$ES$1015,DG$11,FALSE),"")</f>
        <v/>
      </c>
      <c r="DH35" s="1433" t="str">
        <f>IFERROR(VLOOKUP(CONCATENATE($B$8,"_",$B35),Data!$BO$16:$ES$1015,DH$11,FALSE),"")</f>
        <v/>
      </c>
      <c r="DI35" s="1433" t="str">
        <f>IFERROR(VLOOKUP(CONCATENATE($B$8,"_",$B35),Data!$BO$16:$ES$1015,DI$11,FALSE),"")</f>
        <v/>
      </c>
      <c r="DJ35" s="1433" t="str">
        <f>IFERROR(VLOOKUP(CONCATENATE($B$8,"_",$B35),Data!$BO$16:$ES$1015,DJ$11,FALSE),"")</f>
        <v/>
      </c>
      <c r="DK35" s="1433" t="str">
        <f>IFERROR(VLOOKUP(CONCATENATE($B$8,"_",$B35),Data!$BO$16:$ES$1015,DK$11,FALSE),"")</f>
        <v/>
      </c>
      <c r="DL35" s="1435" t="str">
        <f>IFERROR(VLOOKUP(CONCATENATE($B$8,"_",$B35),Data!$BO$16:$ES$1015,DL$11,FALSE),"")</f>
        <v/>
      </c>
      <c r="DM35" s="1434" t="str">
        <f>IFERROR(VLOOKUP(CONCATENATE($B$8,"_",$B35),Data!$BO$16:$ES$1015,DM$11,FALSE),"")</f>
        <v/>
      </c>
      <c r="DN35" s="1434" t="str">
        <f>IFERROR(VLOOKUP(CONCATENATE($B$8,"_",$B35),Data!$BO$16:$ES$1015,DN$11,FALSE),"")</f>
        <v/>
      </c>
      <c r="DO35" s="1434" t="str">
        <f>IFERROR(VLOOKUP(CONCATENATE($B$8,"_",$B35),Data!$BO$16:$ES$1015,DO$11,FALSE),"")</f>
        <v/>
      </c>
      <c r="DP35" s="1434" t="str">
        <f>IFERROR(VLOOKUP(CONCATENATE($B$8,"_",$B35),Data!$BO$16:$ES$1015,DP$11,FALSE),"")</f>
        <v/>
      </c>
      <c r="DQ35" s="1434" t="str">
        <f>IFERROR(VLOOKUP(CONCATENATE($B$8,"_",$B35),Data!$BO$16:$ES$1015,DQ$11,FALSE),"")</f>
        <v/>
      </c>
      <c r="DR35" s="1434" t="str">
        <f>IFERROR(VLOOKUP(CONCATENATE($B$8,"_",$B35),Data!$BO$16:$ES$1015,DR$11,FALSE),"")</f>
        <v/>
      </c>
      <c r="DS35" s="1434" t="str">
        <f>IFERROR(VLOOKUP(CONCATENATE($B$8,"_",$B35),Data!$BO$16:$ES$1015,DS$11,FALSE),"")</f>
        <v/>
      </c>
      <c r="DT35" s="1434" t="str">
        <f>IFERROR(VLOOKUP(CONCATENATE($B$8,"_",$B35),Data!$BO$16:$ES$1015,DT$11,FALSE),"")</f>
        <v/>
      </c>
      <c r="DU35" s="1434" t="str">
        <f>IFERROR(VLOOKUP(CONCATENATE($B$8,"_",$B35),Data!$BO$16:$ES$1015,DU$11,FALSE),"")</f>
        <v/>
      </c>
      <c r="DV35" s="1434" t="str">
        <f>IFERROR(VLOOKUP(CONCATENATE($B$8,"_",$B35),Data!$BO$16:$ES$1015,DV$11,FALSE),"")</f>
        <v/>
      </c>
      <c r="DW35" s="1434" t="str">
        <f>IFERROR(VLOOKUP(CONCATENATE($B$8,"_",$B35),Data!$BO$16:$ES$1015,DW$11,FALSE),"")</f>
        <v/>
      </c>
      <c r="DX35" s="1434" t="str">
        <f>IFERROR(VLOOKUP(CONCATENATE($B$8,"_",$B35),Data!$BO$16:$ES$1015,DX$11,FALSE),"")</f>
        <v/>
      </c>
      <c r="DY35" s="1434" t="str">
        <f>IFERROR(VLOOKUP(CONCATENATE($B$8,"_",$B35),Data!$BO$16:$ES$1015,DY$11,FALSE),"")</f>
        <v/>
      </c>
      <c r="DZ35" s="1434" t="str">
        <f>IFERROR(VLOOKUP(CONCATENATE($B$8,"_",$B35),Data!$BO$16:$ES$1015,DZ$11,FALSE),"")</f>
        <v/>
      </c>
      <c r="EA35" s="1434" t="str">
        <f>IFERROR(VLOOKUP(CONCATENATE($B$8,"_",$B35),Data!$BO$16:$ES$1015,EA$11,FALSE),"")</f>
        <v/>
      </c>
      <c r="EB35" s="1434" t="str">
        <f>IFERROR(VLOOKUP(CONCATENATE($B$8,"_",$B35),Data!$BO$16:$ES$1015,EB$11,FALSE),"")</f>
        <v/>
      </c>
      <c r="EC35" s="1434" t="str">
        <f>IFERROR(VLOOKUP(CONCATENATE($B$8,"_",$B35),Data!$BO$16:$ES$1015,EC$11,FALSE),"")</f>
        <v/>
      </c>
      <c r="ED35" s="1434" t="str">
        <f>IFERROR(VLOOKUP(CONCATENATE($B$8,"_",$B35),Data!$BO$16:$ES$1015,ED$11,FALSE),"")</f>
        <v/>
      </c>
      <c r="EE35" s="1434" t="str">
        <f>IFERROR(VLOOKUP(CONCATENATE($B$8,"_",$B35),Data!$BO$16:$ES$1015,EE$11,FALSE),"")</f>
        <v/>
      </c>
      <c r="EF35" s="1434" t="str">
        <f>IFERROR(VLOOKUP(CONCATENATE($B$8,"_",$B35),Data!$BO$16:$ES$1015,EF$11,FALSE),"")</f>
        <v/>
      </c>
      <c r="EG35" s="1434" t="str">
        <f>IFERROR(VLOOKUP(CONCATENATE($B$8,"_",$B35),Data!$BO$16:$ES$1015,EG$11,FALSE),"")</f>
        <v/>
      </c>
      <c r="EH35" s="1434" t="str">
        <f>IFERROR(VLOOKUP(CONCATENATE($B$8,"_",$B35),Data!$BO$16:$ES$1015,EH$11,FALSE),"")</f>
        <v/>
      </c>
      <c r="EI35" s="1434" t="str">
        <f>IFERROR(VLOOKUP(CONCATENATE($B$8,"_",$B35),Data!$BO$16:$ES$1015,EI$11,FALSE),"")</f>
        <v/>
      </c>
    </row>
    <row r="36" spans="1:141" s="1441" customFormat="1" ht="15" customHeight="1">
      <c r="A36" s="1438">
        <v>23</v>
      </c>
      <c r="B36" s="1738">
        <f>IF($B$13+A36&lt;=Progress!$D$18,$B$13+A36,"")</f>
        <v>2023</v>
      </c>
      <c r="C36" s="1737" t="str">
        <f>IFERROR(VLOOKUP(CONCATENATE($B$8,"_",$B36),Data!$H$16:$BN$1015,C$11,FALSE),"")</f>
        <v/>
      </c>
      <c r="D36" s="1428" t="str">
        <f>IFERROR(VLOOKUP(CONCATENATE($B$8,"_",$B36),Data!$H$16:$BN$1015,D$11,FALSE),"")</f>
        <v/>
      </c>
      <c r="E36" s="1429" t="str">
        <f>IFERROR(VLOOKUP(CONCATENATE($B$8,"_",$B36),Data!$H$16:$BN$1015,E$11,FALSE),"")</f>
        <v/>
      </c>
      <c r="F36" s="1428" t="str">
        <f>IFERROR(VLOOKUP(CONCATENATE($B$8,"_",$B36),Data!$H$16:$BN$1015,F$11,FALSE),"")</f>
        <v/>
      </c>
      <c r="G36" s="1428" t="str">
        <f>IFERROR(VLOOKUP(CONCATENATE($B$8,"_",$B36),Data!$H$16:$BN$1015,G$11,FALSE),"")</f>
        <v/>
      </c>
      <c r="H36" s="1429" t="str">
        <f>IFERROR(VLOOKUP(CONCATENATE($B$8,"_",$B36),Data!$H$16:$BN$1015,H$11,FALSE),"")</f>
        <v/>
      </c>
      <c r="I36" s="1428" t="str">
        <f>IFERROR(VLOOKUP(CONCATENATE($B$8,"_",$B36),Data!$H$16:$BN$1015,I$11,FALSE),"")</f>
        <v/>
      </c>
      <c r="J36" s="1428" t="str">
        <f>IFERROR(VLOOKUP(CONCATENATE($B$8,"_",$B36),Data!$H$16:$BN$1015,J$11,FALSE),"")</f>
        <v/>
      </c>
      <c r="K36" s="1429" t="str">
        <f>IFERROR(VLOOKUP(CONCATENATE($B$8,"_",$B36),Data!$H$16:$BN$1015,K$11,FALSE),"")</f>
        <v/>
      </c>
      <c r="L36" s="1428" t="str">
        <f>IFERROR(VLOOKUP(CONCATENATE($B$8,"_",$B36),Data!$H$16:$BN$1015,L$11,FALSE),"")</f>
        <v/>
      </c>
      <c r="M36" s="1428" t="str">
        <f>IFERROR(VLOOKUP(CONCATENATE($B$8,"_",$B36),Data!$H$16:$BN$1015,M$11,FALSE),"")</f>
        <v/>
      </c>
      <c r="N36" s="1429" t="str">
        <f>IFERROR(VLOOKUP(CONCATENATE($B$8,"_",$B36),Data!$H$16:$BN$1015,N$11,FALSE),"")</f>
        <v/>
      </c>
      <c r="O36" s="1430" t="str">
        <f>IFERROR(VLOOKUP(CONCATENATE($B$8,"_",$B36),Data!$H$16:$BN$1015,O$11,FALSE),"")</f>
        <v/>
      </c>
      <c r="P36" s="1428" t="str">
        <f>IFERROR(VLOOKUP(CONCATENATE($B$8,"_",$B36),Data!$H$16:$BN$1015,P$11,FALSE),"")</f>
        <v/>
      </c>
      <c r="Q36" s="1428" t="str">
        <f>IFERROR(VLOOKUP(CONCATENATE($B$8,"_",$B36),Data!$H$16:$BN$1015,Q$11,FALSE),"")</f>
        <v/>
      </c>
      <c r="R36" s="1429" t="str">
        <f>IFERROR(VLOOKUP(CONCATENATE($B$8,"_",$B36),Data!$H$16:$BN$1015,R$11,FALSE),"")</f>
        <v/>
      </c>
      <c r="S36" s="1428" t="str">
        <f>IFERROR(VLOOKUP(CONCATENATE($B$8,"_",$B36),Data!$H$16:$BN$1015,S$11,FALSE),"")</f>
        <v/>
      </c>
      <c r="T36" s="1428" t="str">
        <f>IFERROR(VLOOKUP(CONCATENATE($B$8,"_",$B36),Data!$H$16:$BN$1015,T$11,FALSE),"")</f>
        <v/>
      </c>
      <c r="U36" s="1429" t="str">
        <f>IFERROR(VLOOKUP(CONCATENATE($B$8,"_",$B36),Data!$H$16:$BN$1015,U$11,FALSE),"")</f>
        <v/>
      </c>
      <c r="V36" s="1428" t="str">
        <f>IFERROR(VLOOKUP(CONCATENATE($B$8,"_",$B36),Data!$H$16:$BN$1015,V$11,FALSE),"")</f>
        <v/>
      </c>
      <c r="W36" s="1428" t="str">
        <f>IFERROR(VLOOKUP(CONCATENATE($B$8,"_",$B36),Data!$H$16:$BN$1015,W$11,FALSE),"")</f>
        <v/>
      </c>
      <c r="X36" s="1428" t="str">
        <f>IFERROR(VLOOKUP(CONCATENATE($B$8,"_",$B36),Data!$H$16:$BN$1015,X$11,FALSE),"")</f>
        <v/>
      </c>
      <c r="Y36" s="1428" t="str">
        <f>IFERROR(VLOOKUP(CONCATENATE($B$8,"_",$B36),Data!$H$16:$BN$1015,Y$11,FALSE),"")</f>
        <v/>
      </c>
      <c r="Z36" s="1429" t="str">
        <f>IFERROR(VLOOKUP(CONCATENATE($B$8,"_",$B36),Data!$H$16:$BN$1015,Z$11,FALSE),"")</f>
        <v/>
      </c>
      <c r="AA36" s="1428" t="str">
        <f>IFERROR(VLOOKUP(CONCATENATE($B$8,"_",$B36),Data!$H$16:$BN$1015,AA$11,FALSE),"")</f>
        <v/>
      </c>
      <c r="AB36" s="1428" t="str">
        <f>IFERROR(VLOOKUP(CONCATENATE($B$8,"_",$B36),Data!$H$16:$BN$1015,AB$11,FALSE),"")</f>
        <v/>
      </c>
      <c r="AC36" s="1429" t="str">
        <f>IFERROR(VLOOKUP(CONCATENATE($B$8,"_",$B36),Data!$H$16:$BN$1015,AC$11,FALSE),"")</f>
        <v/>
      </c>
      <c r="AD36" s="1428" t="str">
        <f>IFERROR(VLOOKUP(CONCATENATE($B$8,"_",$B36),Data!$H$16:$BN$1015,AD$11,FALSE),"")</f>
        <v/>
      </c>
      <c r="AE36" s="1428" t="str">
        <f>IFERROR(VLOOKUP(CONCATENATE($B$8,"_",$B36),Data!$H$16:$BN$1015,AE$11,FALSE),"")</f>
        <v/>
      </c>
      <c r="AF36" s="1429" t="str">
        <f>IFERROR(VLOOKUP(CONCATENATE($B$8,"_",$B36),Data!$H$16:$BN$1015,AF$11,FALSE),"")</f>
        <v/>
      </c>
      <c r="AG36" s="1428" t="str">
        <f>IFERROR(VLOOKUP(CONCATENATE($B$8,"_",$B36),Data!$H$16:$BN$1015,AG$11,FALSE),"")</f>
        <v/>
      </c>
      <c r="AH36" s="1428" t="str">
        <f>IFERROR(VLOOKUP(CONCATENATE($B$8,"_",$B36),Data!$H$16:$BN$1015,AH$11,FALSE),"")</f>
        <v/>
      </c>
      <c r="AI36" s="1429" t="str">
        <f>IFERROR(VLOOKUP(CONCATENATE($B$8,"_",$B36),Data!$H$16:$BN$1015,AI$11,FALSE),"")</f>
        <v/>
      </c>
      <c r="AJ36" s="1428" t="str">
        <f>IFERROR(VLOOKUP(CONCATENATE($B$8,"_",$B36),Data!$H$16:$BN$1015,AJ$11,FALSE),"")</f>
        <v/>
      </c>
      <c r="AK36" s="1428" t="str">
        <f>IFERROR(VLOOKUP(CONCATENATE($B$8,"_",$B36),Data!$H$16:$BN$1015,AK$11,FALSE),"")</f>
        <v/>
      </c>
      <c r="AL36" s="1429" t="str">
        <f>IFERROR(VLOOKUP(CONCATENATE($B$8,"_",$B36),Data!$H$16:$BN$1015,AL$11,FALSE),"")</f>
        <v/>
      </c>
      <c r="AM36" s="1428" t="str">
        <f>IFERROR(VLOOKUP(CONCATENATE($B$8,"_",$B36),Data!$H$16:$BN$1015,AM$11,FALSE),"")</f>
        <v/>
      </c>
      <c r="AN36" s="1428" t="str">
        <f>IFERROR(VLOOKUP(CONCATENATE($B$8,"_",$B36),Data!$H$16:$BN$1015,AN$11,FALSE),"")</f>
        <v/>
      </c>
      <c r="AO36" s="1430" t="str">
        <f>IFERROR(VLOOKUP(CONCATENATE($B$8,"_",$B36),Data!$H$16:$BN$1015,AO$11,FALSE),"")</f>
        <v/>
      </c>
      <c r="AP36" s="1428" t="str">
        <f>IFERROR(VLOOKUP(CONCATENATE($B$8,"_",$B36),Data!$H$16:$BN$1015,AP$11,FALSE),"")</f>
        <v/>
      </c>
      <c r="AQ36" s="1428" t="str">
        <f>IFERROR(VLOOKUP(CONCATENATE($B$8,"_",$B36),Data!$H$16:$BN$1015,AQ$11,FALSE),"")</f>
        <v/>
      </c>
      <c r="AR36" s="1430" t="str">
        <f>IFERROR(VLOOKUP(CONCATENATE($B$8,"_",$B36),Data!$H$16:$BN$1015,AR$11,FALSE),"")</f>
        <v/>
      </c>
      <c r="AS36" s="1428" t="str">
        <f>IFERROR(VLOOKUP(CONCATENATE($B$8,"_",$B36),Data!$H$16:$BN$1015,AS$11,FALSE),"")</f>
        <v/>
      </c>
      <c r="AT36" s="1428" t="str">
        <f>IFERROR(VLOOKUP(CONCATENATE($B$8,"_",$B36),Data!$H$16:$BN$1015,AT$11,FALSE),"")</f>
        <v/>
      </c>
      <c r="AU36" s="1430" t="str">
        <f>IFERROR(VLOOKUP(CONCATENATE($B$8,"_",$B36),Data!$H$16:$BN$1015,AU$11,FALSE),"")</f>
        <v/>
      </c>
      <c r="AV36" s="1428" t="str">
        <f>IFERROR(VLOOKUP(CONCATENATE($B$8,"_",$B36),Data!$H$16:$BN$1015,AV$11,FALSE),"")</f>
        <v/>
      </c>
      <c r="AW36" s="1428" t="str">
        <f>IFERROR(VLOOKUP(CONCATENATE($B$8,"_",$B36),Data!$H$16:$BN$1015,AW$11,FALSE),"")</f>
        <v/>
      </c>
      <c r="AX36" s="1430" t="str">
        <f>IFERROR(VLOOKUP(CONCATENATE($B$8,"_",$B36),Data!$H$16:$BN$1015,AX$11,FALSE),"")</f>
        <v/>
      </c>
      <c r="AY36" s="1429" t="str">
        <f>IFERROR(VLOOKUP(CONCATENATE($B$8,"_",$B36),Data!$H$16:$BN$1015,AY$11,FALSE),"")</f>
        <v/>
      </c>
      <c r="AZ36" s="1429" t="str">
        <f>IFERROR(VLOOKUP(CONCATENATE($B$8,"_",$B36),Data!$H$16:$BN$1015,AZ$11,FALSE),"")</f>
        <v/>
      </c>
      <c r="BA36" s="1429" t="str">
        <f>IFERROR(VLOOKUP(CONCATENATE($B$8,"_",$B36),Data!$H$16:$BN$1015,BA$11,FALSE),"")</f>
        <v/>
      </c>
      <c r="BB36" s="1429" t="str">
        <f>IFERROR(VLOOKUP(CONCATENATE($B$8,"_",$B36),Data!$H$16:$BN$1015,BB$11,FALSE),"")</f>
        <v/>
      </c>
      <c r="BC36" s="1429" t="str">
        <f>IFERROR(VLOOKUP(CONCATENATE($B$8,"_",$B36),Data!$H$16:$BN$1015,BC$11,FALSE),"")</f>
        <v/>
      </c>
      <c r="BD36" s="1431" t="str">
        <f>IFERROR(VLOOKUP(CONCATENATE($B$8,"_",$B36),Data!$H$16:$BN$1015,BD$11,FALSE),"")</f>
        <v/>
      </c>
      <c r="BE36" s="1439">
        <f t="shared" si="0"/>
        <v>2023</v>
      </c>
      <c r="BF36" s="1428" t="str">
        <f>IFERROR(VLOOKUP(CONCATENATE($B$8,"_",$B36),Data!$BO$16:$ES$1015,BF$11,FALSE),"")</f>
        <v/>
      </c>
      <c r="BG36" s="1433" t="str">
        <f>IFERROR(VLOOKUP(CONCATENATE($B$8,"_",$B36),Data!$BO$16:$ES$1015,BG$11,FALSE),"")</f>
        <v/>
      </c>
      <c r="BH36" s="1435" t="str">
        <f>IFERROR(VLOOKUP(CONCATENATE($B$8,"_",$B36),Data!$BO$16:$ES$1015,BH$11,FALSE),"")</f>
        <v/>
      </c>
      <c r="BI36" s="1434" t="str">
        <f>IFERROR(VLOOKUP(CONCATENATE($B$8,"_",$B36),Data!$BO$16:$ES$1015,BI$11,FALSE),"")</f>
        <v/>
      </c>
      <c r="BJ36" s="1428" t="str">
        <f>IFERROR(VLOOKUP(CONCATENATE($B$8,"_",$B36),Data!$BO$16:$ES$1015,BJ$11,FALSE),"")</f>
        <v/>
      </c>
      <c r="BK36" s="1428" t="str">
        <f>IFERROR(VLOOKUP(CONCATENATE($B$8,"_",$B36),Data!$BO$16:$ES$1015,BK$11,FALSE),"")</f>
        <v/>
      </c>
      <c r="BL36" s="1428" t="str">
        <f>IFERROR(VLOOKUP(CONCATENATE($B$8,"_",$B36),Data!$BO$16:$ES$1015,BL$11,FALSE),"")</f>
        <v/>
      </c>
      <c r="BM36" s="1433" t="str">
        <f>IFERROR(VLOOKUP(CONCATENATE($B$8,"_",$B36),Data!$BO$16:$ES$1015,BM$11,FALSE),"")</f>
        <v/>
      </c>
      <c r="BN36" s="1433" t="str">
        <f>IFERROR(VLOOKUP(CONCATENATE($B$8,"_",$B36),Data!$BO$16:$ES$1015,BN$11,FALSE),"")</f>
        <v/>
      </c>
      <c r="BO36" s="1433" t="str">
        <f>IFERROR(VLOOKUP(CONCATENATE($B$8,"_",$B36),Data!$BO$16:$ES$1015,BO$11,FALSE),"")</f>
        <v/>
      </c>
      <c r="BP36" s="1433" t="str">
        <f>IFERROR(VLOOKUP(CONCATENATE($B$8,"_",$B36),Data!$BO$16:$ES$1015,BP$11,FALSE),"")</f>
        <v/>
      </c>
      <c r="BQ36" s="1433" t="str">
        <f>IFERROR(VLOOKUP(CONCATENATE($B$8,"_",$B36),Data!$BO$16:$ES$1015,BQ$11,FALSE),"")</f>
        <v/>
      </c>
      <c r="BR36" s="1434" t="str">
        <f>IFERROR(VLOOKUP(CONCATENATE($B$8,"_",$B36),Data!$BO$16:$ES$1015,BR$11,FALSE),"")</f>
        <v/>
      </c>
      <c r="BS36" s="1434" t="str">
        <f>IFERROR(VLOOKUP(CONCATENATE($B$8,"_",$B36),Data!$BO$16:$ES$1015,BS$11,FALSE),"")</f>
        <v/>
      </c>
      <c r="BT36" s="1434" t="str">
        <f>IFERROR(VLOOKUP(CONCATENATE($B$8,"_",$B36),Data!$BO$16:$ES$1015,BT$11,FALSE),"")</f>
        <v/>
      </c>
      <c r="BU36" s="1434" t="str">
        <f>IFERROR(VLOOKUP(CONCATENATE($B$8,"_",$B36),Data!$BO$16:$ES$1015,BU$11,FALSE),"")</f>
        <v/>
      </c>
      <c r="BV36" s="1434" t="str">
        <f>IFERROR(VLOOKUP(CONCATENATE($B$8,"_",$B36),Data!$BO$16:$ES$1015,BV$11,FALSE),"")</f>
        <v/>
      </c>
      <c r="BW36" s="1434" t="str">
        <f>IFERROR(VLOOKUP(CONCATENATE($B$8,"_",$B36),Data!$BO$16:$ES$1015,BW$11,FALSE),"")</f>
        <v/>
      </c>
      <c r="BX36" s="1434" t="str">
        <f>IFERROR(VLOOKUP(CONCATENATE($B$8,"_",$B36),Data!$BO$16:$ES$1015,BX$11,FALSE),"")</f>
        <v/>
      </c>
      <c r="BY36" s="1428" t="str">
        <f>IFERROR(VLOOKUP(CONCATENATE($B$8,"_",$B36),Data!$BO$16:$ES$1015,BY$11,FALSE),"")</f>
        <v/>
      </c>
      <c r="BZ36" s="1428" t="str">
        <f>IFERROR(VLOOKUP(CONCATENATE($B$8,"_",$B36),Data!$BO$16:$ES$1015,BZ$11,FALSE),"")</f>
        <v/>
      </c>
      <c r="CA36" s="1428" t="str">
        <f>IFERROR(VLOOKUP(CONCATENATE($B$8,"_",$B36),Data!$BO$16:$ES$1015,CA$11,FALSE),"")</f>
        <v/>
      </c>
      <c r="CB36" s="1428" t="str">
        <f>IFERROR(VLOOKUP(CONCATENATE($B$8,"_",$B36),Data!$BO$16:$ES$1015,CB$11,FALSE),"")</f>
        <v/>
      </c>
      <c r="CC36" s="1428" t="str">
        <f>IFERROR(VLOOKUP(CONCATENATE($B$8,"_",$B36),Data!$BO$16:$ES$1015,CC$11,FALSE),"")</f>
        <v/>
      </c>
      <c r="CD36" s="1428" t="str">
        <f>IFERROR(VLOOKUP(CONCATENATE($B$8,"_",$B36),Data!$BO$16:$ES$1015,CD$11,FALSE),"")</f>
        <v/>
      </c>
      <c r="CE36" s="1428" t="str">
        <f>IFERROR(VLOOKUP(CONCATENATE($B$8,"_",$B36),Data!$BO$16:$ES$1015,CE$11,FALSE),"")</f>
        <v/>
      </c>
      <c r="CF36" s="1428" t="str">
        <f>IFERROR(VLOOKUP(CONCATENATE($B$8,"_",$B36),Data!$BO$16:$ES$1015,CF$11,FALSE),"")</f>
        <v/>
      </c>
      <c r="CG36" s="1428" t="str">
        <f>IFERROR(VLOOKUP(CONCATENATE($B$8,"_",$B36),Data!$BO$16:$ES$1015,CG$11,FALSE),"")</f>
        <v/>
      </c>
      <c r="CH36" s="1428" t="str">
        <f>IFERROR(VLOOKUP(CONCATENATE($B$8,"_",$B36),Data!$BO$16:$ES$1015,CH$11,FALSE),"")</f>
        <v/>
      </c>
      <c r="CI36" s="1428" t="str">
        <f>IFERROR(VLOOKUP(CONCATENATE($B$8,"_",$B36),Data!$BO$16:$ES$1015,CI$11,FALSE),"")</f>
        <v/>
      </c>
      <c r="CJ36" s="1428" t="str">
        <f>IFERROR(VLOOKUP(CONCATENATE($B$8,"_",$B36),Data!$BO$16:$ES$1015,CJ$11,FALSE),"")</f>
        <v/>
      </c>
      <c r="CK36" s="1428" t="str">
        <f>IFERROR(VLOOKUP(CONCATENATE($B$8,"_",$B36),Data!$BO$16:$ES$1015,CK$11,FALSE),"")</f>
        <v/>
      </c>
      <c r="CL36" s="1428" t="str">
        <f>IFERROR(VLOOKUP(CONCATENATE($B$8,"_",$B36),Data!$BO$16:$ES$1015,CL$11,FALSE),"")</f>
        <v/>
      </c>
      <c r="CM36" s="1428" t="str">
        <f>IFERROR(VLOOKUP(CONCATENATE($B$8,"_",$B36),Data!$BO$16:$ES$1015,CM$11,FALSE),"")</f>
        <v/>
      </c>
      <c r="CN36" s="1428" t="str">
        <f>IFERROR(VLOOKUP(CONCATENATE($B$8,"_",$B36),Data!$BO$16:$ES$1015,CN$11,FALSE),"")</f>
        <v/>
      </c>
      <c r="CO36" s="1428" t="str">
        <f>IFERROR(VLOOKUP(CONCATENATE($B$8,"_",$B36),Data!$BO$16:$ES$1015,CO$11,FALSE),"")</f>
        <v/>
      </c>
      <c r="CP36" s="1433" t="str">
        <f>IFERROR(VLOOKUP(CONCATENATE($B$8,"_",$B36),Data!$BO$16:$ES$1015,CP$11,FALSE),"")</f>
        <v/>
      </c>
      <c r="CQ36" s="1433" t="str">
        <f>IFERROR(VLOOKUP(CONCATENATE($B$8,"_",$B36),Data!$BO$16:$ES$1015,CQ$11,FALSE),"")</f>
        <v/>
      </c>
      <c r="CR36" s="1433" t="str">
        <f>IFERROR(VLOOKUP(CONCATENATE($B$8,"_",$B36),Data!$BO$16:$ES$1015,CR$11,FALSE),"")</f>
        <v/>
      </c>
      <c r="CS36" s="1433" t="str">
        <f>IFERROR(VLOOKUP(CONCATENATE($B$8,"_",$B36),Data!$BO$16:$ES$1015,CS$11,FALSE),"")</f>
        <v/>
      </c>
      <c r="CT36" s="1433" t="str">
        <f>IFERROR(VLOOKUP(CONCATENATE($B$8,"_",$B36),Data!$BO$16:$ES$1015,CT$11,FALSE),"")</f>
        <v/>
      </c>
      <c r="CU36" s="1433" t="str">
        <f>IFERROR(VLOOKUP(CONCATENATE($B$8,"_",$B36),Data!$BO$16:$ES$1015,CU$11,FALSE),"")</f>
        <v/>
      </c>
      <c r="CV36" s="1433" t="str">
        <f>IFERROR(VLOOKUP(CONCATENATE($B$8,"_",$B36),Data!$BO$16:$ES$1015,CV$11,FALSE),"")</f>
        <v/>
      </c>
      <c r="CW36" s="1433" t="str">
        <f>IFERROR(VLOOKUP(CONCATENATE($B$8,"_",$B36),Data!$BO$16:$ES$1015,CW$11,FALSE),"")</f>
        <v/>
      </c>
      <c r="CX36" s="1433" t="str">
        <f>IFERROR(VLOOKUP(CONCATENATE($B$8,"_",$B36),Data!$BO$16:$ES$1015,CX$11,FALSE),"")</f>
        <v/>
      </c>
      <c r="CY36" s="1433" t="str">
        <f>IFERROR(VLOOKUP(CONCATENATE($B$8,"_",$B36),Data!$BO$16:$ES$1015,CY$11,FALSE),"")</f>
        <v/>
      </c>
      <c r="CZ36" s="1433" t="str">
        <f>IFERROR(VLOOKUP(CONCATENATE($B$8,"_",$B36),Data!$BO$16:$ES$1015,CZ$11,FALSE),"")</f>
        <v/>
      </c>
      <c r="DA36" s="1433" t="str">
        <f>IFERROR(VLOOKUP(CONCATENATE($B$8,"_",$B36),Data!$BO$16:$ES$1015,DA$11,FALSE),"")</f>
        <v/>
      </c>
      <c r="DB36" s="1433" t="str">
        <f>IFERROR(VLOOKUP(CONCATENATE($B$8,"_",$B36),Data!$BO$16:$ES$1015,DB$11,FALSE),"")</f>
        <v/>
      </c>
      <c r="DC36" s="1433" t="str">
        <f>IFERROR(VLOOKUP(CONCATENATE($B$8,"_",$B36),Data!$BO$16:$ES$1015,DC$11,FALSE),"")</f>
        <v/>
      </c>
      <c r="DD36" s="1433" t="str">
        <f>IFERROR(VLOOKUP(CONCATENATE($B$8,"_",$B36),Data!$BO$16:$ES$1015,DD$11,FALSE),"")</f>
        <v/>
      </c>
      <c r="DE36" s="1433" t="str">
        <f>IFERROR(VLOOKUP(CONCATENATE($B$8,"_",$B36),Data!$BO$16:$ES$1015,DE$11,FALSE),"")</f>
        <v/>
      </c>
      <c r="DF36" s="1433" t="str">
        <f>IFERROR(VLOOKUP(CONCATENATE($B$8,"_",$B36),Data!$BO$16:$ES$1015,DF$11,FALSE),"")</f>
        <v/>
      </c>
      <c r="DG36" s="1433" t="str">
        <f>IFERROR(VLOOKUP(CONCATENATE($B$8,"_",$B36),Data!$BO$16:$ES$1015,DG$11,FALSE),"")</f>
        <v/>
      </c>
      <c r="DH36" s="1433" t="str">
        <f>IFERROR(VLOOKUP(CONCATENATE($B$8,"_",$B36),Data!$BO$16:$ES$1015,DH$11,FALSE),"")</f>
        <v/>
      </c>
      <c r="DI36" s="1433" t="str">
        <f>IFERROR(VLOOKUP(CONCATENATE($B$8,"_",$B36),Data!$BO$16:$ES$1015,DI$11,FALSE),"")</f>
        <v/>
      </c>
      <c r="DJ36" s="1433" t="str">
        <f>IFERROR(VLOOKUP(CONCATENATE($B$8,"_",$B36),Data!$BO$16:$ES$1015,DJ$11,FALSE),"")</f>
        <v/>
      </c>
      <c r="DK36" s="1433" t="str">
        <f>IFERROR(VLOOKUP(CONCATENATE($B$8,"_",$B36),Data!$BO$16:$ES$1015,DK$11,FALSE),"")</f>
        <v/>
      </c>
      <c r="DL36" s="1435" t="str">
        <f>IFERROR(VLOOKUP(CONCATENATE($B$8,"_",$B36),Data!$BO$16:$ES$1015,DL$11,FALSE),"")</f>
        <v/>
      </c>
      <c r="DM36" s="1434" t="str">
        <f>IFERROR(VLOOKUP(CONCATENATE($B$8,"_",$B36),Data!$BO$16:$ES$1015,DM$11,FALSE),"")</f>
        <v/>
      </c>
      <c r="DN36" s="1434" t="str">
        <f>IFERROR(VLOOKUP(CONCATENATE($B$8,"_",$B36),Data!$BO$16:$ES$1015,DN$11,FALSE),"")</f>
        <v/>
      </c>
      <c r="DO36" s="1434" t="str">
        <f>IFERROR(VLOOKUP(CONCATENATE($B$8,"_",$B36),Data!$BO$16:$ES$1015,DO$11,FALSE),"")</f>
        <v/>
      </c>
      <c r="DP36" s="1434" t="str">
        <f>IFERROR(VLOOKUP(CONCATENATE($B$8,"_",$B36),Data!$BO$16:$ES$1015,DP$11,FALSE),"")</f>
        <v/>
      </c>
      <c r="DQ36" s="1434" t="str">
        <f>IFERROR(VLOOKUP(CONCATENATE($B$8,"_",$B36),Data!$BO$16:$ES$1015,DQ$11,FALSE),"")</f>
        <v/>
      </c>
      <c r="DR36" s="1434" t="str">
        <f>IFERROR(VLOOKUP(CONCATENATE($B$8,"_",$B36),Data!$BO$16:$ES$1015,DR$11,FALSE),"")</f>
        <v/>
      </c>
      <c r="DS36" s="1434" t="str">
        <f>IFERROR(VLOOKUP(CONCATENATE($B$8,"_",$B36),Data!$BO$16:$ES$1015,DS$11,FALSE),"")</f>
        <v/>
      </c>
      <c r="DT36" s="1434" t="str">
        <f>IFERROR(VLOOKUP(CONCATENATE($B$8,"_",$B36),Data!$BO$16:$ES$1015,DT$11,FALSE),"")</f>
        <v/>
      </c>
      <c r="DU36" s="1434" t="str">
        <f>IFERROR(VLOOKUP(CONCATENATE($B$8,"_",$B36),Data!$BO$16:$ES$1015,DU$11,FALSE),"")</f>
        <v/>
      </c>
      <c r="DV36" s="1434" t="str">
        <f>IFERROR(VLOOKUP(CONCATENATE($B$8,"_",$B36),Data!$BO$16:$ES$1015,DV$11,FALSE),"")</f>
        <v/>
      </c>
      <c r="DW36" s="1434" t="str">
        <f>IFERROR(VLOOKUP(CONCATENATE($B$8,"_",$B36),Data!$BO$16:$ES$1015,DW$11,FALSE),"")</f>
        <v/>
      </c>
      <c r="DX36" s="1434" t="str">
        <f>IFERROR(VLOOKUP(CONCATENATE($B$8,"_",$B36),Data!$BO$16:$ES$1015,DX$11,FALSE),"")</f>
        <v/>
      </c>
      <c r="DY36" s="1434" t="str">
        <f>IFERROR(VLOOKUP(CONCATENATE($B$8,"_",$B36),Data!$BO$16:$ES$1015,DY$11,FALSE),"")</f>
        <v/>
      </c>
      <c r="DZ36" s="1434" t="str">
        <f>IFERROR(VLOOKUP(CONCATENATE($B$8,"_",$B36),Data!$BO$16:$ES$1015,DZ$11,FALSE),"")</f>
        <v/>
      </c>
      <c r="EA36" s="1434" t="str">
        <f>IFERROR(VLOOKUP(CONCATENATE($B$8,"_",$B36),Data!$BO$16:$ES$1015,EA$11,FALSE),"")</f>
        <v/>
      </c>
      <c r="EB36" s="1434" t="str">
        <f>IFERROR(VLOOKUP(CONCATENATE($B$8,"_",$B36),Data!$BO$16:$ES$1015,EB$11,FALSE),"")</f>
        <v/>
      </c>
      <c r="EC36" s="1434" t="str">
        <f>IFERROR(VLOOKUP(CONCATENATE($B$8,"_",$B36),Data!$BO$16:$ES$1015,EC$11,FALSE),"")</f>
        <v/>
      </c>
      <c r="ED36" s="1434" t="str">
        <f>IFERROR(VLOOKUP(CONCATENATE($B$8,"_",$B36),Data!$BO$16:$ES$1015,ED$11,FALSE),"")</f>
        <v/>
      </c>
      <c r="EE36" s="1434" t="str">
        <f>IFERROR(VLOOKUP(CONCATENATE($B$8,"_",$B36),Data!$BO$16:$ES$1015,EE$11,FALSE),"")</f>
        <v/>
      </c>
      <c r="EF36" s="1434" t="str">
        <f>IFERROR(VLOOKUP(CONCATENATE($B$8,"_",$B36),Data!$BO$16:$ES$1015,EF$11,FALSE),"")</f>
        <v/>
      </c>
      <c r="EG36" s="1434" t="str">
        <f>IFERROR(VLOOKUP(CONCATENATE($B$8,"_",$B36),Data!$BO$16:$ES$1015,EG$11,FALSE),"")</f>
        <v/>
      </c>
      <c r="EH36" s="1434" t="str">
        <f>IFERROR(VLOOKUP(CONCATENATE($B$8,"_",$B36),Data!$BO$16:$ES$1015,EH$11,FALSE),"")</f>
        <v/>
      </c>
      <c r="EI36" s="1434" t="str">
        <f>IFERROR(VLOOKUP(CONCATENATE($B$8,"_",$B36),Data!$BO$16:$ES$1015,EI$11,FALSE),"")</f>
        <v/>
      </c>
    </row>
    <row r="37" spans="1:141" s="1441" customFormat="1" ht="15" customHeight="1">
      <c r="A37" s="1438">
        <v>24</v>
      </c>
      <c r="B37" s="1738">
        <f>IF($B$13+A37&lt;=Progress!$D$18,$B$13+A37,"")</f>
        <v>2024</v>
      </c>
      <c r="C37" s="1737" t="str">
        <f>IFERROR(VLOOKUP(CONCATENATE($B$8,"_",$B37),Data!$H$16:$BN$1015,C$11,FALSE),"")</f>
        <v/>
      </c>
      <c r="D37" s="1428" t="str">
        <f>IFERROR(VLOOKUP(CONCATENATE($B$8,"_",$B37),Data!$H$16:$BN$1015,D$11,FALSE),"")</f>
        <v/>
      </c>
      <c r="E37" s="1429" t="str">
        <f>IFERROR(VLOOKUP(CONCATENATE($B$8,"_",$B37),Data!$H$16:$BN$1015,E$11,FALSE),"")</f>
        <v/>
      </c>
      <c r="F37" s="1428" t="str">
        <f>IFERROR(VLOOKUP(CONCATENATE($B$8,"_",$B37),Data!$H$16:$BN$1015,F$11,FALSE),"")</f>
        <v/>
      </c>
      <c r="G37" s="1428" t="str">
        <f>IFERROR(VLOOKUP(CONCATENATE($B$8,"_",$B37),Data!$H$16:$BN$1015,G$11,FALSE),"")</f>
        <v/>
      </c>
      <c r="H37" s="1429" t="str">
        <f>IFERROR(VLOOKUP(CONCATENATE($B$8,"_",$B37),Data!$H$16:$BN$1015,H$11,FALSE),"")</f>
        <v/>
      </c>
      <c r="I37" s="1428" t="str">
        <f>IFERROR(VLOOKUP(CONCATENATE($B$8,"_",$B37),Data!$H$16:$BN$1015,I$11,FALSE),"")</f>
        <v/>
      </c>
      <c r="J37" s="1428" t="str">
        <f>IFERROR(VLOOKUP(CONCATENATE($B$8,"_",$B37),Data!$H$16:$BN$1015,J$11,FALSE),"")</f>
        <v/>
      </c>
      <c r="K37" s="1429" t="str">
        <f>IFERROR(VLOOKUP(CONCATENATE($B$8,"_",$B37),Data!$H$16:$BN$1015,K$11,FALSE),"")</f>
        <v/>
      </c>
      <c r="L37" s="1428" t="str">
        <f>IFERROR(VLOOKUP(CONCATENATE($B$8,"_",$B37),Data!$H$16:$BN$1015,L$11,FALSE),"")</f>
        <v/>
      </c>
      <c r="M37" s="1428" t="str">
        <f>IFERROR(VLOOKUP(CONCATENATE($B$8,"_",$B37),Data!$H$16:$BN$1015,M$11,FALSE),"")</f>
        <v/>
      </c>
      <c r="N37" s="1429" t="str">
        <f>IFERROR(VLOOKUP(CONCATENATE($B$8,"_",$B37),Data!$H$16:$BN$1015,N$11,FALSE),"")</f>
        <v/>
      </c>
      <c r="O37" s="1430" t="str">
        <f>IFERROR(VLOOKUP(CONCATENATE($B$8,"_",$B37),Data!$H$16:$BN$1015,O$11,FALSE),"")</f>
        <v/>
      </c>
      <c r="P37" s="1428" t="str">
        <f>IFERROR(VLOOKUP(CONCATENATE($B$8,"_",$B37),Data!$H$16:$BN$1015,P$11,FALSE),"")</f>
        <v/>
      </c>
      <c r="Q37" s="1428" t="str">
        <f>IFERROR(VLOOKUP(CONCATENATE($B$8,"_",$B37),Data!$H$16:$BN$1015,Q$11,FALSE),"")</f>
        <v/>
      </c>
      <c r="R37" s="1429" t="str">
        <f>IFERROR(VLOOKUP(CONCATENATE($B$8,"_",$B37),Data!$H$16:$BN$1015,R$11,FALSE),"")</f>
        <v/>
      </c>
      <c r="S37" s="1428" t="str">
        <f>IFERROR(VLOOKUP(CONCATENATE($B$8,"_",$B37),Data!$H$16:$BN$1015,S$11,FALSE),"")</f>
        <v/>
      </c>
      <c r="T37" s="1428" t="str">
        <f>IFERROR(VLOOKUP(CONCATENATE($B$8,"_",$B37),Data!$H$16:$BN$1015,T$11,FALSE),"")</f>
        <v/>
      </c>
      <c r="U37" s="1429" t="str">
        <f>IFERROR(VLOOKUP(CONCATENATE($B$8,"_",$B37),Data!$H$16:$BN$1015,U$11,FALSE),"")</f>
        <v/>
      </c>
      <c r="V37" s="1428" t="str">
        <f>IFERROR(VLOOKUP(CONCATENATE($B$8,"_",$B37),Data!$H$16:$BN$1015,V$11,FALSE),"")</f>
        <v/>
      </c>
      <c r="W37" s="1428" t="str">
        <f>IFERROR(VLOOKUP(CONCATENATE($B$8,"_",$B37),Data!$H$16:$BN$1015,W$11,FALSE),"")</f>
        <v/>
      </c>
      <c r="X37" s="1428" t="str">
        <f>IFERROR(VLOOKUP(CONCATENATE($B$8,"_",$B37),Data!$H$16:$BN$1015,X$11,FALSE),"")</f>
        <v/>
      </c>
      <c r="Y37" s="1428" t="str">
        <f>IFERROR(VLOOKUP(CONCATENATE($B$8,"_",$B37),Data!$H$16:$BN$1015,Y$11,FALSE),"")</f>
        <v/>
      </c>
      <c r="Z37" s="1429" t="str">
        <f>IFERROR(VLOOKUP(CONCATENATE($B$8,"_",$B37),Data!$H$16:$BN$1015,Z$11,FALSE),"")</f>
        <v/>
      </c>
      <c r="AA37" s="1428" t="str">
        <f>IFERROR(VLOOKUP(CONCATENATE($B$8,"_",$B37),Data!$H$16:$BN$1015,AA$11,FALSE),"")</f>
        <v/>
      </c>
      <c r="AB37" s="1428" t="str">
        <f>IFERROR(VLOOKUP(CONCATENATE($B$8,"_",$B37),Data!$H$16:$BN$1015,AB$11,FALSE),"")</f>
        <v/>
      </c>
      <c r="AC37" s="1429" t="str">
        <f>IFERROR(VLOOKUP(CONCATENATE($B$8,"_",$B37),Data!$H$16:$BN$1015,AC$11,FALSE),"")</f>
        <v/>
      </c>
      <c r="AD37" s="1428" t="str">
        <f>IFERROR(VLOOKUP(CONCATENATE($B$8,"_",$B37),Data!$H$16:$BN$1015,AD$11,FALSE),"")</f>
        <v/>
      </c>
      <c r="AE37" s="1428" t="str">
        <f>IFERROR(VLOOKUP(CONCATENATE($B$8,"_",$B37),Data!$H$16:$BN$1015,AE$11,FALSE),"")</f>
        <v/>
      </c>
      <c r="AF37" s="1429" t="str">
        <f>IFERROR(VLOOKUP(CONCATENATE($B$8,"_",$B37),Data!$H$16:$BN$1015,AF$11,FALSE),"")</f>
        <v/>
      </c>
      <c r="AG37" s="1428" t="str">
        <f>IFERROR(VLOOKUP(CONCATENATE($B$8,"_",$B37),Data!$H$16:$BN$1015,AG$11,FALSE),"")</f>
        <v/>
      </c>
      <c r="AH37" s="1428" t="str">
        <f>IFERROR(VLOOKUP(CONCATENATE($B$8,"_",$B37),Data!$H$16:$BN$1015,AH$11,FALSE),"")</f>
        <v/>
      </c>
      <c r="AI37" s="1429" t="str">
        <f>IFERROR(VLOOKUP(CONCATENATE($B$8,"_",$B37),Data!$H$16:$BN$1015,AI$11,FALSE),"")</f>
        <v/>
      </c>
      <c r="AJ37" s="1428" t="str">
        <f>IFERROR(VLOOKUP(CONCATENATE($B$8,"_",$B37),Data!$H$16:$BN$1015,AJ$11,FALSE),"")</f>
        <v/>
      </c>
      <c r="AK37" s="1428" t="str">
        <f>IFERROR(VLOOKUP(CONCATENATE($B$8,"_",$B37),Data!$H$16:$BN$1015,AK$11,FALSE),"")</f>
        <v/>
      </c>
      <c r="AL37" s="1429" t="str">
        <f>IFERROR(VLOOKUP(CONCATENATE($B$8,"_",$B37),Data!$H$16:$BN$1015,AL$11,FALSE),"")</f>
        <v/>
      </c>
      <c r="AM37" s="1428" t="str">
        <f>IFERROR(VLOOKUP(CONCATENATE($B$8,"_",$B37),Data!$H$16:$BN$1015,AM$11,FALSE),"")</f>
        <v/>
      </c>
      <c r="AN37" s="1428" t="str">
        <f>IFERROR(VLOOKUP(CONCATENATE($B$8,"_",$B37),Data!$H$16:$BN$1015,AN$11,FALSE),"")</f>
        <v/>
      </c>
      <c r="AO37" s="1430" t="str">
        <f>IFERROR(VLOOKUP(CONCATENATE($B$8,"_",$B37),Data!$H$16:$BN$1015,AO$11,FALSE),"")</f>
        <v/>
      </c>
      <c r="AP37" s="1428" t="str">
        <f>IFERROR(VLOOKUP(CONCATENATE($B$8,"_",$B37),Data!$H$16:$BN$1015,AP$11,FALSE),"")</f>
        <v/>
      </c>
      <c r="AQ37" s="1428" t="str">
        <f>IFERROR(VLOOKUP(CONCATENATE($B$8,"_",$B37),Data!$H$16:$BN$1015,AQ$11,FALSE),"")</f>
        <v/>
      </c>
      <c r="AR37" s="1430" t="str">
        <f>IFERROR(VLOOKUP(CONCATENATE($B$8,"_",$B37),Data!$H$16:$BN$1015,AR$11,FALSE),"")</f>
        <v/>
      </c>
      <c r="AS37" s="1428" t="str">
        <f>IFERROR(VLOOKUP(CONCATENATE($B$8,"_",$B37),Data!$H$16:$BN$1015,AS$11,FALSE),"")</f>
        <v/>
      </c>
      <c r="AT37" s="1428" t="str">
        <f>IFERROR(VLOOKUP(CONCATENATE($B$8,"_",$B37),Data!$H$16:$BN$1015,AT$11,FALSE),"")</f>
        <v/>
      </c>
      <c r="AU37" s="1430" t="str">
        <f>IFERROR(VLOOKUP(CONCATENATE($B$8,"_",$B37),Data!$H$16:$BN$1015,AU$11,FALSE),"")</f>
        <v/>
      </c>
      <c r="AV37" s="1428" t="str">
        <f>IFERROR(VLOOKUP(CONCATENATE($B$8,"_",$B37),Data!$H$16:$BN$1015,AV$11,FALSE),"")</f>
        <v/>
      </c>
      <c r="AW37" s="1428" t="str">
        <f>IFERROR(VLOOKUP(CONCATENATE($B$8,"_",$B37),Data!$H$16:$BN$1015,AW$11,FALSE),"")</f>
        <v/>
      </c>
      <c r="AX37" s="1430" t="str">
        <f>IFERROR(VLOOKUP(CONCATENATE($B$8,"_",$B37),Data!$H$16:$BN$1015,AX$11,FALSE),"")</f>
        <v/>
      </c>
      <c r="AY37" s="1429" t="str">
        <f>IFERROR(VLOOKUP(CONCATENATE($B$8,"_",$B37),Data!$H$16:$BN$1015,AY$11,FALSE),"")</f>
        <v/>
      </c>
      <c r="AZ37" s="1429" t="str">
        <f>IFERROR(VLOOKUP(CONCATENATE($B$8,"_",$B37),Data!$H$16:$BN$1015,AZ$11,FALSE),"")</f>
        <v/>
      </c>
      <c r="BA37" s="1429" t="str">
        <f>IFERROR(VLOOKUP(CONCATENATE($B$8,"_",$B37),Data!$H$16:$BN$1015,BA$11,FALSE),"")</f>
        <v/>
      </c>
      <c r="BB37" s="1429" t="str">
        <f>IFERROR(VLOOKUP(CONCATENATE($B$8,"_",$B37),Data!$H$16:$BN$1015,BB$11,FALSE),"")</f>
        <v/>
      </c>
      <c r="BC37" s="1429" t="str">
        <f>IFERROR(VLOOKUP(CONCATENATE($B$8,"_",$B37),Data!$H$16:$BN$1015,BC$11,FALSE),"")</f>
        <v/>
      </c>
      <c r="BD37" s="1431" t="str">
        <f>IFERROR(VLOOKUP(CONCATENATE($B$8,"_",$B37),Data!$H$16:$BN$1015,BD$11,FALSE),"")</f>
        <v/>
      </c>
      <c r="BE37" s="1439">
        <f t="shared" si="0"/>
        <v>2024</v>
      </c>
      <c r="BF37" s="1428" t="str">
        <f>IFERROR(VLOOKUP(CONCATENATE($B$8,"_",$B37),Data!$BO$16:$ES$1015,BF$11,FALSE),"")</f>
        <v/>
      </c>
      <c r="BG37" s="1433" t="str">
        <f>IFERROR(VLOOKUP(CONCATENATE($B$8,"_",$B37),Data!$BO$16:$ES$1015,BG$11,FALSE),"")</f>
        <v/>
      </c>
      <c r="BH37" s="1435" t="str">
        <f>IFERROR(VLOOKUP(CONCATENATE($B$8,"_",$B37),Data!$BO$16:$ES$1015,BH$11,FALSE),"")</f>
        <v/>
      </c>
      <c r="BI37" s="1434" t="str">
        <f>IFERROR(VLOOKUP(CONCATENATE($B$8,"_",$B37),Data!$BO$16:$ES$1015,BI$11,FALSE),"")</f>
        <v/>
      </c>
      <c r="BJ37" s="1428" t="str">
        <f>IFERROR(VLOOKUP(CONCATENATE($B$8,"_",$B37),Data!$BO$16:$ES$1015,BJ$11,FALSE),"")</f>
        <v/>
      </c>
      <c r="BK37" s="1428" t="str">
        <f>IFERROR(VLOOKUP(CONCATENATE($B$8,"_",$B37),Data!$BO$16:$ES$1015,BK$11,FALSE),"")</f>
        <v/>
      </c>
      <c r="BL37" s="1428" t="str">
        <f>IFERROR(VLOOKUP(CONCATENATE($B$8,"_",$B37),Data!$BO$16:$ES$1015,BL$11,FALSE),"")</f>
        <v/>
      </c>
      <c r="BM37" s="1433" t="str">
        <f>IFERROR(VLOOKUP(CONCATENATE($B$8,"_",$B37),Data!$BO$16:$ES$1015,BM$11,FALSE),"")</f>
        <v/>
      </c>
      <c r="BN37" s="1433" t="str">
        <f>IFERROR(VLOOKUP(CONCATENATE($B$8,"_",$B37),Data!$BO$16:$ES$1015,BN$11,FALSE),"")</f>
        <v/>
      </c>
      <c r="BO37" s="1433" t="str">
        <f>IFERROR(VLOOKUP(CONCATENATE($B$8,"_",$B37),Data!$BO$16:$ES$1015,BO$11,FALSE),"")</f>
        <v/>
      </c>
      <c r="BP37" s="1433" t="str">
        <f>IFERROR(VLOOKUP(CONCATENATE($B$8,"_",$B37),Data!$BO$16:$ES$1015,BP$11,FALSE),"")</f>
        <v/>
      </c>
      <c r="BQ37" s="1433" t="str">
        <f>IFERROR(VLOOKUP(CONCATENATE($B$8,"_",$B37),Data!$BO$16:$ES$1015,BQ$11,FALSE),"")</f>
        <v/>
      </c>
      <c r="BR37" s="1434" t="str">
        <f>IFERROR(VLOOKUP(CONCATENATE($B$8,"_",$B37),Data!$BO$16:$ES$1015,BR$11,FALSE),"")</f>
        <v/>
      </c>
      <c r="BS37" s="1434" t="str">
        <f>IFERROR(VLOOKUP(CONCATENATE($B$8,"_",$B37),Data!$BO$16:$ES$1015,BS$11,FALSE),"")</f>
        <v/>
      </c>
      <c r="BT37" s="1434" t="str">
        <f>IFERROR(VLOOKUP(CONCATENATE($B$8,"_",$B37),Data!$BO$16:$ES$1015,BT$11,FALSE),"")</f>
        <v/>
      </c>
      <c r="BU37" s="1434" t="str">
        <f>IFERROR(VLOOKUP(CONCATENATE($B$8,"_",$B37),Data!$BO$16:$ES$1015,BU$11,FALSE),"")</f>
        <v/>
      </c>
      <c r="BV37" s="1434" t="str">
        <f>IFERROR(VLOOKUP(CONCATENATE($B$8,"_",$B37),Data!$BO$16:$ES$1015,BV$11,FALSE),"")</f>
        <v/>
      </c>
      <c r="BW37" s="1434" t="str">
        <f>IFERROR(VLOOKUP(CONCATENATE($B$8,"_",$B37),Data!$BO$16:$ES$1015,BW$11,FALSE),"")</f>
        <v/>
      </c>
      <c r="BX37" s="1434" t="str">
        <f>IFERROR(VLOOKUP(CONCATENATE($B$8,"_",$B37),Data!$BO$16:$ES$1015,BX$11,FALSE),"")</f>
        <v/>
      </c>
      <c r="BY37" s="1428" t="str">
        <f>IFERROR(VLOOKUP(CONCATENATE($B$8,"_",$B37),Data!$BO$16:$ES$1015,BY$11,FALSE),"")</f>
        <v/>
      </c>
      <c r="BZ37" s="1428" t="str">
        <f>IFERROR(VLOOKUP(CONCATENATE($B$8,"_",$B37),Data!$BO$16:$ES$1015,BZ$11,FALSE),"")</f>
        <v/>
      </c>
      <c r="CA37" s="1428" t="str">
        <f>IFERROR(VLOOKUP(CONCATENATE($B$8,"_",$B37),Data!$BO$16:$ES$1015,CA$11,FALSE),"")</f>
        <v/>
      </c>
      <c r="CB37" s="1428" t="str">
        <f>IFERROR(VLOOKUP(CONCATENATE($B$8,"_",$B37),Data!$BO$16:$ES$1015,CB$11,FALSE),"")</f>
        <v/>
      </c>
      <c r="CC37" s="1428" t="str">
        <f>IFERROR(VLOOKUP(CONCATENATE($B$8,"_",$B37),Data!$BO$16:$ES$1015,CC$11,FALSE),"")</f>
        <v/>
      </c>
      <c r="CD37" s="1428" t="str">
        <f>IFERROR(VLOOKUP(CONCATENATE($B$8,"_",$B37),Data!$BO$16:$ES$1015,CD$11,FALSE),"")</f>
        <v/>
      </c>
      <c r="CE37" s="1428" t="str">
        <f>IFERROR(VLOOKUP(CONCATENATE($B$8,"_",$B37),Data!$BO$16:$ES$1015,CE$11,FALSE),"")</f>
        <v/>
      </c>
      <c r="CF37" s="1428" t="str">
        <f>IFERROR(VLOOKUP(CONCATENATE($B$8,"_",$B37),Data!$BO$16:$ES$1015,CF$11,FALSE),"")</f>
        <v/>
      </c>
      <c r="CG37" s="1428" t="str">
        <f>IFERROR(VLOOKUP(CONCATENATE($B$8,"_",$B37),Data!$BO$16:$ES$1015,CG$11,FALSE),"")</f>
        <v/>
      </c>
      <c r="CH37" s="1428" t="str">
        <f>IFERROR(VLOOKUP(CONCATENATE($B$8,"_",$B37),Data!$BO$16:$ES$1015,CH$11,FALSE),"")</f>
        <v/>
      </c>
      <c r="CI37" s="1428" t="str">
        <f>IFERROR(VLOOKUP(CONCATENATE($B$8,"_",$B37),Data!$BO$16:$ES$1015,CI$11,FALSE),"")</f>
        <v/>
      </c>
      <c r="CJ37" s="1428" t="str">
        <f>IFERROR(VLOOKUP(CONCATENATE($B$8,"_",$B37),Data!$BO$16:$ES$1015,CJ$11,FALSE),"")</f>
        <v/>
      </c>
      <c r="CK37" s="1428" t="str">
        <f>IFERROR(VLOOKUP(CONCATENATE($B$8,"_",$B37),Data!$BO$16:$ES$1015,CK$11,FALSE),"")</f>
        <v/>
      </c>
      <c r="CL37" s="1428" t="str">
        <f>IFERROR(VLOOKUP(CONCATENATE($B$8,"_",$B37),Data!$BO$16:$ES$1015,CL$11,FALSE),"")</f>
        <v/>
      </c>
      <c r="CM37" s="1428" t="str">
        <f>IFERROR(VLOOKUP(CONCATENATE($B$8,"_",$B37),Data!$BO$16:$ES$1015,CM$11,FALSE),"")</f>
        <v/>
      </c>
      <c r="CN37" s="1428" t="str">
        <f>IFERROR(VLOOKUP(CONCATENATE($B$8,"_",$B37),Data!$BO$16:$ES$1015,CN$11,FALSE),"")</f>
        <v/>
      </c>
      <c r="CO37" s="1428" t="str">
        <f>IFERROR(VLOOKUP(CONCATENATE($B$8,"_",$B37),Data!$BO$16:$ES$1015,CO$11,FALSE),"")</f>
        <v/>
      </c>
      <c r="CP37" s="1433" t="str">
        <f>IFERROR(VLOOKUP(CONCATENATE($B$8,"_",$B37),Data!$BO$16:$ES$1015,CP$11,FALSE),"")</f>
        <v/>
      </c>
      <c r="CQ37" s="1433" t="str">
        <f>IFERROR(VLOOKUP(CONCATENATE($B$8,"_",$B37),Data!$BO$16:$ES$1015,CQ$11,FALSE),"")</f>
        <v/>
      </c>
      <c r="CR37" s="1433" t="str">
        <f>IFERROR(VLOOKUP(CONCATENATE($B$8,"_",$B37),Data!$BO$16:$ES$1015,CR$11,FALSE),"")</f>
        <v/>
      </c>
      <c r="CS37" s="1433" t="str">
        <f>IFERROR(VLOOKUP(CONCATENATE($B$8,"_",$B37),Data!$BO$16:$ES$1015,CS$11,FALSE),"")</f>
        <v/>
      </c>
      <c r="CT37" s="1433" t="str">
        <f>IFERROR(VLOOKUP(CONCATENATE($B$8,"_",$B37),Data!$BO$16:$ES$1015,CT$11,FALSE),"")</f>
        <v/>
      </c>
      <c r="CU37" s="1433" t="str">
        <f>IFERROR(VLOOKUP(CONCATENATE($B$8,"_",$B37),Data!$BO$16:$ES$1015,CU$11,FALSE),"")</f>
        <v/>
      </c>
      <c r="CV37" s="1433" t="str">
        <f>IFERROR(VLOOKUP(CONCATENATE($B$8,"_",$B37),Data!$BO$16:$ES$1015,CV$11,FALSE),"")</f>
        <v/>
      </c>
      <c r="CW37" s="1433" t="str">
        <f>IFERROR(VLOOKUP(CONCATENATE($B$8,"_",$B37),Data!$BO$16:$ES$1015,CW$11,FALSE),"")</f>
        <v/>
      </c>
      <c r="CX37" s="1433" t="str">
        <f>IFERROR(VLOOKUP(CONCATENATE($B$8,"_",$B37),Data!$BO$16:$ES$1015,CX$11,FALSE),"")</f>
        <v/>
      </c>
      <c r="CY37" s="1433" t="str">
        <f>IFERROR(VLOOKUP(CONCATENATE($B$8,"_",$B37),Data!$BO$16:$ES$1015,CY$11,FALSE),"")</f>
        <v/>
      </c>
      <c r="CZ37" s="1433" t="str">
        <f>IFERROR(VLOOKUP(CONCATENATE($B$8,"_",$B37),Data!$BO$16:$ES$1015,CZ$11,FALSE),"")</f>
        <v/>
      </c>
      <c r="DA37" s="1433" t="str">
        <f>IFERROR(VLOOKUP(CONCATENATE($B$8,"_",$B37),Data!$BO$16:$ES$1015,DA$11,FALSE),"")</f>
        <v/>
      </c>
      <c r="DB37" s="1433" t="str">
        <f>IFERROR(VLOOKUP(CONCATENATE($B$8,"_",$B37),Data!$BO$16:$ES$1015,DB$11,FALSE),"")</f>
        <v/>
      </c>
      <c r="DC37" s="1433" t="str">
        <f>IFERROR(VLOOKUP(CONCATENATE($B$8,"_",$B37),Data!$BO$16:$ES$1015,DC$11,FALSE),"")</f>
        <v/>
      </c>
      <c r="DD37" s="1433" t="str">
        <f>IFERROR(VLOOKUP(CONCATENATE($B$8,"_",$B37),Data!$BO$16:$ES$1015,DD$11,FALSE),"")</f>
        <v/>
      </c>
      <c r="DE37" s="1433" t="str">
        <f>IFERROR(VLOOKUP(CONCATENATE($B$8,"_",$B37),Data!$BO$16:$ES$1015,DE$11,FALSE),"")</f>
        <v/>
      </c>
      <c r="DF37" s="1433" t="str">
        <f>IFERROR(VLOOKUP(CONCATENATE($B$8,"_",$B37),Data!$BO$16:$ES$1015,DF$11,FALSE),"")</f>
        <v/>
      </c>
      <c r="DG37" s="1433" t="str">
        <f>IFERROR(VLOOKUP(CONCATENATE($B$8,"_",$B37),Data!$BO$16:$ES$1015,DG$11,FALSE),"")</f>
        <v/>
      </c>
      <c r="DH37" s="1433" t="str">
        <f>IFERROR(VLOOKUP(CONCATENATE($B$8,"_",$B37),Data!$BO$16:$ES$1015,DH$11,FALSE),"")</f>
        <v/>
      </c>
      <c r="DI37" s="1433" t="str">
        <f>IFERROR(VLOOKUP(CONCATENATE($B$8,"_",$B37),Data!$BO$16:$ES$1015,DI$11,FALSE),"")</f>
        <v/>
      </c>
      <c r="DJ37" s="1433" t="str">
        <f>IFERROR(VLOOKUP(CONCATENATE($B$8,"_",$B37),Data!$BO$16:$ES$1015,DJ$11,FALSE),"")</f>
        <v/>
      </c>
      <c r="DK37" s="1433" t="str">
        <f>IFERROR(VLOOKUP(CONCATENATE($B$8,"_",$B37),Data!$BO$16:$ES$1015,DK$11,FALSE),"")</f>
        <v/>
      </c>
      <c r="DL37" s="1435" t="str">
        <f>IFERROR(VLOOKUP(CONCATENATE($B$8,"_",$B37),Data!$BO$16:$ES$1015,DL$11,FALSE),"")</f>
        <v/>
      </c>
      <c r="DM37" s="1434" t="str">
        <f>IFERROR(VLOOKUP(CONCATENATE($B$8,"_",$B37),Data!$BO$16:$ES$1015,DM$11,FALSE),"")</f>
        <v/>
      </c>
      <c r="DN37" s="1434" t="str">
        <f>IFERROR(VLOOKUP(CONCATENATE($B$8,"_",$B37),Data!$BO$16:$ES$1015,DN$11,FALSE),"")</f>
        <v/>
      </c>
      <c r="DO37" s="1434" t="str">
        <f>IFERROR(VLOOKUP(CONCATENATE($B$8,"_",$B37),Data!$BO$16:$ES$1015,DO$11,FALSE),"")</f>
        <v/>
      </c>
      <c r="DP37" s="1434" t="str">
        <f>IFERROR(VLOOKUP(CONCATENATE($B$8,"_",$B37),Data!$BO$16:$ES$1015,DP$11,FALSE),"")</f>
        <v/>
      </c>
      <c r="DQ37" s="1434" t="str">
        <f>IFERROR(VLOOKUP(CONCATENATE($B$8,"_",$B37),Data!$BO$16:$ES$1015,DQ$11,FALSE),"")</f>
        <v/>
      </c>
      <c r="DR37" s="1434" t="str">
        <f>IFERROR(VLOOKUP(CONCATENATE($B$8,"_",$B37),Data!$BO$16:$ES$1015,DR$11,FALSE),"")</f>
        <v/>
      </c>
      <c r="DS37" s="1434" t="str">
        <f>IFERROR(VLOOKUP(CONCATENATE($B$8,"_",$B37),Data!$BO$16:$ES$1015,DS$11,FALSE),"")</f>
        <v/>
      </c>
      <c r="DT37" s="1434" t="str">
        <f>IFERROR(VLOOKUP(CONCATENATE($B$8,"_",$B37),Data!$BO$16:$ES$1015,DT$11,FALSE),"")</f>
        <v/>
      </c>
      <c r="DU37" s="1434" t="str">
        <f>IFERROR(VLOOKUP(CONCATENATE($B$8,"_",$B37),Data!$BO$16:$ES$1015,DU$11,FALSE),"")</f>
        <v/>
      </c>
      <c r="DV37" s="1434" t="str">
        <f>IFERROR(VLOOKUP(CONCATENATE($B$8,"_",$B37),Data!$BO$16:$ES$1015,DV$11,FALSE),"")</f>
        <v/>
      </c>
      <c r="DW37" s="1434" t="str">
        <f>IFERROR(VLOOKUP(CONCATENATE($B$8,"_",$B37),Data!$BO$16:$ES$1015,DW$11,FALSE),"")</f>
        <v/>
      </c>
      <c r="DX37" s="1434" t="str">
        <f>IFERROR(VLOOKUP(CONCATENATE($B$8,"_",$B37),Data!$BO$16:$ES$1015,DX$11,FALSE),"")</f>
        <v/>
      </c>
      <c r="DY37" s="1434" t="str">
        <f>IFERROR(VLOOKUP(CONCATENATE($B$8,"_",$B37),Data!$BO$16:$ES$1015,DY$11,FALSE),"")</f>
        <v/>
      </c>
      <c r="DZ37" s="1434" t="str">
        <f>IFERROR(VLOOKUP(CONCATENATE($B$8,"_",$B37),Data!$BO$16:$ES$1015,DZ$11,FALSE),"")</f>
        <v/>
      </c>
      <c r="EA37" s="1434" t="str">
        <f>IFERROR(VLOOKUP(CONCATENATE($B$8,"_",$B37),Data!$BO$16:$ES$1015,EA$11,FALSE),"")</f>
        <v/>
      </c>
      <c r="EB37" s="1434" t="str">
        <f>IFERROR(VLOOKUP(CONCATENATE($B$8,"_",$B37),Data!$BO$16:$ES$1015,EB$11,FALSE),"")</f>
        <v/>
      </c>
      <c r="EC37" s="1434" t="str">
        <f>IFERROR(VLOOKUP(CONCATENATE($B$8,"_",$B37),Data!$BO$16:$ES$1015,EC$11,FALSE),"")</f>
        <v/>
      </c>
      <c r="ED37" s="1434" t="str">
        <f>IFERROR(VLOOKUP(CONCATENATE($B$8,"_",$B37),Data!$BO$16:$ES$1015,ED$11,FALSE),"")</f>
        <v/>
      </c>
      <c r="EE37" s="1434" t="str">
        <f>IFERROR(VLOOKUP(CONCATENATE($B$8,"_",$B37),Data!$BO$16:$ES$1015,EE$11,FALSE),"")</f>
        <v/>
      </c>
      <c r="EF37" s="1434" t="str">
        <f>IFERROR(VLOOKUP(CONCATENATE($B$8,"_",$B37),Data!$BO$16:$ES$1015,EF$11,FALSE),"")</f>
        <v/>
      </c>
      <c r="EG37" s="1434" t="str">
        <f>IFERROR(VLOOKUP(CONCATENATE($B$8,"_",$B37),Data!$BO$16:$ES$1015,EG$11,FALSE),"")</f>
        <v/>
      </c>
      <c r="EH37" s="1434" t="str">
        <f>IFERROR(VLOOKUP(CONCATENATE($B$8,"_",$B37),Data!$BO$16:$ES$1015,EH$11,FALSE),"")</f>
        <v/>
      </c>
      <c r="EI37" s="1434" t="str">
        <f>IFERROR(VLOOKUP(CONCATENATE($B$8,"_",$B37),Data!$BO$16:$ES$1015,EI$11,FALSE),"")</f>
        <v/>
      </c>
    </row>
    <row r="38" spans="1:141" s="1441" customFormat="1" ht="15" customHeight="1">
      <c r="A38" s="1438">
        <v>25</v>
      </c>
      <c r="B38" s="1738">
        <f>IF($B$13+A38&lt;=Progress!$D$18,$B$13+A38,"")</f>
        <v>2025</v>
      </c>
      <c r="C38" s="1737" t="str">
        <f>IFERROR(VLOOKUP(CONCATENATE($B$8,"_",$B38),Data!$H$16:$BN$1015,C$11,FALSE),"")</f>
        <v/>
      </c>
      <c r="D38" s="1428" t="str">
        <f>IFERROR(VLOOKUP(CONCATENATE($B$8,"_",$B38),Data!$H$16:$BN$1015,D$11,FALSE),"")</f>
        <v/>
      </c>
      <c r="E38" s="1429" t="str">
        <f>IFERROR(VLOOKUP(CONCATENATE($B$8,"_",$B38),Data!$H$16:$BN$1015,E$11,FALSE),"")</f>
        <v/>
      </c>
      <c r="F38" s="1428" t="str">
        <f>IFERROR(VLOOKUP(CONCATENATE($B$8,"_",$B38),Data!$H$16:$BN$1015,F$11,FALSE),"")</f>
        <v/>
      </c>
      <c r="G38" s="1428" t="str">
        <f>IFERROR(VLOOKUP(CONCATENATE($B$8,"_",$B38),Data!$H$16:$BN$1015,G$11,FALSE),"")</f>
        <v/>
      </c>
      <c r="H38" s="1429" t="str">
        <f>IFERROR(VLOOKUP(CONCATENATE($B$8,"_",$B38),Data!$H$16:$BN$1015,H$11,FALSE),"")</f>
        <v/>
      </c>
      <c r="I38" s="1428" t="str">
        <f>IFERROR(VLOOKUP(CONCATENATE($B$8,"_",$B38),Data!$H$16:$BN$1015,I$11,FALSE),"")</f>
        <v/>
      </c>
      <c r="J38" s="1428" t="str">
        <f>IFERROR(VLOOKUP(CONCATENATE($B$8,"_",$B38),Data!$H$16:$BN$1015,J$11,FALSE),"")</f>
        <v/>
      </c>
      <c r="K38" s="1429" t="str">
        <f>IFERROR(VLOOKUP(CONCATENATE($B$8,"_",$B38),Data!$H$16:$BN$1015,K$11,FALSE),"")</f>
        <v/>
      </c>
      <c r="L38" s="1428" t="str">
        <f>IFERROR(VLOOKUP(CONCATENATE($B$8,"_",$B38),Data!$H$16:$BN$1015,L$11,FALSE),"")</f>
        <v/>
      </c>
      <c r="M38" s="1428" t="str">
        <f>IFERROR(VLOOKUP(CONCATENATE($B$8,"_",$B38),Data!$H$16:$BN$1015,M$11,FALSE),"")</f>
        <v/>
      </c>
      <c r="N38" s="1429" t="str">
        <f>IFERROR(VLOOKUP(CONCATENATE($B$8,"_",$B38),Data!$H$16:$BN$1015,N$11,FALSE),"")</f>
        <v/>
      </c>
      <c r="O38" s="1430" t="str">
        <f>IFERROR(VLOOKUP(CONCATENATE($B$8,"_",$B38),Data!$H$16:$BN$1015,O$11,FALSE),"")</f>
        <v/>
      </c>
      <c r="P38" s="1428" t="str">
        <f>IFERROR(VLOOKUP(CONCATENATE($B$8,"_",$B38),Data!$H$16:$BN$1015,P$11,FALSE),"")</f>
        <v/>
      </c>
      <c r="Q38" s="1428" t="str">
        <f>IFERROR(VLOOKUP(CONCATENATE($B$8,"_",$B38),Data!$H$16:$BN$1015,Q$11,FALSE),"")</f>
        <v/>
      </c>
      <c r="R38" s="1429" t="str">
        <f>IFERROR(VLOOKUP(CONCATENATE($B$8,"_",$B38),Data!$H$16:$BN$1015,R$11,FALSE),"")</f>
        <v/>
      </c>
      <c r="S38" s="1428" t="str">
        <f>IFERROR(VLOOKUP(CONCATENATE($B$8,"_",$B38),Data!$H$16:$BN$1015,S$11,FALSE),"")</f>
        <v/>
      </c>
      <c r="T38" s="1428" t="str">
        <f>IFERROR(VLOOKUP(CONCATENATE($B$8,"_",$B38),Data!$H$16:$BN$1015,T$11,FALSE),"")</f>
        <v/>
      </c>
      <c r="U38" s="1429" t="str">
        <f>IFERROR(VLOOKUP(CONCATENATE($B$8,"_",$B38),Data!$H$16:$BN$1015,U$11,FALSE),"")</f>
        <v/>
      </c>
      <c r="V38" s="1428" t="str">
        <f>IFERROR(VLOOKUP(CONCATENATE($B$8,"_",$B38),Data!$H$16:$BN$1015,V$11,FALSE),"")</f>
        <v/>
      </c>
      <c r="W38" s="1428" t="str">
        <f>IFERROR(VLOOKUP(CONCATENATE($B$8,"_",$B38),Data!$H$16:$BN$1015,W$11,FALSE),"")</f>
        <v/>
      </c>
      <c r="X38" s="1428" t="str">
        <f>IFERROR(VLOOKUP(CONCATENATE($B$8,"_",$B38),Data!$H$16:$BN$1015,X$11,FALSE),"")</f>
        <v/>
      </c>
      <c r="Y38" s="1428" t="str">
        <f>IFERROR(VLOOKUP(CONCATENATE($B$8,"_",$B38),Data!$H$16:$BN$1015,Y$11,FALSE),"")</f>
        <v/>
      </c>
      <c r="Z38" s="1429" t="str">
        <f>IFERROR(VLOOKUP(CONCATENATE($B$8,"_",$B38),Data!$H$16:$BN$1015,Z$11,FALSE),"")</f>
        <v/>
      </c>
      <c r="AA38" s="1428" t="str">
        <f>IFERROR(VLOOKUP(CONCATENATE($B$8,"_",$B38),Data!$H$16:$BN$1015,AA$11,FALSE),"")</f>
        <v/>
      </c>
      <c r="AB38" s="1428" t="str">
        <f>IFERROR(VLOOKUP(CONCATENATE($B$8,"_",$B38),Data!$H$16:$BN$1015,AB$11,FALSE),"")</f>
        <v/>
      </c>
      <c r="AC38" s="1429" t="str">
        <f>IFERROR(VLOOKUP(CONCATENATE($B$8,"_",$B38),Data!$H$16:$BN$1015,AC$11,FALSE),"")</f>
        <v/>
      </c>
      <c r="AD38" s="1428" t="str">
        <f>IFERROR(VLOOKUP(CONCATENATE($B$8,"_",$B38),Data!$H$16:$BN$1015,AD$11,FALSE),"")</f>
        <v/>
      </c>
      <c r="AE38" s="1428" t="str">
        <f>IFERROR(VLOOKUP(CONCATENATE($B$8,"_",$B38),Data!$H$16:$BN$1015,AE$11,FALSE),"")</f>
        <v/>
      </c>
      <c r="AF38" s="1429" t="str">
        <f>IFERROR(VLOOKUP(CONCATENATE($B$8,"_",$B38),Data!$H$16:$BN$1015,AF$11,FALSE),"")</f>
        <v/>
      </c>
      <c r="AG38" s="1428" t="str">
        <f>IFERROR(VLOOKUP(CONCATENATE($B$8,"_",$B38),Data!$H$16:$BN$1015,AG$11,FALSE),"")</f>
        <v/>
      </c>
      <c r="AH38" s="1428" t="str">
        <f>IFERROR(VLOOKUP(CONCATENATE($B$8,"_",$B38),Data!$H$16:$BN$1015,AH$11,FALSE),"")</f>
        <v/>
      </c>
      <c r="AI38" s="1429" t="str">
        <f>IFERROR(VLOOKUP(CONCATENATE($B$8,"_",$B38),Data!$H$16:$BN$1015,AI$11,FALSE),"")</f>
        <v/>
      </c>
      <c r="AJ38" s="1428" t="str">
        <f>IFERROR(VLOOKUP(CONCATENATE($B$8,"_",$B38),Data!$H$16:$BN$1015,AJ$11,FALSE),"")</f>
        <v/>
      </c>
      <c r="AK38" s="1428" t="str">
        <f>IFERROR(VLOOKUP(CONCATENATE($B$8,"_",$B38),Data!$H$16:$BN$1015,AK$11,FALSE),"")</f>
        <v/>
      </c>
      <c r="AL38" s="1429" t="str">
        <f>IFERROR(VLOOKUP(CONCATENATE($B$8,"_",$B38),Data!$H$16:$BN$1015,AL$11,FALSE),"")</f>
        <v/>
      </c>
      <c r="AM38" s="1428" t="str">
        <f>IFERROR(VLOOKUP(CONCATENATE($B$8,"_",$B38),Data!$H$16:$BN$1015,AM$11,FALSE),"")</f>
        <v/>
      </c>
      <c r="AN38" s="1428" t="str">
        <f>IFERROR(VLOOKUP(CONCATENATE($B$8,"_",$B38),Data!$H$16:$BN$1015,AN$11,FALSE),"")</f>
        <v/>
      </c>
      <c r="AO38" s="1430" t="str">
        <f>IFERROR(VLOOKUP(CONCATENATE($B$8,"_",$B38),Data!$H$16:$BN$1015,AO$11,FALSE),"")</f>
        <v/>
      </c>
      <c r="AP38" s="1428" t="str">
        <f>IFERROR(VLOOKUP(CONCATENATE($B$8,"_",$B38),Data!$H$16:$BN$1015,AP$11,FALSE),"")</f>
        <v/>
      </c>
      <c r="AQ38" s="1428" t="str">
        <f>IFERROR(VLOOKUP(CONCATENATE($B$8,"_",$B38),Data!$H$16:$BN$1015,AQ$11,FALSE),"")</f>
        <v/>
      </c>
      <c r="AR38" s="1430" t="str">
        <f>IFERROR(VLOOKUP(CONCATENATE($B$8,"_",$B38),Data!$H$16:$BN$1015,AR$11,FALSE),"")</f>
        <v/>
      </c>
      <c r="AS38" s="1428" t="str">
        <f>IFERROR(VLOOKUP(CONCATENATE($B$8,"_",$B38),Data!$H$16:$BN$1015,AS$11,FALSE),"")</f>
        <v/>
      </c>
      <c r="AT38" s="1428" t="str">
        <f>IFERROR(VLOOKUP(CONCATENATE($B$8,"_",$B38),Data!$H$16:$BN$1015,AT$11,FALSE),"")</f>
        <v/>
      </c>
      <c r="AU38" s="1430" t="str">
        <f>IFERROR(VLOOKUP(CONCATENATE($B$8,"_",$B38),Data!$H$16:$BN$1015,AU$11,FALSE),"")</f>
        <v/>
      </c>
      <c r="AV38" s="1428" t="str">
        <f>IFERROR(VLOOKUP(CONCATENATE($B$8,"_",$B38),Data!$H$16:$BN$1015,AV$11,FALSE),"")</f>
        <v/>
      </c>
      <c r="AW38" s="1428" t="str">
        <f>IFERROR(VLOOKUP(CONCATENATE($B$8,"_",$B38),Data!$H$16:$BN$1015,AW$11,FALSE),"")</f>
        <v/>
      </c>
      <c r="AX38" s="1430" t="str">
        <f>IFERROR(VLOOKUP(CONCATENATE($B$8,"_",$B38),Data!$H$16:$BN$1015,AX$11,FALSE),"")</f>
        <v/>
      </c>
      <c r="AY38" s="1429" t="str">
        <f>IFERROR(VLOOKUP(CONCATENATE($B$8,"_",$B38),Data!$H$16:$BN$1015,AY$11,FALSE),"")</f>
        <v/>
      </c>
      <c r="AZ38" s="1429" t="str">
        <f>IFERROR(VLOOKUP(CONCATENATE($B$8,"_",$B38),Data!$H$16:$BN$1015,AZ$11,FALSE),"")</f>
        <v/>
      </c>
      <c r="BA38" s="1429" t="str">
        <f>IFERROR(VLOOKUP(CONCATENATE($B$8,"_",$B38),Data!$H$16:$BN$1015,BA$11,FALSE),"")</f>
        <v/>
      </c>
      <c r="BB38" s="1429" t="str">
        <f>IFERROR(VLOOKUP(CONCATENATE($B$8,"_",$B38),Data!$H$16:$BN$1015,BB$11,FALSE),"")</f>
        <v/>
      </c>
      <c r="BC38" s="1429" t="str">
        <f>IFERROR(VLOOKUP(CONCATENATE($B$8,"_",$B38),Data!$H$16:$BN$1015,BC$11,FALSE),"")</f>
        <v/>
      </c>
      <c r="BD38" s="1431" t="str">
        <f>IFERROR(VLOOKUP(CONCATENATE($B$8,"_",$B38),Data!$H$16:$BN$1015,BD$11,FALSE),"")</f>
        <v/>
      </c>
      <c r="BE38" s="1439">
        <f t="shared" si="0"/>
        <v>2025</v>
      </c>
      <c r="BF38" s="1428" t="str">
        <f>IFERROR(VLOOKUP(CONCATENATE($B$8,"_",$B38),Data!$BO$16:$ES$1015,BF$11,FALSE),"")</f>
        <v/>
      </c>
      <c r="BG38" s="1433" t="str">
        <f>IFERROR(VLOOKUP(CONCATENATE($B$8,"_",$B38),Data!$BO$16:$ES$1015,BG$11,FALSE),"")</f>
        <v/>
      </c>
      <c r="BH38" s="1435" t="str">
        <f>IFERROR(VLOOKUP(CONCATENATE($B$8,"_",$B38),Data!$BO$16:$ES$1015,BH$11,FALSE),"")</f>
        <v/>
      </c>
      <c r="BI38" s="1434" t="str">
        <f>IFERROR(VLOOKUP(CONCATENATE($B$8,"_",$B38),Data!$BO$16:$ES$1015,BI$11,FALSE),"")</f>
        <v/>
      </c>
      <c r="BJ38" s="1428" t="str">
        <f>IFERROR(VLOOKUP(CONCATENATE($B$8,"_",$B38),Data!$BO$16:$ES$1015,BJ$11,FALSE),"")</f>
        <v/>
      </c>
      <c r="BK38" s="1428" t="str">
        <f>IFERROR(VLOOKUP(CONCATENATE($B$8,"_",$B38),Data!$BO$16:$ES$1015,BK$11,FALSE),"")</f>
        <v/>
      </c>
      <c r="BL38" s="1428" t="str">
        <f>IFERROR(VLOOKUP(CONCATENATE($B$8,"_",$B38),Data!$BO$16:$ES$1015,BL$11,FALSE),"")</f>
        <v/>
      </c>
      <c r="BM38" s="1433" t="str">
        <f>IFERROR(VLOOKUP(CONCATENATE($B$8,"_",$B38),Data!$BO$16:$ES$1015,BM$11,FALSE),"")</f>
        <v/>
      </c>
      <c r="BN38" s="1433" t="str">
        <f>IFERROR(VLOOKUP(CONCATENATE($B$8,"_",$B38),Data!$BO$16:$ES$1015,BN$11,FALSE),"")</f>
        <v/>
      </c>
      <c r="BO38" s="1433" t="str">
        <f>IFERROR(VLOOKUP(CONCATENATE($B$8,"_",$B38),Data!$BO$16:$ES$1015,BO$11,FALSE),"")</f>
        <v/>
      </c>
      <c r="BP38" s="1433" t="str">
        <f>IFERROR(VLOOKUP(CONCATENATE($B$8,"_",$B38),Data!$BO$16:$ES$1015,BP$11,FALSE),"")</f>
        <v/>
      </c>
      <c r="BQ38" s="1433" t="str">
        <f>IFERROR(VLOOKUP(CONCATENATE($B$8,"_",$B38),Data!$BO$16:$ES$1015,BQ$11,FALSE),"")</f>
        <v/>
      </c>
      <c r="BR38" s="1434" t="str">
        <f>IFERROR(VLOOKUP(CONCATENATE($B$8,"_",$B38),Data!$BO$16:$ES$1015,BR$11,FALSE),"")</f>
        <v/>
      </c>
      <c r="BS38" s="1434" t="str">
        <f>IFERROR(VLOOKUP(CONCATENATE($B$8,"_",$B38),Data!$BO$16:$ES$1015,BS$11,FALSE),"")</f>
        <v/>
      </c>
      <c r="BT38" s="1434" t="str">
        <f>IFERROR(VLOOKUP(CONCATENATE($B$8,"_",$B38),Data!$BO$16:$ES$1015,BT$11,FALSE),"")</f>
        <v/>
      </c>
      <c r="BU38" s="1434" t="str">
        <f>IFERROR(VLOOKUP(CONCATENATE($B$8,"_",$B38),Data!$BO$16:$ES$1015,BU$11,FALSE),"")</f>
        <v/>
      </c>
      <c r="BV38" s="1434" t="str">
        <f>IFERROR(VLOOKUP(CONCATENATE($B$8,"_",$B38),Data!$BO$16:$ES$1015,BV$11,FALSE),"")</f>
        <v/>
      </c>
      <c r="BW38" s="1434" t="str">
        <f>IFERROR(VLOOKUP(CONCATENATE($B$8,"_",$B38),Data!$BO$16:$ES$1015,BW$11,FALSE),"")</f>
        <v/>
      </c>
      <c r="BX38" s="1434" t="str">
        <f>IFERROR(VLOOKUP(CONCATENATE($B$8,"_",$B38),Data!$BO$16:$ES$1015,BX$11,FALSE),"")</f>
        <v/>
      </c>
      <c r="BY38" s="1428" t="str">
        <f>IFERROR(VLOOKUP(CONCATENATE($B$8,"_",$B38),Data!$BO$16:$ES$1015,BY$11,FALSE),"")</f>
        <v/>
      </c>
      <c r="BZ38" s="1428" t="str">
        <f>IFERROR(VLOOKUP(CONCATENATE($B$8,"_",$B38),Data!$BO$16:$ES$1015,BZ$11,FALSE),"")</f>
        <v/>
      </c>
      <c r="CA38" s="1428" t="str">
        <f>IFERROR(VLOOKUP(CONCATENATE($B$8,"_",$B38),Data!$BO$16:$ES$1015,CA$11,FALSE),"")</f>
        <v/>
      </c>
      <c r="CB38" s="1428" t="str">
        <f>IFERROR(VLOOKUP(CONCATENATE($B$8,"_",$B38),Data!$BO$16:$ES$1015,CB$11,FALSE),"")</f>
        <v/>
      </c>
      <c r="CC38" s="1428" t="str">
        <f>IFERROR(VLOOKUP(CONCATENATE($B$8,"_",$B38),Data!$BO$16:$ES$1015,CC$11,FALSE),"")</f>
        <v/>
      </c>
      <c r="CD38" s="1428" t="str">
        <f>IFERROR(VLOOKUP(CONCATENATE($B$8,"_",$B38),Data!$BO$16:$ES$1015,CD$11,FALSE),"")</f>
        <v/>
      </c>
      <c r="CE38" s="1428" t="str">
        <f>IFERROR(VLOOKUP(CONCATENATE($B$8,"_",$B38),Data!$BO$16:$ES$1015,CE$11,FALSE),"")</f>
        <v/>
      </c>
      <c r="CF38" s="1428" t="str">
        <f>IFERROR(VLOOKUP(CONCATENATE($B$8,"_",$B38),Data!$BO$16:$ES$1015,CF$11,FALSE),"")</f>
        <v/>
      </c>
      <c r="CG38" s="1428" t="str">
        <f>IFERROR(VLOOKUP(CONCATENATE($B$8,"_",$B38),Data!$BO$16:$ES$1015,CG$11,FALSE),"")</f>
        <v/>
      </c>
      <c r="CH38" s="1428" t="str">
        <f>IFERROR(VLOOKUP(CONCATENATE($B$8,"_",$B38),Data!$BO$16:$ES$1015,CH$11,FALSE),"")</f>
        <v/>
      </c>
      <c r="CI38" s="1428" t="str">
        <f>IFERROR(VLOOKUP(CONCATENATE($B$8,"_",$B38),Data!$BO$16:$ES$1015,CI$11,FALSE),"")</f>
        <v/>
      </c>
      <c r="CJ38" s="1428" t="str">
        <f>IFERROR(VLOOKUP(CONCATENATE($B$8,"_",$B38),Data!$BO$16:$ES$1015,CJ$11,FALSE),"")</f>
        <v/>
      </c>
      <c r="CK38" s="1428" t="str">
        <f>IFERROR(VLOOKUP(CONCATENATE($B$8,"_",$B38),Data!$BO$16:$ES$1015,CK$11,FALSE),"")</f>
        <v/>
      </c>
      <c r="CL38" s="1428" t="str">
        <f>IFERROR(VLOOKUP(CONCATENATE($B$8,"_",$B38),Data!$BO$16:$ES$1015,CL$11,FALSE),"")</f>
        <v/>
      </c>
      <c r="CM38" s="1428" t="str">
        <f>IFERROR(VLOOKUP(CONCATENATE($B$8,"_",$B38),Data!$BO$16:$ES$1015,CM$11,FALSE),"")</f>
        <v/>
      </c>
      <c r="CN38" s="1428" t="str">
        <f>IFERROR(VLOOKUP(CONCATENATE($B$8,"_",$B38),Data!$BO$16:$ES$1015,CN$11,FALSE),"")</f>
        <v/>
      </c>
      <c r="CO38" s="1428" t="str">
        <f>IFERROR(VLOOKUP(CONCATENATE($B$8,"_",$B38),Data!$BO$16:$ES$1015,CO$11,FALSE),"")</f>
        <v/>
      </c>
      <c r="CP38" s="1433" t="str">
        <f>IFERROR(VLOOKUP(CONCATENATE($B$8,"_",$B38),Data!$BO$16:$ES$1015,CP$11,FALSE),"")</f>
        <v/>
      </c>
      <c r="CQ38" s="1433" t="str">
        <f>IFERROR(VLOOKUP(CONCATENATE($B$8,"_",$B38),Data!$BO$16:$ES$1015,CQ$11,FALSE),"")</f>
        <v/>
      </c>
      <c r="CR38" s="1433" t="str">
        <f>IFERROR(VLOOKUP(CONCATENATE($B$8,"_",$B38),Data!$BO$16:$ES$1015,CR$11,FALSE),"")</f>
        <v/>
      </c>
      <c r="CS38" s="1433" t="str">
        <f>IFERROR(VLOOKUP(CONCATENATE($B$8,"_",$B38),Data!$BO$16:$ES$1015,CS$11,FALSE),"")</f>
        <v/>
      </c>
      <c r="CT38" s="1433" t="str">
        <f>IFERROR(VLOOKUP(CONCATENATE($B$8,"_",$B38),Data!$BO$16:$ES$1015,CT$11,FALSE),"")</f>
        <v/>
      </c>
      <c r="CU38" s="1433" t="str">
        <f>IFERROR(VLOOKUP(CONCATENATE($B$8,"_",$B38),Data!$BO$16:$ES$1015,CU$11,FALSE),"")</f>
        <v/>
      </c>
      <c r="CV38" s="1433" t="str">
        <f>IFERROR(VLOOKUP(CONCATENATE($B$8,"_",$B38),Data!$BO$16:$ES$1015,CV$11,FALSE),"")</f>
        <v/>
      </c>
      <c r="CW38" s="1433" t="str">
        <f>IFERROR(VLOOKUP(CONCATENATE($B$8,"_",$B38),Data!$BO$16:$ES$1015,CW$11,FALSE),"")</f>
        <v/>
      </c>
      <c r="CX38" s="1433" t="str">
        <f>IFERROR(VLOOKUP(CONCATENATE($B$8,"_",$B38),Data!$BO$16:$ES$1015,CX$11,FALSE),"")</f>
        <v/>
      </c>
      <c r="CY38" s="1433" t="str">
        <f>IFERROR(VLOOKUP(CONCATENATE($B$8,"_",$B38),Data!$BO$16:$ES$1015,CY$11,FALSE),"")</f>
        <v/>
      </c>
      <c r="CZ38" s="1433" t="str">
        <f>IFERROR(VLOOKUP(CONCATENATE($B$8,"_",$B38),Data!$BO$16:$ES$1015,CZ$11,FALSE),"")</f>
        <v/>
      </c>
      <c r="DA38" s="1433" t="str">
        <f>IFERROR(VLOOKUP(CONCATENATE($B$8,"_",$B38),Data!$BO$16:$ES$1015,DA$11,FALSE),"")</f>
        <v/>
      </c>
      <c r="DB38" s="1433" t="str">
        <f>IFERROR(VLOOKUP(CONCATENATE($B$8,"_",$B38),Data!$BO$16:$ES$1015,DB$11,FALSE),"")</f>
        <v/>
      </c>
      <c r="DC38" s="1433" t="str">
        <f>IFERROR(VLOOKUP(CONCATENATE($B$8,"_",$B38),Data!$BO$16:$ES$1015,DC$11,FALSE),"")</f>
        <v/>
      </c>
      <c r="DD38" s="1433" t="str">
        <f>IFERROR(VLOOKUP(CONCATENATE($B$8,"_",$B38),Data!$BO$16:$ES$1015,DD$11,FALSE),"")</f>
        <v/>
      </c>
      <c r="DE38" s="1433" t="str">
        <f>IFERROR(VLOOKUP(CONCATENATE($B$8,"_",$B38),Data!$BO$16:$ES$1015,DE$11,FALSE),"")</f>
        <v/>
      </c>
      <c r="DF38" s="1433" t="str">
        <f>IFERROR(VLOOKUP(CONCATENATE($B$8,"_",$B38),Data!$BO$16:$ES$1015,DF$11,FALSE),"")</f>
        <v/>
      </c>
      <c r="DG38" s="1433" t="str">
        <f>IFERROR(VLOOKUP(CONCATENATE($B$8,"_",$B38),Data!$BO$16:$ES$1015,DG$11,FALSE),"")</f>
        <v/>
      </c>
      <c r="DH38" s="1433" t="str">
        <f>IFERROR(VLOOKUP(CONCATENATE($B$8,"_",$B38),Data!$BO$16:$ES$1015,DH$11,FALSE),"")</f>
        <v/>
      </c>
      <c r="DI38" s="1433" t="str">
        <f>IFERROR(VLOOKUP(CONCATENATE($B$8,"_",$B38),Data!$BO$16:$ES$1015,DI$11,FALSE),"")</f>
        <v/>
      </c>
      <c r="DJ38" s="1433" t="str">
        <f>IFERROR(VLOOKUP(CONCATENATE($B$8,"_",$B38),Data!$BO$16:$ES$1015,DJ$11,FALSE),"")</f>
        <v/>
      </c>
      <c r="DK38" s="1433" t="str">
        <f>IFERROR(VLOOKUP(CONCATENATE($B$8,"_",$B38),Data!$BO$16:$ES$1015,DK$11,FALSE),"")</f>
        <v/>
      </c>
      <c r="DL38" s="1435" t="str">
        <f>IFERROR(VLOOKUP(CONCATENATE($B$8,"_",$B38),Data!$BO$16:$ES$1015,DL$11,FALSE),"")</f>
        <v/>
      </c>
      <c r="DM38" s="1434" t="str">
        <f>IFERROR(VLOOKUP(CONCATENATE($B$8,"_",$B38),Data!$BO$16:$ES$1015,DM$11,FALSE),"")</f>
        <v/>
      </c>
      <c r="DN38" s="1434" t="str">
        <f>IFERROR(VLOOKUP(CONCATENATE($B$8,"_",$B38),Data!$BO$16:$ES$1015,DN$11,FALSE),"")</f>
        <v/>
      </c>
      <c r="DO38" s="1434" t="str">
        <f>IFERROR(VLOOKUP(CONCATENATE($B$8,"_",$B38),Data!$BO$16:$ES$1015,DO$11,FALSE),"")</f>
        <v/>
      </c>
      <c r="DP38" s="1434" t="str">
        <f>IFERROR(VLOOKUP(CONCATENATE($B$8,"_",$B38),Data!$BO$16:$ES$1015,DP$11,FALSE),"")</f>
        <v/>
      </c>
      <c r="DQ38" s="1434" t="str">
        <f>IFERROR(VLOOKUP(CONCATENATE($B$8,"_",$B38),Data!$BO$16:$ES$1015,DQ$11,FALSE),"")</f>
        <v/>
      </c>
      <c r="DR38" s="1434" t="str">
        <f>IFERROR(VLOOKUP(CONCATENATE($B$8,"_",$B38),Data!$BO$16:$ES$1015,DR$11,FALSE),"")</f>
        <v/>
      </c>
      <c r="DS38" s="1434" t="str">
        <f>IFERROR(VLOOKUP(CONCATENATE($B$8,"_",$B38),Data!$BO$16:$ES$1015,DS$11,FALSE),"")</f>
        <v/>
      </c>
      <c r="DT38" s="1434" t="str">
        <f>IFERROR(VLOOKUP(CONCATENATE($B$8,"_",$B38),Data!$BO$16:$ES$1015,DT$11,FALSE),"")</f>
        <v/>
      </c>
      <c r="DU38" s="1434" t="str">
        <f>IFERROR(VLOOKUP(CONCATENATE($B$8,"_",$B38),Data!$BO$16:$ES$1015,DU$11,FALSE),"")</f>
        <v/>
      </c>
      <c r="DV38" s="1434" t="str">
        <f>IFERROR(VLOOKUP(CONCATENATE($B$8,"_",$B38),Data!$BO$16:$ES$1015,DV$11,FALSE),"")</f>
        <v/>
      </c>
      <c r="DW38" s="1434" t="str">
        <f>IFERROR(VLOOKUP(CONCATENATE($B$8,"_",$B38),Data!$BO$16:$ES$1015,DW$11,FALSE),"")</f>
        <v/>
      </c>
      <c r="DX38" s="1434" t="str">
        <f>IFERROR(VLOOKUP(CONCATENATE($B$8,"_",$B38),Data!$BO$16:$ES$1015,DX$11,FALSE),"")</f>
        <v/>
      </c>
      <c r="DY38" s="1434" t="str">
        <f>IFERROR(VLOOKUP(CONCATENATE($B$8,"_",$B38),Data!$BO$16:$ES$1015,DY$11,FALSE),"")</f>
        <v/>
      </c>
      <c r="DZ38" s="1434" t="str">
        <f>IFERROR(VLOOKUP(CONCATENATE($B$8,"_",$B38),Data!$BO$16:$ES$1015,DZ$11,FALSE),"")</f>
        <v/>
      </c>
      <c r="EA38" s="1434" t="str">
        <f>IFERROR(VLOOKUP(CONCATENATE($B$8,"_",$B38),Data!$BO$16:$ES$1015,EA$11,FALSE),"")</f>
        <v/>
      </c>
      <c r="EB38" s="1434" t="str">
        <f>IFERROR(VLOOKUP(CONCATENATE($B$8,"_",$B38),Data!$BO$16:$ES$1015,EB$11,FALSE),"")</f>
        <v/>
      </c>
      <c r="EC38" s="1434" t="str">
        <f>IFERROR(VLOOKUP(CONCATENATE($B$8,"_",$B38),Data!$BO$16:$ES$1015,EC$11,FALSE),"")</f>
        <v/>
      </c>
      <c r="ED38" s="1434" t="str">
        <f>IFERROR(VLOOKUP(CONCATENATE($B$8,"_",$B38),Data!$BO$16:$ES$1015,ED$11,FALSE),"")</f>
        <v/>
      </c>
      <c r="EE38" s="1434" t="str">
        <f>IFERROR(VLOOKUP(CONCATENATE($B$8,"_",$B38),Data!$BO$16:$ES$1015,EE$11,FALSE),"")</f>
        <v/>
      </c>
      <c r="EF38" s="1434" t="str">
        <f>IFERROR(VLOOKUP(CONCATENATE($B$8,"_",$B38),Data!$BO$16:$ES$1015,EF$11,FALSE),"")</f>
        <v/>
      </c>
      <c r="EG38" s="1434" t="str">
        <f>IFERROR(VLOOKUP(CONCATENATE($B$8,"_",$B38),Data!$BO$16:$ES$1015,EG$11,FALSE),"")</f>
        <v/>
      </c>
      <c r="EH38" s="1434" t="str">
        <f>IFERROR(VLOOKUP(CONCATENATE($B$8,"_",$B38),Data!$BO$16:$ES$1015,EH$11,FALSE),"")</f>
        <v/>
      </c>
      <c r="EI38" s="1434" t="str">
        <f>IFERROR(VLOOKUP(CONCATENATE($B$8,"_",$B38),Data!$BO$16:$ES$1015,EI$11,FALSE),"")</f>
        <v/>
      </c>
    </row>
    <row r="39" spans="1:141" s="1441" customFormat="1" ht="15" customHeight="1">
      <c r="A39" s="1438">
        <v>26</v>
      </c>
      <c r="B39" s="1738">
        <f>IF($B$13+A39&lt;=Progress!$D$18,$B$13+A39,"")</f>
        <v>2026</v>
      </c>
      <c r="C39" s="1737" t="str">
        <f>IFERROR(VLOOKUP(CONCATENATE($B$8,"_",$B39),Data!$H$16:$BN$1015,C$11,FALSE),"")</f>
        <v/>
      </c>
      <c r="D39" s="1428" t="str">
        <f>IFERROR(VLOOKUP(CONCATENATE($B$8,"_",$B39),Data!$H$16:$BN$1015,D$11,FALSE),"")</f>
        <v/>
      </c>
      <c r="E39" s="1429" t="str">
        <f>IFERROR(VLOOKUP(CONCATENATE($B$8,"_",$B39),Data!$H$16:$BN$1015,E$11,FALSE),"")</f>
        <v/>
      </c>
      <c r="F39" s="1428" t="str">
        <f>IFERROR(VLOOKUP(CONCATENATE($B$8,"_",$B39),Data!$H$16:$BN$1015,F$11,FALSE),"")</f>
        <v/>
      </c>
      <c r="G39" s="1428" t="str">
        <f>IFERROR(VLOOKUP(CONCATENATE($B$8,"_",$B39),Data!$H$16:$BN$1015,G$11,FALSE),"")</f>
        <v/>
      </c>
      <c r="H39" s="1429" t="str">
        <f>IFERROR(VLOOKUP(CONCATENATE($B$8,"_",$B39),Data!$H$16:$BN$1015,H$11,FALSE),"")</f>
        <v/>
      </c>
      <c r="I39" s="1428" t="str">
        <f>IFERROR(VLOOKUP(CONCATENATE($B$8,"_",$B39),Data!$H$16:$BN$1015,I$11,FALSE),"")</f>
        <v/>
      </c>
      <c r="J39" s="1428" t="str">
        <f>IFERROR(VLOOKUP(CONCATENATE($B$8,"_",$B39),Data!$H$16:$BN$1015,J$11,FALSE),"")</f>
        <v/>
      </c>
      <c r="K39" s="1429" t="str">
        <f>IFERROR(VLOOKUP(CONCATENATE($B$8,"_",$B39),Data!$H$16:$BN$1015,K$11,FALSE),"")</f>
        <v/>
      </c>
      <c r="L39" s="1428" t="str">
        <f>IFERROR(VLOOKUP(CONCATENATE($B$8,"_",$B39),Data!$H$16:$BN$1015,L$11,FALSE),"")</f>
        <v/>
      </c>
      <c r="M39" s="1428" t="str">
        <f>IFERROR(VLOOKUP(CONCATENATE($B$8,"_",$B39),Data!$H$16:$BN$1015,M$11,FALSE),"")</f>
        <v/>
      </c>
      <c r="N39" s="1429" t="str">
        <f>IFERROR(VLOOKUP(CONCATENATE($B$8,"_",$B39),Data!$H$16:$BN$1015,N$11,FALSE),"")</f>
        <v/>
      </c>
      <c r="O39" s="1430" t="str">
        <f>IFERROR(VLOOKUP(CONCATENATE($B$8,"_",$B39),Data!$H$16:$BN$1015,O$11,FALSE),"")</f>
        <v/>
      </c>
      <c r="P39" s="1428" t="str">
        <f>IFERROR(VLOOKUP(CONCATENATE($B$8,"_",$B39),Data!$H$16:$BN$1015,P$11,FALSE),"")</f>
        <v/>
      </c>
      <c r="Q39" s="1428" t="str">
        <f>IFERROR(VLOOKUP(CONCATENATE($B$8,"_",$B39),Data!$H$16:$BN$1015,Q$11,FALSE),"")</f>
        <v/>
      </c>
      <c r="R39" s="1429" t="str">
        <f>IFERROR(VLOOKUP(CONCATENATE($B$8,"_",$B39),Data!$H$16:$BN$1015,R$11,FALSE),"")</f>
        <v/>
      </c>
      <c r="S39" s="1428" t="str">
        <f>IFERROR(VLOOKUP(CONCATENATE($B$8,"_",$B39),Data!$H$16:$BN$1015,S$11,FALSE),"")</f>
        <v/>
      </c>
      <c r="T39" s="1428" t="str">
        <f>IFERROR(VLOOKUP(CONCATENATE($B$8,"_",$B39),Data!$H$16:$BN$1015,T$11,FALSE),"")</f>
        <v/>
      </c>
      <c r="U39" s="1429" t="str">
        <f>IFERROR(VLOOKUP(CONCATENATE($B$8,"_",$B39),Data!$H$16:$BN$1015,U$11,FALSE),"")</f>
        <v/>
      </c>
      <c r="V39" s="1428" t="str">
        <f>IFERROR(VLOOKUP(CONCATENATE($B$8,"_",$B39),Data!$H$16:$BN$1015,V$11,FALSE),"")</f>
        <v/>
      </c>
      <c r="W39" s="1428" t="str">
        <f>IFERROR(VLOOKUP(CONCATENATE($B$8,"_",$B39),Data!$H$16:$BN$1015,W$11,FALSE),"")</f>
        <v/>
      </c>
      <c r="X39" s="1428" t="str">
        <f>IFERROR(VLOOKUP(CONCATENATE($B$8,"_",$B39),Data!$H$16:$BN$1015,X$11,FALSE),"")</f>
        <v/>
      </c>
      <c r="Y39" s="1428" t="str">
        <f>IFERROR(VLOOKUP(CONCATENATE($B$8,"_",$B39),Data!$H$16:$BN$1015,Y$11,FALSE),"")</f>
        <v/>
      </c>
      <c r="Z39" s="1429" t="str">
        <f>IFERROR(VLOOKUP(CONCATENATE($B$8,"_",$B39),Data!$H$16:$BN$1015,Z$11,FALSE),"")</f>
        <v/>
      </c>
      <c r="AA39" s="1428" t="str">
        <f>IFERROR(VLOOKUP(CONCATENATE($B$8,"_",$B39),Data!$H$16:$BN$1015,AA$11,FALSE),"")</f>
        <v/>
      </c>
      <c r="AB39" s="1428" t="str">
        <f>IFERROR(VLOOKUP(CONCATENATE($B$8,"_",$B39),Data!$H$16:$BN$1015,AB$11,FALSE),"")</f>
        <v/>
      </c>
      <c r="AC39" s="1429" t="str">
        <f>IFERROR(VLOOKUP(CONCATENATE($B$8,"_",$B39),Data!$H$16:$BN$1015,AC$11,FALSE),"")</f>
        <v/>
      </c>
      <c r="AD39" s="1428" t="str">
        <f>IFERROR(VLOOKUP(CONCATENATE($B$8,"_",$B39),Data!$H$16:$BN$1015,AD$11,FALSE),"")</f>
        <v/>
      </c>
      <c r="AE39" s="1428" t="str">
        <f>IFERROR(VLOOKUP(CONCATENATE($B$8,"_",$B39),Data!$H$16:$BN$1015,AE$11,FALSE),"")</f>
        <v/>
      </c>
      <c r="AF39" s="1429" t="str">
        <f>IFERROR(VLOOKUP(CONCATENATE($B$8,"_",$B39),Data!$H$16:$BN$1015,AF$11,FALSE),"")</f>
        <v/>
      </c>
      <c r="AG39" s="1428" t="str">
        <f>IFERROR(VLOOKUP(CONCATENATE($B$8,"_",$B39),Data!$H$16:$BN$1015,AG$11,FALSE),"")</f>
        <v/>
      </c>
      <c r="AH39" s="1428" t="str">
        <f>IFERROR(VLOOKUP(CONCATENATE($B$8,"_",$B39),Data!$H$16:$BN$1015,AH$11,FALSE),"")</f>
        <v/>
      </c>
      <c r="AI39" s="1429" t="str">
        <f>IFERROR(VLOOKUP(CONCATENATE($B$8,"_",$B39),Data!$H$16:$BN$1015,AI$11,FALSE),"")</f>
        <v/>
      </c>
      <c r="AJ39" s="1428" t="str">
        <f>IFERROR(VLOOKUP(CONCATENATE($B$8,"_",$B39),Data!$H$16:$BN$1015,AJ$11,FALSE),"")</f>
        <v/>
      </c>
      <c r="AK39" s="1428" t="str">
        <f>IFERROR(VLOOKUP(CONCATENATE($B$8,"_",$B39),Data!$H$16:$BN$1015,AK$11,FALSE),"")</f>
        <v/>
      </c>
      <c r="AL39" s="1429" t="str">
        <f>IFERROR(VLOOKUP(CONCATENATE($B$8,"_",$B39),Data!$H$16:$BN$1015,AL$11,FALSE),"")</f>
        <v/>
      </c>
      <c r="AM39" s="1428" t="str">
        <f>IFERROR(VLOOKUP(CONCATENATE($B$8,"_",$B39),Data!$H$16:$BN$1015,AM$11,FALSE),"")</f>
        <v/>
      </c>
      <c r="AN39" s="1428" t="str">
        <f>IFERROR(VLOOKUP(CONCATENATE($B$8,"_",$B39),Data!$H$16:$BN$1015,AN$11,FALSE),"")</f>
        <v/>
      </c>
      <c r="AO39" s="1430" t="str">
        <f>IFERROR(VLOOKUP(CONCATENATE($B$8,"_",$B39),Data!$H$16:$BN$1015,AO$11,FALSE),"")</f>
        <v/>
      </c>
      <c r="AP39" s="1428" t="str">
        <f>IFERROR(VLOOKUP(CONCATENATE($B$8,"_",$B39),Data!$H$16:$BN$1015,AP$11,FALSE),"")</f>
        <v/>
      </c>
      <c r="AQ39" s="1428" t="str">
        <f>IFERROR(VLOOKUP(CONCATENATE($B$8,"_",$B39),Data!$H$16:$BN$1015,AQ$11,FALSE),"")</f>
        <v/>
      </c>
      <c r="AR39" s="1430" t="str">
        <f>IFERROR(VLOOKUP(CONCATENATE($B$8,"_",$B39),Data!$H$16:$BN$1015,AR$11,FALSE),"")</f>
        <v/>
      </c>
      <c r="AS39" s="1428" t="str">
        <f>IFERROR(VLOOKUP(CONCATENATE($B$8,"_",$B39),Data!$H$16:$BN$1015,AS$11,FALSE),"")</f>
        <v/>
      </c>
      <c r="AT39" s="1428" t="str">
        <f>IFERROR(VLOOKUP(CONCATENATE($B$8,"_",$B39),Data!$H$16:$BN$1015,AT$11,FALSE),"")</f>
        <v/>
      </c>
      <c r="AU39" s="1430" t="str">
        <f>IFERROR(VLOOKUP(CONCATENATE($B$8,"_",$B39),Data!$H$16:$BN$1015,AU$11,FALSE),"")</f>
        <v/>
      </c>
      <c r="AV39" s="1428" t="str">
        <f>IFERROR(VLOOKUP(CONCATENATE($B$8,"_",$B39),Data!$H$16:$BN$1015,AV$11,FALSE),"")</f>
        <v/>
      </c>
      <c r="AW39" s="1428" t="str">
        <f>IFERROR(VLOOKUP(CONCATENATE($B$8,"_",$B39),Data!$H$16:$BN$1015,AW$11,FALSE),"")</f>
        <v/>
      </c>
      <c r="AX39" s="1430" t="str">
        <f>IFERROR(VLOOKUP(CONCATENATE($B$8,"_",$B39),Data!$H$16:$BN$1015,AX$11,FALSE),"")</f>
        <v/>
      </c>
      <c r="AY39" s="1429" t="str">
        <f>IFERROR(VLOOKUP(CONCATENATE($B$8,"_",$B39),Data!$H$16:$BN$1015,AY$11,FALSE),"")</f>
        <v/>
      </c>
      <c r="AZ39" s="1429" t="str">
        <f>IFERROR(VLOOKUP(CONCATENATE($B$8,"_",$B39),Data!$H$16:$BN$1015,AZ$11,FALSE),"")</f>
        <v/>
      </c>
      <c r="BA39" s="1429" t="str">
        <f>IFERROR(VLOOKUP(CONCATENATE($B$8,"_",$B39),Data!$H$16:$BN$1015,BA$11,FALSE),"")</f>
        <v/>
      </c>
      <c r="BB39" s="1429" t="str">
        <f>IFERROR(VLOOKUP(CONCATENATE($B$8,"_",$B39),Data!$H$16:$BN$1015,BB$11,FALSE),"")</f>
        <v/>
      </c>
      <c r="BC39" s="1429" t="str">
        <f>IFERROR(VLOOKUP(CONCATENATE($B$8,"_",$B39),Data!$H$16:$BN$1015,BC$11,FALSE),"")</f>
        <v/>
      </c>
      <c r="BD39" s="1431" t="str">
        <f>IFERROR(VLOOKUP(CONCATENATE($B$8,"_",$B39),Data!$H$16:$BN$1015,BD$11,FALSE),"")</f>
        <v/>
      </c>
      <c r="BE39" s="1439">
        <f t="shared" si="0"/>
        <v>2026</v>
      </c>
      <c r="BF39" s="1428" t="str">
        <f>IFERROR(VLOOKUP(CONCATENATE($B$8,"_",$B39),Data!$BO$16:$ES$1015,BF$11,FALSE),"")</f>
        <v/>
      </c>
      <c r="BG39" s="1433" t="str">
        <f>IFERROR(VLOOKUP(CONCATENATE($B$8,"_",$B39),Data!$BO$16:$ES$1015,BG$11,FALSE),"")</f>
        <v/>
      </c>
      <c r="BH39" s="1435" t="str">
        <f>IFERROR(VLOOKUP(CONCATENATE($B$8,"_",$B39),Data!$BO$16:$ES$1015,BH$11,FALSE),"")</f>
        <v/>
      </c>
      <c r="BI39" s="1434" t="str">
        <f>IFERROR(VLOOKUP(CONCATENATE($B$8,"_",$B39),Data!$BO$16:$ES$1015,BI$11,FALSE),"")</f>
        <v/>
      </c>
      <c r="BJ39" s="1428" t="str">
        <f>IFERROR(VLOOKUP(CONCATENATE($B$8,"_",$B39),Data!$BO$16:$ES$1015,BJ$11,FALSE),"")</f>
        <v/>
      </c>
      <c r="BK39" s="1428" t="str">
        <f>IFERROR(VLOOKUP(CONCATENATE($B$8,"_",$B39),Data!$BO$16:$ES$1015,BK$11,FALSE),"")</f>
        <v/>
      </c>
      <c r="BL39" s="1428" t="str">
        <f>IFERROR(VLOOKUP(CONCATENATE($B$8,"_",$B39),Data!$BO$16:$ES$1015,BL$11,FALSE),"")</f>
        <v/>
      </c>
      <c r="BM39" s="1433" t="str">
        <f>IFERROR(VLOOKUP(CONCATENATE($B$8,"_",$B39),Data!$BO$16:$ES$1015,BM$11,FALSE),"")</f>
        <v/>
      </c>
      <c r="BN39" s="1433" t="str">
        <f>IFERROR(VLOOKUP(CONCATENATE($B$8,"_",$B39),Data!$BO$16:$ES$1015,BN$11,FALSE),"")</f>
        <v/>
      </c>
      <c r="BO39" s="1433" t="str">
        <f>IFERROR(VLOOKUP(CONCATENATE($B$8,"_",$B39),Data!$BO$16:$ES$1015,BO$11,FALSE),"")</f>
        <v/>
      </c>
      <c r="BP39" s="1433" t="str">
        <f>IFERROR(VLOOKUP(CONCATENATE($B$8,"_",$B39),Data!$BO$16:$ES$1015,BP$11,FALSE),"")</f>
        <v/>
      </c>
      <c r="BQ39" s="1433" t="str">
        <f>IFERROR(VLOOKUP(CONCATENATE($B$8,"_",$B39),Data!$BO$16:$ES$1015,BQ$11,FALSE),"")</f>
        <v/>
      </c>
      <c r="BR39" s="1434" t="str">
        <f>IFERROR(VLOOKUP(CONCATENATE($B$8,"_",$B39),Data!$BO$16:$ES$1015,BR$11,FALSE),"")</f>
        <v/>
      </c>
      <c r="BS39" s="1434" t="str">
        <f>IFERROR(VLOOKUP(CONCATENATE($B$8,"_",$B39),Data!$BO$16:$ES$1015,BS$11,FALSE),"")</f>
        <v/>
      </c>
      <c r="BT39" s="1434" t="str">
        <f>IFERROR(VLOOKUP(CONCATENATE($B$8,"_",$B39),Data!$BO$16:$ES$1015,BT$11,FALSE),"")</f>
        <v/>
      </c>
      <c r="BU39" s="1434" t="str">
        <f>IFERROR(VLOOKUP(CONCATENATE($B$8,"_",$B39),Data!$BO$16:$ES$1015,BU$11,FALSE),"")</f>
        <v/>
      </c>
      <c r="BV39" s="1434" t="str">
        <f>IFERROR(VLOOKUP(CONCATENATE($B$8,"_",$B39),Data!$BO$16:$ES$1015,BV$11,FALSE),"")</f>
        <v/>
      </c>
      <c r="BW39" s="1434" t="str">
        <f>IFERROR(VLOOKUP(CONCATENATE($B$8,"_",$B39),Data!$BO$16:$ES$1015,BW$11,FALSE),"")</f>
        <v/>
      </c>
      <c r="BX39" s="1434" t="str">
        <f>IFERROR(VLOOKUP(CONCATENATE($B$8,"_",$B39),Data!$BO$16:$ES$1015,BX$11,FALSE),"")</f>
        <v/>
      </c>
      <c r="BY39" s="1428" t="str">
        <f>IFERROR(VLOOKUP(CONCATENATE($B$8,"_",$B39),Data!$BO$16:$ES$1015,BY$11,FALSE),"")</f>
        <v/>
      </c>
      <c r="BZ39" s="1428" t="str">
        <f>IFERROR(VLOOKUP(CONCATENATE($B$8,"_",$B39),Data!$BO$16:$ES$1015,BZ$11,FALSE),"")</f>
        <v/>
      </c>
      <c r="CA39" s="1428" t="str">
        <f>IFERROR(VLOOKUP(CONCATENATE($B$8,"_",$B39),Data!$BO$16:$ES$1015,CA$11,FALSE),"")</f>
        <v/>
      </c>
      <c r="CB39" s="1428" t="str">
        <f>IFERROR(VLOOKUP(CONCATENATE($B$8,"_",$B39),Data!$BO$16:$ES$1015,CB$11,FALSE),"")</f>
        <v/>
      </c>
      <c r="CC39" s="1428" t="str">
        <f>IFERROR(VLOOKUP(CONCATENATE($B$8,"_",$B39),Data!$BO$16:$ES$1015,CC$11,FALSE),"")</f>
        <v/>
      </c>
      <c r="CD39" s="1428" t="str">
        <f>IFERROR(VLOOKUP(CONCATENATE($B$8,"_",$B39),Data!$BO$16:$ES$1015,CD$11,FALSE),"")</f>
        <v/>
      </c>
      <c r="CE39" s="1428" t="str">
        <f>IFERROR(VLOOKUP(CONCATENATE($B$8,"_",$B39),Data!$BO$16:$ES$1015,CE$11,FALSE),"")</f>
        <v/>
      </c>
      <c r="CF39" s="1428" t="str">
        <f>IFERROR(VLOOKUP(CONCATENATE($B$8,"_",$B39),Data!$BO$16:$ES$1015,CF$11,FALSE),"")</f>
        <v/>
      </c>
      <c r="CG39" s="1428" t="str">
        <f>IFERROR(VLOOKUP(CONCATENATE($B$8,"_",$B39),Data!$BO$16:$ES$1015,CG$11,FALSE),"")</f>
        <v/>
      </c>
      <c r="CH39" s="1428" t="str">
        <f>IFERROR(VLOOKUP(CONCATENATE($B$8,"_",$B39),Data!$BO$16:$ES$1015,CH$11,FALSE),"")</f>
        <v/>
      </c>
      <c r="CI39" s="1428" t="str">
        <f>IFERROR(VLOOKUP(CONCATENATE($B$8,"_",$B39),Data!$BO$16:$ES$1015,CI$11,FALSE),"")</f>
        <v/>
      </c>
      <c r="CJ39" s="1428" t="str">
        <f>IFERROR(VLOOKUP(CONCATENATE($B$8,"_",$B39),Data!$BO$16:$ES$1015,CJ$11,FALSE),"")</f>
        <v/>
      </c>
      <c r="CK39" s="1428" t="str">
        <f>IFERROR(VLOOKUP(CONCATENATE($B$8,"_",$B39),Data!$BO$16:$ES$1015,CK$11,FALSE),"")</f>
        <v/>
      </c>
      <c r="CL39" s="1428" t="str">
        <f>IFERROR(VLOOKUP(CONCATENATE($B$8,"_",$B39),Data!$BO$16:$ES$1015,CL$11,FALSE),"")</f>
        <v/>
      </c>
      <c r="CM39" s="1428" t="str">
        <f>IFERROR(VLOOKUP(CONCATENATE($B$8,"_",$B39),Data!$BO$16:$ES$1015,CM$11,FALSE),"")</f>
        <v/>
      </c>
      <c r="CN39" s="1428" t="str">
        <f>IFERROR(VLOOKUP(CONCATENATE($B$8,"_",$B39),Data!$BO$16:$ES$1015,CN$11,FALSE),"")</f>
        <v/>
      </c>
      <c r="CO39" s="1428" t="str">
        <f>IFERROR(VLOOKUP(CONCATENATE($B$8,"_",$B39),Data!$BO$16:$ES$1015,CO$11,FALSE),"")</f>
        <v/>
      </c>
      <c r="CP39" s="1433" t="str">
        <f>IFERROR(VLOOKUP(CONCATENATE($B$8,"_",$B39),Data!$BO$16:$ES$1015,CP$11,FALSE),"")</f>
        <v/>
      </c>
      <c r="CQ39" s="1433" t="str">
        <f>IFERROR(VLOOKUP(CONCATENATE($B$8,"_",$B39),Data!$BO$16:$ES$1015,CQ$11,FALSE),"")</f>
        <v/>
      </c>
      <c r="CR39" s="1433" t="str">
        <f>IFERROR(VLOOKUP(CONCATENATE($B$8,"_",$B39),Data!$BO$16:$ES$1015,CR$11,FALSE),"")</f>
        <v/>
      </c>
      <c r="CS39" s="1433" t="str">
        <f>IFERROR(VLOOKUP(CONCATENATE($B$8,"_",$B39),Data!$BO$16:$ES$1015,CS$11,FALSE),"")</f>
        <v/>
      </c>
      <c r="CT39" s="1433" t="str">
        <f>IFERROR(VLOOKUP(CONCATENATE($B$8,"_",$B39),Data!$BO$16:$ES$1015,CT$11,FALSE),"")</f>
        <v/>
      </c>
      <c r="CU39" s="1433" t="str">
        <f>IFERROR(VLOOKUP(CONCATENATE($B$8,"_",$B39),Data!$BO$16:$ES$1015,CU$11,FALSE),"")</f>
        <v/>
      </c>
      <c r="CV39" s="1433" t="str">
        <f>IFERROR(VLOOKUP(CONCATENATE($B$8,"_",$B39),Data!$BO$16:$ES$1015,CV$11,FALSE),"")</f>
        <v/>
      </c>
      <c r="CW39" s="1433" t="str">
        <f>IFERROR(VLOOKUP(CONCATENATE($B$8,"_",$B39),Data!$BO$16:$ES$1015,CW$11,FALSE),"")</f>
        <v/>
      </c>
      <c r="CX39" s="1433" t="str">
        <f>IFERROR(VLOOKUP(CONCATENATE($B$8,"_",$B39),Data!$BO$16:$ES$1015,CX$11,FALSE),"")</f>
        <v/>
      </c>
      <c r="CY39" s="1433" t="str">
        <f>IFERROR(VLOOKUP(CONCATENATE($B$8,"_",$B39),Data!$BO$16:$ES$1015,CY$11,FALSE),"")</f>
        <v/>
      </c>
      <c r="CZ39" s="1433" t="str">
        <f>IFERROR(VLOOKUP(CONCATENATE($B$8,"_",$B39),Data!$BO$16:$ES$1015,CZ$11,FALSE),"")</f>
        <v/>
      </c>
      <c r="DA39" s="1433" t="str">
        <f>IFERROR(VLOOKUP(CONCATENATE($B$8,"_",$B39),Data!$BO$16:$ES$1015,DA$11,FALSE),"")</f>
        <v/>
      </c>
      <c r="DB39" s="1433" t="str">
        <f>IFERROR(VLOOKUP(CONCATENATE($B$8,"_",$B39),Data!$BO$16:$ES$1015,DB$11,FALSE),"")</f>
        <v/>
      </c>
      <c r="DC39" s="1433" t="str">
        <f>IFERROR(VLOOKUP(CONCATENATE($B$8,"_",$B39),Data!$BO$16:$ES$1015,DC$11,FALSE),"")</f>
        <v/>
      </c>
      <c r="DD39" s="1433" t="str">
        <f>IFERROR(VLOOKUP(CONCATENATE($B$8,"_",$B39),Data!$BO$16:$ES$1015,DD$11,FALSE),"")</f>
        <v/>
      </c>
      <c r="DE39" s="1433" t="str">
        <f>IFERROR(VLOOKUP(CONCATENATE($B$8,"_",$B39),Data!$BO$16:$ES$1015,DE$11,FALSE),"")</f>
        <v/>
      </c>
      <c r="DF39" s="1433" t="str">
        <f>IFERROR(VLOOKUP(CONCATENATE($B$8,"_",$B39),Data!$BO$16:$ES$1015,DF$11,FALSE),"")</f>
        <v/>
      </c>
      <c r="DG39" s="1433" t="str">
        <f>IFERROR(VLOOKUP(CONCATENATE($B$8,"_",$B39),Data!$BO$16:$ES$1015,DG$11,FALSE),"")</f>
        <v/>
      </c>
      <c r="DH39" s="1433" t="str">
        <f>IFERROR(VLOOKUP(CONCATENATE($B$8,"_",$B39),Data!$BO$16:$ES$1015,DH$11,FALSE),"")</f>
        <v/>
      </c>
      <c r="DI39" s="1433" t="str">
        <f>IFERROR(VLOOKUP(CONCATENATE($B$8,"_",$B39),Data!$BO$16:$ES$1015,DI$11,FALSE),"")</f>
        <v/>
      </c>
      <c r="DJ39" s="1433" t="str">
        <f>IFERROR(VLOOKUP(CONCATENATE($B$8,"_",$B39),Data!$BO$16:$ES$1015,DJ$11,FALSE),"")</f>
        <v/>
      </c>
      <c r="DK39" s="1433" t="str">
        <f>IFERROR(VLOOKUP(CONCATENATE($B$8,"_",$B39),Data!$BO$16:$ES$1015,DK$11,FALSE),"")</f>
        <v/>
      </c>
      <c r="DL39" s="1435" t="str">
        <f>IFERROR(VLOOKUP(CONCATENATE($B$8,"_",$B39),Data!$BO$16:$ES$1015,DL$11,FALSE),"")</f>
        <v/>
      </c>
      <c r="DM39" s="1434" t="str">
        <f>IFERROR(VLOOKUP(CONCATENATE($B$8,"_",$B39),Data!$BO$16:$ES$1015,DM$11,FALSE),"")</f>
        <v/>
      </c>
      <c r="DN39" s="1434" t="str">
        <f>IFERROR(VLOOKUP(CONCATENATE($B$8,"_",$B39),Data!$BO$16:$ES$1015,DN$11,FALSE),"")</f>
        <v/>
      </c>
      <c r="DO39" s="1434" t="str">
        <f>IFERROR(VLOOKUP(CONCATENATE($B$8,"_",$B39),Data!$BO$16:$ES$1015,DO$11,FALSE),"")</f>
        <v/>
      </c>
      <c r="DP39" s="1434" t="str">
        <f>IFERROR(VLOOKUP(CONCATENATE($B$8,"_",$B39),Data!$BO$16:$ES$1015,DP$11,FALSE),"")</f>
        <v/>
      </c>
      <c r="DQ39" s="1434" t="str">
        <f>IFERROR(VLOOKUP(CONCATENATE($B$8,"_",$B39),Data!$BO$16:$ES$1015,DQ$11,FALSE),"")</f>
        <v/>
      </c>
      <c r="DR39" s="1434" t="str">
        <f>IFERROR(VLOOKUP(CONCATENATE($B$8,"_",$B39),Data!$BO$16:$ES$1015,DR$11,FALSE),"")</f>
        <v/>
      </c>
      <c r="DS39" s="1434" t="str">
        <f>IFERROR(VLOOKUP(CONCATENATE($B$8,"_",$B39),Data!$BO$16:$ES$1015,DS$11,FALSE),"")</f>
        <v/>
      </c>
      <c r="DT39" s="1434" t="str">
        <f>IFERROR(VLOOKUP(CONCATENATE($B$8,"_",$B39),Data!$BO$16:$ES$1015,DT$11,FALSE),"")</f>
        <v/>
      </c>
      <c r="DU39" s="1434" t="str">
        <f>IFERROR(VLOOKUP(CONCATENATE($B$8,"_",$B39),Data!$BO$16:$ES$1015,DU$11,FALSE),"")</f>
        <v/>
      </c>
      <c r="DV39" s="1434" t="str">
        <f>IFERROR(VLOOKUP(CONCATENATE($B$8,"_",$B39),Data!$BO$16:$ES$1015,DV$11,FALSE),"")</f>
        <v/>
      </c>
      <c r="DW39" s="1434" t="str">
        <f>IFERROR(VLOOKUP(CONCATENATE($B$8,"_",$B39),Data!$BO$16:$ES$1015,DW$11,FALSE),"")</f>
        <v/>
      </c>
      <c r="DX39" s="1434" t="str">
        <f>IFERROR(VLOOKUP(CONCATENATE($B$8,"_",$B39),Data!$BO$16:$ES$1015,DX$11,FALSE),"")</f>
        <v/>
      </c>
      <c r="DY39" s="1434" t="str">
        <f>IFERROR(VLOOKUP(CONCATENATE($B$8,"_",$B39),Data!$BO$16:$ES$1015,DY$11,FALSE),"")</f>
        <v/>
      </c>
      <c r="DZ39" s="1434" t="str">
        <f>IFERROR(VLOOKUP(CONCATENATE($B$8,"_",$B39),Data!$BO$16:$ES$1015,DZ$11,FALSE),"")</f>
        <v/>
      </c>
      <c r="EA39" s="1434" t="str">
        <f>IFERROR(VLOOKUP(CONCATENATE($B$8,"_",$B39),Data!$BO$16:$ES$1015,EA$11,FALSE),"")</f>
        <v/>
      </c>
      <c r="EB39" s="1434" t="str">
        <f>IFERROR(VLOOKUP(CONCATENATE($B$8,"_",$B39),Data!$BO$16:$ES$1015,EB$11,FALSE),"")</f>
        <v/>
      </c>
      <c r="EC39" s="1434" t="str">
        <f>IFERROR(VLOOKUP(CONCATENATE($B$8,"_",$B39),Data!$BO$16:$ES$1015,EC$11,FALSE),"")</f>
        <v/>
      </c>
      <c r="ED39" s="1434" t="str">
        <f>IFERROR(VLOOKUP(CONCATENATE($B$8,"_",$B39),Data!$BO$16:$ES$1015,ED$11,FALSE),"")</f>
        <v/>
      </c>
      <c r="EE39" s="1434" t="str">
        <f>IFERROR(VLOOKUP(CONCATENATE($B$8,"_",$B39),Data!$BO$16:$ES$1015,EE$11,FALSE),"")</f>
        <v/>
      </c>
      <c r="EF39" s="1434" t="str">
        <f>IFERROR(VLOOKUP(CONCATENATE($B$8,"_",$B39),Data!$BO$16:$ES$1015,EF$11,FALSE),"")</f>
        <v/>
      </c>
      <c r="EG39" s="1434" t="str">
        <f>IFERROR(VLOOKUP(CONCATENATE($B$8,"_",$B39),Data!$BO$16:$ES$1015,EG$11,FALSE),"")</f>
        <v/>
      </c>
      <c r="EH39" s="1434" t="str">
        <f>IFERROR(VLOOKUP(CONCATENATE($B$8,"_",$B39),Data!$BO$16:$ES$1015,EH$11,FALSE),"")</f>
        <v/>
      </c>
      <c r="EI39" s="1434" t="str">
        <f>IFERROR(VLOOKUP(CONCATENATE($B$8,"_",$B39),Data!$BO$16:$ES$1015,EI$11,FALSE),"")</f>
        <v/>
      </c>
    </row>
    <row r="40" spans="1:141" s="1441" customFormat="1" ht="15" customHeight="1">
      <c r="A40" s="1438">
        <v>27</v>
      </c>
      <c r="B40" s="1738">
        <f>IF($B$13+A40&lt;=Progress!$D$18,$B$13+A40,"")</f>
        <v>2027</v>
      </c>
      <c r="C40" s="1737" t="str">
        <f>IFERROR(VLOOKUP(CONCATENATE($B$8,"_",$B40),Data!$H$16:$BN$1015,C$11,FALSE),"")</f>
        <v/>
      </c>
      <c r="D40" s="1428" t="str">
        <f>IFERROR(VLOOKUP(CONCATENATE($B$8,"_",$B40),Data!$H$16:$BN$1015,D$11,FALSE),"")</f>
        <v/>
      </c>
      <c r="E40" s="1429" t="str">
        <f>IFERROR(VLOOKUP(CONCATENATE($B$8,"_",$B40),Data!$H$16:$BN$1015,E$11,FALSE),"")</f>
        <v/>
      </c>
      <c r="F40" s="1428" t="str">
        <f>IFERROR(VLOOKUP(CONCATENATE($B$8,"_",$B40),Data!$H$16:$BN$1015,F$11,FALSE),"")</f>
        <v/>
      </c>
      <c r="G40" s="1428" t="str">
        <f>IFERROR(VLOOKUP(CONCATENATE($B$8,"_",$B40),Data!$H$16:$BN$1015,G$11,FALSE),"")</f>
        <v/>
      </c>
      <c r="H40" s="1429" t="str">
        <f>IFERROR(VLOOKUP(CONCATENATE($B$8,"_",$B40),Data!$H$16:$BN$1015,H$11,FALSE),"")</f>
        <v/>
      </c>
      <c r="I40" s="1428" t="str">
        <f>IFERROR(VLOOKUP(CONCATENATE($B$8,"_",$B40),Data!$H$16:$BN$1015,I$11,FALSE),"")</f>
        <v/>
      </c>
      <c r="J40" s="1428" t="str">
        <f>IFERROR(VLOOKUP(CONCATENATE($B$8,"_",$B40),Data!$H$16:$BN$1015,J$11,FALSE),"")</f>
        <v/>
      </c>
      <c r="K40" s="1429" t="str">
        <f>IFERROR(VLOOKUP(CONCATENATE($B$8,"_",$B40),Data!$H$16:$BN$1015,K$11,FALSE),"")</f>
        <v/>
      </c>
      <c r="L40" s="1428" t="str">
        <f>IFERROR(VLOOKUP(CONCATENATE($B$8,"_",$B40),Data!$H$16:$BN$1015,L$11,FALSE),"")</f>
        <v/>
      </c>
      <c r="M40" s="1428" t="str">
        <f>IFERROR(VLOOKUP(CONCATENATE($B$8,"_",$B40),Data!$H$16:$BN$1015,M$11,FALSE),"")</f>
        <v/>
      </c>
      <c r="N40" s="1429" t="str">
        <f>IFERROR(VLOOKUP(CONCATENATE($B$8,"_",$B40),Data!$H$16:$BN$1015,N$11,FALSE),"")</f>
        <v/>
      </c>
      <c r="O40" s="1430" t="str">
        <f>IFERROR(VLOOKUP(CONCATENATE($B$8,"_",$B40),Data!$H$16:$BN$1015,O$11,FALSE),"")</f>
        <v/>
      </c>
      <c r="P40" s="1428" t="str">
        <f>IFERROR(VLOOKUP(CONCATENATE($B$8,"_",$B40),Data!$H$16:$BN$1015,P$11,FALSE),"")</f>
        <v/>
      </c>
      <c r="Q40" s="1428" t="str">
        <f>IFERROR(VLOOKUP(CONCATENATE($B$8,"_",$B40),Data!$H$16:$BN$1015,Q$11,FALSE),"")</f>
        <v/>
      </c>
      <c r="R40" s="1429" t="str">
        <f>IFERROR(VLOOKUP(CONCATENATE($B$8,"_",$B40),Data!$H$16:$BN$1015,R$11,FALSE),"")</f>
        <v/>
      </c>
      <c r="S40" s="1428" t="str">
        <f>IFERROR(VLOOKUP(CONCATENATE($B$8,"_",$B40),Data!$H$16:$BN$1015,S$11,FALSE),"")</f>
        <v/>
      </c>
      <c r="T40" s="1428" t="str">
        <f>IFERROR(VLOOKUP(CONCATENATE($B$8,"_",$B40),Data!$H$16:$BN$1015,T$11,FALSE),"")</f>
        <v/>
      </c>
      <c r="U40" s="1429" t="str">
        <f>IFERROR(VLOOKUP(CONCATENATE($B$8,"_",$B40),Data!$H$16:$BN$1015,U$11,FALSE),"")</f>
        <v/>
      </c>
      <c r="V40" s="1428" t="str">
        <f>IFERROR(VLOOKUP(CONCATENATE($B$8,"_",$B40),Data!$H$16:$BN$1015,V$11,FALSE),"")</f>
        <v/>
      </c>
      <c r="W40" s="1428" t="str">
        <f>IFERROR(VLOOKUP(CONCATENATE($B$8,"_",$B40),Data!$H$16:$BN$1015,W$11,FALSE),"")</f>
        <v/>
      </c>
      <c r="X40" s="1428" t="str">
        <f>IFERROR(VLOOKUP(CONCATENATE($B$8,"_",$B40),Data!$H$16:$BN$1015,X$11,FALSE),"")</f>
        <v/>
      </c>
      <c r="Y40" s="1428" t="str">
        <f>IFERROR(VLOOKUP(CONCATENATE($B$8,"_",$B40),Data!$H$16:$BN$1015,Y$11,FALSE),"")</f>
        <v/>
      </c>
      <c r="Z40" s="1429" t="str">
        <f>IFERROR(VLOOKUP(CONCATENATE($B$8,"_",$B40),Data!$H$16:$BN$1015,Z$11,FALSE),"")</f>
        <v/>
      </c>
      <c r="AA40" s="1428" t="str">
        <f>IFERROR(VLOOKUP(CONCATENATE($B$8,"_",$B40),Data!$H$16:$BN$1015,AA$11,FALSE),"")</f>
        <v/>
      </c>
      <c r="AB40" s="1428" t="str">
        <f>IFERROR(VLOOKUP(CONCATENATE($B$8,"_",$B40),Data!$H$16:$BN$1015,AB$11,FALSE),"")</f>
        <v/>
      </c>
      <c r="AC40" s="1429" t="str">
        <f>IFERROR(VLOOKUP(CONCATENATE($B$8,"_",$B40),Data!$H$16:$BN$1015,AC$11,FALSE),"")</f>
        <v/>
      </c>
      <c r="AD40" s="1428" t="str">
        <f>IFERROR(VLOOKUP(CONCATENATE($B$8,"_",$B40),Data!$H$16:$BN$1015,AD$11,FALSE),"")</f>
        <v/>
      </c>
      <c r="AE40" s="1428" t="str">
        <f>IFERROR(VLOOKUP(CONCATENATE($B$8,"_",$B40),Data!$H$16:$BN$1015,AE$11,FALSE),"")</f>
        <v/>
      </c>
      <c r="AF40" s="1429" t="str">
        <f>IFERROR(VLOOKUP(CONCATENATE($B$8,"_",$B40),Data!$H$16:$BN$1015,AF$11,FALSE),"")</f>
        <v/>
      </c>
      <c r="AG40" s="1428" t="str">
        <f>IFERROR(VLOOKUP(CONCATENATE($B$8,"_",$B40),Data!$H$16:$BN$1015,AG$11,FALSE),"")</f>
        <v/>
      </c>
      <c r="AH40" s="1428" t="str">
        <f>IFERROR(VLOOKUP(CONCATENATE($B$8,"_",$B40),Data!$H$16:$BN$1015,AH$11,FALSE),"")</f>
        <v/>
      </c>
      <c r="AI40" s="1429" t="str">
        <f>IFERROR(VLOOKUP(CONCATENATE($B$8,"_",$B40),Data!$H$16:$BN$1015,AI$11,FALSE),"")</f>
        <v/>
      </c>
      <c r="AJ40" s="1428" t="str">
        <f>IFERROR(VLOOKUP(CONCATENATE($B$8,"_",$B40),Data!$H$16:$BN$1015,AJ$11,FALSE),"")</f>
        <v/>
      </c>
      <c r="AK40" s="1428" t="str">
        <f>IFERROR(VLOOKUP(CONCATENATE($B$8,"_",$B40),Data!$H$16:$BN$1015,AK$11,FALSE),"")</f>
        <v/>
      </c>
      <c r="AL40" s="1429" t="str">
        <f>IFERROR(VLOOKUP(CONCATENATE($B$8,"_",$B40),Data!$H$16:$BN$1015,AL$11,FALSE),"")</f>
        <v/>
      </c>
      <c r="AM40" s="1428" t="str">
        <f>IFERROR(VLOOKUP(CONCATENATE($B$8,"_",$B40),Data!$H$16:$BN$1015,AM$11,FALSE),"")</f>
        <v/>
      </c>
      <c r="AN40" s="1428" t="str">
        <f>IFERROR(VLOOKUP(CONCATENATE($B$8,"_",$B40),Data!$H$16:$BN$1015,AN$11,FALSE),"")</f>
        <v/>
      </c>
      <c r="AO40" s="1430" t="str">
        <f>IFERROR(VLOOKUP(CONCATENATE($B$8,"_",$B40),Data!$H$16:$BN$1015,AO$11,FALSE),"")</f>
        <v/>
      </c>
      <c r="AP40" s="1428" t="str">
        <f>IFERROR(VLOOKUP(CONCATENATE($B$8,"_",$B40),Data!$H$16:$BN$1015,AP$11,FALSE),"")</f>
        <v/>
      </c>
      <c r="AQ40" s="1428" t="str">
        <f>IFERROR(VLOOKUP(CONCATENATE($B$8,"_",$B40),Data!$H$16:$BN$1015,AQ$11,FALSE),"")</f>
        <v/>
      </c>
      <c r="AR40" s="1430" t="str">
        <f>IFERROR(VLOOKUP(CONCATENATE($B$8,"_",$B40),Data!$H$16:$BN$1015,AR$11,FALSE),"")</f>
        <v/>
      </c>
      <c r="AS40" s="1428" t="str">
        <f>IFERROR(VLOOKUP(CONCATENATE($B$8,"_",$B40),Data!$H$16:$BN$1015,AS$11,FALSE),"")</f>
        <v/>
      </c>
      <c r="AT40" s="1428" t="str">
        <f>IFERROR(VLOOKUP(CONCATENATE($B$8,"_",$B40),Data!$H$16:$BN$1015,AT$11,FALSE),"")</f>
        <v/>
      </c>
      <c r="AU40" s="1430" t="str">
        <f>IFERROR(VLOOKUP(CONCATENATE($B$8,"_",$B40),Data!$H$16:$BN$1015,AU$11,FALSE),"")</f>
        <v/>
      </c>
      <c r="AV40" s="1428" t="str">
        <f>IFERROR(VLOOKUP(CONCATENATE($B$8,"_",$B40),Data!$H$16:$BN$1015,AV$11,FALSE),"")</f>
        <v/>
      </c>
      <c r="AW40" s="1428" t="str">
        <f>IFERROR(VLOOKUP(CONCATENATE($B$8,"_",$B40),Data!$H$16:$BN$1015,AW$11,FALSE),"")</f>
        <v/>
      </c>
      <c r="AX40" s="1430" t="str">
        <f>IFERROR(VLOOKUP(CONCATENATE($B$8,"_",$B40),Data!$H$16:$BN$1015,AX$11,FALSE),"")</f>
        <v/>
      </c>
      <c r="AY40" s="1429" t="str">
        <f>IFERROR(VLOOKUP(CONCATENATE($B$8,"_",$B40),Data!$H$16:$BN$1015,AY$11,FALSE),"")</f>
        <v/>
      </c>
      <c r="AZ40" s="1429" t="str">
        <f>IFERROR(VLOOKUP(CONCATENATE($B$8,"_",$B40),Data!$H$16:$BN$1015,AZ$11,FALSE),"")</f>
        <v/>
      </c>
      <c r="BA40" s="1429" t="str">
        <f>IFERROR(VLOOKUP(CONCATENATE($B$8,"_",$B40),Data!$H$16:$BN$1015,BA$11,FALSE),"")</f>
        <v/>
      </c>
      <c r="BB40" s="1429" t="str">
        <f>IFERROR(VLOOKUP(CONCATENATE($B$8,"_",$B40),Data!$H$16:$BN$1015,BB$11,FALSE),"")</f>
        <v/>
      </c>
      <c r="BC40" s="1429" t="str">
        <f>IFERROR(VLOOKUP(CONCATENATE($B$8,"_",$B40),Data!$H$16:$BN$1015,BC$11,FALSE),"")</f>
        <v/>
      </c>
      <c r="BD40" s="1431" t="str">
        <f>IFERROR(VLOOKUP(CONCATENATE($B$8,"_",$B40),Data!$H$16:$BN$1015,BD$11,FALSE),"")</f>
        <v/>
      </c>
      <c r="BE40" s="1439">
        <f t="shared" si="0"/>
        <v>2027</v>
      </c>
      <c r="BF40" s="1428" t="str">
        <f>IFERROR(VLOOKUP(CONCATENATE($B$8,"_",$B40),Data!$BO$16:$ES$1015,BF$11,FALSE),"")</f>
        <v/>
      </c>
      <c r="BG40" s="1433" t="str">
        <f>IFERROR(VLOOKUP(CONCATENATE($B$8,"_",$B40),Data!$BO$16:$ES$1015,BG$11,FALSE),"")</f>
        <v/>
      </c>
      <c r="BH40" s="1435" t="str">
        <f>IFERROR(VLOOKUP(CONCATENATE($B$8,"_",$B40),Data!$BO$16:$ES$1015,BH$11,FALSE),"")</f>
        <v/>
      </c>
      <c r="BI40" s="1434" t="str">
        <f>IFERROR(VLOOKUP(CONCATENATE($B$8,"_",$B40),Data!$BO$16:$ES$1015,BI$11,FALSE),"")</f>
        <v/>
      </c>
      <c r="BJ40" s="1428" t="str">
        <f>IFERROR(VLOOKUP(CONCATENATE($B$8,"_",$B40),Data!$BO$16:$ES$1015,BJ$11,FALSE),"")</f>
        <v/>
      </c>
      <c r="BK40" s="1428" t="str">
        <f>IFERROR(VLOOKUP(CONCATENATE($B$8,"_",$B40),Data!$BO$16:$ES$1015,BK$11,FALSE),"")</f>
        <v/>
      </c>
      <c r="BL40" s="1428" t="str">
        <f>IFERROR(VLOOKUP(CONCATENATE($B$8,"_",$B40),Data!$BO$16:$ES$1015,BL$11,FALSE),"")</f>
        <v/>
      </c>
      <c r="BM40" s="1433" t="str">
        <f>IFERROR(VLOOKUP(CONCATENATE($B$8,"_",$B40),Data!$BO$16:$ES$1015,BM$11,FALSE),"")</f>
        <v/>
      </c>
      <c r="BN40" s="1433" t="str">
        <f>IFERROR(VLOOKUP(CONCATENATE($B$8,"_",$B40),Data!$BO$16:$ES$1015,BN$11,FALSE),"")</f>
        <v/>
      </c>
      <c r="BO40" s="1433" t="str">
        <f>IFERROR(VLOOKUP(CONCATENATE($B$8,"_",$B40),Data!$BO$16:$ES$1015,BO$11,FALSE),"")</f>
        <v/>
      </c>
      <c r="BP40" s="1433" t="str">
        <f>IFERROR(VLOOKUP(CONCATENATE($B$8,"_",$B40),Data!$BO$16:$ES$1015,BP$11,FALSE),"")</f>
        <v/>
      </c>
      <c r="BQ40" s="1433" t="str">
        <f>IFERROR(VLOOKUP(CONCATENATE($B$8,"_",$B40),Data!$BO$16:$ES$1015,BQ$11,FALSE),"")</f>
        <v/>
      </c>
      <c r="BR40" s="1434" t="str">
        <f>IFERROR(VLOOKUP(CONCATENATE($B$8,"_",$B40),Data!$BO$16:$ES$1015,BR$11,FALSE),"")</f>
        <v/>
      </c>
      <c r="BS40" s="1434" t="str">
        <f>IFERROR(VLOOKUP(CONCATENATE($B$8,"_",$B40),Data!$BO$16:$ES$1015,BS$11,FALSE),"")</f>
        <v/>
      </c>
      <c r="BT40" s="1434" t="str">
        <f>IFERROR(VLOOKUP(CONCATENATE($B$8,"_",$B40),Data!$BO$16:$ES$1015,BT$11,FALSE),"")</f>
        <v/>
      </c>
      <c r="BU40" s="1434" t="str">
        <f>IFERROR(VLOOKUP(CONCATENATE($B$8,"_",$B40),Data!$BO$16:$ES$1015,BU$11,FALSE),"")</f>
        <v/>
      </c>
      <c r="BV40" s="1434" t="str">
        <f>IFERROR(VLOOKUP(CONCATENATE($B$8,"_",$B40),Data!$BO$16:$ES$1015,BV$11,FALSE),"")</f>
        <v/>
      </c>
      <c r="BW40" s="1434" t="str">
        <f>IFERROR(VLOOKUP(CONCATENATE($B$8,"_",$B40),Data!$BO$16:$ES$1015,BW$11,FALSE),"")</f>
        <v/>
      </c>
      <c r="BX40" s="1434" t="str">
        <f>IFERROR(VLOOKUP(CONCATENATE($B$8,"_",$B40),Data!$BO$16:$ES$1015,BX$11,FALSE),"")</f>
        <v/>
      </c>
      <c r="BY40" s="1428" t="str">
        <f>IFERROR(VLOOKUP(CONCATENATE($B$8,"_",$B40),Data!$BO$16:$ES$1015,BY$11,FALSE),"")</f>
        <v/>
      </c>
      <c r="BZ40" s="1428" t="str">
        <f>IFERROR(VLOOKUP(CONCATENATE($B$8,"_",$B40),Data!$BO$16:$ES$1015,BZ$11,FALSE),"")</f>
        <v/>
      </c>
      <c r="CA40" s="1428" t="str">
        <f>IFERROR(VLOOKUP(CONCATENATE($B$8,"_",$B40),Data!$BO$16:$ES$1015,CA$11,FALSE),"")</f>
        <v/>
      </c>
      <c r="CB40" s="1428" t="str">
        <f>IFERROR(VLOOKUP(CONCATENATE($B$8,"_",$B40),Data!$BO$16:$ES$1015,CB$11,FALSE),"")</f>
        <v/>
      </c>
      <c r="CC40" s="1428" t="str">
        <f>IFERROR(VLOOKUP(CONCATENATE($B$8,"_",$B40),Data!$BO$16:$ES$1015,CC$11,FALSE),"")</f>
        <v/>
      </c>
      <c r="CD40" s="1428" t="str">
        <f>IFERROR(VLOOKUP(CONCATENATE($B$8,"_",$B40),Data!$BO$16:$ES$1015,CD$11,FALSE),"")</f>
        <v/>
      </c>
      <c r="CE40" s="1428" t="str">
        <f>IFERROR(VLOOKUP(CONCATENATE($B$8,"_",$B40),Data!$BO$16:$ES$1015,CE$11,FALSE),"")</f>
        <v/>
      </c>
      <c r="CF40" s="1428" t="str">
        <f>IFERROR(VLOOKUP(CONCATENATE($B$8,"_",$B40),Data!$BO$16:$ES$1015,CF$11,FALSE),"")</f>
        <v/>
      </c>
      <c r="CG40" s="1428" t="str">
        <f>IFERROR(VLOOKUP(CONCATENATE($B$8,"_",$B40),Data!$BO$16:$ES$1015,CG$11,FALSE),"")</f>
        <v/>
      </c>
      <c r="CH40" s="1428" t="str">
        <f>IFERROR(VLOOKUP(CONCATENATE($B$8,"_",$B40),Data!$BO$16:$ES$1015,CH$11,FALSE),"")</f>
        <v/>
      </c>
      <c r="CI40" s="1428" t="str">
        <f>IFERROR(VLOOKUP(CONCATENATE($B$8,"_",$B40),Data!$BO$16:$ES$1015,CI$11,FALSE),"")</f>
        <v/>
      </c>
      <c r="CJ40" s="1428" t="str">
        <f>IFERROR(VLOOKUP(CONCATENATE($B$8,"_",$B40),Data!$BO$16:$ES$1015,CJ$11,FALSE),"")</f>
        <v/>
      </c>
      <c r="CK40" s="1428" t="str">
        <f>IFERROR(VLOOKUP(CONCATENATE($B$8,"_",$B40),Data!$BO$16:$ES$1015,CK$11,FALSE),"")</f>
        <v/>
      </c>
      <c r="CL40" s="1428" t="str">
        <f>IFERROR(VLOOKUP(CONCATENATE($B$8,"_",$B40),Data!$BO$16:$ES$1015,CL$11,FALSE),"")</f>
        <v/>
      </c>
      <c r="CM40" s="1428" t="str">
        <f>IFERROR(VLOOKUP(CONCATENATE($B$8,"_",$B40),Data!$BO$16:$ES$1015,CM$11,FALSE),"")</f>
        <v/>
      </c>
      <c r="CN40" s="1428" t="str">
        <f>IFERROR(VLOOKUP(CONCATENATE($B$8,"_",$B40),Data!$BO$16:$ES$1015,CN$11,FALSE),"")</f>
        <v/>
      </c>
      <c r="CO40" s="1428" t="str">
        <f>IFERROR(VLOOKUP(CONCATENATE($B$8,"_",$B40),Data!$BO$16:$ES$1015,CO$11,FALSE),"")</f>
        <v/>
      </c>
      <c r="CP40" s="1433" t="str">
        <f>IFERROR(VLOOKUP(CONCATENATE($B$8,"_",$B40),Data!$BO$16:$ES$1015,CP$11,FALSE),"")</f>
        <v/>
      </c>
      <c r="CQ40" s="1433" t="str">
        <f>IFERROR(VLOOKUP(CONCATENATE($B$8,"_",$B40),Data!$BO$16:$ES$1015,CQ$11,FALSE),"")</f>
        <v/>
      </c>
      <c r="CR40" s="1433" t="str">
        <f>IFERROR(VLOOKUP(CONCATENATE($B$8,"_",$B40),Data!$BO$16:$ES$1015,CR$11,FALSE),"")</f>
        <v/>
      </c>
      <c r="CS40" s="1433" t="str">
        <f>IFERROR(VLOOKUP(CONCATENATE($B$8,"_",$B40),Data!$BO$16:$ES$1015,CS$11,FALSE),"")</f>
        <v/>
      </c>
      <c r="CT40" s="1433" t="str">
        <f>IFERROR(VLOOKUP(CONCATENATE($B$8,"_",$B40),Data!$BO$16:$ES$1015,CT$11,FALSE),"")</f>
        <v/>
      </c>
      <c r="CU40" s="1433" t="str">
        <f>IFERROR(VLOOKUP(CONCATENATE($B$8,"_",$B40),Data!$BO$16:$ES$1015,CU$11,FALSE),"")</f>
        <v/>
      </c>
      <c r="CV40" s="1433" t="str">
        <f>IFERROR(VLOOKUP(CONCATENATE($B$8,"_",$B40),Data!$BO$16:$ES$1015,CV$11,FALSE),"")</f>
        <v/>
      </c>
      <c r="CW40" s="1433" t="str">
        <f>IFERROR(VLOOKUP(CONCATENATE($B$8,"_",$B40),Data!$BO$16:$ES$1015,CW$11,FALSE),"")</f>
        <v/>
      </c>
      <c r="CX40" s="1433" t="str">
        <f>IFERROR(VLOOKUP(CONCATENATE($B$8,"_",$B40),Data!$BO$16:$ES$1015,CX$11,FALSE),"")</f>
        <v/>
      </c>
      <c r="CY40" s="1433" t="str">
        <f>IFERROR(VLOOKUP(CONCATENATE($B$8,"_",$B40),Data!$BO$16:$ES$1015,CY$11,FALSE),"")</f>
        <v/>
      </c>
      <c r="CZ40" s="1433" t="str">
        <f>IFERROR(VLOOKUP(CONCATENATE($B$8,"_",$B40),Data!$BO$16:$ES$1015,CZ$11,FALSE),"")</f>
        <v/>
      </c>
      <c r="DA40" s="1433" t="str">
        <f>IFERROR(VLOOKUP(CONCATENATE($B$8,"_",$B40),Data!$BO$16:$ES$1015,DA$11,FALSE),"")</f>
        <v/>
      </c>
      <c r="DB40" s="1433" t="str">
        <f>IFERROR(VLOOKUP(CONCATENATE($B$8,"_",$B40),Data!$BO$16:$ES$1015,DB$11,FALSE),"")</f>
        <v/>
      </c>
      <c r="DC40" s="1433" t="str">
        <f>IFERROR(VLOOKUP(CONCATENATE($B$8,"_",$B40),Data!$BO$16:$ES$1015,DC$11,FALSE),"")</f>
        <v/>
      </c>
      <c r="DD40" s="1433" t="str">
        <f>IFERROR(VLOOKUP(CONCATENATE($B$8,"_",$B40),Data!$BO$16:$ES$1015,DD$11,FALSE),"")</f>
        <v/>
      </c>
      <c r="DE40" s="1433" t="str">
        <f>IFERROR(VLOOKUP(CONCATENATE($B$8,"_",$B40),Data!$BO$16:$ES$1015,DE$11,FALSE),"")</f>
        <v/>
      </c>
      <c r="DF40" s="1433" t="str">
        <f>IFERROR(VLOOKUP(CONCATENATE($B$8,"_",$B40),Data!$BO$16:$ES$1015,DF$11,FALSE),"")</f>
        <v/>
      </c>
      <c r="DG40" s="1433" t="str">
        <f>IFERROR(VLOOKUP(CONCATENATE($B$8,"_",$B40),Data!$BO$16:$ES$1015,DG$11,FALSE),"")</f>
        <v/>
      </c>
      <c r="DH40" s="1433" t="str">
        <f>IFERROR(VLOOKUP(CONCATENATE($B$8,"_",$B40),Data!$BO$16:$ES$1015,DH$11,FALSE),"")</f>
        <v/>
      </c>
      <c r="DI40" s="1433" t="str">
        <f>IFERROR(VLOOKUP(CONCATENATE($B$8,"_",$B40),Data!$BO$16:$ES$1015,DI$11,FALSE),"")</f>
        <v/>
      </c>
      <c r="DJ40" s="1433" t="str">
        <f>IFERROR(VLOOKUP(CONCATENATE($B$8,"_",$B40),Data!$BO$16:$ES$1015,DJ$11,FALSE),"")</f>
        <v/>
      </c>
      <c r="DK40" s="1433" t="str">
        <f>IFERROR(VLOOKUP(CONCATENATE($B$8,"_",$B40),Data!$BO$16:$ES$1015,DK$11,FALSE),"")</f>
        <v/>
      </c>
      <c r="DL40" s="1435" t="str">
        <f>IFERROR(VLOOKUP(CONCATENATE($B$8,"_",$B40),Data!$BO$16:$ES$1015,DL$11,FALSE),"")</f>
        <v/>
      </c>
      <c r="DM40" s="1434" t="str">
        <f>IFERROR(VLOOKUP(CONCATENATE($B$8,"_",$B40),Data!$BO$16:$ES$1015,DM$11,FALSE),"")</f>
        <v/>
      </c>
      <c r="DN40" s="1434" t="str">
        <f>IFERROR(VLOOKUP(CONCATENATE($B$8,"_",$B40),Data!$BO$16:$ES$1015,DN$11,FALSE),"")</f>
        <v/>
      </c>
      <c r="DO40" s="1434" t="str">
        <f>IFERROR(VLOOKUP(CONCATENATE($B$8,"_",$B40),Data!$BO$16:$ES$1015,DO$11,FALSE),"")</f>
        <v/>
      </c>
      <c r="DP40" s="1434" t="str">
        <f>IFERROR(VLOOKUP(CONCATENATE($B$8,"_",$B40),Data!$BO$16:$ES$1015,DP$11,FALSE),"")</f>
        <v/>
      </c>
      <c r="DQ40" s="1434" t="str">
        <f>IFERROR(VLOOKUP(CONCATENATE($B$8,"_",$B40),Data!$BO$16:$ES$1015,DQ$11,FALSE),"")</f>
        <v/>
      </c>
      <c r="DR40" s="1434" t="str">
        <f>IFERROR(VLOOKUP(CONCATENATE($B$8,"_",$B40),Data!$BO$16:$ES$1015,DR$11,FALSE),"")</f>
        <v/>
      </c>
      <c r="DS40" s="1434" t="str">
        <f>IFERROR(VLOOKUP(CONCATENATE($B$8,"_",$B40),Data!$BO$16:$ES$1015,DS$11,FALSE),"")</f>
        <v/>
      </c>
      <c r="DT40" s="1434" t="str">
        <f>IFERROR(VLOOKUP(CONCATENATE($B$8,"_",$B40),Data!$BO$16:$ES$1015,DT$11,FALSE),"")</f>
        <v/>
      </c>
      <c r="DU40" s="1434" t="str">
        <f>IFERROR(VLOOKUP(CONCATENATE($B$8,"_",$B40),Data!$BO$16:$ES$1015,DU$11,FALSE),"")</f>
        <v/>
      </c>
      <c r="DV40" s="1434" t="str">
        <f>IFERROR(VLOOKUP(CONCATENATE($B$8,"_",$B40),Data!$BO$16:$ES$1015,DV$11,FALSE),"")</f>
        <v/>
      </c>
      <c r="DW40" s="1434" t="str">
        <f>IFERROR(VLOOKUP(CONCATENATE($B$8,"_",$B40),Data!$BO$16:$ES$1015,DW$11,FALSE),"")</f>
        <v/>
      </c>
      <c r="DX40" s="1434" t="str">
        <f>IFERROR(VLOOKUP(CONCATENATE($B$8,"_",$B40),Data!$BO$16:$ES$1015,DX$11,FALSE),"")</f>
        <v/>
      </c>
      <c r="DY40" s="1434" t="str">
        <f>IFERROR(VLOOKUP(CONCATENATE($B$8,"_",$B40),Data!$BO$16:$ES$1015,DY$11,FALSE),"")</f>
        <v/>
      </c>
      <c r="DZ40" s="1434" t="str">
        <f>IFERROR(VLOOKUP(CONCATENATE($B$8,"_",$B40),Data!$BO$16:$ES$1015,DZ$11,FALSE),"")</f>
        <v/>
      </c>
      <c r="EA40" s="1434" t="str">
        <f>IFERROR(VLOOKUP(CONCATENATE($B$8,"_",$B40),Data!$BO$16:$ES$1015,EA$11,FALSE),"")</f>
        <v/>
      </c>
      <c r="EB40" s="1434" t="str">
        <f>IFERROR(VLOOKUP(CONCATENATE($B$8,"_",$B40),Data!$BO$16:$ES$1015,EB$11,FALSE),"")</f>
        <v/>
      </c>
      <c r="EC40" s="1434" t="str">
        <f>IFERROR(VLOOKUP(CONCATENATE($B$8,"_",$B40),Data!$BO$16:$ES$1015,EC$11,FALSE),"")</f>
        <v/>
      </c>
      <c r="ED40" s="1434" t="str">
        <f>IFERROR(VLOOKUP(CONCATENATE($B$8,"_",$B40),Data!$BO$16:$ES$1015,ED$11,FALSE),"")</f>
        <v/>
      </c>
      <c r="EE40" s="1434" t="str">
        <f>IFERROR(VLOOKUP(CONCATENATE($B$8,"_",$B40),Data!$BO$16:$ES$1015,EE$11,FALSE),"")</f>
        <v/>
      </c>
      <c r="EF40" s="1434" t="str">
        <f>IFERROR(VLOOKUP(CONCATENATE($B$8,"_",$B40),Data!$BO$16:$ES$1015,EF$11,FALSE),"")</f>
        <v/>
      </c>
      <c r="EG40" s="1434" t="str">
        <f>IFERROR(VLOOKUP(CONCATENATE($B$8,"_",$B40),Data!$BO$16:$ES$1015,EG$11,FALSE),"")</f>
        <v/>
      </c>
      <c r="EH40" s="1434" t="str">
        <f>IFERROR(VLOOKUP(CONCATENATE($B$8,"_",$B40),Data!$BO$16:$ES$1015,EH$11,FALSE),"")</f>
        <v/>
      </c>
      <c r="EI40" s="1434" t="str">
        <f>IFERROR(VLOOKUP(CONCATENATE($B$8,"_",$B40),Data!$BO$16:$ES$1015,EI$11,FALSE),"")</f>
        <v/>
      </c>
    </row>
    <row r="41" spans="1:141" s="1441" customFormat="1" ht="15" customHeight="1">
      <c r="A41" s="1438">
        <v>28</v>
      </c>
      <c r="B41" s="1738">
        <f>IF($B$13+A41&lt;=Progress!$D$18,$B$13+A41,"")</f>
        <v>2028</v>
      </c>
      <c r="C41" s="1737" t="str">
        <f>IFERROR(VLOOKUP(CONCATENATE($B$8,"_",$B41),Data!$H$16:$BN$1015,C$11,FALSE),"")</f>
        <v/>
      </c>
      <c r="D41" s="1428" t="str">
        <f>IFERROR(VLOOKUP(CONCATENATE($B$8,"_",$B41),Data!$H$16:$BN$1015,D$11,FALSE),"")</f>
        <v/>
      </c>
      <c r="E41" s="1429" t="str">
        <f>IFERROR(VLOOKUP(CONCATENATE($B$8,"_",$B41),Data!$H$16:$BN$1015,E$11,FALSE),"")</f>
        <v/>
      </c>
      <c r="F41" s="1428" t="str">
        <f>IFERROR(VLOOKUP(CONCATENATE($B$8,"_",$B41),Data!$H$16:$BN$1015,F$11,FALSE),"")</f>
        <v/>
      </c>
      <c r="G41" s="1428" t="str">
        <f>IFERROR(VLOOKUP(CONCATENATE($B$8,"_",$B41),Data!$H$16:$BN$1015,G$11,FALSE),"")</f>
        <v/>
      </c>
      <c r="H41" s="1429" t="str">
        <f>IFERROR(VLOOKUP(CONCATENATE($B$8,"_",$B41),Data!$H$16:$BN$1015,H$11,FALSE),"")</f>
        <v/>
      </c>
      <c r="I41" s="1428" t="str">
        <f>IFERROR(VLOOKUP(CONCATENATE($B$8,"_",$B41),Data!$H$16:$BN$1015,I$11,FALSE),"")</f>
        <v/>
      </c>
      <c r="J41" s="1428" t="str">
        <f>IFERROR(VLOOKUP(CONCATENATE($B$8,"_",$B41),Data!$H$16:$BN$1015,J$11,FALSE),"")</f>
        <v/>
      </c>
      <c r="K41" s="1429" t="str">
        <f>IFERROR(VLOOKUP(CONCATENATE($B$8,"_",$B41),Data!$H$16:$BN$1015,K$11,FALSE),"")</f>
        <v/>
      </c>
      <c r="L41" s="1428" t="str">
        <f>IFERROR(VLOOKUP(CONCATENATE($B$8,"_",$B41),Data!$H$16:$BN$1015,L$11,FALSE),"")</f>
        <v/>
      </c>
      <c r="M41" s="1428" t="str">
        <f>IFERROR(VLOOKUP(CONCATENATE($B$8,"_",$B41),Data!$H$16:$BN$1015,M$11,FALSE),"")</f>
        <v/>
      </c>
      <c r="N41" s="1429" t="str">
        <f>IFERROR(VLOOKUP(CONCATENATE($B$8,"_",$B41),Data!$H$16:$BN$1015,N$11,FALSE),"")</f>
        <v/>
      </c>
      <c r="O41" s="1430" t="str">
        <f>IFERROR(VLOOKUP(CONCATENATE($B$8,"_",$B41),Data!$H$16:$BN$1015,O$11,FALSE),"")</f>
        <v/>
      </c>
      <c r="P41" s="1428" t="str">
        <f>IFERROR(VLOOKUP(CONCATENATE($B$8,"_",$B41),Data!$H$16:$BN$1015,P$11,FALSE),"")</f>
        <v/>
      </c>
      <c r="Q41" s="1428" t="str">
        <f>IFERROR(VLOOKUP(CONCATENATE($B$8,"_",$B41),Data!$H$16:$BN$1015,Q$11,FALSE),"")</f>
        <v/>
      </c>
      <c r="R41" s="1429" t="str">
        <f>IFERROR(VLOOKUP(CONCATENATE($B$8,"_",$B41),Data!$H$16:$BN$1015,R$11,FALSE),"")</f>
        <v/>
      </c>
      <c r="S41" s="1428" t="str">
        <f>IFERROR(VLOOKUP(CONCATENATE($B$8,"_",$B41),Data!$H$16:$BN$1015,S$11,FALSE),"")</f>
        <v/>
      </c>
      <c r="T41" s="1428" t="str">
        <f>IFERROR(VLOOKUP(CONCATENATE($B$8,"_",$B41),Data!$H$16:$BN$1015,T$11,FALSE),"")</f>
        <v/>
      </c>
      <c r="U41" s="1429" t="str">
        <f>IFERROR(VLOOKUP(CONCATENATE($B$8,"_",$B41),Data!$H$16:$BN$1015,U$11,FALSE),"")</f>
        <v/>
      </c>
      <c r="V41" s="1428" t="str">
        <f>IFERROR(VLOOKUP(CONCATENATE($B$8,"_",$B41),Data!$H$16:$BN$1015,V$11,FALSE),"")</f>
        <v/>
      </c>
      <c r="W41" s="1428" t="str">
        <f>IFERROR(VLOOKUP(CONCATENATE($B$8,"_",$B41),Data!$H$16:$BN$1015,W$11,FALSE),"")</f>
        <v/>
      </c>
      <c r="X41" s="1428" t="str">
        <f>IFERROR(VLOOKUP(CONCATENATE($B$8,"_",$B41),Data!$H$16:$BN$1015,X$11,FALSE),"")</f>
        <v/>
      </c>
      <c r="Y41" s="1428" t="str">
        <f>IFERROR(VLOOKUP(CONCATENATE($B$8,"_",$B41),Data!$H$16:$BN$1015,Y$11,FALSE),"")</f>
        <v/>
      </c>
      <c r="Z41" s="1429" t="str">
        <f>IFERROR(VLOOKUP(CONCATENATE($B$8,"_",$B41),Data!$H$16:$BN$1015,Z$11,FALSE),"")</f>
        <v/>
      </c>
      <c r="AA41" s="1428" t="str">
        <f>IFERROR(VLOOKUP(CONCATENATE($B$8,"_",$B41),Data!$H$16:$BN$1015,AA$11,FALSE),"")</f>
        <v/>
      </c>
      <c r="AB41" s="1428" t="str">
        <f>IFERROR(VLOOKUP(CONCATENATE($B$8,"_",$B41),Data!$H$16:$BN$1015,AB$11,FALSE),"")</f>
        <v/>
      </c>
      <c r="AC41" s="1429" t="str">
        <f>IFERROR(VLOOKUP(CONCATENATE($B$8,"_",$B41),Data!$H$16:$BN$1015,AC$11,FALSE),"")</f>
        <v/>
      </c>
      <c r="AD41" s="1428" t="str">
        <f>IFERROR(VLOOKUP(CONCATENATE($B$8,"_",$B41),Data!$H$16:$BN$1015,AD$11,FALSE),"")</f>
        <v/>
      </c>
      <c r="AE41" s="1428" t="str">
        <f>IFERROR(VLOOKUP(CONCATENATE($B$8,"_",$B41),Data!$H$16:$BN$1015,AE$11,FALSE),"")</f>
        <v/>
      </c>
      <c r="AF41" s="1429" t="str">
        <f>IFERROR(VLOOKUP(CONCATENATE($B$8,"_",$B41),Data!$H$16:$BN$1015,AF$11,FALSE),"")</f>
        <v/>
      </c>
      <c r="AG41" s="1428" t="str">
        <f>IFERROR(VLOOKUP(CONCATENATE($B$8,"_",$B41),Data!$H$16:$BN$1015,AG$11,FALSE),"")</f>
        <v/>
      </c>
      <c r="AH41" s="1428" t="str">
        <f>IFERROR(VLOOKUP(CONCATENATE($B$8,"_",$B41),Data!$H$16:$BN$1015,AH$11,FALSE),"")</f>
        <v/>
      </c>
      <c r="AI41" s="1429" t="str">
        <f>IFERROR(VLOOKUP(CONCATENATE($B$8,"_",$B41),Data!$H$16:$BN$1015,AI$11,FALSE),"")</f>
        <v/>
      </c>
      <c r="AJ41" s="1428" t="str">
        <f>IFERROR(VLOOKUP(CONCATENATE($B$8,"_",$B41),Data!$H$16:$BN$1015,AJ$11,FALSE),"")</f>
        <v/>
      </c>
      <c r="AK41" s="1428" t="str">
        <f>IFERROR(VLOOKUP(CONCATENATE($B$8,"_",$B41),Data!$H$16:$BN$1015,AK$11,FALSE),"")</f>
        <v/>
      </c>
      <c r="AL41" s="1429" t="str">
        <f>IFERROR(VLOOKUP(CONCATENATE($B$8,"_",$B41),Data!$H$16:$BN$1015,AL$11,FALSE),"")</f>
        <v/>
      </c>
      <c r="AM41" s="1428" t="str">
        <f>IFERROR(VLOOKUP(CONCATENATE($B$8,"_",$B41),Data!$H$16:$BN$1015,AM$11,FALSE),"")</f>
        <v/>
      </c>
      <c r="AN41" s="1428" t="str">
        <f>IFERROR(VLOOKUP(CONCATENATE($B$8,"_",$B41),Data!$H$16:$BN$1015,AN$11,FALSE),"")</f>
        <v/>
      </c>
      <c r="AO41" s="1430" t="str">
        <f>IFERROR(VLOOKUP(CONCATENATE($B$8,"_",$B41),Data!$H$16:$BN$1015,AO$11,FALSE),"")</f>
        <v/>
      </c>
      <c r="AP41" s="1428" t="str">
        <f>IFERROR(VLOOKUP(CONCATENATE($B$8,"_",$B41),Data!$H$16:$BN$1015,AP$11,FALSE),"")</f>
        <v/>
      </c>
      <c r="AQ41" s="1428" t="str">
        <f>IFERROR(VLOOKUP(CONCATENATE($B$8,"_",$B41),Data!$H$16:$BN$1015,AQ$11,FALSE),"")</f>
        <v/>
      </c>
      <c r="AR41" s="1430" t="str">
        <f>IFERROR(VLOOKUP(CONCATENATE($B$8,"_",$B41),Data!$H$16:$BN$1015,AR$11,FALSE),"")</f>
        <v/>
      </c>
      <c r="AS41" s="1428" t="str">
        <f>IFERROR(VLOOKUP(CONCATENATE($B$8,"_",$B41),Data!$H$16:$BN$1015,AS$11,FALSE),"")</f>
        <v/>
      </c>
      <c r="AT41" s="1428" t="str">
        <f>IFERROR(VLOOKUP(CONCATENATE($B$8,"_",$B41),Data!$H$16:$BN$1015,AT$11,FALSE),"")</f>
        <v/>
      </c>
      <c r="AU41" s="1430" t="str">
        <f>IFERROR(VLOOKUP(CONCATENATE($B$8,"_",$B41),Data!$H$16:$BN$1015,AU$11,FALSE),"")</f>
        <v/>
      </c>
      <c r="AV41" s="1428" t="str">
        <f>IFERROR(VLOOKUP(CONCATENATE($B$8,"_",$B41),Data!$H$16:$BN$1015,AV$11,FALSE),"")</f>
        <v/>
      </c>
      <c r="AW41" s="1428" t="str">
        <f>IFERROR(VLOOKUP(CONCATENATE($B$8,"_",$B41),Data!$H$16:$BN$1015,AW$11,FALSE),"")</f>
        <v/>
      </c>
      <c r="AX41" s="1430" t="str">
        <f>IFERROR(VLOOKUP(CONCATENATE($B$8,"_",$B41),Data!$H$16:$BN$1015,AX$11,FALSE),"")</f>
        <v/>
      </c>
      <c r="AY41" s="1429" t="str">
        <f>IFERROR(VLOOKUP(CONCATENATE($B$8,"_",$B41),Data!$H$16:$BN$1015,AY$11,FALSE),"")</f>
        <v/>
      </c>
      <c r="AZ41" s="1429" t="str">
        <f>IFERROR(VLOOKUP(CONCATENATE($B$8,"_",$B41),Data!$H$16:$BN$1015,AZ$11,FALSE),"")</f>
        <v/>
      </c>
      <c r="BA41" s="1429" t="str">
        <f>IFERROR(VLOOKUP(CONCATENATE($B$8,"_",$B41),Data!$H$16:$BN$1015,BA$11,FALSE),"")</f>
        <v/>
      </c>
      <c r="BB41" s="1429" t="str">
        <f>IFERROR(VLOOKUP(CONCATENATE($B$8,"_",$B41),Data!$H$16:$BN$1015,BB$11,FALSE),"")</f>
        <v/>
      </c>
      <c r="BC41" s="1429" t="str">
        <f>IFERROR(VLOOKUP(CONCATENATE($B$8,"_",$B41),Data!$H$16:$BN$1015,BC$11,FALSE),"")</f>
        <v/>
      </c>
      <c r="BD41" s="1431" t="str">
        <f>IFERROR(VLOOKUP(CONCATENATE($B$8,"_",$B41),Data!$H$16:$BN$1015,BD$11,FALSE),"")</f>
        <v/>
      </c>
      <c r="BE41" s="1439">
        <f t="shared" si="0"/>
        <v>2028</v>
      </c>
      <c r="BF41" s="1428" t="str">
        <f>IFERROR(VLOOKUP(CONCATENATE($B$8,"_",$B41),Data!$BO$16:$ES$1015,BF$11,FALSE),"")</f>
        <v/>
      </c>
      <c r="BG41" s="1433" t="str">
        <f>IFERROR(VLOOKUP(CONCATENATE($B$8,"_",$B41),Data!$BO$16:$ES$1015,BG$11,FALSE),"")</f>
        <v/>
      </c>
      <c r="BH41" s="1435" t="str">
        <f>IFERROR(VLOOKUP(CONCATENATE($B$8,"_",$B41),Data!$BO$16:$ES$1015,BH$11,FALSE),"")</f>
        <v/>
      </c>
      <c r="BI41" s="1434" t="str">
        <f>IFERROR(VLOOKUP(CONCATENATE($B$8,"_",$B41),Data!$BO$16:$ES$1015,BI$11,FALSE),"")</f>
        <v/>
      </c>
      <c r="BJ41" s="1428" t="str">
        <f>IFERROR(VLOOKUP(CONCATENATE($B$8,"_",$B41),Data!$BO$16:$ES$1015,BJ$11,FALSE),"")</f>
        <v/>
      </c>
      <c r="BK41" s="1428" t="str">
        <f>IFERROR(VLOOKUP(CONCATENATE($B$8,"_",$B41),Data!$BO$16:$ES$1015,BK$11,FALSE),"")</f>
        <v/>
      </c>
      <c r="BL41" s="1428" t="str">
        <f>IFERROR(VLOOKUP(CONCATENATE($B$8,"_",$B41),Data!$BO$16:$ES$1015,BL$11,FALSE),"")</f>
        <v/>
      </c>
      <c r="BM41" s="1433" t="str">
        <f>IFERROR(VLOOKUP(CONCATENATE($B$8,"_",$B41),Data!$BO$16:$ES$1015,BM$11,FALSE),"")</f>
        <v/>
      </c>
      <c r="BN41" s="1433" t="str">
        <f>IFERROR(VLOOKUP(CONCATENATE($B$8,"_",$B41),Data!$BO$16:$ES$1015,BN$11,FALSE),"")</f>
        <v/>
      </c>
      <c r="BO41" s="1433" t="str">
        <f>IFERROR(VLOOKUP(CONCATENATE($B$8,"_",$B41),Data!$BO$16:$ES$1015,BO$11,FALSE),"")</f>
        <v/>
      </c>
      <c r="BP41" s="1433" t="str">
        <f>IFERROR(VLOOKUP(CONCATENATE($B$8,"_",$B41),Data!$BO$16:$ES$1015,BP$11,FALSE),"")</f>
        <v/>
      </c>
      <c r="BQ41" s="1433" t="str">
        <f>IFERROR(VLOOKUP(CONCATENATE($B$8,"_",$B41),Data!$BO$16:$ES$1015,BQ$11,FALSE),"")</f>
        <v/>
      </c>
      <c r="BR41" s="1434" t="str">
        <f>IFERROR(VLOOKUP(CONCATENATE($B$8,"_",$B41),Data!$BO$16:$ES$1015,BR$11,FALSE),"")</f>
        <v/>
      </c>
      <c r="BS41" s="1434" t="str">
        <f>IFERROR(VLOOKUP(CONCATENATE($B$8,"_",$B41),Data!$BO$16:$ES$1015,BS$11,FALSE),"")</f>
        <v/>
      </c>
      <c r="BT41" s="1434" t="str">
        <f>IFERROR(VLOOKUP(CONCATENATE($B$8,"_",$B41),Data!$BO$16:$ES$1015,BT$11,FALSE),"")</f>
        <v/>
      </c>
      <c r="BU41" s="1434" t="str">
        <f>IFERROR(VLOOKUP(CONCATENATE($B$8,"_",$B41),Data!$BO$16:$ES$1015,BU$11,FALSE),"")</f>
        <v/>
      </c>
      <c r="BV41" s="1434" t="str">
        <f>IFERROR(VLOOKUP(CONCATENATE($B$8,"_",$B41),Data!$BO$16:$ES$1015,BV$11,FALSE),"")</f>
        <v/>
      </c>
      <c r="BW41" s="1434" t="str">
        <f>IFERROR(VLOOKUP(CONCATENATE($B$8,"_",$B41),Data!$BO$16:$ES$1015,BW$11,FALSE),"")</f>
        <v/>
      </c>
      <c r="BX41" s="1434" t="str">
        <f>IFERROR(VLOOKUP(CONCATENATE($B$8,"_",$B41),Data!$BO$16:$ES$1015,BX$11,FALSE),"")</f>
        <v/>
      </c>
      <c r="BY41" s="1428" t="str">
        <f>IFERROR(VLOOKUP(CONCATENATE($B$8,"_",$B41),Data!$BO$16:$ES$1015,BY$11,FALSE),"")</f>
        <v/>
      </c>
      <c r="BZ41" s="1428" t="str">
        <f>IFERROR(VLOOKUP(CONCATENATE($B$8,"_",$B41),Data!$BO$16:$ES$1015,BZ$11,FALSE),"")</f>
        <v/>
      </c>
      <c r="CA41" s="1428" t="str">
        <f>IFERROR(VLOOKUP(CONCATENATE($B$8,"_",$B41),Data!$BO$16:$ES$1015,CA$11,FALSE),"")</f>
        <v/>
      </c>
      <c r="CB41" s="1428" t="str">
        <f>IFERROR(VLOOKUP(CONCATENATE($B$8,"_",$B41),Data!$BO$16:$ES$1015,CB$11,FALSE),"")</f>
        <v/>
      </c>
      <c r="CC41" s="1428" t="str">
        <f>IFERROR(VLOOKUP(CONCATENATE($B$8,"_",$B41),Data!$BO$16:$ES$1015,CC$11,FALSE),"")</f>
        <v/>
      </c>
      <c r="CD41" s="1428" t="str">
        <f>IFERROR(VLOOKUP(CONCATENATE($B$8,"_",$B41),Data!$BO$16:$ES$1015,CD$11,FALSE),"")</f>
        <v/>
      </c>
      <c r="CE41" s="1428" t="str">
        <f>IFERROR(VLOOKUP(CONCATENATE($B$8,"_",$B41),Data!$BO$16:$ES$1015,CE$11,FALSE),"")</f>
        <v/>
      </c>
      <c r="CF41" s="1428" t="str">
        <f>IFERROR(VLOOKUP(CONCATENATE($B$8,"_",$B41),Data!$BO$16:$ES$1015,CF$11,FALSE),"")</f>
        <v/>
      </c>
      <c r="CG41" s="1428" t="str">
        <f>IFERROR(VLOOKUP(CONCATENATE($B$8,"_",$B41),Data!$BO$16:$ES$1015,CG$11,FALSE),"")</f>
        <v/>
      </c>
      <c r="CH41" s="1428" t="str">
        <f>IFERROR(VLOOKUP(CONCATENATE($B$8,"_",$B41),Data!$BO$16:$ES$1015,CH$11,FALSE),"")</f>
        <v/>
      </c>
      <c r="CI41" s="1428" t="str">
        <f>IFERROR(VLOOKUP(CONCATENATE($B$8,"_",$B41),Data!$BO$16:$ES$1015,CI$11,FALSE),"")</f>
        <v/>
      </c>
      <c r="CJ41" s="1428" t="str">
        <f>IFERROR(VLOOKUP(CONCATENATE($B$8,"_",$B41),Data!$BO$16:$ES$1015,CJ$11,FALSE),"")</f>
        <v/>
      </c>
      <c r="CK41" s="1428" t="str">
        <f>IFERROR(VLOOKUP(CONCATENATE($B$8,"_",$B41),Data!$BO$16:$ES$1015,CK$11,FALSE),"")</f>
        <v/>
      </c>
      <c r="CL41" s="1428" t="str">
        <f>IFERROR(VLOOKUP(CONCATENATE($B$8,"_",$B41),Data!$BO$16:$ES$1015,CL$11,FALSE),"")</f>
        <v/>
      </c>
      <c r="CM41" s="1428" t="str">
        <f>IFERROR(VLOOKUP(CONCATENATE($B$8,"_",$B41),Data!$BO$16:$ES$1015,CM$11,FALSE),"")</f>
        <v/>
      </c>
      <c r="CN41" s="1428" t="str">
        <f>IFERROR(VLOOKUP(CONCATENATE($B$8,"_",$B41),Data!$BO$16:$ES$1015,CN$11,FALSE),"")</f>
        <v/>
      </c>
      <c r="CO41" s="1428" t="str">
        <f>IFERROR(VLOOKUP(CONCATENATE($B$8,"_",$B41),Data!$BO$16:$ES$1015,CO$11,FALSE),"")</f>
        <v/>
      </c>
      <c r="CP41" s="1433" t="str">
        <f>IFERROR(VLOOKUP(CONCATENATE($B$8,"_",$B41),Data!$BO$16:$ES$1015,CP$11,FALSE),"")</f>
        <v/>
      </c>
      <c r="CQ41" s="1433" t="str">
        <f>IFERROR(VLOOKUP(CONCATENATE($B$8,"_",$B41),Data!$BO$16:$ES$1015,CQ$11,FALSE),"")</f>
        <v/>
      </c>
      <c r="CR41" s="1433" t="str">
        <f>IFERROR(VLOOKUP(CONCATENATE($B$8,"_",$B41),Data!$BO$16:$ES$1015,CR$11,FALSE),"")</f>
        <v/>
      </c>
      <c r="CS41" s="1433" t="str">
        <f>IFERROR(VLOOKUP(CONCATENATE($B$8,"_",$B41),Data!$BO$16:$ES$1015,CS$11,FALSE),"")</f>
        <v/>
      </c>
      <c r="CT41" s="1433" t="str">
        <f>IFERROR(VLOOKUP(CONCATENATE($B$8,"_",$B41),Data!$BO$16:$ES$1015,CT$11,FALSE),"")</f>
        <v/>
      </c>
      <c r="CU41" s="1433" t="str">
        <f>IFERROR(VLOOKUP(CONCATENATE($B$8,"_",$B41),Data!$BO$16:$ES$1015,CU$11,FALSE),"")</f>
        <v/>
      </c>
      <c r="CV41" s="1433" t="str">
        <f>IFERROR(VLOOKUP(CONCATENATE($B$8,"_",$B41),Data!$BO$16:$ES$1015,CV$11,FALSE),"")</f>
        <v/>
      </c>
      <c r="CW41" s="1433" t="str">
        <f>IFERROR(VLOOKUP(CONCATENATE($B$8,"_",$B41),Data!$BO$16:$ES$1015,CW$11,FALSE),"")</f>
        <v/>
      </c>
      <c r="CX41" s="1433" t="str">
        <f>IFERROR(VLOOKUP(CONCATENATE($B$8,"_",$B41),Data!$BO$16:$ES$1015,CX$11,FALSE),"")</f>
        <v/>
      </c>
      <c r="CY41" s="1433" t="str">
        <f>IFERROR(VLOOKUP(CONCATENATE($B$8,"_",$B41),Data!$BO$16:$ES$1015,CY$11,FALSE),"")</f>
        <v/>
      </c>
      <c r="CZ41" s="1433" t="str">
        <f>IFERROR(VLOOKUP(CONCATENATE($B$8,"_",$B41),Data!$BO$16:$ES$1015,CZ$11,FALSE),"")</f>
        <v/>
      </c>
      <c r="DA41" s="1433" t="str">
        <f>IFERROR(VLOOKUP(CONCATENATE($B$8,"_",$B41),Data!$BO$16:$ES$1015,DA$11,FALSE),"")</f>
        <v/>
      </c>
      <c r="DB41" s="1433" t="str">
        <f>IFERROR(VLOOKUP(CONCATENATE($B$8,"_",$B41),Data!$BO$16:$ES$1015,DB$11,FALSE),"")</f>
        <v/>
      </c>
      <c r="DC41" s="1433" t="str">
        <f>IFERROR(VLOOKUP(CONCATENATE($B$8,"_",$B41),Data!$BO$16:$ES$1015,DC$11,FALSE),"")</f>
        <v/>
      </c>
      <c r="DD41" s="1433" t="str">
        <f>IFERROR(VLOOKUP(CONCATENATE($B$8,"_",$B41),Data!$BO$16:$ES$1015,DD$11,FALSE),"")</f>
        <v/>
      </c>
      <c r="DE41" s="1433" t="str">
        <f>IFERROR(VLOOKUP(CONCATENATE($B$8,"_",$B41),Data!$BO$16:$ES$1015,DE$11,FALSE),"")</f>
        <v/>
      </c>
      <c r="DF41" s="1433" t="str">
        <f>IFERROR(VLOOKUP(CONCATENATE($B$8,"_",$B41),Data!$BO$16:$ES$1015,DF$11,FALSE),"")</f>
        <v/>
      </c>
      <c r="DG41" s="1433" t="str">
        <f>IFERROR(VLOOKUP(CONCATENATE($B$8,"_",$B41),Data!$BO$16:$ES$1015,DG$11,FALSE),"")</f>
        <v/>
      </c>
      <c r="DH41" s="1433" t="str">
        <f>IFERROR(VLOOKUP(CONCATENATE($B$8,"_",$B41),Data!$BO$16:$ES$1015,DH$11,FALSE),"")</f>
        <v/>
      </c>
      <c r="DI41" s="1433" t="str">
        <f>IFERROR(VLOOKUP(CONCATENATE($B$8,"_",$B41),Data!$BO$16:$ES$1015,DI$11,FALSE),"")</f>
        <v/>
      </c>
      <c r="DJ41" s="1433" t="str">
        <f>IFERROR(VLOOKUP(CONCATENATE($B$8,"_",$B41),Data!$BO$16:$ES$1015,DJ$11,FALSE),"")</f>
        <v/>
      </c>
      <c r="DK41" s="1433" t="str">
        <f>IFERROR(VLOOKUP(CONCATENATE($B$8,"_",$B41),Data!$BO$16:$ES$1015,DK$11,FALSE),"")</f>
        <v/>
      </c>
      <c r="DL41" s="1435" t="str">
        <f>IFERROR(VLOOKUP(CONCATENATE($B$8,"_",$B41),Data!$BO$16:$ES$1015,DL$11,FALSE),"")</f>
        <v/>
      </c>
      <c r="DM41" s="1434" t="str">
        <f>IFERROR(VLOOKUP(CONCATENATE($B$8,"_",$B41),Data!$BO$16:$ES$1015,DM$11,FALSE),"")</f>
        <v/>
      </c>
      <c r="DN41" s="1434" t="str">
        <f>IFERROR(VLOOKUP(CONCATENATE($B$8,"_",$B41),Data!$BO$16:$ES$1015,DN$11,FALSE),"")</f>
        <v/>
      </c>
      <c r="DO41" s="1434" t="str">
        <f>IFERROR(VLOOKUP(CONCATENATE($B$8,"_",$B41),Data!$BO$16:$ES$1015,DO$11,FALSE),"")</f>
        <v/>
      </c>
      <c r="DP41" s="1434" t="str">
        <f>IFERROR(VLOOKUP(CONCATENATE($B$8,"_",$B41),Data!$BO$16:$ES$1015,DP$11,FALSE),"")</f>
        <v/>
      </c>
      <c r="DQ41" s="1434" t="str">
        <f>IFERROR(VLOOKUP(CONCATENATE($B$8,"_",$B41),Data!$BO$16:$ES$1015,DQ$11,FALSE),"")</f>
        <v/>
      </c>
      <c r="DR41" s="1434" t="str">
        <f>IFERROR(VLOOKUP(CONCATENATE($B$8,"_",$B41),Data!$BO$16:$ES$1015,DR$11,FALSE),"")</f>
        <v/>
      </c>
      <c r="DS41" s="1434" t="str">
        <f>IFERROR(VLOOKUP(CONCATENATE($B$8,"_",$B41),Data!$BO$16:$ES$1015,DS$11,FALSE),"")</f>
        <v/>
      </c>
      <c r="DT41" s="1434" t="str">
        <f>IFERROR(VLOOKUP(CONCATENATE($B$8,"_",$B41),Data!$BO$16:$ES$1015,DT$11,FALSE),"")</f>
        <v/>
      </c>
      <c r="DU41" s="1434" t="str">
        <f>IFERROR(VLOOKUP(CONCATENATE($B$8,"_",$B41),Data!$BO$16:$ES$1015,DU$11,FALSE),"")</f>
        <v/>
      </c>
      <c r="DV41" s="1434" t="str">
        <f>IFERROR(VLOOKUP(CONCATENATE($B$8,"_",$B41),Data!$BO$16:$ES$1015,DV$11,FALSE),"")</f>
        <v/>
      </c>
      <c r="DW41" s="1434" t="str">
        <f>IFERROR(VLOOKUP(CONCATENATE($B$8,"_",$B41),Data!$BO$16:$ES$1015,DW$11,FALSE),"")</f>
        <v/>
      </c>
      <c r="DX41" s="1434" t="str">
        <f>IFERROR(VLOOKUP(CONCATENATE($B$8,"_",$B41),Data!$BO$16:$ES$1015,DX$11,FALSE),"")</f>
        <v/>
      </c>
      <c r="DY41" s="1434" t="str">
        <f>IFERROR(VLOOKUP(CONCATENATE($B$8,"_",$B41),Data!$BO$16:$ES$1015,DY$11,FALSE),"")</f>
        <v/>
      </c>
      <c r="DZ41" s="1434" t="str">
        <f>IFERROR(VLOOKUP(CONCATENATE($B$8,"_",$B41),Data!$BO$16:$ES$1015,DZ$11,FALSE),"")</f>
        <v/>
      </c>
      <c r="EA41" s="1434" t="str">
        <f>IFERROR(VLOOKUP(CONCATENATE($B$8,"_",$B41),Data!$BO$16:$ES$1015,EA$11,FALSE),"")</f>
        <v/>
      </c>
      <c r="EB41" s="1434" t="str">
        <f>IFERROR(VLOOKUP(CONCATENATE($B$8,"_",$B41),Data!$BO$16:$ES$1015,EB$11,FALSE),"")</f>
        <v/>
      </c>
      <c r="EC41" s="1434" t="str">
        <f>IFERROR(VLOOKUP(CONCATENATE($B$8,"_",$B41),Data!$BO$16:$ES$1015,EC$11,FALSE),"")</f>
        <v/>
      </c>
      <c r="ED41" s="1434" t="str">
        <f>IFERROR(VLOOKUP(CONCATENATE($B$8,"_",$B41),Data!$BO$16:$ES$1015,ED$11,FALSE),"")</f>
        <v/>
      </c>
      <c r="EE41" s="1434" t="str">
        <f>IFERROR(VLOOKUP(CONCATENATE($B$8,"_",$B41),Data!$BO$16:$ES$1015,EE$11,FALSE),"")</f>
        <v/>
      </c>
      <c r="EF41" s="1434" t="str">
        <f>IFERROR(VLOOKUP(CONCATENATE($B$8,"_",$B41),Data!$BO$16:$ES$1015,EF$11,FALSE),"")</f>
        <v/>
      </c>
      <c r="EG41" s="1434" t="str">
        <f>IFERROR(VLOOKUP(CONCATENATE($B$8,"_",$B41),Data!$BO$16:$ES$1015,EG$11,FALSE),"")</f>
        <v/>
      </c>
      <c r="EH41" s="1434" t="str">
        <f>IFERROR(VLOOKUP(CONCATENATE($B$8,"_",$B41),Data!$BO$16:$ES$1015,EH$11,FALSE),"")</f>
        <v/>
      </c>
      <c r="EI41" s="1434" t="str">
        <f>IFERROR(VLOOKUP(CONCATENATE($B$8,"_",$B41),Data!$BO$16:$ES$1015,EI$11,FALSE),"")</f>
        <v/>
      </c>
    </row>
    <row r="42" spans="1:141" s="1441" customFormat="1" ht="15" customHeight="1">
      <c r="A42" s="1438">
        <v>29</v>
      </c>
      <c r="B42" s="1738">
        <f>IF($B$13+A42&lt;=Progress!$D$18,$B$13+A42,"")</f>
        <v>2029</v>
      </c>
      <c r="C42" s="1737" t="str">
        <f>IFERROR(VLOOKUP(CONCATENATE($B$8,"_",$B42),Data!$H$16:$BN$1015,C$11,FALSE),"")</f>
        <v/>
      </c>
      <c r="D42" s="1428" t="str">
        <f>IFERROR(VLOOKUP(CONCATENATE($B$8,"_",$B42),Data!$H$16:$BN$1015,D$11,FALSE),"")</f>
        <v/>
      </c>
      <c r="E42" s="1429" t="str">
        <f>IFERROR(VLOOKUP(CONCATENATE($B$8,"_",$B42),Data!$H$16:$BN$1015,E$11,FALSE),"")</f>
        <v/>
      </c>
      <c r="F42" s="1428" t="str">
        <f>IFERROR(VLOOKUP(CONCATENATE($B$8,"_",$B42),Data!$H$16:$BN$1015,F$11,FALSE),"")</f>
        <v/>
      </c>
      <c r="G42" s="1428" t="str">
        <f>IFERROR(VLOOKUP(CONCATENATE($B$8,"_",$B42),Data!$H$16:$BN$1015,G$11,FALSE),"")</f>
        <v/>
      </c>
      <c r="H42" s="1429" t="str">
        <f>IFERROR(VLOOKUP(CONCATENATE($B$8,"_",$B42),Data!$H$16:$BN$1015,H$11,FALSE),"")</f>
        <v/>
      </c>
      <c r="I42" s="1428" t="str">
        <f>IFERROR(VLOOKUP(CONCATENATE($B$8,"_",$B42),Data!$H$16:$BN$1015,I$11,FALSE),"")</f>
        <v/>
      </c>
      <c r="J42" s="1428" t="str">
        <f>IFERROR(VLOOKUP(CONCATENATE($B$8,"_",$B42),Data!$H$16:$BN$1015,J$11,FALSE),"")</f>
        <v/>
      </c>
      <c r="K42" s="1429" t="str">
        <f>IFERROR(VLOOKUP(CONCATENATE($B$8,"_",$B42),Data!$H$16:$BN$1015,K$11,FALSE),"")</f>
        <v/>
      </c>
      <c r="L42" s="1428" t="str">
        <f>IFERROR(VLOOKUP(CONCATENATE($B$8,"_",$B42),Data!$H$16:$BN$1015,L$11,FALSE),"")</f>
        <v/>
      </c>
      <c r="M42" s="1428" t="str">
        <f>IFERROR(VLOOKUP(CONCATENATE($B$8,"_",$B42),Data!$H$16:$BN$1015,M$11,FALSE),"")</f>
        <v/>
      </c>
      <c r="N42" s="1429" t="str">
        <f>IFERROR(VLOOKUP(CONCATENATE($B$8,"_",$B42),Data!$H$16:$BN$1015,N$11,FALSE),"")</f>
        <v/>
      </c>
      <c r="O42" s="1430" t="str">
        <f>IFERROR(VLOOKUP(CONCATENATE($B$8,"_",$B42),Data!$H$16:$BN$1015,O$11,FALSE),"")</f>
        <v/>
      </c>
      <c r="P42" s="1428" t="str">
        <f>IFERROR(VLOOKUP(CONCATENATE($B$8,"_",$B42),Data!$H$16:$BN$1015,P$11,FALSE),"")</f>
        <v/>
      </c>
      <c r="Q42" s="1428" t="str">
        <f>IFERROR(VLOOKUP(CONCATENATE($B$8,"_",$B42),Data!$H$16:$BN$1015,Q$11,FALSE),"")</f>
        <v/>
      </c>
      <c r="R42" s="1429" t="str">
        <f>IFERROR(VLOOKUP(CONCATENATE($B$8,"_",$B42),Data!$H$16:$BN$1015,R$11,FALSE),"")</f>
        <v/>
      </c>
      <c r="S42" s="1428" t="str">
        <f>IFERROR(VLOOKUP(CONCATENATE($B$8,"_",$B42),Data!$H$16:$BN$1015,S$11,FALSE),"")</f>
        <v/>
      </c>
      <c r="T42" s="1428" t="str">
        <f>IFERROR(VLOOKUP(CONCATENATE($B$8,"_",$B42),Data!$H$16:$BN$1015,T$11,FALSE),"")</f>
        <v/>
      </c>
      <c r="U42" s="1429" t="str">
        <f>IFERROR(VLOOKUP(CONCATENATE($B$8,"_",$B42),Data!$H$16:$BN$1015,U$11,FALSE),"")</f>
        <v/>
      </c>
      <c r="V42" s="1428" t="str">
        <f>IFERROR(VLOOKUP(CONCATENATE($B$8,"_",$B42),Data!$H$16:$BN$1015,V$11,FALSE),"")</f>
        <v/>
      </c>
      <c r="W42" s="1428" t="str">
        <f>IFERROR(VLOOKUP(CONCATENATE($B$8,"_",$B42),Data!$H$16:$BN$1015,W$11,FALSE),"")</f>
        <v/>
      </c>
      <c r="X42" s="1428" t="str">
        <f>IFERROR(VLOOKUP(CONCATENATE($B$8,"_",$B42),Data!$H$16:$BN$1015,X$11,FALSE),"")</f>
        <v/>
      </c>
      <c r="Y42" s="1428" t="str">
        <f>IFERROR(VLOOKUP(CONCATENATE($B$8,"_",$B42),Data!$H$16:$BN$1015,Y$11,FALSE),"")</f>
        <v/>
      </c>
      <c r="Z42" s="1429" t="str">
        <f>IFERROR(VLOOKUP(CONCATENATE($B$8,"_",$B42),Data!$H$16:$BN$1015,Z$11,FALSE),"")</f>
        <v/>
      </c>
      <c r="AA42" s="1428" t="str">
        <f>IFERROR(VLOOKUP(CONCATENATE($B$8,"_",$B42),Data!$H$16:$BN$1015,AA$11,FALSE),"")</f>
        <v/>
      </c>
      <c r="AB42" s="1428" t="str">
        <f>IFERROR(VLOOKUP(CONCATENATE($B$8,"_",$B42),Data!$H$16:$BN$1015,AB$11,FALSE),"")</f>
        <v/>
      </c>
      <c r="AC42" s="1429" t="str">
        <f>IFERROR(VLOOKUP(CONCATENATE($B$8,"_",$B42),Data!$H$16:$BN$1015,AC$11,FALSE),"")</f>
        <v/>
      </c>
      <c r="AD42" s="1428" t="str">
        <f>IFERROR(VLOOKUP(CONCATENATE($B$8,"_",$B42),Data!$H$16:$BN$1015,AD$11,FALSE),"")</f>
        <v/>
      </c>
      <c r="AE42" s="1428" t="str">
        <f>IFERROR(VLOOKUP(CONCATENATE($B$8,"_",$B42),Data!$H$16:$BN$1015,AE$11,FALSE),"")</f>
        <v/>
      </c>
      <c r="AF42" s="1429" t="str">
        <f>IFERROR(VLOOKUP(CONCATENATE($B$8,"_",$B42),Data!$H$16:$BN$1015,AF$11,FALSE),"")</f>
        <v/>
      </c>
      <c r="AG42" s="1428" t="str">
        <f>IFERROR(VLOOKUP(CONCATENATE($B$8,"_",$B42),Data!$H$16:$BN$1015,AG$11,FALSE),"")</f>
        <v/>
      </c>
      <c r="AH42" s="1428" t="str">
        <f>IFERROR(VLOOKUP(CONCATENATE($B$8,"_",$B42),Data!$H$16:$BN$1015,AH$11,FALSE),"")</f>
        <v/>
      </c>
      <c r="AI42" s="1429" t="str">
        <f>IFERROR(VLOOKUP(CONCATENATE($B$8,"_",$B42),Data!$H$16:$BN$1015,AI$11,FALSE),"")</f>
        <v/>
      </c>
      <c r="AJ42" s="1428" t="str">
        <f>IFERROR(VLOOKUP(CONCATENATE($B$8,"_",$B42),Data!$H$16:$BN$1015,AJ$11,FALSE),"")</f>
        <v/>
      </c>
      <c r="AK42" s="1428" t="str">
        <f>IFERROR(VLOOKUP(CONCATENATE($B$8,"_",$B42),Data!$H$16:$BN$1015,AK$11,FALSE),"")</f>
        <v/>
      </c>
      <c r="AL42" s="1429" t="str">
        <f>IFERROR(VLOOKUP(CONCATENATE($B$8,"_",$B42),Data!$H$16:$BN$1015,AL$11,FALSE),"")</f>
        <v/>
      </c>
      <c r="AM42" s="1428" t="str">
        <f>IFERROR(VLOOKUP(CONCATENATE($B$8,"_",$B42),Data!$H$16:$BN$1015,AM$11,FALSE),"")</f>
        <v/>
      </c>
      <c r="AN42" s="1428" t="str">
        <f>IFERROR(VLOOKUP(CONCATENATE($B$8,"_",$B42),Data!$H$16:$BN$1015,AN$11,FALSE),"")</f>
        <v/>
      </c>
      <c r="AO42" s="1430" t="str">
        <f>IFERROR(VLOOKUP(CONCATENATE($B$8,"_",$B42),Data!$H$16:$BN$1015,AO$11,FALSE),"")</f>
        <v/>
      </c>
      <c r="AP42" s="1428" t="str">
        <f>IFERROR(VLOOKUP(CONCATENATE($B$8,"_",$B42),Data!$H$16:$BN$1015,AP$11,FALSE),"")</f>
        <v/>
      </c>
      <c r="AQ42" s="1428" t="str">
        <f>IFERROR(VLOOKUP(CONCATENATE($B$8,"_",$B42),Data!$H$16:$BN$1015,AQ$11,FALSE),"")</f>
        <v/>
      </c>
      <c r="AR42" s="1430" t="str">
        <f>IFERROR(VLOOKUP(CONCATENATE($B$8,"_",$B42),Data!$H$16:$BN$1015,AR$11,FALSE),"")</f>
        <v/>
      </c>
      <c r="AS42" s="1428" t="str">
        <f>IFERROR(VLOOKUP(CONCATENATE($B$8,"_",$B42),Data!$H$16:$BN$1015,AS$11,FALSE),"")</f>
        <v/>
      </c>
      <c r="AT42" s="1428" t="str">
        <f>IFERROR(VLOOKUP(CONCATENATE($B$8,"_",$B42),Data!$H$16:$BN$1015,AT$11,FALSE),"")</f>
        <v/>
      </c>
      <c r="AU42" s="1430" t="str">
        <f>IFERROR(VLOOKUP(CONCATENATE($B$8,"_",$B42),Data!$H$16:$BN$1015,AU$11,FALSE),"")</f>
        <v/>
      </c>
      <c r="AV42" s="1428" t="str">
        <f>IFERROR(VLOOKUP(CONCATENATE($B$8,"_",$B42),Data!$H$16:$BN$1015,AV$11,FALSE),"")</f>
        <v/>
      </c>
      <c r="AW42" s="1428" t="str">
        <f>IFERROR(VLOOKUP(CONCATENATE($B$8,"_",$B42),Data!$H$16:$BN$1015,AW$11,FALSE),"")</f>
        <v/>
      </c>
      <c r="AX42" s="1430" t="str">
        <f>IFERROR(VLOOKUP(CONCATENATE($B$8,"_",$B42),Data!$H$16:$BN$1015,AX$11,FALSE),"")</f>
        <v/>
      </c>
      <c r="AY42" s="1429" t="str">
        <f>IFERROR(VLOOKUP(CONCATENATE($B$8,"_",$B42),Data!$H$16:$BN$1015,AY$11,FALSE),"")</f>
        <v/>
      </c>
      <c r="AZ42" s="1429" t="str">
        <f>IFERROR(VLOOKUP(CONCATENATE($B$8,"_",$B42),Data!$H$16:$BN$1015,AZ$11,FALSE),"")</f>
        <v/>
      </c>
      <c r="BA42" s="1429" t="str">
        <f>IFERROR(VLOOKUP(CONCATENATE($B$8,"_",$B42),Data!$H$16:$BN$1015,BA$11,FALSE),"")</f>
        <v/>
      </c>
      <c r="BB42" s="1429" t="str">
        <f>IFERROR(VLOOKUP(CONCATENATE($B$8,"_",$B42),Data!$H$16:$BN$1015,BB$11,FALSE),"")</f>
        <v/>
      </c>
      <c r="BC42" s="1429" t="str">
        <f>IFERROR(VLOOKUP(CONCATENATE($B$8,"_",$B42),Data!$H$16:$BN$1015,BC$11,FALSE),"")</f>
        <v/>
      </c>
      <c r="BD42" s="1431" t="str">
        <f>IFERROR(VLOOKUP(CONCATENATE($B$8,"_",$B42),Data!$H$16:$BN$1015,BD$11,FALSE),"")</f>
        <v/>
      </c>
      <c r="BE42" s="1439">
        <f t="shared" ref="BE42:BE58" si="1">B42</f>
        <v>2029</v>
      </c>
      <c r="BF42" s="1428" t="str">
        <f>IFERROR(VLOOKUP(CONCATENATE($B$8,"_",$B42),Data!$BO$16:$ES$1015,BF$11,FALSE),"")</f>
        <v/>
      </c>
      <c r="BG42" s="1433" t="str">
        <f>IFERROR(VLOOKUP(CONCATENATE($B$8,"_",$B42),Data!$BO$16:$ES$1015,BG$11,FALSE),"")</f>
        <v/>
      </c>
      <c r="BH42" s="1435" t="str">
        <f>IFERROR(VLOOKUP(CONCATENATE($B$8,"_",$B42),Data!$BO$16:$ES$1015,BH$11,FALSE),"")</f>
        <v/>
      </c>
      <c r="BI42" s="1434" t="str">
        <f>IFERROR(VLOOKUP(CONCATENATE($B$8,"_",$B42),Data!$BO$16:$ES$1015,BI$11,FALSE),"")</f>
        <v/>
      </c>
      <c r="BJ42" s="1428" t="str">
        <f>IFERROR(VLOOKUP(CONCATENATE($B$8,"_",$B42),Data!$BO$16:$ES$1015,BJ$11,FALSE),"")</f>
        <v/>
      </c>
      <c r="BK42" s="1428" t="str">
        <f>IFERROR(VLOOKUP(CONCATENATE($B$8,"_",$B42),Data!$BO$16:$ES$1015,BK$11,FALSE),"")</f>
        <v/>
      </c>
      <c r="BL42" s="1428" t="str">
        <f>IFERROR(VLOOKUP(CONCATENATE($B$8,"_",$B42),Data!$BO$16:$ES$1015,BL$11,FALSE),"")</f>
        <v/>
      </c>
      <c r="BM42" s="1433" t="str">
        <f>IFERROR(VLOOKUP(CONCATENATE($B$8,"_",$B42),Data!$BO$16:$ES$1015,BM$11,FALSE),"")</f>
        <v/>
      </c>
      <c r="BN42" s="1433" t="str">
        <f>IFERROR(VLOOKUP(CONCATENATE($B$8,"_",$B42),Data!$BO$16:$ES$1015,BN$11,FALSE),"")</f>
        <v/>
      </c>
      <c r="BO42" s="1433" t="str">
        <f>IFERROR(VLOOKUP(CONCATENATE($B$8,"_",$B42),Data!$BO$16:$ES$1015,BO$11,FALSE),"")</f>
        <v/>
      </c>
      <c r="BP42" s="1433" t="str">
        <f>IFERROR(VLOOKUP(CONCATENATE($B$8,"_",$B42),Data!$BO$16:$ES$1015,BP$11,FALSE),"")</f>
        <v/>
      </c>
      <c r="BQ42" s="1433" t="str">
        <f>IFERROR(VLOOKUP(CONCATENATE($B$8,"_",$B42),Data!$BO$16:$ES$1015,BQ$11,FALSE),"")</f>
        <v/>
      </c>
      <c r="BR42" s="1434" t="str">
        <f>IFERROR(VLOOKUP(CONCATENATE($B$8,"_",$B42),Data!$BO$16:$ES$1015,BR$11,FALSE),"")</f>
        <v/>
      </c>
      <c r="BS42" s="1434" t="str">
        <f>IFERROR(VLOOKUP(CONCATENATE($B$8,"_",$B42),Data!$BO$16:$ES$1015,BS$11,FALSE),"")</f>
        <v/>
      </c>
      <c r="BT42" s="1434" t="str">
        <f>IFERROR(VLOOKUP(CONCATENATE($B$8,"_",$B42),Data!$BO$16:$ES$1015,BT$11,FALSE),"")</f>
        <v/>
      </c>
      <c r="BU42" s="1434" t="str">
        <f>IFERROR(VLOOKUP(CONCATENATE($B$8,"_",$B42),Data!$BO$16:$ES$1015,BU$11,FALSE),"")</f>
        <v/>
      </c>
      <c r="BV42" s="1434" t="str">
        <f>IFERROR(VLOOKUP(CONCATENATE($B$8,"_",$B42),Data!$BO$16:$ES$1015,BV$11,FALSE),"")</f>
        <v/>
      </c>
      <c r="BW42" s="1434" t="str">
        <f>IFERROR(VLOOKUP(CONCATENATE($B$8,"_",$B42),Data!$BO$16:$ES$1015,BW$11,FALSE),"")</f>
        <v/>
      </c>
      <c r="BX42" s="1434" t="str">
        <f>IFERROR(VLOOKUP(CONCATENATE($B$8,"_",$B42),Data!$BO$16:$ES$1015,BX$11,FALSE),"")</f>
        <v/>
      </c>
      <c r="BY42" s="1428" t="str">
        <f>IFERROR(VLOOKUP(CONCATENATE($B$8,"_",$B42),Data!$BO$16:$ES$1015,BY$11,FALSE),"")</f>
        <v/>
      </c>
      <c r="BZ42" s="1428" t="str">
        <f>IFERROR(VLOOKUP(CONCATENATE($B$8,"_",$B42),Data!$BO$16:$ES$1015,BZ$11,FALSE),"")</f>
        <v/>
      </c>
      <c r="CA42" s="1428" t="str">
        <f>IFERROR(VLOOKUP(CONCATENATE($B$8,"_",$B42),Data!$BO$16:$ES$1015,CA$11,FALSE),"")</f>
        <v/>
      </c>
      <c r="CB42" s="1428" t="str">
        <f>IFERROR(VLOOKUP(CONCATENATE($B$8,"_",$B42),Data!$BO$16:$ES$1015,CB$11,FALSE),"")</f>
        <v/>
      </c>
      <c r="CC42" s="1428" t="str">
        <f>IFERROR(VLOOKUP(CONCATENATE($B$8,"_",$B42),Data!$BO$16:$ES$1015,CC$11,FALSE),"")</f>
        <v/>
      </c>
      <c r="CD42" s="1428" t="str">
        <f>IFERROR(VLOOKUP(CONCATENATE($B$8,"_",$B42),Data!$BO$16:$ES$1015,CD$11,FALSE),"")</f>
        <v/>
      </c>
      <c r="CE42" s="1428" t="str">
        <f>IFERROR(VLOOKUP(CONCATENATE($B$8,"_",$B42),Data!$BO$16:$ES$1015,CE$11,FALSE),"")</f>
        <v/>
      </c>
      <c r="CF42" s="1428" t="str">
        <f>IFERROR(VLOOKUP(CONCATENATE($B$8,"_",$B42),Data!$BO$16:$ES$1015,CF$11,FALSE),"")</f>
        <v/>
      </c>
      <c r="CG42" s="1428" t="str">
        <f>IFERROR(VLOOKUP(CONCATENATE($B$8,"_",$B42),Data!$BO$16:$ES$1015,CG$11,FALSE),"")</f>
        <v/>
      </c>
      <c r="CH42" s="1428" t="str">
        <f>IFERROR(VLOOKUP(CONCATENATE($B$8,"_",$B42),Data!$BO$16:$ES$1015,CH$11,FALSE),"")</f>
        <v/>
      </c>
      <c r="CI42" s="1428" t="str">
        <f>IFERROR(VLOOKUP(CONCATENATE($B$8,"_",$B42),Data!$BO$16:$ES$1015,CI$11,FALSE),"")</f>
        <v/>
      </c>
      <c r="CJ42" s="1428" t="str">
        <f>IFERROR(VLOOKUP(CONCATENATE($B$8,"_",$B42),Data!$BO$16:$ES$1015,CJ$11,FALSE),"")</f>
        <v/>
      </c>
      <c r="CK42" s="1428" t="str">
        <f>IFERROR(VLOOKUP(CONCATENATE($B$8,"_",$B42),Data!$BO$16:$ES$1015,CK$11,FALSE),"")</f>
        <v/>
      </c>
      <c r="CL42" s="1428" t="str">
        <f>IFERROR(VLOOKUP(CONCATENATE($B$8,"_",$B42),Data!$BO$16:$ES$1015,CL$11,FALSE),"")</f>
        <v/>
      </c>
      <c r="CM42" s="1428" t="str">
        <f>IFERROR(VLOOKUP(CONCATENATE($B$8,"_",$B42),Data!$BO$16:$ES$1015,CM$11,FALSE),"")</f>
        <v/>
      </c>
      <c r="CN42" s="1428" t="str">
        <f>IFERROR(VLOOKUP(CONCATENATE($B$8,"_",$B42),Data!$BO$16:$ES$1015,CN$11,FALSE),"")</f>
        <v/>
      </c>
      <c r="CO42" s="1428" t="str">
        <f>IFERROR(VLOOKUP(CONCATENATE($B$8,"_",$B42),Data!$BO$16:$ES$1015,CO$11,FALSE),"")</f>
        <v/>
      </c>
      <c r="CP42" s="1433" t="str">
        <f>IFERROR(VLOOKUP(CONCATENATE($B$8,"_",$B42),Data!$BO$16:$ES$1015,CP$11,FALSE),"")</f>
        <v/>
      </c>
      <c r="CQ42" s="1433" t="str">
        <f>IFERROR(VLOOKUP(CONCATENATE($B$8,"_",$B42),Data!$BO$16:$ES$1015,CQ$11,FALSE),"")</f>
        <v/>
      </c>
      <c r="CR42" s="1433" t="str">
        <f>IFERROR(VLOOKUP(CONCATENATE($B$8,"_",$B42),Data!$BO$16:$ES$1015,CR$11,FALSE),"")</f>
        <v/>
      </c>
      <c r="CS42" s="1433" t="str">
        <f>IFERROR(VLOOKUP(CONCATENATE($B$8,"_",$B42),Data!$BO$16:$ES$1015,CS$11,FALSE),"")</f>
        <v/>
      </c>
      <c r="CT42" s="1433" t="str">
        <f>IFERROR(VLOOKUP(CONCATENATE($B$8,"_",$B42),Data!$BO$16:$ES$1015,CT$11,FALSE),"")</f>
        <v/>
      </c>
      <c r="CU42" s="1433" t="str">
        <f>IFERROR(VLOOKUP(CONCATENATE($B$8,"_",$B42),Data!$BO$16:$ES$1015,CU$11,FALSE),"")</f>
        <v/>
      </c>
      <c r="CV42" s="1433" t="str">
        <f>IFERROR(VLOOKUP(CONCATENATE($B$8,"_",$B42),Data!$BO$16:$ES$1015,CV$11,FALSE),"")</f>
        <v/>
      </c>
      <c r="CW42" s="1433" t="str">
        <f>IFERROR(VLOOKUP(CONCATENATE($B$8,"_",$B42),Data!$BO$16:$ES$1015,CW$11,FALSE),"")</f>
        <v/>
      </c>
      <c r="CX42" s="1433" t="str">
        <f>IFERROR(VLOOKUP(CONCATENATE($B$8,"_",$B42),Data!$BO$16:$ES$1015,CX$11,FALSE),"")</f>
        <v/>
      </c>
      <c r="CY42" s="1433" t="str">
        <f>IFERROR(VLOOKUP(CONCATENATE($B$8,"_",$B42),Data!$BO$16:$ES$1015,CY$11,FALSE),"")</f>
        <v/>
      </c>
      <c r="CZ42" s="1433" t="str">
        <f>IFERROR(VLOOKUP(CONCATENATE($B$8,"_",$B42),Data!$BO$16:$ES$1015,CZ$11,FALSE),"")</f>
        <v/>
      </c>
      <c r="DA42" s="1433" t="str">
        <f>IFERROR(VLOOKUP(CONCATENATE($B$8,"_",$B42),Data!$BO$16:$ES$1015,DA$11,FALSE),"")</f>
        <v/>
      </c>
      <c r="DB42" s="1433" t="str">
        <f>IFERROR(VLOOKUP(CONCATENATE($B$8,"_",$B42),Data!$BO$16:$ES$1015,DB$11,FALSE),"")</f>
        <v/>
      </c>
      <c r="DC42" s="1433" t="str">
        <f>IFERROR(VLOOKUP(CONCATENATE($B$8,"_",$B42),Data!$BO$16:$ES$1015,DC$11,FALSE),"")</f>
        <v/>
      </c>
      <c r="DD42" s="1433" t="str">
        <f>IFERROR(VLOOKUP(CONCATENATE($B$8,"_",$B42),Data!$BO$16:$ES$1015,DD$11,FALSE),"")</f>
        <v/>
      </c>
      <c r="DE42" s="1433" t="str">
        <f>IFERROR(VLOOKUP(CONCATENATE($B$8,"_",$B42),Data!$BO$16:$ES$1015,DE$11,FALSE),"")</f>
        <v/>
      </c>
      <c r="DF42" s="1433" t="str">
        <f>IFERROR(VLOOKUP(CONCATENATE($B$8,"_",$B42),Data!$BO$16:$ES$1015,DF$11,FALSE),"")</f>
        <v/>
      </c>
      <c r="DG42" s="1433" t="str">
        <f>IFERROR(VLOOKUP(CONCATENATE($B$8,"_",$B42),Data!$BO$16:$ES$1015,DG$11,FALSE),"")</f>
        <v/>
      </c>
      <c r="DH42" s="1433" t="str">
        <f>IFERROR(VLOOKUP(CONCATENATE($B$8,"_",$B42),Data!$BO$16:$ES$1015,DH$11,FALSE),"")</f>
        <v/>
      </c>
      <c r="DI42" s="1433" t="str">
        <f>IFERROR(VLOOKUP(CONCATENATE($B$8,"_",$B42),Data!$BO$16:$ES$1015,DI$11,FALSE),"")</f>
        <v/>
      </c>
      <c r="DJ42" s="1433" t="str">
        <f>IFERROR(VLOOKUP(CONCATENATE($B$8,"_",$B42),Data!$BO$16:$ES$1015,DJ$11,FALSE),"")</f>
        <v/>
      </c>
      <c r="DK42" s="1433" t="str">
        <f>IFERROR(VLOOKUP(CONCATENATE($B$8,"_",$B42),Data!$BO$16:$ES$1015,DK$11,FALSE),"")</f>
        <v/>
      </c>
      <c r="DL42" s="1435" t="str">
        <f>IFERROR(VLOOKUP(CONCATENATE($B$8,"_",$B42),Data!$BO$16:$ES$1015,DL$11,FALSE),"")</f>
        <v/>
      </c>
      <c r="DM42" s="1434" t="str">
        <f>IFERROR(VLOOKUP(CONCATENATE($B$8,"_",$B42),Data!$BO$16:$ES$1015,DM$11,FALSE),"")</f>
        <v/>
      </c>
      <c r="DN42" s="1434" t="str">
        <f>IFERROR(VLOOKUP(CONCATENATE($B$8,"_",$B42),Data!$BO$16:$ES$1015,DN$11,FALSE),"")</f>
        <v/>
      </c>
      <c r="DO42" s="1434" t="str">
        <f>IFERROR(VLOOKUP(CONCATENATE($B$8,"_",$B42),Data!$BO$16:$ES$1015,DO$11,FALSE),"")</f>
        <v/>
      </c>
      <c r="DP42" s="1434" t="str">
        <f>IFERROR(VLOOKUP(CONCATENATE($B$8,"_",$B42),Data!$BO$16:$ES$1015,DP$11,FALSE),"")</f>
        <v/>
      </c>
      <c r="DQ42" s="1434" t="str">
        <f>IFERROR(VLOOKUP(CONCATENATE($B$8,"_",$B42),Data!$BO$16:$ES$1015,DQ$11,FALSE),"")</f>
        <v/>
      </c>
      <c r="DR42" s="1434" t="str">
        <f>IFERROR(VLOOKUP(CONCATENATE($B$8,"_",$B42),Data!$BO$16:$ES$1015,DR$11,FALSE),"")</f>
        <v/>
      </c>
      <c r="DS42" s="1434" t="str">
        <f>IFERROR(VLOOKUP(CONCATENATE($B$8,"_",$B42),Data!$BO$16:$ES$1015,DS$11,FALSE),"")</f>
        <v/>
      </c>
      <c r="DT42" s="1434" t="str">
        <f>IFERROR(VLOOKUP(CONCATENATE($B$8,"_",$B42),Data!$BO$16:$ES$1015,DT$11,FALSE),"")</f>
        <v/>
      </c>
      <c r="DU42" s="1434" t="str">
        <f>IFERROR(VLOOKUP(CONCATENATE($B$8,"_",$B42),Data!$BO$16:$ES$1015,DU$11,FALSE),"")</f>
        <v/>
      </c>
      <c r="DV42" s="1434" t="str">
        <f>IFERROR(VLOOKUP(CONCATENATE($B$8,"_",$B42),Data!$BO$16:$ES$1015,DV$11,FALSE),"")</f>
        <v/>
      </c>
      <c r="DW42" s="1434" t="str">
        <f>IFERROR(VLOOKUP(CONCATENATE($B$8,"_",$B42),Data!$BO$16:$ES$1015,DW$11,FALSE),"")</f>
        <v/>
      </c>
      <c r="DX42" s="1434" t="str">
        <f>IFERROR(VLOOKUP(CONCATENATE($B$8,"_",$B42),Data!$BO$16:$ES$1015,DX$11,FALSE),"")</f>
        <v/>
      </c>
      <c r="DY42" s="1434" t="str">
        <f>IFERROR(VLOOKUP(CONCATENATE($B$8,"_",$B42),Data!$BO$16:$ES$1015,DY$11,FALSE),"")</f>
        <v/>
      </c>
      <c r="DZ42" s="1434" t="str">
        <f>IFERROR(VLOOKUP(CONCATENATE($B$8,"_",$B42),Data!$BO$16:$ES$1015,DZ$11,FALSE),"")</f>
        <v/>
      </c>
      <c r="EA42" s="1434" t="str">
        <f>IFERROR(VLOOKUP(CONCATENATE($B$8,"_",$B42),Data!$BO$16:$ES$1015,EA$11,FALSE),"")</f>
        <v/>
      </c>
      <c r="EB42" s="1434" t="str">
        <f>IFERROR(VLOOKUP(CONCATENATE($B$8,"_",$B42),Data!$BO$16:$ES$1015,EB$11,FALSE),"")</f>
        <v/>
      </c>
      <c r="EC42" s="1434" t="str">
        <f>IFERROR(VLOOKUP(CONCATENATE($B$8,"_",$B42),Data!$BO$16:$ES$1015,EC$11,FALSE),"")</f>
        <v/>
      </c>
      <c r="ED42" s="1434" t="str">
        <f>IFERROR(VLOOKUP(CONCATENATE($B$8,"_",$B42),Data!$BO$16:$ES$1015,ED$11,FALSE),"")</f>
        <v/>
      </c>
      <c r="EE42" s="1434" t="str">
        <f>IFERROR(VLOOKUP(CONCATENATE($B$8,"_",$B42),Data!$BO$16:$ES$1015,EE$11,FALSE),"")</f>
        <v/>
      </c>
      <c r="EF42" s="1434" t="str">
        <f>IFERROR(VLOOKUP(CONCATENATE($B$8,"_",$B42),Data!$BO$16:$ES$1015,EF$11,FALSE),"")</f>
        <v/>
      </c>
      <c r="EG42" s="1434" t="str">
        <f>IFERROR(VLOOKUP(CONCATENATE($B$8,"_",$B42),Data!$BO$16:$ES$1015,EG$11,FALSE),"")</f>
        <v/>
      </c>
      <c r="EH42" s="1434" t="str">
        <f>IFERROR(VLOOKUP(CONCATENATE($B$8,"_",$B42),Data!$BO$16:$ES$1015,EH$11,FALSE),"")</f>
        <v/>
      </c>
      <c r="EI42" s="1434" t="str">
        <f>IFERROR(VLOOKUP(CONCATENATE($B$8,"_",$B42),Data!$BO$16:$ES$1015,EI$11,FALSE),"")</f>
        <v/>
      </c>
    </row>
    <row r="43" spans="1:141" s="1441" customFormat="1" ht="15" customHeight="1">
      <c r="A43" s="1438">
        <v>30</v>
      </c>
      <c r="B43" s="1738">
        <f>IF($B$13+A43&lt;=Progress!$D$18,$B$13+A43,"")</f>
        <v>2030</v>
      </c>
      <c r="C43" s="1737" t="str">
        <f>IFERROR(VLOOKUP(CONCATENATE($B$8,"_",$B43),Data!$H$16:$BN$1015,C$11,FALSE),"")</f>
        <v/>
      </c>
      <c r="D43" s="1428" t="str">
        <f>IFERROR(VLOOKUP(CONCATENATE($B$8,"_",$B43),Data!$H$16:$BN$1015,D$11,FALSE),"")</f>
        <v/>
      </c>
      <c r="E43" s="1429" t="str">
        <f>IFERROR(VLOOKUP(CONCATENATE($B$8,"_",$B43),Data!$H$16:$BN$1015,E$11,FALSE),"")</f>
        <v/>
      </c>
      <c r="F43" s="1428" t="str">
        <f>IFERROR(VLOOKUP(CONCATENATE($B$8,"_",$B43),Data!$H$16:$BN$1015,F$11,FALSE),"")</f>
        <v/>
      </c>
      <c r="G43" s="1428" t="str">
        <f>IFERROR(VLOOKUP(CONCATENATE($B$8,"_",$B43),Data!$H$16:$BN$1015,G$11,FALSE),"")</f>
        <v/>
      </c>
      <c r="H43" s="1429" t="str">
        <f>IFERROR(VLOOKUP(CONCATENATE($B$8,"_",$B43),Data!$H$16:$BN$1015,H$11,FALSE),"")</f>
        <v/>
      </c>
      <c r="I43" s="1428" t="str">
        <f>IFERROR(VLOOKUP(CONCATENATE($B$8,"_",$B43),Data!$H$16:$BN$1015,I$11,FALSE),"")</f>
        <v/>
      </c>
      <c r="J43" s="1428" t="str">
        <f>IFERROR(VLOOKUP(CONCATENATE($B$8,"_",$B43),Data!$H$16:$BN$1015,J$11,FALSE),"")</f>
        <v/>
      </c>
      <c r="K43" s="1429" t="str">
        <f>IFERROR(VLOOKUP(CONCATENATE($B$8,"_",$B43),Data!$H$16:$BN$1015,K$11,FALSE),"")</f>
        <v/>
      </c>
      <c r="L43" s="1428" t="str">
        <f>IFERROR(VLOOKUP(CONCATENATE($B$8,"_",$B43),Data!$H$16:$BN$1015,L$11,FALSE),"")</f>
        <v/>
      </c>
      <c r="M43" s="1428" t="str">
        <f>IFERROR(VLOOKUP(CONCATENATE($B$8,"_",$B43),Data!$H$16:$BN$1015,M$11,FALSE),"")</f>
        <v/>
      </c>
      <c r="N43" s="1429" t="str">
        <f>IFERROR(VLOOKUP(CONCATENATE($B$8,"_",$B43),Data!$H$16:$BN$1015,N$11,FALSE),"")</f>
        <v/>
      </c>
      <c r="O43" s="1430" t="str">
        <f>IFERROR(VLOOKUP(CONCATENATE($B$8,"_",$B43),Data!$H$16:$BN$1015,O$11,FALSE),"")</f>
        <v/>
      </c>
      <c r="P43" s="1428" t="str">
        <f>IFERROR(VLOOKUP(CONCATENATE($B$8,"_",$B43),Data!$H$16:$BN$1015,P$11,FALSE),"")</f>
        <v/>
      </c>
      <c r="Q43" s="1428" t="str">
        <f>IFERROR(VLOOKUP(CONCATENATE($B$8,"_",$B43),Data!$H$16:$BN$1015,Q$11,FALSE),"")</f>
        <v/>
      </c>
      <c r="R43" s="1429" t="str">
        <f>IFERROR(VLOOKUP(CONCATENATE($B$8,"_",$B43),Data!$H$16:$BN$1015,R$11,FALSE),"")</f>
        <v/>
      </c>
      <c r="S43" s="1428" t="str">
        <f>IFERROR(VLOOKUP(CONCATENATE($B$8,"_",$B43),Data!$H$16:$BN$1015,S$11,FALSE),"")</f>
        <v/>
      </c>
      <c r="T43" s="1428" t="str">
        <f>IFERROR(VLOOKUP(CONCATENATE($B$8,"_",$B43),Data!$H$16:$BN$1015,T$11,FALSE),"")</f>
        <v/>
      </c>
      <c r="U43" s="1429" t="str">
        <f>IFERROR(VLOOKUP(CONCATENATE($B$8,"_",$B43),Data!$H$16:$BN$1015,U$11,FALSE),"")</f>
        <v/>
      </c>
      <c r="V43" s="1428" t="str">
        <f>IFERROR(VLOOKUP(CONCATENATE($B$8,"_",$B43),Data!$H$16:$BN$1015,V$11,FALSE),"")</f>
        <v/>
      </c>
      <c r="W43" s="1428" t="str">
        <f>IFERROR(VLOOKUP(CONCATENATE($B$8,"_",$B43),Data!$H$16:$BN$1015,W$11,FALSE),"")</f>
        <v/>
      </c>
      <c r="X43" s="1428" t="str">
        <f>IFERROR(VLOOKUP(CONCATENATE($B$8,"_",$B43),Data!$H$16:$BN$1015,X$11,FALSE),"")</f>
        <v/>
      </c>
      <c r="Y43" s="1428" t="str">
        <f>IFERROR(VLOOKUP(CONCATENATE($B$8,"_",$B43),Data!$H$16:$BN$1015,Y$11,FALSE),"")</f>
        <v/>
      </c>
      <c r="Z43" s="1429" t="str">
        <f>IFERROR(VLOOKUP(CONCATENATE($B$8,"_",$B43),Data!$H$16:$BN$1015,Z$11,FALSE),"")</f>
        <v/>
      </c>
      <c r="AA43" s="1428" t="str">
        <f>IFERROR(VLOOKUP(CONCATENATE($B$8,"_",$B43),Data!$H$16:$BN$1015,AA$11,FALSE),"")</f>
        <v/>
      </c>
      <c r="AB43" s="1428" t="str">
        <f>IFERROR(VLOOKUP(CONCATENATE($B$8,"_",$B43),Data!$H$16:$BN$1015,AB$11,FALSE),"")</f>
        <v/>
      </c>
      <c r="AC43" s="1429" t="str">
        <f>IFERROR(VLOOKUP(CONCATENATE($B$8,"_",$B43),Data!$H$16:$BN$1015,AC$11,FALSE),"")</f>
        <v/>
      </c>
      <c r="AD43" s="1428" t="str">
        <f>IFERROR(VLOOKUP(CONCATENATE($B$8,"_",$B43),Data!$H$16:$BN$1015,AD$11,FALSE),"")</f>
        <v/>
      </c>
      <c r="AE43" s="1428" t="str">
        <f>IFERROR(VLOOKUP(CONCATENATE($B$8,"_",$B43),Data!$H$16:$BN$1015,AE$11,FALSE),"")</f>
        <v/>
      </c>
      <c r="AF43" s="1429" t="str">
        <f>IFERROR(VLOOKUP(CONCATENATE($B$8,"_",$B43),Data!$H$16:$BN$1015,AF$11,FALSE),"")</f>
        <v/>
      </c>
      <c r="AG43" s="1428" t="str">
        <f>IFERROR(VLOOKUP(CONCATENATE($B$8,"_",$B43),Data!$H$16:$BN$1015,AG$11,FALSE),"")</f>
        <v/>
      </c>
      <c r="AH43" s="1428" t="str">
        <f>IFERROR(VLOOKUP(CONCATENATE($B$8,"_",$B43),Data!$H$16:$BN$1015,AH$11,FALSE),"")</f>
        <v/>
      </c>
      <c r="AI43" s="1429" t="str">
        <f>IFERROR(VLOOKUP(CONCATENATE($B$8,"_",$B43),Data!$H$16:$BN$1015,AI$11,FALSE),"")</f>
        <v/>
      </c>
      <c r="AJ43" s="1428" t="str">
        <f>IFERROR(VLOOKUP(CONCATENATE($B$8,"_",$B43),Data!$H$16:$BN$1015,AJ$11,FALSE),"")</f>
        <v/>
      </c>
      <c r="AK43" s="1428" t="str">
        <f>IFERROR(VLOOKUP(CONCATENATE($B$8,"_",$B43),Data!$H$16:$BN$1015,AK$11,FALSE),"")</f>
        <v/>
      </c>
      <c r="AL43" s="1429" t="str">
        <f>IFERROR(VLOOKUP(CONCATENATE($B$8,"_",$B43),Data!$H$16:$BN$1015,AL$11,FALSE),"")</f>
        <v/>
      </c>
      <c r="AM43" s="1428" t="str">
        <f>IFERROR(VLOOKUP(CONCATENATE($B$8,"_",$B43),Data!$H$16:$BN$1015,AM$11,FALSE),"")</f>
        <v/>
      </c>
      <c r="AN43" s="1428" t="str">
        <f>IFERROR(VLOOKUP(CONCATENATE($B$8,"_",$B43),Data!$H$16:$BN$1015,AN$11,FALSE),"")</f>
        <v/>
      </c>
      <c r="AO43" s="1430" t="str">
        <f>IFERROR(VLOOKUP(CONCATENATE($B$8,"_",$B43),Data!$H$16:$BN$1015,AO$11,FALSE),"")</f>
        <v/>
      </c>
      <c r="AP43" s="1428" t="str">
        <f>IFERROR(VLOOKUP(CONCATENATE($B$8,"_",$B43),Data!$H$16:$BN$1015,AP$11,FALSE),"")</f>
        <v/>
      </c>
      <c r="AQ43" s="1428" t="str">
        <f>IFERROR(VLOOKUP(CONCATENATE($B$8,"_",$B43),Data!$H$16:$BN$1015,AQ$11,FALSE),"")</f>
        <v/>
      </c>
      <c r="AR43" s="1430" t="str">
        <f>IFERROR(VLOOKUP(CONCATENATE($B$8,"_",$B43),Data!$H$16:$BN$1015,AR$11,FALSE),"")</f>
        <v/>
      </c>
      <c r="AS43" s="1428" t="str">
        <f>IFERROR(VLOOKUP(CONCATENATE($B$8,"_",$B43),Data!$H$16:$BN$1015,AS$11,FALSE),"")</f>
        <v/>
      </c>
      <c r="AT43" s="1428" t="str">
        <f>IFERROR(VLOOKUP(CONCATENATE($B$8,"_",$B43),Data!$H$16:$BN$1015,AT$11,FALSE),"")</f>
        <v/>
      </c>
      <c r="AU43" s="1430" t="str">
        <f>IFERROR(VLOOKUP(CONCATENATE($B$8,"_",$B43),Data!$H$16:$BN$1015,AU$11,FALSE),"")</f>
        <v/>
      </c>
      <c r="AV43" s="1428" t="str">
        <f>IFERROR(VLOOKUP(CONCATENATE($B$8,"_",$B43),Data!$H$16:$BN$1015,AV$11,FALSE),"")</f>
        <v/>
      </c>
      <c r="AW43" s="1428" t="str">
        <f>IFERROR(VLOOKUP(CONCATENATE($B$8,"_",$B43),Data!$H$16:$BN$1015,AW$11,FALSE),"")</f>
        <v/>
      </c>
      <c r="AX43" s="1430" t="str">
        <f>IFERROR(VLOOKUP(CONCATENATE($B$8,"_",$B43),Data!$H$16:$BN$1015,AX$11,FALSE),"")</f>
        <v/>
      </c>
      <c r="AY43" s="1429" t="str">
        <f>IFERROR(VLOOKUP(CONCATENATE($B$8,"_",$B43),Data!$H$16:$BN$1015,AY$11,FALSE),"")</f>
        <v/>
      </c>
      <c r="AZ43" s="1429" t="str">
        <f>IFERROR(VLOOKUP(CONCATENATE($B$8,"_",$B43),Data!$H$16:$BN$1015,AZ$11,FALSE),"")</f>
        <v/>
      </c>
      <c r="BA43" s="1429" t="str">
        <f>IFERROR(VLOOKUP(CONCATENATE($B$8,"_",$B43),Data!$H$16:$BN$1015,BA$11,FALSE),"")</f>
        <v/>
      </c>
      <c r="BB43" s="1429" t="str">
        <f>IFERROR(VLOOKUP(CONCATENATE($B$8,"_",$B43),Data!$H$16:$BN$1015,BB$11,FALSE),"")</f>
        <v/>
      </c>
      <c r="BC43" s="1429" t="str">
        <f>IFERROR(VLOOKUP(CONCATENATE($B$8,"_",$B43),Data!$H$16:$BN$1015,BC$11,FALSE),"")</f>
        <v/>
      </c>
      <c r="BD43" s="1431" t="str">
        <f>IFERROR(VLOOKUP(CONCATENATE($B$8,"_",$B43),Data!$H$16:$BN$1015,BD$11,FALSE),"")</f>
        <v/>
      </c>
      <c r="BE43" s="1439">
        <f t="shared" si="1"/>
        <v>2030</v>
      </c>
      <c r="BF43" s="1428" t="str">
        <f>IFERROR(VLOOKUP(CONCATENATE($B$8,"_",$B43),Data!$BO$16:$ES$1015,BF$11,FALSE),"")</f>
        <v/>
      </c>
      <c r="BG43" s="1433" t="str">
        <f>IFERROR(VLOOKUP(CONCATENATE($B$8,"_",$B43),Data!$BO$16:$ES$1015,BG$11,FALSE),"")</f>
        <v/>
      </c>
      <c r="BH43" s="1435" t="str">
        <f>IFERROR(VLOOKUP(CONCATENATE($B$8,"_",$B43),Data!$BO$16:$ES$1015,BH$11,FALSE),"")</f>
        <v/>
      </c>
      <c r="BI43" s="1434" t="str">
        <f>IFERROR(VLOOKUP(CONCATENATE($B$8,"_",$B43),Data!$BO$16:$ES$1015,BI$11,FALSE),"")</f>
        <v/>
      </c>
      <c r="BJ43" s="1428" t="str">
        <f>IFERROR(VLOOKUP(CONCATENATE($B$8,"_",$B43),Data!$BO$16:$ES$1015,BJ$11,FALSE),"")</f>
        <v/>
      </c>
      <c r="BK43" s="1428" t="str">
        <f>IFERROR(VLOOKUP(CONCATENATE($B$8,"_",$B43),Data!$BO$16:$ES$1015,BK$11,FALSE),"")</f>
        <v/>
      </c>
      <c r="BL43" s="1428" t="str">
        <f>IFERROR(VLOOKUP(CONCATENATE($B$8,"_",$B43),Data!$BO$16:$ES$1015,BL$11,FALSE),"")</f>
        <v/>
      </c>
      <c r="BM43" s="1433" t="str">
        <f>IFERROR(VLOOKUP(CONCATENATE($B$8,"_",$B43),Data!$BO$16:$ES$1015,BM$11,FALSE),"")</f>
        <v/>
      </c>
      <c r="BN43" s="1433" t="str">
        <f>IFERROR(VLOOKUP(CONCATENATE($B$8,"_",$B43),Data!$BO$16:$ES$1015,BN$11,FALSE),"")</f>
        <v/>
      </c>
      <c r="BO43" s="1433" t="str">
        <f>IFERROR(VLOOKUP(CONCATENATE($B$8,"_",$B43),Data!$BO$16:$ES$1015,BO$11,FALSE),"")</f>
        <v/>
      </c>
      <c r="BP43" s="1433" t="str">
        <f>IFERROR(VLOOKUP(CONCATENATE($B$8,"_",$B43),Data!$BO$16:$ES$1015,BP$11,FALSE),"")</f>
        <v/>
      </c>
      <c r="BQ43" s="1433" t="str">
        <f>IFERROR(VLOOKUP(CONCATENATE($B$8,"_",$B43),Data!$BO$16:$ES$1015,BQ$11,FALSE),"")</f>
        <v/>
      </c>
      <c r="BR43" s="1434" t="str">
        <f>IFERROR(VLOOKUP(CONCATENATE($B$8,"_",$B43),Data!$BO$16:$ES$1015,BR$11,FALSE),"")</f>
        <v/>
      </c>
      <c r="BS43" s="1434" t="str">
        <f>IFERROR(VLOOKUP(CONCATENATE($B$8,"_",$B43),Data!$BO$16:$ES$1015,BS$11,FALSE),"")</f>
        <v/>
      </c>
      <c r="BT43" s="1434" t="str">
        <f>IFERROR(VLOOKUP(CONCATENATE($B$8,"_",$B43),Data!$BO$16:$ES$1015,BT$11,FALSE),"")</f>
        <v/>
      </c>
      <c r="BU43" s="1434" t="str">
        <f>IFERROR(VLOOKUP(CONCATENATE($B$8,"_",$B43),Data!$BO$16:$ES$1015,BU$11,FALSE),"")</f>
        <v/>
      </c>
      <c r="BV43" s="1434" t="str">
        <f>IFERROR(VLOOKUP(CONCATENATE($B$8,"_",$B43),Data!$BO$16:$ES$1015,BV$11,FALSE),"")</f>
        <v/>
      </c>
      <c r="BW43" s="1434" t="str">
        <f>IFERROR(VLOOKUP(CONCATENATE($B$8,"_",$B43),Data!$BO$16:$ES$1015,BW$11,FALSE),"")</f>
        <v/>
      </c>
      <c r="BX43" s="1434" t="str">
        <f>IFERROR(VLOOKUP(CONCATENATE($B$8,"_",$B43),Data!$BO$16:$ES$1015,BX$11,FALSE),"")</f>
        <v/>
      </c>
      <c r="BY43" s="1428" t="str">
        <f>IFERROR(VLOOKUP(CONCATENATE($B$8,"_",$B43),Data!$BO$16:$ES$1015,BY$11,FALSE),"")</f>
        <v/>
      </c>
      <c r="BZ43" s="1428" t="str">
        <f>IFERROR(VLOOKUP(CONCATENATE($B$8,"_",$B43),Data!$BO$16:$ES$1015,BZ$11,FALSE),"")</f>
        <v/>
      </c>
      <c r="CA43" s="1428" t="str">
        <f>IFERROR(VLOOKUP(CONCATENATE($B$8,"_",$B43),Data!$BO$16:$ES$1015,CA$11,FALSE),"")</f>
        <v/>
      </c>
      <c r="CB43" s="1428" t="str">
        <f>IFERROR(VLOOKUP(CONCATENATE($B$8,"_",$B43),Data!$BO$16:$ES$1015,CB$11,FALSE),"")</f>
        <v/>
      </c>
      <c r="CC43" s="1428" t="str">
        <f>IFERROR(VLOOKUP(CONCATENATE($B$8,"_",$B43),Data!$BO$16:$ES$1015,CC$11,FALSE),"")</f>
        <v/>
      </c>
      <c r="CD43" s="1428" t="str">
        <f>IFERROR(VLOOKUP(CONCATENATE($B$8,"_",$B43),Data!$BO$16:$ES$1015,CD$11,FALSE),"")</f>
        <v/>
      </c>
      <c r="CE43" s="1428" t="str">
        <f>IFERROR(VLOOKUP(CONCATENATE($B$8,"_",$B43),Data!$BO$16:$ES$1015,CE$11,FALSE),"")</f>
        <v/>
      </c>
      <c r="CF43" s="1428" t="str">
        <f>IFERROR(VLOOKUP(CONCATENATE($B$8,"_",$B43),Data!$BO$16:$ES$1015,CF$11,FALSE),"")</f>
        <v/>
      </c>
      <c r="CG43" s="1428" t="str">
        <f>IFERROR(VLOOKUP(CONCATENATE($B$8,"_",$B43),Data!$BO$16:$ES$1015,CG$11,FALSE),"")</f>
        <v/>
      </c>
      <c r="CH43" s="1428" t="str">
        <f>IFERROR(VLOOKUP(CONCATENATE($B$8,"_",$B43),Data!$BO$16:$ES$1015,CH$11,FALSE),"")</f>
        <v/>
      </c>
      <c r="CI43" s="1428" t="str">
        <f>IFERROR(VLOOKUP(CONCATENATE($B$8,"_",$B43),Data!$BO$16:$ES$1015,CI$11,FALSE),"")</f>
        <v/>
      </c>
      <c r="CJ43" s="1428" t="str">
        <f>IFERROR(VLOOKUP(CONCATENATE($B$8,"_",$B43),Data!$BO$16:$ES$1015,CJ$11,FALSE),"")</f>
        <v/>
      </c>
      <c r="CK43" s="1428" t="str">
        <f>IFERROR(VLOOKUP(CONCATENATE($B$8,"_",$B43),Data!$BO$16:$ES$1015,CK$11,FALSE),"")</f>
        <v/>
      </c>
      <c r="CL43" s="1428" t="str">
        <f>IFERROR(VLOOKUP(CONCATENATE($B$8,"_",$B43),Data!$BO$16:$ES$1015,CL$11,FALSE),"")</f>
        <v/>
      </c>
      <c r="CM43" s="1428" t="str">
        <f>IFERROR(VLOOKUP(CONCATENATE($B$8,"_",$B43),Data!$BO$16:$ES$1015,CM$11,FALSE),"")</f>
        <v/>
      </c>
      <c r="CN43" s="1428" t="str">
        <f>IFERROR(VLOOKUP(CONCATENATE($B$8,"_",$B43),Data!$BO$16:$ES$1015,CN$11,FALSE),"")</f>
        <v/>
      </c>
      <c r="CO43" s="1428" t="str">
        <f>IFERROR(VLOOKUP(CONCATENATE($B$8,"_",$B43),Data!$BO$16:$ES$1015,CO$11,FALSE),"")</f>
        <v/>
      </c>
      <c r="CP43" s="1433" t="str">
        <f>IFERROR(VLOOKUP(CONCATENATE($B$8,"_",$B43),Data!$BO$16:$ES$1015,CP$11,FALSE),"")</f>
        <v/>
      </c>
      <c r="CQ43" s="1433" t="str">
        <f>IFERROR(VLOOKUP(CONCATENATE($B$8,"_",$B43),Data!$BO$16:$ES$1015,CQ$11,FALSE),"")</f>
        <v/>
      </c>
      <c r="CR43" s="1433" t="str">
        <f>IFERROR(VLOOKUP(CONCATENATE($B$8,"_",$B43),Data!$BO$16:$ES$1015,CR$11,FALSE),"")</f>
        <v/>
      </c>
      <c r="CS43" s="1433" t="str">
        <f>IFERROR(VLOOKUP(CONCATENATE($B$8,"_",$B43),Data!$BO$16:$ES$1015,CS$11,FALSE),"")</f>
        <v/>
      </c>
      <c r="CT43" s="1433" t="str">
        <f>IFERROR(VLOOKUP(CONCATENATE($B$8,"_",$B43),Data!$BO$16:$ES$1015,CT$11,FALSE),"")</f>
        <v/>
      </c>
      <c r="CU43" s="1433" t="str">
        <f>IFERROR(VLOOKUP(CONCATENATE($B$8,"_",$B43),Data!$BO$16:$ES$1015,CU$11,FALSE),"")</f>
        <v/>
      </c>
      <c r="CV43" s="1433" t="str">
        <f>IFERROR(VLOOKUP(CONCATENATE($B$8,"_",$B43),Data!$BO$16:$ES$1015,CV$11,FALSE),"")</f>
        <v/>
      </c>
      <c r="CW43" s="1433" t="str">
        <f>IFERROR(VLOOKUP(CONCATENATE($B$8,"_",$B43),Data!$BO$16:$ES$1015,CW$11,FALSE),"")</f>
        <v/>
      </c>
      <c r="CX43" s="1433" t="str">
        <f>IFERROR(VLOOKUP(CONCATENATE($B$8,"_",$B43),Data!$BO$16:$ES$1015,CX$11,FALSE),"")</f>
        <v/>
      </c>
      <c r="CY43" s="1433" t="str">
        <f>IFERROR(VLOOKUP(CONCATENATE($B$8,"_",$B43),Data!$BO$16:$ES$1015,CY$11,FALSE),"")</f>
        <v/>
      </c>
      <c r="CZ43" s="1433" t="str">
        <f>IFERROR(VLOOKUP(CONCATENATE($B$8,"_",$B43),Data!$BO$16:$ES$1015,CZ$11,FALSE),"")</f>
        <v/>
      </c>
      <c r="DA43" s="1433" t="str">
        <f>IFERROR(VLOOKUP(CONCATENATE($B$8,"_",$B43),Data!$BO$16:$ES$1015,DA$11,FALSE),"")</f>
        <v/>
      </c>
      <c r="DB43" s="1433" t="str">
        <f>IFERROR(VLOOKUP(CONCATENATE($B$8,"_",$B43),Data!$BO$16:$ES$1015,DB$11,FALSE),"")</f>
        <v/>
      </c>
      <c r="DC43" s="1433" t="str">
        <f>IFERROR(VLOOKUP(CONCATENATE($B$8,"_",$B43),Data!$BO$16:$ES$1015,DC$11,FALSE),"")</f>
        <v/>
      </c>
      <c r="DD43" s="1433" t="str">
        <f>IFERROR(VLOOKUP(CONCATENATE($B$8,"_",$B43),Data!$BO$16:$ES$1015,DD$11,FALSE),"")</f>
        <v/>
      </c>
      <c r="DE43" s="1433" t="str">
        <f>IFERROR(VLOOKUP(CONCATENATE($B$8,"_",$B43),Data!$BO$16:$ES$1015,DE$11,FALSE),"")</f>
        <v/>
      </c>
      <c r="DF43" s="1433" t="str">
        <f>IFERROR(VLOOKUP(CONCATENATE($B$8,"_",$B43),Data!$BO$16:$ES$1015,DF$11,FALSE),"")</f>
        <v/>
      </c>
      <c r="DG43" s="1433" t="str">
        <f>IFERROR(VLOOKUP(CONCATENATE($B$8,"_",$B43),Data!$BO$16:$ES$1015,DG$11,FALSE),"")</f>
        <v/>
      </c>
      <c r="DH43" s="1433" t="str">
        <f>IFERROR(VLOOKUP(CONCATENATE($B$8,"_",$B43),Data!$BO$16:$ES$1015,DH$11,FALSE),"")</f>
        <v/>
      </c>
      <c r="DI43" s="1433" t="str">
        <f>IFERROR(VLOOKUP(CONCATENATE($B$8,"_",$B43),Data!$BO$16:$ES$1015,DI$11,FALSE),"")</f>
        <v/>
      </c>
      <c r="DJ43" s="1433" t="str">
        <f>IFERROR(VLOOKUP(CONCATENATE($B$8,"_",$B43),Data!$BO$16:$ES$1015,DJ$11,FALSE),"")</f>
        <v/>
      </c>
      <c r="DK43" s="1433" t="str">
        <f>IFERROR(VLOOKUP(CONCATENATE($B$8,"_",$B43),Data!$BO$16:$ES$1015,DK$11,FALSE),"")</f>
        <v/>
      </c>
      <c r="DL43" s="1435" t="str">
        <f>IFERROR(VLOOKUP(CONCATENATE($B$8,"_",$B43),Data!$BO$16:$ES$1015,DL$11,FALSE),"")</f>
        <v/>
      </c>
      <c r="DM43" s="1434" t="str">
        <f>IFERROR(VLOOKUP(CONCATENATE($B$8,"_",$B43),Data!$BO$16:$ES$1015,DM$11,FALSE),"")</f>
        <v/>
      </c>
      <c r="DN43" s="1434" t="str">
        <f>IFERROR(VLOOKUP(CONCATENATE($B$8,"_",$B43),Data!$BO$16:$ES$1015,DN$11,FALSE),"")</f>
        <v/>
      </c>
      <c r="DO43" s="1434" t="str">
        <f>IFERROR(VLOOKUP(CONCATENATE($B$8,"_",$B43),Data!$BO$16:$ES$1015,DO$11,FALSE),"")</f>
        <v/>
      </c>
      <c r="DP43" s="1434" t="str">
        <f>IFERROR(VLOOKUP(CONCATENATE($B$8,"_",$B43),Data!$BO$16:$ES$1015,DP$11,FALSE),"")</f>
        <v/>
      </c>
      <c r="DQ43" s="1434" t="str">
        <f>IFERROR(VLOOKUP(CONCATENATE($B$8,"_",$B43),Data!$BO$16:$ES$1015,DQ$11,FALSE),"")</f>
        <v/>
      </c>
      <c r="DR43" s="1434" t="str">
        <f>IFERROR(VLOOKUP(CONCATENATE($B$8,"_",$B43),Data!$BO$16:$ES$1015,DR$11,FALSE),"")</f>
        <v/>
      </c>
      <c r="DS43" s="1434" t="str">
        <f>IFERROR(VLOOKUP(CONCATENATE($B$8,"_",$B43),Data!$BO$16:$ES$1015,DS$11,FALSE),"")</f>
        <v/>
      </c>
      <c r="DT43" s="1434" t="str">
        <f>IFERROR(VLOOKUP(CONCATENATE($B$8,"_",$B43),Data!$BO$16:$ES$1015,DT$11,FALSE),"")</f>
        <v/>
      </c>
      <c r="DU43" s="1434" t="str">
        <f>IFERROR(VLOOKUP(CONCATENATE($B$8,"_",$B43),Data!$BO$16:$ES$1015,DU$11,FALSE),"")</f>
        <v/>
      </c>
      <c r="DV43" s="1434" t="str">
        <f>IFERROR(VLOOKUP(CONCATENATE($B$8,"_",$B43),Data!$BO$16:$ES$1015,DV$11,FALSE),"")</f>
        <v/>
      </c>
      <c r="DW43" s="1434" t="str">
        <f>IFERROR(VLOOKUP(CONCATENATE($B$8,"_",$B43),Data!$BO$16:$ES$1015,DW$11,FALSE),"")</f>
        <v/>
      </c>
      <c r="DX43" s="1434" t="str">
        <f>IFERROR(VLOOKUP(CONCATENATE($B$8,"_",$B43),Data!$BO$16:$ES$1015,DX$11,FALSE),"")</f>
        <v/>
      </c>
      <c r="DY43" s="1434" t="str">
        <f>IFERROR(VLOOKUP(CONCATENATE($B$8,"_",$B43),Data!$BO$16:$ES$1015,DY$11,FALSE),"")</f>
        <v/>
      </c>
      <c r="DZ43" s="1434" t="str">
        <f>IFERROR(VLOOKUP(CONCATENATE($B$8,"_",$B43),Data!$BO$16:$ES$1015,DZ$11,FALSE),"")</f>
        <v/>
      </c>
      <c r="EA43" s="1434" t="str">
        <f>IFERROR(VLOOKUP(CONCATENATE($B$8,"_",$B43),Data!$BO$16:$ES$1015,EA$11,FALSE),"")</f>
        <v/>
      </c>
      <c r="EB43" s="1434" t="str">
        <f>IFERROR(VLOOKUP(CONCATENATE($B$8,"_",$B43),Data!$BO$16:$ES$1015,EB$11,FALSE),"")</f>
        <v/>
      </c>
      <c r="EC43" s="1434" t="str">
        <f>IFERROR(VLOOKUP(CONCATENATE($B$8,"_",$B43),Data!$BO$16:$ES$1015,EC$11,FALSE),"")</f>
        <v/>
      </c>
      <c r="ED43" s="1434" t="str">
        <f>IFERROR(VLOOKUP(CONCATENATE($B$8,"_",$B43),Data!$BO$16:$ES$1015,ED$11,FALSE),"")</f>
        <v/>
      </c>
      <c r="EE43" s="1434" t="str">
        <f>IFERROR(VLOOKUP(CONCATENATE($B$8,"_",$B43),Data!$BO$16:$ES$1015,EE$11,FALSE),"")</f>
        <v/>
      </c>
      <c r="EF43" s="1434" t="str">
        <f>IFERROR(VLOOKUP(CONCATENATE($B$8,"_",$B43),Data!$BO$16:$ES$1015,EF$11,FALSE),"")</f>
        <v/>
      </c>
      <c r="EG43" s="1434" t="str">
        <f>IFERROR(VLOOKUP(CONCATENATE($B$8,"_",$B43),Data!$BO$16:$ES$1015,EG$11,FALSE),"")</f>
        <v/>
      </c>
      <c r="EH43" s="1434" t="str">
        <f>IFERROR(VLOOKUP(CONCATENATE($B$8,"_",$B43),Data!$BO$16:$ES$1015,EH$11,FALSE),"")</f>
        <v/>
      </c>
      <c r="EI43" s="1434" t="str">
        <f>IFERROR(VLOOKUP(CONCATENATE($B$8,"_",$B43),Data!$BO$16:$ES$1015,EI$11,FALSE),"")</f>
        <v/>
      </c>
    </row>
    <row r="44" spans="1:141" s="1436" customFormat="1" ht="15" customHeight="1">
      <c r="A44" s="1438">
        <v>31</v>
      </c>
      <c r="B44" s="1738">
        <f>IF($B$13+A44&lt;=Progress!$D$18,$B$13+A44,"")</f>
        <v>2031</v>
      </c>
      <c r="C44" s="1737" t="str">
        <f>IFERROR(VLOOKUP(CONCATENATE($B$8,"_",$B44),Data!$H$16:$BN$1015,C$11,FALSE),"")</f>
        <v/>
      </c>
      <c r="D44" s="1428" t="str">
        <f>IFERROR(VLOOKUP(CONCATENATE($B$8,"_",$B44),Data!$H$16:$BN$1015,D$11,FALSE),"")</f>
        <v/>
      </c>
      <c r="E44" s="1429" t="str">
        <f>IFERROR(VLOOKUP(CONCATENATE($B$8,"_",$B44),Data!$H$16:$BN$1015,E$11,FALSE),"")</f>
        <v/>
      </c>
      <c r="F44" s="1428" t="str">
        <f>IFERROR(VLOOKUP(CONCATENATE($B$8,"_",$B44),Data!$H$16:$BN$1015,F$11,FALSE),"")</f>
        <v/>
      </c>
      <c r="G44" s="1428" t="str">
        <f>IFERROR(VLOOKUP(CONCATENATE($B$8,"_",$B44),Data!$H$16:$BN$1015,G$11,FALSE),"")</f>
        <v/>
      </c>
      <c r="H44" s="1429" t="str">
        <f>IFERROR(VLOOKUP(CONCATENATE($B$8,"_",$B44),Data!$H$16:$BN$1015,H$11,FALSE),"")</f>
        <v/>
      </c>
      <c r="I44" s="1428" t="str">
        <f>IFERROR(VLOOKUP(CONCATENATE($B$8,"_",$B44),Data!$H$16:$BN$1015,I$11,FALSE),"")</f>
        <v/>
      </c>
      <c r="J44" s="1428" t="str">
        <f>IFERROR(VLOOKUP(CONCATENATE($B$8,"_",$B44),Data!$H$16:$BN$1015,J$11,FALSE),"")</f>
        <v/>
      </c>
      <c r="K44" s="1429" t="str">
        <f>IFERROR(VLOOKUP(CONCATENATE($B$8,"_",$B44),Data!$H$16:$BN$1015,K$11,FALSE),"")</f>
        <v/>
      </c>
      <c r="L44" s="1428" t="str">
        <f>IFERROR(VLOOKUP(CONCATENATE($B$8,"_",$B44),Data!$H$16:$BN$1015,L$11,FALSE),"")</f>
        <v/>
      </c>
      <c r="M44" s="1428" t="str">
        <f>IFERROR(VLOOKUP(CONCATENATE($B$8,"_",$B44),Data!$H$16:$BN$1015,M$11,FALSE),"")</f>
        <v/>
      </c>
      <c r="N44" s="1429" t="str">
        <f>IFERROR(VLOOKUP(CONCATENATE($B$8,"_",$B44),Data!$H$16:$BN$1015,N$11,FALSE),"")</f>
        <v/>
      </c>
      <c r="O44" s="1430" t="str">
        <f>IFERROR(VLOOKUP(CONCATENATE($B$8,"_",$B44),Data!$H$16:$BN$1015,O$11,FALSE),"")</f>
        <v/>
      </c>
      <c r="P44" s="1428" t="str">
        <f>IFERROR(VLOOKUP(CONCATENATE($B$8,"_",$B44),Data!$H$16:$BN$1015,P$11,FALSE),"")</f>
        <v/>
      </c>
      <c r="Q44" s="1428" t="str">
        <f>IFERROR(VLOOKUP(CONCATENATE($B$8,"_",$B44),Data!$H$16:$BN$1015,Q$11,FALSE),"")</f>
        <v/>
      </c>
      <c r="R44" s="1429" t="str">
        <f>IFERROR(VLOOKUP(CONCATENATE($B$8,"_",$B44),Data!$H$16:$BN$1015,R$11,FALSE),"")</f>
        <v/>
      </c>
      <c r="S44" s="1428" t="str">
        <f>IFERROR(VLOOKUP(CONCATENATE($B$8,"_",$B44),Data!$H$16:$BN$1015,S$11,FALSE),"")</f>
        <v/>
      </c>
      <c r="T44" s="1428" t="str">
        <f>IFERROR(VLOOKUP(CONCATENATE($B$8,"_",$B44),Data!$H$16:$BN$1015,T$11,FALSE),"")</f>
        <v/>
      </c>
      <c r="U44" s="1429" t="str">
        <f>IFERROR(VLOOKUP(CONCATENATE($B$8,"_",$B44),Data!$H$16:$BN$1015,U$11,FALSE),"")</f>
        <v/>
      </c>
      <c r="V44" s="1428" t="str">
        <f>IFERROR(VLOOKUP(CONCATENATE($B$8,"_",$B44),Data!$H$16:$BN$1015,V$11,FALSE),"")</f>
        <v/>
      </c>
      <c r="W44" s="1428" t="str">
        <f>IFERROR(VLOOKUP(CONCATENATE($B$8,"_",$B44),Data!$H$16:$BN$1015,W$11,FALSE),"")</f>
        <v/>
      </c>
      <c r="X44" s="1428" t="str">
        <f>IFERROR(VLOOKUP(CONCATENATE($B$8,"_",$B44),Data!$H$16:$BN$1015,X$11,FALSE),"")</f>
        <v/>
      </c>
      <c r="Y44" s="1428" t="str">
        <f>IFERROR(VLOOKUP(CONCATENATE($B$8,"_",$B44),Data!$H$16:$BN$1015,Y$11,FALSE),"")</f>
        <v/>
      </c>
      <c r="Z44" s="1429" t="str">
        <f>IFERROR(VLOOKUP(CONCATENATE($B$8,"_",$B44),Data!$H$16:$BN$1015,Z$11,FALSE),"")</f>
        <v/>
      </c>
      <c r="AA44" s="1428" t="str">
        <f>IFERROR(VLOOKUP(CONCATENATE($B$8,"_",$B44),Data!$H$16:$BN$1015,AA$11,FALSE),"")</f>
        <v/>
      </c>
      <c r="AB44" s="1428" t="str">
        <f>IFERROR(VLOOKUP(CONCATENATE($B$8,"_",$B44),Data!$H$16:$BN$1015,AB$11,FALSE),"")</f>
        <v/>
      </c>
      <c r="AC44" s="1429" t="str">
        <f>IFERROR(VLOOKUP(CONCATENATE($B$8,"_",$B44),Data!$H$16:$BN$1015,AC$11,FALSE),"")</f>
        <v/>
      </c>
      <c r="AD44" s="1428" t="str">
        <f>IFERROR(VLOOKUP(CONCATENATE($B$8,"_",$B44),Data!$H$16:$BN$1015,AD$11,FALSE),"")</f>
        <v/>
      </c>
      <c r="AE44" s="1428" t="str">
        <f>IFERROR(VLOOKUP(CONCATENATE($B$8,"_",$B44),Data!$H$16:$BN$1015,AE$11,FALSE),"")</f>
        <v/>
      </c>
      <c r="AF44" s="1429" t="str">
        <f>IFERROR(VLOOKUP(CONCATENATE($B$8,"_",$B44),Data!$H$16:$BN$1015,AF$11,FALSE),"")</f>
        <v/>
      </c>
      <c r="AG44" s="1428" t="str">
        <f>IFERROR(VLOOKUP(CONCATENATE($B$8,"_",$B44),Data!$H$16:$BN$1015,AG$11,FALSE),"")</f>
        <v/>
      </c>
      <c r="AH44" s="1428" t="str">
        <f>IFERROR(VLOOKUP(CONCATENATE($B$8,"_",$B44),Data!$H$16:$BN$1015,AH$11,FALSE),"")</f>
        <v/>
      </c>
      <c r="AI44" s="1429" t="str">
        <f>IFERROR(VLOOKUP(CONCATENATE($B$8,"_",$B44),Data!$H$16:$BN$1015,AI$11,FALSE),"")</f>
        <v/>
      </c>
      <c r="AJ44" s="1428" t="str">
        <f>IFERROR(VLOOKUP(CONCATENATE($B$8,"_",$B44),Data!$H$16:$BN$1015,AJ$11,FALSE),"")</f>
        <v/>
      </c>
      <c r="AK44" s="1428" t="str">
        <f>IFERROR(VLOOKUP(CONCATENATE($B$8,"_",$B44),Data!$H$16:$BN$1015,AK$11,FALSE),"")</f>
        <v/>
      </c>
      <c r="AL44" s="1429" t="str">
        <f>IFERROR(VLOOKUP(CONCATENATE($B$8,"_",$B44),Data!$H$16:$BN$1015,AL$11,FALSE),"")</f>
        <v/>
      </c>
      <c r="AM44" s="1428" t="str">
        <f>IFERROR(VLOOKUP(CONCATENATE($B$8,"_",$B44),Data!$H$16:$BN$1015,AM$11,FALSE),"")</f>
        <v/>
      </c>
      <c r="AN44" s="1428" t="str">
        <f>IFERROR(VLOOKUP(CONCATENATE($B$8,"_",$B44),Data!$H$16:$BN$1015,AN$11,FALSE),"")</f>
        <v/>
      </c>
      <c r="AO44" s="1430" t="str">
        <f>IFERROR(VLOOKUP(CONCATENATE($B$8,"_",$B44),Data!$H$16:$BN$1015,AO$11,FALSE),"")</f>
        <v/>
      </c>
      <c r="AP44" s="1428" t="str">
        <f>IFERROR(VLOOKUP(CONCATENATE($B$8,"_",$B44),Data!$H$16:$BN$1015,AP$11,FALSE),"")</f>
        <v/>
      </c>
      <c r="AQ44" s="1428" t="str">
        <f>IFERROR(VLOOKUP(CONCATENATE($B$8,"_",$B44),Data!$H$16:$BN$1015,AQ$11,FALSE),"")</f>
        <v/>
      </c>
      <c r="AR44" s="1430" t="str">
        <f>IFERROR(VLOOKUP(CONCATENATE($B$8,"_",$B44),Data!$H$16:$BN$1015,AR$11,FALSE),"")</f>
        <v/>
      </c>
      <c r="AS44" s="1428" t="str">
        <f>IFERROR(VLOOKUP(CONCATENATE($B$8,"_",$B44),Data!$H$16:$BN$1015,AS$11,FALSE),"")</f>
        <v/>
      </c>
      <c r="AT44" s="1428" t="str">
        <f>IFERROR(VLOOKUP(CONCATENATE($B$8,"_",$B44),Data!$H$16:$BN$1015,AT$11,FALSE),"")</f>
        <v/>
      </c>
      <c r="AU44" s="1430" t="str">
        <f>IFERROR(VLOOKUP(CONCATENATE($B$8,"_",$B44),Data!$H$16:$BN$1015,AU$11,FALSE),"")</f>
        <v/>
      </c>
      <c r="AV44" s="1428" t="str">
        <f>IFERROR(VLOOKUP(CONCATENATE($B$8,"_",$B44),Data!$H$16:$BN$1015,AV$11,FALSE),"")</f>
        <v/>
      </c>
      <c r="AW44" s="1428" t="str">
        <f>IFERROR(VLOOKUP(CONCATENATE($B$8,"_",$B44),Data!$H$16:$BN$1015,AW$11,FALSE),"")</f>
        <v/>
      </c>
      <c r="AX44" s="1430" t="str">
        <f>IFERROR(VLOOKUP(CONCATENATE($B$8,"_",$B44),Data!$H$16:$BN$1015,AX$11,FALSE),"")</f>
        <v/>
      </c>
      <c r="AY44" s="1429" t="str">
        <f>IFERROR(VLOOKUP(CONCATENATE($B$8,"_",$B44),Data!$H$16:$BN$1015,AY$11,FALSE),"")</f>
        <v/>
      </c>
      <c r="AZ44" s="1429" t="str">
        <f>IFERROR(VLOOKUP(CONCATENATE($B$8,"_",$B44),Data!$H$16:$BN$1015,AZ$11,FALSE),"")</f>
        <v/>
      </c>
      <c r="BA44" s="1429" t="str">
        <f>IFERROR(VLOOKUP(CONCATENATE($B$8,"_",$B44),Data!$H$16:$BN$1015,BA$11,FALSE),"")</f>
        <v/>
      </c>
      <c r="BB44" s="1429" t="str">
        <f>IFERROR(VLOOKUP(CONCATENATE($B$8,"_",$B44),Data!$H$16:$BN$1015,BB$11,FALSE),"")</f>
        <v/>
      </c>
      <c r="BC44" s="1429" t="str">
        <f>IFERROR(VLOOKUP(CONCATENATE($B$8,"_",$B44),Data!$H$16:$BN$1015,BC$11,FALSE),"")</f>
        <v/>
      </c>
      <c r="BD44" s="1431" t="str">
        <f>IFERROR(VLOOKUP(CONCATENATE($B$8,"_",$B44),Data!$H$16:$BN$1015,BD$11,FALSE),"")</f>
        <v/>
      </c>
      <c r="BE44" s="1439">
        <f t="shared" si="1"/>
        <v>2031</v>
      </c>
      <c r="BF44" s="1428" t="str">
        <f>IFERROR(VLOOKUP(CONCATENATE($B$8,"_",$B44),Data!$BO$16:$ES$1015,BF$11,FALSE),"")</f>
        <v/>
      </c>
      <c r="BG44" s="1433" t="str">
        <f>IFERROR(VLOOKUP(CONCATENATE($B$8,"_",$B44),Data!$BO$16:$ES$1015,BG$11,FALSE),"")</f>
        <v/>
      </c>
      <c r="BH44" s="1435" t="str">
        <f>IFERROR(VLOOKUP(CONCATENATE($B$8,"_",$B44),Data!$BO$16:$ES$1015,BH$11,FALSE),"")</f>
        <v/>
      </c>
      <c r="BI44" s="1434" t="str">
        <f>IFERROR(VLOOKUP(CONCATENATE($B$8,"_",$B44),Data!$BO$16:$ES$1015,BI$11,FALSE),"")</f>
        <v/>
      </c>
      <c r="BJ44" s="1428" t="str">
        <f>IFERROR(VLOOKUP(CONCATENATE($B$8,"_",$B44),Data!$BO$16:$ES$1015,BJ$11,FALSE),"")</f>
        <v/>
      </c>
      <c r="BK44" s="1428" t="str">
        <f>IFERROR(VLOOKUP(CONCATENATE($B$8,"_",$B44),Data!$BO$16:$ES$1015,BK$11,FALSE),"")</f>
        <v/>
      </c>
      <c r="BL44" s="1428" t="str">
        <f>IFERROR(VLOOKUP(CONCATENATE($B$8,"_",$B44),Data!$BO$16:$ES$1015,BL$11,FALSE),"")</f>
        <v/>
      </c>
      <c r="BM44" s="1433" t="str">
        <f>IFERROR(VLOOKUP(CONCATENATE($B$8,"_",$B44),Data!$BO$16:$ES$1015,BM$11,FALSE),"")</f>
        <v/>
      </c>
      <c r="BN44" s="1433" t="str">
        <f>IFERROR(VLOOKUP(CONCATENATE($B$8,"_",$B44),Data!$BO$16:$ES$1015,BN$11,FALSE),"")</f>
        <v/>
      </c>
      <c r="BO44" s="1433" t="str">
        <f>IFERROR(VLOOKUP(CONCATENATE($B$8,"_",$B44),Data!$BO$16:$ES$1015,BO$11,FALSE),"")</f>
        <v/>
      </c>
      <c r="BP44" s="1433" t="str">
        <f>IFERROR(VLOOKUP(CONCATENATE($B$8,"_",$B44),Data!$BO$16:$ES$1015,BP$11,FALSE),"")</f>
        <v/>
      </c>
      <c r="BQ44" s="1433" t="str">
        <f>IFERROR(VLOOKUP(CONCATENATE($B$8,"_",$B44),Data!$BO$16:$ES$1015,BQ$11,FALSE),"")</f>
        <v/>
      </c>
      <c r="BR44" s="1434" t="str">
        <f>IFERROR(VLOOKUP(CONCATENATE($B$8,"_",$B44),Data!$BO$16:$ES$1015,BR$11,FALSE),"")</f>
        <v/>
      </c>
      <c r="BS44" s="1434" t="str">
        <f>IFERROR(VLOOKUP(CONCATENATE($B$8,"_",$B44),Data!$BO$16:$ES$1015,BS$11,FALSE),"")</f>
        <v/>
      </c>
      <c r="BT44" s="1434" t="str">
        <f>IFERROR(VLOOKUP(CONCATENATE($B$8,"_",$B44),Data!$BO$16:$ES$1015,BT$11,FALSE),"")</f>
        <v/>
      </c>
      <c r="BU44" s="1434" t="str">
        <f>IFERROR(VLOOKUP(CONCATENATE($B$8,"_",$B44),Data!$BO$16:$ES$1015,BU$11,FALSE),"")</f>
        <v/>
      </c>
      <c r="BV44" s="1434" t="str">
        <f>IFERROR(VLOOKUP(CONCATENATE($B$8,"_",$B44),Data!$BO$16:$ES$1015,BV$11,FALSE),"")</f>
        <v/>
      </c>
      <c r="BW44" s="1434" t="str">
        <f>IFERROR(VLOOKUP(CONCATENATE($B$8,"_",$B44),Data!$BO$16:$ES$1015,BW$11,FALSE),"")</f>
        <v/>
      </c>
      <c r="BX44" s="1434" t="str">
        <f>IFERROR(VLOOKUP(CONCATENATE($B$8,"_",$B44),Data!$BO$16:$ES$1015,BX$11,FALSE),"")</f>
        <v/>
      </c>
      <c r="BY44" s="1428" t="str">
        <f>IFERROR(VLOOKUP(CONCATENATE($B$8,"_",$B44),Data!$BO$16:$ES$1015,BY$11,FALSE),"")</f>
        <v/>
      </c>
      <c r="BZ44" s="1428" t="str">
        <f>IFERROR(VLOOKUP(CONCATENATE($B$8,"_",$B44),Data!$BO$16:$ES$1015,BZ$11,FALSE),"")</f>
        <v/>
      </c>
      <c r="CA44" s="1428" t="str">
        <f>IFERROR(VLOOKUP(CONCATENATE($B$8,"_",$B44),Data!$BO$16:$ES$1015,CA$11,FALSE),"")</f>
        <v/>
      </c>
      <c r="CB44" s="1428" t="str">
        <f>IFERROR(VLOOKUP(CONCATENATE($B$8,"_",$B44),Data!$BO$16:$ES$1015,CB$11,FALSE),"")</f>
        <v/>
      </c>
      <c r="CC44" s="1428" t="str">
        <f>IFERROR(VLOOKUP(CONCATENATE($B$8,"_",$B44),Data!$BO$16:$ES$1015,CC$11,FALSE),"")</f>
        <v/>
      </c>
      <c r="CD44" s="1428" t="str">
        <f>IFERROR(VLOOKUP(CONCATENATE($B$8,"_",$B44),Data!$BO$16:$ES$1015,CD$11,FALSE),"")</f>
        <v/>
      </c>
      <c r="CE44" s="1428" t="str">
        <f>IFERROR(VLOOKUP(CONCATENATE($B$8,"_",$B44),Data!$BO$16:$ES$1015,CE$11,FALSE),"")</f>
        <v/>
      </c>
      <c r="CF44" s="1428" t="str">
        <f>IFERROR(VLOOKUP(CONCATENATE($B$8,"_",$B44),Data!$BO$16:$ES$1015,CF$11,FALSE),"")</f>
        <v/>
      </c>
      <c r="CG44" s="1428" t="str">
        <f>IFERROR(VLOOKUP(CONCATENATE($B$8,"_",$B44),Data!$BO$16:$ES$1015,CG$11,FALSE),"")</f>
        <v/>
      </c>
      <c r="CH44" s="1428" t="str">
        <f>IFERROR(VLOOKUP(CONCATENATE($B$8,"_",$B44),Data!$BO$16:$ES$1015,CH$11,FALSE),"")</f>
        <v/>
      </c>
      <c r="CI44" s="1428" t="str">
        <f>IFERROR(VLOOKUP(CONCATENATE($B$8,"_",$B44),Data!$BO$16:$ES$1015,CI$11,FALSE),"")</f>
        <v/>
      </c>
      <c r="CJ44" s="1428" t="str">
        <f>IFERROR(VLOOKUP(CONCATENATE($B$8,"_",$B44),Data!$BO$16:$ES$1015,CJ$11,FALSE),"")</f>
        <v/>
      </c>
      <c r="CK44" s="1428" t="str">
        <f>IFERROR(VLOOKUP(CONCATENATE($B$8,"_",$B44),Data!$BO$16:$ES$1015,CK$11,FALSE),"")</f>
        <v/>
      </c>
      <c r="CL44" s="1428" t="str">
        <f>IFERROR(VLOOKUP(CONCATENATE($B$8,"_",$B44),Data!$BO$16:$ES$1015,CL$11,FALSE),"")</f>
        <v/>
      </c>
      <c r="CM44" s="1428" t="str">
        <f>IFERROR(VLOOKUP(CONCATENATE($B$8,"_",$B44),Data!$BO$16:$ES$1015,CM$11,FALSE),"")</f>
        <v/>
      </c>
      <c r="CN44" s="1428" t="str">
        <f>IFERROR(VLOOKUP(CONCATENATE($B$8,"_",$B44),Data!$BO$16:$ES$1015,CN$11,FALSE),"")</f>
        <v/>
      </c>
      <c r="CO44" s="1428" t="str">
        <f>IFERROR(VLOOKUP(CONCATENATE($B$8,"_",$B44),Data!$BO$16:$ES$1015,CO$11,FALSE),"")</f>
        <v/>
      </c>
      <c r="CP44" s="1433" t="str">
        <f>IFERROR(VLOOKUP(CONCATENATE($B$8,"_",$B44),Data!$BO$16:$ES$1015,CP$11,FALSE),"")</f>
        <v/>
      </c>
      <c r="CQ44" s="1433" t="str">
        <f>IFERROR(VLOOKUP(CONCATENATE($B$8,"_",$B44),Data!$BO$16:$ES$1015,CQ$11,FALSE),"")</f>
        <v/>
      </c>
      <c r="CR44" s="1433" t="str">
        <f>IFERROR(VLOOKUP(CONCATENATE($B$8,"_",$B44),Data!$BO$16:$ES$1015,CR$11,FALSE),"")</f>
        <v/>
      </c>
      <c r="CS44" s="1433" t="str">
        <f>IFERROR(VLOOKUP(CONCATENATE($B$8,"_",$B44),Data!$BO$16:$ES$1015,CS$11,FALSE),"")</f>
        <v/>
      </c>
      <c r="CT44" s="1433" t="str">
        <f>IFERROR(VLOOKUP(CONCATENATE($B$8,"_",$B44),Data!$BO$16:$ES$1015,CT$11,FALSE),"")</f>
        <v/>
      </c>
      <c r="CU44" s="1433" t="str">
        <f>IFERROR(VLOOKUP(CONCATENATE($B$8,"_",$B44),Data!$BO$16:$ES$1015,CU$11,FALSE),"")</f>
        <v/>
      </c>
      <c r="CV44" s="1433" t="str">
        <f>IFERROR(VLOOKUP(CONCATENATE($B$8,"_",$B44),Data!$BO$16:$ES$1015,CV$11,FALSE),"")</f>
        <v/>
      </c>
      <c r="CW44" s="1433" t="str">
        <f>IFERROR(VLOOKUP(CONCATENATE($B$8,"_",$B44),Data!$BO$16:$ES$1015,CW$11,FALSE),"")</f>
        <v/>
      </c>
      <c r="CX44" s="1433" t="str">
        <f>IFERROR(VLOOKUP(CONCATENATE($B$8,"_",$B44),Data!$BO$16:$ES$1015,CX$11,FALSE),"")</f>
        <v/>
      </c>
      <c r="CY44" s="1433" t="str">
        <f>IFERROR(VLOOKUP(CONCATENATE($B$8,"_",$B44),Data!$BO$16:$ES$1015,CY$11,FALSE),"")</f>
        <v/>
      </c>
      <c r="CZ44" s="1433" t="str">
        <f>IFERROR(VLOOKUP(CONCATENATE($B$8,"_",$B44),Data!$BO$16:$ES$1015,CZ$11,FALSE),"")</f>
        <v/>
      </c>
      <c r="DA44" s="1433" t="str">
        <f>IFERROR(VLOOKUP(CONCATENATE($B$8,"_",$B44),Data!$BO$16:$ES$1015,DA$11,FALSE),"")</f>
        <v/>
      </c>
      <c r="DB44" s="1433" t="str">
        <f>IFERROR(VLOOKUP(CONCATENATE($B$8,"_",$B44),Data!$BO$16:$ES$1015,DB$11,FALSE),"")</f>
        <v/>
      </c>
      <c r="DC44" s="1433" t="str">
        <f>IFERROR(VLOOKUP(CONCATENATE($B$8,"_",$B44),Data!$BO$16:$ES$1015,DC$11,FALSE),"")</f>
        <v/>
      </c>
      <c r="DD44" s="1433" t="str">
        <f>IFERROR(VLOOKUP(CONCATENATE($B$8,"_",$B44),Data!$BO$16:$ES$1015,DD$11,FALSE),"")</f>
        <v/>
      </c>
      <c r="DE44" s="1433" t="str">
        <f>IFERROR(VLOOKUP(CONCATENATE($B$8,"_",$B44),Data!$BO$16:$ES$1015,DE$11,FALSE),"")</f>
        <v/>
      </c>
      <c r="DF44" s="1433" t="str">
        <f>IFERROR(VLOOKUP(CONCATENATE($B$8,"_",$B44),Data!$BO$16:$ES$1015,DF$11,FALSE),"")</f>
        <v/>
      </c>
      <c r="DG44" s="1433" t="str">
        <f>IFERROR(VLOOKUP(CONCATENATE($B$8,"_",$B44),Data!$BO$16:$ES$1015,DG$11,FALSE),"")</f>
        <v/>
      </c>
      <c r="DH44" s="1433" t="str">
        <f>IFERROR(VLOOKUP(CONCATENATE($B$8,"_",$B44),Data!$BO$16:$ES$1015,DH$11,FALSE),"")</f>
        <v/>
      </c>
      <c r="DI44" s="1433" t="str">
        <f>IFERROR(VLOOKUP(CONCATENATE($B$8,"_",$B44),Data!$BO$16:$ES$1015,DI$11,FALSE),"")</f>
        <v/>
      </c>
      <c r="DJ44" s="1433" t="str">
        <f>IFERROR(VLOOKUP(CONCATENATE($B$8,"_",$B44),Data!$BO$16:$ES$1015,DJ$11,FALSE),"")</f>
        <v/>
      </c>
      <c r="DK44" s="1433" t="str">
        <f>IFERROR(VLOOKUP(CONCATENATE($B$8,"_",$B44),Data!$BO$16:$ES$1015,DK$11,FALSE),"")</f>
        <v/>
      </c>
      <c r="DL44" s="1435" t="str">
        <f>IFERROR(VLOOKUP(CONCATENATE($B$8,"_",$B44),Data!$BO$16:$ES$1015,DL$11,FALSE),"")</f>
        <v/>
      </c>
      <c r="DM44" s="1434" t="str">
        <f>IFERROR(VLOOKUP(CONCATENATE($B$8,"_",$B44),Data!$BO$16:$ES$1015,DM$11,FALSE),"")</f>
        <v/>
      </c>
      <c r="DN44" s="1434" t="str">
        <f>IFERROR(VLOOKUP(CONCATENATE($B$8,"_",$B44),Data!$BO$16:$ES$1015,DN$11,FALSE),"")</f>
        <v/>
      </c>
      <c r="DO44" s="1434" t="str">
        <f>IFERROR(VLOOKUP(CONCATENATE($B$8,"_",$B44),Data!$BO$16:$ES$1015,DO$11,FALSE),"")</f>
        <v/>
      </c>
      <c r="DP44" s="1434" t="str">
        <f>IFERROR(VLOOKUP(CONCATENATE($B$8,"_",$B44),Data!$BO$16:$ES$1015,DP$11,FALSE),"")</f>
        <v/>
      </c>
      <c r="DQ44" s="1434" t="str">
        <f>IFERROR(VLOOKUP(CONCATENATE($B$8,"_",$B44),Data!$BO$16:$ES$1015,DQ$11,FALSE),"")</f>
        <v/>
      </c>
      <c r="DR44" s="1434" t="str">
        <f>IFERROR(VLOOKUP(CONCATENATE($B$8,"_",$B44),Data!$BO$16:$ES$1015,DR$11,FALSE),"")</f>
        <v/>
      </c>
      <c r="DS44" s="1434" t="str">
        <f>IFERROR(VLOOKUP(CONCATENATE($B$8,"_",$B44),Data!$BO$16:$ES$1015,DS$11,FALSE),"")</f>
        <v/>
      </c>
      <c r="DT44" s="1434" t="str">
        <f>IFERROR(VLOOKUP(CONCATENATE($B$8,"_",$B44),Data!$BO$16:$ES$1015,DT$11,FALSE),"")</f>
        <v/>
      </c>
      <c r="DU44" s="1434" t="str">
        <f>IFERROR(VLOOKUP(CONCATENATE($B$8,"_",$B44),Data!$BO$16:$ES$1015,DU$11,FALSE),"")</f>
        <v/>
      </c>
      <c r="DV44" s="1434" t="str">
        <f>IFERROR(VLOOKUP(CONCATENATE($B$8,"_",$B44),Data!$BO$16:$ES$1015,DV$11,FALSE),"")</f>
        <v/>
      </c>
      <c r="DW44" s="1434" t="str">
        <f>IFERROR(VLOOKUP(CONCATENATE($B$8,"_",$B44),Data!$BO$16:$ES$1015,DW$11,FALSE),"")</f>
        <v/>
      </c>
      <c r="DX44" s="1434" t="str">
        <f>IFERROR(VLOOKUP(CONCATENATE($B$8,"_",$B44),Data!$BO$16:$ES$1015,DX$11,FALSE),"")</f>
        <v/>
      </c>
      <c r="DY44" s="1434" t="str">
        <f>IFERROR(VLOOKUP(CONCATENATE($B$8,"_",$B44),Data!$BO$16:$ES$1015,DY$11,FALSE),"")</f>
        <v/>
      </c>
      <c r="DZ44" s="1434" t="str">
        <f>IFERROR(VLOOKUP(CONCATENATE($B$8,"_",$B44),Data!$BO$16:$ES$1015,DZ$11,FALSE),"")</f>
        <v/>
      </c>
      <c r="EA44" s="1434" t="str">
        <f>IFERROR(VLOOKUP(CONCATENATE($B$8,"_",$B44),Data!$BO$16:$ES$1015,EA$11,FALSE),"")</f>
        <v/>
      </c>
      <c r="EB44" s="1434" t="str">
        <f>IFERROR(VLOOKUP(CONCATENATE($B$8,"_",$B44),Data!$BO$16:$ES$1015,EB$11,FALSE),"")</f>
        <v/>
      </c>
      <c r="EC44" s="1434" t="str">
        <f>IFERROR(VLOOKUP(CONCATENATE($B$8,"_",$B44),Data!$BO$16:$ES$1015,EC$11,FALSE),"")</f>
        <v/>
      </c>
      <c r="ED44" s="1434" t="str">
        <f>IFERROR(VLOOKUP(CONCATENATE($B$8,"_",$B44),Data!$BO$16:$ES$1015,ED$11,FALSE),"")</f>
        <v/>
      </c>
      <c r="EE44" s="1434" t="str">
        <f>IFERROR(VLOOKUP(CONCATENATE($B$8,"_",$B44),Data!$BO$16:$ES$1015,EE$11,FALSE),"")</f>
        <v/>
      </c>
      <c r="EF44" s="1434" t="str">
        <f>IFERROR(VLOOKUP(CONCATENATE($B$8,"_",$B44),Data!$BO$16:$ES$1015,EF$11,FALSE),"")</f>
        <v/>
      </c>
      <c r="EG44" s="1434" t="str">
        <f>IFERROR(VLOOKUP(CONCATENATE($B$8,"_",$B44),Data!$BO$16:$ES$1015,EG$11,FALSE),"")</f>
        <v/>
      </c>
      <c r="EH44" s="1434" t="str">
        <f>IFERROR(VLOOKUP(CONCATENATE($B$8,"_",$B44),Data!$BO$16:$ES$1015,EH$11,FALSE),"")</f>
        <v/>
      </c>
      <c r="EI44" s="1434" t="str">
        <f>IFERROR(VLOOKUP(CONCATENATE($B$8,"_",$B44),Data!$BO$16:$ES$1015,EI$11,FALSE),"")</f>
        <v/>
      </c>
      <c r="EK44" s="1437"/>
    </row>
    <row r="45" spans="1:141" s="1436" customFormat="1" ht="15" customHeight="1">
      <c r="A45" s="1438">
        <v>32</v>
      </c>
      <c r="B45" s="1738">
        <f>IF($B$13+A45&lt;=Progress!$D$18,$B$13+A45,"")</f>
        <v>2032</v>
      </c>
      <c r="C45" s="1737" t="str">
        <f>IFERROR(VLOOKUP(CONCATENATE($B$8,"_",$B45),Data!$H$16:$BN$1015,C$11,FALSE),"")</f>
        <v/>
      </c>
      <c r="D45" s="1428" t="str">
        <f>IFERROR(VLOOKUP(CONCATENATE($B$8,"_",$B45),Data!$H$16:$BN$1015,D$11,FALSE),"")</f>
        <v/>
      </c>
      <c r="E45" s="1429" t="str">
        <f>IFERROR(VLOOKUP(CONCATENATE($B$8,"_",$B45),Data!$H$16:$BN$1015,E$11,FALSE),"")</f>
        <v/>
      </c>
      <c r="F45" s="1428" t="str">
        <f>IFERROR(VLOOKUP(CONCATENATE($B$8,"_",$B45),Data!$H$16:$BN$1015,F$11,FALSE),"")</f>
        <v/>
      </c>
      <c r="G45" s="1428" t="str">
        <f>IFERROR(VLOOKUP(CONCATENATE($B$8,"_",$B45),Data!$H$16:$BN$1015,G$11,FALSE),"")</f>
        <v/>
      </c>
      <c r="H45" s="1429" t="str">
        <f>IFERROR(VLOOKUP(CONCATENATE($B$8,"_",$B45),Data!$H$16:$BN$1015,H$11,FALSE),"")</f>
        <v/>
      </c>
      <c r="I45" s="1428" t="str">
        <f>IFERROR(VLOOKUP(CONCATENATE($B$8,"_",$B45),Data!$H$16:$BN$1015,I$11,FALSE),"")</f>
        <v/>
      </c>
      <c r="J45" s="1428" t="str">
        <f>IFERROR(VLOOKUP(CONCATENATE($B$8,"_",$B45),Data!$H$16:$BN$1015,J$11,FALSE),"")</f>
        <v/>
      </c>
      <c r="K45" s="1429" t="str">
        <f>IFERROR(VLOOKUP(CONCATENATE($B$8,"_",$B45),Data!$H$16:$BN$1015,K$11,FALSE),"")</f>
        <v/>
      </c>
      <c r="L45" s="1428" t="str">
        <f>IFERROR(VLOOKUP(CONCATENATE($B$8,"_",$B45),Data!$H$16:$BN$1015,L$11,FALSE),"")</f>
        <v/>
      </c>
      <c r="M45" s="1428" t="str">
        <f>IFERROR(VLOOKUP(CONCATENATE($B$8,"_",$B45),Data!$H$16:$BN$1015,M$11,FALSE),"")</f>
        <v/>
      </c>
      <c r="N45" s="1429" t="str">
        <f>IFERROR(VLOOKUP(CONCATENATE($B$8,"_",$B45),Data!$H$16:$BN$1015,N$11,FALSE),"")</f>
        <v/>
      </c>
      <c r="O45" s="1430" t="str">
        <f>IFERROR(VLOOKUP(CONCATENATE($B$8,"_",$B45),Data!$H$16:$BN$1015,O$11,FALSE),"")</f>
        <v/>
      </c>
      <c r="P45" s="1428" t="str">
        <f>IFERROR(VLOOKUP(CONCATENATE($B$8,"_",$B45),Data!$H$16:$BN$1015,P$11,FALSE),"")</f>
        <v/>
      </c>
      <c r="Q45" s="1428" t="str">
        <f>IFERROR(VLOOKUP(CONCATENATE($B$8,"_",$B45),Data!$H$16:$BN$1015,Q$11,FALSE),"")</f>
        <v/>
      </c>
      <c r="R45" s="1429" t="str">
        <f>IFERROR(VLOOKUP(CONCATENATE($B$8,"_",$B45),Data!$H$16:$BN$1015,R$11,FALSE),"")</f>
        <v/>
      </c>
      <c r="S45" s="1428" t="str">
        <f>IFERROR(VLOOKUP(CONCATENATE($B$8,"_",$B45),Data!$H$16:$BN$1015,S$11,FALSE),"")</f>
        <v/>
      </c>
      <c r="T45" s="1428" t="str">
        <f>IFERROR(VLOOKUP(CONCATENATE($B$8,"_",$B45),Data!$H$16:$BN$1015,T$11,FALSE),"")</f>
        <v/>
      </c>
      <c r="U45" s="1429" t="str">
        <f>IFERROR(VLOOKUP(CONCATENATE($B$8,"_",$B45),Data!$H$16:$BN$1015,U$11,FALSE),"")</f>
        <v/>
      </c>
      <c r="V45" s="1428" t="str">
        <f>IFERROR(VLOOKUP(CONCATENATE($B$8,"_",$B45),Data!$H$16:$BN$1015,V$11,FALSE),"")</f>
        <v/>
      </c>
      <c r="W45" s="1428" t="str">
        <f>IFERROR(VLOOKUP(CONCATENATE($B$8,"_",$B45),Data!$H$16:$BN$1015,W$11,FALSE),"")</f>
        <v/>
      </c>
      <c r="X45" s="1428" t="str">
        <f>IFERROR(VLOOKUP(CONCATENATE($B$8,"_",$B45),Data!$H$16:$BN$1015,X$11,FALSE),"")</f>
        <v/>
      </c>
      <c r="Y45" s="1428" t="str">
        <f>IFERROR(VLOOKUP(CONCATENATE($B$8,"_",$B45),Data!$H$16:$BN$1015,Y$11,FALSE),"")</f>
        <v/>
      </c>
      <c r="Z45" s="1429" t="str">
        <f>IFERROR(VLOOKUP(CONCATENATE($B$8,"_",$B45),Data!$H$16:$BN$1015,Z$11,FALSE),"")</f>
        <v/>
      </c>
      <c r="AA45" s="1428" t="str">
        <f>IFERROR(VLOOKUP(CONCATENATE($B$8,"_",$B45),Data!$H$16:$BN$1015,AA$11,FALSE),"")</f>
        <v/>
      </c>
      <c r="AB45" s="1428" t="str">
        <f>IFERROR(VLOOKUP(CONCATENATE($B$8,"_",$B45),Data!$H$16:$BN$1015,AB$11,FALSE),"")</f>
        <v/>
      </c>
      <c r="AC45" s="1429" t="str">
        <f>IFERROR(VLOOKUP(CONCATENATE($B$8,"_",$B45),Data!$H$16:$BN$1015,AC$11,FALSE),"")</f>
        <v/>
      </c>
      <c r="AD45" s="1428" t="str">
        <f>IFERROR(VLOOKUP(CONCATENATE($B$8,"_",$B45),Data!$H$16:$BN$1015,AD$11,FALSE),"")</f>
        <v/>
      </c>
      <c r="AE45" s="1428" t="str">
        <f>IFERROR(VLOOKUP(CONCATENATE($B$8,"_",$B45),Data!$H$16:$BN$1015,AE$11,FALSE),"")</f>
        <v/>
      </c>
      <c r="AF45" s="1429" t="str">
        <f>IFERROR(VLOOKUP(CONCATENATE($B$8,"_",$B45),Data!$H$16:$BN$1015,AF$11,FALSE),"")</f>
        <v/>
      </c>
      <c r="AG45" s="1428" t="str">
        <f>IFERROR(VLOOKUP(CONCATENATE($B$8,"_",$B45),Data!$H$16:$BN$1015,AG$11,FALSE),"")</f>
        <v/>
      </c>
      <c r="AH45" s="1428" t="str">
        <f>IFERROR(VLOOKUP(CONCATENATE($B$8,"_",$B45),Data!$H$16:$BN$1015,AH$11,FALSE),"")</f>
        <v/>
      </c>
      <c r="AI45" s="1429" t="str">
        <f>IFERROR(VLOOKUP(CONCATENATE($B$8,"_",$B45),Data!$H$16:$BN$1015,AI$11,FALSE),"")</f>
        <v/>
      </c>
      <c r="AJ45" s="1428" t="str">
        <f>IFERROR(VLOOKUP(CONCATENATE($B$8,"_",$B45),Data!$H$16:$BN$1015,AJ$11,FALSE),"")</f>
        <v/>
      </c>
      <c r="AK45" s="1428" t="str">
        <f>IFERROR(VLOOKUP(CONCATENATE($B$8,"_",$B45),Data!$H$16:$BN$1015,AK$11,FALSE),"")</f>
        <v/>
      </c>
      <c r="AL45" s="1429" t="str">
        <f>IFERROR(VLOOKUP(CONCATENATE($B$8,"_",$B45),Data!$H$16:$BN$1015,AL$11,FALSE),"")</f>
        <v/>
      </c>
      <c r="AM45" s="1428" t="str">
        <f>IFERROR(VLOOKUP(CONCATENATE($B$8,"_",$B45),Data!$H$16:$BN$1015,AM$11,FALSE),"")</f>
        <v/>
      </c>
      <c r="AN45" s="1428" t="str">
        <f>IFERROR(VLOOKUP(CONCATENATE($B$8,"_",$B45),Data!$H$16:$BN$1015,AN$11,FALSE),"")</f>
        <v/>
      </c>
      <c r="AO45" s="1430" t="str">
        <f>IFERROR(VLOOKUP(CONCATENATE($B$8,"_",$B45),Data!$H$16:$BN$1015,AO$11,FALSE),"")</f>
        <v/>
      </c>
      <c r="AP45" s="1428" t="str">
        <f>IFERROR(VLOOKUP(CONCATENATE($B$8,"_",$B45),Data!$H$16:$BN$1015,AP$11,FALSE),"")</f>
        <v/>
      </c>
      <c r="AQ45" s="1428" t="str">
        <f>IFERROR(VLOOKUP(CONCATENATE($B$8,"_",$B45),Data!$H$16:$BN$1015,AQ$11,FALSE),"")</f>
        <v/>
      </c>
      <c r="AR45" s="1430" t="str">
        <f>IFERROR(VLOOKUP(CONCATENATE($B$8,"_",$B45),Data!$H$16:$BN$1015,AR$11,FALSE),"")</f>
        <v/>
      </c>
      <c r="AS45" s="1428" t="str">
        <f>IFERROR(VLOOKUP(CONCATENATE($B$8,"_",$B45),Data!$H$16:$BN$1015,AS$11,FALSE),"")</f>
        <v/>
      </c>
      <c r="AT45" s="1428" t="str">
        <f>IFERROR(VLOOKUP(CONCATENATE($B$8,"_",$B45),Data!$H$16:$BN$1015,AT$11,FALSE),"")</f>
        <v/>
      </c>
      <c r="AU45" s="1430" t="str">
        <f>IFERROR(VLOOKUP(CONCATENATE($B$8,"_",$B45),Data!$H$16:$BN$1015,AU$11,FALSE),"")</f>
        <v/>
      </c>
      <c r="AV45" s="1428" t="str">
        <f>IFERROR(VLOOKUP(CONCATENATE($B$8,"_",$B45),Data!$H$16:$BN$1015,AV$11,FALSE),"")</f>
        <v/>
      </c>
      <c r="AW45" s="1428" t="str">
        <f>IFERROR(VLOOKUP(CONCATENATE($B$8,"_",$B45),Data!$H$16:$BN$1015,AW$11,FALSE),"")</f>
        <v/>
      </c>
      <c r="AX45" s="1430" t="str">
        <f>IFERROR(VLOOKUP(CONCATENATE($B$8,"_",$B45),Data!$H$16:$BN$1015,AX$11,FALSE),"")</f>
        <v/>
      </c>
      <c r="AY45" s="1429" t="str">
        <f>IFERROR(VLOOKUP(CONCATENATE($B$8,"_",$B45),Data!$H$16:$BN$1015,AY$11,FALSE),"")</f>
        <v/>
      </c>
      <c r="AZ45" s="1429" t="str">
        <f>IFERROR(VLOOKUP(CONCATENATE($B$8,"_",$B45),Data!$H$16:$BN$1015,AZ$11,FALSE),"")</f>
        <v/>
      </c>
      <c r="BA45" s="1429" t="str">
        <f>IFERROR(VLOOKUP(CONCATENATE($B$8,"_",$B45),Data!$H$16:$BN$1015,BA$11,FALSE),"")</f>
        <v/>
      </c>
      <c r="BB45" s="1429" t="str">
        <f>IFERROR(VLOOKUP(CONCATENATE($B$8,"_",$B45),Data!$H$16:$BN$1015,BB$11,FALSE),"")</f>
        <v/>
      </c>
      <c r="BC45" s="1429" t="str">
        <f>IFERROR(VLOOKUP(CONCATENATE($B$8,"_",$B45),Data!$H$16:$BN$1015,BC$11,FALSE),"")</f>
        <v/>
      </c>
      <c r="BD45" s="1431" t="str">
        <f>IFERROR(VLOOKUP(CONCATENATE($B$8,"_",$B45),Data!$H$16:$BN$1015,BD$11,FALSE),"")</f>
        <v/>
      </c>
      <c r="BE45" s="1439">
        <f t="shared" si="1"/>
        <v>2032</v>
      </c>
      <c r="BF45" s="1428" t="str">
        <f>IFERROR(VLOOKUP(CONCATENATE($B$8,"_",$B45),Data!$BO$16:$ES$1015,BF$11,FALSE),"")</f>
        <v/>
      </c>
      <c r="BG45" s="1433" t="str">
        <f>IFERROR(VLOOKUP(CONCATENATE($B$8,"_",$B45),Data!$BO$16:$ES$1015,BG$11,FALSE),"")</f>
        <v/>
      </c>
      <c r="BH45" s="1435" t="str">
        <f>IFERROR(VLOOKUP(CONCATENATE($B$8,"_",$B45),Data!$BO$16:$ES$1015,BH$11,FALSE),"")</f>
        <v/>
      </c>
      <c r="BI45" s="1434" t="str">
        <f>IFERROR(VLOOKUP(CONCATENATE($B$8,"_",$B45),Data!$BO$16:$ES$1015,BI$11,FALSE),"")</f>
        <v/>
      </c>
      <c r="BJ45" s="1428" t="str">
        <f>IFERROR(VLOOKUP(CONCATENATE($B$8,"_",$B45),Data!$BO$16:$ES$1015,BJ$11,FALSE),"")</f>
        <v/>
      </c>
      <c r="BK45" s="1428" t="str">
        <f>IFERROR(VLOOKUP(CONCATENATE($B$8,"_",$B45),Data!$BO$16:$ES$1015,BK$11,FALSE),"")</f>
        <v/>
      </c>
      <c r="BL45" s="1428" t="str">
        <f>IFERROR(VLOOKUP(CONCATENATE($B$8,"_",$B45),Data!$BO$16:$ES$1015,BL$11,FALSE),"")</f>
        <v/>
      </c>
      <c r="BM45" s="1433" t="str">
        <f>IFERROR(VLOOKUP(CONCATENATE($B$8,"_",$B45),Data!$BO$16:$ES$1015,BM$11,FALSE),"")</f>
        <v/>
      </c>
      <c r="BN45" s="1433" t="str">
        <f>IFERROR(VLOOKUP(CONCATENATE($B$8,"_",$B45),Data!$BO$16:$ES$1015,BN$11,FALSE),"")</f>
        <v/>
      </c>
      <c r="BO45" s="1433" t="str">
        <f>IFERROR(VLOOKUP(CONCATENATE($B$8,"_",$B45),Data!$BO$16:$ES$1015,BO$11,FALSE),"")</f>
        <v/>
      </c>
      <c r="BP45" s="1433" t="str">
        <f>IFERROR(VLOOKUP(CONCATENATE($B$8,"_",$B45),Data!$BO$16:$ES$1015,BP$11,FALSE),"")</f>
        <v/>
      </c>
      <c r="BQ45" s="1433" t="str">
        <f>IFERROR(VLOOKUP(CONCATENATE($B$8,"_",$B45),Data!$BO$16:$ES$1015,BQ$11,FALSE),"")</f>
        <v/>
      </c>
      <c r="BR45" s="1434" t="str">
        <f>IFERROR(VLOOKUP(CONCATENATE($B$8,"_",$B45),Data!$BO$16:$ES$1015,BR$11,FALSE),"")</f>
        <v/>
      </c>
      <c r="BS45" s="1434" t="str">
        <f>IFERROR(VLOOKUP(CONCATENATE($B$8,"_",$B45),Data!$BO$16:$ES$1015,BS$11,FALSE),"")</f>
        <v/>
      </c>
      <c r="BT45" s="1434" t="str">
        <f>IFERROR(VLOOKUP(CONCATENATE($B$8,"_",$B45),Data!$BO$16:$ES$1015,BT$11,FALSE),"")</f>
        <v/>
      </c>
      <c r="BU45" s="1434" t="str">
        <f>IFERROR(VLOOKUP(CONCATENATE($B$8,"_",$B45),Data!$BO$16:$ES$1015,BU$11,FALSE),"")</f>
        <v/>
      </c>
      <c r="BV45" s="1434" t="str">
        <f>IFERROR(VLOOKUP(CONCATENATE($B$8,"_",$B45),Data!$BO$16:$ES$1015,BV$11,FALSE),"")</f>
        <v/>
      </c>
      <c r="BW45" s="1434" t="str">
        <f>IFERROR(VLOOKUP(CONCATENATE($B$8,"_",$B45),Data!$BO$16:$ES$1015,BW$11,FALSE),"")</f>
        <v/>
      </c>
      <c r="BX45" s="1434" t="str">
        <f>IFERROR(VLOOKUP(CONCATENATE($B$8,"_",$B45),Data!$BO$16:$ES$1015,BX$11,FALSE),"")</f>
        <v/>
      </c>
      <c r="BY45" s="1428" t="str">
        <f>IFERROR(VLOOKUP(CONCATENATE($B$8,"_",$B45),Data!$BO$16:$ES$1015,BY$11,FALSE),"")</f>
        <v/>
      </c>
      <c r="BZ45" s="1428" t="str">
        <f>IFERROR(VLOOKUP(CONCATENATE($B$8,"_",$B45),Data!$BO$16:$ES$1015,BZ$11,FALSE),"")</f>
        <v/>
      </c>
      <c r="CA45" s="1428" t="str">
        <f>IFERROR(VLOOKUP(CONCATENATE($B$8,"_",$B45),Data!$BO$16:$ES$1015,CA$11,FALSE),"")</f>
        <v/>
      </c>
      <c r="CB45" s="1428" t="str">
        <f>IFERROR(VLOOKUP(CONCATENATE($B$8,"_",$B45),Data!$BO$16:$ES$1015,CB$11,FALSE),"")</f>
        <v/>
      </c>
      <c r="CC45" s="1428" t="str">
        <f>IFERROR(VLOOKUP(CONCATENATE($B$8,"_",$B45),Data!$BO$16:$ES$1015,CC$11,FALSE),"")</f>
        <v/>
      </c>
      <c r="CD45" s="1428" t="str">
        <f>IFERROR(VLOOKUP(CONCATENATE($B$8,"_",$B45),Data!$BO$16:$ES$1015,CD$11,FALSE),"")</f>
        <v/>
      </c>
      <c r="CE45" s="1428" t="str">
        <f>IFERROR(VLOOKUP(CONCATENATE($B$8,"_",$B45),Data!$BO$16:$ES$1015,CE$11,FALSE),"")</f>
        <v/>
      </c>
      <c r="CF45" s="1428" t="str">
        <f>IFERROR(VLOOKUP(CONCATENATE($B$8,"_",$B45),Data!$BO$16:$ES$1015,CF$11,FALSE),"")</f>
        <v/>
      </c>
      <c r="CG45" s="1428" t="str">
        <f>IFERROR(VLOOKUP(CONCATENATE($B$8,"_",$B45),Data!$BO$16:$ES$1015,CG$11,FALSE),"")</f>
        <v/>
      </c>
      <c r="CH45" s="1428" t="str">
        <f>IFERROR(VLOOKUP(CONCATENATE($B$8,"_",$B45),Data!$BO$16:$ES$1015,CH$11,FALSE),"")</f>
        <v/>
      </c>
      <c r="CI45" s="1428" t="str">
        <f>IFERROR(VLOOKUP(CONCATENATE($B$8,"_",$B45),Data!$BO$16:$ES$1015,CI$11,FALSE),"")</f>
        <v/>
      </c>
      <c r="CJ45" s="1428" t="str">
        <f>IFERROR(VLOOKUP(CONCATENATE($B$8,"_",$B45),Data!$BO$16:$ES$1015,CJ$11,FALSE),"")</f>
        <v/>
      </c>
      <c r="CK45" s="1428" t="str">
        <f>IFERROR(VLOOKUP(CONCATENATE($B$8,"_",$B45),Data!$BO$16:$ES$1015,CK$11,FALSE),"")</f>
        <v/>
      </c>
      <c r="CL45" s="1428" t="str">
        <f>IFERROR(VLOOKUP(CONCATENATE($B$8,"_",$B45),Data!$BO$16:$ES$1015,CL$11,FALSE),"")</f>
        <v/>
      </c>
      <c r="CM45" s="1428" t="str">
        <f>IFERROR(VLOOKUP(CONCATENATE($B$8,"_",$B45),Data!$BO$16:$ES$1015,CM$11,FALSE),"")</f>
        <v/>
      </c>
      <c r="CN45" s="1428" t="str">
        <f>IFERROR(VLOOKUP(CONCATENATE($B$8,"_",$B45),Data!$BO$16:$ES$1015,CN$11,FALSE),"")</f>
        <v/>
      </c>
      <c r="CO45" s="1428" t="str">
        <f>IFERROR(VLOOKUP(CONCATENATE($B$8,"_",$B45),Data!$BO$16:$ES$1015,CO$11,FALSE),"")</f>
        <v/>
      </c>
      <c r="CP45" s="1433" t="str">
        <f>IFERROR(VLOOKUP(CONCATENATE($B$8,"_",$B45),Data!$BO$16:$ES$1015,CP$11,FALSE),"")</f>
        <v/>
      </c>
      <c r="CQ45" s="1433" t="str">
        <f>IFERROR(VLOOKUP(CONCATENATE($B$8,"_",$B45),Data!$BO$16:$ES$1015,CQ$11,FALSE),"")</f>
        <v/>
      </c>
      <c r="CR45" s="1433" t="str">
        <f>IFERROR(VLOOKUP(CONCATENATE($B$8,"_",$B45),Data!$BO$16:$ES$1015,CR$11,FALSE),"")</f>
        <v/>
      </c>
      <c r="CS45" s="1433" t="str">
        <f>IFERROR(VLOOKUP(CONCATENATE($B$8,"_",$B45),Data!$BO$16:$ES$1015,CS$11,FALSE),"")</f>
        <v/>
      </c>
      <c r="CT45" s="1433" t="str">
        <f>IFERROR(VLOOKUP(CONCATENATE($B$8,"_",$B45),Data!$BO$16:$ES$1015,CT$11,FALSE),"")</f>
        <v/>
      </c>
      <c r="CU45" s="1433" t="str">
        <f>IFERROR(VLOOKUP(CONCATENATE($B$8,"_",$B45),Data!$BO$16:$ES$1015,CU$11,FALSE),"")</f>
        <v/>
      </c>
      <c r="CV45" s="1433" t="str">
        <f>IFERROR(VLOOKUP(CONCATENATE($B$8,"_",$B45),Data!$BO$16:$ES$1015,CV$11,FALSE),"")</f>
        <v/>
      </c>
      <c r="CW45" s="1433" t="str">
        <f>IFERROR(VLOOKUP(CONCATENATE($B$8,"_",$B45),Data!$BO$16:$ES$1015,CW$11,FALSE),"")</f>
        <v/>
      </c>
      <c r="CX45" s="1433" t="str">
        <f>IFERROR(VLOOKUP(CONCATENATE($B$8,"_",$B45),Data!$BO$16:$ES$1015,CX$11,FALSE),"")</f>
        <v/>
      </c>
      <c r="CY45" s="1433" t="str">
        <f>IFERROR(VLOOKUP(CONCATENATE($B$8,"_",$B45),Data!$BO$16:$ES$1015,CY$11,FALSE),"")</f>
        <v/>
      </c>
      <c r="CZ45" s="1433" t="str">
        <f>IFERROR(VLOOKUP(CONCATENATE($B$8,"_",$B45),Data!$BO$16:$ES$1015,CZ$11,FALSE),"")</f>
        <v/>
      </c>
      <c r="DA45" s="1433" t="str">
        <f>IFERROR(VLOOKUP(CONCATENATE($B$8,"_",$B45),Data!$BO$16:$ES$1015,DA$11,FALSE),"")</f>
        <v/>
      </c>
      <c r="DB45" s="1433" t="str">
        <f>IFERROR(VLOOKUP(CONCATENATE($B$8,"_",$B45),Data!$BO$16:$ES$1015,DB$11,FALSE),"")</f>
        <v/>
      </c>
      <c r="DC45" s="1433" t="str">
        <f>IFERROR(VLOOKUP(CONCATENATE($B$8,"_",$B45),Data!$BO$16:$ES$1015,DC$11,FALSE),"")</f>
        <v/>
      </c>
      <c r="DD45" s="1433" t="str">
        <f>IFERROR(VLOOKUP(CONCATENATE($B$8,"_",$B45),Data!$BO$16:$ES$1015,DD$11,FALSE),"")</f>
        <v/>
      </c>
      <c r="DE45" s="1433" t="str">
        <f>IFERROR(VLOOKUP(CONCATENATE($B$8,"_",$B45),Data!$BO$16:$ES$1015,DE$11,FALSE),"")</f>
        <v/>
      </c>
      <c r="DF45" s="1433" t="str">
        <f>IFERROR(VLOOKUP(CONCATENATE($B$8,"_",$B45),Data!$BO$16:$ES$1015,DF$11,FALSE),"")</f>
        <v/>
      </c>
      <c r="DG45" s="1433" t="str">
        <f>IFERROR(VLOOKUP(CONCATENATE($B$8,"_",$B45),Data!$BO$16:$ES$1015,DG$11,FALSE),"")</f>
        <v/>
      </c>
      <c r="DH45" s="1433" t="str">
        <f>IFERROR(VLOOKUP(CONCATENATE($B$8,"_",$B45),Data!$BO$16:$ES$1015,DH$11,FALSE),"")</f>
        <v/>
      </c>
      <c r="DI45" s="1433" t="str">
        <f>IFERROR(VLOOKUP(CONCATENATE($B$8,"_",$B45),Data!$BO$16:$ES$1015,DI$11,FALSE),"")</f>
        <v/>
      </c>
      <c r="DJ45" s="1433" t="str">
        <f>IFERROR(VLOOKUP(CONCATENATE($B$8,"_",$B45),Data!$BO$16:$ES$1015,DJ$11,FALSE),"")</f>
        <v/>
      </c>
      <c r="DK45" s="1433" t="str">
        <f>IFERROR(VLOOKUP(CONCATENATE($B$8,"_",$B45),Data!$BO$16:$ES$1015,DK$11,FALSE),"")</f>
        <v/>
      </c>
      <c r="DL45" s="1435" t="str">
        <f>IFERROR(VLOOKUP(CONCATENATE($B$8,"_",$B45),Data!$BO$16:$ES$1015,DL$11,FALSE),"")</f>
        <v/>
      </c>
      <c r="DM45" s="1434" t="str">
        <f>IFERROR(VLOOKUP(CONCATENATE($B$8,"_",$B45),Data!$BO$16:$ES$1015,DM$11,FALSE),"")</f>
        <v/>
      </c>
      <c r="DN45" s="1434" t="str">
        <f>IFERROR(VLOOKUP(CONCATENATE($B$8,"_",$B45),Data!$BO$16:$ES$1015,DN$11,FALSE),"")</f>
        <v/>
      </c>
      <c r="DO45" s="1434" t="str">
        <f>IFERROR(VLOOKUP(CONCATENATE($B$8,"_",$B45),Data!$BO$16:$ES$1015,DO$11,FALSE),"")</f>
        <v/>
      </c>
      <c r="DP45" s="1434" t="str">
        <f>IFERROR(VLOOKUP(CONCATENATE($B$8,"_",$B45),Data!$BO$16:$ES$1015,DP$11,FALSE),"")</f>
        <v/>
      </c>
      <c r="DQ45" s="1434" t="str">
        <f>IFERROR(VLOOKUP(CONCATENATE($B$8,"_",$B45),Data!$BO$16:$ES$1015,DQ$11,FALSE),"")</f>
        <v/>
      </c>
      <c r="DR45" s="1434" t="str">
        <f>IFERROR(VLOOKUP(CONCATENATE($B$8,"_",$B45),Data!$BO$16:$ES$1015,DR$11,FALSE),"")</f>
        <v/>
      </c>
      <c r="DS45" s="1434" t="str">
        <f>IFERROR(VLOOKUP(CONCATENATE($B$8,"_",$B45),Data!$BO$16:$ES$1015,DS$11,FALSE),"")</f>
        <v/>
      </c>
      <c r="DT45" s="1434" t="str">
        <f>IFERROR(VLOOKUP(CONCATENATE($B$8,"_",$B45),Data!$BO$16:$ES$1015,DT$11,FALSE),"")</f>
        <v/>
      </c>
      <c r="DU45" s="1434" t="str">
        <f>IFERROR(VLOOKUP(CONCATENATE($B$8,"_",$B45),Data!$BO$16:$ES$1015,DU$11,FALSE),"")</f>
        <v/>
      </c>
      <c r="DV45" s="1434" t="str">
        <f>IFERROR(VLOOKUP(CONCATENATE($B$8,"_",$B45),Data!$BO$16:$ES$1015,DV$11,FALSE),"")</f>
        <v/>
      </c>
      <c r="DW45" s="1434" t="str">
        <f>IFERROR(VLOOKUP(CONCATENATE($B$8,"_",$B45),Data!$BO$16:$ES$1015,DW$11,FALSE),"")</f>
        <v/>
      </c>
      <c r="DX45" s="1434" t="str">
        <f>IFERROR(VLOOKUP(CONCATENATE($B$8,"_",$B45),Data!$BO$16:$ES$1015,DX$11,FALSE),"")</f>
        <v/>
      </c>
      <c r="DY45" s="1434" t="str">
        <f>IFERROR(VLOOKUP(CONCATENATE($B$8,"_",$B45),Data!$BO$16:$ES$1015,DY$11,FALSE),"")</f>
        <v/>
      </c>
      <c r="DZ45" s="1434" t="str">
        <f>IFERROR(VLOOKUP(CONCATENATE($B$8,"_",$B45),Data!$BO$16:$ES$1015,DZ$11,FALSE),"")</f>
        <v/>
      </c>
      <c r="EA45" s="1434" t="str">
        <f>IFERROR(VLOOKUP(CONCATENATE($B$8,"_",$B45),Data!$BO$16:$ES$1015,EA$11,FALSE),"")</f>
        <v/>
      </c>
      <c r="EB45" s="1434" t="str">
        <f>IFERROR(VLOOKUP(CONCATENATE($B$8,"_",$B45),Data!$BO$16:$ES$1015,EB$11,FALSE),"")</f>
        <v/>
      </c>
      <c r="EC45" s="1434" t="str">
        <f>IFERROR(VLOOKUP(CONCATENATE($B$8,"_",$B45),Data!$BO$16:$ES$1015,EC$11,FALSE),"")</f>
        <v/>
      </c>
      <c r="ED45" s="1434" t="str">
        <f>IFERROR(VLOOKUP(CONCATENATE($B$8,"_",$B45),Data!$BO$16:$ES$1015,ED$11,FALSE),"")</f>
        <v/>
      </c>
      <c r="EE45" s="1434" t="str">
        <f>IFERROR(VLOOKUP(CONCATENATE($B$8,"_",$B45),Data!$BO$16:$ES$1015,EE$11,FALSE),"")</f>
        <v/>
      </c>
      <c r="EF45" s="1434" t="str">
        <f>IFERROR(VLOOKUP(CONCATENATE($B$8,"_",$B45),Data!$BO$16:$ES$1015,EF$11,FALSE),"")</f>
        <v/>
      </c>
      <c r="EG45" s="1434" t="str">
        <f>IFERROR(VLOOKUP(CONCATENATE($B$8,"_",$B45),Data!$BO$16:$ES$1015,EG$11,FALSE),"")</f>
        <v/>
      </c>
      <c r="EH45" s="1434" t="str">
        <f>IFERROR(VLOOKUP(CONCATENATE($B$8,"_",$B45),Data!$BO$16:$ES$1015,EH$11,FALSE),"")</f>
        <v/>
      </c>
      <c r="EI45" s="1434" t="str">
        <f>IFERROR(VLOOKUP(CONCATENATE($B$8,"_",$B45),Data!$BO$16:$ES$1015,EI$11,FALSE),"")</f>
        <v/>
      </c>
      <c r="EK45" s="1437"/>
    </row>
    <row r="46" spans="1:141" s="1436" customFormat="1" ht="15" customHeight="1">
      <c r="A46" s="1438">
        <v>33</v>
      </c>
      <c r="B46" s="1738">
        <f>IF($B$13+A46&lt;=Progress!$D$18,$B$13+A46,"")</f>
        <v>2033</v>
      </c>
      <c r="C46" s="1737" t="str">
        <f>IFERROR(VLOOKUP(CONCATENATE($B$8,"_",$B46),Data!$H$16:$BN$1015,C$11,FALSE),"")</f>
        <v/>
      </c>
      <c r="D46" s="1428" t="str">
        <f>IFERROR(VLOOKUP(CONCATENATE($B$8,"_",$B46),Data!$H$16:$BN$1015,D$11,FALSE),"")</f>
        <v/>
      </c>
      <c r="E46" s="1429" t="str">
        <f>IFERROR(VLOOKUP(CONCATENATE($B$8,"_",$B46),Data!$H$16:$BN$1015,E$11,FALSE),"")</f>
        <v/>
      </c>
      <c r="F46" s="1428" t="str">
        <f>IFERROR(VLOOKUP(CONCATENATE($B$8,"_",$B46),Data!$H$16:$BN$1015,F$11,FALSE),"")</f>
        <v/>
      </c>
      <c r="G46" s="1428" t="str">
        <f>IFERROR(VLOOKUP(CONCATENATE($B$8,"_",$B46),Data!$H$16:$BN$1015,G$11,FALSE),"")</f>
        <v/>
      </c>
      <c r="H46" s="1429" t="str">
        <f>IFERROR(VLOOKUP(CONCATENATE($B$8,"_",$B46),Data!$H$16:$BN$1015,H$11,FALSE),"")</f>
        <v/>
      </c>
      <c r="I46" s="1428" t="str">
        <f>IFERROR(VLOOKUP(CONCATENATE($B$8,"_",$B46),Data!$H$16:$BN$1015,I$11,FALSE),"")</f>
        <v/>
      </c>
      <c r="J46" s="1428" t="str">
        <f>IFERROR(VLOOKUP(CONCATENATE($B$8,"_",$B46),Data!$H$16:$BN$1015,J$11,FALSE),"")</f>
        <v/>
      </c>
      <c r="K46" s="1429" t="str">
        <f>IFERROR(VLOOKUP(CONCATENATE($B$8,"_",$B46),Data!$H$16:$BN$1015,K$11,FALSE),"")</f>
        <v/>
      </c>
      <c r="L46" s="1428" t="str">
        <f>IFERROR(VLOOKUP(CONCATENATE($B$8,"_",$B46),Data!$H$16:$BN$1015,L$11,FALSE),"")</f>
        <v/>
      </c>
      <c r="M46" s="1428" t="str">
        <f>IFERROR(VLOOKUP(CONCATENATE($B$8,"_",$B46),Data!$H$16:$BN$1015,M$11,FALSE),"")</f>
        <v/>
      </c>
      <c r="N46" s="1429" t="str">
        <f>IFERROR(VLOOKUP(CONCATENATE($B$8,"_",$B46),Data!$H$16:$BN$1015,N$11,FALSE),"")</f>
        <v/>
      </c>
      <c r="O46" s="1430" t="str">
        <f>IFERROR(VLOOKUP(CONCATENATE($B$8,"_",$B46),Data!$H$16:$BN$1015,O$11,FALSE),"")</f>
        <v/>
      </c>
      <c r="P46" s="1428" t="str">
        <f>IFERROR(VLOOKUP(CONCATENATE($B$8,"_",$B46),Data!$H$16:$BN$1015,P$11,FALSE),"")</f>
        <v/>
      </c>
      <c r="Q46" s="1428" t="str">
        <f>IFERROR(VLOOKUP(CONCATENATE($B$8,"_",$B46),Data!$H$16:$BN$1015,Q$11,FALSE),"")</f>
        <v/>
      </c>
      <c r="R46" s="1429" t="str">
        <f>IFERROR(VLOOKUP(CONCATENATE($B$8,"_",$B46),Data!$H$16:$BN$1015,R$11,FALSE),"")</f>
        <v/>
      </c>
      <c r="S46" s="1428" t="str">
        <f>IFERROR(VLOOKUP(CONCATENATE($B$8,"_",$B46),Data!$H$16:$BN$1015,S$11,FALSE),"")</f>
        <v/>
      </c>
      <c r="T46" s="1428" t="str">
        <f>IFERROR(VLOOKUP(CONCATENATE($B$8,"_",$B46),Data!$H$16:$BN$1015,T$11,FALSE),"")</f>
        <v/>
      </c>
      <c r="U46" s="1429" t="str">
        <f>IFERROR(VLOOKUP(CONCATENATE($B$8,"_",$B46),Data!$H$16:$BN$1015,U$11,FALSE),"")</f>
        <v/>
      </c>
      <c r="V46" s="1428" t="str">
        <f>IFERROR(VLOOKUP(CONCATENATE($B$8,"_",$B46),Data!$H$16:$BN$1015,V$11,FALSE),"")</f>
        <v/>
      </c>
      <c r="W46" s="1428" t="str">
        <f>IFERROR(VLOOKUP(CONCATENATE($B$8,"_",$B46),Data!$H$16:$BN$1015,W$11,FALSE),"")</f>
        <v/>
      </c>
      <c r="X46" s="1428" t="str">
        <f>IFERROR(VLOOKUP(CONCATENATE($B$8,"_",$B46),Data!$H$16:$BN$1015,X$11,FALSE),"")</f>
        <v/>
      </c>
      <c r="Y46" s="1428" t="str">
        <f>IFERROR(VLOOKUP(CONCATENATE($B$8,"_",$B46),Data!$H$16:$BN$1015,Y$11,FALSE),"")</f>
        <v/>
      </c>
      <c r="Z46" s="1429" t="str">
        <f>IFERROR(VLOOKUP(CONCATENATE($B$8,"_",$B46),Data!$H$16:$BN$1015,Z$11,FALSE),"")</f>
        <v/>
      </c>
      <c r="AA46" s="1428" t="str">
        <f>IFERROR(VLOOKUP(CONCATENATE($B$8,"_",$B46),Data!$H$16:$BN$1015,AA$11,FALSE),"")</f>
        <v/>
      </c>
      <c r="AB46" s="1428" t="str">
        <f>IFERROR(VLOOKUP(CONCATENATE($B$8,"_",$B46),Data!$H$16:$BN$1015,AB$11,FALSE),"")</f>
        <v/>
      </c>
      <c r="AC46" s="1429" t="str">
        <f>IFERROR(VLOOKUP(CONCATENATE($B$8,"_",$B46),Data!$H$16:$BN$1015,AC$11,FALSE),"")</f>
        <v/>
      </c>
      <c r="AD46" s="1428" t="str">
        <f>IFERROR(VLOOKUP(CONCATENATE($B$8,"_",$B46),Data!$H$16:$BN$1015,AD$11,FALSE),"")</f>
        <v/>
      </c>
      <c r="AE46" s="1428" t="str">
        <f>IFERROR(VLOOKUP(CONCATENATE($B$8,"_",$B46),Data!$H$16:$BN$1015,AE$11,FALSE),"")</f>
        <v/>
      </c>
      <c r="AF46" s="1429" t="str">
        <f>IFERROR(VLOOKUP(CONCATENATE($B$8,"_",$B46),Data!$H$16:$BN$1015,AF$11,FALSE),"")</f>
        <v/>
      </c>
      <c r="AG46" s="1428" t="str">
        <f>IFERROR(VLOOKUP(CONCATENATE($B$8,"_",$B46),Data!$H$16:$BN$1015,AG$11,FALSE),"")</f>
        <v/>
      </c>
      <c r="AH46" s="1428" t="str">
        <f>IFERROR(VLOOKUP(CONCATENATE($B$8,"_",$B46),Data!$H$16:$BN$1015,AH$11,FALSE),"")</f>
        <v/>
      </c>
      <c r="AI46" s="1429" t="str">
        <f>IFERROR(VLOOKUP(CONCATENATE($B$8,"_",$B46),Data!$H$16:$BN$1015,AI$11,FALSE),"")</f>
        <v/>
      </c>
      <c r="AJ46" s="1428" t="str">
        <f>IFERROR(VLOOKUP(CONCATENATE($B$8,"_",$B46),Data!$H$16:$BN$1015,AJ$11,FALSE),"")</f>
        <v/>
      </c>
      <c r="AK46" s="1428" t="str">
        <f>IFERROR(VLOOKUP(CONCATENATE($B$8,"_",$B46),Data!$H$16:$BN$1015,AK$11,FALSE),"")</f>
        <v/>
      </c>
      <c r="AL46" s="1429" t="str">
        <f>IFERROR(VLOOKUP(CONCATENATE($B$8,"_",$B46),Data!$H$16:$BN$1015,AL$11,FALSE),"")</f>
        <v/>
      </c>
      <c r="AM46" s="1428" t="str">
        <f>IFERROR(VLOOKUP(CONCATENATE($B$8,"_",$B46),Data!$H$16:$BN$1015,AM$11,FALSE),"")</f>
        <v/>
      </c>
      <c r="AN46" s="1428" t="str">
        <f>IFERROR(VLOOKUP(CONCATENATE($B$8,"_",$B46),Data!$H$16:$BN$1015,AN$11,FALSE),"")</f>
        <v/>
      </c>
      <c r="AO46" s="1430" t="str">
        <f>IFERROR(VLOOKUP(CONCATENATE($B$8,"_",$B46),Data!$H$16:$BN$1015,AO$11,FALSE),"")</f>
        <v/>
      </c>
      <c r="AP46" s="1428" t="str">
        <f>IFERROR(VLOOKUP(CONCATENATE($B$8,"_",$B46),Data!$H$16:$BN$1015,AP$11,FALSE),"")</f>
        <v/>
      </c>
      <c r="AQ46" s="1428" t="str">
        <f>IFERROR(VLOOKUP(CONCATENATE($B$8,"_",$B46),Data!$H$16:$BN$1015,AQ$11,FALSE),"")</f>
        <v/>
      </c>
      <c r="AR46" s="1430" t="str">
        <f>IFERROR(VLOOKUP(CONCATENATE($B$8,"_",$B46),Data!$H$16:$BN$1015,AR$11,FALSE),"")</f>
        <v/>
      </c>
      <c r="AS46" s="1428" t="str">
        <f>IFERROR(VLOOKUP(CONCATENATE($B$8,"_",$B46),Data!$H$16:$BN$1015,AS$11,FALSE),"")</f>
        <v/>
      </c>
      <c r="AT46" s="1428" t="str">
        <f>IFERROR(VLOOKUP(CONCATENATE($B$8,"_",$B46),Data!$H$16:$BN$1015,AT$11,FALSE),"")</f>
        <v/>
      </c>
      <c r="AU46" s="1430" t="str">
        <f>IFERROR(VLOOKUP(CONCATENATE($B$8,"_",$B46),Data!$H$16:$BN$1015,AU$11,FALSE),"")</f>
        <v/>
      </c>
      <c r="AV46" s="1428" t="str">
        <f>IFERROR(VLOOKUP(CONCATENATE($B$8,"_",$B46),Data!$H$16:$BN$1015,AV$11,FALSE),"")</f>
        <v/>
      </c>
      <c r="AW46" s="1428" t="str">
        <f>IFERROR(VLOOKUP(CONCATENATE($B$8,"_",$B46),Data!$H$16:$BN$1015,AW$11,FALSE),"")</f>
        <v/>
      </c>
      <c r="AX46" s="1430" t="str">
        <f>IFERROR(VLOOKUP(CONCATENATE($B$8,"_",$B46),Data!$H$16:$BN$1015,AX$11,FALSE),"")</f>
        <v/>
      </c>
      <c r="AY46" s="1429" t="str">
        <f>IFERROR(VLOOKUP(CONCATENATE($B$8,"_",$B46),Data!$H$16:$BN$1015,AY$11,FALSE),"")</f>
        <v/>
      </c>
      <c r="AZ46" s="1429" t="str">
        <f>IFERROR(VLOOKUP(CONCATENATE($B$8,"_",$B46),Data!$H$16:$BN$1015,AZ$11,FALSE),"")</f>
        <v/>
      </c>
      <c r="BA46" s="1429" t="str">
        <f>IFERROR(VLOOKUP(CONCATENATE($B$8,"_",$B46),Data!$H$16:$BN$1015,BA$11,FALSE),"")</f>
        <v/>
      </c>
      <c r="BB46" s="1429" t="str">
        <f>IFERROR(VLOOKUP(CONCATENATE($B$8,"_",$B46),Data!$H$16:$BN$1015,BB$11,FALSE),"")</f>
        <v/>
      </c>
      <c r="BC46" s="1429" t="str">
        <f>IFERROR(VLOOKUP(CONCATENATE($B$8,"_",$B46),Data!$H$16:$BN$1015,BC$11,FALSE),"")</f>
        <v/>
      </c>
      <c r="BD46" s="1431" t="str">
        <f>IFERROR(VLOOKUP(CONCATENATE($B$8,"_",$B46),Data!$H$16:$BN$1015,BD$11,FALSE),"")</f>
        <v/>
      </c>
      <c r="BE46" s="1439">
        <f t="shared" si="1"/>
        <v>2033</v>
      </c>
      <c r="BF46" s="1428" t="str">
        <f>IFERROR(VLOOKUP(CONCATENATE($B$8,"_",$B46),Data!$BO$16:$ES$1015,BF$11,FALSE),"")</f>
        <v/>
      </c>
      <c r="BG46" s="1433" t="str">
        <f>IFERROR(VLOOKUP(CONCATENATE($B$8,"_",$B46),Data!$BO$16:$ES$1015,BG$11,FALSE),"")</f>
        <v/>
      </c>
      <c r="BH46" s="1435" t="str">
        <f>IFERROR(VLOOKUP(CONCATENATE($B$8,"_",$B46),Data!$BO$16:$ES$1015,BH$11,FALSE),"")</f>
        <v/>
      </c>
      <c r="BI46" s="1434" t="str">
        <f>IFERROR(VLOOKUP(CONCATENATE($B$8,"_",$B46),Data!$BO$16:$ES$1015,BI$11,FALSE),"")</f>
        <v/>
      </c>
      <c r="BJ46" s="1428" t="str">
        <f>IFERROR(VLOOKUP(CONCATENATE($B$8,"_",$B46),Data!$BO$16:$ES$1015,BJ$11,FALSE),"")</f>
        <v/>
      </c>
      <c r="BK46" s="1428" t="str">
        <f>IFERROR(VLOOKUP(CONCATENATE($B$8,"_",$B46),Data!$BO$16:$ES$1015,BK$11,FALSE),"")</f>
        <v/>
      </c>
      <c r="BL46" s="1428" t="str">
        <f>IFERROR(VLOOKUP(CONCATENATE($B$8,"_",$B46),Data!$BO$16:$ES$1015,BL$11,FALSE),"")</f>
        <v/>
      </c>
      <c r="BM46" s="1433" t="str">
        <f>IFERROR(VLOOKUP(CONCATENATE($B$8,"_",$B46),Data!$BO$16:$ES$1015,BM$11,FALSE),"")</f>
        <v/>
      </c>
      <c r="BN46" s="1433" t="str">
        <f>IFERROR(VLOOKUP(CONCATENATE($B$8,"_",$B46),Data!$BO$16:$ES$1015,BN$11,FALSE),"")</f>
        <v/>
      </c>
      <c r="BO46" s="1433" t="str">
        <f>IFERROR(VLOOKUP(CONCATENATE($B$8,"_",$B46),Data!$BO$16:$ES$1015,BO$11,FALSE),"")</f>
        <v/>
      </c>
      <c r="BP46" s="1433" t="str">
        <f>IFERROR(VLOOKUP(CONCATENATE($B$8,"_",$B46),Data!$BO$16:$ES$1015,BP$11,FALSE),"")</f>
        <v/>
      </c>
      <c r="BQ46" s="1433" t="str">
        <f>IFERROR(VLOOKUP(CONCATENATE($B$8,"_",$B46),Data!$BO$16:$ES$1015,BQ$11,FALSE),"")</f>
        <v/>
      </c>
      <c r="BR46" s="1434" t="str">
        <f>IFERROR(VLOOKUP(CONCATENATE($B$8,"_",$B46),Data!$BO$16:$ES$1015,BR$11,FALSE),"")</f>
        <v/>
      </c>
      <c r="BS46" s="1434" t="str">
        <f>IFERROR(VLOOKUP(CONCATENATE($B$8,"_",$B46),Data!$BO$16:$ES$1015,BS$11,FALSE),"")</f>
        <v/>
      </c>
      <c r="BT46" s="1434" t="str">
        <f>IFERROR(VLOOKUP(CONCATENATE($B$8,"_",$B46),Data!$BO$16:$ES$1015,BT$11,FALSE),"")</f>
        <v/>
      </c>
      <c r="BU46" s="1434" t="str">
        <f>IFERROR(VLOOKUP(CONCATENATE($B$8,"_",$B46),Data!$BO$16:$ES$1015,BU$11,FALSE),"")</f>
        <v/>
      </c>
      <c r="BV46" s="1434" t="str">
        <f>IFERROR(VLOOKUP(CONCATENATE($B$8,"_",$B46),Data!$BO$16:$ES$1015,BV$11,FALSE),"")</f>
        <v/>
      </c>
      <c r="BW46" s="1434" t="str">
        <f>IFERROR(VLOOKUP(CONCATENATE($B$8,"_",$B46),Data!$BO$16:$ES$1015,BW$11,FALSE),"")</f>
        <v/>
      </c>
      <c r="BX46" s="1434" t="str">
        <f>IFERROR(VLOOKUP(CONCATENATE($B$8,"_",$B46),Data!$BO$16:$ES$1015,BX$11,FALSE),"")</f>
        <v/>
      </c>
      <c r="BY46" s="1428" t="str">
        <f>IFERROR(VLOOKUP(CONCATENATE($B$8,"_",$B46),Data!$BO$16:$ES$1015,BY$11,FALSE),"")</f>
        <v/>
      </c>
      <c r="BZ46" s="1428" t="str">
        <f>IFERROR(VLOOKUP(CONCATENATE($B$8,"_",$B46),Data!$BO$16:$ES$1015,BZ$11,FALSE),"")</f>
        <v/>
      </c>
      <c r="CA46" s="1428" t="str">
        <f>IFERROR(VLOOKUP(CONCATENATE($B$8,"_",$B46),Data!$BO$16:$ES$1015,CA$11,FALSE),"")</f>
        <v/>
      </c>
      <c r="CB46" s="1428" t="str">
        <f>IFERROR(VLOOKUP(CONCATENATE($B$8,"_",$B46),Data!$BO$16:$ES$1015,CB$11,FALSE),"")</f>
        <v/>
      </c>
      <c r="CC46" s="1428" t="str">
        <f>IFERROR(VLOOKUP(CONCATENATE($B$8,"_",$B46),Data!$BO$16:$ES$1015,CC$11,FALSE),"")</f>
        <v/>
      </c>
      <c r="CD46" s="1428" t="str">
        <f>IFERROR(VLOOKUP(CONCATENATE($B$8,"_",$B46),Data!$BO$16:$ES$1015,CD$11,FALSE),"")</f>
        <v/>
      </c>
      <c r="CE46" s="1428" t="str">
        <f>IFERROR(VLOOKUP(CONCATENATE($B$8,"_",$B46),Data!$BO$16:$ES$1015,CE$11,FALSE),"")</f>
        <v/>
      </c>
      <c r="CF46" s="1428" t="str">
        <f>IFERROR(VLOOKUP(CONCATENATE($B$8,"_",$B46),Data!$BO$16:$ES$1015,CF$11,FALSE),"")</f>
        <v/>
      </c>
      <c r="CG46" s="1428" t="str">
        <f>IFERROR(VLOOKUP(CONCATENATE($B$8,"_",$B46),Data!$BO$16:$ES$1015,CG$11,FALSE),"")</f>
        <v/>
      </c>
      <c r="CH46" s="1428" t="str">
        <f>IFERROR(VLOOKUP(CONCATENATE($B$8,"_",$B46),Data!$BO$16:$ES$1015,CH$11,FALSE),"")</f>
        <v/>
      </c>
      <c r="CI46" s="1428" t="str">
        <f>IFERROR(VLOOKUP(CONCATENATE($B$8,"_",$B46),Data!$BO$16:$ES$1015,CI$11,FALSE),"")</f>
        <v/>
      </c>
      <c r="CJ46" s="1428" t="str">
        <f>IFERROR(VLOOKUP(CONCATENATE($B$8,"_",$B46),Data!$BO$16:$ES$1015,CJ$11,FALSE),"")</f>
        <v/>
      </c>
      <c r="CK46" s="1428" t="str">
        <f>IFERROR(VLOOKUP(CONCATENATE($B$8,"_",$B46),Data!$BO$16:$ES$1015,CK$11,FALSE),"")</f>
        <v/>
      </c>
      <c r="CL46" s="1428" t="str">
        <f>IFERROR(VLOOKUP(CONCATENATE($B$8,"_",$B46),Data!$BO$16:$ES$1015,CL$11,FALSE),"")</f>
        <v/>
      </c>
      <c r="CM46" s="1428" t="str">
        <f>IFERROR(VLOOKUP(CONCATENATE($B$8,"_",$B46),Data!$BO$16:$ES$1015,CM$11,FALSE),"")</f>
        <v/>
      </c>
      <c r="CN46" s="1428" t="str">
        <f>IFERROR(VLOOKUP(CONCATENATE($B$8,"_",$B46),Data!$BO$16:$ES$1015,CN$11,FALSE),"")</f>
        <v/>
      </c>
      <c r="CO46" s="1428" t="str">
        <f>IFERROR(VLOOKUP(CONCATENATE($B$8,"_",$B46),Data!$BO$16:$ES$1015,CO$11,FALSE),"")</f>
        <v/>
      </c>
      <c r="CP46" s="1433" t="str">
        <f>IFERROR(VLOOKUP(CONCATENATE($B$8,"_",$B46),Data!$BO$16:$ES$1015,CP$11,FALSE),"")</f>
        <v/>
      </c>
      <c r="CQ46" s="1433" t="str">
        <f>IFERROR(VLOOKUP(CONCATENATE($B$8,"_",$B46),Data!$BO$16:$ES$1015,CQ$11,FALSE),"")</f>
        <v/>
      </c>
      <c r="CR46" s="1433" t="str">
        <f>IFERROR(VLOOKUP(CONCATENATE($B$8,"_",$B46),Data!$BO$16:$ES$1015,CR$11,FALSE),"")</f>
        <v/>
      </c>
      <c r="CS46" s="1433" t="str">
        <f>IFERROR(VLOOKUP(CONCATENATE($B$8,"_",$B46),Data!$BO$16:$ES$1015,CS$11,FALSE),"")</f>
        <v/>
      </c>
      <c r="CT46" s="1433" t="str">
        <f>IFERROR(VLOOKUP(CONCATENATE($B$8,"_",$B46),Data!$BO$16:$ES$1015,CT$11,FALSE),"")</f>
        <v/>
      </c>
      <c r="CU46" s="1433" t="str">
        <f>IFERROR(VLOOKUP(CONCATENATE($B$8,"_",$B46),Data!$BO$16:$ES$1015,CU$11,FALSE),"")</f>
        <v/>
      </c>
      <c r="CV46" s="1433" t="str">
        <f>IFERROR(VLOOKUP(CONCATENATE($B$8,"_",$B46),Data!$BO$16:$ES$1015,CV$11,FALSE),"")</f>
        <v/>
      </c>
      <c r="CW46" s="1433" t="str">
        <f>IFERROR(VLOOKUP(CONCATENATE($B$8,"_",$B46),Data!$BO$16:$ES$1015,CW$11,FALSE),"")</f>
        <v/>
      </c>
      <c r="CX46" s="1433" t="str">
        <f>IFERROR(VLOOKUP(CONCATENATE($B$8,"_",$B46),Data!$BO$16:$ES$1015,CX$11,FALSE),"")</f>
        <v/>
      </c>
      <c r="CY46" s="1433" t="str">
        <f>IFERROR(VLOOKUP(CONCATENATE($B$8,"_",$B46),Data!$BO$16:$ES$1015,CY$11,FALSE),"")</f>
        <v/>
      </c>
      <c r="CZ46" s="1433" t="str">
        <f>IFERROR(VLOOKUP(CONCATENATE($B$8,"_",$B46),Data!$BO$16:$ES$1015,CZ$11,FALSE),"")</f>
        <v/>
      </c>
      <c r="DA46" s="1433" t="str">
        <f>IFERROR(VLOOKUP(CONCATENATE($B$8,"_",$B46),Data!$BO$16:$ES$1015,DA$11,FALSE),"")</f>
        <v/>
      </c>
      <c r="DB46" s="1433" t="str">
        <f>IFERROR(VLOOKUP(CONCATENATE($B$8,"_",$B46),Data!$BO$16:$ES$1015,DB$11,FALSE),"")</f>
        <v/>
      </c>
      <c r="DC46" s="1433" t="str">
        <f>IFERROR(VLOOKUP(CONCATENATE($B$8,"_",$B46),Data!$BO$16:$ES$1015,DC$11,FALSE),"")</f>
        <v/>
      </c>
      <c r="DD46" s="1433" t="str">
        <f>IFERROR(VLOOKUP(CONCATENATE($B$8,"_",$B46),Data!$BO$16:$ES$1015,DD$11,FALSE),"")</f>
        <v/>
      </c>
      <c r="DE46" s="1433" t="str">
        <f>IFERROR(VLOOKUP(CONCATENATE($B$8,"_",$B46),Data!$BO$16:$ES$1015,DE$11,FALSE),"")</f>
        <v/>
      </c>
      <c r="DF46" s="1433" t="str">
        <f>IFERROR(VLOOKUP(CONCATENATE($B$8,"_",$B46),Data!$BO$16:$ES$1015,DF$11,FALSE),"")</f>
        <v/>
      </c>
      <c r="DG46" s="1433" t="str">
        <f>IFERROR(VLOOKUP(CONCATENATE($B$8,"_",$B46),Data!$BO$16:$ES$1015,DG$11,FALSE),"")</f>
        <v/>
      </c>
      <c r="DH46" s="1433" t="str">
        <f>IFERROR(VLOOKUP(CONCATENATE($B$8,"_",$B46),Data!$BO$16:$ES$1015,DH$11,FALSE),"")</f>
        <v/>
      </c>
      <c r="DI46" s="1433" t="str">
        <f>IFERROR(VLOOKUP(CONCATENATE($B$8,"_",$B46),Data!$BO$16:$ES$1015,DI$11,FALSE),"")</f>
        <v/>
      </c>
      <c r="DJ46" s="1433" t="str">
        <f>IFERROR(VLOOKUP(CONCATENATE($B$8,"_",$B46),Data!$BO$16:$ES$1015,DJ$11,FALSE),"")</f>
        <v/>
      </c>
      <c r="DK46" s="1433" t="str">
        <f>IFERROR(VLOOKUP(CONCATENATE($B$8,"_",$B46),Data!$BO$16:$ES$1015,DK$11,FALSE),"")</f>
        <v/>
      </c>
      <c r="DL46" s="1435" t="str">
        <f>IFERROR(VLOOKUP(CONCATENATE($B$8,"_",$B46),Data!$BO$16:$ES$1015,DL$11,FALSE),"")</f>
        <v/>
      </c>
      <c r="DM46" s="1434" t="str">
        <f>IFERROR(VLOOKUP(CONCATENATE($B$8,"_",$B46),Data!$BO$16:$ES$1015,DM$11,FALSE),"")</f>
        <v/>
      </c>
      <c r="DN46" s="1434" t="str">
        <f>IFERROR(VLOOKUP(CONCATENATE($B$8,"_",$B46),Data!$BO$16:$ES$1015,DN$11,FALSE),"")</f>
        <v/>
      </c>
      <c r="DO46" s="1434" t="str">
        <f>IFERROR(VLOOKUP(CONCATENATE($B$8,"_",$B46),Data!$BO$16:$ES$1015,DO$11,FALSE),"")</f>
        <v/>
      </c>
      <c r="DP46" s="1434" t="str">
        <f>IFERROR(VLOOKUP(CONCATENATE($B$8,"_",$B46),Data!$BO$16:$ES$1015,DP$11,FALSE),"")</f>
        <v/>
      </c>
      <c r="DQ46" s="1434" t="str">
        <f>IFERROR(VLOOKUP(CONCATENATE($B$8,"_",$B46),Data!$BO$16:$ES$1015,DQ$11,FALSE),"")</f>
        <v/>
      </c>
      <c r="DR46" s="1434" t="str">
        <f>IFERROR(VLOOKUP(CONCATENATE($B$8,"_",$B46),Data!$BO$16:$ES$1015,DR$11,FALSE),"")</f>
        <v/>
      </c>
      <c r="DS46" s="1434" t="str">
        <f>IFERROR(VLOOKUP(CONCATENATE($B$8,"_",$B46),Data!$BO$16:$ES$1015,DS$11,FALSE),"")</f>
        <v/>
      </c>
      <c r="DT46" s="1434" t="str">
        <f>IFERROR(VLOOKUP(CONCATENATE($B$8,"_",$B46),Data!$BO$16:$ES$1015,DT$11,FALSE),"")</f>
        <v/>
      </c>
      <c r="DU46" s="1434" t="str">
        <f>IFERROR(VLOOKUP(CONCATENATE($B$8,"_",$B46),Data!$BO$16:$ES$1015,DU$11,FALSE),"")</f>
        <v/>
      </c>
      <c r="DV46" s="1434" t="str">
        <f>IFERROR(VLOOKUP(CONCATENATE($B$8,"_",$B46),Data!$BO$16:$ES$1015,DV$11,FALSE),"")</f>
        <v/>
      </c>
      <c r="DW46" s="1434" t="str">
        <f>IFERROR(VLOOKUP(CONCATENATE($B$8,"_",$B46),Data!$BO$16:$ES$1015,DW$11,FALSE),"")</f>
        <v/>
      </c>
      <c r="DX46" s="1434" t="str">
        <f>IFERROR(VLOOKUP(CONCATENATE($B$8,"_",$B46),Data!$BO$16:$ES$1015,DX$11,FALSE),"")</f>
        <v/>
      </c>
      <c r="DY46" s="1434" t="str">
        <f>IFERROR(VLOOKUP(CONCATENATE($B$8,"_",$B46),Data!$BO$16:$ES$1015,DY$11,FALSE),"")</f>
        <v/>
      </c>
      <c r="DZ46" s="1434" t="str">
        <f>IFERROR(VLOOKUP(CONCATENATE($B$8,"_",$B46),Data!$BO$16:$ES$1015,DZ$11,FALSE),"")</f>
        <v/>
      </c>
      <c r="EA46" s="1434" t="str">
        <f>IFERROR(VLOOKUP(CONCATENATE($B$8,"_",$B46),Data!$BO$16:$ES$1015,EA$11,FALSE),"")</f>
        <v/>
      </c>
      <c r="EB46" s="1434" t="str">
        <f>IFERROR(VLOOKUP(CONCATENATE($B$8,"_",$B46),Data!$BO$16:$ES$1015,EB$11,FALSE),"")</f>
        <v/>
      </c>
      <c r="EC46" s="1434" t="str">
        <f>IFERROR(VLOOKUP(CONCATENATE($B$8,"_",$B46),Data!$BO$16:$ES$1015,EC$11,FALSE),"")</f>
        <v/>
      </c>
      <c r="ED46" s="1434" t="str">
        <f>IFERROR(VLOOKUP(CONCATENATE($B$8,"_",$B46),Data!$BO$16:$ES$1015,ED$11,FALSE),"")</f>
        <v/>
      </c>
      <c r="EE46" s="1434" t="str">
        <f>IFERROR(VLOOKUP(CONCATENATE($B$8,"_",$B46),Data!$BO$16:$ES$1015,EE$11,FALSE),"")</f>
        <v/>
      </c>
      <c r="EF46" s="1434" t="str">
        <f>IFERROR(VLOOKUP(CONCATENATE($B$8,"_",$B46),Data!$BO$16:$ES$1015,EF$11,FALSE),"")</f>
        <v/>
      </c>
      <c r="EG46" s="1434" t="str">
        <f>IFERROR(VLOOKUP(CONCATENATE($B$8,"_",$B46),Data!$BO$16:$ES$1015,EG$11,FALSE),"")</f>
        <v/>
      </c>
      <c r="EH46" s="1434" t="str">
        <f>IFERROR(VLOOKUP(CONCATENATE($B$8,"_",$B46),Data!$BO$16:$ES$1015,EH$11,FALSE),"")</f>
        <v/>
      </c>
      <c r="EI46" s="1434" t="str">
        <f>IFERROR(VLOOKUP(CONCATENATE($B$8,"_",$B46),Data!$BO$16:$ES$1015,EI$11,FALSE),"")</f>
        <v/>
      </c>
      <c r="EK46" s="1437"/>
    </row>
    <row r="47" spans="1:141" s="1436" customFormat="1" ht="15" customHeight="1">
      <c r="A47" s="1438">
        <v>34</v>
      </c>
      <c r="B47" s="1738">
        <f>IF($B$13+A47&lt;=Progress!$D$18,$B$13+A47,"")</f>
        <v>2034</v>
      </c>
      <c r="C47" s="1737" t="str">
        <f>IFERROR(VLOOKUP(CONCATENATE($B$8,"_",$B47),Data!$H$16:$BN$1015,C$11,FALSE),"")</f>
        <v/>
      </c>
      <c r="D47" s="1428" t="str">
        <f>IFERROR(VLOOKUP(CONCATENATE($B$8,"_",$B47),Data!$H$16:$BN$1015,D$11,FALSE),"")</f>
        <v/>
      </c>
      <c r="E47" s="1429" t="str">
        <f>IFERROR(VLOOKUP(CONCATENATE($B$8,"_",$B47),Data!$H$16:$BN$1015,E$11,FALSE),"")</f>
        <v/>
      </c>
      <c r="F47" s="1428" t="str">
        <f>IFERROR(VLOOKUP(CONCATENATE($B$8,"_",$B47),Data!$H$16:$BN$1015,F$11,FALSE),"")</f>
        <v/>
      </c>
      <c r="G47" s="1428" t="str">
        <f>IFERROR(VLOOKUP(CONCATENATE($B$8,"_",$B47),Data!$H$16:$BN$1015,G$11,FALSE),"")</f>
        <v/>
      </c>
      <c r="H47" s="1429" t="str">
        <f>IFERROR(VLOOKUP(CONCATENATE($B$8,"_",$B47),Data!$H$16:$BN$1015,H$11,FALSE),"")</f>
        <v/>
      </c>
      <c r="I47" s="1428" t="str">
        <f>IFERROR(VLOOKUP(CONCATENATE($B$8,"_",$B47),Data!$H$16:$BN$1015,I$11,FALSE),"")</f>
        <v/>
      </c>
      <c r="J47" s="1428" t="str">
        <f>IFERROR(VLOOKUP(CONCATENATE($B$8,"_",$B47),Data!$H$16:$BN$1015,J$11,FALSE),"")</f>
        <v/>
      </c>
      <c r="K47" s="1429" t="str">
        <f>IFERROR(VLOOKUP(CONCATENATE($B$8,"_",$B47),Data!$H$16:$BN$1015,K$11,FALSE),"")</f>
        <v/>
      </c>
      <c r="L47" s="1428" t="str">
        <f>IFERROR(VLOOKUP(CONCATENATE($B$8,"_",$B47),Data!$H$16:$BN$1015,L$11,FALSE),"")</f>
        <v/>
      </c>
      <c r="M47" s="1428" t="str">
        <f>IFERROR(VLOOKUP(CONCATENATE($B$8,"_",$B47),Data!$H$16:$BN$1015,M$11,FALSE),"")</f>
        <v/>
      </c>
      <c r="N47" s="1429" t="str">
        <f>IFERROR(VLOOKUP(CONCATENATE($B$8,"_",$B47),Data!$H$16:$BN$1015,N$11,FALSE),"")</f>
        <v/>
      </c>
      <c r="O47" s="1430" t="str">
        <f>IFERROR(VLOOKUP(CONCATENATE($B$8,"_",$B47),Data!$H$16:$BN$1015,O$11,FALSE),"")</f>
        <v/>
      </c>
      <c r="P47" s="1428" t="str">
        <f>IFERROR(VLOOKUP(CONCATENATE($B$8,"_",$B47),Data!$H$16:$BN$1015,P$11,FALSE),"")</f>
        <v/>
      </c>
      <c r="Q47" s="1428" t="str">
        <f>IFERROR(VLOOKUP(CONCATENATE($B$8,"_",$B47),Data!$H$16:$BN$1015,Q$11,FALSE),"")</f>
        <v/>
      </c>
      <c r="R47" s="1429" t="str">
        <f>IFERROR(VLOOKUP(CONCATENATE($B$8,"_",$B47),Data!$H$16:$BN$1015,R$11,FALSE),"")</f>
        <v/>
      </c>
      <c r="S47" s="1428" t="str">
        <f>IFERROR(VLOOKUP(CONCATENATE($B$8,"_",$B47),Data!$H$16:$BN$1015,S$11,FALSE),"")</f>
        <v/>
      </c>
      <c r="T47" s="1428" t="str">
        <f>IFERROR(VLOOKUP(CONCATENATE($B$8,"_",$B47),Data!$H$16:$BN$1015,T$11,FALSE),"")</f>
        <v/>
      </c>
      <c r="U47" s="1429" t="str">
        <f>IFERROR(VLOOKUP(CONCATENATE($B$8,"_",$B47),Data!$H$16:$BN$1015,U$11,FALSE),"")</f>
        <v/>
      </c>
      <c r="V47" s="1428" t="str">
        <f>IFERROR(VLOOKUP(CONCATENATE($B$8,"_",$B47),Data!$H$16:$BN$1015,V$11,FALSE),"")</f>
        <v/>
      </c>
      <c r="W47" s="1428" t="str">
        <f>IFERROR(VLOOKUP(CONCATENATE($B$8,"_",$B47),Data!$H$16:$BN$1015,W$11,FALSE),"")</f>
        <v/>
      </c>
      <c r="X47" s="1428" t="str">
        <f>IFERROR(VLOOKUP(CONCATENATE($B$8,"_",$B47),Data!$H$16:$BN$1015,X$11,FALSE),"")</f>
        <v/>
      </c>
      <c r="Y47" s="1428" t="str">
        <f>IFERROR(VLOOKUP(CONCATENATE($B$8,"_",$B47),Data!$H$16:$BN$1015,Y$11,FALSE),"")</f>
        <v/>
      </c>
      <c r="Z47" s="1429" t="str">
        <f>IFERROR(VLOOKUP(CONCATENATE($B$8,"_",$B47),Data!$H$16:$BN$1015,Z$11,FALSE),"")</f>
        <v/>
      </c>
      <c r="AA47" s="1428" t="str">
        <f>IFERROR(VLOOKUP(CONCATENATE($B$8,"_",$B47),Data!$H$16:$BN$1015,AA$11,FALSE),"")</f>
        <v/>
      </c>
      <c r="AB47" s="1428" t="str">
        <f>IFERROR(VLOOKUP(CONCATENATE($B$8,"_",$B47),Data!$H$16:$BN$1015,AB$11,FALSE),"")</f>
        <v/>
      </c>
      <c r="AC47" s="1429" t="str">
        <f>IFERROR(VLOOKUP(CONCATENATE($B$8,"_",$B47),Data!$H$16:$BN$1015,AC$11,FALSE),"")</f>
        <v/>
      </c>
      <c r="AD47" s="1428" t="str">
        <f>IFERROR(VLOOKUP(CONCATENATE($B$8,"_",$B47),Data!$H$16:$BN$1015,AD$11,FALSE),"")</f>
        <v/>
      </c>
      <c r="AE47" s="1428" t="str">
        <f>IFERROR(VLOOKUP(CONCATENATE($B$8,"_",$B47),Data!$H$16:$BN$1015,AE$11,FALSE),"")</f>
        <v/>
      </c>
      <c r="AF47" s="1429" t="str">
        <f>IFERROR(VLOOKUP(CONCATENATE($B$8,"_",$B47),Data!$H$16:$BN$1015,AF$11,FALSE),"")</f>
        <v/>
      </c>
      <c r="AG47" s="1428" t="str">
        <f>IFERROR(VLOOKUP(CONCATENATE($B$8,"_",$B47),Data!$H$16:$BN$1015,AG$11,FALSE),"")</f>
        <v/>
      </c>
      <c r="AH47" s="1428" t="str">
        <f>IFERROR(VLOOKUP(CONCATENATE($B$8,"_",$B47),Data!$H$16:$BN$1015,AH$11,FALSE),"")</f>
        <v/>
      </c>
      <c r="AI47" s="1429" t="str">
        <f>IFERROR(VLOOKUP(CONCATENATE($B$8,"_",$B47),Data!$H$16:$BN$1015,AI$11,FALSE),"")</f>
        <v/>
      </c>
      <c r="AJ47" s="1428" t="str">
        <f>IFERROR(VLOOKUP(CONCATENATE($B$8,"_",$B47),Data!$H$16:$BN$1015,AJ$11,FALSE),"")</f>
        <v/>
      </c>
      <c r="AK47" s="1428" t="str">
        <f>IFERROR(VLOOKUP(CONCATENATE($B$8,"_",$B47),Data!$H$16:$BN$1015,AK$11,FALSE),"")</f>
        <v/>
      </c>
      <c r="AL47" s="1429" t="str">
        <f>IFERROR(VLOOKUP(CONCATENATE($B$8,"_",$B47),Data!$H$16:$BN$1015,AL$11,FALSE),"")</f>
        <v/>
      </c>
      <c r="AM47" s="1428" t="str">
        <f>IFERROR(VLOOKUP(CONCATENATE($B$8,"_",$B47),Data!$H$16:$BN$1015,AM$11,FALSE),"")</f>
        <v/>
      </c>
      <c r="AN47" s="1428" t="str">
        <f>IFERROR(VLOOKUP(CONCATENATE($B$8,"_",$B47),Data!$H$16:$BN$1015,AN$11,FALSE),"")</f>
        <v/>
      </c>
      <c r="AO47" s="1430" t="str">
        <f>IFERROR(VLOOKUP(CONCATENATE($B$8,"_",$B47),Data!$H$16:$BN$1015,AO$11,FALSE),"")</f>
        <v/>
      </c>
      <c r="AP47" s="1428" t="str">
        <f>IFERROR(VLOOKUP(CONCATENATE($B$8,"_",$B47),Data!$H$16:$BN$1015,AP$11,FALSE),"")</f>
        <v/>
      </c>
      <c r="AQ47" s="1428" t="str">
        <f>IFERROR(VLOOKUP(CONCATENATE($B$8,"_",$B47),Data!$H$16:$BN$1015,AQ$11,FALSE),"")</f>
        <v/>
      </c>
      <c r="AR47" s="1430" t="str">
        <f>IFERROR(VLOOKUP(CONCATENATE($B$8,"_",$B47),Data!$H$16:$BN$1015,AR$11,FALSE),"")</f>
        <v/>
      </c>
      <c r="AS47" s="1428" t="str">
        <f>IFERROR(VLOOKUP(CONCATENATE($B$8,"_",$B47),Data!$H$16:$BN$1015,AS$11,FALSE),"")</f>
        <v/>
      </c>
      <c r="AT47" s="1428" t="str">
        <f>IFERROR(VLOOKUP(CONCATENATE($B$8,"_",$B47),Data!$H$16:$BN$1015,AT$11,FALSE),"")</f>
        <v/>
      </c>
      <c r="AU47" s="1430" t="str">
        <f>IFERROR(VLOOKUP(CONCATENATE($B$8,"_",$B47),Data!$H$16:$BN$1015,AU$11,FALSE),"")</f>
        <v/>
      </c>
      <c r="AV47" s="1428" t="str">
        <f>IFERROR(VLOOKUP(CONCATENATE($B$8,"_",$B47),Data!$H$16:$BN$1015,AV$11,FALSE),"")</f>
        <v/>
      </c>
      <c r="AW47" s="1428" t="str">
        <f>IFERROR(VLOOKUP(CONCATENATE($B$8,"_",$B47),Data!$H$16:$BN$1015,AW$11,FALSE),"")</f>
        <v/>
      </c>
      <c r="AX47" s="1430" t="str">
        <f>IFERROR(VLOOKUP(CONCATENATE($B$8,"_",$B47),Data!$H$16:$BN$1015,AX$11,FALSE),"")</f>
        <v/>
      </c>
      <c r="AY47" s="1429" t="str">
        <f>IFERROR(VLOOKUP(CONCATENATE($B$8,"_",$B47),Data!$H$16:$BN$1015,AY$11,FALSE),"")</f>
        <v/>
      </c>
      <c r="AZ47" s="1429" t="str">
        <f>IFERROR(VLOOKUP(CONCATENATE($B$8,"_",$B47),Data!$H$16:$BN$1015,AZ$11,FALSE),"")</f>
        <v/>
      </c>
      <c r="BA47" s="1429" t="str">
        <f>IFERROR(VLOOKUP(CONCATENATE($B$8,"_",$B47),Data!$H$16:$BN$1015,BA$11,FALSE),"")</f>
        <v/>
      </c>
      <c r="BB47" s="1429" t="str">
        <f>IFERROR(VLOOKUP(CONCATENATE($B$8,"_",$B47),Data!$H$16:$BN$1015,BB$11,FALSE),"")</f>
        <v/>
      </c>
      <c r="BC47" s="1429" t="str">
        <f>IFERROR(VLOOKUP(CONCATENATE($B$8,"_",$B47),Data!$H$16:$BN$1015,BC$11,FALSE),"")</f>
        <v/>
      </c>
      <c r="BD47" s="1431" t="str">
        <f>IFERROR(VLOOKUP(CONCATENATE($B$8,"_",$B47),Data!$H$16:$BN$1015,BD$11,FALSE),"")</f>
        <v/>
      </c>
      <c r="BE47" s="1439">
        <f t="shared" si="1"/>
        <v>2034</v>
      </c>
      <c r="BF47" s="1428" t="str">
        <f>IFERROR(VLOOKUP(CONCATENATE($B$8,"_",$B47),Data!$BO$16:$ES$1015,BF$11,FALSE),"")</f>
        <v/>
      </c>
      <c r="BG47" s="1433" t="str">
        <f>IFERROR(VLOOKUP(CONCATENATE($B$8,"_",$B47),Data!$BO$16:$ES$1015,BG$11,FALSE),"")</f>
        <v/>
      </c>
      <c r="BH47" s="1435" t="str">
        <f>IFERROR(VLOOKUP(CONCATENATE($B$8,"_",$B47),Data!$BO$16:$ES$1015,BH$11,FALSE),"")</f>
        <v/>
      </c>
      <c r="BI47" s="1434" t="str">
        <f>IFERROR(VLOOKUP(CONCATENATE($B$8,"_",$B47),Data!$BO$16:$ES$1015,BI$11,FALSE),"")</f>
        <v/>
      </c>
      <c r="BJ47" s="1428" t="str">
        <f>IFERROR(VLOOKUP(CONCATENATE($B$8,"_",$B47),Data!$BO$16:$ES$1015,BJ$11,FALSE),"")</f>
        <v/>
      </c>
      <c r="BK47" s="1428" t="str">
        <f>IFERROR(VLOOKUP(CONCATENATE($B$8,"_",$B47),Data!$BO$16:$ES$1015,BK$11,FALSE),"")</f>
        <v/>
      </c>
      <c r="BL47" s="1428" t="str">
        <f>IFERROR(VLOOKUP(CONCATENATE($B$8,"_",$B47),Data!$BO$16:$ES$1015,BL$11,FALSE),"")</f>
        <v/>
      </c>
      <c r="BM47" s="1433" t="str">
        <f>IFERROR(VLOOKUP(CONCATENATE($B$8,"_",$B47),Data!$BO$16:$ES$1015,BM$11,FALSE),"")</f>
        <v/>
      </c>
      <c r="BN47" s="1433" t="str">
        <f>IFERROR(VLOOKUP(CONCATENATE($B$8,"_",$B47),Data!$BO$16:$ES$1015,BN$11,FALSE),"")</f>
        <v/>
      </c>
      <c r="BO47" s="1433" t="str">
        <f>IFERROR(VLOOKUP(CONCATENATE($B$8,"_",$B47),Data!$BO$16:$ES$1015,BO$11,FALSE),"")</f>
        <v/>
      </c>
      <c r="BP47" s="1433" t="str">
        <f>IFERROR(VLOOKUP(CONCATENATE($B$8,"_",$B47),Data!$BO$16:$ES$1015,BP$11,FALSE),"")</f>
        <v/>
      </c>
      <c r="BQ47" s="1433" t="str">
        <f>IFERROR(VLOOKUP(CONCATENATE($B$8,"_",$B47),Data!$BO$16:$ES$1015,BQ$11,FALSE),"")</f>
        <v/>
      </c>
      <c r="BR47" s="1434" t="str">
        <f>IFERROR(VLOOKUP(CONCATENATE($B$8,"_",$B47),Data!$BO$16:$ES$1015,BR$11,FALSE),"")</f>
        <v/>
      </c>
      <c r="BS47" s="1434" t="str">
        <f>IFERROR(VLOOKUP(CONCATENATE($B$8,"_",$B47),Data!$BO$16:$ES$1015,BS$11,FALSE),"")</f>
        <v/>
      </c>
      <c r="BT47" s="1434" t="str">
        <f>IFERROR(VLOOKUP(CONCATENATE($B$8,"_",$B47),Data!$BO$16:$ES$1015,BT$11,FALSE),"")</f>
        <v/>
      </c>
      <c r="BU47" s="1434" t="str">
        <f>IFERROR(VLOOKUP(CONCATENATE($B$8,"_",$B47),Data!$BO$16:$ES$1015,BU$11,FALSE),"")</f>
        <v/>
      </c>
      <c r="BV47" s="1434" t="str">
        <f>IFERROR(VLOOKUP(CONCATENATE($B$8,"_",$B47),Data!$BO$16:$ES$1015,BV$11,FALSE),"")</f>
        <v/>
      </c>
      <c r="BW47" s="1434" t="str">
        <f>IFERROR(VLOOKUP(CONCATENATE($B$8,"_",$B47),Data!$BO$16:$ES$1015,BW$11,FALSE),"")</f>
        <v/>
      </c>
      <c r="BX47" s="1434" t="str">
        <f>IFERROR(VLOOKUP(CONCATENATE($B$8,"_",$B47),Data!$BO$16:$ES$1015,BX$11,FALSE),"")</f>
        <v/>
      </c>
      <c r="BY47" s="1428" t="str">
        <f>IFERROR(VLOOKUP(CONCATENATE($B$8,"_",$B47),Data!$BO$16:$ES$1015,BY$11,FALSE),"")</f>
        <v/>
      </c>
      <c r="BZ47" s="1428" t="str">
        <f>IFERROR(VLOOKUP(CONCATENATE($B$8,"_",$B47),Data!$BO$16:$ES$1015,BZ$11,FALSE),"")</f>
        <v/>
      </c>
      <c r="CA47" s="1428" t="str">
        <f>IFERROR(VLOOKUP(CONCATENATE($B$8,"_",$B47),Data!$BO$16:$ES$1015,CA$11,FALSE),"")</f>
        <v/>
      </c>
      <c r="CB47" s="1428" t="str">
        <f>IFERROR(VLOOKUP(CONCATENATE($B$8,"_",$B47),Data!$BO$16:$ES$1015,CB$11,FALSE),"")</f>
        <v/>
      </c>
      <c r="CC47" s="1428" t="str">
        <f>IFERROR(VLOOKUP(CONCATENATE($B$8,"_",$B47),Data!$BO$16:$ES$1015,CC$11,FALSE),"")</f>
        <v/>
      </c>
      <c r="CD47" s="1428" t="str">
        <f>IFERROR(VLOOKUP(CONCATENATE($B$8,"_",$B47),Data!$BO$16:$ES$1015,CD$11,FALSE),"")</f>
        <v/>
      </c>
      <c r="CE47" s="1428" t="str">
        <f>IFERROR(VLOOKUP(CONCATENATE($B$8,"_",$B47),Data!$BO$16:$ES$1015,CE$11,FALSE),"")</f>
        <v/>
      </c>
      <c r="CF47" s="1428" t="str">
        <f>IFERROR(VLOOKUP(CONCATENATE($B$8,"_",$B47),Data!$BO$16:$ES$1015,CF$11,FALSE),"")</f>
        <v/>
      </c>
      <c r="CG47" s="1428" t="str">
        <f>IFERROR(VLOOKUP(CONCATENATE($B$8,"_",$B47),Data!$BO$16:$ES$1015,CG$11,FALSE),"")</f>
        <v/>
      </c>
      <c r="CH47" s="1428" t="str">
        <f>IFERROR(VLOOKUP(CONCATENATE($B$8,"_",$B47),Data!$BO$16:$ES$1015,CH$11,FALSE),"")</f>
        <v/>
      </c>
      <c r="CI47" s="1428" t="str">
        <f>IFERROR(VLOOKUP(CONCATENATE($B$8,"_",$B47),Data!$BO$16:$ES$1015,CI$11,FALSE),"")</f>
        <v/>
      </c>
      <c r="CJ47" s="1428" t="str">
        <f>IFERROR(VLOOKUP(CONCATENATE($B$8,"_",$B47),Data!$BO$16:$ES$1015,CJ$11,FALSE),"")</f>
        <v/>
      </c>
      <c r="CK47" s="1428" t="str">
        <f>IFERROR(VLOOKUP(CONCATENATE($B$8,"_",$B47),Data!$BO$16:$ES$1015,CK$11,FALSE),"")</f>
        <v/>
      </c>
      <c r="CL47" s="1428" t="str">
        <f>IFERROR(VLOOKUP(CONCATENATE($B$8,"_",$B47),Data!$BO$16:$ES$1015,CL$11,FALSE),"")</f>
        <v/>
      </c>
      <c r="CM47" s="1428" t="str">
        <f>IFERROR(VLOOKUP(CONCATENATE($B$8,"_",$B47),Data!$BO$16:$ES$1015,CM$11,FALSE),"")</f>
        <v/>
      </c>
      <c r="CN47" s="1428" t="str">
        <f>IFERROR(VLOOKUP(CONCATENATE($B$8,"_",$B47),Data!$BO$16:$ES$1015,CN$11,FALSE),"")</f>
        <v/>
      </c>
      <c r="CO47" s="1428" t="str">
        <f>IFERROR(VLOOKUP(CONCATENATE($B$8,"_",$B47),Data!$BO$16:$ES$1015,CO$11,FALSE),"")</f>
        <v/>
      </c>
      <c r="CP47" s="1433" t="str">
        <f>IFERROR(VLOOKUP(CONCATENATE($B$8,"_",$B47),Data!$BO$16:$ES$1015,CP$11,FALSE),"")</f>
        <v/>
      </c>
      <c r="CQ47" s="1433" t="str">
        <f>IFERROR(VLOOKUP(CONCATENATE($B$8,"_",$B47),Data!$BO$16:$ES$1015,CQ$11,FALSE),"")</f>
        <v/>
      </c>
      <c r="CR47" s="1433" t="str">
        <f>IFERROR(VLOOKUP(CONCATENATE($B$8,"_",$B47),Data!$BO$16:$ES$1015,CR$11,FALSE),"")</f>
        <v/>
      </c>
      <c r="CS47" s="1433" t="str">
        <f>IFERROR(VLOOKUP(CONCATENATE($B$8,"_",$B47),Data!$BO$16:$ES$1015,CS$11,FALSE),"")</f>
        <v/>
      </c>
      <c r="CT47" s="1433" t="str">
        <f>IFERROR(VLOOKUP(CONCATENATE($B$8,"_",$B47),Data!$BO$16:$ES$1015,CT$11,FALSE),"")</f>
        <v/>
      </c>
      <c r="CU47" s="1433" t="str">
        <f>IFERROR(VLOOKUP(CONCATENATE($B$8,"_",$B47),Data!$BO$16:$ES$1015,CU$11,FALSE),"")</f>
        <v/>
      </c>
      <c r="CV47" s="1433" t="str">
        <f>IFERROR(VLOOKUP(CONCATENATE($B$8,"_",$B47),Data!$BO$16:$ES$1015,CV$11,FALSE),"")</f>
        <v/>
      </c>
      <c r="CW47" s="1433" t="str">
        <f>IFERROR(VLOOKUP(CONCATENATE($B$8,"_",$B47),Data!$BO$16:$ES$1015,CW$11,FALSE),"")</f>
        <v/>
      </c>
      <c r="CX47" s="1433" t="str">
        <f>IFERROR(VLOOKUP(CONCATENATE($B$8,"_",$B47),Data!$BO$16:$ES$1015,CX$11,FALSE),"")</f>
        <v/>
      </c>
      <c r="CY47" s="1433" t="str">
        <f>IFERROR(VLOOKUP(CONCATENATE($B$8,"_",$B47),Data!$BO$16:$ES$1015,CY$11,FALSE),"")</f>
        <v/>
      </c>
      <c r="CZ47" s="1433" t="str">
        <f>IFERROR(VLOOKUP(CONCATENATE($B$8,"_",$B47),Data!$BO$16:$ES$1015,CZ$11,FALSE),"")</f>
        <v/>
      </c>
      <c r="DA47" s="1433" t="str">
        <f>IFERROR(VLOOKUP(CONCATENATE($B$8,"_",$B47),Data!$BO$16:$ES$1015,DA$11,FALSE),"")</f>
        <v/>
      </c>
      <c r="DB47" s="1433" t="str">
        <f>IFERROR(VLOOKUP(CONCATENATE($B$8,"_",$B47),Data!$BO$16:$ES$1015,DB$11,FALSE),"")</f>
        <v/>
      </c>
      <c r="DC47" s="1433" t="str">
        <f>IFERROR(VLOOKUP(CONCATENATE($B$8,"_",$B47),Data!$BO$16:$ES$1015,DC$11,FALSE),"")</f>
        <v/>
      </c>
      <c r="DD47" s="1433" t="str">
        <f>IFERROR(VLOOKUP(CONCATENATE($B$8,"_",$B47),Data!$BO$16:$ES$1015,DD$11,FALSE),"")</f>
        <v/>
      </c>
      <c r="DE47" s="1433" t="str">
        <f>IFERROR(VLOOKUP(CONCATENATE($B$8,"_",$B47),Data!$BO$16:$ES$1015,DE$11,FALSE),"")</f>
        <v/>
      </c>
      <c r="DF47" s="1433" t="str">
        <f>IFERROR(VLOOKUP(CONCATENATE($B$8,"_",$B47),Data!$BO$16:$ES$1015,DF$11,FALSE),"")</f>
        <v/>
      </c>
      <c r="DG47" s="1433" t="str">
        <f>IFERROR(VLOOKUP(CONCATENATE($B$8,"_",$B47),Data!$BO$16:$ES$1015,DG$11,FALSE),"")</f>
        <v/>
      </c>
      <c r="DH47" s="1433" t="str">
        <f>IFERROR(VLOOKUP(CONCATENATE($B$8,"_",$B47),Data!$BO$16:$ES$1015,DH$11,FALSE),"")</f>
        <v/>
      </c>
      <c r="DI47" s="1433" t="str">
        <f>IFERROR(VLOOKUP(CONCATENATE($B$8,"_",$B47),Data!$BO$16:$ES$1015,DI$11,FALSE),"")</f>
        <v/>
      </c>
      <c r="DJ47" s="1433" t="str">
        <f>IFERROR(VLOOKUP(CONCATENATE($B$8,"_",$B47),Data!$BO$16:$ES$1015,DJ$11,FALSE),"")</f>
        <v/>
      </c>
      <c r="DK47" s="1433" t="str">
        <f>IFERROR(VLOOKUP(CONCATENATE($B$8,"_",$B47),Data!$BO$16:$ES$1015,DK$11,FALSE),"")</f>
        <v/>
      </c>
      <c r="DL47" s="1435" t="str">
        <f>IFERROR(VLOOKUP(CONCATENATE($B$8,"_",$B47),Data!$BO$16:$ES$1015,DL$11,FALSE),"")</f>
        <v/>
      </c>
      <c r="DM47" s="1434" t="str">
        <f>IFERROR(VLOOKUP(CONCATENATE($B$8,"_",$B47),Data!$BO$16:$ES$1015,DM$11,FALSE),"")</f>
        <v/>
      </c>
      <c r="DN47" s="1434" t="str">
        <f>IFERROR(VLOOKUP(CONCATENATE($B$8,"_",$B47),Data!$BO$16:$ES$1015,DN$11,FALSE),"")</f>
        <v/>
      </c>
      <c r="DO47" s="1434" t="str">
        <f>IFERROR(VLOOKUP(CONCATENATE($B$8,"_",$B47),Data!$BO$16:$ES$1015,DO$11,FALSE),"")</f>
        <v/>
      </c>
      <c r="DP47" s="1434" t="str">
        <f>IFERROR(VLOOKUP(CONCATENATE($B$8,"_",$B47),Data!$BO$16:$ES$1015,DP$11,FALSE),"")</f>
        <v/>
      </c>
      <c r="DQ47" s="1434" t="str">
        <f>IFERROR(VLOOKUP(CONCATENATE($B$8,"_",$B47),Data!$BO$16:$ES$1015,DQ$11,FALSE),"")</f>
        <v/>
      </c>
      <c r="DR47" s="1434" t="str">
        <f>IFERROR(VLOOKUP(CONCATENATE($B$8,"_",$B47),Data!$BO$16:$ES$1015,DR$11,FALSE),"")</f>
        <v/>
      </c>
      <c r="DS47" s="1434" t="str">
        <f>IFERROR(VLOOKUP(CONCATENATE($B$8,"_",$B47),Data!$BO$16:$ES$1015,DS$11,FALSE),"")</f>
        <v/>
      </c>
      <c r="DT47" s="1434" t="str">
        <f>IFERROR(VLOOKUP(CONCATENATE($B$8,"_",$B47),Data!$BO$16:$ES$1015,DT$11,FALSE),"")</f>
        <v/>
      </c>
      <c r="DU47" s="1434" t="str">
        <f>IFERROR(VLOOKUP(CONCATENATE($B$8,"_",$B47),Data!$BO$16:$ES$1015,DU$11,FALSE),"")</f>
        <v/>
      </c>
      <c r="DV47" s="1434" t="str">
        <f>IFERROR(VLOOKUP(CONCATENATE($B$8,"_",$B47),Data!$BO$16:$ES$1015,DV$11,FALSE),"")</f>
        <v/>
      </c>
      <c r="DW47" s="1434" t="str">
        <f>IFERROR(VLOOKUP(CONCATENATE($B$8,"_",$B47),Data!$BO$16:$ES$1015,DW$11,FALSE),"")</f>
        <v/>
      </c>
      <c r="DX47" s="1434" t="str">
        <f>IFERROR(VLOOKUP(CONCATENATE($B$8,"_",$B47),Data!$BO$16:$ES$1015,DX$11,FALSE),"")</f>
        <v/>
      </c>
      <c r="DY47" s="1434" t="str">
        <f>IFERROR(VLOOKUP(CONCATENATE($B$8,"_",$B47),Data!$BO$16:$ES$1015,DY$11,FALSE),"")</f>
        <v/>
      </c>
      <c r="DZ47" s="1434" t="str">
        <f>IFERROR(VLOOKUP(CONCATENATE($B$8,"_",$B47),Data!$BO$16:$ES$1015,DZ$11,FALSE),"")</f>
        <v/>
      </c>
      <c r="EA47" s="1434" t="str">
        <f>IFERROR(VLOOKUP(CONCATENATE($B$8,"_",$B47),Data!$BO$16:$ES$1015,EA$11,FALSE),"")</f>
        <v/>
      </c>
      <c r="EB47" s="1434" t="str">
        <f>IFERROR(VLOOKUP(CONCATENATE($B$8,"_",$B47),Data!$BO$16:$ES$1015,EB$11,FALSE),"")</f>
        <v/>
      </c>
      <c r="EC47" s="1434" t="str">
        <f>IFERROR(VLOOKUP(CONCATENATE($B$8,"_",$B47),Data!$BO$16:$ES$1015,EC$11,FALSE),"")</f>
        <v/>
      </c>
      <c r="ED47" s="1434" t="str">
        <f>IFERROR(VLOOKUP(CONCATENATE($B$8,"_",$B47),Data!$BO$16:$ES$1015,ED$11,FALSE),"")</f>
        <v/>
      </c>
      <c r="EE47" s="1434" t="str">
        <f>IFERROR(VLOOKUP(CONCATENATE($B$8,"_",$B47),Data!$BO$16:$ES$1015,EE$11,FALSE),"")</f>
        <v/>
      </c>
      <c r="EF47" s="1434" t="str">
        <f>IFERROR(VLOOKUP(CONCATENATE($B$8,"_",$B47),Data!$BO$16:$ES$1015,EF$11,FALSE),"")</f>
        <v/>
      </c>
      <c r="EG47" s="1434" t="str">
        <f>IFERROR(VLOOKUP(CONCATENATE($B$8,"_",$B47),Data!$BO$16:$ES$1015,EG$11,FALSE),"")</f>
        <v/>
      </c>
      <c r="EH47" s="1434" t="str">
        <f>IFERROR(VLOOKUP(CONCATENATE($B$8,"_",$B47),Data!$BO$16:$ES$1015,EH$11,FALSE),"")</f>
        <v/>
      </c>
      <c r="EI47" s="1434" t="str">
        <f>IFERROR(VLOOKUP(CONCATENATE($B$8,"_",$B47),Data!$BO$16:$ES$1015,EI$11,FALSE),"")</f>
        <v/>
      </c>
      <c r="EK47" s="1437"/>
    </row>
    <row r="48" spans="1:141" s="1436" customFormat="1" ht="15" customHeight="1">
      <c r="A48" s="1438">
        <v>35</v>
      </c>
      <c r="B48" s="1738">
        <f>IF($B$13+A48&lt;=Progress!$D$18,$B$13+A48,"")</f>
        <v>2035</v>
      </c>
      <c r="C48" s="1737" t="str">
        <f>IFERROR(VLOOKUP(CONCATENATE($B$8,"_",$B48),Data!$H$16:$BN$1015,C$11,FALSE),"")</f>
        <v/>
      </c>
      <c r="D48" s="1428" t="str">
        <f>IFERROR(VLOOKUP(CONCATENATE($B$8,"_",$B48),Data!$H$16:$BN$1015,D$11,FALSE),"")</f>
        <v/>
      </c>
      <c r="E48" s="1429" t="str">
        <f>IFERROR(VLOOKUP(CONCATENATE($B$8,"_",$B48),Data!$H$16:$BN$1015,E$11,FALSE),"")</f>
        <v/>
      </c>
      <c r="F48" s="1428" t="str">
        <f>IFERROR(VLOOKUP(CONCATENATE($B$8,"_",$B48),Data!$H$16:$BN$1015,F$11,FALSE),"")</f>
        <v/>
      </c>
      <c r="G48" s="1428" t="str">
        <f>IFERROR(VLOOKUP(CONCATENATE($B$8,"_",$B48),Data!$H$16:$BN$1015,G$11,FALSE),"")</f>
        <v/>
      </c>
      <c r="H48" s="1429" t="str">
        <f>IFERROR(VLOOKUP(CONCATENATE($B$8,"_",$B48),Data!$H$16:$BN$1015,H$11,FALSE),"")</f>
        <v/>
      </c>
      <c r="I48" s="1428" t="str">
        <f>IFERROR(VLOOKUP(CONCATENATE($B$8,"_",$B48),Data!$H$16:$BN$1015,I$11,FALSE),"")</f>
        <v/>
      </c>
      <c r="J48" s="1428" t="str">
        <f>IFERROR(VLOOKUP(CONCATENATE($B$8,"_",$B48),Data!$H$16:$BN$1015,J$11,FALSE),"")</f>
        <v/>
      </c>
      <c r="K48" s="1429" t="str">
        <f>IFERROR(VLOOKUP(CONCATENATE($B$8,"_",$B48),Data!$H$16:$BN$1015,K$11,FALSE),"")</f>
        <v/>
      </c>
      <c r="L48" s="1428" t="str">
        <f>IFERROR(VLOOKUP(CONCATENATE($B$8,"_",$B48),Data!$H$16:$BN$1015,L$11,FALSE),"")</f>
        <v/>
      </c>
      <c r="M48" s="1428" t="str">
        <f>IFERROR(VLOOKUP(CONCATENATE($B$8,"_",$B48),Data!$H$16:$BN$1015,M$11,FALSE),"")</f>
        <v/>
      </c>
      <c r="N48" s="1429" t="str">
        <f>IFERROR(VLOOKUP(CONCATENATE($B$8,"_",$B48),Data!$H$16:$BN$1015,N$11,FALSE),"")</f>
        <v/>
      </c>
      <c r="O48" s="1430" t="str">
        <f>IFERROR(VLOOKUP(CONCATENATE($B$8,"_",$B48),Data!$H$16:$BN$1015,O$11,FALSE),"")</f>
        <v/>
      </c>
      <c r="P48" s="1428" t="str">
        <f>IFERROR(VLOOKUP(CONCATENATE($B$8,"_",$B48),Data!$H$16:$BN$1015,P$11,FALSE),"")</f>
        <v/>
      </c>
      <c r="Q48" s="1428" t="str">
        <f>IFERROR(VLOOKUP(CONCATENATE($B$8,"_",$B48),Data!$H$16:$BN$1015,Q$11,FALSE),"")</f>
        <v/>
      </c>
      <c r="R48" s="1429" t="str">
        <f>IFERROR(VLOOKUP(CONCATENATE($B$8,"_",$B48),Data!$H$16:$BN$1015,R$11,FALSE),"")</f>
        <v/>
      </c>
      <c r="S48" s="1428" t="str">
        <f>IFERROR(VLOOKUP(CONCATENATE($B$8,"_",$B48),Data!$H$16:$BN$1015,S$11,FALSE),"")</f>
        <v/>
      </c>
      <c r="T48" s="1428" t="str">
        <f>IFERROR(VLOOKUP(CONCATENATE($B$8,"_",$B48),Data!$H$16:$BN$1015,T$11,FALSE),"")</f>
        <v/>
      </c>
      <c r="U48" s="1429" t="str">
        <f>IFERROR(VLOOKUP(CONCATENATE($B$8,"_",$B48),Data!$H$16:$BN$1015,U$11,FALSE),"")</f>
        <v/>
      </c>
      <c r="V48" s="1428" t="str">
        <f>IFERROR(VLOOKUP(CONCATENATE($B$8,"_",$B48),Data!$H$16:$BN$1015,V$11,FALSE),"")</f>
        <v/>
      </c>
      <c r="W48" s="1428" t="str">
        <f>IFERROR(VLOOKUP(CONCATENATE($B$8,"_",$B48),Data!$H$16:$BN$1015,W$11,FALSE),"")</f>
        <v/>
      </c>
      <c r="X48" s="1428" t="str">
        <f>IFERROR(VLOOKUP(CONCATENATE($B$8,"_",$B48),Data!$H$16:$BN$1015,X$11,FALSE),"")</f>
        <v/>
      </c>
      <c r="Y48" s="1428" t="str">
        <f>IFERROR(VLOOKUP(CONCATENATE($B$8,"_",$B48),Data!$H$16:$BN$1015,Y$11,FALSE),"")</f>
        <v/>
      </c>
      <c r="Z48" s="1429" t="str">
        <f>IFERROR(VLOOKUP(CONCATENATE($B$8,"_",$B48),Data!$H$16:$BN$1015,Z$11,FALSE),"")</f>
        <v/>
      </c>
      <c r="AA48" s="1428" t="str">
        <f>IFERROR(VLOOKUP(CONCATENATE($B$8,"_",$B48),Data!$H$16:$BN$1015,AA$11,FALSE),"")</f>
        <v/>
      </c>
      <c r="AB48" s="1428" t="str">
        <f>IFERROR(VLOOKUP(CONCATENATE($B$8,"_",$B48),Data!$H$16:$BN$1015,AB$11,FALSE),"")</f>
        <v/>
      </c>
      <c r="AC48" s="1429" t="str">
        <f>IFERROR(VLOOKUP(CONCATENATE($B$8,"_",$B48),Data!$H$16:$BN$1015,AC$11,FALSE),"")</f>
        <v/>
      </c>
      <c r="AD48" s="1428" t="str">
        <f>IFERROR(VLOOKUP(CONCATENATE($B$8,"_",$B48),Data!$H$16:$BN$1015,AD$11,FALSE),"")</f>
        <v/>
      </c>
      <c r="AE48" s="1428" t="str">
        <f>IFERROR(VLOOKUP(CONCATENATE($B$8,"_",$B48),Data!$H$16:$BN$1015,AE$11,FALSE),"")</f>
        <v/>
      </c>
      <c r="AF48" s="1429" t="str">
        <f>IFERROR(VLOOKUP(CONCATENATE($B$8,"_",$B48),Data!$H$16:$BN$1015,AF$11,FALSE),"")</f>
        <v/>
      </c>
      <c r="AG48" s="1428" t="str">
        <f>IFERROR(VLOOKUP(CONCATENATE($B$8,"_",$B48),Data!$H$16:$BN$1015,AG$11,FALSE),"")</f>
        <v/>
      </c>
      <c r="AH48" s="1428" t="str">
        <f>IFERROR(VLOOKUP(CONCATENATE($B$8,"_",$B48),Data!$H$16:$BN$1015,AH$11,FALSE),"")</f>
        <v/>
      </c>
      <c r="AI48" s="1429" t="str">
        <f>IFERROR(VLOOKUP(CONCATENATE($B$8,"_",$B48),Data!$H$16:$BN$1015,AI$11,FALSE),"")</f>
        <v/>
      </c>
      <c r="AJ48" s="1428" t="str">
        <f>IFERROR(VLOOKUP(CONCATENATE($B$8,"_",$B48),Data!$H$16:$BN$1015,AJ$11,FALSE),"")</f>
        <v/>
      </c>
      <c r="AK48" s="1428" t="str">
        <f>IFERROR(VLOOKUP(CONCATENATE($B$8,"_",$B48),Data!$H$16:$BN$1015,AK$11,FALSE),"")</f>
        <v/>
      </c>
      <c r="AL48" s="1429" t="str">
        <f>IFERROR(VLOOKUP(CONCATENATE($B$8,"_",$B48),Data!$H$16:$BN$1015,AL$11,FALSE),"")</f>
        <v/>
      </c>
      <c r="AM48" s="1428" t="str">
        <f>IFERROR(VLOOKUP(CONCATENATE($B$8,"_",$B48),Data!$H$16:$BN$1015,AM$11,FALSE),"")</f>
        <v/>
      </c>
      <c r="AN48" s="1428" t="str">
        <f>IFERROR(VLOOKUP(CONCATENATE($B$8,"_",$B48),Data!$H$16:$BN$1015,AN$11,FALSE),"")</f>
        <v/>
      </c>
      <c r="AO48" s="1430" t="str">
        <f>IFERROR(VLOOKUP(CONCATENATE($B$8,"_",$B48),Data!$H$16:$BN$1015,AO$11,FALSE),"")</f>
        <v/>
      </c>
      <c r="AP48" s="1428" t="str">
        <f>IFERROR(VLOOKUP(CONCATENATE($B$8,"_",$B48),Data!$H$16:$BN$1015,AP$11,FALSE),"")</f>
        <v/>
      </c>
      <c r="AQ48" s="1428" t="str">
        <f>IFERROR(VLOOKUP(CONCATENATE($B$8,"_",$B48),Data!$H$16:$BN$1015,AQ$11,FALSE),"")</f>
        <v/>
      </c>
      <c r="AR48" s="1430" t="str">
        <f>IFERROR(VLOOKUP(CONCATENATE($B$8,"_",$B48),Data!$H$16:$BN$1015,AR$11,FALSE),"")</f>
        <v/>
      </c>
      <c r="AS48" s="1428" t="str">
        <f>IFERROR(VLOOKUP(CONCATENATE($B$8,"_",$B48),Data!$H$16:$BN$1015,AS$11,FALSE),"")</f>
        <v/>
      </c>
      <c r="AT48" s="1428" t="str">
        <f>IFERROR(VLOOKUP(CONCATENATE($B$8,"_",$B48),Data!$H$16:$BN$1015,AT$11,FALSE),"")</f>
        <v/>
      </c>
      <c r="AU48" s="1430" t="str">
        <f>IFERROR(VLOOKUP(CONCATENATE($B$8,"_",$B48),Data!$H$16:$BN$1015,AU$11,FALSE),"")</f>
        <v/>
      </c>
      <c r="AV48" s="1428" t="str">
        <f>IFERROR(VLOOKUP(CONCATENATE($B$8,"_",$B48),Data!$H$16:$BN$1015,AV$11,FALSE),"")</f>
        <v/>
      </c>
      <c r="AW48" s="1428" t="str">
        <f>IFERROR(VLOOKUP(CONCATENATE($B$8,"_",$B48),Data!$H$16:$BN$1015,AW$11,FALSE),"")</f>
        <v/>
      </c>
      <c r="AX48" s="1430" t="str">
        <f>IFERROR(VLOOKUP(CONCATENATE($B$8,"_",$B48),Data!$H$16:$BN$1015,AX$11,FALSE),"")</f>
        <v/>
      </c>
      <c r="AY48" s="1429" t="str">
        <f>IFERROR(VLOOKUP(CONCATENATE($B$8,"_",$B48),Data!$H$16:$BN$1015,AY$11,FALSE),"")</f>
        <v/>
      </c>
      <c r="AZ48" s="1429" t="str">
        <f>IFERROR(VLOOKUP(CONCATENATE($B$8,"_",$B48),Data!$H$16:$BN$1015,AZ$11,FALSE),"")</f>
        <v/>
      </c>
      <c r="BA48" s="1429" t="str">
        <f>IFERROR(VLOOKUP(CONCATENATE($B$8,"_",$B48),Data!$H$16:$BN$1015,BA$11,FALSE),"")</f>
        <v/>
      </c>
      <c r="BB48" s="1429" t="str">
        <f>IFERROR(VLOOKUP(CONCATENATE($B$8,"_",$B48),Data!$H$16:$BN$1015,BB$11,FALSE),"")</f>
        <v/>
      </c>
      <c r="BC48" s="1429" t="str">
        <f>IFERROR(VLOOKUP(CONCATENATE($B$8,"_",$B48),Data!$H$16:$BN$1015,BC$11,FALSE),"")</f>
        <v/>
      </c>
      <c r="BD48" s="1431" t="str">
        <f>IFERROR(VLOOKUP(CONCATENATE($B$8,"_",$B48),Data!$H$16:$BN$1015,BD$11,FALSE),"")</f>
        <v/>
      </c>
      <c r="BE48" s="1439">
        <f t="shared" si="1"/>
        <v>2035</v>
      </c>
      <c r="BF48" s="1428" t="str">
        <f>IFERROR(VLOOKUP(CONCATENATE($B$8,"_",$B48),Data!$BO$16:$ES$1015,BF$11,FALSE),"")</f>
        <v/>
      </c>
      <c r="BG48" s="1433" t="str">
        <f>IFERROR(VLOOKUP(CONCATENATE($B$8,"_",$B48),Data!$BO$16:$ES$1015,BG$11,FALSE),"")</f>
        <v/>
      </c>
      <c r="BH48" s="1435" t="str">
        <f>IFERROR(VLOOKUP(CONCATENATE($B$8,"_",$B48),Data!$BO$16:$ES$1015,BH$11,FALSE),"")</f>
        <v/>
      </c>
      <c r="BI48" s="1434" t="str">
        <f>IFERROR(VLOOKUP(CONCATENATE($B$8,"_",$B48),Data!$BO$16:$ES$1015,BI$11,FALSE),"")</f>
        <v/>
      </c>
      <c r="BJ48" s="1428" t="str">
        <f>IFERROR(VLOOKUP(CONCATENATE($B$8,"_",$B48),Data!$BO$16:$ES$1015,BJ$11,FALSE),"")</f>
        <v/>
      </c>
      <c r="BK48" s="1428" t="str">
        <f>IFERROR(VLOOKUP(CONCATENATE($B$8,"_",$B48),Data!$BO$16:$ES$1015,BK$11,FALSE),"")</f>
        <v/>
      </c>
      <c r="BL48" s="1428" t="str">
        <f>IFERROR(VLOOKUP(CONCATENATE($B$8,"_",$B48),Data!$BO$16:$ES$1015,BL$11,FALSE),"")</f>
        <v/>
      </c>
      <c r="BM48" s="1433" t="str">
        <f>IFERROR(VLOOKUP(CONCATENATE($B$8,"_",$B48),Data!$BO$16:$ES$1015,BM$11,FALSE),"")</f>
        <v/>
      </c>
      <c r="BN48" s="1433" t="str">
        <f>IFERROR(VLOOKUP(CONCATENATE($B$8,"_",$B48),Data!$BO$16:$ES$1015,BN$11,FALSE),"")</f>
        <v/>
      </c>
      <c r="BO48" s="1433" t="str">
        <f>IFERROR(VLOOKUP(CONCATENATE($B$8,"_",$B48),Data!$BO$16:$ES$1015,BO$11,FALSE),"")</f>
        <v/>
      </c>
      <c r="BP48" s="1433" t="str">
        <f>IFERROR(VLOOKUP(CONCATENATE($B$8,"_",$B48),Data!$BO$16:$ES$1015,BP$11,FALSE),"")</f>
        <v/>
      </c>
      <c r="BQ48" s="1433" t="str">
        <f>IFERROR(VLOOKUP(CONCATENATE($B$8,"_",$B48),Data!$BO$16:$ES$1015,BQ$11,FALSE),"")</f>
        <v/>
      </c>
      <c r="BR48" s="1434" t="str">
        <f>IFERROR(VLOOKUP(CONCATENATE($B$8,"_",$B48),Data!$BO$16:$ES$1015,BR$11,FALSE),"")</f>
        <v/>
      </c>
      <c r="BS48" s="1434" t="str">
        <f>IFERROR(VLOOKUP(CONCATENATE($B$8,"_",$B48),Data!$BO$16:$ES$1015,BS$11,FALSE),"")</f>
        <v/>
      </c>
      <c r="BT48" s="1434" t="str">
        <f>IFERROR(VLOOKUP(CONCATENATE($B$8,"_",$B48),Data!$BO$16:$ES$1015,BT$11,FALSE),"")</f>
        <v/>
      </c>
      <c r="BU48" s="1434" t="str">
        <f>IFERROR(VLOOKUP(CONCATENATE($B$8,"_",$B48),Data!$BO$16:$ES$1015,BU$11,FALSE),"")</f>
        <v/>
      </c>
      <c r="BV48" s="1434" t="str">
        <f>IFERROR(VLOOKUP(CONCATENATE($B$8,"_",$B48),Data!$BO$16:$ES$1015,BV$11,FALSE),"")</f>
        <v/>
      </c>
      <c r="BW48" s="1434" t="str">
        <f>IFERROR(VLOOKUP(CONCATENATE($B$8,"_",$B48),Data!$BO$16:$ES$1015,BW$11,FALSE),"")</f>
        <v/>
      </c>
      <c r="BX48" s="1434" t="str">
        <f>IFERROR(VLOOKUP(CONCATENATE($B$8,"_",$B48),Data!$BO$16:$ES$1015,BX$11,FALSE),"")</f>
        <v/>
      </c>
      <c r="BY48" s="1428" t="str">
        <f>IFERROR(VLOOKUP(CONCATENATE($B$8,"_",$B48),Data!$BO$16:$ES$1015,BY$11,FALSE),"")</f>
        <v/>
      </c>
      <c r="BZ48" s="1428" t="str">
        <f>IFERROR(VLOOKUP(CONCATENATE($B$8,"_",$B48),Data!$BO$16:$ES$1015,BZ$11,FALSE),"")</f>
        <v/>
      </c>
      <c r="CA48" s="1428" t="str">
        <f>IFERROR(VLOOKUP(CONCATENATE($B$8,"_",$B48),Data!$BO$16:$ES$1015,CA$11,FALSE),"")</f>
        <v/>
      </c>
      <c r="CB48" s="1428" t="str">
        <f>IFERROR(VLOOKUP(CONCATENATE($B$8,"_",$B48),Data!$BO$16:$ES$1015,CB$11,FALSE),"")</f>
        <v/>
      </c>
      <c r="CC48" s="1428" t="str">
        <f>IFERROR(VLOOKUP(CONCATENATE($B$8,"_",$B48),Data!$BO$16:$ES$1015,CC$11,FALSE),"")</f>
        <v/>
      </c>
      <c r="CD48" s="1428" t="str">
        <f>IFERROR(VLOOKUP(CONCATENATE($B$8,"_",$B48),Data!$BO$16:$ES$1015,CD$11,FALSE),"")</f>
        <v/>
      </c>
      <c r="CE48" s="1428" t="str">
        <f>IFERROR(VLOOKUP(CONCATENATE($B$8,"_",$B48),Data!$BO$16:$ES$1015,CE$11,FALSE),"")</f>
        <v/>
      </c>
      <c r="CF48" s="1428" t="str">
        <f>IFERROR(VLOOKUP(CONCATENATE($B$8,"_",$B48),Data!$BO$16:$ES$1015,CF$11,FALSE),"")</f>
        <v/>
      </c>
      <c r="CG48" s="1428" t="str">
        <f>IFERROR(VLOOKUP(CONCATENATE($B$8,"_",$B48),Data!$BO$16:$ES$1015,CG$11,FALSE),"")</f>
        <v/>
      </c>
      <c r="CH48" s="1428" t="str">
        <f>IFERROR(VLOOKUP(CONCATENATE($B$8,"_",$B48),Data!$BO$16:$ES$1015,CH$11,FALSE),"")</f>
        <v/>
      </c>
      <c r="CI48" s="1428" t="str">
        <f>IFERROR(VLOOKUP(CONCATENATE($B$8,"_",$B48),Data!$BO$16:$ES$1015,CI$11,FALSE),"")</f>
        <v/>
      </c>
      <c r="CJ48" s="1428" t="str">
        <f>IFERROR(VLOOKUP(CONCATENATE($B$8,"_",$B48),Data!$BO$16:$ES$1015,CJ$11,FALSE),"")</f>
        <v/>
      </c>
      <c r="CK48" s="1428" t="str">
        <f>IFERROR(VLOOKUP(CONCATENATE($B$8,"_",$B48),Data!$BO$16:$ES$1015,CK$11,FALSE),"")</f>
        <v/>
      </c>
      <c r="CL48" s="1428" t="str">
        <f>IFERROR(VLOOKUP(CONCATENATE($B$8,"_",$B48),Data!$BO$16:$ES$1015,CL$11,FALSE),"")</f>
        <v/>
      </c>
      <c r="CM48" s="1428" t="str">
        <f>IFERROR(VLOOKUP(CONCATENATE($B$8,"_",$B48),Data!$BO$16:$ES$1015,CM$11,FALSE),"")</f>
        <v/>
      </c>
      <c r="CN48" s="1428" t="str">
        <f>IFERROR(VLOOKUP(CONCATENATE($B$8,"_",$B48),Data!$BO$16:$ES$1015,CN$11,FALSE),"")</f>
        <v/>
      </c>
      <c r="CO48" s="1428" t="str">
        <f>IFERROR(VLOOKUP(CONCATENATE($B$8,"_",$B48),Data!$BO$16:$ES$1015,CO$11,FALSE),"")</f>
        <v/>
      </c>
      <c r="CP48" s="1433" t="str">
        <f>IFERROR(VLOOKUP(CONCATENATE($B$8,"_",$B48),Data!$BO$16:$ES$1015,CP$11,FALSE),"")</f>
        <v/>
      </c>
      <c r="CQ48" s="1433" t="str">
        <f>IFERROR(VLOOKUP(CONCATENATE($B$8,"_",$B48),Data!$BO$16:$ES$1015,CQ$11,FALSE),"")</f>
        <v/>
      </c>
      <c r="CR48" s="1433" t="str">
        <f>IFERROR(VLOOKUP(CONCATENATE($B$8,"_",$B48),Data!$BO$16:$ES$1015,CR$11,FALSE),"")</f>
        <v/>
      </c>
      <c r="CS48" s="1433" t="str">
        <f>IFERROR(VLOOKUP(CONCATENATE($B$8,"_",$B48),Data!$BO$16:$ES$1015,CS$11,FALSE),"")</f>
        <v/>
      </c>
      <c r="CT48" s="1433" t="str">
        <f>IFERROR(VLOOKUP(CONCATENATE($B$8,"_",$B48),Data!$BO$16:$ES$1015,CT$11,FALSE),"")</f>
        <v/>
      </c>
      <c r="CU48" s="1433" t="str">
        <f>IFERROR(VLOOKUP(CONCATENATE($B$8,"_",$B48),Data!$BO$16:$ES$1015,CU$11,FALSE),"")</f>
        <v/>
      </c>
      <c r="CV48" s="1433" t="str">
        <f>IFERROR(VLOOKUP(CONCATENATE($B$8,"_",$B48),Data!$BO$16:$ES$1015,CV$11,FALSE),"")</f>
        <v/>
      </c>
      <c r="CW48" s="1433" t="str">
        <f>IFERROR(VLOOKUP(CONCATENATE($B$8,"_",$B48),Data!$BO$16:$ES$1015,CW$11,FALSE),"")</f>
        <v/>
      </c>
      <c r="CX48" s="1433" t="str">
        <f>IFERROR(VLOOKUP(CONCATENATE($B$8,"_",$B48),Data!$BO$16:$ES$1015,CX$11,FALSE),"")</f>
        <v/>
      </c>
      <c r="CY48" s="1433" t="str">
        <f>IFERROR(VLOOKUP(CONCATENATE($B$8,"_",$B48),Data!$BO$16:$ES$1015,CY$11,FALSE),"")</f>
        <v/>
      </c>
      <c r="CZ48" s="1433" t="str">
        <f>IFERROR(VLOOKUP(CONCATENATE($B$8,"_",$B48),Data!$BO$16:$ES$1015,CZ$11,FALSE),"")</f>
        <v/>
      </c>
      <c r="DA48" s="1433" t="str">
        <f>IFERROR(VLOOKUP(CONCATENATE($B$8,"_",$B48),Data!$BO$16:$ES$1015,DA$11,FALSE),"")</f>
        <v/>
      </c>
      <c r="DB48" s="1433" t="str">
        <f>IFERROR(VLOOKUP(CONCATENATE($B$8,"_",$B48),Data!$BO$16:$ES$1015,DB$11,FALSE),"")</f>
        <v/>
      </c>
      <c r="DC48" s="1433" t="str">
        <f>IFERROR(VLOOKUP(CONCATENATE($B$8,"_",$B48),Data!$BO$16:$ES$1015,DC$11,FALSE),"")</f>
        <v/>
      </c>
      <c r="DD48" s="1433" t="str">
        <f>IFERROR(VLOOKUP(CONCATENATE($B$8,"_",$B48),Data!$BO$16:$ES$1015,DD$11,FALSE),"")</f>
        <v/>
      </c>
      <c r="DE48" s="1433" t="str">
        <f>IFERROR(VLOOKUP(CONCATENATE($B$8,"_",$B48),Data!$BO$16:$ES$1015,DE$11,FALSE),"")</f>
        <v/>
      </c>
      <c r="DF48" s="1433" t="str">
        <f>IFERROR(VLOOKUP(CONCATENATE($B$8,"_",$B48),Data!$BO$16:$ES$1015,DF$11,FALSE),"")</f>
        <v/>
      </c>
      <c r="DG48" s="1433" t="str">
        <f>IFERROR(VLOOKUP(CONCATENATE($B$8,"_",$B48),Data!$BO$16:$ES$1015,DG$11,FALSE),"")</f>
        <v/>
      </c>
      <c r="DH48" s="1433" t="str">
        <f>IFERROR(VLOOKUP(CONCATENATE($B$8,"_",$B48),Data!$BO$16:$ES$1015,DH$11,FALSE),"")</f>
        <v/>
      </c>
      <c r="DI48" s="1433" t="str">
        <f>IFERROR(VLOOKUP(CONCATENATE($B$8,"_",$B48),Data!$BO$16:$ES$1015,DI$11,FALSE),"")</f>
        <v/>
      </c>
      <c r="DJ48" s="1433" t="str">
        <f>IFERROR(VLOOKUP(CONCATENATE($B$8,"_",$B48),Data!$BO$16:$ES$1015,DJ$11,FALSE),"")</f>
        <v/>
      </c>
      <c r="DK48" s="1433" t="str">
        <f>IFERROR(VLOOKUP(CONCATENATE($B$8,"_",$B48),Data!$BO$16:$ES$1015,DK$11,FALSE),"")</f>
        <v/>
      </c>
      <c r="DL48" s="1435" t="str">
        <f>IFERROR(VLOOKUP(CONCATENATE($B$8,"_",$B48),Data!$BO$16:$ES$1015,DL$11,FALSE),"")</f>
        <v/>
      </c>
      <c r="DM48" s="1434" t="str">
        <f>IFERROR(VLOOKUP(CONCATENATE($B$8,"_",$B48),Data!$BO$16:$ES$1015,DM$11,FALSE),"")</f>
        <v/>
      </c>
      <c r="DN48" s="1434" t="str">
        <f>IFERROR(VLOOKUP(CONCATENATE($B$8,"_",$B48),Data!$BO$16:$ES$1015,DN$11,FALSE),"")</f>
        <v/>
      </c>
      <c r="DO48" s="1434" t="str">
        <f>IFERROR(VLOOKUP(CONCATENATE($B$8,"_",$B48),Data!$BO$16:$ES$1015,DO$11,FALSE),"")</f>
        <v/>
      </c>
      <c r="DP48" s="1434" t="str">
        <f>IFERROR(VLOOKUP(CONCATENATE($B$8,"_",$B48),Data!$BO$16:$ES$1015,DP$11,FALSE),"")</f>
        <v/>
      </c>
      <c r="DQ48" s="1434" t="str">
        <f>IFERROR(VLOOKUP(CONCATENATE($B$8,"_",$B48),Data!$BO$16:$ES$1015,DQ$11,FALSE),"")</f>
        <v/>
      </c>
      <c r="DR48" s="1434" t="str">
        <f>IFERROR(VLOOKUP(CONCATENATE($B$8,"_",$B48),Data!$BO$16:$ES$1015,DR$11,FALSE),"")</f>
        <v/>
      </c>
      <c r="DS48" s="1434" t="str">
        <f>IFERROR(VLOOKUP(CONCATENATE($B$8,"_",$B48),Data!$BO$16:$ES$1015,DS$11,FALSE),"")</f>
        <v/>
      </c>
      <c r="DT48" s="1434" t="str">
        <f>IFERROR(VLOOKUP(CONCATENATE($B$8,"_",$B48),Data!$BO$16:$ES$1015,DT$11,FALSE),"")</f>
        <v/>
      </c>
      <c r="DU48" s="1434" t="str">
        <f>IFERROR(VLOOKUP(CONCATENATE($B$8,"_",$B48),Data!$BO$16:$ES$1015,DU$11,FALSE),"")</f>
        <v/>
      </c>
      <c r="DV48" s="1434" t="str">
        <f>IFERROR(VLOOKUP(CONCATENATE($B$8,"_",$B48),Data!$BO$16:$ES$1015,DV$11,FALSE),"")</f>
        <v/>
      </c>
      <c r="DW48" s="1434" t="str">
        <f>IFERROR(VLOOKUP(CONCATENATE($B$8,"_",$B48),Data!$BO$16:$ES$1015,DW$11,FALSE),"")</f>
        <v/>
      </c>
      <c r="DX48" s="1434" t="str">
        <f>IFERROR(VLOOKUP(CONCATENATE($B$8,"_",$B48),Data!$BO$16:$ES$1015,DX$11,FALSE),"")</f>
        <v/>
      </c>
      <c r="DY48" s="1434" t="str">
        <f>IFERROR(VLOOKUP(CONCATENATE($B$8,"_",$B48),Data!$BO$16:$ES$1015,DY$11,FALSE),"")</f>
        <v/>
      </c>
      <c r="DZ48" s="1434" t="str">
        <f>IFERROR(VLOOKUP(CONCATENATE($B$8,"_",$B48),Data!$BO$16:$ES$1015,DZ$11,FALSE),"")</f>
        <v/>
      </c>
      <c r="EA48" s="1434" t="str">
        <f>IFERROR(VLOOKUP(CONCATENATE($B$8,"_",$B48),Data!$BO$16:$ES$1015,EA$11,FALSE),"")</f>
        <v/>
      </c>
      <c r="EB48" s="1434" t="str">
        <f>IFERROR(VLOOKUP(CONCATENATE($B$8,"_",$B48),Data!$BO$16:$ES$1015,EB$11,FALSE),"")</f>
        <v/>
      </c>
      <c r="EC48" s="1434" t="str">
        <f>IFERROR(VLOOKUP(CONCATENATE($B$8,"_",$B48),Data!$BO$16:$ES$1015,EC$11,FALSE),"")</f>
        <v/>
      </c>
      <c r="ED48" s="1434" t="str">
        <f>IFERROR(VLOOKUP(CONCATENATE($B$8,"_",$B48),Data!$BO$16:$ES$1015,ED$11,FALSE),"")</f>
        <v/>
      </c>
      <c r="EE48" s="1434" t="str">
        <f>IFERROR(VLOOKUP(CONCATENATE($B$8,"_",$B48),Data!$BO$16:$ES$1015,EE$11,FALSE),"")</f>
        <v/>
      </c>
      <c r="EF48" s="1434" t="str">
        <f>IFERROR(VLOOKUP(CONCATENATE($B$8,"_",$B48),Data!$BO$16:$ES$1015,EF$11,FALSE),"")</f>
        <v/>
      </c>
      <c r="EG48" s="1434" t="str">
        <f>IFERROR(VLOOKUP(CONCATENATE($B$8,"_",$B48),Data!$BO$16:$ES$1015,EG$11,FALSE),"")</f>
        <v/>
      </c>
      <c r="EH48" s="1434" t="str">
        <f>IFERROR(VLOOKUP(CONCATENATE($B$8,"_",$B48),Data!$BO$16:$ES$1015,EH$11,FALSE),"")</f>
        <v/>
      </c>
      <c r="EI48" s="1434" t="str">
        <f>IFERROR(VLOOKUP(CONCATENATE($B$8,"_",$B48),Data!$BO$16:$ES$1015,EI$11,FALSE),"")</f>
        <v/>
      </c>
      <c r="EK48" s="1437"/>
    </row>
    <row r="49" spans="1:141" s="1436" customFormat="1" ht="15" customHeight="1">
      <c r="A49" s="1438">
        <v>36</v>
      </c>
      <c r="B49" s="1738">
        <f>IF($B$13+A49&lt;=Progress!$D$18,$B$13+A49,"")</f>
        <v>2036</v>
      </c>
      <c r="C49" s="1737" t="str">
        <f>IFERROR(VLOOKUP(CONCATENATE($B$8,"_",$B49),Data!$H$16:$BN$1015,C$11,FALSE),"")</f>
        <v/>
      </c>
      <c r="D49" s="1428" t="str">
        <f>IFERROR(VLOOKUP(CONCATENATE($B$8,"_",$B49),Data!$H$16:$BN$1015,D$11,FALSE),"")</f>
        <v/>
      </c>
      <c r="E49" s="1429" t="str">
        <f>IFERROR(VLOOKUP(CONCATENATE($B$8,"_",$B49),Data!$H$16:$BN$1015,E$11,FALSE),"")</f>
        <v/>
      </c>
      <c r="F49" s="1428" t="str">
        <f>IFERROR(VLOOKUP(CONCATENATE($B$8,"_",$B49),Data!$H$16:$BN$1015,F$11,FALSE),"")</f>
        <v/>
      </c>
      <c r="G49" s="1428" t="str">
        <f>IFERROR(VLOOKUP(CONCATENATE($B$8,"_",$B49),Data!$H$16:$BN$1015,G$11,FALSE),"")</f>
        <v/>
      </c>
      <c r="H49" s="1429" t="str">
        <f>IFERROR(VLOOKUP(CONCATENATE($B$8,"_",$B49),Data!$H$16:$BN$1015,H$11,FALSE),"")</f>
        <v/>
      </c>
      <c r="I49" s="1428" t="str">
        <f>IFERROR(VLOOKUP(CONCATENATE($B$8,"_",$B49),Data!$H$16:$BN$1015,I$11,FALSE),"")</f>
        <v/>
      </c>
      <c r="J49" s="1428" t="str">
        <f>IFERROR(VLOOKUP(CONCATENATE($B$8,"_",$B49),Data!$H$16:$BN$1015,J$11,FALSE),"")</f>
        <v/>
      </c>
      <c r="K49" s="1429" t="str">
        <f>IFERROR(VLOOKUP(CONCATENATE($B$8,"_",$B49),Data!$H$16:$BN$1015,K$11,FALSE),"")</f>
        <v/>
      </c>
      <c r="L49" s="1428" t="str">
        <f>IFERROR(VLOOKUP(CONCATENATE($B$8,"_",$B49),Data!$H$16:$BN$1015,L$11,FALSE),"")</f>
        <v/>
      </c>
      <c r="M49" s="1428" t="str">
        <f>IFERROR(VLOOKUP(CONCATENATE($B$8,"_",$B49),Data!$H$16:$BN$1015,M$11,FALSE),"")</f>
        <v/>
      </c>
      <c r="N49" s="1429" t="str">
        <f>IFERROR(VLOOKUP(CONCATENATE($B$8,"_",$B49),Data!$H$16:$BN$1015,N$11,FALSE),"")</f>
        <v/>
      </c>
      <c r="O49" s="1430" t="str">
        <f>IFERROR(VLOOKUP(CONCATENATE($B$8,"_",$B49),Data!$H$16:$BN$1015,O$11,FALSE),"")</f>
        <v/>
      </c>
      <c r="P49" s="1428" t="str">
        <f>IFERROR(VLOOKUP(CONCATENATE($B$8,"_",$B49),Data!$H$16:$BN$1015,P$11,FALSE),"")</f>
        <v/>
      </c>
      <c r="Q49" s="1428" t="str">
        <f>IFERROR(VLOOKUP(CONCATENATE($B$8,"_",$B49),Data!$H$16:$BN$1015,Q$11,FALSE),"")</f>
        <v/>
      </c>
      <c r="R49" s="1429" t="str">
        <f>IFERROR(VLOOKUP(CONCATENATE($B$8,"_",$B49),Data!$H$16:$BN$1015,R$11,FALSE),"")</f>
        <v/>
      </c>
      <c r="S49" s="1428" t="str">
        <f>IFERROR(VLOOKUP(CONCATENATE($B$8,"_",$B49),Data!$H$16:$BN$1015,S$11,FALSE),"")</f>
        <v/>
      </c>
      <c r="T49" s="1428" t="str">
        <f>IFERROR(VLOOKUP(CONCATENATE($B$8,"_",$B49),Data!$H$16:$BN$1015,T$11,FALSE),"")</f>
        <v/>
      </c>
      <c r="U49" s="1429" t="str">
        <f>IFERROR(VLOOKUP(CONCATENATE($B$8,"_",$B49),Data!$H$16:$BN$1015,U$11,FALSE),"")</f>
        <v/>
      </c>
      <c r="V49" s="1428" t="str">
        <f>IFERROR(VLOOKUP(CONCATENATE($B$8,"_",$B49),Data!$H$16:$BN$1015,V$11,FALSE),"")</f>
        <v/>
      </c>
      <c r="W49" s="1428" t="str">
        <f>IFERROR(VLOOKUP(CONCATENATE($B$8,"_",$B49),Data!$H$16:$BN$1015,W$11,FALSE),"")</f>
        <v/>
      </c>
      <c r="X49" s="1428" t="str">
        <f>IFERROR(VLOOKUP(CONCATENATE($B$8,"_",$B49),Data!$H$16:$BN$1015,X$11,FALSE),"")</f>
        <v/>
      </c>
      <c r="Y49" s="1428" t="str">
        <f>IFERROR(VLOOKUP(CONCATENATE($B$8,"_",$B49),Data!$H$16:$BN$1015,Y$11,FALSE),"")</f>
        <v/>
      </c>
      <c r="Z49" s="1429" t="str">
        <f>IFERROR(VLOOKUP(CONCATENATE($B$8,"_",$B49),Data!$H$16:$BN$1015,Z$11,FALSE),"")</f>
        <v/>
      </c>
      <c r="AA49" s="1428" t="str">
        <f>IFERROR(VLOOKUP(CONCATENATE($B$8,"_",$B49),Data!$H$16:$BN$1015,AA$11,FALSE),"")</f>
        <v/>
      </c>
      <c r="AB49" s="1428" t="str">
        <f>IFERROR(VLOOKUP(CONCATENATE($B$8,"_",$B49),Data!$H$16:$BN$1015,AB$11,FALSE),"")</f>
        <v/>
      </c>
      <c r="AC49" s="1429" t="str">
        <f>IFERROR(VLOOKUP(CONCATENATE($B$8,"_",$B49),Data!$H$16:$BN$1015,AC$11,FALSE),"")</f>
        <v/>
      </c>
      <c r="AD49" s="1428" t="str">
        <f>IFERROR(VLOOKUP(CONCATENATE($B$8,"_",$B49),Data!$H$16:$BN$1015,AD$11,FALSE),"")</f>
        <v/>
      </c>
      <c r="AE49" s="1428" t="str">
        <f>IFERROR(VLOOKUP(CONCATENATE($B$8,"_",$B49),Data!$H$16:$BN$1015,AE$11,FALSE),"")</f>
        <v/>
      </c>
      <c r="AF49" s="1429" t="str">
        <f>IFERROR(VLOOKUP(CONCATENATE($B$8,"_",$B49),Data!$H$16:$BN$1015,AF$11,FALSE),"")</f>
        <v/>
      </c>
      <c r="AG49" s="1428" t="str">
        <f>IFERROR(VLOOKUP(CONCATENATE($B$8,"_",$B49),Data!$H$16:$BN$1015,AG$11,FALSE),"")</f>
        <v/>
      </c>
      <c r="AH49" s="1428" t="str">
        <f>IFERROR(VLOOKUP(CONCATENATE($B$8,"_",$B49),Data!$H$16:$BN$1015,AH$11,FALSE),"")</f>
        <v/>
      </c>
      <c r="AI49" s="1429" t="str">
        <f>IFERROR(VLOOKUP(CONCATENATE($B$8,"_",$B49),Data!$H$16:$BN$1015,AI$11,FALSE),"")</f>
        <v/>
      </c>
      <c r="AJ49" s="1428" t="str">
        <f>IFERROR(VLOOKUP(CONCATENATE($B$8,"_",$B49),Data!$H$16:$BN$1015,AJ$11,FALSE),"")</f>
        <v/>
      </c>
      <c r="AK49" s="1428" t="str">
        <f>IFERROR(VLOOKUP(CONCATENATE($B$8,"_",$B49),Data!$H$16:$BN$1015,AK$11,FALSE),"")</f>
        <v/>
      </c>
      <c r="AL49" s="1429" t="str">
        <f>IFERROR(VLOOKUP(CONCATENATE($B$8,"_",$B49),Data!$H$16:$BN$1015,AL$11,FALSE),"")</f>
        <v/>
      </c>
      <c r="AM49" s="1428" t="str">
        <f>IFERROR(VLOOKUP(CONCATENATE($B$8,"_",$B49),Data!$H$16:$BN$1015,AM$11,FALSE),"")</f>
        <v/>
      </c>
      <c r="AN49" s="1428" t="str">
        <f>IFERROR(VLOOKUP(CONCATENATE($B$8,"_",$B49),Data!$H$16:$BN$1015,AN$11,FALSE),"")</f>
        <v/>
      </c>
      <c r="AO49" s="1430" t="str">
        <f>IFERROR(VLOOKUP(CONCATENATE($B$8,"_",$B49),Data!$H$16:$BN$1015,AO$11,FALSE),"")</f>
        <v/>
      </c>
      <c r="AP49" s="1428" t="str">
        <f>IFERROR(VLOOKUP(CONCATENATE($B$8,"_",$B49),Data!$H$16:$BN$1015,AP$11,FALSE),"")</f>
        <v/>
      </c>
      <c r="AQ49" s="1428" t="str">
        <f>IFERROR(VLOOKUP(CONCATENATE($B$8,"_",$B49),Data!$H$16:$BN$1015,AQ$11,FALSE),"")</f>
        <v/>
      </c>
      <c r="AR49" s="1430" t="str">
        <f>IFERROR(VLOOKUP(CONCATENATE($B$8,"_",$B49),Data!$H$16:$BN$1015,AR$11,FALSE),"")</f>
        <v/>
      </c>
      <c r="AS49" s="1428" t="str">
        <f>IFERROR(VLOOKUP(CONCATENATE($B$8,"_",$B49),Data!$H$16:$BN$1015,AS$11,FALSE),"")</f>
        <v/>
      </c>
      <c r="AT49" s="1428" t="str">
        <f>IFERROR(VLOOKUP(CONCATENATE($B$8,"_",$B49),Data!$H$16:$BN$1015,AT$11,FALSE),"")</f>
        <v/>
      </c>
      <c r="AU49" s="1430" t="str">
        <f>IFERROR(VLOOKUP(CONCATENATE($B$8,"_",$B49),Data!$H$16:$BN$1015,AU$11,FALSE),"")</f>
        <v/>
      </c>
      <c r="AV49" s="1428" t="str">
        <f>IFERROR(VLOOKUP(CONCATENATE($B$8,"_",$B49),Data!$H$16:$BN$1015,AV$11,FALSE),"")</f>
        <v/>
      </c>
      <c r="AW49" s="1428" t="str">
        <f>IFERROR(VLOOKUP(CONCATENATE($B$8,"_",$B49),Data!$H$16:$BN$1015,AW$11,FALSE),"")</f>
        <v/>
      </c>
      <c r="AX49" s="1430" t="str">
        <f>IFERROR(VLOOKUP(CONCATENATE($B$8,"_",$B49),Data!$H$16:$BN$1015,AX$11,FALSE),"")</f>
        <v/>
      </c>
      <c r="AY49" s="1429" t="str">
        <f>IFERROR(VLOOKUP(CONCATENATE($B$8,"_",$B49),Data!$H$16:$BN$1015,AY$11,FALSE),"")</f>
        <v/>
      </c>
      <c r="AZ49" s="1429" t="str">
        <f>IFERROR(VLOOKUP(CONCATENATE($B$8,"_",$B49),Data!$H$16:$BN$1015,AZ$11,FALSE),"")</f>
        <v/>
      </c>
      <c r="BA49" s="1429" t="str">
        <f>IFERROR(VLOOKUP(CONCATENATE($B$8,"_",$B49),Data!$H$16:$BN$1015,BA$11,FALSE),"")</f>
        <v/>
      </c>
      <c r="BB49" s="1429" t="str">
        <f>IFERROR(VLOOKUP(CONCATENATE($B$8,"_",$B49),Data!$H$16:$BN$1015,BB$11,FALSE),"")</f>
        <v/>
      </c>
      <c r="BC49" s="1429" t="str">
        <f>IFERROR(VLOOKUP(CONCATENATE($B$8,"_",$B49),Data!$H$16:$BN$1015,BC$11,FALSE),"")</f>
        <v/>
      </c>
      <c r="BD49" s="1431" t="str">
        <f>IFERROR(VLOOKUP(CONCATENATE($B$8,"_",$B49),Data!$H$16:$BN$1015,BD$11,FALSE),"")</f>
        <v/>
      </c>
      <c r="BE49" s="1439">
        <f t="shared" si="1"/>
        <v>2036</v>
      </c>
      <c r="BF49" s="1428" t="str">
        <f>IFERROR(VLOOKUP(CONCATENATE($B$8,"_",$B49),Data!$BO$16:$ES$1015,BF$11,FALSE),"")</f>
        <v/>
      </c>
      <c r="BG49" s="1433" t="str">
        <f>IFERROR(VLOOKUP(CONCATENATE($B$8,"_",$B49),Data!$BO$16:$ES$1015,BG$11,FALSE),"")</f>
        <v/>
      </c>
      <c r="BH49" s="1435" t="str">
        <f>IFERROR(VLOOKUP(CONCATENATE($B$8,"_",$B49),Data!$BO$16:$ES$1015,BH$11,FALSE),"")</f>
        <v/>
      </c>
      <c r="BI49" s="1434" t="str">
        <f>IFERROR(VLOOKUP(CONCATENATE($B$8,"_",$B49),Data!$BO$16:$ES$1015,BI$11,FALSE),"")</f>
        <v/>
      </c>
      <c r="BJ49" s="1428" t="str">
        <f>IFERROR(VLOOKUP(CONCATENATE($B$8,"_",$B49),Data!$BO$16:$ES$1015,BJ$11,FALSE),"")</f>
        <v/>
      </c>
      <c r="BK49" s="1428" t="str">
        <f>IFERROR(VLOOKUP(CONCATENATE($B$8,"_",$B49),Data!$BO$16:$ES$1015,BK$11,FALSE),"")</f>
        <v/>
      </c>
      <c r="BL49" s="1428" t="str">
        <f>IFERROR(VLOOKUP(CONCATENATE($B$8,"_",$B49),Data!$BO$16:$ES$1015,BL$11,FALSE),"")</f>
        <v/>
      </c>
      <c r="BM49" s="1433" t="str">
        <f>IFERROR(VLOOKUP(CONCATENATE($B$8,"_",$B49),Data!$BO$16:$ES$1015,BM$11,FALSE),"")</f>
        <v/>
      </c>
      <c r="BN49" s="1433" t="str">
        <f>IFERROR(VLOOKUP(CONCATENATE($B$8,"_",$B49),Data!$BO$16:$ES$1015,BN$11,FALSE),"")</f>
        <v/>
      </c>
      <c r="BO49" s="1433" t="str">
        <f>IFERROR(VLOOKUP(CONCATENATE($B$8,"_",$B49),Data!$BO$16:$ES$1015,BO$11,FALSE),"")</f>
        <v/>
      </c>
      <c r="BP49" s="1433" t="str">
        <f>IFERROR(VLOOKUP(CONCATENATE($B$8,"_",$B49),Data!$BO$16:$ES$1015,BP$11,FALSE),"")</f>
        <v/>
      </c>
      <c r="BQ49" s="1433" t="str">
        <f>IFERROR(VLOOKUP(CONCATENATE($B$8,"_",$B49),Data!$BO$16:$ES$1015,BQ$11,FALSE),"")</f>
        <v/>
      </c>
      <c r="BR49" s="1434" t="str">
        <f>IFERROR(VLOOKUP(CONCATENATE($B$8,"_",$B49),Data!$BO$16:$ES$1015,BR$11,FALSE),"")</f>
        <v/>
      </c>
      <c r="BS49" s="1434" t="str">
        <f>IFERROR(VLOOKUP(CONCATENATE($B$8,"_",$B49),Data!$BO$16:$ES$1015,BS$11,FALSE),"")</f>
        <v/>
      </c>
      <c r="BT49" s="1434" t="str">
        <f>IFERROR(VLOOKUP(CONCATENATE($B$8,"_",$B49),Data!$BO$16:$ES$1015,BT$11,FALSE),"")</f>
        <v/>
      </c>
      <c r="BU49" s="1434" t="str">
        <f>IFERROR(VLOOKUP(CONCATENATE($B$8,"_",$B49),Data!$BO$16:$ES$1015,BU$11,FALSE),"")</f>
        <v/>
      </c>
      <c r="BV49" s="1434" t="str">
        <f>IFERROR(VLOOKUP(CONCATENATE($B$8,"_",$B49),Data!$BO$16:$ES$1015,BV$11,FALSE),"")</f>
        <v/>
      </c>
      <c r="BW49" s="1434" t="str">
        <f>IFERROR(VLOOKUP(CONCATENATE($B$8,"_",$B49),Data!$BO$16:$ES$1015,BW$11,FALSE),"")</f>
        <v/>
      </c>
      <c r="BX49" s="1434" t="str">
        <f>IFERROR(VLOOKUP(CONCATENATE($B$8,"_",$B49),Data!$BO$16:$ES$1015,BX$11,FALSE),"")</f>
        <v/>
      </c>
      <c r="BY49" s="1428" t="str">
        <f>IFERROR(VLOOKUP(CONCATENATE($B$8,"_",$B49),Data!$BO$16:$ES$1015,BY$11,FALSE),"")</f>
        <v/>
      </c>
      <c r="BZ49" s="1428" t="str">
        <f>IFERROR(VLOOKUP(CONCATENATE($B$8,"_",$B49),Data!$BO$16:$ES$1015,BZ$11,FALSE),"")</f>
        <v/>
      </c>
      <c r="CA49" s="1428" t="str">
        <f>IFERROR(VLOOKUP(CONCATENATE($B$8,"_",$B49),Data!$BO$16:$ES$1015,CA$11,FALSE),"")</f>
        <v/>
      </c>
      <c r="CB49" s="1428" t="str">
        <f>IFERROR(VLOOKUP(CONCATENATE($B$8,"_",$B49),Data!$BO$16:$ES$1015,CB$11,FALSE),"")</f>
        <v/>
      </c>
      <c r="CC49" s="1428" t="str">
        <f>IFERROR(VLOOKUP(CONCATENATE($B$8,"_",$B49),Data!$BO$16:$ES$1015,CC$11,FALSE),"")</f>
        <v/>
      </c>
      <c r="CD49" s="1428" t="str">
        <f>IFERROR(VLOOKUP(CONCATENATE($B$8,"_",$B49),Data!$BO$16:$ES$1015,CD$11,FALSE),"")</f>
        <v/>
      </c>
      <c r="CE49" s="1428" t="str">
        <f>IFERROR(VLOOKUP(CONCATENATE($B$8,"_",$B49),Data!$BO$16:$ES$1015,CE$11,FALSE),"")</f>
        <v/>
      </c>
      <c r="CF49" s="1428" t="str">
        <f>IFERROR(VLOOKUP(CONCATENATE($B$8,"_",$B49),Data!$BO$16:$ES$1015,CF$11,FALSE),"")</f>
        <v/>
      </c>
      <c r="CG49" s="1428" t="str">
        <f>IFERROR(VLOOKUP(CONCATENATE($B$8,"_",$B49),Data!$BO$16:$ES$1015,CG$11,FALSE),"")</f>
        <v/>
      </c>
      <c r="CH49" s="1428" t="str">
        <f>IFERROR(VLOOKUP(CONCATENATE($B$8,"_",$B49),Data!$BO$16:$ES$1015,CH$11,FALSE),"")</f>
        <v/>
      </c>
      <c r="CI49" s="1428" t="str">
        <f>IFERROR(VLOOKUP(CONCATENATE($B$8,"_",$B49),Data!$BO$16:$ES$1015,CI$11,FALSE),"")</f>
        <v/>
      </c>
      <c r="CJ49" s="1428" t="str">
        <f>IFERROR(VLOOKUP(CONCATENATE($B$8,"_",$B49),Data!$BO$16:$ES$1015,CJ$11,FALSE),"")</f>
        <v/>
      </c>
      <c r="CK49" s="1428" t="str">
        <f>IFERROR(VLOOKUP(CONCATENATE($B$8,"_",$B49),Data!$BO$16:$ES$1015,CK$11,FALSE),"")</f>
        <v/>
      </c>
      <c r="CL49" s="1428" t="str">
        <f>IFERROR(VLOOKUP(CONCATENATE($B$8,"_",$B49),Data!$BO$16:$ES$1015,CL$11,FALSE),"")</f>
        <v/>
      </c>
      <c r="CM49" s="1428" t="str">
        <f>IFERROR(VLOOKUP(CONCATENATE($B$8,"_",$B49),Data!$BO$16:$ES$1015,CM$11,FALSE),"")</f>
        <v/>
      </c>
      <c r="CN49" s="1428" t="str">
        <f>IFERROR(VLOOKUP(CONCATENATE($B$8,"_",$B49),Data!$BO$16:$ES$1015,CN$11,FALSE),"")</f>
        <v/>
      </c>
      <c r="CO49" s="1428" t="str">
        <f>IFERROR(VLOOKUP(CONCATENATE($B$8,"_",$B49),Data!$BO$16:$ES$1015,CO$11,FALSE),"")</f>
        <v/>
      </c>
      <c r="CP49" s="1433" t="str">
        <f>IFERROR(VLOOKUP(CONCATENATE($B$8,"_",$B49),Data!$BO$16:$ES$1015,CP$11,FALSE),"")</f>
        <v/>
      </c>
      <c r="CQ49" s="1433" t="str">
        <f>IFERROR(VLOOKUP(CONCATENATE($B$8,"_",$B49),Data!$BO$16:$ES$1015,CQ$11,FALSE),"")</f>
        <v/>
      </c>
      <c r="CR49" s="1433" t="str">
        <f>IFERROR(VLOOKUP(CONCATENATE($B$8,"_",$B49),Data!$BO$16:$ES$1015,CR$11,FALSE),"")</f>
        <v/>
      </c>
      <c r="CS49" s="1433" t="str">
        <f>IFERROR(VLOOKUP(CONCATENATE($B$8,"_",$B49),Data!$BO$16:$ES$1015,CS$11,FALSE),"")</f>
        <v/>
      </c>
      <c r="CT49" s="1433" t="str">
        <f>IFERROR(VLOOKUP(CONCATENATE($B$8,"_",$B49),Data!$BO$16:$ES$1015,CT$11,FALSE),"")</f>
        <v/>
      </c>
      <c r="CU49" s="1433" t="str">
        <f>IFERROR(VLOOKUP(CONCATENATE($B$8,"_",$B49),Data!$BO$16:$ES$1015,CU$11,FALSE),"")</f>
        <v/>
      </c>
      <c r="CV49" s="1433" t="str">
        <f>IFERROR(VLOOKUP(CONCATENATE($B$8,"_",$B49),Data!$BO$16:$ES$1015,CV$11,FALSE),"")</f>
        <v/>
      </c>
      <c r="CW49" s="1433" t="str">
        <f>IFERROR(VLOOKUP(CONCATENATE($B$8,"_",$B49),Data!$BO$16:$ES$1015,CW$11,FALSE),"")</f>
        <v/>
      </c>
      <c r="CX49" s="1433" t="str">
        <f>IFERROR(VLOOKUP(CONCATENATE($B$8,"_",$B49),Data!$BO$16:$ES$1015,CX$11,FALSE),"")</f>
        <v/>
      </c>
      <c r="CY49" s="1433" t="str">
        <f>IFERROR(VLOOKUP(CONCATENATE($B$8,"_",$B49),Data!$BO$16:$ES$1015,CY$11,FALSE),"")</f>
        <v/>
      </c>
      <c r="CZ49" s="1433" t="str">
        <f>IFERROR(VLOOKUP(CONCATENATE($B$8,"_",$B49),Data!$BO$16:$ES$1015,CZ$11,FALSE),"")</f>
        <v/>
      </c>
      <c r="DA49" s="1433" t="str">
        <f>IFERROR(VLOOKUP(CONCATENATE($B$8,"_",$B49),Data!$BO$16:$ES$1015,DA$11,FALSE),"")</f>
        <v/>
      </c>
      <c r="DB49" s="1433" t="str">
        <f>IFERROR(VLOOKUP(CONCATENATE($B$8,"_",$B49),Data!$BO$16:$ES$1015,DB$11,FALSE),"")</f>
        <v/>
      </c>
      <c r="DC49" s="1433" t="str">
        <f>IFERROR(VLOOKUP(CONCATENATE($B$8,"_",$B49),Data!$BO$16:$ES$1015,DC$11,FALSE),"")</f>
        <v/>
      </c>
      <c r="DD49" s="1433" t="str">
        <f>IFERROR(VLOOKUP(CONCATENATE($B$8,"_",$B49),Data!$BO$16:$ES$1015,DD$11,FALSE),"")</f>
        <v/>
      </c>
      <c r="DE49" s="1433" t="str">
        <f>IFERROR(VLOOKUP(CONCATENATE($B$8,"_",$B49),Data!$BO$16:$ES$1015,DE$11,FALSE),"")</f>
        <v/>
      </c>
      <c r="DF49" s="1433" t="str">
        <f>IFERROR(VLOOKUP(CONCATENATE($B$8,"_",$B49),Data!$BO$16:$ES$1015,DF$11,FALSE),"")</f>
        <v/>
      </c>
      <c r="DG49" s="1433" t="str">
        <f>IFERROR(VLOOKUP(CONCATENATE($B$8,"_",$B49),Data!$BO$16:$ES$1015,DG$11,FALSE),"")</f>
        <v/>
      </c>
      <c r="DH49" s="1433" t="str">
        <f>IFERROR(VLOOKUP(CONCATENATE($B$8,"_",$B49),Data!$BO$16:$ES$1015,DH$11,FALSE),"")</f>
        <v/>
      </c>
      <c r="DI49" s="1433" t="str">
        <f>IFERROR(VLOOKUP(CONCATENATE($B$8,"_",$B49),Data!$BO$16:$ES$1015,DI$11,FALSE),"")</f>
        <v/>
      </c>
      <c r="DJ49" s="1433" t="str">
        <f>IFERROR(VLOOKUP(CONCATENATE($B$8,"_",$B49),Data!$BO$16:$ES$1015,DJ$11,FALSE),"")</f>
        <v/>
      </c>
      <c r="DK49" s="1433" t="str">
        <f>IFERROR(VLOOKUP(CONCATENATE($B$8,"_",$B49),Data!$BO$16:$ES$1015,DK$11,FALSE),"")</f>
        <v/>
      </c>
      <c r="DL49" s="1435" t="str">
        <f>IFERROR(VLOOKUP(CONCATENATE($B$8,"_",$B49),Data!$BO$16:$ES$1015,DL$11,FALSE),"")</f>
        <v/>
      </c>
      <c r="DM49" s="1434" t="str">
        <f>IFERROR(VLOOKUP(CONCATENATE($B$8,"_",$B49),Data!$BO$16:$ES$1015,DM$11,FALSE),"")</f>
        <v/>
      </c>
      <c r="DN49" s="1434" t="str">
        <f>IFERROR(VLOOKUP(CONCATENATE($B$8,"_",$B49),Data!$BO$16:$ES$1015,DN$11,FALSE),"")</f>
        <v/>
      </c>
      <c r="DO49" s="1434" t="str">
        <f>IFERROR(VLOOKUP(CONCATENATE($B$8,"_",$B49),Data!$BO$16:$ES$1015,DO$11,FALSE),"")</f>
        <v/>
      </c>
      <c r="DP49" s="1434" t="str">
        <f>IFERROR(VLOOKUP(CONCATENATE($B$8,"_",$B49),Data!$BO$16:$ES$1015,DP$11,FALSE),"")</f>
        <v/>
      </c>
      <c r="DQ49" s="1434" t="str">
        <f>IFERROR(VLOOKUP(CONCATENATE($B$8,"_",$B49),Data!$BO$16:$ES$1015,DQ$11,FALSE),"")</f>
        <v/>
      </c>
      <c r="DR49" s="1434" t="str">
        <f>IFERROR(VLOOKUP(CONCATENATE($B$8,"_",$B49),Data!$BO$16:$ES$1015,DR$11,FALSE),"")</f>
        <v/>
      </c>
      <c r="DS49" s="1434" t="str">
        <f>IFERROR(VLOOKUP(CONCATENATE($B$8,"_",$B49),Data!$BO$16:$ES$1015,DS$11,FALSE),"")</f>
        <v/>
      </c>
      <c r="DT49" s="1434" t="str">
        <f>IFERROR(VLOOKUP(CONCATENATE($B$8,"_",$B49),Data!$BO$16:$ES$1015,DT$11,FALSE),"")</f>
        <v/>
      </c>
      <c r="DU49" s="1434" t="str">
        <f>IFERROR(VLOOKUP(CONCATENATE($B$8,"_",$B49),Data!$BO$16:$ES$1015,DU$11,FALSE),"")</f>
        <v/>
      </c>
      <c r="DV49" s="1434" t="str">
        <f>IFERROR(VLOOKUP(CONCATENATE($B$8,"_",$B49),Data!$BO$16:$ES$1015,DV$11,FALSE),"")</f>
        <v/>
      </c>
      <c r="DW49" s="1434" t="str">
        <f>IFERROR(VLOOKUP(CONCATENATE($B$8,"_",$B49),Data!$BO$16:$ES$1015,DW$11,FALSE),"")</f>
        <v/>
      </c>
      <c r="DX49" s="1434" t="str">
        <f>IFERROR(VLOOKUP(CONCATENATE($B$8,"_",$B49),Data!$BO$16:$ES$1015,DX$11,FALSE),"")</f>
        <v/>
      </c>
      <c r="DY49" s="1434" t="str">
        <f>IFERROR(VLOOKUP(CONCATENATE($B$8,"_",$B49),Data!$BO$16:$ES$1015,DY$11,FALSE),"")</f>
        <v/>
      </c>
      <c r="DZ49" s="1434" t="str">
        <f>IFERROR(VLOOKUP(CONCATENATE($B$8,"_",$B49),Data!$BO$16:$ES$1015,DZ$11,FALSE),"")</f>
        <v/>
      </c>
      <c r="EA49" s="1434" t="str">
        <f>IFERROR(VLOOKUP(CONCATENATE($B$8,"_",$B49),Data!$BO$16:$ES$1015,EA$11,FALSE),"")</f>
        <v/>
      </c>
      <c r="EB49" s="1434" t="str">
        <f>IFERROR(VLOOKUP(CONCATENATE($B$8,"_",$B49),Data!$BO$16:$ES$1015,EB$11,FALSE),"")</f>
        <v/>
      </c>
      <c r="EC49" s="1434" t="str">
        <f>IFERROR(VLOOKUP(CONCATENATE($B$8,"_",$B49),Data!$BO$16:$ES$1015,EC$11,FALSE),"")</f>
        <v/>
      </c>
      <c r="ED49" s="1434" t="str">
        <f>IFERROR(VLOOKUP(CONCATENATE($B$8,"_",$B49),Data!$BO$16:$ES$1015,ED$11,FALSE),"")</f>
        <v/>
      </c>
      <c r="EE49" s="1434" t="str">
        <f>IFERROR(VLOOKUP(CONCATENATE($B$8,"_",$B49),Data!$BO$16:$ES$1015,EE$11,FALSE),"")</f>
        <v/>
      </c>
      <c r="EF49" s="1434" t="str">
        <f>IFERROR(VLOOKUP(CONCATENATE($B$8,"_",$B49),Data!$BO$16:$ES$1015,EF$11,FALSE),"")</f>
        <v/>
      </c>
      <c r="EG49" s="1434" t="str">
        <f>IFERROR(VLOOKUP(CONCATENATE($B$8,"_",$B49),Data!$BO$16:$ES$1015,EG$11,FALSE),"")</f>
        <v/>
      </c>
      <c r="EH49" s="1434" t="str">
        <f>IFERROR(VLOOKUP(CONCATENATE($B$8,"_",$B49),Data!$BO$16:$ES$1015,EH$11,FALSE),"")</f>
        <v/>
      </c>
      <c r="EI49" s="1434" t="str">
        <f>IFERROR(VLOOKUP(CONCATENATE($B$8,"_",$B49),Data!$BO$16:$ES$1015,EI$11,FALSE),"")</f>
        <v/>
      </c>
      <c r="EK49" s="1437"/>
    </row>
    <row r="50" spans="1:141" s="1436" customFormat="1" ht="15" customHeight="1">
      <c r="A50" s="1438">
        <v>37</v>
      </c>
      <c r="B50" s="1738">
        <f>IF($B$13+A50&lt;=Progress!$D$18,$B$13+A50,"")</f>
        <v>2037</v>
      </c>
      <c r="C50" s="1737" t="str">
        <f>IFERROR(VLOOKUP(CONCATENATE($B$8,"_",$B50),Data!$H$16:$BN$1015,C$11,FALSE),"")</f>
        <v/>
      </c>
      <c r="D50" s="1428" t="str">
        <f>IFERROR(VLOOKUP(CONCATENATE($B$8,"_",$B50),Data!$H$16:$BN$1015,D$11,FALSE),"")</f>
        <v/>
      </c>
      <c r="E50" s="1429" t="str">
        <f>IFERROR(VLOOKUP(CONCATENATE($B$8,"_",$B50),Data!$H$16:$BN$1015,E$11,FALSE),"")</f>
        <v/>
      </c>
      <c r="F50" s="1428" t="str">
        <f>IFERROR(VLOOKUP(CONCATENATE($B$8,"_",$B50),Data!$H$16:$BN$1015,F$11,FALSE),"")</f>
        <v/>
      </c>
      <c r="G50" s="1428" t="str">
        <f>IFERROR(VLOOKUP(CONCATENATE($B$8,"_",$B50),Data!$H$16:$BN$1015,G$11,FALSE),"")</f>
        <v/>
      </c>
      <c r="H50" s="1429" t="str">
        <f>IFERROR(VLOOKUP(CONCATENATE($B$8,"_",$B50),Data!$H$16:$BN$1015,H$11,FALSE),"")</f>
        <v/>
      </c>
      <c r="I50" s="1428" t="str">
        <f>IFERROR(VLOOKUP(CONCATENATE($B$8,"_",$B50),Data!$H$16:$BN$1015,I$11,FALSE),"")</f>
        <v/>
      </c>
      <c r="J50" s="1428" t="str">
        <f>IFERROR(VLOOKUP(CONCATENATE($B$8,"_",$B50),Data!$H$16:$BN$1015,J$11,FALSE),"")</f>
        <v/>
      </c>
      <c r="K50" s="1429" t="str">
        <f>IFERROR(VLOOKUP(CONCATENATE($B$8,"_",$B50),Data!$H$16:$BN$1015,K$11,FALSE),"")</f>
        <v/>
      </c>
      <c r="L50" s="1428" t="str">
        <f>IFERROR(VLOOKUP(CONCATENATE($B$8,"_",$B50),Data!$H$16:$BN$1015,L$11,FALSE),"")</f>
        <v/>
      </c>
      <c r="M50" s="1428" t="str">
        <f>IFERROR(VLOOKUP(CONCATENATE($B$8,"_",$B50),Data!$H$16:$BN$1015,M$11,FALSE),"")</f>
        <v/>
      </c>
      <c r="N50" s="1429" t="str">
        <f>IFERROR(VLOOKUP(CONCATENATE($B$8,"_",$B50),Data!$H$16:$BN$1015,N$11,FALSE),"")</f>
        <v/>
      </c>
      <c r="O50" s="1430" t="str">
        <f>IFERROR(VLOOKUP(CONCATENATE($B$8,"_",$B50),Data!$H$16:$BN$1015,O$11,FALSE),"")</f>
        <v/>
      </c>
      <c r="P50" s="1428" t="str">
        <f>IFERROR(VLOOKUP(CONCATENATE($B$8,"_",$B50),Data!$H$16:$BN$1015,P$11,FALSE),"")</f>
        <v/>
      </c>
      <c r="Q50" s="1428" t="str">
        <f>IFERROR(VLOOKUP(CONCATENATE($B$8,"_",$B50),Data!$H$16:$BN$1015,Q$11,FALSE),"")</f>
        <v/>
      </c>
      <c r="R50" s="1429" t="str">
        <f>IFERROR(VLOOKUP(CONCATENATE($B$8,"_",$B50),Data!$H$16:$BN$1015,R$11,FALSE),"")</f>
        <v/>
      </c>
      <c r="S50" s="1428" t="str">
        <f>IFERROR(VLOOKUP(CONCATENATE($B$8,"_",$B50),Data!$H$16:$BN$1015,S$11,FALSE),"")</f>
        <v/>
      </c>
      <c r="T50" s="1428" t="str">
        <f>IFERROR(VLOOKUP(CONCATENATE($B$8,"_",$B50),Data!$H$16:$BN$1015,T$11,FALSE),"")</f>
        <v/>
      </c>
      <c r="U50" s="1429" t="str">
        <f>IFERROR(VLOOKUP(CONCATENATE($B$8,"_",$B50),Data!$H$16:$BN$1015,U$11,FALSE),"")</f>
        <v/>
      </c>
      <c r="V50" s="1428" t="str">
        <f>IFERROR(VLOOKUP(CONCATENATE($B$8,"_",$B50),Data!$H$16:$BN$1015,V$11,FALSE),"")</f>
        <v/>
      </c>
      <c r="W50" s="1428" t="str">
        <f>IFERROR(VLOOKUP(CONCATENATE($B$8,"_",$B50),Data!$H$16:$BN$1015,W$11,FALSE),"")</f>
        <v/>
      </c>
      <c r="X50" s="1428" t="str">
        <f>IFERROR(VLOOKUP(CONCATENATE($B$8,"_",$B50),Data!$H$16:$BN$1015,X$11,FALSE),"")</f>
        <v/>
      </c>
      <c r="Y50" s="1428" t="str">
        <f>IFERROR(VLOOKUP(CONCATENATE($B$8,"_",$B50),Data!$H$16:$BN$1015,Y$11,FALSE),"")</f>
        <v/>
      </c>
      <c r="Z50" s="1429" t="str">
        <f>IFERROR(VLOOKUP(CONCATENATE($B$8,"_",$B50),Data!$H$16:$BN$1015,Z$11,FALSE),"")</f>
        <v/>
      </c>
      <c r="AA50" s="1428" t="str">
        <f>IFERROR(VLOOKUP(CONCATENATE($B$8,"_",$B50),Data!$H$16:$BN$1015,AA$11,FALSE),"")</f>
        <v/>
      </c>
      <c r="AB50" s="1428" t="str">
        <f>IFERROR(VLOOKUP(CONCATENATE($B$8,"_",$B50),Data!$H$16:$BN$1015,AB$11,FALSE),"")</f>
        <v/>
      </c>
      <c r="AC50" s="1429" t="str">
        <f>IFERROR(VLOOKUP(CONCATENATE($B$8,"_",$B50),Data!$H$16:$BN$1015,AC$11,FALSE),"")</f>
        <v/>
      </c>
      <c r="AD50" s="1428" t="str">
        <f>IFERROR(VLOOKUP(CONCATENATE($B$8,"_",$B50),Data!$H$16:$BN$1015,AD$11,FALSE),"")</f>
        <v/>
      </c>
      <c r="AE50" s="1428" t="str">
        <f>IFERROR(VLOOKUP(CONCATENATE($B$8,"_",$B50),Data!$H$16:$BN$1015,AE$11,FALSE),"")</f>
        <v/>
      </c>
      <c r="AF50" s="1429" t="str">
        <f>IFERROR(VLOOKUP(CONCATENATE($B$8,"_",$B50),Data!$H$16:$BN$1015,AF$11,FALSE),"")</f>
        <v/>
      </c>
      <c r="AG50" s="1428" t="str">
        <f>IFERROR(VLOOKUP(CONCATENATE($B$8,"_",$B50),Data!$H$16:$BN$1015,AG$11,FALSE),"")</f>
        <v/>
      </c>
      <c r="AH50" s="1428" t="str">
        <f>IFERROR(VLOOKUP(CONCATENATE($B$8,"_",$B50),Data!$H$16:$BN$1015,AH$11,FALSE),"")</f>
        <v/>
      </c>
      <c r="AI50" s="1429" t="str">
        <f>IFERROR(VLOOKUP(CONCATENATE($B$8,"_",$B50),Data!$H$16:$BN$1015,AI$11,FALSE),"")</f>
        <v/>
      </c>
      <c r="AJ50" s="1428" t="str">
        <f>IFERROR(VLOOKUP(CONCATENATE($B$8,"_",$B50),Data!$H$16:$BN$1015,AJ$11,FALSE),"")</f>
        <v/>
      </c>
      <c r="AK50" s="1428" t="str">
        <f>IFERROR(VLOOKUP(CONCATENATE($B$8,"_",$B50),Data!$H$16:$BN$1015,AK$11,FALSE),"")</f>
        <v/>
      </c>
      <c r="AL50" s="1429" t="str">
        <f>IFERROR(VLOOKUP(CONCATENATE($B$8,"_",$B50),Data!$H$16:$BN$1015,AL$11,FALSE),"")</f>
        <v/>
      </c>
      <c r="AM50" s="1428" t="str">
        <f>IFERROR(VLOOKUP(CONCATENATE($B$8,"_",$B50),Data!$H$16:$BN$1015,AM$11,FALSE),"")</f>
        <v/>
      </c>
      <c r="AN50" s="1428" t="str">
        <f>IFERROR(VLOOKUP(CONCATENATE($B$8,"_",$B50),Data!$H$16:$BN$1015,AN$11,FALSE),"")</f>
        <v/>
      </c>
      <c r="AO50" s="1430" t="str">
        <f>IFERROR(VLOOKUP(CONCATENATE($B$8,"_",$B50),Data!$H$16:$BN$1015,AO$11,FALSE),"")</f>
        <v/>
      </c>
      <c r="AP50" s="1428" t="str">
        <f>IFERROR(VLOOKUP(CONCATENATE($B$8,"_",$B50),Data!$H$16:$BN$1015,AP$11,FALSE),"")</f>
        <v/>
      </c>
      <c r="AQ50" s="1428" t="str">
        <f>IFERROR(VLOOKUP(CONCATENATE($B$8,"_",$B50),Data!$H$16:$BN$1015,AQ$11,FALSE),"")</f>
        <v/>
      </c>
      <c r="AR50" s="1430" t="str">
        <f>IFERROR(VLOOKUP(CONCATENATE($B$8,"_",$B50),Data!$H$16:$BN$1015,AR$11,FALSE),"")</f>
        <v/>
      </c>
      <c r="AS50" s="1428" t="str">
        <f>IFERROR(VLOOKUP(CONCATENATE($B$8,"_",$B50),Data!$H$16:$BN$1015,AS$11,FALSE),"")</f>
        <v/>
      </c>
      <c r="AT50" s="1428" t="str">
        <f>IFERROR(VLOOKUP(CONCATENATE($B$8,"_",$B50),Data!$H$16:$BN$1015,AT$11,FALSE),"")</f>
        <v/>
      </c>
      <c r="AU50" s="1430" t="str">
        <f>IFERROR(VLOOKUP(CONCATENATE($B$8,"_",$B50),Data!$H$16:$BN$1015,AU$11,FALSE),"")</f>
        <v/>
      </c>
      <c r="AV50" s="1428" t="str">
        <f>IFERROR(VLOOKUP(CONCATENATE($B$8,"_",$B50),Data!$H$16:$BN$1015,AV$11,FALSE),"")</f>
        <v/>
      </c>
      <c r="AW50" s="1428" t="str">
        <f>IFERROR(VLOOKUP(CONCATENATE($B$8,"_",$B50),Data!$H$16:$BN$1015,AW$11,FALSE),"")</f>
        <v/>
      </c>
      <c r="AX50" s="1430" t="str">
        <f>IFERROR(VLOOKUP(CONCATENATE($B$8,"_",$B50),Data!$H$16:$BN$1015,AX$11,FALSE),"")</f>
        <v/>
      </c>
      <c r="AY50" s="1429" t="str">
        <f>IFERROR(VLOOKUP(CONCATENATE($B$8,"_",$B50),Data!$H$16:$BN$1015,AY$11,FALSE),"")</f>
        <v/>
      </c>
      <c r="AZ50" s="1429" t="str">
        <f>IFERROR(VLOOKUP(CONCATENATE($B$8,"_",$B50),Data!$H$16:$BN$1015,AZ$11,FALSE),"")</f>
        <v/>
      </c>
      <c r="BA50" s="1429" t="str">
        <f>IFERROR(VLOOKUP(CONCATENATE($B$8,"_",$B50),Data!$H$16:$BN$1015,BA$11,FALSE),"")</f>
        <v/>
      </c>
      <c r="BB50" s="1429" t="str">
        <f>IFERROR(VLOOKUP(CONCATENATE($B$8,"_",$B50),Data!$H$16:$BN$1015,BB$11,FALSE),"")</f>
        <v/>
      </c>
      <c r="BC50" s="1429" t="str">
        <f>IFERROR(VLOOKUP(CONCATENATE($B$8,"_",$B50),Data!$H$16:$BN$1015,BC$11,FALSE),"")</f>
        <v/>
      </c>
      <c r="BD50" s="1431" t="str">
        <f>IFERROR(VLOOKUP(CONCATENATE($B$8,"_",$B50),Data!$H$16:$BN$1015,BD$11,FALSE),"")</f>
        <v/>
      </c>
      <c r="BE50" s="1439">
        <f t="shared" si="1"/>
        <v>2037</v>
      </c>
      <c r="BF50" s="1428" t="str">
        <f>IFERROR(VLOOKUP(CONCATENATE($B$8,"_",$B50),Data!$BO$16:$ES$1015,BF$11,FALSE),"")</f>
        <v/>
      </c>
      <c r="BG50" s="1433" t="str">
        <f>IFERROR(VLOOKUP(CONCATENATE($B$8,"_",$B50),Data!$BO$16:$ES$1015,BG$11,FALSE),"")</f>
        <v/>
      </c>
      <c r="BH50" s="1435" t="str">
        <f>IFERROR(VLOOKUP(CONCATENATE($B$8,"_",$B50),Data!$BO$16:$ES$1015,BH$11,FALSE),"")</f>
        <v/>
      </c>
      <c r="BI50" s="1434" t="str">
        <f>IFERROR(VLOOKUP(CONCATENATE($B$8,"_",$B50),Data!$BO$16:$ES$1015,BI$11,FALSE),"")</f>
        <v/>
      </c>
      <c r="BJ50" s="1428" t="str">
        <f>IFERROR(VLOOKUP(CONCATENATE($B$8,"_",$B50),Data!$BO$16:$ES$1015,BJ$11,FALSE),"")</f>
        <v/>
      </c>
      <c r="BK50" s="1428" t="str">
        <f>IFERROR(VLOOKUP(CONCATENATE($B$8,"_",$B50),Data!$BO$16:$ES$1015,BK$11,FALSE),"")</f>
        <v/>
      </c>
      <c r="BL50" s="1428" t="str">
        <f>IFERROR(VLOOKUP(CONCATENATE($B$8,"_",$B50),Data!$BO$16:$ES$1015,BL$11,FALSE),"")</f>
        <v/>
      </c>
      <c r="BM50" s="1433" t="str">
        <f>IFERROR(VLOOKUP(CONCATENATE($B$8,"_",$B50),Data!$BO$16:$ES$1015,BM$11,FALSE),"")</f>
        <v/>
      </c>
      <c r="BN50" s="1433" t="str">
        <f>IFERROR(VLOOKUP(CONCATENATE($B$8,"_",$B50),Data!$BO$16:$ES$1015,BN$11,FALSE),"")</f>
        <v/>
      </c>
      <c r="BO50" s="1433" t="str">
        <f>IFERROR(VLOOKUP(CONCATENATE($B$8,"_",$B50),Data!$BO$16:$ES$1015,BO$11,FALSE),"")</f>
        <v/>
      </c>
      <c r="BP50" s="1433" t="str">
        <f>IFERROR(VLOOKUP(CONCATENATE($B$8,"_",$B50),Data!$BO$16:$ES$1015,BP$11,FALSE),"")</f>
        <v/>
      </c>
      <c r="BQ50" s="1433" t="str">
        <f>IFERROR(VLOOKUP(CONCATENATE($B$8,"_",$B50),Data!$BO$16:$ES$1015,BQ$11,FALSE),"")</f>
        <v/>
      </c>
      <c r="BR50" s="1434" t="str">
        <f>IFERROR(VLOOKUP(CONCATENATE($B$8,"_",$B50),Data!$BO$16:$ES$1015,BR$11,FALSE),"")</f>
        <v/>
      </c>
      <c r="BS50" s="1434" t="str">
        <f>IFERROR(VLOOKUP(CONCATENATE($B$8,"_",$B50),Data!$BO$16:$ES$1015,BS$11,FALSE),"")</f>
        <v/>
      </c>
      <c r="BT50" s="1434" t="str">
        <f>IFERROR(VLOOKUP(CONCATENATE($B$8,"_",$B50),Data!$BO$16:$ES$1015,BT$11,FALSE),"")</f>
        <v/>
      </c>
      <c r="BU50" s="1434" t="str">
        <f>IFERROR(VLOOKUP(CONCATENATE($B$8,"_",$B50),Data!$BO$16:$ES$1015,BU$11,FALSE),"")</f>
        <v/>
      </c>
      <c r="BV50" s="1434" t="str">
        <f>IFERROR(VLOOKUP(CONCATENATE($B$8,"_",$B50),Data!$BO$16:$ES$1015,BV$11,FALSE),"")</f>
        <v/>
      </c>
      <c r="BW50" s="1434" t="str">
        <f>IFERROR(VLOOKUP(CONCATENATE($B$8,"_",$B50),Data!$BO$16:$ES$1015,BW$11,FALSE),"")</f>
        <v/>
      </c>
      <c r="BX50" s="1434" t="str">
        <f>IFERROR(VLOOKUP(CONCATENATE($B$8,"_",$B50),Data!$BO$16:$ES$1015,BX$11,FALSE),"")</f>
        <v/>
      </c>
      <c r="BY50" s="1428" t="str">
        <f>IFERROR(VLOOKUP(CONCATENATE($B$8,"_",$B50),Data!$BO$16:$ES$1015,BY$11,FALSE),"")</f>
        <v/>
      </c>
      <c r="BZ50" s="1428" t="str">
        <f>IFERROR(VLOOKUP(CONCATENATE($B$8,"_",$B50),Data!$BO$16:$ES$1015,BZ$11,FALSE),"")</f>
        <v/>
      </c>
      <c r="CA50" s="1428" t="str">
        <f>IFERROR(VLOOKUP(CONCATENATE($B$8,"_",$B50),Data!$BO$16:$ES$1015,CA$11,FALSE),"")</f>
        <v/>
      </c>
      <c r="CB50" s="1428" t="str">
        <f>IFERROR(VLOOKUP(CONCATENATE($B$8,"_",$B50),Data!$BO$16:$ES$1015,CB$11,FALSE),"")</f>
        <v/>
      </c>
      <c r="CC50" s="1428" t="str">
        <f>IFERROR(VLOOKUP(CONCATENATE($B$8,"_",$B50),Data!$BO$16:$ES$1015,CC$11,FALSE),"")</f>
        <v/>
      </c>
      <c r="CD50" s="1428" t="str">
        <f>IFERROR(VLOOKUP(CONCATENATE($B$8,"_",$B50),Data!$BO$16:$ES$1015,CD$11,FALSE),"")</f>
        <v/>
      </c>
      <c r="CE50" s="1428" t="str">
        <f>IFERROR(VLOOKUP(CONCATENATE($B$8,"_",$B50),Data!$BO$16:$ES$1015,CE$11,FALSE),"")</f>
        <v/>
      </c>
      <c r="CF50" s="1428" t="str">
        <f>IFERROR(VLOOKUP(CONCATENATE($B$8,"_",$B50),Data!$BO$16:$ES$1015,CF$11,FALSE),"")</f>
        <v/>
      </c>
      <c r="CG50" s="1428" t="str">
        <f>IFERROR(VLOOKUP(CONCATENATE($B$8,"_",$B50),Data!$BO$16:$ES$1015,CG$11,FALSE),"")</f>
        <v/>
      </c>
      <c r="CH50" s="1428" t="str">
        <f>IFERROR(VLOOKUP(CONCATENATE($B$8,"_",$B50),Data!$BO$16:$ES$1015,CH$11,FALSE),"")</f>
        <v/>
      </c>
      <c r="CI50" s="1428" t="str">
        <f>IFERROR(VLOOKUP(CONCATENATE($B$8,"_",$B50),Data!$BO$16:$ES$1015,CI$11,FALSE),"")</f>
        <v/>
      </c>
      <c r="CJ50" s="1428" t="str">
        <f>IFERROR(VLOOKUP(CONCATENATE($B$8,"_",$B50),Data!$BO$16:$ES$1015,CJ$11,FALSE),"")</f>
        <v/>
      </c>
      <c r="CK50" s="1428" t="str">
        <f>IFERROR(VLOOKUP(CONCATENATE($B$8,"_",$B50),Data!$BO$16:$ES$1015,CK$11,FALSE),"")</f>
        <v/>
      </c>
      <c r="CL50" s="1428" t="str">
        <f>IFERROR(VLOOKUP(CONCATENATE($B$8,"_",$B50),Data!$BO$16:$ES$1015,CL$11,FALSE),"")</f>
        <v/>
      </c>
      <c r="CM50" s="1428" t="str">
        <f>IFERROR(VLOOKUP(CONCATENATE($B$8,"_",$B50),Data!$BO$16:$ES$1015,CM$11,FALSE),"")</f>
        <v/>
      </c>
      <c r="CN50" s="1428" t="str">
        <f>IFERROR(VLOOKUP(CONCATENATE($B$8,"_",$B50),Data!$BO$16:$ES$1015,CN$11,FALSE),"")</f>
        <v/>
      </c>
      <c r="CO50" s="1428" t="str">
        <f>IFERROR(VLOOKUP(CONCATENATE($B$8,"_",$B50),Data!$BO$16:$ES$1015,CO$11,FALSE),"")</f>
        <v/>
      </c>
      <c r="CP50" s="1433" t="str">
        <f>IFERROR(VLOOKUP(CONCATENATE($B$8,"_",$B50),Data!$BO$16:$ES$1015,CP$11,FALSE),"")</f>
        <v/>
      </c>
      <c r="CQ50" s="1433" t="str">
        <f>IFERROR(VLOOKUP(CONCATENATE($B$8,"_",$B50),Data!$BO$16:$ES$1015,CQ$11,FALSE),"")</f>
        <v/>
      </c>
      <c r="CR50" s="1433" t="str">
        <f>IFERROR(VLOOKUP(CONCATENATE($B$8,"_",$B50),Data!$BO$16:$ES$1015,CR$11,FALSE),"")</f>
        <v/>
      </c>
      <c r="CS50" s="1433" t="str">
        <f>IFERROR(VLOOKUP(CONCATENATE($B$8,"_",$B50),Data!$BO$16:$ES$1015,CS$11,FALSE),"")</f>
        <v/>
      </c>
      <c r="CT50" s="1433" t="str">
        <f>IFERROR(VLOOKUP(CONCATENATE($B$8,"_",$B50),Data!$BO$16:$ES$1015,CT$11,FALSE),"")</f>
        <v/>
      </c>
      <c r="CU50" s="1433" t="str">
        <f>IFERROR(VLOOKUP(CONCATENATE($B$8,"_",$B50),Data!$BO$16:$ES$1015,CU$11,FALSE),"")</f>
        <v/>
      </c>
      <c r="CV50" s="1433" t="str">
        <f>IFERROR(VLOOKUP(CONCATENATE($B$8,"_",$B50),Data!$BO$16:$ES$1015,CV$11,FALSE),"")</f>
        <v/>
      </c>
      <c r="CW50" s="1433" t="str">
        <f>IFERROR(VLOOKUP(CONCATENATE($B$8,"_",$B50),Data!$BO$16:$ES$1015,CW$11,FALSE),"")</f>
        <v/>
      </c>
      <c r="CX50" s="1433" t="str">
        <f>IFERROR(VLOOKUP(CONCATENATE($B$8,"_",$B50),Data!$BO$16:$ES$1015,CX$11,FALSE),"")</f>
        <v/>
      </c>
      <c r="CY50" s="1433" t="str">
        <f>IFERROR(VLOOKUP(CONCATENATE($B$8,"_",$B50),Data!$BO$16:$ES$1015,CY$11,FALSE),"")</f>
        <v/>
      </c>
      <c r="CZ50" s="1433" t="str">
        <f>IFERROR(VLOOKUP(CONCATENATE($B$8,"_",$B50),Data!$BO$16:$ES$1015,CZ$11,FALSE),"")</f>
        <v/>
      </c>
      <c r="DA50" s="1433" t="str">
        <f>IFERROR(VLOOKUP(CONCATENATE($B$8,"_",$B50),Data!$BO$16:$ES$1015,DA$11,FALSE),"")</f>
        <v/>
      </c>
      <c r="DB50" s="1433" t="str">
        <f>IFERROR(VLOOKUP(CONCATENATE($B$8,"_",$B50),Data!$BO$16:$ES$1015,DB$11,FALSE),"")</f>
        <v/>
      </c>
      <c r="DC50" s="1433" t="str">
        <f>IFERROR(VLOOKUP(CONCATENATE($B$8,"_",$B50),Data!$BO$16:$ES$1015,DC$11,FALSE),"")</f>
        <v/>
      </c>
      <c r="DD50" s="1433" t="str">
        <f>IFERROR(VLOOKUP(CONCATENATE($B$8,"_",$B50),Data!$BO$16:$ES$1015,DD$11,FALSE),"")</f>
        <v/>
      </c>
      <c r="DE50" s="1433" t="str">
        <f>IFERROR(VLOOKUP(CONCATENATE($B$8,"_",$B50),Data!$BO$16:$ES$1015,DE$11,FALSE),"")</f>
        <v/>
      </c>
      <c r="DF50" s="1433" t="str">
        <f>IFERROR(VLOOKUP(CONCATENATE($B$8,"_",$B50),Data!$BO$16:$ES$1015,DF$11,FALSE),"")</f>
        <v/>
      </c>
      <c r="DG50" s="1433" t="str">
        <f>IFERROR(VLOOKUP(CONCATENATE($B$8,"_",$B50),Data!$BO$16:$ES$1015,DG$11,FALSE),"")</f>
        <v/>
      </c>
      <c r="DH50" s="1433" t="str">
        <f>IFERROR(VLOOKUP(CONCATENATE($B$8,"_",$B50),Data!$BO$16:$ES$1015,DH$11,FALSE),"")</f>
        <v/>
      </c>
      <c r="DI50" s="1433" t="str">
        <f>IFERROR(VLOOKUP(CONCATENATE($B$8,"_",$B50),Data!$BO$16:$ES$1015,DI$11,FALSE),"")</f>
        <v/>
      </c>
      <c r="DJ50" s="1433" t="str">
        <f>IFERROR(VLOOKUP(CONCATENATE($B$8,"_",$B50),Data!$BO$16:$ES$1015,DJ$11,FALSE),"")</f>
        <v/>
      </c>
      <c r="DK50" s="1433" t="str">
        <f>IFERROR(VLOOKUP(CONCATENATE($B$8,"_",$B50),Data!$BO$16:$ES$1015,DK$11,FALSE),"")</f>
        <v/>
      </c>
      <c r="DL50" s="1435" t="str">
        <f>IFERROR(VLOOKUP(CONCATENATE($B$8,"_",$B50),Data!$BO$16:$ES$1015,DL$11,FALSE),"")</f>
        <v/>
      </c>
      <c r="DM50" s="1434" t="str">
        <f>IFERROR(VLOOKUP(CONCATENATE($B$8,"_",$B50),Data!$BO$16:$ES$1015,DM$11,FALSE),"")</f>
        <v/>
      </c>
      <c r="DN50" s="1434" t="str">
        <f>IFERROR(VLOOKUP(CONCATENATE($B$8,"_",$B50),Data!$BO$16:$ES$1015,DN$11,FALSE),"")</f>
        <v/>
      </c>
      <c r="DO50" s="1434" t="str">
        <f>IFERROR(VLOOKUP(CONCATENATE($B$8,"_",$B50),Data!$BO$16:$ES$1015,DO$11,FALSE),"")</f>
        <v/>
      </c>
      <c r="DP50" s="1434" t="str">
        <f>IFERROR(VLOOKUP(CONCATENATE($B$8,"_",$B50),Data!$BO$16:$ES$1015,DP$11,FALSE),"")</f>
        <v/>
      </c>
      <c r="DQ50" s="1434" t="str">
        <f>IFERROR(VLOOKUP(CONCATENATE($B$8,"_",$B50),Data!$BO$16:$ES$1015,DQ$11,FALSE),"")</f>
        <v/>
      </c>
      <c r="DR50" s="1434" t="str">
        <f>IFERROR(VLOOKUP(CONCATENATE($B$8,"_",$B50),Data!$BO$16:$ES$1015,DR$11,FALSE),"")</f>
        <v/>
      </c>
      <c r="DS50" s="1434" t="str">
        <f>IFERROR(VLOOKUP(CONCATENATE($B$8,"_",$B50),Data!$BO$16:$ES$1015,DS$11,FALSE),"")</f>
        <v/>
      </c>
      <c r="DT50" s="1434" t="str">
        <f>IFERROR(VLOOKUP(CONCATENATE($B$8,"_",$B50),Data!$BO$16:$ES$1015,DT$11,FALSE),"")</f>
        <v/>
      </c>
      <c r="DU50" s="1434" t="str">
        <f>IFERROR(VLOOKUP(CONCATENATE($B$8,"_",$B50),Data!$BO$16:$ES$1015,DU$11,FALSE),"")</f>
        <v/>
      </c>
      <c r="DV50" s="1434" t="str">
        <f>IFERROR(VLOOKUP(CONCATENATE($B$8,"_",$B50),Data!$BO$16:$ES$1015,DV$11,FALSE),"")</f>
        <v/>
      </c>
      <c r="DW50" s="1434" t="str">
        <f>IFERROR(VLOOKUP(CONCATENATE($B$8,"_",$B50),Data!$BO$16:$ES$1015,DW$11,FALSE),"")</f>
        <v/>
      </c>
      <c r="DX50" s="1434" t="str">
        <f>IFERROR(VLOOKUP(CONCATENATE($B$8,"_",$B50),Data!$BO$16:$ES$1015,DX$11,FALSE),"")</f>
        <v/>
      </c>
      <c r="DY50" s="1434" t="str">
        <f>IFERROR(VLOOKUP(CONCATENATE($B$8,"_",$B50),Data!$BO$16:$ES$1015,DY$11,FALSE),"")</f>
        <v/>
      </c>
      <c r="DZ50" s="1434" t="str">
        <f>IFERROR(VLOOKUP(CONCATENATE($B$8,"_",$B50),Data!$BO$16:$ES$1015,DZ$11,FALSE),"")</f>
        <v/>
      </c>
      <c r="EA50" s="1434" t="str">
        <f>IFERROR(VLOOKUP(CONCATENATE($B$8,"_",$B50),Data!$BO$16:$ES$1015,EA$11,FALSE),"")</f>
        <v/>
      </c>
      <c r="EB50" s="1434" t="str">
        <f>IFERROR(VLOOKUP(CONCATENATE($B$8,"_",$B50),Data!$BO$16:$ES$1015,EB$11,FALSE),"")</f>
        <v/>
      </c>
      <c r="EC50" s="1434" t="str">
        <f>IFERROR(VLOOKUP(CONCATENATE($B$8,"_",$B50),Data!$BO$16:$ES$1015,EC$11,FALSE),"")</f>
        <v/>
      </c>
      <c r="ED50" s="1434" t="str">
        <f>IFERROR(VLOOKUP(CONCATENATE($B$8,"_",$B50),Data!$BO$16:$ES$1015,ED$11,FALSE),"")</f>
        <v/>
      </c>
      <c r="EE50" s="1434" t="str">
        <f>IFERROR(VLOOKUP(CONCATENATE($B$8,"_",$B50),Data!$BO$16:$ES$1015,EE$11,FALSE),"")</f>
        <v/>
      </c>
      <c r="EF50" s="1434" t="str">
        <f>IFERROR(VLOOKUP(CONCATENATE($B$8,"_",$B50),Data!$BO$16:$ES$1015,EF$11,FALSE),"")</f>
        <v/>
      </c>
      <c r="EG50" s="1434" t="str">
        <f>IFERROR(VLOOKUP(CONCATENATE($B$8,"_",$B50),Data!$BO$16:$ES$1015,EG$11,FALSE),"")</f>
        <v/>
      </c>
      <c r="EH50" s="1434" t="str">
        <f>IFERROR(VLOOKUP(CONCATENATE($B$8,"_",$B50),Data!$BO$16:$ES$1015,EH$11,FALSE),"")</f>
        <v/>
      </c>
      <c r="EI50" s="1434" t="str">
        <f>IFERROR(VLOOKUP(CONCATENATE($B$8,"_",$B50),Data!$BO$16:$ES$1015,EI$11,FALSE),"")</f>
        <v/>
      </c>
      <c r="EK50" s="1437"/>
    </row>
    <row r="51" spans="1:141" s="1436" customFormat="1" ht="15" customHeight="1">
      <c r="A51" s="1438">
        <v>38</v>
      </c>
      <c r="B51" s="1738">
        <f>IF($B$13+A51&lt;=Progress!$D$18,$B$13+A51,"")</f>
        <v>2038</v>
      </c>
      <c r="C51" s="1737" t="str">
        <f>IFERROR(VLOOKUP(CONCATENATE($B$8,"_",$B51),Data!$H$16:$BN$1015,C$11,FALSE),"")</f>
        <v/>
      </c>
      <c r="D51" s="1428" t="str">
        <f>IFERROR(VLOOKUP(CONCATENATE($B$8,"_",$B51),Data!$H$16:$BN$1015,D$11,FALSE),"")</f>
        <v/>
      </c>
      <c r="E51" s="1429" t="str">
        <f>IFERROR(VLOOKUP(CONCATENATE($B$8,"_",$B51),Data!$H$16:$BN$1015,E$11,FALSE),"")</f>
        <v/>
      </c>
      <c r="F51" s="1428" t="str">
        <f>IFERROR(VLOOKUP(CONCATENATE($B$8,"_",$B51),Data!$H$16:$BN$1015,F$11,FALSE),"")</f>
        <v/>
      </c>
      <c r="G51" s="1428" t="str">
        <f>IFERROR(VLOOKUP(CONCATENATE($B$8,"_",$B51),Data!$H$16:$BN$1015,G$11,FALSE),"")</f>
        <v/>
      </c>
      <c r="H51" s="1429" t="str">
        <f>IFERROR(VLOOKUP(CONCATENATE($B$8,"_",$B51),Data!$H$16:$BN$1015,H$11,FALSE),"")</f>
        <v/>
      </c>
      <c r="I51" s="1428" t="str">
        <f>IFERROR(VLOOKUP(CONCATENATE($B$8,"_",$B51),Data!$H$16:$BN$1015,I$11,FALSE),"")</f>
        <v/>
      </c>
      <c r="J51" s="1428" t="str">
        <f>IFERROR(VLOOKUP(CONCATENATE($B$8,"_",$B51),Data!$H$16:$BN$1015,J$11,FALSE),"")</f>
        <v/>
      </c>
      <c r="K51" s="1429" t="str">
        <f>IFERROR(VLOOKUP(CONCATENATE($B$8,"_",$B51),Data!$H$16:$BN$1015,K$11,FALSE),"")</f>
        <v/>
      </c>
      <c r="L51" s="1428" t="str">
        <f>IFERROR(VLOOKUP(CONCATENATE($B$8,"_",$B51),Data!$H$16:$BN$1015,L$11,FALSE),"")</f>
        <v/>
      </c>
      <c r="M51" s="1428" t="str">
        <f>IFERROR(VLOOKUP(CONCATENATE($B$8,"_",$B51),Data!$H$16:$BN$1015,M$11,FALSE),"")</f>
        <v/>
      </c>
      <c r="N51" s="1429" t="str">
        <f>IFERROR(VLOOKUP(CONCATENATE($B$8,"_",$B51),Data!$H$16:$BN$1015,N$11,FALSE),"")</f>
        <v/>
      </c>
      <c r="O51" s="1430" t="str">
        <f>IFERROR(VLOOKUP(CONCATENATE($B$8,"_",$B51),Data!$H$16:$BN$1015,O$11,FALSE),"")</f>
        <v/>
      </c>
      <c r="P51" s="1428" t="str">
        <f>IFERROR(VLOOKUP(CONCATENATE($B$8,"_",$B51),Data!$H$16:$BN$1015,P$11,FALSE),"")</f>
        <v/>
      </c>
      <c r="Q51" s="1428" t="str">
        <f>IFERROR(VLOOKUP(CONCATENATE($B$8,"_",$B51),Data!$H$16:$BN$1015,Q$11,FALSE),"")</f>
        <v/>
      </c>
      <c r="R51" s="1429" t="str">
        <f>IFERROR(VLOOKUP(CONCATENATE($B$8,"_",$B51),Data!$H$16:$BN$1015,R$11,FALSE),"")</f>
        <v/>
      </c>
      <c r="S51" s="1428" t="str">
        <f>IFERROR(VLOOKUP(CONCATENATE($B$8,"_",$B51),Data!$H$16:$BN$1015,S$11,FALSE),"")</f>
        <v/>
      </c>
      <c r="T51" s="1428" t="str">
        <f>IFERROR(VLOOKUP(CONCATENATE($B$8,"_",$B51),Data!$H$16:$BN$1015,T$11,FALSE),"")</f>
        <v/>
      </c>
      <c r="U51" s="1429" t="str">
        <f>IFERROR(VLOOKUP(CONCATENATE($B$8,"_",$B51),Data!$H$16:$BN$1015,U$11,FALSE),"")</f>
        <v/>
      </c>
      <c r="V51" s="1428" t="str">
        <f>IFERROR(VLOOKUP(CONCATENATE($B$8,"_",$B51),Data!$H$16:$BN$1015,V$11,FALSE),"")</f>
        <v/>
      </c>
      <c r="W51" s="1428" t="str">
        <f>IFERROR(VLOOKUP(CONCATENATE($B$8,"_",$B51),Data!$H$16:$BN$1015,W$11,FALSE),"")</f>
        <v/>
      </c>
      <c r="X51" s="1428" t="str">
        <f>IFERROR(VLOOKUP(CONCATENATE($B$8,"_",$B51),Data!$H$16:$BN$1015,X$11,FALSE),"")</f>
        <v/>
      </c>
      <c r="Y51" s="1428" t="str">
        <f>IFERROR(VLOOKUP(CONCATENATE($B$8,"_",$B51),Data!$H$16:$BN$1015,Y$11,FALSE),"")</f>
        <v/>
      </c>
      <c r="Z51" s="1429" t="str">
        <f>IFERROR(VLOOKUP(CONCATENATE($B$8,"_",$B51),Data!$H$16:$BN$1015,Z$11,FALSE),"")</f>
        <v/>
      </c>
      <c r="AA51" s="1428" t="str">
        <f>IFERROR(VLOOKUP(CONCATENATE($B$8,"_",$B51),Data!$H$16:$BN$1015,AA$11,FALSE),"")</f>
        <v/>
      </c>
      <c r="AB51" s="1428" t="str">
        <f>IFERROR(VLOOKUP(CONCATENATE($B$8,"_",$B51),Data!$H$16:$BN$1015,AB$11,FALSE),"")</f>
        <v/>
      </c>
      <c r="AC51" s="1429" t="str">
        <f>IFERROR(VLOOKUP(CONCATENATE($B$8,"_",$B51),Data!$H$16:$BN$1015,AC$11,FALSE),"")</f>
        <v/>
      </c>
      <c r="AD51" s="1428" t="str">
        <f>IFERROR(VLOOKUP(CONCATENATE($B$8,"_",$B51),Data!$H$16:$BN$1015,AD$11,FALSE),"")</f>
        <v/>
      </c>
      <c r="AE51" s="1428" t="str">
        <f>IFERROR(VLOOKUP(CONCATENATE($B$8,"_",$B51),Data!$H$16:$BN$1015,AE$11,FALSE),"")</f>
        <v/>
      </c>
      <c r="AF51" s="1429" t="str">
        <f>IFERROR(VLOOKUP(CONCATENATE($B$8,"_",$B51),Data!$H$16:$BN$1015,AF$11,FALSE),"")</f>
        <v/>
      </c>
      <c r="AG51" s="1428" t="str">
        <f>IFERROR(VLOOKUP(CONCATENATE($B$8,"_",$B51),Data!$H$16:$BN$1015,AG$11,FALSE),"")</f>
        <v/>
      </c>
      <c r="AH51" s="1428" t="str">
        <f>IFERROR(VLOOKUP(CONCATENATE($B$8,"_",$B51),Data!$H$16:$BN$1015,AH$11,FALSE),"")</f>
        <v/>
      </c>
      <c r="AI51" s="1429" t="str">
        <f>IFERROR(VLOOKUP(CONCATENATE($B$8,"_",$B51),Data!$H$16:$BN$1015,AI$11,FALSE),"")</f>
        <v/>
      </c>
      <c r="AJ51" s="1428" t="str">
        <f>IFERROR(VLOOKUP(CONCATENATE($B$8,"_",$B51),Data!$H$16:$BN$1015,AJ$11,FALSE),"")</f>
        <v/>
      </c>
      <c r="AK51" s="1428" t="str">
        <f>IFERROR(VLOOKUP(CONCATENATE($B$8,"_",$B51),Data!$H$16:$BN$1015,AK$11,FALSE),"")</f>
        <v/>
      </c>
      <c r="AL51" s="1429" t="str">
        <f>IFERROR(VLOOKUP(CONCATENATE($B$8,"_",$B51),Data!$H$16:$BN$1015,AL$11,FALSE),"")</f>
        <v/>
      </c>
      <c r="AM51" s="1428" t="str">
        <f>IFERROR(VLOOKUP(CONCATENATE($B$8,"_",$B51),Data!$H$16:$BN$1015,AM$11,FALSE),"")</f>
        <v/>
      </c>
      <c r="AN51" s="1428" t="str">
        <f>IFERROR(VLOOKUP(CONCATENATE($B$8,"_",$B51),Data!$H$16:$BN$1015,AN$11,FALSE),"")</f>
        <v/>
      </c>
      <c r="AO51" s="1430" t="str">
        <f>IFERROR(VLOOKUP(CONCATENATE($B$8,"_",$B51),Data!$H$16:$BN$1015,AO$11,FALSE),"")</f>
        <v/>
      </c>
      <c r="AP51" s="1428" t="str">
        <f>IFERROR(VLOOKUP(CONCATENATE($B$8,"_",$B51),Data!$H$16:$BN$1015,AP$11,FALSE),"")</f>
        <v/>
      </c>
      <c r="AQ51" s="1428" t="str">
        <f>IFERROR(VLOOKUP(CONCATENATE($B$8,"_",$B51),Data!$H$16:$BN$1015,AQ$11,FALSE),"")</f>
        <v/>
      </c>
      <c r="AR51" s="1430" t="str">
        <f>IFERROR(VLOOKUP(CONCATENATE($B$8,"_",$B51),Data!$H$16:$BN$1015,AR$11,FALSE),"")</f>
        <v/>
      </c>
      <c r="AS51" s="1428" t="str">
        <f>IFERROR(VLOOKUP(CONCATENATE($B$8,"_",$B51),Data!$H$16:$BN$1015,AS$11,FALSE),"")</f>
        <v/>
      </c>
      <c r="AT51" s="1428" t="str">
        <f>IFERROR(VLOOKUP(CONCATENATE($B$8,"_",$B51),Data!$H$16:$BN$1015,AT$11,FALSE),"")</f>
        <v/>
      </c>
      <c r="AU51" s="1430" t="str">
        <f>IFERROR(VLOOKUP(CONCATENATE($B$8,"_",$B51),Data!$H$16:$BN$1015,AU$11,FALSE),"")</f>
        <v/>
      </c>
      <c r="AV51" s="1428" t="str">
        <f>IFERROR(VLOOKUP(CONCATENATE($B$8,"_",$B51),Data!$H$16:$BN$1015,AV$11,FALSE),"")</f>
        <v/>
      </c>
      <c r="AW51" s="1428" t="str">
        <f>IFERROR(VLOOKUP(CONCATENATE($B$8,"_",$B51),Data!$H$16:$BN$1015,AW$11,FALSE),"")</f>
        <v/>
      </c>
      <c r="AX51" s="1430" t="str">
        <f>IFERROR(VLOOKUP(CONCATENATE($B$8,"_",$B51),Data!$H$16:$BN$1015,AX$11,FALSE),"")</f>
        <v/>
      </c>
      <c r="AY51" s="1429" t="str">
        <f>IFERROR(VLOOKUP(CONCATENATE($B$8,"_",$B51),Data!$H$16:$BN$1015,AY$11,FALSE),"")</f>
        <v/>
      </c>
      <c r="AZ51" s="1429" t="str">
        <f>IFERROR(VLOOKUP(CONCATENATE($B$8,"_",$B51),Data!$H$16:$BN$1015,AZ$11,FALSE),"")</f>
        <v/>
      </c>
      <c r="BA51" s="1429" t="str">
        <f>IFERROR(VLOOKUP(CONCATENATE($B$8,"_",$B51),Data!$H$16:$BN$1015,BA$11,FALSE),"")</f>
        <v/>
      </c>
      <c r="BB51" s="1429" t="str">
        <f>IFERROR(VLOOKUP(CONCATENATE($B$8,"_",$B51),Data!$H$16:$BN$1015,BB$11,FALSE),"")</f>
        <v/>
      </c>
      <c r="BC51" s="1429" t="str">
        <f>IFERROR(VLOOKUP(CONCATENATE($B$8,"_",$B51),Data!$H$16:$BN$1015,BC$11,FALSE),"")</f>
        <v/>
      </c>
      <c r="BD51" s="1431" t="str">
        <f>IFERROR(VLOOKUP(CONCATENATE($B$8,"_",$B51),Data!$H$16:$BN$1015,BD$11,FALSE),"")</f>
        <v/>
      </c>
      <c r="BE51" s="1439">
        <f t="shared" si="1"/>
        <v>2038</v>
      </c>
      <c r="BF51" s="1428" t="str">
        <f>IFERROR(VLOOKUP(CONCATENATE($B$8,"_",$B51),Data!$BO$16:$ES$1015,BF$11,FALSE),"")</f>
        <v/>
      </c>
      <c r="BG51" s="1433" t="str">
        <f>IFERROR(VLOOKUP(CONCATENATE($B$8,"_",$B51),Data!$BO$16:$ES$1015,BG$11,FALSE),"")</f>
        <v/>
      </c>
      <c r="BH51" s="1435" t="str">
        <f>IFERROR(VLOOKUP(CONCATENATE($B$8,"_",$B51),Data!$BO$16:$ES$1015,BH$11,FALSE),"")</f>
        <v/>
      </c>
      <c r="BI51" s="1434" t="str">
        <f>IFERROR(VLOOKUP(CONCATENATE($B$8,"_",$B51),Data!$BO$16:$ES$1015,BI$11,FALSE),"")</f>
        <v/>
      </c>
      <c r="BJ51" s="1428" t="str">
        <f>IFERROR(VLOOKUP(CONCATENATE($B$8,"_",$B51),Data!$BO$16:$ES$1015,BJ$11,FALSE),"")</f>
        <v/>
      </c>
      <c r="BK51" s="1428" t="str">
        <f>IFERROR(VLOOKUP(CONCATENATE($B$8,"_",$B51),Data!$BO$16:$ES$1015,BK$11,FALSE),"")</f>
        <v/>
      </c>
      <c r="BL51" s="1428" t="str">
        <f>IFERROR(VLOOKUP(CONCATENATE($B$8,"_",$B51),Data!$BO$16:$ES$1015,BL$11,FALSE),"")</f>
        <v/>
      </c>
      <c r="BM51" s="1433" t="str">
        <f>IFERROR(VLOOKUP(CONCATENATE($B$8,"_",$B51),Data!$BO$16:$ES$1015,BM$11,FALSE),"")</f>
        <v/>
      </c>
      <c r="BN51" s="1433" t="str">
        <f>IFERROR(VLOOKUP(CONCATENATE($B$8,"_",$B51),Data!$BO$16:$ES$1015,BN$11,FALSE),"")</f>
        <v/>
      </c>
      <c r="BO51" s="1433" t="str">
        <f>IFERROR(VLOOKUP(CONCATENATE($B$8,"_",$B51),Data!$BO$16:$ES$1015,BO$11,FALSE),"")</f>
        <v/>
      </c>
      <c r="BP51" s="1433" t="str">
        <f>IFERROR(VLOOKUP(CONCATENATE($B$8,"_",$B51),Data!$BO$16:$ES$1015,BP$11,FALSE),"")</f>
        <v/>
      </c>
      <c r="BQ51" s="1433" t="str">
        <f>IFERROR(VLOOKUP(CONCATENATE($B$8,"_",$B51),Data!$BO$16:$ES$1015,BQ$11,FALSE),"")</f>
        <v/>
      </c>
      <c r="BR51" s="1434" t="str">
        <f>IFERROR(VLOOKUP(CONCATENATE($B$8,"_",$B51),Data!$BO$16:$ES$1015,BR$11,FALSE),"")</f>
        <v/>
      </c>
      <c r="BS51" s="1434" t="str">
        <f>IFERROR(VLOOKUP(CONCATENATE($B$8,"_",$B51),Data!$BO$16:$ES$1015,BS$11,FALSE),"")</f>
        <v/>
      </c>
      <c r="BT51" s="1434" t="str">
        <f>IFERROR(VLOOKUP(CONCATENATE($B$8,"_",$B51),Data!$BO$16:$ES$1015,BT$11,FALSE),"")</f>
        <v/>
      </c>
      <c r="BU51" s="1434" t="str">
        <f>IFERROR(VLOOKUP(CONCATENATE($B$8,"_",$B51),Data!$BO$16:$ES$1015,BU$11,FALSE),"")</f>
        <v/>
      </c>
      <c r="BV51" s="1434" t="str">
        <f>IFERROR(VLOOKUP(CONCATENATE($B$8,"_",$B51),Data!$BO$16:$ES$1015,BV$11,FALSE),"")</f>
        <v/>
      </c>
      <c r="BW51" s="1434" t="str">
        <f>IFERROR(VLOOKUP(CONCATENATE($B$8,"_",$B51),Data!$BO$16:$ES$1015,BW$11,FALSE),"")</f>
        <v/>
      </c>
      <c r="BX51" s="1434" t="str">
        <f>IFERROR(VLOOKUP(CONCATENATE($B$8,"_",$B51),Data!$BO$16:$ES$1015,BX$11,FALSE),"")</f>
        <v/>
      </c>
      <c r="BY51" s="1428" t="str">
        <f>IFERROR(VLOOKUP(CONCATENATE($B$8,"_",$B51),Data!$BO$16:$ES$1015,BY$11,FALSE),"")</f>
        <v/>
      </c>
      <c r="BZ51" s="1428" t="str">
        <f>IFERROR(VLOOKUP(CONCATENATE($B$8,"_",$B51),Data!$BO$16:$ES$1015,BZ$11,FALSE),"")</f>
        <v/>
      </c>
      <c r="CA51" s="1428" t="str">
        <f>IFERROR(VLOOKUP(CONCATENATE($B$8,"_",$B51),Data!$BO$16:$ES$1015,CA$11,FALSE),"")</f>
        <v/>
      </c>
      <c r="CB51" s="1428" t="str">
        <f>IFERROR(VLOOKUP(CONCATENATE($B$8,"_",$B51),Data!$BO$16:$ES$1015,CB$11,FALSE),"")</f>
        <v/>
      </c>
      <c r="CC51" s="1428" t="str">
        <f>IFERROR(VLOOKUP(CONCATENATE($B$8,"_",$B51),Data!$BO$16:$ES$1015,CC$11,FALSE),"")</f>
        <v/>
      </c>
      <c r="CD51" s="1428" t="str">
        <f>IFERROR(VLOOKUP(CONCATENATE($B$8,"_",$B51),Data!$BO$16:$ES$1015,CD$11,FALSE),"")</f>
        <v/>
      </c>
      <c r="CE51" s="1428" t="str">
        <f>IFERROR(VLOOKUP(CONCATENATE($B$8,"_",$B51),Data!$BO$16:$ES$1015,CE$11,FALSE),"")</f>
        <v/>
      </c>
      <c r="CF51" s="1428" t="str">
        <f>IFERROR(VLOOKUP(CONCATENATE($B$8,"_",$B51),Data!$BO$16:$ES$1015,CF$11,FALSE),"")</f>
        <v/>
      </c>
      <c r="CG51" s="1428" t="str">
        <f>IFERROR(VLOOKUP(CONCATENATE($B$8,"_",$B51),Data!$BO$16:$ES$1015,CG$11,FALSE),"")</f>
        <v/>
      </c>
      <c r="CH51" s="1428" t="str">
        <f>IFERROR(VLOOKUP(CONCATENATE($B$8,"_",$B51),Data!$BO$16:$ES$1015,CH$11,FALSE),"")</f>
        <v/>
      </c>
      <c r="CI51" s="1428" t="str">
        <f>IFERROR(VLOOKUP(CONCATENATE($B$8,"_",$B51),Data!$BO$16:$ES$1015,CI$11,FALSE),"")</f>
        <v/>
      </c>
      <c r="CJ51" s="1428" t="str">
        <f>IFERROR(VLOOKUP(CONCATENATE($B$8,"_",$B51),Data!$BO$16:$ES$1015,CJ$11,FALSE),"")</f>
        <v/>
      </c>
      <c r="CK51" s="1428" t="str">
        <f>IFERROR(VLOOKUP(CONCATENATE($B$8,"_",$B51),Data!$BO$16:$ES$1015,CK$11,FALSE),"")</f>
        <v/>
      </c>
      <c r="CL51" s="1428" t="str">
        <f>IFERROR(VLOOKUP(CONCATENATE($B$8,"_",$B51),Data!$BO$16:$ES$1015,CL$11,FALSE),"")</f>
        <v/>
      </c>
      <c r="CM51" s="1428" t="str">
        <f>IFERROR(VLOOKUP(CONCATENATE($B$8,"_",$B51),Data!$BO$16:$ES$1015,CM$11,FALSE),"")</f>
        <v/>
      </c>
      <c r="CN51" s="1428" t="str">
        <f>IFERROR(VLOOKUP(CONCATENATE($B$8,"_",$B51),Data!$BO$16:$ES$1015,CN$11,FALSE),"")</f>
        <v/>
      </c>
      <c r="CO51" s="1428" t="str">
        <f>IFERROR(VLOOKUP(CONCATENATE($B$8,"_",$B51),Data!$BO$16:$ES$1015,CO$11,FALSE),"")</f>
        <v/>
      </c>
      <c r="CP51" s="1433" t="str">
        <f>IFERROR(VLOOKUP(CONCATENATE($B$8,"_",$B51),Data!$BO$16:$ES$1015,CP$11,FALSE),"")</f>
        <v/>
      </c>
      <c r="CQ51" s="1433" t="str">
        <f>IFERROR(VLOOKUP(CONCATENATE($B$8,"_",$B51),Data!$BO$16:$ES$1015,CQ$11,FALSE),"")</f>
        <v/>
      </c>
      <c r="CR51" s="1433" t="str">
        <f>IFERROR(VLOOKUP(CONCATENATE($B$8,"_",$B51),Data!$BO$16:$ES$1015,CR$11,FALSE),"")</f>
        <v/>
      </c>
      <c r="CS51" s="1433" t="str">
        <f>IFERROR(VLOOKUP(CONCATENATE($B$8,"_",$B51),Data!$BO$16:$ES$1015,CS$11,FALSE),"")</f>
        <v/>
      </c>
      <c r="CT51" s="1433" t="str">
        <f>IFERROR(VLOOKUP(CONCATENATE($B$8,"_",$B51),Data!$BO$16:$ES$1015,CT$11,FALSE),"")</f>
        <v/>
      </c>
      <c r="CU51" s="1433" t="str">
        <f>IFERROR(VLOOKUP(CONCATENATE($B$8,"_",$B51),Data!$BO$16:$ES$1015,CU$11,FALSE),"")</f>
        <v/>
      </c>
      <c r="CV51" s="1433" t="str">
        <f>IFERROR(VLOOKUP(CONCATENATE($B$8,"_",$B51),Data!$BO$16:$ES$1015,CV$11,FALSE),"")</f>
        <v/>
      </c>
      <c r="CW51" s="1433" t="str">
        <f>IFERROR(VLOOKUP(CONCATENATE($B$8,"_",$B51),Data!$BO$16:$ES$1015,CW$11,FALSE),"")</f>
        <v/>
      </c>
      <c r="CX51" s="1433" t="str">
        <f>IFERROR(VLOOKUP(CONCATENATE($B$8,"_",$B51),Data!$BO$16:$ES$1015,CX$11,FALSE),"")</f>
        <v/>
      </c>
      <c r="CY51" s="1433" t="str">
        <f>IFERROR(VLOOKUP(CONCATENATE($B$8,"_",$B51),Data!$BO$16:$ES$1015,CY$11,FALSE),"")</f>
        <v/>
      </c>
      <c r="CZ51" s="1433" t="str">
        <f>IFERROR(VLOOKUP(CONCATENATE($B$8,"_",$B51),Data!$BO$16:$ES$1015,CZ$11,FALSE),"")</f>
        <v/>
      </c>
      <c r="DA51" s="1433" t="str">
        <f>IFERROR(VLOOKUP(CONCATENATE($B$8,"_",$B51),Data!$BO$16:$ES$1015,DA$11,FALSE),"")</f>
        <v/>
      </c>
      <c r="DB51" s="1433" t="str">
        <f>IFERROR(VLOOKUP(CONCATENATE($B$8,"_",$B51),Data!$BO$16:$ES$1015,DB$11,FALSE),"")</f>
        <v/>
      </c>
      <c r="DC51" s="1433" t="str">
        <f>IFERROR(VLOOKUP(CONCATENATE($B$8,"_",$B51),Data!$BO$16:$ES$1015,DC$11,FALSE),"")</f>
        <v/>
      </c>
      <c r="DD51" s="1433" t="str">
        <f>IFERROR(VLOOKUP(CONCATENATE($B$8,"_",$B51),Data!$BO$16:$ES$1015,DD$11,FALSE),"")</f>
        <v/>
      </c>
      <c r="DE51" s="1433" t="str">
        <f>IFERROR(VLOOKUP(CONCATENATE($B$8,"_",$B51),Data!$BO$16:$ES$1015,DE$11,FALSE),"")</f>
        <v/>
      </c>
      <c r="DF51" s="1433" t="str">
        <f>IFERROR(VLOOKUP(CONCATENATE($B$8,"_",$B51),Data!$BO$16:$ES$1015,DF$11,FALSE),"")</f>
        <v/>
      </c>
      <c r="DG51" s="1433" t="str">
        <f>IFERROR(VLOOKUP(CONCATENATE($B$8,"_",$B51),Data!$BO$16:$ES$1015,DG$11,FALSE),"")</f>
        <v/>
      </c>
      <c r="DH51" s="1433" t="str">
        <f>IFERROR(VLOOKUP(CONCATENATE($B$8,"_",$B51),Data!$BO$16:$ES$1015,DH$11,FALSE),"")</f>
        <v/>
      </c>
      <c r="DI51" s="1433" t="str">
        <f>IFERROR(VLOOKUP(CONCATENATE($B$8,"_",$B51),Data!$BO$16:$ES$1015,DI$11,FALSE),"")</f>
        <v/>
      </c>
      <c r="DJ51" s="1433" t="str">
        <f>IFERROR(VLOOKUP(CONCATENATE($B$8,"_",$B51),Data!$BO$16:$ES$1015,DJ$11,FALSE),"")</f>
        <v/>
      </c>
      <c r="DK51" s="1433" t="str">
        <f>IFERROR(VLOOKUP(CONCATENATE($B$8,"_",$B51),Data!$BO$16:$ES$1015,DK$11,FALSE),"")</f>
        <v/>
      </c>
      <c r="DL51" s="1435" t="str">
        <f>IFERROR(VLOOKUP(CONCATENATE($B$8,"_",$B51),Data!$BO$16:$ES$1015,DL$11,FALSE),"")</f>
        <v/>
      </c>
      <c r="DM51" s="1434" t="str">
        <f>IFERROR(VLOOKUP(CONCATENATE($B$8,"_",$B51),Data!$BO$16:$ES$1015,DM$11,FALSE),"")</f>
        <v/>
      </c>
      <c r="DN51" s="1434" t="str">
        <f>IFERROR(VLOOKUP(CONCATENATE($B$8,"_",$B51),Data!$BO$16:$ES$1015,DN$11,FALSE),"")</f>
        <v/>
      </c>
      <c r="DO51" s="1434" t="str">
        <f>IFERROR(VLOOKUP(CONCATENATE($B$8,"_",$B51),Data!$BO$16:$ES$1015,DO$11,FALSE),"")</f>
        <v/>
      </c>
      <c r="DP51" s="1434" t="str">
        <f>IFERROR(VLOOKUP(CONCATENATE($B$8,"_",$B51),Data!$BO$16:$ES$1015,DP$11,FALSE),"")</f>
        <v/>
      </c>
      <c r="DQ51" s="1434" t="str">
        <f>IFERROR(VLOOKUP(CONCATENATE($B$8,"_",$B51),Data!$BO$16:$ES$1015,DQ$11,FALSE),"")</f>
        <v/>
      </c>
      <c r="DR51" s="1434" t="str">
        <f>IFERROR(VLOOKUP(CONCATENATE($B$8,"_",$B51),Data!$BO$16:$ES$1015,DR$11,FALSE),"")</f>
        <v/>
      </c>
      <c r="DS51" s="1434" t="str">
        <f>IFERROR(VLOOKUP(CONCATENATE($B$8,"_",$B51),Data!$BO$16:$ES$1015,DS$11,FALSE),"")</f>
        <v/>
      </c>
      <c r="DT51" s="1434" t="str">
        <f>IFERROR(VLOOKUP(CONCATENATE($B$8,"_",$B51),Data!$BO$16:$ES$1015,DT$11,FALSE),"")</f>
        <v/>
      </c>
      <c r="DU51" s="1434" t="str">
        <f>IFERROR(VLOOKUP(CONCATENATE($B$8,"_",$B51),Data!$BO$16:$ES$1015,DU$11,FALSE),"")</f>
        <v/>
      </c>
      <c r="DV51" s="1434" t="str">
        <f>IFERROR(VLOOKUP(CONCATENATE($B$8,"_",$B51),Data!$BO$16:$ES$1015,DV$11,FALSE),"")</f>
        <v/>
      </c>
      <c r="DW51" s="1434" t="str">
        <f>IFERROR(VLOOKUP(CONCATENATE($B$8,"_",$B51),Data!$BO$16:$ES$1015,DW$11,FALSE),"")</f>
        <v/>
      </c>
      <c r="DX51" s="1434" t="str">
        <f>IFERROR(VLOOKUP(CONCATENATE($B$8,"_",$B51),Data!$BO$16:$ES$1015,DX$11,FALSE),"")</f>
        <v/>
      </c>
      <c r="DY51" s="1434" t="str">
        <f>IFERROR(VLOOKUP(CONCATENATE($B$8,"_",$B51),Data!$BO$16:$ES$1015,DY$11,FALSE),"")</f>
        <v/>
      </c>
      <c r="DZ51" s="1434" t="str">
        <f>IFERROR(VLOOKUP(CONCATENATE($B$8,"_",$B51),Data!$BO$16:$ES$1015,DZ$11,FALSE),"")</f>
        <v/>
      </c>
      <c r="EA51" s="1434" t="str">
        <f>IFERROR(VLOOKUP(CONCATENATE($B$8,"_",$B51),Data!$BO$16:$ES$1015,EA$11,FALSE),"")</f>
        <v/>
      </c>
      <c r="EB51" s="1434" t="str">
        <f>IFERROR(VLOOKUP(CONCATENATE($B$8,"_",$B51),Data!$BO$16:$ES$1015,EB$11,FALSE),"")</f>
        <v/>
      </c>
      <c r="EC51" s="1434" t="str">
        <f>IFERROR(VLOOKUP(CONCATENATE($B$8,"_",$B51),Data!$BO$16:$ES$1015,EC$11,FALSE),"")</f>
        <v/>
      </c>
      <c r="ED51" s="1434" t="str">
        <f>IFERROR(VLOOKUP(CONCATENATE($B$8,"_",$B51),Data!$BO$16:$ES$1015,ED$11,FALSE),"")</f>
        <v/>
      </c>
      <c r="EE51" s="1434" t="str">
        <f>IFERROR(VLOOKUP(CONCATENATE($B$8,"_",$B51),Data!$BO$16:$ES$1015,EE$11,FALSE),"")</f>
        <v/>
      </c>
      <c r="EF51" s="1434" t="str">
        <f>IFERROR(VLOOKUP(CONCATENATE($B$8,"_",$B51),Data!$BO$16:$ES$1015,EF$11,FALSE),"")</f>
        <v/>
      </c>
      <c r="EG51" s="1434" t="str">
        <f>IFERROR(VLOOKUP(CONCATENATE($B$8,"_",$B51),Data!$BO$16:$ES$1015,EG$11,FALSE),"")</f>
        <v/>
      </c>
      <c r="EH51" s="1434" t="str">
        <f>IFERROR(VLOOKUP(CONCATENATE($B$8,"_",$B51),Data!$BO$16:$ES$1015,EH$11,FALSE),"")</f>
        <v/>
      </c>
      <c r="EI51" s="1434" t="str">
        <f>IFERROR(VLOOKUP(CONCATENATE($B$8,"_",$B51),Data!$BO$16:$ES$1015,EI$11,FALSE),"")</f>
        <v/>
      </c>
      <c r="EK51" s="1437"/>
    </row>
    <row r="52" spans="1:141" s="1436" customFormat="1" ht="15" customHeight="1">
      <c r="A52" s="1438">
        <v>39</v>
      </c>
      <c r="B52" s="1738">
        <f>IF($B$13+A52&lt;=Progress!$D$18,$B$13+A52,"")</f>
        <v>2039</v>
      </c>
      <c r="C52" s="1737" t="str">
        <f>IFERROR(VLOOKUP(CONCATENATE($B$8,"_",$B52),Data!$H$16:$BN$1015,C$11,FALSE),"")</f>
        <v/>
      </c>
      <c r="D52" s="1428" t="str">
        <f>IFERROR(VLOOKUP(CONCATENATE($B$8,"_",$B52),Data!$H$16:$BN$1015,D$11,FALSE),"")</f>
        <v/>
      </c>
      <c r="E52" s="1429" t="str">
        <f>IFERROR(VLOOKUP(CONCATENATE($B$8,"_",$B52),Data!$H$16:$BN$1015,E$11,FALSE),"")</f>
        <v/>
      </c>
      <c r="F52" s="1428" t="str">
        <f>IFERROR(VLOOKUP(CONCATENATE($B$8,"_",$B52),Data!$H$16:$BN$1015,F$11,FALSE),"")</f>
        <v/>
      </c>
      <c r="G52" s="1428" t="str">
        <f>IFERROR(VLOOKUP(CONCATENATE($B$8,"_",$B52),Data!$H$16:$BN$1015,G$11,FALSE),"")</f>
        <v/>
      </c>
      <c r="H52" s="1429" t="str">
        <f>IFERROR(VLOOKUP(CONCATENATE($B$8,"_",$B52),Data!$H$16:$BN$1015,H$11,FALSE),"")</f>
        <v/>
      </c>
      <c r="I52" s="1428" t="str">
        <f>IFERROR(VLOOKUP(CONCATENATE($B$8,"_",$B52),Data!$H$16:$BN$1015,I$11,FALSE),"")</f>
        <v/>
      </c>
      <c r="J52" s="1428" t="str">
        <f>IFERROR(VLOOKUP(CONCATENATE($B$8,"_",$B52),Data!$H$16:$BN$1015,J$11,FALSE),"")</f>
        <v/>
      </c>
      <c r="K52" s="1429" t="str">
        <f>IFERROR(VLOOKUP(CONCATENATE($B$8,"_",$B52),Data!$H$16:$BN$1015,K$11,FALSE),"")</f>
        <v/>
      </c>
      <c r="L52" s="1428" t="str">
        <f>IFERROR(VLOOKUP(CONCATENATE($B$8,"_",$B52),Data!$H$16:$BN$1015,L$11,FALSE),"")</f>
        <v/>
      </c>
      <c r="M52" s="1428" t="str">
        <f>IFERROR(VLOOKUP(CONCATENATE($B$8,"_",$B52),Data!$H$16:$BN$1015,M$11,FALSE),"")</f>
        <v/>
      </c>
      <c r="N52" s="1429" t="str">
        <f>IFERROR(VLOOKUP(CONCATENATE($B$8,"_",$B52),Data!$H$16:$BN$1015,N$11,FALSE),"")</f>
        <v/>
      </c>
      <c r="O52" s="1430" t="str">
        <f>IFERROR(VLOOKUP(CONCATENATE($B$8,"_",$B52),Data!$H$16:$BN$1015,O$11,FALSE),"")</f>
        <v/>
      </c>
      <c r="P52" s="1428" t="str">
        <f>IFERROR(VLOOKUP(CONCATENATE($B$8,"_",$B52),Data!$H$16:$BN$1015,P$11,FALSE),"")</f>
        <v/>
      </c>
      <c r="Q52" s="1428" t="str">
        <f>IFERROR(VLOOKUP(CONCATENATE($B$8,"_",$B52),Data!$H$16:$BN$1015,Q$11,FALSE),"")</f>
        <v/>
      </c>
      <c r="R52" s="1429" t="str">
        <f>IFERROR(VLOOKUP(CONCATENATE($B$8,"_",$B52),Data!$H$16:$BN$1015,R$11,FALSE),"")</f>
        <v/>
      </c>
      <c r="S52" s="1428" t="str">
        <f>IFERROR(VLOOKUP(CONCATENATE($B$8,"_",$B52),Data!$H$16:$BN$1015,S$11,FALSE),"")</f>
        <v/>
      </c>
      <c r="T52" s="1428" t="str">
        <f>IFERROR(VLOOKUP(CONCATENATE($B$8,"_",$B52),Data!$H$16:$BN$1015,T$11,FALSE),"")</f>
        <v/>
      </c>
      <c r="U52" s="1429" t="str">
        <f>IFERROR(VLOOKUP(CONCATENATE($B$8,"_",$B52),Data!$H$16:$BN$1015,U$11,FALSE),"")</f>
        <v/>
      </c>
      <c r="V52" s="1428" t="str">
        <f>IFERROR(VLOOKUP(CONCATENATE($B$8,"_",$B52),Data!$H$16:$BN$1015,V$11,FALSE),"")</f>
        <v/>
      </c>
      <c r="W52" s="1428" t="str">
        <f>IFERROR(VLOOKUP(CONCATENATE($B$8,"_",$B52),Data!$H$16:$BN$1015,W$11,FALSE),"")</f>
        <v/>
      </c>
      <c r="X52" s="1428" t="str">
        <f>IFERROR(VLOOKUP(CONCATENATE($B$8,"_",$B52),Data!$H$16:$BN$1015,X$11,FALSE),"")</f>
        <v/>
      </c>
      <c r="Y52" s="1428" t="str">
        <f>IFERROR(VLOOKUP(CONCATENATE($B$8,"_",$B52),Data!$H$16:$BN$1015,Y$11,FALSE),"")</f>
        <v/>
      </c>
      <c r="Z52" s="1429" t="str">
        <f>IFERROR(VLOOKUP(CONCATENATE($B$8,"_",$B52),Data!$H$16:$BN$1015,Z$11,FALSE),"")</f>
        <v/>
      </c>
      <c r="AA52" s="1428" t="str">
        <f>IFERROR(VLOOKUP(CONCATENATE($B$8,"_",$B52),Data!$H$16:$BN$1015,AA$11,FALSE),"")</f>
        <v/>
      </c>
      <c r="AB52" s="1428" t="str">
        <f>IFERROR(VLOOKUP(CONCATENATE($B$8,"_",$B52),Data!$H$16:$BN$1015,AB$11,FALSE),"")</f>
        <v/>
      </c>
      <c r="AC52" s="1429" t="str">
        <f>IFERROR(VLOOKUP(CONCATENATE($B$8,"_",$B52),Data!$H$16:$BN$1015,AC$11,FALSE),"")</f>
        <v/>
      </c>
      <c r="AD52" s="1428" t="str">
        <f>IFERROR(VLOOKUP(CONCATENATE($B$8,"_",$B52),Data!$H$16:$BN$1015,AD$11,FALSE),"")</f>
        <v/>
      </c>
      <c r="AE52" s="1428" t="str">
        <f>IFERROR(VLOOKUP(CONCATENATE($B$8,"_",$B52),Data!$H$16:$BN$1015,AE$11,FALSE),"")</f>
        <v/>
      </c>
      <c r="AF52" s="1429" t="str">
        <f>IFERROR(VLOOKUP(CONCATENATE($B$8,"_",$B52),Data!$H$16:$BN$1015,AF$11,FALSE),"")</f>
        <v/>
      </c>
      <c r="AG52" s="1428" t="str">
        <f>IFERROR(VLOOKUP(CONCATENATE($B$8,"_",$B52),Data!$H$16:$BN$1015,AG$11,FALSE),"")</f>
        <v/>
      </c>
      <c r="AH52" s="1428" t="str">
        <f>IFERROR(VLOOKUP(CONCATENATE($B$8,"_",$B52),Data!$H$16:$BN$1015,AH$11,FALSE),"")</f>
        <v/>
      </c>
      <c r="AI52" s="1429" t="str">
        <f>IFERROR(VLOOKUP(CONCATENATE($B$8,"_",$B52),Data!$H$16:$BN$1015,AI$11,FALSE),"")</f>
        <v/>
      </c>
      <c r="AJ52" s="1428" t="str">
        <f>IFERROR(VLOOKUP(CONCATENATE($B$8,"_",$B52),Data!$H$16:$BN$1015,AJ$11,FALSE),"")</f>
        <v/>
      </c>
      <c r="AK52" s="1428" t="str">
        <f>IFERROR(VLOOKUP(CONCATENATE($B$8,"_",$B52),Data!$H$16:$BN$1015,AK$11,FALSE),"")</f>
        <v/>
      </c>
      <c r="AL52" s="1429" t="str">
        <f>IFERROR(VLOOKUP(CONCATENATE($B$8,"_",$B52),Data!$H$16:$BN$1015,AL$11,FALSE),"")</f>
        <v/>
      </c>
      <c r="AM52" s="1428" t="str">
        <f>IFERROR(VLOOKUP(CONCATENATE($B$8,"_",$B52),Data!$H$16:$BN$1015,AM$11,FALSE),"")</f>
        <v/>
      </c>
      <c r="AN52" s="1428" t="str">
        <f>IFERROR(VLOOKUP(CONCATENATE($B$8,"_",$B52),Data!$H$16:$BN$1015,AN$11,FALSE),"")</f>
        <v/>
      </c>
      <c r="AO52" s="1430" t="str">
        <f>IFERROR(VLOOKUP(CONCATENATE($B$8,"_",$B52),Data!$H$16:$BN$1015,AO$11,FALSE),"")</f>
        <v/>
      </c>
      <c r="AP52" s="1428" t="str">
        <f>IFERROR(VLOOKUP(CONCATENATE($B$8,"_",$B52),Data!$H$16:$BN$1015,AP$11,FALSE),"")</f>
        <v/>
      </c>
      <c r="AQ52" s="1428" t="str">
        <f>IFERROR(VLOOKUP(CONCATENATE($B$8,"_",$B52),Data!$H$16:$BN$1015,AQ$11,FALSE),"")</f>
        <v/>
      </c>
      <c r="AR52" s="1430" t="str">
        <f>IFERROR(VLOOKUP(CONCATENATE($B$8,"_",$B52),Data!$H$16:$BN$1015,AR$11,FALSE),"")</f>
        <v/>
      </c>
      <c r="AS52" s="1428" t="str">
        <f>IFERROR(VLOOKUP(CONCATENATE($B$8,"_",$B52),Data!$H$16:$BN$1015,AS$11,FALSE),"")</f>
        <v/>
      </c>
      <c r="AT52" s="1428" t="str">
        <f>IFERROR(VLOOKUP(CONCATENATE($B$8,"_",$B52),Data!$H$16:$BN$1015,AT$11,FALSE),"")</f>
        <v/>
      </c>
      <c r="AU52" s="1430" t="str">
        <f>IFERROR(VLOOKUP(CONCATENATE($B$8,"_",$B52),Data!$H$16:$BN$1015,AU$11,FALSE),"")</f>
        <v/>
      </c>
      <c r="AV52" s="1428" t="str">
        <f>IFERROR(VLOOKUP(CONCATENATE($B$8,"_",$B52),Data!$H$16:$BN$1015,AV$11,FALSE),"")</f>
        <v/>
      </c>
      <c r="AW52" s="1428" t="str">
        <f>IFERROR(VLOOKUP(CONCATENATE($B$8,"_",$B52),Data!$H$16:$BN$1015,AW$11,FALSE),"")</f>
        <v/>
      </c>
      <c r="AX52" s="1430" t="str">
        <f>IFERROR(VLOOKUP(CONCATENATE($B$8,"_",$B52),Data!$H$16:$BN$1015,AX$11,FALSE),"")</f>
        <v/>
      </c>
      <c r="AY52" s="1429" t="str">
        <f>IFERROR(VLOOKUP(CONCATENATE($B$8,"_",$B52),Data!$H$16:$BN$1015,AY$11,FALSE),"")</f>
        <v/>
      </c>
      <c r="AZ52" s="1429" t="str">
        <f>IFERROR(VLOOKUP(CONCATENATE($B$8,"_",$B52),Data!$H$16:$BN$1015,AZ$11,FALSE),"")</f>
        <v/>
      </c>
      <c r="BA52" s="1429" t="str">
        <f>IFERROR(VLOOKUP(CONCATENATE($B$8,"_",$B52),Data!$H$16:$BN$1015,BA$11,FALSE),"")</f>
        <v/>
      </c>
      <c r="BB52" s="1429" t="str">
        <f>IFERROR(VLOOKUP(CONCATENATE($B$8,"_",$B52),Data!$H$16:$BN$1015,BB$11,FALSE),"")</f>
        <v/>
      </c>
      <c r="BC52" s="1429" t="str">
        <f>IFERROR(VLOOKUP(CONCATENATE($B$8,"_",$B52),Data!$H$16:$BN$1015,BC$11,FALSE),"")</f>
        <v/>
      </c>
      <c r="BD52" s="1431" t="str">
        <f>IFERROR(VLOOKUP(CONCATENATE($B$8,"_",$B52),Data!$H$16:$BN$1015,BD$11,FALSE),"")</f>
        <v/>
      </c>
      <c r="BE52" s="1439">
        <f t="shared" si="1"/>
        <v>2039</v>
      </c>
      <c r="BF52" s="1428" t="str">
        <f>IFERROR(VLOOKUP(CONCATENATE($B$8,"_",$B52),Data!$BO$16:$ES$1015,BF$11,FALSE),"")</f>
        <v/>
      </c>
      <c r="BG52" s="1433" t="str">
        <f>IFERROR(VLOOKUP(CONCATENATE($B$8,"_",$B52),Data!$BO$16:$ES$1015,BG$11,FALSE),"")</f>
        <v/>
      </c>
      <c r="BH52" s="1435" t="str">
        <f>IFERROR(VLOOKUP(CONCATENATE($B$8,"_",$B52),Data!$BO$16:$ES$1015,BH$11,FALSE),"")</f>
        <v/>
      </c>
      <c r="BI52" s="1434" t="str">
        <f>IFERROR(VLOOKUP(CONCATENATE($B$8,"_",$B52),Data!$BO$16:$ES$1015,BI$11,FALSE),"")</f>
        <v/>
      </c>
      <c r="BJ52" s="1428" t="str">
        <f>IFERROR(VLOOKUP(CONCATENATE($B$8,"_",$B52),Data!$BO$16:$ES$1015,BJ$11,FALSE),"")</f>
        <v/>
      </c>
      <c r="BK52" s="1428" t="str">
        <f>IFERROR(VLOOKUP(CONCATENATE($B$8,"_",$B52),Data!$BO$16:$ES$1015,BK$11,FALSE),"")</f>
        <v/>
      </c>
      <c r="BL52" s="1428" t="str">
        <f>IFERROR(VLOOKUP(CONCATENATE($B$8,"_",$B52),Data!$BO$16:$ES$1015,BL$11,FALSE),"")</f>
        <v/>
      </c>
      <c r="BM52" s="1433" t="str">
        <f>IFERROR(VLOOKUP(CONCATENATE($B$8,"_",$B52),Data!$BO$16:$ES$1015,BM$11,FALSE),"")</f>
        <v/>
      </c>
      <c r="BN52" s="1433" t="str">
        <f>IFERROR(VLOOKUP(CONCATENATE($B$8,"_",$B52),Data!$BO$16:$ES$1015,BN$11,FALSE),"")</f>
        <v/>
      </c>
      <c r="BO52" s="1433" t="str">
        <f>IFERROR(VLOOKUP(CONCATENATE($B$8,"_",$B52),Data!$BO$16:$ES$1015,BO$11,FALSE),"")</f>
        <v/>
      </c>
      <c r="BP52" s="1433" t="str">
        <f>IFERROR(VLOOKUP(CONCATENATE($B$8,"_",$B52),Data!$BO$16:$ES$1015,BP$11,FALSE),"")</f>
        <v/>
      </c>
      <c r="BQ52" s="1433" t="str">
        <f>IFERROR(VLOOKUP(CONCATENATE($B$8,"_",$B52),Data!$BO$16:$ES$1015,BQ$11,FALSE),"")</f>
        <v/>
      </c>
      <c r="BR52" s="1434" t="str">
        <f>IFERROR(VLOOKUP(CONCATENATE($B$8,"_",$B52),Data!$BO$16:$ES$1015,BR$11,FALSE),"")</f>
        <v/>
      </c>
      <c r="BS52" s="1434" t="str">
        <f>IFERROR(VLOOKUP(CONCATENATE($B$8,"_",$B52),Data!$BO$16:$ES$1015,BS$11,FALSE),"")</f>
        <v/>
      </c>
      <c r="BT52" s="1434" t="str">
        <f>IFERROR(VLOOKUP(CONCATENATE($B$8,"_",$B52),Data!$BO$16:$ES$1015,BT$11,FALSE),"")</f>
        <v/>
      </c>
      <c r="BU52" s="1434" t="str">
        <f>IFERROR(VLOOKUP(CONCATENATE($B$8,"_",$B52),Data!$BO$16:$ES$1015,BU$11,FALSE),"")</f>
        <v/>
      </c>
      <c r="BV52" s="1434" t="str">
        <f>IFERROR(VLOOKUP(CONCATENATE($B$8,"_",$B52),Data!$BO$16:$ES$1015,BV$11,FALSE),"")</f>
        <v/>
      </c>
      <c r="BW52" s="1434" t="str">
        <f>IFERROR(VLOOKUP(CONCATENATE($B$8,"_",$B52),Data!$BO$16:$ES$1015,BW$11,FALSE),"")</f>
        <v/>
      </c>
      <c r="BX52" s="1434" t="str">
        <f>IFERROR(VLOOKUP(CONCATENATE($B$8,"_",$B52),Data!$BO$16:$ES$1015,BX$11,FALSE),"")</f>
        <v/>
      </c>
      <c r="BY52" s="1428" t="str">
        <f>IFERROR(VLOOKUP(CONCATENATE($B$8,"_",$B52),Data!$BO$16:$ES$1015,BY$11,FALSE),"")</f>
        <v/>
      </c>
      <c r="BZ52" s="1428" t="str">
        <f>IFERROR(VLOOKUP(CONCATENATE($B$8,"_",$B52),Data!$BO$16:$ES$1015,BZ$11,FALSE),"")</f>
        <v/>
      </c>
      <c r="CA52" s="1428" t="str">
        <f>IFERROR(VLOOKUP(CONCATENATE($B$8,"_",$B52),Data!$BO$16:$ES$1015,CA$11,FALSE),"")</f>
        <v/>
      </c>
      <c r="CB52" s="1428" t="str">
        <f>IFERROR(VLOOKUP(CONCATENATE($B$8,"_",$B52),Data!$BO$16:$ES$1015,CB$11,FALSE),"")</f>
        <v/>
      </c>
      <c r="CC52" s="1428" t="str">
        <f>IFERROR(VLOOKUP(CONCATENATE($B$8,"_",$B52),Data!$BO$16:$ES$1015,CC$11,FALSE),"")</f>
        <v/>
      </c>
      <c r="CD52" s="1428" t="str">
        <f>IFERROR(VLOOKUP(CONCATENATE($B$8,"_",$B52),Data!$BO$16:$ES$1015,CD$11,FALSE),"")</f>
        <v/>
      </c>
      <c r="CE52" s="1428" t="str">
        <f>IFERROR(VLOOKUP(CONCATENATE($B$8,"_",$B52),Data!$BO$16:$ES$1015,CE$11,FALSE),"")</f>
        <v/>
      </c>
      <c r="CF52" s="1428" t="str">
        <f>IFERROR(VLOOKUP(CONCATENATE($B$8,"_",$B52),Data!$BO$16:$ES$1015,CF$11,FALSE),"")</f>
        <v/>
      </c>
      <c r="CG52" s="1428" t="str">
        <f>IFERROR(VLOOKUP(CONCATENATE($B$8,"_",$B52),Data!$BO$16:$ES$1015,CG$11,FALSE),"")</f>
        <v/>
      </c>
      <c r="CH52" s="1428" t="str">
        <f>IFERROR(VLOOKUP(CONCATENATE($B$8,"_",$B52),Data!$BO$16:$ES$1015,CH$11,FALSE),"")</f>
        <v/>
      </c>
      <c r="CI52" s="1428" t="str">
        <f>IFERROR(VLOOKUP(CONCATENATE($B$8,"_",$B52),Data!$BO$16:$ES$1015,CI$11,FALSE),"")</f>
        <v/>
      </c>
      <c r="CJ52" s="1428" t="str">
        <f>IFERROR(VLOOKUP(CONCATENATE($B$8,"_",$B52),Data!$BO$16:$ES$1015,CJ$11,FALSE),"")</f>
        <v/>
      </c>
      <c r="CK52" s="1428" t="str">
        <f>IFERROR(VLOOKUP(CONCATENATE($B$8,"_",$B52),Data!$BO$16:$ES$1015,CK$11,FALSE),"")</f>
        <v/>
      </c>
      <c r="CL52" s="1428" t="str">
        <f>IFERROR(VLOOKUP(CONCATENATE($B$8,"_",$B52),Data!$BO$16:$ES$1015,CL$11,FALSE),"")</f>
        <v/>
      </c>
      <c r="CM52" s="1428" t="str">
        <f>IFERROR(VLOOKUP(CONCATENATE($B$8,"_",$B52),Data!$BO$16:$ES$1015,CM$11,FALSE),"")</f>
        <v/>
      </c>
      <c r="CN52" s="1428" t="str">
        <f>IFERROR(VLOOKUP(CONCATENATE($B$8,"_",$B52),Data!$BO$16:$ES$1015,CN$11,FALSE),"")</f>
        <v/>
      </c>
      <c r="CO52" s="1428" t="str">
        <f>IFERROR(VLOOKUP(CONCATENATE($B$8,"_",$B52),Data!$BO$16:$ES$1015,CO$11,FALSE),"")</f>
        <v/>
      </c>
      <c r="CP52" s="1433" t="str">
        <f>IFERROR(VLOOKUP(CONCATENATE($B$8,"_",$B52),Data!$BO$16:$ES$1015,CP$11,FALSE),"")</f>
        <v/>
      </c>
      <c r="CQ52" s="1433" t="str">
        <f>IFERROR(VLOOKUP(CONCATENATE($B$8,"_",$B52),Data!$BO$16:$ES$1015,CQ$11,FALSE),"")</f>
        <v/>
      </c>
      <c r="CR52" s="1433" t="str">
        <f>IFERROR(VLOOKUP(CONCATENATE($B$8,"_",$B52),Data!$BO$16:$ES$1015,CR$11,FALSE),"")</f>
        <v/>
      </c>
      <c r="CS52" s="1433" t="str">
        <f>IFERROR(VLOOKUP(CONCATENATE($B$8,"_",$B52),Data!$BO$16:$ES$1015,CS$11,FALSE),"")</f>
        <v/>
      </c>
      <c r="CT52" s="1433" t="str">
        <f>IFERROR(VLOOKUP(CONCATENATE($B$8,"_",$B52),Data!$BO$16:$ES$1015,CT$11,FALSE),"")</f>
        <v/>
      </c>
      <c r="CU52" s="1433" t="str">
        <f>IFERROR(VLOOKUP(CONCATENATE($B$8,"_",$B52),Data!$BO$16:$ES$1015,CU$11,FALSE),"")</f>
        <v/>
      </c>
      <c r="CV52" s="1433" t="str">
        <f>IFERROR(VLOOKUP(CONCATENATE($B$8,"_",$B52),Data!$BO$16:$ES$1015,CV$11,FALSE),"")</f>
        <v/>
      </c>
      <c r="CW52" s="1433" t="str">
        <f>IFERROR(VLOOKUP(CONCATENATE($B$8,"_",$B52),Data!$BO$16:$ES$1015,CW$11,FALSE),"")</f>
        <v/>
      </c>
      <c r="CX52" s="1433" t="str">
        <f>IFERROR(VLOOKUP(CONCATENATE($B$8,"_",$B52),Data!$BO$16:$ES$1015,CX$11,FALSE),"")</f>
        <v/>
      </c>
      <c r="CY52" s="1433" t="str">
        <f>IFERROR(VLOOKUP(CONCATENATE($B$8,"_",$B52),Data!$BO$16:$ES$1015,CY$11,FALSE),"")</f>
        <v/>
      </c>
      <c r="CZ52" s="1433" t="str">
        <f>IFERROR(VLOOKUP(CONCATENATE($B$8,"_",$B52),Data!$BO$16:$ES$1015,CZ$11,FALSE),"")</f>
        <v/>
      </c>
      <c r="DA52" s="1433" t="str">
        <f>IFERROR(VLOOKUP(CONCATENATE($B$8,"_",$B52),Data!$BO$16:$ES$1015,DA$11,FALSE),"")</f>
        <v/>
      </c>
      <c r="DB52" s="1433" t="str">
        <f>IFERROR(VLOOKUP(CONCATENATE($B$8,"_",$B52),Data!$BO$16:$ES$1015,DB$11,FALSE),"")</f>
        <v/>
      </c>
      <c r="DC52" s="1433" t="str">
        <f>IFERROR(VLOOKUP(CONCATENATE($B$8,"_",$B52),Data!$BO$16:$ES$1015,DC$11,FALSE),"")</f>
        <v/>
      </c>
      <c r="DD52" s="1433" t="str">
        <f>IFERROR(VLOOKUP(CONCATENATE($B$8,"_",$B52),Data!$BO$16:$ES$1015,DD$11,FALSE),"")</f>
        <v/>
      </c>
      <c r="DE52" s="1433" t="str">
        <f>IFERROR(VLOOKUP(CONCATENATE($B$8,"_",$B52),Data!$BO$16:$ES$1015,DE$11,FALSE),"")</f>
        <v/>
      </c>
      <c r="DF52" s="1433" t="str">
        <f>IFERROR(VLOOKUP(CONCATENATE($B$8,"_",$B52),Data!$BO$16:$ES$1015,DF$11,FALSE),"")</f>
        <v/>
      </c>
      <c r="DG52" s="1433" t="str">
        <f>IFERROR(VLOOKUP(CONCATENATE($B$8,"_",$B52),Data!$BO$16:$ES$1015,DG$11,FALSE),"")</f>
        <v/>
      </c>
      <c r="DH52" s="1433" t="str">
        <f>IFERROR(VLOOKUP(CONCATENATE($B$8,"_",$B52),Data!$BO$16:$ES$1015,DH$11,FALSE),"")</f>
        <v/>
      </c>
      <c r="DI52" s="1433" t="str">
        <f>IFERROR(VLOOKUP(CONCATENATE($B$8,"_",$B52),Data!$BO$16:$ES$1015,DI$11,FALSE),"")</f>
        <v/>
      </c>
      <c r="DJ52" s="1433" t="str">
        <f>IFERROR(VLOOKUP(CONCATENATE($B$8,"_",$B52),Data!$BO$16:$ES$1015,DJ$11,FALSE),"")</f>
        <v/>
      </c>
      <c r="DK52" s="1433" t="str">
        <f>IFERROR(VLOOKUP(CONCATENATE($B$8,"_",$B52),Data!$BO$16:$ES$1015,DK$11,FALSE),"")</f>
        <v/>
      </c>
      <c r="DL52" s="1435" t="str">
        <f>IFERROR(VLOOKUP(CONCATENATE($B$8,"_",$B52),Data!$BO$16:$ES$1015,DL$11,FALSE),"")</f>
        <v/>
      </c>
      <c r="DM52" s="1434" t="str">
        <f>IFERROR(VLOOKUP(CONCATENATE($B$8,"_",$B52),Data!$BO$16:$ES$1015,DM$11,FALSE),"")</f>
        <v/>
      </c>
      <c r="DN52" s="1434" t="str">
        <f>IFERROR(VLOOKUP(CONCATENATE($B$8,"_",$B52),Data!$BO$16:$ES$1015,DN$11,FALSE),"")</f>
        <v/>
      </c>
      <c r="DO52" s="1434" t="str">
        <f>IFERROR(VLOOKUP(CONCATENATE($B$8,"_",$B52),Data!$BO$16:$ES$1015,DO$11,FALSE),"")</f>
        <v/>
      </c>
      <c r="DP52" s="1434" t="str">
        <f>IFERROR(VLOOKUP(CONCATENATE($B$8,"_",$B52),Data!$BO$16:$ES$1015,DP$11,FALSE),"")</f>
        <v/>
      </c>
      <c r="DQ52" s="1434" t="str">
        <f>IFERROR(VLOOKUP(CONCATENATE($B$8,"_",$B52),Data!$BO$16:$ES$1015,DQ$11,FALSE),"")</f>
        <v/>
      </c>
      <c r="DR52" s="1434" t="str">
        <f>IFERROR(VLOOKUP(CONCATENATE($B$8,"_",$B52),Data!$BO$16:$ES$1015,DR$11,FALSE),"")</f>
        <v/>
      </c>
      <c r="DS52" s="1434" t="str">
        <f>IFERROR(VLOOKUP(CONCATENATE($B$8,"_",$B52),Data!$BO$16:$ES$1015,DS$11,FALSE),"")</f>
        <v/>
      </c>
      <c r="DT52" s="1434" t="str">
        <f>IFERROR(VLOOKUP(CONCATENATE($B$8,"_",$B52),Data!$BO$16:$ES$1015,DT$11,FALSE),"")</f>
        <v/>
      </c>
      <c r="DU52" s="1434" t="str">
        <f>IFERROR(VLOOKUP(CONCATENATE($B$8,"_",$B52),Data!$BO$16:$ES$1015,DU$11,FALSE),"")</f>
        <v/>
      </c>
      <c r="DV52" s="1434" t="str">
        <f>IFERROR(VLOOKUP(CONCATENATE($B$8,"_",$B52),Data!$BO$16:$ES$1015,DV$11,FALSE),"")</f>
        <v/>
      </c>
      <c r="DW52" s="1434" t="str">
        <f>IFERROR(VLOOKUP(CONCATENATE($B$8,"_",$B52),Data!$BO$16:$ES$1015,DW$11,FALSE),"")</f>
        <v/>
      </c>
      <c r="DX52" s="1434" t="str">
        <f>IFERROR(VLOOKUP(CONCATENATE($B$8,"_",$B52),Data!$BO$16:$ES$1015,DX$11,FALSE),"")</f>
        <v/>
      </c>
      <c r="DY52" s="1434" t="str">
        <f>IFERROR(VLOOKUP(CONCATENATE($B$8,"_",$B52),Data!$BO$16:$ES$1015,DY$11,FALSE),"")</f>
        <v/>
      </c>
      <c r="DZ52" s="1434" t="str">
        <f>IFERROR(VLOOKUP(CONCATENATE($B$8,"_",$B52),Data!$BO$16:$ES$1015,DZ$11,FALSE),"")</f>
        <v/>
      </c>
      <c r="EA52" s="1434" t="str">
        <f>IFERROR(VLOOKUP(CONCATENATE($B$8,"_",$B52),Data!$BO$16:$ES$1015,EA$11,FALSE),"")</f>
        <v/>
      </c>
      <c r="EB52" s="1434" t="str">
        <f>IFERROR(VLOOKUP(CONCATENATE($B$8,"_",$B52),Data!$BO$16:$ES$1015,EB$11,FALSE),"")</f>
        <v/>
      </c>
      <c r="EC52" s="1434" t="str">
        <f>IFERROR(VLOOKUP(CONCATENATE($B$8,"_",$B52),Data!$BO$16:$ES$1015,EC$11,FALSE),"")</f>
        <v/>
      </c>
      <c r="ED52" s="1434" t="str">
        <f>IFERROR(VLOOKUP(CONCATENATE($B$8,"_",$B52),Data!$BO$16:$ES$1015,ED$11,FALSE),"")</f>
        <v/>
      </c>
      <c r="EE52" s="1434" t="str">
        <f>IFERROR(VLOOKUP(CONCATENATE($B$8,"_",$B52),Data!$BO$16:$ES$1015,EE$11,FALSE),"")</f>
        <v/>
      </c>
      <c r="EF52" s="1434" t="str">
        <f>IFERROR(VLOOKUP(CONCATENATE($B$8,"_",$B52),Data!$BO$16:$ES$1015,EF$11,FALSE),"")</f>
        <v/>
      </c>
      <c r="EG52" s="1434" t="str">
        <f>IFERROR(VLOOKUP(CONCATENATE($B$8,"_",$B52),Data!$BO$16:$ES$1015,EG$11,FALSE),"")</f>
        <v/>
      </c>
      <c r="EH52" s="1434" t="str">
        <f>IFERROR(VLOOKUP(CONCATENATE($B$8,"_",$B52),Data!$BO$16:$ES$1015,EH$11,FALSE),"")</f>
        <v/>
      </c>
      <c r="EI52" s="1434" t="str">
        <f>IFERROR(VLOOKUP(CONCATENATE($B$8,"_",$B52),Data!$BO$16:$ES$1015,EI$11,FALSE),"")</f>
        <v/>
      </c>
      <c r="EK52" s="1437"/>
    </row>
    <row r="53" spans="1:141" s="1436" customFormat="1" ht="15" customHeight="1">
      <c r="A53" s="1438">
        <v>40</v>
      </c>
      <c r="B53" s="1738">
        <f>IF($B$13+A53&lt;=Progress!$D$18,$B$13+A53,"")</f>
        <v>2040</v>
      </c>
      <c r="C53" s="1737" t="str">
        <f>IFERROR(VLOOKUP(CONCATENATE($B$8,"_",$B53),Data!$H$16:$BN$1015,C$11,FALSE),"")</f>
        <v/>
      </c>
      <c r="D53" s="1428" t="str">
        <f>IFERROR(VLOOKUP(CONCATENATE($B$8,"_",$B53),Data!$H$16:$BN$1015,D$11,FALSE),"")</f>
        <v/>
      </c>
      <c r="E53" s="1429" t="str">
        <f>IFERROR(VLOOKUP(CONCATENATE($B$8,"_",$B53),Data!$H$16:$BN$1015,E$11,FALSE),"")</f>
        <v/>
      </c>
      <c r="F53" s="1428" t="str">
        <f>IFERROR(VLOOKUP(CONCATENATE($B$8,"_",$B53),Data!$H$16:$BN$1015,F$11,FALSE),"")</f>
        <v/>
      </c>
      <c r="G53" s="1428" t="str">
        <f>IFERROR(VLOOKUP(CONCATENATE($B$8,"_",$B53),Data!$H$16:$BN$1015,G$11,FALSE),"")</f>
        <v/>
      </c>
      <c r="H53" s="1429" t="str">
        <f>IFERROR(VLOOKUP(CONCATENATE($B$8,"_",$B53),Data!$H$16:$BN$1015,H$11,FALSE),"")</f>
        <v/>
      </c>
      <c r="I53" s="1428" t="str">
        <f>IFERROR(VLOOKUP(CONCATENATE($B$8,"_",$B53),Data!$H$16:$BN$1015,I$11,FALSE),"")</f>
        <v/>
      </c>
      <c r="J53" s="1428" t="str">
        <f>IFERROR(VLOOKUP(CONCATENATE($B$8,"_",$B53),Data!$H$16:$BN$1015,J$11,FALSE),"")</f>
        <v/>
      </c>
      <c r="K53" s="1429" t="str">
        <f>IFERROR(VLOOKUP(CONCATENATE($B$8,"_",$B53),Data!$H$16:$BN$1015,K$11,FALSE),"")</f>
        <v/>
      </c>
      <c r="L53" s="1428" t="str">
        <f>IFERROR(VLOOKUP(CONCATENATE($B$8,"_",$B53),Data!$H$16:$BN$1015,L$11,FALSE),"")</f>
        <v/>
      </c>
      <c r="M53" s="1428" t="str">
        <f>IFERROR(VLOOKUP(CONCATENATE($B$8,"_",$B53),Data!$H$16:$BN$1015,M$11,FALSE),"")</f>
        <v/>
      </c>
      <c r="N53" s="1429" t="str">
        <f>IFERROR(VLOOKUP(CONCATENATE($B$8,"_",$B53),Data!$H$16:$BN$1015,N$11,FALSE),"")</f>
        <v/>
      </c>
      <c r="O53" s="1430" t="str">
        <f>IFERROR(VLOOKUP(CONCATENATE($B$8,"_",$B53),Data!$H$16:$BN$1015,O$11,FALSE),"")</f>
        <v/>
      </c>
      <c r="P53" s="1428" t="str">
        <f>IFERROR(VLOOKUP(CONCATENATE($B$8,"_",$B53),Data!$H$16:$BN$1015,P$11,FALSE),"")</f>
        <v/>
      </c>
      <c r="Q53" s="1428" t="str">
        <f>IFERROR(VLOOKUP(CONCATENATE($B$8,"_",$B53),Data!$H$16:$BN$1015,Q$11,FALSE),"")</f>
        <v/>
      </c>
      <c r="R53" s="1429" t="str">
        <f>IFERROR(VLOOKUP(CONCATENATE($B$8,"_",$B53),Data!$H$16:$BN$1015,R$11,FALSE),"")</f>
        <v/>
      </c>
      <c r="S53" s="1428" t="str">
        <f>IFERROR(VLOOKUP(CONCATENATE($B$8,"_",$B53),Data!$H$16:$BN$1015,S$11,FALSE),"")</f>
        <v/>
      </c>
      <c r="T53" s="1428" t="str">
        <f>IFERROR(VLOOKUP(CONCATENATE($B$8,"_",$B53),Data!$H$16:$BN$1015,T$11,FALSE),"")</f>
        <v/>
      </c>
      <c r="U53" s="1429" t="str">
        <f>IFERROR(VLOOKUP(CONCATENATE($B$8,"_",$B53),Data!$H$16:$BN$1015,U$11,FALSE),"")</f>
        <v/>
      </c>
      <c r="V53" s="1428" t="str">
        <f>IFERROR(VLOOKUP(CONCATENATE($B$8,"_",$B53),Data!$H$16:$BN$1015,V$11,FALSE),"")</f>
        <v/>
      </c>
      <c r="W53" s="1428" t="str">
        <f>IFERROR(VLOOKUP(CONCATENATE($B$8,"_",$B53),Data!$H$16:$BN$1015,W$11,FALSE),"")</f>
        <v/>
      </c>
      <c r="X53" s="1428" t="str">
        <f>IFERROR(VLOOKUP(CONCATENATE($B$8,"_",$B53),Data!$H$16:$BN$1015,X$11,FALSE),"")</f>
        <v/>
      </c>
      <c r="Y53" s="1428" t="str">
        <f>IFERROR(VLOOKUP(CONCATENATE($B$8,"_",$B53),Data!$H$16:$BN$1015,Y$11,FALSE),"")</f>
        <v/>
      </c>
      <c r="Z53" s="1429" t="str">
        <f>IFERROR(VLOOKUP(CONCATENATE($B$8,"_",$B53),Data!$H$16:$BN$1015,Z$11,FALSE),"")</f>
        <v/>
      </c>
      <c r="AA53" s="1428" t="str">
        <f>IFERROR(VLOOKUP(CONCATENATE($B$8,"_",$B53),Data!$H$16:$BN$1015,AA$11,FALSE),"")</f>
        <v/>
      </c>
      <c r="AB53" s="1428" t="str">
        <f>IFERROR(VLOOKUP(CONCATENATE($B$8,"_",$B53),Data!$H$16:$BN$1015,AB$11,FALSE),"")</f>
        <v/>
      </c>
      <c r="AC53" s="1429" t="str">
        <f>IFERROR(VLOOKUP(CONCATENATE($B$8,"_",$B53),Data!$H$16:$BN$1015,AC$11,FALSE),"")</f>
        <v/>
      </c>
      <c r="AD53" s="1428" t="str">
        <f>IFERROR(VLOOKUP(CONCATENATE($B$8,"_",$B53),Data!$H$16:$BN$1015,AD$11,FALSE),"")</f>
        <v/>
      </c>
      <c r="AE53" s="1428" t="str">
        <f>IFERROR(VLOOKUP(CONCATENATE($B$8,"_",$B53),Data!$H$16:$BN$1015,AE$11,FALSE),"")</f>
        <v/>
      </c>
      <c r="AF53" s="1429" t="str">
        <f>IFERROR(VLOOKUP(CONCATENATE($B$8,"_",$B53),Data!$H$16:$BN$1015,AF$11,FALSE),"")</f>
        <v/>
      </c>
      <c r="AG53" s="1428" t="str">
        <f>IFERROR(VLOOKUP(CONCATENATE($B$8,"_",$B53),Data!$H$16:$BN$1015,AG$11,FALSE),"")</f>
        <v/>
      </c>
      <c r="AH53" s="1428" t="str">
        <f>IFERROR(VLOOKUP(CONCATENATE($B$8,"_",$B53),Data!$H$16:$BN$1015,AH$11,FALSE),"")</f>
        <v/>
      </c>
      <c r="AI53" s="1429" t="str">
        <f>IFERROR(VLOOKUP(CONCATENATE($B$8,"_",$B53),Data!$H$16:$BN$1015,AI$11,FALSE),"")</f>
        <v/>
      </c>
      <c r="AJ53" s="1428" t="str">
        <f>IFERROR(VLOOKUP(CONCATENATE($B$8,"_",$B53),Data!$H$16:$BN$1015,AJ$11,FALSE),"")</f>
        <v/>
      </c>
      <c r="AK53" s="1428" t="str">
        <f>IFERROR(VLOOKUP(CONCATENATE($B$8,"_",$B53),Data!$H$16:$BN$1015,AK$11,FALSE),"")</f>
        <v/>
      </c>
      <c r="AL53" s="1429" t="str">
        <f>IFERROR(VLOOKUP(CONCATENATE($B$8,"_",$B53),Data!$H$16:$BN$1015,AL$11,FALSE),"")</f>
        <v/>
      </c>
      <c r="AM53" s="1428" t="str">
        <f>IFERROR(VLOOKUP(CONCATENATE($B$8,"_",$B53),Data!$H$16:$BN$1015,AM$11,FALSE),"")</f>
        <v/>
      </c>
      <c r="AN53" s="1428" t="str">
        <f>IFERROR(VLOOKUP(CONCATENATE($B$8,"_",$B53),Data!$H$16:$BN$1015,AN$11,FALSE),"")</f>
        <v/>
      </c>
      <c r="AO53" s="1430" t="str">
        <f>IFERROR(VLOOKUP(CONCATENATE($B$8,"_",$B53),Data!$H$16:$BN$1015,AO$11,FALSE),"")</f>
        <v/>
      </c>
      <c r="AP53" s="1428" t="str">
        <f>IFERROR(VLOOKUP(CONCATENATE($B$8,"_",$B53),Data!$H$16:$BN$1015,AP$11,FALSE),"")</f>
        <v/>
      </c>
      <c r="AQ53" s="1428" t="str">
        <f>IFERROR(VLOOKUP(CONCATENATE($B$8,"_",$B53),Data!$H$16:$BN$1015,AQ$11,FALSE),"")</f>
        <v/>
      </c>
      <c r="AR53" s="1430" t="str">
        <f>IFERROR(VLOOKUP(CONCATENATE($B$8,"_",$B53),Data!$H$16:$BN$1015,AR$11,FALSE),"")</f>
        <v/>
      </c>
      <c r="AS53" s="1428" t="str">
        <f>IFERROR(VLOOKUP(CONCATENATE($B$8,"_",$B53),Data!$H$16:$BN$1015,AS$11,FALSE),"")</f>
        <v/>
      </c>
      <c r="AT53" s="1428" t="str">
        <f>IFERROR(VLOOKUP(CONCATENATE($B$8,"_",$B53),Data!$H$16:$BN$1015,AT$11,FALSE),"")</f>
        <v/>
      </c>
      <c r="AU53" s="1430" t="str">
        <f>IFERROR(VLOOKUP(CONCATENATE($B$8,"_",$B53),Data!$H$16:$BN$1015,AU$11,FALSE),"")</f>
        <v/>
      </c>
      <c r="AV53" s="1428" t="str">
        <f>IFERROR(VLOOKUP(CONCATENATE($B$8,"_",$B53),Data!$H$16:$BN$1015,AV$11,FALSE),"")</f>
        <v/>
      </c>
      <c r="AW53" s="1428" t="str">
        <f>IFERROR(VLOOKUP(CONCATENATE($B$8,"_",$B53),Data!$H$16:$BN$1015,AW$11,FALSE),"")</f>
        <v/>
      </c>
      <c r="AX53" s="1430" t="str">
        <f>IFERROR(VLOOKUP(CONCATENATE($B$8,"_",$B53),Data!$H$16:$BN$1015,AX$11,FALSE),"")</f>
        <v/>
      </c>
      <c r="AY53" s="1429" t="str">
        <f>IFERROR(VLOOKUP(CONCATENATE($B$8,"_",$B53),Data!$H$16:$BN$1015,AY$11,FALSE),"")</f>
        <v/>
      </c>
      <c r="AZ53" s="1429" t="str">
        <f>IFERROR(VLOOKUP(CONCATENATE($B$8,"_",$B53),Data!$H$16:$BN$1015,AZ$11,FALSE),"")</f>
        <v/>
      </c>
      <c r="BA53" s="1429" t="str">
        <f>IFERROR(VLOOKUP(CONCATENATE($B$8,"_",$B53),Data!$H$16:$BN$1015,BA$11,FALSE),"")</f>
        <v/>
      </c>
      <c r="BB53" s="1429" t="str">
        <f>IFERROR(VLOOKUP(CONCATENATE($B$8,"_",$B53),Data!$H$16:$BN$1015,BB$11,FALSE),"")</f>
        <v/>
      </c>
      <c r="BC53" s="1429" t="str">
        <f>IFERROR(VLOOKUP(CONCATENATE($B$8,"_",$B53),Data!$H$16:$BN$1015,BC$11,FALSE),"")</f>
        <v/>
      </c>
      <c r="BD53" s="1431" t="str">
        <f>IFERROR(VLOOKUP(CONCATENATE($B$8,"_",$B53),Data!$H$16:$BN$1015,BD$11,FALSE),"")</f>
        <v/>
      </c>
      <c r="BE53" s="1439">
        <f t="shared" si="1"/>
        <v>2040</v>
      </c>
      <c r="BF53" s="1428" t="str">
        <f>IFERROR(VLOOKUP(CONCATENATE($B$8,"_",$B53),Data!$BO$16:$ES$1015,BF$11,FALSE),"")</f>
        <v/>
      </c>
      <c r="BG53" s="1433" t="str">
        <f>IFERROR(VLOOKUP(CONCATENATE($B$8,"_",$B53),Data!$BO$16:$ES$1015,BG$11,FALSE),"")</f>
        <v/>
      </c>
      <c r="BH53" s="1435" t="str">
        <f>IFERROR(VLOOKUP(CONCATENATE($B$8,"_",$B53),Data!$BO$16:$ES$1015,BH$11,FALSE),"")</f>
        <v/>
      </c>
      <c r="BI53" s="1434" t="str">
        <f>IFERROR(VLOOKUP(CONCATENATE($B$8,"_",$B53),Data!$BO$16:$ES$1015,BI$11,FALSE),"")</f>
        <v/>
      </c>
      <c r="BJ53" s="1428" t="str">
        <f>IFERROR(VLOOKUP(CONCATENATE($B$8,"_",$B53),Data!$BO$16:$ES$1015,BJ$11,FALSE),"")</f>
        <v/>
      </c>
      <c r="BK53" s="1428" t="str">
        <f>IFERROR(VLOOKUP(CONCATENATE($B$8,"_",$B53),Data!$BO$16:$ES$1015,BK$11,FALSE),"")</f>
        <v/>
      </c>
      <c r="BL53" s="1428" t="str">
        <f>IFERROR(VLOOKUP(CONCATENATE($B$8,"_",$B53),Data!$BO$16:$ES$1015,BL$11,FALSE),"")</f>
        <v/>
      </c>
      <c r="BM53" s="1433" t="str">
        <f>IFERROR(VLOOKUP(CONCATENATE($B$8,"_",$B53),Data!$BO$16:$ES$1015,BM$11,FALSE),"")</f>
        <v/>
      </c>
      <c r="BN53" s="1433" t="str">
        <f>IFERROR(VLOOKUP(CONCATENATE($B$8,"_",$B53),Data!$BO$16:$ES$1015,BN$11,FALSE),"")</f>
        <v/>
      </c>
      <c r="BO53" s="1433" t="str">
        <f>IFERROR(VLOOKUP(CONCATENATE($B$8,"_",$B53),Data!$BO$16:$ES$1015,BO$11,FALSE),"")</f>
        <v/>
      </c>
      <c r="BP53" s="1433" t="str">
        <f>IFERROR(VLOOKUP(CONCATENATE($B$8,"_",$B53),Data!$BO$16:$ES$1015,BP$11,FALSE),"")</f>
        <v/>
      </c>
      <c r="BQ53" s="1433" t="str">
        <f>IFERROR(VLOOKUP(CONCATENATE($B$8,"_",$B53),Data!$BO$16:$ES$1015,BQ$11,FALSE),"")</f>
        <v/>
      </c>
      <c r="BR53" s="1434" t="str">
        <f>IFERROR(VLOOKUP(CONCATENATE($B$8,"_",$B53),Data!$BO$16:$ES$1015,BR$11,FALSE),"")</f>
        <v/>
      </c>
      <c r="BS53" s="1434" t="str">
        <f>IFERROR(VLOOKUP(CONCATENATE($B$8,"_",$B53),Data!$BO$16:$ES$1015,BS$11,FALSE),"")</f>
        <v/>
      </c>
      <c r="BT53" s="1434" t="str">
        <f>IFERROR(VLOOKUP(CONCATENATE($B$8,"_",$B53),Data!$BO$16:$ES$1015,BT$11,FALSE),"")</f>
        <v/>
      </c>
      <c r="BU53" s="1434" t="str">
        <f>IFERROR(VLOOKUP(CONCATENATE($B$8,"_",$B53),Data!$BO$16:$ES$1015,BU$11,FALSE),"")</f>
        <v/>
      </c>
      <c r="BV53" s="1434" t="str">
        <f>IFERROR(VLOOKUP(CONCATENATE($B$8,"_",$B53),Data!$BO$16:$ES$1015,BV$11,FALSE),"")</f>
        <v/>
      </c>
      <c r="BW53" s="1434" t="str">
        <f>IFERROR(VLOOKUP(CONCATENATE($B$8,"_",$B53),Data!$BO$16:$ES$1015,BW$11,FALSE),"")</f>
        <v/>
      </c>
      <c r="BX53" s="1434" t="str">
        <f>IFERROR(VLOOKUP(CONCATENATE($B$8,"_",$B53),Data!$BO$16:$ES$1015,BX$11,FALSE),"")</f>
        <v/>
      </c>
      <c r="BY53" s="1428" t="str">
        <f>IFERROR(VLOOKUP(CONCATENATE($B$8,"_",$B53),Data!$BO$16:$ES$1015,BY$11,FALSE),"")</f>
        <v/>
      </c>
      <c r="BZ53" s="1428" t="str">
        <f>IFERROR(VLOOKUP(CONCATENATE($B$8,"_",$B53),Data!$BO$16:$ES$1015,BZ$11,FALSE),"")</f>
        <v/>
      </c>
      <c r="CA53" s="1428" t="str">
        <f>IFERROR(VLOOKUP(CONCATENATE($B$8,"_",$B53),Data!$BO$16:$ES$1015,CA$11,FALSE),"")</f>
        <v/>
      </c>
      <c r="CB53" s="1428" t="str">
        <f>IFERROR(VLOOKUP(CONCATENATE($B$8,"_",$B53),Data!$BO$16:$ES$1015,CB$11,FALSE),"")</f>
        <v/>
      </c>
      <c r="CC53" s="1428" t="str">
        <f>IFERROR(VLOOKUP(CONCATENATE($B$8,"_",$B53),Data!$BO$16:$ES$1015,CC$11,FALSE),"")</f>
        <v/>
      </c>
      <c r="CD53" s="1428" t="str">
        <f>IFERROR(VLOOKUP(CONCATENATE($B$8,"_",$B53),Data!$BO$16:$ES$1015,CD$11,FALSE),"")</f>
        <v/>
      </c>
      <c r="CE53" s="1428" t="str">
        <f>IFERROR(VLOOKUP(CONCATENATE($B$8,"_",$B53),Data!$BO$16:$ES$1015,CE$11,FALSE),"")</f>
        <v/>
      </c>
      <c r="CF53" s="1428" t="str">
        <f>IFERROR(VLOOKUP(CONCATENATE($B$8,"_",$B53),Data!$BO$16:$ES$1015,CF$11,FALSE),"")</f>
        <v/>
      </c>
      <c r="CG53" s="1428" t="str">
        <f>IFERROR(VLOOKUP(CONCATENATE($B$8,"_",$B53),Data!$BO$16:$ES$1015,CG$11,FALSE),"")</f>
        <v/>
      </c>
      <c r="CH53" s="1428" t="str">
        <f>IFERROR(VLOOKUP(CONCATENATE($B$8,"_",$B53),Data!$BO$16:$ES$1015,CH$11,FALSE),"")</f>
        <v/>
      </c>
      <c r="CI53" s="1428" t="str">
        <f>IFERROR(VLOOKUP(CONCATENATE($B$8,"_",$B53),Data!$BO$16:$ES$1015,CI$11,FALSE),"")</f>
        <v/>
      </c>
      <c r="CJ53" s="1428" t="str">
        <f>IFERROR(VLOOKUP(CONCATENATE($B$8,"_",$B53),Data!$BO$16:$ES$1015,CJ$11,FALSE),"")</f>
        <v/>
      </c>
      <c r="CK53" s="1428" t="str">
        <f>IFERROR(VLOOKUP(CONCATENATE($B$8,"_",$B53),Data!$BO$16:$ES$1015,CK$11,FALSE),"")</f>
        <v/>
      </c>
      <c r="CL53" s="1428" t="str">
        <f>IFERROR(VLOOKUP(CONCATENATE($B$8,"_",$B53),Data!$BO$16:$ES$1015,CL$11,FALSE),"")</f>
        <v/>
      </c>
      <c r="CM53" s="1428" t="str">
        <f>IFERROR(VLOOKUP(CONCATENATE($B$8,"_",$B53),Data!$BO$16:$ES$1015,CM$11,FALSE),"")</f>
        <v/>
      </c>
      <c r="CN53" s="1428" t="str">
        <f>IFERROR(VLOOKUP(CONCATENATE($B$8,"_",$B53),Data!$BO$16:$ES$1015,CN$11,FALSE),"")</f>
        <v/>
      </c>
      <c r="CO53" s="1428" t="str">
        <f>IFERROR(VLOOKUP(CONCATENATE($B$8,"_",$B53),Data!$BO$16:$ES$1015,CO$11,FALSE),"")</f>
        <v/>
      </c>
      <c r="CP53" s="1433" t="str">
        <f>IFERROR(VLOOKUP(CONCATENATE($B$8,"_",$B53),Data!$BO$16:$ES$1015,CP$11,FALSE),"")</f>
        <v/>
      </c>
      <c r="CQ53" s="1433" t="str">
        <f>IFERROR(VLOOKUP(CONCATENATE($B$8,"_",$B53),Data!$BO$16:$ES$1015,CQ$11,FALSE),"")</f>
        <v/>
      </c>
      <c r="CR53" s="1433" t="str">
        <f>IFERROR(VLOOKUP(CONCATENATE($B$8,"_",$B53),Data!$BO$16:$ES$1015,CR$11,FALSE),"")</f>
        <v/>
      </c>
      <c r="CS53" s="1433" t="str">
        <f>IFERROR(VLOOKUP(CONCATENATE($B$8,"_",$B53),Data!$BO$16:$ES$1015,CS$11,FALSE),"")</f>
        <v/>
      </c>
      <c r="CT53" s="1433" t="str">
        <f>IFERROR(VLOOKUP(CONCATENATE($B$8,"_",$B53),Data!$BO$16:$ES$1015,CT$11,FALSE),"")</f>
        <v/>
      </c>
      <c r="CU53" s="1433" t="str">
        <f>IFERROR(VLOOKUP(CONCATENATE($B$8,"_",$B53),Data!$BO$16:$ES$1015,CU$11,FALSE),"")</f>
        <v/>
      </c>
      <c r="CV53" s="1433" t="str">
        <f>IFERROR(VLOOKUP(CONCATENATE($B$8,"_",$B53),Data!$BO$16:$ES$1015,CV$11,FALSE),"")</f>
        <v/>
      </c>
      <c r="CW53" s="1433" t="str">
        <f>IFERROR(VLOOKUP(CONCATENATE($B$8,"_",$B53),Data!$BO$16:$ES$1015,CW$11,FALSE),"")</f>
        <v/>
      </c>
      <c r="CX53" s="1433" t="str">
        <f>IFERROR(VLOOKUP(CONCATENATE($B$8,"_",$B53),Data!$BO$16:$ES$1015,CX$11,FALSE),"")</f>
        <v/>
      </c>
      <c r="CY53" s="1433" t="str">
        <f>IFERROR(VLOOKUP(CONCATENATE($B$8,"_",$B53),Data!$BO$16:$ES$1015,CY$11,FALSE),"")</f>
        <v/>
      </c>
      <c r="CZ53" s="1433" t="str">
        <f>IFERROR(VLOOKUP(CONCATENATE($B$8,"_",$B53),Data!$BO$16:$ES$1015,CZ$11,FALSE),"")</f>
        <v/>
      </c>
      <c r="DA53" s="1433" t="str">
        <f>IFERROR(VLOOKUP(CONCATENATE($B$8,"_",$B53),Data!$BO$16:$ES$1015,DA$11,FALSE),"")</f>
        <v/>
      </c>
      <c r="DB53" s="1433" t="str">
        <f>IFERROR(VLOOKUP(CONCATENATE($B$8,"_",$B53),Data!$BO$16:$ES$1015,DB$11,FALSE),"")</f>
        <v/>
      </c>
      <c r="DC53" s="1433" t="str">
        <f>IFERROR(VLOOKUP(CONCATENATE($B$8,"_",$B53),Data!$BO$16:$ES$1015,DC$11,FALSE),"")</f>
        <v/>
      </c>
      <c r="DD53" s="1433" t="str">
        <f>IFERROR(VLOOKUP(CONCATENATE($B$8,"_",$B53),Data!$BO$16:$ES$1015,DD$11,FALSE),"")</f>
        <v/>
      </c>
      <c r="DE53" s="1433" t="str">
        <f>IFERROR(VLOOKUP(CONCATENATE($B$8,"_",$B53),Data!$BO$16:$ES$1015,DE$11,FALSE),"")</f>
        <v/>
      </c>
      <c r="DF53" s="1433" t="str">
        <f>IFERROR(VLOOKUP(CONCATENATE($B$8,"_",$B53),Data!$BO$16:$ES$1015,DF$11,FALSE),"")</f>
        <v/>
      </c>
      <c r="DG53" s="1433" t="str">
        <f>IFERROR(VLOOKUP(CONCATENATE($B$8,"_",$B53),Data!$BO$16:$ES$1015,DG$11,FALSE),"")</f>
        <v/>
      </c>
      <c r="DH53" s="1433" t="str">
        <f>IFERROR(VLOOKUP(CONCATENATE($B$8,"_",$B53),Data!$BO$16:$ES$1015,DH$11,FALSE),"")</f>
        <v/>
      </c>
      <c r="DI53" s="1433" t="str">
        <f>IFERROR(VLOOKUP(CONCATENATE($B$8,"_",$B53),Data!$BO$16:$ES$1015,DI$11,FALSE),"")</f>
        <v/>
      </c>
      <c r="DJ53" s="1433" t="str">
        <f>IFERROR(VLOOKUP(CONCATENATE($B$8,"_",$B53),Data!$BO$16:$ES$1015,DJ$11,FALSE),"")</f>
        <v/>
      </c>
      <c r="DK53" s="1433" t="str">
        <f>IFERROR(VLOOKUP(CONCATENATE($B$8,"_",$B53),Data!$BO$16:$ES$1015,DK$11,FALSE),"")</f>
        <v/>
      </c>
      <c r="DL53" s="1435" t="str">
        <f>IFERROR(VLOOKUP(CONCATENATE($B$8,"_",$B53),Data!$BO$16:$ES$1015,DL$11,FALSE),"")</f>
        <v/>
      </c>
      <c r="DM53" s="1434" t="str">
        <f>IFERROR(VLOOKUP(CONCATENATE($B$8,"_",$B53),Data!$BO$16:$ES$1015,DM$11,FALSE),"")</f>
        <v/>
      </c>
      <c r="DN53" s="1434" t="str">
        <f>IFERROR(VLOOKUP(CONCATENATE($B$8,"_",$B53),Data!$BO$16:$ES$1015,DN$11,FALSE),"")</f>
        <v/>
      </c>
      <c r="DO53" s="1434" t="str">
        <f>IFERROR(VLOOKUP(CONCATENATE($B$8,"_",$B53),Data!$BO$16:$ES$1015,DO$11,FALSE),"")</f>
        <v/>
      </c>
      <c r="DP53" s="1434" t="str">
        <f>IFERROR(VLOOKUP(CONCATENATE($B$8,"_",$B53),Data!$BO$16:$ES$1015,DP$11,FALSE),"")</f>
        <v/>
      </c>
      <c r="DQ53" s="1434" t="str">
        <f>IFERROR(VLOOKUP(CONCATENATE($B$8,"_",$B53),Data!$BO$16:$ES$1015,DQ$11,FALSE),"")</f>
        <v/>
      </c>
      <c r="DR53" s="1434" t="str">
        <f>IFERROR(VLOOKUP(CONCATENATE($B$8,"_",$B53),Data!$BO$16:$ES$1015,DR$11,FALSE),"")</f>
        <v/>
      </c>
      <c r="DS53" s="1434" t="str">
        <f>IFERROR(VLOOKUP(CONCATENATE($B$8,"_",$B53),Data!$BO$16:$ES$1015,DS$11,FALSE),"")</f>
        <v/>
      </c>
      <c r="DT53" s="1434" t="str">
        <f>IFERROR(VLOOKUP(CONCATENATE($B$8,"_",$B53),Data!$BO$16:$ES$1015,DT$11,FALSE),"")</f>
        <v/>
      </c>
      <c r="DU53" s="1434" t="str">
        <f>IFERROR(VLOOKUP(CONCATENATE($B$8,"_",$B53),Data!$BO$16:$ES$1015,DU$11,FALSE),"")</f>
        <v/>
      </c>
      <c r="DV53" s="1434" t="str">
        <f>IFERROR(VLOOKUP(CONCATENATE($B$8,"_",$B53),Data!$BO$16:$ES$1015,DV$11,FALSE),"")</f>
        <v/>
      </c>
      <c r="DW53" s="1434" t="str">
        <f>IFERROR(VLOOKUP(CONCATENATE($B$8,"_",$B53),Data!$BO$16:$ES$1015,DW$11,FALSE),"")</f>
        <v/>
      </c>
      <c r="DX53" s="1434" t="str">
        <f>IFERROR(VLOOKUP(CONCATENATE($B$8,"_",$B53),Data!$BO$16:$ES$1015,DX$11,FALSE),"")</f>
        <v/>
      </c>
      <c r="DY53" s="1434" t="str">
        <f>IFERROR(VLOOKUP(CONCATENATE($B$8,"_",$B53),Data!$BO$16:$ES$1015,DY$11,FALSE),"")</f>
        <v/>
      </c>
      <c r="DZ53" s="1434" t="str">
        <f>IFERROR(VLOOKUP(CONCATENATE($B$8,"_",$B53),Data!$BO$16:$ES$1015,DZ$11,FALSE),"")</f>
        <v/>
      </c>
      <c r="EA53" s="1434" t="str">
        <f>IFERROR(VLOOKUP(CONCATENATE($B$8,"_",$B53),Data!$BO$16:$ES$1015,EA$11,FALSE),"")</f>
        <v/>
      </c>
      <c r="EB53" s="1434" t="str">
        <f>IFERROR(VLOOKUP(CONCATENATE($B$8,"_",$B53),Data!$BO$16:$ES$1015,EB$11,FALSE),"")</f>
        <v/>
      </c>
      <c r="EC53" s="1434" t="str">
        <f>IFERROR(VLOOKUP(CONCATENATE($B$8,"_",$B53),Data!$BO$16:$ES$1015,EC$11,FALSE),"")</f>
        <v/>
      </c>
      <c r="ED53" s="1434" t="str">
        <f>IFERROR(VLOOKUP(CONCATENATE($B$8,"_",$B53),Data!$BO$16:$ES$1015,ED$11,FALSE),"")</f>
        <v/>
      </c>
      <c r="EE53" s="1434" t="str">
        <f>IFERROR(VLOOKUP(CONCATENATE($B$8,"_",$B53),Data!$BO$16:$ES$1015,EE$11,FALSE),"")</f>
        <v/>
      </c>
      <c r="EF53" s="1434" t="str">
        <f>IFERROR(VLOOKUP(CONCATENATE($B$8,"_",$B53),Data!$BO$16:$ES$1015,EF$11,FALSE),"")</f>
        <v/>
      </c>
      <c r="EG53" s="1434" t="str">
        <f>IFERROR(VLOOKUP(CONCATENATE($B$8,"_",$B53),Data!$BO$16:$ES$1015,EG$11,FALSE),"")</f>
        <v/>
      </c>
      <c r="EH53" s="1434" t="str">
        <f>IFERROR(VLOOKUP(CONCATENATE($B$8,"_",$B53),Data!$BO$16:$ES$1015,EH$11,FALSE),"")</f>
        <v/>
      </c>
      <c r="EI53" s="1434" t="str">
        <f>IFERROR(VLOOKUP(CONCATENATE($B$8,"_",$B53),Data!$BO$16:$ES$1015,EI$11,FALSE),"")</f>
        <v/>
      </c>
      <c r="EK53" s="1437"/>
    </row>
    <row r="54" spans="1:141" s="1436" customFormat="1" ht="15" customHeight="1">
      <c r="A54" s="1438">
        <v>41</v>
      </c>
      <c r="B54" s="1738">
        <f>IF($B$13+A54&lt;=Progress!$D$18,$B$13+A54,"")</f>
        <v>2041</v>
      </c>
      <c r="C54" s="1737" t="str">
        <f>IFERROR(VLOOKUP(CONCATENATE($B$8,"_",$B54),Data!$H$16:$BN$1015,C$11,FALSE),"")</f>
        <v/>
      </c>
      <c r="D54" s="1428" t="str">
        <f>IFERROR(VLOOKUP(CONCATENATE($B$8,"_",$B54),Data!$H$16:$BN$1015,D$11,FALSE),"")</f>
        <v/>
      </c>
      <c r="E54" s="1429" t="str">
        <f>IFERROR(VLOOKUP(CONCATENATE($B$8,"_",$B54),Data!$H$16:$BN$1015,E$11,FALSE),"")</f>
        <v/>
      </c>
      <c r="F54" s="1428" t="str">
        <f>IFERROR(VLOOKUP(CONCATENATE($B$8,"_",$B54),Data!$H$16:$BN$1015,F$11,FALSE),"")</f>
        <v/>
      </c>
      <c r="G54" s="1428" t="str">
        <f>IFERROR(VLOOKUP(CONCATENATE($B$8,"_",$B54),Data!$H$16:$BN$1015,G$11,FALSE),"")</f>
        <v/>
      </c>
      <c r="H54" s="1429" t="str">
        <f>IFERROR(VLOOKUP(CONCATENATE($B$8,"_",$B54),Data!$H$16:$BN$1015,H$11,FALSE),"")</f>
        <v/>
      </c>
      <c r="I54" s="1428" t="str">
        <f>IFERROR(VLOOKUP(CONCATENATE($B$8,"_",$B54),Data!$H$16:$BN$1015,I$11,FALSE),"")</f>
        <v/>
      </c>
      <c r="J54" s="1428" t="str">
        <f>IFERROR(VLOOKUP(CONCATENATE($B$8,"_",$B54),Data!$H$16:$BN$1015,J$11,FALSE),"")</f>
        <v/>
      </c>
      <c r="K54" s="1429" t="str">
        <f>IFERROR(VLOOKUP(CONCATENATE($B$8,"_",$B54),Data!$H$16:$BN$1015,K$11,FALSE),"")</f>
        <v/>
      </c>
      <c r="L54" s="1428" t="str">
        <f>IFERROR(VLOOKUP(CONCATENATE($B$8,"_",$B54),Data!$H$16:$BN$1015,L$11,FALSE),"")</f>
        <v/>
      </c>
      <c r="M54" s="1428" t="str">
        <f>IFERROR(VLOOKUP(CONCATENATE($B$8,"_",$B54),Data!$H$16:$BN$1015,M$11,FALSE),"")</f>
        <v/>
      </c>
      <c r="N54" s="1429" t="str">
        <f>IFERROR(VLOOKUP(CONCATENATE($B$8,"_",$B54),Data!$H$16:$BN$1015,N$11,FALSE),"")</f>
        <v/>
      </c>
      <c r="O54" s="1430" t="str">
        <f>IFERROR(VLOOKUP(CONCATENATE($B$8,"_",$B54),Data!$H$16:$BN$1015,O$11,FALSE),"")</f>
        <v/>
      </c>
      <c r="P54" s="1428" t="str">
        <f>IFERROR(VLOOKUP(CONCATENATE($B$8,"_",$B54),Data!$H$16:$BN$1015,P$11,FALSE),"")</f>
        <v/>
      </c>
      <c r="Q54" s="1428" t="str">
        <f>IFERROR(VLOOKUP(CONCATENATE($B$8,"_",$B54),Data!$H$16:$BN$1015,Q$11,FALSE),"")</f>
        <v/>
      </c>
      <c r="R54" s="1429" t="str">
        <f>IFERROR(VLOOKUP(CONCATENATE($B$8,"_",$B54),Data!$H$16:$BN$1015,R$11,FALSE),"")</f>
        <v/>
      </c>
      <c r="S54" s="1428" t="str">
        <f>IFERROR(VLOOKUP(CONCATENATE($B$8,"_",$B54),Data!$H$16:$BN$1015,S$11,FALSE),"")</f>
        <v/>
      </c>
      <c r="T54" s="1428" t="str">
        <f>IFERROR(VLOOKUP(CONCATENATE($B$8,"_",$B54),Data!$H$16:$BN$1015,T$11,FALSE),"")</f>
        <v/>
      </c>
      <c r="U54" s="1429" t="str">
        <f>IFERROR(VLOOKUP(CONCATENATE($B$8,"_",$B54),Data!$H$16:$BN$1015,U$11,FALSE),"")</f>
        <v/>
      </c>
      <c r="V54" s="1428" t="str">
        <f>IFERROR(VLOOKUP(CONCATENATE($B$8,"_",$B54),Data!$H$16:$BN$1015,V$11,FALSE),"")</f>
        <v/>
      </c>
      <c r="W54" s="1428" t="str">
        <f>IFERROR(VLOOKUP(CONCATENATE($B$8,"_",$B54),Data!$H$16:$BN$1015,W$11,FALSE),"")</f>
        <v/>
      </c>
      <c r="X54" s="1428" t="str">
        <f>IFERROR(VLOOKUP(CONCATENATE($B$8,"_",$B54),Data!$H$16:$BN$1015,X$11,FALSE),"")</f>
        <v/>
      </c>
      <c r="Y54" s="1428" t="str">
        <f>IFERROR(VLOOKUP(CONCATENATE($B$8,"_",$B54),Data!$H$16:$BN$1015,Y$11,FALSE),"")</f>
        <v/>
      </c>
      <c r="Z54" s="1429" t="str">
        <f>IFERROR(VLOOKUP(CONCATENATE($B$8,"_",$B54),Data!$H$16:$BN$1015,Z$11,FALSE),"")</f>
        <v/>
      </c>
      <c r="AA54" s="1428" t="str">
        <f>IFERROR(VLOOKUP(CONCATENATE($B$8,"_",$B54),Data!$H$16:$BN$1015,AA$11,FALSE),"")</f>
        <v/>
      </c>
      <c r="AB54" s="1428" t="str">
        <f>IFERROR(VLOOKUP(CONCATENATE($B$8,"_",$B54),Data!$H$16:$BN$1015,AB$11,FALSE),"")</f>
        <v/>
      </c>
      <c r="AC54" s="1429" t="str">
        <f>IFERROR(VLOOKUP(CONCATENATE($B$8,"_",$B54),Data!$H$16:$BN$1015,AC$11,FALSE),"")</f>
        <v/>
      </c>
      <c r="AD54" s="1428" t="str">
        <f>IFERROR(VLOOKUP(CONCATENATE($B$8,"_",$B54),Data!$H$16:$BN$1015,AD$11,FALSE),"")</f>
        <v/>
      </c>
      <c r="AE54" s="1428" t="str">
        <f>IFERROR(VLOOKUP(CONCATENATE($B$8,"_",$B54),Data!$H$16:$BN$1015,AE$11,FALSE),"")</f>
        <v/>
      </c>
      <c r="AF54" s="1429" t="str">
        <f>IFERROR(VLOOKUP(CONCATENATE($B$8,"_",$B54),Data!$H$16:$BN$1015,AF$11,FALSE),"")</f>
        <v/>
      </c>
      <c r="AG54" s="1428" t="str">
        <f>IFERROR(VLOOKUP(CONCATENATE($B$8,"_",$B54),Data!$H$16:$BN$1015,AG$11,FALSE),"")</f>
        <v/>
      </c>
      <c r="AH54" s="1428" t="str">
        <f>IFERROR(VLOOKUP(CONCATENATE($B$8,"_",$B54),Data!$H$16:$BN$1015,AH$11,FALSE),"")</f>
        <v/>
      </c>
      <c r="AI54" s="1429" t="str">
        <f>IFERROR(VLOOKUP(CONCATENATE($B$8,"_",$B54),Data!$H$16:$BN$1015,AI$11,FALSE),"")</f>
        <v/>
      </c>
      <c r="AJ54" s="1428" t="str">
        <f>IFERROR(VLOOKUP(CONCATENATE($B$8,"_",$B54),Data!$H$16:$BN$1015,AJ$11,FALSE),"")</f>
        <v/>
      </c>
      <c r="AK54" s="1428" t="str">
        <f>IFERROR(VLOOKUP(CONCATENATE($B$8,"_",$B54),Data!$H$16:$BN$1015,AK$11,FALSE),"")</f>
        <v/>
      </c>
      <c r="AL54" s="1429" t="str">
        <f>IFERROR(VLOOKUP(CONCATENATE($B$8,"_",$B54),Data!$H$16:$BN$1015,AL$11,FALSE),"")</f>
        <v/>
      </c>
      <c r="AM54" s="1428" t="str">
        <f>IFERROR(VLOOKUP(CONCATENATE($B$8,"_",$B54),Data!$H$16:$BN$1015,AM$11,FALSE),"")</f>
        <v/>
      </c>
      <c r="AN54" s="1428" t="str">
        <f>IFERROR(VLOOKUP(CONCATENATE($B$8,"_",$B54),Data!$H$16:$BN$1015,AN$11,FALSE),"")</f>
        <v/>
      </c>
      <c r="AO54" s="1430" t="str">
        <f>IFERROR(VLOOKUP(CONCATENATE($B$8,"_",$B54),Data!$H$16:$BN$1015,AO$11,FALSE),"")</f>
        <v/>
      </c>
      <c r="AP54" s="1428" t="str">
        <f>IFERROR(VLOOKUP(CONCATENATE($B$8,"_",$B54),Data!$H$16:$BN$1015,AP$11,FALSE),"")</f>
        <v/>
      </c>
      <c r="AQ54" s="1428" t="str">
        <f>IFERROR(VLOOKUP(CONCATENATE($B$8,"_",$B54),Data!$H$16:$BN$1015,AQ$11,FALSE),"")</f>
        <v/>
      </c>
      <c r="AR54" s="1430" t="str">
        <f>IFERROR(VLOOKUP(CONCATENATE($B$8,"_",$B54),Data!$H$16:$BN$1015,AR$11,FALSE),"")</f>
        <v/>
      </c>
      <c r="AS54" s="1428" t="str">
        <f>IFERROR(VLOOKUP(CONCATENATE($B$8,"_",$B54),Data!$H$16:$BN$1015,AS$11,FALSE),"")</f>
        <v/>
      </c>
      <c r="AT54" s="1428" t="str">
        <f>IFERROR(VLOOKUP(CONCATENATE($B$8,"_",$B54),Data!$H$16:$BN$1015,AT$11,FALSE),"")</f>
        <v/>
      </c>
      <c r="AU54" s="1430" t="str">
        <f>IFERROR(VLOOKUP(CONCATENATE($B$8,"_",$B54),Data!$H$16:$BN$1015,AU$11,FALSE),"")</f>
        <v/>
      </c>
      <c r="AV54" s="1428" t="str">
        <f>IFERROR(VLOOKUP(CONCATENATE($B$8,"_",$B54),Data!$H$16:$BN$1015,AV$11,FALSE),"")</f>
        <v/>
      </c>
      <c r="AW54" s="1428" t="str">
        <f>IFERROR(VLOOKUP(CONCATENATE($B$8,"_",$B54),Data!$H$16:$BN$1015,AW$11,FALSE),"")</f>
        <v/>
      </c>
      <c r="AX54" s="1430" t="str">
        <f>IFERROR(VLOOKUP(CONCATENATE($B$8,"_",$B54),Data!$H$16:$BN$1015,AX$11,FALSE),"")</f>
        <v/>
      </c>
      <c r="AY54" s="1429" t="str">
        <f>IFERROR(VLOOKUP(CONCATENATE($B$8,"_",$B54),Data!$H$16:$BN$1015,AY$11,FALSE),"")</f>
        <v/>
      </c>
      <c r="AZ54" s="1429" t="str">
        <f>IFERROR(VLOOKUP(CONCATENATE($B$8,"_",$B54),Data!$H$16:$BN$1015,AZ$11,FALSE),"")</f>
        <v/>
      </c>
      <c r="BA54" s="1429" t="str">
        <f>IFERROR(VLOOKUP(CONCATENATE($B$8,"_",$B54),Data!$H$16:$BN$1015,BA$11,FALSE),"")</f>
        <v/>
      </c>
      <c r="BB54" s="1429" t="str">
        <f>IFERROR(VLOOKUP(CONCATENATE($B$8,"_",$B54),Data!$H$16:$BN$1015,BB$11,FALSE),"")</f>
        <v/>
      </c>
      <c r="BC54" s="1429" t="str">
        <f>IFERROR(VLOOKUP(CONCATENATE($B$8,"_",$B54),Data!$H$16:$BN$1015,BC$11,FALSE),"")</f>
        <v/>
      </c>
      <c r="BD54" s="1431" t="str">
        <f>IFERROR(VLOOKUP(CONCATENATE($B$8,"_",$B54),Data!$H$16:$BN$1015,BD$11,FALSE),"")</f>
        <v/>
      </c>
      <c r="BE54" s="1439">
        <f t="shared" si="1"/>
        <v>2041</v>
      </c>
      <c r="BF54" s="1428" t="str">
        <f>IFERROR(VLOOKUP(CONCATENATE($B$8,"_",$B54),Data!$BO$16:$ES$1015,BF$11,FALSE),"")</f>
        <v/>
      </c>
      <c r="BG54" s="1433" t="str">
        <f>IFERROR(VLOOKUP(CONCATENATE($B$8,"_",$B54),Data!$BO$16:$ES$1015,BG$11,FALSE),"")</f>
        <v/>
      </c>
      <c r="BH54" s="1435" t="str">
        <f>IFERROR(VLOOKUP(CONCATENATE($B$8,"_",$B54),Data!$BO$16:$ES$1015,BH$11,FALSE),"")</f>
        <v/>
      </c>
      <c r="BI54" s="1434" t="str">
        <f>IFERROR(VLOOKUP(CONCATENATE($B$8,"_",$B54),Data!$BO$16:$ES$1015,BI$11,FALSE),"")</f>
        <v/>
      </c>
      <c r="BJ54" s="1428" t="str">
        <f>IFERROR(VLOOKUP(CONCATENATE($B$8,"_",$B54),Data!$BO$16:$ES$1015,BJ$11,FALSE),"")</f>
        <v/>
      </c>
      <c r="BK54" s="1428" t="str">
        <f>IFERROR(VLOOKUP(CONCATENATE($B$8,"_",$B54),Data!$BO$16:$ES$1015,BK$11,FALSE),"")</f>
        <v/>
      </c>
      <c r="BL54" s="1428" t="str">
        <f>IFERROR(VLOOKUP(CONCATENATE($B$8,"_",$B54),Data!$BO$16:$ES$1015,BL$11,FALSE),"")</f>
        <v/>
      </c>
      <c r="BM54" s="1433" t="str">
        <f>IFERROR(VLOOKUP(CONCATENATE($B$8,"_",$B54),Data!$BO$16:$ES$1015,BM$11,FALSE),"")</f>
        <v/>
      </c>
      <c r="BN54" s="1433" t="str">
        <f>IFERROR(VLOOKUP(CONCATENATE($B$8,"_",$B54),Data!$BO$16:$ES$1015,BN$11,FALSE),"")</f>
        <v/>
      </c>
      <c r="BO54" s="1433" t="str">
        <f>IFERROR(VLOOKUP(CONCATENATE($B$8,"_",$B54),Data!$BO$16:$ES$1015,BO$11,FALSE),"")</f>
        <v/>
      </c>
      <c r="BP54" s="1433" t="str">
        <f>IFERROR(VLOOKUP(CONCATENATE($B$8,"_",$B54),Data!$BO$16:$ES$1015,BP$11,FALSE),"")</f>
        <v/>
      </c>
      <c r="BQ54" s="1433" t="str">
        <f>IFERROR(VLOOKUP(CONCATENATE($B$8,"_",$B54),Data!$BO$16:$ES$1015,BQ$11,FALSE),"")</f>
        <v/>
      </c>
      <c r="BR54" s="1434" t="str">
        <f>IFERROR(VLOOKUP(CONCATENATE($B$8,"_",$B54),Data!$BO$16:$ES$1015,BR$11,FALSE),"")</f>
        <v/>
      </c>
      <c r="BS54" s="1434" t="str">
        <f>IFERROR(VLOOKUP(CONCATENATE($B$8,"_",$B54),Data!$BO$16:$ES$1015,BS$11,FALSE),"")</f>
        <v/>
      </c>
      <c r="BT54" s="1434" t="str">
        <f>IFERROR(VLOOKUP(CONCATENATE($B$8,"_",$B54),Data!$BO$16:$ES$1015,BT$11,FALSE),"")</f>
        <v/>
      </c>
      <c r="BU54" s="1434" t="str">
        <f>IFERROR(VLOOKUP(CONCATENATE($B$8,"_",$B54),Data!$BO$16:$ES$1015,BU$11,FALSE),"")</f>
        <v/>
      </c>
      <c r="BV54" s="1434" t="str">
        <f>IFERROR(VLOOKUP(CONCATENATE($B$8,"_",$B54),Data!$BO$16:$ES$1015,BV$11,FALSE),"")</f>
        <v/>
      </c>
      <c r="BW54" s="1434" t="str">
        <f>IFERROR(VLOOKUP(CONCATENATE($B$8,"_",$B54),Data!$BO$16:$ES$1015,BW$11,FALSE),"")</f>
        <v/>
      </c>
      <c r="BX54" s="1434" t="str">
        <f>IFERROR(VLOOKUP(CONCATENATE($B$8,"_",$B54),Data!$BO$16:$ES$1015,BX$11,FALSE),"")</f>
        <v/>
      </c>
      <c r="BY54" s="1428" t="str">
        <f>IFERROR(VLOOKUP(CONCATENATE($B$8,"_",$B54),Data!$BO$16:$ES$1015,BY$11,FALSE),"")</f>
        <v/>
      </c>
      <c r="BZ54" s="1428" t="str">
        <f>IFERROR(VLOOKUP(CONCATENATE($B$8,"_",$B54),Data!$BO$16:$ES$1015,BZ$11,FALSE),"")</f>
        <v/>
      </c>
      <c r="CA54" s="1428" t="str">
        <f>IFERROR(VLOOKUP(CONCATENATE($B$8,"_",$B54),Data!$BO$16:$ES$1015,CA$11,FALSE),"")</f>
        <v/>
      </c>
      <c r="CB54" s="1428" t="str">
        <f>IFERROR(VLOOKUP(CONCATENATE($B$8,"_",$B54),Data!$BO$16:$ES$1015,CB$11,FALSE),"")</f>
        <v/>
      </c>
      <c r="CC54" s="1428" t="str">
        <f>IFERROR(VLOOKUP(CONCATENATE($B$8,"_",$B54),Data!$BO$16:$ES$1015,CC$11,FALSE),"")</f>
        <v/>
      </c>
      <c r="CD54" s="1428" t="str">
        <f>IFERROR(VLOOKUP(CONCATENATE($B$8,"_",$B54),Data!$BO$16:$ES$1015,CD$11,FALSE),"")</f>
        <v/>
      </c>
      <c r="CE54" s="1428" t="str">
        <f>IFERROR(VLOOKUP(CONCATENATE($B$8,"_",$B54),Data!$BO$16:$ES$1015,CE$11,FALSE),"")</f>
        <v/>
      </c>
      <c r="CF54" s="1428" t="str">
        <f>IFERROR(VLOOKUP(CONCATENATE($B$8,"_",$B54),Data!$BO$16:$ES$1015,CF$11,FALSE),"")</f>
        <v/>
      </c>
      <c r="CG54" s="1428" t="str">
        <f>IFERROR(VLOOKUP(CONCATENATE($B$8,"_",$B54),Data!$BO$16:$ES$1015,CG$11,FALSE),"")</f>
        <v/>
      </c>
      <c r="CH54" s="1428" t="str">
        <f>IFERROR(VLOOKUP(CONCATENATE($B$8,"_",$B54),Data!$BO$16:$ES$1015,CH$11,FALSE),"")</f>
        <v/>
      </c>
      <c r="CI54" s="1428" t="str">
        <f>IFERROR(VLOOKUP(CONCATENATE($B$8,"_",$B54),Data!$BO$16:$ES$1015,CI$11,FALSE),"")</f>
        <v/>
      </c>
      <c r="CJ54" s="1428" t="str">
        <f>IFERROR(VLOOKUP(CONCATENATE($B$8,"_",$B54),Data!$BO$16:$ES$1015,CJ$11,FALSE),"")</f>
        <v/>
      </c>
      <c r="CK54" s="1428" t="str">
        <f>IFERROR(VLOOKUP(CONCATENATE($B$8,"_",$B54),Data!$BO$16:$ES$1015,CK$11,FALSE),"")</f>
        <v/>
      </c>
      <c r="CL54" s="1428" t="str">
        <f>IFERROR(VLOOKUP(CONCATENATE($B$8,"_",$B54),Data!$BO$16:$ES$1015,CL$11,FALSE),"")</f>
        <v/>
      </c>
      <c r="CM54" s="1428" t="str">
        <f>IFERROR(VLOOKUP(CONCATENATE($B$8,"_",$B54),Data!$BO$16:$ES$1015,CM$11,FALSE),"")</f>
        <v/>
      </c>
      <c r="CN54" s="1428" t="str">
        <f>IFERROR(VLOOKUP(CONCATENATE($B$8,"_",$B54),Data!$BO$16:$ES$1015,CN$11,FALSE),"")</f>
        <v/>
      </c>
      <c r="CO54" s="1428" t="str">
        <f>IFERROR(VLOOKUP(CONCATENATE($B$8,"_",$B54),Data!$BO$16:$ES$1015,CO$11,FALSE),"")</f>
        <v/>
      </c>
      <c r="CP54" s="1433" t="str">
        <f>IFERROR(VLOOKUP(CONCATENATE($B$8,"_",$B54),Data!$BO$16:$ES$1015,CP$11,FALSE),"")</f>
        <v/>
      </c>
      <c r="CQ54" s="1433" t="str">
        <f>IFERROR(VLOOKUP(CONCATENATE($B$8,"_",$B54),Data!$BO$16:$ES$1015,CQ$11,FALSE),"")</f>
        <v/>
      </c>
      <c r="CR54" s="1433" t="str">
        <f>IFERROR(VLOOKUP(CONCATENATE($B$8,"_",$B54),Data!$BO$16:$ES$1015,CR$11,FALSE),"")</f>
        <v/>
      </c>
      <c r="CS54" s="1433" t="str">
        <f>IFERROR(VLOOKUP(CONCATENATE($B$8,"_",$B54),Data!$BO$16:$ES$1015,CS$11,FALSE),"")</f>
        <v/>
      </c>
      <c r="CT54" s="1433" t="str">
        <f>IFERROR(VLOOKUP(CONCATENATE($B$8,"_",$B54),Data!$BO$16:$ES$1015,CT$11,FALSE),"")</f>
        <v/>
      </c>
      <c r="CU54" s="1433" t="str">
        <f>IFERROR(VLOOKUP(CONCATENATE($B$8,"_",$B54),Data!$BO$16:$ES$1015,CU$11,FALSE),"")</f>
        <v/>
      </c>
      <c r="CV54" s="1433" t="str">
        <f>IFERROR(VLOOKUP(CONCATENATE($B$8,"_",$B54),Data!$BO$16:$ES$1015,CV$11,FALSE),"")</f>
        <v/>
      </c>
      <c r="CW54" s="1433" t="str">
        <f>IFERROR(VLOOKUP(CONCATENATE($B$8,"_",$B54),Data!$BO$16:$ES$1015,CW$11,FALSE),"")</f>
        <v/>
      </c>
      <c r="CX54" s="1433" t="str">
        <f>IFERROR(VLOOKUP(CONCATENATE($B$8,"_",$B54),Data!$BO$16:$ES$1015,CX$11,FALSE),"")</f>
        <v/>
      </c>
      <c r="CY54" s="1433" t="str">
        <f>IFERROR(VLOOKUP(CONCATENATE($B$8,"_",$B54),Data!$BO$16:$ES$1015,CY$11,FALSE),"")</f>
        <v/>
      </c>
      <c r="CZ54" s="1433" t="str">
        <f>IFERROR(VLOOKUP(CONCATENATE($B$8,"_",$B54),Data!$BO$16:$ES$1015,CZ$11,FALSE),"")</f>
        <v/>
      </c>
      <c r="DA54" s="1433" t="str">
        <f>IFERROR(VLOOKUP(CONCATENATE($B$8,"_",$B54),Data!$BO$16:$ES$1015,DA$11,FALSE),"")</f>
        <v/>
      </c>
      <c r="DB54" s="1433" t="str">
        <f>IFERROR(VLOOKUP(CONCATENATE($B$8,"_",$B54),Data!$BO$16:$ES$1015,DB$11,FALSE),"")</f>
        <v/>
      </c>
      <c r="DC54" s="1433" t="str">
        <f>IFERROR(VLOOKUP(CONCATENATE($B$8,"_",$B54),Data!$BO$16:$ES$1015,DC$11,FALSE),"")</f>
        <v/>
      </c>
      <c r="DD54" s="1433" t="str">
        <f>IFERROR(VLOOKUP(CONCATENATE($B$8,"_",$B54),Data!$BO$16:$ES$1015,DD$11,FALSE),"")</f>
        <v/>
      </c>
      <c r="DE54" s="1433" t="str">
        <f>IFERROR(VLOOKUP(CONCATENATE($B$8,"_",$B54),Data!$BO$16:$ES$1015,DE$11,FALSE),"")</f>
        <v/>
      </c>
      <c r="DF54" s="1433" t="str">
        <f>IFERROR(VLOOKUP(CONCATENATE($B$8,"_",$B54),Data!$BO$16:$ES$1015,DF$11,FALSE),"")</f>
        <v/>
      </c>
      <c r="DG54" s="1433" t="str">
        <f>IFERROR(VLOOKUP(CONCATENATE($B$8,"_",$B54),Data!$BO$16:$ES$1015,DG$11,FALSE),"")</f>
        <v/>
      </c>
      <c r="DH54" s="1433" t="str">
        <f>IFERROR(VLOOKUP(CONCATENATE($B$8,"_",$B54),Data!$BO$16:$ES$1015,DH$11,FALSE),"")</f>
        <v/>
      </c>
      <c r="DI54" s="1433" t="str">
        <f>IFERROR(VLOOKUP(CONCATENATE($B$8,"_",$B54),Data!$BO$16:$ES$1015,DI$11,FALSE),"")</f>
        <v/>
      </c>
      <c r="DJ54" s="1433" t="str">
        <f>IFERROR(VLOOKUP(CONCATENATE($B$8,"_",$B54),Data!$BO$16:$ES$1015,DJ$11,FALSE),"")</f>
        <v/>
      </c>
      <c r="DK54" s="1433" t="str">
        <f>IFERROR(VLOOKUP(CONCATENATE($B$8,"_",$B54),Data!$BO$16:$ES$1015,DK$11,FALSE),"")</f>
        <v/>
      </c>
      <c r="DL54" s="1435" t="str">
        <f>IFERROR(VLOOKUP(CONCATENATE($B$8,"_",$B54),Data!$BO$16:$ES$1015,DL$11,FALSE),"")</f>
        <v/>
      </c>
      <c r="DM54" s="1434" t="str">
        <f>IFERROR(VLOOKUP(CONCATENATE($B$8,"_",$B54),Data!$BO$16:$ES$1015,DM$11,FALSE),"")</f>
        <v/>
      </c>
      <c r="DN54" s="1434" t="str">
        <f>IFERROR(VLOOKUP(CONCATENATE($B$8,"_",$B54),Data!$BO$16:$ES$1015,DN$11,FALSE),"")</f>
        <v/>
      </c>
      <c r="DO54" s="1434" t="str">
        <f>IFERROR(VLOOKUP(CONCATENATE($B$8,"_",$B54),Data!$BO$16:$ES$1015,DO$11,FALSE),"")</f>
        <v/>
      </c>
      <c r="DP54" s="1434" t="str">
        <f>IFERROR(VLOOKUP(CONCATENATE($B$8,"_",$B54),Data!$BO$16:$ES$1015,DP$11,FALSE),"")</f>
        <v/>
      </c>
      <c r="DQ54" s="1434" t="str">
        <f>IFERROR(VLOOKUP(CONCATENATE($B$8,"_",$B54),Data!$BO$16:$ES$1015,DQ$11,FALSE),"")</f>
        <v/>
      </c>
      <c r="DR54" s="1434" t="str">
        <f>IFERROR(VLOOKUP(CONCATENATE($B$8,"_",$B54),Data!$BO$16:$ES$1015,DR$11,FALSE),"")</f>
        <v/>
      </c>
      <c r="DS54" s="1434" t="str">
        <f>IFERROR(VLOOKUP(CONCATENATE($B$8,"_",$B54),Data!$BO$16:$ES$1015,DS$11,FALSE),"")</f>
        <v/>
      </c>
      <c r="DT54" s="1434" t="str">
        <f>IFERROR(VLOOKUP(CONCATENATE($B$8,"_",$B54),Data!$BO$16:$ES$1015,DT$11,FALSE),"")</f>
        <v/>
      </c>
      <c r="DU54" s="1434" t="str">
        <f>IFERROR(VLOOKUP(CONCATENATE($B$8,"_",$B54),Data!$BO$16:$ES$1015,DU$11,FALSE),"")</f>
        <v/>
      </c>
      <c r="DV54" s="1434" t="str">
        <f>IFERROR(VLOOKUP(CONCATENATE($B$8,"_",$B54),Data!$BO$16:$ES$1015,DV$11,FALSE),"")</f>
        <v/>
      </c>
      <c r="DW54" s="1434" t="str">
        <f>IFERROR(VLOOKUP(CONCATENATE($B$8,"_",$B54),Data!$BO$16:$ES$1015,DW$11,FALSE),"")</f>
        <v/>
      </c>
      <c r="DX54" s="1434" t="str">
        <f>IFERROR(VLOOKUP(CONCATENATE($B$8,"_",$B54),Data!$BO$16:$ES$1015,DX$11,FALSE),"")</f>
        <v/>
      </c>
      <c r="DY54" s="1434" t="str">
        <f>IFERROR(VLOOKUP(CONCATENATE($B$8,"_",$B54),Data!$BO$16:$ES$1015,DY$11,FALSE),"")</f>
        <v/>
      </c>
      <c r="DZ54" s="1434" t="str">
        <f>IFERROR(VLOOKUP(CONCATENATE($B$8,"_",$B54),Data!$BO$16:$ES$1015,DZ$11,FALSE),"")</f>
        <v/>
      </c>
      <c r="EA54" s="1434" t="str">
        <f>IFERROR(VLOOKUP(CONCATENATE($B$8,"_",$B54),Data!$BO$16:$ES$1015,EA$11,FALSE),"")</f>
        <v/>
      </c>
      <c r="EB54" s="1434" t="str">
        <f>IFERROR(VLOOKUP(CONCATENATE($B$8,"_",$B54),Data!$BO$16:$ES$1015,EB$11,FALSE),"")</f>
        <v/>
      </c>
      <c r="EC54" s="1434" t="str">
        <f>IFERROR(VLOOKUP(CONCATENATE($B$8,"_",$B54),Data!$BO$16:$ES$1015,EC$11,FALSE),"")</f>
        <v/>
      </c>
      <c r="ED54" s="1434" t="str">
        <f>IFERROR(VLOOKUP(CONCATENATE($B$8,"_",$B54),Data!$BO$16:$ES$1015,ED$11,FALSE),"")</f>
        <v/>
      </c>
      <c r="EE54" s="1434" t="str">
        <f>IFERROR(VLOOKUP(CONCATENATE($B$8,"_",$B54),Data!$BO$16:$ES$1015,EE$11,FALSE),"")</f>
        <v/>
      </c>
      <c r="EF54" s="1434" t="str">
        <f>IFERROR(VLOOKUP(CONCATENATE($B$8,"_",$B54),Data!$BO$16:$ES$1015,EF$11,FALSE),"")</f>
        <v/>
      </c>
      <c r="EG54" s="1434" t="str">
        <f>IFERROR(VLOOKUP(CONCATENATE($B$8,"_",$B54),Data!$BO$16:$ES$1015,EG$11,FALSE),"")</f>
        <v/>
      </c>
      <c r="EH54" s="1434" t="str">
        <f>IFERROR(VLOOKUP(CONCATENATE($B$8,"_",$B54),Data!$BO$16:$ES$1015,EH$11,FALSE),"")</f>
        <v/>
      </c>
      <c r="EI54" s="1434" t="str">
        <f>IFERROR(VLOOKUP(CONCATENATE($B$8,"_",$B54),Data!$BO$16:$ES$1015,EI$11,FALSE),"")</f>
        <v/>
      </c>
      <c r="EK54" s="1437"/>
    </row>
    <row r="55" spans="1:141" s="1436" customFormat="1" ht="15" customHeight="1">
      <c r="A55" s="1438">
        <v>42</v>
      </c>
      <c r="B55" s="1738">
        <f>IF($B$13+A55&lt;=Progress!$D$18,$B$13+A55,"")</f>
        <v>2042</v>
      </c>
      <c r="C55" s="1737" t="str">
        <f>IFERROR(VLOOKUP(CONCATENATE($B$8,"_",$B55),Data!$H$16:$BN$1015,C$11,FALSE),"")</f>
        <v/>
      </c>
      <c r="D55" s="1428" t="str">
        <f>IFERROR(VLOOKUP(CONCATENATE($B$8,"_",$B55),Data!$H$16:$BN$1015,D$11,FALSE),"")</f>
        <v/>
      </c>
      <c r="E55" s="1429" t="str">
        <f>IFERROR(VLOOKUP(CONCATENATE($B$8,"_",$B55),Data!$H$16:$BN$1015,E$11,FALSE),"")</f>
        <v/>
      </c>
      <c r="F55" s="1428" t="str">
        <f>IFERROR(VLOOKUP(CONCATENATE($B$8,"_",$B55),Data!$H$16:$BN$1015,F$11,FALSE),"")</f>
        <v/>
      </c>
      <c r="G55" s="1428" t="str">
        <f>IFERROR(VLOOKUP(CONCATENATE($B$8,"_",$B55),Data!$H$16:$BN$1015,G$11,FALSE),"")</f>
        <v/>
      </c>
      <c r="H55" s="1429" t="str">
        <f>IFERROR(VLOOKUP(CONCATENATE($B$8,"_",$B55),Data!$H$16:$BN$1015,H$11,FALSE),"")</f>
        <v/>
      </c>
      <c r="I55" s="1428" t="str">
        <f>IFERROR(VLOOKUP(CONCATENATE($B$8,"_",$B55),Data!$H$16:$BN$1015,I$11,FALSE),"")</f>
        <v/>
      </c>
      <c r="J55" s="1428" t="str">
        <f>IFERROR(VLOOKUP(CONCATENATE($B$8,"_",$B55),Data!$H$16:$BN$1015,J$11,FALSE),"")</f>
        <v/>
      </c>
      <c r="K55" s="1429" t="str">
        <f>IFERROR(VLOOKUP(CONCATENATE($B$8,"_",$B55),Data!$H$16:$BN$1015,K$11,FALSE),"")</f>
        <v/>
      </c>
      <c r="L55" s="1428" t="str">
        <f>IFERROR(VLOOKUP(CONCATENATE($B$8,"_",$B55),Data!$H$16:$BN$1015,L$11,FALSE),"")</f>
        <v/>
      </c>
      <c r="M55" s="1428" t="str">
        <f>IFERROR(VLOOKUP(CONCATENATE($B$8,"_",$B55),Data!$H$16:$BN$1015,M$11,FALSE),"")</f>
        <v/>
      </c>
      <c r="N55" s="1429" t="str">
        <f>IFERROR(VLOOKUP(CONCATENATE($B$8,"_",$B55),Data!$H$16:$BN$1015,N$11,FALSE),"")</f>
        <v/>
      </c>
      <c r="O55" s="1430" t="str">
        <f>IFERROR(VLOOKUP(CONCATENATE($B$8,"_",$B55),Data!$H$16:$BN$1015,O$11,FALSE),"")</f>
        <v/>
      </c>
      <c r="P55" s="1428" t="str">
        <f>IFERROR(VLOOKUP(CONCATENATE($B$8,"_",$B55),Data!$H$16:$BN$1015,P$11,FALSE),"")</f>
        <v/>
      </c>
      <c r="Q55" s="1428" t="str">
        <f>IFERROR(VLOOKUP(CONCATENATE($B$8,"_",$B55),Data!$H$16:$BN$1015,Q$11,FALSE),"")</f>
        <v/>
      </c>
      <c r="R55" s="1429" t="str">
        <f>IFERROR(VLOOKUP(CONCATENATE($B$8,"_",$B55),Data!$H$16:$BN$1015,R$11,FALSE),"")</f>
        <v/>
      </c>
      <c r="S55" s="1428" t="str">
        <f>IFERROR(VLOOKUP(CONCATENATE($B$8,"_",$B55),Data!$H$16:$BN$1015,S$11,FALSE),"")</f>
        <v/>
      </c>
      <c r="T55" s="1428" t="str">
        <f>IFERROR(VLOOKUP(CONCATENATE($B$8,"_",$B55),Data!$H$16:$BN$1015,T$11,FALSE),"")</f>
        <v/>
      </c>
      <c r="U55" s="1429" t="str">
        <f>IFERROR(VLOOKUP(CONCATENATE($B$8,"_",$B55),Data!$H$16:$BN$1015,U$11,FALSE),"")</f>
        <v/>
      </c>
      <c r="V55" s="1428" t="str">
        <f>IFERROR(VLOOKUP(CONCATENATE($B$8,"_",$B55),Data!$H$16:$BN$1015,V$11,FALSE),"")</f>
        <v/>
      </c>
      <c r="W55" s="1428" t="str">
        <f>IFERROR(VLOOKUP(CONCATENATE($B$8,"_",$B55),Data!$H$16:$BN$1015,W$11,FALSE),"")</f>
        <v/>
      </c>
      <c r="X55" s="1428" t="str">
        <f>IFERROR(VLOOKUP(CONCATENATE($B$8,"_",$B55),Data!$H$16:$BN$1015,X$11,FALSE),"")</f>
        <v/>
      </c>
      <c r="Y55" s="1428" t="str">
        <f>IFERROR(VLOOKUP(CONCATENATE($B$8,"_",$B55),Data!$H$16:$BN$1015,Y$11,FALSE),"")</f>
        <v/>
      </c>
      <c r="Z55" s="1429" t="str">
        <f>IFERROR(VLOOKUP(CONCATENATE($B$8,"_",$B55),Data!$H$16:$BN$1015,Z$11,FALSE),"")</f>
        <v/>
      </c>
      <c r="AA55" s="1428" t="str">
        <f>IFERROR(VLOOKUP(CONCATENATE($B$8,"_",$B55),Data!$H$16:$BN$1015,AA$11,FALSE),"")</f>
        <v/>
      </c>
      <c r="AB55" s="1428" t="str">
        <f>IFERROR(VLOOKUP(CONCATENATE($B$8,"_",$B55),Data!$H$16:$BN$1015,AB$11,FALSE),"")</f>
        <v/>
      </c>
      <c r="AC55" s="1429" t="str">
        <f>IFERROR(VLOOKUP(CONCATENATE($B$8,"_",$B55),Data!$H$16:$BN$1015,AC$11,FALSE),"")</f>
        <v/>
      </c>
      <c r="AD55" s="1428" t="str">
        <f>IFERROR(VLOOKUP(CONCATENATE($B$8,"_",$B55),Data!$H$16:$BN$1015,AD$11,FALSE),"")</f>
        <v/>
      </c>
      <c r="AE55" s="1428" t="str">
        <f>IFERROR(VLOOKUP(CONCATENATE($B$8,"_",$B55),Data!$H$16:$BN$1015,AE$11,FALSE),"")</f>
        <v/>
      </c>
      <c r="AF55" s="1429" t="str">
        <f>IFERROR(VLOOKUP(CONCATENATE($B$8,"_",$B55),Data!$H$16:$BN$1015,AF$11,FALSE),"")</f>
        <v/>
      </c>
      <c r="AG55" s="1428" t="str">
        <f>IFERROR(VLOOKUP(CONCATENATE($B$8,"_",$B55),Data!$H$16:$BN$1015,AG$11,FALSE),"")</f>
        <v/>
      </c>
      <c r="AH55" s="1428" t="str">
        <f>IFERROR(VLOOKUP(CONCATENATE($B$8,"_",$B55),Data!$H$16:$BN$1015,AH$11,FALSE),"")</f>
        <v/>
      </c>
      <c r="AI55" s="1429" t="str">
        <f>IFERROR(VLOOKUP(CONCATENATE($B$8,"_",$B55),Data!$H$16:$BN$1015,AI$11,FALSE),"")</f>
        <v/>
      </c>
      <c r="AJ55" s="1428" t="str">
        <f>IFERROR(VLOOKUP(CONCATENATE($B$8,"_",$B55),Data!$H$16:$BN$1015,AJ$11,FALSE),"")</f>
        <v/>
      </c>
      <c r="AK55" s="1428" t="str">
        <f>IFERROR(VLOOKUP(CONCATENATE($B$8,"_",$B55),Data!$H$16:$BN$1015,AK$11,FALSE),"")</f>
        <v/>
      </c>
      <c r="AL55" s="1429" t="str">
        <f>IFERROR(VLOOKUP(CONCATENATE($B$8,"_",$B55),Data!$H$16:$BN$1015,AL$11,FALSE),"")</f>
        <v/>
      </c>
      <c r="AM55" s="1428" t="str">
        <f>IFERROR(VLOOKUP(CONCATENATE($B$8,"_",$B55),Data!$H$16:$BN$1015,AM$11,FALSE),"")</f>
        <v/>
      </c>
      <c r="AN55" s="1428" t="str">
        <f>IFERROR(VLOOKUP(CONCATENATE($B$8,"_",$B55),Data!$H$16:$BN$1015,AN$11,FALSE),"")</f>
        <v/>
      </c>
      <c r="AO55" s="1430" t="str">
        <f>IFERROR(VLOOKUP(CONCATENATE($B$8,"_",$B55),Data!$H$16:$BN$1015,AO$11,FALSE),"")</f>
        <v/>
      </c>
      <c r="AP55" s="1428" t="str">
        <f>IFERROR(VLOOKUP(CONCATENATE($B$8,"_",$B55),Data!$H$16:$BN$1015,AP$11,FALSE),"")</f>
        <v/>
      </c>
      <c r="AQ55" s="1428" t="str">
        <f>IFERROR(VLOOKUP(CONCATENATE($B$8,"_",$B55),Data!$H$16:$BN$1015,AQ$11,FALSE),"")</f>
        <v/>
      </c>
      <c r="AR55" s="1430" t="str">
        <f>IFERROR(VLOOKUP(CONCATENATE($B$8,"_",$B55),Data!$H$16:$BN$1015,AR$11,FALSE),"")</f>
        <v/>
      </c>
      <c r="AS55" s="1428" t="str">
        <f>IFERROR(VLOOKUP(CONCATENATE($B$8,"_",$B55),Data!$H$16:$BN$1015,AS$11,FALSE),"")</f>
        <v/>
      </c>
      <c r="AT55" s="1428" t="str">
        <f>IFERROR(VLOOKUP(CONCATENATE($B$8,"_",$B55),Data!$H$16:$BN$1015,AT$11,FALSE),"")</f>
        <v/>
      </c>
      <c r="AU55" s="1430" t="str">
        <f>IFERROR(VLOOKUP(CONCATENATE($B$8,"_",$B55),Data!$H$16:$BN$1015,AU$11,FALSE),"")</f>
        <v/>
      </c>
      <c r="AV55" s="1428" t="str">
        <f>IFERROR(VLOOKUP(CONCATENATE($B$8,"_",$B55),Data!$H$16:$BN$1015,AV$11,FALSE),"")</f>
        <v/>
      </c>
      <c r="AW55" s="1428" t="str">
        <f>IFERROR(VLOOKUP(CONCATENATE($B$8,"_",$B55),Data!$H$16:$BN$1015,AW$11,FALSE),"")</f>
        <v/>
      </c>
      <c r="AX55" s="1430" t="str">
        <f>IFERROR(VLOOKUP(CONCATENATE($B$8,"_",$B55),Data!$H$16:$BN$1015,AX$11,FALSE),"")</f>
        <v/>
      </c>
      <c r="AY55" s="1429" t="str">
        <f>IFERROR(VLOOKUP(CONCATENATE($B$8,"_",$B55),Data!$H$16:$BN$1015,AY$11,FALSE),"")</f>
        <v/>
      </c>
      <c r="AZ55" s="1429" t="str">
        <f>IFERROR(VLOOKUP(CONCATENATE($B$8,"_",$B55),Data!$H$16:$BN$1015,AZ$11,FALSE),"")</f>
        <v/>
      </c>
      <c r="BA55" s="1429" t="str">
        <f>IFERROR(VLOOKUP(CONCATENATE($B$8,"_",$B55),Data!$H$16:$BN$1015,BA$11,FALSE),"")</f>
        <v/>
      </c>
      <c r="BB55" s="1429" t="str">
        <f>IFERROR(VLOOKUP(CONCATENATE($B$8,"_",$B55),Data!$H$16:$BN$1015,BB$11,FALSE),"")</f>
        <v/>
      </c>
      <c r="BC55" s="1429" t="str">
        <f>IFERROR(VLOOKUP(CONCATENATE($B$8,"_",$B55),Data!$H$16:$BN$1015,BC$11,FALSE),"")</f>
        <v/>
      </c>
      <c r="BD55" s="1431" t="str">
        <f>IFERROR(VLOOKUP(CONCATENATE($B$8,"_",$B55),Data!$H$16:$BN$1015,BD$11,FALSE),"")</f>
        <v/>
      </c>
      <c r="BE55" s="1439">
        <f t="shared" si="1"/>
        <v>2042</v>
      </c>
      <c r="BF55" s="1428" t="str">
        <f>IFERROR(VLOOKUP(CONCATENATE($B$8,"_",$B55),Data!$BO$16:$ES$1015,BF$11,FALSE),"")</f>
        <v/>
      </c>
      <c r="BG55" s="1433" t="str">
        <f>IFERROR(VLOOKUP(CONCATENATE($B$8,"_",$B55),Data!$BO$16:$ES$1015,BG$11,FALSE),"")</f>
        <v/>
      </c>
      <c r="BH55" s="1435" t="str">
        <f>IFERROR(VLOOKUP(CONCATENATE($B$8,"_",$B55),Data!$BO$16:$ES$1015,BH$11,FALSE),"")</f>
        <v/>
      </c>
      <c r="BI55" s="1434" t="str">
        <f>IFERROR(VLOOKUP(CONCATENATE($B$8,"_",$B55),Data!$BO$16:$ES$1015,BI$11,FALSE),"")</f>
        <v/>
      </c>
      <c r="BJ55" s="1428" t="str">
        <f>IFERROR(VLOOKUP(CONCATENATE($B$8,"_",$B55),Data!$BO$16:$ES$1015,BJ$11,FALSE),"")</f>
        <v/>
      </c>
      <c r="BK55" s="1428" t="str">
        <f>IFERROR(VLOOKUP(CONCATENATE($B$8,"_",$B55),Data!$BO$16:$ES$1015,BK$11,FALSE),"")</f>
        <v/>
      </c>
      <c r="BL55" s="1428" t="str">
        <f>IFERROR(VLOOKUP(CONCATENATE($B$8,"_",$B55),Data!$BO$16:$ES$1015,BL$11,FALSE),"")</f>
        <v/>
      </c>
      <c r="BM55" s="1433" t="str">
        <f>IFERROR(VLOOKUP(CONCATENATE($B$8,"_",$B55),Data!$BO$16:$ES$1015,BM$11,FALSE),"")</f>
        <v/>
      </c>
      <c r="BN55" s="1433" t="str">
        <f>IFERROR(VLOOKUP(CONCATENATE($B$8,"_",$B55),Data!$BO$16:$ES$1015,BN$11,FALSE),"")</f>
        <v/>
      </c>
      <c r="BO55" s="1433" t="str">
        <f>IFERROR(VLOOKUP(CONCATENATE($B$8,"_",$B55),Data!$BO$16:$ES$1015,BO$11,FALSE),"")</f>
        <v/>
      </c>
      <c r="BP55" s="1433" t="str">
        <f>IFERROR(VLOOKUP(CONCATENATE($B$8,"_",$B55),Data!$BO$16:$ES$1015,BP$11,FALSE),"")</f>
        <v/>
      </c>
      <c r="BQ55" s="1433" t="str">
        <f>IFERROR(VLOOKUP(CONCATENATE($B$8,"_",$B55),Data!$BO$16:$ES$1015,BQ$11,FALSE),"")</f>
        <v/>
      </c>
      <c r="BR55" s="1434" t="str">
        <f>IFERROR(VLOOKUP(CONCATENATE($B$8,"_",$B55),Data!$BO$16:$ES$1015,BR$11,FALSE),"")</f>
        <v/>
      </c>
      <c r="BS55" s="1434" t="str">
        <f>IFERROR(VLOOKUP(CONCATENATE($B$8,"_",$B55),Data!$BO$16:$ES$1015,BS$11,FALSE),"")</f>
        <v/>
      </c>
      <c r="BT55" s="1434" t="str">
        <f>IFERROR(VLOOKUP(CONCATENATE($B$8,"_",$B55),Data!$BO$16:$ES$1015,BT$11,FALSE),"")</f>
        <v/>
      </c>
      <c r="BU55" s="1434" t="str">
        <f>IFERROR(VLOOKUP(CONCATENATE($B$8,"_",$B55),Data!$BO$16:$ES$1015,BU$11,FALSE),"")</f>
        <v/>
      </c>
      <c r="BV55" s="1434" t="str">
        <f>IFERROR(VLOOKUP(CONCATENATE($B$8,"_",$B55),Data!$BO$16:$ES$1015,BV$11,FALSE),"")</f>
        <v/>
      </c>
      <c r="BW55" s="1434" t="str">
        <f>IFERROR(VLOOKUP(CONCATENATE($B$8,"_",$B55),Data!$BO$16:$ES$1015,BW$11,FALSE),"")</f>
        <v/>
      </c>
      <c r="BX55" s="1434" t="str">
        <f>IFERROR(VLOOKUP(CONCATENATE($B$8,"_",$B55),Data!$BO$16:$ES$1015,BX$11,FALSE),"")</f>
        <v/>
      </c>
      <c r="BY55" s="1428" t="str">
        <f>IFERROR(VLOOKUP(CONCATENATE($B$8,"_",$B55),Data!$BO$16:$ES$1015,BY$11,FALSE),"")</f>
        <v/>
      </c>
      <c r="BZ55" s="1428" t="str">
        <f>IFERROR(VLOOKUP(CONCATENATE($B$8,"_",$B55),Data!$BO$16:$ES$1015,BZ$11,FALSE),"")</f>
        <v/>
      </c>
      <c r="CA55" s="1428" t="str">
        <f>IFERROR(VLOOKUP(CONCATENATE($B$8,"_",$B55),Data!$BO$16:$ES$1015,CA$11,FALSE),"")</f>
        <v/>
      </c>
      <c r="CB55" s="1428" t="str">
        <f>IFERROR(VLOOKUP(CONCATENATE($B$8,"_",$B55),Data!$BO$16:$ES$1015,CB$11,FALSE),"")</f>
        <v/>
      </c>
      <c r="CC55" s="1428" t="str">
        <f>IFERROR(VLOOKUP(CONCATENATE($B$8,"_",$B55),Data!$BO$16:$ES$1015,CC$11,FALSE),"")</f>
        <v/>
      </c>
      <c r="CD55" s="1428" t="str">
        <f>IFERROR(VLOOKUP(CONCATENATE($B$8,"_",$B55),Data!$BO$16:$ES$1015,CD$11,FALSE),"")</f>
        <v/>
      </c>
      <c r="CE55" s="1428" t="str">
        <f>IFERROR(VLOOKUP(CONCATENATE($B$8,"_",$B55),Data!$BO$16:$ES$1015,CE$11,FALSE),"")</f>
        <v/>
      </c>
      <c r="CF55" s="1428" t="str">
        <f>IFERROR(VLOOKUP(CONCATENATE($B$8,"_",$B55),Data!$BO$16:$ES$1015,CF$11,FALSE),"")</f>
        <v/>
      </c>
      <c r="CG55" s="1428" t="str">
        <f>IFERROR(VLOOKUP(CONCATENATE($B$8,"_",$B55),Data!$BO$16:$ES$1015,CG$11,FALSE),"")</f>
        <v/>
      </c>
      <c r="CH55" s="1428" t="str">
        <f>IFERROR(VLOOKUP(CONCATENATE($B$8,"_",$B55),Data!$BO$16:$ES$1015,CH$11,FALSE),"")</f>
        <v/>
      </c>
      <c r="CI55" s="1428" t="str">
        <f>IFERROR(VLOOKUP(CONCATENATE($B$8,"_",$B55),Data!$BO$16:$ES$1015,CI$11,FALSE),"")</f>
        <v/>
      </c>
      <c r="CJ55" s="1428" t="str">
        <f>IFERROR(VLOOKUP(CONCATENATE($B$8,"_",$B55),Data!$BO$16:$ES$1015,CJ$11,FALSE),"")</f>
        <v/>
      </c>
      <c r="CK55" s="1428" t="str">
        <f>IFERROR(VLOOKUP(CONCATENATE($B$8,"_",$B55),Data!$BO$16:$ES$1015,CK$11,FALSE),"")</f>
        <v/>
      </c>
      <c r="CL55" s="1428" t="str">
        <f>IFERROR(VLOOKUP(CONCATENATE($B$8,"_",$B55),Data!$BO$16:$ES$1015,CL$11,FALSE),"")</f>
        <v/>
      </c>
      <c r="CM55" s="1428" t="str">
        <f>IFERROR(VLOOKUP(CONCATENATE($B$8,"_",$B55),Data!$BO$16:$ES$1015,CM$11,FALSE),"")</f>
        <v/>
      </c>
      <c r="CN55" s="1428" t="str">
        <f>IFERROR(VLOOKUP(CONCATENATE($B$8,"_",$B55),Data!$BO$16:$ES$1015,CN$11,FALSE),"")</f>
        <v/>
      </c>
      <c r="CO55" s="1428" t="str">
        <f>IFERROR(VLOOKUP(CONCATENATE($B$8,"_",$B55),Data!$BO$16:$ES$1015,CO$11,FALSE),"")</f>
        <v/>
      </c>
      <c r="CP55" s="1433" t="str">
        <f>IFERROR(VLOOKUP(CONCATENATE($B$8,"_",$B55),Data!$BO$16:$ES$1015,CP$11,FALSE),"")</f>
        <v/>
      </c>
      <c r="CQ55" s="1433" t="str">
        <f>IFERROR(VLOOKUP(CONCATENATE($B$8,"_",$B55),Data!$BO$16:$ES$1015,CQ$11,FALSE),"")</f>
        <v/>
      </c>
      <c r="CR55" s="1433" t="str">
        <f>IFERROR(VLOOKUP(CONCATENATE($B$8,"_",$B55),Data!$BO$16:$ES$1015,CR$11,FALSE),"")</f>
        <v/>
      </c>
      <c r="CS55" s="1433" t="str">
        <f>IFERROR(VLOOKUP(CONCATENATE($B$8,"_",$B55),Data!$BO$16:$ES$1015,CS$11,FALSE),"")</f>
        <v/>
      </c>
      <c r="CT55" s="1433" t="str">
        <f>IFERROR(VLOOKUP(CONCATENATE($B$8,"_",$B55),Data!$BO$16:$ES$1015,CT$11,FALSE),"")</f>
        <v/>
      </c>
      <c r="CU55" s="1433" t="str">
        <f>IFERROR(VLOOKUP(CONCATENATE($B$8,"_",$B55),Data!$BO$16:$ES$1015,CU$11,FALSE),"")</f>
        <v/>
      </c>
      <c r="CV55" s="1433" t="str">
        <f>IFERROR(VLOOKUP(CONCATENATE($B$8,"_",$B55),Data!$BO$16:$ES$1015,CV$11,FALSE),"")</f>
        <v/>
      </c>
      <c r="CW55" s="1433" t="str">
        <f>IFERROR(VLOOKUP(CONCATENATE($B$8,"_",$B55),Data!$BO$16:$ES$1015,CW$11,FALSE),"")</f>
        <v/>
      </c>
      <c r="CX55" s="1433" t="str">
        <f>IFERROR(VLOOKUP(CONCATENATE($B$8,"_",$B55),Data!$BO$16:$ES$1015,CX$11,FALSE),"")</f>
        <v/>
      </c>
      <c r="CY55" s="1433" t="str">
        <f>IFERROR(VLOOKUP(CONCATENATE($B$8,"_",$B55),Data!$BO$16:$ES$1015,CY$11,FALSE),"")</f>
        <v/>
      </c>
      <c r="CZ55" s="1433" t="str">
        <f>IFERROR(VLOOKUP(CONCATENATE($B$8,"_",$B55),Data!$BO$16:$ES$1015,CZ$11,FALSE),"")</f>
        <v/>
      </c>
      <c r="DA55" s="1433" t="str">
        <f>IFERROR(VLOOKUP(CONCATENATE($B$8,"_",$B55),Data!$BO$16:$ES$1015,DA$11,FALSE),"")</f>
        <v/>
      </c>
      <c r="DB55" s="1433" t="str">
        <f>IFERROR(VLOOKUP(CONCATENATE($B$8,"_",$B55),Data!$BO$16:$ES$1015,DB$11,FALSE),"")</f>
        <v/>
      </c>
      <c r="DC55" s="1433" t="str">
        <f>IFERROR(VLOOKUP(CONCATENATE($B$8,"_",$B55),Data!$BO$16:$ES$1015,DC$11,FALSE),"")</f>
        <v/>
      </c>
      <c r="DD55" s="1433" t="str">
        <f>IFERROR(VLOOKUP(CONCATENATE($B$8,"_",$B55),Data!$BO$16:$ES$1015,DD$11,FALSE),"")</f>
        <v/>
      </c>
      <c r="DE55" s="1433" t="str">
        <f>IFERROR(VLOOKUP(CONCATENATE($B$8,"_",$B55),Data!$BO$16:$ES$1015,DE$11,FALSE),"")</f>
        <v/>
      </c>
      <c r="DF55" s="1433" t="str">
        <f>IFERROR(VLOOKUP(CONCATENATE($B$8,"_",$B55),Data!$BO$16:$ES$1015,DF$11,FALSE),"")</f>
        <v/>
      </c>
      <c r="DG55" s="1433" t="str">
        <f>IFERROR(VLOOKUP(CONCATENATE($B$8,"_",$B55),Data!$BO$16:$ES$1015,DG$11,FALSE),"")</f>
        <v/>
      </c>
      <c r="DH55" s="1433" t="str">
        <f>IFERROR(VLOOKUP(CONCATENATE($B$8,"_",$B55),Data!$BO$16:$ES$1015,DH$11,FALSE),"")</f>
        <v/>
      </c>
      <c r="DI55" s="1433" t="str">
        <f>IFERROR(VLOOKUP(CONCATENATE($B$8,"_",$B55),Data!$BO$16:$ES$1015,DI$11,FALSE),"")</f>
        <v/>
      </c>
      <c r="DJ55" s="1433" t="str">
        <f>IFERROR(VLOOKUP(CONCATENATE($B$8,"_",$B55),Data!$BO$16:$ES$1015,DJ$11,FALSE),"")</f>
        <v/>
      </c>
      <c r="DK55" s="1433" t="str">
        <f>IFERROR(VLOOKUP(CONCATENATE($B$8,"_",$B55),Data!$BO$16:$ES$1015,DK$11,FALSE),"")</f>
        <v/>
      </c>
      <c r="DL55" s="1435" t="str">
        <f>IFERROR(VLOOKUP(CONCATENATE($B$8,"_",$B55),Data!$BO$16:$ES$1015,DL$11,FALSE),"")</f>
        <v/>
      </c>
      <c r="DM55" s="1434" t="str">
        <f>IFERROR(VLOOKUP(CONCATENATE($B$8,"_",$B55),Data!$BO$16:$ES$1015,DM$11,FALSE),"")</f>
        <v/>
      </c>
      <c r="DN55" s="1434" t="str">
        <f>IFERROR(VLOOKUP(CONCATENATE($B$8,"_",$B55),Data!$BO$16:$ES$1015,DN$11,FALSE),"")</f>
        <v/>
      </c>
      <c r="DO55" s="1434" t="str">
        <f>IFERROR(VLOOKUP(CONCATENATE($B$8,"_",$B55),Data!$BO$16:$ES$1015,DO$11,FALSE),"")</f>
        <v/>
      </c>
      <c r="DP55" s="1434" t="str">
        <f>IFERROR(VLOOKUP(CONCATENATE($B$8,"_",$B55),Data!$BO$16:$ES$1015,DP$11,FALSE),"")</f>
        <v/>
      </c>
      <c r="DQ55" s="1434" t="str">
        <f>IFERROR(VLOOKUP(CONCATENATE($B$8,"_",$B55),Data!$BO$16:$ES$1015,DQ$11,FALSE),"")</f>
        <v/>
      </c>
      <c r="DR55" s="1434" t="str">
        <f>IFERROR(VLOOKUP(CONCATENATE($B$8,"_",$B55),Data!$BO$16:$ES$1015,DR$11,FALSE),"")</f>
        <v/>
      </c>
      <c r="DS55" s="1434" t="str">
        <f>IFERROR(VLOOKUP(CONCATENATE($B$8,"_",$B55),Data!$BO$16:$ES$1015,DS$11,FALSE),"")</f>
        <v/>
      </c>
      <c r="DT55" s="1434" t="str">
        <f>IFERROR(VLOOKUP(CONCATENATE($B$8,"_",$B55),Data!$BO$16:$ES$1015,DT$11,FALSE),"")</f>
        <v/>
      </c>
      <c r="DU55" s="1434" t="str">
        <f>IFERROR(VLOOKUP(CONCATENATE($B$8,"_",$B55),Data!$BO$16:$ES$1015,DU$11,FALSE),"")</f>
        <v/>
      </c>
      <c r="DV55" s="1434" t="str">
        <f>IFERROR(VLOOKUP(CONCATENATE($B$8,"_",$B55),Data!$BO$16:$ES$1015,DV$11,FALSE),"")</f>
        <v/>
      </c>
      <c r="DW55" s="1434" t="str">
        <f>IFERROR(VLOOKUP(CONCATENATE($B$8,"_",$B55),Data!$BO$16:$ES$1015,DW$11,FALSE),"")</f>
        <v/>
      </c>
      <c r="DX55" s="1434" t="str">
        <f>IFERROR(VLOOKUP(CONCATENATE($B$8,"_",$B55),Data!$BO$16:$ES$1015,DX$11,FALSE),"")</f>
        <v/>
      </c>
      <c r="DY55" s="1434" t="str">
        <f>IFERROR(VLOOKUP(CONCATENATE($B$8,"_",$B55),Data!$BO$16:$ES$1015,DY$11,FALSE),"")</f>
        <v/>
      </c>
      <c r="DZ55" s="1434" t="str">
        <f>IFERROR(VLOOKUP(CONCATENATE($B$8,"_",$B55),Data!$BO$16:$ES$1015,DZ$11,FALSE),"")</f>
        <v/>
      </c>
      <c r="EA55" s="1434" t="str">
        <f>IFERROR(VLOOKUP(CONCATENATE($B$8,"_",$B55),Data!$BO$16:$ES$1015,EA$11,FALSE),"")</f>
        <v/>
      </c>
      <c r="EB55" s="1434" t="str">
        <f>IFERROR(VLOOKUP(CONCATENATE($B$8,"_",$B55),Data!$BO$16:$ES$1015,EB$11,FALSE),"")</f>
        <v/>
      </c>
      <c r="EC55" s="1434" t="str">
        <f>IFERROR(VLOOKUP(CONCATENATE($B$8,"_",$B55),Data!$BO$16:$ES$1015,EC$11,FALSE),"")</f>
        <v/>
      </c>
      <c r="ED55" s="1434" t="str">
        <f>IFERROR(VLOOKUP(CONCATENATE($B$8,"_",$B55),Data!$BO$16:$ES$1015,ED$11,FALSE),"")</f>
        <v/>
      </c>
      <c r="EE55" s="1434" t="str">
        <f>IFERROR(VLOOKUP(CONCATENATE($B$8,"_",$B55),Data!$BO$16:$ES$1015,EE$11,FALSE),"")</f>
        <v/>
      </c>
      <c r="EF55" s="1434" t="str">
        <f>IFERROR(VLOOKUP(CONCATENATE($B$8,"_",$B55),Data!$BO$16:$ES$1015,EF$11,FALSE),"")</f>
        <v/>
      </c>
      <c r="EG55" s="1434" t="str">
        <f>IFERROR(VLOOKUP(CONCATENATE($B$8,"_",$B55),Data!$BO$16:$ES$1015,EG$11,FALSE),"")</f>
        <v/>
      </c>
      <c r="EH55" s="1434" t="str">
        <f>IFERROR(VLOOKUP(CONCATENATE($B$8,"_",$B55),Data!$BO$16:$ES$1015,EH$11,FALSE),"")</f>
        <v/>
      </c>
      <c r="EI55" s="1434" t="str">
        <f>IFERROR(VLOOKUP(CONCATENATE($B$8,"_",$B55),Data!$BO$16:$ES$1015,EI$11,FALSE),"")</f>
        <v/>
      </c>
      <c r="EK55" s="1437"/>
    </row>
    <row r="56" spans="1:141" s="1436" customFormat="1" ht="15" customHeight="1">
      <c r="A56" s="1438">
        <v>43</v>
      </c>
      <c r="B56" s="1738">
        <f>IF($B$13+A56&lt;=Progress!$D$18,$B$13+A56,"")</f>
        <v>2043</v>
      </c>
      <c r="C56" s="1737" t="str">
        <f>IFERROR(VLOOKUP(CONCATENATE($B$8,"_",$B56),Data!$H$16:$BN$1015,C$11,FALSE),"")</f>
        <v/>
      </c>
      <c r="D56" s="1428" t="str">
        <f>IFERROR(VLOOKUP(CONCATENATE($B$8,"_",$B56),Data!$H$16:$BN$1015,D$11,FALSE),"")</f>
        <v/>
      </c>
      <c r="E56" s="1429" t="str">
        <f>IFERROR(VLOOKUP(CONCATENATE($B$8,"_",$B56),Data!$H$16:$BN$1015,E$11,FALSE),"")</f>
        <v/>
      </c>
      <c r="F56" s="1428" t="str">
        <f>IFERROR(VLOOKUP(CONCATENATE($B$8,"_",$B56),Data!$H$16:$BN$1015,F$11,FALSE),"")</f>
        <v/>
      </c>
      <c r="G56" s="1428" t="str">
        <f>IFERROR(VLOOKUP(CONCATENATE($B$8,"_",$B56),Data!$H$16:$BN$1015,G$11,FALSE),"")</f>
        <v/>
      </c>
      <c r="H56" s="1429" t="str">
        <f>IFERROR(VLOOKUP(CONCATENATE($B$8,"_",$B56),Data!$H$16:$BN$1015,H$11,FALSE),"")</f>
        <v/>
      </c>
      <c r="I56" s="1428" t="str">
        <f>IFERROR(VLOOKUP(CONCATENATE($B$8,"_",$B56),Data!$H$16:$BN$1015,I$11,FALSE),"")</f>
        <v/>
      </c>
      <c r="J56" s="1428" t="str">
        <f>IFERROR(VLOOKUP(CONCATENATE($B$8,"_",$B56),Data!$H$16:$BN$1015,J$11,FALSE),"")</f>
        <v/>
      </c>
      <c r="K56" s="1429" t="str">
        <f>IFERROR(VLOOKUP(CONCATENATE($B$8,"_",$B56),Data!$H$16:$BN$1015,K$11,FALSE),"")</f>
        <v/>
      </c>
      <c r="L56" s="1428" t="str">
        <f>IFERROR(VLOOKUP(CONCATENATE($B$8,"_",$B56),Data!$H$16:$BN$1015,L$11,FALSE),"")</f>
        <v/>
      </c>
      <c r="M56" s="1428" t="str">
        <f>IFERROR(VLOOKUP(CONCATENATE($B$8,"_",$B56),Data!$H$16:$BN$1015,M$11,FALSE),"")</f>
        <v/>
      </c>
      <c r="N56" s="1429" t="str">
        <f>IFERROR(VLOOKUP(CONCATENATE($B$8,"_",$B56),Data!$H$16:$BN$1015,N$11,FALSE),"")</f>
        <v/>
      </c>
      <c r="O56" s="1430" t="str">
        <f>IFERROR(VLOOKUP(CONCATENATE($B$8,"_",$B56),Data!$H$16:$BN$1015,O$11,FALSE),"")</f>
        <v/>
      </c>
      <c r="P56" s="1428" t="str">
        <f>IFERROR(VLOOKUP(CONCATENATE($B$8,"_",$B56),Data!$H$16:$BN$1015,P$11,FALSE),"")</f>
        <v/>
      </c>
      <c r="Q56" s="1428" t="str">
        <f>IFERROR(VLOOKUP(CONCATENATE($B$8,"_",$B56),Data!$H$16:$BN$1015,Q$11,FALSE),"")</f>
        <v/>
      </c>
      <c r="R56" s="1429" t="str">
        <f>IFERROR(VLOOKUP(CONCATENATE($B$8,"_",$B56),Data!$H$16:$BN$1015,R$11,FALSE),"")</f>
        <v/>
      </c>
      <c r="S56" s="1428" t="str">
        <f>IFERROR(VLOOKUP(CONCATENATE($B$8,"_",$B56),Data!$H$16:$BN$1015,S$11,FALSE),"")</f>
        <v/>
      </c>
      <c r="T56" s="1428" t="str">
        <f>IFERROR(VLOOKUP(CONCATENATE($B$8,"_",$B56),Data!$H$16:$BN$1015,T$11,FALSE),"")</f>
        <v/>
      </c>
      <c r="U56" s="1429" t="str">
        <f>IFERROR(VLOOKUP(CONCATENATE($B$8,"_",$B56),Data!$H$16:$BN$1015,U$11,FALSE),"")</f>
        <v/>
      </c>
      <c r="V56" s="1428" t="str">
        <f>IFERROR(VLOOKUP(CONCATENATE($B$8,"_",$B56),Data!$H$16:$BN$1015,V$11,FALSE),"")</f>
        <v/>
      </c>
      <c r="W56" s="1428" t="str">
        <f>IFERROR(VLOOKUP(CONCATENATE($B$8,"_",$B56),Data!$H$16:$BN$1015,W$11,FALSE),"")</f>
        <v/>
      </c>
      <c r="X56" s="1428" t="str">
        <f>IFERROR(VLOOKUP(CONCATENATE($B$8,"_",$B56),Data!$H$16:$BN$1015,X$11,FALSE),"")</f>
        <v/>
      </c>
      <c r="Y56" s="1428" t="str">
        <f>IFERROR(VLOOKUP(CONCATENATE($B$8,"_",$B56),Data!$H$16:$BN$1015,Y$11,FALSE),"")</f>
        <v/>
      </c>
      <c r="Z56" s="1429" t="str">
        <f>IFERROR(VLOOKUP(CONCATENATE($B$8,"_",$B56),Data!$H$16:$BN$1015,Z$11,FALSE),"")</f>
        <v/>
      </c>
      <c r="AA56" s="1428" t="str">
        <f>IFERROR(VLOOKUP(CONCATENATE($B$8,"_",$B56),Data!$H$16:$BN$1015,AA$11,FALSE),"")</f>
        <v/>
      </c>
      <c r="AB56" s="1428" t="str">
        <f>IFERROR(VLOOKUP(CONCATENATE($B$8,"_",$B56),Data!$H$16:$BN$1015,AB$11,FALSE),"")</f>
        <v/>
      </c>
      <c r="AC56" s="1429" t="str">
        <f>IFERROR(VLOOKUP(CONCATENATE($B$8,"_",$B56),Data!$H$16:$BN$1015,AC$11,FALSE),"")</f>
        <v/>
      </c>
      <c r="AD56" s="1428" t="str">
        <f>IFERROR(VLOOKUP(CONCATENATE($B$8,"_",$B56),Data!$H$16:$BN$1015,AD$11,FALSE),"")</f>
        <v/>
      </c>
      <c r="AE56" s="1428" t="str">
        <f>IFERROR(VLOOKUP(CONCATENATE($B$8,"_",$B56),Data!$H$16:$BN$1015,AE$11,FALSE),"")</f>
        <v/>
      </c>
      <c r="AF56" s="1429" t="str">
        <f>IFERROR(VLOOKUP(CONCATENATE($B$8,"_",$B56),Data!$H$16:$BN$1015,AF$11,FALSE),"")</f>
        <v/>
      </c>
      <c r="AG56" s="1428" t="str">
        <f>IFERROR(VLOOKUP(CONCATENATE($B$8,"_",$B56),Data!$H$16:$BN$1015,AG$11,FALSE),"")</f>
        <v/>
      </c>
      <c r="AH56" s="1428" t="str">
        <f>IFERROR(VLOOKUP(CONCATENATE($B$8,"_",$B56),Data!$H$16:$BN$1015,AH$11,FALSE),"")</f>
        <v/>
      </c>
      <c r="AI56" s="1429" t="str">
        <f>IFERROR(VLOOKUP(CONCATENATE($B$8,"_",$B56),Data!$H$16:$BN$1015,AI$11,FALSE),"")</f>
        <v/>
      </c>
      <c r="AJ56" s="1428" t="str">
        <f>IFERROR(VLOOKUP(CONCATENATE($B$8,"_",$B56),Data!$H$16:$BN$1015,AJ$11,FALSE),"")</f>
        <v/>
      </c>
      <c r="AK56" s="1428" t="str">
        <f>IFERROR(VLOOKUP(CONCATENATE($B$8,"_",$B56),Data!$H$16:$BN$1015,AK$11,FALSE),"")</f>
        <v/>
      </c>
      <c r="AL56" s="1429" t="str">
        <f>IFERROR(VLOOKUP(CONCATENATE($B$8,"_",$B56),Data!$H$16:$BN$1015,AL$11,FALSE),"")</f>
        <v/>
      </c>
      <c r="AM56" s="1428" t="str">
        <f>IFERROR(VLOOKUP(CONCATENATE($B$8,"_",$B56),Data!$H$16:$BN$1015,AM$11,FALSE),"")</f>
        <v/>
      </c>
      <c r="AN56" s="1428" t="str">
        <f>IFERROR(VLOOKUP(CONCATENATE($B$8,"_",$B56),Data!$H$16:$BN$1015,AN$11,FALSE),"")</f>
        <v/>
      </c>
      <c r="AO56" s="1430" t="str">
        <f>IFERROR(VLOOKUP(CONCATENATE($B$8,"_",$B56),Data!$H$16:$BN$1015,AO$11,FALSE),"")</f>
        <v/>
      </c>
      <c r="AP56" s="1428" t="str">
        <f>IFERROR(VLOOKUP(CONCATENATE($B$8,"_",$B56),Data!$H$16:$BN$1015,AP$11,FALSE),"")</f>
        <v/>
      </c>
      <c r="AQ56" s="1428" t="str">
        <f>IFERROR(VLOOKUP(CONCATENATE($B$8,"_",$B56),Data!$H$16:$BN$1015,AQ$11,FALSE),"")</f>
        <v/>
      </c>
      <c r="AR56" s="1430" t="str">
        <f>IFERROR(VLOOKUP(CONCATENATE($B$8,"_",$B56),Data!$H$16:$BN$1015,AR$11,FALSE),"")</f>
        <v/>
      </c>
      <c r="AS56" s="1428" t="str">
        <f>IFERROR(VLOOKUP(CONCATENATE($B$8,"_",$B56),Data!$H$16:$BN$1015,AS$11,FALSE),"")</f>
        <v/>
      </c>
      <c r="AT56" s="1428" t="str">
        <f>IFERROR(VLOOKUP(CONCATENATE($B$8,"_",$B56),Data!$H$16:$BN$1015,AT$11,FALSE),"")</f>
        <v/>
      </c>
      <c r="AU56" s="1430" t="str">
        <f>IFERROR(VLOOKUP(CONCATENATE($B$8,"_",$B56),Data!$H$16:$BN$1015,AU$11,FALSE),"")</f>
        <v/>
      </c>
      <c r="AV56" s="1428" t="str">
        <f>IFERROR(VLOOKUP(CONCATENATE($B$8,"_",$B56),Data!$H$16:$BN$1015,AV$11,FALSE),"")</f>
        <v/>
      </c>
      <c r="AW56" s="1428" t="str">
        <f>IFERROR(VLOOKUP(CONCATENATE($B$8,"_",$B56),Data!$H$16:$BN$1015,AW$11,FALSE),"")</f>
        <v/>
      </c>
      <c r="AX56" s="1430" t="str">
        <f>IFERROR(VLOOKUP(CONCATENATE($B$8,"_",$B56),Data!$H$16:$BN$1015,AX$11,FALSE),"")</f>
        <v/>
      </c>
      <c r="AY56" s="1429" t="str">
        <f>IFERROR(VLOOKUP(CONCATENATE($B$8,"_",$B56),Data!$H$16:$BN$1015,AY$11,FALSE),"")</f>
        <v/>
      </c>
      <c r="AZ56" s="1429" t="str">
        <f>IFERROR(VLOOKUP(CONCATENATE($B$8,"_",$B56),Data!$H$16:$BN$1015,AZ$11,FALSE),"")</f>
        <v/>
      </c>
      <c r="BA56" s="1429" t="str">
        <f>IFERROR(VLOOKUP(CONCATENATE($B$8,"_",$B56),Data!$H$16:$BN$1015,BA$11,FALSE),"")</f>
        <v/>
      </c>
      <c r="BB56" s="1429" t="str">
        <f>IFERROR(VLOOKUP(CONCATENATE($B$8,"_",$B56),Data!$H$16:$BN$1015,BB$11,FALSE),"")</f>
        <v/>
      </c>
      <c r="BC56" s="1429" t="str">
        <f>IFERROR(VLOOKUP(CONCATENATE($B$8,"_",$B56),Data!$H$16:$BN$1015,BC$11,FALSE),"")</f>
        <v/>
      </c>
      <c r="BD56" s="1431" t="str">
        <f>IFERROR(VLOOKUP(CONCATENATE($B$8,"_",$B56),Data!$H$16:$BN$1015,BD$11,FALSE),"")</f>
        <v/>
      </c>
      <c r="BE56" s="1439">
        <f t="shared" si="1"/>
        <v>2043</v>
      </c>
      <c r="BF56" s="1428" t="str">
        <f>IFERROR(VLOOKUP(CONCATENATE($B$8,"_",$B56),Data!$BO$16:$ES$1015,BF$11,FALSE),"")</f>
        <v/>
      </c>
      <c r="BG56" s="1433" t="str">
        <f>IFERROR(VLOOKUP(CONCATENATE($B$8,"_",$B56),Data!$BO$16:$ES$1015,BG$11,FALSE),"")</f>
        <v/>
      </c>
      <c r="BH56" s="1435" t="str">
        <f>IFERROR(VLOOKUP(CONCATENATE($B$8,"_",$B56),Data!$BO$16:$ES$1015,BH$11,FALSE),"")</f>
        <v/>
      </c>
      <c r="BI56" s="1434" t="str">
        <f>IFERROR(VLOOKUP(CONCATENATE($B$8,"_",$B56),Data!$BO$16:$ES$1015,BI$11,FALSE),"")</f>
        <v/>
      </c>
      <c r="BJ56" s="1428" t="str">
        <f>IFERROR(VLOOKUP(CONCATENATE($B$8,"_",$B56),Data!$BO$16:$ES$1015,BJ$11,FALSE),"")</f>
        <v/>
      </c>
      <c r="BK56" s="1428" t="str">
        <f>IFERROR(VLOOKUP(CONCATENATE($B$8,"_",$B56),Data!$BO$16:$ES$1015,BK$11,FALSE),"")</f>
        <v/>
      </c>
      <c r="BL56" s="1428" t="str">
        <f>IFERROR(VLOOKUP(CONCATENATE($B$8,"_",$B56),Data!$BO$16:$ES$1015,BL$11,FALSE),"")</f>
        <v/>
      </c>
      <c r="BM56" s="1433" t="str">
        <f>IFERROR(VLOOKUP(CONCATENATE($B$8,"_",$B56),Data!$BO$16:$ES$1015,BM$11,FALSE),"")</f>
        <v/>
      </c>
      <c r="BN56" s="1433" t="str">
        <f>IFERROR(VLOOKUP(CONCATENATE($B$8,"_",$B56),Data!$BO$16:$ES$1015,BN$11,FALSE),"")</f>
        <v/>
      </c>
      <c r="BO56" s="1433" t="str">
        <f>IFERROR(VLOOKUP(CONCATENATE($B$8,"_",$B56),Data!$BO$16:$ES$1015,BO$11,FALSE),"")</f>
        <v/>
      </c>
      <c r="BP56" s="1433" t="str">
        <f>IFERROR(VLOOKUP(CONCATENATE($B$8,"_",$B56),Data!$BO$16:$ES$1015,BP$11,FALSE),"")</f>
        <v/>
      </c>
      <c r="BQ56" s="1433" t="str">
        <f>IFERROR(VLOOKUP(CONCATENATE($B$8,"_",$B56),Data!$BO$16:$ES$1015,BQ$11,FALSE),"")</f>
        <v/>
      </c>
      <c r="BR56" s="1434" t="str">
        <f>IFERROR(VLOOKUP(CONCATENATE($B$8,"_",$B56),Data!$BO$16:$ES$1015,BR$11,FALSE),"")</f>
        <v/>
      </c>
      <c r="BS56" s="1434" t="str">
        <f>IFERROR(VLOOKUP(CONCATENATE($B$8,"_",$B56),Data!$BO$16:$ES$1015,BS$11,FALSE),"")</f>
        <v/>
      </c>
      <c r="BT56" s="1434" t="str">
        <f>IFERROR(VLOOKUP(CONCATENATE($B$8,"_",$B56),Data!$BO$16:$ES$1015,BT$11,FALSE),"")</f>
        <v/>
      </c>
      <c r="BU56" s="1434" t="str">
        <f>IFERROR(VLOOKUP(CONCATENATE($B$8,"_",$B56),Data!$BO$16:$ES$1015,BU$11,FALSE),"")</f>
        <v/>
      </c>
      <c r="BV56" s="1434" t="str">
        <f>IFERROR(VLOOKUP(CONCATENATE($B$8,"_",$B56),Data!$BO$16:$ES$1015,BV$11,FALSE),"")</f>
        <v/>
      </c>
      <c r="BW56" s="1434" t="str">
        <f>IFERROR(VLOOKUP(CONCATENATE($B$8,"_",$B56),Data!$BO$16:$ES$1015,BW$11,FALSE),"")</f>
        <v/>
      </c>
      <c r="BX56" s="1434" t="str">
        <f>IFERROR(VLOOKUP(CONCATENATE($B$8,"_",$B56),Data!$BO$16:$ES$1015,BX$11,FALSE),"")</f>
        <v/>
      </c>
      <c r="BY56" s="1428" t="str">
        <f>IFERROR(VLOOKUP(CONCATENATE($B$8,"_",$B56),Data!$BO$16:$ES$1015,BY$11,FALSE),"")</f>
        <v/>
      </c>
      <c r="BZ56" s="1428" t="str">
        <f>IFERROR(VLOOKUP(CONCATENATE($B$8,"_",$B56),Data!$BO$16:$ES$1015,BZ$11,FALSE),"")</f>
        <v/>
      </c>
      <c r="CA56" s="1428" t="str">
        <f>IFERROR(VLOOKUP(CONCATENATE($B$8,"_",$B56),Data!$BO$16:$ES$1015,CA$11,FALSE),"")</f>
        <v/>
      </c>
      <c r="CB56" s="1428" t="str">
        <f>IFERROR(VLOOKUP(CONCATENATE($B$8,"_",$B56),Data!$BO$16:$ES$1015,CB$11,FALSE),"")</f>
        <v/>
      </c>
      <c r="CC56" s="1428" t="str">
        <f>IFERROR(VLOOKUP(CONCATENATE($B$8,"_",$B56),Data!$BO$16:$ES$1015,CC$11,FALSE),"")</f>
        <v/>
      </c>
      <c r="CD56" s="1428" t="str">
        <f>IFERROR(VLOOKUP(CONCATENATE($B$8,"_",$B56),Data!$BO$16:$ES$1015,CD$11,FALSE),"")</f>
        <v/>
      </c>
      <c r="CE56" s="1428" t="str">
        <f>IFERROR(VLOOKUP(CONCATENATE($B$8,"_",$B56),Data!$BO$16:$ES$1015,CE$11,FALSE),"")</f>
        <v/>
      </c>
      <c r="CF56" s="1428" t="str">
        <f>IFERROR(VLOOKUP(CONCATENATE($B$8,"_",$B56),Data!$BO$16:$ES$1015,CF$11,FALSE),"")</f>
        <v/>
      </c>
      <c r="CG56" s="1428" t="str">
        <f>IFERROR(VLOOKUP(CONCATENATE($B$8,"_",$B56),Data!$BO$16:$ES$1015,CG$11,FALSE),"")</f>
        <v/>
      </c>
      <c r="CH56" s="1428" t="str">
        <f>IFERROR(VLOOKUP(CONCATENATE($B$8,"_",$B56),Data!$BO$16:$ES$1015,CH$11,FALSE),"")</f>
        <v/>
      </c>
      <c r="CI56" s="1428" t="str">
        <f>IFERROR(VLOOKUP(CONCATENATE($B$8,"_",$B56),Data!$BO$16:$ES$1015,CI$11,FALSE),"")</f>
        <v/>
      </c>
      <c r="CJ56" s="1428" t="str">
        <f>IFERROR(VLOOKUP(CONCATENATE($B$8,"_",$B56),Data!$BO$16:$ES$1015,CJ$11,FALSE),"")</f>
        <v/>
      </c>
      <c r="CK56" s="1428" t="str">
        <f>IFERROR(VLOOKUP(CONCATENATE($B$8,"_",$B56),Data!$BO$16:$ES$1015,CK$11,FALSE),"")</f>
        <v/>
      </c>
      <c r="CL56" s="1428" t="str">
        <f>IFERROR(VLOOKUP(CONCATENATE($B$8,"_",$B56),Data!$BO$16:$ES$1015,CL$11,FALSE),"")</f>
        <v/>
      </c>
      <c r="CM56" s="1428" t="str">
        <f>IFERROR(VLOOKUP(CONCATENATE($B$8,"_",$B56),Data!$BO$16:$ES$1015,CM$11,FALSE),"")</f>
        <v/>
      </c>
      <c r="CN56" s="1428" t="str">
        <f>IFERROR(VLOOKUP(CONCATENATE($B$8,"_",$B56),Data!$BO$16:$ES$1015,CN$11,FALSE),"")</f>
        <v/>
      </c>
      <c r="CO56" s="1428" t="str">
        <f>IFERROR(VLOOKUP(CONCATENATE($B$8,"_",$B56),Data!$BO$16:$ES$1015,CO$11,FALSE),"")</f>
        <v/>
      </c>
      <c r="CP56" s="1433" t="str">
        <f>IFERROR(VLOOKUP(CONCATENATE($B$8,"_",$B56),Data!$BO$16:$ES$1015,CP$11,FALSE),"")</f>
        <v/>
      </c>
      <c r="CQ56" s="1433" t="str">
        <f>IFERROR(VLOOKUP(CONCATENATE($B$8,"_",$B56),Data!$BO$16:$ES$1015,CQ$11,FALSE),"")</f>
        <v/>
      </c>
      <c r="CR56" s="1433" t="str">
        <f>IFERROR(VLOOKUP(CONCATENATE($B$8,"_",$B56),Data!$BO$16:$ES$1015,CR$11,FALSE),"")</f>
        <v/>
      </c>
      <c r="CS56" s="1433" t="str">
        <f>IFERROR(VLOOKUP(CONCATENATE($B$8,"_",$B56),Data!$BO$16:$ES$1015,CS$11,FALSE),"")</f>
        <v/>
      </c>
      <c r="CT56" s="1433" t="str">
        <f>IFERROR(VLOOKUP(CONCATENATE($B$8,"_",$B56),Data!$BO$16:$ES$1015,CT$11,FALSE),"")</f>
        <v/>
      </c>
      <c r="CU56" s="1433" t="str">
        <f>IFERROR(VLOOKUP(CONCATENATE($B$8,"_",$B56),Data!$BO$16:$ES$1015,CU$11,FALSE),"")</f>
        <v/>
      </c>
      <c r="CV56" s="1433" t="str">
        <f>IFERROR(VLOOKUP(CONCATENATE($B$8,"_",$B56),Data!$BO$16:$ES$1015,CV$11,FALSE),"")</f>
        <v/>
      </c>
      <c r="CW56" s="1433" t="str">
        <f>IFERROR(VLOOKUP(CONCATENATE($B$8,"_",$B56),Data!$BO$16:$ES$1015,CW$11,FALSE),"")</f>
        <v/>
      </c>
      <c r="CX56" s="1433" t="str">
        <f>IFERROR(VLOOKUP(CONCATENATE($B$8,"_",$B56),Data!$BO$16:$ES$1015,CX$11,FALSE),"")</f>
        <v/>
      </c>
      <c r="CY56" s="1433" t="str">
        <f>IFERROR(VLOOKUP(CONCATENATE($B$8,"_",$B56),Data!$BO$16:$ES$1015,CY$11,FALSE),"")</f>
        <v/>
      </c>
      <c r="CZ56" s="1433" t="str">
        <f>IFERROR(VLOOKUP(CONCATENATE($B$8,"_",$B56),Data!$BO$16:$ES$1015,CZ$11,FALSE),"")</f>
        <v/>
      </c>
      <c r="DA56" s="1433" t="str">
        <f>IFERROR(VLOOKUP(CONCATENATE($B$8,"_",$B56),Data!$BO$16:$ES$1015,DA$11,FALSE),"")</f>
        <v/>
      </c>
      <c r="DB56" s="1433" t="str">
        <f>IFERROR(VLOOKUP(CONCATENATE($B$8,"_",$B56),Data!$BO$16:$ES$1015,DB$11,FALSE),"")</f>
        <v/>
      </c>
      <c r="DC56" s="1433" t="str">
        <f>IFERROR(VLOOKUP(CONCATENATE($B$8,"_",$B56),Data!$BO$16:$ES$1015,DC$11,FALSE),"")</f>
        <v/>
      </c>
      <c r="DD56" s="1433" t="str">
        <f>IFERROR(VLOOKUP(CONCATENATE($B$8,"_",$B56),Data!$BO$16:$ES$1015,DD$11,FALSE),"")</f>
        <v/>
      </c>
      <c r="DE56" s="1433" t="str">
        <f>IFERROR(VLOOKUP(CONCATENATE($B$8,"_",$B56),Data!$BO$16:$ES$1015,DE$11,FALSE),"")</f>
        <v/>
      </c>
      <c r="DF56" s="1433" t="str">
        <f>IFERROR(VLOOKUP(CONCATENATE($B$8,"_",$B56),Data!$BO$16:$ES$1015,DF$11,FALSE),"")</f>
        <v/>
      </c>
      <c r="DG56" s="1433" t="str">
        <f>IFERROR(VLOOKUP(CONCATENATE($B$8,"_",$B56),Data!$BO$16:$ES$1015,DG$11,FALSE),"")</f>
        <v/>
      </c>
      <c r="DH56" s="1433" t="str">
        <f>IFERROR(VLOOKUP(CONCATENATE($B$8,"_",$B56),Data!$BO$16:$ES$1015,DH$11,FALSE),"")</f>
        <v/>
      </c>
      <c r="DI56" s="1433" t="str">
        <f>IFERROR(VLOOKUP(CONCATENATE($B$8,"_",$B56),Data!$BO$16:$ES$1015,DI$11,FALSE),"")</f>
        <v/>
      </c>
      <c r="DJ56" s="1433" t="str">
        <f>IFERROR(VLOOKUP(CONCATENATE($B$8,"_",$B56),Data!$BO$16:$ES$1015,DJ$11,FALSE),"")</f>
        <v/>
      </c>
      <c r="DK56" s="1433" t="str">
        <f>IFERROR(VLOOKUP(CONCATENATE($B$8,"_",$B56),Data!$BO$16:$ES$1015,DK$11,FALSE),"")</f>
        <v/>
      </c>
      <c r="DL56" s="1435" t="str">
        <f>IFERROR(VLOOKUP(CONCATENATE($B$8,"_",$B56),Data!$BO$16:$ES$1015,DL$11,FALSE),"")</f>
        <v/>
      </c>
      <c r="DM56" s="1434" t="str">
        <f>IFERROR(VLOOKUP(CONCATENATE($B$8,"_",$B56),Data!$BO$16:$ES$1015,DM$11,FALSE),"")</f>
        <v/>
      </c>
      <c r="DN56" s="1434" t="str">
        <f>IFERROR(VLOOKUP(CONCATENATE($B$8,"_",$B56),Data!$BO$16:$ES$1015,DN$11,FALSE),"")</f>
        <v/>
      </c>
      <c r="DO56" s="1434" t="str">
        <f>IFERROR(VLOOKUP(CONCATENATE($B$8,"_",$B56),Data!$BO$16:$ES$1015,DO$11,FALSE),"")</f>
        <v/>
      </c>
      <c r="DP56" s="1434" t="str">
        <f>IFERROR(VLOOKUP(CONCATENATE($B$8,"_",$B56),Data!$BO$16:$ES$1015,DP$11,FALSE),"")</f>
        <v/>
      </c>
      <c r="DQ56" s="1434" t="str">
        <f>IFERROR(VLOOKUP(CONCATENATE($B$8,"_",$B56),Data!$BO$16:$ES$1015,DQ$11,FALSE),"")</f>
        <v/>
      </c>
      <c r="DR56" s="1434" t="str">
        <f>IFERROR(VLOOKUP(CONCATENATE($B$8,"_",$B56),Data!$BO$16:$ES$1015,DR$11,FALSE),"")</f>
        <v/>
      </c>
      <c r="DS56" s="1434" t="str">
        <f>IFERROR(VLOOKUP(CONCATENATE($B$8,"_",$B56),Data!$BO$16:$ES$1015,DS$11,FALSE),"")</f>
        <v/>
      </c>
      <c r="DT56" s="1434" t="str">
        <f>IFERROR(VLOOKUP(CONCATENATE($B$8,"_",$B56),Data!$BO$16:$ES$1015,DT$11,FALSE),"")</f>
        <v/>
      </c>
      <c r="DU56" s="1434" t="str">
        <f>IFERROR(VLOOKUP(CONCATENATE($B$8,"_",$B56),Data!$BO$16:$ES$1015,DU$11,FALSE),"")</f>
        <v/>
      </c>
      <c r="DV56" s="1434" t="str">
        <f>IFERROR(VLOOKUP(CONCATENATE($B$8,"_",$B56),Data!$BO$16:$ES$1015,DV$11,FALSE),"")</f>
        <v/>
      </c>
      <c r="DW56" s="1434" t="str">
        <f>IFERROR(VLOOKUP(CONCATENATE($B$8,"_",$B56),Data!$BO$16:$ES$1015,DW$11,FALSE),"")</f>
        <v/>
      </c>
      <c r="DX56" s="1434" t="str">
        <f>IFERROR(VLOOKUP(CONCATENATE($B$8,"_",$B56),Data!$BO$16:$ES$1015,DX$11,FALSE),"")</f>
        <v/>
      </c>
      <c r="DY56" s="1434" t="str">
        <f>IFERROR(VLOOKUP(CONCATENATE($B$8,"_",$B56),Data!$BO$16:$ES$1015,DY$11,FALSE),"")</f>
        <v/>
      </c>
      <c r="DZ56" s="1434" t="str">
        <f>IFERROR(VLOOKUP(CONCATENATE($B$8,"_",$B56),Data!$BO$16:$ES$1015,DZ$11,FALSE),"")</f>
        <v/>
      </c>
      <c r="EA56" s="1434" t="str">
        <f>IFERROR(VLOOKUP(CONCATENATE($B$8,"_",$B56),Data!$BO$16:$ES$1015,EA$11,FALSE),"")</f>
        <v/>
      </c>
      <c r="EB56" s="1434" t="str">
        <f>IFERROR(VLOOKUP(CONCATENATE($B$8,"_",$B56),Data!$BO$16:$ES$1015,EB$11,FALSE),"")</f>
        <v/>
      </c>
      <c r="EC56" s="1434" t="str">
        <f>IFERROR(VLOOKUP(CONCATENATE($B$8,"_",$B56),Data!$BO$16:$ES$1015,EC$11,FALSE),"")</f>
        <v/>
      </c>
      <c r="ED56" s="1434" t="str">
        <f>IFERROR(VLOOKUP(CONCATENATE($B$8,"_",$B56),Data!$BO$16:$ES$1015,ED$11,FALSE),"")</f>
        <v/>
      </c>
      <c r="EE56" s="1434" t="str">
        <f>IFERROR(VLOOKUP(CONCATENATE($B$8,"_",$B56),Data!$BO$16:$ES$1015,EE$11,FALSE),"")</f>
        <v/>
      </c>
      <c r="EF56" s="1434" t="str">
        <f>IFERROR(VLOOKUP(CONCATENATE($B$8,"_",$B56),Data!$BO$16:$ES$1015,EF$11,FALSE),"")</f>
        <v/>
      </c>
      <c r="EG56" s="1434" t="str">
        <f>IFERROR(VLOOKUP(CONCATENATE($B$8,"_",$B56),Data!$BO$16:$ES$1015,EG$11,FALSE),"")</f>
        <v/>
      </c>
      <c r="EH56" s="1434" t="str">
        <f>IFERROR(VLOOKUP(CONCATENATE($B$8,"_",$B56),Data!$BO$16:$ES$1015,EH$11,FALSE),"")</f>
        <v/>
      </c>
      <c r="EI56" s="1434" t="str">
        <f>IFERROR(VLOOKUP(CONCATENATE($B$8,"_",$B56),Data!$BO$16:$ES$1015,EI$11,FALSE),"")</f>
        <v/>
      </c>
      <c r="EK56" s="1437"/>
    </row>
    <row r="57" spans="1:141" s="1436" customFormat="1" ht="15" customHeight="1">
      <c r="A57" s="1438">
        <v>44</v>
      </c>
      <c r="B57" s="1738">
        <f>IF($B$13+A57&lt;=Progress!$D$18,$B$13+A57,"")</f>
        <v>2044</v>
      </c>
      <c r="C57" s="1737" t="str">
        <f>IFERROR(VLOOKUP(CONCATENATE($B$8,"_",$B57),Data!$H$16:$BN$1015,C$11,FALSE),"")</f>
        <v/>
      </c>
      <c r="D57" s="1428" t="str">
        <f>IFERROR(VLOOKUP(CONCATENATE($B$8,"_",$B57),Data!$H$16:$BN$1015,D$11,FALSE),"")</f>
        <v/>
      </c>
      <c r="E57" s="1429" t="str">
        <f>IFERROR(VLOOKUP(CONCATENATE($B$8,"_",$B57),Data!$H$16:$BN$1015,E$11,FALSE),"")</f>
        <v/>
      </c>
      <c r="F57" s="1428" t="str">
        <f>IFERROR(VLOOKUP(CONCATENATE($B$8,"_",$B57),Data!$H$16:$BN$1015,F$11,FALSE),"")</f>
        <v/>
      </c>
      <c r="G57" s="1428" t="str">
        <f>IFERROR(VLOOKUP(CONCATENATE($B$8,"_",$B57),Data!$H$16:$BN$1015,G$11,FALSE),"")</f>
        <v/>
      </c>
      <c r="H57" s="1429" t="str">
        <f>IFERROR(VLOOKUP(CONCATENATE($B$8,"_",$B57),Data!$H$16:$BN$1015,H$11,FALSE),"")</f>
        <v/>
      </c>
      <c r="I57" s="1428" t="str">
        <f>IFERROR(VLOOKUP(CONCATENATE($B$8,"_",$B57),Data!$H$16:$BN$1015,I$11,FALSE),"")</f>
        <v/>
      </c>
      <c r="J57" s="1428" t="str">
        <f>IFERROR(VLOOKUP(CONCATENATE($B$8,"_",$B57),Data!$H$16:$BN$1015,J$11,FALSE),"")</f>
        <v/>
      </c>
      <c r="K57" s="1429" t="str">
        <f>IFERROR(VLOOKUP(CONCATENATE($B$8,"_",$B57),Data!$H$16:$BN$1015,K$11,FALSE),"")</f>
        <v/>
      </c>
      <c r="L57" s="1428" t="str">
        <f>IFERROR(VLOOKUP(CONCATENATE($B$8,"_",$B57),Data!$H$16:$BN$1015,L$11,FALSE),"")</f>
        <v/>
      </c>
      <c r="M57" s="1428" t="str">
        <f>IFERROR(VLOOKUP(CONCATENATE($B$8,"_",$B57),Data!$H$16:$BN$1015,M$11,FALSE),"")</f>
        <v/>
      </c>
      <c r="N57" s="1429" t="str">
        <f>IFERROR(VLOOKUP(CONCATENATE($B$8,"_",$B57),Data!$H$16:$BN$1015,N$11,FALSE),"")</f>
        <v/>
      </c>
      <c r="O57" s="1430" t="str">
        <f>IFERROR(VLOOKUP(CONCATENATE($B$8,"_",$B57),Data!$H$16:$BN$1015,O$11,FALSE),"")</f>
        <v/>
      </c>
      <c r="P57" s="1428" t="str">
        <f>IFERROR(VLOOKUP(CONCATENATE($B$8,"_",$B57),Data!$H$16:$BN$1015,P$11,FALSE),"")</f>
        <v/>
      </c>
      <c r="Q57" s="1428" t="str">
        <f>IFERROR(VLOOKUP(CONCATENATE($B$8,"_",$B57),Data!$H$16:$BN$1015,Q$11,FALSE),"")</f>
        <v/>
      </c>
      <c r="R57" s="1429" t="str">
        <f>IFERROR(VLOOKUP(CONCATENATE($B$8,"_",$B57),Data!$H$16:$BN$1015,R$11,FALSE),"")</f>
        <v/>
      </c>
      <c r="S57" s="1428" t="str">
        <f>IFERROR(VLOOKUP(CONCATENATE($B$8,"_",$B57),Data!$H$16:$BN$1015,S$11,FALSE),"")</f>
        <v/>
      </c>
      <c r="T57" s="1428" t="str">
        <f>IFERROR(VLOOKUP(CONCATENATE($B$8,"_",$B57),Data!$H$16:$BN$1015,T$11,FALSE),"")</f>
        <v/>
      </c>
      <c r="U57" s="1429" t="str">
        <f>IFERROR(VLOOKUP(CONCATENATE($B$8,"_",$B57),Data!$H$16:$BN$1015,U$11,FALSE),"")</f>
        <v/>
      </c>
      <c r="V57" s="1428" t="str">
        <f>IFERROR(VLOOKUP(CONCATENATE($B$8,"_",$B57),Data!$H$16:$BN$1015,V$11,FALSE),"")</f>
        <v/>
      </c>
      <c r="W57" s="1428" t="str">
        <f>IFERROR(VLOOKUP(CONCATENATE($B$8,"_",$B57),Data!$H$16:$BN$1015,W$11,FALSE),"")</f>
        <v/>
      </c>
      <c r="X57" s="1428" t="str">
        <f>IFERROR(VLOOKUP(CONCATENATE($B$8,"_",$B57),Data!$H$16:$BN$1015,X$11,FALSE),"")</f>
        <v/>
      </c>
      <c r="Y57" s="1428" t="str">
        <f>IFERROR(VLOOKUP(CONCATENATE($B$8,"_",$B57),Data!$H$16:$BN$1015,Y$11,FALSE),"")</f>
        <v/>
      </c>
      <c r="Z57" s="1429" t="str">
        <f>IFERROR(VLOOKUP(CONCATENATE($B$8,"_",$B57),Data!$H$16:$BN$1015,Z$11,FALSE),"")</f>
        <v/>
      </c>
      <c r="AA57" s="1428" t="str">
        <f>IFERROR(VLOOKUP(CONCATENATE($B$8,"_",$B57),Data!$H$16:$BN$1015,AA$11,FALSE),"")</f>
        <v/>
      </c>
      <c r="AB57" s="1428" t="str">
        <f>IFERROR(VLOOKUP(CONCATENATE($B$8,"_",$B57),Data!$H$16:$BN$1015,AB$11,FALSE),"")</f>
        <v/>
      </c>
      <c r="AC57" s="1429" t="str">
        <f>IFERROR(VLOOKUP(CONCATENATE($B$8,"_",$B57),Data!$H$16:$BN$1015,AC$11,FALSE),"")</f>
        <v/>
      </c>
      <c r="AD57" s="1428" t="str">
        <f>IFERROR(VLOOKUP(CONCATENATE($B$8,"_",$B57),Data!$H$16:$BN$1015,AD$11,FALSE),"")</f>
        <v/>
      </c>
      <c r="AE57" s="1428" t="str">
        <f>IFERROR(VLOOKUP(CONCATENATE($B$8,"_",$B57),Data!$H$16:$BN$1015,AE$11,FALSE),"")</f>
        <v/>
      </c>
      <c r="AF57" s="1429" t="str">
        <f>IFERROR(VLOOKUP(CONCATENATE($B$8,"_",$B57),Data!$H$16:$BN$1015,AF$11,FALSE),"")</f>
        <v/>
      </c>
      <c r="AG57" s="1428" t="str">
        <f>IFERROR(VLOOKUP(CONCATENATE($B$8,"_",$B57),Data!$H$16:$BN$1015,AG$11,FALSE),"")</f>
        <v/>
      </c>
      <c r="AH57" s="1428" t="str">
        <f>IFERROR(VLOOKUP(CONCATENATE($B$8,"_",$B57),Data!$H$16:$BN$1015,AH$11,FALSE),"")</f>
        <v/>
      </c>
      <c r="AI57" s="1429" t="str">
        <f>IFERROR(VLOOKUP(CONCATENATE($B$8,"_",$B57),Data!$H$16:$BN$1015,AI$11,FALSE),"")</f>
        <v/>
      </c>
      <c r="AJ57" s="1428" t="str">
        <f>IFERROR(VLOOKUP(CONCATENATE($B$8,"_",$B57),Data!$H$16:$BN$1015,AJ$11,FALSE),"")</f>
        <v/>
      </c>
      <c r="AK57" s="1428" t="str">
        <f>IFERROR(VLOOKUP(CONCATENATE($B$8,"_",$B57),Data!$H$16:$BN$1015,AK$11,FALSE),"")</f>
        <v/>
      </c>
      <c r="AL57" s="1429" t="str">
        <f>IFERROR(VLOOKUP(CONCATENATE($B$8,"_",$B57),Data!$H$16:$BN$1015,AL$11,FALSE),"")</f>
        <v/>
      </c>
      <c r="AM57" s="1428" t="str">
        <f>IFERROR(VLOOKUP(CONCATENATE($B$8,"_",$B57),Data!$H$16:$BN$1015,AM$11,FALSE),"")</f>
        <v/>
      </c>
      <c r="AN57" s="1428" t="str">
        <f>IFERROR(VLOOKUP(CONCATENATE($B$8,"_",$B57),Data!$H$16:$BN$1015,AN$11,FALSE),"")</f>
        <v/>
      </c>
      <c r="AO57" s="1430" t="str">
        <f>IFERROR(VLOOKUP(CONCATENATE($B$8,"_",$B57),Data!$H$16:$BN$1015,AO$11,FALSE),"")</f>
        <v/>
      </c>
      <c r="AP57" s="1428" t="str">
        <f>IFERROR(VLOOKUP(CONCATENATE($B$8,"_",$B57),Data!$H$16:$BN$1015,AP$11,FALSE),"")</f>
        <v/>
      </c>
      <c r="AQ57" s="1428" t="str">
        <f>IFERROR(VLOOKUP(CONCATENATE($B$8,"_",$B57),Data!$H$16:$BN$1015,AQ$11,FALSE),"")</f>
        <v/>
      </c>
      <c r="AR57" s="1430" t="str">
        <f>IFERROR(VLOOKUP(CONCATENATE($B$8,"_",$B57),Data!$H$16:$BN$1015,AR$11,FALSE),"")</f>
        <v/>
      </c>
      <c r="AS57" s="1428" t="str">
        <f>IFERROR(VLOOKUP(CONCATENATE($B$8,"_",$B57),Data!$H$16:$BN$1015,AS$11,FALSE),"")</f>
        <v/>
      </c>
      <c r="AT57" s="1428" t="str">
        <f>IFERROR(VLOOKUP(CONCATENATE($B$8,"_",$B57),Data!$H$16:$BN$1015,AT$11,FALSE),"")</f>
        <v/>
      </c>
      <c r="AU57" s="1430" t="str">
        <f>IFERROR(VLOOKUP(CONCATENATE($B$8,"_",$B57),Data!$H$16:$BN$1015,AU$11,FALSE),"")</f>
        <v/>
      </c>
      <c r="AV57" s="1428" t="str">
        <f>IFERROR(VLOOKUP(CONCATENATE($B$8,"_",$B57),Data!$H$16:$BN$1015,AV$11,FALSE),"")</f>
        <v/>
      </c>
      <c r="AW57" s="1428" t="str">
        <f>IFERROR(VLOOKUP(CONCATENATE($B$8,"_",$B57),Data!$H$16:$BN$1015,AW$11,FALSE),"")</f>
        <v/>
      </c>
      <c r="AX57" s="1430" t="str">
        <f>IFERROR(VLOOKUP(CONCATENATE($B$8,"_",$B57),Data!$H$16:$BN$1015,AX$11,FALSE),"")</f>
        <v/>
      </c>
      <c r="AY57" s="1429" t="str">
        <f>IFERROR(VLOOKUP(CONCATENATE($B$8,"_",$B57),Data!$H$16:$BN$1015,AY$11,FALSE),"")</f>
        <v/>
      </c>
      <c r="AZ57" s="1429" t="str">
        <f>IFERROR(VLOOKUP(CONCATENATE($B$8,"_",$B57),Data!$H$16:$BN$1015,AZ$11,FALSE),"")</f>
        <v/>
      </c>
      <c r="BA57" s="1429" t="str">
        <f>IFERROR(VLOOKUP(CONCATENATE($B$8,"_",$B57),Data!$H$16:$BN$1015,BA$11,FALSE),"")</f>
        <v/>
      </c>
      <c r="BB57" s="1429" t="str">
        <f>IFERROR(VLOOKUP(CONCATENATE($B$8,"_",$B57),Data!$H$16:$BN$1015,BB$11,FALSE),"")</f>
        <v/>
      </c>
      <c r="BC57" s="1429" t="str">
        <f>IFERROR(VLOOKUP(CONCATENATE($B$8,"_",$B57),Data!$H$16:$BN$1015,BC$11,FALSE),"")</f>
        <v/>
      </c>
      <c r="BD57" s="1431" t="str">
        <f>IFERROR(VLOOKUP(CONCATENATE($B$8,"_",$B57),Data!$H$16:$BN$1015,BD$11,FALSE),"")</f>
        <v/>
      </c>
      <c r="BE57" s="1439">
        <f t="shared" si="1"/>
        <v>2044</v>
      </c>
      <c r="BF57" s="1428" t="str">
        <f>IFERROR(VLOOKUP(CONCATENATE($B$8,"_",$B57),Data!$BO$16:$ES$1015,BF$11,FALSE),"")</f>
        <v/>
      </c>
      <c r="BG57" s="1433" t="str">
        <f>IFERROR(VLOOKUP(CONCATENATE($B$8,"_",$B57),Data!$BO$16:$ES$1015,BG$11,FALSE),"")</f>
        <v/>
      </c>
      <c r="BH57" s="1435" t="str">
        <f>IFERROR(VLOOKUP(CONCATENATE($B$8,"_",$B57),Data!$BO$16:$ES$1015,BH$11,FALSE),"")</f>
        <v/>
      </c>
      <c r="BI57" s="1434" t="str">
        <f>IFERROR(VLOOKUP(CONCATENATE($B$8,"_",$B57),Data!$BO$16:$ES$1015,BI$11,FALSE),"")</f>
        <v/>
      </c>
      <c r="BJ57" s="1428" t="str">
        <f>IFERROR(VLOOKUP(CONCATENATE($B$8,"_",$B57),Data!$BO$16:$ES$1015,BJ$11,FALSE),"")</f>
        <v/>
      </c>
      <c r="BK57" s="1428" t="str">
        <f>IFERROR(VLOOKUP(CONCATENATE($B$8,"_",$B57),Data!$BO$16:$ES$1015,BK$11,FALSE),"")</f>
        <v/>
      </c>
      <c r="BL57" s="1428" t="str">
        <f>IFERROR(VLOOKUP(CONCATENATE($B$8,"_",$B57),Data!$BO$16:$ES$1015,BL$11,FALSE),"")</f>
        <v/>
      </c>
      <c r="BM57" s="1433" t="str">
        <f>IFERROR(VLOOKUP(CONCATENATE($B$8,"_",$B57),Data!$BO$16:$ES$1015,BM$11,FALSE),"")</f>
        <v/>
      </c>
      <c r="BN57" s="1433" t="str">
        <f>IFERROR(VLOOKUP(CONCATENATE($B$8,"_",$B57),Data!$BO$16:$ES$1015,BN$11,FALSE),"")</f>
        <v/>
      </c>
      <c r="BO57" s="1433" t="str">
        <f>IFERROR(VLOOKUP(CONCATENATE($B$8,"_",$B57),Data!$BO$16:$ES$1015,BO$11,FALSE),"")</f>
        <v/>
      </c>
      <c r="BP57" s="1433" t="str">
        <f>IFERROR(VLOOKUP(CONCATENATE($B$8,"_",$B57),Data!$BO$16:$ES$1015,BP$11,FALSE),"")</f>
        <v/>
      </c>
      <c r="BQ57" s="1433" t="str">
        <f>IFERROR(VLOOKUP(CONCATENATE($B$8,"_",$B57),Data!$BO$16:$ES$1015,BQ$11,FALSE),"")</f>
        <v/>
      </c>
      <c r="BR57" s="1434" t="str">
        <f>IFERROR(VLOOKUP(CONCATENATE($B$8,"_",$B57),Data!$BO$16:$ES$1015,BR$11,FALSE),"")</f>
        <v/>
      </c>
      <c r="BS57" s="1434" t="str">
        <f>IFERROR(VLOOKUP(CONCATENATE($B$8,"_",$B57),Data!$BO$16:$ES$1015,BS$11,FALSE),"")</f>
        <v/>
      </c>
      <c r="BT57" s="1434" t="str">
        <f>IFERROR(VLOOKUP(CONCATENATE($B$8,"_",$B57),Data!$BO$16:$ES$1015,BT$11,FALSE),"")</f>
        <v/>
      </c>
      <c r="BU57" s="1434" t="str">
        <f>IFERROR(VLOOKUP(CONCATENATE($B$8,"_",$B57),Data!$BO$16:$ES$1015,BU$11,FALSE),"")</f>
        <v/>
      </c>
      <c r="BV57" s="1434" t="str">
        <f>IFERROR(VLOOKUP(CONCATENATE($B$8,"_",$B57),Data!$BO$16:$ES$1015,BV$11,FALSE),"")</f>
        <v/>
      </c>
      <c r="BW57" s="1434" t="str">
        <f>IFERROR(VLOOKUP(CONCATENATE($B$8,"_",$B57),Data!$BO$16:$ES$1015,BW$11,FALSE),"")</f>
        <v/>
      </c>
      <c r="BX57" s="1434" t="str">
        <f>IFERROR(VLOOKUP(CONCATENATE($B$8,"_",$B57),Data!$BO$16:$ES$1015,BX$11,FALSE),"")</f>
        <v/>
      </c>
      <c r="BY57" s="1428" t="str">
        <f>IFERROR(VLOOKUP(CONCATENATE($B$8,"_",$B57),Data!$BO$16:$ES$1015,BY$11,FALSE),"")</f>
        <v/>
      </c>
      <c r="BZ57" s="1428" t="str">
        <f>IFERROR(VLOOKUP(CONCATENATE($B$8,"_",$B57),Data!$BO$16:$ES$1015,BZ$11,FALSE),"")</f>
        <v/>
      </c>
      <c r="CA57" s="1428" t="str">
        <f>IFERROR(VLOOKUP(CONCATENATE($B$8,"_",$B57),Data!$BO$16:$ES$1015,CA$11,FALSE),"")</f>
        <v/>
      </c>
      <c r="CB57" s="1428" t="str">
        <f>IFERROR(VLOOKUP(CONCATENATE($B$8,"_",$B57),Data!$BO$16:$ES$1015,CB$11,FALSE),"")</f>
        <v/>
      </c>
      <c r="CC57" s="1428" t="str">
        <f>IFERROR(VLOOKUP(CONCATENATE($B$8,"_",$B57),Data!$BO$16:$ES$1015,CC$11,FALSE),"")</f>
        <v/>
      </c>
      <c r="CD57" s="1428" t="str">
        <f>IFERROR(VLOOKUP(CONCATENATE($B$8,"_",$B57),Data!$BO$16:$ES$1015,CD$11,FALSE),"")</f>
        <v/>
      </c>
      <c r="CE57" s="1428" t="str">
        <f>IFERROR(VLOOKUP(CONCATENATE($B$8,"_",$B57),Data!$BO$16:$ES$1015,CE$11,FALSE),"")</f>
        <v/>
      </c>
      <c r="CF57" s="1428" t="str">
        <f>IFERROR(VLOOKUP(CONCATENATE($B$8,"_",$B57),Data!$BO$16:$ES$1015,CF$11,FALSE),"")</f>
        <v/>
      </c>
      <c r="CG57" s="1428" t="str">
        <f>IFERROR(VLOOKUP(CONCATENATE($B$8,"_",$B57),Data!$BO$16:$ES$1015,CG$11,FALSE),"")</f>
        <v/>
      </c>
      <c r="CH57" s="1428" t="str">
        <f>IFERROR(VLOOKUP(CONCATENATE($B$8,"_",$B57),Data!$BO$16:$ES$1015,CH$11,FALSE),"")</f>
        <v/>
      </c>
      <c r="CI57" s="1428" t="str">
        <f>IFERROR(VLOOKUP(CONCATENATE($B$8,"_",$B57),Data!$BO$16:$ES$1015,CI$11,FALSE),"")</f>
        <v/>
      </c>
      <c r="CJ57" s="1428" t="str">
        <f>IFERROR(VLOOKUP(CONCATENATE($B$8,"_",$B57),Data!$BO$16:$ES$1015,CJ$11,FALSE),"")</f>
        <v/>
      </c>
      <c r="CK57" s="1428" t="str">
        <f>IFERROR(VLOOKUP(CONCATENATE($B$8,"_",$B57),Data!$BO$16:$ES$1015,CK$11,FALSE),"")</f>
        <v/>
      </c>
      <c r="CL57" s="1428" t="str">
        <f>IFERROR(VLOOKUP(CONCATENATE($B$8,"_",$B57),Data!$BO$16:$ES$1015,CL$11,FALSE),"")</f>
        <v/>
      </c>
      <c r="CM57" s="1428" t="str">
        <f>IFERROR(VLOOKUP(CONCATENATE($B$8,"_",$B57),Data!$BO$16:$ES$1015,CM$11,FALSE),"")</f>
        <v/>
      </c>
      <c r="CN57" s="1428" t="str">
        <f>IFERROR(VLOOKUP(CONCATENATE($B$8,"_",$B57),Data!$BO$16:$ES$1015,CN$11,FALSE),"")</f>
        <v/>
      </c>
      <c r="CO57" s="1428" t="str">
        <f>IFERROR(VLOOKUP(CONCATENATE($B$8,"_",$B57),Data!$BO$16:$ES$1015,CO$11,FALSE),"")</f>
        <v/>
      </c>
      <c r="CP57" s="1433" t="str">
        <f>IFERROR(VLOOKUP(CONCATENATE($B$8,"_",$B57),Data!$BO$16:$ES$1015,CP$11,FALSE),"")</f>
        <v/>
      </c>
      <c r="CQ57" s="1433" t="str">
        <f>IFERROR(VLOOKUP(CONCATENATE($B$8,"_",$B57),Data!$BO$16:$ES$1015,CQ$11,FALSE),"")</f>
        <v/>
      </c>
      <c r="CR57" s="1433" t="str">
        <f>IFERROR(VLOOKUP(CONCATENATE($B$8,"_",$B57),Data!$BO$16:$ES$1015,CR$11,FALSE),"")</f>
        <v/>
      </c>
      <c r="CS57" s="1433" t="str">
        <f>IFERROR(VLOOKUP(CONCATENATE($B$8,"_",$B57),Data!$BO$16:$ES$1015,CS$11,FALSE),"")</f>
        <v/>
      </c>
      <c r="CT57" s="1433" t="str">
        <f>IFERROR(VLOOKUP(CONCATENATE($B$8,"_",$B57),Data!$BO$16:$ES$1015,CT$11,FALSE),"")</f>
        <v/>
      </c>
      <c r="CU57" s="1433" t="str">
        <f>IFERROR(VLOOKUP(CONCATENATE($B$8,"_",$B57),Data!$BO$16:$ES$1015,CU$11,FALSE),"")</f>
        <v/>
      </c>
      <c r="CV57" s="1433" t="str">
        <f>IFERROR(VLOOKUP(CONCATENATE($B$8,"_",$B57),Data!$BO$16:$ES$1015,CV$11,FALSE),"")</f>
        <v/>
      </c>
      <c r="CW57" s="1433" t="str">
        <f>IFERROR(VLOOKUP(CONCATENATE($B$8,"_",$B57),Data!$BO$16:$ES$1015,CW$11,FALSE),"")</f>
        <v/>
      </c>
      <c r="CX57" s="1433" t="str">
        <f>IFERROR(VLOOKUP(CONCATENATE($B$8,"_",$B57),Data!$BO$16:$ES$1015,CX$11,FALSE),"")</f>
        <v/>
      </c>
      <c r="CY57" s="1433" t="str">
        <f>IFERROR(VLOOKUP(CONCATENATE($B$8,"_",$B57),Data!$BO$16:$ES$1015,CY$11,FALSE),"")</f>
        <v/>
      </c>
      <c r="CZ57" s="1433" t="str">
        <f>IFERROR(VLOOKUP(CONCATENATE($B$8,"_",$B57),Data!$BO$16:$ES$1015,CZ$11,FALSE),"")</f>
        <v/>
      </c>
      <c r="DA57" s="1433" t="str">
        <f>IFERROR(VLOOKUP(CONCATENATE($B$8,"_",$B57),Data!$BO$16:$ES$1015,DA$11,FALSE),"")</f>
        <v/>
      </c>
      <c r="DB57" s="1433" t="str">
        <f>IFERROR(VLOOKUP(CONCATENATE($B$8,"_",$B57),Data!$BO$16:$ES$1015,DB$11,FALSE),"")</f>
        <v/>
      </c>
      <c r="DC57" s="1433" t="str">
        <f>IFERROR(VLOOKUP(CONCATENATE($B$8,"_",$B57),Data!$BO$16:$ES$1015,DC$11,FALSE),"")</f>
        <v/>
      </c>
      <c r="DD57" s="1433" t="str">
        <f>IFERROR(VLOOKUP(CONCATENATE($B$8,"_",$B57),Data!$BO$16:$ES$1015,DD$11,FALSE),"")</f>
        <v/>
      </c>
      <c r="DE57" s="1433" t="str">
        <f>IFERROR(VLOOKUP(CONCATENATE($B$8,"_",$B57),Data!$BO$16:$ES$1015,DE$11,FALSE),"")</f>
        <v/>
      </c>
      <c r="DF57" s="1433" t="str">
        <f>IFERROR(VLOOKUP(CONCATENATE($B$8,"_",$B57),Data!$BO$16:$ES$1015,DF$11,FALSE),"")</f>
        <v/>
      </c>
      <c r="DG57" s="1433" t="str">
        <f>IFERROR(VLOOKUP(CONCATENATE($B$8,"_",$B57),Data!$BO$16:$ES$1015,DG$11,FALSE),"")</f>
        <v/>
      </c>
      <c r="DH57" s="1433" t="str">
        <f>IFERROR(VLOOKUP(CONCATENATE($B$8,"_",$B57),Data!$BO$16:$ES$1015,DH$11,FALSE),"")</f>
        <v/>
      </c>
      <c r="DI57" s="1433" t="str">
        <f>IFERROR(VLOOKUP(CONCATENATE($B$8,"_",$B57),Data!$BO$16:$ES$1015,DI$11,FALSE),"")</f>
        <v/>
      </c>
      <c r="DJ57" s="1433" t="str">
        <f>IFERROR(VLOOKUP(CONCATENATE($B$8,"_",$B57),Data!$BO$16:$ES$1015,DJ$11,FALSE),"")</f>
        <v/>
      </c>
      <c r="DK57" s="1433" t="str">
        <f>IFERROR(VLOOKUP(CONCATENATE($B$8,"_",$B57),Data!$BO$16:$ES$1015,DK$11,FALSE),"")</f>
        <v/>
      </c>
      <c r="DL57" s="1435" t="str">
        <f>IFERROR(VLOOKUP(CONCATENATE($B$8,"_",$B57),Data!$BO$16:$ES$1015,DL$11,FALSE),"")</f>
        <v/>
      </c>
      <c r="DM57" s="1434" t="str">
        <f>IFERROR(VLOOKUP(CONCATENATE($B$8,"_",$B57),Data!$BO$16:$ES$1015,DM$11,FALSE),"")</f>
        <v/>
      </c>
      <c r="DN57" s="1434" t="str">
        <f>IFERROR(VLOOKUP(CONCATENATE($B$8,"_",$B57),Data!$BO$16:$ES$1015,DN$11,FALSE),"")</f>
        <v/>
      </c>
      <c r="DO57" s="1434" t="str">
        <f>IFERROR(VLOOKUP(CONCATENATE($B$8,"_",$B57),Data!$BO$16:$ES$1015,DO$11,FALSE),"")</f>
        <v/>
      </c>
      <c r="DP57" s="1434" t="str">
        <f>IFERROR(VLOOKUP(CONCATENATE($B$8,"_",$B57),Data!$BO$16:$ES$1015,DP$11,FALSE),"")</f>
        <v/>
      </c>
      <c r="DQ57" s="1434" t="str">
        <f>IFERROR(VLOOKUP(CONCATENATE($B$8,"_",$B57),Data!$BO$16:$ES$1015,DQ$11,FALSE),"")</f>
        <v/>
      </c>
      <c r="DR57" s="1434" t="str">
        <f>IFERROR(VLOOKUP(CONCATENATE($B$8,"_",$B57),Data!$BO$16:$ES$1015,DR$11,FALSE),"")</f>
        <v/>
      </c>
      <c r="DS57" s="1434" t="str">
        <f>IFERROR(VLOOKUP(CONCATENATE($B$8,"_",$B57),Data!$BO$16:$ES$1015,DS$11,FALSE),"")</f>
        <v/>
      </c>
      <c r="DT57" s="1434" t="str">
        <f>IFERROR(VLOOKUP(CONCATENATE($B$8,"_",$B57),Data!$BO$16:$ES$1015,DT$11,FALSE),"")</f>
        <v/>
      </c>
      <c r="DU57" s="1434" t="str">
        <f>IFERROR(VLOOKUP(CONCATENATE($B$8,"_",$B57),Data!$BO$16:$ES$1015,DU$11,FALSE),"")</f>
        <v/>
      </c>
      <c r="DV57" s="1434" t="str">
        <f>IFERROR(VLOOKUP(CONCATENATE($B$8,"_",$B57),Data!$BO$16:$ES$1015,DV$11,FALSE),"")</f>
        <v/>
      </c>
      <c r="DW57" s="1434" t="str">
        <f>IFERROR(VLOOKUP(CONCATENATE($B$8,"_",$B57),Data!$BO$16:$ES$1015,DW$11,FALSE),"")</f>
        <v/>
      </c>
      <c r="DX57" s="1434" t="str">
        <f>IFERROR(VLOOKUP(CONCATENATE($B$8,"_",$B57),Data!$BO$16:$ES$1015,DX$11,FALSE),"")</f>
        <v/>
      </c>
      <c r="DY57" s="1434" t="str">
        <f>IFERROR(VLOOKUP(CONCATENATE($B$8,"_",$B57),Data!$BO$16:$ES$1015,DY$11,FALSE),"")</f>
        <v/>
      </c>
      <c r="DZ57" s="1434" t="str">
        <f>IFERROR(VLOOKUP(CONCATENATE($B$8,"_",$B57),Data!$BO$16:$ES$1015,DZ$11,FALSE),"")</f>
        <v/>
      </c>
      <c r="EA57" s="1434" t="str">
        <f>IFERROR(VLOOKUP(CONCATENATE($B$8,"_",$B57),Data!$BO$16:$ES$1015,EA$11,FALSE),"")</f>
        <v/>
      </c>
      <c r="EB57" s="1434" t="str">
        <f>IFERROR(VLOOKUP(CONCATENATE($B$8,"_",$B57),Data!$BO$16:$ES$1015,EB$11,FALSE),"")</f>
        <v/>
      </c>
      <c r="EC57" s="1434" t="str">
        <f>IFERROR(VLOOKUP(CONCATENATE($B$8,"_",$B57),Data!$BO$16:$ES$1015,EC$11,FALSE),"")</f>
        <v/>
      </c>
      <c r="ED57" s="1434" t="str">
        <f>IFERROR(VLOOKUP(CONCATENATE($B$8,"_",$B57),Data!$BO$16:$ES$1015,ED$11,FALSE),"")</f>
        <v/>
      </c>
      <c r="EE57" s="1434" t="str">
        <f>IFERROR(VLOOKUP(CONCATENATE($B$8,"_",$B57),Data!$BO$16:$ES$1015,EE$11,FALSE),"")</f>
        <v/>
      </c>
      <c r="EF57" s="1434" t="str">
        <f>IFERROR(VLOOKUP(CONCATENATE($B$8,"_",$B57),Data!$BO$16:$ES$1015,EF$11,FALSE),"")</f>
        <v/>
      </c>
      <c r="EG57" s="1434" t="str">
        <f>IFERROR(VLOOKUP(CONCATENATE($B$8,"_",$B57),Data!$BO$16:$ES$1015,EG$11,FALSE),"")</f>
        <v/>
      </c>
      <c r="EH57" s="1434" t="str">
        <f>IFERROR(VLOOKUP(CONCATENATE($B$8,"_",$B57),Data!$BO$16:$ES$1015,EH$11,FALSE),"")</f>
        <v/>
      </c>
      <c r="EI57" s="1434" t="str">
        <f>IFERROR(VLOOKUP(CONCATENATE($B$8,"_",$B57),Data!$BO$16:$ES$1015,EI$11,FALSE),"")</f>
        <v/>
      </c>
      <c r="EK57" s="1437"/>
    </row>
    <row r="58" spans="1:141" s="1441" customFormat="1" ht="15" customHeight="1">
      <c r="A58" s="1438">
        <v>45</v>
      </c>
      <c r="B58" s="1738">
        <f>IF($B$13+A58&lt;=Progress!$D$18,$B$13+A58,"")</f>
        <v>2045</v>
      </c>
      <c r="C58" s="1737" t="str">
        <f>IFERROR(VLOOKUP(CONCATENATE($B$8,"_",$B58),Data!$H$16:$BN$1015,C$11,FALSE),"")</f>
        <v/>
      </c>
      <c r="D58" s="1428" t="str">
        <f>IFERROR(VLOOKUP(CONCATENATE($B$8,"_",$B58),Data!$H$16:$BN$1015,D$11,FALSE),"")</f>
        <v/>
      </c>
      <c r="E58" s="1429" t="str">
        <f>IFERROR(VLOOKUP(CONCATENATE($B$8,"_",$B58),Data!$H$16:$BN$1015,E$11,FALSE),"")</f>
        <v/>
      </c>
      <c r="F58" s="1428" t="str">
        <f>IFERROR(VLOOKUP(CONCATENATE($B$8,"_",$B58),Data!$H$16:$BN$1015,F$11,FALSE),"")</f>
        <v/>
      </c>
      <c r="G58" s="1428" t="str">
        <f>IFERROR(VLOOKUP(CONCATENATE($B$8,"_",$B58),Data!$H$16:$BN$1015,G$11,FALSE),"")</f>
        <v/>
      </c>
      <c r="H58" s="1429" t="str">
        <f>IFERROR(VLOOKUP(CONCATENATE($B$8,"_",$B58),Data!$H$16:$BN$1015,H$11,FALSE),"")</f>
        <v/>
      </c>
      <c r="I58" s="1428" t="str">
        <f>IFERROR(VLOOKUP(CONCATENATE($B$8,"_",$B58),Data!$H$16:$BN$1015,I$11,FALSE),"")</f>
        <v/>
      </c>
      <c r="J58" s="1428" t="str">
        <f>IFERROR(VLOOKUP(CONCATENATE($B$8,"_",$B58),Data!$H$16:$BN$1015,J$11,FALSE),"")</f>
        <v/>
      </c>
      <c r="K58" s="1429" t="str">
        <f>IFERROR(VLOOKUP(CONCATENATE($B$8,"_",$B58),Data!$H$16:$BN$1015,K$11,FALSE),"")</f>
        <v/>
      </c>
      <c r="L58" s="1428" t="str">
        <f>IFERROR(VLOOKUP(CONCATENATE($B$8,"_",$B58),Data!$H$16:$BN$1015,L$11,FALSE),"")</f>
        <v/>
      </c>
      <c r="M58" s="1428" t="str">
        <f>IFERROR(VLOOKUP(CONCATENATE($B$8,"_",$B58),Data!$H$16:$BN$1015,M$11,FALSE),"")</f>
        <v/>
      </c>
      <c r="N58" s="1429" t="str">
        <f>IFERROR(VLOOKUP(CONCATENATE($B$8,"_",$B58),Data!$H$16:$BN$1015,N$11,FALSE),"")</f>
        <v/>
      </c>
      <c r="O58" s="1430" t="str">
        <f>IFERROR(VLOOKUP(CONCATENATE($B$8,"_",$B58),Data!$H$16:$BN$1015,O$11,FALSE),"")</f>
        <v/>
      </c>
      <c r="P58" s="1428" t="str">
        <f>IFERROR(VLOOKUP(CONCATENATE($B$8,"_",$B58),Data!$H$16:$BN$1015,P$11,FALSE),"")</f>
        <v/>
      </c>
      <c r="Q58" s="1428" t="str">
        <f>IFERROR(VLOOKUP(CONCATENATE($B$8,"_",$B58),Data!$H$16:$BN$1015,Q$11,FALSE),"")</f>
        <v/>
      </c>
      <c r="R58" s="1429" t="str">
        <f>IFERROR(VLOOKUP(CONCATENATE($B$8,"_",$B58),Data!$H$16:$BN$1015,R$11,FALSE),"")</f>
        <v/>
      </c>
      <c r="S58" s="1428" t="str">
        <f>IFERROR(VLOOKUP(CONCATENATE($B$8,"_",$B58),Data!$H$16:$BN$1015,S$11,FALSE),"")</f>
        <v/>
      </c>
      <c r="T58" s="1428" t="str">
        <f>IFERROR(VLOOKUP(CONCATENATE($B$8,"_",$B58),Data!$H$16:$BN$1015,T$11,FALSE),"")</f>
        <v/>
      </c>
      <c r="U58" s="1429" t="str">
        <f>IFERROR(VLOOKUP(CONCATENATE($B$8,"_",$B58),Data!$H$16:$BN$1015,U$11,FALSE),"")</f>
        <v/>
      </c>
      <c r="V58" s="1428" t="str">
        <f>IFERROR(VLOOKUP(CONCATENATE($B$8,"_",$B58),Data!$H$16:$BN$1015,V$11,FALSE),"")</f>
        <v/>
      </c>
      <c r="W58" s="1428" t="str">
        <f>IFERROR(VLOOKUP(CONCATENATE($B$8,"_",$B58),Data!$H$16:$BN$1015,W$11,FALSE),"")</f>
        <v/>
      </c>
      <c r="X58" s="1428" t="str">
        <f>IFERROR(VLOOKUP(CONCATENATE($B$8,"_",$B58),Data!$H$16:$BN$1015,X$11,FALSE),"")</f>
        <v/>
      </c>
      <c r="Y58" s="1428" t="str">
        <f>IFERROR(VLOOKUP(CONCATENATE($B$8,"_",$B58),Data!$H$16:$BN$1015,Y$11,FALSE),"")</f>
        <v/>
      </c>
      <c r="Z58" s="1429" t="str">
        <f>IFERROR(VLOOKUP(CONCATENATE($B$8,"_",$B58),Data!$H$16:$BN$1015,Z$11,FALSE),"")</f>
        <v/>
      </c>
      <c r="AA58" s="1428" t="str">
        <f>IFERROR(VLOOKUP(CONCATENATE($B$8,"_",$B58),Data!$H$16:$BN$1015,AA$11,FALSE),"")</f>
        <v/>
      </c>
      <c r="AB58" s="1428" t="str">
        <f>IFERROR(VLOOKUP(CONCATENATE($B$8,"_",$B58),Data!$H$16:$BN$1015,AB$11,FALSE),"")</f>
        <v/>
      </c>
      <c r="AC58" s="1429" t="str">
        <f>IFERROR(VLOOKUP(CONCATENATE($B$8,"_",$B58),Data!$H$16:$BN$1015,AC$11,FALSE),"")</f>
        <v/>
      </c>
      <c r="AD58" s="1428" t="str">
        <f>IFERROR(VLOOKUP(CONCATENATE($B$8,"_",$B58),Data!$H$16:$BN$1015,AD$11,FALSE),"")</f>
        <v/>
      </c>
      <c r="AE58" s="1428" t="str">
        <f>IFERROR(VLOOKUP(CONCATENATE($B$8,"_",$B58),Data!$H$16:$BN$1015,AE$11,FALSE),"")</f>
        <v/>
      </c>
      <c r="AF58" s="1429" t="str">
        <f>IFERROR(VLOOKUP(CONCATENATE($B$8,"_",$B58),Data!$H$16:$BN$1015,AF$11,FALSE),"")</f>
        <v/>
      </c>
      <c r="AG58" s="1428" t="str">
        <f>IFERROR(VLOOKUP(CONCATENATE($B$8,"_",$B58),Data!$H$16:$BN$1015,AG$11,FALSE),"")</f>
        <v/>
      </c>
      <c r="AH58" s="1428" t="str">
        <f>IFERROR(VLOOKUP(CONCATENATE($B$8,"_",$B58),Data!$H$16:$BN$1015,AH$11,FALSE),"")</f>
        <v/>
      </c>
      <c r="AI58" s="1429" t="str">
        <f>IFERROR(VLOOKUP(CONCATENATE($B$8,"_",$B58),Data!$H$16:$BN$1015,AI$11,FALSE),"")</f>
        <v/>
      </c>
      <c r="AJ58" s="1428" t="str">
        <f>IFERROR(VLOOKUP(CONCATENATE($B$8,"_",$B58),Data!$H$16:$BN$1015,AJ$11,FALSE),"")</f>
        <v/>
      </c>
      <c r="AK58" s="1428" t="str">
        <f>IFERROR(VLOOKUP(CONCATENATE($B$8,"_",$B58),Data!$H$16:$BN$1015,AK$11,FALSE),"")</f>
        <v/>
      </c>
      <c r="AL58" s="1429" t="str">
        <f>IFERROR(VLOOKUP(CONCATENATE($B$8,"_",$B58),Data!$H$16:$BN$1015,AL$11,FALSE),"")</f>
        <v/>
      </c>
      <c r="AM58" s="1428" t="str">
        <f>IFERROR(VLOOKUP(CONCATENATE($B$8,"_",$B58),Data!$H$16:$BN$1015,AM$11,FALSE),"")</f>
        <v/>
      </c>
      <c r="AN58" s="1428" t="str">
        <f>IFERROR(VLOOKUP(CONCATENATE($B$8,"_",$B58),Data!$H$16:$BN$1015,AN$11,FALSE),"")</f>
        <v/>
      </c>
      <c r="AO58" s="1430" t="str">
        <f>IFERROR(VLOOKUP(CONCATENATE($B$8,"_",$B58),Data!$H$16:$BN$1015,AO$11,FALSE),"")</f>
        <v/>
      </c>
      <c r="AP58" s="1428" t="str">
        <f>IFERROR(VLOOKUP(CONCATENATE($B$8,"_",$B58),Data!$H$16:$BN$1015,AP$11,FALSE),"")</f>
        <v/>
      </c>
      <c r="AQ58" s="1428" t="str">
        <f>IFERROR(VLOOKUP(CONCATENATE($B$8,"_",$B58),Data!$H$16:$BN$1015,AQ$11,FALSE),"")</f>
        <v/>
      </c>
      <c r="AR58" s="1430" t="str">
        <f>IFERROR(VLOOKUP(CONCATENATE($B$8,"_",$B58),Data!$H$16:$BN$1015,AR$11,FALSE),"")</f>
        <v/>
      </c>
      <c r="AS58" s="1428" t="str">
        <f>IFERROR(VLOOKUP(CONCATENATE($B$8,"_",$B58),Data!$H$16:$BN$1015,AS$11,FALSE),"")</f>
        <v/>
      </c>
      <c r="AT58" s="1428" t="str">
        <f>IFERROR(VLOOKUP(CONCATENATE($B$8,"_",$B58),Data!$H$16:$BN$1015,AT$11,FALSE),"")</f>
        <v/>
      </c>
      <c r="AU58" s="1430" t="str">
        <f>IFERROR(VLOOKUP(CONCATENATE($B$8,"_",$B58),Data!$H$16:$BN$1015,AU$11,FALSE),"")</f>
        <v/>
      </c>
      <c r="AV58" s="1428" t="str">
        <f>IFERROR(VLOOKUP(CONCATENATE($B$8,"_",$B58),Data!$H$16:$BN$1015,AV$11,FALSE),"")</f>
        <v/>
      </c>
      <c r="AW58" s="1428" t="str">
        <f>IFERROR(VLOOKUP(CONCATENATE($B$8,"_",$B58),Data!$H$16:$BN$1015,AW$11,FALSE),"")</f>
        <v/>
      </c>
      <c r="AX58" s="1430" t="str">
        <f>IFERROR(VLOOKUP(CONCATENATE($B$8,"_",$B58),Data!$H$16:$BN$1015,AX$11,FALSE),"")</f>
        <v/>
      </c>
      <c r="AY58" s="1429" t="str">
        <f>IFERROR(VLOOKUP(CONCATENATE($B$8,"_",$B58),Data!$H$16:$BN$1015,AY$11,FALSE),"")</f>
        <v/>
      </c>
      <c r="AZ58" s="1429" t="str">
        <f>IFERROR(VLOOKUP(CONCATENATE($B$8,"_",$B58),Data!$H$16:$BN$1015,AZ$11,FALSE),"")</f>
        <v/>
      </c>
      <c r="BA58" s="1429" t="str">
        <f>IFERROR(VLOOKUP(CONCATENATE($B$8,"_",$B58),Data!$H$16:$BN$1015,BA$11,FALSE),"")</f>
        <v/>
      </c>
      <c r="BB58" s="1429" t="str">
        <f>IFERROR(VLOOKUP(CONCATENATE($B$8,"_",$B58),Data!$H$16:$BN$1015,BB$11,FALSE),"")</f>
        <v/>
      </c>
      <c r="BC58" s="1429" t="str">
        <f>IFERROR(VLOOKUP(CONCATENATE($B$8,"_",$B58),Data!$H$16:$BN$1015,BC$11,FALSE),"")</f>
        <v/>
      </c>
      <c r="BD58" s="1431" t="str">
        <f>IFERROR(VLOOKUP(CONCATENATE($B$8,"_",$B58),Data!$H$16:$BN$1015,BD$11,FALSE),"")</f>
        <v/>
      </c>
      <c r="BE58" s="1439">
        <f t="shared" si="1"/>
        <v>2045</v>
      </c>
      <c r="BF58" s="1428" t="str">
        <f>IFERROR(VLOOKUP(CONCATENATE($B$8,"_",$B58),Data!$BO$16:$ES$1015,BF$11,FALSE),"")</f>
        <v/>
      </c>
      <c r="BG58" s="1433" t="str">
        <f>IFERROR(VLOOKUP(CONCATENATE($B$8,"_",$B58),Data!$BO$16:$ES$1015,BG$11,FALSE),"")</f>
        <v/>
      </c>
      <c r="BH58" s="1435" t="str">
        <f>IFERROR(VLOOKUP(CONCATENATE($B$8,"_",$B58),Data!$BO$16:$ES$1015,BH$11,FALSE),"")</f>
        <v/>
      </c>
      <c r="BI58" s="1434" t="str">
        <f>IFERROR(VLOOKUP(CONCATENATE($B$8,"_",$B58),Data!$BO$16:$ES$1015,BI$11,FALSE),"")</f>
        <v/>
      </c>
      <c r="BJ58" s="1428" t="str">
        <f>IFERROR(VLOOKUP(CONCATENATE($B$8,"_",$B58),Data!$BO$16:$ES$1015,BJ$11,FALSE),"")</f>
        <v/>
      </c>
      <c r="BK58" s="1428" t="str">
        <f>IFERROR(VLOOKUP(CONCATENATE($B$8,"_",$B58),Data!$BO$16:$ES$1015,BK$11,FALSE),"")</f>
        <v/>
      </c>
      <c r="BL58" s="1428" t="str">
        <f>IFERROR(VLOOKUP(CONCATENATE($B$8,"_",$B58),Data!$BO$16:$ES$1015,BL$11,FALSE),"")</f>
        <v/>
      </c>
      <c r="BM58" s="1433" t="str">
        <f>IFERROR(VLOOKUP(CONCATENATE($B$8,"_",$B58),Data!$BO$16:$ES$1015,BM$11,FALSE),"")</f>
        <v/>
      </c>
      <c r="BN58" s="1433" t="str">
        <f>IFERROR(VLOOKUP(CONCATENATE($B$8,"_",$B58),Data!$BO$16:$ES$1015,BN$11,FALSE),"")</f>
        <v/>
      </c>
      <c r="BO58" s="1433" t="str">
        <f>IFERROR(VLOOKUP(CONCATENATE($B$8,"_",$B58),Data!$BO$16:$ES$1015,BO$11,FALSE),"")</f>
        <v/>
      </c>
      <c r="BP58" s="1433" t="str">
        <f>IFERROR(VLOOKUP(CONCATENATE($B$8,"_",$B58),Data!$BO$16:$ES$1015,BP$11,FALSE),"")</f>
        <v/>
      </c>
      <c r="BQ58" s="1433" t="str">
        <f>IFERROR(VLOOKUP(CONCATENATE($B$8,"_",$B58),Data!$BO$16:$ES$1015,BQ$11,FALSE),"")</f>
        <v/>
      </c>
      <c r="BR58" s="1434" t="str">
        <f>IFERROR(VLOOKUP(CONCATENATE($B$8,"_",$B58),Data!$BO$16:$ES$1015,BR$11,FALSE),"")</f>
        <v/>
      </c>
      <c r="BS58" s="1434" t="str">
        <f>IFERROR(VLOOKUP(CONCATENATE($B$8,"_",$B58),Data!$BO$16:$ES$1015,BS$11,FALSE),"")</f>
        <v/>
      </c>
      <c r="BT58" s="1434" t="str">
        <f>IFERROR(VLOOKUP(CONCATENATE($B$8,"_",$B58),Data!$BO$16:$ES$1015,BT$11,FALSE),"")</f>
        <v/>
      </c>
      <c r="BU58" s="1434" t="str">
        <f>IFERROR(VLOOKUP(CONCATENATE($B$8,"_",$B58),Data!$BO$16:$ES$1015,BU$11,FALSE),"")</f>
        <v/>
      </c>
      <c r="BV58" s="1434" t="str">
        <f>IFERROR(VLOOKUP(CONCATENATE($B$8,"_",$B58),Data!$BO$16:$ES$1015,BV$11,FALSE),"")</f>
        <v/>
      </c>
      <c r="BW58" s="1434" t="str">
        <f>IFERROR(VLOOKUP(CONCATENATE($B$8,"_",$B58),Data!$BO$16:$ES$1015,BW$11,FALSE),"")</f>
        <v/>
      </c>
      <c r="BX58" s="1434" t="str">
        <f>IFERROR(VLOOKUP(CONCATENATE($B$8,"_",$B58),Data!$BO$16:$ES$1015,BX$11,FALSE),"")</f>
        <v/>
      </c>
      <c r="BY58" s="1428" t="str">
        <f>IFERROR(VLOOKUP(CONCATENATE($B$8,"_",$B58),Data!$BO$16:$ES$1015,BY$11,FALSE),"")</f>
        <v/>
      </c>
      <c r="BZ58" s="1428" t="str">
        <f>IFERROR(VLOOKUP(CONCATENATE($B$8,"_",$B58),Data!$BO$16:$ES$1015,BZ$11,FALSE),"")</f>
        <v/>
      </c>
      <c r="CA58" s="1428" t="str">
        <f>IFERROR(VLOOKUP(CONCATENATE($B$8,"_",$B58),Data!$BO$16:$ES$1015,CA$11,FALSE),"")</f>
        <v/>
      </c>
      <c r="CB58" s="1428" t="str">
        <f>IFERROR(VLOOKUP(CONCATENATE($B$8,"_",$B58),Data!$BO$16:$ES$1015,CB$11,FALSE),"")</f>
        <v/>
      </c>
      <c r="CC58" s="1428" t="str">
        <f>IFERROR(VLOOKUP(CONCATENATE($B$8,"_",$B58),Data!$BO$16:$ES$1015,CC$11,FALSE),"")</f>
        <v/>
      </c>
      <c r="CD58" s="1428" t="str">
        <f>IFERROR(VLOOKUP(CONCATENATE($B$8,"_",$B58),Data!$BO$16:$ES$1015,CD$11,FALSE),"")</f>
        <v/>
      </c>
      <c r="CE58" s="1428" t="str">
        <f>IFERROR(VLOOKUP(CONCATENATE($B$8,"_",$B58),Data!$BO$16:$ES$1015,CE$11,FALSE),"")</f>
        <v/>
      </c>
      <c r="CF58" s="1428" t="str">
        <f>IFERROR(VLOOKUP(CONCATENATE($B$8,"_",$B58),Data!$BO$16:$ES$1015,CF$11,FALSE),"")</f>
        <v/>
      </c>
      <c r="CG58" s="1428" t="str">
        <f>IFERROR(VLOOKUP(CONCATENATE($B$8,"_",$B58),Data!$BO$16:$ES$1015,CG$11,FALSE),"")</f>
        <v/>
      </c>
      <c r="CH58" s="1428" t="str">
        <f>IFERROR(VLOOKUP(CONCATENATE($B$8,"_",$B58),Data!$BO$16:$ES$1015,CH$11,FALSE),"")</f>
        <v/>
      </c>
      <c r="CI58" s="1428" t="str">
        <f>IFERROR(VLOOKUP(CONCATENATE($B$8,"_",$B58),Data!$BO$16:$ES$1015,CI$11,FALSE),"")</f>
        <v/>
      </c>
      <c r="CJ58" s="1428" t="str">
        <f>IFERROR(VLOOKUP(CONCATENATE($B$8,"_",$B58),Data!$BO$16:$ES$1015,CJ$11,FALSE),"")</f>
        <v/>
      </c>
      <c r="CK58" s="1428" t="str">
        <f>IFERROR(VLOOKUP(CONCATENATE($B$8,"_",$B58),Data!$BO$16:$ES$1015,CK$11,FALSE),"")</f>
        <v/>
      </c>
      <c r="CL58" s="1428" t="str">
        <f>IFERROR(VLOOKUP(CONCATENATE($B$8,"_",$B58),Data!$BO$16:$ES$1015,CL$11,FALSE),"")</f>
        <v/>
      </c>
      <c r="CM58" s="1428" t="str">
        <f>IFERROR(VLOOKUP(CONCATENATE($B$8,"_",$B58),Data!$BO$16:$ES$1015,CM$11,FALSE),"")</f>
        <v/>
      </c>
      <c r="CN58" s="1428" t="str">
        <f>IFERROR(VLOOKUP(CONCATENATE($B$8,"_",$B58),Data!$BO$16:$ES$1015,CN$11,FALSE),"")</f>
        <v/>
      </c>
      <c r="CO58" s="1428" t="str">
        <f>IFERROR(VLOOKUP(CONCATENATE($B$8,"_",$B58),Data!$BO$16:$ES$1015,CO$11,FALSE),"")</f>
        <v/>
      </c>
      <c r="CP58" s="1433" t="str">
        <f>IFERROR(VLOOKUP(CONCATENATE($B$8,"_",$B58),Data!$BO$16:$ES$1015,CP$11,FALSE),"")</f>
        <v/>
      </c>
      <c r="CQ58" s="1433" t="str">
        <f>IFERROR(VLOOKUP(CONCATENATE($B$8,"_",$B58),Data!$BO$16:$ES$1015,CQ$11,FALSE),"")</f>
        <v/>
      </c>
      <c r="CR58" s="1433" t="str">
        <f>IFERROR(VLOOKUP(CONCATENATE($B$8,"_",$B58),Data!$BO$16:$ES$1015,CR$11,FALSE),"")</f>
        <v/>
      </c>
      <c r="CS58" s="1433" t="str">
        <f>IFERROR(VLOOKUP(CONCATENATE($B$8,"_",$B58),Data!$BO$16:$ES$1015,CS$11,FALSE),"")</f>
        <v/>
      </c>
      <c r="CT58" s="1433" t="str">
        <f>IFERROR(VLOOKUP(CONCATENATE($B$8,"_",$B58),Data!$BO$16:$ES$1015,CT$11,FALSE),"")</f>
        <v/>
      </c>
      <c r="CU58" s="1433" t="str">
        <f>IFERROR(VLOOKUP(CONCATENATE($B$8,"_",$B58),Data!$BO$16:$ES$1015,CU$11,FALSE),"")</f>
        <v/>
      </c>
      <c r="CV58" s="1433" t="str">
        <f>IFERROR(VLOOKUP(CONCATENATE($B$8,"_",$B58),Data!$BO$16:$ES$1015,CV$11,FALSE),"")</f>
        <v/>
      </c>
      <c r="CW58" s="1433" t="str">
        <f>IFERROR(VLOOKUP(CONCATENATE($B$8,"_",$B58),Data!$BO$16:$ES$1015,CW$11,FALSE),"")</f>
        <v/>
      </c>
      <c r="CX58" s="1433" t="str">
        <f>IFERROR(VLOOKUP(CONCATENATE($B$8,"_",$B58),Data!$BO$16:$ES$1015,CX$11,FALSE),"")</f>
        <v/>
      </c>
      <c r="CY58" s="1433" t="str">
        <f>IFERROR(VLOOKUP(CONCATENATE($B$8,"_",$B58),Data!$BO$16:$ES$1015,CY$11,FALSE),"")</f>
        <v/>
      </c>
      <c r="CZ58" s="1433" t="str">
        <f>IFERROR(VLOOKUP(CONCATENATE($B$8,"_",$B58),Data!$BO$16:$ES$1015,CZ$11,FALSE),"")</f>
        <v/>
      </c>
      <c r="DA58" s="1433" t="str">
        <f>IFERROR(VLOOKUP(CONCATENATE($B$8,"_",$B58),Data!$BO$16:$ES$1015,DA$11,FALSE),"")</f>
        <v/>
      </c>
      <c r="DB58" s="1433" t="str">
        <f>IFERROR(VLOOKUP(CONCATENATE($B$8,"_",$B58),Data!$BO$16:$ES$1015,DB$11,FALSE),"")</f>
        <v/>
      </c>
      <c r="DC58" s="1433" t="str">
        <f>IFERROR(VLOOKUP(CONCATENATE($B$8,"_",$B58),Data!$BO$16:$ES$1015,DC$11,FALSE),"")</f>
        <v/>
      </c>
      <c r="DD58" s="1433" t="str">
        <f>IFERROR(VLOOKUP(CONCATENATE($B$8,"_",$B58),Data!$BO$16:$ES$1015,DD$11,FALSE),"")</f>
        <v/>
      </c>
      <c r="DE58" s="1433" t="str">
        <f>IFERROR(VLOOKUP(CONCATENATE($B$8,"_",$B58),Data!$BO$16:$ES$1015,DE$11,FALSE),"")</f>
        <v/>
      </c>
      <c r="DF58" s="1433" t="str">
        <f>IFERROR(VLOOKUP(CONCATENATE($B$8,"_",$B58),Data!$BO$16:$ES$1015,DF$11,FALSE),"")</f>
        <v/>
      </c>
      <c r="DG58" s="1433" t="str">
        <f>IFERROR(VLOOKUP(CONCATENATE($B$8,"_",$B58),Data!$BO$16:$ES$1015,DG$11,FALSE),"")</f>
        <v/>
      </c>
      <c r="DH58" s="1433" t="str">
        <f>IFERROR(VLOOKUP(CONCATENATE($B$8,"_",$B58),Data!$BO$16:$ES$1015,DH$11,FALSE),"")</f>
        <v/>
      </c>
      <c r="DI58" s="1433" t="str">
        <f>IFERROR(VLOOKUP(CONCATENATE($B$8,"_",$B58),Data!$BO$16:$ES$1015,DI$11,FALSE),"")</f>
        <v/>
      </c>
      <c r="DJ58" s="1433" t="str">
        <f>IFERROR(VLOOKUP(CONCATENATE($B$8,"_",$B58),Data!$BO$16:$ES$1015,DJ$11,FALSE),"")</f>
        <v/>
      </c>
      <c r="DK58" s="1433" t="str">
        <f>IFERROR(VLOOKUP(CONCATENATE($B$8,"_",$B58),Data!$BO$16:$ES$1015,DK$11,FALSE),"")</f>
        <v/>
      </c>
      <c r="DL58" s="1435" t="str">
        <f>IFERROR(VLOOKUP(CONCATENATE($B$8,"_",$B58),Data!$BO$16:$ES$1015,DL$11,FALSE),"")</f>
        <v/>
      </c>
      <c r="DM58" s="1434" t="str">
        <f>IFERROR(VLOOKUP(CONCATENATE($B$8,"_",$B58),Data!$BO$16:$ES$1015,DM$11,FALSE),"")</f>
        <v/>
      </c>
      <c r="DN58" s="1434" t="str">
        <f>IFERROR(VLOOKUP(CONCATENATE($B$8,"_",$B58),Data!$BO$16:$ES$1015,DN$11,FALSE),"")</f>
        <v/>
      </c>
      <c r="DO58" s="1434" t="str">
        <f>IFERROR(VLOOKUP(CONCATENATE($B$8,"_",$B58),Data!$BO$16:$ES$1015,DO$11,FALSE),"")</f>
        <v/>
      </c>
      <c r="DP58" s="1434" t="str">
        <f>IFERROR(VLOOKUP(CONCATENATE($B$8,"_",$B58),Data!$BO$16:$ES$1015,DP$11,FALSE),"")</f>
        <v/>
      </c>
      <c r="DQ58" s="1434" t="str">
        <f>IFERROR(VLOOKUP(CONCATENATE($B$8,"_",$B58),Data!$BO$16:$ES$1015,DQ$11,FALSE),"")</f>
        <v/>
      </c>
      <c r="DR58" s="1434" t="str">
        <f>IFERROR(VLOOKUP(CONCATENATE($B$8,"_",$B58),Data!$BO$16:$ES$1015,DR$11,FALSE),"")</f>
        <v/>
      </c>
      <c r="DS58" s="1434" t="str">
        <f>IFERROR(VLOOKUP(CONCATENATE($B$8,"_",$B58),Data!$BO$16:$ES$1015,DS$11,FALSE),"")</f>
        <v/>
      </c>
      <c r="DT58" s="1434" t="str">
        <f>IFERROR(VLOOKUP(CONCATENATE($B$8,"_",$B58),Data!$BO$16:$ES$1015,DT$11,FALSE),"")</f>
        <v/>
      </c>
      <c r="DU58" s="1434" t="str">
        <f>IFERROR(VLOOKUP(CONCATENATE($B$8,"_",$B58),Data!$BO$16:$ES$1015,DU$11,FALSE),"")</f>
        <v/>
      </c>
      <c r="DV58" s="1434" t="str">
        <f>IFERROR(VLOOKUP(CONCATENATE($B$8,"_",$B58),Data!$BO$16:$ES$1015,DV$11,FALSE),"")</f>
        <v/>
      </c>
      <c r="DW58" s="1434" t="str">
        <f>IFERROR(VLOOKUP(CONCATENATE($B$8,"_",$B58),Data!$BO$16:$ES$1015,DW$11,FALSE),"")</f>
        <v/>
      </c>
      <c r="DX58" s="1434" t="str">
        <f>IFERROR(VLOOKUP(CONCATENATE($B$8,"_",$B58),Data!$BO$16:$ES$1015,DX$11,FALSE),"")</f>
        <v/>
      </c>
      <c r="DY58" s="1434" t="str">
        <f>IFERROR(VLOOKUP(CONCATENATE($B$8,"_",$B58),Data!$BO$16:$ES$1015,DY$11,FALSE),"")</f>
        <v/>
      </c>
      <c r="DZ58" s="1434" t="str">
        <f>IFERROR(VLOOKUP(CONCATENATE($B$8,"_",$B58),Data!$BO$16:$ES$1015,DZ$11,FALSE),"")</f>
        <v/>
      </c>
      <c r="EA58" s="1434" t="str">
        <f>IFERROR(VLOOKUP(CONCATENATE($B$8,"_",$B58),Data!$BO$16:$ES$1015,EA$11,FALSE),"")</f>
        <v/>
      </c>
      <c r="EB58" s="1434" t="str">
        <f>IFERROR(VLOOKUP(CONCATENATE($B$8,"_",$B58),Data!$BO$16:$ES$1015,EB$11,FALSE),"")</f>
        <v/>
      </c>
      <c r="EC58" s="1434" t="str">
        <f>IFERROR(VLOOKUP(CONCATENATE($B$8,"_",$B58),Data!$BO$16:$ES$1015,EC$11,FALSE),"")</f>
        <v/>
      </c>
      <c r="ED58" s="1434" t="str">
        <f>IFERROR(VLOOKUP(CONCATENATE($B$8,"_",$B58),Data!$BO$16:$ES$1015,ED$11,FALSE),"")</f>
        <v/>
      </c>
      <c r="EE58" s="1434" t="str">
        <f>IFERROR(VLOOKUP(CONCATENATE($B$8,"_",$B58),Data!$BO$16:$ES$1015,EE$11,FALSE),"")</f>
        <v/>
      </c>
      <c r="EF58" s="1434" t="str">
        <f>IFERROR(VLOOKUP(CONCATENATE($B$8,"_",$B58),Data!$BO$16:$ES$1015,EF$11,FALSE),"")</f>
        <v/>
      </c>
      <c r="EG58" s="1434" t="str">
        <f>IFERROR(VLOOKUP(CONCATENATE($B$8,"_",$B58),Data!$BO$16:$ES$1015,EG$11,FALSE),"")</f>
        <v/>
      </c>
      <c r="EH58" s="1434" t="str">
        <f>IFERROR(VLOOKUP(CONCATENATE($B$8,"_",$B58),Data!$BO$16:$ES$1015,EH$11,FALSE),"")</f>
        <v/>
      </c>
      <c r="EI58" s="1434" t="str">
        <f>IFERROR(VLOOKUP(CONCATENATE($B$8,"_",$B58),Data!$BO$16:$ES$1015,EI$11,FALSE),"")</f>
        <v/>
      </c>
    </row>
    <row r="59" spans="1:141" s="1441" customFormat="1" ht="15" customHeight="1">
      <c r="A59" s="1438">
        <v>46</v>
      </c>
      <c r="B59" s="1738">
        <f>IF($B$13+A59&lt;=Progress!$D$18,$B$13+A59,"")</f>
        <v>2046</v>
      </c>
      <c r="C59" s="1737" t="str">
        <f>IFERROR(VLOOKUP(CONCATENATE($B$8,"_",$B59),Data!$H$16:$BN$1015,C$11,FALSE),"")</f>
        <v/>
      </c>
      <c r="D59" s="1428" t="str">
        <f>IFERROR(VLOOKUP(CONCATENATE($B$8,"_",$B59),Data!$H$16:$BN$1015,D$11,FALSE),"")</f>
        <v/>
      </c>
      <c r="E59" s="1429" t="str">
        <f>IFERROR(VLOOKUP(CONCATENATE($B$8,"_",$B59),Data!$H$16:$BN$1015,E$11,FALSE),"")</f>
        <v/>
      </c>
      <c r="F59" s="1428" t="str">
        <f>IFERROR(VLOOKUP(CONCATENATE($B$8,"_",$B59),Data!$H$16:$BN$1015,F$11,FALSE),"")</f>
        <v/>
      </c>
      <c r="G59" s="1428" t="str">
        <f>IFERROR(VLOOKUP(CONCATENATE($B$8,"_",$B59),Data!$H$16:$BN$1015,G$11,FALSE),"")</f>
        <v/>
      </c>
      <c r="H59" s="1429" t="str">
        <f>IFERROR(VLOOKUP(CONCATENATE($B$8,"_",$B59),Data!$H$16:$BN$1015,H$11,FALSE),"")</f>
        <v/>
      </c>
      <c r="I59" s="1428" t="str">
        <f>IFERROR(VLOOKUP(CONCATENATE($B$8,"_",$B59),Data!$H$16:$BN$1015,I$11,FALSE),"")</f>
        <v/>
      </c>
      <c r="J59" s="1428" t="str">
        <f>IFERROR(VLOOKUP(CONCATENATE($B$8,"_",$B59),Data!$H$16:$BN$1015,J$11,FALSE),"")</f>
        <v/>
      </c>
      <c r="K59" s="1429" t="str">
        <f>IFERROR(VLOOKUP(CONCATENATE($B$8,"_",$B59),Data!$H$16:$BN$1015,K$11,FALSE),"")</f>
        <v/>
      </c>
      <c r="L59" s="1428" t="str">
        <f>IFERROR(VLOOKUP(CONCATENATE($B$8,"_",$B59),Data!$H$16:$BN$1015,L$11,FALSE),"")</f>
        <v/>
      </c>
      <c r="M59" s="1428" t="str">
        <f>IFERROR(VLOOKUP(CONCATENATE($B$8,"_",$B59),Data!$H$16:$BN$1015,M$11,FALSE),"")</f>
        <v/>
      </c>
      <c r="N59" s="1429" t="str">
        <f>IFERROR(VLOOKUP(CONCATENATE($B$8,"_",$B59),Data!$H$16:$BN$1015,N$11,FALSE),"")</f>
        <v/>
      </c>
      <c r="O59" s="1430" t="str">
        <f>IFERROR(VLOOKUP(CONCATENATE($B$8,"_",$B59),Data!$H$16:$BN$1015,O$11,FALSE),"")</f>
        <v/>
      </c>
      <c r="P59" s="1428" t="str">
        <f>IFERROR(VLOOKUP(CONCATENATE($B$8,"_",$B59),Data!$H$16:$BN$1015,P$11,FALSE),"")</f>
        <v/>
      </c>
      <c r="Q59" s="1428" t="str">
        <f>IFERROR(VLOOKUP(CONCATENATE($B$8,"_",$B59),Data!$H$16:$BN$1015,Q$11,FALSE),"")</f>
        <v/>
      </c>
      <c r="R59" s="1429" t="str">
        <f>IFERROR(VLOOKUP(CONCATENATE($B$8,"_",$B59),Data!$H$16:$BN$1015,R$11,FALSE),"")</f>
        <v/>
      </c>
      <c r="S59" s="1428" t="str">
        <f>IFERROR(VLOOKUP(CONCATENATE($B$8,"_",$B59),Data!$H$16:$BN$1015,S$11,FALSE),"")</f>
        <v/>
      </c>
      <c r="T59" s="1428" t="str">
        <f>IFERROR(VLOOKUP(CONCATENATE($B$8,"_",$B59),Data!$H$16:$BN$1015,T$11,FALSE),"")</f>
        <v/>
      </c>
      <c r="U59" s="1429" t="str">
        <f>IFERROR(VLOOKUP(CONCATENATE($B$8,"_",$B59),Data!$H$16:$BN$1015,U$11,FALSE),"")</f>
        <v/>
      </c>
      <c r="V59" s="1428" t="str">
        <f>IFERROR(VLOOKUP(CONCATENATE($B$8,"_",$B59),Data!$H$16:$BN$1015,V$11,FALSE),"")</f>
        <v/>
      </c>
      <c r="W59" s="1428" t="str">
        <f>IFERROR(VLOOKUP(CONCATENATE($B$8,"_",$B59),Data!$H$16:$BN$1015,W$11,FALSE),"")</f>
        <v/>
      </c>
      <c r="X59" s="1428" t="str">
        <f>IFERROR(VLOOKUP(CONCATENATE($B$8,"_",$B59),Data!$H$16:$BN$1015,X$11,FALSE),"")</f>
        <v/>
      </c>
      <c r="Y59" s="1428" t="str">
        <f>IFERROR(VLOOKUP(CONCATENATE($B$8,"_",$B59),Data!$H$16:$BN$1015,Y$11,FALSE),"")</f>
        <v/>
      </c>
      <c r="Z59" s="1429" t="str">
        <f>IFERROR(VLOOKUP(CONCATENATE($B$8,"_",$B59),Data!$H$16:$BN$1015,Z$11,FALSE),"")</f>
        <v/>
      </c>
      <c r="AA59" s="1428" t="str">
        <f>IFERROR(VLOOKUP(CONCATENATE($B$8,"_",$B59),Data!$H$16:$BN$1015,AA$11,FALSE),"")</f>
        <v/>
      </c>
      <c r="AB59" s="1428" t="str">
        <f>IFERROR(VLOOKUP(CONCATENATE($B$8,"_",$B59),Data!$H$16:$BN$1015,AB$11,FALSE),"")</f>
        <v/>
      </c>
      <c r="AC59" s="1429" t="str">
        <f>IFERROR(VLOOKUP(CONCATENATE($B$8,"_",$B59),Data!$H$16:$BN$1015,AC$11,FALSE),"")</f>
        <v/>
      </c>
      <c r="AD59" s="1428" t="str">
        <f>IFERROR(VLOOKUP(CONCATENATE($B$8,"_",$B59),Data!$H$16:$BN$1015,AD$11,FALSE),"")</f>
        <v/>
      </c>
      <c r="AE59" s="1428" t="str">
        <f>IFERROR(VLOOKUP(CONCATENATE($B$8,"_",$B59),Data!$H$16:$BN$1015,AE$11,FALSE),"")</f>
        <v/>
      </c>
      <c r="AF59" s="1429" t="str">
        <f>IFERROR(VLOOKUP(CONCATENATE($B$8,"_",$B59),Data!$H$16:$BN$1015,AF$11,FALSE),"")</f>
        <v/>
      </c>
      <c r="AG59" s="1428" t="str">
        <f>IFERROR(VLOOKUP(CONCATENATE($B$8,"_",$B59),Data!$H$16:$BN$1015,AG$11,FALSE),"")</f>
        <v/>
      </c>
      <c r="AH59" s="1428" t="str">
        <f>IFERROR(VLOOKUP(CONCATENATE($B$8,"_",$B59),Data!$H$16:$BN$1015,AH$11,FALSE),"")</f>
        <v/>
      </c>
      <c r="AI59" s="1429" t="str">
        <f>IFERROR(VLOOKUP(CONCATENATE($B$8,"_",$B59),Data!$H$16:$BN$1015,AI$11,FALSE),"")</f>
        <v/>
      </c>
      <c r="AJ59" s="1428" t="str">
        <f>IFERROR(VLOOKUP(CONCATENATE($B$8,"_",$B59),Data!$H$16:$BN$1015,AJ$11,FALSE),"")</f>
        <v/>
      </c>
      <c r="AK59" s="1428" t="str">
        <f>IFERROR(VLOOKUP(CONCATENATE($B$8,"_",$B59),Data!$H$16:$BN$1015,AK$11,FALSE),"")</f>
        <v/>
      </c>
      <c r="AL59" s="1429" t="str">
        <f>IFERROR(VLOOKUP(CONCATENATE($B$8,"_",$B59),Data!$H$16:$BN$1015,AL$11,FALSE),"")</f>
        <v/>
      </c>
      <c r="AM59" s="1428" t="str">
        <f>IFERROR(VLOOKUP(CONCATENATE($B$8,"_",$B59),Data!$H$16:$BN$1015,AM$11,FALSE),"")</f>
        <v/>
      </c>
      <c r="AN59" s="1428" t="str">
        <f>IFERROR(VLOOKUP(CONCATENATE($B$8,"_",$B59),Data!$H$16:$BN$1015,AN$11,FALSE),"")</f>
        <v/>
      </c>
      <c r="AO59" s="1430" t="str">
        <f>IFERROR(VLOOKUP(CONCATENATE($B$8,"_",$B59),Data!$H$16:$BN$1015,AO$11,FALSE),"")</f>
        <v/>
      </c>
      <c r="AP59" s="1428" t="str">
        <f>IFERROR(VLOOKUP(CONCATENATE($B$8,"_",$B59),Data!$H$16:$BN$1015,AP$11,FALSE),"")</f>
        <v/>
      </c>
      <c r="AQ59" s="1428" t="str">
        <f>IFERROR(VLOOKUP(CONCATENATE($B$8,"_",$B59),Data!$H$16:$BN$1015,AQ$11,FALSE),"")</f>
        <v/>
      </c>
      <c r="AR59" s="1430" t="str">
        <f>IFERROR(VLOOKUP(CONCATENATE($B$8,"_",$B59),Data!$H$16:$BN$1015,AR$11,FALSE),"")</f>
        <v/>
      </c>
      <c r="AS59" s="1428" t="str">
        <f>IFERROR(VLOOKUP(CONCATENATE($B$8,"_",$B59),Data!$H$16:$BN$1015,AS$11,FALSE),"")</f>
        <v/>
      </c>
      <c r="AT59" s="1428" t="str">
        <f>IFERROR(VLOOKUP(CONCATENATE($B$8,"_",$B59),Data!$H$16:$BN$1015,AT$11,FALSE),"")</f>
        <v/>
      </c>
      <c r="AU59" s="1430" t="str">
        <f>IFERROR(VLOOKUP(CONCATENATE($B$8,"_",$B59),Data!$H$16:$BN$1015,AU$11,FALSE),"")</f>
        <v/>
      </c>
      <c r="AV59" s="1428" t="str">
        <f>IFERROR(VLOOKUP(CONCATENATE($B$8,"_",$B59),Data!$H$16:$BN$1015,AV$11,FALSE),"")</f>
        <v/>
      </c>
      <c r="AW59" s="1428" t="str">
        <f>IFERROR(VLOOKUP(CONCATENATE($B$8,"_",$B59),Data!$H$16:$BN$1015,AW$11,FALSE),"")</f>
        <v/>
      </c>
      <c r="AX59" s="1430" t="str">
        <f>IFERROR(VLOOKUP(CONCATENATE($B$8,"_",$B59),Data!$H$16:$BN$1015,AX$11,FALSE),"")</f>
        <v/>
      </c>
      <c r="AY59" s="1429" t="str">
        <f>IFERROR(VLOOKUP(CONCATENATE($B$8,"_",$B59),Data!$H$16:$BN$1015,AY$11,FALSE),"")</f>
        <v/>
      </c>
      <c r="AZ59" s="1429" t="str">
        <f>IFERROR(VLOOKUP(CONCATENATE($B$8,"_",$B59),Data!$H$16:$BN$1015,AZ$11,FALSE),"")</f>
        <v/>
      </c>
      <c r="BA59" s="1429" t="str">
        <f>IFERROR(VLOOKUP(CONCATENATE($B$8,"_",$B59),Data!$H$16:$BN$1015,BA$11,FALSE),"")</f>
        <v/>
      </c>
      <c r="BB59" s="1429" t="str">
        <f>IFERROR(VLOOKUP(CONCATENATE($B$8,"_",$B59),Data!$H$16:$BN$1015,BB$11,FALSE),"")</f>
        <v/>
      </c>
      <c r="BC59" s="1429" t="str">
        <f>IFERROR(VLOOKUP(CONCATENATE($B$8,"_",$B59),Data!$H$16:$BN$1015,BC$11,FALSE),"")</f>
        <v/>
      </c>
      <c r="BD59" s="1431" t="str">
        <f>IFERROR(VLOOKUP(CONCATENATE($B$8,"_",$B59),Data!$H$16:$BN$1015,BD$11,FALSE),"")</f>
        <v/>
      </c>
      <c r="BE59" s="1439">
        <f t="shared" si="0"/>
        <v>2046</v>
      </c>
      <c r="BF59" s="1428" t="str">
        <f>IFERROR(VLOOKUP(CONCATENATE($B$8,"_",$B59),Data!$BO$16:$ES$1015,BF$11,FALSE),"")</f>
        <v/>
      </c>
      <c r="BG59" s="1433" t="str">
        <f>IFERROR(VLOOKUP(CONCATENATE($B$8,"_",$B59),Data!$BO$16:$ES$1015,BG$11,FALSE),"")</f>
        <v/>
      </c>
      <c r="BH59" s="1435" t="str">
        <f>IFERROR(VLOOKUP(CONCATENATE($B$8,"_",$B59),Data!$BO$16:$ES$1015,BH$11,FALSE),"")</f>
        <v/>
      </c>
      <c r="BI59" s="1434" t="str">
        <f>IFERROR(VLOOKUP(CONCATENATE($B$8,"_",$B59),Data!$BO$16:$ES$1015,BI$11,FALSE),"")</f>
        <v/>
      </c>
      <c r="BJ59" s="1428" t="str">
        <f>IFERROR(VLOOKUP(CONCATENATE($B$8,"_",$B59),Data!$BO$16:$ES$1015,BJ$11,FALSE),"")</f>
        <v/>
      </c>
      <c r="BK59" s="1428" t="str">
        <f>IFERROR(VLOOKUP(CONCATENATE($B$8,"_",$B59),Data!$BO$16:$ES$1015,BK$11,FALSE),"")</f>
        <v/>
      </c>
      <c r="BL59" s="1428" t="str">
        <f>IFERROR(VLOOKUP(CONCATENATE($B$8,"_",$B59),Data!$BO$16:$ES$1015,BL$11,FALSE),"")</f>
        <v/>
      </c>
      <c r="BM59" s="1433" t="str">
        <f>IFERROR(VLOOKUP(CONCATENATE($B$8,"_",$B59),Data!$BO$16:$ES$1015,BM$11,FALSE),"")</f>
        <v/>
      </c>
      <c r="BN59" s="1433" t="str">
        <f>IFERROR(VLOOKUP(CONCATENATE($B$8,"_",$B59),Data!$BO$16:$ES$1015,BN$11,FALSE),"")</f>
        <v/>
      </c>
      <c r="BO59" s="1433" t="str">
        <f>IFERROR(VLOOKUP(CONCATENATE($B$8,"_",$B59),Data!$BO$16:$ES$1015,BO$11,FALSE),"")</f>
        <v/>
      </c>
      <c r="BP59" s="1433" t="str">
        <f>IFERROR(VLOOKUP(CONCATENATE($B$8,"_",$B59),Data!$BO$16:$ES$1015,BP$11,FALSE),"")</f>
        <v/>
      </c>
      <c r="BQ59" s="1433" t="str">
        <f>IFERROR(VLOOKUP(CONCATENATE($B$8,"_",$B59),Data!$BO$16:$ES$1015,BQ$11,FALSE),"")</f>
        <v/>
      </c>
      <c r="BR59" s="1434" t="str">
        <f>IFERROR(VLOOKUP(CONCATENATE($B$8,"_",$B59),Data!$BO$16:$ES$1015,BR$11,FALSE),"")</f>
        <v/>
      </c>
      <c r="BS59" s="1434" t="str">
        <f>IFERROR(VLOOKUP(CONCATENATE($B$8,"_",$B59),Data!$BO$16:$ES$1015,BS$11,FALSE),"")</f>
        <v/>
      </c>
      <c r="BT59" s="1434" t="str">
        <f>IFERROR(VLOOKUP(CONCATENATE($B$8,"_",$B59),Data!$BO$16:$ES$1015,BT$11,FALSE),"")</f>
        <v/>
      </c>
      <c r="BU59" s="1434" t="str">
        <f>IFERROR(VLOOKUP(CONCATENATE($B$8,"_",$B59),Data!$BO$16:$ES$1015,BU$11,FALSE),"")</f>
        <v/>
      </c>
      <c r="BV59" s="1434" t="str">
        <f>IFERROR(VLOOKUP(CONCATENATE($B$8,"_",$B59),Data!$BO$16:$ES$1015,BV$11,FALSE),"")</f>
        <v/>
      </c>
      <c r="BW59" s="1434" t="str">
        <f>IFERROR(VLOOKUP(CONCATENATE($B$8,"_",$B59),Data!$BO$16:$ES$1015,BW$11,FALSE),"")</f>
        <v/>
      </c>
      <c r="BX59" s="1434" t="str">
        <f>IFERROR(VLOOKUP(CONCATENATE($B$8,"_",$B59),Data!$BO$16:$ES$1015,BX$11,FALSE),"")</f>
        <v/>
      </c>
      <c r="BY59" s="1428" t="str">
        <f>IFERROR(VLOOKUP(CONCATENATE($B$8,"_",$B59),Data!$BO$16:$ES$1015,BY$11,FALSE),"")</f>
        <v/>
      </c>
      <c r="BZ59" s="1428" t="str">
        <f>IFERROR(VLOOKUP(CONCATENATE($B$8,"_",$B59),Data!$BO$16:$ES$1015,BZ$11,FALSE),"")</f>
        <v/>
      </c>
      <c r="CA59" s="1428" t="str">
        <f>IFERROR(VLOOKUP(CONCATENATE($B$8,"_",$B59),Data!$BO$16:$ES$1015,CA$11,FALSE),"")</f>
        <v/>
      </c>
      <c r="CB59" s="1428" t="str">
        <f>IFERROR(VLOOKUP(CONCATENATE($B$8,"_",$B59),Data!$BO$16:$ES$1015,CB$11,FALSE),"")</f>
        <v/>
      </c>
      <c r="CC59" s="1428" t="str">
        <f>IFERROR(VLOOKUP(CONCATENATE($B$8,"_",$B59),Data!$BO$16:$ES$1015,CC$11,FALSE),"")</f>
        <v/>
      </c>
      <c r="CD59" s="1428" t="str">
        <f>IFERROR(VLOOKUP(CONCATENATE($B$8,"_",$B59),Data!$BO$16:$ES$1015,CD$11,FALSE),"")</f>
        <v/>
      </c>
      <c r="CE59" s="1428" t="str">
        <f>IFERROR(VLOOKUP(CONCATENATE($B$8,"_",$B59),Data!$BO$16:$ES$1015,CE$11,FALSE),"")</f>
        <v/>
      </c>
      <c r="CF59" s="1428" t="str">
        <f>IFERROR(VLOOKUP(CONCATENATE($B$8,"_",$B59),Data!$BO$16:$ES$1015,CF$11,FALSE),"")</f>
        <v/>
      </c>
      <c r="CG59" s="1428" t="str">
        <f>IFERROR(VLOOKUP(CONCATENATE($B$8,"_",$B59),Data!$BO$16:$ES$1015,CG$11,FALSE),"")</f>
        <v/>
      </c>
      <c r="CH59" s="1428" t="str">
        <f>IFERROR(VLOOKUP(CONCATENATE($B$8,"_",$B59),Data!$BO$16:$ES$1015,CH$11,FALSE),"")</f>
        <v/>
      </c>
      <c r="CI59" s="1428" t="str">
        <f>IFERROR(VLOOKUP(CONCATENATE($B$8,"_",$B59),Data!$BO$16:$ES$1015,CI$11,FALSE),"")</f>
        <v/>
      </c>
      <c r="CJ59" s="1428" t="str">
        <f>IFERROR(VLOOKUP(CONCATENATE($B$8,"_",$B59),Data!$BO$16:$ES$1015,CJ$11,FALSE),"")</f>
        <v/>
      </c>
      <c r="CK59" s="1428" t="str">
        <f>IFERROR(VLOOKUP(CONCATENATE($B$8,"_",$B59),Data!$BO$16:$ES$1015,CK$11,FALSE),"")</f>
        <v/>
      </c>
      <c r="CL59" s="1428" t="str">
        <f>IFERROR(VLOOKUP(CONCATENATE($B$8,"_",$B59),Data!$BO$16:$ES$1015,CL$11,FALSE),"")</f>
        <v/>
      </c>
      <c r="CM59" s="1428" t="str">
        <f>IFERROR(VLOOKUP(CONCATENATE($B$8,"_",$B59),Data!$BO$16:$ES$1015,CM$11,FALSE),"")</f>
        <v/>
      </c>
      <c r="CN59" s="1428" t="str">
        <f>IFERROR(VLOOKUP(CONCATENATE($B$8,"_",$B59),Data!$BO$16:$ES$1015,CN$11,FALSE),"")</f>
        <v/>
      </c>
      <c r="CO59" s="1428" t="str">
        <f>IFERROR(VLOOKUP(CONCATENATE($B$8,"_",$B59),Data!$BO$16:$ES$1015,CO$11,FALSE),"")</f>
        <v/>
      </c>
      <c r="CP59" s="1433" t="str">
        <f>IFERROR(VLOOKUP(CONCATENATE($B$8,"_",$B59),Data!$BO$16:$ES$1015,CP$11,FALSE),"")</f>
        <v/>
      </c>
      <c r="CQ59" s="1433" t="str">
        <f>IFERROR(VLOOKUP(CONCATENATE($B$8,"_",$B59),Data!$BO$16:$ES$1015,CQ$11,FALSE),"")</f>
        <v/>
      </c>
      <c r="CR59" s="1433" t="str">
        <f>IFERROR(VLOOKUP(CONCATENATE($B$8,"_",$B59),Data!$BO$16:$ES$1015,CR$11,FALSE),"")</f>
        <v/>
      </c>
      <c r="CS59" s="1433" t="str">
        <f>IFERROR(VLOOKUP(CONCATENATE($B$8,"_",$B59),Data!$BO$16:$ES$1015,CS$11,FALSE),"")</f>
        <v/>
      </c>
      <c r="CT59" s="1433" t="str">
        <f>IFERROR(VLOOKUP(CONCATENATE($B$8,"_",$B59),Data!$BO$16:$ES$1015,CT$11,FALSE),"")</f>
        <v/>
      </c>
      <c r="CU59" s="1433" t="str">
        <f>IFERROR(VLOOKUP(CONCATENATE($B$8,"_",$B59),Data!$BO$16:$ES$1015,CU$11,FALSE),"")</f>
        <v/>
      </c>
      <c r="CV59" s="1433" t="str">
        <f>IFERROR(VLOOKUP(CONCATENATE($B$8,"_",$B59),Data!$BO$16:$ES$1015,CV$11,FALSE),"")</f>
        <v/>
      </c>
      <c r="CW59" s="1433" t="str">
        <f>IFERROR(VLOOKUP(CONCATENATE($B$8,"_",$B59),Data!$BO$16:$ES$1015,CW$11,FALSE),"")</f>
        <v/>
      </c>
      <c r="CX59" s="1433" t="str">
        <f>IFERROR(VLOOKUP(CONCATENATE($B$8,"_",$B59),Data!$BO$16:$ES$1015,CX$11,FALSE),"")</f>
        <v/>
      </c>
      <c r="CY59" s="1433" t="str">
        <f>IFERROR(VLOOKUP(CONCATENATE($B$8,"_",$B59),Data!$BO$16:$ES$1015,CY$11,FALSE),"")</f>
        <v/>
      </c>
      <c r="CZ59" s="1433" t="str">
        <f>IFERROR(VLOOKUP(CONCATENATE($B$8,"_",$B59),Data!$BO$16:$ES$1015,CZ$11,FALSE),"")</f>
        <v/>
      </c>
      <c r="DA59" s="1433" t="str">
        <f>IFERROR(VLOOKUP(CONCATENATE($B$8,"_",$B59),Data!$BO$16:$ES$1015,DA$11,FALSE),"")</f>
        <v/>
      </c>
      <c r="DB59" s="1433" t="str">
        <f>IFERROR(VLOOKUP(CONCATENATE($B$8,"_",$B59),Data!$BO$16:$ES$1015,DB$11,FALSE),"")</f>
        <v/>
      </c>
      <c r="DC59" s="1433" t="str">
        <f>IFERROR(VLOOKUP(CONCATENATE($B$8,"_",$B59),Data!$BO$16:$ES$1015,DC$11,FALSE),"")</f>
        <v/>
      </c>
      <c r="DD59" s="1433" t="str">
        <f>IFERROR(VLOOKUP(CONCATENATE($B$8,"_",$B59),Data!$BO$16:$ES$1015,DD$11,FALSE),"")</f>
        <v/>
      </c>
      <c r="DE59" s="1433" t="str">
        <f>IFERROR(VLOOKUP(CONCATENATE($B$8,"_",$B59),Data!$BO$16:$ES$1015,DE$11,FALSE),"")</f>
        <v/>
      </c>
      <c r="DF59" s="1433" t="str">
        <f>IFERROR(VLOOKUP(CONCATENATE($B$8,"_",$B59),Data!$BO$16:$ES$1015,DF$11,FALSE),"")</f>
        <v/>
      </c>
      <c r="DG59" s="1433" t="str">
        <f>IFERROR(VLOOKUP(CONCATENATE($B$8,"_",$B59),Data!$BO$16:$ES$1015,DG$11,FALSE),"")</f>
        <v/>
      </c>
      <c r="DH59" s="1433" t="str">
        <f>IFERROR(VLOOKUP(CONCATENATE($B$8,"_",$B59),Data!$BO$16:$ES$1015,DH$11,FALSE),"")</f>
        <v/>
      </c>
      <c r="DI59" s="1433" t="str">
        <f>IFERROR(VLOOKUP(CONCATENATE($B$8,"_",$B59),Data!$BO$16:$ES$1015,DI$11,FALSE),"")</f>
        <v/>
      </c>
      <c r="DJ59" s="1433" t="str">
        <f>IFERROR(VLOOKUP(CONCATENATE($B$8,"_",$B59),Data!$BO$16:$ES$1015,DJ$11,FALSE),"")</f>
        <v/>
      </c>
      <c r="DK59" s="1433" t="str">
        <f>IFERROR(VLOOKUP(CONCATENATE($B$8,"_",$B59),Data!$BO$16:$ES$1015,DK$11,FALSE),"")</f>
        <v/>
      </c>
      <c r="DL59" s="1435" t="str">
        <f>IFERROR(VLOOKUP(CONCATENATE($B$8,"_",$B59),Data!$BO$16:$ES$1015,DL$11,FALSE),"")</f>
        <v/>
      </c>
      <c r="DM59" s="1434" t="str">
        <f>IFERROR(VLOOKUP(CONCATENATE($B$8,"_",$B59),Data!$BO$16:$ES$1015,DM$11,FALSE),"")</f>
        <v/>
      </c>
      <c r="DN59" s="1434" t="str">
        <f>IFERROR(VLOOKUP(CONCATENATE($B$8,"_",$B59),Data!$BO$16:$ES$1015,DN$11,FALSE),"")</f>
        <v/>
      </c>
      <c r="DO59" s="1434" t="str">
        <f>IFERROR(VLOOKUP(CONCATENATE($B$8,"_",$B59),Data!$BO$16:$ES$1015,DO$11,FALSE),"")</f>
        <v/>
      </c>
      <c r="DP59" s="1434" t="str">
        <f>IFERROR(VLOOKUP(CONCATENATE($B$8,"_",$B59),Data!$BO$16:$ES$1015,DP$11,FALSE),"")</f>
        <v/>
      </c>
      <c r="DQ59" s="1434" t="str">
        <f>IFERROR(VLOOKUP(CONCATENATE($B$8,"_",$B59),Data!$BO$16:$ES$1015,DQ$11,FALSE),"")</f>
        <v/>
      </c>
      <c r="DR59" s="1434" t="str">
        <f>IFERROR(VLOOKUP(CONCATENATE($B$8,"_",$B59),Data!$BO$16:$ES$1015,DR$11,FALSE),"")</f>
        <v/>
      </c>
      <c r="DS59" s="1434" t="str">
        <f>IFERROR(VLOOKUP(CONCATENATE($B$8,"_",$B59),Data!$BO$16:$ES$1015,DS$11,FALSE),"")</f>
        <v/>
      </c>
      <c r="DT59" s="1434" t="str">
        <f>IFERROR(VLOOKUP(CONCATENATE($B$8,"_",$B59),Data!$BO$16:$ES$1015,DT$11,FALSE),"")</f>
        <v/>
      </c>
      <c r="DU59" s="1434" t="str">
        <f>IFERROR(VLOOKUP(CONCATENATE($B$8,"_",$B59),Data!$BO$16:$ES$1015,DU$11,FALSE),"")</f>
        <v/>
      </c>
      <c r="DV59" s="1434" t="str">
        <f>IFERROR(VLOOKUP(CONCATENATE($B$8,"_",$B59),Data!$BO$16:$ES$1015,DV$11,FALSE),"")</f>
        <v/>
      </c>
      <c r="DW59" s="1434" t="str">
        <f>IFERROR(VLOOKUP(CONCATENATE($B$8,"_",$B59),Data!$BO$16:$ES$1015,DW$11,FALSE),"")</f>
        <v/>
      </c>
      <c r="DX59" s="1434" t="str">
        <f>IFERROR(VLOOKUP(CONCATENATE($B$8,"_",$B59),Data!$BO$16:$ES$1015,DX$11,FALSE),"")</f>
        <v/>
      </c>
      <c r="DY59" s="1434" t="str">
        <f>IFERROR(VLOOKUP(CONCATENATE($B$8,"_",$B59),Data!$BO$16:$ES$1015,DY$11,FALSE),"")</f>
        <v/>
      </c>
      <c r="DZ59" s="1434" t="str">
        <f>IFERROR(VLOOKUP(CONCATENATE($B$8,"_",$B59),Data!$BO$16:$ES$1015,DZ$11,FALSE),"")</f>
        <v/>
      </c>
      <c r="EA59" s="1434" t="str">
        <f>IFERROR(VLOOKUP(CONCATENATE($B$8,"_",$B59),Data!$BO$16:$ES$1015,EA$11,FALSE),"")</f>
        <v/>
      </c>
      <c r="EB59" s="1434" t="str">
        <f>IFERROR(VLOOKUP(CONCATENATE($B$8,"_",$B59),Data!$BO$16:$ES$1015,EB$11,FALSE),"")</f>
        <v/>
      </c>
      <c r="EC59" s="1434" t="str">
        <f>IFERROR(VLOOKUP(CONCATENATE($B$8,"_",$B59),Data!$BO$16:$ES$1015,EC$11,FALSE),"")</f>
        <v/>
      </c>
      <c r="ED59" s="1434" t="str">
        <f>IFERROR(VLOOKUP(CONCATENATE($B$8,"_",$B59),Data!$BO$16:$ES$1015,ED$11,FALSE),"")</f>
        <v/>
      </c>
      <c r="EE59" s="1434" t="str">
        <f>IFERROR(VLOOKUP(CONCATENATE($B$8,"_",$B59),Data!$BO$16:$ES$1015,EE$11,FALSE),"")</f>
        <v/>
      </c>
      <c r="EF59" s="1434" t="str">
        <f>IFERROR(VLOOKUP(CONCATENATE($B$8,"_",$B59),Data!$BO$16:$ES$1015,EF$11,FALSE),"")</f>
        <v/>
      </c>
      <c r="EG59" s="1434" t="str">
        <f>IFERROR(VLOOKUP(CONCATENATE($B$8,"_",$B59),Data!$BO$16:$ES$1015,EG$11,FALSE),"")</f>
        <v/>
      </c>
      <c r="EH59" s="1434" t="str">
        <f>IFERROR(VLOOKUP(CONCATENATE($B$8,"_",$B59),Data!$BO$16:$ES$1015,EH$11,FALSE),"")</f>
        <v/>
      </c>
      <c r="EI59" s="1434" t="str">
        <f>IFERROR(VLOOKUP(CONCATENATE($B$8,"_",$B59),Data!$BO$16:$ES$1015,EI$11,FALSE),"")</f>
        <v/>
      </c>
    </row>
    <row r="60" spans="1:141" s="1436" customFormat="1" ht="15" customHeight="1">
      <c r="A60" s="1438">
        <v>47</v>
      </c>
      <c r="B60" s="1738">
        <f>IF($B$13+A60&lt;=Progress!$D$18,$B$13+A60,"")</f>
        <v>2047</v>
      </c>
      <c r="C60" s="1737" t="str">
        <f>IFERROR(VLOOKUP(CONCATENATE($B$8,"_",$B60),Data!$H$16:$BN$1015,C$11,FALSE),"")</f>
        <v/>
      </c>
      <c r="D60" s="1428" t="str">
        <f>IFERROR(VLOOKUP(CONCATENATE($B$8,"_",$B60),Data!$H$16:$BN$1015,D$11,FALSE),"")</f>
        <v/>
      </c>
      <c r="E60" s="1429" t="str">
        <f>IFERROR(VLOOKUP(CONCATENATE($B$8,"_",$B60),Data!$H$16:$BN$1015,E$11,FALSE),"")</f>
        <v/>
      </c>
      <c r="F60" s="1428" t="str">
        <f>IFERROR(VLOOKUP(CONCATENATE($B$8,"_",$B60),Data!$H$16:$BN$1015,F$11,FALSE),"")</f>
        <v/>
      </c>
      <c r="G60" s="1428" t="str">
        <f>IFERROR(VLOOKUP(CONCATENATE($B$8,"_",$B60),Data!$H$16:$BN$1015,G$11,FALSE),"")</f>
        <v/>
      </c>
      <c r="H60" s="1429" t="str">
        <f>IFERROR(VLOOKUP(CONCATENATE($B$8,"_",$B60),Data!$H$16:$BN$1015,H$11,FALSE),"")</f>
        <v/>
      </c>
      <c r="I60" s="1428" t="str">
        <f>IFERROR(VLOOKUP(CONCATENATE($B$8,"_",$B60),Data!$H$16:$BN$1015,I$11,FALSE),"")</f>
        <v/>
      </c>
      <c r="J60" s="1428" t="str">
        <f>IFERROR(VLOOKUP(CONCATENATE($B$8,"_",$B60),Data!$H$16:$BN$1015,J$11,FALSE),"")</f>
        <v/>
      </c>
      <c r="K60" s="1429" t="str">
        <f>IFERROR(VLOOKUP(CONCATENATE($B$8,"_",$B60),Data!$H$16:$BN$1015,K$11,FALSE),"")</f>
        <v/>
      </c>
      <c r="L60" s="1428" t="str">
        <f>IFERROR(VLOOKUP(CONCATENATE($B$8,"_",$B60),Data!$H$16:$BN$1015,L$11,FALSE),"")</f>
        <v/>
      </c>
      <c r="M60" s="1428" t="str">
        <f>IFERROR(VLOOKUP(CONCATENATE($B$8,"_",$B60),Data!$H$16:$BN$1015,M$11,FALSE),"")</f>
        <v/>
      </c>
      <c r="N60" s="1429" t="str">
        <f>IFERROR(VLOOKUP(CONCATENATE($B$8,"_",$B60),Data!$H$16:$BN$1015,N$11,FALSE),"")</f>
        <v/>
      </c>
      <c r="O60" s="1430" t="str">
        <f>IFERROR(VLOOKUP(CONCATENATE($B$8,"_",$B60),Data!$H$16:$BN$1015,O$11,FALSE),"")</f>
        <v/>
      </c>
      <c r="P60" s="1428" t="str">
        <f>IFERROR(VLOOKUP(CONCATENATE($B$8,"_",$B60),Data!$H$16:$BN$1015,P$11,FALSE),"")</f>
        <v/>
      </c>
      <c r="Q60" s="1428" t="str">
        <f>IFERROR(VLOOKUP(CONCATENATE($B$8,"_",$B60),Data!$H$16:$BN$1015,Q$11,FALSE),"")</f>
        <v/>
      </c>
      <c r="R60" s="1429" t="str">
        <f>IFERROR(VLOOKUP(CONCATENATE($B$8,"_",$B60),Data!$H$16:$BN$1015,R$11,FALSE),"")</f>
        <v/>
      </c>
      <c r="S60" s="1428" t="str">
        <f>IFERROR(VLOOKUP(CONCATENATE($B$8,"_",$B60),Data!$H$16:$BN$1015,S$11,FALSE),"")</f>
        <v/>
      </c>
      <c r="T60" s="1428" t="str">
        <f>IFERROR(VLOOKUP(CONCATENATE($B$8,"_",$B60),Data!$H$16:$BN$1015,T$11,FALSE),"")</f>
        <v/>
      </c>
      <c r="U60" s="1429" t="str">
        <f>IFERROR(VLOOKUP(CONCATENATE($B$8,"_",$B60),Data!$H$16:$BN$1015,U$11,FALSE),"")</f>
        <v/>
      </c>
      <c r="V60" s="1428" t="str">
        <f>IFERROR(VLOOKUP(CONCATENATE($B$8,"_",$B60),Data!$H$16:$BN$1015,V$11,FALSE),"")</f>
        <v/>
      </c>
      <c r="W60" s="1428" t="str">
        <f>IFERROR(VLOOKUP(CONCATENATE($B$8,"_",$B60),Data!$H$16:$BN$1015,W$11,FALSE),"")</f>
        <v/>
      </c>
      <c r="X60" s="1428" t="str">
        <f>IFERROR(VLOOKUP(CONCATENATE($B$8,"_",$B60),Data!$H$16:$BN$1015,X$11,FALSE),"")</f>
        <v/>
      </c>
      <c r="Y60" s="1428" t="str">
        <f>IFERROR(VLOOKUP(CONCATENATE($B$8,"_",$B60),Data!$H$16:$BN$1015,Y$11,FALSE),"")</f>
        <v/>
      </c>
      <c r="Z60" s="1429" t="str">
        <f>IFERROR(VLOOKUP(CONCATENATE($B$8,"_",$B60),Data!$H$16:$BN$1015,Z$11,FALSE),"")</f>
        <v/>
      </c>
      <c r="AA60" s="1428" t="str">
        <f>IFERROR(VLOOKUP(CONCATENATE($B$8,"_",$B60),Data!$H$16:$BN$1015,AA$11,FALSE),"")</f>
        <v/>
      </c>
      <c r="AB60" s="1428" t="str">
        <f>IFERROR(VLOOKUP(CONCATENATE($B$8,"_",$B60),Data!$H$16:$BN$1015,AB$11,FALSE),"")</f>
        <v/>
      </c>
      <c r="AC60" s="1429" t="str">
        <f>IFERROR(VLOOKUP(CONCATENATE($B$8,"_",$B60),Data!$H$16:$BN$1015,AC$11,FALSE),"")</f>
        <v/>
      </c>
      <c r="AD60" s="1428" t="str">
        <f>IFERROR(VLOOKUP(CONCATENATE($B$8,"_",$B60),Data!$H$16:$BN$1015,AD$11,FALSE),"")</f>
        <v/>
      </c>
      <c r="AE60" s="1428" t="str">
        <f>IFERROR(VLOOKUP(CONCATENATE($B$8,"_",$B60),Data!$H$16:$BN$1015,AE$11,FALSE),"")</f>
        <v/>
      </c>
      <c r="AF60" s="1429" t="str">
        <f>IFERROR(VLOOKUP(CONCATENATE($B$8,"_",$B60),Data!$H$16:$BN$1015,AF$11,FALSE),"")</f>
        <v/>
      </c>
      <c r="AG60" s="1428" t="str">
        <f>IFERROR(VLOOKUP(CONCATENATE($B$8,"_",$B60),Data!$H$16:$BN$1015,AG$11,FALSE),"")</f>
        <v/>
      </c>
      <c r="AH60" s="1428" t="str">
        <f>IFERROR(VLOOKUP(CONCATENATE($B$8,"_",$B60),Data!$H$16:$BN$1015,AH$11,FALSE),"")</f>
        <v/>
      </c>
      <c r="AI60" s="1429" t="str">
        <f>IFERROR(VLOOKUP(CONCATENATE($B$8,"_",$B60),Data!$H$16:$BN$1015,AI$11,FALSE),"")</f>
        <v/>
      </c>
      <c r="AJ60" s="1428" t="str">
        <f>IFERROR(VLOOKUP(CONCATENATE($B$8,"_",$B60),Data!$H$16:$BN$1015,AJ$11,FALSE),"")</f>
        <v/>
      </c>
      <c r="AK60" s="1428" t="str">
        <f>IFERROR(VLOOKUP(CONCATENATE($B$8,"_",$B60),Data!$H$16:$BN$1015,AK$11,FALSE),"")</f>
        <v/>
      </c>
      <c r="AL60" s="1429" t="str">
        <f>IFERROR(VLOOKUP(CONCATENATE($B$8,"_",$B60),Data!$H$16:$BN$1015,AL$11,FALSE),"")</f>
        <v/>
      </c>
      <c r="AM60" s="1428" t="str">
        <f>IFERROR(VLOOKUP(CONCATENATE($B$8,"_",$B60),Data!$H$16:$BN$1015,AM$11,FALSE),"")</f>
        <v/>
      </c>
      <c r="AN60" s="1428" t="str">
        <f>IFERROR(VLOOKUP(CONCATENATE($B$8,"_",$B60),Data!$H$16:$BN$1015,AN$11,FALSE),"")</f>
        <v/>
      </c>
      <c r="AO60" s="1430" t="str">
        <f>IFERROR(VLOOKUP(CONCATENATE($B$8,"_",$B60),Data!$H$16:$BN$1015,AO$11,FALSE),"")</f>
        <v/>
      </c>
      <c r="AP60" s="1428" t="str">
        <f>IFERROR(VLOOKUP(CONCATENATE($B$8,"_",$B60),Data!$H$16:$BN$1015,AP$11,FALSE),"")</f>
        <v/>
      </c>
      <c r="AQ60" s="1428" t="str">
        <f>IFERROR(VLOOKUP(CONCATENATE($B$8,"_",$B60),Data!$H$16:$BN$1015,AQ$11,FALSE),"")</f>
        <v/>
      </c>
      <c r="AR60" s="1430" t="str">
        <f>IFERROR(VLOOKUP(CONCATENATE($B$8,"_",$B60),Data!$H$16:$BN$1015,AR$11,FALSE),"")</f>
        <v/>
      </c>
      <c r="AS60" s="1428" t="str">
        <f>IFERROR(VLOOKUP(CONCATENATE($B$8,"_",$B60),Data!$H$16:$BN$1015,AS$11,FALSE),"")</f>
        <v/>
      </c>
      <c r="AT60" s="1428" t="str">
        <f>IFERROR(VLOOKUP(CONCATENATE($B$8,"_",$B60),Data!$H$16:$BN$1015,AT$11,FALSE),"")</f>
        <v/>
      </c>
      <c r="AU60" s="1430" t="str">
        <f>IFERROR(VLOOKUP(CONCATENATE($B$8,"_",$B60),Data!$H$16:$BN$1015,AU$11,FALSE),"")</f>
        <v/>
      </c>
      <c r="AV60" s="1428" t="str">
        <f>IFERROR(VLOOKUP(CONCATENATE($B$8,"_",$B60),Data!$H$16:$BN$1015,AV$11,FALSE),"")</f>
        <v/>
      </c>
      <c r="AW60" s="1428" t="str">
        <f>IFERROR(VLOOKUP(CONCATENATE($B$8,"_",$B60),Data!$H$16:$BN$1015,AW$11,FALSE),"")</f>
        <v/>
      </c>
      <c r="AX60" s="1430" t="str">
        <f>IFERROR(VLOOKUP(CONCATENATE($B$8,"_",$B60),Data!$H$16:$BN$1015,AX$11,FALSE),"")</f>
        <v/>
      </c>
      <c r="AY60" s="1429" t="str">
        <f>IFERROR(VLOOKUP(CONCATENATE($B$8,"_",$B60),Data!$H$16:$BN$1015,AY$11,FALSE),"")</f>
        <v/>
      </c>
      <c r="AZ60" s="1429" t="str">
        <f>IFERROR(VLOOKUP(CONCATENATE($B$8,"_",$B60),Data!$H$16:$BN$1015,AZ$11,FALSE),"")</f>
        <v/>
      </c>
      <c r="BA60" s="1429" t="str">
        <f>IFERROR(VLOOKUP(CONCATENATE($B$8,"_",$B60),Data!$H$16:$BN$1015,BA$11,FALSE),"")</f>
        <v/>
      </c>
      <c r="BB60" s="1429" t="str">
        <f>IFERROR(VLOOKUP(CONCATENATE($B$8,"_",$B60),Data!$H$16:$BN$1015,BB$11,FALSE),"")</f>
        <v/>
      </c>
      <c r="BC60" s="1429" t="str">
        <f>IFERROR(VLOOKUP(CONCATENATE($B$8,"_",$B60),Data!$H$16:$BN$1015,BC$11,FALSE),"")</f>
        <v/>
      </c>
      <c r="BD60" s="1431" t="str">
        <f>IFERROR(VLOOKUP(CONCATENATE($B$8,"_",$B60),Data!$H$16:$BN$1015,BD$11,FALSE),"")</f>
        <v/>
      </c>
      <c r="BE60" s="1439">
        <f t="shared" si="0"/>
        <v>2047</v>
      </c>
      <c r="BF60" s="1428" t="str">
        <f>IFERROR(VLOOKUP(CONCATENATE($B$8,"_",$B60),Data!$BO$16:$ES$1015,BF$11,FALSE),"")</f>
        <v/>
      </c>
      <c r="BG60" s="1433" t="str">
        <f>IFERROR(VLOOKUP(CONCATENATE($B$8,"_",$B60),Data!$BO$16:$ES$1015,BG$11,FALSE),"")</f>
        <v/>
      </c>
      <c r="BH60" s="1435" t="str">
        <f>IFERROR(VLOOKUP(CONCATENATE($B$8,"_",$B60),Data!$BO$16:$ES$1015,BH$11,FALSE),"")</f>
        <v/>
      </c>
      <c r="BI60" s="1434" t="str">
        <f>IFERROR(VLOOKUP(CONCATENATE($B$8,"_",$B60),Data!$BO$16:$ES$1015,BI$11,FALSE),"")</f>
        <v/>
      </c>
      <c r="BJ60" s="1428" t="str">
        <f>IFERROR(VLOOKUP(CONCATENATE($B$8,"_",$B60),Data!$BO$16:$ES$1015,BJ$11,FALSE),"")</f>
        <v/>
      </c>
      <c r="BK60" s="1428" t="str">
        <f>IFERROR(VLOOKUP(CONCATENATE($B$8,"_",$B60),Data!$BO$16:$ES$1015,BK$11,FALSE),"")</f>
        <v/>
      </c>
      <c r="BL60" s="1428" t="str">
        <f>IFERROR(VLOOKUP(CONCATENATE($B$8,"_",$B60),Data!$BO$16:$ES$1015,BL$11,FALSE),"")</f>
        <v/>
      </c>
      <c r="BM60" s="1433" t="str">
        <f>IFERROR(VLOOKUP(CONCATENATE($B$8,"_",$B60),Data!$BO$16:$ES$1015,BM$11,FALSE),"")</f>
        <v/>
      </c>
      <c r="BN60" s="1433" t="str">
        <f>IFERROR(VLOOKUP(CONCATENATE($B$8,"_",$B60),Data!$BO$16:$ES$1015,BN$11,FALSE),"")</f>
        <v/>
      </c>
      <c r="BO60" s="1433" t="str">
        <f>IFERROR(VLOOKUP(CONCATENATE($B$8,"_",$B60),Data!$BO$16:$ES$1015,BO$11,FALSE),"")</f>
        <v/>
      </c>
      <c r="BP60" s="1433" t="str">
        <f>IFERROR(VLOOKUP(CONCATENATE($B$8,"_",$B60),Data!$BO$16:$ES$1015,BP$11,FALSE),"")</f>
        <v/>
      </c>
      <c r="BQ60" s="1433" t="str">
        <f>IFERROR(VLOOKUP(CONCATENATE($B$8,"_",$B60),Data!$BO$16:$ES$1015,BQ$11,FALSE),"")</f>
        <v/>
      </c>
      <c r="BR60" s="1434" t="str">
        <f>IFERROR(VLOOKUP(CONCATENATE($B$8,"_",$B60),Data!$BO$16:$ES$1015,BR$11,FALSE),"")</f>
        <v/>
      </c>
      <c r="BS60" s="1434" t="str">
        <f>IFERROR(VLOOKUP(CONCATENATE($B$8,"_",$B60),Data!$BO$16:$ES$1015,BS$11,FALSE),"")</f>
        <v/>
      </c>
      <c r="BT60" s="1434" t="str">
        <f>IFERROR(VLOOKUP(CONCATENATE($B$8,"_",$B60),Data!$BO$16:$ES$1015,BT$11,FALSE),"")</f>
        <v/>
      </c>
      <c r="BU60" s="1434" t="str">
        <f>IFERROR(VLOOKUP(CONCATENATE($B$8,"_",$B60),Data!$BO$16:$ES$1015,BU$11,FALSE),"")</f>
        <v/>
      </c>
      <c r="BV60" s="1434" t="str">
        <f>IFERROR(VLOOKUP(CONCATENATE($B$8,"_",$B60),Data!$BO$16:$ES$1015,BV$11,FALSE),"")</f>
        <v/>
      </c>
      <c r="BW60" s="1434" t="str">
        <f>IFERROR(VLOOKUP(CONCATENATE($B$8,"_",$B60),Data!$BO$16:$ES$1015,BW$11,FALSE),"")</f>
        <v/>
      </c>
      <c r="BX60" s="1434" t="str">
        <f>IFERROR(VLOOKUP(CONCATENATE($B$8,"_",$B60),Data!$BO$16:$ES$1015,BX$11,FALSE),"")</f>
        <v/>
      </c>
      <c r="BY60" s="1428" t="str">
        <f>IFERROR(VLOOKUP(CONCATENATE($B$8,"_",$B60),Data!$BO$16:$ES$1015,BY$11,FALSE),"")</f>
        <v/>
      </c>
      <c r="BZ60" s="1428" t="str">
        <f>IFERROR(VLOOKUP(CONCATENATE($B$8,"_",$B60),Data!$BO$16:$ES$1015,BZ$11,FALSE),"")</f>
        <v/>
      </c>
      <c r="CA60" s="1428" t="str">
        <f>IFERROR(VLOOKUP(CONCATENATE($B$8,"_",$B60),Data!$BO$16:$ES$1015,CA$11,FALSE),"")</f>
        <v/>
      </c>
      <c r="CB60" s="1428" t="str">
        <f>IFERROR(VLOOKUP(CONCATENATE($B$8,"_",$B60),Data!$BO$16:$ES$1015,CB$11,FALSE),"")</f>
        <v/>
      </c>
      <c r="CC60" s="1428" t="str">
        <f>IFERROR(VLOOKUP(CONCATENATE($B$8,"_",$B60),Data!$BO$16:$ES$1015,CC$11,FALSE),"")</f>
        <v/>
      </c>
      <c r="CD60" s="1428" t="str">
        <f>IFERROR(VLOOKUP(CONCATENATE($B$8,"_",$B60),Data!$BO$16:$ES$1015,CD$11,FALSE),"")</f>
        <v/>
      </c>
      <c r="CE60" s="1428" t="str">
        <f>IFERROR(VLOOKUP(CONCATENATE($B$8,"_",$B60),Data!$BO$16:$ES$1015,CE$11,FALSE),"")</f>
        <v/>
      </c>
      <c r="CF60" s="1428" t="str">
        <f>IFERROR(VLOOKUP(CONCATENATE($B$8,"_",$B60),Data!$BO$16:$ES$1015,CF$11,FALSE),"")</f>
        <v/>
      </c>
      <c r="CG60" s="1428" t="str">
        <f>IFERROR(VLOOKUP(CONCATENATE($B$8,"_",$B60),Data!$BO$16:$ES$1015,CG$11,FALSE),"")</f>
        <v/>
      </c>
      <c r="CH60" s="1428" t="str">
        <f>IFERROR(VLOOKUP(CONCATENATE($B$8,"_",$B60),Data!$BO$16:$ES$1015,CH$11,FALSE),"")</f>
        <v/>
      </c>
      <c r="CI60" s="1428" t="str">
        <f>IFERROR(VLOOKUP(CONCATENATE($B$8,"_",$B60),Data!$BO$16:$ES$1015,CI$11,FALSE),"")</f>
        <v/>
      </c>
      <c r="CJ60" s="1428" t="str">
        <f>IFERROR(VLOOKUP(CONCATENATE($B$8,"_",$B60),Data!$BO$16:$ES$1015,CJ$11,FALSE),"")</f>
        <v/>
      </c>
      <c r="CK60" s="1428" t="str">
        <f>IFERROR(VLOOKUP(CONCATENATE($B$8,"_",$B60),Data!$BO$16:$ES$1015,CK$11,FALSE),"")</f>
        <v/>
      </c>
      <c r="CL60" s="1428" t="str">
        <f>IFERROR(VLOOKUP(CONCATENATE($B$8,"_",$B60),Data!$BO$16:$ES$1015,CL$11,FALSE),"")</f>
        <v/>
      </c>
      <c r="CM60" s="1428" t="str">
        <f>IFERROR(VLOOKUP(CONCATENATE($B$8,"_",$B60),Data!$BO$16:$ES$1015,CM$11,FALSE),"")</f>
        <v/>
      </c>
      <c r="CN60" s="1428" t="str">
        <f>IFERROR(VLOOKUP(CONCATENATE($B$8,"_",$B60),Data!$BO$16:$ES$1015,CN$11,FALSE),"")</f>
        <v/>
      </c>
      <c r="CO60" s="1428" t="str">
        <f>IFERROR(VLOOKUP(CONCATENATE($B$8,"_",$B60),Data!$BO$16:$ES$1015,CO$11,FALSE),"")</f>
        <v/>
      </c>
      <c r="CP60" s="1433" t="str">
        <f>IFERROR(VLOOKUP(CONCATENATE($B$8,"_",$B60),Data!$BO$16:$ES$1015,CP$11,FALSE),"")</f>
        <v/>
      </c>
      <c r="CQ60" s="1433" t="str">
        <f>IFERROR(VLOOKUP(CONCATENATE($B$8,"_",$B60),Data!$BO$16:$ES$1015,CQ$11,FALSE),"")</f>
        <v/>
      </c>
      <c r="CR60" s="1433" t="str">
        <f>IFERROR(VLOOKUP(CONCATENATE($B$8,"_",$B60),Data!$BO$16:$ES$1015,CR$11,FALSE),"")</f>
        <v/>
      </c>
      <c r="CS60" s="1433" t="str">
        <f>IFERROR(VLOOKUP(CONCATENATE($B$8,"_",$B60),Data!$BO$16:$ES$1015,CS$11,FALSE),"")</f>
        <v/>
      </c>
      <c r="CT60" s="1433" t="str">
        <f>IFERROR(VLOOKUP(CONCATENATE($B$8,"_",$B60),Data!$BO$16:$ES$1015,CT$11,FALSE),"")</f>
        <v/>
      </c>
      <c r="CU60" s="1433" t="str">
        <f>IFERROR(VLOOKUP(CONCATENATE($B$8,"_",$B60),Data!$BO$16:$ES$1015,CU$11,FALSE),"")</f>
        <v/>
      </c>
      <c r="CV60" s="1433" t="str">
        <f>IFERROR(VLOOKUP(CONCATENATE($B$8,"_",$B60),Data!$BO$16:$ES$1015,CV$11,FALSE),"")</f>
        <v/>
      </c>
      <c r="CW60" s="1433" t="str">
        <f>IFERROR(VLOOKUP(CONCATENATE($B$8,"_",$B60),Data!$BO$16:$ES$1015,CW$11,FALSE),"")</f>
        <v/>
      </c>
      <c r="CX60" s="1433" t="str">
        <f>IFERROR(VLOOKUP(CONCATENATE($B$8,"_",$B60),Data!$BO$16:$ES$1015,CX$11,FALSE),"")</f>
        <v/>
      </c>
      <c r="CY60" s="1433" t="str">
        <f>IFERROR(VLOOKUP(CONCATENATE($B$8,"_",$B60),Data!$BO$16:$ES$1015,CY$11,FALSE),"")</f>
        <v/>
      </c>
      <c r="CZ60" s="1433" t="str">
        <f>IFERROR(VLOOKUP(CONCATENATE($B$8,"_",$B60),Data!$BO$16:$ES$1015,CZ$11,FALSE),"")</f>
        <v/>
      </c>
      <c r="DA60" s="1433" t="str">
        <f>IFERROR(VLOOKUP(CONCATENATE($B$8,"_",$B60),Data!$BO$16:$ES$1015,DA$11,FALSE),"")</f>
        <v/>
      </c>
      <c r="DB60" s="1433" t="str">
        <f>IFERROR(VLOOKUP(CONCATENATE($B$8,"_",$B60),Data!$BO$16:$ES$1015,DB$11,FALSE),"")</f>
        <v/>
      </c>
      <c r="DC60" s="1433" t="str">
        <f>IFERROR(VLOOKUP(CONCATENATE($B$8,"_",$B60),Data!$BO$16:$ES$1015,DC$11,FALSE),"")</f>
        <v/>
      </c>
      <c r="DD60" s="1433" t="str">
        <f>IFERROR(VLOOKUP(CONCATENATE($B$8,"_",$B60),Data!$BO$16:$ES$1015,DD$11,FALSE),"")</f>
        <v/>
      </c>
      <c r="DE60" s="1433" t="str">
        <f>IFERROR(VLOOKUP(CONCATENATE($B$8,"_",$B60),Data!$BO$16:$ES$1015,DE$11,FALSE),"")</f>
        <v/>
      </c>
      <c r="DF60" s="1433" t="str">
        <f>IFERROR(VLOOKUP(CONCATENATE($B$8,"_",$B60),Data!$BO$16:$ES$1015,DF$11,FALSE),"")</f>
        <v/>
      </c>
      <c r="DG60" s="1433" t="str">
        <f>IFERROR(VLOOKUP(CONCATENATE($B$8,"_",$B60),Data!$BO$16:$ES$1015,DG$11,FALSE),"")</f>
        <v/>
      </c>
      <c r="DH60" s="1433" t="str">
        <f>IFERROR(VLOOKUP(CONCATENATE($B$8,"_",$B60),Data!$BO$16:$ES$1015,DH$11,FALSE),"")</f>
        <v/>
      </c>
      <c r="DI60" s="1433" t="str">
        <f>IFERROR(VLOOKUP(CONCATENATE($B$8,"_",$B60),Data!$BO$16:$ES$1015,DI$11,FALSE),"")</f>
        <v/>
      </c>
      <c r="DJ60" s="1433" t="str">
        <f>IFERROR(VLOOKUP(CONCATENATE($B$8,"_",$B60),Data!$BO$16:$ES$1015,DJ$11,FALSE),"")</f>
        <v/>
      </c>
      <c r="DK60" s="1433" t="str">
        <f>IFERROR(VLOOKUP(CONCATENATE($B$8,"_",$B60),Data!$BO$16:$ES$1015,DK$11,FALSE),"")</f>
        <v/>
      </c>
      <c r="DL60" s="1435" t="str">
        <f>IFERROR(VLOOKUP(CONCATENATE($B$8,"_",$B60),Data!$BO$16:$ES$1015,DL$11,FALSE),"")</f>
        <v/>
      </c>
      <c r="DM60" s="1434" t="str">
        <f>IFERROR(VLOOKUP(CONCATENATE($B$8,"_",$B60),Data!$BO$16:$ES$1015,DM$11,FALSE),"")</f>
        <v/>
      </c>
      <c r="DN60" s="1434" t="str">
        <f>IFERROR(VLOOKUP(CONCATENATE($B$8,"_",$B60),Data!$BO$16:$ES$1015,DN$11,FALSE),"")</f>
        <v/>
      </c>
      <c r="DO60" s="1434" t="str">
        <f>IFERROR(VLOOKUP(CONCATENATE($B$8,"_",$B60),Data!$BO$16:$ES$1015,DO$11,FALSE),"")</f>
        <v/>
      </c>
      <c r="DP60" s="1434" t="str">
        <f>IFERROR(VLOOKUP(CONCATENATE($B$8,"_",$B60),Data!$BO$16:$ES$1015,DP$11,FALSE),"")</f>
        <v/>
      </c>
      <c r="DQ60" s="1434" t="str">
        <f>IFERROR(VLOOKUP(CONCATENATE($B$8,"_",$B60),Data!$BO$16:$ES$1015,DQ$11,FALSE),"")</f>
        <v/>
      </c>
      <c r="DR60" s="1434" t="str">
        <f>IFERROR(VLOOKUP(CONCATENATE($B$8,"_",$B60),Data!$BO$16:$ES$1015,DR$11,FALSE),"")</f>
        <v/>
      </c>
      <c r="DS60" s="1434" t="str">
        <f>IFERROR(VLOOKUP(CONCATENATE($B$8,"_",$B60),Data!$BO$16:$ES$1015,DS$11,FALSE),"")</f>
        <v/>
      </c>
      <c r="DT60" s="1434" t="str">
        <f>IFERROR(VLOOKUP(CONCATENATE($B$8,"_",$B60),Data!$BO$16:$ES$1015,DT$11,FALSE),"")</f>
        <v/>
      </c>
      <c r="DU60" s="1434" t="str">
        <f>IFERROR(VLOOKUP(CONCATENATE($B$8,"_",$B60),Data!$BO$16:$ES$1015,DU$11,FALSE),"")</f>
        <v/>
      </c>
      <c r="DV60" s="1434" t="str">
        <f>IFERROR(VLOOKUP(CONCATENATE($B$8,"_",$B60),Data!$BO$16:$ES$1015,DV$11,FALSE),"")</f>
        <v/>
      </c>
      <c r="DW60" s="1434" t="str">
        <f>IFERROR(VLOOKUP(CONCATENATE($B$8,"_",$B60),Data!$BO$16:$ES$1015,DW$11,FALSE),"")</f>
        <v/>
      </c>
      <c r="DX60" s="1434" t="str">
        <f>IFERROR(VLOOKUP(CONCATENATE($B$8,"_",$B60),Data!$BO$16:$ES$1015,DX$11,FALSE),"")</f>
        <v/>
      </c>
      <c r="DY60" s="1434" t="str">
        <f>IFERROR(VLOOKUP(CONCATENATE($B$8,"_",$B60),Data!$BO$16:$ES$1015,DY$11,FALSE),"")</f>
        <v/>
      </c>
      <c r="DZ60" s="1434" t="str">
        <f>IFERROR(VLOOKUP(CONCATENATE($B$8,"_",$B60),Data!$BO$16:$ES$1015,DZ$11,FALSE),"")</f>
        <v/>
      </c>
      <c r="EA60" s="1434" t="str">
        <f>IFERROR(VLOOKUP(CONCATENATE($B$8,"_",$B60),Data!$BO$16:$ES$1015,EA$11,FALSE),"")</f>
        <v/>
      </c>
      <c r="EB60" s="1434" t="str">
        <f>IFERROR(VLOOKUP(CONCATENATE($B$8,"_",$B60),Data!$BO$16:$ES$1015,EB$11,FALSE),"")</f>
        <v/>
      </c>
      <c r="EC60" s="1434" t="str">
        <f>IFERROR(VLOOKUP(CONCATENATE($B$8,"_",$B60),Data!$BO$16:$ES$1015,EC$11,FALSE),"")</f>
        <v/>
      </c>
      <c r="ED60" s="1434" t="str">
        <f>IFERROR(VLOOKUP(CONCATENATE($B$8,"_",$B60),Data!$BO$16:$ES$1015,ED$11,FALSE),"")</f>
        <v/>
      </c>
      <c r="EE60" s="1434" t="str">
        <f>IFERROR(VLOOKUP(CONCATENATE($B$8,"_",$B60),Data!$BO$16:$ES$1015,EE$11,FALSE),"")</f>
        <v/>
      </c>
      <c r="EF60" s="1434" t="str">
        <f>IFERROR(VLOOKUP(CONCATENATE($B$8,"_",$B60),Data!$BO$16:$ES$1015,EF$11,FALSE),"")</f>
        <v/>
      </c>
      <c r="EG60" s="1434" t="str">
        <f>IFERROR(VLOOKUP(CONCATENATE($B$8,"_",$B60),Data!$BO$16:$ES$1015,EG$11,FALSE),"")</f>
        <v/>
      </c>
      <c r="EH60" s="1434" t="str">
        <f>IFERROR(VLOOKUP(CONCATENATE($B$8,"_",$B60),Data!$BO$16:$ES$1015,EH$11,FALSE),"")</f>
        <v/>
      </c>
      <c r="EI60" s="1434" t="str">
        <f>IFERROR(VLOOKUP(CONCATENATE($B$8,"_",$B60),Data!$BO$16:$ES$1015,EI$11,FALSE),"")</f>
        <v/>
      </c>
      <c r="EK60" s="1437"/>
    </row>
    <row r="61" spans="1:141" s="1436" customFormat="1" ht="15" customHeight="1">
      <c r="A61" s="1438">
        <v>48</v>
      </c>
      <c r="B61" s="1738">
        <f>IF($B$13+A61&lt;=Progress!$D$18,$B$13+A61,"")</f>
        <v>2048</v>
      </c>
      <c r="C61" s="1737" t="str">
        <f>IFERROR(VLOOKUP(CONCATENATE($B$8,"_",$B61),Data!$H$16:$BN$1015,C$11,FALSE),"")</f>
        <v/>
      </c>
      <c r="D61" s="1428" t="str">
        <f>IFERROR(VLOOKUP(CONCATENATE($B$8,"_",$B61),Data!$H$16:$BN$1015,D$11,FALSE),"")</f>
        <v/>
      </c>
      <c r="E61" s="1429" t="str">
        <f>IFERROR(VLOOKUP(CONCATENATE($B$8,"_",$B61),Data!$H$16:$BN$1015,E$11,FALSE),"")</f>
        <v/>
      </c>
      <c r="F61" s="1428" t="str">
        <f>IFERROR(VLOOKUP(CONCATENATE($B$8,"_",$B61),Data!$H$16:$BN$1015,F$11,FALSE),"")</f>
        <v/>
      </c>
      <c r="G61" s="1428" t="str">
        <f>IFERROR(VLOOKUP(CONCATENATE($B$8,"_",$B61),Data!$H$16:$BN$1015,G$11,FALSE),"")</f>
        <v/>
      </c>
      <c r="H61" s="1429" t="str">
        <f>IFERROR(VLOOKUP(CONCATENATE($B$8,"_",$B61),Data!$H$16:$BN$1015,H$11,FALSE),"")</f>
        <v/>
      </c>
      <c r="I61" s="1428" t="str">
        <f>IFERROR(VLOOKUP(CONCATENATE($B$8,"_",$B61),Data!$H$16:$BN$1015,I$11,FALSE),"")</f>
        <v/>
      </c>
      <c r="J61" s="1428" t="str">
        <f>IFERROR(VLOOKUP(CONCATENATE($B$8,"_",$B61),Data!$H$16:$BN$1015,J$11,FALSE),"")</f>
        <v/>
      </c>
      <c r="K61" s="1429" t="str">
        <f>IFERROR(VLOOKUP(CONCATENATE($B$8,"_",$B61),Data!$H$16:$BN$1015,K$11,FALSE),"")</f>
        <v/>
      </c>
      <c r="L61" s="1428" t="str">
        <f>IFERROR(VLOOKUP(CONCATENATE($B$8,"_",$B61),Data!$H$16:$BN$1015,L$11,FALSE),"")</f>
        <v/>
      </c>
      <c r="M61" s="1428" t="str">
        <f>IFERROR(VLOOKUP(CONCATENATE($B$8,"_",$B61),Data!$H$16:$BN$1015,M$11,FALSE),"")</f>
        <v/>
      </c>
      <c r="N61" s="1429" t="str">
        <f>IFERROR(VLOOKUP(CONCATENATE($B$8,"_",$B61),Data!$H$16:$BN$1015,N$11,FALSE),"")</f>
        <v/>
      </c>
      <c r="O61" s="1430" t="str">
        <f>IFERROR(VLOOKUP(CONCATENATE($B$8,"_",$B61),Data!$H$16:$BN$1015,O$11,FALSE),"")</f>
        <v/>
      </c>
      <c r="P61" s="1428" t="str">
        <f>IFERROR(VLOOKUP(CONCATENATE($B$8,"_",$B61),Data!$H$16:$BN$1015,P$11,FALSE),"")</f>
        <v/>
      </c>
      <c r="Q61" s="1428" t="str">
        <f>IFERROR(VLOOKUP(CONCATENATE($B$8,"_",$B61),Data!$H$16:$BN$1015,Q$11,FALSE),"")</f>
        <v/>
      </c>
      <c r="R61" s="1429" t="str">
        <f>IFERROR(VLOOKUP(CONCATENATE($B$8,"_",$B61),Data!$H$16:$BN$1015,R$11,FALSE),"")</f>
        <v/>
      </c>
      <c r="S61" s="1428" t="str">
        <f>IFERROR(VLOOKUP(CONCATENATE($B$8,"_",$B61),Data!$H$16:$BN$1015,S$11,FALSE),"")</f>
        <v/>
      </c>
      <c r="T61" s="1428" t="str">
        <f>IFERROR(VLOOKUP(CONCATENATE($B$8,"_",$B61),Data!$H$16:$BN$1015,T$11,FALSE),"")</f>
        <v/>
      </c>
      <c r="U61" s="1429" t="str">
        <f>IFERROR(VLOOKUP(CONCATENATE($B$8,"_",$B61),Data!$H$16:$BN$1015,U$11,FALSE),"")</f>
        <v/>
      </c>
      <c r="V61" s="1428" t="str">
        <f>IFERROR(VLOOKUP(CONCATENATE($B$8,"_",$B61),Data!$H$16:$BN$1015,V$11,FALSE),"")</f>
        <v/>
      </c>
      <c r="W61" s="1428" t="str">
        <f>IFERROR(VLOOKUP(CONCATENATE($B$8,"_",$B61),Data!$H$16:$BN$1015,W$11,FALSE),"")</f>
        <v/>
      </c>
      <c r="X61" s="1428" t="str">
        <f>IFERROR(VLOOKUP(CONCATENATE($B$8,"_",$B61),Data!$H$16:$BN$1015,X$11,FALSE),"")</f>
        <v/>
      </c>
      <c r="Y61" s="1428" t="str">
        <f>IFERROR(VLOOKUP(CONCATENATE($B$8,"_",$B61),Data!$H$16:$BN$1015,Y$11,FALSE),"")</f>
        <v/>
      </c>
      <c r="Z61" s="1429" t="str">
        <f>IFERROR(VLOOKUP(CONCATENATE($B$8,"_",$B61),Data!$H$16:$BN$1015,Z$11,FALSE),"")</f>
        <v/>
      </c>
      <c r="AA61" s="1428" t="str">
        <f>IFERROR(VLOOKUP(CONCATENATE($B$8,"_",$B61),Data!$H$16:$BN$1015,AA$11,FALSE),"")</f>
        <v/>
      </c>
      <c r="AB61" s="1428" t="str">
        <f>IFERROR(VLOOKUP(CONCATENATE($B$8,"_",$B61),Data!$H$16:$BN$1015,AB$11,FALSE),"")</f>
        <v/>
      </c>
      <c r="AC61" s="1429" t="str">
        <f>IFERROR(VLOOKUP(CONCATENATE($B$8,"_",$B61),Data!$H$16:$BN$1015,AC$11,FALSE),"")</f>
        <v/>
      </c>
      <c r="AD61" s="1428" t="str">
        <f>IFERROR(VLOOKUP(CONCATENATE($B$8,"_",$B61),Data!$H$16:$BN$1015,AD$11,FALSE),"")</f>
        <v/>
      </c>
      <c r="AE61" s="1428" t="str">
        <f>IFERROR(VLOOKUP(CONCATENATE($B$8,"_",$B61),Data!$H$16:$BN$1015,AE$11,FALSE),"")</f>
        <v/>
      </c>
      <c r="AF61" s="1429" t="str">
        <f>IFERROR(VLOOKUP(CONCATENATE($B$8,"_",$B61),Data!$H$16:$BN$1015,AF$11,FALSE),"")</f>
        <v/>
      </c>
      <c r="AG61" s="1428" t="str">
        <f>IFERROR(VLOOKUP(CONCATENATE($B$8,"_",$B61),Data!$H$16:$BN$1015,AG$11,FALSE),"")</f>
        <v/>
      </c>
      <c r="AH61" s="1428" t="str">
        <f>IFERROR(VLOOKUP(CONCATENATE($B$8,"_",$B61),Data!$H$16:$BN$1015,AH$11,FALSE),"")</f>
        <v/>
      </c>
      <c r="AI61" s="1429" t="str">
        <f>IFERROR(VLOOKUP(CONCATENATE($B$8,"_",$B61),Data!$H$16:$BN$1015,AI$11,FALSE),"")</f>
        <v/>
      </c>
      <c r="AJ61" s="1428" t="str">
        <f>IFERROR(VLOOKUP(CONCATENATE($B$8,"_",$B61),Data!$H$16:$BN$1015,AJ$11,FALSE),"")</f>
        <v/>
      </c>
      <c r="AK61" s="1428" t="str">
        <f>IFERROR(VLOOKUP(CONCATENATE($B$8,"_",$B61),Data!$H$16:$BN$1015,AK$11,FALSE),"")</f>
        <v/>
      </c>
      <c r="AL61" s="1429" t="str">
        <f>IFERROR(VLOOKUP(CONCATENATE($B$8,"_",$B61),Data!$H$16:$BN$1015,AL$11,FALSE),"")</f>
        <v/>
      </c>
      <c r="AM61" s="1428" t="str">
        <f>IFERROR(VLOOKUP(CONCATENATE($B$8,"_",$B61),Data!$H$16:$BN$1015,AM$11,FALSE),"")</f>
        <v/>
      </c>
      <c r="AN61" s="1428" t="str">
        <f>IFERROR(VLOOKUP(CONCATENATE($B$8,"_",$B61),Data!$H$16:$BN$1015,AN$11,FALSE),"")</f>
        <v/>
      </c>
      <c r="AO61" s="1430" t="str">
        <f>IFERROR(VLOOKUP(CONCATENATE($B$8,"_",$B61),Data!$H$16:$BN$1015,AO$11,FALSE),"")</f>
        <v/>
      </c>
      <c r="AP61" s="1428" t="str">
        <f>IFERROR(VLOOKUP(CONCATENATE($B$8,"_",$B61),Data!$H$16:$BN$1015,AP$11,FALSE),"")</f>
        <v/>
      </c>
      <c r="AQ61" s="1428" t="str">
        <f>IFERROR(VLOOKUP(CONCATENATE($B$8,"_",$B61),Data!$H$16:$BN$1015,AQ$11,FALSE),"")</f>
        <v/>
      </c>
      <c r="AR61" s="1430" t="str">
        <f>IFERROR(VLOOKUP(CONCATENATE($B$8,"_",$B61),Data!$H$16:$BN$1015,AR$11,FALSE),"")</f>
        <v/>
      </c>
      <c r="AS61" s="1428" t="str">
        <f>IFERROR(VLOOKUP(CONCATENATE($B$8,"_",$B61),Data!$H$16:$BN$1015,AS$11,FALSE),"")</f>
        <v/>
      </c>
      <c r="AT61" s="1428" t="str">
        <f>IFERROR(VLOOKUP(CONCATENATE($B$8,"_",$B61),Data!$H$16:$BN$1015,AT$11,FALSE),"")</f>
        <v/>
      </c>
      <c r="AU61" s="1430" t="str">
        <f>IFERROR(VLOOKUP(CONCATENATE($B$8,"_",$B61),Data!$H$16:$BN$1015,AU$11,FALSE),"")</f>
        <v/>
      </c>
      <c r="AV61" s="1428" t="str">
        <f>IFERROR(VLOOKUP(CONCATENATE($B$8,"_",$B61),Data!$H$16:$BN$1015,AV$11,FALSE),"")</f>
        <v/>
      </c>
      <c r="AW61" s="1428" t="str">
        <f>IFERROR(VLOOKUP(CONCATENATE($B$8,"_",$B61),Data!$H$16:$BN$1015,AW$11,FALSE),"")</f>
        <v/>
      </c>
      <c r="AX61" s="1430" t="str">
        <f>IFERROR(VLOOKUP(CONCATENATE($B$8,"_",$B61),Data!$H$16:$BN$1015,AX$11,FALSE),"")</f>
        <v/>
      </c>
      <c r="AY61" s="1429" t="str">
        <f>IFERROR(VLOOKUP(CONCATENATE($B$8,"_",$B61),Data!$H$16:$BN$1015,AY$11,FALSE),"")</f>
        <v/>
      </c>
      <c r="AZ61" s="1429" t="str">
        <f>IFERROR(VLOOKUP(CONCATENATE($B$8,"_",$B61),Data!$H$16:$BN$1015,AZ$11,FALSE),"")</f>
        <v/>
      </c>
      <c r="BA61" s="1429" t="str">
        <f>IFERROR(VLOOKUP(CONCATENATE($B$8,"_",$B61),Data!$H$16:$BN$1015,BA$11,FALSE),"")</f>
        <v/>
      </c>
      <c r="BB61" s="1429" t="str">
        <f>IFERROR(VLOOKUP(CONCATENATE($B$8,"_",$B61),Data!$H$16:$BN$1015,BB$11,FALSE),"")</f>
        <v/>
      </c>
      <c r="BC61" s="1429" t="str">
        <f>IFERROR(VLOOKUP(CONCATENATE($B$8,"_",$B61),Data!$H$16:$BN$1015,BC$11,FALSE),"")</f>
        <v/>
      </c>
      <c r="BD61" s="1431" t="str">
        <f>IFERROR(VLOOKUP(CONCATENATE($B$8,"_",$B61),Data!$H$16:$BN$1015,BD$11,FALSE),"")</f>
        <v/>
      </c>
      <c r="BE61" s="1439">
        <f t="shared" si="0"/>
        <v>2048</v>
      </c>
      <c r="BF61" s="1428" t="str">
        <f>IFERROR(VLOOKUP(CONCATENATE($B$8,"_",$B61),Data!$BO$16:$ES$1015,BF$11,FALSE),"")</f>
        <v/>
      </c>
      <c r="BG61" s="1433" t="str">
        <f>IFERROR(VLOOKUP(CONCATENATE($B$8,"_",$B61),Data!$BO$16:$ES$1015,BG$11,FALSE),"")</f>
        <v/>
      </c>
      <c r="BH61" s="1435" t="str">
        <f>IFERROR(VLOOKUP(CONCATENATE($B$8,"_",$B61),Data!$BO$16:$ES$1015,BH$11,FALSE),"")</f>
        <v/>
      </c>
      <c r="BI61" s="1434" t="str">
        <f>IFERROR(VLOOKUP(CONCATENATE($B$8,"_",$B61),Data!$BO$16:$ES$1015,BI$11,FALSE),"")</f>
        <v/>
      </c>
      <c r="BJ61" s="1428" t="str">
        <f>IFERROR(VLOOKUP(CONCATENATE($B$8,"_",$B61),Data!$BO$16:$ES$1015,BJ$11,FALSE),"")</f>
        <v/>
      </c>
      <c r="BK61" s="1428" t="str">
        <f>IFERROR(VLOOKUP(CONCATENATE($B$8,"_",$B61),Data!$BO$16:$ES$1015,BK$11,FALSE),"")</f>
        <v/>
      </c>
      <c r="BL61" s="1428" t="str">
        <f>IFERROR(VLOOKUP(CONCATENATE($B$8,"_",$B61),Data!$BO$16:$ES$1015,BL$11,FALSE),"")</f>
        <v/>
      </c>
      <c r="BM61" s="1433" t="str">
        <f>IFERROR(VLOOKUP(CONCATENATE($B$8,"_",$B61),Data!$BO$16:$ES$1015,BM$11,FALSE),"")</f>
        <v/>
      </c>
      <c r="BN61" s="1433" t="str">
        <f>IFERROR(VLOOKUP(CONCATENATE($B$8,"_",$B61),Data!$BO$16:$ES$1015,BN$11,FALSE),"")</f>
        <v/>
      </c>
      <c r="BO61" s="1433" t="str">
        <f>IFERROR(VLOOKUP(CONCATENATE($B$8,"_",$B61),Data!$BO$16:$ES$1015,BO$11,FALSE),"")</f>
        <v/>
      </c>
      <c r="BP61" s="1433" t="str">
        <f>IFERROR(VLOOKUP(CONCATENATE($B$8,"_",$B61),Data!$BO$16:$ES$1015,BP$11,FALSE),"")</f>
        <v/>
      </c>
      <c r="BQ61" s="1433" t="str">
        <f>IFERROR(VLOOKUP(CONCATENATE($B$8,"_",$B61),Data!$BO$16:$ES$1015,BQ$11,FALSE),"")</f>
        <v/>
      </c>
      <c r="BR61" s="1434" t="str">
        <f>IFERROR(VLOOKUP(CONCATENATE($B$8,"_",$B61),Data!$BO$16:$ES$1015,BR$11,FALSE),"")</f>
        <v/>
      </c>
      <c r="BS61" s="1434" t="str">
        <f>IFERROR(VLOOKUP(CONCATENATE($B$8,"_",$B61),Data!$BO$16:$ES$1015,BS$11,FALSE),"")</f>
        <v/>
      </c>
      <c r="BT61" s="1434" t="str">
        <f>IFERROR(VLOOKUP(CONCATENATE($B$8,"_",$B61),Data!$BO$16:$ES$1015,BT$11,FALSE),"")</f>
        <v/>
      </c>
      <c r="BU61" s="1434" t="str">
        <f>IFERROR(VLOOKUP(CONCATENATE($B$8,"_",$B61),Data!$BO$16:$ES$1015,BU$11,FALSE),"")</f>
        <v/>
      </c>
      <c r="BV61" s="1434" t="str">
        <f>IFERROR(VLOOKUP(CONCATENATE($B$8,"_",$B61),Data!$BO$16:$ES$1015,BV$11,FALSE),"")</f>
        <v/>
      </c>
      <c r="BW61" s="1434" t="str">
        <f>IFERROR(VLOOKUP(CONCATENATE($B$8,"_",$B61),Data!$BO$16:$ES$1015,BW$11,FALSE),"")</f>
        <v/>
      </c>
      <c r="BX61" s="1434" t="str">
        <f>IFERROR(VLOOKUP(CONCATENATE($B$8,"_",$B61),Data!$BO$16:$ES$1015,BX$11,FALSE),"")</f>
        <v/>
      </c>
      <c r="BY61" s="1428" t="str">
        <f>IFERROR(VLOOKUP(CONCATENATE($B$8,"_",$B61),Data!$BO$16:$ES$1015,BY$11,FALSE),"")</f>
        <v/>
      </c>
      <c r="BZ61" s="1428" t="str">
        <f>IFERROR(VLOOKUP(CONCATENATE($B$8,"_",$B61),Data!$BO$16:$ES$1015,BZ$11,FALSE),"")</f>
        <v/>
      </c>
      <c r="CA61" s="1428" t="str">
        <f>IFERROR(VLOOKUP(CONCATENATE($B$8,"_",$B61),Data!$BO$16:$ES$1015,CA$11,FALSE),"")</f>
        <v/>
      </c>
      <c r="CB61" s="1428" t="str">
        <f>IFERROR(VLOOKUP(CONCATENATE($B$8,"_",$B61),Data!$BO$16:$ES$1015,CB$11,FALSE),"")</f>
        <v/>
      </c>
      <c r="CC61" s="1428" t="str">
        <f>IFERROR(VLOOKUP(CONCATENATE($B$8,"_",$B61),Data!$BO$16:$ES$1015,CC$11,FALSE),"")</f>
        <v/>
      </c>
      <c r="CD61" s="1428" t="str">
        <f>IFERROR(VLOOKUP(CONCATENATE($B$8,"_",$B61),Data!$BO$16:$ES$1015,CD$11,FALSE),"")</f>
        <v/>
      </c>
      <c r="CE61" s="1428" t="str">
        <f>IFERROR(VLOOKUP(CONCATENATE($B$8,"_",$B61),Data!$BO$16:$ES$1015,CE$11,FALSE),"")</f>
        <v/>
      </c>
      <c r="CF61" s="1428" t="str">
        <f>IFERROR(VLOOKUP(CONCATENATE($B$8,"_",$B61),Data!$BO$16:$ES$1015,CF$11,FALSE),"")</f>
        <v/>
      </c>
      <c r="CG61" s="1428" t="str">
        <f>IFERROR(VLOOKUP(CONCATENATE($B$8,"_",$B61),Data!$BO$16:$ES$1015,CG$11,FALSE),"")</f>
        <v/>
      </c>
      <c r="CH61" s="1428" t="str">
        <f>IFERROR(VLOOKUP(CONCATENATE($B$8,"_",$B61),Data!$BO$16:$ES$1015,CH$11,FALSE),"")</f>
        <v/>
      </c>
      <c r="CI61" s="1428" t="str">
        <f>IFERROR(VLOOKUP(CONCATENATE($B$8,"_",$B61),Data!$BO$16:$ES$1015,CI$11,FALSE),"")</f>
        <v/>
      </c>
      <c r="CJ61" s="1428" t="str">
        <f>IFERROR(VLOOKUP(CONCATENATE($B$8,"_",$B61),Data!$BO$16:$ES$1015,CJ$11,FALSE),"")</f>
        <v/>
      </c>
      <c r="CK61" s="1428" t="str">
        <f>IFERROR(VLOOKUP(CONCATENATE($B$8,"_",$B61),Data!$BO$16:$ES$1015,CK$11,FALSE),"")</f>
        <v/>
      </c>
      <c r="CL61" s="1428" t="str">
        <f>IFERROR(VLOOKUP(CONCATENATE($B$8,"_",$B61),Data!$BO$16:$ES$1015,CL$11,FALSE),"")</f>
        <v/>
      </c>
      <c r="CM61" s="1428" t="str">
        <f>IFERROR(VLOOKUP(CONCATENATE($B$8,"_",$B61),Data!$BO$16:$ES$1015,CM$11,FALSE),"")</f>
        <v/>
      </c>
      <c r="CN61" s="1428" t="str">
        <f>IFERROR(VLOOKUP(CONCATENATE($B$8,"_",$B61),Data!$BO$16:$ES$1015,CN$11,FALSE),"")</f>
        <v/>
      </c>
      <c r="CO61" s="1428" t="str">
        <f>IFERROR(VLOOKUP(CONCATENATE($B$8,"_",$B61),Data!$BO$16:$ES$1015,CO$11,FALSE),"")</f>
        <v/>
      </c>
      <c r="CP61" s="1433" t="str">
        <f>IFERROR(VLOOKUP(CONCATENATE($B$8,"_",$B61),Data!$BO$16:$ES$1015,CP$11,FALSE),"")</f>
        <v/>
      </c>
      <c r="CQ61" s="1433" t="str">
        <f>IFERROR(VLOOKUP(CONCATENATE($B$8,"_",$B61),Data!$BO$16:$ES$1015,CQ$11,FALSE),"")</f>
        <v/>
      </c>
      <c r="CR61" s="1433" t="str">
        <f>IFERROR(VLOOKUP(CONCATENATE($B$8,"_",$B61),Data!$BO$16:$ES$1015,CR$11,FALSE),"")</f>
        <v/>
      </c>
      <c r="CS61" s="1433" t="str">
        <f>IFERROR(VLOOKUP(CONCATENATE($B$8,"_",$B61),Data!$BO$16:$ES$1015,CS$11,FALSE),"")</f>
        <v/>
      </c>
      <c r="CT61" s="1433" t="str">
        <f>IFERROR(VLOOKUP(CONCATENATE($B$8,"_",$B61),Data!$BO$16:$ES$1015,CT$11,FALSE),"")</f>
        <v/>
      </c>
      <c r="CU61" s="1433" t="str">
        <f>IFERROR(VLOOKUP(CONCATENATE($B$8,"_",$B61),Data!$BO$16:$ES$1015,CU$11,FALSE),"")</f>
        <v/>
      </c>
      <c r="CV61" s="1433" t="str">
        <f>IFERROR(VLOOKUP(CONCATENATE($B$8,"_",$B61),Data!$BO$16:$ES$1015,CV$11,FALSE),"")</f>
        <v/>
      </c>
      <c r="CW61" s="1433" t="str">
        <f>IFERROR(VLOOKUP(CONCATENATE($B$8,"_",$B61),Data!$BO$16:$ES$1015,CW$11,FALSE),"")</f>
        <v/>
      </c>
      <c r="CX61" s="1433" t="str">
        <f>IFERROR(VLOOKUP(CONCATENATE($B$8,"_",$B61),Data!$BO$16:$ES$1015,CX$11,FALSE),"")</f>
        <v/>
      </c>
      <c r="CY61" s="1433" t="str">
        <f>IFERROR(VLOOKUP(CONCATENATE($B$8,"_",$B61),Data!$BO$16:$ES$1015,CY$11,FALSE),"")</f>
        <v/>
      </c>
      <c r="CZ61" s="1433" t="str">
        <f>IFERROR(VLOOKUP(CONCATENATE($B$8,"_",$B61),Data!$BO$16:$ES$1015,CZ$11,FALSE),"")</f>
        <v/>
      </c>
      <c r="DA61" s="1433" t="str">
        <f>IFERROR(VLOOKUP(CONCATENATE($B$8,"_",$B61),Data!$BO$16:$ES$1015,DA$11,FALSE),"")</f>
        <v/>
      </c>
      <c r="DB61" s="1433" t="str">
        <f>IFERROR(VLOOKUP(CONCATENATE($B$8,"_",$B61),Data!$BO$16:$ES$1015,DB$11,FALSE),"")</f>
        <v/>
      </c>
      <c r="DC61" s="1433" t="str">
        <f>IFERROR(VLOOKUP(CONCATENATE($B$8,"_",$B61),Data!$BO$16:$ES$1015,DC$11,FALSE),"")</f>
        <v/>
      </c>
      <c r="DD61" s="1433" t="str">
        <f>IFERROR(VLOOKUP(CONCATENATE($B$8,"_",$B61),Data!$BO$16:$ES$1015,DD$11,FALSE),"")</f>
        <v/>
      </c>
      <c r="DE61" s="1433" t="str">
        <f>IFERROR(VLOOKUP(CONCATENATE($B$8,"_",$B61),Data!$BO$16:$ES$1015,DE$11,FALSE),"")</f>
        <v/>
      </c>
      <c r="DF61" s="1433" t="str">
        <f>IFERROR(VLOOKUP(CONCATENATE($B$8,"_",$B61),Data!$BO$16:$ES$1015,DF$11,FALSE),"")</f>
        <v/>
      </c>
      <c r="DG61" s="1433" t="str">
        <f>IFERROR(VLOOKUP(CONCATENATE($B$8,"_",$B61),Data!$BO$16:$ES$1015,DG$11,FALSE),"")</f>
        <v/>
      </c>
      <c r="DH61" s="1433" t="str">
        <f>IFERROR(VLOOKUP(CONCATENATE($B$8,"_",$B61),Data!$BO$16:$ES$1015,DH$11,FALSE),"")</f>
        <v/>
      </c>
      <c r="DI61" s="1433" t="str">
        <f>IFERROR(VLOOKUP(CONCATENATE($B$8,"_",$B61),Data!$BO$16:$ES$1015,DI$11,FALSE),"")</f>
        <v/>
      </c>
      <c r="DJ61" s="1433" t="str">
        <f>IFERROR(VLOOKUP(CONCATENATE($B$8,"_",$B61),Data!$BO$16:$ES$1015,DJ$11,FALSE),"")</f>
        <v/>
      </c>
      <c r="DK61" s="1433" t="str">
        <f>IFERROR(VLOOKUP(CONCATENATE($B$8,"_",$B61),Data!$BO$16:$ES$1015,DK$11,FALSE),"")</f>
        <v/>
      </c>
      <c r="DL61" s="1435" t="str">
        <f>IFERROR(VLOOKUP(CONCATENATE($B$8,"_",$B61),Data!$BO$16:$ES$1015,DL$11,FALSE),"")</f>
        <v/>
      </c>
      <c r="DM61" s="1434" t="str">
        <f>IFERROR(VLOOKUP(CONCATENATE($B$8,"_",$B61),Data!$BO$16:$ES$1015,DM$11,FALSE),"")</f>
        <v/>
      </c>
      <c r="DN61" s="1434" t="str">
        <f>IFERROR(VLOOKUP(CONCATENATE($B$8,"_",$B61),Data!$BO$16:$ES$1015,DN$11,FALSE),"")</f>
        <v/>
      </c>
      <c r="DO61" s="1434" t="str">
        <f>IFERROR(VLOOKUP(CONCATENATE($B$8,"_",$B61),Data!$BO$16:$ES$1015,DO$11,FALSE),"")</f>
        <v/>
      </c>
      <c r="DP61" s="1434" t="str">
        <f>IFERROR(VLOOKUP(CONCATENATE($B$8,"_",$B61),Data!$BO$16:$ES$1015,DP$11,FALSE),"")</f>
        <v/>
      </c>
      <c r="DQ61" s="1434" t="str">
        <f>IFERROR(VLOOKUP(CONCATENATE($B$8,"_",$B61),Data!$BO$16:$ES$1015,DQ$11,FALSE),"")</f>
        <v/>
      </c>
      <c r="DR61" s="1434" t="str">
        <f>IFERROR(VLOOKUP(CONCATENATE($B$8,"_",$B61),Data!$BO$16:$ES$1015,DR$11,FALSE),"")</f>
        <v/>
      </c>
      <c r="DS61" s="1434" t="str">
        <f>IFERROR(VLOOKUP(CONCATENATE($B$8,"_",$B61),Data!$BO$16:$ES$1015,DS$11,FALSE),"")</f>
        <v/>
      </c>
      <c r="DT61" s="1434" t="str">
        <f>IFERROR(VLOOKUP(CONCATENATE($B$8,"_",$B61),Data!$BO$16:$ES$1015,DT$11,FALSE),"")</f>
        <v/>
      </c>
      <c r="DU61" s="1434" t="str">
        <f>IFERROR(VLOOKUP(CONCATENATE($B$8,"_",$B61),Data!$BO$16:$ES$1015,DU$11,FALSE),"")</f>
        <v/>
      </c>
      <c r="DV61" s="1434" t="str">
        <f>IFERROR(VLOOKUP(CONCATENATE($B$8,"_",$B61),Data!$BO$16:$ES$1015,DV$11,FALSE),"")</f>
        <v/>
      </c>
      <c r="DW61" s="1434" t="str">
        <f>IFERROR(VLOOKUP(CONCATENATE($B$8,"_",$B61),Data!$BO$16:$ES$1015,DW$11,FALSE),"")</f>
        <v/>
      </c>
      <c r="DX61" s="1434" t="str">
        <f>IFERROR(VLOOKUP(CONCATENATE($B$8,"_",$B61),Data!$BO$16:$ES$1015,DX$11,FALSE),"")</f>
        <v/>
      </c>
      <c r="DY61" s="1434" t="str">
        <f>IFERROR(VLOOKUP(CONCATENATE($B$8,"_",$B61),Data!$BO$16:$ES$1015,DY$11,FALSE),"")</f>
        <v/>
      </c>
      <c r="DZ61" s="1434" t="str">
        <f>IFERROR(VLOOKUP(CONCATENATE($B$8,"_",$B61),Data!$BO$16:$ES$1015,DZ$11,FALSE),"")</f>
        <v/>
      </c>
      <c r="EA61" s="1434" t="str">
        <f>IFERROR(VLOOKUP(CONCATENATE($B$8,"_",$B61),Data!$BO$16:$ES$1015,EA$11,FALSE),"")</f>
        <v/>
      </c>
      <c r="EB61" s="1434" t="str">
        <f>IFERROR(VLOOKUP(CONCATENATE($B$8,"_",$B61),Data!$BO$16:$ES$1015,EB$11,FALSE),"")</f>
        <v/>
      </c>
      <c r="EC61" s="1434" t="str">
        <f>IFERROR(VLOOKUP(CONCATENATE($B$8,"_",$B61),Data!$BO$16:$ES$1015,EC$11,FALSE),"")</f>
        <v/>
      </c>
      <c r="ED61" s="1434" t="str">
        <f>IFERROR(VLOOKUP(CONCATENATE($B$8,"_",$B61),Data!$BO$16:$ES$1015,ED$11,FALSE),"")</f>
        <v/>
      </c>
      <c r="EE61" s="1434" t="str">
        <f>IFERROR(VLOOKUP(CONCATENATE($B$8,"_",$B61),Data!$BO$16:$ES$1015,EE$11,FALSE),"")</f>
        <v/>
      </c>
      <c r="EF61" s="1434" t="str">
        <f>IFERROR(VLOOKUP(CONCATENATE($B$8,"_",$B61),Data!$BO$16:$ES$1015,EF$11,FALSE),"")</f>
        <v/>
      </c>
      <c r="EG61" s="1434" t="str">
        <f>IFERROR(VLOOKUP(CONCATENATE($B$8,"_",$B61),Data!$BO$16:$ES$1015,EG$11,FALSE),"")</f>
        <v/>
      </c>
      <c r="EH61" s="1434" t="str">
        <f>IFERROR(VLOOKUP(CONCATENATE($B$8,"_",$B61),Data!$BO$16:$ES$1015,EH$11,FALSE),"")</f>
        <v/>
      </c>
      <c r="EI61" s="1434" t="str">
        <f>IFERROR(VLOOKUP(CONCATENATE($B$8,"_",$B61),Data!$BO$16:$ES$1015,EI$11,FALSE),"")</f>
        <v/>
      </c>
      <c r="EK61" s="1437"/>
    </row>
    <row r="62" spans="1:141" s="1436" customFormat="1" ht="15" customHeight="1">
      <c r="A62" s="1438">
        <v>49</v>
      </c>
      <c r="B62" s="1738">
        <f>IF($B$13+A62&lt;=Progress!$D$18,$B$13+A62,"")</f>
        <v>2049</v>
      </c>
      <c r="C62" s="1737" t="str">
        <f>IFERROR(VLOOKUP(CONCATENATE($B$8,"_",$B62),Data!$H$16:$BN$1015,C$11,FALSE),"")</f>
        <v/>
      </c>
      <c r="D62" s="1428" t="str">
        <f>IFERROR(VLOOKUP(CONCATENATE($B$8,"_",$B62),Data!$H$16:$BN$1015,D$11,FALSE),"")</f>
        <v/>
      </c>
      <c r="E62" s="1429" t="str">
        <f>IFERROR(VLOOKUP(CONCATENATE($B$8,"_",$B62),Data!$H$16:$BN$1015,E$11,FALSE),"")</f>
        <v/>
      </c>
      <c r="F62" s="1428" t="str">
        <f>IFERROR(VLOOKUP(CONCATENATE($B$8,"_",$B62),Data!$H$16:$BN$1015,F$11,FALSE),"")</f>
        <v/>
      </c>
      <c r="G62" s="1428" t="str">
        <f>IFERROR(VLOOKUP(CONCATENATE($B$8,"_",$B62),Data!$H$16:$BN$1015,G$11,FALSE),"")</f>
        <v/>
      </c>
      <c r="H62" s="1429" t="str">
        <f>IFERROR(VLOOKUP(CONCATENATE($B$8,"_",$B62),Data!$H$16:$BN$1015,H$11,FALSE),"")</f>
        <v/>
      </c>
      <c r="I62" s="1428" t="str">
        <f>IFERROR(VLOOKUP(CONCATENATE($B$8,"_",$B62),Data!$H$16:$BN$1015,I$11,FALSE),"")</f>
        <v/>
      </c>
      <c r="J62" s="1428" t="str">
        <f>IFERROR(VLOOKUP(CONCATENATE($B$8,"_",$B62),Data!$H$16:$BN$1015,J$11,FALSE),"")</f>
        <v/>
      </c>
      <c r="K62" s="1429" t="str">
        <f>IFERROR(VLOOKUP(CONCATENATE($B$8,"_",$B62),Data!$H$16:$BN$1015,K$11,FALSE),"")</f>
        <v/>
      </c>
      <c r="L62" s="1428" t="str">
        <f>IFERROR(VLOOKUP(CONCATENATE($B$8,"_",$B62),Data!$H$16:$BN$1015,L$11,FALSE),"")</f>
        <v/>
      </c>
      <c r="M62" s="1428" t="str">
        <f>IFERROR(VLOOKUP(CONCATENATE($B$8,"_",$B62),Data!$H$16:$BN$1015,M$11,FALSE),"")</f>
        <v/>
      </c>
      <c r="N62" s="1429" t="str">
        <f>IFERROR(VLOOKUP(CONCATENATE($B$8,"_",$B62),Data!$H$16:$BN$1015,N$11,FALSE),"")</f>
        <v/>
      </c>
      <c r="O62" s="1430" t="str">
        <f>IFERROR(VLOOKUP(CONCATENATE($B$8,"_",$B62),Data!$H$16:$BN$1015,O$11,FALSE),"")</f>
        <v/>
      </c>
      <c r="P62" s="1428" t="str">
        <f>IFERROR(VLOOKUP(CONCATENATE($B$8,"_",$B62),Data!$H$16:$BN$1015,P$11,FALSE),"")</f>
        <v/>
      </c>
      <c r="Q62" s="1428" t="str">
        <f>IFERROR(VLOOKUP(CONCATENATE($B$8,"_",$B62),Data!$H$16:$BN$1015,Q$11,FALSE),"")</f>
        <v/>
      </c>
      <c r="R62" s="1429" t="str">
        <f>IFERROR(VLOOKUP(CONCATENATE($B$8,"_",$B62),Data!$H$16:$BN$1015,R$11,FALSE),"")</f>
        <v/>
      </c>
      <c r="S62" s="1428" t="str">
        <f>IFERROR(VLOOKUP(CONCATENATE($B$8,"_",$B62),Data!$H$16:$BN$1015,S$11,FALSE),"")</f>
        <v/>
      </c>
      <c r="T62" s="1428" t="str">
        <f>IFERROR(VLOOKUP(CONCATENATE($B$8,"_",$B62),Data!$H$16:$BN$1015,T$11,FALSE),"")</f>
        <v/>
      </c>
      <c r="U62" s="1429" t="str">
        <f>IFERROR(VLOOKUP(CONCATENATE($B$8,"_",$B62),Data!$H$16:$BN$1015,U$11,FALSE),"")</f>
        <v/>
      </c>
      <c r="V62" s="1428" t="str">
        <f>IFERROR(VLOOKUP(CONCATENATE($B$8,"_",$B62),Data!$H$16:$BN$1015,V$11,FALSE),"")</f>
        <v/>
      </c>
      <c r="W62" s="1428" t="str">
        <f>IFERROR(VLOOKUP(CONCATENATE($B$8,"_",$B62),Data!$H$16:$BN$1015,W$11,FALSE),"")</f>
        <v/>
      </c>
      <c r="X62" s="1428" t="str">
        <f>IFERROR(VLOOKUP(CONCATENATE($B$8,"_",$B62),Data!$H$16:$BN$1015,X$11,FALSE),"")</f>
        <v/>
      </c>
      <c r="Y62" s="1428" t="str">
        <f>IFERROR(VLOOKUP(CONCATENATE($B$8,"_",$B62),Data!$H$16:$BN$1015,Y$11,FALSE),"")</f>
        <v/>
      </c>
      <c r="Z62" s="1429" t="str">
        <f>IFERROR(VLOOKUP(CONCATENATE($B$8,"_",$B62),Data!$H$16:$BN$1015,Z$11,FALSE),"")</f>
        <v/>
      </c>
      <c r="AA62" s="1428" t="str">
        <f>IFERROR(VLOOKUP(CONCATENATE($B$8,"_",$B62),Data!$H$16:$BN$1015,AA$11,FALSE),"")</f>
        <v/>
      </c>
      <c r="AB62" s="1428" t="str">
        <f>IFERROR(VLOOKUP(CONCATENATE($B$8,"_",$B62),Data!$H$16:$BN$1015,AB$11,FALSE),"")</f>
        <v/>
      </c>
      <c r="AC62" s="1429" t="str">
        <f>IFERROR(VLOOKUP(CONCATENATE($B$8,"_",$B62),Data!$H$16:$BN$1015,AC$11,FALSE),"")</f>
        <v/>
      </c>
      <c r="AD62" s="1428" t="str">
        <f>IFERROR(VLOOKUP(CONCATENATE($B$8,"_",$B62),Data!$H$16:$BN$1015,AD$11,FALSE),"")</f>
        <v/>
      </c>
      <c r="AE62" s="1428" t="str">
        <f>IFERROR(VLOOKUP(CONCATENATE($B$8,"_",$B62),Data!$H$16:$BN$1015,AE$11,FALSE),"")</f>
        <v/>
      </c>
      <c r="AF62" s="1429" t="str">
        <f>IFERROR(VLOOKUP(CONCATENATE($B$8,"_",$B62),Data!$H$16:$BN$1015,AF$11,FALSE),"")</f>
        <v/>
      </c>
      <c r="AG62" s="1428" t="str">
        <f>IFERROR(VLOOKUP(CONCATENATE($B$8,"_",$B62),Data!$H$16:$BN$1015,AG$11,FALSE),"")</f>
        <v/>
      </c>
      <c r="AH62" s="1428" t="str">
        <f>IFERROR(VLOOKUP(CONCATENATE($B$8,"_",$B62),Data!$H$16:$BN$1015,AH$11,FALSE),"")</f>
        <v/>
      </c>
      <c r="AI62" s="1429" t="str">
        <f>IFERROR(VLOOKUP(CONCATENATE($B$8,"_",$B62),Data!$H$16:$BN$1015,AI$11,FALSE),"")</f>
        <v/>
      </c>
      <c r="AJ62" s="1428" t="str">
        <f>IFERROR(VLOOKUP(CONCATENATE($B$8,"_",$B62),Data!$H$16:$BN$1015,AJ$11,FALSE),"")</f>
        <v/>
      </c>
      <c r="AK62" s="1428" t="str">
        <f>IFERROR(VLOOKUP(CONCATENATE($B$8,"_",$B62),Data!$H$16:$BN$1015,AK$11,FALSE),"")</f>
        <v/>
      </c>
      <c r="AL62" s="1429" t="str">
        <f>IFERROR(VLOOKUP(CONCATENATE($B$8,"_",$B62),Data!$H$16:$BN$1015,AL$11,FALSE),"")</f>
        <v/>
      </c>
      <c r="AM62" s="1428" t="str">
        <f>IFERROR(VLOOKUP(CONCATENATE($B$8,"_",$B62),Data!$H$16:$BN$1015,AM$11,FALSE),"")</f>
        <v/>
      </c>
      <c r="AN62" s="1428" t="str">
        <f>IFERROR(VLOOKUP(CONCATENATE($B$8,"_",$B62),Data!$H$16:$BN$1015,AN$11,FALSE),"")</f>
        <v/>
      </c>
      <c r="AO62" s="1430" t="str">
        <f>IFERROR(VLOOKUP(CONCATENATE($B$8,"_",$B62),Data!$H$16:$BN$1015,AO$11,FALSE),"")</f>
        <v/>
      </c>
      <c r="AP62" s="1428" t="str">
        <f>IFERROR(VLOOKUP(CONCATENATE($B$8,"_",$B62),Data!$H$16:$BN$1015,AP$11,FALSE),"")</f>
        <v/>
      </c>
      <c r="AQ62" s="1428" t="str">
        <f>IFERROR(VLOOKUP(CONCATENATE($B$8,"_",$B62),Data!$H$16:$BN$1015,AQ$11,FALSE),"")</f>
        <v/>
      </c>
      <c r="AR62" s="1430" t="str">
        <f>IFERROR(VLOOKUP(CONCATENATE($B$8,"_",$B62),Data!$H$16:$BN$1015,AR$11,FALSE),"")</f>
        <v/>
      </c>
      <c r="AS62" s="1428" t="str">
        <f>IFERROR(VLOOKUP(CONCATENATE($B$8,"_",$B62),Data!$H$16:$BN$1015,AS$11,FALSE),"")</f>
        <v/>
      </c>
      <c r="AT62" s="1428" t="str">
        <f>IFERROR(VLOOKUP(CONCATENATE($B$8,"_",$B62),Data!$H$16:$BN$1015,AT$11,FALSE),"")</f>
        <v/>
      </c>
      <c r="AU62" s="1430" t="str">
        <f>IFERROR(VLOOKUP(CONCATENATE($B$8,"_",$B62),Data!$H$16:$BN$1015,AU$11,FALSE),"")</f>
        <v/>
      </c>
      <c r="AV62" s="1428" t="str">
        <f>IFERROR(VLOOKUP(CONCATENATE($B$8,"_",$B62),Data!$H$16:$BN$1015,AV$11,FALSE),"")</f>
        <v/>
      </c>
      <c r="AW62" s="1428" t="str">
        <f>IFERROR(VLOOKUP(CONCATENATE($B$8,"_",$B62),Data!$H$16:$BN$1015,AW$11,FALSE),"")</f>
        <v/>
      </c>
      <c r="AX62" s="1430" t="str">
        <f>IFERROR(VLOOKUP(CONCATENATE($B$8,"_",$B62),Data!$H$16:$BN$1015,AX$11,FALSE),"")</f>
        <v/>
      </c>
      <c r="AY62" s="1429" t="str">
        <f>IFERROR(VLOOKUP(CONCATENATE($B$8,"_",$B62),Data!$H$16:$BN$1015,AY$11,FALSE),"")</f>
        <v/>
      </c>
      <c r="AZ62" s="1429" t="str">
        <f>IFERROR(VLOOKUP(CONCATENATE($B$8,"_",$B62),Data!$H$16:$BN$1015,AZ$11,FALSE),"")</f>
        <v/>
      </c>
      <c r="BA62" s="1429" t="str">
        <f>IFERROR(VLOOKUP(CONCATENATE($B$8,"_",$B62),Data!$H$16:$BN$1015,BA$11,FALSE),"")</f>
        <v/>
      </c>
      <c r="BB62" s="1429" t="str">
        <f>IFERROR(VLOOKUP(CONCATENATE($B$8,"_",$B62),Data!$H$16:$BN$1015,BB$11,FALSE),"")</f>
        <v/>
      </c>
      <c r="BC62" s="1429" t="str">
        <f>IFERROR(VLOOKUP(CONCATENATE($B$8,"_",$B62),Data!$H$16:$BN$1015,BC$11,FALSE),"")</f>
        <v/>
      </c>
      <c r="BD62" s="1431" t="str">
        <f>IFERROR(VLOOKUP(CONCATENATE($B$8,"_",$B62),Data!$H$16:$BN$1015,BD$11,FALSE),"")</f>
        <v/>
      </c>
      <c r="BE62" s="1439">
        <f t="shared" si="0"/>
        <v>2049</v>
      </c>
      <c r="BF62" s="1428" t="str">
        <f>IFERROR(VLOOKUP(CONCATENATE($B$8,"_",$B62),Data!$BO$16:$ES$1015,BF$11,FALSE),"")</f>
        <v/>
      </c>
      <c r="BG62" s="1433" t="str">
        <f>IFERROR(VLOOKUP(CONCATENATE($B$8,"_",$B62),Data!$BO$16:$ES$1015,BG$11,FALSE),"")</f>
        <v/>
      </c>
      <c r="BH62" s="1435" t="str">
        <f>IFERROR(VLOOKUP(CONCATENATE($B$8,"_",$B62),Data!$BO$16:$ES$1015,BH$11,FALSE),"")</f>
        <v/>
      </c>
      <c r="BI62" s="1434" t="str">
        <f>IFERROR(VLOOKUP(CONCATENATE($B$8,"_",$B62),Data!$BO$16:$ES$1015,BI$11,FALSE),"")</f>
        <v/>
      </c>
      <c r="BJ62" s="1428" t="str">
        <f>IFERROR(VLOOKUP(CONCATENATE($B$8,"_",$B62),Data!$BO$16:$ES$1015,BJ$11,FALSE),"")</f>
        <v/>
      </c>
      <c r="BK62" s="1428" t="str">
        <f>IFERROR(VLOOKUP(CONCATENATE($B$8,"_",$B62),Data!$BO$16:$ES$1015,BK$11,FALSE),"")</f>
        <v/>
      </c>
      <c r="BL62" s="1428" t="str">
        <f>IFERROR(VLOOKUP(CONCATENATE($B$8,"_",$B62),Data!$BO$16:$ES$1015,BL$11,FALSE),"")</f>
        <v/>
      </c>
      <c r="BM62" s="1433" t="str">
        <f>IFERROR(VLOOKUP(CONCATENATE($B$8,"_",$B62),Data!$BO$16:$ES$1015,BM$11,FALSE),"")</f>
        <v/>
      </c>
      <c r="BN62" s="1433" t="str">
        <f>IFERROR(VLOOKUP(CONCATENATE($B$8,"_",$B62),Data!$BO$16:$ES$1015,BN$11,FALSE),"")</f>
        <v/>
      </c>
      <c r="BO62" s="1433" t="str">
        <f>IFERROR(VLOOKUP(CONCATENATE($B$8,"_",$B62),Data!$BO$16:$ES$1015,BO$11,FALSE),"")</f>
        <v/>
      </c>
      <c r="BP62" s="1433" t="str">
        <f>IFERROR(VLOOKUP(CONCATENATE($B$8,"_",$B62),Data!$BO$16:$ES$1015,BP$11,FALSE),"")</f>
        <v/>
      </c>
      <c r="BQ62" s="1433" t="str">
        <f>IFERROR(VLOOKUP(CONCATENATE($B$8,"_",$B62),Data!$BO$16:$ES$1015,BQ$11,FALSE),"")</f>
        <v/>
      </c>
      <c r="BR62" s="1434" t="str">
        <f>IFERROR(VLOOKUP(CONCATENATE($B$8,"_",$B62),Data!$BO$16:$ES$1015,BR$11,FALSE),"")</f>
        <v/>
      </c>
      <c r="BS62" s="1434" t="str">
        <f>IFERROR(VLOOKUP(CONCATENATE($B$8,"_",$B62),Data!$BO$16:$ES$1015,BS$11,FALSE),"")</f>
        <v/>
      </c>
      <c r="BT62" s="1434" t="str">
        <f>IFERROR(VLOOKUP(CONCATENATE($B$8,"_",$B62),Data!$BO$16:$ES$1015,BT$11,FALSE),"")</f>
        <v/>
      </c>
      <c r="BU62" s="1434" t="str">
        <f>IFERROR(VLOOKUP(CONCATENATE($B$8,"_",$B62),Data!$BO$16:$ES$1015,BU$11,FALSE),"")</f>
        <v/>
      </c>
      <c r="BV62" s="1434" t="str">
        <f>IFERROR(VLOOKUP(CONCATENATE($B$8,"_",$B62),Data!$BO$16:$ES$1015,BV$11,FALSE),"")</f>
        <v/>
      </c>
      <c r="BW62" s="1434" t="str">
        <f>IFERROR(VLOOKUP(CONCATENATE($B$8,"_",$B62),Data!$BO$16:$ES$1015,BW$11,FALSE),"")</f>
        <v/>
      </c>
      <c r="BX62" s="1434" t="str">
        <f>IFERROR(VLOOKUP(CONCATENATE($B$8,"_",$B62),Data!$BO$16:$ES$1015,BX$11,FALSE),"")</f>
        <v/>
      </c>
      <c r="BY62" s="1428" t="str">
        <f>IFERROR(VLOOKUP(CONCATENATE($B$8,"_",$B62),Data!$BO$16:$ES$1015,BY$11,FALSE),"")</f>
        <v/>
      </c>
      <c r="BZ62" s="1428" t="str">
        <f>IFERROR(VLOOKUP(CONCATENATE($B$8,"_",$B62),Data!$BO$16:$ES$1015,BZ$11,FALSE),"")</f>
        <v/>
      </c>
      <c r="CA62" s="1428" t="str">
        <f>IFERROR(VLOOKUP(CONCATENATE($B$8,"_",$B62),Data!$BO$16:$ES$1015,CA$11,FALSE),"")</f>
        <v/>
      </c>
      <c r="CB62" s="1428" t="str">
        <f>IFERROR(VLOOKUP(CONCATENATE($B$8,"_",$B62),Data!$BO$16:$ES$1015,CB$11,FALSE),"")</f>
        <v/>
      </c>
      <c r="CC62" s="1428" t="str">
        <f>IFERROR(VLOOKUP(CONCATENATE($B$8,"_",$B62),Data!$BO$16:$ES$1015,CC$11,FALSE),"")</f>
        <v/>
      </c>
      <c r="CD62" s="1428" t="str">
        <f>IFERROR(VLOOKUP(CONCATENATE($B$8,"_",$B62),Data!$BO$16:$ES$1015,CD$11,FALSE),"")</f>
        <v/>
      </c>
      <c r="CE62" s="1428" t="str">
        <f>IFERROR(VLOOKUP(CONCATENATE($B$8,"_",$B62),Data!$BO$16:$ES$1015,CE$11,FALSE),"")</f>
        <v/>
      </c>
      <c r="CF62" s="1428" t="str">
        <f>IFERROR(VLOOKUP(CONCATENATE($B$8,"_",$B62),Data!$BO$16:$ES$1015,CF$11,FALSE),"")</f>
        <v/>
      </c>
      <c r="CG62" s="1428" t="str">
        <f>IFERROR(VLOOKUP(CONCATENATE($B$8,"_",$B62),Data!$BO$16:$ES$1015,CG$11,FALSE),"")</f>
        <v/>
      </c>
      <c r="CH62" s="1428" t="str">
        <f>IFERROR(VLOOKUP(CONCATENATE($B$8,"_",$B62),Data!$BO$16:$ES$1015,CH$11,FALSE),"")</f>
        <v/>
      </c>
      <c r="CI62" s="1428" t="str">
        <f>IFERROR(VLOOKUP(CONCATENATE($B$8,"_",$B62),Data!$BO$16:$ES$1015,CI$11,FALSE),"")</f>
        <v/>
      </c>
      <c r="CJ62" s="1428" t="str">
        <f>IFERROR(VLOOKUP(CONCATENATE($B$8,"_",$B62),Data!$BO$16:$ES$1015,CJ$11,FALSE),"")</f>
        <v/>
      </c>
      <c r="CK62" s="1428" t="str">
        <f>IFERROR(VLOOKUP(CONCATENATE($B$8,"_",$B62),Data!$BO$16:$ES$1015,CK$11,FALSE),"")</f>
        <v/>
      </c>
      <c r="CL62" s="1428" t="str">
        <f>IFERROR(VLOOKUP(CONCATENATE($B$8,"_",$B62),Data!$BO$16:$ES$1015,CL$11,FALSE),"")</f>
        <v/>
      </c>
      <c r="CM62" s="1428" t="str">
        <f>IFERROR(VLOOKUP(CONCATENATE($B$8,"_",$B62),Data!$BO$16:$ES$1015,CM$11,FALSE),"")</f>
        <v/>
      </c>
      <c r="CN62" s="1428" t="str">
        <f>IFERROR(VLOOKUP(CONCATENATE($B$8,"_",$B62),Data!$BO$16:$ES$1015,CN$11,FALSE),"")</f>
        <v/>
      </c>
      <c r="CO62" s="1428" t="str">
        <f>IFERROR(VLOOKUP(CONCATENATE($B$8,"_",$B62),Data!$BO$16:$ES$1015,CO$11,FALSE),"")</f>
        <v/>
      </c>
      <c r="CP62" s="1433" t="str">
        <f>IFERROR(VLOOKUP(CONCATENATE($B$8,"_",$B62),Data!$BO$16:$ES$1015,CP$11,FALSE),"")</f>
        <v/>
      </c>
      <c r="CQ62" s="1433" t="str">
        <f>IFERROR(VLOOKUP(CONCATENATE($B$8,"_",$B62),Data!$BO$16:$ES$1015,CQ$11,FALSE),"")</f>
        <v/>
      </c>
      <c r="CR62" s="1433" t="str">
        <f>IFERROR(VLOOKUP(CONCATENATE($B$8,"_",$B62),Data!$BO$16:$ES$1015,CR$11,FALSE),"")</f>
        <v/>
      </c>
      <c r="CS62" s="1433" t="str">
        <f>IFERROR(VLOOKUP(CONCATENATE($B$8,"_",$B62),Data!$BO$16:$ES$1015,CS$11,FALSE),"")</f>
        <v/>
      </c>
      <c r="CT62" s="1433" t="str">
        <f>IFERROR(VLOOKUP(CONCATENATE($B$8,"_",$B62),Data!$BO$16:$ES$1015,CT$11,FALSE),"")</f>
        <v/>
      </c>
      <c r="CU62" s="1433" t="str">
        <f>IFERROR(VLOOKUP(CONCATENATE($B$8,"_",$B62),Data!$BO$16:$ES$1015,CU$11,FALSE),"")</f>
        <v/>
      </c>
      <c r="CV62" s="1433" t="str">
        <f>IFERROR(VLOOKUP(CONCATENATE($B$8,"_",$B62),Data!$BO$16:$ES$1015,CV$11,FALSE),"")</f>
        <v/>
      </c>
      <c r="CW62" s="1433" t="str">
        <f>IFERROR(VLOOKUP(CONCATENATE($B$8,"_",$B62),Data!$BO$16:$ES$1015,CW$11,FALSE),"")</f>
        <v/>
      </c>
      <c r="CX62" s="1433" t="str">
        <f>IFERROR(VLOOKUP(CONCATENATE($B$8,"_",$B62),Data!$BO$16:$ES$1015,CX$11,FALSE),"")</f>
        <v/>
      </c>
      <c r="CY62" s="1433" t="str">
        <f>IFERROR(VLOOKUP(CONCATENATE($B$8,"_",$B62),Data!$BO$16:$ES$1015,CY$11,FALSE),"")</f>
        <v/>
      </c>
      <c r="CZ62" s="1433" t="str">
        <f>IFERROR(VLOOKUP(CONCATENATE($B$8,"_",$B62),Data!$BO$16:$ES$1015,CZ$11,FALSE),"")</f>
        <v/>
      </c>
      <c r="DA62" s="1433" t="str">
        <f>IFERROR(VLOOKUP(CONCATENATE($B$8,"_",$B62),Data!$BO$16:$ES$1015,DA$11,FALSE),"")</f>
        <v/>
      </c>
      <c r="DB62" s="1433" t="str">
        <f>IFERROR(VLOOKUP(CONCATENATE($B$8,"_",$B62),Data!$BO$16:$ES$1015,DB$11,FALSE),"")</f>
        <v/>
      </c>
      <c r="DC62" s="1433" t="str">
        <f>IFERROR(VLOOKUP(CONCATENATE($B$8,"_",$B62),Data!$BO$16:$ES$1015,DC$11,FALSE),"")</f>
        <v/>
      </c>
      <c r="DD62" s="1433" t="str">
        <f>IFERROR(VLOOKUP(CONCATENATE($B$8,"_",$B62),Data!$BO$16:$ES$1015,DD$11,FALSE),"")</f>
        <v/>
      </c>
      <c r="DE62" s="1433" t="str">
        <f>IFERROR(VLOOKUP(CONCATENATE($B$8,"_",$B62),Data!$BO$16:$ES$1015,DE$11,FALSE),"")</f>
        <v/>
      </c>
      <c r="DF62" s="1433" t="str">
        <f>IFERROR(VLOOKUP(CONCATENATE($B$8,"_",$B62),Data!$BO$16:$ES$1015,DF$11,FALSE),"")</f>
        <v/>
      </c>
      <c r="DG62" s="1433" t="str">
        <f>IFERROR(VLOOKUP(CONCATENATE($B$8,"_",$B62),Data!$BO$16:$ES$1015,DG$11,FALSE),"")</f>
        <v/>
      </c>
      <c r="DH62" s="1433" t="str">
        <f>IFERROR(VLOOKUP(CONCATENATE($B$8,"_",$B62),Data!$BO$16:$ES$1015,DH$11,FALSE),"")</f>
        <v/>
      </c>
      <c r="DI62" s="1433" t="str">
        <f>IFERROR(VLOOKUP(CONCATENATE($B$8,"_",$B62),Data!$BO$16:$ES$1015,DI$11,FALSE),"")</f>
        <v/>
      </c>
      <c r="DJ62" s="1433" t="str">
        <f>IFERROR(VLOOKUP(CONCATENATE($B$8,"_",$B62),Data!$BO$16:$ES$1015,DJ$11,FALSE),"")</f>
        <v/>
      </c>
      <c r="DK62" s="1433" t="str">
        <f>IFERROR(VLOOKUP(CONCATENATE($B$8,"_",$B62),Data!$BO$16:$ES$1015,DK$11,FALSE),"")</f>
        <v/>
      </c>
      <c r="DL62" s="1435" t="str">
        <f>IFERROR(VLOOKUP(CONCATENATE($B$8,"_",$B62),Data!$BO$16:$ES$1015,DL$11,FALSE),"")</f>
        <v/>
      </c>
      <c r="DM62" s="1434" t="str">
        <f>IFERROR(VLOOKUP(CONCATENATE($B$8,"_",$B62),Data!$BO$16:$ES$1015,DM$11,FALSE),"")</f>
        <v/>
      </c>
      <c r="DN62" s="1434" t="str">
        <f>IFERROR(VLOOKUP(CONCATENATE($B$8,"_",$B62),Data!$BO$16:$ES$1015,DN$11,FALSE),"")</f>
        <v/>
      </c>
      <c r="DO62" s="1434" t="str">
        <f>IFERROR(VLOOKUP(CONCATENATE($B$8,"_",$B62),Data!$BO$16:$ES$1015,DO$11,FALSE),"")</f>
        <v/>
      </c>
      <c r="DP62" s="1434" t="str">
        <f>IFERROR(VLOOKUP(CONCATENATE($B$8,"_",$B62),Data!$BO$16:$ES$1015,DP$11,FALSE),"")</f>
        <v/>
      </c>
      <c r="DQ62" s="1434" t="str">
        <f>IFERROR(VLOOKUP(CONCATENATE($B$8,"_",$B62),Data!$BO$16:$ES$1015,DQ$11,FALSE),"")</f>
        <v/>
      </c>
      <c r="DR62" s="1434" t="str">
        <f>IFERROR(VLOOKUP(CONCATENATE($B$8,"_",$B62),Data!$BO$16:$ES$1015,DR$11,FALSE),"")</f>
        <v/>
      </c>
      <c r="DS62" s="1434" t="str">
        <f>IFERROR(VLOOKUP(CONCATENATE($B$8,"_",$B62),Data!$BO$16:$ES$1015,DS$11,FALSE),"")</f>
        <v/>
      </c>
      <c r="DT62" s="1434" t="str">
        <f>IFERROR(VLOOKUP(CONCATENATE($B$8,"_",$B62),Data!$BO$16:$ES$1015,DT$11,FALSE),"")</f>
        <v/>
      </c>
      <c r="DU62" s="1434" t="str">
        <f>IFERROR(VLOOKUP(CONCATENATE($B$8,"_",$B62),Data!$BO$16:$ES$1015,DU$11,FALSE),"")</f>
        <v/>
      </c>
      <c r="DV62" s="1434" t="str">
        <f>IFERROR(VLOOKUP(CONCATENATE($B$8,"_",$B62),Data!$BO$16:$ES$1015,DV$11,FALSE),"")</f>
        <v/>
      </c>
      <c r="DW62" s="1434" t="str">
        <f>IFERROR(VLOOKUP(CONCATENATE($B$8,"_",$B62),Data!$BO$16:$ES$1015,DW$11,FALSE),"")</f>
        <v/>
      </c>
      <c r="DX62" s="1434" t="str">
        <f>IFERROR(VLOOKUP(CONCATENATE($B$8,"_",$B62),Data!$BO$16:$ES$1015,DX$11,FALSE),"")</f>
        <v/>
      </c>
      <c r="DY62" s="1434" t="str">
        <f>IFERROR(VLOOKUP(CONCATENATE($B$8,"_",$B62),Data!$BO$16:$ES$1015,DY$11,FALSE),"")</f>
        <v/>
      </c>
      <c r="DZ62" s="1434" t="str">
        <f>IFERROR(VLOOKUP(CONCATENATE($B$8,"_",$B62),Data!$BO$16:$ES$1015,DZ$11,FALSE),"")</f>
        <v/>
      </c>
      <c r="EA62" s="1434" t="str">
        <f>IFERROR(VLOOKUP(CONCATENATE($B$8,"_",$B62),Data!$BO$16:$ES$1015,EA$11,FALSE),"")</f>
        <v/>
      </c>
      <c r="EB62" s="1434" t="str">
        <f>IFERROR(VLOOKUP(CONCATENATE($B$8,"_",$B62),Data!$BO$16:$ES$1015,EB$11,FALSE),"")</f>
        <v/>
      </c>
      <c r="EC62" s="1434" t="str">
        <f>IFERROR(VLOOKUP(CONCATENATE($B$8,"_",$B62),Data!$BO$16:$ES$1015,EC$11,FALSE),"")</f>
        <v/>
      </c>
      <c r="ED62" s="1434" t="str">
        <f>IFERROR(VLOOKUP(CONCATENATE($B$8,"_",$B62),Data!$BO$16:$ES$1015,ED$11,FALSE),"")</f>
        <v/>
      </c>
      <c r="EE62" s="1434" t="str">
        <f>IFERROR(VLOOKUP(CONCATENATE($B$8,"_",$B62),Data!$BO$16:$ES$1015,EE$11,FALSE),"")</f>
        <v/>
      </c>
      <c r="EF62" s="1434" t="str">
        <f>IFERROR(VLOOKUP(CONCATENATE($B$8,"_",$B62),Data!$BO$16:$ES$1015,EF$11,FALSE),"")</f>
        <v/>
      </c>
      <c r="EG62" s="1434" t="str">
        <f>IFERROR(VLOOKUP(CONCATENATE($B$8,"_",$B62),Data!$BO$16:$ES$1015,EG$11,FALSE),"")</f>
        <v/>
      </c>
      <c r="EH62" s="1434" t="str">
        <f>IFERROR(VLOOKUP(CONCATENATE($B$8,"_",$B62),Data!$BO$16:$ES$1015,EH$11,FALSE),"")</f>
        <v/>
      </c>
      <c r="EI62" s="1434" t="str">
        <f>IFERROR(VLOOKUP(CONCATENATE($B$8,"_",$B62),Data!$BO$16:$ES$1015,EI$11,FALSE),"")</f>
        <v/>
      </c>
      <c r="EK62" s="1437"/>
    </row>
    <row r="63" spans="1:141" s="1436" customFormat="1" ht="15" customHeight="1">
      <c r="A63" s="1438">
        <v>50</v>
      </c>
      <c r="B63" s="1738">
        <f>IF($B$13+A63&lt;=Progress!$D$18,$B$13+A63,"")</f>
        <v>2050</v>
      </c>
      <c r="C63" s="1737" t="str">
        <f>IFERROR(VLOOKUP(CONCATENATE($B$8,"_",$B63),Data!$H$16:$BN$1015,C$11,FALSE),"")</f>
        <v/>
      </c>
      <c r="D63" s="1428" t="str">
        <f>IFERROR(VLOOKUP(CONCATENATE($B$8,"_",$B63),Data!$H$16:$BN$1015,D$11,FALSE),"")</f>
        <v/>
      </c>
      <c r="E63" s="1429" t="str">
        <f>IFERROR(VLOOKUP(CONCATENATE($B$8,"_",$B63),Data!$H$16:$BN$1015,E$11,FALSE),"")</f>
        <v/>
      </c>
      <c r="F63" s="1428" t="str">
        <f>IFERROR(VLOOKUP(CONCATENATE($B$8,"_",$B63),Data!$H$16:$BN$1015,F$11,FALSE),"")</f>
        <v/>
      </c>
      <c r="G63" s="1428" t="str">
        <f>IFERROR(VLOOKUP(CONCATENATE($B$8,"_",$B63),Data!$H$16:$BN$1015,G$11,FALSE),"")</f>
        <v/>
      </c>
      <c r="H63" s="1429" t="str">
        <f>IFERROR(VLOOKUP(CONCATENATE($B$8,"_",$B63),Data!$H$16:$BN$1015,H$11,FALSE),"")</f>
        <v/>
      </c>
      <c r="I63" s="1428" t="str">
        <f>IFERROR(VLOOKUP(CONCATENATE($B$8,"_",$B63),Data!$H$16:$BN$1015,I$11,FALSE),"")</f>
        <v/>
      </c>
      <c r="J63" s="1428" t="str">
        <f>IFERROR(VLOOKUP(CONCATENATE($B$8,"_",$B63),Data!$H$16:$BN$1015,J$11,FALSE),"")</f>
        <v/>
      </c>
      <c r="K63" s="1429" t="str">
        <f>IFERROR(VLOOKUP(CONCATENATE($B$8,"_",$B63),Data!$H$16:$BN$1015,K$11,FALSE),"")</f>
        <v/>
      </c>
      <c r="L63" s="1428" t="str">
        <f>IFERROR(VLOOKUP(CONCATENATE($B$8,"_",$B63),Data!$H$16:$BN$1015,L$11,FALSE),"")</f>
        <v/>
      </c>
      <c r="M63" s="1428" t="str">
        <f>IFERROR(VLOOKUP(CONCATENATE($B$8,"_",$B63),Data!$H$16:$BN$1015,M$11,FALSE),"")</f>
        <v/>
      </c>
      <c r="N63" s="1429" t="str">
        <f>IFERROR(VLOOKUP(CONCATENATE($B$8,"_",$B63),Data!$H$16:$BN$1015,N$11,FALSE),"")</f>
        <v/>
      </c>
      <c r="O63" s="1430" t="str">
        <f>IFERROR(VLOOKUP(CONCATENATE($B$8,"_",$B63),Data!$H$16:$BN$1015,O$11,FALSE),"")</f>
        <v/>
      </c>
      <c r="P63" s="1428" t="str">
        <f>IFERROR(VLOOKUP(CONCATENATE($B$8,"_",$B63),Data!$H$16:$BN$1015,P$11,FALSE),"")</f>
        <v/>
      </c>
      <c r="Q63" s="1428" t="str">
        <f>IFERROR(VLOOKUP(CONCATENATE($B$8,"_",$B63),Data!$H$16:$BN$1015,Q$11,FALSE),"")</f>
        <v/>
      </c>
      <c r="R63" s="1429" t="str">
        <f>IFERROR(VLOOKUP(CONCATENATE($B$8,"_",$B63),Data!$H$16:$BN$1015,R$11,FALSE),"")</f>
        <v/>
      </c>
      <c r="S63" s="1428" t="str">
        <f>IFERROR(VLOOKUP(CONCATENATE($B$8,"_",$B63),Data!$H$16:$BN$1015,S$11,FALSE),"")</f>
        <v/>
      </c>
      <c r="T63" s="1428" t="str">
        <f>IFERROR(VLOOKUP(CONCATENATE($B$8,"_",$B63),Data!$H$16:$BN$1015,T$11,FALSE),"")</f>
        <v/>
      </c>
      <c r="U63" s="1429" t="str">
        <f>IFERROR(VLOOKUP(CONCATENATE($B$8,"_",$B63),Data!$H$16:$BN$1015,U$11,FALSE),"")</f>
        <v/>
      </c>
      <c r="V63" s="1428" t="str">
        <f>IFERROR(VLOOKUP(CONCATENATE($B$8,"_",$B63),Data!$H$16:$BN$1015,V$11,FALSE),"")</f>
        <v/>
      </c>
      <c r="W63" s="1428" t="str">
        <f>IFERROR(VLOOKUP(CONCATENATE($B$8,"_",$B63),Data!$H$16:$BN$1015,W$11,FALSE),"")</f>
        <v/>
      </c>
      <c r="X63" s="1428" t="str">
        <f>IFERROR(VLOOKUP(CONCATENATE($B$8,"_",$B63),Data!$H$16:$BN$1015,X$11,FALSE),"")</f>
        <v/>
      </c>
      <c r="Y63" s="1428" t="str">
        <f>IFERROR(VLOOKUP(CONCATENATE($B$8,"_",$B63),Data!$H$16:$BN$1015,Y$11,FALSE),"")</f>
        <v/>
      </c>
      <c r="Z63" s="1429" t="str">
        <f>IFERROR(VLOOKUP(CONCATENATE($B$8,"_",$B63),Data!$H$16:$BN$1015,Z$11,FALSE),"")</f>
        <v/>
      </c>
      <c r="AA63" s="1428" t="str">
        <f>IFERROR(VLOOKUP(CONCATENATE($B$8,"_",$B63),Data!$H$16:$BN$1015,AA$11,FALSE),"")</f>
        <v/>
      </c>
      <c r="AB63" s="1428" t="str">
        <f>IFERROR(VLOOKUP(CONCATENATE($B$8,"_",$B63),Data!$H$16:$BN$1015,AB$11,FALSE),"")</f>
        <v/>
      </c>
      <c r="AC63" s="1429" t="str">
        <f>IFERROR(VLOOKUP(CONCATENATE($B$8,"_",$B63),Data!$H$16:$BN$1015,AC$11,FALSE),"")</f>
        <v/>
      </c>
      <c r="AD63" s="1428" t="str">
        <f>IFERROR(VLOOKUP(CONCATENATE($B$8,"_",$B63),Data!$H$16:$BN$1015,AD$11,FALSE),"")</f>
        <v/>
      </c>
      <c r="AE63" s="1428" t="str">
        <f>IFERROR(VLOOKUP(CONCATENATE($B$8,"_",$B63),Data!$H$16:$BN$1015,AE$11,FALSE),"")</f>
        <v/>
      </c>
      <c r="AF63" s="1429" t="str">
        <f>IFERROR(VLOOKUP(CONCATENATE($B$8,"_",$B63),Data!$H$16:$BN$1015,AF$11,FALSE),"")</f>
        <v/>
      </c>
      <c r="AG63" s="1428" t="str">
        <f>IFERROR(VLOOKUP(CONCATENATE($B$8,"_",$B63),Data!$H$16:$BN$1015,AG$11,FALSE),"")</f>
        <v/>
      </c>
      <c r="AH63" s="1428" t="str">
        <f>IFERROR(VLOOKUP(CONCATENATE($B$8,"_",$B63),Data!$H$16:$BN$1015,AH$11,FALSE),"")</f>
        <v/>
      </c>
      <c r="AI63" s="1429" t="str">
        <f>IFERROR(VLOOKUP(CONCATENATE($B$8,"_",$B63),Data!$H$16:$BN$1015,AI$11,FALSE),"")</f>
        <v/>
      </c>
      <c r="AJ63" s="1428" t="str">
        <f>IFERROR(VLOOKUP(CONCATENATE($B$8,"_",$B63),Data!$H$16:$BN$1015,AJ$11,FALSE),"")</f>
        <v/>
      </c>
      <c r="AK63" s="1428" t="str">
        <f>IFERROR(VLOOKUP(CONCATENATE($B$8,"_",$B63),Data!$H$16:$BN$1015,AK$11,FALSE),"")</f>
        <v/>
      </c>
      <c r="AL63" s="1429" t="str">
        <f>IFERROR(VLOOKUP(CONCATENATE($B$8,"_",$B63),Data!$H$16:$BN$1015,AL$11,FALSE),"")</f>
        <v/>
      </c>
      <c r="AM63" s="1428" t="str">
        <f>IFERROR(VLOOKUP(CONCATENATE($B$8,"_",$B63),Data!$H$16:$BN$1015,AM$11,FALSE),"")</f>
        <v/>
      </c>
      <c r="AN63" s="1428" t="str">
        <f>IFERROR(VLOOKUP(CONCATENATE($B$8,"_",$B63),Data!$H$16:$BN$1015,AN$11,FALSE),"")</f>
        <v/>
      </c>
      <c r="AO63" s="1430" t="str">
        <f>IFERROR(VLOOKUP(CONCATENATE($B$8,"_",$B63),Data!$H$16:$BN$1015,AO$11,FALSE),"")</f>
        <v/>
      </c>
      <c r="AP63" s="1428" t="str">
        <f>IFERROR(VLOOKUP(CONCATENATE($B$8,"_",$B63),Data!$H$16:$BN$1015,AP$11,FALSE),"")</f>
        <v/>
      </c>
      <c r="AQ63" s="1428" t="str">
        <f>IFERROR(VLOOKUP(CONCATENATE($B$8,"_",$B63),Data!$H$16:$BN$1015,AQ$11,FALSE),"")</f>
        <v/>
      </c>
      <c r="AR63" s="1430" t="str">
        <f>IFERROR(VLOOKUP(CONCATENATE($B$8,"_",$B63),Data!$H$16:$BN$1015,AR$11,FALSE),"")</f>
        <v/>
      </c>
      <c r="AS63" s="1428" t="str">
        <f>IFERROR(VLOOKUP(CONCATENATE($B$8,"_",$B63),Data!$H$16:$BN$1015,AS$11,FALSE),"")</f>
        <v/>
      </c>
      <c r="AT63" s="1428" t="str">
        <f>IFERROR(VLOOKUP(CONCATENATE($B$8,"_",$B63),Data!$H$16:$BN$1015,AT$11,FALSE),"")</f>
        <v/>
      </c>
      <c r="AU63" s="1430" t="str">
        <f>IFERROR(VLOOKUP(CONCATENATE($B$8,"_",$B63),Data!$H$16:$BN$1015,AU$11,FALSE),"")</f>
        <v/>
      </c>
      <c r="AV63" s="1428" t="str">
        <f>IFERROR(VLOOKUP(CONCATENATE($B$8,"_",$B63),Data!$H$16:$BN$1015,AV$11,FALSE),"")</f>
        <v/>
      </c>
      <c r="AW63" s="1428" t="str">
        <f>IFERROR(VLOOKUP(CONCATENATE($B$8,"_",$B63),Data!$H$16:$BN$1015,AW$11,FALSE),"")</f>
        <v/>
      </c>
      <c r="AX63" s="1430" t="str">
        <f>IFERROR(VLOOKUP(CONCATENATE($B$8,"_",$B63),Data!$H$16:$BN$1015,AX$11,FALSE),"")</f>
        <v/>
      </c>
      <c r="AY63" s="1429" t="str">
        <f>IFERROR(VLOOKUP(CONCATENATE($B$8,"_",$B63),Data!$H$16:$BN$1015,AY$11,FALSE),"")</f>
        <v/>
      </c>
      <c r="AZ63" s="1429" t="str">
        <f>IFERROR(VLOOKUP(CONCATENATE($B$8,"_",$B63),Data!$H$16:$BN$1015,AZ$11,FALSE),"")</f>
        <v/>
      </c>
      <c r="BA63" s="1429" t="str">
        <f>IFERROR(VLOOKUP(CONCATENATE($B$8,"_",$B63),Data!$H$16:$BN$1015,BA$11,FALSE),"")</f>
        <v/>
      </c>
      <c r="BB63" s="1429" t="str">
        <f>IFERROR(VLOOKUP(CONCATENATE($B$8,"_",$B63),Data!$H$16:$BN$1015,BB$11,FALSE),"")</f>
        <v/>
      </c>
      <c r="BC63" s="1429" t="str">
        <f>IFERROR(VLOOKUP(CONCATENATE($B$8,"_",$B63),Data!$H$16:$BN$1015,BC$11,FALSE),"")</f>
        <v/>
      </c>
      <c r="BD63" s="1431" t="str">
        <f>IFERROR(VLOOKUP(CONCATENATE($B$8,"_",$B63),Data!$H$16:$BN$1015,BD$11,FALSE),"")</f>
        <v/>
      </c>
      <c r="BE63" s="1439">
        <f t="shared" si="0"/>
        <v>2050</v>
      </c>
      <c r="BF63" s="1428" t="str">
        <f>IFERROR(VLOOKUP(CONCATENATE($B$8,"_",$B63),Data!$BO$16:$ES$1015,BF$11,FALSE),"")</f>
        <v/>
      </c>
      <c r="BG63" s="1433" t="str">
        <f>IFERROR(VLOOKUP(CONCATENATE($B$8,"_",$B63),Data!$BO$16:$ES$1015,BG$11,FALSE),"")</f>
        <v/>
      </c>
      <c r="BH63" s="1435" t="str">
        <f>IFERROR(VLOOKUP(CONCATENATE($B$8,"_",$B63),Data!$BO$16:$ES$1015,BH$11,FALSE),"")</f>
        <v/>
      </c>
      <c r="BI63" s="1434" t="str">
        <f>IFERROR(VLOOKUP(CONCATENATE($B$8,"_",$B63),Data!$BO$16:$ES$1015,BI$11,FALSE),"")</f>
        <v/>
      </c>
      <c r="BJ63" s="1428" t="str">
        <f>IFERROR(VLOOKUP(CONCATENATE($B$8,"_",$B63),Data!$BO$16:$ES$1015,BJ$11,FALSE),"")</f>
        <v/>
      </c>
      <c r="BK63" s="1428" t="str">
        <f>IFERROR(VLOOKUP(CONCATENATE($B$8,"_",$B63),Data!$BO$16:$ES$1015,BK$11,FALSE),"")</f>
        <v/>
      </c>
      <c r="BL63" s="1428" t="str">
        <f>IFERROR(VLOOKUP(CONCATENATE($B$8,"_",$B63),Data!$BO$16:$ES$1015,BL$11,FALSE),"")</f>
        <v/>
      </c>
      <c r="BM63" s="1433" t="str">
        <f>IFERROR(VLOOKUP(CONCATENATE($B$8,"_",$B63),Data!$BO$16:$ES$1015,BM$11,FALSE),"")</f>
        <v/>
      </c>
      <c r="BN63" s="1433" t="str">
        <f>IFERROR(VLOOKUP(CONCATENATE($B$8,"_",$B63),Data!$BO$16:$ES$1015,BN$11,FALSE),"")</f>
        <v/>
      </c>
      <c r="BO63" s="1433" t="str">
        <f>IFERROR(VLOOKUP(CONCATENATE($B$8,"_",$B63),Data!$BO$16:$ES$1015,BO$11,FALSE),"")</f>
        <v/>
      </c>
      <c r="BP63" s="1433" t="str">
        <f>IFERROR(VLOOKUP(CONCATENATE($B$8,"_",$B63),Data!$BO$16:$ES$1015,BP$11,FALSE),"")</f>
        <v/>
      </c>
      <c r="BQ63" s="1433" t="str">
        <f>IFERROR(VLOOKUP(CONCATENATE($B$8,"_",$B63),Data!$BO$16:$ES$1015,BQ$11,FALSE),"")</f>
        <v/>
      </c>
      <c r="BR63" s="1434" t="str">
        <f>IFERROR(VLOOKUP(CONCATENATE($B$8,"_",$B63),Data!$BO$16:$ES$1015,BR$11,FALSE),"")</f>
        <v/>
      </c>
      <c r="BS63" s="1434" t="str">
        <f>IFERROR(VLOOKUP(CONCATENATE($B$8,"_",$B63),Data!$BO$16:$ES$1015,BS$11,FALSE),"")</f>
        <v/>
      </c>
      <c r="BT63" s="1434" t="str">
        <f>IFERROR(VLOOKUP(CONCATENATE($B$8,"_",$B63),Data!$BO$16:$ES$1015,BT$11,FALSE),"")</f>
        <v/>
      </c>
      <c r="BU63" s="1434" t="str">
        <f>IFERROR(VLOOKUP(CONCATENATE($B$8,"_",$B63),Data!$BO$16:$ES$1015,BU$11,FALSE),"")</f>
        <v/>
      </c>
      <c r="BV63" s="1434" t="str">
        <f>IFERROR(VLOOKUP(CONCATENATE($B$8,"_",$B63),Data!$BO$16:$ES$1015,BV$11,FALSE),"")</f>
        <v/>
      </c>
      <c r="BW63" s="1434" t="str">
        <f>IFERROR(VLOOKUP(CONCATENATE($B$8,"_",$B63),Data!$BO$16:$ES$1015,BW$11,FALSE),"")</f>
        <v/>
      </c>
      <c r="BX63" s="1434" t="str">
        <f>IFERROR(VLOOKUP(CONCATENATE($B$8,"_",$B63),Data!$BO$16:$ES$1015,BX$11,FALSE),"")</f>
        <v/>
      </c>
      <c r="BY63" s="1428" t="str">
        <f>IFERROR(VLOOKUP(CONCATENATE($B$8,"_",$B63),Data!$BO$16:$ES$1015,BY$11,FALSE),"")</f>
        <v/>
      </c>
      <c r="BZ63" s="1428" t="str">
        <f>IFERROR(VLOOKUP(CONCATENATE($B$8,"_",$B63),Data!$BO$16:$ES$1015,BZ$11,FALSE),"")</f>
        <v/>
      </c>
      <c r="CA63" s="1428" t="str">
        <f>IFERROR(VLOOKUP(CONCATENATE($B$8,"_",$B63),Data!$BO$16:$ES$1015,CA$11,FALSE),"")</f>
        <v/>
      </c>
      <c r="CB63" s="1428" t="str">
        <f>IFERROR(VLOOKUP(CONCATENATE($B$8,"_",$B63),Data!$BO$16:$ES$1015,CB$11,FALSE),"")</f>
        <v/>
      </c>
      <c r="CC63" s="1428" t="str">
        <f>IFERROR(VLOOKUP(CONCATENATE($B$8,"_",$B63),Data!$BO$16:$ES$1015,CC$11,FALSE),"")</f>
        <v/>
      </c>
      <c r="CD63" s="1428" t="str">
        <f>IFERROR(VLOOKUP(CONCATENATE($B$8,"_",$B63),Data!$BO$16:$ES$1015,CD$11,FALSE),"")</f>
        <v/>
      </c>
      <c r="CE63" s="1428" t="str">
        <f>IFERROR(VLOOKUP(CONCATENATE($B$8,"_",$B63),Data!$BO$16:$ES$1015,CE$11,FALSE),"")</f>
        <v/>
      </c>
      <c r="CF63" s="1428" t="str">
        <f>IFERROR(VLOOKUP(CONCATENATE($B$8,"_",$B63),Data!$BO$16:$ES$1015,CF$11,FALSE),"")</f>
        <v/>
      </c>
      <c r="CG63" s="1428" t="str">
        <f>IFERROR(VLOOKUP(CONCATENATE($B$8,"_",$B63),Data!$BO$16:$ES$1015,CG$11,FALSE),"")</f>
        <v/>
      </c>
      <c r="CH63" s="1428" t="str">
        <f>IFERROR(VLOOKUP(CONCATENATE($B$8,"_",$B63),Data!$BO$16:$ES$1015,CH$11,FALSE),"")</f>
        <v/>
      </c>
      <c r="CI63" s="1428" t="str">
        <f>IFERROR(VLOOKUP(CONCATENATE($B$8,"_",$B63),Data!$BO$16:$ES$1015,CI$11,FALSE),"")</f>
        <v/>
      </c>
      <c r="CJ63" s="1428" t="str">
        <f>IFERROR(VLOOKUP(CONCATENATE($B$8,"_",$B63),Data!$BO$16:$ES$1015,CJ$11,FALSE),"")</f>
        <v/>
      </c>
      <c r="CK63" s="1428" t="str">
        <f>IFERROR(VLOOKUP(CONCATENATE($B$8,"_",$B63),Data!$BO$16:$ES$1015,CK$11,FALSE),"")</f>
        <v/>
      </c>
      <c r="CL63" s="1428" t="str">
        <f>IFERROR(VLOOKUP(CONCATENATE($B$8,"_",$B63),Data!$BO$16:$ES$1015,CL$11,FALSE),"")</f>
        <v/>
      </c>
      <c r="CM63" s="1428" t="str">
        <f>IFERROR(VLOOKUP(CONCATENATE($B$8,"_",$B63),Data!$BO$16:$ES$1015,CM$11,FALSE),"")</f>
        <v/>
      </c>
      <c r="CN63" s="1428" t="str">
        <f>IFERROR(VLOOKUP(CONCATENATE($B$8,"_",$B63),Data!$BO$16:$ES$1015,CN$11,FALSE),"")</f>
        <v/>
      </c>
      <c r="CO63" s="1428" t="str">
        <f>IFERROR(VLOOKUP(CONCATENATE($B$8,"_",$B63),Data!$BO$16:$ES$1015,CO$11,FALSE),"")</f>
        <v/>
      </c>
      <c r="CP63" s="1433" t="str">
        <f>IFERROR(VLOOKUP(CONCATENATE($B$8,"_",$B63),Data!$BO$16:$ES$1015,CP$11,FALSE),"")</f>
        <v/>
      </c>
      <c r="CQ63" s="1433" t="str">
        <f>IFERROR(VLOOKUP(CONCATENATE($B$8,"_",$B63),Data!$BO$16:$ES$1015,CQ$11,FALSE),"")</f>
        <v/>
      </c>
      <c r="CR63" s="1433" t="str">
        <f>IFERROR(VLOOKUP(CONCATENATE($B$8,"_",$B63),Data!$BO$16:$ES$1015,CR$11,FALSE),"")</f>
        <v/>
      </c>
      <c r="CS63" s="1433" t="str">
        <f>IFERROR(VLOOKUP(CONCATENATE($B$8,"_",$B63),Data!$BO$16:$ES$1015,CS$11,FALSE),"")</f>
        <v/>
      </c>
      <c r="CT63" s="1433" t="str">
        <f>IFERROR(VLOOKUP(CONCATENATE($B$8,"_",$B63),Data!$BO$16:$ES$1015,CT$11,FALSE),"")</f>
        <v/>
      </c>
      <c r="CU63" s="1433" t="str">
        <f>IFERROR(VLOOKUP(CONCATENATE($B$8,"_",$B63),Data!$BO$16:$ES$1015,CU$11,FALSE),"")</f>
        <v/>
      </c>
      <c r="CV63" s="1433" t="str">
        <f>IFERROR(VLOOKUP(CONCATENATE($B$8,"_",$B63),Data!$BO$16:$ES$1015,CV$11,FALSE),"")</f>
        <v/>
      </c>
      <c r="CW63" s="1433" t="str">
        <f>IFERROR(VLOOKUP(CONCATENATE($B$8,"_",$B63),Data!$BO$16:$ES$1015,CW$11,FALSE),"")</f>
        <v/>
      </c>
      <c r="CX63" s="1433" t="str">
        <f>IFERROR(VLOOKUP(CONCATENATE($B$8,"_",$B63),Data!$BO$16:$ES$1015,CX$11,FALSE),"")</f>
        <v/>
      </c>
      <c r="CY63" s="1433" t="str">
        <f>IFERROR(VLOOKUP(CONCATENATE($B$8,"_",$B63),Data!$BO$16:$ES$1015,CY$11,FALSE),"")</f>
        <v/>
      </c>
      <c r="CZ63" s="1433" t="str">
        <f>IFERROR(VLOOKUP(CONCATENATE($B$8,"_",$B63),Data!$BO$16:$ES$1015,CZ$11,FALSE),"")</f>
        <v/>
      </c>
      <c r="DA63" s="1433" t="str">
        <f>IFERROR(VLOOKUP(CONCATENATE($B$8,"_",$B63),Data!$BO$16:$ES$1015,DA$11,FALSE),"")</f>
        <v/>
      </c>
      <c r="DB63" s="1433" t="str">
        <f>IFERROR(VLOOKUP(CONCATENATE($B$8,"_",$B63),Data!$BO$16:$ES$1015,DB$11,FALSE),"")</f>
        <v/>
      </c>
      <c r="DC63" s="1433" t="str">
        <f>IFERROR(VLOOKUP(CONCATENATE($B$8,"_",$B63),Data!$BO$16:$ES$1015,DC$11,FALSE),"")</f>
        <v/>
      </c>
      <c r="DD63" s="1433" t="str">
        <f>IFERROR(VLOOKUP(CONCATENATE($B$8,"_",$B63),Data!$BO$16:$ES$1015,DD$11,FALSE),"")</f>
        <v/>
      </c>
      <c r="DE63" s="1433" t="str">
        <f>IFERROR(VLOOKUP(CONCATENATE($B$8,"_",$B63),Data!$BO$16:$ES$1015,DE$11,FALSE),"")</f>
        <v/>
      </c>
      <c r="DF63" s="1433" t="str">
        <f>IFERROR(VLOOKUP(CONCATENATE($B$8,"_",$B63),Data!$BO$16:$ES$1015,DF$11,FALSE),"")</f>
        <v/>
      </c>
      <c r="DG63" s="1433" t="str">
        <f>IFERROR(VLOOKUP(CONCATENATE($B$8,"_",$B63),Data!$BO$16:$ES$1015,DG$11,FALSE),"")</f>
        <v/>
      </c>
      <c r="DH63" s="1433" t="str">
        <f>IFERROR(VLOOKUP(CONCATENATE($B$8,"_",$B63),Data!$BO$16:$ES$1015,DH$11,FALSE),"")</f>
        <v/>
      </c>
      <c r="DI63" s="1433" t="str">
        <f>IFERROR(VLOOKUP(CONCATENATE($B$8,"_",$B63),Data!$BO$16:$ES$1015,DI$11,FALSE),"")</f>
        <v/>
      </c>
      <c r="DJ63" s="1433" t="str">
        <f>IFERROR(VLOOKUP(CONCATENATE($B$8,"_",$B63),Data!$BO$16:$ES$1015,DJ$11,FALSE),"")</f>
        <v/>
      </c>
      <c r="DK63" s="1433" t="str">
        <f>IFERROR(VLOOKUP(CONCATENATE($B$8,"_",$B63),Data!$BO$16:$ES$1015,DK$11,FALSE),"")</f>
        <v/>
      </c>
      <c r="DL63" s="1435" t="str">
        <f>IFERROR(VLOOKUP(CONCATENATE($B$8,"_",$B63),Data!$BO$16:$ES$1015,DL$11,FALSE),"")</f>
        <v/>
      </c>
      <c r="DM63" s="1434" t="str">
        <f>IFERROR(VLOOKUP(CONCATENATE($B$8,"_",$B63),Data!$BO$16:$ES$1015,DM$11,FALSE),"")</f>
        <v/>
      </c>
      <c r="DN63" s="1434" t="str">
        <f>IFERROR(VLOOKUP(CONCATENATE($B$8,"_",$B63),Data!$BO$16:$ES$1015,DN$11,FALSE),"")</f>
        <v/>
      </c>
      <c r="DO63" s="1434" t="str">
        <f>IFERROR(VLOOKUP(CONCATENATE($B$8,"_",$B63),Data!$BO$16:$ES$1015,DO$11,FALSE),"")</f>
        <v/>
      </c>
      <c r="DP63" s="1434" t="str">
        <f>IFERROR(VLOOKUP(CONCATENATE($B$8,"_",$B63),Data!$BO$16:$ES$1015,DP$11,FALSE),"")</f>
        <v/>
      </c>
      <c r="DQ63" s="1434" t="str">
        <f>IFERROR(VLOOKUP(CONCATENATE($B$8,"_",$B63),Data!$BO$16:$ES$1015,DQ$11,FALSE),"")</f>
        <v/>
      </c>
      <c r="DR63" s="1434" t="str">
        <f>IFERROR(VLOOKUP(CONCATENATE($B$8,"_",$B63),Data!$BO$16:$ES$1015,DR$11,FALSE),"")</f>
        <v/>
      </c>
      <c r="DS63" s="1434" t="str">
        <f>IFERROR(VLOOKUP(CONCATENATE($B$8,"_",$B63),Data!$BO$16:$ES$1015,DS$11,FALSE),"")</f>
        <v/>
      </c>
      <c r="DT63" s="1434" t="str">
        <f>IFERROR(VLOOKUP(CONCATENATE($B$8,"_",$B63),Data!$BO$16:$ES$1015,DT$11,FALSE),"")</f>
        <v/>
      </c>
      <c r="DU63" s="1434" t="str">
        <f>IFERROR(VLOOKUP(CONCATENATE($B$8,"_",$B63),Data!$BO$16:$ES$1015,DU$11,FALSE),"")</f>
        <v/>
      </c>
      <c r="DV63" s="1434" t="str">
        <f>IFERROR(VLOOKUP(CONCATENATE($B$8,"_",$B63),Data!$BO$16:$ES$1015,DV$11,FALSE),"")</f>
        <v/>
      </c>
      <c r="DW63" s="1434" t="str">
        <f>IFERROR(VLOOKUP(CONCATENATE($B$8,"_",$B63),Data!$BO$16:$ES$1015,DW$11,FALSE),"")</f>
        <v/>
      </c>
      <c r="DX63" s="1434" t="str">
        <f>IFERROR(VLOOKUP(CONCATENATE($B$8,"_",$B63),Data!$BO$16:$ES$1015,DX$11,FALSE),"")</f>
        <v/>
      </c>
      <c r="DY63" s="1434" t="str">
        <f>IFERROR(VLOOKUP(CONCATENATE($B$8,"_",$B63),Data!$BO$16:$ES$1015,DY$11,FALSE),"")</f>
        <v/>
      </c>
      <c r="DZ63" s="1434" t="str">
        <f>IFERROR(VLOOKUP(CONCATENATE($B$8,"_",$B63),Data!$BO$16:$ES$1015,DZ$11,FALSE),"")</f>
        <v/>
      </c>
      <c r="EA63" s="1434" t="str">
        <f>IFERROR(VLOOKUP(CONCATENATE($B$8,"_",$B63),Data!$BO$16:$ES$1015,EA$11,FALSE),"")</f>
        <v/>
      </c>
      <c r="EB63" s="1434" t="str">
        <f>IFERROR(VLOOKUP(CONCATENATE($B$8,"_",$B63),Data!$BO$16:$ES$1015,EB$11,FALSE),"")</f>
        <v/>
      </c>
      <c r="EC63" s="1434" t="str">
        <f>IFERROR(VLOOKUP(CONCATENATE($B$8,"_",$B63),Data!$BO$16:$ES$1015,EC$11,FALSE),"")</f>
        <v/>
      </c>
      <c r="ED63" s="1434" t="str">
        <f>IFERROR(VLOOKUP(CONCATENATE($B$8,"_",$B63),Data!$BO$16:$ES$1015,ED$11,FALSE),"")</f>
        <v/>
      </c>
      <c r="EE63" s="1434" t="str">
        <f>IFERROR(VLOOKUP(CONCATENATE($B$8,"_",$B63),Data!$BO$16:$ES$1015,EE$11,FALSE),"")</f>
        <v/>
      </c>
      <c r="EF63" s="1434" t="str">
        <f>IFERROR(VLOOKUP(CONCATENATE($B$8,"_",$B63),Data!$BO$16:$ES$1015,EF$11,FALSE),"")</f>
        <v/>
      </c>
      <c r="EG63" s="1434" t="str">
        <f>IFERROR(VLOOKUP(CONCATENATE($B$8,"_",$B63),Data!$BO$16:$ES$1015,EG$11,FALSE),"")</f>
        <v/>
      </c>
      <c r="EH63" s="1434" t="str">
        <f>IFERROR(VLOOKUP(CONCATENATE($B$8,"_",$B63),Data!$BO$16:$ES$1015,EH$11,FALSE),"")</f>
        <v/>
      </c>
      <c r="EI63" s="1434" t="str">
        <f>IFERROR(VLOOKUP(CONCATENATE($B$8,"_",$B63),Data!$BO$16:$ES$1015,EI$11,FALSE),"")</f>
        <v/>
      </c>
      <c r="EK63" s="1437"/>
    </row>
    <row r="64" spans="1:141" s="1436" customFormat="1" ht="15" customHeight="1">
      <c r="A64" s="1438">
        <v>51</v>
      </c>
      <c r="B64" s="1738" t="str">
        <f>IF($B$13+A64&lt;=Progress!$D$18,$B$13+A64,"")</f>
        <v/>
      </c>
      <c r="C64" s="1737" t="str">
        <f>IFERROR(VLOOKUP(CONCATENATE($B$8,"_",$B64),Data!$H$16:$BN$1015,C$11,FALSE),"")</f>
        <v/>
      </c>
      <c r="D64" s="1428" t="str">
        <f>IFERROR(VLOOKUP(CONCATENATE($B$8,"_",$B64),Data!$H$16:$BN$1015,D$11,FALSE),"")</f>
        <v/>
      </c>
      <c r="E64" s="1429" t="str">
        <f>IFERROR(VLOOKUP(CONCATENATE($B$8,"_",$B64),Data!$H$16:$BN$1015,E$11,FALSE),"")</f>
        <v/>
      </c>
      <c r="F64" s="1428" t="str">
        <f>IFERROR(VLOOKUP(CONCATENATE($B$8,"_",$B64),Data!$H$16:$BN$1015,F$11,FALSE),"")</f>
        <v/>
      </c>
      <c r="G64" s="1428" t="str">
        <f>IFERROR(VLOOKUP(CONCATENATE($B$8,"_",$B64),Data!$H$16:$BN$1015,G$11,FALSE),"")</f>
        <v/>
      </c>
      <c r="H64" s="1429" t="str">
        <f>IFERROR(VLOOKUP(CONCATENATE($B$8,"_",$B64),Data!$H$16:$BN$1015,H$11,FALSE),"")</f>
        <v/>
      </c>
      <c r="I64" s="1428" t="str">
        <f>IFERROR(VLOOKUP(CONCATENATE($B$8,"_",$B64),Data!$H$16:$BN$1015,I$11,FALSE),"")</f>
        <v/>
      </c>
      <c r="J64" s="1428" t="str">
        <f>IFERROR(VLOOKUP(CONCATENATE($B$8,"_",$B64),Data!$H$16:$BN$1015,J$11,FALSE),"")</f>
        <v/>
      </c>
      <c r="K64" s="1429" t="str">
        <f>IFERROR(VLOOKUP(CONCATENATE($B$8,"_",$B64),Data!$H$16:$BN$1015,K$11,FALSE),"")</f>
        <v/>
      </c>
      <c r="L64" s="1428" t="str">
        <f>IFERROR(VLOOKUP(CONCATENATE($B$8,"_",$B64),Data!$H$16:$BN$1015,L$11,FALSE),"")</f>
        <v/>
      </c>
      <c r="M64" s="1428" t="str">
        <f>IFERROR(VLOOKUP(CONCATENATE($B$8,"_",$B64),Data!$H$16:$BN$1015,M$11,FALSE),"")</f>
        <v/>
      </c>
      <c r="N64" s="1429" t="str">
        <f>IFERROR(VLOOKUP(CONCATENATE($B$8,"_",$B64),Data!$H$16:$BN$1015,N$11,FALSE),"")</f>
        <v/>
      </c>
      <c r="O64" s="1430" t="str">
        <f>IFERROR(VLOOKUP(CONCATENATE($B$8,"_",$B64),Data!$H$16:$BN$1015,O$11,FALSE),"")</f>
        <v/>
      </c>
      <c r="P64" s="1428" t="str">
        <f>IFERROR(VLOOKUP(CONCATENATE($B$8,"_",$B64),Data!$H$16:$BN$1015,P$11,FALSE),"")</f>
        <v/>
      </c>
      <c r="Q64" s="1428" t="str">
        <f>IFERROR(VLOOKUP(CONCATENATE($B$8,"_",$B64),Data!$H$16:$BN$1015,Q$11,FALSE),"")</f>
        <v/>
      </c>
      <c r="R64" s="1429" t="str">
        <f>IFERROR(VLOOKUP(CONCATENATE($B$8,"_",$B64),Data!$H$16:$BN$1015,R$11,FALSE),"")</f>
        <v/>
      </c>
      <c r="S64" s="1428" t="str">
        <f>IFERROR(VLOOKUP(CONCATENATE($B$8,"_",$B64),Data!$H$16:$BN$1015,S$11,FALSE),"")</f>
        <v/>
      </c>
      <c r="T64" s="1428" t="str">
        <f>IFERROR(VLOOKUP(CONCATENATE($B$8,"_",$B64),Data!$H$16:$BN$1015,T$11,FALSE),"")</f>
        <v/>
      </c>
      <c r="U64" s="1429" t="str">
        <f>IFERROR(VLOOKUP(CONCATENATE($B$8,"_",$B64),Data!$H$16:$BN$1015,U$11,FALSE),"")</f>
        <v/>
      </c>
      <c r="V64" s="1428" t="str">
        <f>IFERROR(VLOOKUP(CONCATENATE($B$8,"_",$B64),Data!$H$16:$BN$1015,V$11,FALSE),"")</f>
        <v/>
      </c>
      <c r="W64" s="1428" t="str">
        <f>IFERROR(VLOOKUP(CONCATENATE($B$8,"_",$B64),Data!$H$16:$BN$1015,W$11,FALSE),"")</f>
        <v/>
      </c>
      <c r="X64" s="1428" t="str">
        <f>IFERROR(VLOOKUP(CONCATENATE($B$8,"_",$B64),Data!$H$16:$BN$1015,X$11,FALSE),"")</f>
        <v/>
      </c>
      <c r="Y64" s="1428" t="str">
        <f>IFERROR(VLOOKUP(CONCATENATE($B$8,"_",$B64),Data!$H$16:$BN$1015,Y$11,FALSE),"")</f>
        <v/>
      </c>
      <c r="Z64" s="1429" t="str">
        <f>IFERROR(VLOOKUP(CONCATENATE($B$8,"_",$B64),Data!$H$16:$BN$1015,Z$11,FALSE),"")</f>
        <v/>
      </c>
      <c r="AA64" s="1428" t="str">
        <f>IFERROR(VLOOKUP(CONCATENATE($B$8,"_",$B64),Data!$H$16:$BN$1015,AA$11,FALSE),"")</f>
        <v/>
      </c>
      <c r="AB64" s="1428" t="str">
        <f>IFERROR(VLOOKUP(CONCATENATE($B$8,"_",$B64),Data!$H$16:$BN$1015,AB$11,FALSE),"")</f>
        <v/>
      </c>
      <c r="AC64" s="1429" t="str">
        <f>IFERROR(VLOOKUP(CONCATENATE($B$8,"_",$B64),Data!$H$16:$BN$1015,AC$11,FALSE),"")</f>
        <v/>
      </c>
      <c r="AD64" s="1428" t="str">
        <f>IFERROR(VLOOKUP(CONCATENATE($B$8,"_",$B64),Data!$H$16:$BN$1015,AD$11,FALSE),"")</f>
        <v/>
      </c>
      <c r="AE64" s="1428" t="str">
        <f>IFERROR(VLOOKUP(CONCATENATE($B$8,"_",$B64),Data!$H$16:$BN$1015,AE$11,FALSE),"")</f>
        <v/>
      </c>
      <c r="AF64" s="1429" t="str">
        <f>IFERROR(VLOOKUP(CONCATENATE($B$8,"_",$B64),Data!$H$16:$BN$1015,AF$11,FALSE),"")</f>
        <v/>
      </c>
      <c r="AG64" s="1428" t="str">
        <f>IFERROR(VLOOKUP(CONCATENATE($B$8,"_",$B64),Data!$H$16:$BN$1015,AG$11,FALSE),"")</f>
        <v/>
      </c>
      <c r="AH64" s="1428" t="str">
        <f>IFERROR(VLOOKUP(CONCATENATE($B$8,"_",$B64),Data!$H$16:$BN$1015,AH$11,FALSE),"")</f>
        <v/>
      </c>
      <c r="AI64" s="1429" t="str">
        <f>IFERROR(VLOOKUP(CONCATENATE($B$8,"_",$B64),Data!$H$16:$BN$1015,AI$11,FALSE),"")</f>
        <v/>
      </c>
      <c r="AJ64" s="1428" t="str">
        <f>IFERROR(VLOOKUP(CONCATENATE($B$8,"_",$B64),Data!$H$16:$BN$1015,AJ$11,FALSE),"")</f>
        <v/>
      </c>
      <c r="AK64" s="1428" t="str">
        <f>IFERROR(VLOOKUP(CONCATENATE($B$8,"_",$B64),Data!$H$16:$BN$1015,AK$11,FALSE),"")</f>
        <v/>
      </c>
      <c r="AL64" s="1429" t="str">
        <f>IFERROR(VLOOKUP(CONCATENATE($B$8,"_",$B64),Data!$H$16:$BN$1015,AL$11,FALSE),"")</f>
        <v/>
      </c>
      <c r="AM64" s="1428" t="str">
        <f>IFERROR(VLOOKUP(CONCATENATE($B$8,"_",$B64),Data!$H$16:$BN$1015,AM$11,FALSE),"")</f>
        <v/>
      </c>
      <c r="AN64" s="1428" t="str">
        <f>IFERROR(VLOOKUP(CONCATENATE($B$8,"_",$B64),Data!$H$16:$BN$1015,AN$11,FALSE),"")</f>
        <v/>
      </c>
      <c r="AO64" s="1430" t="str">
        <f>IFERROR(VLOOKUP(CONCATENATE($B$8,"_",$B64),Data!$H$16:$BN$1015,AO$11,FALSE),"")</f>
        <v/>
      </c>
      <c r="AP64" s="1428" t="str">
        <f>IFERROR(VLOOKUP(CONCATENATE($B$8,"_",$B64),Data!$H$16:$BN$1015,AP$11,FALSE),"")</f>
        <v/>
      </c>
      <c r="AQ64" s="1428" t="str">
        <f>IFERROR(VLOOKUP(CONCATENATE($B$8,"_",$B64),Data!$H$16:$BN$1015,AQ$11,FALSE),"")</f>
        <v/>
      </c>
      <c r="AR64" s="1430" t="str">
        <f>IFERROR(VLOOKUP(CONCATENATE($B$8,"_",$B64),Data!$H$16:$BN$1015,AR$11,FALSE),"")</f>
        <v/>
      </c>
      <c r="AS64" s="1428" t="str">
        <f>IFERROR(VLOOKUP(CONCATENATE($B$8,"_",$B64),Data!$H$16:$BN$1015,AS$11,FALSE),"")</f>
        <v/>
      </c>
      <c r="AT64" s="1428" t="str">
        <f>IFERROR(VLOOKUP(CONCATENATE($B$8,"_",$B64),Data!$H$16:$BN$1015,AT$11,FALSE),"")</f>
        <v/>
      </c>
      <c r="AU64" s="1430" t="str">
        <f>IFERROR(VLOOKUP(CONCATENATE($B$8,"_",$B64),Data!$H$16:$BN$1015,AU$11,FALSE),"")</f>
        <v/>
      </c>
      <c r="AV64" s="1428" t="str">
        <f>IFERROR(VLOOKUP(CONCATENATE($B$8,"_",$B64),Data!$H$16:$BN$1015,AV$11,FALSE),"")</f>
        <v/>
      </c>
      <c r="AW64" s="1428" t="str">
        <f>IFERROR(VLOOKUP(CONCATENATE($B$8,"_",$B64),Data!$H$16:$BN$1015,AW$11,FALSE),"")</f>
        <v/>
      </c>
      <c r="AX64" s="1430" t="str">
        <f>IFERROR(VLOOKUP(CONCATENATE($B$8,"_",$B64),Data!$H$16:$BN$1015,AX$11,FALSE),"")</f>
        <v/>
      </c>
      <c r="AY64" s="1429" t="str">
        <f>IFERROR(VLOOKUP(CONCATENATE($B$8,"_",$B64),Data!$H$16:$BN$1015,AY$11,FALSE),"")</f>
        <v/>
      </c>
      <c r="AZ64" s="1429" t="str">
        <f>IFERROR(VLOOKUP(CONCATENATE($B$8,"_",$B64),Data!$H$16:$BN$1015,AZ$11,FALSE),"")</f>
        <v/>
      </c>
      <c r="BA64" s="1429" t="str">
        <f>IFERROR(VLOOKUP(CONCATENATE($B$8,"_",$B64),Data!$H$16:$BN$1015,BA$11,FALSE),"")</f>
        <v/>
      </c>
      <c r="BB64" s="1429" t="str">
        <f>IFERROR(VLOOKUP(CONCATENATE($B$8,"_",$B64),Data!$H$16:$BN$1015,BB$11,FALSE),"")</f>
        <v/>
      </c>
      <c r="BC64" s="1429" t="str">
        <f>IFERROR(VLOOKUP(CONCATENATE($B$8,"_",$B64),Data!$H$16:$BN$1015,BC$11,FALSE),"")</f>
        <v/>
      </c>
      <c r="BD64" s="1431" t="str">
        <f>IFERROR(VLOOKUP(CONCATENATE($B$8,"_",$B64),Data!$H$16:$BN$1015,BD$11,FALSE),"")</f>
        <v/>
      </c>
      <c r="BE64" s="1439" t="str">
        <f t="shared" si="0"/>
        <v/>
      </c>
      <c r="BF64" s="1428" t="str">
        <f>IFERROR(VLOOKUP(CONCATENATE($B$8,"_",$B64),Data!$BO$16:$ES$1015,BF$11,FALSE),"")</f>
        <v/>
      </c>
      <c r="BG64" s="1433" t="str">
        <f>IFERROR(VLOOKUP(CONCATENATE($B$8,"_",$B64),Data!$BO$16:$ES$1015,BG$11,FALSE),"")</f>
        <v/>
      </c>
      <c r="BH64" s="1435" t="str">
        <f>IFERROR(VLOOKUP(CONCATENATE($B$8,"_",$B64),Data!$BO$16:$ES$1015,BH$11,FALSE),"")</f>
        <v/>
      </c>
      <c r="BI64" s="1434" t="str">
        <f>IFERROR(VLOOKUP(CONCATENATE($B$8,"_",$B64),Data!$BO$16:$ES$1015,BI$11,FALSE),"")</f>
        <v/>
      </c>
      <c r="BJ64" s="1428" t="str">
        <f>IFERROR(VLOOKUP(CONCATENATE($B$8,"_",$B64),Data!$BO$16:$ES$1015,BJ$11,FALSE),"")</f>
        <v/>
      </c>
      <c r="BK64" s="1428" t="str">
        <f>IFERROR(VLOOKUP(CONCATENATE($B$8,"_",$B64),Data!$BO$16:$ES$1015,BK$11,FALSE),"")</f>
        <v/>
      </c>
      <c r="BL64" s="1428" t="str">
        <f>IFERROR(VLOOKUP(CONCATENATE($B$8,"_",$B64),Data!$BO$16:$ES$1015,BL$11,FALSE),"")</f>
        <v/>
      </c>
      <c r="BM64" s="1433" t="str">
        <f>IFERROR(VLOOKUP(CONCATENATE($B$8,"_",$B64),Data!$BO$16:$ES$1015,BM$11,FALSE),"")</f>
        <v/>
      </c>
      <c r="BN64" s="1433" t="str">
        <f>IFERROR(VLOOKUP(CONCATENATE($B$8,"_",$B64),Data!$BO$16:$ES$1015,BN$11,FALSE),"")</f>
        <v/>
      </c>
      <c r="BO64" s="1433" t="str">
        <f>IFERROR(VLOOKUP(CONCATENATE($B$8,"_",$B64),Data!$BO$16:$ES$1015,BO$11,FALSE),"")</f>
        <v/>
      </c>
      <c r="BP64" s="1433" t="str">
        <f>IFERROR(VLOOKUP(CONCATENATE($B$8,"_",$B64),Data!$BO$16:$ES$1015,BP$11,FALSE),"")</f>
        <v/>
      </c>
      <c r="BQ64" s="1433" t="str">
        <f>IFERROR(VLOOKUP(CONCATENATE($B$8,"_",$B64),Data!$BO$16:$ES$1015,BQ$11,FALSE),"")</f>
        <v/>
      </c>
      <c r="BR64" s="1434" t="str">
        <f>IFERROR(VLOOKUP(CONCATENATE($B$8,"_",$B64),Data!$BO$16:$ES$1015,BR$11,FALSE),"")</f>
        <v/>
      </c>
      <c r="BS64" s="1434" t="str">
        <f>IFERROR(VLOOKUP(CONCATENATE($B$8,"_",$B64),Data!$BO$16:$ES$1015,BS$11,FALSE),"")</f>
        <v/>
      </c>
      <c r="BT64" s="1434" t="str">
        <f>IFERROR(VLOOKUP(CONCATENATE($B$8,"_",$B64),Data!$BO$16:$ES$1015,BT$11,FALSE),"")</f>
        <v/>
      </c>
      <c r="BU64" s="1434" t="str">
        <f>IFERROR(VLOOKUP(CONCATENATE($B$8,"_",$B64),Data!$BO$16:$ES$1015,BU$11,FALSE),"")</f>
        <v/>
      </c>
      <c r="BV64" s="1434" t="str">
        <f>IFERROR(VLOOKUP(CONCATENATE($B$8,"_",$B64),Data!$BO$16:$ES$1015,BV$11,FALSE),"")</f>
        <v/>
      </c>
      <c r="BW64" s="1434" t="str">
        <f>IFERROR(VLOOKUP(CONCATENATE($B$8,"_",$B64),Data!$BO$16:$ES$1015,BW$11,FALSE),"")</f>
        <v/>
      </c>
      <c r="BX64" s="1434" t="str">
        <f>IFERROR(VLOOKUP(CONCATENATE($B$8,"_",$B64),Data!$BO$16:$ES$1015,BX$11,FALSE),"")</f>
        <v/>
      </c>
      <c r="BY64" s="1428" t="str">
        <f>IFERROR(VLOOKUP(CONCATENATE($B$8,"_",$B64),Data!$BO$16:$ES$1015,BY$11,FALSE),"")</f>
        <v/>
      </c>
      <c r="BZ64" s="1428" t="str">
        <f>IFERROR(VLOOKUP(CONCATENATE($B$8,"_",$B64),Data!$BO$16:$ES$1015,BZ$11,FALSE),"")</f>
        <v/>
      </c>
      <c r="CA64" s="1428" t="str">
        <f>IFERROR(VLOOKUP(CONCATENATE($B$8,"_",$B64),Data!$BO$16:$ES$1015,CA$11,FALSE),"")</f>
        <v/>
      </c>
      <c r="CB64" s="1428" t="str">
        <f>IFERROR(VLOOKUP(CONCATENATE($B$8,"_",$B64),Data!$BO$16:$ES$1015,CB$11,FALSE),"")</f>
        <v/>
      </c>
      <c r="CC64" s="1428" t="str">
        <f>IFERROR(VLOOKUP(CONCATENATE($B$8,"_",$B64),Data!$BO$16:$ES$1015,CC$11,FALSE),"")</f>
        <v/>
      </c>
      <c r="CD64" s="1428" t="str">
        <f>IFERROR(VLOOKUP(CONCATENATE($B$8,"_",$B64),Data!$BO$16:$ES$1015,CD$11,FALSE),"")</f>
        <v/>
      </c>
      <c r="CE64" s="1428" t="str">
        <f>IFERROR(VLOOKUP(CONCATENATE($B$8,"_",$B64),Data!$BO$16:$ES$1015,CE$11,FALSE),"")</f>
        <v/>
      </c>
      <c r="CF64" s="1428" t="str">
        <f>IFERROR(VLOOKUP(CONCATENATE($B$8,"_",$B64),Data!$BO$16:$ES$1015,CF$11,FALSE),"")</f>
        <v/>
      </c>
      <c r="CG64" s="1428" t="str">
        <f>IFERROR(VLOOKUP(CONCATENATE($B$8,"_",$B64),Data!$BO$16:$ES$1015,CG$11,FALSE),"")</f>
        <v/>
      </c>
      <c r="CH64" s="1428" t="str">
        <f>IFERROR(VLOOKUP(CONCATENATE($B$8,"_",$B64),Data!$BO$16:$ES$1015,CH$11,FALSE),"")</f>
        <v/>
      </c>
      <c r="CI64" s="1428" t="str">
        <f>IFERROR(VLOOKUP(CONCATENATE($B$8,"_",$B64),Data!$BO$16:$ES$1015,CI$11,FALSE),"")</f>
        <v/>
      </c>
      <c r="CJ64" s="1428" t="str">
        <f>IFERROR(VLOOKUP(CONCATENATE($B$8,"_",$B64),Data!$BO$16:$ES$1015,CJ$11,FALSE),"")</f>
        <v/>
      </c>
      <c r="CK64" s="1428" t="str">
        <f>IFERROR(VLOOKUP(CONCATENATE($B$8,"_",$B64),Data!$BO$16:$ES$1015,CK$11,FALSE),"")</f>
        <v/>
      </c>
      <c r="CL64" s="1428" t="str">
        <f>IFERROR(VLOOKUP(CONCATENATE($B$8,"_",$B64),Data!$BO$16:$ES$1015,CL$11,FALSE),"")</f>
        <v/>
      </c>
      <c r="CM64" s="1428" t="str">
        <f>IFERROR(VLOOKUP(CONCATENATE($B$8,"_",$B64),Data!$BO$16:$ES$1015,CM$11,FALSE),"")</f>
        <v/>
      </c>
      <c r="CN64" s="1428" t="str">
        <f>IFERROR(VLOOKUP(CONCATENATE($B$8,"_",$B64),Data!$BO$16:$ES$1015,CN$11,FALSE),"")</f>
        <v/>
      </c>
      <c r="CO64" s="1428" t="str">
        <f>IFERROR(VLOOKUP(CONCATENATE($B$8,"_",$B64),Data!$BO$16:$ES$1015,CO$11,FALSE),"")</f>
        <v/>
      </c>
      <c r="CP64" s="1433" t="str">
        <f>IFERROR(VLOOKUP(CONCATENATE($B$8,"_",$B64),Data!$BO$16:$ES$1015,CP$11,FALSE),"")</f>
        <v/>
      </c>
      <c r="CQ64" s="1433" t="str">
        <f>IFERROR(VLOOKUP(CONCATENATE($B$8,"_",$B64),Data!$BO$16:$ES$1015,CQ$11,FALSE),"")</f>
        <v/>
      </c>
      <c r="CR64" s="1433" t="str">
        <f>IFERROR(VLOOKUP(CONCATENATE($B$8,"_",$B64),Data!$BO$16:$ES$1015,CR$11,FALSE),"")</f>
        <v/>
      </c>
      <c r="CS64" s="1433" t="str">
        <f>IFERROR(VLOOKUP(CONCATENATE($B$8,"_",$B64),Data!$BO$16:$ES$1015,CS$11,FALSE),"")</f>
        <v/>
      </c>
      <c r="CT64" s="1433" t="str">
        <f>IFERROR(VLOOKUP(CONCATENATE($B$8,"_",$B64),Data!$BO$16:$ES$1015,CT$11,FALSE),"")</f>
        <v/>
      </c>
      <c r="CU64" s="1433" t="str">
        <f>IFERROR(VLOOKUP(CONCATENATE($B$8,"_",$B64),Data!$BO$16:$ES$1015,CU$11,FALSE),"")</f>
        <v/>
      </c>
      <c r="CV64" s="1433" t="str">
        <f>IFERROR(VLOOKUP(CONCATENATE($B$8,"_",$B64),Data!$BO$16:$ES$1015,CV$11,FALSE),"")</f>
        <v/>
      </c>
      <c r="CW64" s="1433" t="str">
        <f>IFERROR(VLOOKUP(CONCATENATE($B$8,"_",$B64),Data!$BO$16:$ES$1015,CW$11,FALSE),"")</f>
        <v/>
      </c>
      <c r="CX64" s="1433" t="str">
        <f>IFERROR(VLOOKUP(CONCATENATE($B$8,"_",$B64),Data!$BO$16:$ES$1015,CX$11,FALSE),"")</f>
        <v/>
      </c>
      <c r="CY64" s="1433" t="str">
        <f>IFERROR(VLOOKUP(CONCATENATE($B$8,"_",$B64),Data!$BO$16:$ES$1015,CY$11,FALSE),"")</f>
        <v/>
      </c>
      <c r="CZ64" s="1433" t="str">
        <f>IFERROR(VLOOKUP(CONCATENATE($B$8,"_",$B64),Data!$BO$16:$ES$1015,CZ$11,FALSE),"")</f>
        <v/>
      </c>
      <c r="DA64" s="1433" t="str">
        <f>IFERROR(VLOOKUP(CONCATENATE($B$8,"_",$B64),Data!$BO$16:$ES$1015,DA$11,FALSE),"")</f>
        <v/>
      </c>
      <c r="DB64" s="1433" t="str">
        <f>IFERROR(VLOOKUP(CONCATENATE($B$8,"_",$B64),Data!$BO$16:$ES$1015,DB$11,FALSE),"")</f>
        <v/>
      </c>
      <c r="DC64" s="1433" t="str">
        <f>IFERROR(VLOOKUP(CONCATENATE($B$8,"_",$B64),Data!$BO$16:$ES$1015,DC$11,FALSE),"")</f>
        <v/>
      </c>
      <c r="DD64" s="1433" t="str">
        <f>IFERROR(VLOOKUP(CONCATENATE($B$8,"_",$B64),Data!$BO$16:$ES$1015,DD$11,FALSE),"")</f>
        <v/>
      </c>
      <c r="DE64" s="1433" t="str">
        <f>IFERROR(VLOOKUP(CONCATENATE($B$8,"_",$B64),Data!$BO$16:$ES$1015,DE$11,FALSE),"")</f>
        <v/>
      </c>
      <c r="DF64" s="1433" t="str">
        <f>IFERROR(VLOOKUP(CONCATENATE($B$8,"_",$B64),Data!$BO$16:$ES$1015,DF$11,FALSE),"")</f>
        <v/>
      </c>
      <c r="DG64" s="1433" t="str">
        <f>IFERROR(VLOOKUP(CONCATENATE($B$8,"_",$B64),Data!$BO$16:$ES$1015,DG$11,FALSE),"")</f>
        <v/>
      </c>
      <c r="DH64" s="1433" t="str">
        <f>IFERROR(VLOOKUP(CONCATENATE($B$8,"_",$B64),Data!$BO$16:$ES$1015,DH$11,FALSE),"")</f>
        <v/>
      </c>
      <c r="DI64" s="1433" t="str">
        <f>IFERROR(VLOOKUP(CONCATENATE($B$8,"_",$B64),Data!$BO$16:$ES$1015,DI$11,FALSE),"")</f>
        <v/>
      </c>
      <c r="DJ64" s="1433" t="str">
        <f>IFERROR(VLOOKUP(CONCATENATE($B$8,"_",$B64),Data!$BO$16:$ES$1015,DJ$11,FALSE),"")</f>
        <v/>
      </c>
      <c r="DK64" s="1433" t="str">
        <f>IFERROR(VLOOKUP(CONCATENATE($B$8,"_",$B64),Data!$BO$16:$ES$1015,DK$11,FALSE),"")</f>
        <v/>
      </c>
      <c r="DL64" s="1435" t="str">
        <f>IFERROR(VLOOKUP(CONCATENATE($B$8,"_",$B64),Data!$BO$16:$ES$1015,DL$11,FALSE),"")</f>
        <v/>
      </c>
      <c r="DM64" s="1434" t="str">
        <f>IFERROR(VLOOKUP(CONCATENATE($B$8,"_",$B64),Data!$BO$16:$ES$1015,DM$11,FALSE),"")</f>
        <v/>
      </c>
      <c r="DN64" s="1434" t="str">
        <f>IFERROR(VLOOKUP(CONCATENATE($B$8,"_",$B64),Data!$BO$16:$ES$1015,DN$11,FALSE),"")</f>
        <v/>
      </c>
      <c r="DO64" s="1434" t="str">
        <f>IFERROR(VLOOKUP(CONCATENATE($B$8,"_",$B64),Data!$BO$16:$ES$1015,DO$11,FALSE),"")</f>
        <v/>
      </c>
      <c r="DP64" s="1434" t="str">
        <f>IFERROR(VLOOKUP(CONCATENATE($B$8,"_",$B64),Data!$BO$16:$ES$1015,DP$11,FALSE),"")</f>
        <v/>
      </c>
      <c r="DQ64" s="1434" t="str">
        <f>IFERROR(VLOOKUP(CONCATENATE($B$8,"_",$B64),Data!$BO$16:$ES$1015,DQ$11,FALSE),"")</f>
        <v/>
      </c>
      <c r="DR64" s="1434" t="str">
        <f>IFERROR(VLOOKUP(CONCATENATE($B$8,"_",$B64),Data!$BO$16:$ES$1015,DR$11,FALSE),"")</f>
        <v/>
      </c>
      <c r="DS64" s="1434" t="str">
        <f>IFERROR(VLOOKUP(CONCATENATE($B$8,"_",$B64),Data!$BO$16:$ES$1015,DS$11,FALSE),"")</f>
        <v/>
      </c>
      <c r="DT64" s="1434" t="str">
        <f>IFERROR(VLOOKUP(CONCATENATE($B$8,"_",$B64),Data!$BO$16:$ES$1015,DT$11,FALSE),"")</f>
        <v/>
      </c>
      <c r="DU64" s="1434" t="str">
        <f>IFERROR(VLOOKUP(CONCATENATE($B$8,"_",$B64),Data!$BO$16:$ES$1015,DU$11,FALSE),"")</f>
        <v/>
      </c>
      <c r="DV64" s="1434" t="str">
        <f>IFERROR(VLOOKUP(CONCATENATE($B$8,"_",$B64),Data!$BO$16:$ES$1015,DV$11,FALSE),"")</f>
        <v/>
      </c>
      <c r="DW64" s="1434" t="str">
        <f>IFERROR(VLOOKUP(CONCATENATE($B$8,"_",$B64),Data!$BO$16:$ES$1015,DW$11,FALSE),"")</f>
        <v/>
      </c>
      <c r="DX64" s="1434" t="str">
        <f>IFERROR(VLOOKUP(CONCATENATE($B$8,"_",$B64),Data!$BO$16:$ES$1015,DX$11,FALSE),"")</f>
        <v/>
      </c>
      <c r="DY64" s="1434" t="str">
        <f>IFERROR(VLOOKUP(CONCATENATE($B$8,"_",$B64),Data!$BO$16:$ES$1015,DY$11,FALSE),"")</f>
        <v/>
      </c>
      <c r="DZ64" s="1434" t="str">
        <f>IFERROR(VLOOKUP(CONCATENATE($B$8,"_",$B64),Data!$BO$16:$ES$1015,DZ$11,FALSE),"")</f>
        <v/>
      </c>
      <c r="EA64" s="1434" t="str">
        <f>IFERROR(VLOOKUP(CONCATENATE($B$8,"_",$B64),Data!$BO$16:$ES$1015,EA$11,FALSE),"")</f>
        <v/>
      </c>
      <c r="EB64" s="1434" t="str">
        <f>IFERROR(VLOOKUP(CONCATENATE($B$8,"_",$B64),Data!$BO$16:$ES$1015,EB$11,FALSE),"")</f>
        <v/>
      </c>
      <c r="EC64" s="1434" t="str">
        <f>IFERROR(VLOOKUP(CONCATENATE($B$8,"_",$B64),Data!$BO$16:$ES$1015,EC$11,FALSE),"")</f>
        <v/>
      </c>
      <c r="ED64" s="1434" t="str">
        <f>IFERROR(VLOOKUP(CONCATENATE($B$8,"_",$B64),Data!$BO$16:$ES$1015,ED$11,FALSE),"")</f>
        <v/>
      </c>
      <c r="EE64" s="1434" t="str">
        <f>IFERROR(VLOOKUP(CONCATENATE($B$8,"_",$B64),Data!$BO$16:$ES$1015,EE$11,FALSE),"")</f>
        <v/>
      </c>
      <c r="EF64" s="1434" t="str">
        <f>IFERROR(VLOOKUP(CONCATENATE($B$8,"_",$B64),Data!$BO$16:$ES$1015,EF$11,FALSE),"")</f>
        <v/>
      </c>
      <c r="EG64" s="1434" t="str">
        <f>IFERROR(VLOOKUP(CONCATENATE($B$8,"_",$B64),Data!$BO$16:$ES$1015,EG$11,FALSE),"")</f>
        <v/>
      </c>
      <c r="EH64" s="1434" t="str">
        <f>IFERROR(VLOOKUP(CONCATENATE($B$8,"_",$B64),Data!$BO$16:$ES$1015,EH$11,FALSE),"")</f>
        <v/>
      </c>
      <c r="EI64" s="1434" t="str">
        <f>IFERROR(VLOOKUP(CONCATENATE($B$8,"_",$B64),Data!$BO$16:$ES$1015,EI$11,FALSE),"")</f>
        <v/>
      </c>
      <c r="EK64" s="1437"/>
    </row>
    <row r="65" spans="1:141" s="1436" customFormat="1" ht="15" customHeight="1">
      <c r="A65" s="1438">
        <v>52</v>
      </c>
      <c r="B65" s="1738" t="str">
        <f>IF($B$13+A65&lt;=Progress!$D$18,$B$13+A65,"")</f>
        <v/>
      </c>
      <c r="C65" s="1737" t="str">
        <f>IFERROR(VLOOKUP(CONCATENATE($B$8,"_",$B65),Data!$H$16:$BN$1015,C$11,FALSE),"")</f>
        <v/>
      </c>
      <c r="D65" s="1428" t="str">
        <f>IFERROR(VLOOKUP(CONCATENATE($B$8,"_",$B65),Data!$H$16:$BN$1015,D$11,FALSE),"")</f>
        <v/>
      </c>
      <c r="E65" s="1429" t="str">
        <f>IFERROR(VLOOKUP(CONCATENATE($B$8,"_",$B65),Data!$H$16:$BN$1015,E$11,FALSE),"")</f>
        <v/>
      </c>
      <c r="F65" s="1428" t="str">
        <f>IFERROR(VLOOKUP(CONCATENATE($B$8,"_",$B65),Data!$H$16:$BN$1015,F$11,FALSE),"")</f>
        <v/>
      </c>
      <c r="G65" s="1428" t="str">
        <f>IFERROR(VLOOKUP(CONCATENATE($B$8,"_",$B65),Data!$H$16:$BN$1015,G$11,FALSE),"")</f>
        <v/>
      </c>
      <c r="H65" s="1429" t="str">
        <f>IFERROR(VLOOKUP(CONCATENATE($B$8,"_",$B65),Data!$H$16:$BN$1015,H$11,FALSE),"")</f>
        <v/>
      </c>
      <c r="I65" s="1428" t="str">
        <f>IFERROR(VLOOKUP(CONCATENATE($B$8,"_",$B65),Data!$H$16:$BN$1015,I$11,FALSE),"")</f>
        <v/>
      </c>
      <c r="J65" s="1428" t="str">
        <f>IFERROR(VLOOKUP(CONCATENATE($B$8,"_",$B65),Data!$H$16:$BN$1015,J$11,FALSE),"")</f>
        <v/>
      </c>
      <c r="K65" s="1429" t="str">
        <f>IFERROR(VLOOKUP(CONCATENATE($B$8,"_",$B65),Data!$H$16:$BN$1015,K$11,FALSE),"")</f>
        <v/>
      </c>
      <c r="L65" s="1428" t="str">
        <f>IFERROR(VLOOKUP(CONCATENATE($B$8,"_",$B65),Data!$H$16:$BN$1015,L$11,FALSE),"")</f>
        <v/>
      </c>
      <c r="M65" s="1428" t="str">
        <f>IFERROR(VLOOKUP(CONCATENATE($B$8,"_",$B65),Data!$H$16:$BN$1015,M$11,FALSE),"")</f>
        <v/>
      </c>
      <c r="N65" s="1429" t="str">
        <f>IFERROR(VLOOKUP(CONCATENATE($B$8,"_",$B65),Data!$H$16:$BN$1015,N$11,FALSE),"")</f>
        <v/>
      </c>
      <c r="O65" s="1430" t="str">
        <f>IFERROR(VLOOKUP(CONCATENATE($B$8,"_",$B65),Data!$H$16:$BN$1015,O$11,FALSE),"")</f>
        <v/>
      </c>
      <c r="P65" s="1428" t="str">
        <f>IFERROR(VLOOKUP(CONCATENATE($B$8,"_",$B65),Data!$H$16:$BN$1015,P$11,FALSE),"")</f>
        <v/>
      </c>
      <c r="Q65" s="1428" t="str">
        <f>IFERROR(VLOOKUP(CONCATENATE($B$8,"_",$B65),Data!$H$16:$BN$1015,Q$11,FALSE),"")</f>
        <v/>
      </c>
      <c r="R65" s="1429" t="str">
        <f>IFERROR(VLOOKUP(CONCATENATE($B$8,"_",$B65),Data!$H$16:$BN$1015,R$11,FALSE),"")</f>
        <v/>
      </c>
      <c r="S65" s="1428" t="str">
        <f>IFERROR(VLOOKUP(CONCATENATE($B$8,"_",$B65),Data!$H$16:$BN$1015,S$11,FALSE),"")</f>
        <v/>
      </c>
      <c r="T65" s="1428" t="str">
        <f>IFERROR(VLOOKUP(CONCATENATE($B$8,"_",$B65),Data!$H$16:$BN$1015,T$11,FALSE),"")</f>
        <v/>
      </c>
      <c r="U65" s="1429" t="str">
        <f>IFERROR(VLOOKUP(CONCATENATE($B$8,"_",$B65),Data!$H$16:$BN$1015,U$11,FALSE),"")</f>
        <v/>
      </c>
      <c r="V65" s="1428" t="str">
        <f>IFERROR(VLOOKUP(CONCATENATE($B$8,"_",$B65),Data!$H$16:$BN$1015,V$11,FALSE),"")</f>
        <v/>
      </c>
      <c r="W65" s="1428" t="str">
        <f>IFERROR(VLOOKUP(CONCATENATE($B$8,"_",$B65),Data!$H$16:$BN$1015,W$11,FALSE),"")</f>
        <v/>
      </c>
      <c r="X65" s="1428" t="str">
        <f>IFERROR(VLOOKUP(CONCATENATE($B$8,"_",$B65),Data!$H$16:$BN$1015,X$11,FALSE),"")</f>
        <v/>
      </c>
      <c r="Y65" s="1428" t="str">
        <f>IFERROR(VLOOKUP(CONCATENATE($B$8,"_",$B65),Data!$H$16:$BN$1015,Y$11,FALSE),"")</f>
        <v/>
      </c>
      <c r="Z65" s="1429" t="str">
        <f>IFERROR(VLOOKUP(CONCATENATE($B$8,"_",$B65),Data!$H$16:$BN$1015,Z$11,FALSE),"")</f>
        <v/>
      </c>
      <c r="AA65" s="1428" t="str">
        <f>IFERROR(VLOOKUP(CONCATENATE($B$8,"_",$B65),Data!$H$16:$BN$1015,AA$11,FALSE),"")</f>
        <v/>
      </c>
      <c r="AB65" s="1428" t="str">
        <f>IFERROR(VLOOKUP(CONCATENATE($B$8,"_",$B65),Data!$H$16:$BN$1015,AB$11,FALSE),"")</f>
        <v/>
      </c>
      <c r="AC65" s="1429" t="str">
        <f>IFERROR(VLOOKUP(CONCATENATE($B$8,"_",$B65),Data!$H$16:$BN$1015,AC$11,FALSE),"")</f>
        <v/>
      </c>
      <c r="AD65" s="1428" t="str">
        <f>IFERROR(VLOOKUP(CONCATENATE($B$8,"_",$B65),Data!$H$16:$BN$1015,AD$11,FALSE),"")</f>
        <v/>
      </c>
      <c r="AE65" s="1428" t="str">
        <f>IFERROR(VLOOKUP(CONCATENATE($B$8,"_",$B65),Data!$H$16:$BN$1015,AE$11,FALSE),"")</f>
        <v/>
      </c>
      <c r="AF65" s="1429" t="str">
        <f>IFERROR(VLOOKUP(CONCATENATE($B$8,"_",$B65),Data!$H$16:$BN$1015,AF$11,FALSE),"")</f>
        <v/>
      </c>
      <c r="AG65" s="1428" t="str">
        <f>IFERROR(VLOOKUP(CONCATENATE($B$8,"_",$B65),Data!$H$16:$BN$1015,AG$11,FALSE),"")</f>
        <v/>
      </c>
      <c r="AH65" s="1428" t="str">
        <f>IFERROR(VLOOKUP(CONCATENATE($B$8,"_",$B65),Data!$H$16:$BN$1015,AH$11,FALSE),"")</f>
        <v/>
      </c>
      <c r="AI65" s="1429" t="str">
        <f>IFERROR(VLOOKUP(CONCATENATE($B$8,"_",$B65),Data!$H$16:$BN$1015,AI$11,FALSE),"")</f>
        <v/>
      </c>
      <c r="AJ65" s="1428" t="str">
        <f>IFERROR(VLOOKUP(CONCATENATE($B$8,"_",$B65),Data!$H$16:$BN$1015,AJ$11,FALSE),"")</f>
        <v/>
      </c>
      <c r="AK65" s="1428" t="str">
        <f>IFERROR(VLOOKUP(CONCATENATE($B$8,"_",$B65),Data!$H$16:$BN$1015,AK$11,FALSE),"")</f>
        <v/>
      </c>
      <c r="AL65" s="1429" t="str">
        <f>IFERROR(VLOOKUP(CONCATENATE($B$8,"_",$B65),Data!$H$16:$BN$1015,AL$11,FALSE),"")</f>
        <v/>
      </c>
      <c r="AM65" s="1428" t="str">
        <f>IFERROR(VLOOKUP(CONCATENATE($B$8,"_",$B65),Data!$H$16:$BN$1015,AM$11,FALSE),"")</f>
        <v/>
      </c>
      <c r="AN65" s="1428" t="str">
        <f>IFERROR(VLOOKUP(CONCATENATE($B$8,"_",$B65),Data!$H$16:$BN$1015,AN$11,FALSE),"")</f>
        <v/>
      </c>
      <c r="AO65" s="1430" t="str">
        <f>IFERROR(VLOOKUP(CONCATENATE($B$8,"_",$B65),Data!$H$16:$BN$1015,AO$11,FALSE),"")</f>
        <v/>
      </c>
      <c r="AP65" s="1428" t="str">
        <f>IFERROR(VLOOKUP(CONCATENATE($B$8,"_",$B65),Data!$H$16:$BN$1015,AP$11,FALSE),"")</f>
        <v/>
      </c>
      <c r="AQ65" s="1428" t="str">
        <f>IFERROR(VLOOKUP(CONCATENATE($B$8,"_",$B65),Data!$H$16:$BN$1015,AQ$11,FALSE),"")</f>
        <v/>
      </c>
      <c r="AR65" s="1430" t="str">
        <f>IFERROR(VLOOKUP(CONCATENATE($B$8,"_",$B65),Data!$H$16:$BN$1015,AR$11,FALSE),"")</f>
        <v/>
      </c>
      <c r="AS65" s="1428" t="str">
        <f>IFERROR(VLOOKUP(CONCATENATE($B$8,"_",$B65),Data!$H$16:$BN$1015,AS$11,FALSE),"")</f>
        <v/>
      </c>
      <c r="AT65" s="1428" t="str">
        <f>IFERROR(VLOOKUP(CONCATENATE($B$8,"_",$B65),Data!$H$16:$BN$1015,AT$11,FALSE),"")</f>
        <v/>
      </c>
      <c r="AU65" s="1430" t="str">
        <f>IFERROR(VLOOKUP(CONCATENATE($B$8,"_",$B65),Data!$H$16:$BN$1015,AU$11,FALSE),"")</f>
        <v/>
      </c>
      <c r="AV65" s="1428" t="str">
        <f>IFERROR(VLOOKUP(CONCATENATE($B$8,"_",$B65),Data!$H$16:$BN$1015,AV$11,FALSE),"")</f>
        <v/>
      </c>
      <c r="AW65" s="1428" t="str">
        <f>IFERROR(VLOOKUP(CONCATENATE($B$8,"_",$B65),Data!$H$16:$BN$1015,AW$11,FALSE),"")</f>
        <v/>
      </c>
      <c r="AX65" s="1430" t="str">
        <f>IFERROR(VLOOKUP(CONCATENATE($B$8,"_",$B65),Data!$H$16:$BN$1015,AX$11,FALSE),"")</f>
        <v/>
      </c>
      <c r="AY65" s="1429" t="str">
        <f>IFERROR(VLOOKUP(CONCATENATE($B$8,"_",$B65),Data!$H$16:$BN$1015,AY$11,FALSE),"")</f>
        <v/>
      </c>
      <c r="AZ65" s="1429" t="str">
        <f>IFERROR(VLOOKUP(CONCATENATE($B$8,"_",$B65),Data!$H$16:$BN$1015,AZ$11,FALSE),"")</f>
        <v/>
      </c>
      <c r="BA65" s="1429" t="str">
        <f>IFERROR(VLOOKUP(CONCATENATE($B$8,"_",$B65),Data!$H$16:$BN$1015,BA$11,FALSE),"")</f>
        <v/>
      </c>
      <c r="BB65" s="1429" t="str">
        <f>IFERROR(VLOOKUP(CONCATENATE($B$8,"_",$B65),Data!$H$16:$BN$1015,BB$11,FALSE),"")</f>
        <v/>
      </c>
      <c r="BC65" s="1429" t="str">
        <f>IFERROR(VLOOKUP(CONCATENATE($B$8,"_",$B65),Data!$H$16:$BN$1015,BC$11,FALSE),"")</f>
        <v/>
      </c>
      <c r="BD65" s="1431" t="str">
        <f>IFERROR(VLOOKUP(CONCATENATE($B$8,"_",$B65),Data!$H$16:$BN$1015,BD$11,FALSE),"")</f>
        <v/>
      </c>
      <c r="BE65" s="1439" t="str">
        <f t="shared" si="0"/>
        <v/>
      </c>
      <c r="BF65" s="1428" t="str">
        <f>IFERROR(VLOOKUP(CONCATENATE($B$8,"_",$B65),Data!$BO$16:$ES$1015,BF$11,FALSE),"")</f>
        <v/>
      </c>
      <c r="BG65" s="1433" t="str">
        <f>IFERROR(VLOOKUP(CONCATENATE($B$8,"_",$B65),Data!$BO$16:$ES$1015,BG$11,FALSE),"")</f>
        <v/>
      </c>
      <c r="BH65" s="1435" t="str">
        <f>IFERROR(VLOOKUP(CONCATENATE($B$8,"_",$B65),Data!$BO$16:$ES$1015,BH$11,FALSE),"")</f>
        <v/>
      </c>
      <c r="BI65" s="1434" t="str">
        <f>IFERROR(VLOOKUP(CONCATENATE($B$8,"_",$B65),Data!$BO$16:$ES$1015,BI$11,FALSE),"")</f>
        <v/>
      </c>
      <c r="BJ65" s="1428" t="str">
        <f>IFERROR(VLOOKUP(CONCATENATE($B$8,"_",$B65),Data!$BO$16:$ES$1015,BJ$11,FALSE),"")</f>
        <v/>
      </c>
      <c r="BK65" s="1428" t="str">
        <f>IFERROR(VLOOKUP(CONCATENATE($B$8,"_",$B65),Data!$BO$16:$ES$1015,BK$11,FALSE),"")</f>
        <v/>
      </c>
      <c r="BL65" s="1428" t="str">
        <f>IFERROR(VLOOKUP(CONCATENATE($B$8,"_",$B65),Data!$BO$16:$ES$1015,BL$11,FALSE),"")</f>
        <v/>
      </c>
      <c r="BM65" s="1433" t="str">
        <f>IFERROR(VLOOKUP(CONCATENATE($B$8,"_",$B65),Data!$BO$16:$ES$1015,BM$11,FALSE),"")</f>
        <v/>
      </c>
      <c r="BN65" s="1433" t="str">
        <f>IFERROR(VLOOKUP(CONCATENATE($B$8,"_",$B65),Data!$BO$16:$ES$1015,BN$11,FALSE),"")</f>
        <v/>
      </c>
      <c r="BO65" s="1433" t="str">
        <f>IFERROR(VLOOKUP(CONCATENATE($B$8,"_",$B65),Data!$BO$16:$ES$1015,BO$11,FALSE),"")</f>
        <v/>
      </c>
      <c r="BP65" s="1433" t="str">
        <f>IFERROR(VLOOKUP(CONCATENATE($B$8,"_",$B65),Data!$BO$16:$ES$1015,BP$11,FALSE),"")</f>
        <v/>
      </c>
      <c r="BQ65" s="1433" t="str">
        <f>IFERROR(VLOOKUP(CONCATENATE($B$8,"_",$B65),Data!$BO$16:$ES$1015,BQ$11,FALSE),"")</f>
        <v/>
      </c>
      <c r="BR65" s="1434" t="str">
        <f>IFERROR(VLOOKUP(CONCATENATE($B$8,"_",$B65),Data!$BO$16:$ES$1015,BR$11,FALSE),"")</f>
        <v/>
      </c>
      <c r="BS65" s="1434" t="str">
        <f>IFERROR(VLOOKUP(CONCATENATE($B$8,"_",$B65),Data!$BO$16:$ES$1015,BS$11,FALSE),"")</f>
        <v/>
      </c>
      <c r="BT65" s="1434" t="str">
        <f>IFERROR(VLOOKUP(CONCATENATE($B$8,"_",$B65),Data!$BO$16:$ES$1015,BT$11,FALSE),"")</f>
        <v/>
      </c>
      <c r="BU65" s="1434" t="str">
        <f>IFERROR(VLOOKUP(CONCATENATE($B$8,"_",$B65),Data!$BO$16:$ES$1015,BU$11,FALSE),"")</f>
        <v/>
      </c>
      <c r="BV65" s="1434" t="str">
        <f>IFERROR(VLOOKUP(CONCATENATE($B$8,"_",$B65),Data!$BO$16:$ES$1015,BV$11,FALSE),"")</f>
        <v/>
      </c>
      <c r="BW65" s="1434" t="str">
        <f>IFERROR(VLOOKUP(CONCATENATE($B$8,"_",$B65),Data!$BO$16:$ES$1015,BW$11,FALSE),"")</f>
        <v/>
      </c>
      <c r="BX65" s="1434" t="str">
        <f>IFERROR(VLOOKUP(CONCATENATE($B$8,"_",$B65),Data!$BO$16:$ES$1015,BX$11,FALSE),"")</f>
        <v/>
      </c>
      <c r="BY65" s="1428" t="str">
        <f>IFERROR(VLOOKUP(CONCATENATE($B$8,"_",$B65),Data!$BO$16:$ES$1015,BY$11,FALSE),"")</f>
        <v/>
      </c>
      <c r="BZ65" s="1428" t="str">
        <f>IFERROR(VLOOKUP(CONCATENATE($B$8,"_",$B65),Data!$BO$16:$ES$1015,BZ$11,FALSE),"")</f>
        <v/>
      </c>
      <c r="CA65" s="1428" t="str">
        <f>IFERROR(VLOOKUP(CONCATENATE($B$8,"_",$B65),Data!$BO$16:$ES$1015,CA$11,FALSE),"")</f>
        <v/>
      </c>
      <c r="CB65" s="1428" t="str">
        <f>IFERROR(VLOOKUP(CONCATENATE($B$8,"_",$B65),Data!$BO$16:$ES$1015,CB$11,FALSE),"")</f>
        <v/>
      </c>
      <c r="CC65" s="1428" t="str">
        <f>IFERROR(VLOOKUP(CONCATENATE($B$8,"_",$B65),Data!$BO$16:$ES$1015,CC$11,FALSE),"")</f>
        <v/>
      </c>
      <c r="CD65" s="1428" t="str">
        <f>IFERROR(VLOOKUP(CONCATENATE($B$8,"_",$B65),Data!$BO$16:$ES$1015,CD$11,FALSE),"")</f>
        <v/>
      </c>
      <c r="CE65" s="1428" t="str">
        <f>IFERROR(VLOOKUP(CONCATENATE($B$8,"_",$B65),Data!$BO$16:$ES$1015,CE$11,FALSE),"")</f>
        <v/>
      </c>
      <c r="CF65" s="1428" t="str">
        <f>IFERROR(VLOOKUP(CONCATENATE($B$8,"_",$B65),Data!$BO$16:$ES$1015,CF$11,FALSE),"")</f>
        <v/>
      </c>
      <c r="CG65" s="1428" t="str">
        <f>IFERROR(VLOOKUP(CONCATENATE($B$8,"_",$B65),Data!$BO$16:$ES$1015,CG$11,FALSE),"")</f>
        <v/>
      </c>
      <c r="CH65" s="1428" t="str">
        <f>IFERROR(VLOOKUP(CONCATENATE($B$8,"_",$B65),Data!$BO$16:$ES$1015,CH$11,FALSE),"")</f>
        <v/>
      </c>
      <c r="CI65" s="1428" t="str">
        <f>IFERROR(VLOOKUP(CONCATENATE($B$8,"_",$B65),Data!$BO$16:$ES$1015,CI$11,FALSE),"")</f>
        <v/>
      </c>
      <c r="CJ65" s="1428" t="str">
        <f>IFERROR(VLOOKUP(CONCATENATE($B$8,"_",$B65),Data!$BO$16:$ES$1015,CJ$11,FALSE),"")</f>
        <v/>
      </c>
      <c r="CK65" s="1428" t="str">
        <f>IFERROR(VLOOKUP(CONCATENATE($B$8,"_",$B65),Data!$BO$16:$ES$1015,CK$11,FALSE),"")</f>
        <v/>
      </c>
      <c r="CL65" s="1428" t="str">
        <f>IFERROR(VLOOKUP(CONCATENATE($B$8,"_",$B65),Data!$BO$16:$ES$1015,CL$11,FALSE),"")</f>
        <v/>
      </c>
      <c r="CM65" s="1428" t="str">
        <f>IFERROR(VLOOKUP(CONCATENATE($B$8,"_",$B65),Data!$BO$16:$ES$1015,CM$11,FALSE),"")</f>
        <v/>
      </c>
      <c r="CN65" s="1428" t="str">
        <f>IFERROR(VLOOKUP(CONCATENATE($B$8,"_",$B65),Data!$BO$16:$ES$1015,CN$11,FALSE),"")</f>
        <v/>
      </c>
      <c r="CO65" s="1428" t="str">
        <f>IFERROR(VLOOKUP(CONCATENATE($B$8,"_",$B65),Data!$BO$16:$ES$1015,CO$11,FALSE),"")</f>
        <v/>
      </c>
      <c r="CP65" s="1433" t="str">
        <f>IFERROR(VLOOKUP(CONCATENATE($B$8,"_",$B65),Data!$BO$16:$ES$1015,CP$11,FALSE),"")</f>
        <v/>
      </c>
      <c r="CQ65" s="1433" t="str">
        <f>IFERROR(VLOOKUP(CONCATENATE($B$8,"_",$B65),Data!$BO$16:$ES$1015,CQ$11,FALSE),"")</f>
        <v/>
      </c>
      <c r="CR65" s="1433" t="str">
        <f>IFERROR(VLOOKUP(CONCATENATE($B$8,"_",$B65),Data!$BO$16:$ES$1015,CR$11,FALSE),"")</f>
        <v/>
      </c>
      <c r="CS65" s="1433" t="str">
        <f>IFERROR(VLOOKUP(CONCATENATE($B$8,"_",$B65),Data!$BO$16:$ES$1015,CS$11,FALSE),"")</f>
        <v/>
      </c>
      <c r="CT65" s="1433" t="str">
        <f>IFERROR(VLOOKUP(CONCATENATE($B$8,"_",$B65),Data!$BO$16:$ES$1015,CT$11,FALSE),"")</f>
        <v/>
      </c>
      <c r="CU65" s="1433" t="str">
        <f>IFERROR(VLOOKUP(CONCATENATE($B$8,"_",$B65),Data!$BO$16:$ES$1015,CU$11,FALSE),"")</f>
        <v/>
      </c>
      <c r="CV65" s="1433" t="str">
        <f>IFERROR(VLOOKUP(CONCATENATE($B$8,"_",$B65),Data!$BO$16:$ES$1015,CV$11,FALSE),"")</f>
        <v/>
      </c>
      <c r="CW65" s="1433" t="str">
        <f>IFERROR(VLOOKUP(CONCATENATE($B$8,"_",$B65),Data!$BO$16:$ES$1015,CW$11,FALSE),"")</f>
        <v/>
      </c>
      <c r="CX65" s="1433" t="str">
        <f>IFERROR(VLOOKUP(CONCATENATE($B$8,"_",$B65),Data!$BO$16:$ES$1015,CX$11,FALSE),"")</f>
        <v/>
      </c>
      <c r="CY65" s="1433" t="str">
        <f>IFERROR(VLOOKUP(CONCATENATE($B$8,"_",$B65),Data!$BO$16:$ES$1015,CY$11,FALSE),"")</f>
        <v/>
      </c>
      <c r="CZ65" s="1433" t="str">
        <f>IFERROR(VLOOKUP(CONCATENATE($B$8,"_",$B65),Data!$BO$16:$ES$1015,CZ$11,FALSE),"")</f>
        <v/>
      </c>
      <c r="DA65" s="1433" t="str">
        <f>IFERROR(VLOOKUP(CONCATENATE($B$8,"_",$B65),Data!$BO$16:$ES$1015,DA$11,FALSE),"")</f>
        <v/>
      </c>
      <c r="DB65" s="1433" t="str">
        <f>IFERROR(VLOOKUP(CONCATENATE($B$8,"_",$B65),Data!$BO$16:$ES$1015,DB$11,FALSE),"")</f>
        <v/>
      </c>
      <c r="DC65" s="1433" t="str">
        <f>IFERROR(VLOOKUP(CONCATENATE($B$8,"_",$B65),Data!$BO$16:$ES$1015,DC$11,FALSE),"")</f>
        <v/>
      </c>
      <c r="DD65" s="1433" t="str">
        <f>IFERROR(VLOOKUP(CONCATENATE($B$8,"_",$B65),Data!$BO$16:$ES$1015,DD$11,FALSE),"")</f>
        <v/>
      </c>
      <c r="DE65" s="1433" t="str">
        <f>IFERROR(VLOOKUP(CONCATENATE($B$8,"_",$B65),Data!$BO$16:$ES$1015,DE$11,FALSE),"")</f>
        <v/>
      </c>
      <c r="DF65" s="1433" t="str">
        <f>IFERROR(VLOOKUP(CONCATENATE($B$8,"_",$B65),Data!$BO$16:$ES$1015,DF$11,FALSE),"")</f>
        <v/>
      </c>
      <c r="DG65" s="1433" t="str">
        <f>IFERROR(VLOOKUP(CONCATENATE($B$8,"_",$B65),Data!$BO$16:$ES$1015,DG$11,FALSE),"")</f>
        <v/>
      </c>
      <c r="DH65" s="1433" t="str">
        <f>IFERROR(VLOOKUP(CONCATENATE($B$8,"_",$B65),Data!$BO$16:$ES$1015,DH$11,FALSE),"")</f>
        <v/>
      </c>
      <c r="DI65" s="1433" t="str">
        <f>IFERROR(VLOOKUP(CONCATENATE($B$8,"_",$B65),Data!$BO$16:$ES$1015,DI$11,FALSE),"")</f>
        <v/>
      </c>
      <c r="DJ65" s="1433" t="str">
        <f>IFERROR(VLOOKUP(CONCATENATE($B$8,"_",$B65),Data!$BO$16:$ES$1015,DJ$11,FALSE),"")</f>
        <v/>
      </c>
      <c r="DK65" s="1433" t="str">
        <f>IFERROR(VLOOKUP(CONCATENATE($B$8,"_",$B65),Data!$BO$16:$ES$1015,DK$11,FALSE),"")</f>
        <v/>
      </c>
      <c r="DL65" s="1435" t="str">
        <f>IFERROR(VLOOKUP(CONCATENATE($B$8,"_",$B65),Data!$BO$16:$ES$1015,DL$11,FALSE),"")</f>
        <v/>
      </c>
      <c r="DM65" s="1434" t="str">
        <f>IFERROR(VLOOKUP(CONCATENATE($B$8,"_",$B65),Data!$BO$16:$ES$1015,DM$11,FALSE),"")</f>
        <v/>
      </c>
      <c r="DN65" s="1434" t="str">
        <f>IFERROR(VLOOKUP(CONCATENATE($B$8,"_",$B65),Data!$BO$16:$ES$1015,DN$11,FALSE),"")</f>
        <v/>
      </c>
      <c r="DO65" s="1434" t="str">
        <f>IFERROR(VLOOKUP(CONCATENATE($B$8,"_",$B65),Data!$BO$16:$ES$1015,DO$11,FALSE),"")</f>
        <v/>
      </c>
      <c r="DP65" s="1434" t="str">
        <f>IFERROR(VLOOKUP(CONCATENATE($B$8,"_",$B65),Data!$BO$16:$ES$1015,DP$11,FALSE),"")</f>
        <v/>
      </c>
      <c r="DQ65" s="1434" t="str">
        <f>IFERROR(VLOOKUP(CONCATENATE($B$8,"_",$B65),Data!$BO$16:$ES$1015,DQ$11,FALSE),"")</f>
        <v/>
      </c>
      <c r="DR65" s="1434" t="str">
        <f>IFERROR(VLOOKUP(CONCATENATE($B$8,"_",$B65),Data!$BO$16:$ES$1015,DR$11,FALSE),"")</f>
        <v/>
      </c>
      <c r="DS65" s="1434" t="str">
        <f>IFERROR(VLOOKUP(CONCATENATE($B$8,"_",$B65),Data!$BO$16:$ES$1015,DS$11,FALSE),"")</f>
        <v/>
      </c>
      <c r="DT65" s="1434" t="str">
        <f>IFERROR(VLOOKUP(CONCATENATE($B$8,"_",$B65),Data!$BO$16:$ES$1015,DT$11,FALSE),"")</f>
        <v/>
      </c>
      <c r="DU65" s="1434" t="str">
        <f>IFERROR(VLOOKUP(CONCATENATE($B$8,"_",$B65),Data!$BO$16:$ES$1015,DU$11,FALSE),"")</f>
        <v/>
      </c>
      <c r="DV65" s="1434" t="str">
        <f>IFERROR(VLOOKUP(CONCATENATE($B$8,"_",$B65),Data!$BO$16:$ES$1015,DV$11,FALSE),"")</f>
        <v/>
      </c>
      <c r="DW65" s="1434" t="str">
        <f>IFERROR(VLOOKUP(CONCATENATE($B$8,"_",$B65),Data!$BO$16:$ES$1015,DW$11,FALSE),"")</f>
        <v/>
      </c>
      <c r="DX65" s="1434" t="str">
        <f>IFERROR(VLOOKUP(CONCATENATE($B$8,"_",$B65),Data!$BO$16:$ES$1015,DX$11,FALSE),"")</f>
        <v/>
      </c>
      <c r="DY65" s="1434" t="str">
        <f>IFERROR(VLOOKUP(CONCATENATE($B$8,"_",$B65),Data!$BO$16:$ES$1015,DY$11,FALSE),"")</f>
        <v/>
      </c>
      <c r="DZ65" s="1434" t="str">
        <f>IFERROR(VLOOKUP(CONCATENATE($B$8,"_",$B65),Data!$BO$16:$ES$1015,DZ$11,FALSE),"")</f>
        <v/>
      </c>
      <c r="EA65" s="1434" t="str">
        <f>IFERROR(VLOOKUP(CONCATENATE($B$8,"_",$B65),Data!$BO$16:$ES$1015,EA$11,FALSE),"")</f>
        <v/>
      </c>
      <c r="EB65" s="1434" t="str">
        <f>IFERROR(VLOOKUP(CONCATENATE($B$8,"_",$B65),Data!$BO$16:$ES$1015,EB$11,FALSE),"")</f>
        <v/>
      </c>
      <c r="EC65" s="1434" t="str">
        <f>IFERROR(VLOOKUP(CONCATENATE($B$8,"_",$B65),Data!$BO$16:$ES$1015,EC$11,FALSE),"")</f>
        <v/>
      </c>
      <c r="ED65" s="1434" t="str">
        <f>IFERROR(VLOOKUP(CONCATENATE($B$8,"_",$B65),Data!$BO$16:$ES$1015,ED$11,FALSE),"")</f>
        <v/>
      </c>
      <c r="EE65" s="1434" t="str">
        <f>IFERROR(VLOOKUP(CONCATENATE($B$8,"_",$B65),Data!$BO$16:$ES$1015,EE$11,FALSE),"")</f>
        <v/>
      </c>
      <c r="EF65" s="1434" t="str">
        <f>IFERROR(VLOOKUP(CONCATENATE($B$8,"_",$B65),Data!$BO$16:$ES$1015,EF$11,FALSE),"")</f>
        <v/>
      </c>
      <c r="EG65" s="1434" t="str">
        <f>IFERROR(VLOOKUP(CONCATENATE($B$8,"_",$B65),Data!$BO$16:$ES$1015,EG$11,FALSE),"")</f>
        <v/>
      </c>
      <c r="EH65" s="1434" t="str">
        <f>IFERROR(VLOOKUP(CONCATENATE($B$8,"_",$B65),Data!$BO$16:$ES$1015,EH$11,FALSE),"")</f>
        <v/>
      </c>
      <c r="EI65" s="1434" t="str">
        <f>IFERROR(VLOOKUP(CONCATENATE($B$8,"_",$B65),Data!$BO$16:$ES$1015,EI$11,FALSE),"")</f>
        <v/>
      </c>
      <c r="EK65" s="1437"/>
    </row>
    <row r="66" spans="1:141" s="1436" customFormat="1" ht="15" customHeight="1">
      <c r="A66" s="1438">
        <v>53</v>
      </c>
      <c r="B66" s="1738" t="str">
        <f>IF($B$13+A66&lt;=Progress!$D$18,$B$13+A66,"")</f>
        <v/>
      </c>
      <c r="C66" s="1737" t="str">
        <f>IFERROR(VLOOKUP(CONCATENATE($B$8,"_",$B66),Data!$H$16:$BN$1015,C$11,FALSE),"")</f>
        <v/>
      </c>
      <c r="D66" s="1428" t="str">
        <f>IFERROR(VLOOKUP(CONCATENATE($B$8,"_",$B66),Data!$H$16:$BN$1015,D$11,FALSE),"")</f>
        <v/>
      </c>
      <c r="E66" s="1429" t="str">
        <f>IFERROR(VLOOKUP(CONCATENATE($B$8,"_",$B66),Data!$H$16:$BN$1015,E$11,FALSE),"")</f>
        <v/>
      </c>
      <c r="F66" s="1428" t="str">
        <f>IFERROR(VLOOKUP(CONCATENATE($B$8,"_",$B66),Data!$H$16:$BN$1015,F$11,FALSE),"")</f>
        <v/>
      </c>
      <c r="G66" s="1428" t="str">
        <f>IFERROR(VLOOKUP(CONCATENATE($B$8,"_",$B66),Data!$H$16:$BN$1015,G$11,FALSE),"")</f>
        <v/>
      </c>
      <c r="H66" s="1429" t="str">
        <f>IFERROR(VLOOKUP(CONCATENATE($B$8,"_",$B66),Data!$H$16:$BN$1015,H$11,FALSE),"")</f>
        <v/>
      </c>
      <c r="I66" s="1428" t="str">
        <f>IFERROR(VLOOKUP(CONCATENATE($B$8,"_",$B66),Data!$H$16:$BN$1015,I$11,FALSE),"")</f>
        <v/>
      </c>
      <c r="J66" s="1428" t="str">
        <f>IFERROR(VLOOKUP(CONCATENATE($B$8,"_",$B66),Data!$H$16:$BN$1015,J$11,FALSE),"")</f>
        <v/>
      </c>
      <c r="K66" s="1429" t="str">
        <f>IFERROR(VLOOKUP(CONCATENATE($B$8,"_",$B66),Data!$H$16:$BN$1015,K$11,FALSE),"")</f>
        <v/>
      </c>
      <c r="L66" s="1428" t="str">
        <f>IFERROR(VLOOKUP(CONCATENATE($B$8,"_",$B66),Data!$H$16:$BN$1015,L$11,FALSE),"")</f>
        <v/>
      </c>
      <c r="M66" s="1428" t="str">
        <f>IFERROR(VLOOKUP(CONCATENATE($B$8,"_",$B66),Data!$H$16:$BN$1015,M$11,FALSE),"")</f>
        <v/>
      </c>
      <c r="N66" s="1429" t="str">
        <f>IFERROR(VLOOKUP(CONCATENATE($B$8,"_",$B66),Data!$H$16:$BN$1015,N$11,FALSE),"")</f>
        <v/>
      </c>
      <c r="O66" s="1430" t="str">
        <f>IFERROR(VLOOKUP(CONCATENATE($B$8,"_",$B66),Data!$H$16:$BN$1015,O$11,FALSE),"")</f>
        <v/>
      </c>
      <c r="P66" s="1428" t="str">
        <f>IFERROR(VLOOKUP(CONCATENATE($B$8,"_",$B66),Data!$H$16:$BN$1015,P$11,FALSE),"")</f>
        <v/>
      </c>
      <c r="Q66" s="1428" t="str">
        <f>IFERROR(VLOOKUP(CONCATENATE($B$8,"_",$B66),Data!$H$16:$BN$1015,Q$11,FALSE),"")</f>
        <v/>
      </c>
      <c r="R66" s="1429" t="str">
        <f>IFERROR(VLOOKUP(CONCATENATE($B$8,"_",$B66),Data!$H$16:$BN$1015,R$11,FALSE),"")</f>
        <v/>
      </c>
      <c r="S66" s="1428" t="str">
        <f>IFERROR(VLOOKUP(CONCATENATE($B$8,"_",$B66),Data!$H$16:$BN$1015,S$11,FALSE),"")</f>
        <v/>
      </c>
      <c r="T66" s="1428" t="str">
        <f>IFERROR(VLOOKUP(CONCATENATE($B$8,"_",$B66),Data!$H$16:$BN$1015,T$11,FALSE),"")</f>
        <v/>
      </c>
      <c r="U66" s="1429" t="str">
        <f>IFERROR(VLOOKUP(CONCATENATE($B$8,"_",$B66),Data!$H$16:$BN$1015,U$11,FALSE),"")</f>
        <v/>
      </c>
      <c r="V66" s="1428" t="str">
        <f>IFERROR(VLOOKUP(CONCATENATE($B$8,"_",$B66),Data!$H$16:$BN$1015,V$11,FALSE),"")</f>
        <v/>
      </c>
      <c r="W66" s="1428" t="str">
        <f>IFERROR(VLOOKUP(CONCATENATE($B$8,"_",$B66),Data!$H$16:$BN$1015,W$11,FALSE),"")</f>
        <v/>
      </c>
      <c r="X66" s="1428" t="str">
        <f>IFERROR(VLOOKUP(CONCATENATE($B$8,"_",$B66),Data!$H$16:$BN$1015,X$11,FALSE),"")</f>
        <v/>
      </c>
      <c r="Y66" s="1428" t="str">
        <f>IFERROR(VLOOKUP(CONCATENATE($B$8,"_",$B66),Data!$H$16:$BN$1015,Y$11,FALSE),"")</f>
        <v/>
      </c>
      <c r="Z66" s="1429" t="str">
        <f>IFERROR(VLOOKUP(CONCATENATE($B$8,"_",$B66),Data!$H$16:$BN$1015,Z$11,FALSE),"")</f>
        <v/>
      </c>
      <c r="AA66" s="1428" t="str">
        <f>IFERROR(VLOOKUP(CONCATENATE($B$8,"_",$B66),Data!$H$16:$BN$1015,AA$11,FALSE),"")</f>
        <v/>
      </c>
      <c r="AB66" s="1428" t="str">
        <f>IFERROR(VLOOKUP(CONCATENATE($B$8,"_",$B66),Data!$H$16:$BN$1015,AB$11,FALSE),"")</f>
        <v/>
      </c>
      <c r="AC66" s="1429" t="str">
        <f>IFERROR(VLOOKUP(CONCATENATE($B$8,"_",$B66),Data!$H$16:$BN$1015,AC$11,FALSE),"")</f>
        <v/>
      </c>
      <c r="AD66" s="1428" t="str">
        <f>IFERROR(VLOOKUP(CONCATENATE($B$8,"_",$B66),Data!$H$16:$BN$1015,AD$11,FALSE),"")</f>
        <v/>
      </c>
      <c r="AE66" s="1428" t="str">
        <f>IFERROR(VLOOKUP(CONCATENATE($B$8,"_",$B66),Data!$H$16:$BN$1015,AE$11,FALSE),"")</f>
        <v/>
      </c>
      <c r="AF66" s="1429" t="str">
        <f>IFERROR(VLOOKUP(CONCATENATE($B$8,"_",$B66),Data!$H$16:$BN$1015,AF$11,FALSE),"")</f>
        <v/>
      </c>
      <c r="AG66" s="1428" t="str">
        <f>IFERROR(VLOOKUP(CONCATENATE($B$8,"_",$B66),Data!$H$16:$BN$1015,AG$11,FALSE),"")</f>
        <v/>
      </c>
      <c r="AH66" s="1428" t="str">
        <f>IFERROR(VLOOKUP(CONCATENATE($B$8,"_",$B66),Data!$H$16:$BN$1015,AH$11,FALSE),"")</f>
        <v/>
      </c>
      <c r="AI66" s="1429" t="str">
        <f>IFERROR(VLOOKUP(CONCATENATE($B$8,"_",$B66),Data!$H$16:$BN$1015,AI$11,FALSE),"")</f>
        <v/>
      </c>
      <c r="AJ66" s="1428" t="str">
        <f>IFERROR(VLOOKUP(CONCATENATE($B$8,"_",$B66),Data!$H$16:$BN$1015,AJ$11,FALSE),"")</f>
        <v/>
      </c>
      <c r="AK66" s="1428" t="str">
        <f>IFERROR(VLOOKUP(CONCATENATE($B$8,"_",$B66),Data!$H$16:$BN$1015,AK$11,FALSE),"")</f>
        <v/>
      </c>
      <c r="AL66" s="1429" t="str">
        <f>IFERROR(VLOOKUP(CONCATENATE($B$8,"_",$B66),Data!$H$16:$BN$1015,AL$11,FALSE),"")</f>
        <v/>
      </c>
      <c r="AM66" s="1428" t="str">
        <f>IFERROR(VLOOKUP(CONCATENATE($B$8,"_",$B66),Data!$H$16:$BN$1015,AM$11,FALSE),"")</f>
        <v/>
      </c>
      <c r="AN66" s="1428" t="str">
        <f>IFERROR(VLOOKUP(CONCATENATE($B$8,"_",$B66),Data!$H$16:$BN$1015,AN$11,FALSE),"")</f>
        <v/>
      </c>
      <c r="AO66" s="1430" t="str">
        <f>IFERROR(VLOOKUP(CONCATENATE($B$8,"_",$B66),Data!$H$16:$BN$1015,AO$11,FALSE),"")</f>
        <v/>
      </c>
      <c r="AP66" s="1428" t="str">
        <f>IFERROR(VLOOKUP(CONCATENATE($B$8,"_",$B66),Data!$H$16:$BN$1015,AP$11,FALSE),"")</f>
        <v/>
      </c>
      <c r="AQ66" s="1428" t="str">
        <f>IFERROR(VLOOKUP(CONCATENATE($B$8,"_",$B66),Data!$H$16:$BN$1015,AQ$11,FALSE),"")</f>
        <v/>
      </c>
      <c r="AR66" s="1430" t="str">
        <f>IFERROR(VLOOKUP(CONCATENATE($B$8,"_",$B66),Data!$H$16:$BN$1015,AR$11,FALSE),"")</f>
        <v/>
      </c>
      <c r="AS66" s="1428" t="str">
        <f>IFERROR(VLOOKUP(CONCATENATE($B$8,"_",$B66),Data!$H$16:$BN$1015,AS$11,FALSE),"")</f>
        <v/>
      </c>
      <c r="AT66" s="1428" t="str">
        <f>IFERROR(VLOOKUP(CONCATENATE($B$8,"_",$B66),Data!$H$16:$BN$1015,AT$11,FALSE),"")</f>
        <v/>
      </c>
      <c r="AU66" s="1430" t="str">
        <f>IFERROR(VLOOKUP(CONCATENATE($B$8,"_",$B66),Data!$H$16:$BN$1015,AU$11,FALSE),"")</f>
        <v/>
      </c>
      <c r="AV66" s="1428" t="str">
        <f>IFERROR(VLOOKUP(CONCATENATE($B$8,"_",$B66),Data!$H$16:$BN$1015,AV$11,FALSE),"")</f>
        <v/>
      </c>
      <c r="AW66" s="1428" t="str">
        <f>IFERROR(VLOOKUP(CONCATENATE($B$8,"_",$B66),Data!$H$16:$BN$1015,AW$11,FALSE),"")</f>
        <v/>
      </c>
      <c r="AX66" s="1430" t="str">
        <f>IFERROR(VLOOKUP(CONCATENATE($B$8,"_",$B66),Data!$H$16:$BN$1015,AX$11,FALSE),"")</f>
        <v/>
      </c>
      <c r="AY66" s="1429" t="str">
        <f>IFERROR(VLOOKUP(CONCATENATE($B$8,"_",$B66),Data!$H$16:$BN$1015,AY$11,FALSE),"")</f>
        <v/>
      </c>
      <c r="AZ66" s="1429" t="str">
        <f>IFERROR(VLOOKUP(CONCATENATE($B$8,"_",$B66),Data!$H$16:$BN$1015,AZ$11,FALSE),"")</f>
        <v/>
      </c>
      <c r="BA66" s="1429" t="str">
        <f>IFERROR(VLOOKUP(CONCATENATE($B$8,"_",$B66),Data!$H$16:$BN$1015,BA$11,FALSE),"")</f>
        <v/>
      </c>
      <c r="BB66" s="1429" t="str">
        <f>IFERROR(VLOOKUP(CONCATENATE($B$8,"_",$B66),Data!$H$16:$BN$1015,BB$11,FALSE),"")</f>
        <v/>
      </c>
      <c r="BC66" s="1429" t="str">
        <f>IFERROR(VLOOKUP(CONCATENATE($B$8,"_",$B66),Data!$H$16:$BN$1015,BC$11,FALSE),"")</f>
        <v/>
      </c>
      <c r="BD66" s="1431" t="str">
        <f>IFERROR(VLOOKUP(CONCATENATE($B$8,"_",$B66),Data!$H$16:$BN$1015,BD$11,FALSE),"")</f>
        <v/>
      </c>
      <c r="BE66" s="1439" t="str">
        <f t="shared" si="0"/>
        <v/>
      </c>
      <c r="BF66" s="1428" t="str">
        <f>IFERROR(VLOOKUP(CONCATENATE($B$8,"_",$B66),Data!$BO$16:$ES$1015,BF$11,FALSE),"")</f>
        <v/>
      </c>
      <c r="BG66" s="1433" t="str">
        <f>IFERROR(VLOOKUP(CONCATENATE($B$8,"_",$B66),Data!$BO$16:$ES$1015,BG$11,FALSE),"")</f>
        <v/>
      </c>
      <c r="BH66" s="1435" t="str">
        <f>IFERROR(VLOOKUP(CONCATENATE($B$8,"_",$B66),Data!$BO$16:$ES$1015,BH$11,FALSE),"")</f>
        <v/>
      </c>
      <c r="BI66" s="1434" t="str">
        <f>IFERROR(VLOOKUP(CONCATENATE($B$8,"_",$B66),Data!$BO$16:$ES$1015,BI$11,FALSE),"")</f>
        <v/>
      </c>
      <c r="BJ66" s="1428" t="str">
        <f>IFERROR(VLOOKUP(CONCATENATE($B$8,"_",$B66),Data!$BO$16:$ES$1015,BJ$11,FALSE),"")</f>
        <v/>
      </c>
      <c r="BK66" s="1428" t="str">
        <f>IFERROR(VLOOKUP(CONCATENATE($B$8,"_",$B66),Data!$BO$16:$ES$1015,BK$11,FALSE),"")</f>
        <v/>
      </c>
      <c r="BL66" s="1428" t="str">
        <f>IFERROR(VLOOKUP(CONCATENATE($B$8,"_",$B66),Data!$BO$16:$ES$1015,BL$11,FALSE),"")</f>
        <v/>
      </c>
      <c r="BM66" s="1433" t="str">
        <f>IFERROR(VLOOKUP(CONCATENATE($B$8,"_",$B66),Data!$BO$16:$ES$1015,BM$11,FALSE),"")</f>
        <v/>
      </c>
      <c r="BN66" s="1433" t="str">
        <f>IFERROR(VLOOKUP(CONCATENATE($B$8,"_",$B66),Data!$BO$16:$ES$1015,BN$11,FALSE),"")</f>
        <v/>
      </c>
      <c r="BO66" s="1433" t="str">
        <f>IFERROR(VLOOKUP(CONCATENATE($B$8,"_",$B66),Data!$BO$16:$ES$1015,BO$11,FALSE),"")</f>
        <v/>
      </c>
      <c r="BP66" s="1433" t="str">
        <f>IFERROR(VLOOKUP(CONCATENATE($B$8,"_",$B66),Data!$BO$16:$ES$1015,BP$11,FALSE),"")</f>
        <v/>
      </c>
      <c r="BQ66" s="1433" t="str">
        <f>IFERROR(VLOOKUP(CONCATENATE($B$8,"_",$B66),Data!$BO$16:$ES$1015,BQ$11,FALSE),"")</f>
        <v/>
      </c>
      <c r="BR66" s="1434" t="str">
        <f>IFERROR(VLOOKUP(CONCATENATE($B$8,"_",$B66),Data!$BO$16:$ES$1015,BR$11,FALSE),"")</f>
        <v/>
      </c>
      <c r="BS66" s="1434" t="str">
        <f>IFERROR(VLOOKUP(CONCATENATE($B$8,"_",$B66),Data!$BO$16:$ES$1015,BS$11,FALSE),"")</f>
        <v/>
      </c>
      <c r="BT66" s="1434" t="str">
        <f>IFERROR(VLOOKUP(CONCATENATE($B$8,"_",$B66),Data!$BO$16:$ES$1015,BT$11,FALSE),"")</f>
        <v/>
      </c>
      <c r="BU66" s="1434" t="str">
        <f>IFERROR(VLOOKUP(CONCATENATE($B$8,"_",$B66),Data!$BO$16:$ES$1015,BU$11,FALSE),"")</f>
        <v/>
      </c>
      <c r="BV66" s="1434" t="str">
        <f>IFERROR(VLOOKUP(CONCATENATE($B$8,"_",$B66),Data!$BO$16:$ES$1015,BV$11,FALSE),"")</f>
        <v/>
      </c>
      <c r="BW66" s="1434" t="str">
        <f>IFERROR(VLOOKUP(CONCATENATE($B$8,"_",$B66),Data!$BO$16:$ES$1015,BW$11,FALSE),"")</f>
        <v/>
      </c>
      <c r="BX66" s="1434" t="str">
        <f>IFERROR(VLOOKUP(CONCATENATE($B$8,"_",$B66),Data!$BO$16:$ES$1015,BX$11,FALSE),"")</f>
        <v/>
      </c>
      <c r="BY66" s="1428" t="str">
        <f>IFERROR(VLOOKUP(CONCATENATE($B$8,"_",$B66),Data!$BO$16:$ES$1015,BY$11,FALSE),"")</f>
        <v/>
      </c>
      <c r="BZ66" s="1428" t="str">
        <f>IFERROR(VLOOKUP(CONCATENATE($B$8,"_",$B66),Data!$BO$16:$ES$1015,BZ$11,FALSE),"")</f>
        <v/>
      </c>
      <c r="CA66" s="1428" t="str">
        <f>IFERROR(VLOOKUP(CONCATENATE($B$8,"_",$B66),Data!$BO$16:$ES$1015,CA$11,FALSE),"")</f>
        <v/>
      </c>
      <c r="CB66" s="1428" t="str">
        <f>IFERROR(VLOOKUP(CONCATENATE($B$8,"_",$B66),Data!$BO$16:$ES$1015,CB$11,FALSE),"")</f>
        <v/>
      </c>
      <c r="CC66" s="1428" t="str">
        <f>IFERROR(VLOOKUP(CONCATENATE($B$8,"_",$B66),Data!$BO$16:$ES$1015,CC$11,FALSE),"")</f>
        <v/>
      </c>
      <c r="CD66" s="1428" t="str">
        <f>IFERROR(VLOOKUP(CONCATENATE($B$8,"_",$B66),Data!$BO$16:$ES$1015,CD$11,FALSE),"")</f>
        <v/>
      </c>
      <c r="CE66" s="1428" t="str">
        <f>IFERROR(VLOOKUP(CONCATENATE($B$8,"_",$B66),Data!$BO$16:$ES$1015,CE$11,FALSE),"")</f>
        <v/>
      </c>
      <c r="CF66" s="1428" t="str">
        <f>IFERROR(VLOOKUP(CONCATENATE($B$8,"_",$B66),Data!$BO$16:$ES$1015,CF$11,FALSE),"")</f>
        <v/>
      </c>
      <c r="CG66" s="1428" t="str">
        <f>IFERROR(VLOOKUP(CONCATENATE($B$8,"_",$B66),Data!$BO$16:$ES$1015,CG$11,FALSE),"")</f>
        <v/>
      </c>
      <c r="CH66" s="1428" t="str">
        <f>IFERROR(VLOOKUP(CONCATENATE($B$8,"_",$B66),Data!$BO$16:$ES$1015,CH$11,FALSE),"")</f>
        <v/>
      </c>
      <c r="CI66" s="1428" t="str">
        <f>IFERROR(VLOOKUP(CONCATENATE($B$8,"_",$B66),Data!$BO$16:$ES$1015,CI$11,FALSE),"")</f>
        <v/>
      </c>
      <c r="CJ66" s="1428" t="str">
        <f>IFERROR(VLOOKUP(CONCATENATE($B$8,"_",$B66),Data!$BO$16:$ES$1015,CJ$11,FALSE),"")</f>
        <v/>
      </c>
      <c r="CK66" s="1428" t="str">
        <f>IFERROR(VLOOKUP(CONCATENATE($B$8,"_",$B66),Data!$BO$16:$ES$1015,CK$11,FALSE),"")</f>
        <v/>
      </c>
      <c r="CL66" s="1428" t="str">
        <f>IFERROR(VLOOKUP(CONCATENATE($B$8,"_",$B66),Data!$BO$16:$ES$1015,CL$11,FALSE),"")</f>
        <v/>
      </c>
      <c r="CM66" s="1428" t="str">
        <f>IFERROR(VLOOKUP(CONCATENATE($B$8,"_",$B66),Data!$BO$16:$ES$1015,CM$11,FALSE),"")</f>
        <v/>
      </c>
      <c r="CN66" s="1428" t="str">
        <f>IFERROR(VLOOKUP(CONCATENATE($B$8,"_",$B66),Data!$BO$16:$ES$1015,CN$11,FALSE),"")</f>
        <v/>
      </c>
      <c r="CO66" s="1428" t="str">
        <f>IFERROR(VLOOKUP(CONCATENATE($B$8,"_",$B66),Data!$BO$16:$ES$1015,CO$11,FALSE),"")</f>
        <v/>
      </c>
      <c r="CP66" s="1433" t="str">
        <f>IFERROR(VLOOKUP(CONCATENATE($B$8,"_",$B66),Data!$BO$16:$ES$1015,CP$11,FALSE),"")</f>
        <v/>
      </c>
      <c r="CQ66" s="1433" t="str">
        <f>IFERROR(VLOOKUP(CONCATENATE($B$8,"_",$B66),Data!$BO$16:$ES$1015,CQ$11,FALSE),"")</f>
        <v/>
      </c>
      <c r="CR66" s="1433" t="str">
        <f>IFERROR(VLOOKUP(CONCATENATE($B$8,"_",$B66),Data!$BO$16:$ES$1015,CR$11,FALSE),"")</f>
        <v/>
      </c>
      <c r="CS66" s="1433" t="str">
        <f>IFERROR(VLOOKUP(CONCATENATE($B$8,"_",$B66),Data!$BO$16:$ES$1015,CS$11,FALSE),"")</f>
        <v/>
      </c>
      <c r="CT66" s="1433" t="str">
        <f>IFERROR(VLOOKUP(CONCATENATE($B$8,"_",$B66),Data!$BO$16:$ES$1015,CT$11,FALSE),"")</f>
        <v/>
      </c>
      <c r="CU66" s="1433" t="str">
        <f>IFERROR(VLOOKUP(CONCATENATE($B$8,"_",$B66),Data!$BO$16:$ES$1015,CU$11,FALSE),"")</f>
        <v/>
      </c>
      <c r="CV66" s="1433" t="str">
        <f>IFERROR(VLOOKUP(CONCATENATE($B$8,"_",$B66),Data!$BO$16:$ES$1015,CV$11,FALSE),"")</f>
        <v/>
      </c>
      <c r="CW66" s="1433" t="str">
        <f>IFERROR(VLOOKUP(CONCATENATE($B$8,"_",$B66),Data!$BO$16:$ES$1015,CW$11,FALSE),"")</f>
        <v/>
      </c>
      <c r="CX66" s="1433" t="str">
        <f>IFERROR(VLOOKUP(CONCATENATE($B$8,"_",$B66),Data!$BO$16:$ES$1015,CX$11,FALSE),"")</f>
        <v/>
      </c>
      <c r="CY66" s="1433" t="str">
        <f>IFERROR(VLOOKUP(CONCATENATE($B$8,"_",$B66),Data!$BO$16:$ES$1015,CY$11,FALSE),"")</f>
        <v/>
      </c>
      <c r="CZ66" s="1433" t="str">
        <f>IFERROR(VLOOKUP(CONCATENATE($B$8,"_",$B66),Data!$BO$16:$ES$1015,CZ$11,FALSE),"")</f>
        <v/>
      </c>
      <c r="DA66" s="1433" t="str">
        <f>IFERROR(VLOOKUP(CONCATENATE($B$8,"_",$B66),Data!$BO$16:$ES$1015,DA$11,FALSE),"")</f>
        <v/>
      </c>
      <c r="DB66" s="1433" t="str">
        <f>IFERROR(VLOOKUP(CONCATENATE($B$8,"_",$B66),Data!$BO$16:$ES$1015,DB$11,FALSE),"")</f>
        <v/>
      </c>
      <c r="DC66" s="1433" t="str">
        <f>IFERROR(VLOOKUP(CONCATENATE($B$8,"_",$B66),Data!$BO$16:$ES$1015,DC$11,FALSE),"")</f>
        <v/>
      </c>
      <c r="DD66" s="1433" t="str">
        <f>IFERROR(VLOOKUP(CONCATENATE($B$8,"_",$B66),Data!$BO$16:$ES$1015,DD$11,FALSE),"")</f>
        <v/>
      </c>
      <c r="DE66" s="1433" t="str">
        <f>IFERROR(VLOOKUP(CONCATENATE($B$8,"_",$B66),Data!$BO$16:$ES$1015,DE$11,FALSE),"")</f>
        <v/>
      </c>
      <c r="DF66" s="1433" t="str">
        <f>IFERROR(VLOOKUP(CONCATENATE($B$8,"_",$B66),Data!$BO$16:$ES$1015,DF$11,FALSE),"")</f>
        <v/>
      </c>
      <c r="DG66" s="1433" t="str">
        <f>IFERROR(VLOOKUP(CONCATENATE($B$8,"_",$B66),Data!$BO$16:$ES$1015,DG$11,FALSE),"")</f>
        <v/>
      </c>
      <c r="DH66" s="1433" t="str">
        <f>IFERROR(VLOOKUP(CONCATENATE($B$8,"_",$B66),Data!$BO$16:$ES$1015,DH$11,FALSE),"")</f>
        <v/>
      </c>
      <c r="DI66" s="1433" t="str">
        <f>IFERROR(VLOOKUP(CONCATENATE($B$8,"_",$B66),Data!$BO$16:$ES$1015,DI$11,FALSE),"")</f>
        <v/>
      </c>
      <c r="DJ66" s="1433" t="str">
        <f>IFERROR(VLOOKUP(CONCATENATE($B$8,"_",$B66),Data!$BO$16:$ES$1015,DJ$11,FALSE),"")</f>
        <v/>
      </c>
      <c r="DK66" s="1433" t="str">
        <f>IFERROR(VLOOKUP(CONCATENATE($B$8,"_",$B66),Data!$BO$16:$ES$1015,DK$11,FALSE),"")</f>
        <v/>
      </c>
      <c r="DL66" s="1435" t="str">
        <f>IFERROR(VLOOKUP(CONCATENATE($B$8,"_",$B66),Data!$BO$16:$ES$1015,DL$11,FALSE),"")</f>
        <v/>
      </c>
      <c r="DM66" s="1434" t="str">
        <f>IFERROR(VLOOKUP(CONCATENATE($B$8,"_",$B66),Data!$BO$16:$ES$1015,DM$11,FALSE),"")</f>
        <v/>
      </c>
      <c r="DN66" s="1434" t="str">
        <f>IFERROR(VLOOKUP(CONCATENATE($B$8,"_",$B66),Data!$BO$16:$ES$1015,DN$11,FALSE),"")</f>
        <v/>
      </c>
      <c r="DO66" s="1434" t="str">
        <f>IFERROR(VLOOKUP(CONCATENATE($B$8,"_",$B66),Data!$BO$16:$ES$1015,DO$11,FALSE),"")</f>
        <v/>
      </c>
      <c r="DP66" s="1434" t="str">
        <f>IFERROR(VLOOKUP(CONCATENATE($B$8,"_",$B66),Data!$BO$16:$ES$1015,DP$11,FALSE),"")</f>
        <v/>
      </c>
      <c r="DQ66" s="1434" t="str">
        <f>IFERROR(VLOOKUP(CONCATENATE($B$8,"_",$B66),Data!$BO$16:$ES$1015,DQ$11,FALSE),"")</f>
        <v/>
      </c>
      <c r="DR66" s="1434" t="str">
        <f>IFERROR(VLOOKUP(CONCATENATE($B$8,"_",$B66),Data!$BO$16:$ES$1015,DR$11,FALSE),"")</f>
        <v/>
      </c>
      <c r="DS66" s="1434" t="str">
        <f>IFERROR(VLOOKUP(CONCATENATE($B$8,"_",$B66),Data!$BO$16:$ES$1015,DS$11,FALSE),"")</f>
        <v/>
      </c>
      <c r="DT66" s="1434" t="str">
        <f>IFERROR(VLOOKUP(CONCATENATE($B$8,"_",$B66),Data!$BO$16:$ES$1015,DT$11,FALSE),"")</f>
        <v/>
      </c>
      <c r="DU66" s="1434" t="str">
        <f>IFERROR(VLOOKUP(CONCATENATE($B$8,"_",$B66),Data!$BO$16:$ES$1015,DU$11,FALSE),"")</f>
        <v/>
      </c>
      <c r="DV66" s="1434" t="str">
        <f>IFERROR(VLOOKUP(CONCATENATE($B$8,"_",$B66),Data!$BO$16:$ES$1015,DV$11,FALSE),"")</f>
        <v/>
      </c>
      <c r="DW66" s="1434" t="str">
        <f>IFERROR(VLOOKUP(CONCATENATE($B$8,"_",$B66),Data!$BO$16:$ES$1015,DW$11,FALSE),"")</f>
        <v/>
      </c>
      <c r="DX66" s="1434" t="str">
        <f>IFERROR(VLOOKUP(CONCATENATE($B$8,"_",$B66),Data!$BO$16:$ES$1015,DX$11,FALSE),"")</f>
        <v/>
      </c>
      <c r="DY66" s="1434" t="str">
        <f>IFERROR(VLOOKUP(CONCATENATE($B$8,"_",$B66),Data!$BO$16:$ES$1015,DY$11,FALSE),"")</f>
        <v/>
      </c>
      <c r="DZ66" s="1434" t="str">
        <f>IFERROR(VLOOKUP(CONCATENATE($B$8,"_",$B66),Data!$BO$16:$ES$1015,DZ$11,FALSE),"")</f>
        <v/>
      </c>
      <c r="EA66" s="1434" t="str">
        <f>IFERROR(VLOOKUP(CONCATENATE($B$8,"_",$B66),Data!$BO$16:$ES$1015,EA$11,FALSE),"")</f>
        <v/>
      </c>
      <c r="EB66" s="1434" t="str">
        <f>IFERROR(VLOOKUP(CONCATENATE($B$8,"_",$B66),Data!$BO$16:$ES$1015,EB$11,FALSE),"")</f>
        <v/>
      </c>
      <c r="EC66" s="1434" t="str">
        <f>IFERROR(VLOOKUP(CONCATENATE($B$8,"_",$B66),Data!$BO$16:$ES$1015,EC$11,FALSE),"")</f>
        <v/>
      </c>
      <c r="ED66" s="1434" t="str">
        <f>IFERROR(VLOOKUP(CONCATENATE($B$8,"_",$B66),Data!$BO$16:$ES$1015,ED$11,FALSE),"")</f>
        <v/>
      </c>
      <c r="EE66" s="1434" t="str">
        <f>IFERROR(VLOOKUP(CONCATENATE($B$8,"_",$B66),Data!$BO$16:$ES$1015,EE$11,FALSE),"")</f>
        <v/>
      </c>
      <c r="EF66" s="1434" t="str">
        <f>IFERROR(VLOOKUP(CONCATENATE($B$8,"_",$B66),Data!$BO$16:$ES$1015,EF$11,FALSE),"")</f>
        <v/>
      </c>
      <c r="EG66" s="1434" t="str">
        <f>IFERROR(VLOOKUP(CONCATENATE($B$8,"_",$B66),Data!$BO$16:$ES$1015,EG$11,FALSE),"")</f>
        <v/>
      </c>
      <c r="EH66" s="1434" t="str">
        <f>IFERROR(VLOOKUP(CONCATENATE($B$8,"_",$B66),Data!$BO$16:$ES$1015,EH$11,FALSE),"")</f>
        <v/>
      </c>
      <c r="EI66" s="1434" t="str">
        <f>IFERROR(VLOOKUP(CONCATENATE($B$8,"_",$B66),Data!$BO$16:$ES$1015,EI$11,FALSE),"")</f>
        <v/>
      </c>
      <c r="EK66" s="1437"/>
    </row>
    <row r="67" spans="1:141" s="1436" customFormat="1" ht="15" customHeight="1">
      <c r="A67" s="1438">
        <v>54</v>
      </c>
      <c r="B67" s="1738" t="str">
        <f>IF($B$13+A67&lt;=Progress!$D$18,$B$13+A67,"")</f>
        <v/>
      </c>
      <c r="C67" s="1737" t="str">
        <f>IFERROR(VLOOKUP(CONCATENATE($B$8,"_",$B67),Data!$H$16:$BN$1015,C$11,FALSE),"")</f>
        <v/>
      </c>
      <c r="D67" s="1428" t="str">
        <f>IFERROR(VLOOKUP(CONCATENATE($B$8,"_",$B67),Data!$H$16:$BN$1015,D$11,FALSE),"")</f>
        <v/>
      </c>
      <c r="E67" s="1429" t="str">
        <f>IFERROR(VLOOKUP(CONCATENATE($B$8,"_",$B67),Data!$H$16:$BN$1015,E$11,FALSE),"")</f>
        <v/>
      </c>
      <c r="F67" s="1428" t="str">
        <f>IFERROR(VLOOKUP(CONCATENATE($B$8,"_",$B67),Data!$H$16:$BN$1015,F$11,FALSE),"")</f>
        <v/>
      </c>
      <c r="G67" s="1428" t="str">
        <f>IFERROR(VLOOKUP(CONCATENATE($B$8,"_",$B67),Data!$H$16:$BN$1015,G$11,FALSE),"")</f>
        <v/>
      </c>
      <c r="H67" s="1429" t="str">
        <f>IFERROR(VLOOKUP(CONCATENATE($B$8,"_",$B67),Data!$H$16:$BN$1015,H$11,FALSE),"")</f>
        <v/>
      </c>
      <c r="I67" s="1428" t="str">
        <f>IFERROR(VLOOKUP(CONCATENATE($B$8,"_",$B67),Data!$H$16:$BN$1015,I$11,FALSE),"")</f>
        <v/>
      </c>
      <c r="J67" s="1428" t="str">
        <f>IFERROR(VLOOKUP(CONCATENATE($B$8,"_",$B67),Data!$H$16:$BN$1015,J$11,FALSE),"")</f>
        <v/>
      </c>
      <c r="K67" s="1429" t="str">
        <f>IFERROR(VLOOKUP(CONCATENATE($B$8,"_",$B67),Data!$H$16:$BN$1015,K$11,FALSE),"")</f>
        <v/>
      </c>
      <c r="L67" s="1428" t="str">
        <f>IFERROR(VLOOKUP(CONCATENATE($B$8,"_",$B67),Data!$H$16:$BN$1015,L$11,FALSE),"")</f>
        <v/>
      </c>
      <c r="M67" s="1428" t="str">
        <f>IFERROR(VLOOKUP(CONCATENATE($B$8,"_",$B67),Data!$H$16:$BN$1015,M$11,FALSE),"")</f>
        <v/>
      </c>
      <c r="N67" s="1429" t="str">
        <f>IFERROR(VLOOKUP(CONCATENATE($B$8,"_",$B67),Data!$H$16:$BN$1015,N$11,FALSE),"")</f>
        <v/>
      </c>
      <c r="O67" s="1430" t="str">
        <f>IFERROR(VLOOKUP(CONCATENATE($B$8,"_",$B67),Data!$H$16:$BN$1015,O$11,FALSE),"")</f>
        <v/>
      </c>
      <c r="P67" s="1428" t="str">
        <f>IFERROR(VLOOKUP(CONCATENATE($B$8,"_",$B67),Data!$H$16:$BN$1015,P$11,FALSE),"")</f>
        <v/>
      </c>
      <c r="Q67" s="1428" t="str">
        <f>IFERROR(VLOOKUP(CONCATENATE($B$8,"_",$B67),Data!$H$16:$BN$1015,Q$11,FALSE),"")</f>
        <v/>
      </c>
      <c r="R67" s="1429" t="str">
        <f>IFERROR(VLOOKUP(CONCATENATE($B$8,"_",$B67),Data!$H$16:$BN$1015,R$11,FALSE),"")</f>
        <v/>
      </c>
      <c r="S67" s="1428" t="str">
        <f>IFERROR(VLOOKUP(CONCATENATE($B$8,"_",$B67),Data!$H$16:$BN$1015,S$11,FALSE),"")</f>
        <v/>
      </c>
      <c r="T67" s="1428" t="str">
        <f>IFERROR(VLOOKUP(CONCATENATE($B$8,"_",$B67),Data!$H$16:$BN$1015,T$11,FALSE),"")</f>
        <v/>
      </c>
      <c r="U67" s="1429" t="str">
        <f>IFERROR(VLOOKUP(CONCATENATE($B$8,"_",$B67),Data!$H$16:$BN$1015,U$11,FALSE),"")</f>
        <v/>
      </c>
      <c r="V67" s="1428" t="str">
        <f>IFERROR(VLOOKUP(CONCATENATE($B$8,"_",$B67),Data!$H$16:$BN$1015,V$11,FALSE),"")</f>
        <v/>
      </c>
      <c r="W67" s="1428" t="str">
        <f>IFERROR(VLOOKUP(CONCATENATE($B$8,"_",$B67),Data!$H$16:$BN$1015,W$11,FALSE),"")</f>
        <v/>
      </c>
      <c r="X67" s="1428" t="str">
        <f>IFERROR(VLOOKUP(CONCATENATE($B$8,"_",$B67),Data!$H$16:$BN$1015,X$11,FALSE),"")</f>
        <v/>
      </c>
      <c r="Y67" s="1428" t="str">
        <f>IFERROR(VLOOKUP(CONCATENATE($B$8,"_",$B67),Data!$H$16:$BN$1015,Y$11,FALSE),"")</f>
        <v/>
      </c>
      <c r="Z67" s="1429" t="str">
        <f>IFERROR(VLOOKUP(CONCATENATE($B$8,"_",$B67),Data!$H$16:$BN$1015,Z$11,FALSE),"")</f>
        <v/>
      </c>
      <c r="AA67" s="1428" t="str">
        <f>IFERROR(VLOOKUP(CONCATENATE($B$8,"_",$B67),Data!$H$16:$BN$1015,AA$11,FALSE),"")</f>
        <v/>
      </c>
      <c r="AB67" s="1428" t="str">
        <f>IFERROR(VLOOKUP(CONCATENATE($B$8,"_",$B67),Data!$H$16:$BN$1015,AB$11,FALSE),"")</f>
        <v/>
      </c>
      <c r="AC67" s="1429" t="str">
        <f>IFERROR(VLOOKUP(CONCATENATE($B$8,"_",$B67),Data!$H$16:$BN$1015,AC$11,FALSE),"")</f>
        <v/>
      </c>
      <c r="AD67" s="1428" t="str">
        <f>IFERROR(VLOOKUP(CONCATENATE($B$8,"_",$B67),Data!$H$16:$BN$1015,AD$11,FALSE),"")</f>
        <v/>
      </c>
      <c r="AE67" s="1428" t="str">
        <f>IFERROR(VLOOKUP(CONCATENATE($B$8,"_",$B67),Data!$H$16:$BN$1015,AE$11,FALSE),"")</f>
        <v/>
      </c>
      <c r="AF67" s="1429" t="str">
        <f>IFERROR(VLOOKUP(CONCATENATE($B$8,"_",$B67),Data!$H$16:$BN$1015,AF$11,FALSE),"")</f>
        <v/>
      </c>
      <c r="AG67" s="1428" t="str">
        <f>IFERROR(VLOOKUP(CONCATENATE($B$8,"_",$B67),Data!$H$16:$BN$1015,AG$11,FALSE),"")</f>
        <v/>
      </c>
      <c r="AH67" s="1428" t="str">
        <f>IFERROR(VLOOKUP(CONCATENATE($B$8,"_",$B67),Data!$H$16:$BN$1015,AH$11,FALSE),"")</f>
        <v/>
      </c>
      <c r="AI67" s="1429" t="str">
        <f>IFERROR(VLOOKUP(CONCATENATE($B$8,"_",$B67),Data!$H$16:$BN$1015,AI$11,FALSE),"")</f>
        <v/>
      </c>
      <c r="AJ67" s="1428" t="str">
        <f>IFERROR(VLOOKUP(CONCATENATE($B$8,"_",$B67),Data!$H$16:$BN$1015,AJ$11,FALSE),"")</f>
        <v/>
      </c>
      <c r="AK67" s="1428" t="str">
        <f>IFERROR(VLOOKUP(CONCATENATE($B$8,"_",$B67),Data!$H$16:$BN$1015,AK$11,FALSE),"")</f>
        <v/>
      </c>
      <c r="AL67" s="1429" t="str">
        <f>IFERROR(VLOOKUP(CONCATENATE($B$8,"_",$B67),Data!$H$16:$BN$1015,AL$11,FALSE),"")</f>
        <v/>
      </c>
      <c r="AM67" s="1428" t="str">
        <f>IFERROR(VLOOKUP(CONCATENATE($B$8,"_",$B67),Data!$H$16:$BN$1015,AM$11,FALSE),"")</f>
        <v/>
      </c>
      <c r="AN67" s="1428" t="str">
        <f>IFERROR(VLOOKUP(CONCATENATE($B$8,"_",$B67),Data!$H$16:$BN$1015,AN$11,FALSE),"")</f>
        <v/>
      </c>
      <c r="AO67" s="1430" t="str">
        <f>IFERROR(VLOOKUP(CONCATENATE($B$8,"_",$B67),Data!$H$16:$BN$1015,AO$11,FALSE),"")</f>
        <v/>
      </c>
      <c r="AP67" s="1428" t="str">
        <f>IFERROR(VLOOKUP(CONCATENATE($B$8,"_",$B67),Data!$H$16:$BN$1015,AP$11,FALSE),"")</f>
        <v/>
      </c>
      <c r="AQ67" s="1428" t="str">
        <f>IFERROR(VLOOKUP(CONCATENATE($B$8,"_",$B67),Data!$H$16:$BN$1015,AQ$11,FALSE),"")</f>
        <v/>
      </c>
      <c r="AR67" s="1430" t="str">
        <f>IFERROR(VLOOKUP(CONCATENATE($B$8,"_",$B67),Data!$H$16:$BN$1015,AR$11,FALSE),"")</f>
        <v/>
      </c>
      <c r="AS67" s="1428" t="str">
        <f>IFERROR(VLOOKUP(CONCATENATE($B$8,"_",$B67),Data!$H$16:$BN$1015,AS$11,FALSE),"")</f>
        <v/>
      </c>
      <c r="AT67" s="1428" t="str">
        <f>IFERROR(VLOOKUP(CONCATENATE($B$8,"_",$B67),Data!$H$16:$BN$1015,AT$11,FALSE),"")</f>
        <v/>
      </c>
      <c r="AU67" s="1430" t="str">
        <f>IFERROR(VLOOKUP(CONCATENATE($B$8,"_",$B67),Data!$H$16:$BN$1015,AU$11,FALSE),"")</f>
        <v/>
      </c>
      <c r="AV67" s="1428" t="str">
        <f>IFERROR(VLOOKUP(CONCATENATE($B$8,"_",$B67),Data!$H$16:$BN$1015,AV$11,FALSE),"")</f>
        <v/>
      </c>
      <c r="AW67" s="1428" t="str">
        <f>IFERROR(VLOOKUP(CONCATENATE($B$8,"_",$B67),Data!$H$16:$BN$1015,AW$11,FALSE),"")</f>
        <v/>
      </c>
      <c r="AX67" s="1430" t="str">
        <f>IFERROR(VLOOKUP(CONCATENATE($B$8,"_",$B67),Data!$H$16:$BN$1015,AX$11,FALSE),"")</f>
        <v/>
      </c>
      <c r="AY67" s="1429" t="str">
        <f>IFERROR(VLOOKUP(CONCATENATE($B$8,"_",$B67),Data!$H$16:$BN$1015,AY$11,FALSE),"")</f>
        <v/>
      </c>
      <c r="AZ67" s="1429" t="str">
        <f>IFERROR(VLOOKUP(CONCATENATE($B$8,"_",$B67),Data!$H$16:$BN$1015,AZ$11,FALSE),"")</f>
        <v/>
      </c>
      <c r="BA67" s="1429" t="str">
        <f>IFERROR(VLOOKUP(CONCATENATE($B$8,"_",$B67),Data!$H$16:$BN$1015,BA$11,FALSE),"")</f>
        <v/>
      </c>
      <c r="BB67" s="1429" t="str">
        <f>IFERROR(VLOOKUP(CONCATENATE($B$8,"_",$B67),Data!$H$16:$BN$1015,BB$11,FALSE),"")</f>
        <v/>
      </c>
      <c r="BC67" s="1429" t="str">
        <f>IFERROR(VLOOKUP(CONCATENATE($B$8,"_",$B67),Data!$H$16:$BN$1015,BC$11,FALSE),"")</f>
        <v/>
      </c>
      <c r="BD67" s="1431" t="str">
        <f>IFERROR(VLOOKUP(CONCATENATE($B$8,"_",$B67),Data!$H$16:$BN$1015,BD$11,FALSE),"")</f>
        <v/>
      </c>
      <c r="BE67" s="1439" t="str">
        <f t="shared" si="0"/>
        <v/>
      </c>
      <c r="BF67" s="1428" t="str">
        <f>IFERROR(VLOOKUP(CONCATENATE($B$8,"_",$B67),Data!$BO$16:$ES$1015,BF$11,FALSE),"")</f>
        <v/>
      </c>
      <c r="BG67" s="1433" t="str">
        <f>IFERROR(VLOOKUP(CONCATENATE($B$8,"_",$B67),Data!$BO$16:$ES$1015,BG$11,FALSE),"")</f>
        <v/>
      </c>
      <c r="BH67" s="1435" t="str">
        <f>IFERROR(VLOOKUP(CONCATENATE($B$8,"_",$B67),Data!$BO$16:$ES$1015,BH$11,FALSE),"")</f>
        <v/>
      </c>
      <c r="BI67" s="1434" t="str">
        <f>IFERROR(VLOOKUP(CONCATENATE($B$8,"_",$B67),Data!$BO$16:$ES$1015,BI$11,FALSE),"")</f>
        <v/>
      </c>
      <c r="BJ67" s="1428" t="str">
        <f>IFERROR(VLOOKUP(CONCATENATE($B$8,"_",$B67),Data!$BO$16:$ES$1015,BJ$11,FALSE),"")</f>
        <v/>
      </c>
      <c r="BK67" s="1428" t="str">
        <f>IFERROR(VLOOKUP(CONCATENATE($B$8,"_",$B67),Data!$BO$16:$ES$1015,BK$11,FALSE),"")</f>
        <v/>
      </c>
      <c r="BL67" s="1428" t="str">
        <f>IFERROR(VLOOKUP(CONCATENATE($B$8,"_",$B67),Data!$BO$16:$ES$1015,BL$11,FALSE),"")</f>
        <v/>
      </c>
      <c r="BM67" s="1433" t="str">
        <f>IFERROR(VLOOKUP(CONCATENATE($B$8,"_",$B67),Data!$BO$16:$ES$1015,BM$11,FALSE),"")</f>
        <v/>
      </c>
      <c r="BN67" s="1433" t="str">
        <f>IFERROR(VLOOKUP(CONCATENATE($B$8,"_",$B67),Data!$BO$16:$ES$1015,BN$11,FALSE),"")</f>
        <v/>
      </c>
      <c r="BO67" s="1433" t="str">
        <f>IFERROR(VLOOKUP(CONCATENATE($B$8,"_",$B67),Data!$BO$16:$ES$1015,BO$11,FALSE),"")</f>
        <v/>
      </c>
      <c r="BP67" s="1433" t="str">
        <f>IFERROR(VLOOKUP(CONCATENATE($B$8,"_",$B67),Data!$BO$16:$ES$1015,BP$11,FALSE),"")</f>
        <v/>
      </c>
      <c r="BQ67" s="1433" t="str">
        <f>IFERROR(VLOOKUP(CONCATENATE($B$8,"_",$B67),Data!$BO$16:$ES$1015,BQ$11,FALSE),"")</f>
        <v/>
      </c>
      <c r="BR67" s="1434" t="str">
        <f>IFERROR(VLOOKUP(CONCATENATE($B$8,"_",$B67),Data!$BO$16:$ES$1015,BR$11,FALSE),"")</f>
        <v/>
      </c>
      <c r="BS67" s="1434" t="str">
        <f>IFERROR(VLOOKUP(CONCATENATE($B$8,"_",$B67),Data!$BO$16:$ES$1015,BS$11,FALSE),"")</f>
        <v/>
      </c>
      <c r="BT67" s="1434" t="str">
        <f>IFERROR(VLOOKUP(CONCATENATE($B$8,"_",$B67),Data!$BO$16:$ES$1015,BT$11,FALSE),"")</f>
        <v/>
      </c>
      <c r="BU67" s="1434" t="str">
        <f>IFERROR(VLOOKUP(CONCATENATE($B$8,"_",$B67),Data!$BO$16:$ES$1015,BU$11,FALSE),"")</f>
        <v/>
      </c>
      <c r="BV67" s="1434" t="str">
        <f>IFERROR(VLOOKUP(CONCATENATE($B$8,"_",$B67),Data!$BO$16:$ES$1015,BV$11,FALSE),"")</f>
        <v/>
      </c>
      <c r="BW67" s="1434" t="str">
        <f>IFERROR(VLOOKUP(CONCATENATE($B$8,"_",$B67),Data!$BO$16:$ES$1015,BW$11,FALSE),"")</f>
        <v/>
      </c>
      <c r="BX67" s="1434" t="str">
        <f>IFERROR(VLOOKUP(CONCATENATE($B$8,"_",$B67),Data!$BO$16:$ES$1015,BX$11,FALSE),"")</f>
        <v/>
      </c>
      <c r="BY67" s="1428" t="str">
        <f>IFERROR(VLOOKUP(CONCATENATE($B$8,"_",$B67),Data!$BO$16:$ES$1015,BY$11,FALSE),"")</f>
        <v/>
      </c>
      <c r="BZ67" s="1428" t="str">
        <f>IFERROR(VLOOKUP(CONCATENATE($B$8,"_",$B67),Data!$BO$16:$ES$1015,BZ$11,FALSE),"")</f>
        <v/>
      </c>
      <c r="CA67" s="1428" t="str">
        <f>IFERROR(VLOOKUP(CONCATENATE($B$8,"_",$B67),Data!$BO$16:$ES$1015,CA$11,FALSE),"")</f>
        <v/>
      </c>
      <c r="CB67" s="1428" t="str">
        <f>IFERROR(VLOOKUP(CONCATENATE($B$8,"_",$B67),Data!$BO$16:$ES$1015,CB$11,FALSE),"")</f>
        <v/>
      </c>
      <c r="CC67" s="1428" t="str">
        <f>IFERROR(VLOOKUP(CONCATENATE($B$8,"_",$B67),Data!$BO$16:$ES$1015,CC$11,FALSE),"")</f>
        <v/>
      </c>
      <c r="CD67" s="1428" t="str">
        <f>IFERROR(VLOOKUP(CONCATENATE($B$8,"_",$B67),Data!$BO$16:$ES$1015,CD$11,FALSE),"")</f>
        <v/>
      </c>
      <c r="CE67" s="1428" t="str">
        <f>IFERROR(VLOOKUP(CONCATENATE($B$8,"_",$B67),Data!$BO$16:$ES$1015,CE$11,FALSE),"")</f>
        <v/>
      </c>
      <c r="CF67" s="1428" t="str">
        <f>IFERROR(VLOOKUP(CONCATENATE($B$8,"_",$B67),Data!$BO$16:$ES$1015,CF$11,FALSE),"")</f>
        <v/>
      </c>
      <c r="CG67" s="1428" t="str">
        <f>IFERROR(VLOOKUP(CONCATENATE($B$8,"_",$B67),Data!$BO$16:$ES$1015,CG$11,FALSE),"")</f>
        <v/>
      </c>
      <c r="CH67" s="1428" t="str">
        <f>IFERROR(VLOOKUP(CONCATENATE($B$8,"_",$B67),Data!$BO$16:$ES$1015,CH$11,FALSE),"")</f>
        <v/>
      </c>
      <c r="CI67" s="1428" t="str">
        <f>IFERROR(VLOOKUP(CONCATENATE($B$8,"_",$B67),Data!$BO$16:$ES$1015,CI$11,FALSE),"")</f>
        <v/>
      </c>
      <c r="CJ67" s="1428" t="str">
        <f>IFERROR(VLOOKUP(CONCATENATE($B$8,"_",$B67),Data!$BO$16:$ES$1015,CJ$11,FALSE),"")</f>
        <v/>
      </c>
      <c r="CK67" s="1428" t="str">
        <f>IFERROR(VLOOKUP(CONCATENATE($B$8,"_",$B67),Data!$BO$16:$ES$1015,CK$11,FALSE),"")</f>
        <v/>
      </c>
      <c r="CL67" s="1428" t="str">
        <f>IFERROR(VLOOKUP(CONCATENATE($B$8,"_",$B67),Data!$BO$16:$ES$1015,CL$11,FALSE),"")</f>
        <v/>
      </c>
      <c r="CM67" s="1428" t="str">
        <f>IFERROR(VLOOKUP(CONCATENATE($B$8,"_",$B67),Data!$BO$16:$ES$1015,CM$11,FALSE),"")</f>
        <v/>
      </c>
      <c r="CN67" s="1428" t="str">
        <f>IFERROR(VLOOKUP(CONCATENATE($B$8,"_",$B67),Data!$BO$16:$ES$1015,CN$11,FALSE),"")</f>
        <v/>
      </c>
      <c r="CO67" s="1428" t="str">
        <f>IFERROR(VLOOKUP(CONCATENATE($B$8,"_",$B67),Data!$BO$16:$ES$1015,CO$11,FALSE),"")</f>
        <v/>
      </c>
      <c r="CP67" s="1433" t="str">
        <f>IFERROR(VLOOKUP(CONCATENATE($B$8,"_",$B67),Data!$BO$16:$ES$1015,CP$11,FALSE),"")</f>
        <v/>
      </c>
      <c r="CQ67" s="1433" t="str">
        <f>IFERROR(VLOOKUP(CONCATENATE($B$8,"_",$B67),Data!$BO$16:$ES$1015,CQ$11,FALSE),"")</f>
        <v/>
      </c>
      <c r="CR67" s="1433" t="str">
        <f>IFERROR(VLOOKUP(CONCATENATE($B$8,"_",$B67),Data!$BO$16:$ES$1015,CR$11,FALSE),"")</f>
        <v/>
      </c>
      <c r="CS67" s="1433" t="str">
        <f>IFERROR(VLOOKUP(CONCATENATE($B$8,"_",$B67),Data!$BO$16:$ES$1015,CS$11,FALSE),"")</f>
        <v/>
      </c>
      <c r="CT67" s="1433" t="str">
        <f>IFERROR(VLOOKUP(CONCATENATE($B$8,"_",$B67),Data!$BO$16:$ES$1015,CT$11,FALSE),"")</f>
        <v/>
      </c>
      <c r="CU67" s="1433" t="str">
        <f>IFERROR(VLOOKUP(CONCATENATE($B$8,"_",$B67),Data!$BO$16:$ES$1015,CU$11,FALSE),"")</f>
        <v/>
      </c>
      <c r="CV67" s="1433" t="str">
        <f>IFERROR(VLOOKUP(CONCATENATE($B$8,"_",$B67),Data!$BO$16:$ES$1015,CV$11,FALSE),"")</f>
        <v/>
      </c>
      <c r="CW67" s="1433" t="str">
        <f>IFERROR(VLOOKUP(CONCATENATE($B$8,"_",$B67),Data!$BO$16:$ES$1015,CW$11,FALSE),"")</f>
        <v/>
      </c>
      <c r="CX67" s="1433" t="str">
        <f>IFERROR(VLOOKUP(CONCATENATE($B$8,"_",$B67),Data!$BO$16:$ES$1015,CX$11,FALSE),"")</f>
        <v/>
      </c>
      <c r="CY67" s="1433" t="str">
        <f>IFERROR(VLOOKUP(CONCATENATE($B$8,"_",$B67),Data!$BO$16:$ES$1015,CY$11,FALSE),"")</f>
        <v/>
      </c>
      <c r="CZ67" s="1433" t="str">
        <f>IFERROR(VLOOKUP(CONCATENATE($B$8,"_",$B67),Data!$BO$16:$ES$1015,CZ$11,FALSE),"")</f>
        <v/>
      </c>
      <c r="DA67" s="1433" t="str">
        <f>IFERROR(VLOOKUP(CONCATENATE($B$8,"_",$B67),Data!$BO$16:$ES$1015,DA$11,FALSE),"")</f>
        <v/>
      </c>
      <c r="DB67" s="1433" t="str">
        <f>IFERROR(VLOOKUP(CONCATENATE($B$8,"_",$B67),Data!$BO$16:$ES$1015,DB$11,FALSE),"")</f>
        <v/>
      </c>
      <c r="DC67" s="1433" t="str">
        <f>IFERROR(VLOOKUP(CONCATENATE($B$8,"_",$B67),Data!$BO$16:$ES$1015,DC$11,FALSE),"")</f>
        <v/>
      </c>
      <c r="DD67" s="1433" t="str">
        <f>IFERROR(VLOOKUP(CONCATENATE($B$8,"_",$B67),Data!$BO$16:$ES$1015,DD$11,FALSE),"")</f>
        <v/>
      </c>
      <c r="DE67" s="1433" t="str">
        <f>IFERROR(VLOOKUP(CONCATENATE($B$8,"_",$B67),Data!$BO$16:$ES$1015,DE$11,FALSE),"")</f>
        <v/>
      </c>
      <c r="DF67" s="1433" t="str">
        <f>IFERROR(VLOOKUP(CONCATENATE($B$8,"_",$B67),Data!$BO$16:$ES$1015,DF$11,FALSE),"")</f>
        <v/>
      </c>
      <c r="DG67" s="1433" t="str">
        <f>IFERROR(VLOOKUP(CONCATENATE($B$8,"_",$B67),Data!$BO$16:$ES$1015,DG$11,FALSE),"")</f>
        <v/>
      </c>
      <c r="DH67" s="1433" t="str">
        <f>IFERROR(VLOOKUP(CONCATENATE($B$8,"_",$B67),Data!$BO$16:$ES$1015,DH$11,FALSE),"")</f>
        <v/>
      </c>
      <c r="DI67" s="1433" t="str">
        <f>IFERROR(VLOOKUP(CONCATENATE($B$8,"_",$B67),Data!$BO$16:$ES$1015,DI$11,FALSE),"")</f>
        <v/>
      </c>
      <c r="DJ67" s="1433" t="str">
        <f>IFERROR(VLOOKUP(CONCATENATE($B$8,"_",$B67),Data!$BO$16:$ES$1015,DJ$11,FALSE),"")</f>
        <v/>
      </c>
      <c r="DK67" s="1433" t="str">
        <f>IFERROR(VLOOKUP(CONCATENATE($B$8,"_",$B67),Data!$BO$16:$ES$1015,DK$11,FALSE),"")</f>
        <v/>
      </c>
      <c r="DL67" s="1435" t="str">
        <f>IFERROR(VLOOKUP(CONCATENATE($B$8,"_",$B67),Data!$BO$16:$ES$1015,DL$11,FALSE),"")</f>
        <v/>
      </c>
      <c r="DM67" s="1434" t="str">
        <f>IFERROR(VLOOKUP(CONCATENATE($B$8,"_",$B67),Data!$BO$16:$ES$1015,DM$11,FALSE),"")</f>
        <v/>
      </c>
      <c r="DN67" s="1434" t="str">
        <f>IFERROR(VLOOKUP(CONCATENATE($B$8,"_",$B67),Data!$BO$16:$ES$1015,DN$11,FALSE),"")</f>
        <v/>
      </c>
      <c r="DO67" s="1434" t="str">
        <f>IFERROR(VLOOKUP(CONCATENATE($B$8,"_",$B67),Data!$BO$16:$ES$1015,DO$11,FALSE),"")</f>
        <v/>
      </c>
      <c r="DP67" s="1434" t="str">
        <f>IFERROR(VLOOKUP(CONCATENATE($B$8,"_",$B67),Data!$BO$16:$ES$1015,DP$11,FALSE),"")</f>
        <v/>
      </c>
      <c r="DQ67" s="1434" t="str">
        <f>IFERROR(VLOOKUP(CONCATENATE($B$8,"_",$B67),Data!$BO$16:$ES$1015,DQ$11,FALSE),"")</f>
        <v/>
      </c>
      <c r="DR67" s="1434" t="str">
        <f>IFERROR(VLOOKUP(CONCATENATE($B$8,"_",$B67),Data!$BO$16:$ES$1015,DR$11,FALSE),"")</f>
        <v/>
      </c>
      <c r="DS67" s="1434" t="str">
        <f>IFERROR(VLOOKUP(CONCATENATE($B$8,"_",$B67),Data!$BO$16:$ES$1015,DS$11,FALSE),"")</f>
        <v/>
      </c>
      <c r="DT67" s="1434" t="str">
        <f>IFERROR(VLOOKUP(CONCATENATE($B$8,"_",$B67),Data!$BO$16:$ES$1015,DT$11,FALSE),"")</f>
        <v/>
      </c>
      <c r="DU67" s="1434" t="str">
        <f>IFERROR(VLOOKUP(CONCATENATE($B$8,"_",$B67),Data!$BO$16:$ES$1015,DU$11,FALSE),"")</f>
        <v/>
      </c>
      <c r="DV67" s="1434" t="str">
        <f>IFERROR(VLOOKUP(CONCATENATE($B$8,"_",$B67),Data!$BO$16:$ES$1015,DV$11,FALSE),"")</f>
        <v/>
      </c>
      <c r="DW67" s="1434" t="str">
        <f>IFERROR(VLOOKUP(CONCATENATE($B$8,"_",$B67),Data!$BO$16:$ES$1015,DW$11,FALSE),"")</f>
        <v/>
      </c>
      <c r="DX67" s="1434" t="str">
        <f>IFERROR(VLOOKUP(CONCATENATE($B$8,"_",$B67),Data!$BO$16:$ES$1015,DX$11,FALSE),"")</f>
        <v/>
      </c>
      <c r="DY67" s="1434" t="str">
        <f>IFERROR(VLOOKUP(CONCATENATE($B$8,"_",$B67),Data!$BO$16:$ES$1015,DY$11,FALSE),"")</f>
        <v/>
      </c>
      <c r="DZ67" s="1434" t="str">
        <f>IFERROR(VLOOKUP(CONCATENATE($B$8,"_",$B67),Data!$BO$16:$ES$1015,DZ$11,FALSE),"")</f>
        <v/>
      </c>
      <c r="EA67" s="1434" t="str">
        <f>IFERROR(VLOOKUP(CONCATENATE($B$8,"_",$B67),Data!$BO$16:$ES$1015,EA$11,FALSE),"")</f>
        <v/>
      </c>
      <c r="EB67" s="1434" t="str">
        <f>IFERROR(VLOOKUP(CONCATENATE($B$8,"_",$B67),Data!$BO$16:$ES$1015,EB$11,FALSE),"")</f>
        <v/>
      </c>
      <c r="EC67" s="1434" t="str">
        <f>IFERROR(VLOOKUP(CONCATENATE($B$8,"_",$B67),Data!$BO$16:$ES$1015,EC$11,FALSE),"")</f>
        <v/>
      </c>
      <c r="ED67" s="1434" t="str">
        <f>IFERROR(VLOOKUP(CONCATENATE($B$8,"_",$B67),Data!$BO$16:$ES$1015,ED$11,FALSE),"")</f>
        <v/>
      </c>
      <c r="EE67" s="1434" t="str">
        <f>IFERROR(VLOOKUP(CONCATENATE($B$8,"_",$B67),Data!$BO$16:$ES$1015,EE$11,FALSE),"")</f>
        <v/>
      </c>
      <c r="EF67" s="1434" t="str">
        <f>IFERROR(VLOOKUP(CONCATENATE($B$8,"_",$B67),Data!$BO$16:$ES$1015,EF$11,FALSE),"")</f>
        <v/>
      </c>
      <c r="EG67" s="1434" t="str">
        <f>IFERROR(VLOOKUP(CONCATENATE($B$8,"_",$B67),Data!$BO$16:$ES$1015,EG$11,FALSE),"")</f>
        <v/>
      </c>
      <c r="EH67" s="1434" t="str">
        <f>IFERROR(VLOOKUP(CONCATENATE($B$8,"_",$B67),Data!$BO$16:$ES$1015,EH$11,FALSE),"")</f>
        <v/>
      </c>
      <c r="EI67" s="1434" t="str">
        <f>IFERROR(VLOOKUP(CONCATENATE($B$8,"_",$B67),Data!$BO$16:$ES$1015,EI$11,FALSE),"")</f>
        <v/>
      </c>
      <c r="EK67" s="1437"/>
    </row>
    <row r="68" spans="1:141" s="1436" customFormat="1" ht="15" customHeight="1">
      <c r="A68" s="1438">
        <v>55</v>
      </c>
      <c r="B68" s="1738" t="str">
        <f>IF($B$13+A68&lt;=Progress!$D$18,$B$13+A68,"")</f>
        <v/>
      </c>
      <c r="C68" s="1737" t="str">
        <f>IFERROR(VLOOKUP(CONCATENATE($B$8,"_",$B68),Data!$H$16:$BN$1015,C$11,FALSE),"")</f>
        <v/>
      </c>
      <c r="D68" s="1428" t="str">
        <f>IFERROR(VLOOKUP(CONCATENATE($B$8,"_",$B68),Data!$H$16:$BN$1015,D$11,FALSE),"")</f>
        <v/>
      </c>
      <c r="E68" s="1429" t="str">
        <f>IFERROR(VLOOKUP(CONCATENATE($B$8,"_",$B68),Data!$H$16:$BN$1015,E$11,FALSE),"")</f>
        <v/>
      </c>
      <c r="F68" s="1428" t="str">
        <f>IFERROR(VLOOKUP(CONCATENATE($B$8,"_",$B68),Data!$H$16:$BN$1015,F$11,FALSE),"")</f>
        <v/>
      </c>
      <c r="G68" s="1428" t="str">
        <f>IFERROR(VLOOKUP(CONCATENATE($B$8,"_",$B68),Data!$H$16:$BN$1015,G$11,FALSE),"")</f>
        <v/>
      </c>
      <c r="H68" s="1429" t="str">
        <f>IFERROR(VLOOKUP(CONCATENATE($B$8,"_",$B68),Data!$H$16:$BN$1015,H$11,FALSE),"")</f>
        <v/>
      </c>
      <c r="I68" s="1428" t="str">
        <f>IFERROR(VLOOKUP(CONCATENATE($B$8,"_",$B68),Data!$H$16:$BN$1015,I$11,FALSE),"")</f>
        <v/>
      </c>
      <c r="J68" s="1428" t="str">
        <f>IFERROR(VLOOKUP(CONCATENATE($B$8,"_",$B68),Data!$H$16:$BN$1015,J$11,FALSE),"")</f>
        <v/>
      </c>
      <c r="K68" s="1429" t="str">
        <f>IFERROR(VLOOKUP(CONCATENATE($B$8,"_",$B68),Data!$H$16:$BN$1015,K$11,FALSE),"")</f>
        <v/>
      </c>
      <c r="L68" s="1428" t="str">
        <f>IFERROR(VLOOKUP(CONCATENATE($B$8,"_",$B68),Data!$H$16:$BN$1015,L$11,FALSE),"")</f>
        <v/>
      </c>
      <c r="M68" s="1428" t="str">
        <f>IFERROR(VLOOKUP(CONCATENATE($B$8,"_",$B68),Data!$H$16:$BN$1015,M$11,FALSE),"")</f>
        <v/>
      </c>
      <c r="N68" s="1429" t="str">
        <f>IFERROR(VLOOKUP(CONCATENATE($B$8,"_",$B68),Data!$H$16:$BN$1015,N$11,FALSE),"")</f>
        <v/>
      </c>
      <c r="O68" s="1430" t="str">
        <f>IFERROR(VLOOKUP(CONCATENATE($B$8,"_",$B68),Data!$H$16:$BN$1015,O$11,FALSE),"")</f>
        <v/>
      </c>
      <c r="P68" s="1428" t="str">
        <f>IFERROR(VLOOKUP(CONCATENATE($B$8,"_",$B68),Data!$H$16:$BN$1015,P$11,FALSE),"")</f>
        <v/>
      </c>
      <c r="Q68" s="1428" t="str">
        <f>IFERROR(VLOOKUP(CONCATENATE($B$8,"_",$B68),Data!$H$16:$BN$1015,Q$11,FALSE),"")</f>
        <v/>
      </c>
      <c r="R68" s="1429" t="str">
        <f>IFERROR(VLOOKUP(CONCATENATE($B$8,"_",$B68),Data!$H$16:$BN$1015,R$11,FALSE),"")</f>
        <v/>
      </c>
      <c r="S68" s="1428" t="str">
        <f>IFERROR(VLOOKUP(CONCATENATE($B$8,"_",$B68),Data!$H$16:$BN$1015,S$11,FALSE),"")</f>
        <v/>
      </c>
      <c r="T68" s="1428" t="str">
        <f>IFERROR(VLOOKUP(CONCATENATE($B$8,"_",$B68),Data!$H$16:$BN$1015,T$11,FALSE),"")</f>
        <v/>
      </c>
      <c r="U68" s="1429" t="str">
        <f>IFERROR(VLOOKUP(CONCATENATE($B$8,"_",$B68),Data!$H$16:$BN$1015,U$11,FALSE),"")</f>
        <v/>
      </c>
      <c r="V68" s="1428" t="str">
        <f>IFERROR(VLOOKUP(CONCATENATE($B$8,"_",$B68),Data!$H$16:$BN$1015,V$11,FALSE),"")</f>
        <v/>
      </c>
      <c r="W68" s="1428" t="str">
        <f>IFERROR(VLOOKUP(CONCATENATE($B$8,"_",$B68),Data!$H$16:$BN$1015,W$11,FALSE),"")</f>
        <v/>
      </c>
      <c r="X68" s="1428" t="str">
        <f>IFERROR(VLOOKUP(CONCATENATE($B$8,"_",$B68),Data!$H$16:$BN$1015,X$11,FALSE),"")</f>
        <v/>
      </c>
      <c r="Y68" s="1428" t="str">
        <f>IFERROR(VLOOKUP(CONCATENATE($B$8,"_",$B68),Data!$H$16:$BN$1015,Y$11,FALSE),"")</f>
        <v/>
      </c>
      <c r="Z68" s="1429" t="str">
        <f>IFERROR(VLOOKUP(CONCATENATE($B$8,"_",$B68),Data!$H$16:$BN$1015,Z$11,FALSE),"")</f>
        <v/>
      </c>
      <c r="AA68" s="1428" t="str">
        <f>IFERROR(VLOOKUP(CONCATENATE($B$8,"_",$B68),Data!$H$16:$BN$1015,AA$11,FALSE),"")</f>
        <v/>
      </c>
      <c r="AB68" s="1428" t="str">
        <f>IFERROR(VLOOKUP(CONCATENATE($B$8,"_",$B68),Data!$H$16:$BN$1015,AB$11,FALSE),"")</f>
        <v/>
      </c>
      <c r="AC68" s="1429" t="str">
        <f>IFERROR(VLOOKUP(CONCATENATE($B$8,"_",$B68),Data!$H$16:$BN$1015,AC$11,FALSE),"")</f>
        <v/>
      </c>
      <c r="AD68" s="1428" t="str">
        <f>IFERROR(VLOOKUP(CONCATENATE($B$8,"_",$B68),Data!$H$16:$BN$1015,AD$11,FALSE),"")</f>
        <v/>
      </c>
      <c r="AE68" s="1428" t="str">
        <f>IFERROR(VLOOKUP(CONCATENATE($B$8,"_",$B68),Data!$H$16:$BN$1015,AE$11,FALSE),"")</f>
        <v/>
      </c>
      <c r="AF68" s="1429" t="str">
        <f>IFERROR(VLOOKUP(CONCATENATE($B$8,"_",$B68),Data!$H$16:$BN$1015,AF$11,FALSE),"")</f>
        <v/>
      </c>
      <c r="AG68" s="1428" t="str">
        <f>IFERROR(VLOOKUP(CONCATENATE($B$8,"_",$B68),Data!$H$16:$BN$1015,AG$11,FALSE),"")</f>
        <v/>
      </c>
      <c r="AH68" s="1428" t="str">
        <f>IFERROR(VLOOKUP(CONCATENATE($B$8,"_",$B68),Data!$H$16:$BN$1015,AH$11,FALSE),"")</f>
        <v/>
      </c>
      <c r="AI68" s="1429" t="str">
        <f>IFERROR(VLOOKUP(CONCATENATE($B$8,"_",$B68),Data!$H$16:$BN$1015,AI$11,FALSE),"")</f>
        <v/>
      </c>
      <c r="AJ68" s="1428" t="str">
        <f>IFERROR(VLOOKUP(CONCATENATE($B$8,"_",$B68),Data!$H$16:$BN$1015,AJ$11,FALSE),"")</f>
        <v/>
      </c>
      <c r="AK68" s="1428" t="str">
        <f>IFERROR(VLOOKUP(CONCATENATE($B$8,"_",$B68),Data!$H$16:$BN$1015,AK$11,FALSE),"")</f>
        <v/>
      </c>
      <c r="AL68" s="1429" t="str">
        <f>IFERROR(VLOOKUP(CONCATENATE($B$8,"_",$B68),Data!$H$16:$BN$1015,AL$11,FALSE),"")</f>
        <v/>
      </c>
      <c r="AM68" s="1428" t="str">
        <f>IFERROR(VLOOKUP(CONCATENATE($B$8,"_",$B68),Data!$H$16:$BN$1015,AM$11,FALSE),"")</f>
        <v/>
      </c>
      <c r="AN68" s="1428" t="str">
        <f>IFERROR(VLOOKUP(CONCATENATE($B$8,"_",$B68),Data!$H$16:$BN$1015,AN$11,FALSE),"")</f>
        <v/>
      </c>
      <c r="AO68" s="1430" t="str">
        <f>IFERROR(VLOOKUP(CONCATENATE($B$8,"_",$B68),Data!$H$16:$BN$1015,AO$11,FALSE),"")</f>
        <v/>
      </c>
      <c r="AP68" s="1428" t="str">
        <f>IFERROR(VLOOKUP(CONCATENATE($B$8,"_",$B68),Data!$H$16:$BN$1015,AP$11,FALSE),"")</f>
        <v/>
      </c>
      <c r="AQ68" s="1428" t="str">
        <f>IFERROR(VLOOKUP(CONCATENATE($B$8,"_",$B68),Data!$H$16:$BN$1015,AQ$11,FALSE),"")</f>
        <v/>
      </c>
      <c r="AR68" s="1430" t="str">
        <f>IFERROR(VLOOKUP(CONCATENATE($B$8,"_",$B68),Data!$H$16:$BN$1015,AR$11,FALSE),"")</f>
        <v/>
      </c>
      <c r="AS68" s="1428" t="str">
        <f>IFERROR(VLOOKUP(CONCATENATE($B$8,"_",$B68),Data!$H$16:$BN$1015,AS$11,FALSE),"")</f>
        <v/>
      </c>
      <c r="AT68" s="1428" t="str">
        <f>IFERROR(VLOOKUP(CONCATENATE($B$8,"_",$B68),Data!$H$16:$BN$1015,AT$11,FALSE),"")</f>
        <v/>
      </c>
      <c r="AU68" s="1430" t="str">
        <f>IFERROR(VLOOKUP(CONCATENATE($B$8,"_",$B68),Data!$H$16:$BN$1015,AU$11,FALSE),"")</f>
        <v/>
      </c>
      <c r="AV68" s="1428" t="str">
        <f>IFERROR(VLOOKUP(CONCATENATE($B$8,"_",$B68),Data!$H$16:$BN$1015,AV$11,FALSE),"")</f>
        <v/>
      </c>
      <c r="AW68" s="1428" t="str">
        <f>IFERROR(VLOOKUP(CONCATENATE($B$8,"_",$B68),Data!$H$16:$BN$1015,AW$11,FALSE),"")</f>
        <v/>
      </c>
      <c r="AX68" s="1430" t="str">
        <f>IFERROR(VLOOKUP(CONCATENATE($B$8,"_",$B68),Data!$H$16:$BN$1015,AX$11,FALSE),"")</f>
        <v/>
      </c>
      <c r="AY68" s="1429" t="str">
        <f>IFERROR(VLOOKUP(CONCATENATE($B$8,"_",$B68),Data!$H$16:$BN$1015,AY$11,FALSE),"")</f>
        <v/>
      </c>
      <c r="AZ68" s="1429" t="str">
        <f>IFERROR(VLOOKUP(CONCATENATE($B$8,"_",$B68),Data!$H$16:$BN$1015,AZ$11,FALSE),"")</f>
        <v/>
      </c>
      <c r="BA68" s="1429" t="str">
        <f>IFERROR(VLOOKUP(CONCATENATE($B$8,"_",$B68),Data!$H$16:$BN$1015,BA$11,FALSE),"")</f>
        <v/>
      </c>
      <c r="BB68" s="1429" t="str">
        <f>IFERROR(VLOOKUP(CONCATENATE($B$8,"_",$B68),Data!$H$16:$BN$1015,BB$11,FALSE),"")</f>
        <v/>
      </c>
      <c r="BC68" s="1429" t="str">
        <f>IFERROR(VLOOKUP(CONCATENATE($B$8,"_",$B68),Data!$H$16:$BN$1015,BC$11,FALSE),"")</f>
        <v/>
      </c>
      <c r="BD68" s="1431" t="str">
        <f>IFERROR(VLOOKUP(CONCATENATE($B$8,"_",$B68),Data!$H$16:$BN$1015,BD$11,FALSE),"")</f>
        <v/>
      </c>
      <c r="BE68" s="1439" t="str">
        <f t="shared" si="0"/>
        <v/>
      </c>
      <c r="BF68" s="1428" t="str">
        <f>IFERROR(VLOOKUP(CONCATENATE($B$8,"_",$B68),Data!$BO$16:$ES$1015,BF$11,FALSE),"")</f>
        <v/>
      </c>
      <c r="BG68" s="1433" t="str">
        <f>IFERROR(VLOOKUP(CONCATENATE($B$8,"_",$B68),Data!$BO$16:$ES$1015,BG$11,FALSE),"")</f>
        <v/>
      </c>
      <c r="BH68" s="1435" t="str">
        <f>IFERROR(VLOOKUP(CONCATENATE($B$8,"_",$B68),Data!$BO$16:$ES$1015,BH$11,FALSE),"")</f>
        <v/>
      </c>
      <c r="BI68" s="1434" t="str">
        <f>IFERROR(VLOOKUP(CONCATENATE($B$8,"_",$B68),Data!$BO$16:$ES$1015,BI$11,FALSE),"")</f>
        <v/>
      </c>
      <c r="BJ68" s="1428" t="str">
        <f>IFERROR(VLOOKUP(CONCATENATE($B$8,"_",$B68),Data!$BO$16:$ES$1015,BJ$11,FALSE),"")</f>
        <v/>
      </c>
      <c r="BK68" s="1428" t="str">
        <f>IFERROR(VLOOKUP(CONCATENATE($B$8,"_",$B68),Data!$BO$16:$ES$1015,BK$11,FALSE),"")</f>
        <v/>
      </c>
      <c r="BL68" s="1428" t="str">
        <f>IFERROR(VLOOKUP(CONCATENATE($B$8,"_",$B68),Data!$BO$16:$ES$1015,BL$11,FALSE),"")</f>
        <v/>
      </c>
      <c r="BM68" s="1433" t="str">
        <f>IFERROR(VLOOKUP(CONCATENATE($B$8,"_",$B68),Data!$BO$16:$ES$1015,BM$11,FALSE),"")</f>
        <v/>
      </c>
      <c r="BN68" s="1433" t="str">
        <f>IFERROR(VLOOKUP(CONCATENATE($B$8,"_",$B68),Data!$BO$16:$ES$1015,BN$11,FALSE),"")</f>
        <v/>
      </c>
      <c r="BO68" s="1433" t="str">
        <f>IFERROR(VLOOKUP(CONCATENATE($B$8,"_",$B68),Data!$BO$16:$ES$1015,BO$11,FALSE),"")</f>
        <v/>
      </c>
      <c r="BP68" s="1433" t="str">
        <f>IFERROR(VLOOKUP(CONCATENATE($B$8,"_",$B68),Data!$BO$16:$ES$1015,BP$11,FALSE),"")</f>
        <v/>
      </c>
      <c r="BQ68" s="1433" t="str">
        <f>IFERROR(VLOOKUP(CONCATENATE($B$8,"_",$B68),Data!$BO$16:$ES$1015,BQ$11,FALSE),"")</f>
        <v/>
      </c>
      <c r="BR68" s="1434" t="str">
        <f>IFERROR(VLOOKUP(CONCATENATE($B$8,"_",$B68),Data!$BO$16:$ES$1015,BR$11,FALSE),"")</f>
        <v/>
      </c>
      <c r="BS68" s="1434" t="str">
        <f>IFERROR(VLOOKUP(CONCATENATE($B$8,"_",$B68),Data!$BO$16:$ES$1015,BS$11,FALSE),"")</f>
        <v/>
      </c>
      <c r="BT68" s="1434" t="str">
        <f>IFERROR(VLOOKUP(CONCATENATE($B$8,"_",$B68),Data!$BO$16:$ES$1015,BT$11,FALSE),"")</f>
        <v/>
      </c>
      <c r="BU68" s="1434" t="str">
        <f>IFERROR(VLOOKUP(CONCATENATE($B$8,"_",$B68),Data!$BO$16:$ES$1015,BU$11,FALSE),"")</f>
        <v/>
      </c>
      <c r="BV68" s="1434" t="str">
        <f>IFERROR(VLOOKUP(CONCATENATE($B$8,"_",$B68),Data!$BO$16:$ES$1015,BV$11,FALSE),"")</f>
        <v/>
      </c>
      <c r="BW68" s="1434" t="str">
        <f>IFERROR(VLOOKUP(CONCATENATE($B$8,"_",$B68),Data!$BO$16:$ES$1015,BW$11,FALSE),"")</f>
        <v/>
      </c>
      <c r="BX68" s="1434" t="str">
        <f>IFERROR(VLOOKUP(CONCATENATE($B$8,"_",$B68),Data!$BO$16:$ES$1015,BX$11,FALSE),"")</f>
        <v/>
      </c>
      <c r="BY68" s="1428" t="str">
        <f>IFERROR(VLOOKUP(CONCATENATE($B$8,"_",$B68),Data!$BO$16:$ES$1015,BY$11,FALSE),"")</f>
        <v/>
      </c>
      <c r="BZ68" s="1428" t="str">
        <f>IFERROR(VLOOKUP(CONCATENATE($B$8,"_",$B68),Data!$BO$16:$ES$1015,BZ$11,FALSE),"")</f>
        <v/>
      </c>
      <c r="CA68" s="1428" t="str">
        <f>IFERROR(VLOOKUP(CONCATENATE($B$8,"_",$B68),Data!$BO$16:$ES$1015,CA$11,FALSE),"")</f>
        <v/>
      </c>
      <c r="CB68" s="1428" t="str">
        <f>IFERROR(VLOOKUP(CONCATENATE($B$8,"_",$B68),Data!$BO$16:$ES$1015,CB$11,FALSE),"")</f>
        <v/>
      </c>
      <c r="CC68" s="1428" t="str">
        <f>IFERROR(VLOOKUP(CONCATENATE($B$8,"_",$B68),Data!$BO$16:$ES$1015,CC$11,FALSE),"")</f>
        <v/>
      </c>
      <c r="CD68" s="1428" t="str">
        <f>IFERROR(VLOOKUP(CONCATENATE($B$8,"_",$B68),Data!$BO$16:$ES$1015,CD$11,FALSE),"")</f>
        <v/>
      </c>
      <c r="CE68" s="1428" t="str">
        <f>IFERROR(VLOOKUP(CONCATENATE($B$8,"_",$B68),Data!$BO$16:$ES$1015,CE$11,FALSE),"")</f>
        <v/>
      </c>
      <c r="CF68" s="1428" t="str">
        <f>IFERROR(VLOOKUP(CONCATENATE($B$8,"_",$B68),Data!$BO$16:$ES$1015,CF$11,FALSE),"")</f>
        <v/>
      </c>
      <c r="CG68" s="1428" t="str">
        <f>IFERROR(VLOOKUP(CONCATENATE($B$8,"_",$B68),Data!$BO$16:$ES$1015,CG$11,FALSE),"")</f>
        <v/>
      </c>
      <c r="CH68" s="1428" t="str">
        <f>IFERROR(VLOOKUP(CONCATENATE($B$8,"_",$B68),Data!$BO$16:$ES$1015,CH$11,FALSE),"")</f>
        <v/>
      </c>
      <c r="CI68" s="1428" t="str">
        <f>IFERROR(VLOOKUP(CONCATENATE($B$8,"_",$B68),Data!$BO$16:$ES$1015,CI$11,FALSE),"")</f>
        <v/>
      </c>
      <c r="CJ68" s="1428" t="str">
        <f>IFERROR(VLOOKUP(CONCATENATE($B$8,"_",$B68),Data!$BO$16:$ES$1015,CJ$11,FALSE),"")</f>
        <v/>
      </c>
      <c r="CK68" s="1428" t="str">
        <f>IFERROR(VLOOKUP(CONCATENATE($B$8,"_",$B68),Data!$BO$16:$ES$1015,CK$11,FALSE),"")</f>
        <v/>
      </c>
      <c r="CL68" s="1428" t="str">
        <f>IFERROR(VLOOKUP(CONCATENATE($B$8,"_",$B68),Data!$BO$16:$ES$1015,CL$11,FALSE),"")</f>
        <v/>
      </c>
      <c r="CM68" s="1428" t="str">
        <f>IFERROR(VLOOKUP(CONCATENATE($B$8,"_",$B68),Data!$BO$16:$ES$1015,CM$11,FALSE),"")</f>
        <v/>
      </c>
      <c r="CN68" s="1428" t="str">
        <f>IFERROR(VLOOKUP(CONCATENATE($B$8,"_",$B68),Data!$BO$16:$ES$1015,CN$11,FALSE),"")</f>
        <v/>
      </c>
      <c r="CO68" s="1428" t="str">
        <f>IFERROR(VLOOKUP(CONCATENATE($B$8,"_",$B68),Data!$BO$16:$ES$1015,CO$11,FALSE),"")</f>
        <v/>
      </c>
      <c r="CP68" s="1433" t="str">
        <f>IFERROR(VLOOKUP(CONCATENATE($B$8,"_",$B68),Data!$BO$16:$ES$1015,CP$11,FALSE),"")</f>
        <v/>
      </c>
      <c r="CQ68" s="1433" t="str">
        <f>IFERROR(VLOOKUP(CONCATENATE($B$8,"_",$B68),Data!$BO$16:$ES$1015,CQ$11,FALSE),"")</f>
        <v/>
      </c>
      <c r="CR68" s="1433" t="str">
        <f>IFERROR(VLOOKUP(CONCATENATE($B$8,"_",$B68),Data!$BO$16:$ES$1015,CR$11,FALSE),"")</f>
        <v/>
      </c>
      <c r="CS68" s="1433" t="str">
        <f>IFERROR(VLOOKUP(CONCATENATE($B$8,"_",$B68),Data!$BO$16:$ES$1015,CS$11,FALSE),"")</f>
        <v/>
      </c>
      <c r="CT68" s="1433" t="str">
        <f>IFERROR(VLOOKUP(CONCATENATE($B$8,"_",$B68),Data!$BO$16:$ES$1015,CT$11,FALSE),"")</f>
        <v/>
      </c>
      <c r="CU68" s="1433" t="str">
        <f>IFERROR(VLOOKUP(CONCATENATE($B$8,"_",$B68),Data!$BO$16:$ES$1015,CU$11,FALSE),"")</f>
        <v/>
      </c>
      <c r="CV68" s="1433" t="str">
        <f>IFERROR(VLOOKUP(CONCATENATE($B$8,"_",$B68),Data!$BO$16:$ES$1015,CV$11,FALSE),"")</f>
        <v/>
      </c>
      <c r="CW68" s="1433" t="str">
        <f>IFERROR(VLOOKUP(CONCATENATE($B$8,"_",$B68),Data!$BO$16:$ES$1015,CW$11,FALSE),"")</f>
        <v/>
      </c>
      <c r="CX68" s="1433" t="str">
        <f>IFERROR(VLOOKUP(CONCATENATE($B$8,"_",$B68),Data!$BO$16:$ES$1015,CX$11,FALSE),"")</f>
        <v/>
      </c>
      <c r="CY68" s="1433" t="str">
        <f>IFERROR(VLOOKUP(CONCATENATE($B$8,"_",$B68),Data!$BO$16:$ES$1015,CY$11,FALSE),"")</f>
        <v/>
      </c>
      <c r="CZ68" s="1433" t="str">
        <f>IFERROR(VLOOKUP(CONCATENATE($B$8,"_",$B68),Data!$BO$16:$ES$1015,CZ$11,FALSE),"")</f>
        <v/>
      </c>
      <c r="DA68" s="1433" t="str">
        <f>IFERROR(VLOOKUP(CONCATENATE($B$8,"_",$B68),Data!$BO$16:$ES$1015,DA$11,FALSE),"")</f>
        <v/>
      </c>
      <c r="DB68" s="1433" t="str">
        <f>IFERROR(VLOOKUP(CONCATENATE($B$8,"_",$B68),Data!$BO$16:$ES$1015,DB$11,FALSE),"")</f>
        <v/>
      </c>
      <c r="DC68" s="1433" t="str">
        <f>IFERROR(VLOOKUP(CONCATENATE($B$8,"_",$B68),Data!$BO$16:$ES$1015,DC$11,FALSE),"")</f>
        <v/>
      </c>
      <c r="DD68" s="1433" t="str">
        <f>IFERROR(VLOOKUP(CONCATENATE($B$8,"_",$B68),Data!$BO$16:$ES$1015,DD$11,FALSE),"")</f>
        <v/>
      </c>
      <c r="DE68" s="1433" t="str">
        <f>IFERROR(VLOOKUP(CONCATENATE($B$8,"_",$B68),Data!$BO$16:$ES$1015,DE$11,FALSE),"")</f>
        <v/>
      </c>
      <c r="DF68" s="1433" t="str">
        <f>IFERROR(VLOOKUP(CONCATENATE($B$8,"_",$B68),Data!$BO$16:$ES$1015,DF$11,FALSE),"")</f>
        <v/>
      </c>
      <c r="DG68" s="1433" t="str">
        <f>IFERROR(VLOOKUP(CONCATENATE($B$8,"_",$B68),Data!$BO$16:$ES$1015,DG$11,FALSE),"")</f>
        <v/>
      </c>
      <c r="DH68" s="1433" t="str">
        <f>IFERROR(VLOOKUP(CONCATENATE($B$8,"_",$B68),Data!$BO$16:$ES$1015,DH$11,FALSE),"")</f>
        <v/>
      </c>
      <c r="DI68" s="1433" t="str">
        <f>IFERROR(VLOOKUP(CONCATENATE($B$8,"_",$B68),Data!$BO$16:$ES$1015,DI$11,FALSE),"")</f>
        <v/>
      </c>
      <c r="DJ68" s="1433" t="str">
        <f>IFERROR(VLOOKUP(CONCATENATE($B$8,"_",$B68),Data!$BO$16:$ES$1015,DJ$11,FALSE),"")</f>
        <v/>
      </c>
      <c r="DK68" s="1433" t="str">
        <f>IFERROR(VLOOKUP(CONCATENATE($B$8,"_",$B68),Data!$BO$16:$ES$1015,DK$11,FALSE),"")</f>
        <v/>
      </c>
      <c r="DL68" s="1435" t="str">
        <f>IFERROR(VLOOKUP(CONCATENATE($B$8,"_",$B68),Data!$BO$16:$ES$1015,DL$11,FALSE),"")</f>
        <v/>
      </c>
      <c r="DM68" s="1434" t="str">
        <f>IFERROR(VLOOKUP(CONCATENATE($B$8,"_",$B68),Data!$BO$16:$ES$1015,DM$11,FALSE),"")</f>
        <v/>
      </c>
      <c r="DN68" s="1434" t="str">
        <f>IFERROR(VLOOKUP(CONCATENATE($B$8,"_",$B68),Data!$BO$16:$ES$1015,DN$11,FALSE),"")</f>
        <v/>
      </c>
      <c r="DO68" s="1434" t="str">
        <f>IFERROR(VLOOKUP(CONCATENATE($B$8,"_",$B68),Data!$BO$16:$ES$1015,DO$11,FALSE),"")</f>
        <v/>
      </c>
      <c r="DP68" s="1434" t="str">
        <f>IFERROR(VLOOKUP(CONCATENATE($B$8,"_",$B68),Data!$BO$16:$ES$1015,DP$11,FALSE),"")</f>
        <v/>
      </c>
      <c r="DQ68" s="1434" t="str">
        <f>IFERROR(VLOOKUP(CONCATENATE($B$8,"_",$B68),Data!$BO$16:$ES$1015,DQ$11,FALSE),"")</f>
        <v/>
      </c>
      <c r="DR68" s="1434" t="str">
        <f>IFERROR(VLOOKUP(CONCATENATE($B$8,"_",$B68),Data!$BO$16:$ES$1015,DR$11,FALSE),"")</f>
        <v/>
      </c>
      <c r="DS68" s="1434" t="str">
        <f>IFERROR(VLOOKUP(CONCATENATE($B$8,"_",$B68),Data!$BO$16:$ES$1015,DS$11,FALSE),"")</f>
        <v/>
      </c>
      <c r="DT68" s="1434" t="str">
        <f>IFERROR(VLOOKUP(CONCATENATE($B$8,"_",$B68),Data!$BO$16:$ES$1015,DT$11,FALSE),"")</f>
        <v/>
      </c>
      <c r="DU68" s="1434" t="str">
        <f>IFERROR(VLOOKUP(CONCATENATE($B$8,"_",$B68),Data!$BO$16:$ES$1015,DU$11,FALSE),"")</f>
        <v/>
      </c>
      <c r="DV68" s="1434" t="str">
        <f>IFERROR(VLOOKUP(CONCATENATE($B$8,"_",$B68),Data!$BO$16:$ES$1015,DV$11,FALSE),"")</f>
        <v/>
      </c>
      <c r="DW68" s="1434" t="str">
        <f>IFERROR(VLOOKUP(CONCATENATE($B$8,"_",$B68),Data!$BO$16:$ES$1015,DW$11,FALSE),"")</f>
        <v/>
      </c>
      <c r="DX68" s="1434" t="str">
        <f>IFERROR(VLOOKUP(CONCATENATE($B$8,"_",$B68),Data!$BO$16:$ES$1015,DX$11,FALSE),"")</f>
        <v/>
      </c>
      <c r="DY68" s="1434" t="str">
        <f>IFERROR(VLOOKUP(CONCATENATE($B$8,"_",$B68),Data!$BO$16:$ES$1015,DY$11,FALSE),"")</f>
        <v/>
      </c>
      <c r="DZ68" s="1434" t="str">
        <f>IFERROR(VLOOKUP(CONCATENATE($B$8,"_",$B68),Data!$BO$16:$ES$1015,DZ$11,FALSE),"")</f>
        <v/>
      </c>
      <c r="EA68" s="1434" t="str">
        <f>IFERROR(VLOOKUP(CONCATENATE($B$8,"_",$B68),Data!$BO$16:$ES$1015,EA$11,FALSE),"")</f>
        <v/>
      </c>
      <c r="EB68" s="1434" t="str">
        <f>IFERROR(VLOOKUP(CONCATENATE($B$8,"_",$B68),Data!$BO$16:$ES$1015,EB$11,FALSE),"")</f>
        <v/>
      </c>
      <c r="EC68" s="1434" t="str">
        <f>IFERROR(VLOOKUP(CONCATENATE($B$8,"_",$B68),Data!$BO$16:$ES$1015,EC$11,FALSE),"")</f>
        <v/>
      </c>
      <c r="ED68" s="1434" t="str">
        <f>IFERROR(VLOOKUP(CONCATENATE($B$8,"_",$B68),Data!$BO$16:$ES$1015,ED$11,FALSE),"")</f>
        <v/>
      </c>
      <c r="EE68" s="1434" t="str">
        <f>IFERROR(VLOOKUP(CONCATENATE($B$8,"_",$B68),Data!$BO$16:$ES$1015,EE$11,FALSE),"")</f>
        <v/>
      </c>
      <c r="EF68" s="1434" t="str">
        <f>IFERROR(VLOOKUP(CONCATENATE($B$8,"_",$B68),Data!$BO$16:$ES$1015,EF$11,FALSE),"")</f>
        <v/>
      </c>
      <c r="EG68" s="1434" t="str">
        <f>IFERROR(VLOOKUP(CONCATENATE($B$8,"_",$B68),Data!$BO$16:$ES$1015,EG$11,FALSE),"")</f>
        <v/>
      </c>
      <c r="EH68" s="1434" t="str">
        <f>IFERROR(VLOOKUP(CONCATENATE($B$8,"_",$B68),Data!$BO$16:$ES$1015,EH$11,FALSE),"")</f>
        <v/>
      </c>
      <c r="EI68" s="1434" t="str">
        <f>IFERROR(VLOOKUP(CONCATENATE($B$8,"_",$B68),Data!$BO$16:$ES$1015,EI$11,FALSE),"")</f>
        <v/>
      </c>
      <c r="EK68" s="1437"/>
    </row>
    <row r="69" spans="1:141" s="1436" customFormat="1" ht="15" customHeight="1">
      <c r="A69" s="1438">
        <v>56</v>
      </c>
      <c r="B69" s="1738" t="str">
        <f>IF($B$13+A69&lt;=Progress!$D$18,$B$13+A69,"")</f>
        <v/>
      </c>
      <c r="C69" s="1737" t="str">
        <f>IFERROR(VLOOKUP(CONCATENATE($B$8,"_",$B69),Data!$H$16:$BN$1015,C$11,FALSE),"")</f>
        <v/>
      </c>
      <c r="D69" s="1428" t="str">
        <f>IFERROR(VLOOKUP(CONCATENATE($B$8,"_",$B69),Data!$H$16:$BN$1015,D$11,FALSE),"")</f>
        <v/>
      </c>
      <c r="E69" s="1429" t="str">
        <f>IFERROR(VLOOKUP(CONCATENATE($B$8,"_",$B69),Data!$H$16:$BN$1015,E$11,FALSE),"")</f>
        <v/>
      </c>
      <c r="F69" s="1428" t="str">
        <f>IFERROR(VLOOKUP(CONCATENATE($B$8,"_",$B69),Data!$H$16:$BN$1015,F$11,FALSE),"")</f>
        <v/>
      </c>
      <c r="G69" s="1428" t="str">
        <f>IFERROR(VLOOKUP(CONCATENATE($B$8,"_",$B69),Data!$H$16:$BN$1015,G$11,FALSE),"")</f>
        <v/>
      </c>
      <c r="H69" s="1429" t="str">
        <f>IFERROR(VLOOKUP(CONCATENATE($B$8,"_",$B69),Data!$H$16:$BN$1015,H$11,FALSE),"")</f>
        <v/>
      </c>
      <c r="I69" s="1428" t="str">
        <f>IFERROR(VLOOKUP(CONCATENATE($B$8,"_",$B69),Data!$H$16:$BN$1015,I$11,FALSE),"")</f>
        <v/>
      </c>
      <c r="J69" s="1428" t="str">
        <f>IFERROR(VLOOKUP(CONCATENATE($B$8,"_",$B69),Data!$H$16:$BN$1015,J$11,FALSE),"")</f>
        <v/>
      </c>
      <c r="K69" s="1429" t="str">
        <f>IFERROR(VLOOKUP(CONCATENATE($B$8,"_",$B69),Data!$H$16:$BN$1015,K$11,FALSE),"")</f>
        <v/>
      </c>
      <c r="L69" s="1428" t="str">
        <f>IFERROR(VLOOKUP(CONCATENATE($B$8,"_",$B69),Data!$H$16:$BN$1015,L$11,FALSE),"")</f>
        <v/>
      </c>
      <c r="M69" s="1428" t="str">
        <f>IFERROR(VLOOKUP(CONCATENATE($B$8,"_",$B69),Data!$H$16:$BN$1015,M$11,FALSE),"")</f>
        <v/>
      </c>
      <c r="N69" s="1429" t="str">
        <f>IFERROR(VLOOKUP(CONCATENATE($B$8,"_",$B69),Data!$H$16:$BN$1015,N$11,FALSE),"")</f>
        <v/>
      </c>
      <c r="O69" s="1430" t="str">
        <f>IFERROR(VLOOKUP(CONCATENATE($B$8,"_",$B69),Data!$H$16:$BN$1015,O$11,FALSE),"")</f>
        <v/>
      </c>
      <c r="P69" s="1428" t="str">
        <f>IFERROR(VLOOKUP(CONCATENATE($B$8,"_",$B69),Data!$H$16:$BN$1015,P$11,FALSE),"")</f>
        <v/>
      </c>
      <c r="Q69" s="1428" t="str">
        <f>IFERROR(VLOOKUP(CONCATENATE($B$8,"_",$B69),Data!$H$16:$BN$1015,Q$11,FALSE),"")</f>
        <v/>
      </c>
      <c r="R69" s="1429" t="str">
        <f>IFERROR(VLOOKUP(CONCATENATE($B$8,"_",$B69),Data!$H$16:$BN$1015,R$11,FALSE),"")</f>
        <v/>
      </c>
      <c r="S69" s="1428" t="str">
        <f>IFERROR(VLOOKUP(CONCATENATE($B$8,"_",$B69),Data!$H$16:$BN$1015,S$11,FALSE),"")</f>
        <v/>
      </c>
      <c r="T69" s="1428" t="str">
        <f>IFERROR(VLOOKUP(CONCATENATE($B$8,"_",$B69),Data!$H$16:$BN$1015,T$11,FALSE),"")</f>
        <v/>
      </c>
      <c r="U69" s="1429" t="str">
        <f>IFERROR(VLOOKUP(CONCATENATE($B$8,"_",$B69),Data!$H$16:$BN$1015,U$11,FALSE),"")</f>
        <v/>
      </c>
      <c r="V69" s="1428" t="str">
        <f>IFERROR(VLOOKUP(CONCATENATE($B$8,"_",$B69),Data!$H$16:$BN$1015,V$11,FALSE),"")</f>
        <v/>
      </c>
      <c r="W69" s="1428" t="str">
        <f>IFERROR(VLOOKUP(CONCATENATE($B$8,"_",$B69),Data!$H$16:$BN$1015,W$11,FALSE),"")</f>
        <v/>
      </c>
      <c r="X69" s="1428" t="str">
        <f>IFERROR(VLOOKUP(CONCATENATE($B$8,"_",$B69),Data!$H$16:$BN$1015,X$11,FALSE),"")</f>
        <v/>
      </c>
      <c r="Y69" s="1428" t="str">
        <f>IFERROR(VLOOKUP(CONCATENATE($B$8,"_",$B69),Data!$H$16:$BN$1015,Y$11,FALSE),"")</f>
        <v/>
      </c>
      <c r="Z69" s="1429" t="str">
        <f>IFERROR(VLOOKUP(CONCATENATE($B$8,"_",$B69),Data!$H$16:$BN$1015,Z$11,FALSE),"")</f>
        <v/>
      </c>
      <c r="AA69" s="1428" t="str">
        <f>IFERROR(VLOOKUP(CONCATENATE($B$8,"_",$B69),Data!$H$16:$BN$1015,AA$11,FALSE),"")</f>
        <v/>
      </c>
      <c r="AB69" s="1428" t="str">
        <f>IFERROR(VLOOKUP(CONCATENATE($B$8,"_",$B69),Data!$H$16:$BN$1015,AB$11,FALSE),"")</f>
        <v/>
      </c>
      <c r="AC69" s="1429" t="str">
        <f>IFERROR(VLOOKUP(CONCATENATE($B$8,"_",$B69),Data!$H$16:$BN$1015,AC$11,FALSE),"")</f>
        <v/>
      </c>
      <c r="AD69" s="1428" t="str">
        <f>IFERROR(VLOOKUP(CONCATENATE($B$8,"_",$B69),Data!$H$16:$BN$1015,AD$11,FALSE),"")</f>
        <v/>
      </c>
      <c r="AE69" s="1428" t="str">
        <f>IFERROR(VLOOKUP(CONCATENATE($B$8,"_",$B69),Data!$H$16:$BN$1015,AE$11,FALSE),"")</f>
        <v/>
      </c>
      <c r="AF69" s="1429" t="str">
        <f>IFERROR(VLOOKUP(CONCATENATE($B$8,"_",$B69),Data!$H$16:$BN$1015,AF$11,FALSE),"")</f>
        <v/>
      </c>
      <c r="AG69" s="1428" t="str">
        <f>IFERROR(VLOOKUP(CONCATENATE($B$8,"_",$B69),Data!$H$16:$BN$1015,AG$11,FALSE),"")</f>
        <v/>
      </c>
      <c r="AH69" s="1428" t="str">
        <f>IFERROR(VLOOKUP(CONCATENATE($B$8,"_",$B69),Data!$H$16:$BN$1015,AH$11,FALSE),"")</f>
        <v/>
      </c>
      <c r="AI69" s="1429" t="str">
        <f>IFERROR(VLOOKUP(CONCATENATE($B$8,"_",$B69),Data!$H$16:$BN$1015,AI$11,FALSE),"")</f>
        <v/>
      </c>
      <c r="AJ69" s="1428" t="str">
        <f>IFERROR(VLOOKUP(CONCATENATE($B$8,"_",$B69),Data!$H$16:$BN$1015,AJ$11,FALSE),"")</f>
        <v/>
      </c>
      <c r="AK69" s="1428" t="str">
        <f>IFERROR(VLOOKUP(CONCATENATE($B$8,"_",$B69),Data!$H$16:$BN$1015,AK$11,FALSE),"")</f>
        <v/>
      </c>
      <c r="AL69" s="1429" t="str">
        <f>IFERROR(VLOOKUP(CONCATENATE($B$8,"_",$B69),Data!$H$16:$BN$1015,AL$11,FALSE),"")</f>
        <v/>
      </c>
      <c r="AM69" s="1428" t="str">
        <f>IFERROR(VLOOKUP(CONCATENATE($B$8,"_",$B69),Data!$H$16:$BN$1015,AM$11,FALSE),"")</f>
        <v/>
      </c>
      <c r="AN69" s="1428" t="str">
        <f>IFERROR(VLOOKUP(CONCATENATE($B$8,"_",$B69),Data!$H$16:$BN$1015,AN$11,FALSE),"")</f>
        <v/>
      </c>
      <c r="AO69" s="1430" t="str">
        <f>IFERROR(VLOOKUP(CONCATENATE($B$8,"_",$B69),Data!$H$16:$BN$1015,AO$11,FALSE),"")</f>
        <v/>
      </c>
      <c r="AP69" s="1428" t="str">
        <f>IFERROR(VLOOKUP(CONCATENATE($B$8,"_",$B69),Data!$H$16:$BN$1015,AP$11,FALSE),"")</f>
        <v/>
      </c>
      <c r="AQ69" s="1428" t="str">
        <f>IFERROR(VLOOKUP(CONCATENATE($B$8,"_",$B69),Data!$H$16:$BN$1015,AQ$11,FALSE),"")</f>
        <v/>
      </c>
      <c r="AR69" s="1430" t="str">
        <f>IFERROR(VLOOKUP(CONCATENATE($B$8,"_",$B69),Data!$H$16:$BN$1015,AR$11,FALSE),"")</f>
        <v/>
      </c>
      <c r="AS69" s="1428" t="str">
        <f>IFERROR(VLOOKUP(CONCATENATE($B$8,"_",$B69),Data!$H$16:$BN$1015,AS$11,FALSE),"")</f>
        <v/>
      </c>
      <c r="AT69" s="1428" t="str">
        <f>IFERROR(VLOOKUP(CONCATENATE($B$8,"_",$B69),Data!$H$16:$BN$1015,AT$11,FALSE),"")</f>
        <v/>
      </c>
      <c r="AU69" s="1430" t="str">
        <f>IFERROR(VLOOKUP(CONCATENATE($B$8,"_",$B69),Data!$H$16:$BN$1015,AU$11,FALSE),"")</f>
        <v/>
      </c>
      <c r="AV69" s="1428" t="str">
        <f>IFERROR(VLOOKUP(CONCATENATE($B$8,"_",$B69),Data!$H$16:$BN$1015,AV$11,FALSE),"")</f>
        <v/>
      </c>
      <c r="AW69" s="1428" t="str">
        <f>IFERROR(VLOOKUP(CONCATENATE($B$8,"_",$B69),Data!$H$16:$BN$1015,AW$11,FALSE),"")</f>
        <v/>
      </c>
      <c r="AX69" s="1430" t="str">
        <f>IFERROR(VLOOKUP(CONCATENATE($B$8,"_",$B69),Data!$H$16:$BN$1015,AX$11,FALSE),"")</f>
        <v/>
      </c>
      <c r="AY69" s="1429" t="str">
        <f>IFERROR(VLOOKUP(CONCATENATE($B$8,"_",$B69),Data!$H$16:$BN$1015,AY$11,FALSE),"")</f>
        <v/>
      </c>
      <c r="AZ69" s="1429" t="str">
        <f>IFERROR(VLOOKUP(CONCATENATE($B$8,"_",$B69),Data!$H$16:$BN$1015,AZ$11,FALSE),"")</f>
        <v/>
      </c>
      <c r="BA69" s="1429" t="str">
        <f>IFERROR(VLOOKUP(CONCATENATE($B$8,"_",$B69),Data!$H$16:$BN$1015,BA$11,FALSE),"")</f>
        <v/>
      </c>
      <c r="BB69" s="1429" t="str">
        <f>IFERROR(VLOOKUP(CONCATENATE($B$8,"_",$B69),Data!$H$16:$BN$1015,BB$11,FALSE),"")</f>
        <v/>
      </c>
      <c r="BC69" s="1429" t="str">
        <f>IFERROR(VLOOKUP(CONCATENATE($B$8,"_",$B69),Data!$H$16:$BN$1015,BC$11,FALSE),"")</f>
        <v/>
      </c>
      <c r="BD69" s="1431" t="str">
        <f>IFERROR(VLOOKUP(CONCATENATE($B$8,"_",$B69),Data!$H$16:$BN$1015,BD$11,FALSE),"")</f>
        <v/>
      </c>
      <c r="BE69" s="1439" t="str">
        <f t="shared" si="0"/>
        <v/>
      </c>
      <c r="BF69" s="1428" t="str">
        <f>IFERROR(VLOOKUP(CONCATENATE($B$8,"_",$B69),Data!$BO$16:$ES$1015,BF$11,FALSE),"")</f>
        <v/>
      </c>
      <c r="BG69" s="1433" t="str">
        <f>IFERROR(VLOOKUP(CONCATENATE($B$8,"_",$B69),Data!$BO$16:$ES$1015,BG$11,FALSE),"")</f>
        <v/>
      </c>
      <c r="BH69" s="1435" t="str">
        <f>IFERROR(VLOOKUP(CONCATENATE($B$8,"_",$B69),Data!$BO$16:$ES$1015,BH$11,FALSE),"")</f>
        <v/>
      </c>
      <c r="BI69" s="1434" t="str">
        <f>IFERROR(VLOOKUP(CONCATENATE($B$8,"_",$B69),Data!$BO$16:$ES$1015,BI$11,FALSE),"")</f>
        <v/>
      </c>
      <c r="BJ69" s="1428" t="str">
        <f>IFERROR(VLOOKUP(CONCATENATE($B$8,"_",$B69),Data!$BO$16:$ES$1015,BJ$11,FALSE),"")</f>
        <v/>
      </c>
      <c r="BK69" s="1428" t="str">
        <f>IFERROR(VLOOKUP(CONCATENATE($B$8,"_",$B69),Data!$BO$16:$ES$1015,BK$11,FALSE),"")</f>
        <v/>
      </c>
      <c r="BL69" s="1428" t="str">
        <f>IFERROR(VLOOKUP(CONCATENATE($B$8,"_",$B69),Data!$BO$16:$ES$1015,BL$11,FALSE),"")</f>
        <v/>
      </c>
      <c r="BM69" s="1433" t="str">
        <f>IFERROR(VLOOKUP(CONCATENATE($B$8,"_",$B69),Data!$BO$16:$ES$1015,BM$11,FALSE),"")</f>
        <v/>
      </c>
      <c r="BN69" s="1433" t="str">
        <f>IFERROR(VLOOKUP(CONCATENATE($B$8,"_",$B69),Data!$BO$16:$ES$1015,BN$11,FALSE),"")</f>
        <v/>
      </c>
      <c r="BO69" s="1433" t="str">
        <f>IFERROR(VLOOKUP(CONCATENATE($B$8,"_",$B69),Data!$BO$16:$ES$1015,BO$11,FALSE),"")</f>
        <v/>
      </c>
      <c r="BP69" s="1433" t="str">
        <f>IFERROR(VLOOKUP(CONCATENATE($B$8,"_",$B69),Data!$BO$16:$ES$1015,BP$11,FALSE),"")</f>
        <v/>
      </c>
      <c r="BQ69" s="1433" t="str">
        <f>IFERROR(VLOOKUP(CONCATENATE($B$8,"_",$B69),Data!$BO$16:$ES$1015,BQ$11,FALSE),"")</f>
        <v/>
      </c>
      <c r="BR69" s="1434" t="str">
        <f>IFERROR(VLOOKUP(CONCATENATE($B$8,"_",$B69),Data!$BO$16:$ES$1015,BR$11,FALSE),"")</f>
        <v/>
      </c>
      <c r="BS69" s="1434" t="str">
        <f>IFERROR(VLOOKUP(CONCATENATE($B$8,"_",$B69),Data!$BO$16:$ES$1015,BS$11,FALSE),"")</f>
        <v/>
      </c>
      <c r="BT69" s="1434" t="str">
        <f>IFERROR(VLOOKUP(CONCATENATE($B$8,"_",$B69),Data!$BO$16:$ES$1015,BT$11,FALSE),"")</f>
        <v/>
      </c>
      <c r="BU69" s="1434" t="str">
        <f>IFERROR(VLOOKUP(CONCATENATE($B$8,"_",$B69),Data!$BO$16:$ES$1015,BU$11,FALSE),"")</f>
        <v/>
      </c>
      <c r="BV69" s="1434" t="str">
        <f>IFERROR(VLOOKUP(CONCATENATE($B$8,"_",$B69),Data!$BO$16:$ES$1015,BV$11,FALSE),"")</f>
        <v/>
      </c>
      <c r="BW69" s="1434" t="str">
        <f>IFERROR(VLOOKUP(CONCATENATE($B$8,"_",$B69),Data!$BO$16:$ES$1015,BW$11,FALSE),"")</f>
        <v/>
      </c>
      <c r="BX69" s="1434" t="str">
        <f>IFERROR(VLOOKUP(CONCATENATE($B$8,"_",$B69),Data!$BO$16:$ES$1015,BX$11,FALSE),"")</f>
        <v/>
      </c>
      <c r="BY69" s="1428" t="str">
        <f>IFERROR(VLOOKUP(CONCATENATE($B$8,"_",$B69),Data!$BO$16:$ES$1015,BY$11,FALSE),"")</f>
        <v/>
      </c>
      <c r="BZ69" s="1428" t="str">
        <f>IFERROR(VLOOKUP(CONCATENATE($B$8,"_",$B69),Data!$BO$16:$ES$1015,BZ$11,FALSE),"")</f>
        <v/>
      </c>
      <c r="CA69" s="1428" t="str">
        <f>IFERROR(VLOOKUP(CONCATENATE($B$8,"_",$B69),Data!$BO$16:$ES$1015,CA$11,FALSE),"")</f>
        <v/>
      </c>
      <c r="CB69" s="1428" t="str">
        <f>IFERROR(VLOOKUP(CONCATENATE($B$8,"_",$B69),Data!$BO$16:$ES$1015,CB$11,FALSE),"")</f>
        <v/>
      </c>
      <c r="CC69" s="1428" t="str">
        <f>IFERROR(VLOOKUP(CONCATENATE($B$8,"_",$B69),Data!$BO$16:$ES$1015,CC$11,FALSE),"")</f>
        <v/>
      </c>
      <c r="CD69" s="1428" t="str">
        <f>IFERROR(VLOOKUP(CONCATENATE($B$8,"_",$B69),Data!$BO$16:$ES$1015,CD$11,FALSE),"")</f>
        <v/>
      </c>
      <c r="CE69" s="1428" t="str">
        <f>IFERROR(VLOOKUP(CONCATENATE($B$8,"_",$B69),Data!$BO$16:$ES$1015,CE$11,FALSE),"")</f>
        <v/>
      </c>
      <c r="CF69" s="1428" t="str">
        <f>IFERROR(VLOOKUP(CONCATENATE($B$8,"_",$B69),Data!$BO$16:$ES$1015,CF$11,FALSE),"")</f>
        <v/>
      </c>
      <c r="CG69" s="1428" t="str">
        <f>IFERROR(VLOOKUP(CONCATENATE($B$8,"_",$B69),Data!$BO$16:$ES$1015,CG$11,FALSE),"")</f>
        <v/>
      </c>
      <c r="CH69" s="1428" t="str">
        <f>IFERROR(VLOOKUP(CONCATENATE($B$8,"_",$B69),Data!$BO$16:$ES$1015,CH$11,FALSE),"")</f>
        <v/>
      </c>
      <c r="CI69" s="1428" t="str">
        <f>IFERROR(VLOOKUP(CONCATENATE($B$8,"_",$B69),Data!$BO$16:$ES$1015,CI$11,FALSE),"")</f>
        <v/>
      </c>
      <c r="CJ69" s="1428" t="str">
        <f>IFERROR(VLOOKUP(CONCATENATE($B$8,"_",$B69),Data!$BO$16:$ES$1015,CJ$11,FALSE),"")</f>
        <v/>
      </c>
      <c r="CK69" s="1428" t="str">
        <f>IFERROR(VLOOKUP(CONCATENATE($B$8,"_",$B69),Data!$BO$16:$ES$1015,CK$11,FALSE),"")</f>
        <v/>
      </c>
      <c r="CL69" s="1428" t="str">
        <f>IFERROR(VLOOKUP(CONCATENATE($B$8,"_",$B69),Data!$BO$16:$ES$1015,CL$11,FALSE),"")</f>
        <v/>
      </c>
      <c r="CM69" s="1428" t="str">
        <f>IFERROR(VLOOKUP(CONCATENATE($B$8,"_",$B69),Data!$BO$16:$ES$1015,CM$11,FALSE),"")</f>
        <v/>
      </c>
      <c r="CN69" s="1428" t="str">
        <f>IFERROR(VLOOKUP(CONCATENATE($B$8,"_",$B69),Data!$BO$16:$ES$1015,CN$11,FALSE),"")</f>
        <v/>
      </c>
      <c r="CO69" s="1428" t="str">
        <f>IFERROR(VLOOKUP(CONCATENATE($B$8,"_",$B69),Data!$BO$16:$ES$1015,CO$11,FALSE),"")</f>
        <v/>
      </c>
      <c r="CP69" s="1433" t="str">
        <f>IFERROR(VLOOKUP(CONCATENATE($B$8,"_",$B69),Data!$BO$16:$ES$1015,CP$11,FALSE),"")</f>
        <v/>
      </c>
      <c r="CQ69" s="1433" t="str">
        <f>IFERROR(VLOOKUP(CONCATENATE($B$8,"_",$B69),Data!$BO$16:$ES$1015,CQ$11,FALSE),"")</f>
        <v/>
      </c>
      <c r="CR69" s="1433" t="str">
        <f>IFERROR(VLOOKUP(CONCATENATE($B$8,"_",$B69),Data!$BO$16:$ES$1015,CR$11,FALSE),"")</f>
        <v/>
      </c>
      <c r="CS69" s="1433" t="str">
        <f>IFERROR(VLOOKUP(CONCATENATE($B$8,"_",$B69),Data!$BO$16:$ES$1015,CS$11,FALSE),"")</f>
        <v/>
      </c>
      <c r="CT69" s="1433" t="str">
        <f>IFERROR(VLOOKUP(CONCATENATE($B$8,"_",$B69),Data!$BO$16:$ES$1015,CT$11,FALSE),"")</f>
        <v/>
      </c>
      <c r="CU69" s="1433" t="str">
        <f>IFERROR(VLOOKUP(CONCATENATE($B$8,"_",$B69),Data!$BO$16:$ES$1015,CU$11,FALSE),"")</f>
        <v/>
      </c>
      <c r="CV69" s="1433" t="str">
        <f>IFERROR(VLOOKUP(CONCATENATE($B$8,"_",$B69),Data!$BO$16:$ES$1015,CV$11,FALSE),"")</f>
        <v/>
      </c>
      <c r="CW69" s="1433" t="str">
        <f>IFERROR(VLOOKUP(CONCATENATE($B$8,"_",$B69),Data!$BO$16:$ES$1015,CW$11,FALSE),"")</f>
        <v/>
      </c>
      <c r="CX69" s="1433" t="str">
        <f>IFERROR(VLOOKUP(CONCATENATE($B$8,"_",$B69),Data!$BO$16:$ES$1015,CX$11,FALSE),"")</f>
        <v/>
      </c>
      <c r="CY69" s="1433" t="str">
        <f>IFERROR(VLOOKUP(CONCATENATE($B$8,"_",$B69),Data!$BO$16:$ES$1015,CY$11,FALSE),"")</f>
        <v/>
      </c>
      <c r="CZ69" s="1433" t="str">
        <f>IFERROR(VLOOKUP(CONCATENATE($B$8,"_",$B69),Data!$BO$16:$ES$1015,CZ$11,FALSE),"")</f>
        <v/>
      </c>
      <c r="DA69" s="1433" t="str">
        <f>IFERROR(VLOOKUP(CONCATENATE($B$8,"_",$B69),Data!$BO$16:$ES$1015,DA$11,FALSE),"")</f>
        <v/>
      </c>
      <c r="DB69" s="1433" t="str">
        <f>IFERROR(VLOOKUP(CONCATENATE($B$8,"_",$B69),Data!$BO$16:$ES$1015,DB$11,FALSE),"")</f>
        <v/>
      </c>
      <c r="DC69" s="1433" t="str">
        <f>IFERROR(VLOOKUP(CONCATENATE($B$8,"_",$B69),Data!$BO$16:$ES$1015,DC$11,FALSE),"")</f>
        <v/>
      </c>
      <c r="DD69" s="1433" t="str">
        <f>IFERROR(VLOOKUP(CONCATENATE($B$8,"_",$B69),Data!$BO$16:$ES$1015,DD$11,FALSE),"")</f>
        <v/>
      </c>
      <c r="DE69" s="1433" t="str">
        <f>IFERROR(VLOOKUP(CONCATENATE($B$8,"_",$B69),Data!$BO$16:$ES$1015,DE$11,FALSE),"")</f>
        <v/>
      </c>
      <c r="DF69" s="1433" t="str">
        <f>IFERROR(VLOOKUP(CONCATENATE($B$8,"_",$B69),Data!$BO$16:$ES$1015,DF$11,FALSE),"")</f>
        <v/>
      </c>
      <c r="DG69" s="1433" t="str">
        <f>IFERROR(VLOOKUP(CONCATENATE($B$8,"_",$B69),Data!$BO$16:$ES$1015,DG$11,FALSE),"")</f>
        <v/>
      </c>
      <c r="DH69" s="1433" t="str">
        <f>IFERROR(VLOOKUP(CONCATENATE($B$8,"_",$B69),Data!$BO$16:$ES$1015,DH$11,FALSE),"")</f>
        <v/>
      </c>
      <c r="DI69" s="1433" t="str">
        <f>IFERROR(VLOOKUP(CONCATENATE($B$8,"_",$B69),Data!$BO$16:$ES$1015,DI$11,FALSE),"")</f>
        <v/>
      </c>
      <c r="DJ69" s="1433" t="str">
        <f>IFERROR(VLOOKUP(CONCATENATE($B$8,"_",$B69),Data!$BO$16:$ES$1015,DJ$11,FALSE),"")</f>
        <v/>
      </c>
      <c r="DK69" s="1433" t="str">
        <f>IFERROR(VLOOKUP(CONCATENATE($B$8,"_",$B69),Data!$BO$16:$ES$1015,DK$11,FALSE),"")</f>
        <v/>
      </c>
      <c r="DL69" s="1435" t="str">
        <f>IFERROR(VLOOKUP(CONCATENATE($B$8,"_",$B69),Data!$BO$16:$ES$1015,DL$11,FALSE),"")</f>
        <v/>
      </c>
      <c r="DM69" s="1434" t="str">
        <f>IFERROR(VLOOKUP(CONCATENATE($B$8,"_",$B69),Data!$BO$16:$ES$1015,DM$11,FALSE),"")</f>
        <v/>
      </c>
      <c r="DN69" s="1434" t="str">
        <f>IFERROR(VLOOKUP(CONCATENATE($B$8,"_",$B69),Data!$BO$16:$ES$1015,DN$11,FALSE),"")</f>
        <v/>
      </c>
      <c r="DO69" s="1434" t="str">
        <f>IFERROR(VLOOKUP(CONCATENATE($B$8,"_",$B69),Data!$BO$16:$ES$1015,DO$11,FALSE),"")</f>
        <v/>
      </c>
      <c r="DP69" s="1434" t="str">
        <f>IFERROR(VLOOKUP(CONCATENATE($B$8,"_",$B69),Data!$BO$16:$ES$1015,DP$11,FALSE),"")</f>
        <v/>
      </c>
      <c r="DQ69" s="1434" t="str">
        <f>IFERROR(VLOOKUP(CONCATENATE($B$8,"_",$B69),Data!$BO$16:$ES$1015,DQ$11,FALSE),"")</f>
        <v/>
      </c>
      <c r="DR69" s="1434" t="str">
        <f>IFERROR(VLOOKUP(CONCATENATE($B$8,"_",$B69),Data!$BO$16:$ES$1015,DR$11,FALSE),"")</f>
        <v/>
      </c>
      <c r="DS69" s="1434" t="str">
        <f>IFERROR(VLOOKUP(CONCATENATE($B$8,"_",$B69),Data!$BO$16:$ES$1015,DS$11,FALSE),"")</f>
        <v/>
      </c>
      <c r="DT69" s="1434" t="str">
        <f>IFERROR(VLOOKUP(CONCATENATE($B$8,"_",$B69),Data!$BO$16:$ES$1015,DT$11,FALSE),"")</f>
        <v/>
      </c>
      <c r="DU69" s="1434" t="str">
        <f>IFERROR(VLOOKUP(CONCATENATE($B$8,"_",$B69),Data!$BO$16:$ES$1015,DU$11,FALSE),"")</f>
        <v/>
      </c>
      <c r="DV69" s="1434" t="str">
        <f>IFERROR(VLOOKUP(CONCATENATE($B$8,"_",$B69),Data!$BO$16:$ES$1015,DV$11,FALSE),"")</f>
        <v/>
      </c>
      <c r="DW69" s="1434" t="str">
        <f>IFERROR(VLOOKUP(CONCATENATE($B$8,"_",$B69),Data!$BO$16:$ES$1015,DW$11,FALSE),"")</f>
        <v/>
      </c>
      <c r="DX69" s="1434" t="str">
        <f>IFERROR(VLOOKUP(CONCATENATE($B$8,"_",$B69),Data!$BO$16:$ES$1015,DX$11,FALSE),"")</f>
        <v/>
      </c>
      <c r="DY69" s="1434" t="str">
        <f>IFERROR(VLOOKUP(CONCATENATE($B$8,"_",$B69),Data!$BO$16:$ES$1015,DY$11,FALSE),"")</f>
        <v/>
      </c>
      <c r="DZ69" s="1434" t="str">
        <f>IFERROR(VLOOKUP(CONCATENATE($B$8,"_",$B69),Data!$BO$16:$ES$1015,DZ$11,FALSE),"")</f>
        <v/>
      </c>
      <c r="EA69" s="1434" t="str">
        <f>IFERROR(VLOOKUP(CONCATENATE($B$8,"_",$B69),Data!$BO$16:$ES$1015,EA$11,FALSE),"")</f>
        <v/>
      </c>
      <c r="EB69" s="1434" t="str">
        <f>IFERROR(VLOOKUP(CONCATENATE($B$8,"_",$B69),Data!$BO$16:$ES$1015,EB$11,FALSE),"")</f>
        <v/>
      </c>
      <c r="EC69" s="1434" t="str">
        <f>IFERROR(VLOOKUP(CONCATENATE($B$8,"_",$B69),Data!$BO$16:$ES$1015,EC$11,FALSE),"")</f>
        <v/>
      </c>
      <c r="ED69" s="1434" t="str">
        <f>IFERROR(VLOOKUP(CONCATENATE($B$8,"_",$B69),Data!$BO$16:$ES$1015,ED$11,FALSE),"")</f>
        <v/>
      </c>
      <c r="EE69" s="1434" t="str">
        <f>IFERROR(VLOOKUP(CONCATENATE($B$8,"_",$B69),Data!$BO$16:$ES$1015,EE$11,FALSE),"")</f>
        <v/>
      </c>
      <c r="EF69" s="1434" t="str">
        <f>IFERROR(VLOOKUP(CONCATENATE($B$8,"_",$B69),Data!$BO$16:$ES$1015,EF$11,FALSE),"")</f>
        <v/>
      </c>
      <c r="EG69" s="1434" t="str">
        <f>IFERROR(VLOOKUP(CONCATENATE($B$8,"_",$B69),Data!$BO$16:$ES$1015,EG$11,FALSE),"")</f>
        <v/>
      </c>
      <c r="EH69" s="1434" t="str">
        <f>IFERROR(VLOOKUP(CONCATENATE($B$8,"_",$B69),Data!$BO$16:$ES$1015,EH$11,FALSE),"")</f>
        <v/>
      </c>
      <c r="EI69" s="1434" t="str">
        <f>IFERROR(VLOOKUP(CONCATENATE($B$8,"_",$B69),Data!$BO$16:$ES$1015,EI$11,FALSE),"")</f>
        <v/>
      </c>
      <c r="EK69" s="1437"/>
    </row>
    <row r="70" spans="1:141" s="1436" customFormat="1" ht="15" customHeight="1">
      <c r="A70" s="1438">
        <v>57</v>
      </c>
      <c r="B70" s="1738" t="str">
        <f>IF($B$13+A70&lt;=Progress!$D$18,$B$13+A70,"")</f>
        <v/>
      </c>
      <c r="C70" s="1737" t="str">
        <f>IFERROR(VLOOKUP(CONCATENATE($B$8,"_",$B70),Data!$H$16:$BN$1015,C$11,FALSE),"")</f>
        <v/>
      </c>
      <c r="D70" s="1428" t="str">
        <f>IFERROR(VLOOKUP(CONCATENATE($B$8,"_",$B70),Data!$H$16:$BN$1015,D$11,FALSE),"")</f>
        <v/>
      </c>
      <c r="E70" s="1429" t="str">
        <f>IFERROR(VLOOKUP(CONCATENATE($B$8,"_",$B70),Data!$H$16:$BN$1015,E$11,FALSE),"")</f>
        <v/>
      </c>
      <c r="F70" s="1428" t="str">
        <f>IFERROR(VLOOKUP(CONCATENATE($B$8,"_",$B70),Data!$H$16:$BN$1015,F$11,FALSE),"")</f>
        <v/>
      </c>
      <c r="G70" s="1428" t="str">
        <f>IFERROR(VLOOKUP(CONCATENATE($B$8,"_",$B70),Data!$H$16:$BN$1015,G$11,FALSE),"")</f>
        <v/>
      </c>
      <c r="H70" s="1429" t="str">
        <f>IFERROR(VLOOKUP(CONCATENATE($B$8,"_",$B70),Data!$H$16:$BN$1015,H$11,FALSE),"")</f>
        <v/>
      </c>
      <c r="I70" s="1428" t="str">
        <f>IFERROR(VLOOKUP(CONCATENATE($B$8,"_",$B70),Data!$H$16:$BN$1015,I$11,FALSE),"")</f>
        <v/>
      </c>
      <c r="J70" s="1428" t="str">
        <f>IFERROR(VLOOKUP(CONCATENATE($B$8,"_",$B70),Data!$H$16:$BN$1015,J$11,FALSE),"")</f>
        <v/>
      </c>
      <c r="K70" s="1429" t="str">
        <f>IFERROR(VLOOKUP(CONCATENATE($B$8,"_",$B70),Data!$H$16:$BN$1015,K$11,FALSE),"")</f>
        <v/>
      </c>
      <c r="L70" s="1428" t="str">
        <f>IFERROR(VLOOKUP(CONCATENATE($B$8,"_",$B70),Data!$H$16:$BN$1015,L$11,FALSE),"")</f>
        <v/>
      </c>
      <c r="M70" s="1428" t="str">
        <f>IFERROR(VLOOKUP(CONCATENATE($B$8,"_",$B70),Data!$H$16:$BN$1015,M$11,FALSE),"")</f>
        <v/>
      </c>
      <c r="N70" s="1429" t="str">
        <f>IFERROR(VLOOKUP(CONCATENATE($B$8,"_",$B70),Data!$H$16:$BN$1015,N$11,FALSE),"")</f>
        <v/>
      </c>
      <c r="O70" s="1430" t="str">
        <f>IFERROR(VLOOKUP(CONCATENATE($B$8,"_",$B70),Data!$H$16:$BN$1015,O$11,FALSE),"")</f>
        <v/>
      </c>
      <c r="P70" s="1428" t="str">
        <f>IFERROR(VLOOKUP(CONCATENATE($B$8,"_",$B70),Data!$H$16:$BN$1015,P$11,FALSE),"")</f>
        <v/>
      </c>
      <c r="Q70" s="1428" t="str">
        <f>IFERROR(VLOOKUP(CONCATENATE($B$8,"_",$B70),Data!$H$16:$BN$1015,Q$11,FALSE),"")</f>
        <v/>
      </c>
      <c r="R70" s="1429" t="str">
        <f>IFERROR(VLOOKUP(CONCATENATE($B$8,"_",$B70),Data!$H$16:$BN$1015,R$11,FALSE),"")</f>
        <v/>
      </c>
      <c r="S70" s="1428" t="str">
        <f>IFERROR(VLOOKUP(CONCATENATE($B$8,"_",$B70),Data!$H$16:$BN$1015,S$11,FALSE),"")</f>
        <v/>
      </c>
      <c r="T70" s="1428" t="str">
        <f>IFERROR(VLOOKUP(CONCATENATE($B$8,"_",$B70),Data!$H$16:$BN$1015,T$11,FALSE),"")</f>
        <v/>
      </c>
      <c r="U70" s="1429" t="str">
        <f>IFERROR(VLOOKUP(CONCATENATE($B$8,"_",$B70),Data!$H$16:$BN$1015,U$11,FALSE),"")</f>
        <v/>
      </c>
      <c r="V70" s="1428" t="str">
        <f>IFERROR(VLOOKUP(CONCATENATE($B$8,"_",$B70),Data!$H$16:$BN$1015,V$11,FALSE),"")</f>
        <v/>
      </c>
      <c r="W70" s="1428" t="str">
        <f>IFERROR(VLOOKUP(CONCATENATE($B$8,"_",$B70),Data!$H$16:$BN$1015,W$11,FALSE),"")</f>
        <v/>
      </c>
      <c r="X70" s="1428" t="str">
        <f>IFERROR(VLOOKUP(CONCATENATE($B$8,"_",$B70),Data!$H$16:$BN$1015,X$11,FALSE),"")</f>
        <v/>
      </c>
      <c r="Y70" s="1428" t="str">
        <f>IFERROR(VLOOKUP(CONCATENATE($B$8,"_",$B70),Data!$H$16:$BN$1015,Y$11,FALSE),"")</f>
        <v/>
      </c>
      <c r="Z70" s="1429" t="str">
        <f>IFERROR(VLOOKUP(CONCATENATE($B$8,"_",$B70),Data!$H$16:$BN$1015,Z$11,FALSE),"")</f>
        <v/>
      </c>
      <c r="AA70" s="1428" t="str">
        <f>IFERROR(VLOOKUP(CONCATENATE($B$8,"_",$B70),Data!$H$16:$BN$1015,AA$11,FALSE),"")</f>
        <v/>
      </c>
      <c r="AB70" s="1428" t="str">
        <f>IFERROR(VLOOKUP(CONCATENATE($B$8,"_",$B70),Data!$H$16:$BN$1015,AB$11,FALSE),"")</f>
        <v/>
      </c>
      <c r="AC70" s="1429" t="str">
        <f>IFERROR(VLOOKUP(CONCATENATE($B$8,"_",$B70),Data!$H$16:$BN$1015,AC$11,FALSE),"")</f>
        <v/>
      </c>
      <c r="AD70" s="1428" t="str">
        <f>IFERROR(VLOOKUP(CONCATENATE($B$8,"_",$B70),Data!$H$16:$BN$1015,AD$11,FALSE),"")</f>
        <v/>
      </c>
      <c r="AE70" s="1428" t="str">
        <f>IFERROR(VLOOKUP(CONCATENATE($B$8,"_",$B70),Data!$H$16:$BN$1015,AE$11,FALSE),"")</f>
        <v/>
      </c>
      <c r="AF70" s="1429" t="str">
        <f>IFERROR(VLOOKUP(CONCATENATE($B$8,"_",$B70),Data!$H$16:$BN$1015,AF$11,FALSE),"")</f>
        <v/>
      </c>
      <c r="AG70" s="1428" t="str">
        <f>IFERROR(VLOOKUP(CONCATENATE($B$8,"_",$B70),Data!$H$16:$BN$1015,AG$11,FALSE),"")</f>
        <v/>
      </c>
      <c r="AH70" s="1428" t="str">
        <f>IFERROR(VLOOKUP(CONCATENATE($B$8,"_",$B70),Data!$H$16:$BN$1015,AH$11,FALSE),"")</f>
        <v/>
      </c>
      <c r="AI70" s="1429" t="str">
        <f>IFERROR(VLOOKUP(CONCATENATE($B$8,"_",$B70),Data!$H$16:$BN$1015,AI$11,FALSE),"")</f>
        <v/>
      </c>
      <c r="AJ70" s="1428" t="str">
        <f>IFERROR(VLOOKUP(CONCATENATE($B$8,"_",$B70),Data!$H$16:$BN$1015,AJ$11,FALSE),"")</f>
        <v/>
      </c>
      <c r="AK70" s="1428" t="str">
        <f>IFERROR(VLOOKUP(CONCATENATE($B$8,"_",$B70),Data!$H$16:$BN$1015,AK$11,FALSE),"")</f>
        <v/>
      </c>
      <c r="AL70" s="1429" t="str">
        <f>IFERROR(VLOOKUP(CONCATENATE($B$8,"_",$B70),Data!$H$16:$BN$1015,AL$11,FALSE),"")</f>
        <v/>
      </c>
      <c r="AM70" s="1428" t="str">
        <f>IFERROR(VLOOKUP(CONCATENATE($B$8,"_",$B70),Data!$H$16:$BN$1015,AM$11,FALSE),"")</f>
        <v/>
      </c>
      <c r="AN70" s="1428" t="str">
        <f>IFERROR(VLOOKUP(CONCATENATE($B$8,"_",$B70),Data!$H$16:$BN$1015,AN$11,FALSE),"")</f>
        <v/>
      </c>
      <c r="AO70" s="1430" t="str">
        <f>IFERROR(VLOOKUP(CONCATENATE($B$8,"_",$B70),Data!$H$16:$BN$1015,AO$11,FALSE),"")</f>
        <v/>
      </c>
      <c r="AP70" s="1428" t="str">
        <f>IFERROR(VLOOKUP(CONCATENATE($B$8,"_",$B70),Data!$H$16:$BN$1015,AP$11,FALSE),"")</f>
        <v/>
      </c>
      <c r="AQ70" s="1428" t="str">
        <f>IFERROR(VLOOKUP(CONCATENATE($B$8,"_",$B70),Data!$H$16:$BN$1015,AQ$11,FALSE),"")</f>
        <v/>
      </c>
      <c r="AR70" s="1430" t="str">
        <f>IFERROR(VLOOKUP(CONCATENATE($B$8,"_",$B70),Data!$H$16:$BN$1015,AR$11,FALSE),"")</f>
        <v/>
      </c>
      <c r="AS70" s="1428" t="str">
        <f>IFERROR(VLOOKUP(CONCATENATE($B$8,"_",$B70),Data!$H$16:$BN$1015,AS$11,FALSE),"")</f>
        <v/>
      </c>
      <c r="AT70" s="1428" t="str">
        <f>IFERROR(VLOOKUP(CONCATENATE($B$8,"_",$B70),Data!$H$16:$BN$1015,AT$11,FALSE),"")</f>
        <v/>
      </c>
      <c r="AU70" s="1430" t="str">
        <f>IFERROR(VLOOKUP(CONCATENATE($B$8,"_",$B70),Data!$H$16:$BN$1015,AU$11,FALSE),"")</f>
        <v/>
      </c>
      <c r="AV70" s="1428" t="str">
        <f>IFERROR(VLOOKUP(CONCATENATE($B$8,"_",$B70),Data!$H$16:$BN$1015,AV$11,FALSE),"")</f>
        <v/>
      </c>
      <c r="AW70" s="1428" t="str">
        <f>IFERROR(VLOOKUP(CONCATENATE($B$8,"_",$B70),Data!$H$16:$BN$1015,AW$11,FALSE),"")</f>
        <v/>
      </c>
      <c r="AX70" s="1430" t="str">
        <f>IFERROR(VLOOKUP(CONCATENATE($B$8,"_",$B70),Data!$H$16:$BN$1015,AX$11,FALSE),"")</f>
        <v/>
      </c>
      <c r="AY70" s="1429" t="str">
        <f>IFERROR(VLOOKUP(CONCATENATE($B$8,"_",$B70),Data!$H$16:$BN$1015,AY$11,FALSE),"")</f>
        <v/>
      </c>
      <c r="AZ70" s="1429" t="str">
        <f>IFERROR(VLOOKUP(CONCATENATE($B$8,"_",$B70),Data!$H$16:$BN$1015,AZ$11,FALSE),"")</f>
        <v/>
      </c>
      <c r="BA70" s="1429" t="str">
        <f>IFERROR(VLOOKUP(CONCATENATE($B$8,"_",$B70),Data!$H$16:$BN$1015,BA$11,FALSE),"")</f>
        <v/>
      </c>
      <c r="BB70" s="1429" t="str">
        <f>IFERROR(VLOOKUP(CONCATENATE($B$8,"_",$B70),Data!$H$16:$BN$1015,BB$11,FALSE),"")</f>
        <v/>
      </c>
      <c r="BC70" s="1429" t="str">
        <f>IFERROR(VLOOKUP(CONCATENATE($B$8,"_",$B70),Data!$H$16:$BN$1015,BC$11,FALSE),"")</f>
        <v/>
      </c>
      <c r="BD70" s="1431" t="str">
        <f>IFERROR(VLOOKUP(CONCATENATE($B$8,"_",$B70),Data!$H$16:$BN$1015,BD$11,FALSE),"")</f>
        <v/>
      </c>
      <c r="BE70" s="1439" t="str">
        <f t="shared" si="0"/>
        <v/>
      </c>
      <c r="BF70" s="1428" t="str">
        <f>IFERROR(VLOOKUP(CONCATENATE($B$8,"_",$B70),Data!$BO$16:$ES$1015,BF$11,FALSE),"")</f>
        <v/>
      </c>
      <c r="BG70" s="1433" t="str">
        <f>IFERROR(VLOOKUP(CONCATENATE($B$8,"_",$B70),Data!$BO$16:$ES$1015,BG$11,FALSE),"")</f>
        <v/>
      </c>
      <c r="BH70" s="1435" t="str">
        <f>IFERROR(VLOOKUP(CONCATENATE($B$8,"_",$B70),Data!$BO$16:$ES$1015,BH$11,FALSE),"")</f>
        <v/>
      </c>
      <c r="BI70" s="1434" t="str">
        <f>IFERROR(VLOOKUP(CONCATENATE($B$8,"_",$B70),Data!$BO$16:$ES$1015,BI$11,FALSE),"")</f>
        <v/>
      </c>
      <c r="BJ70" s="1428" t="str">
        <f>IFERROR(VLOOKUP(CONCATENATE($B$8,"_",$B70),Data!$BO$16:$ES$1015,BJ$11,FALSE),"")</f>
        <v/>
      </c>
      <c r="BK70" s="1428" t="str">
        <f>IFERROR(VLOOKUP(CONCATENATE($B$8,"_",$B70),Data!$BO$16:$ES$1015,BK$11,FALSE),"")</f>
        <v/>
      </c>
      <c r="BL70" s="1428" t="str">
        <f>IFERROR(VLOOKUP(CONCATENATE($B$8,"_",$B70),Data!$BO$16:$ES$1015,BL$11,FALSE),"")</f>
        <v/>
      </c>
      <c r="BM70" s="1433" t="str">
        <f>IFERROR(VLOOKUP(CONCATENATE($B$8,"_",$B70),Data!$BO$16:$ES$1015,BM$11,FALSE),"")</f>
        <v/>
      </c>
      <c r="BN70" s="1433" t="str">
        <f>IFERROR(VLOOKUP(CONCATENATE($B$8,"_",$B70),Data!$BO$16:$ES$1015,BN$11,FALSE),"")</f>
        <v/>
      </c>
      <c r="BO70" s="1433" t="str">
        <f>IFERROR(VLOOKUP(CONCATENATE($B$8,"_",$B70),Data!$BO$16:$ES$1015,BO$11,FALSE),"")</f>
        <v/>
      </c>
      <c r="BP70" s="1433" t="str">
        <f>IFERROR(VLOOKUP(CONCATENATE($B$8,"_",$B70),Data!$BO$16:$ES$1015,BP$11,FALSE),"")</f>
        <v/>
      </c>
      <c r="BQ70" s="1433" t="str">
        <f>IFERROR(VLOOKUP(CONCATENATE($B$8,"_",$B70),Data!$BO$16:$ES$1015,BQ$11,FALSE),"")</f>
        <v/>
      </c>
      <c r="BR70" s="1434" t="str">
        <f>IFERROR(VLOOKUP(CONCATENATE($B$8,"_",$B70),Data!$BO$16:$ES$1015,BR$11,FALSE),"")</f>
        <v/>
      </c>
      <c r="BS70" s="1434" t="str">
        <f>IFERROR(VLOOKUP(CONCATENATE($B$8,"_",$B70),Data!$BO$16:$ES$1015,BS$11,FALSE),"")</f>
        <v/>
      </c>
      <c r="BT70" s="1434" t="str">
        <f>IFERROR(VLOOKUP(CONCATENATE($B$8,"_",$B70),Data!$BO$16:$ES$1015,BT$11,FALSE),"")</f>
        <v/>
      </c>
      <c r="BU70" s="1434" t="str">
        <f>IFERROR(VLOOKUP(CONCATENATE($B$8,"_",$B70),Data!$BO$16:$ES$1015,BU$11,FALSE),"")</f>
        <v/>
      </c>
      <c r="BV70" s="1434" t="str">
        <f>IFERROR(VLOOKUP(CONCATENATE($B$8,"_",$B70),Data!$BO$16:$ES$1015,BV$11,FALSE),"")</f>
        <v/>
      </c>
      <c r="BW70" s="1434" t="str">
        <f>IFERROR(VLOOKUP(CONCATENATE($B$8,"_",$B70),Data!$BO$16:$ES$1015,BW$11,FALSE),"")</f>
        <v/>
      </c>
      <c r="BX70" s="1434" t="str">
        <f>IFERROR(VLOOKUP(CONCATENATE($B$8,"_",$B70),Data!$BO$16:$ES$1015,BX$11,FALSE),"")</f>
        <v/>
      </c>
      <c r="BY70" s="1428" t="str">
        <f>IFERROR(VLOOKUP(CONCATENATE($B$8,"_",$B70),Data!$BO$16:$ES$1015,BY$11,FALSE),"")</f>
        <v/>
      </c>
      <c r="BZ70" s="1428" t="str">
        <f>IFERROR(VLOOKUP(CONCATENATE($B$8,"_",$B70),Data!$BO$16:$ES$1015,BZ$11,FALSE),"")</f>
        <v/>
      </c>
      <c r="CA70" s="1428" t="str">
        <f>IFERROR(VLOOKUP(CONCATENATE($B$8,"_",$B70),Data!$BO$16:$ES$1015,CA$11,FALSE),"")</f>
        <v/>
      </c>
      <c r="CB70" s="1428" t="str">
        <f>IFERROR(VLOOKUP(CONCATENATE($B$8,"_",$B70),Data!$BO$16:$ES$1015,CB$11,FALSE),"")</f>
        <v/>
      </c>
      <c r="CC70" s="1428" t="str">
        <f>IFERROR(VLOOKUP(CONCATENATE($B$8,"_",$B70),Data!$BO$16:$ES$1015,CC$11,FALSE),"")</f>
        <v/>
      </c>
      <c r="CD70" s="1428" t="str">
        <f>IFERROR(VLOOKUP(CONCATENATE($B$8,"_",$B70),Data!$BO$16:$ES$1015,CD$11,FALSE),"")</f>
        <v/>
      </c>
      <c r="CE70" s="1428" t="str">
        <f>IFERROR(VLOOKUP(CONCATENATE($B$8,"_",$B70),Data!$BO$16:$ES$1015,CE$11,FALSE),"")</f>
        <v/>
      </c>
      <c r="CF70" s="1428" t="str">
        <f>IFERROR(VLOOKUP(CONCATENATE($B$8,"_",$B70),Data!$BO$16:$ES$1015,CF$11,FALSE),"")</f>
        <v/>
      </c>
      <c r="CG70" s="1428" t="str">
        <f>IFERROR(VLOOKUP(CONCATENATE($B$8,"_",$B70),Data!$BO$16:$ES$1015,CG$11,FALSE),"")</f>
        <v/>
      </c>
      <c r="CH70" s="1428" t="str">
        <f>IFERROR(VLOOKUP(CONCATENATE($B$8,"_",$B70),Data!$BO$16:$ES$1015,CH$11,FALSE),"")</f>
        <v/>
      </c>
      <c r="CI70" s="1428" t="str">
        <f>IFERROR(VLOOKUP(CONCATENATE($B$8,"_",$B70),Data!$BO$16:$ES$1015,CI$11,FALSE),"")</f>
        <v/>
      </c>
      <c r="CJ70" s="1428" t="str">
        <f>IFERROR(VLOOKUP(CONCATENATE($B$8,"_",$B70),Data!$BO$16:$ES$1015,CJ$11,FALSE),"")</f>
        <v/>
      </c>
      <c r="CK70" s="1428" t="str">
        <f>IFERROR(VLOOKUP(CONCATENATE($B$8,"_",$B70),Data!$BO$16:$ES$1015,CK$11,FALSE),"")</f>
        <v/>
      </c>
      <c r="CL70" s="1428" t="str">
        <f>IFERROR(VLOOKUP(CONCATENATE($B$8,"_",$B70),Data!$BO$16:$ES$1015,CL$11,FALSE),"")</f>
        <v/>
      </c>
      <c r="CM70" s="1428" t="str">
        <f>IFERROR(VLOOKUP(CONCATENATE($B$8,"_",$B70),Data!$BO$16:$ES$1015,CM$11,FALSE),"")</f>
        <v/>
      </c>
      <c r="CN70" s="1428" t="str">
        <f>IFERROR(VLOOKUP(CONCATENATE($B$8,"_",$B70),Data!$BO$16:$ES$1015,CN$11,FALSE),"")</f>
        <v/>
      </c>
      <c r="CO70" s="1428" t="str">
        <f>IFERROR(VLOOKUP(CONCATENATE($B$8,"_",$B70),Data!$BO$16:$ES$1015,CO$11,FALSE),"")</f>
        <v/>
      </c>
      <c r="CP70" s="1433" t="str">
        <f>IFERROR(VLOOKUP(CONCATENATE($B$8,"_",$B70),Data!$BO$16:$ES$1015,CP$11,FALSE),"")</f>
        <v/>
      </c>
      <c r="CQ70" s="1433" t="str">
        <f>IFERROR(VLOOKUP(CONCATENATE($B$8,"_",$B70),Data!$BO$16:$ES$1015,CQ$11,FALSE),"")</f>
        <v/>
      </c>
      <c r="CR70" s="1433" t="str">
        <f>IFERROR(VLOOKUP(CONCATENATE($B$8,"_",$B70),Data!$BO$16:$ES$1015,CR$11,FALSE),"")</f>
        <v/>
      </c>
      <c r="CS70" s="1433" t="str">
        <f>IFERROR(VLOOKUP(CONCATENATE($B$8,"_",$B70),Data!$BO$16:$ES$1015,CS$11,FALSE),"")</f>
        <v/>
      </c>
      <c r="CT70" s="1433" t="str">
        <f>IFERROR(VLOOKUP(CONCATENATE($B$8,"_",$B70),Data!$BO$16:$ES$1015,CT$11,FALSE),"")</f>
        <v/>
      </c>
      <c r="CU70" s="1433" t="str">
        <f>IFERROR(VLOOKUP(CONCATENATE($B$8,"_",$B70),Data!$BO$16:$ES$1015,CU$11,FALSE),"")</f>
        <v/>
      </c>
      <c r="CV70" s="1433" t="str">
        <f>IFERROR(VLOOKUP(CONCATENATE($B$8,"_",$B70),Data!$BO$16:$ES$1015,CV$11,FALSE),"")</f>
        <v/>
      </c>
      <c r="CW70" s="1433" t="str">
        <f>IFERROR(VLOOKUP(CONCATENATE($B$8,"_",$B70),Data!$BO$16:$ES$1015,CW$11,FALSE),"")</f>
        <v/>
      </c>
      <c r="CX70" s="1433" t="str">
        <f>IFERROR(VLOOKUP(CONCATENATE($B$8,"_",$B70),Data!$BO$16:$ES$1015,CX$11,FALSE),"")</f>
        <v/>
      </c>
      <c r="CY70" s="1433" t="str">
        <f>IFERROR(VLOOKUP(CONCATENATE($B$8,"_",$B70),Data!$BO$16:$ES$1015,CY$11,FALSE),"")</f>
        <v/>
      </c>
      <c r="CZ70" s="1433" t="str">
        <f>IFERROR(VLOOKUP(CONCATENATE($B$8,"_",$B70),Data!$BO$16:$ES$1015,CZ$11,FALSE),"")</f>
        <v/>
      </c>
      <c r="DA70" s="1433" t="str">
        <f>IFERROR(VLOOKUP(CONCATENATE($B$8,"_",$B70),Data!$BO$16:$ES$1015,DA$11,FALSE),"")</f>
        <v/>
      </c>
      <c r="DB70" s="1433" t="str">
        <f>IFERROR(VLOOKUP(CONCATENATE($B$8,"_",$B70),Data!$BO$16:$ES$1015,DB$11,FALSE),"")</f>
        <v/>
      </c>
      <c r="DC70" s="1433" t="str">
        <f>IFERROR(VLOOKUP(CONCATENATE($B$8,"_",$B70),Data!$BO$16:$ES$1015,DC$11,FALSE),"")</f>
        <v/>
      </c>
      <c r="DD70" s="1433" t="str">
        <f>IFERROR(VLOOKUP(CONCATENATE($B$8,"_",$B70),Data!$BO$16:$ES$1015,DD$11,FALSE),"")</f>
        <v/>
      </c>
      <c r="DE70" s="1433" t="str">
        <f>IFERROR(VLOOKUP(CONCATENATE($B$8,"_",$B70),Data!$BO$16:$ES$1015,DE$11,FALSE),"")</f>
        <v/>
      </c>
      <c r="DF70" s="1433" t="str">
        <f>IFERROR(VLOOKUP(CONCATENATE($B$8,"_",$B70),Data!$BO$16:$ES$1015,DF$11,FALSE),"")</f>
        <v/>
      </c>
      <c r="DG70" s="1433" t="str">
        <f>IFERROR(VLOOKUP(CONCATENATE($B$8,"_",$B70),Data!$BO$16:$ES$1015,DG$11,FALSE),"")</f>
        <v/>
      </c>
      <c r="DH70" s="1433" t="str">
        <f>IFERROR(VLOOKUP(CONCATENATE($B$8,"_",$B70),Data!$BO$16:$ES$1015,DH$11,FALSE),"")</f>
        <v/>
      </c>
      <c r="DI70" s="1433" t="str">
        <f>IFERROR(VLOOKUP(CONCATENATE($B$8,"_",$B70),Data!$BO$16:$ES$1015,DI$11,FALSE),"")</f>
        <v/>
      </c>
      <c r="DJ70" s="1433" t="str">
        <f>IFERROR(VLOOKUP(CONCATENATE($B$8,"_",$B70),Data!$BO$16:$ES$1015,DJ$11,FALSE),"")</f>
        <v/>
      </c>
      <c r="DK70" s="1433" t="str">
        <f>IFERROR(VLOOKUP(CONCATENATE($B$8,"_",$B70),Data!$BO$16:$ES$1015,DK$11,FALSE),"")</f>
        <v/>
      </c>
      <c r="DL70" s="1435" t="str">
        <f>IFERROR(VLOOKUP(CONCATENATE($B$8,"_",$B70),Data!$BO$16:$ES$1015,DL$11,FALSE),"")</f>
        <v/>
      </c>
      <c r="DM70" s="1434" t="str">
        <f>IFERROR(VLOOKUP(CONCATENATE($B$8,"_",$B70),Data!$BO$16:$ES$1015,DM$11,FALSE),"")</f>
        <v/>
      </c>
      <c r="DN70" s="1434" t="str">
        <f>IFERROR(VLOOKUP(CONCATENATE($B$8,"_",$B70),Data!$BO$16:$ES$1015,DN$11,FALSE),"")</f>
        <v/>
      </c>
      <c r="DO70" s="1434" t="str">
        <f>IFERROR(VLOOKUP(CONCATENATE($B$8,"_",$B70),Data!$BO$16:$ES$1015,DO$11,FALSE),"")</f>
        <v/>
      </c>
      <c r="DP70" s="1434" t="str">
        <f>IFERROR(VLOOKUP(CONCATENATE($B$8,"_",$B70),Data!$BO$16:$ES$1015,DP$11,FALSE),"")</f>
        <v/>
      </c>
      <c r="DQ70" s="1434" t="str">
        <f>IFERROR(VLOOKUP(CONCATENATE($B$8,"_",$B70),Data!$BO$16:$ES$1015,DQ$11,FALSE),"")</f>
        <v/>
      </c>
      <c r="DR70" s="1434" t="str">
        <f>IFERROR(VLOOKUP(CONCATENATE($B$8,"_",$B70),Data!$BO$16:$ES$1015,DR$11,FALSE),"")</f>
        <v/>
      </c>
      <c r="DS70" s="1434" t="str">
        <f>IFERROR(VLOOKUP(CONCATENATE($B$8,"_",$B70),Data!$BO$16:$ES$1015,DS$11,FALSE),"")</f>
        <v/>
      </c>
      <c r="DT70" s="1434" t="str">
        <f>IFERROR(VLOOKUP(CONCATENATE($B$8,"_",$B70),Data!$BO$16:$ES$1015,DT$11,FALSE),"")</f>
        <v/>
      </c>
      <c r="DU70" s="1434" t="str">
        <f>IFERROR(VLOOKUP(CONCATENATE($B$8,"_",$B70),Data!$BO$16:$ES$1015,DU$11,FALSE),"")</f>
        <v/>
      </c>
      <c r="DV70" s="1434" t="str">
        <f>IFERROR(VLOOKUP(CONCATENATE($B$8,"_",$B70),Data!$BO$16:$ES$1015,DV$11,FALSE),"")</f>
        <v/>
      </c>
      <c r="DW70" s="1434" t="str">
        <f>IFERROR(VLOOKUP(CONCATENATE($B$8,"_",$B70),Data!$BO$16:$ES$1015,DW$11,FALSE),"")</f>
        <v/>
      </c>
      <c r="DX70" s="1434" t="str">
        <f>IFERROR(VLOOKUP(CONCATENATE($B$8,"_",$B70),Data!$BO$16:$ES$1015,DX$11,FALSE),"")</f>
        <v/>
      </c>
      <c r="DY70" s="1434" t="str">
        <f>IFERROR(VLOOKUP(CONCATENATE($B$8,"_",$B70),Data!$BO$16:$ES$1015,DY$11,FALSE),"")</f>
        <v/>
      </c>
      <c r="DZ70" s="1434" t="str">
        <f>IFERROR(VLOOKUP(CONCATENATE($B$8,"_",$B70),Data!$BO$16:$ES$1015,DZ$11,FALSE),"")</f>
        <v/>
      </c>
      <c r="EA70" s="1434" t="str">
        <f>IFERROR(VLOOKUP(CONCATENATE($B$8,"_",$B70),Data!$BO$16:$ES$1015,EA$11,FALSE),"")</f>
        <v/>
      </c>
      <c r="EB70" s="1434" t="str">
        <f>IFERROR(VLOOKUP(CONCATENATE($B$8,"_",$B70),Data!$BO$16:$ES$1015,EB$11,FALSE),"")</f>
        <v/>
      </c>
      <c r="EC70" s="1434" t="str">
        <f>IFERROR(VLOOKUP(CONCATENATE($B$8,"_",$B70),Data!$BO$16:$ES$1015,EC$11,FALSE),"")</f>
        <v/>
      </c>
      <c r="ED70" s="1434" t="str">
        <f>IFERROR(VLOOKUP(CONCATENATE($B$8,"_",$B70),Data!$BO$16:$ES$1015,ED$11,FALSE),"")</f>
        <v/>
      </c>
      <c r="EE70" s="1434" t="str">
        <f>IFERROR(VLOOKUP(CONCATENATE($B$8,"_",$B70),Data!$BO$16:$ES$1015,EE$11,FALSE),"")</f>
        <v/>
      </c>
      <c r="EF70" s="1434" t="str">
        <f>IFERROR(VLOOKUP(CONCATENATE($B$8,"_",$B70),Data!$BO$16:$ES$1015,EF$11,FALSE),"")</f>
        <v/>
      </c>
      <c r="EG70" s="1434" t="str">
        <f>IFERROR(VLOOKUP(CONCATENATE($B$8,"_",$B70),Data!$BO$16:$ES$1015,EG$11,FALSE),"")</f>
        <v/>
      </c>
      <c r="EH70" s="1434" t="str">
        <f>IFERROR(VLOOKUP(CONCATENATE($B$8,"_",$B70),Data!$BO$16:$ES$1015,EH$11,FALSE),"")</f>
        <v/>
      </c>
      <c r="EI70" s="1434" t="str">
        <f>IFERROR(VLOOKUP(CONCATENATE($B$8,"_",$B70),Data!$BO$16:$ES$1015,EI$11,FALSE),"")</f>
        <v/>
      </c>
      <c r="EK70" s="1437"/>
    </row>
    <row r="71" spans="1:141" s="1436" customFormat="1" ht="15" customHeight="1">
      <c r="A71" s="1438">
        <v>58</v>
      </c>
      <c r="B71" s="1738" t="str">
        <f>IF($B$13+A71&lt;=Progress!$D$18,$B$13+A71,"")</f>
        <v/>
      </c>
      <c r="C71" s="1737" t="str">
        <f>IFERROR(VLOOKUP(CONCATENATE($B$8,"_",$B71),Data!$H$16:$BN$1015,C$11,FALSE),"")</f>
        <v/>
      </c>
      <c r="D71" s="1428" t="str">
        <f>IFERROR(VLOOKUP(CONCATENATE($B$8,"_",$B71),Data!$H$16:$BN$1015,D$11,FALSE),"")</f>
        <v/>
      </c>
      <c r="E71" s="1429" t="str">
        <f>IFERROR(VLOOKUP(CONCATENATE($B$8,"_",$B71),Data!$H$16:$BN$1015,E$11,FALSE),"")</f>
        <v/>
      </c>
      <c r="F71" s="1428" t="str">
        <f>IFERROR(VLOOKUP(CONCATENATE($B$8,"_",$B71),Data!$H$16:$BN$1015,F$11,FALSE),"")</f>
        <v/>
      </c>
      <c r="G71" s="1428" t="str">
        <f>IFERROR(VLOOKUP(CONCATENATE($B$8,"_",$B71),Data!$H$16:$BN$1015,G$11,FALSE),"")</f>
        <v/>
      </c>
      <c r="H71" s="1429" t="str">
        <f>IFERROR(VLOOKUP(CONCATENATE($B$8,"_",$B71),Data!$H$16:$BN$1015,H$11,FALSE),"")</f>
        <v/>
      </c>
      <c r="I71" s="1428" t="str">
        <f>IFERROR(VLOOKUP(CONCATENATE($B$8,"_",$B71),Data!$H$16:$BN$1015,I$11,FALSE),"")</f>
        <v/>
      </c>
      <c r="J71" s="1428" t="str">
        <f>IFERROR(VLOOKUP(CONCATENATE($B$8,"_",$B71),Data!$H$16:$BN$1015,J$11,FALSE),"")</f>
        <v/>
      </c>
      <c r="K71" s="1429" t="str">
        <f>IFERROR(VLOOKUP(CONCATENATE($B$8,"_",$B71),Data!$H$16:$BN$1015,K$11,FALSE),"")</f>
        <v/>
      </c>
      <c r="L71" s="1428" t="str">
        <f>IFERROR(VLOOKUP(CONCATENATE($B$8,"_",$B71),Data!$H$16:$BN$1015,L$11,FALSE),"")</f>
        <v/>
      </c>
      <c r="M71" s="1428" t="str">
        <f>IFERROR(VLOOKUP(CONCATENATE($B$8,"_",$B71),Data!$H$16:$BN$1015,M$11,FALSE),"")</f>
        <v/>
      </c>
      <c r="N71" s="1429" t="str">
        <f>IFERROR(VLOOKUP(CONCATENATE($B$8,"_",$B71),Data!$H$16:$BN$1015,N$11,FALSE),"")</f>
        <v/>
      </c>
      <c r="O71" s="1430" t="str">
        <f>IFERROR(VLOOKUP(CONCATENATE($B$8,"_",$B71),Data!$H$16:$BN$1015,O$11,FALSE),"")</f>
        <v/>
      </c>
      <c r="P71" s="1428" t="str">
        <f>IFERROR(VLOOKUP(CONCATENATE($B$8,"_",$B71),Data!$H$16:$BN$1015,P$11,FALSE),"")</f>
        <v/>
      </c>
      <c r="Q71" s="1428" t="str">
        <f>IFERROR(VLOOKUP(CONCATENATE($B$8,"_",$B71),Data!$H$16:$BN$1015,Q$11,FALSE),"")</f>
        <v/>
      </c>
      <c r="R71" s="1429" t="str">
        <f>IFERROR(VLOOKUP(CONCATENATE($B$8,"_",$B71),Data!$H$16:$BN$1015,R$11,FALSE),"")</f>
        <v/>
      </c>
      <c r="S71" s="1428" t="str">
        <f>IFERROR(VLOOKUP(CONCATENATE($B$8,"_",$B71),Data!$H$16:$BN$1015,S$11,FALSE),"")</f>
        <v/>
      </c>
      <c r="T71" s="1428" t="str">
        <f>IFERROR(VLOOKUP(CONCATENATE($B$8,"_",$B71),Data!$H$16:$BN$1015,T$11,FALSE),"")</f>
        <v/>
      </c>
      <c r="U71" s="1429" t="str">
        <f>IFERROR(VLOOKUP(CONCATENATE($B$8,"_",$B71),Data!$H$16:$BN$1015,U$11,FALSE),"")</f>
        <v/>
      </c>
      <c r="V71" s="1428" t="str">
        <f>IFERROR(VLOOKUP(CONCATENATE($B$8,"_",$B71),Data!$H$16:$BN$1015,V$11,FALSE),"")</f>
        <v/>
      </c>
      <c r="W71" s="1428" t="str">
        <f>IFERROR(VLOOKUP(CONCATENATE($B$8,"_",$B71),Data!$H$16:$BN$1015,W$11,FALSE),"")</f>
        <v/>
      </c>
      <c r="X71" s="1428" t="str">
        <f>IFERROR(VLOOKUP(CONCATENATE($B$8,"_",$B71),Data!$H$16:$BN$1015,X$11,FALSE),"")</f>
        <v/>
      </c>
      <c r="Y71" s="1428" t="str">
        <f>IFERROR(VLOOKUP(CONCATENATE($B$8,"_",$B71),Data!$H$16:$BN$1015,Y$11,FALSE),"")</f>
        <v/>
      </c>
      <c r="Z71" s="1429" t="str">
        <f>IFERROR(VLOOKUP(CONCATENATE($B$8,"_",$B71),Data!$H$16:$BN$1015,Z$11,FALSE),"")</f>
        <v/>
      </c>
      <c r="AA71" s="1428" t="str">
        <f>IFERROR(VLOOKUP(CONCATENATE($B$8,"_",$B71),Data!$H$16:$BN$1015,AA$11,FALSE),"")</f>
        <v/>
      </c>
      <c r="AB71" s="1428" t="str">
        <f>IFERROR(VLOOKUP(CONCATENATE($B$8,"_",$B71),Data!$H$16:$BN$1015,AB$11,FALSE),"")</f>
        <v/>
      </c>
      <c r="AC71" s="1429" t="str">
        <f>IFERROR(VLOOKUP(CONCATENATE($B$8,"_",$B71),Data!$H$16:$BN$1015,AC$11,FALSE),"")</f>
        <v/>
      </c>
      <c r="AD71" s="1428" t="str">
        <f>IFERROR(VLOOKUP(CONCATENATE($B$8,"_",$B71),Data!$H$16:$BN$1015,AD$11,FALSE),"")</f>
        <v/>
      </c>
      <c r="AE71" s="1428" t="str">
        <f>IFERROR(VLOOKUP(CONCATENATE($B$8,"_",$B71),Data!$H$16:$BN$1015,AE$11,FALSE),"")</f>
        <v/>
      </c>
      <c r="AF71" s="1429" t="str">
        <f>IFERROR(VLOOKUP(CONCATENATE($B$8,"_",$B71),Data!$H$16:$BN$1015,AF$11,FALSE),"")</f>
        <v/>
      </c>
      <c r="AG71" s="1428" t="str">
        <f>IFERROR(VLOOKUP(CONCATENATE($B$8,"_",$B71),Data!$H$16:$BN$1015,AG$11,FALSE),"")</f>
        <v/>
      </c>
      <c r="AH71" s="1428" t="str">
        <f>IFERROR(VLOOKUP(CONCATENATE($B$8,"_",$B71),Data!$H$16:$BN$1015,AH$11,FALSE),"")</f>
        <v/>
      </c>
      <c r="AI71" s="1429" t="str">
        <f>IFERROR(VLOOKUP(CONCATENATE($B$8,"_",$B71),Data!$H$16:$BN$1015,AI$11,FALSE),"")</f>
        <v/>
      </c>
      <c r="AJ71" s="1428" t="str">
        <f>IFERROR(VLOOKUP(CONCATENATE($B$8,"_",$B71),Data!$H$16:$BN$1015,AJ$11,FALSE),"")</f>
        <v/>
      </c>
      <c r="AK71" s="1428" t="str">
        <f>IFERROR(VLOOKUP(CONCATENATE($B$8,"_",$B71),Data!$H$16:$BN$1015,AK$11,FALSE),"")</f>
        <v/>
      </c>
      <c r="AL71" s="1429" t="str">
        <f>IFERROR(VLOOKUP(CONCATENATE($B$8,"_",$B71),Data!$H$16:$BN$1015,AL$11,FALSE),"")</f>
        <v/>
      </c>
      <c r="AM71" s="1428" t="str">
        <f>IFERROR(VLOOKUP(CONCATENATE($B$8,"_",$B71),Data!$H$16:$BN$1015,AM$11,FALSE),"")</f>
        <v/>
      </c>
      <c r="AN71" s="1428" t="str">
        <f>IFERROR(VLOOKUP(CONCATENATE($B$8,"_",$B71),Data!$H$16:$BN$1015,AN$11,FALSE),"")</f>
        <v/>
      </c>
      <c r="AO71" s="1430" t="str">
        <f>IFERROR(VLOOKUP(CONCATENATE($B$8,"_",$B71),Data!$H$16:$BN$1015,AO$11,FALSE),"")</f>
        <v/>
      </c>
      <c r="AP71" s="1428" t="str">
        <f>IFERROR(VLOOKUP(CONCATENATE($B$8,"_",$B71),Data!$H$16:$BN$1015,AP$11,FALSE),"")</f>
        <v/>
      </c>
      <c r="AQ71" s="1428" t="str">
        <f>IFERROR(VLOOKUP(CONCATENATE($B$8,"_",$B71),Data!$H$16:$BN$1015,AQ$11,FALSE),"")</f>
        <v/>
      </c>
      <c r="AR71" s="1430" t="str">
        <f>IFERROR(VLOOKUP(CONCATENATE($B$8,"_",$B71),Data!$H$16:$BN$1015,AR$11,FALSE),"")</f>
        <v/>
      </c>
      <c r="AS71" s="1428" t="str">
        <f>IFERROR(VLOOKUP(CONCATENATE($B$8,"_",$B71),Data!$H$16:$BN$1015,AS$11,FALSE),"")</f>
        <v/>
      </c>
      <c r="AT71" s="1428" t="str">
        <f>IFERROR(VLOOKUP(CONCATENATE($B$8,"_",$B71),Data!$H$16:$BN$1015,AT$11,FALSE),"")</f>
        <v/>
      </c>
      <c r="AU71" s="1430" t="str">
        <f>IFERROR(VLOOKUP(CONCATENATE($B$8,"_",$B71),Data!$H$16:$BN$1015,AU$11,FALSE),"")</f>
        <v/>
      </c>
      <c r="AV71" s="1428" t="str">
        <f>IFERROR(VLOOKUP(CONCATENATE($B$8,"_",$B71),Data!$H$16:$BN$1015,AV$11,FALSE),"")</f>
        <v/>
      </c>
      <c r="AW71" s="1428" t="str">
        <f>IFERROR(VLOOKUP(CONCATENATE($B$8,"_",$B71),Data!$H$16:$BN$1015,AW$11,FALSE),"")</f>
        <v/>
      </c>
      <c r="AX71" s="1430" t="str">
        <f>IFERROR(VLOOKUP(CONCATENATE($B$8,"_",$B71),Data!$H$16:$BN$1015,AX$11,FALSE),"")</f>
        <v/>
      </c>
      <c r="AY71" s="1429" t="str">
        <f>IFERROR(VLOOKUP(CONCATENATE($B$8,"_",$B71),Data!$H$16:$BN$1015,AY$11,FALSE),"")</f>
        <v/>
      </c>
      <c r="AZ71" s="1429" t="str">
        <f>IFERROR(VLOOKUP(CONCATENATE($B$8,"_",$B71),Data!$H$16:$BN$1015,AZ$11,FALSE),"")</f>
        <v/>
      </c>
      <c r="BA71" s="1429" t="str">
        <f>IFERROR(VLOOKUP(CONCATENATE($B$8,"_",$B71),Data!$H$16:$BN$1015,BA$11,FALSE),"")</f>
        <v/>
      </c>
      <c r="BB71" s="1429" t="str">
        <f>IFERROR(VLOOKUP(CONCATENATE($B$8,"_",$B71),Data!$H$16:$BN$1015,BB$11,FALSE),"")</f>
        <v/>
      </c>
      <c r="BC71" s="1429" t="str">
        <f>IFERROR(VLOOKUP(CONCATENATE($B$8,"_",$B71),Data!$H$16:$BN$1015,BC$11,FALSE),"")</f>
        <v/>
      </c>
      <c r="BD71" s="1431" t="str">
        <f>IFERROR(VLOOKUP(CONCATENATE($B$8,"_",$B71),Data!$H$16:$BN$1015,BD$11,FALSE),"")</f>
        <v/>
      </c>
      <c r="BE71" s="1439" t="str">
        <f t="shared" si="0"/>
        <v/>
      </c>
      <c r="BF71" s="1428" t="str">
        <f>IFERROR(VLOOKUP(CONCATENATE($B$8,"_",$B71),Data!$BO$16:$ES$1015,BF$11,FALSE),"")</f>
        <v/>
      </c>
      <c r="BG71" s="1433" t="str">
        <f>IFERROR(VLOOKUP(CONCATENATE($B$8,"_",$B71),Data!$BO$16:$ES$1015,BG$11,FALSE),"")</f>
        <v/>
      </c>
      <c r="BH71" s="1435" t="str">
        <f>IFERROR(VLOOKUP(CONCATENATE($B$8,"_",$B71),Data!$BO$16:$ES$1015,BH$11,FALSE),"")</f>
        <v/>
      </c>
      <c r="BI71" s="1434" t="str">
        <f>IFERROR(VLOOKUP(CONCATENATE($B$8,"_",$B71),Data!$BO$16:$ES$1015,BI$11,FALSE),"")</f>
        <v/>
      </c>
      <c r="BJ71" s="1428" t="str">
        <f>IFERROR(VLOOKUP(CONCATENATE($B$8,"_",$B71),Data!$BO$16:$ES$1015,BJ$11,FALSE),"")</f>
        <v/>
      </c>
      <c r="BK71" s="1428" t="str">
        <f>IFERROR(VLOOKUP(CONCATENATE($B$8,"_",$B71),Data!$BO$16:$ES$1015,BK$11,FALSE),"")</f>
        <v/>
      </c>
      <c r="BL71" s="1428" t="str">
        <f>IFERROR(VLOOKUP(CONCATENATE($B$8,"_",$B71),Data!$BO$16:$ES$1015,BL$11,FALSE),"")</f>
        <v/>
      </c>
      <c r="BM71" s="1433" t="str">
        <f>IFERROR(VLOOKUP(CONCATENATE($B$8,"_",$B71),Data!$BO$16:$ES$1015,BM$11,FALSE),"")</f>
        <v/>
      </c>
      <c r="BN71" s="1433" t="str">
        <f>IFERROR(VLOOKUP(CONCATENATE($B$8,"_",$B71),Data!$BO$16:$ES$1015,BN$11,FALSE),"")</f>
        <v/>
      </c>
      <c r="BO71" s="1433" t="str">
        <f>IFERROR(VLOOKUP(CONCATENATE($B$8,"_",$B71),Data!$BO$16:$ES$1015,BO$11,FALSE),"")</f>
        <v/>
      </c>
      <c r="BP71" s="1433" t="str">
        <f>IFERROR(VLOOKUP(CONCATENATE($B$8,"_",$B71),Data!$BO$16:$ES$1015,BP$11,FALSE),"")</f>
        <v/>
      </c>
      <c r="BQ71" s="1433" t="str">
        <f>IFERROR(VLOOKUP(CONCATENATE($B$8,"_",$B71),Data!$BO$16:$ES$1015,BQ$11,FALSE),"")</f>
        <v/>
      </c>
      <c r="BR71" s="1434" t="str">
        <f>IFERROR(VLOOKUP(CONCATENATE($B$8,"_",$B71),Data!$BO$16:$ES$1015,BR$11,FALSE),"")</f>
        <v/>
      </c>
      <c r="BS71" s="1434" t="str">
        <f>IFERROR(VLOOKUP(CONCATENATE($B$8,"_",$B71),Data!$BO$16:$ES$1015,BS$11,FALSE),"")</f>
        <v/>
      </c>
      <c r="BT71" s="1434" t="str">
        <f>IFERROR(VLOOKUP(CONCATENATE($B$8,"_",$B71),Data!$BO$16:$ES$1015,BT$11,FALSE),"")</f>
        <v/>
      </c>
      <c r="BU71" s="1434" t="str">
        <f>IFERROR(VLOOKUP(CONCATENATE($B$8,"_",$B71),Data!$BO$16:$ES$1015,BU$11,FALSE),"")</f>
        <v/>
      </c>
      <c r="BV71" s="1434" t="str">
        <f>IFERROR(VLOOKUP(CONCATENATE($B$8,"_",$B71),Data!$BO$16:$ES$1015,BV$11,FALSE),"")</f>
        <v/>
      </c>
      <c r="BW71" s="1434" t="str">
        <f>IFERROR(VLOOKUP(CONCATENATE($B$8,"_",$B71),Data!$BO$16:$ES$1015,BW$11,FALSE),"")</f>
        <v/>
      </c>
      <c r="BX71" s="1434" t="str">
        <f>IFERROR(VLOOKUP(CONCATENATE($B$8,"_",$B71),Data!$BO$16:$ES$1015,BX$11,FALSE),"")</f>
        <v/>
      </c>
      <c r="BY71" s="1428" t="str">
        <f>IFERROR(VLOOKUP(CONCATENATE($B$8,"_",$B71),Data!$BO$16:$ES$1015,BY$11,FALSE),"")</f>
        <v/>
      </c>
      <c r="BZ71" s="1428" t="str">
        <f>IFERROR(VLOOKUP(CONCATENATE($B$8,"_",$B71),Data!$BO$16:$ES$1015,BZ$11,FALSE),"")</f>
        <v/>
      </c>
      <c r="CA71" s="1428" t="str">
        <f>IFERROR(VLOOKUP(CONCATENATE($B$8,"_",$B71),Data!$BO$16:$ES$1015,CA$11,FALSE),"")</f>
        <v/>
      </c>
      <c r="CB71" s="1428" t="str">
        <f>IFERROR(VLOOKUP(CONCATENATE($B$8,"_",$B71),Data!$BO$16:$ES$1015,CB$11,FALSE),"")</f>
        <v/>
      </c>
      <c r="CC71" s="1428" t="str">
        <f>IFERROR(VLOOKUP(CONCATENATE($B$8,"_",$B71),Data!$BO$16:$ES$1015,CC$11,FALSE),"")</f>
        <v/>
      </c>
      <c r="CD71" s="1428" t="str">
        <f>IFERROR(VLOOKUP(CONCATENATE($B$8,"_",$B71),Data!$BO$16:$ES$1015,CD$11,FALSE),"")</f>
        <v/>
      </c>
      <c r="CE71" s="1428" t="str">
        <f>IFERROR(VLOOKUP(CONCATENATE($B$8,"_",$B71),Data!$BO$16:$ES$1015,CE$11,FALSE),"")</f>
        <v/>
      </c>
      <c r="CF71" s="1428" t="str">
        <f>IFERROR(VLOOKUP(CONCATENATE($B$8,"_",$B71),Data!$BO$16:$ES$1015,CF$11,FALSE),"")</f>
        <v/>
      </c>
      <c r="CG71" s="1428" t="str">
        <f>IFERROR(VLOOKUP(CONCATENATE($B$8,"_",$B71),Data!$BO$16:$ES$1015,CG$11,FALSE),"")</f>
        <v/>
      </c>
      <c r="CH71" s="1428" t="str">
        <f>IFERROR(VLOOKUP(CONCATENATE($B$8,"_",$B71),Data!$BO$16:$ES$1015,CH$11,FALSE),"")</f>
        <v/>
      </c>
      <c r="CI71" s="1428" t="str">
        <f>IFERROR(VLOOKUP(CONCATENATE($B$8,"_",$B71),Data!$BO$16:$ES$1015,CI$11,FALSE),"")</f>
        <v/>
      </c>
      <c r="CJ71" s="1428" t="str">
        <f>IFERROR(VLOOKUP(CONCATENATE($B$8,"_",$B71),Data!$BO$16:$ES$1015,CJ$11,FALSE),"")</f>
        <v/>
      </c>
      <c r="CK71" s="1428" t="str">
        <f>IFERROR(VLOOKUP(CONCATENATE($B$8,"_",$B71),Data!$BO$16:$ES$1015,CK$11,FALSE),"")</f>
        <v/>
      </c>
      <c r="CL71" s="1428" t="str">
        <f>IFERROR(VLOOKUP(CONCATENATE($B$8,"_",$B71),Data!$BO$16:$ES$1015,CL$11,FALSE),"")</f>
        <v/>
      </c>
      <c r="CM71" s="1428" t="str">
        <f>IFERROR(VLOOKUP(CONCATENATE($B$8,"_",$B71),Data!$BO$16:$ES$1015,CM$11,FALSE),"")</f>
        <v/>
      </c>
      <c r="CN71" s="1428" t="str">
        <f>IFERROR(VLOOKUP(CONCATENATE($B$8,"_",$B71),Data!$BO$16:$ES$1015,CN$11,FALSE),"")</f>
        <v/>
      </c>
      <c r="CO71" s="1428" t="str">
        <f>IFERROR(VLOOKUP(CONCATENATE($B$8,"_",$B71),Data!$BO$16:$ES$1015,CO$11,FALSE),"")</f>
        <v/>
      </c>
      <c r="CP71" s="1433" t="str">
        <f>IFERROR(VLOOKUP(CONCATENATE($B$8,"_",$B71),Data!$BO$16:$ES$1015,CP$11,FALSE),"")</f>
        <v/>
      </c>
      <c r="CQ71" s="1433" t="str">
        <f>IFERROR(VLOOKUP(CONCATENATE($B$8,"_",$B71),Data!$BO$16:$ES$1015,CQ$11,FALSE),"")</f>
        <v/>
      </c>
      <c r="CR71" s="1433" t="str">
        <f>IFERROR(VLOOKUP(CONCATENATE($B$8,"_",$B71),Data!$BO$16:$ES$1015,CR$11,FALSE),"")</f>
        <v/>
      </c>
      <c r="CS71" s="1433" t="str">
        <f>IFERROR(VLOOKUP(CONCATENATE($B$8,"_",$B71),Data!$BO$16:$ES$1015,CS$11,FALSE),"")</f>
        <v/>
      </c>
      <c r="CT71" s="1433" t="str">
        <f>IFERROR(VLOOKUP(CONCATENATE($B$8,"_",$B71),Data!$BO$16:$ES$1015,CT$11,FALSE),"")</f>
        <v/>
      </c>
      <c r="CU71" s="1433" t="str">
        <f>IFERROR(VLOOKUP(CONCATENATE($B$8,"_",$B71),Data!$BO$16:$ES$1015,CU$11,FALSE),"")</f>
        <v/>
      </c>
      <c r="CV71" s="1433" t="str">
        <f>IFERROR(VLOOKUP(CONCATENATE($B$8,"_",$B71),Data!$BO$16:$ES$1015,CV$11,FALSE),"")</f>
        <v/>
      </c>
      <c r="CW71" s="1433" t="str">
        <f>IFERROR(VLOOKUP(CONCATENATE($B$8,"_",$B71),Data!$BO$16:$ES$1015,CW$11,FALSE),"")</f>
        <v/>
      </c>
      <c r="CX71" s="1433" t="str">
        <f>IFERROR(VLOOKUP(CONCATENATE($B$8,"_",$B71),Data!$BO$16:$ES$1015,CX$11,FALSE),"")</f>
        <v/>
      </c>
      <c r="CY71" s="1433" t="str">
        <f>IFERROR(VLOOKUP(CONCATENATE($B$8,"_",$B71),Data!$BO$16:$ES$1015,CY$11,FALSE),"")</f>
        <v/>
      </c>
      <c r="CZ71" s="1433" t="str">
        <f>IFERROR(VLOOKUP(CONCATENATE($B$8,"_",$B71),Data!$BO$16:$ES$1015,CZ$11,FALSE),"")</f>
        <v/>
      </c>
      <c r="DA71" s="1433" t="str">
        <f>IFERROR(VLOOKUP(CONCATENATE($B$8,"_",$B71),Data!$BO$16:$ES$1015,DA$11,FALSE),"")</f>
        <v/>
      </c>
      <c r="DB71" s="1433" t="str">
        <f>IFERROR(VLOOKUP(CONCATENATE($B$8,"_",$B71),Data!$BO$16:$ES$1015,DB$11,FALSE),"")</f>
        <v/>
      </c>
      <c r="DC71" s="1433" t="str">
        <f>IFERROR(VLOOKUP(CONCATENATE($B$8,"_",$B71),Data!$BO$16:$ES$1015,DC$11,FALSE),"")</f>
        <v/>
      </c>
      <c r="DD71" s="1433" t="str">
        <f>IFERROR(VLOOKUP(CONCATENATE($B$8,"_",$B71),Data!$BO$16:$ES$1015,DD$11,FALSE),"")</f>
        <v/>
      </c>
      <c r="DE71" s="1433" t="str">
        <f>IFERROR(VLOOKUP(CONCATENATE($B$8,"_",$B71),Data!$BO$16:$ES$1015,DE$11,FALSE),"")</f>
        <v/>
      </c>
      <c r="DF71" s="1433" t="str">
        <f>IFERROR(VLOOKUP(CONCATENATE($B$8,"_",$B71),Data!$BO$16:$ES$1015,DF$11,FALSE),"")</f>
        <v/>
      </c>
      <c r="DG71" s="1433" t="str">
        <f>IFERROR(VLOOKUP(CONCATENATE($B$8,"_",$B71),Data!$BO$16:$ES$1015,DG$11,FALSE),"")</f>
        <v/>
      </c>
      <c r="DH71" s="1433" t="str">
        <f>IFERROR(VLOOKUP(CONCATENATE($B$8,"_",$B71),Data!$BO$16:$ES$1015,DH$11,FALSE),"")</f>
        <v/>
      </c>
      <c r="DI71" s="1433" t="str">
        <f>IFERROR(VLOOKUP(CONCATENATE($B$8,"_",$B71),Data!$BO$16:$ES$1015,DI$11,FALSE),"")</f>
        <v/>
      </c>
      <c r="DJ71" s="1433" t="str">
        <f>IFERROR(VLOOKUP(CONCATENATE($B$8,"_",$B71),Data!$BO$16:$ES$1015,DJ$11,FALSE),"")</f>
        <v/>
      </c>
      <c r="DK71" s="1433" t="str">
        <f>IFERROR(VLOOKUP(CONCATENATE($B$8,"_",$B71),Data!$BO$16:$ES$1015,DK$11,FALSE),"")</f>
        <v/>
      </c>
      <c r="DL71" s="1435" t="str">
        <f>IFERROR(VLOOKUP(CONCATENATE($B$8,"_",$B71),Data!$BO$16:$ES$1015,DL$11,FALSE),"")</f>
        <v/>
      </c>
      <c r="DM71" s="1434" t="str">
        <f>IFERROR(VLOOKUP(CONCATENATE($B$8,"_",$B71),Data!$BO$16:$ES$1015,DM$11,FALSE),"")</f>
        <v/>
      </c>
      <c r="DN71" s="1434" t="str">
        <f>IFERROR(VLOOKUP(CONCATENATE($B$8,"_",$B71),Data!$BO$16:$ES$1015,DN$11,FALSE),"")</f>
        <v/>
      </c>
      <c r="DO71" s="1434" t="str">
        <f>IFERROR(VLOOKUP(CONCATENATE($B$8,"_",$B71),Data!$BO$16:$ES$1015,DO$11,FALSE),"")</f>
        <v/>
      </c>
      <c r="DP71" s="1434" t="str">
        <f>IFERROR(VLOOKUP(CONCATENATE($B$8,"_",$B71),Data!$BO$16:$ES$1015,DP$11,FALSE),"")</f>
        <v/>
      </c>
      <c r="DQ71" s="1434" t="str">
        <f>IFERROR(VLOOKUP(CONCATENATE($B$8,"_",$B71),Data!$BO$16:$ES$1015,DQ$11,FALSE),"")</f>
        <v/>
      </c>
      <c r="DR71" s="1434" t="str">
        <f>IFERROR(VLOOKUP(CONCATENATE($B$8,"_",$B71),Data!$BO$16:$ES$1015,DR$11,FALSE),"")</f>
        <v/>
      </c>
      <c r="DS71" s="1434" t="str">
        <f>IFERROR(VLOOKUP(CONCATENATE($B$8,"_",$B71),Data!$BO$16:$ES$1015,DS$11,FALSE),"")</f>
        <v/>
      </c>
      <c r="DT71" s="1434" t="str">
        <f>IFERROR(VLOOKUP(CONCATENATE($B$8,"_",$B71),Data!$BO$16:$ES$1015,DT$11,FALSE),"")</f>
        <v/>
      </c>
      <c r="DU71" s="1434" t="str">
        <f>IFERROR(VLOOKUP(CONCATENATE($B$8,"_",$B71),Data!$BO$16:$ES$1015,DU$11,FALSE),"")</f>
        <v/>
      </c>
      <c r="DV71" s="1434" t="str">
        <f>IFERROR(VLOOKUP(CONCATENATE($B$8,"_",$B71),Data!$BO$16:$ES$1015,DV$11,FALSE),"")</f>
        <v/>
      </c>
      <c r="DW71" s="1434" t="str">
        <f>IFERROR(VLOOKUP(CONCATENATE($B$8,"_",$B71),Data!$BO$16:$ES$1015,DW$11,FALSE),"")</f>
        <v/>
      </c>
      <c r="DX71" s="1434" t="str">
        <f>IFERROR(VLOOKUP(CONCATENATE($B$8,"_",$B71),Data!$BO$16:$ES$1015,DX$11,FALSE),"")</f>
        <v/>
      </c>
      <c r="DY71" s="1434" t="str">
        <f>IFERROR(VLOOKUP(CONCATENATE($B$8,"_",$B71),Data!$BO$16:$ES$1015,DY$11,FALSE),"")</f>
        <v/>
      </c>
      <c r="DZ71" s="1434" t="str">
        <f>IFERROR(VLOOKUP(CONCATENATE($B$8,"_",$B71),Data!$BO$16:$ES$1015,DZ$11,FALSE),"")</f>
        <v/>
      </c>
      <c r="EA71" s="1434" t="str">
        <f>IFERROR(VLOOKUP(CONCATENATE($B$8,"_",$B71),Data!$BO$16:$ES$1015,EA$11,FALSE),"")</f>
        <v/>
      </c>
      <c r="EB71" s="1434" t="str">
        <f>IFERROR(VLOOKUP(CONCATENATE($B$8,"_",$B71),Data!$BO$16:$ES$1015,EB$11,FALSE),"")</f>
        <v/>
      </c>
      <c r="EC71" s="1434" t="str">
        <f>IFERROR(VLOOKUP(CONCATENATE($B$8,"_",$B71),Data!$BO$16:$ES$1015,EC$11,FALSE),"")</f>
        <v/>
      </c>
      <c r="ED71" s="1434" t="str">
        <f>IFERROR(VLOOKUP(CONCATENATE($B$8,"_",$B71),Data!$BO$16:$ES$1015,ED$11,FALSE),"")</f>
        <v/>
      </c>
      <c r="EE71" s="1434" t="str">
        <f>IFERROR(VLOOKUP(CONCATENATE($B$8,"_",$B71),Data!$BO$16:$ES$1015,EE$11,FALSE),"")</f>
        <v/>
      </c>
      <c r="EF71" s="1434" t="str">
        <f>IFERROR(VLOOKUP(CONCATENATE($B$8,"_",$B71),Data!$BO$16:$ES$1015,EF$11,FALSE),"")</f>
        <v/>
      </c>
      <c r="EG71" s="1434" t="str">
        <f>IFERROR(VLOOKUP(CONCATENATE($B$8,"_",$B71),Data!$BO$16:$ES$1015,EG$11,FALSE),"")</f>
        <v/>
      </c>
      <c r="EH71" s="1434" t="str">
        <f>IFERROR(VLOOKUP(CONCATENATE($B$8,"_",$B71),Data!$BO$16:$ES$1015,EH$11,FALSE),"")</f>
        <v/>
      </c>
      <c r="EI71" s="1434" t="str">
        <f>IFERROR(VLOOKUP(CONCATENATE($B$8,"_",$B71),Data!$BO$16:$ES$1015,EI$11,FALSE),"")</f>
        <v/>
      </c>
      <c r="EK71" s="1437"/>
    </row>
    <row r="72" spans="1:141" s="1436" customFormat="1" ht="15" customHeight="1">
      <c r="A72" s="1438">
        <v>59</v>
      </c>
      <c r="B72" s="1738" t="str">
        <f>IF($B$13+A72&lt;=Progress!$D$18,$B$13+A72,"")</f>
        <v/>
      </c>
      <c r="C72" s="1737" t="str">
        <f>IFERROR(VLOOKUP(CONCATENATE($B$8,"_",$B72),Data!$H$16:$BN$1015,C$11,FALSE),"")</f>
        <v/>
      </c>
      <c r="D72" s="1428" t="str">
        <f>IFERROR(VLOOKUP(CONCATENATE($B$8,"_",$B72),Data!$H$16:$BN$1015,D$11,FALSE),"")</f>
        <v/>
      </c>
      <c r="E72" s="1429" t="str">
        <f>IFERROR(VLOOKUP(CONCATENATE($B$8,"_",$B72),Data!$H$16:$BN$1015,E$11,FALSE),"")</f>
        <v/>
      </c>
      <c r="F72" s="1428" t="str">
        <f>IFERROR(VLOOKUP(CONCATENATE($B$8,"_",$B72),Data!$H$16:$BN$1015,F$11,FALSE),"")</f>
        <v/>
      </c>
      <c r="G72" s="1428" t="str">
        <f>IFERROR(VLOOKUP(CONCATENATE($B$8,"_",$B72),Data!$H$16:$BN$1015,G$11,FALSE),"")</f>
        <v/>
      </c>
      <c r="H72" s="1429" t="str">
        <f>IFERROR(VLOOKUP(CONCATENATE($B$8,"_",$B72),Data!$H$16:$BN$1015,H$11,FALSE),"")</f>
        <v/>
      </c>
      <c r="I72" s="1428" t="str">
        <f>IFERROR(VLOOKUP(CONCATENATE($B$8,"_",$B72),Data!$H$16:$BN$1015,I$11,FALSE),"")</f>
        <v/>
      </c>
      <c r="J72" s="1428" t="str">
        <f>IFERROR(VLOOKUP(CONCATENATE($B$8,"_",$B72),Data!$H$16:$BN$1015,J$11,FALSE),"")</f>
        <v/>
      </c>
      <c r="K72" s="1429" t="str">
        <f>IFERROR(VLOOKUP(CONCATENATE($B$8,"_",$B72),Data!$H$16:$BN$1015,K$11,FALSE),"")</f>
        <v/>
      </c>
      <c r="L72" s="1428" t="str">
        <f>IFERROR(VLOOKUP(CONCATENATE($B$8,"_",$B72),Data!$H$16:$BN$1015,L$11,FALSE),"")</f>
        <v/>
      </c>
      <c r="M72" s="1428" t="str">
        <f>IFERROR(VLOOKUP(CONCATENATE($B$8,"_",$B72),Data!$H$16:$BN$1015,M$11,FALSE),"")</f>
        <v/>
      </c>
      <c r="N72" s="1429" t="str">
        <f>IFERROR(VLOOKUP(CONCATENATE($B$8,"_",$B72),Data!$H$16:$BN$1015,N$11,FALSE),"")</f>
        <v/>
      </c>
      <c r="O72" s="1430" t="str">
        <f>IFERROR(VLOOKUP(CONCATENATE($B$8,"_",$B72),Data!$H$16:$BN$1015,O$11,FALSE),"")</f>
        <v/>
      </c>
      <c r="P72" s="1428" t="str">
        <f>IFERROR(VLOOKUP(CONCATENATE($B$8,"_",$B72),Data!$H$16:$BN$1015,P$11,FALSE),"")</f>
        <v/>
      </c>
      <c r="Q72" s="1428" t="str">
        <f>IFERROR(VLOOKUP(CONCATENATE($B$8,"_",$B72),Data!$H$16:$BN$1015,Q$11,FALSE),"")</f>
        <v/>
      </c>
      <c r="R72" s="1429" t="str">
        <f>IFERROR(VLOOKUP(CONCATENATE($B$8,"_",$B72),Data!$H$16:$BN$1015,R$11,FALSE),"")</f>
        <v/>
      </c>
      <c r="S72" s="1428" t="str">
        <f>IFERROR(VLOOKUP(CONCATENATE($B$8,"_",$B72),Data!$H$16:$BN$1015,S$11,FALSE),"")</f>
        <v/>
      </c>
      <c r="T72" s="1428" t="str">
        <f>IFERROR(VLOOKUP(CONCATENATE($B$8,"_",$B72),Data!$H$16:$BN$1015,T$11,FALSE),"")</f>
        <v/>
      </c>
      <c r="U72" s="1429" t="str">
        <f>IFERROR(VLOOKUP(CONCATENATE($B$8,"_",$B72),Data!$H$16:$BN$1015,U$11,FALSE),"")</f>
        <v/>
      </c>
      <c r="V72" s="1428" t="str">
        <f>IFERROR(VLOOKUP(CONCATENATE($B$8,"_",$B72),Data!$H$16:$BN$1015,V$11,FALSE),"")</f>
        <v/>
      </c>
      <c r="W72" s="1428" t="str">
        <f>IFERROR(VLOOKUP(CONCATENATE($B$8,"_",$B72),Data!$H$16:$BN$1015,W$11,FALSE),"")</f>
        <v/>
      </c>
      <c r="X72" s="1428" t="str">
        <f>IFERROR(VLOOKUP(CONCATENATE($B$8,"_",$B72),Data!$H$16:$BN$1015,X$11,FALSE),"")</f>
        <v/>
      </c>
      <c r="Y72" s="1428" t="str">
        <f>IFERROR(VLOOKUP(CONCATENATE($B$8,"_",$B72),Data!$H$16:$BN$1015,Y$11,FALSE),"")</f>
        <v/>
      </c>
      <c r="Z72" s="1429" t="str">
        <f>IFERROR(VLOOKUP(CONCATENATE($B$8,"_",$B72),Data!$H$16:$BN$1015,Z$11,FALSE),"")</f>
        <v/>
      </c>
      <c r="AA72" s="1428" t="str">
        <f>IFERROR(VLOOKUP(CONCATENATE($B$8,"_",$B72),Data!$H$16:$BN$1015,AA$11,FALSE),"")</f>
        <v/>
      </c>
      <c r="AB72" s="1428" t="str">
        <f>IFERROR(VLOOKUP(CONCATENATE($B$8,"_",$B72),Data!$H$16:$BN$1015,AB$11,FALSE),"")</f>
        <v/>
      </c>
      <c r="AC72" s="1429" t="str">
        <f>IFERROR(VLOOKUP(CONCATENATE($B$8,"_",$B72),Data!$H$16:$BN$1015,AC$11,FALSE),"")</f>
        <v/>
      </c>
      <c r="AD72" s="1428" t="str">
        <f>IFERROR(VLOOKUP(CONCATENATE($B$8,"_",$B72),Data!$H$16:$BN$1015,AD$11,FALSE),"")</f>
        <v/>
      </c>
      <c r="AE72" s="1428" t="str">
        <f>IFERROR(VLOOKUP(CONCATENATE($B$8,"_",$B72),Data!$H$16:$BN$1015,AE$11,FALSE),"")</f>
        <v/>
      </c>
      <c r="AF72" s="1429" t="str">
        <f>IFERROR(VLOOKUP(CONCATENATE($B$8,"_",$B72),Data!$H$16:$BN$1015,AF$11,FALSE),"")</f>
        <v/>
      </c>
      <c r="AG72" s="1428" t="str">
        <f>IFERROR(VLOOKUP(CONCATENATE($B$8,"_",$B72),Data!$H$16:$BN$1015,AG$11,FALSE),"")</f>
        <v/>
      </c>
      <c r="AH72" s="1428" t="str">
        <f>IFERROR(VLOOKUP(CONCATENATE($B$8,"_",$B72),Data!$H$16:$BN$1015,AH$11,FALSE),"")</f>
        <v/>
      </c>
      <c r="AI72" s="1429" t="str">
        <f>IFERROR(VLOOKUP(CONCATENATE($B$8,"_",$B72),Data!$H$16:$BN$1015,AI$11,FALSE),"")</f>
        <v/>
      </c>
      <c r="AJ72" s="1428" t="str">
        <f>IFERROR(VLOOKUP(CONCATENATE($B$8,"_",$B72),Data!$H$16:$BN$1015,AJ$11,FALSE),"")</f>
        <v/>
      </c>
      <c r="AK72" s="1428" t="str">
        <f>IFERROR(VLOOKUP(CONCATENATE($B$8,"_",$B72),Data!$H$16:$BN$1015,AK$11,FALSE),"")</f>
        <v/>
      </c>
      <c r="AL72" s="1429" t="str">
        <f>IFERROR(VLOOKUP(CONCATENATE($B$8,"_",$B72),Data!$H$16:$BN$1015,AL$11,FALSE),"")</f>
        <v/>
      </c>
      <c r="AM72" s="1428" t="str">
        <f>IFERROR(VLOOKUP(CONCATENATE($B$8,"_",$B72),Data!$H$16:$BN$1015,AM$11,FALSE),"")</f>
        <v/>
      </c>
      <c r="AN72" s="1428" t="str">
        <f>IFERROR(VLOOKUP(CONCATENATE($B$8,"_",$B72),Data!$H$16:$BN$1015,AN$11,FALSE),"")</f>
        <v/>
      </c>
      <c r="AO72" s="1430" t="str">
        <f>IFERROR(VLOOKUP(CONCATENATE($B$8,"_",$B72),Data!$H$16:$BN$1015,AO$11,FALSE),"")</f>
        <v/>
      </c>
      <c r="AP72" s="1428" t="str">
        <f>IFERROR(VLOOKUP(CONCATENATE($B$8,"_",$B72),Data!$H$16:$BN$1015,AP$11,FALSE),"")</f>
        <v/>
      </c>
      <c r="AQ72" s="1428" t="str">
        <f>IFERROR(VLOOKUP(CONCATENATE($B$8,"_",$B72),Data!$H$16:$BN$1015,AQ$11,FALSE),"")</f>
        <v/>
      </c>
      <c r="AR72" s="1430" t="str">
        <f>IFERROR(VLOOKUP(CONCATENATE($B$8,"_",$B72),Data!$H$16:$BN$1015,AR$11,FALSE),"")</f>
        <v/>
      </c>
      <c r="AS72" s="1428" t="str">
        <f>IFERROR(VLOOKUP(CONCATENATE($B$8,"_",$B72),Data!$H$16:$BN$1015,AS$11,FALSE),"")</f>
        <v/>
      </c>
      <c r="AT72" s="1428" t="str">
        <f>IFERROR(VLOOKUP(CONCATENATE($B$8,"_",$B72),Data!$H$16:$BN$1015,AT$11,FALSE),"")</f>
        <v/>
      </c>
      <c r="AU72" s="1430" t="str">
        <f>IFERROR(VLOOKUP(CONCATENATE($B$8,"_",$B72),Data!$H$16:$BN$1015,AU$11,FALSE),"")</f>
        <v/>
      </c>
      <c r="AV72" s="1428" t="str">
        <f>IFERROR(VLOOKUP(CONCATENATE($B$8,"_",$B72),Data!$H$16:$BN$1015,AV$11,FALSE),"")</f>
        <v/>
      </c>
      <c r="AW72" s="1428" t="str">
        <f>IFERROR(VLOOKUP(CONCATENATE($B$8,"_",$B72),Data!$H$16:$BN$1015,AW$11,FALSE),"")</f>
        <v/>
      </c>
      <c r="AX72" s="1430" t="str">
        <f>IFERROR(VLOOKUP(CONCATENATE($B$8,"_",$B72),Data!$H$16:$BN$1015,AX$11,FALSE),"")</f>
        <v/>
      </c>
      <c r="AY72" s="1429" t="str">
        <f>IFERROR(VLOOKUP(CONCATENATE($B$8,"_",$B72),Data!$H$16:$BN$1015,AY$11,FALSE),"")</f>
        <v/>
      </c>
      <c r="AZ72" s="1429" t="str">
        <f>IFERROR(VLOOKUP(CONCATENATE($B$8,"_",$B72),Data!$H$16:$BN$1015,AZ$11,FALSE),"")</f>
        <v/>
      </c>
      <c r="BA72" s="1429" t="str">
        <f>IFERROR(VLOOKUP(CONCATENATE($B$8,"_",$B72),Data!$H$16:$BN$1015,BA$11,FALSE),"")</f>
        <v/>
      </c>
      <c r="BB72" s="1429" t="str">
        <f>IFERROR(VLOOKUP(CONCATENATE($B$8,"_",$B72),Data!$H$16:$BN$1015,BB$11,FALSE),"")</f>
        <v/>
      </c>
      <c r="BC72" s="1429" t="str">
        <f>IFERROR(VLOOKUP(CONCATENATE($B$8,"_",$B72),Data!$H$16:$BN$1015,BC$11,FALSE),"")</f>
        <v/>
      </c>
      <c r="BD72" s="1431" t="str">
        <f>IFERROR(VLOOKUP(CONCATENATE($B$8,"_",$B72),Data!$H$16:$BN$1015,BD$11,FALSE),"")</f>
        <v/>
      </c>
      <c r="BE72" s="1439" t="str">
        <f t="shared" si="0"/>
        <v/>
      </c>
      <c r="BF72" s="1428" t="str">
        <f>IFERROR(VLOOKUP(CONCATENATE($B$8,"_",$B72),Data!$BO$16:$ES$1015,BF$11,FALSE),"")</f>
        <v/>
      </c>
      <c r="BG72" s="1433" t="str">
        <f>IFERROR(VLOOKUP(CONCATENATE($B$8,"_",$B72),Data!$BO$16:$ES$1015,BG$11,FALSE),"")</f>
        <v/>
      </c>
      <c r="BH72" s="1435" t="str">
        <f>IFERROR(VLOOKUP(CONCATENATE($B$8,"_",$B72),Data!$BO$16:$ES$1015,BH$11,FALSE),"")</f>
        <v/>
      </c>
      <c r="BI72" s="1434" t="str">
        <f>IFERROR(VLOOKUP(CONCATENATE($B$8,"_",$B72),Data!$BO$16:$ES$1015,BI$11,FALSE),"")</f>
        <v/>
      </c>
      <c r="BJ72" s="1428" t="str">
        <f>IFERROR(VLOOKUP(CONCATENATE($B$8,"_",$B72),Data!$BO$16:$ES$1015,BJ$11,FALSE),"")</f>
        <v/>
      </c>
      <c r="BK72" s="1428" t="str">
        <f>IFERROR(VLOOKUP(CONCATENATE($B$8,"_",$B72),Data!$BO$16:$ES$1015,BK$11,FALSE),"")</f>
        <v/>
      </c>
      <c r="BL72" s="1428" t="str">
        <f>IFERROR(VLOOKUP(CONCATENATE($B$8,"_",$B72),Data!$BO$16:$ES$1015,BL$11,FALSE),"")</f>
        <v/>
      </c>
      <c r="BM72" s="1433" t="str">
        <f>IFERROR(VLOOKUP(CONCATENATE($B$8,"_",$B72),Data!$BO$16:$ES$1015,BM$11,FALSE),"")</f>
        <v/>
      </c>
      <c r="BN72" s="1433" t="str">
        <f>IFERROR(VLOOKUP(CONCATENATE($B$8,"_",$B72),Data!$BO$16:$ES$1015,BN$11,FALSE),"")</f>
        <v/>
      </c>
      <c r="BO72" s="1433" t="str">
        <f>IFERROR(VLOOKUP(CONCATENATE($B$8,"_",$B72),Data!$BO$16:$ES$1015,BO$11,FALSE),"")</f>
        <v/>
      </c>
      <c r="BP72" s="1433" t="str">
        <f>IFERROR(VLOOKUP(CONCATENATE($B$8,"_",$B72),Data!$BO$16:$ES$1015,BP$11,FALSE),"")</f>
        <v/>
      </c>
      <c r="BQ72" s="1433" t="str">
        <f>IFERROR(VLOOKUP(CONCATENATE($B$8,"_",$B72),Data!$BO$16:$ES$1015,BQ$11,FALSE),"")</f>
        <v/>
      </c>
      <c r="BR72" s="1434" t="str">
        <f>IFERROR(VLOOKUP(CONCATENATE($B$8,"_",$B72),Data!$BO$16:$ES$1015,BR$11,FALSE),"")</f>
        <v/>
      </c>
      <c r="BS72" s="1434" t="str">
        <f>IFERROR(VLOOKUP(CONCATENATE($B$8,"_",$B72),Data!$BO$16:$ES$1015,BS$11,FALSE),"")</f>
        <v/>
      </c>
      <c r="BT72" s="1434" t="str">
        <f>IFERROR(VLOOKUP(CONCATENATE($B$8,"_",$B72),Data!$BO$16:$ES$1015,BT$11,FALSE),"")</f>
        <v/>
      </c>
      <c r="BU72" s="1434" t="str">
        <f>IFERROR(VLOOKUP(CONCATENATE($B$8,"_",$B72),Data!$BO$16:$ES$1015,BU$11,FALSE),"")</f>
        <v/>
      </c>
      <c r="BV72" s="1434" t="str">
        <f>IFERROR(VLOOKUP(CONCATENATE($B$8,"_",$B72),Data!$BO$16:$ES$1015,BV$11,FALSE),"")</f>
        <v/>
      </c>
      <c r="BW72" s="1434" t="str">
        <f>IFERROR(VLOOKUP(CONCATENATE($B$8,"_",$B72),Data!$BO$16:$ES$1015,BW$11,FALSE),"")</f>
        <v/>
      </c>
      <c r="BX72" s="1434" t="str">
        <f>IFERROR(VLOOKUP(CONCATENATE($B$8,"_",$B72),Data!$BO$16:$ES$1015,BX$11,FALSE),"")</f>
        <v/>
      </c>
      <c r="BY72" s="1428" t="str">
        <f>IFERROR(VLOOKUP(CONCATENATE($B$8,"_",$B72),Data!$BO$16:$ES$1015,BY$11,FALSE),"")</f>
        <v/>
      </c>
      <c r="BZ72" s="1428" t="str">
        <f>IFERROR(VLOOKUP(CONCATENATE($B$8,"_",$B72),Data!$BO$16:$ES$1015,BZ$11,FALSE),"")</f>
        <v/>
      </c>
      <c r="CA72" s="1428" t="str">
        <f>IFERROR(VLOOKUP(CONCATENATE($B$8,"_",$B72),Data!$BO$16:$ES$1015,CA$11,FALSE),"")</f>
        <v/>
      </c>
      <c r="CB72" s="1428" t="str">
        <f>IFERROR(VLOOKUP(CONCATENATE($B$8,"_",$B72),Data!$BO$16:$ES$1015,CB$11,FALSE),"")</f>
        <v/>
      </c>
      <c r="CC72" s="1428" t="str">
        <f>IFERROR(VLOOKUP(CONCATENATE($B$8,"_",$B72),Data!$BO$16:$ES$1015,CC$11,FALSE),"")</f>
        <v/>
      </c>
      <c r="CD72" s="1428" t="str">
        <f>IFERROR(VLOOKUP(CONCATENATE($B$8,"_",$B72),Data!$BO$16:$ES$1015,CD$11,FALSE),"")</f>
        <v/>
      </c>
      <c r="CE72" s="1428" t="str">
        <f>IFERROR(VLOOKUP(CONCATENATE($B$8,"_",$B72),Data!$BO$16:$ES$1015,CE$11,FALSE),"")</f>
        <v/>
      </c>
      <c r="CF72" s="1428" t="str">
        <f>IFERROR(VLOOKUP(CONCATENATE($B$8,"_",$B72),Data!$BO$16:$ES$1015,CF$11,FALSE),"")</f>
        <v/>
      </c>
      <c r="CG72" s="1428" t="str">
        <f>IFERROR(VLOOKUP(CONCATENATE($B$8,"_",$B72),Data!$BO$16:$ES$1015,CG$11,FALSE),"")</f>
        <v/>
      </c>
      <c r="CH72" s="1428" t="str">
        <f>IFERROR(VLOOKUP(CONCATENATE($B$8,"_",$B72),Data!$BO$16:$ES$1015,CH$11,FALSE),"")</f>
        <v/>
      </c>
      <c r="CI72" s="1428" t="str">
        <f>IFERROR(VLOOKUP(CONCATENATE($B$8,"_",$B72),Data!$BO$16:$ES$1015,CI$11,FALSE),"")</f>
        <v/>
      </c>
      <c r="CJ72" s="1428" t="str">
        <f>IFERROR(VLOOKUP(CONCATENATE($B$8,"_",$B72),Data!$BO$16:$ES$1015,CJ$11,FALSE),"")</f>
        <v/>
      </c>
      <c r="CK72" s="1428" t="str">
        <f>IFERROR(VLOOKUP(CONCATENATE($B$8,"_",$B72),Data!$BO$16:$ES$1015,CK$11,FALSE),"")</f>
        <v/>
      </c>
      <c r="CL72" s="1428" t="str">
        <f>IFERROR(VLOOKUP(CONCATENATE($B$8,"_",$B72),Data!$BO$16:$ES$1015,CL$11,FALSE),"")</f>
        <v/>
      </c>
      <c r="CM72" s="1428" t="str">
        <f>IFERROR(VLOOKUP(CONCATENATE($B$8,"_",$B72),Data!$BO$16:$ES$1015,CM$11,FALSE),"")</f>
        <v/>
      </c>
      <c r="CN72" s="1428" t="str">
        <f>IFERROR(VLOOKUP(CONCATENATE($B$8,"_",$B72),Data!$BO$16:$ES$1015,CN$11,FALSE),"")</f>
        <v/>
      </c>
      <c r="CO72" s="1428" t="str">
        <f>IFERROR(VLOOKUP(CONCATENATE($B$8,"_",$B72),Data!$BO$16:$ES$1015,CO$11,FALSE),"")</f>
        <v/>
      </c>
      <c r="CP72" s="1433" t="str">
        <f>IFERROR(VLOOKUP(CONCATENATE($B$8,"_",$B72),Data!$BO$16:$ES$1015,CP$11,FALSE),"")</f>
        <v/>
      </c>
      <c r="CQ72" s="1433" t="str">
        <f>IFERROR(VLOOKUP(CONCATENATE($B$8,"_",$B72),Data!$BO$16:$ES$1015,CQ$11,FALSE),"")</f>
        <v/>
      </c>
      <c r="CR72" s="1433" t="str">
        <f>IFERROR(VLOOKUP(CONCATENATE($B$8,"_",$B72),Data!$BO$16:$ES$1015,CR$11,FALSE),"")</f>
        <v/>
      </c>
      <c r="CS72" s="1433" t="str">
        <f>IFERROR(VLOOKUP(CONCATENATE($B$8,"_",$B72),Data!$BO$16:$ES$1015,CS$11,FALSE),"")</f>
        <v/>
      </c>
      <c r="CT72" s="1433" t="str">
        <f>IFERROR(VLOOKUP(CONCATENATE($B$8,"_",$B72),Data!$BO$16:$ES$1015,CT$11,FALSE),"")</f>
        <v/>
      </c>
      <c r="CU72" s="1433" t="str">
        <f>IFERROR(VLOOKUP(CONCATENATE($B$8,"_",$B72),Data!$BO$16:$ES$1015,CU$11,FALSE),"")</f>
        <v/>
      </c>
      <c r="CV72" s="1433" t="str">
        <f>IFERROR(VLOOKUP(CONCATENATE($B$8,"_",$B72),Data!$BO$16:$ES$1015,CV$11,FALSE),"")</f>
        <v/>
      </c>
      <c r="CW72" s="1433" t="str">
        <f>IFERROR(VLOOKUP(CONCATENATE($B$8,"_",$B72),Data!$BO$16:$ES$1015,CW$11,FALSE),"")</f>
        <v/>
      </c>
      <c r="CX72" s="1433" t="str">
        <f>IFERROR(VLOOKUP(CONCATENATE($B$8,"_",$B72),Data!$BO$16:$ES$1015,CX$11,FALSE),"")</f>
        <v/>
      </c>
      <c r="CY72" s="1433" t="str">
        <f>IFERROR(VLOOKUP(CONCATENATE($B$8,"_",$B72),Data!$BO$16:$ES$1015,CY$11,FALSE),"")</f>
        <v/>
      </c>
      <c r="CZ72" s="1433" t="str">
        <f>IFERROR(VLOOKUP(CONCATENATE($B$8,"_",$B72),Data!$BO$16:$ES$1015,CZ$11,FALSE),"")</f>
        <v/>
      </c>
      <c r="DA72" s="1433" t="str">
        <f>IFERROR(VLOOKUP(CONCATENATE($B$8,"_",$B72),Data!$BO$16:$ES$1015,DA$11,FALSE),"")</f>
        <v/>
      </c>
      <c r="DB72" s="1433" t="str">
        <f>IFERROR(VLOOKUP(CONCATENATE($B$8,"_",$B72),Data!$BO$16:$ES$1015,DB$11,FALSE),"")</f>
        <v/>
      </c>
      <c r="DC72" s="1433" t="str">
        <f>IFERROR(VLOOKUP(CONCATENATE($B$8,"_",$B72),Data!$BO$16:$ES$1015,DC$11,FALSE),"")</f>
        <v/>
      </c>
      <c r="DD72" s="1433" t="str">
        <f>IFERROR(VLOOKUP(CONCATENATE($B$8,"_",$B72),Data!$BO$16:$ES$1015,DD$11,FALSE),"")</f>
        <v/>
      </c>
      <c r="DE72" s="1433" t="str">
        <f>IFERROR(VLOOKUP(CONCATENATE($B$8,"_",$B72),Data!$BO$16:$ES$1015,DE$11,FALSE),"")</f>
        <v/>
      </c>
      <c r="DF72" s="1433" t="str">
        <f>IFERROR(VLOOKUP(CONCATENATE($B$8,"_",$B72),Data!$BO$16:$ES$1015,DF$11,FALSE),"")</f>
        <v/>
      </c>
      <c r="DG72" s="1433" t="str">
        <f>IFERROR(VLOOKUP(CONCATENATE($B$8,"_",$B72),Data!$BO$16:$ES$1015,DG$11,FALSE),"")</f>
        <v/>
      </c>
      <c r="DH72" s="1433" t="str">
        <f>IFERROR(VLOOKUP(CONCATENATE($B$8,"_",$B72),Data!$BO$16:$ES$1015,DH$11,FALSE),"")</f>
        <v/>
      </c>
      <c r="DI72" s="1433" t="str">
        <f>IFERROR(VLOOKUP(CONCATENATE($B$8,"_",$B72),Data!$BO$16:$ES$1015,DI$11,FALSE),"")</f>
        <v/>
      </c>
      <c r="DJ72" s="1433" t="str">
        <f>IFERROR(VLOOKUP(CONCATENATE($B$8,"_",$B72),Data!$BO$16:$ES$1015,DJ$11,FALSE),"")</f>
        <v/>
      </c>
      <c r="DK72" s="1433" t="str">
        <f>IFERROR(VLOOKUP(CONCATENATE($B$8,"_",$B72),Data!$BO$16:$ES$1015,DK$11,FALSE),"")</f>
        <v/>
      </c>
      <c r="DL72" s="1435" t="str">
        <f>IFERROR(VLOOKUP(CONCATENATE($B$8,"_",$B72),Data!$BO$16:$ES$1015,DL$11,FALSE),"")</f>
        <v/>
      </c>
      <c r="DM72" s="1434" t="str">
        <f>IFERROR(VLOOKUP(CONCATENATE($B$8,"_",$B72),Data!$BO$16:$ES$1015,DM$11,FALSE),"")</f>
        <v/>
      </c>
      <c r="DN72" s="1434" t="str">
        <f>IFERROR(VLOOKUP(CONCATENATE($B$8,"_",$B72),Data!$BO$16:$ES$1015,DN$11,FALSE),"")</f>
        <v/>
      </c>
      <c r="DO72" s="1434" t="str">
        <f>IFERROR(VLOOKUP(CONCATENATE($B$8,"_",$B72),Data!$BO$16:$ES$1015,DO$11,FALSE),"")</f>
        <v/>
      </c>
      <c r="DP72" s="1434" t="str">
        <f>IFERROR(VLOOKUP(CONCATENATE($B$8,"_",$B72),Data!$BO$16:$ES$1015,DP$11,FALSE),"")</f>
        <v/>
      </c>
      <c r="DQ72" s="1434" t="str">
        <f>IFERROR(VLOOKUP(CONCATENATE($B$8,"_",$B72),Data!$BO$16:$ES$1015,DQ$11,FALSE),"")</f>
        <v/>
      </c>
      <c r="DR72" s="1434" t="str">
        <f>IFERROR(VLOOKUP(CONCATENATE($B$8,"_",$B72),Data!$BO$16:$ES$1015,DR$11,FALSE),"")</f>
        <v/>
      </c>
      <c r="DS72" s="1434" t="str">
        <f>IFERROR(VLOOKUP(CONCATENATE($B$8,"_",$B72),Data!$BO$16:$ES$1015,DS$11,FALSE),"")</f>
        <v/>
      </c>
      <c r="DT72" s="1434" t="str">
        <f>IFERROR(VLOOKUP(CONCATENATE($B$8,"_",$B72),Data!$BO$16:$ES$1015,DT$11,FALSE),"")</f>
        <v/>
      </c>
      <c r="DU72" s="1434" t="str">
        <f>IFERROR(VLOOKUP(CONCATENATE($B$8,"_",$B72),Data!$BO$16:$ES$1015,DU$11,FALSE),"")</f>
        <v/>
      </c>
      <c r="DV72" s="1434" t="str">
        <f>IFERROR(VLOOKUP(CONCATENATE($B$8,"_",$B72),Data!$BO$16:$ES$1015,DV$11,FALSE),"")</f>
        <v/>
      </c>
      <c r="DW72" s="1434" t="str">
        <f>IFERROR(VLOOKUP(CONCATENATE($B$8,"_",$B72),Data!$BO$16:$ES$1015,DW$11,FALSE),"")</f>
        <v/>
      </c>
      <c r="DX72" s="1434" t="str">
        <f>IFERROR(VLOOKUP(CONCATENATE($B$8,"_",$B72),Data!$BO$16:$ES$1015,DX$11,FALSE),"")</f>
        <v/>
      </c>
      <c r="DY72" s="1434" t="str">
        <f>IFERROR(VLOOKUP(CONCATENATE($B$8,"_",$B72),Data!$BO$16:$ES$1015,DY$11,FALSE),"")</f>
        <v/>
      </c>
      <c r="DZ72" s="1434" t="str">
        <f>IFERROR(VLOOKUP(CONCATENATE($B$8,"_",$B72),Data!$BO$16:$ES$1015,DZ$11,FALSE),"")</f>
        <v/>
      </c>
      <c r="EA72" s="1434" t="str">
        <f>IFERROR(VLOOKUP(CONCATENATE($B$8,"_",$B72),Data!$BO$16:$ES$1015,EA$11,FALSE),"")</f>
        <v/>
      </c>
      <c r="EB72" s="1434" t="str">
        <f>IFERROR(VLOOKUP(CONCATENATE($B$8,"_",$B72),Data!$BO$16:$ES$1015,EB$11,FALSE),"")</f>
        <v/>
      </c>
      <c r="EC72" s="1434" t="str">
        <f>IFERROR(VLOOKUP(CONCATENATE($B$8,"_",$B72),Data!$BO$16:$ES$1015,EC$11,FALSE),"")</f>
        <v/>
      </c>
      <c r="ED72" s="1434" t="str">
        <f>IFERROR(VLOOKUP(CONCATENATE($B$8,"_",$B72),Data!$BO$16:$ES$1015,ED$11,FALSE),"")</f>
        <v/>
      </c>
      <c r="EE72" s="1434" t="str">
        <f>IFERROR(VLOOKUP(CONCATENATE($B$8,"_",$B72),Data!$BO$16:$ES$1015,EE$11,FALSE),"")</f>
        <v/>
      </c>
      <c r="EF72" s="1434" t="str">
        <f>IFERROR(VLOOKUP(CONCATENATE($B$8,"_",$B72),Data!$BO$16:$ES$1015,EF$11,FALSE),"")</f>
        <v/>
      </c>
      <c r="EG72" s="1434" t="str">
        <f>IFERROR(VLOOKUP(CONCATENATE($B$8,"_",$B72),Data!$BO$16:$ES$1015,EG$11,FALSE),"")</f>
        <v/>
      </c>
      <c r="EH72" s="1434" t="str">
        <f>IFERROR(VLOOKUP(CONCATENATE($B$8,"_",$B72),Data!$BO$16:$ES$1015,EH$11,FALSE),"")</f>
        <v/>
      </c>
      <c r="EI72" s="1434" t="str">
        <f>IFERROR(VLOOKUP(CONCATENATE($B$8,"_",$B72),Data!$BO$16:$ES$1015,EI$11,FALSE),"")</f>
        <v/>
      </c>
      <c r="EK72" s="1437"/>
    </row>
    <row r="73" spans="1:141" s="1436" customFormat="1" ht="15" customHeight="1">
      <c r="A73" s="1438">
        <v>60</v>
      </c>
      <c r="B73" s="1738" t="str">
        <f>IF($B$13+A73&lt;=Progress!$D$18,$B$13+A73,"")</f>
        <v/>
      </c>
      <c r="C73" s="1737" t="str">
        <f>IFERROR(VLOOKUP(CONCATENATE($B$8,"_",$B73),Data!$H$16:$BN$1015,C$11,FALSE),"")</f>
        <v/>
      </c>
      <c r="D73" s="1428" t="str">
        <f>IFERROR(VLOOKUP(CONCATENATE($B$8,"_",$B73),Data!$H$16:$BN$1015,D$11,FALSE),"")</f>
        <v/>
      </c>
      <c r="E73" s="1429" t="str">
        <f>IFERROR(VLOOKUP(CONCATENATE($B$8,"_",$B73),Data!$H$16:$BN$1015,E$11,FALSE),"")</f>
        <v/>
      </c>
      <c r="F73" s="1428" t="str">
        <f>IFERROR(VLOOKUP(CONCATENATE($B$8,"_",$B73),Data!$H$16:$BN$1015,F$11,FALSE),"")</f>
        <v/>
      </c>
      <c r="G73" s="1428" t="str">
        <f>IFERROR(VLOOKUP(CONCATENATE($B$8,"_",$B73),Data!$H$16:$BN$1015,G$11,FALSE),"")</f>
        <v/>
      </c>
      <c r="H73" s="1429" t="str">
        <f>IFERROR(VLOOKUP(CONCATENATE($B$8,"_",$B73),Data!$H$16:$BN$1015,H$11,FALSE),"")</f>
        <v/>
      </c>
      <c r="I73" s="1428" t="str">
        <f>IFERROR(VLOOKUP(CONCATENATE($B$8,"_",$B73),Data!$H$16:$BN$1015,I$11,FALSE),"")</f>
        <v/>
      </c>
      <c r="J73" s="1428" t="str">
        <f>IFERROR(VLOOKUP(CONCATENATE($B$8,"_",$B73),Data!$H$16:$BN$1015,J$11,FALSE),"")</f>
        <v/>
      </c>
      <c r="K73" s="1429" t="str">
        <f>IFERROR(VLOOKUP(CONCATENATE($B$8,"_",$B73),Data!$H$16:$BN$1015,K$11,FALSE),"")</f>
        <v/>
      </c>
      <c r="L73" s="1428" t="str">
        <f>IFERROR(VLOOKUP(CONCATENATE($B$8,"_",$B73),Data!$H$16:$BN$1015,L$11,FALSE),"")</f>
        <v/>
      </c>
      <c r="M73" s="1428" t="str">
        <f>IFERROR(VLOOKUP(CONCATENATE($B$8,"_",$B73),Data!$H$16:$BN$1015,M$11,FALSE),"")</f>
        <v/>
      </c>
      <c r="N73" s="1429" t="str">
        <f>IFERROR(VLOOKUP(CONCATENATE($B$8,"_",$B73),Data!$H$16:$BN$1015,N$11,FALSE),"")</f>
        <v/>
      </c>
      <c r="O73" s="1430" t="str">
        <f>IFERROR(VLOOKUP(CONCATENATE($B$8,"_",$B73),Data!$H$16:$BN$1015,O$11,FALSE),"")</f>
        <v/>
      </c>
      <c r="P73" s="1428" t="str">
        <f>IFERROR(VLOOKUP(CONCATENATE($B$8,"_",$B73),Data!$H$16:$BN$1015,P$11,FALSE),"")</f>
        <v/>
      </c>
      <c r="Q73" s="1428" t="str">
        <f>IFERROR(VLOOKUP(CONCATENATE($B$8,"_",$B73),Data!$H$16:$BN$1015,Q$11,FALSE),"")</f>
        <v/>
      </c>
      <c r="R73" s="1429" t="str">
        <f>IFERROR(VLOOKUP(CONCATENATE($B$8,"_",$B73),Data!$H$16:$BN$1015,R$11,FALSE),"")</f>
        <v/>
      </c>
      <c r="S73" s="1428" t="str">
        <f>IFERROR(VLOOKUP(CONCATENATE($B$8,"_",$B73),Data!$H$16:$BN$1015,S$11,FALSE),"")</f>
        <v/>
      </c>
      <c r="T73" s="1428" t="str">
        <f>IFERROR(VLOOKUP(CONCATENATE($B$8,"_",$B73),Data!$H$16:$BN$1015,T$11,FALSE),"")</f>
        <v/>
      </c>
      <c r="U73" s="1429" t="str">
        <f>IFERROR(VLOOKUP(CONCATENATE($B$8,"_",$B73),Data!$H$16:$BN$1015,U$11,FALSE),"")</f>
        <v/>
      </c>
      <c r="V73" s="1428" t="str">
        <f>IFERROR(VLOOKUP(CONCATENATE($B$8,"_",$B73),Data!$H$16:$BN$1015,V$11,FALSE),"")</f>
        <v/>
      </c>
      <c r="W73" s="1428" t="str">
        <f>IFERROR(VLOOKUP(CONCATENATE($B$8,"_",$B73),Data!$H$16:$BN$1015,W$11,FALSE),"")</f>
        <v/>
      </c>
      <c r="X73" s="1428" t="str">
        <f>IFERROR(VLOOKUP(CONCATENATE($B$8,"_",$B73),Data!$H$16:$BN$1015,X$11,FALSE),"")</f>
        <v/>
      </c>
      <c r="Y73" s="1428" t="str">
        <f>IFERROR(VLOOKUP(CONCATENATE($B$8,"_",$B73),Data!$H$16:$BN$1015,Y$11,FALSE),"")</f>
        <v/>
      </c>
      <c r="Z73" s="1429" t="str">
        <f>IFERROR(VLOOKUP(CONCATENATE($B$8,"_",$B73),Data!$H$16:$BN$1015,Z$11,FALSE),"")</f>
        <v/>
      </c>
      <c r="AA73" s="1428" t="str">
        <f>IFERROR(VLOOKUP(CONCATENATE($B$8,"_",$B73),Data!$H$16:$BN$1015,AA$11,FALSE),"")</f>
        <v/>
      </c>
      <c r="AB73" s="1428" t="str">
        <f>IFERROR(VLOOKUP(CONCATENATE($B$8,"_",$B73),Data!$H$16:$BN$1015,AB$11,FALSE),"")</f>
        <v/>
      </c>
      <c r="AC73" s="1429" t="str">
        <f>IFERROR(VLOOKUP(CONCATENATE($B$8,"_",$B73),Data!$H$16:$BN$1015,AC$11,FALSE),"")</f>
        <v/>
      </c>
      <c r="AD73" s="1428" t="str">
        <f>IFERROR(VLOOKUP(CONCATENATE($B$8,"_",$B73),Data!$H$16:$BN$1015,AD$11,FALSE),"")</f>
        <v/>
      </c>
      <c r="AE73" s="1428" t="str">
        <f>IFERROR(VLOOKUP(CONCATENATE($B$8,"_",$B73),Data!$H$16:$BN$1015,AE$11,FALSE),"")</f>
        <v/>
      </c>
      <c r="AF73" s="1429" t="str">
        <f>IFERROR(VLOOKUP(CONCATENATE($B$8,"_",$B73),Data!$H$16:$BN$1015,AF$11,FALSE),"")</f>
        <v/>
      </c>
      <c r="AG73" s="1428" t="str">
        <f>IFERROR(VLOOKUP(CONCATENATE($B$8,"_",$B73),Data!$H$16:$BN$1015,AG$11,FALSE),"")</f>
        <v/>
      </c>
      <c r="AH73" s="1428" t="str">
        <f>IFERROR(VLOOKUP(CONCATENATE($B$8,"_",$B73),Data!$H$16:$BN$1015,AH$11,FALSE),"")</f>
        <v/>
      </c>
      <c r="AI73" s="1429" t="str">
        <f>IFERROR(VLOOKUP(CONCATENATE($B$8,"_",$B73),Data!$H$16:$BN$1015,AI$11,FALSE),"")</f>
        <v/>
      </c>
      <c r="AJ73" s="1428" t="str">
        <f>IFERROR(VLOOKUP(CONCATENATE($B$8,"_",$B73),Data!$H$16:$BN$1015,AJ$11,FALSE),"")</f>
        <v/>
      </c>
      <c r="AK73" s="1428" t="str">
        <f>IFERROR(VLOOKUP(CONCATENATE($B$8,"_",$B73),Data!$H$16:$BN$1015,AK$11,FALSE),"")</f>
        <v/>
      </c>
      <c r="AL73" s="1429" t="str">
        <f>IFERROR(VLOOKUP(CONCATENATE($B$8,"_",$B73),Data!$H$16:$BN$1015,AL$11,FALSE),"")</f>
        <v/>
      </c>
      <c r="AM73" s="1428" t="str">
        <f>IFERROR(VLOOKUP(CONCATENATE($B$8,"_",$B73),Data!$H$16:$BN$1015,AM$11,FALSE),"")</f>
        <v/>
      </c>
      <c r="AN73" s="1428" t="str">
        <f>IFERROR(VLOOKUP(CONCATENATE($B$8,"_",$B73),Data!$H$16:$BN$1015,AN$11,FALSE),"")</f>
        <v/>
      </c>
      <c r="AO73" s="1430" t="str">
        <f>IFERROR(VLOOKUP(CONCATENATE($B$8,"_",$B73),Data!$H$16:$BN$1015,AO$11,FALSE),"")</f>
        <v/>
      </c>
      <c r="AP73" s="1428" t="str">
        <f>IFERROR(VLOOKUP(CONCATENATE($B$8,"_",$B73),Data!$H$16:$BN$1015,AP$11,FALSE),"")</f>
        <v/>
      </c>
      <c r="AQ73" s="1428" t="str">
        <f>IFERROR(VLOOKUP(CONCATENATE($B$8,"_",$B73),Data!$H$16:$BN$1015,AQ$11,FALSE),"")</f>
        <v/>
      </c>
      <c r="AR73" s="1430" t="str">
        <f>IFERROR(VLOOKUP(CONCATENATE($B$8,"_",$B73),Data!$H$16:$BN$1015,AR$11,FALSE),"")</f>
        <v/>
      </c>
      <c r="AS73" s="1428" t="str">
        <f>IFERROR(VLOOKUP(CONCATENATE($B$8,"_",$B73),Data!$H$16:$BN$1015,AS$11,FALSE),"")</f>
        <v/>
      </c>
      <c r="AT73" s="1428" t="str">
        <f>IFERROR(VLOOKUP(CONCATENATE($B$8,"_",$B73),Data!$H$16:$BN$1015,AT$11,FALSE),"")</f>
        <v/>
      </c>
      <c r="AU73" s="1430" t="str">
        <f>IFERROR(VLOOKUP(CONCATENATE($B$8,"_",$B73),Data!$H$16:$BN$1015,AU$11,FALSE),"")</f>
        <v/>
      </c>
      <c r="AV73" s="1428" t="str">
        <f>IFERROR(VLOOKUP(CONCATENATE($B$8,"_",$B73),Data!$H$16:$BN$1015,AV$11,FALSE),"")</f>
        <v/>
      </c>
      <c r="AW73" s="1428" t="str">
        <f>IFERROR(VLOOKUP(CONCATENATE($B$8,"_",$B73),Data!$H$16:$BN$1015,AW$11,FALSE),"")</f>
        <v/>
      </c>
      <c r="AX73" s="1430" t="str">
        <f>IFERROR(VLOOKUP(CONCATENATE($B$8,"_",$B73),Data!$H$16:$BN$1015,AX$11,FALSE),"")</f>
        <v/>
      </c>
      <c r="AY73" s="1429" t="str">
        <f>IFERROR(VLOOKUP(CONCATENATE($B$8,"_",$B73),Data!$H$16:$BN$1015,AY$11,FALSE),"")</f>
        <v/>
      </c>
      <c r="AZ73" s="1429" t="str">
        <f>IFERROR(VLOOKUP(CONCATENATE($B$8,"_",$B73),Data!$H$16:$BN$1015,AZ$11,FALSE),"")</f>
        <v/>
      </c>
      <c r="BA73" s="1429" t="str">
        <f>IFERROR(VLOOKUP(CONCATENATE($B$8,"_",$B73),Data!$H$16:$BN$1015,BA$11,FALSE),"")</f>
        <v/>
      </c>
      <c r="BB73" s="1429" t="str">
        <f>IFERROR(VLOOKUP(CONCATENATE($B$8,"_",$B73),Data!$H$16:$BN$1015,BB$11,FALSE),"")</f>
        <v/>
      </c>
      <c r="BC73" s="1429" t="str">
        <f>IFERROR(VLOOKUP(CONCATENATE($B$8,"_",$B73),Data!$H$16:$BN$1015,BC$11,FALSE),"")</f>
        <v/>
      </c>
      <c r="BD73" s="1431" t="str">
        <f>IFERROR(VLOOKUP(CONCATENATE($B$8,"_",$B73),Data!$H$16:$BN$1015,BD$11,FALSE),"")</f>
        <v/>
      </c>
      <c r="BE73" s="1439"/>
      <c r="BF73" s="1428" t="str">
        <f>IFERROR(VLOOKUP(CONCATENATE($B$8,"_",$B73),Data!$BO$16:$ES$1015,BF$11,FALSE),"")</f>
        <v/>
      </c>
      <c r="BG73" s="1433" t="str">
        <f>IFERROR(VLOOKUP(CONCATENATE($B$8,"_",$B73),Data!$BO$16:$ES$1015,BG$11,FALSE),"")</f>
        <v/>
      </c>
      <c r="BH73" s="1435" t="str">
        <f>IFERROR(VLOOKUP(CONCATENATE($B$8,"_",$B73),Data!$BO$16:$ES$1015,BH$11,FALSE),"")</f>
        <v/>
      </c>
      <c r="BI73" s="1434" t="str">
        <f>IFERROR(VLOOKUP(CONCATENATE($B$8,"_",$B73),Data!$BO$16:$ES$1015,BI$11,FALSE),"")</f>
        <v/>
      </c>
      <c r="BJ73" s="1428" t="str">
        <f>IFERROR(VLOOKUP(CONCATENATE($B$8,"_",$B73),Data!$BO$16:$ES$1015,BJ$11,FALSE),"")</f>
        <v/>
      </c>
      <c r="BK73" s="1428" t="str">
        <f>IFERROR(VLOOKUP(CONCATENATE($B$8,"_",$B73),Data!$BO$16:$ES$1015,BK$11,FALSE),"")</f>
        <v/>
      </c>
      <c r="BL73" s="1428" t="str">
        <f>IFERROR(VLOOKUP(CONCATENATE($B$8,"_",$B73),Data!$BO$16:$ES$1015,BL$11,FALSE),"")</f>
        <v/>
      </c>
      <c r="BM73" s="1433" t="str">
        <f>IFERROR(VLOOKUP(CONCATENATE($B$8,"_",$B73),Data!$BO$16:$ES$1015,BM$11,FALSE),"")</f>
        <v/>
      </c>
      <c r="BN73" s="1433" t="str">
        <f>IFERROR(VLOOKUP(CONCATENATE($B$8,"_",$B73),Data!$BO$16:$ES$1015,BN$11,FALSE),"")</f>
        <v/>
      </c>
      <c r="BO73" s="1433" t="str">
        <f>IFERROR(VLOOKUP(CONCATENATE($B$8,"_",$B73),Data!$BO$16:$ES$1015,BO$11,FALSE),"")</f>
        <v/>
      </c>
      <c r="BP73" s="1433" t="str">
        <f>IFERROR(VLOOKUP(CONCATENATE($B$8,"_",$B73),Data!$BO$16:$ES$1015,BP$11,FALSE),"")</f>
        <v/>
      </c>
      <c r="BQ73" s="1433" t="str">
        <f>IFERROR(VLOOKUP(CONCATENATE($B$8,"_",$B73),Data!$BO$16:$ES$1015,BQ$11,FALSE),"")</f>
        <v/>
      </c>
      <c r="BR73" s="1434" t="str">
        <f>IFERROR(VLOOKUP(CONCATENATE($B$8,"_",$B73),Data!$BO$16:$ES$1015,BR$11,FALSE),"")</f>
        <v/>
      </c>
      <c r="BS73" s="1434" t="str">
        <f>IFERROR(VLOOKUP(CONCATENATE($B$8,"_",$B73),Data!$BO$16:$ES$1015,BS$11,FALSE),"")</f>
        <v/>
      </c>
      <c r="BT73" s="1434" t="str">
        <f>IFERROR(VLOOKUP(CONCATENATE($B$8,"_",$B73),Data!$BO$16:$ES$1015,BT$11,FALSE),"")</f>
        <v/>
      </c>
      <c r="BU73" s="1434" t="str">
        <f>IFERROR(VLOOKUP(CONCATENATE($B$8,"_",$B73),Data!$BO$16:$ES$1015,BU$11,FALSE),"")</f>
        <v/>
      </c>
      <c r="BV73" s="1434" t="str">
        <f>IFERROR(VLOOKUP(CONCATENATE($B$8,"_",$B73),Data!$BO$16:$ES$1015,BV$11,FALSE),"")</f>
        <v/>
      </c>
      <c r="BW73" s="1434" t="str">
        <f>IFERROR(VLOOKUP(CONCATENATE($B$8,"_",$B73),Data!$BO$16:$ES$1015,BW$11,FALSE),"")</f>
        <v/>
      </c>
      <c r="BX73" s="1434" t="str">
        <f>IFERROR(VLOOKUP(CONCATENATE($B$8,"_",$B73),Data!$BO$16:$ES$1015,BX$11,FALSE),"")</f>
        <v/>
      </c>
      <c r="BY73" s="1428" t="str">
        <f>IFERROR(VLOOKUP(CONCATENATE($B$8,"_",$B73),Data!$BO$16:$ES$1015,BY$11,FALSE),"")</f>
        <v/>
      </c>
      <c r="BZ73" s="1428" t="str">
        <f>IFERROR(VLOOKUP(CONCATENATE($B$8,"_",$B73),Data!$BO$16:$ES$1015,BZ$11,FALSE),"")</f>
        <v/>
      </c>
      <c r="CA73" s="1428" t="str">
        <f>IFERROR(VLOOKUP(CONCATENATE($B$8,"_",$B73),Data!$BO$16:$ES$1015,CA$11,FALSE),"")</f>
        <v/>
      </c>
      <c r="CB73" s="1428" t="str">
        <f>IFERROR(VLOOKUP(CONCATENATE($B$8,"_",$B73),Data!$BO$16:$ES$1015,CB$11,FALSE),"")</f>
        <v/>
      </c>
      <c r="CC73" s="1428" t="str">
        <f>IFERROR(VLOOKUP(CONCATENATE($B$8,"_",$B73),Data!$BO$16:$ES$1015,CC$11,FALSE),"")</f>
        <v/>
      </c>
      <c r="CD73" s="1428" t="str">
        <f>IFERROR(VLOOKUP(CONCATENATE($B$8,"_",$B73),Data!$BO$16:$ES$1015,CD$11,FALSE),"")</f>
        <v/>
      </c>
      <c r="CE73" s="1428" t="str">
        <f>IFERROR(VLOOKUP(CONCATENATE($B$8,"_",$B73),Data!$BO$16:$ES$1015,CE$11,FALSE),"")</f>
        <v/>
      </c>
      <c r="CF73" s="1428" t="str">
        <f>IFERROR(VLOOKUP(CONCATENATE($B$8,"_",$B73),Data!$BO$16:$ES$1015,CF$11,FALSE),"")</f>
        <v/>
      </c>
      <c r="CG73" s="1428" t="str">
        <f>IFERROR(VLOOKUP(CONCATENATE($B$8,"_",$B73),Data!$BO$16:$ES$1015,CG$11,FALSE),"")</f>
        <v/>
      </c>
      <c r="CH73" s="1428" t="str">
        <f>IFERROR(VLOOKUP(CONCATENATE($B$8,"_",$B73),Data!$BO$16:$ES$1015,CH$11,FALSE),"")</f>
        <v/>
      </c>
      <c r="CI73" s="1428" t="str">
        <f>IFERROR(VLOOKUP(CONCATENATE($B$8,"_",$B73),Data!$BO$16:$ES$1015,CI$11,FALSE),"")</f>
        <v/>
      </c>
      <c r="CJ73" s="1428" t="str">
        <f>IFERROR(VLOOKUP(CONCATENATE($B$8,"_",$B73),Data!$BO$16:$ES$1015,CJ$11,FALSE),"")</f>
        <v/>
      </c>
      <c r="CK73" s="1428" t="str">
        <f>IFERROR(VLOOKUP(CONCATENATE($B$8,"_",$B73),Data!$BO$16:$ES$1015,CK$11,FALSE),"")</f>
        <v/>
      </c>
      <c r="CL73" s="1428" t="str">
        <f>IFERROR(VLOOKUP(CONCATENATE($B$8,"_",$B73),Data!$BO$16:$ES$1015,CL$11,FALSE),"")</f>
        <v/>
      </c>
      <c r="CM73" s="1428" t="str">
        <f>IFERROR(VLOOKUP(CONCATENATE($B$8,"_",$B73),Data!$BO$16:$ES$1015,CM$11,FALSE),"")</f>
        <v/>
      </c>
      <c r="CN73" s="1428" t="str">
        <f>IFERROR(VLOOKUP(CONCATENATE($B$8,"_",$B73),Data!$BO$16:$ES$1015,CN$11,FALSE),"")</f>
        <v/>
      </c>
      <c r="CO73" s="1428" t="str">
        <f>IFERROR(VLOOKUP(CONCATENATE($B$8,"_",$B73),Data!$BO$16:$ES$1015,CO$11,FALSE),"")</f>
        <v/>
      </c>
      <c r="CP73" s="1433" t="str">
        <f>IFERROR(VLOOKUP(CONCATENATE($B$8,"_",$B73),Data!$BO$16:$ES$1015,CP$11,FALSE),"")</f>
        <v/>
      </c>
      <c r="CQ73" s="1433" t="str">
        <f>IFERROR(VLOOKUP(CONCATENATE($B$8,"_",$B73),Data!$BO$16:$ES$1015,CQ$11,FALSE),"")</f>
        <v/>
      </c>
      <c r="CR73" s="1433" t="str">
        <f>IFERROR(VLOOKUP(CONCATENATE($B$8,"_",$B73),Data!$BO$16:$ES$1015,CR$11,FALSE),"")</f>
        <v/>
      </c>
      <c r="CS73" s="1433" t="str">
        <f>IFERROR(VLOOKUP(CONCATENATE($B$8,"_",$B73),Data!$BO$16:$ES$1015,CS$11,FALSE),"")</f>
        <v/>
      </c>
      <c r="CT73" s="1433" t="str">
        <f>IFERROR(VLOOKUP(CONCATENATE($B$8,"_",$B73),Data!$BO$16:$ES$1015,CT$11,FALSE),"")</f>
        <v/>
      </c>
      <c r="CU73" s="1433" t="str">
        <f>IFERROR(VLOOKUP(CONCATENATE($B$8,"_",$B73),Data!$BO$16:$ES$1015,CU$11,FALSE),"")</f>
        <v/>
      </c>
      <c r="CV73" s="1433" t="str">
        <f>IFERROR(VLOOKUP(CONCATENATE($B$8,"_",$B73),Data!$BO$16:$ES$1015,CV$11,FALSE),"")</f>
        <v/>
      </c>
      <c r="CW73" s="1433" t="str">
        <f>IFERROR(VLOOKUP(CONCATENATE($B$8,"_",$B73),Data!$BO$16:$ES$1015,CW$11,FALSE),"")</f>
        <v/>
      </c>
      <c r="CX73" s="1433" t="str">
        <f>IFERROR(VLOOKUP(CONCATENATE($B$8,"_",$B73),Data!$BO$16:$ES$1015,CX$11,FALSE),"")</f>
        <v/>
      </c>
      <c r="CY73" s="1433" t="str">
        <f>IFERROR(VLOOKUP(CONCATENATE($B$8,"_",$B73),Data!$BO$16:$ES$1015,CY$11,FALSE),"")</f>
        <v/>
      </c>
      <c r="CZ73" s="1433" t="str">
        <f>IFERROR(VLOOKUP(CONCATENATE($B$8,"_",$B73),Data!$BO$16:$ES$1015,CZ$11,FALSE),"")</f>
        <v/>
      </c>
      <c r="DA73" s="1433" t="str">
        <f>IFERROR(VLOOKUP(CONCATENATE($B$8,"_",$B73),Data!$BO$16:$ES$1015,DA$11,FALSE),"")</f>
        <v/>
      </c>
      <c r="DB73" s="1433" t="str">
        <f>IFERROR(VLOOKUP(CONCATENATE($B$8,"_",$B73),Data!$BO$16:$ES$1015,DB$11,FALSE),"")</f>
        <v/>
      </c>
      <c r="DC73" s="1433" t="str">
        <f>IFERROR(VLOOKUP(CONCATENATE($B$8,"_",$B73),Data!$BO$16:$ES$1015,DC$11,FALSE),"")</f>
        <v/>
      </c>
      <c r="DD73" s="1433" t="str">
        <f>IFERROR(VLOOKUP(CONCATENATE($B$8,"_",$B73),Data!$BO$16:$ES$1015,DD$11,FALSE),"")</f>
        <v/>
      </c>
      <c r="DE73" s="1433" t="str">
        <f>IFERROR(VLOOKUP(CONCATENATE($B$8,"_",$B73),Data!$BO$16:$ES$1015,DE$11,FALSE),"")</f>
        <v/>
      </c>
      <c r="DF73" s="1433" t="str">
        <f>IFERROR(VLOOKUP(CONCATENATE($B$8,"_",$B73),Data!$BO$16:$ES$1015,DF$11,FALSE),"")</f>
        <v/>
      </c>
      <c r="DG73" s="1433" t="str">
        <f>IFERROR(VLOOKUP(CONCATENATE($B$8,"_",$B73),Data!$BO$16:$ES$1015,DG$11,FALSE),"")</f>
        <v/>
      </c>
      <c r="DH73" s="1433" t="str">
        <f>IFERROR(VLOOKUP(CONCATENATE($B$8,"_",$B73),Data!$BO$16:$ES$1015,DH$11,FALSE),"")</f>
        <v/>
      </c>
      <c r="DI73" s="1433" t="str">
        <f>IFERROR(VLOOKUP(CONCATENATE($B$8,"_",$B73),Data!$BO$16:$ES$1015,DI$11,FALSE),"")</f>
        <v/>
      </c>
      <c r="DJ73" s="1433" t="str">
        <f>IFERROR(VLOOKUP(CONCATENATE($B$8,"_",$B73),Data!$BO$16:$ES$1015,DJ$11,FALSE),"")</f>
        <v/>
      </c>
      <c r="DK73" s="1433" t="str">
        <f>IFERROR(VLOOKUP(CONCATENATE($B$8,"_",$B73),Data!$BO$16:$ES$1015,DK$11,FALSE),"")</f>
        <v/>
      </c>
      <c r="DL73" s="1435" t="str">
        <f>IFERROR(VLOOKUP(CONCATENATE($B$8,"_",$B73),Data!$BO$16:$ES$1015,DL$11,FALSE),"")</f>
        <v/>
      </c>
      <c r="DM73" s="1434" t="str">
        <f>IFERROR(VLOOKUP(CONCATENATE($B$8,"_",$B73),Data!$BO$16:$ES$1015,DM$11,FALSE),"")</f>
        <v/>
      </c>
      <c r="DN73" s="1434" t="str">
        <f>IFERROR(VLOOKUP(CONCATENATE($B$8,"_",$B73),Data!$BO$16:$ES$1015,DN$11,FALSE),"")</f>
        <v/>
      </c>
      <c r="DO73" s="1434" t="str">
        <f>IFERROR(VLOOKUP(CONCATENATE($B$8,"_",$B73),Data!$BO$16:$ES$1015,DO$11,FALSE),"")</f>
        <v/>
      </c>
      <c r="DP73" s="1434" t="str">
        <f>IFERROR(VLOOKUP(CONCATENATE($B$8,"_",$B73),Data!$BO$16:$ES$1015,DP$11,FALSE),"")</f>
        <v/>
      </c>
      <c r="DQ73" s="1434" t="str">
        <f>IFERROR(VLOOKUP(CONCATENATE($B$8,"_",$B73),Data!$BO$16:$ES$1015,DQ$11,FALSE),"")</f>
        <v/>
      </c>
      <c r="DR73" s="1434" t="str">
        <f>IFERROR(VLOOKUP(CONCATENATE($B$8,"_",$B73),Data!$BO$16:$ES$1015,DR$11,FALSE),"")</f>
        <v/>
      </c>
      <c r="DS73" s="1434" t="str">
        <f>IFERROR(VLOOKUP(CONCATENATE($B$8,"_",$B73),Data!$BO$16:$ES$1015,DS$11,FALSE),"")</f>
        <v/>
      </c>
      <c r="DT73" s="1434" t="str">
        <f>IFERROR(VLOOKUP(CONCATENATE($B$8,"_",$B73),Data!$BO$16:$ES$1015,DT$11,FALSE),"")</f>
        <v/>
      </c>
      <c r="DU73" s="1434" t="str">
        <f>IFERROR(VLOOKUP(CONCATENATE($B$8,"_",$B73),Data!$BO$16:$ES$1015,DU$11,FALSE),"")</f>
        <v/>
      </c>
      <c r="DV73" s="1434" t="str">
        <f>IFERROR(VLOOKUP(CONCATENATE($B$8,"_",$B73),Data!$BO$16:$ES$1015,DV$11,FALSE),"")</f>
        <v/>
      </c>
      <c r="DW73" s="1434" t="str">
        <f>IFERROR(VLOOKUP(CONCATENATE($B$8,"_",$B73),Data!$BO$16:$ES$1015,DW$11,FALSE),"")</f>
        <v/>
      </c>
      <c r="DX73" s="1434" t="str">
        <f>IFERROR(VLOOKUP(CONCATENATE($B$8,"_",$B73),Data!$BO$16:$ES$1015,DX$11,FALSE),"")</f>
        <v/>
      </c>
      <c r="DY73" s="1434" t="str">
        <f>IFERROR(VLOOKUP(CONCATENATE($B$8,"_",$B73),Data!$BO$16:$ES$1015,DY$11,FALSE),"")</f>
        <v/>
      </c>
      <c r="DZ73" s="1434" t="str">
        <f>IFERROR(VLOOKUP(CONCATENATE($B$8,"_",$B73),Data!$BO$16:$ES$1015,DZ$11,FALSE),"")</f>
        <v/>
      </c>
      <c r="EA73" s="1434" t="str">
        <f>IFERROR(VLOOKUP(CONCATENATE($B$8,"_",$B73),Data!$BO$16:$ES$1015,EA$11,FALSE),"")</f>
        <v/>
      </c>
      <c r="EB73" s="1434" t="str">
        <f>IFERROR(VLOOKUP(CONCATENATE($B$8,"_",$B73),Data!$BO$16:$ES$1015,EB$11,FALSE),"")</f>
        <v/>
      </c>
      <c r="EC73" s="1434" t="str">
        <f>IFERROR(VLOOKUP(CONCATENATE($B$8,"_",$B73),Data!$BO$16:$ES$1015,EC$11,FALSE),"")</f>
        <v/>
      </c>
      <c r="ED73" s="1434" t="str">
        <f>IFERROR(VLOOKUP(CONCATENATE($B$8,"_",$B73),Data!$BO$16:$ES$1015,ED$11,FALSE),"")</f>
        <v/>
      </c>
      <c r="EE73" s="1434" t="str">
        <f>IFERROR(VLOOKUP(CONCATENATE($B$8,"_",$B73),Data!$BO$16:$ES$1015,EE$11,FALSE),"")</f>
        <v/>
      </c>
      <c r="EF73" s="1434" t="str">
        <f>IFERROR(VLOOKUP(CONCATENATE($B$8,"_",$B73),Data!$BO$16:$ES$1015,EF$11,FALSE),"")</f>
        <v/>
      </c>
      <c r="EG73" s="1434" t="str">
        <f>IFERROR(VLOOKUP(CONCATENATE($B$8,"_",$B73),Data!$BO$16:$ES$1015,EG$11,FALSE),"")</f>
        <v/>
      </c>
      <c r="EH73" s="1434" t="str">
        <f>IFERROR(VLOOKUP(CONCATENATE($B$8,"_",$B73),Data!$BO$16:$ES$1015,EH$11,FALSE),"")</f>
        <v/>
      </c>
      <c r="EI73" s="1434" t="str">
        <f>IFERROR(VLOOKUP(CONCATENATE($B$8,"_",$B73),Data!$BO$16:$ES$1015,EI$11,FALSE),"")</f>
        <v/>
      </c>
      <c r="EK73" s="1437"/>
    </row>
    <row r="74" spans="1:141" ht="15" customHeight="1">
      <c r="A74" s="1191"/>
    </row>
    <row r="75" spans="1:141" ht="15" hidden="1" customHeight="1"/>
    <row r="76" spans="1:141" ht="15" hidden="1" customHeight="1"/>
    <row r="77" spans="1:141" ht="15" hidden="1" customHeight="1"/>
    <row r="78" spans="1:141" ht="15" hidden="1" customHeight="1"/>
    <row r="79" spans="1:141" ht="15" hidden="1" customHeight="1"/>
    <row r="80" spans="1:141" ht="15" hidden="1" customHeight="1"/>
    <row r="81" ht="15" hidden="1" customHeight="1"/>
    <row r="82" ht="15" hidden="1" customHeight="1"/>
    <row r="83" ht="15" hidden="1" customHeight="1"/>
    <row r="84" ht="15" hidden="1" customHeight="1"/>
    <row r="85" ht="15" hidden="1" customHeight="1"/>
    <row r="86" ht="15" hidden="1" customHeight="1"/>
    <row r="87" ht="15" hidden="1" customHeight="1"/>
    <row r="88" ht="15" hidden="1" customHeight="1"/>
    <row r="89" ht="15" hidden="1" customHeight="1"/>
    <row r="90" ht="15" hidden="1" customHeight="1"/>
    <row r="91" ht="15" hidden="1" customHeight="1"/>
    <row r="92" ht="15" hidden="1" customHeight="1"/>
    <row r="93" ht="15" hidden="1" customHeight="1"/>
    <row r="94" ht="15" hidden="1" customHeight="1"/>
    <row r="95" ht="15" hidden="1" customHeight="1"/>
    <row r="96" ht="15" hidden="1" customHeight="1"/>
    <row r="97" ht="15" hidden="1" customHeight="1"/>
    <row r="98" ht="15" hidden="1" customHeight="1"/>
    <row r="99" ht="15" hidden="1" customHeight="1"/>
    <row r="100" ht="15" hidden="1" customHeight="1"/>
    <row r="101" ht="15" hidden="1" customHeight="1"/>
    <row r="102" ht="15" hidden="1" customHeight="1"/>
    <row r="103" ht="15" hidden="1" customHeight="1"/>
    <row r="104" ht="15" hidden="1" customHeight="1"/>
    <row r="105" ht="15" hidden="1" customHeight="1"/>
    <row r="106" ht="15" hidden="1" customHeight="1"/>
    <row r="107" ht="15" hidden="1" customHeight="1"/>
    <row r="108" ht="15" hidden="1" customHeight="1"/>
    <row r="109" ht="15" hidden="1" customHeight="1"/>
    <row r="110" ht="15" hidden="1" customHeight="1"/>
  </sheetData>
  <sheetProtection password="892F" sheet="1" objects="1" scenarios="1" selectLockedCells="1" selectUnlockedCells="1"/>
  <mergeCells count="17">
    <mergeCell ref="J3:K3"/>
    <mergeCell ref="T3:U3"/>
    <mergeCell ref="P3:Q3"/>
    <mergeCell ref="R3:S3"/>
    <mergeCell ref="B2:B3"/>
    <mergeCell ref="C2:C3"/>
    <mergeCell ref="D2:E2"/>
    <mergeCell ref="N2:O2"/>
    <mergeCell ref="D3:E3"/>
    <mergeCell ref="L3:M3"/>
    <mergeCell ref="N3:O3"/>
    <mergeCell ref="F2:G2"/>
    <mergeCell ref="H2:I2"/>
    <mergeCell ref="J2:K2"/>
    <mergeCell ref="L2:M2"/>
    <mergeCell ref="F3:G3"/>
    <mergeCell ref="H3:I3"/>
  </mergeCells>
  <hyperlinks>
    <hyperlink ref="H3" location="Benchmark!A1" display="Benchmarking"/>
    <hyperlink ref="G3" location="Progress!A1" display="Progress!A1"/>
    <hyperlink ref="F3" location="Progress!A1" display="Progress"/>
    <hyperlink ref="D3" location="Data!A1" display="Data"/>
    <hyperlink ref="E3" location="Data!A1" display="Data!A1"/>
    <hyperlink ref="I3" location="Benchmark!A1" display="Benchmark!A1"/>
    <hyperlink ref="J3" location="'Heat map'!A1" display="Heat map"/>
    <hyperlink ref="K3" location="'Heat map'!A1" display="'Heat map'!A1"/>
    <hyperlink ref="L3" location="Overview_2!A1" display="Overview"/>
    <hyperlink ref="M3" location="Overview_2!A1" display="Overview_2!A1"/>
    <hyperlink ref="N3" location="Output!A1" display="Output"/>
    <hyperlink ref="O3" location="Output!A1" display="Output!A1"/>
  </hyperlinks>
  <pageMargins left="0.25" right="0.25" top="0.75" bottom="0.75" header="0.3" footer="0.3"/>
  <pageSetup paperSize="9" scale="10" orientation="portrait" horizontalDpi="4294967292" verticalDpi="4294967292"/>
  <headerFooter>
    <oddHeader>&amp;CTable 4.1</oddHeader>
  </headerFooter>
  <ignoredErrors>
    <ignoredError sqref="C13:BD73 BF26:EI73 BM13:EI13 BF13:BL13" emptyCellReference="1"/>
  </ignoredErrors>
  <drawing r:id="rId1"/>
  <extLst>
    <ext xmlns:mx="http://schemas.microsoft.com/office/mac/excel/2008/main" uri="{64002731-A6B0-56B0-2670-7721B7C09600}">
      <mx:PLV Mode="0" OnePage="0" WScale="71"/>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4"/>
  </sheetPr>
  <dimension ref="A1:ER70"/>
  <sheetViews>
    <sheetView showRowColHeaders="0" workbookViewId="0">
      <selection activeCell="I61" sqref="I61"/>
    </sheetView>
  </sheetViews>
  <sheetFormatPr baseColWidth="10" defaultRowHeight="15" x14ac:dyDescent="0"/>
  <cols>
    <col min="1" max="1" width="4.83203125" style="15" customWidth="1"/>
    <col min="2" max="25" width="12.83203125" style="15" customWidth="1"/>
    <col min="26" max="16384" width="10.83203125" style="15"/>
  </cols>
  <sheetData>
    <row r="1" spans="1:148" s="498" customFormat="1">
      <c r="V1" s="499"/>
      <c r="W1" s="499"/>
      <c r="X1" s="499"/>
      <c r="Y1" s="500"/>
      <c r="Z1" s="500"/>
      <c r="AA1" s="500"/>
      <c r="BE1" s="1182"/>
      <c r="EK1" s="1184"/>
    </row>
    <row r="2" spans="1:148" s="464" customFormat="1" ht="31" customHeight="1">
      <c r="A2" s="494"/>
      <c r="B2" s="1817" t="s">
        <v>1965</v>
      </c>
      <c r="C2" s="1819"/>
      <c r="D2" s="2653" t="s">
        <v>1555</v>
      </c>
      <c r="E2" s="2653"/>
      <c r="F2" s="2654" t="s">
        <v>1563</v>
      </c>
      <c r="G2" s="2655"/>
      <c r="H2" s="2654" t="s">
        <v>794</v>
      </c>
      <c r="I2" s="2655"/>
      <c r="J2" s="2654" t="s">
        <v>1570</v>
      </c>
      <c r="K2" s="2655"/>
      <c r="L2" s="2654" t="s">
        <v>1564</v>
      </c>
      <c r="M2" s="2655"/>
      <c r="N2" s="2664" t="s">
        <v>1602</v>
      </c>
      <c r="O2" s="2664"/>
      <c r="P2" s="1472"/>
      <c r="Q2" s="1472"/>
      <c r="R2" s="1472"/>
      <c r="S2" s="1472"/>
      <c r="T2" s="496"/>
      <c r="U2" s="496"/>
      <c r="V2" s="494"/>
      <c r="W2" s="494"/>
      <c r="X2" s="494"/>
      <c r="Y2" s="494"/>
      <c r="Z2" s="494"/>
      <c r="AA2" s="494"/>
      <c r="AB2" s="494"/>
      <c r="AC2" s="494"/>
      <c r="AD2" s="494"/>
      <c r="AE2" s="494"/>
      <c r="AF2" s="494"/>
      <c r="AG2" s="494"/>
      <c r="AH2" s="494"/>
      <c r="AI2" s="494"/>
      <c r="AJ2" s="494"/>
      <c r="AK2" s="494"/>
      <c r="AL2" s="494"/>
      <c r="AM2" s="494"/>
      <c r="AN2" s="494"/>
      <c r="AO2" s="494"/>
      <c r="AP2" s="494"/>
      <c r="AQ2" s="494"/>
      <c r="AR2" s="494"/>
      <c r="AS2" s="494"/>
      <c r="AT2" s="494"/>
      <c r="AU2" s="494"/>
      <c r="AV2" s="494"/>
      <c r="AW2" s="494"/>
      <c r="AX2" s="494"/>
      <c r="AY2" s="494"/>
      <c r="AZ2" s="494"/>
      <c r="BA2" s="494"/>
      <c r="BB2" s="494"/>
      <c r="BC2" s="494"/>
      <c r="BD2" s="494"/>
      <c r="BE2" s="494"/>
      <c r="BF2" s="494"/>
      <c r="BG2" s="494"/>
      <c r="BH2" s="494"/>
      <c r="BI2" s="494"/>
      <c r="BJ2" s="494"/>
      <c r="BK2" s="494"/>
      <c r="BL2" s="494"/>
      <c r="BM2" s="494"/>
      <c r="BN2" s="494"/>
      <c r="BO2" s="494"/>
      <c r="BP2" s="494"/>
      <c r="BQ2" s="494"/>
      <c r="BR2" s="494"/>
      <c r="BS2" s="494"/>
      <c r="BT2" s="494"/>
      <c r="BU2" s="494"/>
      <c r="BV2" s="494"/>
      <c r="BW2" s="494"/>
      <c r="BX2" s="494"/>
      <c r="BY2" s="494"/>
      <c r="BZ2" s="494"/>
      <c r="CA2" s="494"/>
      <c r="CB2" s="494"/>
      <c r="CC2" s="494"/>
      <c r="CD2" s="494"/>
      <c r="CE2" s="494"/>
      <c r="CF2" s="494"/>
      <c r="CG2" s="494"/>
      <c r="CH2" s="494"/>
      <c r="CI2" s="494"/>
      <c r="CJ2" s="494"/>
      <c r="CK2" s="494"/>
      <c r="CL2" s="494"/>
      <c r="CM2" s="494"/>
      <c r="CN2" s="494"/>
      <c r="CO2" s="494"/>
      <c r="CP2" s="494"/>
      <c r="CQ2" s="494"/>
      <c r="CR2" s="494"/>
      <c r="CS2" s="494"/>
      <c r="CT2" s="494"/>
      <c r="CU2" s="494"/>
      <c r="CV2" s="494"/>
      <c r="CW2" s="494"/>
      <c r="CX2" s="494"/>
      <c r="CY2" s="494"/>
      <c r="CZ2" s="494"/>
      <c r="DA2" s="494"/>
      <c r="DB2" s="494"/>
      <c r="DC2" s="494"/>
      <c r="DD2" s="494"/>
      <c r="DE2" s="494"/>
      <c r="DF2" s="494"/>
      <c r="DG2" s="494"/>
      <c r="DH2" s="494"/>
      <c r="DI2" s="494"/>
      <c r="DJ2" s="494"/>
      <c r="DK2" s="494"/>
      <c r="DL2" s="494"/>
      <c r="DM2" s="494"/>
      <c r="DN2" s="494"/>
      <c r="DO2" s="494"/>
      <c r="DP2" s="494"/>
      <c r="DQ2" s="494"/>
      <c r="DR2" s="494"/>
      <c r="DS2" s="494"/>
      <c r="DT2" s="494"/>
      <c r="DU2" s="494"/>
      <c r="DV2" s="494"/>
      <c r="DW2" s="494"/>
      <c r="DX2" s="494"/>
      <c r="DY2" s="494"/>
      <c r="DZ2" s="494"/>
      <c r="EA2" s="494"/>
      <c r="EB2" s="494"/>
      <c r="EC2" s="494"/>
      <c r="ED2" s="494"/>
      <c r="EE2" s="494"/>
      <c r="EF2" s="494"/>
      <c r="EG2" s="494"/>
      <c r="EH2" s="494"/>
      <c r="EI2" s="494"/>
      <c r="EJ2" s="494"/>
      <c r="EK2" s="495"/>
      <c r="EL2" s="494"/>
      <c r="EM2" s="494"/>
      <c r="EN2" s="494"/>
      <c r="EO2" s="494"/>
      <c r="EP2" s="494"/>
      <c r="EQ2" s="494"/>
      <c r="ER2" s="494"/>
    </row>
    <row r="3" spans="1:148" s="464" customFormat="1" ht="31" customHeight="1">
      <c r="A3" s="494"/>
      <c r="B3" s="1818"/>
      <c r="C3" s="1820"/>
      <c r="D3" s="1843" t="s">
        <v>722</v>
      </c>
      <c r="E3" s="1844"/>
      <c r="F3" s="1843" t="s">
        <v>1608</v>
      </c>
      <c r="G3" s="1844"/>
      <c r="H3" s="1843" t="s">
        <v>1609</v>
      </c>
      <c r="I3" s="1844"/>
      <c r="J3" s="1843" t="s">
        <v>1909</v>
      </c>
      <c r="K3" s="1844"/>
      <c r="L3" s="1843" t="s">
        <v>1568</v>
      </c>
      <c r="M3" s="1844"/>
      <c r="N3" s="1843" t="s">
        <v>2004</v>
      </c>
      <c r="O3" s="1844"/>
      <c r="P3" s="2663" t="s">
        <v>2019</v>
      </c>
      <c r="Q3" s="2663"/>
      <c r="R3" s="2104" t="s">
        <v>2461</v>
      </c>
      <c r="S3" s="2105"/>
      <c r="T3" s="2104" t="s">
        <v>2608</v>
      </c>
      <c r="U3" s="2105"/>
      <c r="V3" s="2651" t="s">
        <v>2607</v>
      </c>
      <c r="W3" s="2652"/>
      <c r="X3" s="2104" t="s">
        <v>2460</v>
      </c>
      <c r="Y3" s="2105"/>
      <c r="Z3" s="1470" t="s">
        <v>2022</v>
      </c>
      <c r="AA3" s="1471"/>
      <c r="AB3" s="494"/>
      <c r="AC3" s="494"/>
      <c r="AD3" s="494"/>
      <c r="AE3" s="494"/>
      <c r="AF3" s="494"/>
      <c r="AG3" s="494"/>
      <c r="AH3" s="494"/>
      <c r="AI3" s="494"/>
      <c r="AJ3" s="494"/>
      <c r="AK3" s="494"/>
      <c r="AL3" s="494"/>
      <c r="AM3" s="494"/>
      <c r="AN3" s="494"/>
      <c r="AO3" s="494"/>
      <c r="AP3" s="494"/>
      <c r="AQ3" s="494"/>
      <c r="AR3" s="494"/>
      <c r="AS3" s="494"/>
      <c r="AT3" s="494"/>
      <c r="AU3" s="494"/>
      <c r="AV3" s="494"/>
      <c r="AW3" s="494"/>
      <c r="AX3" s="494"/>
      <c r="AY3" s="494"/>
      <c r="AZ3" s="494"/>
      <c r="BA3" s="494"/>
      <c r="BB3" s="494"/>
      <c r="BC3" s="494"/>
      <c r="BD3" s="494"/>
      <c r="BE3" s="494"/>
      <c r="BF3" s="494"/>
      <c r="BG3" s="494"/>
      <c r="BH3" s="494"/>
      <c r="BI3" s="494"/>
      <c r="BJ3" s="494"/>
      <c r="BK3" s="494"/>
      <c r="BL3" s="494"/>
      <c r="BM3" s="494"/>
      <c r="BN3" s="494"/>
      <c r="BO3" s="494"/>
      <c r="BP3" s="494"/>
      <c r="BQ3" s="494"/>
      <c r="BR3" s="494"/>
      <c r="BS3" s="494"/>
      <c r="BT3" s="494"/>
      <c r="BU3" s="494"/>
      <c r="BV3" s="494"/>
      <c r="BW3" s="494"/>
      <c r="BX3" s="494"/>
      <c r="BY3" s="494"/>
      <c r="BZ3" s="494"/>
      <c r="CA3" s="494"/>
      <c r="CB3" s="494"/>
      <c r="CC3" s="494"/>
      <c r="CD3" s="494"/>
      <c r="CE3" s="494"/>
      <c r="CF3" s="494"/>
      <c r="CG3" s="494"/>
      <c r="CH3" s="494"/>
      <c r="CI3" s="494"/>
      <c r="CJ3" s="494"/>
      <c r="CK3" s="494"/>
      <c r="CL3" s="494"/>
      <c r="CM3" s="494"/>
      <c r="CN3" s="494"/>
      <c r="CO3" s="494"/>
      <c r="CP3" s="494"/>
      <c r="CQ3" s="494"/>
      <c r="CR3" s="494"/>
      <c r="CS3" s="494"/>
      <c r="CT3" s="494"/>
      <c r="CU3" s="494"/>
      <c r="CV3" s="494"/>
      <c r="CW3" s="494"/>
      <c r="CX3" s="494"/>
      <c r="CY3" s="494"/>
      <c r="CZ3" s="494"/>
      <c r="DA3" s="494"/>
      <c r="DB3" s="494"/>
      <c r="DC3" s="494"/>
      <c r="DD3" s="494"/>
      <c r="DE3" s="494"/>
      <c r="DF3" s="494"/>
      <c r="DG3" s="494"/>
      <c r="DH3" s="494"/>
      <c r="DI3" s="494"/>
      <c r="DJ3" s="494"/>
      <c r="DK3" s="494"/>
      <c r="DL3" s="494"/>
      <c r="DM3" s="494"/>
      <c r="DN3" s="494"/>
      <c r="DO3" s="494"/>
      <c r="DP3" s="494"/>
      <c r="DQ3" s="494"/>
      <c r="DR3" s="494"/>
      <c r="DS3" s="494"/>
      <c r="DT3" s="494"/>
      <c r="DU3" s="494"/>
      <c r="DV3" s="494"/>
      <c r="DW3" s="494"/>
      <c r="DX3" s="494"/>
      <c r="DY3" s="494"/>
      <c r="DZ3" s="494"/>
      <c r="EA3" s="494"/>
      <c r="EB3" s="494"/>
      <c r="EC3" s="494"/>
      <c r="ED3" s="494"/>
      <c r="EE3" s="494"/>
      <c r="EF3" s="494"/>
      <c r="EG3" s="494"/>
      <c r="EH3" s="494"/>
      <c r="EI3" s="494"/>
      <c r="EJ3" s="494"/>
      <c r="EK3" s="495"/>
      <c r="EL3" s="494"/>
      <c r="EM3" s="494"/>
      <c r="EN3" s="494"/>
      <c r="EO3" s="494"/>
      <c r="EP3" s="494"/>
      <c r="EQ3" s="494"/>
      <c r="ER3" s="494"/>
    </row>
    <row r="4" spans="1:148" s="494" customFormat="1" ht="15" customHeight="1">
      <c r="B4" s="492"/>
      <c r="C4" s="495"/>
      <c r="D4" s="497"/>
      <c r="E4" s="497"/>
      <c r="F4" s="497"/>
      <c r="G4" s="497"/>
      <c r="H4" s="497"/>
      <c r="I4" s="497"/>
      <c r="J4" s="497"/>
      <c r="K4" s="497"/>
      <c r="L4" s="497"/>
      <c r="M4" s="497"/>
      <c r="N4" s="496"/>
      <c r="O4" s="496"/>
      <c r="P4" s="496"/>
      <c r="Q4" s="496"/>
      <c r="R4" s="496"/>
      <c r="S4" s="496"/>
      <c r="T4" s="496"/>
      <c r="U4" s="496"/>
      <c r="EK4" s="495"/>
    </row>
    <row r="5" spans="1:148" s="31" customFormat="1" ht="31" customHeight="1">
      <c r="B5" s="32"/>
      <c r="C5" s="33"/>
      <c r="D5" s="33"/>
      <c r="E5" s="33"/>
      <c r="F5" s="33"/>
      <c r="G5" s="33"/>
      <c r="H5" s="33"/>
      <c r="I5" s="33"/>
      <c r="J5" s="33"/>
      <c r="K5" s="33"/>
      <c r="L5" s="34"/>
      <c r="M5" s="34"/>
      <c r="N5" s="34"/>
      <c r="O5" s="34"/>
      <c r="P5" s="34"/>
      <c r="Q5" s="34"/>
      <c r="AA5" s="26"/>
      <c r="AB5" s="26"/>
      <c r="AC5" s="26"/>
      <c r="AD5" s="26"/>
      <c r="AE5" s="26"/>
      <c r="BE5" s="34"/>
      <c r="EK5" s="26"/>
    </row>
    <row r="6" spans="1:148" s="29" customFormat="1" ht="31" customHeight="1" thickBot="1">
      <c r="A6" s="31"/>
      <c r="B6" s="1385" t="s">
        <v>2727</v>
      </c>
      <c r="C6" s="466"/>
      <c r="D6" s="466"/>
      <c r="E6" s="466"/>
      <c r="F6" s="466"/>
      <c r="G6" s="466"/>
      <c r="H6" s="466"/>
      <c r="I6" s="466"/>
      <c r="J6" s="466"/>
      <c r="K6" s="466"/>
      <c r="L6" s="467"/>
      <c r="M6" s="467"/>
      <c r="N6" s="467"/>
      <c r="O6" s="467"/>
      <c r="P6" s="467"/>
      <c r="Q6" s="467"/>
      <c r="R6" s="468"/>
      <c r="S6" s="468"/>
      <c r="T6" s="468"/>
      <c r="U6" s="468"/>
      <c r="V6" s="468"/>
      <c r="W6" s="468"/>
      <c r="X6" s="468"/>
      <c r="Y6" s="468"/>
      <c r="Z6" s="468"/>
      <c r="AA6" s="468"/>
      <c r="AB6" s="468"/>
      <c r="AC6" s="468"/>
      <c r="AD6" s="468"/>
      <c r="AE6" s="468"/>
      <c r="AF6" s="468"/>
      <c r="AG6" s="468"/>
      <c r="AH6" s="468"/>
      <c r="AI6" s="468"/>
      <c r="AJ6" s="468"/>
      <c r="AK6" s="468"/>
      <c r="AL6" s="468"/>
      <c r="AM6" s="468"/>
      <c r="AN6" s="468"/>
      <c r="AO6" s="468"/>
      <c r="AP6" s="468"/>
      <c r="AQ6" s="468"/>
      <c r="AR6" s="468"/>
      <c r="AS6" s="468"/>
      <c r="AT6" s="468"/>
      <c r="AU6" s="468"/>
      <c r="AV6" s="468"/>
      <c r="AW6" s="468"/>
      <c r="AX6" s="468"/>
      <c r="AY6" s="468"/>
      <c r="AZ6" s="468"/>
      <c r="BA6" s="468"/>
      <c r="BB6" s="468"/>
      <c r="BC6" s="468"/>
      <c r="BD6" s="468"/>
      <c r="BE6" s="467"/>
      <c r="BF6" s="468"/>
      <c r="BG6" s="468"/>
      <c r="BH6" s="468"/>
      <c r="BI6" s="468"/>
      <c r="BJ6" s="468"/>
      <c r="BK6" s="468"/>
      <c r="BL6" s="468"/>
      <c r="BM6" s="468"/>
      <c r="BN6" s="468"/>
      <c r="BO6" s="468"/>
      <c r="BP6" s="468"/>
      <c r="BQ6" s="468"/>
      <c r="BR6" s="468"/>
      <c r="BS6" s="468"/>
      <c r="BT6" s="468"/>
      <c r="BU6" s="468"/>
      <c r="BV6" s="468"/>
      <c r="BW6" s="468"/>
      <c r="BX6" s="468"/>
      <c r="BY6" s="468"/>
      <c r="BZ6" s="468"/>
      <c r="CA6" s="468"/>
      <c r="CB6" s="468"/>
      <c r="CC6" s="468"/>
      <c r="CD6" s="468"/>
      <c r="CE6" s="468"/>
      <c r="CF6" s="468"/>
      <c r="CG6" s="468"/>
      <c r="CH6" s="468"/>
      <c r="CI6" s="468"/>
      <c r="CJ6" s="468"/>
      <c r="CK6" s="468"/>
      <c r="CL6" s="468"/>
      <c r="CM6" s="468"/>
      <c r="CN6" s="468"/>
      <c r="CO6" s="468"/>
      <c r="CP6" s="468"/>
      <c r="CQ6" s="468"/>
      <c r="CR6" s="468"/>
      <c r="CS6" s="468"/>
      <c r="CT6" s="468"/>
      <c r="CU6" s="468"/>
      <c r="CV6" s="468"/>
      <c r="CW6" s="468"/>
      <c r="CX6" s="468"/>
      <c r="CY6" s="468"/>
      <c r="CZ6" s="468"/>
      <c r="DA6" s="468"/>
      <c r="DB6" s="468"/>
      <c r="DC6" s="468"/>
      <c r="DD6" s="468"/>
      <c r="DE6" s="468"/>
      <c r="DF6" s="468"/>
      <c r="DG6" s="468"/>
      <c r="DH6" s="468"/>
      <c r="DI6" s="468"/>
      <c r="DJ6" s="468"/>
      <c r="DK6" s="468"/>
      <c r="DL6" s="468"/>
      <c r="DM6" s="468"/>
      <c r="DN6" s="468"/>
      <c r="DO6" s="468"/>
      <c r="DP6" s="468"/>
      <c r="DQ6" s="468"/>
      <c r="DR6" s="468"/>
      <c r="DS6" s="468"/>
      <c r="DT6" s="468"/>
      <c r="DU6" s="468"/>
      <c r="DV6" s="468"/>
      <c r="DW6" s="468"/>
      <c r="DX6" s="468"/>
      <c r="DY6" s="468"/>
      <c r="DZ6" s="468"/>
      <c r="EA6" s="468"/>
      <c r="EB6" s="468"/>
      <c r="EC6" s="468"/>
      <c r="ED6" s="468"/>
      <c r="EE6" s="468"/>
      <c r="EF6" s="468"/>
      <c r="EG6" s="468"/>
      <c r="EH6" s="468"/>
      <c r="EI6" s="468"/>
      <c r="EK6" s="234"/>
    </row>
    <row r="7" spans="1:148" s="29" customFormat="1" ht="15" customHeight="1" thickTop="1">
      <c r="B7" s="229"/>
      <c r="C7" s="230"/>
      <c r="D7" s="230"/>
      <c r="E7" s="230"/>
      <c r="F7" s="230"/>
      <c r="G7" s="230"/>
      <c r="H7" s="230"/>
      <c r="I7" s="230"/>
      <c r="J7" s="230"/>
      <c r="K7" s="230"/>
      <c r="L7" s="30"/>
      <c r="M7" s="30"/>
      <c r="N7" s="30"/>
      <c r="O7" s="30"/>
      <c r="P7" s="30"/>
      <c r="Q7" s="30"/>
      <c r="AA7" s="234"/>
      <c r="AB7" s="234"/>
      <c r="AC7" s="234"/>
      <c r="AD7" s="234"/>
      <c r="AE7" s="234"/>
      <c r="BE7" s="30"/>
      <c r="EK7" s="234"/>
    </row>
    <row r="8" spans="1:148" s="29" customFormat="1" ht="15" customHeight="1">
      <c r="B8" s="229"/>
      <c r="C8" s="1735" t="s">
        <v>174</v>
      </c>
      <c r="D8" s="1735" t="s">
        <v>270</v>
      </c>
      <c r="E8" s="1735" t="s">
        <v>760</v>
      </c>
      <c r="F8" s="1735" t="s">
        <v>761</v>
      </c>
      <c r="G8" s="1735" t="s">
        <v>208</v>
      </c>
      <c r="H8" s="1735" t="s">
        <v>209</v>
      </c>
      <c r="I8" s="1735" t="s">
        <v>2606</v>
      </c>
      <c r="J8" s="230"/>
      <c r="K8" s="230"/>
      <c r="L8" s="30"/>
      <c r="M8" s="30"/>
      <c r="N8" s="30"/>
      <c r="O8" s="30"/>
      <c r="P8" s="30"/>
      <c r="Q8" s="30"/>
      <c r="AA8" s="234"/>
      <c r="AB8" s="234"/>
      <c r="AC8" s="234"/>
      <c r="AD8" s="234"/>
      <c r="AE8" s="234"/>
      <c r="BE8" s="30"/>
      <c r="EK8" s="234"/>
    </row>
    <row r="9" spans="1:148">
      <c r="A9" s="1734">
        <v>1</v>
      </c>
      <c r="B9" s="339">
        <f>Data_4a!B13</f>
        <v>2000</v>
      </c>
      <c r="C9" s="417">
        <f>IF(Progress!D17="",Progress!D16,Progress!D17)</f>
        <v>11057020.161364088</v>
      </c>
      <c r="D9" s="417">
        <f>IF(Progress!F13="Scenario",VLOOKUP($B9,Data_4a!$BE$13:$BQ$73,6,FALSE),IF(Progress!F17="",Progress!F16,Progress!F17))</f>
        <v>5937834.7268060381</v>
      </c>
      <c r="E9" s="417">
        <f>IF(Progress!H13="Scenario",VLOOKUP($B9,Data_4a!$BE$13:$BQ$73,7,FALSE),IF(Progress!H17="",Progress!H16,Progress!H17))</f>
        <v>3455392.7964259563</v>
      </c>
      <c r="F9" s="417">
        <f>IF(Progress!J13="Scenario",VLOOKUP($B9,Data_4a!$BE$13:$BQ$73,8,FALSE),IF(Progress!J17="",Progress!J16,Progress!J17))</f>
        <v>1663792.6381320932</v>
      </c>
      <c r="G9" s="417" t="str">
        <f>IF(Progress!N9="BASIC+",IF(Progress!L17="",Progress!L16,Progress!L17),"")</f>
        <v/>
      </c>
      <c r="H9" s="417" t="str">
        <f>IF(Progress!N9="BASIC+",IF(Progress!N17="",Progress!N16,Progress!N17),"")</f>
        <v/>
      </c>
      <c r="I9" s="417" t="str">
        <f>IF(Progress!D$19="","",IF(B9=Progress!$D$18,Data_4b!$C$9*(100-Progress!D$19)/100,""))</f>
        <v/>
      </c>
      <c r="J9" s="284"/>
    </row>
    <row r="10" spans="1:148">
      <c r="A10" s="1734">
        <v>2</v>
      </c>
      <c r="B10" s="339">
        <f>Data_4a!B14</f>
        <v>2001</v>
      </c>
      <c r="C10" s="862">
        <f>VLOOKUP($B10,Data_4a!$BE$13:$BQ$73,2,FALSE)</f>
        <v>10619165.146137672</v>
      </c>
      <c r="D10" s="862">
        <f>VLOOKUP($B10,Data_4a!$BE$13:$BQ$73,6,FALSE)</f>
        <v>5356910.321424311</v>
      </c>
      <c r="E10" s="862">
        <f>VLOOKUP($B10,Data_4a!$BE$13:$BQ$73,7,FALSE)</f>
        <v>3593863.5685165208</v>
      </c>
      <c r="F10" s="862">
        <f>VLOOKUP($B10,Data_4a!$BE$13:$BQ$73,8,FALSE)</f>
        <v>1668391.2561968388</v>
      </c>
      <c r="G10" s="862" t="str">
        <f>IF(Progress!N9="BASIC+",VLOOKUP($B10,Data_4a!$BE$13:$BQ$73,12,FALSE),"")</f>
        <v/>
      </c>
      <c r="H10" s="862" t="str">
        <f>IF(Progress!N9="BASIC+",VLOOKUP($B10,Data_4a!$BE$13:$BQ$73,13,FALSE),"")</f>
        <v/>
      </c>
      <c r="I10" s="417" t="str">
        <f>IF(Progress!D$19="","",IF(B10=Progress!$D$18,Data_4b!$C$9*(100-Progress!D$19)/100,""))</f>
        <v/>
      </c>
    </row>
    <row r="11" spans="1:148">
      <c r="A11" s="1734">
        <v>3</v>
      </c>
      <c r="B11" s="339">
        <f>Data_4a!B15</f>
        <v>2002</v>
      </c>
      <c r="C11" s="862">
        <f>VLOOKUP($B11,Data_4a!$BE$13:$BQ$73,2,FALSE)</f>
        <v>10083642.440074343</v>
      </c>
      <c r="D11" s="862">
        <f>VLOOKUP($B11,Data_4a!$BE$13:$BQ$73,6,FALSE)</f>
        <v>4920970.0677615916</v>
      </c>
      <c r="E11" s="862">
        <f>VLOOKUP($B11,Data_4a!$BE$13:$BQ$73,7,FALSE)</f>
        <v>3487261.772628325</v>
      </c>
      <c r="F11" s="862">
        <f>VLOOKUP($B11,Data_4a!$BE$13:$BQ$73,8,FALSE)</f>
        <v>1675410.5996844266</v>
      </c>
      <c r="G11" s="862" t="str">
        <f>IF(Progress!N10="BASIC+",VLOOKUP($B11,Data_4a!$BE$13:$BQ$73,12,FALSE),"")</f>
        <v/>
      </c>
      <c r="H11" s="862" t="str">
        <f>IF(Progress!N10="BASIC+",VLOOKUP($B11,Data_4a!$BE$13:$BQ$73,13,FALSE),"")</f>
        <v/>
      </c>
      <c r="I11" s="417" t="str">
        <f>IF(Progress!D$19="","",IF(B11=Progress!$D$18,Data_4b!$C$9*(100-Progress!D$19)/100,""))</f>
        <v/>
      </c>
    </row>
    <row r="12" spans="1:148">
      <c r="A12" s="1734">
        <v>4</v>
      </c>
      <c r="B12" s="339">
        <f>Data_4a!B16</f>
        <v>2003</v>
      </c>
      <c r="C12" s="862">
        <f>VLOOKUP($B12,Data_4a!$BE$13:$BQ$73,2,FALSE)</f>
        <v>10705140.408090981</v>
      </c>
      <c r="D12" s="862">
        <f>VLOOKUP($B12,Data_4a!$BE$13:$BQ$73,6,FALSE)</f>
        <v>5479268.6676445641</v>
      </c>
      <c r="E12" s="862">
        <f>VLOOKUP($B12,Data_4a!$BE$13:$BQ$73,7,FALSE)</f>
        <v>3575510.2153425352</v>
      </c>
      <c r="F12" s="862">
        <f>VLOOKUP($B12,Data_4a!$BE$13:$BQ$73,8,FALSE)</f>
        <v>1650361.5251038815</v>
      </c>
      <c r="G12" s="862" t="str">
        <f>IF(Progress!N11="BASIC+",VLOOKUP($B12,Data_4a!$BE$13:$BQ$73,12,FALSE),"")</f>
        <v/>
      </c>
      <c r="H12" s="862" t="str">
        <f>IF(Progress!N11="BASIC+",VLOOKUP($B12,Data_4a!$BE$13:$BQ$73,13,FALSE),"")</f>
        <v/>
      </c>
      <c r="I12" s="417" t="str">
        <f>IF(Progress!D$19="","",IF(B12=Progress!$D$18,Data_4b!$C$9*(100-Progress!D$19)/100,""))</f>
        <v/>
      </c>
    </row>
    <row r="13" spans="1:148">
      <c r="A13" s="1734">
        <v>5</v>
      </c>
      <c r="B13" s="339">
        <f>Data_4a!B17</f>
        <v>2004</v>
      </c>
      <c r="C13" s="862">
        <f>VLOOKUP($B13,Data_4a!$BE$13:$BQ$73,2,FALSE)</f>
        <v>11492856.970562156</v>
      </c>
      <c r="D13" s="862">
        <f>VLOOKUP($B13,Data_4a!$BE$13:$BQ$73,6,FALSE)</f>
        <v>6317377.8287884407</v>
      </c>
      <c r="E13" s="862">
        <f>VLOOKUP($B13,Data_4a!$BE$13:$BQ$73,7,FALSE)</f>
        <v>3544821.8676974261</v>
      </c>
      <c r="F13" s="862">
        <f>VLOOKUP($B13,Data_4a!$BE$13:$BQ$73,8,FALSE)</f>
        <v>1630657.2740762897</v>
      </c>
      <c r="G13" s="862" t="str">
        <f>IF(Progress!N12="BASIC+",VLOOKUP($B13,Data_4a!$BE$13:$BQ$73,12,FALSE),"")</f>
        <v/>
      </c>
      <c r="H13" s="862" t="str">
        <f>IF(Progress!N12="BASIC+",VLOOKUP($B13,Data_4a!$BE$13:$BQ$73,13,FALSE),"")</f>
        <v/>
      </c>
      <c r="I13" s="417" t="str">
        <f>IF(Progress!D$19="","",IF(B13=Progress!$D$18,Data_4b!$C$9*(100-Progress!D$19)/100,""))</f>
        <v/>
      </c>
    </row>
    <row r="14" spans="1:148">
      <c r="A14" s="1734">
        <v>6</v>
      </c>
      <c r="B14" s="339">
        <f>Data_4a!B18</f>
        <v>2005</v>
      </c>
      <c r="C14" s="862">
        <f>VLOOKUP($B14,Data_4a!$BE$13:$BQ$73,2,FALSE)</f>
        <v>11440872.066532677</v>
      </c>
      <c r="D14" s="862">
        <f>VLOOKUP($B14,Data_4a!$BE$13:$BQ$73,6,FALSE)</f>
        <v>6377457.3421082143</v>
      </c>
      <c r="E14" s="862">
        <f>VLOOKUP($B14,Data_4a!$BE$13:$BQ$73,7,FALSE)</f>
        <v>3437972.5997500056</v>
      </c>
      <c r="F14" s="862">
        <f>VLOOKUP($B14,Data_4a!$BE$13:$BQ$73,8,FALSE)</f>
        <v>1625442.1246744585</v>
      </c>
      <c r="G14" s="862" t="str">
        <f>IF(Progress!N13="BASIC+",VLOOKUP($B14,Data_4a!$BE$13:$BQ$73,12,FALSE),"")</f>
        <v/>
      </c>
      <c r="H14" s="862" t="str">
        <f>IF(Progress!N13="BASIC+",VLOOKUP($B14,Data_4a!$BE$13:$BQ$73,13,FALSE),"")</f>
        <v/>
      </c>
      <c r="I14" s="417" t="str">
        <f>IF(Progress!D$19="","",IF(B14=Progress!$D$18,Data_4b!$C$9*(100-Progress!D$19)/100,""))</f>
        <v/>
      </c>
    </row>
    <row r="15" spans="1:148">
      <c r="A15" s="1734">
        <v>7</v>
      </c>
      <c r="B15" s="339">
        <f>Data_4a!B19</f>
        <v>2006</v>
      </c>
      <c r="C15" s="862">
        <f>VLOOKUP($B15,Data_4a!$BE$13:$BQ$73,2,FALSE)</f>
        <v>11298569.588887533</v>
      </c>
      <c r="D15" s="862">
        <f>VLOOKUP($B15,Data_4a!$BE$13:$BQ$73,6,FALSE)</f>
        <v>6398197.1101883724</v>
      </c>
      <c r="E15" s="862">
        <f>VLOOKUP($B15,Data_4a!$BE$13:$BQ$73,7,FALSE)</f>
        <v>3282210.5928544537</v>
      </c>
      <c r="F15" s="862">
        <f>VLOOKUP($B15,Data_4a!$BE$13:$BQ$73,8,FALSE)</f>
        <v>1618161.885844707</v>
      </c>
      <c r="G15" s="862" t="str">
        <f>IF(Progress!N14="BASIC+",VLOOKUP($B15,Data_4a!$BE$13:$BQ$73,12,FALSE),"")</f>
        <v/>
      </c>
      <c r="H15" s="862" t="str">
        <f>IF(Progress!N14="BASIC+",VLOOKUP($B15,Data_4a!$BE$13:$BQ$73,13,FALSE),"")</f>
        <v/>
      </c>
      <c r="I15" s="417" t="str">
        <f>IF(Progress!D$19="","",IF(B15=Progress!$D$18,Data_4b!$C$9*(100-Progress!D$19)/100,""))</f>
        <v/>
      </c>
    </row>
    <row r="16" spans="1:148">
      <c r="A16" s="1734">
        <v>8</v>
      </c>
      <c r="B16" s="339">
        <f>Data_4a!B20</f>
        <v>2007</v>
      </c>
      <c r="C16" s="862">
        <f>VLOOKUP($B16,Data_4a!$BE$13:$BQ$73,2,FALSE)</f>
        <v>12551729.050772822</v>
      </c>
      <c r="D16" s="862">
        <f>VLOOKUP($B16,Data_4a!$BE$13:$BQ$73,6,FALSE)</f>
        <v>7350058.4963835571</v>
      </c>
      <c r="E16" s="862">
        <f>VLOOKUP($B16,Data_4a!$BE$13:$BQ$73,7,FALSE)</f>
        <v>3570334.6289775167</v>
      </c>
      <c r="F16" s="862">
        <f>VLOOKUP($B16,Data_4a!$BE$13:$BQ$73,8,FALSE)</f>
        <v>1631335.9254117478</v>
      </c>
      <c r="G16" s="862" t="str">
        <f>IF(Progress!N15="BASIC+",VLOOKUP($B16,Data_4a!$BE$13:$BQ$73,12,FALSE),"")</f>
        <v/>
      </c>
      <c r="H16" s="862" t="str">
        <f>IF(Progress!N15="BASIC+",VLOOKUP($B16,Data_4a!$BE$13:$BQ$73,13,FALSE),"")</f>
        <v/>
      </c>
      <c r="I16" s="417" t="str">
        <f>IF(Progress!D$19="","",IF(B16=Progress!$D$18,Data_4b!$C$9*(100-Progress!D$19)/100,""))</f>
        <v/>
      </c>
    </row>
    <row r="17" spans="1:9">
      <c r="A17" s="1734">
        <v>9</v>
      </c>
      <c r="B17" s="339">
        <f>Data_4a!B21</f>
        <v>2008</v>
      </c>
      <c r="C17" s="862">
        <f>VLOOKUP($B17,Data_4a!$BE$13:$BQ$73,2,FALSE)</f>
        <v>12742478.276032597</v>
      </c>
      <c r="D17" s="862">
        <f>VLOOKUP($B17,Data_4a!$BE$13:$BQ$73,6,FALSE)</f>
        <v>7508607.9555215836</v>
      </c>
      <c r="E17" s="862">
        <f>VLOOKUP($B17,Data_4a!$BE$13:$BQ$73,7,FALSE)</f>
        <v>3650739.4465314052</v>
      </c>
      <c r="F17" s="862">
        <f>VLOOKUP($B17,Data_4a!$BE$13:$BQ$73,8,FALSE)</f>
        <v>1583130.8739796069</v>
      </c>
      <c r="G17" s="862" t="str">
        <f>IF(Progress!N16="BASIC+",VLOOKUP($B17,Data_4a!$BE$13:$BQ$73,12,FALSE),"")</f>
        <v/>
      </c>
      <c r="H17" s="862" t="str">
        <f>IF(Progress!N16="BASIC+",VLOOKUP($B17,Data_4a!$BE$13:$BQ$73,13,FALSE),"")</f>
        <v/>
      </c>
      <c r="I17" s="417" t="str">
        <f>IF(Progress!D$19="","",IF(B17=Progress!$D$18,Data_4b!$C$9*(100-Progress!D$19)/100,""))</f>
        <v/>
      </c>
    </row>
    <row r="18" spans="1:9">
      <c r="A18" s="1734">
        <v>10</v>
      </c>
      <c r="B18" s="339">
        <f>Data_4a!B22</f>
        <v>2009</v>
      </c>
      <c r="C18" s="862">
        <f>VLOOKUP($B18,Data_4a!$BE$13:$BQ$73,2,FALSE)</f>
        <v>12296278.254700819</v>
      </c>
      <c r="D18" s="862">
        <f>VLOOKUP($B18,Data_4a!$BE$13:$BQ$73,6,FALSE)</f>
        <v>7137983.6383096632</v>
      </c>
      <c r="E18" s="862">
        <f>VLOOKUP($B18,Data_4a!$BE$13:$BQ$73,7,FALSE)</f>
        <v>3615911.828781229</v>
      </c>
      <c r="F18" s="862">
        <f>VLOOKUP($B18,Data_4a!$BE$13:$BQ$73,8,FALSE)</f>
        <v>1542382.7876099269</v>
      </c>
      <c r="G18" s="862" t="str">
        <f>IF(Progress!N17="BASIC+",VLOOKUP($B18,Data_4a!$BE$13:$BQ$73,12,FALSE),"")</f>
        <v/>
      </c>
      <c r="H18" s="862" t="str">
        <f>IF(Progress!N17="BASIC+",VLOOKUP($B18,Data_4a!$BE$13:$BQ$73,13,FALSE),"")</f>
        <v/>
      </c>
      <c r="I18" s="417" t="str">
        <f>IF(Progress!D$19="","",IF(B18=Progress!$D$18,Data_4b!$C$9*(100-Progress!D$19)/100,""))</f>
        <v/>
      </c>
    </row>
    <row r="19" spans="1:9">
      <c r="A19" s="1734">
        <v>11</v>
      </c>
      <c r="B19" s="339">
        <f>Data_4a!B23</f>
        <v>2010</v>
      </c>
      <c r="C19" s="862">
        <f>VLOOKUP($B19,Data_4a!$BE$13:$BQ$73,2,FALSE)</f>
        <v>12919018.780264398</v>
      </c>
      <c r="D19" s="862">
        <f>VLOOKUP($B19,Data_4a!$BE$13:$BQ$73,6,FALSE)</f>
        <v>7235582.1049556658</v>
      </c>
      <c r="E19" s="862">
        <f>VLOOKUP($B19,Data_4a!$BE$13:$BQ$73,7,FALSE)</f>
        <v>4197498.4725974631</v>
      </c>
      <c r="F19" s="862">
        <f>VLOOKUP($B19,Data_4a!$BE$13:$BQ$73,8,FALSE)</f>
        <v>1485938.2027112674</v>
      </c>
      <c r="G19" s="862" t="str">
        <f>IF(Progress!N18="BASIC+",VLOOKUP($B19,Data_4a!$BE$13:$BQ$73,12,FALSE),"")</f>
        <v/>
      </c>
      <c r="H19" s="862" t="str">
        <f>IF(Progress!N18="BASIC+",VLOOKUP($B19,Data_4a!$BE$13:$BQ$73,13,FALSE),"")</f>
        <v/>
      </c>
      <c r="I19" s="417" t="str">
        <f>IF(Progress!D$19="","",IF(B19=Progress!$D$18,Data_4b!$C$9*(100-Progress!D$19)/100,""))</f>
        <v/>
      </c>
    </row>
    <row r="20" spans="1:9">
      <c r="A20" s="1734">
        <v>12</v>
      </c>
      <c r="B20" s="339">
        <f>Data_4a!B24</f>
        <v>2011</v>
      </c>
      <c r="C20" s="862">
        <f>VLOOKUP($B20,Data_4a!$BE$13:$BQ$73,2,FALSE)</f>
        <v>12782056.549339209</v>
      </c>
      <c r="D20" s="862">
        <f>VLOOKUP($B20,Data_4a!$BE$13:$BQ$73,6,FALSE)</f>
        <v>7537607.4992190842</v>
      </c>
      <c r="E20" s="862">
        <f>VLOOKUP($B20,Data_4a!$BE$13:$BQ$73,7,FALSE)</f>
        <v>3715647.823259369</v>
      </c>
      <c r="F20" s="862">
        <f>VLOOKUP($B20,Data_4a!$BE$13:$BQ$73,8,FALSE)</f>
        <v>1528801.2268607554</v>
      </c>
      <c r="G20" s="862" t="str">
        <f>IF(Progress!N19="BASIC+",VLOOKUP($B20,Data_4a!$BE$13:$BQ$73,12,FALSE),"")</f>
        <v/>
      </c>
      <c r="H20" s="862" t="str">
        <f>IF(Progress!N19="BASIC+",VLOOKUP($B20,Data_4a!$BE$13:$BQ$73,13,FALSE),"")</f>
        <v/>
      </c>
      <c r="I20" s="417" t="str">
        <f>IF(Progress!D$19="","",IF(B20=Progress!$D$18,Data_4b!$C$9*(100-Progress!D$19)/100,""))</f>
        <v/>
      </c>
    </row>
    <row r="21" spans="1:9">
      <c r="A21" s="1734">
        <v>13</v>
      </c>
      <c r="B21" s="339">
        <f>Data_4a!B25</f>
        <v>2012</v>
      </c>
      <c r="C21" s="862">
        <f>VLOOKUP($B21,Data_4a!$BE$13:$BQ$73,2,FALSE)</f>
        <v>13434140.053075185</v>
      </c>
      <c r="D21" s="862">
        <f>VLOOKUP($B21,Data_4a!$BE$13:$BQ$73,6,FALSE)</f>
        <v>7929095.8966760449</v>
      </c>
      <c r="E21" s="862">
        <f>VLOOKUP($B21,Data_4a!$BE$13:$BQ$73,7,FALSE)</f>
        <v>3804757.1748643974</v>
      </c>
      <c r="F21" s="862">
        <f>VLOOKUP($B21,Data_4a!$BE$13:$BQ$73,8,FALSE)</f>
        <v>1700286.9815347409</v>
      </c>
      <c r="G21" s="862" t="str">
        <f>IF(Progress!N20="BASIC+",VLOOKUP($B21,Data_4a!$BE$13:$BQ$73,12,FALSE),"")</f>
        <v/>
      </c>
      <c r="H21" s="862" t="str">
        <f>IF(Progress!N20="BASIC+",VLOOKUP($B21,Data_4a!$BE$13:$BQ$73,13,FALSE),"")</f>
        <v/>
      </c>
      <c r="I21" s="417" t="str">
        <f>IF(Progress!D$19="","",IF(B21=Progress!$D$18,Data_4b!$C$9*(100-Progress!D$19)/100,""))</f>
        <v/>
      </c>
    </row>
    <row r="22" spans="1:9">
      <c r="A22" s="1734">
        <v>14</v>
      </c>
      <c r="B22" s="339">
        <f>Data_4a!B26</f>
        <v>2013</v>
      </c>
      <c r="C22" s="862">
        <f>VLOOKUP($B22,Data_4a!$BE$13:$BQ$73,2,FALSE)</f>
        <v>13531292.341422258</v>
      </c>
      <c r="D22" s="862">
        <f>VLOOKUP($B22,Data_4a!$BE$13:$BQ$73,6,FALSE)</f>
        <v>7658352.8022113563</v>
      </c>
      <c r="E22" s="862">
        <f>VLOOKUP($B22,Data_4a!$BE$13:$BQ$73,7,FALSE)</f>
        <v>4091327.5129474513</v>
      </c>
      <c r="F22" s="862">
        <f>VLOOKUP($B22,Data_4a!$BE$13:$BQ$73,8,FALSE)</f>
        <v>1781612.0262634505</v>
      </c>
      <c r="G22" s="862" t="str">
        <f>IF(Progress!N21="BASIC+",VLOOKUP($B22,Data_4a!$BE$13:$BQ$73,12,FALSE),"")</f>
        <v/>
      </c>
      <c r="H22" s="862" t="str">
        <f>IF(Progress!N21="BASIC+",VLOOKUP($B22,Data_4a!$BE$13:$BQ$73,13,FALSE),"")</f>
        <v/>
      </c>
      <c r="I22" s="417" t="str">
        <f>IF(Progress!D$19="","",IF(B22=Progress!$D$18,Data_4b!$C$9*(100-Progress!D$19)/100,""))</f>
        <v/>
      </c>
    </row>
    <row r="23" spans="1:9">
      <c r="A23" s="1734">
        <v>15</v>
      </c>
      <c r="B23" s="339">
        <f>Data_4a!B27</f>
        <v>2014</v>
      </c>
      <c r="C23" s="862">
        <f>VLOOKUP($B23,Data_4a!$BE$13:$BQ$73,2,FALSE)</f>
        <v>12928645.752935115</v>
      </c>
      <c r="D23" s="862">
        <f>VLOOKUP($B23,Data_4a!$BE$13:$BQ$73,6,FALSE)</f>
        <v>7481617.2258303259</v>
      </c>
      <c r="E23" s="862">
        <f>VLOOKUP($B23,Data_4a!$BE$13:$BQ$73,7,FALSE)</f>
        <v>3654887.7894731089</v>
      </c>
      <c r="F23" s="862">
        <f>VLOOKUP($B23,Data_4a!$BE$13:$BQ$73,8,FALSE)</f>
        <v>1792140.7376316802</v>
      </c>
      <c r="G23" s="862" t="str">
        <f>IF(Progress!N22="BASIC+",VLOOKUP($B23,Data_4a!$BE$13:$BQ$73,12,FALSE),"")</f>
        <v/>
      </c>
      <c r="H23" s="862" t="str">
        <f>IF(Progress!N22="BASIC+",VLOOKUP($B23,Data_4a!$BE$13:$BQ$73,13,FALSE),"")</f>
        <v/>
      </c>
      <c r="I23" s="417" t="str">
        <f>IF(Progress!D$19="","",IF(B23=Progress!$D$18,Data_4b!$C$9*(100-Progress!D$19)/100,""))</f>
        <v/>
      </c>
    </row>
    <row r="24" spans="1:9">
      <c r="A24" s="1734">
        <v>16</v>
      </c>
      <c r="B24" s="339">
        <f>Data_4a!B28</f>
        <v>2015</v>
      </c>
      <c r="C24" s="862" t="str">
        <f>VLOOKUP($B24,Data_4a!$BE$13:$BQ$73,2,FALSE)</f>
        <v/>
      </c>
      <c r="D24" s="862" t="str">
        <f>VLOOKUP($B24,Data_4a!$BE$13:$BQ$73,6,FALSE)</f>
        <v/>
      </c>
      <c r="E24" s="862" t="str">
        <f>VLOOKUP($B24,Data_4a!$BE$13:$BQ$73,7,FALSE)</f>
        <v/>
      </c>
      <c r="F24" s="862" t="str">
        <f>VLOOKUP($B24,Data_4a!$BE$13:$BQ$73,8,FALSE)</f>
        <v/>
      </c>
      <c r="G24" s="862" t="str">
        <f>IF(Progress!N23="BASIC+",VLOOKUP($B24,Data_4a!$BE$13:$BQ$73,12,FALSE),"")</f>
        <v/>
      </c>
      <c r="H24" s="862" t="str">
        <f>IF(Progress!N23="BASIC+",VLOOKUP($B24,Data_4a!$BE$13:$BQ$73,13,FALSE),"")</f>
        <v/>
      </c>
      <c r="I24" s="417" t="str">
        <f>IF(Progress!D$19="","",IF(B24=Progress!$D$18,Data_4b!$C$9*(100-Progress!D$19)/100,""))</f>
        <v/>
      </c>
    </row>
    <row r="25" spans="1:9">
      <c r="A25" s="1734">
        <v>17</v>
      </c>
      <c r="B25" s="339">
        <f>Data_4a!B29</f>
        <v>2016</v>
      </c>
      <c r="C25" s="862" t="str">
        <f>VLOOKUP($B25,Data_4a!$BE$13:$BQ$73,2,FALSE)</f>
        <v/>
      </c>
      <c r="D25" s="862" t="str">
        <f>VLOOKUP($B25,Data_4a!$BE$13:$BQ$73,6,FALSE)</f>
        <v/>
      </c>
      <c r="E25" s="862" t="str">
        <f>VLOOKUP($B25,Data_4a!$BE$13:$BQ$73,7,FALSE)</f>
        <v/>
      </c>
      <c r="F25" s="862" t="str">
        <f>VLOOKUP($B25,Data_4a!$BE$13:$BQ$73,8,FALSE)</f>
        <v/>
      </c>
      <c r="G25" s="862" t="str">
        <f>IF(Progress!N24="BASIC+",VLOOKUP($B25,Data_4a!$BE$13:$BQ$73,12,FALSE),"")</f>
        <v/>
      </c>
      <c r="H25" s="862" t="str">
        <f>IF(Progress!N24="BASIC+",VLOOKUP($B25,Data_4a!$BE$13:$BQ$73,13,FALSE),"")</f>
        <v/>
      </c>
      <c r="I25" s="417" t="str">
        <f>IF(Progress!D$19="","",IF(B25=Progress!$D$18,Data_4b!$C$9*(100-Progress!D$19)/100,""))</f>
        <v/>
      </c>
    </row>
    <row r="26" spans="1:9">
      <c r="A26" s="1734">
        <v>18</v>
      </c>
      <c r="B26" s="339">
        <f>Data_4a!B30</f>
        <v>2017</v>
      </c>
      <c r="C26" s="862" t="str">
        <f>VLOOKUP($B26,Data_4a!$BE$13:$BQ$73,2,FALSE)</f>
        <v/>
      </c>
      <c r="D26" s="862" t="str">
        <f>VLOOKUP($B26,Data_4a!$BE$13:$BQ$73,6,FALSE)</f>
        <v/>
      </c>
      <c r="E26" s="862" t="str">
        <f>VLOOKUP($B26,Data_4a!$BE$13:$BQ$73,7,FALSE)</f>
        <v/>
      </c>
      <c r="F26" s="862" t="str">
        <f>VLOOKUP($B26,Data_4a!$BE$13:$BQ$73,8,FALSE)</f>
        <v/>
      </c>
      <c r="G26" s="862" t="str">
        <f>IF(Progress!N25="BASIC+",VLOOKUP($B26,Data_4a!$BE$13:$BQ$73,12,FALSE),"")</f>
        <v/>
      </c>
      <c r="H26" s="862" t="str">
        <f>IF(Progress!N25="BASIC+",VLOOKUP($B26,Data_4a!$BE$13:$BQ$73,13,FALSE),"")</f>
        <v/>
      </c>
      <c r="I26" s="417" t="str">
        <f>IF(Progress!D$19="","",IF(B26=Progress!$D$18,Data_4b!$C$9*(100-Progress!D$19)/100,""))</f>
        <v/>
      </c>
    </row>
    <row r="27" spans="1:9">
      <c r="A27" s="1734">
        <v>19</v>
      </c>
      <c r="B27" s="339">
        <f>Data_4a!B31</f>
        <v>2018</v>
      </c>
      <c r="C27" s="862" t="str">
        <f>VLOOKUP($B27,Data_4a!$BE$13:$BQ$73,2,FALSE)</f>
        <v/>
      </c>
      <c r="D27" s="862" t="str">
        <f>VLOOKUP($B27,Data_4a!$BE$13:$BQ$73,6,FALSE)</f>
        <v/>
      </c>
      <c r="E27" s="862" t="str">
        <f>VLOOKUP($B27,Data_4a!$BE$13:$BQ$73,7,FALSE)</f>
        <v/>
      </c>
      <c r="F27" s="862" t="str">
        <f>VLOOKUP($B27,Data_4a!$BE$13:$BQ$73,8,FALSE)</f>
        <v/>
      </c>
      <c r="G27" s="862" t="str">
        <f>IF(Progress!N26="BASIC+",VLOOKUP($B27,Data_4a!$BE$13:$BQ$73,12,FALSE),"")</f>
        <v/>
      </c>
      <c r="H27" s="862" t="str">
        <f>IF(Progress!N26="BASIC+",VLOOKUP($B27,Data_4a!$BE$13:$BQ$73,13,FALSE),"")</f>
        <v/>
      </c>
      <c r="I27" s="417" t="str">
        <f>IF(Progress!D$19="","",IF(B27=Progress!$D$18,Data_4b!$C$9*(100-Progress!D$19)/100,""))</f>
        <v/>
      </c>
    </row>
    <row r="28" spans="1:9">
      <c r="A28" s="1734">
        <v>20</v>
      </c>
      <c r="B28" s="339">
        <f>Data_4a!B32</f>
        <v>2019</v>
      </c>
      <c r="C28" s="862" t="str">
        <f>VLOOKUP($B28,Data_4a!$BE$13:$BQ$73,2,FALSE)</f>
        <v/>
      </c>
      <c r="D28" s="862" t="str">
        <f>VLOOKUP($B28,Data_4a!$BE$13:$BQ$73,6,FALSE)</f>
        <v/>
      </c>
      <c r="E28" s="862" t="str">
        <f>VLOOKUP($B28,Data_4a!$BE$13:$BQ$73,7,FALSE)</f>
        <v/>
      </c>
      <c r="F28" s="862" t="str">
        <f>VLOOKUP($B28,Data_4a!$BE$13:$BQ$73,8,FALSE)</f>
        <v/>
      </c>
      <c r="G28" s="862" t="str">
        <f>IF(Progress!N27="BASIC+",VLOOKUP($B28,Data_4a!$BE$13:$BQ$73,12,FALSE),"")</f>
        <v/>
      </c>
      <c r="H28" s="862" t="str">
        <f>IF(Progress!N27="BASIC+",VLOOKUP($B28,Data_4a!$BE$13:$BQ$73,13,FALSE),"")</f>
        <v/>
      </c>
      <c r="I28" s="417" t="str">
        <f>IF(Progress!D$19="","",IF(B28=Progress!$D$18,Data_4b!$C$9*(100-Progress!D$19)/100,""))</f>
        <v/>
      </c>
    </row>
    <row r="29" spans="1:9">
      <c r="A29" s="1734">
        <v>21</v>
      </c>
      <c r="B29" s="339">
        <f>Data_4a!B33</f>
        <v>2020</v>
      </c>
      <c r="C29" s="862" t="str">
        <f>VLOOKUP($B29,Data_4a!$BE$13:$BQ$73,2,FALSE)</f>
        <v/>
      </c>
      <c r="D29" s="862" t="str">
        <f>VLOOKUP($B29,Data_4a!$BE$13:$BQ$73,6,FALSE)</f>
        <v/>
      </c>
      <c r="E29" s="862" t="str">
        <f>VLOOKUP($B29,Data_4a!$BE$13:$BQ$73,7,FALSE)</f>
        <v/>
      </c>
      <c r="F29" s="862" t="str">
        <f>VLOOKUP($B29,Data_4a!$BE$13:$BQ$73,8,FALSE)</f>
        <v/>
      </c>
      <c r="G29" s="862" t="str">
        <f>IF(Progress!N28="BASIC+",VLOOKUP($B29,Data_4a!$BE$13:$BQ$73,12,FALSE),"")</f>
        <v/>
      </c>
      <c r="H29" s="862" t="str">
        <f>IF(Progress!N28="BASIC+",VLOOKUP($B29,Data_4a!$BE$13:$BQ$73,13,FALSE),"")</f>
        <v/>
      </c>
      <c r="I29" s="417" t="str">
        <f>IF(Progress!D$19="","",IF(B29=Progress!$D$18,Data_4b!$C$9*(100-Progress!D$19)/100,""))</f>
        <v/>
      </c>
    </row>
    <row r="30" spans="1:9">
      <c r="A30" s="1734">
        <v>22</v>
      </c>
      <c r="B30" s="339">
        <f>Data_4a!B34</f>
        <v>2021</v>
      </c>
      <c r="C30" s="862" t="str">
        <f>VLOOKUP($B30,Data_4a!$BE$13:$BQ$73,2,FALSE)</f>
        <v/>
      </c>
      <c r="D30" s="862" t="str">
        <f>VLOOKUP($B30,Data_4a!$BE$13:$BQ$73,6,FALSE)</f>
        <v/>
      </c>
      <c r="E30" s="862" t="str">
        <f>VLOOKUP($B30,Data_4a!$BE$13:$BQ$73,7,FALSE)</f>
        <v/>
      </c>
      <c r="F30" s="862" t="str">
        <f>VLOOKUP($B30,Data_4a!$BE$13:$BQ$73,8,FALSE)</f>
        <v/>
      </c>
      <c r="G30" s="862" t="str">
        <f>IF(Progress!N29="BASIC+",VLOOKUP($B30,Data_4a!$BE$13:$BQ$73,12,FALSE),"")</f>
        <v/>
      </c>
      <c r="H30" s="862" t="str">
        <f>IF(Progress!N29="BASIC+",VLOOKUP($B30,Data_4a!$BE$13:$BQ$73,13,FALSE),"")</f>
        <v/>
      </c>
      <c r="I30" s="417" t="str">
        <f>IF(Progress!D$19="","",IF(B30=Progress!$D$18,Data_4b!$C$9*(100-Progress!D$19)/100,""))</f>
        <v/>
      </c>
    </row>
    <row r="31" spans="1:9">
      <c r="A31" s="1734">
        <v>23</v>
      </c>
      <c r="B31" s="339">
        <f>Data_4a!B35</f>
        <v>2022</v>
      </c>
      <c r="C31" s="862" t="str">
        <f>VLOOKUP($B31,Data_4a!$BE$13:$BQ$73,2,FALSE)</f>
        <v/>
      </c>
      <c r="D31" s="862" t="str">
        <f>VLOOKUP($B31,Data_4a!$BE$13:$BQ$73,6,FALSE)</f>
        <v/>
      </c>
      <c r="E31" s="862" t="str">
        <f>VLOOKUP($B31,Data_4a!$BE$13:$BQ$73,7,FALSE)</f>
        <v/>
      </c>
      <c r="F31" s="862" t="str">
        <f>VLOOKUP($B31,Data_4a!$BE$13:$BQ$73,8,FALSE)</f>
        <v/>
      </c>
      <c r="G31" s="862" t="str">
        <f>IF(Progress!N30="BASIC+",VLOOKUP($B31,Data_4a!$BE$13:$BQ$73,12,FALSE),"")</f>
        <v/>
      </c>
      <c r="H31" s="862" t="str">
        <f>IF(Progress!N30="BASIC+",VLOOKUP($B31,Data_4a!$BE$13:$BQ$73,13,FALSE),"")</f>
        <v/>
      </c>
      <c r="I31" s="417" t="str">
        <f>IF(Progress!D$19="","",IF(B31=Progress!$D$18,Data_4b!$C$9*(100-Progress!D$19)/100,""))</f>
        <v/>
      </c>
    </row>
    <row r="32" spans="1:9">
      <c r="A32" s="1734">
        <v>24</v>
      </c>
      <c r="B32" s="339">
        <f>Data_4a!B36</f>
        <v>2023</v>
      </c>
      <c r="C32" s="862" t="str">
        <f>VLOOKUP($B32,Data_4a!$BE$13:$BQ$73,2,FALSE)</f>
        <v/>
      </c>
      <c r="D32" s="862" t="str">
        <f>VLOOKUP($B32,Data_4a!$BE$13:$BQ$73,6,FALSE)</f>
        <v/>
      </c>
      <c r="E32" s="862" t="str">
        <f>VLOOKUP($B32,Data_4a!$BE$13:$BQ$73,7,FALSE)</f>
        <v/>
      </c>
      <c r="F32" s="862" t="str">
        <f>VLOOKUP($B32,Data_4a!$BE$13:$BQ$73,8,FALSE)</f>
        <v/>
      </c>
      <c r="G32" s="862" t="str">
        <f>IF(Progress!N31="BASIC+",VLOOKUP($B32,Data_4a!$BE$13:$BQ$73,12,FALSE),"")</f>
        <v/>
      </c>
      <c r="H32" s="862" t="str">
        <f>IF(Progress!N31="BASIC+",VLOOKUP($B32,Data_4a!$BE$13:$BQ$73,13,FALSE),"")</f>
        <v/>
      </c>
      <c r="I32" s="417" t="str">
        <f>IF(Progress!D$19="","",IF(B32=Progress!$D$18,Data_4b!$C$9*(100-Progress!D$19)/100,""))</f>
        <v/>
      </c>
    </row>
    <row r="33" spans="1:9">
      <c r="A33" s="1734">
        <v>25</v>
      </c>
      <c r="B33" s="339">
        <f>Data_4a!B37</f>
        <v>2024</v>
      </c>
      <c r="C33" s="862" t="str">
        <f>VLOOKUP($B33,Data_4a!$BE$13:$BQ$73,2,FALSE)</f>
        <v/>
      </c>
      <c r="D33" s="862" t="str">
        <f>VLOOKUP($B33,Data_4a!$BE$13:$BQ$73,6,FALSE)</f>
        <v/>
      </c>
      <c r="E33" s="862" t="str">
        <f>VLOOKUP($B33,Data_4a!$BE$13:$BQ$73,7,FALSE)</f>
        <v/>
      </c>
      <c r="F33" s="862" t="str">
        <f>VLOOKUP($B33,Data_4a!$BE$13:$BQ$73,8,FALSE)</f>
        <v/>
      </c>
      <c r="G33" s="862" t="str">
        <f>IF(Progress!N32="BASIC+",VLOOKUP($B33,Data_4a!$BE$13:$BQ$73,12,FALSE),"")</f>
        <v/>
      </c>
      <c r="H33" s="862" t="str">
        <f>IF(Progress!N32="BASIC+",VLOOKUP($B33,Data_4a!$BE$13:$BQ$73,13,FALSE),"")</f>
        <v/>
      </c>
      <c r="I33" s="417" t="str">
        <f>IF(Progress!D$19="","",IF(B33=Progress!$D$18,Data_4b!$C$9*(100-Progress!D$19)/100,""))</f>
        <v/>
      </c>
    </row>
    <row r="34" spans="1:9">
      <c r="A34" s="1734">
        <v>26</v>
      </c>
      <c r="B34" s="339">
        <f>Data_4a!B38</f>
        <v>2025</v>
      </c>
      <c r="C34" s="862" t="str">
        <f>VLOOKUP($B34,Data_4a!$BE$13:$BQ$73,2,FALSE)</f>
        <v/>
      </c>
      <c r="D34" s="862" t="str">
        <f>VLOOKUP($B34,Data_4a!$BE$13:$BQ$73,6,FALSE)</f>
        <v/>
      </c>
      <c r="E34" s="862" t="str">
        <f>VLOOKUP($B34,Data_4a!$BE$13:$BQ$73,7,FALSE)</f>
        <v/>
      </c>
      <c r="F34" s="862" t="str">
        <f>VLOOKUP($B34,Data_4a!$BE$13:$BQ$73,8,FALSE)</f>
        <v/>
      </c>
      <c r="G34" s="862" t="str">
        <f>IF(Progress!N33="BASIC+",VLOOKUP($B34,Data_4a!$BE$13:$BQ$73,12,FALSE),"")</f>
        <v/>
      </c>
      <c r="H34" s="862" t="str">
        <f>IF(Progress!N33="BASIC+",VLOOKUP($B34,Data_4a!$BE$13:$BQ$73,13,FALSE),"")</f>
        <v/>
      </c>
      <c r="I34" s="417" t="str">
        <f>IF(Progress!D$19="","",IF(B34=Progress!$D$18,Data_4b!$C$9*(100-Progress!D$19)/100,""))</f>
        <v/>
      </c>
    </row>
    <row r="35" spans="1:9">
      <c r="A35" s="1734">
        <v>27</v>
      </c>
      <c r="B35" s="339">
        <f>Data_4a!B39</f>
        <v>2026</v>
      </c>
      <c r="C35" s="862" t="str">
        <f>VLOOKUP($B35,Data_4a!$BE$13:$BQ$73,2,FALSE)</f>
        <v/>
      </c>
      <c r="D35" s="862" t="str">
        <f>VLOOKUP($B35,Data_4a!$BE$13:$BQ$73,6,FALSE)</f>
        <v/>
      </c>
      <c r="E35" s="862" t="str">
        <f>VLOOKUP($B35,Data_4a!$BE$13:$BQ$73,7,FALSE)</f>
        <v/>
      </c>
      <c r="F35" s="862" t="str">
        <f>VLOOKUP($B35,Data_4a!$BE$13:$BQ$73,8,FALSE)</f>
        <v/>
      </c>
      <c r="G35" s="862" t="str">
        <f>IF(Progress!N34="BASIC+",VLOOKUP($B35,Data_4a!$BE$13:$BQ$73,12,FALSE),"")</f>
        <v/>
      </c>
      <c r="H35" s="862" t="str">
        <f>IF(Progress!N34="BASIC+",VLOOKUP($B35,Data_4a!$BE$13:$BQ$73,13,FALSE),"")</f>
        <v/>
      </c>
      <c r="I35" s="417" t="str">
        <f>IF(Progress!D$19="","",IF(B35=Progress!$D$18,Data_4b!$C$9*(100-Progress!D$19)/100,""))</f>
        <v/>
      </c>
    </row>
    <row r="36" spans="1:9">
      <c r="A36" s="1734">
        <v>28</v>
      </c>
      <c r="B36" s="339">
        <f>Data_4a!B40</f>
        <v>2027</v>
      </c>
      <c r="C36" s="862" t="str">
        <f>VLOOKUP($B36,Data_4a!$BE$13:$BQ$73,2,FALSE)</f>
        <v/>
      </c>
      <c r="D36" s="862" t="str">
        <f>VLOOKUP($B36,Data_4a!$BE$13:$BQ$73,6,FALSE)</f>
        <v/>
      </c>
      <c r="E36" s="862" t="str">
        <f>VLOOKUP($B36,Data_4a!$BE$13:$BQ$73,7,FALSE)</f>
        <v/>
      </c>
      <c r="F36" s="862" t="str">
        <f>VLOOKUP($B36,Data_4a!$BE$13:$BQ$73,8,FALSE)</f>
        <v/>
      </c>
      <c r="G36" s="862" t="str">
        <f>IF(Progress!N35="BASIC+",VLOOKUP($B36,Data_4a!$BE$13:$BQ$73,12,FALSE),"")</f>
        <v/>
      </c>
      <c r="H36" s="862" t="str">
        <f>IF(Progress!N35="BASIC+",VLOOKUP($B36,Data_4a!$BE$13:$BQ$73,13,FALSE),"")</f>
        <v/>
      </c>
      <c r="I36" s="417" t="str">
        <f>IF(Progress!D$19="","",IF(B36=Progress!$D$18,Data_4b!$C$9*(100-Progress!D$19)/100,""))</f>
        <v/>
      </c>
    </row>
    <row r="37" spans="1:9">
      <c r="A37" s="1734">
        <v>29</v>
      </c>
      <c r="B37" s="339">
        <f>Data_4a!B41</f>
        <v>2028</v>
      </c>
      <c r="C37" s="862" t="str">
        <f>VLOOKUP($B37,Data_4a!$BE$13:$BQ$73,2,FALSE)</f>
        <v/>
      </c>
      <c r="D37" s="862" t="str">
        <f>VLOOKUP($B37,Data_4a!$BE$13:$BQ$73,6,FALSE)</f>
        <v/>
      </c>
      <c r="E37" s="862" t="str">
        <f>VLOOKUP($B37,Data_4a!$BE$13:$BQ$73,7,FALSE)</f>
        <v/>
      </c>
      <c r="F37" s="862" t="str">
        <f>VLOOKUP($B37,Data_4a!$BE$13:$BQ$73,8,FALSE)</f>
        <v/>
      </c>
      <c r="G37" s="862" t="str">
        <f>IF(Progress!N36="BASIC+",VLOOKUP($B37,Data_4a!$BE$13:$BQ$73,12,FALSE),"")</f>
        <v/>
      </c>
      <c r="H37" s="862" t="str">
        <f>IF(Progress!N36="BASIC+",VLOOKUP($B37,Data_4a!$BE$13:$BQ$73,13,FALSE),"")</f>
        <v/>
      </c>
      <c r="I37" s="417" t="str">
        <f>IF(Progress!D$19="","",IF(B37=Progress!$D$18,Data_4b!$C$9*(100-Progress!D$19)/100,""))</f>
        <v/>
      </c>
    </row>
    <row r="38" spans="1:9">
      <c r="A38" s="1734">
        <v>30</v>
      </c>
      <c r="B38" s="339">
        <f>Data_4a!B42</f>
        <v>2029</v>
      </c>
      <c r="C38" s="862" t="str">
        <f>VLOOKUP($B38,Data_4a!$BE$13:$BQ$73,2,FALSE)</f>
        <v/>
      </c>
      <c r="D38" s="862" t="str">
        <f>VLOOKUP($B38,Data_4a!$BE$13:$BQ$73,6,FALSE)</f>
        <v/>
      </c>
      <c r="E38" s="862" t="str">
        <f>VLOOKUP($B38,Data_4a!$BE$13:$BQ$73,7,FALSE)</f>
        <v/>
      </c>
      <c r="F38" s="862" t="str">
        <f>VLOOKUP($B38,Data_4a!$BE$13:$BQ$73,8,FALSE)</f>
        <v/>
      </c>
      <c r="G38" s="862" t="str">
        <f>IF(Progress!N37="BASIC+",VLOOKUP($B38,Data_4a!$BE$13:$BQ$73,12,FALSE),"")</f>
        <v/>
      </c>
      <c r="H38" s="862" t="str">
        <f>IF(Progress!N37="BASIC+",VLOOKUP($B38,Data_4a!$BE$13:$BQ$73,13,FALSE),"")</f>
        <v/>
      </c>
      <c r="I38" s="417" t="str">
        <f>IF(Progress!D$19="","",IF(B38=Progress!$D$18,Data_4b!$C$9*(100-Progress!D$19)/100,""))</f>
        <v/>
      </c>
    </row>
    <row r="39" spans="1:9">
      <c r="A39" s="1734">
        <v>31</v>
      </c>
      <c r="B39" s="339">
        <f>Data_4a!B43</f>
        <v>2030</v>
      </c>
      <c r="C39" s="862" t="str">
        <f>VLOOKUP($B39,Data_4a!$BE$13:$BQ$73,2,FALSE)</f>
        <v/>
      </c>
      <c r="D39" s="862" t="str">
        <f>VLOOKUP($B39,Data_4a!$BE$13:$BQ$73,6,FALSE)</f>
        <v/>
      </c>
      <c r="E39" s="862" t="str">
        <f>VLOOKUP($B39,Data_4a!$BE$13:$BQ$73,7,FALSE)</f>
        <v/>
      </c>
      <c r="F39" s="862" t="str">
        <f>VLOOKUP($B39,Data_4a!$BE$13:$BQ$73,8,FALSE)</f>
        <v/>
      </c>
      <c r="G39" s="862" t="str">
        <f>IF(Progress!N38="BASIC+",VLOOKUP($B39,Data_4a!$BE$13:$BQ$73,12,FALSE),"")</f>
        <v/>
      </c>
      <c r="H39" s="862" t="str">
        <f>IF(Progress!N38="BASIC+",VLOOKUP($B39,Data_4a!$BE$13:$BQ$73,13,FALSE),"")</f>
        <v/>
      </c>
      <c r="I39" s="417" t="str">
        <f>IF(Progress!D$19="","",IF(B39=Progress!$D$18,Data_4b!$C$9*(100-Progress!D$19)/100,""))</f>
        <v/>
      </c>
    </row>
    <row r="40" spans="1:9">
      <c r="A40" s="1734">
        <v>32</v>
      </c>
      <c r="B40" s="339">
        <f>Data_4a!B44</f>
        <v>2031</v>
      </c>
      <c r="C40" s="862" t="str">
        <f>VLOOKUP($B40,Data_4a!$BE$13:$BQ$73,2,FALSE)</f>
        <v/>
      </c>
      <c r="D40" s="862" t="str">
        <f>VLOOKUP($B40,Data_4a!$BE$13:$BQ$73,6,FALSE)</f>
        <v/>
      </c>
      <c r="E40" s="862" t="str">
        <f>VLOOKUP($B40,Data_4a!$BE$13:$BQ$73,7,FALSE)</f>
        <v/>
      </c>
      <c r="F40" s="862" t="str">
        <f>VLOOKUP($B40,Data_4a!$BE$13:$BQ$73,8,FALSE)</f>
        <v/>
      </c>
      <c r="G40" s="862" t="str">
        <f>IF(Progress!N39="BASIC+",VLOOKUP($B40,Data_4a!$BE$13:$BQ$73,12,FALSE),"")</f>
        <v/>
      </c>
      <c r="H40" s="862" t="str">
        <f>IF(Progress!N39="BASIC+",VLOOKUP($B40,Data_4a!$BE$13:$BQ$73,13,FALSE),"")</f>
        <v/>
      </c>
      <c r="I40" s="417" t="str">
        <f>IF(Progress!D$19="","",IF(B40=Progress!$D$18,Data_4b!$C$9*(100-Progress!D$19)/100,""))</f>
        <v/>
      </c>
    </row>
    <row r="41" spans="1:9">
      <c r="A41" s="1734">
        <v>33</v>
      </c>
      <c r="B41" s="339">
        <f>Data_4a!B45</f>
        <v>2032</v>
      </c>
      <c r="C41" s="862" t="str">
        <f>VLOOKUP($B41,Data_4a!$BE$13:$BQ$73,2,FALSE)</f>
        <v/>
      </c>
      <c r="D41" s="862" t="str">
        <f>VLOOKUP($B41,Data_4a!$BE$13:$BQ$73,6,FALSE)</f>
        <v/>
      </c>
      <c r="E41" s="862" t="str">
        <f>VLOOKUP($B41,Data_4a!$BE$13:$BQ$73,7,FALSE)</f>
        <v/>
      </c>
      <c r="F41" s="862" t="str">
        <f>VLOOKUP($B41,Data_4a!$BE$13:$BQ$73,8,FALSE)</f>
        <v/>
      </c>
      <c r="G41" s="862" t="str">
        <f>IF(Progress!N40="BASIC+",VLOOKUP($B41,Data_4a!$BE$13:$BQ$73,12,FALSE),"")</f>
        <v/>
      </c>
      <c r="H41" s="862" t="str">
        <f>IF(Progress!N40="BASIC+",VLOOKUP($B41,Data_4a!$BE$13:$BQ$73,13,FALSE),"")</f>
        <v/>
      </c>
      <c r="I41" s="417" t="str">
        <f>IF(Progress!D$19="","",IF(B41=Progress!$D$18,Data_4b!$C$9*(100-Progress!D$19)/100,""))</f>
        <v/>
      </c>
    </row>
    <row r="42" spans="1:9">
      <c r="A42" s="1734">
        <v>34</v>
      </c>
      <c r="B42" s="339">
        <f>Data_4a!B46</f>
        <v>2033</v>
      </c>
      <c r="C42" s="862" t="str">
        <f>VLOOKUP($B42,Data_4a!$BE$13:$BQ$73,2,FALSE)</f>
        <v/>
      </c>
      <c r="D42" s="862" t="str">
        <f>VLOOKUP($B42,Data_4a!$BE$13:$BQ$73,6,FALSE)</f>
        <v/>
      </c>
      <c r="E42" s="862" t="str">
        <f>VLOOKUP($B42,Data_4a!$BE$13:$BQ$73,7,FALSE)</f>
        <v/>
      </c>
      <c r="F42" s="862" t="str">
        <f>VLOOKUP($B42,Data_4a!$BE$13:$BQ$73,8,FALSE)</f>
        <v/>
      </c>
      <c r="G42" s="862" t="str">
        <f>IF(Progress!N41="BASIC+",VLOOKUP($B42,Data_4a!$BE$13:$BQ$73,12,FALSE),"")</f>
        <v/>
      </c>
      <c r="H42" s="862" t="str">
        <f>IF(Progress!N41="BASIC+",VLOOKUP($B42,Data_4a!$BE$13:$BQ$73,13,FALSE),"")</f>
        <v/>
      </c>
      <c r="I42" s="417" t="str">
        <f>IF(Progress!D$19="","",IF(B42=Progress!$D$18,Data_4b!$C$9*(100-Progress!D$19)/100,""))</f>
        <v/>
      </c>
    </row>
    <row r="43" spans="1:9">
      <c r="A43" s="1734">
        <v>35</v>
      </c>
      <c r="B43" s="339">
        <f>Data_4a!B47</f>
        <v>2034</v>
      </c>
      <c r="C43" s="862" t="str">
        <f>VLOOKUP($B43,Data_4a!$BE$13:$BQ$73,2,FALSE)</f>
        <v/>
      </c>
      <c r="D43" s="862" t="str">
        <f>VLOOKUP($B43,Data_4a!$BE$13:$BQ$73,6,FALSE)</f>
        <v/>
      </c>
      <c r="E43" s="862" t="str">
        <f>VLOOKUP($B43,Data_4a!$BE$13:$BQ$73,7,FALSE)</f>
        <v/>
      </c>
      <c r="F43" s="862" t="str">
        <f>VLOOKUP($B43,Data_4a!$BE$13:$BQ$73,8,FALSE)</f>
        <v/>
      </c>
      <c r="G43" s="862" t="str">
        <f>IF(Progress!N42="BASIC+",VLOOKUP($B43,Data_4a!$BE$13:$BQ$73,12,FALSE),"")</f>
        <v/>
      </c>
      <c r="H43" s="862" t="str">
        <f>IF(Progress!N42="BASIC+",VLOOKUP($B43,Data_4a!$BE$13:$BQ$73,13,FALSE),"")</f>
        <v/>
      </c>
      <c r="I43" s="417" t="str">
        <f>IF(Progress!D$19="","",IF(B43=Progress!$D$18,Data_4b!$C$9*(100-Progress!D$19)/100,""))</f>
        <v/>
      </c>
    </row>
    <row r="44" spans="1:9">
      <c r="A44" s="1734">
        <v>36</v>
      </c>
      <c r="B44" s="339">
        <f>Data_4a!B48</f>
        <v>2035</v>
      </c>
      <c r="C44" s="862" t="str">
        <f>VLOOKUP($B44,Data_4a!$BE$13:$BQ$73,2,FALSE)</f>
        <v/>
      </c>
      <c r="D44" s="862" t="str">
        <f>VLOOKUP($B44,Data_4a!$BE$13:$BQ$73,6,FALSE)</f>
        <v/>
      </c>
      <c r="E44" s="862" t="str">
        <f>VLOOKUP($B44,Data_4a!$BE$13:$BQ$73,7,FALSE)</f>
        <v/>
      </c>
      <c r="F44" s="862" t="str">
        <f>VLOOKUP($B44,Data_4a!$BE$13:$BQ$73,8,FALSE)</f>
        <v/>
      </c>
      <c r="G44" s="862" t="str">
        <f>IF(Progress!N43="BASIC+",VLOOKUP($B44,Data_4a!$BE$13:$BQ$73,12,FALSE),"")</f>
        <v/>
      </c>
      <c r="H44" s="862" t="str">
        <f>IF(Progress!N43="BASIC+",VLOOKUP($B44,Data_4a!$BE$13:$BQ$73,13,FALSE),"")</f>
        <v/>
      </c>
      <c r="I44" s="417" t="str">
        <f>IF(Progress!D$19="","",IF(B44=Progress!$D$18,Data_4b!$C$9*(100-Progress!D$19)/100,""))</f>
        <v/>
      </c>
    </row>
    <row r="45" spans="1:9">
      <c r="A45" s="1734">
        <v>37</v>
      </c>
      <c r="B45" s="339">
        <f>Data_4a!B49</f>
        <v>2036</v>
      </c>
      <c r="C45" s="862" t="str">
        <f>VLOOKUP($B45,Data_4a!$BE$13:$BQ$73,2,FALSE)</f>
        <v/>
      </c>
      <c r="D45" s="862" t="str">
        <f>VLOOKUP($B45,Data_4a!$BE$13:$BQ$73,6,FALSE)</f>
        <v/>
      </c>
      <c r="E45" s="862" t="str">
        <f>VLOOKUP($B45,Data_4a!$BE$13:$BQ$73,7,FALSE)</f>
        <v/>
      </c>
      <c r="F45" s="862" t="str">
        <f>VLOOKUP($B45,Data_4a!$BE$13:$BQ$73,8,FALSE)</f>
        <v/>
      </c>
      <c r="G45" s="862" t="str">
        <f>IF(Progress!N44="BASIC+",VLOOKUP($B45,Data_4a!$BE$13:$BQ$73,12,FALSE),"")</f>
        <v/>
      </c>
      <c r="H45" s="862" t="str">
        <f>IF(Progress!N44="BASIC+",VLOOKUP($B45,Data_4a!$BE$13:$BQ$73,13,FALSE),"")</f>
        <v/>
      </c>
      <c r="I45" s="417" t="str">
        <f>IF(Progress!D$19="","",IF(B45=Progress!$D$18,Data_4b!$C$9*(100-Progress!D$19)/100,""))</f>
        <v/>
      </c>
    </row>
    <row r="46" spans="1:9">
      <c r="A46" s="1734">
        <v>38</v>
      </c>
      <c r="B46" s="339">
        <f>Data_4a!B50</f>
        <v>2037</v>
      </c>
      <c r="C46" s="862" t="str">
        <f>VLOOKUP($B46,Data_4a!$BE$13:$BQ$73,2,FALSE)</f>
        <v/>
      </c>
      <c r="D46" s="862" t="str">
        <f>VLOOKUP($B46,Data_4a!$BE$13:$BQ$73,6,FALSE)</f>
        <v/>
      </c>
      <c r="E46" s="862" t="str">
        <f>VLOOKUP($B46,Data_4a!$BE$13:$BQ$73,7,FALSE)</f>
        <v/>
      </c>
      <c r="F46" s="862" t="str">
        <f>VLOOKUP($B46,Data_4a!$BE$13:$BQ$73,8,FALSE)</f>
        <v/>
      </c>
      <c r="G46" s="862" t="str">
        <f>IF(Progress!N45="BASIC+",VLOOKUP($B46,Data_4a!$BE$13:$BQ$73,12,FALSE),"")</f>
        <v/>
      </c>
      <c r="H46" s="862" t="str">
        <f>IF(Progress!N45="BASIC+",VLOOKUP($B46,Data_4a!$BE$13:$BQ$73,13,FALSE),"")</f>
        <v/>
      </c>
      <c r="I46" s="417" t="str">
        <f>IF(Progress!D$19="","",IF(B46=Progress!$D$18,Data_4b!$C$9*(100-Progress!D$19)/100,""))</f>
        <v/>
      </c>
    </row>
    <row r="47" spans="1:9">
      <c r="A47" s="1734">
        <v>39</v>
      </c>
      <c r="B47" s="339">
        <f>Data_4a!B51</f>
        <v>2038</v>
      </c>
      <c r="C47" s="862" t="str">
        <f>VLOOKUP($B47,Data_4a!$BE$13:$BQ$73,2,FALSE)</f>
        <v/>
      </c>
      <c r="D47" s="862" t="str">
        <f>VLOOKUP($B47,Data_4a!$BE$13:$BQ$73,6,FALSE)</f>
        <v/>
      </c>
      <c r="E47" s="862" t="str">
        <f>VLOOKUP($B47,Data_4a!$BE$13:$BQ$73,7,FALSE)</f>
        <v/>
      </c>
      <c r="F47" s="862" t="str">
        <f>VLOOKUP($B47,Data_4a!$BE$13:$BQ$73,8,FALSE)</f>
        <v/>
      </c>
      <c r="G47" s="862" t="str">
        <f>IF(Progress!N46="BASIC+",VLOOKUP($B47,Data_4a!$BE$13:$BQ$73,12,FALSE),"")</f>
        <v/>
      </c>
      <c r="H47" s="862" t="str">
        <f>IF(Progress!N46="BASIC+",VLOOKUP($B47,Data_4a!$BE$13:$BQ$73,13,FALSE),"")</f>
        <v/>
      </c>
      <c r="I47" s="417" t="str">
        <f>IF(Progress!D$19="","",IF(B47=Progress!$D$18,Data_4b!$C$9*(100-Progress!D$19)/100,""))</f>
        <v/>
      </c>
    </row>
    <row r="48" spans="1:9">
      <c r="A48" s="1734">
        <v>40</v>
      </c>
      <c r="B48" s="339">
        <f>Data_4a!B52</f>
        <v>2039</v>
      </c>
      <c r="C48" s="862" t="str">
        <f>VLOOKUP($B48,Data_4a!$BE$13:$BQ$73,2,FALSE)</f>
        <v/>
      </c>
      <c r="D48" s="862" t="str">
        <f>VLOOKUP($B48,Data_4a!$BE$13:$BQ$73,6,FALSE)</f>
        <v/>
      </c>
      <c r="E48" s="862" t="str">
        <f>VLOOKUP($B48,Data_4a!$BE$13:$BQ$73,7,FALSE)</f>
        <v/>
      </c>
      <c r="F48" s="862" t="str">
        <f>VLOOKUP($B48,Data_4a!$BE$13:$BQ$73,8,FALSE)</f>
        <v/>
      </c>
      <c r="G48" s="862" t="str">
        <f>IF(Progress!N47="BASIC+",VLOOKUP($B48,Data_4a!$BE$13:$BQ$73,12,FALSE),"")</f>
        <v/>
      </c>
      <c r="H48" s="862" t="str">
        <f>IF(Progress!N47="BASIC+",VLOOKUP($B48,Data_4a!$BE$13:$BQ$73,13,FALSE),"")</f>
        <v/>
      </c>
      <c r="I48" s="417" t="str">
        <f>IF(Progress!D$19="","",IF(B48=Progress!$D$18,Data_4b!$C$9*(100-Progress!D$19)/100,""))</f>
        <v/>
      </c>
    </row>
    <row r="49" spans="1:9">
      <c r="A49" s="1734">
        <v>41</v>
      </c>
      <c r="B49" s="339">
        <f>Data_4a!B53</f>
        <v>2040</v>
      </c>
      <c r="C49" s="862" t="str">
        <f>VLOOKUP($B49,Data_4a!$BE$13:$BQ$73,2,FALSE)</f>
        <v/>
      </c>
      <c r="D49" s="862" t="str">
        <f>VLOOKUP($B49,Data_4a!$BE$13:$BQ$73,6,FALSE)</f>
        <v/>
      </c>
      <c r="E49" s="862" t="str">
        <f>VLOOKUP($B49,Data_4a!$BE$13:$BQ$73,7,FALSE)</f>
        <v/>
      </c>
      <c r="F49" s="862" t="str">
        <f>VLOOKUP($B49,Data_4a!$BE$13:$BQ$73,8,FALSE)</f>
        <v/>
      </c>
      <c r="G49" s="862" t="str">
        <f>IF(Progress!N48="BASIC+",VLOOKUP($B49,Data_4a!$BE$13:$BQ$73,12,FALSE),"")</f>
        <v/>
      </c>
      <c r="H49" s="862" t="str">
        <f>IF(Progress!N48="BASIC+",VLOOKUP($B49,Data_4a!$BE$13:$BQ$73,13,FALSE),"")</f>
        <v/>
      </c>
      <c r="I49" s="417" t="str">
        <f>IF(Progress!D$19="","",IF(B49=Progress!$D$18,Data_4b!$C$9*(100-Progress!D$19)/100,""))</f>
        <v/>
      </c>
    </row>
    <row r="50" spans="1:9">
      <c r="A50" s="1734">
        <v>42</v>
      </c>
      <c r="B50" s="339">
        <f>Data_4a!B54</f>
        <v>2041</v>
      </c>
      <c r="C50" s="862" t="str">
        <f>VLOOKUP($B50,Data_4a!$BE$13:$BQ$73,2,FALSE)</f>
        <v/>
      </c>
      <c r="D50" s="862" t="str">
        <f>VLOOKUP($B50,Data_4a!$BE$13:$BQ$73,6,FALSE)</f>
        <v/>
      </c>
      <c r="E50" s="862" t="str">
        <f>VLOOKUP($B50,Data_4a!$BE$13:$BQ$73,7,FALSE)</f>
        <v/>
      </c>
      <c r="F50" s="862" t="str">
        <f>VLOOKUP($B50,Data_4a!$BE$13:$BQ$73,8,FALSE)</f>
        <v/>
      </c>
      <c r="G50" s="862" t="str">
        <f>IF(Progress!N49="BASIC+",VLOOKUP($B50,Data_4a!$BE$13:$BQ$73,12,FALSE),"")</f>
        <v/>
      </c>
      <c r="H50" s="862" t="str">
        <f>IF(Progress!N49="BASIC+",VLOOKUP($B50,Data_4a!$BE$13:$BQ$73,13,FALSE),"")</f>
        <v/>
      </c>
      <c r="I50" s="417" t="str">
        <f>IF(Progress!D$19="","",IF(B50=Progress!$D$18,Data_4b!$C$9*(100-Progress!D$19)/100,""))</f>
        <v/>
      </c>
    </row>
    <row r="51" spans="1:9">
      <c r="A51" s="1734">
        <v>43</v>
      </c>
      <c r="B51" s="339">
        <f>Data_4a!B55</f>
        <v>2042</v>
      </c>
      <c r="C51" s="862" t="str">
        <f>VLOOKUP($B51,Data_4a!$BE$13:$BQ$73,2,FALSE)</f>
        <v/>
      </c>
      <c r="D51" s="862" t="str">
        <f>VLOOKUP($B51,Data_4a!$BE$13:$BQ$73,6,FALSE)</f>
        <v/>
      </c>
      <c r="E51" s="862" t="str">
        <f>VLOOKUP($B51,Data_4a!$BE$13:$BQ$73,7,FALSE)</f>
        <v/>
      </c>
      <c r="F51" s="862" t="str">
        <f>VLOOKUP($B51,Data_4a!$BE$13:$BQ$73,8,FALSE)</f>
        <v/>
      </c>
      <c r="G51" s="862" t="str">
        <f>IF(Progress!N50="BASIC+",VLOOKUP($B51,Data_4a!$BE$13:$BQ$73,12,FALSE),"")</f>
        <v/>
      </c>
      <c r="H51" s="862" t="str">
        <f>IF(Progress!N50="BASIC+",VLOOKUP($B51,Data_4a!$BE$13:$BQ$73,13,FALSE),"")</f>
        <v/>
      </c>
      <c r="I51" s="417" t="str">
        <f>IF(Progress!D$19="","",IF(B51=Progress!$D$18,Data_4b!$C$9*(100-Progress!D$19)/100,""))</f>
        <v/>
      </c>
    </row>
    <row r="52" spans="1:9">
      <c r="A52" s="1734">
        <v>44</v>
      </c>
      <c r="B52" s="339">
        <f>Data_4a!B56</f>
        <v>2043</v>
      </c>
      <c r="C52" s="862" t="str">
        <f>VLOOKUP($B52,Data_4a!$BE$13:$BQ$73,2,FALSE)</f>
        <v/>
      </c>
      <c r="D52" s="862" t="str">
        <f>VLOOKUP($B52,Data_4a!$BE$13:$BQ$73,6,FALSE)</f>
        <v/>
      </c>
      <c r="E52" s="862" t="str">
        <f>VLOOKUP($B52,Data_4a!$BE$13:$BQ$73,7,FALSE)</f>
        <v/>
      </c>
      <c r="F52" s="862" t="str">
        <f>VLOOKUP($B52,Data_4a!$BE$13:$BQ$73,8,FALSE)</f>
        <v/>
      </c>
      <c r="G52" s="862" t="str">
        <f>IF(Progress!N51="BASIC+",VLOOKUP($B52,Data_4a!$BE$13:$BQ$73,12,FALSE),"")</f>
        <v/>
      </c>
      <c r="H52" s="862" t="str">
        <f>IF(Progress!N51="BASIC+",VLOOKUP($B52,Data_4a!$BE$13:$BQ$73,13,FALSE),"")</f>
        <v/>
      </c>
      <c r="I52" s="417" t="str">
        <f>IF(Progress!D$19="","",IF(B52=Progress!$D$18,Data_4b!$C$9*(100-Progress!D$19)/100,""))</f>
        <v/>
      </c>
    </row>
    <row r="53" spans="1:9">
      <c r="A53" s="1734">
        <v>45</v>
      </c>
      <c r="B53" s="339">
        <f>Data_4a!B57</f>
        <v>2044</v>
      </c>
      <c r="C53" s="862" t="str">
        <f>VLOOKUP($B53,Data_4a!$BE$13:$BQ$73,2,FALSE)</f>
        <v/>
      </c>
      <c r="D53" s="862" t="str">
        <f>VLOOKUP($B53,Data_4a!$BE$13:$BQ$73,6,FALSE)</f>
        <v/>
      </c>
      <c r="E53" s="862" t="str">
        <f>VLOOKUP($B53,Data_4a!$BE$13:$BQ$73,7,FALSE)</f>
        <v/>
      </c>
      <c r="F53" s="862" t="str">
        <f>VLOOKUP($B53,Data_4a!$BE$13:$BQ$73,8,FALSE)</f>
        <v/>
      </c>
      <c r="G53" s="862" t="str">
        <f>IF(Progress!N52="BASIC+",VLOOKUP($B53,Data_4a!$BE$13:$BQ$73,12,FALSE),"")</f>
        <v/>
      </c>
      <c r="H53" s="862" t="str">
        <f>IF(Progress!N52="BASIC+",VLOOKUP($B53,Data_4a!$BE$13:$BQ$73,13,FALSE),"")</f>
        <v/>
      </c>
      <c r="I53" s="417" t="str">
        <f>IF(Progress!D$19="","",IF(B53=Progress!$D$18,Data_4b!$C$9*(100-Progress!D$19)/100,""))</f>
        <v/>
      </c>
    </row>
    <row r="54" spans="1:9">
      <c r="A54" s="1734">
        <v>46</v>
      </c>
      <c r="B54" s="339">
        <f>Data_4a!B58</f>
        <v>2045</v>
      </c>
      <c r="C54" s="862" t="str">
        <f>VLOOKUP($B54,Data_4a!$BE$13:$BQ$73,2,FALSE)</f>
        <v/>
      </c>
      <c r="D54" s="862" t="str">
        <f>VLOOKUP($B54,Data_4a!$BE$13:$BQ$73,6,FALSE)</f>
        <v/>
      </c>
      <c r="E54" s="862" t="str">
        <f>VLOOKUP($B54,Data_4a!$BE$13:$BQ$73,7,FALSE)</f>
        <v/>
      </c>
      <c r="F54" s="862" t="str">
        <f>VLOOKUP($B54,Data_4a!$BE$13:$BQ$73,8,FALSE)</f>
        <v/>
      </c>
      <c r="G54" s="862" t="str">
        <f>IF(Progress!N53="BASIC+",VLOOKUP($B54,Data_4a!$BE$13:$BQ$73,12,FALSE),"")</f>
        <v/>
      </c>
      <c r="H54" s="862" t="str">
        <f>IF(Progress!N53="BASIC+",VLOOKUP($B54,Data_4a!$BE$13:$BQ$73,13,FALSE),"")</f>
        <v/>
      </c>
      <c r="I54" s="417" t="str">
        <f>IF(Progress!D$19="","",IF(B54=Progress!$D$18,Data_4b!$C$9*(100-Progress!D$19)/100,""))</f>
        <v/>
      </c>
    </row>
    <row r="55" spans="1:9">
      <c r="A55" s="1734">
        <v>47</v>
      </c>
      <c r="B55" s="339">
        <f>Data_4a!B59</f>
        <v>2046</v>
      </c>
      <c r="C55" s="862" t="str">
        <f>VLOOKUP($B55,Data_4a!$BE$13:$BQ$73,2,FALSE)</f>
        <v/>
      </c>
      <c r="D55" s="862" t="str">
        <f>VLOOKUP($B55,Data_4a!$BE$13:$BQ$73,6,FALSE)</f>
        <v/>
      </c>
      <c r="E55" s="862" t="str">
        <f>VLOOKUP($B55,Data_4a!$BE$13:$BQ$73,7,FALSE)</f>
        <v/>
      </c>
      <c r="F55" s="862" t="str">
        <f>VLOOKUP($B55,Data_4a!$BE$13:$BQ$73,8,FALSE)</f>
        <v/>
      </c>
      <c r="G55" s="862" t="str">
        <f>IF(Progress!N54="BASIC+",VLOOKUP($B55,Data_4a!$BE$13:$BQ$73,12,FALSE),"")</f>
        <v/>
      </c>
      <c r="H55" s="862" t="str">
        <f>IF(Progress!N54="BASIC+",VLOOKUP($B55,Data_4a!$BE$13:$BQ$73,13,FALSE),"")</f>
        <v/>
      </c>
      <c r="I55" s="417" t="str">
        <f>IF(Progress!D$19="","",IF(B55=Progress!$D$18,Data_4b!$C$9*(100-Progress!D$19)/100,""))</f>
        <v/>
      </c>
    </row>
    <row r="56" spans="1:9">
      <c r="A56" s="1734">
        <v>48</v>
      </c>
      <c r="B56" s="339">
        <f>Data_4a!B60</f>
        <v>2047</v>
      </c>
      <c r="C56" s="862" t="str">
        <f>VLOOKUP($B56,Data_4a!$BE$13:$BQ$73,2,FALSE)</f>
        <v/>
      </c>
      <c r="D56" s="862" t="str">
        <f>VLOOKUP($B56,Data_4a!$BE$13:$BQ$73,6,FALSE)</f>
        <v/>
      </c>
      <c r="E56" s="862" t="str">
        <f>VLOOKUP($B56,Data_4a!$BE$13:$BQ$73,7,FALSE)</f>
        <v/>
      </c>
      <c r="F56" s="862" t="str">
        <f>VLOOKUP($B56,Data_4a!$BE$13:$BQ$73,8,FALSE)</f>
        <v/>
      </c>
      <c r="G56" s="862" t="str">
        <f>IF(Progress!N55="BASIC+",VLOOKUP($B56,Data_4a!$BE$13:$BQ$73,12,FALSE),"")</f>
        <v/>
      </c>
      <c r="H56" s="862" t="str">
        <f>IF(Progress!N55="BASIC+",VLOOKUP($B56,Data_4a!$BE$13:$BQ$73,13,FALSE),"")</f>
        <v/>
      </c>
      <c r="I56" s="417" t="str">
        <f>IF(Progress!D$19="","",IF(B56=Progress!$D$18,Data_4b!$C$9*(100-Progress!D$19)/100,""))</f>
        <v/>
      </c>
    </row>
    <row r="57" spans="1:9">
      <c r="A57" s="1734">
        <v>49</v>
      </c>
      <c r="B57" s="339">
        <f>Data_4a!B61</f>
        <v>2048</v>
      </c>
      <c r="C57" s="862" t="str">
        <f>VLOOKUP($B57,Data_4a!$BE$13:$BQ$73,2,FALSE)</f>
        <v/>
      </c>
      <c r="D57" s="862" t="str">
        <f>VLOOKUP($B57,Data_4a!$BE$13:$BQ$73,6,FALSE)</f>
        <v/>
      </c>
      <c r="E57" s="862" t="str">
        <f>VLOOKUP($B57,Data_4a!$BE$13:$BQ$73,7,FALSE)</f>
        <v/>
      </c>
      <c r="F57" s="862" t="str">
        <f>VLOOKUP($B57,Data_4a!$BE$13:$BQ$73,8,FALSE)</f>
        <v/>
      </c>
      <c r="G57" s="862" t="str">
        <f>IF(Progress!N56="BASIC+",VLOOKUP($B57,Data_4a!$BE$13:$BQ$73,12,FALSE),"")</f>
        <v/>
      </c>
      <c r="H57" s="862" t="str">
        <f>IF(Progress!N56="BASIC+",VLOOKUP($B57,Data_4a!$BE$13:$BQ$73,13,FALSE),"")</f>
        <v/>
      </c>
      <c r="I57" s="417" t="str">
        <f>IF(Progress!D$19="","",IF(B57=Progress!$D$18,Data_4b!$C$9*(100-Progress!D$19)/100,""))</f>
        <v/>
      </c>
    </row>
    <row r="58" spans="1:9">
      <c r="A58" s="1734">
        <v>50</v>
      </c>
      <c r="B58" s="339">
        <f>Data_4a!B62</f>
        <v>2049</v>
      </c>
      <c r="C58" s="862" t="str">
        <f>VLOOKUP($B58,Data_4a!$BE$13:$BQ$73,2,FALSE)</f>
        <v/>
      </c>
      <c r="D58" s="862" t="str">
        <f>VLOOKUP($B58,Data_4a!$BE$13:$BQ$73,6,FALSE)</f>
        <v/>
      </c>
      <c r="E58" s="862" t="str">
        <f>VLOOKUP($B58,Data_4a!$BE$13:$BQ$73,7,FALSE)</f>
        <v/>
      </c>
      <c r="F58" s="862" t="str">
        <f>VLOOKUP($B58,Data_4a!$BE$13:$BQ$73,8,FALSE)</f>
        <v/>
      </c>
      <c r="G58" s="862" t="str">
        <f>IF(Progress!N57="BASIC+",VLOOKUP($B58,Data_4a!$BE$13:$BQ$73,12,FALSE),"")</f>
        <v/>
      </c>
      <c r="H58" s="862" t="str">
        <f>IF(Progress!N57="BASIC+",VLOOKUP($B58,Data_4a!$BE$13:$BQ$73,13,FALSE),"")</f>
        <v/>
      </c>
      <c r="I58" s="417" t="str">
        <f>IF(Progress!D$19="","",IF(B58=Progress!$D$18,Data_4b!$C$9*(100-Progress!D$19)/100,""))</f>
        <v/>
      </c>
    </row>
    <row r="59" spans="1:9">
      <c r="A59" s="1734">
        <v>51</v>
      </c>
      <c r="B59" s="339">
        <f>Data_4a!B63</f>
        <v>2050</v>
      </c>
      <c r="C59" s="862" t="str">
        <f>VLOOKUP($B59,Data_4a!$BE$13:$BQ$73,2,FALSE)</f>
        <v/>
      </c>
      <c r="D59" s="862" t="str">
        <f>VLOOKUP($B59,Data_4a!$BE$13:$BQ$73,6,FALSE)</f>
        <v/>
      </c>
      <c r="E59" s="862" t="str">
        <f>VLOOKUP($B59,Data_4a!$BE$13:$BQ$73,7,FALSE)</f>
        <v/>
      </c>
      <c r="F59" s="862" t="str">
        <f>VLOOKUP($B59,Data_4a!$BE$13:$BQ$73,8,FALSE)</f>
        <v/>
      </c>
      <c r="G59" s="862" t="str">
        <f>IF(Progress!N58="BASIC+",VLOOKUP($B59,Data_4a!$BE$13:$BQ$73,12,FALSE),"")</f>
        <v/>
      </c>
      <c r="H59" s="862" t="str">
        <f>IF(Progress!N58="BASIC+",VLOOKUP($B59,Data_4a!$BE$13:$BQ$73,13,FALSE),"")</f>
        <v/>
      </c>
      <c r="I59" s="417">
        <f>IF(Progress!D$19="","",IF(B59=Progress!$D$18,Data_4b!$C$9*(100-Progress!D$19)/100,""))</f>
        <v>0</v>
      </c>
    </row>
    <row r="60" spans="1:9">
      <c r="A60" s="1734">
        <v>52</v>
      </c>
      <c r="B60" s="339" t="str">
        <f>Data_4a!B64</f>
        <v/>
      </c>
      <c r="C60" s="862" t="str">
        <f>VLOOKUP($B60,Data_4a!$BE$13:$BQ$73,2,FALSE)</f>
        <v/>
      </c>
      <c r="D60" s="862" t="str">
        <f>VLOOKUP($B60,Data_4a!$BE$13:$BQ$73,6,FALSE)</f>
        <v/>
      </c>
      <c r="E60" s="862" t="str">
        <f>VLOOKUP($B60,Data_4a!$BE$13:$BQ$73,7,FALSE)</f>
        <v/>
      </c>
      <c r="F60" s="862" t="str">
        <f>VLOOKUP($B60,Data_4a!$BE$13:$BQ$73,8,FALSE)</f>
        <v/>
      </c>
      <c r="G60" s="862" t="str">
        <f>IF(Progress!N59="BASIC+",VLOOKUP($B60,Data_4a!$BE$13:$BQ$73,12,FALSE),"")</f>
        <v/>
      </c>
      <c r="H60" s="862" t="str">
        <f>IF(Progress!N59="BASIC+",VLOOKUP($B60,Data_4a!$BE$13:$BQ$73,13,FALSE),"")</f>
        <v/>
      </c>
      <c r="I60" s="417" t="str">
        <f>IF(Progress!D$19="","",IF(B60=Progress!$D$18,Data_4b!$C$9*(100-Progress!D$19)/100,""))</f>
        <v/>
      </c>
    </row>
    <row r="61" spans="1:9">
      <c r="A61" s="1734">
        <v>53</v>
      </c>
      <c r="B61" s="339" t="str">
        <f>Data_4a!B65</f>
        <v/>
      </c>
      <c r="C61" s="862" t="str">
        <f>VLOOKUP($B61,Data_4a!$BE$13:$BQ$73,2,FALSE)</f>
        <v/>
      </c>
      <c r="D61" s="862" t="str">
        <f>VLOOKUP($B61,Data_4a!$BE$13:$BQ$73,6,FALSE)</f>
        <v/>
      </c>
      <c r="E61" s="862" t="str">
        <f>VLOOKUP($B61,Data_4a!$BE$13:$BQ$73,7,FALSE)</f>
        <v/>
      </c>
      <c r="F61" s="862" t="str">
        <f>VLOOKUP($B61,Data_4a!$BE$13:$BQ$73,8,FALSE)</f>
        <v/>
      </c>
      <c r="G61" s="862" t="str">
        <f>IF(Progress!N60="BASIC+",VLOOKUP($B61,Data_4a!$BE$13:$BQ$73,12,FALSE),"")</f>
        <v/>
      </c>
      <c r="H61" s="862" t="str">
        <f>IF(Progress!N60="BASIC+",VLOOKUP($B61,Data_4a!$BE$13:$BQ$73,13,FALSE),"")</f>
        <v/>
      </c>
      <c r="I61" s="417" t="str">
        <f>IF(Progress!D$19="","",IF(B61=Progress!$D$18,Data_4b!$C$9*(100-Progress!D$19)/100,""))</f>
        <v/>
      </c>
    </row>
    <row r="62" spans="1:9">
      <c r="A62" s="1734">
        <v>54</v>
      </c>
      <c r="B62" s="339" t="str">
        <f>Data_4a!B66</f>
        <v/>
      </c>
      <c r="C62" s="862" t="str">
        <f>VLOOKUP($B62,Data_4a!$BE$13:$BQ$73,2,FALSE)</f>
        <v/>
      </c>
      <c r="D62" s="862" t="str">
        <f>VLOOKUP($B62,Data_4a!$BE$13:$BQ$73,6,FALSE)</f>
        <v/>
      </c>
      <c r="E62" s="862" t="str">
        <f>VLOOKUP($B62,Data_4a!$BE$13:$BQ$73,7,FALSE)</f>
        <v/>
      </c>
      <c r="F62" s="862" t="str">
        <f>VLOOKUP($B62,Data_4a!$BE$13:$BQ$73,8,FALSE)</f>
        <v/>
      </c>
      <c r="G62" s="862" t="str">
        <f>IF(Progress!N61="BASIC+",VLOOKUP($B62,Data_4a!$BE$13:$BQ$73,12,FALSE),"")</f>
        <v/>
      </c>
      <c r="H62" s="862" t="str">
        <f>IF(Progress!N61="BASIC+",VLOOKUP($B62,Data_4a!$BE$13:$BQ$73,13,FALSE),"")</f>
        <v/>
      </c>
      <c r="I62" s="417" t="str">
        <f>IF(Progress!D$19="","",IF(B62=Progress!$D$18,Data_4b!$C$9*(100-Progress!D$19)/100,""))</f>
        <v/>
      </c>
    </row>
    <row r="63" spans="1:9">
      <c r="A63" s="1734">
        <v>55</v>
      </c>
      <c r="B63" s="339" t="str">
        <f>Data_4a!B67</f>
        <v/>
      </c>
      <c r="C63" s="862" t="str">
        <f>VLOOKUP($B63,Data_4a!$BE$13:$BQ$73,2,FALSE)</f>
        <v/>
      </c>
      <c r="D63" s="862" t="str">
        <f>VLOOKUP($B63,Data_4a!$BE$13:$BQ$73,6,FALSE)</f>
        <v/>
      </c>
      <c r="E63" s="862" t="str">
        <f>VLOOKUP($B63,Data_4a!$BE$13:$BQ$73,7,FALSE)</f>
        <v/>
      </c>
      <c r="F63" s="862" t="str">
        <f>VLOOKUP($B63,Data_4a!$BE$13:$BQ$73,8,FALSE)</f>
        <v/>
      </c>
      <c r="G63" s="862" t="str">
        <f>IF(Progress!N62="BASIC+",VLOOKUP($B63,Data_4a!$BE$13:$BQ$73,12,FALSE),"")</f>
        <v/>
      </c>
      <c r="H63" s="862" t="str">
        <f>IF(Progress!N62="BASIC+",VLOOKUP($B63,Data_4a!$BE$13:$BQ$73,13,FALSE),"")</f>
        <v/>
      </c>
      <c r="I63" s="417" t="str">
        <f>IF(Progress!D$19="","",IF(B63=Progress!$D$18,Data_4b!$C$9*(100-Progress!D$19)/100,""))</f>
        <v/>
      </c>
    </row>
    <row r="64" spans="1:9">
      <c r="A64" s="1734">
        <v>56</v>
      </c>
      <c r="B64" s="339" t="str">
        <f>Data_4a!B68</f>
        <v/>
      </c>
      <c r="C64" s="862" t="str">
        <f>VLOOKUP($B64,Data_4a!$BE$13:$BQ$73,2,FALSE)</f>
        <v/>
      </c>
      <c r="D64" s="862" t="str">
        <f>VLOOKUP($B64,Data_4a!$BE$13:$BQ$73,6,FALSE)</f>
        <v/>
      </c>
      <c r="E64" s="862" t="str">
        <f>VLOOKUP($B64,Data_4a!$BE$13:$BQ$73,7,FALSE)</f>
        <v/>
      </c>
      <c r="F64" s="862" t="str">
        <f>VLOOKUP($B64,Data_4a!$BE$13:$BQ$73,8,FALSE)</f>
        <v/>
      </c>
      <c r="G64" s="862" t="str">
        <f>IF(Progress!N63="BASIC+",VLOOKUP($B64,Data_4a!$BE$13:$BQ$73,12,FALSE),"")</f>
        <v/>
      </c>
      <c r="H64" s="862" t="str">
        <f>IF(Progress!N63="BASIC+",VLOOKUP($B64,Data_4a!$BE$13:$BQ$73,13,FALSE),"")</f>
        <v/>
      </c>
      <c r="I64" s="417" t="str">
        <f>IF(Progress!D$19="","",IF(B64=Progress!$D$18,Data_4b!$C$9*(100-Progress!D$19)/100,""))</f>
        <v/>
      </c>
    </row>
    <row r="65" spans="1:9">
      <c r="A65" s="1734">
        <v>57</v>
      </c>
      <c r="B65" s="339" t="str">
        <f>Data_4a!B69</f>
        <v/>
      </c>
      <c r="C65" s="862" t="str">
        <f>VLOOKUP($B65,Data_4a!$BE$13:$BQ$73,2,FALSE)</f>
        <v/>
      </c>
      <c r="D65" s="862" t="str">
        <f>VLOOKUP($B65,Data_4a!$BE$13:$BQ$73,6,FALSE)</f>
        <v/>
      </c>
      <c r="E65" s="862" t="str">
        <f>VLOOKUP($B65,Data_4a!$BE$13:$BQ$73,7,FALSE)</f>
        <v/>
      </c>
      <c r="F65" s="862" t="str">
        <f>VLOOKUP($B65,Data_4a!$BE$13:$BQ$73,8,FALSE)</f>
        <v/>
      </c>
      <c r="G65" s="862" t="str">
        <f>IF(Progress!N64="BASIC+",VLOOKUP($B65,Data_4a!$BE$13:$BQ$73,12,FALSE),"")</f>
        <v/>
      </c>
      <c r="H65" s="862" t="str">
        <f>IF(Progress!N64="BASIC+",VLOOKUP($B65,Data_4a!$BE$13:$BQ$73,13,FALSE),"")</f>
        <v/>
      </c>
      <c r="I65" s="417" t="str">
        <f>IF(Progress!D$19="","",IF(B65=Progress!$D$18,Data_4b!$C$9*(100-Progress!D$19)/100,""))</f>
        <v/>
      </c>
    </row>
    <row r="66" spans="1:9">
      <c r="A66" s="1734">
        <v>58</v>
      </c>
      <c r="B66" s="339" t="str">
        <f>Data_4a!B70</f>
        <v/>
      </c>
      <c r="C66" s="862" t="str">
        <f>VLOOKUP($B66,Data_4a!$BE$13:$BQ$73,2,FALSE)</f>
        <v/>
      </c>
      <c r="D66" s="862" t="str">
        <f>VLOOKUP($B66,Data_4a!$BE$13:$BQ$73,6,FALSE)</f>
        <v/>
      </c>
      <c r="E66" s="862" t="str">
        <f>VLOOKUP($B66,Data_4a!$BE$13:$BQ$73,7,FALSE)</f>
        <v/>
      </c>
      <c r="F66" s="862" t="str">
        <f>VLOOKUP($B66,Data_4a!$BE$13:$BQ$73,8,FALSE)</f>
        <v/>
      </c>
      <c r="G66" s="862" t="str">
        <f>IF(Progress!N65="BASIC+",VLOOKUP($B66,Data_4a!$BE$13:$BQ$73,12,FALSE),"")</f>
        <v/>
      </c>
      <c r="H66" s="862" t="str">
        <f>IF(Progress!N65="BASIC+",VLOOKUP($B66,Data_4a!$BE$13:$BQ$73,13,FALSE),"")</f>
        <v/>
      </c>
      <c r="I66" s="417" t="str">
        <f>IF(Progress!D$19="","",IF(B66=Progress!$D$18,Data_4b!$C$9*(100-Progress!D$19)/100,""))</f>
        <v/>
      </c>
    </row>
    <row r="67" spans="1:9">
      <c r="A67" s="1734">
        <v>59</v>
      </c>
      <c r="B67" s="339" t="str">
        <f>Data_4a!B71</f>
        <v/>
      </c>
      <c r="C67" s="862" t="str">
        <f>VLOOKUP($B67,Data_4a!$BE$13:$BQ$73,2,FALSE)</f>
        <v/>
      </c>
      <c r="D67" s="862" t="str">
        <f>VLOOKUP($B67,Data_4a!$BE$13:$BQ$73,6,FALSE)</f>
        <v/>
      </c>
      <c r="E67" s="862" t="str">
        <f>VLOOKUP($B67,Data_4a!$BE$13:$BQ$73,7,FALSE)</f>
        <v/>
      </c>
      <c r="F67" s="862" t="str">
        <f>VLOOKUP($B67,Data_4a!$BE$13:$BQ$73,8,FALSE)</f>
        <v/>
      </c>
      <c r="G67" s="862" t="str">
        <f>IF(Progress!N66="BASIC+",VLOOKUP($B67,Data_4a!$BE$13:$BQ$73,12,FALSE),"")</f>
        <v/>
      </c>
      <c r="H67" s="862" t="str">
        <f>IF(Progress!N66="BASIC+",VLOOKUP($B67,Data_4a!$BE$13:$BQ$73,13,FALSE),"")</f>
        <v/>
      </c>
      <c r="I67" s="417" t="str">
        <f>IF(Progress!D$19="","",IF(B67=Progress!$D$18,Data_4b!$C$9*(100-Progress!D$19)/100,""))</f>
        <v/>
      </c>
    </row>
    <row r="68" spans="1:9">
      <c r="A68" s="1734">
        <v>60</v>
      </c>
      <c r="B68" s="339" t="str">
        <f>Data_4a!B72</f>
        <v/>
      </c>
      <c r="C68" s="862" t="str">
        <f>VLOOKUP($B68,Data_4a!$BE$13:$BQ$73,2,FALSE)</f>
        <v/>
      </c>
      <c r="D68" s="862" t="str">
        <f>VLOOKUP($B68,Data_4a!$BE$13:$BQ$73,6,FALSE)</f>
        <v/>
      </c>
      <c r="E68" s="862" t="str">
        <f>VLOOKUP($B68,Data_4a!$BE$13:$BQ$73,7,FALSE)</f>
        <v/>
      </c>
      <c r="F68" s="862" t="str">
        <f>VLOOKUP($B68,Data_4a!$BE$13:$BQ$73,8,FALSE)</f>
        <v/>
      </c>
      <c r="G68" s="862" t="str">
        <f>IF(Progress!N67="BASIC+",VLOOKUP($B68,Data_4a!$BE$13:$BQ$73,12,FALSE),"")</f>
        <v/>
      </c>
      <c r="H68" s="862" t="str">
        <f>IF(Progress!N67="BASIC+",VLOOKUP($B68,Data_4a!$BE$13:$BQ$73,13,FALSE),"")</f>
        <v/>
      </c>
      <c r="I68" s="417" t="str">
        <f>IF(Progress!D$19="","",IF(B68=Progress!$D$18,Data_4b!$C$9*(100-Progress!D$19)/100,""))</f>
        <v/>
      </c>
    </row>
    <row r="70" spans="1:9" ht="30" customHeight="1">
      <c r="C70" s="2568"/>
      <c r="D70" s="2568"/>
      <c r="E70" s="2568"/>
    </row>
  </sheetData>
  <sheetProtection selectLockedCells="1" selectUnlockedCells="1"/>
  <mergeCells count="20">
    <mergeCell ref="P3:Q3"/>
    <mergeCell ref="R3:S3"/>
    <mergeCell ref="T3:U3"/>
    <mergeCell ref="X3:Y3"/>
    <mergeCell ref="C70:E70"/>
    <mergeCell ref="V3:W3"/>
    <mergeCell ref="L2:M2"/>
    <mergeCell ref="N2:O2"/>
    <mergeCell ref="D3:E3"/>
    <mergeCell ref="F3:G3"/>
    <mergeCell ref="H3:I3"/>
    <mergeCell ref="J3:K3"/>
    <mergeCell ref="L3:M3"/>
    <mergeCell ref="N3:O3"/>
    <mergeCell ref="J2:K2"/>
    <mergeCell ref="B2:B3"/>
    <mergeCell ref="C2:C3"/>
    <mergeCell ref="D2:E2"/>
    <mergeCell ref="F2:G2"/>
    <mergeCell ref="H2:I2"/>
  </mergeCells>
  <hyperlinks>
    <hyperlink ref="H3" location="Benchmark!A1" display="Benchmarking"/>
    <hyperlink ref="G3" location="Progress!A1" display="Progress!A1"/>
    <hyperlink ref="F3" location="Progress!A1" display="Progress"/>
    <hyperlink ref="D3" location="Data!A1" display="Data"/>
    <hyperlink ref="E3" location="Data!A1" display="Data!A1"/>
    <hyperlink ref="I3" location="Benchmark!A1" display="Benchmark!A1"/>
    <hyperlink ref="J3" location="'Heat map'!A1" display="Heat map"/>
    <hyperlink ref="K3" location="'Heat map'!A1" display="'Heat map'!A1"/>
    <hyperlink ref="L3" location="Overview_2!A1" display="Overview"/>
    <hyperlink ref="M3" location="Overview_2!A1" display="Overview_2!A1"/>
    <hyperlink ref="N3" location="Output!A1" display="Output"/>
    <hyperlink ref="O3" location="Output!A1" display="Output!A1"/>
  </hyperlinks>
  <pageMargins left="0.75" right="0.75" top="1" bottom="1" header="0.5" footer="0.5"/>
  <pageSetup paperSize="9" orientation="portrait" horizontalDpi="4294967292" verticalDpi="4294967292"/>
  <ignoredErrors>
    <ignoredError sqref="C9 C35:F68 C34:F34 G9:H68 C11:F33 C10 E10:F10" emptyCellReference="1"/>
  </ignoredErrors>
  <drawing r:id="rId1"/>
  <extLst>
    <ext xmlns:mx="http://schemas.microsoft.com/office/mac/excel/2008/main" uri="{64002731-A6B0-56B0-2670-7721B7C09600}">
      <mx:PLV Mode="0" OnePage="0" WScale="0"/>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theme="4"/>
    <outlinePr summaryBelow="0"/>
    <pageSetUpPr fitToPage="1"/>
  </sheetPr>
  <dimension ref="A1:EU61"/>
  <sheetViews>
    <sheetView showRowColHeaders="0" workbookViewId="0">
      <selection activeCell="A2" sqref="A2"/>
    </sheetView>
  </sheetViews>
  <sheetFormatPr baseColWidth="10" defaultColWidth="0" defaultRowHeight="15" customHeight="1" x14ac:dyDescent="0"/>
  <cols>
    <col min="1" max="1" width="4.83203125" style="31" customWidth="1"/>
    <col min="2" max="2" width="12.83203125" style="32" customWidth="1"/>
    <col min="3" max="5" width="12.83203125" style="33" customWidth="1"/>
    <col min="6" max="6" width="12.83203125" style="34" customWidth="1"/>
    <col min="7" max="10" width="12.6640625" style="34" customWidth="1"/>
    <col min="11" max="14" width="12.83203125" style="31" customWidth="1"/>
    <col min="15" max="15" width="12.83203125" style="15" customWidth="1"/>
    <col min="16" max="19" width="12.83203125" style="31" customWidth="1"/>
    <col min="20" max="24" width="12.83203125" style="26" customWidth="1"/>
    <col min="25" max="63" width="12.83203125" style="31" customWidth="1"/>
    <col min="64" max="64" width="4.83203125" style="31" customWidth="1"/>
    <col min="65" max="151" width="0" style="31" hidden="1" customWidth="1"/>
    <col min="152" max="16384" width="10.83203125" style="31" hidden="1"/>
  </cols>
  <sheetData>
    <row r="1" spans="1:64" s="498" customFormat="1">
      <c r="O1" s="499"/>
      <c r="P1" s="499"/>
      <c r="Q1" s="499"/>
      <c r="R1" s="500"/>
      <c r="S1" s="500"/>
      <c r="T1" s="500"/>
    </row>
    <row r="2" spans="1:64" s="464" customFormat="1" ht="31" customHeight="1">
      <c r="A2" s="494"/>
      <c r="B2" s="1817" t="s">
        <v>1965</v>
      </c>
      <c r="C2" s="1445">
        <v>400</v>
      </c>
      <c r="D2" s="1446" t="s">
        <v>1555</v>
      </c>
      <c r="E2" s="1564"/>
      <c r="F2" s="1446" t="s">
        <v>1563</v>
      </c>
      <c r="G2" s="1447"/>
      <c r="H2" s="1446" t="s">
        <v>794</v>
      </c>
      <c r="I2" s="1447"/>
      <c r="J2" s="1446" t="s">
        <v>1570</v>
      </c>
      <c r="K2" s="1447"/>
      <c r="L2" s="1446" t="s">
        <v>1564</v>
      </c>
      <c r="M2" s="1447"/>
      <c r="N2" s="1448" t="s">
        <v>1602</v>
      </c>
      <c r="O2" s="1449"/>
      <c r="P2" s="1422"/>
      <c r="Q2" s="1422"/>
      <c r="R2" s="1422"/>
      <c r="S2" s="1422"/>
      <c r="T2" s="496"/>
      <c r="U2" s="494"/>
      <c r="V2" s="494"/>
      <c r="W2" s="494"/>
      <c r="X2" s="494"/>
      <c r="Y2" s="494"/>
      <c r="Z2" s="494"/>
      <c r="AA2" s="494"/>
      <c r="AB2" s="494"/>
      <c r="AC2" s="494"/>
      <c r="AD2" s="494"/>
      <c r="AE2" s="494"/>
      <c r="AF2" s="494"/>
      <c r="AG2" s="494"/>
      <c r="AH2" s="494"/>
      <c r="AI2" s="494"/>
      <c r="AJ2" s="494"/>
      <c r="AK2" s="494"/>
      <c r="AL2" s="494"/>
      <c r="AM2" s="494"/>
      <c r="AN2" s="494"/>
      <c r="AO2" s="494"/>
      <c r="AP2" s="494"/>
      <c r="AQ2" s="494"/>
      <c r="AR2" s="494"/>
      <c r="AS2" s="494"/>
      <c r="AT2" s="494"/>
      <c r="AU2" s="494"/>
      <c r="AV2" s="494"/>
      <c r="AW2" s="494"/>
      <c r="AX2" s="494"/>
      <c r="AY2" s="494"/>
      <c r="AZ2" s="494"/>
      <c r="BA2" s="494"/>
      <c r="BB2" s="494"/>
      <c r="BC2" s="494"/>
      <c r="BD2" s="494"/>
      <c r="BE2" s="494"/>
      <c r="BF2" s="494"/>
      <c r="BG2" s="494"/>
      <c r="BH2" s="494"/>
      <c r="BI2" s="494"/>
      <c r="BJ2" s="494"/>
      <c r="BK2" s="494"/>
      <c r="BL2" s="494"/>
    </row>
    <row r="3" spans="1:64" s="464" customFormat="1" ht="31" customHeight="1">
      <c r="A3" s="494"/>
      <c r="B3" s="1818"/>
      <c r="C3" s="1450"/>
      <c r="D3" s="1451" t="s">
        <v>722</v>
      </c>
      <c r="E3" s="1563"/>
      <c r="F3" s="1451" t="s">
        <v>1608</v>
      </c>
      <c r="G3" s="1452"/>
      <c r="H3" s="1451" t="s">
        <v>1609</v>
      </c>
      <c r="I3" s="1452"/>
      <c r="J3" s="1451" t="s">
        <v>1909</v>
      </c>
      <c r="K3" s="1452"/>
      <c r="L3" s="1451" t="s">
        <v>1568</v>
      </c>
      <c r="M3" s="1452"/>
      <c r="N3" s="1451" t="s">
        <v>2004</v>
      </c>
      <c r="O3" s="1452"/>
      <c r="P3" s="1453" t="s">
        <v>2019</v>
      </c>
      <c r="Q3" s="1454"/>
      <c r="R3" s="1453" t="s">
        <v>2461</v>
      </c>
      <c r="S3" s="1454"/>
      <c r="T3" s="1453" t="s">
        <v>2608</v>
      </c>
      <c r="U3" s="1454"/>
      <c r="V3" s="1453" t="s">
        <v>2607</v>
      </c>
      <c r="W3" s="1454"/>
      <c r="X3" s="2651" t="s">
        <v>2460</v>
      </c>
      <c r="Y3" s="2652"/>
      <c r="Z3" s="1453" t="s">
        <v>2022</v>
      </c>
      <c r="AA3" s="1454"/>
      <c r="AB3" s="494"/>
      <c r="AC3" s="494"/>
      <c r="AD3" s="494"/>
      <c r="AE3" s="494"/>
      <c r="AF3" s="494"/>
      <c r="AG3" s="494"/>
      <c r="AH3" s="494"/>
      <c r="AI3" s="494"/>
      <c r="AJ3" s="494"/>
      <c r="AK3" s="494"/>
      <c r="AL3" s="494"/>
      <c r="AM3" s="494"/>
      <c r="AN3" s="494"/>
      <c r="AO3" s="494"/>
      <c r="AP3" s="494"/>
      <c r="AQ3" s="494"/>
      <c r="AR3" s="494"/>
      <c r="AS3" s="494"/>
      <c r="AT3" s="494"/>
      <c r="AU3" s="494"/>
      <c r="AV3" s="494"/>
      <c r="AW3" s="494"/>
      <c r="AX3" s="494"/>
      <c r="AY3" s="494"/>
      <c r="AZ3" s="494"/>
      <c r="BA3" s="494"/>
      <c r="BB3" s="494"/>
      <c r="BC3" s="494"/>
      <c r="BD3" s="494"/>
      <c r="BE3" s="494"/>
      <c r="BF3" s="494"/>
      <c r="BG3" s="494"/>
      <c r="BH3" s="494"/>
      <c r="BI3" s="494"/>
      <c r="BJ3" s="494"/>
      <c r="BK3" s="494"/>
      <c r="BL3" s="494"/>
    </row>
    <row r="4" spans="1:64" s="494" customFormat="1" ht="15" customHeight="1">
      <c r="B4" s="492"/>
      <c r="C4" s="497"/>
      <c r="D4" s="497"/>
      <c r="E4" s="497"/>
      <c r="F4" s="497"/>
      <c r="G4" s="496"/>
      <c r="H4" s="496"/>
      <c r="I4" s="496"/>
      <c r="J4" s="496"/>
      <c r="K4" s="496"/>
      <c r="L4" s="496"/>
      <c r="M4" s="496"/>
      <c r="N4" s="496"/>
    </row>
    <row r="5" spans="1:64" ht="31" customHeight="1">
      <c r="O5" s="31"/>
    </row>
    <row r="6" spans="1:64" s="29" customFormat="1" ht="31" customHeight="1" thickBot="1">
      <c r="A6" s="31"/>
      <c r="B6" s="1385" t="s">
        <v>2726</v>
      </c>
      <c r="C6" s="466"/>
      <c r="D6" s="466"/>
      <c r="E6" s="466"/>
      <c r="F6" s="467"/>
      <c r="G6" s="467"/>
      <c r="H6" s="467"/>
      <c r="I6" s="467"/>
      <c r="J6" s="467"/>
      <c r="K6" s="468"/>
      <c r="L6" s="468"/>
      <c r="M6" s="468"/>
      <c r="N6" s="468"/>
      <c r="O6" s="468"/>
      <c r="P6" s="468"/>
      <c r="Q6" s="468"/>
      <c r="R6" s="468"/>
      <c r="S6" s="468"/>
      <c r="T6" s="468"/>
      <c r="U6" s="468"/>
      <c r="V6" s="468"/>
      <c r="W6" s="468"/>
      <c r="X6" s="468"/>
      <c r="Y6" s="468"/>
      <c r="Z6" s="468"/>
      <c r="AA6" s="468"/>
      <c r="AB6" s="468"/>
      <c r="AC6" s="468"/>
      <c r="AD6" s="468"/>
      <c r="AE6" s="468"/>
      <c r="AF6" s="468"/>
      <c r="AG6" s="468"/>
      <c r="AH6" s="468"/>
      <c r="AI6" s="468"/>
      <c r="AJ6" s="468"/>
      <c r="AK6" s="468"/>
      <c r="AL6" s="468"/>
      <c r="AM6" s="468"/>
      <c r="AN6" s="468"/>
      <c r="AO6" s="468"/>
      <c r="AP6" s="468"/>
      <c r="AQ6" s="468"/>
      <c r="AR6" s="468"/>
      <c r="AS6" s="468"/>
      <c r="AT6" s="468"/>
      <c r="AU6" s="468"/>
      <c r="AV6" s="468"/>
      <c r="AW6" s="468"/>
      <c r="AX6" s="468"/>
      <c r="AY6" s="468"/>
      <c r="AZ6" s="468"/>
      <c r="BA6" s="468"/>
      <c r="BB6" s="468"/>
      <c r="BC6" s="468"/>
      <c r="BD6" s="468"/>
      <c r="BE6" s="468"/>
      <c r="BF6" s="468"/>
      <c r="BG6" s="468"/>
      <c r="BH6" s="468"/>
      <c r="BI6" s="468"/>
      <c r="BJ6" s="468"/>
      <c r="BK6" s="468"/>
    </row>
    <row r="7" spans="1:64" s="29" customFormat="1" ht="15" customHeight="1" thickTop="1">
      <c r="B7" s="229"/>
      <c r="C7" s="230"/>
      <c r="D7" s="230"/>
      <c r="E7" s="230"/>
      <c r="F7" s="30"/>
      <c r="G7" s="30"/>
      <c r="H7" s="30"/>
      <c r="I7" s="30"/>
      <c r="J7" s="30"/>
      <c r="T7" s="234"/>
      <c r="U7" s="234"/>
      <c r="V7" s="234"/>
      <c r="W7" s="234"/>
      <c r="X7" s="234"/>
    </row>
    <row r="8" spans="1:64" s="15" customFormat="1" ht="15" customHeight="1">
      <c r="B8" s="465" t="s">
        <v>2496</v>
      </c>
      <c r="C8" s="22"/>
      <c r="D8" s="22"/>
      <c r="E8" s="22"/>
      <c r="F8" s="22"/>
      <c r="G8" s="22"/>
      <c r="H8" s="22"/>
      <c r="I8" s="22"/>
      <c r="J8" s="22"/>
      <c r="K8" s="22"/>
      <c r="L8" s="22"/>
      <c r="M8" s="22"/>
      <c r="N8" s="22"/>
      <c r="O8" s="22"/>
      <c r="P8" s="22"/>
      <c r="Q8" s="22"/>
      <c r="R8" s="22"/>
      <c r="S8" s="22"/>
      <c r="T8" s="22"/>
      <c r="U8" s="22"/>
      <c r="V8" s="22"/>
      <c r="W8" s="22"/>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row>
    <row r="9" spans="1:64" s="15" customFormat="1" ht="15" customHeight="1">
      <c r="B9" s="904">
        <v>1</v>
      </c>
      <c r="C9" s="904">
        <v>2</v>
      </c>
      <c r="D9" s="904">
        <v>3</v>
      </c>
      <c r="E9" s="904">
        <v>4</v>
      </c>
      <c r="F9" s="904">
        <v>5</v>
      </c>
      <c r="G9" s="904">
        <v>6</v>
      </c>
      <c r="H9" s="904">
        <v>7</v>
      </c>
      <c r="I9" s="904">
        <v>8</v>
      </c>
      <c r="J9" s="904">
        <v>9</v>
      </c>
      <c r="K9" s="904">
        <v>10</v>
      </c>
      <c r="L9" s="904">
        <v>11</v>
      </c>
      <c r="M9" s="904">
        <v>12</v>
      </c>
      <c r="N9" s="904">
        <v>13</v>
      </c>
      <c r="O9" s="904">
        <v>14</v>
      </c>
      <c r="P9" s="904">
        <v>15</v>
      </c>
      <c r="Q9" s="904">
        <v>16</v>
      </c>
      <c r="R9" s="904">
        <v>17</v>
      </c>
      <c r="S9" s="904">
        <v>18</v>
      </c>
      <c r="T9" s="904">
        <v>19</v>
      </c>
      <c r="U9" s="904">
        <v>20</v>
      </c>
      <c r="V9" s="904">
        <v>21</v>
      </c>
      <c r="W9" s="904">
        <v>22</v>
      </c>
      <c r="X9" s="904">
        <v>23</v>
      </c>
      <c r="Y9" s="904">
        <v>24</v>
      </c>
      <c r="Z9" s="904">
        <v>25</v>
      </c>
      <c r="AA9" s="904">
        <v>26</v>
      </c>
      <c r="AB9" s="904">
        <v>27</v>
      </c>
      <c r="AC9" s="904">
        <v>28</v>
      </c>
      <c r="AD9" s="904">
        <v>29</v>
      </c>
      <c r="AE9" s="904">
        <v>30</v>
      </c>
      <c r="AF9" s="904">
        <v>31</v>
      </c>
      <c r="AG9" s="904">
        <v>32</v>
      </c>
      <c r="AH9" s="904">
        <v>33</v>
      </c>
      <c r="AI9" s="904">
        <v>34</v>
      </c>
      <c r="AJ9" s="904">
        <v>35</v>
      </c>
      <c r="AK9" s="904">
        <v>36</v>
      </c>
      <c r="AL9" s="904">
        <v>37</v>
      </c>
      <c r="AM9" s="904">
        <v>38</v>
      </c>
      <c r="AN9" s="904">
        <v>39</v>
      </c>
      <c r="AO9" s="904">
        <v>40</v>
      </c>
      <c r="AP9" s="904">
        <v>41</v>
      </c>
      <c r="AQ9" s="904">
        <v>42</v>
      </c>
      <c r="AR9" s="904">
        <v>43</v>
      </c>
      <c r="AS9" s="904">
        <v>44</v>
      </c>
      <c r="AT9" s="904">
        <v>45</v>
      </c>
      <c r="AU9" s="904">
        <v>46</v>
      </c>
      <c r="AV9" s="904">
        <v>47</v>
      </c>
      <c r="AW9" s="904">
        <v>48</v>
      </c>
      <c r="AX9" s="904">
        <v>49</v>
      </c>
      <c r="AY9" s="904">
        <v>50</v>
      </c>
      <c r="AZ9" s="904">
        <v>51</v>
      </c>
      <c r="BA9" s="904">
        <v>52</v>
      </c>
      <c r="BB9" s="904">
        <v>53</v>
      </c>
      <c r="BC9" s="904">
        <v>54</v>
      </c>
      <c r="BD9" s="904">
        <v>55</v>
      </c>
      <c r="BE9" s="904">
        <v>56</v>
      </c>
      <c r="BF9" s="904">
        <v>57</v>
      </c>
      <c r="BG9" s="904">
        <v>58</v>
      </c>
      <c r="BH9" s="904">
        <v>59</v>
      </c>
      <c r="BI9" s="904">
        <v>60</v>
      </c>
      <c r="BJ9" s="904">
        <v>61</v>
      </c>
      <c r="BK9" s="904">
        <v>62</v>
      </c>
    </row>
    <row r="10" spans="1:64" s="642" customFormat="1" ht="31" customHeight="1">
      <c r="B10" s="1066" t="s">
        <v>1025</v>
      </c>
      <c r="C10" s="1423" t="s">
        <v>2505</v>
      </c>
      <c r="D10" s="1423" t="s">
        <v>2494</v>
      </c>
      <c r="E10" s="1473" t="s">
        <v>1636</v>
      </c>
      <c r="F10" s="1068" t="s">
        <v>49</v>
      </c>
      <c r="G10" s="1068" t="s">
        <v>51</v>
      </c>
      <c r="H10" s="1068" t="s">
        <v>53</v>
      </c>
      <c r="I10" s="1068" t="s">
        <v>57</v>
      </c>
      <c r="J10" s="1068" t="s">
        <v>58</v>
      </c>
      <c r="K10" s="1068" t="s">
        <v>59</v>
      </c>
      <c r="L10" s="1068" t="s">
        <v>61</v>
      </c>
      <c r="M10" s="1068" t="s">
        <v>62</v>
      </c>
      <c r="N10" s="1068" t="s">
        <v>63</v>
      </c>
      <c r="O10" s="1068" t="s">
        <v>65</v>
      </c>
      <c r="P10" s="1068" t="s">
        <v>67</v>
      </c>
      <c r="Q10" s="1068" t="s">
        <v>69</v>
      </c>
      <c r="R10" s="1068" t="s">
        <v>71</v>
      </c>
      <c r="S10" s="1068" t="s">
        <v>75</v>
      </c>
      <c r="T10" s="1068" t="s">
        <v>76</v>
      </c>
      <c r="U10" s="1068" t="s">
        <v>77</v>
      </c>
      <c r="V10" s="1068" t="s">
        <v>79</v>
      </c>
      <c r="W10" s="1068" t="s">
        <v>80</v>
      </c>
      <c r="X10" s="1068" t="s">
        <v>81</v>
      </c>
      <c r="Y10" s="1068" t="s">
        <v>83</v>
      </c>
      <c r="Z10" s="1068" t="s">
        <v>86</v>
      </c>
      <c r="AA10" s="1068" t="s">
        <v>90</v>
      </c>
      <c r="AB10" s="1068" t="s">
        <v>92</v>
      </c>
      <c r="AC10" s="1068" t="s">
        <v>94</v>
      </c>
      <c r="AD10" s="1068" t="s">
        <v>96</v>
      </c>
      <c r="AE10" s="1068" t="s">
        <v>98</v>
      </c>
      <c r="AF10" s="1068" t="s">
        <v>100</v>
      </c>
      <c r="AG10" s="1068" t="s">
        <v>102</v>
      </c>
      <c r="AH10" s="1068" t="s">
        <v>104</v>
      </c>
      <c r="AI10" s="1068" t="s">
        <v>106</v>
      </c>
      <c r="AJ10" s="1068" t="s">
        <v>108</v>
      </c>
      <c r="AK10" s="1068" t="s">
        <v>110</v>
      </c>
      <c r="AL10" s="1068" t="s">
        <v>112</v>
      </c>
      <c r="AM10" s="1068" t="s">
        <v>115</v>
      </c>
      <c r="AN10" s="1068" t="s">
        <v>117</v>
      </c>
      <c r="AO10" s="1068" t="s">
        <v>623</v>
      </c>
      <c r="AP10" s="1068" t="s">
        <v>122</v>
      </c>
      <c r="AQ10" s="1068" t="s">
        <v>124</v>
      </c>
      <c r="AR10" s="1068" t="s">
        <v>126</v>
      </c>
      <c r="AS10" s="1068" t="s">
        <v>129</v>
      </c>
      <c r="AT10" s="1068" t="s">
        <v>130</v>
      </c>
      <c r="AU10" s="1068" t="s">
        <v>132</v>
      </c>
      <c r="AV10" s="1068" t="s">
        <v>135</v>
      </c>
      <c r="AW10" s="1068" t="s">
        <v>137</v>
      </c>
      <c r="AX10" s="1068" t="s">
        <v>139</v>
      </c>
      <c r="AY10" s="1068" t="s">
        <v>142</v>
      </c>
      <c r="AZ10" s="1068" t="s">
        <v>144</v>
      </c>
      <c r="BA10" s="1068" t="s">
        <v>146</v>
      </c>
      <c r="BB10" s="1068" t="s">
        <v>150</v>
      </c>
      <c r="BC10" s="1068" t="s">
        <v>152</v>
      </c>
      <c r="BD10" s="1068" t="s">
        <v>156</v>
      </c>
      <c r="BE10" s="1068" t="s">
        <v>167</v>
      </c>
      <c r="BF10" s="1358" t="s">
        <v>168</v>
      </c>
      <c r="BG10" s="1358" t="s">
        <v>161</v>
      </c>
      <c r="BH10" s="1357" t="s">
        <v>172</v>
      </c>
      <c r="BI10" s="1067" t="s">
        <v>173</v>
      </c>
      <c r="BJ10" s="1067" t="s">
        <v>1760</v>
      </c>
      <c r="BK10" s="1067" t="s">
        <v>1714</v>
      </c>
    </row>
    <row r="11" spans="1:64" s="642" customFormat="1" ht="15" customHeight="1">
      <c r="B11" s="1414"/>
      <c r="C11" s="1417"/>
      <c r="D11" s="1417"/>
      <c r="E11" s="1417"/>
      <c r="F11" s="1416"/>
      <c r="G11" s="1416"/>
      <c r="H11" s="1416"/>
      <c r="I11" s="1416"/>
      <c r="J11" s="1416"/>
      <c r="K11" s="1416"/>
      <c r="L11" s="1416"/>
      <c r="M11" s="1416"/>
      <c r="N11" s="1416"/>
      <c r="O11" s="1416"/>
      <c r="P11" s="1416"/>
      <c r="Q11" s="1416"/>
      <c r="R11" s="1416"/>
      <c r="S11" s="1416"/>
      <c r="T11" s="1416"/>
      <c r="U11" s="1416"/>
      <c r="V11" s="1416"/>
      <c r="W11" s="1416"/>
      <c r="X11" s="1416"/>
      <c r="Y11" s="1416"/>
      <c r="Z11" s="1416"/>
      <c r="AA11" s="1416"/>
      <c r="AB11" s="1416"/>
      <c r="AC11" s="1416"/>
      <c r="AD11" s="1416"/>
      <c r="AE11" s="1416"/>
      <c r="AF11" s="1416"/>
      <c r="AG11" s="1416"/>
      <c r="AH11" s="1416"/>
      <c r="AI11" s="1416"/>
      <c r="AJ11" s="1416"/>
      <c r="AK11" s="1416"/>
      <c r="AL11" s="1416"/>
      <c r="AM11" s="1416"/>
      <c r="AN11" s="1416"/>
      <c r="AO11" s="1416"/>
      <c r="AP11" s="1416"/>
      <c r="AQ11" s="1416"/>
      <c r="AR11" s="1416"/>
      <c r="AS11" s="1416"/>
      <c r="AT11" s="1416"/>
      <c r="AU11" s="1416"/>
      <c r="AV11" s="1416"/>
      <c r="AW11" s="1416"/>
      <c r="AX11" s="1416"/>
      <c r="AY11" s="1416"/>
      <c r="AZ11" s="1416"/>
      <c r="BA11" s="1416"/>
      <c r="BB11" s="1416"/>
      <c r="BC11" s="1416"/>
      <c r="BD11" s="1416"/>
      <c r="BE11" s="1416"/>
      <c r="BF11" s="1417"/>
      <c r="BG11" s="1417"/>
      <c r="BH11" s="1418"/>
      <c r="BI11" s="1415"/>
      <c r="BJ11" s="1415"/>
      <c r="BK11" s="1415"/>
    </row>
    <row r="12" spans="1:64" s="34" customFormat="1" ht="15" customHeight="1">
      <c r="A12" s="1185">
        <v>1</v>
      </c>
      <c r="B12" s="1443" t="str">
        <f>Data_3!B13</f>
        <v>Atlantis</v>
      </c>
      <c r="C12" s="1444">
        <f>IF(B12="","",IF(VLOOKUP(B12,Data_3!$B$13:$Y$112,24,FALSE)&lt;&gt;"",2020,IF(VLOOKUP(B12,Data_3!$B$13:$Y$112,23,FALSE)&lt;&gt;"",2019,IF(VLOOKUP(B12,Data_3!$B$13:$Y$112,22,FALSE)&lt;&gt;"",2018,IF(VLOOKUP(B12,Data_3!$B$13:$Y$112,21,FALSE)&lt;&gt;"",2017,IF(VLOOKUP(B12,Data_3!$B$13:$Y$112,20,FALSE)&lt;&gt;"",2016,IF(VLOOKUP(B12,Data_3!$B$13:$Y$112,19,FALSE)&lt;&gt;"",2015,IF(VLOOKUP(B12,Data_3!$B$13:$Y$112,18,FALSE)&lt;&gt;"",2014,IF(VLOOKUP(B12,Data_3!$B$13:$Y$112,17,FALSE)&lt;&gt;"",2013,IF(VLOOKUP(B12,Data_3!$B$13:$Y$112,16,FALSE)&lt;&gt;"",2012,IF(VLOOKUP(B12,Data_3!$B$13:$Y$112,15,FALSE)&lt;&gt;"",2011,IF(VLOOKUP(B12,Data_3!$B$13:$Y$112,14,FALSE)&lt;&gt;"",2010,IF(VLOOKUP(B12,Data_3!$B$13:$Y$112,13,FALSE)&lt;&gt;"",2009,IF(VLOOKUP(B12,Data_3!$B$13:$Y$112,12,FALSE)&lt;&gt;"",2008,IF(VLOOKUP(B12,Data_3!$B$13:$Y$112,11,FALSE)&lt;&gt;"",2007,IF(VLOOKUP(B12,Data_3!$B$13:$Y$112,10,FALSE)&lt;&gt;"",2006,IF(VLOOKUP(B12,Data_3!$B$13:$Y$112,9,FALSE)&lt;&gt;"",2005,IF(VLOOKUP(B12,Data_3!$B$13:$Y$112,8,FALSE)&lt;&gt;"",2004,IF(VLOOKUP(B12,Data_3!$B$13:$Y$112,7,FALSE)&lt;&gt;"",2003,IF(VLOOKUP(B12,Data_3!$B$13:$Y$1126,FALSE)&lt;&gt;"",2002,IF(VLOOKUP(B12,Data_3!$B$13:$Y$112,5,FALSE)&lt;&gt;"",2001,IF(VLOOKUP(B12,Data_3!$B$13:$Y$112,4,FALSE)&lt;&gt;"",2000,"N/A"))))))))))))))))))))))</f>
        <v>2014</v>
      </c>
      <c r="D12" s="1456" t="str">
        <f>IF(B12="","",CONCATENATE(B12,"_",C12))</f>
        <v>Atlantis_2014</v>
      </c>
      <c r="E12" s="1444" t="str">
        <f>VLOOKUP($D12,Data!$H$16:$BS$1015,2,FALSE)</f>
        <v>BASIC</v>
      </c>
      <c r="F12" s="1051">
        <f>VLOOKUP($D12,Data!$H$16:$BS$1015,F$9+1,FALSE)</f>
        <v>790498.23643500009</v>
      </c>
      <c r="G12" s="1051">
        <f>VLOOKUP($D12,Data!$H$16:$BS$1015,G$9+1,FALSE)</f>
        <v>1213983.4125000001</v>
      </c>
      <c r="H12" s="1052" t="str">
        <f>VLOOKUP($D12,Data!$H$16:$BS$1015,H$9+1,FALSE)</f>
        <v>NE</v>
      </c>
      <c r="I12" s="1051">
        <f>VLOOKUP($D12,Data!$H$16:$BS$1015,I$9+1,FALSE)</f>
        <v>976200.00000000012</v>
      </c>
      <c r="J12" s="1051">
        <f>VLOOKUP($D12,Data!$H$16:$BS$1015,J$9+1,FALSE)</f>
        <v>1572298.1206</v>
      </c>
      <c r="K12" s="1052" t="str">
        <f>VLOOKUP($D12,Data!$H$16:$BS$1015,K$9+1,FALSE)</f>
        <v>NE</v>
      </c>
      <c r="L12" s="1051" t="str">
        <f>VLOOKUP($D12,Data!$H$16:$BS$1015,L$9+1,FALSE)</f>
        <v>IE</v>
      </c>
      <c r="M12" s="1051" t="str">
        <f>VLOOKUP($D12,Data!$H$16:$BS$1015,M$9+1,FALSE)</f>
        <v>IE</v>
      </c>
      <c r="N12" s="1052" t="str">
        <f>VLOOKUP($D12,Data!$H$16:$BS$1015,N$9+1,FALSE)</f>
        <v>NE</v>
      </c>
      <c r="O12" s="1051" t="str">
        <f>VLOOKUP($D12,Data!$H$16:$BS$1015,O$9+1,FALSE)</f>
        <v>NO</v>
      </c>
      <c r="P12" s="1051" t="str">
        <f>VLOOKUP($D12,Data!$H$16:$BS$1015,P$9+1,FALSE)</f>
        <v>NO</v>
      </c>
      <c r="Q12" s="1052" t="str">
        <f>VLOOKUP($D12,Data!$H$16:$BS$1015,Q$9+1,FALSE)</f>
        <v>NO</v>
      </c>
      <c r="R12" s="1053" t="str">
        <f>VLOOKUP($D12,Data!$H$16:$BS$1015,R$9+1,FALSE)</f>
        <v>NO</v>
      </c>
      <c r="S12" s="1051" t="str">
        <f>VLOOKUP($D12,Data!$H$16:$BS$1015,S$9+1,FALSE)</f>
        <v>NO</v>
      </c>
      <c r="T12" s="1051" t="str">
        <f>VLOOKUP($D12,Data!$H$16:$BS$1015,T$9+1,FALSE)</f>
        <v>NO</v>
      </c>
      <c r="U12" s="1052" t="str">
        <f>VLOOKUP($D12,Data!$H$16:$BS$1015,U$9+1,FALSE)</f>
        <v>NO</v>
      </c>
      <c r="V12" s="1051" t="str">
        <f>VLOOKUP($D12,Data!$H$16:$BS$1015,V$9+1,FALSE)</f>
        <v>NO</v>
      </c>
      <c r="W12" s="1051" t="str">
        <f>VLOOKUP($D12,Data!$H$16:$BS$1015,W$9+1,FALSE)</f>
        <v>NO</v>
      </c>
      <c r="X12" s="1052" t="str">
        <f>VLOOKUP($D12,Data!$H$16:$BS$1015,X$9+1,FALSE)</f>
        <v>NO</v>
      </c>
      <c r="Y12" s="1051" t="str">
        <f>VLOOKUP($D12,Data!$H$16:$BS$1015,Y$9+1,FALSE)</f>
        <v>NO</v>
      </c>
      <c r="Z12" s="1051">
        <f>VLOOKUP($D12,Data!$H$16:$BS$1015,Z$9+1,FALSE)</f>
        <v>11569.125003239355</v>
      </c>
      <c r="AA12" s="1051">
        <f>VLOOKUP($D12,Data!$H$16:$BS$1015,AA$9+1,FALSE)</f>
        <v>2791098.9412952</v>
      </c>
      <c r="AB12" s="1051" t="str">
        <f>VLOOKUP($D12,Data!$H$16:$BS$1015,AB$9+1,FALSE)</f>
        <v>IE</v>
      </c>
      <c r="AC12" s="1052" t="str">
        <f>VLOOKUP($D12,Data!$H$16:$BS$1015,AC$9+1,FALSE)</f>
        <v>NE</v>
      </c>
      <c r="AD12" s="1051">
        <f>VLOOKUP($D12,Data!$H$16:$BS$1015,AD$9+1,FALSE)</f>
        <v>588272.17892480001</v>
      </c>
      <c r="AE12" s="1051">
        <f>VLOOKUP($D12,Data!$H$16:$BS$1015,AE$9+1,FALSE)</f>
        <v>273104.54521759995</v>
      </c>
      <c r="AF12" s="1052" t="str">
        <f>VLOOKUP($D12,Data!$H$16:$BS$1015,AF$9+1,FALSE)</f>
        <v>NE</v>
      </c>
      <c r="AG12" s="1051">
        <f>VLOOKUP($D12,Data!$H$16:$BS$1015,AG$9+1,FALSE)</f>
        <v>20258.495851789849</v>
      </c>
      <c r="AH12" s="1051" t="str">
        <f>VLOOKUP($D12,Data!$H$16:$BS$1015,AH$9+1,FALSE)</f>
        <v>NO</v>
      </c>
      <c r="AI12" s="1052" t="str">
        <f>VLOOKUP($D12,Data!$H$16:$BS$1015,AI$9+1,FALSE)</f>
        <v>NE</v>
      </c>
      <c r="AJ12" s="1051" t="str">
        <f>VLOOKUP($D12,Data!$H$16:$BS$1015,AJ$9+1,FALSE)</f>
        <v>NO</v>
      </c>
      <c r="AK12" s="1051" t="str">
        <f>VLOOKUP($D12,Data!$H$16:$BS$1015,AK$9+1,FALSE)</f>
        <v>NO</v>
      </c>
      <c r="AL12" s="1052" t="str">
        <f>VLOOKUP($D12,Data!$H$16:$BS$1015,AL$9+1,FALSE)</f>
        <v>NO</v>
      </c>
      <c r="AM12" s="1051" t="str">
        <f>VLOOKUP($D12,Data!$H$16:$BS$1015,AM$9+1,FALSE)</f>
        <v>NO</v>
      </c>
      <c r="AN12" s="1051" t="str">
        <f>VLOOKUP($D12,Data!$H$16:$BS$1015,AN$9+1,FALSE)</f>
        <v>NO</v>
      </c>
      <c r="AO12" s="1052" t="str">
        <f>VLOOKUP($D12,Data!$H$16:$BS$1015,AO$9+1,FALSE)</f>
        <v>NE</v>
      </c>
      <c r="AP12" s="1051">
        <f>VLOOKUP($D12,Data!$H$16:$BS$1015,AP$9+1,FALSE)</f>
        <v>300000</v>
      </c>
      <c r="AQ12" s="1051" t="str">
        <f>VLOOKUP($D12,Data!$H$16:$BS$1015,AQ$9+1,FALSE)</f>
        <v>NO</v>
      </c>
      <c r="AR12" s="1053" t="str">
        <f>VLOOKUP($D12,Data!$H$16:$BS$1015,AR$9+1,FALSE)</f>
        <v>NO</v>
      </c>
      <c r="AS12" s="1051">
        <f>VLOOKUP($D12,Data!$H$16:$BS$1015,AS$9+1,FALSE)</f>
        <v>17152</v>
      </c>
      <c r="AT12" s="1051">
        <f>VLOOKUP($D12,Data!$H$16:$BS$1015,AT$9+1,FALSE)</f>
        <v>34304</v>
      </c>
      <c r="AU12" s="1053" t="str">
        <f>VLOOKUP($D12,Data!$H$16:$BS$1015,AU$9+1,FALSE)</f>
        <v>NO</v>
      </c>
      <c r="AV12" s="1051" t="str">
        <f>VLOOKUP($D12,Data!$H$16:$BS$1015,AV$9+1,FALSE)</f>
        <v>NO</v>
      </c>
      <c r="AW12" s="1051" t="str">
        <f>VLOOKUP($D12,Data!$H$16:$BS$1015,AW$9+1,FALSE)</f>
        <v>NO</v>
      </c>
      <c r="AX12" s="1053" t="str">
        <f>VLOOKUP($D12,Data!$H$16:$BS$1015,AX$9+1,FALSE)</f>
        <v>NO</v>
      </c>
      <c r="AY12" s="1051" t="str">
        <f>VLOOKUP($D12,Data!$H$16:$BS$1015,AY$9+1,FALSE)</f>
        <v>NO</v>
      </c>
      <c r="AZ12" s="1051">
        <f>VLOOKUP($D12,Data!$H$16:$BS$1015,AZ$9+1,FALSE)</f>
        <v>153120.66</v>
      </c>
      <c r="BA12" s="1053" t="str">
        <f>VLOOKUP($D12,Data!$H$16:$BS$1015,BA$9+1,FALSE)</f>
        <v>NO</v>
      </c>
      <c r="BB12" s="1052" t="str">
        <f>VLOOKUP($D12,Data!$H$16:$BS$1015,BB$9+1,FALSE)</f>
        <v>NO</v>
      </c>
      <c r="BC12" s="1052">
        <f>VLOOKUP($D12,Data!$H$16:$BS$1015,BC$9+1,FALSE)</f>
        <v>75000</v>
      </c>
      <c r="BD12" s="1052">
        <f>VLOOKUP($D12,Data!$H$16:$BS$1015,BD$9+1,FALSE)</f>
        <v>150000</v>
      </c>
      <c r="BE12" s="1052" t="str">
        <f>VLOOKUP($D12,Data!$H$16:$BS$1015,BE$9+1,FALSE)</f>
        <v>NE</v>
      </c>
      <c r="BF12" s="1052" t="str">
        <f>VLOOKUP($D12,Data!$H$16:$BS$1015,BF$9+1,FALSE)</f>
        <v>NE</v>
      </c>
      <c r="BG12" s="1054">
        <f>VLOOKUP($D12,Data!$H$16:$BS$1015,BG$9+1,FALSE)</f>
        <v>168000</v>
      </c>
      <c r="BH12" s="1051">
        <f>VLOOKUP($D12,Data!$H$16:$BS$1015,BH$9+2,FALSE)</f>
        <v>8741859.715827629</v>
      </c>
      <c r="BI12" s="1052">
        <f>VLOOKUP($D12,Data!$H$16:$BS$1015,BI$9+2,FALSE)</f>
        <v>8966859.715827629</v>
      </c>
      <c r="BJ12" s="1054">
        <f>VLOOKUP($D12,Data!$H$16:$BS$1015,BJ$9+2,FALSE)</f>
        <v>9134859.715827629</v>
      </c>
      <c r="BK12" s="1053">
        <f>VLOOKUP($D12,Data!$H$16:$BS$1015,BK$9+2,FALSE)</f>
        <v>5720048.9775100295</v>
      </c>
    </row>
    <row r="13" spans="1:64" s="1039" customFormat="1" ht="15" customHeight="1">
      <c r="A13" s="1185">
        <v>2</v>
      </c>
      <c r="B13" s="1443" t="str">
        <f>Data_3!B14</f>
        <v>Amman</v>
      </c>
      <c r="C13" s="1444">
        <f>IF(B13="","",IF(VLOOKUP(B13,Data_3!$B$13:$Y$112,24,FALSE)&lt;&gt;"",2020,IF(VLOOKUP(B13,Data_3!$B$13:$Y$112,23,FALSE)&lt;&gt;"",2019,IF(VLOOKUP(B13,Data_3!$B$13:$Y$112,22,FALSE)&lt;&gt;"",2018,IF(VLOOKUP(B13,Data_3!$B$13:$Y$112,21,FALSE)&lt;&gt;"",2017,IF(VLOOKUP(B13,Data_3!$B$13:$Y$112,20,FALSE)&lt;&gt;"",2016,IF(VLOOKUP(B13,Data_3!$B$13:$Y$112,19,FALSE)&lt;&gt;"",2015,IF(VLOOKUP(B13,Data_3!$B$13:$Y$112,18,FALSE)&lt;&gt;"",2014,IF(VLOOKUP(B13,Data_3!$B$13:$Y$112,17,FALSE)&lt;&gt;"",2013,IF(VLOOKUP(B13,Data_3!$B$13:$Y$112,16,FALSE)&lt;&gt;"",2012,IF(VLOOKUP(B13,Data_3!$B$13:$Y$112,15,FALSE)&lt;&gt;"",2011,IF(VLOOKUP(B13,Data_3!$B$13:$Y$112,14,FALSE)&lt;&gt;"",2010,IF(VLOOKUP(B13,Data_3!$B$13:$Y$112,13,FALSE)&lt;&gt;"",2009,IF(VLOOKUP(B13,Data_3!$B$13:$Y$112,12,FALSE)&lt;&gt;"",2008,IF(VLOOKUP(B13,Data_3!$B$13:$Y$112,11,FALSE)&lt;&gt;"",2007,IF(VLOOKUP(B13,Data_3!$B$13:$Y$112,10,FALSE)&lt;&gt;"",2006,IF(VLOOKUP(B13,Data_3!$B$13:$Y$112,9,FALSE)&lt;&gt;"",2005,IF(VLOOKUP(B13,Data_3!$B$13:$Y$112,8,FALSE)&lt;&gt;"",2004,IF(VLOOKUP(B13,Data_3!$B$13:$Y$112,7,FALSE)&lt;&gt;"",2003,IF(VLOOKUP(B13,Data_3!$B$13:$Y$1126,FALSE)&lt;&gt;"",2002,IF(VLOOKUP(B13,Data_3!$B$13:$Y$112,5,FALSE)&lt;&gt;"",2001,IF(VLOOKUP(B13,Data_3!$B$13:$Y$112,4,FALSE)&lt;&gt;"",2000,"N/A"))))))))))))))))))))))</f>
        <v>2014</v>
      </c>
      <c r="D13" s="1456" t="str">
        <f t="shared" ref="D13:D61" si="0">IF(B13="","",CONCATENATE(B13,"_",C13))</f>
        <v>Amman_2014</v>
      </c>
      <c r="E13" s="1444" t="str">
        <f>VLOOKUP($D13,Data!$H$16:$BS$1015,2,FALSE)</f>
        <v>BASIC</v>
      </c>
      <c r="F13" s="1051">
        <f>VLOOKUP($D13,Data!$H$16:$BS$1015,F$9+1,FALSE)</f>
        <v>483248.6152</v>
      </c>
      <c r="G13" s="1051">
        <f>VLOOKUP($D13,Data!$H$16:$BS$1015,G$9+1,FALSE)</f>
        <v>1968947.0314325637</v>
      </c>
      <c r="H13" s="1052" t="str">
        <f>VLOOKUP($D13,Data!$H$16:$BS$1015,H$9+1,FALSE)</f>
        <v>NE</v>
      </c>
      <c r="I13" s="1051">
        <f>VLOOKUP($D13,Data!$H$16:$BS$1015,I$9+1,FALSE)</f>
        <v>324177.9565731418</v>
      </c>
      <c r="J13" s="1051">
        <f>VLOOKUP($D13,Data!$H$16:$BS$1015,J$9+1,FALSE)</f>
        <v>1650150.0633058769</v>
      </c>
      <c r="K13" s="1052" t="str">
        <f>VLOOKUP($D13,Data!$H$16:$BS$1015,K$9+1,FALSE)</f>
        <v>NE</v>
      </c>
      <c r="L13" s="1051">
        <f>VLOOKUP($D13,Data!$H$16:$BS$1015,L$9+1,FALSE)</f>
        <v>54447.44720000001</v>
      </c>
      <c r="M13" s="1051">
        <f>VLOOKUP($D13,Data!$H$16:$BS$1015,M$9+1,FALSE)</f>
        <v>273706.57809387986</v>
      </c>
      <c r="N13" s="1052" t="str">
        <f>VLOOKUP($D13,Data!$H$16:$BS$1015,N$9+1,FALSE)</f>
        <v>NE</v>
      </c>
      <c r="O13" s="1051" t="str">
        <f>VLOOKUP($D13,Data!$H$16:$BS$1015,O$9+1,FALSE)</f>
        <v>NO</v>
      </c>
      <c r="P13" s="1051" t="str">
        <f>VLOOKUP($D13,Data!$H$16:$BS$1015,P$9+1,FALSE)</f>
        <v>NO</v>
      </c>
      <c r="Q13" s="1052" t="str">
        <f>VLOOKUP($D13,Data!$H$16:$BS$1015,Q$9+1,FALSE)</f>
        <v>NO</v>
      </c>
      <c r="R13" s="1053" t="str">
        <f>VLOOKUP($D13,Data!$H$16:$BS$1015,R$9+1,FALSE)</f>
        <v>NO</v>
      </c>
      <c r="S13" s="1051" t="str">
        <f>VLOOKUP($D13,Data!$H$16:$BS$1015,S$9+1,FALSE)</f>
        <v>NO</v>
      </c>
      <c r="T13" s="1051" t="str">
        <f>VLOOKUP($D13,Data!$H$16:$BS$1015,T$9+1,FALSE)</f>
        <v>NO</v>
      </c>
      <c r="U13" s="1052" t="str">
        <f>VLOOKUP($D13,Data!$H$16:$BS$1015,U$9+1,FALSE)</f>
        <v>NO</v>
      </c>
      <c r="V13" s="1051" t="str">
        <f>VLOOKUP($D13,Data!$H$16:$BS$1015,V$9+1,FALSE)</f>
        <v>NO</v>
      </c>
      <c r="W13" s="1051" t="str">
        <f>VLOOKUP($D13,Data!$H$16:$BS$1015,W$9+1,FALSE)</f>
        <v>NO</v>
      </c>
      <c r="X13" s="1052" t="str">
        <f>VLOOKUP($D13,Data!$H$16:$BS$1015,X$9+1,FALSE)</f>
        <v>NO</v>
      </c>
      <c r="Y13" s="1051" t="str">
        <f>VLOOKUP($D13,Data!$H$16:$BS$1015,Y$9+1,FALSE)</f>
        <v>NO</v>
      </c>
      <c r="Z13" s="1051" t="str">
        <f>VLOOKUP($D13,Data!$H$16:$BS$1015,Z$9+1,FALSE)</f>
        <v>NO</v>
      </c>
      <c r="AA13" s="1051">
        <f>VLOOKUP($D13,Data!$H$16:$BS$1015,AA$9+1,FALSE)</f>
        <v>2267555.2573226788</v>
      </c>
      <c r="AB13" s="1051" t="str">
        <f>VLOOKUP($D13,Data!$H$16:$BS$1015,AB$9+1,FALSE)</f>
        <v>NO</v>
      </c>
      <c r="AC13" s="1052" t="str">
        <f>VLOOKUP($D13,Data!$H$16:$BS$1015,AC$9+1,FALSE)</f>
        <v>NE</v>
      </c>
      <c r="AD13" s="1051" t="str">
        <f>VLOOKUP($D13,Data!$H$16:$BS$1015,AD$9+1,FALSE)</f>
        <v>NO</v>
      </c>
      <c r="AE13" s="1051" t="str">
        <f>VLOOKUP($D13,Data!$H$16:$BS$1015,AE$9+1,FALSE)</f>
        <v>NO</v>
      </c>
      <c r="AF13" s="1052" t="str">
        <f>VLOOKUP($D13,Data!$H$16:$BS$1015,AF$9+1,FALSE)</f>
        <v>NO</v>
      </c>
      <c r="AG13" s="1051" t="str">
        <f>VLOOKUP($D13,Data!$H$16:$BS$1015,AG$9+1,FALSE)</f>
        <v>NO</v>
      </c>
      <c r="AH13" s="1051" t="str">
        <f>VLOOKUP($D13,Data!$H$16:$BS$1015,AH$9+1,FALSE)</f>
        <v>NO</v>
      </c>
      <c r="AI13" s="1052" t="str">
        <f>VLOOKUP($D13,Data!$H$16:$BS$1015,AI$9+1,FALSE)</f>
        <v>NO</v>
      </c>
      <c r="AJ13" s="1051" t="str">
        <f>VLOOKUP($D13,Data!$H$16:$BS$1015,AJ$9+1,FALSE)</f>
        <v>NO</v>
      </c>
      <c r="AK13" s="1051" t="str">
        <f>VLOOKUP($D13,Data!$H$16:$BS$1015,AK$9+1,FALSE)</f>
        <v>NO</v>
      </c>
      <c r="AL13" s="1052" t="str">
        <f>VLOOKUP($D13,Data!$H$16:$BS$1015,AL$9+1,FALSE)</f>
        <v>NE</v>
      </c>
      <c r="AM13" s="1051" t="str">
        <f>VLOOKUP($D13,Data!$H$16:$BS$1015,AM$9+1,FALSE)</f>
        <v>NO</v>
      </c>
      <c r="AN13" s="1051" t="str">
        <f>VLOOKUP($D13,Data!$H$16:$BS$1015,AN$9+1,FALSE)</f>
        <v>NO</v>
      </c>
      <c r="AO13" s="1052" t="str">
        <f>VLOOKUP($D13,Data!$H$16:$BS$1015,AO$9+1,FALSE)</f>
        <v>NE</v>
      </c>
      <c r="AP13" s="1051">
        <f>VLOOKUP($D13,Data!$H$16:$BS$1015,AP$9+1,FALSE)</f>
        <v>164198.02410000007</v>
      </c>
      <c r="AQ13" s="1051" t="str">
        <f>VLOOKUP($D13,Data!$H$16:$BS$1015,AQ$9+1,FALSE)</f>
        <v>NO</v>
      </c>
      <c r="AR13" s="1053">
        <f>VLOOKUP($D13,Data!$H$16:$BS$1015,AR$9+1,FALSE)</f>
        <v>28976.121900000006</v>
      </c>
      <c r="AS13" s="1051" t="str">
        <f>VLOOKUP($D13,Data!$H$16:$BS$1015,AS$9+1,FALSE)</f>
        <v>NO</v>
      </c>
      <c r="AT13" s="1051" t="str">
        <f>VLOOKUP($D13,Data!$H$16:$BS$1015,AT$9+1,FALSE)</f>
        <v>NO</v>
      </c>
      <c r="AU13" s="1053" t="str">
        <f>VLOOKUP($D13,Data!$H$16:$BS$1015,AU$9+1,FALSE)</f>
        <v>NO</v>
      </c>
      <c r="AV13" s="1051" t="str">
        <f>VLOOKUP($D13,Data!$H$16:$BS$1015,AV$9+1,FALSE)</f>
        <v>NO</v>
      </c>
      <c r="AW13" s="1051" t="str">
        <f>VLOOKUP($D13,Data!$H$16:$BS$1015,AW$9+1,FALSE)</f>
        <v>NO</v>
      </c>
      <c r="AX13" s="1053" t="str">
        <f>VLOOKUP($D13,Data!$H$16:$BS$1015,AX$9+1,FALSE)</f>
        <v>NO</v>
      </c>
      <c r="AY13" s="1051" t="str">
        <f>VLOOKUP($D13,Data!$H$16:$BS$1015,AY$9+1,FALSE)</f>
        <v>NO</v>
      </c>
      <c r="AZ13" s="1051">
        <f>VLOOKUP($D13,Data!$H$16:$BS$1015,AZ$9+1,FALSE)</f>
        <v>244990.84</v>
      </c>
      <c r="BA13" s="1053" t="str">
        <f>VLOOKUP($D13,Data!$H$16:$BS$1015,BA$9+1,FALSE)</f>
        <v>NO</v>
      </c>
      <c r="BB13" s="1052" t="str">
        <f>VLOOKUP($D13,Data!$H$16:$BS$1015,BB$9+1,FALSE)</f>
        <v>NE</v>
      </c>
      <c r="BC13" s="1052" t="str">
        <f>VLOOKUP($D13,Data!$H$16:$BS$1015,BC$9+1,FALSE)</f>
        <v>NE</v>
      </c>
      <c r="BD13" s="1052" t="str">
        <f>VLOOKUP($D13,Data!$H$16:$BS$1015,BD$9+1,FALSE)</f>
        <v>NE</v>
      </c>
      <c r="BE13" s="1052" t="str">
        <f>VLOOKUP($D13,Data!$H$16:$BS$1015,BE$9+1,FALSE)</f>
        <v>NE</v>
      </c>
      <c r="BF13" s="1052" t="str">
        <f>VLOOKUP($D13,Data!$H$16:$BS$1015,BF$9+1,FALSE)</f>
        <v>NE</v>
      </c>
      <c r="BG13" s="1054" t="str">
        <f>VLOOKUP($D13,Data!$H$16:$BS$1015,BG$9+1,FALSE)</f>
        <v>NE</v>
      </c>
      <c r="BH13" s="1051">
        <f>VLOOKUP($D13,Data!$H$16:$BS$1015,BH$9+2,FALSE)</f>
        <v>7431421.8132281415</v>
      </c>
      <c r="BI13" s="1052">
        <f>VLOOKUP($D13,Data!$H$16:$BS$1015,BI$9+2,FALSE)</f>
        <v>7431421.8132281415</v>
      </c>
      <c r="BJ13" s="1054">
        <f>VLOOKUP($D13,Data!$H$16:$BS$1015,BJ$9+2,FALSE)</f>
        <v>7431421.8132281415</v>
      </c>
      <c r="BK13" s="1053">
        <f>VLOOKUP($D13,Data!$H$16:$BS$1015,BK$9+2,FALSE)</f>
        <v>3322603.4222958209</v>
      </c>
    </row>
    <row r="14" spans="1:64" s="1121" customFormat="1" ht="15" customHeight="1">
      <c r="A14" s="1185">
        <v>3</v>
      </c>
      <c r="B14" s="1443" t="str">
        <f>Data_3!B15</f>
        <v>Athens</v>
      </c>
      <c r="C14" s="1444">
        <f>IF(B14="","",IF(VLOOKUP(B14,Data_3!$B$13:$Y$112,24,FALSE)&lt;&gt;"",2020,IF(VLOOKUP(B14,Data_3!$B$13:$Y$112,23,FALSE)&lt;&gt;"",2019,IF(VLOOKUP(B14,Data_3!$B$13:$Y$112,22,FALSE)&lt;&gt;"",2018,IF(VLOOKUP(B14,Data_3!$B$13:$Y$112,21,FALSE)&lt;&gt;"",2017,IF(VLOOKUP(B14,Data_3!$B$13:$Y$112,20,FALSE)&lt;&gt;"",2016,IF(VLOOKUP(B14,Data_3!$B$13:$Y$112,19,FALSE)&lt;&gt;"",2015,IF(VLOOKUP(B14,Data_3!$B$13:$Y$112,18,FALSE)&lt;&gt;"",2014,IF(VLOOKUP(B14,Data_3!$B$13:$Y$112,17,FALSE)&lt;&gt;"",2013,IF(VLOOKUP(B14,Data_3!$B$13:$Y$112,16,FALSE)&lt;&gt;"",2012,IF(VLOOKUP(B14,Data_3!$B$13:$Y$112,15,FALSE)&lt;&gt;"",2011,IF(VLOOKUP(B14,Data_3!$B$13:$Y$112,14,FALSE)&lt;&gt;"",2010,IF(VLOOKUP(B14,Data_3!$B$13:$Y$112,13,FALSE)&lt;&gt;"",2009,IF(VLOOKUP(B14,Data_3!$B$13:$Y$112,12,FALSE)&lt;&gt;"",2008,IF(VLOOKUP(B14,Data_3!$B$13:$Y$112,11,FALSE)&lt;&gt;"",2007,IF(VLOOKUP(B14,Data_3!$B$13:$Y$112,10,FALSE)&lt;&gt;"",2006,IF(VLOOKUP(B14,Data_3!$B$13:$Y$112,9,FALSE)&lt;&gt;"",2005,IF(VLOOKUP(B14,Data_3!$B$13:$Y$112,8,FALSE)&lt;&gt;"",2004,IF(VLOOKUP(B14,Data_3!$B$13:$Y$112,7,FALSE)&lt;&gt;"",2003,IF(VLOOKUP(B14,Data_3!$B$13:$Y$1126,FALSE)&lt;&gt;"",2002,IF(VLOOKUP(B14,Data_3!$B$13:$Y$112,5,FALSE)&lt;&gt;"",2001,IF(VLOOKUP(B14,Data_3!$B$13:$Y$112,4,FALSE)&lt;&gt;"",2000,"N/A"))))))))))))))))))))))</f>
        <v>2014</v>
      </c>
      <c r="D14" s="1456" t="str">
        <f t="shared" si="0"/>
        <v>Athens_2014</v>
      </c>
      <c r="E14" s="1444" t="str">
        <f>VLOOKUP($D14,Data!$H$16:$BS$1015,2,FALSE)</f>
        <v>BASIC</v>
      </c>
      <c r="F14" s="1051">
        <f>VLOOKUP($D14,Data!$H$16:$BS$1015,F$9+1,FALSE)</f>
        <v>276488.06254906149</v>
      </c>
      <c r="G14" s="1051">
        <f>VLOOKUP($D14,Data!$H$16:$BS$1015,G$9+1,FALSE)</f>
        <v>1685927.8579662237</v>
      </c>
      <c r="H14" s="1052" t="str">
        <f>VLOOKUP($D14,Data!$H$16:$BS$1015,H$9+1,FALSE)</f>
        <v>IE</v>
      </c>
      <c r="I14" s="1051">
        <f>VLOOKUP($D14,Data!$H$16:$BS$1015,I$9+1,FALSE)</f>
        <v>713.89134517095306</v>
      </c>
      <c r="J14" s="1051">
        <f>VLOOKUP($D14,Data!$H$16:$BS$1015,J$9+1,FALSE)</f>
        <v>1330926.5965112215</v>
      </c>
      <c r="K14" s="1052" t="str">
        <f>VLOOKUP($D14,Data!$H$16:$BS$1015,K$9+1,FALSE)</f>
        <v>IE</v>
      </c>
      <c r="L14" s="1051">
        <f>VLOOKUP($D14,Data!$H$16:$BS$1015,L$9+1,FALSE)</f>
        <v>19266.569691914003</v>
      </c>
      <c r="M14" s="1051">
        <f>VLOOKUP($D14,Data!$H$16:$BS$1015,M$9+1,FALSE)</f>
        <v>18002.491181884183</v>
      </c>
      <c r="N14" s="1052" t="str">
        <f>VLOOKUP($D14,Data!$H$16:$BS$1015,N$9+1,FALSE)</f>
        <v>NE</v>
      </c>
      <c r="O14" s="1051" t="str">
        <f>VLOOKUP($D14,Data!$H$16:$BS$1015,O$9+1,FALSE)</f>
        <v>NO</v>
      </c>
      <c r="P14" s="1051" t="str">
        <f>VLOOKUP($D14,Data!$H$16:$BS$1015,P$9+1,FALSE)</f>
        <v>NO</v>
      </c>
      <c r="Q14" s="1052" t="str">
        <f>VLOOKUP($D14,Data!$H$16:$BS$1015,Q$9+1,FALSE)</f>
        <v>NO</v>
      </c>
      <c r="R14" s="1053" t="str">
        <f>VLOOKUP($D14,Data!$H$16:$BS$1015,R$9+1,FALSE)</f>
        <v>NO</v>
      </c>
      <c r="S14" s="1051" t="str">
        <f>VLOOKUP($D14,Data!$H$16:$BS$1015,S$9+1,FALSE)</f>
        <v>NO</v>
      </c>
      <c r="T14" s="1051" t="str">
        <f>VLOOKUP($D14,Data!$H$16:$BS$1015,T$9+1,FALSE)</f>
        <v>NO</v>
      </c>
      <c r="U14" s="1052" t="str">
        <f>VLOOKUP($D14,Data!$H$16:$BS$1015,U$9+1,FALSE)</f>
        <v>NO</v>
      </c>
      <c r="V14" s="1051" t="str">
        <f>VLOOKUP($D14,Data!$H$16:$BS$1015,V$9+1,FALSE)</f>
        <v>NO</v>
      </c>
      <c r="W14" s="1051" t="str">
        <f>VLOOKUP($D14,Data!$H$16:$BS$1015,W$9+1,FALSE)</f>
        <v>NO</v>
      </c>
      <c r="X14" s="1052" t="str">
        <f>VLOOKUP($D14,Data!$H$16:$BS$1015,X$9+1,FALSE)</f>
        <v>NO</v>
      </c>
      <c r="Y14" s="1051" t="str">
        <f>VLOOKUP($D14,Data!$H$16:$BS$1015,Y$9+1,FALSE)</f>
        <v>NO</v>
      </c>
      <c r="Z14" s="1051">
        <f>VLOOKUP($D14,Data!$H$16:$BS$1015,Z$9+1,FALSE)</f>
        <v>365.80226524816146</v>
      </c>
      <c r="AA14" s="1051">
        <f>VLOOKUP($D14,Data!$H$16:$BS$1015,AA$9+1,FALSE)</f>
        <v>988587.28605382703</v>
      </c>
      <c r="AB14" s="1051">
        <f>VLOOKUP($D14,Data!$H$16:$BS$1015,AB$9+1,FALSE)</f>
        <v>27166.739133837291</v>
      </c>
      <c r="AC14" s="1052" t="str">
        <f>VLOOKUP($D14,Data!$H$16:$BS$1015,AC$9+1,FALSE)</f>
        <v>NE</v>
      </c>
      <c r="AD14" s="1051" t="str">
        <f>VLOOKUP($D14,Data!$H$16:$BS$1015,AD$9+1,FALSE)</f>
        <v>NO</v>
      </c>
      <c r="AE14" s="1051">
        <f>VLOOKUP($D14,Data!$H$16:$BS$1015,AE$9+1,FALSE)</f>
        <v>48775.41055224336</v>
      </c>
      <c r="AF14" s="1052" t="str">
        <f>VLOOKUP($D14,Data!$H$16:$BS$1015,AF$9+1,FALSE)</f>
        <v>NO</v>
      </c>
      <c r="AG14" s="1051" t="str">
        <f>VLOOKUP($D14,Data!$H$16:$BS$1015,AG$9+1,FALSE)</f>
        <v>NO</v>
      </c>
      <c r="AH14" s="1051" t="str">
        <f>VLOOKUP($D14,Data!$H$16:$BS$1015,AH$9+1,FALSE)</f>
        <v>NO</v>
      </c>
      <c r="AI14" s="1052" t="str">
        <f>VLOOKUP($D14,Data!$H$16:$BS$1015,AI$9+1,FALSE)</f>
        <v>NO</v>
      </c>
      <c r="AJ14" s="1051" t="str">
        <f>VLOOKUP($D14,Data!$H$16:$BS$1015,AJ$9+1,FALSE)</f>
        <v>NO</v>
      </c>
      <c r="AK14" s="1051" t="str">
        <f>VLOOKUP($D14,Data!$H$16:$BS$1015,AK$9+1,FALSE)</f>
        <v>NO</v>
      </c>
      <c r="AL14" s="1052">
        <f>VLOOKUP($D14,Data!$H$16:$BS$1015,AL$9+1,FALSE)</f>
        <v>66349.7505400144</v>
      </c>
      <c r="AM14" s="1051" t="str">
        <f>VLOOKUP($D14,Data!$H$16:$BS$1015,AM$9+1,FALSE)</f>
        <v>NO</v>
      </c>
      <c r="AN14" s="1051" t="str">
        <f>VLOOKUP($D14,Data!$H$16:$BS$1015,AN$9+1,FALSE)</f>
        <v>NO</v>
      </c>
      <c r="AO14" s="1052" t="str">
        <f>VLOOKUP($D14,Data!$H$16:$BS$1015,AO$9+1,FALSE)</f>
        <v>NO</v>
      </c>
      <c r="AP14" s="1051" t="str">
        <f>VLOOKUP($D14,Data!$H$16:$BS$1015,AP$9+1,FALSE)</f>
        <v>NO</v>
      </c>
      <c r="AQ14" s="1051">
        <f>VLOOKUP($D14,Data!$H$16:$BS$1015,AQ$9+1,FALSE)</f>
        <v>334081.98494235403</v>
      </c>
      <c r="AR14" s="1053" t="str">
        <f>VLOOKUP($D14,Data!$H$16:$BS$1015,AR$9+1,FALSE)</f>
        <v>NO</v>
      </c>
      <c r="AS14" s="1051" t="str">
        <f>VLOOKUP($D14,Data!$H$16:$BS$1015,AS$9+1,FALSE)</f>
        <v>NO</v>
      </c>
      <c r="AT14" s="1051">
        <f>VLOOKUP($D14,Data!$H$16:$BS$1015,AT$9+1,FALSE)</f>
        <v>40.565692000000006</v>
      </c>
      <c r="AU14" s="1053" t="str">
        <f>VLOOKUP($D14,Data!$H$16:$BS$1015,AU$9+1,FALSE)</f>
        <v>NO</v>
      </c>
      <c r="AV14" s="1051" t="str">
        <f>VLOOKUP($D14,Data!$H$16:$BS$1015,AV$9+1,FALSE)</f>
        <v>NO</v>
      </c>
      <c r="AW14" s="1051" t="str">
        <f>VLOOKUP($D14,Data!$H$16:$BS$1015,AW$9+1,FALSE)</f>
        <v>NO</v>
      </c>
      <c r="AX14" s="1053" t="str">
        <f>VLOOKUP($D14,Data!$H$16:$BS$1015,AX$9+1,FALSE)</f>
        <v>NO</v>
      </c>
      <c r="AY14" s="1051" t="str">
        <f>VLOOKUP($D14,Data!$H$16:$BS$1015,AY$9+1,FALSE)</f>
        <v>NO</v>
      </c>
      <c r="AZ14" s="1051">
        <f>VLOOKUP($D14,Data!$H$16:$BS$1015,AZ$9+1,FALSE)</f>
        <v>23341.621173909993</v>
      </c>
      <c r="BA14" s="1053" t="str">
        <f>VLOOKUP($D14,Data!$H$16:$BS$1015,BA$9+1,FALSE)</f>
        <v>NO</v>
      </c>
      <c r="BB14" s="1052" t="str">
        <f>VLOOKUP($D14,Data!$H$16:$BS$1015,BB$9+1,FALSE)</f>
        <v>NE</v>
      </c>
      <c r="BC14" s="1052" t="str">
        <f>VLOOKUP($D14,Data!$H$16:$BS$1015,BC$9+1,FALSE)</f>
        <v>NE</v>
      </c>
      <c r="BD14" s="1052" t="str">
        <f>VLOOKUP($D14,Data!$H$16:$BS$1015,BD$9+1,FALSE)</f>
        <v>NO</v>
      </c>
      <c r="BE14" s="1052" t="str">
        <f>VLOOKUP($D14,Data!$H$16:$BS$1015,BE$9+1,FALSE)</f>
        <v>NO</v>
      </c>
      <c r="BF14" s="1052" t="str">
        <f>VLOOKUP($D14,Data!$H$16:$BS$1015,BF$9+1,FALSE)</f>
        <v>NO</v>
      </c>
      <c r="BG14" s="1054" t="str">
        <f>VLOOKUP($D14,Data!$H$16:$BS$1015,BG$9+1,FALSE)</f>
        <v>NE</v>
      </c>
      <c r="BH14" s="1051">
        <f>VLOOKUP($D14,Data!$H$16:$BS$1015,BH$9+2,FALSE)</f>
        <v>4753684.8790588956</v>
      </c>
      <c r="BI14" s="1052">
        <f>VLOOKUP($D14,Data!$H$16:$BS$1015,BI$9+2,FALSE)</f>
        <v>4820034.62959891</v>
      </c>
      <c r="BJ14" s="1054">
        <f>VLOOKUP($D14,Data!$H$16:$BS$1015,BJ$9+2,FALSE)</f>
        <v>4820034.62959891</v>
      </c>
      <c r="BK14" s="1053">
        <f>VLOOKUP($D14,Data!$H$16:$BS$1015,BK$9+2,FALSE)</f>
        <v>1285421.6119052216</v>
      </c>
    </row>
    <row r="15" spans="1:64" s="1121" customFormat="1" ht="15" customHeight="1">
      <c r="A15" s="1185">
        <v>4</v>
      </c>
      <c r="B15" s="1443" t="str">
        <f>Data_3!B16</f>
        <v>Bogota</v>
      </c>
      <c r="C15" s="1444">
        <f>IF(B15="","",IF(VLOOKUP(B15,Data_3!$B$13:$Y$112,24,FALSE)&lt;&gt;"",2020,IF(VLOOKUP(B15,Data_3!$B$13:$Y$112,23,FALSE)&lt;&gt;"",2019,IF(VLOOKUP(B15,Data_3!$B$13:$Y$112,22,FALSE)&lt;&gt;"",2018,IF(VLOOKUP(B15,Data_3!$B$13:$Y$112,21,FALSE)&lt;&gt;"",2017,IF(VLOOKUP(B15,Data_3!$B$13:$Y$112,20,FALSE)&lt;&gt;"",2016,IF(VLOOKUP(B15,Data_3!$B$13:$Y$112,19,FALSE)&lt;&gt;"",2015,IF(VLOOKUP(B15,Data_3!$B$13:$Y$112,18,FALSE)&lt;&gt;"",2014,IF(VLOOKUP(B15,Data_3!$B$13:$Y$112,17,FALSE)&lt;&gt;"",2013,IF(VLOOKUP(B15,Data_3!$B$13:$Y$112,16,FALSE)&lt;&gt;"",2012,IF(VLOOKUP(B15,Data_3!$B$13:$Y$112,15,FALSE)&lt;&gt;"",2011,IF(VLOOKUP(B15,Data_3!$B$13:$Y$112,14,FALSE)&lt;&gt;"",2010,IF(VLOOKUP(B15,Data_3!$B$13:$Y$112,13,FALSE)&lt;&gt;"",2009,IF(VLOOKUP(B15,Data_3!$B$13:$Y$112,12,FALSE)&lt;&gt;"",2008,IF(VLOOKUP(B15,Data_3!$B$13:$Y$112,11,FALSE)&lt;&gt;"",2007,IF(VLOOKUP(B15,Data_3!$B$13:$Y$112,10,FALSE)&lt;&gt;"",2006,IF(VLOOKUP(B15,Data_3!$B$13:$Y$112,9,FALSE)&lt;&gt;"",2005,IF(VLOOKUP(B15,Data_3!$B$13:$Y$112,8,FALSE)&lt;&gt;"",2004,IF(VLOOKUP(B15,Data_3!$B$13:$Y$112,7,FALSE)&lt;&gt;"",2003,IF(VLOOKUP(B15,Data_3!$B$13:$Y$1126,FALSE)&lt;&gt;"",2002,IF(VLOOKUP(B15,Data_3!$B$13:$Y$112,5,FALSE)&lt;&gt;"",2001,IF(VLOOKUP(B15,Data_3!$B$13:$Y$112,4,FALSE)&lt;&gt;"",2000,"N/A"))))))))))))))))))))))</f>
        <v>2012</v>
      </c>
      <c r="D15" s="1456" t="str">
        <f t="shared" si="0"/>
        <v>Bogota_2012</v>
      </c>
      <c r="E15" s="1444" t="str">
        <f>VLOOKUP($D15,Data!$H$16:$BS$1015,2,FALSE)</f>
        <v>BASIC</v>
      </c>
      <c r="F15" s="1051">
        <f>VLOOKUP($D15,Data!$H$16:$BS$1015,F$9+1,FALSE)</f>
        <v>765140.46046302898</v>
      </c>
      <c r="G15" s="1051">
        <f>VLOOKUP($D15,Data!$H$16:$BS$1015,G$9+1,FALSE)</f>
        <v>1394887.7965676526</v>
      </c>
      <c r="H15" s="1052" t="str">
        <f>VLOOKUP($D15,Data!$H$16:$BS$1015,H$9+1,FALSE)</f>
        <v>NE</v>
      </c>
      <c r="I15" s="1051">
        <f>VLOOKUP($D15,Data!$H$16:$BS$1015,I$9+1,FALSE)</f>
        <v>1776265.5309885843</v>
      </c>
      <c r="J15" s="1051">
        <f>VLOOKUP($D15,Data!$H$16:$BS$1015,J$9+1,FALSE)</f>
        <v>782986.45746494574</v>
      </c>
      <c r="K15" s="1052" t="str">
        <f>VLOOKUP($D15,Data!$H$16:$BS$1015,K$9+1,FALSE)</f>
        <v>NE</v>
      </c>
      <c r="L15" s="1051">
        <f>VLOOKUP($D15,Data!$H$16:$BS$1015,L$9+1,FALSE)</f>
        <v>1672673.8942635136</v>
      </c>
      <c r="M15" s="1051">
        <f>VLOOKUP($D15,Data!$H$16:$BS$1015,M$9+1,FALSE)</f>
        <v>223495.33346062616</v>
      </c>
      <c r="N15" s="1052" t="str">
        <f>VLOOKUP($D15,Data!$H$16:$BS$1015,N$9+1,FALSE)</f>
        <v>NE</v>
      </c>
      <c r="O15" s="1051" t="str">
        <f>VLOOKUP($D15,Data!$H$16:$BS$1015,O$9+1,FALSE)</f>
        <v>NO</v>
      </c>
      <c r="P15" s="1051" t="str">
        <f>VLOOKUP($D15,Data!$H$16:$BS$1015,P$9+1,FALSE)</f>
        <v>NO</v>
      </c>
      <c r="Q15" s="1052" t="str">
        <f>VLOOKUP($D15,Data!$H$16:$BS$1015,Q$9+1,FALSE)</f>
        <v>NO</v>
      </c>
      <c r="R15" s="1053" t="str">
        <f>VLOOKUP($D15,Data!$H$16:$BS$1015,R$9+1,FALSE)</f>
        <v>NO</v>
      </c>
      <c r="S15" s="1051">
        <f>VLOOKUP($D15,Data!$H$16:$BS$1015,S$9+1,FALSE)</f>
        <v>49732.085577456193</v>
      </c>
      <c r="T15" s="1051" t="str">
        <f>VLOOKUP($D15,Data!$H$16:$BS$1015,T$9+1,FALSE)</f>
        <v>IE</v>
      </c>
      <c r="U15" s="1052" t="str">
        <f>VLOOKUP($D15,Data!$H$16:$BS$1015,U$9+1,FALSE)</f>
        <v>NE</v>
      </c>
      <c r="V15" s="1051">
        <f>VLOOKUP($D15,Data!$H$16:$BS$1015,V$9+1,FALSE)</f>
        <v>1374.7727342043763</v>
      </c>
      <c r="W15" s="1051">
        <f>VLOOKUP($D15,Data!$H$16:$BS$1015,W$9+1,FALSE)</f>
        <v>80028.249042327559</v>
      </c>
      <c r="X15" s="1052" t="str">
        <f>VLOOKUP($D15,Data!$H$16:$BS$1015,X$9+1,FALSE)</f>
        <v>NE</v>
      </c>
      <c r="Y15" s="1051" t="str">
        <f>VLOOKUP($D15,Data!$H$16:$BS$1015,Y$9+1,FALSE)</f>
        <v>NO</v>
      </c>
      <c r="Z15" s="1051">
        <f>VLOOKUP($D15,Data!$H$16:$BS$1015,Z$9+1,FALSE)</f>
        <v>38226.44732715407</v>
      </c>
      <c r="AA15" s="1051">
        <f>VLOOKUP($D15,Data!$H$16:$BS$1015,AA$9+1,FALSE)</f>
        <v>4691955.43</v>
      </c>
      <c r="AB15" s="1051" t="str">
        <f>VLOOKUP($D15,Data!$H$16:$BS$1015,AB$9+1,FALSE)</f>
        <v>NO</v>
      </c>
      <c r="AC15" s="1052" t="str">
        <f>VLOOKUP($D15,Data!$H$16:$BS$1015,AC$9+1,FALSE)</f>
        <v>NE</v>
      </c>
      <c r="AD15" s="1051">
        <f>VLOOKUP($D15,Data!$H$16:$BS$1015,AD$9+1,FALSE)</f>
        <v>213.26374879327605</v>
      </c>
      <c r="AE15" s="1051" t="str">
        <f>VLOOKUP($D15,Data!$H$16:$BS$1015,AE$9+1,FALSE)</f>
        <v>NO</v>
      </c>
      <c r="AF15" s="1052" t="str">
        <f>VLOOKUP($D15,Data!$H$16:$BS$1015,AF$9+1,FALSE)</f>
        <v>NE</v>
      </c>
      <c r="AG15" s="1051" t="str">
        <f>VLOOKUP($D15,Data!$H$16:$BS$1015,AG$9+1,FALSE)</f>
        <v>NO</v>
      </c>
      <c r="AH15" s="1051" t="str">
        <f>VLOOKUP($D15,Data!$H$16:$BS$1015,AH$9+1,FALSE)</f>
        <v>NO</v>
      </c>
      <c r="AI15" s="1052" t="str">
        <f>VLOOKUP($D15,Data!$H$16:$BS$1015,AI$9+1,FALSE)</f>
        <v>NO</v>
      </c>
      <c r="AJ15" s="1051" t="str">
        <f>VLOOKUP($D15,Data!$H$16:$BS$1015,AJ$9+1,FALSE)</f>
        <v>NO</v>
      </c>
      <c r="AK15" s="1051" t="str">
        <f>VLOOKUP($D15,Data!$H$16:$BS$1015,AK$9+1,FALSE)</f>
        <v>NO</v>
      </c>
      <c r="AL15" s="1052" t="str">
        <f>VLOOKUP($D15,Data!$H$16:$BS$1015,AL$9+1,FALSE)</f>
        <v>NE</v>
      </c>
      <c r="AM15" s="1051" t="str">
        <f>VLOOKUP($D15,Data!$H$16:$BS$1015,AM$9+1,FALSE)</f>
        <v>IE</v>
      </c>
      <c r="AN15" s="1051" t="str">
        <f>VLOOKUP($D15,Data!$H$16:$BS$1015,AN$9+1,FALSE)</f>
        <v>NO</v>
      </c>
      <c r="AO15" s="1052" t="str">
        <f>VLOOKUP($D15,Data!$H$16:$BS$1015,AO$9+1,FALSE)</f>
        <v>NO</v>
      </c>
      <c r="AP15" s="1051">
        <f>VLOOKUP($D15,Data!$H$16:$BS$1015,AP$9+1,FALSE)</f>
        <v>47973.854107185711</v>
      </c>
      <c r="AQ15" s="1051" t="str">
        <f>VLOOKUP($D15,Data!$H$16:$BS$1015,AQ$9+1,FALSE)</f>
        <v>NO</v>
      </c>
      <c r="AR15" s="1053">
        <f>VLOOKUP($D15,Data!$H$16:$BS$1015,AR$9+1,FALSE)</f>
        <v>98.376299401197585</v>
      </c>
      <c r="AS15" s="1051">
        <f>VLOOKUP($D15,Data!$H$16:$BS$1015,AS$9+1,FALSE)</f>
        <v>10.9619988</v>
      </c>
      <c r="AT15" s="1051" t="str">
        <f>VLOOKUP($D15,Data!$H$16:$BS$1015,AT$9+1,FALSE)</f>
        <v>NO</v>
      </c>
      <c r="AU15" s="1053" t="str">
        <f>VLOOKUP($D15,Data!$H$16:$BS$1015,AU$9+1,FALSE)</f>
        <v>NO</v>
      </c>
      <c r="AV15" s="1051">
        <f>VLOOKUP($D15,Data!$H$16:$BS$1015,AV$9+1,FALSE)</f>
        <v>9.59558</v>
      </c>
      <c r="AW15" s="1051">
        <f>VLOOKUP($D15,Data!$H$16:$BS$1015,AW$9+1,FALSE)</f>
        <v>127.85769999999999</v>
      </c>
      <c r="AX15" s="1053" t="str">
        <f>VLOOKUP($D15,Data!$H$16:$BS$1015,AX$9+1,FALSE)</f>
        <v>NO</v>
      </c>
      <c r="AY15" s="1051">
        <f>VLOOKUP($D15,Data!$H$16:$BS$1015,AY$9+1,FALSE)</f>
        <v>884380.95173532935</v>
      </c>
      <c r="AZ15" s="1051" t="str">
        <f>VLOOKUP($D15,Data!$H$16:$BS$1015,AZ$9+1,FALSE)</f>
        <v>NO</v>
      </c>
      <c r="BA15" s="1053" t="str">
        <f>VLOOKUP($D15,Data!$H$16:$BS$1015,BA$9+1,FALSE)</f>
        <v>NO</v>
      </c>
      <c r="BB15" s="1052">
        <f>VLOOKUP($D15,Data!$H$16:$BS$1015,BB$9+1,FALSE)</f>
        <v>425.67</v>
      </c>
      <c r="BC15" s="1052">
        <f>VLOOKUP($D15,Data!$H$16:$BS$1015,BC$9+1,FALSE)</f>
        <v>155136.10174985998</v>
      </c>
      <c r="BD15" s="1052">
        <f>VLOOKUP($D15,Data!$H$16:$BS$1015,BD$9+1,FALSE)</f>
        <v>65355.743233876252</v>
      </c>
      <c r="BE15" s="1052">
        <f>VLOOKUP($D15,Data!$H$16:$BS$1015,BE$9+1,FALSE)</f>
        <v>294849.74570664071</v>
      </c>
      <c r="BF15" s="1052">
        <f>VLOOKUP($D15,Data!$H$16:$BS$1015,BF$9+1,FALSE)</f>
        <v>5103569.7805090211</v>
      </c>
      <c r="BG15" s="1054" t="str">
        <f>VLOOKUP($D15,Data!$H$16:$BS$1015,BG$9+1,FALSE)</f>
        <v>NE</v>
      </c>
      <c r="BH15" s="1051">
        <f>VLOOKUP($D15,Data!$H$16:$BS$1015,BH$9+2,FALSE)</f>
        <v>12409482.942759601</v>
      </c>
      <c r="BI15" s="1052">
        <f>VLOOKUP($D15,Data!$H$16:$BS$1015,BI$9+2,FALSE)</f>
        <v>18028819.983958997</v>
      </c>
      <c r="BJ15" s="1054">
        <f>VLOOKUP($D15,Data!$H$16:$BS$1015,BJ$9+2,FALSE)</f>
        <v>18028819.983958997</v>
      </c>
      <c r="BK15" s="1053">
        <f>VLOOKUP($D15,Data!$H$16:$BS$1015,BK$9+2,FALSE)</f>
        <v>15547392.666022848</v>
      </c>
    </row>
    <row r="16" spans="1:64" s="1121" customFormat="1" ht="15" customHeight="1">
      <c r="A16" s="1185">
        <v>5</v>
      </c>
      <c r="B16" s="1443" t="str">
        <f>Data_3!B17</f>
        <v>Boston</v>
      </c>
      <c r="C16" s="1444">
        <f>IF(B16="","",IF(VLOOKUP(B16,Data_3!$B$13:$Y$112,24,FALSE)&lt;&gt;"",2020,IF(VLOOKUP(B16,Data_3!$B$13:$Y$112,23,FALSE)&lt;&gt;"",2019,IF(VLOOKUP(B16,Data_3!$B$13:$Y$112,22,FALSE)&lt;&gt;"",2018,IF(VLOOKUP(B16,Data_3!$B$13:$Y$112,21,FALSE)&lt;&gt;"",2017,IF(VLOOKUP(B16,Data_3!$B$13:$Y$112,20,FALSE)&lt;&gt;"",2016,IF(VLOOKUP(B16,Data_3!$B$13:$Y$112,19,FALSE)&lt;&gt;"",2015,IF(VLOOKUP(B16,Data_3!$B$13:$Y$112,18,FALSE)&lt;&gt;"",2014,IF(VLOOKUP(B16,Data_3!$B$13:$Y$112,17,FALSE)&lt;&gt;"",2013,IF(VLOOKUP(B16,Data_3!$B$13:$Y$112,16,FALSE)&lt;&gt;"",2012,IF(VLOOKUP(B16,Data_3!$B$13:$Y$112,15,FALSE)&lt;&gt;"",2011,IF(VLOOKUP(B16,Data_3!$B$13:$Y$112,14,FALSE)&lt;&gt;"",2010,IF(VLOOKUP(B16,Data_3!$B$13:$Y$112,13,FALSE)&lt;&gt;"",2009,IF(VLOOKUP(B16,Data_3!$B$13:$Y$112,12,FALSE)&lt;&gt;"",2008,IF(VLOOKUP(B16,Data_3!$B$13:$Y$112,11,FALSE)&lt;&gt;"",2007,IF(VLOOKUP(B16,Data_3!$B$13:$Y$112,10,FALSE)&lt;&gt;"",2006,IF(VLOOKUP(B16,Data_3!$B$13:$Y$112,9,FALSE)&lt;&gt;"",2005,IF(VLOOKUP(B16,Data_3!$B$13:$Y$112,8,FALSE)&lt;&gt;"",2004,IF(VLOOKUP(B16,Data_3!$B$13:$Y$112,7,FALSE)&lt;&gt;"",2003,IF(VLOOKUP(B16,Data_3!$B$13:$Y$1126,FALSE)&lt;&gt;"",2002,IF(VLOOKUP(B16,Data_3!$B$13:$Y$112,5,FALSE)&lt;&gt;"",2001,IF(VLOOKUP(B16,Data_3!$B$13:$Y$112,4,FALSE)&lt;&gt;"",2000,"N/A"))))))))))))))))))))))</f>
        <v>2013</v>
      </c>
      <c r="D16" s="1456" t="str">
        <f t="shared" si="0"/>
        <v>Boston_2013</v>
      </c>
      <c r="E16" s="1444" t="str">
        <f>VLOOKUP($D16,Data!$H$16:$BS$1015,2,FALSE)</f>
        <v>BASIC</v>
      </c>
      <c r="F16" s="1051">
        <f>VLOOKUP($D16,Data!$H$16:$BS$1015,F$9+1,FALSE)</f>
        <v>835785.2789264</v>
      </c>
      <c r="G16" s="1051">
        <f>VLOOKUP($D16,Data!$H$16:$BS$1015,G$9+1,FALSE)</f>
        <v>453026.13390925678</v>
      </c>
      <c r="H16" s="1052" t="str">
        <f>VLOOKUP($D16,Data!$H$16:$BS$1015,H$9+1,FALSE)</f>
        <v>NE</v>
      </c>
      <c r="I16" s="1051">
        <f>VLOOKUP($D16,Data!$H$16:$BS$1015,I$9+1,FALSE)</f>
        <v>1179180.4138613134</v>
      </c>
      <c r="J16" s="1051">
        <f>VLOOKUP($D16,Data!$H$16:$BS$1015,J$9+1,FALSE)</f>
        <v>1920851.019574417</v>
      </c>
      <c r="K16" s="1052" t="str">
        <f>VLOOKUP($D16,Data!$H$16:$BS$1015,K$9+1,FALSE)</f>
        <v>NE</v>
      </c>
      <c r="L16" s="1051" t="str">
        <f>VLOOKUP($D16,Data!$H$16:$BS$1015,L$9+1,FALSE)</f>
        <v>IE</v>
      </c>
      <c r="M16" s="1051" t="str">
        <f>VLOOKUP($D16,Data!$H$16:$BS$1015,M$9+1,FALSE)</f>
        <v>IE</v>
      </c>
      <c r="N16" s="1052" t="str">
        <f>VLOOKUP($D16,Data!$H$16:$BS$1015,N$9+1,FALSE)</f>
        <v>NE</v>
      </c>
      <c r="O16" s="1051" t="str">
        <f>VLOOKUP($D16,Data!$H$16:$BS$1015,O$9+1,FALSE)</f>
        <v>NO</v>
      </c>
      <c r="P16" s="1051" t="str">
        <f>VLOOKUP($D16,Data!$H$16:$BS$1015,P$9+1,FALSE)</f>
        <v>NO</v>
      </c>
      <c r="Q16" s="1052" t="str">
        <f>VLOOKUP($D16,Data!$H$16:$BS$1015,Q$9+1,FALSE)</f>
        <v>NO</v>
      </c>
      <c r="R16" s="1053">
        <f>VLOOKUP($D16,Data!$H$16:$BS$1015,R$9+1,FALSE)</f>
        <v>184998.88686706795</v>
      </c>
      <c r="S16" s="1051" t="str">
        <f>VLOOKUP($D16,Data!$H$16:$BS$1015,S$9+1,FALSE)</f>
        <v>NO</v>
      </c>
      <c r="T16" s="1051" t="str">
        <f>VLOOKUP($D16,Data!$H$16:$BS$1015,T$9+1,FALSE)</f>
        <v>NO</v>
      </c>
      <c r="U16" s="1052" t="str">
        <f>VLOOKUP($D16,Data!$H$16:$BS$1015,U$9+1,FALSE)</f>
        <v>NO</v>
      </c>
      <c r="V16" s="1051" t="str">
        <f>VLOOKUP($D16,Data!$H$16:$BS$1015,V$9+1,FALSE)</f>
        <v>NO</v>
      </c>
      <c r="W16" s="1051" t="str">
        <f>VLOOKUP($D16,Data!$H$16:$BS$1015,W$9+1,FALSE)</f>
        <v>NO</v>
      </c>
      <c r="X16" s="1052" t="str">
        <f>VLOOKUP($D16,Data!$H$16:$BS$1015,X$9+1,FALSE)</f>
        <v>NO</v>
      </c>
      <c r="Y16" s="1051" t="str">
        <f>VLOOKUP($D16,Data!$H$16:$BS$1015,Y$9+1,FALSE)</f>
        <v>NO</v>
      </c>
      <c r="Z16" s="1051">
        <f>VLOOKUP($D16,Data!$H$16:$BS$1015,Z$9+1,FALSE)</f>
        <v>22586.198969997196</v>
      </c>
      <c r="AA16" s="1051">
        <f>VLOOKUP($D16,Data!$H$16:$BS$1015,AA$9+1,FALSE)</f>
        <v>1506122.2340378426</v>
      </c>
      <c r="AB16" s="1051" t="str">
        <f>VLOOKUP($D16,Data!$H$16:$BS$1015,AB$9+1,FALSE)</f>
        <v>NO</v>
      </c>
      <c r="AC16" s="1052" t="str">
        <f>VLOOKUP($D16,Data!$H$16:$BS$1015,AC$9+1,FALSE)</f>
        <v>NE</v>
      </c>
      <c r="AD16" s="1051">
        <f>VLOOKUP($D16,Data!$H$16:$BS$1015,AD$9+1,FALSE)</f>
        <v>15466.198512840001</v>
      </c>
      <c r="AE16" s="1051">
        <f>VLOOKUP($D16,Data!$H$16:$BS$1015,AE$9+1,FALSE)</f>
        <v>55082.925822987258</v>
      </c>
      <c r="AF16" s="1052" t="str">
        <f>VLOOKUP($D16,Data!$H$16:$BS$1015,AF$9+1,FALSE)</f>
        <v>NE</v>
      </c>
      <c r="AG16" s="1051">
        <f>VLOOKUP($D16,Data!$H$16:$BS$1015,AG$9+1,FALSE)</f>
        <v>385.67362240000006</v>
      </c>
      <c r="AH16" s="1051" t="str">
        <f>VLOOKUP($D16,Data!$H$16:$BS$1015,AH$9+1,FALSE)</f>
        <v>NO</v>
      </c>
      <c r="AI16" s="1052" t="str">
        <f>VLOOKUP($D16,Data!$H$16:$BS$1015,AI$9+1,FALSE)</f>
        <v>NE</v>
      </c>
      <c r="AJ16" s="1051" t="str">
        <f>VLOOKUP($D16,Data!$H$16:$BS$1015,AJ$9+1,FALSE)</f>
        <v>NO</v>
      </c>
      <c r="AK16" s="1051" t="str">
        <f>VLOOKUP($D16,Data!$H$16:$BS$1015,AK$9+1,FALSE)</f>
        <v>NO</v>
      </c>
      <c r="AL16" s="1052" t="str">
        <f>VLOOKUP($D16,Data!$H$16:$BS$1015,AL$9+1,FALSE)</f>
        <v>NE</v>
      </c>
      <c r="AM16" s="1051">
        <f>VLOOKUP($D16,Data!$H$16:$BS$1015,AM$9+1,FALSE)</f>
        <v>19754.778761830741</v>
      </c>
      <c r="AN16" s="1051" t="str">
        <f>VLOOKUP($D16,Data!$H$16:$BS$1015,AN$9+1,FALSE)</f>
        <v>NO</v>
      </c>
      <c r="AO16" s="1052" t="str">
        <f>VLOOKUP($D16,Data!$H$16:$BS$1015,AO$9+1,FALSE)</f>
        <v>NE</v>
      </c>
      <c r="AP16" s="1051" t="str">
        <f>VLOOKUP($D16,Data!$H$16:$BS$1015,AP$9+1,FALSE)</f>
        <v>NO</v>
      </c>
      <c r="AQ16" s="1051" t="str">
        <f>VLOOKUP($D16,Data!$H$16:$BS$1015,AQ$9+1,FALSE)</f>
        <v>NO</v>
      </c>
      <c r="AR16" s="1053" t="str">
        <f>VLOOKUP($D16,Data!$H$16:$BS$1015,AR$9+1,FALSE)</f>
        <v>NO</v>
      </c>
      <c r="AS16" s="1051" t="str">
        <f>VLOOKUP($D16,Data!$H$16:$BS$1015,AS$9+1,FALSE)</f>
        <v>NO</v>
      </c>
      <c r="AT16" s="1051" t="str">
        <f>VLOOKUP($D16,Data!$H$16:$BS$1015,AT$9+1,FALSE)</f>
        <v>NO</v>
      </c>
      <c r="AU16" s="1053" t="str">
        <f>VLOOKUP($D16,Data!$H$16:$BS$1015,AU$9+1,FALSE)</f>
        <v>NO</v>
      </c>
      <c r="AV16" s="1051" t="str">
        <f>VLOOKUP($D16,Data!$H$16:$BS$1015,AV$9+1,FALSE)</f>
        <v>NO</v>
      </c>
      <c r="AW16" s="1051">
        <f>VLOOKUP($D16,Data!$H$16:$BS$1015,AW$9+1,FALSE)</f>
        <v>0</v>
      </c>
      <c r="AX16" s="1053" t="str">
        <f>VLOOKUP($D16,Data!$H$16:$BS$1015,AX$9+1,FALSE)</f>
        <v>NO</v>
      </c>
      <c r="AY16" s="1051">
        <f>VLOOKUP($D16,Data!$H$16:$BS$1015,AY$9+1,FALSE)</f>
        <v>17120.961810486329</v>
      </c>
      <c r="AZ16" s="1051" t="str">
        <f>VLOOKUP($D16,Data!$H$16:$BS$1015,AZ$9+1,FALSE)</f>
        <v>NO</v>
      </c>
      <c r="BA16" s="1053">
        <f>VLOOKUP($D16,Data!$H$16:$BS$1015,BA$9+1,FALSE)</f>
        <v>34760.740645532846</v>
      </c>
      <c r="BB16" s="1052" t="str">
        <f>VLOOKUP($D16,Data!$H$16:$BS$1015,BB$9+1,FALSE)</f>
        <v>NE</v>
      </c>
      <c r="BC16" s="1052" t="str">
        <f>VLOOKUP($D16,Data!$H$16:$BS$1015,BC$9+1,FALSE)</f>
        <v>NE</v>
      </c>
      <c r="BD16" s="1052" t="str">
        <f>VLOOKUP($D16,Data!$H$16:$BS$1015,BD$9+1,FALSE)</f>
        <v>NE</v>
      </c>
      <c r="BE16" s="1052" t="str">
        <f>VLOOKUP($D16,Data!$H$16:$BS$1015,BE$9+1,FALSE)</f>
        <v>NE</v>
      </c>
      <c r="BF16" s="1052" t="str">
        <f>VLOOKUP($D16,Data!$H$16:$BS$1015,BF$9+1,FALSE)</f>
        <v>NE</v>
      </c>
      <c r="BG16" s="1054" t="str">
        <f>VLOOKUP($D16,Data!$H$16:$BS$1015,BG$9+1,FALSE)</f>
        <v>NE</v>
      </c>
      <c r="BH16" s="1051">
        <f>VLOOKUP($D16,Data!$H$16:$BS$1015,BH$9+2,FALSE)</f>
        <v>6025361.8178097717</v>
      </c>
      <c r="BI16" s="1052">
        <f>VLOOKUP($D16,Data!$H$16:$BS$1015,BI$9+2,FALSE)</f>
        <v>6025361.8178097717</v>
      </c>
      <c r="BJ16" s="1054">
        <f>VLOOKUP($D16,Data!$H$16:$BS$1015,BJ$9+2,FALSE)</f>
        <v>6025361.8178097717</v>
      </c>
      <c r="BK16" s="1053">
        <f>VLOOKUP($D16,Data!$H$16:$BS$1015,BK$9+2,FALSE)</f>
        <v>3816161.3660157113</v>
      </c>
    </row>
    <row r="17" spans="1:63" s="1121" customFormat="1" ht="15" customHeight="1">
      <c r="A17" s="1185">
        <v>6</v>
      </c>
      <c r="B17" s="1443" t="str">
        <f>Data_3!B18</f>
        <v>Buenos Aires</v>
      </c>
      <c r="C17" s="1444">
        <f>IF(B17="","",IF(VLOOKUP(B17,Data_3!$B$13:$Y$112,24,FALSE)&lt;&gt;"",2020,IF(VLOOKUP(B17,Data_3!$B$13:$Y$112,23,FALSE)&lt;&gt;"",2019,IF(VLOOKUP(B17,Data_3!$B$13:$Y$112,22,FALSE)&lt;&gt;"",2018,IF(VLOOKUP(B17,Data_3!$B$13:$Y$112,21,FALSE)&lt;&gt;"",2017,IF(VLOOKUP(B17,Data_3!$B$13:$Y$112,20,FALSE)&lt;&gt;"",2016,IF(VLOOKUP(B17,Data_3!$B$13:$Y$112,19,FALSE)&lt;&gt;"",2015,IF(VLOOKUP(B17,Data_3!$B$13:$Y$112,18,FALSE)&lt;&gt;"",2014,IF(VLOOKUP(B17,Data_3!$B$13:$Y$112,17,FALSE)&lt;&gt;"",2013,IF(VLOOKUP(B17,Data_3!$B$13:$Y$112,16,FALSE)&lt;&gt;"",2012,IF(VLOOKUP(B17,Data_3!$B$13:$Y$112,15,FALSE)&lt;&gt;"",2011,IF(VLOOKUP(B17,Data_3!$B$13:$Y$112,14,FALSE)&lt;&gt;"",2010,IF(VLOOKUP(B17,Data_3!$B$13:$Y$112,13,FALSE)&lt;&gt;"",2009,IF(VLOOKUP(B17,Data_3!$B$13:$Y$112,12,FALSE)&lt;&gt;"",2008,IF(VLOOKUP(B17,Data_3!$B$13:$Y$112,11,FALSE)&lt;&gt;"",2007,IF(VLOOKUP(B17,Data_3!$B$13:$Y$112,10,FALSE)&lt;&gt;"",2006,IF(VLOOKUP(B17,Data_3!$B$13:$Y$112,9,FALSE)&lt;&gt;"",2005,IF(VLOOKUP(B17,Data_3!$B$13:$Y$112,8,FALSE)&lt;&gt;"",2004,IF(VLOOKUP(B17,Data_3!$B$13:$Y$112,7,FALSE)&lt;&gt;"",2003,IF(VLOOKUP(B17,Data_3!$B$13:$Y$1126,FALSE)&lt;&gt;"",2002,IF(VLOOKUP(B17,Data_3!$B$13:$Y$112,5,FALSE)&lt;&gt;"",2001,IF(VLOOKUP(B17,Data_3!$B$13:$Y$112,4,FALSE)&lt;&gt;"",2000,"N/A"))))))))))))))))))))))</f>
        <v>2014</v>
      </c>
      <c r="D17" s="1456" t="str">
        <f>IF(B17="","",CONCATENATE(B17,"_",2013))</f>
        <v>Buenos Aires_2013</v>
      </c>
      <c r="E17" s="1444" t="str">
        <f>VLOOKUP($D17,Data!$H$16:$BS$1015,2,FALSE)</f>
        <v>BASIC</v>
      </c>
      <c r="F17" s="1051">
        <f>VLOOKUP($D17,Data!$H$16:$BS$1015,F$9+1,FALSE)</f>
        <v>2394807.3141091089</v>
      </c>
      <c r="G17" s="1051">
        <f>VLOOKUP($D17,Data!$H$16:$BS$1015,G$9+1,FALSE)</f>
        <v>1454197.0477896938</v>
      </c>
      <c r="H17" s="1052">
        <f>VLOOKUP($D17,Data!$H$16:$BS$1015,H$9+1,FALSE)</f>
        <v>214828.84228037242</v>
      </c>
      <c r="I17" s="1051">
        <f>VLOOKUP($D17,Data!$H$16:$BS$1015,I$9+1,FALSE)</f>
        <v>846725.14632999885</v>
      </c>
      <c r="J17" s="1051">
        <f>VLOOKUP($D17,Data!$H$16:$BS$1015,J$9+1,FALSE)</f>
        <v>2075330.0732117784</v>
      </c>
      <c r="K17" s="1052">
        <f>VLOOKUP($D17,Data!$H$16:$BS$1015,K$9+1,FALSE)</f>
        <v>254434.50119400752</v>
      </c>
      <c r="L17" s="1051">
        <f>VLOOKUP($D17,Data!$H$16:$BS$1015,L$9+1,FALSE)</f>
        <v>370560.2434413209</v>
      </c>
      <c r="M17" s="1051">
        <f>VLOOKUP($D17,Data!$H$16:$BS$1015,M$9+1,FALSE)</f>
        <v>369535.32667138078</v>
      </c>
      <c r="N17" s="1052">
        <f>VLOOKUP($D17,Data!$H$16:$BS$1015,N$9+1,FALSE)</f>
        <v>49271.372881174597</v>
      </c>
      <c r="O17" s="1051" t="str">
        <f>VLOOKUP($D17,Data!$H$16:$BS$1015,O$9+1,FALSE)</f>
        <v>IE</v>
      </c>
      <c r="P17" s="1051" t="str">
        <f>VLOOKUP($D17,Data!$H$16:$BS$1015,P$9+1,FALSE)</f>
        <v>IE</v>
      </c>
      <c r="Q17" s="1052" t="str">
        <f>VLOOKUP($D17,Data!$H$16:$BS$1015,Q$9+1,FALSE)</f>
        <v>IE</v>
      </c>
      <c r="R17" s="1053">
        <f>VLOOKUP($D17,Data!$H$16:$BS$1015,R$9+1,FALSE)</f>
        <v>9574078.306376053</v>
      </c>
      <c r="S17" s="1051" t="str">
        <f>VLOOKUP($D17,Data!$H$16:$BS$1015,S$9+1,FALSE)</f>
        <v>NO</v>
      </c>
      <c r="T17" s="1051" t="str">
        <f>VLOOKUP($D17,Data!$H$16:$BS$1015,T$9+1,FALSE)</f>
        <v>NO</v>
      </c>
      <c r="U17" s="1052" t="str">
        <f>VLOOKUP($D17,Data!$H$16:$BS$1015,U$9+1,FALSE)</f>
        <v>NO</v>
      </c>
      <c r="V17" s="1051" t="str">
        <f>VLOOKUP($D17,Data!$H$16:$BS$1015,V$9+1,FALSE)</f>
        <v>NO</v>
      </c>
      <c r="W17" s="1051" t="str">
        <f>VLOOKUP($D17,Data!$H$16:$BS$1015,W$9+1,FALSE)</f>
        <v>NO</v>
      </c>
      <c r="X17" s="1052" t="str">
        <f>VLOOKUP($D17,Data!$H$16:$BS$1015,X$9+1,FALSE)</f>
        <v>NO</v>
      </c>
      <c r="Y17" s="1051" t="str">
        <f>VLOOKUP($D17,Data!$H$16:$BS$1015,Y$9+1,FALSE)</f>
        <v>NO</v>
      </c>
      <c r="Z17" s="1051">
        <f>VLOOKUP($D17,Data!$H$16:$BS$1015,Z$9+1,FALSE)</f>
        <v>147197.6506580743</v>
      </c>
      <c r="AA17" s="1051">
        <f>VLOOKUP($D17,Data!$H$16:$BS$1015,AA$9+1,FALSE)</f>
        <v>3994892.8588032145</v>
      </c>
      <c r="AB17" s="1051" t="str">
        <f>VLOOKUP($D17,Data!$H$16:$BS$1015,AB$9+1,FALSE)</f>
        <v>NO</v>
      </c>
      <c r="AC17" s="1052" t="str">
        <f>VLOOKUP($D17,Data!$H$16:$BS$1015,AC$9+1,FALSE)</f>
        <v>NE</v>
      </c>
      <c r="AD17" s="1051">
        <f>VLOOKUP($D17,Data!$H$16:$BS$1015,AD$9+1,FALSE)</f>
        <v>17541.769469090708</v>
      </c>
      <c r="AE17" s="1051">
        <f>VLOOKUP($D17,Data!$H$16:$BS$1015,AE$9+1,FALSE)</f>
        <v>78892.884675146299</v>
      </c>
      <c r="AF17" s="1052">
        <f>VLOOKUP($D17,Data!$H$16:$BS$1015,AF$9+1,FALSE)</f>
        <v>17033.43541626689</v>
      </c>
      <c r="AG17" s="1051" t="str">
        <f>VLOOKUP($D17,Data!$H$16:$BS$1015,AG$9+1,FALSE)</f>
        <v>NO</v>
      </c>
      <c r="AH17" s="1051" t="str">
        <f>VLOOKUP($D17,Data!$H$16:$BS$1015,AH$9+1,FALSE)</f>
        <v>NO</v>
      </c>
      <c r="AI17" s="1052" t="str">
        <f>VLOOKUP($D17,Data!$H$16:$BS$1015,AI$9+1,FALSE)</f>
        <v>NE</v>
      </c>
      <c r="AJ17" s="1051" t="str">
        <f>VLOOKUP($D17,Data!$H$16:$BS$1015,AJ$9+1,FALSE)</f>
        <v>NO</v>
      </c>
      <c r="AK17" s="1051" t="str">
        <f>VLOOKUP($D17,Data!$H$16:$BS$1015,AK$9+1,FALSE)</f>
        <v>NO</v>
      </c>
      <c r="AL17" s="1052" t="str">
        <f>VLOOKUP($D17,Data!$H$16:$BS$1015,AL$9+1,FALSE)</f>
        <v>NE</v>
      </c>
      <c r="AM17" s="1051" t="str">
        <f>VLOOKUP($D17,Data!$H$16:$BS$1015,AM$9+1,FALSE)</f>
        <v>IE</v>
      </c>
      <c r="AN17" s="1051" t="str">
        <f>VLOOKUP($D17,Data!$H$16:$BS$1015,AN$9+1,FALSE)</f>
        <v>NO</v>
      </c>
      <c r="AO17" s="1052" t="str">
        <f>VLOOKUP($D17,Data!$H$16:$BS$1015,AO$9+1,FALSE)</f>
        <v>NE</v>
      </c>
      <c r="AP17" s="1051" t="str">
        <f>VLOOKUP($D17,Data!$H$16:$BS$1015,AP$9+1,FALSE)</f>
        <v>NO</v>
      </c>
      <c r="AQ17" s="1051">
        <f>VLOOKUP($D17,Data!$H$16:$BS$1015,AQ$9+1,FALSE)</f>
        <v>1637774</v>
      </c>
      <c r="AR17" s="1053" t="str">
        <f>VLOOKUP($D17,Data!$H$16:$BS$1015,AR$9+1,FALSE)</f>
        <v>NO</v>
      </c>
      <c r="AS17" s="1051" t="str">
        <f>VLOOKUP($D17,Data!$H$16:$BS$1015,AS$9+1,FALSE)</f>
        <v>NO</v>
      </c>
      <c r="AT17" s="1051">
        <f>VLOOKUP($D17,Data!$H$16:$BS$1015,AT$9+1,FALSE)</f>
        <v>5261.6500000000005</v>
      </c>
      <c r="AU17" s="1053" t="str">
        <f>VLOOKUP($D17,Data!$H$16:$BS$1015,AU$9+1,FALSE)</f>
        <v>NO</v>
      </c>
      <c r="AV17" s="1051" t="str">
        <f>VLOOKUP($D17,Data!$H$16:$BS$1015,AV$9+1,FALSE)</f>
        <v>NO</v>
      </c>
      <c r="AW17" s="1051" t="str">
        <f>VLOOKUP($D17,Data!$H$16:$BS$1015,AW$9+1,FALSE)</f>
        <v>NO</v>
      </c>
      <c r="AX17" s="1053" t="str">
        <f>VLOOKUP($D17,Data!$H$16:$BS$1015,AX$9+1,FALSE)</f>
        <v>NO</v>
      </c>
      <c r="AY17" s="1051">
        <f>VLOOKUP($D17,Data!$H$16:$BS$1015,AY$9+1,FALSE)</f>
        <v>55390.376263450562</v>
      </c>
      <c r="AZ17" s="1051">
        <f>VLOOKUP($D17,Data!$H$16:$BS$1015,AZ$9+1,FALSE)</f>
        <v>83186</v>
      </c>
      <c r="BA17" s="1053" t="str">
        <f>VLOOKUP($D17,Data!$H$16:$BS$1015,BA$9+1,FALSE)</f>
        <v>NO</v>
      </c>
      <c r="BB17" s="1052" t="str">
        <f>VLOOKUP($D17,Data!$H$16:$BS$1015,BB$9+1,FALSE)</f>
        <v>NO</v>
      </c>
      <c r="BC17" s="1052" t="str">
        <f>VLOOKUP($D17,Data!$H$16:$BS$1015,BC$9+1,FALSE)</f>
        <v>NE</v>
      </c>
      <c r="BD17" s="1052" t="str">
        <f>VLOOKUP($D17,Data!$H$16:$BS$1015,BD$9+1,FALSE)</f>
        <v>NO</v>
      </c>
      <c r="BE17" s="1052" t="str">
        <f>VLOOKUP($D17,Data!$H$16:$BS$1015,BE$9+1,FALSE)</f>
        <v>NO</v>
      </c>
      <c r="BF17" s="1052" t="str">
        <f>VLOOKUP($D17,Data!$H$16:$BS$1015,BF$9+1,FALSE)</f>
        <v>NO</v>
      </c>
      <c r="BG17" s="1054" t="str">
        <f>VLOOKUP($D17,Data!$H$16:$BS$1015,BG$9+1,FALSE)</f>
        <v>NO</v>
      </c>
      <c r="BH17" s="1051">
        <f>VLOOKUP($D17,Data!$H$16:$BS$1015,BH$9+2,FALSE)</f>
        <v>13531292.341422258</v>
      </c>
      <c r="BI17" s="1052">
        <f>VLOOKUP($D17,Data!$H$16:$BS$1015,BI$9+2,FALSE)</f>
        <v>14066860.493194081</v>
      </c>
      <c r="BJ17" s="1054">
        <f>VLOOKUP($D17,Data!$H$16:$BS$1015,BJ$9+2,FALSE)</f>
        <v>14066860.493194079</v>
      </c>
      <c r="BK17" s="1053">
        <f>VLOOKUP($D17,Data!$H$16:$BS$1015,BK$9+2,FALSE)</f>
        <v>17401193.665450312</v>
      </c>
    </row>
    <row r="18" spans="1:63" s="34" customFormat="1" ht="15" customHeight="1">
      <c r="A18" s="1185">
        <v>7</v>
      </c>
      <c r="B18" s="1443" t="str">
        <f>Data_3!B19</f>
        <v>Cape Town</v>
      </c>
      <c r="C18" s="1444">
        <f>IF(B18="","",IF(VLOOKUP(B18,Data_3!$B$13:$Y$112,24,FALSE)&lt;&gt;"",2020,IF(VLOOKUP(B18,Data_3!$B$13:$Y$112,23,FALSE)&lt;&gt;"",2019,IF(VLOOKUP(B18,Data_3!$B$13:$Y$112,22,FALSE)&lt;&gt;"",2018,IF(VLOOKUP(B18,Data_3!$B$13:$Y$112,21,FALSE)&lt;&gt;"",2017,IF(VLOOKUP(B18,Data_3!$B$13:$Y$112,20,FALSE)&lt;&gt;"",2016,IF(VLOOKUP(B18,Data_3!$B$13:$Y$112,19,FALSE)&lt;&gt;"",2015,IF(VLOOKUP(B18,Data_3!$B$13:$Y$112,18,FALSE)&lt;&gt;"",2014,IF(VLOOKUP(B18,Data_3!$B$13:$Y$112,17,FALSE)&lt;&gt;"",2013,IF(VLOOKUP(B18,Data_3!$B$13:$Y$112,16,FALSE)&lt;&gt;"",2012,IF(VLOOKUP(B18,Data_3!$B$13:$Y$112,15,FALSE)&lt;&gt;"",2011,IF(VLOOKUP(B18,Data_3!$B$13:$Y$112,14,FALSE)&lt;&gt;"",2010,IF(VLOOKUP(B18,Data_3!$B$13:$Y$112,13,FALSE)&lt;&gt;"",2009,IF(VLOOKUP(B18,Data_3!$B$13:$Y$112,12,FALSE)&lt;&gt;"",2008,IF(VLOOKUP(B18,Data_3!$B$13:$Y$112,11,FALSE)&lt;&gt;"",2007,IF(VLOOKUP(B18,Data_3!$B$13:$Y$112,10,FALSE)&lt;&gt;"",2006,IF(VLOOKUP(B18,Data_3!$B$13:$Y$112,9,FALSE)&lt;&gt;"",2005,IF(VLOOKUP(B18,Data_3!$B$13:$Y$112,8,FALSE)&lt;&gt;"",2004,IF(VLOOKUP(B18,Data_3!$B$13:$Y$112,7,FALSE)&lt;&gt;"",2003,IF(VLOOKUP(B18,Data_3!$B$13:$Y$1126,FALSE)&lt;&gt;"",2002,IF(VLOOKUP(B18,Data_3!$B$13:$Y$112,5,FALSE)&lt;&gt;"",2001,IF(VLOOKUP(B18,Data_3!$B$13:$Y$112,4,FALSE)&lt;&gt;"",2000,"N/A"))))))))))))))))))))))</f>
        <v>2012</v>
      </c>
      <c r="D18" s="1456" t="str">
        <f t="shared" si="0"/>
        <v>Cape Town_2012</v>
      </c>
      <c r="E18" s="1444" t="str">
        <f>VLOOKUP($D18,Data!$H$16:$BS$1015,2,FALSE)</f>
        <v>BASIC</v>
      </c>
      <c r="F18" s="1051">
        <f>VLOOKUP($D18,Data!$H$16:$BS$1015,F$9+1,FALSE)</f>
        <v>153682.01889099999</v>
      </c>
      <c r="G18" s="1051">
        <f>VLOOKUP($D18,Data!$H$16:$BS$1015,G$9+1,FALSE)</f>
        <v>4420213.5690900004</v>
      </c>
      <c r="H18" s="1052">
        <f>VLOOKUP($D18,Data!$H$16:$BS$1015,H$9+1,FALSE)</f>
        <v>178594.48764000001</v>
      </c>
      <c r="I18" s="1051">
        <f>VLOOKUP($D18,Data!$H$16:$BS$1015,I$9+1,FALSE)</f>
        <v>69967.809854000006</v>
      </c>
      <c r="J18" s="1051">
        <f>VLOOKUP($D18,Data!$H$16:$BS$1015,J$9+1,FALSE)</f>
        <v>5652332.0756100006</v>
      </c>
      <c r="K18" s="1052">
        <f>VLOOKUP($D18,Data!$H$16:$BS$1015,K$9+1,FALSE)</f>
        <v>228377.05356000003</v>
      </c>
      <c r="L18" s="1051">
        <f>VLOOKUP($D18,Data!$H$16:$BS$1015,L$9+1,FALSE)</f>
        <v>663784.28619200003</v>
      </c>
      <c r="M18" s="1051">
        <f>VLOOKUP($D18,Data!$H$16:$BS$1015,M$9+1,FALSE)</f>
        <v>1433450.304</v>
      </c>
      <c r="N18" s="1052">
        <f>VLOOKUP($D18,Data!$H$16:$BS$1015,N$9+1,FALSE)</f>
        <v>57917.184000000001</v>
      </c>
      <c r="O18" s="1051" t="str">
        <f>VLOOKUP($D18,Data!$H$16:$BS$1015,O$9+1,FALSE)</f>
        <v>IE</v>
      </c>
      <c r="P18" s="1051" t="str">
        <f>VLOOKUP($D18,Data!$H$16:$BS$1015,P$9+1,FALSE)</f>
        <v>IE</v>
      </c>
      <c r="Q18" s="1052" t="str">
        <f>VLOOKUP($D18,Data!$H$16:$BS$1015,Q$9+1,FALSE)</f>
        <v>IE</v>
      </c>
      <c r="R18" s="1053">
        <f>VLOOKUP($D18,Data!$H$16:$BS$1015,R$9+1,FALSE)</f>
        <v>729083.78302399989</v>
      </c>
      <c r="S18" s="1051">
        <f>VLOOKUP($D18,Data!$H$16:$BS$1015,S$9+1,FALSE)</f>
        <v>22.641521999999998</v>
      </c>
      <c r="T18" s="1051">
        <f>VLOOKUP($D18,Data!$H$16:$BS$1015,T$9+1,FALSE)</f>
        <v>209156.85053999998</v>
      </c>
      <c r="U18" s="1052">
        <f>VLOOKUP($D18,Data!$H$16:$BS$1015,U$9+1,FALSE)</f>
        <v>8450.7818400000015</v>
      </c>
      <c r="V18" s="1051" t="str">
        <f>VLOOKUP($D18,Data!$H$16:$BS$1015,V$9+1,FALSE)</f>
        <v>NO</v>
      </c>
      <c r="W18" s="1051">
        <f>VLOOKUP($D18,Data!$H$16:$BS$1015,W$9+1,FALSE)</f>
        <v>1042806.48615</v>
      </c>
      <c r="X18" s="1052">
        <f>VLOOKUP($D18,Data!$H$16:$BS$1015,X$9+1,FALSE)</f>
        <v>42133.595400000006</v>
      </c>
      <c r="Y18" s="1051" t="str">
        <f>VLOOKUP($D18,Data!$H$16:$BS$1015,Y$9+1,FALSE)</f>
        <v>NO</v>
      </c>
      <c r="Z18" s="1051" t="str">
        <f>VLOOKUP($D18,Data!$H$16:$BS$1015,Z$9+1,FALSE)</f>
        <v>NO</v>
      </c>
      <c r="AA18" s="1051">
        <f>VLOOKUP($D18,Data!$H$16:$BS$1015,AA$9+1,FALSE)</f>
        <v>5743301.3041220009</v>
      </c>
      <c r="AB18" s="1051" t="str">
        <f>VLOOKUP($D18,Data!$H$16:$BS$1015,AB$9+1,FALSE)</f>
        <v>NO</v>
      </c>
      <c r="AC18" s="1052" t="str">
        <f>VLOOKUP($D18,Data!$H$16:$BS$1015,AC$9+1,FALSE)</f>
        <v>NE</v>
      </c>
      <c r="AD18" s="1051" t="str">
        <f>VLOOKUP($D18,Data!$H$16:$BS$1015,AD$9+1,FALSE)</f>
        <v>NO</v>
      </c>
      <c r="AE18" s="1051">
        <f>VLOOKUP($D18,Data!$H$16:$BS$1015,AE$9+1,FALSE)</f>
        <v>102152.22336</v>
      </c>
      <c r="AF18" s="1052">
        <f>VLOOKUP($D18,Data!$H$16:$BS$1015,AF$9+1,FALSE)</f>
        <v>4127.3625600000005</v>
      </c>
      <c r="AG18" s="1051" t="str">
        <f>VLOOKUP($D18,Data!$H$16:$BS$1015,AG$9+1,FALSE)</f>
        <v>IE</v>
      </c>
      <c r="AH18" s="1051" t="str">
        <f>VLOOKUP($D18,Data!$H$16:$BS$1015,AH$9+1,FALSE)</f>
        <v>NO</v>
      </c>
      <c r="AI18" s="1052">
        <f>VLOOKUP($D18,Data!$H$16:$BS$1015,AI$9+1,FALSE)</f>
        <v>531665.96062999999</v>
      </c>
      <c r="AJ18" s="1051" t="str">
        <f>VLOOKUP($D18,Data!$H$16:$BS$1015,AJ$9+1,FALSE)</f>
        <v>IE</v>
      </c>
      <c r="AK18" s="1051" t="str">
        <f>VLOOKUP($D18,Data!$H$16:$BS$1015,AK$9+1,FALSE)</f>
        <v>NO</v>
      </c>
      <c r="AL18" s="1052">
        <f>VLOOKUP($D18,Data!$H$16:$BS$1015,AL$9+1,FALSE)</f>
        <v>740101.58374100004</v>
      </c>
      <c r="AM18" s="1051" t="str">
        <f>VLOOKUP($D18,Data!$H$16:$BS$1015,AM$9+1,FALSE)</f>
        <v>IE</v>
      </c>
      <c r="AN18" s="1051" t="str">
        <f>VLOOKUP($D18,Data!$H$16:$BS$1015,AN$9+1,FALSE)</f>
        <v>NO</v>
      </c>
      <c r="AO18" s="1052" t="str">
        <f>VLOOKUP($D18,Data!$H$16:$BS$1015,AO$9+1,FALSE)</f>
        <v>NE</v>
      </c>
      <c r="AP18" s="1051">
        <f>VLOOKUP($D18,Data!$H$16:$BS$1015,AP$9+1,FALSE)</f>
        <v>2286195.1755999997</v>
      </c>
      <c r="AQ18" s="1051" t="str">
        <f>VLOOKUP($D18,Data!$H$16:$BS$1015,AQ$9+1,FALSE)</f>
        <v>NO</v>
      </c>
      <c r="AR18" s="1053" t="str">
        <f>VLOOKUP($D18,Data!$H$16:$BS$1015,AR$9+1,FALSE)</f>
        <v>IE</v>
      </c>
      <c r="AS18" s="1051" t="str">
        <f>VLOOKUP($D18,Data!$H$16:$BS$1015,AS$9+1,FALSE)</f>
        <v>NO</v>
      </c>
      <c r="AT18" s="1051" t="str">
        <f>VLOOKUP($D18,Data!$H$16:$BS$1015,AT$9+1,FALSE)</f>
        <v>NO</v>
      </c>
      <c r="AU18" s="1053" t="str">
        <f>VLOOKUP($D18,Data!$H$16:$BS$1015,AU$9+1,FALSE)</f>
        <v>NO</v>
      </c>
      <c r="AV18" s="1051" t="str">
        <f>VLOOKUP($D18,Data!$H$16:$BS$1015,AV$9+1,FALSE)</f>
        <v>NO</v>
      </c>
      <c r="AW18" s="1051" t="str">
        <f>VLOOKUP($D18,Data!$H$16:$BS$1015,AW$9+1,FALSE)</f>
        <v>NO</v>
      </c>
      <c r="AX18" s="1053" t="str">
        <f>VLOOKUP($D18,Data!$H$16:$BS$1015,AX$9+1,FALSE)</f>
        <v>NO</v>
      </c>
      <c r="AY18" s="1051">
        <f>VLOOKUP($D18,Data!$H$16:$BS$1015,AY$9+1,FALSE)</f>
        <v>137697</v>
      </c>
      <c r="AZ18" s="1051" t="str">
        <f>VLOOKUP($D18,Data!$H$16:$BS$1015,AZ$9+1,FALSE)</f>
        <v>NO</v>
      </c>
      <c r="BA18" s="1053" t="str">
        <f>VLOOKUP($D18,Data!$H$16:$BS$1015,BA$9+1,FALSE)</f>
        <v>IE</v>
      </c>
      <c r="BB18" s="1052" t="str">
        <f>VLOOKUP($D18,Data!$H$16:$BS$1015,BB$9+1,FALSE)</f>
        <v>NE</v>
      </c>
      <c r="BC18" s="1052" t="str">
        <f>VLOOKUP($D18,Data!$H$16:$BS$1015,BC$9+1,FALSE)</f>
        <v>NE</v>
      </c>
      <c r="BD18" s="1052" t="str">
        <f>VLOOKUP($D18,Data!$H$16:$BS$1015,BD$9+1,FALSE)</f>
        <v>NE</v>
      </c>
      <c r="BE18" s="1052" t="str">
        <f>VLOOKUP($D18,Data!$H$16:$BS$1015,BE$9+1,FALSE)</f>
        <v>NE</v>
      </c>
      <c r="BF18" s="1052" t="str">
        <f>VLOOKUP($D18,Data!$H$16:$BS$1015,BF$9+1,FALSE)</f>
        <v>NE</v>
      </c>
      <c r="BG18" s="1054" t="str">
        <f>VLOOKUP($D18,Data!$H$16:$BS$1015,BG$9+1,FALSE)</f>
        <v>NE</v>
      </c>
      <c r="BH18" s="1051">
        <f>VLOOKUP($D18,Data!$H$16:$BS$1015,BH$9+2,FALSE)</f>
        <v>21914761.744931001</v>
      </c>
      <c r="BI18" s="1052">
        <f>VLOOKUP($D18,Data!$H$16:$BS$1015,BI$9+2,FALSE)</f>
        <v>23706129.754302002</v>
      </c>
      <c r="BJ18" s="1054">
        <f>VLOOKUP($D18,Data!$H$16:$BS$1015,BJ$9+2,FALSE)</f>
        <v>23706129.754302002</v>
      </c>
      <c r="BK18" s="1053">
        <f>VLOOKUP($D18,Data!$H$16:$BS$1015,BK$9+2,FALSE)</f>
        <v>9783734.0192050003</v>
      </c>
    </row>
    <row r="19" spans="1:63" s="1121" customFormat="1" ht="15" customHeight="1">
      <c r="A19" s="1185">
        <v>8</v>
      </c>
      <c r="B19" s="1443" t="str">
        <f>Data_3!B20</f>
        <v>Chicago</v>
      </c>
      <c r="C19" s="1444">
        <f>IF(B19="","",IF(VLOOKUP(B19,Data_3!$B$13:$Y$112,24,FALSE)&lt;&gt;"",2020,IF(VLOOKUP(B19,Data_3!$B$13:$Y$112,23,FALSE)&lt;&gt;"",2019,IF(VLOOKUP(B19,Data_3!$B$13:$Y$112,22,FALSE)&lt;&gt;"",2018,IF(VLOOKUP(B19,Data_3!$B$13:$Y$112,21,FALSE)&lt;&gt;"",2017,IF(VLOOKUP(B19,Data_3!$B$13:$Y$112,20,FALSE)&lt;&gt;"",2016,IF(VLOOKUP(B19,Data_3!$B$13:$Y$112,19,FALSE)&lt;&gt;"",2015,IF(VLOOKUP(B19,Data_3!$B$13:$Y$112,18,FALSE)&lt;&gt;"",2014,IF(VLOOKUP(B19,Data_3!$B$13:$Y$112,17,FALSE)&lt;&gt;"",2013,IF(VLOOKUP(B19,Data_3!$B$13:$Y$112,16,FALSE)&lt;&gt;"",2012,IF(VLOOKUP(B19,Data_3!$B$13:$Y$112,15,FALSE)&lt;&gt;"",2011,IF(VLOOKUP(B19,Data_3!$B$13:$Y$112,14,FALSE)&lt;&gt;"",2010,IF(VLOOKUP(B19,Data_3!$B$13:$Y$112,13,FALSE)&lt;&gt;"",2009,IF(VLOOKUP(B19,Data_3!$B$13:$Y$112,12,FALSE)&lt;&gt;"",2008,IF(VLOOKUP(B19,Data_3!$B$13:$Y$112,11,FALSE)&lt;&gt;"",2007,IF(VLOOKUP(B19,Data_3!$B$13:$Y$112,10,FALSE)&lt;&gt;"",2006,IF(VLOOKUP(B19,Data_3!$B$13:$Y$112,9,FALSE)&lt;&gt;"",2005,IF(VLOOKUP(B19,Data_3!$B$13:$Y$112,8,FALSE)&lt;&gt;"",2004,IF(VLOOKUP(B19,Data_3!$B$13:$Y$112,7,FALSE)&lt;&gt;"",2003,IF(VLOOKUP(B19,Data_3!$B$13:$Y$1126,FALSE)&lt;&gt;"",2002,IF(VLOOKUP(B19,Data_3!$B$13:$Y$112,5,FALSE)&lt;&gt;"",2001,IF(VLOOKUP(B19,Data_3!$B$13:$Y$112,4,FALSE)&lt;&gt;"",2000,"N/A"))))))))))))))))))))))</f>
        <v>2010</v>
      </c>
      <c r="D19" s="1456" t="str">
        <f t="shared" si="0"/>
        <v>Chicago_2010</v>
      </c>
      <c r="E19" s="1444" t="str">
        <f>VLOOKUP($D19,Data!$H$16:$BS$1015,2,FALSE)</f>
        <v>BASIC</v>
      </c>
      <c r="F19" s="1051">
        <f>VLOOKUP($D19,Data!$H$16:$BS$1015,F$9+1,FALSE)</f>
        <v>5715207.9086837154</v>
      </c>
      <c r="G19" s="1051">
        <f>VLOOKUP($D19,Data!$H$16:$BS$1015,G$9+1,FALSE)</f>
        <v>4062733.7041084813</v>
      </c>
      <c r="H19" s="1052" t="str">
        <f>VLOOKUP($D19,Data!$H$16:$BS$1015,H$9+1,FALSE)</f>
        <v>NE</v>
      </c>
      <c r="I19" s="1051">
        <f>VLOOKUP($D19,Data!$H$16:$BS$1015,I$9+1,FALSE)</f>
        <v>2996949.1307490799</v>
      </c>
      <c r="J19" s="1051">
        <f>VLOOKUP($D19,Data!$H$16:$BS$1015,J$9+1,FALSE)</f>
        <v>10747371.550037861</v>
      </c>
      <c r="K19" s="1052" t="str">
        <f>VLOOKUP($D19,Data!$H$16:$BS$1015,K$9+1,FALSE)</f>
        <v>NE</v>
      </c>
      <c r="L19" s="1051">
        <f>VLOOKUP($D19,Data!$H$16:$BS$1015,L$9+1,FALSE)</f>
        <v>1350940.5697192827</v>
      </c>
      <c r="M19" s="1051" t="str">
        <f>VLOOKUP($D19,Data!$H$16:$BS$1015,M$9+1,FALSE)</f>
        <v>IE</v>
      </c>
      <c r="N19" s="1052" t="str">
        <f>VLOOKUP($D19,Data!$H$16:$BS$1015,N$9+1,FALSE)</f>
        <v>NE</v>
      </c>
      <c r="O19" s="1051" t="str">
        <f>VLOOKUP($D19,Data!$H$16:$BS$1015,O$9+1,FALSE)</f>
        <v>NO</v>
      </c>
      <c r="P19" s="1051" t="str">
        <f>VLOOKUP($D19,Data!$H$16:$BS$1015,P$9+1,FALSE)</f>
        <v>NO</v>
      </c>
      <c r="Q19" s="1052" t="str">
        <f>VLOOKUP($D19,Data!$H$16:$BS$1015,Q$9+1,FALSE)</f>
        <v>NO</v>
      </c>
      <c r="R19" s="1053" t="str">
        <f>VLOOKUP($D19,Data!$H$16:$BS$1015,R$9+1,FALSE)</f>
        <v>NO</v>
      </c>
      <c r="S19" s="1051" t="str">
        <f>VLOOKUP($D19,Data!$H$16:$BS$1015,S$9+1,FALSE)</f>
        <v>NO</v>
      </c>
      <c r="T19" s="1051" t="str">
        <f>VLOOKUP($D19,Data!$H$16:$BS$1015,T$9+1,FALSE)</f>
        <v>NO</v>
      </c>
      <c r="U19" s="1052" t="str">
        <f>VLOOKUP($D19,Data!$H$16:$BS$1015,U$9+1,FALSE)</f>
        <v>NO</v>
      </c>
      <c r="V19" s="1051" t="str">
        <f>VLOOKUP($D19,Data!$H$16:$BS$1015,V$9+1,FALSE)</f>
        <v>NO</v>
      </c>
      <c r="W19" s="1051" t="str">
        <f>VLOOKUP($D19,Data!$H$16:$BS$1015,W$9+1,FALSE)</f>
        <v>NO</v>
      </c>
      <c r="X19" s="1052" t="str">
        <f>VLOOKUP($D19,Data!$H$16:$BS$1015,X$9+1,FALSE)</f>
        <v>NO</v>
      </c>
      <c r="Y19" s="1051" t="str">
        <f>VLOOKUP($D19,Data!$H$16:$BS$1015,Y$9+1,FALSE)</f>
        <v>NO</v>
      </c>
      <c r="Z19" s="1051" t="str">
        <f>VLOOKUP($D19,Data!$H$16:$BS$1015,Z$9+1,FALSE)</f>
        <v>NE</v>
      </c>
      <c r="AA19" s="1051">
        <f>VLOOKUP($D19,Data!$H$16:$BS$1015,AA$9+1,FALSE)</f>
        <v>6783031.2123398855</v>
      </c>
      <c r="AB19" s="1051" t="str">
        <f>VLOOKUP($D19,Data!$H$16:$BS$1015,AB$9+1,FALSE)</f>
        <v>IE</v>
      </c>
      <c r="AC19" s="1052" t="str">
        <f>VLOOKUP($D19,Data!$H$16:$BS$1015,AC$9+1,FALSE)</f>
        <v>NE</v>
      </c>
      <c r="AD19" s="1051">
        <f>VLOOKUP($D19,Data!$H$16:$BS$1015,AD$9+1,FALSE)</f>
        <v>62587.199999999997</v>
      </c>
      <c r="AE19" s="1051">
        <f>VLOOKUP($D19,Data!$H$16:$BS$1015,AE$9+1,FALSE)</f>
        <v>251555.59406062285</v>
      </c>
      <c r="AF19" s="1052" t="str">
        <f>VLOOKUP($D19,Data!$H$16:$BS$1015,AF$9+1,FALSE)</f>
        <v>NE</v>
      </c>
      <c r="AG19" s="1051">
        <f>VLOOKUP($D19,Data!$H$16:$BS$1015,AG$9+1,FALSE)</f>
        <v>246.86441798931068</v>
      </c>
      <c r="AH19" s="1051" t="str">
        <f>VLOOKUP($D19,Data!$H$16:$BS$1015,AH$9+1,FALSE)</f>
        <v>NO</v>
      </c>
      <c r="AI19" s="1052" t="str">
        <f>VLOOKUP($D19,Data!$H$16:$BS$1015,AI$9+1,FALSE)</f>
        <v>NO</v>
      </c>
      <c r="AJ19" s="1051" t="str">
        <f>VLOOKUP($D19,Data!$H$16:$BS$1015,AJ$9+1,FALSE)</f>
        <v>NO</v>
      </c>
      <c r="AK19" s="1051" t="str">
        <f>VLOOKUP($D19,Data!$H$16:$BS$1015,AK$9+1,FALSE)</f>
        <v>NO</v>
      </c>
      <c r="AL19" s="1052" t="str">
        <f>VLOOKUP($D19,Data!$H$16:$BS$1015,AL$9+1,FALSE)</f>
        <v>NO</v>
      </c>
      <c r="AM19" s="1051">
        <f>VLOOKUP($D19,Data!$H$16:$BS$1015,AM$9+1,FALSE)</f>
        <v>1011.6726599300484</v>
      </c>
      <c r="AN19" s="1051" t="str">
        <f>VLOOKUP($D19,Data!$H$16:$BS$1015,AN$9+1,FALSE)</f>
        <v>NO</v>
      </c>
      <c r="AO19" s="1052" t="str">
        <f>VLOOKUP($D19,Data!$H$16:$BS$1015,AO$9+1,FALSE)</f>
        <v>NO</v>
      </c>
      <c r="AP19" s="1051">
        <f>VLOOKUP($D19,Data!$H$16:$BS$1015,AP$9+1,FALSE)</f>
        <v>1291449.0378922205</v>
      </c>
      <c r="AQ19" s="1051" t="str">
        <f>VLOOKUP($D19,Data!$H$16:$BS$1015,AQ$9+1,FALSE)</f>
        <v>NO</v>
      </c>
      <c r="AR19" s="1053" t="str">
        <f>VLOOKUP($D19,Data!$H$16:$BS$1015,AR$9+1,FALSE)</f>
        <v>NO</v>
      </c>
      <c r="AS19" s="1051" t="str">
        <f>VLOOKUP($D19,Data!$H$16:$BS$1015,AS$9+1,FALSE)</f>
        <v>NO</v>
      </c>
      <c r="AT19" s="1051" t="str">
        <f>VLOOKUP($D19,Data!$H$16:$BS$1015,AT$9+1,FALSE)</f>
        <v>NO</v>
      </c>
      <c r="AU19" s="1053" t="str">
        <f>VLOOKUP($D19,Data!$H$16:$BS$1015,AU$9+1,FALSE)</f>
        <v>NO</v>
      </c>
      <c r="AV19" s="1051" t="str">
        <f>VLOOKUP($D19,Data!$H$16:$BS$1015,AV$9+1,FALSE)</f>
        <v>NO</v>
      </c>
      <c r="AW19" s="1051" t="str">
        <f>VLOOKUP($D19,Data!$H$16:$BS$1015,AW$9+1,FALSE)</f>
        <v>NO</v>
      </c>
      <c r="AX19" s="1053" t="str">
        <f>VLOOKUP($D19,Data!$H$16:$BS$1015,AX$9+1,FALSE)</f>
        <v>NO</v>
      </c>
      <c r="AY19" s="1051">
        <f>VLOOKUP($D19,Data!$H$16:$BS$1015,AY$9+1,FALSE)</f>
        <v>35213.692568407758</v>
      </c>
      <c r="AZ19" s="1051" t="str">
        <f>VLOOKUP($D19,Data!$H$16:$BS$1015,AZ$9+1,FALSE)</f>
        <v>NO</v>
      </c>
      <c r="BA19" s="1053" t="str">
        <f>VLOOKUP($D19,Data!$H$16:$BS$1015,BA$9+1,FALSE)</f>
        <v>NO</v>
      </c>
      <c r="BB19" s="1052">
        <f>VLOOKUP($D19,Data!$H$16:$BS$1015,BB$9+1,FALSE)</f>
        <v>53738</v>
      </c>
      <c r="BC19" s="1052">
        <f>VLOOKUP($D19,Data!$H$16:$BS$1015,BC$9+1,FALSE)</f>
        <v>193540.9803106488</v>
      </c>
      <c r="BD19" s="1052" t="str">
        <f>VLOOKUP($D19,Data!$H$16:$BS$1015,BD$9+1,FALSE)</f>
        <v>NE</v>
      </c>
      <c r="BE19" s="1052" t="str">
        <f>VLOOKUP($D19,Data!$H$16:$BS$1015,BE$9+1,FALSE)</f>
        <v>NE</v>
      </c>
      <c r="BF19" s="1052" t="str">
        <f>VLOOKUP($D19,Data!$H$16:$BS$1015,BF$9+1,FALSE)</f>
        <v>NE</v>
      </c>
      <c r="BG19" s="1054" t="str">
        <f>VLOOKUP($D19,Data!$H$16:$BS$1015,BG$9+1,FALSE)</f>
        <v>NE</v>
      </c>
      <c r="BH19" s="1051">
        <f>VLOOKUP($D19,Data!$H$16:$BS$1015,BH$9+2,FALSE)</f>
        <v>33298298.137237478</v>
      </c>
      <c r="BI19" s="1052">
        <f>VLOOKUP($D19,Data!$H$16:$BS$1015,BI$9+2,FALSE)</f>
        <v>33545577.117548127</v>
      </c>
      <c r="BJ19" s="1054">
        <f>VLOOKUP($D19,Data!$H$16:$BS$1015,BJ$9+2,FALSE)</f>
        <v>33545577.117548127</v>
      </c>
      <c r="BK19" s="1053">
        <f>VLOOKUP($D19,Data!$H$16:$BS$1015,BK$9+2,FALSE)</f>
        <v>18483916.269341163</v>
      </c>
    </row>
    <row r="20" spans="1:63" s="34" customFormat="1" ht="15" customHeight="1">
      <c r="A20" s="1185">
        <v>9</v>
      </c>
      <c r="B20" s="1443" t="str">
        <f>Data_3!B21</f>
        <v>Copenhagen</v>
      </c>
      <c r="C20" s="1444">
        <f>IF(B20="","",IF(VLOOKUP(B20,Data_3!$B$13:$Y$112,24,FALSE)&lt;&gt;"",2020,IF(VLOOKUP(B20,Data_3!$B$13:$Y$112,23,FALSE)&lt;&gt;"",2019,IF(VLOOKUP(B20,Data_3!$B$13:$Y$112,22,FALSE)&lt;&gt;"",2018,IF(VLOOKUP(B20,Data_3!$B$13:$Y$112,21,FALSE)&lt;&gt;"",2017,IF(VLOOKUP(B20,Data_3!$B$13:$Y$112,20,FALSE)&lt;&gt;"",2016,IF(VLOOKUP(B20,Data_3!$B$13:$Y$112,19,FALSE)&lt;&gt;"",2015,IF(VLOOKUP(B20,Data_3!$B$13:$Y$112,18,FALSE)&lt;&gt;"",2014,IF(VLOOKUP(B20,Data_3!$B$13:$Y$112,17,FALSE)&lt;&gt;"",2013,IF(VLOOKUP(B20,Data_3!$B$13:$Y$112,16,FALSE)&lt;&gt;"",2012,IF(VLOOKUP(B20,Data_3!$B$13:$Y$112,15,FALSE)&lt;&gt;"",2011,IF(VLOOKUP(B20,Data_3!$B$13:$Y$112,14,FALSE)&lt;&gt;"",2010,IF(VLOOKUP(B20,Data_3!$B$13:$Y$112,13,FALSE)&lt;&gt;"",2009,IF(VLOOKUP(B20,Data_3!$B$13:$Y$112,12,FALSE)&lt;&gt;"",2008,IF(VLOOKUP(B20,Data_3!$B$13:$Y$112,11,FALSE)&lt;&gt;"",2007,IF(VLOOKUP(B20,Data_3!$B$13:$Y$112,10,FALSE)&lt;&gt;"",2006,IF(VLOOKUP(B20,Data_3!$B$13:$Y$112,9,FALSE)&lt;&gt;"",2005,IF(VLOOKUP(B20,Data_3!$B$13:$Y$112,8,FALSE)&lt;&gt;"",2004,IF(VLOOKUP(B20,Data_3!$B$13:$Y$112,7,FALSE)&lt;&gt;"",2003,IF(VLOOKUP(B20,Data_3!$B$13:$Y$1126,FALSE)&lt;&gt;"",2002,IF(VLOOKUP(B20,Data_3!$B$13:$Y$112,5,FALSE)&lt;&gt;"",2001,IF(VLOOKUP(B20,Data_3!$B$13:$Y$112,4,FALSE)&lt;&gt;"",2000,"N/A"))))))))))))))))))))))</f>
        <v>2014</v>
      </c>
      <c r="D20" s="1456" t="str">
        <f t="shared" si="0"/>
        <v>Copenhagen_2014</v>
      </c>
      <c r="E20" s="1444" t="str">
        <f>VLOOKUP($D20,Data!$H$16:$BS$1015,2,FALSE)</f>
        <v>BASIC</v>
      </c>
      <c r="F20" s="1051">
        <f>VLOOKUP($D20,Data!$H$16:$BS$1015,F$9+1,FALSE)</f>
        <v>18042.118571428571</v>
      </c>
      <c r="G20" s="1051">
        <f>VLOOKUP($D20,Data!$H$16:$BS$1015,G$9+1,FALSE)</f>
        <v>423356.77251277125</v>
      </c>
      <c r="H20" s="1052">
        <f>VLOOKUP($D20,Data!$H$16:$BS$1015,H$9+1,FALSE)</f>
        <v>48721.384733215884</v>
      </c>
      <c r="I20" s="1051">
        <f>VLOOKUP($D20,Data!$H$16:$BS$1015,I$9+1,FALSE)</f>
        <v>9077.5999999999985</v>
      </c>
      <c r="J20" s="1051">
        <f>VLOOKUP($D20,Data!$H$16:$BS$1015,J$9+1,FALSE)</f>
        <v>577454.55220211134</v>
      </c>
      <c r="K20" s="1052">
        <f>VLOOKUP($D20,Data!$H$16:$BS$1015,K$9+1,FALSE)</f>
        <v>43996.499556875096</v>
      </c>
      <c r="L20" s="1051">
        <f>VLOOKUP($D20,Data!$H$16:$BS$1015,L$9+1,FALSE)</f>
        <v>10672</v>
      </c>
      <c r="M20" s="1051">
        <f>VLOOKUP($D20,Data!$H$16:$BS$1015,M$9+1,FALSE)</f>
        <v>91105.080029116914</v>
      </c>
      <c r="N20" s="1052">
        <f>VLOOKUP($D20,Data!$H$16:$BS$1015,N$9+1,FALSE)</f>
        <v>6213.2441789566346</v>
      </c>
      <c r="O20" s="1051" t="str">
        <f>VLOOKUP($D20,Data!$H$16:$BS$1015,O$9+1,FALSE)</f>
        <v>IE</v>
      </c>
      <c r="P20" s="1051" t="str">
        <f>VLOOKUP($D20,Data!$H$16:$BS$1015,P$9+1,FALSE)</f>
        <v>IE</v>
      </c>
      <c r="Q20" s="1052" t="str">
        <f>VLOOKUP($D20,Data!$H$16:$BS$1015,Q$9+1,FALSE)</f>
        <v>IE</v>
      </c>
      <c r="R20" s="1053">
        <f>VLOOKUP($D20,Data!$H$16:$BS$1015,R$9+1,FALSE)</f>
        <v>1755238.487</v>
      </c>
      <c r="S20" s="1051" t="str">
        <f>VLOOKUP($D20,Data!$H$16:$BS$1015,S$9+1,FALSE)</f>
        <v>IE</v>
      </c>
      <c r="T20" s="1051">
        <f>VLOOKUP($D20,Data!$H$16:$BS$1015,T$9+1,FALSE)</f>
        <v>64.129779990392024</v>
      </c>
      <c r="U20" s="1052">
        <f>VLOOKUP($D20,Data!$H$16:$BS$1015,U$9+1,FALSE)</f>
        <v>3.3150000000000004</v>
      </c>
      <c r="V20" s="1051" t="str">
        <f>VLOOKUP($D20,Data!$H$16:$BS$1015,V$9+1,FALSE)</f>
        <v>NO</v>
      </c>
      <c r="W20" s="1051" t="str">
        <f>VLOOKUP($D20,Data!$H$16:$BS$1015,W$9+1,FALSE)</f>
        <v>NO</v>
      </c>
      <c r="X20" s="1052" t="str">
        <f>VLOOKUP($D20,Data!$H$16:$BS$1015,X$9+1,FALSE)</f>
        <v>NE</v>
      </c>
      <c r="Y20" s="1051" t="str">
        <f>VLOOKUP($D20,Data!$H$16:$BS$1015,Y$9+1,FALSE)</f>
        <v>NO</v>
      </c>
      <c r="Z20" s="1051" t="str">
        <f>VLOOKUP($D20,Data!$H$16:$BS$1015,Z$9+1,FALSE)</f>
        <v>NO</v>
      </c>
      <c r="AA20" s="1051">
        <f>VLOOKUP($D20,Data!$H$16:$BS$1015,AA$9+1,FALSE)</f>
        <v>349230.57939226693</v>
      </c>
      <c r="AB20" s="1051" t="str">
        <f>VLOOKUP($D20,Data!$H$16:$BS$1015,AB$9+1,FALSE)</f>
        <v>IE</v>
      </c>
      <c r="AC20" s="1052" t="str">
        <f>VLOOKUP($D20,Data!$H$16:$BS$1015,AC$9+1,FALSE)</f>
        <v>NE</v>
      </c>
      <c r="AD20" s="1051">
        <f>VLOOKUP($D20,Data!$H$16:$BS$1015,AD$9+1,FALSE)</f>
        <v>2930.6437489999998</v>
      </c>
      <c r="AE20" s="1051">
        <f>VLOOKUP($D20,Data!$H$16:$BS$1015,AE$9+1,FALSE)</f>
        <v>25544.033381946716</v>
      </c>
      <c r="AF20" s="1052">
        <f>VLOOKUP($D20,Data!$H$16:$BS$1015,AF$9+1,FALSE)</f>
        <v>1320.4235329333728</v>
      </c>
      <c r="AG20" s="1051">
        <f>VLOOKUP($D20,Data!$H$16:$BS$1015,AG$9+1,FALSE)</f>
        <v>140000</v>
      </c>
      <c r="AH20" s="1051" t="str">
        <f>VLOOKUP($D20,Data!$H$16:$BS$1015,AH$9+1,FALSE)</f>
        <v>NO</v>
      </c>
      <c r="AI20" s="1052" t="str">
        <f>VLOOKUP($D20,Data!$H$16:$BS$1015,AI$9+1,FALSE)</f>
        <v>NE</v>
      </c>
      <c r="AJ20" s="1051" t="str">
        <f>VLOOKUP($D20,Data!$H$16:$BS$1015,AJ$9+1,FALSE)</f>
        <v>NO</v>
      </c>
      <c r="AK20" s="1051" t="str">
        <f>VLOOKUP($D20,Data!$H$16:$BS$1015,AK$9+1,FALSE)</f>
        <v>NO</v>
      </c>
      <c r="AL20" s="1052">
        <f>VLOOKUP($D20,Data!$H$16:$BS$1015,AL$9+1,FALSE)</f>
        <v>14400</v>
      </c>
      <c r="AM20" s="1051">
        <f>VLOOKUP($D20,Data!$H$16:$BS$1015,AM$9+1,FALSE)</f>
        <v>62470</v>
      </c>
      <c r="AN20" s="1051" t="str">
        <f>VLOOKUP($D20,Data!$H$16:$BS$1015,AN$9+1,FALSE)</f>
        <v>IE</v>
      </c>
      <c r="AO20" s="1052" t="str">
        <f>VLOOKUP($D20,Data!$H$16:$BS$1015,AO$9+1,FALSE)</f>
        <v>NO</v>
      </c>
      <c r="AP20" s="1051" t="str">
        <f>VLOOKUP($D20,Data!$H$16:$BS$1015,AP$9+1,FALSE)</f>
        <v>NO</v>
      </c>
      <c r="AQ20" s="1051">
        <f>VLOOKUP($D20,Data!$H$16:$BS$1015,AQ$9+1,FALSE)</f>
        <v>750</v>
      </c>
      <c r="AR20" s="1053" t="str">
        <f>VLOOKUP($D20,Data!$H$16:$BS$1015,AR$9+1,FALSE)</f>
        <v>NO</v>
      </c>
      <c r="AS20" s="1051" t="str">
        <f>VLOOKUP($D20,Data!$H$16:$BS$1015,AS$9+1,FALSE)</f>
        <v>NO</v>
      </c>
      <c r="AT20" s="1051" t="str">
        <f>VLOOKUP($D20,Data!$H$16:$BS$1015,AT$9+1,FALSE)</f>
        <v>NO</v>
      </c>
      <c r="AU20" s="1053" t="str">
        <f>VLOOKUP($D20,Data!$H$16:$BS$1015,AU$9+1,FALSE)</f>
        <v>NO</v>
      </c>
      <c r="AV20" s="1051" t="str">
        <f>VLOOKUP($D20,Data!$H$16:$BS$1015,AV$9+1,FALSE)</f>
        <v>IE</v>
      </c>
      <c r="AW20" s="1051" t="str">
        <f>VLOOKUP($D20,Data!$H$16:$BS$1015,AW$9+1,FALSE)</f>
        <v>IE</v>
      </c>
      <c r="AX20" s="1053" t="str">
        <f>VLOOKUP($D20,Data!$H$16:$BS$1015,AX$9+1,FALSE)</f>
        <v>IE</v>
      </c>
      <c r="AY20" s="1051">
        <f>VLOOKUP($D20,Data!$H$16:$BS$1015,AY$9+1,FALSE)</f>
        <v>16588</v>
      </c>
      <c r="AZ20" s="1051" t="str">
        <f>VLOOKUP($D20,Data!$H$16:$BS$1015,AZ$9+1,FALSE)</f>
        <v>NO</v>
      </c>
      <c r="BA20" s="1053" t="str">
        <f>VLOOKUP($D20,Data!$H$16:$BS$1015,BA$9+1,FALSE)</f>
        <v>NO</v>
      </c>
      <c r="BB20" s="1052">
        <f>VLOOKUP($D20,Data!$H$16:$BS$1015,BB$9+1,FALSE)</f>
        <v>3733.4</v>
      </c>
      <c r="BC20" s="1052">
        <f>VLOOKUP($D20,Data!$H$16:$BS$1015,BC$9+1,FALSE)</f>
        <v>80384</v>
      </c>
      <c r="BD20" s="1052" t="str">
        <f>VLOOKUP($D20,Data!$H$16:$BS$1015,BD$9+1,FALSE)</f>
        <v>NO</v>
      </c>
      <c r="BE20" s="1052">
        <f>VLOOKUP($D20,Data!$H$16:$BS$1015,BE$9+1,FALSE)</f>
        <v>-2218.8294000000001</v>
      </c>
      <c r="BF20" s="1052">
        <f>VLOOKUP($D20,Data!$H$16:$BS$1015,BF$9+1,FALSE)</f>
        <v>25</v>
      </c>
      <c r="BG20" s="1054" t="str">
        <f>VLOOKUP($D20,Data!$H$16:$BS$1015,BG$9+1,FALSE)</f>
        <v>NE</v>
      </c>
      <c r="BH20" s="1051">
        <f>VLOOKUP($D20,Data!$H$16:$BS$1015,BH$9+2,FALSE)</f>
        <v>1727285.509618632</v>
      </c>
      <c r="BI20" s="1052">
        <f>VLOOKUP($D20,Data!$H$16:$BS$1015,BI$9+2,FALSE)</f>
        <v>1923863.947220613</v>
      </c>
      <c r="BJ20" s="1054">
        <f>VLOOKUP($D20,Data!$H$16:$BS$1015,BJ$9+2,FALSE)</f>
        <v>1923863.947220613</v>
      </c>
      <c r="BK20" s="1053">
        <f>VLOOKUP($D20,Data!$H$16:$BS$1015,BK$9+2,FALSE)</f>
        <v>2446172.9993126956</v>
      </c>
    </row>
    <row r="21" spans="1:63" s="1121" customFormat="1" ht="15" customHeight="1">
      <c r="A21" s="1185">
        <v>10</v>
      </c>
      <c r="B21" s="1443" t="str">
        <f>Data_3!B22</f>
        <v>District of Columbia</v>
      </c>
      <c r="C21" s="1444">
        <f>IF(B21="","",IF(VLOOKUP(B21,Data_3!$B$13:$Y$112,24,FALSE)&lt;&gt;"",2020,IF(VLOOKUP(B21,Data_3!$B$13:$Y$112,23,FALSE)&lt;&gt;"",2019,IF(VLOOKUP(B21,Data_3!$B$13:$Y$112,22,FALSE)&lt;&gt;"",2018,IF(VLOOKUP(B21,Data_3!$B$13:$Y$112,21,FALSE)&lt;&gt;"",2017,IF(VLOOKUP(B21,Data_3!$B$13:$Y$112,20,FALSE)&lt;&gt;"",2016,IF(VLOOKUP(B21,Data_3!$B$13:$Y$112,19,FALSE)&lt;&gt;"",2015,IF(VLOOKUP(B21,Data_3!$B$13:$Y$112,18,FALSE)&lt;&gt;"",2014,IF(VLOOKUP(B21,Data_3!$B$13:$Y$112,17,FALSE)&lt;&gt;"",2013,IF(VLOOKUP(B21,Data_3!$B$13:$Y$112,16,FALSE)&lt;&gt;"",2012,IF(VLOOKUP(B21,Data_3!$B$13:$Y$112,15,FALSE)&lt;&gt;"",2011,IF(VLOOKUP(B21,Data_3!$B$13:$Y$112,14,FALSE)&lt;&gt;"",2010,IF(VLOOKUP(B21,Data_3!$B$13:$Y$112,13,FALSE)&lt;&gt;"",2009,IF(VLOOKUP(B21,Data_3!$B$13:$Y$112,12,FALSE)&lt;&gt;"",2008,IF(VLOOKUP(B21,Data_3!$B$13:$Y$112,11,FALSE)&lt;&gt;"",2007,IF(VLOOKUP(B21,Data_3!$B$13:$Y$112,10,FALSE)&lt;&gt;"",2006,IF(VLOOKUP(B21,Data_3!$B$13:$Y$112,9,FALSE)&lt;&gt;"",2005,IF(VLOOKUP(B21,Data_3!$B$13:$Y$112,8,FALSE)&lt;&gt;"",2004,IF(VLOOKUP(B21,Data_3!$B$13:$Y$112,7,FALSE)&lt;&gt;"",2003,IF(VLOOKUP(B21,Data_3!$B$13:$Y$1126,FALSE)&lt;&gt;"",2002,IF(VLOOKUP(B21,Data_3!$B$13:$Y$112,5,FALSE)&lt;&gt;"",2001,IF(VLOOKUP(B21,Data_3!$B$13:$Y$112,4,FALSE)&lt;&gt;"",2000,"N/A"))))))))))))))))))))))</f>
        <v>2013</v>
      </c>
      <c r="D21" s="1456" t="str">
        <f t="shared" si="0"/>
        <v>District of Columbia_2013</v>
      </c>
      <c r="E21" s="1444" t="str">
        <f>VLOOKUP($D21,Data!$H$16:$BS$1015,2,FALSE)</f>
        <v>BASIC</v>
      </c>
      <c r="F21" s="1051">
        <f>VLOOKUP($D21,Data!$H$16:$BS$1015,F$9+1,FALSE)</f>
        <v>599361.3757320001</v>
      </c>
      <c r="G21" s="1051">
        <f>VLOOKUP($D21,Data!$H$16:$BS$1015,G$9+1,FALSE)</f>
        <v>835970.07342038478</v>
      </c>
      <c r="H21" s="1052" t="str">
        <f>VLOOKUP($D21,Data!$H$16:$BS$1015,H$9+1,FALSE)</f>
        <v>NE</v>
      </c>
      <c r="I21" s="1051">
        <f>VLOOKUP($D21,Data!$H$16:$BS$1015,I$9+1,FALSE)</f>
        <v>1011169.493264</v>
      </c>
      <c r="J21" s="1051">
        <f>VLOOKUP($D21,Data!$H$16:$BS$1015,J$9+1,FALSE)</f>
        <v>4002984.6193531207</v>
      </c>
      <c r="K21" s="1052" t="str">
        <f>VLOOKUP($D21,Data!$H$16:$BS$1015,K$9+1,FALSE)</f>
        <v>NE</v>
      </c>
      <c r="L21" s="1051" t="str">
        <f>VLOOKUP($D21,Data!$H$16:$BS$1015,L$9+1,FALSE)</f>
        <v>NO</v>
      </c>
      <c r="M21" s="1051" t="str">
        <f>VLOOKUP($D21,Data!$H$16:$BS$1015,M$9+1,FALSE)</f>
        <v>NO</v>
      </c>
      <c r="N21" s="1052" t="str">
        <f>VLOOKUP($D21,Data!$H$16:$BS$1015,N$9+1,FALSE)</f>
        <v>NO</v>
      </c>
      <c r="O21" s="1051" t="str">
        <f>VLOOKUP($D21,Data!$H$16:$BS$1015,O$9+1,FALSE)</f>
        <v>NO</v>
      </c>
      <c r="P21" s="1051" t="str">
        <f>VLOOKUP($D21,Data!$H$16:$BS$1015,P$9+1,FALSE)</f>
        <v>NO</v>
      </c>
      <c r="Q21" s="1052" t="str">
        <f>VLOOKUP($D21,Data!$H$16:$BS$1015,Q$9+1,FALSE)</f>
        <v>NO</v>
      </c>
      <c r="R21" s="1053" t="str">
        <f>VLOOKUP($D21,Data!$H$16:$BS$1015,R$9+1,FALSE)</f>
        <v>NO</v>
      </c>
      <c r="S21" s="1051" t="str">
        <f>VLOOKUP($D21,Data!$H$16:$BS$1015,S$9+1,FALSE)</f>
        <v>NO</v>
      </c>
      <c r="T21" s="1051" t="str">
        <f>VLOOKUP($D21,Data!$H$16:$BS$1015,T$9+1,FALSE)</f>
        <v>NO</v>
      </c>
      <c r="U21" s="1052" t="str">
        <f>VLOOKUP($D21,Data!$H$16:$BS$1015,U$9+1,FALSE)</f>
        <v>NO</v>
      </c>
      <c r="V21" s="1051" t="str">
        <f>VLOOKUP($D21,Data!$H$16:$BS$1015,V$9+1,FALSE)</f>
        <v>NO</v>
      </c>
      <c r="W21" s="1051" t="str">
        <f>VLOOKUP($D21,Data!$H$16:$BS$1015,W$9+1,FALSE)</f>
        <v>NO</v>
      </c>
      <c r="X21" s="1052" t="str">
        <f>VLOOKUP($D21,Data!$H$16:$BS$1015,X$9+1,FALSE)</f>
        <v>NO</v>
      </c>
      <c r="Y21" s="1051" t="str">
        <f>VLOOKUP($D21,Data!$H$16:$BS$1015,Y$9+1,FALSE)</f>
        <v>NO</v>
      </c>
      <c r="Z21" s="1051">
        <f>VLOOKUP($D21,Data!$H$16:$BS$1015,Z$9+1,FALSE)</f>
        <v>21897.049049259589</v>
      </c>
      <c r="AA21" s="1051">
        <f>VLOOKUP($D21,Data!$H$16:$BS$1015,AA$9+1,FALSE)</f>
        <v>1477997.8682300001</v>
      </c>
      <c r="AB21" s="1051" t="str">
        <f>VLOOKUP($D21,Data!$H$16:$BS$1015,AB$9+1,FALSE)</f>
        <v>IE</v>
      </c>
      <c r="AC21" s="1052" t="str">
        <f>VLOOKUP($D21,Data!$H$16:$BS$1015,AC$9+1,FALSE)</f>
        <v>NE</v>
      </c>
      <c r="AD21" s="1051" t="str">
        <f>VLOOKUP($D21,Data!$H$16:$BS$1015,AD$9+1,FALSE)</f>
        <v>NO</v>
      </c>
      <c r="AE21" s="1051">
        <f>VLOOKUP($D21,Data!$H$16:$BS$1015,AE$9+1,FALSE)</f>
        <v>126294.63039770231</v>
      </c>
      <c r="AF21" s="1052" t="str">
        <f>VLOOKUP($D21,Data!$H$16:$BS$1015,AF$9+1,FALSE)</f>
        <v>NE</v>
      </c>
      <c r="AG21" s="1051" t="str">
        <f>VLOOKUP($D21,Data!$H$16:$BS$1015,AG$9+1,FALSE)</f>
        <v>NO</v>
      </c>
      <c r="AH21" s="1051" t="str">
        <f>VLOOKUP($D21,Data!$H$16:$BS$1015,AH$9+1,FALSE)</f>
        <v>NO</v>
      </c>
      <c r="AI21" s="1052" t="str">
        <f>VLOOKUP($D21,Data!$H$16:$BS$1015,AI$9+1,FALSE)</f>
        <v>NO</v>
      </c>
      <c r="AJ21" s="1051" t="str">
        <f>VLOOKUP($D21,Data!$H$16:$BS$1015,AJ$9+1,FALSE)</f>
        <v>NO</v>
      </c>
      <c r="AK21" s="1051" t="str">
        <f>VLOOKUP($D21,Data!$H$16:$BS$1015,AK$9+1,FALSE)</f>
        <v>NO</v>
      </c>
      <c r="AL21" s="1052" t="str">
        <f>VLOOKUP($D21,Data!$H$16:$BS$1015,AL$9+1,FALSE)</f>
        <v>NE</v>
      </c>
      <c r="AM21" s="1051" t="str">
        <f>VLOOKUP($D21,Data!$H$16:$BS$1015,AM$9+1,FALSE)</f>
        <v>NO</v>
      </c>
      <c r="AN21" s="1051" t="str">
        <f>VLOOKUP($D21,Data!$H$16:$BS$1015,AN$9+1,FALSE)</f>
        <v>NO</v>
      </c>
      <c r="AO21" s="1052" t="str">
        <f>VLOOKUP($D21,Data!$H$16:$BS$1015,AO$9+1,FALSE)</f>
        <v>NO</v>
      </c>
      <c r="AP21" s="1051" t="str">
        <f>VLOOKUP($D21,Data!$H$16:$BS$1015,AP$9+1,FALSE)</f>
        <v>NO</v>
      </c>
      <c r="AQ21" s="1051">
        <f>VLOOKUP($D21,Data!$H$16:$BS$1015,AQ$9+1,FALSE)</f>
        <v>181385</v>
      </c>
      <c r="AR21" s="1053" t="str">
        <f>VLOOKUP($D21,Data!$H$16:$BS$1015,AR$9+1,FALSE)</f>
        <v>NO</v>
      </c>
      <c r="AS21" s="1051" t="str">
        <f>VLOOKUP($D21,Data!$H$16:$BS$1015,AS$9+1,FALSE)</f>
        <v>NO</v>
      </c>
      <c r="AT21" s="1051" t="str">
        <f>VLOOKUP($D21,Data!$H$16:$BS$1015,AT$9+1,FALSE)</f>
        <v>NO</v>
      </c>
      <c r="AU21" s="1053" t="str">
        <f>VLOOKUP($D21,Data!$H$16:$BS$1015,AU$9+1,FALSE)</f>
        <v>NO</v>
      </c>
      <c r="AV21" s="1051" t="str">
        <f>VLOOKUP($D21,Data!$H$16:$BS$1015,AV$9+1,FALSE)</f>
        <v>NO</v>
      </c>
      <c r="AW21" s="1051" t="str">
        <f>VLOOKUP($D21,Data!$H$16:$BS$1015,AW$9+1,FALSE)</f>
        <v>IE</v>
      </c>
      <c r="AX21" s="1053" t="str">
        <f>VLOOKUP($D21,Data!$H$16:$BS$1015,AX$9+1,FALSE)</f>
        <v>NO</v>
      </c>
      <c r="AY21" s="1051">
        <f>VLOOKUP($D21,Data!$H$16:$BS$1015,AY$9+1,FALSE)</f>
        <v>6006.1726960337119</v>
      </c>
      <c r="AZ21" s="1051" t="str">
        <f>VLOOKUP($D21,Data!$H$16:$BS$1015,AZ$9+1,FALSE)</f>
        <v>NO</v>
      </c>
      <c r="BA21" s="1053">
        <f>VLOOKUP($D21,Data!$H$16:$BS$1015,BA$9+1,FALSE)</f>
        <v>16238.911363350402</v>
      </c>
      <c r="BB21" s="1052" t="str">
        <f>VLOOKUP($D21,Data!$H$16:$BS$1015,BB$9+1,FALSE)</f>
        <v>NO</v>
      </c>
      <c r="BC21" s="1052" t="str">
        <f>VLOOKUP($D21,Data!$H$16:$BS$1015,BC$9+1,FALSE)</f>
        <v>NE</v>
      </c>
      <c r="BD21" s="1052" t="str">
        <f>VLOOKUP($D21,Data!$H$16:$BS$1015,BD$9+1,FALSE)</f>
        <v>NO</v>
      </c>
      <c r="BE21" s="1052" t="str">
        <f>VLOOKUP($D21,Data!$H$16:$BS$1015,BE$9+1,FALSE)</f>
        <v>NO</v>
      </c>
      <c r="BF21" s="1052" t="str">
        <f>VLOOKUP($D21,Data!$H$16:$BS$1015,BF$9+1,FALSE)</f>
        <v>NO</v>
      </c>
      <c r="BG21" s="1054" t="str">
        <f>VLOOKUP($D21,Data!$H$16:$BS$1015,BG$9+1,FALSE)</f>
        <v>NE</v>
      </c>
      <c r="BH21" s="1051">
        <f>VLOOKUP($D21,Data!$H$16:$BS$1015,BH$9+2,FALSE)</f>
        <v>8263066.2821425013</v>
      </c>
      <c r="BI21" s="1052">
        <f>VLOOKUP($D21,Data!$H$16:$BS$1015,BI$9+2,FALSE)</f>
        <v>8263066.2821425013</v>
      </c>
      <c r="BJ21" s="1054">
        <f>VLOOKUP($D21,Data!$H$16:$BS$1015,BJ$9+2,FALSE)</f>
        <v>8263066.2821425013</v>
      </c>
      <c r="BK21" s="1053">
        <f>VLOOKUP($D21,Data!$H$16:$BS$1015,BK$9+2,FALSE)</f>
        <v>3132670.8703346439</v>
      </c>
    </row>
    <row r="22" spans="1:63" s="1121" customFormat="1" ht="15" customHeight="1">
      <c r="A22" s="1185">
        <v>11</v>
      </c>
      <c r="B22" s="1443" t="str">
        <f>Data_3!B23</f>
        <v>Johannesburg</v>
      </c>
      <c r="C22" s="1444">
        <f>IF(B22="","",IF(VLOOKUP(B22,Data_3!$B$13:$Y$112,24,FALSE)&lt;&gt;"",2020,IF(VLOOKUP(B22,Data_3!$B$13:$Y$112,23,FALSE)&lt;&gt;"",2019,IF(VLOOKUP(B22,Data_3!$B$13:$Y$112,22,FALSE)&lt;&gt;"",2018,IF(VLOOKUP(B22,Data_3!$B$13:$Y$112,21,FALSE)&lt;&gt;"",2017,IF(VLOOKUP(B22,Data_3!$B$13:$Y$112,20,FALSE)&lt;&gt;"",2016,IF(VLOOKUP(B22,Data_3!$B$13:$Y$112,19,FALSE)&lt;&gt;"",2015,IF(VLOOKUP(B22,Data_3!$B$13:$Y$112,18,FALSE)&lt;&gt;"",2014,IF(VLOOKUP(B22,Data_3!$B$13:$Y$112,17,FALSE)&lt;&gt;"",2013,IF(VLOOKUP(B22,Data_3!$B$13:$Y$112,16,FALSE)&lt;&gt;"",2012,IF(VLOOKUP(B22,Data_3!$B$13:$Y$112,15,FALSE)&lt;&gt;"",2011,IF(VLOOKUP(B22,Data_3!$B$13:$Y$112,14,FALSE)&lt;&gt;"",2010,IF(VLOOKUP(B22,Data_3!$B$13:$Y$112,13,FALSE)&lt;&gt;"",2009,IF(VLOOKUP(B22,Data_3!$B$13:$Y$112,12,FALSE)&lt;&gt;"",2008,IF(VLOOKUP(B22,Data_3!$B$13:$Y$112,11,FALSE)&lt;&gt;"",2007,IF(VLOOKUP(B22,Data_3!$B$13:$Y$112,10,FALSE)&lt;&gt;"",2006,IF(VLOOKUP(B22,Data_3!$B$13:$Y$112,9,FALSE)&lt;&gt;"",2005,IF(VLOOKUP(B22,Data_3!$B$13:$Y$112,8,FALSE)&lt;&gt;"",2004,IF(VLOOKUP(B22,Data_3!$B$13:$Y$112,7,FALSE)&lt;&gt;"",2003,IF(VLOOKUP(B22,Data_3!$B$13:$Y$1126,FALSE)&lt;&gt;"",2002,IF(VLOOKUP(B22,Data_3!$B$13:$Y$112,5,FALSE)&lt;&gt;"",2001,IF(VLOOKUP(B22,Data_3!$B$13:$Y$112,4,FALSE)&lt;&gt;"",2000,"N/A"))))))))))))))))))))))</f>
        <v>2014</v>
      </c>
      <c r="D22" s="1456" t="str">
        <f t="shared" si="0"/>
        <v>Johannesburg_2014</v>
      </c>
      <c r="E22" s="1444" t="str">
        <f>VLOOKUP($D22,Data!$H$16:$BS$1015,2,FALSE)</f>
        <v>BASIC</v>
      </c>
      <c r="F22" s="1051">
        <f>VLOOKUP($D22,Data!$H$16:$BS$1015,F$9+1,FALSE)</f>
        <v>111086.04174139972</v>
      </c>
      <c r="G22" s="1051">
        <f>VLOOKUP($D22,Data!$H$16:$BS$1015,G$9+1,FALSE)</f>
        <v>7064517.8217781894</v>
      </c>
      <c r="H22" s="1052">
        <f>VLOOKUP($D22,Data!$H$16:$BS$1015,H$9+1,FALSE)</f>
        <v>467706.93777428096</v>
      </c>
      <c r="I22" s="1051">
        <f>VLOOKUP($D22,Data!$H$16:$BS$1015,I$9+1,FALSE)</f>
        <v>120611.9438723268</v>
      </c>
      <c r="J22" s="1051">
        <f>VLOOKUP($D22,Data!$H$16:$BS$1015,J$9+1,FALSE)</f>
        <v>8227790.7469278369</v>
      </c>
      <c r="K22" s="1052">
        <f>VLOOKUP($D22,Data!$H$16:$BS$1015,K$9+1,FALSE)</f>
        <v>657948.26290984929</v>
      </c>
      <c r="L22" s="1051">
        <f>VLOOKUP($D22,Data!$H$16:$BS$1015,L$9+1,FALSE)</f>
        <v>207194.00789240401</v>
      </c>
      <c r="M22" s="1051">
        <f>VLOOKUP($D22,Data!$H$16:$BS$1015,M$9+1,FALSE)</f>
        <v>38550.671549999999</v>
      </c>
      <c r="N22" s="1052" t="str">
        <f>VLOOKUP($D22,Data!$H$16:$BS$1015,N$9+1,FALSE)</f>
        <v>IE</v>
      </c>
      <c r="O22" s="1051" t="str">
        <f>VLOOKUP($D22,Data!$H$16:$BS$1015,O$9+1,FALSE)</f>
        <v>IE</v>
      </c>
      <c r="P22" s="1051" t="str">
        <f>VLOOKUP($D22,Data!$H$16:$BS$1015,P$9+1,FALSE)</f>
        <v>IE</v>
      </c>
      <c r="Q22" s="1052" t="str">
        <f>VLOOKUP($D22,Data!$H$16:$BS$1015,Q$9+1,FALSE)</f>
        <v>NE</v>
      </c>
      <c r="R22" s="1053" t="str">
        <f>VLOOKUP($D22,Data!$H$16:$BS$1015,R$9+1,FALSE)</f>
        <v>NO</v>
      </c>
      <c r="S22" s="1051" t="str">
        <f>VLOOKUP($D22,Data!$H$16:$BS$1015,S$9+1,FALSE)</f>
        <v>NO</v>
      </c>
      <c r="T22" s="1051" t="str">
        <f>VLOOKUP($D22,Data!$H$16:$BS$1015,T$9+1,FALSE)</f>
        <v>NO</v>
      </c>
      <c r="U22" s="1052" t="str">
        <f>VLOOKUP($D22,Data!$H$16:$BS$1015,U$9+1,FALSE)</f>
        <v>NO</v>
      </c>
      <c r="V22" s="1051" t="str">
        <f>VLOOKUP($D22,Data!$H$16:$BS$1015,V$9+1,FALSE)</f>
        <v>NO</v>
      </c>
      <c r="W22" s="1051" t="str">
        <f>VLOOKUP($D22,Data!$H$16:$BS$1015,W$9+1,FALSE)</f>
        <v>NO</v>
      </c>
      <c r="X22" s="1052" t="str">
        <f>VLOOKUP($D22,Data!$H$16:$BS$1015,X$9+1,FALSE)</f>
        <v>NO</v>
      </c>
      <c r="Y22" s="1051" t="str">
        <f>VLOOKUP($D22,Data!$H$16:$BS$1015,Y$9+1,FALSE)</f>
        <v>NO</v>
      </c>
      <c r="Z22" s="1051">
        <f>VLOOKUP($D22,Data!$H$16:$BS$1015,Z$9+1,FALSE)</f>
        <v>3222.5977544956122</v>
      </c>
      <c r="AA22" s="1051">
        <f>VLOOKUP($D22,Data!$H$16:$BS$1015,AA$9+1,FALSE)</f>
        <v>6875121.110458347</v>
      </c>
      <c r="AB22" s="1051" t="str">
        <f>VLOOKUP($D22,Data!$H$16:$BS$1015,AB$9+1,FALSE)</f>
        <v>NO</v>
      </c>
      <c r="AC22" s="1052" t="str">
        <f>VLOOKUP($D22,Data!$H$16:$BS$1015,AC$9+1,FALSE)</f>
        <v>NE</v>
      </c>
      <c r="AD22" s="1051" t="str">
        <f>VLOOKUP($D22,Data!$H$16:$BS$1015,AD$9+1,FALSE)</f>
        <v>NO</v>
      </c>
      <c r="AE22" s="1051">
        <f>VLOOKUP($D22,Data!$H$16:$BS$1015,AE$9+1,FALSE)</f>
        <v>330171.96207917598</v>
      </c>
      <c r="AF22" s="1052">
        <f>VLOOKUP($D22,Data!$H$16:$BS$1015,AF$9+1,FALSE)</f>
        <v>14049.514396056868</v>
      </c>
      <c r="AG22" s="1051" t="str">
        <f>VLOOKUP($D22,Data!$H$16:$BS$1015,AG$9+1,FALSE)</f>
        <v>NO</v>
      </c>
      <c r="AH22" s="1051" t="str">
        <f>VLOOKUP($D22,Data!$H$16:$BS$1015,AH$9+1,FALSE)</f>
        <v>NO</v>
      </c>
      <c r="AI22" s="1052" t="str">
        <f>VLOOKUP($D22,Data!$H$16:$BS$1015,AI$9+1,FALSE)</f>
        <v>NO</v>
      </c>
      <c r="AJ22" s="1051" t="str">
        <f>VLOOKUP($D22,Data!$H$16:$BS$1015,AJ$9+1,FALSE)</f>
        <v>NO</v>
      </c>
      <c r="AK22" s="1051" t="str">
        <f>VLOOKUP($D22,Data!$H$16:$BS$1015,AK$9+1,FALSE)</f>
        <v>NO</v>
      </c>
      <c r="AL22" s="1052">
        <f>VLOOKUP($D22,Data!$H$16:$BS$1015,AL$9+1,FALSE)</f>
        <v>1494181.5135538871</v>
      </c>
      <c r="AM22" s="1051" t="str">
        <f>VLOOKUP($D22,Data!$H$16:$BS$1015,AM$9+1,FALSE)</f>
        <v>IE</v>
      </c>
      <c r="AN22" s="1051" t="str">
        <f>VLOOKUP($D22,Data!$H$16:$BS$1015,AN$9+1,FALSE)</f>
        <v>NO</v>
      </c>
      <c r="AO22" s="1052" t="str">
        <f>VLOOKUP($D22,Data!$H$16:$BS$1015,AO$9+1,FALSE)</f>
        <v>NO</v>
      </c>
      <c r="AP22" s="1051">
        <f>VLOOKUP($D22,Data!$H$16:$BS$1015,AP$9+1,FALSE)</f>
        <v>1619552.25</v>
      </c>
      <c r="AQ22" s="1051" t="str">
        <f>VLOOKUP($D22,Data!$H$16:$BS$1015,AQ$9+1,FALSE)</f>
        <v>NO</v>
      </c>
      <c r="AR22" s="1053" t="str">
        <f>VLOOKUP($D22,Data!$H$16:$BS$1015,AR$9+1,FALSE)</f>
        <v>NO</v>
      </c>
      <c r="AS22" s="1051">
        <f>VLOOKUP($D22,Data!$H$16:$BS$1015,AS$9+1,FALSE)</f>
        <v>3315</v>
      </c>
      <c r="AT22" s="1051" t="str">
        <f>VLOOKUP($D22,Data!$H$16:$BS$1015,AT$9+1,FALSE)</f>
        <v>NO</v>
      </c>
      <c r="AU22" s="1053" t="str">
        <f>VLOOKUP($D22,Data!$H$16:$BS$1015,AU$9+1,FALSE)</f>
        <v>NO</v>
      </c>
      <c r="AV22" s="1051">
        <f>VLOOKUP($D22,Data!$H$16:$BS$1015,AV$9+1,FALSE)</f>
        <v>7228</v>
      </c>
      <c r="AW22" s="1051" t="str">
        <f>VLOOKUP($D22,Data!$H$16:$BS$1015,AW$9+1,FALSE)</f>
        <v>NO</v>
      </c>
      <c r="AX22" s="1053" t="str">
        <f>VLOOKUP($D22,Data!$H$16:$BS$1015,AX$9+1,FALSE)</f>
        <v>NO</v>
      </c>
      <c r="AY22" s="1051">
        <f>VLOOKUP($D22,Data!$H$16:$BS$1015,AY$9+1,FALSE)</f>
        <v>108350.70945459536</v>
      </c>
      <c r="AZ22" s="1051" t="str">
        <f>VLOOKUP($D22,Data!$H$16:$BS$1015,AZ$9+1,FALSE)</f>
        <v>NO</v>
      </c>
      <c r="BA22" s="1053">
        <f>VLOOKUP($D22,Data!$H$16:$BS$1015,BA$9+1,FALSE)</f>
        <v>12675.890545404634</v>
      </c>
      <c r="BB22" s="1052" t="str">
        <f>VLOOKUP($D22,Data!$H$16:$BS$1015,BB$9+1,FALSE)</f>
        <v>NE</v>
      </c>
      <c r="BC22" s="1052" t="str">
        <f>VLOOKUP($D22,Data!$H$16:$BS$1015,BC$9+1,FALSE)</f>
        <v>NE</v>
      </c>
      <c r="BD22" s="1052" t="str">
        <f>VLOOKUP($D22,Data!$H$16:$BS$1015,BD$9+1,FALSE)</f>
        <v>NE</v>
      </c>
      <c r="BE22" s="1052" t="str">
        <f>VLOOKUP($D22,Data!$H$16:$BS$1015,BE$9+1,FALSE)</f>
        <v>NE</v>
      </c>
      <c r="BF22" s="1052" t="str">
        <f>VLOOKUP($D22,Data!$H$16:$BS$1015,BF$9+1,FALSE)</f>
        <v>NE</v>
      </c>
      <c r="BG22" s="1054" t="str">
        <f>VLOOKUP($D22,Data!$H$16:$BS$1015,BG$9+1,FALSE)</f>
        <v>NE</v>
      </c>
      <c r="BH22" s="1051">
        <f>VLOOKUP($D22,Data!$H$16:$BS$1015,BH$9+2,FALSE)</f>
        <v>24716712.863508772</v>
      </c>
      <c r="BI22" s="1052">
        <f>VLOOKUP($D22,Data!$H$16:$BS$1015,BI$9+2,FALSE)</f>
        <v>27350599.092142846</v>
      </c>
      <c r="BJ22" s="1054">
        <f>VLOOKUP($D22,Data!$H$16:$BS$1015,BJ$9+2,FALSE)</f>
        <v>27350599.092142846</v>
      </c>
      <c r="BK22" s="1053">
        <f>VLOOKUP($D22,Data!$H$16:$BS$1015,BK$9+2,FALSE)</f>
        <v>9068357.5517189745</v>
      </c>
    </row>
    <row r="23" spans="1:63" s="1121" customFormat="1" ht="15" customHeight="1">
      <c r="A23" s="1185">
        <v>12</v>
      </c>
      <c r="B23" s="1443" t="str">
        <f>Data_3!B24</f>
        <v>London</v>
      </c>
      <c r="C23" s="1444">
        <f>IF(B23="","",IF(VLOOKUP(B23,Data_3!$B$13:$Y$112,24,FALSE)&lt;&gt;"",2020,IF(VLOOKUP(B23,Data_3!$B$13:$Y$112,23,FALSE)&lt;&gt;"",2019,IF(VLOOKUP(B23,Data_3!$B$13:$Y$112,22,FALSE)&lt;&gt;"",2018,IF(VLOOKUP(B23,Data_3!$B$13:$Y$112,21,FALSE)&lt;&gt;"",2017,IF(VLOOKUP(B23,Data_3!$B$13:$Y$112,20,FALSE)&lt;&gt;"",2016,IF(VLOOKUP(B23,Data_3!$B$13:$Y$112,19,FALSE)&lt;&gt;"",2015,IF(VLOOKUP(B23,Data_3!$B$13:$Y$112,18,FALSE)&lt;&gt;"",2014,IF(VLOOKUP(B23,Data_3!$B$13:$Y$112,17,FALSE)&lt;&gt;"",2013,IF(VLOOKUP(B23,Data_3!$B$13:$Y$112,16,FALSE)&lt;&gt;"",2012,IF(VLOOKUP(B23,Data_3!$B$13:$Y$112,15,FALSE)&lt;&gt;"",2011,IF(VLOOKUP(B23,Data_3!$B$13:$Y$112,14,FALSE)&lt;&gt;"",2010,IF(VLOOKUP(B23,Data_3!$B$13:$Y$112,13,FALSE)&lt;&gt;"",2009,IF(VLOOKUP(B23,Data_3!$B$13:$Y$112,12,FALSE)&lt;&gt;"",2008,IF(VLOOKUP(B23,Data_3!$B$13:$Y$112,11,FALSE)&lt;&gt;"",2007,IF(VLOOKUP(B23,Data_3!$B$13:$Y$112,10,FALSE)&lt;&gt;"",2006,IF(VLOOKUP(B23,Data_3!$B$13:$Y$112,9,FALSE)&lt;&gt;"",2005,IF(VLOOKUP(B23,Data_3!$B$13:$Y$112,8,FALSE)&lt;&gt;"",2004,IF(VLOOKUP(B23,Data_3!$B$13:$Y$112,7,FALSE)&lt;&gt;"",2003,IF(VLOOKUP(B23,Data_3!$B$13:$Y$1126,FALSE)&lt;&gt;"",2002,IF(VLOOKUP(B23,Data_3!$B$13:$Y$112,5,FALSE)&lt;&gt;"",2001,IF(VLOOKUP(B23,Data_3!$B$13:$Y$112,4,FALSE)&lt;&gt;"",2000,"N/A"))))))))))))))))))))))</f>
        <v>2013</v>
      </c>
      <c r="D23" s="1456" t="str">
        <f t="shared" si="0"/>
        <v>London_2013</v>
      </c>
      <c r="E23" s="1444" t="str">
        <f>VLOOKUP($D23,Data!$H$16:$BS$1015,2,FALSE)</f>
        <v>BASIC</v>
      </c>
      <c r="F23" s="1051">
        <f>VLOOKUP($D23,Data!$H$16:$BS$1015,F$9+1,FALSE)</f>
        <v>8332650.5438481253</v>
      </c>
      <c r="G23" s="1051">
        <f>VLOOKUP($D23,Data!$H$16:$BS$1015,G$9+1,FALSE)</f>
        <v>5836566.4188330807</v>
      </c>
      <c r="H23" s="1052">
        <f>VLOOKUP($D23,Data!$H$16:$BS$1015,H$9+1,FALSE)</f>
        <v>499045.55736139003</v>
      </c>
      <c r="I23" s="1051">
        <f>VLOOKUP($D23,Data!$H$16:$BS$1015,I$9+1,FALSE)</f>
        <v>5371230.7406843342</v>
      </c>
      <c r="J23" s="1051">
        <f>VLOOKUP($D23,Data!$H$16:$BS$1015,J$9+1,FALSE)</f>
        <v>11130687.466505319</v>
      </c>
      <c r="K23" s="1052">
        <f>VLOOKUP($D23,Data!$H$16:$BS$1015,K$9+1,FALSE)</f>
        <v>951710.25769773626</v>
      </c>
      <c r="L23" s="1051" t="str">
        <f>VLOOKUP($D23,Data!$H$16:$BS$1015,L$9+1,FALSE)</f>
        <v>IE</v>
      </c>
      <c r="M23" s="1051" t="str">
        <f>VLOOKUP($D23,Data!$H$16:$BS$1015,M$9+1,FALSE)</f>
        <v>IE</v>
      </c>
      <c r="N23" s="1052" t="str">
        <f>VLOOKUP($D23,Data!$H$16:$BS$1015,N$9+1,FALSE)</f>
        <v>IE</v>
      </c>
      <c r="O23" s="1051" t="str">
        <f>VLOOKUP($D23,Data!$H$16:$BS$1015,O$9+1,FALSE)</f>
        <v>IE</v>
      </c>
      <c r="P23" s="1051" t="str">
        <f>VLOOKUP($D23,Data!$H$16:$BS$1015,P$9+1,FALSE)</f>
        <v>IE</v>
      </c>
      <c r="Q23" s="1052" t="str">
        <f>VLOOKUP($D23,Data!$H$16:$BS$1015,Q$9+1,FALSE)</f>
        <v>NE</v>
      </c>
      <c r="R23" s="1053">
        <f>VLOOKUP($D23,Data!$H$16:$BS$1015,R$9+1,FALSE)</f>
        <v>2558703.7892530733</v>
      </c>
      <c r="S23" s="1051" t="str">
        <f>VLOOKUP($D23,Data!$H$16:$BS$1015,S$9+1,FALSE)</f>
        <v>IE</v>
      </c>
      <c r="T23" s="1051" t="str">
        <f>VLOOKUP($D23,Data!$H$16:$BS$1015,T$9+1,FALSE)</f>
        <v>IE</v>
      </c>
      <c r="U23" s="1052" t="str">
        <f>VLOOKUP($D23,Data!$H$16:$BS$1015,U$9+1,FALSE)</f>
        <v>IE</v>
      </c>
      <c r="V23" s="1051" t="str">
        <f>VLOOKUP($D23,Data!$H$16:$BS$1015,V$9+1,FALSE)</f>
        <v>NO</v>
      </c>
      <c r="W23" s="1051" t="str">
        <f>VLOOKUP($D23,Data!$H$16:$BS$1015,W$9+1,FALSE)</f>
        <v>NO</v>
      </c>
      <c r="X23" s="1052" t="str">
        <f>VLOOKUP($D23,Data!$H$16:$BS$1015,X$9+1,FALSE)</f>
        <v>NO</v>
      </c>
      <c r="Y23" s="1051" t="str">
        <f>VLOOKUP($D23,Data!$H$16:$BS$1015,Y$9+1,FALSE)</f>
        <v>NO</v>
      </c>
      <c r="Z23" s="1051">
        <f>VLOOKUP($D23,Data!$H$16:$BS$1015,Z$9+1,FALSE)</f>
        <v>11787.7</v>
      </c>
      <c r="AA23" s="1051">
        <f>VLOOKUP($D23,Data!$H$16:$BS$1015,AA$9+1,FALSE)</f>
        <v>6034654.4213315966</v>
      </c>
      <c r="AB23" s="1051" t="str">
        <f>VLOOKUP($D23,Data!$H$16:$BS$1015,AB$9+1,FALSE)</f>
        <v>IE</v>
      </c>
      <c r="AC23" s="1052" t="str">
        <f>VLOOKUP($D23,Data!$H$16:$BS$1015,AC$9+1,FALSE)</f>
        <v>IE</v>
      </c>
      <c r="AD23" s="1051">
        <f>VLOOKUP($D23,Data!$H$16:$BS$1015,AD$9+1,FALSE)</f>
        <v>133889.96835635888</v>
      </c>
      <c r="AE23" s="1051">
        <f>VLOOKUP($D23,Data!$H$16:$BS$1015,AE$9+1,FALSE)</f>
        <v>1064893.3006678231</v>
      </c>
      <c r="AF23" s="1052">
        <f>VLOOKUP($D23,Data!$H$16:$BS$1015,AF$9+1,FALSE)</f>
        <v>91051.867249792107</v>
      </c>
      <c r="AG23" s="1051">
        <f>VLOOKUP($D23,Data!$H$16:$BS$1015,AG$9+1,FALSE)</f>
        <v>20258.495851789849</v>
      </c>
      <c r="AH23" s="1051" t="str">
        <f>VLOOKUP($D23,Data!$H$16:$BS$1015,AH$9+1,FALSE)</f>
        <v>IE</v>
      </c>
      <c r="AI23" s="1052" t="str">
        <f>VLOOKUP($D23,Data!$H$16:$BS$1015,AI$9+1,FALSE)</f>
        <v>NE</v>
      </c>
      <c r="AJ23" s="1051" t="str">
        <f>VLOOKUP($D23,Data!$H$16:$BS$1015,AJ$9+1,FALSE)</f>
        <v>IE</v>
      </c>
      <c r="AK23" s="1051" t="str">
        <f>VLOOKUP($D23,Data!$H$16:$BS$1015,AK$9+1,FALSE)</f>
        <v>NO</v>
      </c>
      <c r="AL23" s="1052">
        <f>VLOOKUP($D23,Data!$H$16:$BS$1015,AL$9+1,FALSE)</f>
        <v>943023.180779282</v>
      </c>
      <c r="AM23" s="1051">
        <f>VLOOKUP($D23,Data!$H$16:$BS$1015,AM$9+1,FALSE)</f>
        <v>36153</v>
      </c>
      <c r="AN23" s="1051" t="str">
        <f>VLOOKUP($D23,Data!$H$16:$BS$1015,AN$9+1,FALSE)</f>
        <v>IE</v>
      </c>
      <c r="AO23" s="1052" t="str">
        <f>VLOOKUP($D23,Data!$H$16:$BS$1015,AO$9+1,FALSE)</f>
        <v>NO</v>
      </c>
      <c r="AP23" s="1051">
        <f>VLOOKUP($D23,Data!$H$16:$BS$1015,AP$9+1,FALSE)</f>
        <v>290890.71849776397</v>
      </c>
      <c r="AQ23" s="1051">
        <f>VLOOKUP($D23,Data!$H$16:$BS$1015,AQ$9+1,FALSE)</f>
        <v>1219506.3215999999</v>
      </c>
      <c r="AR23" s="1053" t="str">
        <f>VLOOKUP($D23,Data!$H$16:$BS$1015,AR$9+1,FALSE)</f>
        <v>NO</v>
      </c>
      <c r="AS23" s="1051">
        <f>VLOOKUP($D23,Data!$H$16:$BS$1015,AS$9+1,FALSE)</f>
        <v>23.876478112901914</v>
      </c>
      <c r="AT23" s="1051">
        <f>VLOOKUP($D23,Data!$H$16:$BS$1015,AT$9+1,FALSE)</f>
        <v>55.71178226343779</v>
      </c>
      <c r="AU23" s="1053" t="str">
        <f>VLOOKUP($D23,Data!$H$16:$BS$1015,AU$9+1,FALSE)</f>
        <v>NO</v>
      </c>
      <c r="AV23" s="1051">
        <f>VLOOKUP($D23,Data!$H$16:$BS$1015,AV$9+1,FALSE)</f>
        <v>100585.61477551328</v>
      </c>
      <c r="AW23" s="1051">
        <f>VLOOKUP($D23,Data!$H$16:$BS$1015,AW$9+1,FALSE)</f>
        <v>234699.76780953095</v>
      </c>
      <c r="AX23" s="1053" t="str">
        <f>VLOOKUP($D23,Data!$H$16:$BS$1015,AX$9+1,FALSE)</f>
        <v>NO</v>
      </c>
      <c r="AY23" s="1051">
        <f>VLOOKUP($D23,Data!$H$16:$BS$1015,AY$9+1,FALSE)</f>
        <v>5516.8898455531235</v>
      </c>
      <c r="AZ23" s="1051">
        <f>VLOOKUP($D23,Data!$H$16:$BS$1015,AZ$9+1,FALSE)</f>
        <v>1112.8895495167251</v>
      </c>
      <c r="BA23" s="1053" t="str">
        <f>VLOOKUP($D23,Data!$H$16:$BS$1015,BA$9+1,FALSE)</f>
        <v>NO</v>
      </c>
      <c r="BB23" s="1052" t="str">
        <f>VLOOKUP($D23,Data!$H$16:$BS$1015,BB$9+1,FALSE)</f>
        <v>NE</v>
      </c>
      <c r="BC23" s="1052" t="str">
        <f>VLOOKUP($D23,Data!$H$16:$BS$1015,BC$9+1,FALSE)</f>
        <v>NE</v>
      </c>
      <c r="BD23" s="1052" t="str">
        <f>VLOOKUP($D23,Data!$H$16:$BS$1015,BD$9+1,FALSE)</f>
        <v>NE</v>
      </c>
      <c r="BE23" s="1052" t="str">
        <f>VLOOKUP($D23,Data!$H$16:$BS$1015,BE$9+1,FALSE)</f>
        <v>NE</v>
      </c>
      <c r="BF23" s="1052" t="str">
        <f>VLOOKUP($D23,Data!$H$16:$BS$1015,BF$9+1,FALSE)</f>
        <v>NE</v>
      </c>
      <c r="BG23" s="1054" t="str">
        <f>VLOOKUP($D23,Data!$H$16:$BS$1015,BG$9+1,FALSE)</f>
        <v>NE</v>
      </c>
      <c r="BH23" s="1051">
        <f>VLOOKUP($D23,Data!$H$16:$BS$1015,BH$9+2,FALSE)</f>
        <v>39825163.846416682</v>
      </c>
      <c r="BI23" s="1052">
        <f>VLOOKUP($D23,Data!$H$16:$BS$1015,BI$9+2,FALSE)</f>
        <v>42309994.70950488</v>
      </c>
      <c r="BJ23" s="1054">
        <f>VLOOKUP($D23,Data!$H$16:$BS$1015,BJ$9+2,FALSE)</f>
        <v>42309994.70950488</v>
      </c>
      <c r="BK23" s="1053">
        <f>VLOOKUP($D23,Data!$H$16:$BS$1015,BK$9+2,FALSE)</f>
        <v>22896345.758922219</v>
      </c>
    </row>
    <row r="24" spans="1:63" s="34" customFormat="1" ht="15" customHeight="1">
      <c r="A24" s="1185">
        <v>13</v>
      </c>
      <c r="B24" s="1443" t="str">
        <f>Data_3!B25</f>
        <v>Madrid</v>
      </c>
      <c r="C24" s="1444">
        <f>IF(B24="","",IF(VLOOKUP(B24,Data_3!$B$13:$Y$112,24,FALSE)&lt;&gt;"",2020,IF(VLOOKUP(B24,Data_3!$B$13:$Y$112,23,FALSE)&lt;&gt;"",2019,IF(VLOOKUP(B24,Data_3!$B$13:$Y$112,22,FALSE)&lt;&gt;"",2018,IF(VLOOKUP(B24,Data_3!$B$13:$Y$112,21,FALSE)&lt;&gt;"",2017,IF(VLOOKUP(B24,Data_3!$B$13:$Y$112,20,FALSE)&lt;&gt;"",2016,IF(VLOOKUP(B24,Data_3!$B$13:$Y$112,19,FALSE)&lt;&gt;"",2015,IF(VLOOKUP(B24,Data_3!$B$13:$Y$112,18,FALSE)&lt;&gt;"",2014,IF(VLOOKUP(B24,Data_3!$B$13:$Y$112,17,FALSE)&lt;&gt;"",2013,IF(VLOOKUP(B24,Data_3!$B$13:$Y$112,16,FALSE)&lt;&gt;"",2012,IF(VLOOKUP(B24,Data_3!$B$13:$Y$112,15,FALSE)&lt;&gt;"",2011,IF(VLOOKUP(B24,Data_3!$B$13:$Y$112,14,FALSE)&lt;&gt;"",2010,IF(VLOOKUP(B24,Data_3!$B$13:$Y$112,13,FALSE)&lt;&gt;"",2009,IF(VLOOKUP(B24,Data_3!$B$13:$Y$112,12,FALSE)&lt;&gt;"",2008,IF(VLOOKUP(B24,Data_3!$B$13:$Y$112,11,FALSE)&lt;&gt;"",2007,IF(VLOOKUP(B24,Data_3!$B$13:$Y$112,10,FALSE)&lt;&gt;"",2006,IF(VLOOKUP(B24,Data_3!$B$13:$Y$112,9,FALSE)&lt;&gt;"",2005,IF(VLOOKUP(B24,Data_3!$B$13:$Y$112,8,FALSE)&lt;&gt;"",2004,IF(VLOOKUP(B24,Data_3!$B$13:$Y$112,7,FALSE)&lt;&gt;"",2003,IF(VLOOKUP(B24,Data_3!$B$13:$Y$1126,FALSE)&lt;&gt;"",2002,IF(VLOOKUP(B24,Data_3!$B$13:$Y$112,5,FALSE)&lt;&gt;"",2001,IF(VLOOKUP(B24,Data_3!$B$13:$Y$112,4,FALSE)&lt;&gt;"",2000,"N/A"))))))))))))))))))))))</f>
        <v>2013</v>
      </c>
      <c r="D24" s="1456" t="str">
        <f t="shared" si="0"/>
        <v>Madrid_2013</v>
      </c>
      <c r="E24" s="1444" t="str">
        <f>VLOOKUP($D24,Data!$H$16:$BS$1015,2,FALSE)</f>
        <v>BASIC</v>
      </c>
      <c r="F24" s="1051">
        <f>VLOOKUP($D24,Data!$H$16:$BS$1015,F$9+1,FALSE)</f>
        <v>1690972.4176907854</v>
      </c>
      <c r="G24" s="1051">
        <f>VLOOKUP($D24,Data!$H$16:$BS$1015,G$9+1,FALSE)</f>
        <v>1115983.2500104399</v>
      </c>
      <c r="H24" s="1052">
        <f>VLOOKUP($D24,Data!$H$16:$BS$1015,H$9+1,FALSE)</f>
        <v>139838.35649208806</v>
      </c>
      <c r="I24" s="1051">
        <f>VLOOKUP($D24,Data!$H$16:$BS$1015,I$9+1,FALSE)</f>
        <v>712706.49062100879</v>
      </c>
      <c r="J24" s="1051">
        <f>VLOOKUP($D24,Data!$H$16:$BS$1015,J$9+1,FALSE)</f>
        <v>1686344.2572374691</v>
      </c>
      <c r="K24" s="1052">
        <f>VLOOKUP($D24,Data!$H$16:$BS$1015,K$9+1,FALSE)</f>
        <v>211307.48101259817</v>
      </c>
      <c r="L24" s="1051">
        <f>VLOOKUP($D24,Data!$H$16:$BS$1015,L$9+1,FALSE)</f>
        <v>323384.91365221376</v>
      </c>
      <c r="M24" s="1051">
        <f>VLOOKUP($D24,Data!$H$16:$BS$1015,M$9+1,FALSE)</f>
        <v>181414.07972758432</v>
      </c>
      <c r="N24" s="1052">
        <f>VLOOKUP($D24,Data!$H$16:$BS$1015,N$9+1,FALSE)</f>
        <v>22732.103509073902</v>
      </c>
      <c r="O24" s="1051">
        <f>VLOOKUP($D24,Data!$H$16:$BS$1015,O$9+1,FALSE)</f>
        <v>37818.168982663905</v>
      </c>
      <c r="P24" s="1051" t="str">
        <f>VLOOKUP($D24,Data!$H$16:$BS$1015,P$9+1,FALSE)</f>
        <v>NO</v>
      </c>
      <c r="Q24" s="1052" t="str">
        <f>VLOOKUP($D24,Data!$H$16:$BS$1015,Q$9+1,FALSE)</f>
        <v>NO</v>
      </c>
      <c r="R24" s="1053">
        <f>VLOOKUP($D24,Data!$H$16:$BS$1015,R$9+1,FALSE)</f>
        <v>190899.55310656875</v>
      </c>
      <c r="S24" s="1051">
        <f>VLOOKUP($D24,Data!$H$16:$BS$1015,S$9+1,FALSE)</f>
        <v>27971.650063522313</v>
      </c>
      <c r="T24" s="1051">
        <f>VLOOKUP($D24,Data!$H$16:$BS$1015,T$9+1,FALSE)</f>
        <v>1311.1932314670059</v>
      </c>
      <c r="U24" s="1052">
        <f>VLOOKUP($D24,Data!$H$16:$BS$1015,U$9+1,FALSE)</f>
        <v>164.29915639879081</v>
      </c>
      <c r="V24" s="1051">
        <f>VLOOKUP($D24,Data!$H$16:$BS$1015,V$9+1,FALSE)</f>
        <v>49379.37165943643</v>
      </c>
      <c r="W24" s="1051" t="str">
        <f>VLOOKUP($D24,Data!$H$16:$BS$1015,W$9+1,FALSE)</f>
        <v>NO</v>
      </c>
      <c r="X24" s="1052" t="str">
        <f>VLOOKUP($D24,Data!$H$16:$BS$1015,X$9+1,FALSE)</f>
        <v>NO</v>
      </c>
      <c r="Y24" s="1051" t="str">
        <f>VLOOKUP($D24,Data!$H$16:$BS$1015,Y$9+1,FALSE)</f>
        <v>NO</v>
      </c>
      <c r="Z24" s="1051">
        <f>VLOOKUP($D24,Data!$H$16:$BS$1015,Z$9+1,FALSE)</f>
        <v>17964.392896713704</v>
      </c>
      <c r="AA24" s="1051">
        <f>VLOOKUP($D24,Data!$H$16:$BS$1015,AA$9+1,FALSE)</f>
        <v>2149069.2879714854</v>
      </c>
      <c r="AB24" s="1051">
        <f>VLOOKUP($D24,Data!$H$16:$BS$1015,AB$9+1,FALSE)</f>
        <v>95.588835299722717</v>
      </c>
      <c r="AC24" s="1052">
        <f>VLOOKUP($D24,Data!$H$16:$BS$1015,AC$9+1,FALSE)</f>
        <v>11.977765461247801</v>
      </c>
      <c r="AD24" s="1051">
        <f>VLOOKUP($D24,Data!$H$16:$BS$1015,AD$9+1,FALSE)</f>
        <v>4676.4334073592154</v>
      </c>
      <c r="AE24" s="1051">
        <f>VLOOKUP($D24,Data!$H$16:$BS$1015,AE$9+1,FALSE)</f>
        <v>265654.99018543016</v>
      </c>
      <c r="AF24" s="1052">
        <f>VLOOKUP($D24,Data!$H$16:$BS$1015,AF$9+1,FALSE)</f>
        <v>33287.916481815308</v>
      </c>
      <c r="AG24" s="1051" t="str">
        <f>VLOOKUP($D24,Data!$H$16:$BS$1015,AG$9+1,FALSE)</f>
        <v>NO</v>
      </c>
      <c r="AH24" s="1051" t="str">
        <f>VLOOKUP($D24,Data!$H$16:$BS$1015,AH$9+1,FALSE)</f>
        <v>NO</v>
      </c>
      <c r="AI24" s="1052" t="str">
        <f>VLOOKUP($D24,Data!$H$16:$BS$1015,AI$9+1,FALSE)</f>
        <v>NO</v>
      </c>
      <c r="AJ24" s="1051">
        <f>VLOOKUP($D24,Data!$H$16:$BS$1015,AJ$9+1,FALSE)</f>
        <v>506167.72730000003</v>
      </c>
      <c r="AK24" s="1051" t="str">
        <f>VLOOKUP($D24,Data!$H$16:$BS$1015,AK$9+1,FALSE)</f>
        <v>NO</v>
      </c>
      <c r="AL24" s="1052" t="str">
        <f>VLOOKUP($D24,Data!$H$16:$BS$1015,AL$9+1,FALSE)</f>
        <v>NE</v>
      </c>
      <c r="AM24" s="1051" t="str">
        <f>VLOOKUP($D24,Data!$H$16:$BS$1015,AM$9+1,FALSE)</f>
        <v>NO</v>
      </c>
      <c r="AN24" s="1051" t="str">
        <f>VLOOKUP($D24,Data!$H$16:$BS$1015,AN$9+1,FALSE)</f>
        <v>NO</v>
      </c>
      <c r="AO24" s="1052" t="str">
        <f>VLOOKUP($D24,Data!$H$16:$BS$1015,AO$9+1,FALSE)</f>
        <v>NO</v>
      </c>
      <c r="AP24" s="1051">
        <f>VLOOKUP($D24,Data!$H$16:$BS$1015,AP$9+1,FALSE)</f>
        <v>338011.17891383066</v>
      </c>
      <c r="AQ24" s="1051" t="str">
        <f>VLOOKUP($D24,Data!$H$16:$BS$1015,AQ$9+1,FALSE)</f>
        <v>NO</v>
      </c>
      <c r="AR24" s="1053">
        <f>VLOOKUP($D24,Data!$H$16:$BS$1015,AR$9+1,FALSE)</f>
        <v>5775.6181913673263</v>
      </c>
      <c r="AS24" s="1051">
        <f>VLOOKUP($D24,Data!$H$16:$BS$1015,AS$9+1,FALSE)</f>
        <v>3675.2000000000003</v>
      </c>
      <c r="AT24" s="1051" t="str">
        <f>VLOOKUP($D24,Data!$H$16:$BS$1015,AT$9+1,FALSE)</f>
        <v>NO</v>
      </c>
      <c r="AU24" s="1053" t="str">
        <f>VLOOKUP($D24,Data!$H$16:$BS$1015,AU$9+1,FALSE)</f>
        <v>IE</v>
      </c>
      <c r="AV24" s="1051">
        <f>VLOOKUP($D24,Data!$H$16:$BS$1015,AV$9+1,FALSE)</f>
        <v>374.96522800000008</v>
      </c>
      <c r="AW24" s="1051" t="str">
        <f>VLOOKUP($D24,Data!$H$16:$BS$1015,AW$9+1,FALSE)</f>
        <v>NO</v>
      </c>
      <c r="AX24" s="1053" t="str">
        <f>VLOOKUP($D24,Data!$H$16:$BS$1015,AX$9+1,FALSE)</f>
        <v>IE</v>
      </c>
      <c r="AY24" s="1051">
        <f>VLOOKUP($D24,Data!$H$16:$BS$1015,AY$9+1,FALSE)</f>
        <v>89419.992247772228</v>
      </c>
      <c r="AZ24" s="1051" t="str">
        <f>VLOOKUP($D24,Data!$H$16:$BS$1015,AZ$9+1,FALSE)</f>
        <v>NO</v>
      </c>
      <c r="BA24" s="1053" t="str">
        <f>VLOOKUP($D24,Data!$H$16:$BS$1015,BA$9+1,FALSE)</f>
        <v>NO</v>
      </c>
      <c r="BB24" s="1052">
        <f>VLOOKUP($D24,Data!$H$16:$BS$1015,BB$9+1,FALSE)</f>
        <v>1175.1687465468124</v>
      </c>
      <c r="BC24" s="1052">
        <f>VLOOKUP($D24,Data!$H$16:$BS$1015,BC$9+1,FALSE)</f>
        <v>678567.17631955422</v>
      </c>
      <c r="BD24" s="1052">
        <f>VLOOKUP($D24,Data!$H$16:$BS$1015,BD$9+1,FALSE)</f>
        <v>2268.4796248140938</v>
      </c>
      <c r="BE24" s="1052">
        <f>VLOOKUP($D24,Data!$H$16:$BS$1015,BE$9+1,FALSE)</f>
        <v>-43398.890789941084</v>
      </c>
      <c r="BF24" s="1052">
        <f>VLOOKUP($D24,Data!$H$16:$BS$1015,BF$9+1,FALSE)</f>
        <v>8698.028993038899</v>
      </c>
      <c r="BG24" s="1054" t="str">
        <f>VLOOKUP($D24,Data!$H$16:$BS$1015,BG$9+1,FALSE)</f>
        <v>NE</v>
      </c>
      <c r="BH24" s="1051">
        <f>VLOOKUP($D24,Data!$H$16:$BS$1015,BH$9+2,FALSE)</f>
        <v>9202395.5498624835</v>
      </c>
      <c r="BI24" s="1052">
        <f>VLOOKUP($D24,Data!$H$16:$BS$1015,BI$9+2,FALSE)</f>
        <v>10257047.647173932</v>
      </c>
      <c r="BJ24" s="1054">
        <f>VLOOKUP($D24,Data!$H$16:$BS$1015,BJ$9+2,FALSE)</f>
        <v>10257047.647173932</v>
      </c>
      <c r="BK24" s="1053">
        <f>VLOOKUP($D24,Data!$H$16:$BS$1015,BK$9+2,FALSE)</f>
        <v>6795577.3248267416</v>
      </c>
    </row>
    <row r="25" spans="1:63" s="1121" customFormat="1" ht="15" customHeight="1">
      <c r="A25" s="1185">
        <v>14</v>
      </c>
      <c r="B25" s="1443" t="str">
        <f>Data_3!B26</f>
        <v>City of Melbourne</v>
      </c>
      <c r="C25" s="1444">
        <f>IF(B25="","",IF(VLOOKUP(B25,Data_3!$B$13:$Y$112,24,FALSE)&lt;&gt;"",2020,IF(VLOOKUP(B25,Data_3!$B$13:$Y$112,23,FALSE)&lt;&gt;"",2019,IF(VLOOKUP(B25,Data_3!$B$13:$Y$112,22,FALSE)&lt;&gt;"",2018,IF(VLOOKUP(B25,Data_3!$B$13:$Y$112,21,FALSE)&lt;&gt;"",2017,IF(VLOOKUP(B25,Data_3!$B$13:$Y$112,20,FALSE)&lt;&gt;"",2016,IF(VLOOKUP(B25,Data_3!$B$13:$Y$112,19,FALSE)&lt;&gt;"",2015,IF(VLOOKUP(B25,Data_3!$B$13:$Y$112,18,FALSE)&lt;&gt;"",2014,IF(VLOOKUP(B25,Data_3!$B$13:$Y$112,17,FALSE)&lt;&gt;"",2013,IF(VLOOKUP(B25,Data_3!$B$13:$Y$112,16,FALSE)&lt;&gt;"",2012,IF(VLOOKUP(B25,Data_3!$B$13:$Y$112,15,FALSE)&lt;&gt;"",2011,IF(VLOOKUP(B25,Data_3!$B$13:$Y$112,14,FALSE)&lt;&gt;"",2010,IF(VLOOKUP(B25,Data_3!$B$13:$Y$112,13,FALSE)&lt;&gt;"",2009,IF(VLOOKUP(B25,Data_3!$B$13:$Y$112,12,FALSE)&lt;&gt;"",2008,IF(VLOOKUP(B25,Data_3!$B$13:$Y$112,11,FALSE)&lt;&gt;"",2007,IF(VLOOKUP(B25,Data_3!$B$13:$Y$112,10,FALSE)&lt;&gt;"",2006,IF(VLOOKUP(B25,Data_3!$B$13:$Y$112,9,FALSE)&lt;&gt;"",2005,IF(VLOOKUP(B25,Data_3!$B$13:$Y$112,8,FALSE)&lt;&gt;"",2004,IF(VLOOKUP(B25,Data_3!$B$13:$Y$112,7,FALSE)&lt;&gt;"",2003,IF(VLOOKUP(B25,Data_3!$B$13:$Y$1126,FALSE)&lt;&gt;"",2002,IF(VLOOKUP(B25,Data_3!$B$13:$Y$112,5,FALSE)&lt;&gt;"",2001,IF(VLOOKUP(B25,Data_3!$B$13:$Y$112,4,FALSE)&lt;&gt;"",2000,"N/A"))))))))))))))))))))))</f>
        <v>2013</v>
      </c>
      <c r="D25" s="1456" t="str">
        <f t="shared" si="0"/>
        <v>City of Melbourne_2013</v>
      </c>
      <c r="E25" s="1444" t="str">
        <f>VLOOKUP($D25,Data!$H$16:$BS$1015,2,FALSE)</f>
        <v>BASIC</v>
      </c>
      <c r="F25" s="1051">
        <f>VLOOKUP($D25,Data!$H$16:$BS$1015,F$9+1,FALSE)</f>
        <v>43262.172687650542</v>
      </c>
      <c r="G25" s="1051">
        <f>VLOOKUP($D25,Data!$H$16:$BS$1015,G$9+1,FALSE)</f>
        <v>333044.23891802377</v>
      </c>
      <c r="H25" s="1052">
        <f>VLOOKUP($D25,Data!$H$16:$BS$1015,H$9+1,FALSE)</f>
        <v>42336.13206585047</v>
      </c>
      <c r="I25" s="1051">
        <f>VLOOKUP($D25,Data!$H$16:$BS$1015,I$9+1,FALSE)</f>
        <v>112602.27730931039</v>
      </c>
      <c r="J25" s="1051">
        <f>VLOOKUP($D25,Data!$H$16:$BS$1015,J$9+1,FALSE)</f>
        <v>4241813.0011191145</v>
      </c>
      <c r="K25" s="1052">
        <f>VLOOKUP($D25,Data!$H$16:$BS$1015,K$9+1,FALSE)</f>
        <v>539213.5170914128</v>
      </c>
      <c r="L25" s="1051">
        <f>VLOOKUP($D25,Data!$H$16:$BS$1015,L$9+1,FALSE)</f>
        <v>120654.11276590444</v>
      </c>
      <c r="M25" s="1051">
        <f>VLOOKUP($D25,Data!$H$16:$BS$1015,M$9+1,FALSE)</f>
        <v>166757.40997694948</v>
      </c>
      <c r="N25" s="1052">
        <f>VLOOKUP($D25,Data!$H$16:$BS$1015,N$9+1,FALSE)</f>
        <v>21197.975844527475</v>
      </c>
      <c r="O25" s="1051" t="str">
        <f>VLOOKUP($D25,Data!$H$16:$BS$1015,O$9+1,FALSE)</f>
        <v>NO</v>
      </c>
      <c r="P25" s="1051" t="str">
        <f>VLOOKUP($D25,Data!$H$16:$BS$1015,P$9+1,FALSE)</f>
        <v>NO</v>
      </c>
      <c r="Q25" s="1052" t="str">
        <f>VLOOKUP($D25,Data!$H$16:$BS$1015,Q$9+1,FALSE)</f>
        <v>NO</v>
      </c>
      <c r="R25" s="1053" t="str">
        <f>VLOOKUP($D25,Data!$H$16:$BS$1015,R$9+1,FALSE)</f>
        <v>NO</v>
      </c>
      <c r="S25" s="1051" t="str">
        <f>VLOOKUP($D25,Data!$H$16:$BS$1015,S$9+1,FALSE)</f>
        <v>NO</v>
      </c>
      <c r="T25" s="1051" t="str">
        <f>VLOOKUP($D25,Data!$H$16:$BS$1015,T$9+1,FALSE)</f>
        <v>NO</v>
      </c>
      <c r="U25" s="1052" t="str">
        <f>VLOOKUP($D25,Data!$H$16:$BS$1015,U$9+1,FALSE)</f>
        <v>NO</v>
      </c>
      <c r="V25" s="1051" t="str">
        <f>VLOOKUP($D25,Data!$H$16:$BS$1015,V$9+1,FALSE)</f>
        <v>IE</v>
      </c>
      <c r="W25" s="1051" t="str">
        <f>VLOOKUP($D25,Data!$H$16:$BS$1015,W$9+1,FALSE)</f>
        <v>IE</v>
      </c>
      <c r="X25" s="1052" t="str">
        <f>VLOOKUP($D25,Data!$H$16:$BS$1015,X$9+1,FALSE)</f>
        <v>IE</v>
      </c>
      <c r="Y25" s="1051" t="str">
        <f>VLOOKUP($D25,Data!$H$16:$BS$1015,Y$9+1,FALSE)</f>
        <v>NO</v>
      </c>
      <c r="Z25" s="1051" t="str">
        <f>VLOOKUP($D25,Data!$H$16:$BS$1015,Z$9+1,FALSE)</f>
        <v>NO</v>
      </c>
      <c r="AA25" s="1051">
        <f>VLOOKUP($D25,Data!$H$16:$BS$1015,AA$9+1,FALSE)</f>
        <v>447971.45541720005</v>
      </c>
      <c r="AB25" s="1051" t="str">
        <f>VLOOKUP($D25,Data!$H$16:$BS$1015,AB$9+1,FALSE)</f>
        <v>IE</v>
      </c>
      <c r="AC25" s="1052">
        <f>VLOOKUP($D25,Data!$H$16:$BS$1015,AC$9+1,FALSE)</f>
        <v>7560.5794371999991</v>
      </c>
      <c r="AD25" s="1051" t="str">
        <f>VLOOKUP($D25,Data!$H$16:$BS$1015,AD$9+1,FALSE)</f>
        <v>NO</v>
      </c>
      <c r="AE25" s="1051">
        <f>VLOOKUP($D25,Data!$H$16:$BS$1015,AE$9+1,FALSE)</f>
        <v>203757.1436035783</v>
      </c>
      <c r="AF25" s="1052" t="str">
        <f>VLOOKUP($D25,Data!$H$16:$BS$1015,AF$9+1,FALSE)</f>
        <v>NE</v>
      </c>
      <c r="AG25" s="1051" t="str">
        <f>VLOOKUP($D25,Data!$H$16:$BS$1015,AG$9+1,FALSE)</f>
        <v>NO</v>
      </c>
      <c r="AH25" s="1051" t="str">
        <f>VLOOKUP($D25,Data!$H$16:$BS$1015,AH$9+1,FALSE)</f>
        <v>IE</v>
      </c>
      <c r="AI25" s="1052">
        <f>VLOOKUP($D25,Data!$H$16:$BS$1015,AI$9+1,FALSE)</f>
        <v>228119</v>
      </c>
      <c r="AJ25" s="1051" t="str">
        <f>VLOOKUP($D25,Data!$H$16:$BS$1015,AJ$9+1,FALSE)</f>
        <v>NO</v>
      </c>
      <c r="AK25" s="1051" t="str">
        <f>VLOOKUP($D25,Data!$H$16:$BS$1015,AK$9+1,FALSE)</f>
        <v>NO</v>
      </c>
      <c r="AL25" s="1052" t="str">
        <f>VLOOKUP($D25,Data!$H$16:$BS$1015,AL$9+1,FALSE)</f>
        <v>NE</v>
      </c>
      <c r="AM25" s="1051">
        <f>VLOOKUP($D25,Data!$H$16:$BS$1015,AM$9+1,FALSE)</f>
        <v>5850.3187762000007</v>
      </c>
      <c r="AN25" s="1051" t="str">
        <f>VLOOKUP($D25,Data!$H$16:$BS$1015,AN$9+1,FALSE)</f>
        <v>NO</v>
      </c>
      <c r="AO25" s="1052" t="str">
        <f>VLOOKUP($D25,Data!$H$16:$BS$1015,AO$9+1,FALSE)</f>
        <v>NE</v>
      </c>
      <c r="AP25" s="1051" t="str">
        <f>VLOOKUP($D25,Data!$H$16:$BS$1015,AP$9+1,FALSE)</f>
        <v>NO</v>
      </c>
      <c r="AQ25" s="1051">
        <f>VLOOKUP($D25,Data!$H$16:$BS$1015,AQ$9+1,FALSE)</f>
        <v>148917.6</v>
      </c>
      <c r="AR25" s="1053" t="str">
        <f>VLOOKUP($D25,Data!$H$16:$BS$1015,AR$9+1,FALSE)</f>
        <v>NO</v>
      </c>
      <c r="AS25" s="1051" t="str">
        <f>VLOOKUP($D25,Data!$H$16:$BS$1015,AS$9+1,FALSE)</f>
        <v>NO</v>
      </c>
      <c r="AT25" s="1051" t="str">
        <f>VLOOKUP($D25,Data!$H$16:$BS$1015,AT$9+1,FALSE)</f>
        <v>NO</v>
      </c>
      <c r="AU25" s="1053" t="str">
        <f>VLOOKUP($D25,Data!$H$16:$BS$1015,AU$9+1,FALSE)</f>
        <v>NO</v>
      </c>
      <c r="AV25" s="1051" t="str">
        <f>VLOOKUP($D25,Data!$H$16:$BS$1015,AV$9+1,FALSE)</f>
        <v>NO</v>
      </c>
      <c r="AW25" s="1051" t="str">
        <f>VLOOKUP($D25,Data!$H$16:$BS$1015,AW$9+1,FALSE)</f>
        <v>NO</v>
      </c>
      <c r="AX25" s="1053" t="str">
        <f>VLOOKUP($D25,Data!$H$16:$BS$1015,AX$9+1,FALSE)</f>
        <v>NO</v>
      </c>
      <c r="AY25" s="1051" t="str">
        <f>VLOOKUP($D25,Data!$H$16:$BS$1015,AY$9+1,FALSE)</f>
        <v>NO</v>
      </c>
      <c r="AZ25" s="1051">
        <f>VLOOKUP($D25,Data!$H$16:$BS$1015,AZ$9+1,FALSE)</f>
        <v>2898</v>
      </c>
      <c r="BA25" s="1053" t="str">
        <f>VLOOKUP($D25,Data!$H$16:$BS$1015,BA$9+1,FALSE)</f>
        <v>NO</v>
      </c>
      <c r="BB25" s="1052" t="str">
        <f>VLOOKUP($D25,Data!$H$16:$BS$1015,BB$9+1,FALSE)</f>
        <v>NO</v>
      </c>
      <c r="BC25" s="1052" t="str">
        <f>VLOOKUP($D25,Data!$H$16:$BS$1015,BC$9+1,FALSE)</f>
        <v>NE</v>
      </c>
      <c r="BD25" s="1052" t="str">
        <f>VLOOKUP($D25,Data!$H$16:$BS$1015,BD$9+1,FALSE)</f>
        <v>NO</v>
      </c>
      <c r="BE25" s="1052" t="str">
        <f>VLOOKUP($D25,Data!$H$16:$BS$1015,BE$9+1,FALSE)</f>
        <v>NO</v>
      </c>
      <c r="BF25" s="1052" t="str">
        <f>VLOOKUP($D25,Data!$H$16:$BS$1015,BF$9+1,FALSE)</f>
        <v>NO</v>
      </c>
      <c r="BG25" s="1054">
        <f>VLOOKUP($D25,Data!$H$16:$BS$1015,BG$9+1,FALSE)</f>
        <v>81581.807942888554</v>
      </c>
      <c r="BH25" s="1051">
        <f>VLOOKUP($D25,Data!$H$16:$BS$1015,BH$9+2,FALSE)</f>
        <v>5827527.7305739326</v>
      </c>
      <c r="BI25" s="1052">
        <f>VLOOKUP($D25,Data!$H$16:$BS$1015,BI$9+2,FALSE)</f>
        <v>6665954.9350129236</v>
      </c>
      <c r="BJ25" s="1054">
        <f>VLOOKUP($D25,Data!$H$16:$BS$1015,BJ$9+2,FALSE)</f>
        <v>6747536.7429558104</v>
      </c>
      <c r="BK25" s="1053">
        <f>VLOOKUP($D25,Data!$H$16:$BS$1015,BK$9+2,FALSE)</f>
        <v>730340.33695626538</v>
      </c>
    </row>
    <row r="26" spans="1:63" s="1121" customFormat="1" ht="15" customHeight="1">
      <c r="A26" s="1185">
        <v>15</v>
      </c>
      <c r="B26" s="1443" t="str">
        <f>Data_3!B27</f>
        <v>Mexico City</v>
      </c>
      <c r="C26" s="1444">
        <f>IF(B26="","",IF(VLOOKUP(B26,Data_3!$B$13:$Y$112,24,FALSE)&lt;&gt;"",2020,IF(VLOOKUP(B26,Data_3!$B$13:$Y$112,23,FALSE)&lt;&gt;"",2019,IF(VLOOKUP(B26,Data_3!$B$13:$Y$112,22,FALSE)&lt;&gt;"",2018,IF(VLOOKUP(B26,Data_3!$B$13:$Y$112,21,FALSE)&lt;&gt;"",2017,IF(VLOOKUP(B26,Data_3!$B$13:$Y$112,20,FALSE)&lt;&gt;"",2016,IF(VLOOKUP(B26,Data_3!$B$13:$Y$112,19,FALSE)&lt;&gt;"",2015,IF(VLOOKUP(B26,Data_3!$B$13:$Y$112,18,FALSE)&lt;&gt;"",2014,IF(VLOOKUP(B26,Data_3!$B$13:$Y$112,17,FALSE)&lt;&gt;"",2013,IF(VLOOKUP(B26,Data_3!$B$13:$Y$112,16,FALSE)&lt;&gt;"",2012,IF(VLOOKUP(B26,Data_3!$B$13:$Y$112,15,FALSE)&lt;&gt;"",2011,IF(VLOOKUP(B26,Data_3!$B$13:$Y$112,14,FALSE)&lt;&gt;"",2010,IF(VLOOKUP(B26,Data_3!$B$13:$Y$112,13,FALSE)&lt;&gt;"",2009,IF(VLOOKUP(B26,Data_3!$B$13:$Y$112,12,FALSE)&lt;&gt;"",2008,IF(VLOOKUP(B26,Data_3!$B$13:$Y$112,11,FALSE)&lt;&gt;"",2007,IF(VLOOKUP(B26,Data_3!$B$13:$Y$112,10,FALSE)&lt;&gt;"",2006,IF(VLOOKUP(B26,Data_3!$B$13:$Y$112,9,FALSE)&lt;&gt;"",2005,IF(VLOOKUP(B26,Data_3!$B$13:$Y$112,8,FALSE)&lt;&gt;"",2004,IF(VLOOKUP(B26,Data_3!$B$13:$Y$112,7,FALSE)&lt;&gt;"",2003,IF(VLOOKUP(B26,Data_3!$B$13:$Y$1126,FALSE)&lt;&gt;"",2002,IF(VLOOKUP(B26,Data_3!$B$13:$Y$112,5,FALSE)&lt;&gt;"",2001,IF(VLOOKUP(B26,Data_3!$B$13:$Y$112,4,FALSE)&lt;&gt;"",2000,"N/A"))))))))))))))))))))))</f>
        <v>2012</v>
      </c>
      <c r="D26" s="1456" t="str">
        <f t="shared" si="0"/>
        <v>Mexico City_2012</v>
      </c>
      <c r="E26" s="1444" t="str">
        <f>VLOOKUP($D26,Data!$H$16:$BS$1015,2,FALSE)</f>
        <v>BASIC+</v>
      </c>
      <c r="F26" s="1051">
        <f>VLOOKUP($D26,Data!$H$16:$BS$1015,F$9+1,FALSE)</f>
        <v>1974692.4294502581</v>
      </c>
      <c r="G26" s="1051">
        <f>VLOOKUP($D26,Data!$H$16:$BS$1015,G$9+1,FALSE)</f>
        <v>2024295.6656560001</v>
      </c>
      <c r="H26" s="1052">
        <f>VLOOKUP($D26,Data!$H$16:$BS$1015,H$9+1,FALSE)</f>
        <v>402917.14333200001</v>
      </c>
      <c r="I26" s="1051">
        <f>VLOOKUP($D26,Data!$H$16:$BS$1015,I$9+1,FALSE)</f>
        <v>341201.14</v>
      </c>
      <c r="J26" s="1051">
        <f>VLOOKUP($D26,Data!$H$16:$BS$1015,J$9+1,FALSE)</f>
        <v>2077054.7976772001</v>
      </c>
      <c r="K26" s="1052">
        <f>VLOOKUP($D26,Data!$H$16:$BS$1015,K$9+1,FALSE)</f>
        <v>413419.04779120005</v>
      </c>
      <c r="L26" s="1051">
        <f>VLOOKUP($D26,Data!$H$16:$BS$1015,L$9+1,FALSE)</f>
        <v>1259693.4803487947</v>
      </c>
      <c r="M26" s="1051">
        <f>VLOOKUP($D26,Data!$H$16:$BS$1015,M$9+1,FALSE)</f>
        <v>4107954.6661934</v>
      </c>
      <c r="N26" s="1052">
        <f>VLOOKUP($D26,Data!$H$16:$BS$1015,N$9+1,FALSE)</f>
        <v>679119.15038218687</v>
      </c>
      <c r="O26" s="1051">
        <f>VLOOKUP($D26,Data!$H$16:$BS$1015,O$9+1,FALSE)</f>
        <v>24036.725211199999</v>
      </c>
      <c r="P26" s="1051" t="str">
        <f>VLOOKUP($D26,Data!$H$16:$BS$1015,P$9+1,FALSE)</f>
        <v>NO</v>
      </c>
      <c r="Q26" s="1052" t="str">
        <f>VLOOKUP($D26,Data!$H$16:$BS$1015,Q$9+1,FALSE)</f>
        <v>NO</v>
      </c>
      <c r="R26" s="1053">
        <f>VLOOKUP($D26,Data!$H$16:$BS$1015,R$9+1,FALSE)</f>
        <v>0</v>
      </c>
      <c r="S26" s="1051">
        <f>VLOOKUP($D26,Data!$H$16:$BS$1015,S$9+1,FALSE)</f>
        <v>5503.1675999999998</v>
      </c>
      <c r="T26" s="1051">
        <f>VLOOKUP($D26,Data!$H$16:$BS$1015,T$9+1,FALSE)</f>
        <v>944.20432700000003</v>
      </c>
      <c r="U26" s="1052">
        <f>VLOOKUP($D26,Data!$H$16:$BS$1015,U$9+1,FALSE)</f>
        <v>188.1874368</v>
      </c>
      <c r="V26" s="1051" t="str">
        <f>VLOOKUP($D26,Data!$H$16:$BS$1015,V$9+1,FALSE)</f>
        <v>NO</v>
      </c>
      <c r="W26" s="1051" t="str">
        <f>VLOOKUP($D26,Data!$H$16:$BS$1015,W$9+1,FALSE)</f>
        <v>NO</v>
      </c>
      <c r="X26" s="1052" t="str">
        <f>VLOOKUP($D26,Data!$H$16:$BS$1015,X$9+1,FALSE)</f>
        <v>NO</v>
      </c>
      <c r="Y26" s="1051" t="str">
        <f>VLOOKUP($D26,Data!$H$16:$BS$1015,Y$9+1,FALSE)</f>
        <v>NO</v>
      </c>
      <c r="Z26" s="1051">
        <f>VLOOKUP($D26,Data!$H$16:$BS$1015,Z$9+1,FALSE)</f>
        <v>600</v>
      </c>
      <c r="AA26" s="1051">
        <f>VLOOKUP($D26,Data!$H$16:$BS$1015,AA$9+1,FALSE)</f>
        <v>11457963</v>
      </c>
      <c r="AB26" s="1051">
        <f>VLOOKUP($D26,Data!$H$16:$BS$1015,AB$9+1,FALSE)</f>
        <v>30843.136777200001</v>
      </c>
      <c r="AC26" s="1052">
        <f>VLOOKUP($D26,Data!$H$16:$BS$1015,AC$9+1,FALSE)</f>
        <v>2759361.9616970001</v>
      </c>
      <c r="AD26" s="1051">
        <f>VLOOKUP($D26,Data!$H$16:$BS$1015,AD$9+1,FALSE)</f>
        <v>5108.3471456332591</v>
      </c>
      <c r="AE26" s="1051">
        <f>VLOOKUP($D26,Data!$H$16:$BS$1015,AE$9+1,FALSE)</f>
        <v>668562.65980460017</v>
      </c>
      <c r="AF26" s="1052">
        <f>VLOOKUP($D26,Data!$H$16:$BS$1015,AF$9+1,FALSE)</f>
        <v>133071.38781860002</v>
      </c>
      <c r="AG26" s="1051" t="str">
        <f>VLOOKUP($D26,Data!$H$16:$BS$1015,AG$9+1,FALSE)</f>
        <v>NO</v>
      </c>
      <c r="AH26" s="1051" t="str">
        <f>VLOOKUP($D26,Data!$H$16:$BS$1015,AH$9+1,FALSE)</f>
        <v>NO</v>
      </c>
      <c r="AI26" s="1052" t="str">
        <f>VLOOKUP($D26,Data!$H$16:$BS$1015,AI$9+1,FALSE)</f>
        <v>NO</v>
      </c>
      <c r="AJ26" s="1051">
        <f>VLOOKUP($D26,Data!$H$16:$BS$1015,AJ$9+1,FALSE)</f>
        <v>1398451.1388702944</v>
      </c>
      <c r="AK26" s="1051" t="str">
        <f>VLOOKUP($D26,Data!$H$16:$BS$1015,AK$9+1,FALSE)</f>
        <v>NO</v>
      </c>
      <c r="AL26" s="1052">
        <f>VLOOKUP($D26,Data!$H$16:$BS$1015,AL$9+1,FALSE)</f>
        <v>1766282.4095717589</v>
      </c>
      <c r="AM26" s="1051">
        <f>VLOOKUP($D26,Data!$H$16:$BS$1015,AM$9+1,FALSE)</f>
        <v>115264.06240507808</v>
      </c>
      <c r="AN26" s="1051" t="str">
        <f>VLOOKUP($D26,Data!$H$16:$BS$1015,AN$9+1,FALSE)</f>
        <v>NO</v>
      </c>
      <c r="AO26" s="1052" t="str">
        <f>VLOOKUP($D26,Data!$H$16:$BS$1015,AO$9+1,FALSE)</f>
        <v>NO</v>
      </c>
      <c r="AP26" s="1051">
        <f>VLOOKUP($D26,Data!$H$16:$BS$1015,AP$9+1,FALSE)</f>
        <v>114575</v>
      </c>
      <c r="AQ26" s="1051">
        <f>VLOOKUP($D26,Data!$H$16:$BS$1015,AQ$9+1,FALSE)</f>
        <v>3731450</v>
      </c>
      <c r="AR26" s="1053" t="str">
        <f>VLOOKUP($D26,Data!$H$16:$BS$1015,AR$9+1,FALSE)</f>
        <v>NO</v>
      </c>
      <c r="AS26" s="1051">
        <f>VLOOKUP($D26,Data!$H$16:$BS$1015,AS$9+1,FALSE)</f>
        <v>616.87819999999999</v>
      </c>
      <c r="AT26" s="1051">
        <f>VLOOKUP($D26,Data!$H$16:$BS$1015,AT$9+1,FALSE)</f>
        <v>164578.9448</v>
      </c>
      <c r="AU26" s="1053" t="str">
        <f>VLOOKUP($D26,Data!$H$16:$BS$1015,AU$9+1,FALSE)</f>
        <v>NO</v>
      </c>
      <c r="AV26" s="1051" t="str">
        <f>VLOOKUP($D26,Data!$H$16:$BS$1015,AV$9+1,FALSE)</f>
        <v>NO</v>
      </c>
      <c r="AW26" s="1051" t="str">
        <f>VLOOKUP($D26,Data!$H$16:$BS$1015,AW$9+1,FALSE)</f>
        <v>NO</v>
      </c>
      <c r="AX26" s="1053" t="str">
        <f>VLOOKUP($D26,Data!$H$16:$BS$1015,AX$9+1,FALSE)</f>
        <v>NO</v>
      </c>
      <c r="AY26" s="1051">
        <f>VLOOKUP($D26,Data!$H$16:$BS$1015,AY$9+1,FALSE)</f>
        <v>54269.285432995624</v>
      </c>
      <c r="AZ26" s="1051">
        <f>VLOOKUP($D26,Data!$H$16:$BS$1015,AZ$9+1,FALSE)</f>
        <v>615828.14132365957</v>
      </c>
      <c r="BA26" s="1053" t="str">
        <f>VLOOKUP($D26,Data!$H$16:$BS$1015,BA$9+1,FALSE)</f>
        <v>NO</v>
      </c>
      <c r="BB26" s="1052">
        <f>VLOOKUP($D26,Data!$H$16:$BS$1015,BB$9+1,FALSE)</f>
        <v>40098.843749312669</v>
      </c>
      <c r="BC26" s="1052">
        <f>VLOOKUP($D26,Data!$H$16:$BS$1015,BC$9+1,FALSE)</f>
        <v>98347.229883404259</v>
      </c>
      <c r="BD26" s="1052">
        <f>VLOOKUP($D26,Data!$H$16:$BS$1015,BD$9+1,FALSE)</f>
        <v>19082.815994528086</v>
      </c>
      <c r="BE26" s="1052">
        <f>VLOOKUP($D26,Data!$H$16:$BS$1015,BE$9+1,FALSE)</f>
        <v>0</v>
      </c>
      <c r="BF26" s="1052">
        <f>VLOOKUP($D26,Data!$H$16:$BS$1015,BF$9+1,FALSE)</f>
        <v>8642</v>
      </c>
      <c r="BG26" s="1054">
        <f>VLOOKUP($D26,Data!$H$16:$BS$1015,BG$9+1,FALSE)</f>
        <v>1080.1224319999999</v>
      </c>
      <c r="BH26" s="1051">
        <f>VLOOKUP($D26,Data!$H$16:$BS$1015,BH$9+2,FALSE)</f>
        <v>30173486.871223316</v>
      </c>
      <c r="BI26" s="1052">
        <f>VLOOKUP($D26,Data!$H$16:$BS$1015,BI$9+2,FALSE)</f>
        <v>36494017.048880115</v>
      </c>
      <c r="BJ26" s="1054">
        <f>VLOOKUP($D26,Data!$H$16:$BS$1015,BJ$9+2,FALSE)</f>
        <v>36495097.171312109</v>
      </c>
      <c r="BK26" s="1053">
        <f>VLOOKUP($D26,Data!$H$16:$BS$1015,BK$9+2,FALSE)</f>
        <v>16918145.5442915</v>
      </c>
    </row>
    <row r="27" spans="1:63" s="1121" customFormat="1" ht="15" customHeight="1">
      <c r="A27" s="1185">
        <v>16</v>
      </c>
      <c r="B27" s="1443" t="str">
        <f>Data_3!B28</f>
        <v>New York City</v>
      </c>
      <c r="C27" s="1444">
        <f>IF(B27="","",IF(VLOOKUP(B27,Data_3!$B$13:$Y$112,24,FALSE)&lt;&gt;"",2020,IF(VLOOKUP(B27,Data_3!$B$13:$Y$112,23,FALSE)&lt;&gt;"",2019,IF(VLOOKUP(B27,Data_3!$B$13:$Y$112,22,FALSE)&lt;&gt;"",2018,IF(VLOOKUP(B27,Data_3!$B$13:$Y$112,21,FALSE)&lt;&gt;"",2017,IF(VLOOKUP(B27,Data_3!$B$13:$Y$112,20,FALSE)&lt;&gt;"",2016,IF(VLOOKUP(B27,Data_3!$B$13:$Y$112,19,FALSE)&lt;&gt;"",2015,IF(VLOOKUP(B27,Data_3!$B$13:$Y$112,18,FALSE)&lt;&gt;"",2014,IF(VLOOKUP(B27,Data_3!$B$13:$Y$112,17,FALSE)&lt;&gt;"",2013,IF(VLOOKUP(B27,Data_3!$B$13:$Y$112,16,FALSE)&lt;&gt;"",2012,IF(VLOOKUP(B27,Data_3!$B$13:$Y$112,15,FALSE)&lt;&gt;"",2011,IF(VLOOKUP(B27,Data_3!$B$13:$Y$112,14,FALSE)&lt;&gt;"",2010,IF(VLOOKUP(B27,Data_3!$B$13:$Y$112,13,FALSE)&lt;&gt;"",2009,IF(VLOOKUP(B27,Data_3!$B$13:$Y$112,12,FALSE)&lt;&gt;"",2008,IF(VLOOKUP(B27,Data_3!$B$13:$Y$112,11,FALSE)&lt;&gt;"",2007,IF(VLOOKUP(B27,Data_3!$B$13:$Y$112,10,FALSE)&lt;&gt;"",2006,IF(VLOOKUP(B27,Data_3!$B$13:$Y$112,9,FALSE)&lt;&gt;"",2005,IF(VLOOKUP(B27,Data_3!$B$13:$Y$112,8,FALSE)&lt;&gt;"",2004,IF(VLOOKUP(B27,Data_3!$B$13:$Y$112,7,FALSE)&lt;&gt;"",2003,IF(VLOOKUP(B27,Data_3!$B$13:$Y$1126,FALSE)&lt;&gt;"",2002,IF(VLOOKUP(B27,Data_3!$B$13:$Y$112,5,FALSE)&lt;&gt;"",2001,IF(VLOOKUP(B27,Data_3!$B$13:$Y$112,4,FALSE)&lt;&gt;"",2000,"N/A"))))))))))))))))))))))</f>
        <v>2014</v>
      </c>
      <c r="D27" s="1456" t="str">
        <f t="shared" si="0"/>
        <v>New York City_2014</v>
      </c>
      <c r="E27" s="1444" t="str">
        <f>VLOOKUP($D27,Data!$H$16:$BS$1015,2,FALSE)</f>
        <v>BASIC</v>
      </c>
      <c r="F27" s="1051">
        <f>VLOOKUP($D27,Data!$H$16:$BS$1015,F$9+1,FALSE)</f>
        <v>12473016.674175525</v>
      </c>
      <c r="G27" s="1051">
        <f>VLOOKUP($D27,Data!$H$16:$BS$1015,G$9+1,FALSE)</f>
        <v>4948626.6313407924</v>
      </c>
      <c r="H27" s="1052" t="str">
        <f>VLOOKUP($D27,Data!$H$16:$BS$1015,H$9+1,FALSE)</f>
        <v>NE</v>
      </c>
      <c r="I27" s="1051">
        <f>VLOOKUP($D27,Data!$H$16:$BS$1015,I$9+1,FALSE)</f>
        <v>6726920.5643910356</v>
      </c>
      <c r="J27" s="1051">
        <f>VLOOKUP($D27,Data!$H$16:$BS$1015,J$9+1,FALSE)</f>
        <v>7968472.6632246189</v>
      </c>
      <c r="K27" s="1052" t="str">
        <f>VLOOKUP($D27,Data!$H$16:$BS$1015,K$9+1,FALSE)</f>
        <v>NE</v>
      </c>
      <c r="L27" s="1051">
        <f>VLOOKUP($D27,Data!$H$16:$BS$1015,L$9+1,FALSE)</f>
        <v>1574821.8984741361</v>
      </c>
      <c r="M27" s="1051">
        <f>VLOOKUP($D27,Data!$H$16:$BS$1015,M$9+1,FALSE)</f>
        <v>2894286.7229397646</v>
      </c>
      <c r="N27" s="1052" t="str">
        <f>VLOOKUP($D27,Data!$H$16:$BS$1015,N$9+1,FALSE)</f>
        <v>NE</v>
      </c>
      <c r="O27" s="1051" t="str">
        <f>VLOOKUP($D27,Data!$H$16:$BS$1015,O$9+1,FALSE)</f>
        <v>IE</v>
      </c>
      <c r="P27" s="1051" t="str">
        <f>VLOOKUP($D27,Data!$H$16:$BS$1015,P$9+1,FALSE)</f>
        <v>IE</v>
      </c>
      <c r="Q27" s="1052" t="str">
        <f>VLOOKUP($D27,Data!$H$16:$BS$1015,Q$9+1,FALSE)</f>
        <v>NE</v>
      </c>
      <c r="R27" s="1053">
        <f>VLOOKUP($D27,Data!$H$16:$BS$1015,R$9+1,FALSE)</f>
        <v>11501119.360133234</v>
      </c>
      <c r="S27" s="1051" t="str">
        <f>VLOOKUP($D27,Data!$H$16:$BS$1015,S$9+1,FALSE)</f>
        <v>NO</v>
      </c>
      <c r="T27" s="1051" t="str">
        <f>VLOOKUP($D27,Data!$H$16:$BS$1015,T$9+1,FALSE)</f>
        <v>NO</v>
      </c>
      <c r="U27" s="1052" t="str">
        <f>VLOOKUP($D27,Data!$H$16:$BS$1015,U$9+1,FALSE)</f>
        <v>NO</v>
      </c>
      <c r="V27" s="1051" t="str">
        <f>VLOOKUP($D27,Data!$H$16:$BS$1015,V$9+1,FALSE)</f>
        <v>NO</v>
      </c>
      <c r="W27" s="1051" t="str">
        <f>VLOOKUP($D27,Data!$H$16:$BS$1015,W$9+1,FALSE)</f>
        <v>NO</v>
      </c>
      <c r="X27" s="1052" t="str">
        <f>VLOOKUP($D27,Data!$H$16:$BS$1015,X$9+1,FALSE)</f>
        <v>NO</v>
      </c>
      <c r="Y27" s="1051" t="str">
        <f>VLOOKUP($D27,Data!$H$16:$BS$1015,Y$9+1,FALSE)</f>
        <v>NO</v>
      </c>
      <c r="Z27" s="1051">
        <f>VLOOKUP($D27,Data!$H$16:$BS$1015,Z$9+1,FALSE)</f>
        <v>220859.4716810603</v>
      </c>
      <c r="AA27" s="1051">
        <f>VLOOKUP($D27,Data!$H$16:$BS$1015,AA$9+1,FALSE)</f>
        <v>10909755.63631295</v>
      </c>
      <c r="AB27" s="1051" t="str">
        <f>VLOOKUP($D27,Data!$H$16:$BS$1015,AB$9+1,FALSE)</f>
        <v>IE</v>
      </c>
      <c r="AC27" s="1052">
        <f>VLOOKUP($D27,Data!$H$16:$BS$1015,AC$9+1,FALSE)</f>
        <v>592.23559614710268</v>
      </c>
      <c r="AD27" s="1051">
        <f>VLOOKUP($D27,Data!$H$16:$BS$1015,AD$9+1,FALSE)</f>
        <v>14801.209979342193</v>
      </c>
      <c r="AE27" s="1051">
        <f>VLOOKUP($D27,Data!$H$16:$BS$1015,AE$9+1,FALSE)</f>
        <v>854337.52940495266</v>
      </c>
      <c r="AF27" s="1052">
        <f>VLOOKUP($D27,Data!$H$16:$BS$1015,AF$9+1,FALSE)</f>
        <v>75451.635895589992</v>
      </c>
      <c r="AG27" s="1051">
        <f>VLOOKUP($D27,Data!$H$16:$BS$1015,AG$9+1,FALSE)</f>
        <v>37815.617446276767</v>
      </c>
      <c r="AH27" s="1051" t="str">
        <f>VLOOKUP($D27,Data!$H$16:$BS$1015,AH$9+1,FALSE)</f>
        <v>NO</v>
      </c>
      <c r="AI27" s="1052" t="str">
        <f>VLOOKUP($D27,Data!$H$16:$BS$1015,AI$9+1,FALSE)</f>
        <v>NO</v>
      </c>
      <c r="AJ27" s="1051">
        <f>VLOOKUP($D27,Data!$H$16:$BS$1015,AJ$9+1,FALSE)</f>
        <v>2338.0227676172349</v>
      </c>
      <c r="AK27" s="1051" t="str">
        <f>VLOOKUP($D27,Data!$H$16:$BS$1015,AK$9+1,FALSE)</f>
        <v>NO</v>
      </c>
      <c r="AL27" s="1052">
        <f>VLOOKUP($D27,Data!$H$16:$BS$1015,AL$9+1,FALSE)</f>
        <v>16013185.586246293</v>
      </c>
      <c r="AM27" s="1051" t="str">
        <f>VLOOKUP($D27,Data!$H$16:$BS$1015,AM$9+1,FALSE)</f>
        <v>NO</v>
      </c>
      <c r="AN27" s="1051" t="str">
        <f>VLOOKUP($D27,Data!$H$16:$BS$1015,AN$9+1,FALSE)</f>
        <v>IE</v>
      </c>
      <c r="AO27" s="1052" t="str">
        <f>VLOOKUP($D27,Data!$H$16:$BS$1015,AO$9+1,FALSE)</f>
        <v>NE</v>
      </c>
      <c r="AP27" s="1051">
        <f>VLOOKUP($D27,Data!$H$16:$BS$1015,AP$9+1,FALSE)</f>
        <v>76625.640066178064</v>
      </c>
      <c r="AQ27" s="1051">
        <f>VLOOKUP($D27,Data!$H$16:$BS$1015,AQ$9+1,FALSE)</f>
        <v>2228483.5187383043</v>
      </c>
      <c r="AR27" s="1053" t="str">
        <f>VLOOKUP($D27,Data!$H$16:$BS$1015,AR$9+1,FALSE)</f>
        <v>NO</v>
      </c>
      <c r="AS27" s="1051" t="str">
        <f>VLOOKUP($D27,Data!$H$16:$BS$1015,AS$9+1,FALSE)</f>
        <v>NO</v>
      </c>
      <c r="AT27" s="1051" t="str">
        <f>VLOOKUP($D27,Data!$H$16:$BS$1015,AT$9+1,FALSE)</f>
        <v>NO</v>
      </c>
      <c r="AU27" s="1053" t="str">
        <f>VLOOKUP($D27,Data!$H$16:$BS$1015,AU$9+1,FALSE)</f>
        <v>NO</v>
      </c>
      <c r="AV27" s="1051" t="str">
        <f>VLOOKUP($D27,Data!$H$16:$BS$1015,AV$9+1,FALSE)</f>
        <v>NO</v>
      </c>
      <c r="AW27" s="1051">
        <f>VLOOKUP($D27,Data!$H$16:$BS$1015,AW$9+1,FALSE)</f>
        <v>162459.47862631147</v>
      </c>
      <c r="AX27" s="1053" t="str">
        <f>VLOOKUP($D27,Data!$H$16:$BS$1015,AX$9+1,FALSE)</f>
        <v>NO</v>
      </c>
      <c r="AY27" s="1051">
        <f>VLOOKUP($D27,Data!$H$16:$BS$1015,AY$9+1,FALSE)</f>
        <v>217357.21084569639</v>
      </c>
      <c r="AZ27" s="1051" t="str">
        <f>VLOOKUP($D27,Data!$H$16:$BS$1015,AZ$9+1,FALSE)</f>
        <v>NO</v>
      </c>
      <c r="BA27" s="1053" t="str">
        <f>VLOOKUP($D27,Data!$H$16:$BS$1015,BA$9+1,FALSE)</f>
        <v>NO</v>
      </c>
      <c r="BB27" s="1052" t="str">
        <f>VLOOKUP($D27,Data!$H$16:$BS$1015,BB$9+1,FALSE)</f>
        <v>NE</v>
      </c>
      <c r="BC27" s="1052">
        <f>VLOOKUP($D27,Data!$H$16:$BS$1015,BC$9+1,FALSE)</f>
        <v>172383.9346463336</v>
      </c>
      <c r="BD27" s="1052" t="str">
        <f>VLOOKUP($D27,Data!$H$16:$BS$1015,BD$9+1,FALSE)</f>
        <v>NE</v>
      </c>
      <c r="BE27" s="1052" t="str">
        <f>VLOOKUP($D27,Data!$H$16:$BS$1015,BE$9+1,FALSE)</f>
        <v>NE</v>
      </c>
      <c r="BF27" s="1052" t="str">
        <f>VLOOKUP($D27,Data!$H$16:$BS$1015,BF$9+1,FALSE)</f>
        <v>NE</v>
      </c>
      <c r="BG27" s="1054" t="str">
        <f>VLOOKUP($D27,Data!$H$16:$BS$1015,BG$9+1,FALSE)</f>
        <v>NE</v>
      </c>
      <c r="BH27" s="1051">
        <f>VLOOKUP($D27,Data!$H$16:$BS$1015,BH$9+2,FALSE)</f>
        <v>51310978.49041456</v>
      </c>
      <c r="BI27" s="1052">
        <f>VLOOKUP($D27,Data!$H$16:$BS$1015,BI$9+2,FALSE)</f>
        <v>67572591.88279894</v>
      </c>
      <c r="BJ27" s="1054">
        <f>VLOOKUP($D27,Data!$H$16:$BS$1015,BJ$9+2,FALSE)</f>
        <v>67572591.882798925</v>
      </c>
      <c r="BK27" s="1053">
        <f>VLOOKUP($D27,Data!$H$16:$BS$1015,BK$9+2,FALSE)</f>
        <v>43927815.240919389</v>
      </c>
    </row>
    <row r="28" spans="1:63" s="34" customFormat="1" ht="15" customHeight="1">
      <c r="A28" s="1185">
        <v>17</v>
      </c>
      <c r="B28" s="1443" t="str">
        <f>Data_3!B29</f>
        <v>Oslo</v>
      </c>
      <c r="C28" s="1444">
        <f>IF(B28="","",IF(VLOOKUP(B28,Data_3!$B$13:$Y$112,24,FALSE)&lt;&gt;"",2020,IF(VLOOKUP(B28,Data_3!$B$13:$Y$112,23,FALSE)&lt;&gt;"",2019,IF(VLOOKUP(B28,Data_3!$B$13:$Y$112,22,FALSE)&lt;&gt;"",2018,IF(VLOOKUP(B28,Data_3!$B$13:$Y$112,21,FALSE)&lt;&gt;"",2017,IF(VLOOKUP(B28,Data_3!$B$13:$Y$112,20,FALSE)&lt;&gt;"",2016,IF(VLOOKUP(B28,Data_3!$B$13:$Y$112,19,FALSE)&lt;&gt;"",2015,IF(VLOOKUP(B28,Data_3!$B$13:$Y$112,18,FALSE)&lt;&gt;"",2014,IF(VLOOKUP(B28,Data_3!$B$13:$Y$112,17,FALSE)&lt;&gt;"",2013,IF(VLOOKUP(B28,Data_3!$B$13:$Y$112,16,FALSE)&lt;&gt;"",2012,IF(VLOOKUP(B28,Data_3!$B$13:$Y$112,15,FALSE)&lt;&gt;"",2011,IF(VLOOKUP(B28,Data_3!$B$13:$Y$112,14,FALSE)&lt;&gt;"",2010,IF(VLOOKUP(B28,Data_3!$B$13:$Y$112,13,FALSE)&lt;&gt;"",2009,IF(VLOOKUP(B28,Data_3!$B$13:$Y$112,12,FALSE)&lt;&gt;"",2008,IF(VLOOKUP(B28,Data_3!$B$13:$Y$112,11,FALSE)&lt;&gt;"",2007,IF(VLOOKUP(B28,Data_3!$B$13:$Y$112,10,FALSE)&lt;&gt;"",2006,IF(VLOOKUP(B28,Data_3!$B$13:$Y$112,9,FALSE)&lt;&gt;"",2005,IF(VLOOKUP(B28,Data_3!$B$13:$Y$112,8,FALSE)&lt;&gt;"",2004,IF(VLOOKUP(B28,Data_3!$B$13:$Y$112,7,FALSE)&lt;&gt;"",2003,IF(VLOOKUP(B28,Data_3!$B$13:$Y$1126,FALSE)&lt;&gt;"",2002,IF(VLOOKUP(B28,Data_3!$B$13:$Y$112,5,FALSE)&lt;&gt;"",2001,IF(VLOOKUP(B28,Data_3!$B$13:$Y$112,4,FALSE)&lt;&gt;"",2000,"N/A"))))))))))))))))))))))</f>
        <v>2013</v>
      </c>
      <c r="D28" s="1456" t="str">
        <f t="shared" si="0"/>
        <v>Oslo_2013</v>
      </c>
      <c r="E28" s="1444" t="str">
        <f>VLOOKUP($D28,Data!$H$16:$BS$1015,2,FALSE)</f>
        <v>BASIC</v>
      </c>
      <c r="F28" s="1051">
        <f>VLOOKUP($D28,Data!$H$16:$BS$1015,F$9+1,FALSE)</f>
        <v>238000.00048000002</v>
      </c>
      <c r="G28" s="1051">
        <f>VLOOKUP($D28,Data!$H$16:$BS$1015,G$9+1,FALSE)</f>
        <v>84242.568383999998</v>
      </c>
      <c r="H28" s="1052" t="str">
        <f>VLOOKUP($D28,Data!$H$16:$BS$1015,H$9+1,FALSE)</f>
        <v>NE</v>
      </c>
      <c r="I28" s="1051" t="str">
        <f>VLOOKUP($D28,Data!$H$16:$BS$1015,I$9+1,FALSE)</f>
        <v>IE</v>
      </c>
      <c r="J28" s="1051">
        <f>VLOOKUP($D28,Data!$H$16:$BS$1015,J$9+1,FALSE)</f>
        <v>161757.43165399999</v>
      </c>
      <c r="K28" s="1052" t="str">
        <f>VLOOKUP($D28,Data!$H$16:$BS$1015,K$9+1,FALSE)</f>
        <v>NE</v>
      </c>
      <c r="L28" s="1051">
        <f>VLOOKUP($D28,Data!$H$16:$BS$1015,L$9+1,FALSE)</f>
        <v>23999.998960000001</v>
      </c>
      <c r="M28" s="1051">
        <f>VLOOKUP($D28,Data!$H$16:$BS$1015,M$9+1,FALSE)</f>
        <v>0</v>
      </c>
      <c r="N28" s="1052" t="str">
        <f>VLOOKUP($D28,Data!$H$16:$BS$1015,N$9+1,FALSE)</f>
        <v>NE</v>
      </c>
      <c r="O28" s="1051" t="str">
        <f>VLOOKUP($D28,Data!$H$16:$BS$1015,O$9+1,FALSE)</f>
        <v>NO</v>
      </c>
      <c r="P28" s="1051">
        <f>VLOOKUP($D28,Data!$H$16:$BS$1015,P$9+1,FALSE)</f>
        <v>0</v>
      </c>
      <c r="Q28" s="1052" t="str">
        <f>VLOOKUP($D28,Data!$H$16:$BS$1015,Q$9+1,FALSE)</f>
        <v>NE</v>
      </c>
      <c r="R28" s="1053">
        <f>VLOOKUP($D28,Data!$H$16:$BS$1015,R$9+1,FALSE)</f>
        <v>245008.4995495991</v>
      </c>
      <c r="S28" s="1051" t="str">
        <f>VLOOKUP($D28,Data!$H$16:$BS$1015,S$9+1,FALSE)</f>
        <v>IE</v>
      </c>
      <c r="T28" s="1051">
        <f>VLOOKUP($D28,Data!$H$16:$BS$1015,T$9+1,FALSE)</f>
        <v>0</v>
      </c>
      <c r="U28" s="1052" t="str">
        <f>VLOOKUP($D28,Data!$H$16:$BS$1015,U$9+1,FALSE)</f>
        <v>NE</v>
      </c>
      <c r="V28" s="1051" t="str">
        <f>VLOOKUP($D28,Data!$H$16:$BS$1015,V$9+1,FALSE)</f>
        <v>NO</v>
      </c>
      <c r="W28" s="1051" t="str">
        <f>VLOOKUP($D28,Data!$H$16:$BS$1015,W$9+1,FALSE)</f>
        <v>NO</v>
      </c>
      <c r="X28" s="1052" t="str">
        <f>VLOOKUP($D28,Data!$H$16:$BS$1015,X$9+1,FALSE)</f>
        <v>NE</v>
      </c>
      <c r="Y28" s="1051" t="str">
        <f>VLOOKUP($D28,Data!$H$16:$BS$1015,Y$9+1,FALSE)</f>
        <v>NO</v>
      </c>
      <c r="Z28" s="1051" t="str">
        <f>VLOOKUP($D28,Data!$H$16:$BS$1015,Z$9+1,FALSE)</f>
        <v>NO</v>
      </c>
      <c r="AA28" s="1051">
        <f>VLOOKUP($D28,Data!$H$16:$BS$1015,AA$9+1,FALSE)</f>
        <v>498000</v>
      </c>
      <c r="AB28" s="1051" t="str">
        <f>VLOOKUP($D28,Data!$H$16:$BS$1015,AB$9+1,FALSE)</f>
        <v>IE</v>
      </c>
      <c r="AC28" s="1052" t="str">
        <f>VLOOKUP($D28,Data!$H$16:$BS$1015,AC$9+1,FALSE)</f>
        <v>NE</v>
      </c>
      <c r="AD28" s="1051" t="str">
        <f>VLOOKUP($D28,Data!$H$16:$BS$1015,AD$9+1,FALSE)</f>
        <v>NO</v>
      </c>
      <c r="AE28" s="1051">
        <f>VLOOKUP($D28,Data!$H$16:$BS$1015,AE$9+1,FALSE)</f>
        <v>0</v>
      </c>
      <c r="AF28" s="1052" t="str">
        <f>VLOOKUP($D28,Data!$H$16:$BS$1015,AF$9+1,FALSE)</f>
        <v>NE</v>
      </c>
      <c r="AG28" s="1051">
        <f>VLOOKUP($D28,Data!$H$16:$BS$1015,AG$9+1,FALSE)</f>
        <v>34992.997379</v>
      </c>
      <c r="AH28" s="1051">
        <f>VLOOKUP($D28,Data!$H$16:$BS$1015,AH$9+1,FALSE)</f>
        <v>0</v>
      </c>
      <c r="AI28" s="1052" t="str">
        <f>VLOOKUP($D28,Data!$H$16:$BS$1015,AI$9+1,FALSE)</f>
        <v>NE</v>
      </c>
      <c r="AJ28" s="1051" t="str">
        <f>VLOOKUP($D28,Data!$H$16:$BS$1015,AJ$9+1,FALSE)</f>
        <v>NO</v>
      </c>
      <c r="AK28" s="1051" t="str">
        <f>VLOOKUP($D28,Data!$H$16:$BS$1015,AK$9+1,FALSE)</f>
        <v>NO</v>
      </c>
      <c r="AL28" s="1052" t="str">
        <f>VLOOKUP($D28,Data!$H$16:$BS$1015,AL$9+1,FALSE)</f>
        <v>NE</v>
      </c>
      <c r="AM28" s="1051">
        <f>VLOOKUP($D28,Data!$H$16:$BS$1015,AM$9+1,FALSE)</f>
        <v>244999.99982600001</v>
      </c>
      <c r="AN28" s="1051" t="str">
        <f>VLOOKUP($D28,Data!$H$16:$BS$1015,AN$9+1,FALSE)</f>
        <v>NO</v>
      </c>
      <c r="AO28" s="1052" t="str">
        <f>VLOOKUP($D28,Data!$H$16:$BS$1015,AO$9+1,FALSE)</f>
        <v>NE</v>
      </c>
      <c r="AP28" s="1051">
        <f>VLOOKUP($D28,Data!$H$16:$BS$1015,AP$9+1,FALSE)</f>
        <v>16000</v>
      </c>
      <c r="AQ28" s="1051" t="str">
        <f>VLOOKUP($D28,Data!$H$16:$BS$1015,AQ$9+1,FALSE)</f>
        <v>NO</v>
      </c>
      <c r="AR28" s="1053" t="str">
        <f>VLOOKUP($D28,Data!$H$16:$BS$1015,AR$9+1,FALSE)</f>
        <v>NO</v>
      </c>
      <c r="AS28" s="1051">
        <f>VLOOKUP($D28,Data!$H$16:$BS$1015,AS$9+1,FALSE)</f>
        <v>9429.3119999999999</v>
      </c>
      <c r="AT28" s="1051" t="str">
        <f>VLOOKUP($D28,Data!$H$16:$BS$1015,AT$9+1,FALSE)</f>
        <v>IE</v>
      </c>
      <c r="AU28" s="1053" t="str">
        <f>VLOOKUP($D28,Data!$H$16:$BS$1015,AU$9+1,FALSE)</f>
        <v>NO</v>
      </c>
      <c r="AV28" s="1051" t="str">
        <f>VLOOKUP($D28,Data!$H$16:$BS$1015,AV$9+1,FALSE)</f>
        <v>IE</v>
      </c>
      <c r="AW28" s="1051" t="str">
        <f>VLOOKUP($D28,Data!$H$16:$BS$1015,AW$9+1,FALSE)</f>
        <v>NO</v>
      </c>
      <c r="AX28" s="1053" t="str">
        <f>VLOOKUP($D28,Data!$H$16:$BS$1015,AX$9+1,FALSE)</f>
        <v>IE</v>
      </c>
      <c r="AY28" s="1051">
        <f>VLOOKUP($D28,Data!$H$16:$BS$1015,AY$9+1,FALSE)</f>
        <v>29000</v>
      </c>
      <c r="AZ28" s="1051" t="str">
        <f>VLOOKUP($D28,Data!$H$16:$BS$1015,AZ$9+1,FALSE)</f>
        <v>IE</v>
      </c>
      <c r="BA28" s="1053" t="str">
        <f>VLOOKUP($D28,Data!$H$16:$BS$1015,BA$9+1,FALSE)</f>
        <v>NO</v>
      </c>
      <c r="BB28" s="1052" t="str">
        <f>VLOOKUP($D28,Data!$H$16:$BS$1015,BB$9+1,FALSE)</f>
        <v>NE</v>
      </c>
      <c r="BC28" s="1052" t="str">
        <f>VLOOKUP($D28,Data!$H$16:$BS$1015,BC$9+1,FALSE)</f>
        <v>NE</v>
      </c>
      <c r="BD28" s="1052" t="str">
        <f>VLOOKUP($D28,Data!$H$16:$BS$1015,BD$9+1,FALSE)</f>
        <v>NE</v>
      </c>
      <c r="BE28" s="1052" t="str">
        <f>VLOOKUP($D28,Data!$H$16:$BS$1015,BE$9+1,FALSE)</f>
        <v>NE</v>
      </c>
      <c r="BF28" s="1052" t="str">
        <f>VLOOKUP($D28,Data!$H$16:$BS$1015,BF$9+1,FALSE)</f>
        <v>NE</v>
      </c>
      <c r="BG28" s="1054">
        <f>VLOOKUP($D28,Data!$H$16:$BS$1015,BG$9+1,FALSE)</f>
        <v>65000</v>
      </c>
      <c r="BH28" s="1051">
        <f>VLOOKUP($D28,Data!$H$16:$BS$1015,BH$9+2,FALSE)</f>
        <v>1340422.3086829998</v>
      </c>
      <c r="BI28" s="1052">
        <f>VLOOKUP($D28,Data!$H$16:$BS$1015,BI$9+2,FALSE)</f>
        <v>1340422.3086829998</v>
      </c>
      <c r="BJ28" s="1054">
        <f>VLOOKUP($D28,Data!$H$16:$BS$1015,BJ$9+2,FALSE)</f>
        <v>1405422.3086829998</v>
      </c>
      <c r="BK28" s="1053">
        <f>VLOOKUP($D28,Data!$H$16:$BS$1015,BK$9+2,FALSE)</f>
        <v>1339430.8081945989</v>
      </c>
    </row>
    <row r="29" spans="1:63" s="1121" customFormat="1" ht="15" customHeight="1">
      <c r="A29" s="1185">
        <v>18</v>
      </c>
      <c r="B29" s="1443" t="str">
        <f>Data_3!B30</f>
        <v>Paris</v>
      </c>
      <c r="C29" s="1444">
        <f>IF(B29="","",IF(VLOOKUP(B29,Data_3!$B$13:$Y$112,24,FALSE)&lt;&gt;"",2020,IF(VLOOKUP(B29,Data_3!$B$13:$Y$112,23,FALSE)&lt;&gt;"",2019,IF(VLOOKUP(B29,Data_3!$B$13:$Y$112,22,FALSE)&lt;&gt;"",2018,IF(VLOOKUP(B29,Data_3!$B$13:$Y$112,21,FALSE)&lt;&gt;"",2017,IF(VLOOKUP(B29,Data_3!$B$13:$Y$112,20,FALSE)&lt;&gt;"",2016,IF(VLOOKUP(B29,Data_3!$B$13:$Y$112,19,FALSE)&lt;&gt;"",2015,IF(VLOOKUP(B29,Data_3!$B$13:$Y$112,18,FALSE)&lt;&gt;"",2014,IF(VLOOKUP(B29,Data_3!$B$13:$Y$112,17,FALSE)&lt;&gt;"",2013,IF(VLOOKUP(B29,Data_3!$B$13:$Y$112,16,FALSE)&lt;&gt;"",2012,IF(VLOOKUP(B29,Data_3!$B$13:$Y$112,15,FALSE)&lt;&gt;"",2011,IF(VLOOKUP(B29,Data_3!$B$13:$Y$112,14,FALSE)&lt;&gt;"",2010,IF(VLOOKUP(B29,Data_3!$B$13:$Y$112,13,FALSE)&lt;&gt;"",2009,IF(VLOOKUP(B29,Data_3!$B$13:$Y$112,12,FALSE)&lt;&gt;"",2008,IF(VLOOKUP(B29,Data_3!$B$13:$Y$112,11,FALSE)&lt;&gt;"",2007,IF(VLOOKUP(B29,Data_3!$B$13:$Y$112,10,FALSE)&lt;&gt;"",2006,IF(VLOOKUP(B29,Data_3!$B$13:$Y$112,9,FALSE)&lt;&gt;"",2005,IF(VLOOKUP(B29,Data_3!$B$13:$Y$112,8,FALSE)&lt;&gt;"",2004,IF(VLOOKUP(B29,Data_3!$B$13:$Y$112,7,FALSE)&lt;&gt;"",2003,IF(VLOOKUP(B29,Data_3!$B$13:$Y$1126,FALSE)&lt;&gt;"",2002,IF(VLOOKUP(B29,Data_3!$B$13:$Y$112,5,FALSE)&lt;&gt;"",2001,IF(VLOOKUP(B29,Data_3!$B$13:$Y$112,4,FALSE)&lt;&gt;"",2000,"N/A"))))))))))))))))))))))</f>
        <v>2009</v>
      </c>
      <c r="D29" s="1456" t="str">
        <f t="shared" si="0"/>
        <v>Paris_2009</v>
      </c>
      <c r="E29" s="1444" t="str">
        <f>VLOOKUP($D29,Data!$H$16:$BS$1015,2,FALSE)</f>
        <v>BASIC</v>
      </c>
      <c r="F29" s="1051">
        <f>VLOOKUP($D29,Data!$H$16:$BS$1015,F$9+1,FALSE)</f>
        <v>1512901.7666666664</v>
      </c>
      <c r="G29" s="1051">
        <f>VLOOKUP($D29,Data!$H$16:$BS$1015,G$9+1,FALSE)</f>
        <v>780120.00000000047</v>
      </c>
      <c r="H29" s="1052">
        <f>VLOOKUP($D29,Data!$H$16:$BS$1015,H$9+1,FALSE)</f>
        <v>327450.13549472787</v>
      </c>
      <c r="I29" s="1051">
        <f>VLOOKUP($D29,Data!$H$16:$BS$1015,I$9+1,FALSE)</f>
        <v>1340493.3999999994</v>
      </c>
      <c r="J29" s="1051">
        <f>VLOOKUP($D29,Data!$H$16:$BS$1015,J$9+1,FALSE)</f>
        <v>1050890.0000000007</v>
      </c>
      <c r="K29" s="1052">
        <f>VLOOKUP($D29,Data!$H$16:$BS$1015,K$9+1,FALSE)</f>
        <v>294228.6652072802</v>
      </c>
      <c r="L29" s="1051" t="str">
        <f>VLOOKUP($D29,Data!$H$16:$BS$1015,L$9+1,FALSE)</f>
        <v>NO</v>
      </c>
      <c r="M29" s="1051" t="str">
        <f>VLOOKUP($D29,Data!$H$16:$BS$1015,M$9+1,FALSE)</f>
        <v>NO</v>
      </c>
      <c r="N29" s="1052" t="str">
        <f>VLOOKUP($D29,Data!$H$16:$BS$1015,N$9+1,FALSE)</f>
        <v>NO</v>
      </c>
      <c r="O29" s="1051" t="str">
        <f>VLOOKUP($D29,Data!$H$16:$BS$1015,O$9+1,FALSE)</f>
        <v>NO</v>
      </c>
      <c r="P29" s="1051" t="str">
        <f>VLOOKUP($D29,Data!$H$16:$BS$1015,P$9+1,FALSE)</f>
        <v>NO</v>
      </c>
      <c r="Q29" s="1052" t="str">
        <f>VLOOKUP($D29,Data!$H$16:$BS$1015,Q$9+1,FALSE)</f>
        <v>NO</v>
      </c>
      <c r="R29" s="1053">
        <f>VLOOKUP($D29,Data!$H$16:$BS$1015,R$9+1,FALSE)</f>
        <v>163579.88297318117</v>
      </c>
      <c r="S29" s="1051" t="str">
        <f>VLOOKUP($D29,Data!$H$16:$BS$1015,S$9+1,FALSE)</f>
        <v>NO</v>
      </c>
      <c r="T29" s="1051" t="str">
        <f>VLOOKUP($D29,Data!$H$16:$BS$1015,T$9+1,FALSE)</f>
        <v>NO</v>
      </c>
      <c r="U29" s="1052" t="str">
        <f>VLOOKUP($D29,Data!$H$16:$BS$1015,U$9+1,FALSE)</f>
        <v>NO</v>
      </c>
      <c r="V29" s="1051" t="str">
        <f>VLOOKUP($D29,Data!$H$16:$BS$1015,V$9+1,FALSE)</f>
        <v>NO</v>
      </c>
      <c r="W29" s="1051" t="str">
        <f>VLOOKUP($D29,Data!$H$16:$BS$1015,W$9+1,FALSE)</f>
        <v>NO</v>
      </c>
      <c r="X29" s="1052" t="str">
        <f>VLOOKUP($D29,Data!$H$16:$BS$1015,X$9+1,FALSE)</f>
        <v>NO</v>
      </c>
      <c r="Y29" s="1051" t="str">
        <f>VLOOKUP($D29,Data!$H$16:$BS$1015,Y$9+1,FALSE)</f>
        <v>NO</v>
      </c>
      <c r="Z29" s="1051" t="str">
        <f>VLOOKUP($D29,Data!$H$16:$BS$1015,Z$9+1,FALSE)</f>
        <v>IE</v>
      </c>
      <c r="AA29" s="1051">
        <f>VLOOKUP($D29,Data!$H$16:$BS$1015,AA$9+1,FALSE)</f>
        <v>805135.99930866656</v>
      </c>
      <c r="AB29" s="1051" t="str">
        <f>VLOOKUP($D29,Data!$H$16:$BS$1015,AB$9+1,FALSE)</f>
        <v>NO</v>
      </c>
      <c r="AC29" s="1052">
        <f>VLOOKUP($D29,Data!$H$16:$BS$1015,AC$9+1,FALSE)</f>
        <v>1950927.8273099998</v>
      </c>
      <c r="AD29" s="1051">
        <f>VLOOKUP($D29,Data!$H$16:$BS$1015,AD$9+1,FALSE)</f>
        <v>77760.099999999991</v>
      </c>
      <c r="AE29" s="1051">
        <f>VLOOKUP($D29,Data!$H$16:$BS$1015,AE$9+1,FALSE)</f>
        <v>150421.03333333315</v>
      </c>
      <c r="AF29" s="1052">
        <f>VLOOKUP($D29,Data!$H$16:$BS$1015,AF$9+1,FALSE)</f>
        <v>104.5</v>
      </c>
      <c r="AG29" s="1051" t="str">
        <f>VLOOKUP($D29,Data!$H$16:$BS$1015,AG$9+1,FALSE)</f>
        <v>NO</v>
      </c>
      <c r="AH29" s="1051" t="str">
        <f>VLOOKUP($D29,Data!$H$16:$BS$1015,AH$9+1,FALSE)</f>
        <v>NO</v>
      </c>
      <c r="AI29" s="1052">
        <f>VLOOKUP($D29,Data!$H$16:$BS$1015,AI$9+1,FALSE)</f>
        <v>10152.317712544978</v>
      </c>
      <c r="AJ29" s="1051">
        <f>VLOOKUP($D29,Data!$H$16:$BS$1015,AJ$9+1,FALSE)</f>
        <v>4949.1200000000008</v>
      </c>
      <c r="AK29" s="1051" t="str">
        <f>VLOOKUP($D29,Data!$H$16:$BS$1015,AK$9+1,FALSE)</f>
        <v>NO</v>
      </c>
      <c r="AL29" s="1052">
        <f>VLOOKUP($D29,Data!$H$16:$BS$1015,AL$9+1,FALSE)</f>
        <v>432.58493023255818</v>
      </c>
      <c r="AM29" s="1051" t="str">
        <f>VLOOKUP($D29,Data!$H$16:$BS$1015,AM$9+1,FALSE)</f>
        <v>IE</v>
      </c>
      <c r="AN29" s="1051" t="str">
        <f>VLOOKUP($D29,Data!$H$16:$BS$1015,AN$9+1,FALSE)</f>
        <v>NO</v>
      </c>
      <c r="AO29" s="1052" t="str">
        <f>VLOOKUP($D29,Data!$H$16:$BS$1015,AO$9+1,FALSE)</f>
        <v>NO</v>
      </c>
      <c r="AP29" s="1051" t="str">
        <f>VLOOKUP($D29,Data!$H$16:$BS$1015,AP$9+1,FALSE)</f>
        <v>NO</v>
      </c>
      <c r="AQ29" s="1051">
        <f>VLOOKUP($D29,Data!$H$16:$BS$1015,AQ$9+1,FALSE)</f>
        <v>58783.274000000005</v>
      </c>
      <c r="AR29" s="1053" t="str">
        <f>VLOOKUP($D29,Data!$H$16:$BS$1015,AR$9+1,FALSE)</f>
        <v>NO</v>
      </c>
      <c r="AS29" s="1051" t="str">
        <f>VLOOKUP($D29,Data!$H$16:$BS$1015,AS$9+1,FALSE)</f>
        <v>NO</v>
      </c>
      <c r="AT29" s="1051">
        <f>VLOOKUP($D29,Data!$H$16:$BS$1015,AT$9+1,FALSE)</f>
        <v>4425.5305919999992</v>
      </c>
      <c r="AU29" s="1053" t="str">
        <f>VLOOKUP($D29,Data!$H$16:$BS$1015,AU$9+1,FALSE)</f>
        <v>NO</v>
      </c>
      <c r="AV29" s="1051" t="str">
        <f>VLOOKUP($D29,Data!$H$16:$BS$1015,AV$9+1,FALSE)</f>
        <v>NO</v>
      </c>
      <c r="AW29" s="1051">
        <f>VLOOKUP($D29,Data!$H$16:$BS$1015,AW$9+1,FALSE)</f>
        <v>403599.50033333345</v>
      </c>
      <c r="AX29" s="1053" t="str">
        <f>VLOOKUP($D29,Data!$H$16:$BS$1015,AX$9+1,FALSE)</f>
        <v>NO</v>
      </c>
      <c r="AY29" s="1051" t="str">
        <f>VLOOKUP($D29,Data!$H$16:$BS$1015,AY$9+1,FALSE)</f>
        <v>NO</v>
      </c>
      <c r="AZ29" s="1051">
        <f>VLOOKUP($D29,Data!$H$16:$BS$1015,AZ$9+1,FALSE)</f>
        <v>709.0625</v>
      </c>
      <c r="BA29" s="1053" t="str">
        <f>VLOOKUP($D29,Data!$H$16:$BS$1015,BA$9+1,FALSE)</f>
        <v>NO</v>
      </c>
      <c r="BB29" s="1052">
        <f>VLOOKUP($D29,Data!$H$16:$BS$1015,BB$9+1,FALSE)</f>
        <v>2233000</v>
      </c>
      <c r="BC29" s="1052" t="str">
        <f>VLOOKUP($D29,Data!$H$16:$BS$1015,BC$9+1,FALSE)</f>
        <v>NE</v>
      </c>
      <c r="BD29" s="1052" t="str">
        <f>VLOOKUP($D29,Data!$H$16:$BS$1015,BD$9+1,FALSE)</f>
        <v>NO</v>
      </c>
      <c r="BE29" s="1052">
        <f>VLOOKUP($D29,Data!$H$16:$BS$1015,BE$9+1,FALSE)</f>
        <v>-11000</v>
      </c>
      <c r="BF29" s="1052" t="str">
        <f>VLOOKUP($D29,Data!$H$16:$BS$1015,BF$9+1,FALSE)</f>
        <v>NO</v>
      </c>
      <c r="BG29" s="1054">
        <f>VLOOKUP($D29,Data!$H$16:$BS$1015,BG$9+1,FALSE)</f>
        <v>7058894.2178288614</v>
      </c>
      <c r="BH29" s="1051">
        <f>VLOOKUP($D29,Data!$H$16:$BS$1015,BH$9+2,FALSE)</f>
        <v>6190188.7867339998</v>
      </c>
      <c r="BI29" s="1052">
        <f>VLOOKUP($D29,Data!$H$16:$BS$1015,BI$9+2,FALSE)</f>
        <v>10995484.817388786</v>
      </c>
      <c r="BJ29" s="1054">
        <f>VLOOKUP($D29,Data!$H$16:$BS$1015,BJ$9+2,FALSE)</f>
        <v>18054379.035217647</v>
      </c>
      <c r="BK29" s="1053">
        <f>VLOOKUP($D29,Data!$H$16:$BS$1015,BK$9+2,FALSE)</f>
        <v>6126820.268948514</v>
      </c>
    </row>
    <row r="30" spans="1:63" s="1121" customFormat="1" ht="15" customHeight="1">
      <c r="A30" s="1185">
        <v>19</v>
      </c>
      <c r="B30" s="1443" t="str">
        <f>Data_3!B31</f>
        <v>Philadelphia</v>
      </c>
      <c r="C30" s="1444">
        <f>IF(B30="","",IF(VLOOKUP(B30,Data_3!$B$13:$Y$112,24,FALSE)&lt;&gt;"",2020,IF(VLOOKUP(B30,Data_3!$B$13:$Y$112,23,FALSE)&lt;&gt;"",2019,IF(VLOOKUP(B30,Data_3!$B$13:$Y$112,22,FALSE)&lt;&gt;"",2018,IF(VLOOKUP(B30,Data_3!$B$13:$Y$112,21,FALSE)&lt;&gt;"",2017,IF(VLOOKUP(B30,Data_3!$B$13:$Y$112,20,FALSE)&lt;&gt;"",2016,IF(VLOOKUP(B30,Data_3!$B$13:$Y$112,19,FALSE)&lt;&gt;"",2015,IF(VLOOKUP(B30,Data_3!$B$13:$Y$112,18,FALSE)&lt;&gt;"",2014,IF(VLOOKUP(B30,Data_3!$B$13:$Y$112,17,FALSE)&lt;&gt;"",2013,IF(VLOOKUP(B30,Data_3!$B$13:$Y$112,16,FALSE)&lt;&gt;"",2012,IF(VLOOKUP(B30,Data_3!$B$13:$Y$112,15,FALSE)&lt;&gt;"",2011,IF(VLOOKUP(B30,Data_3!$B$13:$Y$112,14,FALSE)&lt;&gt;"",2010,IF(VLOOKUP(B30,Data_3!$B$13:$Y$112,13,FALSE)&lt;&gt;"",2009,IF(VLOOKUP(B30,Data_3!$B$13:$Y$112,12,FALSE)&lt;&gt;"",2008,IF(VLOOKUP(B30,Data_3!$B$13:$Y$112,11,FALSE)&lt;&gt;"",2007,IF(VLOOKUP(B30,Data_3!$B$13:$Y$112,10,FALSE)&lt;&gt;"",2006,IF(VLOOKUP(B30,Data_3!$B$13:$Y$112,9,FALSE)&lt;&gt;"",2005,IF(VLOOKUP(B30,Data_3!$B$13:$Y$112,8,FALSE)&lt;&gt;"",2004,IF(VLOOKUP(B30,Data_3!$B$13:$Y$112,7,FALSE)&lt;&gt;"",2003,IF(VLOOKUP(B30,Data_3!$B$13:$Y$1126,FALSE)&lt;&gt;"",2002,IF(VLOOKUP(B30,Data_3!$B$13:$Y$112,5,FALSE)&lt;&gt;"",2001,IF(VLOOKUP(B30,Data_3!$B$13:$Y$112,4,FALSE)&lt;&gt;"",2000,"N/A"))))))))))))))))))))))</f>
        <v>2012</v>
      </c>
      <c r="D30" s="1456" t="str">
        <f t="shared" si="0"/>
        <v>Philadelphia_2012</v>
      </c>
      <c r="E30" s="1444" t="str">
        <f>VLOOKUP($D30,Data!$H$16:$BS$1015,2,FALSE)</f>
        <v>BASIC</v>
      </c>
      <c r="F30" s="1051">
        <f>VLOOKUP($D30,Data!$H$16:$BS$1015,F$9+1,FALSE)</f>
        <v>1923615.8201678949</v>
      </c>
      <c r="G30" s="1051">
        <f>VLOOKUP($D30,Data!$H$16:$BS$1015,G$9+1,FALSE)</f>
        <v>1765192.6269305907</v>
      </c>
      <c r="H30" s="1052" t="str">
        <f>VLOOKUP($D30,Data!$H$16:$BS$1015,H$9+1,FALSE)</f>
        <v>NE</v>
      </c>
      <c r="I30" s="1051">
        <f>VLOOKUP($D30,Data!$H$16:$BS$1015,I$9+1,FALSE)</f>
        <v>2153170.932409496</v>
      </c>
      <c r="J30" s="1051">
        <f>VLOOKUP($D30,Data!$H$16:$BS$1015,J$9+1,FALSE)</f>
        <v>4451926.4292392386</v>
      </c>
      <c r="K30" s="1052" t="str">
        <f>VLOOKUP($D30,Data!$H$16:$BS$1015,K$9+1,FALSE)</f>
        <v>NE</v>
      </c>
      <c r="L30" s="1051">
        <f>VLOOKUP($D30,Data!$H$16:$BS$1015,L$9+1,FALSE)</f>
        <v>2711505</v>
      </c>
      <c r="M30" s="1051" t="str">
        <f>VLOOKUP($D30,Data!$H$16:$BS$1015,M$9+1,FALSE)</f>
        <v>IE</v>
      </c>
      <c r="N30" s="1052" t="str">
        <f>VLOOKUP($D30,Data!$H$16:$BS$1015,N$9+1,FALSE)</f>
        <v>NE</v>
      </c>
      <c r="O30" s="1051" t="str">
        <f>VLOOKUP($D30,Data!$H$16:$BS$1015,O$9+1,FALSE)</f>
        <v>IE</v>
      </c>
      <c r="P30" s="1051" t="str">
        <f>VLOOKUP($D30,Data!$H$16:$BS$1015,P$9+1,FALSE)</f>
        <v>IE</v>
      </c>
      <c r="Q30" s="1052" t="str">
        <f>VLOOKUP($D30,Data!$H$16:$BS$1015,Q$9+1,FALSE)</f>
        <v>NE</v>
      </c>
      <c r="R30" s="1053">
        <f>VLOOKUP($D30,Data!$H$16:$BS$1015,R$9+1,FALSE)</f>
        <v>695301.23</v>
      </c>
      <c r="S30" s="1051" t="str">
        <f>VLOOKUP($D30,Data!$H$16:$BS$1015,S$9+1,FALSE)</f>
        <v>NO</v>
      </c>
      <c r="T30" s="1051" t="str">
        <f>VLOOKUP($D30,Data!$H$16:$BS$1015,T$9+1,FALSE)</f>
        <v>NO</v>
      </c>
      <c r="U30" s="1052" t="str">
        <f>VLOOKUP($D30,Data!$H$16:$BS$1015,U$9+1,FALSE)</f>
        <v>NO</v>
      </c>
      <c r="V30" s="1051" t="str">
        <f>VLOOKUP($D30,Data!$H$16:$BS$1015,V$9+1,FALSE)</f>
        <v>NO</v>
      </c>
      <c r="W30" s="1051" t="str">
        <f>VLOOKUP($D30,Data!$H$16:$BS$1015,W$9+1,FALSE)</f>
        <v>NO</v>
      </c>
      <c r="X30" s="1052" t="str">
        <f>VLOOKUP($D30,Data!$H$16:$BS$1015,X$9+1,FALSE)</f>
        <v>NO</v>
      </c>
      <c r="Y30" s="1051" t="str">
        <f>VLOOKUP($D30,Data!$H$16:$BS$1015,Y$9+1,FALSE)</f>
        <v>NO</v>
      </c>
      <c r="Z30" s="1051">
        <f>VLOOKUP($D30,Data!$H$16:$BS$1015,Z$9+1,FALSE)</f>
        <v>487098</v>
      </c>
      <c r="AA30" s="1051">
        <f>VLOOKUP($D30,Data!$H$16:$BS$1015,AA$9+1,FALSE)</f>
        <v>2966057.44</v>
      </c>
      <c r="AB30" s="1051" t="str">
        <f>VLOOKUP($D30,Data!$H$16:$BS$1015,AB$9+1,FALSE)</f>
        <v>IE</v>
      </c>
      <c r="AC30" s="1052" t="str">
        <f>VLOOKUP($D30,Data!$H$16:$BS$1015,AC$9+1,FALSE)</f>
        <v>NE</v>
      </c>
      <c r="AD30" s="1051" t="str">
        <f>VLOOKUP($D30,Data!$H$16:$BS$1015,AD$9+1,FALSE)</f>
        <v>NO</v>
      </c>
      <c r="AE30" s="1051">
        <f>VLOOKUP($D30,Data!$H$16:$BS$1015,AE$9+1,FALSE)</f>
        <v>328280.05796384555</v>
      </c>
      <c r="AF30" s="1052" t="str">
        <f>VLOOKUP($D30,Data!$H$16:$BS$1015,AF$9+1,FALSE)</f>
        <v>NE</v>
      </c>
      <c r="AG30" s="1051" t="str">
        <f>VLOOKUP($D30,Data!$H$16:$BS$1015,AG$9+1,FALSE)</f>
        <v>NO</v>
      </c>
      <c r="AH30" s="1051" t="str">
        <f>VLOOKUP($D30,Data!$H$16:$BS$1015,AH$9+1,FALSE)</f>
        <v>NO</v>
      </c>
      <c r="AI30" s="1052" t="str">
        <f>VLOOKUP($D30,Data!$H$16:$BS$1015,AI$9+1,FALSE)</f>
        <v>NO</v>
      </c>
      <c r="AJ30" s="1051" t="str">
        <f>VLOOKUP($D30,Data!$H$16:$BS$1015,AJ$9+1,FALSE)</f>
        <v>NO</v>
      </c>
      <c r="AK30" s="1051" t="str">
        <f>VLOOKUP($D30,Data!$H$16:$BS$1015,AK$9+1,FALSE)</f>
        <v>NO</v>
      </c>
      <c r="AL30" s="1052" t="str">
        <f>VLOOKUP($D30,Data!$H$16:$BS$1015,AL$9+1,FALSE)</f>
        <v>NE</v>
      </c>
      <c r="AM30" s="1051" t="str">
        <f>VLOOKUP($D30,Data!$H$16:$BS$1015,AM$9+1,FALSE)</f>
        <v>IE</v>
      </c>
      <c r="AN30" s="1051" t="str">
        <f>VLOOKUP($D30,Data!$H$16:$BS$1015,AN$9+1,FALSE)</f>
        <v>IE</v>
      </c>
      <c r="AO30" s="1052" t="str">
        <f>VLOOKUP($D30,Data!$H$16:$BS$1015,AO$9+1,FALSE)</f>
        <v>NO</v>
      </c>
      <c r="AP30" s="1051" t="str">
        <f>VLOOKUP($D30,Data!$H$16:$BS$1015,AP$9+1,FALSE)</f>
        <v>NO</v>
      </c>
      <c r="AQ30" s="1051">
        <f>VLOOKUP($D30,Data!$H$16:$BS$1015,AQ$9+1,FALSE)</f>
        <v>1454390.9211399693</v>
      </c>
      <c r="AR30" s="1053" t="str">
        <f>VLOOKUP($D30,Data!$H$16:$BS$1015,AR$9+1,FALSE)</f>
        <v>NO</v>
      </c>
      <c r="AS30" s="1051" t="str">
        <f>VLOOKUP($D30,Data!$H$16:$BS$1015,AS$9+1,FALSE)</f>
        <v>NO</v>
      </c>
      <c r="AT30" s="1051" t="str">
        <f>VLOOKUP($D30,Data!$H$16:$BS$1015,AT$9+1,FALSE)</f>
        <v>NO</v>
      </c>
      <c r="AU30" s="1053" t="str">
        <f>VLOOKUP($D30,Data!$H$16:$BS$1015,AU$9+1,FALSE)</f>
        <v>NO</v>
      </c>
      <c r="AV30" s="1051" t="str">
        <f>VLOOKUP($D30,Data!$H$16:$BS$1015,AV$9+1,FALSE)</f>
        <v>NO</v>
      </c>
      <c r="AW30" s="1051">
        <f>VLOOKUP($D30,Data!$H$16:$BS$1015,AW$9+1,FALSE)</f>
        <v>216697.97588422181</v>
      </c>
      <c r="AX30" s="1053" t="str">
        <f>VLOOKUP($D30,Data!$H$16:$BS$1015,AX$9+1,FALSE)</f>
        <v>NO</v>
      </c>
      <c r="AY30" s="1051">
        <f>VLOOKUP($D30,Data!$H$16:$BS$1015,AY$9+1,FALSE)</f>
        <v>29977</v>
      </c>
      <c r="AZ30" s="1051" t="str">
        <f>VLOOKUP($D30,Data!$H$16:$BS$1015,AZ$9+1,FALSE)</f>
        <v>NO</v>
      </c>
      <c r="BA30" s="1053" t="str">
        <f>VLOOKUP($D30,Data!$H$16:$BS$1015,BA$9+1,FALSE)</f>
        <v>NO</v>
      </c>
      <c r="BB30" s="1052">
        <f>VLOOKUP($D30,Data!$H$16:$BS$1015,BB$9+1,FALSE)</f>
        <v>1596444</v>
      </c>
      <c r="BC30" s="1052">
        <f>VLOOKUP($D30,Data!$H$16:$BS$1015,BC$9+1,FALSE)</f>
        <v>10873</v>
      </c>
      <c r="BD30" s="1052" t="str">
        <f>VLOOKUP($D30,Data!$H$16:$BS$1015,BD$9+1,FALSE)</f>
        <v>NE</v>
      </c>
      <c r="BE30" s="1052" t="str">
        <f>VLOOKUP($D30,Data!$H$16:$BS$1015,BE$9+1,FALSE)</f>
        <v>NE</v>
      </c>
      <c r="BF30" s="1052" t="str">
        <f>VLOOKUP($D30,Data!$H$16:$BS$1015,BF$9+1,FALSE)</f>
        <v>NE</v>
      </c>
      <c r="BG30" s="1054" t="str">
        <f>VLOOKUP($D30,Data!$H$16:$BS$1015,BG$9+1,FALSE)</f>
        <v>NE</v>
      </c>
      <c r="BH30" s="1051">
        <f>VLOOKUP($D30,Data!$H$16:$BS$1015,BH$9+2,FALSE)</f>
        <v>18487912.203735258</v>
      </c>
      <c r="BI30" s="1052">
        <f>VLOOKUP($D30,Data!$H$16:$BS$1015,BI$9+2,FALSE)</f>
        <v>20095229.203735258</v>
      </c>
      <c r="BJ30" s="1054">
        <f>VLOOKUP($D30,Data!$H$16:$BS$1015,BJ$9+2,FALSE)</f>
        <v>20095229.203735258</v>
      </c>
      <c r="BK30" s="1053">
        <f>VLOOKUP($D30,Data!$H$16:$BS$1015,BK$9+2,FALSE)</f>
        <v>12574042.42257739</v>
      </c>
    </row>
    <row r="31" spans="1:63" s="1121" customFormat="1" ht="15" customHeight="1">
      <c r="A31" s="1185">
        <v>20</v>
      </c>
      <c r="B31" s="1443" t="str">
        <f>Data_3!B32</f>
        <v>Portland</v>
      </c>
      <c r="C31" s="1444">
        <f>IF(B31="","",IF(VLOOKUP(B31,Data_3!$B$13:$Y$112,24,FALSE)&lt;&gt;"",2020,IF(VLOOKUP(B31,Data_3!$B$13:$Y$112,23,FALSE)&lt;&gt;"",2019,IF(VLOOKUP(B31,Data_3!$B$13:$Y$112,22,FALSE)&lt;&gt;"",2018,IF(VLOOKUP(B31,Data_3!$B$13:$Y$112,21,FALSE)&lt;&gt;"",2017,IF(VLOOKUP(B31,Data_3!$B$13:$Y$112,20,FALSE)&lt;&gt;"",2016,IF(VLOOKUP(B31,Data_3!$B$13:$Y$112,19,FALSE)&lt;&gt;"",2015,IF(VLOOKUP(B31,Data_3!$B$13:$Y$112,18,FALSE)&lt;&gt;"",2014,IF(VLOOKUP(B31,Data_3!$B$13:$Y$112,17,FALSE)&lt;&gt;"",2013,IF(VLOOKUP(B31,Data_3!$B$13:$Y$112,16,FALSE)&lt;&gt;"",2012,IF(VLOOKUP(B31,Data_3!$B$13:$Y$112,15,FALSE)&lt;&gt;"",2011,IF(VLOOKUP(B31,Data_3!$B$13:$Y$112,14,FALSE)&lt;&gt;"",2010,IF(VLOOKUP(B31,Data_3!$B$13:$Y$112,13,FALSE)&lt;&gt;"",2009,IF(VLOOKUP(B31,Data_3!$B$13:$Y$112,12,FALSE)&lt;&gt;"",2008,IF(VLOOKUP(B31,Data_3!$B$13:$Y$112,11,FALSE)&lt;&gt;"",2007,IF(VLOOKUP(B31,Data_3!$B$13:$Y$112,10,FALSE)&lt;&gt;"",2006,IF(VLOOKUP(B31,Data_3!$B$13:$Y$112,9,FALSE)&lt;&gt;"",2005,IF(VLOOKUP(B31,Data_3!$B$13:$Y$112,8,FALSE)&lt;&gt;"",2004,IF(VLOOKUP(B31,Data_3!$B$13:$Y$112,7,FALSE)&lt;&gt;"",2003,IF(VLOOKUP(B31,Data_3!$B$13:$Y$1126,FALSE)&lt;&gt;"",2002,IF(VLOOKUP(B31,Data_3!$B$13:$Y$112,5,FALSE)&lt;&gt;"",2001,IF(VLOOKUP(B31,Data_3!$B$13:$Y$112,4,FALSE)&lt;&gt;"",2000,"N/A"))))))))))))))))))))))</f>
        <v>2013</v>
      </c>
      <c r="D31" s="1456" t="str">
        <f t="shared" si="0"/>
        <v>Portland_2013</v>
      </c>
      <c r="E31" s="1444" t="str">
        <f>VLOOKUP($D31,Data!$H$16:$BS$1015,2,FALSE)</f>
        <v>BASIC</v>
      </c>
      <c r="F31" s="1051">
        <f>VLOOKUP($D31,Data!$H$16:$BS$1015,F$9+1,FALSE)</f>
        <v>625101.80135526101</v>
      </c>
      <c r="G31" s="1051">
        <f>VLOOKUP($D31,Data!$H$16:$BS$1015,G$9+1,FALSE)</f>
        <v>915327.55634858948</v>
      </c>
      <c r="H31" s="1052" t="str">
        <f>VLOOKUP($D31,Data!$H$16:$BS$1015,H$9+1,FALSE)</f>
        <v>NE</v>
      </c>
      <c r="I31" s="1051">
        <f>VLOOKUP($D31,Data!$H$16:$BS$1015,I$9+1,FALSE)</f>
        <v>480556.67304030189</v>
      </c>
      <c r="J31" s="1051">
        <f>VLOOKUP($D31,Data!$H$16:$BS$1015,J$9+1,FALSE)</f>
        <v>1403251.1809733764</v>
      </c>
      <c r="K31" s="1052" t="str">
        <f>VLOOKUP($D31,Data!$H$16:$BS$1015,K$9+1,FALSE)</f>
        <v>NE</v>
      </c>
      <c r="L31" s="1051">
        <f>VLOOKUP($D31,Data!$H$16:$BS$1015,L$9+1,FALSE)</f>
        <v>706538.95974610059</v>
      </c>
      <c r="M31" s="1051">
        <f>VLOOKUP($D31,Data!$H$16:$BS$1015,M$9+1,FALSE)</f>
        <v>623990.7739873192</v>
      </c>
      <c r="N31" s="1052" t="str">
        <f>VLOOKUP($D31,Data!$H$16:$BS$1015,N$9+1,FALSE)</f>
        <v>NE</v>
      </c>
      <c r="O31" s="1051" t="str">
        <f>VLOOKUP($D31,Data!$H$16:$BS$1015,O$9+1,FALSE)</f>
        <v>NO</v>
      </c>
      <c r="P31" s="1051" t="str">
        <f>VLOOKUP($D31,Data!$H$16:$BS$1015,P$9+1,FALSE)</f>
        <v>NO</v>
      </c>
      <c r="Q31" s="1052" t="str">
        <f>VLOOKUP($D31,Data!$H$16:$BS$1015,Q$9+1,FALSE)</f>
        <v>NO</v>
      </c>
      <c r="R31" s="1053" t="str">
        <f>VLOOKUP($D31,Data!$H$16:$BS$1015,R$9+1,FALSE)</f>
        <v>NO</v>
      </c>
      <c r="S31" s="1051" t="str">
        <f>VLOOKUP($D31,Data!$H$16:$BS$1015,S$9+1,FALSE)</f>
        <v>NO</v>
      </c>
      <c r="T31" s="1051" t="str">
        <f>VLOOKUP($D31,Data!$H$16:$BS$1015,T$9+1,FALSE)</f>
        <v>NO</v>
      </c>
      <c r="U31" s="1052" t="str">
        <f>VLOOKUP($D31,Data!$H$16:$BS$1015,U$9+1,FALSE)</f>
        <v>NO</v>
      </c>
      <c r="V31" s="1051" t="str">
        <f>VLOOKUP($D31,Data!$H$16:$BS$1015,V$9+1,FALSE)</f>
        <v>NO</v>
      </c>
      <c r="W31" s="1051" t="str">
        <f>VLOOKUP($D31,Data!$H$16:$BS$1015,W$9+1,FALSE)</f>
        <v>NO</v>
      </c>
      <c r="X31" s="1052" t="str">
        <f>VLOOKUP($D31,Data!$H$16:$BS$1015,X$9+1,FALSE)</f>
        <v>NO</v>
      </c>
      <c r="Y31" s="1051" t="str">
        <f>VLOOKUP($D31,Data!$H$16:$BS$1015,Y$9+1,FALSE)</f>
        <v>NO</v>
      </c>
      <c r="Z31" s="1051">
        <f>VLOOKUP($D31,Data!$H$16:$BS$1015,Z$9+1,FALSE)</f>
        <v>14778</v>
      </c>
      <c r="AA31" s="1051">
        <f>VLOOKUP($D31,Data!$H$16:$BS$1015,AA$9+1,FALSE)</f>
        <v>2830124.1746198987</v>
      </c>
      <c r="AB31" s="1051" t="str">
        <f>VLOOKUP($D31,Data!$H$16:$BS$1015,AB$9+1,FALSE)</f>
        <v>IE</v>
      </c>
      <c r="AC31" s="1052" t="str">
        <f>VLOOKUP($D31,Data!$H$16:$BS$1015,AC$9+1,FALSE)</f>
        <v>NE</v>
      </c>
      <c r="AD31" s="1051" t="str">
        <f>VLOOKUP($D31,Data!$H$16:$BS$1015,AD$9+1,FALSE)</f>
        <v>NO</v>
      </c>
      <c r="AE31" s="1051" t="str">
        <f>VLOOKUP($D31,Data!$H$16:$BS$1015,AE$9+1,FALSE)</f>
        <v>IE</v>
      </c>
      <c r="AF31" s="1052" t="str">
        <f>VLOOKUP($D31,Data!$H$16:$BS$1015,AF$9+1,FALSE)</f>
        <v>NE</v>
      </c>
      <c r="AG31" s="1051" t="str">
        <f>VLOOKUP($D31,Data!$H$16:$BS$1015,AG$9+1,FALSE)</f>
        <v>NO</v>
      </c>
      <c r="AH31" s="1051" t="str">
        <f>VLOOKUP($D31,Data!$H$16:$BS$1015,AH$9+1,FALSE)</f>
        <v>NO</v>
      </c>
      <c r="AI31" s="1052" t="str">
        <f>VLOOKUP($D31,Data!$H$16:$BS$1015,AI$9+1,FALSE)</f>
        <v>NE</v>
      </c>
      <c r="AJ31" s="1051" t="str">
        <f>VLOOKUP($D31,Data!$H$16:$BS$1015,AJ$9+1,FALSE)</f>
        <v>NO</v>
      </c>
      <c r="AK31" s="1051" t="str">
        <f>VLOOKUP($D31,Data!$H$16:$BS$1015,AK$9+1,FALSE)</f>
        <v>NO</v>
      </c>
      <c r="AL31" s="1052" t="str">
        <f>VLOOKUP($D31,Data!$H$16:$BS$1015,AL$9+1,FALSE)</f>
        <v>NE</v>
      </c>
      <c r="AM31" s="1051" t="str">
        <f>VLOOKUP($D31,Data!$H$16:$BS$1015,AM$9+1,FALSE)</f>
        <v>IE</v>
      </c>
      <c r="AN31" s="1051" t="str">
        <f>VLOOKUP($D31,Data!$H$16:$BS$1015,AN$9+1,FALSE)</f>
        <v>IE</v>
      </c>
      <c r="AO31" s="1052" t="str">
        <f>VLOOKUP($D31,Data!$H$16:$BS$1015,AO$9+1,FALSE)</f>
        <v>NE</v>
      </c>
      <c r="AP31" s="1051" t="str">
        <f>VLOOKUP($D31,Data!$H$16:$BS$1015,AP$9+1,FALSE)</f>
        <v>NO</v>
      </c>
      <c r="AQ31" s="1051">
        <f>VLOOKUP($D31,Data!$H$16:$BS$1015,AQ$9+1,FALSE)</f>
        <v>93080</v>
      </c>
      <c r="AR31" s="1053" t="str">
        <f>VLOOKUP($D31,Data!$H$16:$BS$1015,AR$9+1,FALSE)</f>
        <v>NO</v>
      </c>
      <c r="AS31" s="1051" t="str">
        <f>VLOOKUP($D31,Data!$H$16:$BS$1015,AS$9+1,FALSE)</f>
        <v>NO</v>
      </c>
      <c r="AT31" s="1051" t="str">
        <f>VLOOKUP($D31,Data!$H$16:$BS$1015,AT$9+1,FALSE)</f>
        <v>NO</v>
      </c>
      <c r="AU31" s="1053" t="str">
        <f>VLOOKUP($D31,Data!$H$16:$BS$1015,AU$9+1,FALSE)</f>
        <v>NO</v>
      </c>
      <c r="AV31" s="1051" t="str">
        <f>VLOOKUP($D31,Data!$H$16:$BS$1015,AV$9+1,FALSE)</f>
        <v>NO</v>
      </c>
      <c r="AW31" s="1051" t="str">
        <f>VLOOKUP($D31,Data!$H$16:$BS$1015,AW$9+1,FALSE)</f>
        <v>NO</v>
      </c>
      <c r="AX31" s="1053" t="str">
        <f>VLOOKUP($D31,Data!$H$16:$BS$1015,AX$9+1,FALSE)</f>
        <v>NO</v>
      </c>
      <c r="AY31" s="1051">
        <f>VLOOKUP($D31,Data!$H$16:$BS$1015,AY$9+1,FALSE)</f>
        <v>17521</v>
      </c>
      <c r="AZ31" s="1051" t="str">
        <f>VLOOKUP($D31,Data!$H$16:$BS$1015,AZ$9+1,FALSE)</f>
        <v>NO</v>
      </c>
      <c r="BA31" s="1053" t="str">
        <f>VLOOKUP($D31,Data!$H$16:$BS$1015,BA$9+1,FALSE)</f>
        <v>NO</v>
      </c>
      <c r="BB31" s="1052" t="str">
        <f>VLOOKUP($D31,Data!$H$16:$BS$1015,BB$9+1,FALSE)</f>
        <v>NE</v>
      </c>
      <c r="BC31" s="1052" t="str">
        <f>VLOOKUP($D31,Data!$H$16:$BS$1015,BC$9+1,FALSE)</f>
        <v>NE</v>
      </c>
      <c r="BD31" s="1052" t="str">
        <f>VLOOKUP($D31,Data!$H$16:$BS$1015,BD$9+1,FALSE)</f>
        <v>NE</v>
      </c>
      <c r="BE31" s="1052" t="str">
        <f>VLOOKUP($D31,Data!$H$16:$BS$1015,BE$9+1,FALSE)</f>
        <v>NE</v>
      </c>
      <c r="BF31" s="1052" t="str">
        <f>VLOOKUP($D31,Data!$H$16:$BS$1015,BF$9+1,FALSE)</f>
        <v>NE</v>
      </c>
      <c r="BG31" s="1054" t="str">
        <f>VLOOKUP($D31,Data!$H$16:$BS$1015,BG$9+1,FALSE)</f>
        <v>NE</v>
      </c>
      <c r="BH31" s="1051">
        <f>VLOOKUP($D31,Data!$H$16:$BS$1015,BH$9+2,FALSE)</f>
        <v>7710270.1200708468</v>
      </c>
      <c r="BI31" s="1052">
        <f>VLOOKUP($D31,Data!$H$16:$BS$1015,BI$9+2,FALSE)</f>
        <v>7710270.1200708468</v>
      </c>
      <c r="BJ31" s="1054">
        <f>VLOOKUP($D31,Data!$H$16:$BS$1015,BJ$9+2,FALSE)</f>
        <v>7710270.1200708468</v>
      </c>
      <c r="BK31" s="1053">
        <f>VLOOKUP($D31,Data!$H$16:$BS$1015,BK$9+2,FALSE)</f>
        <v>4674620.608761562</v>
      </c>
    </row>
    <row r="32" spans="1:63" s="1039" customFormat="1" ht="15" customHeight="1">
      <c r="A32" s="1185">
        <v>21</v>
      </c>
      <c r="B32" s="1443" t="str">
        <f>Data_3!B33</f>
        <v>Quito</v>
      </c>
      <c r="C32" s="1444">
        <f>IF(B32="","",IF(VLOOKUP(B32,Data_3!$B$13:$Y$112,24,FALSE)&lt;&gt;"",2020,IF(VLOOKUP(B32,Data_3!$B$13:$Y$112,23,FALSE)&lt;&gt;"",2019,IF(VLOOKUP(B32,Data_3!$B$13:$Y$112,22,FALSE)&lt;&gt;"",2018,IF(VLOOKUP(B32,Data_3!$B$13:$Y$112,21,FALSE)&lt;&gt;"",2017,IF(VLOOKUP(B32,Data_3!$B$13:$Y$112,20,FALSE)&lt;&gt;"",2016,IF(VLOOKUP(B32,Data_3!$B$13:$Y$112,19,FALSE)&lt;&gt;"",2015,IF(VLOOKUP(B32,Data_3!$B$13:$Y$112,18,FALSE)&lt;&gt;"",2014,IF(VLOOKUP(B32,Data_3!$B$13:$Y$112,17,FALSE)&lt;&gt;"",2013,IF(VLOOKUP(B32,Data_3!$B$13:$Y$112,16,FALSE)&lt;&gt;"",2012,IF(VLOOKUP(B32,Data_3!$B$13:$Y$112,15,FALSE)&lt;&gt;"",2011,IF(VLOOKUP(B32,Data_3!$B$13:$Y$112,14,FALSE)&lt;&gt;"",2010,IF(VLOOKUP(B32,Data_3!$B$13:$Y$112,13,FALSE)&lt;&gt;"",2009,IF(VLOOKUP(B32,Data_3!$B$13:$Y$112,12,FALSE)&lt;&gt;"",2008,IF(VLOOKUP(B32,Data_3!$B$13:$Y$112,11,FALSE)&lt;&gt;"",2007,IF(VLOOKUP(B32,Data_3!$B$13:$Y$112,10,FALSE)&lt;&gt;"",2006,IF(VLOOKUP(B32,Data_3!$B$13:$Y$112,9,FALSE)&lt;&gt;"",2005,IF(VLOOKUP(B32,Data_3!$B$13:$Y$112,8,FALSE)&lt;&gt;"",2004,IF(VLOOKUP(B32,Data_3!$B$13:$Y$112,7,FALSE)&lt;&gt;"",2003,IF(VLOOKUP(B32,Data_3!$B$13:$Y$1126,FALSE)&lt;&gt;"",2002,IF(VLOOKUP(B32,Data_3!$B$13:$Y$112,5,FALSE)&lt;&gt;"",2001,IF(VLOOKUP(B32,Data_3!$B$13:$Y$112,4,FALSE)&lt;&gt;"",2000,"N/A"))))))))))))))))))))))</f>
        <v>2011</v>
      </c>
      <c r="D32" s="1456" t="str">
        <f t="shared" si="0"/>
        <v>Quito_2011</v>
      </c>
      <c r="E32" s="1444" t="str">
        <f>VLOOKUP($D32,Data!$H$16:$BS$1015,2,FALSE)</f>
        <v>BASIC</v>
      </c>
      <c r="F32" s="1051">
        <f>VLOOKUP($D32,Data!$H$16:$BS$1015,F$9+1,FALSE)</f>
        <v>562852.16181189939</v>
      </c>
      <c r="G32" s="1051">
        <f>VLOOKUP($D32,Data!$H$16:$BS$1015,G$9+1,FALSE)</f>
        <v>233107.36994991699</v>
      </c>
      <c r="H32" s="1052" t="str">
        <f>VLOOKUP($D32,Data!$H$16:$BS$1015,H$9+1,FALSE)</f>
        <v>NE</v>
      </c>
      <c r="I32" s="1051" t="str">
        <f>VLOOKUP($D32,Data!$H$16:$BS$1015,I$9+1,FALSE)</f>
        <v>IE</v>
      </c>
      <c r="J32" s="1051">
        <f>VLOOKUP($D32,Data!$H$16:$BS$1015,J$9+1,FALSE)</f>
        <v>223380.30216740433</v>
      </c>
      <c r="K32" s="1052" t="str">
        <f>VLOOKUP($D32,Data!$H$16:$BS$1015,K$9+1,FALSE)</f>
        <v>NE</v>
      </c>
      <c r="L32" s="1051">
        <f>VLOOKUP($D32,Data!$H$16:$BS$1015,L$9+1,FALSE)</f>
        <v>462586.51644866139</v>
      </c>
      <c r="M32" s="1051">
        <f>VLOOKUP($D32,Data!$H$16:$BS$1015,M$9+1,FALSE)</f>
        <v>122779.58299214127</v>
      </c>
      <c r="N32" s="1052" t="str">
        <f>VLOOKUP($D32,Data!$H$16:$BS$1015,N$9+1,FALSE)</f>
        <v>NE</v>
      </c>
      <c r="O32" s="1051" t="str">
        <f>VLOOKUP($D32,Data!$H$16:$BS$1015,O$9+1,FALSE)</f>
        <v>IE</v>
      </c>
      <c r="P32" s="1051" t="str">
        <f>VLOOKUP($D32,Data!$H$16:$BS$1015,P$9+1,FALSE)</f>
        <v>IE</v>
      </c>
      <c r="Q32" s="1052" t="str">
        <f>VLOOKUP($D32,Data!$H$16:$BS$1015,Q$9+1,FALSE)</f>
        <v>NE</v>
      </c>
      <c r="R32" s="1053">
        <f>VLOOKUP($D32,Data!$H$16:$BS$1015,R$9+1,FALSE)</f>
        <v>15031.373537308731</v>
      </c>
      <c r="S32" s="1051" t="str">
        <f>VLOOKUP($D32,Data!$H$16:$BS$1015,S$9+1,FALSE)</f>
        <v>NO</v>
      </c>
      <c r="T32" s="1051" t="str">
        <f>VLOOKUP($D32,Data!$H$16:$BS$1015,T$9+1,FALSE)</f>
        <v>NO</v>
      </c>
      <c r="U32" s="1052" t="str">
        <f>VLOOKUP($D32,Data!$H$16:$BS$1015,U$9+1,FALSE)</f>
        <v>NO</v>
      </c>
      <c r="V32" s="1051" t="str">
        <f>VLOOKUP($D32,Data!$H$16:$BS$1015,V$9+1,FALSE)</f>
        <v>NO</v>
      </c>
      <c r="W32" s="1051" t="str">
        <f>VLOOKUP($D32,Data!$H$16:$BS$1015,W$9+1,FALSE)</f>
        <v>NO</v>
      </c>
      <c r="X32" s="1052" t="str">
        <f>VLOOKUP($D32,Data!$H$16:$BS$1015,X$9+1,FALSE)</f>
        <v>NE</v>
      </c>
      <c r="Y32" s="1051" t="str">
        <f>VLOOKUP($D32,Data!$H$16:$BS$1015,Y$9+1,FALSE)</f>
        <v>NO</v>
      </c>
      <c r="Z32" s="1051" t="str">
        <f>VLOOKUP($D32,Data!$H$16:$BS$1015,Z$9+1,FALSE)</f>
        <v>NO</v>
      </c>
      <c r="AA32" s="1051">
        <f>VLOOKUP($D32,Data!$H$16:$BS$1015,AA$9+1,FALSE)</f>
        <v>2901933.6822477826</v>
      </c>
      <c r="AB32" s="1051">
        <f>VLOOKUP($D32,Data!$H$16:$BS$1015,AB$9+1,FALSE)</f>
        <v>471.37279695396001</v>
      </c>
      <c r="AC32" s="1052" t="str">
        <f>VLOOKUP($D32,Data!$H$16:$BS$1015,AC$9+1,FALSE)</f>
        <v>NE</v>
      </c>
      <c r="AD32" s="1051" t="str">
        <f>VLOOKUP($D32,Data!$H$16:$BS$1015,AD$9+1,FALSE)</f>
        <v>NO</v>
      </c>
      <c r="AE32" s="1051" t="str">
        <f>VLOOKUP($D32,Data!$H$16:$BS$1015,AE$9+1,FALSE)</f>
        <v>NO</v>
      </c>
      <c r="AF32" s="1052" t="str">
        <f>VLOOKUP($D32,Data!$H$16:$BS$1015,AF$9+1,FALSE)</f>
        <v>NE</v>
      </c>
      <c r="AG32" s="1051" t="str">
        <f>VLOOKUP($D32,Data!$H$16:$BS$1015,AG$9+1,FALSE)</f>
        <v>NO</v>
      </c>
      <c r="AH32" s="1051" t="str">
        <f>VLOOKUP($D32,Data!$H$16:$BS$1015,AH$9+1,FALSE)</f>
        <v>NO</v>
      </c>
      <c r="AI32" s="1052" t="str">
        <f>VLOOKUP($D32,Data!$H$16:$BS$1015,AI$9+1,FALSE)</f>
        <v>NO</v>
      </c>
      <c r="AJ32" s="1051" t="str">
        <f>VLOOKUP($D32,Data!$H$16:$BS$1015,AJ$9+1,FALSE)</f>
        <v>NO</v>
      </c>
      <c r="AK32" s="1051" t="str">
        <f>VLOOKUP($D32,Data!$H$16:$BS$1015,AK$9+1,FALSE)</f>
        <v>NO</v>
      </c>
      <c r="AL32" s="1052" t="str">
        <f>VLOOKUP($D32,Data!$H$16:$BS$1015,AL$9+1,FALSE)</f>
        <v>NE</v>
      </c>
      <c r="AM32" s="1051" t="str">
        <f>VLOOKUP($D32,Data!$H$16:$BS$1015,AM$9+1,FALSE)</f>
        <v>IE</v>
      </c>
      <c r="AN32" s="1051" t="str">
        <f>VLOOKUP($D32,Data!$H$16:$BS$1015,AN$9+1,FALSE)</f>
        <v>NO</v>
      </c>
      <c r="AO32" s="1052" t="str">
        <f>VLOOKUP($D32,Data!$H$16:$BS$1015,AO$9+1,FALSE)</f>
        <v>NO</v>
      </c>
      <c r="AP32" s="1051">
        <f>VLOOKUP($D32,Data!$H$16:$BS$1015,AP$9+1,FALSE)</f>
        <v>659092.478</v>
      </c>
      <c r="AQ32" s="1051" t="str">
        <f>VLOOKUP($D32,Data!$H$16:$BS$1015,AQ$9+1,FALSE)</f>
        <v>NO</v>
      </c>
      <c r="AR32" s="1053" t="str">
        <f>VLOOKUP($D32,Data!$H$16:$BS$1015,AR$9+1,FALSE)</f>
        <v>NO</v>
      </c>
      <c r="AS32" s="1051" t="str">
        <f>VLOOKUP($D32,Data!$H$16:$BS$1015,AS$9+1,FALSE)</f>
        <v>NO</v>
      </c>
      <c r="AT32" s="1051" t="str">
        <f>VLOOKUP($D32,Data!$H$16:$BS$1015,AT$9+1,FALSE)</f>
        <v>NO</v>
      </c>
      <c r="AU32" s="1053" t="str">
        <f>VLOOKUP($D32,Data!$H$16:$BS$1015,AU$9+1,FALSE)</f>
        <v>NO</v>
      </c>
      <c r="AV32" s="1051">
        <f>VLOOKUP($D32,Data!$H$16:$BS$1015,AV$9+1,FALSE)</f>
        <v>2596.4758839599999</v>
      </c>
      <c r="AW32" s="1051" t="str">
        <f>VLOOKUP($D32,Data!$H$16:$BS$1015,AW$9+1,FALSE)</f>
        <v>NO</v>
      </c>
      <c r="AX32" s="1053" t="str">
        <f>VLOOKUP($D32,Data!$H$16:$BS$1015,AX$9+1,FALSE)</f>
        <v>NO</v>
      </c>
      <c r="AY32" s="1051">
        <f>VLOOKUP($D32,Data!$H$16:$BS$1015,AY$9+1,FALSE)</f>
        <v>0</v>
      </c>
      <c r="AZ32" s="1051" t="str">
        <f>VLOOKUP($D32,Data!$H$16:$BS$1015,AZ$9+1,FALSE)</f>
        <v>NO</v>
      </c>
      <c r="BA32" s="1053" t="str">
        <f>VLOOKUP($D32,Data!$H$16:$BS$1015,BA$9+1,FALSE)</f>
        <v>NO</v>
      </c>
      <c r="BB32" s="1052" t="str">
        <f>VLOOKUP($D32,Data!$H$16:$BS$1015,BB$9+1,FALSE)</f>
        <v>NE</v>
      </c>
      <c r="BC32" s="1052" t="str">
        <f>VLOOKUP($D32,Data!$H$16:$BS$1015,BC$9+1,FALSE)</f>
        <v>NE</v>
      </c>
      <c r="BD32" s="1052" t="str">
        <f>VLOOKUP($D32,Data!$H$16:$BS$1015,BD$9+1,FALSE)</f>
        <v>NE</v>
      </c>
      <c r="BE32" s="1052" t="str">
        <f>VLOOKUP($D32,Data!$H$16:$BS$1015,BE$9+1,FALSE)</f>
        <v>NE</v>
      </c>
      <c r="BF32" s="1052" t="str">
        <f>VLOOKUP($D32,Data!$H$16:$BS$1015,BF$9+1,FALSE)</f>
        <v>NE</v>
      </c>
      <c r="BG32" s="1054" t="str">
        <f>VLOOKUP($D32,Data!$H$16:$BS$1015,BG$9+1,FALSE)</f>
        <v>NE</v>
      </c>
      <c r="BH32" s="1051">
        <f>VLOOKUP($D32,Data!$H$16:$BS$1015,BH$9+2,FALSE)</f>
        <v>5168799.9422987206</v>
      </c>
      <c r="BI32" s="1052">
        <f>VLOOKUP($D32,Data!$H$16:$BS$1015,BI$9+2,FALSE)</f>
        <v>5168799.9422987206</v>
      </c>
      <c r="BJ32" s="1054">
        <f>VLOOKUP($D32,Data!$H$16:$BS$1015,BJ$9+2,FALSE)</f>
        <v>5168799.9422987206</v>
      </c>
      <c r="BK32" s="1053">
        <f>VLOOKUP($D32,Data!$H$16:$BS$1015,BK$9+2,FALSE)</f>
        <v>4604092.6879296126</v>
      </c>
    </row>
    <row r="33" spans="1:63" s="1121" customFormat="1" ht="15" customHeight="1">
      <c r="A33" s="1185">
        <v>22</v>
      </c>
      <c r="B33" s="1443" t="str">
        <f>Data_3!B34</f>
        <v>Rio de Janeiro</v>
      </c>
      <c r="C33" s="1444">
        <f>IF(B33="","",IF(VLOOKUP(B33,Data_3!$B$13:$Y$112,24,FALSE)&lt;&gt;"",2020,IF(VLOOKUP(B33,Data_3!$B$13:$Y$112,23,FALSE)&lt;&gt;"",2019,IF(VLOOKUP(B33,Data_3!$B$13:$Y$112,22,FALSE)&lt;&gt;"",2018,IF(VLOOKUP(B33,Data_3!$B$13:$Y$112,21,FALSE)&lt;&gt;"",2017,IF(VLOOKUP(B33,Data_3!$B$13:$Y$112,20,FALSE)&lt;&gt;"",2016,IF(VLOOKUP(B33,Data_3!$B$13:$Y$112,19,FALSE)&lt;&gt;"",2015,IF(VLOOKUP(B33,Data_3!$B$13:$Y$112,18,FALSE)&lt;&gt;"",2014,IF(VLOOKUP(B33,Data_3!$B$13:$Y$112,17,FALSE)&lt;&gt;"",2013,IF(VLOOKUP(B33,Data_3!$B$13:$Y$112,16,FALSE)&lt;&gt;"",2012,IF(VLOOKUP(B33,Data_3!$B$13:$Y$112,15,FALSE)&lt;&gt;"",2011,IF(VLOOKUP(B33,Data_3!$B$13:$Y$112,14,FALSE)&lt;&gt;"",2010,IF(VLOOKUP(B33,Data_3!$B$13:$Y$112,13,FALSE)&lt;&gt;"",2009,IF(VLOOKUP(B33,Data_3!$B$13:$Y$112,12,FALSE)&lt;&gt;"",2008,IF(VLOOKUP(B33,Data_3!$B$13:$Y$112,11,FALSE)&lt;&gt;"",2007,IF(VLOOKUP(B33,Data_3!$B$13:$Y$112,10,FALSE)&lt;&gt;"",2006,IF(VLOOKUP(B33,Data_3!$B$13:$Y$112,9,FALSE)&lt;&gt;"",2005,IF(VLOOKUP(B33,Data_3!$B$13:$Y$112,8,FALSE)&lt;&gt;"",2004,IF(VLOOKUP(B33,Data_3!$B$13:$Y$112,7,FALSE)&lt;&gt;"",2003,IF(VLOOKUP(B33,Data_3!$B$13:$Y$1126,FALSE)&lt;&gt;"",2002,IF(VLOOKUP(B33,Data_3!$B$13:$Y$112,5,FALSE)&lt;&gt;"",2001,IF(VLOOKUP(B33,Data_3!$B$13:$Y$112,4,FALSE)&lt;&gt;"",2000,"N/A"))))))))))))))))))))))</f>
        <v>2012</v>
      </c>
      <c r="D33" s="1456" t="str">
        <f t="shared" si="0"/>
        <v>Rio de Janeiro_2012</v>
      </c>
      <c r="E33" s="1444" t="str">
        <f>VLOOKUP($D33,Data!$H$16:$BS$1015,2,FALSE)</f>
        <v>BASIC</v>
      </c>
      <c r="F33" s="1051">
        <f>VLOOKUP($D33,Data!$H$16:$BS$1015,F$9+1,FALSE)</f>
        <v>619474.94239871937</v>
      </c>
      <c r="G33" s="1051">
        <f>VLOOKUP($D33,Data!$H$16:$BS$1015,G$9+1,FALSE)</f>
        <v>1364648.2412052159</v>
      </c>
      <c r="H33" s="1052" t="str">
        <f>VLOOKUP($D33,Data!$H$16:$BS$1015,H$9+1,FALSE)</f>
        <v>NE</v>
      </c>
      <c r="I33" s="1051">
        <f>VLOOKUP($D33,Data!$H$16:$BS$1015,I$9+1,FALSE)</f>
        <v>120117.16649917484</v>
      </c>
      <c r="J33" s="1051">
        <f>VLOOKUP($D33,Data!$H$16:$BS$1015,J$9+1,FALSE)</f>
        <v>2024690.3877564943</v>
      </c>
      <c r="K33" s="1052" t="str">
        <f>VLOOKUP($D33,Data!$H$16:$BS$1015,K$9+1,FALSE)</f>
        <v>NE</v>
      </c>
      <c r="L33" s="1051">
        <f>VLOOKUP($D33,Data!$H$16:$BS$1015,L$9+1,FALSE)</f>
        <v>909588.59580063471</v>
      </c>
      <c r="M33" s="1051">
        <f>VLOOKUP($D33,Data!$H$16:$BS$1015,M$9+1,FALSE)</f>
        <v>601627.26418700593</v>
      </c>
      <c r="N33" s="1052" t="str">
        <f>VLOOKUP($D33,Data!$H$16:$BS$1015,N$9+1,FALSE)</f>
        <v>NE</v>
      </c>
      <c r="O33" s="1051">
        <f>VLOOKUP($D33,Data!$H$16:$BS$1015,O$9+1,FALSE)</f>
        <v>1353546.5242982078</v>
      </c>
      <c r="P33" s="1051" t="str">
        <f>VLOOKUP($D33,Data!$H$16:$BS$1015,P$9+1,FALSE)</f>
        <v>NO</v>
      </c>
      <c r="Q33" s="1052" t="str">
        <f>VLOOKUP($D33,Data!$H$16:$BS$1015,Q$9+1,FALSE)</f>
        <v>NE</v>
      </c>
      <c r="R33" s="1053">
        <f>VLOOKUP($D33,Data!$H$16:$BS$1015,R$9+1,FALSE)</f>
        <v>3251638.0102933897</v>
      </c>
      <c r="S33" s="1051">
        <f>VLOOKUP($D33,Data!$H$16:$BS$1015,S$9+1,FALSE)</f>
        <v>62.053308308700011</v>
      </c>
      <c r="T33" s="1051">
        <f>VLOOKUP($D33,Data!$H$16:$BS$1015,T$9+1,FALSE)</f>
        <v>601.32194827916567</v>
      </c>
      <c r="U33" s="1052" t="str">
        <f>VLOOKUP($D33,Data!$H$16:$BS$1015,U$9+1,FALSE)</f>
        <v>NE</v>
      </c>
      <c r="V33" s="1051">
        <f>VLOOKUP($D33,Data!$H$16:$BS$1015,V$9+1,FALSE)</f>
        <v>29300.692913167924</v>
      </c>
      <c r="W33" s="1051">
        <f>VLOOKUP($D33,Data!$H$16:$BS$1015,W$9+1,FALSE)</f>
        <v>17850.596525771925</v>
      </c>
      <c r="X33" s="1052">
        <f>VLOOKUP($D33,Data!$H$16:$BS$1015,X$9+1,FALSE)</f>
        <v>1495373.8418812777</v>
      </c>
      <c r="Y33" s="1051">
        <f>VLOOKUP($D33,Data!$H$16:$BS$1015,Y$9+1,FALSE)</f>
        <v>921414</v>
      </c>
      <c r="Z33" s="1051">
        <f>VLOOKUP($D33,Data!$H$16:$BS$1015,Z$9+1,FALSE)</f>
        <v>121122.44316930753</v>
      </c>
      <c r="AA33" s="1051">
        <f>VLOOKUP($D33,Data!$H$16:$BS$1015,AA$9+1,FALSE)</f>
        <v>5336331.6780053079</v>
      </c>
      <c r="AB33" s="1051" t="str">
        <f>VLOOKUP($D33,Data!$H$16:$BS$1015,AB$9+1,FALSE)</f>
        <v>NO</v>
      </c>
      <c r="AC33" s="1052" t="str">
        <f>VLOOKUP($D33,Data!$H$16:$BS$1015,AC$9+1,FALSE)</f>
        <v>NE</v>
      </c>
      <c r="AD33" s="1051">
        <f>VLOOKUP($D33,Data!$H$16:$BS$1015,AD$9+1,FALSE)</f>
        <v>3699.7513027709656</v>
      </c>
      <c r="AE33" s="1051">
        <f>VLOOKUP($D33,Data!$H$16:$BS$1015,AE$9+1,FALSE)</f>
        <v>87093.65962275854</v>
      </c>
      <c r="AF33" s="1052" t="str">
        <f>VLOOKUP($D33,Data!$H$16:$BS$1015,AF$9+1,FALSE)</f>
        <v>NE</v>
      </c>
      <c r="AG33" s="1051">
        <f>VLOOKUP($D33,Data!$H$16:$BS$1015,AG$9+1,FALSE)</f>
        <v>9935.8456347251777</v>
      </c>
      <c r="AH33" s="1051" t="str">
        <f>VLOOKUP($D33,Data!$H$16:$BS$1015,AH$9+1,FALSE)</f>
        <v>NO</v>
      </c>
      <c r="AI33" s="1052" t="str">
        <f>VLOOKUP($D33,Data!$H$16:$BS$1015,AI$9+1,FALSE)</f>
        <v>NE</v>
      </c>
      <c r="AJ33" s="1051" t="str">
        <f>VLOOKUP($D33,Data!$H$16:$BS$1015,AJ$9+1,FALSE)</f>
        <v>IE</v>
      </c>
      <c r="AK33" s="1051" t="str">
        <f>VLOOKUP($D33,Data!$H$16:$BS$1015,AK$9+1,FALSE)</f>
        <v>NO</v>
      </c>
      <c r="AL33" s="1052">
        <f>VLOOKUP($D33,Data!$H$16:$BS$1015,AL$9+1,FALSE)</f>
        <v>1665804.7248953958</v>
      </c>
      <c r="AM33" s="1051" t="str">
        <f>VLOOKUP($D33,Data!$H$16:$BS$1015,AM$9+1,FALSE)</f>
        <v>IE</v>
      </c>
      <c r="AN33" s="1051" t="str">
        <f>VLOOKUP($D33,Data!$H$16:$BS$1015,AN$9+1,FALSE)</f>
        <v>NO</v>
      </c>
      <c r="AO33" s="1052" t="str">
        <f>VLOOKUP($D33,Data!$H$16:$BS$1015,AO$9+1,FALSE)</f>
        <v>NE</v>
      </c>
      <c r="AP33" s="1051">
        <f>VLOOKUP($D33,Data!$H$16:$BS$1015,AP$9+1,FALSE)</f>
        <v>462950.67</v>
      </c>
      <c r="AQ33" s="1051">
        <f>VLOOKUP($D33,Data!$H$16:$BS$1015,AQ$9+1,FALSE)</f>
        <v>1247412.4647619047</v>
      </c>
      <c r="AR33" s="1053" t="str">
        <f>VLOOKUP($D33,Data!$H$16:$BS$1015,AR$9+1,FALSE)</f>
        <v>NO</v>
      </c>
      <c r="AS33" s="1051">
        <f>VLOOKUP($D33,Data!$H$16:$BS$1015,AS$9+1,FALSE)</f>
        <v>731.53</v>
      </c>
      <c r="AT33" s="1051" t="str">
        <f>VLOOKUP($D33,Data!$H$16:$BS$1015,AT$9+1,FALSE)</f>
        <v>NO</v>
      </c>
      <c r="AU33" s="1053" t="str">
        <f>VLOOKUP($D33,Data!$H$16:$BS$1015,AU$9+1,FALSE)</f>
        <v>NO</v>
      </c>
      <c r="AV33" s="1051">
        <f>VLOOKUP($D33,Data!$H$16:$BS$1015,AV$9+1,FALSE)</f>
        <v>449.87899999999996</v>
      </c>
      <c r="AW33" s="1051" t="str">
        <f>VLOOKUP($D33,Data!$H$16:$BS$1015,AW$9+1,FALSE)</f>
        <v>NO</v>
      </c>
      <c r="AX33" s="1053" t="str">
        <f>VLOOKUP($D33,Data!$H$16:$BS$1015,AX$9+1,FALSE)</f>
        <v>NO</v>
      </c>
      <c r="AY33" s="1051">
        <f>VLOOKUP($D33,Data!$H$16:$BS$1015,AY$9+1,FALSE)</f>
        <v>624256.30000000005</v>
      </c>
      <c r="AZ33" s="1051" t="str">
        <f>VLOOKUP($D33,Data!$H$16:$BS$1015,AZ$9+1,FALSE)</f>
        <v>NO</v>
      </c>
      <c r="BA33" s="1053" t="str">
        <f>VLOOKUP($D33,Data!$H$16:$BS$1015,BA$9+1,FALSE)</f>
        <v>NO</v>
      </c>
      <c r="BB33" s="1052">
        <f>VLOOKUP($D33,Data!$H$16:$BS$1015,BB$9+1,FALSE)</f>
        <v>2304249.9363226704</v>
      </c>
      <c r="BC33" s="1052">
        <f>VLOOKUP($D33,Data!$H$16:$BS$1015,BC$9+1,FALSE)</f>
        <v>94078.038122067665</v>
      </c>
      <c r="BD33" s="1052">
        <f>VLOOKUP($D33,Data!$H$16:$BS$1015,BD$9+1,FALSE)</f>
        <v>14423.946378742858</v>
      </c>
      <c r="BE33" s="1052">
        <f>VLOOKUP($D33,Data!$H$16:$BS$1015,BE$9+1,FALSE)</f>
        <v>-11639.27708005071</v>
      </c>
      <c r="BF33" s="1052">
        <f>VLOOKUP($D33,Data!$H$16:$BS$1015,BF$9+1,FALSE)</f>
        <v>5801.7343736654757</v>
      </c>
      <c r="BG33" s="1054">
        <f>VLOOKUP($D33,Data!$H$16:$BS$1015,BG$9+1,FALSE)</f>
        <v>1028166.6173436131</v>
      </c>
      <c r="BH33" s="1051">
        <f>VLOOKUP($D33,Data!$H$16:$BS$1015,BH$9+2,FALSE)</f>
        <v>15856906.008337755</v>
      </c>
      <c r="BI33" s="1052">
        <f>VLOOKUP($D33,Data!$H$16:$BS$1015,BI$9+2,FALSE)</f>
        <v>21424998.953231525</v>
      </c>
      <c r="BJ33" s="1054">
        <f>VLOOKUP($D33,Data!$H$16:$BS$1015,BJ$9+2,FALSE)</f>
        <v>22453165.570575137</v>
      </c>
      <c r="BK33" s="1053">
        <f>VLOOKUP($D33,Data!$H$16:$BS$1015,BK$9+2,FALSE)</f>
        <v>16171534.460740812</v>
      </c>
    </row>
    <row r="34" spans="1:63" s="1121" customFormat="1" ht="15" customHeight="1">
      <c r="A34" s="1185">
        <v>23</v>
      </c>
      <c r="B34" s="1443" t="str">
        <f>Data_3!B35</f>
        <v>San Francisco</v>
      </c>
      <c r="C34" s="1444">
        <f>IF(B34="","",IF(VLOOKUP(B34,Data_3!$B$13:$Y$112,24,FALSE)&lt;&gt;"",2020,IF(VLOOKUP(B34,Data_3!$B$13:$Y$112,23,FALSE)&lt;&gt;"",2019,IF(VLOOKUP(B34,Data_3!$B$13:$Y$112,22,FALSE)&lt;&gt;"",2018,IF(VLOOKUP(B34,Data_3!$B$13:$Y$112,21,FALSE)&lt;&gt;"",2017,IF(VLOOKUP(B34,Data_3!$B$13:$Y$112,20,FALSE)&lt;&gt;"",2016,IF(VLOOKUP(B34,Data_3!$B$13:$Y$112,19,FALSE)&lt;&gt;"",2015,IF(VLOOKUP(B34,Data_3!$B$13:$Y$112,18,FALSE)&lt;&gt;"",2014,IF(VLOOKUP(B34,Data_3!$B$13:$Y$112,17,FALSE)&lt;&gt;"",2013,IF(VLOOKUP(B34,Data_3!$B$13:$Y$112,16,FALSE)&lt;&gt;"",2012,IF(VLOOKUP(B34,Data_3!$B$13:$Y$112,15,FALSE)&lt;&gt;"",2011,IF(VLOOKUP(B34,Data_3!$B$13:$Y$112,14,FALSE)&lt;&gt;"",2010,IF(VLOOKUP(B34,Data_3!$B$13:$Y$112,13,FALSE)&lt;&gt;"",2009,IF(VLOOKUP(B34,Data_3!$B$13:$Y$112,12,FALSE)&lt;&gt;"",2008,IF(VLOOKUP(B34,Data_3!$B$13:$Y$112,11,FALSE)&lt;&gt;"",2007,IF(VLOOKUP(B34,Data_3!$B$13:$Y$112,10,FALSE)&lt;&gt;"",2006,IF(VLOOKUP(B34,Data_3!$B$13:$Y$112,9,FALSE)&lt;&gt;"",2005,IF(VLOOKUP(B34,Data_3!$B$13:$Y$112,8,FALSE)&lt;&gt;"",2004,IF(VLOOKUP(B34,Data_3!$B$13:$Y$112,7,FALSE)&lt;&gt;"",2003,IF(VLOOKUP(B34,Data_3!$B$13:$Y$1126,FALSE)&lt;&gt;"",2002,IF(VLOOKUP(B34,Data_3!$B$13:$Y$112,5,FALSE)&lt;&gt;"",2001,IF(VLOOKUP(B34,Data_3!$B$13:$Y$112,4,FALSE)&lt;&gt;"",2000,"N/A"))))))))))))))))))))))</f>
        <v>2012</v>
      </c>
      <c r="D34" s="1456" t="str">
        <f t="shared" si="0"/>
        <v>San Francisco_2012</v>
      </c>
      <c r="E34" s="1444" t="str">
        <f>VLOOKUP($D34,Data!$H$16:$BS$1015,2,FALSE)</f>
        <v>BASIC</v>
      </c>
      <c r="F34" s="1051">
        <f>VLOOKUP($D34,Data!$H$16:$BS$1015,F$9+1,FALSE)</f>
        <v>767434.603626</v>
      </c>
      <c r="G34" s="1051">
        <f>VLOOKUP($D34,Data!$H$16:$BS$1015,G$9+1,FALSE)</f>
        <v>283079.60335203569</v>
      </c>
      <c r="H34" s="1052">
        <f>VLOOKUP($D34,Data!$H$16:$BS$1015,H$9+1,FALSE)</f>
        <v>26539.097051081186</v>
      </c>
      <c r="I34" s="1051">
        <f>VLOOKUP($D34,Data!$H$16:$BS$1015,I$9+1,FALSE)</f>
        <v>684387.22342888103</v>
      </c>
      <c r="J34" s="1051">
        <f>VLOOKUP($D34,Data!$H$16:$BS$1015,J$9+1,FALSE)</f>
        <v>791168.20160823897</v>
      </c>
      <c r="K34" s="1052">
        <f>VLOOKUP($D34,Data!$H$16:$BS$1015,K$9+1,FALSE)</f>
        <v>64480.793143729476</v>
      </c>
      <c r="L34" s="1051" t="str">
        <f>VLOOKUP($D34,Data!$H$16:$BS$1015,L$9+1,FALSE)</f>
        <v>IE</v>
      </c>
      <c r="M34" s="1051" t="str">
        <f>VLOOKUP($D34,Data!$H$16:$BS$1015,M$9+1,FALSE)</f>
        <v>IE</v>
      </c>
      <c r="N34" s="1052" t="str">
        <f>VLOOKUP($D34,Data!$H$16:$BS$1015,N$9+1,FALSE)</f>
        <v>IE</v>
      </c>
      <c r="O34" s="1051">
        <f>VLOOKUP($D34,Data!$H$16:$BS$1015,O$9+1,FALSE)</f>
        <v>70.5</v>
      </c>
      <c r="P34" s="1051" t="str">
        <f>VLOOKUP($D34,Data!$H$16:$BS$1015,P$9+1,FALSE)</f>
        <v>NO</v>
      </c>
      <c r="Q34" s="1052" t="str">
        <f>VLOOKUP($D34,Data!$H$16:$BS$1015,Q$9+1,FALSE)</f>
        <v>NO</v>
      </c>
      <c r="R34" s="1053">
        <f>VLOOKUP($D34,Data!$H$16:$BS$1015,R$9+1,FALSE)</f>
        <v>64223.613422818788</v>
      </c>
      <c r="S34" s="1051">
        <f>VLOOKUP($D34,Data!$H$16:$BS$1015,S$9+1,FALSE)</f>
        <v>109</v>
      </c>
      <c r="T34" s="1051" t="str">
        <f>VLOOKUP($D34,Data!$H$16:$BS$1015,T$9+1,FALSE)</f>
        <v>NO</v>
      </c>
      <c r="U34" s="1052" t="str">
        <f>VLOOKUP($D34,Data!$H$16:$BS$1015,U$9+1,FALSE)</f>
        <v>NO</v>
      </c>
      <c r="V34" s="1051">
        <f>VLOOKUP($D34,Data!$H$16:$BS$1015,V$9+1,FALSE)</f>
        <v>169081</v>
      </c>
      <c r="W34" s="1051" t="str">
        <f>VLOOKUP($D34,Data!$H$16:$BS$1015,W$9+1,FALSE)</f>
        <v>NO</v>
      </c>
      <c r="X34" s="1052" t="str">
        <f>VLOOKUP($D34,Data!$H$16:$BS$1015,X$9+1,FALSE)</f>
        <v>NO</v>
      </c>
      <c r="Y34" s="1051">
        <f>VLOOKUP($D34,Data!$H$16:$BS$1015,Y$9+1,FALSE)</f>
        <v>0</v>
      </c>
      <c r="Z34" s="1051">
        <f>VLOOKUP($D34,Data!$H$16:$BS$1015,Z$9+1,FALSE)</f>
        <v>13279.46497460359</v>
      </c>
      <c r="AA34" s="1051">
        <f>VLOOKUP($D34,Data!$H$16:$BS$1015,AA$9+1,FALSE)</f>
        <v>1970894.4880138319</v>
      </c>
      <c r="AB34" s="1051" t="str">
        <f>VLOOKUP($D34,Data!$H$16:$BS$1015,AB$9+1,FALSE)</f>
        <v>IE</v>
      </c>
      <c r="AC34" s="1052" t="str">
        <f>VLOOKUP($D34,Data!$H$16:$BS$1015,AC$9+1,FALSE)</f>
        <v>IE</v>
      </c>
      <c r="AD34" s="1051">
        <f>VLOOKUP($D34,Data!$H$16:$BS$1015,AD$9+1,FALSE)</f>
        <v>11521.719372400403</v>
      </c>
      <c r="AE34" s="1051">
        <f>VLOOKUP($D34,Data!$H$16:$BS$1015,AE$9+1,FALSE)</f>
        <v>57103.92393852731</v>
      </c>
      <c r="AF34" s="1052" t="str">
        <f>VLOOKUP($D34,Data!$H$16:$BS$1015,AF$9+1,FALSE)</f>
        <v>NE</v>
      </c>
      <c r="AG34" s="1051">
        <f>VLOOKUP($D34,Data!$H$16:$BS$1015,AG$9+1,FALSE)</f>
        <v>554661</v>
      </c>
      <c r="AH34" s="1051" t="str">
        <f>VLOOKUP($D34,Data!$H$16:$BS$1015,AH$9+1,FALSE)</f>
        <v>NO</v>
      </c>
      <c r="AI34" s="1052" t="str">
        <f>VLOOKUP($D34,Data!$H$16:$BS$1015,AI$9+1,FALSE)</f>
        <v>NE</v>
      </c>
      <c r="AJ34" s="1051" t="str">
        <f>VLOOKUP($D34,Data!$H$16:$BS$1015,AJ$9+1,FALSE)</f>
        <v>NO</v>
      </c>
      <c r="AK34" s="1051" t="str">
        <f>VLOOKUP($D34,Data!$H$16:$BS$1015,AK$9+1,FALSE)</f>
        <v>NO</v>
      </c>
      <c r="AL34" s="1052" t="str">
        <f>VLOOKUP($D34,Data!$H$16:$BS$1015,AL$9+1,FALSE)</f>
        <v>NE</v>
      </c>
      <c r="AM34" s="1051" t="str">
        <f>VLOOKUP($D34,Data!$H$16:$BS$1015,AM$9+1,FALSE)</f>
        <v>NO</v>
      </c>
      <c r="AN34" s="1051" t="str">
        <f>VLOOKUP($D34,Data!$H$16:$BS$1015,AN$9+1,FALSE)</f>
        <v>NO</v>
      </c>
      <c r="AO34" s="1052" t="str">
        <f>VLOOKUP($D34,Data!$H$16:$BS$1015,AO$9+1,FALSE)</f>
        <v>NE</v>
      </c>
      <c r="AP34" s="1051" t="str">
        <f>VLOOKUP($D34,Data!$H$16:$BS$1015,AP$9+1,FALSE)</f>
        <v>NO</v>
      </c>
      <c r="AQ34" s="1051">
        <f>VLOOKUP($D34,Data!$H$16:$BS$1015,AQ$9+1,FALSE)</f>
        <v>180397.52506944002</v>
      </c>
      <c r="AR34" s="1053" t="str">
        <f>VLOOKUP($D34,Data!$H$16:$BS$1015,AR$9+1,FALSE)</f>
        <v>NO</v>
      </c>
      <c r="AS34" s="1051" t="str">
        <f>VLOOKUP($D34,Data!$H$16:$BS$1015,AS$9+1,FALSE)</f>
        <v>NO</v>
      </c>
      <c r="AT34" s="1051" t="str">
        <f>VLOOKUP($D34,Data!$H$16:$BS$1015,AT$9+1,FALSE)</f>
        <v>NO</v>
      </c>
      <c r="AU34" s="1053" t="str">
        <f>VLOOKUP($D34,Data!$H$16:$BS$1015,AU$9+1,FALSE)</f>
        <v>NO</v>
      </c>
      <c r="AV34" s="1051" t="str">
        <f>VLOOKUP($D34,Data!$H$16:$BS$1015,AV$9+1,FALSE)</f>
        <v>NO</v>
      </c>
      <c r="AW34" s="1051" t="str">
        <f>VLOOKUP($D34,Data!$H$16:$BS$1015,AW$9+1,FALSE)</f>
        <v>NO</v>
      </c>
      <c r="AX34" s="1053" t="str">
        <f>VLOOKUP($D34,Data!$H$16:$BS$1015,AX$9+1,FALSE)</f>
        <v>NO</v>
      </c>
      <c r="AY34" s="1051">
        <f>VLOOKUP($D34,Data!$H$16:$BS$1015,AY$9+1,FALSE)</f>
        <v>9324.9940362863308</v>
      </c>
      <c r="AZ34" s="1051" t="str">
        <f>VLOOKUP($D34,Data!$H$16:$BS$1015,AZ$9+1,FALSE)</f>
        <v>NO</v>
      </c>
      <c r="BA34" s="1053" t="str">
        <f>VLOOKUP($D34,Data!$H$16:$BS$1015,BA$9+1,FALSE)</f>
        <v>NO</v>
      </c>
      <c r="BB34" s="1052" t="str">
        <f>VLOOKUP($D34,Data!$H$16:$BS$1015,BB$9+1,FALSE)</f>
        <v>NO</v>
      </c>
      <c r="BC34" s="1052" t="str">
        <f>VLOOKUP($D34,Data!$H$16:$BS$1015,BC$9+1,FALSE)</f>
        <v>NE</v>
      </c>
      <c r="BD34" s="1052" t="str">
        <f>VLOOKUP($D34,Data!$H$16:$BS$1015,BD$9+1,FALSE)</f>
        <v>NO</v>
      </c>
      <c r="BE34" s="1052">
        <f>VLOOKUP($D34,Data!$H$16:$BS$1015,BE$9+1,FALSE)</f>
        <v>5346.9</v>
      </c>
      <c r="BF34" s="1052" t="str">
        <f>VLOOKUP($D34,Data!$H$16:$BS$1015,BF$9+1,FALSE)</f>
        <v>NO</v>
      </c>
      <c r="BG34" s="1054" t="str">
        <f>VLOOKUP($D34,Data!$H$16:$BS$1015,BG$9+1,FALSE)</f>
        <v>NE</v>
      </c>
      <c r="BH34" s="1051">
        <f>VLOOKUP($D34,Data!$H$16:$BS$1015,BH$9+2,FALSE)</f>
        <v>5492513.2474202449</v>
      </c>
      <c r="BI34" s="1052">
        <f>VLOOKUP($D34,Data!$H$16:$BS$1015,BI$9+2,FALSE)</f>
        <v>5588880.0376150552</v>
      </c>
      <c r="BJ34" s="1054">
        <f>VLOOKUP($D34,Data!$H$16:$BS$1015,BJ$9+2,FALSE)</f>
        <v>5588880.0376150561</v>
      </c>
      <c r="BK34" s="1053">
        <f>VLOOKUP($D34,Data!$H$16:$BS$1015,BK$9+2,FALSE)</f>
        <v>4250334.5068748221</v>
      </c>
    </row>
    <row r="35" spans="1:63" s="1121" customFormat="1" ht="15" customHeight="1">
      <c r="A35" s="1185">
        <v>24</v>
      </c>
      <c r="B35" s="1443" t="str">
        <f>Data_3!B36</f>
        <v>Seattle</v>
      </c>
      <c r="C35" s="1444">
        <f>IF(B35="","",IF(VLOOKUP(B35,Data_3!$B$13:$Y$112,24,FALSE)&lt;&gt;"",2020,IF(VLOOKUP(B35,Data_3!$B$13:$Y$112,23,FALSE)&lt;&gt;"",2019,IF(VLOOKUP(B35,Data_3!$B$13:$Y$112,22,FALSE)&lt;&gt;"",2018,IF(VLOOKUP(B35,Data_3!$B$13:$Y$112,21,FALSE)&lt;&gt;"",2017,IF(VLOOKUP(B35,Data_3!$B$13:$Y$112,20,FALSE)&lt;&gt;"",2016,IF(VLOOKUP(B35,Data_3!$B$13:$Y$112,19,FALSE)&lt;&gt;"",2015,IF(VLOOKUP(B35,Data_3!$B$13:$Y$112,18,FALSE)&lt;&gt;"",2014,IF(VLOOKUP(B35,Data_3!$B$13:$Y$112,17,FALSE)&lt;&gt;"",2013,IF(VLOOKUP(B35,Data_3!$B$13:$Y$112,16,FALSE)&lt;&gt;"",2012,IF(VLOOKUP(B35,Data_3!$B$13:$Y$112,15,FALSE)&lt;&gt;"",2011,IF(VLOOKUP(B35,Data_3!$B$13:$Y$112,14,FALSE)&lt;&gt;"",2010,IF(VLOOKUP(B35,Data_3!$B$13:$Y$112,13,FALSE)&lt;&gt;"",2009,IF(VLOOKUP(B35,Data_3!$B$13:$Y$112,12,FALSE)&lt;&gt;"",2008,IF(VLOOKUP(B35,Data_3!$B$13:$Y$112,11,FALSE)&lt;&gt;"",2007,IF(VLOOKUP(B35,Data_3!$B$13:$Y$112,10,FALSE)&lt;&gt;"",2006,IF(VLOOKUP(B35,Data_3!$B$13:$Y$112,9,FALSE)&lt;&gt;"",2005,IF(VLOOKUP(B35,Data_3!$B$13:$Y$112,8,FALSE)&lt;&gt;"",2004,IF(VLOOKUP(B35,Data_3!$B$13:$Y$112,7,FALSE)&lt;&gt;"",2003,IF(VLOOKUP(B35,Data_3!$B$13:$Y$1126,FALSE)&lt;&gt;"",2002,IF(VLOOKUP(B35,Data_3!$B$13:$Y$112,5,FALSE)&lt;&gt;"",2001,IF(VLOOKUP(B35,Data_3!$B$13:$Y$112,4,FALSE)&lt;&gt;"",2000,"N/A"))))))))))))))))))))))</f>
        <v>2012</v>
      </c>
      <c r="D35" s="1456" t="str">
        <f t="shared" si="0"/>
        <v>Seattle_2012</v>
      </c>
      <c r="E35" s="1444" t="str">
        <f>VLOOKUP($D35,Data!$H$16:$BS$1015,2,FALSE)</f>
        <v>BASIC</v>
      </c>
      <c r="F35" s="1051">
        <f>VLOOKUP($D35,Data!$H$16:$BS$1015,F$9+1,FALSE)</f>
        <v>528855.079794358</v>
      </c>
      <c r="G35" s="1051">
        <f>VLOOKUP($D35,Data!$H$16:$BS$1015,G$9+1,FALSE)</f>
        <v>29183.962546194882</v>
      </c>
      <c r="H35" s="1052" t="str">
        <f>VLOOKUP($D35,Data!$H$16:$BS$1015,H$9+1,FALSE)</f>
        <v>NE</v>
      </c>
      <c r="I35" s="1051">
        <f>VLOOKUP($D35,Data!$H$16:$BS$1015,I$9+1,FALSE)</f>
        <v>738344.41832332755</v>
      </c>
      <c r="J35" s="1051">
        <f>VLOOKUP($D35,Data!$H$16:$BS$1015,J$9+1,FALSE)</f>
        <v>131044.14206086134</v>
      </c>
      <c r="K35" s="1052" t="str">
        <f>VLOOKUP($D35,Data!$H$16:$BS$1015,K$9+1,FALSE)</f>
        <v>NE</v>
      </c>
      <c r="L35" s="1051">
        <f>VLOOKUP($D35,Data!$H$16:$BS$1015,L$9+1,FALSE)</f>
        <v>478144.64186621003</v>
      </c>
      <c r="M35" s="1051">
        <f>VLOOKUP($D35,Data!$H$16:$BS$1015,M$9+1,FALSE)</f>
        <v>10711.95427714908</v>
      </c>
      <c r="N35" s="1052" t="str">
        <f>VLOOKUP($D35,Data!$H$16:$BS$1015,N$9+1,FALSE)</f>
        <v>NE</v>
      </c>
      <c r="O35" s="1051" t="str">
        <f>VLOOKUP($D35,Data!$H$16:$BS$1015,O$9+1,FALSE)</f>
        <v>NO</v>
      </c>
      <c r="P35" s="1051" t="str">
        <f>VLOOKUP($D35,Data!$H$16:$BS$1015,P$9+1,FALSE)</f>
        <v>NO</v>
      </c>
      <c r="Q35" s="1052" t="str">
        <f>VLOOKUP($D35,Data!$H$16:$BS$1015,Q$9+1,FALSE)</f>
        <v>NO</v>
      </c>
      <c r="R35" s="1053">
        <f>VLOOKUP($D35,Data!$H$16:$BS$1015,R$9+1,FALSE)</f>
        <v>76135.31563087285</v>
      </c>
      <c r="S35" s="1051" t="str">
        <f>VLOOKUP($D35,Data!$H$16:$BS$1015,S$9+1,FALSE)</f>
        <v>NO</v>
      </c>
      <c r="T35" s="1051" t="str">
        <f>VLOOKUP($D35,Data!$H$16:$BS$1015,T$9+1,FALSE)</f>
        <v>NO</v>
      </c>
      <c r="U35" s="1052" t="str">
        <f>VLOOKUP($D35,Data!$H$16:$BS$1015,U$9+1,FALSE)</f>
        <v>NO</v>
      </c>
      <c r="V35" s="1051" t="str">
        <f>VLOOKUP($D35,Data!$H$16:$BS$1015,V$9+1,FALSE)</f>
        <v>NO</v>
      </c>
      <c r="W35" s="1051" t="str">
        <f>VLOOKUP($D35,Data!$H$16:$BS$1015,W$9+1,FALSE)</f>
        <v>NO</v>
      </c>
      <c r="X35" s="1052" t="str">
        <f>VLOOKUP($D35,Data!$H$16:$BS$1015,X$9+1,FALSE)</f>
        <v>NO</v>
      </c>
      <c r="Y35" s="1051" t="str">
        <f>VLOOKUP($D35,Data!$H$16:$BS$1015,Y$9+1,FALSE)</f>
        <v>NO</v>
      </c>
      <c r="Z35" s="1051">
        <f>VLOOKUP($D35,Data!$H$16:$BS$1015,Z$9+1,FALSE)</f>
        <v>14892.150118021164</v>
      </c>
      <c r="AA35" s="1051">
        <f>VLOOKUP($D35,Data!$H$16:$BS$1015,AA$9+1,FALSE)</f>
        <v>2142773.5754222055</v>
      </c>
      <c r="AB35" s="1051" t="str">
        <f>VLOOKUP($D35,Data!$H$16:$BS$1015,AB$9+1,FALSE)</f>
        <v>NO</v>
      </c>
      <c r="AC35" s="1052" t="str">
        <f>VLOOKUP($D35,Data!$H$16:$BS$1015,AC$9+1,FALSE)</f>
        <v>NE</v>
      </c>
      <c r="AD35" s="1051">
        <f>VLOOKUP($D35,Data!$H$16:$BS$1015,AD$9+1,FALSE)</f>
        <v>64352.532031178234</v>
      </c>
      <c r="AE35" s="1051">
        <f>VLOOKUP($D35,Data!$H$16:$BS$1015,AE$9+1,FALSE)</f>
        <v>228.5609457331839</v>
      </c>
      <c r="AF35" s="1052" t="str">
        <f>VLOOKUP($D35,Data!$H$16:$BS$1015,AF$9+1,FALSE)</f>
        <v>NE</v>
      </c>
      <c r="AG35" s="1051">
        <f>VLOOKUP($D35,Data!$H$16:$BS$1015,AG$9+1,FALSE)</f>
        <v>179760.36383026894</v>
      </c>
      <c r="AH35" s="1051" t="str">
        <f>VLOOKUP($D35,Data!$H$16:$BS$1015,AH$9+1,FALSE)</f>
        <v>NO</v>
      </c>
      <c r="AI35" s="1052" t="str">
        <f>VLOOKUP($D35,Data!$H$16:$BS$1015,AI$9+1,FALSE)</f>
        <v>NO</v>
      </c>
      <c r="AJ35" s="1051" t="str">
        <f>VLOOKUP($D35,Data!$H$16:$BS$1015,AJ$9+1,FALSE)</f>
        <v>NO</v>
      </c>
      <c r="AK35" s="1051" t="str">
        <f>VLOOKUP($D35,Data!$H$16:$BS$1015,AK$9+1,FALSE)</f>
        <v>NO</v>
      </c>
      <c r="AL35" s="1052">
        <f>VLOOKUP($D35,Data!$H$16:$BS$1015,AL$9+1,FALSE)</f>
        <v>913981.86843026942</v>
      </c>
      <c r="AM35" s="1051" t="str">
        <f>VLOOKUP($D35,Data!$H$16:$BS$1015,AM$9+1,FALSE)</f>
        <v>NO</v>
      </c>
      <c r="AN35" s="1051" t="str">
        <f>VLOOKUP($D35,Data!$H$16:$BS$1015,AN$9+1,FALSE)</f>
        <v>NO</v>
      </c>
      <c r="AO35" s="1052" t="str">
        <f>VLOOKUP($D35,Data!$H$16:$BS$1015,AO$9+1,FALSE)</f>
        <v>NO</v>
      </c>
      <c r="AP35" s="1051" t="str">
        <f>VLOOKUP($D35,Data!$H$16:$BS$1015,AP$9+1,FALSE)</f>
        <v>NO</v>
      </c>
      <c r="AQ35" s="1051">
        <f>VLOOKUP($D35,Data!$H$16:$BS$1015,AQ$9+1,FALSE)</f>
        <v>45085</v>
      </c>
      <c r="AR35" s="1053" t="str">
        <f>VLOOKUP($D35,Data!$H$16:$BS$1015,AR$9+1,FALSE)</f>
        <v>NO</v>
      </c>
      <c r="AS35" s="1051" t="str">
        <f>VLOOKUP($D35,Data!$H$16:$BS$1015,AS$9+1,FALSE)</f>
        <v>NO</v>
      </c>
      <c r="AT35" s="1051" t="str">
        <f>VLOOKUP($D35,Data!$H$16:$BS$1015,AT$9+1,FALSE)</f>
        <v>NO</v>
      </c>
      <c r="AU35" s="1053" t="str">
        <f>VLOOKUP($D35,Data!$H$16:$BS$1015,AU$9+1,FALSE)</f>
        <v>NO</v>
      </c>
      <c r="AV35" s="1051" t="str">
        <f>VLOOKUP($D35,Data!$H$16:$BS$1015,AV$9+1,FALSE)</f>
        <v>NO</v>
      </c>
      <c r="AW35" s="1051" t="str">
        <f>VLOOKUP($D35,Data!$H$16:$BS$1015,AW$9+1,FALSE)</f>
        <v>NO</v>
      </c>
      <c r="AX35" s="1053" t="str">
        <f>VLOOKUP($D35,Data!$H$16:$BS$1015,AX$9+1,FALSE)</f>
        <v>NO</v>
      </c>
      <c r="AY35" s="1051">
        <f>VLOOKUP($D35,Data!$H$16:$BS$1015,AY$9+1,FALSE)</f>
        <v>1893.6372978030768</v>
      </c>
      <c r="AZ35" s="1051" t="str">
        <f>VLOOKUP($D35,Data!$H$16:$BS$1015,AZ$9+1,FALSE)</f>
        <v>NO</v>
      </c>
      <c r="BA35" s="1053" t="str">
        <f>VLOOKUP($D35,Data!$H$16:$BS$1015,BA$9+1,FALSE)</f>
        <v>NO</v>
      </c>
      <c r="BB35" s="1052">
        <f>VLOOKUP($D35,Data!$H$16:$BS$1015,BB$9+1,FALSE)</f>
        <v>408257</v>
      </c>
      <c r="BC35" s="1052">
        <f>VLOOKUP($D35,Data!$H$16:$BS$1015,BC$9+1,FALSE)</f>
        <v>235454.56268919128</v>
      </c>
      <c r="BD35" s="1052" t="str">
        <f>VLOOKUP($D35,Data!$H$16:$BS$1015,BD$9+1,FALSE)</f>
        <v>NE</v>
      </c>
      <c r="BE35" s="1052" t="str">
        <f>VLOOKUP($D35,Data!$H$16:$BS$1015,BE$9+1,FALSE)</f>
        <v>NE</v>
      </c>
      <c r="BF35" s="1052" t="str">
        <f>VLOOKUP($D35,Data!$H$16:$BS$1015,BF$9+1,FALSE)</f>
        <v>NE</v>
      </c>
      <c r="BG35" s="1054" t="str">
        <f>VLOOKUP($D35,Data!$H$16:$BS$1015,BG$9+1,FALSE)</f>
        <v>NE</v>
      </c>
      <c r="BH35" s="1051">
        <f>VLOOKUP($D35,Data!$H$16:$BS$1015,BH$9+2,FALSE)</f>
        <v>4365270.0185133107</v>
      </c>
      <c r="BI35" s="1052">
        <f>VLOOKUP($D35,Data!$H$16:$BS$1015,BI$9+2,FALSE)</f>
        <v>5922963.4496327722</v>
      </c>
      <c r="BJ35" s="1054">
        <f>VLOOKUP($D35,Data!$H$16:$BS$1015,BJ$9+2,FALSE)</f>
        <v>5922963.4496327722</v>
      </c>
      <c r="BK35" s="1053">
        <f>VLOOKUP($D35,Data!$H$16:$BS$1015,BK$9+2,FALSE)</f>
        <v>4868863.2770034373</v>
      </c>
    </row>
    <row r="36" spans="1:63" s="1121" customFormat="1" ht="15" customHeight="1">
      <c r="A36" s="1185">
        <v>25</v>
      </c>
      <c r="B36" s="1443" t="str">
        <f>Data_3!B37</f>
        <v>Stockholm</v>
      </c>
      <c r="C36" s="1444">
        <f>IF(B36="","",IF(VLOOKUP(B36,Data_3!$B$13:$Y$112,24,FALSE)&lt;&gt;"",2020,IF(VLOOKUP(B36,Data_3!$B$13:$Y$112,23,FALSE)&lt;&gt;"",2019,IF(VLOOKUP(B36,Data_3!$B$13:$Y$112,22,FALSE)&lt;&gt;"",2018,IF(VLOOKUP(B36,Data_3!$B$13:$Y$112,21,FALSE)&lt;&gt;"",2017,IF(VLOOKUP(B36,Data_3!$B$13:$Y$112,20,FALSE)&lt;&gt;"",2016,IF(VLOOKUP(B36,Data_3!$B$13:$Y$112,19,FALSE)&lt;&gt;"",2015,IF(VLOOKUP(B36,Data_3!$B$13:$Y$112,18,FALSE)&lt;&gt;"",2014,IF(VLOOKUP(B36,Data_3!$B$13:$Y$112,17,FALSE)&lt;&gt;"",2013,IF(VLOOKUP(B36,Data_3!$B$13:$Y$112,16,FALSE)&lt;&gt;"",2012,IF(VLOOKUP(B36,Data_3!$B$13:$Y$112,15,FALSE)&lt;&gt;"",2011,IF(VLOOKUP(B36,Data_3!$B$13:$Y$112,14,FALSE)&lt;&gt;"",2010,IF(VLOOKUP(B36,Data_3!$B$13:$Y$112,13,FALSE)&lt;&gt;"",2009,IF(VLOOKUP(B36,Data_3!$B$13:$Y$112,12,FALSE)&lt;&gt;"",2008,IF(VLOOKUP(B36,Data_3!$B$13:$Y$112,11,FALSE)&lt;&gt;"",2007,IF(VLOOKUP(B36,Data_3!$B$13:$Y$112,10,FALSE)&lt;&gt;"",2006,IF(VLOOKUP(B36,Data_3!$B$13:$Y$112,9,FALSE)&lt;&gt;"",2005,IF(VLOOKUP(B36,Data_3!$B$13:$Y$112,8,FALSE)&lt;&gt;"",2004,IF(VLOOKUP(B36,Data_3!$B$13:$Y$112,7,FALSE)&lt;&gt;"",2003,IF(VLOOKUP(B36,Data_3!$B$13:$Y$1126,FALSE)&lt;&gt;"",2002,IF(VLOOKUP(B36,Data_3!$B$13:$Y$112,5,FALSE)&lt;&gt;"",2001,IF(VLOOKUP(B36,Data_3!$B$13:$Y$112,4,FALSE)&lt;&gt;"",2000,"N/A"))))))))))))))))))))))</f>
        <v>2012</v>
      </c>
      <c r="D36" s="1456" t="str">
        <f t="shared" si="0"/>
        <v>Stockholm_2012</v>
      </c>
      <c r="E36" s="1444" t="str">
        <f>VLOOKUP($D36,Data!$H$16:$BS$1015,2,FALSE)</f>
        <v>BASIC</v>
      </c>
      <c r="F36" s="1051">
        <f>VLOOKUP($D36,Data!$H$16:$BS$1015,F$9+1,FALSE)</f>
        <v>81221.145000000004</v>
      </c>
      <c r="G36" s="1051">
        <f>VLOOKUP($D36,Data!$H$16:$BS$1015,G$9+1,FALSE)</f>
        <v>613044.81095000007</v>
      </c>
      <c r="H36" s="1052">
        <f>VLOOKUP($D36,Data!$H$16:$BS$1015,H$9+1,FALSE)</f>
        <v>31087.049449999995</v>
      </c>
      <c r="I36" s="1051">
        <f>VLOOKUP($D36,Data!$H$16:$BS$1015,I$9+1,FALSE)</f>
        <v>61503.056500000006</v>
      </c>
      <c r="J36" s="1051">
        <f>VLOOKUP($D36,Data!$H$16:$BS$1015,J$9+1,FALSE)</f>
        <v>414504.66404999996</v>
      </c>
      <c r="K36" s="1052">
        <f>VLOOKUP($D36,Data!$H$16:$BS$1015,K$9+1,FALSE)</f>
        <v>21816.034950000001</v>
      </c>
      <c r="L36" s="1051">
        <f>VLOOKUP($D36,Data!$H$16:$BS$1015,L$9+1,FALSE)</f>
        <v>13902.848499999998</v>
      </c>
      <c r="M36" s="1051">
        <f>VLOOKUP($D36,Data!$H$16:$BS$1015,M$9+1,FALSE)</f>
        <v>36599.89</v>
      </c>
      <c r="N36" s="1052">
        <f>VLOOKUP($D36,Data!$H$16:$BS$1015,N$9+1,FALSE)</f>
        <v>1926.31</v>
      </c>
      <c r="O36" s="1051" t="str">
        <f>VLOOKUP($D36,Data!$H$16:$BS$1015,O$9+1,FALSE)</f>
        <v>IE</v>
      </c>
      <c r="P36" s="1051" t="str">
        <f>VLOOKUP($D36,Data!$H$16:$BS$1015,P$9+1,FALSE)</f>
        <v>IE</v>
      </c>
      <c r="Q36" s="1052" t="str">
        <f>VLOOKUP($D36,Data!$H$16:$BS$1015,Q$9+1,FALSE)</f>
        <v>IE</v>
      </c>
      <c r="R36" s="1053">
        <f>VLOOKUP($D36,Data!$H$16:$BS$1015,R$9+1,FALSE)</f>
        <v>1006657.2699999998</v>
      </c>
      <c r="S36" s="1051" t="str">
        <f>VLOOKUP($D36,Data!$H$16:$BS$1015,S$9+1,FALSE)</f>
        <v>NO</v>
      </c>
      <c r="T36" s="1051" t="str">
        <f>VLOOKUP($D36,Data!$H$16:$BS$1015,T$9+1,FALSE)</f>
        <v>NO</v>
      </c>
      <c r="U36" s="1052" t="str">
        <f>VLOOKUP($D36,Data!$H$16:$BS$1015,U$9+1,FALSE)</f>
        <v>NO</v>
      </c>
      <c r="V36" s="1051" t="str">
        <f>VLOOKUP($D36,Data!$H$16:$BS$1015,V$9+1,FALSE)</f>
        <v>NO</v>
      </c>
      <c r="W36" s="1051" t="str">
        <f>VLOOKUP($D36,Data!$H$16:$BS$1015,W$9+1,FALSE)</f>
        <v>NO</v>
      </c>
      <c r="X36" s="1052" t="str">
        <f>VLOOKUP($D36,Data!$H$16:$BS$1015,X$9+1,FALSE)</f>
        <v>NO</v>
      </c>
      <c r="Y36" s="1051" t="str">
        <f>VLOOKUP($D36,Data!$H$16:$BS$1015,Y$9+1,FALSE)</f>
        <v>NO</v>
      </c>
      <c r="Z36" s="1051">
        <f>VLOOKUP($D36,Data!$H$16:$BS$1015,Z$9+1,FALSE)</f>
        <v>33</v>
      </c>
      <c r="AA36" s="1051">
        <f>VLOOKUP($D36,Data!$H$16:$BS$1015,AA$9+1,FALSE)</f>
        <v>648378</v>
      </c>
      <c r="AB36" s="1051" t="str">
        <f>VLOOKUP($D36,Data!$H$16:$BS$1015,AB$9+1,FALSE)</f>
        <v>IE</v>
      </c>
      <c r="AC36" s="1052" t="str">
        <f>VLOOKUP($D36,Data!$H$16:$BS$1015,AC$9+1,FALSE)</f>
        <v>NE</v>
      </c>
      <c r="AD36" s="1051" t="str">
        <f>VLOOKUP($D36,Data!$H$16:$BS$1015,AD$9+1,FALSE)</f>
        <v>NO</v>
      </c>
      <c r="AE36" s="1051">
        <f>VLOOKUP($D36,Data!$H$16:$BS$1015,AE$9+1,FALSE)</f>
        <v>33190.625</v>
      </c>
      <c r="AF36" s="1052">
        <f>VLOOKUP($D36,Data!$H$16:$BS$1015,AF$9+1,FALSE)</f>
        <v>1746.875</v>
      </c>
      <c r="AG36" s="1051">
        <f>VLOOKUP($D36,Data!$H$16:$BS$1015,AG$9+1,FALSE)</f>
        <v>92000</v>
      </c>
      <c r="AH36" s="1051" t="str">
        <f>VLOOKUP($D36,Data!$H$16:$BS$1015,AH$9+1,FALSE)</f>
        <v>IE</v>
      </c>
      <c r="AI36" s="1052" t="str">
        <f>VLOOKUP($D36,Data!$H$16:$BS$1015,AI$9+1,FALSE)</f>
        <v>NE</v>
      </c>
      <c r="AJ36" s="1051">
        <f>VLOOKUP($D36,Data!$H$16:$BS$1015,AJ$9+1,FALSE)</f>
        <v>19900</v>
      </c>
      <c r="AK36" s="1051" t="str">
        <f>VLOOKUP($D36,Data!$H$16:$BS$1015,AK$9+1,FALSE)</f>
        <v>NO</v>
      </c>
      <c r="AL36" s="1052" t="str">
        <f>VLOOKUP($D36,Data!$H$16:$BS$1015,AL$9+1,FALSE)</f>
        <v>NE</v>
      </c>
      <c r="AM36" s="1051">
        <f>VLOOKUP($D36,Data!$H$16:$BS$1015,AM$9+1,FALSE)</f>
        <v>121400</v>
      </c>
      <c r="AN36" s="1051" t="str">
        <f>VLOOKUP($D36,Data!$H$16:$BS$1015,AN$9+1,FALSE)</f>
        <v>IE</v>
      </c>
      <c r="AO36" s="1052" t="str">
        <f>VLOOKUP($D36,Data!$H$16:$BS$1015,AO$9+1,FALSE)</f>
        <v>NO</v>
      </c>
      <c r="AP36" s="1051" t="str">
        <f>VLOOKUP($D36,Data!$H$16:$BS$1015,AP$9+1,FALSE)</f>
        <v>NO</v>
      </c>
      <c r="AQ36" s="1051" t="str">
        <f>VLOOKUP($D36,Data!$H$16:$BS$1015,AQ$9+1,FALSE)</f>
        <v>NO</v>
      </c>
      <c r="AR36" s="1053" t="str">
        <f>VLOOKUP($D36,Data!$H$16:$BS$1015,AR$9+1,FALSE)</f>
        <v>NO</v>
      </c>
      <c r="AS36" s="1051" t="str">
        <f>VLOOKUP($D36,Data!$H$16:$BS$1015,AS$9+1,FALSE)</f>
        <v>IE</v>
      </c>
      <c r="AT36" s="1051" t="str">
        <f>VLOOKUP($D36,Data!$H$16:$BS$1015,AT$9+1,FALSE)</f>
        <v>IE</v>
      </c>
      <c r="AU36" s="1053" t="str">
        <f>VLOOKUP($D36,Data!$H$16:$BS$1015,AU$9+1,FALSE)</f>
        <v>NO</v>
      </c>
      <c r="AV36" s="1051" t="str">
        <f>VLOOKUP($D36,Data!$H$16:$BS$1015,AV$9+1,FALSE)</f>
        <v>IE</v>
      </c>
      <c r="AW36" s="1051" t="str">
        <f>VLOOKUP($D36,Data!$H$16:$BS$1015,AW$9+1,FALSE)</f>
        <v>NO</v>
      </c>
      <c r="AX36" s="1053" t="str">
        <f>VLOOKUP($D36,Data!$H$16:$BS$1015,AX$9+1,FALSE)</f>
        <v>IE</v>
      </c>
      <c r="AY36" s="1051">
        <f>VLOOKUP($D36,Data!$H$16:$BS$1015,AY$9+1,FALSE)</f>
        <v>7763.3378900000007</v>
      </c>
      <c r="AZ36" s="1051" t="str">
        <f>VLOOKUP($D36,Data!$H$16:$BS$1015,AZ$9+1,FALSE)</f>
        <v>IE</v>
      </c>
      <c r="BA36" s="1053">
        <f>VLOOKUP($D36,Data!$H$16:$BS$1015,BA$9+1,FALSE)</f>
        <v>2318.9191100000003</v>
      </c>
      <c r="BB36" s="1052" t="str">
        <f>VLOOKUP($D36,Data!$H$16:$BS$1015,BB$9+1,FALSE)</f>
        <v>NE</v>
      </c>
      <c r="BC36" s="1052" t="str">
        <f>VLOOKUP($D36,Data!$H$16:$BS$1015,BC$9+1,FALSE)</f>
        <v>NE</v>
      </c>
      <c r="BD36" s="1052" t="str">
        <f>VLOOKUP($D36,Data!$H$16:$BS$1015,BD$9+1,FALSE)</f>
        <v>NE</v>
      </c>
      <c r="BE36" s="1052" t="str">
        <f>VLOOKUP($D36,Data!$H$16:$BS$1015,BE$9+1,FALSE)</f>
        <v>NE</v>
      </c>
      <c r="BF36" s="1052" t="str">
        <f>VLOOKUP($D36,Data!$H$16:$BS$1015,BF$9+1,FALSE)</f>
        <v>NE</v>
      </c>
      <c r="BG36" s="1054">
        <f>VLOOKUP($D36,Data!$H$16:$BS$1015,BG$9+1,FALSE)</f>
        <v>453622.99</v>
      </c>
      <c r="BH36" s="1051">
        <f>VLOOKUP($D36,Data!$H$16:$BS$1015,BH$9+2,FALSE)</f>
        <v>2143441.3778900001</v>
      </c>
      <c r="BI36" s="1052">
        <f>VLOOKUP($D36,Data!$H$16:$BS$1015,BI$9+2,FALSE)</f>
        <v>2200017.6472900002</v>
      </c>
      <c r="BJ36" s="1054">
        <f>VLOOKUP($D36,Data!$H$16:$BS$1015,BJ$9+2,FALSE)</f>
        <v>2653640.63729</v>
      </c>
      <c r="BK36" s="1053">
        <f>VLOOKUP($D36,Data!$H$16:$BS$1015,BK$9+2,FALSE)</f>
        <v>2055077.5769999998</v>
      </c>
    </row>
    <row r="37" spans="1:63" s="1121" customFormat="1" ht="15" customHeight="1">
      <c r="A37" s="1185">
        <v>26</v>
      </c>
      <c r="B37" s="1443" t="str">
        <f>Data_3!B38</f>
        <v>City of Sydney</v>
      </c>
      <c r="C37" s="1444">
        <f>IF(B37="","",IF(VLOOKUP(B37,Data_3!$B$13:$Y$112,24,FALSE)&lt;&gt;"",2020,IF(VLOOKUP(B37,Data_3!$B$13:$Y$112,23,FALSE)&lt;&gt;"",2019,IF(VLOOKUP(B37,Data_3!$B$13:$Y$112,22,FALSE)&lt;&gt;"",2018,IF(VLOOKUP(B37,Data_3!$B$13:$Y$112,21,FALSE)&lt;&gt;"",2017,IF(VLOOKUP(B37,Data_3!$B$13:$Y$112,20,FALSE)&lt;&gt;"",2016,IF(VLOOKUP(B37,Data_3!$B$13:$Y$112,19,FALSE)&lt;&gt;"",2015,IF(VLOOKUP(B37,Data_3!$B$13:$Y$112,18,FALSE)&lt;&gt;"",2014,IF(VLOOKUP(B37,Data_3!$B$13:$Y$112,17,FALSE)&lt;&gt;"",2013,IF(VLOOKUP(B37,Data_3!$B$13:$Y$112,16,FALSE)&lt;&gt;"",2012,IF(VLOOKUP(B37,Data_3!$B$13:$Y$112,15,FALSE)&lt;&gt;"",2011,IF(VLOOKUP(B37,Data_3!$B$13:$Y$112,14,FALSE)&lt;&gt;"",2010,IF(VLOOKUP(B37,Data_3!$B$13:$Y$112,13,FALSE)&lt;&gt;"",2009,IF(VLOOKUP(B37,Data_3!$B$13:$Y$112,12,FALSE)&lt;&gt;"",2008,IF(VLOOKUP(B37,Data_3!$B$13:$Y$112,11,FALSE)&lt;&gt;"",2007,IF(VLOOKUP(B37,Data_3!$B$13:$Y$112,10,FALSE)&lt;&gt;"",2006,IF(VLOOKUP(B37,Data_3!$B$13:$Y$112,9,FALSE)&lt;&gt;"",2005,IF(VLOOKUP(B37,Data_3!$B$13:$Y$112,8,FALSE)&lt;&gt;"",2004,IF(VLOOKUP(B37,Data_3!$B$13:$Y$112,7,FALSE)&lt;&gt;"",2003,IF(VLOOKUP(B37,Data_3!$B$13:$Y$1126,FALSE)&lt;&gt;"",2002,IF(VLOOKUP(B37,Data_3!$B$13:$Y$112,5,FALSE)&lt;&gt;"",2001,IF(VLOOKUP(B37,Data_3!$B$13:$Y$112,4,FALSE)&lt;&gt;"",2000,"N/A"))))))))))))))))))))))</f>
        <v>2014</v>
      </c>
      <c r="D37" s="1456" t="str">
        <f t="shared" si="0"/>
        <v>City of Sydney_2014</v>
      </c>
      <c r="E37" s="1444" t="str">
        <f>VLOOKUP($D37,Data!$H$16:$BS$1015,2,FALSE)</f>
        <v>BASIC</v>
      </c>
      <c r="F37" s="1051">
        <f>VLOOKUP($D37,Data!$H$16:$BS$1015,F$9+1,FALSE)</f>
        <v>68201.214473184664</v>
      </c>
      <c r="G37" s="1051">
        <f>VLOOKUP($D37,Data!$H$16:$BS$1015,G$9+1,FALSE)</f>
        <v>345461.01185999997</v>
      </c>
      <c r="H37" s="1052" t="str">
        <f>VLOOKUP($D37,Data!$H$16:$BS$1015,H$9+1,FALSE)</f>
        <v>IE</v>
      </c>
      <c r="I37" s="1051">
        <f>VLOOKUP($D37,Data!$H$16:$BS$1015,I$9+1,FALSE)</f>
        <v>111975.40561073429</v>
      </c>
      <c r="J37" s="1051">
        <f>VLOOKUP($D37,Data!$H$16:$BS$1015,J$9+1,FALSE)</f>
        <v>2766482.2709999997</v>
      </c>
      <c r="K37" s="1052" t="str">
        <f>VLOOKUP($D37,Data!$H$16:$BS$1015,K$9+1,FALSE)</f>
        <v>IE</v>
      </c>
      <c r="L37" s="1051" t="str">
        <f>VLOOKUP($D37,Data!$H$16:$BS$1015,L$9+1,FALSE)</f>
        <v>IE</v>
      </c>
      <c r="M37" s="1051" t="str">
        <f>VLOOKUP($D37,Data!$H$16:$BS$1015,M$9+1,FALSE)</f>
        <v>IE</v>
      </c>
      <c r="N37" s="1052" t="str">
        <f>VLOOKUP($D37,Data!$H$16:$BS$1015,N$9+1,FALSE)</f>
        <v>IE</v>
      </c>
      <c r="O37" s="1051" t="str">
        <f>VLOOKUP($D37,Data!$H$16:$BS$1015,O$9+1,FALSE)</f>
        <v>NO</v>
      </c>
      <c r="P37" s="1051" t="str">
        <f>VLOOKUP($D37,Data!$H$16:$BS$1015,P$9+1,FALSE)</f>
        <v>NO</v>
      </c>
      <c r="Q37" s="1052" t="str">
        <f>VLOOKUP($D37,Data!$H$16:$BS$1015,Q$9+1,FALSE)</f>
        <v>NO</v>
      </c>
      <c r="R37" s="1053" t="str">
        <f>VLOOKUP($D37,Data!$H$16:$BS$1015,R$9+1,FALSE)</f>
        <v>NO</v>
      </c>
      <c r="S37" s="1051" t="str">
        <f>VLOOKUP($D37,Data!$H$16:$BS$1015,S$9+1,FALSE)</f>
        <v>NO</v>
      </c>
      <c r="T37" s="1051" t="str">
        <f>VLOOKUP($D37,Data!$H$16:$BS$1015,T$9+1,FALSE)</f>
        <v>NO</v>
      </c>
      <c r="U37" s="1052" t="str">
        <f>VLOOKUP($D37,Data!$H$16:$BS$1015,U$9+1,FALSE)</f>
        <v>NO</v>
      </c>
      <c r="V37" s="1051" t="str">
        <f>VLOOKUP($D37,Data!$H$16:$BS$1015,V$9+1,FALSE)</f>
        <v>NO</v>
      </c>
      <c r="W37" s="1051" t="str">
        <f>VLOOKUP($D37,Data!$H$16:$BS$1015,W$9+1,FALSE)</f>
        <v>NO</v>
      </c>
      <c r="X37" s="1052" t="str">
        <f>VLOOKUP($D37,Data!$H$16:$BS$1015,X$9+1,FALSE)</f>
        <v>NO</v>
      </c>
      <c r="Y37" s="1051" t="str">
        <f>VLOOKUP($D37,Data!$H$16:$BS$1015,Y$9+1,FALSE)</f>
        <v>NO</v>
      </c>
      <c r="Z37" s="1051">
        <f>VLOOKUP($D37,Data!$H$16:$BS$1015,Z$9+1,FALSE)</f>
        <v>15234.665096891125</v>
      </c>
      <c r="AA37" s="1051">
        <f>VLOOKUP($D37,Data!$H$16:$BS$1015,AA$9+1,FALSE)</f>
        <v>158795.11042066236</v>
      </c>
      <c r="AB37" s="1051" t="str">
        <f>VLOOKUP($D37,Data!$H$16:$BS$1015,AB$9+1,FALSE)</f>
        <v>NO</v>
      </c>
      <c r="AC37" s="1052">
        <f>VLOOKUP($D37,Data!$H$16:$BS$1015,AC$9+1,FALSE)</f>
        <v>317590.22084132471</v>
      </c>
      <c r="AD37" s="1051" t="str">
        <f>VLOOKUP($D37,Data!$H$16:$BS$1015,AD$9+1,FALSE)</f>
        <v>NO</v>
      </c>
      <c r="AE37" s="1051">
        <f>VLOOKUP($D37,Data!$H$16:$BS$1015,AE$9+1,FALSE)</f>
        <v>85521.344031772387</v>
      </c>
      <c r="AF37" s="1052">
        <f>VLOOKUP($D37,Data!$H$16:$BS$1015,AF$9+1,FALSE)</f>
        <v>171042.68806354477</v>
      </c>
      <c r="AG37" s="1051">
        <f>VLOOKUP($D37,Data!$H$16:$BS$1015,AG$9+1,FALSE)</f>
        <v>4857.6167573512748</v>
      </c>
      <c r="AH37" s="1051" t="str">
        <f>VLOOKUP($D37,Data!$H$16:$BS$1015,AH$9+1,FALSE)</f>
        <v>NO</v>
      </c>
      <c r="AI37" s="1052">
        <f>VLOOKUP($D37,Data!$H$16:$BS$1015,AI$9+1,FALSE)</f>
        <v>9715.2335147025497</v>
      </c>
      <c r="AJ37" s="1051" t="str">
        <f>VLOOKUP($D37,Data!$H$16:$BS$1015,AJ$9+1,FALSE)</f>
        <v>NO</v>
      </c>
      <c r="AK37" s="1051" t="str">
        <f>VLOOKUP($D37,Data!$H$16:$BS$1015,AK$9+1,FALSE)</f>
        <v>NO</v>
      </c>
      <c r="AL37" s="1052" t="str">
        <f>VLOOKUP($D37,Data!$H$16:$BS$1015,AL$9+1,FALSE)</f>
        <v>NE</v>
      </c>
      <c r="AM37" s="1051" t="str">
        <f>VLOOKUP($D37,Data!$H$16:$BS$1015,AM$9+1,FALSE)</f>
        <v>IE</v>
      </c>
      <c r="AN37" s="1051" t="str">
        <f>VLOOKUP($D37,Data!$H$16:$BS$1015,AN$9+1,FALSE)</f>
        <v>NO</v>
      </c>
      <c r="AO37" s="1052" t="str">
        <f>VLOOKUP($D37,Data!$H$16:$BS$1015,AO$9+1,FALSE)</f>
        <v>NE</v>
      </c>
      <c r="AP37" s="1051" t="str">
        <f>VLOOKUP($D37,Data!$H$16:$BS$1015,AP$9+1,FALSE)</f>
        <v>NO</v>
      </c>
      <c r="AQ37" s="1051">
        <f>VLOOKUP($D37,Data!$H$16:$BS$1015,AQ$9+1,FALSE)</f>
        <v>175018.5</v>
      </c>
      <c r="AR37" s="1053" t="str">
        <f>VLOOKUP($D37,Data!$H$16:$BS$1015,AR$9+1,FALSE)</f>
        <v>NO</v>
      </c>
      <c r="AS37" s="1051" t="str">
        <f>VLOOKUP($D37,Data!$H$16:$BS$1015,AS$9+1,FALSE)</f>
        <v>NO</v>
      </c>
      <c r="AT37" s="1051">
        <f>VLOOKUP($D37,Data!$H$16:$BS$1015,AT$9+1,FALSE)</f>
        <v>195.83959999999999</v>
      </c>
      <c r="AU37" s="1053" t="str">
        <f>VLOOKUP($D37,Data!$H$16:$BS$1015,AU$9+1,FALSE)</f>
        <v>NO</v>
      </c>
      <c r="AV37" s="1051" t="str">
        <f>VLOOKUP($D37,Data!$H$16:$BS$1015,AV$9+1,FALSE)</f>
        <v>NO</v>
      </c>
      <c r="AW37" s="1051" t="str">
        <f>VLOOKUP($D37,Data!$H$16:$BS$1015,AW$9+1,FALSE)</f>
        <v>NO</v>
      </c>
      <c r="AX37" s="1053" t="str">
        <f>VLOOKUP($D37,Data!$H$16:$BS$1015,AX$9+1,FALSE)</f>
        <v>NO</v>
      </c>
      <c r="AY37" s="1051" t="str">
        <f>VLOOKUP($D37,Data!$H$16:$BS$1015,AY$9+1,FALSE)</f>
        <v>NO</v>
      </c>
      <c r="AZ37" s="1051">
        <f>VLOOKUP($D37,Data!$H$16:$BS$1015,AZ$9+1,FALSE)</f>
        <v>5119.8869837900875</v>
      </c>
      <c r="BA37" s="1053" t="str">
        <f>VLOOKUP($D37,Data!$H$16:$BS$1015,BA$9+1,FALSE)</f>
        <v>NO</v>
      </c>
      <c r="BB37" s="1052" t="str">
        <f>VLOOKUP($D37,Data!$H$16:$BS$1015,BB$9+1,FALSE)</f>
        <v>NE</v>
      </c>
      <c r="BC37" s="1052" t="str">
        <f>VLOOKUP($D37,Data!$H$16:$BS$1015,BC$9+1,FALSE)</f>
        <v>NE</v>
      </c>
      <c r="BD37" s="1052" t="str">
        <f>VLOOKUP($D37,Data!$H$16:$BS$1015,BD$9+1,FALSE)</f>
        <v>NE</v>
      </c>
      <c r="BE37" s="1052" t="str">
        <f>VLOOKUP($D37,Data!$H$16:$BS$1015,BE$9+1,FALSE)</f>
        <v>NE</v>
      </c>
      <c r="BF37" s="1052" t="str">
        <f>VLOOKUP($D37,Data!$H$16:$BS$1015,BF$9+1,FALSE)</f>
        <v>NE</v>
      </c>
      <c r="BG37" s="1054">
        <f>VLOOKUP($D37,Data!$H$16:$BS$1015,BG$9+1,FALSE)</f>
        <v>518805.89412175561</v>
      </c>
      <c r="BH37" s="1051">
        <f>VLOOKUP($D37,Data!$H$16:$BS$1015,BH$9+2,FALSE)</f>
        <v>3736862.8658343856</v>
      </c>
      <c r="BI37" s="1052">
        <f>VLOOKUP($D37,Data!$H$16:$BS$1015,BI$9+2,FALSE)</f>
        <v>4235211.0082539581</v>
      </c>
      <c r="BJ37" s="1054">
        <f>VLOOKUP($D37,Data!$H$16:$BS$1015,BJ$9+2,FALSE)</f>
        <v>4754016.9023757139</v>
      </c>
      <c r="BK37" s="1053">
        <f>VLOOKUP($D37,Data!$H$16:$BS$1015,BK$9+2,FALSE)</f>
        <v>359064.01235882367</v>
      </c>
    </row>
    <row r="38" spans="1:63" s="1121" customFormat="1" ht="15" customHeight="1">
      <c r="A38" s="1185">
        <v>27</v>
      </c>
      <c r="B38" s="1443" t="str">
        <f>Data_3!B39</f>
        <v>Toronto</v>
      </c>
      <c r="C38" s="1444">
        <f>IF(B38="","",IF(VLOOKUP(B38,Data_3!$B$13:$Y$112,24,FALSE)&lt;&gt;"",2020,IF(VLOOKUP(B38,Data_3!$B$13:$Y$112,23,FALSE)&lt;&gt;"",2019,IF(VLOOKUP(B38,Data_3!$B$13:$Y$112,22,FALSE)&lt;&gt;"",2018,IF(VLOOKUP(B38,Data_3!$B$13:$Y$112,21,FALSE)&lt;&gt;"",2017,IF(VLOOKUP(B38,Data_3!$B$13:$Y$112,20,FALSE)&lt;&gt;"",2016,IF(VLOOKUP(B38,Data_3!$B$13:$Y$112,19,FALSE)&lt;&gt;"",2015,IF(VLOOKUP(B38,Data_3!$B$13:$Y$112,18,FALSE)&lt;&gt;"",2014,IF(VLOOKUP(B38,Data_3!$B$13:$Y$112,17,FALSE)&lt;&gt;"",2013,IF(VLOOKUP(B38,Data_3!$B$13:$Y$112,16,FALSE)&lt;&gt;"",2012,IF(VLOOKUP(B38,Data_3!$B$13:$Y$112,15,FALSE)&lt;&gt;"",2011,IF(VLOOKUP(B38,Data_3!$B$13:$Y$112,14,FALSE)&lt;&gt;"",2010,IF(VLOOKUP(B38,Data_3!$B$13:$Y$112,13,FALSE)&lt;&gt;"",2009,IF(VLOOKUP(B38,Data_3!$B$13:$Y$112,12,FALSE)&lt;&gt;"",2008,IF(VLOOKUP(B38,Data_3!$B$13:$Y$112,11,FALSE)&lt;&gt;"",2007,IF(VLOOKUP(B38,Data_3!$B$13:$Y$112,10,FALSE)&lt;&gt;"",2006,IF(VLOOKUP(B38,Data_3!$B$13:$Y$112,9,FALSE)&lt;&gt;"",2005,IF(VLOOKUP(B38,Data_3!$B$13:$Y$112,8,FALSE)&lt;&gt;"",2004,IF(VLOOKUP(B38,Data_3!$B$13:$Y$112,7,FALSE)&lt;&gt;"",2003,IF(VLOOKUP(B38,Data_3!$B$13:$Y$1126,FALSE)&lt;&gt;"",2002,IF(VLOOKUP(B38,Data_3!$B$13:$Y$112,5,FALSE)&lt;&gt;"",2001,IF(VLOOKUP(B38,Data_3!$B$13:$Y$112,4,FALSE)&lt;&gt;"",2000,"N/A"))))))))))))))))))))))</f>
        <v>2013</v>
      </c>
      <c r="D38" s="1456" t="str">
        <f t="shared" si="0"/>
        <v>Toronto_2013</v>
      </c>
      <c r="E38" s="1444" t="str">
        <f>VLOOKUP($D38,Data!$H$16:$BS$1015,2,FALSE)</f>
        <v>BASIC</v>
      </c>
      <c r="F38" s="1051">
        <f>VLOOKUP($D38,Data!$H$16:$BS$1015,F$9+1,FALSE)</f>
        <v>4207619.0211084448</v>
      </c>
      <c r="G38" s="1051">
        <f>VLOOKUP($D38,Data!$H$16:$BS$1015,G$9+1,FALSE)</f>
        <v>438697.77231659583</v>
      </c>
      <c r="H38" s="1052" t="str">
        <f>VLOOKUP($D38,Data!$H$16:$BS$1015,H$9+1,FALSE)</f>
        <v>NE</v>
      </c>
      <c r="I38" s="1051">
        <f>VLOOKUP($D38,Data!$H$16:$BS$1015,I$9+1,FALSE)</f>
        <v>2538630.171705625</v>
      </c>
      <c r="J38" s="1051">
        <f>VLOOKUP($D38,Data!$H$16:$BS$1015,J$9+1,FALSE)</f>
        <v>1486576.374048304</v>
      </c>
      <c r="K38" s="1052" t="str">
        <f>VLOOKUP($D38,Data!$H$16:$BS$1015,K$9+1,FALSE)</f>
        <v>NE</v>
      </c>
      <c r="L38" s="1051">
        <f>VLOOKUP($D38,Data!$H$16:$BS$1015,L$9+1,FALSE)</f>
        <v>1021372.86724439</v>
      </c>
      <c r="M38" s="1051">
        <f>VLOOKUP($D38,Data!$H$16:$BS$1015,M$9+1,FALSE)</f>
        <v>216616.62225834402</v>
      </c>
      <c r="N38" s="1052" t="str">
        <f>VLOOKUP($D38,Data!$H$16:$BS$1015,N$9+1,FALSE)</f>
        <v>NE</v>
      </c>
      <c r="O38" s="1051" t="str">
        <f>VLOOKUP($D38,Data!$H$16:$BS$1015,O$9+1,FALSE)</f>
        <v>IE</v>
      </c>
      <c r="P38" s="1051" t="str">
        <f>VLOOKUP($D38,Data!$H$16:$BS$1015,P$9+1,FALSE)</f>
        <v>IE</v>
      </c>
      <c r="Q38" s="1052" t="str">
        <f>VLOOKUP($D38,Data!$H$16:$BS$1015,Q$9+1,FALSE)</f>
        <v>NE</v>
      </c>
      <c r="R38" s="1053">
        <f>VLOOKUP($D38,Data!$H$16:$BS$1015,R$9+1,FALSE)</f>
        <v>434466.1</v>
      </c>
      <c r="S38" s="1051" t="str">
        <f>VLOOKUP($D38,Data!$H$16:$BS$1015,S$9+1,FALSE)</f>
        <v>NO</v>
      </c>
      <c r="T38" s="1051" t="str">
        <f>VLOOKUP($D38,Data!$H$16:$BS$1015,T$9+1,FALSE)</f>
        <v>NO</v>
      </c>
      <c r="U38" s="1052" t="str">
        <f>VLOOKUP($D38,Data!$H$16:$BS$1015,U$9+1,FALSE)</f>
        <v>NO</v>
      </c>
      <c r="V38" s="1051" t="str">
        <f>VLOOKUP($D38,Data!$H$16:$BS$1015,V$9+1,FALSE)</f>
        <v>NO</v>
      </c>
      <c r="W38" s="1051" t="str">
        <f>VLOOKUP($D38,Data!$H$16:$BS$1015,W$9+1,FALSE)</f>
        <v>NO</v>
      </c>
      <c r="X38" s="1052" t="str">
        <f>VLOOKUP($D38,Data!$H$16:$BS$1015,X$9+1,FALSE)</f>
        <v>NO</v>
      </c>
      <c r="Y38" s="1051" t="str">
        <f>VLOOKUP($D38,Data!$H$16:$BS$1015,Y$9+1,FALSE)</f>
        <v>NO</v>
      </c>
      <c r="Z38" s="1051">
        <f>VLOOKUP($D38,Data!$H$16:$BS$1015,Z$9+1,FALSE)</f>
        <v>126168.572054652</v>
      </c>
      <c r="AA38" s="1051">
        <f>VLOOKUP($D38,Data!$H$16:$BS$1015,AA$9+1,FALSE)</f>
        <v>6892923.9903200874</v>
      </c>
      <c r="AB38" s="1051" t="str">
        <f>VLOOKUP($D38,Data!$H$16:$BS$1015,AB$9+1,FALSE)</f>
        <v>IE</v>
      </c>
      <c r="AC38" s="1052">
        <f>VLOOKUP($D38,Data!$H$16:$BS$1015,AC$9+1,FALSE)</f>
        <v>15197.340155400001</v>
      </c>
      <c r="AD38" s="1051">
        <f>VLOOKUP($D38,Data!$H$16:$BS$1015,AD$9+1,FALSE)</f>
        <v>127246.79618769999</v>
      </c>
      <c r="AE38" s="1051">
        <f>VLOOKUP($D38,Data!$H$16:$BS$1015,AE$9+1,FALSE)</f>
        <v>28056.248958584001</v>
      </c>
      <c r="AF38" s="1052" t="str">
        <f>VLOOKUP($D38,Data!$H$16:$BS$1015,AF$9+1,FALSE)</f>
        <v>NO</v>
      </c>
      <c r="AG38" s="1051">
        <f>VLOOKUP($D38,Data!$H$16:$BS$1015,AG$9+1,FALSE)</f>
        <v>1429.0060386829998</v>
      </c>
      <c r="AH38" s="1051" t="str">
        <f>VLOOKUP($D38,Data!$H$16:$BS$1015,AH$9+1,FALSE)</f>
        <v>NO</v>
      </c>
      <c r="AI38" s="1052" t="str">
        <f>VLOOKUP($D38,Data!$H$16:$BS$1015,AI$9+1,FALSE)</f>
        <v>NO</v>
      </c>
      <c r="AJ38" s="1051" t="str">
        <f>VLOOKUP($D38,Data!$H$16:$BS$1015,AJ$9+1,FALSE)</f>
        <v>NO</v>
      </c>
      <c r="AK38" s="1051" t="str">
        <f>VLOOKUP($D38,Data!$H$16:$BS$1015,AK$9+1,FALSE)</f>
        <v>NO</v>
      </c>
      <c r="AL38" s="1052" t="str">
        <f>VLOOKUP($D38,Data!$H$16:$BS$1015,AL$9+1,FALSE)</f>
        <v>NO</v>
      </c>
      <c r="AM38" s="1051" t="str">
        <f>VLOOKUP($D38,Data!$H$16:$BS$1015,AM$9+1,FALSE)</f>
        <v>NO</v>
      </c>
      <c r="AN38" s="1051" t="str">
        <f>VLOOKUP($D38,Data!$H$16:$BS$1015,AN$9+1,FALSE)</f>
        <v>NO</v>
      </c>
      <c r="AO38" s="1052" t="str">
        <f>VLOOKUP($D38,Data!$H$16:$BS$1015,AO$9+1,FALSE)</f>
        <v>NO</v>
      </c>
      <c r="AP38" s="1051">
        <f>VLOOKUP($D38,Data!$H$16:$BS$1015,AP$9+1,FALSE)</f>
        <v>332584.44035270449</v>
      </c>
      <c r="AQ38" s="1051">
        <f>VLOOKUP($D38,Data!$H$16:$BS$1015,AQ$9+1,FALSE)</f>
        <v>1920253.28554313</v>
      </c>
      <c r="AR38" s="1053" t="str">
        <f>VLOOKUP($D38,Data!$H$16:$BS$1015,AR$9+1,FALSE)</f>
        <v>NO</v>
      </c>
      <c r="AS38" s="1051" t="str">
        <f>VLOOKUP($D38,Data!$H$16:$BS$1015,AS$9+1,FALSE)</f>
        <v>NO</v>
      </c>
      <c r="AT38" s="1051" t="str">
        <f>VLOOKUP($D38,Data!$H$16:$BS$1015,AT$9+1,FALSE)</f>
        <v>NO</v>
      </c>
      <c r="AU38" s="1053" t="str">
        <f>VLOOKUP($D38,Data!$H$16:$BS$1015,AU$9+1,FALSE)</f>
        <v>NO</v>
      </c>
      <c r="AV38" s="1051" t="str">
        <f>VLOOKUP($D38,Data!$H$16:$BS$1015,AV$9+1,FALSE)</f>
        <v>NO</v>
      </c>
      <c r="AW38" s="1051" t="str">
        <f>VLOOKUP($D38,Data!$H$16:$BS$1015,AW$9+1,FALSE)</f>
        <v>NO</v>
      </c>
      <c r="AX38" s="1053" t="str">
        <f>VLOOKUP($D38,Data!$H$16:$BS$1015,AX$9+1,FALSE)</f>
        <v>NO</v>
      </c>
      <c r="AY38" s="1051">
        <f>VLOOKUP($D38,Data!$H$16:$BS$1015,AY$9+1,FALSE)</f>
        <v>26049.807611995813</v>
      </c>
      <c r="AZ38" s="1051" t="str">
        <f>VLOOKUP($D38,Data!$H$16:$BS$1015,AZ$9+1,FALSE)</f>
        <v>NO</v>
      </c>
      <c r="BA38" s="1053" t="str">
        <f>VLOOKUP($D38,Data!$H$16:$BS$1015,BA$9+1,FALSE)</f>
        <v>NO</v>
      </c>
      <c r="BB38" s="1052" t="str">
        <f>VLOOKUP($D38,Data!$H$16:$BS$1015,BB$9+1,FALSE)</f>
        <v>NE</v>
      </c>
      <c r="BC38" s="1052" t="str">
        <f>VLOOKUP($D38,Data!$H$16:$BS$1015,BC$9+1,FALSE)</f>
        <v>NE</v>
      </c>
      <c r="BD38" s="1052" t="str">
        <f>VLOOKUP($D38,Data!$H$16:$BS$1015,BD$9+1,FALSE)</f>
        <v>NE</v>
      </c>
      <c r="BE38" s="1052" t="str">
        <f>VLOOKUP($D38,Data!$H$16:$BS$1015,BE$9+1,FALSE)</f>
        <v>NE</v>
      </c>
      <c r="BF38" s="1052" t="str">
        <f>VLOOKUP($D38,Data!$H$16:$BS$1015,BF$9+1,FALSE)</f>
        <v>NE</v>
      </c>
      <c r="BG38" s="1054" t="str">
        <f>VLOOKUP($D38,Data!$H$16:$BS$1015,BG$9+1,FALSE)</f>
        <v>NE</v>
      </c>
      <c r="BH38" s="1051">
        <f>VLOOKUP($D38,Data!$H$16:$BS$1015,BH$9+2,FALSE)</f>
        <v>19364224.975749239</v>
      </c>
      <c r="BI38" s="1052">
        <f>VLOOKUP($D38,Data!$H$16:$BS$1015,BI$9+2,FALSE)</f>
        <v>19379422.31590464</v>
      </c>
      <c r="BJ38" s="1054">
        <f>VLOOKUP($D38,Data!$H$16:$BS$1015,BJ$9+2,FALSE)</f>
        <v>19379422.31590464</v>
      </c>
      <c r="BK38" s="1053">
        <f>VLOOKUP($D38,Data!$H$16:$BS$1015,BK$9+2,FALSE)</f>
        <v>15708490.772624282</v>
      </c>
    </row>
    <row r="39" spans="1:63" s="1121" customFormat="1" ht="15" customHeight="1">
      <c r="A39" s="1185">
        <v>28</v>
      </c>
      <c r="B39" s="1443" t="str">
        <f>Data_3!B40</f>
        <v>City of Vancouver</v>
      </c>
      <c r="C39" s="1444">
        <f>IF(B39="","",IF(VLOOKUP(B39,Data_3!$B$13:$Y$112,24,FALSE)&lt;&gt;"",2020,IF(VLOOKUP(B39,Data_3!$B$13:$Y$112,23,FALSE)&lt;&gt;"",2019,IF(VLOOKUP(B39,Data_3!$B$13:$Y$112,22,FALSE)&lt;&gt;"",2018,IF(VLOOKUP(B39,Data_3!$B$13:$Y$112,21,FALSE)&lt;&gt;"",2017,IF(VLOOKUP(B39,Data_3!$B$13:$Y$112,20,FALSE)&lt;&gt;"",2016,IF(VLOOKUP(B39,Data_3!$B$13:$Y$112,19,FALSE)&lt;&gt;"",2015,IF(VLOOKUP(B39,Data_3!$B$13:$Y$112,18,FALSE)&lt;&gt;"",2014,IF(VLOOKUP(B39,Data_3!$B$13:$Y$112,17,FALSE)&lt;&gt;"",2013,IF(VLOOKUP(B39,Data_3!$B$13:$Y$112,16,FALSE)&lt;&gt;"",2012,IF(VLOOKUP(B39,Data_3!$B$13:$Y$112,15,FALSE)&lt;&gt;"",2011,IF(VLOOKUP(B39,Data_3!$B$13:$Y$112,14,FALSE)&lt;&gt;"",2010,IF(VLOOKUP(B39,Data_3!$B$13:$Y$112,13,FALSE)&lt;&gt;"",2009,IF(VLOOKUP(B39,Data_3!$B$13:$Y$112,12,FALSE)&lt;&gt;"",2008,IF(VLOOKUP(B39,Data_3!$B$13:$Y$112,11,FALSE)&lt;&gt;"",2007,IF(VLOOKUP(B39,Data_3!$B$13:$Y$112,10,FALSE)&lt;&gt;"",2006,IF(VLOOKUP(B39,Data_3!$B$13:$Y$112,9,FALSE)&lt;&gt;"",2005,IF(VLOOKUP(B39,Data_3!$B$13:$Y$112,8,FALSE)&lt;&gt;"",2004,IF(VLOOKUP(B39,Data_3!$B$13:$Y$112,7,FALSE)&lt;&gt;"",2003,IF(VLOOKUP(B39,Data_3!$B$13:$Y$1126,FALSE)&lt;&gt;"",2002,IF(VLOOKUP(B39,Data_3!$B$13:$Y$112,5,FALSE)&lt;&gt;"",2001,IF(VLOOKUP(B39,Data_3!$B$13:$Y$112,4,FALSE)&lt;&gt;"",2000,"N/A"))))))))))))))))))))))</f>
        <v>2014</v>
      </c>
      <c r="D39" s="1456" t="str">
        <f t="shared" si="0"/>
        <v>City of Vancouver_2014</v>
      </c>
      <c r="E39" s="1444" t="str">
        <f>VLOOKUP($D39,Data!$H$16:$BS$1015,2,FALSE)</f>
        <v>BASIC</v>
      </c>
      <c r="F39" s="1051">
        <f>VLOOKUP($D39,Data!$H$16:$BS$1015,F$9+1,FALSE)</f>
        <v>466982.6893956</v>
      </c>
      <c r="G39" s="1051">
        <f>VLOOKUP($D39,Data!$H$16:$BS$1015,G$9+1,FALSE)</f>
        <v>17750.205886706761</v>
      </c>
      <c r="H39" s="1052" t="str">
        <f>VLOOKUP($D39,Data!$H$16:$BS$1015,H$9+1,FALSE)</f>
        <v>NE</v>
      </c>
      <c r="I39" s="1051">
        <f>VLOOKUP($D39,Data!$H$16:$BS$1015,I$9+1,FALSE)</f>
        <v>522081.42295680003</v>
      </c>
      <c r="J39" s="1051">
        <f>VLOOKUP($D39,Data!$H$16:$BS$1015,J$9+1,FALSE)</f>
        <v>32733.08956221231</v>
      </c>
      <c r="K39" s="1052" t="str">
        <f>VLOOKUP($D39,Data!$H$16:$BS$1015,K$9+1,FALSE)</f>
        <v>NE</v>
      </c>
      <c r="L39" s="1051">
        <f>VLOOKUP($D39,Data!$H$16:$BS$1015,L$9+1,FALSE)</f>
        <v>344905.79996880004</v>
      </c>
      <c r="M39" s="1051">
        <f>VLOOKUP($D39,Data!$H$16:$BS$1015,M$9+1,FALSE)</f>
        <v>2371.2336036487422</v>
      </c>
      <c r="N39" s="1052" t="str">
        <f>VLOOKUP($D39,Data!$H$16:$BS$1015,N$9+1,FALSE)</f>
        <v>NE</v>
      </c>
      <c r="O39" s="1051" t="str">
        <f>VLOOKUP($D39,Data!$H$16:$BS$1015,O$9+1,FALSE)</f>
        <v>IE</v>
      </c>
      <c r="P39" s="1051" t="str">
        <f>VLOOKUP($D39,Data!$H$16:$BS$1015,P$9+1,FALSE)</f>
        <v>IE</v>
      </c>
      <c r="Q39" s="1052" t="str">
        <f>VLOOKUP($D39,Data!$H$16:$BS$1015,Q$9+1,FALSE)</f>
        <v>NO</v>
      </c>
      <c r="R39" s="1053">
        <f>VLOOKUP($D39,Data!$H$16:$BS$1015,R$9+1,FALSE)</f>
        <v>1864.937519999851</v>
      </c>
      <c r="S39" s="1051" t="str">
        <f>VLOOKUP($D39,Data!$H$16:$BS$1015,S$9+1,FALSE)</f>
        <v>NO</v>
      </c>
      <c r="T39" s="1051" t="str">
        <f>VLOOKUP($D39,Data!$H$16:$BS$1015,T$9+1,FALSE)</f>
        <v>NO</v>
      </c>
      <c r="U39" s="1052" t="str">
        <f>VLOOKUP($D39,Data!$H$16:$BS$1015,U$9+1,FALSE)</f>
        <v>NO</v>
      </c>
      <c r="V39" s="1051" t="str">
        <f>VLOOKUP($D39,Data!$H$16:$BS$1015,V$9+1,FALSE)</f>
        <v>NO</v>
      </c>
      <c r="W39" s="1051" t="str">
        <f>VLOOKUP($D39,Data!$H$16:$BS$1015,W$9+1,FALSE)</f>
        <v>NO</v>
      </c>
      <c r="X39" s="1052" t="str">
        <f>VLOOKUP($D39,Data!$H$16:$BS$1015,X$9+1,FALSE)</f>
        <v>NO</v>
      </c>
      <c r="Y39" s="1051" t="str">
        <f>VLOOKUP($D39,Data!$H$16:$BS$1015,Y$9+1,FALSE)</f>
        <v>NO</v>
      </c>
      <c r="Z39" s="1051">
        <f>VLOOKUP($D39,Data!$H$16:$BS$1015,Z$9+1,FALSE)</f>
        <v>19307.147751417866</v>
      </c>
      <c r="AA39" s="1051">
        <f>VLOOKUP($D39,Data!$H$16:$BS$1015,AA$9+1,FALSE)</f>
        <v>1005807.2450496393</v>
      </c>
      <c r="AB39" s="1051" t="str">
        <f>VLOOKUP($D39,Data!$H$16:$BS$1015,AB$9+1,FALSE)</f>
        <v>IE</v>
      </c>
      <c r="AC39" s="1052" t="str">
        <f>VLOOKUP($D39,Data!$H$16:$BS$1015,AC$9+1,FALSE)</f>
        <v>NE</v>
      </c>
      <c r="AD39" s="1051">
        <f>VLOOKUP($D39,Data!$H$16:$BS$1015,AD$9+1,FALSE)</f>
        <v>12439.420904393815</v>
      </c>
      <c r="AE39" s="1051" t="str">
        <f>VLOOKUP($D39,Data!$H$16:$BS$1015,AE$9+1,FALSE)</f>
        <v>IE</v>
      </c>
      <c r="AF39" s="1052" t="str">
        <f>VLOOKUP($D39,Data!$H$16:$BS$1015,AF$9+1,FALSE)</f>
        <v>NE</v>
      </c>
      <c r="AG39" s="1051" t="str">
        <f>VLOOKUP($D39,Data!$H$16:$BS$1015,AG$9+1,FALSE)</f>
        <v>NO</v>
      </c>
      <c r="AH39" s="1051" t="str">
        <f>VLOOKUP($D39,Data!$H$16:$BS$1015,AH$9+1,FALSE)</f>
        <v>NO</v>
      </c>
      <c r="AI39" s="1052" t="str">
        <f>VLOOKUP($D39,Data!$H$16:$BS$1015,AI$9+1,FALSE)</f>
        <v>NE</v>
      </c>
      <c r="AJ39" s="1051" t="str">
        <f>VLOOKUP($D39,Data!$H$16:$BS$1015,AJ$9+1,FALSE)</f>
        <v>NO</v>
      </c>
      <c r="AK39" s="1051" t="str">
        <f>VLOOKUP($D39,Data!$H$16:$BS$1015,AK$9+1,FALSE)</f>
        <v>NO</v>
      </c>
      <c r="AL39" s="1052" t="str">
        <f>VLOOKUP($D39,Data!$H$16:$BS$1015,AL$9+1,FALSE)</f>
        <v>NE</v>
      </c>
      <c r="AM39" s="1051">
        <f>VLOOKUP($D39,Data!$H$16:$BS$1015,AM$9+1,FALSE)</f>
        <v>16359</v>
      </c>
      <c r="AN39" s="1051" t="str">
        <f>VLOOKUP($D39,Data!$H$16:$BS$1015,AN$9+1,FALSE)</f>
        <v>NO</v>
      </c>
      <c r="AO39" s="1052" t="str">
        <f>VLOOKUP($D39,Data!$H$16:$BS$1015,AO$9+1,FALSE)</f>
        <v>NE</v>
      </c>
      <c r="AP39" s="1051" t="str">
        <f>VLOOKUP($D39,Data!$H$16:$BS$1015,AP$9+1,FALSE)</f>
        <v>NO</v>
      </c>
      <c r="AQ39" s="1051">
        <f>VLOOKUP($D39,Data!$H$16:$BS$1015,AQ$9+1,FALSE)</f>
        <v>99429.707476538504</v>
      </c>
      <c r="AR39" s="1053" t="str">
        <f>VLOOKUP($D39,Data!$H$16:$BS$1015,AR$9+1,FALSE)</f>
        <v>NO</v>
      </c>
      <c r="AS39" s="1051" t="str">
        <f>VLOOKUP($D39,Data!$H$16:$BS$1015,AS$9+1,FALSE)</f>
        <v>NO</v>
      </c>
      <c r="AT39" s="1051">
        <f>VLOOKUP($D39,Data!$H$16:$BS$1015,AT$9+1,FALSE)</f>
        <v>12990.567200000001</v>
      </c>
      <c r="AU39" s="1053" t="str">
        <f>VLOOKUP($D39,Data!$H$16:$BS$1015,AU$9+1,FALSE)</f>
        <v>NO</v>
      </c>
      <c r="AV39" s="1051" t="str">
        <f>VLOOKUP($D39,Data!$H$16:$BS$1015,AV$9+1,FALSE)</f>
        <v>NO</v>
      </c>
      <c r="AW39" s="1051" t="str">
        <f>VLOOKUP($D39,Data!$H$16:$BS$1015,AW$9+1,FALSE)</f>
        <v>IE</v>
      </c>
      <c r="AX39" s="1053" t="str">
        <f>VLOOKUP($D39,Data!$H$16:$BS$1015,AX$9+1,FALSE)</f>
        <v>NO</v>
      </c>
      <c r="AY39" s="1051" t="str">
        <f>VLOOKUP($D39,Data!$H$16:$BS$1015,AY$9+1,FALSE)</f>
        <v>NO</v>
      </c>
      <c r="AZ39" s="1051">
        <f>VLOOKUP($D39,Data!$H$16:$BS$1015,AZ$9+1,FALSE)</f>
        <v>5311.7452460005024</v>
      </c>
      <c r="BA39" s="1053" t="str">
        <f>VLOOKUP($D39,Data!$H$16:$BS$1015,BA$9+1,FALSE)</f>
        <v>NO</v>
      </c>
      <c r="BB39" s="1052" t="str">
        <f>VLOOKUP($D39,Data!$H$16:$BS$1015,BB$9+1,FALSE)</f>
        <v>NE</v>
      </c>
      <c r="BC39" s="1052" t="str">
        <f>VLOOKUP($D39,Data!$H$16:$BS$1015,BC$9+1,FALSE)</f>
        <v>NE</v>
      </c>
      <c r="BD39" s="1052" t="str">
        <f>VLOOKUP($D39,Data!$H$16:$BS$1015,BD$9+1,FALSE)</f>
        <v>NE</v>
      </c>
      <c r="BE39" s="1052" t="str">
        <f>VLOOKUP($D39,Data!$H$16:$BS$1015,BE$9+1,FALSE)</f>
        <v>NE</v>
      </c>
      <c r="BF39" s="1052" t="str">
        <f>VLOOKUP($D39,Data!$H$16:$BS$1015,BF$9+1,FALSE)</f>
        <v>NE</v>
      </c>
      <c r="BG39" s="1054" t="str">
        <f>VLOOKUP($D39,Data!$H$16:$BS$1015,BG$9+1,FALSE)</f>
        <v>NE</v>
      </c>
      <c r="BH39" s="1051">
        <f>VLOOKUP($D39,Data!$H$16:$BS$1015,BH$9+2,FALSE)</f>
        <v>2558469.2750017582</v>
      </c>
      <c r="BI39" s="1052">
        <f>VLOOKUP($D39,Data!$H$16:$BS$1015,BI$9+2,FALSE)</f>
        <v>2558469.2750017582</v>
      </c>
      <c r="BJ39" s="1054">
        <f>VLOOKUP($D39,Data!$H$16:$BS$1015,BJ$9+2,FALSE)</f>
        <v>2558469.2750017578</v>
      </c>
      <c r="BK39" s="1053">
        <f>VLOOKUP($D39,Data!$H$16:$BS$1015,BK$9+2,FALSE)</f>
        <v>2389747.6635466511</v>
      </c>
    </row>
    <row r="40" spans="1:63" s="1121" customFormat="1" ht="15" customHeight="1">
      <c r="A40" s="1185">
        <v>29</v>
      </c>
      <c r="B40" s="1443"/>
      <c r="C40" s="1444" t="str">
        <f>IF(B40="","",IF(VLOOKUP(B40,Data_3!$B$13:$Y$112,24,FALSE)&lt;&gt;"",2020,IF(VLOOKUP(B40,Data_3!$B$13:$Y$112,23,FALSE)&lt;&gt;"",2019,IF(VLOOKUP(B40,Data_3!$B$13:$Y$112,22,FALSE)&lt;&gt;"",2018,IF(VLOOKUP(B40,Data_3!$B$13:$Y$112,21,FALSE)&lt;&gt;"",2017,IF(VLOOKUP(B40,Data_3!$B$13:$Y$112,20,FALSE)&lt;&gt;"",2016,IF(VLOOKUP(B40,Data_3!$B$13:$Y$112,19,FALSE)&lt;&gt;"",2015,IF(VLOOKUP(B40,Data_3!$B$13:$Y$112,18,FALSE)&lt;&gt;"",2014,IF(VLOOKUP(B40,Data_3!$B$13:$Y$112,17,FALSE)&lt;&gt;"",2013,IF(VLOOKUP(B40,Data_3!$B$13:$Y$112,16,FALSE)&lt;&gt;"",2012,IF(VLOOKUP(B40,Data_3!$B$13:$Y$112,15,FALSE)&lt;&gt;"",2011,IF(VLOOKUP(B40,Data_3!$B$13:$Y$112,14,FALSE)&lt;&gt;"",2010,IF(VLOOKUP(B40,Data_3!$B$13:$Y$112,13,FALSE)&lt;&gt;"",2009,IF(VLOOKUP(B40,Data_3!$B$13:$Y$112,12,FALSE)&lt;&gt;"",2008,IF(VLOOKUP(B40,Data_3!$B$13:$Y$112,11,FALSE)&lt;&gt;"",2007,IF(VLOOKUP(B40,Data_3!$B$13:$Y$112,10,FALSE)&lt;&gt;"",2006,IF(VLOOKUP(B40,Data_3!$B$13:$Y$112,9,FALSE)&lt;&gt;"",2005,IF(VLOOKUP(B40,Data_3!$B$13:$Y$112,8,FALSE)&lt;&gt;"",2004,IF(VLOOKUP(B40,Data_3!$B$13:$Y$112,7,FALSE)&lt;&gt;"",2003,IF(VLOOKUP(B40,Data_3!$B$13:$Y$1126,FALSE)&lt;&gt;"",2002,IF(VLOOKUP(B40,Data_3!$B$13:$Y$112,5,FALSE)&lt;&gt;"",2001,IF(VLOOKUP(B40,Data_3!$B$13:$Y$112,4,FALSE)&lt;&gt;"",2000,"N/A"))))))))))))))))))))))</f>
        <v/>
      </c>
      <c r="D40" s="1456" t="str">
        <f t="shared" si="0"/>
        <v/>
      </c>
      <c r="E40" s="1456"/>
      <c r="F40" s="1051" t="e">
        <f>VLOOKUP($D40,Data!$H$16:$BS$1015,F$9+1,FALSE)</f>
        <v>#N/A</v>
      </c>
      <c r="G40" s="1051" t="e">
        <f>VLOOKUP($D40,Data!$H$16:$BS$1015,G$9+1,FALSE)</f>
        <v>#N/A</v>
      </c>
      <c r="H40" s="1052" t="e">
        <f>VLOOKUP($D40,Data!$H$16:$BS$1015,H$9+1,FALSE)</f>
        <v>#N/A</v>
      </c>
      <c r="I40" s="1051" t="e">
        <f>VLOOKUP($D40,Data!$H$16:$BS$1015,I$9+1,FALSE)</f>
        <v>#N/A</v>
      </c>
      <c r="J40" s="1051" t="e">
        <f>VLOOKUP($D40,Data!$H$16:$BS$1015,J$9+1,FALSE)</f>
        <v>#N/A</v>
      </c>
      <c r="K40" s="1052" t="e">
        <f>VLOOKUP($D40,Data!$H$16:$BS$1015,K$9+1,FALSE)</f>
        <v>#N/A</v>
      </c>
      <c r="L40" s="1051" t="e">
        <f>VLOOKUP($D40,Data!$H$16:$BS$1015,L$9+1,FALSE)</f>
        <v>#N/A</v>
      </c>
      <c r="M40" s="1051" t="e">
        <f>VLOOKUP($D40,Data!$H$16:$BS$1015,M$9+1,FALSE)</f>
        <v>#N/A</v>
      </c>
      <c r="N40" s="1052" t="e">
        <f>VLOOKUP($D40,Data!$H$16:$BS$1015,N$9+1,FALSE)</f>
        <v>#N/A</v>
      </c>
      <c r="O40" s="1051" t="e">
        <f>VLOOKUP($D40,Data!$H$16:$BS$1015,O$9+1,FALSE)</f>
        <v>#N/A</v>
      </c>
      <c r="P40" s="1051" t="e">
        <f>VLOOKUP($D40,Data!$H$16:$BS$1015,P$9+1,FALSE)</f>
        <v>#N/A</v>
      </c>
      <c r="Q40" s="1052" t="e">
        <f>VLOOKUP($D40,Data!$H$16:$BS$1015,Q$9+1,FALSE)</f>
        <v>#N/A</v>
      </c>
      <c r="R40" s="1053" t="e">
        <f>VLOOKUP($D40,Data!$H$16:$BS$1015,R$9+1,FALSE)</f>
        <v>#N/A</v>
      </c>
      <c r="S40" s="1051" t="e">
        <f>VLOOKUP($D40,Data!$H$16:$BS$1015,S$9+1,FALSE)</f>
        <v>#N/A</v>
      </c>
      <c r="T40" s="1051" t="e">
        <f>VLOOKUP($D40,Data!$H$16:$BS$1015,T$9+1,FALSE)</f>
        <v>#N/A</v>
      </c>
      <c r="U40" s="1052" t="e">
        <f>VLOOKUP($D40,Data!$H$16:$BS$1015,U$9+1,FALSE)</f>
        <v>#N/A</v>
      </c>
      <c r="V40" s="1051" t="e">
        <f>VLOOKUP($D40,Data!$H$16:$BS$1015,V$9+1,FALSE)</f>
        <v>#N/A</v>
      </c>
      <c r="W40" s="1051" t="e">
        <f>VLOOKUP($D40,Data!$H$16:$BS$1015,W$9+1,FALSE)</f>
        <v>#N/A</v>
      </c>
      <c r="X40" s="1052" t="e">
        <f>VLOOKUP($D40,Data!$H$16:$BS$1015,X$9+1,FALSE)</f>
        <v>#N/A</v>
      </c>
      <c r="Y40" s="1051" t="e">
        <f>VLOOKUP($D40,Data!$H$16:$BS$1015,Y$9+1,FALSE)</f>
        <v>#N/A</v>
      </c>
      <c r="Z40" s="1051" t="e">
        <f>VLOOKUP($D40,Data!$H$16:$BS$1015,Z$9+1,FALSE)</f>
        <v>#N/A</v>
      </c>
      <c r="AA40" s="1051" t="e">
        <f>VLOOKUP($D40,Data!$H$16:$BS$1015,AA$9+1,FALSE)</f>
        <v>#N/A</v>
      </c>
      <c r="AB40" s="1051" t="e">
        <f>VLOOKUP($D40,Data!$H$16:$BS$1015,AB$9+1,FALSE)</f>
        <v>#N/A</v>
      </c>
      <c r="AC40" s="1052" t="e">
        <f>VLOOKUP($D40,Data!$H$16:$BS$1015,AC$9+1,FALSE)</f>
        <v>#N/A</v>
      </c>
      <c r="AD40" s="1051" t="e">
        <f>VLOOKUP($D40,Data!$H$16:$BS$1015,AD$9+1,FALSE)</f>
        <v>#N/A</v>
      </c>
      <c r="AE40" s="1051" t="e">
        <f>VLOOKUP($D40,Data!$H$16:$BS$1015,AE$9+1,FALSE)</f>
        <v>#N/A</v>
      </c>
      <c r="AF40" s="1052" t="e">
        <f>VLOOKUP($D40,Data!$H$16:$BS$1015,AF$9+1,FALSE)</f>
        <v>#N/A</v>
      </c>
      <c r="AG40" s="1051" t="e">
        <f>VLOOKUP($D40,Data!$H$16:$BS$1015,AG$9+1,FALSE)</f>
        <v>#N/A</v>
      </c>
      <c r="AH40" s="1051" t="e">
        <f>VLOOKUP($D40,Data!$H$16:$BS$1015,AH$9+1,FALSE)</f>
        <v>#N/A</v>
      </c>
      <c r="AI40" s="1052" t="e">
        <f>VLOOKUP($D40,Data!$H$16:$BS$1015,AI$9+1,FALSE)</f>
        <v>#N/A</v>
      </c>
      <c r="AJ40" s="1051" t="e">
        <f>VLOOKUP($D40,Data!$H$16:$BS$1015,AJ$9+1,FALSE)</f>
        <v>#N/A</v>
      </c>
      <c r="AK40" s="1051" t="e">
        <f>VLOOKUP($D40,Data!$H$16:$BS$1015,AK$9+1,FALSE)</f>
        <v>#N/A</v>
      </c>
      <c r="AL40" s="1052" t="e">
        <f>VLOOKUP($D40,Data!$H$16:$BS$1015,AL$9+1,FALSE)</f>
        <v>#N/A</v>
      </c>
      <c r="AM40" s="1051" t="e">
        <f>VLOOKUP($D40,Data!$H$16:$BS$1015,AM$9+1,FALSE)</f>
        <v>#N/A</v>
      </c>
      <c r="AN40" s="1051" t="e">
        <f>VLOOKUP($D40,Data!$H$16:$BS$1015,AN$9+1,FALSE)</f>
        <v>#N/A</v>
      </c>
      <c r="AO40" s="1052" t="e">
        <f>VLOOKUP($D40,Data!$H$16:$BS$1015,AO$9+1,FALSE)</f>
        <v>#N/A</v>
      </c>
      <c r="AP40" s="1051" t="e">
        <f>VLOOKUP($D40,Data!$H$16:$BS$1015,AP$9+1,FALSE)</f>
        <v>#N/A</v>
      </c>
      <c r="AQ40" s="1051" t="e">
        <f>VLOOKUP($D40,Data!$H$16:$BS$1015,AQ$9+1,FALSE)</f>
        <v>#N/A</v>
      </c>
      <c r="AR40" s="1053" t="e">
        <f>VLOOKUP($D40,Data!$H$16:$BS$1015,AR$9+1,FALSE)</f>
        <v>#N/A</v>
      </c>
      <c r="AS40" s="1051" t="e">
        <f>VLOOKUP($D40,Data!$H$16:$BS$1015,AS$9+1,FALSE)</f>
        <v>#N/A</v>
      </c>
      <c r="AT40" s="1051" t="e">
        <f>VLOOKUP($D40,Data!$H$16:$BS$1015,AT$9+1,FALSE)</f>
        <v>#N/A</v>
      </c>
      <c r="AU40" s="1053" t="e">
        <f>VLOOKUP($D40,Data!$H$16:$BS$1015,AU$9+1,FALSE)</f>
        <v>#N/A</v>
      </c>
      <c r="AV40" s="1051" t="e">
        <f>VLOOKUP($D40,Data!$H$16:$BS$1015,AV$9+1,FALSE)</f>
        <v>#N/A</v>
      </c>
      <c r="AW40" s="1051" t="e">
        <f>VLOOKUP($D40,Data!$H$16:$BS$1015,AW$9+1,FALSE)</f>
        <v>#N/A</v>
      </c>
      <c r="AX40" s="1053" t="e">
        <f>VLOOKUP($D40,Data!$H$16:$BS$1015,AX$9+1,FALSE)</f>
        <v>#N/A</v>
      </c>
      <c r="AY40" s="1051" t="e">
        <f>VLOOKUP($D40,Data!$H$16:$BS$1015,AY$9+1,FALSE)</f>
        <v>#N/A</v>
      </c>
      <c r="AZ40" s="1051" t="e">
        <f>VLOOKUP($D40,Data!$H$16:$BS$1015,AZ$9+1,FALSE)</f>
        <v>#N/A</v>
      </c>
      <c r="BA40" s="1053" t="e">
        <f>VLOOKUP($D40,Data!$H$16:$BS$1015,BA$9+1,FALSE)</f>
        <v>#N/A</v>
      </c>
      <c r="BB40" s="1052" t="e">
        <f>VLOOKUP($D40,Data!$H$16:$BS$1015,BB$9+1,FALSE)</f>
        <v>#N/A</v>
      </c>
      <c r="BC40" s="1052" t="e">
        <f>VLOOKUP($D40,Data!$H$16:$BS$1015,BC$9+1,FALSE)</f>
        <v>#N/A</v>
      </c>
      <c r="BD40" s="1052" t="e">
        <f>VLOOKUP($D40,Data!$H$16:$BS$1015,BD$9+1,FALSE)</f>
        <v>#N/A</v>
      </c>
      <c r="BE40" s="1052" t="e">
        <f>VLOOKUP($D40,Data!$H$16:$BS$1015,BE$9+1,FALSE)</f>
        <v>#N/A</v>
      </c>
      <c r="BF40" s="1052" t="e">
        <f>VLOOKUP($D40,Data!$H$16:$BS$1015,BF$9+1,FALSE)</f>
        <v>#N/A</v>
      </c>
      <c r="BG40" s="1054" t="e">
        <f>VLOOKUP($D40,Data!$H$16:$BS$1015,BG$9+1,FALSE)</f>
        <v>#N/A</v>
      </c>
      <c r="BH40" s="1051" t="e">
        <f>VLOOKUP($D40,Data!$H$16:$BS$1015,BH$9+2,FALSE)</f>
        <v>#N/A</v>
      </c>
      <c r="BI40" s="1052" t="e">
        <f>VLOOKUP($D40,Data!$H$16:$BS$1015,BI$9+2,FALSE)</f>
        <v>#N/A</v>
      </c>
      <c r="BJ40" s="1054" t="e">
        <f>VLOOKUP($D40,Data!$H$16:$BS$1015,BJ$9+2,FALSE)</f>
        <v>#N/A</v>
      </c>
      <c r="BK40" s="1053" t="e">
        <f>VLOOKUP($D40,Data!$H$16:$BS$1015,BK$9+2,FALSE)</f>
        <v>#N/A</v>
      </c>
    </row>
    <row r="41" spans="1:63" s="1121" customFormat="1" ht="15" customHeight="1">
      <c r="A41" s="1185">
        <v>30</v>
      </c>
      <c r="B41" s="1443">
        <f ca="1">Data_3!B42</f>
        <v>0</v>
      </c>
      <c r="C41" s="1444" t="str">
        <f ca="1">IF(B41="","",IF(VLOOKUP(B41,Data_3!$B$13:$Y$112,24,FALSE)&lt;&gt;"",2020,IF(VLOOKUP(B41,Data_3!$B$13:$Y$112,23,FALSE)&lt;&gt;"",2019,IF(VLOOKUP(B41,Data_3!$B$13:$Y$112,22,FALSE)&lt;&gt;"",2018,IF(VLOOKUP(B41,Data_3!$B$13:$Y$112,21,FALSE)&lt;&gt;"",2017,IF(VLOOKUP(B41,Data_3!$B$13:$Y$112,20,FALSE)&lt;&gt;"",2016,IF(VLOOKUP(B41,Data_3!$B$13:$Y$112,19,FALSE)&lt;&gt;"",2015,IF(VLOOKUP(B41,Data_3!$B$13:$Y$112,18,FALSE)&lt;&gt;"",2014,IF(VLOOKUP(B41,Data_3!$B$13:$Y$112,17,FALSE)&lt;&gt;"",2013,IF(VLOOKUP(B41,Data_3!$B$13:$Y$112,16,FALSE)&lt;&gt;"",2012,IF(VLOOKUP(B41,Data_3!$B$13:$Y$112,15,FALSE)&lt;&gt;"",2011,IF(VLOOKUP(B41,Data_3!$B$13:$Y$112,14,FALSE)&lt;&gt;"",2010,IF(VLOOKUP(B41,Data_3!$B$13:$Y$112,13,FALSE)&lt;&gt;"",2009,IF(VLOOKUP(B41,Data_3!$B$13:$Y$112,12,FALSE)&lt;&gt;"",2008,IF(VLOOKUP(B41,Data_3!$B$13:$Y$112,11,FALSE)&lt;&gt;"",2007,IF(VLOOKUP(B41,Data_3!$B$13:$Y$112,10,FALSE)&lt;&gt;"",2006,IF(VLOOKUP(B41,Data_3!$B$13:$Y$112,9,FALSE)&lt;&gt;"",2005,IF(VLOOKUP(B41,Data_3!$B$13:$Y$112,8,FALSE)&lt;&gt;"",2004,IF(VLOOKUP(B41,Data_3!$B$13:$Y$112,7,FALSE)&lt;&gt;"",2003,IF(VLOOKUP(B41,Data_3!$B$13:$Y$1126,FALSE)&lt;&gt;"",2002,IF(VLOOKUP(B41,Data_3!$B$13:$Y$112,5,FALSE)&lt;&gt;"",2001,IF(VLOOKUP(B41,Data_3!$B$13:$Y$112,4,FALSE)&lt;&gt;"",2000,"N/A"))))))))))))))))))))))</f>
        <v/>
      </c>
      <c r="D41" s="1456" t="str">
        <f t="shared" ca="1" si="0"/>
        <v/>
      </c>
      <c r="E41" s="1456"/>
      <c r="F41" s="1051">
        <f ca="1">VLOOKUP($D41,Data!$H$16:$BS$1015,F$9+1,FALSE)</f>
        <v>0</v>
      </c>
      <c r="G41" s="1051">
        <f ca="1">VLOOKUP($D41,Data!$H$16:$BS$1015,G$9+1,FALSE)</f>
        <v>0</v>
      </c>
      <c r="H41" s="1052">
        <f ca="1">VLOOKUP($D41,Data!$H$16:$BS$1015,H$9+1,FALSE)</f>
        <v>0</v>
      </c>
      <c r="I41" s="1051">
        <f ca="1">VLOOKUP($D41,Data!$H$16:$BS$1015,I$9+1,FALSE)</f>
        <v>0</v>
      </c>
      <c r="J41" s="1051">
        <f ca="1">VLOOKUP($D41,Data!$H$16:$BS$1015,J$9+1,FALSE)</f>
        <v>0</v>
      </c>
      <c r="K41" s="1052">
        <f ca="1">VLOOKUP($D41,Data!$H$16:$BS$1015,K$9+1,FALSE)</f>
        <v>0</v>
      </c>
      <c r="L41" s="1051">
        <f ca="1">VLOOKUP($D41,Data!$H$16:$BS$1015,L$9+1,FALSE)</f>
        <v>0</v>
      </c>
      <c r="M41" s="1051">
        <f ca="1">VLOOKUP($D41,Data!$H$16:$BS$1015,M$9+1,FALSE)</f>
        <v>0</v>
      </c>
      <c r="N41" s="1052">
        <f ca="1">VLOOKUP($D41,Data!$H$16:$BS$1015,N$9+1,FALSE)</f>
        <v>0</v>
      </c>
      <c r="O41" s="1051">
        <f ca="1">VLOOKUP($D41,Data!$H$16:$BS$1015,O$9+1,FALSE)</f>
        <v>0</v>
      </c>
      <c r="P41" s="1051">
        <f ca="1">VLOOKUP($D41,Data!$H$16:$BS$1015,P$9+1,FALSE)</f>
        <v>0</v>
      </c>
      <c r="Q41" s="1052">
        <f ca="1">VLOOKUP($D41,Data!$H$16:$BS$1015,Q$9+1,FALSE)</f>
        <v>0</v>
      </c>
      <c r="R41" s="1053">
        <f ca="1">VLOOKUP($D41,Data!$H$16:$BS$1015,R$9+1,FALSE)</f>
        <v>0</v>
      </c>
      <c r="S41" s="1051">
        <f ca="1">VLOOKUP($D41,Data!$H$16:$BS$1015,S$9+1,FALSE)</f>
        <v>0</v>
      </c>
      <c r="T41" s="1051">
        <f ca="1">VLOOKUP($D41,Data!$H$16:$BS$1015,T$9+1,FALSE)</f>
        <v>0</v>
      </c>
      <c r="U41" s="1052">
        <f ca="1">VLOOKUP($D41,Data!$H$16:$BS$1015,U$9+1,FALSE)</f>
        <v>0</v>
      </c>
      <c r="V41" s="1051">
        <f ca="1">VLOOKUP($D41,Data!$H$16:$BS$1015,V$9+1,FALSE)</f>
        <v>0</v>
      </c>
      <c r="W41" s="1051">
        <f ca="1">VLOOKUP($D41,Data!$H$16:$BS$1015,W$9+1,FALSE)</f>
        <v>0</v>
      </c>
      <c r="X41" s="1052">
        <f ca="1">VLOOKUP($D41,Data!$H$16:$BS$1015,X$9+1,FALSE)</f>
        <v>0</v>
      </c>
      <c r="Y41" s="1051">
        <f ca="1">VLOOKUP($D41,Data!$H$16:$BS$1015,Y$9+1,FALSE)</f>
        <v>0</v>
      </c>
      <c r="Z41" s="1051">
        <f ca="1">VLOOKUP($D41,Data!$H$16:$BS$1015,Z$9+1,FALSE)</f>
        <v>0</v>
      </c>
      <c r="AA41" s="1051">
        <f ca="1">VLOOKUP($D41,Data!$H$16:$BS$1015,AA$9+1,FALSE)</f>
        <v>0</v>
      </c>
      <c r="AB41" s="1051">
        <f ca="1">VLOOKUP($D41,Data!$H$16:$BS$1015,AB$9+1,FALSE)</f>
        <v>0</v>
      </c>
      <c r="AC41" s="1052">
        <f ca="1">VLOOKUP($D41,Data!$H$16:$BS$1015,AC$9+1,FALSE)</f>
        <v>0</v>
      </c>
      <c r="AD41" s="1051">
        <f ca="1">VLOOKUP($D41,Data!$H$16:$BS$1015,AD$9+1,FALSE)</f>
        <v>0</v>
      </c>
      <c r="AE41" s="1051">
        <f ca="1">VLOOKUP($D41,Data!$H$16:$BS$1015,AE$9+1,FALSE)</f>
        <v>0</v>
      </c>
      <c r="AF41" s="1052">
        <f ca="1">VLOOKUP($D41,Data!$H$16:$BS$1015,AF$9+1,FALSE)</f>
        <v>0</v>
      </c>
      <c r="AG41" s="1051">
        <f ca="1">VLOOKUP($D41,Data!$H$16:$BS$1015,AG$9+1,FALSE)</f>
        <v>0</v>
      </c>
      <c r="AH41" s="1051">
        <f ca="1">VLOOKUP($D41,Data!$H$16:$BS$1015,AH$9+1,FALSE)</f>
        <v>0</v>
      </c>
      <c r="AI41" s="1052">
        <f ca="1">VLOOKUP($D41,Data!$H$16:$BS$1015,AI$9+1,FALSE)</f>
        <v>0</v>
      </c>
      <c r="AJ41" s="1051">
        <f ca="1">VLOOKUP($D41,Data!$H$16:$BS$1015,AJ$9+1,FALSE)</f>
        <v>0</v>
      </c>
      <c r="AK41" s="1051">
        <f ca="1">VLOOKUP($D41,Data!$H$16:$BS$1015,AK$9+1,FALSE)</f>
        <v>0</v>
      </c>
      <c r="AL41" s="1052">
        <f ca="1">VLOOKUP($D41,Data!$H$16:$BS$1015,AL$9+1,FALSE)</f>
        <v>0</v>
      </c>
      <c r="AM41" s="1051">
        <f ca="1">VLOOKUP($D41,Data!$H$16:$BS$1015,AM$9+1,FALSE)</f>
        <v>0</v>
      </c>
      <c r="AN41" s="1051">
        <f ca="1">VLOOKUP($D41,Data!$H$16:$BS$1015,AN$9+1,FALSE)</f>
        <v>0</v>
      </c>
      <c r="AO41" s="1052">
        <f ca="1">VLOOKUP($D41,Data!$H$16:$BS$1015,AO$9+1,FALSE)</f>
        <v>0</v>
      </c>
      <c r="AP41" s="1051">
        <f ca="1">VLOOKUP($D41,Data!$H$16:$BS$1015,AP$9+1,FALSE)</f>
        <v>0</v>
      </c>
      <c r="AQ41" s="1051">
        <f ca="1">VLOOKUP($D41,Data!$H$16:$BS$1015,AQ$9+1,FALSE)</f>
        <v>0</v>
      </c>
      <c r="AR41" s="1053">
        <f ca="1">VLOOKUP($D41,Data!$H$16:$BS$1015,AR$9+1,FALSE)</f>
        <v>0</v>
      </c>
      <c r="AS41" s="1051">
        <f ca="1">VLOOKUP($D41,Data!$H$16:$BS$1015,AS$9+1,FALSE)</f>
        <v>0</v>
      </c>
      <c r="AT41" s="1051">
        <f ca="1">VLOOKUP($D41,Data!$H$16:$BS$1015,AT$9+1,FALSE)</f>
        <v>0</v>
      </c>
      <c r="AU41" s="1053">
        <f ca="1">VLOOKUP($D41,Data!$H$16:$BS$1015,AU$9+1,FALSE)</f>
        <v>0</v>
      </c>
      <c r="AV41" s="1051">
        <f ca="1">VLOOKUP($D41,Data!$H$16:$BS$1015,AV$9+1,FALSE)</f>
        <v>0</v>
      </c>
      <c r="AW41" s="1051">
        <f ca="1">VLOOKUP($D41,Data!$H$16:$BS$1015,AW$9+1,FALSE)</f>
        <v>0</v>
      </c>
      <c r="AX41" s="1053">
        <f ca="1">VLOOKUP($D41,Data!$H$16:$BS$1015,AX$9+1,FALSE)</f>
        <v>0</v>
      </c>
      <c r="AY41" s="1051">
        <f ca="1">VLOOKUP($D41,Data!$H$16:$BS$1015,AY$9+1,FALSE)</f>
        <v>0</v>
      </c>
      <c r="AZ41" s="1051">
        <f ca="1">VLOOKUP($D41,Data!$H$16:$BS$1015,AZ$9+1,FALSE)</f>
        <v>0</v>
      </c>
      <c r="BA41" s="1053">
        <f ca="1">VLOOKUP($D41,Data!$H$16:$BS$1015,BA$9+1,FALSE)</f>
        <v>0</v>
      </c>
      <c r="BB41" s="1052">
        <f ca="1">VLOOKUP($D41,Data!$H$16:$BS$1015,BB$9+1,FALSE)</f>
        <v>0</v>
      </c>
      <c r="BC41" s="1052">
        <f ca="1">VLOOKUP($D41,Data!$H$16:$BS$1015,BC$9+1,FALSE)</f>
        <v>0</v>
      </c>
      <c r="BD41" s="1052">
        <f ca="1">VLOOKUP($D41,Data!$H$16:$BS$1015,BD$9+1,FALSE)</f>
        <v>0</v>
      </c>
      <c r="BE41" s="1052">
        <f ca="1">VLOOKUP($D41,Data!$H$16:$BS$1015,BE$9+1,FALSE)</f>
        <v>0</v>
      </c>
      <c r="BF41" s="1052">
        <f ca="1">VLOOKUP($D41,Data!$H$16:$BS$1015,BF$9+1,FALSE)</f>
        <v>0</v>
      </c>
      <c r="BG41" s="1054">
        <f ca="1">VLOOKUP($D41,Data!$H$16:$BS$1015,BG$9+1,FALSE)</f>
        <v>0</v>
      </c>
      <c r="BH41" s="1051">
        <f ca="1">VLOOKUP($D41,Data!$H$16:$BS$1015,BH$9+2,FALSE)</f>
        <v>0</v>
      </c>
      <c r="BI41" s="1052">
        <f ca="1">VLOOKUP($D41,Data!$H$16:$BS$1015,BI$9+2,FALSE)</f>
        <v>0</v>
      </c>
      <c r="BJ41" s="1054">
        <f ca="1">VLOOKUP($D41,Data!$H$16:$BS$1015,BJ$9+2,FALSE)</f>
        <v>0</v>
      </c>
      <c r="BK41" s="1053">
        <f ca="1">VLOOKUP($D41,Data!$H$16:$BS$1015,BK$9+2,FALSE)</f>
        <v>0</v>
      </c>
    </row>
    <row r="42" spans="1:63" s="34" customFormat="1" ht="15" customHeight="1">
      <c r="A42" s="1185">
        <v>31</v>
      </c>
      <c r="B42" s="1443">
        <f ca="1">Data_3!B43</f>
        <v>0</v>
      </c>
      <c r="C42" s="1444" t="str">
        <f ca="1">IF(B42="","",IF(VLOOKUP(B42,Data_3!$B$13:$Y$112,24,FALSE)&lt;&gt;"",2020,IF(VLOOKUP(B42,Data_3!$B$13:$Y$112,23,FALSE)&lt;&gt;"",2019,IF(VLOOKUP(B42,Data_3!$B$13:$Y$112,22,FALSE)&lt;&gt;"",2018,IF(VLOOKUP(B42,Data_3!$B$13:$Y$112,21,FALSE)&lt;&gt;"",2017,IF(VLOOKUP(B42,Data_3!$B$13:$Y$112,20,FALSE)&lt;&gt;"",2016,IF(VLOOKUP(B42,Data_3!$B$13:$Y$112,19,FALSE)&lt;&gt;"",2015,IF(VLOOKUP(B42,Data_3!$B$13:$Y$112,18,FALSE)&lt;&gt;"",2014,IF(VLOOKUP(B42,Data_3!$B$13:$Y$112,17,FALSE)&lt;&gt;"",2013,IF(VLOOKUP(B42,Data_3!$B$13:$Y$112,16,FALSE)&lt;&gt;"",2012,IF(VLOOKUP(B42,Data_3!$B$13:$Y$112,15,FALSE)&lt;&gt;"",2011,IF(VLOOKUP(B42,Data_3!$B$13:$Y$112,14,FALSE)&lt;&gt;"",2010,IF(VLOOKUP(B42,Data_3!$B$13:$Y$112,13,FALSE)&lt;&gt;"",2009,IF(VLOOKUP(B42,Data_3!$B$13:$Y$112,12,FALSE)&lt;&gt;"",2008,IF(VLOOKUP(B42,Data_3!$B$13:$Y$112,11,FALSE)&lt;&gt;"",2007,IF(VLOOKUP(B42,Data_3!$B$13:$Y$112,10,FALSE)&lt;&gt;"",2006,IF(VLOOKUP(B42,Data_3!$B$13:$Y$112,9,FALSE)&lt;&gt;"",2005,IF(VLOOKUP(B42,Data_3!$B$13:$Y$112,8,FALSE)&lt;&gt;"",2004,IF(VLOOKUP(B42,Data_3!$B$13:$Y$112,7,FALSE)&lt;&gt;"",2003,IF(VLOOKUP(B42,Data_3!$B$13:$Y$1126,FALSE)&lt;&gt;"",2002,IF(VLOOKUP(B42,Data_3!$B$13:$Y$112,5,FALSE)&lt;&gt;"",2001,IF(VLOOKUP(B42,Data_3!$B$13:$Y$112,4,FALSE)&lt;&gt;"",2000,"N/A"))))))))))))))))))))))</f>
        <v/>
      </c>
      <c r="D42" s="1456" t="str">
        <f t="shared" ca="1" si="0"/>
        <v/>
      </c>
      <c r="E42" s="1456"/>
      <c r="F42" s="1051">
        <f ca="1">VLOOKUP($D42,Data!$H$16:$BS$1015,F$9+1,FALSE)</f>
        <v>0</v>
      </c>
      <c r="G42" s="1051">
        <f ca="1">VLOOKUP($D42,Data!$H$16:$BS$1015,G$9+1,FALSE)</f>
        <v>0</v>
      </c>
      <c r="H42" s="1052">
        <f ca="1">VLOOKUP($D42,Data!$H$16:$BS$1015,H$9+1,FALSE)</f>
        <v>0</v>
      </c>
      <c r="I42" s="1051">
        <f ca="1">VLOOKUP($D42,Data!$H$16:$BS$1015,I$9+1,FALSE)</f>
        <v>0</v>
      </c>
      <c r="J42" s="1051">
        <f ca="1">VLOOKUP($D42,Data!$H$16:$BS$1015,J$9+1,FALSE)</f>
        <v>0</v>
      </c>
      <c r="K42" s="1052">
        <f ca="1">VLOOKUP($D42,Data!$H$16:$BS$1015,K$9+1,FALSE)</f>
        <v>0</v>
      </c>
      <c r="L42" s="1051">
        <f ca="1">VLOOKUP($D42,Data!$H$16:$BS$1015,L$9+1,FALSE)</f>
        <v>0</v>
      </c>
      <c r="M42" s="1051">
        <f ca="1">VLOOKUP($D42,Data!$H$16:$BS$1015,M$9+1,FALSE)</f>
        <v>0</v>
      </c>
      <c r="N42" s="1052">
        <f ca="1">VLOOKUP($D42,Data!$H$16:$BS$1015,N$9+1,FALSE)</f>
        <v>0</v>
      </c>
      <c r="O42" s="1051">
        <f ca="1">VLOOKUP($D42,Data!$H$16:$BS$1015,O$9+1,FALSE)</f>
        <v>0</v>
      </c>
      <c r="P42" s="1051">
        <f ca="1">VLOOKUP($D42,Data!$H$16:$BS$1015,P$9+1,FALSE)</f>
        <v>0</v>
      </c>
      <c r="Q42" s="1052">
        <f ca="1">VLOOKUP($D42,Data!$H$16:$BS$1015,Q$9+1,FALSE)</f>
        <v>0</v>
      </c>
      <c r="R42" s="1053">
        <f ca="1">VLOOKUP($D42,Data!$H$16:$BS$1015,R$9+1,FALSE)</f>
        <v>0</v>
      </c>
      <c r="S42" s="1051">
        <f ca="1">VLOOKUP($D42,Data!$H$16:$BS$1015,S$9+1,FALSE)</f>
        <v>0</v>
      </c>
      <c r="T42" s="1051">
        <f ca="1">VLOOKUP($D42,Data!$H$16:$BS$1015,T$9+1,FALSE)</f>
        <v>0</v>
      </c>
      <c r="U42" s="1052">
        <f ca="1">VLOOKUP($D42,Data!$H$16:$BS$1015,U$9+1,FALSE)</f>
        <v>0</v>
      </c>
      <c r="V42" s="1051">
        <f ca="1">VLOOKUP($D42,Data!$H$16:$BS$1015,V$9+1,FALSE)</f>
        <v>0</v>
      </c>
      <c r="W42" s="1051">
        <f ca="1">VLOOKUP($D42,Data!$H$16:$BS$1015,W$9+1,FALSE)</f>
        <v>0</v>
      </c>
      <c r="X42" s="1052">
        <f ca="1">VLOOKUP($D42,Data!$H$16:$BS$1015,X$9+1,FALSE)</f>
        <v>0</v>
      </c>
      <c r="Y42" s="1051">
        <f ca="1">VLOOKUP($D42,Data!$H$16:$BS$1015,Y$9+1,FALSE)</f>
        <v>0</v>
      </c>
      <c r="Z42" s="1051">
        <f ca="1">VLOOKUP($D42,Data!$H$16:$BS$1015,Z$9+1,FALSE)</f>
        <v>0</v>
      </c>
      <c r="AA42" s="1051">
        <f ca="1">VLOOKUP($D42,Data!$H$16:$BS$1015,AA$9+1,FALSE)</f>
        <v>0</v>
      </c>
      <c r="AB42" s="1051">
        <f ca="1">VLOOKUP($D42,Data!$H$16:$BS$1015,AB$9+1,FALSE)</f>
        <v>0</v>
      </c>
      <c r="AC42" s="1052">
        <f ca="1">VLOOKUP($D42,Data!$H$16:$BS$1015,AC$9+1,FALSE)</f>
        <v>0</v>
      </c>
      <c r="AD42" s="1051">
        <f ca="1">VLOOKUP($D42,Data!$H$16:$BS$1015,AD$9+1,FALSE)</f>
        <v>0</v>
      </c>
      <c r="AE42" s="1051">
        <f ca="1">VLOOKUP($D42,Data!$H$16:$BS$1015,AE$9+1,FALSE)</f>
        <v>0</v>
      </c>
      <c r="AF42" s="1052">
        <f ca="1">VLOOKUP($D42,Data!$H$16:$BS$1015,AF$9+1,FALSE)</f>
        <v>0</v>
      </c>
      <c r="AG42" s="1051">
        <f ca="1">VLOOKUP($D42,Data!$H$16:$BS$1015,AG$9+1,FALSE)</f>
        <v>0</v>
      </c>
      <c r="AH42" s="1051">
        <f ca="1">VLOOKUP($D42,Data!$H$16:$BS$1015,AH$9+1,FALSE)</f>
        <v>0</v>
      </c>
      <c r="AI42" s="1052">
        <f ca="1">VLOOKUP($D42,Data!$H$16:$BS$1015,AI$9+1,FALSE)</f>
        <v>0</v>
      </c>
      <c r="AJ42" s="1051">
        <f ca="1">VLOOKUP($D42,Data!$H$16:$BS$1015,AJ$9+1,FALSE)</f>
        <v>0</v>
      </c>
      <c r="AK42" s="1051">
        <f ca="1">VLOOKUP($D42,Data!$H$16:$BS$1015,AK$9+1,FALSE)</f>
        <v>0</v>
      </c>
      <c r="AL42" s="1052">
        <f ca="1">VLOOKUP($D42,Data!$H$16:$BS$1015,AL$9+1,FALSE)</f>
        <v>0</v>
      </c>
      <c r="AM42" s="1051">
        <f ca="1">VLOOKUP($D42,Data!$H$16:$BS$1015,AM$9+1,FALSE)</f>
        <v>0</v>
      </c>
      <c r="AN42" s="1051">
        <f ca="1">VLOOKUP($D42,Data!$H$16:$BS$1015,AN$9+1,FALSE)</f>
        <v>0</v>
      </c>
      <c r="AO42" s="1052">
        <f ca="1">VLOOKUP($D42,Data!$H$16:$BS$1015,AO$9+1,FALSE)</f>
        <v>0</v>
      </c>
      <c r="AP42" s="1051">
        <f ca="1">VLOOKUP($D42,Data!$H$16:$BS$1015,AP$9+1,FALSE)</f>
        <v>0</v>
      </c>
      <c r="AQ42" s="1051">
        <f ca="1">VLOOKUP($D42,Data!$H$16:$BS$1015,AQ$9+1,FALSE)</f>
        <v>0</v>
      </c>
      <c r="AR42" s="1053">
        <f ca="1">VLOOKUP($D42,Data!$H$16:$BS$1015,AR$9+1,FALSE)</f>
        <v>0</v>
      </c>
      <c r="AS42" s="1051">
        <f ca="1">VLOOKUP($D42,Data!$H$16:$BS$1015,AS$9+1,FALSE)</f>
        <v>0</v>
      </c>
      <c r="AT42" s="1051">
        <f ca="1">VLOOKUP($D42,Data!$H$16:$BS$1015,AT$9+1,FALSE)</f>
        <v>0</v>
      </c>
      <c r="AU42" s="1053">
        <f ca="1">VLOOKUP($D42,Data!$H$16:$BS$1015,AU$9+1,FALSE)</f>
        <v>0</v>
      </c>
      <c r="AV42" s="1051">
        <f ca="1">VLOOKUP($D42,Data!$H$16:$BS$1015,AV$9+1,FALSE)</f>
        <v>0</v>
      </c>
      <c r="AW42" s="1051">
        <f ca="1">VLOOKUP($D42,Data!$H$16:$BS$1015,AW$9+1,FALSE)</f>
        <v>0</v>
      </c>
      <c r="AX42" s="1053">
        <f ca="1">VLOOKUP($D42,Data!$H$16:$BS$1015,AX$9+1,FALSE)</f>
        <v>0</v>
      </c>
      <c r="AY42" s="1051">
        <f ca="1">VLOOKUP($D42,Data!$H$16:$BS$1015,AY$9+1,FALSE)</f>
        <v>0</v>
      </c>
      <c r="AZ42" s="1051">
        <f ca="1">VLOOKUP($D42,Data!$H$16:$BS$1015,AZ$9+1,FALSE)</f>
        <v>0</v>
      </c>
      <c r="BA42" s="1053">
        <f ca="1">VLOOKUP($D42,Data!$H$16:$BS$1015,BA$9+1,FALSE)</f>
        <v>0</v>
      </c>
      <c r="BB42" s="1052">
        <f ca="1">VLOOKUP($D42,Data!$H$16:$BS$1015,BB$9+1,FALSE)</f>
        <v>0</v>
      </c>
      <c r="BC42" s="1052">
        <f ca="1">VLOOKUP($D42,Data!$H$16:$BS$1015,BC$9+1,FALSE)</f>
        <v>0</v>
      </c>
      <c r="BD42" s="1052">
        <f ca="1">VLOOKUP($D42,Data!$H$16:$BS$1015,BD$9+1,FALSE)</f>
        <v>0</v>
      </c>
      <c r="BE42" s="1052">
        <f ca="1">VLOOKUP($D42,Data!$H$16:$BS$1015,BE$9+1,FALSE)</f>
        <v>0</v>
      </c>
      <c r="BF42" s="1052">
        <f ca="1">VLOOKUP($D42,Data!$H$16:$BS$1015,BF$9+1,FALSE)</f>
        <v>0</v>
      </c>
      <c r="BG42" s="1054">
        <f ca="1">VLOOKUP($D42,Data!$H$16:$BS$1015,BG$9+1,FALSE)</f>
        <v>0</v>
      </c>
      <c r="BH42" s="1051">
        <f ca="1">VLOOKUP($D42,Data!$H$16:$BS$1015,BH$9+2,FALSE)</f>
        <v>0</v>
      </c>
      <c r="BI42" s="1052">
        <f ca="1">VLOOKUP($D42,Data!$H$16:$BS$1015,BI$9+2,FALSE)</f>
        <v>0</v>
      </c>
      <c r="BJ42" s="1054">
        <f ca="1">VLOOKUP($D42,Data!$H$16:$BS$1015,BJ$9+2,FALSE)</f>
        <v>0</v>
      </c>
      <c r="BK42" s="1053">
        <f ca="1">VLOOKUP($D42,Data!$H$16:$BS$1015,BK$9+2,FALSE)</f>
        <v>0</v>
      </c>
    </row>
    <row r="43" spans="1:63" s="34" customFormat="1" ht="15" customHeight="1">
      <c r="A43" s="1185">
        <v>32</v>
      </c>
      <c r="B43" s="1443">
        <f ca="1">Data_3!B44</f>
        <v>0</v>
      </c>
      <c r="C43" s="1444" t="str">
        <f ca="1">IF(B43="","",IF(VLOOKUP(B43,Data_3!$B$13:$Y$112,24,FALSE)&lt;&gt;"",2020,IF(VLOOKUP(B43,Data_3!$B$13:$Y$112,23,FALSE)&lt;&gt;"",2019,IF(VLOOKUP(B43,Data_3!$B$13:$Y$112,22,FALSE)&lt;&gt;"",2018,IF(VLOOKUP(B43,Data_3!$B$13:$Y$112,21,FALSE)&lt;&gt;"",2017,IF(VLOOKUP(B43,Data_3!$B$13:$Y$112,20,FALSE)&lt;&gt;"",2016,IF(VLOOKUP(B43,Data_3!$B$13:$Y$112,19,FALSE)&lt;&gt;"",2015,IF(VLOOKUP(B43,Data_3!$B$13:$Y$112,18,FALSE)&lt;&gt;"",2014,IF(VLOOKUP(B43,Data_3!$B$13:$Y$112,17,FALSE)&lt;&gt;"",2013,IF(VLOOKUP(B43,Data_3!$B$13:$Y$112,16,FALSE)&lt;&gt;"",2012,IF(VLOOKUP(B43,Data_3!$B$13:$Y$112,15,FALSE)&lt;&gt;"",2011,IF(VLOOKUP(B43,Data_3!$B$13:$Y$112,14,FALSE)&lt;&gt;"",2010,IF(VLOOKUP(B43,Data_3!$B$13:$Y$112,13,FALSE)&lt;&gt;"",2009,IF(VLOOKUP(B43,Data_3!$B$13:$Y$112,12,FALSE)&lt;&gt;"",2008,IF(VLOOKUP(B43,Data_3!$B$13:$Y$112,11,FALSE)&lt;&gt;"",2007,IF(VLOOKUP(B43,Data_3!$B$13:$Y$112,10,FALSE)&lt;&gt;"",2006,IF(VLOOKUP(B43,Data_3!$B$13:$Y$112,9,FALSE)&lt;&gt;"",2005,IF(VLOOKUP(B43,Data_3!$B$13:$Y$112,8,FALSE)&lt;&gt;"",2004,IF(VLOOKUP(B43,Data_3!$B$13:$Y$112,7,FALSE)&lt;&gt;"",2003,IF(VLOOKUP(B43,Data_3!$B$13:$Y$1126,FALSE)&lt;&gt;"",2002,IF(VLOOKUP(B43,Data_3!$B$13:$Y$112,5,FALSE)&lt;&gt;"",2001,IF(VLOOKUP(B43,Data_3!$B$13:$Y$112,4,FALSE)&lt;&gt;"",2000,"N/A"))))))))))))))))))))))</f>
        <v/>
      </c>
      <c r="D43" s="1456" t="str">
        <f t="shared" ca="1" si="0"/>
        <v/>
      </c>
      <c r="E43" s="1456"/>
      <c r="F43" s="1051">
        <f ca="1">VLOOKUP($D43,Data!$H$16:$BS$1015,F$9+1,FALSE)</f>
        <v>0</v>
      </c>
      <c r="G43" s="1051">
        <f ca="1">VLOOKUP($D43,Data!$H$16:$BS$1015,G$9+1,FALSE)</f>
        <v>0</v>
      </c>
      <c r="H43" s="1052">
        <f ca="1">VLOOKUP($D43,Data!$H$16:$BS$1015,H$9+1,FALSE)</f>
        <v>0</v>
      </c>
      <c r="I43" s="1051">
        <f ca="1">VLOOKUP($D43,Data!$H$16:$BS$1015,I$9+1,FALSE)</f>
        <v>0</v>
      </c>
      <c r="J43" s="1051">
        <f ca="1">VLOOKUP($D43,Data!$H$16:$BS$1015,J$9+1,FALSE)</f>
        <v>0</v>
      </c>
      <c r="K43" s="1052">
        <f ca="1">VLOOKUP($D43,Data!$H$16:$BS$1015,K$9+1,FALSE)</f>
        <v>0</v>
      </c>
      <c r="L43" s="1051">
        <f ca="1">VLOOKUP($D43,Data!$H$16:$BS$1015,L$9+1,FALSE)</f>
        <v>0</v>
      </c>
      <c r="M43" s="1051">
        <f ca="1">VLOOKUP($D43,Data!$H$16:$BS$1015,M$9+1,FALSE)</f>
        <v>0</v>
      </c>
      <c r="N43" s="1052">
        <f ca="1">VLOOKUP($D43,Data!$H$16:$BS$1015,N$9+1,FALSE)</f>
        <v>0</v>
      </c>
      <c r="O43" s="1051">
        <f ca="1">VLOOKUP($D43,Data!$H$16:$BS$1015,O$9+1,FALSE)</f>
        <v>0</v>
      </c>
      <c r="P43" s="1051">
        <f ca="1">VLOOKUP($D43,Data!$H$16:$BS$1015,P$9+1,FALSE)</f>
        <v>0</v>
      </c>
      <c r="Q43" s="1052">
        <f ca="1">VLOOKUP($D43,Data!$H$16:$BS$1015,Q$9+1,FALSE)</f>
        <v>0</v>
      </c>
      <c r="R43" s="1053">
        <f ca="1">VLOOKUP($D43,Data!$H$16:$BS$1015,R$9+1,FALSE)</f>
        <v>0</v>
      </c>
      <c r="S43" s="1051">
        <f ca="1">VLOOKUP($D43,Data!$H$16:$BS$1015,S$9+1,FALSE)</f>
        <v>0</v>
      </c>
      <c r="T43" s="1051">
        <f ca="1">VLOOKUP($D43,Data!$H$16:$BS$1015,T$9+1,FALSE)</f>
        <v>0</v>
      </c>
      <c r="U43" s="1052">
        <f ca="1">VLOOKUP($D43,Data!$H$16:$BS$1015,U$9+1,FALSE)</f>
        <v>0</v>
      </c>
      <c r="V43" s="1051">
        <f ca="1">VLOOKUP($D43,Data!$H$16:$BS$1015,V$9+1,FALSE)</f>
        <v>0</v>
      </c>
      <c r="W43" s="1051">
        <f ca="1">VLOOKUP($D43,Data!$H$16:$BS$1015,W$9+1,FALSE)</f>
        <v>0</v>
      </c>
      <c r="X43" s="1052">
        <f ca="1">VLOOKUP($D43,Data!$H$16:$BS$1015,X$9+1,FALSE)</f>
        <v>0</v>
      </c>
      <c r="Y43" s="1051">
        <f ca="1">VLOOKUP($D43,Data!$H$16:$BS$1015,Y$9+1,FALSE)</f>
        <v>0</v>
      </c>
      <c r="Z43" s="1051">
        <f ca="1">VLOOKUP($D43,Data!$H$16:$BS$1015,Z$9+1,FALSE)</f>
        <v>0</v>
      </c>
      <c r="AA43" s="1051">
        <f ca="1">VLOOKUP($D43,Data!$H$16:$BS$1015,AA$9+1,FALSE)</f>
        <v>0</v>
      </c>
      <c r="AB43" s="1051">
        <f ca="1">VLOOKUP($D43,Data!$H$16:$BS$1015,AB$9+1,FALSE)</f>
        <v>0</v>
      </c>
      <c r="AC43" s="1052">
        <f ca="1">VLOOKUP($D43,Data!$H$16:$BS$1015,AC$9+1,FALSE)</f>
        <v>0</v>
      </c>
      <c r="AD43" s="1051">
        <f ca="1">VLOOKUP($D43,Data!$H$16:$BS$1015,AD$9+1,FALSE)</f>
        <v>0</v>
      </c>
      <c r="AE43" s="1051">
        <f ca="1">VLOOKUP($D43,Data!$H$16:$BS$1015,AE$9+1,FALSE)</f>
        <v>0</v>
      </c>
      <c r="AF43" s="1052">
        <f ca="1">VLOOKUP($D43,Data!$H$16:$BS$1015,AF$9+1,FALSE)</f>
        <v>0</v>
      </c>
      <c r="AG43" s="1051">
        <f ca="1">VLOOKUP($D43,Data!$H$16:$BS$1015,AG$9+1,FALSE)</f>
        <v>0</v>
      </c>
      <c r="AH43" s="1051">
        <f ca="1">VLOOKUP($D43,Data!$H$16:$BS$1015,AH$9+1,FALSE)</f>
        <v>0</v>
      </c>
      <c r="AI43" s="1052">
        <f ca="1">VLOOKUP($D43,Data!$H$16:$BS$1015,AI$9+1,FALSE)</f>
        <v>0</v>
      </c>
      <c r="AJ43" s="1051">
        <f ca="1">VLOOKUP($D43,Data!$H$16:$BS$1015,AJ$9+1,FALSE)</f>
        <v>0</v>
      </c>
      <c r="AK43" s="1051">
        <f ca="1">VLOOKUP($D43,Data!$H$16:$BS$1015,AK$9+1,FALSE)</f>
        <v>0</v>
      </c>
      <c r="AL43" s="1052">
        <f ca="1">VLOOKUP($D43,Data!$H$16:$BS$1015,AL$9+1,FALSE)</f>
        <v>0</v>
      </c>
      <c r="AM43" s="1051">
        <f ca="1">VLOOKUP($D43,Data!$H$16:$BS$1015,AM$9+1,FALSE)</f>
        <v>0</v>
      </c>
      <c r="AN43" s="1051">
        <f ca="1">VLOOKUP($D43,Data!$H$16:$BS$1015,AN$9+1,FALSE)</f>
        <v>0</v>
      </c>
      <c r="AO43" s="1052">
        <f ca="1">VLOOKUP($D43,Data!$H$16:$BS$1015,AO$9+1,FALSE)</f>
        <v>0</v>
      </c>
      <c r="AP43" s="1051">
        <f ca="1">VLOOKUP($D43,Data!$H$16:$BS$1015,AP$9+1,FALSE)</f>
        <v>0</v>
      </c>
      <c r="AQ43" s="1051">
        <f ca="1">VLOOKUP($D43,Data!$H$16:$BS$1015,AQ$9+1,FALSE)</f>
        <v>0</v>
      </c>
      <c r="AR43" s="1053">
        <f ca="1">VLOOKUP($D43,Data!$H$16:$BS$1015,AR$9+1,FALSE)</f>
        <v>0</v>
      </c>
      <c r="AS43" s="1051">
        <f ca="1">VLOOKUP($D43,Data!$H$16:$BS$1015,AS$9+1,FALSE)</f>
        <v>0</v>
      </c>
      <c r="AT43" s="1051">
        <f ca="1">VLOOKUP($D43,Data!$H$16:$BS$1015,AT$9+1,FALSE)</f>
        <v>0</v>
      </c>
      <c r="AU43" s="1053">
        <f ca="1">VLOOKUP($D43,Data!$H$16:$BS$1015,AU$9+1,FALSE)</f>
        <v>0</v>
      </c>
      <c r="AV43" s="1051">
        <f ca="1">VLOOKUP($D43,Data!$H$16:$BS$1015,AV$9+1,FALSE)</f>
        <v>0</v>
      </c>
      <c r="AW43" s="1051">
        <f ca="1">VLOOKUP($D43,Data!$H$16:$BS$1015,AW$9+1,FALSE)</f>
        <v>0</v>
      </c>
      <c r="AX43" s="1053">
        <f ca="1">VLOOKUP($D43,Data!$H$16:$BS$1015,AX$9+1,FALSE)</f>
        <v>0</v>
      </c>
      <c r="AY43" s="1051">
        <f ca="1">VLOOKUP($D43,Data!$H$16:$BS$1015,AY$9+1,FALSE)</f>
        <v>0</v>
      </c>
      <c r="AZ43" s="1051">
        <f ca="1">VLOOKUP($D43,Data!$H$16:$BS$1015,AZ$9+1,FALSE)</f>
        <v>0</v>
      </c>
      <c r="BA43" s="1053">
        <f ca="1">VLOOKUP($D43,Data!$H$16:$BS$1015,BA$9+1,FALSE)</f>
        <v>0</v>
      </c>
      <c r="BB43" s="1052">
        <f ca="1">VLOOKUP($D43,Data!$H$16:$BS$1015,BB$9+1,FALSE)</f>
        <v>0</v>
      </c>
      <c r="BC43" s="1052">
        <f ca="1">VLOOKUP($D43,Data!$H$16:$BS$1015,BC$9+1,FALSE)</f>
        <v>0</v>
      </c>
      <c r="BD43" s="1052">
        <f ca="1">VLOOKUP($D43,Data!$H$16:$BS$1015,BD$9+1,FALSE)</f>
        <v>0</v>
      </c>
      <c r="BE43" s="1052">
        <f ca="1">VLOOKUP($D43,Data!$H$16:$BS$1015,BE$9+1,FALSE)</f>
        <v>0</v>
      </c>
      <c r="BF43" s="1052">
        <f ca="1">VLOOKUP($D43,Data!$H$16:$BS$1015,BF$9+1,FALSE)</f>
        <v>0</v>
      </c>
      <c r="BG43" s="1054">
        <f ca="1">VLOOKUP($D43,Data!$H$16:$BS$1015,BG$9+1,FALSE)</f>
        <v>0</v>
      </c>
      <c r="BH43" s="1051">
        <f ca="1">VLOOKUP($D43,Data!$H$16:$BS$1015,BH$9+2,FALSE)</f>
        <v>0</v>
      </c>
      <c r="BI43" s="1052">
        <f ca="1">VLOOKUP($D43,Data!$H$16:$BS$1015,BI$9+2,FALSE)</f>
        <v>0</v>
      </c>
      <c r="BJ43" s="1054">
        <f ca="1">VLOOKUP($D43,Data!$H$16:$BS$1015,BJ$9+2,FALSE)</f>
        <v>0</v>
      </c>
      <c r="BK43" s="1053">
        <f ca="1">VLOOKUP($D43,Data!$H$16:$BS$1015,BK$9+2,FALSE)</f>
        <v>0</v>
      </c>
    </row>
    <row r="44" spans="1:63" s="34" customFormat="1" ht="15" customHeight="1">
      <c r="A44" s="1185">
        <v>33</v>
      </c>
      <c r="B44" s="1443">
        <f ca="1">Data_3!B45</f>
        <v>0</v>
      </c>
      <c r="C44" s="1444" t="str">
        <f ca="1">IF(B44="","",IF(VLOOKUP(B44,Data_3!$B$13:$Y$112,24,FALSE)&lt;&gt;"",2020,IF(VLOOKUP(B44,Data_3!$B$13:$Y$112,23,FALSE)&lt;&gt;"",2019,IF(VLOOKUP(B44,Data_3!$B$13:$Y$112,22,FALSE)&lt;&gt;"",2018,IF(VLOOKUP(B44,Data_3!$B$13:$Y$112,21,FALSE)&lt;&gt;"",2017,IF(VLOOKUP(B44,Data_3!$B$13:$Y$112,20,FALSE)&lt;&gt;"",2016,IF(VLOOKUP(B44,Data_3!$B$13:$Y$112,19,FALSE)&lt;&gt;"",2015,IF(VLOOKUP(B44,Data_3!$B$13:$Y$112,18,FALSE)&lt;&gt;"",2014,IF(VLOOKUP(B44,Data_3!$B$13:$Y$112,17,FALSE)&lt;&gt;"",2013,IF(VLOOKUP(B44,Data_3!$B$13:$Y$112,16,FALSE)&lt;&gt;"",2012,IF(VLOOKUP(B44,Data_3!$B$13:$Y$112,15,FALSE)&lt;&gt;"",2011,IF(VLOOKUP(B44,Data_3!$B$13:$Y$112,14,FALSE)&lt;&gt;"",2010,IF(VLOOKUP(B44,Data_3!$B$13:$Y$112,13,FALSE)&lt;&gt;"",2009,IF(VLOOKUP(B44,Data_3!$B$13:$Y$112,12,FALSE)&lt;&gt;"",2008,IF(VLOOKUP(B44,Data_3!$B$13:$Y$112,11,FALSE)&lt;&gt;"",2007,IF(VLOOKUP(B44,Data_3!$B$13:$Y$112,10,FALSE)&lt;&gt;"",2006,IF(VLOOKUP(B44,Data_3!$B$13:$Y$112,9,FALSE)&lt;&gt;"",2005,IF(VLOOKUP(B44,Data_3!$B$13:$Y$112,8,FALSE)&lt;&gt;"",2004,IF(VLOOKUP(B44,Data_3!$B$13:$Y$112,7,FALSE)&lt;&gt;"",2003,IF(VLOOKUP(B44,Data_3!$B$13:$Y$1126,FALSE)&lt;&gt;"",2002,IF(VLOOKUP(B44,Data_3!$B$13:$Y$112,5,FALSE)&lt;&gt;"",2001,IF(VLOOKUP(B44,Data_3!$B$13:$Y$112,4,FALSE)&lt;&gt;"",2000,"N/A"))))))))))))))))))))))</f>
        <v/>
      </c>
      <c r="D44" s="1456" t="str">
        <f t="shared" ca="1" si="0"/>
        <v/>
      </c>
      <c r="E44" s="1456"/>
      <c r="F44" s="1051">
        <f ca="1">VLOOKUP($D44,Data!$H$16:$BS$1015,F$9+1,FALSE)</f>
        <v>0</v>
      </c>
      <c r="G44" s="1051">
        <f ca="1">VLOOKUP($D44,Data!$H$16:$BS$1015,G$9+1,FALSE)</f>
        <v>0</v>
      </c>
      <c r="H44" s="1052">
        <f ca="1">VLOOKUP($D44,Data!$H$16:$BS$1015,H$9+1,FALSE)</f>
        <v>0</v>
      </c>
      <c r="I44" s="1051">
        <f ca="1">VLOOKUP($D44,Data!$H$16:$BS$1015,I$9+1,FALSE)</f>
        <v>0</v>
      </c>
      <c r="J44" s="1051">
        <f ca="1">VLOOKUP($D44,Data!$H$16:$BS$1015,J$9+1,FALSE)</f>
        <v>0</v>
      </c>
      <c r="K44" s="1052">
        <f ca="1">VLOOKUP($D44,Data!$H$16:$BS$1015,K$9+1,FALSE)</f>
        <v>0</v>
      </c>
      <c r="L44" s="1051">
        <f ca="1">VLOOKUP($D44,Data!$H$16:$BS$1015,L$9+1,FALSE)</f>
        <v>0</v>
      </c>
      <c r="M44" s="1051">
        <f ca="1">VLOOKUP($D44,Data!$H$16:$BS$1015,M$9+1,FALSE)</f>
        <v>0</v>
      </c>
      <c r="N44" s="1052">
        <f ca="1">VLOOKUP($D44,Data!$H$16:$BS$1015,N$9+1,FALSE)</f>
        <v>0</v>
      </c>
      <c r="O44" s="1051">
        <f ca="1">VLOOKUP($D44,Data!$H$16:$BS$1015,O$9+1,FALSE)</f>
        <v>0</v>
      </c>
      <c r="P44" s="1051">
        <f ca="1">VLOOKUP($D44,Data!$H$16:$BS$1015,P$9+1,FALSE)</f>
        <v>0</v>
      </c>
      <c r="Q44" s="1052">
        <f ca="1">VLOOKUP($D44,Data!$H$16:$BS$1015,Q$9+1,FALSE)</f>
        <v>0</v>
      </c>
      <c r="R44" s="1053">
        <f ca="1">VLOOKUP($D44,Data!$H$16:$BS$1015,R$9+1,FALSE)</f>
        <v>0</v>
      </c>
      <c r="S44" s="1051">
        <f ca="1">VLOOKUP($D44,Data!$H$16:$BS$1015,S$9+1,FALSE)</f>
        <v>0</v>
      </c>
      <c r="T44" s="1051">
        <f ca="1">VLOOKUP($D44,Data!$H$16:$BS$1015,T$9+1,FALSE)</f>
        <v>0</v>
      </c>
      <c r="U44" s="1052">
        <f ca="1">VLOOKUP($D44,Data!$H$16:$BS$1015,U$9+1,FALSE)</f>
        <v>0</v>
      </c>
      <c r="V44" s="1051">
        <f ca="1">VLOOKUP($D44,Data!$H$16:$BS$1015,V$9+1,FALSE)</f>
        <v>0</v>
      </c>
      <c r="W44" s="1051">
        <f ca="1">VLOOKUP($D44,Data!$H$16:$BS$1015,W$9+1,FALSE)</f>
        <v>0</v>
      </c>
      <c r="X44" s="1052">
        <f ca="1">VLOOKUP($D44,Data!$H$16:$BS$1015,X$9+1,FALSE)</f>
        <v>0</v>
      </c>
      <c r="Y44" s="1051">
        <f ca="1">VLOOKUP($D44,Data!$H$16:$BS$1015,Y$9+1,FALSE)</f>
        <v>0</v>
      </c>
      <c r="Z44" s="1051">
        <f ca="1">VLOOKUP($D44,Data!$H$16:$BS$1015,Z$9+1,FALSE)</f>
        <v>0</v>
      </c>
      <c r="AA44" s="1051">
        <f ca="1">VLOOKUP($D44,Data!$H$16:$BS$1015,AA$9+1,FALSE)</f>
        <v>0</v>
      </c>
      <c r="AB44" s="1051">
        <f ca="1">VLOOKUP($D44,Data!$H$16:$BS$1015,AB$9+1,FALSE)</f>
        <v>0</v>
      </c>
      <c r="AC44" s="1052">
        <f ca="1">VLOOKUP($D44,Data!$H$16:$BS$1015,AC$9+1,FALSE)</f>
        <v>0</v>
      </c>
      <c r="AD44" s="1051">
        <f ca="1">VLOOKUP($D44,Data!$H$16:$BS$1015,AD$9+1,FALSE)</f>
        <v>0</v>
      </c>
      <c r="AE44" s="1051">
        <f ca="1">VLOOKUP($D44,Data!$H$16:$BS$1015,AE$9+1,FALSE)</f>
        <v>0</v>
      </c>
      <c r="AF44" s="1052">
        <f ca="1">VLOOKUP($D44,Data!$H$16:$BS$1015,AF$9+1,FALSE)</f>
        <v>0</v>
      </c>
      <c r="AG44" s="1051">
        <f ca="1">VLOOKUP($D44,Data!$H$16:$BS$1015,AG$9+1,FALSE)</f>
        <v>0</v>
      </c>
      <c r="AH44" s="1051">
        <f ca="1">VLOOKUP($D44,Data!$H$16:$BS$1015,AH$9+1,FALSE)</f>
        <v>0</v>
      </c>
      <c r="AI44" s="1052">
        <f ca="1">VLOOKUP($D44,Data!$H$16:$BS$1015,AI$9+1,FALSE)</f>
        <v>0</v>
      </c>
      <c r="AJ44" s="1051">
        <f ca="1">VLOOKUP($D44,Data!$H$16:$BS$1015,AJ$9+1,FALSE)</f>
        <v>0</v>
      </c>
      <c r="AK44" s="1051">
        <f ca="1">VLOOKUP($D44,Data!$H$16:$BS$1015,AK$9+1,FALSE)</f>
        <v>0</v>
      </c>
      <c r="AL44" s="1052">
        <f ca="1">VLOOKUP($D44,Data!$H$16:$BS$1015,AL$9+1,FALSE)</f>
        <v>0</v>
      </c>
      <c r="AM44" s="1051">
        <f ca="1">VLOOKUP($D44,Data!$H$16:$BS$1015,AM$9+1,FALSE)</f>
        <v>0</v>
      </c>
      <c r="AN44" s="1051">
        <f ca="1">VLOOKUP($D44,Data!$H$16:$BS$1015,AN$9+1,FALSE)</f>
        <v>0</v>
      </c>
      <c r="AO44" s="1052">
        <f ca="1">VLOOKUP($D44,Data!$H$16:$BS$1015,AO$9+1,FALSE)</f>
        <v>0</v>
      </c>
      <c r="AP44" s="1051">
        <f ca="1">VLOOKUP($D44,Data!$H$16:$BS$1015,AP$9+1,FALSE)</f>
        <v>0</v>
      </c>
      <c r="AQ44" s="1051">
        <f ca="1">VLOOKUP($D44,Data!$H$16:$BS$1015,AQ$9+1,FALSE)</f>
        <v>0</v>
      </c>
      <c r="AR44" s="1053">
        <f ca="1">VLOOKUP($D44,Data!$H$16:$BS$1015,AR$9+1,FALSE)</f>
        <v>0</v>
      </c>
      <c r="AS44" s="1051">
        <f ca="1">VLOOKUP($D44,Data!$H$16:$BS$1015,AS$9+1,FALSE)</f>
        <v>0</v>
      </c>
      <c r="AT44" s="1051">
        <f ca="1">VLOOKUP($D44,Data!$H$16:$BS$1015,AT$9+1,FALSE)</f>
        <v>0</v>
      </c>
      <c r="AU44" s="1053">
        <f ca="1">VLOOKUP($D44,Data!$H$16:$BS$1015,AU$9+1,FALSE)</f>
        <v>0</v>
      </c>
      <c r="AV44" s="1051">
        <f ca="1">VLOOKUP($D44,Data!$H$16:$BS$1015,AV$9+1,FALSE)</f>
        <v>0</v>
      </c>
      <c r="AW44" s="1051">
        <f ca="1">VLOOKUP($D44,Data!$H$16:$BS$1015,AW$9+1,FALSE)</f>
        <v>0</v>
      </c>
      <c r="AX44" s="1053">
        <f ca="1">VLOOKUP($D44,Data!$H$16:$BS$1015,AX$9+1,FALSE)</f>
        <v>0</v>
      </c>
      <c r="AY44" s="1051">
        <f ca="1">VLOOKUP($D44,Data!$H$16:$BS$1015,AY$9+1,FALSE)</f>
        <v>0</v>
      </c>
      <c r="AZ44" s="1051">
        <f ca="1">VLOOKUP($D44,Data!$H$16:$BS$1015,AZ$9+1,FALSE)</f>
        <v>0</v>
      </c>
      <c r="BA44" s="1053">
        <f ca="1">VLOOKUP($D44,Data!$H$16:$BS$1015,BA$9+1,FALSE)</f>
        <v>0</v>
      </c>
      <c r="BB44" s="1052">
        <f ca="1">VLOOKUP($D44,Data!$H$16:$BS$1015,BB$9+1,FALSE)</f>
        <v>0</v>
      </c>
      <c r="BC44" s="1052">
        <f ca="1">VLOOKUP($D44,Data!$H$16:$BS$1015,BC$9+1,FALSE)</f>
        <v>0</v>
      </c>
      <c r="BD44" s="1052">
        <f ca="1">VLOOKUP($D44,Data!$H$16:$BS$1015,BD$9+1,FALSE)</f>
        <v>0</v>
      </c>
      <c r="BE44" s="1052">
        <f ca="1">VLOOKUP($D44,Data!$H$16:$BS$1015,BE$9+1,FALSE)</f>
        <v>0</v>
      </c>
      <c r="BF44" s="1052">
        <f ca="1">VLOOKUP($D44,Data!$H$16:$BS$1015,BF$9+1,FALSE)</f>
        <v>0</v>
      </c>
      <c r="BG44" s="1054">
        <f ca="1">VLOOKUP($D44,Data!$H$16:$BS$1015,BG$9+1,FALSE)</f>
        <v>0</v>
      </c>
      <c r="BH44" s="1051">
        <f ca="1">VLOOKUP($D44,Data!$H$16:$BS$1015,BH$9+2,FALSE)</f>
        <v>0</v>
      </c>
      <c r="BI44" s="1052">
        <f ca="1">VLOOKUP($D44,Data!$H$16:$BS$1015,BI$9+2,FALSE)</f>
        <v>0</v>
      </c>
      <c r="BJ44" s="1054">
        <f ca="1">VLOOKUP($D44,Data!$H$16:$BS$1015,BJ$9+2,FALSE)</f>
        <v>0</v>
      </c>
      <c r="BK44" s="1053">
        <f ca="1">VLOOKUP($D44,Data!$H$16:$BS$1015,BK$9+2,FALSE)</f>
        <v>0</v>
      </c>
    </row>
    <row r="45" spans="1:63" s="34" customFormat="1" ht="15" customHeight="1">
      <c r="A45" s="1185">
        <v>34</v>
      </c>
      <c r="B45" s="1443">
        <f ca="1">Data_3!B46</f>
        <v>0</v>
      </c>
      <c r="C45" s="1444" t="str">
        <f ca="1">IF(B45="","",IF(VLOOKUP(B45,Data_3!$B$13:$Y$112,24,FALSE)&lt;&gt;"",2020,IF(VLOOKUP(B45,Data_3!$B$13:$Y$112,23,FALSE)&lt;&gt;"",2019,IF(VLOOKUP(B45,Data_3!$B$13:$Y$112,22,FALSE)&lt;&gt;"",2018,IF(VLOOKUP(B45,Data_3!$B$13:$Y$112,21,FALSE)&lt;&gt;"",2017,IF(VLOOKUP(B45,Data_3!$B$13:$Y$112,20,FALSE)&lt;&gt;"",2016,IF(VLOOKUP(B45,Data_3!$B$13:$Y$112,19,FALSE)&lt;&gt;"",2015,IF(VLOOKUP(B45,Data_3!$B$13:$Y$112,18,FALSE)&lt;&gt;"",2014,IF(VLOOKUP(B45,Data_3!$B$13:$Y$112,17,FALSE)&lt;&gt;"",2013,IF(VLOOKUP(B45,Data_3!$B$13:$Y$112,16,FALSE)&lt;&gt;"",2012,IF(VLOOKUP(B45,Data_3!$B$13:$Y$112,15,FALSE)&lt;&gt;"",2011,IF(VLOOKUP(B45,Data_3!$B$13:$Y$112,14,FALSE)&lt;&gt;"",2010,IF(VLOOKUP(B45,Data_3!$B$13:$Y$112,13,FALSE)&lt;&gt;"",2009,IF(VLOOKUP(B45,Data_3!$B$13:$Y$112,12,FALSE)&lt;&gt;"",2008,IF(VLOOKUP(B45,Data_3!$B$13:$Y$112,11,FALSE)&lt;&gt;"",2007,IF(VLOOKUP(B45,Data_3!$B$13:$Y$112,10,FALSE)&lt;&gt;"",2006,IF(VLOOKUP(B45,Data_3!$B$13:$Y$112,9,FALSE)&lt;&gt;"",2005,IF(VLOOKUP(B45,Data_3!$B$13:$Y$112,8,FALSE)&lt;&gt;"",2004,IF(VLOOKUP(B45,Data_3!$B$13:$Y$112,7,FALSE)&lt;&gt;"",2003,IF(VLOOKUP(B45,Data_3!$B$13:$Y$1126,FALSE)&lt;&gt;"",2002,IF(VLOOKUP(B45,Data_3!$B$13:$Y$112,5,FALSE)&lt;&gt;"",2001,IF(VLOOKUP(B45,Data_3!$B$13:$Y$112,4,FALSE)&lt;&gt;"",2000,"N/A"))))))))))))))))))))))</f>
        <v/>
      </c>
      <c r="D45" s="1456" t="str">
        <f t="shared" ca="1" si="0"/>
        <v/>
      </c>
      <c r="E45" s="1456"/>
      <c r="F45" s="1051">
        <f ca="1">VLOOKUP($D45,Data!$H$16:$BS$1015,F$9+1,FALSE)</f>
        <v>0</v>
      </c>
      <c r="G45" s="1051">
        <f ca="1">VLOOKUP($D45,Data!$H$16:$BS$1015,G$9+1,FALSE)</f>
        <v>0</v>
      </c>
      <c r="H45" s="1052">
        <f ca="1">VLOOKUP($D45,Data!$H$16:$BS$1015,H$9+1,FALSE)</f>
        <v>0</v>
      </c>
      <c r="I45" s="1051">
        <f ca="1">VLOOKUP($D45,Data!$H$16:$BS$1015,I$9+1,FALSE)</f>
        <v>0</v>
      </c>
      <c r="J45" s="1051">
        <f ca="1">VLOOKUP($D45,Data!$H$16:$BS$1015,J$9+1,FALSE)</f>
        <v>0</v>
      </c>
      <c r="K45" s="1052">
        <f ca="1">VLOOKUP($D45,Data!$H$16:$BS$1015,K$9+1,FALSE)</f>
        <v>0</v>
      </c>
      <c r="L45" s="1051">
        <f ca="1">VLOOKUP($D45,Data!$H$16:$BS$1015,L$9+1,FALSE)</f>
        <v>0</v>
      </c>
      <c r="M45" s="1051">
        <f ca="1">VLOOKUP($D45,Data!$H$16:$BS$1015,M$9+1,FALSE)</f>
        <v>0</v>
      </c>
      <c r="N45" s="1052">
        <f ca="1">VLOOKUP($D45,Data!$H$16:$BS$1015,N$9+1,FALSE)</f>
        <v>0</v>
      </c>
      <c r="O45" s="1051">
        <f ca="1">VLOOKUP($D45,Data!$H$16:$BS$1015,O$9+1,FALSE)</f>
        <v>0</v>
      </c>
      <c r="P45" s="1051">
        <f ca="1">VLOOKUP($D45,Data!$H$16:$BS$1015,P$9+1,FALSE)</f>
        <v>0</v>
      </c>
      <c r="Q45" s="1052">
        <f ca="1">VLOOKUP($D45,Data!$H$16:$BS$1015,Q$9+1,FALSE)</f>
        <v>0</v>
      </c>
      <c r="R45" s="1053">
        <f ca="1">VLOOKUP($D45,Data!$H$16:$BS$1015,R$9+1,FALSE)</f>
        <v>0</v>
      </c>
      <c r="S45" s="1051">
        <f ca="1">VLOOKUP($D45,Data!$H$16:$BS$1015,S$9+1,FALSE)</f>
        <v>0</v>
      </c>
      <c r="T45" s="1051">
        <f ca="1">VLOOKUP($D45,Data!$H$16:$BS$1015,T$9+1,FALSE)</f>
        <v>0</v>
      </c>
      <c r="U45" s="1052">
        <f ca="1">VLOOKUP($D45,Data!$H$16:$BS$1015,U$9+1,FALSE)</f>
        <v>0</v>
      </c>
      <c r="V45" s="1051">
        <f ca="1">VLOOKUP($D45,Data!$H$16:$BS$1015,V$9+1,FALSE)</f>
        <v>0</v>
      </c>
      <c r="W45" s="1051">
        <f ca="1">VLOOKUP($D45,Data!$H$16:$BS$1015,W$9+1,FALSE)</f>
        <v>0</v>
      </c>
      <c r="X45" s="1052">
        <f ca="1">VLOOKUP($D45,Data!$H$16:$BS$1015,X$9+1,FALSE)</f>
        <v>0</v>
      </c>
      <c r="Y45" s="1051">
        <f ca="1">VLOOKUP($D45,Data!$H$16:$BS$1015,Y$9+1,FALSE)</f>
        <v>0</v>
      </c>
      <c r="Z45" s="1051">
        <f ca="1">VLOOKUP($D45,Data!$H$16:$BS$1015,Z$9+1,FALSE)</f>
        <v>0</v>
      </c>
      <c r="AA45" s="1051">
        <f ca="1">VLOOKUP($D45,Data!$H$16:$BS$1015,AA$9+1,FALSE)</f>
        <v>0</v>
      </c>
      <c r="AB45" s="1051">
        <f ca="1">VLOOKUP($D45,Data!$H$16:$BS$1015,AB$9+1,FALSE)</f>
        <v>0</v>
      </c>
      <c r="AC45" s="1052">
        <f ca="1">VLOOKUP($D45,Data!$H$16:$BS$1015,AC$9+1,FALSE)</f>
        <v>0</v>
      </c>
      <c r="AD45" s="1051">
        <f ca="1">VLOOKUP($D45,Data!$H$16:$BS$1015,AD$9+1,FALSE)</f>
        <v>0</v>
      </c>
      <c r="AE45" s="1051">
        <f ca="1">VLOOKUP($D45,Data!$H$16:$BS$1015,AE$9+1,FALSE)</f>
        <v>0</v>
      </c>
      <c r="AF45" s="1052">
        <f ca="1">VLOOKUP($D45,Data!$H$16:$BS$1015,AF$9+1,FALSE)</f>
        <v>0</v>
      </c>
      <c r="AG45" s="1051">
        <f ca="1">VLOOKUP($D45,Data!$H$16:$BS$1015,AG$9+1,FALSE)</f>
        <v>0</v>
      </c>
      <c r="AH45" s="1051">
        <f ca="1">VLOOKUP($D45,Data!$H$16:$BS$1015,AH$9+1,FALSE)</f>
        <v>0</v>
      </c>
      <c r="AI45" s="1052">
        <f ca="1">VLOOKUP($D45,Data!$H$16:$BS$1015,AI$9+1,FALSE)</f>
        <v>0</v>
      </c>
      <c r="AJ45" s="1051">
        <f ca="1">VLOOKUP($D45,Data!$H$16:$BS$1015,AJ$9+1,FALSE)</f>
        <v>0</v>
      </c>
      <c r="AK45" s="1051">
        <f ca="1">VLOOKUP($D45,Data!$H$16:$BS$1015,AK$9+1,FALSE)</f>
        <v>0</v>
      </c>
      <c r="AL45" s="1052">
        <f ca="1">VLOOKUP($D45,Data!$H$16:$BS$1015,AL$9+1,FALSE)</f>
        <v>0</v>
      </c>
      <c r="AM45" s="1051">
        <f ca="1">VLOOKUP($D45,Data!$H$16:$BS$1015,AM$9+1,FALSE)</f>
        <v>0</v>
      </c>
      <c r="AN45" s="1051">
        <f ca="1">VLOOKUP($D45,Data!$H$16:$BS$1015,AN$9+1,FALSE)</f>
        <v>0</v>
      </c>
      <c r="AO45" s="1052">
        <f ca="1">VLOOKUP($D45,Data!$H$16:$BS$1015,AO$9+1,FALSE)</f>
        <v>0</v>
      </c>
      <c r="AP45" s="1051">
        <f ca="1">VLOOKUP($D45,Data!$H$16:$BS$1015,AP$9+1,FALSE)</f>
        <v>0</v>
      </c>
      <c r="AQ45" s="1051">
        <f ca="1">VLOOKUP($D45,Data!$H$16:$BS$1015,AQ$9+1,FALSE)</f>
        <v>0</v>
      </c>
      <c r="AR45" s="1053">
        <f ca="1">VLOOKUP($D45,Data!$H$16:$BS$1015,AR$9+1,FALSE)</f>
        <v>0</v>
      </c>
      <c r="AS45" s="1051">
        <f ca="1">VLOOKUP($D45,Data!$H$16:$BS$1015,AS$9+1,FALSE)</f>
        <v>0</v>
      </c>
      <c r="AT45" s="1051">
        <f ca="1">VLOOKUP($D45,Data!$H$16:$BS$1015,AT$9+1,FALSE)</f>
        <v>0</v>
      </c>
      <c r="AU45" s="1053">
        <f ca="1">VLOOKUP($D45,Data!$H$16:$BS$1015,AU$9+1,FALSE)</f>
        <v>0</v>
      </c>
      <c r="AV45" s="1051">
        <f ca="1">VLOOKUP($D45,Data!$H$16:$BS$1015,AV$9+1,FALSE)</f>
        <v>0</v>
      </c>
      <c r="AW45" s="1051">
        <f ca="1">VLOOKUP($D45,Data!$H$16:$BS$1015,AW$9+1,FALSE)</f>
        <v>0</v>
      </c>
      <c r="AX45" s="1053">
        <f ca="1">VLOOKUP($D45,Data!$H$16:$BS$1015,AX$9+1,FALSE)</f>
        <v>0</v>
      </c>
      <c r="AY45" s="1051">
        <f ca="1">VLOOKUP($D45,Data!$H$16:$BS$1015,AY$9+1,FALSE)</f>
        <v>0</v>
      </c>
      <c r="AZ45" s="1051">
        <f ca="1">VLOOKUP($D45,Data!$H$16:$BS$1015,AZ$9+1,FALSE)</f>
        <v>0</v>
      </c>
      <c r="BA45" s="1053">
        <f ca="1">VLOOKUP($D45,Data!$H$16:$BS$1015,BA$9+1,FALSE)</f>
        <v>0</v>
      </c>
      <c r="BB45" s="1052">
        <f ca="1">VLOOKUP($D45,Data!$H$16:$BS$1015,BB$9+1,FALSE)</f>
        <v>0</v>
      </c>
      <c r="BC45" s="1052">
        <f ca="1">VLOOKUP($D45,Data!$H$16:$BS$1015,BC$9+1,FALSE)</f>
        <v>0</v>
      </c>
      <c r="BD45" s="1052">
        <f ca="1">VLOOKUP($D45,Data!$H$16:$BS$1015,BD$9+1,FALSE)</f>
        <v>0</v>
      </c>
      <c r="BE45" s="1052">
        <f ca="1">VLOOKUP($D45,Data!$H$16:$BS$1015,BE$9+1,FALSE)</f>
        <v>0</v>
      </c>
      <c r="BF45" s="1052">
        <f ca="1">VLOOKUP($D45,Data!$H$16:$BS$1015,BF$9+1,FALSE)</f>
        <v>0</v>
      </c>
      <c r="BG45" s="1054">
        <f ca="1">VLOOKUP($D45,Data!$H$16:$BS$1015,BG$9+1,FALSE)</f>
        <v>0</v>
      </c>
      <c r="BH45" s="1051">
        <f ca="1">VLOOKUP($D45,Data!$H$16:$BS$1015,BH$9+2,FALSE)</f>
        <v>0</v>
      </c>
      <c r="BI45" s="1052">
        <f ca="1">VLOOKUP($D45,Data!$H$16:$BS$1015,BI$9+2,FALSE)</f>
        <v>0</v>
      </c>
      <c r="BJ45" s="1054">
        <f ca="1">VLOOKUP($D45,Data!$H$16:$BS$1015,BJ$9+2,FALSE)</f>
        <v>0</v>
      </c>
      <c r="BK45" s="1053">
        <f ca="1">VLOOKUP($D45,Data!$H$16:$BS$1015,BK$9+2,FALSE)</f>
        <v>0</v>
      </c>
    </row>
    <row r="46" spans="1:63" s="34" customFormat="1" ht="15" customHeight="1">
      <c r="A46" s="1185">
        <v>35</v>
      </c>
      <c r="B46" s="1443">
        <f ca="1">Data_3!B47</f>
        <v>0</v>
      </c>
      <c r="C46" s="1444" t="str">
        <f ca="1">IF(B46="","",IF(VLOOKUP(B46,Data_3!$B$13:$Y$112,24,FALSE)&lt;&gt;"",2020,IF(VLOOKUP(B46,Data_3!$B$13:$Y$112,23,FALSE)&lt;&gt;"",2019,IF(VLOOKUP(B46,Data_3!$B$13:$Y$112,22,FALSE)&lt;&gt;"",2018,IF(VLOOKUP(B46,Data_3!$B$13:$Y$112,21,FALSE)&lt;&gt;"",2017,IF(VLOOKUP(B46,Data_3!$B$13:$Y$112,20,FALSE)&lt;&gt;"",2016,IF(VLOOKUP(B46,Data_3!$B$13:$Y$112,19,FALSE)&lt;&gt;"",2015,IF(VLOOKUP(B46,Data_3!$B$13:$Y$112,18,FALSE)&lt;&gt;"",2014,IF(VLOOKUP(B46,Data_3!$B$13:$Y$112,17,FALSE)&lt;&gt;"",2013,IF(VLOOKUP(B46,Data_3!$B$13:$Y$112,16,FALSE)&lt;&gt;"",2012,IF(VLOOKUP(B46,Data_3!$B$13:$Y$112,15,FALSE)&lt;&gt;"",2011,IF(VLOOKUP(B46,Data_3!$B$13:$Y$112,14,FALSE)&lt;&gt;"",2010,IF(VLOOKUP(B46,Data_3!$B$13:$Y$112,13,FALSE)&lt;&gt;"",2009,IF(VLOOKUP(B46,Data_3!$B$13:$Y$112,12,FALSE)&lt;&gt;"",2008,IF(VLOOKUP(B46,Data_3!$B$13:$Y$112,11,FALSE)&lt;&gt;"",2007,IF(VLOOKUP(B46,Data_3!$B$13:$Y$112,10,FALSE)&lt;&gt;"",2006,IF(VLOOKUP(B46,Data_3!$B$13:$Y$112,9,FALSE)&lt;&gt;"",2005,IF(VLOOKUP(B46,Data_3!$B$13:$Y$112,8,FALSE)&lt;&gt;"",2004,IF(VLOOKUP(B46,Data_3!$B$13:$Y$112,7,FALSE)&lt;&gt;"",2003,IF(VLOOKUP(B46,Data_3!$B$13:$Y$1126,FALSE)&lt;&gt;"",2002,IF(VLOOKUP(B46,Data_3!$B$13:$Y$112,5,FALSE)&lt;&gt;"",2001,IF(VLOOKUP(B46,Data_3!$B$13:$Y$112,4,FALSE)&lt;&gt;"",2000,"N/A"))))))))))))))))))))))</f>
        <v/>
      </c>
      <c r="D46" s="1456" t="str">
        <f t="shared" ca="1" si="0"/>
        <v/>
      </c>
      <c r="E46" s="1456"/>
      <c r="F46" s="1051">
        <f ca="1">VLOOKUP($D46,Data!$H$16:$BS$1015,F$9+1,FALSE)</f>
        <v>0</v>
      </c>
      <c r="G46" s="1051">
        <f ca="1">VLOOKUP($D46,Data!$H$16:$BS$1015,G$9+1,FALSE)</f>
        <v>0</v>
      </c>
      <c r="H46" s="1052">
        <f ca="1">VLOOKUP($D46,Data!$H$16:$BS$1015,H$9+1,FALSE)</f>
        <v>0</v>
      </c>
      <c r="I46" s="1051">
        <f ca="1">VLOOKUP($D46,Data!$H$16:$BS$1015,I$9+1,FALSE)</f>
        <v>0</v>
      </c>
      <c r="J46" s="1051">
        <f ca="1">VLOOKUP($D46,Data!$H$16:$BS$1015,J$9+1,FALSE)</f>
        <v>0</v>
      </c>
      <c r="K46" s="1052">
        <f ca="1">VLOOKUP($D46,Data!$H$16:$BS$1015,K$9+1,FALSE)</f>
        <v>0</v>
      </c>
      <c r="L46" s="1051">
        <f ca="1">VLOOKUP($D46,Data!$H$16:$BS$1015,L$9+1,FALSE)</f>
        <v>0</v>
      </c>
      <c r="M46" s="1051">
        <f ca="1">VLOOKUP($D46,Data!$H$16:$BS$1015,M$9+1,FALSE)</f>
        <v>0</v>
      </c>
      <c r="N46" s="1052">
        <f ca="1">VLOOKUP($D46,Data!$H$16:$BS$1015,N$9+1,FALSE)</f>
        <v>0</v>
      </c>
      <c r="O46" s="1051">
        <f ca="1">VLOOKUP($D46,Data!$H$16:$BS$1015,O$9+1,FALSE)</f>
        <v>0</v>
      </c>
      <c r="P46" s="1051">
        <f ca="1">VLOOKUP($D46,Data!$H$16:$BS$1015,P$9+1,FALSE)</f>
        <v>0</v>
      </c>
      <c r="Q46" s="1052">
        <f ca="1">VLOOKUP($D46,Data!$H$16:$BS$1015,Q$9+1,FALSE)</f>
        <v>0</v>
      </c>
      <c r="R46" s="1053">
        <f ca="1">VLOOKUP($D46,Data!$H$16:$BS$1015,R$9+1,FALSE)</f>
        <v>0</v>
      </c>
      <c r="S46" s="1051">
        <f ca="1">VLOOKUP($D46,Data!$H$16:$BS$1015,S$9+1,FALSE)</f>
        <v>0</v>
      </c>
      <c r="T46" s="1051">
        <f ca="1">VLOOKUP($D46,Data!$H$16:$BS$1015,T$9+1,FALSE)</f>
        <v>0</v>
      </c>
      <c r="U46" s="1052">
        <f ca="1">VLOOKUP($D46,Data!$H$16:$BS$1015,U$9+1,FALSE)</f>
        <v>0</v>
      </c>
      <c r="V46" s="1051">
        <f ca="1">VLOOKUP($D46,Data!$H$16:$BS$1015,V$9+1,FALSE)</f>
        <v>0</v>
      </c>
      <c r="W46" s="1051">
        <f ca="1">VLOOKUP($D46,Data!$H$16:$BS$1015,W$9+1,FALSE)</f>
        <v>0</v>
      </c>
      <c r="X46" s="1052">
        <f ca="1">VLOOKUP($D46,Data!$H$16:$BS$1015,X$9+1,FALSE)</f>
        <v>0</v>
      </c>
      <c r="Y46" s="1051">
        <f ca="1">VLOOKUP($D46,Data!$H$16:$BS$1015,Y$9+1,FALSE)</f>
        <v>0</v>
      </c>
      <c r="Z46" s="1051">
        <f ca="1">VLOOKUP($D46,Data!$H$16:$BS$1015,Z$9+1,FALSE)</f>
        <v>0</v>
      </c>
      <c r="AA46" s="1051">
        <f ca="1">VLOOKUP($D46,Data!$H$16:$BS$1015,AA$9+1,FALSE)</f>
        <v>0</v>
      </c>
      <c r="AB46" s="1051">
        <f ca="1">VLOOKUP($D46,Data!$H$16:$BS$1015,AB$9+1,FALSE)</f>
        <v>0</v>
      </c>
      <c r="AC46" s="1052">
        <f ca="1">VLOOKUP($D46,Data!$H$16:$BS$1015,AC$9+1,FALSE)</f>
        <v>0</v>
      </c>
      <c r="AD46" s="1051">
        <f ca="1">VLOOKUP($D46,Data!$H$16:$BS$1015,AD$9+1,FALSE)</f>
        <v>0</v>
      </c>
      <c r="AE46" s="1051">
        <f ca="1">VLOOKUP($D46,Data!$H$16:$BS$1015,AE$9+1,FALSE)</f>
        <v>0</v>
      </c>
      <c r="AF46" s="1052">
        <f ca="1">VLOOKUP($D46,Data!$H$16:$BS$1015,AF$9+1,FALSE)</f>
        <v>0</v>
      </c>
      <c r="AG46" s="1051">
        <f ca="1">VLOOKUP($D46,Data!$H$16:$BS$1015,AG$9+1,FALSE)</f>
        <v>0</v>
      </c>
      <c r="AH46" s="1051">
        <f ca="1">VLOOKUP($D46,Data!$H$16:$BS$1015,AH$9+1,FALSE)</f>
        <v>0</v>
      </c>
      <c r="AI46" s="1052">
        <f ca="1">VLOOKUP($D46,Data!$H$16:$BS$1015,AI$9+1,FALSE)</f>
        <v>0</v>
      </c>
      <c r="AJ46" s="1051">
        <f ca="1">VLOOKUP($D46,Data!$H$16:$BS$1015,AJ$9+1,FALSE)</f>
        <v>0</v>
      </c>
      <c r="AK46" s="1051">
        <f ca="1">VLOOKUP($D46,Data!$H$16:$BS$1015,AK$9+1,FALSE)</f>
        <v>0</v>
      </c>
      <c r="AL46" s="1052">
        <f ca="1">VLOOKUP($D46,Data!$H$16:$BS$1015,AL$9+1,FALSE)</f>
        <v>0</v>
      </c>
      <c r="AM46" s="1051">
        <f ca="1">VLOOKUP($D46,Data!$H$16:$BS$1015,AM$9+1,FALSE)</f>
        <v>0</v>
      </c>
      <c r="AN46" s="1051">
        <f ca="1">VLOOKUP($D46,Data!$H$16:$BS$1015,AN$9+1,FALSE)</f>
        <v>0</v>
      </c>
      <c r="AO46" s="1052">
        <f ca="1">VLOOKUP($D46,Data!$H$16:$BS$1015,AO$9+1,FALSE)</f>
        <v>0</v>
      </c>
      <c r="AP46" s="1051">
        <f ca="1">VLOOKUP($D46,Data!$H$16:$BS$1015,AP$9+1,FALSE)</f>
        <v>0</v>
      </c>
      <c r="AQ46" s="1051">
        <f ca="1">VLOOKUP($D46,Data!$H$16:$BS$1015,AQ$9+1,FALSE)</f>
        <v>0</v>
      </c>
      <c r="AR46" s="1053">
        <f ca="1">VLOOKUP($D46,Data!$H$16:$BS$1015,AR$9+1,FALSE)</f>
        <v>0</v>
      </c>
      <c r="AS46" s="1051">
        <f ca="1">VLOOKUP($D46,Data!$H$16:$BS$1015,AS$9+1,FALSE)</f>
        <v>0</v>
      </c>
      <c r="AT46" s="1051">
        <f ca="1">VLOOKUP($D46,Data!$H$16:$BS$1015,AT$9+1,FALSE)</f>
        <v>0</v>
      </c>
      <c r="AU46" s="1053">
        <f ca="1">VLOOKUP($D46,Data!$H$16:$BS$1015,AU$9+1,FALSE)</f>
        <v>0</v>
      </c>
      <c r="AV46" s="1051">
        <f ca="1">VLOOKUP($D46,Data!$H$16:$BS$1015,AV$9+1,FALSE)</f>
        <v>0</v>
      </c>
      <c r="AW46" s="1051">
        <f ca="1">VLOOKUP($D46,Data!$H$16:$BS$1015,AW$9+1,FALSE)</f>
        <v>0</v>
      </c>
      <c r="AX46" s="1053">
        <f ca="1">VLOOKUP($D46,Data!$H$16:$BS$1015,AX$9+1,FALSE)</f>
        <v>0</v>
      </c>
      <c r="AY46" s="1051">
        <f ca="1">VLOOKUP($D46,Data!$H$16:$BS$1015,AY$9+1,FALSE)</f>
        <v>0</v>
      </c>
      <c r="AZ46" s="1051">
        <f ca="1">VLOOKUP($D46,Data!$H$16:$BS$1015,AZ$9+1,FALSE)</f>
        <v>0</v>
      </c>
      <c r="BA46" s="1053">
        <f ca="1">VLOOKUP($D46,Data!$H$16:$BS$1015,BA$9+1,FALSE)</f>
        <v>0</v>
      </c>
      <c r="BB46" s="1052">
        <f ca="1">VLOOKUP($D46,Data!$H$16:$BS$1015,BB$9+1,FALSE)</f>
        <v>0</v>
      </c>
      <c r="BC46" s="1052">
        <f ca="1">VLOOKUP($D46,Data!$H$16:$BS$1015,BC$9+1,FALSE)</f>
        <v>0</v>
      </c>
      <c r="BD46" s="1052">
        <f ca="1">VLOOKUP($D46,Data!$H$16:$BS$1015,BD$9+1,FALSE)</f>
        <v>0</v>
      </c>
      <c r="BE46" s="1052">
        <f ca="1">VLOOKUP($D46,Data!$H$16:$BS$1015,BE$9+1,FALSE)</f>
        <v>0</v>
      </c>
      <c r="BF46" s="1052">
        <f ca="1">VLOOKUP($D46,Data!$H$16:$BS$1015,BF$9+1,FALSE)</f>
        <v>0</v>
      </c>
      <c r="BG46" s="1054">
        <f ca="1">VLOOKUP($D46,Data!$H$16:$BS$1015,BG$9+1,FALSE)</f>
        <v>0</v>
      </c>
      <c r="BH46" s="1051">
        <f ca="1">VLOOKUP($D46,Data!$H$16:$BS$1015,BH$9+2,FALSE)</f>
        <v>0</v>
      </c>
      <c r="BI46" s="1052">
        <f ca="1">VLOOKUP($D46,Data!$H$16:$BS$1015,BI$9+2,FALSE)</f>
        <v>0</v>
      </c>
      <c r="BJ46" s="1054">
        <f ca="1">VLOOKUP($D46,Data!$H$16:$BS$1015,BJ$9+2,FALSE)</f>
        <v>0</v>
      </c>
      <c r="BK46" s="1053">
        <f ca="1">VLOOKUP($D46,Data!$H$16:$BS$1015,BK$9+2,FALSE)</f>
        <v>0</v>
      </c>
    </row>
    <row r="47" spans="1:63" s="34" customFormat="1" ht="15" customHeight="1">
      <c r="A47" s="1185">
        <v>36</v>
      </c>
      <c r="B47" s="1443">
        <f ca="1">Data_3!B48</f>
        <v>0</v>
      </c>
      <c r="C47" s="1444" t="str">
        <f ca="1">IF(B47="","",IF(VLOOKUP(B47,Data_3!$B$13:$Y$112,24,FALSE)&lt;&gt;"",2020,IF(VLOOKUP(B47,Data_3!$B$13:$Y$112,23,FALSE)&lt;&gt;"",2019,IF(VLOOKUP(B47,Data_3!$B$13:$Y$112,22,FALSE)&lt;&gt;"",2018,IF(VLOOKUP(B47,Data_3!$B$13:$Y$112,21,FALSE)&lt;&gt;"",2017,IF(VLOOKUP(B47,Data_3!$B$13:$Y$112,20,FALSE)&lt;&gt;"",2016,IF(VLOOKUP(B47,Data_3!$B$13:$Y$112,19,FALSE)&lt;&gt;"",2015,IF(VLOOKUP(B47,Data_3!$B$13:$Y$112,18,FALSE)&lt;&gt;"",2014,IF(VLOOKUP(B47,Data_3!$B$13:$Y$112,17,FALSE)&lt;&gt;"",2013,IF(VLOOKUP(B47,Data_3!$B$13:$Y$112,16,FALSE)&lt;&gt;"",2012,IF(VLOOKUP(B47,Data_3!$B$13:$Y$112,15,FALSE)&lt;&gt;"",2011,IF(VLOOKUP(B47,Data_3!$B$13:$Y$112,14,FALSE)&lt;&gt;"",2010,IF(VLOOKUP(B47,Data_3!$B$13:$Y$112,13,FALSE)&lt;&gt;"",2009,IF(VLOOKUP(B47,Data_3!$B$13:$Y$112,12,FALSE)&lt;&gt;"",2008,IF(VLOOKUP(B47,Data_3!$B$13:$Y$112,11,FALSE)&lt;&gt;"",2007,IF(VLOOKUP(B47,Data_3!$B$13:$Y$112,10,FALSE)&lt;&gt;"",2006,IF(VLOOKUP(B47,Data_3!$B$13:$Y$112,9,FALSE)&lt;&gt;"",2005,IF(VLOOKUP(B47,Data_3!$B$13:$Y$112,8,FALSE)&lt;&gt;"",2004,IF(VLOOKUP(B47,Data_3!$B$13:$Y$112,7,FALSE)&lt;&gt;"",2003,IF(VLOOKUP(B47,Data_3!$B$13:$Y$1126,FALSE)&lt;&gt;"",2002,IF(VLOOKUP(B47,Data_3!$B$13:$Y$112,5,FALSE)&lt;&gt;"",2001,IF(VLOOKUP(B47,Data_3!$B$13:$Y$112,4,FALSE)&lt;&gt;"",2000,"N/A"))))))))))))))))))))))</f>
        <v/>
      </c>
      <c r="D47" s="1456" t="str">
        <f t="shared" ca="1" si="0"/>
        <v/>
      </c>
      <c r="E47" s="1456"/>
      <c r="F47" s="1051">
        <f ca="1">VLOOKUP($D47,Data!$H$16:$BS$1015,F$9+1,FALSE)</f>
        <v>0</v>
      </c>
      <c r="G47" s="1051">
        <f ca="1">VLOOKUP($D47,Data!$H$16:$BS$1015,G$9+1,FALSE)</f>
        <v>0</v>
      </c>
      <c r="H47" s="1052">
        <f ca="1">VLOOKUP($D47,Data!$H$16:$BS$1015,H$9+1,FALSE)</f>
        <v>0</v>
      </c>
      <c r="I47" s="1051">
        <f ca="1">VLOOKUP($D47,Data!$H$16:$BS$1015,I$9+1,FALSE)</f>
        <v>0</v>
      </c>
      <c r="J47" s="1051">
        <f ca="1">VLOOKUP($D47,Data!$H$16:$BS$1015,J$9+1,FALSE)</f>
        <v>0</v>
      </c>
      <c r="K47" s="1052">
        <f ca="1">VLOOKUP($D47,Data!$H$16:$BS$1015,K$9+1,FALSE)</f>
        <v>0</v>
      </c>
      <c r="L47" s="1051">
        <f ca="1">VLOOKUP($D47,Data!$H$16:$BS$1015,L$9+1,FALSE)</f>
        <v>0</v>
      </c>
      <c r="M47" s="1051">
        <f ca="1">VLOOKUP($D47,Data!$H$16:$BS$1015,M$9+1,FALSE)</f>
        <v>0</v>
      </c>
      <c r="N47" s="1052">
        <f ca="1">VLOOKUP($D47,Data!$H$16:$BS$1015,N$9+1,FALSE)</f>
        <v>0</v>
      </c>
      <c r="O47" s="1051">
        <f ca="1">VLOOKUP($D47,Data!$H$16:$BS$1015,O$9+1,FALSE)</f>
        <v>0</v>
      </c>
      <c r="P47" s="1051">
        <f ca="1">VLOOKUP($D47,Data!$H$16:$BS$1015,P$9+1,FALSE)</f>
        <v>0</v>
      </c>
      <c r="Q47" s="1052">
        <f ca="1">VLOOKUP($D47,Data!$H$16:$BS$1015,Q$9+1,FALSE)</f>
        <v>0</v>
      </c>
      <c r="R47" s="1053">
        <f ca="1">VLOOKUP($D47,Data!$H$16:$BS$1015,R$9+1,FALSE)</f>
        <v>0</v>
      </c>
      <c r="S47" s="1051">
        <f ca="1">VLOOKUP($D47,Data!$H$16:$BS$1015,S$9+1,FALSE)</f>
        <v>0</v>
      </c>
      <c r="T47" s="1051">
        <f ca="1">VLOOKUP($D47,Data!$H$16:$BS$1015,T$9+1,FALSE)</f>
        <v>0</v>
      </c>
      <c r="U47" s="1052">
        <f ca="1">VLOOKUP($D47,Data!$H$16:$BS$1015,U$9+1,FALSE)</f>
        <v>0</v>
      </c>
      <c r="V47" s="1051">
        <f ca="1">VLOOKUP($D47,Data!$H$16:$BS$1015,V$9+1,FALSE)</f>
        <v>0</v>
      </c>
      <c r="W47" s="1051">
        <f ca="1">VLOOKUP($D47,Data!$H$16:$BS$1015,W$9+1,FALSE)</f>
        <v>0</v>
      </c>
      <c r="X47" s="1052">
        <f ca="1">VLOOKUP($D47,Data!$H$16:$BS$1015,X$9+1,FALSE)</f>
        <v>0</v>
      </c>
      <c r="Y47" s="1051">
        <f ca="1">VLOOKUP($D47,Data!$H$16:$BS$1015,Y$9+1,FALSE)</f>
        <v>0</v>
      </c>
      <c r="Z47" s="1051">
        <f ca="1">VLOOKUP($D47,Data!$H$16:$BS$1015,Z$9+1,FALSE)</f>
        <v>0</v>
      </c>
      <c r="AA47" s="1051">
        <f ca="1">VLOOKUP($D47,Data!$H$16:$BS$1015,AA$9+1,FALSE)</f>
        <v>0</v>
      </c>
      <c r="AB47" s="1051">
        <f ca="1">VLOOKUP($D47,Data!$H$16:$BS$1015,AB$9+1,FALSE)</f>
        <v>0</v>
      </c>
      <c r="AC47" s="1052">
        <f ca="1">VLOOKUP($D47,Data!$H$16:$BS$1015,AC$9+1,FALSE)</f>
        <v>0</v>
      </c>
      <c r="AD47" s="1051">
        <f ca="1">VLOOKUP($D47,Data!$H$16:$BS$1015,AD$9+1,FALSE)</f>
        <v>0</v>
      </c>
      <c r="AE47" s="1051">
        <f ca="1">VLOOKUP($D47,Data!$H$16:$BS$1015,AE$9+1,FALSE)</f>
        <v>0</v>
      </c>
      <c r="AF47" s="1052">
        <f ca="1">VLOOKUP($D47,Data!$H$16:$BS$1015,AF$9+1,FALSE)</f>
        <v>0</v>
      </c>
      <c r="AG47" s="1051">
        <f ca="1">VLOOKUP($D47,Data!$H$16:$BS$1015,AG$9+1,FALSE)</f>
        <v>0</v>
      </c>
      <c r="AH47" s="1051">
        <f ca="1">VLOOKUP($D47,Data!$H$16:$BS$1015,AH$9+1,FALSE)</f>
        <v>0</v>
      </c>
      <c r="AI47" s="1052">
        <f ca="1">VLOOKUP($D47,Data!$H$16:$BS$1015,AI$9+1,FALSE)</f>
        <v>0</v>
      </c>
      <c r="AJ47" s="1051">
        <f ca="1">VLOOKUP($D47,Data!$H$16:$BS$1015,AJ$9+1,FALSE)</f>
        <v>0</v>
      </c>
      <c r="AK47" s="1051">
        <f ca="1">VLOOKUP($D47,Data!$H$16:$BS$1015,AK$9+1,FALSE)</f>
        <v>0</v>
      </c>
      <c r="AL47" s="1052">
        <f ca="1">VLOOKUP($D47,Data!$H$16:$BS$1015,AL$9+1,FALSE)</f>
        <v>0</v>
      </c>
      <c r="AM47" s="1051">
        <f ca="1">VLOOKUP($D47,Data!$H$16:$BS$1015,AM$9+1,FALSE)</f>
        <v>0</v>
      </c>
      <c r="AN47" s="1051">
        <f ca="1">VLOOKUP($D47,Data!$H$16:$BS$1015,AN$9+1,FALSE)</f>
        <v>0</v>
      </c>
      <c r="AO47" s="1052">
        <f ca="1">VLOOKUP($D47,Data!$H$16:$BS$1015,AO$9+1,FALSE)</f>
        <v>0</v>
      </c>
      <c r="AP47" s="1051">
        <f ca="1">VLOOKUP($D47,Data!$H$16:$BS$1015,AP$9+1,FALSE)</f>
        <v>0</v>
      </c>
      <c r="AQ47" s="1051">
        <f ca="1">VLOOKUP($D47,Data!$H$16:$BS$1015,AQ$9+1,FALSE)</f>
        <v>0</v>
      </c>
      <c r="AR47" s="1053">
        <f ca="1">VLOOKUP($D47,Data!$H$16:$BS$1015,AR$9+1,FALSE)</f>
        <v>0</v>
      </c>
      <c r="AS47" s="1051">
        <f ca="1">VLOOKUP($D47,Data!$H$16:$BS$1015,AS$9+1,FALSE)</f>
        <v>0</v>
      </c>
      <c r="AT47" s="1051">
        <f ca="1">VLOOKUP($D47,Data!$H$16:$BS$1015,AT$9+1,FALSE)</f>
        <v>0</v>
      </c>
      <c r="AU47" s="1053">
        <f ca="1">VLOOKUP($D47,Data!$H$16:$BS$1015,AU$9+1,FALSE)</f>
        <v>0</v>
      </c>
      <c r="AV47" s="1051">
        <f ca="1">VLOOKUP($D47,Data!$H$16:$BS$1015,AV$9+1,FALSE)</f>
        <v>0</v>
      </c>
      <c r="AW47" s="1051">
        <f ca="1">VLOOKUP($D47,Data!$H$16:$BS$1015,AW$9+1,FALSE)</f>
        <v>0</v>
      </c>
      <c r="AX47" s="1053">
        <f ca="1">VLOOKUP($D47,Data!$H$16:$BS$1015,AX$9+1,FALSE)</f>
        <v>0</v>
      </c>
      <c r="AY47" s="1051">
        <f ca="1">VLOOKUP($D47,Data!$H$16:$BS$1015,AY$9+1,FALSE)</f>
        <v>0</v>
      </c>
      <c r="AZ47" s="1051">
        <f ca="1">VLOOKUP($D47,Data!$H$16:$BS$1015,AZ$9+1,FALSE)</f>
        <v>0</v>
      </c>
      <c r="BA47" s="1053">
        <f ca="1">VLOOKUP($D47,Data!$H$16:$BS$1015,BA$9+1,FALSE)</f>
        <v>0</v>
      </c>
      <c r="BB47" s="1052">
        <f ca="1">VLOOKUP($D47,Data!$H$16:$BS$1015,BB$9+1,FALSE)</f>
        <v>0</v>
      </c>
      <c r="BC47" s="1052">
        <f ca="1">VLOOKUP($D47,Data!$H$16:$BS$1015,BC$9+1,FALSE)</f>
        <v>0</v>
      </c>
      <c r="BD47" s="1052">
        <f ca="1">VLOOKUP($D47,Data!$H$16:$BS$1015,BD$9+1,FALSE)</f>
        <v>0</v>
      </c>
      <c r="BE47" s="1052">
        <f ca="1">VLOOKUP($D47,Data!$H$16:$BS$1015,BE$9+1,FALSE)</f>
        <v>0</v>
      </c>
      <c r="BF47" s="1052">
        <f ca="1">VLOOKUP($D47,Data!$H$16:$BS$1015,BF$9+1,FALSE)</f>
        <v>0</v>
      </c>
      <c r="BG47" s="1054">
        <f ca="1">VLOOKUP($D47,Data!$H$16:$BS$1015,BG$9+1,FALSE)</f>
        <v>0</v>
      </c>
      <c r="BH47" s="1051">
        <f ca="1">VLOOKUP($D47,Data!$H$16:$BS$1015,BH$9+2,FALSE)</f>
        <v>0</v>
      </c>
      <c r="BI47" s="1052">
        <f ca="1">VLOOKUP($D47,Data!$H$16:$BS$1015,BI$9+2,FALSE)</f>
        <v>0</v>
      </c>
      <c r="BJ47" s="1054">
        <f ca="1">VLOOKUP($D47,Data!$H$16:$BS$1015,BJ$9+2,FALSE)</f>
        <v>0</v>
      </c>
      <c r="BK47" s="1053">
        <f ca="1">VLOOKUP($D47,Data!$H$16:$BS$1015,BK$9+2,FALSE)</f>
        <v>0</v>
      </c>
    </row>
    <row r="48" spans="1:63" s="34" customFormat="1" ht="15" customHeight="1">
      <c r="A48" s="1185">
        <v>37</v>
      </c>
      <c r="B48" s="1443">
        <f ca="1">Data_3!B49</f>
        <v>0</v>
      </c>
      <c r="C48" s="1444" t="str">
        <f ca="1">IF(B48="","",IF(VLOOKUP(B48,Data_3!$B$13:$Y$112,24,FALSE)&lt;&gt;"",2020,IF(VLOOKUP(B48,Data_3!$B$13:$Y$112,23,FALSE)&lt;&gt;"",2019,IF(VLOOKUP(B48,Data_3!$B$13:$Y$112,22,FALSE)&lt;&gt;"",2018,IF(VLOOKUP(B48,Data_3!$B$13:$Y$112,21,FALSE)&lt;&gt;"",2017,IF(VLOOKUP(B48,Data_3!$B$13:$Y$112,20,FALSE)&lt;&gt;"",2016,IF(VLOOKUP(B48,Data_3!$B$13:$Y$112,19,FALSE)&lt;&gt;"",2015,IF(VLOOKUP(B48,Data_3!$B$13:$Y$112,18,FALSE)&lt;&gt;"",2014,IF(VLOOKUP(B48,Data_3!$B$13:$Y$112,17,FALSE)&lt;&gt;"",2013,IF(VLOOKUP(B48,Data_3!$B$13:$Y$112,16,FALSE)&lt;&gt;"",2012,IF(VLOOKUP(B48,Data_3!$B$13:$Y$112,15,FALSE)&lt;&gt;"",2011,IF(VLOOKUP(B48,Data_3!$B$13:$Y$112,14,FALSE)&lt;&gt;"",2010,IF(VLOOKUP(B48,Data_3!$B$13:$Y$112,13,FALSE)&lt;&gt;"",2009,IF(VLOOKUP(B48,Data_3!$B$13:$Y$112,12,FALSE)&lt;&gt;"",2008,IF(VLOOKUP(B48,Data_3!$B$13:$Y$112,11,FALSE)&lt;&gt;"",2007,IF(VLOOKUP(B48,Data_3!$B$13:$Y$112,10,FALSE)&lt;&gt;"",2006,IF(VLOOKUP(B48,Data_3!$B$13:$Y$112,9,FALSE)&lt;&gt;"",2005,IF(VLOOKUP(B48,Data_3!$B$13:$Y$112,8,FALSE)&lt;&gt;"",2004,IF(VLOOKUP(B48,Data_3!$B$13:$Y$112,7,FALSE)&lt;&gt;"",2003,IF(VLOOKUP(B48,Data_3!$B$13:$Y$1126,FALSE)&lt;&gt;"",2002,IF(VLOOKUP(B48,Data_3!$B$13:$Y$112,5,FALSE)&lt;&gt;"",2001,IF(VLOOKUP(B48,Data_3!$B$13:$Y$112,4,FALSE)&lt;&gt;"",2000,"N/A"))))))))))))))))))))))</f>
        <v/>
      </c>
      <c r="D48" s="1456" t="str">
        <f t="shared" ca="1" si="0"/>
        <v/>
      </c>
      <c r="E48" s="1456"/>
      <c r="F48" s="1051">
        <f ca="1">VLOOKUP($D48,Data!$H$16:$BS$1015,F$9+1,FALSE)</f>
        <v>0</v>
      </c>
      <c r="G48" s="1051">
        <f ca="1">VLOOKUP($D48,Data!$H$16:$BS$1015,G$9+1,FALSE)</f>
        <v>0</v>
      </c>
      <c r="H48" s="1052">
        <f ca="1">VLOOKUP($D48,Data!$H$16:$BS$1015,H$9+1,FALSE)</f>
        <v>0</v>
      </c>
      <c r="I48" s="1051">
        <f ca="1">VLOOKUP($D48,Data!$H$16:$BS$1015,I$9+1,FALSE)</f>
        <v>0</v>
      </c>
      <c r="J48" s="1051">
        <f ca="1">VLOOKUP($D48,Data!$H$16:$BS$1015,J$9+1,FALSE)</f>
        <v>0</v>
      </c>
      <c r="K48" s="1052">
        <f ca="1">VLOOKUP($D48,Data!$H$16:$BS$1015,K$9+1,FALSE)</f>
        <v>0</v>
      </c>
      <c r="L48" s="1051">
        <f ca="1">VLOOKUP($D48,Data!$H$16:$BS$1015,L$9+1,FALSE)</f>
        <v>0</v>
      </c>
      <c r="M48" s="1051">
        <f ca="1">VLOOKUP($D48,Data!$H$16:$BS$1015,M$9+1,FALSE)</f>
        <v>0</v>
      </c>
      <c r="N48" s="1052">
        <f ca="1">VLOOKUP($D48,Data!$H$16:$BS$1015,N$9+1,FALSE)</f>
        <v>0</v>
      </c>
      <c r="O48" s="1051">
        <f ca="1">VLOOKUP($D48,Data!$H$16:$BS$1015,O$9+1,FALSE)</f>
        <v>0</v>
      </c>
      <c r="P48" s="1051">
        <f ca="1">VLOOKUP($D48,Data!$H$16:$BS$1015,P$9+1,FALSE)</f>
        <v>0</v>
      </c>
      <c r="Q48" s="1052">
        <f ca="1">VLOOKUP($D48,Data!$H$16:$BS$1015,Q$9+1,FALSE)</f>
        <v>0</v>
      </c>
      <c r="R48" s="1053">
        <f ca="1">VLOOKUP($D48,Data!$H$16:$BS$1015,R$9+1,FALSE)</f>
        <v>0</v>
      </c>
      <c r="S48" s="1051">
        <f ca="1">VLOOKUP($D48,Data!$H$16:$BS$1015,S$9+1,FALSE)</f>
        <v>0</v>
      </c>
      <c r="T48" s="1051">
        <f ca="1">VLOOKUP($D48,Data!$H$16:$BS$1015,T$9+1,FALSE)</f>
        <v>0</v>
      </c>
      <c r="U48" s="1052">
        <f ca="1">VLOOKUP($D48,Data!$H$16:$BS$1015,U$9+1,FALSE)</f>
        <v>0</v>
      </c>
      <c r="V48" s="1051">
        <f ca="1">VLOOKUP($D48,Data!$H$16:$BS$1015,V$9+1,FALSE)</f>
        <v>0</v>
      </c>
      <c r="W48" s="1051">
        <f ca="1">VLOOKUP($D48,Data!$H$16:$BS$1015,W$9+1,FALSE)</f>
        <v>0</v>
      </c>
      <c r="X48" s="1052">
        <f ca="1">VLOOKUP($D48,Data!$H$16:$BS$1015,X$9+1,FALSE)</f>
        <v>0</v>
      </c>
      <c r="Y48" s="1051">
        <f ca="1">VLOOKUP($D48,Data!$H$16:$BS$1015,Y$9+1,FALSE)</f>
        <v>0</v>
      </c>
      <c r="Z48" s="1051">
        <f ca="1">VLOOKUP($D48,Data!$H$16:$BS$1015,Z$9+1,FALSE)</f>
        <v>0</v>
      </c>
      <c r="AA48" s="1051">
        <f ca="1">VLOOKUP($D48,Data!$H$16:$BS$1015,AA$9+1,FALSE)</f>
        <v>0</v>
      </c>
      <c r="AB48" s="1051">
        <f ca="1">VLOOKUP($D48,Data!$H$16:$BS$1015,AB$9+1,FALSE)</f>
        <v>0</v>
      </c>
      <c r="AC48" s="1052">
        <f ca="1">VLOOKUP($D48,Data!$H$16:$BS$1015,AC$9+1,FALSE)</f>
        <v>0</v>
      </c>
      <c r="AD48" s="1051">
        <f ca="1">VLOOKUP($D48,Data!$H$16:$BS$1015,AD$9+1,FALSE)</f>
        <v>0</v>
      </c>
      <c r="AE48" s="1051">
        <f ca="1">VLOOKUP($D48,Data!$H$16:$BS$1015,AE$9+1,FALSE)</f>
        <v>0</v>
      </c>
      <c r="AF48" s="1052">
        <f ca="1">VLOOKUP($D48,Data!$H$16:$BS$1015,AF$9+1,FALSE)</f>
        <v>0</v>
      </c>
      <c r="AG48" s="1051">
        <f ca="1">VLOOKUP($D48,Data!$H$16:$BS$1015,AG$9+1,FALSE)</f>
        <v>0</v>
      </c>
      <c r="AH48" s="1051">
        <f ca="1">VLOOKUP($D48,Data!$H$16:$BS$1015,AH$9+1,FALSE)</f>
        <v>0</v>
      </c>
      <c r="AI48" s="1052">
        <f ca="1">VLOOKUP($D48,Data!$H$16:$BS$1015,AI$9+1,FALSE)</f>
        <v>0</v>
      </c>
      <c r="AJ48" s="1051">
        <f ca="1">VLOOKUP($D48,Data!$H$16:$BS$1015,AJ$9+1,FALSE)</f>
        <v>0</v>
      </c>
      <c r="AK48" s="1051">
        <f ca="1">VLOOKUP($D48,Data!$H$16:$BS$1015,AK$9+1,FALSE)</f>
        <v>0</v>
      </c>
      <c r="AL48" s="1052">
        <f ca="1">VLOOKUP($D48,Data!$H$16:$BS$1015,AL$9+1,FALSE)</f>
        <v>0</v>
      </c>
      <c r="AM48" s="1051">
        <f ca="1">VLOOKUP($D48,Data!$H$16:$BS$1015,AM$9+1,FALSE)</f>
        <v>0</v>
      </c>
      <c r="AN48" s="1051">
        <f ca="1">VLOOKUP($D48,Data!$H$16:$BS$1015,AN$9+1,FALSE)</f>
        <v>0</v>
      </c>
      <c r="AO48" s="1052">
        <f ca="1">VLOOKUP($D48,Data!$H$16:$BS$1015,AO$9+1,FALSE)</f>
        <v>0</v>
      </c>
      <c r="AP48" s="1051">
        <f ca="1">VLOOKUP($D48,Data!$H$16:$BS$1015,AP$9+1,FALSE)</f>
        <v>0</v>
      </c>
      <c r="AQ48" s="1051">
        <f ca="1">VLOOKUP($D48,Data!$H$16:$BS$1015,AQ$9+1,FALSE)</f>
        <v>0</v>
      </c>
      <c r="AR48" s="1053">
        <f ca="1">VLOOKUP($D48,Data!$H$16:$BS$1015,AR$9+1,FALSE)</f>
        <v>0</v>
      </c>
      <c r="AS48" s="1051">
        <f ca="1">VLOOKUP($D48,Data!$H$16:$BS$1015,AS$9+1,FALSE)</f>
        <v>0</v>
      </c>
      <c r="AT48" s="1051">
        <f ca="1">VLOOKUP($D48,Data!$H$16:$BS$1015,AT$9+1,FALSE)</f>
        <v>0</v>
      </c>
      <c r="AU48" s="1053">
        <f ca="1">VLOOKUP($D48,Data!$H$16:$BS$1015,AU$9+1,FALSE)</f>
        <v>0</v>
      </c>
      <c r="AV48" s="1051">
        <f ca="1">VLOOKUP($D48,Data!$H$16:$BS$1015,AV$9+1,FALSE)</f>
        <v>0</v>
      </c>
      <c r="AW48" s="1051">
        <f ca="1">VLOOKUP($D48,Data!$H$16:$BS$1015,AW$9+1,FALSE)</f>
        <v>0</v>
      </c>
      <c r="AX48" s="1053">
        <f ca="1">VLOOKUP($D48,Data!$H$16:$BS$1015,AX$9+1,FALSE)</f>
        <v>0</v>
      </c>
      <c r="AY48" s="1051">
        <f ca="1">VLOOKUP($D48,Data!$H$16:$BS$1015,AY$9+1,FALSE)</f>
        <v>0</v>
      </c>
      <c r="AZ48" s="1051">
        <f ca="1">VLOOKUP($D48,Data!$H$16:$BS$1015,AZ$9+1,FALSE)</f>
        <v>0</v>
      </c>
      <c r="BA48" s="1053">
        <f ca="1">VLOOKUP($D48,Data!$H$16:$BS$1015,BA$9+1,FALSE)</f>
        <v>0</v>
      </c>
      <c r="BB48" s="1052">
        <f ca="1">VLOOKUP($D48,Data!$H$16:$BS$1015,BB$9+1,FALSE)</f>
        <v>0</v>
      </c>
      <c r="BC48" s="1052">
        <f ca="1">VLOOKUP($D48,Data!$H$16:$BS$1015,BC$9+1,FALSE)</f>
        <v>0</v>
      </c>
      <c r="BD48" s="1052">
        <f ca="1">VLOOKUP($D48,Data!$H$16:$BS$1015,BD$9+1,FALSE)</f>
        <v>0</v>
      </c>
      <c r="BE48" s="1052">
        <f ca="1">VLOOKUP($D48,Data!$H$16:$BS$1015,BE$9+1,FALSE)</f>
        <v>0</v>
      </c>
      <c r="BF48" s="1052">
        <f ca="1">VLOOKUP($D48,Data!$H$16:$BS$1015,BF$9+1,FALSE)</f>
        <v>0</v>
      </c>
      <c r="BG48" s="1054">
        <f ca="1">VLOOKUP($D48,Data!$H$16:$BS$1015,BG$9+1,FALSE)</f>
        <v>0</v>
      </c>
      <c r="BH48" s="1051">
        <f ca="1">VLOOKUP($D48,Data!$H$16:$BS$1015,BH$9+2,FALSE)</f>
        <v>0</v>
      </c>
      <c r="BI48" s="1052">
        <f ca="1">VLOOKUP($D48,Data!$H$16:$BS$1015,BI$9+2,FALSE)</f>
        <v>0</v>
      </c>
      <c r="BJ48" s="1054">
        <f ca="1">VLOOKUP($D48,Data!$H$16:$BS$1015,BJ$9+2,FALSE)</f>
        <v>0</v>
      </c>
      <c r="BK48" s="1053">
        <f ca="1">VLOOKUP($D48,Data!$H$16:$BS$1015,BK$9+2,FALSE)</f>
        <v>0</v>
      </c>
    </row>
    <row r="49" spans="1:63" s="34" customFormat="1" ht="15" customHeight="1">
      <c r="A49" s="1185">
        <v>38</v>
      </c>
      <c r="B49" s="1443">
        <f ca="1">Data_3!B50</f>
        <v>0</v>
      </c>
      <c r="C49" s="1444" t="str">
        <f ca="1">IF(B49="","",IF(VLOOKUP(B49,Data_3!$B$13:$Y$112,24,FALSE)&lt;&gt;"",2020,IF(VLOOKUP(B49,Data_3!$B$13:$Y$112,23,FALSE)&lt;&gt;"",2019,IF(VLOOKUP(B49,Data_3!$B$13:$Y$112,22,FALSE)&lt;&gt;"",2018,IF(VLOOKUP(B49,Data_3!$B$13:$Y$112,21,FALSE)&lt;&gt;"",2017,IF(VLOOKUP(B49,Data_3!$B$13:$Y$112,20,FALSE)&lt;&gt;"",2016,IF(VLOOKUP(B49,Data_3!$B$13:$Y$112,19,FALSE)&lt;&gt;"",2015,IF(VLOOKUP(B49,Data_3!$B$13:$Y$112,18,FALSE)&lt;&gt;"",2014,IF(VLOOKUP(B49,Data_3!$B$13:$Y$112,17,FALSE)&lt;&gt;"",2013,IF(VLOOKUP(B49,Data_3!$B$13:$Y$112,16,FALSE)&lt;&gt;"",2012,IF(VLOOKUP(B49,Data_3!$B$13:$Y$112,15,FALSE)&lt;&gt;"",2011,IF(VLOOKUP(B49,Data_3!$B$13:$Y$112,14,FALSE)&lt;&gt;"",2010,IF(VLOOKUP(B49,Data_3!$B$13:$Y$112,13,FALSE)&lt;&gt;"",2009,IF(VLOOKUP(B49,Data_3!$B$13:$Y$112,12,FALSE)&lt;&gt;"",2008,IF(VLOOKUP(B49,Data_3!$B$13:$Y$112,11,FALSE)&lt;&gt;"",2007,IF(VLOOKUP(B49,Data_3!$B$13:$Y$112,10,FALSE)&lt;&gt;"",2006,IF(VLOOKUP(B49,Data_3!$B$13:$Y$112,9,FALSE)&lt;&gt;"",2005,IF(VLOOKUP(B49,Data_3!$B$13:$Y$112,8,FALSE)&lt;&gt;"",2004,IF(VLOOKUP(B49,Data_3!$B$13:$Y$112,7,FALSE)&lt;&gt;"",2003,IF(VLOOKUP(B49,Data_3!$B$13:$Y$1126,FALSE)&lt;&gt;"",2002,IF(VLOOKUP(B49,Data_3!$B$13:$Y$112,5,FALSE)&lt;&gt;"",2001,IF(VLOOKUP(B49,Data_3!$B$13:$Y$112,4,FALSE)&lt;&gt;"",2000,"N/A"))))))))))))))))))))))</f>
        <v/>
      </c>
      <c r="D49" s="1456" t="str">
        <f t="shared" ca="1" si="0"/>
        <v/>
      </c>
      <c r="E49" s="1456"/>
      <c r="F49" s="1051">
        <f ca="1">VLOOKUP($D49,Data!$H$16:$BS$1015,F$9+1,FALSE)</f>
        <v>0</v>
      </c>
      <c r="G49" s="1051">
        <f ca="1">VLOOKUP($D49,Data!$H$16:$BS$1015,G$9+1,FALSE)</f>
        <v>0</v>
      </c>
      <c r="H49" s="1052">
        <f ca="1">VLOOKUP($D49,Data!$H$16:$BS$1015,H$9+1,FALSE)</f>
        <v>0</v>
      </c>
      <c r="I49" s="1051">
        <f ca="1">VLOOKUP($D49,Data!$H$16:$BS$1015,I$9+1,FALSE)</f>
        <v>0</v>
      </c>
      <c r="J49" s="1051">
        <f ca="1">VLOOKUP($D49,Data!$H$16:$BS$1015,J$9+1,FALSE)</f>
        <v>0</v>
      </c>
      <c r="K49" s="1052">
        <f ca="1">VLOOKUP($D49,Data!$H$16:$BS$1015,K$9+1,FALSE)</f>
        <v>0</v>
      </c>
      <c r="L49" s="1051">
        <f ca="1">VLOOKUP($D49,Data!$H$16:$BS$1015,L$9+1,FALSE)</f>
        <v>0</v>
      </c>
      <c r="M49" s="1051">
        <f ca="1">VLOOKUP($D49,Data!$H$16:$BS$1015,M$9+1,FALSE)</f>
        <v>0</v>
      </c>
      <c r="N49" s="1052">
        <f ca="1">VLOOKUP($D49,Data!$H$16:$BS$1015,N$9+1,FALSE)</f>
        <v>0</v>
      </c>
      <c r="O49" s="1051">
        <f ca="1">VLOOKUP($D49,Data!$H$16:$BS$1015,O$9+1,FALSE)</f>
        <v>0</v>
      </c>
      <c r="P49" s="1051">
        <f ca="1">VLOOKUP($D49,Data!$H$16:$BS$1015,P$9+1,FALSE)</f>
        <v>0</v>
      </c>
      <c r="Q49" s="1052">
        <f ca="1">VLOOKUP($D49,Data!$H$16:$BS$1015,Q$9+1,FALSE)</f>
        <v>0</v>
      </c>
      <c r="R49" s="1053">
        <f ca="1">VLOOKUP($D49,Data!$H$16:$BS$1015,R$9+1,FALSE)</f>
        <v>0</v>
      </c>
      <c r="S49" s="1051">
        <f ca="1">VLOOKUP($D49,Data!$H$16:$BS$1015,S$9+1,FALSE)</f>
        <v>0</v>
      </c>
      <c r="T49" s="1051">
        <f ca="1">VLOOKUP($D49,Data!$H$16:$BS$1015,T$9+1,FALSE)</f>
        <v>0</v>
      </c>
      <c r="U49" s="1052">
        <f ca="1">VLOOKUP($D49,Data!$H$16:$BS$1015,U$9+1,FALSE)</f>
        <v>0</v>
      </c>
      <c r="V49" s="1051">
        <f ca="1">VLOOKUP($D49,Data!$H$16:$BS$1015,V$9+1,FALSE)</f>
        <v>0</v>
      </c>
      <c r="W49" s="1051">
        <f ca="1">VLOOKUP($D49,Data!$H$16:$BS$1015,W$9+1,FALSE)</f>
        <v>0</v>
      </c>
      <c r="X49" s="1052">
        <f ca="1">VLOOKUP($D49,Data!$H$16:$BS$1015,X$9+1,FALSE)</f>
        <v>0</v>
      </c>
      <c r="Y49" s="1051">
        <f ca="1">VLOOKUP($D49,Data!$H$16:$BS$1015,Y$9+1,FALSE)</f>
        <v>0</v>
      </c>
      <c r="Z49" s="1051">
        <f ca="1">VLOOKUP($D49,Data!$H$16:$BS$1015,Z$9+1,FALSE)</f>
        <v>0</v>
      </c>
      <c r="AA49" s="1051">
        <f ca="1">VLOOKUP($D49,Data!$H$16:$BS$1015,AA$9+1,FALSE)</f>
        <v>0</v>
      </c>
      <c r="AB49" s="1051">
        <f ca="1">VLOOKUP($D49,Data!$H$16:$BS$1015,AB$9+1,FALSE)</f>
        <v>0</v>
      </c>
      <c r="AC49" s="1052">
        <f ca="1">VLOOKUP($D49,Data!$H$16:$BS$1015,AC$9+1,FALSE)</f>
        <v>0</v>
      </c>
      <c r="AD49" s="1051">
        <f ca="1">VLOOKUP($D49,Data!$H$16:$BS$1015,AD$9+1,FALSE)</f>
        <v>0</v>
      </c>
      <c r="AE49" s="1051">
        <f ca="1">VLOOKUP($D49,Data!$H$16:$BS$1015,AE$9+1,FALSE)</f>
        <v>0</v>
      </c>
      <c r="AF49" s="1052">
        <f ca="1">VLOOKUP($D49,Data!$H$16:$BS$1015,AF$9+1,FALSE)</f>
        <v>0</v>
      </c>
      <c r="AG49" s="1051">
        <f ca="1">VLOOKUP($D49,Data!$H$16:$BS$1015,AG$9+1,FALSE)</f>
        <v>0</v>
      </c>
      <c r="AH49" s="1051">
        <f ca="1">VLOOKUP($D49,Data!$H$16:$BS$1015,AH$9+1,FALSE)</f>
        <v>0</v>
      </c>
      <c r="AI49" s="1052">
        <f ca="1">VLOOKUP($D49,Data!$H$16:$BS$1015,AI$9+1,FALSE)</f>
        <v>0</v>
      </c>
      <c r="AJ49" s="1051">
        <f ca="1">VLOOKUP($D49,Data!$H$16:$BS$1015,AJ$9+1,FALSE)</f>
        <v>0</v>
      </c>
      <c r="AK49" s="1051">
        <f ca="1">VLOOKUP($D49,Data!$H$16:$BS$1015,AK$9+1,FALSE)</f>
        <v>0</v>
      </c>
      <c r="AL49" s="1052">
        <f ca="1">VLOOKUP($D49,Data!$H$16:$BS$1015,AL$9+1,FALSE)</f>
        <v>0</v>
      </c>
      <c r="AM49" s="1051">
        <f ca="1">VLOOKUP($D49,Data!$H$16:$BS$1015,AM$9+1,FALSE)</f>
        <v>0</v>
      </c>
      <c r="AN49" s="1051">
        <f ca="1">VLOOKUP($D49,Data!$H$16:$BS$1015,AN$9+1,FALSE)</f>
        <v>0</v>
      </c>
      <c r="AO49" s="1052">
        <f ca="1">VLOOKUP($D49,Data!$H$16:$BS$1015,AO$9+1,FALSE)</f>
        <v>0</v>
      </c>
      <c r="AP49" s="1051">
        <f ca="1">VLOOKUP($D49,Data!$H$16:$BS$1015,AP$9+1,FALSE)</f>
        <v>0</v>
      </c>
      <c r="AQ49" s="1051">
        <f ca="1">VLOOKUP($D49,Data!$H$16:$BS$1015,AQ$9+1,FALSE)</f>
        <v>0</v>
      </c>
      <c r="AR49" s="1053">
        <f ca="1">VLOOKUP($D49,Data!$H$16:$BS$1015,AR$9+1,FALSE)</f>
        <v>0</v>
      </c>
      <c r="AS49" s="1051">
        <f ca="1">VLOOKUP($D49,Data!$H$16:$BS$1015,AS$9+1,FALSE)</f>
        <v>0</v>
      </c>
      <c r="AT49" s="1051">
        <f ca="1">VLOOKUP($D49,Data!$H$16:$BS$1015,AT$9+1,FALSE)</f>
        <v>0</v>
      </c>
      <c r="AU49" s="1053">
        <f ca="1">VLOOKUP($D49,Data!$H$16:$BS$1015,AU$9+1,FALSE)</f>
        <v>0</v>
      </c>
      <c r="AV49" s="1051">
        <f ca="1">VLOOKUP($D49,Data!$H$16:$BS$1015,AV$9+1,FALSE)</f>
        <v>0</v>
      </c>
      <c r="AW49" s="1051">
        <f ca="1">VLOOKUP($D49,Data!$H$16:$BS$1015,AW$9+1,FALSE)</f>
        <v>0</v>
      </c>
      <c r="AX49" s="1053">
        <f ca="1">VLOOKUP($D49,Data!$H$16:$BS$1015,AX$9+1,FALSE)</f>
        <v>0</v>
      </c>
      <c r="AY49" s="1051">
        <f ca="1">VLOOKUP($D49,Data!$H$16:$BS$1015,AY$9+1,FALSE)</f>
        <v>0</v>
      </c>
      <c r="AZ49" s="1051">
        <f ca="1">VLOOKUP($D49,Data!$H$16:$BS$1015,AZ$9+1,FALSE)</f>
        <v>0</v>
      </c>
      <c r="BA49" s="1053">
        <f ca="1">VLOOKUP($D49,Data!$H$16:$BS$1015,BA$9+1,FALSE)</f>
        <v>0</v>
      </c>
      <c r="BB49" s="1052">
        <f ca="1">VLOOKUP($D49,Data!$H$16:$BS$1015,BB$9+1,FALSE)</f>
        <v>0</v>
      </c>
      <c r="BC49" s="1052">
        <f ca="1">VLOOKUP($D49,Data!$H$16:$BS$1015,BC$9+1,FALSE)</f>
        <v>0</v>
      </c>
      <c r="BD49" s="1052">
        <f ca="1">VLOOKUP($D49,Data!$H$16:$BS$1015,BD$9+1,FALSE)</f>
        <v>0</v>
      </c>
      <c r="BE49" s="1052">
        <f ca="1">VLOOKUP($D49,Data!$H$16:$BS$1015,BE$9+1,FALSE)</f>
        <v>0</v>
      </c>
      <c r="BF49" s="1052">
        <f ca="1">VLOOKUP($D49,Data!$H$16:$BS$1015,BF$9+1,FALSE)</f>
        <v>0</v>
      </c>
      <c r="BG49" s="1054">
        <f ca="1">VLOOKUP($D49,Data!$H$16:$BS$1015,BG$9+1,FALSE)</f>
        <v>0</v>
      </c>
      <c r="BH49" s="1051">
        <f ca="1">VLOOKUP($D49,Data!$H$16:$BS$1015,BH$9+2,FALSE)</f>
        <v>0</v>
      </c>
      <c r="BI49" s="1052">
        <f ca="1">VLOOKUP($D49,Data!$H$16:$BS$1015,BI$9+2,FALSE)</f>
        <v>0</v>
      </c>
      <c r="BJ49" s="1054">
        <f ca="1">VLOOKUP($D49,Data!$H$16:$BS$1015,BJ$9+2,FALSE)</f>
        <v>0</v>
      </c>
      <c r="BK49" s="1053">
        <f ca="1">VLOOKUP($D49,Data!$H$16:$BS$1015,BK$9+2,FALSE)</f>
        <v>0</v>
      </c>
    </row>
    <row r="50" spans="1:63" s="34" customFormat="1" ht="15" customHeight="1">
      <c r="A50" s="1185">
        <v>39</v>
      </c>
      <c r="B50" s="1443">
        <f ca="1">Data_3!B51</f>
        <v>0</v>
      </c>
      <c r="C50" s="1444" t="str">
        <f ca="1">IF(B50="","",IF(VLOOKUP(B50,Data_3!$B$13:$Y$112,24,FALSE)&lt;&gt;"",2020,IF(VLOOKUP(B50,Data_3!$B$13:$Y$112,23,FALSE)&lt;&gt;"",2019,IF(VLOOKUP(B50,Data_3!$B$13:$Y$112,22,FALSE)&lt;&gt;"",2018,IF(VLOOKUP(B50,Data_3!$B$13:$Y$112,21,FALSE)&lt;&gt;"",2017,IF(VLOOKUP(B50,Data_3!$B$13:$Y$112,20,FALSE)&lt;&gt;"",2016,IF(VLOOKUP(B50,Data_3!$B$13:$Y$112,19,FALSE)&lt;&gt;"",2015,IF(VLOOKUP(B50,Data_3!$B$13:$Y$112,18,FALSE)&lt;&gt;"",2014,IF(VLOOKUP(B50,Data_3!$B$13:$Y$112,17,FALSE)&lt;&gt;"",2013,IF(VLOOKUP(B50,Data_3!$B$13:$Y$112,16,FALSE)&lt;&gt;"",2012,IF(VLOOKUP(B50,Data_3!$B$13:$Y$112,15,FALSE)&lt;&gt;"",2011,IF(VLOOKUP(B50,Data_3!$B$13:$Y$112,14,FALSE)&lt;&gt;"",2010,IF(VLOOKUP(B50,Data_3!$B$13:$Y$112,13,FALSE)&lt;&gt;"",2009,IF(VLOOKUP(B50,Data_3!$B$13:$Y$112,12,FALSE)&lt;&gt;"",2008,IF(VLOOKUP(B50,Data_3!$B$13:$Y$112,11,FALSE)&lt;&gt;"",2007,IF(VLOOKUP(B50,Data_3!$B$13:$Y$112,10,FALSE)&lt;&gt;"",2006,IF(VLOOKUP(B50,Data_3!$B$13:$Y$112,9,FALSE)&lt;&gt;"",2005,IF(VLOOKUP(B50,Data_3!$B$13:$Y$112,8,FALSE)&lt;&gt;"",2004,IF(VLOOKUP(B50,Data_3!$B$13:$Y$112,7,FALSE)&lt;&gt;"",2003,IF(VLOOKUP(B50,Data_3!$B$13:$Y$1126,FALSE)&lt;&gt;"",2002,IF(VLOOKUP(B50,Data_3!$B$13:$Y$112,5,FALSE)&lt;&gt;"",2001,IF(VLOOKUP(B50,Data_3!$B$13:$Y$112,4,FALSE)&lt;&gt;"",2000,"N/A"))))))))))))))))))))))</f>
        <v/>
      </c>
      <c r="D50" s="1456" t="str">
        <f t="shared" ca="1" si="0"/>
        <v/>
      </c>
      <c r="E50" s="1456"/>
      <c r="F50" s="1051">
        <f ca="1">VLOOKUP($D50,Data!$H$16:$BS$1015,F$9+1,FALSE)</f>
        <v>0</v>
      </c>
      <c r="G50" s="1051">
        <f ca="1">VLOOKUP($D50,Data!$H$16:$BS$1015,G$9+1,FALSE)</f>
        <v>0</v>
      </c>
      <c r="H50" s="1052">
        <f ca="1">VLOOKUP($D50,Data!$H$16:$BS$1015,H$9+1,FALSE)</f>
        <v>0</v>
      </c>
      <c r="I50" s="1051">
        <f ca="1">VLOOKUP($D50,Data!$H$16:$BS$1015,I$9+1,FALSE)</f>
        <v>0</v>
      </c>
      <c r="J50" s="1051">
        <f ca="1">VLOOKUP($D50,Data!$H$16:$BS$1015,J$9+1,FALSE)</f>
        <v>0</v>
      </c>
      <c r="K50" s="1052">
        <f ca="1">VLOOKUP($D50,Data!$H$16:$BS$1015,K$9+1,FALSE)</f>
        <v>0</v>
      </c>
      <c r="L50" s="1051">
        <f ca="1">VLOOKUP($D50,Data!$H$16:$BS$1015,L$9+1,FALSE)</f>
        <v>0</v>
      </c>
      <c r="M50" s="1051">
        <f ca="1">VLOOKUP($D50,Data!$H$16:$BS$1015,M$9+1,FALSE)</f>
        <v>0</v>
      </c>
      <c r="N50" s="1052">
        <f ca="1">VLOOKUP($D50,Data!$H$16:$BS$1015,N$9+1,FALSE)</f>
        <v>0</v>
      </c>
      <c r="O50" s="1051">
        <f ca="1">VLOOKUP($D50,Data!$H$16:$BS$1015,O$9+1,FALSE)</f>
        <v>0</v>
      </c>
      <c r="P50" s="1051">
        <f ca="1">VLOOKUP($D50,Data!$H$16:$BS$1015,P$9+1,FALSE)</f>
        <v>0</v>
      </c>
      <c r="Q50" s="1052">
        <f ca="1">VLOOKUP($D50,Data!$H$16:$BS$1015,Q$9+1,FALSE)</f>
        <v>0</v>
      </c>
      <c r="R50" s="1053">
        <f ca="1">VLOOKUP($D50,Data!$H$16:$BS$1015,R$9+1,FALSE)</f>
        <v>0</v>
      </c>
      <c r="S50" s="1051">
        <f ca="1">VLOOKUP($D50,Data!$H$16:$BS$1015,S$9+1,FALSE)</f>
        <v>0</v>
      </c>
      <c r="T50" s="1051">
        <f ca="1">VLOOKUP($D50,Data!$H$16:$BS$1015,T$9+1,FALSE)</f>
        <v>0</v>
      </c>
      <c r="U50" s="1052">
        <f ca="1">VLOOKUP($D50,Data!$H$16:$BS$1015,U$9+1,FALSE)</f>
        <v>0</v>
      </c>
      <c r="V50" s="1051">
        <f ca="1">VLOOKUP($D50,Data!$H$16:$BS$1015,V$9+1,FALSE)</f>
        <v>0</v>
      </c>
      <c r="W50" s="1051">
        <f ca="1">VLOOKUP($D50,Data!$H$16:$BS$1015,W$9+1,FALSE)</f>
        <v>0</v>
      </c>
      <c r="X50" s="1052">
        <f ca="1">VLOOKUP($D50,Data!$H$16:$BS$1015,X$9+1,FALSE)</f>
        <v>0</v>
      </c>
      <c r="Y50" s="1051">
        <f ca="1">VLOOKUP($D50,Data!$H$16:$BS$1015,Y$9+1,FALSE)</f>
        <v>0</v>
      </c>
      <c r="Z50" s="1051">
        <f ca="1">VLOOKUP($D50,Data!$H$16:$BS$1015,Z$9+1,FALSE)</f>
        <v>0</v>
      </c>
      <c r="AA50" s="1051">
        <f ca="1">VLOOKUP($D50,Data!$H$16:$BS$1015,AA$9+1,FALSE)</f>
        <v>0</v>
      </c>
      <c r="AB50" s="1051">
        <f ca="1">VLOOKUP($D50,Data!$H$16:$BS$1015,AB$9+1,FALSE)</f>
        <v>0</v>
      </c>
      <c r="AC50" s="1052">
        <f ca="1">VLOOKUP($D50,Data!$H$16:$BS$1015,AC$9+1,FALSE)</f>
        <v>0</v>
      </c>
      <c r="AD50" s="1051">
        <f ca="1">VLOOKUP($D50,Data!$H$16:$BS$1015,AD$9+1,FALSE)</f>
        <v>0</v>
      </c>
      <c r="AE50" s="1051">
        <f ca="1">VLOOKUP($D50,Data!$H$16:$BS$1015,AE$9+1,FALSE)</f>
        <v>0</v>
      </c>
      <c r="AF50" s="1052">
        <f ca="1">VLOOKUP($D50,Data!$H$16:$BS$1015,AF$9+1,FALSE)</f>
        <v>0</v>
      </c>
      <c r="AG50" s="1051">
        <f ca="1">VLOOKUP($D50,Data!$H$16:$BS$1015,AG$9+1,FALSE)</f>
        <v>0</v>
      </c>
      <c r="AH50" s="1051">
        <f ca="1">VLOOKUP($D50,Data!$H$16:$BS$1015,AH$9+1,FALSE)</f>
        <v>0</v>
      </c>
      <c r="AI50" s="1052">
        <f ca="1">VLOOKUP($D50,Data!$H$16:$BS$1015,AI$9+1,FALSE)</f>
        <v>0</v>
      </c>
      <c r="AJ50" s="1051">
        <f ca="1">VLOOKUP($D50,Data!$H$16:$BS$1015,AJ$9+1,FALSE)</f>
        <v>0</v>
      </c>
      <c r="AK50" s="1051">
        <f ca="1">VLOOKUP($D50,Data!$H$16:$BS$1015,AK$9+1,FALSE)</f>
        <v>0</v>
      </c>
      <c r="AL50" s="1052">
        <f ca="1">VLOOKUP($D50,Data!$H$16:$BS$1015,AL$9+1,FALSE)</f>
        <v>0</v>
      </c>
      <c r="AM50" s="1051">
        <f ca="1">VLOOKUP($D50,Data!$H$16:$BS$1015,AM$9+1,FALSE)</f>
        <v>0</v>
      </c>
      <c r="AN50" s="1051">
        <f ca="1">VLOOKUP($D50,Data!$H$16:$BS$1015,AN$9+1,FALSE)</f>
        <v>0</v>
      </c>
      <c r="AO50" s="1052">
        <f ca="1">VLOOKUP($D50,Data!$H$16:$BS$1015,AO$9+1,FALSE)</f>
        <v>0</v>
      </c>
      <c r="AP50" s="1051">
        <f ca="1">VLOOKUP($D50,Data!$H$16:$BS$1015,AP$9+1,FALSE)</f>
        <v>0</v>
      </c>
      <c r="AQ50" s="1051">
        <f ca="1">VLOOKUP($D50,Data!$H$16:$BS$1015,AQ$9+1,FALSE)</f>
        <v>0</v>
      </c>
      <c r="AR50" s="1053">
        <f ca="1">VLOOKUP($D50,Data!$H$16:$BS$1015,AR$9+1,FALSE)</f>
        <v>0</v>
      </c>
      <c r="AS50" s="1051">
        <f ca="1">VLOOKUP($D50,Data!$H$16:$BS$1015,AS$9+1,FALSE)</f>
        <v>0</v>
      </c>
      <c r="AT50" s="1051">
        <f ca="1">VLOOKUP($D50,Data!$H$16:$BS$1015,AT$9+1,FALSE)</f>
        <v>0</v>
      </c>
      <c r="AU50" s="1053">
        <f ca="1">VLOOKUP($D50,Data!$H$16:$BS$1015,AU$9+1,FALSE)</f>
        <v>0</v>
      </c>
      <c r="AV50" s="1051">
        <f ca="1">VLOOKUP($D50,Data!$H$16:$BS$1015,AV$9+1,FALSE)</f>
        <v>0</v>
      </c>
      <c r="AW50" s="1051">
        <f ca="1">VLOOKUP($D50,Data!$H$16:$BS$1015,AW$9+1,FALSE)</f>
        <v>0</v>
      </c>
      <c r="AX50" s="1053">
        <f ca="1">VLOOKUP($D50,Data!$H$16:$BS$1015,AX$9+1,FALSE)</f>
        <v>0</v>
      </c>
      <c r="AY50" s="1051">
        <f ca="1">VLOOKUP($D50,Data!$H$16:$BS$1015,AY$9+1,FALSE)</f>
        <v>0</v>
      </c>
      <c r="AZ50" s="1051">
        <f ca="1">VLOOKUP($D50,Data!$H$16:$BS$1015,AZ$9+1,FALSE)</f>
        <v>0</v>
      </c>
      <c r="BA50" s="1053">
        <f ca="1">VLOOKUP($D50,Data!$H$16:$BS$1015,BA$9+1,FALSE)</f>
        <v>0</v>
      </c>
      <c r="BB50" s="1052">
        <f ca="1">VLOOKUP($D50,Data!$H$16:$BS$1015,BB$9+1,FALSE)</f>
        <v>0</v>
      </c>
      <c r="BC50" s="1052">
        <f ca="1">VLOOKUP($D50,Data!$H$16:$BS$1015,BC$9+1,FALSE)</f>
        <v>0</v>
      </c>
      <c r="BD50" s="1052">
        <f ca="1">VLOOKUP($D50,Data!$H$16:$BS$1015,BD$9+1,FALSE)</f>
        <v>0</v>
      </c>
      <c r="BE50" s="1052">
        <f ca="1">VLOOKUP($D50,Data!$H$16:$BS$1015,BE$9+1,FALSE)</f>
        <v>0</v>
      </c>
      <c r="BF50" s="1052">
        <f ca="1">VLOOKUP($D50,Data!$H$16:$BS$1015,BF$9+1,FALSE)</f>
        <v>0</v>
      </c>
      <c r="BG50" s="1054">
        <f ca="1">VLOOKUP($D50,Data!$H$16:$BS$1015,BG$9+1,FALSE)</f>
        <v>0</v>
      </c>
      <c r="BH50" s="1051">
        <f ca="1">VLOOKUP($D50,Data!$H$16:$BS$1015,BH$9+2,FALSE)</f>
        <v>0</v>
      </c>
      <c r="BI50" s="1052">
        <f ca="1">VLOOKUP($D50,Data!$H$16:$BS$1015,BI$9+2,FALSE)</f>
        <v>0</v>
      </c>
      <c r="BJ50" s="1054">
        <f ca="1">VLOOKUP($D50,Data!$H$16:$BS$1015,BJ$9+2,FALSE)</f>
        <v>0</v>
      </c>
      <c r="BK50" s="1053">
        <f ca="1">VLOOKUP($D50,Data!$H$16:$BS$1015,BK$9+2,FALSE)</f>
        <v>0</v>
      </c>
    </row>
    <row r="51" spans="1:63" s="34" customFormat="1" ht="15" customHeight="1">
      <c r="A51" s="1185">
        <v>40</v>
      </c>
      <c r="B51" s="1443">
        <f ca="1">Data_3!B52</f>
        <v>0</v>
      </c>
      <c r="C51" s="1444" t="str">
        <f ca="1">IF(B51="","",IF(VLOOKUP(B51,Data_3!$B$13:$Y$112,24,FALSE)&lt;&gt;"",2020,IF(VLOOKUP(B51,Data_3!$B$13:$Y$112,23,FALSE)&lt;&gt;"",2019,IF(VLOOKUP(B51,Data_3!$B$13:$Y$112,22,FALSE)&lt;&gt;"",2018,IF(VLOOKUP(B51,Data_3!$B$13:$Y$112,21,FALSE)&lt;&gt;"",2017,IF(VLOOKUP(B51,Data_3!$B$13:$Y$112,20,FALSE)&lt;&gt;"",2016,IF(VLOOKUP(B51,Data_3!$B$13:$Y$112,19,FALSE)&lt;&gt;"",2015,IF(VLOOKUP(B51,Data_3!$B$13:$Y$112,18,FALSE)&lt;&gt;"",2014,IF(VLOOKUP(B51,Data_3!$B$13:$Y$112,17,FALSE)&lt;&gt;"",2013,IF(VLOOKUP(B51,Data_3!$B$13:$Y$112,16,FALSE)&lt;&gt;"",2012,IF(VLOOKUP(B51,Data_3!$B$13:$Y$112,15,FALSE)&lt;&gt;"",2011,IF(VLOOKUP(B51,Data_3!$B$13:$Y$112,14,FALSE)&lt;&gt;"",2010,IF(VLOOKUP(B51,Data_3!$B$13:$Y$112,13,FALSE)&lt;&gt;"",2009,IF(VLOOKUP(B51,Data_3!$B$13:$Y$112,12,FALSE)&lt;&gt;"",2008,IF(VLOOKUP(B51,Data_3!$B$13:$Y$112,11,FALSE)&lt;&gt;"",2007,IF(VLOOKUP(B51,Data_3!$B$13:$Y$112,10,FALSE)&lt;&gt;"",2006,IF(VLOOKUP(B51,Data_3!$B$13:$Y$112,9,FALSE)&lt;&gt;"",2005,IF(VLOOKUP(B51,Data_3!$B$13:$Y$112,8,FALSE)&lt;&gt;"",2004,IF(VLOOKUP(B51,Data_3!$B$13:$Y$112,7,FALSE)&lt;&gt;"",2003,IF(VLOOKUP(B51,Data_3!$B$13:$Y$1126,FALSE)&lt;&gt;"",2002,IF(VLOOKUP(B51,Data_3!$B$13:$Y$112,5,FALSE)&lt;&gt;"",2001,IF(VLOOKUP(B51,Data_3!$B$13:$Y$112,4,FALSE)&lt;&gt;"",2000,"N/A"))))))))))))))))))))))</f>
        <v/>
      </c>
      <c r="D51" s="1456" t="str">
        <f t="shared" ca="1" si="0"/>
        <v/>
      </c>
      <c r="E51" s="1456"/>
      <c r="F51" s="1051">
        <f ca="1">VLOOKUP($D51,Data!$H$16:$BS$1015,F$9+1,FALSE)</f>
        <v>0</v>
      </c>
      <c r="G51" s="1051">
        <f ca="1">VLOOKUP($D51,Data!$H$16:$BS$1015,G$9+1,FALSE)</f>
        <v>0</v>
      </c>
      <c r="H51" s="1052">
        <f ca="1">VLOOKUP($D51,Data!$H$16:$BS$1015,H$9+1,FALSE)</f>
        <v>0</v>
      </c>
      <c r="I51" s="1051">
        <f ca="1">VLOOKUP($D51,Data!$H$16:$BS$1015,I$9+1,FALSE)</f>
        <v>0</v>
      </c>
      <c r="J51" s="1051">
        <f ca="1">VLOOKUP($D51,Data!$H$16:$BS$1015,J$9+1,FALSE)</f>
        <v>0</v>
      </c>
      <c r="K51" s="1052">
        <f ca="1">VLOOKUP($D51,Data!$H$16:$BS$1015,K$9+1,FALSE)</f>
        <v>0</v>
      </c>
      <c r="L51" s="1051">
        <f ca="1">VLOOKUP($D51,Data!$H$16:$BS$1015,L$9+1,FALSE)</f>
        <v>0</v>
      </c>
      <c r="M51" s="1051">
        <f ca="1">VLOOKUP($D51,Data!$H$16:$BS$1015,M$9+1,FALSE)</f>
        <v>0</v>
      </c>
      <c r="N51" s="1052">
        <f ca="1">VLOOKUP($D51,Data!$H$16:$BS$1015,N$9+1,FALSE)</f>
        <v>0</v>
      </c>
      <c r="O51" s="1051">
        <f ca="1">VLOOKUP($D51,Data!$H$16:$BS$1015,O$9+1,FALSE)</f>
        <v>0</v>
      </c>
      <c r="P51" s="1051">
        <f ca="1">VLOOKUP($D51,Data!$H$16:$BS$1015,P$9+1,FALSE)</f>
        <v>0</v>
      </c>
      <c r="Q51" s="1052">
        <f ca="1">VLOOKUP($D51,Data!$H$16:$BS$1015,Q$9+1,FALSE)</f>
        <v>0</v>
      </c>
      <c r="R51" s="1053">
        <f ca="1">VLOOKUP($D51,Data!$H$16:$BS$1015,R$9+1,FALSE)</f>
        <v>0</v>
      </c>
      <c r="S51" s="1051">
        <f ca="1">VLOOKUP($D51,Data!$H$16:$BS$1015,S$9+1,FALSE)</f>
        <v>0</v>
      </c>
      <c r="T51" s="1051">
        <f ca="1">VLOOKUP($D51,Data!$H$16:$BS$1015,T$9+1,FALSE)</f>
        <v>0</v>
      </c>
      <c r="U51" s="1052">
        <f ca="1">VLOOKUP($D51,Data!$H$16:$BS$1015,U$9+1,FALSE)</f>
        <v>0</v>
      </c>
      <c r="V51" s="1051">
        <f ca="1">VLOOKUP($D51,Data!$H$16:$BS$1015,V$9+1,FALSE)</f>
        <v>0</v>
      </c>
      <c r="W51" s="1051">
        <f ca="1">VLOOKUP($D51,Data!$H$16:$BS$1015,W$9+1,FALSE)</f>
        <v>0</v>
      </c>
      <c r="X51" s="1052">
        <f ca="1">VLOOKUP($D51,Data!$H$16:$BS$1015,X$9+1,FALSE)</f>
        <v>0</v>
      </c>
      <c r="Y51" s="1051">
        <f ca="1">VLOOKUP($D51,Data!$H$16:$BS$1015,Y$9+1,FALSE)</f>
        <v>0</v>
      </c>
      <c r="Z51" s="1051">
        <f ca="1">VLOOKUP($D51,Data!$H$16:$BS$1015,Z$9+1,FALSE)</f>
        <v>0</v>
      </c>
      <c r="AA51" s="1051">
        <f ca="1">VLOOKUP($D51,Data!$H$16:$BS$1015,AA$9+1,FALSE)</f>
        <v>0</v>
      </c>
      <c r="AB51" s="1051">
        <f ca="1">VLOOKUP($D51,Data!$H$16:$BS$1015,AB$9+1,FALSE)</f>
        <v>0</v>
      </c>
      <c r="AC51" s="1052">
        <f ca="1">VLOOKUP($D51,Data!$H$16:$BS$1015,AC$9+1,FALSE)</f>
        <v>0</v>
      </c>
      <c r="AD51" s="1051">
        <f ca="1">VLOOKUP($D51,Data!$H$16:$BS$1015,AD$9+1,FALSE)</f>
        <v>0</v>
      </c>
      <c r="AE51" s="1051">
        <f ca="1">VLOOKUP($D51,Data!$H$16:$BS$1015,AE$9+1,FALSE)</f>
        <v>0</v>
      </c>
      <c r="AF51" s="1052">
        <f ca="1">VLOOKUP($D51,Data!$H$16:$BS$1015,AF$9+1,FALSE)</f>
        <v>0</v>
      </c>
      <c r="AG51" s="1051">
        <f ca="1">VLOOKUP($D51,Data!$H$16:$BS$1015,AG$9+1,FALSE)</f>
        <v>0</v>
      </c>
      <c r="AH51" s="1051">
        <f ca="1">VLOOKUP($D51,Data!$H$16:$BS$1015,AH$9+1,FALSE)</f>
        <v>0</v>
      </c>
      <c r="AI51" s="1052">
        <f ca="1">VLOOKUP($D51,Data!$H$16:$BS$1015,AI$9+1,FALSE)</f>
        <v>0</v>
      </c>
      <c r="AJ51" s="1051">
        <f ca="1">VLOOKUP($D51,Data!$H$16:$BS$1015,AJ$9+1,FALSE)</f>
        <v>0</v>
      </c>
      <c r="AK51" s="1051">
        <f ca="1">VLOOKUP($D51,Data!$H$16:$BS$1015,AK$9+1,FALSE)</f>
        <v>0</v>
      </c>
      <c r="AL51" s="1052">
        <f ca="1">VLOOKUP($D51,Data!$H$16:$BS$1015,AL$9+1,FALSE)</f>
        <v>0</v>
      </c>
      <c r="AM51" s="1051">
        <f ca="1">VLOOKUP($D51,Data!$H$16:$BS$1015,AM$9+1,FALSE)</f>
        <v>0</v>
      </c>
      <c r="AN51" s="1051">
        <f ca="1">VLOOKUP($D51,Data!$H$16:$BS$1015,AN$9+1,FALSE)</f>
        <v>0</v>
      </c>
      <c r="AO51" s="1052">
        <f ca="1">VLOOKUP($D51,Data!$H$16:$BS$1015,AO$9+1,FALSE)</f>
        <v>0</v>
      </c>
      <c r="AP51" s="1051">
        <f ca="1">VLOOKUP($D51,Data!$H$16:$BS$1015,AP$9+1,FALSE)</f>
        <v>0</v>
      </c>
      <c r="AQ51" s="1051">
        <f ca="1">VLOOKUP($D51,Data!$H$16:$BS$1015,AQ$9+1,FALSE)</f>
        <v>0</v>
      </c>
      <c r="AR51" s="1053">
        <f ca="1">VLOOKUP($D51,Data!$H$16:$BS$1015,AR$9+1,FALSE)</f>
        <v>0</v>
      </c>
      <c r="AS51" s="1051">
        <f ca="1">VLOOKUP($D51,Data!$H$16:$BS$1015,AS$9+1,FALSE)</f>
        <v>0</v>
      </c>
      <c r="AT51" s="1051">
        <f ca="1">VLOOKUP($D51,Data!$H$16:$BS$1015,AT$9+1,FALSE)</f>
        <v>0</v>
      </c>
      <c r="AU51" s="1053">
        <f ca="1">VLOOKUP($D51,Data!$H$16:$BS$1015,AU$9+1,FALSE)</f>
        <v>0</v>
      </c>
      <c r="AV51" s="1051">
        <f ca="1">VLOOKUP($D51,Data!$H$16:$BS$1015,AV$9+1,FALSE)</f>
        <v>0</v>
      </c>
      <c r="AW51" s="1051">
        <f ca="1">VLOOKUP($D51,Data!$H$16:$BS$1015,AW$9+1,FALSE)</f>
        <v>0</v>
      </c>
      <c r="AX51" s="1053">
        <f ca="1">VLOOKUP($D51,Data!$H$16:$BS$1015,AX$9+1,FALSE)</f>
        <v>0</v>
      </c>
      <c r="AY51" s="1051">
        <f ca="1">VLOOKUP($D51,Data!$H$16:$BS$1015,AY$9+1,FALSE)</f>
        <v>0</v>
      </c>
      <c r="AZ51" s="1051">
        <f ca="1">VLOOKUP($D51,Data!$H$16:$BS$1015,AZ$9+1,FALSE)</f>
        <v>0</v>
      </c>
      <c r="BA51" s="1053">
        <f ca="1">VLOOKUP($D51,Data!$H$16:$BS$1015,BA$9+1,FALSE)</f>
        <v>0</v>
      </c>
      <c r="BB51" s="1052">
        <f ca="1">VLOOKUP($D51,Data!$H$16:$BS$1015,BB$9+1,FALSE)</f>
        <v>0</v>
      </c>
      <c r="BC51" s="1052">
        <f ca="1">VLOOKUP($D51,Data!$H$16:$BS$1015,BC$9+1,FALSE)</f>
        <v>0</v>
      </c>
      <c r="BD51" s="1052">
        <f ca="1">VLOOKUP($D51,Data!$H$16:$BS$1015,BD$9+1,FALSE)</f>
        <v>0</v>
      </c>
      <c r="BE51" s="1052">
        <f ca="1">VLOOKUP($D51,Data!$H$16:$BS$1015,BE$9+1,FALSE)</f>
        <v>0</v>
      </c>
      <c r="BF51" s="1052">
        <f ca="1">VLOOKUP($D51,Data!$H$16:$BS$1015,BF$9+1,FALSE)</f>
        <v>0</v>
      </c>
      <c r="BG51" s="1054">
        <f ca="1">VLOOKUP($D51,Data!$H$16:$BS$1015,BG$9+1,FALSE)</f>
        <v>0</v>
      </c>
      <c r="BH51" s="1051">
        <f ca="1">VLOOKUP($D51,Data!$H$16:$BS$1015,BH$9+2,FALSE)</f>
        <v>0</v>
      </c>
      <c r="BI51" s="1052">
        <f ca="1">VLOOKUP($D51,Data!$H$16:$BS$1015,BI$9+2,FALSE)</f>
        <v>0</v>
      </c>
      <c r="BJ51" s="1054">
        <f ca="1">VLOOKUP($D51,Data!$H$16:$BS$1015,BJ$9+2,FALSE)</f>
        <v>0</v>
      </c>
      <c r="BK51" s="1053">
        <f ca="1">VLOOKUP($D51,Data!$H$16:$BS$1015,BK$9+2,FALSE)</f>
        <v>0</v>
      </c>
    </row>
    <row r="52" spans="1:63" s="34" customFormat="1" ht="15" customHeight="1">
      <c r="A52" s="1185">
        <v>41</v>
      </c>
      <c r="B52" s="1443">
        <f ca="1">Data_3!B53</f>
        <v>0</v>
      </c>
      <c r="C52" s="1444" t="str">
        <f ca="1">IF(B52="","",IF(VLOOKUP(B52,Data_3!$B$13:$Y$112,24,FALSE)&lt;&gt;"",2020,IF(VLOOKUP(B52,Data_3!$B$13:$Y$112,23,FALSE)&lt;&gt;"",2019,IF(VLOOKUP(B52,Data_3!$B$13:$Y$112,22,FALSE)&lt;&gt;"",2018,IF(VLOOKUP(B52,Data_3!$B$13:$Y$112,21,FALSE)&lt;&gt;"",2017,IF(VLOOKUP(B52,Data_3!$B$13:$Y$112,20,FALSE)&lt;&gt;"",2016,IF(VLOOKUP(B52,Data_3!$B$13:$Y$112,19,FALSE)&lt;&gt;"",2015,IF(VLOOKUP(B52,Data_3!$B$13:$Y$112,18,FALSE)&lt;&gt;"",2014,IF(VLOOKUP(B52,Data_3!$B$13:$Y$112,17,FALSE)&lt;&gt;"",2013,IF(VLOOKUP(B52,Data_3!$B$13:$Y$112,16,FALSE)&lt;&gt;"",2012,IF(VLOOKUP(B52,Data_3!$B$13:$Y$112,15,FALSE)&lt;&gt;"",2011,IF(VLOOKUP(B52,Data_3!$B$13:$Y$112,14,FALSE)&lt;&gt;"",2010,IF(VLOOKUP(B52,Data_3!$B$13:$Y$112,13,FALSE)&lt;&gt;"",2009,IF(VLOOKUP(B52,Data_3!$B$13:$Y$112,12,FALSE)&lt;&gt;"",2008,IF(VLOOKUP(B52,Data_3!$B$13:$Y$112,11,FALSE)&lt;&gt;"",2007,IF(VLOOKUP(B52,Data_3!$B$13:$Y$112,10,FALSE)&lt;&gt;"",2006,IF(VLOOKUP(B52,Data_3!$B$13:$Y$112,9,FALSE)&lt;&gt;"",2005,IF(VLOOKUP(B52,Data_3!$B$13:$Y$112,8,FALSE)&lt;&gt;"",2004,IF(VLOOKUP(B52,Data_3!$B$13:$Y$112,7,FALSE)&lt;&gt;"",2003,IF(VLOOKUP(B52,Data_3!$B$13:$Y$1126,FALSE)&lt;&gt;"",2002,IF(VLOOKUP(B52,Data_3!$B$13:$Y$112,5,FALSE)&lt;&gt;"",2001,IF(VLOOKUP(B52,Data_3!$B$13:$Y$112,4,FALSE)&lt;&gt;"",2000,"N/A"))))))))))))))))))))))</f>
        <v/>
      </c>
      <c r="D52" s="1456" t="str">
        <f t="shared" ca="1" si="0"/>
        <v/>
      </c>
      <c r="E52" s="1456"/>
      <c r="F52" s="1051">
        <f ca="1">VLOOKUP($D52,Data!$H$16:$BS$1015,F$9+1,FALSE)</f>
        <v>0</v>
      </c>
      <c r="G52" s="1051">
        <f ca="1">VLOOKUP($D52,Data!$H$16:$BS$1015,G$9+1,FALSE)</f>
        <v>0</v>
      </c>
      <c r="H52" s="1052">
        <f ca="1">VLOOKUP($D52,Data!$H$16:$BS$1015,H$9+1,FALSE)</f>
        <v>0</v>
      </c>
      <c r="I52" s="1051">
        <f ca="1">VLOOKUP($D52,Data!$H$16:$BS$1015,I$9+1,FALSE)</f>
        <v>0</v>
      </c>
      <c r="J52" s="1051">
        <f ca="1">VLOOKUP($D52,Data!$H$16:$BS$1015,J$9+1,FALSE)</f>
        <v>0</v>
      </c>
      <c r="K52" s="1052">
        <f ca="1">VLOOKUP($D52,Data!$H$16:$BS$1015,K$9+1,FALSE)</f>
        <v>0</v>
      </c>
      <c r="L52" s="1051">
        <f ca="1">VLOOKUP($D52,Data!$H$16:$BS$1015,L$9+1,FALSE)</f>
        <v>0</v>
      </c>
      <c r="M52" s="1051">
        <f ca="1">VLOOKUP($D52,Data!$H$16:$BS$1015,M$9+1,FALSE)</f>
        <v>0</v>
      </c>
      <c r="N52" s="1052">
        <f ca="1">VLOOKUP($D52,Data!$H$16:$BS$1015,N$9+1,FALSE)</f>
        <v>0</v>
      </c>
      <c r="O52" s="1051">
        <f ca="1">VLOOKUP($D52,Data!$H$16:$BS$1015,O$9+1,FALSE)</f>
        <v>0</v>
      </c>
      <c r="P52" s="1051">
        <f ca="1">VLOOKUP($D52,Data!$H$16:$BS$1015,P$9+1,FALSE)</f>
        <v>0</v>
      </c>
      <c r="Q52" s="1052">
        <f ca="1">VLOOKUP($D52,Data!$H$16:$BS$1015,Q$9+1,FALSE)</f>
        <v>0</v>
      </c>
      <c r="R52" s="1053">
        <f ca="1">VLOOKUP($D52,Data!$H$16:$BS$1015,R$9+1,FALSE)</f>
        <v>0</v>
      </c>
      <c r="S52" s="1051">
        <f ca="1">VLOOKUP($D52,Data!$H$16:$BS$1015,S$9+1,FALSE)</f>
        <v>0</v>
      </c>
      <c r="T52" s="1051">
        <f ca="1">VLOOKUP($D52,Data!$H$16:$BS$1015,T$9+1,FALSE)</f>
        <v>0</v>
      </c>
      <c r="U52" s="1052">
        <f ca="1">VLOOKUP($D52,Data!$H$16:$BS$1015,U$9+1,FALSE)</f>
        <v>0</v>
      </c>
      <c r="V52" s="1051">
        <f ca="1">VLOOKUP($D52,Data!$H$16:$BS$1015,V$9+1,FALSE)</f>
        <v>0</v>
      </c>
      <c r="W52" s="1051">
        <f ca="1">VLOOKUP($D52,Data!$H$16:$BS$1015,W$9+1,FALSE)</f>
        <v>0</v>
      </c>
      <c r="X52" s="1052">
        <f ca="1">VLOOKUP($D52,Data!$H$16:$BS$1015,X$9+1,FALSE)</f>
        <v>0</v>
      </c>
      <c r="Y52" s="1051">
        <f ca="1">VLOOKUP($D52,Data!$H$16:$BS$1015,Y$9+1,FALSE)</f>
        <v>0</v>
      </c>
      <c r="Z52" s="1051">
        <f ca="1">VLOOKUP($D52,Data!$H$16:$BS$1015,Z$9+1,FALSE)</f>
        <v>0</v>
      </c>
      <c r="AA52" s="1051">
        <f ca="1">VLOOKUP($D52,Data!$H$16:$BS$1015,AA$9+1,FALSE)</f>
        <v>0</v>
      </c>
      <c r="AB52" s="1051">
        <f ca="1">VLOOKUP($D52,Data!$H$16:$BS$1015,AB$9+1,FALSE)</f>
        <v>0</v>
      </c>
      <c r="AC52" s="1052">
        <f ca="1">VLOOKUP($D52,Data!$H$16:$BS$1015,AC$9+1,FALSE)</f>
        <v>0</v>
      </c>
      <c r="AD52" s="1051">
        <f ca="1">VLOOKUP($D52,Data!$H$16:$BS$1015,AD$9+1,FALSE)</f>
        <v>0</v>
      </c>
      <c r="AE52" s="1051">
        <f ca="1">VLOOKUP($D52,Data!$H$16:$BS$1015,AE$9+1,FALSE)</f>
        <v>0</v>
      </c>
      <c r="AF52" s="1052">
        <f ca="1">VLOOKUP($D52,Data!$H$16:$BS$1015,AF$9+1,FALSE)</f>
        <v>0</v>
      </c>
      <c r="AG52" s="1051">
        <f ca="1">VLOOKUP($D52,Data!$H$16:$BS$1015,AG$9+1,FALSE)</f>
        <v>0</v>
      </c>
      <c r="AH52" s="1051">
        <f ca="1">VLOOKUP($D52,Data!$H$16:$BS$1015,AH$9+1,FALSE)</f>
        <v>0</v>
      </c>
      <c r="AI52" s="1052">
        <f ca="1">VLOOKUP($D52,Data!$H$16:$BS$1015,AI$9+1,FALSE)</f>
        <v>0</v>
      </c>
      <c r="AJ52" s="1051">
        <f ca="1">VLOOKUP($D52,Data!$H$16:$BS$1015,AJ$9+1,FALSE)</f>
        <v>0</v>
      </c>
      <c r="AK52" s="1051">
        <f ca="1">VLOOKUP($D52,Data!$H$16:$BS$1015,AK$9+1,FALSE)</f>
        <v>0</v>
      </c>
      <c r="AL52" s="1052">
        <f ca="1">VLOOKUP($D52,Data!$H$16:$BS$1015,AL$9+1,FALSE)</f>
        <v>0</v>
      </c>
      <c r="AM52" s="1051">
        <f ca="1">VLOOKUP($D52,Data!$H$16:$BS$1015,AM$9+1,FALSE)</f>
        <v>0</v>
      </c>
      <c r="AN52" s="1051">
        <f ca="1">VLOOKUP($D52,Data!$H$16:$BS$1015,AN$9+1,FALSE)</f>
        <v>0</v>
      </c>
      <c r="AO52" s="1052">
        <f ca="1">VLOOKUP($D52,Data!$H$16:$BS$1015,AO$9+1,FALSE)</f>
        <v>0</v>
      </c>
      <c r="AP52" s="1051">
        <f ca="1">VLOOKUP($D52,Data!$H$16:$BS$1015,AP$9+1,FALSE)</f>
        <v>0</v>
      </c>
      <c r="AQ52" s="1051">
        <f ca="1">VLOOKUP($D52,Data!$H$16:$BS$1015,AQ$9+1,FALSE)</f>
        <v>0</v>
      </c>
      <c r="AR52" s="1053">
        <f ca="1">VLOOKUP($D52,Data!$H$16:$BS$1015,AR$9+1,FALSE)</f>
        <v>0</v>
      </c>
      <c r="AS52" s="1051">
        <f ca="1">VLOOKUP($D52,Data!$H$16:$BS$1015,AS$9+1,FALSE)</f>
        <v>0</v>
      </c>
      <c r="AT52" s="1051">
        <f ca="1">VLOOKUP($D52,Data!$H$16:$BS$1015,AT$9+1,FALSE)</f>
        <v>0</v>
      </c>
      <c r="AU52" s="1053">
        <f ca="1">VLOOKUP($D52,Data!$H$16:$BS$1015,AU$9+1,FALSE)</f>
        <v>0</v>
      </c>
      <c r="AV52" s="1051">
        <f ca="1">VLOOKUP($D52,Data!$H$16:$BS$1015,AV$9+1,FALSE)</f>
        <v>0</v>
      </c>
      <c r="AW52" s="1051">
        <f ca="1">VLOOKUP($D52,Data!$H$16:$BS$1015,AW$9+1,FALSE)</f>
        <v>0</v>
      </c>
      <c r="AX52" s="1053">
        <f ca="1">VLOOKUP($D52,Data!$H$16:$BS$1015,AX$9+1,FALSE)</f>
        <v>0</v>
      </c>
      <c r="AY52" s="1051">
        <f ca="1">VLOOKUP($D52,Data!$H$16:$BS$1015,AY$9+1,FALSE)</f>
        <v>0</v>
      </c>
      <c r="AZ52" s="1051">
        <f ca="1">VLOOKUP($D52,Data!$H$16:$BS$1015,AZ$9+1,FALSE)</f>
        <v>0</v>
      </c>
      <c r="BA52" s="1053">
        <f ca="1">VLOOKUP($D52,Data!$H$16:$BS$1015,BA$9+1,FALSE)</f>
        <v>0</v>
      </c>
      <c r="BB52" s="1052">
        <f ca="1">VLOOKUP($D52,Data!$H$16:$BS$1015,BB$9+1,FALSE)</f>
        <v>0</v>
      </c>
      <c r="BC52" s="1052">
        <f ca="1">VLOOKUP($D52,Data!$H$16:$BS$1015,BC$9+1,FALSE)</f>
        <v>0</v>
      </c>
      <c r="BD52" s="1052">
        <f ca="1">VLOOKUP($D52,Data!$H$16:$BS$1015,BD$9+1,FALSE)</f>
        <v>0</v>
      </c>
      <c r="BE52" s="1052">
        <f ca="1">VLOOKUP($D52,Data!$H$16:$BS$1015,BE$9+1,FALSE)</f>
        <v>0</v>
      </c>
      <c r="BF52" s="1052">
        <f ca="1">VLOOKUP($D52,Data!$H$16:$BS$1015,BF$9+1,FALSE)</f>
        <v>0</v>
      </c>
      <c r="BG52" s="1054">
        <f ca="1">VLOOKUP($D52,Data!$H$16:$BS$1015,BG$9+1,FALSE)</f>
        <v>0</v>
      </c>
      <c r="BH52" s="1051">
        <f ca="1">VLOOKUP($D52,Data!$H$16:$BS$1015,BH$9+2,FALSE)</f>
        <v>0</v>
      </c>
      <c r="BI52" s="1052">
        <f ca="1">VLOOKUP($D52,Data!$H$16:$BS$1015,BI$9+2,FALSE)</f>
        <v>0</v>
      </c>
      <c r="BJ52" s="1054">
        <f ca="1">VLOOKUP($D52,Data!$H$16:$BS$1015,BJ$9+2,FALSE)</f>
        <v>0</v>
      </c>
      <c r="BK52" s="1053">
        <f ca="1">VLOOKUP($D52,Data!$H$16:$BS$1015,BK$9+2,FALSE)</f>
        <v>0</v>
      </c>
    </row>
    <row r="53" spans="1:63" s="34" customFormat="1" ht="15" customHeight="1">
      <c r="A53" s="1185">
        <v>42</v>
      </c>
      <c r="B53" s="1443">
        <f ca="1">Data_3!B54</f>
        <v>0</v>
      </c>
      <c r="C53" s="1444" t="str">
        <f ca="1">IF(B53="","",IF(VLOOKUP(B53,Data_3!$B$13:$Y$112,24,FALSE)&lt;&gt;"",2020,IF(VLOOKUP(B53,Data_3!$B$13:$Y$112,23,FALSE)&lt;&gt;"",2019,IF(VLOOKUP(B53,Data_3!$B$13:$Y$112,22,FALSE)&lt;&gt;"",2018,IF(VLOOKUP(B53,Data_3!$B$13:$Y$112,21,FALSE)&lt;&gt;"",2017,IF(VLOOKUP(B53,Data_3!$B$13:$Y$112,20,FALSE)&lt;&gt;"",2016,IF(VLOOKUP(B53,Data_3!$B$13:$Y$112,19,FALSE)&lt;&gt;"",2015,IF(VLOOKUP(B53,Data_3!$B$13:$Y$112,18,FALSE)&lt;&gt;"",2014,IF(VLOOKUP(B53,Data_3!$B$13:$Y$112,17,FALSE)&lt;&gt;"",2013,IF(VLOOKUP(B53,Data_3!$B$13:$Y$112,16,FALSE)&lt;&gt;"",2012,IF(VLOOKUP(B53,Data_3!$B$13:$Y$112,15,FALSE)&lt;&gt;"",2011,IF(VLOOKUP(B53,Data_3!$B$13:$Y$112,14,FALSE)&lt;&gt;"",2010,IF(VLOOKUP(B53,Data_3!$B$13:$Y$112,13,FALSE)&lt;&gt;"",2009,IF(VLOOKUP(B53,Data_3!$B$13:$Y$112,12,FALSE)&lt;&gt;"",2008,IF(VLOOKUP(B53,Data_3!$B$13:$Y$112,11,FALSE)&lt;&gt;"",2007,IF(VLOOKUP(B53,Data_3!$B$13:$Y$112,10,FALSE)&lt;&gt;"",2006,IF(VLOOKUP(B53,Data_3!$B$13:$Y$112,9,FALSE)&lt;&gt;"",2005,IF(VLOOKUP(B53,Data_3!$B$13:$Y$112,8,FALSE)&lt;&gt;"",2004,IF(VLOOKUP(B53,Data_3!$B$13:$Y$112,7,FALSE)&lt;&gt;"",2003,IF(VLOOKUP(B53,Data_3!$B$13:$Y$1126,FALSE)&lt;&gt;"",2002,IF(VLOOKUP(B53,Data_3!$B$13:$Y$112,5,FALSE)&lt;&gt;"",2001,IF(VLOOKUP(B53,Data_3!$B$13:$Y$112,4,FALSE)&lt;&gt;"",2000,"N/A"))))))))))))))))))))))</f>
        <v/>
      </c>
      <c r="D53" s="1456" t="str">
        <f t="shared" ca="1" si="0"/>
        <v/>
      </c>
      <c r="E53" s="1456"/>
      <c r="F53" s="1051">
        <f ca="1">VLOOKUP($D53,Data!$H$16:$BS$1015,F$9+1,FALSE)</f>
        <v>0</v>
      </c>
      <c r="G53" s="1051">
        <f ca="1">VLOOKUP($D53,Data!$H$16:$BS$1015,G$9+1,FALSE)</f>
        <v>0</v>
      </c>
      <c r="H53" s="1052">
        <f ca="1">VLOOKUP($D53,Data!$H$16:$BS$1015,H$9+1,FALSE)</f>
        <v>0</v>
      </c>
      <c r="I53" s="1051">
        <f ca="1">VLOOKUP($D53,Data!$H$16:$BS$1015,I$9+1,FALSE)</f>
        <v>0</v>
      </c>
      <c r="J53" s="1051">
        <f ca="1">VLOOKUP($D53,Data!$H$16:$BS$1015,J$9+1,FALSE)</f>
        <v>0</v>
      </c>
      <c r="K53" s="1052">
        <f ca="1">VLOOKUP($D53,Data!$H$16:$BS$1015,K$9+1,FALSE)</f>
        <v>0</v>
      </c>
      <c r="L53" s="1051">
        <f ca="1">VLOOKUP($D53,Data!$H$16:$BS$1015,L$9+1,FALSE)</f>
        <v>0</v>
      </c>
      <c r="M53" s="1051">
        <f ca="1">VLOOKUP($D53,Data!$H$16:$BS$1015,M$9+1,FALSE)</f>
        <v>0</v>
      </c>
      <c r="N53" s="1052">
        <f ca="1">VLOOKUP($D53,Data!$H$16:$BS$1015,N$9+1,FALSE)</f>
        <v>0</v>
      </c>
      <c r="O53" s="1051">
        <f ca="1">VLOOKUP($D53,Data!$H$16:$BS$1015,O$9+1,FALSE)</f>
        <v>0</v>
      </c>
      <c r="P53" s="1051">
        <f ca="1">VLOOKUP($D53,Data!$H$16:$BS$1015,P$9+1,FALSE)</f>
        <v>0</v>
      </c>
      <c r="Q53" s="1052">
        <f ca="1">VLOOKUP($D53,Data!$H$16:$BS$1015,Q$9+1,FALSE)</f>
        <v>0</v>
      </c>
      <c r="R53" s="1053">
        <f ca="1">VLOOKUP($D53,Data!$H$16:$BS$1015,R$9+1,FALSE)</f>
        <v>0</v>
      </c>
      <c r="S53" s="1051">
        <f ca="1">VLOOKUP($D53,Data!$H$16:$BS$1015,S$9+1,FALSE)</f>
        <v>0</v>
      </c>
      <c r="T53" s="1051">
        <f ca="1">VLOOKUP($D53,Data!$H$16:$BS$1015,T$9+1,FALSE)</f>
        <v>0</v>
      </c>
      <c r="U53" s="1052">
        <f ca="1">VLOOKUP($D53,Data!$H$16:$BS$1015,U$9+1,FALSE)</f>
        <v>0</v>
      </c>
      <c r="V53" s="1051">
        <f ca="1">VLOOKUP($D53,Data!$H$16:$BS$1015,V$9+1,FALSE)</f>
        <v>0</v>
      </c>
      <c r="W53" s="1051">
        <f ca="1">VLOOKUP($D53,Data!$H$16:$BS$1015,W$9+1,FALSE)</f>
        <v>0</v>
      </c>
      <c r="X53" s="1052">
        <f ca="1">VLOOKUP($D53,Data!$H$16:$BS$1015,X$9+1,FALSE)</f>
        <v>0</v>
      </c>
      <c r="Y53" s="1051">
        <f ca="1">VLOOKUP($D53,Data!$H$16:$BS$1015,Y$9+1,FALSE)</f>
        <v>0</v>
      </c>
      <c r="Z53" s="1051">
        <f ca="1">VLOOKUP($D53,Data!$H$16:$BS$1015,Z$9+1,FALSE)</f>
        <v>0</v>
      </c>
      <c r="AA53" s="1051">
        <f ca="1">VLOOKUP($D53,Data!$H$16:$BS$1015,AA$9+1,FALSE)</f>
        <v>0</v>
      </c>
      <c r="AB53" s="1051">
        <f ca="1">VLOOKUP($D53,Data!$H$16:$BS$1015,AB$9+1,FALSE)</f>
        <v>0</v>
      </c>
      <c r="AC53" s="1052">
        <f ca="1">VLOOKUP($D53,Data!$H$16:$BS$1015,AC$9+1,FALSE)</f>
        <v>0</v>
      </c>
      <c r="AD53" s="1051">
        <f ca="1">VLOOKUP($D53,Data!$H$16:$BS$1015,AD$9+1,FALSE)</f>
        <v>0</v>
      </c>
      <c r="AE53" s="1051">
        <f ca="1">VLOOKUP($D53,Data!$H$16:$BS$1015,AE$9+1,FALSE)</f>
        <v>0</v>
      </c>
      <c r="AF53" s="1052">
        <f ca="1">VLOOKUP($D53,Data!$H$16:$BS$1015,AF$9+1,FALSE)</f>
        <v>0</v>
      </c>
      <c r="AG53" s="1051">
        <f ca="1">VLOOKUP($D53,Data!$H$16:$BS$1015,AG$9+1,FALSE)</f>
        <v>0</v>
      </c>
      <c r="AH53" s="1051">
        <f ca="1">VLOOKUP($D53,Data!$H$16:$BS$1015,AH$9+1,FALSE)</f>
        <v>0</v>
      </c>
      <c r="AI53" s="1052">
        <f ca="1">VLOOKUP($D53,Data!$H$16:$BS$1015,AI$9+1,FALSE)</f>
        <v>0</v>
      </c>
      <c r="AJ53" s="1051">
        <f ca="1">VLOOKUP($D53,Data!$H$16:$BS$1015,AJ$9+1,FALSE)</f>
        <v>0</v>
      </c>
      <c r="AK53" s="1051">
        <f ca="1">VLOOKUP($D53,Data!$H$16:$BS$1015,AK$9+1,FALSE)</f>
        <v>0</v>
      </c>
      <c r="AL53" s="1052">
        <f ca="1">VLOOKUP($D53,Data!$H$16:$BS$1015,AL$9+1,FALSE)</f>
        <v>0</v>
      </c>
      <c r="AM53" s="1051">
        <f ca="1">VLOOKUP($D53,Data!$H$16:$BS$1015,AM$9+1,FALSE)</f>
        <v>0</v>
      </c>
      <c r="AN53" s="1051">
        <f ca="1">VLOOKUP($D53,Data!$H$16:$BS$1015,AN$9+1,FALSE)</f>
        <v>0</v>
      </c>
      <c r="AO53" s="1052">
        <f ca="1">VLOOKUP($D53,Data!$H$16:$BS$1015,AO$9+1,FALSE)</f>
        <v>0</v>
      </c>
      <c r="AP53" s="1051">
        <f ca="1">VLOOKUP($D53,Data!$H$16:$BS$1015,AP$9+1,FALSE)</f>
        <v>0</v>
      </c>
      <c r="AQ53" s="1051">
        <f ca="1">VLOOKUP($D53,Data!$H$16:$BS$1015,AQ$9+1,FALSE)</f>
        <v>0</v>
      </c>
      <c r="AR53" s="1053">
        <f ca="1">VLOOKUP($D53,Data!$H$16:$BS$1015,AR$9+1,FALSE)</f>
        <v>0</v>
      </c>
      <c r="AS53" s="1051">
        <f ca="1">VLOOKUP($D53,Data!$H$16:$BS$1015,AS$9+1,FALSE)</f>
        <v>0</v>
      </c>
      <c r="AT53" s="1051">
        <f ca="1">VLOOKUP($D53,Data!$H$16:$BS$1015,AT$9+1,FALSE)</f>
        <v>0</v>
      </c>
      <c r="AU53" s="1053">
        <f ca="1">VLOOKUP($D53,Data!$H$16:$BS$1015,AU$9+1,FALSE)</f>
        <v>0</v>
      </c>
      <c r="AV53" s="1051">
        <f ca="1">VLOOKUP($D53,Data!$H$16:$BS$1015,AV$9+1,FALSE)</f>
        <v>0</v>
      </c>
      <c r="AW53" s="1051">
        <f ca="1">VLOOKUP($D53,Data!$H$16:$BS$1015,AW$9+1,FALSE)</f>
        <v>0</v>
      </c>
      <c r="AX53" s="1053">
        <f ca="1">VLOOKUP($D53,Data!$H$16:$BS$1015,AX$9+1,FALSE)</f>
        <v>0</v>
      </c>
      <c r="AY53" s="1051">
        <f ca="1">VLOOKUP($D53,Data!$H$16:$BS$1015,AY$9+1,FALSE)</f>
        <v>0</v>
      </c>
      <c r="AZ53" s="1051">
        <f ca="1">VLOOKUP($D53,Data!$H$16:$BS$1015,AZ$9+1,FALSE)</f>
        <v>0</v>
      </c>
      <c r="BA53" s="1053">
        <f ca="1">VLOOKUP($D53,Data!$H$16:$BS$1015,BA$9+1,FALSE)</f>
        <v>0</v>
      </c>
      <c r="BB53" s="1052">
        <f ca="1">VLOOKUP($D53,Data!$H$16:$BS$1015,BB$9+1,FALSE)</f>
        <v>0</v>
      </c>
      <c r="BC53" s="1052">
        <f ca="1">VLOOKUP($D53,Data!$H$16:$BS$1015,BC$9+1,FALSE)</f>
        <v>0</v>
      </c>
      <c r="BD53" s="1052">
        <f ca="1">VLOOKUP($D53,Data!$H$16:$BS$1015,BD$9+1,FALSE)</f>
        <v>0</v>
      </c>
      <c r="BE53" s="1052">
        <f ca="1">VLOOKUP($D53,Data!$H$16:$BS$1015,BE$9+1,FALSE)</f>
        <v>0</v>
      </c>
      <c r="BF53" s="1052">
        <f ca="1">VLOOKUP($D53,Data!$H$16:$BS$1015,BF$9+1,FALSE)</f>
        <v>0</v>
      </c>
      <c r="BG53" s="1054">
        <f ca="1">VLOOKUP($D53,Data!$H$16:$BS$1015,BG$9+1,FALSE)</f>
        <v>0</v>
      </c>
      <c r="BH53" s="1051">
        <f ca="1">VLOOKUP($D53,Data!$H$16:$BS$1015,BH$9+2,FALSE)</f>
        <v>0</v>
      </c>
      <c r="BI53" s="1052">
        <f ca="1">VLOOKUP($D53,Data!$H$16:$BS$1015,BI$9+2,FALSE)</f>
        <v>0</v>
      </c>
      <c r="BJ53" s="1054">
        <f ca="1">VLOOKUP($D53,Data!$H$16:$BS$1015,BJ$9+2,FALSE)</f>
        <v>0</v>
      </c>
      <c r="BK53" s="1053">
        <f ca="1">VLOOKUP($D53,Data!$H$16:$BS$1015,BK$9+2,FALSE)</f>
        <v>0</v>
      </c>
    </row>
    <row r="54" spans="1:63" s="34" customFormat="1" ht="15" customHeight="1">
      <c r="A54" s="1185">
        <v>43</v>
      </c>
      <c r="B54" s="1443">
        <f ca="1">Data_3!B55</f>
        <v>0</v>
      </c>
      <c r="C54" s="1444" t="str">
        <f ca="1">IF(B54="","",IF(VLOOKUP(B54,Data_3!$B$13:$Y$112,24,FALSE)&lt;&gt;"",2020,IF(VLOOKUP(B54,Data_3!$B$13:$Y$112,23,FALSE)&lt;&gt;"",2019,IF(VLOOKUP(B54,Data_3!$B$13:$Y$112,22,FALSE)&lt;&gt;"",2018,IF(VLOOKUP(B54,Data_3!$B$13:$Y$112,21,FALSE)&lt;&gt;"",2017,IF(VLOOKUP(B54,Data_3!$B$13:$Y$112,20,FALSE)&lt;&gt;"",2016,IF(VLOOKUP(B54,Data_3!$B$13:$Y$112,19,FALSE)&lt;&gt;"",2015,IF(VLOOKUP(B54,Data_3!$B$13:$Y$112,18,FALSE)&lt;&gt;"",2014,IF(VLOOKUP(B54,Data_3!$B$13:$Y$112,17,FALSE)&lt;&gt;"",2013,IF(VLOOKUP(B54,Data_3!$B$13:$Y$112,16,FALSE)&lt;&gt;"",2012,IF(VLOOKUP(B54,Data_3!$B$13:$Y$112,15,FALSE)&lt;&gt;"",2011,IF(VLOOKUP(B54,Data_3!$B$13:$Y$112,14,FALSE)&lt;&gt;"",2010,IF(VLOOKUP(B54,Data_3!$B$13:$Y$112,13,FALSE)&lt;&gt;"",2009,IF(VLOOKUP(B54,Data_3!$B$13:$Y$112,12,FALSE)&lt;&gt;"",2008,IF(VLOOKUP(B54,Data_3!$B$13:$Y$112,11,FALSE)&lt;&gt;"",2007,IF(VLOOKUP(B54,Data_3!$B$13:$Y$112,10,FALSE)&lt;&gt;"",2006,IF(VLOOKUP(B54,Data_3!$B$13:$Y$112,9,FALSE)&lt;&gt;"",2005,IF(VLOOKUP(B54,Data_3!$B$13:$Y$112,8,FALSE)&lt;&gt;"",2004,IF(VLOOKUP(B54,Data_3!$B$13:$Y$112,7,FALSE)&lt;&gt;"",2003,IF(VLOOKUP(B54,Data_3!$B$13:$Y$1126,FALSE)&lt;&gt;"",2002,IF(VLOOKUP(B54,Data_3!$B$13:$Y$112,5,FALSE)&lt;&gt;"",2001,IF(VLOOKUP(B54,Data_3!$B$13:$Y$112,4,FALSE)&lt;&gt;"",2000,"N/A"))))))))))))))))))))))</f>
        <v/>
      </c>
      <c r="D54" s="1456" t="str">
        <f t="shared" ca="1" si="0"/>
        <v/>
      </c>
      <c r="E54" s="1456"/>
      <c r="F54" s="1051">
        <f ca="1">VLOOKUP($D54,Data!$H$16:$BS$1015,F$9+1,FALSE)</f>
        <v>0</v>
      </c>
      <c r="G54" s="1051">
        <f ca="1">VLOOKUP($D54,Data!$H$16:$BS$1015,G$9+1,FALSE)</f>
        <v>0</v>
      </c>
      <c r="H54" s="1052">
        <f ca="1">VLOOKUP($D54,Data!$H$16:$BS$1015,H$9+1,FALSE)</f>
        <v>0</v>
      </c>
      <c r="I54" s="1051">
        <f ca="1">VLOOKUP($D54,Data!$H$16:$BS$1015,I$9+1,FALSE)</f>
        <v>0</v>
      </c>
      <c r="J54" s="1051">
        <f ca="1">VLOOKUP($D54,Data!$H$16:$BS$1015,J$9+1,FALSE)</f>
        <v>0</v>
      </c>
      <c r="K54" s="1052">
        <f ca="1">VLOOKUP($D54,Data!$H$16:$BS$1015,K$9+1,FALSE)</f>
        <v>0</v>
      </c>
      <c r="L54" s="1051">
        <f ca="1">VLOOKUP($D54,Data!$H$16:$BS$1015,L$9+1,FALSE)</f>
        <v>0</v>
      </c>
      <c r="M54" s="1051">
        <f ca="1">VLOOKUP($D54,Data!$H$16:$BS$1015,M$9+1,FALSE)</f>
        <v>0</v>
      </c>
      <c r="N54" s="1052">
        <f ca="1">VLOOKUP($D54,Data!$H$16:$BS$1015,N$9+1,FALSE)</f>
        <v>0</v>
      </c>
      <c r="O54" s="1051">
        <f ca="1">VLOOKUP($D54,Data!$H$16:$BS$1015,O$9+1,FALSE)</f>
        <v>0</v>
      </c>
      <c r="P54" s="1051">
        <f ca="1">VLOOKUP($D54,Data!$H$16:$BS$1015,P$9+1,FALSE)</f>
        <v>0</v>
      </c>
      <c r="Q54" s="1052">
        <f ca="1">VLOOKUP($D54,Data!$H$16:$BS$1015,Q$9+1,FALSE)</f>
        <v>0</v>
      </c>
      <c r="R54" s="1053">
        <f ca="1">VLOOKUP($D54,Data!$H$16:$BS$1015,R$9+1,FALSE)</f>
        <v>0</v>
      </c>
      <c r="S54" s="1051">
        <f ca="1">VLOOKUP($D54,Data!$H$16:$BS$1015,S$9+1,FALSE)</f>
        <v>0</v>
      </c>
      <c r="T54" s="1051">
        <f ca="1">VLOOKUP($D54,Data!$H$16:$BS$1015,T$9+1,FALSE)</f>
        <v>0</v>
      </c>
      <c r="U54" s="1052">
        <f ca="1">VLOOKUP($D54,Data!$H$16:$BS$1015,U$9+1,FALSE)</f>
        <v>0</v>
      </c>
      <c r="V54" s="1051">
        <f ca="1">VLOOKUP($D54,Data!$H$16:$BS$1015,V$9+1,FALSE)</f>
        <v>0</v>
      </c>
      <c r="W54" s="1051">
        <f ca="1">VLOOKUP($D54,Data!$H$16:$BS$1015,W$9+1,FALSE)</f>
        <v>0</v>
      </c>
      <c r="X54" s="1052">
        <f ca="1">VLOOKUP($D54,Data!$H$16:$BS$1015,X$9+1,FALSE)</f>
        <v>0</v>
      </c>
      <c r="Y54" s="1051">
        <f ca="1">VLOOKUP($D54,Data!$H$16:$BS$1015,Y$9+1,FALSE)</f>
        <v>0</v>
      </c>
      <c r="Z54" s="1051">
        <f ca="1">VLOOKUP($D54,Data!$H$16:$BS$1015,Z$9+1,FALSE)</f>
        <v>0</v>
      </c>
      <c r="AA54" s="1051">
        <f ca="1">VLOOKUP($D54,Data!$H$16:$BS$1015,AA$9+1,FALSE)</f>
        <v>0</v>
      </c>
      <c r="AB54" s="1051">
        <f ca="1">VLOOKUP($D54,Data!$H$16:$BS$1015,AB$9+1,FALSE)</f>
        <v>0</v>
      </c>
      <c r="AC54" s="1052">
        <f ca="1">VLOOKUP($D54,Data!$H$16:$BS$1015,AC$9+1,FALSE)</f>
        <v>0</v>
      </c>
      <c r="AD54" s="1051">
        <f ca="1">VLOOKUP($D54,Data!$H$16:$BS$1015,AD$9+1,FALSE)</f>
        <v>0</v>
      </c>
      <c r="AE54" s="1051">
        <f ca="1">VLOOKUP($D54,Data!$H$16:$BS$1015,AE$9+1,FALSE)</f>
        <v>0</v>
      </c>
      <c r="AF54" s="1052">
        <f ca="1">VLOOKUP($D54,Data!$H$16:$BS$1015,AF$9+1,FALSE)</f>
        <v>0</v>
      </c>
      <c r="AG54" s="1051">
        <f ca="1">VLOOKUP($D54,Data!$H$16:$BS$1015,AG$9+1,FALSE)</f>
        <v>0</v>
      </c>
      <c r="AH54" s="1051">
        <f ca="1">VLOOKUP($D54,Data!$H$16:$BS$1015,AH$9+1,FALSE)</f>
        <v>0</v>
      </c>
      <c r="AI54" s="1052">
        <f ca="1">VLOOKUP($D54,Data!$H$16:$BS$1015,AI$9+1,FALSE)</f>
        <v>0</v>
      </c>
      <c r="AJ54" s="1051">
        <f ca="1">VLOOKUP($D54,Data!$H$16:$BS$1015,AJ$9+1,FALSE)</f>
        <v>0</v>
      </c>
      <c r="AK54" s="1051">
        <f ca="1">VLOOKUP($D54,Data!$H$16:$BS$1015,AK$9+1,FALSE)</f>
        <v>0</v>
      </c>
      <c r="AL54" s="1052">
        <f ca="1">VLOOKUP($D54,Data!$H$16:$BS$1015,AL$9+1,FALSE)</f>
        <v>0</v>
      </c>
      <c r="AM54" s="1051">
        <f ca="1">VLOOKUP($D54,Data!$H$16:$BS$1015,AM$9+1,FALSE)</f>
        <v>0</v>
      </c>
      <c r="AN54" s="1051">
        <f ca="1">VLOOKUP($D54,Data!$H$16:$BS$1015,AN$9+1,FALSE)</f>
        <v>0</v>
      </c>
      <c r="AO54" s="1052">
        <f ca="1">VLOOKUP($D54,Data!$H$16:$BS$1015,AO$9+1,FALSE)</f>
        <v>0</v>
      </c>
      <c r="AP54" s="1051">
        <f ca="1">VLOOKUP($D54,Data!$H$16:$BS$1015,AP$9+1,FALSE)</f>
        <v>0</v>
      </c>
      <c r="AQ54" s="1051">
        <f ca="1">VLOOKUP($D54,Data!$H$16:$BS$1015,AQ$9+1,FALSE)</f>
        <v>0</v>
      </c>
      <c r="AR54" s="1053">
        <f ca="1">VLOOKUP($D54,Data!$H$16:$BS$1015,AR$9+1,FALSE)</f>
        <v>0</v>
      </c>
      <c r="AS54" s="1051">
        <f ca="1">VLOOKUP($D54,Data!$H$16:$BS$1015,AS$9+1,FALSE)</f>
        <v>0</v>
      </c>
      <c r="AT54" s="1051">
        <f ca="1">VLOOKUP($D54,Data!$H$16:$BS$1015,AT$9+1,FALSE)</f>
        <v>0</v>
      </c>
      <c r="AU54" s="1053">
        <f ca="1">VLOOKUP($D54,Data!$H$16:$BS$1015,AU$9+1,FALSE)</f>
        <v>0</v>
      </c>
      <c r="AV54" s="1051">
        <f ca="1">VLOOKUP($D54,Data!$H$16:$BS$1015,AV$9+1,FALSE)</f>
        <v>0</v>
      </c>
      <c r="AW54" s="1051">
        <f ca="1">VLOOKUP($D54,Data!$H$16:$BS$1015,AW$9+1,FALSE)</f>
        <v>0</v>
      </c>
      <c r="AX54" s="1053">
        <f ca="1">VLOOKUP($D54,Data!$H$16:$BS$1015,AX$9+1,FALSE)</f>
        <v>0</v>
      </c>
      <c r="AY54" s="1051">
        <f ca="1">VLOOKUP($D54,Data!$H$16:$BS$1015,AY$9+1,FALSE)</f>
        <v>0</v>
      </c>
      <c r="AZ54" s="1051">
        <f ca="1">VLOOKUP($D54,Data!$H$16:$BS$1015,AZ$9+1,FALSE)</f>
        <v>0</v>
      </c>
      <c r="BA54" s="1053">
        <f ca="1">VLOOKUP($D54,Data!$H$16:$BS$1015,BA$9+1,FALSE)</f>
        <v>0</v>
      </c>
      <c r="BB54" s="1052">
        <f ca="1">VLOOKUP($D54,Data!$H$16:$BS$1015,BB$9+1,FALSE)</f>
        <v>0</v>
      </c>
      <c r="BC54" s="1052">
        <f ca="1">VLOOKUP($D54,Data!$H$16:$BS$1015,BC$9+1,FALSE)</f>
        <v>0</v>
      </c>
      <c r="BD54" s="1052">
        <f ca="1">VLOOKUP($D54,Data!$H$16:$BS$1015,BD$9+1,FALSE)</f>
        <v>0</v>
      </c>
      <c r="BE54" s="1052">
        <f ca="1">VLOOKUP($D54,Data!$H$16:$BS$1015,BE$9+1,FALSE)</f>
        <v>0</v>
      </c>
      <c r="BF54" s="1052">
        <f ca="1">VLOOKUP($D54,Data!$H$16:$BS$1015,BF$9+1,FALSE)</f>
        <v>0</v>
      </c>
      <c r="BG54" s="1054">
        <f ca="1">VLOOKUP($D54,Data!$H$16:$BS$1015,BG$9+1,FALSE)</f>
        <v>0</v>
      </c>
      <c r="BH54" s="1051">
        <f ca="1">VLOOKUP($D54,Data!$H$16:$BS$1015,BH$9+2,FALSE)</f>
        <v>0</v>
      </c>
      <c r="BI54" s="1052">
        <f ca="1">VLOOKUP($D54,Data!$H$16:$BS$1015,BI$9+2,FALSE)</f>
        <v>0</v>
      </c>
      <c r="BJ54" s="1054">
        <f ca="1">VLOOKUP($D54,Data!$H$16:$BS$1015,BJ$9+2,FALSE)</f>
        <v>0</v>
      </c>
      <c r="BK54" s="1053">
        <f ca="1">VLOOKUP($D54,Data!$H$16:$BS$1015,BK$9+2,FALSE)</f>
        <v>0</v>
      </c>
    </row>
    <row r="55" spans="1:63" s="34" customFormat="1" ht="15" customHeight="1">
      <c r="A55" s="1185">
        <v>44</v>
      </c>
      <c r="B55" s="1443">
        <f ca="1">Data_3!B56</f>
        <v>0</v>
      </c>
      <c r="C55" s="1444" t="str">
        <f ca="1">IF(B55="","",IF(VLOOKUP(B55,Data_3!$B$13:$Y$112,24,FALSE)&lt;&gt;"",2020,IF(VLOOKUP(B55,Data_3!$B$13:$Y$112,23,FALSE)&lt;&gt;"",2019,IF(VLOOKUP(B55,Data_3!$B$13:$Y$112,22,FALSE)&lt;&gt;"",2018,IF(VLOOKUP(B55,Data_3!$B$13:$Y$112,21,FALSE)&lt;&gt;"",2017,IF(VLOOKUP(B55,Data_3!$B$13:$Y$112,20,FALSE)&lt;&gt;"",2016,IF(VLOOKUP(B55,Data_3!$B$13:$Y$112,19,FALSE)&lt;&gt;"",2015,IF(VLOOKUP(B55,Data_3!$B$13:$Y$112,18,FALSE)&lt;&gt;"",2014,IF(VLOOKUP(B55,Data_3!$B$13:$Y$112,17,FALSE)&lt;&gt;"",2013,IF(VLOOKUP(B55,Data_3!$B$13:$Y$112,16,FALSE)&lt;&gt;"",2012,IF(VLOOKUP(B55,Data_3!$B$13:$Y$112,15,FALSE)&lt;&gt;"",2011,IF(VLOOKUP(B55,Data_3!$B$13:$Y$112,14,FALSE)&lt;&gt;"",2010,IF(VLOOKUP(B55,Data_3!$B$13:$Y$112,13,FALSE)&lt;&gt;"",2009,IF(VLOOKUP(B55,Data_3!$B$13:$Y$112,12,FALSE)&lt;&gt;"",2008,IF(VLOOKUP(B55,Data_3!$B$13:$Y$112,11,FALSE)&lt;&gt;"",2007,IF(VLOOKUP(B55,Data_3!$B$13:$Y$112,10,FALSE)&lt;&gt;"",2006,IF(VLOOKUP(B55,Data_3!$B$13:$Y$112,9,FALSE)&lt;&gt;"",2005,IF(VLOOKUP(B55,Data_3!$B$13:$Y$112,8,FALSE)&lt;&gt;"",2004,IF(VLOOKUP(B55,Data_3!$B$13:$Y$112,7,FALSE)&lt;&gt;"",2003,IF(VLOOKUP(B55,Data_3!$B$13:$Y$1126,FALSE)&lt;&gt;"",2002,IF(VLOOKUP(B55,Data_3!$B$13:$Y$112,5,FALSE)&lt;&gt;"",2001,IF(VLOOKUP(B55,Data_3!$B$13:$Y$112,4,FALSE)&lt;&gt;"",2000,"N/A"))))))))))))))))))))))</f>
        <v/>
      </c>
      <c r="D55" s="1456" t="str">
        <f t="shared" ca="1" si="0"/>
        <v/>
      </c>
      <c r="E55" s="1456"/>
      <c r="F55" s="1051">
        <f ca="1">VLOOKUP($D55,Data!$H$16:$BS$1015,F$9+1,FALSE)</f>
        <v>0</v>
      </c>
      <c r="G55" s="1051">
        <f ca="1">VLOOKUP($D55,Data!$H$16:$BS$1015,G$9+1,FALSE)</f>
        <v>0</v>
      </c>
      <c r="H55" s="1052">
        <f ca="1">VLOOKUP($D55,Data!$H$16:$BS$1015,H$9+1,FALSE)</f>
        <v>0</v>
      </c>
      <c r="I55" s="1051">
        <f ca="1">VLOOKUP($D55,Data!$H$16:$BS$1015,I$9+1,FALSE)</f>
        <v>0</v>
      </c>
      <c r="J55" s="1051">
        <f ca="1">VLOOKUP($D55,Data!$H$16:$BS$1015,J$9+1,FALSE)</f>
        <v>0</v>
      </c>
      <c r="K55" s="1052">
        <f ca="1">VLOOKUP($D55,Data!$H$16:$BS$1015,K$9+1,FALSE)</f>
        <v>0</v>
      </c>
      <c r="L55" s="1051">
        <f ca="1">VLOOKUP($D55,Data!$H$16:$BS$1015,L$9+1,FALSE)</f>
        <v>0</v>
      </c>
      <c r="M55" s="1051">
        <f ca="1">VLOOKUP($D55,Data!$H$16:$BS$1015,M$9+1,FALSE)</f>
        <v>0</v>
      </c>
      <c r="N55" s="1052">
        <f ca="1">VLOOKUP($D55,Data!$H$16:$BS$1015,N$9+1,FALSE)</f>
        <v>0</v>
      </c>
      <c r="O55" s="1051">
        <f ca="1">VLOOKUP($D55,Data!$H$16:$BS$1015,O$9+1,FALSE)</f>
        <v>0</v>
      </c>
      <c r="P55" s="1051">
        <f ca="1">VLOOKUP($D55,Data!$H$16:$BS$1015,P$9+1,FALSE)</f>
        <v>0</v>
      </c>
      <c r="Q55" s="1052">
        <f ca="1">VLOOKUP($D55,Data!$H$16:$BS$1015,Q$9+1,FALSE)</f>
        <v>0</v>
      </c>
      <c r="R55" s="1053">
        <f ca="1">VLOOKUP($D55,Data!$H$16:$BS$1015,R$9+1,FALSE)</f>
        <v>0</v>
      </c>
      <c r="S55" s="1051">
        <f ca="1">VLOOKUP($D55,Data!$H$16:$BS$1015,S$9+1,FALSE)</f>
        <v>0</v>
      </c>
      <c r="T55" s="1051">
        <f ca="1">VLOOKUP($D55,Data!$H$16:$BS$1015,T$9+1,FALSE)</f>
        <v>0</v>
      </c>
      <c r="U55" s="1052">
        <f ca="1">VLOOKUP($D55,Data!$H$16:$BS$1015,U$9+1,FALSE)</f>
        <v>0</v>
      </c>
      <c r="V55" s="1051">
        <f ca="1">VLOOKUP($D55,Data!$H$16:$BS$1015,V$9+1,FALSE)</f>
        <v>0</v>
      </c>
      <c r="W55" s="1051">
        <f ca="1">VLOOKUP($D55,Data!$H$16:$BS$1015,W$9+1,FALSE)</f>
        <v>0</v>
      </c>
      <c r="X55" s="1052">
        <f ca="1">VLOOKUP($D55,Data!$H$16:$BS$1015,X$9+1,FALSE)</f>
        <v>0</v>
      </c>
      <c r="Y55" s="1051">
        <f ca="1">VLOOKUP($D55,Data!$H$16:$BS$1015,Y$9+1,FALSE)</f>
        <v>0</v>
      </c>
      <c r="Z55" s="1051">
        <f ca="1">VLOOKUP($D55,Data!$H$16:$BS$1015,Z$9+1,FALSE)</f>
        <v>0</v>
      </c>
      <c r="AA55" s="1051">
        <f ca="1">VLOOKUP($D55,Data!$H$16:$BS$1015,AA$9+1,FALSE)</f>
        <v>0</v>
      </c>
      <c r="AB55" s="1051">
        <f ca="1">VLOOKUP($D55,Data!$H$16:$BS$1015,AB$9+1,FALSE)</f>
        <v>0</v>
      </c>
      <c r="AC55" s="1052">
        <f ca="1">VLOOKUP($D55,Data!$H$16:$BS$1015,AC$9+1,FALSE)</f>
        <v>0</v>
      </c>
      <c r="AD55" s="1051">
        <f ca="1">VLOOKUP($D55,Data!$H$16:$BS$1015,AD$9+1,FALSE)</f>
        <v>0</v>
      </c>
      <c r="AE55" s="1051">
        <f ca="1">VLOOKUP($D55,Data!$H$16:$BS$1015,AE$9+1,FALSE)</f>
        <v>0</v>
      </c>
      <c r="AF55" s="1052">
        <f ca="1">VLOOKUP($D55,Data!$H$16:$BS$1015,AF$9+1,FALSE)</f>
        <v>0</v>
      </c>
      <c r="AG55" s="1051">
        <f ca="1">VLOOKUP($D55,Data!$H$16:$BS$1015,AG$9+1,FALSE)</f>
        <v>0</v>
      </c>
      <c r="AH55" s="1051">
        <f ca="1">VLOOKUP($D55,Data!$H$16:$BS$1015,AH$9+1,FALSE)</f>
        <v>0</v>
      </c>
      <c r="AI55" s="1052">
        <f ca="1">VLOOKUP($D55,Data!$H$16:$BS$1015,AI$9+1,FALSE)</f>
        <v>0</v>
      </c>
      <c r="AJ55" s="1051">
        <f ca="1">VLOOKUP($D55,Data!$H$16:$BS$1015,AJ$9+1,FALSE)</f>
        <v>0</v>
      </c>
      <c r="AK55" s="1051">
        <f ca="1">VLOOKUP($D55,Data!$H$16:$BS$1015,AK$9+1,FALSE)</f>
        <v>0</v>
      </c>
      <c r="AL55" s="1052">
        <f ca="1">VLOOKUP($D55,Data!$H$16:$BS$1015,AL$9+1,FALSE)</f>
        <v>0</v>
      </c>
      <c r="AM55" s="1051">
        <f ca="1">VLOOKUP($D55,Data!$H$16:$BS$1015,AM$9+1,FALSE)</f>
        <v>0</v>
      </c>
      <c r="AN55" s="1051">
        <f ca="1">VLOOKUP($D55,Data!$H$16:$BS$1015,AN$9+1,FALSE)</f>
        <v>0</v>
      </c>
      <c r="AO55" s="1052">
        <f ca="1">VLOOKUP($D55,Data!$H$16:$BS$1015,AO$9+1,FALSE)</f>
        <v>0</v>
      </c>
      <c r="AP55" s="1051">
        <f ca="1">VLOOKUP($D55,Data!$H$16:$BS$1015,AP$9+1,FALSE)</f>
        <v>0</v>
      </c>
      <c r="AQ55" s="1051">
        <f ca="1">VLOOKUP($D55,Data!$H$16:$BS$1015,AQ$9+1,FALSE)</f>
        <v>0</v>
      </c>
      <c r="AR55" s="1053">
        <f ca="1">VLOOKUP($D55,Data!$H$16:$BS$1015,AR$9+1,FALSE)</f>
        <v>0</v>
      </c>
      <c r="AS55" s="1051">
        <f ca="1">VLOOKUP($D55,Data!$H$16:$BS$1015,AS$9+1,FALSE)</f>
        <v>0</v>
      </c>
      <c r="AT55" s="1051">
        <f ca="1">VLOOKUP($D55,Data!$H$16:$BS$1015,AT$9+1,FALSE)</f>
        <v>0</v>
      </c>
      <c r="AU55" s="1053">
        <f ca="1">VLOOKUP($D55,Data!$H$16:$BS$1015,AU$9+1,FALSE)</f>
        <v>0</v>
      </c>
      <c r="AV55" s="1051">
        <f ca="1">VLOOKUP($D55,Data!$H$16:$BS$1015,AV$9+1,FALSE)</f>
        <v>0</v>
      </c>
      <c r="AW55" s="1051">
        <f ca="1">VLOOKUP($D55,Data!$H$16:$BS$1015,AW$9+1,FALSE)</f>
        <v>0</v>
      </c>
      <c r="AX55" s="1053">
        <f ca="1">VLOOKUP($D55,Data!$H$16:$BS$1015,AX$9+1,FALSE)</f>
        <v>0</v>
      </c>
      <c r="AY55" s="1051">
        <f ca="1">VLOOKUP($D55,Data!$H$16:$BS$1015,AY$9+1,FALSE)</f>
        <v>0</v>
      </c>
      <c r="AZ55" s="1051">
        <f ca="1">VLOOKUP($D55,Data!$H$16:$BS$1015,AZ$9+1,FALSE)</f>
        <v>0</v>
      </c>
      <c r="BA55" s="1053">
        <f ca="1">VLOOKUP($D55,Data!$H$16:$BS$1015,BA$9+1,FALSE)</f>
        <v>0</v>
      </c>
      <c r="BB55" s="1052">
        <f ca="1">VLOOKUP($D55,Data!$H$16:$BS$1015,BB$9+1,FALSE)</f>
        <v>0</v>
      </c>
      <c r="BC55" s="1052">
        <f ca="1">VLOOKUP($D55,Data!$H$16:$BS$1015,BC$9+1,FALSE)</f>
        <v>0</v>
      </c>
      <c r="BD55" s="1052">
        <f ca="1">VLOOKUP($D55,Data!$H$16:$BS$1015,BD$9+1,FALSE)</f>
        <v>0</v>
      </c>
      <c r="BE55" s="1052">
        <f ca="1">VLOOKUP($D55,Data!$H$16:$BS$1015,BE$9+1,FALSE)</f>
        <v>0</v>
      </c>
      <c r="BF55" s="1052">
        <f ca="1">VLOOKUP($D55,Data!$H$16:$BS$1015,BF$9+1,FALSE)</f>
        <v>0</v>
      </c>
      <c r="BG55" s="1054">
        <f ca="1">VLOOKUP($D55,Data!$H$16:$BS$1015,BG$9+1,FALSE)</f>
        <v>0</v>
      </c>
      <c r="BH55" s="1051">
        <f ca="1">VLOOKUP($D55,Data!$H$16:$BS$1015,BH$9+2,FALSE)</f>
        <v>0</v>
      </c>
      <c r="BI55" s="1052">
        <f ca="1">VLOOKUP($D55,Data!$H$16:$BS$1015,BI$9+2,FALSE)</f>
        <v>0</v>
      </c>
      <c r="BJ55" s="1054">
        <f ca="1">VLOOKUP($D55,Data!$H$16:$BS$1015,BJ$9+2,FALSE)</f>
        <v>0</v>
      </c>
      <c r="BK55" s="1053">
        <f ca="1">VLOOKUP($D55,Data!$H$16:$BS$1015,BK$9+2,FALSE)</f>
        <v>0</v>
      </c>
    </row>
    <row r="56" spans="1:63" s="34" customFormat="1" ht="15" customHeight="1">
      <c r="A56" s="1185">
        <v>45</v>
      </c>
      <c r="B56" s="1443">
        <f ca="1">Data_3!B57</f>
        <v>0</v>
      </c>
      <c r="C56" s="1444" t="str">
        <f ca="1">IF(B56="","",IF(VLOOKUP(B56,Data_3!$B$13:$Y$112,24,FALSE)&lt;&gt;"",2020,IF(VLOOKUP(B56,Data_3!$B$13:$Y$112,23,FALSE)&lt;&gt;"",2019,IF(VLOOKUP(B56,Data_3!$B$13:$Y$112,22,FALSE)&lt;&gt;"",2018,IF(VLOOKUP(B56,Data_3!$B$13:$Y$112,21,FALSE)&lt;&gt;"",2017,IF(VLOOKUP(B56,Data_3!$B$13:$Y$112,20,FALSE)&lt;&gt;"",2016,IF(VLOOKUP(B56,Data_3!$B$13:$Y$112,19,FALSE)&lt;&gt;"",2015,IF(VLOOKUP(B56,Data_3!$B$13:$Y$112,18,FALSE)&lt;&gt;"",2014,IF(VLOOKUP(B56,Data_3!$B$13:$Y$112,17,FALSE)&lt;&gt;"",2013,IF(VLOOKUP(B56,Data_3!$B$13:$Y$112,16,FALSE)&lt;&gt;"",2012,IF(VLOOKUP(B56,Data_3!$B$13:$Y$112,15,FALSE)&lt;&gt;"",2011,IF(VLOOKUP(B56,Data_3!$B$13:$Y$112,14,FALSE)&lt;&gt;"",2010,IF(VLOOKUP(B56,Data_3!$B$13:$Y$112,13,FALSE)&lt;&gt;"",2009,IF(VLOOKUP(B56,Data_3!$B$13:$Y$112,12,FALSE)&lt;&gt;"",2008,IF(VLOOKUP(B56,Data_3!$B$13:$Y$112,11,FALSE)&lt;&gt;"",2007,IF(VLOOKUP(B56,Data_3!$B$13:$Y$112,10,FALSE)&lt;&gt;"",2006,IF(VLOOKUP(B56,Data_3!$B$13:$Y$112,9,FALSE)&lt;&gt;"",2005,IF(VLOOKUP(B56,Data_3!$B$13:$Y$112,8,FALSE)&lt;&gt;"",2004,IF(VLOOKUP(B56,Data_3!$B$13:$Y$112,7,FALSE)&lt;&gt;"",2003,IF(VLOOKUP(B56,Data_3!$B$13:$Y$1126,FALSE)&lt;&gt;"",2002,IF(VLOOKUP(B56,Data_3!$B$13:$Y$112,5,FALSE)&lt;&gt;"",2001,IF(VLOOKUP(B56,Data_3!$B$13:$Y$112,4,FALSE)&lt;&gt;"",2000,"N/A"))))))))))))))))))))))</f>
        <v/>
      </c>
      <c r="D56" s="1456" t="str">
        <f t="shared" ca="1" si="0"/>
        <v/>
      </c>
      <c r="E56" s="1456"/>
      <c r="F56" s="1051">
        <f ca="1">VLOOKUP($D56,Data!$H$16:$BS$1015,F$9+1,FALSE)</f>
        <v>0</v>
      </c>
      <c r="G56" s="1051">
        <f ca="1">VLOOKUP($D56,Data!$H$16:$BS$1015,G$9+1,FALSE)</f>
        <v>0</v>
      </c>
      <c r="H56" s="1052">
        <f ca="1">VLOOKUP($D56,Data!$H$16:$BS$1015,H$9+1,FALSE)</f>
        <v>0</v>
      </c>
      <c r="I56" s="1051">
        <f ca="1">VLOOKUP($D56,Data!$H$16:$BS$1015,I$9+1,FALSE)</f>
        <v>0</v>
      </c>
      <c r="J56" s="1051">
        <f ca="1">VLOOKUP($D56,Data!$H$16:$BS$1015,J$9+1,FALSE)</f>
        <v>0</v>
      </c>
      <c r="K56" s="1052">
        <f ca="1">VLOOKUP($D56,Data!$H$16:$BS$1015,K$9+1,FALSE)</f>
        <v>0</v>
      </c>
      <c r="L56" s="1051">
        <f ca="1">VLOOKUP($D56,Data!$H$16:$BS$1015,L$9+1,FALSE)</f>
        <v>0</v>
      </c>
      <c r="M56" s="1051">
        <f ca="1">VLOOKUP($D56,Data!$H$16:$BS$1015,M$9+1,FALSE)</f>
        <v>0</v>
      </c>
      <c r="N56" s="1052">
        <f ca="1">VLOOKUP($D56,Data!$H$16:$BS$1015,N$9+1,FALSE)</f>
        <v>0</v>
      </c>
      <c r="O56" s="1051">
        <f ca="1">VLOOKUP($D56,Data!$H$16:$BS$1015,O$9+1,FALSE)</f>
        <v>0</v>
      </c>
      <c r="P56" s="1051">
        <f ca="1">VLOOKUP($D56,Data!$H$16:$BS$1015,P$9+1,FALSE)</f>
        <v>0</v>
      </c>
      <c r="Q56" s="1052">
        <f ca="1">VLOOKUP($D56,Data!$H$16:$BS$1015,Q$9+1,FALSE)</f>
        <v>0</v>
      </c>
      <c r="R56" s="1053">
        <f ca="1">VLOOKUP($D56,Data!$H$16:$BS$1015,R$9+1,FALSE)</f>
        <v>0</v>
      </c>
      <c r="S56" s="1051">
        <f ca="1">VLOOKUP($D56,Data!$H$16:$BS$1015,S$9+1,FALSE)</f>
        <v>0</v>
      </c>
      <c r="T56" s="1051">
        <f ca="1">VLOOKUP($D56,Data!$H$16:$BS$1015,T$9+1,FALSE)</f>
        <v>0</v>
      </c>
      <c r="U56" s="1052">
        <f ca="1">VLOOKUP($D56,Data!$H$16:$BS$1015,U$9+1,FALSE)</f>
        <v>0</v>
      </c>
      <c r="V56" s="1051">
        <f ca="1">VLOOKUP($D56,Data!$H$16:$BS$1015,V$9+1,FALSE)</f>
        <v>0</v>
      </c>
      <c r="W56" s="1051">
        <f ca="1">VLOOKUP($D56,Data!$H$16:$BS$1015,W$9+1,FALSE)</f>
        <v>0</v>
      </c>
      <c r="X56" s="1052">
        <f ca="1">VLOOKUP($D56,Data!$H$16:$BS$1015,X$9+1,FALSE)</f>
        <v>0</v>
      </c>
      <c r="Y56" s="1051">
        <f ca="1">VLOOKUP($D56,Data!$H$16:$BS$1015,Y$9+1,FALSE)</f>
        <v>0</v>
      </c>
      <c r="Z56" s="1051">
        <f ca="1">VLOOKUP($D56,Data!$H$16:$BS$1015,Z$9+1,FALSE)</f>
        <v>0</v>
      </c>
      <c r="AA56" s="1051">
        <f ca="1">VLOOKUP($D56,Data!$H$16:$BS$1015,AA$9+1,FALSE)</f>
        <v>0</v>
      </c>
      <c r="AB56" s="1051">
        <f ca="1">VLOOKUP($D56,Data!$H$16:$BS$1015,AB$9+1,FALSE)</f>
        <v>0</v>
      </c>
      <c r="AC56" s="1052">
        <f ca="1">VLOOKUP($D56,Data!$H$16:$BS$1015,AC$9+1,FALSE)</f>
        <v>0</v>
      </c>
      <c r="AD56" s="1051">
        <f ca="1">VLOOKUP($D56,Data!$H$16:$BS$1015,AD$9+1,FALSE)</f>
        <v>0</v>
      </c>
      <c r="AE56" s="1051">
        <f ca="1">VLOOKUP($D56,Data!$H$16:$BS$1015,AE$9+1,FALSE)</f>
        <v>0</v>
      </c>
      <c r="AF56" s="1052">
        <f ca="1">VLOOKUP($D56,Data!$H$16:$BS$1015,AF$9+1,FALSE)</f>
        <v>0</v>
      </c>
      <c r="AG56" s="1051">
        <f ca="1">VLOOKUP($D56,Data!$H$16:$BS$1015,AG$9+1,FALSE)</f>
        <v>0</v>
      </c>
      <c r="AH56" s="1051">
        <f ca="1">VLOOKUP($D56,Data!$H$16:$BS$1015,AH$9+1,FALSE)</f>
        <v>0</v>
      </c>
      <c r="AI56" s="1052">
        <f ca="1">VLOOKUP($D56,Data!$H$16:$BS$1015,AI$9+1,FALSE)</f>
        <v>0</v>
      </c>
      <c r="AJ56" s="1051">
        <f ca="1">VLOOKUP($D56,Data!$H$16:$BS$1015,AJ$9+1,FALSE)</f>
        <v>0</v>
      </c>
      <c r="AK56" s="1051">
        <f ca="1">VLOOKUP($D56,Data!$H$16:$BS$1015,AK$9+1,FALSE)</f>
        <v>0</v>
      </c>
      <c r="AL56" s="1052">
        <f ca="1">VLOOKUP($D56,Data!$H$16:$BS$1015,AL$9+1,FALSE)</f>
        <v>0</v>
      </c>
      <c r="AM56" s="1051">
        <f ca="1">VLOOKUP($D56,Data!$H$16:$BS$1015,AM$9+1,FALSE)</f>
        <v>0</v>
      </c>
      <c r="AN56" s="1051">
        <f ca="1">VLOOKUP($D56,Data!$H$16:$BS$1015,AN$9+1,FALSE)</f>
        <v>0</v>
      </c>
      <c r="AO56" s="1052">
        <f ca="1">VLOOKUP($D56,Data!$H$16:$BS$1015,AO$9+1,FALSE)</f>
        <v>0</v>
      </c>
      <c r="AP56" s="1051">
        <f ca="1">VLOOKUP($D56,Data!$H$16:$BS$1015,AP$9+1,FALSE)</f>
        <v>0</v>
      </c>
      <c r="AQ56" s="1051">
        <f ca="1">VLOOKUP($D56,Data!$H$16:$BS$1015,AQ$9+1,FALSE)</f>
        <v>0</v>
      </c>
      <c r="AR56" s="1053">
        <f ca="1">VLOOKUP($D56,Data!$H$16:$BS$1015,AR$9+1,FALSE)</f>
        <v>0</v>
      </c>
      <c r="AS56" s="1051">
        <f ca="1">VLOOKUP($D56,Data!$H$16:$BS$1015,AS$9+1,FALSE)</f>
        <v>0</v>
      </c>
      <c r="AT56" s="1051">
        <f ca="1">VLOOKUP($D56,Data!$H$16:$BS$1015,AT$9+1,FALSE)</f>
        <v>0</v>
      </c>
      <c r="AU56" s="1053">
        <f ca="1">VLOOKUP($D56,Data!$H$16:$BS$1015,AU$9+1,FALSE)</f>
        <v>0</v>
      </c>
      <c r="AV56" s="1051">
        <f ca="1">VLOOKUP($D56,Data!$H$16:$BS$1015,AV$9+1,FALSE)</f>
        <v>0</v>
      </c>
      <c r="AW56" s="1051">
        <f ca="1">VLOOKUP($D56,Data!$H$16:$BS$1015,AW$9+1,FALSE)</f>
        <v>0</v>
      </c>
      <c r="AX56" s="1053">
        <f ca="1">VLOOKUP($D56,Data!$H$16:$BS$1015,AX$9+1,FALSE)</f>
        <v>0</v>
      </c>
      <c r="AY56" s="1051">
        <f ca="1">VLOOKUP($D56,Data!$H$16:$BS$1015,AY$9+1,FALSE)</f>
        <v>0</v>
      </c>
      <c r="AZ56" s="1051">
        <f ca="1">VLOOKUP($D56,Data!$H$16:$BS$1015,AZ$9+1,FALSE)</f>
        <v>0</v>
      </c>
      <c r="BA56" s="1053">
        <f ca="1">VLOOKUP($D56,Data!$H$16:$BS$1015,BA$9+1,FALSE)</f>
        <v>0</v>
      </c>
      <c r="BB56" s="1052">
        <f ca="1">VLOOKUP($D56,Data!$H$16:$BS$1015,BB$9+1,FALSE)</f>
        <v>0</v>
      </c>
      <c r="BC56" s="1052">
        <f ca="1">VLOOKUP($D56,Data!$H$16:$BS$1015,BC$9+1,FALSE)</f>
        <v>0</v>
      </c>
      <c r="BD56" s="1052">
        <f ca="1">VLOOKUP($D56,Data!$H$16:$BS$1015,BD$9+1,FALSE)</f>
        <v>0</v>
      </c>
      <c r="BE56" s="1052">
        <f ca="1">VLOOKUP($D56,Data!$H$16:$BS$1015,BE$9+1,FALSE)</f>
        <v>0</v>
      </c>
      <c r="BF56" s="1052">
        <f ca="1">VLOOKUP($D56,Data!$H$16:$BS$1015,BF$9+1,FALSE)</f>
        <v>0</v>
      </c>
      <c r="BG56" s="1054">
        <f ca="1">VLOOKUP($D56,Data!$H$16:$BS$1015,BG$9+1,FALSE)</f>
        <v>0</v>
      </c>
      <c r="BH56" s="1051">
        <f ca="1">VLOOKUP($D56,Data!$H$16:$BS$1015,BH$9+2,FALSE)</f>
        <v>0</v>
      </c>
      <c r="BI56" s="1052">
        <f ca="1">VLOOKUP($D56,Data!$H$16:$BS$1015,BI$9+2,FALSE)</f>
        <v>0</v>
      </c>
      <c r="BJ56" s="1054">
        <f ca="1">VLOOKUP($D56,Data!$H$16:$BS$1015,BJ$9+2,FALSE)</f>
        <v>0</v>
      </c>
      <c r="BK56" s="1053">
        <f ca="1">VLOOKUP($D56,Data!$H$16:$BS$1015,BK$9+2,FALSE)</f>
        <v>0</v>
      </c>
    </row>
    <row r="57" spans="1:63" s="34" customFormat="1" ht="15" customHeight="1">
      <c r="A57" s="1185">
        <v>46</v>
      </c>
      <c r="B57" s="1443">
        <f ca="1">Data_3!B58</f>
        <v>0</v>
      </c>
      <c r="C57" s="1444" t="str">
        <f ca="1">IF(B57="","",IF(VLOOKUP(B57,Data_3!$B$13:$Y$112,24,FALSE)&lt;&gt;"",2020,IF(VLOOKUP(B57,Data_3!$B$13:$Y$112,23,FALSE)&lt;&gt;"",2019,IF(VLOOKUP(B57,Data_3!$B$13:$Y$112,22,FALSE)&lt;&gt;"",2018,IF(VLOOKUP(B57,Data_3!$B$13:$Y$112,21,FALSE)&lt;&gt;"",2017,IF(VLOOKUP(B57,Data_3!$B$13:$Y$112,20,FALSE)&lt;&gt;"",2016,IF(VLOOKUP(B57,Data_3!$B$13:$Y$112,19,FALSE)&lt;&gt;"",2015,IF(VLOOKUP(B57,Data_3!$B$13:$Y$112,18,FALSE)&lt;&gt;"",2014,IF(VLOOKUP(B57,Data_3!$B$13:$Y$112,17,FALSE)&lt;&gt;"",2013,IF(VLOOKUP(B57,Data_3!$B$13:$Y$112,16,FALSE)&lt;&gt;"",2012,IF(VLOOKUP(B57,Data_3!$B$13:$Y$112,15,FALSE)&lt;&gt;"",2011,IF(VLOOKUP(B57,Data_3!$B$13:$Y$112,14,FALSE)&lt;&gt;"",2010,IF(VLOOKUP(B57,Data_3!$B$13:$Y$112,13,FALSE)&lt;&gt;"",2009,IF(VLOOKUP(B57,Data_3!$B$13:$Y$112,12,FALSE)&lt;&gt;"",2008,IF(VLOOKUP(B57,Data_3!$B$13:$Y$112,11,FALSE)&lt;&gt;"",2007,IF(VLOOKUP(B57,Data_3!$B$13:$Y$112,10,FALSE)&lt;&gt;"",2006,IF(VLOOKUP(B57,Data_3!$B$13:$Y$112,9,FALSE)&lt;&gt;"",2005,IF(VLOOKUP(B57,Data_3!$B$13:$Y$112,8,FALSE)&lt;&gt;"",2004,IF(VLOOKUP(B57,Data_3!$B$13:$Y$112,7,FALSE)&lt;&gt;"",2003,IF(VLOOKUP(B57,Data_3!$B$13:$Y$1126,FALSE)&lt;&gt;"",2002,IF(VLOOKUP(B57,Data_3!$B$13:$Y$112,5,FALSE)&lt;&gt;"",2001,IF(VLOOKUP(B57,Data_3!$B$13:$Y$112,4,FALSE)&lt;&gt;"",2000,"N/A"))))))))))))))))))))))</f>
        <v/>
      </c>
      <c r="D57" s="1456" t="str">
        <f t="shared" ca="1" si="0"/>
        <v/>
      </c>
      <c r="E57" s="1456"/>
      <c r="F57" s="1051">
        <f ca="1">VLOOKUP($D57,Data!$H$16:$BS$1015,F$9+1,FALSE)</f>
        <v>0</v>
      </c>
      <c r="G57" s="1051">
        <f ca="1">VLOOKUP($D57,Data!$H$16:$BS$1015,G$9+1,FALSE)</f>
        <v>0</v>
      </c>
      <c r="H57" s="1052">
        <f ca="1">VLOOKUP($D57,Data!$H$16:$BS$1015,H$9+1,FALSE)</f>
        <v>0</v>
      </c>
      <c r="I57" s="1051">
        <f ca="1">VLOOKUP($D57,Data!$H$16:$BS$1015,I$9+1,FALSE)</f>
        <v>0</v>
      </c>
      <c r="J57" s="1051">
        <f ca="1">VLOOKUP($D57,Data!$H$16:$BS$1015,J$9+1,FALSE)</f>
        <v>0</v>
      </c>
      <c r="K57" s="1052">
        <f ca="1">VLOOKUP($D57,Data!$H$16:$BS$1015,K$9+1,FALSE)</f>
        <v>0</v>
      </c>
      <c r="L57" s="1051">
        <f ca="1">VLOOKUP($D57,Data!$H$16:$BS$1015,L$9+1,FALSE)</f>
        <v>0</v>
      </c>
      <c r="M57" s="1051">
        <f ca="1">VLOOKUP($D57,Data!$H$16:$BS$1015,M$9+1,FALSE)</f>
        <v>0</v>
      </c>
      <c r="N57" s="1052">
        <f ca="1">VLOOKUP($D57,Data!$H$16:$BS$1015,N$9+1,FALSE)</f>
        <v>0</v>
      </c>
      <c r="O57" s="1051">
        <f ca="1">VLOOKUP($D57,Data!$H$16:$BS$1015,O$9+1,FALSE)</f>
        <v>0</v>
      </c>
      <c r="P57" s="1051">
        <f ca="1">VLOOKUP($D57,Data!$H$16:$BS$1015,P$9+1,FALSE)</f>
        <v>0</v>
      </c>
      <c r="Q57" s="1052">
        <f ca="1">VLOOKUP($D57,Data!$H$16:$BS$1015,Q$9+1,FALSE)</f>
        <v>0</v>
      </c>
      <c r="R57" s="1053">
        <f ca="1">VLOOKUP($D57,Data!$H$16:$BS$1015,R$9+1,FALSE)</f>
        <v>0</v>
      </c>
      <c r="S57" s="1051">
        <f ca="1">VLOOKUP($D57,Data!$H$16:$BS$1015,S$9+1,FALSE)</f>
        <v>0</v>
      </c>
      <c r="T57" s="1051">
        <f ca="1">VLOOKUP($D57,Data!$H$16:$BS$1015,T$9+1,FALSE)</f>
        <v>0</v>
      </c>
      <c r="U57" s="1052">
        <f ca="1">VLOOKUP($D57,Data!$H$16:$BS$1015,U$9+1,FALSE)</f>
        <v>0</v>
      </c>
      <c r="V57" s="1051">
        <f ca="1">VLOOKUP($D57,Data!$H$16:$BS$1015,V$9+1,FALSE)</f>
        <v>0</v>
      </c>
      <c r="W57" s="1051">
        <f ca="1">VLOOKUP($D57,Data!$H$16:$BS$1015,W$9+1,FALSE)</f>
        <v>0</v>
      </c>
      <c r="X57" s="1052">
        <f ca="1">VLOOKUP($D57,Data!$H$16:$BS$1015,X$9+1,FALSE)</f>
        <v>0</v>
      </c>
      <c r="Y57" s="1051">
        <f ca="1">VLOOKUP($D57,Data!$H$16:$BS$1015,Y$9+1,FALSE)</f>
        <v>0</v>
      </c>
      <c r="Z57" s="1051">
        <f ca="1">VLOOKUP($D57,Data!$H$16:$BS$1015,Z$9+1,FALSE)</f>
        <v>0</v>
      </c>
      <c r="AA57" s="1051">
        <f ca="1">VLOOKUP($D57,Data!$H$16:$BS$1015,AA$9+1,FALSE)</f>
        <v>0</v>
      </c>
      <c r="AB57" s="1051">
        <f ca="1">VLOOKUP($D57,Data!$H$16:$BS$1015,AB$9+1,FALSE)</f>
        <v>0</v>
      </c>
      <c r="AC57" s="1052">
        <f ca="1">VLOOKUP($D57,Data!$H$16:$BS$1015,AC$9+1,FALSE)</f>
        <v>0</v>
      </c>
      <c r="AD57" s="1051">
        <f ca="1">VLOOKUP($D57,Data!$H$16:$BS$1015,AD$9+1,FALSE)</f>
        <v>0</v>
      </c>
      <c r="AE57" s="1051">
        <f ca="1">VLOOKUP($D57,Data!$H$16:$BS$1015,AE$9+1,FALSE)</f>
        <v>0</v>
      </c>
      <c r="AF57" s="1052">
        <f ca="1">VLOOKUP($D57,Data!$H$16:$BS$1015,AF$9+1,FALSE)</f>
        <v>0</v>
      </c>
      <c r="AG57" s="1051">
        <f ca="1">VLOOKUP($D57,Data!$H$16:$BS$1015,AG$9+1,FALSE)</f>
        <v>0</v>
      </c>
      <c r="AH57" s="1051">
        <f ca="1">VLOOKUP($D57,Data!$H$16:$BS$1015,AH$9+1,FALSE)</f>
        <v>0</v>
      </c>
      <c r="AI57" s="1052">
        <f ca="1">VLOOKUP($D57,Data!$H$16:$BS$1015,AI$9+1,FALSE)</f>
        <v>0</v>
      </c>
      <c r="AJ57" s="1051">
        <f ca="1">VLOOKUP($D57,Data!$H$16:$BS$1015,AJ$9+1,FALSE)</f>
        <v>0</v>
      </c>
      <c r="AK57" s="1051">
        <f ca="1">VLOOKUP($D57,Data!$H$16:$BS$1015,AK$9+1,FALSE)</f>
        <v>0</v>
      </c>
      <c r="AL57" s="1052">
        <f ca="1">VLOOKUP($D57,Data!$H$16:$BS$1015,AL$9+1,FALSE)</f>
        <v>0</v>
      </c>
      <c r="AM57" s="1051">
        <f ca="1">VLOOKUP($D57,Data!$H$16:$BS$1015,AM$9+1,FALSE)</f>
        <v>0</v>
      </c>
      <c r="AN57" s="1051">
        <f ca="1">VLOOKUP($D57,Data!$H$16:$BS$1015,AN$9+1,FALSE)</f>
        <v>0</v>
      </c>
      <c r="AO57" s="1052">
        <f ca="1">VLOOKUP($D57,Data!$H$16:$BS$1015,AO$9+1,FALSE)</f>
        <v>0</v>
      </c>
      <c r="AP57" s="1051">
        <f ca="1">VLOOKUP($D57,Data!$H$16:$BS$1015,AP$9+1,FALSE)</f>
        <v>0</v>
      </c>
      <c r="AQ57" s="1051">
        <f ca="1">VLOOKUP($D57,Data!$H$16:$BS$1015,AQ$9+1,FALSE)</f>
        <v>0</v>
      </c>
      <c r="AR57" s="1053">
        <f ca="1">VLOOKUP($D57,Data!$H$16:$BS$1015,AR$9+1,FALSE)</f>
        <v>0</v>
      </c>
      <c r="AS57" s="1051">
        <f ca="1">VLOOKUP($D57,Data!$H$16:$BS$1015,AS$9+1,FALSE)</f>
        <v>0</v>
      </c>
      <c r="AT57" s="1051">
        <f ca="1">VLOOKUP($D57,Data!$H$16:$BS$1015,AT$9+1,FALSE)</f>
        <v>0</v>
      </c>
      <c r="AU57" s="1053">
        <f ca="1">VLOOKUP($D57,Data!$H$16:$BS$1015,AU$9+1,FALSE)</f>
        <v>0</v>
      </c>
      <c r="AV57" s="1051">
        <f ca="1">VLOOKUP($D57,Data!$H$16:$BS$1015,AV$9+1,FALSE)</f>
        <v>0</v>
      </c>
      <c r="AW57" s="1051">
        <f ca="1">VLOOKUP($D57,Data!$H$16:$BS$1015,AW$9+1,FALSE)</f>
        <v>0</v>
      </c>
      <c r="AX57" s="1053">
        <f ca="1">VLOOKUP($D57,Data!$H$16:$BS$1015,AX$9+1,FALSE)</f>
        <v>0</v>
      </c>
      <c r="AY57" s="1051">
        <f ca="1">VLOOKUP($D57,Data!$H$16:$BS$1015,AY$9+1,FALSE)</f>
        <v>0</v>
      </c>
      <c r="AZ57" s="1051">
        <f ca="1">VLOOKUP($D57,Data!$H$16:$BS$1015,AZ$9+1,FALSE)</f>
        <v>0</v>
      </c>
      <c r="BA57" s="1053">
        <f ca="1">VLOOKUP($D57,Data!$H$16:$BS$1015,BA$9+1,FALSE)</f>
        <v>0</v>
      </c>
      <c r="BB57" s="1052">
        <f ca="1">VLOOKUP($D57,Data!$H$16:$BS$1015,BB$9+1,FALSE)</f>
        <v>0</v>
      </c>
      <c r="BC57" s="1052">
        <f ca="1">VLOOKUP($D57,Data!$H$16:$BS$1015,BC$9+1,FALSE)</f>
        <v>0</v>
      </c>
      <c r="BD57" s="1052">
        <f ca="1">VLOOKUP($D57,Data!$H$16:$BS$1015,BD$9+1,FALSE)</f>
        <v>0</v>
      </c>
      <c r="BE57" s="1052">
        <f ca="1">VLOOKUP($D57,Data!$H$16:$BS$1015,BE$9+1,FALSE)</f>
        <v>0</v>
      </c>
      <c r="BF57" s="1052">
        <f ca="1">VLOOKUP($D57,Data!$H$16:$BS$1015,BF$9+1,FALSE)</f>
        <v>0</v>
      </c>
      <c r="BG57" s="1054">
        <f ca="1">VLOOKUP($D57,Data!$H$16:$BS$1015,BG$9+1,FALSE)</f>
        <v>0</v>
      </c>
      <c r="BH57" s="1051">
        <f ca="1">VLOOKUP($D57,Data!$H$16:$BS$1015,BH$9+2,FALSE)</f>
        <v>0</v>
      </c>
      <c r="BI57" s="1052">
        <f ca="1">VLOOKUP($D57,Data!$H$16:$BS$1015,BI$9+2,FALSE)</f>
        <v>0</v>
      </c>
      <c r="BJ57" s="1054">
        <f ca="1">VLOOKUP($D57,Data!$H$16:$BS$1015,BJ$9+2,FALSE)</f>
        <v>0</v>
      </c>
      <c r="BK57" s="1053">
        <f ca="1">VLOOKUP($D57,Data!$H$16:$BS$1015,BK$9+2,FALSE)</f>
        <v>0</v>
      </c>
    </row>
    <row r="58" spans="1:63" s="34" customFormat="1" ht="15" customHeight="1">
      <c r="A58" s="1185">
        <v>47</v>
      </c>
      <c r="B58" s="1443">
        <f ca="1">Data_3!B59</f>
        <v>0</v>
      </c>
      <c r="C58" s="1444" t="str">
        <f ca="1">IF(B58="","",IF(VLOOKUP(B58,Data_3!$B$13:$Y$112,24,FALSE)&lt;&gt;"",2020,IF(VLOOKUP(B58,Data_3!$B$13:$Y$112,23,FALSE)&lt;&gt;"",2019,IF(VLOOKUP(B58,Data_3!$B$13:$Y$112,22,FALSE)&lt;&gt;"",2018,IF(VLOOKUP(B58,Data_3!$B$13:$Y$112,21,FALSE)&lt;&gt;"",2017,IF(VLOOKUP(B58,Data_3!$B$13:$Y$112,20,FALSE)&lt;&gt;"",2016,IF(VLOOKUP(B58,Data_3!$B$13:$Y$112,19,FALSE)&lt;&gt;"",2015,IF(VLOOKUP(B58,Data_3!$B$13:$Y$112,18,FALSE)&lt;&gt;"",2014,IF(VLOOKUP(B58,Data_3!$B$13:$Y$112,17,FALSE)&lt;&gt;"",2013,IF(VLOOKUP(B58,Data_3!$B$13:$Y$112,16,FALSE)&lt;&gt;"",2012,IF(VLOOKUP(B58,Data_3!$B$13:$Y$112,15,FALSE)&lt;&gt;"",2011,IF(VLOOKUP(B58,Data_3!$B$13:$Y$112,14,FALSE)&lt;&gt;"",2010,IF(VLOOKUP(B58,Data_3!$B$13:$Y$112,13,FALSE)&lt;&gt;"",2009,IF(VLOOKUP(B58,Data_3!$B$13:$Y$112,12,FALSE)&lt;&gt;"",2008,IF(VLOOKUP(B58,Data_3!$B$13:$Y$112,11,FALSE)&lt;&gt;"",2007,IF(VLOOKUP(B58,Data_3!$B$13:$Y$112,10,FALSE)&lt;&gt;"",2006,IF(VLOOKUP(B58,Data_3!$B$13:$Y$112,9,FALSE)&lt;&gt;"",2005,IF(VLOOKUP(B58,Data_3!$B$13:$Y$112,8,FALSE)&lt;&gt;"",2004,IF(VLOOKUP(B58,Data_3!$B$13:$Y$112,7,FALSE)&lt;&gt;"",2003,IF(VLOOKUP(B58,Data_3!$B$13:$Y$1126,FALSE)&lt;&gt;"",2002,IF(VLOOKUP(B58,Data_3!$B$13:$Y$112,5,FALSE)&lt;&gt;"",2001,IF(VLOOKUP(B58,Data_3!$B$13:$Y$112,4,FALSE)&lt;&gt;"",2000,"N/A"))))))))))))))))))))))</f>
        <v/>
      </c>
      <c r="D58" s="1456" t="str">
        <f t="shared" ca="1" si="0"/>
        <v/>
      </c>
      <c r="E58" s="1456"/>
      <c r="F58" s="1051">
        <f ca="1">VLOOKUP($D58,Data!$H$16:$BS$1015,F$9+1,FALSE)</f>
        <v>0</v>
      </c>
      <c r="G58" s="1051">
        <f ca="1">VLOOKUP($D58,Data!$H$16:$BS$1015,G$9+1,FALSE)</f>
        <v>0</v>
      </c>
      <c r="H58" s="1052">
        <f ca="1">VLOOKUP($D58,Data!$H$16:$BS$1015,H$9+1,FALSE)</f>
        <v>0</v>
      </c>
      <c r="I58" s="1051">
        <f ca="1">VLOOKUP($D58,Data!$H$16:$BS$1015,I$9+1,FALSE)</f>
        <v>0</v>
      </c>
      <c r="J58" s="1051">
        <f ca="1">VLOOKUP($D58,Data!$H$16:$BS$1015,J$9+1,FALSE)</f>
        <v>0</v>
      </c>
      <c r="K58" s="1052">
        <f ca="1">VLOOKUP($D58,Data!$H$16:$BS$1015,K$9+1,FALSE)</f>
        <v>0</v>
      </c>
      <c r="L58" s="1051">
        <f ca="1">VLOOKUP($D58,Data!$H$16:$BS$1015,L$9+1,FALSE)</f>
        <v>0</v>
      </c>
      <c r="M58" s="1051">
        <f ca="1">VLOOKUP($D58,Data!$H$16:$BS$1015,M$9+1,FALSE)</f>
        <v>0</v>
      </c>
      <c r="N58" s="1052">
        <f ca="1">VLOOKUP($D58,Data!$H$16:$BS$1015,N$9+1,FALSE)</f>
        <v>0</v>
      </c>
      <c r="O58" s="1051">
        <f ca="1">VLOOKUP($D58,Data!$H$16:$BS$1015,O$9+1,FALSE)</f>
        <v>0</v>
      </c>
      <c r="P58" s="1051">
        <f ca="1">VLOOKUP($D58,Data!$H$16:$BS$1015,P$9+1,FALSE)</f>
        <v>0</v>
      </c>
      <c r="Q58" s="1052">
        <f ca="1">VLOOKUP($D58,Data!$H$16:$BS$1015,Q$9+1,FALSE)</f>
        <v>0</v>
      </c>
      <c r="R58" s="1053">
        <f ca="1">VLOOKUP($D58,Data!$H$16:$BS$1015,R$9+1,FALSE)</f>
        <v>0</v>
      </c>
      <c r="S58" s="1051">
        <f ca="1">VLOOKUP($D58,Data!$H$16:$BS$1015,S$9+1,FALSE)</f>
        <v>0</v>
      </c>
      <c r="T58" s="1051">
        <f ca="1">VLOOKUP($D58,Data!$H$16:$BS$1015,T$9+1,FALSE)</f>
        <v>0</v>
      </c>
      <c r="U58" s="1052">
        <f ca="1">VLOOKUP($D58,Data!$H$16:$BS$1015,U$9+1,FALSE)</f>
        <v>0</v>
      </c>
      <c r="V58" s="1051">
        <f ca="1">VLOOKUP($D58,Data!$H$16:$BS$1015,V$9+1,FALSE)</f>
        <v>0</v>
      </c>
      <c r="W58" s="1051">
        <f ca="1">VLOOKUP($D58,Data!$H$16:$BS$1015,W$9+1,FALSE)</f>
        <v>0</v>
      </c>
      <c r="X58" s="1052">
        <f ca="1">VLOOKUP($D58,Data!$H$16:$BS$1015,X$9+1,FALSE)</f>
        <v>0</v>
      </c>
      <c r="Y58" s="1051">
        <f ca="1">VLOOKUP($D58,Data!$H$16:$BS$1015,Y$9+1,FALSE)</f>
        <v>0</v>
      </c>
      <c r="Z58" s="1051">
        <f ca="1">VLOOKUP($D58,Data!$H$16:$BS$1015,Z$9+1,FALSE)</f>
        <v>0</v>
      </c>
      <c r="AA58" s="1051">
        <f ca="1">VLOOKUP($D58,Data!$H$16:$BS$1015,AA$9+1,FALSE)</f>
        <v>0</v>
      </c>
      <c r="AB58" s="1051">
        <f ca="1">VLOOKUP($D58,Data!$H$16:$BS$1015,AB$9+1,FALSE)</f>
        <v>0</v>
      </c>
      <c r="AC58" s="1052">
        <f ca="1">VLOOKUP($D58,Data!$H$16:$BS$1015,AC$9+1,FALSE)</f>
        <v>0</v>
      </c>
      <c r="AD58" s="1051">
        <f ca="1">VLOOKUP($D58,Data!$H$16:$BS$1015,AD$9+1,FALSE)</f>
        <v>0</v>
      </c>
      <c r="AE58" s="1051">
        <f ca="1">VLOOKUP($D58,Data!$H$16:$BS$1015,AE$9+1,FALSE)</f>
        <v>0</v>
      </c>
      <c r="AF58" s="1052">
        <f ca="1">VLOOKUP($D58,Data!$H$16:$BS$1015,AF$9+1,FALSE)</f>
        <v>0</v>
      </c>
      <c r="AG58" s="1051">
        <f ca="1">VLOOKUP($D58,Data!$H$16:$BS$1015,AG$9+1,FALSE)</f>
        <v>0</v>
      </c>
      <c r="AH58" s="1051">
        <f ca="1">VLOOKUP($D58,Data!$H$16:$BS$1015,AH$9+1,FALSE)</f>
        <v>0</v>
      </c>
      <c r="AI58" s="1052">
        <f ca="1">VLOOKUP($D58,Data!$H$16:$BS$1015,AI$9+1,FALSE)</f>
        <v>0</v>
      </c>
      <c r="AJ58" s="1051">
        <f ca="1">VLOOKUP($D58,Data!$H$16:$BS$1015,AJ$9+1,FALSE)</f>
        <v>0</v>
      </c>
      <c r="AK58" s="1051">
        <f ca="1">VLOOKUP($D58,Data!$H$16:$BS$1015,AK$9+1,FALSE)</f>
        <v>0</v>
      </c>
      <c r="AL58" s="1052">
        <f ca="1">VLOOKUP($D58,Data!$H$16:$BS$1015,AL$9+1,FALSE)</f>
        <v>0</v>
      </c>
      <c r="AM58" s="1051">
        <f ca="1">VLOOKUP($D58,Data!$H$16:$BS$1015,AM$9+1,FALSE)</f>
        <v>0</v>
      </c>
      <c r="AN58" s="1051">
        <f ca="1">VLOOKUP($D58,Data!$H$16:$BS$1015,AN$9+1,FALSE)</f>
        <v>0</v>
      </c>
      <c r="AO58" s="1052">
        <f ca="1">VLOOKUP($D58,Data!$H$16:$BS$1015,AO$9+1,FALSE)</f>
        <v>0</v>
      </c>
      <c r="AP58" s="1051">
        <f ca="1">VLOOKUP($D58,Data!$H$16:$BS$1015,AP$9+1,FALSE)</f>
        <v>0</v>
      </c>
      <c r="AQ58" s="1051">
        <f ca="1">VLOOKUP($D58,Data!$H$16:$BS$1015,AQ$9+1,FALSE)</f>
        <v>0</v>
      </c>
      <c r="AR58" s="1053">
        <f ca="1">VLOOKUP($D58,Data!$H$16:$BS$1015,AR$9+1,FALSE)</f>
        <v>0</v>
      </c>
      <c r="AS58" s="1051">
        <f ca="1">VLOOKUP($D58,Data!$H$16:$BS$1015,AS$9+1,FALSE)</f>
        <v>0</v>
      </c>
      <c r="AT58" s="1051">
        <f ca="1">VLOOKUP($D58,Data!$H$16:$BS$1015,AT$9+1,FALSE)</f>
        <v>0</v>
      </c>
      <c r="AU58" s="1053">
        <f ca="1">VLOOKUP($D58,Data!$H$16:$BS$1015,AU$9+1,FALSE)</f>
        <v>0</v>
      </c>
      <c r="AV58" s="1051">
        <f ca="1">VLOOKUP($D58,Data!$H$16:$BS$1015,AV$9+1,FALSE)</f>
        <v>0</v>
      </c>
      <c r="AW58" s="1051">
        <f ca="1">VLOOKUP($D58,Data!$H$16:$BS$1015,AW$9+1,FALSE)</f>
        <v>0</v>
      </c>
      <c r="AX58" s="1053">
        <f ca="1">VLOOKUP($D58,Data!$H$16:$BS$1015,AX$9+1,FALSE)</f>
        <v>0</v>
      </c>
      <c r="AY58" s="1051">
        <f ca="1">VLOOKUP($D58,Data!$H$16:$BS$1015,AY$9+1,FALSE)</f>
        <v>0</v>
      </c>
      <c r="AZ58" s="1051">
        <f ca="1">VLOOKUP($D58,Data!$H$16:$BS$1015,AZ$9+1,FALSE)</f>
        <v>0</v>
      </c>
      <c r="BA58" s="1053">
        <f ca="1">VLOOKUP($D58,Data!$H$16:$BS$1015,BA$9+1,FALSE)</f>
        <v>0</v>
      </c>
      <c r="BB58" s="1052">
        <f ca="1">VLOOKUP($D58,Data!$H$16:$BS$1015,BB$9+1,FALSE)</f>
        <v>0</v>
      </c>
      <c r="BC58" s="1052">
        <f ca="1">VLOOKUP($D58,Data!$H$16:$BS$1015,BC$9+1,FALSE)</f>
        <v>0</v>
      </c>
      <c r="BD58" s="1052">
        <f ca="1">VLOOKUP($D58,Data!$H$16:$BS$1015,BD$9+1,FALSE)</f>
        <v>0</v>
      </c>
      <c r="BE58" s="1052">
        <f ca="1">VLOOKUP($D58,Data!$H$16:$BS$1015,BE$9+1,FALSE)</f>
        <v>0</v>
      </c>
      <c r="BF58" s="1052">
        <f ca="1">VLOOKUP($D58,Data!$H$16:$BS$1015,BF$9+1,FALSE)</f>
        <v>0</v>
      </c>
      <c r="BG58" s="1054">
        <f ca="1">VLOOKUP($D58,Data!$H$16:$BS$1015,BG$9+1,FALSE)</f>
        <v>0</v>
      </c>
      <c r="BH58" s="1051">
        <f ca="1">VLOOKUP($D58,Data!$H$16:$BS$1015,BH$9+2,FALSE)</f>
        <v>0</v>
      </c>
      <c r="BI58" s="1052">
        <f ca="1">VLOOKUP($D58,Data!$H$16:$BS$1015,BI$9+2,FALSE)</f>
        <v>0</v>
      </c>
      <c r="BJ58" s="1054">
        <f ca="1">VLOOKUP($D58,Data!$H$16:$BS$1015,BJ$9+2,FALSE)</f>
        <v>0</v>
      </c>
      <c r="BK58" s="1053">
        <f ca="1">VLOOKUP($D58,Data!$H$16:$BS$1015,BK$9+2,FALSE)</f>
        <v>0</v>
      </c>
    </row>
    <row r="59" spans="1:63" s="34" customFormat="1" ht="15" customHeight="1">
      <c r="A59" s="1185">
        <v>48</v>
      </c>
      <c r="B59" s="1443">
        <f ca="1">Data_3!B60</f>
        <v>0</v>
      </c>
      <c r="C59" s="1444" t="str">
        <f ca="1">IF(B59="","",IF(VLOOKUP(B59,Data_3!$B$13:$Y$112,24,FALSE)&lt;&gt;"",2020,IF(VLOOKUP(B59,Data_3!$B$13:$Y$112,23,FALSE)&lt;&gt;"",2019,IF(VLOOKUP(B59,Data_3!$B$13:$Y$112,22,FALSE)&lt;&gt;"",2018,IF(VLOOKUP(B59,Data_3!$B$13:$Y$112,21,FALSE)&lt;&gt;"",2017,IF(VLOOKUP(B59,Data_3!$B$13:$Y$112,20,FALSE)&lt;&gt;"",2016,IF(VLOOKUP(B59,Data_3!$B$13:$Y$112,19,FALSE)&lt;&gt;"",2015,IF(VLOOKUP(B59,Data_3!$B$13:$Y$112,18,FALSE)&lt;&gt;"",2014,IF(VLOOKUP(B59,Data_3!$B$13:$Y$112,17,FALSE)&lt;&gt;"",2013,IF(VLOOKUP(B59,Data_3!$B$13:$Y$112,16,FALSE)&lt;&gt;"",2012,IF(VLOOKUP(B59,Data_3!$B$13:$Y$112,15,FALSE)&lt;&gt;"",2011,IF(VLOOKUP(B59,Data_3!$B$13:$Y$112,14,FALSE)&lt;&gt;"",2010,IF(VLOOKUP(B59,Data_3!$B$13:$Y$112,13,FALSE)&lt;&gt;"",2009,IF(VLOOKUP(B59,Data_3!$B$13:$Y$112,12,FALSE)&lt;&gt;"",2008,IF(VLOOKUP(B59,Data_3!$B$13:$Y$112,11,FALSE)&lt;&gt;"",2007,IF(VLOOKUP(B59,Data_3!$B$13:$Y$112,10,FALSE)&lt;&gt;"",2006,IF(VLOOKUP(B59,Data_3!$B$13:$Y$112,9,FALSE)&lt;&gt;"",2005,IF(VLOOKUP(B59,Data_3!$B$13:$Y$112,8,FALSE)&lt;&gt;"",2004,IF(VLOOKUP(B59,Data_3!$B$13:$Y$112,7,FALSE)&lt;&gt;"",2003,IF(VLOOKUP(B59,Data_3!$B$13:$Y$1126,FALSE)&lt;&gt;"",2002,IF(VLOOKUP(B59,Data_3!$B$13:$Y$112,5,FALSE)&lt;&gt;"",2001,IF(VLOOKUP(B59,Data_3!$B$13:$Y$112,4,FALSE)&lt;&gt;"",2000,"N/A"))))))))))))))))))))))</f>
        <v/>
      </c>
      <c r="D59" s="1456" t="str">
        <f t="shared" ca="1" si="0"/>
        <v/>
      </c>
      <c r="E59" s="1456"/>
      <c r="F59" s="1051">
        <f ca="1">VLOOKUP($D59,Data!$H$16:$BS$1015,F$9+1,FALSE)</f>
        <v>0</v>
      </c>
      <c r="G59" s="1051">
        <f ca="1">VLOOKUP($D59,Data!$H$16:$BS$1015,G$9+1,FALSE)</f>
        <v>0</v>
      </c>
      <c r="H59" s="1052">
        <f ca="1">VLOOKUP($D59,Data!$H$16:$BS$1015,H$9+1,FALSE)</f>
        <v>0</v>
      </c>
      <c r="I59" s="1051">
        <f ca="1">VLOOKUP($D59,Data!$H$16:$BS$1015,I$9+1,FALSE)</f>
        <v>0</v>
      </c>
      <c r="J59" s="1051">
        <f ca="1">VLOOKUP($D59,Data!$H$16:$BS$1015,J$9+1,FALSE)</f>
        <v>0</v>
      </c>
      <c r="K59" s="1052">
        <f ca="1">VLOOKUP($D59,Data!$H$16:$BS$1015,K$9+1,FALSE)</f>
        <v>0</v>
      </c>
      <c r="L59" s="1051">
        <f ca="1">VLOOKUP($D59,Data!$H$16:$BS$1015,L$9+1,FALSE)</f>
        <v>0</v>
      </c>
      <c r="M59" s="1051">
        <f ca="1">VLOOKUP($D59,Data!$H$16:$BS$1015,M$9+1,FALSE)</f>
        <v>0</v>
      </c>
      <c r="N59" s="1052">
        <f ca="1">VLOOKUP($D59,Data!$H$16:$BS$1015,N$9+1,FALSE)</f>
        <v>0</v>
      </c>
      <c r="O59" s="1051">
        <f ca="1">VLOOKUP($D59,Data!$H$16:$BS$1015,O$9+1,FALSE)</f>
        <v>0</v>
      </c>
      <c r="P59" s="1051">
        <f ca="1">VLOOKUP($D59,Data!$H$16:$BS$1015,P$9+1,FALSE)</f>
        <v>0</v>
      </c>
      <c r="Q59" s="1052">
        <f ca="1">VLOOKUP($D59,Data!$H$16:$BS$1015,Q$9+1,FALSE)</f>
        <v>0</v>
      </c>
      <c r="R59" s="1053">
        <f ca="1">VLOOKUP($D59,Data!$H$16:$BS$1015,R$9+1,FALSE)</f>
        <v>0</v>
      </c>
      <c r="S59" s="1051">
        <f ca="1">VLOOKUP($D59,Data!$H$16:$BS$1015,S$9+1,FALSE)</f>
        <v>0</v>
      </c>
      <c r="T59" s="1051">
        <f ca="1">VLOOKUP($D59,Data!$H$16:$BS$1015,T$9+1,FALSE)</f>
        <v>0</v>
      </c>
      <c r="U59" s="1052">
        <f ca="1">VLOOKUP($D59,Data!$H$16:$BS$1015,U$9+1,FALSE)</f>
        <v>0</v>
      </c>
      <c r="V59" s="1051">
        <f ca="1">VLOOKUP($D59,Data!$H$16:$BS$1015,V$9+1,FALSE)</f>
        <v>0</v>
      </c>
      <c r="W59" s="1051">
        <f ca="1">VLOOKUP($D59,Data!$H$16:$BS$1015,W$9+1,FALSE)</f>
        <v>0</v>
      </c>
      <c r="X59" s="1052">
        <f ca="1">VLOOKUP($D59,Data!$H$16:$BS$1015,X$9+1,FALSE)</f>
        <v>0</v>
      </c>
      <c r="Y59" s="1051">
        <f ca="1">VLOOKUP($D59,Data!$H$16:$BS$1015,Y$9+1,FALSE)</f>
        <v>0</v>
      </c>
      <c r="Z59" s="1051">
        <f ca="1">VLOOKUP($D59,Data!$H$16:$BS$1015,Z$9+1,FALSE)</f>
        <v>0</v>
      </c>
      <c r="AA59" s="1051">
        <f ca="1">VLOOKUP($D59,Data!$H$16:$BS$1015,AA$9+1,FALSE)</f>
        <v>0</v>
      </c>
      <c r="AB59" s="1051">
        <f ca="1">VLOOKUP($D59,Data!$H$16:$BS$1015,AB$9+1,FALSE)</f>
        <v>0</v>
      </c>
      <c r="AC59" s="1052">
        <f ca="1">VLOOKUP($D59,Data!$H$16:$BS$1015,AC$9+1,FALSE)</f>
        <v>0</v>
      </c>
      <c r="AD59" s="1051">
        <f ca="1">VLOOKUP($D59,Data!$H$16:$BS$1015,AD$9+1,FALSE)</f>
        <v>0</v>
      </c>
      <c r="AE59" s="1051">
        <f ca="1">VLOOKUP($D59,Data!$H$16:$BS$1015,AE$9+1,FALSE)</f>
        <v>0</v>
      </c>
      <c r="AF59" s="1052">
        <f ca="1">VLOOKUP($D59,Data!$H$16:$BS$1015,AF$9+1,FALSE)</f>
        <v>0</v>
      </c>
      <c r="AG59" s="1051">
        <f ca="1">VLOOKUP($D59,Data!$H$16:$BS$1015,AG$9+1,FALSE)</f>
        <v>0</v>
      </c>
      <c r="AH59" s="1051">
        <f ca="1">VLOOKUP($D59,Data!$H$16:$BS$1015,AH$9+1,FALSE)</f>
        <v>0</v>
      </c>
      <c r="AI59" s="1052">
        <f ca="1">VLOOKUP($D59,Data!$H$16:$BS$1015,AI$9+1,FALSE)</f>
        <v>0</v>
      </c>
      <c r="AJ59" s="1051">
        <f ca="1">VLOOKUP($D59,Data!$H$16:$BS$1015,AJ$9+1,FALSE)</f>
        <v>0</v>
      </c>
      <c r="AK59" s="1051">
        <f ca="1">VLOOKUP($D59,Data!$H$16:$BS$1015,AK$9+1,FALSE)</f>
        <v>0</v>
      </c>
      <c r="AL59" s="1052">
        <f ca="1">VLOOKUP($D59,Data!$H$16:$BS$1015,AL$9+1,FALSE)</f>
        <v>0</v>
      </c>
      <c r="AM59" s="1051">
        <f ca="1">VLOOKUP($D59,Data!$H$16:$BS$1015,AM$9+1,FALSE)</f>
        <v>0</v>
      </c>
      <c r="AN59" s="1051">
        <f ca="1">VLOOKUP($D59,Data!$H$16:$BS$1015,AN$9+1,FALSE)</f>
        <v>0</v>
      </c>
      <c r="AO59" s="1052">
        <f ca="1">VLOOKUP($D59,Data!$H$16:$BS$1015,AO$9+1,FALSE)</f>
        <v>0</v>
      </c>
      <c r="AP59" s="1051">
        <f ca="1">VLOOKUP($D59,Data!$H$16:$BS$1015,AP$9+1,FALSE)</f>
        <v>0</v>
      </c>
      <c r="AQ59" s="1051">
        <f ca="1">VLOOKUP($D59,Data!$H$16:$BS$1015,AQ$9+1,FALSE)</f>
        <v>0</v>
      </c>
      <c r="AR59" s="1053">
        <f ca="1">VLOOKUP($D59,Data!$H$16:$BS$1015,AR$9+1,FALSE)</f>
        <v>0</v>
      </c>
      <c r="AS59" s="1051">
        <f ca="1">VLOOKUP($D59,Data!$H$16:$BS$1015,AS$9+1,FALSE)</f>
        <v>0</v>
      </c>
      <c r="AT59" s="1051">
        <f ca="1">VLOOKUP($D59,Data!$H$16:$BS$1015,AT$9+1,FALSE)</f>
        <v>0</v>
      </c>
      <c r="AU59" s="1053">
        <f ca="1">VLOOKUP($D59,Data!$H$16:$BS$1015,AU$9+1,FALSE)</f>
        <v>0</v>
      </c>
      <c r="AV59" s="1051">
        <f ca="1">VLOOKUP($D59,Data!$H$16:$BS$1015,AV$9+1,FALSE)</f>
        <v>0</v>
      </c>
      <c r="AW59" s="1051">
        <f ca="1">VLOOKUP($D59,Data!$H$16:$BS$1015,AW$9+1,FALSE)</f>
        <v>0</v>
      </c>
      <c r="AX59" s="1053">
        <f ca="1">VLOOKUP($D59,Data!$H$16:$BS$1015,AX$9+1,FALSE)</f>
        <v>0</v>
      </c>
      <c r="AY59" s="1051">
        <f ca="1">VLOOKUP($D59,Data!$H$16:$BS$1015,AY$9+1,FALSE)</f>
        <v>0</v>
      </c>
      <c r="AZ59" s="1051">
        <f ca="1">VLOOKUP($D59,Data!$H$16:$BS$1015,AZ$9+1,FALSE)</f>
        <v>0</v>
      </c>
      <c r="BA59" s="1053">
        <f ca="1">VLOOKUP($D59,Data!$H$16:$BS$1015,BA$9+1,FALSE)</f>
        <v>0</v>
      </c>
      <c r="BB59" s="1052">
        <f ca="1">VLOOKUP($D59,Data!$H$16:$BS$1015,BB$9+1,FALSE)</f>
        <v>0</v>
      </c>
      <c r="BC59" s="1052">
        <f ca="1">VLOOKUP($D59,Data!$H$16:$BS$1015,BC$9+1,FALSE)</f>
        <v>0</v>
      </c>
      <c r="BD59" s="1052">
        <f ca="1">VLOOKUP($D59,Data!$H$16:$BS$1015,BD$9+1,FALSE)</f>
        <v>0</v>
      </c>
      <c r="BE59" s="1052">
        <f ca="1">VLOOKUP($D59,Data!$H$16:$BS$1015,BE$9+1,FALSE)</f>
        <v>0</v>
      </c>
      <c r="BF59" s="1052">
        <f ca="1">VLOOKUP($D59,Data!$H$16:$BS$1015,BF$9+1,FALSE)</f>
        <v>0</v>
      </c>
      <c r="BG59" s="1054">
        <f ca="1">VLOOKUP($D59,Data!$H$16:$BS$1015,BG$9+1,FALSE)</f>
        <v>0</v>
      </c>
      <c r="BH59" s="1051">
        <f ca="1">VLOOKUP($D59,Data!$H$16:$BS$1015,BH$9+2,FALSE)</f>
        <v>0</v>
      </c>
      <c r="BI59" s="1052">
        <f ca="1">VLOOKUP($D59,Data!$H$16:$BS$1015,BI$9+2,FALSE)</f>
        <v>0</v>
      </c>
      <c r="BJ59" s="1054">
        <f ca="1">VLOOKUP($D59,Data!$H$16:$BS$1015,BJ$9+2,FALSE)</f>
        <v>0</v>
      </c>
      <c r="BK59" s="1053">
        <f ca="1">VLOOKUP($D59,Data!$H$16:$BS$1015,BK$9+2,FALSE)</f>
        <v>0</v>
      </c>
    </row>
    <row r="60" spans="1:63" s="34" customFormat="1" ht="15" customHeight="1">
      <c r="A60" s="1185">
        <v>49</v>
      </c>
      <c r="B60" s="1443">
        <f ca="1">Data_3!B61</f>
        <v>0</v>
      </c>
      <c r="C60" s="1444" t="str">
        <f ca="1">IF(B60="","",IF(VLOOKUP(B60,Data_3!$B$13:$Y$112,24,FALSE)&lt;&gt;"",2020,IF(VLOOKUP(B60,Data_3!$B$13:$Y$112,23,FALSE)&lt;&gt;"",2019,IF(VLOOKUP(B60,Data_3!$B$13:$Y$112,22,FALSE)&lt;&gt;"",2018,IF(VLOOKUP(B60,Data_3!$B$13:$Y$112,21,FALSE)&lt;&gt;"",2017,IF(VLOOKUP(B60,Data_3!$B$13:$Y$112,20,FALSE)&lt;&gt;"",2016,IF(VLOOKUP(B60,Data_3!$B$13:$Y$112,19,FALSE)&lt;&gt;"",2015,IF(VLOOKUP(B60,Data_3!$B$13:$Y$112,18,FALSE)&lt;&gt;"",2014,IF(VLOOKUP(B60,Data_3!$B$13:$Y$112,17,FALSE)&lt;&gt;"",2013,IF(VLOOKUP(B60,Data_3!$B$13:$Y$112,16,FALSE)&lt;&gt;"",2012,IF(VLOOKUP(B60,Data_3!$B$13:$Y$112,15,FALSE)&lt;&gt;"",2011,IF(VLOOKUP(B60,Data_3!$B$13:$Y$112,14,FALSE)&lt;&gt;"",2010,IF(VLOOKUP(B60,Data_3!$B$13:$Y$112,13,FALSE)&lt;&gt;"",2009,IF(VLOOKUP(B60,Data_3!$B$13:$Y$112,12,FALSE)&lt;&gt;"",2008,IF(VLOOKUP(B60,Data_3!$B$13:$Y$112,11,FALSE)&lt;&gt;"",2007,IF(VLOOKUP(B60,Data_3!$B$13:$Y$112,10,FALSE)&lt;&gt;"",2006,IF(VLOOKUP(B60,Data_3!$B$13:$Y$112,9,FALSE)&lt;&gt;"",2005,IF(VLOOKUP(B60,Data_3!$B$13:$Y$112,8,FALSE)&lt;&gt;"",2004,IF(VLOOKUP(B60,Data_3!$B$13:$Y$112,7,FALSE)&lt;&gt;"",2003,IF(VLOOKUP(B60,Data_3!$B$13:$Y$1126,FALSE)&lt;&gt;"",2002,IF(VLOOKUP(B60,Data_3!$B$13:$Y$112,5,FALSE)&lt;&gt;"",2001,IF(VLOOKUP(B60,Data_3!$B$13:$Y$112,4,FALSE)&lt;&gt;"",2000,"N/A"))))))))))))))))))))))</f>
        <v/>
      </c>
      <c r="D60" s="1456" t="str">
        <f t="shared" ca="1" si="0"/>
        <v/>
      </c>
      <c r="E60" s="1456"/>
      <c r="F60" s="1051">
        <f ca="1">VLOOKUP($D60,Data!$H$16:$BS$1015,F$9+1,FALSE)</f>
        <v>0</v>
      </c>
      <c r="G60" s="1051">
        <f ca="1">VLOOKUP($D60,Data!$H$16:$BS$1015,G$9+1,FALSE)</f>
        <v>0</v>
      </c>
      <c r="H60" s="1052">
        <f ca="1">VLOOKUP($D60,Data!$H$16:$BS$1015,H$9+1,FALSE)</f>
        <v>0</v>
      </c>
      <c r="I60" s="1051">
        <f ca="1">VLOOKUP($D60,Data!$H$16:$BS$1015,I$9+1,FALSE)</f>
        <v>0</v>
      </c>
      <c r="J60" s="1051">
        <f ca="1">VLOOKUP($D60,Data!$H$16:$BS$1015,J$9+1,FALSE)</f>
        <v>0</v>
      </c>
      <c r="K60" s="1052">
        <f ca="1">VLOOKUP($D60,Data!$H$16:$BS$1015,K$9+1,FALSE)</f>
        <v>0</v>
      </c>
      <c r="L60" s="1051">
        <f ca="1">VLOOKUP($D60,Data!$H$16:$BS$1015,L$9+1,FALSE)</f>
        <v>0</v>
      </c>
      <c r="M60" s="1051">
        <f ca="1">VLOOKUP($D60,Data!$H$16:$BS$1015,M$9+1,FALSE)</f>
        <v>0</v>
      </c>
      <c r="N60" s="1052">
        <f ca="1">VLOOKUP($D60,Data!$H$16:$BS$1015,N$9+1,FALSE)</f>
        <v>0</v>
      </c>
      <c r="O60" s="1051">
        <f ca="1">VLOOKUP($D60,Data!$H$16:$BS$1015,O$9+1,FALSE)</f>
        <v>0</v>
      </c>
      <c r="P60" s="1051">
        <f ca="1">VLOOKUP($D60,Data!$H$16:$BS$1015,P$9+1,FALSE)</f>
        <v>0</v>
      </c>
      <c r="Q60" s="1052">
        <f ca="1">VLOOKUP($D60,Data!$H$16:$BS$1015,Q$9+1,FALSE)</f>
        <v>0</v>
      </c>
      <c r="R60" s="1053">
        <f ca="1">VLOOKUP($D60,Data!$H$16:$BS$1015,R$9+1,FALSE)</f>
        <v>0</v>
      </c>
      <c r="S60" s="1051">
        <f ca="1">VLOOKUP($D60,Data!$H$16:$BS$1015,S$9+1,FALSE)</f>
        <v>0</v>
      </c>
      <c r="T60" s="1051">
        <f ca="1">VLOOKUP($D60,Data!$H$16:$BS$1015,T$9+1,FALSE)</f>
        <v>0</v>
      </c>
      <c r="U60" s="1052">
        <f ca="1">VLOOKUP($D60,Data!$H$16:$BS$1015,U$9+1,FALSE)</f>
        <v>0</v>
      </c>
      <c r="V60" s="1051">
        <f ca="1">VLOOKUP($D60,Data!$H$16:$BS$1015,V$9+1,FALSE)</f>
        <v>0</v>
      </c>
      <c r="W60" s="1051">
        <f ca="1">VLOOKUP($D60,Data!$H$16:$BS$1015,W$9+1,FALSE)</f>
        <v>0</v>
      </c>
      <c r="X60" s="1052">
        <f ca="1">VLOOKUP($D60,Data!$H$16:$BS$1015,X$9+1,FALSE)</f>
        <v>0</v>
      </c>
      <c r="Y60" s="1051">
        <f ca="1">VLOOKUP($D60,Data!$H$16:$BS$1015,Y$9+1,FALSE)</f>
        <v>0</v>
      </c>
      <c r="Z60" s="1051">
        <f ca="1">VLOOKUP($D60,Data!$H$16:$BS$1015,Z$9+1,FALSE)</f>
        <v>0</v>
      </c>
      <c r="AA60" s="1051">
        <f ca="1">VLOOKUP($D60,Data!$H$16:$BS$1015,AA$9+1,FALSE)</f>
        <v>0</v>
      </c>
      <c r="AB60" s="1051">
        <f ca="1">VLOOKUP($D60,Data!$H$16:$BS$1015,AB$9+1,FALSE)</f>
        <v>0</v>
      </c>
      <c r="AC60" s="1052">
        <f ca="1">VLOOKUP($D60,Data!$H$16:$BS$1015,AC$9+1,FALSE)</f>
        <v>0</v>
      </c>
      <c r="AD60" s="1051">
        <f ca="1">VLOOKUP($D60,Data!$H$16:$BS$1015,AD$9+1,FALSE)</f>
        <v>0</v>
      </c>
      <c r="AE60" s="1051">
        <f ca="1">VLOOKUP($D60,Data!$H$16:$BS$1015,AE$9+1,FALSE)</f>
        <v>0</v>
      </c>
      <c r="AF60" s="1052">
        <f ca="1">VLOOKUP($D60,Data!$H$16:$BS$1015,AF$9+1,FALSE)</f>
        <v>0</v>
      </c>
      <c r="AG60" s="1051">
        <f ca="1">VLOOKUP($D60,Data!$H$16:$BS$1015,AG$9+1,FALSE)</f>
        <v>0</v>
      </c>
      <c r="AH60" s="1051">
        <f ca="1">VLOOKUP($D60,Data!$H$16:$BS$1015,AH$9+1,FALSE)</f>
        <v>0</v>
      </c>
      <c r="AI60" s="1052">
        <f ca="1">VLOOKUP($D60,Data!$H$16:$BS$1015,AI$9+1,FALSE)</f>
        <v>0</v>
      </c>
      <c r="AJ60" s="1051">
        <f ca="1">VLOOKUP($D60,Data!$H$16:$BS$1015,AJ$9+1,FALSE)</f>
        <v>0</v>
      </c>
      <c r="AK60" s="1051">
        <f ca="1">VLOOKUP($D60,Data!$H$16:$BS$1015,AK$9+1,FALSE)</f>
        <v>0</v>
      </c>
      <c r="AL60" s="1052">
        <f ca="1">VLOOKUP($D60,Data!$H$16:$BS$1015,AL$9+1,FALSE)</f>
        <v>0</v>
      </c>
      <c r="AM60" s="1051">
        <f ca="1">VLOOKUP($D60,Data!$H$16:$BS$1015,AM$9+1,FALSE)</f>
        <v>0</v>
      </c>
      <c r="AN60" s="1051">
        <f ca="1">VLOOKUP($D60,Data!$H$16:$BS$1015,AN$9+1,FALSE)</f>
        <v>0</v>
      </c>
      <c r="AO60" s="1052">
        <f ca="1">VLOOKUP($D60,Data!$H$16:$BS$1015,AO$9+1,FALSE)</f>
        <v>0</v>
      </c>
      <c r="AP60" s="1051">
        <f ca="1">VLOOKUP($D60,Data!$H$16:$BS$1015,AP$9+1,FALSE)</f>
        <v>0</v>
      </c>
      <c r="AQ60" s="1051">
        <f ca="1">VLOOKUP($D60,Data!$H$16:$BS$1015,AQ$9+1,FALSE)</f>
        <v>0</v>
      </c>
      <c r="AR60" s="1053">
        <f ca="1">VLOOKUP($D60,Data!$H$16:$BS$1015,AR$9+1,FALSE)</f>
        <v>0</v>
      </c>
      <c r="AS60" s="1051">
        <f ca="1">VLOOKUP($D60,Data!$H$16:$BS$1015,AS$9+1,FALSE)</f>
        <v>0</v>
      </c>
      <c r="AT60" s="1051">
        <f ca="1">VLOOKUP($D60,Data!$H$16:$BS$1015,AT$9+1,FALSE)</f>
        <v>0</v>
      </c>
      <c r="AU60" s="1053">
        <f ca="1">VLOOKUP($D60,Data!$H$16:$BS$1015,AU$9+1,FALSE)</f>
        <v>0</v>
      </c>
      <c r="AV60" s="1051">
        <f ca="1">VLOOKUP($D60,Data!$H$16:$BS$1015,AV$9+1,FALSE)</f>
        <v>0</v>
      </c>
      <c r="AW60" s="1051">
        <f ca="1">VLOOKUP($D60,Data!$H$16:$BS$1015,AW$9+1,FALSE)</f>
        <v>0</v>
      </c>
      <c r="AX60" s="1053">
        <f ca="1">VLOOKUP($D60,Data!$H$16:$BS$1015,AX$9+1,FALSE)</f>
        <v>0</v>
      </c>
      <c r="AY60" s="1051">
        <f ca="1">VLOOKUP($D60,Data!$H$16:$BS$1015,AY$9+1,FALSE)</f>
        <v>0</v>
      </c>
      <c r="AZ60" s="1051">
        <f ca="1">VLOOKUP($D60,Data!$H$16:$BS$1015,AZ$9+1,FALSE)</f>
        <v>0</v>
      </c>
      <c r="BA60" s="1053">
        <f ca="1">VLOOKUP($D60,Data!$H$16:$BS$1015,BA$9+1,FALSE)</f>
        <v>0</v>
      </c>
      <c r="BB60" s="1052">
        <f ca="1">VLOOKUP($D60,Data!$H$16:$BS$1015,BB$9+1,FALSE)</f>
        <v>0</v>
      </c>
      <c r="BC60" s="1052">
        <f ca="1">VLOOKUP($D60,Data!$H$16:$BS$1015,BC$9+1,FALSE)</f>
        <v>0</v>
      </c>
      <c r="BD60" s="1052">
        <f ca="1">VLOOKUP($D60,Data!$H$16:$BS$1015,BD$9+1,FALSE)</f>
        <v>0</v>
      </c>
      <c r="BE60" s="1052">
        <f ca="1">VLOOKUP($D60,Data!$H$16:$BS$1015,BE$9+1,FALSE)</f>
        <v>0</v>
      </c>
      <c r="BF60" s="1052">
        <f ca="1">VLOOKUP($D60,Data!$H$16:$BS$1015,BF$9+1,FALSE)</f>
        <v>0</v>
      </c>
      <c r="BG60" s="1054">
        <f ca="1">VLOOKUP($D60,Data!$H$16:$BS$1015,BG$9+1,FALSE)</f>
        <v>0</v>
      </c>
      <c r="BH60" s="1051">
        <f ca="1">VLOOKUP($D60,Data!$H$16:$BS$1015,BH$9+2,FALSE)</f>
        <v>0</v>
      </c>
      <c r="BI60" s="1052">
        <f ca="1">VLOOKUP($D60,Data!$H$16:$BS$1015,BI$9+2,FALSE)</f>
        <v>0</v>
      </c>
      <c r="BJ60" s="1054">
        <f ca="1">VLOOKUP($D60,Data!$H$16:$BS$1015,BJ$9+2,FALSE)</f>
        <v>0</v>
      </c>
      <c r="BK60" s="1053">
        <f ca="1">VLOOKUP($D60,Data!$H$16:$BS$1015,BK$9+2,FALSE)</f>
        <v>0</v>
      </c>
    </row>
    <row r="61" spans="1:63" s="34" customFormat="1" ht="15" customHeight="1">
      <c r="A61" s="1185">
        <v>50</v>
      </c>
      <c r="B61" s="1443">
        <f ca="1">Data_3!B62</f>
        <v>0</v>
      </c>
      <c r="C61" s="1444" t="str">
        <f ca="1">IF(B61="","",IF(VLOOKUP(B61,Data_3!$B$13:$Y$112,24,FALSE)&lt;&gt;"",2020,IF(VLOOKUP(B61,Data_3!$B$13:$Y$112,23,FALSE)&lt;&gt;"",2019,IF(VLOOKUP(B61,Data_3!$B$13:$Y$112,22,FALSE)&lt;&gt;"",2018,IF(VLOOKUP(B61,Data_3!$B$13:$Y$112,21,FALSE)&lt;&gt;"",2017,IF(VLOOKUP(B61,Data_3!$B$13:$Y$112,20,FALSE)&lt;&gt;"",2016,IF(VLOOKUP(B61,Data_3!$B$13:$Y$112,19,FALSE)&lt;&gt;"",2015,IF(VLOOKUP(B61,Data_3!$B$13:$Y$112,18,FALSE)&lt;&gt;"",2014,IF(VLOOKUP(B61,Data_3!$B$13:$Y$112,17,FALSE)&lt;&gt;"",2013,IF(VLOOKUP(B61,Data_3!$B$13:$Y$112,16,FALSE)&lt;&gt;"",2012,IF(VLOOKUP(B61,Data_3!$B$13:$Y$112,15,FALSE)&lt;&gt;"",2011,IF(VLOOKUP(B61,Data_3!$B$13:$Y$112,14,FALSE)&lt;&gt;"",2010,IF(VLOOKUP(B61,Data_3!$B$13:$Y$112,13,FALSE)&lt;&gt;"",2009,IF(VLOOKUP(B61,Data_3!$B$13:$Y$112,12,FALSE)&lt;&gt;"",2008,IF(VLOOKUP(B61,Data_3!$B$13:$Y$112,11,FALSE)&lt;&gt;"",2007,IF(VLOOKUP(B61,Data_3!$B$13:$Y$112,10,FALSE)&lt;&gt;"",2006,IF(VLOOKUP(B61,Data_3!$B$13:$Y$112,9,FALSE)&lt;&gt;"",2005,IF(VLOOKUP(B61,Data_3!$B$13:$Y$112,8,FALSE)&lt;&gt;"",2004,IF(VLOOKUP(B61,Data_3!$B$13:$Y$112,7,FALSE)&lt;&gt;"",2003,IF(VLOOKUP(B61,Data_3!$B$13:$Y$1126,FALSE)&lt;&gt;"",2002,IF(VLOOKUP(B61,Data_3!$B$13:$Y$112,5,FALSE)&lt;&gt;"",2001,IF(VLOOKUP(B61,Data_3!$B$13:$Y$112,4,FALSE)&lt;&gt;"",2000,"N/A"))))))))))))))))))))))</f>
        <v/>
      </c>
      <c r="D61" s="1456" t="str">
        <f t="shared" ca="1" si="0"/>
        <v/>
      </c>
      <c r="E61" s="1456"/>
      <c r="F61" s="1051">
        <f ca="1">VLOOKUP($D61,Data!$H$16:$BS$1015,F$9+1,FALSE)</f>
        <v>0</v>
      </c>
      <c r="G61" s="1051">
        <f ca="1">VLOOKUP($D61,Data!$H$16:$BS$1015,G$9+1,FALSE)</f>
        <v>0</v>
      </c>
      <c r="H61" s="1052">
        <f ca="1">VLOOKUP($D61,Data!$H$16:$BS$1015,H$9+1,FALSE)</f>
        <v>0</v>
      </c>
      <c r="I61" s="1051">
        <f ca="1">VLOOKUP($D61,Data!$H$16:$BS$1015,I$9+1,FALSE)</f>
        <v>0</v>
      </c>
      <c r="J61" s="1051">
        <f ca="1">VLOOKUP($D61,Data!$H$16:$BS$1015,J$9+1,FALSE)</f>
        <v>0</v>
      </c>
      <c r="K61" s="1052">
        <f ca="1">VLOOKUP($D61,Data!$H$16:$BS$1015,K$9+1,FALSE)</f>
        <v>0</v>
      </c>
      <c r="L61" s="1051">
        <f ca="1">VLOOKUP($D61,Data!$H$16:$BS$1015,L$9+1,FALSE)</f>
        <v>0</v>
      </c>
      <c r="M61" s="1051">
        <f ca="1">VLOOKUP($D61,Data!$H$16:$BS$1015,M$9+1,FALSE)</f>
        <v>0</v>
      </c>
      <c r="N61" s="1052">
        <f ca="1">VLOOKUP($D61,Data!$H$16:$BS$1015,N$9+1,FALSE)</f>
        <v>0</v>
      </c>
      <c r="O61" s="1051">
        <f ca="1">VLOOKUP($D61,Data!$H$16:$BS$1015,O$9+1,FALSE)</f>
        <v>0</v>
      </c>
      <c r="P61" s="1051">
        <f ca="1">VLOOKUP($D61,Data!$H$16:$BS$1015,P$9+1,FALSE)</f>
        <v>0</v>
      </c>
      <c r="Q61" s="1052">
        <f ca="1">VLOOKUP($D61,Data!$H$16:$BS$1015,Q$9+1,FALSE)</f>
        <v>0</v>
      </c>
      <c r="R61" s="1053">
        <f ca="1">VLOOKUP($D61,Data!$H$16:$BS$1015,R$9+1,FALSE)</f>
        <v>0</v>
      </c>
      <c r="S61" s="1051">
        <f ca="1">VLOOKUP($D61,Data!$H$16:$BS$1015,S$9+1,FALSE)</f>
        <v>0</v>
      </c>
      <c r="T61" s="1051">
        <f ca="1">VLOOKUP($D61,Data!$H$16:$BS$1015,T$9+1,FALSE)</f>
        <v>0</v>
      </c>
      <c r="U61" s="1052">
        <f ca="1">VLOOKUP($D61,Data!$H$16:$BS$1015,U$9+1,FALSE)</f>
        <v>0</v>
      </c>
      <c r="V61" s="1051">
        <f ca="1">VLOOKUP($D61,Data!$H$16:$BS$1015,V$9+1,FALSE)</f>
        <v>0</v>
      </c>
      <c r="W61" s="1051">
        <f ca="1">VLOOKUP($D61,Data!$H$16:$BS$1015,W$9+1,FALSE)</f>
        <v>0</v>
      </c>
      <c r="X61" s="1052">
        <f ca="1">VLOOKUP($D61,Data!$H$16:$BS$1015,X$9+1,FALSE)</f>
        <v>0</v>
      </c>
      <c r="Y61" s="1051">
        <f ca="1">VLOOKUP($D61,Data!$H$16:$BS$1015,Y$9+1,FALSE)</f>
        <v>0</v>
      </c>
      <c r="Z61" s="1051">
        <f ca="1">VLOOKUP($D61,Data!$H$16:$BS$1015,Z$9+1,FALSE)</f>
        <v>0</v>
      </c>
      <c r="AA61" s="1051">
        <f ca="1">VLOOKUP($D61,Data!$H$16:$BS$1015,AA$9+1,FALSE)</f>
        <v>0</v>
      </c>
      <c r="AB61" s="1051">
        <f ca="1">VLOOKUP($D61,Data!$H$16:$BS$1015,AB$9+1,FALSE)</f>
        <v>0</v>
      </c>
      <c r="AC61" s="1052">
        <f ca="1">VLOOKUP($D61,Data!$H$16:$BS$1015,AC$9+1,FALSE)</f>
        <v>0</v>
      </c>
      <c r="AD61" s="1051">
        <f ca="1">VLOOKUP($D61,Data!$H$16:$BS$1015,AD$9+1,FALSE)</f>
        <v>0</v>
      </c>
      <c r="AE61" s="1051">
        <f ca="1">VLOOKUP($D61,Data!$H$16:$BS$1015,AE$9+1,FALSE)</f>
        <v>0</v>
      </c>
      <c r="AF61" s="1052">
        <f ca="1">VLOOKUP($D61,Data!$H$16:$BS$1015,AF$9+1,FALSE)</f>
        <v>0</v>
      </c>
      <c r="AG61" s="1051">
        <f ca="1">VLOOKUP($D61,Data!$H$16:$BS$1015,AG$9+1,FALSE)</f>
        <v>0</v>
      </c>
      <c r="AH61" s="1051">
        <f ca="1">VLOOKUP($D61,Data!$H$16:$BS$1015,AH$9+1,FALSE)</f>
        <v>0</v>
      </c>
      <c r="AI61" s="1052">
        <f ca="1">VLOOKUP($D61,Data!$H$16:$BS$1015,AI$9+1,FALSE)</f>
        <v>0</v>
      </c>
      <c r="AJ61" s="1051">
        <f ca="1">VLOOKUP($D61,Data!$H$16:$BS$1015,AJ$9+1,FALSE)</f>
        <v>0</v>
      </c>
      <c r="AK61" s="1051">
        <f ca="1">VLOOKUP($D61,Data!$H$16:$BS$1015,AK$9+1,FALSE)</f>
        <v>0</v>
      </c>
      <c r="AL61" s="1052">
        <f ca="1">VLOOKUP($D61,Data!$H$16:$BS$1015,AL$9+1,FALSE)</f>
        <v>0</v>
      </c>
      <c r="AM61" s="1051">
        <f ca="1">VLOOKUP($D61,Data!$H$16:$BS$1015,AM$9+1,FALSE)</f>
        <v>0</v>
      </c>
      <c r="AN61" s="1051">
        <f ca="1">VLOOKUP($D61,Data!$H$16:$BS$1015,AN$9+1,FALSE)</f>
        <v>0</v>
      </c>
      <c r="AO61" s="1052">
        <f ca="1">VLOOKUP($D61,Data!$H$16:$BS$1015,AO$9+1,FALSE)</f>
        <v>0</v>
      </c>
      <c r="AP61" s="1051">
        <f ca="1">VLOOKUP($D61,Data!$H$16:$BS$1015,AP$9+1,FALSE)</f>
        <v>0</v>
      </c>
      <c r="AQ61" s="1051">
        <f ca="1">VLOOKUP($D61,Data!$H$16:$BS$1015,AQ$9+1,FALSE)</f>
        <v>0</v>
      </c>
      <c r="AR61" s="1053">
        <f ca="1">VLOOKUP($D61,Data!$H$16:$BS$1015,AR$9+1,FALSE)</f>
        <v>0</v>
      </c>
      <c r="AS61" s="1051">
        <f ca="1">VLOOKUP($D61,Data!$H$16:$BS$1015,AS$9+1,FALSE)</f>
        <v>0</v>
      </c>
      <c r="AT61" s="1051">
        <f ca="1">VLOOKUP($D61,Data!$H$16:$BS$1015,AT$9+1,FALSE)</f>
        <v>0</v>
      </c>
      <c r="AU61" s="1053">
        <f ca="1">VLOOKUP($D61,Data!$H$16:$BS$1015,AU$9+1,FALSE)</f>
        <v>0</v>
      </c>
      <c r="AV61" s="1051">
        <f ca="1">VLOOKUP($D61,Data!$H$16:$BS$1015,AV$9+1,FALSE)</f>
        <v>0</v>
      </c>
      <c r="AW61" s="1051">
        <f ca="1">VLOOKUP($D61,Data!$H$16:$BS$1015,AW$9+1,FALSE)</f>
        <v>0</v>
      </c>
      <c r="AX61" s="1053">
        <f ca="1">VLOOKUP($D61,Data!$H$16:$BS$1015,AX$9+1,FALSE)</f>
        <v>0</v>
      </c>
      <c r="AY61" s="1051">
        <f ca="1">VLOOKUP($D61,Data!$H$16:$BS$1015,AY$9+1,FALSE)</f>
        <v>0</v>
      </c>
      <c r="AZ61" s="1051">
        <f ca="1">VLOOKUP($D61,Data!$H$16:$BS$1015,AZ$9+1,FALSE)</f>
        <v>0</v>
      </c>
      <c r="BA61" s="1053">
        <f ca="1">VLOOKUP($D61,Data!$H$16:$BS$1015,BA$9+1,FALSE)</f>
        <v>0</v>
      </c>
      <c r="BB61" s="1052">
        <f ca="1">VLOOKUP($D61,Data!$H$16:$BS$1015,BB$9+1,FALSE)</f>
        <v>0</v>
      </c>
      <c r="BC61" s="1052">
        <f ca="1">VLOOKUP($D61,Data!$H$16:$BS$1015,BC$9+1,FALSE)</f>
        <v>0</v>
      </c>
      <c r="BD61" s="1052">
        <f ca="1">VLOOKUP($D61,Data!$H$16:$BS$1015,BD$9+1,FALSE)</f>
        <v>0</v>
      </c>
      <c r="BE61" s="1052">
        <f ca="1">VLOOKUP($D61,Data!$H$16:$BS$1015,BE$9+1,FALSE)</f>
        <v>0</v>
      </c>
      <c r="BF61" s="1052">
        <f ca="1">VLOOKUP($D61,Data!$H$16:$BS$1015,BF$9+1,FALSE)</f>
        <v>0</v>
      </c>
      <c r="BG61" s="1054">
        <f ca="1">VLOOKUP($D61,Data!$H$16:$BS$1015,BG$9+1,FALSE)</f>
        <v>0</v>
      </c>
      <c r="BH61" s="1051">
        <f ca="1">VLOOKUP($D61,Data!$H$16:$BS$1015,BH$9+2,FALSE)</f>
        <v>0</v>
      </c>
      <c r="BI61" s="1052">
        <f ca="1">VLOOKUP($D61,Data!$H$16:$BS$1015,BI$9+2,FALSE)</f>
        <v>0</v>
      </c>
      <c r="BJ61" s="1054">
        <f ca="1">VLOOKUP($D61,Data!$H$16:$BS$1015,BJ$9+2,FALSE)</f>
        <v>0</v>
      </c>
      <c r="BK61" s="1053">
        <f ca="1">VLOOKUP($D61,Data!$H$16:$BS$1015,BK$9+2,FALSE)</f>
        <v>0</v>
      </c>
    </row>
  </sheetData>
  <sheetProtection password="892F" sheet="1" objects="1" scenarios="1" selectLockedCells="1" selectUnlockedCells="1"/>
  <mergeCells count="2">
    <mergeCell ref="B2:B3"/>
    <mergeCell ref="X3:Y3"/>
  </mergeCells>
  <hyperlinks>
    <hyperlink ref="H3" location="Benchmark!A1" display="Benchmarking"/>
    <hyperlink ref="G3" location="Progress!A1" display="Progress!A1"/>
    <hyperlink ref="F3" location="Progress!A1" display="Progress"/>
    <hyperlink ref="D3" location="Data!A1" display="Data"/>
    <hyperlink ref="I3" location="Benchmark!A1" display="Benchmark!A1"/>
    <hyperlink ref="J3" location="'Heat map'!A1" display="Heat map"/>
    <hyperlink ref="K3" location="'Heat map'!A1" display="'Heat map'!A1"/>
    <hyperlink ref="L3" location="Overview_2!A1" display="Overview"/>
    <hyperlink ref="M3" location="Overview_2!A1" display="Overview_2!A1"/>
    <hyperlink ref="N3" location="Output!A1" display="Output"/>
    <hyperlink ref="O3" location="Output!A1" display="Output!A1"/>
  </hyperlinks>
  <pageMargins left="0.25" right="0.25" top="0.75" bottom="0.75" header="0.3" footer="0.3"/>
  <pageSetup paperSize="9" scale="10" orientation="portrait" horizontalDpi="4294967292" verticalDpi="4294967292"/>
  <headerFooter>
    <oddHeader>&amp;CTable 4.1</oddHeader>
  </headerFooter>
  <ignoredErrors>
    <ignoredError sqref="C12:C40 C41:C61 F42:BK61" emptyCellReference="1"/>
  </ignoredErrors>
  <drawing r:id="rId1"/>
  <extLst>
    <ext xmlns:mx="http://schemas.microsoft.com/office/mac/excel/2008/main" uri="{64002731-A6B0-56B0-2670-7721B7C09600}">
      <mx:PLV Mode="0" OnePage="0" WScale="71"/>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enableFormatConditionsCalculation="0">
    <tabColor theme="1" tint="4.9989318521683403E-2"/>
  </sheetPr>
  <dimension ref="A1:CO60"/>
  <sheetViews>
    <sheetView topLeftCell="BT1" workbookViewId="0">
      <selection activeCell="BW20" sqref="BW20"/>
    </sheetView>
  </sheetViews>
  <sheetFormatPr baseColWidth="10" defaultRowHeight="15" x14ac:dyDescent="0"/>
  <cols>
    <col min="1" max="10" width="18.83203125" style="129" customWidth="1"/>
    <col min="11" max="14" width="18.83203125" style="126" customWidth="1"/>
    <col min="15" max="17" width="23.6640625" style="127" customWidth="1"/>
    <col min="18" max="18" width="9.5" style="128" customWidth="1"/>
    <col min="19" max="19" width="23.6640625" style="129" customWidth="1"/>
    <col min="20" max="20" width="9.5" style="128" customWidth="1"/>
    <col min="21" max="21" width="23.6640625" style="129" customWidth="1"/>
    <col min="22" max="22" width="9.5" style="128" customWidth="1"/>
    <col min="23" max="23" width="23.6640625" style="127" customWidth="1"/>
    <col min="24" max="24" width="23.6640625" style="129" customWidth="1"/>
    <col min="25" max="25" width="9.5" style="128" customWidth="1"/>
    <col min="26" max="26" width="23.6640625" style="129" customWidth="1"/>
    <col min="27" max="27" width="9.5" style="128" customWidth="1"/>
    <col min="28" max="28" width="23.6640625" style="129" customWidth="1"/>
    <col min="29" max="29" width="9.5" style="128" customWidth="1"/>
    <col min="30" max="30" width="23.6640625" style="129" customWidth="1"/>
    <col min="31" max="31" width="9.33203125" style="128" customWidth="1"/>
    <col min="32" max="32" width="23.6640625" style="129" customWidth="1"/>
    <col min="33" max="33" width="9.5" style="130" customWidth="1"/>
    <col min="34" max="34" width="23.6640625" style="129" customWidth="1"/>
    <col min="35" max="35" width="9.5" style="130" customWidth="1"/>
    <col min="36" max="36" width="23.6640625" style="129" customWidth="1"/>
    <col min="37" max="37" width="9.5" style="130" customWidth="1"/>
    <col min="38" max="38" width="23.6640625" style="129" customWidth="1"/>
    <col min="39" max="39" width="9.5" style="130" customWidth="1"/>
    <col min="40" max="40" width="23.6640625" style="129" customWidth="1"/>
    <col min="41" max="41" width="23.6640625" style="127" customWidth="1"/>
    <col min="42" max="42" width="23.6640625" style="129" customWidth="1"/>
    <col min="43" max="43" width="9.5" style="130" customWidth="1"/>
    <col min="44" max="44" width="23.6640625" style="129" customWidth="1"/>
    <col min="45" max="45" width="9.5" style="130" customWidth="1"/>
    <col min="46" max="46" width="23.6640625" style="129" customWidth="1"/>
    <col min="47" max="47" width="9.5" style="130" customWidth="1"/>
    <col min="48" max="48" width="23.6640625" style="129" customWidth="1"/>
    <col min="49" max="49" width="9.5" style="130" customWidth="1"/>
    <col min="50" max="50" width="23.6640625" style="129" customWidth="1"/>
    <col min="51" max="51" width="9.5" style="130" customWidth="1"/>
    <col min="52" max="52" width="23.6640625" style="129" customWidth="1"/>
    <col min="53" max="55" width="18.83203125" style="126" customWidth="1"/>
    <col min="56" max="56" width="23.6640625" style="129" customWidth="1"/>
    <col min="57" max="67" width="18.83203125" style="126" customWidth="1"/>
    <col min="68" max="68" width="18.83203125" style="129" customWidth="1"/>
    <col min="69" max="69" width="18.83203125" style="126" customWidth="1"/>
    <col min="70" max="77" width="18.83203125" style="129" customWidth="1"/>
    <col min="78" max="78" width="18.83203125" style="790" customWidth="1"/>
    <col min="79" max="93" width="18.83203125" style="129" customWidth="1"/>
    <col min="94" max="16384" width="10.83203125" style="129"/>
  </cols>
  <sheetData>
    <row r="1" spans="1:93" s="138" customFormat="1" ht="30" customHeight="1">
      <c r="A1" s="2665" t="s">
        <v>288</v>
      </c>
      <c r="B1" s="2666" t="s">
        <v>288</v>
      </c>
      <c r="C1" s="2667"/>
      <c r="D1" s="2665" t="s">
        <v>786</v>
      </c>
      <c r="E1" s="2666"/>
      <c r="F1" s="2666"/>
      <c r="G1" s="2667"/>
      <c r="H1" s="204" t="s">
        <v>727</v>
      </c>
      <c r="I1" s="223"/>
      <c r="J1" s="223"/>
      <c r="K1" s="224" t="s">
        <v>787</v>
      </c>
      <c r="L1" s="2665" t="s">
        <v>836</v>
      </c>
      <c r="M1" s="2666" t="s">
        <v>288</v>
      </c>
      <c r="N1" s="2667"/>
      <c r="O1" s="2665" t="s">
        <v>4</v>
      </c>
      <c r="P1" s="2666"/>
      <c r="Q1" s="2666"/>
      <c r="R1" s="2666"/>
      <c r="S1" s="2666"/>
      <c r="T1" s="2666"/>
      <c r="U1" s="2666"/>
      <c r="V1" s="2667"/>
      <c r="W1" s="2665" t="s">
        <v>207</v>
      </c>
      <c r="X1" s="2666"/>
      <c r="Y1" s="2666"/>
      <c r="Z1" s="2666"/>
      <c r="AA1" s="2666"/>
      <c r="AB1" s="2666"/>
      <c r="AC1" s="2666"/>
      <c r="AD1" s="2666"/>
      <c r="AE1" s="2667"/>
      <c r="AF1" s="2665" t="s">
        <v>21</v>
      </c>
      <c r="AG1" s="2666"/>
      <c r="AH1" s="2666"/>
      <c r="AI1" s="2666"/>
      <c r="AJ1" s="2666"/>
      <c r="AK1" s="2666"/>
      <c r="AL1" s="2666"/>
      <c r="AM1" s="2666"/>
      <c r="AN1" s="2666"/>
      <c r="AO1" s="2667"/>
      <c r="AP1" s="2665" t="s">
        <v>208</v>
      </c>
      <c r="AQ1" s="2666"/>
      <c r="AR1" s="2666"/>
      <c r="AS1" s="2666"/>
      <c r="AT1" s="2665" t="s">
        <v>209</v>
      </c>
      <c r="AU1" s="2666"/>
      <c r="AV1" s="2666"/>
      <c r="AW1" s="2666"/>
      <c r="AX1" s="2666"/>
      <c r="AY1" s="2667"/>
      <c r="AZ1" s="147" t="s">
        <v>35</v>
      </c>
      <c r="BA1" s="2665" t="s">
        <v>721</v>
      </c>
      <c r="BB1" s="2666"/>
      <c r="BC1" s="2667"/>
      <c r="BD1" s="147" t="s">
        <v>981</v>
      </c>
      <c r="BE1" s="2669" t="s">
        <v>1433</v>
      </c>
      <c r="BF1" s="2668"/>
      <c r="BG1" s="2668"/>
      <c r="BH1" s="2668"/>
      <c r="BI1" s="2668"/>
      <c r="BJ1" s="2668"/>
      <c r="BK1" s="2668"/>
      <c r="BL1" s="2668"/>
      <c r="BM1" s="2668"/>
      <c r="BN1" s="2668"/>
      <c r="BO1" s="2668"/>
      <c r="BP1" s="2668"/>
      <c r="BQ1" s="2668"/>
      <c r="BR1" s="2668" t="s">
        <v>1489</v>
      </c>
      <c r="BS1" s="2668"/>
      <c r="BT1" s="2668" t="s">
        <v>1490</v>
      </c>
      <c r="BU1" s="2668"/>
      <c r="BV1" s="622" t="s">
        <v>1624</v>
      </c>
      <c r="BW1" s="622" t="s">
        <v>1624</v>
      </c>
      <c r="BX1" s="622" t="s">
        <v>1624</v>
      </c>
      <c r="BY1" s="622" t="s">
        <v>1654</v>
      </c>
      <c r="BZ1" s="622" t="s">
        <v>1689</v>
      </c>
      <c r="CA1" s="622" t="s">
        <v>1609</v>
      </c>
      <c r="CB1" s="622" t="s">
        <v>1782</v>
      </c>
      <c r="CC1" s="622" t="s">
        <v>1782</v>
      </c>
      <c r="CD1" s="622"/>
      <c r="CE1" s="622" t="s">
        <v>1628</v>
      </c>
      <c r="CF1" s="622"/>
      <c r="CG1" s="622"/>
      <c r="CH1" s="622"/>
      <c r="CI1" s="622"/>
      <c r="CJ1" s="622"/>
      <c r="CK1" s="622"/>
      <c r="CL1" s="622"/>
      <c r="CM1" s="622" t="s">
        <v>2463</v>
      </c>
      <c r="CN1" s="622"/>
      <c r="CO1" s="622" t="s">
        <v>1628</v>
      </c>
    </row>
    <row r="2" spans="1:93" s="143" customFormat="1" ht="44" customHeight="1">
      <c r="A2" s="139" t="s">
        <v>685</v>
      </c>
      <c r="B2" s="139" t="s">
        <v>686</v>
      </c>
      <c r="C2" s="139" t="s">
        <v>621</v>
      </c>
      <c r="D2" s="139" t="s">
        <v>785</v>
      </c>
      <c r="E2" s="139" t="s">
        <v>301</v>
      </c>
      <c r="F2" s="139" t="s">
        <v>780</v>
      </c>
      <c r="G2" s="139" t="s">
        <v>789</v>
      </c>
      <c r="H2" s="139" t="s">
        <v>780</v>
      </c>
      <c r="I2" s="222" t="s">
        <v>919</v>
      </c>
      <c r="J2" s="222" t="s">
        <v>925</v>
      </c>
      <c r="K2" s="139" t="s">
        <v>40</v>
      </c>
      <c r="L2" s="139" t="s">
        <v>178</v>
      </c>
      <c r="M2" s="139" t="s">
        <v>783</v>
      </c>
      <c r="N2" s="139" t="s">
        <v>301</v>
      </c>
      <c r="O2" s="139" t="s">
        <v>270</v>
      </c>
      <c r="P2" s="139" t="s">
        <v>271</v>
      </c>
      <c r="Q2" s="139" t="s">
        <v>600</v>
      </c>
      <c r="R2" s="140" t="s">
        <v>603</v>
      </c>
      <c r="S2" s="141" t="s">
        <v>285</v>
      </c>
      <c r="T2" s="140" t="s">
        <v>471</v>
      </c>
      <c r="U2" s="141" t="s">
        <v>286</v>
      </c>
      <c r="V2" s="140" t="s">
        <v>472</v>
      </c>
      <c r="W2" s="141" t="s">
        <v>254</v>
      </c>
      <c r="X2" s="141" t="s">
        <v>266</v>
      </c>
      <c r="Y2" s="140" t="s">
        <v>465</v>
      </c>
      <c r="Z2" s="139" t="s">
        <v>267</v>
      </c>
      <c r="AA2" s="140" t="s">
        <v>466</v>
      </c>
      <c r="AB2" s="139" t="s">
        <v>268</v>
      </c>
      <c r="AC2" s="140" t="s">
        <v>467</v>
      </c>
      <c r="AD2" s="139" t="s">
        <v>269</v>
      </c>
      <c r="AE2" s="140" t="s">
        <v>468</v>
      </c>
      <c r="AF2" s="139" t="s">
        <v>121</v>
      </c>
      <c r="AG2" s="142" t="s">
        <v>385</v>
      </c>
      <c r="AH2" s="139" t="s">
        <v>394</v>
      </c>
      <c r="AI2" s="142" t="s">
        <v>395</v>
      </c>
      <c r="AJ2" s="139" t="s">
        <v>396</v>
      </c>
      <c r="AK2" s="142" t="s">
        <v>397</v>
      </c>
      <c r="AL2" s="139" t="s">
        <v>141</v>
      </c>
      <c r="AM2" s="142" t="s">
        <v>400</v>
      </c>
      <c r="AN2" s="141" t="s">
        <v>403</v>
      </c>
      <c r="AO2" s="141" t="s">
        <v>404</v>
      </c>
      <c r="AP2" s="141" t="s">
        <v>30</v>
      </c>
      <c r="AQ2" s="142" t="s">
        <v>407</v>
      </c>
      <c r="AR2" s="139" t="s">
        <v>31</v>
      </c>
      <c r="AS2" s="142" t="s">
        <v>379</v>
      </c>
      <c r="AT2" s="141" t="s">
        <v>32</v>
      </c>
      <c r="AU2" s="140" t="s">
        <v>409</v>
      </c>
      <c r="AV2" s="141" t="s">
        <v>33</v>
      </c>
      <c r="AW2" s="140" t="s">
        <v>410</v>
      </c>
      <c r="AX2" s="141" t="s">
        <v>213</v>
      </c>
      <c r="AY2" s="140" t="s">
        <v>326</v>
      </c>
      <c r="AZ2" s="148" t="s">
        <v>3</v>
      </c>
      <c r="BA2" s="139" t="s">
        <v>730</v>
      </c>
      <c r="BB2" s="139" t="s">
        <v>724</v>
      </c>
      <c r="BC2" s="139" t="s">
        <v>728</v>
      </c>
      <c r="BD2" s="148" t="s">
        <v>722</v>
      </c>
      <c r="BE2" s="389" t="s">
        <v>1434</v>
      </c>
      <c r="BF2" s="2670" t="s">
        <v>1435</v>
      </c>
      <c r="BG2" s="2671"/>
      <c r="BH2" s="2671"/>
      <c r="BI2" s="2671"/>
      <c r="BJ2" s="2671"/>
      <c r="BK2" s="2671"/>
      <c r="BL2" s="2671"/>
      <c r="BM2" s="2671"/>
      <c r="BN2" s="2672"/>
      <c r="BO2" s="389" t="s">
        <v>621</v>
      </c>
      <c r="BP2" s="389" t="s">
        <v>1033</v>
      </c>
      <c r="BQ2" s="389" t="s">
        <v>1177</v>
      </c>
      <c r="BR2" s="389" t="s">
        <v>1455</v>
      </c>
      <c r="BS2" s="389" t="s">
        <v>1469</v>
      </c>
      <c r="BT2" s="397" t="s">
        <v>287</v>
      </c>
      <c r="BU2" s="397" t="s">
        <v>1474</v>
      </c>
      <c r="BV2" s="616" t="s">
        <v>1619</v>
      </c>
      <c r="BW2" s="616" t="s">
        <v>1620</v>
      </c>
      <c r="BX2" s="616" t="s">
        <v>1625</v>
      </c>
      <c r="BY2" s="634" t="s">
        <v>1655</v>
      </c>
      <c r="BZ2" s="738" t="s">
        <v>1620</v>
      </c>
      <c r="CA2" s="884" t="s">
        <v>919</v>
      </c>
      <c r="CB2" s="901" t="s">
        <v>1782</v>
      </c>
      <c r="CC2" s="901" t="s">
        <v>1786</v>
      </c>
      <c r="CD2" s="1083" t="s">
        <v>1910</v>
      </c>
      <c r="CE2" s="1083" t="s">
        <v>1635</v>
      </c>
      <c r="CF2" s="1083" t="s">
        <v>38</v>
      </c>
      <c r="CG2" s="1083" t="s">
        <v>1916</v>
      </c>
      <c r="CH2" s="1083" t="s">
        <v>1915</v>
      </c>
      <c r="CI2" s="1083" t="s">
        <v>1914</v>
      </c>
      <c r="CJ2" s="1484" t="s">
        <v>2524</v>
      </c>
      <c r="CK2" s="1484" t="s">
        <v>2525</v>
      </c>
      <c r="CL2" s="1083" t="s">
        <v>1655</v>
      </c>
      <c r="CM2" s="1359" t="s">
        <v>2173</v>
      </c>
      <c r="CN2" s="1488"/>
      <c r="CO2" s="1488" t="s">
        <v>2618</v>
      </c>
    </row>
    <row r="3" spans="1:93">
      <c r="B3" s="239"/>
      <c r="C3" s="239"/>
      <c r="E3" s="239"/>
      <c r="F3" s="239"/>
      <c r="G3" s="239"/>
      <c r="H3" s="239"/>
      <c r="I3" s="239"/>
      <c r="J3" s="239"/>
      <c r="AJ3" s="129" t="s">
        <v>282</v>
      </c>
      <c r="AZ3" s="127"/>
      <c r="BD3" s="127"/>
      <c r="BP3" s="126"/>
      <c r="BR3" s="126"/>
      <c r="BS3" s="126"/>
      <c r="BT3" s="126"/>
      <c r="BU3" s="126"/>
      <c r="BV3" s="126"/>
      <c r="BW3" s="126"/>
      <c r="BX3" s="126"/>
      <c r="BY3" s="126"/>
      <c r="BZ3" s="126"/>
      <c r="CL3" s="126"/>
      <c r="CM3" s="126"/>
      <c r="CN3" s="126"/>
      <c r="CO3" s="126"/>
    </row>
    <row r="4" spans="1:93">
      <c r="A4" s="157" t="s">
        <v>182</v>
      </c>
      <c r="B4" s="240" t="s">
        <v>182</v>
      </c>
      <c r="C4" s="240" t="s">
        <v>182</v>
      </c>
      <c r="D4" s="157" t="s">
        <v>182</v>
      </c>
      <c r="E4" s="240" t="s">
        <v>182</v>
      </c>
      <c r="F4" s="240" t="s">
        <v>182</v>
      </c>
      <c r="G4" s="240" t="s">
        <v>182</v>
      </c>
      <c r="H4" s="240" t="s">
        <v>182</v>
      </c>
      <c r="I4" s="240" t="s">
        <v>182</v>
      </c>
      <c r="J4" s="240" t="s">
        <v>182</v>
      </c>
      <c r="K4" s="131" t="s">
        <v>175</v>
      </c>
      <c r="L4" s="131" t="s">
        <v>179</v>
      </c>
      <c r="M4" s="131">
        <v>1000000</v>
      </c>
      <c r="N4" s="131" t="s">
        <v>303</v>
      </c>
      <c r="O4" s="132" t="s">
        <v>182</v>
      </c>
      <c r="P4" s="132" t="s">
        <v>182</v>
      </c>
      <c r="Q4" s="132" t="s">
        <v>182</v>
      </c>
      <c r="R4" s="133"/>
      <c r="S4" s="134" t="s">
        <v>182</v>
      </c>
      <c r="T4" s="133"/>
      <c r="U4" s="134" t="s">
        <v>182</v>
      </c>
      <c r="V4" s="133"/>
      <c r="W4" s="132" t="s">
        <v>182</v>
      </c>
      <c r="X4" s="134" t="s">
        <v>182</v>
      </c>
      <c r="Y4" s="133"/>
      <c r="Z4" s="134" t="s">
        <v>182</v>
      </c>
      <c r="AA4" s="133"/>
      <c r="AB4" s="134" t="s">
        <v>182</v>
      </c>
      <c r="AC4" s="133"/>
      <c r="AD4" s="134" t="s">
        <v>182</v>
      </c>
      <c r="AE4" s="133"/>
      <c r="AF4" s="134" t="s">
        <v>182</v>
      </c>
      <c r="AH4" s="134" t="s">
        <v>182</v>
      </c>
      <c r="AJ4" s="134" t="s">
        <v>182</v>
      </c>
      <c r="AL4" s="134" t="s">
        <v>182</v>
      </c>
      <c r="AN4" s="134" t="s">
        <v>182</v>
      </c>
      <c r="AO4" s="132" t="s">
        <v>182</v>
      </c>
      <c r="AP4" s="134" t="s">
        <v>182</v>
      </c>
      <c r="AR4" s="134" t="s">
        <v>182</v>
      </c>
      <c r="AS4" s="130" t="s">
        <v>379</v>
      </c>
      <c r="AT4" s="134" t="s">
        <v>182</v>
      </c>
      <c r="AV4" s="134" t="s">
        <v>182</v>
      </c>
      <c r="AX4" s="134" t="s">
        <v>182</v>
      </c>
      <c r="AZ4" s="132" t="s">
        <v>182</v>
      </c>
      <c r="BA4" s="240" t="s">
        <v>182</v>
      </c>
      <c r="BB4" s="240" t="s">
        <v>182</v>
      </c>
      <c r="BC4" s="240" t="s">
        <v>182</v>
      </c>
      <c r="BD4" s="272" t="s">
        <v>982</v>
      </c>
      <c r="BE4" s="240" t="s">
        <v>182</v>
      </c>
      <c r="BF4" s="240"/>
      <c r="BG4" s="240"/>
      <c r="BH4" s="240"/>
      <c r="BI4" s="240"/>
      <c r="BJ4" s="240"/>
      <c r="BK4" s="240"/>
      <c r="BL4" s="240"/>
      <c r="BM4" s="240"/>
      <c r="BN4" s="240"/>
      <c r="BO4" s="240" t="s">
        <v>182</v>
      </c>
      <c r="BP4" s="240" t="s">
        <v>182</v>
      </c>
      <c r="BQ4" s="240" t="s">
        <v>182</v>
      </c>
      <c r="BR4" s="240" t="s">
        <v>182</v>
      </c>
      <c r="BS4" s="240" t="s">
        <v>182</v>
      </c>
      <c r="BT4" s="240" t="s">
        <v>182</v>
      </c>
      <c r="BU4" s="240" t="s">
        <v>182</v>
      </c>
      <c r="BV4" s="240" t="s">
        <v>182</v>
      </c>
      <c r="BW4" s="240" t="s">
        <v>182</v>
      </c>
      <c r="BX4" s="240" t="s">
        <v>182</v>
      </c>
      <c r="BY4" s="240" t="s">
        <v>182</v>
      </c>
      <c r="BZ4" s="789" t="s">
        <v>182</v>
      </c>
      <c r="CA4" s="892" t="s">
        <v>182</v>
      </c>
      <c r="CB4" s="892" t="s">
        <v>182</v>
      </c>
      <c r="CC4" s="892" t="s">
        <v>182</v>
      </c>
      <c r="CD4" s="892" t="s">
        <v>182</v>
      </c>
      <c r="CE4" s="892" t="s">
        <v>182</v>
      </c>
      <c r="CF4" s="892" t="s">
        <v>1646</v>
      </c>
      <c r="CG4" s="892" t="s">
        <v>182</v>
      </c>
      <c r="CH4" s="892" t="s">
        <v>182</v>
      </c>
      <c r="CI4" s="892" t="s">
        <v>182</v>
      </c>
      <c r="CJ4" s="892"/>
      <c r="CK4" s="892"/>
      <c r="CL4" s="240" t="s">
        <v>1646</v>
      </c>
      <c r="CM4" s="240" t="s">
        <v>182</v>
      </c>
      <c r="CN4" s="240"/>
      <c r="CO4" s="240" t="s">
        <v>182</v>
      </c>
    </row>
    <row r="5" spans="1:93">
      <c r="A5" s="151" t="s">
        <v>687</v>
      </c>
      <c r="B5" s="239" t="s">
        <v>690</v>
      </c>
      <c r="C5" s="239" t="s">
        <v>693</v>
      </c>
      <c r="D5" s="129" t="s">
        <v>172</v>
      </c>
      <c r="E5" s="239" t="s">
        <v>303</v>
      </c>
      <c r="F5" s="239" t="s">
        <v>799</v>
      </c>
      <c r="G5" s="239" t="s">
        <v>796</v>
      </c>
      <c r="H5" s="239" t="s">
        <v>837</v>
      </c>
      <c r="I5" s="239" t="s">
        <v>923</v>
      </c>
      <c r="J5" s="239" t="s">
        <v>983</v>
      </c>
      <c r="K5" s="131" t="s">
        <v>176</v>
      </c>
      <c r="L5" s="131" t="s">
        <v>180</v>
      </c>
      <c r="M5" s="131">
        <v>100000</v>
      </c>
      <c r="N5" s="126" t="s">
        <v>304</v>
      </c>
      <c r="O5" s="127" t="s">
        <v>593</v>
      </c>
      <c r="P5" s="127" t="s">
        <v>183</v>
      </c>
      <c r="Q5" s="127" t="s">
        <v>601</v>
      </c>
      <c r="R5" s="128" t="s">
        <v>602</v>
      </c>
      <c r="S5" s="129" t="s">
        <v>283</v>
      </c>
      <c r="T5" s="128" t="s">
        <v>471</v>
      </c>
      <c r="U5" s="129" t="s">
        <v>283</v>
      </c>
      <c r="V5" s="128" t="s">
        <v>472</v>
      </c>
      <c r="W5" s="127" t="s">
        <v>255</v>
      </c>
      <c r="X5" s="135" t="s">
        <v>613</v>
      </c>
      <c r="Z5" s="129" t="s">
        <v>608</v>
      </c>
      <c r="AB5" s="129" t="s">
        <v>613</v>
      </c>
      <c r="AD5" s="129" t="s">
        <v>190</v>
      </c>
      <c r="AF5" s="129" t="s">
        <v>391</v>
      </c>
      <c r="AG5" s="130" t="s">
        <v>390</v>
      </c>
      <c r="AH5" s="129" t="s">
        <v>214</v>
      </c>
      <c r="AJ5" s="129" t="s">
        <v>406</v>
      </c>
      <c r="AK5" s="130" t="s">
        <v>398</v>
      </c>
      <c r="AL5" s="129" t="s">
        <v>212</v>
      </c>
      <c r="AM5" s="130" t="s">
        <v>400</v>
      </c>
      <c r="AN5" s="129" t="s">
        <v>274</v>
      </c>
      <c r="AO5" s="127" t="s">
        <v>214</v>
      </c>
      <c r="AP5" s="135" t="s">
        <v>575</v>
      </c>
      <c r="AQ5" s="130" t="s">
        <v>407</v>
      </c>
      <c r="AR5" s="135" t="s">
        <v>574</v>
      </c>
      <c r="AS5" s="130" t="s">
        <v>502</v>
      </c>
      <c r="AT5" s="129" t="s">
        <v>572</v>
      </c>
      <c r="AU5" s="130" t="s">
        <v>409</v>
      </c>
      <c r="AV5" s="135" t="s">
        <v>573</v>
      </c>
      <c r="AW5" s="130" t="s">
        <v>410</v>
      </c>
      <c r="AX5" s="129" t="s">
        <v>321</v>
      </c>
      <c r="AY5" s="130" t="s">
        <v>327</v>
      </c>
      <c r="AZ5" s="127" t="s">
        <v>628</v>
      </c>
      <c r="BA5" s="239" t="s">
        <v>746</v>
      </c>
      <c r="BB5" s="239" t="s">
        <v>731</v>
      </c>
      <c r="BC5" s="239" t="s">
        <v>738</v>
      </c>
      <c r="BD5" s="127"/>
      <c r="BE5" s="390" t="s">
        <v>1027</v>
      </c>
      <c r="BF5" s="240" t="s">
        <v>182</v>
      </c>
      <c r="BG5" s="390" t="s">
        <v>1124</v>
      </c>
      <c r="BH5" s="390" t="s">
        <v>1125</v>
      </c>
      <c r="BI5" s="390" t="s">
        <v>1126</v>
      </c>
      <c r="BJ5" s="390" t="s">
        <v>1030</v>
      </c>
      <c r="BK5" s="390"/>
      <c r="BL5" s="239"/>
      <c r="BM5" s="239"/>
      <c r="BN5" s="239"/>
      <c r="BO5" s="239" t="s">
        <v>1437</v>
      </c>
      <c r="BP5" s="129" t="s">
        <v>1033</v>
      </c>
      <c r="BQ5" s="129" t="s">
        <v>1180</v>
      </c>
      <c r="BR5" s="129" t="s">
        <v>904</v>
      </c>
      <c r="BS5" s="129" t="s">
        <v>1436</v>
      </c>
      <c r="BT5" s="129" t="s">
        <v>1475</v>
      </c>
      <c r="BU5" s="129" t="s">
        <v>278</v>
      </c>
      <c r="BV5" s="129" t="s">
        <v>1620</v>
      </c>
      <c r="BW5" s="623">
        <v>1990</v>
      </c>
      <c r="BX5" s="623">
        <v>2015</v>
      </c>
      <c r="BY5" s="129" t="s">
        <v>1027</v>
      </c>
      <c r="BZ5" s="790">
        <v>2000</v>
      </c>
      <c r="CA5" s="893" t="s">
        <v>1617</v>
      </c>
      <c r="CB5" s="893" t="s">
        <v>759</v>
      </c>
      <c r="CC5" s="893" t="s">
        <v>1785</v>
      </c>
      <c r="CD5" s="893" t="s">
        <v>759</v>
      </c>
      <c r="CE5" s="893" t="s">
        <v>172</v>
      </c>
      <c r="CF5" s="893" t="s">
        <v>1</v>
      </c>
      <c r="CG5" s="893" t="s">
        <v>765</v>
      </c>
      <c r="CH5" s="893" t="s">
        <v>16</v>
      </c>
      <c r="CI5" s="893" t="s">
        <v>1898</v>
      </c>
      <c r="CJ5" s="893"/>
      <c r="CK5" s="893"/>
      <c r="CL5" s="129" t="s">
        <v>1027</v>
      </c>
      <c r="CM5" s="623">
        <v>2000</v>
      </c>
      <c r="CN5" s="623"/>
      <c r="CO5" s="623" t="s">
        <v>2619</v>
      </c>
    </row>
    <row r="6" spans="1:93">
      <c r="A6" s="151" t="s">
        <v>688</v>
      </c>
      <c r="B6" s="239" t="s">
        <v>692</v>
      </c>
      <c r="C6" s="239" t="s">
        <v>694</v>
      </c>
      <c r="D6" s="129" t="s">
        <v>173</v>
      </c>
      <c r="E6" s="239" t="s">
        <v>309</v>
      </c>
      <c r="F6" s="239" t="s">
        <v>802</v>
      </c>
      <c r="G6" s="239" t="s">
        <v>797</v>
      </c>
      <c r="H6" s="239" t="s">
        <v>838</v>
      </c>
      <c r="I6" s="239" t="s">
        <v>922</v>
      </c>
      <c r="J6" s="239" t="s">
        <v>784</v>
      </c>
      <c r="K6" s="131" t="s">
        <v>177</v>
      </c>
      <c r="L6" s="131" t="s">
        <v>181</v>
      </c>
      <c r="M6" s="131">
        <v>10000</v>
      </c>
      <c r="N6" s="126" t="s">
        <v>305</v>
      </c>
      <c r="O6" s="127" t="s">
        <v>613</v>
      </c>
      <c r="P6" s="127" t="s">
        <v>595</v>
      </c>
      <c r="Q6" s="127" t="s">
        <v>607</v>
      </c>
      <c r="R6" s="128" t="s">
        <v>605</v>
      </c>
      <c r="S6" s="152" t="s">
        <v>669</v>
      </c>
      <c r="T6" s="128" t="s">
        <v>668</v>
      </c>
      <c r="U6" s="129" t="s">
        <v>632</v>
      </c>
      <c r="V6" s="128" t="s">
        <v>633</v>
      </c>
      <c r="W6" s="127" t="s">
        <v>256</v>
      </c>
      <c r="X6" s="135" t="s">
        <v>615</v>
      </c>
      <c r="Z6" s="129" t="s">
        <v>183</v>
      </c>
      <c r="AB6" s="136" t="s">
        <v>615</v>
      </c>
      <c r="AD6" s="129" t="s">
        <v>576</v>
      </c>
      <c r="AF6" s="129" t="s">
        <v>392</v>
      </c>
      <c r="AG6" s="130" t="s">
        <v>390</v>
      </c>
      <c r="AH6" s="129" t="s">
        <v>278</v>
      </c>
      <c r="AJ6" s="129" t="s">
        <v>405</v>
      </c>
      <c r="AK6" s="130" t="s">
        <v>399</v>
      </c>
      <c r="AL6" s="129" t="s">
        <v>210</v>
      </c>
      <c r="AM6" s="130" t="s">
        <v>401</v>
      </c>
      <c r="AN6" s="129" t="s">
        <v>275</v>
      </c>
      <c r="AO6" s="127" t="s">
        <v>281</v>
      </c>
      <c r="AP6" s="135" t="s">
        <v>474</v>
      </c>
      <c r="AQ6" s="130" t="s">
        <v>473</v>
      </c>
      <c r="AR6" s="135" t="s">
        <v>524</v>
      </c>
      <c r="AS6" s="130" t="s">
        <v>502</v>
      </c>
      <c r="AT6" s="135" t="s">
        <v>198</v>
      </c>
      <c r="AU6" s="130" t="s">
        <v>455</v>
      </c>
      <c r="AV6" s="135" t="s">
        <v>411</v>
      </c>
      <c r="AW6" s="130" t="s">
        <v>412</v>
      </c>
      <c r="AX6" s="129" t="s">
        <v>526</v>
      </c>
      <c r="AY6" s="130" t="s">
        <v>328</v>
      </c>
      <c r="AZ6" s="127" t="s">
        <v>630</v>
      </c>
      <c r="BA6" s="239" t="s">
        <v>745</v>
      </c>
      <c r="BB6" s="239" t="s">
        <v>732</v>
      </c>
      <c r="BC6" s="199" t="s">
        <v>739</v>
      </c>
      <c r="BD6" s="127"/>
      <c r="BE6" s="390" t="s">
        <v>1125</v>
      </c>
      <c r="BF6" s="391" t="s">
        <v>182</v>
      </c>
      <c r="BG6" s="240" t="s">
        <v>1125</v>
      </c>
      <c r="BH6" s="390"/>
      <c r="BI6" s="390"/>
      <c r="BJ6" s="390"/>
      <c r="BK6" s="390"/>
      <c r="BL6" s="239"/>
      <c r="BM6" s="239"/>
      <c r="BN6" s="239"/>
      <c r="BO6" s="199" t="s">
        <v>1042</v>
      </c>
      <c r="BP6" s="129" t="s">
        <v>1439</v>
      </c>
      <c r="BQ6" s="129" t="s">
        <v>1183</v>
      </c>
      <c r="BR6" s="129" t="s">
        <v>921</v>
      </c>
      <c r="BS6" s="129" t="s">
        <v>1438</v>
      </c>
      <c r="BT6" s="129" t="s">
        <v>1476</v>
      </c>
      <c r="BU6" s="129" t="s">
        <v>279</v>
      </c>
      <c r="BV6" s="129" t="s">
        <v>1621</v>
      </c>
      <c r="BW6" s="623">
        <v>1991</v>
      </c>
      <c r="BX6" s="624">
        <v>2016</v>
      </c>
      <c r="BY6" s="129" t="s">
        <v>1644</v>
      </c>
      <c r="BZ6" s="790">
        <v>2001</v>
      </c>
      <c r="CA6" s="893" t="s">
        <v>1618</v>
      </c>
      <c r="CB6" s="893" t="s">
        <v>760</v>
      </c>
      <c r="CC6" s="893" t="s">
        <v>798</v>
      </c>
      <c r="CD6" s="893" t="s">
        <v>760</v>
      </c>
      <c r="CE6" s="893" t="s">
        <v>173</v>
      </c>
      <c r="CF6" s="893" t="s">
        <v>2</v>
      </c>
      <c r="CG6" s="893" t="s">
        <v>1709</v>
      </c>
      <c r="CH6" s="893" t="s">
        <v>267</v>
      </c>
      <c r="CI6" s="893" t="s">
        <v>1706</v>
      </c>
      <c r="CJ6" s="893"/>
      <c r="CK6" s="893"/>
      <c r="CL6" s="129" t="s">
        <v>1644</v>
      </c>
      <c r="CM6" s="623">
        <v>2001</v>
      </c>
      <c r="CN6" s="623"/>
      <c r="CO6" s="623">
        <v>2000</v>
      </c>
    </row>
    <row r="7" spans="1:93">
      <c r="A7" s="151" t="s">
        <v>689</v>
      </c>
      <c r="B7" s="239" t="s">
        <v>691</v>
      </c>
      <c r="C7" s="239" t="s">
        <v>695</v>
      </c>
      <c r="E7" s="239" t="s">
        <v>319</v>
      </c>
      <c r="F7" s="239" t="s">
        <v>801</v>
      </c>
      <c r="G7" s="239" t="s">
        <v>798</v>
      </c>
      <c r="H7" s="239" t="s">
        <v>839</v>
      </c>
      <c r="I7" s="239"/>
      <c r="J7" s="239" t="s">
        <v>890</v>
      </c>
      <c r="K7" s="131" t="s">
        <v>215</v>
      </c>
      <c r="L7" s="131"/>
      <c r="M7" s="131">
        <v>1000</v>
      </c>
      <c r="N7" s="126" t="s">
        <v>306</v>
      </c>
      <c r="O7" s="127" t="s">
        <v>617</v>
      </c>
      <c r="P7" s="127" t="s">
        <v>184</v>
      </c>
      <c r="Q7" s="127" t="s">
        <v>604</v>
      </c>
      <c r="R7" s="128" t="s">
        <v>606</v>
      </c>
      <c r="S7" s="152" t="s">
        <v>670</v>
      </c>
      <c r="T7" s="128" t="s">
        <v>667</v>
      </c>
      <c r="U7" s="129" t="s">
        <v>634</v>
      </c>
      <c r="V7" s="128" t="s">
        <v>636</v>
      </c>
      <c r="W7" s="127" t="s">
        <v>816</v>
      </c>
      <c r="X7" s="135" t="s">
        <v>608</v>
      </c>
      <c r="Z7" s="129" t="s">
        <v>262</v>
      </c>
      <c r="AB7" s="129" t="s">
        <v>608</v>
      </c>
      <c r="AD7" s="129" t="s">
        <v>191</v>
      </c>
      <c r="AF7" s="129" t="s">
        <v>393</v>
      </c>
      <c r="AG7" s="130" t="s">
        <v>390</v>
      </c>
      <c r="AH7" s="129" t="s">
        <v>279</v>
      </c>
      <c r="AL7" s="129" t="s">
        <v>211</v>
      </c>
      <c r="AM7" s="130" t="s">
        <v>402</v>
      </c>
      <c r="AN7" s="129" t="s">
        <v>276</v>
      </c>
      <c r="AO7" s="127" t="s">
        <v>280</v>
      </c>
      <c r="AP7" s="135" t="s">
        <v>475</v>
      </c>
      <c r="AQ7" s="130" t="s">
        <v>346</v>
      </c>
      <c r="AR7" s="135" t="s">
        <v>498</v>
      </c>
      <c r="AS7" s="130" t="s">
        <v>365</v>
      </c>
      <c r="AT7" s="135" t="s">
        <v>199</v>
      </c>
      <c r="AU7" s="130" t="s">
        <v>456</v>
      </c>
      <c r="AV7" s="135" t="s">
        <v>530</v>
      </c>
      <c r="AW7" s="130" t="s">
        <v>423</v>
      </c>
      <c r="AX7" s="129" t="s">
        <v>527</v>
      </c>
      <c r="AY7" s="130" t="s">
        <v>329</v>
      </c>
      <c r="AZ7" s="127" t="s">
        <v>631</v>
      </c>
      <c r="BA7" s="199" t="s">
        <v>320</v>
      </c>
      <c r="BB7" s="239" t="s">
        <v>733</v>
      </c>
      <c r="BC7" s="199" t="s">
        <v>740</v>
      </c>
      <c r="BD7" s="127"/>
      <c r="BE7" s="392" t="s">
        <v>1170</v>
      </c>
      <c r="BF7" s="391" t="s">
        <v>182</v>
      </c>
      <c r="BG7" s="392" t="s">
        <v>1128</v>
      </c>
      <c r="BH7" s="392" t="s">
        <v>1129</v>
      </c>
      <c r="BI7" s="392" t="s">
        <v>1130</v>
      </c>
      <c r="BJ7" s="392" t="s">
        <v>1131</v>
      </c>
      <c r="BK7" s="392" t="s">
        <v>1132</v>
      </c>
      <c r="BL7" s="239" t="s">
        <v>1133</v>
      </c>
      <c r="BM7" s="239" t="s">
        <v>1145</v>
      </c>
      <c r="BN7" s="239" t="s">
        <v>1147</v>
      </c>
      <c r="BO7" s="199"/>
      <c r="BQ7" s="129" t="s">
        <v>1186</v>
      </c>
      <c r="BR7" s="129" t="s">
        <v>1456</v>
      </c>
      <c r="BV7" s="129" t="s">
        <v>1622</v>
      </c>
      <c r="BW7" s="623">
        <v>1992</v>
      </c>
      <c r="BX7" s="623">
        <v>2017</v>
      </c>
      <c r="BY7" s="129" t="s">
        <v>1134</v>
      </c>
      <c r="BZ7" s="790">
        <v>2002</v>
      </c>
      <c r="CA7" s="893" t="s">
        <v>1638</v>
      </c>
      <c r="CB7" s="893" t="s">
        <v>761</v>
      </c>
      <c r="CC7" s="893"/>
      <c r="CD7" s="893" t="s">
        <v>761</v>
      </c>
      <c r="CE7" s="893" t="s">
        <v>1714</v>
      </c>
      <c r="CF7" s="893" t="s">
        <v>3</v>
      </c>
      <c r="CG7" s="893" t="s">
        <v>1710</v>
      </c>
      <c r="CH7" s="893" t="s">
        <v>268</v>
      </c>
      <c r="CI7" s="893" t="s">
        <v>1605</v>
      </c>
      <c r="CJ7" s="893"/>
      <c r="CK7" s="893"/>
      <c r="CL7" s="129" t="s">
        <v>1134</v>
      </c>
      <c r="CM7" s="623">
        <v>2002</v>
      </c>
      <c r="CN7" s="623"/>
      <c r="CO7" s="623">
        <v>2001</v>
      </c>
    </row>
    <row r="8" spans="1:93">
      <c r="A8" s="151" t="s">
        <v>320</v>
      </c>
      <c r="B8" s="239" t="s">
        <v>320</v>
      </c>
      <c r="C8" s="239" t="s">
        <v>696</v>
      </c>
      <c r="E8" s="239"/>
      <c r="F8" s="239" t="s">
        <v>800</v>
      </c>
      <c r="G8" s="239"/>
      <c r="H8" s="239" t="s">
        <v>840</v>
      </c>
      <c r="I8" s="239"/>
      <c r="J8" s="239" t="s">
        <v>891</v>
      </c>
      <c r="M8" s="126">
        <v>100</v>
      </c>
      <c r="N8" s="126" t="s">
        <v>307</v>
      </c>
      <c r="O8" s="127" t="s">
        <v>615</v>
      </c>
      <c r="P8" s="127" t="s">
        <v>596</v>
      </c>
      <c r="Q8" s="127" t="s">
        <v>320</v>
      </c>
      <c r="S8" s="152" t="s">
        <v>671</v>
      </c>
      <c r="T8" s="128" t="s">
        <v>664</v>
      </c>
      <c r="U8" s="129" t="s">
        <v>635</v>
      </c>
      <c r="V8" s="128" t="s">
        <v>637</v>
      </c>
      <c r="W8" s="127" t="s">
        <v>257</v>
      </c>
      <c r="X8" s="135" t="s">
        <v>189</v>
      </c>
      <c r="Z8" s="129" t="s">
        <v>263</v>
      </c>
      <c r="AB8" s="129" t="s">
        <v>189</v>
      </c>
      <c r="AD8" s="129" t="s">
        <v>183</v>
      </c>
      <c r="AF8" s="129" t="s">
        <v>386</v>
      </c>
      <c r="AG8" s="130" t="s">
        <v>387</v>
      </c>
      <c r="AH8" s="137" t="s">
        <v>320</v>
      </c>
      <c r="AN8" s="129" t="s">
        <v>277</v>
      </c>
      <c r="AO8" s="127" t="s">
        <v>276</v>
      </c>
      <c r="AP8" s="135" t="s">
        <v>476</v>
      </c>
      <c r="AQ8" s="130" t="s">
        <v>346</v>
      </c>
      <c r="AR8" s="135" t="s">
        <v>499</v>
      </c>
      <c r="AS8" s="130" t="s">
        <v>366</v>
      </c>
      <c r="AT8" s="135" t="s">
        <v>200</v>
      </c>
      <c r="AU8" s="130" t="s">
        <v>457</v>
      </c>
      <c r="AV8" s="135" t="s">
        <v>531</v>
      </c>
      <c r="AW8" s="130" t="s">
        <v>424</v>
      </c>
      <c r="AX8" s="129" t="s">
        <v>528</v>
      </c>
      <c r="AY8" s="130" t="s">
        <v>330</v>
      </c>
      <c r="AZ8" s="127" t="s">
        <v>629</v>
      </c>
      <c r="BA8" s="199"/>
      <c r="BB8" s="239" t="s">
        <v>734</v>
      </c>
      <c r="BC8" s="199" t="s">
        <v>741</v>
      </c>
      <c r="BD8" s="127"/>
      <c r="BE8" s="392" t="s">
        <v>1129</v>
      </c>
      <c r="BF8" s="391" t="s">
        <v>182</v>
      </c>
      <c r="BG8" s="391" t="s">
        <v>1129</v>
      </c>
      <c r="BH8" s="392"/>
      <c r="BI8" s="392"/>
      <c r="BJ8" s="392"/>
      <c r="BK8" s="392"/>
      <c r="BL8" s="239"/>
      <c r="BM8" s="239"/>
      <c r="BN8" s="239"/>
      <c r="BO8" s="199"/>
      <c r="BQ8" s="129" t="s">
        <v>1189</v>
      </c>
      <c r="BR8" s="129" t="s">
        <v>880</v>
      </c>
      <c r="BV8" s="129" t="s">
        <v>1623</v>
      </c>
      <c r="BW8" s="623">
        <v>1993</v>
      </c>
      <c r="BX8" s="624">
        <v>2018</v>
      </c>
      <c r="BY8" s="129" t="s">
        <v>1641</v>
      </c>
      <c r="BZ8" s="790">
        <v>2003</v>
      </c>
      <c r="CA8" s="893" t="s">
        <v>2614</v>
      </c>
      <c r="CB8" s="893" t="s">
        <v>208</v>
      </c>
      <c r="CC8" s="893"/>
      <c r="CD8" s="893" t="s">
        <v>208</v>
      </c>
      <c r="CE8" s="893"/>
      <c r="CF8" s="893"/>
      <c r="CG8" s="893" t="s">
        <v>1711</v>
      </c>
      <c r="CH8" s="893" t="s">
        <v>269</v>
      </c>
      <c r="CI8" s="893" t="s">
        <v>775</v>
      </c>
      <c r="CJ8" s="893"/>
      <c r="CK8" s="893"/>
      <c r="CL8" s="129" t="s">
        <v>1641</v>
      </c>
      <c r="CM8" s="623">
        <v>2003</v>
      </c>
      <c r="CN8" s="623"/>
      <c r="CO8" s="623">
        <v>2002</v>
      </c>
    </row>
    <row r="9" spans="1:93">
      <c r="B9" s="239"/>
      <c r="C9" s="239" t="s">
        <v>710</v>
      </c>
      <c r="E9" s="239"/>
      <c r="F9" s="239"/>
      <c r="G9" s="239"/>
      <c r="H9" s="239"/>
      <c r="I9" s="239"/>
      <c r="J9" s="239" t="s">
        <v>892</v>
      </c>
      <c r="M9" s="126">
        <v>10</v>
      </c>
      <c r="N9" s="126" t="s">
        <v>308</v>
      </c>
      <c r="O9" s="127" t="s">
        <v>616</v>
      </c>
      <c r="P9" s="127" t="s">
        <v>185</v>
      </c>
      <c r="S9" s="152" t="s">
        <v>672</v>
      </c>
      <c r="T9" s="128" t="s">
        <v>673</v>
      </c>
      <c r="U9" s="152" t="s">
        <v>642</v>
      </c>
      <c r="V9" s="128" t="s">
        <v>649</v>
      </c>
      <c r="X9" s="135" t="s">
        <v>192</v>
      </c>
      <c r="Z9" s="129" t="s">
        <v>264</v>
      </c>
      <c r="AB9" s="129" t="s">
        <v>192</v>
      </c>
      <c r="AD9" s="129" t="s">
        <v>262</v>
      </c>
      <c r="AF9" s="129" t="s">
        <v>388</v>
      </c>
      <c r="AG9" s="130" t="s">
        <v>389</v>
      </c>
      <c r="AN9" s="129" t="s">
        <v>320</v>
      </c>
      <c r="AO9" s="127" t="s">
        <v>320</v>
      </c>
      <c r="AP9" s="135" t="s">
        <v>480</v>
      </c>
      <c r="AQ9" s="130" t="s">
        <v>347</v>
      </c>
      <c r="AR9" s="135" t="s">
        <v>500</v>
      </c>
      <c r="AS9" s="130" t="s">
        <v>367</v>
      </c>
      <c r="AT9" s="135" t="s">
        <v>201</v>
      </c>
      <c r="AU9" s="130" t="s">
        <v>458</v>
      </c>
      <c r="AV9" s="135" t="s">
        <v>532</v>
      </c>
      <c r="AW9" s="130" t="s">
        <v>425</v>
      </c>
      <c r="AX9" s="129" t="s">
        <v>529</v>
      </c>
      <c r="AY9" s="130" t="s">
        <v>331</v>
      </c>
      <c r="AZ9" s="127" t="s">
        <v>320</v>
      </c>
      <c r="BA9" s="199"/>
      <c r="BB9" s="199" t="s">
        <v>735</v>
      </c>
      <c r="BC9" s="199" t="s">
        <v>742</v>
      </c>
      <c r="BD9" s="127"/>
      <c r="BE9" s="392" t="s">
        <v>1133</v>
      </c>
      <c r="BF9" s="391" t="s">
        <v>182</v>
      </c>
      <c r="BG9" s="398" t="s">
        <v>1133</v>
      </c>
      <c r="BH9" s="392"/>
      <c r="BI9" s="392"/>
      <c r="BJ9" s="392"/>
      <c r="BK9" s="392"/>
      <c r="BL9" s="240"/>
      <c r="BM9" s="240"/>
      <c r="BN9" s="240"/>
      <c r="BO9" s="199"/>
      <c r="BQ9" s="129" t="s">
        <v>1192</v>
      </c>
      <c r="BR9" s="129" t="s">
        <v>1457</v>
      </c>
      <c r="BW9" s="623">
        <v>1994</v>
      </c>
      <c r="BX9" s="623">
        <v>2019</v>
      </c>
      <c r="BY9" s="129" t="s">
        <v>1141</v>
      </c>
      <c r="BZ9" s="790">
        <v>2004</v>
      </c>
      <c r="CA9" s="893"/>
      <c r="CB9" s="893" t="s">
        <v>209</v>
      </c>
      <c r="CC9" s="893"/>
      <c r="CD9" s="893" t="s">
        <v>209</v>
      </c>
      <c r="CE9" s="893"/>
      <c r="CF9" s="893"/>
      <c r="CG9" s="893" t="s">
        <v>768</v>
      </c>
      <c r="CH9" s="893" t="s">
        <v>20</v>
      </c>
      <c r="CI9" s="893"/>
      <c r="CJ9" s="893"/>
      <c r="CK9" s="893"/>
      <c r="CL9" s="129" t="s">
        <v>1141</v>
      </c>
      <c r="CM9" s="623">
        <v>2004</v>
      </c>
      <c r="CN9" s="623"/>
      <c r="CO9" s="623">
        <v>2003</v>
      </c>
    </row>
    <row r="10" spans="1:93">
      <c r="B10" s="239"/>
      <c r="C10" s="239" t="s">
        <v>711</v>
      </c>
      <c r="E10" s="239"/>
      <c r="F10" s="239"/>
      <c r="G10" s="239"/>
      <c r="H10" s="239"/>
      <c r="I10" s="239"/>
      <c r="J10" s="239" t="s">
        <v>893</v>
      </c>
      <c r="M10" s="126">
        <v>1</v>
      </c>
      <c r="N10" s="126" t="s">
        <v>309</v>
      </c>
      <c r="O10" s="127" t="s">
        <v>189</v>
      </c>
      <c r="P10" s="127" t="s">
        <v>597</v>
      </c>
      <c r="S10" s="152" t="s">
        <v>680</v>
      </c>
      <c r="T10" s="128" t="s">
        <v>469</v>
      </c>
      <c r="U10" s="152" t="s">
        <v>643</v>
      </c>
      <c r="V10" s="128" t="s">
        <v>650</v>
      </c>
      <c r="X10" s="136" t="s">
        <v>592</v>
      </c>
      <c r="Z10" s="129" t="s">
        <v>272</v>
      </c>
      <c r="AB10" s="136" t="s">
        <v>592</v>
      </c>
      <c r="AD10" s="129" t="s">
        <v>263</v>
      </c>
      <c r="AP10" s="136" t="s">
        <v>481</v>
      </c>
      <c r="AQ10" s="130" t="s">
        <v>357</v>
      </c>
      <c r="AR10" s="135" t="s">
        <v>511</v>
      </c>
      <c r="AS10" s="130" t="s">
        <v>501</v>
      </c>
      <c r="AT10" s="135" t="s">
        <v>202</v>
      </c>
      <c r="AU10" s="130" t="s">
        <v>459</v>
      </c>
      <c r="AV10" s="135" t="s">
        <v>533</v>
      </c>
      <c r="AW10" s="130" t="s">
        <v>427</v>
      </c>
      <c r="AX10" s="129" t="s">
        <v>322</v>
      </c>
      <c r="AY10" s="130" t="s">
        <v>332</v>
      </c>
      <c r="AZ10" s="127"/>
      <c r="BA10" s="199"/>
      <c r="BB10" s="199" t="s">
        <v>736</v>
      </c>
      <c r="BC10" s="199" t="s">
        <v>320</v>
      </c>
      <c r="BD10" s="127"/>
      <c r="BE10" s="392" t="s">
        <v>1145</v>
      </c>
      <c r="BF10" s="391" t="s">
        <v>182</v>
      </c>
      <c r="BG10" s="392" t="s">
        <v>1145</v>
      </c>
      <c r="BH10" s="392"/>
      <c r="BI10" s="392"/>
      <c r="BJ10" s="392"/>
      <c r="BK10" s="392"/>
      <c r="BL10" s="199"/>
      <c r="BM10" s="199"/>
      <c r="BN10" s="199"/>
      <c r="BO10" s="199"/>
      <c r="BQ10" s="129" t="s">
        <v>1194</v>
      </c>
      <c r="BR10" s="129" t="s">
        <v>877</v>
      </c>
      <c r="BW10" s="623">
        <v>1995</v>
      </c>
      <c r="BX10" s="624">
        <v>2020</v>
      </c>
      <c r="BY10" s="129" t="s">
        <v>1656</v>
      </c>
      <c r="BZ10" s="790">
        <v>2005</v>
      </c>
      <c r="CB10" s="129" t="s">
        <v>762</v>
      </c>
      <c r="CD10" s="129" t="s">
        <v>762</v>
      </c>
      <c r="CG10" s="129" t="s">
        <v>1712</v>
      </c>
      <c r="CL10" s="129" t="s">
        <v>1656</v>
      </c>
      <c r="CM10" s="623">
        <v>2005</v>
      </c>
      <c r="CN10" s="623"/>
      <c r="CO10" s="623">
        <v>2004</v>
      </c>
    </row>
    <row r="11" spans="1:93">
      <c r="B11" s="239"/>
      <c r="C11" s="239" t="s">
        <v>697</v>
      </c>
      <c r="E11" s="239"/>
      <c r="F11" s="239"/>
      <c r="G11" s="239"/>
      <c r="H11" s="239"/>
      <c r="I11" s="239"/>
      <c r="J11" s="239" t="s">
        <v>320</v>
      </c>
      <c r="M11" s="126">
        <v>0.1</v>
      </c>
      <c r="N11" s="126" t="s">
        <v>310</v>
      </c>
      <c r="O11" s="127" t="s">
        <v>577</v>
      </c>
      <c r="P11" s="127" t="s">
        <v>186</v>
      </c>
      <c r="S11" s="152" t="s">
        <v>675</v>
      </c>
      <c r="T11" s="128" t="s">
        <v>674</v>
      </c>
      <c r="U11" s="152" t="s">
        <v>644</v>
      </c>
      <c r="V11" s="128" t="s">
        <v>651</v>
      </c>
      <c r="X11" s="135" t="s">
        <v>614</v>
      </c>
      <c r="Z11" s="129" t="s">
        <v>273</v>
      </c>
      <c r="AB11" s="129" t="s">
        <v>614</v>
      </c>
      <c r="AD11" s="129" t="s">
        <v>264</v>
      </c>
      <c r="AP11" s="135" t="s">
        <v>477</v>
      </c>
      <c r="AQ11" s="130" t="s">
        <v>478</v>
      </c>
      <c r="AR11" s="135" t="s">
        <v>519</v>
      </c>
      <c r="AS11" s="130" t="s">
        <v>368</v>
      </c>
      <c r="AT11" s="135" t="s">
        <v>203</v>
      </c>
      <c r="AU11" s="130" t="s">
        <v>460</v>
      </c>
      <c r="AV11" s="135" t="s">
        <v>534</v>
      </c>
      <c r="AW11" s="130" t="s">
        <v>426</v>
      </c>
      <c r="AX11" s="129" t="s">
        <v>323</v>
      </c>
      <c r="AY11" s="130" t="s">
        <v>333</v>
      </c>
      <c r="AZ11" s="127"/>
      <c r="BA11" s="199"/>
      <c r="BB11" s="199" t="s">
        <v>737</v>
      </c>
      <c r="BC11" s="199"/>
      <c r="BD11" s="127"/>
      <c r="BE11" s="392" t="s">
        <v>1171</v>
      </c>
      <c r="BF11" s="391" t="s">
        <v>182</v>
      </c>
      <c r="BG11" s="392" t="s">
        <v>1143</v>
      </c>
      <c r="BH11" s="392" t="s">
        <v>1135</v>
      </c>
      <c r="BI11" s="392" t="s">
        <v>1137</v>
      </c>
      <c r="BJ11" s="392" t="s">
        <v>1138</v>
      </c>
      <c r="BK11" s="392" t="s">
        <v>1139</v>
      </c>
      <c r="BL11" s="199" t="s">
        <v>1140</v>
      </c>
      <c r="BM11" s="199" t="s">
        <v>1149</v>
      </c>
      <c r="BN11" s="199" t="s">
        <v>1150</v>
      </c>
      <c r="BO11" s="199"/>
      <c r="BQ11" s="129" t="s">
        <v>1195</v>
      </c>
      <c r="BR11" s="129" t="s">
        <v>1458</v>
      </c>
      <c r="BW11" s="623">
        <v>1996</v>
      </c>
      <c r="BX11" s="623">
        <v>2021</v>
      </c>
      <c r="BY11" s="129" t="s">
        <v>1645</v>
      </c>
      <c r="BZ11" s="790">
        <v>2006</v>
      </c>
      <c r="CG11" s="129" t="s">
        <v>1713</v>
      </c>
      <c r="CL11" s="129" t="s">
        <v>1645</v>
      </c>
      <c r="CM11" s="623">
        <v>2006</v>
      </c>
      <c r="CN11" s="623"/>
      <c r="CO11" s="623">
        <v>2005</v>
      </c>
    </row>
    <row r="12" spans="1:93">
      <c r="B12" s="239"/>
      <c r="C12" s="239" t="s">
        <v>706</v>
      </c>
      <c r="E12" s="239"/>
      <c r="F12" s="239"/>
      <c r="G12" s="239"/>
      <c r="H12" s="239"/>
      <c r="I12" s="239"/>
      <c r="J12" s="239"/>
      <c r="M12" s="126">
        <v>0.01</v>
      </c>
      <c r="N12" s="126" t="s">
        <v>311</v>
      </c>
      <c r="O12" s="127" t="s">
        <v>592</v>
      </c>
      <c r="P12" s="127" t="s">
        <v>598</v>
      </c>
      <c r="S12" s="152" t="s">
        <v>676</v>
      </c>
      <c r="T12" s="128" t="s">
        <v>666</v>
      </c>
      <c r="U12" s="152" t="s">
        <v>645</v>
      </c>
      <c r="V12" s="128" t="s">
        <v>652</v>
      </c>
      <c r="X12" s="135" t="s">
        <v>612</v>
      </c>
      <c r="Z12" s="135" t="s">
        <v>619</v>
      </c>
      <c r="AB12" s="129" t="s">
        <v>612</v>
      </c>
      <c r="AD12" s="129" t="s">
        <v>272</v>
      </c>
      <c r="AP12" s="135" t="s">
        <v>479</v>
      </c>
      <c r="AQ12" s="130" t="s">
        <v>348</v>
      </c>
      <c r="AR12" s="135" t="s">
        <v>520</v>
      </c>
      <c r="AS12" s="130" t="s">
        <v>369</v>
      </c>
      <c r="AT12" s="135" t="s">
        <v>204</v>
      </c>
      <c r="AU12" s="130" t="s">
        <v>461</v>
      </c>
      <c r="AV12" s="135" t="s">
        <v>535</v>
      </c>
      <c r="AW12" s="130" t="s">
        <v>428</v>
      </c>
      <c r="AX12" s="129" t="s">
        <v>324</v>
      </c>
      <c r="AY12" s="130" t="s">
        <v>334</v>
      </c>
      <c r="AZ12" s="127"/>
      <c r="BA12" s="199"/>
      <c r="BB12" s="199" t="s">
        <v>320</v>
      </c>
      <c r="BC12" s="199"/>
      <c r="BD12" s="127"/>
      <c r="BE12" s="392" t="s">
        <v>1172</v>
      </c>
      <c r="BF12" s="391" t="s">
        <v>182</v>
      </c>
      <c r="BG12" s="392" t="s">
        <v>1135</v>
      </c>
      <c r="BH12" s="392" t="s">
        <v>1137</v>
      </c>
      <c r="BI12" s="392" t="s">
        <v>1138</v>
      </c>
      <c r="BJ12" s="392" t="s">
        <v>1139</v>
      </c>
      <c r="BK12" s="199" t="s">
        <v>1140</v>
      </c>
      <c r="BL12" s="199"/>
      <c r="BM12" s="199"/>
      <c r="BN12" s="199"/>
      <c r="BO12" s="199"/>
      <c r="BQ12" s="129" t="s">
        <v>1198</v>
      </c>
      <c r="BR12" s="129" t="s">
        <v>1524</v>
      </c>
      <c r="BW12" s="623">
        <v>1997</v>
      </c>
      <c r="BX12" s="624">
        <v>2022</v>
      </c>
      <c r="BY12" s="199"/>
      <c r="BZ12" s="790">
        <v>2007</v>
      </c>
      <c r="CG12" s="129" t="s">
        <v>1896</v>
      </c>
      <c r="CM12" s="623">
        <v>2007</v>
      </c>
      <c r="CN12" s="623"/>
      <c r="CO12" s="623">
        <v>2006</v>
      </c>
    </row>
    <row r="13" spans="1:93">
      <c r="B13" s="239"/>
      <c r="C13" s="239" t="s">
        <v>707</v>
      </c>
      <c r="E13" s="239"/>
      <c r="F13" s="239"/>
      <c r="G13" s="239"/>
      <c r="H13" s="239"/>
      <c r="I13" s="239"/>
      <c r="J13" s="239"/>
      <c r="M13" s="126">
        <v>1E-3</v>
      </c>
      <c r="N13" s="126" t="s">
        <v>312</v>
      </c>
      <c r="O13" s="127" t="s">
        <v>611</v>
      </c>
      <c r="P13" s="127" t="s">
        <v>320</v>
      </c>
      <c r="S13" s="152" t="s">
        <v>671</v>
      </c>
      <c r="T13" s="128" t="s">
        <v>665</v>
      </c>
      <c r="U13" s="152" t="s">
        <v>646</v>
      </c>
      <c r="V13" s="128" t="s">
        <v>653</v>
      </c>
      <c r="X13" s="135" t="s">
        <v>193</v>
      </c>
      <c r="Z13" s="136" t="s">
        <v>320</v>
      </c>
      <c r="AB13" s="129" t="s">
        <v>193</v>
      </c>
      <c r="AD13" s="129" t="s">
        <v>273</v>
      </c>
      <c r="AP13" s="135" t="s">
        <v>482</v>
      </c>
      <c r="AQ13" s="130" t="s">
        <v>349</v>
      </c>
      <c r="AR13" s="135" t="s">
        <v>521</v>
      </c>
      <c r="AS13" s="130" t="s">
        <v>370</v>
      </c>
      <c r="AT13" s="135" t="s">
        <v>205</v>
      </c>
      <c r="AU13" s="130" t="s">
        <v>462</v>
      </c>
      <c r="AV13" s="135" t="s">
        <v>418</v>
      </c>
      <c r="AW13" s="130" t="s">
        <v>413</v>
      </c>
      <c r="AX13" s="129" t="s">
        <v>217</v>
      </c>
      <c r="AY13" s="130" t="s">
        <v>335</v>
      </c>
      <c r="AZ13" s="127"/>
      <c r="BD13" s="127"/>
      <c r="BE13" s="392" t="s">
        <v>1137</v>
      </c>
      <c r="BF13" s="391" t="s">
        <v>182</v>
      </c>
      <c r="BG13" s="391" t="s">
        <v>1137</v>
      </c>
      <c r="BH13" s="392"/>
      <c r="BI13" s="392"/>
      <c r="BJ13" s="392"/>
      <c r="BK13" s="392"/>
      <c r="BL13" s="199"/>
      <c r="BM13" s="199"/>
      <c r="BN13" s="199"/>
      <c r="BQ13" s="129" t="s">
        <v>1201</v>
      </c>
      <c r="BR13" s="129" t="s">
        <v>1523</v>
      </c>
      <c r="BW13" s="623">
        <v>1998</v>
      </c>
      <c r="BX13" s="623">
        <v>2023</v>
      </c>
      <c r="BZ13" s="790">
        <v>2008</v>
      </c>
      <c r="CM13" s="623">
        <v>2008</v>
      </c>
      <c r="CN13" s="623"/>
      <c r="CO13" s="623">
        <v>2007</v>
      </c>
    </row>
    <row r="14" spans="1:93">
      <c r="B14" s="239"/>
      <c r="C14" s="239" t="s">
        <v>708</v>
      </c>
      <c r="E14" s="239"/>
      <c r="F14" s="239"/>
      <c r="G14" s="239"/>
      <c r="H14" s="239"/>
      <c r="I14" s="239"/>
      <c r="J14" s="239"/>
      <c r="M14" s="126">
        <v>1E-4</v>
      </c>
      <c r="N14" s="126" t="s">
        <v>313</v>
      </c>
      <c r="O14" s="127" t="s">
        <v>612</v>
      </c>
      <c r="S14" s="152" t="s">
        <v>672</v>
      </c>
      <c r="T14" s="128" t="s">
        <v>677</v>
      </c>
      <c r="U14" s="152" t="s">
        <v>647</v>
      </c>
      <c r="V14" s="128" t="s">
        <v>648</v>
      </c>
      <c r="X14" s="135" t="s">
        <v>610</v>
      </c>
      <c r="AB14" s="129" t="s">
        <v>610</v>
      </c>
      <c r="AD14" s="135" t="s">
        <v>619</v>
      </c>
      <c r="AP14" s="135" t="s">
        <v>489</v>
      </c>
      <c r="AQ14" s="130" t="s">
        <v>350</v>
      </c>
      <c r="AR14" s="135" t="s">
        <v>522</v>
      </c>
      <c r="AS14" s="130" t="s">
        <v>371</v>
      </c>
      <c r="AT14" s="135" t="s">
        <v>206</v>
      </c>
      <c r="AU14" s="130" t="s">
        <v>463</v>
      </c>
      <c r="AV14" s="135" t="s">
        <v>536</v>
      </c>
      <c r="AW14" s="130" t="s">
        <v>429</v>
      </c>
      <c r="AX14" s="129" t="s">
        <v>218</v>
      </c>
      <c r="AY14" s="130" t="s">
        <v>336</v>
      </c>
      <c r="AZ14" s="127"/>
      <c r="BD14" s="127"/>
      <c r="BE14" s="392" t="s">
        <v>1173</v>
      </c>
      <c r="BF14" s="391" t="s">
        <v>182</v>
      </c>
      <c r="BG14" s="392" t="s">
        <v>1135</v>
      </c>
      <c r="BH14" s="392" t="s">
        <v>1137</v>
      </c>
      <c r="BI14" s="392" t="s">
        <v>1138</v>
      </c>
      <c r="BJ14" s="392" t="s">
        <v>1139</v>
      </c>
      <c r="BK14" s="199" t="s">
        <v>1140</v>
      </c>
      <c r="BL14" s="199"/>
      <c r="BM14" s="199"/>
      <c r="BN14" s="199"/>
      <c r="BQ14" s="129" t="s">
        <v>1202</v>
      </c>
      <c r="BW14" s="623">
        <v>1999</v>
      </c>
      <c r="BX14" s="624">
        <v>2024</v>
      </c>
      <c r="BZ14" s="790">
        <v>2009</v>
      </c>
      <c r="CM14" s="623">
        <v>2009</v>
      </c>
      <c r="CN14" s="623"/>
      <c r="CO14" s="623">
        <v>2008</v>
      </c>
    </row>
    <row r="15" spans="1:93">
      <c r="B15" s="239"/>
      <c r="C15" s="239" t="s">
        <v>709</v>
      </c>
      <c r="E15" s="239"/>
      <c r="F15" s="239"/>
      <c r="G15" s="239"/>
      <c r="H15" s="239"/>
      <c r="I15" s="239"/>
      <c r="J15" s="239"/>
      <c r="M15" s="126">
        <v>1.0000000000000001E-5</v>
      </c>
      <c r="N15" s="126" t="s">
        <v>314</v>
      </c>
      <c r="O15" s="127" t="s">
        <v>591</v>
      </c>
      <c r="S15" s="152" t="s">
        <v>284</v>
      </c>
      <c r="T15" s="128" t="s">
        <v>470</v>
      </c>
      <c r="U15" s="129" t="s">
        <v>638</v>
      </c>
      <c r="V15" s="128" t="s">
        <v>641</v>
      </c>
      <c r="X15" s="135" t="s">
        <v>265</v>
      </c>
      <c r="AB15" s="129" t="s">
        <v>265</v>
      </c>
      <c r="AD15" s="136" t="s">
        <v>320</v>
      </c>
      <c r="AP15" s="135" t="s">
        <v>490</v>
      </c>
      <c r="AQ15" s="130" t="s">
        <v>351</v>
      </c>
      <c r="AR15" s="135" t="s">
        <v>525</v>
      </c>
      <c r="AS15" s="130" t="s">
        <v>503</v>
      </c>
      <c r="AT15" s="135" t="s">
        <v>320</v>
      </c>
      <c r="AU15" s="130" t="s">
        <v>464</v>
      </c>
      <c r="AV15" s="135" t="s">
        <v>537</v>
      </c>
      <c r="AW15" s="130" t="s">
        <v>430</v>
      </c>
      <c r="AX15" s="129" t="s">
        <v>325</v>
      </c>
      <c r="AY15" s="130" t="s">
        <v>337</v>
      </c>
      <c r="AZ15" s="127"/>
      <c r="BD15" s="127"/>
      <c r="BE15" s="392" t="s">
        <v>1140</v>
      </c>
      <c r="BF15" s="391" t="s">
        <v>182</v>
      </c>
      <c r="BG15" s="391" t="s">
        <v>1140</v>
      </c>
      <c r="BH15" s="392"/>
      <c r="BI15" s="392"/>
      <c r="BJ15" s="392"/>
      <c r="BK15" s="392"/>
      <c r="BL15" s="199"/>
      <c r="BM15" s="199"/>
      <c r="BN15" s="199"/>
      <c r="BQ15" s="129" t="s">
        <v>1205</v>
      </c>
      <c r="BW15" s="623">
        <v>2000</v>
      </c>
      <c r="BX15" s="623">
        <v>2025</v>
      </c>
      <c r="BZ15" s="790">
        <v>2010</v>
      </c>
      <c r="CM15" s="623">
        <v>2010</v>
      </c>
      <c r="CN15" s="623"/>
      <c r="CO15" s="623">
        <v>2009</v>
      </c>
    </row>
    <row r="16" spans="1:93">
      <c r="B16" s="239"/>
      <c r="C16" s="239" t="s">
        <v>698</v>
      </c>
      <c r="E16" s="239"/>
      <c r="F16" s="239"/>
      <c r="G16" s="239"/>
      <c r="H16" s="239"/>
      <c r="I16" s="239"/>
      <c r="J16" s="239"/>
      <c r="M16" s="126">
        <v>9.9999999999999995E-7</v>
      </c>
      <c r="N16" s="126" t="s">
        <v>315</v>
      </c>
      <c r="O16" s="127" t="s">
        <v>590</v>
      </c>
      <c r="S16" s="152" t="s">
        <v>679</v>
      </c>
      <c r="T16" s="128" t="s">
        <v>678</v>
      </c>
      <c r="U16" s="129" t="s">
        <v>634</v>
      </c>
      <c r="V16" s="128" t="s">
        <v>639</v>
      </c>
      <c r="X16" s="135" t="s">
        <v>194</v>
      </c>
      <c r="AB16" s="129" t="s">
        <v>194</v>
      </c>
      <c r="AP16" s="135" t="s">
        <v>491</v>
      </c>
      <c r="AQ16" s="130" t="s">
        <v>352</v>
      </c>
      <c r="AR16" s="135" t="s">
        <v>512</v>
      </c>
      <c r="AS16" s="130" t="s">
        <v>374</v>
      </c>
      <c r="AT16" s="135"/>
      <c r="AV16" s="135" t="s">
        <v>538</v>
      </c>
      <c r="AW16" s="130" t="s">
        <v>431</v>
      </c>
      <c r="AX16" s="136" t="s">
        <v>566</v>
      </c>
      <c r="AY16" s="130" t="s">
        <v>338</v>
      </c>
      <c r="AZ16" s="127"/>
      <c r="BD16" s="127"/>
      <c r="BE16" s="392" t="s">
        <v>1174</v>
      </c>
      <c r="BF16" s="391" t="s">
        <v>182</v>
      </c>
      <c r="BG16" s="393" t="s">
        <v>1135</v>
      </c>
      <c r="BH16" s="394" t="s">
        <v>1137</v>
      </c>
      <c r="BI16" s="394" t="s">
        <v>1138</v>
      </c>
      <c r="BJ16" s="394" t="s">
        <v>1139</v>
      </c>
      <c r="BK16" s="395" t="s">
        <v>1140</v>
      </c>
      <c r="BQ16" s="129" t="s">
        <v>1208</v>
      </c>
      <c r="BW16" s="623">
        <v>2001</v>
      </c>
      <c r="BX16" s="624">
        <v>2026</v>
      </c>
      <c r="BZ16" s="790">
        <v>2011</v>
      </c>
      <c r="CM16" s="623">
        <v>2011</v>
      </c>
      <c r="CN16" s="623"/>
      <c r="CO16" s="623">
        <v>2010</v>
      </c>
    </row>
    <row r="17" spans="2:93">
      <c r="B17" s="239"/>
      <c r="C17" s="239" t="s">
        <v>699</v>
      </c>
      <c r="E17" s="239"/>
      <c r="F17" s="239"/>
      <c r="G17" s="239"/>
      <c r="H17" s="239"/>
      <c r="I17" s="239"/>
      <c r="J17" s="239"/>
      <c r="M17" s="126">
        <v>9.9999999999999995E-8</v>
      </c>
      <c r="N17" s="126" t="s">
        <v>316</v>
      </c>
      <c r="O17" s="127" t="s">
        <v>589</v>
      </c>
      <c r="S17" s="127" t="s">
        <v>320</v>
      </c>
      <c r="U17" s="129" t="s">
        <v>635</v>
      </c>
      <c r="V17" s="128" t="s">
        <v>640</v>
      </c>
      <c r="X17" s="135" t="s">
        <v>195</v>
      </c>
      <c r="AB17" s="129" t="s">
        <v>195</v>
      </c>
      <c r="AP17" s="135" t="s">
        <v>492</v>
      </c>
      <c r="AQ17" s="130" t="s">
        <v>353</v>
      </c>
      <c r="AR17" s="135" t="s">
        <v>513</v>
      </c>
      <c r="AS17" s="130" t="s">
        <v>373</v>
      </c>
      <c r="AT17" s="135"/>
      <c r="AV17" s="135" t="s">
        <v>539</v>
      </c>
      <c r="AW17" s="130" t="s">
        <v>433</v>
      </c>
      <c r="AX17" s="136" t="s">
        <v>567</v>
      </c>
      <c r="AY17" s="130" t="s">
        <v>339</v>
      </c>
      <c r="AZ17" s="127"/>
      <c r="BD17" s="127"/>
      <c r="BE17" s="392" t="s">
        <v>1175</v>
      </c>
      <c r="BF17" s="391" t="s">
        <v>182</v>
      </c>
      <c r="BG17" s="393" t="s">
        <v>1135</v>
      </c>
      <c r="BH17" s="394" t="s">
        <v>1137</v>
      </c>
      <c r="BI17" s="394" t="s">
        <v>1138</v>
      </c>
      <c r="BJ17" s="394" t="s">
        <v>1139</v>
      </c>
      <c r="BK17" s="395" t="s">
        <v>1140</v>
      </c>
      <c r="BQ17" s="129" t="s">
        <v>1211</v>
      </c>
      <c r="BW17" s="623">
        <v>2002</v>
      </c>
      <c r="BX17" s="623">
        <v>2027</v>
      </c>
      <c r="BZ17" s="790">
        <v>2012</v>
      </c>
      <c r="CM17" s="623">
        <v>2012</v>
      </c>
      <c r="CN17" s="623"/>
      <c r="CO17" s="623">
        <v>2011</v>
      </c>
    </row>
    <row r="18" spans="2:93">
      <c r="B18" s="239"/>
      <c r="C18" s="239" t="s">
        <v>700</v>
      </c>
      <c r="E18" s="239"/>
      <c r="F18" s="239"/>
      <c r="G18" s="239"/>
      <c r="H18" s="239"/>
      <c r="I18" s="239"/>
      <c r="J18" s="239"/>
      <c r="M18" s="127" t="s">
        <v>320</v>
      </c>
      <c r="N18" s="126" t="s">
        <v>317</v>
      </c>
      <c r="O18" s="127" t="s">
        <v>594</v>
      </c>
      <c r="U18" s="152" t="s">
        <v>642</v>
      </c>
      <c r="V18" s="128" t="s">
        <v>654</v>
      </c>
      <c r="X18" s="135" t="s">
        <v>609</v>
      </c>
      <c r="AB18" s="129" t="s">
        <v>609</v>
      </c>
      <c r="AP18" s="135" t="s">
        <v>493</v>
      </c>
      <c r="AQ18" s="130" t="s">
        <v>354</v>
      </c>
      <c r="AR18" s="135" t="s">
        <v>514</v>
      </c>
      <c r="AS18" s="130" t="s">
        <v>372</v>
      </c>
      <c r="AT18" s="135"/>
      <c r="AV18" s="135" t="s">
        <v>540</v>
      </c>
      <c r="AW18" s="130" t="s">
        <v>432</v>
      </c>
      <c r="AX18" s="136" t="s">
        <v>568</v>
      </c>
      <c r="AY18" s="130" t="s">
        <v>340</v>
      </c>
      <c r="AZ18" s="127"/>
      <c r="BD18" s="127"/>
      <c r="BE18" s="392" t="s">
        <v>1176</v>
      </c>
      <c r="BF18" s="391" t="s">
        <v>182</v>
      </c>
      <c r="BG18" s="392" t="s">
        <v>1142</v>
      </c>
      <c r="BH18" s="392"/>
      <c r="BI18" s="392"/>
      <c r="BJ18" s="392"/>
      <c r="BK18" s="392"/>
      <c r="BQ18" s="129" t="s">
        <v>1213</v>
      </c>
      <c r="BW18" s="623">
        <v>2003</v>
      </c>
      <c r="BX18" s="624">
        <v>2028</v>
      </c>
      <c r="BZ18" s="790">
        <v>2013</v>
      </c>
      <c r="CM18" s="623">
        <v>2013</v>
      </c>
      <c r="CN18" s="623"/>
      <c r="CO18" s="623">
        <v>2012</v>
      </c>
    </row>
    <row r="19" spans="2:93">
      <c r="B19" s="239"/>
      <c r="C19" s="239" t="s">
        <v>701</v>
      </c>
      <c r="E19" s="239"/>
      <c r="F19" s="239"/>
      <c r="G19" s="239"/>
      <c r="H19" s="239"/>
      <c r="I19" s="239"/>
      <c r="J19" s="239"/>
      <c r="N19" s="126" t="s">
        <v>318</v>
      </c>
      <c r="O19" s="127" t="s">
        <v>220</v>
      </c>
      <c r="S19" s="152"/>
      <c r="U19" s="152" t="s">
        <v>660</v>
      </c>
      <c r="V19" s="128" t="s">
        <v>655</v>
      </c>
      <c r="X19" s="135" t="s">
        <v>196</v>
      </c>
      <c r="AB19" s="129" t="s">
        <v>196</v>
      </c>
      <c r="AP19" s="135" t="s">
        <v>494</v>
      </c>
      <c r="AQ19" s="130" t="s">
        <v>355</v>
      </c>
      <c r="AR19" s="135" t="s">
        <v>515</v>
      </c>
      <c r="AS19" s="130" t="s">
        <v>375</v>
      </c>
      <c r="AT19" s="135"/>
      <c r="AV19" s="135" t="s">
        <v>541</v>
      </c>
      <c r="AW19" s="130" t="s">
        <v>434</v>
      </c>
      <c r="AX19" s="136" t="s">
        <v>569</v>
      </c>
      <c r="AY19" s="130" t="s">
        <v>341</v>
      </c>
      <c r="AZ19" s="127"/>
      <c r="BD19" s="127"/>
      <c r="BE19" s="392"/>
      <c r="BQ19" s="129" t="s">
        <v>1214</v>
      </c>
      <c r="BW19" s="623">
        <v>2004</v>
      </c>
      <c r="BX19" s="623">
        <v>2029</v>
      </c>
      <c r="BZ19" s="790">
        <v>2014</v>
      </c>
      <c r="CM19" s="623">
        <v>2014</v>
      </c>
      <c r="CN19" s="623"/>
      <c r="CO19" s="623">
        <v>2013</v>
      </c>
    </row>
    <row r="20" spans="2:93">
      <c r="B20" s="239"/>
      <c r="C20" s="239" t="s">
        <v>702</v>
      </c>
      <c r="E20" s="239"/>
      <c r="F20" s="239"/>
      <c r="G20" s="239"/>
      <c r="H20" s="239"/>
      <c r="I20" s="239"/>
      <c r="J20" s="239"/>
      <c r="N20" s="126" t="s">
        <v>319</v>
      </c>
      <c r="O20" s="127" t="s">
        <v>221</v>
      </c>
      <c r="S20" s="152"/>
      <c r="U20" s="152" t="s">
        <v>661</v>
      </c>
      <c r="V20" s="128" t="s">
        <v>656</v>
      </c>
      <c r="X20" s="135" t="s">
        <v>183</v>
      </c>
      <c r="AB20" s="129" t="s">
        <v>183</v>
      </c>
      <c r="AP20" s="135" t="s">
        <v>495</v>
      </c>
      <c r="AQ20" s="130" t="s">
        <v>356</v>
      </c>
      <c r="AR20" s="135" t="s">
        <v>516</v>
      </c>
      <c r="AS20" s="130" t="s">
        <v>376</v>
      </c>
      <c r="AT20" s="135"/>
      <c r="AV20" s="135" t="s">
        <v>419</v>
      </c>
      <c r="AW20" s="130" t="s">
        <v>414</v>
      </c>
      <c r="AX20" s="136" t="s">
        <v>570</v>
      </c>
      <c r="AY20" s="130" t="s">
        <v>342</v>
      </c>
      <c r="AZ20" s="127"/>
      <c r="BD20" s="127"/>
      <c r="BQ20" s="129" t="s">
        <v>1217</v>
      </c>
      <c r="BW20" s="623">
        <v>2005</v>
      </c>
      <c r="BX20" s="624">
        <v>2030</v>
      </c>
      <c r="BZ20" s="790">
        <v>2015</v>
      </c>
      <c r="CM20" s="623">
        <v>2015</v>
      </c>
      <c r="CN20" s="623"/>
      <c r="CO20" s="623">
        <v>2014</v>
      </c>
    </row>
    <row r="21" spans="2:93">
      <c r="B21" s="239"/>
      <c r="C21" s="239" t="s">
        <v>703</v>
      </c>
      <c r="E21" s="239"/>
      <c r="F21" s="239"/>
      <c r="G21" s="239"/>
      <c r="H21" s="239"/>
      <c r="I21" s="239"/>
      <c r="J21" s="239"/>
      <c r="O21" s="127" t="s">
        <v>219</v>
      </c>
      <c r="S21" s="152"/>
      <c r="U21" s="152" t="s">
        <v>662</v>
      </c>
      <c r="V21" s="128" t="s">
        <v>657</v>
      </c>
      <c r="X21" s="135" t="s">
        <v>262</v>
      </c>
      <c r="AB21" s="129" t="s">
        <v>262</v>
      </c>
      <c r="AP21" s="135" t="s">
        <v>483</v>
      </c>
      <c r="AQ21" s="130" t="s">
        <v>484</v>
      </c>
      <c r="AR21" s="135" t="s">
        <v>517</v>
      </c>
      <c r="AS21" s="130" t="s">
        <v>377</v>
      </c>
      <c r="AT21" s="135"/>
      <c r="AV21" s="135" t="s">
        <v>542</v>
      </c>
      <c r="AW21" s="130" t="s">
        <v>435</v>
      </c>
      <c r="AX21" s="136" t="s">
        <v>571</v>
      </c>
      <c r="AY21" s="130" t="s">
        <v>343</v>
      </c>
      <c r="AZ21" s="127"/>
      <c r="BD21" s="127"/>
      <c r="BW21" s="623">
        <v>2006</v>
      </c>
      <c r="BX21" s="623">
        <v>2031</v>
      </c>
      <c r="BZ21" s="790">
        <v>2016</v>
      </c>
      <c r="CM21" s="623">
        <v>2016</v>
      </c>
      <c r="CN21" s="623"/>
      <c r="CO21" s="623" t="str">
        <f ca="1">IF(YEAR(CO30)&gt;2015,"2015","")</f>
        <v>2015</v>
      </c>
    </row>
    <row r="22" spans="2:93">
      <c r="B22" s="239"/>
      <c r="C22" s="239" t="s">
        <v>704</v>
      </c>
      <c r="E22" s="239"/>
      <c r="F22" s="239"/>
      <c r="G22" s="239"/>
      <c r="H22" s="239"/>
      <c r="I22" s="239"/>
      <c r="J22" s="239"/>
      <c r="O22" s="127" t="s">
        <v>599</v>
      </c>
      <c r="S22" s="152"/>
      <c r="U22" s="152" t="s">
        <v>663</v>
      </c>
      <c r="V22" s="128" t="s">
        <v>658</v>
      </c>
      <c r="X22" s="135" t="s">
        <v>263</v>
      </c>
      <c r="AB22" s="129" t="s">
        <v>263</v>
      </c>
      <c r="AP22" s="135" t="s">
        <v>485</v>
      </c>
      <c r="AQ22" s="130" t="s">
        <v>359</v>
      </c>
      <c r="AR22" s="135" t="s">
        <v>518</v>
      </c>
      <c r="AS22" s="130" t="s">
        <v>378</v>
      </c>
      <c r="AT22" s="135"/>
      <c r="AV22" s="135" t="s">
        <v>543</v>
      </c>
      <c r="AW22" s="130" t="s">
        <v>436</v>
      </c>
      <c r="AX22" s="129" t="s">
        <v>216</v>
      </c>
      <c r="AY22" s="130" t="s">
        <v>344</v>
      </c>
      <c r="AZ22" s="127"/>
      <c r="BD22" s="127"/>
      <c r="BW22" s="623">
        <v>2007</v>
      </c>
      <c r="BX22" s="624">
        <v>2032</v>
      </c>
      <c r="BZ22" s="790">
        <v>2017</v>
      </c>
      <c r="CM22" s="623">
        <v>2017</v>
      </c>
      <c r="CN22" s="623"/>
      <c r="CO22" s="623" t="str">
        <f ca="1">IF(YEAR(CO30)&gt;2016,"2016","")</f>
        <v/>
      </c>
    </row>
    <row r="23" spans="2:93">
      <c r="B23" s="239"/>
      <c r="C23" s="239" t="s">
        <v>705</v>
      </c>
      <c r="E23" s="239"/>
      <c r="F23" s="239"/>
      <c r="G23" s="239"/>
      <c r="H23" s="239"/>
      <c r="I23" s="239"/>
      <c r="J23" s="239"/>
      <c r="O23" s="127" t="s">
        <v>588</v>
      </c>
      <c r="S23" s="152"/>
      <c r="U23" s="127" t="s">
        <v>320</v>
      </c>
      <c r="V23" s="128" t="s">
        <v>659</v>
      </c>
      <c r="X23" s="135" t="s">
        <v>264</v>
      </c>
      <c r="AB23" s="129" t="s">
        <v>264</v>
      </c>
      <c r="AP23" s="135" t="s">
        <v>486</v>
      </c>
      <c r="AQ23" s="130" t="s">
        <v>360</v>
      </c>
      <c r="AR23" s="135" t="s">
        <v>523</v>
      </c>
      <c r="AS23" s="130" t="s">
        <v>504</v>
      </c>
      <c r="AT23" s="135"/>
      <c r="AV23" s="135" t="s">
        <v>544</v>
      </c>
      <c r="AW23" s="130" t="s">
        <v>437</v>
      </c>
      <c r="AX23" s="129" t="s">
        <v>320</v>
      </c>
      <c r="AY23" s="130" t="s">
        <v>345</v>
      </c>
      <c r="AZ23" s="127"/>
      <c r="BD23" s="127"/>
      <c r="BW23" s="623">
        <v>2008</v>
      </c>
      <c r="BX23" s="623">
        <v>2033</v>
      </c>
      <c r="BZ23" s="790">
        <v>2018</v>
      </c>
      <c r="CM23" s="623">
        <v>2018</v>
      </c>
      <c r="CN23" s="623"/>
      <c r="CO23" s="623" t="str">
        <f ca="1">IF(YEAR(CO30)&gt;2017,"2017","")</f>
        <v/>
      </c>
    </row>
    <row r="24" spans="2:93">
      <c r="B24" s="239"/>
      <c r="C24" s="239"/>
      <c r="E24" s="239"/>
      <c r="F24" s="239"/>
      <c r="G24" s="239"/>
      <c r="H24" s="239"/>
      <c r="I24" s="239"/>
      <c r="J24" s="239"/>
      <c r="O24" s="127" t="s">
        <v>586</v>
      </c>
      <c r="S24" s="152"/>
      <c r="X24" s="135" t="s">
        <v>272</v>
      </c>
      <c r="AB24" s="129" t="s">
        <v>272</v>
      </c>
      <c r="AP24" s="135" t="s">
        <v>487</v>
      </c>
      <c r="AQ24" s="130" t="s">
        <v>361</v>
      </c>
      <c r="AR24" s="135" t="s">
        <v>510</v>
      </c>
      <c r="AS24" s="130" t="s">
        <v>380</v>
      </c>
      <c r="AT24" s="135"/>
      <c r="AV24" s="135" t="s">
        <v>545</v>
      </c>
      <c r="AW24" s="130" t="s">
        <v>438</v>
      </c>
      <c r="AZ24" s="127"/>
      <c r="BD24" s="127"/>
      <c r="BW24" s="623">
        <v>2009</v>
      </c>
      <c r="BX24" s="624">
        <v>2034</v>
      </c>
      <c r="BZ24" s="790">
        <v>2019</v>
      </c>
      <c r="CM24" s="623">
        <v>2019</v>
      </c>
      <c r="CN24" s="623"/>
      <c r="CO24" s="623" t="str">
        <f ca="1">IF(YEAR(CO30)&gt;2018,"2018","")</f>
        <v/>
      </c>
    </row>
    <row r="25" spans="2:93">
      <c r="B25" s="239"/>
      <c r="C25" s="239"/>
      <c r="E25" s="239"/>
      <c r="F25" s="239"/>
      <c r="G25" s="239"/>
      <c r="H25" s="239"/>
      <c r="I25" s="239"/>
      <c r="J25" s="239"/>
      <c r="O25" s="127" t="s">
        <v>587</v>
      </c>
      <c r="S25" s="152"/>
      <c r="X25" s="135" t="s">
        <v>273</v>
      </c>
      <c r="AB25" s="129" t="s">
        <v>273</v>
      </c>
      <c r="AP25" s="135" t="s">
        <v>488</v>
      </c>
      <c r="AQ25" s="130" t="s">
        <v>362</v>
      </c>
      <c r="AR25" s="135" t="s">
        <v>509</v>
      </c>
      <c r="AS25" s="130" t="s">
        <v>381</v>
      </c>
      <c r="AT25" s="135"/>
      <c r="AV25" s="135" t="s">
        <v>546</v>
      </c>
      <c r="AW25" s="130" t="s">
        <v>439</v>
      </c>
      <c r="AZ25" s="127"/>
      <c r="BD25" s="127"/>
      <c r="BW25" s="623">
        <v>2010</v>
      </c>
      <c r="BX25" s="623">
        <v>2035</v>
      </c>
      <c r="BZ25" s="790">
        <v>2020</v>
      </c>
      <c r="CM25" s="623">
        <v>2020</v>
      </c>
      <c r="CN25" s="623"/>
      <c r="CO25" s="623" t="str">
        <f ca="1">IF(YEAR(CO30)&gt;2019,"2019","")</f>
        <v/>
      </c>
    </row>
    <row r="26" spans="2:93">
      <c r="B26" s="239"/>
      <c r="C26" s="239"/>
      <c r="E26" s="239"/>
      <c r="F26" s="239"/>
      <c r="G26" s="239"/>
      <c r="H26" s="239"/>
      <c r="I26" s="239"/>
      <c r="J26" s="239"/>
      <c r="O26" s="127" t="s">
        <v>578</v>
      </c>
      <c r="S26" s="152"/>
      <c r="X26" s="135" t="s">
        <v>619</v>
      </c>
      <c r="AB26" s="135" t="s">
        <v>619</v>
      </c>
      <c r="AP26" s="135" t="s">
        <v>496</v>
      </c>
      <c r="AQ26" s="130" t="s">
        <v>363</v>
      </c>
      <c r="AR26" s="135" t="s">
        <v>508</v>
      </c>
      <c r="AS26" s="130" t="s">
        <v>382</v>
      </c>
      <c r="AT26" s="135"/>
      <c r="AV26" s="135" t="s">
        <v>547</v>
      </c>
      <c r="AW26" s="130" t="s">
        <v>440</v>
      </c>
      <c r="AZ26" s="127"/>
      <c r="BD26" s="127"/>
      <c r="BW26" s="623">
        <v>2011</v>
      </c>
      <c r="BX26" s="624">
        <v>2036</v>
      </c>
      <c r="BZ26" s="790" t="s">
        <v>2484</v>
      </c>
      <c r="CN26" s="623"/>
      <c r="CO26" s="623" t="str">
        <f ca="1">IF(YEAR(CO30)&gt;2020,"2020","")</f>
        <v/>
      </c>
    </row>
    <row r="27" spans="2:93">
      <c r="B27" s="239"/>
      <c r="C27" s="239"/>
      <c r="E27" s="239"/>
      <c r="F27" s="239"/>
      <c r="G27" s="239"/>
      <c r="H27" s="239"/>
      <c r="I27" s="239"/>
      <c r="J27" s="239"/>
      <c r="O27" s="127" t="s">
        <v>579</v>
      </c>
      <c r="S27" s="152"/>
      <c r="X27" s="135" t="s">
        <v>320</v>
      </c>
      <c r="AB27" s="136" t="s">
        <v>320</v>
      </c>
      <c r="AH27" s="136"/>
      <c r="AP27" s="135" t="s">
        <v>497</v>
      </c>
      <c r="AQ27" s="130" t="s">
        <v>364</v>
      </c>
      <c r="AR27" s="135" t="s">
        <v>197</v>
      </c>
      <c r="AS27" s="130" t="s">
        <v>505</v>
      </c>
      <c r="AT27" s="135"/>
      <c r="AV27" s="135" t="s">
        <v>420</v>
      </c>
      <c r="AW27" s="130" t="s">
        <v>415</v>
      </c>
      <c r="AZ27" s="127"/>
      <c r="BD27" s="127"/>
      <c r="BW27" s="623">
        <v>2012</v>
      </c>
      <c r="BX27" s="623">
        <v>2037</v>
      </c>
      <c r="BZ27" s="790" t="s">
        <v>2490</v>
      </c>
    </row>
    <row r="28" spans="2:93">
      <c r="B28" s="239"/>
      <c r="C28" s="239"/>
      <c r="E28" s="239"/>
      <c r="F28" s="239"/>
      <c r="G28" s="239"/>
      <c r="H28" s="239"/>
      <c r="I28" s="239"/>
      <c r="J28" s="239"/>
      <c r="O28" s="127" t="s">
        <v>580</v>
      </c>
      <c r="Q28" s="129"/>
      <c r="S28" s="152"/>
      <c r="X28" s="135"/>
      <c r="AH28" s="136"/>
      <c r="AP28" s="135" t="s">
        <v>320</v>
      </c>
      <c r="AQ28" s="130" t="s">
        <v>358</v>
      </c>
      <c r="AR28" s="135" t="s">
        <v>506</v>
      </c>
      <c r="AS28" s="130" t="s">
        <v>383</v>
      </c>
      <c r="AT28" s="135"/>
      <c r="AV28" s="135" t="s">
        <v>548</v>
      </c>
      <c r="AW28" s="130" t="s">
        <v>441</v>
      </c>
      <c r="AZ28" s="127"/>
      <c r="BD28" s="127"/>
      <c r="BW28" s="623">
        <v>2013</v>
      </c>
      <c r="BX28" s="624">
        <v>2038</v>
      </c>
      <c r="BZ28" s="790" t="s">
        <v>2491</v>
      </c>
    </row>
    <row r="29" spans="2:93">
      <c r="B29" s="239"/>
      <c r="C29" s="239"/>
      <c r="E29" s="239"/>
      <c r="F29" s="239"/>
      <c r="G29" s="239"/>
      <c r="H29" s="239"/>
      <c r="I29" s="239"/>
      <c r="J29" s="239"/>
      <c r="O29" s="127" t="s">
        <v>265</v>
      </c>
      <c r="Q29" s="129"/>
      <c r="S29" s="152"/>
      <c r="X29" s="135"/>
      <c r="AH29" s="136"/>
      <c r="AP29" s="135"/>
      <c r="AR29" s="135" t="s">
        <v>507</v>
      </c>
      <c r="AS29" s="130" t="s">
        <v>384</v>
      </c>
      <c r="AT29" s="135"/>
      <c r="AV29" s="135" t="s">
        <v>549</v>
      </c>
      <c r="AW29" s="130" t="s">
        <v>454</v>
      </c>
      <c r="AZ29" s="127"/>
      <c r="BD29" s="127"/>
      <c r="BW29" s="623">
        <v>2014</v>
      </c>
      <c r="BX29" s="623">
        <v>2039</v>
      </c>
      <c r="BZ29" s="790" t="s">
        <v>2492</v>
      </c>
    </row>
    <row r="30" spans="2:93">
      <c r="B30" s="239"/>
      <c r="C30" s="239"/>
      <c r="E30" s="239"/>
      <c r="F30" s="239"/>
      <c r="G30" s="239"/>
      <c r="H30" s="239"/>
      <c r="I30" s="239"/>
      <c r="J30" s="239"/>
      <c r="O30" s="127" t="s">
        <v>194</v>
      </c>
      <c r="Q30" s="129"/>
      <c r="S30" s="152"/>
      <c r="X30" s="135"/>
      <c r="AH30" s="136"/>
      <c r="AP30" s="135"/>
      <c r="AR30" s="135" t="s">
        <v>320</v>
      </c>
      <c r="AS30" s="130" t="s">
        <v>408</v>
      </c>
      <c r="AT30" s="135"/>
      <c r="AV30" s="135" t="s">
        <v>550</v>
      </c>
      <c r="AW30" s="130" t="s">
        <v>454</v>
      </c>
      <c r="AZ30" s="127"/>
      <c r="BD30" s="127"/>
      <c r="BW30" s="623">
        <v>2015</v>
      </c>
      <c r="BX30" s="624">
        <v>2040</v>
      </c>
      <c r="BZ30" s="790" t="s">
        <v>2489</v>
      </c>
      <c r="CO30" s="1743">
        <f ca="1">TODAY()</f>
        <v>42495</v>
      </c>
    </row>
    <row r="31" spans="2:93">
      <c r="B31" s="239"/>
      <c r="C31" s="239"/>
      <c r="E31" s="239"/>
      <c r="F31" s="239"/>
      <c r="G31" s="239"/>
      <c r="H31" s="239"/>
      <c r="I31" s="239"/>
      <c r="J31" s="239"/>
      <c r="O31" s="127" t="s">
        <v>195</v>
      </c>
      <c r="Q31" s="129"/>
      <c r="S31" s="152"/>
      <c r="X31" s="135"/>
      <c r="AH31" s="136"/>
      <c r="AP31" s="135"/>
      <c r="AR31" s="135"/>
      <c r="AT31" s="135"/>
      <c r="AV31" s="135" t="s">
        <v>551</v>
      </c>
      <c r="AW31" s="130" t="s">
        <v>454</v>
      </c>
      <c r="AZ31" s="127"/>
      <c r="BD31" s="127"/>
      <c r="BW31" s="623">
        <v>2016</v>
      </c>
      <c r="BX31" s="623">
        <v>2041</v>
      </c>
      <c r="BZ31" s="790" t="s">
        <v>2488</v>
      </c>
    </row>
    <row r="32" spans="2:93">
      <c r="B32" s="239"/>
      <c r="C32" s="239"/>
      <c r="E32" s="239"/>
      <c r="F32" s="239"/>
      <c r="G32" s="239"/>
      <c r="H32" s="239"/>
      <c r="I32" s="239"/>
      <c r="J32" s="239"/>
      <c r="O32" s="127" t="s">
        <v>581</v>
      </c>
      <c r="Q32" s="129"/>
      <c r="X32" s="135"/>
      <c r="AH32" s="136"/>
      <c r="AP32" s="135"/>
      <c r="AR32" s="135"/>
      <c r="AT32" s="135"/>
      <c r="AV32" s="135" t="s">
        <v>552</v>
      </c>
      <c r="AW32" s="130" t="s">
        <v>454</v>
      </c>
      <c r="AZ32" s="127"/>
      <c r="BD32" s="127"/>
      <c r="BW32" s="623">
        <v>2017</v>
      </c>
      <c r="BX32" s="624">
        <v>2042</v>
      </c>
      <c r="BZ32" s="790" t="s">
        <v>2487</v>
      </c>
    </row>
    <row r="33" spans="2:78">
      <c r="B33" s="239"/>
      <c r="C33" s="239"/>
      <c r="E33" s="239"/>
      <c r="F33" s="239"/>
      <c r="G33" s="239"/>
      <c r="H33" s="239"/>
      <c r="I33" s="239"/>
      <c r="J33" s="239"/>
      <c r="O33" s="127" t="s">
        <v>582</v>
      </c>
      <c r="Q33" s="129"/>
      <c r="X33" s="135"/>
      <c r="AH33" s="136"/>
      <c r="AP33" s="135"/>
      <c r="AR33" s="135"/>
      <c r="AT33" s="135"/>
      <c r="AV33" s="135" t="s">
        <v>553</v>
      </c>
      <c r="AW33" s="130" t="s">
        <v>454</v>
      </c>
      <c r="AZ33" s="127"/>
      <c r="BD33" s="127"/>
      <c r="BW33" s="623">
        <v>2018</v>
      </c>
      <c r="BX33" s="623">
        <v>2043</v>
      </c>
      <c r="BZ33" s="790" t="s">
        <v>2486</v>
      </c>
    </row>
    <row r="34" spans="2:78">
      <c r="B34" s="239"/>
      <c r="C34" s="239"/>
      <c r="E34" s="239"/>
      <c r="F34" s="239"/>
      <c r="G34" s="239"/>
      <c r="H34" s="239"/>
      <c r="I34" s="239"/>
      <c r="J34" s="239"/>
      <c r="O34" s="127" t="s">
        <v>583</v>
      </c>
      <c r="Q34" s="129"/>
      <c r="X34" s="135"/>
      <c r="AH34" s="136"/>
      <c r="AP34" s="135"/>
      <c r="AR34" s="135"/>
      <c r="AT34" s="135"/>
      <c r="AV34" s="135" t="s">
        <v>421</v>
      </c>
      <c r="AW34" s="130" t="s">
        <v>416</v>
      </c>
      <c r="AZ34" s="127"/>
      <c r="BD34" s="127"/>
      <c r="BW34" s="623">
        <v>2019</v>
      </c>
      <c r="BX34" s="624">
        <v>2044</v>
      </c>
      <c r="BZ34" s="790" t="s">
        <v>2485</v>
      </c>
    </row>
    <row r="35" spans="2:78">
      <c r="B35" s="239"/>
      <c r="C35" s="239"/>
      <c r="E35" s="239"/>
      <c r="F35" s="239"/>
      <c r="G35" s="239"/>
      <c r="H35" s="239"/>
      <c r="I35" s="239"/>
      <c r="J35" s="239"/>
      <c r="O35" s="127" t="s">
        <v>584</v>
      </c>
      <c r="Q35" s="129"/>
      <c r="X35" s="135"/>
      <c r="AH35" s="136"/>
      <c r="AP35" s="135"/>
      <c r="AR35" s="135"/>
      <c r="AT35" s="135"/>
      <c r="AV35" s="135" t="s">
        <v>554</v>
      </c>
      <c r="AW35" s="130" t="s">
        <v>445</v>
      </c>
      <c r="AZ35" s="127"/>
      <c r="BD35" s="127"/>
      <c r="BW35" s="623">
        <v>2020</v>
      </c>
      <c r="BX35" s="623">
        <v>2045</v>
      </c>
      <c r="BZ35" s="790" t="s">
        <v>1699</v>
      </c>
    </row>
    <row r="36" spans="2:78">
      <c r="B36" s="239"/>
      <c r="C36" s="239"/>
      <c r="E36" s="239"/>
      <c r="F36" s="239"/>
      <c r="G36" s="239"/>
      <c r="H36" s="239"/>
      <c r="I36" s="239"/>
      <c r="J36" s="239"/>
      <c r="O36" s="127" t="s">
        <v>585</v>
      </c>
      <c r="Q36" s="129"/>
      <c r="X36" s="135"/>
      <c r="AH36" s="136"/>
      <c r="AP36" s="135"/>
      <c r="AR36" s="135"/>
      <c r="AT36" s="135"/>
      <c r="AV36" s="135" t="s">
        <v>555</v>
      </c>
      <c r="AW36" s="130" t="s">
        <v>448</v>
      </c>
      <c r="AZ36" s="127"/>
      <c r="BD36" s="127"/>
      <c r="BX36" s="624">
        <v>2046</v>
      </c>
      <c r="BZ36" s="790" t="s">
        <v>1690</v>
      </c>
    </row>
    <row r="37" spans="2:78">
      <c r="B37" s="239"/>
      <c r="C37" s="239"/>
      <c r="E37" s="239"/>
      <c r="F37" s="239"/>
      <c r="G37" s="239"/>
      <c r="H37" s="239"/>
      <c r="I37" s="239"/>
      <c r="J37" s="239"/>
      <c r="O37" s="127" t="s">
        <v>320</v>
      </c>
      <c r="Q37" s="129"/>
      <c r="X37" s="135"/>
      <c r="AH37" s="136"/>
      <c r="AP37" s="135"/>
      <c r="AR37" s="135"/>
      <c r="AT37" s="135"/>
      <c r="AV37" s="135" t="s">
        <v>556</v>
      </c>
      <c r="AW37" s="130" t="s">
        <v>450</v>
      </c>
      <c r="AZ37" s="127"/>
      <c r="BD37" s="127"/>
      <c r="BX37" s="623">
        <v>2047</v>
      </c>
      <c r="BZ37" s="790" t="s">
        <v>2493</v>
      </c>
    </row>
    <row r="38" spans="2:78">
      <c r="Q38" s="129"/>
      <c r="X38" s="135"/>
      <c r="AH38" s="136"/>
      <c r="AP38" s="135"/>
      <c r="AR38" s="135"/>
      <c r="AT38" s="135"/>
      <c r="AV38" s="135" t="s">
        <v>557</v>
      </c>
      <c r="AW38" s="130" t="s">
        <v>447</v>
      </c>
      <c r="AZ38" s="127"/>
      <c r="BD38" s="127"/>
      <c r="BX38" s="624">
        <v>2048</v>
      </c>
      <c r="BZ38" s="790" t="s">
        <v>1691</v>
      </c>
    </row>
    <row r="39" spans="2:78">
      <c r="Q39" s="129"/>
      <c r="X39" s="135"/>
      <c r="AP39" s="135"/>
      <c r="AR39" s="135"/>
      <c r="AT39" s="135"/>
      <c r="AV39" s="135" t="s">
        <v>558</v>
      </c>
      <c r="AW39" s="130" t="s">
        <v>446</v>
      </c>
      <c r="AZ39" s="127"/>
      <c r="BD39" s="127"/>
      <c r="BX39" s="623">
        <v>2049</v>
      </c>
      <c r="BZ39" s="790" t="s">
        <v>1692</v>
      </c>
    </row>
    <row r="40" spans="2:78">
      <c r="Q40" s="129"/>
      <c r="X40" s="135"/>
      <c r="AP40" s="135"/>
      <c r="AR40" s="135"/>
      <c r="AT40" s="135"/>
      <c r="AV40" s="135" t="s">
        <v>559</v>
      </c>
      <c r="AW40" s="130" t="s">
        <v>444</v>
      </c>
      <c r="AZ40" s="127"/>
      <c r="BD40" s="127"/>
      <c r="BX40" s="624">
        <v>2050</v>
      </c>
      <c r="BZ40" s="790" t="s">
        <v>1693</v>
      </c>
    </row>
    <row r="41" spans="2:78">
      <c r="Q41" s="129"/>
      <c r="X41" s="135"/>
      <c r="AP41" s="135"/>
      <c r="AR41" s="135"/>
      <c r="AT41" s="135"/>
      <c r="AV41" s="135" t="s">
        <v>422</v>
      </c>
      <c r="AW41" s="130" t="s">
        <v>417</v>
      </c>
      <c r="AZ41" s="127"/>
      <c r="BD41" s="127"/>
      <c r="BZ41" s="790" t="s">
        <v>1694</v>
      </c>
    </row>
    <row r="42" spans="2:78">
      <c r="Q42" s="129"/>
      <c r="X42" s="135"/>
      <c r="AP42" s="135"/>
      <c r="AR42" s="135"/>
      <c r="AT42" s="135"/>
      <c r="AV42" s="135" t="s">
        <v>560</v>
      </c>
      <c r="AW42" s="130" t="s">
        <v>442</v>
      </c>
      <c r="AZ42" s="127"/>
      <c r="BD42" s="127"/>
      <c r="BZ42" s="790" t="s">
        <v>1695</v>
      </c>
    </row>
    <row r="43" spans="2:78">
      <c r="Q43" s="129"/>
      <c r="X43" s="135"/>
      <c r="AP43" s="135"/>
      <c r="AR43" s="135"/>
      <c r="AT43" s="135"/>
      <c r="AV43" s="135" t="s">
        <v>561</v>
      </c>
      <c r="AW43" s="130" t="s">
        <v>449</v>
      </c>
      <c r="AZ43" s="127"/>
      <c r="BD43" s="127"/>
      <c r="BZ43" s="790" t="s">
        <v>1696</v>
      </c>
    </row>
    <row r="44" spans="2:78">
      <c r="Q44" s="129"/>
      <c r="X44" s="135"/>
      <c r="AP44" s="135"/>
      <c r="AR44" s="135"/>
      <c r="AT44" s="135"/>
      <c r="AV44" s="135" t="s">
        <v>562</v>
      </c>
      <c r="AW44" s="130" t="s">
        <v>451</v>
      </c>
      <c r="AZ44" s="127"/>
      <c r="BD44" s="127"/>
      <c r="BZ44" s="790" t="s">
        <v>1697</v>
      </c>
    </row>
    <row r="45" spans="2:78">
      <c r="Q45" s="129"/>
      <c r="X45" s="135"/>
      <c r="AP45" s="135"/>
      <c r="AR45" s="135"/>
      <c r="AT45" s="135"/>
      <c r="AV45" s="135" t="s">
        <v>563</v>
      </c>
      <c r="AW45" s="130" t="s">
        <v>452</v>
      </c>
      <c r="BZ45" s="790" t="s">
        <v>1698</v>
      </c>
    </row>
    <row r="46" spans="2:78">
      <c r="Q46" s="129"/>
      <c r="X46" s="135"/>
      <c r="AP46" s="135"/>
      <c r="AR46" s="135"/>
      <c r="AT46" s="135"/>
      <c r="AV46" s="135" t="s">
        <v>564</v>
      </c>
      <c r="AW46" s="130" t="s">
        <v>453</v>
      </c>
      <c r="BZ46" s="791"/>
    </row>
    <row r="47" spans="2:78">
      <c r="Q47" s="129"/>
      <c r="X47" s="135"/>
      <c r="AP47" s="135"/>
      <c r="AR47" s="135"/>
      <c r="AT47" s="135"/>
      <c r="AV47" s="135" t="s">
        <v>565</v>
      </c>
      <c r="AW47" s="130" t="s">
        <v>443</v>
      </c>
    </row>
    <row r="48" spans="2:78">
      <c r="Q48" s="129"/>
      <c r="X48" s="135"/>
      <c r="AP48" s="135"/>
      <c r="AR48" s="135"/>
      <c r="AT48" s="135"/>
      <c r="AV48" s="135"/>
    </row>
    <row r="49" spans="24:48">
      <c r="X49" s="135"/>
      <c r="AP49" s="135"/>
      <c r="AR49" s="135"/>
      <c r="AT49" s="135"/>
      <c r="AV49" s="135"/>
    </row>
    <row r="50" spans="24:48">
      <c r="X50" s="135"/>
      <c r="AP50" s="135"/>
      <c r="AR50" s="135"/>
      <c r="AT50" s="135"/>
      <c r="AV50" s="135"/>
    </row>
    <row r="51" spans="24:48">
      <c r="X51" s="135"/>
      <c r="AP51" s="135"/>
      <c r="AR51" s="135"/>
      <c r="AT51" s="135"/>
      <c r="AV51" s="135"/>
    </row>
    <row r="52" spans="24:48">
      <c r="X52" s="135"/>
      <c r="AP52" s="135"/>
      <c r="AR52" s="135"/>
      <c r="AT52" s="135"/>
      <c r="AV52" s="135"/>
    </row>
    <row r="53" spans="24:48">
      <c r="X53" s="135"/>
      <c r="AP53" s="135"/>
      <c r="AR53" s="135"/>
      <c r="AT53" s="135"/>
      <c r="AV53" s="135"/>
    </row>
    <row r="54" spans="24:48">
      <c r="X54" s="135"/>
      <c r="AP54" s="135"/>
      <c r="AR54" s="135"/>
      <c r="AT54" s="135"/>
      <c r="AV54" s="135"/>
    </row>
    <row r="55" spans="24:48">
      <c r="X55" s="135"/>
      <c r="AP55" s="135"/>
      <c r="AR55" s="135"/>
      <c r="AT55" s="135"/>
      <c r="AV55" s="135"/>
    </row>
    <row r="56" spans="24:48">
      <c r="X56" s="135"/>
      <c r="AP56" s="135"/>
      <c r="AR56" s="135"/>
      <c r="AT56" s="135"/>
      <c r="AV56" s="135"/>
    </row>
    <row r="57" spans="24:48">
      <c r="X57" s="135"/>
      <c r="AP57" s="135"/>
      <c r="AR57" s="135"/>
      <c r="AT57" s="135"/>
      <c r="AV57" s="135"/>
    </row>
    <row r="58" spans="24:48">
      <c r="X58" s="135"/>
      <c r="AP58" s="135"/>
      <c r="AR58" s="135"/>
      <c r="AT58" s="135"/>
      <c r="AV58" s="135"/>
    </row>
    <row r="59" spans="24:48">
      <c r="X59" s="135"/>
      <c r="AP59" s="135"/>
      <c r="AR59" s="135"/>
      <c r="AT59" s="135"/>
      <c r="AV59" s="135"/>
    </row>
    <row r="60" spans="24:48">
      <c r="X60" s="135"/>
      <c r="AP60" s="135"/>
      <c r="AR60" s="135"/>
      <c r="AT60" s="135"/>
      <c r="AV60" s="135"/>
    </row>
  </sheetData>
  <sheetProtection password="892F" sheet="1" objects="1" scenarios="1" selectLockedCells="1" selectUnlockedCells="1"/>
  <mergeCells count="13">
    <mergeCell ref="BR1:BS1"/>
    <mergeCell ref="BT1:BU1"/>
    <mergeCell ref="BE1:BQ1"/>
    <mergeCell ref="BF2:BN2"/>
    <mergeCell ref="L1:N1"/>
    <mergeCell ref="BA1:BC1"/>
    <mergeCell ref="A1:C1"/>
    <mergeCell ref="AP1:AS1"/>
    <mergeCell ref="AF1:AO1"/>
    <mergeCell ref="AT1:AY1"/>
    <mergeCell ref="W1:AE1"/>
    <mergeCell ref="O1:V1"/>
    <mergeCell ref="D1:G1"/>
  </mergeCells>
  <phoneticPr fontId="13"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51</vt:i4>
      </vt:variant>
    </vt:vector>
  </HeadingPairs>
  <TitlesOfParts>
    <vt:vector size="51" baseType="lpstr">
      <vt:lpstr>Revision history</vt:lpstr>
      <vt:lpstr>x Revision history</vt:lpstr>
      <vt:lpstr>CIRIS</vt:lpstr>
      <vt:lpstr>Home</vt:lpstr>
      <vt:lpstr>GPC</vt:lpstr>
      <vt:lpstr>Notation keys</vt:lpstr>
      <vt:lpstr>GWP</vt:lpstr>
      <vt:lpstr>Conversion factors</vt:lpstr>
      <vt:lpstr>Conversion factors_2</vt:lpstr>
      <vt:lpstr>Compact of Mayors</vt:lpstr>
      <vt:lpstr>City information</vt:lpstr>
      <vt:lpstr>Data sources</vt:lpstr>
      <vt:lpstr>Emission factors</vt:lpstr>
      <vt:lpstr>F-Gases</vt:lpstr>
      <vt:lpstr>Database</vt:lpstr>
      <vt:lpstr>Blank</vt:lpstr>
      <vt:lpstr>Inventory</vt:lpstr>
      <vt:lpstr>I - Stationary</vt:lpstr>
      <vt:lpstr>II - Transport</vt:lpstr>
      <vt:lpstr>III - Waste</vt:lpstr>
      <vt:lpstr>IV - IPPU</vt:lpstr>
      <vt:lpstr>V - AFOLU</vt:lpstr>
      <vt:lpstr>VI - Other scope 3</vt:lpstr>
      <vt:lpstr>Results</vt:lpstr>
      <vt:lpstr>Summary</vt:lpstr>
      <vt:lpstr>Graphs</vt:lpstr>
      <vt:lpstr>Overview</vt:lpstr>
      <vt:lpstr>Report</vt:lpstr>
      <vt:lpstr>Audit</vt:lpstr>
      <vt:lpstr>Net emissions</vt:lpstr>
      <vt:lpstr>Solid waste disposal</vt:lpstr>
      <vt:lpstr>Calculators</vt:lpstr>
      <vt:lpstr>Fugitive gas</vt:lpstr>
      <vt:lpstr>Biological treatment</vt:lpstr>
      <vt:lpstr>Incineration</vt:lpstr>
      <vt:lpstr>Wastewater</vt:lpstr>
      <vt:lpstr>WW_Protein</vt:lpstr>
      <vt:lpstr>Analysis</vt:lpstr>
      <vt:lpstr>Progress</vt:lpstr>
      <vt:lpstr>Benchmark</vt:lpstr>
      <vt:lpstr>Heat map</vt:lpstr>
      <vt:lpstr>Overview_2</vt:lpstr>
      <vt:lpstr>Output</vt:lpstr>
      <vt:lpstr>Data</vt:lpstr>
      <vt:lpstr>Data_2</vt:lpstr>
      <vt:lpstr>x Data_2</vt:lpstr>
      <vt:lpstr>Data_3</vt:lpstr>
      <vt:lpstr>Data_4a</vt:lpstr>
      <vt:lpstr>Data_4b</vt:lpstr>
      <vt:lpstr>Data_5</vt:lpstr>
      <vt:lpstr>Lists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Doust</dc:creator>
  <cp:lastModifiedBy>Michael Doust</cp:lastModifiedBy>
  <cp:lastPrinted>2015-10-08T13:04:38Z</cp:lastPrinted>
  <dcterms:created xsi:type="dcterms:W3CDTF">2014-11-03T15:31:54Z</dcterms:created>
  <dcterms:modified xsi:type="dcterms:W3CDTF">2016-05-05T15:19:04Z</dcterms:modified>
</cp:coreProperties>
</file>